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omments14.xml" ContentType="application/vnd.openxmlformats-officedocument.spreadsheetml.comments+xml"/>
  <Override PartName="/xl/drawings/drawing43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c9b4cb3f84e8dd9/Data MaMa 28042565/งานการเงินการคลัง/ข้อมูล MOC ^0 Planfin/ข้อมูลMOC ปี 2566/ประชุมชี้แจงจัดทำแผนเงินบำรุง^0Planfin 2566/"/>
    </mc:Choice>
  </mc:AlternateContent>
  <xr:revisionPtr revIDLastSave="79" documentId="13_ncr:1_{F220C2A6-57AC-46DD-B5F1-8A35FF05E8F3}" xr6:coauthVersionLast="47" xr6:coauthVersionMax="47" xr10:uidLastSave="{4327EA1F-C75F-4F2E-B26F-1E79A71E5D41}"/>
  <bookViews>
    <workbookView xWindow="-108" yWindow="-108" windowWidth="23256" windowHeight="12576" tabRatio="946" firstSheet="10" activeTab="12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PlanFin Analysis" sheetId="30" r:id="rId4"/>
    <sheet name="กศภ2564" sheetId="48" r:id="rId5"/>
    <sheet name="กศภ_Q365" sheetId="52" r:id="rId6"/>
    <sheet name="2.Revenue" sheetId="1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1.Planfin2566" sheetId="8" r:id="rId12"/>
    <sheet name="14.แผนรายรับรายจ่ายเงินบำรุงฯ" sheetId="53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5" r:id="rId19"/>
    <sheet name="12.WS-แผนสนับสนุน รพ.สต." sheetId="25" r:id="rId20"/>
    <sheet name="12.1 รายละเอียด แผน รพ.สต." sheetId="56" r:id="rId21"/>
    <sheet name="13.Mapping" sheetId="2" r:id="rId22"/>
    <sheet name="ฟอร์มเขต 6 แผนเงินบำรุงรพ." sheetId="57" r:id="rId23"/>
    <sheet name="15.แผนก่อหนี้" sheetId="54" r:id="rId24"/>
    <sheet name="แผนรับจ่ายปีงบ 66 " sheetId="64" r:id="rId25"/>
    <sheet name="ค่าจ้าง พกส" sheetId="65" r:id="rId26"/>
    <sheet name="ค่าจ้างลูกจ้าง" sheetId="66" r:id="rId27"/>
    <sheet name="ไม่เวช" sheetId="67" r:id="rId28"/>
    <sheet name="ฉ11" sheetId="68" r:id="rId29"/>
    <sheet name="พตสนอกงบ" sheetId="69" r:id="rId30"/>
    <sheet name="ค่าตอบแทน" sheetId="70" r:id="rId31"/>
    <sheet name="งบลงทุนเงินบำรุง" sheetId="71" r:id="rId32"/>
    <sheet name="ซ่อมยาน" sheetId="72" r:id="rId33"/>
    <sheet name="ซ่อมครุ.แพทย์" sheetId="73" r:id="rId34"/>
    <sheet name="ซ่อมครุภัณฑ์อื่นๆ" sheetId="74" r:id="rId35"/>
    <sheet name="สรุปแผนเงินบำรุง" sheetId="75" r:id="rId36"/>
    <sheet name="1วัสดุสำนักงาน" sheetId="76" r:id="rId37"/>
    <sheet name="2วัสดุคอมพิวเตอร์" sheetId="77" r:id="rId38"/>
    <sheet name="3วัสดุวิทยาศาสตร์" sheetId="78" r:id="rId39"/>
    <sheet name="4วัสดุการแพทย์ทั่วไป" sheetId="79" r:id="rId40"/>
    <sheet name="5เวชภัณฑ์ยา" sheetId="80" r:id="rId41"/>
    <sheet name="6เวชภัณฑ์มิใช่ยา" sheetId="81" r:id="rId42"/>
    <sheet name="7ยาสมุนไพร" sheetId="82" r:id="rId43"/>
    <sheet name="8วัสดุทันตกรรม " sheetId="83" r:id="rId44"/>
    <sheet name="9วัสดุยานพาหนะ" sheetId="84" r:id="rId45"/>
    <sheet name="10วัสดุโฆษณา" sheetId="85" r:id="rId46"/>
    <sheet name="11วัสดุการเกษตร" sheetId="86" r:id="rId47"/>
    <sheet name="12วัสดุเครื่องแต่งกาย" sheetId="87" r:id="rId48"/>
    <sheet name="13วัสดุงานบ้านงานครัว" sheetId="88" r:id="rId49"/>
    <sheet name="14วัสดุบริโภค" sheetId="89" r:id="rId50"/>
    <sheet name="15วัสดุก่อสร้าง" sheetId="90" r:id="rId51"/>
    <sheet name="16วัสดุไฟฟ้าและวิทยุ" sheetId="91" r:id="rId52"/>
    <sheet name="17วัสดุเชื้อเพลิงและหล่อลื่น" sheetId="92" r:id="rId53"/>
    <sheet name="18ค่าสาธารณูปโภค" sheetId="93" r:id="rId54"/>
    <sheet name="19ค่าใช้สอย" sheetId="94" r:id="rId55"/>
    <sheet name="20สิ่งก่อสร้าง" sheetId="95" r:id="rId56"/>
    <sheet name="21โครงการ" sheetId="96" r:id="rId57"/>
    <sheet name="22ครุภัณฑ์สำนักงาน" sheetId="97" r:id="rId58"/>
    <sheet name="23ครุภัณฑ์คอมพิวเตอร์" sheetId="98" r:id="rId59"/>
    <sheet name="24ครุภัณฑ์วิทยาศาสตร์" sheetId="99" r:id="rId60"/>
    <sheet name="25ครุภัณฑ์โฆษณาและเผยแพร่" sheetId="100" r:id="rId61"/>
    <sheet name="26ครุภัณฑ์ไฟฟ้าและวิทยุ" sheetId="101" r:id="rId62"/>
    <sheet name="27ครุภัณฑ์งานบ้านงานครัว" sheetId="102" r:id="rId63"/>
    <sheet name="28ครุภัณฑ์การเกษตร" sheetId="103" r:id="rId64"/>
    <sheet name="29ครุภัณฑ์ก่อสร้าง" sheetId="104" r:id="rId65"/>
    <sheet name="30ครุภัณฑ์ยานพาหนะและขนส่ง" sheetId="105" r:id="rId66"/>
    <sheet name="Sheet8" sheetId="106" r:id="rId67"/>
    <sheet name="Sheet24" sheetId="107" r:id="rId68"/>
    <sheet name="14.แผนรายรับรายจ่ายเงินบำรุง เด" sheetId="58" r:id="rId69"/>
    <sheet name="Sheet6" sheetId="63" r:id="rId70"/>
  </sheets>
  <externalReferences>
    <externalReference r:id="rId71"/>
    <externalReference r:id="rId72"/>
  </externalReferences>
  <definedNames>
    <definedName name="_xlnm._FilterDatabase" localSheetId="45" hidden="1">'10วัสดุโฆษณา'!$A$1:$AC$18</definedName>
    <definedName name="_xlnm._FilterDatabase" localSheetId="46" hidden="1">'11วัสดุการเกษตร'!$A$1:$AC$15</definedName>
    <definedName name="_xlnm._FilterDatabase" localSheetId="47" hidden="1">'12วัสดุเครื่องแต่งกาย'!$A$1:$AC$25</definedName>
    <definedName name="_xlnm._FilterDatabase" localSheetId="21" hidden="1">'13.Mapping'!$A$1:$Q$843</definedName>
    <definedName name="_xlnm._FilterDatabase" localSheetId="48" hidden="1">'13วัสดุงานบ้านงานครัว'!$A$1:$AC$87</definedName>
    <definedName name="_xlnm._FilterDatabase" localSheetId="49" hidden="1">'14วัสดุบริโภค'!$A$1:$AC$9</definedName>
    <definedName name="_xlnm._FilterDatabase" localSheetId="50" hidden="1">'15วัสดุก่อสร้าง'!$A$1:$AC$42</definedName>
    <definedName name="_xlnm._FilterDatabase" localSheetId="51" hidden="1">'16วัสดุไฟฟ้าและวิทยุ'!$A$1:$AC$29</definedName>
    <definedName name="_xlnm._FilterDatabase" localSheetId="52" hidden="1">'17วัสดุเชื้อเพลิงและหล่อลื่น'!$A$1:$AC$9</definedName>
    <definedName name="_xlnm._FilterDatabase" localSheetId="53" hidden="1">'18ค่าสาธารณูปโภค'!$A$1:$AC$12</definedName>
    <definedName name="_xlnm._FilterDatabase" localSheetId="54" hidden="1">'19ค่าใช้สอย'!$A$1:$AC$45</definedName>
    <definedName name="_xlnm._FilterDatabase" localSheetId="36" hidden="1">'1วัสดุสำนักงาน'!$A$1:$AC$105</definedName>
    <definedName name="_xlnm._FilterDatabase" localSheetId="55" hidden="1">'20สิ่งก่อสร้าง'!$A$1:$AC$18</definedName>
    <definedName name="_xlnm._FilterDatabase" localSheetId="56" hidden="1">'21โครงการ'!$A$1:$AC$15</definedName>
    <definedName name="_xlnm._FilterDatabase" localSheetId="57" hidden="1">'22ครุภัณฑ์สำนักงาน'!$A$1:$AC$20</definedName>
    <definedName name="_xlnm._FilterDatabase" localSheetId="58" hidden="1">'23ครุภัณฑ์คอมพิวเตอร์'!$A$1:$AC$14</definedName>
    <definedName name="_xlnm._FilterDatabase" localSheetId="59" hidden="1">'24ครุภัณฑ์วิทยาศาสตร์'!$A$1:$AC$17</definedName>
    <definedName name="_xlnm._FilterDatabase" localSheetId="60" hidden="1">'25ครุภัณฑ์โฆษณาและเผยแพร่'!$A$1:$AC$18</definedName>
    <definedName name="_xlnm._FilterDatabase" localSheetId="61" hidden="1">'26ครุภัณฑ์ไฟฟ้าและวิทยุ'!$A$1:$AC$9</definedName>
    <definedName name="_xlnm._FilterDatabase" localSheetId="62" hidden="1">'27ครุภัณฑ์งานบ้านงานครัว'!$A$1:$AC$14</definedName>
    <definedName name="_xlnm._FilterDatabase" localSheetId="63" hidden="1">'28ครุภัณฑ์การเกษตร'!$A$1:$AC$18</definedName>
    <definedName name="_xlnm._FilterDatabase" localSheetId="64" hidden="1">'29ครุภัณฑ์ก่อสร้าง'!$A$1:$AC$9</definedName>
    <definedName name="_xlnm._FilterDatabase" localSheetId="37" hidden="1">'2วัสดุคอมพิวเตอร์'!$A$1:$AC$45</definedName>
    <definedName name="_xlnm._FilterDatabase" localSheetId="65" hidden="1">'30ครุภัณฑ์ยานพาหนะและขนส่ง'!$A$1:$AC$18</definedName>
    <definedName name="_xlnm._FilterDatabase" localSheetId="38" hidden="1">'3วัสดุวิทยาศาสตร์'!$A$1:$AC$83</definedName>
    <definedName name="_xlnm._FilterDatabase" localSheetId="39" hidden="1">'4วัสดุการแพทย์ทั่วไป'!$A$1:$AB$233</definedName>
    <definedName name="_xlnm._FilterDatabase" localSheetId="9" hidden="1">'5.งบทดลอง รพ.'!#REF!</definedName>
    <definedName name="_xlnm._FilterDatabase" localSheetId="40" hidden="1">'5เวชภัณฑ์ยา'!$A$1:$AC$305</definedName>
    <definedName name="_xlnm._FilterDatabase" localSheetId="10" hidden="1">'6.WS-Re-Exp'!$A$2:$I$450</definedName>
    <definedName name="_xlnm._FilterDatabase" localSheetId="41" hidden="1">'6เวชภัณฑ์มิใช่ยา'!$A$1:$AC$10</definedName>
    <definedName name="_xlnm._FilterDatabase" localSheetId="42" hidden="1">'7ยาสมุนไพร'!$A$1:$AC$46</definedName>
    <definedName name="_xlnm._FilterDatabase" localSheetId="43" hidden="1">'8วัสดุทันตกรรม '!$A$5:$AC$229</definedName>
    <definedName name="_xlnm._FilterDatabase" localSheetId="44" hidden="1">'9วัสดุยานพาหนะ'!$A$1:$AC$14</definedName>
    <definedName name="_xlnm._FilterDatabase" localSheetId="2" hidden="1">ID!$A$1:$R$897</definedName>
    <definedName name="_xlnm._FilterDatabase" localSheetId="67" hidden="1">Sheet24!$A$1:$D$52</definedName>
    <definedName name="_xlnm._FilterDatabase" localSheetId="5" hidden="1">กศภ_Q365!$A$60:$AHX$60</definedName>
    <definedName name="_xlnm._FilterDatabase" localSheetId="31" hidden="1">งบลงทุนเงินบำรุง!$A$1:$W$80</definedName>
    <definedName name="_xlnm._FilterDatabase" localSheetId="28" hidden="1">ฉ11!$A$5:$S$55</definedName>
    <definedName name="_xlnm._FilterDatabase" localSheetId="24" hidden="1">'แผนรับจ่ายปีงบ 66 '!$A$2:$F$167</definedName>
    <definedName name="_xlnm._FilterDatabase" localSheetId="35" hidden="1">สรุปแผนเงินบำรุง!$A$1:$P$37</definedName>
    <definedName name="DATA" localSheetId="18">#REF!</definedName>
    <definedName name="DATA" localSheetId="20">#REF!</definedName>
    <definedName name="DATA" localSheetId="68">#REF!</definedName>
    <definedName name="DATA" localSheetId="22">#REF!</definedName>
    <definedName name="DATA">#REF!</definedName>
    <definedName name="Data222" localSheetId="18">#REF!</definedName>
    <definedName name="Data222" localSheetId="20">#REF!</definedName>
    <definedName name="Data222" localSheetId="68">#REF!</definedName>
    <definedName name="Data222" localSheetId="22">#REF!</definedName>
    <definedName name="Data222">#REF!</definedName>
    <definedName name="data2222" localSheetId="18">#REF!</definedName>
    <definedName name="data2222" localSheetId="20">#REF!</definedName>
    <definedName name="data2222" localSheetId="68">#REF!</definedName>
    <definedName name="data2222" localSheetId="22">#REF!</definedName>
    <definedName name="data2222">#REF!</definedName>
    <definedName name="income51">#REF!</definedName>
    <definedName name="_xlnm.Print_Area" localSheetId="11">'1.Planfin2566'!$A$1:$H$124</definedName>
    <definedName name="_xlnm.Print_Area" localSheetId="45">'10วัสดุโฆษณา'!$A$1:$AA$24</definedName>
    <definedName name="_xlnm.Print_Area" localSheetId="46">'11วัสดุการเกษตร'!$A$1:$AA$23</definedName>
    <definedName name="_xlnm.Print_Area" localSheetId="47">'12วัสดุเครื่องแต่งกาย'!$A$1:$AA$33</definedName>
    <definedName name="_xlnm.Print_Area" localSheetId="48">'13วัสดุงานบ้านงานครัว'!$A$1:$AA$93</definedName>
    <definedName name="_xlnm.Print_Area" localSheetId="68">'14.แผนรายรับรายจ่ายเงินบำรุง เด'!#REF!</definedName>
    <definedName name="_xlnm.Print_Area" localSheetId="12">'14.แผนรายรับรายจ่ายเงินบำรุงฯ'!#REF!</definedName>
    <definedName name="_xlnm.Print_Area" localSheetId="49">'14วัสดุบริโภค'!$A$1:$AA$17</definedName>
    <definedName name="_xlnm.Print_Area" localSheetId="50">'15วัสดุก่อสร้าง'!$A$1:$AA$51</definedName>
    <definedName name="_xlnm.Print_Area" localSheetId="51">'16วัสดุไฟฟ้าและวิทยุ'!$A$1:$AA$37</definedName>
    <definedName name="_xlnm.Print_Area" localSheetId="52">'17วัสดุเชื้อเพลิงและหล่อลื่น'!$A$1:$AA$15</definedName>
    <definedName name="_xlnm.Print_Area" localSheetId="53">'18ค่าสาธารณูปโภค'!$A$1:$AB$20</definedName>
    <definedName name="_xlnm.Print_Area" localSheetId="54">'19ค่าใช้สอย'!$A$1:$AA$51</definedName>
    <definedName name="_xlnm.Print_Area" localSheetId="36">'1วัสดุสำนักงาน'!$A$1:$AA$112</definedName>
    <definedName name="_xlnm.Print_Area" localSheetId="6">'2.Revenue'!$C$2:$G$20</definedName>
    <definedName name="_xlnm.Print_Area" localSheetId="55">'20สิ่งก่อสร้าง'!$A$1:$AA$26</definedName>
    <definedName name="_xlnm.Print_Area" localSheetId="56">'21โครงการ'!$A$1:$AA$21</definedName>
    <definedName name="_xlnm.Print_Area" localSheetId="57">'22ครุภัณฑ์สำนักงาน'!$A$1:$AA$26</definedName>
    <definedName name="_xlnm.Print_Area" localSheetId="58">'23ครุภัณฑ์คอมพิวเตอร์'!$A$1:$AA$19</definedName>
    <definedName name="_xlnm.Print_Area" localSheetId="59">'24ครุภัณฑ์วิทยาศาสตร์'!$A$1:$AA$39</definedName>
    <definedName name="_xlnm.Print_Area" localSheetId="60">'25ครุภัณฑ์โฆษณาและเผยแพร่'!$A$1:$AA$24</definedName>
    <definedName name="_xlnm.Print_Area" localSheetId="61">'26ครุภัณฑ์ไฟฟ้าและวิทยุ'!$A$1:$AB$17</definedName>
    <definedName name="_xlnm.Print_Area" localSheetId="62">'27ครุภัณฑ์งานบ้านงานครัว'!$A$1:$AA$22</definedName>
    <definedName name="_xlnm.Print_Area" localSheetId="63">'28ครุภัณฑ์การเกษตร'!$A$1:$AA$24</definedName>
    <definedName name="_xlnm.Print_Area" localSheetId="64">'29ครุภัณฑ์ก่อสร้าง'!$A$1:$AB$18</definedName>
    <definedName name="_xlnm.Print_Area" localSheetId="37">'2วัสดุคอมพิวเตอร์'!$A$1:$AB$58</definedName>
    <definedName name="_xlnm.Print_Area" localSheetId="65">'30ครุภัณฑ์ยานพาหนะและขนส่ง'!$A$1:$AA$24</definedName>
    <definedName name="_xlnm.Print_Area" localSheetId="38">'3วัสดุวิทยาศาสตร์'!$A$1:$AA$90</definedName>
    <definedName name="_xlnm.Print_Area" localSheetId="39">'4วัสดุการแพทย์ทั่วไป'!$A$1:$AA$240</definedName>
    <definedName name="_xlnm.Print_Area" localSheetId="40">'5เวชภัณฑ์ยา'!$A$1:$AA$306</definedName>
    <definedName name="_xlnm.Print_Area" localSheetId="41">'6เวชภัณฑ์มิใช่ยา'!$A$1:$AA$17</definedName>
    <definedName name="_xlnm.Print_Area" localSheetId="42">'7ยาสมุนไพร'!$A$1:$AA$55</definedName>
    <definedName name="_xlnm.Print_Area" localSheetId="43">'8วัสดุทันตกรรม '!$A$1:$AA$244</definedName>
    <definedName name="_xlnm.Print_Area" localSheetId="44">'9วัสดุยานพาหนะ'!$A$1:$AB$22</definedName>
    <definedName name="_xlnm.Print_Area" localSheetId="25">'ค่าจ้าง พกส'!$A$1:$G$27</definedName>
    <definedName name="_xlnm.Print_Area" localSheetId="26">ค่าจ้างลูกจ้าง!$A$1:$G$37</definedName>
    <definedName name="_xlnm.Print_Area" localSheetId="30">ค่าตอบแทน!$A$1:$O$18</definedName>
    <definedName name="_xlnm.Print_Area" localSheetId="0">คำแนะนำ!$B$2:$B$122</definedName>
    <definedName name="_xlnm.Print_Area" localSheetId="31">งบลงทุนเงินบำรุง!$A$1:$T$80</definedName>
    <definedName name="_xlnm.Print_Area" localSheetId="28">ฉ11!$A$1:$Q$105</definedName>
    <definedName name="_xlnm.Print_Area" localSheetId="33">ซ่อมครุ.แพทย์!$A$1:$F$7</definedName>
    <definedName name="_xlnm.Print_Area" localSheetId="34">ซ่อมครุภัณฑ์อื่นๆ!$A$1:$F$7</definedName>
    <definedName name="_xlnm.Print_Area" localSheetId="32">ซ่อมยาน!$A$1:$F$7</definedName>
    <definedName name="_xlnm.Print_Area" localSheetId="24">'แผนรับจ่ายปีงบ 66 '!$A$1:$F$190</definedName>
    <definedName name="_xlnm.Print_Area" localSheetId="29">พตสนอกงบ!$A$1:$E$15</definedName>
    <definedName name="_xlnm.Print_Area" localSheetId="27">ไม่เวช!$A$1:$E$16</definedName>
    <definedName name="_xlnm.Print_Area" localSheetId="35">สรุปแผนเงินบำรุง!$A$1:$L$46</definedName>
    <definedName name="_xlnm.Print_Titles" localSheetId="11">'1.Planfin2566'!$1:$1</definedName>
    <definedName name="_xlnm.Print_Titles" localSheetId="45">'10วัสดุโฆษณา'!$1:$7</definedName>
    <definedName name="_xlnm.Print_Titles" localSheetId="46">'11วัสดุการเกษตร'!$1:$7</definedName>
    <definedName name="_xlnm.Print_Titles" localSheetId="20">'12.1 รายละเอียด แผน รพ.สต.'!$A:$C</definedName>
    <definedName name="_xlnm.Print_Titles" localSheetId="47">'12วัสดุเครื่องแต่งกาย'!$1:$7</definedName>
    <definedName name="_xlnm.Print_Titles" localSheetId="48">'13วัสดุงานบ้านงานครัว'!$1:$7</definedName>
    <definedName name="_xlnm.Print_Titles" localSheetId="68">'14.แผนรายรับรายจ่ายเงินบำรุง เด'!#REF!</definedName>
    <definedName name="_xlnm.Print_Titles" localSheetId="12">'14.แผนรายรับรายจ่ายเงินบำรุงฯ'!#REF!</definedName>
    <definedName name="_xlnm.Print_Titles" localSheetId="49">'14วัสดุบริโภค'!$1:$7</definedName>
    <definedName name="_xlnm.Print_Titles" localSheetId="50">'15วัสดุก่อสร้าง'!$1:$7</definedName>
    <definedName name="_xlnm.Print_Titles" localSheetId="51">'16วัสดุไฟฟ้าและวิทยุ'!$1:$7</definedName>
    <definedName name="_xlnm.Print_Titles" localSheetId="52">'17วัสดุเชื้อเพลิงและหล่อลื่น'!$1:$7</definedName>
    <definedName name="_xlnm.Print_Titles" localSheetId="53">'18ค่าสาธารณูปโภค'!$1:$7</definedName>
    <definedName name="_xlnm.Print_Titles" localSheetId="54">'19ค่าใช้สอย'!$1:$7</definedName>
    <definedName name="_xlnm.Print_Titles" localSheetId="36">'1วัสดุสำนักงาน'!$1:$7</definedName>
    <definedName name="_xlnm.Print_Titles" localSheetId="55">'20สิ่งก่อสร้าง'!$1:$7</definedName>
    <definedName name="_xlnm.Print_Titles" localSheetId="56">'21โครงการ'!$1:$7</definedName>
    <definedName name="_xlnm.Print_Titles" localSheetId="57">'22ครุภัณฑ์สำนักงาน'!$1:$7</definedName>
    <definedName name="_xlnm.Print_Titles" localSheetId="58">'23ครุภัณฑ์คอมพิวเตอร์'!$1:$7</definedName>
    <definedName name="_xlnm.Print_Titles" localSheetId="59">'24ครุภัณฑ์วิทยาศาสตร์'!$1:$7</definedName>
    <definedName name="_xlnm.Print_Titles" localSheetId="60">'25ครุภัณฑ์โฆษณาและเผยแพร่'!$1:$7</definedName>
    <definedName name="_xlnm.Print_Titles" localSheetId="61">'26ครุภัณฑ์ไฟฟ้าและวิทยุ'!$1:$7</definedName>
    <definedName name="_xlnm.Print_Titles" localSheetId="62">'27ครุภัณฑ์งานบ้านงานครัว'!$1:$7</definedName>
    <definedName name="_xlnm.Print_Titles" localSheetId="63">'28ครุภัณฑ์การเกษตร'!$1:$7</definedName>
    <definedName name="_xlnm.Print_Titles" localSheetId="64">'29ครุภัณฑ์ก่อสร้าง'!$1:$7</definedName>
    <definedName name="_xlnm.Print_Titles" localSheetId="37">'2วัสดุคอมพิวเตอร์'!$1:$7</definedName>
    <definedName name="_xlnm.Print_Titles" localSheetId="65">'30ครุภัณฑ์ยานพาหนะและขนส่ง'!$1:$7</definedName>
    <definedName name="_xlnm.Print_Titles" localSheetId="38">'3วัสดุวิทยาศาสตร์'!$1:$7</definedName>
    <definedName name="_xlnm.Print_Titles" localSheetId="39">'4วัสดุการแพทย์ทั่วไป'!$1:$7</definedName>
    <definedName name="_xlnm.Print_Titles" localSheetId="40">'5เวชภัณฑ์ยา'!$1:$7</definedName>
    <definedName name="_xlnm.Print_Titles" localSheetId="10">'6.WS-Re-Exp'!$1:$2</definedName>
    <definedName name="_xlnm.Print_Titles" localSheetId="41">'6เวชภัณฑ์มิใช่ยา'!$1:$7</definedName>
    <definedName name="_xlnm.Print_Titles" localSheetId="42">'7ยาสมุนไพร'!$1:$7</definedName>
    <definedName name="_xlnm.Print_Titles" localSheetId="43">'8วัสดุทันตกรรม '!$1:$7</definedName>
    <definedName name="_xlnm.Print_Titles" localSheetId="44">'9วัสดุยานพาหนะ'!$1:$7</definedName>
    <definedName name="_xlnm.Print_Titles" localSheetId="25">'ค่าจ้าง พกส'!$3:$3</definedName>
    <definedName name="_xlnm.Print_Titles" localSheetId="26">ค่าจ้างลูกจ้าง!$3:$3</definedName>
    <definedName name="_xlnm.Print_Titles" localSheetId="31">งบลงทุนเงินบำรุง!$3:$4</definedName>
    <definedName name="_xlnm.Print_Titles" localSheetId="28">ฉ11!$5:$5</definedName>
    <definedName name="_xlnm.Print_Titles" localSheetId="32">ซ่อมยาน!$1:$2</definedName>
    <definedName name="_xlnm.Print_Titles" localSheetId="24">'แผนรับจ่ายปีงบ 66 '!$3:$3</definedName>
    <definedName name="_xlnm.Print_Titles" localSheetId="35">สรุปแผนเงินบำรุง!$1:$6</definedName>
    <definedName name="Query2" localSheetId="68">#REF!</definedName>
    <definedName name="Query2">#REF!</definedName>
    <definedName name="SAPBEXsysID" hidden="1">"BWP"</definedName>
    <definedName name="still">#REF!</definedName>
    <definedName name="stillsum">#REF!</definedName>
    <definedName name="Z_ABA6FBD1_6196_431C_BA84_F127D313DB08_.wvu.Cols" localSheetId="31" hidden="1">งบลงทุนเงินบำรุง!$S:$S</definedName>
    <definedName name="Z_ABA6FBD1_6196_431C_BA84_F127D313DB08_.wvu.FilterData" localSheetId="31" hidden="1">งบลงทุนเงินบำรุง!$A$3:$T$64</definedName>
    <definedName name="Z_ABA6FBD1_6196_431C_BA84_F127D313DB08_.wvu.FilterData" localSheetId="28" hidden="1">ฉ11!$A$5:$S$55</definedName>
    <definedName name="Z_ABA6FBD1_6196_431C_BA84_F127D313DB08_.wvu.PrintArea" localSheetId="31" hidden="1">งบลงทุนเงินบำรุง!$A$1:$T$80</definedName>
    <definedName name="Z_ABA6FBD1_6196_431C_BA84_F127D313DB08_.wvu.PrintTitles" localSheetId="31" hidden="1">งบลงทุนเงินบำรุง!$1:$4</definedName>
    <definedName name="Z_ABA6FBD1_6196_431C_BA84_F127D313DB08_.wvu.PrintTitles" localSheetId="32" hidden="1">ซ่อมยาน!$1:$2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1" i="23" l="1"/>
  <c r="C10" i="23"/>
  <c r="C9" i="23"/>
  <c r="C8" i="23"/>
  <c r="C7" i="23"/>
  <c r="C6" i="23"/>
  <c r="C5" i="23"/>
  <c r="G34" i="53" l="1"/>
  <c r="G32" i="53"/>
  <c r="G35" i="53"/>
  <c r="H35" i="53" s="1"/>
  <c r="G26" i="53"/>
  <c r="G25" i="53"/>
  <c r="G24" i="53"/>
  <c r="G23" i="53"/>
  <c r="G22" i="53"/>
  <c r="G21" i="53"/>
  <c r="H34" i="53"/>
  <c r="H32" i="53"/>
  <c r="H26" i="53"/>
  <c r="H25" i="53"/>
  <c r="H24" i="53"/>
  <c r="H23" i="53"/>
  <c r="H22" i="53"/>
  <c r="H21" i="53"/>
  <c r="Q52" i="107"/>
  <c r="Q51" i="107"/>
  <c r="Q50" i="107"/>
  <c r="Q49" i="107"/>
  <c r="Q48" i="107"/>
  <c r="Q47" i="107"/>
  <c r="Q46" i="107"/>
  <c r="Q45" i="107"/>
  <c r="Q44" i="107"/>
  <c r="Q43" i="107"/>
  <c r="Q42" i="107"/>
  <c r="Q41" i="107"/>
  <c r="Q40" i="107"/>
  <c r="Q39" i="107"/>
  <c r="Q38" i="107"/>
  <c r="Q37" i="107"/>
  <c r="Q36" i="107"/>
  <c r="Q35" i="107"/>
  <c r="Q34" i="107"/>
  <c r="Q33" i="107"/>
  <c r="Q26" i="107"/>
  <c r="Q25" i="107"/>
  <c r="Q24" i="107"/>
  <c r="Q23" i="107"/>
  <c r="Q22" i="107"/>
  <c r="Q21" i="107"/>
  <c r="Q20" i="107"/>
  <c r="Q19" i="107"/>
  <c r="Q18" i="107"/>
  <c r="Q17" i="107"/>
  <c r="Q16" i="107"/>
  <c r="Q15" i="107"/>
  <c r="Q14" i="107"/>
  <c r="Q13" i="107"/>
  <c r="Q12" i="107"/>
  <c r="Q11" i="107"/>
  <c r="Q10" i="107"/>
  <c r="Q9" i="107"/>
  <c r="Q8" i="107"/>
  <c r="Q7" i="107"/>
  <c r="Q6" i="107"/>
  <c r="Q5" i="107"/>
  <c r="Q4" i="107"/>
  <c r="Q3" i="107"/>
  <c r="Q2" i="107"/>
  <c r="J45" i="106"/>
  <c r="I45" i="106"/>
  <c r="H45" i="106"/>
  <c r="G45" i="106"/>
  <c r="F45" i="106"/>
  <c r="E45" i="106"/>
  <c r="D45" i="106"/>
  <c r="V18" i="105"/>
  <c r="T18" i="105"/>
  <c r="R18" i="105"/>
  <c r="P18" i="105"/>
  <c r="N18" i="105"/>
  <c r="M18" i="105"/>
  <c r="L18" i="105"/>
  <c r="K18" i="105"/>
  <c r="J18" i="105"/>
  <c r="H18" i="105"/>
  <c r="F18" i="105"/>
  <c r="D18" i="105"/>
  <c r="X17" i="105"/>
  <c r="Y17" i="105" s="1"/>
  <c r="W17" i="105"/>
  <c r="U17" i="105"/>
  <c r="S17" i="105"/>
  <c r="Q17" i="105"/>
  <c r="O17" i="105"/>
  <c r="AB17" i="105" s="1"/>
  <c r="I17" i="105"/>
  <c r="G17" i="105"/>
  <c r="E17" i="105"/>
  <c r="X16" i="105"/>
  <c r="Y16" i="105" s="1"/>
  <c r="W16" i="105"/>
  <c r="U16" i="105"/>
  <c r="S16" i="105"/>
  <c r="Q16" i="105"/>
  <c r="O16" i="105"/>
  <c r="AB16" i="105" s="1"/>
  <c r="I16" i="105"/>
  <c r="G16" i="105"/>
  <c r="G18" i="105" s="1"/>
  <c r="E16" i="105"/>
  <c r="Y15" i="105"/>
  <c r="X15" i="105"/>
  <c r="W15" i="105"/>
  <c r="U15" i="105"/>
  <c r="S15" i="105"/>
  <c r="Q15" i="105"/>
  <c r="O15" i="105"/>
  <c r="AB15" i="105" s="1"/>
  <c r="I15" i="105"/>
  <c r="I18" i="105" s="1"/>
  <c r="G15" i="105"/>
  <c r="E15" i="105"/>
  <c r="X14" i="105"/>
  <c r="Y14" i="105" s="1"/>
  <c r="W14" i="105"/>
  <c r="U14" i="105"/>
  <c r="S14" i="105"/>
  <c r="Q14" i="105"/>
  <c r="O14" i="105"/>
  <c r="I14" i="105"/>
  <c r="G14" i="105"/>
  <c r="E14" i="105"/>
  <c r="X13" i="105"/>
  <c r="Y13" i="105" s="1"/>
  <c r="AB13" i="105" s="1"/>
  <c r="W13" i="105"/>
  <c r="U13" i="105"/>
  <c r="S13" i="105"/>
  <c r="Q13" i="105"/>
  <c r="O13" i="105"/>
  <c r="I13" i="105"/>
  <c r="G13" i="105"/>
  <c r="E13" i="105"/>
  <c r="Y12" i="105"/>
  <c r="AB12" i="105" s="1"/>
  <c r="X12" i="105"/>
  <c r="W12" i="105"/>
  <c r="U12" i="105"/>
  <c r="S12" i="105"/>
  <c r="Q12" i="105"/>
  <c r="O12" i="105"/>
  <c r="I12" i="105"/>
  <c r="G12" i="105"/>
  <c r="E12" i="105"/>
  <c r="X11" i="105"/>
  <c r="Y11" i="105" s="1"/>
  <c r="AB11" i="105" s="1"/>
  <c r="W11" i="105"/>
  <c r="U11" i="105"/>
  <c r="S11" i="105"/>
  <c r="Q11" i="105"/>
  <c r="O11" i="105"/>
  <c r="I11" i="105"/>
  <c r="G11" i="105"/>
  <c r="E11" i="105"/>
  <c r="Y10" i="105"/>
  <c r="AB10" i="105" s="1"/>
  <c r="X10" i="105"/>
  <c r="W10" i="105"/>
  <c r="U10" i="105"/>
  <c r="S10" i="105"/>
  <c r="Q10" i="105"/>
  <c r="O10" i="105"/>
  <c r="I10" i="105"/>
  <c r="G10" i="105"/>
  <c r="E10" i="105"/>
  <c r="X9" i="105"/>
  <c r="Y9" i="105" s="1"/>
  <c r="AB9" i="105" s="1"/>
  <c r="W9" i="105"/>
  <c r="U9" i="105"/>
  <c r="S9" i="105"/>
  <c r="Q9" i="105"/>
  <c r="O9" i="105"/>
  <c r="I9" i="105"/>
  <c r="G9" i="105"/>
  <c r="E9" i="105"/>
  <c r="X8" i="105"/>
  <c r="X18" i="105" s="1"/>
  <c r="W8" i="105"/>
  <c r="W18" i="105" s="1"/>
  <c r="U8" i="105"/>
  <c r="U18" i="105" s="1"/>
  <c r="S8" i="105"/>
  <c r="S18" i="105" s="1"/>
  <c r="Q8" i="105"/>
  <c r="Q18" i="105" s="1"/>
  <c r="O8" i="105"/>
  <c r="O18" i="105" s="1"/>
  <c r="I8" i="105"/>
  <c r="G8" i="105"/>
  <c r="E8" i="105"/>
  <c r="E18" i="105" s="1"/>
  <c r="V9" i="104"/>
  <c r="U9" i="104"/>
  <c r="T9" i="104"/>
  <c r="R9" i="104"/>
  <c r="P9" i="104"/>
  <c r="N9" i="104"/>
  <c r="M9" i="104"/>
  <c r="L9" i="104"/>
  <c r="K9" i="104"/>
  <c r="J9" i="104"/>
  <c r="I9" i="104"/>
  <c r="H9" i="104"/>
  <c r="F9" i="104"/>
  <c r="D9" i="104"/>
  <c r="X8" i="104"/>
  <c r="Y8" i="104" s="1"/>
  <c r="Y9" i="104" s="1"/>
  <c r="W8" i="104"/>
  <c r="W9" i="104" s="1"/>
  <c r="U8" i="104"/>
  <c r="S8" i="104"/>
  <c r="S9" i="104" s="1"/>
  <c r="Q8" i="104"/>
  <c r="Q9" i="104" s="1"/>
  <c r="O8" i="104"/>
  <c r="O9" i="104" s="1"/>
  <c r="AB9" i="104" s="1"/>
  <c r="I8" i="104"/>
  <c r="G8" i="104"/>
  <c r="G9" i="104" s="1"/>
  <c r="E8" i="104"/>
  <c r="E9" i="104" s="1"/>
  <c r="C35" i="75" s="1"/>
  <c r="N35" i="75" s="1"/>
  <c r="O35" i="75" s="1"/>
  <c r="P35" i="75" s="1"/>
  <c r="V18" i="103"/>
  <c r="T18" i="103"/>
  <c r="R18" i="103"/>
  <c r="P18" i="103"/>
  <c r="N18" i="103"/>
  <c r="M18" i="103"/>
  <c r="L18" i="103"/>
  <c r="K18" i="103"/>
  <c r="J18" i="103"/>
  <c r="H18" i="103"/>
  <c r="F18" i="103"/>
  <c r="D18" i="103"/>
  <c r="X17" i="103"/>
  <c r="Y17" i="103" s="1"/>
  <c r="W17" i="103"/>
  <c r="U17" i="103"/>
  <c r="S17" i="103"/>
  <c r="Q17" i="103"/>
  <c r="O17" i="103"/>
  <c r="I17" i="103"/>
  <c r="G17" i="103"/>
  <c r="E17" i="103"/>
  <c r="Y16" i="103"/>
  <c r="X16" i="103"/>
  <c r="W16" i="103"/>
  <c r="U16" i="103"/>
  <c r="S16" i="103"/>
  <c r="Q16" i="103"/>
  <c r="O16" i="103"/>
  <c r="AB16" i="103" s="1"/>
  <c r="I16" i="103"/>
  <c r="G16" i="103"/>
  <c r="E16" i="103"/>
  <c r="X15" i="103"/>
  <c r="Y15" i="103" s="1"/>
  <c r="W15" i="103"/>
  <c r="U15" i="103"/>
  <c r="S15" i="103"/>
  <c r="Q15" i="103"/>
  <c r="O15" i="103"/>
  <c r="I15" i="103"/>
  <c r="G15" i="103"/>
  <c r="E15" i="103"/>
  <c r="X14" i="103"/>
  <c r="Y14" i="103" s="1"/>
  <c r="AB14" i="103" s="1"/>
  <c r="W14" i="103"/>
  <c r="U14" i="103"/>
  <c r="S14" i="103"/>
  <c r="Q14" i="103"/>
  <c r="O14" i="103"/>
  <c r="I14" i="103"/>
  <c r="G14" i="103"/>
  <c r="E14" i="103"/>
  <c r="Y13" i="103"/>
  <c r="AB13" i="103" s="1"/>
  <c r="X13" i="103"/>
  <c r="W13" i="103"/>
  <c r="U13" i="103"/>
  <c r="S13" i="103"/>
  <c r="Q13" i="103"/>
  <c r="O13" i="103"/>
  <c r="I13" i="103"/>
  <c r="G13" i="103"/>
  <c r="E13" i="103"/>
  <c r="X12" i="103"/>
  <c r="Y12" i="103" s="1"/>
  <c r="AB12" i="103" s="1"/>
  <c r="W12" i="103"/>
  <c r="U12" i="103"/>
  <c r="S12" i="103"/>
  <c r="Q12" i="103"/>
  <c r="O12" i="103"/>
  <c r="I12" i="103"/>
  <c r="G12" i="103"/>
  <c r="E12" i="103"/>
  <c r="Y11" i="103"/>
  <c r="AB11" i="103" s="1"/>
  <c r="X11" i="103"/>
  <c r="W11" i="103"/>
  <c r="U11" i="103"/>
  <c r="S11" i="103"/>
  <c r="Q11" i="103"/>
  <c r="O11" i="103"/>
  <c r="I11" i="103"/>
  <c r="G11" i="103"/>
  <c r="E11" i="103"/>
  <c r="X10" i="103"/>
  <c r="Y10" i="103" s="1"/>
  <c r="AB10" i="103" s="1"/>
  <c r="W10" i="103"/>
  <c r="U10" i="103"/>
  <c r="S10" i="103"/>
  <c r="Q10" i="103"/>
  <c r="O10" i="103"/>
  <c r="I10" i="103"/>
  <c r="G10" i="103"/>
  <c r="E10" i="103"/>
  <c r="X9" i="103"/>
  <c r="Y9" i="103" s="1"/>
  <c r="AB9" i="103" s="1"/>
  <c r="W9" i="103"/>
  <c r="U9" i="103"/>
  <c r="S9" i="103"/>
  <c r="Q9" i="103"/>
  <c r="O9" i="103"/>
  <c r="I9" i="103"/>
  <c r="G9" i="103"/>
  <c r="E9" i="103"/>
  <c r="X8" i="103"/>
  <c r="X18" i="103" s="1"/>
  <c r="W8" i="103"/>
  <c r="W18" i="103" s="1"/>
  <c r="U8" i="103"/>
  <c r="U18" i="103" s="1"/>
  <c r="S8" i="103"/>
  <c r="S18" i="103" s="1"/>
  <c r="Q8" i="103"/>
  <c r="Q18" i="103" s="1"/>
  <c r="O8" i="103"/>
  <c r="O18" i="103" s="1"/>
  <c r="I8" i="103"/>
  <c r="I18" i="103" s="1"/>
  <c r="G8" i="103"/>
  <c r="G18" i="103" s="1"/>
  <c r="E8" i="103"/>
  <c r="E18" i="103" s="1"/>
  <c r="V14" i="102"/>
  <c r="T14" i="102"/>
  <c r="R14" i="102"/>
  <c r="P14" i="102"/>
  <c r="N14" i="102"/>
  <c r="M14" i="102"/>
  <c r="L14" i="102"/>
  <c r="K14" i="102"/>
  <c r="J14" i="102"/>
  <c r="H14" i="102"/>
  <c r="F14" i="102"/>
  <c r="D14" i="102"/>
  <c r="X13" i="102"/>
  <c r="Y13" i="102" s="1"/>
  <c r="AB13" i="102" s="1"/>
  <c r="Q13" i="102"/>
  <c r="X12" i="102"/>
  <c r="Y12" i="102" s="1"/>
  <c r="AB12" i="102" s="1"/>
  <c r="W12" i="102"/>
  <c r="U12" i="102"/>
  <c r="S12" i="102"/>
  <c r="Q12" i="102"/>
  <c r="O12" i="102"/>
  <c r="I12" i="102"/>
  <c r="G12" i="102"/>
  <c r="E12" i="102"/>
  <c r="X11" i="102"/>
  <c r="Y11" i="102" s="1"/>
  <c r="W11" i="102"/>
  <c r="U11" i="102"/>
  <c r="S11" i="102"/>
  <c r="S14" i="102" s="1"/>
  <c r="I33" i="75" s="1"/>
  <c r="Q11" i="102"/>
  <c r="O11" i="102"/>
  <c r="I11" i="102"/>
  <c r="G11" i="102"/>
  <c r="E11" i="102"/>
  <c r="X10" i="102"/>
  <c r="Y10" i="102" s="1"/>
  <c r="W10" i="102"/>
  <c r="U10" i="102"/>
  <c r="S10" i="102"/>
  <c r="O10" i="102"/>
  <c r="AB10" i="102" s="1"/>
  <c r="I10" i="102"/>
  <c r="G10" i="102"/>
  <c r="E10" i="102"/>
  <c r="X9" i="102"/>
  <c r="Y9" i="102" s="1"/>
  <c r="W9" i="102"/>
  <c r="U9" i="102"/>
  <c r="S9" i="102"/>
  <c r="O9" i="102"/>
  <c r="AB9" i="102" s="1"/>
  <c r="I9" i="102"/>
  <c r="G9" i="102"/>
  <c r="G14" i="102" s="1"/>
  <c r="E9" i="102"/>
  <c r="Y8" i="102"/>
  <c r="X8" i="102"/>
  <c r="W8" i="102"/>
  <c r="W14" i="102" s="1"/>
  <c r="K33" i="75" s="1"/>
  <c r="U8" i="102"/>
  <c r="U14" i="102" s="1"/>
  <c r="S8" i="102"/>
  <c r="Q8" i="102"/>
  <c r="Q14" i="102" s="1"/>
  <c r="O8" i="102"/>
  <c r="AB8" i="102" s="1"/>
  <c r="I8" i="102"/>
  <c r="I14" i="102" s="1"/>
  <c r="G8" i="102"/>
  <c r="E8" i="102"/>
  <c r="E14" i="102" s="1"/>
  <c r="V9" i="101"/>
  <c r="U9" i="101"/>
  <c r="T9" i="101"/>
  <c r="S9" i="101"/>
  <c r="R9" i="101"/>
  <c r="Q9" i="101"/>
  <c r="P9" i="101"/>
  <c r="O9" i="101"/>
  <c r="N9" i="101"/>
  <c r="M9" i="101"/>
  <c r="L9" i="101"/>
  <c r="K9" i="101"/>
  <c r="J9" i="101"/>
  <c r="I9" i="101"/>
  <c r="H9" i="101"/>
  <c r="F9" i="101"/>
  <c r="D9" i="101"/>
  <c r="X8" i="101"/>
  <c r="Y8" i="101" s="1"/>
  <c r="W8" i="101"/>
  <c r="W9" i="101" s="1"/>
  <c r="U8" i="101"/>
  <c r="S8" i="101"/>
  <c r="Q8" i="101"/>
  <c r="O8" i="101"/>
  <c r="I8" i="101"/>
  <c r="G8" i="101"/>
  <c r="G9" i="101" s="1"/>
  <c r="E8" i="101"/>
  <c r="E9" i="101" s="1"/>
  <c r="V18" i="100"/>
  <c r="T18" i="100"/>
  <c r="R18" i="100"/>
  <c r="P18" i="100"/>
  <c r="N18" i="100"/>
  <c r="M18" i="100"/>
  <c r="L18" i="100"/>
  <c r="K18" i="100"/>
  <c r="J18" i="100"/>
  <c r="H18" i="100"/>
  <c r="F18" i="100"/>
  <c r="D18" i="100"/>
  <c r="X17" i="100"/>
  <c r="Y17" i="100" s="1"/>
  <c r="AB17" i="100" s="1"/>
  <c r="W17" i="100"/>
  <c r="U17" i="100"/>
  <c r="S17" i="100"/>
  <c r="Q17" i="100"/>
  <c r="O17" i="100"/>
  <c r="I17" i="100"/>
  <c r="G17" i="100"/>
  <c r="E17" i="100"/>
  <c r="Y16" i="100"/>
  <c r="AB16" i="100" s="1"/>
  <c r="X16" i="100"/>
  <c r="W16" i="100"/>
  <c r="U16" i="100"/>
  <c r="S16" i="100"/>
  <c r="Q16" i="100"/>
  <c r="O16" i="100"/>
  <c r="I16" i="100"/>
  <c r="G16" i="100"/>
  <c r="E16" i="100"/>
  <c r="X15" i="100"/>
  <c r="Y15" i="100" s="1"/>
  <c r="W15" i="100"/>
  <c r="U15" i="100"/>
  <c r="S15" i="100"/>
  <c r="Q15" i="100"/>
  <c r="O15" i="100"/>
  <c r="AB15" i="100" s="1"/>
  <c r="I15" i="100"/>
  <c r="G15" i="100"/>
  <c r="E15" i="100"/>
  <c r="X14" i="100"/>
  <c r="Y14" i="100" s="1"/>
  <c r="W14" i="100"/>
  <c r="U14" i="100"/>
  <c r="S14" i="100"/>
  <c r="Q14" i="100"/>
  <c r="O14" i="100"/>
  <c r="AB14" i="100" s="1"/>
  <c r="I14" i="100"/>
  <c r="G14" i="100"/>
  <c r="E14" i="100"/>
  <c r="AB13" i="100"/>
  <c r="Y13" i="100"/>
  <c r="X13" i="100"/>
  <c r="W13" i="100"/>
  <c r="U13" i="100"/>
  <c r="S13" i="100"/>
  <c r="Q13" i="100"/>
  <c r="O13" i="100"/>
  <c r="I13" i="100"/>
  <c r="G13" i="100"/>
  <c r="E13" i="100"/>
  <c r="Y12" i="100"/>
  <c r="X12" i="100"/>
  <c r="W12" i="100"/>
  <c r="U12" i="100"/>
  <c r="S12" i="100"/>
  <c r="Q12" i="100"/>
  <c r="O12" i="100"/>
  <c r="AB12" i="100" s="1"/>
  <c r="I12" i="100"/>
  <c r="G12" i="100"/>
  <c r="E12" i="100"/>
  <c r="X11" i="100"/>
  <c r="Y11" i="100" s="1"/>
  <c r="W11" i="100"/>
  <c r="U11" i="100"/>
  <c r="S11" i="100"/>
  <c r="Q11" i="100"/>
  <c r="O11" i="100"/>
  <c r="I11" i="100"/>
  <c r="G11" i="100"/>
  <c r="E11" i="100"/>
  <c r="X10" i="100"/>
  <c r="Y10" i="100" s="1"/>
  <c r="W10" i="100"/>
  <c r="U10" i="100"/>
  <c r="S10" i="100"/>
  <c r="Q10" i="100"/>
  <c r="O10" i="100"/>
  <c r="AB10" i="100" s="1"/>
  <c r="I10" i="100"/>
  <c r="G10" i="100"/>
  <c r="E10" i="100"/>
  <c r="Y9" i="100"/>
  <c r="X9" i="100"/>
  <c r="W9" i="100"/>
  <c r="U9" i="100"/>
  <c r="S9" i="100"/>
  <c r="Q9" i="100"/>
  <c r="O9" i="100"/>
  <c r="AB9" i="100" s="1"/>
  <c r="I9" i="100"/>
  <c r="G9" i="100"/>
  <c r="E9" i="100"/>
  <c r="X8" i="100"/>
  <c r="X18" i="100" s="1"/>
  <c r="W8" i="100"/>
  <c r="W18" i="100" s="1"/>
  <c r="U8" i="100"/>
  <c r="U18" i="100" s="1"/>
  <c r="S8" i="100"/>
  <c r="S18" i="100" s="1"/>
  <c r="Q8" i="100"/>
  <c r="Q18" i="100" s="1"/>
  <c r="O8" i="100"/>
  <c r="I8" i="100"/>
  <c r="I18" i="100" s="1"/>
  <c r="G8" i="100"/>
  <c r="G18" i="100" s="1"/>
  <c r="E8" i="100"/>
  <c r="E18" i="100" s="1"/>
  <c r="V33" i="99"/>
  <c r="T33" i="99"/>
  <c r="R33" i="99"/>
  <c r="P33" i="99"/>
  <c r="N33" i="99"/>
  <c r="M33" i="99"/>
  <c r="K33" i="99"/>
  <c r="J33" i="99"/>
  <c r="H33" i="99"/>
  <c r="F33" i="99"/>
  <c r="D33" i="99"/>
  <c r="X32" i="99"/>
  <c r="Y32" i="99" s="1"/>
  <c r="AC32" i="99" s="1"/>
  <c r="W32" i="99"/>
  <c r="U32" i="99"/>
  <c r="S32" i="99"/>
  <c r="O32" i="99"/>
  <c r="X31" i="99"/>
  <c r="Y31" i="99" s="1"/>
  <c r="S31" i="99"/>
  <c r="Q31" i="99"/>
  <c r="O31" i="99"/>
  <c r="AC31" i="99" s="1"/>
  <c r="Y30" i="99"/>
  <c r="X30" i="99"/>
  <c r="W30" i="99"/>
  <c r="S30" i="99"/>
  <c r="Q30" i="99"/>
  <c r="O30" i="99"/>
  <c r="AC30" i="99" s="1"/>
  <c r="I30" i="99"/>
  <c r="G30" i="99"/>
  <c r="E30" i="99"/>
  <c r="Y29" i="99"/>
  <c r="AC29" i="99" s="1"/>
  <c r="X29" i="99"/>
  <c r="W29" i="99"/>
  <c r="S29" i="99"/>
  <c r="Q29" i="99"/>
  <c r="O29" i="99"/>
  <c r="I29" i="99"/>
  <c r="G29" i="99"/>
  <c r="E29" i="99"/>
  <c r="X28" i="99"/>
  <c r="Y28" i="99" s="1"/>
  <c r="AC28" i="99" s="1"/>
  <c r="W28" i="99"/>
  <c r="U28" i="99"/>
  <c r="S28" i="99"/>
  <c r="Q28" i="99"/>
  <c r="O28" i="99"/>
  <c r="I28" i="99"/>
  <c r="G28" i="99"/>
  <c r="E28" i="99"/>
  <c r="X27" i="99"/>
  <c r="Y27" i="99" s="1"/>
  <c r="AB27" i="99" s="1"/>
  <c r="W27" i="99"/>
  <c r="U27" i="99"/>
  <c r="S27" i="99"/>
  <c r="Q27" i="99"/>
  <c r="O27" i="99"/>
  <c r="I27" i="99"/>
  <c r="G27" i="99"/>
  <c r="E27" i="99"/>
  <c r="X26" i="99"/>
  <c r="Y26" i="99" s="1"/>
  <c r="AB26" i="99" s="1"/>
  <c r="W26" i="99"/>
  <c r="U26" i="99"/>
  <c r="S26" i="99"/>
  <c r="Q26" i="99"/>
  <c r="O26" i="99"/>
  <c r="AC26" i="99" s="1"/>
  <c r="I26" i="99"/>
  <c r="G26" i="99"/>
  <c r="E26" i="99"/>
  <c r="X25" i="99"/>
  <c r="Y25" i="99" s="1"/>
  <c r="AB25" i="99" s="1"/>
  <c r="W25" i="99"/>
  <c r="U25" i="99"/>
  <c r="S25" i="99"/>
  <c r="Q25" i="99"/>
  <c r="O25" i="99"/>
  <c r="AC25" i="99" s="1"/>
  <c r="I25" i="99"/>
  <c r="G25" i="99"/>
  <c r="E25" i="99"/>
  <c r="X24" i="99"/>
  <c r="Y24" i="99" s="1"/>
  <c r="AB24" i="99" s="1"/>
  <c r="W24" i="99"/>
  <c r="U24" i="99"/>
  <c r="S24" i="99"/>
  <c r="Q24" i="99"/>
  <c r="O24" i="99"/>
  <c r="AC24" i="99" s="1"/>
  <c r="I24" i="99"/>
  <c r="E24" i="99"/>
  <c r="X23" i="99"/>
  <c r="Y23" i="99" s="1"/>
  <c r="AC23" i="99" s="1"/>
  <c r="W23" i="99"/>
  <c r="U23" i="99"/>
  <c r="S23" i="99"/>
  <c r="Q23" i="99"/>
  <c r="O23" i="99"/>
  <c r="AB23" i="99" s="1"/>
  <c r="I23" i="99"/>
  <c r="G23" i="99"/>
  <c r="E23" i="99"/>
  <c r="X22" i="99"/>
  <c r="Y22" i="99" s="1"/>
  <c r="AC22" i="99" s="1"/>
  <c r="W22" i="99"/>
  <c r="U22" i="99"/>
  <c r="S22" i="99"/>
  <c r="Q22" i="99"/>
  <c r="O22" i="99"/>
  <c r="I22" i="99"/>
  <c r="G22" i="99"/>
  <c r="E22" i="99"/>
  <c r="X21" i="99"/>
  <c r="Y21" i="99" s="1"/>
  <c r="AC21" i="99" s="1"/>
  <c r="W21" i="99"/>
  <c r="U21" i="99"/>
  <c r="S21" i="99"/>
  <c r="Q21" i="99"/>
  <c r="O21" i="99"/>
  <c r="I21" i="99"/>
  <c r="G21" i="99"/>
  <c r="E21" i="99"/>
  <c r="X20" i="99"/>
  <c r="Y20" i="99" s="1"/>
  <c r="W20" i="99"/>
  <c r="U20" i="99"/>
  <c r="S20" i="99"/>
  <c r="Q20" i="99"/>
  <c r="O20" i="99"/>
  <c r="L20" i="99"/>
  <c r="I20" i="99"/>
  <c r="G20" i="99"/>
  <c r="E20" i="99"/>
  <c r="X19" i="99"/>
  <c r="Y19" i="99" s="1"/>
  <c r="W19" i="99"/>
  <c r="U19" i="99"/>
  <c r="S19" i="99"/>
  <c r="Q19" i="99"/>
  <c r="O19" i="99"/>
  <c r="L19" i="99"/>
  <c r="I19" i="99"/>
  <c r="G19" i="99"/>
  <c r="E19" i="99"/>
  <c r="X18" i="99"/>
  <c r="Y18" i="99" s="1"/>
  <c r="W18" i="99"/>
  <c r="U18" i="99"/>
  <c r="S18" i="99"/>
  <c r="Q18" i="99"/>
  <c r="O18" i="99"/>
  <c r="AC18" i="99" s="1"/>
  <c r="L18" i="99"/>
  <c r="I18" i="99"/>
  <c r="G18" i="99"/>
  <c r="E18" i="99"/>
  <c r="X17" i="99"/>
  <c r="Y17" i="99" s="1"/>
  <c r="W17" i="99"/>
  <c r="U17" i="99"/>
  <c r="S17" i="99"/>
  <c r="Q17" i="99"/>
  <c r="O17" i="99"/>
  <c r="L17" i="99"/>
  <c r="I17" i="99"/>
  <c r="G17" i="99"/>
  <c r="E17" i="99"/>
  <c r="X16" i="99"/>
  <c r="Y16" i="99" s="1"/>
  <c r="W16" i="99"/>
  <c r="U16" i="99"/>
  <c r="S16" i="99"/>
  <c r="Q16" i="99"/>
  <c r="O16" i="99"/>
  <c r="AC16" i="99" s="1"/>
  <c r="L16" i="99"/>
  <c r="I16" i="99"/>
  <c r="G16" i="99"/>
  <c r="E16" i="99"/>
  <c r="X15" i="99"/>
  <c r="Y15" i="99" s="1"/>
  <c r="W15" i="99"/>
  <c r="U15" i="99"/>
  <c r="S15" i="99"/>
  <c r="Q15" i="99"/>
  <c r="O15" i="99"/>
  <c r="L15" i="99"/>
  <c r="I15" i="99"/>
  <c r="G15" i="99"/>
  <c r="E15" i="99"/>
  <c r="X14" i="99"/>
  <c r="Y14" i="99" s="1"/>
  <c r="W14" i="99"/>
  <c r="U14" i="99"/>
  <c r="S14" i="99"/>
  <c r="Q14" i="99"/>
  <c r="O14" i="99"/>
  <c r="L14" i="99"/>
  <c r="I14" i="99"/>
  <c r="G14" i="99"/>
  <c r="E14" i="99"/>
  <c r="X13" i="99"/>
  <c r="Y13" i="99" s="1"/>
  <c r="W13" i="99"/>
  <c r="U13" i="99"/>
  <c r="S13" i="99"/>
  <c r="Q13" i="99"/>
  <c r="O13" i="99"/>
  <c r="L13" i="99"/>
  <c r="I13" i="99"/>
  <c r="G13" i="99"/>
  <c r="E13" i="99"/>
  <c r="X12" i="99"/>
  <c r="Y12" i="99" s="1"/>
  <c r="W12" i="99"/>
  <c r="U12" i="99"/>
  <c r="S12" i="99"/>
  <c r="Q12" i="99"/>
  <c r="O12" i="99"/>
  <c r="AC12" i="99" s="1"/>
  <c r="L12" i="99"/>
  <c r="I12" i="99"/>
  <c r="G12" i="99"/>
  <c r="E12" i="99"/>
  <c r="X11" i="99"/>
  <c r="Y11" i="99" s="1"/>
  <c r="W11" i="99"/>
  <c r="U11" i="99"/>
  <c r="S11" i="99"/>
  <c r="Q11" i="99"/>
  <c r="O11" i="99"/>
  <c r="L11" i="99"/>
  <c r="I11" i="99"/>
  <c r="G11" i="99"/>
  <c r="E11" i="99"/>
  <c r="X10" i="99"/>
  <c r="Y10" i="99" s="1"/>
  <c r="W10" i="99"/>
  <c r="U10" i="99"/>
  <c r="S10" i="99"/>
  <c r="Q10" i="99"/>
  <c r="O10" i="99"/>
  <c r="AC10" i="99" s="1"/>
  <c r="L10" i="99"/>
  <c r="I10" i="99"/>
  <c r="G10" i="99"/>
  <c r="E10" i="99"/>
  <c r="X9" i="99"/>
  <c r="Y9" i="99" s="1"/>
  <c r="W9" i="99"/>
  <c r="U9" i="99"/>
  <c r="S9" i="99"/>
  <c r="Q9" i="99"/>
  <c r="O9" i="99"/>
  <c r="L9" i="99"/>
  <c r="I9" i="99"/>
  <c r="G9" i="99"/>
  <c r="E9" i="99"/>
  <c r="X8" i="99"/>
  <c r="X33" i="99" s="1"/>
  <c r="W8" i="99"/>
  <c r="W33" i="99" s="1"/>
  <c r="U8" i="99"/>
  <c r="U33" i="99" s="1"/>
  <c r="J30" i="75" s="1"/>
  <c r="S8" i="99"/>
  <c r="S33" i="99" s="1"/>
  <c r="Q8" i="99"/>
  <c r="Q33" i="99" s="1"/>
  <c r="O8" i="99"/>
  <c r="L8" i="99"/>
  <c r="L33" i="99" s="1"/>
  <c r="I8" i="99"/>
  <c r="I33" i="99" s="1"/>
  <c r="G8" i="99"/>
  <c r="G33" i="99" s="1"/>
  <c r="E8" i="99"/>
  <c r="E33" i="99" s="1"/>
  <c r="V14" i="98"/>
  <c r="T14" i="98"/>
  <c r="R14" i="98"/>
  <c r="P14" i="98"/>
  <c r="N14" i="98"/>
  <c r="M14" i="98"/>
  <c r="L14" i="98"/>
  <c r="K14" i="98"/>
  <c r="J14" i="98"/>
  <c r="H14" i="98"/>
  <c r="F14" i="98"/>
  <c r="D14" i="98"/>
  <c r="X13" i="98"/>
  <c r="AC13" i="98" s="1"/>
  <c r="W13" i="98"/>
  <c r="U13" i="98"/>
  <c r="S13" i="98"/>
  <c r="Q13" i="98"/>
  <c r="O13" i="98"/>
  <c r="I13" i="98"/>
  <c r="G13" i="98"/>
  <c r="E13" i="98"/>
  <c r="AC12" i="98"/>
  <c r="Y12" i="98"/>
  <c r="X12" i="98"/>
  <c r="W12" i="98"/>
  <c r="U12" i="98"/>
  <c r="S12" i="98"/>
  <c r="Q12" i="98"/>
  <c r="O12" i="98"/>
  <c r="I12" i="98"/>
  <c r="G12" i="98"/>
  <c r="E12" i="98"/>
  <c r="AC11" i="98"/>
  <c r="Y11" i="98"/>
  <c r="X11" i="98"/>
  <c r="W11" i="98"/>
  <c r="U11" i="98"/>
  <c r="S11" i="98"/>
  <c r="Q11" i="98"/>
  <c r="O11" i="98"/>
  <c r="I11" i="98"/>
  <c r="G11" i="98"/>
  <c r="E11" i="98"/>
  <c r="Y9" i="98"/>
  <c r="X9" i="98"/>
  <c r="AC9" i="98" s="1"/>
  <c r="W9" i="98"/>
  <c r="U9" i="98"/>
  <c r="S9" i="98"/>
  <c r="Q9" i="98"/>
  <c r="O9" i="98"/>
  <c r="AB9" i="98" s="1"/>
  <c r="I9" i="98"/>
  <c r="G9" i="98"/>
  <c r="E9" i="98"/>
  <c r="AC8" i="98"/>
  <c r="AB8" i="98"/>
  <c r="Y8" i="98"/>
  <c r="W8" i="98"/>
  <c r="W14" i="98" s="1"/>
  <c r="U8" i="98"/>
  <c r="U14" i="98" s="1"/>
  <c r="S8" i="98"/>
  <c r="S14" i="98" s="1"/>
  <c r="Q8" i="98"/>
  <c r="Q14" i="98" s="1"/>
  <c r="O8" i="98"/>
  <c r="O14" i="98" s="1"/>
  <c r="I8" i="98"/>
  <c r="I14" i="98" s="1"/>
  <c r="G8" i="98"/>
  <c r="G14" i="98" s="1"/>
  <c r="E8" i="98"/>
  <c r="E14" i="98" s="1"/>
  <c r="V20" i="97"/>
  <c r="T20" i="97"/>
  <c r="R20" i="97"/>
  <c r="P20" i="97"/>
  <c r="N20" i="97"/>
  <c r="M20" i="97"/>
  <c r="K20" i="97"/>
  <c r="J20" i="97"/>
  <c r="H20" i="97"/>
  <c r="F20" i="97"/>
  <c r="D20" i="97"/>
  <c r="Y19" i="97"/>
  <c r="AB19" i="97" s="1"/>
  <c r="X19" i="97"/>
  <c r="W19" i="97"/>
  <c r="U19" i="97"/>
  <c r="S19" i="97"/>
  <c r="Q19" i="97"/>
  <c r="O19" i="97"/>
  <c r="AC19" i="97" s="1"/>
  <c r="I19" i="97"/>
  <c r="G19" i="97"/>
  <c r="E19" i="97"/>
  <c r="Y18" i="97"/>
  <c r="AB18" i="97" s="1"/>
  <c r="X18" i="97"/>
  <c r="W18" i="97"/>
  <c r="U18" i="97"/>
  <c r="S18" i="97"/>
  <c r="Q18" i="97"/>
  <c r="O18" i="97"/>
  <c r="AC18" i="97" s="1"/>
  <c r="I18" i="97"/>
  <c r="G18" i="97"/>
  <c r="E18" i="97"/>
  <c r="Y17" i="97"/>
  <c r="AB17" i="97" s="1"/>
  <c r="X17" i="97"/>
  <c r="W17" i="97"/>
  <c r="U17" i="97"/>
  <c r="S17" i="97"/>
  <c r="Q17" i="97"/>
  <c r="O17" i="97"/>
  <c r="AC17" i="97" s="1"/>
  <c r="L17" i="97"/>
  <c r="I17" i="97"/>
  <c r="G17" i="97"/>
  <c r="E17" i="97"/>
  <c r="Y16" i="97"/>
  <c r="X16" i="97"/>
  <c r="W16" i="97"/>
  <c r="U16" i="97"/>
  <c r="S16" i="97"/>
  <c r="Q16" i="97"/>
  <c r="O16" i="97"/>
  <c r="AC16" i="97" s="1"/>
  <c r="L16" i="97"/>
  <c r="I16" i="97"/>
  <c r="G16" i="97"/>
  <c r="E16" i="97"/>
  <c r="AC15" i="97"/>
  <c r="Y15" i="97"/>
  <c r="X15" i="97"/>
  <c r="S15" i="97"/>
  <c r="Q15" i="97"/>
  <c r="O15" i="97"/>
  <c r="L15" i="97"/>
  <c r="I15" i="97"/>
  <c r="G15" i="97"/>
  <c r="E15" i="97"/>
  <c r="X14" i="97"/>
  <c r="Y14" i="97" s="1"/>
  <c r="U14" i="97"/>
  <c r="S14" i="97"/>
  <c r="Q14" i="97"/>
  <c r="O14" i="97"/>
  <c r="AC14" i="97" s="1"/>
  <c r="L14" i="97"/>
  <c r="I14" i="97"/>
  <c r="G14" i="97"/>
  <c r="E14" i="97"/>
  <c r="X13" i="97"/>
  <c r="Y13" i="97" s="1"/>
  <c r="AC13" i="97" s="1"/>
  <c r="W13" i="97"/>
  <c r="U13" i="97"/>
  <c r="S13" i="97"/>
  <c r="Q13" i="97"/>
  <c r="O13" i="97"/>
  <c r="L13" i="97"/>
  <c r="I13" i="97"/>
  <c r="G13" i="97"/>
  <c r="E13" i="97"/>
  <c r="Y12" i="97"/>
  <c r="AB12" i="97" s="1"/>
  <c r="X12" i="97"/>
  <c r="W12" i="97"/>
  <c r="U12" i="97"/>
  <c r="S12" i="97"/>
  <c r="Q12" i="97"/>
  <c r="O12" i="97"/>
  <c r="AC12" i="97" s="1"/>
  <c r="L12" i="97"/>
  <c r="I12" i="97"/>
  <c r="G12" i="97"/>
  <c r="E12" i="97"/>
  <c r="Y11" i="97"/>
  <c r="X11" i="97"/>
  <c r="W11" i="97"/>
  <c r="U11" i="97"/>
  <c r="S11" i="97"/>
  <c r="Q11" i="97"/>
  <c r="O11" i="97"/>
  <c r="AC11" i="97" s="1"/>
  <c r="L11" i="97"/>
  <c r="I11" i="97"/>
  <c r="G11" i="97"/>
  <c r="E11" i="97"/>
  <c r="X10" i="97"/>
  <c r="Y10" i="97" s="1"/>
  <c r="W10" i="97"/>
  <c r="U10" i="97"/>
  <c r="S10" i="97"/>
  <c r="Q10" i="97"/>
  <c r="O10" i="97"/>
  <c r="L10" i="97"/>
  <c r="I10" i="97"/>
  <c r="G10" i="97"/>
  <c r="E10" i="97"/>
  <c r="X9" i="97"/>
  <c r="Y9" i="97" s="1"/>
  <c r="W9" i="97"/>
  <c r="U9" i="97"/>
  <c r="S9" i="97"/>
  <c r="Q9" i="97"/>
  <c r="O9" i="97"/>
  <c r="AC9" i="97" s="1"/>
  <c r="L9" i="97"/>
  <c r="I9" i="97"/>
  <c r="G9" i="97"/>
  <c r="E9" i="97"/>
  <c r="Y8" i="97"/>
  <c r="X8" i="97"/>
  <c r="X20" i="97" s="1"/>
  <c r="W8" i="97"/>
  <c r="W20" i="97" s="1"/>
  <c r="U8" i="97"/>
  <c r="U20" i="97" s="1"/>
  <c r="S8" i="97"/>
  <c r="S20" i="97" s="1"/>
  <c r="Q8" i="97"/>
  <c r="Q20" i="97" s="1"/>
  <c r="O8" i="97"/>
  <c r="O20" i="97" s="1"/>
  <c r="L8" i="97"/>
  <c r="L20" i="97" s="1"/>
  <c r="I8" i="97"/>
  <c r="I20" i="97" s="1"/>
  <c r="E28" i="75" s="1"/>
  <c r="N28" i="75" s="1"/>
  <c r="O28" i="75" s="1"/>
  <c r="G8" i="97"/>
  <c r="G20" i="97" s="1"/>
  <c r="E8" i="97"/>
  <c r="E20" i="97" s="1"/>
  <c r="V15" i="96"/>
  <c r="T15" i="96"/>
  <c r="R15" i="96"/>
  <c r="P15" i="96"/>
  <c r="N15" i="96"/>
  <c r="M15" i="96"/>
  <c r="L15" i="96"/>
  <c r="K15" i="96"/>
  <c r="J15" i="96"/>
  <c r="H15" i="96"/>
  <c r="F15" i="96"/>
  <c r="D15" i="96"/>
  <c r="X14" i="96"/>
  <c r="Y14" i="96" s="1"/>
  <c r="W14" i="96"/>
  <c r="U14" i="96"/>
  <c r="S14" i="96"/>
  <c r="Q14" i="96"/>
  <c r="O14" i="96"/>
  <c r="AB14" i="96" s="1"/>
  <c r="I14" i="96"/>
  <c r="G14" i="96"/>
  <c r="E14" i="96"/>
  <c r="X13" i="96"/>
  <c r="Y13" i="96" s="1"/>
  <c r="AB13" i="96" s="1"/>
  <c r="W13" i="96"/>
  <c r="U13" i="96"/>
  <c r="S13" i="96"/>
  <c r="Q13" i="96"/>
  <c r="O13" i="96"/>
  <c r="I13" i="96"/>
  <c r="G13" i="96"/>
  <c r="E13" i="96"/>
  <c r="Y12" i="96"/>
  <c r="X12" i="96"/>
  <c r="W12" i="96"/>
  <c r="U12" i="96"/>
  <c r="S12" i="96"/>
  <c r="Q12" i="96"/>
  <c r="O12" i="96"/>
  <c r="AB12" i="96" s="1"/>
  <c r="I12" i="96"/>
  <c r="G12" i="96"/>
  <c r="E12" i="96"/>
  <c r="Y11" i="96"/>
  <c r="AB11" i="96" s="1"/>
  <c r="X11" i="96"/>
  <c r="W11" i="96"/>
  <c r="U11" i="96"/>
  <c r="S11" i="96"/>
  <c r="Q11" i="96"/>
  <c r="O11" i="96"/>
  <c r="I11" i="96"/>
  <c r="G11" i="96"/>
  <c r="E11" i="96"/>
  <c r="X10" i="96"/>
  <c r="Y10" i="96" s="1"/>
  <c r="W10" i="96"/>
  <c r="U10" i="96"/>
  <c r="S10" i="96"/>
  <c r="Q10" i="96"/>
  <c r="O10" i="96"/>
  <c r="AB10" i="96" s="1"/>
  <c r="I10" i="96"/>
  <c r="G10" i="96"/>
  <c r="E10" i="96"/>
  <c r="X9" i="96"/>
  <c r="Y9" i="96" s="1"/>
  <c r="W9" i="96"/>
  <c r="U9" i="96"/>
  <c r="S9" i="96"/>
  <c r="Q9" i="96"/>
  <c r="O9" i="96"/>
  <c r="AB9" i="96" s="1"/>
  <c r="I9" i="96"/>
  <c r="G9" i="96"/>
  <c r="E9" i="96"/>
  <c r="E15" i="96" s="1"/>
  <c r="Y8" i="96"/>
  <c r="AB8" i="96" s="1"/>
  <c r="W8" i="96"/>
  <c r="W15" i="96" s="1"/>
  <c r="K27" i="75" s="1"/>
  <c r="U8" i="96"/>
  <c r="U15" i="96" s="1"/>
  <c r="S8" i="96"/>
  <c r="S15" i="96" s="1"/>
  <c r="Q8" i="96"/>
  <c r="Q15" i="96" s="1"/>
  <c r="O8" i="96"/>
  <c r="O15" i="96" s="1"/>
  <c r="I8" i="96"/>
  <c r="I15" i="96" s="1"/>
  <c r="G8" i="96"/>
  <c r="G15" i="96" s="1"/>
  <c r="E8" i="96"/>
  <c r="V18" i="95"/>
  <c r="T18" i="95"/>
  <c r="R18" i="95"/>
  <c r="P18" i="95"/>
  <c r="N18" i="95"/>
  <c r="M18" i="95"/>
  <c r="L18" i="95"/>
  <c r="K18" i="95"/>
  <c r="J18" i="95"/>
  <c r="I18" i="95"/>
  <c r="H18" i="95"/>
  <c r="G18" i="95"/>
  <c r="F18" i="95"/>
  <c r="E18" i="95"/>
  <c r="D18" i="95"/>
  <c r="X17" i="95"/>
  <c r="Y17" i="95" s="1"/>
  <c r="Q17" i="95"/>
  <c r="O17" i="95"/>
  <c r="Y16" i="95"/>
  <c r="X16" i="95"/>
  <c r="Q16" i="95"/>
  <c r="O16" i="95"/>
  <c r="X15" i="95"/>
  <c r="Y15" i="95" s="1"/>
  <c r="AB15" i="95" s="1"/>
  <c r="W15" i="95"/>
  <c r="U15" i="95"/>
  <c r="S15" i="95"/>
  <c r="Q15" i="95"/>
  <c r="O15" i="95"/>
  <c r="Y14" i="95"/>
  <c r="X14" i="95"/>
  <c r="W14" i="95"/>
  <c r="U14" i="95"/>
  <c r="S14" i="95"/>
  <c r="Q14" i="95"/>
  <c r="O14" i="95"/>
  <c r="Y13" i="95"/>
  <c r="X13" i="95"/>
  <c r="W13" i="95"/>
  <c r="U13" i="95"/>
  <c r="S13" i="95"/>
  <c r="Q13" i="95"/>
  <c r="O13" i="95"/>
  <c r="X12" i="95"/>
  <c r="Y12" i="95" s="1"/>
  <c r="W12" i="95"/>
  <c r="U12" i="95"/>
  <c r="S12" i="95"/>
  <c r="Q12" i="95"/>
  <c r="O12" i="95"/>
  <c r="X11" i="95"/>
  <c r="Y11" i="95" s="1"/>
  <c r="W11" i="95"/>
  <c r="W18" i="95" s="1"/>
  <c r="U11" i="95"/>
  <c r="S11" i="95"/>
  <c r="Q11" i="95"/>
  <c r="O11" i="95"/>
  <c r="Y10" i="95"/>
  <c r="X10" i="95"/>
  <c r="W10" i="95"/>
  <c r="U10" i="95"/>
  <c r="S10" i="95"/>
  <c r="Q10" i="95"/>
  <c r="O10" i="95"/>
  <c r="X9" i="95"/>
  <c r="Y9" i="95" s="1"/>
  <c r="W9" i="95"/>
  <c r="U9" i="95"/>
  <c r="S9" i="95"/>
  <c r="Q9" i="95"/>
  <c r="O9" i="95"/>
  <c r="X8" i="95"/>
  <c r="X18" i="95" s="1"/>
  <c r="W8" i="95"/>
  <c r="U8" i="95"/>
  <c r="U18" i="95" s="1"/>
  <c r="S8" i="95"/>
  <c r="S18" i="95" s="1"/>
  <c r="Q8" i="95"/>
  <c r="Q18" i="95" s="1"/>
  <c r="O8" i="95"/>
  <c r="O18" i="95" s="1"/>
  <c r="V45" i="94"/>
  <c r="T45" i="94"/>
  <c r="R45" i="94"/>
  <c r="P45" i="94"/>
  <c r="N45" i="94"/>
  <c r="K45" i="94"/>
  <c r="J45" i="94"/>
  <c r="H45" i="94"/>
  <c r="F45" i="94"/>
  <c r="D45" i="94"/>
  <c r="X44" i="94"/>
  <c r="W44" i="94"/>
  <c r="U44" i="94"/>
  <c r="S44" i="94"/>
  <c r="Q44" i="94"/>
  <c r="Y44" i="94" s="1"/>
  <c r="O44" i="94"/>
  <c r="AC44" i="94" s="1"/>
  <c r="Y43" i="94"/>
  <c r="X43" i="94"/>
  <c r="W43" i="94"/>
  <c r="U43" i="94"/>
  <c r="S43" i="94"/>
  <c r="Q43" i="94"/>
  <c r="O43" i="94"/>
  <c r="AC43" i="94" s="1"/>
  <c r="X42" i="94"/>
  <c r="W42" i="94"/>
  <c r="U42" i="94"/>
  <c r="S42" i="94"/>
  <c r="Q42" i="94"/>
  <c r="Y42" i="94" s="1"/>
  <c r="O42" i="94"/>
  <c r="X41" i="94"/>
  <c r="W41" i="94"/>
  <c r="U41" i="94"/>
  <c r="S41" i="94"/>
  <c r="Q41" i="94"/>
  <c r="Y41" i="94" s="1"/>
  <c r="O41" i="94"/>
  <c r="AC41" i="94" s="1"/>
  <c r="Y40" i="94"/>
  <c r="X40" i="94"/>
  <c r="W40" i="94"/>
  <c r="U40" i="94"/>
  <c r="S40" i="94"/>
  <c r="Q40" i="94"/>
  <c r="O40" i="94"/>
  <c r="X39" i="94"/>
  <c r="W39" i="94"/>
  <c r="U39" i="94"/>
  <c r="S39" i="94"/>
  <c r="Q39" i="94"/>
  <c r="Y39" i="94" s="1"/>
  <c r="O39" i="94"/>
  <c r="X38" i="94"/>
  <c r="W38" i="94"/>
  <c r="U38" i="94"/>
  <c r="S38" i="94"/>
  <c r="Q38" i="94"/>
  <c r="Y38" i="94" s="1"/>
  <c r="O38" i="94"/>
  <c r="Y37" i="94"/>
  <c r="X37" i="94"/>
  <c r="W37" i="94"/>
  <c r="U37" i="94"/>
  <c r="S37" i="94"/>
  <c r="Q37" i="94"/>
  <c r="O37" i="94"/>
  <c r="AC37" i="94" s="1"/>
  <c r="X36" i="94"/>
  <c r="W36" i="94"/>
  <c r="U36" i="94"/>
  <c r="S36" i="94"/>
  <c r="Q36" i="94"/>
  <c r="O36" i="94"/>
  <c r="X35" i="94"/>
  <c r="W35" i="94"/>
  <c r="U35" i="94"/>
  <c r="S35" i="94"/>
  <c r="Q35" i="94"/>
  <c r="Y35" i="94" s="1"/>
  <c r="O35" i="94"/>
  <c r="Y34" i="94"/>
  <c r="X34" i="94"/>
  <c r="W34" i="94"/>
  <c r="U34" i="94"/>
  <c r="S34" i="94"/>
  <c r="Q34" i="94"/>
  <c r="O34" i="94"/>
  <c r="X33" i="94"/>
  <c r="W33" i="94"/>
  <c r="U33" i="94"/>
  <c r="S33" i="94"/>
  <c r="Q33" i="94"/>
  <c r="O33" i="94"/>
  <c r="X32" i="94"/>
  <c r="Y32" i="94" s="1"/>
  <c r="W32" i="94"/>
  <c r="U32" i="94"/>
  <c r="S32" i="94"/>
  <c r="Q32" i="94"/>
  <c r="L32" i="94"/>
  <c r="M32" i="94" s="1"/>
  <c r="O32" i="94" s="1"/>
  <c r="AC32" i="94" s="1"/>
  <c r="I32" i="94"/>
  <c r="G32" i="94"/>
  <c r="E32" i="94"/>
  <c r="Y31" i="94"/>
  <c r="X31" i="94"/>
  <c r="W31" i="94"/>
  <c r="U31" i="94"/>
  <c r="S31" i="94"/>
  <c r="Q31" i="94"/>
  <c r="O31" i="94"/>
  <c r="L31" i="94"/>
  <c r="M31" i="94" s="1"/>
  <c r="I31" i="94"/>
  <c r="Y30" i="94"/>
  <c r="X30" i="94"/>
  <c r="W30" i="94"/>
  <c r="U30" i="94"/>
  <c r="S30" i="94"/>
  <c r="Q30" i="94"/>
  <c r="L30" i="94"/>
  <c r="M30" i="94" s="1"/>
  <c r="O30" i="94" s="1"/>
  <c r="I30" i="94"/>
  <c r="G30" i="94"/>
  <c r="E30" i="94"/>
  <c r="X29" i="94"/>
  <c r="Y29" i="94" s="1"/>
  <c r="W29" i="94"/>
  <c r="U29" i="94"/>
  <c r="S29" i="94"/>
  <c r="Q29" i="94"/>
  <c r="L29" i="94"/>
  <c r="M29" i="94" s="1"/>
  <c r="O29" i="94" s="1"/>
  <c r="I29" i="94"/>
  <c r="G29" i="94"/>
  <c r="E29" i="94"/>
  <c r="X28" i="94"/>
  <c r="Y28" i="94" s="1"/>
  <c r="W28" i="94"/>
  <c r="U28" i="94"/>
  <c r="S28" i="94"/>
  <c r="Q28" i="94"/>
  <c r="M28" i="94"/>
  <c r="O28" i="94" s="1"/>
  <c r="L28" i="94"/>
  <c r="I28" i="94"/>
  <c r="G28" i="94"/>
  <c r="E28" i="94"/>
  <c r="Y27" i="94"/>
  <c r="X27" i="94"/>
  <c r="W27" i="94"/>
  <c r="U27" i="94"/>
  <c r="S27" i="94"/>
  <c r="Q27" i="94"/>
  <c r="L27" i="94"/>
  <c r="M27" i="94" s="1"/>
  <c r="O27" i="94" s="1"/>
  <c r="I27" i="94"/>
  <c r="G27" i="94"/>
  <c r="E27" i="94"/>
  <c r="Y26" i="94"/>
  <c r="X26" i="94"/>
  <c r="W26" i="94"/>
  <c r="U26" i="94"/>
  <c r="S26" i="94"/>
  <c r="Q26" i="94"/>
  <c r="M26" i="94"/>
  <c r="O26" i="94" s="1"/>
  <c r="AB26" i="94" s="1"/>
  <c r="L26" i="94"/>
  <c r="I26" i="94"/>
  <c r="G26" i="94"/>
  <c r="E26" i="94"/>
  <c r="X25" i="94"/>
  <c r="Y25" i="94" s="1"/>
  <c r="W25" i="94"/>
  <c r="U25" i="94"/>
  <c r="S25" i="94"/>
  <c r="Q25" i="94"/>
  <c r="L25" i="94"/>
  <c r="I25" i="94"/>
  <c r="I45" i="94" s="1"/>
  <c r="G25" i="94"/>
  <c r="E25" i="94"/>
  <c r="E45" i="94" s="1"/>
  <c r="Y24" i="94"/>
  <c r="X24" i="94"/>
  <c r="W24" i="94"/>
  <c r="U24" i="94"/>
  <c r="S24" i="94"/>
  <c r="Q24" i="94"/>
  <c r="O24" i="94"/>
  <c r="AC24" i="94" s="1"/>
  <c r="X23" i="94"/>
  <c r="W23" i="94"/>
  <c r="U23" i="94"/>
  <c r="S23" i="94"/>
  <c r="Q23" i="94"/>
  <c r="Y23" i="94" s="1"/>
  <c r="AC23" i="94" s="1"/>
  <c r="O23" i="94"/>
  <c r="X22" i="94"/>
  <c r="W22" i="94"/>
  <c r="U22" i="94"/>
  <c r="S22" i="94"/>
  <c r="Q22" i="94"/>
  <c r="Y22" i="94" s="1"/>
  <c r="AC22" i="94" s="1"/>
  <c r="O22" i="94"/>
  <c r="Y21" i="94"/>
  <c r="X21" i="94"/>
  <c r="W21" i="94"/>
  <c r="U21" i="94"/>
  <c r="S21" i="94"/>
  <c r="Q21" i="94"/>
  <c r="O21" i="94"/>
  <c r="AC21" i="94" s="1"/>
  <c r="AC20" i="94"/>
  <c r="X20" i="94"/>
  <c r="W20" i="94"/>
  <c r="U20" i="94"/>
  <c r="S20" i="94"/>
  <c r="Q20" i="94"/>
  <c r="Y20" i="94" s="1"/>
  <c r="O20" i="94"/>
  <c r="X19" i="94"/>
  <c r="W19" i="94"/>
  <c r="U19" i="94"/>
  <c r="S19" i="94"/>
  <c r="Q19" i="94"/>
  <c r="Y19" i="94" s="1"/>
  <c r="AC19" i="94" s="1"/>
  <c r="O19" i="94"/>
  <c r="Y18" i="94"/>
  <c r="X18" i="94"/>
  <c r="W18" i="94"/>
  <c r="U18" i="94"/>
  <c r="S18" i="94"/>
  <c r="Q18" i="94"/>
  <c r="O18" i="94"/>
  <c r="AC18" i="94" s="1"/>
  <c r="X17" i="94"/>
  <c r="W17" i="94"/>
  <c r="U17" i="94"/>
  <c r="S17" i="94"/>
  <c r="Q17" i="94"/>
  <c r="Y17" i="94" s="1"/>
  <c r="AC17" i="94" s="1"/>
  <c r="O17" i="94"/>
  <c r="X16" i="94"/>
  <c r="W16" i="94"/>
  <c r="U16" i="94"/>
  <c r="S16" i="94"/>
  <c r="Q16" i="94"/>
  <c r="Y16" i="94" s="1"/>
  <c r="AC16" i="94" s="1"/>
  <c r="O16" i="94"/>
  <c r="Y15" i="94"/>
  <c r="X15" i="94"/>
  <c r="W15" i="94"/>
  <c r="U15" i="94"/>
  <c r="S15" i="94"/>
  <c r="Q15" i="94"/>
  <c r="O15" i="94"/>
  <c r="AC15" i="94" s="1"/>
  <c r="X14" i="94"/>
  <c r="W14" i="94"/>
  <c r="U14" i="94"/>
  <c r="S14" i="94"/>
  <c r="Q14" i="94"/>
  <c r="Y14" i="94" s="1"/>
  <c r="AC14" i="94" s="1"/>
  <c r="O14" i="94"/>
  <c r="X13" i="94"/>
  <c r="W13" i="94"/>
  <c r="U13" i="94"/>
  <c r="S13" i="94"/>
  <c r="Q13" i="94"/>
  <c r="Y13" i="94" s="1"/>
  <c r="AC13" i="94" s="1"/>
  <c r="O13" i="94"/>
  <c r="Y12" i="94"/>
  <c r="X12" i="94"/>
  <c r="W12" i="94"/>
  <c r="U12" i="94"/>
  <c r="S12" i="94"/>
  <c r="Q12" i="94"/>
  <c r="O12" i="94"/>
  <c r="AC12" i="94" s="1"/>
  <c r="AC11" i="94"/>
  <c r="X11" i="94"/>
  <c r="W11" i="94"/>
  <c r="U11" i="94"/>
  <c r="S11" i="94"/>
  <c r="Q11" i="94"/>
  <c r="Y11" i="94" s="1"/>
  <c r="O11" i="94"/>
  <c r="X10" i="94"/>
  <c r="W10" i="94"/>
  <c r="U10" i="94"/>
  <c r="S10" i="94"/>
  <c r="Q10" i="94"/>
  <c r="Y10" i="94" s="1"/>
  <c r="AC10" i="94" s="1"/>
  <c r="O10" i="94"/>
  <c r="Y9" i="94"/>
  <c r="AC9" i="94" s="1"/>
  <c r="X9" i="94"/>
  <c r="W9" i="94"/>
  <c r="U9" i="94"/>
  <c r="S9" i="94"/>
  <c r="Q9" i="94"/>
  <c r="O9" i="94"/>
  <c r="X8" i="94"/>
  <c r="X45" i="94" s="1"/>
  <c r="W8" i="94"/>
  <c r="W45" i="94" s="1"/>
  <c r="U8" i="94"/>
  <c r="U45" i="94" s="1"/>
  <c r="S8" i="94"/>
  <c r="S45" i="94" s="1"/>
  <c r="Q8" i="94"/>
  <c r="Q45" i="94" s="1"/>
  <c r="O8" i="94"/>
  <c r="W12" i="93"/>
  <c r="V12" i="93"/>
  <c r="T12" i="93"/>
  <c r="R12" i="93"/>
  <c r="P12" i="93"/>
  <c r="N12" i="93"/>
  <c r="M12" i="93"/>
  <c r="L12" i="93"/>
  <c r="K12" i="93"/>
  <c r="J12" i="93"/>
  <c r="I12" i="93"/>
  <c r="H12" i="93"/>
  <c r="G12" i="93"/>
  <c r="F12" i="93"/>
  <c r="E12" i="93"/>
  <c r="D12" i="93"/>
  <c r="X11" i="93"/>
  <c r="Y11" i="93" s="1"/>
  <c r="AB11" i="93" s="1"/>
  <c r="W11" i="93"/>
  <c r="U11" i="93"/>
  <c r="S11" i="93"/>
  <c r="Q11" i="93"/>
  <c r="O11" i="93"/>
  <c r="X10" i="93"/>
  <c r="Y10" i="93" s="1"/>
  <c r="AC10" i="93" s="1"/>
  <c r="W10" i="93"/>
  <c r="U10" i="93"/>
  <c r="S10" i="93"/>
  <c r="Q10" i="93"/>
  <c r="Q12" i="93" s="1"/>
  <c r="O10" i="93"/>
  <c r="Y9" i="93"/>
  <c r="X9" i="93"/>
  <c r="X12" i="93" s="1"/>
  <c r="W9" i="93"/>
  <c r="U9" i="93"/>
  <c r="S9" i="93"/>
  <c r="Q9" i="93"/>
  <c r="O9" i="93"/>
  <c r="AC9" i="93" s="1"/>
  <c r="AC8" i="93"/>
  <c r="Y8" i="93"/>
  <c r="AB8" i="93" s="1"/>
  <c r="X8" i="93"/>
  <c r="W8" i="93"/>
  <c r="U8" i="93"/>
  <c r="U12" i="93" s="1"/>
  <c r="S8" i="93"/>
  <c r="S12" i="93" s="1"/>
  <c r="Q8" i="93"/>
  <c r="O8" i="93"/>
  <c r="O12" i="93" s="1"/>
  <c r="V9" i="92"/>
  <c r="T9" i="92"/>
  <c r="S9" i="92"/>
  <c r="R9" i="92"/>
  <c r="P9" i="92"/>
  <c r="N9" i="92"/>
  <c r="M9" i="92"/>
  <c r="L9" i="92"/>
  <c r="K9" i="92"/>
  <c r="J9" i="92"/>
  <c r="I9" i="92"/>
  <c r="H9" i="92"/>
  <c r="G9" i="92"/>
  <c r="F9" i="92"/>
  <c r="E9" i="92"/>
  <c r="D9" i="92"/>
  <c r="X8" i="92"/>
  <c r="W8" i="92"/>
  <c r="W9" i="92" s="1"/>
  <c r="U8" i="92"/>
  <c r="U9" i="92" s="1"/>
  <c r="S8" i="92"/>
  <c r="Q8" i="92"/>
  <c r="Q9" i="92" s="1"/>
  <c r="O8" i="92"/>
  <c r="O9" i="92" s="1"/>
  <c r="V29" i="91"/>
  <c r="U29" i="91"/>
  <c r="T29" i="91"/>
  <c r="R29" i="91"/>
  <c r="P29" i="91"/>
  <c r="N29" i="91"/>
  <c r="K29" i="91"/>
  <c r="J29" i="91"/>
  <c r="I29" i="91"/>
  <c r="H29" i="91"/>
  <c r="G29" i="91"/>
  <c r="F29" i="91"/>
  <c r="E29" i="91"/>
  <c r="X28" i="91"/>
  <c r="Y28" i="91" s="1"/>
  <c r="W28" i="91"/>
  <c r="U28" i="91"/>
  <c r="S28" i="91"/>
  <c r="Q28" i="91"/>
  <c r="M28" i="91"/>
  <c r="O28" i="91" s="1"/>
  <c r="L28" i="91"/>
  <c r="I28" i="91"/>
  <c r="X27" i="91"/>
  <c r="Y27" i="91" s="1"/>
  <c r="W27" i="91"/>
  <c r="U27" i="91"/>
  <c r="S27" i="91"/>
  <c r="Q27" i="91"/>
  <c r="M27" i="91"/>
  <c r="O27" i="91" s="1"/>
  <c r="L27" i="91"/>
  <c r="I27" i="91"/>
  <c r="X26" i="91"/>
  <c r="Y26" i="91" s="1"/>
  <c r="W26" i="91"/>
  <c r="U26" i="91"/>
  <c r="S26" i="91"/>
  <c r="Q26" i="91"/>
  <c r="M26" i="91"/>
  <c r="O26" i="91" s="1"/>
  <c r="L26" i="91"/>
  <c r="I26" i="91"/>
  <c r="X25" i="91"/>
  <c r="Y25" i="91" s="1"/>
  <c r="W25" i="91"/>
  <c r="U25" i="91"/>
  <c r="S25" i="91"/>
  <c r="Q25" i="91"/>
  <c r="M25" i="91"/>
  <c r="O25" i="91" s="1"/>
  <c r="L25" i="91"/>
  <c r="I25" i="91"/>
  <c r="X24" i="91"/>
  <c r="Y24" i="91" s="1"/>
  <c r="W24" i="91"/>
  <c r="U24" i="91"/>
  <c r="S24" i="91"/>
  <c r="Q24" i="91"/>
  <c r="M24" i="91"/>
  <c r="O24" i="91" s="1"/>
  <c r="L24" i="91"/>
  <c r="I24" i="91"/>
  <c r="X23" i="91"/>
  <c r="Y23" i="91" s="1"/>
  <c r="W23" i="91"/>
  <c r="U23" i="91"/>
  <c r="S23" i="91"/>
  <c r="Q23" i="91"/>
  <c r="M23" i="91"/>
  <c r="O23" i="91" s="1"/>
  <c r="L23" i="91"/>
  <c r="I23" i="91"/>
  <c r="X22" i="91"/>
  <c r="Y22" i="91" s="1"/>
  <c r="W22" i="91"/>
  <c r="U22" i="91"/>
  <c r="S22" i="91"/>
  <c r="Q22" i="91"/>
  <c r="M22" i="91"/>
  <c r="O22" i="91" s="1"/>
  <c r="L22" i="91"/>
  <c r="I22" i="91"/>
  <c r="X21" i="91"/>
  <c r="Y21" i="91" s="1"/>
  <c r="W21" i="91"/>
  <c r="U21" i="91"/>
  <c r="S21" i="91"/>
  <c r="Q21" i="91"/>
  <c r="M21" i="91"/>
  <c r="O21" i="91" s="1"/>
  <c r="L21" i="91"/>
  <c r="I21" i="91"/>
  <c r="X20" i="91"/>
  <c r="Y20" i="91" s="1"/>
  <c r="W20" i="91"/>
  <c r="U20" i="91"/>
  <c r="S20" i="91"/>
  <c r="Q20" i="91"/>
  <c r="M20" i="91"/>
  <c r="O20" i="91" s="1"/>
  <c r="L20" i="91"/>
  <c r="I20" i="91"/>
  <c r="X19" i="91"/>
  <c r="Y19" i="91" s="1"/>
  <c r="W19" i="91"/>
  <c r="U19" i="91"/>
  <c r="S19" i="91"/>
  <c r="Q19" i="91"/>
  <c r="M19" i="91"/>
  <c r="O19" i="91" s="1"/>
  <c r="L19" i="91"/>
  <c r="I19" i="91"/>
  <c r="X18" i="91"/>
  <c r="Y18" i="91" s="1"/>
  <c r="W18" i="91"/>
  <c r="U18" i="91"/>
  <c r="S18" i="91"/>
  <c r="Q18" i="91"/>
  <c r="M18" i="91"/>
  <c r="O18" i="91" s="1"/>
  <c r="L18" i="91"/>
  <c r="I18" i="91"/>
  <c r="X17" i="91"/>
  <c r="Y17" i="91" s="1"/>
  <c r="W17" i="91"/>
  <c r="U17" i="91"/>
  <c r="S17" i="91"/>
  <c r="Q17" i="91"/>
  <c r="M17" i="91"/>
  <c r="O17" i="91" s="1"/>
  <c r="L17" i="91"/>
  <c r="I17" i="91"/>
  <c r="X16" i="91"/>
  <c r="Y16" i="91" s="1"/>
  <c r="W16" i="91"/>
  <c r="U16" i="91"/>
  <c r="S16" i="91"/>
  <c r="Q16" i="91"/>
  <c r="M16" i="91"/>
  <c r="O16" i="91" s="1"/>
  <c r="L16" i="91"/>
  <c r="I16" i="91"/>
  <c r="X15" i="91"/>
  <c r="Y15" i="91" s="1"/>
  <c r="W15" i="91"/>
  <c r="U15" i="91"/>
  <c r="S15" i="91"/>
  <c r="Q15" i="91"/>
  <c r="M15" i="91"/>
  <c r="O15" i="91" s="1"/>
  <c r="L15" i="91"/>
  <c r="I15" i="91"/>
  <c r="X14" i="91"/>
  <c r="Y14" i="91" s="1"/>
  <c r="W14" i="91"/>
  <c r="U14" i="91"/>
  <c r="S14" i="91"/>
  <c r="Q14" i="91"/>
  <c r="M14" i="91"/>
  <c r="O14" i="91" s="1"/>
  <c r="L14" i="91"/>
  <c r="I14" i="91"/>
  <c r="X13" i="91"/>
  <c r="Y13" i="91" s="1"/>
  <c r="W13" i="91"/>
  <c r="U13" i="91"/>
  <c r="S13" i="91"/>
  <c r="Q13" i="91"/>
  <c r="M13" i="91"/>
  <c r="O13" i="91" s="1"/>
  <c r="L13" i="91"/>
  <c r="I13" i="91"/>
  <c r="X12" i="91"/>
  <c r="Y12" i="91" s="1"/>
  <c r="W12" i="91"/>
  <c r="U12" i="91"/>
  <c r="S12" i="91"/>
  <c r="Q12" i="91"/>
  <c r="M12" i="91"/>
  <c r="O12" i="91" s="1"/>
  <c r="L12" i="91"/>
  <c r="I12" i="91"/>
  <c r="X11" i="91"/>
  <c r="Y11" i="91" s="1"/>
  <c r="W11" i="91"/>
  <c r="U11" i="91"/>
  <c r="S11" i="91"/>
  <c r="Q11" i="91"/>
  <c r="M11" i="91"/>
  <c r="O11" i="91" s="1"/>
  <c r="L11" i="91"/>
  <c r="I11" i="91"/>
  <c r="X10" i="91"/>
  <c r="Y10" i="91" s="1"/>
  <c r="W10" i="91"/>
  <c r="U10" i="91"/>
  <c r="S10" i="91"/>
  <c r="Q10" i="91"/>
  <c r="M10" i="91"/>
  <c r="O10" i="91" s="1"/>
  <c r="L10" i="91"/>
  <c r="I10" i="91"/>
  <c r="X9" i="91"/>
  <c r="Y9" i="91" s="1"/>
  <c r="W9" i="91"/>
  <c r="U9" i="91"/>
  <c r="S9" i="91"/>
  <c r="Q9" i="91"/>
  <c r="M9" i="91"/>
  <c r="O9" i="91" s="1"/>
  <c r="L9" i="91"/>
  <c r="I9" i="91"/>
  <c r="X8" i="91"/>
  <c r="Y8" i="91" s="1"/>
  <c r="W8" i="91"/>
  <c r="W29" i="91" s="1"/>
  <c r="U8" i="91"/>
  <c r="S8" i="91"/>
  <c r="S29" i="91" s="1"/>
  <c r="Q8" i="91"/>
  <c r="M8" i="91"/>
  <c r="O8" i="91" s="1"/>
  <c r="L8" i="91"/>
  <c r="L29" i="91" s="1"/>
  <c r="I8" i="91"/>
  <c r="V42" i="90"/>
  <c r="T42" i="90"/>
  <c r="R42" i="90"/>
  <c r="P42" i="90"/>
  <c r="N42" i="90"/>
  <c r="K42" i="90"/>
  <c r="J42" i="90"/>
  <c r="H42" i="90"/>
  <c r="G42" i="90"/>
  <c r="F42" i="90"/>
  <c r="D42" i="90"/>
  <c r="X41" i="90"/>
  <c r="Y41" i="90" s="1"/>
  <c r="W41" i="90"/>
  <c r="U41" i="90"/>
  <c r="S41" i="90"/>
  <c r="Q41" i="90"/>
  <c r="M41" i="90"/>
  <c r="O41" i="90" s="1"/>
  <c r="I41" i="90"/>
  <c r="E41" i="90"/>
  <c r="X40" i="90"/>
  <c r="Y40" i="90" s="1"/>
  <c r="W40" i="90"/>
  <c r="U40" i="90"/>
  <c r="S40" i="90"/>
  <c r="Q40" i="90"/>
  <c r="M40" i="90"/>
  <c r="O40" i="90" s="1"/>
  <c r="L40" i="90"/>
  <c r="I40" i="90"/>
  <c r="E40" i="90"/>
  <c r="X39" i="90"/>
  <c r="Y39" i="90" s="1"/>
  <c r="W39" i="90"/>
  <c r="U39" i="90"/>
  <c r="S39" i="90"/>
  <c r="Q39" i="90"/>
  <c r="M39" i="90"/>
  <c r="O39" i="90" s="1"/>
  <c r="AC39" i="90" s="1"/>
  <c r="L39" i="90"/>
  <c r="I39" i="90"/>
  <c r="E39" i="90"/>
  <c r="X38" i="90"/>
  <c r="Y38" i="90" s="1"/>
  <c r="W38" i="90"/>
  <c r="U38" i="90"/>
  <c r="S38" i="90"/>
  <c r="Q38" i="90"/>
  <c r="O38" i="90"/>
  <c r="M38" i="90"/>
  <c r="L38" i="90"/>
  <c r="E38" i="90" s="1"/>
  <c r="I38" i="90"/>
  <c r="Y37" i="90"/>
  <c r="X37" i="90"/>
  <c r="W37" i="90"/>
  <c r="U37" i="90"/>
  <c r="S37" i="90"/>
  <c r="Q37" i="90"/>
  <c r="M37" i="90"/>
  <c r="O37" i="90" s="1"/>
  <c r="L37" i="90"/>
  <c r="E37" i="90" s="1"/>
  <c r="I37" i="90"/>
  <c r="AB36" i="90"/>
  <c r="X36" i="90"/>
  <c r="Y36" i="90" s="1"/>
  <c r="W36" i="90"/>
  <c r="U36" i="90"/>
  <c r="S36" i="90"/>
  <c r="Q36" i="90"/>
  <c r="M36" i="90"/>
  <c r="O36" i="90" s="1"/>
  <c r="AC36" i="90" s="1"/>
  <c r="L36" i="90"/>
  <c r="I36" i="90"/>
  <c r="X35" i="90"/>
  <c r="Y35" i="90" s="1"/>
  <c r="W35" i="90"/>
  <c r="U35" i="90"/>
  <c r="S35" i="90"/>
  <c r="Q35" i="90"/>
  <c r="M35" i="90"/>
  <c r="O35" i="90" s="1"/>
  <c r="AC35" i="90" s="1"/>
  <c r="L35" i="90"/>
  <c r="I35" i="90"/>
  <c r="X34" i="90"/>
  <c r="Y34" i="90" s="1"/>
  <c r="W34" i="90"/>
  <c r="U34" i="90"/>
  <c r="S34" i="90"/>
  <c r="Q34" i="90"/>
  <c r="O34" i="90"/>
  <c r="AC34" i="90" s="1"/>
  <c r="M34" i="90"/>
  <c r="L34" i="90"/>
  <c r="I34" i="90"/>
  <c r="AB33" i="90"/>
  <c r="X33" i="90"/>
  <c r="Y33" i="90" s="1"/>
  <c r="W33" i="90"/>
  <c r="U33" i="90"/>
  <c r="S33" i="90"/>
  <c r="Q33" i="90"/>
  <c r="O33" i="90"/>
  <c r="M33" i="90"/>
  <c r="L33" i="90"/>
  <c r="I33" i="90"/>
  <c r="X32" i="90"/>
  <c r="Y32" i="90" s="1"/>
  <c r="W32" i="90"/>
  <c r="U32" i="90"/>
  <c r="S32" i="90"/>
  <c r="Q32" i="90"/>
  <c r="O32" i="90"/>
  <c r="M32" i="90"/>
  <c r="L32" i="90"/>
  <c r="I32" i="90"/>
  <c r="AB31" i="90"/>
  <c r="X31" i="90"/>
  <c r="Y31" i="90" s="1"/>
  <c r="W31" i="90"/>
  <c r="U31" i="90"/>
  <c r="S31" i="90"/>
  <c r="Q31" i="90"/>
  <c r="O31" i="90"/>
  <c r="AC31" i="90" s="1"/>
  <c r="M31" i="90"/>
  <c r="L31" i="90"/>
  <c r="I31" i="90"/>
  <c r="X30" i="90"/>
  <c r="Y30" i="90" s="1"/>
  <c r="W30" i="90"/>
  <c r="U30" i="90"/>
  <c r="S30" i="90"/>
  <c r="Q30" i="90"/>
  <c r="O30" i="90"/>
  <c r="AC30" i="90" s="1"/>
  <c r="M30" i="90"/>
  <c r="L30" i="90"/>
  <c r="I30" i="90"/>
  <c r="AB29" i="90"/>
  <c r="X29" i="90"/>
  <c r="Y29" i="90" s="1"/>
  <c r="W29" i="90"/>
  <c r="U29" i="90"/>
  <c r="S29" i="90"/>
  <c r="Q29" i="90"/>
  <c r="M29" i="90"/>
  <c r="O29" i="90" s="1"/>
  <c r="AC29" i="90" s="1"/>
  <c r="L29" i="90"/>
  <c r="I29" i="90"/>
  <c r="X28" i="90"/>
  <c r="Y28" i="90" s="1"/>
  <c r="W28" i="90"/>
  <c r="U28" i="90"/>
  <c r="S28" i="90"/>
  <c r="Q28" i="90"/>
  <c r="O28" i="90"/>
  <c r="AC28" i="90" s="1"/>
  <c r="M28" i="90"/>
  <c r="L28" i="90"/>
  <c r="I28" i="90"/>
  <c r="AB27" i="90"/>
  <c r="X27" i="90"/>
  <c r="Y27" i="90" s="1"/>
  <c r="W27" i="90"/>
  <c r="U27" i="90"/>
  <c r="S27" i="90"/>
  <c r="Q27" i="90"/>
  <c r="O27" i="90"/>
  <c r="M27" i="90"/>
  <c r="L27" i="90"/>
  <c r="I27" i="90"/>
  <c r="X26" i="90"/>
  <c r="Y26" i="90" s="1"/>
  <c r="W26" i="90"/>
  <c r="U26" i="90"/>
  <c r="S26" i="90"/>
  <c r="Q26" i="90"/>
  <c r="O26" i="90"/>
  <c r="M26" i="90"/>
  <c r="L26" i="90"/>
  <c r="I26" i="90"/>
  <c r="AB25" i="90"/>
  <c r="X25" i="90"/>
  <c r="Y25" i="90" s="1"/>
  <c r="W25" i="90"/>
  <c r="U25" i="90"/>
  <c r="S25" i="90"/>
  <c r="Q25" i="90"/>
  <c r="O25" i="90"/>
  <c r="AC25" i="90" s="1"/>
  <c r="M25" i="90"/>
  <c r="L25" i="90"/>
  <c r="I25" i="90"/>
  <c r="X24" i="90"/>
  <c r="Y24" i="90" s="1"/>
  <c r="W24" i="90"/>
  <c r="U24" i="90"/>
  <c r="S24" i="90"/>
  <c r="Q24" i="90"/>
  <c r="O24" i="90"/>
  <c r="AC24" i="90" s="1"/>
  <c r="M24" i="90"/>
  <c r="L24" i="90"/>
  <c r="I24" i="90"/>
  <c r="AB23" i="90"/>
  <c r="X23" i="90"/>
  <c r="Y23" i="90" s="1"/>
  <c r="W23" i="90"/>
  <c r="U23" i="90"/>
  <c r="S23" i="90"/>
  <c r="Q23" i="90"/>
  <c r="M23" i="90"/>
  <c r="O23" i="90" s="1"/>
  <c r="AC23" i="90" s="1"/>
  <c r="L23" i="90"/>
  <c r="I23" i="90"/>
  <c r="X22" i="90"/>
  <c r="Y22" i="90" s="1"/>
  <c r="W22" i="90"/>
  <c r="U22" i="90"/>
  <c r="S22" i="90"/>
  <c r="Q22" i="90"/>
  <c r="O22" i="90"/>
  <c r="AC22" i="90" s="1"/>
  <c r="M22" i="90"/>
  <c r="L22" i="90"/>
  <c r="I22" i="90"/>
  <c r="AB21" i="90"/>
  <c r="X21" i="90"/>
  <c r="Y21" i="90" s="1"/>
  <c r="W21" i="90"/>
  <c r="U21" i="90"/>
  <c r="S21" i="90"/>
  <c r="Q21" i="90"/>
  <c r="O21" i="90"/>
  <c r="M21" i="90"/>
  <c r="L21" i="90"/>
  <c r="I21" i="90"/>
  <c r="X20" i="90"/>
  <c r="Y20" i="90" s="1"/>
  <c r="W20" i="90"/>
  <c r="U20" i="90"/>
  <c r="S20" i="90"/>
  <c r="Q20" i="90"/>
  <c r="O20" i="90"/>
  <c r="M20" i="90"/>
  <c r="L20" i="90"/>
  <c r="I20" i="90"/>
  <c r="Y19" i="90"/>
  <c r="X19" i="90"/>
  <c r="W19" i="90"/>
  <c r="U19" i="90"/>
  <c r="S19" i="90"/>
  <c r="Q19" i="90"/>
  <c r="M19" i="90"/>
  <c r="O19" i="90" s="1"/>
  <c r="L19" i="90"/>
  <c r="I19" i="90"/>
  <c r="Y18" i="90"/>
  <c r="X18" i="90"/>
  <c r="W18" i="90"/>
  <c r="U18" i="90"/>
  <c r="S18" i="90"/>
  <c r="Q18" i="90"/>
  <c r="O18" i="90"/>
  <c r="M18" i="90"/>
  <c r="L18" i="90"/>
  <c r="I18" i="90"/>
  <c r="Y17" i="90"/>
  <c r="X17" i="90"/>
  <c r="W17" i="90"/>
  <c r="U17" i="90"/>
  <c r="S17" i="90"/>
  <c r="Q17" i="90"/>
  <c r="O17" i="90"/>
  <c r="AC17" i="90" s="1"/>
  <c r="M17" i="90"/>
  <c r="L17" i="90"/>
  <c r="I17" i="90"/>
  <c r="Y16" i="90"/>
  <c r="X16" i="90"/>
  <c r="W16" i="90"/>
  <c r="U16" i="90"/>
  <c r="S16" i="90"/>
  <c r="Q16" i="90"/>
  <c r="O16" i="90"/>
  <c r="AC16" i="90" s="1"/>
  <c r="M16" i="90"/>
  <c r="L16" i="90"/>
  <c r="I16" i="90"/>
  <c r="Y15" i="90"/>
  <c r="X15" i="90"/>
  <c r="W15" i="90"/>
  <c r="U15" i="90"/>
  <c r="S15" i="90"/>
  <c r="Q15" i="90"/>
  <c r="O15" i="90"/>
  <c r="AC15" i="90" s="1"/>
  <c r="M15" i="90"/>
  <c r="L15" i="90"/>
  <c r="I15" i="90"/>
  <c r="Y14" i="90"/>
  <c r="X14" i="90"/>
  <c r="W14" i="90"/>
  <c r="U14" i="90"/>
  <c r="S14" i="90"/>
  <c r="Q14" i="90"/>
  <c r="O14" i="90"/>
  <c r="AC14" i="90" s="1"/>
  <c r="M14" i="90"/>
  <c r="L14" i="90"/>
  <c r="I14" i="90"/>
  <c r="Y13" i="90"/>
  <c r="X13" i="90"/>
  <c r="W13" i="90"/>
  <c r="U13" i="90"/>
  <c r="S13" i="90"/>
  <c r="Q13" i="90"/>
  <c r="O13" i="90"/>
  <c r="AC13" i="90" s="1"/>
  <c r="M13" i="90"/>
  <c r="L13" i="90"/>
  <c r="I13" i="90"/>
  <c r="Y12" i="90"/>
  <c r="X12" i="90"/>
  <c r="W12" i="90"/>
  <c r="U12" i="90"/>
  <c r="S12" i="90"/>
  <c r="Q12" i="90"/>
  <c r="O12" i="90"/>
  <c r="AC12" i="90" s="1"/>
  <c r="M12" i="90"/>
  <c r="L12" i="90"/>
  <c r="I12" i="90"/>
  <c r="Y11" i="90"/>
  <c r="X11" i="90"/>
  <c r="W11" i="90"/>
  <c r="U11" i="90"/>
  <c r="S11" i="90"/>
  <c r="Q11" i="90"/>
  <c r="O11" i="90"/>
  <c r="AC11" i="90" s="1"/>
  <c r="M11" i="90"/>
  <c r="L11" i="90"/>
  <c r="I11" i="90"/>
  <c r="Y10" i="90"/>
  <c r="X10" i="90"/>
  <c r="W10" i="90"/>
  <c r="U10" i="90"/>
  <c r="S10" i="90"/>
  <c r="Q10" i="90"/>
  <c r="O10" i="90"/>
  <c r="AC10" i="90" s="1"/>
  <c r="M10" i="90"/>
  <c r="L10" i="90"/>
  <c r="I10" i="90"/>
  <c r="Y9" i="90"/>
  <c r="X9" i="90"/>
  <c r="W9" i="90"/>
  <c r="U9" i="90"/>
  <c r="S9" i="90"/>
  <c r="Q9" i="90"/>
  <c r="O9" i="90"/>
  <c r="AC9" i="90" s="1"/>
  <c r="M9" i="90"/>
  <c r="L9" i="90"/>
  <c r="I9" i="90"/>
  <c r="Y8" i="90"/>
  <c r="Y42" i="90" s="1"/>
  <c r="X8" i="90"/>
  <c r="W8" i="90"/>
  <c r="U8" i="90"/>
  <c r="U42" i="90" s="1"/>
  <c r="S8" i="90"/>
  <c r="Q8" i="90"/>
  <c r="O8" i="90"/>
  <c r="M8" i="90"/>
  <c r="L8" i="90"/>
  <c r="I8" i="90"/>
  <c r="I42" i="90" s="1"/>
  <c r="X9" i="89"/>
  <c r="V9" i="89"/>
  <c r="U9" i="89"/>
  <c r="T9" i="89"/>
  <c r="S9" i="89"/>
  <c r="R9" i="89"/>
  <c r="P9" i="89"/>
  <c r="N9" i="89"/>
  <c r="M9" i="89"/>
  <c r="L9" i="89"/>
  <c r="K9" i="89"/>
  <c r="J9" i="89"/>
  <c r="I9" i="89"/>
  <c r="H9" i="89"/>
  <c r="G9" i="89"/>
  <c r="F9" i="89"/>
  <c r="E9" i="89"/>
  <c r="D9" i="89"/>
  <c r="Y8" i="89"/>
  <c r="Y9" i="89" s="1"/>
  <c r="X8" i="89"/>
  <c r="W8" i="89"/>
  <c r="W9" i="89" s="1"/>
  <c r="U8" i="89"/>
  <c r="S8" i="89"/>
  <c r="Q8" i="89"/>
  <c r="Q9" i="89" s="1"/>
  <c r="O8" i="89"/>
  <c r="O9" i="89" s="1"/>
  <c r="AB9" i="89" s="1"/>
  <c r="V87" i="88"/>
  <c r="T87" i="88"/>
  <c r="R87" i="88"/>
  <c r="P87" i="88"/>
  <c r="N87" i="88"/>
  <c r="J87" i="88"/>
  <c r="H87" i="88"/>
  <c r="F87" i="88"/>
  <c r="D87" i="88"/>
  <c r="X86" i="88"/>
  <c r="Y86" i="88" s="1"/>
  <c r="W86" i="88"/>
  <c r="U86" i="88"/>
  <c r="S86" i="88"/>
  <c r="Q86" i="88"/>
  <c r="M86" i="88"/>
  <c r="O86" i="88" s="1"/>
  <c r="L86" i="88"/>
  <c r="I86" i="88"/>
  <c r="G86" i="88"/>
  <c r="E86" i="88"/>
  <c r="Y85" i="88"/>
  <c r="X85" i="88"/>
  <c r="W85" i="88"/>
  <c r="U85" i="88"/>
  <c r="S85" i="88"/>
  <c r="Q85" i="88"/>
  <c r="M85" i="88"/>
  <c r="O85" i="88" s="1"/>
  <c r="AC85" i="88" s="1"/>
  <c r="L85" i="88"/>
  <c r="I85" i="88"/>
  <c r="E85" i="88"/>
  <c r="Y84" i="88"/>
  <c r="X84" i="88"/>
  <c r="W84" i="88"/>
  <c r="U84" i="88"/>
  <c r="S84" i="88"/>
  <c r="Q84" i="88"/>
  <c r="M84" i="88"/>
  <c r="O84" i="88" s="1"/>
  <c r="AC84" i="88" s="1"/>
  <c r="L84" i="88"/>
  <c r="I84" i="88"/>
  <c r="E84" i="88"/>
  <c r="Y83" i="88"/>
  <c r="X83" i="88"/>
  <c r="W83" i="88"/>
  <c r="U83" i="88"/>
  <c r="S83" i="88"/>
  <c r="Q83" i="88"/>
  <c r="M83" i="88"/>
  <c r="O83" i="88" s="1"/>
  <c r="AC83" i="88" s="1"/>
  <c r="L83" i="88"/>
  <c r="I83" i="88"/>
  <c r="E83" i="88"/>
  <c r="Y82" i="88"/>
  <c r="X82" i="88"/>
  <c r="W82" i="88"/>
  <c r="U82" i="88"/>
  <c r="S82" i="88"/>
  <c r="Q82" i="88"/>
  <c r="M82" i="88"/>
  <c r="O82" i="88" s="1"/>
  <c r="L82" i="88"/>
  <c r="I82" i="88"/>
  <c r="Y81" i="88"/>
  <c r="AC81" i="88" s="1"/>
  <c r="X81" i="88"/>
  <c r="W81" i="88"/>
  <c r="U81" i="88"/>
  <c r="S81" i="88"/>
  <c r="Q81" i="88"/>
  <c r="O81" i="88"/>
  <c r="L81" i="88"/>
  <c r="I81" i="88"/>
  <c r="G81" i="88"/>
  <c r="E81" i="88"/>
  <c r="AB80" i="88"/>
  <c r="X80" i="88"/>
  <c r="Y80" i="88" s="1"/>
  <c r="W80" i="88"/>
  <c r="U80" i="88"/>
  <c r="S80" i="88"/>
  <c r="Q80" i="88"/>
  <c r="O80" i="88"/>
  <c r="L80" i="88"/>
  <c r="I80" i="88"/>
  <c r="G80" i="88"/>
  <c r="E80" i="88"/>
  <c r="AC79" i="88"/>
  <c r="Y79" i="88"/>
  <c r="X79" i="88"/>
  <c r="W79" i="88"/>
  <c r="U79" i="88"/>
  <c r="S79" i="88"/>
  <c r="Q79" i="88"/>
  <c r="O79" i="88"/>
  <c r="AB79" i="88" s="1"/>
  <c r="L79" i="88"/>
  <c r="I79" i="88"/>
  <c r="G79" i="88"/>
  <c r="E79" i="88"/>
  <c r="X78" i="88"/>
  <c r="Y78" i="88" s="1"/>
  <c r="W78" i="88"/>
  <c r="U78" i="88"/>
  <c r="S78" i="88"/>
  <c r="Q78" i="88"/>
  <c r="O78" i="88"/>
  <c r="AC78" i="88" s="1"/>
  <c r="L78" i="88"/>
  <c r="I78" i="88"/>
  <c r="G78" i="88"/>
  <c r="E78" i="88"/>
  <c r="Y77" i="88"/>
  <c r="X77" i="88"/>
  <c r="W77" i="88"/>
  <c r="U77" i="88"/>
  <c r="S77" i="88"/>
  <c r="Q77" i="88"/>
  <c r="O77" i="88"/>
  <c r="AC77" i="88" s="1"/>
  <c r="L77" i="88"/>
  <c r="AC76" i="88"/>
  <c r="Y76" i="88"/>
  <c r="X76" i="88"/>
  <c r="W76" i="88"/>
  <c r="U76" i="88"/>
  <c r="S76" i="88"/>
  <c r="Q76" i="88"/>
  <c r="O76" i="88"/>
  <c r="AB76" i="88" s="1"/>
  <c r="L76" i="88"/>
  <c r="Y75" i="88"/>
  <c r="AC75" i="88" s="1"/>
  <c r="X75" i="88"/>
  <c r="W75" i="88"/>
  <c r="U75" i="88"/>
  <c r="S75" i="88"/>
  <c r="Q75" i="88"/>
  <c r="O75" i="88"/>
  <c r="L75" i="88"/>
  <c r="Y74" i="88"/>
  <c r="X74" i="88"/>
  <c r="W74" i="88"/>
  <c r="U74" i="88"/>
  <c r="S74" i="88"/>
  <c r="Q74" i="88"/>
  <c r="O74" i="88"/>
  <c r="AC74" i="88" s="1"/>
  <c r="L74" i="88"/>
  <c r="AB73" i="88"/>
  <c r="Y73" i="88"/>
  <c r="AC73" i="88" s="1"/>
  <c r="X73" i="88"/>
  <c r="W73" i="88"/>
  <c r="U73" i="88"/>
  <c r="S73" i="88"/>
  <c r="Q73" i="88"/>
  <c r="O73" i="88"/>
  <c r="L73" i="88"/>
  <c r="X72" i="88"/>
  <c r="Y72" i="88" s="1"/>
  <c r="W72" i="88"/>
  <c r="U72" i="88"/>
  <c r="S72" i="88"/>
  <c r="Q72" i="88"/>
  <c r="O72" i="88"/>
  <c r="L72" i="88"/>
  <c r="Y71" i="88"/>
  <c r="X71" i="88"/>
  <c r="W71" i="88"/>
  <c r="U71" i="88"/>
  <c r="S71" i="88"/>
  <c r="Q71" i="88"/>
  <c r="O71" i="88"/>
  <c r="AC71" i="88" s="1"/>
  <c r="L71" i="88"/>
  <c r="AC70" i="88"/>
  <c r="Y70" i="88"/>
  <c r="X70" i="88"/>
  <c r="W70" i="88"/>
  <c r="U70" i="88"/>
  <c r="S70" i="88"/>
  <c r="Q70" i="88"/>
  <c r="O70" i="88"/>
  <c r="AB70" i="88" s="1"/>
  <c r="L70" i="88"/>
  <c r="Y69" i="88"/>
  <c r="AC69" i="88" s="1"/>
  <c r="X69" i="88"/>
  <c r="W69" i="88"/>
  <c r="U69" i="88"/>
  <c r="S69" i="88"/>
  <c r="Q69" i="88"/>
  <c r="O69" i="88"/>
  <c r="L69" i="88"/>
  <c r="Y68" i="88"/>
  <c r="X68" i="88"/>
  <c r="W68" i="88"/>
  <c r="U68" i="88"/>
  <c r="S68" i="88"/>
  <c r="Q68" i="88"/>
  <c r="O68" i="88"/>
  <c r="AC68" i="88" s="1"/>
  <c r="L68" i="88"/>
  <c r="AB67" i="88"/>
  <c r="Y67" i="88"/>
  <c r="AC67" i="88" s="1"/>
  <c r="X67" i="88"/>
  <c r="W67" i="88"/>
  <c r="U67" i="88"/>
  <c r="S67" i="88"/>
  <c r="Q67" i="88"/>
  <c r="O67" i="88"/>
  <c r="L67" i="88"/>
  <c r="X66" i="88"/>
  <c r="Y66" i="88" s="1"/>
  <c r="W66" i="88"/>
  <c r="U66" i="88"/>
  <c r="S66" i="88"/>
  <c r="Q66" i="88"/>
  <c r="O66" i="88"/>
  <c r="L66" i="88"/>
  <c r="Y65" i="88"/>
  <c r="X65" i="88"/>
  <c r="W65" i="88"/>
  <c r="U65" i="88"/>
  <c r="S65" i="88"/>
  <c r="Q65" i="88"/>
  <c r="O65" i="88"/>
  <c r="AC65" i="88" s="1"/>
  <c r="L65" i="88"/>
  <c r="AC64" i="88"/>
  <c r="Y64" i="88"/>
  <c r="X64" i="88"/>
  <c r="W64" i="88"/>
  <c r="U64" i="88"/>
  <c r="S64" i="88"/>
  <c r="Q64" i="88"/>
  <c r="O64" i="88"/>
  <c r="AB64" i="88" s="1"/>
  <c r="L64" i="88"/>
  <c r="I64" i="88"/>
  <c r="G64" i="88"/>
  <c r="E64" i="88"/>
  <c r="X63" i="88"/>
  <c r="Y63" i="88" s="1"/>
  <c r="W63" i="88"/>
  <c r="U63" i="88"/>
  <c r="S63" i="88"/>
  <c r="Q63" i="88"/>
  <c r="O63" i="88"/>
  <c r="AC63" i="88" s="1"/>
  <c r="L63" i="88"/>
  <c r="I63" i="88"/>
  <c r="G63" i="88"/>
  <c r="E63" i="88"/>
  <c r="Y62" i="88"/>
  <c r="X62" i="88"/>
  <c r="W62" i="88"/>
  <c r="U62" i="88"/>
  <c r="S62" i="88"/>
  <c r="Q62" i="88"/>
  <c r="O62" i="88"/>
  <c r="AC62" i="88" s="1"/>
  <c r="M62" i="88"/>
  <c r="L62" i="88"/>
  <c r="I62" i="88"/>
  <c r="G62" i="88"/>
  <c r="E62" i="88"/>
  <c r="X61" i="88"/>
  <c r="Y61" i="88" s="1"/>
  <c r="W61" i="88"/>
  <c r="U61" i="88"/>
  <c r="S61" i="88"/>
  <c r="Q61" i="88"/>
  <c r="O61" i="88"/>
  <c r="M61" i="88"/>
  <c r="L61" i="88"/>
  <c r="G61" i="88"/>
  <c r="E61" i="88"/>
  <c r="Y60" i="88"/>
  <c r="X60" i="88"/>
  <c r="W60" i="88"/>
  <c r="U60" i="88"/>
  <c r="S60" i="88"/>
  <c r="Q60" i="88"/>
  <c r="M60" i="88"/>
  <c r="O60" i="88" s="1"/>
  <c r="L60" i="88"/>
  <c r="I60" i="88"/>
  <c r="G60" i="88"/>
  <c r="E60" i="88"/>
  <c r="X59" i="88"/>
  <c r="Y59" i="88" s="1"/>
  <c r="W59" i="88"/>
  <c r="U59" i="88"/>
  <c r="S59" i="88"/>
  <c r="Q59" i="88"/>
  <c r="M59" i="88"/>
  <c r="O59" i="88" s="1"/>
  <c r="L59" i="88"/>
  <c r="I59" i="88"/>
  <c r="G59" i="88"/>
  <c r="E59" i="88"/>
  <c r="X58" i="88"/>
  <c r="Y58" i="88" s="1"/>
  <c r="W58" i="88"/>
  <c r="U58" i="88"/>
  <c r="S58" i="88"/>
  <c r="Q58" i="88"/>
  <c r="M58" i="88"/>
  <c r="O58" i="88" s="1"/>
  <c r="L58" i="88"/>
  <c r="G58" i="88"/>
  <c r="E58" i="88"/>
  <c r="Y57" i="88"/>
  <c r="X57" i="88"/>
  <c r="W57" i="88"/>
  <c r="U57" i="88"/>
  <c r="S57" i="88"/>
  <c r="Q57" i="88"/>
  <c r="M57" i="88"/>
  <c r="O57" i="88" s="1"/>
  <c r="L57" i="88"/>
  <c r="I57" i="88"/>
  <c r="G57" i="88"/>
  <c r="E57" i="88"/>
  <c r="AC56" i="88"/>
  <c r="Y56" i="88"/>
  <c r="X56" i="88"/>
  <c r="W56" i="88"/>
  <c r="U56" i="88"/>
  <c r="S56" i="88"/>
  <c r="Q56" i="88"/>
  <c r="O56" i="88"/>
  <c r="AB56" i="88" s="1"/>
  <c r="M56" i="88"/>
  <c r="L56" i="88"/>
  <c r="I56" i="88"/>
  <c r="G56" i="88"/>
  <c r="E56" i="88"/>
  <c r="Y55" i="88"/>
  <c r="X55" i="88"/>
  <c r="W55" i="88"/>
  <c r="U55" i="88"/>
  <c r="S55" i="88"/>
  <c r="Q55" i="88"/>
  <c r="O55" i="88"/>
  <c r="AC55" i="88" s="1"/>
  <c r="M55" i="88"/>
  <c r="L55" i="88"/>
  <c r="I55" i="88"/>
  <c r="G55" i="88"/>
  <c r="E55" i="88"/>
  <c r="X54" i="88"/>
  <c r="Y54" i="88" s="1"/>
  <c r="W54" i="88"/>
  <c r="U54" i="88"/>
  <c r="S54" i="88"/>
  <c r="Q54" i="88"/>
  <c r="O54" i="88"/>
  <c r="M54" i="88"/>
  <c r="L54" i="88"/>
  <c r="E54" i="88" s="1"/>
  <c r="X53" i="88"/>
  <c r="Y53" i="88" s="1"/>
  <c r="W53" i="88"/>
  <c r="U53" i="88"/>
  <c r="S53" i="88"/>
  <c r="Q53" i="88"/>
  <c r="O53" i="88"/>
  <c r="M53" i="88"/>
  <c r="L53" i="88"/>
  <c r="E53" i="88" s="1"/>
  <c r="X52" i="88"/>
  <c r="Y52" i="88" s="1"/>
  <c r="W52" i="88"/>
  <c r="U52" i="88"/>
  <c r="S52" i="88"/>
  <c r="Q52" i="88"/>
  <c r="O52" i="88"/>
  <c r="M52" i="88"/>
  <c r="L52" i="88"/>
  <c r="E52" i="88" s="1"/>
  <c r="X51" i="88"/>
  <c r="Y51" i="88" s="1"/>
  <c r="W51" i="88"/>
  <c r="U51" i="88"/>
  <c r="S51" i="88"/>
  <c r="Q51" i="88"/>
  <c r="O51" i="88"/>
  <c r="M51" i="88"/>
  <c r="L51" i="88"/>
  <c r="X50" i="88"/>
  <c r="Y50" i="88" s="1"/>
  <c r="W50" i="88"/>
  <c r="U50" i="88"/>
  <c r="S50" i="88"/>
  <c r="Q50" i="88"/>
  <c r="M50" i="88"/>
  <c r="O50" i="88" s="1"/>
  <c r="L50" i="88"/>
  <c r="E50" i="88"/>
  <c r="X49" i="88"/>
  <c r="Y49" i="88" s="1"/>
  <c r="W49" i="88"/>
  <c r="U49" i="88"/>
  <c r="S49" i="88"/>
  <c r="Q49" i="88"/>
  <c r="M49" i="88"/>
  <c r="O49" i="88" s="1"/>
  <c r="L49" i="88"/>
  <c r="I49" i="88"/>
  <c r="X48" i="88"/>
  <c r="Y48" i="88" s="1"/>
  <c r="W48" i="88"/>
  <c r="U48" i="88"/>
  <c r="S48" i="88"/>
  <c r="Q48" i="88"/>
  <c r="M48" i="88"/>
  <c r="O48" i="88" s="1"/>
  <c r="L48" i="88"/>
  <c r="Y47" i="88"/>
  <c r="X47" i="88"/>
  <c r="W47" i="88"/>
  <c r="U47" i="88"/>
  <c r="S47" i="88"/>
  <c r="Q47" i="88"/>
  <c r="O47" i="88"/>
  <c r="AC47" i="88" s="1"/>
  <c r="M47" i="88"/>
  <c r="L47" i="88"/>
  <c r="I47" i="88"/>
  <c r="Y46" i="88"/>
  <c r="X46" i="88"/>
  <c r="W46" i="88"/>
  <c r="U46" i="88"/>
  <c r="S46" i="88"/>
  <c r="Q46" i="88"/>
  <c r="O46" i="88"/>
  <c r="AC46" i="88" s="1"/>
  <c r="M46" i="88"/>
  <c r="L46" i="88"/>
  <c r="I46" i="88"/>
  <c r="Y45" i="88"/>
  <c r="X45" i="88"/>
  <c r="W45" i="88"/>
  <c r="U45" i="88"/>
  <c r="S45" i="88"/>
  <c r="Q45" i="88"/>
  <c r="O45" i="88"/>
  <c r="AC45" i="88" s="1"/>
  <c r="M45" i="88"/>
  <c r="L45" i="88"/>
  <c r="I45" i="88"/>
  <c r="Y44" i="88"/>
  <c r="X44" i="88"/>
  <c r="W44" i="88"/>
  <c r="U44" i="88"/>
  <c r="S44" i="88"/>
  <c r="Q44" i="88"/>
  <c r="O44" i="88"/>
  <c r="AC44" i="88" s="1"/>
  <c r="M44" i="88"/>
  <c r="L44" i="88"/>
  <c r="X43" i="88"/>
  <c r="Y43" i="88" s="1"/>
  <c r="W43" i="88"/>
  <c r="U43" i="88"/>
  <c r="S43" i="88"/>
  <c r="Q43" i="88"/>
  <c r="M43" i="88"/>
  <c r="O43" i="88" s="1"/>
  <c r="L43" i="88"/>
  <c r="AC42" i="88"/>
  <c r="Y42" i="88"/>
  <c r="X42" i="88"/>
  <c r="W42" i="88"/>
  <c r="U42" i="88"/>
  <c r="S42" i="88"/>
  <c r="Q42" i="88"/>
  <c r="O42" i="88"/>
  <c r="AB42" i="88" s="1"/>
  <c r="M42" i="88"/>
  <c r="L42" i="88"/>
  <c r="AB41" i="88"/>
  <c r="X41" i="88"/>
  <c r="Y41" i="88" s="1"/>
  <c r="W41" i="88"/>
  <c r="U41" i="88"/>
  <c r="S41" i="88"/>
  <c r="Q41" i="88"/>
  <c r="O41" i="88"/>
  <c r="M41" i="88"/>
  <c r="L41" i="88"/>
  <c r="Y40" i="88"/>
  <c r="X40" i="88"/>
  <c r="W40" i="88"/>
  <c r="U40" i="88"/>
  <c r="S40" i="88"/>
  <c r="Q40" i="88"/>
  <c r="M40" i="88"/>
  <c r="O40" i="88" s="1"/>
  <c r="L40" i="88"/>
  <c r="X39" i="88"/>
  <c r="Y39" i="88" s="1"/>
  <c r="W39" i="88"/>
  <c r="U39" i="88"/>
  <c r="S39" i="88"/>
  <c r="Q39" i="88"/>
  <c r="O39" i="88"/>
  <c r="M39" i="88"/>
  <c r="L39" i="88"/>
  <c r="I39" i="88"/>
  <c r="X38" i="88"/>
  <c r="Y38" i="88" s="1"/>
  <c r="W38" i="88"/>
  <c r="U38" i="88"/>
  <c r="S38" i="88"/>
  <c r="Q38" i="88"/>
  <c r="O38" i="88"/>
  <c r="M38" i="88"/>
  <c r="L38" i="88"/>
  <c r="Y37" i="88"/>
  <c r="X37" i="88"/>
  <c r="W37" i="88"/>
  <c r="U37" i="88"/>
  <c r="S37" i="88"/>
  <c r="Q37" i="88"/>
  <c r="O37" i="88"/>
  <c r="AC37" i="88" s="1"/>
  <c r="M37" i="88"/>
  <c r="L37" i="88"/>
  <c r="X36" i="88"/>
  <c r="Y36" i="88" s="1"/>
  <c r="W36" i="88"/>
  <c r="U36" i="88"/>
  <c r="S36" i="88"/>
  <c r="Q36" i="88"/>
  <c r="M36" i="88"/>
  <c r="O36" i="88" s="1"/>
  <c r="L36" i="88"/>
  <c r="I36" i="88"/>
  <c r="I87" i="88" s="1"/>
  <c r="X35" i="88"/>
  <c r="Y35" i="88" s="1"/>
  <c r="W35" i="88"/>
  <c r="U35" i="88"/>
  <c r="S35" i="88"/>
  <c r="Q35" i="88"/>
  <c r="M35" i="88"/>
  <c r="O35" i="88" s="1"/>
  <c r="L35" i="88"/>
  <c r="AB34" i="88"/>
  <c r="Y34" i="88"/>
  <c r="AC34" i="88" s="1"/>
  <c r="X34" i="88"/>
  <c r="W34" i="88"/>
  <c r="U34" i="88"/>
  <c r="S34" i="88"/>
  <c r="Q34" i="88"/>
  <c r="O34" i="88"/>
  <c r="M34" i="88"/>
  <c r="L34" i="88"/>
  <c r="Y33" i="88"/>
  <c r="X33" i="88"/>
  <c r="W33" i="88"/>
  <c r="U33" i="88"/>
  <c r="S33" i="88"/>
  <c r="Q33" i="88"/>
  <c r="M33" i="88"/>
  <c r="O33" i="88" s="1"/>
  <c r="L33" i="88"/>
  <c r="X32" i="88"/>
  <c r="Y32" i="88" s="1"/>
  <c r="W32" i="88"/>
  <c r="U32" i="88"/>
  <c r="S32" i="88"/>
  <c r="Q32" i="88"/>
  <c r="O32" i="88"/>
  <c r="M32" i="88"/>
  <c r="L32" i="88"/>
  <c r="Y31" i="88"/>
  <c r="X31" i="88"/>
  <c r="W31" i="88"/>
  <c r="U31" i="88"/>
  <c r="S31" i="88"/>
  <c r="Q31" i="88"/>
  <c r="M31" i="88"/>
  <c r="O31" i="88" s="1"/>
  <c r="L31" i="88"/>
  <c r="Y30" i="88"/>
  <c r="X30" i="88"/>
  <c r="W30" i="88"/>
  <c r="U30" i="88"/>
  <c r="S30" i="88"/>
  <c r="Q30" i="88"/>
  <c r="O30" i="88"/>
  <c r="AC30" i="88" s="1"/>
  <c r="M30" i="88"/>
  <c r="L30" i="88"/>
  <c r="X29" i="88"/>
  <c r="Y29" i="88" s="1"/>
  <c r="W29" i="88"/>
  <c r="U29" i="88"/>
  <c r="S29" i="88"/>
  <c r="Q29" i="88"/>
  <c r="M29" i="88"/>
  <c r="O29" i="88" s="1"/>
  <c r="L29" i="88"/>
  <c r="AC28" i="88"/>
  <c r="Y28" i="88"/>
  <c r="X28" i="88"/>
  <c r="W28" i="88"/>
  <c r="U28" i="88"/>
  <c r="S28" i="88"/>
  <c r="Q28" i="88"/>
  <c r="O28" i="88"/>
  <c r="AB28" i="88" s="1"/>
  <c r="M28" i="88"/>
  <c r="L28" i="88"/>
  <c r="AB27" i="88"/>
  <c r="X27" i="88"/>
  <c r="Y27" i="88" s="1"/>
  <c r="W27" i="88"/>
  <c r="U27" i="88"/>
  <c r="S27" i="88"/>
  <c r="Q27" i="88"/>
  <c r="O27" i="88"/>
  <c r="AC27" i="88" s="1"/>
  <c r="M27" i="88"/>
  <c r="L27" i="88"/>
  <c r="Y26" i="88"/>
  <c r="X26" i="88"/>
  <c r="W26" i="88"/>
  <c r="U26" i="88"/>
  <c r="S26" i="88"/>
  <c r="Q26" i="88"/>
  <c r="M26" i="88"/>
  <c r="O26" i="88" s="1"/>
  <c r="L26" i="88"/>
  <c r="X25" i="88"/>
  <c r="Y25" i="88" s="1"/>
  <c r="W25" i="88"/>
  <c r="U25" i="88"/>
  <c r="S25" i="88"/>
  <c r="Q25" i="88"/>
  <c r="O25" i="88"/>
  <c r="M25" i="88"/>
  <c r="L25" i="88"/>
  <c r="Y24" i="88"/>
  <c r="X24" i="88"/>
  <c r="W24" i="88"/>
  <c r="U24" i="88"/>
  <c r="S24" i="88"/>
  <c r="Q24" i="88"/>
  <c r="O24" i="88"/>
  <c r="AC24" i="88" s="1"/>
  <c r="M24" i="88"/>
  <c r="L24" i="88"/>
  <c r="X23" i="88"/>
  <c r="Y23" i="88" s="1"/>
  <c r="W23" i="88"/>
  <c r="U23" i="88"/>
  <c r="S23" i="88"/>
  <c r="Q23" i="88"/>
  <c r="M23" i="88"/>
  <c r="O23" i="88" s="1"/>
  <c r="L23" i="88"/>
  <c r="Y22" i="88"/>
  <c r="X22" i="88"/>
  <c r="W22" i="88"/>
  <c r="U22" i="88"/>
  <c r="S22" i="88"/>
  <c r="Q22" i="88"/>
  <c r="M22" i="88"/>
  <c r="O22" i="88" s="1"/>
  <c r="L22" i="88"/>
  <c r="Y21" i="88"/>
  <c r="X21" i="88"/>
  <c r="W21" i="88"/>
  <c r="U21" i="88"/>
  <c r="S21" i="88"/>
  <c r="Q21" i="88"/>
  <c r="M21" i="88"/>
  <c r="O21" i="88" s="1"/>
  <c r="L21" i="88"/>
  <c r="X20" i="88"/>
  <c r="Y20" i="88" s="1"/>
  <c r="W20" i="88"/>
  <c r="U20" i="88"/>
  <c r="S20" i="88"/>
  <c r="Q20" i="88"/>
  <c r="O20" i="88"/>
  <c r="M20" i="88"/>
  <c r="L20" i="88"/>
  <c r="Y19" i="88"/>
  <c r="X19" i="88"/>
  <c r="W19" i="88"/>
  <c r="U19" i="88"/>
  <c r="S19" i="88"/>
  <c r="Q19" i="88"/>
  <c r="M19" i="88"/>
  <c r="O19" i="88" s="1"/>
  <c r="L19" i="88"/>
  <c r="Y18" i="88"/>
  <c r="X18" i="88"/>
  <c r="W18" i="88"/>
  <c r="U18" i="88"/>
  <c r="S18" i="88"/>
  <c r="Q18" i="88"/>
  <c r="O18" i="88"/>
  <c r="AC18" i="88" s="1"/>
  <c r="M18" i="88"/>
  <c r="L18" i="88"/>
  <c r="L87" i="88" s="1"/>
  <c r="F19" i="75" s="1"/>
  <c r="X17" i="88"/>
  <c r="Y17" i="88" s="1"/>
  <c r="W17" i="88"/>
  <c r="U17" i="88"/>
  <c r="S17" i="88"/>
  <c r="Q17" i="88"/>
  <c r="M17" i="88"/>
  <c r="O17" i="88" s="1"/>
  <c r="L17" i="88"/>
  <c r="X16" i="88"/>
  <c r="Y16" i="88" s="1"/>
  <c r="AC16" i="88" s="1"/>
  <c r="W16" i="88"/>
  <c r="U16" i="88"/>
  <c r="S16" i="88"/>
  <c r="Q16" i="88"/>
  <c r="O16" i="88"/>
  <c r="M16" i="88"/>
  <c r="L16" i="88"/>
  <c r="K16" i="88"/>
  <c r="K87" i="88" s="1"/>
  <c r="X15" i="88"/>
  <c r="Y15" i="88" s="1"/>
  <c r="AC15" i="88" s="1"/>
  <c r="W15" i="88"/>
  <c r="U15" i="88"/>
  <c r="S15" i="88"/>
  <c r="Q15" i="88"/>
  <c r="O15" i="88"/>
  <c r="M15" i="88"/>
  <c r="L15" i="88"/>
  <c r="AB14" i="88"/>
  <c r="X14" i="88"/>
  <c r="Y14" i="88" s="1"/>
  <c r="W14" i="88"/>
  <c r="U14" i="88"/>
  <c r="S14" i="88"/>
  <c r="Q14" i="88"/>
  <c r="O14" i="88"/>
  <c r="AC14" i="88" s="1"/>
  <c r="M14" i="88"/>
  <c r="L14" i="88"/>
  <c r="Y13" i="88"/>
  <c r="X13" i="88"/>
  <c r="W13" i="88"/>
  <c r="U13" i="88"/>
  <c r="S13" i="88"/>
  <c r="Q13" i="88"/>
  <c r="M13" i="88"/>
  <c r="O13" i="88" s="1"/>
  <c r="L13" i="88"/>
  <c r="X12" i="88"/>
  <c r="Y12" i="88" s="1"/>
  <c r="W12" i="88"/>
  <c r="U12" i="88"/>
  <c r="S12" i="88"/>
  <c r="Q12" i="88"/>
  <c r="O12" i="88"/>
  <c r="M12" i="88"/>
  <c r="L12" i="88"/>
  <c r="Y11" i="88"/>
  <c r="X11" i="88"/>
  <c r="W11" i="88"/>
  <c r="U11" i="88"/>
  <c r="S11" i="88"/>
  <c r="Q11" i="88"/>
  <c r="O11" i="88"/>
  <c r="AC11" i="88" s="1"/>
  <c r="M11" i="88"/>
  <c r="L11" i="88"/>
  <c r="X10" i="88"/>
  <c r="Y10" i="88" s="1"/>
  <c r="W10" i="88"/>
  <c r="U10" i="88"/>
  <c r="S10" i="88"/>
  <c r="Q10" i="88"/>
  <c r="M10" i="88"/>
  <c r="O10" i="88" s="1"/>
  <c r="L10" i="88"/>
  <c r="Y9" i="88"/>
  <c r="X9" i="88"/>
  <c r="W9" i="88"/>
  <c r="U9" i="88"/>
  <c r="S9" i="88"/>
  <c r="Q9" i="88"/>
  <c r="M9" i="88"/>
  <c r="O9" i="88" s="1"/>
  <c r="L9" i="88"/>
  <c r="Y8" i="88"/>
  <c r="X8" i="88"/>
  <c r="W8" i="88"/>
  <c r="U8" i="88"/>
  <c r="S8" i="88"/>
  <c r="S87" i="88" s="1"/>
  <c r="Q8" i="88"/>
  <c r="Q87" i="88" s="1"/>
  <c r="M8" i="88"/>
  <c r="O8" i="88" s="1"/>
  <c r="L8" i="88"/>
  <c r="V25" i="87"/>
  <c r="T25" i="87"/>
  <c r="R25" i="87"/>
  <c r="P25" i="87"/>
  <c r="N25" i="87"/>
  <c r="K25" i="87"/>
  <c r="J25" i="87"/>
  <c r="H25" i="87"/>
  <c r="G25" i="87"/>
  <c r="F25" i="87"/>
  <c r="D25" i="87"/>
  <c r="X24" i="87"/>
  <c r="Y24" i="87" s="1"/>
  <c r="W24" i="87"/>
  <c r="U24" i="87"/>
  <c r="S24" i="87"/>
  <c r="Q24" i="87"/>
  <c r="O24" i="87"/>
  <c r="M24" i="87"/>
  <c r="I24" i="87"/>
  <c r="G24" i="87"/>
  <c r="E24" i="87"/>
  <c r="E25" i="87" s="1"/>
  <c r="X23" i="87"/>
  <c r="Y23" i="87" s="1"/>
  <c r="W23" i="87"/>
  <c r="U23" i="87"/>
  <c r="S23" i="87"/>
  <c r="Q23" i="87"/>
  <c r="O23" i="87"/>
  <c r="M23" i="87"/>
  <c r="L23" i="87"/>
  <c r="I23" i="87"/>
  <c r="G23" i="87"/>
  <c r="X22" i="87"/>
  <c r="Y22" i="87" s="1"/>
  <c r="W22" i="87"/>
  <c r="U22" i="87"/>
  <c r="S22" i="87"/>
  <c r="Q22" i="87"/>
  <c r="O22" i="87"/>
  <c r="M22" i="87"/>
  <c r="L22" i="87"/>
  <c r="I22" i="87"/>
  <c r="Y21" i="87"/>
  <c r="X21" i="87"/>
  <c r="W21" i="87"/>
  <c r="U21" i="87"/>
  <c r="S21" i="87"/>
  <c r="Q21" i="87"/>
  <c r="M21" i="87"/>
  <c r="O21" i="87" s="1"/>
  <c r="AC21" i="87" s="1"/>
  <c r="L21" i="87"/>
  <c r="I21" i="87"/>
  <c r="Y20" i="87"/>
  <c r="X20" i="87"/>
  <c r="W20" i="87"/>
  <c r="U20" i="87"/>
  <c r="S20" i="87"/>
  <c r="Q20" i="87"/>
  <c r="O20" i="87"/>
  <c r="AC20" i="87" s="1"/>
  <c r="M20" i="87"/>
  <c r="L20" i="87"/>
  <c r="I20" i="87"/>
  <c r="X19" i="87"/>
  <c r="Y19" i="87" s="1"/>
  <c r="W19" i="87"/>
  <c r="U19" i="87"/>
  <c r="S19" i="87"/>
  <c r="Q19" i="87"/>
  <c r="M19" i="87"/>
  <c r="O19" i="87" s="1"/>
  <c r="AC19" i="87" s="1"/>
  <c r="L19" i="87"/>
  <c r="I19" i="87"/>
  <c r="Y18" i="87"/>
  <c r="X18" i="87"/>
  <c r="W18" i="87"/>
  <c r="U18" i="87"/>
  <c r="S18" i="87"/>
  <c r="Q18" i="87"/>
  <c r="O18" i="87"/>
  <c r="AC18" i="87" s="1"/>
  <c r="M18" i="87"/>
  <c r="L18" i="87"/>
  <c r="I18" i="87"/>
  <c r="X17" i="87"/>
  <c r="Y17" i="87" s="1"/>
  <c r="AC17" i="87" s="1"/>
  <c r="W17" i="87"/>
  <c r="U17" i="87"/>
  <c r="S17" i="87"/>
  <c r="Q17" i="87"/>
  <c r="O17" i="87"/>
  <c r="M17" i="87"/>
  <c r="L17" i="87"/>
  <c r="I17" i="87"/>
  <c r="Y16" i="87"/>
  <c r="X16" i="87"/>
  <c r="W16" i="87"/>
  <c r="U16" i="87"/>
  <c r="S16" i="87"/>
  <c r="Q16" i="87"/>
  <c r="M16" i="87"/>
  <c r="O16" i="87" s="1"/>
  <c r="AC16" i="87" s="1"/>
  <c r="L16" i="87"/>
  <c r="I16" i="87"/>
  <c r="X15" i="87"/>
  <c r="Y15" i="87" s="1"/>
  <c r="AC15" i="87" s="1"/>
  <c r="W15" i="87"/>
  <c r="U15" i="87"/>
  <c r="S15" i="87"/>
  <c r="Q15" i="87"/>
  <c r="O15" i="87"/>
  <c r="M15" i="87"/>
  <c r="L15" i="87"/>
  <c r="I15" i="87"/>
  <c r="Y14" i="87"/>
  <c r="X14" i="87"/>
  <c r="W14" i="87"/>
  <c r="U14" i="87"/>
  <c r="S14" i="87"/>
  <c r="Q14" i="87"/>
  <c r="O14" i="87"/>
  <c r="AC14" i="87" s="1"/>
  <c r="M14" i="87"/>
  <c r="L14" i="87"/>
  <c r="I14" i="87"/>
  <c r="X13" i="87"/>
  <c r="Y13" i="87" s="1"/>
  <c r="W13" i="87"/>
  <c r="U13" i="87"/>
  <c r="S13" i="87"/>
  <c r="Q13" i="87"/>
  <c r="M13" i="87"/>
  <c r="O13" i="87" s="1"/>
  <c r="L13" i="87"/>
  <c r="I13" i="87"/>
  <c r="X12" i="87"/>
  <c r="Y12" i="87" s="1"/>
  <c r="W12" i="87"/>
  <c r="U12" i="87"/>
  <c r="S12" i="87"/>
  <c r="S25" i="87" s="1"/>
  <c r="Q12" i="87"/>
  <c r="M12" i="87"/>
  <c r="O12" i="87" s="1"/>
  <c r="AC12" i="87" s="1"/>
  <c r="L12" i="87"/>
  <c r="I12" i="87"/>
  <c r="Y11" i="87"/>
  <c r="X11" i="87"/>
  <c r="W11" i="87"/>
  <c r="U11" i="87"/>
  <c r="S11" i="87"/>
  <c r="Q11" i="87"/>
  <c r="M11" i="87"/>
  <c r="O11" i="87" s="1"/>
  <c r="AC11" i="87" s="1"/>
  <c r="L11" i="87"/>
  <c r="I11" i="87"/>
  <c r="X10" i="87"/>
  <c r="Y10" i="87" s="1"/>
  <c r="W10" i="87"/>
  <c r="U10" i="87"/>
  <c r="S10" i="87"/>
  <c r="Q10" i="87"/>
  <c r="O10" i="87"/>
  <c r="M10" i="87"/>
  <c r="L10" i="87"/>
  <c r="I10" i="87"/>
  <c r="Y9" i="87"/>
  <c r="X9" i="87"/>
  <c r="W9" i="87"/>
  <c r="W25" i="87" s="1"/>
  <c r="U9" i="87"/>
  <c r="S9" i="87"/>
  <c r="Q9" i="87"/>
  <c r="M9" i="87"/>
  <c r="O9" i="87" s="1"/>
  <c r="AC9" i="87" s="1"/>
  <c r="L9" i="87"/>
  <c r="I9" i="87"/>
  <c r="Y8" i="87"/>
  <c r="X8" i="87"/>
  <c r="W8" i="87"/>
  <c r="U8" i="87"/>
  <c r="S8" i="87"/>
  <c r="Q8" i="87"/>
  <c r="O8" i="87"/>
  <c r="AC8" i="87" s="1"/>
  <c r="M8" i="87"/>
  <c r="M25" i="87" s="1"/>
  <c r="L8" i="87"/>
  <c r="I8" i="87"/>
  <c r="V15" i="86"/>
  <c r="T15" i="86"/>
  <c r="R15" i="86"/>
  <c r="Q15" i="86"/>
  <c r="P15" i="86"/>
  <c r="N15" i="86"/>
  <c r="M15" i="86"/>
  <c r="K15" i="86"/>
  <c r="J15" i="86"/>
  <c r="I15" i="86"/>
  <c r="H15" i="86"/>
  <c r="G15" i="86"/>
  <c r="F15" i="86"/>
  <c r="E15" i="86"/>
  <c r="D15" i="86"/>
  <c r="Y14" i="86"/>
  <c r="X14" i="86"/>
  <c r="W14" i="86"/>
  <c r="U14" i="86"/>
  <c r="S14" i="86"/>
  <c r="Q14" i="86"/>
  <c r="O14" i="86"/>
  <c r="AC14" i="86" s="1"/>
  <c r="M14" i="86"/>
  <c r="L14" i="86"/>
  <c r="I14" i="86"/>
  <c r="Y13" i="86"/>
  <c r="X13" i="86"/>
  <c r="W13" i="86"/>
  <c r="U13" i="86"/>
  <c r="S13" i="86"/>
  <c r="Q13" i="86"/>
  <c r="O13" i="86"/>
  <c r="AC13" i="86" s="1"/>
  <c r="M13" i="86"/>
  <c r="L13" i="86"/>
  <c r="I13" i="86"/>
  <c r="Y12" i="86"/>
  <c r="X12" i="86"/>
  <c r="W12" i="86"/>
  <c r="U12" i="86"/>
  <c r="S12" i="86"/>
  <c r="Q12" i="86"/>
  <c r="O12" i="86"/>
  <c r="AC12" i="86" s="1"/>
  <c r="M12" i="86"/>
  <c r="L12" i="86"/>
  <c r="I12" i="86"/>
  <c r="Y11" i="86"/>
  <c r="X11" i="86"/>
  <c r="W11" i="86"/>
  <c r="U11" i="86"/>
  <c r="S11" i="86"/>
  <c r="Q11" i="86"/>
  <c r="O11" i="86"/>
  <c r="AC11" i="86" s="1"/>
  <c r="M11" i="86"/>
  <c r="L11" i="86"/>
  <c r="I11" i="86"/>
  <c r="Y10" i="86"/>
  <c r="X10" i="86"/>
  <c r="W10" i="86"/>
  <c r="U10" i="86"/>
  <c r="S10" i="86"/>
  <c r="Q10" i="86"/>
  <c r="O10" i="86"/>
  <c r="AC10" i="86" s="1"/>
  <c r="M10" i="86"/>
  <c r="L10" i="86"/>
  <c r="I10" i="86"/>
  <c r="Y9" i="86"/>
  <c r="X9" i="86"/>
  <c r="W9" i="86"/>
  <c r="U9" i="86"/>
  <c r="S9" i="86"/>
  <c r="Q9" i="86"/>
  <c r="O9" i="86"/>
  <c r="AC9" i="86" s="1"/>
  <c r="M9" i="86"/>
  <c r="L9" i="86"/>
  <c r="I9" i="86"/>
  <c r="X8" i="86"/>
  <c r="X15" i="86" s="1"/>
  <c r="W8" i="86"/>
  <c r="W15" i="86" s="1"/>
  <c r="U8" i="86"/>
  <c r="Y8" i="86" s="1"/>
  <c r="Y15" i="86" s="1"/>
  <c r="S8" i="86"/>
  <c r="S15" i="86" s="1"/>
  <c r="Q8" i="86"/>
  <c r="O8" i="86"/>
  <c r="O15" i="86" s="1"/>
  <c r="M8" i="86"/>
  <c r="L8" i="86"/>
  <c r="V18" i="85"/>
  <c r="T18" i="85"/>
  <c r="R18" i="85"/>
  <c r="P18" i="85"/>
  <c r="N18" i="85"/>
  <c r="M18" i="85"/>
  <c r="L18" i="85"/>
  <c r="K18" i="85"/>
  <c r="J18" i="85"/>
  <c r="H18" i="85"/>
  <c r="F18" i="85"/>
  <c r="D18" i="85"/>
  <c r="X17" i="85"/>
  <c r="Y17" i="85" s="1"/>
  <c r="AB17" i="85" s="1"/>
  <c r="W17" i="85"/>
  <c r="U17" i="85"/>
  <c r="S17" i="85"/>
  <c r="Q17" i="85"/>
  <c r="O17" i="85"/>
  <c r="I17" i="85"/>
  <c r="G17" i="85"/>
  <c r="E17" i="85"/>
  <c r="Y16" i="85"/>
  <c r="X16" i="85"/>
  <c r="W16" i="85"/>
  <c r="U16" i="85"/>
  <c r="S16" i="85"/>
  <c r="Q16" i="85"/>
  <c r="O16" i="85"/>
  <c r="AB16" i="85" s="1"/>
  <c r="I16" i="85"/>
  <c r="G16" i="85"/>
  <c r="E16" i="85"/>
  <c r="X15" i="85"/>
  <c r="Y15" i="85" s="1"/>
  <c r="AB15" i="85" s="1"/>
  <c r="W15" i="85"/>
  <c r="U15" i="85"/>
  <c r="S15" i="85"/>
  <c r="Q15" i="85"/>
  <c r="O15" i="85"/>
  <c r="I15" i="85"/>
  <c r="G15" i="85"/>
  <c r="E15" i="85"/>
  <c r="Y14" i="85"/>
  <c r="X14" i="85"/>
  <c r="W14" i="85"/>
  <c r="U14" i="85"/>
  <c r="S14" i="85"/>
  <c r="Q14" i="85"/>
  <c r="O14" i="85"/>
  <c r="AB14" i="85" s="1"/>
  <c r="I14" i="85"/>
  <c r="G14" i="85"/>
  <c r="E14" i="85"/>
  <c r="X13" i="85"/>
  <c r="Y13" i="85" s="1"/>
  <c r="AB13" i="85" s="1"/>
  <c r="W13" i="85"/>
  <c r="U13" i="85"/>
  <c r="S13" i="85"/>
  <c r="Q13" i="85"/>
  <c r="O13" i="85"/>
  <c r="I13" i="85"/>
  <c r="G13" i="85"/>
  <c r="E13" i="85"/>
  <c r="X12" i="85"/>
  <c r="Y12" i="85" s="1"/>
  <c r="AB12" i="85" s="1"/>
  <c r="W12" i="85"/>
  <c r="U12" i="85"/>
  <c r="S12" i="85"/>
  <c r="Q12" i="85"/>
  <c r="O12" i="85"/>
  <c r="I12" i="85"/>
  <c r="G12" i="85"/>
  <c r="E12" i="85"/>
  <c r="Y11" i="85"/>
  <c r="AB11" i="85" s="1"/>
  <c r="X11" i="85"/>
  <c r="W11" i="85"/>
  <c r="U11" i="85"/>
  <c r="S11" i="85"/>
  <c r="Q11" i="85"/>
  <c r="O11" i="85"/>
  <c r="I11" i="85"/>
  <c r="G11" i="85"/>
  <c r="E11" i="85"/>
  <c r="E18" i="85" s="1"/>
  <c r="X10" i="85"/>
  <c r="Y10" i="85" s="1"/>
  <c r="W10" i="85"/>
  <c r="U10" i="85"/>
  <c r="S10" i="85"/>
  <c r="Q10" i="85"/>
  <c r="O10" i="85"/>
  <c r="O18" i="85" s="1"/>
  <c r="I10" i="85"/>
  <c r="G10" i="85"/>
  <c r="E10" i="85"/>
  <c r="AB9" i="85"/>
  <c r="Y9" i="85"/>
  <c r="X9" i="85"/>
  <c r="W9" i="85"/>
  <c r="W18" i="85" s="1"/>
  <c r="U9" i="85"/>
  <c r="S9" i="85"/>
  <c r="Q9" i="85"/>
  <c r="O9" i="85"/>
  <c r="I9" i="85"/>
  <c r="G9" i="85"/>
  <c r="E9" i="85"/>
  <c r="Y8" i="85"/>
  <c r="X8" i="85"/>
  <c r="X18" i="85" s="1"/>
  <c r="W8" i="85"/>
  <c r="U8" i="85"/>
  <c r="U18" i="85" s="1"/>
  <c r="S8" i="85"/>
  <c r="S18" i="85" s="1"/>
  <c r="Q8" i="85"/>
  <c r="Q18" i="85" s="1"/>
  <c r="O8" i="85"/>
  <c r="AB8" i="85" s="1"/>
  <c r="I8" i="85"/>
  <c r="G8" i="85"/>
  <c r="G18" i="85" s="1"/>
  <c r="E8" i="85"/>
  <c r="V14" i="84"/>
  <c r="T14" i="84"/>
  <c r="R14" i="84"/>
  <c r="Q14" i="84"/>
  <c r="P14" i="84"/>
  <c r="N14" i="84"/>
  <c r="M14" i="84"/>
  <c r="L14" i="84"/>
  <c r="K14" i="84"/>
  <c r="J14" i="84"/>
  <c r="I14" i="84"/>
  <c r="H14" i="84"/>
  <c r="G14" i="84"/>
  <c r="F14" i="84"/>
  <c r="E14" i="84"/>
  <c r="D14" i="84"/>
  <c r="Y13" i="84"/>
  <c r="X13" i="84"/>
  <c r="W13" i="84"/>
  <c r="U13" i="84"/>
  <c r="S13" i="84"/>
  <c r="Q13" i="84"/>
  <c r="O13" i="84"/>
  <c r="AC13" i="84" s="1"/>
  <c r="I13" i="84"/>
  <c r="X12" i="84"/>
  <c r="Y12" i="84" s="1"/>
  <c r="AC12" i="84" s="1"/>
  <c r="W12" i="84"/>
  <c r="U12" i="84"/>
  <c r="S12" i="84"/>
  <c r="Q12" i="84"/>
  <c r="O12" i="84"/>
  <c r="AB12" i="84" s="1"/>
  <c r="X11" i="84"/>
  <c r="Y11" i="84" s="1"/>
  <c r="W11" i="84"/>
  <c r="U11" i="84"/>
  <c r="S11" i="84"/>
  <c r="Q11" i="84"/>
  <c r="O11" i="84"/>
  <c r="X10" i="84"/>
  <c r="Y10" i="84" s="1"/>
  <c r="W10" i="84"/>
  <c r="U10" i="84"/>
  <c r="S10" i="84"/>
  <c r="Q10" i="84"/>
  <c r="O10" i="84"/>
  <c r="AB9" i="84"/>
  <c r="Y9" i="84"/>
  <c r="X9" i="84"/>
  <c r="W9" i="84"/>
  <c r="U9" i="84"/>
  <c r="U14" i="84" s="1"/>
  <c r="S9" i="84"/>
  <c r="Q9" i="84"/>
  <c r="O9" i="84"/>
  <c r="AC9" i="84" s="1"/>
  <c r="AC8" i="84"/>
  <c r="X8" i="84"/>
  <c r="Y8" i="84" s="1"/>
  <c r="W8" i="84"/>
  <c r="W14" i="84" s="1"/>
  <c r="U8" i="84"/>
  <c r="S8" i="84"/>
  <c r="Q8" i="84"/>
  <c r="O8" i="84"/>
  <c r="V229" i="83"/>
  <c r="T229" i="83"/>
  <c r="R229" i="83"/>
  <c r="P229" i="83"/>
  <c r="N229" i="83"/>
  <c r="L229" i="83"/>
  <c r="K229" i="83"/>
  <c r="J229" i="83"/>
  <c r="I229" i="83"/>
  <c r="H229" i="83"/>
  <c r="G229" i="83"/>
  <c r="F229" i="83"/>
  <c r="E229" i="83"/>
  <c r="D229" i="83"/>
  <c r="X228" i="83"/>
  <c r="W228" i="83"/>
  <c r="U228" i="83"/>
  <c r="Y228" i="83" s="1"/>
  <c r="S228" i="83"/>
  <c r="Q228" i="83"/>
  <c r="M228" i="83"/>
  <c r="O228" i="83" s="1"/>
  <c r="X227" i="83"/>
  <c r="W227" i="83"/>
  <c r="U227" i="83"/>
  <c r="S227" i="83"/>
  <c r="Y227" i="83" s="1"/>
  <c r="Q227" i="83"/>
  <c r="O227" i="83"/>
  <c r="AC227" i="83" s="1"/>
  <c r="X226" i="83"/>
  <c r="W226" i="83"/>
  <c r="U226" i="83"/>
  <c r="S226" i="83"/>
  <c r="Q226" i="83"/>
  <c r="Y226" i="83" s="1"/>
  <c r="M226" i="83"/>
  <c r="O226" i="83" s="1"/>
  <c r="X225" i="83"/>
  <c r="W225" i="83"/>
  <c r="U225" i="83"/>
  <c r="S225" i="83"/>
  <c r="Q225" i="83"/>
  <c r="Y225" i="83" s="1"/>
  <c r="AC225" i="83" s="1"/>
  <c r="O225" i="83"/>
  <c r="M225" i="83"/>
  <c r="X224" i="83"/>
  <c r="W224" i="83"/>
  <c r="U224" i="83"/>
  <c r="S224" i="83"/>
  <c r="Y224" i="83" s="1"/>
  <c r="Q224" i="83"/>
  <c r="M224" i="83"/>
  <c r="O224" i="83" s="1"/>
  <c r="X223" i="83"/>
  <c r="W223" i="83"/>
  <c r="U223" i="83"/>
  <c r="S223" i="83"/>
  <c r="Q223" i="83"/>
  <c r="Y223" i="83" s="1"/>
  <c r="M223" i="83"/>
  <c r="O223" i="83" s="1"/>
  <c r="AC223" i="83" s="1"/>
  <c r="X222" i="83"/>
  <c r="W222" i="83"/>
  <c r="U222" i="83"/>
  <c r="S222" i="83"/>
  <c r="Q222" i="83"/>
  <c r="Y222" i="83" s="1"/>
  <c r="M222" i="83"/>
  <c r="O222" i="83" s="1"/>
  <c r="AC222" i="83" s="1"/>
  <c r="X221" i="83"/>
  <c r="W221" i="83"/>
  <c r="U221" i="83"/>
  <c r="S221" i="83"/>
  <c r="Q221" i="83"/>
  <c r="Y221" i="83" s="1"/>
  <c r="AC221" i="83" s="1"/>
  <c r="O221" i="83"/>
  <c r="M221" i="83"/>
  <c r="X220" i="83"/>
  <c r="W220" i="83"/>
  <c r="U220" i="83"/>
  <c r="S220" i="83"/>
  <c r="Y220" i="83" s="1"/>
  <c r="Q220" i="83"/>
  <c r="M220" i="83"/>
  <c r="O220" i="83" s="1"/>
  <c r="AC220" i="83" s="1"/>
  <c r="X219" i="83"/>
  <c r="W219" i="83"/>
  <c r="U219" i="83"/>
  <c r="S219" i="83"/>
  <c r="Q219" i="83"/>
  <c r="Y219" i="83" s="1"/>
  <c r="M219" i="83"/>
  <c r="O219" i="83" s="1"/>
  <c r="X218" i="83"/>
  <c r="W218" i="83"/>
  <c r="U218" i="83"/>
  <c r="S218" i="83"/>
  <c r="Q218" i="83"/>
  <c r="Y218" i="83" s="1"/>
  <c r="M218" i="83"/>
  <c r="O218" i="83" s="1"/>
  <c r="AC218" i="83" s="1"/>
  <c r="X217" i="83"/>
  <c r="W217" i="83"/>
  <c r="S217" i="83"/>
  <c r="Q217" i="83"/>
  <c r="Y217" i="83" s="1"/>
  <c r="O217" i="83"/>
  <c r="AC217" i="83" s="1"/>
  <c r="X216" i="83"/>
  <c r="W216" i="83"/>
  <c r="U216" i="83"/>
  <c r="S216" i="83"/>
  <c r="Y216" i="83" s="1"/>
  <c r="Q216" i="83"/>
  <c r="O216" i="83"/>
  <c r="AC216" i="83" s="1"/>
  <c r="X215" i="83"/>
  <c r="W215" i="83"/>
  <c r="U215" i="83"/>
  <c r="S215" i="83"/>
  <c r="Q215" i="83"/>
  <c r="Y215" i="83" s="1"/>
  <c r="M215" i="83"/>
  <c r="O215" i="83" s="1"/>
  <c r="AC215" i="83" s="1"/>
  <c r="X214" i="83"/>
  <c r="W214" i="83"/>
  <c r="U214" i="83"/>
  <c r="S214" i="83"/>
  <c r="Q214" i="83"/>
  <c r="Y214" i="83" s="1"/>
  <c r="AC214" i="83" s="1"/>
  <c r="O214" i="83"/>
  <c r="M214" i="83"/>
  <c r="X213" i="83"/>
  <c r="W213" i="83"/>
  <c r="U213" i="83"/>
  <c r="S213" i="83"/>
  <c r="Y213" i="83" s="1"/>
  <c r="Q213" i="83"/>
  <c r="M213" i="83"/>
  <c r="O213" i="83" s="1"/>
  <c r="X212" i="83"/>
  <c r="W212" i="83"/>
  <c r="U212" i="83"/>
  <c r="S212" i="83"/>
  <c r="Q212" i="83"/>
  <c r="Y212" i="83" s="1"/>
  <c r="M212" i="83"/>
  <c r="O212" i="83" s="1"/>
  <c r="AC212" i="83" s="1"/>
  <c r="X211" i="83"/>
  <c r="W211" i="83"/>
  <c r="U211" i="83"/>
  <c r="S211" i="83"/>
  <c r="Q211" i="83"/>
  <c r="Y211" i="83" s="1"/>
  <c r="M211" i="83"/>
  <c r="O211" i="83" s="1"/>
  <c r="X210" i="83"/>
  <c r="W210" i="83"/>
  <c r="U210" i="83"/>
  <c r="Q210" i="83"/>
  <c r="Y210" i="83" s="1"/>
  <c r="O210" i="83"/>
  <c r="AC210" i="83" s="1"/>
  <c r="M210" i="83"/>
  <c r="X209" i="83"/>
  <c r="W209" i="83"/>
  <c r="U209" i="83"/>
  <c r="S209" i="83"/>
  <c r="Q209" i="83"/>
  <c r="Y209" i="83" s="1"/>
  <c r="O209" i="83"/>
  <c r="M209" i="83"/>
  <c r="X208" i="83"/>
  <c r="W208" i="83"/>
  <c r="U208" i="83"/>
  <c r="S208" i="83"/>
  <c r="Q208" i="83"/>
  <c r="Y208" i="83" s="1"/>
  <c r="O208" i="83"/>
  <c r="M208" i="83"/>
  <c r="X207" i="83"/>
  <c r="W207" i="83"/>
  <c r="U207" i="83"/>
  <c r="S207" i="83"/>
  <c r="Y207" i="83" s="1"/>
  <c r="Q207" i="83"/>
  <c r="O207" i="83"/>
  <c r="AC207" i="83" s="1"/>
  <c r="M207" i="83"/>
  <c r="X206" i="83"/>
  <c r="W206" i="83"/>
  <c r="Y206" i="83" s="1"/>
  <c r="U206" i="83"/>
  <c r="S206" i="83"/>
  <c r="Q206" i="83"/>
  <c r="O206" i="83"/>
  <c r="M206" i="83"/>
  <c r="X205" i="83"/>
  <c r="W205" i="83"/>
  <c r="U205" i="83"/>
  <c r="S205" i="83"/>
  <c r="Q205" i="83"/>
  <c r="Y205" i="83" s="1"/>
  <c r="O205" i="83"/>
  <c r="AC205" i="83" s="1"/>
  <c r="M205" i="83"/>
  <c r="X204" i="83"/>
  <c r="W204" i="83"/>
  <c r="U204" i="83"/>
  <c r="S204" i="83"/>
  <c r="Q204" i="83"/>
  <c r="O204" i="83"/>
  <c r="M204" i="83"/>
  <c r="AC203" i="83"/>
  <c r="X203" i="83"/>
  <c r="W203" i="83"/>
  <c r="U203" i="83"/>
  <c r="S203" i="83"/>
  <c r="Y203" i="83" s="1"/>
  <c r="O203" i="83"/>
  <c r="X202" i="83"/>
  <c r="W202" i="83"/>
  <c r="U202" i="83"/>
  <c r="S202" i="83"/>
  <c r="Y202" i="83" s="1"/>
  <c r="AC202" i="83" s="1"/>
  <c r="Q202" i="83"/>
  <c r="O202" i="83"/>
  <c r="X201" i="83"/>
  <c r="W201" i="83"/>
  <c r="U201" i="83"/>
  <c r="S201" i="83"/>
  <c r="Q201" i="83"/>
  <c r="O201" i="83"/>
  <c r="M201" i="83"/>
  <c r="X200" i="83"/>
  <c r="W200" i="83"/>
  <c r="U200" i="83"/>
  <c r="S200" i="83"/>
  <c r="Y200" i="83" s="1"/>
  <c r="Q200" i="83"/>
  <c r="O200" i="83"/>
  <c r="AC200" i="83" s="1"/>
  <c r="M200" i="83"/>
  <c r="X199" i="83"/>
  <c r="W199" i="83"/>
  <c r="Y199" i="83" s="1"/>
  <c r="U199" i="83"/>
  <c r="S199" i="83"/>
  <c r="Q199" i="83"/>
  <c r="O199" i="83"/>
  <c r="AC199" i="83" s="1"/>
  <c r="M199" i="83"/>
  <c r="X198" i="83"/>
  <c r="W198" i="83"/>
  <c r="Y198" i="83" s="1"/>
  <c r="U198" i="83"/>
  <c r="Q198" i="83"/>
  <c r="O198" i="83"/>
  <c r="M198" i="83"/>
  <c r="X197" i="83"/>
  <c r="W197" i="83"/>
  <c r="U197" i="83"/>
  <c r="S197" i="83"/>
  <c r="Q197" i="83"/>
  <c r="Y197" i="83" s="1"/>
  <c r="O197" i="83"/>
  <c r="M197" i="83"/>
  <c r="Y196" i="83"/>
  <c r="X196" i="83"/>
  <c r="W196" i="83"/>
  <c r="U196" i="83"/>
  <c r="S196" i="83"/>
  <c r="Q196" i="83"/>
  <c r="M196" i="83"/>
  <c r="O196" i="83" s="1"/>
  <c r="Y195" i="83"/>
  <c r="X195" i="83"/>
  <c r="W195" i="83"/>
  <c r="U195" i="83"/>
  <c r="S195" i="83"/>
  <c r="Q195" i="83"/>
  <c r="M195" i="83"/>
  <c r="O195" i="83" s="1"/>
  <c r="AC195" i="83" s="1"/>
  <c r="X194" i="83"/>
  <c r="W194" i="83"/>
  <c r="U194" i="83"/>
  <c r="S194" i="83"/>
  <c r="Y194" i="83" s="1"/>
  <c r="Q194" i="83"/>
  <c r="O194" i="83"/>
  <c r="AC194" i="83" s="1"/>
  <c r="M194" i="83"/>
  <c r="X193" i="83"/>
  <c r="W193" i="83"/>
  <c r="U193" i="83"/>
  <c r="S193" i="83"/>
  <c r="Q193" i="83"/>
  <c r="Y193" i="83" s="1"/>
  <c r="O193" i="83"/>
  <c r="AC193" i="83" s="1"/>
  <c r="M193" i="83"/>
  <c r="X192" i="83"/>
  <c r="W192" i="83"/>
  <c r="U192" i="83"/>
  <c r="S192" i="83"/>
  <c r="Y192" i="83" s="1"/>
  <c r="Q192" i="83"/>
  <c r="M192" i="83"/>
  <c r="O192" i="83" s="1"/>
  <c r="X191" i="83"/>
  <c r="W191" i="83"/>
  <c r="U191" i="83"/>
  <c r="Y191" i="83" s="1"/>
  <c r="AC191" i="83" s="1"/>
  <c r="S191" i="83"/>
  <c r="Q191" i="83"/>
  <c r="O191" i="83"/>
  <c r="X190" i="83"/>
  <c r="W190" i="83"/>
  <c r="U190" i="83"/>
  <c r="S190" i="83"/>
  <c r="Q190" i="83"/>
  <c r="Y190" i="83" s="1"/>
  <c r="M190" i="83"/>
  <c r="O190" i="83" s="1"/>
  <c r="AC190" i="83" s="1"/>
  <c r="X189" i="83"/>
  <c r="W189" i="83"/>
  <c r="U189" i="83"/>
  <c r="S189" i="83"/>
  <c r="Q189" i="83"/>
  <c r="M189" i="83"/>
  <c r="O189" i="83" s="1"/>
  <c r="X188" i="83"/>
  <c r="W188" i="83"/>
  <c r="U188" i="83"/>
  <c r="S188" i="83"/>
  <c r="Q188" i="83"/>
  <c r="Y188" i="83" s="1"/>
  <c r="AC188" i="83" s="1"/>
  <c r="O188" i="83"/>
  <c r="M188" i="83"/>
  <c r="AC187" i="83"/>
  <c r="X187" i="83"/>
  <c r="W187" i="83"/>
  <c r="U187" i="83"/>
  <c r="S187" i="83"/>
  <c r="Y187" i="83" s="1"/>
  <c r="Q187" i="83"/>
  <c r="M187" i="83"/>
  <c r="O187" i="83" s="1"/>
  <c r="X186" i="83"/>
  <c r="W186" i="83"/>
  <c r="U186" i="83"/>
  <c r="S186" i="83"/>
  <c r="Q186" i="83"/>
  <c r="Y186" i="83" s="1"/>
  <c r="AC186" i="83" s="1"/>
  <c r="M186" i="83"/>
  <c r="O186" i="83" s="1"/>
  <c r="X185" i="83"/>
  <c r="W185" i="83"/>
  <c r="U185" i="83"/>
  <c r="S185" i="83"/>
  <c r="Q185" i="83"/>
  <c r="O185" i="83"/>
  <c r="X184" i="83"/>
  <c r="W184" i="83"/>
  <c r="Y184" i="83" s="1"/>
  <c r="AC184" i="83" s="1"/>
  <c r="U184" i="83"/>
  <c r="S184" i="83"/>
  <c r="Q184" i="83"/>
  <c r="O184" i="83"/>
  <c r="X183" i="83"/>
  <c r="W183" i="83"/>
  <c r="U183" i="83"/>
  <c r="S183" i="83"/>
  <c r="Y183" i="83" s="1"/>
  <c r="Q183" i="83"/>
  <c r="O183" i="83"/>
  <c r="AC183" i="83" s="1"/>
  <c r="M183" i="83"/>
  <c r="X182" i="83"/>
  <c r="W182" i="83"/>
  <c r="U182" i="83"/>
  <c r="S182" i="83"/>
  <c r="Q182" i="83"/>
  <c r="Y182" i="83" s="1"/>
  <c r="O182" i="83"/>
  <c r="AC182" i="83" s="1"/>
  <c r="X181" i="83"/>
  <c r="W181" i="83"/>
  <c r="U181" i="83"/>
  <c r="S181" i="83"/>
  <c r="Q181" i="83"/>
  <c r="Y181" i="83" s="1"/>
  <c r="AC181" i="83" s="1"/>
  <c r="O181" i="83"/>
  <c r="Y180" i="83"/>
  <c r="X180" i="83"/>
  <c r="W180" i="83"/>
  <c r="U180" i="83"/>
  <c r="S180" i="83"/>
  <c r="Q180" i="83"/>
  <c r="O180" i="83"/>
  <c r="M180" i="83"/>
  <c r="X179" i="83"/>
  <c r="W179" i="83"/>
  <c r="U179" i="83"/>
  <c r="S179" i="83"/>
  <c r="Y179" i="83" s="1"/>
  <c r="Q179" i="83"/>
  <c r="O179" i="83"/>
  <c r="X178" i="83"/>
  <c r="W178" i="83"/>
  <c r="U178" i="83"/>
  <c r="S178" i="83"/>
  <c r="Y178" i="83" s="1"/>
  <c r="Q178" i="83"/>
  <c r="M178" i="83"/>
  <c r="O178" i="83" s="1"/>
  <c r="Y177" i="83"/>
  <c r="AC177" i="83" s="1"/>
  <c r="X177" i="83"/>
  <c r="W177" i="83"/>
  <c r="U177" i="83"/>
  <c r="S177" i="83"/>
  <c r="Q177" i="83"/>
  <c r="O177" i="83"/>
  <c r="X176" i="83"/>
  <c r="W176" i="83"/>
  <c r="U176" i="83"/>
  <c r="S176" i="83"/>
  <c r="Q176" i="83"/>
  <c r="M176" i="83"/>
  <c r="O176" i="83" s="1"/>
  <c r="X175" i="83"/>
  <c r="W175" i="83"/>
  <c r="U175" i="83"/>
  <c r="S175" i="83"/>
  <c r="Q175" i="83"/>
  <c r="Y175" i="83" s="1"/>
  <c r="M175" i="83"/>
  <c r="O175" i="83" s="1"/>
  <c r="AC175" i="83" s="1"/>
  <c r="AC174" i="83"/>
  <c r="X174" i="83"/>
  <c r="W174" i="83"/>
  <c r="U174" i="83"/>
  <c r="S174" i="83"/>
  <c r="Q174" i="83"/>
  <c r="Y174" i="83" s="1"/>
  <c r="O174" i="83"/>
  <c r="M174" i="83"/>
  <c r="X173" i="83"/>
  <c r="W173" i="83"/>
  <c r="U173" i="83"/>
  <c r="S173" i="83"/>
  <c r="Y173" i="83" s="1"/>
  <c r="Q173" i="83"/>
  <c r="M173" i="83"/>
  <c r="O173" i="83" s="1"/>
  <c r="AC172" i="83"/>
  <c r="X172" i="83"/>
  <c r="W172" i="83"/>
  <c r="U172" i="83"/>
  <c r="S172" i="83"/>
  <c r="Q172" i="83"/>
  <c r="Y172" i="83" s="1"/>
  <c r="M172" i="83"/>
  <c r="O172" i="83" s="1"/>
  <c r="X171" i="83"/>
  <c r="W171" i="83"/>
  <c r="U171" i="83"/>
  <c r="S171" i="83"/>
  <c r="Q171" i="83"/>
  <c r="Y171" i="83" s="1"/>
  <c r="O171" i="83"/>
  <c r="AC171" i="83" s="1"/>
  <c r="X170" i="83"/>
  <c r="W170" i="83"/>
  <c r="Y170" i="83" s="1"/>
  <c r="U170" i="83"/>
  <c r="S170" i="83"/>
  <c r="Q170" i="83"/>
  <c r="O170" i="83"/>
  <c r="X169" i="83"/>
  <c r="W169" i="83"/>
  <c r="U169" i="83"/>
  <c r="S169" i="83"/>
  <c r="Y169" i="83" s="1"/>
  <c r="Q169" i="83"/>
  <c r="O169" i="83"/>
  <c r="X168" i="83"/>
  <c r="W168" i="83"/>
  <c r="U168" i="83"/>
  <c r="S168" i="83"/>
  <c r="Q168" i="83"/>
  <c r="Y168" i="83" s="1"/>
  <c r="M168" i="83"/>
  <c r="O168" i="83" s="1"/>
  <c r="AC168" i="83" s="1"/>
  <c r="AC167" i="83"/>
  <c r="X167" i="83"/>
  <c r="W167" i="83"/>
  <c r="U167" i="83"/>
  <c r="S167" i="83"/>
  <c r="Q167" i="83"/>
  <c r="Y167" i="83" s="1"/>
  <c r="O167" i="83"/>
  <c r="M167" i="83"/>
  <c r="X166" i="83"/>
  <c r="W166" i="83"/>
  <c r="U166" i="83"/>
  <c r="S166" i="83"/>
  <c r="Y166" i="83" s="1"/>
  <c r="AC166" i="83" s="1"/>
  <c r="Q166" i="83"/>
  <c r="O166" i="83"/>
  <c r="X165" i="83"/>
  <c r="W165" i="83"/>
  <c r="U165" i="83"/>
  <c r="S165" i="83"/>
  <c r="Q165" i="83"/>
  <c r="Y165" i="83" s="1"/>
  <c r="O165" i="83"/>
  <c r="M165" i="83"/>
  <c r="W164" i="83"/>
  <c r="U164" i="83"/>
  <c r="S164" i="83"/>
  <c r="Q164" i="83"/>
  <c r="M164" i="83"/>
  <c r="X163" i="83"/>
  <c r="W163" i="83"/>
  <c r="U163" i="83"/>
  <c r="S163" i="83"/>
  <c r="Y163" i="83" s="1"/>
  <c r="Q163" i="83"/>
  <c r="M163" i="83"/>
  <c r="O163" i="83" s="1"/>
  <c r="AC162" i="83"/>
  <c r="X162" i="83"/>
  <c r="W162" i="83"/>
  <c r="U162" i="83"/>
  <c r="S162" i="83"/>
  <c r="Q162" i="83"/>
  <c r="Y162" i="83" s="1"/>
  <c r="M162" i="83"/>
  <c r="O162" i="83" s="1"/>
  <c r="X161" i="83"/>
  <c r="W161" i="83"/>
  <c r="U161" i="83"/>
  <c r="S161" i="83"/>
  <c r="Q161" i="83"/>
  <c r="Y161" i="83" s="1"/>
  <c r="O161" i="83"/>
  <c r="M161" i="83"/>
  <c r="X160" i="83"/>
  <c r="W160" i="83"/>
  <c r="U160" i="83"/>
  <c r="S160" i="83"/>
  <c r="Q160" i="83"/>
  <c r="Y160" i="83" s="1"/>
  <c r="O160" i="83"/>
  <c r="AC160" i="83" s="1"/>
  <c r="M160" i="83"/>
  <c r="Y159" i="83"/>
  <c r="AC159" i="83" s="1"/>
  <c r="X159" i="83"/>
  <c r="W159" i="83"/>
  <c r="S159" i="83"/>
  <c r="Q159" i="83"/>
  <c r="X158" i="83"/>
  <c r="W158" i="83"/>
  <c r="U158" i="83"/>
  <c r="S158" i="83"/>
  <c r="Q158" i="83"/>
  <c r="Y158" i="83" s="1"/>
  <c r="O158" i="83"/>
  <c r="Y157" i="83"/>
  <c r="X157" i="83"/>
  <c r="W157" i="83"/>
  <c r="U157" i="83"/>
  <c r="S157" i="83"/>
  <c r="Q157" i="83"/>
  <c r="M157" i="83"/>
  <c r="O157" i="83" s="1"/>
  <c r="AC157" i="83" s="1"/>
  <c r="X156" i="83"/>
  <c r="W156" i="83"/>
  <c r="U156" i="83"/>
  <c r="Y156" i="83" s="1"/>
  <c r="S156" i="83"/>
  <c r="Q156" i="83"/>
  <c r="O156" i="83"/>
  <c r="M156" i="83"/>
  <c r="X155" i="83"/>
  <c r="W155" i="83"/>
  <c r="U155" i="83"/>
  <c r="S155" i="83"/>
  <c r="Q155" i="83"/>
  <c r="Y155" i="83" s="1"/>
  <c r="O155" i="83"/>
  <c r="M155" i="83"/>
  <c r="X154" i="83"/>
  <c r="W154" i="83"/>
  <c r="U154" i="83"/>
  <c r="S154" i="83"/>
  <c r="Y154" i="83" s="1"/>
  <c r="AC154" i="83" s="1"/>
  <c r="Q154" i="83"/>
  <c r="O154" i="83"/>
  <c r="M154" i="83"/>
  <c r="X153" i="83"/>
  <c r="W153" i="83"/>
  <c r="Y153" i="83" s="1"/>
  <c r="U153" i="83"/>
  <c r="S153" i="83"/>
  <c r="Q153" i="83"/>
  <c r="M153" i="83"/>
  <c r="O153" i="83" s="1"/>
  <c r="X152" i="83"/>
  <c r="W152" i="83"/>
  <c r="U152" i="83"/>
  <c r="S152" i="83"/>
  <c r="Q152" i="83"/>
  <c r="Y152" i="83" s="1"/>
  <c r="AC152" i="83" s="1"/>
  <c r="O152" i="83"/>
  <c r="M152" i="83"/>
  <c r="X151" i="83"/>
  <c r="W151" i="83"/>
  <c r="U151" i="83"/>
  <c r="S151" i="83"/>
  <c r="Q151" i="83"/>
  <c r="Y151" i="83" s="1"/>
  <c r="O151" i="83"/>
  <c r="M151" i="83"/>
  <c r="X150" i="83"/>
  <c r="W150" i="83"/>
  <c r="U150" i="83"/>
  <c r="S150" i="83"/>
  <c r="Q150" i="83"/>
  <c r="Y150" i="83" s="1"/>
  <c r="AC150" i="83" s="1"/>
  <c r="O150" i="83"/>
  <c r="M150" i="83"/>
  <c r="X149" i="83"/>
  <c r="W149" i="83"/>
  <c r="Y149" i="83" s="1"/>
  <c r="AC149" i="83" s="1"/>
  <c r="U149" i="83"/>
  <c r="S149" i="83"/>
  <c r="Q149" i="83"/>
  <c r="O149" i="83"/>
  <c r="X148" i="83"/>
  <c r="W148" i="83"/>
  <c r="U148" i="83"/>
  <c r="S148" i="83"/>
  <c r="Y148" i="83" s="1"/>
  <c r="Q148" i="83"/>
  <c r="O148" i="83"/>
  <c r="M148" i="83"/>
  <c r="X147" i="83"/>
  <c r="W147" i="83"/>
  <c r="U147" i="83"/>
  <c r="S147" i="83"/>
  <c r="Q147" i="83"/>
  <c r="Y147" i="83" s="1"/>
  <c r="O147" i="83"/>
  <c r="X146" i="83"/>
  <c r="W146" i="83"/>
  <c r="U146" i="83"/>
  <c r="S146" i="83"/>
  <c r="Q146" i="83"/>
  <c r="M146" i="83"/>
  <c r="O146" i="83" s="1"/>
  <c r="X145" i="83"/>
  <c r="W145" i="83"/>
  <c r="U145" i="83"/>
  <c r="S145" i="83"/>
  <c r="Q145" i="83"/>
  <c r="Y145" i="83" s="1"/>
  <c r="O145" i="83"/>
  <c r="M145" i="83"/>
  <c r="X144" i="83"/>
  <c r="W144" i="83"/>
  <c r="U144" i="83"/>
  <c r="S144" i="83"/>
  <c r="Q144" i="83"/>
  <c r="Y144" i="83" s="1"/>
  <c r="M144" i="83"/>
  <c r="O144" i="83" s="1"/>
  <c r="AC144" i="83" s="1"/>
  <c r="Y143" i="83"/>
  <c r="AC143" i="83" s="1"/>
  <c r="X143" i="83"/>
  <c r="W143" i="83"/>
  <c r="U143" i="83"/>
  <c r="S143" i="83"/>
  <c r="Q143" i="83"/>
  <c r="O143" i="83"/>
  <c r="M143" i="83"/>
  <c r="X142" i="83"/>
  <c r="W142" i="83"/>
  <c r="U142" i="83"/>
  <c r="S142" i="83"/>
  <c r="Y142" i="83" s="1"/>
  <c r="AC142" i="83" s="1"/>
  <c r="Q142" i="83"/>
  <c r="O142" i="83"/>
  <c r="X141" i="83"/>
  <c r="W141" i="83"/>
  <c r="U141" i="83"/>
  <c r="S141" i="83"/>
  <c r="Q141" i="83"/>
  <c r="Y141" i="83" s="1"/>
  <c r="O141" i="83"/>
  <c r="AC141" i="83" s="1"/>
  <c r="Y140" i="83"/>
  <c r="X140" i="83"/>
  <c r="W140" i="83"/>
  <c r="U140" i="83"/>
  <c r="S140" i="83"/>
  <c r="Q140" i="83"/>
  <c r="M140" i="83"/>
  <c r="O140" i="83" s="1"/>
  <c r="AC140" i="83" s="1"/>
  <c r="X139" i="83"/>
  <c r="W139" i="83"/>
  <c r="U139" i="83"/>
  <c r="Y139" i="83" s="1"/>
  <c r="AC139" i="83" s="1"/>
  <c r="S139" i="83"/>
  <c r="Q139" i="83"/>
  <c r="O139" i="83"/>
  <c r="X138" i="83"/>
  <c r="W138" i="83"/>
  <c r="U138" i="83"/>
  <c r="S138" i="83"/>
  <c r="Q138" i="83"/>
  <c r="Y138" i="83" s="1"/>
  <c r="M138" i="83"/>
  <c r="O138" i="83" s="1"/>
  <c r="AC138" i="83" s="1"/>
  <c r="X137" i="83"/>
  <c r="W137" i="83"/>
  <c r="U137" i="83"/>
  <c r="S137" i="83"/>
  <c r="Q137" i="83"/>
  <c r="Y137" i="83" s="1"/>
  <c r="O137" i="83"/>
  <c r="X136" i="83"/>
  <c r="W136" i="83"/>
  <c r="Y136" i="83" s="1"/>
  <c r="AC136" i="83" s="1"/>
  <c r="U136" i="83"/>
  <c r="S136" i="83"/>
  <c r="Q136" i="83"/>
  <c r="O136" i="83"/>
  <c r="X135" i="83"/>
  <c r="W135" i="83"/>
  <c r="U135" i="83"/>
  <c r="S135" i="83"/>
  <c r="Q135" i="83"/>
  <c r="Y135" i="83" s="1"/>
  <c r="O135" i="83"/>
  <c r="M135" i="83"/>
  <c r="X134" i="83"/>
  <c r="W134" i="83"/>
  <c r="U134" i="83"/>
  <c r="S134" i="83"/>
  <c r="Q134" i="83"/>
  <c r="Y134" i="83" s="1"/>
  <c r="O134" i="83"/>
  <c r="M134" i="83"/>
  <c r="Y133" i="83"/>
  <c r="X133" i="83"/>
  <c r="W133" i="83"/>
  <c r="U133" i="83"/>
  <c r="S133" i="83"/>
  <c r="Q133" i="83"/>
  <c r="M133" i="83"/>
  <c r="O133" i="83" s="1"/>
  <c r="X132" i="83"/>
  <c r="W132" i="83"/>
  <c r="U132" i="83"/>
  <c r="Y132" i="83" s="1"/>
  <c r="S132" i="83"/>
  <c r="Q132" i="83"/>
  <c r="M132" i="83"/>
  <c r="O132" i="83" s="1"/>
  <c r="AC132" i="83" s="1"/>
  <c r="X131" i="83"/>
  <c r="W131" i="83"/>
  <c r="U131" i="83"/>
  <c r="S131" i="83"/>
  <c r="Q131" i="83"/>
  <c r="Y131" i="83" s="1"/>
  <c r="O131" i="83"/>
  <c r="AC131" i="83" s="1"/>
  <c r="M131" i="83"/>
  <c r="X130" i="83"/>
  <c r="W130" i="83"/>
  <c r="U130" i="83"/>
  <c r="S130" i="83"/>
  <c r="Q130" i="83"/>
  <c r="Y130" i="83" s="1"/>
  <c r="O130" i="83"/>
  <c r="M130" i="83"/>
  <c r="Y129" i="83"/>
  <c r="X129" i="83"/>
  <c r="W129" i="83"/>
  <c r="U129" i="83"/>
  <c r="S129" i="83"/>
  <c r="Q129" i="83"/>
  <c r="M129" i="83"/>
  <c r="O129" i="83" s="1"/>
  <c r="AC129" i="83" s="1"/>
  <c r="X128" i="83"/>
  <c r="W128" i="83"/>
  <c r="U128" i="83"/>
  <c r="Y128" i="83" s="1"/>
  <c r="S128" i="83"/>
  <c r="Q128" i="83"/>
  <c r="M128" i="83"/>
  <c r="O128" i="83" s="1"/>
  <c r="X127" i="83"/>
  <c r="W127" i="83"/>
  <c r="U127" i="83"/>
  <c r="S127" i="83"/>
  <c r="Q127" i="83"/>
  <c r="Y127" i="83" s="1"/>
  <c r="O127" i="83"/>
  <c r="AC127" i="83" s="1"/>
  <c r="M127" i="83"/>
  <c r="X126" i="83"/>
  <c r="W126" i="83"/>
  <c r="U126" i="83"/>
  <c r="S126" i="83"/>
  <c r="Q126" i="83"/>
  <c r="Y126" i="83" s="1"/>
  <c r="O126" i="83"/>
  <c r="AC126" i="83" s="1"/>
  <c r="Y125" i="83"/>
  <c r="AC125" i="83" s="1"/>
  <c r="X125" i="83"/>
  <c r="W125" i="83"/>
  <c r="U125" i="83"/>
  <c r="S125" i="83"/>
  <c r="Q125" i="83"/>
  <c r="O125" i="83"/>
  <c r="X124" i="83"/>
  <c r="W124" i="83"/>
  <c r="U124" i="83"/>
  <c r="S124" i="83"/>
  <c r="Q124" i="83"/>
  <c r="Y124" i="83" s="1"/>
  <c r="AC124" i="83" s="1"/>
  <c r="O124" i="83"/>
  <c r="M124" i="83"/>
  <c r="X123" i="83"/>
  <c r="W123" i="83"/>
  <c r="U123" i="83"/>
  <c r="S123" i="83"/>
  <c r="Q123" i="83"/>
  <c r="Y123" i="83" s="1"/>
  <c r="M123" i="83"/>
  <c r="O123" i="83" s="1"/>
  <c r="AC123" i="83" s="1"/>
  <c r="X122" i="83"/>
  <c r="W122" i="83"/>
  <c r="U122" i="83"/>
  <c r="S122" i="83"/>
  <c r="Q122" i="83"/>
  <c r="Y122" i="83" s="1"/>
  <c r="AC122" i="83" s="1"/>
  <c r="O122" i="83"/>
  <c r="X121" i="83"/>
  <c r="W121" i="83"/>
  <c r="U121" i="83"/>
  <c r="Y121" i="83" s="1"/>
  <c r="S121" i="83"/>
  <c r="Q121" i="83"/>
  <c r="M121" i="83"/>
  <c r="O121" i="83" s="1"/>
  <c r="X120" i="83"/>
  <c r="W120" i="83"/>
  <c r="U120" i="83"/>
  <c r="S120" i="83"/>
  <c r="Q120" i="83"/>
  <c r="Y120" i="83" s="1"/>
  <c r="O120" i="83"/>
  <c r="M120" i="83"/>
  <c r="X119" i="83"/>
  <c r="W119" i="83"/>
  <c r="U119" i="83"/>
  <c r="S119" i="83"/>
  <c r="Q119" i="83"/>
  <c r="Y119" i="83" s="1"/>
  <c r="O119" i="83"/>
  <c r="AC119" i="83" s="1"/>
  <c r="Y118" i="83"/>
  <c r="AC118" i="83" s="1"/>
  <c r="X118" i="83"/>
  <c r="W118" i="83"/>
  <c r="U118" i="83"/>
  <c r="S118" i="83"/>
  <c r="Q118" i="83"/>
  <c r="O118" i="83"/>
  <c r="X117" i="83"/>
  <c r="W117" i="83"/>
  <c r="U117" i="83"/>
  <c r="S117" i="83"/>
  <c r="Q117" i="83"/>
  <c r="Y117" i="83" s="1"/>
  <c r="AC117" i="83" s="1"/>
  <c r="O117" i="83"/>
  <c r="M117" i="83"/>
  <c r="X116" i="83"/>
  <c r="W116" i="83"/>
  <c r="U116" i="83"/>
  <c r="S116" i="83"/>
  <c r="Q116" i="83"/>
  <c r="Y116" i="83" s="1"/>
  <c r="M116" i="83"/>
  <c r="O116" i="83" s="1"/>
  <c r="AC115" i="83"/>
  <c r="X115" i="83"/>
  <c r="W115" i="83"/>
  <c r="U115" i="83"/>
  <c r="S115" i="83"/>
  <c r="Q115" i="83"/>
  <c r="Y115" i="83" s="1"/>
  <c r="O115" i="83"/>
  <c r="M115" i="83"/>
  <c r="X114" i="83"/>
  <c r="W114" i="83"/>
  <c r="Y114" i="83" s="1"/>
  <c r="U114" i="83"/>
  <c r="S114" i="83"/>
  <c r="Q114" i="83"/>
  <c r="M114" i="83"/>
  <c r="O114" i="83" s="1"/>
  <c r="AC114" i="83" s="1"/>
  <c r="X113" i="83"/>
  <c r="W113" i="83"/>
  <c r="U113" i="83"/>
  <c r="S113" i="83"/>
  <c r="Q113" i="83"/>
  <c r="Y113" i="83" s="1"/>
  <c r="AC113" i="83" s="1"/>
  <c r="O113" i="83"/>
  <c r="M113" i="83"/>
  <c r="X112" i="83"/>
  <c r="W112" i="83"/>
  <c r="U112" i="83"/>
  <c r="S112" i="83"/>
  <c r="Q112" i="83"/>
  <c r="Y112" i="83" s="1"/>
  <c r="O112" i="83"/>
  <c r="M112" i="83"/>
  <c r="X111" i="83"/>
  <c r="W111" i="83"/>
  <c r="U111" i="83"/>
  <c r="S111" i="83"/>
  <c r="Q111" i="83"/>
  <c r="Y111" i="83" s="1"/>
  <c r="AC111" i="83" s="1"/>
  <c r="O111" i="83"/>
  <c r="M111" i="83"/>
  <c r="X110" i="83"/>
  <c r="W110" i="83"/>
  <c r="Y110" i="83" s="1"/>
  <c r="AC110" i="83" s="1"/>
  <c r="U110" i="83"/>
  <c r="S110" i="83"/>
  <c r="Q110" i="83"/>
  <c r="O110" i="83"/>
  <c r="X109" i="83"/>
  <c r="W109" i="83"/>
  <c r="U109" i="83"/>
  <c r="S109" i="83"/>
  <c r="Q109" i="83"/>
  <c r="Y109" i="83" s="1"/>
  <c r="O109" i="83"/>
  <c r="M109" i="83"/>
  <c r="X108" i="83"/>
  <c r="W108" i="83"/>
  <c r="U108" i="83"/>
  <c r="S108" i="83"/>
  <c r="Q108" i="83"/>
  <c r="Y108" i="83" s="1"/>
  <c r="O108" i="83"/>
  <c r="AC108" i="83" s="1"/>
  <c r="Y107" i="83"/>
  <c r="AC107" i="83" s="1"/>
  <c r="X107" i="83"/>
  <c r="W107" i="83"/>
  <c r="U107" i="83"/>
  <c r="S107" i="83"/>
  <c r="Q107" i="83"/>
  <c r="O107" i="83"/>
  <c r="X106" i="83"/>
  <c r="W106" i="83"/>
  <c r="U106" i="83"/>
  <c r="S106" i="83"/>
  <c r="Q106" i="83"/>
  <c r="Y106" i="83" s="1"/>
  <c r="AC106" i="83" s="1"/>
  <c r="O106" i="83"/>
  <c r="X105" i="83"/>
  <c r="W105" i="83"/>
  <c r="U105" i="83"/>
  <c r="S105" i="83"/>
  <c r="Q105" i="83"/>
  <c r="Y105" i="83" s="1"/>
  <c r="O105" i="83"/>
  <c r="AC105" i="83" s="1"/>
  <c r="Y104" i="83"/>
  <c r="AC104" i="83" s="1"/>
  <c r="X104" i="83"/>
  <c r="W104" i="83"/>
  <c r="U104" i="83"/>
  <c r="S104" i="83"/>
  <c r="Q104" i="83"/>
  <c r="O104" i="83"/>
  <c r="M104" i="83"/>
  <c r="X103" i="83"/>
  <c r="W103" i="83"/>
  <c r="U103" i="83"/>
  <c r="S103" i="83"/>
  <c r="Y103" i="83" s="1"/>
  <c r="AC103" i="83" s="1"/>
  <c r="Q103" i="83"/>
  <c r="O103" i="83"/>
  <c r="X102" i="83"/>
  <c r="W102" i="83"/>
  <c r="U102" i="83"/>
  <c r="S102" i="83"/>
  <c r="Q102" i="83"/>
  <c r="Y102" i="83" s="1"/>
  <c r="O102" i="83"/>
  <c r="Y101" i="83"/>
  <c r="AC101" i="83" s="1"/>
  <c r="X101" i="83"/>
  <c r="W101" i="83"/>
  <c r="U101" i="83"/>
  <c r="S101" i="83"/>
  <c r="Q101" i="83"/>
  <c r="O101" i="83"/>
  <c r="X100" i="83"/>
  <c r="W100" i="83"/>
  <c r="U100" i="83"/>
  <c r="S100" i="83"/>
  <c r="Y100" i="83" s="1"/>
  <c r="AC100" i="83" s="1"/>
  <c r="Q100" i="83"/>
  <c r="O100" i="83"/>
  <c r="X99" i="83"/>
  <c r="W99" i="83"/>
  <c r="U99" i="83"/>
  <c r="S99" i="83"/>
  <c r="Q99" i="83"/>
  <c r="Y99" i="83" s="1"/>
  <c r="M99" i="83"/>
  <c r="O99" i="83" s="1"/>
  <c r="X98" i="83"/>
  <c r="W98" i="83"/>
  <c r="U98" i="83"/>
  <c r="S98" i="83"/>
  <c r="Q98" i="83"/>
  <c r="Y98" i="83" s="1"/>
  <c r="AC98" i="83" s="1"/>
  <c r="O98" i="83"/>
  <c r="M98" i="83"/>
  <c r="X97" i="83"/>
  <c r="W97" i="83"/>
  <c r="Y97" i="83" s="1"/>
  <c r="U97" i="83"/>
  <c r="S97" i="83"/>
  <c r="Q97" i="83"/>
  <c r="M97" i="83"/>
  <c r="O97" i="83" s="1"/>
  <c r="AC97" i="83" s="1"/>
  <c r="X96" i="83"/>
  <c r="W96" i="83"/>
  <c r="U96" i="83"/>
  <c r="S96" i="83"/>
  <c r="Q96" i="83"/>
  <c r="Y96" i="83" s="1"/>
  <c r="AC96" i="83" s="1"/>
  <c r="O96" i="83"/>
  <c r="M96" i="83"/>
  <c r="X95" i="83"/>
  <c r="W95" i="83"/>
  <c r="U95" i="83"/>
  <c r="S95" i="83"/>
  <c r="Q95" i="83"/>
  <c r="Y95" i="83" s="1"/>
  <c r="M95" i="83"/>
  <c r="O95" i="83" s="1"/>
  <c r="X94" i="83"/>
  <c r="W94" i="83"/>
  <c r="U94" i="83"/>
  <c r="S94" i="83"/>
  <c r="Q94" i="83"/>
  <c r="Y94" i="83" s="1"/>
  <c r="M94" i="83"/>
  <c r="O94" i="83" s="1"/>
  <c r="AC94" i="83" s="1"/>
  <c r="X93" i="83"/>
  <c r="W93" i="83"/>
  <c r="Y93" i="83" s="1"/>
  <c r="AC93" i="83" s="1"/>
  <c r="S93" i="83"/>
  <c r="Q93" i="83"/>
  <c r="O93" i="83"/>
  <c r="X92" i="83"/>
  <c r="S92" i="83"/>
  <c r="Q92" i="83"/>
  <c r="Y92" i="83" s="1"/>
  <c r="O92" i="83"/>
  <c r="Y91" i="83"/>
  <c r="AC91" i="83" s="1"/>
  <c r="X91" i="83"/>
  <c r="S91" i="83"/>
  <c r="Q91" i="83"/>
  <c r="O91" i="83"/>
  <c r="X90" i="83"/>
  <c r="W90" i="83"/>
  <c r="U90" i="83"/>
  <c r="S90" i="83"/>
  <c r="Q90" i="83"/>
  <c r="Y90" i="83" s="1"/>
  <c r="M90" i="83"/>
  <c r="O90" i="83" s="1"/>
  <c r="AC90" i="83" s="1"/>
  <c r="X89" i="83"/>
  <c r="W89" i="83"/>
  <c r="U89" i="83"/>
  <c r="S89" i="83"/>
  <c r="Q89" i="83"/>
  <c r="Y89" i="83" s="1"/>
  <c r="M89" i="83"/>
  <c r="O89" i="83" s="1"/>
  <c r="Y88" i="83"/>
  <c r="AC88" i="83" s="1"/>
  <c r="X88" i="83"/>
  <c r="W88" i="83"/>
  <c r="U88" i="83"/>
  <c r="S88" i="83"/>
  <c r="Q88" i="83"/>
  <c r="O88" i="83"/>
  <c r="X87" i="83"/>
  <c r="W87" i="83"/>
  <c r="U87" i="83"/>
  <c r="S87" i="83"/>
  <c r="Q87" i="83"/>
  <c r="Y87" i="83" s="1"/>
  <c r="AC87" i="83" s="1"/>
  <c r="O87" i="83"/>
  <c r="M87" i="83"/>
  <c r="X86" i="83"/>
  <c r="W86" i="83"/>
  <c r="U86" i="83"/>
  <c r="S86" i="83"/>
  <c r="Q86" i="83"/>
  <c r="Y86" i="83" s="1"/>
  <c r="M86" i="83"/>
  <c r="O86" i="83" s="1"/>
  <c r="AC85" i="83"/>
  <c r="X85" i="83"/>
  <c r="W85" i="83"/>
  <c r="U85" i="83"/>
  <c r="Q85" i="83"/>
  <c r="Y85" i="83" s="1"/>
  <c r="O85" i="83"/>
  <c r="X84" i="83"/>
  <c r="W84" i="83"/>
  <c r="U84" i="83"/>
  <c r="S84" i="83"/>
  <c r="Y84" i="83" s="1"/>
  <c r="Q84" i="83"/>
  <c r="M84" i="83"/>
  <c r="O84" i="83" s="1"/>
  <c r="X83" i="83"/>
  <c r="W83" i="83"/>
  <c r="U83" i="83"/>
  <c r="Q83" i="83"/>
  <c r="Y83" i="83" s="1"/>
  <c r="M83" i="83"/>
  <c r="O83" i="83" s="1"/>
  <c r="AC83" i="83" s="1"/>
  <c r="X82" i="83"/>
  <c r="W82" i="83"/>
  <c r="U82" i="83"/>
  <c r="S82" i="83"/>
  <c r="Q82" i="83"/>
  <c r="Y82" i="83" s="1"/>
  <c r="AC82" i="83" s="1"/>
  <c r="O82" i="83"/>
  <c r="X81" i="83"/>
  <c r="W81" i="83"/>
  <c r="U81" i="83"/>
  <c r="Y81" i="83" s="1"/>
  <c r="AC81" i="83" s="1"/>
  <c r="S81" i="83"/>
  <c r="Q81" i="83"/>
  <c r="O81" i="83"/>
  <c r="X80" i="83"/>
  <c r="W80" i="83"/>
  <c r="U80" i="83"/>
  <c r="S80" i="83"/>
  <c r="Q80" i="83"/>
  <c r="Y80" i="83" s="1"/>
  <c r="O80" i="83"/>
  <c r="AC79" i="83"/>
  <c r="X79" i="83"/>
  <c r="W79" i="83"/>
  <c r="U79" i="83"/>
  <c r="S79" i="83"/>
  <c r="Q79" i="83"/>
  <c r="Y79" i="83" s="1"/>
  <c r="O79" i="83"/>
  <c r="X78" i="83"/>
  <c r="W78" i="83"/>
  <c r="U78" i="83"/>
  <c r="Y78" i="83" s="1"/>
  <c r="S78" i="83"/>
  <c r="Q78" i="83"/>
  <c r="M78" i="83"/>
  <c r="O78" i="83" s="1"/>
  <c r="AC78" i="83" s="1"/>
  <c r="X77" i="83"/>
  <c r="W77" i="83"/>
  <c r="U77" i="83"/>
  <c r="S77" i="83"/>
  <c r="Q77" i="83"/>
  <c r="Y77" i="83" s="1"/>
  <c r="O77" i="83"/>
  <c r="M77" i="83"/>
  <c r="X76" i="83"/>
  <c r="W76" i="83"/>
  <c r="U76" i="83"/>
  <c r="S76" i="83"/>
  <c r="Q76" i="83"/>
  <c r="Y76" i="83" s="1"/>
  <c r="O76" i="83"/>
  <c r="M76" i="83"/>
  <c r="Y75" i="83"/>
  <c r="X75" i="83"/>
  <c r="W75" i="83"/>
  <c r="U75" i="83"/>
  <c r="S75" i="83"/>
  <c r="Q75" i="83"/>
  <c r="M75" i="83"/>
  <c r="O75" i="83" s="1"/>
  <c r="AC75" i="83" s="1"/>
  <c r="X74" i="83"/>
  <c r="W74" i="83"/>
  <c r="U74" i="83"/>
  <c r="Y74" i="83" s="1"/>
  <c r="AC74" i="83" s="1"/>
  <c r="S74" i="83"/>
  <c r="Q74" i="83"/>
  <c r="O74" i="83"/>
  <c r="X73" i="83"/>
  <c r="W73" i="83"/>
  <c r="U73" i="83"/>
  <c r="S73" i="83"/>
  <c r="Q73" i="83"/>
  <c r="Y73" i="83" s="1"/>
  <c r="M73" i="83"/>
  <c r="O73" i="83" s="1"/>
  <c r="AC73" i="83" s="1"/>
  <c r="X72" i="83"/>
  <c r="W72" i="83"/>
  <c r="U72" i="83"/>
  <c r="S72" i="83"/>
  <c r="Q72" i="83"/>
  <c r="Y72" i="83" s="1"/>
  <c r="M72" i="83"/>
  <c r="O72" i="83" s="1"/>
  <c r="Y71" i="83"/>
  <c r="AC71" i="83" s="1"/>
  <c r="X71" i="83"/>
  <c r="W71" i="83"/>
  <c r="U71" i="83"/>
  <c r="S71" i="83"/>
  <c r="Q71" i="83"/>
  <c r="O71" i="83"/>
  <c r="X70" i="83"/>
  <c r="W70" i="83"/>
  <c r="U70" i="83"/>
  <c r="S70" i="83"/>
  <c r="Q70" i="83"/>
  <c r="Y70" i="83" s="1"/>
  <c r="AC70" i="83" s="1"/>
  <c r="O70" i="83"/>
  <c r="M70" i="83"/>
  <c r="X69" i="83"/>
  <c r="W69" i="83"/>
  <c r="U69" i="83"/>
  <c r="S69" i="83"/>
  <c r="Q69" i="83"/>
  <c r="Y69" i="83" s="1"/>
  <c r="M69" i="83"/>
  <c r="O69" i="83" s="1"/>
  <c r="AC68" i="83"/>
  <c r="X68" i="83"/>
  <c r="W68" i="83"/>
  <c r="U68" i="83"/>
  <c r="S68" i="83"/>
  <c r="Q68" i="83"/>
  <c r="Y68" i="83" s="1"/>
  <c r="M68" i="83"/>
  <c r="O68" i="83" s="1"/>
  <c r="X67" i="83"/>
  <c r="W67" i="83"/>
  <c r="Y67" i="83" s="1"/>
  <c r="AC67" i="83" s="1"/>
  <c r="U67" i="83"/>
  <c r="S67" i="83"/>
  <c r="Q67" i="83"/>
  <c r="O67" i="83"/>
  <c r="X66" i="83"/>
  <c r="W66" i="83"/>
  <c r="U66" i="83"/>
  <c r="S66" i="83"/>
  <c r="Q66" i="83"/>
  <c r="Y66" i="83" s="1"/>
  <c r="O66" i="83"/>
  <c r="M66" i="83"/>
  <c r="X65" i="83"/>
  <c r="W65" i="83"/>
  <c r="U65" i="83"/>
  <c r="S65" i="83"/>
  <c r="Q65" i="83"/>
  <c r="Y65" i="83" s="1"/>
  <c r="O65" i="83"/>
  <c r="M65" i="83"/>
  <c r="Y64" i="83"/>
  <c r="X64" i="83"/>
  <c r="W64" i="83"/>
  <c r="U64" i="83"/>
  <c r="S64" i="83"/>
  <c r="Q64" i="83"/>
  <c r="M64" i="83"/>
  <c r="O64" i="83" s="1"/>
  <c r="AC64" i="83" s="1"/>
  <c r="X63" i="83"/>
  <c r="W63" i="83"/>
  <c r="U63" i="83"/>
  <c r="Y63" i="83" s="1"/>
  <c r="S63" i="83"/>
  <c r="Q63" i="83"/>
  <c r="M63" i="83"/>
  <c r="O63" i="83" s="1"/>
  <c r="X62" i="83"/>
  <c r="W62" i="83"/>
  <c r="U62" i="83"/>
  <c r="S62" i="83"/>
  <c r="Q62" i="83"/>
  <c r="Y62" i="83" s="1"/>
  <c r="O62" i="83"/>
  <c r="AC62" i="83" s="1"/>
  <c r="M62" i="83"/>
  <c r="X61" i="83"/>
  <c r="W61" i="83"/>
  <c r="U61" i="83"/>
  <c r="S61" i="83"/>
  <c r="Q61" i="83"/>
  <c r="Y61" i="83" s="1"/>
  <c r="O61" i="83"/>
  <c r="AC61" i="83" s="1"/>
  <c r="M61" i="83"/>
  <c r="Y60" i="83"/>
  <c r="AC60" i="83" s="1"/>
  <c r="X60" i="83"/>
  <c r="W60" i="83"/>
  <c r="U60" i="83"/>
  <c r="S60" i="83"/>
  <c r="Q60" i="83"/>
  <c r="O60" i="83"/>
  <c r="X59" i="83"/>
  <c r="W59" i="83"/>
  <c r="S59" i="83"/>
  <c r="Q59" i="83"/>
  <c r="Y59" i="83" s="1"/>
  <c r="AC59" i="83" s="1"/>
  <c r="O59" i="83"/>
  <c r="M59" i="83"/>
  <c r="X58" i="83"/>
  <c r="U58" i="83"/>
  <c r="S58" i="83"/>
  <c r="Y58" i="83" s="1"/>
  <c r="O58" i="83"/>
  <c r="X57" i="83"/>
  <c r="W57" i="83"/>
  <c r="Y57" i="83" s="1"/>
  <c r="U57" i="83"/>
  <c r="S57" i="83"/>
  <c r="Q57" i="83"/>
  <c r="M57" i="83"/>
  <c r="O57" i="83" s="1"/>
  <c r="X56" i="83"/>
  <c r="W56" i="83"/>
  <c r="U56" i="83"/>
  <c r="S56" i="83"/>
  <c r="Q56" i="83"/>
  <c r="Y56" i="83" s="1"/>
  <c r="AC56" i="83" s="1"/>
  <c r="O56" i="83"/>
  <c r="M56" i="83"/>
  <c r="X55" i="83"/>
  <c r="W55" i="83"/>
  <c r="U55" i="83"/>
  <c r="S55" i="83"/>
  <c r="Q55" i="83"/>
  <c r="Y55" i="83" s="1"/>
  <c r="M55" i="83"/>
  <c r="O55" i="83" s="1"/>
  <c r="AC55" i="83" s="1"/>
  <c r="AC54" i="83"/>
  <c r="X54" i="83"/>
  <c r="W54" i="83"/>
  <c r="U54" i="83"/>
  <c r="S54" i="83"/>
  <c r="Q54" i="83"/>
  <c r="Y54" i="83" s="1"/>
  <c r="O54" i="83"/>
  <c r="X53" i="83"/>
  <c r="W53" i="83"/>
  <c r="U53" i="83"/>
  <c r="Y53" i="83" s="1"/>
  <c r="S53" i="83"/>
  <c r="Q53" i="83"/>
  <c r="M53" i="83"/>
  <c r="O53" i="83" s="1"/>
  <c r="AC53" i="83" s="1"/>
  <c r="X52" i="83"/>
  <c r="W52" i="83"/>
  <c r="U52" i="83"/>
  <c r="S52" i="83"/>
  <c r="Q52" i="83"/>
  <c r="Y52" i="83" s="1"/>
  <c r="O52" i="83"/>
  <c r="AC52" i="83" s="1"/>
  <c r="X51" i="83"/>
  <c r="W51" i="83"/>
  <c r="U51" i="83"/>
  <c r="S51" i="83"/>
  <c r="Q51" i="83"/>
  <c r="Y51" i="83" s="1"/>
  <c r="M51" i="83"/>
  <c r="O51" i="83" s="1"/>
  <c r="AC51" i="83" s="1"/>
  <c r="Y50" i="83"/>
  <c r="X50" i="83"/>
  <c r="W50" i="83"/>
  <c r="U50" i="83"/>
  <c r="S50" i="83"/>
  <c r="Q50" i="83"/>
  <c r="O50" i="83"/>
  <c r="AC50" i="83" s="1"/>
  <c r="M50" i="83"/>
  <c r="W49" i="83"/>
  <c r="S49" i="83"/>
  <c r="Q49" i="83"/>
  <c r="O49" i="83"/>
  <c r="AC49" i="83" s="1"/>
  <c r="X48" i="83"/>
  <c r="W48" i="83"/>
  <c r="U48" i="83"/>
  <c r="S48" i="83"/>
  <c r="Q48" i="83"/>
  <c r="Y48" i="83" s="1"/>
  <c r="M48" i="83"/>
  <c r="O48" i="83" s="1"/>
  <c r="AC48" i="83" s="1"/>
  <c r="X47" i="83"/>
  <c r="W47" i="83"/>
  <c r="Y47" i="83" s="1"/>
  <c r="AC47" i="83" s="1"/>
  <c r="U47" i="83"/>
  <c r="S47" i="83"/>
  <c r="Q47" i="83"/>
  <c r="O47" i="83"/>
  <c r="X46" i="83"/>
  <c r="W46" i="83"/>
  <c r="U46" i="83"/>
  <c r="S46" i="83"/>
  <c r="Q46" i="83"/>
  <c r="Y46" i="83" s="1"/>
  <c r="O46" i="83"/>
  <c r="M46" i="83"/>
  <c r="X45" i="83"/>
  <c r="W45" i="83"/>
  <c r="U45" i="83"/>
  <c r="S45" i="83"/>
  <c r="Q45" i="83"/>
  <c r="Y45" i="83" s="1"/>
  <c r="O45" i="83"/>
  <c r="M45" i="83"/>
  <c r="Y44" i="83"/>
  <c r="X44" i="83"/>
  <c r="W44" i="83"/>
  <c r="U44" i="83"/>
  <c r="S44" i="83"/>
  <c r="Q44" i="83"/>
  <c r="M44" i="83"/>
  <c r="O44" i="83" s="1"/>
  <c r="X43" i="83"/>
  <c r="W43" i="83"/>
  <c r="U43" i="83"/>
  <c r="Y43" i="83" s="1"/>
  <c r="S43" i="83"/>
  <c r="Q43" i="83"/>
  <c r="M43" i="83"/>
  <c r="O43" i="83" s="1"/>
  <c r="AC43" i="83" s="1"/>
  <c r="X42" i="83"/>
  <c r="W42" i="83"/>
  <c r="U42" i="83"/>
  <c r="S42" i="83"/>
  <c r="Q42" i="83"/>
  <c r="Y42" i="83" s="1"/>
  <c r="O42" i="83"/>
  <c r="AC42" i="83" s="1"/>
  <c r="M42" i="83"/>
  <c r="X41" i="83"/>
  <c r="W41" i="83"/>
  <c r="U41" i="83"/>
  <c r="S41" i="83"/>
  <c r="Q41" i="83"/>
  <c r="Y41" i="83" s="1"/>
  <c r="O41" i="83"/>
  <c r="Y40" i="83"/>
  <c r="X40" i="83"/>
  <c r="W40" i="83"/>
  <c r="U40" i="83"/>
  <c r="S40" i="83"/>
  <c r="Q40" i="83"/>
  <c r="O40" i="83"/>
  <c r="AC40" i="83" s="1"/>
  <c r="X39" i="83"/>
  <c r="W39" i="83"/>
  <c r="U39" i="83"/>
  <c r="S39" i="83"/>
  <c r="Q39" i="83"/>
  <c r="Y39" i="83" s="1"/>
  <c r="AC39" i="83" s="1"/>
  <c r="O39" i="83"/>
  <c r="M39" i="83"/>
  <c r="X38" i="83"/>
  <c r="W38" i="83"/>
  <c r="U38" i="83"/>
  <c r="S38" i="83"/>
  <c r="Q38" i="83"/>
  <c r="Y38" i="83" s="1"/>
  <c r="M38" i="83"/>
  <c r="O38" i="83" s="1"/>
  <c r="X37" i="83"/>
  <c r="W37" i="83"/>
  <c r="U37" i="83"/>
  <c r="S37" i="83"/>
  <c r="Q37" i="83"/>
  <c r="Y37" i="83" s="1"/>
  <c r="AC37" i="83" s="1"/>
  <c r="O37" i="83"/>
  <c r="M37" i="83"/>
  <c r="X36" i="83"/>
  <c r="W36" i="83"/>
  <c r="Y36" i="83" s="1"/>
  <c r="AC36" i="83" s="1"/>
  <c r="U36" i="83"/>
  <c r="S36" i="83"/>
  <c r="Q36" i="83"/>
  <c r="O36" i="83"/>
  <c r="X35" i="83"/>
  <c r="W35" i="83"/>
  <c r="U35" i="83"/>
  <c r="S35" i="83"/>
  <c r="Q35" i="83"/>
  <c r="Y35" i="83" s="1"/>
  <c r="O35" i="83"/>
  <c r="M35" i="83"/>
  <c r="X34" i="83"/>
  <c r="W34" i="83"/>
  <c r="U34" i="83"/>
  <c r="S34" i="83"/>
  <c r="Q34" i="83"/>
  <c r="Y34" i="83" s="1"/>
  <c r="O34" i="83"/>
  <c r="M34" i="83"/>
  <c r="Y33" i="83"/>
  <c r="AC33" i="83" s="1"/>
  <c r="X33" i="83"/>
  <c r="W33" i="83"/>
  <c r="U33" i="83"/>
  <c r="S33" i="83"/>
  <c r="Q33" i="83"/>
  <c r="O33" i="83"/>
  <c r="X32" i="83"/>
  <c r="W32" i="83"/>
  <c r="U32" i="83"/>
  <c r="S32" i="83"/>
  <c r="Y32" i="83" s="1"/>
  <c r="Q32" i="83"/>
  <c r="M32" i="83"/>
  <c r="O32" i="83" s="1"/>
  <c r="AC32" i="83" s="1"/>
  <c r="X31" i="83"/>
  <c r="W31" i="83"/>
  <c r="U31" i="83"/>
  <c r="S31" i="83"/>
  <c r="Q31" i="83"/>
  <c r="Y31" i="83" s="1"/>
  <c r="O31" i="83"/>
  <c r="AC31" i="83" s="1"/>
  <c r="X30" i="83"/>
  <c r="W30" i="83"/>
  <c r="U30" i="83"/>
  <c r="S30" i="83"/>
  <c r="Q30" i="83"/>
  <c r="Y30" i="83" s="1"/>
  <c r="AC30" i="83" s="1"/>
  <c r="O30" i="83"/>
  <c r="X29" i="83"/>
  <c r="W29" i="83"/>
  <c r="U29" i="83"/>
  <c r="Y29" i="83" s="1"/>
  <c r="AC29" i="83" s="1"/>
  <c r="S29" i="83"/>
  <c r="Q29" i="83"/>
  <c r="O29" i="83"/>
  <c r="X28" i="83"/>
  <c r="W28" i="83"/>
  <c r="U28" i="83"/>
  <c r="S28" i="83"/>
  <c r="Q28" i="83"/>
  <c r="Y28" i="83" s="1"/>
  <c r="M28" i="83"/>
  <c r="O28" i="83" s="1"/>
  <c r="X27" i="83"/>
  <c r="W27" i="83"/>
  <c r="U27" i="83"/>
  <c r="S27" i="83"/>
  <c r="Q27" i="83"/>
  <c r="Y27" i="83" s="1"/>
  <c r="O27" i="83"/>
  <c r="X26" i="83"/>
  <c r="W26" i="83"/>
  <c r="Y26" i="83" s="1"/>
  <c r="U26" i="83"/>
  <c r="S26" i="83"/>
  <c r="Q26" i="83"/>
  <c r="M26" i="83"/>
  <c r="O26" i="83" s="1"/>
  <c r="X25" i="83"/>
  <c r="W25" i="83"/>
  <c r="U25" i="83"/>
  <c r="S25" i="83"/>
  <c r="Q25" i="83"/>
  <c r="Y25" i="83" s="1"/>
  <c r="AC25" i="83" s="1"/>
  <c r="O25" i="83"/>
  <c r="M25" i="83"/>
  <c r="X24" i="83"/>
  <c r="W24" i="83"/>
  <c r="U24" i="83"/>
  <c r="S24" i="83"/>
  <c r="Q24" i="83"/>
  <c r="Y24" i="83" s="1"/>
  <c r="M24" i="83"/>
  <c r="O24" i="83" s="1"/>
  <c r="AC24" i="83" s="1"/>
  <c r="X23" i="83"/>
  <c r="W23" i="83"/>
  <c r="U23" i="83"/>
  <c r="S23" i="83"/>
  <c r="Q23" i="83"/>
  <c r="Y23" i="83" s="1"/>
  <c r="M23" i="83"/>
  <c r="O23" i="83" s="1"/>
  <c r="AC23" i="83" s="1"/>
  <c r="X22" i="83"/>
  <c r="W22" i="83"/>
  <c r="Y22" i="83" s="1"/>
  <c r="U22" i="83"/>
  <c r="S22" i="83"/>
  <c r="Q22" i="83"/>
  <c r="M22" i="83"/>
  <c r="O22" i="83" s="1"/>
  <c r="X21" i="83"/>
  <c r="W21" i="83"/>
  <c r="U21" i="83"/>
  <c r="S21" i="83"/>
  <c r="Q21" i="83"/>
  <c r="Y21" i="83" s="1"/>
  <c r="AC21" i="83" s="1"/>
  <c r="O21" i="83"/>
  <c r="M21" i="83"/>
  <c r="X20" i="83"/>
  <c r="W20" i="83"/>
  <c r="U20" i="83"/>
  <c r="S20" i="83"/>
  <c r="Q20" i="83"/>
  <c r="Y20" i="83" s="1"/>
  <c r="O20" i="83"/>
  <c r="AC20" i="83" s="1"/>
  <c r="Y19" i="83"/>
  <c r="AC19" i="83" s="1"/>
  <c r="X19" i="83"/>
  <c r="W19" i="83"/>
  <c r="U19" i="83"/>
  <c r="S19" i="83"/>
  <c r="Q19" i="83"/>
  <c r="O19" i="83"/>
  <c r="X18" i="83"/>
  <c r="W18" i="83"/>
  <c r="U18" i="83"/>
  <c r="S18" i="83"/>
  <c r="Y18" i="83" s="1"/>
  <c r="AC18" i="83" s="1"/>
  <c r="Q18" i="83"/>
  <c r="O18" i="83"/>
  <c r="X17" i="83"/>
  <c r="W17" i="83"/>
  <c r="U17" i="83"/>
  <c r="S17" i="83"/>
  <c r="Q17" i="83"/>
  <c r="Y17" i="83" s="1"/>
  <c r="M17" i="83"/>
  <c r="O17" i="83" s="1"/>
  <c r="AC16" i="83"/>
  <c r="X16" i="83"/>
  <c r="W16" i="83"/>
  <c r="U16" i="83"/>
  <c r="S16" i="83"/>
  <c r="Q16" i="83"/>
  <c r="Y16" i="83" s="1"/>
  <c r="M16" i="83"/>
  <c r="O16" i="83" s="1"/>
  <c r="X15" i="83"/>
  <c r="W15" i="83"/>
  <c r="Y15" i="83" s="1"/>
  <c r="U15" i="83"/>
  <c r="S15" i="83"/>
  <c r="Q15" i="83"/>
  <c r="M15" i="83"/>
  <c r="O15" i="83" s="1"/>
  <c r="AC15" i="83" s="1"/>
  <c r="X14" i="83"/>
  <c r="W14" i="83"/>
  <c r="U14" i="83"/>
  <c r="S14" i="83"/>
  <c r="Q14" i="83"/>
  <c r="Y14" i="83" s="1"/>
  <c r="AC14" i="83" s="1"/>
  <c r="O14" i="83"/>
  <c r="X13" i="83"/>
  <c r="W13" i="83"/>
  <c r="U13" i="83"/>
  <c r="S13" i="83"/>
  <c r="Q13" i="83"/>
  <c r="Y13" i="83" s="1"/>
  <c r="O13" i="83"/>
  <c r="AC13" i="83" s="1"/>
  <c r="M13" i="83"/>
  <c r="Y12" i="83"/>
  <c r="X12" i="83"/>
  <c r="W12" i="83"/>
  <c r="U12" i="83"/>
  <c r="S12" i="83"/>
  <c r="Q12" i="83"/>
  <c r="M12" i="83"/>
  <c r="O12" i="83" s="1"/>
  <c r="X11" i="83"/>
  <c r="W11" i="83"/>
  <c r="U11" i="83"/>
  <c r="Y11" i="83" s="1"/>
  <c r="S11" i="83"/>
  <c r="Q11" i="83"/>
  <c r="M11" i="83"/>
  <c r="O11" i="83" s="1"/>
  <c r="AC11" i="83" s="1"/>
  <c r="X10" i="83"/>
  <c r="W10" i="83"/>
  <c r="U10" i="83"/>
  <c r="S10" i="83"/>
  <c r="Q10" i="83"/>
  <c r="Y10" i="83" s="1"/>
  <c r="O10" i="83"/>
  <c r="M10" i="83"/>
  <c r="X9" i="83"/>
  <c r="W9" i="83"/>
  <c r="U9" i="83"/>
  <c r="S9" i="83"/>
  <c r="Q9" i="83"/>
  <c r="O9" i="83"/>
  <c r="M9" i="83"/>
  <c r="N47" i="82"/>
  <c r="K47" i="82"/>
  <c r="J47" i="82"/>
  <c r="H47" i="82"/>
  <c r="F47" i="82"/>
  <c r="D47" i="82"/>
  <c r="M46" i="82"/>
  <c r="V46" i="82" s="1"/>
  <c r="W46" i="82" s="1"/>
  <c r="L46" i="82"/>
  <c r="I46" i="82"/>
  <c r="G46" i="82"/>
  <c r="E46" i="82"/>
  <c r="V45" i="82"/>
  <c r="W45" i="82" s="1"/>
  <c r="U45" i="82"/>
  <c r="T45" i="82"/>
  <c r="R45" i="82"/>
  <c r="Q45" i="82"/>
  <c r="P45" i="82"/>
  <c r="O45" i="82"/>
  <c r="L45" i="82"/>
  <c r="I45" i="82"/>
  <c r="G45" i="82"/>
  <c r="E45" i="82"/>
  <c r="V44" i="82"/>
  <c r="W44" i="82" s="1"/>
  <c r="M44" i="82"/>
  <c r="T44" i="82" s="1"/>
  <c r="U44" i="82" s="1"/>
  <c r="L44" i="82"/>
  <c r="I44" i="82"/>
  <c r="G44" i="82"/>
  <c r="E44" i="82"/>
  <c r="X43" i="82"/>
  <c r="Y43" i="82" s="1"/>
  <c r="W43" i="82"/>
  <c r="U43" i="82"/>
  <c r="S43" i="82"/>
  <c r="Q43" i="82"/>
  <c r="M43" i="82"/>
  <c r="AC43" i="82" s="1"/>
  <c r="L43" i="82"/>
  <c r="I43" i="82"/>
  <c r="G43" i="82"/>
  <c r="E43" i="82"/>
  <c r="X42" i="82"/>
  <c r="Y42" i="82" s="1"/>
  <c r="W42" i="82"/>
  <c r="U42" i="82"/>
  <c r="S42" i="82"/>
  <c r="Q42" i="82"/>
  <c r="M42" i="82"/>
  <c r="AC42" i="82" s="1"/>
  <c r="L42" i="82"/>
  <c r="I42" i="82"/>
  <c r="G42" i="82"/>
  <c r="E42" i="82"/>
  <c r="Y41" i="82"/>
  <c r="X41" i="82"/>
  <c r="W41" i="82"/>
  <c r="U41" i="82"/>
  <c r="S41" i="82"/>
  <c r="Q41" i="82"/>
  <c r="M41" i="82"/>
  <c r="L41" i="82"/>
  <c r="I41" i="82"/>
  <c r="G41" i="82"/>
  <c r="E41" i="82"/>
  <c r="AC40" i="82"/>
  <c r="X40" i="82"/>
  <c r="Y40" i="82" s="1"/>
  <c r="W40" i="82"/>
  <c r="U40" i="82"/>
  <c r="S40" i="82"/>
  <c r="Q40" i="82"/>
  <c r="O40" i="82"/>
  <c r="M40" i="82"/>
  <c r="L40" i="82"/>
  <c r="I40" i="82"/>
  <c r="G40" i="82"/>
  <c r="E40" i="82"/>
  <c r="X39" i="82"/>
  <c r="AC39" i="82" s="1"/>
  <c r="W39" i="82"/>
  <c r="U39" i="82"/>
  <c r="S39" i="82"/>
  <c r="Q39" i="82"/>
  <c r="O39" i="82"/>
  <c r="M39" i="82"/>
  <c r="L39" i="82"/>
  <c r="I39" i="82"/>
  <c r="G39" i="82"/>
  <c r="E39" i="82"/>
  <c r="X38" i="82"/>
  <c r="AC38" i="82" s="1"/>
  <c r="W38" i="82"/>
  <c r="U38" i="82"/>
  <c r="S38" i="82"/>
  <c r="Q38" i="82"/>
  <c r="M38" i="82"/>
  <c r="O38" i="82" s="1"/>
  <c r="L38" i="82"/>
  <c r="I38" i="82"/>
  <c r="G38" i="82"/>
  <c r="E38" i="82"/>
  <c r="X37" i="82"/>
  <c r="AC37" i="82" s="1"/>
  <c r="W37" i="82"/>
  <c r="U37" i="82"/>
  <c r="S37" i="82"/>
  <c r="Q37" i="82"/>
  <c r="M37" i="82"/>
  <c r="O37" i="82" s="1"/>
  <c r="L37" i="82"/>
  <c r="I37" i="82"/>
  <c r="G37" i="82"/>
  <c r="E37" i="82"/>
  <c r="X36" i="82"/>
  <c r="AC36" i="82" s="1"/>
  <c r="W36" i="82"/>
  <c r="U36" i="82"/>
  <c r="S36" i="82"/>
  <c r="Q36" i="82"/>
  <c r="M36" i="82"/>
  <c r="O36" i="82" s="1"/>
  <c r="L36" i="82"/>
  <c r="I36" i="82"/>
  <c r="G36" i="82"/>
  <c r="E36" i="82"/>
  <c r="X35" i="82"/>
  <c r="W35" i="82"/>
  <c r="U35" i="82"/>
  <c r="S35" i="82"/>
  <c r="Q35" i="82"/>
  <c r="O35" i="82"/>
  <c r="M35" i="82"/>
  <c r="L35" i="82"/>
  <c r="I35" i="82"/>
  <c r="G35" i="82"/>
  <c r="E35" i="82"/>
  <c r="M34" i="82"/>
  <c r="V34" i="82" s="1"/>
  <c r="W34" i="82" s="1"/>
  <c r="L34" i="82"/>
  <c r="I34" i="82"/>
  <c r="G34" i="82"/>
  <c r="E34" i="82"/>
  <c r="V33" i="82"/>
  <c r="W33" i="82" s="1"/>
  <c r="T33" i="82"/>
  <c r="U33" i="82" s="1"/>
  <c r="R33" i="82"/>
  <c r="S33" i="82" s="1"/>
  <c r="M33" i="82"/>
  <c r="P33" i="82" s="1"/>
  <c r="L33" i="82"/>
  <c r="I33" i="82"/>
  <c r="G33" i="82"/>
  <c r="E33" i="82"/>
  <c r="W32" i="82"/>
  <c r="M32" i="82"/>
  <c r="V32" i="82" s="1"/>
  <c r="L32" i="82"/>
  <c r="I32" i="82"/>
  <c r="G32" i="82"/>
  <c r="E32" i="82"/>
  <c r="X31" i="82"/>
  <c r="AC31" i="82" s="1"/>
  <c r="W31" i="82"/>
  <c r="U31" i="82"/>
  <c r="S31" i="82"/>
  <c r="Q31" i="82"/>
  <c r="O31" i="82"/>
  <c r="AC30" i="82"/>
  <c r="X30" i="82"/>
  <c r="Y30" i="82" s="1"/>
  <c r="W30" i="82"/>
  <c r="U30" i="82"/>
  <c r="S30" i="82"/>
  <c r="Q30" i="82"/>
  <c r="O30" i="82"/>
  <c r="I30" i="82"/>
  <c r="G30" i="82"/>
  <c r="E30" i="82"/>
  <c r="M29" i="82"/>
  <c r="L29" i="82"/>
  <c r="I29" i="82"/>
  <c r="G29" i="82"/>
  <c r="E29" i="82"/>
  <c r="X28" i="82"/>
  <c r="Y28" i="82" s="1"/>
  <c r="W28" i="82"/>
  <c r="U28" i="82"/>
  <c r="S28" i="82"/>
  <c r="Q28" i="82"/>
  <c r="M28" i="82"/>
  <c r="AC28" i="82" s="1"/>
  <c r="L28" i="82"/>
  <c r="I28" i="82"/>
  <c r="G28" i="82"/>
  <c r="E28" i="82"/>
  <c r="X27" i="82"/>
  <c r="Y27" i="82" s="1"/>
  <c r="W27" i="82"/>
  <c r="U27" i="82"/>
  <c r="S27" i="82"/>
  <c r="Q27" i="82"/>
  <c r="O27" i="82"/>
  <c r="M27" i="82"/>
  <c r="AC27" i="82" s="1"/>
  <c r="L27" i="82"/>
  <c r="I27" i="82"/>
  <c r="G27" i="82"/>
  <c r="E27" i="82"/>
  <c r="V26" i="82"/>
  <c r="W26" i="82" s="1"/>
  <c r="U26" i="82"/>
  <c r="T26" i="82"/>
  <c r="R26" i="82"/>
  <c r="S26" i="82" s="1"/>
  <c r="M26" i="82"/>
  <c r="P26" i="82" s="1"/>
  <c r="L26" i="82"/>
  <c r="I26" i="82"/>
  <c r="G26" i="82"/>
  <c r="E26" i="82"/>
  <c r="AC25" i="82"/>
  <c r="X25" i="82"/>
  <c r="Y25" i="82" s="1"/>
  <c r="W25" i="82"/>
  <c r="U25" i="82"/>
  <c r="S25" i="82"/>
  <c r="Q25" i="82"/>
  <c r="M25" i="82"/>
  <c r="O25" i="82" s="1"/>
  <c r="L25" i="82"/>
  <c r="I25" i="82"/>
  <c r="G25" i="82"/>
  <c r="E25" i="82"/>
  <c r="AC24" i="82"/>
  <c r="X24" i="82"/>
  <c r="Y24" i="82" s="1"/>
  <c r="W24" i="82"/>
  <c r="U24" i="82"/>
  <c r="S24" i="82"/>
  <c r="Q24" i="82"/>
  <c r="O24" i="82"/>
  <c r="M24" i="82"/>
  <c r="L24" i="82"/>
  <c r="I24" i="82"/>
  <c r="G24" i="82"/>
  <c r="E24" i="82"/>
  <c r="AC23" i="82"/>
  <c r="Y23" i="82"/>
  <c r="X23" i="82"/>
  <c r="W23" i="82"/>
  <c r="U23" i="82"/>
  <c r="S23" i="82"/>
  <c r="Q23" i="82"/>
  <c r="M23" i="82"/>
  <c r="O23" i="82" s="1"/>
  <c r="L23" i="82"/>
  <c r="I23" i="82"/>
  <c r="G23" i="82"/>
  <c r="E23" i="82"/>
  <c r="AC22" i="82"/>
  <c r="Y22" i="82"/>
  <c r="X22" i="82"/>
  <c r="W22" i="82"/>
  <c r="U22" i="82"/>
  <c r="S22" i="82"/>
  <c r="Q22" i="82"/>
  <c r="M22" i="82"/>
  <c r="O22" i="82" s="1"/>
  <c r="L22" i="82"/>
  <c r="I22" i="82"/>
  <c r="G22" i="82"/>
  <c r="E22" i="82"/>
  <c r="V21" i="82"/>
  <c r="W21" i="82" s="1"/>
  <c r="T21" i="82"/>
  <c r="U21" i="82" s="1"/>
  <c r="S21" i="82"/>
  <c r="R21" i="82"/>
  <c r="P21" i="82"/>
  <c r="X21" i="82" s="1"/>
  <c r="Y21" i="82" s="1"/>
  <c r="O21" i="82"/>
  <c r="M21" i="82"/>
  <c r="AC21" i="82" s="1"/>
  <c r="L21" i="82"/>
  <c r="I21" i="82"/>
  <c r="G21" i="82"/>
  <c r="E21" i="82"/>
  <c r="V20" i="82"/>
  <c r="W20" i="82" s="1"/>
  <c r="U20" i="82"/>
  <c r="T20" i="82"/>
  <c r="P20" i="82"/>
  <c r="Q20" i="82" s="1"/>
  <c r="O20" i="82"/>
  <c r="M20" i="82"/>
  <c r="R20" i="82" s="1"/>
  <c r="L20" i="82"/>
  <c r="I20" i="82"/>
  <c r="G20" i="82"/>
  <c r="E20" i="82"/>
  <c r="T19" i="82"/>
  <c r="U19" i="82" s="1"/>
  <c r="Q19" i="82"/>
  <c r="P19" i="82"/>
  <c r="O19" i="82"/>
  <c r="M19" i="82"/>
  <c r="L19" i="82"/>
  <c r="I19" i="82"/>
  <c r="G19" i="82"/>
  <c r="E19" i="82"/>
  <c r="V18" i="82"/>
  <c r="W18" i="82" s="1"/>
  <c r="T18" i="82"/>
  <c r="U18" i="82" s="1"/>
  <c r="S18" i="82"/>
  <c r="R18" i="82"/>
  <c r="M18" i="82"/>
  <c r="P18" i="82" s="1"/>
  <c r="L18" i="82"/>
  <c r="I18" i="82"/>
  <c r="G18" i="82"/>
  <c r="E18" i="82"/>
  <c r="M17" i="82"/>
  <c r="L17" i="82"/>
  <c r="I17" i="82"/>
  <c r="G17" i="82"/>
  <c r="E17" i="82"/>
  <c r="X16" i="82"/>
  <c r="Y16" i="82" s="1"/>
  <c r="W16" i="82"/>
  <c r="U16" i="82"/>
  <c r="S16" i="82"/>
  <c r="Q16" i="82"/>
  <c r="O16" i="82"/>
  <c r="M16" i="82"/>
  <c r="AC16" i="82" s="1"/>
  <c r="L16" i="82"/>
  <c r="I16" i="82"/>
  <c r="G16" i="82"/>
  <c r="E16" i="82"/>
  <c r="V15" i="82"/>
  <c r="W15" i="82" s="1"/>
  <c r="U15" i="82"/>
  <c r="T15" i="82"/>
  <c r="S15" i="82"/>
  <c r="R15" i="82"/>
  <c r="M15" i="82"/>
  <c r="P15" i="82" s="1"/>
  <c r="L15" i="82"/>
  <c r="I15" i="82"/>
  <c r="G15" i="82"/>
  <c r="E15" i="82"/>
  <c r="M14" i="82"/>
  <c r="L14" i="82"/>
  <c r="I14" i="82"/>
  <c r="G14" i="82"/>
  <c r="E14" i="82"/>
  <c r="Y13" i="82"/>
  <c r="X13" i="82"/>
  <c r="W13" i="82"/>
  <c r="U13" i="82"/>
  <c r="S13" i="82"/>
  <c r="Q13" i="82"/>
  <c r="M13" i="82"/>
  <c r="AC13" i="82" s="1"/>
  <c r="L13" i="82"/>
  <c r="I13" i="82"/>
  <c r="G13" i="82"/>
  <c r="E13" i="82"/>
  <c r="AC12" i="82"/>
  <c r="Y12" i="82"/>
  <c r="AB12" i="82" s="1"/>
  <c r="X12" i="82"/>
  <c r="W12" i="82"/>
  <c r="U12" i="82"/>
  <c r="S12" i="82"/>
  <c r="Q12" i="82"/>
  <c r="O12" i="82"/>
  <c r="M12" i="82"/>
  <c r="L12" i="82"/>
  <c r="I12" i="82"/>
  <c r="G12" i="82"/>
  <c r="E12" i="82"/>
  <c r="M11" i="82"/>
  <c r="L11" i="82"/>
  <c r="I11" i="82"/>
  <c r="G11" i="82"/>
  <c r="E11" i="82"/>
  <c r="W10" i="82"/>
  <c r="V10" i="82"/>
  <c r="U10" i="82"/>
  <c r="T10" i="82"/>
  <c r="R10" i="82"/>
  <c r="P10" i="82"/>
  <c r="O10" i="82"/>
  <c r="M10" i="82"/>
  <c r="L10" i="82"/>
  <c r="I10" i="82"/>
  <c r="G10" i="82"/>
  <c r="E10" i="82"/>
  <c r="X9" i="82"/>
  <c r="AC9" i="82" s="1"/>
  <c r="W9" i="82"/>
  <c r="U9" i="82"/>
  <c r="S9" i="82"/>
  <c r="Q9" i="82"/>
  <c r="M9" i="82"/>
  <c r="O9" i="82" s="1"/>
  <c r="L9" i="82"/>
  <c r="I9" i="82"/>
  <c r="G9" i="82"/>
  <c r="E9" i="82"/>
  <c r="AC8" i="82"/>
  <c r="Y8" i="82"/>
  <c r="X8" i="82"/>
  <c r="W8" i="82"/>
  <c r="U8" i="82"/>
  <c r="S8" i="82"/>
  <c r="Q8" i="82"/>
  <c r="O8" i="82"/>
  <c r="AB8" i="82" s="1"/>
  <c r="M8" i="82"/>
  <c r="L8" i="82"/>
  <c r="I8" i="82"/>
  <c r="G8" i="82"/>
  <c r="E8" i="82"/>
  <c r="V10" i="81"/>
  <c r="U10" i="81"/>
  <c r="T10" i="81"/>
  <c r="S10" i="81"/>
  <c r="R10" i="81"/>
  <c r="P10" i="81"/>
  <c r="N10" i="81"/>
  <c r="M10" i="81"/>
  <c r="L10" i="81"/>
  <c r="K10" i="81"/>
  <c r="J10" i="81"/>
  <c r="H10" i="81"/>
  <c r="F10" i="81"/>
  <c r="D10" i="81"/>
  <c r="X9" i="81"/>
  <c r="W9" i="81"/>
  <c r="W10" i="81" s="1"/>
  <c r="U9" i="81"/>
  <c r="S9" i="81"/>
  <c r="Q9" i="81"/>
  <c r="Q10" i="81" s="1"/>
  <c r="O9" i="81"/>
  <c r="O10" i="81" s="1"/>
  <c r="I9" i="81"/>
  <c r="I10" i="81" s="1"/>
  <c r="G9" i="81"/>
  <c r="G10" i="81" s="1"/>
  <c r="E9" i="81"/>
  <c r="E10" i="81" s="1"/>
  <c r="Y8" i="81"/>
  <c r="X8" i="81"/>
  <c r="O8" i="81"/>
  <c r="H299" i="80"/>
  <c r="T298" i="80"/>
  <c r="U298" i="80" s="1"/>
  <c r="O298" i="80"/>
  <c r="M298" i="80"/>
  <c r="V298" i="80" s="1"/>
  <c r="W298" i="80" s="1"/>
  <c r="L298" i="80"/>
  <c r="I298" i="80"/>
  <c r="G298" i="80"/>
  <c r="E298" i="80"/>
  <c r="W297" i="80"/>
  <c r="V297" i="80"/>
  <c r="U297" i="80"/>
  <c r="T297" i="80"/>
  <c r="S297" i="80"/>
  <c r="R297" i="80"/>
  <c r="P297" i="80"/>
  <c r="X297" i="80" s="1"/>
  <c r="Y297" i="80" s="1"/>
  <c r="M297" i="80"/>
  <c r="O297" i="80" s="1"/>
  <c r="L297" i="80"/>
  <c r="I297" i="80"/>
  <c r="G297" i="80"/>
  <c r="E297" i="80"/>
  <c r="AC296" i="80"/>
  <c r="Y296" i="80"/>
  <c r="X296" i="80"/>
  <c r="W296" i="80"/>
  <c r="U296" i="80"/>
  <c r="S296" i="80"/>
  <c r="Q296" i="80"/>
  <c r="M296" i="80"/>
  <c r="O296" i="80" s="1"/>
  <c r="L296" i="80"/>
  <c r="I296" i="80"/>
  <c r="G296" i="80"/>
  <c r="E296" i="80"/>
  <c r="W295" i="80"/>
  <c r="V295" i="80"/>
  <c r="R295" i="80"/>
  <c r="S295" i="80" s="1"/>
  <c r="O295" i="80"/>
  <c r="M295" i="80"/>
  <c r="L295" i="80"/>
  <c r="I295" i="80"/>
  <c r="G295" i="80"/>
  <c r="E295" i="80"/>
  <c r="X294" i="80"/>
  <c r="Y294" i="80" s="1"/>
  <c r="W294" i="80"/>
  <c r="U294" i="80"/>
  <c r="S294" i="80"/>
  <c r="Q294" i="80"/>
  <c r="M294" i="80"/>
  <c r="L294" i="80"/>
  <c r="I294" i="80"/>
  <c r="G294" i="80"/>
  <c r="E294" i="80"/>
  <c r="W293" i="80"/>
  <c r="V293" i="80"/>
  <c r="T293" i="80"/>
  <c r="U293" i="80" s="1"/>
  <c r="R293" i="80"/>
  <c r="S293" i="80" s="1"/>
  <c r="P293" i="80"/>
  <c r="Q293" i="80" s="1"/>
  <c r="M293" i="80"/>
  <c r="O293" i="80" s="1"/>
  <c r="L293" i="80"/>
  <c r="I293" i="80"/>
  <c r="G293" i="80"/>
  <c r="D293" i="80"/>
  <c r="E293" i="80" s="1"/>
  <c r="X292" i="80"/>
  <c r="Y292" i="80" s="1"/>
  <c r="W292" i="80"/>
  <c r="U292" i="80"/>
  <c r="S292" i="80"/>
  <c r="Q292" i="80"/>
  <c r="O292" i="80"/>
  <c r="M292" i="80"/>
  <c r="L292" i="80"/>
  <c r="I292" i="80"/>
  <c r="G292" i="80"/>
  <c r="E292" i="80"/>
  <c r="W291" i="80"/>
  <c r="R291" i="80"/>
  <c r="S291" i="80" s="1"/>
  <c r="P291" i="80"/>
  <c r="Q291" i="80" s="1"/>
  <c r="O291" i="80"/>
  <c r="M291" i="80"/>
  <c r="V291" i="80" s="1"/>
  <c r="L291" i="80"/>
  <c r="I291" i="80"/>
  <c r="G291" i="80"/>
  <c r="D291" i="80"/>
  <c r="E291" i="80" s="1"/>
  <c r="Y290" i="80"/>
  <c r="X290" i="80"/>
  <c r="W290" i="80"/>
  <c r="U290" i="80"/>
  <c r="S290" i="80"/>
  <c r="Q290" i="80"/>
  <c r="M290" i="80"/>
  <c r="O290" i="80" s="1"/>
  <c r="L290" i="80"/>
  <c r="I290" i="80"/>
  <c r="G290" i="80"/>
  <c r="E290" i="80"/>
  <c r="AC289" i="80"/>
  <c r="Y289" i="80"/>
  <c r="X289" i="80"/>
  <c r="W289" i="80"/>
  <c r="U289" i="80"/>
  <c r="S289" i="80"/>
  <c r="Q289" i="80"/>
  <c r="O289" i="80"/>
  <c r="M289" i="80"/>
  <c r="L289" i="80"/>
  <c r="I289" i="80"/>
  <c r="G289" i="80"/>
  <c r="E289" i="80"/>
  <c r="M288" i="80"/>
  <c r="L288" i="80"/>
  <c r="I288" i="80"/>
  <c r="G288" i="80"/>
  <c r="E288" i="80"/>
  <c r="P287" i="80"/>
  <c r="M287" i="80"/>
  <c r="L287" i="80"/>
  <c r="I287" i="80"/>
  <c r="G287" i="80"/>
  <c r="E287" i="80"/>
  <c r="X286" i="80"/>
  <c r="AC286" i="80" s="1"/>
  <c r="W286" i="80"/>
  <c r="U286" i="80"/>
  <c r="S286" i="80"/>
  <c r="Q286" i="80"/>
  <c r="O286" i="80"/>
  <c r="M286" i="80"/>
  <c r="L286" i="80"/>
  <c r="I286" i="80"/>
  <c r="G286" i="80"/>
  <c r="E286" i="80"/>
  <c r="M285" i="80"/>
  <c r="P285" i="80" s="1"/>
  <c r="L285" i="80"/>
  <c r="I285" i="80"/>
  <c r="G285" i="80"/>
  <c r="E285" i="80"/>
  <c r="X284" i="80"/>
  <c r="W284" i="80"/>
  <c r="T284" i="80"/>
  <c r="U284" i="80" s="1"/>
  <c r="R284" i="80"/>
  <c r="S284" i="80" s="1"/>
  <c r="P284" i="80"/>
  <c r="Q284" i="80" s="1"/>
  <c r="O284" i="80"/>
  <c r="M284" i="80"/>
  <c r="V284" i="80" s="1"/>
  <c r="L284" i="80"/>
  <c r="I284" i="80"/>
  <c r="G284" i="80"/>
  <c r="D284" i="80"/>
  <c r="E284" i="80" s="1"/>
  <c r="X283" i="80"/>
  <c r="Y283" i="80" s="1"/>
  <c r="V283" i="80"/>
  <c r="W283" i="80" s="1"/>
  <c r="T283" i="80"/>
  <c r="U283" i="80" s="1"/>
  <c r="S283" i="80"/>
  <c r="R283" i="80"/>
  <c r="Q283" i="80"/>
  <c r="P283" i="80"/>
  <c r="O283" i="80"/>
  <c r="L283" i="80"/>
  <c r="I283" i="80"/>
  <c r="G283" i="80"/>
  <c r="D283" i="80"/>
  <c r="E283" i="80" s="1"/>
  <c r="X282" i="80"/>
  <c r="AC282" i="80" s="1"/>
  <c r="W282" i="80"/>
  <c r="V282" i="80"/>
  <c r="U282" i="80"/>
  <c r="T282" i="80"/>
  <c r="S282" i="80"/>
  <c r="R282" i="80"/>
  <c r="Q282" i="80"/>
  <c r="P282" i="80"/>
  <c r="O282" i="80"/>
  <c r="L282" i="80"/>
  <c r="I282" i="80"/>
  <c r="G282" i="80"/>
  <c r="E282" i="80"/>
  <c r="D282" i="80"/>
  <c r="W281" i="80"/>
  <c r="V281" i="80"/>
  <c r="T281" i="80"/>
  <c r="U281" i="80" s="1"/>
  <c r="R281" i="80"/>
  <c r="S281" i="80" s="1"/>
  <c r="P281" i="80"/>
  <c r="Q281" i="80" s="1"/>
  <c r="O281" i="80"/>
  <c r="L281" i="80"/>
  <c r="I281" i="80"/>
  <c r="G281" i="80"/>
  <c r="E281" i="80"/>
  <c r="X280" i="80"/>
  <c r="V280" i="80"/>
  <c r="W280" i="80" s="1"/>
  <c r="T280" i="80"/>
  <c r="U280" i="80" s="1"/>
  <c r="S280" i="80"/>
  <c r="R280" i="80"/>
  <c r="P280" i="80"/>
  <c r="Q280" i="80" s="1"/>
  <c r="O280" i="80"/>
  <c r="L280" i="80"/>
  <c r="I280" i="80"/>
  <c r="G280" i="80"/>
  <c r="E280" i="80"/>
  <c r="W279" i="80"/>
  <c r="V279" i="80"/>
  <c r="T279" i="80"/>
  <c r="U279" i="80" s="1"/>
  <c r="S279" i="80"/>
  <c r="R279" i="80"/>
  <c r="Q279" i="80"/>
  <c r="P279" i="80"/>
  <c r="X279" i="80" s="1"/>
  <c r="AC279" i="80" s="1"/>
  <c r="O279" i="80"/>
  <c r="L279" i="80"/>
  <c r="I279" i="80"/>
  <c r="G279" i="80"/>
  <c r="E279" i="80"/>
  <c r="D279" i="80"/>
  <c r="W278" i="80"/>
  <c r="V278" i="80"/>
  <c r="U278" i="80"/>
  <c r="T278" i="80"/>
  <c r="R278" i="80"/>
  <c r="S278" i="80" s="1"/>
  <c r="P278" i="80"/>
  <c r="O278" i="80"/>
  <c r="L278" i="80"/>
  <c r="I278" i="80"/>
  <c r="G278" i="80"/>
  <c r="E278" i="80"/>
  <c r="D278" i="80"/>
  <c r="W277" i="80"/>
  <c r="V277" i="80"/>
  <c r="U277" i="80"/>
  <c r="T277" i="80"/>
  <c r="R277" i="80"/>
  <c r="S277" i="80" s="1"/>
  <c r="Q277" i="80"/>
  <c r="P277" i="80"/>
  <c r="X277" i="80" s="1"/>
  <c r="O277" i="80"/>
  <c r="L277" i="80"/>
  <c r="I277" i="80"/>
  <c r="G277" i="80"/>
  <c r="E277" i="80"/>
  <c r="V276" i="80"/>
  <c r="W276" i="80" s="1"/>
  <c r="T276" i="80"/>
  <c r="U276" i="80" s="1"/>
  <c r="S276" i="80"/>
  <c r="R276" i="80"/>
  <c r="Q276" i="80"/>
  <c r="P276" i="80"/>
  <c r="O276" i="80"/>
  <c r="L276" i="80"/>
  <c r="I276" i="80"/>
  <c r="G276" i="80"/>
  <c r="D276" i="80"/>
  <c r="E276" i="80" s="1"/>
  <c r="M275" i="80"/>
  <c r="L275" i="80"/>
  <c r="I275" i="80"/>
  <c r="G275" i="80"/>
  <c r="E275" i="80"/>
  <c r="W274" i="80"/>
  <c r="T274" i="80"/>
  <c r="U274" i="80" s="1"/>
  <c r="S274" i="80"/>
  <c r="R274" i="80"/>
  <c r="Q274" i="80"/>
  <c r="P274" i="80"/>
  <c r="X274" i="80" s="1"/>
  <c r="O274" i="80"/>
  <c r="M274" i="80"/>
  <c r="V274" i="80" s="1"/>
  <c r="L274" i="80"/>
  <c r="I274" i="80"/>
  <c r="G274" i="80"/>
  <c r="E274" i="80"/>
  <c r="X273" i="80"/>
  <c r="Y273" i="80" s="1"/>
  <c r="W273" i="80"/>
  <c r="U273" i="80"/>
  <c r="S273" i="80"/>
  <c r="Q273" i="80"/>
  <c r="O273" i="80"/>
  <c r="M273" i="80"/>
  <c r="L273" i="80"/>
  <c r="I273" i="80"/>
  <c r="G273" i="80"/>
  <c r="E273" i="80"/>
  <c r="Y272" i="80"/>
  <c r="X272" i="80"/>
  <c r="W272" i="80"/>
  <c r="U272" i="80"/>
  <c r="S272" i="80"/>
  <c r="Q272" i="80"/>
  <c r="M272" i="80"/>
  <c r="O272" i="80" s="1"/>
  <c r="L272" i="80"/>
  <c r="I272" i="80"/>
  <c r="G272" i="80"/>
  <c r="E272" i="80"/>
  <c r="AC271" i="80"/>
  <c r="Y271" i="80"/>
  <c r="X271" i="80"/>
  <c r="W271" i="80"/>
  <c r="U271" i="80"/>
  <c r="S271" i="80"/>
  <c r="Q271" i="80"/>
  <c r="M271" i="80"/>
  <c r="O271" i="80" s="1"/>
  <c r="L271" i="80"/>
  <c r="I271" i="80"/>
  <c r="G271" i="80"/>
  <c r="E271" i="80"/>
  <c r="X270" i="80"/>
  <c r="Y270" i="80" s="1"/>
  <c r="W270" i="80"/>
  <c r="U270" i="80"/>
  <c r="S270" i="80"/>
  <c r="Q270" i="80"/>
  <c r="O270" i="80"/>
  <c r="M270" i="80"/>
  <c r="L270" i="80"/>
  <c r="I270" i="80"/>
  <c r="G270" i="80"/>
  <c r="E270" i="80"/>
  <c r="T269" i="80"/>
  <c r="U269" i="80" s="1"/>
  <c r="P269" i="80"/>
  <c r="O269" i="80"/>
  <c r="M269" i="80"/>
  <c r="V269" i="80" s="1"/>
  <c r="W269" i="80" s="1"/>
  <c r="L269" i="80"/>
  <c r="I269" i="80"/>
  <c r="G269" i="80"/>
  <c r="E269" i="80"/>
  <c r="U268" i="80"/>
  <c r="T268" i="80"/>
  <c r="R268" i="80"/>
  <c r="S268" i="80" s="1"/>
  <c r="P268" i="80"/>
  <c r="M268" i="80"/>
  <c r="O268" i="80" s="1"/>
  <c r="L268" i="80"/>
  <c r="I268" i="80"/>
  <c r="G268" i="80"/>
  <c r="E268" i="80"/>
  <c r="M267" i="80"/>
  <c r="L267" i="80"/>
  <c r="I267" i="80"/>
  <c r="G267" i="80"/>
  <c r="E267" i="80"/>
  <c r="P266" i="80"/>
  <c r="M266" i="80"/>
  <c r="L266" i="80"/>
  <c r="I266" i="80"/>
  <c r="G266" i="80"/>
  <c r="E266" i="80"/>
  <c r="W265" i="80"/>
  <c r="V265" i="80"/>
  <c r="U265" i="80"/>
  <c r="T265" i="80"/>
  <c r="S265" i="80"/>
  <c r="P265" i="80"/>
  <c r="Q265" i="80" s="1"/>
  <c r="O265" i="80"/>
  <c r="M265" i="80"/>
  <c r="R265" i="80" s="1"/>
  <c r="X265" i="80" s="1"/>
  <c r="Y265" i="80" s="1"/>
  <c r="L265" i="80"/>
  <c r="I265" i="80"/>
  <c r="G265" i="80"/>
  <c r="D265" i="80"/>
  <c r="E265" i="80" s="1"/>
  <c r="V264" i="80"/>
  <c r="W264" i="80" s="1"/>
  <c r="R264" i="80"/>
  <c r="S264" i="80" s="1"/>
  <c r="Q264" i="80"/>
  <c r="P264" i="80"/>
  <c r="X264" i="80" s="1"/>
  <c r="Y264" i="80" s="1"/>
  <c r="O264" i="80"/>
  <c r="M264" i="80"/>
  <c r="T264" i="80" s="1"/>
  <c r="U264" i="80" s="1"/>
  <c r="L264" i="80"/>
  <c r="I264" i="80"/>
  <c r="G264" i="80"/>
  <c r="E264" i="80"/>
  <c r="T263" i="80"/>
  <c r="U263" i="80" s="1"/>
  <c r="R263" i="80"/>
  <c r="S263" i="80" s="1"/>
  <c r="O263" i="80"/>
  <c r="M263" i="80"/>
  <c r="P263" i="80" s="1"/>
  <c r="L263" i="80"/>
  <c r="I263" i="80"/>
  <c r="G263" i="80"/>
  <c r="E263" i="80"/>
  <c r="T262" i="80"/>
  <c r="U262" i="80" s="1"/>
  <c r="P262" i="80"/>
  <c r="O262" i="80"/>
  <c r="M262" i="80"/>
  <c r="V262" i="80" s="1"/>
  <c r="W262" i="80" s="1"/>
  <c r="L262" i="80"/>
  <c r="I262" i="80"/>
  <c r="G262" i="80"/>
  <c r="E262" i="80"/>
  <c r="U261" i="80"/>
  <c r="T261" i="80"/>
  <c r="R261" i="80"/>
  <c r="S261" i="80" s="1"/>
  <c r="P261" i="80"/>
  <c r="M261" i="80"/>
  <c r="O261" i="80" s="1"/>
  <c r="L261" i="80"/>
  <c r="I261" i="80"/>
  <c r="G261" i="80"/>
  <c r="D261" i="80"/>
  <c r="E261" i="80" s="1"/>
  <c r="V260" i="80"/>
  <c r="W260" i="80" s="1"/>
  <c r="O260" i="80"/>
  <c r="M260" i="80"/>
  <c r="T260" i="80" s="1"/>
  <c r="U260" i="80" s="1"/>
  <c r="L260" i="80"/>
  <c r="I260" i="80"/>
  <c r="G260" i="80"/>
  <c r="E260" i="80"/>
  <c r="D260" i="80"/>
  <c r="U259" i="80"/>
  <c r="T259" i="80"/>
  <c r="R259" i="80"/>
  <c r="S259" i="80" s="1"/>
  <c r="P259" i="80"/>
  <c r="M259" i="80"/>
  <c r="O259" i="80" s="1"/>
  <c r="L259" i="80"/>
  <c r="I259" i="80"/>
  <c r="G259" i="80"/>
  <c r="D259" i="80"/>
  <c r="E259" i="80" s="1"/>
  <c r="M258" i="80"/>
  <c r="L258" i="80"/>
  <c r="I258" i="80"/>
  <c r="G258" i="80"/>
  <c r="E258" i="80"/>
  <c r="W257" i="80"/>
  <c r="V257" i="80"/>
  <c r="T257" i="80"/>
  <c r="U257" i="80" s="1"/>
  <c r="S257" i="80"/>
  <c r="R257" i="80"/>
  <c r="Q257" i="80"/>
  <c r="P257" i="80"/>
  <c r="O257" i="80"/>
  <c r="M257" i="80"/>
  <c r="L257" i="80"/>
  <c r="I257" i="80"/>
  <c r="G257" i="80"/>
  <c r="E257" i="80"/>
  <c r="D257" i="80"/>
  <c r="M256" i="80"/>
  <c r="L256" i="80"/>
  <c r="I256" i="80"/>
  <c r="G256" i="80"/>
  <c r="E256" i="80"/>
  <c r="P255" i="80"/>
  <c r="M255" i="80"/>
  <c r="L255" i="80"/>
  <c r="I255" i="80"/>
  <c r="G255" i="80"/>
  <c r="E255" i="80"/>
  <c r="D255" i="80"/>
  <c r="V254" i="80"/>
  <c r="W254" i="80" s="1"/>
  <c r="T254" i="80"/>
  <c r="U254" i="80" s="1"/>
  <c r="R254" i="80"/>
  <c r="S254" i="80" s="1"/>
  <c r="Q254" i="80"/>
  <c r="P254" i="80"/>
  <c r="X254" i="80" s="1"/>
  <c r="Y254" i="80" s="1"/>
  <c r="O254" i="80"/>
  <c r="M254" i="80"/>
  <c r="L254" i="80"/>
  <c r="I254" i="80"/>
  <c r="G254" i="80"/>
  <c r="E254" i="80"/>
  <c r="V253" i="80"/>
  <c r="W253" i="80" s="1"/>
  <c r="U253" i="80"/>
  <c r="R253" i="80"/>
  <c r="S253" i="80" s="1"/>
  <c r="Q253" i="80"/>
  <c r="P253" i="80"/>
  <c r="O253" i="80"/>
  <c r="M253" i="80"/>
  <c r="T253" i="80" s="1"/>
  <c r="L253" i="80"/>
  <c r="I253" i="80"/>
  <c r="G253" i="80"/>
  <c r="E253" i="80"/>
  <c r="D253" i="80"/>
  <c r="X252" i="80"/>
  <c r="Y252" i="80" s="1"/>
  <c r="W252" i="80"/>
  <c r="V252" i="80"/>
  <c r="U252" i="80"/>
  <c r="T252" i="80"/>
  <c r="S252" i="80"/>
  <c r="P252" i="80"/>
  <c r="Q252" i="80" s="1"/>
  <c r="O252" i="80"/>
  <c r="M252" i="80"/>
  <c r="R252" i="80" s="1"/>
  <c r="L252" i="80"/>
  <c r="I252" i="80"/>
  <c r="G252" i="80"/>
  <c r="E252" i="80"/>
  <c r="U251" i="80"/>
  <c r="T251" i="80"/>
  <c r="M251" i="80"/>
  <c r="L251" i="80"/>
  <c r="I251" i="80"/>
  <c r="G251" i="80"/>
  <c r="E251" i="80"/>
  <c r="AC250" i="80"/>
  <c r="Y250" i="80"/>
  <c r="X250" i="80"/>
  <c r="W250" i="80"/>
  <c r="U250" i="80"/>
  <c r="S250" i="80"/>
  <c r="Q250" i="80"/>
  <c r="O250" i="80"/>
  <c r="M250" i="80"/>
  <c r="L250" i="80"/>
  <c r="I250" i="80"/>
  <c r="G250" i="80"/>
  <c r="E250" i="80"/>
  <c r="V249" i="80"/>
  <c r="W249" i="80" s="1"/>
  <c r="T249" i="80"/>
  <c r="U249" i="80" s="1"/>
  <c r="R249" i="80"/>
  <c r="S249" i="80" s="1"/>
  <c r="M249" i="80"/>
  <c r="P249" i="80" s="1"/>
  <c r="L249" i="80"/>
  <c r="I249" i="80"/>
  <c r="G249" i="80"/>
  <c r="E249" i="80"/>
  <c r="W248" i="80"/>
  <c r="T248" i="80"/>
  <c r="U248" i="80" s="1"/>
  <c r="P248" i="80"/>
  <c r="O248" i="80"/>
  <c r="M248" i="80"/>
  <c r="V248" i="80" s="1"/>
  <c r="L248" i="80"/>
  <c r="I248" i="80"/>
  <c r="G248" i="80"/>
  <c r="E248" i="80"/>
  <c r="U247" i="80"/>
  <c r="T247" i="80"/>
  <c r="R247" i="80"/>
  <c r="S247" i="80" s="1"/>
  <c r="P247" i="80"/>
  <c r="Q247" i="80" s="1"/>
  <c r="M247" i="80"/>
  <c r="O247" i="80" s="1"/>
  <c r="L247" i="80"/>
  <c r="I247" i="80"/>
  <c r="G247" i="80"/>
  <c r="D247" i="80"/>
  <c r="E247" i="80" s="1"/>
  <c r="X246" i="80"/>
  <c r="Y246" i="80" s="1"/>
  <c r="W246" i="80"/>
  <c r="U246" i="80"/>
  <c r="S246" i="80"/>
  <c r="Q246" i="80"/>
  <c r="M246" i="80"/>
  <c r="L246" i="80"/>
  <c r="I246" i="80"/>
  <c r="G246" i="80"/>
  <c r="E246" i="80"/>
  <c r="T245" i="80"/>
  <c r="U245" i="80" s="1"/>
  <c r="P245" i="80"/>
  <c r="O245" i="80"/>
  <c r="M245" i="80"/>
  <c r="V245" i="80" s="1"/>
  <c r="W245" i="80" s="1"/>
  <c r="L245" i="80"/>
  <c r="I245" i="80"/>
  <c r="G245" i="80"/>
  <c r="E245" i="80"/>
  <c r="T244" i="80"/>
  <c r="U244" i="80" s="1"/>
  <c r="R244" i="80"/>
  <c r="S244" i="80" s="1"/>
  <c r="P244" i="80"/>
  <c r="Q244" i="80" s="1"/>
  <c r="M244" i="80"/>
  <c r="O244" i="80" s="1"/>
  <c r="L244" i="80"/>
  <c r="I244" i="80"/>
  <c r="G244" i="80"/>
  <c r="E244" i="80"/>
  <c r="Y243" i="80"/>
  <c r="X243" i="80"/>
  <c r="W243" i="80"/>
  <c r="U243" i="80"/>
  <c r="S243" i="80"/>
  <c r="Q243" i="80"/>
  <c r="M243" i="80"/>
  <c r="O243" i="80" s="1"/>
  <c r="L243" i="80"/>
  <c r="I243" i="80"/>
  <c r="G243" i="80"/>
  <c r="E243" i="80"/>
  <c r="O242" i="80"/>
  <c r="M242" i="80"/>
  <c r="L242" i="80"/>
  <c r="I242" i="80"/>
  <c r="G242" i="80"/>
  <c r="E242" i="80"/>
  <c r="W241" i="80"/>
  <c r="V241" i="80"/>
  <c r="T241" i="80"/>
  <c r="U241" i="80" s="1"/>
  <c r="S241" i="80"/>
  <c r="R241" i="80"/>
  <c r="Q241" i="80"/>
  <c r="P241" i="80"/>
  <c r="O241" i="80"/>
  <c r="M241" i="80"/>
  <c r="L241" i="80"/>
  <c r="I241" i="80"/>
  <c r="G241" i="80"/>
  <c r="E241" i="80"/>
  <c r="V240" i="80"/>
  <c r="W240" i="80" s="1"/>
  <c r="T240" i="80"/>
  <c r="U240" i="80" s="1"/>
  <c r="R240" i="80"/>
  <c r="S240" i="80" s="1"/>
  <c r="P240" i="80"/>
  <c r="X240" i="80" s="1"/>
  <c r="Y240" i="80" s="1"/>
  <c r="O240" i="80"/>
  <c r="M240" i="80"/>
  <c r="L240" i="80"/>
  <c r="I240" i="80"/>
  <c r="G240" i="80"/>
  <c r="E240" i="80"/>
  <c r="V239" i="80"/>
  <c r="W239" i="80" s="1"/>
  <c r="R239" i="80"/>
  <c r="S239" i="80" s="1"/>
  <c r="Q239" i="80"/>
  <c r="P239" i="80"/>
  <c r="O239" i="80"/>
  <c r="M239" i="80"/>
  <c r="T239" i="80" s="1"/>
  <c r="U239" i="80" s="1"/>
  <c r="L239" i="80"/>
  <c r="I239" i="80"/>
  <c r="G239" i="80"/>
  <c r="D239" i="80"/>
  <c r="E239" i="80" s="1"/>
  <c r="X238" i="80"/>
  <c r="W238" i="80"/>
  <c r="U238" i="80"/>
  <c r="S238" i="80"/>
  <c r="Q238" i="80"/>
  <c r="O238" i="80"/>
  <c r="M238" i="80"/>
  <c r="L238" i="80"/>
  <c r="I238" i="80"/>
  <c r="G238" i="80"/>
  <c r="E238" i="80"/>
  <c r="Y237" i="80"/>
  <c r="X237" i="80"/>
  <c r="W237" i="80"/>
  <c r="U237" i="80"/>
  <c r="S237" i="80"/>
  <c r="Q237" i="80"/>
  <c r="M237" i="80"/>
  <c r="O237" i="80" s="1"/>
  <c r="L237" i="80"/>
  <c r="I237" i="80"/>
  <c r="G237" i="80"/>
  <c r="D237" i="80"/>
  <c r="E237" i="80" s="1"/>
  <c r="R236" i="80"/>
  <c r="S236" i="80" s="1"/>
  <c r="M236" i="80"/>
  <c r="L236" i="80"/>
  <c r="I236" i="80"/>
  <c r="G236" i="80"/>
  <c r="E236" i="80"/>
  <c r="W235" i="80"/>
  <c r="V235" i="80"/>
  <c r="T235" i="80"/>
  <c r="U235" i="80" s="1"/>
  <c r="S235" i="80"/>
  <c r="R235" i="80"/>
  <c r="Q235" i="80"/>
  <c r="P235" i="80"/>
  <c r="O235" i="80"/>
  <c r="M235" i="80"/>
  <c r="L235" i="80"/>
  <c r="I235" i="80"/>
  <c r="G235" i="80"/>
  <c r="E235" i="80"/>
  <c r="D235" i="80"/>
  <c r="AC234" i="80"/>
  <c r="Y234" i="80"/>
  <c r="X234" i="80"/>
  <c r="W234" i="80"/>
  <c r="U234" i="80"/>
  <c r="S234" i="80"/>
  <c r="Q234" i="80"/>
  <c r="M234" i="80"/>
  <c r="O234" i="80" s="1"/>
  <c r="L234" i="80"/>
  <c r="I234" i="80"/>
  <c r="G234" i="80"/>
  <c r="E234" i="80"/>
  <c r="M233" i="80"/>
  <c r="L233" i="80"/>
  <c r="I233" i="80"/>
  <c r="G233" i="80"/>
  <c r="E233" i="80"/>
  <c r="D233" i="80"/>
  <c r="X232" i="80"/>
  <c r="Y232" i="80" s="1"/>
  <c r="W232" i="80"/>
  <c r="U232" i="80"/>
  <c r="S232" i="80"/>
  <c r="Q232" i="80"/>
  <c r="M232" i="80"/>
  <c r="L232" i="80"/>
  <c r="I232" i="80"/>
  <c r="G232" i="80"/>
  <c r="E232" i="80"/>
  <c r="M231" i="80"/>
  <c r="L231" i="80"/>
  <c r="I231" i="80"/>
  <c r="G231" i="80"/>
  <c r="D231" i="80"/>
  <c r="E231" i="80" s="1"/>
  <c r="AC230" i="80"/>
  <c r="Y230" i="80"/>
  <c r="X230" i="80"/>
  <c r="W230" i="80"/>
  <c r="U230" i="80"/>
  <c r="S230" i="80"/>
  <c r="Q230" i="80"/>
  <c r="O230" i="80"/>
  <c r="M230" i="80"/>
  <c r="L230" i="80"/>
  <c r="I230" i="80"/>
  <c r="G230" i="80"/>
  <c r="E230" i="80"/>
  <c r="M229" i="80"/>
  <c r="L229" i="80"/>
  <c r="I229" i="80"/>
  <c r="G229" i="80"/>
  <c r="D229" i="80"/>
  <c r="E229" i="80" s="1"/>
  <c r="T228" i="80"/>
  <c r="U228" i="80" s="1"/>
  <c r="R228" i="80"/>
  <c r="S228" i="80" s="1"/>
  <c r="O228" i="80"/>
  <c r="M228" i="80"/>
  <c r="P228" i="80" s="1"/>
  <c r="L228" i="80"/>
  <c r="I228" i="80"/>
  <c r="G228" i="80"/>
  <c r="E228" i="80"/>
  <c r="T227" i="80"/>
  <c r="U227" i="80" s="1"/>
  <c r="P227" i="80"/>
  <c r="O227" i="80"/>
  <c r="M227" i="80"/>
  <c r="V227" i="80" s="1"/>
  <c r="W227" i="80" s="1"/>
  <c r="L227" i="80"/>
  <c r="I227" i="80"/>
  <c r="G227" i="80"/>
  <c r="E227" i="80"/>
  <c r="T226" i="80"/>
  <c r="U226" i="80" s="1"/>
  <c r="R226" i="80"/>
  <c r="S226" i="80" s="1"/>
  <c r="P226" i="80"/>
  <c r="Q226" i="80" s="1"/>
  <c r="M226" i="80"/>
  <c r="O226" i="80" s="1"/>
  <c r="L226" i="80"/>
  <c r="I226" i="80"/>
  <c r="G226" i="80"/>
  <c r="E226" i="80"/>
  <c r="M225" i="80"/>
  <c r="L225" i="80"/>
  <c r="I225" i="80"/>
  <c r="G225" i="80"/>
  <c r="E225" i="80"/>
  <c r="M224" i="80"/>
  <c r="L224" i="80"/>
  <c r="I224" i="80"/>
  <c r="G224" i="80"/>
  <c r="E224" i="80"/>
  <c r="X223" i="80"/>
  <c r="W223" i="80"/>
  <c r="U223" i="80"/>
  <c r="S223" i="80"/>
  <c r="Q223" i="80"/>
  <c r="O223" i="80"/>
  <c r="M223" i="80"/>
  <c r="L223" i="80"/>
  <c r="I223" i="80"/>
  <c r="G223" i="80"/>
  <c r="E223" i="80"/>
  <c r="X222" i="80"/>
  <c r="Y222" i="80" s="1"/>
  <c r="V222" i="80"/>
  <c r="W222" i="80" s="1"/>
  <c r="T222" i="80"/>
  <c r="U222" i="80" s="1"/>
  <c r="R222" i="80"/>
  <c r="S222" i="80" s="1"/>
  <c r="P222" i="80"/>
  <c r="Q222" i="80" s="1"/>
  <c r="O222" i="80"/>
  <c r="M222" i="80"/>
  <c r="L222" i="80"/>
  <c r="I222" i="80"/>
  <c r="G222" i="80"/>
  <c r="E222" i="80"/>
  <c r="Y221" i="80"/>
  <c r="X221" i="80"/>
  <c r="W221" i="80"/>
  <c r="U221" i="80"/>
  <c r="S221" i="80"/>
  <c r="Q221" i="80"/>
  <c r="M221" i="80"/>
  <c r="L221" i="80"/>
  <c r="I221" i="80"/>
  <c r="G221" i="80"/>
  <c r="E221" i="80"/>
  <c r="M220" i="80"/>
  <c r="L220" i="80"/>
  <c r="I220" i="80"/>
  <c r="G220" i="80"/>
  <c r="E220" i="80"/>
  <c r="W219" i="80"/>
  <c r="V219" i="80"/>
  <c r="U219" i="80"/>
  <c r="T219" i="80"/>
  <c r="P219" i="80"/>
  <c r="Q219" i="80" s="1"/>
  <c r="O219" i="80"/>
  <c r="N219" i="80"/>
  <c r="M219" i="80"/>
  <c r="R219" i="80" s="1"/>
  <c r="S219" i="80" s="1"/>
  <c r="L219" i="80"/>
  <c r="I219" i="80"/>
  <c r="G219" i="80"/>
  <c r="E219" i="80"/>
  <c r="V218" i="80"/>
  <c r="W218" i="80" s="1"/>
  <c r="R218" i="80"/>
  <c r="S218" i="80" s="1"/>
  <c r="P218" i="80"/>
  <c r="O218" i="80"/>
  <c r="M218" i="80"/>
  <c r="T218" i="80" s="1"/>
  <c r="U218" i="80" s="1"/>
  <c r="L218" i="80"/>
  <c r="I218" i="80"/>
  <c r="G218" i="80"/>
  <c r="E218" i="80"/>
  <c r="AC217" i="80"/>
  <c r="X217" i="80"/>
  <c r="N217" i="80"/>
  <c r="M217" i="80"/>
  <c r="I217" i="80"/>
  <c r="G217" i="80"/>
  <c r="X216" i="80"/>
  <c r="Y216" i="80" s="1"/>
  <c r="V216" i="80"/>
  <c r="W216" i="80" s="1"/>
  <c r="T216" i="80"/>
  <c r="U216" i="80" s="1"/>
  <c r="R216" i="80"/>
  <c r="S216" i="80" s="1"/>
  <c r="P216" i="80"/>
  <c r="Q216" i="80" s="1"/>
  <c r="O216" i="80"/>
  <c r="M216" i="80"/>
  <c r="L216" i="80"/>
  <c r="I216" i="80"/>
  <c r="G216" i="80"/>
  <c r="E216" i="80"/>
  <c r="V215" i="80"/>
  <c r="W215" i="80" s="1"/>
  <c r="R215" i="80"/>
  <c r="S215" i="80" s="1"/>
  <c r="P215" i="80"/>
  <c r="O215" i="80"/>
  <c r="M215" i="80"/>
  <c r="T215" i="80" s="1"/>
  <c r="U215" i="80" s="1"/>
  <c r="L215" i="80"/>
  <c r="I215" i="80"/>
  <c r="G215" i="80"/>
  <c r="E215" i="80"/>
  <c r="M214" i="80"/>
  <c r="P214" i="80" s="1"/>
  <c r="L214" i="80"/>
  <c r="I214" i="80"/>
  <c r="G214" i="80"/>
  <c r="E214" i="80"/>
  <c r="M213" i="80"/>
  <c r="L213" i="80"/>
  <c r="I213" i="80"/>
  <c r="G213" i="80"/>
  <c r="E213" i="80"/>
  <c r="X212" i="80"/>
  <c r="Y212" i="80" s="1"/>
  <c r="W212" i="80"/>
  <c r="U212" i="80"/>
  <c r="S212" i="80"/>
  <c r="Q212" i="80"/>
  <c r="M212" i="80"/>
  <c r="AC212" i="80" s="1"/>
  <c r="L212" i="80"/>
  <c r="I212" i="80"/>
  <c r="G212" i="80"/>
  <c r="E212" i="80"/>
  <c r="AC211" i="80"/>
  <c r="Y211" i="80"/>
  <c r="X211" i="80"/>
  <c r="W211" i="80"/>
  <c r="U211" i="80"/>
  <c r="S211" i="80"/>
  <c r="Q211" i="80"/>
  <c r="O211" i="80"/>
  <c r="M211" i="80"/>
  <c r="L211" i="80"/>
  <c r="I211" i="80"/>
  <c r="G211" i="80"/>
  <c r="E211" i="80"/>
  <c r="Y210" i="80"/>
  <c r="X210" i="80"/>
  <c r="W210" i="80"/>
  <c r="U210" i="80"/>
  <c r="S210" i="80"/>
  <c r="Q210" i="80"/>
  <c r="M210" i="80"/>
  <c r="AC210" i="80" s="1"/>
  <c r="L210" i="80"/>
  <c r="I210" i="80"/>
  <c r="G210" i="80"/>
  <c r="E210" i="80"/>
  <c r="X209" i="80"/>
  <c r="W209" i="80"/>
  <c r="U209" i="80"/>
  <c r="S209" i="80"/>
  <c r="Q209" i="80"/>
  <c r="O209" i="80"/>
  <c r="M209" i="80"/>
  <c r="L209" i="80"/>
  <c r="I209" i="80"/>
  <c r="G209" i="80"/>
  <c r="E209" i="80"/>
  <c r="V208" i="80"/>
  <c r="W208" i="80" s="1"/>
  <c r="T208" i="80"/>
  <c r="U208" i="80" s="1"/>
  <c r="R208" i="80"/>
  <c r="S208" i="80" s="1"/>
  <c r="P208" i="80"/>
  <c r="X208" i="80" s="1"/>
  <c r="Y208" i="80" s="1"/>
  <c r="O208" i="80"/>
  <c r="M208" i="80"/>
  <c r="L208" i="80"/>
  <c r="I208" i="80"/>
  <c r="G208" i="80"/>
  <c r="E208" i="80"/>
  <c r="V207" i="80"/>
  <c r="W207" i="80" s="1"/>
  <c r="U207" i="80"/>
  <c r="R207" i="80"/>
  <c r="S207" i="80" s="1"/>
  <c r="P207" i="80"/>
  <c r="M207" i="80"/>
  <c r="T207" i="80" s="1"/>
  <c r="L207" i="80"/>
  <c r="I207" i="80"/>
  <c r="G207" i="80"/>
  <c r="E207" i="80"/>
  <c r="V206" i="80"/>
  <c r="W206" i="80" s="1"/>
  <c r="T206" i="80"/>
  <c r="U206" i="80" s="1"/>
  <c r="N206" i="80"/>
  <c r="L206" i="80" s="1"/>
  <c r="M206" i="80"/>
  <c r="R206" i="80" s="1"/>
  <c r="S206" i="80" s="1"/>
  <c r="I206" i="80"/>
  <c r="G206" i="80"/>
  <c r="E206" i="80"/>
  <c r="M205" i="80"/>
  <c r="R205" i="80" s="1"/>
  <c r="S205" i="80" s="1"/>
  <c r="L205" i="80"/>
  <c r="I205" i="80"/>
  <c r="G205" i="80"/>
  <c r="E205" i="80"/>
  <c r="N204" i="80"/>
  <c r="L204" i="80" s="1"/>
  <c r="M204" i="80"/>
  <c r="W203" i="80"/>
  <c r="V203" i="80"/>
  <c r="U203" i="80"/>
  <c r="T203" i="80"/>
  <c r="N203" i="80"/>
  <c r="M203" i="80"/>
  <c r="R203" i="80" s="1"/>
  <c r="S203" i="80" s="1"/>
  <c r="L203" i="80"/>
  <c r="I203" i="80"/>
  <c r="G203" i="80"/>
  <c r="E203" i="80"/>
  <c r="N202" i="80"/>
  <c r="L202" i="80" s="1"/>
  <c r="M202" i="80"/>
  <c r="W201" i="80"/>
  <c r="V201" i="80"/>
  <c r="U201" i="80"/>
  <c r="T201" i="80"/>
  <c r="S201" i="80"/>
  <c r="M201" i="80"/>
  <c r="R201" i="80" s="1"/>
  <c r="L201" i="80"/>
  <c r="I201" i="80"/>
  <c r="G201" i="80"/>
  <c r="E201" i="80"/>
  <c r="P200" i="80"/>
  <c r="Q200" i="80" s="1"/>
  <c r="N200" i="80"/>
  <c r="I200" i="80" s="1"/>
  <c r="M200" i="80"/>
  <c r="V200" i="80" s="1"/>
  <c r="W200" i="80" s="1"/>
  <c r="L200" i="80"/>
  <c r="V199" i="80"/>
  <c r="W199" i="80" s="1"/>
  <c r="T199" i="80"/>
  <c r="U199" i="80" s="1"/>
  <c r="R199" i="80"/>
  <c r="S199" i="80" s="1"/>
  <c r="N199" i="80"/>
  <c r="M199" i="80"/>
  <c r="P199" i="80" s="1"/>
  <c r="L199" i="80"/>
  <c r="I199" i="80"/>
  <c r="G199" i="80"/>
  <c r="E199" i="80"/>
  <c r="P198" i="80"/>
  <c r="Q198" i="80" s="1"/>
  <c r="N198" i="80"/>
  <c r="I198" i="80" s="1"/>
  <c r="M198" i="80"/>
  <c r="V198" i="80" s="1"/>
  <c r="W198" i="80" s="1"/>
  <c r="L198" i="80"/>
  <c r="V197" i="80"/>
  <c r="W197" i="80" s="1"/>
  <c r="T197" i="80"/>
  <c r="U197" i="80" s="1"/>
  <c r="R197" i="80"/>
  <c r="P197" i="80"/>
  <c r="Q197" i="80" s="1"/>
  <c r="M197" i="80"/>
  <c r="O197" i="80" s="1"/>
  <c r="L197" i="80"/>
  <c r="I197" i="80"/>
  <c r="G197" i="80"/>
  <c r="E197" i="80"/>
  <c r="D197" i="80"/>
  <c r="P196" i="80"/>
  <c r="Q196" i="80" s="1"/>
  <c r="N196" i="80"/>
  <c r="I196" i="80" s="1"/>
  <c r="M196" i="80"/>
  <c r="V196" i="80" s="1"/>
  <c r="W196" i="80" s="1"/>
  <c r="L196" i="80"/>
  <c r="X195" i="80"/>
  <c r="Y195" i="80" s="1"/>
  <c r="W195" i="80"/>
  <c r="U195" i="80"/>
  <c r="S195" i="80"/>
  <c r="Q195" i="80"/>
  <c r="M195" i="80"/>
  <c r="L195" i="80"/>
  <c r="I195" i="80"/>
  <c r="G195" i="80"/>
  <c r="E195" i="80"/>
  <c r="W194" i="80"/>
  <c r="V194" i="80"/>
  <c r="U194" i="80"/>
  <c r="T194" i="80"/>
  <c r="S194" i="80"/>
  <c r="M194" i="80"/>
  <c r="R194" i="80" s="1"/>
  <c r="L194" i="80"/>
  <c r="I194" i="80"/>
  <c r="G194" i="80"/>
  <c r="E194" i="80"/>
  <c r="P193" i="80"/>
  <c r="Q193" i="80" s="1"/>
  <c r="M193" i="80"/>
  <c r="V193" i="80" s="1"/>
  <c r="W193" i="80" s="1"/>
  <c r="L193" i="80"/>
  <c r="I193" i="80"/>
  <c r="G193" i="80"/>
  <c r="E193" i="80"/>
  <c r="V192" i="80"/>
  <c r="W192" i="80" s="1"/>
  <c r="U192" i="80"/>
  <c r="T192" i="80"/>
  <c r="S192" i="80"/>
  <c r="R192" i="80"/>
  <c r="Q192" i="80"/>
  <c r="O192" i="80"/>
  <c r="N192" i="80"/>
  <c r="M192" i="80"/>
  <c r="P192" i="80" s="1"/>
  <c r="X192" i="80" s="1"/>
  <c r="Y192" i="80" s="1"/>
  <c r="L192" i="80"/>
  <c r="I192" i="80"/>
  <c r="G192" i="80"/>
  <c r="E192" i="80"/>
  <c r="O191" i="80"/>
  <c r="N191" i="80"/>
  <c r="G191" i="80" s="1"/>
  <c r="M191" i="80"/>
  <c r="V191" i="80" s="1"/>
  <c r="W191" i="80" s="1"/>
  <c r="I191" i="80"/>
  <c r="D191" i="80"/>
  <c r="V190" i="80"/>
  <c r="W190" i="80" s="1"/>
  <c r="T190" i="80"/>
  <c r="U190" i="80" s="1"/>
  <c r="R190" i="80"/>
  <c r="S190" i="80" s="1"/>
  <c r="N190" i="80"/>
  <c r="M190" i="80"/>
  <c r="P190" i="80" s="1"/>
  <c r="L190" i="80"/>
  <c r="I190" i="80"/>
  <c r="G190" i="80"/>
  <c r="E190" i="80"/>
  <c r="X189" i="80"/>
  <c r="W189" i="80"/>
  <c r="U189" i="80"/>
  <c r="S189" i="80"/>
  <c r="Q189" i="80"/>
  <c r="M189" i="80"/>
  <c r="O189" i="80" s="1"/>
  <c r="L189" i="80"/>
  <c r="I189" i="80"/>
  <c r="G189" i="80"/>
  <c r="E189" i="80"/>
  <c r="R188" i="80"/>
  <c r="S188" i="80" s="1"/>
  <c r="Q188" i="80"/>
  <c r="P188" i="80"/>
  <c r="O188" i="80"/>
  <c r="M188" i="80"/>
  <c r="V188" i="80" s="1"/>
  <c r="W188" i="80" s="1"/>
  <c r="L188" i="80"/>
  <c r="I188" i="80"/>
  <c r="G188" i="80"/>
  <c r="E188" i="80"/>
  <c r="V187" i="80"/>
  <c r="W187" i="80" s="1"/>
  <c r="T187" i="80"/>
  <c r="U187" i="80" s="1"/>
  <c r="R187" i="80"/>
  <c r="S187" i="80" s="1"/>
  <c r="M187" i="80"/>
  <c r="P187" i="80" s="1"/>
  <c r="L187" i="80"/>
  <c r="I187" i="80"/>
  <c r="G187" i="80"/>
  <c r="E187" i="80"/>
  <c r="P186" i="80"/>
  <c r="Q186" i="80" s="1"/>
  <c r="O186" i="80"/>
  <c r="M186" i="80"/>
  <c r="V186" i="80" s="1"/>
  <c r="W186" i="80" s="1"/>
  <c r="L186" i="80"/>
  <c r="I186" i="80"/>
  <c r="G186" i="80"/>
  <c r="E186" i="80"/>
  <c r="V185" i="80"/>
  <c r="W185" i="80" s="1"/>
  <c r="T185" i="80"/>
  <c r="U185" i="80" s="1"/>
  <c r="R185" i="80"/>
  <c r="S185" i="80" s="1"/>
  <c r="P185" i="80"/>
  <c r="M185" i="80"/>
  <c r="O185" i="80" s="1"/>
  <c r="L185" i="80"/>
  <c r="I185" i="80"/>
  <c r="G185" i="80"/>
  <c r="D185" i="80"/>
  <c r="E185" i="80" s="1"/>
  <c r="V184" i="80"/>
  <c r="W184" i="80" s="1"/>
  <c r="M184" i="80"/>
  <c r="T184" i="80" s="1"/>
  <c r="U184" i="80" s="1"/>
  <c r="L184" i="80"/>
  <c r="I184" i="80"/>
  <c r="G184" i="80"/>
  <c r="E184" i="80"/>
  <c r="V183" i="80"/>
  <c r="W183" i="80" s="1"/>
  <c r="T183" i="80"/>
  <c r="U183" i="80" s="1"/>
  <c r="S183" i="80"/>
  <c r="R183" i="80"/>
  <c r="Q183" i="80"/>
  <c r="P183" i="80"/>
  <c r="X183" i="80" s="1"/>
  <c r="Y183" i="80" s="1"/>
  <c r="O183" i="80"/>
  <c r="M183" i="80"/>
  <c r="AC183" i="80" s="1"/>
  <c r="L183" i="80"/>
  <c r="I183" i="80"/>
  <c r="G183" i="80"/>
  <c r="D183" i="80"/>
  <c r="E183" i="80" s="1"/>
  <c r="M182" i="80"/>
  <c r="T182" i="80" s="1"/>
  <c r="U182" i="80" s="1"/>
  <c r="L182" i="80"/>
  <c r="I182" i="80"/>
  <c r="G182" i="80"/>
  <c r="E182" i="80"/>
  <c r="V181" i="80"/>
  <c r="W181" i="80" s="1"/>
  <c r="T181" i="80"/>
  <c r="R181" i="80"/>
  <c r="S181" i="80" s="1"/>
  <c r="P181" i="80"/>
  <c r="X181" i="80" s="1"/>
  <c r="N181" i="80"/>
  <c r="M181" i="80"/>
  <c r="V180" i="80"/>
  <c r="W180" i="80" s="1"/>
  <c r="T180" i="80"/>
  <c r="U180" i="80" s="1"/>
  <c r="M180" i="80"/>
  <c r="R180" i="80" s="1"/>
  <c r="S180" i="80" s="1"/>
  <c r="L180" i="80"/>
  <c r="I180" i="80"/>
  <c r="G180" i="80"/>
  <c r="E180" i="80"/>
  <c r="R179" i="80"/>
  <c r="S179" i="80" s="1"/>
  <c r="Q179" i="80"/>
  <c r="P179" i="80"/>
  <c r="O179" i="80"/>
  <c r="M179" i="80"/>
  <c r="V179" i="80" s="1"/>
  <c r="W179" i="80" s="1"/>
  <c r="L179" i="80"/>
  <c r="I179" i="80"/>
  <c r="G179" i="80"/>
  <c r="E179" i="80"/>
  <c r="X178" i="80"/>
  <c r="Y178" i="80" s="1"/>
  <c r="W178" i="80"/>
  <c r="U178" i="80"/>
  <c r="S178" i="80"/>
  <c r="Q178" i="80"/>
  <c r="M178" i="80"/>
  <c r="L178" i="80"/>
  <c r="I178" i="80"/>
  <c r="G178" i="80"/>
  <c r="E178" i="80"/>
  <c r="W177" i="80"/>
  <c r="V177" i="80"/>
  <c r="U177" i="80"/>
  <c r="T177" i="80"/>
  <c r="M177" i="80"/>
  <c r="R177" i="80" s="1"/>
  <c r="S177" i="80" s="1"/>
  <c r="L177" i="80"/>
  <c r="I177" i="80"/>
  <c r="G177" i="80"/>
  <c r="D177" i="80"/>
  <c r="E177" i="80" s="1"/>
  <c r="Y176" i="80"/>
  <c r="X176" i="80"/>
  <c r="W176" i="80"/>
  <c r="U176" i="80"/>
  <c r="S176" i="80"/>
  <c r="Q176" i="80"/>
  <c r="M176" i="80"/>
  <c r="O176" i="80" s="1"/>
  <c r="L176" i="80"/>
  <c r="I176" i="80"/>
  <c r="G176" i="80"/>
  <c r="E176" i="80"/>
  <c r="M175" i="80"/>
  <c r="L175" i="80"/>
  <c r="I175" i="80"/>
  <c r="G175" i="80"/>
  <c r="E175" i="80"/>
  <c r="W174" i="80"/>
  <c r="V174" i="80"/>
  <c r="U174" i="80"/>
  <c r="T174" i="80"/>
  <c r="S174" i="80"/>
  <c r="M174" i="80"/>
  <c r="R174" i="80" s="1"/>
  <c r="L174" i="80"/>
  <c r="I174" i="80"/>
  <c r="G174" i="80"/>
  <c r="E174" i="80"/>
  <c r="P173" i="80"/>
  <c r="Q173" i="80" s="1"/>
  <c r="M173" i="80"/>
  <c r="V173" i="80" s="1"/>
  <c r="W173" i="80" s="1"/>
  <c r="L173" i="80"/>
  <c r="I173" i="80"/>
  <c r="G173" i="80"/>
  <c r="E173" i="80"/>
  <c r="V172" i="80"/>
  <c r="W172" i="80" s="1"/>
  <c r="U172" i="80"/>
  <c r="T172" i="80"/>
  <c r="S172" i="80"/>
  <c r="R172" i="80"/>
  <c r="O172" i="80"/>
  <c r="M172" i="80"/>
  <c r="P172" i="80" s="1"/>
  <c r="X172" i="80" s="1"/>
  <c r="Y172" i="80" s="1"/>
  <c r="L172" i="80"/>
  <c r="I172" i="80"/>
  <c r="G172" i="80"/>
  <c r="D172" i="80"/>
  <c r="E172" i="80" s="1"/>
  <c r="O171" i="80"/>
  <c r="M171" i="80"/>
  <c r="V171" i="80" s="1"/>
  <c r="W171" i="80" s="1"/>
  <c r="L171" i="80"/>
  <c r="I171" i="80"/>
  <c r="G171" i="80"/>
  <c r="E171" i="80"/>
  <c r="V170" i="80"/>
  <c r="W170" i="80" s="1"/>
  <c r="T170" i="80"/>
  <c r="U170" i="80" s="1"/>
  <c r="S170" i="80"/>
  <c r="R170" i="80"/>
  <c r="P170" i="80"/>
  <c r="M170" i="80"/>
  <c r="O170" i="80" s="1"/>
  <c r="L170" i="80"/>
  <c r="I170" i="80"/>
  <c r="G170" i="80"/>
  <c r="E170" i="80"/>
  <c r="Y169" i="80"/>
  <c r="X169" i="80"/>
  <c r="AC169" i="80" s="1"/>
  <c r="W169" i="80"/>
  <c r="U169" i="80"/>
  <c r="S169" i="80"/>
  <c r="Q169" i="80"/>
  <c r="O169" i="80"/>
  <c r="M169" i="80"/>
  <c r="L169" i="80"/>
  <c r="I169" i="80"/>
  <c r="G169" i="80"/>
  <c r="E169" i="80"/>
  <c r="V168" i="80"/>
  <c r="T168" i="80"/>
  <c r="U168" i="80" s="1"/>
  <c r="R168" i="80"/>
  <c r="S168" i="80" s="1"/>
  <c r="P168" i="80"/>
  <c r="Q168" i="80" s="1"/>
  <c r="O168" i="80"/>
  <c r="L168" i="80"/>
  <c r="I168" i="80"/>
  <c r="G168" i="80"/>
  <c r="E168" i="80"/>
  <c r="M167" i="80"/>
  <c r="L167" i="80"/>
  <c r="I167" i="80"/>
  <c r="G167" i="80"/>
  <c r="D167" i="80"/>
  <c r="E167" i="80" s="1"/>
  <c r="T166" i="80"/>
  <c r="U166" i="80" s="1"/>
  <c r="N166" i="80"/>
  <c r="E166" i="80" s="1"/>
  <c r="M166" i="80"/>
  <c r="R166" i="80" s="1"/>
  <c r="S166" i="80" s="1"/>
  <c r="L166" i="80"/>
  <c r="I166" i="80"/>
  <c r="G166" i="80"/>
  <c r="M165" i="80"/>
  <c r="L165" i="80"/>
  <c r="I165" i="80"/>
  <c r="G165" i="80"/>
  <c r="D165" i="80"/>
  <c r="E165" i="80" s="1"/>
  <c r="W164" i="80"/>
  <c r="V164" i="80"/>
  <c r="T164" i="80"/>
  <c r="R164" i="80"/>
  <c r="S164" i="80" s="1"/>
  <c r="P164" i="80"/>
  <c r="Q164" i="80" s="1"/>
  <c r="O164" i="80"/>
  <c r="L164" i="80"/>
  <c r="I164" i="80"/>
  <c r="G164" i="80"/>
  <c r="E164" i="80"/>
  <c r="X163" i="80"/>
  <c r="W163" i="80"/>
  <c r="U163" i="80"/>
  <c r="S163" i="80"/>
  <c r="Q163" i="80"/>
  <c r="M163" i="80"/>
  <c r="O163" i="80" s="1"/>
  <c r="L163" i="80"/>
  <c r="I163" i="80"/>
  <c r="G163" i="80"/>
  <c r="E163" i="80"/>
  <c r="Y162" i="80"/>
  <c r="X162" i="80"/>
  <c r="W162" i="80"/>
  <c r="U162" i="80"/>
  <c r="S162" i="80"/>
  <c r="Q162" i="80"/>
  <c r="M162" i="80"/>
  <c r="O162" i="80" s="1"/>
  <c r="L162" i="80"/>
  <c r="I162" i="80"/>
  <c r="G162" i="80"/>
  <c r="E162" i="80"/>
  <c r="R161" i="80"/>
  <c r="S161" i="80" s="1"/>
  <c r="M161" i="80"/>
  <c r="L161" i="80"/>
  <c r="I161" i="80"/>
  <c r="G161" i="80"/>
  <c r="E161" i="80"/>
  <c r="W160" i="80"/>
  <c r="V160" i="80"/>
  <c r="U160" i="80"/>
  <c r="T160" i="80"/>
  <c r="S160" i="80"/>
  <c r="M160" i="80"/>
  <c r="R160" i="80" s="1"/>
  <c r="L160" i="80"/>
  <c r="I160" i="80"/>
  <c r="G160" i="80"/>
  <c r="E160" i="80"/>
  <c r="X159" i="80"/>
  <c r="W159" i="80"/>
  <c r="U159" i="80"/>
  <c r="S159" i="80"/>
  <c r="Q159" i="80"/>
  <c r="O159" i="80"/>
  <c r="L159" i="80"/>
  <c r="I159" i="80"/>
  <c r="G159" i="80"/>
  <c r="E159" i="80"/>
  <c r="V158" i="80"/>
  <c r="W158" i="80" s="1"/>
  <c r="T158" i="80"/>
  <c r="U158" i="80" s="1"/>
  <c r="R158" i="80"/>
  <c r="S158" i="80" s="1"/>
  <c r="P158" i="80"/>
  <c r="O158" i="80"/>
  <c r="L158" i="80"/>
  <c r="I158" i="80"/>
  <c r="G158" i="80"/>
  <c r="E158" i="80"/>
  <c r="X157" i="80"/>
  <c r="Y157" i="80" s="1"/>
  <c r="W157" i="80"/>
  <c r="U157" i="80"/>
  <c r="S157" i="80"/>
  <c r="Q157" i="80"/>
  <c r="O157" i="80"/>
  <c r="M157" i="80"/>
  <c r="AC157" i="80" s="1"/>
  <c r="L157" i="80"/>
  <c r="I157" i="80"/>
  <c r="G157" i="80"/>
  <c r="E157" i="80"/>
  <c r="V156" i="80"/>
  <c r="W156" i="80" s="1"/>
  <c r="U156" i="80"/>
  <c r="T156" i="80"/>
  <c r="S156" i="80"/>
  <c r="R156" i="80"/>
  <c r="N156" i="80"/>
  <c r="M156" i="80"/>
  <c r="P156" i="80" s="1"/>
  <c r="L156" i="80"/>
  <c r="I156" i="80"/>
  <c r="G156" i="80"/>
  <c r="E156" i="80"/>
  <c r="P155" i="80"/>
  <c r="O155" i="80"/>
  <c r="M155" i="80"/>
  <c r="L155" i="80"/>
  <c r="I155" i="80"/>
  <c r="G155" i="80"/>
  <c r="E155" i="80"/>
  <c r="V154" i="80"/>
  <c r="W154" i="80" s="1"/>
  <c r="U154" i="80"/>
  <c r="T154" i="80"/>
  <c r="S154" i="80"/>
  <c r="R154" i="80"/>
  <c r="P154" i="80"/>
  <c r="M154" i="80"/>
  <c r="O154" i="80" s="1"/>
  <c r="L154" i="80"/>
  <c r="I154" i="80"/>
  <c r="G154" i="80"/>
  <c r="E154" i="80"/>
  <c r="M153" i="80"/>
  <c r="L153" i="80"/>
  <c r="I153" i="80"/>
  <c r="G153" i="80"/>
  <c r="E153" i="80"/>
  <c r="AC152" i="80"/>
  <c r="X152" i="80"/>
  <c r="Y152" i="80" s="1"/>
  <c r="W152" i="80"/>
  <c r="U152" i="80"/>
  <c r="S152" i="80"/>
  <c r="Q152" i="80"/>
  <c r="O152" i="80"/>
  <c r="M152" i="80"/>
  <c r="L152" i="80"/>
  <c r="I152" i="80"/>
  <c r="G152" i="80"/>
  <c r="E152" i="80"/>
  <c r="V151" i="80"/>
  <c r="W151" i="80" s="1"/>
  <c r="T151" i="80"/>
  <c r="U151" i="80" s="1"/>
  <c r="R151" i="80"/>
  <c r="S151" i="80" s="1"/>
  <c r="Q151" i="80"/>
  <c r="P151" i="80"/>
  <c r="X151" i="80" s="1"/>
  <c r="Y151" i="80" s="1"/>
  <c r="O151" i="80"/>
  <c r="M151" i="80"/>
  <c r="L151" i="80"/>
  <c r="I151" i="80"/>
  <c r="G151" i="80"/>
  <c r="D151" i="80"/>
  <c r="E151" i="80" s="1"/>
  <c r="V150" i="80"/>
  <c r="W150" i="80" s="1"/>
  <c r="O150" i="80"/>
  <c r="M150" i="80"/>
  <c r="L150" i="80"/>
  <c r="I150" i="80"/>
  <c r="G150" i="80"/>
  <c r="E150" i="80"/>
  <c r="AC149" i="80"/>
  <c r="X149" i="80"/>
  <c r="Y149" i="80" s="1"/>
  <c r="W149" i="80"/>
  <c r="U149" i="80"/>
  <c r="S149" i="80"/>
  <c r="Q149" i="80"/>
  <c r="O149" i="80"/>
  <c r="M149" i="80"/>
  <c r="L149" i="80"/>
  <c r="I149" i="80"/>
  <c r="G149" i="80"/>
  <c r="E149" i="80"/>
  <c r="D149" i="80"/>
  <c r="W148" i="80"/>
  <c r="V148" i="80"/>
  <c r="T148" i="80"/>
  <c r="U148" i="80" s="1"/>
  <c r="R148" i="80"/>
  <c r="S148" i="80" s="1"/>
  <c r="P148" i="80"/>
  <c r="X148" i="80" s="1"/>
  <c r="Y148" i="80" s="1"/>
  <c r="M148" i="80"/>
  <c r="O148" i="80" s="1"/>
  <c r="L148" i="80"/>
  <c r="I148" i="80"/>
  <c r="G148" i="80"/>
  <c r="E148" i="80"/>
  <c r="P147" i="80"/>
  <c r="M147" i="80"/>
  <c r="L147" i="80"/>
  <c r="I147" i="80"/>
  <c r="G147" i="80"/>
  <c r="D147" i="80"/>
  <c r="E147" i="80" s="1"/>
  <c r="Y146" i="80"/>
  <c r="X146" i="80"/>
  <c r="W146" i="80"/>
  <c r="U146" i="80"/>
  <c r="S146" i="80"/>
  <c r="Q146" i="80"/>
  <c r="M146" i="80"/>
  <c r="L146" i="80"/>
  <c r="I146" i="80"/>
  <c r="G146" i="80"/>
  <c r="E146" i="80"/>
  <c r="W145" i="80"/>
  <c r="V145" i="80"/>
  <c r="T145" i="80"/>
  <c r="U145" i="80" s="1"/>
  <c r="R145" i="80"/>
  <c r="X145" i="80" s="1"/>
  <c r="Y145" i="80" s="1"/>
  <c r="Q145" i="80"/>
  <c r="P145" i="80"/>
  <c r="M145" i="80"/>
  <c r="O145" i="80" s="1"/>
  <c r="L145" i="80"/>
  <c r="I145" i="80"/>
  <c r="G145" i="80"/>
  <c r="E145" i="80"/>
  <c r="V144" i="80"/>
  <c r="W144" i="80" s="1"/>
  <c r="O144" i="80"/>
  <c r="M144" i="80"/>
  <c r="L144" i="80"/>
  <c r="I144" i="80"/>
  <c r="G144" i="80"/>
  <c r="E144" i="80"/>
  <c r="V143" i="80"/>
  <c r="W143" i="80" s="1"/>
  <c r="M143" i="80"/>
  <c r="T143" i="80" s="1"/>
  <c r="U143" i="80" s="1"/>
  <c r="L143" i="80"/>
  <c r="I143" i="80"/>
  <c r="G143" i="80"/>
  <c r="E143" i="80"/>
  <c r="M142" i="80"/>
  <c r="L142" i="80"/>
  <c r="I142" i="80"/>
  <c r="G142" i="80"/>
  <c r="E142" i="80"/>
  <c r="T141" i="80"/>
  <c r="U141" i="80" s="1"/>
  <c r="S141" i="80"/>
  <c r="R141" i="80"/>
  <c r="P141" i="80"/>
  <c r="O141" i="80"/>
  <c r="M141" i="80"/>
  <c r="V141" i="80" s="1"/>
  <c r="W141" i="80" s="1"/>
  <c r="L141" i="80"/>
  <c r="I141" i="80"/>
  <c r="G141" i="80"/>
  <c r="E141" i="80"/>
  <c r="D141" i="80"/>
  <c r="AC140" i="80"/>
  <c r="Y140" i="80"/>
  <c r="X140" i="80"/>
  <c r="W140" i="80"/>
  <c r="U140" i="80"/>
  <c r="S140" i="80"/>
  <c r="Q140" i="80"/>
  <c r="M140" i="80"/>
  <c r="O140" i="80" s="1"/>
  <c r="L140" i="80"/>
  <c r="I140" i="80"/>
  <c r="G140" i="80"/>
  <c r="E140" i="80"/>
  <c r="W139" i="80"/>
  <c r="V139" i="80"/>
  <c r="T139" i="80"/>
  <c r="U139" i="80" s="1"/>
  <c r="O139" i="80"/>
  <c r="M139" i="80"/>
  <c r="L139" i="80"/>
  <c r="I139" i="80"/>
  <c r="G139" i="80"/>
  <c r="E139" i="80"/>
  <c r="O138" i="80"/>
  <c r="N138" i="80"/>
  <c r="M138" i="80"/>
  <c r="V138" i="80" s="1"/>
  <c r="W138" i="80" s="1"/>
  <c r="L138" i="80"/>
  <c r="G138" i="80"/>
  <c r="M137" i="80"/>
  <c r="L137" i="80"/>
  <c r="I137" i="80"/>
  <c r="G137" i="80"/>
  <c r="E137" i="80"/>
  <c r="AC136" i="80"/>
  <c r="Y136" i="80"/>
  <c r="X136" i="80"/>
  <c r="W136" i="80"/>
  <c r="U136" i="80"/>
  <c r="S136" i="80"/>
  <c r="Q136" i="80"/>
  <c r="O136" i="80"/>
  <c r="M136" i="80"/>
  <c r="L136" i="80"/>
  <c r="I136" i="80"/>
  <c r="G136" i="80"/>
  <c r="E136" i="80"/>
  <c r="V135" i="80"/>
  <c r="W135" i="80" s="1"/>
  <c r="R135" i="80"/>
  <c r="S135" i="80" s="1"/>
  <c r="M135" i="80"/>
  <c r="P135" i="80" s="1"/>
  <c r="L135" i="80"/>
  <c r="I135" i="80"/>
  <c r="G135" i="80"/>
  <c r="E135" i="80"/>
  <c r="M134" i="80"/>
  <c r="P134" i="80" s="1"/>
  <c r="Q134" i="80" s="1"/>
  <c r="L134" i="80"/>
  <c r="I134" i="80"/>
  <c r="G134" i="80"/>
  <c r="E134" i="80"/>
  <c r="V133" i="80"/>
  <c r="T133" i="80"/>
  <c r="R133" i="80"/>
  <c r="N133" i="80"/>
  <c r="M133" i="80"/>
  <c r="V132" i="80"/>
  <c r="W132" i="80" s="1"/>
  <c r="T132" i="80"/>
  <c r="U132" i="80" s="1"/>
  <c r="M132" i="80"/>
  <c r="O132" i="80" s="1"/>
  <c r="L132" i="80"/>
  <c r="I132" i="80"/>
  <c r="G132" i="80"/>
  <c r="D132" i="80"/>
  <c r="E132" i="80" s="1"/>
  <c r="M131" i="80"/>
  <c r="L131" i="80"/>
  <c r="I131" i="80"/>
  <c r="G131" i="80"/>
  <c r="E131" i="80"/>
  <c r="D131" i="80"/>
  <c r="T130" i="80"/>
  <c r="U130" i="80" s="1"/>
  <c r="R130" i="80"/>
  <c r="Q130" i="80"/>
  <c r="P130" i="80"/>
  <c r="M130" i="80"/>
  <c r="O130" i="80" s="1"/>
  <c r="L130" i="80"/>
  <c r="I130" i="80"/>
  <c r="G130" i="80"/>
  <c r="E130" i="80"/>
  <c r="V129" i="80"/>
  <c r="W129" i="80" s="1"/>
  <c r="U129" i="80"/>
  <c r="M129" i="80"/>
  <c r="T129" i="80" s="1"/>
  <c r="L129" i="80"/>
  <c r="I129" i="80"/>
  <c r="G129" i="80"/>
  <c r="D129" i="80"/>
  <c r="E129" i="80" s="1"/>
  <c r="Y128" i="80"/>
  <c r="V128" i="80"/>
  <c r="W128" i="80" s="1"/>
  <c r="U128" i="80"/>
  <c r="T128" i="80"/>
  <c r="S128" i="80"/>
  <c r="R128" i="80"/>
  <c r="Q128" i="80"/>
  <c r="P128" i="80"/>
  <c r="X128" i="80" s="1"/>
  <c r="O128" i="80"/>
  <c r="M128" i="80"/>
  <c r="L128" i="80"/>
  <c r="I128" i="80"/>
  <c r="G128" i="80"/>
  <c r="E128" i="80"/>
  <c r="X127" i="80"/>
  <c r="Y127" i="80" s="1"/>
  <c r="W127" i="80"/>
  <c r="U127" i="80"/>
  <c r="S127" i="80"/>
  <c r="Q127" i="80"/>
  <c r="M127" i="80"/>
  <c r="L127" i="80"/>
  <c r="I127" i="80"/>
  <c r="G127" i="80"/>
  <c r="E127" i="80"/>
  <c r="V126" i="80"/>
  <c r="W126" i="80" s="1"/>
  <c r="U126" i="80"/>
  <c r="R126" i="80"/>
  <c r="S126" i="80" s="1"/>
  <c r="M126" i="80"/>
  <c r="T126" i="80" s="1"/>
  <c r="L126" i="80"/>
  <c r="I126" i="80"/>
  <c r="G126" i="80"/>
  <c r="E126" i="80"/>
  <c r="X125" i="80"/>
  <c r="W125" i="80"/>
  <c r="U125" i="80"/>
  <c r="S125" i="80"/>
  <c r="Q125" i="80"/>
  <c r="M125" i="80"/>
  <c r="O125" i="80" s="1"/>
  <c r="L125" i="80"/>
  <c r="I125" i="80"/>
  <c r="G125" i="80"/>
  <c r="E125" i="80"/>
  <c r="V124" i="80"/>
  <c r="U124" i="80"/>
  <c r="T124" i="80"/>
  <c r="R124" i="80"/>
  <c r="S124" i="80" s="1"/>
  <c r="Q124" i="80"/>
  <c r="P124" i="80"/>
  <c r="O124" i="80"/>
  <c r="M124" i="80"/>
  <c r="L124" i="80"/>
  <c r="I124" i="80"/>
  <c r="G124" i="80"/>
  <c r="E124" i="80"/>
  <c r="M123" i="80"/>
  <c r="L123" i="80"/>
  <c r="I123" i="80"/>
  <c r="G123" i="80"/>
  <c r="E123" i="80"/>
  <c r="T122" i="80"/>
  <c r="U122" i="80" s="1"/>
  <c r="R122" i="80"/>
  <c r="S122" i="80" s="1"/>
  <c r="M122" i="80"/>
  <c r="P122" i="80" s="1"/>
  <c r="L122" i="80"/>
  <c r="I122" i="80"/>
  <c r="G122" i="80"/>
  <c r="E122" i="80"/>
  <c r="W121" i="80"/>
  <c r="V121" i="80"/>
  <c r="U121" i="80"/>
  <c r="T121" i="80"/>
  <c r="R121" i="80"/>
  <c r="S121" i="80" s="1"/>
  <c r="P121" i="80"/>
  <c r="Q121" i="80" s="1"/>
  <c r="O121" i="80"/>
  <c r="M121" i="80"/>
  <c r="L121" i="80"/>
  <c r="I121" i="80"/>
  <c r="G121" i="80"/>
  <c r="E121" i="80"/>
  <c r="D121" i="80"/>
  <c r="V120" i="80"/>
  <c r="W120" i="80" s="1"/>
  <c r="T120" i="80"/>
  <c r="U120" i="80" s="1"/>
  <c r="R120" i="80"/>
  <c r="S120" i="80" s="1"/>
  <c r="O120" i="80"/>
  <c r="M120" i="80"/>
  <c r="L120" i="80"/>
  <c r="I120" i="80"/>
  <c r="G120" i="80"/>
  <c r="E120" i="80"/>
  <c r="D120" i="80"/>
  <c r="AC119" i="80"/>
  <c r="X119" i="80"/>
  <c r="Y119" i="80" s="1"/>
  <c r="W119" i="80"/>
  <c r="U119" i="80"/>
  <c r="Q119" i="80"/>
  <c r="O119" i="80"/>
  <c r="M119" i="80"/>
  <c r="L119" i="80"/>
  <c r="I119" i="80"/>
  <c r="G119" i="80"/>
  <c r="E119" i="80"/>
  <c r="T118" i="80"/>
  <c r="U118" i="80" s="1"/>
  <c r="N118" i="80"/>
  <c r="L118" i="80" s="1"/>
  <c r="M118" i="80"/>
  <c r="I118" i="80"/>
  <c r="G118" i="80"/>
  <c r="L117" i="80"/>
  <c r="K117" i="80"/>
  <c r="J117" i="80"/>
  <c r="J299" i="80" s="1"/>
  <c r="I117" i="80"/>
  <c r="F117" i="80"/>
  <c r="D117" i="80"/>
  <c r="E117" i="80" s="1"/>
  <c r="V116" i="80"/>
  <c r="W116" i="80" s="1"/>
  <c r="U116" i="80"/>
  <c r="T116" i="80"/>
  <c r="R116" i="80"/>
  <c r="S116" i="80" s="1"/>
  <c r="Q116" i="80"/>
  <c r="P116" i="80"/>
  <c r="O116" i="80"/>
  <c r="M116" i="80"/>
  <c r="L116" i="80"/>
  <c r="I116" i="80"/>
  <c r="G116" i="80"/>
  <c r="E116" i="80"/>
  <c r="Q115" i="80"/>
  <c r="M115" i="80"/>
  <c r="P115" i="80" s="1"/>
  <c r="L115" i="80"/>
  <c r="I115" i="80"/>
  <c r="G115" i="80"/>
  <c r="E115" i="80"/>
  <c r="D115" i="80"/>
  <c r="T114" i="80"/>
  <c r="U114" i="80" s="1"/>
  <c r="M114" i="80"/>
  <c r="L114" i="80"/>
  <c r="I114" i="80"/>
  <c r="G114" i="80"/>
  <c r="E114" i="80"/>
  <c r="P113" i="80"/>
  <c r="M113" i="80"/>
  <c r="L113" i="80"/>
  <c r="I113" i="80"/>
  <c r="G113" i="80"/>
  <c r="D113" i="80"/>
  <c r="E113" i="80" s="1"/>
  <c r="V112" i="80"/>
  <c r="W112" i="80" s="1"/>
  <c r="T112" i="80"/>
  <c r="U112" i="80" s="1"/>
  <c r="O112" i="80"/>
  <c r="M112" i="80"/>
  <c r="R112" i="80" s="1"/>
  <c r="S112" i="80" s="1"/>
  <c r="L112" i="80"/>
  <c r="I112" i="80"/>
  <c r="G112" i="80"/>
  <c r="E112" i="80"/>
  <c r="D112" i="80"/>
  <c r="P111" i="80"/>
  <c r="N111" i="80"/>
  <c r="M111" i="80"/>
  <c r="V110" i="80"/>
  <c r="W110" i="80" s="1"/>
  <c r="T110" i="80"/>
  <c r="U110" i="80" s="1"/>
  <c r="O110" i="80"/>
  <c r="M110" i="80"/>
  <c r="R110" i="80" s="1"/>
  <c r="S110" i="80" s="1"/>
  <c r="L110" i="80"/>
  <c r="I110" i="80"/>
  <c r="G110" i="80"/>
  <c r="E110" i="80"/>
  <c r="T109" i="80"/>
  <c r="U109" i="80" s="1"/>
  <c r="R109" i="80"/>
  <c r="S109" i="80" s="1"/>
  <c r="P109" i="80"/>
  <c r="Q109" i="80" s="1"/>
  <c r="O109" i="80"/>
  <c r="M109" i="80"/>
  <c r="V109" i="80" s="1"/>
  <c r="W109" i="80" s="1"/>
  <c r="L109" i="80"/>
  <c r="I109" i="80"/>
  <c r="G109" i="80"/>
  <c r="E109" i="80"/>
  <c r="Y108" i="80"/>
  <c r="X108" i="80"/>
  <c r="W108" i="80"/>
  <c r="U108" i="80"/>
  <c r="S108" i="80"/>
  <c r="Q108" i="80"/>
  <c r="M108" i="80"/>
  <c r="L108" i="80"/>
  <c r="I108" i="80"/>
  <c r="G108" i="80"/>
  <c r="E108" i="80"/>
  <c r="V107" i="80"/>
  <c r="W107" i="80" s="1"/>
  <c r="R107" i="80"/>
  <c r="S107" i="80" s="1"/>
  <c r="M107" i="80"/>
  <c r="L107" i="80"/>
  <c r="I107" i="80"/>
  <c r="G107" i="80"/>
  <c r="E107" i="80"/>
  <c r="X106" i="80"/>
  <c r="W106" i="80"/>
  <c r="U106" i="80"/>
  <c r="S106" i="80"/>
  <c r="Q106" i="80"/>
  <c r="O106" i="80"/>
  <c r="M106" i="80"/>
  <c r="L106" i="80"/>
  <c r="I106" i="80"/>
  <c r="G106" i="80"/>
  <c r="E106" i="80"/>
  <c r="D106" i="80"/>
  <c r="P105" i="80"/>
  <c r="M105" i="80"/>
  <c r="L105" i="80"/>
  <c r="I105" i="80"/>
  <c r="G105" i="80"/>
  <c r="E105" i="80"/>
  <c r="M104" i="80"/>
  <c r="L104" i="80"/>
  <c r="I104" i="80"/>
  <c r="G104" i="80"/>
  <c r="E104" i="80"/>
  <c r="D104" i="80"/>
  <c r="X103" i="80"/>
  <c r="Y103" i="80" s="1"/>
  <c r="T103" i="80"/>
  <c r="U103" i="80" s="1"/>
  <c r="R103" i="80"/>
  <c r="S103" i="80" s="1"/>
  <c r="P103" i="80"/>
  <c r="Q103" i="80" s="1"/>
  <c r="O103" i="80"/>
  <c r="M103" i="80"/>
  <c r="V103" i="80" s="1"/>
  <c r="W103" i="80" s="1"/>
  <c r="L103" i="80"/>
  <c r="I103" i="80"/>
  <c r="G103" i="80"/>
  <c r="E103" i="80"/>
  <c r="U102" i="80"/>
  <c r="T102" i="80"/>
  <c r="R102" i="80"/>
  <c r="S102" i="80" s="1"/>
  <c r="M102" i="80"/>
  <c r="P102" i="80" s="1"/>
  <c r="L102" i="80"/>
  <c r="I102" i="80"/>
  <c r="G102" i="80"/>
  <c r="E102" i="80"/>
  <c r="AC101" i="80"/>
  <c r="Y101" i="80"/>
  <c r="X101" i="80"/>
  <c r="W101" i="80"/>
  <c r="U101" i="80"/>
  <c r="S101" i="80"/>
  <c r="Q101" i="80"/>
  <c r="M101" i="80"/>
  <c r="O101" i="80" s="1"/>
  <c r="L101" i="80"/>
  <c r="I101" i="80"/>
  <c r="G101" i="80"/>
  <c r="E101" i="80"/>
  <c r="O100" i="80"/>
  <c r="M100" i="80"/>
  <c r="L100" i="80"/>
  <c r="I100" i="80"/>
  <c r="G100" i="80"/>
  <c r="E100" i="80"/>
  <c r="V99" i="80"/>
  <c r="W99" i="80" s="1"/>
  <c r="T99" i="80"/>
  <c r="U99" i="80" s="1"/>
  <c r="Q99" i="80"/>
  <c r="P99" i="80"/>
  <c r="M99" i="80"/>
  <c r="O99" i="80" s="1"/>
  <c r="L99" i="80"/>
  <c r="I99" i="80"/>
  <c r="G99" i="80"/>
  <c r="E99" i="80"/>
  <c r="O98" i="80"/>
  <c r="N98" i="80"/>
  <c r="M98" i="80"/>
  <c r="V98" i="80" s="1"/>
  <c r="W98" i="80" s="1"/>
  <c r="L98" i="80"/>
  <c r="I98" i="80"/>
  <c r="G98" i="80"/>
  <c r="E98" i="80"/>
  <c r="V97" i="80"/>
  <c r="W97" i="80" s="1"/>
  <c r="R97" i="80"/>
  <c r="S97" i="80" s="1"/>
  <c r="P97" i="80"/>
  <c r="O97" i="80"/>
  <c r="M97" i="80"/>
  <c r="L97" i="80"/>
  <c r="I97" i="80"/>
  <c r="G97" i="80"/>
  <c r="E97" i="80"/>
  <c r="V96" i="80"/>
  <c r="T96" i="80"/>
  <c r="R96" i="80"/>
  <c r="P96" i="80"/>
  <c r="X96" i="80" s="1"/>
  <c r="M96" i="80"/>
  <c r="O96" i="80" s="1"/>
  <c r="L96" i="80"/>
  <c r="I96" i="80"/>
  <c r="G96" i="80"/>
  <c r="E96" i="80"/>
  <c r="X95" i="80"/>
  <c r="Y95" i="80" s="1"/>
  <c r="W95" i="80"/>
  <c r="U95" i="80"/>
  <c r="S95" i="80"/>
  <c r="Q95" i="80"/>
  <c r="M95" i="80"/>
  <c r="O95" i="80" s="1"/>
  <c r="L95" i="80"/>
  <c r="I95" i="80"/>
  <c r="G95" i="80"/>
  <c r="E95" i="80"/>
  <c r="M94" i="80"/>
  <c r="L94" i="80"/>
  <c r="I94" i="80"/>
  <c r="G94" i="80"/>
  <c r="E94" i="80"/>
  <c r="W93" i="80"/>
  <c r="V93" i="80"/>
  <c r="R93" i="80"/>
  <c r="S93" i="80" s="1"/>
  <c r="P93" i="80"/>
  <c r="O93" i="80"/>
  <c r="M93" i="80"/>
  <c r="L93" i="80"/>
  <c r="I93" i="80"/>
  <c r="G93" i="80"/>
  <c r="E93" i="80"/>
  <c r="M92" i="80"/>
  <c r="L92" i="80"/>
  <c r="I92" i="80"/>
  <c r="G92" i="80"/>
  <c r="D92" i="80"/>
  <c r="E92" i="80" s="1"/>
  <c r="X91" i="80"/>
  <c r="Y91" i="80" s="1"/>
  <c r="W91" i="80"/>
  <c r="U91" i="80"/>
  <c r="S91" i="80"/>
  <c r="Q91" i="80"/>
  <c r="M91" i="80"/>
  <c r="O91" i="80" s="1"/>
  <c r="L91" i="80"/>
  <c r="I91" i="80"/>
  <c r="G91" i="80"/>
  <c r="E91" i="80"/>
  <c r="D91" i="80"/>
  <c r="X90" i="80"/>
  <c r="Y90" i="80" s="1"/>
  <c r="W90" i="80"/>
  <c r="U90" i="80"/>
  <c r="S90" i="80"/>
  <c r="Q90" i="80"/>
  <c r="O90" i="80"/>
  <c r="M90" i="80"/>
  <c r="AC90" i="80" s="1"/>
  <c r="L90" i="80"/>
  <c r="I90" i="80"/>
  <c r="G90" i="80"/>
  <c r="E90" i="80"/>
  <c r="T89" i="80"/>
  <c r="U89" i="80" s="1"/>
  <c r="R89" i="80"/>
  <c r="S89" i="80" s="1"/>
  <c r="M89" i="80"/>
  <c r="P89" i="80" s="1"/>
  <c r="L89" i="80"/>
  <c r="I89" i="80"/>
  <c r="G89" i="80"/>
  <c r="E89" i="80"/>
  <c r="R88" i="80"/>
  <c r="S88" i="80" s="1"/>
  <c r="M88" i="80"/>
  <c r="L88" i="80"/>
  <c r="I88" i="80"/>
  <c r="G88" i="80"/>
  <c r="E88" i="80"/>
  <c r="V87" i="80"/>
  <c r="W87" i="80" s="1"/>
  <c r="R87" i="80"/>
  <c r="S87" i="80" s="1"/>
  <c r="P87" i="80"/>
  <c r="O87" i="80"/>
  <c r="M87" i="80"/>
  <c r="L87" i="80"/>
  <c r="I87" i="80"/>
  <c r="G87" i="80"/>
  <c r="E87" i="80"/>
  <c r="T86" i="80"/>
  <c r="U86" i="80" s="1"/>
  <c r="P86" i="80"/>
  <c r="Q86" i="80" s="1"/>
  <c r="M86" i="80"/>
  <c r="L86" i="80"/>
  <c r="I86" i="80"/>
  <c r="G86" i="80"/>
  <c r="E86" i="80"/>
  <c r="M85" i="80"/>
  <c r="L85" i="80"/>
  <c r="I85" i="80"/>
  <c r="G85" i="80"/>
  <c r="E85" i="80"/>
  <c r="M84" i="80"/>
  <c r="L84" i="80"/>
  <c r="I84" i="80"/>
  <c r="G84" i="80"/>
  <c r="E84" i="80"/>
  <c r="X83" i="80"/>
  <c r="Y83" i="80" s="1"/>
  <c r="W83" i="80"/>
  <c r="U83" i="80"/>
  <c r="S83" i="80"/>
  <c r="Q83" i="80"/>
  <c r="M83" i="80"/>
  <c r="AC83" i="80" s="1"/>
  <c r="L83" i="80"/>
  <c r="I83" i="80"/>
  <c r="G83" i="80"/>
  <c r="E83" i="80"/>
  <c r="T82" i="80"/>
  <c r="U82" i="80" s="1"/>
  <c r="R82" i="80"/>
  <c r="S82" i="80" s="1"/>
  <c r="P82" i="80"/>
  <c r="Q82" i="80" s="1"/>
  <c r="O82" i="80"/>
  <c r="M82" i="80"/>
  <c r="V82" i="80" s="1"/>
  <c r="W82" i="80" s="1"/>
  <c r="L82" i="80"/>
  <c r="I82" i="80"/>
  <c r="G82" i="80"/>
  <c r="E82" i="80"/>
  <c r="T81" i="80"/>
  <c r="U81" i="80" s="1"/>
  <c r="R81" i="80"/>
  <c r="S81" i="80" s="1"/>
  <c r="M81" i="80"/>
  <c r="P81" i="80" s="1"/>
  <c r="L81" i="80"/>
  <c r="I81" i="80"/>
  <c r="G81" i="80"/>
  <c r="E81" i="80"/>
  <c r="M80" i="80"/>
  <c r="L80" i="80"/>
  <c r="I80" i="80"/>
  <c r="G80" i="80"/>
  <c r="E80" i="80"/>
  <c r="V79" i="80"/>
  <c r="W79" i="80" s="1"/>
  <c r="S79" i="80"/>
  <c r="R79" i="80"/>
  <c r="P79" i="80"/>
  <c r="Q79" i="80" s="1"/>
  <c r="O79" i="80"/>
  <c r="M79" i="80"/>
  <c r="L79" i="80"/>
  <c r="I79" i="80"/>
  <c r="G79" i="80"/>
  <c r="E79" i="80"/>
  <c r="P78" i="80"/>
  <c r="M78" i="80"/>
  <c r="L78" i="80"/>
  <c r="I78" i="80"/>
  <c r="G78" i="80"/>
  <c r="D78" i="80"/>
  <c r="E78" i="80" s="1"/>
  <c r="V77" i="80"/>
  <c r="W77" i="80" s="1"/>
  <c r="T77" i="80"/>
  <c r="U77" i="80" s="1"/>
  <c r="R77" i="80"/>
  <c r="S77" i="80" s="1"/>
  <c r="O77" i="80"/>
  <c r="M77" i="80"/>
  <c r="P77" i="80" s="1"/>
  <c r="L77" i="80"/>
  <c r="I77" i="80"/>
  <c r="G77" i="80"/>
  <c r="D77" i="80"/>
  <c r="E77" i="80" s="1"/>
  <c r="W76" i="80"/>
  <c r="V76" i="80"/>
  <c r="T76" i="80"/>
  <c r="U76" i="80" s="1"/>
  <c r="R76" i="80"/>
  <c r="P76" i="80"/>
  <c r="Q76" i="80" s="1"/>
  <c r="N76" i="80"/>
  <c r="M76" i="80"/>
  <c r="L76" i="80"/>
  <c r="I76" i="80"/>
  <c r="E76" i="80"/>
  <c r="AC75" i="80"/>
  <c r="V75" i="80"/>
  <c r="W75" i="80" s="1"/>
  <c r="T75" i="80"/>
  <c r="U75" i="80" s="1"/>
  <c r="R75" i="80"/>
  <c r="N75" i="80"/>
  <c r="L75" i="80" s="1"/>
  <c r="M75" i="80"/>
  <c r="P75" i="80" s="1"/>
  <c r="X75" i="80" s="1"/>
  <c r="Y75" i="80" s="1"/>
  <c r="G75" i="80"/>
  <c r="E75" i="80"/>
  <c r="M74" i="80"/>
  <c r="L74" i="80"/>
  <c r="I74" i="80"/>
  <c r="G74" i="80"/>
  <c r="E74" i="80"/>
  <c r="P73" i="80"/>
  <c r="M73" i="80"/>
  <c r="L73" i="80"/>
  <c r="I73" i="80"/>
  <c r="G73" i="80"/>
  <c r="E73" i="80"/>
  <c r="R72" i="80"/>
  <c r="S72" i="80" s="1"/>
  <c r="M72" i="80"/>
  <c r="L72" i="80"/>
  <c r="I72" i="80"/>
  <c r="G72" i="80"/>
  <c r="E72" i="80"/>
  <c r="M71" i="80"/>
  <c r="L71" i="80"/>
  <c r="I71" i="80"/>
  <c r="G71" i="80"/>
  <c r="E71" i="80"/>
  <c r="V70" i="80"/>
  <c r="W70" i="80" s="1"/>
  <c r="T70" i="80"/>
  <c r="U70" i="80" s="1"/>
  <c r="S70" i="80"/>
  <c r="R70" i="80"/>
  <c r="Q70" i="80"/>
  <c r="P70" i="80"/>
  <c r="O70" i="80"/>
  <c r="M70" i="80"/>
  <c r="L70" i="80"/>
  <c r="I70" i="80"/>
  <c r="G70" i="80"/>
  <c r="E70" i="80"/>
  <c r="D70" i="80"/>
  <c r="V69" i="80"/>
  <c r="W69" i="80" s="1"/>
  <c r="R69" i="80"/>
  <c r="S69" i="80" s="1"/>
  <c r="M69" i="80"/>
  <c r="L69" i="80"/>
  <c r="I69" i="80"/>
  <c r="G69" i="80"/>
  <c r="E69" i="80"/>
  <c r="V68" i="80"/>
  <c r="W68" i="80" s="1"/>
  <c r="S68" i="80"/>
  <c r="R68" i="80"/>
  <c r="P68" i="80"/>
  <c r="Q68" i="80" s="1"/>
  <c r="O68" i="80"/>
  <c r="M68" i="80"/>
  <c r="L68" i="80"/>
  <c r="I68" i="80"/>
  <c r="G68" i="80"/>
  <c r="E68" i="80"/>
  <c r="P67" i="80"/>
  <c r="Q67" i="80" s="1"/>
  <c r="M67" i="80"/>
  <c r="L67" i="80"/>
  <c r="I67" i="80"/>
  <c r="G67" i="80"/>
  <c r="E67" i="80"/>
  <c r="T66" i="80"/>
  <c r="U66" i="80" s="1"/>
  <c r="P66" i="80"/>
  <c r="Q66" i="80" s="1"/>
  <c r="O66" i="80"/>
  <c r="M66" i="80"/>
  <c r="R66" i="80" s="1"/>
  <c r="S66" i="80" s="1"/>
  <c r="L66" i="80"/>
  <c r="I66" i="80"/>
  <c r="G66" i="80"/>
  <c r="E66" i="80"/>
  <c r="V65" i="80"/>
  <c r="W65" i="80" s="1"/>
  <c r="T65" i="80"/>
  <c r="X65" i="80" s="1"/>
  <c r="S65" i="80"/>
  <c r="R65" i="80"/>
  <c r="Q65" i="80"/>
  <c r="O65" i="80"/>
  <c r="M65" i="80"/>
  <c r="P65" i="80" s="1"/>
  <c r="L65" i="80"/>
  <c r="I65" i="80"/>
  <c r="G65" i="80"/>
  <c r="E65" i="80"/>
  <c r="W64" i="80"/>
  <c r="V64" i="80"/>
  <c r="T64" i="80"/>
  <c r="U64" i="80" s="1"/>
  <c r="Q64" i="80"/>
  <c r="M64" i="80"/>
  <c r="P64" i="80" s="1"/>
  <c r="L64" i="80"/>
  <c r="I64" i="80"/>
  <c r="G64" i="80"/>
  <c r="E64" i="80"/>
  <c r="V63" i="80"/>
  <c r="W63" i="80" s="1"/>
  <c r="P63" i="80"/>
  <c r="Q63" i="80" s="1"/>
  <c r="M63" i="80"/>
  <c r="L63" i="80"/>
  <c r="I63" i="80"/>
  <c r="G63" i="80"/>
  <c r="E63" i="80"/>
  <c r="Y62" i="80"/>
  <c r="W62" i="80"/>
  <c r="V62" i="80"/>
  <c r="T62" i="80"/>
  <c r="U62" i="80" s="1"/>
  <c r="R62" i="80"/>
  <c r="S62" i="80" s="1"/>
  <c r="P62" i="80"/>
  <c r="X62" i="80" s="1"/>
  <c r="O62" i="80"/>
  <c r="M62" i="80"/>
  <c r="L62" i="80"/>
  <c r="I62" i="80"/>
  <c r="G62" i="80"/>
  <c r="E62" i="80"/>
  <c r="V61" i="80"/>
  <c r="W61" i="80" s="1"/>
  <c r="U61" i="80"/>
  <c r="T61" i="80"/>
  <c r="R61" i="80"/>
  <c r="S61" i="80" s="1"/>
  <c r="O61" i="80"/>
  <c r="M61" i="80"/>
  <c r="P61" i="80" s="1"/>
  <c r="X61" i="80" s="1"/>
  <c r="L61" i="80"/>
  <c r="I61" i="80"/>
  <c r="G61" i="80"/>
  <c r="E61" i="80"/>
  <c r="V60" i="80"/>
  <c r="W60" i="80" s="1"/>
  <c r="P60" i="80"/>
  <c r="M60" i="80"/>
  <c r="T60" i="80" s="1"/>
  <c r="U60" i="80" s="1"/>
  <c r="L60" i="80"/>
  <c r="I60" i="80"/>
  <c r="G60" i="80"/>
  <c r="D60" i="80"/>
  <c r="E60" i="80" s="1"/>
  <c r="M59" i="80"/>
  <c r="L59" i="80"/>
  <c r="I59" i="80"/>
  <c r="G59" i="80"/>
  <c r="D59" i="80"/>
  <c r="E59" i="80" s="1"/>
  <c r="V58" i="80"/>
  <c r="W58" i="80" s="1"/>
  <c r="T58" i="80"/>
  <c r="U58" i="80" s="1"/>
  <c r="M58" i="80"/>
  <c r="R58" i="80" s="1"/>
  <c r="S58" i="80" s="1"/>
  <c r="L58" i="80"/>
  <c r="I58" i="80"/>
  <c r="G58" i="80"/>
  <c r="E58" i="80"/>
  <c r="V57" i="80"/>
  <c r="W57" i="80" s="1"/>
  <c r="P57" i="80"/>
  <c r="Q57" i="80" s="1"/>
  <c r="O57" i="80"/>
  <c r="M57" i="80"/>
  <c r="T57" i="80" s="1"/>
  <c r="U57" i="80" s="1"/>
  <c r="L57" i="80"/>
  <c r="I57" i="80"/>
  <c r="G57" i="80"/>
  <c r="E57" i="80"/>
  <c r="V56" i="80"/>
  <c r="W56" i="80" s="1"/>
  <c r="T56" i="80"/>
  <c r="U56" i="80" s="1"/>
  <c r="R56" i="80"/>
  <c r="S56" i="80" s="1"/>
  <c r="O56" i="80"/>
  <c r="N56" i="80"/>
  <c r="M56" i="80"/>
  <c r="P56" i="80" s="1"/>
  <c r="X56" i="80" s="1"/>
  <c r="Y56" i="80" s="1"/>
  <c r="L56" i="80"/>
  <c r="I56" i="80"/>
  <c r="G56" i="80"/>
  <c r="D56" i="80"/>
  <c r="E56" i="80" s="1"/>
  <c r="V55" i="80"/>
  <c r="W55" i="80" s="1"/>
  <c r="O55" i="80"/>
  <c r="N55" i="80"/>
  <c r="M55" i="80"/>
  <c r="T55" i="80" s="1"/>
  <c r="U55" i="80" s="1"/>
  <c r="L55" i="80"/>
  <c r="G55" i="80"/>
  <c r="V54" i="80"/>
  <c r="W54" i="80" s="1"/>
  <c r="U54" i="80"/>
  <c r="T54" i="80"/>
  <c r="R54" i="80"/>
  <c r="S54" i="80" s="1"/>
  <c r="P54" i="80"/>
  <c r="Q54" i="80" s="1"/>
  <c r="M54" i="80"/>
  <c r="O54" i="80" s="1"/>
  <c r="L54" i="80"/>
  <c r="I54" i="80"/>
  <c r="G54" i="80"/>
  <c r="E54" i="80"/>
  <c r="AC53" i="80"/>
  <c r="X53" i="80"/>
  <c r="Y53" i="80" s="1"/>
  <c r="W53" i="80"/>
  <c r="U53" i="80"/>
  <c r="S53" i="80"/>
  <c r="Q53" i="80"/>
  <c r="M53" i="80"/>
  <c r="O53" i="80" s="1"/>
  <c r="L53" i="80"/>
  <c r="I53" i="80"/>
  <c r="G53" i="80"/>
  <c r="E53" i="80"/>
  <c r="V52" i="80"/>
  <c r="W52" i="80" s="1"/>
  <c r="P52" i="80"/>
  <c r="Q52" i="80" s="1"/>
  <c r="O52" i="80"/>
  <c r="M52" i="80"/>
  <c r="T52" i="80" s="1"/>
  <c r="U52" i="80" s="1"/>
  <c r="L52" i="80"/>
  <c r="I52" i="80"/>
  <c r="G52" i="80"/>
  <c r="E52" i="80"/>
  <c r="V51" i="80"/>
  <c r="W51" i="80" s="1"/>
  <c r="T51" i="80"/>
  <c r="U51" i="80" s="1"/>
  <c r="R51" i="80"/>
  <c r="S51" i="80" s="1"/>
  <c r="Q51" i="80"/>
  <c r="O51" i="80"/>
  <c r="M51" i="80"/>
  <c r="P51" i="80" s="1"/>
  <c r="X51" i="80" s="1"/>
  <c r="Y51" i="80" s="1"/>
  <c r="L51" i="80"/>
  <c r="I51" i="80"/>
  <c r="G51" i="80"/>
  <c r="E51" i="80"/>
  <c r="V50" i="80"/>
  <c r="W50" i="80" s="1"/>
  <c r="T50" i="80"/>
  <c r="U50" i="80" s="1"/>
  <c r="M50" i="80"/>
  <c r="R50" i="80" s="1"/>
  <c r="S50" i="80" s="1"/>
  <c r="L50" i="80"/>
  <c r="I50" i="80"/>
  <c r="G50" i="80"/>
  <c r="E50" i="80"/>
  <c r="V49" i="80"/>
  <c r="W49" i="80" s="1"/>
  <c r="T49" i="80"/>
  <c r="U49" i="80" s="1"/>
  <c r="R49" i="80"/>
  <c r="S49" i="80" s="1"/>
  <c r="P49" i="80"/>
  <c r="X49" i="80" s="1"/>
  <c r="Y49" i="80" s="1"/>
  <c r="O49" i="80"/>
  <c r="M49" i="80"/>
  <c r="AC49" i="80" s="1"/>
  <c r="L49" i="80"/>
  <c r="I49" i="80"/>
  <c r="G49" i="80"/>
  <c r="E49" i="80"/>
  <c r="W48" i="80"/>
  <c r="V48" i="80"/>
  <c r="T48" i="80"/>
  <c r="U48" i="80" s="1"/>
  <c r="R48" i="80"/>
  <c r="S48" i="80" s="1"/>
  <c r="P48" i="80"/>
  <c r="Q48" i="80" s="1"/>
  <c r="O48" i="80"/>
  <c r="M48" i="80"/>
  <c r="L48" i="80"/>
  <c r="I48" i="80"/>
  <c r="G48" i="80"/>
  <c r="E48" i="80"/>
  <c r="P47" i="80"/>
  <c r="M47" i="80"/>
  <c r="V47" i="80" s="1"/>
  <c r="W47" i="80" s="1"/>
  <c r="L47" i="80"/>
  <c r="I47" i="80"/>
  <c r="G47" i="80"/>
  <c r="D47" i="80"/>
  <c r="E47" i="80" s="1"/>
  <c r="V46" i="80"/>
  <c r="W46" i="80" s="1"/>
  <c r="T46" i="80"/>
  <c r="U46" i="80" s="1"/>
  <c r="M46" i="80"/>
  <c r="R46" i="80" s="1"/>
  <c r="S46" i="80" s="1"/>
  <c r="L46" i="80"/>
  <c r="I46" i="80"/>
  <c r="G46" i="80"/>
  <c r="E46" i="80"/>
  <c r="D46" i="80"/>
  <c r="P45" i="80"/>
  <c r="M45" i="80"/>
  <c r="V45" i="80" s="1"/>
  <c r="W45" i="80" s="1"/>
  <c r="L45" i="80"/>
  <c r="I45" i="80"/>
  <c r="G45" i="80"/>
  <c r="D45" i="80"/>
  <c r="E45" i="80" s="1"/>
  <c r="V44" i="80"/>
  <c r="W44" i="80" s="1"/>
  <c r="T44" i="80"/>
  <c r="U44" i="80" s="1"/>
  <c r="S44" i="80"/>
  <c r="M44" i="80"/>
  <c r="R44" i="80" s="1"/>
  <c r="L44" i="80"/>
  <c r="I44" i="80"/>
  <c r="G44" i="80"/>
  <c r="E44" i="80"/>
  <c r="D44" i="80"/>
  <c r="AC43" i="80"/>
  <c r="Y43" i="80"/>
  <c r="X43" i="80"/>
  <c r="W43" i="80"/>
  <c r="U43" i="80"/>
  <c r="S43" i="80"/>
  <c r="Q43" i="80"/>
  <c r="M43" i="80"/>
  <c r="O43" i="80" s="1"/>
  <c r="L43" i="80"/>
  <c r="I43" i="80"/>
  <c r="G43" i="80"/>
  <c r="E43" i="80"/>
  <c r="M42" i="80"/>
  <c r="L42" i="80"/>
  <c r="I42" i="80"/>
  <c r="G42" i="80"/>
  <c r="D42" i="80"/>
  <c r="E42" i="80" s="1"/>
  <c r="W41" i="80"/>
  <c r="V41" i="80"/>
  <c r="T41" i="80"/>
  <c r="U41" i="80" s="1"/>
  <c r="R41" i="80"/>
  <c r="S41" i="80" s="1"/>
  <c r="P41" i="80"/>
  <c r="Q41" i="80" s="1"/>
  <c r="O41" i="80"/>
  <c r="M41" i="80"/>
  <c r="L41" i="80"/>
  <c r="I41" i="80"/>
  <c r="G41" i="80"/>
  <c r="D41" i="80"/>
  <c r="E41" i="80" s="1"/>
  <c r="AC40" i="80"/>
  <c r="X40" i="80"/>
  <c r="Y40" i="80" s="1"/>
  <c r="W40" i="80"/>
  <c r="U40" i="80"/>
  <c r="S40" i="80"/>
  <c r="Q40" i="80"/>
  <c r="O40" i="80"/>
  <c r="L40" i="80"/>
  <c r="I40" i="80"/>
  <c r="G40" i="80"/>
  <c r="E40" i="80"/>
  <c r="AC39" i="80"/>
  <c r="X39" i="80"/>
  <c r="Y39" i="80" s="1"/>
  <c r="W39" i="80"/>
  <c r="U39" i="80"/>
  <c r="S39" i="80"/>
  <c r="Q39" i="80"/>
  <c r="O39" i="80"/>
  <c r="L39" i="80"/>
  <c r="I39" i="80"/>
  <c r="G39" i="80"/>
  <c r="D39" i="80"/>
  <c r="E39" i="80" s="1"/>
  <c r="Y38" i="80"/>
  <c r="X38" i="80"/>
  <c r="W38" i="80"/>
  <c r="U38" i="80"/>
  <c r="S38" i="80"/>
  <c r="Q38" i="80"/>
  <c r="M38" i="80"/>
  <c r="AC38" i="80" s="1"/>
  <c r="L38" i="80"/>
  <c r="I38" i="80"/>
  <c r="G38" i="80"/>
  <c r="E38" i="80"/>
  <c r="P37" i="80"/>
  <c r="M37" i="80"/>
  <c r="O37" i="80" s="1"/>
  <c r="L37" i="80"/>
  <c r="I37" i="80"/>
  <c r="G37" i="80"/>
  <c r="D37" i="80"/>
  <c r="E37" i="80" s="1"/>
  <c r="V36" i="80"/>
  <c r="W36" i="80" s="1"/>
  <c r="T36" i="80"/>
  <c r="U36" i="80" s="1"/>
  <c r="M36" i="80"/>
  <c r="R36" i="80" s="1"/>
  <c r="S36" i="80" s="1"/>
  <c r="L36" i="80"/>
  <c r="I36" i="80"/>
  <c r="G36" i="80"/>
  <c r="E36" i="80"/>
  <c r="D36" i="80"/>
  <c r="P35" i="80"/>
  <c r="M35" i="80"/>
  <c r="O35" i="80" s="1"/>
  <c r="L35" i="80"/>
  <c r="I35" i="80"/>
  <c r="G35" i="80"/>
  <c r="E35" i="80"/>
  <c r="X34" i="80"/>
  <c r="AC34" i="80" s="1"/>
  <c r="W34" i="80"/>
  <c r="U34" i="80"/>
  <c r="S34" i="80"/>
  <c r="Q34" i="80"/>
  <c r="O34" i="80"/>
  <c r="M34" i="80"/>
  <c r="L34" i="80"/>
  <c r="I34" i="80"/>
  <c r="G34" i="80"/>
  <c r="E34" i="80"/>
  <c r="AC33" i="80"/>
  <c r="Y33" i="80"/>
  <c r="X33" i="80"/>
  <c r="W33" i="80"/>
  <c r="U33" i="80"/>
  <c r="S33" i="80"/>
  <c r="Q33" i="80"/>
  <c r="M33" i="80"/>
  <c r="O33" i="80" s="1"/>
  <c r="L33" i="80"/>
  <c r="I33" i="80"/>
  <c r="G33" i="80"/>
  <c r="E33" i="80"/>
  <c r="W32" i="80"/>
  <c r="M32" i="80"/>
  <c r="V32" i="80" s="1"/>
  <c r="L32" i="80"/>
  <c r="I32" i="80"/>
  <c r="G32" i="80"/>
  <c r="E32" i="80"/>
  <c r="P31" i="80"/>
  <c r="M31" i="80"/>
  <c r="O31" i="80" s="1"/>
  <c r="L31" i="80"/>
  <c r="I31" i="80"/>
  <c r="G31" i="80"/>
  <c r="D31" i="80"/>
  <c r="E31" i="80" s="1"/>
  <c r="V30" i="80"/>
  <c r="W30" i="80" s="1"/>
  <c r="T30" i="80"/>
  <c r="U30" i="80" s="1"/>
  <c r="M30" i="80"/>
  <c r="R30" i="80" s="1"/>
  <c r="S30" i="80" s="1"/>
  <c r="L30" i="80"/>
  <c r="I30" i="80"/>
  <c r="G30" i="80"/>
  <c r="E30" i="80"/>
  <c r="D30" i="80"/>
  <c r="P29" i="80"/>
  <c r="M29" i="80"/>
  <c r="O29" i="80" s="1"/>
  <c r="L29" i="80"/>
  <c r="I29" i="80"/>
  <c r="G29" i="80"/>
  <c r="D29" i="80"/>
  <c r="E29" i="80" s="1"/>
  <c r="AC28" i="80"/>
  <c r="Y28" i="80"/>
  <c r="X28" i="80"/>
  <c r="W28" i="80"/>
  <c r="U28" i="80"/>
  <c r="S28" i="80"/>
  <c r="Q28" i="80"/>
  <c r="M28" i="80"/>
  <c r="O28" i="80" s="1"/>
  <c r="L28" i="80"/>
  <c r="I28" i="80"/>
  <c r="G28" i="80"/>
  <c r="E28" i="80"/>
  <c r="M27" i="80"/>
  <c r="V27" i="80" s="1"/>
  <c r="W27" i="80" s="1"/>
  <c r="L27" i="80"/>
  <c r="I27" i="80"/>
  <c r="G27" i="80"/>
  <c r="E27" i="80"/>
  <c r="P26" i="80"/>
  <c r="M26" i="80"/>
  <c r="O26" i="80" s="1"/>
  <c r="L26" i="80"/>
  <c r="I26" i="80"/>
  <c r="G26" i="80"/>
  <c r="E26" i="80"/>
  <c r="V25" i="80"/>
  <c r="W25" i="80" s="1"/>
  <c r="U25" i="80"/>
  <c r="P25" i="80"/>
  <c r="Q25" i="80" s="1"/>
  <c r="M25" i="80"/>
  <c r="T25" i="80" s="1"/>
  <c r="L25" i="80"/>
  <c r="I25" i="80"/>
  <c r="G25" i="80"/>
  <c r="E25" i="80"/>
  <c r="M24" i="80"/>
  <c r="L24" i="80"/>
  <c r="I24" i="80"/>
  <c r="G24" i="80"/>
  <c r="D24" i="80"/>
  <c r="E24" i="80" s="1"/>
  <c r="W23" i="80"/>
  <c r="V23" i="80"/>
  <c r="T23" i="80"/>
  <c r="U23" i="80" s="1"/>
  <c r="R23" i="80"/>
  <c r="S23" i="80" s="1"/>
  <c r="P23" i="80"/>
  <c r="Q23" i="80" s="1"/>
  <c r="O23" i="80"/>
  <c r="M23" i="80"/>
  <c r="L23" i="80"/>
  <c r="I23" i="80"/>
  <c r="G23" i="80"/>
  <c r="E23" i="80"/>
  <c r="P22" i="80"/>
  <c r="M22" i="80"/>
  <c r="V22" i="80" s="1"/>
  <c r="W22" i="80" s="1"/>
  <c r="L22" i="80"/>
  <c r="I22" i="80"/>
  <c r="G22" i="80"/>
  <c r="E22" i="80"/>
  <c r="Y21" i="80"/>
  <c r="X21" i="80"/>
  <c r="W21" i="80"/>
  <c r="U21" i="80"/>
  <c r="S21" i="80"/>
  <c r="Q21" i="80"/>
  <c r="M21" i="80"/>
  <c r="L21" i="80"/>
  <c r="I21" i="80"/>
  <c r="G21" i="80"/>
  <c r="E21" i="80"/>
  <c r="V20" i="80"/>
  <c r="W20" i="80" s="1"/>
  <c r="T20" i="80"/>
  <c r="U20" i="80" s="1"/>
  <c r="M20" i="80"/>
  <c r="R20" i="80" s="1"/>
  <c r="S20" i="80" s="1"/>
  <c r="L20" i="80"/>
  <c r="I20" i="80"/>
  <c r="G20" i="80"/>
  <c r="E20" i="80"/>
  <c r="D20" i="80"/>
  <c r="P19" i="80"/>
  <c r="M19" i="80"/>
  <c r="V19" i="80" s="1"/>
  <c r="W19" i="80" s="1"/>
  <c r="L19" i="80"/>
  <c r="I19" i="80"/>
  <c r="G19" i="80"/>
  <c r="D19" i="80"/>
  <c r="E19" i="80" s="1"/>
  <c r="V18" i="80"/>
  <c r="W18" i="80" s="1"/>
  <c r="T18" i="80"/>
  <c r="U18" i="80" s="1"/>
  <c r="S18" i="80"/>
  <c r="M18" i="80"/>
  <c r="R18" i="80" s="1"/>
  <c r="L18" i="80"/>
  <c r="I18" i="80"/>
  <c r="G18" i="80"/>
  <c r="E18" i="80"/>
  <c r="V17" i="80"/>
  <c r="W17" i="80" s="1"/>
  <c r="P17" i="80"/>
  <c r="Q17" i="80" s="1"/>
  <c r="O17" i="80"/>
  <c r="M17" i="80"/>
  <c r="T17" i="80" s="1"/>
  <c r="U17" i="80" s="1"/>
  <c r="L17" i="80"/>
  <c r="I17" i="80"/>
  <c r="G17" i="80"/>
  <c r="E17" i="80"/>
  <c r="V16" i="80"/>
  <c r="W16" i="80" s="1"/>
  <c r="T16" i="80"/>
  <c r="U16" i="80" s="1"/>
  <c r="R16" i="80"/>
  <c r="S16" i="80" s="1"/>
  <c r="O16" i="80"/>
  <c r="M16" i="80"/>
  <c r="P16" i="80" s="1"/>
  <c r="X16" i="80" s="1"/>
  <c r="Y16" i="80" s="1"/>
  <c r="L16" i="80"/>
  <c r="I16" i="80"/>
  <c r="G16" i="80"/>
  <c r="E16" i="80"/>
  <c r="M15" i="80"/>
  <c r="V15" i="80" s="1"/>
  <c r="W15" i="80" s="1"/>
  <c r="L15" i="80"/>
  <c r="I15" i="80"/>
  <c r="G15" i="80"/>
  <c r="E15" i="80"/>
  <c r="V14" i="80"/>
  <c r="W14" i="80" s="1"/>
  <c r="T14" i="80"/>
  <c r="U14" i="80" s="1"/>
  <c r="R14" i="80"/>
  <c r="S14" i="80" s="1"/>
  <c r="O14" i="80"/>
  <c r="M14" i="80"/>
  <c r="P14" i="80" s="1"/>
  <c r="L14" i="80"/>
  <c r="I14" i="80"/>
  <c r="G14" i="80"/>
  <c r="E14" i="80"/>
  <c r="W13" i="80"/>
  <c r="M13" i="80"/>
  <c r="V13" i="80" s="1"/>
  <c r="L13" i="80"/>
  <c r="I13" i="80"/>
  <c r="G13" i="80"/>
  <c r="E13" i="80"/>
  <c r="V12" i="80"/>
  <c r="W12" i="80" s="1"/>
  <c r="T12" i="80"/>
  <c r="U12" i="80" s="1"/>
  <c r="R12" i="80"/>
  <c r="S12" i="80" s="1"/>
  <c r="O12" i="80"/>
  <c r="M12" i="80"/>
  <c r="P12" i="80" s="1"/>
  <c r="X12" i="80" s="1"/>
  <c r="L12" i="80"/>
  <c r="I12" i="80"/>
  <c r="G12" i="80"/>
  <c r="D12" i="80"/>
  <c r="E12" i="80" s="1"/>
  <c r="X11" i="80"/>
  <c r="W11" i="80"/>
  <c r="U11" i="80"/>
  <c r="S11" i="80"/>
  <c r="Q11" i="80"/>
  <c r="O11" i="80"/>
  <c r="M11" i="80"/>
  <c r="L11" i="80"/>
  <c r="I11" i="80"/>
  <c r="G11" i="80"/>
  <c r="D11" i="80"/>
  <c r="E11" i="80" s="1"/>
  <c r="V10" i="80"/>
  <c r="W10" i="80" s="1"/>
  <c r="T10" i="80"/>
  <c r="U10" i="80" s="1"/>
  <c r="R10" i="80"/>
  <c r="S10" i="80" s="1"/>
  <c r="P10" i="80"/>
  <c r="X10" i="80" s="1"/>
  <c r="O10" i="80"/>
  <c r="M10" i="80"/>
  <c r="L10" i="80"/>
  <c r="I10" i="80"/>
  <c r="G10" i="80"/>
  <c r="E10" i="80"/>
  <c r="D10" i="80"/>
  <c r="V9" i="80"/>
  <c r="W9" i="80" s="1"/>
  <c r="M9" i="80"/>
  <c r="T9" i="80" s="1"/>
  <c r="U9" i="80" s="1"/>
  <c r="L9" i="80"/>
  <c r="I9" i="80"/>
  <c r="G9" i="80"/>
  <c r="E9" i="80"/>
  <c r="P8" i="80"/>
  <c r="M8" i="80"/>
  <c r="V8" i="80" s="1"/>
  <c r="I8" i="80"/>
  <c r="G8" i="80"/>
  <c r="E8" i="80"/>
  <c r="V233" i="79"/>
  <c r="T233" i="79"/>
  <c r="R233" i="79"/>
  <c r="P233" i="79"/>
  <c r="N233" i="79"/>
  <c r="K233" i="79"/>
  <c r="J233" i="79"/>
  <c r="H233" i="79"/>
  <c r="D233" i="79"/>
  <c r="X232" i="79"/>
  <c r="AC232" i="79" s="1"/>
  <c r="Q232" i="79"/>
  <c r="L232" i="79"/>
  <c r="I232" i="79"/>
  <c r="X231" i="79"/>
  <c r="AC231" i="79" s="1"/>
  <c r="Q231" i="79"/>
  <c r="L231" i="79"/>
  <c r="I231" i="79"/>
  <c r="X230" i="79"/>
  <c r="Q230" i="79"/>
  <c r="L230" i="79"/>
  <c r="I230" i="79"/>
  <c r="AC229" i="79"/>
  <c r="Y229" i="79"/>
  <c r="AB229" i="79" s="1"/>
  <c r="X229" i="79"/>
  <c r="Q229" i="79"/>
  <c r="L229" i="79"/>
  <c r="I229" i="79"/>
  <c r="AC228" i="79"/>
  <c r="Y228" i="79"/>
  <c r="AB228" i="79" s="1"/>
  <c r="X228" i="79"/>
  <c r="Q228" i="79"/>
  <c r="L228" i="79"/>
  <c r="I228" i="79"/>
  <c r="AC227" i="79"/>
  <c r="X227" i="79"/>
  <c r="Y227" i="79" s="1"/>
  <c r="AB227" i="79" s="1"/>
  <c r="Q227" i="79"/>
  <c r="L227" i="79"/>
  <c r="I227" i="79"/>
  <c r="AC226" i="79"/>
  <c r="Y226" i="79"/>
  <c r="AB226" i="79" s="1"/>
  <c r="X226" i="79"/>
  <c r="Q226" i="79"/>
  <c r="L226" i="79"/>
  <c r="I226" i="79"/>
  <c r="Y225" i="79"/>
  <c r="AB225" i="79" s="1"/>
  <c r="X225" i="79"/>
  <c r="AC225" i="79" s="1"/>
  <c r="Q225" i="79"/>
  <c r="L225" i="79"/>
  <c r="I225" i="79"/>
  <c r="X224" i="79"/>
  <c r="Q224" i="79"/>
  <c r="L224" i="79"/>
  <c r="I224" i="79"/>
  <c r="X223" i="79"/>
  <c r="AC223" i="79" s="1"/>
  <c r="Q223" i="79"/>
  <c r="L223" i="79"/>
  <c r="I223" i="79"/>
  <c r="X222" i="79"/>
  <c r="AC222" i="79" s="1"/>
  <c r="Q222" i="79"/>
  <c r="L222" i="79"/>
  <c r="I222" i="79"/>
  <c r="AC221" i="79"/>
  <c r="AB221" i="79"/>
  <c r="X221" i="79"/>
  <c r="Y221" i="79" s="1"/>
  <c r="W221" i="79"/>
  <c r="U221" i="79"/>
  <c r="S221" i="79"/>
  <c r="Q221" i="79"/>
  <c r="O221" i="79"/>
  <c r="L221" i="79"/>
  <c r="I221" i="79"/>
  <c r="G221" i="79"/>
  <c r="E221" i="79"/>
  <c r="AC220" i="79"/>
  <c r="Y220" i="79"/>
  <c r="AB220" i="79" s="1"/>
  <c r="X220" i="79"/>
  <c r="W220" i="79"/>
  <c r="U220" i="79"/>
  <c r="S220" i="79"/>
  <c r="Q220" i="79"/>
  <c r="L220" i="79"/>
  <c r="I220" i="79"/>
  <c r="G220" i="79"/>
  <c r="E220" i="79"/>
  <c r="AC219" i="79"/>
  <c r="Y219" i="79"/>
  <c r="AB219" i="79" s="1"/>
  <c r="X219" i="79"/>
  <c r="W219" i="79"/>
  <c r="U219" i="79"/>
  <c r="S219" i="79"/>
  <c r="Q219" i="79"/>
  <c r="L219" i="79"/>
  <c r="I219" i="79"/>
  <c r="G219" i="79"/>
  <c r="E219" i="79"/>
  <c r="AC218" i="79"/>
  <c r="Y218" i="79"/>
  <c r="AB218" i="79" s="1"/>
  <c r="X218" i="79"/>
  <c r="W218" i="79"/>
  <c r="U218" i="79"/>
  <c r="S218" i="79"/>
  <c r="Q218" i="79"/>
  <c r="L218" i="79"/>
  <c r="I218" i="79"/>
  <c r="G218" i="79"/>
  <c r="E218" i="79"/>
  <c r="AC217" i="79"/>
  <c r="Y217" i="79"/>
  <c r="AB217" i="79" s="1"/>
  <c r="X217" i="79"/>
  <c r="W217" i="79"/>
  <c r="U217" i="79"/>
  <c r="S217" i="79"/>
  <c r="Q217" i="79"/>
  <c r="L217" i="79"/>
  <c r="I217" i="79"/>
  <c r="G217" i="79"/>
  <c r="E217" i="79"/>
  <c r="AC216" i="79"/>
  <c r="Y216" i="79"/>
  <c r="AB216" i="79" s="1"/>
  <c r="X216" i="79"/>
  <c r="W216" i="79"/>
  <c r="U216" i="79"/>
  <c r="S216" i="79"/>
  <c r="Q216" i="79"/>
  <c r="L216" i="79"/>
  <c r="I216" i="79"/>
  <c r="G216" i="79"/>
  <c r="E216" i="79"/>
  <c r="AC215" i="79"/>
  <c r="Y215" i="79"/>
  <c r="X215" i="79"/>
  <c r="W215" i="79"/>
  <c r="U215" i="79"/>
  <c r="S215" i="79"/>
  <c r="Q215" i="79"/>
  <c r="M215" i="79"/>
  <c r="O215" i="79" s="1"/>
  <c r="AB215" i="79" s="1"/>
  <c r="L215" i="79"/>
  <c r="I215" i="79"/>
  <c r="G215" i="79"/>
  <c r="E215" i="79"/>
  <c r="X214" i="79"/>
  <c r="Y214" i="79" s="1"/>
  <c r="W214" i="79"/>
  <c r="U214" i="79"/>
  <c r="S214" i="79"/>
  <c r="Q214" i="79"/>
  <c r="M214" i="79"/>
  <c r="L214" i="79"/>
  <c r="I214" i="79"/>
  <c r="G214" i="79"/>
  <c r="E214" i="79"/>
  <c r="X213" i="79"/>
  <c r="AC213" i="79" s="1"/>
  <c r="W213" i="79"/>
  <c r="U213" i="79"/>
  <c r="S213" i="79"/>
  <c r="Q213" i="79"/>
  <c r="O213" i="79"/>
  <c r="M213" i="79"/>
  <c r="L213" i="79"/>
  <c r="I213" i="79"/>
  <c r="G213" i="79"/>
  <c r="E213" i="79"/>
  <c r="X212" i="79"/>
  <c r="Y212" i="79" s="1"/>
  <c r="W212" i="79"/>
  <c r="U212" i="79"/>
  <c r="S212" i="79"/>
  <c r="Q212" i="79"/>
  <c r="O212" i="79"/>
  <c r="M212" i="79"/>
  <c r="L212" i="79"/>
  <c r="I212" i="79"/>
  <c r="G212" i="79"/>
  <c r="E212" i="79"/>
  <c r="X211" i="79"/>
  <c r="Y211" i="79" s="1"/>
  <c r="AB211" i="79" s="1"/>
  <c r="W211" i="79"/>
  <c r="U211" i="79"/>
  <c r="S211" i="79"/>
  <c r="Q211" i="79"/>
  <c r="M211" i="79"/>
  <c r="O211" i="79" s="1"/>
  <c r="L211" i="79"/>
  <c r="I211" i="79"/>
  <c r="G211" i="79"/>
  <c r="E211" i="79"/>
  <c r="AC210" i="79"/>
  <c r="Y210" i="79"/>
  <c r="AB210" i="79" s="1"/>
  <c r="X210" i="79"/>
  <c r="W210" i="79"/>
  <c r="U210" i="79"/>
  <c r="S210" i="79"/>
  <c r="Q210" i="79"/>
  <c r="M210" i="79"/>
  <c r="O210" i="79" s="1"/>
  <c r="L210" i="79"/>
  <c r="I210" i="79"/>
  <c r="G210" i="79"/>
  <c r="E210" i="79"/>
  <c r="AC209" i="79"/>
  <c r="Y209" i="79"/>
  <c r="X209" i="79"/>
  <c r="W209" i="79"/>
  <c r="U209" i="79"/>
  <c r="S209" i="79"/>
  <c r="Q209" i="79"/>
  <c r="O209" i="79"/>
  <c r="M209" i="79"/>
  <c r="L209" i="79"/>
  <c r="I209" i="79"/>
  <c r="G209" i="79"/>
  <c r="E209" i="79"/>
  <c r="AC208" i="79"/>
  <c r="X208" i="79"/>
  <c r="Y208" i="79" s="1"/>
  <c r="W208" i="79"/>
  <c r="U208" i="79"/>
  <c r="S208" i="79"/>
  <c r="Q208" i="79"/>
  <c r="O208" i="79"/>
  <c r="M208" i="79"/>
  <c r="L208" i="79"/>
  <c r="I208" i="79"/>
  <c r="G208" i="79"/>
  <c r="E208" i="79"/>
  <c r="X207" i="79"/>
  <c r="AC207" i="79" s="1"/>
  <c r="W207" i="79"/>
  <c r="U207" i="79"/>
  <c r="S207" i="79"/>
  <c r="Q207" i="79"/>
  <c r="O207" i="79"/>
  <c r="M207" i="79"/>
  <c r="L207" i="79"/>
  <c r="I207" i="79"/>
  <c r="G207" i="79"/>
  <c r="E207" i="79"/>
  <c r="X206" i="79"/>
  <c r="Y206" i="79" s="1"/>
  <c r="AB206" i="79" s="1"/>
  <c r="W206" i="79"/>
  <c r="U206" i="79"/>
  <c r="S206" i="79"/>
  <c r="Q206" i="79"/>
  <c r="O206" i="79"/>
  <c r="M206" i="79"/>
  <c r="L206" i="79"/>
  <c r="I206" i="79"/>
  <c r="G206" i="79"/>
  <c r="E206" i="79"/>
  <c r="AC205" i="79"/>
  <c r="Y205" i="79"/>
  <c r="AB205" i="79" s="1"/>
  <c r="X205" i="79"/>
  <c r="W205" i="79"/>
  <c r="U205" i="79"/>
  <c r="S205" i="79"/>
  <c r="Q205" i="79"/>
  <c r="O205" i="79"/>
  <c r="M205" i="79"/>
  <c r="L205" i="79"/>
  <c r="I205" i="79"/>
  <c r="G205" i="79"/>
  <c r="E205" i="79"/>
  <c r="AC204" i="79"/>
  <c r="Y204" i="79"/>
  <c r="X204" i="79"/>
  <c r="W204" i="79"/>
  <c r="U204" i="79"/>
  <c r="S204" i="79"/>
  <c r="Q204" i="79"/>
  <c r="M204" i="79"/>
  <c r="O204" i="79" s="1"/>
  <c r="AB204" i="79" s="1"/>
  <c r="L204" i="79"/>
  <c r="I204" i="79"/>
  <c r="G204" i="79"/>
  <c r="E204" i="79"/>
  <c r="Y203" i="79"/>
  <c r="X203" i="79"/>
  <c r="W203" i="79"/>
  <c r="U203" i="79"/>
  <c r="S203" i="79"/>
  <c r="M203" i="79"/>
  <c r="AC203" i="79" s="1"/>
  <c r="L203" i="79"/>
  <c r="I203" i="79"/>
  <c r="AC202" i="79"/>
  <c r="AB202" i="79"/>
  <c r="X202" i="79"/>
  <c r="Y202" i="79" s="1"/>
  <c r="W202" i="79"/>
  <c r="U202" i="79"/>
  <c r="S202" i="79"/>
  <c r="Q202" i="79"/>
  <c r="O202" i="79"/>
  <c r="M202" i="79"/>
  <c r="L202" i="79"/>
  <c r="I202" i="79"/>
  <c r="X201" i="79"/>
  <c r="W201" i="79"/>
  <c r="U201" i="79"/>
  <c r="S201" i="79"/>
  <c r="Q201" i="79"/>
  <c r="O201" i="79"/>
  <c r="M201" i="79"/>
  <c r="L201" i="79"/>
  <c r="I201" i="79"/>
  <c r="X200" i="79"/>
  <c r="Y200" i="79" s="1"/>
  <c r="W200" i="79"/>
  <c r="U200" i="79"/>
  <c r="S200" i="79"/>
  <c r="Q200" i="79"/>
  <c r="M200" i="79"/>
  <c r="O200" i="79" s="1"/>
  <c r="AB200" i="79" s="1"/>
  <c r="L200" i="79"/>
  <c r="I200" i="79"/>
  <c r="AC199" i="79"/>
  <c r="AB199" i="79"/>
  <c r="X199" i="79"/>
  <c r="Y199" i="79" s="1"/>
  <c r="W199" i="79"/>
  <c r="U199" i="79"/>
  <c r="S199" i="79"/>
  <c r="Q199" i="79"/>
  <c r="O199" i="79"/>
  <c r="M199" i="79"/>
  <c r="L199" i="79"/>
  <c r="I199" i="79"/>
  <c r="X198" i="79"/>
  <c r="Y198" i="79" s="1"/>
  <c r="W198" i="79"/>
  <c r="U198" i="79"/>
  <c r="S198" i="79"/>
  <c r="Q198" i="79"/>
  <c r="M198" i="79"/>
  <c r="O198" i="79" s="1"/>
  <c r="AB198" i="79" s="1"/>
  <c r="L198" i="79"/>
  <c r="I198" i="79"/>
  <c r="X197" i="79"/>
  <c r="Y197" i="79" s="1"/>
  <c r="W197" i="79"/>
  <c r="U197" i="79"/>
  <c r="S197" i="79"/>
  <c r="Q197" i="79"/>
  <c r="M197" i="79"/>
  <c r="O197" i="79" s="1"/>
  <c r="AB197" i="79" s="1"/>
  <c r="L197" i="79"/>
  <c r="I197" i="79"/>
  <c r="AC196" i="79"/>
  <c r="X196" i="79"/>
  <c r="Y196" i="79" s="1"/>
  <c r="W196" i="79"/>
  <c r="U196" i="79"/>
  <c r="S196" i="79"/>
  <c r="Q196" i="79"/>
  <c r="O196" i="79"/>
  <c r="AB196" i="79" s="1"/>
  <c r="M196" i="79"/>
  <c r="L196" i="79"/>
  <c r="I196" i="79"/>
  <c r="X195" i="79"/>
  <c r="Y195" i="79" s="1"/>
  <c r="W195" i="79"/>
  <c r="U195" i="79"/>
  <c r="S195" i="79"/>
  <c r="Q195" i="79"/>
  <c r="M195" i="79"/>
  <c r="L195" i="79"/>
  <c r="I195" i="79"/>
  <c r="X194" i="79"/>
  <c r="Y194" i="79" s="1"/>
  <c r="W194" i="79"/>
  <c r="U194" i="79"/>
  <c r="S194" i="79"/>
  <c r="Q194" i="79"/>
  <c r="M194" i="79"/>
  <c r="AC194" i="79" s="1"/>
  <c r="L194" i="79"/>
  <c r="I194" i="79"/>
  <c r="X193" i="79"/>
  <c r="Y193" i="79" s="1"/>
  <c r="W193" i="79"/>
  <c r="U193" i="79"/>
  <c r="S193" i="79"/>
  <c r="Q193" i="79"/>
  <c r="O193" i="79"/>
  <c r="AB193" i="79" s="1"/>
  <c r="M193" i="79"/>
  <c r="AC193" i="79" s="1"/>
  <c r="L193" i="79"/>
  <c r="I193" i="79"/>
  <c r="X192" i="79"/>
  <c r="Y192" i="79" s="1"/>
  <c r="W192" i="79"/>
  <c r="U192" i="79"/>
  <c r="S192" i="79"/>
  <c r="Q192" i="79"/>
  <c r="M192" i="79"/>
  <c r="AC192" i="79" s="1"/>
  <c r="L192" i="79"/>
  <c r="I192" i="79"/>
  <c r="AC191" i="79"/>
  <c r="X191" i="79"/>
  <c r="Y191" i="79" s="1"/>
  <c r="W191" i="79"/>
  <c r="U191" i="79"/>
  <c r="S191" i="79"/>
  <c r="Q191" i="79"/>
  <c r="M191" i="79"/>
  <c r="O191" i="79" s="1"/>
  <c r="AB191" i="79" s="1"/>
  <c r="L191" i="79"/>
  <c r="I191" i="79"/>
  <c r="AC190" i="79"/>
  <c r="AB190" i="79"/>
  <c r="X190" i="79"/>
  <c r="Y190" i="79" s="1"/>
  <c r="W190" i="79"/>
  <c r="U190" i="79"/>
  <c r="S190" i="79"/>
  <c r="Q190" i="79"/>
  <c r="O190" i="79"/>
  <c r="M190" i="79"/>
  <c r="L190" i="79"/>
  <c r="I190" i="79"/>
  <c r="X189" i="79"/>
  <c r="W189" i="79"/>
  <c r="U189" i="79"/>
  <c r="S189" i="79"/>
  <c r="Q189" i="79"/>
  <c r="O189" i="79"/>
  <c r="M189" i="79"/>
  <c r="L189" i="79"/>
  <c r="I189" i="79"/>
  <c r="X188" i="79"/>
  <c r="Y188" i="79" s="1"/>
  <c r="W188" i="79"/>
  <c r="U188" i="79"/>
  <c r="S188" i="79"/>
  <c r="Q188" i="79"/>
  <c r="M188" i="79"/>
  <c r="O188" i="79" s="1"/>
  <c r="AB188" i="79" s="1"/>
  <c r="L188" i="79"/>
  <c r="I188" i="79"/>
  <c r="AC187" i="79"/>
  <c r="AB187" i="79"/>
  <c r="X187" i="79"/>
  <c r="Y187" i="79" s="1"/>
  <c r="W187" i="79"/>
  <c r="U187" i="79"/>
  <c r="S187" i="79"/>
  <c r="Q187" i="79"/>
  <c r="O187" i="79"/>
  <c r="M187" i="79"/>
  <c r="L187" i="79"/>
  <c r="I187" i="79"/>
  <c r="X186" i="79"/>
  <c r="Y186" i="79" s="1"/>
  <c r="W186" i="79"/>
  <c r="U186" i="79"/>
  <c r="S186" i="79"/>
  <c r="Q186" i="79"/>
  <c r="M186" i="79"/>
  <c r="O186" i="79" s="1"/>
  <c r="AB186" i="79" s="1"/>
  <c r="L186" i="79"/>
  <c r="I186" i="79"/>
  <c r="X185" i="79"/>
  <c r="Y185" i="79" s="1"/>
  <c r="W185" i="79"/>
  <c r="U185" i="79"/>
  <c r="S185" i="79"/>
  <c r="Q185" i="79"/>
  <c r="M185" i="79"/>
  <c r="O185" i="79" s="1"/>
  <c r="AB185" i="79" s="1"/>
  <c r="L185" i="79"/>
  <c r="I185" i="79"/>
  <c r="AC184" i="79"/>
  <c r="X184" i="79"/>
  <c r="Y184" i="79" s="1"/>
  <c r="W184" i="79"/>
  <c r="U184" i="79"/>
  <c r="S184" i="79"/>
  <c r="Q184" i="79"/>
  <c r="O184" i="79"/>
  <c r="AB184" i="79" s="1"/>
  <c r="M184" i="79"/>
  <c r="L184" i="79"/>
  <c r="I184" i="79"/>
  <c r="X183" i="79"/>
  <c r="Y183" i="79" s="1"/>
  <c r="W183" i="79"/>
  <c r="U183" i="79"/>
  <c r="S183" i="79"/>
  <c r="Q183" i="79"/>
  <c r="M183" i="79"/>
  <c r="L183" i="79"/>
  <c r="I183" i="79"/>
  <c r="X182" i="79"/>
  <c r="Y182" i="79" s="1"/>
  <c r="W182" i="79"/>
  <c r="U182" i="79"/>
  <c r="S182" i="79"/>
  <c r="Q182" i="79"/>
  <c r="M182" i="79"/>
  <c r="AC182" i="79" s="1"/>
  <c r="L182" i="79"/>
  <c r="I182" i="79"/>
  <c r="X181" i="79"/>
  <c r="Y181" i="79" s="1"/>
  <c r="W181" i="79"/>
  <c r="U181" i="79"/>
  <c r="S181" i="79"/>
  <c r="Q181" i="79"/>
  <c r="O181" i="79"/>
  <c r="AB181" i="79" s="1"/>
  <c r="M181" i="79"/>
  <c r="AC181" i="79" s="1"/>
  <c r="L181" i="79"/>
  <c r="I181" i="79"/>
  <c r="X180" i="79"/>
  <c r="Y180" i="79" s="1"/>
  <c r="W180" i="79"/>
  <c r="U180" i="79"/>
  <c r="S180" i="79"/>
  <c r="Q180" i="79"/>
  <c r="M180" i="79"/>
  <c r="AC180" i="79" s="1"/>
  <c r="L180" i="79"/>
  <c r="I180" i="79"/>
  <c r="AC179" i="79"/>
  <c r="X179" i="79"/>
  <c r="Y179" i="79" s="1"/>
  <c r="W179" i="79"/>
  <c r="U179" i="79"/>
  <c r="S179" i="79"/>
  <c r="Q179" i="79"/>
  <c r="M179" i="79"/>
  <c r="O179" i="79" s="1"/>
  <c r="AB179" i="79" s="1"/>
  <c r="L179" i="79"/>
  <c r="I179" i="79"/>
  <c r="AC178" i="79"/>
  <c r="AB178" i="79"/>
  <c r="X178" i="79"/>
  <c r="Y178" i="79" s="1"/>
  <c r="W178" i="79"/>
  <c r="U178" i="79"/>
  <c r="S178" i="79"/>
  <c r="Q178" i="79"/>
  <c r="O178" i="79"/>
  <c r="M178" i="79"/>
  <c r="L178" i="79"/>
  <c r="I178" i="79"/>
  <c r="X177" i="79"/>
  <c r="W177" i="79"/>
  <c r="U177" i="79"/>
  <c r="S177" i="79"/>
  <c r="Q177" i="79"/>
  <c r="O177" i="79"/>
  <c r="M177" i="79"/>
  <c r="L177" i="79"/>
  <c r="I177" i="79"/>
  <c r="X176" i="79"/>
  <c r="Y176" i="79" s="1"/>
  <c r="W176" i="79"/>
  <c r="U176" i="79"/>
  <c r="S176" i="79"/>
  <c r="Q176" i="79"/>
  <c r="M176" i="79"/>
  <c r="O176" i="79" s="1"/>
  <c r="AB176" i="79" s="1"/>
  <c r="L176" i="79"/>
  <c r="I176" i="79"/>
  <c r="AC175" i="79"/>
  <c r="AB175" i="79"/>
  <c r="X175" i="79"/>
  <c r="Y175" i="79" s="1"/>
  <c r="W175" i="79"/>
  <c r="U175" i="79"/>
  <c r="S175" i="79"/>
  <c r="Q175" i="79"/>
  <c r="O175" i="79"/>
  <c r="M175" i="79"/>
  <c r="L175" i="79"/>
  <c r="I175" i="79"/>
  <c r="X174" i="79"/>
  <c r="Y174" i="79" s="1"/>
  <c r="W174" i="79"/>
  <c r="U174" i="79"/>
  <c r="S174" i="79"/>
  <c r="Q174" i="79"/>
  <c r="M174" i="79"/>
  <c r="O174" i="79" s="1"/>
  <c r="AB174" i="79" s="1"/>
  <c r="L174" i="79"/>
  <c r="I174" i="79"/>
  <c r="X173" i="79"/>
  <c r="Y173" i="79" s="1"/>
  <c r="W173" i="79"/>
  <c r="U173" i="79"/>
  <c r="S173" i="79"/>
  <c r="Q173" i="79"/>
  <c r="M173" i="79"/>
  <c r="O173" i="79" s="1"/>
  <c r="AB173" i="79" s="1"/>
  <c r="L173" i="79"/>
  <c r="I173" i="79"/>
  <c r="AC172" i="79"/>
  <c r="X172" i="79"/>
  <c r="Y172" i="79" s="1"/>
  <c r="W172" i="79"/>
  <c r="U172" i="79"/>
  <c r="S172" i="79"/>
  <c r="Q172" i="79"/>
  <c r="O172" i="79"/>
  <c r="AB172" i="79" s="1"/>
  <c r="M172" i="79"/>
  <c r="L172" i="79"/>
  <c r="I172" i="79"/>
  <c r="X171" i="79"/>
  <c r="Y171" i="79" s="1"/>
  <c r="W171" i="79"/>
  <c r="U171" i="79"/>
  <c r="S171" i="79"/>
  <c r="Q171" i="79"/>
  <c r="M171" i="79"/>
  <c r="L171" i="79"/>
  <c r="I171" i="79"/>
  <c r="X170" i="79"/>
  <c r="Y170" i="79" s="1"/>
  <c r="W170" i="79"/>
  <c r="U170" i="79"/>
  <c r="S170" i="79"/>
  <c r="Q170" i="79"/>
  <c r="M170" i="79"/>
  <c r="AC170" i="79" s="1"/>
  <c r="L170" i="79"/>
  <c r="I170" i="79"/>
  <c r="X169" i="79"/>
  <c r="Y169" i="79" s="1"/>
  <c r="W169" i="79"/>
  <c r="U169" i="79"/>
  <c r="S169" i="79"/>
  <c r="Q169" i="79"/>
  <c r="M169" i="79"/>
  <c r="AC169" i="79" s="1"/>
  <c r="L169" i="79"/>
  <c r="I169" i="79"/>
  <c r="X168" i="79"/>
  <c r="Y168" i="79" s="1"/>
  <c r="W168" i="79"/>
  <c r="U168" i="79"/>
  <c r="S168" i="79"/>
  <c r="Q168" i="79"/>
  <c r="M168" i="79"/>
  <c r="AC168" i="79" s="1"/>
  <c r="L168" i="79"/>
  <c r="I168" i="79"/>
  <c r="X167" i="79"/>
  <c r="Y167" i="79" s="1"/>
  <c r="W167" i="79"/>
  <c r="U167" i="79"/>
  <c r="S167" i="79"/>
  <c r="Q167" i="79"/>
  <c r="M167" i="79"/>
  <c r="AC167" i="79" s="1"/>
  <c r="L167" i="79"/>
  <c r="I167" i="79"/>
  <c r="X166" i="79"/>
  <c r="Y166" i="79" s="1"/>
  <c r="W166" i="79"/>
  <c r="U166" i="79"/>
  <c r="Q166" i="79"/>
  <c r="M166" i="79"/>
  <c r="O166" i="79" s="1"/>
  <c r="AB166" i="79" s="1"/>
  <c r="L166" i="79"/>
  <c r="I166" i="79"/>
  <c r="AC165" i="79"/>
  <c r="X165" i="79"/>
  <c r="Y165" i="79" s="1"/>
  <c r="W165" i="79"/>
  <c r="U165" i="79"/>
  <c r="S165" i="79"/>
  <c r="Q165" i="79"/>
  <c r="M165" i="79"/>
  <c r="O165" i="79" s="1"/>
  <c r="AB165" i="79" s="1"/>
  <c r="L165" i="79"/>
  <c r="I165" i="79"/>
  <c r="AC164" i="79"/>
  <c r="X164" i="79"/>
  <c r="Y164" i="79" s="1"/>
  <c r="AB164" i="79" s="1"/>
  <c r="W164" i="79"/>
  <c r="U164" i="79"/>
  <c r="S164" i="79"/>
  <c r="Q164" i="79"/>
  <c r="M164" i="79"/>
  <c r="O164" i="79" s="1"/>
  <c r="L164" i="79"/>
  <c r="I164" i="79"/>
  <c r="AC163" i="79"/>
  <c r="Y163" i="79"/>
  <c r="AB163" i="79" s="1"/>
  <c r="X163" i="79"/>
  <c r="W163" i="79"/>
  <c r="U163" i="79"/>
  <c r="S163" i="79"/>
  <c r="Q163" i="79"/>
  <c r="M163" i="79"/>
  <c r="O163" i="79" s="1"/>
  <c r="L163" i="79"/>
  <c r="I163" i="79"/>
  <c r="X162" i="79"/>
  <c r="Y162" i="79" s="1"/>
  <c r="W162" i="79"/>
  <c r="U162" i="79"/>
  <c r="S162" i="79"/>
  <c r="Q162" i="79"/>
  <c r="M162" i="79"/>
  <c r="O162" i="79" s="1"/>
  <c r="AB162" i="79" s="1"/>
  <c r="L162" i="79"/>
  <c r="I162" i="79"/>
  <c r="X161" i="79"/>
  <c r="AC161" i="79" s="1"/>
  <c r="W161" i="79"/>
  <c r="U161" i="79"/>
  <c r="S161" i="79"/>
  <c r="Q161" i="79"/>
  <c r="M161" i="79"/>
  <c r="O161" i="79" s="1"/>
  <c r="L161" i="79"/>
  <c r="I161" i="79"/>
  <c r="Y160" i="79"/>
  <c r="AB160" i="79" s="1"/>
  <c r="X160" i="79"/>
  <c r="W160" i="79"/>
  <c r="U160" i="79"/>
  <c r="S160" i="79"/>
  <c r="Q160" i="79"/>
  <c r="M160" i="79"/>
  <c r="O160" i="79" s="1"/>
  <c r="L160" i="79"/>
  <c r="I160" i="79"/>
  <c r="X159" i="79"/>
  <c r="AC159" i="79" s="1"/>
  <c r="W159" i="79"/>
  <c r="U159" i="79"/>
  <c r="S159" i="79"/>
  <c r="Q159" i="79"/>
  <c r="M159" i="79"/>
  <c r="O159" i="79" s="1"/>
  <c r="L159" i="79"/>
  <c r="I159" i="79"/>
  <c r="AC158" i="79"/>
  <c r="X158" i="79"/>
  <c r="Y158" i="79" s="1"/>
  <c r="AB158" i="79" s="1"/>
  <c r="W158" i="79"/>
  <c r="U158" i="79"/>
  <c r="S158" i="79"/>
  <c r="Q158" i="79"/>
  <c r="M158" i="79"/>
  <c r="O158" i="79" s="1"/>
  <c r="L158" i="79"/>
  <c r="I158" i="79"/>
  <c r="Y157" i="79"/>
  <c r="X157" i="79"/>
  <c r="W157" i="79"/>
  <c r="U157" i="79"/>
  <c r="S157" i="79"/>
  <c r="Q157" i="79"/>
  <c r="M157" i="79"/>
  <c r="L157" i="79"/>
  <c r="I157" i="79"/>
  <c r="Y156" i="79"/>
  <c r="X156" i="79"/>
  <c r="W156" i="79"/>
  <c r="U156" i="79"/>
  <c r="S156" i="79"/>
  <c r="Q156" i="79"/>
  <c r="M156" i="79"/>
  <c r="O156" i="79" s="1"/>
  <c r="AB156" i="79" s="1"/>
  <c r="L156" i="79"/>
  <c r="I156" i="79"/>
  <c r="X155" i="79"/>
  <c r="Y155" i="79" s="1"/>
  <c r="W155" i="79"/>
  <c r="U155" i="79"/>
  <c r="S155" i="79"/>
  <c r="Q155" i="79"/>
  <c r="M155" i="79"/>
  <c r="O155" i="79" s="1"/>
  <c r="AB155" i="79" s="1"/>
  <c r="L155" i="79"/>
  <c r="I155" i="79"/>
  <c r="Y154" i="79"/>
  <c r="X154" i="79"/>
  <c r="AC154" i="79" s="1"/>
  <c r="W154" i="79"/>
  <c r="U154" i="79"/>
  <c r="S154" i="79"/>
  <c r="O154" i="79"/>
  <c r="AB154" i="79" s="1"/>
  <c r="M154" i="79"/>
  <c r="L154" i="79"/>
  <c r="I154" i="79"/>
  <c r="AC153" i="79"/>
  <c r="X153" i="79"/>
  <c r="Y153" i="79" s="1"/>
  <c r="W153" i="79"/>
  <c r="U153" i="79"/>
  <c r="S153" i="79"/>
  <c r="Q153" i="79"/>
  <c r="O153" i="79"/>
  <c r="M153" i="79"/>
  <c r="L153" i="79"/>
  <c r="I153" i="79"/>
  <c r="AC152" i="79"/>
  <c r="X152" i="79"/>
  <c r="Y152" i="79" s="1"/>
  <c r="W152" i="79"/>
  <c r="U152" i="79"/>
  <c r="S152" i="79"/>
  <c r="Q152" i="79"/>
  <c r="O152" i="79"/>
  <c r="M152" i="79"/>
  <c r="L152" i="79"/>
  <c r="I152" i="79"/>
  <c r="AC151" i="79"/>
  <c r="X151" i="79"/>
  <c r="Y151" i="79" s="1"/>
  <c r="W151" i="79"/>
  <c r="U151" i="79"/>
  <c r="S151" i="79"/>
  <c r="Q151" i="79"/>
  <c r="O151" i="79"/>
  <c r="M151" i="79"/>
  <c r="L151" i="79"/>
  <c r="I151" i="79"/>
  <c r="AC150" i="79"/>
  <c r="X150" i="79"/>
  <c r="Y150" i="79" s="1"/>
  <c r="W150" i="79"/>
  <c r="U150" i="79"/>
  <c r="S150" i="79"/>
  <c r="Q150" i="79"/>
  <c r="O150" i="79"/>
  <c r="AB150" i="79" s="1"/>
  <c r="M150" i="79"/>
  <c r="L150" i="79"/>
  <c r="I150" i="79"/>
  <c r="AC149" i="79"/>
  <c r="X149" i="79"/>
  <c r="Y149" i="79" s="1"/>
  <c r="W149" i="79"/>
  <c r="U149" i="79"/>
  <c r="S149" i="79"/>
  <c r="Q149" i="79"/>
  <c r="O149" i="79"/>
  <c r="AB149" i="79" s="1"/>
  <c r="M149" i="79"/>
  <c r="L149" i="79"/>
  <c r="I149" i="79"/>
  <c r="AC148" i="79"/>
  <c r="X148" i="79"/>
  <c r="Y148" i="79" s="1"/>
  <c r="W148" i="79"/>
  <c r="U148" i="79"/>
  <c r="S148" i="79"/>
  <c r="Q148" i="79"/>
  <c r="O148" i="79"/>
  <c r="AB148" i="79" s="1"/>
  <c r="M148" i="79"/>
  <c r="L148" i="79"/>
  <c r="I148" i="79"/>
  <c r="AC147" i="79"/>
  <c r="X147" i="79"/>
  <c r="Y147" i="79" s="1"/>
  <c r="W147" i="79"/>
  <c r="U147" i="79"/>
  <c r="S147" i="79"/>
  <c r="Q147" i="79"/>
  <c r="M147" i="79"/>
  <c r="O147" i="79" s="1"/>
  <c r="L147" i="79"/>
  <c r="I147" i="79"/>
  <c r="AC146" i="79"/>
  <c r="X146" i="79"/>
  <c r="Y146" i="79" s="1"/>
  <c r="W146" i="79"/>
  <c r="U146" i="79"/>
  <c r="S146" i="79"/>
  <c r="Q146" i="79"/>
  <c r="M146" i="79"/>
  <c r="O146" i="79" s="1"/>
  <c r="L146" i="79"/>
  <c r="I146" i="79"/>
  <c r="AC145" i="79"/>
  <c r="X145" i="79"/>
  <c r="Y145" i="79" s="1"/>
  <c r="W145" i="79"/>
  <c r="U145" i="79"/>
  <c r="S145" i="79"/>
  <c r="Q145" i="79"/>
  <c r="M145" i="79"/>
  <c r="O145" i="79" s="1"/>
  <c r="AB145" i="79" s="1"/>
  <c r="L145" i="79"/>
  <c r="I145" i="79"/>
  <c r="AC144" i="79"/>
  <c r="X144" i="79"/>
  <c r="Y144" i="79" s="1"/>
  <c r="W144" i="79"/>
  <c r="U144" i="79"/>
  <c r="S144" i="79"/>
  <c r="Q144" i="79"/>
  <c r="M144" i="79"/>
  <c r="O144" i="79" s="1"/>
  <c r="L144" i="79"/>
  <c r="I144" i="79"/>
  <c r="AC143" i="79"/>
  <c r="X143" i="79"/>
  <c r="Y143" i="79" s="1"/>
  <c r="W143" i="79"/>
  <c r="U143" i="79"/>
  <c r="S143" i="79"/>
  <c r="Q143" i="79"/>
  <c r="M143" i="79"/>
  <c r="O143" i="79" s="1"/>
  <c r="L143" i="79"/>
  <c r="I143" i="79"/>
  <c r="AC142" i="79"/>
  <c r="X142" i="79"/>
  <c r="Y142" i="79" s="1"/>
  <c r="W142" i="79"/>
  <c r="U142" i="79"/>
  <c r="S142" i="79"/>
  <c r="Q142" i="79"/>
  <c r="M142" i="79"/>
  <c r="O142" i="79" s="1"/>
  <c r="L142" i="79"/>
  <c r="I142" i="79"/>
  <c r="AC141" i="79"/>
  <c r="X141" i="79"/>
  <c r="Y141" i="79" s="1"/>
  <c r="W141" i="79"/>
  <c r="U141" i="79"/>
  <c r="S141" i="79"/>
  <c r="Q141" i="79"/>
  <c r="M141" i="79"/>
  <c r="O141" i="79" s="1"/>
  <c r="AB141" i="79" s="1"/>
  <c r="L141" i="79"/>
  <c r="I141" i="79"/>
  <c r="AC140" i="79"/>
  <c r="X140" i="79"/>
  <c r="Y140" i="79" s="1"/>
  <c r="W140" i="79"/>
  <c r="U140" i="79"/>
  <c r="S140" i="79"/>
  <c r="Q140" i="79"/>
  <c r="M140" i="79"/>
  <c r="O140" i="79" s="1"/>
  <c r="AB140" i="79" s="1"/>
  <c r="L140" i="79"/>
  <c r="I140" i="79"/>
  <c r="AC139" i="79"/>
  <c r="X139" i="79"/>
  <c r="Y139" i="79" s="1"/>
  <c r="W139" i="79"/>
  <c r="U139" i="79"/>
  <c r="S139" i="79"/>
  <c r="Q139" i="79"/>
  <c r="M139" i="79"/>
  <c r="O139" i="79" s="1"/>
  <c r="L139" i="79"/>
  <c r="I139" i="79"/>
  <c r="AC138" i="79"/>
  <c r="X138" i="79"/>
  <c r="Y138" i="79" s="1"/>
  <c r="W138" i="79"/>
  <c r="U138" i="79"/>
  <c r="S138" i="79"/>
  <c r="Q138" i="79"/>
  <c r="M138" i="79"/>
  <c r="O138" i="79" s="1"/>
  <c r="L138" i="79"/>
  <c r="I138" i="79"/>
  <c r="AC137" i="79"/>
  <c r="X137" i="79"/>
  <c r="Y137" i="79" s="1"/>
  <c r="W137" i="79"/>
  <c r="U137" i="79"/>
  <c r="S137" i="79"/>
  <c r="Q137" i="79"/>
  <c r="M137" i="79"/>
  <c r="O137" i="79" s="1"/>
  <c r="AB137" i="79" s="1"/>
  <c r="L137" i="79"/>
  <c r="I137" i="79"/>
  <c r="AC136" i="79"/>
  <c r="X136" i="79"/>
  <c r="Y136" i="79" s="1"/>
  <c r="W136" i="79"/>
  <c r="U136" i="79"/>
  <c r="S136" i="79"/>
  <c r="Q136" i="79"/>
  <c r="M136" i="79"/>
  <c r="O136" i="79" s="1"/>
  <c r="AB136" i="79" s="1"/>
  <c r="L136" i="79"/>
  <c r="I136" i="79"/>
  <c r="AC135" i="79"/>
  <c r="X135" i="79"/>
  <c r="Y135" i="79" s="1"/>
  <c r="W135" i="79"/>
  <c r="U135" i="79"/>
  <c r="S135" i="79"/>
  <c r="Q135" i="79"/>
  <c r="M135" i="79"/>
  <c r="O135" i="79" s="1"/>
  <c r="L135" i="79"/>
  <c r="I135" i="79"/>
  <c r="AC134" i="79"/>
  <c r="X134" i="79"/>
  <c r="Y134" i="79" s="1"/>
  <c r="W134" i="79"/>
  <c r="U134" i="79"/>
  <c r="S134" i="79"/>
  <c r="Q134" i="79"/>
  <c r="M134" i="79"/>
  <c r="O134" i="79" s="1"/>
  <c r="L134" i="79"/>
  <c r="I134" i="79"/>
  <c r="AC133" i="79"/>
  <c r="X133" i="79"/>
  <c r="Y133" i="79" s="1"/>
  <c r="W133" i="79"/>
  <c r="U133" i="79"/>
  <c r="S133" i="79"/>
  <c r="Q133" i="79"/>
  <c r="M133" i="79"/>
  <c r="O133" i="79" s="1"/>
  <c r="AB133" i="79" s="1"/>
  <c r="L133" i="79"/>
  <c r="I133" i="79"/>
  <c r="AC132" i="79"/>
  <c r="X132" i="79"/>
  <c r="Y132" i="79" s="1"/>
  <c r="W132" i="79"/>
  <c r="U132" i="79"/>
  <c r="S132" i="79"/>
  <c r="Q132" i="79"/>
  <c r="M132" i="79"/>
  <c r="O132" i="79" s="1"/>
  <c r="AB132" i="79" s="1"/>
  <c r="L132" i="79"/>
  <c r="I132" i="79"/>
  <c r="AC131" i="79"/>
  <c r="X131" i="79"/>
  <c r="Y131" i="79" s="1"/>
  <c r="W131" i="79"/>
  <c r="U131" i="79"/>
  <c r="S131" i="79"/>
  <c r="Q131" i="79"/>
  <c r="M131" i="79"/>
  <c r="O131" i="79" s="1"/>
  <c r="L131" i="79"/>
  <c r="I131" i="79"/>
  <c r="AC130" i="79"/>
  <c r="X130" i="79"/>
  <c r="Y130" i="79" s="1"/>
  <c r="W130" i="79"/>
  <c r="U130" i="79"/>
  <c r="S130" i="79"/>
  <c r="Q130" i="79"/>
  <c r="M130" i="79"/>
  <c r="O130" i="79" s="1"/>
  <c r="L130" i="79"/>
  <c r="I130" i="79"/>
  <c r="AC129" i="79"/>
  <c r="X129" i="79"/>
  <c r="Y129" i="79" s="1"/>
  <c r="W129" i="79"/>
  <c r="U129" i="79"/>
  <c r="S129" i="79"/>
  <c r="Q129" i="79"/>
  <c r="M129" i="79"/>
  <c r="O129" i="79" s="1"/>
  <c r="AB129" i="79" s="1"/>
  <c r="L129" i="79"/>
  <c r="I129" i="79"/>
  <c r="AC128" i="79"/>
  <c r="X128" i="79"/>
  <c r="Y128" i="79" s="1"/>
  <c r="W128" i="79"/>
  <c r="U128" i="79"/>
  <c r="S128" i="79"/>
  <c r="Q128" i="79"/>
  <c r="M128" i="79"/>
  <c r="O128" i="79" s="1"/>
  <c r="AB128" i="79" s="1"/>
  <c r="L128" i="79"/>
  <c r="I128" i="79"/>
  <c r="AC127" i="79"/>
  <c r="X127" i="79"/>
  <c r="Y127" i="79" s="1"/>
  <c r="W127" i="79"/>
  <c r="U127" i="79"/>
  <c r="S127" i="79"/>
  <c r="Q127" i="79"/>
  <c r="M127" i="79"/>
  <c r="O127" i="79" s="1"/>
  <c r="L127" i="79"/>
  <c r="I127" i="79"/>
  <c r="AC126" i="79"/>
  <c r="X126" i="79"/>
  <c r="Y126" i="79" s="1"/>
  <c r="W126" i="79"/>
  <c r="U126" i="79"/>
  <c r="S126" i="79"/>
  <c r="Q126" i="79"/>
  <c r="M126" i="79"/>
  <c r="O126" i="79" s="1"/>
  <c r="L126" i="79"/>
  <c r="I126" i="79"/>
  <c r="AC125" i="79"/>
  <c r="X125" i="79"/>
  <c r="Y125" i="79" s="1"/>
  <c r="W125" i="79"/>
  <c r="U125" i="79"/>
  <c r="S125" i="79"/>
  <c r="Q125" i="79"/>
  <c r="M125" i="79"/>
  <c r="O125" i="79" s="1"/>
  <c r="AB125" i="79" s="1"/>
  <c r="L125" i="79"/>
  <c r="I125" i="79"/>
  <c r="AC124" i="79"/>
  <c r="X124" i="79"/>
  <c r="Y124" i="79" s="1"/>
  <c r="W124" i="79"/>
  <c r="U124" i="79"/>
  <c r="S124" i="79"/>
  <c r="Q124" i="79"/>
  <c r="M124" i="79"/>
  <c r="O124" i="79" s="1"/>
  <c r="AB124" i="79" s="1"/>
  <c r="L124" i="79"/>
  <c r="I124" i="79"/>
  <c r="AC123" i="79"/>
  <c r="X123" i="79"/>
  <c r="Y123" i="79" s="1"/>
  <c r="W123" i="79"/>
  <c r="U123" i="79"/>
  <c r="S123" i="79"/>
  <c r="Q123" i="79"/>
  <c r="M123" i="79"/>
  <c r="O123" i="79" s="1"/>
  <c r="L123" i="79"/>
  <c r="I123" i="79"/>
  <c r="AC122" i="79"/>
  <c r="X122" i="79"/>
  <c r="Y122" i="79" s="1"/>
  <c r="W122" i="79"/>
  <c r="U122" i="79"/>
  <c r="S122" i="79"/>
  <c r="Q122" i="79"/>
  <c r="M122" i="79"/>
  <c r="O122" i="79" s="1"/>
  <c r="L122" i="79"/>
  <c r="I122" i="79"/>
  <c r="AC121" i="79"/>
  <c r="X121" i="79"/>
  <c r="Y121" i="79" s="1"/>
  <c r="W121" i="79"/>
  <c r="U121" i="79"/>
  <c r="S121" i="79"/>
  <c r="Q121" i="79"/>
  <c r="M121" i="79"/>
  <c r="O121" i="79" s="1"/>
  <c r="AB121" i="79" s="1"/>
  <c r="L121" i="79"/>
  <c r="I121" i="79"/>
  <c r="AC120" i="79"/>
  <c r="X120" i="79"/>
  <c r="Y120" i="79" s="1"/>
  <c r="W120" i="79"/>
  <c r="U120" i="79"/>
  <c r="S120" i="79"/>
  <c r="Q120" i="79"/>
  <c r="M120" i="79"/>
  <c r="O120" i="79" s="1"/>
  <c r="AB120" i="79" s="1"/>
  <c r="L120" i="79"/>
  <c r="I120" i="79"/>
  <c r="AC119" i="79"/>
  <c r="X119" i="79"/>
  <c r="Y119" i="79" s="1"/>
  <c r="W119" i="79"/>
  <c r="U119" i="79"/>
  <c r="S119" i="79"/>
  <c r="Q119" i="79"/>
  <c r="M119" i="79"/>
  <c r="O119" i="79" s="1"/>
  <c r="L119" i="79"/>
  <c r="I119" i="79"/>
  <c r="AC118" i="79"/>
  <c r="X118" i="79"/>
  <c r="Y118" i="79" s="1"/>
  <c r="W118" i="79"/>
  <c r="U118" i="79"/>
  <c r="S118" i="79"/>
  <c r="Q118" i="79"/>
  <c r="M118" i="79"/>
  <c r="O118" i="79" s="1"/>
  <c r="L118" i="79"/>
  <c r="I118" i="79"/>
  <c r="AC117" i="79"/>
  <c r="X117" i="79"/>
  <c r="Y117" i="79" s="1"/>
  <c r="W117" i="79"/>
  <c r="U117" i="79"/>
  <c r="S117" i="79"/>
  <c r="Q117" i="79"/>
  <c r="M117" i="79"/>
  <c r="O117" i="79" s="1"/>
  <c r="AB117" i="79" s="1"/>
  <c r="L117" i="79"/>
  <c r="I117" i="79"/>
  <c r="AC116" i="79"/>
  <c r="X116" i="79"/>
  <c r="Y116" i="79" s="1"/>
  <c r="W116" i="79"/>
  <c r="U116" i="79"/>
  <c r="S116" i="79"/>
  <c r="Q116" i="79"/>
  <c r="M116" i="79"/>
  <c r="O116" i="79" s="1"/>
  <c r="AB116" i="79" s="1"/>
  <c r="L116" i="79"/>
  <c r="I116" i="79"/>
  <c r="AC115" i="79"/>
  <c r="X115" i="79"/>
  <c r="Y115" i="79" s="1"/>
  <c r="W115" i="79"/>
  <c r="U115" i="79"/>
  <c r="S115" i="79"/>
  <c r="Q115" i="79"/>
  <c r="M115" i="79"/>
  <c r="O115" i="79" s="1"/>
  <c r="L115" i="79"/>
  <c r="I115" i="79"/>
  <c r="AC114" i="79"/>
  <c r="X114" i="79"/>
  <c r="Y114" i="79" s="1"/>
  <c r="W114" i="79"/>
  <c r="U114" i="79"/>
  <c r="S114" i="79"/>
  <c r="Q114" i="79"/>
  <c r="M114" i="79"/>
  <c r="O114" i="79" s="1"/>
  <c r="L114" i="79"/>
  <c r="I114" i="79"/>
  <c r="AC113" i="79"/>
  <c r="X113" i="79"/>
  <c r="Y113" i="79" s="1"/>
  <c r="W113" i="79"/>
  <c r="U113" i="79"/>
  <c r="S113" i="79"/>
  <c r="Q113" i="79"/>
  <c r="M113" i="79"/>
  <c r="O113" i="79" s="1"/>
  <c r="AB113" i="79" s="1"/>
  <c r="L113" i="79"/>
  <c r="I113" i="79"/>
  <c r="AC112" i="79"/>
  <c r="X112" i="79"/>
  <c r="Y112" i="79" s="1"/>
  <c r="W112" i="79"/>
  <c r="U112" i="79"/>
  <c r="S112" i="79"/>
  <c r="Q112" i="79"/>
  <c r="M112" i="79"/>
  <c r="O112" i="79" s="1"/>
  <c r="AB112" i="79" s="1"/>
  <c r="L112" i="79"/>
  <c r="I112" i="79"/>
  <c r="AC111" i="79"/>
  <c r="X111" i="79"/>
  <c r="Y111" i="79" s="1"/>
  <c r="W111" i="79"/>
  <c r="U111" i="79"/>
  <c r="S111" i="79"/>
  <c r="Q111" i="79"/>
  <c r="M111" i="79"/>
  <c r="O111" i="79" s="1"/>
  <c r="L111" i="79"/>
  <c r="I111" i="79"/>
  <c r="AC110" i="79"/>
  <c r="X110" i="79"/>
  <c r="Y110" i="79" s="1"/>
  <c r="W110" i="79"/>
  <c r="U110" i="79"/>
  <c r="S110" i="79"/>
  <c r="Q110" i="79"/>
  <c r="M110" i="79"/>
  <c r="O110" i="79" s="1"/>
  <c r="L110" i="79"/>
  <c r="I110" i="79"/>
  <c r="AC109" i="79"/>
  <c r="X109" i="79"/>
  <c r="Y109" i="79" s="1"/>
  <c r="W109" i="79"/>
  <c r="U109" i="79"/>
  <c r="S109" i="79"/>
  <c r="Q109" i="79"/>
  <c r="M109" i="79"/>
  <c r="O109" i="79" s="1"/>
  <c r="AB109" i="79" s="1"/>
  <c r="L109" i="79"/>
  <c r="I109" i="79"/>
  <c r="AC108" i="79"/>
  <c r="X108" i="79"/>
  <c r="Y108" i="79" s="1"/>
  <c r="W108" i="79"/>
  <c r="U108" i="79"/>
  <c r="S108" i="79"/>
  <c r="Q108" i="79"/>
  <c r="M108" i="79"/>
  <c r="O108" i="79" s="1"/>
  <c r="AB108" i="79" s="1"/>
  <c r="L108" i="79"/>
  <c r="I108" i="79"/>
  <c r="AC107" i="79"/>
  <c r="X107" i="79"/>
  <c r="Y107" i="79" s="1"/>
  <c r="W107" i="79"/>
  <c r="U107" i="79"/>
  <c r="S107" i="79"/>
  <c r="Q107" i="79"/>
  <c r="M107" i="79"/>
  <c r="O107" i="79" s="1"/>
  <c r="L107" i="79"/>
  <c r="I107" i="79"/>
  <c r="AC106" i="79"/>
  <c r="X106" i="79"/>
  <c r="Y106" i="79" s="1"/>
  <c r="W106" i="79"/>
  <c r="U106" i="79"/>
  <c r="S106" i="79"/>
  <c r="Q106" i="79"/>
  <c r="M106" i="79"/>
  <c r="O106" i="79" s="1"/>
  <c r="L106" i="79"/>
  <c r="I106" i="79"/>
  <c r="AC105" i="79"/>
  <c r="X105" i="79"/>
  <c r="Y105" i="79" s="1"/>
  <c r="W105" i="79"/>
  <c r="U105" i="79"/>
  <c r="S105" i="79"/>
  <c r="Q105" i="79"/>
  <c r="M105" i="79"/>
  <c r="O105" i="79" s="1"/>
  <c r="AB105" i="79" s="1"/>
  <c r="L105" i="79"/>
  <c r="I105" i="79"/>
  <c r="AC104" i="79"/>
  <c r="X104" i="79"/>
  <c r="Y104" i="79" s="1"/>
  <c r="W104" i="79"/>
  <c r="U104" i="79"/>
  <c r="S104" i="79"/>
  <c r="Q104" i="79"/>
  <c r="M104" i="79"/>
  <c r="O104" i="79" s="1"/>
  <c r="AB104" i="79" s="1"/>
  <c r="L104" i="79"/>
  <c r="I104" i="79"/>
  <c r="AC103" i="79"/>
  <c r="X103" i="79"/>
  <c r="Y103" i="79" s="1"/>
  <c r="W103" i="79"/>
  <c r="U103" i="79"/>
  <c r="S103" i="79"/>
  <c r="Q103" i="79"/>
  <c r="M103" i="79"/>
  <c r="O103" i="79" s="1"/>
  <c r="L103" i="79"/>
  <c r="I103" i="79"/>
  <c r="AC102" i="79"/>
  <c r="X102" i="79"/>
  <c r="Y102" i="79" s="1"/>
  <c r="W102" i="79"/>
  <c r="U102" i="79"/>
  <c r="S102" i="79"/>
  <c r="Q102" i="79"/>
  <c r="M102" i="79"/>
  <c r="O102" i="79" s="1"/>
  <c r="L102" i="79"/>
  <c r="I102" i="79"/>
  <c r="AC101" i="79"/>
  <c r="X101" i="79"/>
  <c r="Y101" i="79" s="1"/>
  <c r="W101" i="79"/>
  <c r="U101" i="79"/>
  <c r="S101" i="79"/>
  <c r="Q101" i="79"/>
  <c r="M101" i="79"/>
  <c r="O101" i="79" s="1"/>
  <c r="AB101" i="79" s="1"/>
  <c r="L101" i="79"/>
  <c r="I101" i="79"/>
  <c r="AC100" i="79"/>
  <c r="X100" i="79"/>
  <c r="Y100" i="79" s="1"/>
  <c r="W100" i="79"/>
  <c r="U100" i="79"/>
  <c r="S100" i="79"/>
  <c r="Q100" i="79"/>
  <c r="M100" i="79"/>
  <c r="O100" i="79" s="1"/>
  <c r="AB100" i="79" s="1"/>
  <c r="L100" i="79"/>
  <c r="I100" i="79"/>
  <c r="AC99" i="79"/>
  <c r="X99" i="79"/>
  <c r="Y99" i="79" s="1"/>
  <c r="W99" i="79"/>
  <c r="U99" i="79"/>
  <c r="S99" i="79"/>
  <c r="Q99" i="79"/>
  <c r="M99" i="79"/>
  <c r="O99" i="79" s="1"/>
  <c r="L99" i="79"/>
  <c r="I99" i="79"/>
  <c r="AC98" i="79"/>
  <c r="X98" i="79"/>
  <c r="Y98" i="79" s="1"/>
  <c r="W98" i="79"/>
  <c r="U98" i="79"/>
  <c r="S98" i="79"/>
  <c r="Q98" i="79"/>
  <c r="M98" i="79"/>
  <c r="O98" i="79" s="1"/>
  <c r="L98" i="79"/>
  <c r="I98" i="79"/>
  <c r="AC97" i="79"/>
  <c r="X97" i="79"/>
  <c r="Y97" i="79" s="1"/>
  <c r="W97" i="79"/>
  <c r="U97" i="79"/>
  <c r="S97" i="79"/>
  <c r="Q97" i="79"/>
  <c r="M97" i="79"/>
  <c r="O97" i="79" s="1"/>
  <c r="AB97" i="79" s="1"/>
  <c r="L97" i="79"/>
  <c r="I97" i="79"/>
  <c r="AC96" i="79"/>
  <c r="X96" i="79"/>
  <c r="Y96" i="79" s="1"/>
  <c r="W96" i="79"/>
  <c r="U96" i="79"/>
  <c r="S96" i="79"/>
  <c r="Q96" i="79"/>
  <c r="M96" i="79"/>
  <c r="O96" i="79" s="1"/>
  <c r="AB96" i="79" s="1"/>
  <c r="L96" i="79"/>
  <c r="I96" i="79"/>
  <c r="AC95" i="79"/>
  <c r="X95" i="79"/>
  <c r="Y95" i="79" s="1"/>
  <c r="W95" i="79"/>
  <c r="U95" i="79"/>
  <c r="S95" i="79"/>
  <c r="Q95" i="79"/>
  <c r="M95" i="79"/>
  <c r="O95" i="79" s="1"/>
  <c r="L95" i="79"/>
  <c r="I95" i="79"/>
  <c r="AC94" i="79"/>
  <c r="X94" i="79"/>
  <c r="Y94" i="79" s="1"/>
  <c r="W94" i="79"/>
  <c r="U94" i="79"/>
  <c r="S94" i="79"/>
  <c r="Q94" i="79"/>
  <c r="M94" i="79"/>
  <c r="O94" i="79" s="1"/>
  <c r="L94" i="79"/>
  <c r="I94" i="79"/>
  <c r="AC93" i="79"/>
  <c r="X93" i="79"/>
  <c r="Y93" i="79" s="1"/>
  <c r="W93" i="79"/>
  <c r="U93" i="79"/>
  <c r="S93" i="79"/>
  <c r="Q93" i="79"/>
  <c r="M93" i="79"/>
  <c r="O93" i="79" s="1"/>
  <c r="AB93" i="79" s="1"/>
  <c r="L93" i="79"/>
  <c r="I93" i="79"/>
  <c r="AC92" i="79"/>
  <c r="X92" i="79"/>
  <c r="Y92" i="79" s="1"/>
  <c r="W92" i="79"/>
  <c r="U92" i="79"/>
  <c r="S92" i="79"/>
  <c r="Q92" i="79"/>
  <c r="M92" i="79"/>
  <c r="O92" i="79" s="1"/>
  <c r="AB92" i="79" s="1"/>
  <c r="L92" i="79"/>
  <c r="I92" i="79"/>
  <c r="AC91" i="79"/>
  <c r="X91" i="79"/>
  <c r="Y91" i="79" s="1"/>
  <c r="W91" i="79"/>
  <c r="U91" i="79"/>
  <c r="S91" i="79"/>
  <c r="Q91" i="79"/>
  <c r="M91" i="79"/>
  <c r="O91" i="79" s="1"/>
  <c r="L91" i="79"/>
  <c r="I91" i="79"/>
  <c r="AC90" i="79"/>
  <c r="X90" i="79"/>
  <c r="Y90" i="79" s="1"/>
  <c r="W90" i="79"/>
  <c r="U90" i="79"/>
  <c r="S90" i="79"/>
  <c r="Q90" i="79"/>
  <c r="M90" i="79"/>
  <c r="O90" i="79" s="1"/>
  <c r="L90" i="79"/>
  <c r="I90" i="79"/>
  <c r="AC89" i="79"/>
  <c r="X89" i="79"/>
  <c r="Y89" i="79" s="1"/>
  <c r="W89" i="79"/>
  <c r="U89" i="79"/>
  <c r="S89" i="79"/>
  <c r="Q89" i="79"/>
  <c r="M89" i="79"/>
  <c r="O89" i="79" s="1"/>
  <c r="AB89" i="79" s="1"/>
  <c r="L89" i="79"/>
  <c r="I89" i="79"/>
  <c r="AC88" i="79"/>
  <c r="X88" i="79"/>
  <c r="Y88" i="79" s="1"/>
  <c r="W88" i="79"/>
  <c r="U88" i="79"/>
  <c r="S88" i="79"/>
  <c r="Q88" i="79"/>
  <c r="M88" i="79"/>
  <c r="O88" i="79" s="1"/>
  <c r="AB88" i="79" s="1"/>
  <c r="L88" i="79"/>
  <c r="I88" i="79"/>
  <c r="AC87" i="79"/>
  <c r="X87" i="79"/>
  <c r="Y87" i="79" s="1"/>
  <c r="W87" i="79"/>
  <c r="U87" i="79"/>
  <c r="S87" i="79"/>
  <c r="Q87" i="79"/>
  <c r="M87" i="79"/>
  <c r="O87" i="79" s="1"/>
  <c r="L87" i="79"/>
  <c r="I87" i="79"/>
  <c r="AC86" i="79"/>
  <c r="X86" i="79"/>
  <c r="Y86" i="79" s="1"/>
  <c r="W86" i="79"/>
  <c r="U86" i="79"/>
  <c r="S86" i="79"/>
  <c r="Q86" i="79"/>
  <c r="M86" i="79"/>
  <c r="O86" i="79" s="1"/>
  <c r="L86" i="79"/>
  <c r="I86" i="79"/>
  <c r="AC85" i="79"/>
  <c r="X85" i="79"/>
  <c r="Y85" i="79" s="1"/>
  <c r="W85" i="79"/>
  <c r="U85" i="79"/>
  <c r="S85" i="79"/>
  <c r="Q85" i="79"/>
  <c r="M85" i="79"/>
  <c r="O85" i="79" s="1"/>
  <c r="AB85" i="79" s="1"/>
  <c r="L85" i="79"/>
  <c r="I85" i="79"/>
  <c r="AC84" i="79"/>
  <c r="X84" i="79"/>
  <c r="Y84" i="79" s="1"/>
  <c r="W84" i="79"/>
  <c r="U84" i="79"/>
  <c r="S84" i="79"/>
  <c r="Q84" i="79"/>
  <c r="M84" i="79"/>
  <c r="O84" i="79" s="1"/>
  <c r="AB84" i="79" s="1"/>
  <c r="L84" i="79"/>
  <c r="I84" i="79"/>
  <c r="AC83" i="79"/>
  <c r="X83" i="79"/>
  <c r="Y83" i="79" s="1"/>
  <c r="W83" i="79"/>
  <c r="U83" i="79"/>
  <c r="S83" i="79"/>
  <c r="Q83" i="79"/>
  <c r="M83" i="79"/>
  <c r="O83" i="79" s="1"/>
  <c r="L83" i="79"/>
  <c r="I83" i="79"/>
  <c r="AC82" i="79"/>
  <c r="X82" i="79"/>
  <c r="Y82" i="79" s="1"/>
  <c r="W82" i="79"/>
  <c r="U82" i="79"/>
  <c r="S82" i="79"/>
  <c r="Q82" i="79"/>
  <c r="M82" i="79"/>
  <c r="O82" i="79" s="1"/>
  <c r="L82" i="79"/>
  <c r="I82" i="79"/>
  <c r="AC81" i="79"/>
  <c r="X81" i="79"/>
  <c r="Y81" i="79" s="1"/>
  <c r="W81" i="79"/>
  <c r="U81" i="79"/>
  <c r="S81" i="79"/>
  <c r="Q81" i="79"/>
  <c r="M81" i="79"/>
  <c r="O81" i="79" s="1"/>
  <c r="AB81" i="79" s="1"/>
  <c r="L81" i="79"/>
  <c r="I81" i="79"/>
  <c r="AC80" i="79"/>
  <c r="X80" i="79"/>
  <c r="Y80" i="79" s="1"/>
  <c r="W80" i="79"/>
  <c r="U80" i="79"/>
  <c r="S80" i="79"/>
  <c r="Q80" i="79"/>
  <c r="M80" i="79"/>
  <c r="O80" i="79" s="1"/>
  <c r="AB80" i="79" s="1"/>
  <c r="L80" i="79"/>
  <c r="I80" i="79"/>
  <c r="AC79" i="79"/>
  <c r="X79" i="79"/>
  <c r="Y79" i="79" s="1"/>
  <c r="W79" i="79"/>
  <c r="U79" i="79"/>
  <c r="S79" i="79"/>
  <c r="Q79" i="79"/>
  <c r="M79" i="79"/>
  <c r="O79" i="79" s="1"/>
  <c r="L79" i="79"/>
  <c r="I79" i="79"/>
  <c r="AC78" i="79"/>
  <c r="X78" i="79"/>
  <c r="Y78" i="79" s="1"/>
  <c r="W78" i="79"/>
  <c r="U78" i="79"/>
  <c r="S78" i="79"/>
  <c r="Q78" i="79"/>
  <c r="M78" i="79"/>
  <c r="O78" i="79" s="1"/>
  <c r="L78" i="79"/>
  <c r="I78" i="79"/>
  <c r="AC77" i="79"/>
  <c r="X77" i="79"/>
  <c r="Y77" i="79" s="1"/>
  <c r="W77" i="79"/>
  <c r="U77" i="79"/>
  <c r="S77" i="79"/>
  <c r="Q77" i="79"/>
  <c r="M77" i="79"/>
  <c r="O77" i="79" s="1"/>
  <c r="AB77" i="79" s="1"/>
  <c r="L77" i="79"/>
  <c r="I77" i="79"/>
  <c r="AC76" i="79"/>
  <c r="X76" i="79"/>
  <c r="Y76" i="79" s="1"/>
  <c r="W76" i="79"/>
  <c r="U76" i="79"/>
  <c r="S76" i="79"/>
  <c r="Q76" i="79"/>
  <c r="M76" i="79"/>
  <c r="O76" i="79" s="1"/>
  <c r="AB76" i="79" s="1"/>
  <c r="L76" i="79"/>
  <c r="I76" i="79"/>
  <c r="AC75" i="79"/>
  <c r="X75" i="79"/>
  <c r="Y75" i="79" s="1"/>
  <c r="W75" i="79"/>
  <c r="U75" i="79"/>
  <c r="S75" i="79"/>
  <c r="Q75" i="79"/>
  <c r="M75" i="79"/>
  <c r="O75" i="79" s="1"/>
  <c r="L75" i="79"/>
  <c r="I75" i="79"/>
  <c r="AC74" i="79"/>
  <c r="X74" i="79"/>
  <c r="Y74" i="79" s="1"/>
  <c r="W74" i="79"/>
  <c r="U74" i="79"/>
  <c r="S74" i="79"/>
  <c r="Q74" i="79"/>
  <c r="M74" i="79"/>
  <c r="O74" i="79" s="1"/>
  <c r="L74" i="79"/>
  <c r="I74" i="79"/>
  <c r="AC73" i="79"/>
  <c r="X73" i="79"/>
  <c r="Y73" i="79" s="1"/>
  <c r="W73" i="79"/>
  <c r="U73" i="79"/>
  <c r="S73" i="79"/>
  <c r="Q73" i="79"/>
  <c r="M73" i="79"/>
  <c r="O73" i="79" s="1"/>
  <c r="AB73" i="79" s="1"/>
  <c r="L73" i="79"/>
  <c r="I73" i="79"/>
  <c r="AC72" i="79"/>
  <c r="X72" i="79"/>
  <c r="Y72" i="79" s="1"/>
  <c r="W72" i="79"/>
  <c r="U72" i="79"/>
  <c r="S72" i="79"/>
  <c r="Q72" i="79"/>
  <c r="M72" i="79"/>
  <c r="O72" i="79" s="1"/>
  <c r="AB72" i="79" s="1"/>
  <c r="L72" i="79"/>
  <c r="I72" i="79"/>
  <c r="AC71" i="79"/>
  <c r="X71" i="79"/>
  <c r="Y71" i="79" s="1"/>
  <c r="W71" i="79"/>
  <c r="U71" i="79"/>
  <c r="S71" i="79"/>
  <c r="Q71" i="79"/>
  <c r="M71" i="79"/>
  <c r="O71" i="79" s="1"/>
  <c r="L71" i="79"/>
  <c r="I71" i="79"/>
  <c r="AC70" i="79"/>
  <c r="X70" i="79"/>
  <c r="Y70" i="79" s="1"/>
  <c r="W70" i="79"/>
  <c r="U70" i="79"/>
  <c r="S70" i="79"/>
  <c r="Q70" i="79"/>
  <c r="M70" i="79"/>
  <c r="O70" i="79" s="1"/>
  <c r="L70" i="79"/>
  <c r="I70" i="79"/>
  <c r="AC69" i="79"/>
  <c r="X69" i="79"/>
  <c r="Y69" i="79" s="1"/>
  <c r="W69" i="79"/>
  <c r="U69" i="79"/>
  <c r="S69" i="79"/>
  <c r="Q69" i="79"/>
  <c r="M69" i="79"/>
  <c r="O69" i="79" s="1"/>
  <c r="AB69" i="79" s="1"/>
  <c r="L69" i="79"/>
  <c r="I69" i="79"/>
  <c r="AC68" i="79"/>
  <c r="X68" i="79"/>
  <c r="Y68" i="79" s="1"/>
  <c r="W68" i="79"/>
  <c r="U68" i="79"/>
  <c r="S68" i="79"/>
  <c r="Q68" i="79"/>
  <c r="M68" i="79"/>
  <c r="O68" i="79" s="1"/>
  <c r="AB68" i="79" s="1"/>
  <c r="L68" i="79"/>
  <c r="I68" i="79"/>
  <c r="AC67" i="79"/>
  <c r="X67" i="79"/>
  <c r="Y67" i="79" s="1"/>
  <c r="W67" i="79"/>
  <c r="U67" i="79"/>
  <c r="S67" i="79"/>
  <c r="Q67" i="79"/>
  <c r="M67" i="79"/>
  <c r="O67" i="79" s="1"/>
  <c r="L67" i="79"/>
  <c r="I67" i="79"/>
  <c r="AC66" i="79"/>
  <c r="X66" i="79"/>
  <c r="Y66" i="79" s="1"/>
  <c r="W66" i="79"/>
  <c r="U66" i="79"/>
  <c r="S66" i="79"/>
  <c r="Q66" i="79"/>
  <c r="M66" i="79"/>
  <c r="O66" i="79" s="1"/>
  <c r="AB66" i="79" s="1"/>
  <c r="L66" i="79"/>
  <c r="I66" i="79"/>
  <c r="X65" i="79"/>
  <c r="Y65" i="79" s="1"/>
  <c r="W65" i="79"/>
  <c r="U65" i="79"/>
  <c r="S65" i="79"/>
  <c r="Q65" i="79"/>
  <c r="M65" i="79"/>
  <c r="O65" i="79" s="1"/>
  <c r="AB65" i="79" s="1"/>
  <c r="L65" i="79"/>
  <c r="I65" i="79"/>
  <c r="X64" i="79"/>
  <c r="Y64" i="79" s="1"/>
  <c r="W64" i="79"/>
  <c r="U64" i="79"/>
  <c r="S64" i="79"/>
  <c r="Q64" i="79"/>
  <c r="M64" i="79"/>
  <c r="O64" i="79" s="1"/>
  <c r="AB64" i="79" s="1"/>
  <c r="L64" i="79"/>
  <c r="I64" i="79"/>
  <c r="AC63" i="79"/>
  <c r="X63" i="79"/>
  <c r="Y63" i="79" s="1"/>
  <c r="W63" i="79"/>
  <c r="U63" i="79"/>
  <c r="S63" i="79"/>
  <c r="Q63" i="79"/>
  <c r="M63" i="79"/>
  <c r="O63" i="79" s="1"/>
  <c r="L63" i="79"/>
  <c r="I63" i="79"/>
  <c r="AC62" i="79"/>
  <c r="X62" i="79"/>
  <c r="Y62" i="79" s="1"/>
  <c r="W62" i="79"/>
  <c r="U62" i="79"/>
  <c r="S62" i="79"/>
  <c r="Q62" i="79"/>
  <c r="M62" i="79"/>
  <c r="O62" i="79" s="1"/>
  <c r="AB62" i="79" s="1"/>
  <c r="L62" i="79"/>
  <c r="I62" i="79"/>
  <c r="X61" i="79"/>
  <c r="Y61" i="79" s="1"/>
  <c r="W61" i="79"/>
  <c r="U61" i="79"/>
  <c r="S61" i="79"/>
  <c r="Q61" i="79"/>
  <c r="M61" i="79"/>
  <c r="O61" i="79" s="1"/>
  <c r="AB61" i="79" s="1"/>
  <c r="L61" i="79"/>
  <c r="I61" i="79"/>
  <c r="X60" i="79"/>
  <c r="Y60" i="79" s="1"/>
  <c r="W60" i="79"/>
  <c r="U60" i="79"/>
  <c r="S60" i="79"/>
  <c r="Q60" i="79"/>
  <c r="M60" i="79"/>
  <c r="O60" i="79" s="1"/>
  <c r="AB60" i="79" s="1"/>
  <c r="L60" i="79"/>
  <c r="I60" i="79"/>
  <c r="AC59" i="79"/>
  <c r="X59" i="79"/>
  <c r="Y59" i="79" s="1"/>
  <c r="W59" i="79"/>
  <c r="U59" i="79"/>
  <c r="S59" i="79"/>
  <c r="Q59" i="79"/>
  <c r="M59" i="79"/>
  <c r="O59" i="79" s="1"/>
  <c r="L59" i="79"/>
  <c r="I59" i="79"/>
  <c r="AC58" i="79"/>
  <c r="X58" i="79"/>
  <c r="Y58" i="79" s="1"/>
  <c r="W58" i="79"/>
  <c r="U58" i="79"/>
  <c r="S58" i="79"/>
  <c r="Q58" i="79"/>
  <c r="M58" i="79"/>
  <c r="O58" i="79" s="1"/>
  <c r="AB58" i="79" s="1"/>
  <c r="L58" i="79"/>
  <c r="I58" i="79"/>
  <c r="X57" i="79"/>
  <c r="Y57" i="79" s="1"/>
  <c r="W57" i="79"/>
  <c r="U57" i="79"/>
  <c r="S57" i="79"/>
  <c r="Q57" i="79"/>
  <c r="M57" i="79"/>
  <c r="O57" i="79" s="1"/>
  <c r="AB57" i="79" s="1"/>
  <c r="L57" i="79"/>
  <c r="I57" i="79"/>
  <c r="X56" i="79"/>
  <c r="Y56" i="79" s="1"/>
  <c r="W56" i="79"/>
  <c r="U56" i="79"/>
  <c r="S56" i="79"/>
  <c r="Q56" i="79"/>
  <c r="M56" i="79"/>
  <c r="O56" i="79" s="1"/>
  <c r="AB56" i="79" s="1"/>
  <c r="L56" i="79"/>
  <c r="I56" i="79"/>
  <c r="AC55" i="79"/>
  <c r="X55" i="79"/>
  <c r="Y55" i="79" s="1"/>
  <c r="W55" i="79"/>
  <c r="U55" i="79"/>
  <c r="S55" i="79"/>
  <c r="Q55" i="79"/>
  <c r="M55" i="79"/>
  <c r="O55" i="79" s="1"/>
  <c r="L55" i="79"/>
  <c r="I55" i="79"/>
  <c r="AC54" i="79"/>
  <c r="X54" i="79"/>
  <c r="Y54" i="79" s="1"/>
  <c r="W54" i="79"/>
  <c r="U54" i="79"/>
  <c r="S54" i="79"/>
  <c r="Q54" i="79"/>
  <c r="O54" i="79"/>
  <c r="AB54" i="79" s="1"/>
  <c r="M54" i="79"/>
  <c r="L54" i="79"/>
  <c r="I54" i="79"/>
  <c r="AC53" i="79"/>
  <c r="X53" i="79"/>
  <c r="Y53" i="79" s="1"/>
  <c r="W53" i="79"/>
  <c r="U53" i="79"/>
  <c r="S53" i="79"/>
  <c r="Q53" i="79"/>
  <c r="O53" i="79"/>
  <c r="AB53" i="79" s="1"/>
  <c r="M53" i="79"/>
  <c r="L53" i="79"/>
  <c r="I53" i="79"/>
  <c r="X52" i="79"/>
  <c r="Y52" i="79" s="1"/>
  <c r="W52" i="79"/>
  <c r="U52" i="79"/>
  <c r="S52" i="79"/>
  <c r="Q52" i="79"/>
  <c r="M52" i="79"/>
  <c r="AC52" i="79" s="1"/>
  <c r="L52" i="79"/>
  <c r="I52" i="79"/>
  <c r="AC51" i="79"/>
  <c r="X51" i="79"/>
  <c r="Y51" i="79" s="1"/>
  <c r="W51" i="79"/>
  <c r="U51" i="79"/>
  <c r="S51" i="79"/>
  <c r="Q51" i="79"/>
  <c r="O51" i="79"/>
  <c r="AB51" i="79" s="1"/>
  <c r="M51" i="79"/>
  <c r="L51" i="79"/>
  <c r="I51" i="79"/>
  <c r="AC50" i="79"/>
  <c r="X50" i="79"/>
  <c r="Y50" i="79" s="1"/>
  <c r="W50" i="79"/>
  <c r="U50" i="79"/>
  <c r="S50" i="79"/>
  <c r="Q50" i="79"/>
  <c r="O50" i="79"/>
  <c r="AB50" i="79" s="1"/>
  <c r="M50" i="79"/>
  <c r="L50" i="79"/>
  <c r="I50" i="79"/>
  <c r="X49" i="79"/>
  <c r="Y49" i="79" s="1"/>
  <c r="W49" i="79"/>
  <c r="U49" i="79"/>
  <c r="S49" i="79"/>
  <c r="Q49" i="79"/>
  <c r="M49" i="79"/>
  <c r="O49" i="79" s="1"/>
  <c r="AB49" i="79" s="1"/>
  <c r="L49" i="79"/>
  <c r="I49" i="79"/>
  <c r="AC48" i="79"/>
  <c r="X48" i="79"/>
  <c r="Y48" i="79" s="1"/>
  <c r="W48" i="79"/>
  <c r="U48" i="79"/>
  <c r="S48" i="79"/>
  <c r="Q48" i="79"/>
  <c r="O48" i="79"/>
  <c r="AB48" i="79" s="1"/>
  <c r="M48" i="79"/>
  <c r="L48" i="79"/>
  <c r="I48" i="79"/>
  <c r="AC47" i="79"/>
  <c r="X47" i="79"/>
  <c r="Y47" i="79" s="1"/>
  <c r="W47" i="79"/>
  <c r="U47" i="79"/>
  <c r="S47" i="79"/>
  <c r="Q47" i="79"/>
  <c r="O47" i="79"/>
  <c r="AB47" i="79" s="1"/>
  <c r="M47" i="79"/>
  <c r="L47" i="79"/>
  <c r="I47" i="79"/>
  <c r="X46" i="79"/>
  <c r="Y46" i="79" s="1"/>
  <c r="W46" i="79"/>
  <c r="U46" i="79"/>
  <c r="S46" i="79"/>
  <c r="Q46" i="79"/>
  <c r="M46" i="79"/>
  <c r="AC46" i="79" s="1"/>
  <c r="L46" i="79"/>
  <c r="I46" i="79"/>
  <c r="AC45" i="79"/>
  <c r="X45" i="79"/>
  <c r="Y45" i="79" s="1"/>
  <c r="W45" i="79"/>
  <c r="U45" i="79"/>
  <c r="S45" i="79"/>
  <c r="Q45" i="79"/>
  <c r="O45" i="79"/>
  <c r="AB45" i="79" s="1"/>
  <c r="M45" i="79"/>
  <c r="L45" i="79"/>
  <c r="I45" i="79"/>
  <c r="AC44" i="79"/>
  <c r="X44" i="79"/>
  <c r="Y44" i="79" s="1"/>
  <c r="W44" i="79"/>
  <c r="U44" i="79"/>
  <c r="S44" i="79"/>
  <c r="Q44" i="79"/>
  <c r="O44" i="79"/>
  <c r="AB44" i="79" s="1"/>
  <c r="M44" i="79"/>
  <c r="L44" i="79"/>
  <c r="I44" i="79"/>
  <c r="X43" i="79"/>
  <c r="Y43" i="79" s="1"/>
  <c r="W43" i="79"/>
  <c r="U43" i="79"/>
  <c r="S43" i="79"/>
  <c r="Q43" i="79"/>
  <c r="M43" i="79"/>
  <c r="O43" i="79" s="1"/>
  <c r="AB43" i="79" s="1"/>
  <c r="L43" i="79"/>
  <c r="I43" i="79"/>
  <c r="AC42" i="79"/>
  <c r="X42" i="79"/>
  <c r="Y42" i="79" s="1"/>
  <c r="W42" i="79"/>
  <c r="U42" i="79"/>
  <c r="S42" i="79"/>
  <c r="Q42" i="79"/>
  <c r="O42" i="79"/>
  <c r="AB42" i="79" s="1"/>
  <c r="M42" i="79"/>
  <c r="L42" i="79"/>
  <c r="I42" i="79"/>
  <c r="AC41" i="79"/>
  <c r="X41" i="79"/>
  <c r="Y41" i="79" s="1"/>
  <c r="W41" i="79"/>
  <c r="U41" i="79"/>
  <c r="S41" i="79"/>
  <c r="Q41" i="79"/>
  <c r="O41" i="79"/>
  <c r="AB41" i="79" s="1"/>
  <c r="M41" i="79"/>
  <c r="L41" i="79"/>
  <c r="I41" i="79"/>
  <c r="X40" i="79"/>
  <c r="Y40" i="79" s="1"/>
  <c r="W40" i="79"/>
  <c r="U40" i="79"/>
  <c r="S40" i="79"/>
  <c r="Q40" i="79"/>
  <c r="M40" i="79"/>
  <c r="AC40" i="79" s="1"/>
  <c r="L40" i="79"/>
  <c r="I40" i="79"/>
  <c r="AC39" i="79"/>
  <c r="X39" i="79"/>
  <c r="Y39" i="79" s="1"/>
  <c r="W39" i="79"/>
  <c r="U39" i="79"/>
  <c r="S39" i="79"/>
  <c r="Q39" i="79"/>
  <c r="O39" i="79"/>
  <c r="AB39" i="79" s="1"/>
  <c r="M39" i="79"/>
  <c r="L39" i="79"/>
  <c r="I39" i="79"/>
  <c r="AC38" i="79"/>
  <c r="X38" i="79"/>
  <c r="Y38" i="79" s="1"/>
  <c r="W38" i="79"/>
  <c r="U38" i="79"/>
  <c r="S38" i="79"/>
  <c r="Q38" i="79"/>
  <c r="O38" i="79"/>
  <c r="AB38" i="79" s="1"/>
  <c r="M38" i="79"/>
  <c r="L38" i="79"/>
  <c r="I38" i="79"/>
  <c r="X37" i="79"/>
  <c r="Y37" i="79" s="1"/>
  <c r="W37" i="79"/>
  <c r="U37" i="79"/>
  <c r="S37" i="79"/>
  <c r="Q37" i="79"/>
  <c r="M37" i="79"/>
  <c r="O37" i="79" s="1"/>
  <c r="AB37" i="79" s="1"/>
  <c r="I37" i="79"/>
  <c r="AB36" i="79"/>
  <c r="X36" i="79"/>
  <c r="Y36" i="79" s="1"/>
  <c r="W36" i="79"/>
  <c r="U36" i="79"/>
  <c r="S36" i="79"/>
  <c r="Q36" i="79"/>
  <c r="M36" i="79"/>
  <c r="O36" i="79" s="1"/>
  <c r="L36" i="79"/>
  <c r="I36" i="79"/>
  <c r="X35" i="79"/>
  <c r="Y35" i="79" s="1"/>
  <c r="W35" i="79"/>
  <c r="U35" i="79"/>
  <c r="S35" i="79"/>
  <c r="Q35" i="79"/>
  <c r="M35" i="79"/>
  <c r="L35" i="79"/>
  <c r="I35" i="79"/>
  <c r="AC34" i="79"/>
  <c r="X34" i="79"/>
  <c r="Y34" i="79" s="1"/>
  <c r="W34" i="79"/>
  <c r="U34" i="79"/>
  <c r="S34" i="79"/>
  <c r="Q34" i="79"/>
  <c r="M34" i="79"/>
  <c r="O34" i="79" s="1"/>
  <c r="AB34" i="79" s="1"/>
  <c r="L34" i="79"/>
  <c r="I34" i="79"/>
  <c r="X33" i="79"/>
  <c r="Y33" i="79" s="1"/>
  <c r="W33" i="79"/>
  <c r="U33" i="79"/>
  <c r="S33" i="79"/>
  <c r="Q33" i="79"/>
  <c r="M33" i="79"/>
  <c r="O33" i="79" s="1"/>
  <c r="AB33" i="79" s="1"/>
  <c r="L33" i="79"/>
  <c r="I33" i="79"/>
  <c r="AC32" i="79"/>
  <c r="AB32" i="79"/>
  <c r="X32" i="79"/>
  <c r="Y32" i="79" s="1"/>
  <c r="W32" i="79"/>
  <c r="U32" i="79"/>
  <c r="S32" i="79"/>
  <c r="Q32" i="79"/>
  <c r="M32" i="79"/>
  <c r="O32" i="79" s="1"/>
  <c r="L32" i="79"/>
  <c r="I32" i="79"/>
  <c r="AC31" i="79"/>
  <c r="X31" i="79"/>
  <c r="Y31" i="79" s="1"/>
  <c r="AB31" i="79" s="1"/>
  <c r="W31" i="79"/>
  <c r="U31" i="79"/>
  <c r="S31" i="79"/>
  <c r="Q31" i="79"/>
  <c r="M31" i="79"/>
  <c r="O31" i="79" s="1"/>
  <c r="L31" i="79"/>
  <c r="I31" i="79"/>
  <c r="AB30" i="79"/>
  <c r="X30" i="79"/>
  <c r="Y30" i="79" s="1"/>
  <c r="W30" i="79"/>
  <c r="U30" i="79"/>
  <c r="S30" i="79"/>
  <c r="Q30" i="79"/>
  <c r="M30" i="79"/>
  <c r="O30" i="79" s="1"/>
  <c r="L30" i="79"/>
  <c r="I30" i="79" s="1"/>
  <c r="X29" i="79"/>
  <c r="Y29" i="79" s="1"/>
  <c r="W29" i="79"/>
  <c r="U29" i="79"/>
  <c r="S29" i="79"/>
  <c r="Q29" i="79"/>
  <c r="M29" i="79"/>
  <c r="L29" i="79"/>
  <c r="I29" i="79"/>
  <c r="AC28" i="79"/>
  <c r="X28" i="79"/>
  <c r="Y28" i="79" s="1"/>
  <c r="W28" i="79"/>
  <c r="U28" i="79"/>
  <c r="S28" i="79"/>
  <c r="Q28" i="79"/>
  <c r="M28" i="79"/>
  <c r="O28" i="79" s="1"/>
  <c r="AB28" i="79" s="1"/>
  <c r="L28" i="79"/>
  <c r="I28" i="79"/>
  <c r="AC27" i="79"/>
  <c r="AB27" i="79"/>
  <c r="X27" i="79"/>
  <c r="Y27" i="79" s="1"/>
  <c r="W27" i="79"/>
  <c r="Q27" i="79"/>
  <c r="O27" i="79"/>
  <c r="M27" i="79"/>
  <c r="L27" i="79"/>
  <c r="I27" i="79"/>
  <c r="AC26" i="79"/>
  <c r="Y26" i="79"/>
  <c r="AB26" i="79" s="1"/>
  <c r="X26" i="79"/>
  <c r="W26" i="79"/>
  <c r="U26" i="79"/>
  <c r="S26" i="79"/>
  <c r="Q26" i="79"/>
  <c r="O26" i="79"/>
  <c r="M26" i="79"/>
  <c r="L26" i="79"/>
  <c r="I26" i="79"/>
  <c r="AC25" i="79"/>
  <c r="Y25" i="79"/>
  <c r="AB25" i="79" s="1"/>
  <c r="X25" i="79"/>
  <c r="W25" i="79"/>
  <c r="U25" i="79"/>
  <c r="S25" i="79"/>
  <c r="Q25" i="79"/>
  <c r="O25" i="79"/>
  <c r="M25" i="79"/>
  <c r="L25" i="79"/>
  <c r="I25" i="79"/>
  <c r="AC24" i="79"/>
  <c r="Y24" i="79"/>
  <c r="AB24" i="79" s="1"/>
  <c r="X24" i="79"/>
  <c r="W24" i="79"/>
  <c r="U24" i="79"/>
  <c r="S24" i="79"/>
  <c r="Q24" i="79"/>
  <c r="O24" i="79"/>
  <c r="M24" i="79"/>
  <c r="L24" i="79"/>
  <c r="I24" i="79"/>
  <c r="G24" i="79"/>
  <c r="E24" i="79"/>
  <c r="AC23" i="79"/>
  <c r="X23" i="79"/>
  <c r="Y23" i="79" s="1"/>
  <c r="W23" i="79"/>
  <c r="U23" i="79"/>
  <c r="S23" i="79"/>
  <c r="Q23" i="79"/>
  <c r="M23" i="79"/>
  <c r="O23" i="79" s="1"/>
  <c r="AB23" i="79" s="1"/>
  <c r="L23" i="79"/>
  <c r="I23" i="79"/>
  <c r="G23" i="79"/>
  <c r="E23" i="79"/>
  <c r="Y22" i="79"/>
  <c r="X22" i="79"/>
  <c r="W22" i="79"/>
  <c r="U22" i="79"/>
  <c r="S22" i="79"/>
  <c r="Q22" i="79"/>
  <c r="O22" i="79"/>
  <c r="M22" i="79"/>
  <c r="AC22" i="79" s="1"/>
  <c r="L22" i="79"/>
  <c r="I22" i="79"/>
  <c r="G22" i="79"/>
  <c r="E22" i="79"/>
  <c r="AC21" i="79"/>
  <c r="Y21" i="79"/>
  <c r="X21" i="79"/>
  <c r="W21" i="79"/>
  <c r="U21" i="79"/>
  <c r="S21" i="79"/>
  <c r="Q21" i="79"/>
  <c r="M21" i="79"/>
  <c r="O21" i="79" s="1"/>
  <c r="AB21" i="79" s="1"/>
  <c r="L21" i="79"/>
  <c r="I21" i="79"/>
  <c r="G21" i="79"/>
  <c r="AC20" i="79"/>
  <c r="X20" i="79"/>
  <c r="Y20" i="79" s="1"/>
  <c r="W20" i="79"/>
  <c r="U20" i="79"/>
  <c r="S20" i="79"/>
  <c r="Q20" i="79"/>
  <c r="O20" i="79"/>
  <c r="AB20" i="79" s="1"/>
  <c r="M20" i="79"/>
  <c r="L20" i="79"/>
  <c r="I20" i="79"/>
  <c r="F20" i="79"/>
  <c r="G20" i="79" s="1"/>
  <c r="X19" i="79"/>
  <c r="Y19" i="79" s="1"/>
  <c r="W19" i="79"/>
  <c r="U19" i="79"/>
  <c r="S19" i="79"/>
  <c r="Q19" i="79"/>
  <c r="M19" i="79"/>
  <c r="L19" i="79"/>
  <c r="I19" i="79"/>
  <c r="F19" i="79"/>
  <c r="G19" i="79" s="1"/>
  <c r="X18" i="79"/>
  <c r="Y18" i="79" s="1"/>
  <c r="W18" i="79"/>
  <c r="U18" i="79"/>
  <c r="S18" i="79"/>
  <c r="Q18" i="79"/>
  <c r="M18" i="79"/>
  <c r="O18" i="79" s="1"/>
  <c r="AB18" i="79" s="1"/>
  <c r="L18" i="79"/>
  <c r="I18" i="79"/>
  <c r="G18" i="79"/>
  <c r="AC17" i="79"/>
  <c r="Y17" i="79"/>
  <c r="X17" i="79"/>
  <c r="W17" i="79"/>
  <c r="U17" i="79"/>
  <c r="S17" i="79"/>
  <c r="Q17" i="79"/>
  <c r="O17" i="79"/>
  <c r="AB17" i="79" s="1"/>
  <c r="L17" i="79"/>
  <c r="I17" i="79"/>
  <c r="G17" i="79"/>
  <c r="AC16" i="79"/>
  <c r="Y16" i="79"/>
  <c r="X16" i="79"/>
  <c r="W16" i="79"/>
  <c r="U16" i="79"/>
  <c r="S16" i="79"/>
  <c r="Q16" i="79"/>
  <c r="O16" i="79"/>
  <c r="AB16" i="79" s="1"/>
  <c r="M16" i="79"/>
  <c r="L16" i="79"/>
  <c r="I16" i="79"/>
  <c r="G16" i="79"/>
  <c r="F16" i="79"/>
  <c r="AC15" i="79"/>
  <c r="AB15" i="79"/>
  <c r="X15" i="79"/>
  <c r="Y15" i="79" s="1"/>
  <c r="W15" i="79"/>
  <c r="U15" i="79"/>
  <c r="S15" i="79"/>
  <c r="Q15" i="79"/>
  <c r="M15" i="79"/>
  <c r="O15" i="79" s="1"/>
  <c r="L15" i="79"/>
  <c r="I15" i="79"/>
  <c r="G15" i="79"/>
  <c r="F15" i="79"/>
  <c r="Y14" i="79"/>
  <c r="X14" i="79"/>
  <c r="W14" i="79"/>
  <c r="U14" i="79"/>
  <c r="S14" i="79"/>
  <c r="Q14" i="79"/>
  <c r="O14" i="79"/>
  <c r="AB14" i="79" s="1"/>
  <c r="M14" i="79"/>
  <c r="L14" i="79"/>
  <c r="I14" i="79"/>
  <c r="G14" i="79"/>
  <c r="Y13" i="79"/>
  <c r="X13" i="79"/>
  <c r="AC13" i="79" s="1"/>
  <c r="W13" i="79"/>
  <c r="U13" i="79"/>
  <c r="S13" i="79"/>
  <c r="Q13" i="79"/>
  <c r="O13" i="79"/>
  <c r="AB13" i="79" s="1"/>
  <c r="L13" i="79"/>
  <c r="I13" i="79"/>
  <c r="G13" i="79"/>
  <c r="X12" i="79"/>
  <c r="Y12" i="79" s="1"/>
  <c r="W12" i="79"/>
  <c r="U12" i="79"/>
  <c r="S12" i="79"/>
  <c r="Q12" i="79"/>
  <c r="M12" i="79"/>
  <c r="AC12" i="79" s="1"/>
  <c r="L12" i="79"/>
  <c r="I12" i="79"/>
  <c r="F12" i="79"/>
  <c r="AC11" i="79"/>
  <c r="X11" i="79"/>
  <c r="Y11" i="79" s="1"/>
  <c r="W11" i="79"/>
  <c r="U11" i="79"/>
  <c r="S11" i="79"/>
  <c r="Q11" i="79"/>
  <c r="O11" i="79"/>
  <c r="AB11" i="79" s="1"/>
  <c r="M11" i="79"/>
  <c r="L11" i="79"/>
  <c r="I11" i="79"/>
  <c r="AC10" i="79"/>
  <c r="AB10" i="79"/>
  <c r="X10" i="79"/>
  <c r="Y10" i="79" s="1"/>
  <c r="W10" i="79"/>
  <c r="U10" i="79"/>
  <c r="S10" i="79"/>
  <c r="Q10" i="79"/>
  <c r="O10" i="79"/>
  <c r="M10" i="79"/>
  <c r="L10" i="79"/>
  <c r="I10" i="79"/>
  <c r="AC9" i="79"/>
  <c r="X9" i="79"/>
  <c r="Y9" i="79" s="1"/>
  <c r="AB9" i="79" s="1"/>
  <c r="W9" i="79"/>
  <c r="U9" i="79"/>
  <c r="S9" i="79"/>
  <c r="Q9" i="79"/>
  <c r="O9" i="79"/>
  <c r="M9" i="79"/>
  <c r="L9" i="79"/>
  <c r="I9" i="79"/>
  <c r="AC8" i="79"/>
  <c r="X8" i="79"/>
  <c r="W8" i="79"/>
  <c r="W233" i="79" s="1"/>
  <c r="K10" i="75" s="1"/>
  <c r="U8" i="79"/>
  <c r="S8" i="79"/>
  <c r="Q8" i="79"/>
  <c r="O8" i="79"/>
  <c r="M8" i="79"/>
  <c r="L8" i="79"/>
  <c r="I8" i="79"/>
  <c r="V83" i="78"/>
  <c r="T83" i="78"/>
  <c r="R83" i="78"/>
  <c r="P83" i="78"/>
  <c r="N83" i="78"/>
  <c r="K83" i="78"/>
  <c r="J83" i="78"/>
  <c r="H83" i="78"/>
  <c r="F83" i="78"/>
  <c r="D83" i="78"/>
  <c r="AC82" i="78"/>
  <c r="Y82" i="78"/>
  <c r="X82" i="78"/>
  <c r="W82" i="78"/>
  <c r="U82" i="78"/>
  <c r="S82" i="78"/>
  <c r="Q82" i="78"/>
  <c r="O82" i="78"/>
  <c r="M82" i="78"/>
  <c r="I82" i="78"/>
  <c r="G82" i="78"/>
  <c r="E82" i="78"/>
  <c r="AC81" i="78"/>
  <c r="Y81" i="78"/>
  <c r="X81" i="78"/>
  <c r="W81" i="78"/>
  <c r="U81" i="78"/>
  <c r="S81" i="78"/>
  <c r="Q81" i="78"/>
  <c r="O81" i="78"/>
  <c r="M81" i="78"/>
  <c r="L81" i="78"/>
  <c r="I81" i="78"/>
  <c r="G81" i="78"/>
  <c r="E81" i="78"/>
  <c r="Y80" i="78"/>
  <c r="X80" i="78"/>
  <c r="W80" i="78"/>
  <c r="U80" i="78"/>
  <c r="S80" i="78"/>
  <c r="Q80" i="78"/>
  <c r="M80" i="78"/>
  <c r="O80" i="78" s="1"/>
  <c r="AC80" i="78" s="1"/>
  <c r="L80" i="78"/>
  <c r="I80" i="78"/>
  <c r="G80" i="78"/>
  <c r="E80" i="78"/>
  <c r="X79" i="78"/>
  <c r="Y79" i="78" s="1"/>
  <c r="W79" i="78"/>
  <c r="U79" i="78"/>
  <c r="S79" i="78"/>
  <c r="Q79" i="78"/>
  <c r="M79" i="78"/>
  <c r="O79" i="78" s="1"/>
  <c r="AC79" i="78" s="1"/>
  <c r="L79" i="78"/>
  <c r="I79" i="78"/>
  <c r="G79" i="78"/>
  <c r="E79" i="78"/>
  <c r="Y78" i="78"/>
  <c r="X78" i="78"/>
  <c r="W78" i="78"/>
  <c r="U78" i="78"/>
  <c r="S78" i="78"/>
  <c r="Q78" i="78"/>
  <c r="M78" i="78"/>
  <c r="O78" i="78" s="1"/>
  <c r="L78" i="78"/>
  <c r="I78" i="78"/>
  <c r="G78" i="78"/>
  <c r="E78" i="78"/>
  <c r="AC77" i="78"/>
  <c r="Y77" i="78"/>
  <c r="X77" i="78"/>
  <c r="W77" i="78"/>
  <c r="U77" i="78"/>
  <c r="S77" i="78"/>
  <c r="Q77" i="78"/>
  <c r="O77" i="78"/>
  <c r="M77" i="78"/>
  <c r="L77" i="78"/>
  <c r="I77" i="78"/>
  <c r="G77" i="78"/>
  <c r="E77" i="78"/>
  <c r="X76" i="78"/>
  <c r="Y76" i="78" s="1"/>
  <c r="W76" i="78"/>
  <c r="U76" i="78"/>
  <c r="S76" i="78"/>
  <c r="Q76" i="78"/>
  <c r="M76" i="78"/>
  <c r="O76" i="78" s="1"/>
  <c r="L76" i="78"/>
  <c r="I76" i="78"/>
  <c r="G76" i="78"/>
  <c r="E76" i="78"/>
  <c r="Y75" i="78"/>
  <c r="X75" i="78"/>
  <c r="W75" i="78"/>
  <c r="U75" i="78"/>
  <c r="S75" i="78"/>
  <c r="Q75" i="78"/>
  <c r="O75" i="78"/>
  <c r="AC75" i="78" s="1"/>
  <c r="M75" i="78"/>
  <c r="L75" i="78"/>
  <c r="I75" i="78"/>
  <c r="G75" i="78"/>
  <c r="E75" i="78"/>
  <c r="Y74" i="78"/>
  <c r="X74" i="78"/>
  <c r="W74" i="78"/>
  <c r="U74" i="78"/>
  <c r="S74" i="78"/>
  <c r="Q74" i="78"/>
  <c r="M74" i="78"/>
  <c r="O74" i="78" s="1"/>
  <c r="AC74" i="78" s="1"/>
  <c r="L74" i="78"/>
  <c r="I74" i="78"/>
  <c r="G74" i="78"/>
  <c r="E74" i="78"/>
  <c r="X73" i="78"/>
  <c r="Y73" i="78" s="1"/>
  <c r="W73" i="78"/>
  <c r="U73" i="78"/>
  <c r="S73" i="78"/>
  <c r="Q73" i="78"/>
  <c r="M73" i="78"/>
  <c r="O73" i="78" s="1"/>
  <c r="AC73" i="78" s="1"/>
  <c r="L73" i="78"/>
  <c r="I73" i="78"/>
  <c r="G73" i="78"/>
  <c r="E73" i="78"/>
  <c r="X72" i="78"/>
  <c r="Y72" i="78" s="1"/>
  <c r="W72" i="78"/>
  <c r="U72" i="78"/>
  <c r="S72" i="78"/>
  <c r="Q72" i="78"/>
  <c r="O72" i="78"/>
  <c r="AC72" i="78" s="1"/>
  <c r="M72" i="78"/>
  <c r="L72" i="78"/>
  <c r="I72" i="78"/>
  <c r="G72" i="78"/>
  <c r="E72" i="78"/>
  <c r="Y71" i="78"/>
  <c r="X71" i="78"/>
  <c r="W71" i="78"/>
  <c r="U71" i="78"/>
  <c r="S71" i="78"/>
  <c r="Q71" i="78"/>
  <c r="O71" i="78"/>
  <c r="M71" i="78"/>
  <c r="L71" i="78"/>
  <c r="I71" i="78"/>
  <c r="G71" i="78"/>
  <c r="E71" i="78"/>
  <c r="X70" i="78"/>
  <c r="Y70" i="78" s="1"/>
  <c r="W70" i="78"/>
  <c r="U70" i="78"/>
  <c r="S70" i="78"/>
  <c r="Q70" i="78"/>
  <c r="M70" i="78"/>
  <c r="O70" i="78" s="1"/>
  <c r="AC70" i="78" s="1"/>
  <c r="L70" i="78"/>
  <c r="I70" i="78"/>
  <c r="G70" i="78"/>
  <c r="E70" i="78"/>
  <c r="Y69" i="78"/>
  <c r="X69" i="78"/>
  <c r="W69" i="78"/>
  <c r="U69" i="78"/>
  <c r="S69" i="78"/>
  <c r="Q69" i="78"/>
  <c r="M69" i="78"/>
  <c r="O69" i="78" s="1"/>
  <c r="AC69" i="78" s="1"/>
  <c r="L69" i="78"/>
  <c r="I69" i="78"/>
  <c r="G69" i="78"/>
  <c r="E69" i="78"/>
  <c r="X68" i="78"/>
  <c r="Y68" i="78" s="1"/>
  <c r="W68" i="78"/>
  <c r="U68" i="78"/>
  <c r="S68" i="78"/>
  <c r="Q68" i="78"/>
  <c r="O68" i="78"/>
  <c r="AC68" i="78" s="1"/>
  <c r="M68" i="78"/>
  <c r="L68" i="78"/>
  <c r="I68" i="78"/>
  <c r="G68" i="78"/>
  <c r="E68" i="78"/>
  <c r="X67" i="78"/>
  <c r="Y67" i="78" s="1"/>
  <c r="W67" i="78"/>
  <c r="U67" i="78"/>
  <c r="S67" i="78"/>
  <c r="Q67" i="78"/>
  <c r="M67" i="78"/>
  <c r="O67" i="78" s="1"/>
  <c r="L67" i="78"/>
  <c r="I67" i="78"/>
  <c r="G67" i="78"/>
  <c r="E67" i="78"/>
  <c r="Y66" i="78"/>
  <c r="X66" i="78"/>
  <c r="W66" i="78"/>
  <c r="U66" i="78"/>
  <c r="S66" i="78"/>
  <c r="Q66" i="78"/>
  <c r="M66" i="78"/>
  <c r="O66" i="78" s="1"/>
  <c r="L66" i="78"/>
  <c r="I66" i="78"/>
  <c r="G66" i="78"/>
  <c r="E66" i="78"/>
  <c r="AC65" i="78"/>
  <c r="Y65" i="78"/>
  <c r="X65" i="78"/>
  <c r="W65" i="78"/>
  <c r="U65" i="78"/>
  <c r="S65" i="78"/>
  <c r="Q65" i="78"/>
  <c r="O65" i="78"/>
  <c r="M65" i="78"/>
  <c r="L65" i="78"/>
  <c r="I65" i="78"/>
  <c r="G65" i="78"/>
  <c r="E65" i="78"/>
  <c r="X64" i="78"/>
  <c r="Y64" i="78" s="1"/>
  <c r="W64" i="78"/>
  <c r="U64" i="78"/>
  <c r="S64" i="78"/>
  <c r="Q64" i="78"/>
  <c r="M64" i="78"/>
  <c r="O64" i="78" s="1"/>
  <c r="L64" i="78"/>
  <c r="I64" i="78"/>
  <c r="G64" i="78"/>
  <c r="E64" i="78"/>
  <c r="Y63" i="78"/>
  <c r="X63" i="78"/>
  <c r="W63" i="78"/>
  <c r="U63" i="78"/>
  <c r="S63" i="78"/>
  <c r="Q63" i="78"/>
  <c r="O63" i="78"/>
  <c r="AC63" i="78" s="1"/>
  <c r="M63" i="78"/>
  <c r="L63" i="78"/>
  <c r="I63" i="78"/>
  <c r="G63" i="78"/>
  <c r="E63" i="78"/>
  <c r="Y62" i="78"/>
  <c r="X62" i="78"/>
  <c r="W62" i="78"/>
  <c r="U62" i="78"/>
  <c r="S62" i="78"/>
  <c r="Q62" i="78"/>
  <c r="M62" i="78"/>
  <c r="O62" i="78" s="1"/>
  <c r="AC62" i="78" s="1"/>
  <c r="L62" i="78"/>
  <c r="I62" i="78"/>
  <c r="G62" i="78"/>
  <c r="E62" i="78"/>
  <c r="X61" i="78"/>
  <c r="Y61" i="78" s="1"/>
  <c r="W61" i="78"/>
  <c r="U61" i="78"/>
  <c r="S61" i="78"/>
  <c r="Q61" i="78"/>
  <c r="M61" i="78"/>
  <c r="O61" i="78" s="1"/>
  <c r="AC61" i="78" s="1"/>
  <c r="L61" i="78"/>
  <c r="I61" i="78"/>
  <c r="G61" i="78"/>
  <c r="E61" i="78"/>
  <c r="X60" i="78"/>
  <c r="Y60" i="78" s="1"/>
  <c r="W60" i="78"/>
  <c r="U60" i="78"/>
  <c r="S60" i="78"/>
  <c r="Q60" i="78"/>
  <c r="O60" i="78"/>
  <c r="AC60" i="78" s="1"/>
  <c r="M60" i="78"/>
  <c r="L60" i="78"/>
  <c r="I60" i="78"/>
  <c r="G60" i="78"/>
  <c r="E60" i="78"/>
  <c r="Y59" i="78"/>
  <c r="X59" i="78"/>
  <c r="W59" i="78"/>
  <c r="U59" i="78"/>
  <c r="S59" i="78"/>
  <c r="Q59" i="78"/>
  <c r="O59" i="78"/>
  <c r="AC59" i="78" s="1"/>
  <c r="M59" i="78"/>
  <c r="L59" i="78"/>
  <c r="I59" i="78"/>
  <c r="G59" i="78"/>
  <c r="E59" i="78"/>
  <c r="X58" i="78"/>
  <c r="Y58" i="78" s="1"/>
  <c r="W58" i="78"/>
  <c r="U58" i="78"/>
  <c r="S58" i="78"/>
  <c r="Q58" i="78"/>
  <c r="M58" i="78"/>
  <c r="O58" i="78" s="1"/>
  <c r="AC58" i="78" s="1"/>
  <c r="L58" i="78"/>
  <c r="I58" i="78"/>
  <c r="G58" i="78"/>
  <c r="E58" i="78"/>
  <c r="Y57" i="78"/>
  <c r="X57" i="78"/>
  <c r="W57" i="78"/>
  <c r="U57" i="78"/>
  <c r="S57" i="78"/>
  <c r="Q57" i="78"/>
  <c r="M57" i="78"/>
  <c r="O57" i="78" s="1"/>
  <c r="AC57" i="78" s="1"/>
  <c r="L57" i="78"/>
  <c r="I57" i="78"/>
  <c r="G57" i="78"/>
  <c r="E57" i="78"/>
  <c r="X56" i="78"/>
  <c r="Y56" i="78" s="1"/>
  <c r="W56" i="78"/>
  <c r="U56" i="78"/>
  <c r="S56" i="78"/>
  <c r="Q56" i="78"/>
  <c r="O56" i="78"/>
  <c r="AC56" i="78" s="1"/>
  <c r="M56" i="78"/>
  <c r="L56" i="78"/>
  <c r="I56" i="78"/>
  <c r="G56" i="78"/>
  <c r="E56" i="78"/>
  <c r="X55" i="78"/>
  <c r="Y55" i="78" s="1"/>
  <c r="W55" i="78"/>
  <c r="U55" i="78"/>
  <c r="S55" i="78"/>
  <c r="Q55" i="78"/>
  <c r="M55" i="78"/>
  <c r="O55" i="78" s="1"/>
  <c r="L55" i="78"/>
  <c r="I55" i="78"/>
  <c r="G55" i="78"/>
  <c r="E55" i="78"/>
  <c r="Y54" i="78"/>
  <c r="X54" i="78"/>
  <c r="W54" i="78"/>
  <c r="U54" i="78"/>
  <c r="S54" i="78"/>
  <c r="Q54" i="78"/>
  <c r="M54" i="78"/>
  <c r="O54" i="78" s="1"/>
  <c r="AC54" i="78" s="1"/>
  <c r="L54" i="78"/>
  <c r="I54" i="78"/>
  <c r="G54" i="78"/>
  <c r="E54" i="78"/>
  <c r="Y53" i="78"/>
  <c r="X53" i="78"/>
  <c r="W53" i="78"/>
  <c r="U53" i="78"/>
  <c r="S53" i="78"/>
  <c r="Q53" i="78"/>
  <c r="O53" i="78"/>
  <c r="AC53" i="78" s="1"/>
  <c r="M53" i="78"/>
  <c r="L53" i="78"/>
  <c r="I53" i="78"/>
  <c r="G53" i="78"/>
  <c r="E53" i="78"/>
  <c r="X52" i="78"/>
  <c r="Y52" i="78" s="1"/>
  <c r="W52" i="78"/>
  <c r="U52" i="78"/>
  <c r="S52" i="78"/>
  <c r="Q52" i="78"/>
  <c r="M52" i="78"/>
  <c r="O52" i="78" s="1"/>
  <c r="AC52" i="78" s="1"/>
  <c r="I52" i="78"/>
  <c r="G52" i="78"/>
  <c r="E52" i="78"/>
  <c r="X51" i="78"/>
  <c r="Y51" i="78" s="1"/>
  <c r="W51" i="78"/>
  <c r="U51" i="78"/>
  <c r="S51" i="78"/>
  <c r="Q51" i="78"/>
  <c r="M51" i="78"/>
  <c r="O51" i="78" s="1"/>
  <c r="I51" i="78"/>
  <c r="G51" i="78"/>
  <c r="E51" i="78"/>
  <c r="X50" i="78"/>
  <c r="Y50" i="78" s="1"/>
  <c r="W50" i="78"/>
  <c r="U50" i="78"/>
  <c r="S50" i="78"/>
  <c r="Q50" i="78"/>
  <c r="M50" i="78"/>
  <c r="O50" i="78" s="1"/>
  <c r="AC50" i="78" s="1"/>
  <c r="I50" i="78"/>
  <c r="G50" i="78"/>
  <c r="E50" i="78"/>
  <c r="X49" i="78"/>
  <c r="Y49" i="78" s="1"/>
  <c r="W49" i="78"/>
  <c r="U49" i="78"/>
  <c r="S49" i="78"/>
  <c r="Q49" i="78"/>
  <c r="M49" i="78"/>
  <c r="O49" i="78" s="1"/>
  <c r="AC49" i="78" s="1"/>
  <c r="I49" i="78"/>
  <c r="G49" i="78"/>
  <c r="E49" i="78"/>
  <c r="X48" i="78"/>
  <c r="Y48" i="78" s="1"/>
  <c r="W48" i="78"/>
  <c r="U48" i="78"/>
  <c r="S48" i="78"/>
  <c r="Q48" i="78"/>
  <c r="M48" i="78"/>
  <c r="O48" i="78" s="1"/>
  <c r="AC48" i="78" s="1"/>
  <c r="I48" i="78"/>
  <c r="G48" i="78"/>
  <c r="E48" i="78"/>
  <c r="X47" i="78"/>
  <c r="Y47" i="78" s="1"/>
  <c r="W47" i="78"/>
  <c r="U47" i="78"/>
  <c r="S47" i="78"/>
  <c r="Q47" i="78"/>
  <c r="M47" i="78"/>
  <c r="O47" i="78" s="1"/>
  <c r="I47" i="78"/>
  <c r="G47" i="78"/>
  <c r="E47" i="78"/>
  <c r="X46" i="78"/>
  <c r="Y46" i="78" s="1"/>
  <c r="W46" i="78"/>
  <c r="U46" i="78"/>
  <c r="S46" i="78"/>
  <c r="Q46" i="78"/>
  <c r="M46" i="78"/>
  <c r="O46" i="78" s="1"/>
  <c r="AC46" i="78" s="1"/>
  <c r="L46" i="78"/>
  <c r="I46" i="78"/>
  <c r="G46" i="78"/>
  <c r="E46" i="78"/>
  <c r="Y45" i="78"/>
  <c r="X45" i="78"/>
  <c r="W45" i="78"/>
  <c r="U45" i="78"/>
  <c r="S45" i="78"/>
  <c r="Q45" i="78"/>
  <c r="O45" i="78"/>
  <c r="AC45" i="78" s="1"/>
  <c r="M45" i="78"/>
  <c r="L45" i="78"/>
  <c r="I45" i="78"/>
  <c r="G45" i="78"/>
  <c r="E45" i="78"/>
  <c r="Y44" i="78"/>
  <c r="X44" i="78"/>
  <c r="W44" i="78"/>
  <c r="U44" i="78"/>
  <c r="S44" i="78"/>
  <c r="Q44" i="78"/>
  <c r="M44" i="78"/>
  <c r="O44" i="78" s="1"/>
  <c r="AC44" i="78" s="1"/>
  <c r="L44" i="78"/>
  <c r="I44" i="78"/>
  <c r="G44" i="78"/>
  <c r="E44" i="78"/>
  <c r="X43" i="78"/>
  <c r="Y43" i="78" s="1"/>
  <c r="W43" i="78"/>
  <c r="U43" i="78"/>
  <c r="S43" i="78"/>
  <c r="Q43" i="78"/>
  <c r="M43" i="78"/>
  <c r="O43" i="78" s="1"/>
  <c r="AC43" i="78" s="1"/>
  <c r="L43" i="78"/>
  <c r="I43" i="78"/>
  <c r="G43" i="78"/>
  <c r="E43" i="78"/>
  <c r="X42" i="78"/>
  <c r="Y42" i="78" s="1"/>
  <c r="W42" i="78"/>
  <c r="U42" i="78"/>
  <c r="S42" i="78"/>
  <c r="Q42" i="78"/>
  <c r="M42" i="78"/>
  <c r="O42" i="78" s="1"/>
  <c r="AC42" i="78" s="1"/>
  <c r="L42" i="78"/>
  <c r="I42" i="78"/>
  <c r="G42" i="78"/>
  <c r="E42" i="78"/>
  <c r="X41" i="78"/>
  <c r="Y41" i="78" s="1"/>
  <c r="W41" i="78"/>
  <c r="U41" i="78"/>
  <c r="S41" i="78"/>
  <c r="Q41" i="78"/>
  <c r="M41" i="78"/>
  <c r="O41" i="78" s="1"/>
  <c r="L41" i="78"/>
  <c r="I41" i="78"/>
  <c r="G41" i="78"/>
  <c r="E41" i="78"/>
  <c r="Y40" i="78"/>
  <c r="X40" i="78"/>
  <c r="W40" i="78"/>
  <c r="U40" i="78"/>
  <c r="S40" i="78"/>
  <c r="Q40" i="78"/>
  <c r="M40" i="78"/>
  <c r="O40" i="78" s="1"/>
  <c r="AC40" i="78" s="1"/>
  <c r="L40" i="78"/>
  <c r="I40" i="78"/>
  <c r="G40" i="78"/>
  <c r="E40" i="78"/>
  <c r="Y39" i="78"/>
  <c r="X39" i="78"/>
  <c r="W39" i="78"/>
  <c r="U39" i="78"/>
  <c r="S39" i="78"/>
  <c r="Q39" i="78"/>
  <c r="O39" i="78"/>
  <c r="AC39" i="78" s="1"/>
  <c r="M39" i="78"/>
  <c r="L39" i="78"/>
  <c r="I39" i="78"/>
  <c r="G39" i="78"/>
  <c r="E39" i="78"/>
  <c r="X38" i="78"/>
  <c r="Y38" i="78" s="1"/>
  <c r="W38" i="78"/>
  <c r="U38" i="78"/>
  <c r="S38" i="78"/>
  <c r="Q38" i="78"/>
  <c r="O38" i="78"/>
  <c r="AC38" i="78" s="1"/>
  <c r="M38" i="78"/>
  <c r="L38" i="78"/>
  <c r="I38" i="78"/>
  <c r="G38" i="78"/>
  <c r="E38" i="78"/>
  <c r="Y37" i="78"/>
  <c r="X37" i="78"/>
  <c r="W37" i="78"/>
  <c r="U37" i="78"/>
  <c r="S37" i="78"/>
  <c r="Q37" i="78"/>
  <c r="M37" i="78"/>
  <c r="O37" i="78" s="1"/>
  <c r="AC37" i="78" s="1"/>
  <c r="L37" i="78"/>
  <c r="I37" i="78"/>
  <c r="G37" i="78"/>
  <c r="E37" i="78"/>
  <c r="Y36" i="78"/>
  <c r="X36" i="78"/>
  <c r="W36" i="78"/>
  <c r="U36" i="78"/>
  <c r="S36" i="78"/>
  <c r="Q36" i="78"/>
  <c r="O36" i="78"/>
  <c r="AC36" i="78" s="1"/>
  <c r="M36" i="78"/>
  <c r="L36" i="78"/>
  <c r="I36" i="78"/>
  <c r="G36" i="78"/>
  <c r="E36" i="78"/>
  <c r="X35" i="78"/>
  <c r="Y35" i="78" s="1"/>
  <c r="W35" i="78"/>
  <c r="U35" i="78"/>
  <c r="S35" i="78"/>
  <c r="Q35" i="78"/>
  <c r="M35" i="78"/>
  <c r="O35" i="78" s="1"/>
  <c r="AC35" i="78" s="1"/>
  <c r="L35" i="78"/>
  <c r="I35" i="78"/>
  <c r="G35" i="78"/>
  <c r="E35" i="78"/>
  <c r="Y34" i="78"/>
  <c r="X34" i="78"/>
  <c r="W34" i="78"/>
  <c r="U34" i="78"/>
  <c r="S34" i="78"/>
  <c r="Q34" i="78"/>
  <c r="M34" i="78"/>
  <c r="O34" i="78" s="1"/>
  <c r="AC34" i="78" s="1"/>
  <c r="L34" i="78"/>
  <c r="I34" i="78"/>
  <c r="G34" i="78"/>
  <c r="E34" i="78"/>
  <c r="AC33" i="78"/>
  <c r="Y33" i="78"/>
  <c r="X33" i="78"/>
  <c r="W33" i="78"/>
  <c r="U33" i="78"/>
  <c r="S33" i="78"/>
  <c r="Q33" i="78"/>
  <c r="O33" i="78"/>
  <c r="M33" i="78"/>
  <c r="L33" i="78"/>
  <c r="I33" i="78"/>
  <c r="G33" i="78"/>
  <c r="E33" i="78"/>
  <c r="Y32" i="78"/>
  <c r="X32" i="78"/>
  <c r="W32" i="78"/>
  <c r="U32" i="78"/>
  <c r="S32" i="78"/>
  <c r="Q32" i="78"/>
  <c r="M32" i="78"/>
  <c r="O32" i="78" s="1"/>
  <c r="AC32" i="78" s="1"/>
  <c r="L32" i="78"/>
  <c r="I32" i="78"/>
  <c r="G32" i="78"/>
  <c r="E32" i="78"/>
  <c r="X31" i="78"/>
  <c r="Y31" i="78" s="1"/>
  <c r="W31" i="78"/>
  <c r="U31" i="78"/>
  <c r="S31" i="78"/>
  <c r="Q31" i="78"/>
  <c r="M31" i="78"/>
  <c r="O31" i="78" s="1"/>
  <c r="AC31" i="78" s="1"/>
  <c r="L31" i="78"/>
  <c r="I31" i="78"/>
  <c r="G31" i="78"/>
  <c r="E31" i="78"/>
  <c r="X30" i="78"/>
  <c r="Y30" i="78" s="1"/>
  <c r="W30" i="78"/>
  <c r="U30" i="78"/>
  <c r="S30" i="78"/>
  <c r="Q30" i="78"/>
  <c r="M30" i="78"/>
  <c r="O30" i="78" s="1"/>
  <c r="L30" i="78"/>
  <c r="I30" i="78"/>
  <c r="G30" i="78"/>
  <c r="E30" i="78"/>
  <c r="X29" i="78"/>
  <c r="Y29" i="78" s="1"/>
  <c r="W29" i="78"/>
  <c r="U29" i="78"/>
  <c r="S29" i="78"/>
  <c r="Q29" i="78"/>
  <c r="O29" i="78"/>
  <c r="M29" i="78"/>
  <c r="L29" i="78"/>
  <c r="I29" i="78"/>
  <c r="G29" i="78"/>
  <c r="E29" i="78"/>
  <c r="Y28" i="78"/>
  <c r="AC28" i="78" s="1"/>
  <c r="X28" i="78"/>
  <c r="W28" i="78"/>
  <c r="U28" i="78"/>
  <c r="S28" i="78"/>
  <c r="Q28" i="78"/>
  <c r="O28" i="78"/>
  <c r="M28" i="78"/>
  <c r="L28" i="78"/>
  <c r="I28" i="78"/>
  <c r="G28" i="78"/>
  <c r="E28" i="78"/>
  <c r="AC27" i="78"/>
  <c r="X27" i="78"/>
  <c r="Y27" i="78" s="1"/>
  <c r="W27" i="78"/>
  <c r="U27" i="78"/>
  <c r="S27" i="78"/>
  <c r="Q27" i="78"/>
  <c r="M27" i="78"/>
  <c r="O27" i="78" s="1"/>
  <c r="L27" i="78"/>
  <c r="I27" i="78"/>
  <c r="G27" i="78"/>
  <c r="E27" i="78"/>
  <c r="Y26" i="78"/>
  <c r="X26" i="78"/>
  <c r="W26" i="78"/>
  <c r="U26" i="78"/>
  <c r="S26" i="78"/>
  <c r="Q26" i="78"/>
  <c r="O26" i="78"/>
  <c r="AC26" i="78" s="1"/>
  <c r="M26" i="78"/>
  <c r="L26" i="78"/>
  <c r="I26" i="78"/>
  <c r="G26" i="78"/>
  <c r="E26" i="78"/>
  <c r="Y25" i="78"/>
  <c r="X25" i="78"/>
  <c r="W25" i="78"/>
  <c r="U25" i="78"/>
  <c r="S25" i="78"/>
  <c r="Q25" i="78"/>
  <c r="M25" i="78"/>
  <c r="O25" i="78" s="1"/>
  <c r="L25" i="78"/>
  <c r="I25" i="78"/>
  <c r="G25" i="78"/>
  <c r="E25" i="78"/>
  <c r="X24" i="78"/>
  <c r="Y24" i="78" s="1"/>
  <c r="W24" i="78"/>
  <c r="U24" i="78"/>
  <c r="S24" i="78"/>
  <c r="Q24" i="78"/>
  <c r="M24" i="78"/>
  <c r="O24" i="78" s="1"/>
  <c r="L24" i="78"/>
  <c r="I24" i="78"/>
  <c r="G24" i="78"/>
  <c r="E24" i="78"/>
  <c r="Y23" i="78"/>
  <c r="X23" i="78"/>
  <c r="W23" i="78"/>
  <c r="U23" i="78"/>
  <c r="S23" i="78"/>
  <c r="Q23" i="78"/>
  <c r="M23" i="78"/>
  <c r="O23" i="78" s="1"/>
  <c r="AC23" i="78" s="1"/>
  <c r="L23" i="78"/>
  <c r="I23" i="78"/>
  <c r="G23" i="78"/>
  <c r="E23" i="78"/>
  <c r="AC22" i="78"/>
  <c r="Y22" i="78"/>
  <c r="X22" i="78"/>
  <c r="W22" i="78"/>
  <c r="U22" i="78"/>
  <c r="S22" i="78"/>
  <c r="Q22" i="78"/>
  <c r="O22" i="78"/>
  <c r="M22" i="78"/>
  <c r="L22" i="78"/>
  <c r="I22" i="78"/>
  <c r="G22" i="78"/>
  <c r="E22" i="78"/>
  <c r="X21" i="78"/>
  <c r="Y21" i="78" s="1"/>
  <c r="W21" i="78"/>
  <c r="U21" i="78"/>
  <c r="S21" i="78"/>
  <c r="Q21" i="78"/>
  <c r="M21" i="78"/>
  <c r="O21" i="78" s="1"/>
  <c r="AC21" i="78" s="1"/>
  <c r="L21" i="78"/>
  <c r="I21" i="78"/>
  <c r="G21" i="78"/>
  <c r="E21" i="78"/>
  <c r="X20" i="78"/>
  <c r="Y20" i="78" s="1"/>
  <c r="W20" i="78"/>
  <c r="U20" i="78"/>
  <c r="S20" i="78"/>
  <c r="Q20" i="78"/>
  <c r="O20" i="78"/>
  <c r="AC20" i="78" s="1"/>
  <c r="M20" i="78"/>
  <c r="L20" i="78"/>
  <c r="I20" i="78"/>
  <c r="G20" i="78"/>
  <c r="E20" i="78"/>
  <c r="Y19" i="78"/>
  <c r="AC19" i="78" s="1"/>
  <c r="X19" i="78"/>
  <c r="W19" i="78"/>
  <c r="U19" i="78"/>
  <c r="S19" i="78"/>
  <c r="Q19" i="78"/>
  <c r="O19" i="78"/>
  <c r="M19" i="78"/>
  <c r="L19" i="78"/>
  <c r="I19" i="78"/>
  <c r="G19" i="78"/>
  <c r="E19" i="78"/>
  <c r="X18" i="78"/>
  <c r="Y18" i="78" s="1"/>
  <c r="W18" i="78"/>
  <c r="U18" i="78"/>
  <c r="S18" i="78"/>
  <c r="Q18" i="78"/>
  <c r="M18" i="78"/>
  <c r="O18" i="78" s="1"/>
  <c r="AC18" i="78" s="1"/>
  <c r="L18" i="78"/>
  <c r="I18" i="78"/>
  <c r="G18" i="78"/>
  <c r="E18" i="78"/>
  <c r="X17" i="78"/>
  <c r="Y17" i="78" s="1"/>
  <c r="W17" i="78"/>
  <c r="U17" i="78"/>
  <c r="S17" i="78"/>
  <c r="Q17" i="78"/>
  <c r="O17" i="78"/>
  <c r="AC17" i="78" s="1"/>
  <c r="M17" i="78"/>
  <c r="L17" i="78"/>
  <c r="I17" i="78"/>
  <c r="G17" i="78"/>
  <c r="E17" i="78"/>
  <c r="Y16" i="78"/>
  <c r="X16" i="78"/>
  <c r="W16" i="78"/>
  <c r="U16" i="78"/>
  <c r="S16" i="78"/>
  <c r="Q16" i="78"/>
  <c r="O16" i="78"/>
  <c r="AC16" i="78" s="1"/>
  <c r="M16" i="78"/>
  <c r="L16" i="78"/>
  <c r="I16" i="78"/>
  <c r="G16" i="78"/>
  <c r="E16" i="78"/>
  <c r="Y15" i="78"/>
  <c r="X15" i="78"/>
  <c r="W15" i="78"/>
  <c r="U15" i="78"/>
  <c r="S15" i="78"/>
  <c r="Q15" i="78"/>
  <c r="M15" i="78"/>
  <c r="O15" i="78" s="1"/>
  <c r="L15" i="78"/>
  <c r="I15" i="78"/>
  <c r="G15" i="78"/>
  <c r="E15" i="78"/>
  <c r="Y14" i="78"/>
  <c r="X14" i="78"/>
  <c r="W14" i="78"/>
  <c r="U14" i="78"/>
  <c r="S14" i="78"/>
  <c r="Q14" i="78"/>
  <c r="O14" i="78"/>
  <c r="AC14" i="78" s="1"/>
  <c r="M14" i="78"/>
  <c r="L14" i="78"/>
  <c r="I14" i="78"/>
  <c r="G14" i="78"/>
  <c r="E14" i="78"/>
  <c r="Y13" i="78"/>
  <c r="X13" i="78"/>
  <c r="W13" i="78"/>
  <c r="U13" i="78"/>
  <c r="S13" i="78"/>
  <c r="Q13" i="78"/>
  <c r="M13" i="78"/>
  <c r="O13" i="78" s="1"/>
  <c r="L13" i="78"/>
  <c r="I13" i="78"/>
  <c r="G13" i="78"/>
  <c r="E13" i="78"/>
  <c r="X12" i="78"/>
  <c r="Y12" i="78" s="1"/>
  <c r="W12" i="78"/>
  <c r="U12" i="78"/>
  <c r="S12" i="78"/>
  <c r="Q12" i="78"/>
  <c r="M12" i="78"/>
  <c r="O12" i="78" s="1"/>
  <c r="L12" i="78"/>
  <c r="I12" i="78"/>
  <c r="G12" i="78"/>
  <c r="E12" i="78"/>
  <c r="Y11" i="78"/>
  <c r="X11" i="78"/>
  <c r="W11" i="78"/>
  <c r="U11" i="78"/>
  <c r="S11" i="78"/>
  <c r="Q11" i="78"/>
  <c r="O11" i="78"/>
  <c r="M11" i="78"/>
  <c r="L11" i="78"/>
  <c r="I11" i="78"/>
  <c r="G11" i="78"/>
  <c r="E11" i="78"/>
  <c r="X10" i="78"/>
  <c r="Y10" i="78" s="1"/>
  <c r="AC10" i="78" s="1"/>
  <c r="W10" i="78"/>
  <c r="U10" i="78"/>
  <c r="S10" i="78"/>
  <c r="Q10" i="78"/>
  <c r="O10" i="78"/>
  <c r="M10" i="78"/>
  <c r="L10" i="78"/>
  <c r="I10" i="78"/>
  <c r="G10" i="78"/>
  <c r="E10" i="78"/>
  <c r="X9" i="78"/>
  <c r="Y9" i="78" s="1"/>
  <c r="W9" i="78"/>
  <c r="U9" i="78"/>
  <c r="S9" i="78"/>
  <c r="Q9" i="78"/>
  <c r="M9" i="78"/>
  <c r="L9" i="78"/>
  <c r="I9" i="78"/>
  <c r="G9" i="78"/>
  <c r="E9" i="78"/>
  <c r="Y8" i="78"/>
  <c r="X8" i="78"/>
  <c r="W8" i="78"/>
  <c r="U8" i="78"/>
  <c r="U83" i="78" s="1"/>
  <c r="S8" i="78"/>
  <c r="Q8" i="78"/>
  <c r="O8" i="78"/>
  <c r="I8" i="78"/>
  <c r="G8" i="78"/>
  <c r="E8" i="78"/>
  <c r="V49" i="77"/>
  <c r="T49" i="77"/>
  <c r="P49" i="77"/>
  <c r="N49" i="77"/>
  <c r="L49" i="77"/>
  <c r="K49" i="77"/>
  <c r="J49" i="77"/>
  <c r="I49" i="77"/>
  <c r="H49" i="77"/>
  <c r="G49" i="77"/>
  <c r="D8" i="75" s="1"/>
  <c r="F49" i="77"/>
  <c r="E49" i="77"/>
  <c r="D49" i="77"/>
  <c r="Y48" i="77"/>
  <c r="R48" i="77"/>
  <c r="S48" i="77" s="1"/>
  <c r="O48" i="77"/>
  <c r="Y47" i="77"/>
  <c r="S47" i="77"/>
  <c r="R47" i="77"/>
  <c r="O47" i="77"/>
  <c r="M46" i="77"/>
  <c r="X46" i="77" s="1"/>
  <c r="Y46" i="77" s="1"/>
  <c r="M45" i="77"/>
  <c r="X44" i="77"/>
  <c r="Y44" i="77" s="1"/>
  <c r="R44" i="77"/>
  <c r="S44" i="77" s="1"/>
  <c r="O44" i="77"/>
  <c r="M44" i="77"/>
  <c r="R43" i="77"/>
  <c r="S43" i="77" s="1"/>
  <c r="M43" i="77"/>
  <c r="O43" i="77" s="1"/>
  <c r="X42" i="77"/>
  <c r="Y42" i="77" s="1"/>
  <c r="O42" i="77"/>
  <c r="M42" i="77"/>
  <c r="R42" i="77" s="1"/>
  <c r="S42" i="77" s="1"/>
  <c r="X41" i="77"/>
  <c r="Y41" i="77" s="1"/>
  <c r="U41" i="77"/>
  <c r="Q41" i="77"/>
  <c r="O41" i="77"/>
  <c r="AC41" i="77" s="1"/>
  <c r="M41" i="77"/>
  <c r="M40" i="77"/>
  <c r="X40" i="77" s="1"/>
  <c r="Y40" i="77" s="1"/>
  <c r="X39" i="77"/>
  <c r="Y39" i="77" s="1"/>
  <c r="AC39" i="77" s="1"/>
  <c r="S39" i="77"/>
  <c r="R39" i="77"/>
  <c r="O39" i="77"/>
  <c r="M39" i="77"/>
  <c r="M38" i="77"/>
  <c r="AB37" i="77"/>
  <c r="Y37" i="77"/>
  <c r="X37" i="77"/>
  <c r="R37" i="77"/>
  <c r="O37" i="77"/>
  <c r="AC37" i="77" s="1"/>
  <c r="M37" i="77"/>
  <c r="R36" i="77"/>
  <c r="S36" i="77" s="1"/>
  <c r="M36" i="77"/>
  <c r="O36" i="77" s="1"/>
  <c r="AB35" i="77"/>
  <c r="Y35" i="77"/>
  <c r="R35" i="77"/>
  <c r="S35" i="77" s="1"/>
  <c r="O35" i="77"/>
  <c r="M35" i="77"/>
  <c r="X35" i="77" s="1"/>
  <c r="AB34" i="77"/>
  <c r="X34" i="77"/>
  <c r="Y34" i="77" s="1"/>
  <c r="W34" i="77"/>
  <c r="S34" i="77"/>
  <c r="O34" i="77"/>
  <c r="M34" i="77"/>
  <c r="Y33" i="77"/>
  <c r="X33" i="77"/>
  <c r="R33" i="77"/>
  <c r="S33" i="77" s="1"/>
  <c r="O33" i="77"/>
  <c r="AC33" i="77" s="1"/>
  <c r="M33" i="77"/>
  <c r="M32" i="77"/>
  <c r="X32" i="77" s="1"/>
  <c r="Y32" i="77" s="1"/>
  <c r="X31" i="77"/>
  <c r="Y31" i="77" s="1"/>
  <c r="S31" i="77"/>
  <c r="M31" i="77"/>
  <c r="R31" i="77" s="1"/>
  <c r="R30" i="77"/>
  <c r="S30" i="77" s="1"/>
  <c r="O30" i="77"/>
  <c r="M30" i="77"/>
  <c r="X30" i="77" s="1"/>
  <c r="Y30" i="77" s="1"/>
  <c r="M29" i="77"/>
  <c r="U28" i="77"/>
  <c r="Q28" i="77"/>
  <c r="M28" i="77"/>
  <c r="X27" i="77"/>
  <c r="Y27" i="77" s="1"/>
  <c r="R27" i="77"/>
  <c r="S27" i="77" s="1"/>
  <c r="O27" i="77"/>
  <c r="M27" i="77"/>
  <c r="R26" i="77"/>
  <c r="S26" i="77" s="1"/>
  <c r="M26" i="77"/>
  <c r="O26" i="77" s="1"/>
  <c r="X25" i="77"/>
  <c r="Y25" i="77" s="1"/>
  <c r="O25" i="77"/>
  <c r="AC25" i="77" s="1"/>
  <c r="M25" i="77"/>
  <c r="R25" i="77" s="1"/>
  <c r="S25" i="77" s="1"/>
  <c r="X24" i="77"/>
  <c r="Y24" i="77" s="1"/>
  <c r="R24" i="77"/>
  <c r="S24" i="77" s="1"/>
  <c r="O24" i="77"/>
  <c r="M24" i="77"/>
  <c r="W23" i="77"/>
  <c r="S23" i="77"/>
  <c r="M23" i="77"/>
  <c r="X22" i="77"/>
  <c r="Y22" i="77" s="1"/>
  <c r="S22" i="77"/>
  <c r="R22" i="77"/>
  <c r="O22" i="77"/>
  <c r="AC22" i="77" s="1"/>
  <c r="M22" i="77"/>
  <c r="Y21" i="77"/>
  <c r="X21" i="77"/>
  <c r="R21" i="77"/>
  <c r="S21" i="77" s="1"/>
  <c r="O21" i="77"/>
  <c r="AC21" i="77" s="1"/>
  <c r="M21" i="77"/>
  <c r="AB20" i="77"/>
  <c r="X20" i="77"/>
  <c r="Y20" i="77" s="1"/>
  <c r="O20" i="77"/>
  <c r="AC20" i="77" s="1"/>
  <c r="M20" i="77"/>
  <c r="R20" i="77" s="1"/>
  <c r="S20" i="77" s="1"/>
  <c r="X19" i="77"/>
  <c r="Y19" i="77" s="1"/>
  <c r="R19" i="77"/>
  <c r="S19" i="77" s="1"/>
  <c r="O19" i="77"/>
  <c r="M19" i="77"/>
  <c r="AB18" i="77"/>
  <c r="O18" i="77"/>
  <c r="M18" i="77"/>
  <c r="X17" i="77"/>
  <c r="Y17" i="77" s="1"/>
  <c r="W17" i="77"/>
  <c r="S17" i="77"/>
  <c r="O17" i="77"/>
  <c r="M17" i="77"/>
  <c r="AB16" i="77"/>
  <c r="X16" i="77"/>
  <c r="Y16" i="77" s="1"/>
  <c r="U16" i="77"/>
  <c r="Q16" i="77"/>
  <c r="M16" i="77"/>
  <c r="O16" i="77" s="1"/>
  <c r="AC16" i="77" s="1"/>
  <c r="AB15" i="77"/>
  <c r="U15" i="77"/>
  <c r="Q15" i="77"/>
  <c r="M15" i="77"/>
  <c r="X14" i="77"/>
  <c r="Y14" i="77" s="1"/>
  <c r="U14" i="77"/>
  <c r="U49" i="77" s="1"/>
  <c r="J8" i="75" s="1"/>
  <c r="Q14" i="77"/>
  <c r="O14" i="77"/>
  <c r="AC14" i="77" s="1"/>
  <c r="M14" i="77"/>
  <c r="Y13" i="77"/>
  <c r="X13" i="77"/>
  <c r="R13" i="77"/>
  <c r="S13" i="77" s="1"/>
  <c r="O13" i="77"/>
  <c r="AC13" i="77" s="1"/>
  <c r="M13" i="77"/>
  <c r="M12" i="77"/>
  <c r="X12" i="77" s="1"/>
  <c r="Y12" i="77" s="1"/>
  <c r="AB11" i="77"/>
  <c r="Y11" i="77"/>
  <c r="AC11" i="77" s="1"/>
  <c r="X11" i="77"/>
  <c r="W11" i="77"/>
  <c r="W49" i="77" s="1"/>
  <c r="Q11" i="77"/>
  <c r="Q49" i="77" s="1"/>
  <c r="O11" i="77"/>
  <c r="M11" i="77"/>
  <c r="M10" i="77"/>
  <c r="AC9" i="77"/>
  <c r="AB9" i="77"/>
  <c r="X9" i="77"/>
  <c r="Y9" i="77" s="1"/>
  <c r="R9" i="77"/>
  <c r="S9" i="77" s="1"/>
  <c r="O9" i="77"/>
  <c r="M9" i="77"/>
  <c r="AB8" i="77"/>
  <c r="X8" i="77"/>
  <c r="M8" i="77"/>
  <c r="R8" i="77" s="1"/>
  <c r="V105" i="76"/>
  <c r="T105" i="76"/>
  <c r="R105" i="76"/>
  <c r="P105" i="76"/>
  <c r="N105" i="76"/>
  <c r="K105" i="76"/>
  <c r="J105" i="76"/>
  <c r="H105" i="76"/>
  <c r="F105" i="76"/>
  <c r="D105" i="76"/>
  <c r="AB104" i="76"/>
  <c r="Y104" i="76"/>
  <c r="X104" i="76"/>
  <c r="W104" i="76"/>
  <c r="U104" i="76"/>
  <c r="S104" i="76"/>
  <c r="Q104" i="76"/>
  <c r="O104" i="76"/>
  <c r="AC104" i="76" s="1"/>
  <c r="M104" i="76"/>
  <c r="L104" i="76"/>
  <c r="I104" i="76"/>
  <c r="G104" i="76"/>
  <c r="E104" i="76"/>
  <c r="Y103" i="76"/>
  <c r="AC103" i="76" s="1"/>
  <c r="X103" i="76"/>
  <c r="W103" i="76"/>
  <c r="U103" i="76"/>
  <c r="S103" i="76"/>
  <c r="O103" i="76"/>
  <c r="AB103" i="76" s="1"/>
  <c r="X102" i="76"/>
  <c r="Y102" i="76" s="1"/>
  <c r="W102" i="76"/>
  <c r="U102" i="76"/>
  <c r="S102" i="76"/>
  <c r="O102" i="76"/>
  <c r="AC102" i="76" s="1"/>
  <c r="AB101" i="76"/>
  <c r="Y101" i="76"/>
  <c r="X101" i="76"/>
  <c r="W101" i="76"/>
  <c r="U101" i="76"/>
  <c r="S101" i="76"/>
  <c r="O101" i="76"/>
  <c r="AC101" i="76" s="1"/>
  <c r="Y100" i="76"/>
  <c r="AC100" i="76" s="1"/>
  <c r="X100" i="76"/>
  <c r="W100" i="76"/>
  <c r="U100" i="76"/>
  <c r="S100" i="76"/>
  <c r="O100" i="76"/>
  <c r="AB100" i="76" s="1"/>
  <c r="X99" i="76"/>
  <c r="Y99" i="76" s="1"/>
  <c r="W99" i="76"/>
  <c r="U99" i="76"/>
  <c r="S99" i="76"/>
  <c r="O99" i="76"/>
  <c r="AC99" i="76" s="1"/>
  <c r="Y98" i="76"/>
  <c r="X98" i="76"/>
  <c r="W98" i="76"/>
  <c r="U98" i="76"/>
  <c r="S98" i="76"/>
  <c r="O98" i="76"/>
  <c r="AC98" i="76" s="1"/>
  <c r="Y97" i="76"/>
  <c r="AC97" i="76" s="1"/>
  <c r="X97" i="76"/>
  <c r="W97" i="76"/>
  <c r="U97" i="76"/>
  <c r="S97" i="76"/>
  <c r="O97" i="76"/>
  <c r="AB97" i="76" s="1"/>
  <c r="X96" i="76"/>
  <c r="Y96" i="76" s="1"/>
  <c r="W96" i="76"/>
  <c r="U96" i="76"/>
  <c r="S96" i="76"/>
  <c r="O96" i="76"/>
  <c r="AC96" i="76" s="1"/>
  <c r="AB95" i="76"/>
  <c r="Y95" i="76"/>
  <c r="X95" i="76"/>
  <c r="W95" i="76"/>
  <c r="U95" i="76"/>
  <c r="S95" i="76"/>
  <c r="O95" i="76"/>
  <c r="AC95" i="76" s="1"/>
  <c r="Y94" i="76"/>
  <c r="AC94" i="76" s="1"/>
  <c r="X94" i="76"/>
  <c r="W94" i="76"/>
  <c r="U94" i="76"/>
  <c r="S94" i="76"/>
  <c r="O94" i="76"/>
  <c r="AB94" i="76" s="1"/>
  <c r="X93" i="76"/>
  <c r="Y93" i="76" s="1"/>
  <c r="W93" i="76"/>
  <c r="U93" i="76"/>
  <c r="S93" i="76"/>
  <c r="O93" i="76"/>
  <c r="AC93" i="76" s="1"/>
  <c r="Y92" i="76"/>
  <c r="X92" i="76"/>
  <c r="W92" i="76"/>
  <c r="U92" i="76"/>
  <c r="S92" i="76"/>
  <c r="O92" i="76"/>
  <c r="AC92" i="76" s="1"/>
  <c r="Y91" i="76"/>
  <c r="AC91" i="76" s="1"/>
  <c r="X91" i="76"/>
  <c r="W91" i="76"/>
  <c r="U91" i="76"/>
  <c r="S91" i="76"/>
  <c r="O91" i="76"/>
  <c r="AB91" i="76" s="1"/>
  <c r="X90" i="76"/>
  <c r="Y90" i="76" s="1"/>
  <c r="W90" i="76"/>
  <c r="U90" i="76"/>
  <c r="S90" i="76"/>
  <c r="Q90" i="76"/>
  <c r="M90" i="76"/>
  <c r="O90" i="76" s="1"/>
  <c r="L90" i="76"/>
  <c r="G90" i="76"/>
  <c r="E90" i="76"/>
  <c r="Y89" i="76"/>
  <c r="X89" i="76"/>
  <c r="W89" i="76"/>
  <c r="U89" i="76"/>
  <c r="S89" i="76"/>
  <c r="Q89" i="76"/>
  <c r="M89" i="76"/>
  <c r="O89" i="76" s="1"/>
  <c r="L89" i="76"/>
  <c r="G89" i="76"/>
  <c r="E89" i="76"/>
  <c r="Y88" i="76"/>
  <c r="X88" i="76"/>
  <c r="W88" i="76"/>
  <c r="U88" i="76"/>
  <c r="S88" i="76"/>
  <c r="Q88" i="76"/>
  <c r="O88" i="76"/>
  <c r="AC88" i="76" s="1"/>
  <c r="M88" i="76"/>
  <c r="L88" i="76"/>
  <c r="G88" i="76"/>
  <c r="E88" i="76"/>
  <c r="X87" i="76"/>
  <c r="Y87" i="76" s="1"/>
  <c r="W87" i="76"/>
  <c r="U87" i="76"/>
  <c r="S87" i="76"/>
  <c r="Q87" i="76"/>
  <c r="M87" i="76"/>
  <c r="O87" i="76" s="1"/>
  <c r="AB87" i="76" s="1"/>
  <c r="L87" i="76"/>
  <c r="G87" i="76"/>
  <c r="E87" i="76"/>
  <c r="Y86" i="76"/>
  <c r="X86" i="76"/>
  <c r="W86" i="76"/>
  <c r="U86" i="76"/>
  <c r="S86" i="76"/>
  <c r="Q86" i="76"/>
  <c r="M86" i="76"/>
  <c r="O86" i="76" s="1"/>
  <c r="L86" i="76"/>
  <c r="E86" i="76" s="1"/>
  <c r="G86" i="76"/>
  <c r="AB85" i="76"/>
  <c r="Y85" i="76"/>
  <c r="X85" i="76"/>
  <c r="W85" i="76"/>
  <c r="U85" i="76"/>
  <c r="S85" i="76"/>
  <c r="Q85" i="76"/>
  <c r="O85" i="76"/>
  <c r="AC85" i="76" s="1"/>
  <c r="M85" i="76"/>
  <c r="L85" i="76"/>
  <c r="X84" i="76"/>
  <c r="Y84" i="76" s="1"/>
  <c r="W84" i="76"/>
  <c r="U84" i="76"/>
  <c r="S84" i="76"/>
  <c r="Q84" i="76"/>
  <c r="M84" i="76"/>
  <c r="O84" i="76" s="1"/>
  <c r="AB84" i="76" s="1"/>
  <c r="L84" i="76"/>
  <c r="E84" i="76" s="1"/>
  <c r="X83" i="76"/>
  <c r="Y83" i="76" s="1"/>
  <c r="W83" i="76"/>
  <c r="U83" i="76"/>
  <c r="S83" i="76"/>
  <c r="Q83" i="76"/>
  <c r="M83" i="76"/>
  <c r="O83" i="76" s="1"/>
  <c r="AB83" i="76" s="1"/>
  <c r="L83" i="76"/>
  <c r="G83" i="76" s="1"/>
  <c r="E83" i="76"/>
  <c r="X82" i="76"/>
  <c r="Y82" i="76" s="1"/>
  <c r="W82" i="76"/>
  <c r="U82" i="76"/>
  <c r="S82" i="76"/>
  <c r="Q82" i="76"/>
  <c r="O82" i="76"/>
  <c r="M82" i="76"/>
  <c r="L82" i="76"/>
  <c r="E82" i="76"/>
  <c r="Y81" i="76"/>
  <c r="X81" i="76"/>
  <c r="W81" i="76"/>
  <c r="U81" i="76"/>
  <c r="S81" i="76"/>
  <c r="Q81" i="76"/>
  <c r="O81" i="76"/>
  <c r="M81" i="76"/>
  <c r="L81" i="76"/>
  <c r="X80" i="76"/>
  <c r="Y80" i="76" s="1"/>
  <c r="W80" i="76"/>
  <c r="U80" i="76"/>
  <c r="S80" i="76"/>
  <c r="Q80" i="76"/>
  <c r="M80" i="76"/>
  <c r="O80" i="76" s="1"/>
  <c r="AB80" i="76" s="1"/>
  <c r="L80" i="76"/>
  <c r="AB79" i="76"/>
  <c r="Y79" i="76"/>
  <c r="X79" i="76"/>
  <c r="W79" i="76"/>
  <c r="U79" i="76"/>
  <c r="S79" i="76"/>
  <c r="Q79" i="76"/>
  <c r="O79" i="76"/>
  <c r="AC79" i="76" s="1"/>
  <c r="M79" i="76"/>
  <c r="L79" i="76"/>
  <c r="Y78" i="76"/>
  <c r="X78" i="76"/>
  <c r="W78" i="76"/>
  <c r="U78" i="76"/>
  <c r="S78" i="76"/>
  <c r="Q78" i="76"/>
  <c r="M78" i="76"/>
  <c r="O78" i="76" s="1"/>
  <c r="L78" i="76"/>
  <c r="X77" i="76"/>
  <c r="Y77" i="76" s="1"/>
  <c r="AC77" i="76" s="1"/>
  <c r="W77" i="76"/>
  <c r="U77" i="76"/>
  <c r="S77" i="76"/>
  <c r="Q77" i="76"/>
  <c r="M77" i="76"/>
  <c r="O77" i="76" s="1"/>
  <c r="L77" i="76"/>
  <c r="AB76" i="76"/>
  <c r="Y76" i="76"/>
  <c r="X76" i="76"/>
  <c r="W76" i="76"/>
  <c r="U76" i="76"/>
  <c r="S76" i="76"/>
  <c r="Q76" i="76"/>
  <c r="O76" i="76"/>
  <c r="AC76" i="76" s="1"/>
  <c r="M76" i="76"/>
  <c r="L76" i="76"/>
  <c r="Y75" i="76"/>
  <c r="X75" i="76"/>
  <c r="W75" i="76"/>
  <c r="U75" i="76"/>
  <c r="S75" i="76"/>
  <c r="Q75" i="76"/>
  <c r="M75" i="76"/>
  <c r="O75" i="76" s="1"/>
  <c r="L75" i="76"/>
  <c r="I75" i="76"/>
  <c r="Y74" i="76"/>
  <c r="X74" i="76"/>
  <c r="W74" i="76"/>
  <c r="U74" i="76"/>
  <c r="S74" i="76"/>
  <c r="Q74" i="76"/>
  <c r="M74" i="76"/>
  <c r="O74" i="76" s="1"/>
  <c r="L74" i="76"/>
  <c r="X73" i="76"/>
  <c r="Y73" i="76" s="1"/>
  <c r="W73" i="76"/>
  <c r="U73" i="76"/>
  <c r="S73" i="76"/>
  <c r="Q73" i="76"/>
  <c r="M73" i="76"/>
  <c r="O73" i="76" s="1"/>
  <c r="L73" i="76"/>
  <c r="Y72" i="76"/>
  <c r="X72" i="76"/>
  <c r="W72" i="76"/>
  <c r="U72" i="76"/>
  <c r="S72" i="76"/>
  <c r="Q72" i="76"/>
  <c r="O72" i="76"/>
  <c r="AC72" i="76" s="1"/>
  <c r="M72" i="76"/>
  <c r="L72" i="76"/>
  <c r="X71" i="76"/>
  <c r="Y71" i="76" s="1"/>
  <c r="W71" i="76"/>
  <c r="U71" i="76"/>
  <c r="S71" i="76"/>
  <c r="Q71" i="76"/>
  <c r="O71" i="76"/>
  <c r="AB71" i="76" s="1"/>
  <c r="M71" i="76"/>
  <c r="L71" i="76"/>
  <c r="X70" i="76"/>
  <c r="Y70" i="76" s="1"/>
  <c r="AC70" i="76" s="1"/>
  <c r="W70" i="76"/>
  <c r="U70" i="76"/>
  <c r="S70" i="76"/>
  <c r="Q70" i="76"/>
  <c r="M70" i="76"/>
  <c r="O70" i="76" s="1"/>
  <c r="AB70" i="76" s="1"/>
  <c r="L70" i="76"/>
  <c r="Y69" i="76"/>
  <c r="AC69" i="76" s="1"/>
  <c r="X69" i="76"/>
  <c r="W69" i="76"/>
  <c r="U69" i="76"/>
  <c r="S69" i="76"/>
  <c r="Q69" i="76"/>
  <c r="O69" i="76"/>
  <c r="M69" i="76"/>
  <c r="L69" i="76"/>
  <c r="Y68" i="76"/>
  <c r="X68" i="76"/>
  <c r="W68" i="76"/>
  <c r="U68" i="76"/>
  <c r="S68" i="76"/>
  <c r="Q68" i="76"/>
  <c r="O68" i="76"/>
  <c r="M68" i="76"/>
  <c r="L68" i="76"/>
  <c r="X67" i="76"/>
  <c r="Y67" i="76" s="1"/>
  <c r="W67" i="76"/>
  <c r="U67" i="76"/>
  <c r="S67" i="76"/>
  <c r="Q67" i="76"/>
  <c r="M67" i="76"/>
  <c r="O67" i="76" s="1"/>
  <c r="AB67" i="76" s="1"/>
  <c r="L67" i="76"/>
  <c r="AB66" i="76"/>
  <c r="Y66" i="76"/>
  <c r="X66" i="76"/>
  <c r="W66" i="76"/>
  <c r="U66" i="76"/>
  <c r="S66" i="76"/>
  <c r="Q66" i="76"/>
  <c r="O66" i="76"/>
  <c r="AC66" i="76" s="1"/>
  <c r="M66" i="76"/>
  <c r="L66" i="76"/>
  <c r="I66" i="76"/>
  <c r="AB65" i="76"/>
  <c r="Y65" i="76"/>
  <c r="X65" i="76"/>
  <c r="W65" i="76"/>
  <c r="U65" i="76"/>
  <c r="S65" i="76"/>
  <c r="Q65" i="76"/>
  <c r="O65" i="76"/>
  <c r="AC65" i="76" s="1"/>
  <c r="M65" i="76"/>
  <c r="L65" i="76"/>
  <c r="Y64" i="76"/>
  <c r="X64" i="76"/>
  <c r="W64" i="76"/>
  <c r="U64" i="76"/>
  <c r="S64" i="76"/>
  <c r="Q64" i="76"/>
  <c r="M64" i="76"/>
  <c r="O64" i="76" s="1"/>
  <c r="L64" i="76"/>
  <c r="X63" i="76"/>
  <c r="Y63" i="76" s="1"/>
  <c r="W63" i="76"/>
  <c r="U63" i="76"/>
  <c r="S63" i="76"/>
  <c r="Q63" i="76"/>
  <c r="M63" i="76"/>
  <c r="O63" i="76" s="1"/>
  <c r="AB63" i="76" s="1"/>
  <c r="L63" i="76"/>
  <c r="AB62" i="76"/>
  <c r="Y62" i="76"/>
  <c r="X62" i="76"/>
  <c r="W62" i="76"/>
  <c r="U62" i="76"/>
  <c r="S62" i="76"/>
  <c r="Q62" i="76"/>
  <c r="O62" i="76"/>
  <c r="AC62" i="76" s="1"/>
  <c r="M62" i="76"/>
  <c r="L62" i="76"/>
  <c r="Y61" i="76"/>
  <c r="X61" i="76"/>
  <c r="W61" i="76"/>
  <c r="U61" i="76"/>
  <c r="S61" i="76"/>
  <c r="Q61" i="76"/>
  <c r="O61" i="76"/>
  <c r="M61" i="76"/>
  <c r="L61" i="76"/>
  <c r="X60" i="76"/>
  <c r="Y60" i="76" s="1"/>
  <c r="W60" i="76"/>
  <c r="U60" i="76"/>
  <c r="S60" i="76"/>
  <c r="Q60" i="76"/>
  <c r="M60" i="76"/>
  <c r="O60" i="76" s="1"/>
  <c r="L60" i="76"/>
  <c r="Y59" i="76"/>
  <c r="X59" i="76"/>
  <c r="W59" i="76"/>
  <c r="U59" i="76"/>
  <c r="S59" i="76"/>
  <c r="Q59" i="76"/>
  <c r="O59" i="76"/>
  <c r="AC59" i="76" s="1"/>
  <c r="M59" i="76"/>
  <c r="L59" i="76"/>
  <c r="AC58" i="76"/>
  <c r="X58" i="76"/>
  <c r="Y58" i="76" s="1"/>
  <c r="W58" i="76"/>
  <c r="U58" i="76"/>
  <c r="S58" i="76"/>
  <c r="Q58" i="76"/>
  <c r="O58" i="76"/>
  <c r="AB58" i="76" s="1"/>
  <c r="M58" i="76"/>
  <c r="L58" i="76"/>
  <c r="X57" i="76"/>
  <c r="Y57" i="76" s="1"/>
  <c r="AC57" i="76" s="1"/>
  <c r="W57" i="76"/>
  <c r="U57" i="76"/>
  <c r="S57" i="76"/>
  <c r="Q57" i="76"/>
  <c r="M57" i="76"/>
  <c r="O57" i="76" s="1"/>
  <c r="L57" i="76"/>
  <c r="AB56" i="76"/>
  <c r="Y56" i="76"/>
  <c r="AC56" i="76" s="1"/>
  <c r="X56" i="76"/>
  <c r="W56" i="76"/>
  <c r="U56" i="76"/>
  <c r="S56" i="76"/>
  <c r="Q56" i="76"/>
  <c r="O56" i="76"/>
  <c r="M56" i="76"/>
  <c r="L56" i="76"/>
  <c r="X55" i="76"/>
  <c r="Y55" i="76" s="1"/>
  <c r="W55" i="76"/>
  <c r="U55" i="76"/>
  <c r="S55" i="76"/>
  <c r="Q55" i="76"/>
  <c r="O55" i="76"/>
  <c r="M55" i="76"/>
  <c r="L55" i="76"/>
  <c r="X54" i="76"/>
  <c r="Y54" i="76" s="1"/>
  <c r="W54" i="76"/>
  <c r="U54" i="76"/>
  <c r="S54" i="76"/>
  <c r="Q54" i="76"/>
  <c r="M54" i="76"/>
  <c r="O54" i="76" s="1"/>
  <c r="AC54" i="76" s="1"/>
  <c r="L54" i="76"/>
  <c r="AB53" i="76"/>
  <c r="Y53" i="76"/>
  <c r="X53" i="76"/>
  <c r="W53" i="76"/>
  <c r="U53" i="76"/>
  <c r="S53" i="76"/>
  <c r="Q53" i="76"/>
  <c r="O53" i="76"/>
  <c r="AC53" i="76" s="1"/>
  <c r="M53" i="76"/>
  <c r="L53" i="76"/>
  <c r="Y52" i="76"/>
  <c r="X52" i="76"/>
  <c r="W52" i="76"/>
  <c r="U52" i="76"/>
  <c r="S52" i="76"/>
  <c r="Q52" i="76"/>
  <c r="M52" i="76"/>
  <c r="O52" i="76" s="1"/>
  <c r="L52" i="76"/>
  <c r="X51" i="76"/>
  <c r="Y51" i="76" s="1"/>
  <c r="W51" i="76"/>
  <c r="U51" i="76"/>
  <c r="S51" i="76"/>
  <c r="Q51" i="76"/>
  <c r="M51" i="76"/>
  <c r="O51" i="76" s="1"/>
  <c r="AB51" i="76" s="1"/>
  <c r="L51" i="76"/>
  <c r="AB50" i="76"/>
  <c r="Y50" i="76"/>
  <c r="X50" i="76"/>
  <c r="W50" i="76"/>
  <c r="U50" i="76"/>
  <c r="S50" i="76"/>
  <c r="Q50" i="76"/>
  <c r="O50" i="76"/>
  <c r="AC50" i="76" s="1"/>
  <c r="M50" i="76"/>
  <c r="L50" i="76"/>
  <c r="Y49" i="76"/>
  <c r="X49" i="76"/>
  <c r="W49" i="76"/>
  <c r="U49" i="76"/>
  <c r="S49" i="76"/>
  <c r="Q49" i="76"/>
  <c r="M49" i="76"/>
  <c r="O49" i="76" s="1"/>
  <c r="L49" i="76"/>
  <c r="X48" i="76"/>
  <c r="Y48" i="76" s="1"/>
  <c r="W48" i="76"/>
  <c r="U48" i="76"/>
  <c r="S48" i="76"/>
  <c r="Q48" i="76"/>
  <c r="M48" i="76"/>
  <c r="O48" i="76" s="1"/>
  <c r="L48" i="76"/>
  <c r="I48" i="76"/>
  <c r="X47" i="76"/>
  <c r="Y47" i="76" s="1"/>
  <c r="W47" i="76"/>
  <c r="U47" i="76"/>
  <c r="S47" i="76"/>
  <c r="Q47" i="76"/>
  <c r="M47" i="76"/>
  <c r="O47" i="76" s="1"/>
  <c r="L47" i="76"/>
  <c r="Y46" i="76"/>
  <c r="X46" i="76"/>
  <c r="W46" i="76"/>
  <c r="U46" i="76"/>
  <c r="S46" i="76"/>
  <c r="Q46" i="76"/>
  <c r="O46" i="76"/>
  <c r="AC46" i="76" s="1"/>
  <c r="M46" i="76"/>
  <c r="L46" i="76"/>
  <c r="X45" i="76"/>
  <c r="Y45" i="76" s="1"/>
  <c r="W45" i="76"/>
  <c r="U45" i="76"/>
  <c r="S45" i="76"/>
  <c r="Q45" i="76"/>
  <c r="O45" i="76"/>
  <c r="AB45" i="76" s="1"/>
  <c r="M45" i="76"/>
  <c r="L45" i="76"/>
  <c r="X44" i="76"/>
  <c r="Y44" i="76" s="1"/>
  <c r="W44" i="76"/>
  <c r="U44" i="76"/>
  <c r="S44" i="76"/>
  <c r="Q44" i="76"/>
  <c r="M44" i="76"/>
  <c r="O44" i="76" s="1"/>
  <c r="AC44" i="76" s="1"/>
  <c r="L44" i="76"/>
  <c r="AB43" i="76"/>
  <c r="Y43" i="76"/>
  <c r="AC43" i="76" s="1"/>
  <c r="X43" i="76"/>
  <c r="W43" i="76"/>
  <c r="U43" i="76"/>
  <c r="S43" i="76"/>
  <c r="Q43" i="76"/>
  <c r="O43" i="76"/>
  <c r="M43" i="76"/>
  <c r="L43" i="76"/>
  <c r="Y42" i="76"/>
  <c r="AC42" i="76" s="1"/>
  <c r="X42" i="76"/>
  <c r="W42" i="76"/>
  <c r="U42" i="76"/>
  <c r="S42" i="76"/>
  <c r="Q42" i="76"/>
  <c r="O42" i="76"/>
  <c r="M42" i="76"/>
  <c r="L42" i="76"/>
  <c r="X41" i="76"/>
  <c r="Y41" i="76" s="1"/>
  <c r="AC41" i="76" s="1"/>
  <c r="W41" i="76"/>
  <c r="U41" i="76"/>
  <c r="S41" i="76"/>
  <c r="Q41" i="76"/>
  <c r="M41" i="76"/>
  <c r="O41" i="76" s="1"/>
  <c r="L41" i="76"/>
  <c r="Y40" i="76"/>
  <c r="AB40" i="76" s="1"/>
  <c r="X40" i="76"/>
  <c r="W40" i="76"/>
  <c r="U40" i="76"/>
  <c r="S40" i="76"/>
  <c r="Q40" i="76"/>
  <c r="O40" i="76"/>
  <c r="AC40" i="76" s="1"/>
  <c r="M40" i="76"/>
  <c r="L40" i="76"/>
  <c r="X39" i="76"/>
  <c r="Y39" i="76" s="1"/>
  <c r="W39" i="76"/>
  <c r="U39" i="76"/>
  <c r="S39" i="76"/>
  <c r="Q39" i="76"/>
  <c r="M39" i="76"/>
  <c r="O39" i="76" s="1"/>
  <c r="L39" i="76"/>
  <c r="AC38" i="76"/>
  <c r="X38" i="76"/>
  <c r="Y38" i="76" s="1"/>
  <c r="W38" i="76"/>
  <c r="U38" i="76"/>
  <c r="S38" i="76"/>
  <c r="Q38" i="76"/>
  <c r="M38" i="76"/>
  <c r="O38" i="76" s="1"/>
  <c r="L38" i="76"/>
  <c r="Y37" i="76"/>
  <c r="X37" i="76"/>
  <c r="W37" i="76"/>
  <c r="U37" i="76"/>
  <c r="S37" i="76"/>
  <c r="Q37" i="76"/>
  <c r="O37" i="76"/>
  <c r="AC37" i="76" s="1"/>
  <c r="M37" i="76"/>
  <c r="L37" i="76"/>
  <c r="Y36" i="76"/>
  <c r="X36" i="76"/>
  <c r="W36" i="76"/>
  <c r="U36" i="76"/>
  <c r="S36" i="76"/>
  <c r="Q36" i="76"/>
  <c r="O36" i="76"/>
  <c r="M36" i="76"/>
  <c r="L36" i="76"/>
  <c r="I36" i="76"/>
  <c r="I105" i="76" s="1"/>
  <c r="E7" i="75" s="1"/>
  <c r="Y35" i="76"/>
  <c r="X35" i="76"/>
  <c r="W35" i="76"/>
  <c r="U35" i="76"/>
  <c r="S35" i="76"/>
  <c r="Q35" i="76"/>
  <c r="M35" i="76"/>
  <c r="O35" i="76" s="1"/>
  <c r="L35" i="76"/>
  <c r="AB34" i="76"/>
  <c r="X34" i="76"/>
  <c r="Y34" i="76" s="1"/>
  <c r="W34" i="76"/>
  <c r="U34" i="76"/>
  <c r="S34" i="76"/>
  <c r="Q34" i="76"/>
  <c r="M34" i="76"/>
  <c r="O34" i="76" s="1"/>
  <c r="AC34" i="76" s="1"/>
  <c r="L34" i="76"/>
  <c r="Y33" i="76"/>
  <c r="X33" i="76"/>
  <c r="W33" i="76"/>
  <c r="U33" i="76"/>
  <c r="S33" i="76"/>
  <c r="Q33" i="76"/>
  <c r="O33" i="76"/>
  <c r="M33" i="76"/>
  <c r="L33" i="76"/>
  <c r="X32" i="76"/>
  <c r="Y32" i="76" s="1"/>
  <c r="W32" i="76"/>
  <c r="U32" i="76"/>
  <c r="S32" i="76"/>
  <c r="Q32" i="76"/>
  <c r="O32" i="76"/>
  <c r="AB32" i="76" s="1"/>
  <c r="M32" i="76"/>
  <c r="L32" i="76"/>
  <c r="AC31" i="76"/>
  <c r="X31" i="76"/>
  <c r="Y31" i="76" s="1"/>
  <c r="W31" i="76"/>
  <c r="U31" i="76"/>
  <c r="S31" i="76"/>
  <c r="Q31" i="76"/>
  <c r="M31" i="76"/>
  <c r="O31" i="76" s="1"/>
  <c r="AB31" i="76" s="1"/>
  <c r="L31" i="76"/>
  <c r="AB30" i="76"/>
  <c r="Y30" i="76"/>
  <c r="AC30" i="76" s="1"/>
  <c r="X30" i="76"/>
  <c r="W30" i="76"/>
  <c r="U30" i="76"/>
  <c r="S30" i="76"/>
  <c r="Q30" i="76"/>
  <c r="O30" i="76"/>
  <c r="M30" i="76"/>
  <c r="L30" i="76"/>
  <c r="X29" i="76"/>
  <c r="Y29" i="76" s="1"/>
  <c r="AC29" i="76" s="1"/>
  <c r="W29" i="76"/>
  <c r="U29" i="76"/>
  <c r="S29" i="76"/>
  <c r="Q29" i="76"/>
  <c r="O29" i="76"/>
  <c r="M29" i="76"/>
  <c r="L29" i="76"/>
  <c r="X28" i="76"/>
  <c r="Y28" i="76" s="1"/>
  <c r="W28" i="76"/>
  <c r="U28" i="76"/>
  <c r="S28" i="76"/>
  <c r="Q28" i="76"/>
  <c r="M28" i="76"/>
  <c r="O28" i="76" s="1"/>
  <c r="AC28" i="76" s="1"/>
  <c r="L28" i="76"/>
  <c r="Y27" i="76"/>
  <c r="X27" i="76"/>
  <c r="W27" i="76"/>
  <c r="U27" i="76"/>
  <c r="S27" i="76"/>
  <c r="Q27" i="76"/>
  <c r="O27" i="76"/>
  <c r="AC27" i="76" s="1"/>
  <c r="M27" i="76"/>
  <c r="L27" i="76"/>
  <c r="Y26" i="76"/>
  <c r="X26" i="76"/>
  <c r="W26" i="76"/>
  <c r="U26" i="76"/>
  <c r="S26" i="76"/>
  <c r="Q26" i="76"/>
  <c r="M26" i="76"/>
  <c r="O26" i="76" s="1"/>
  <c r="L26" i="76"/>
  <c r="X25" i="76"/>
  <c r="Y25" i="76" s="1"/>
  <c r="AC25" i="76" s="1"/>
  <c r="W25" i="76"/>
  <c r="U25" i="76"/>
  <c r="S25" i="76"/>
  <c r="Q25" i="76"/>
  <c r="M25" i="76"/>
  <c r="O25" i="76" s="1"/>
  <c r="L25" i="76"/>
  <c r="AB24" i="76"/>
  <c r="Y24" i="76"/>
  <c r="X24" i="76"/>
  <c r="W24" i="76"/>
  <c r="U24" i="76"/>
  <c r="S24" i="76"/>
  <c r="Q24" i="76"/>
  <c r="O24" i="76"/>
  <c r="AC24" i="76" s="1"/>
  <c r="M24" i="76"/>
  <c r="L24" i="76"/>
  <c r="Y23" i="76"/>
  <c r="X23" i="76"/>
  <c r="W23" i="76"/>
  <c r="U23" i="76"/>
  <c r="S23" i="76"/>
  <c r="Q23" i="76"/>
  <c r="O23" i="76"/>
  <c r="AB23" i="76" s="1"/>
  <c r="M23" i="76"/>
  <c r="L23" i="76"/>
  <c r="AB22" i="76"/>
  <c r="X22" i="76"/>
  <c r="Y22" i="76" s="1"/>
  <c r="W22" i="76"/>
  <c r="U22" i="76"/>
  <c r="S22" i="76"/>
  <c r="Q22" i="76"/>
  <c r="M22" i="76"/>
  <c r="O22" i="76" s="1"/>
  <c r="AC22" i="76" s="1"/>
  <c r="L22" i="76"/>
  <c r="Y21" i="76"/>
  <c r="X21" i="76"/>
  <c r="W21" i="76"/>
  <c r="U21" i="76"/>
  <c r="S21" i="76"/>
  <c r="Q21" i="76"/>
  <c r="O21" i="76"/>
  <c r="M21" i="76"/>
  <c r="L21" i="76"/>
  <c r="X20" i="76"/>
  <c r="Y20" i="76" s="1"/>
  <c r="W20" i="76"/>
  <c r="U20" i="76"/>
  <c r="S20" i="76"/>
  <c r="Q20" i="76"/>
  <c r="M20" i="76"/>
  <c r="O20" i="76" s="1"/>
  <c r="L20" i="76"/>
  <c r="X19" i="76"/>
  <c r="Y19" i="76" s="1"/>
  <c r="W19" i="76"/>
  <c r="U19" i="76"/>
  <c r="S19" i="76"/>
  <c r="Q19" i="76"/>
  <c r="M19" i="76"/>
  <c r="O19" i="76" s="1"/>
  <c r="AC19" i="76" s="1"/>
  <c r="L19" i="76"/>
  <c r="Y18" i="76"/>
  <c r="AC18" i="76" s="1"/>
  <c r="X18" i="76"/>
  <c r="W18" i="76"/>
  <c r="U18" i="76"/>
  <c r="S18" i="76"/>
  <c r="Q18" i="76"/>
  <c r="O18" i="76"/>
  <c r="M18" i="76"/>
  <c r="L18" i="76"/>
  <c r="AC17" i="76"/>
  <c r="Y17" i="76"/>
  <c r="X17" i="76"/>
  <c r="W17" i="76"/>
  <c r="U17" i="76"/>
  <c r="S17" i="76"/>
  <c r="Q17" i="76"/>
  <c r="O17" i="76"/>
  <c r="M17" i="76"/>
  <c r="L17" i="76"/>
  <c r="X16" i="76"/>
  <c r="Y16" i="76" s="1"/>
  <c r="AC16" i="76" s="1"/>
  <c r="W16" i="76"/>
  <c r="U16" i="76"/>
  <c r="S16" i="76"/>
  <c r="S105" i="76" s="1"/>
  <c r="I7" i="75" s="1"/>
  <c r="Q16" i="76"/>
  <c r="M16" i="76"/>
  <c r="O16" i="76" s="1"/>
  <c r="L16" i="76"/>
  <c r="AB15" i="76"/>
  <c r="Y15" i="76"/>
  <c r="X15" i="76"/>
  <c r="W15" i="76"/>
  <c r="U15" i="76"/>
  <c r="S15" i="76"/>
  <c r="Q15" i="76"/>
  <c r="O15" i="76"/>
  <c r="M15" i="76"/>
  <c r="L15" i="76"/>
  <c r="X14" i="76"/>
  <c r="Y14" i="76" s="1"/>
  <c r="W14" i="76"/>
  <c r="U14" i="76"/>
  <c r="S14" i="76"/>
  <c r="Q14" i="76"/>
  <c r="M14" i="76"/>
  <c r="O14" i="76" s="1"/>
  <c r="L14" i="76"/>
  <c r="X13" i="76"/>
  <c r="Y13" i="76" s="1"/>
  <c r="W13" i="76"/>
  <c r="U13" i="76"/>
  <c r="S13" i="76"/>
  <c r="Q13" i="76"/>
  <c r="M13" i="76"/>
  <c r="O13" i="76" s="1"/>
  <c r="AC13" i="76" s="1"/>
  <c r="L13" i="76"/>
  <c r="AB12" i="76"/>
  <c r="Y12" i="76"/>
  <c r="X12" i="76"/>
  <c r="W12" i="76"/>
  <c r="U12" i="76"/>
  <c r="S12" i="76"/>
  <c r="Q12" i="76"/>
  <c r="O12" i="76"/>
  <c r="AC12" i="76" s="1"/>
  <c r="M12" i="76"/>
  <c r="L12" i="76"/>
  <c r="Y11" i="76"/>
  <c r="X11" i="76"/>
  <c r="W11" i="76"/>
  <c r="U11" i="76"/>
  <c r="S11" i="76"/>
  <c r="Q11" i="76"/>
  <c r="O11" i="76"/>
  <c r="AB11" i="76" s="1"/>
  <c r="M11" i="76"/>
  <c r="L11" i="76"/>
  <c r="X10" i="76"/>
  <c r="Y10" i="76" s="1"/>
  <c r="W10" i="76"/>
  <c r="U10" i="76"/>
  <c r="S10" i="76"/>
  <c r="Q10" i="76"/>
  <c r="M10" i="76"/>
  <c r="O10" i="76" s="1"/>
  <c r="AC10" i="76" s="1"/>
  <c r="L10" i="76"/>
  <c r="Y9" i="76"/>
  <c r="X9" i="76"/>
  <c r="W9" i="76"/>
  <c r="U9" i="76"/>
  <c r="S9" i="76"/>
  <c r="Q9" i="76"/>
  <c r="M9" i="76"/>
  <c r="O9" i="76" s="1"/>
  <c r="L9" i="76"/>
  <c r="X8" i="76"/>
  <c r="X105" i="76" s="1"/>
  <c r="W8" i="76"/>
  <c r="U8" i="76"/>
  <c r="S8" i="76"/>
  <c r="Q8" i="76"/>
  <c r="O8" i="76"/>
  <c r="M8" i="76"/>
  <c r="L8" i="76"/>
  <c r="M36" i="75"/>
  <c r="L36" i="75"/>
  <c r="K36" i="75"/>
  <c r="J36" i="75"/>
  <c r="I36" i="75"/>
  <c r="H36" i="75"/>
  <c r="G36" i="75"/>
  <c r="F36" i="75"/>
  <c r="E36" i="75"/>
  <c r="N36" i="75" s="1"/>
  <c r="O36" i="75" s="1"/>
  <c r="P36" i="75" s="1"/>
  <c r="D36" i="75"/>
  <c r="C36" i="75"/>
  <c r="L35" i="75"/>
  <c r="K35" i="75"/>
  <c r="J35" i="75"/>
  <c r="I35" i="75"/>
  <c r="H35" i="75"/>
  <c r="G35" i="75"/>
  <c r="M35" i="75" s="1"/>
  <c r="F35" i="75"/>
  <c r="E35" i="75"/>
  <c r="D35" i="75"/>
  <c r="K34" i="75"/>
  <c r="J34" i="75"/>
  <c r="I34" i="75"/>
  <c r="H34" i="75"/>
  <c r="G34" i="75"/>
  <c r="F34" i="75"/>
  <c r="E34" i="75"/>
  <c r="D34" i="75"/>
  <c r="C34" i="75"/>
  <c r="N34" i="75" s="1"/>
  <c r="O34" i="75" s="1"/>
  <c r="J33" i="75"/>
  <c r="H33" i="75"/>
  <c r="F33" i="75"/>
  <c r="E33" i="75"/>
  <c r="D33" i="75"/>
  <c r="C33" i="75"/>
  <c r="N33" i="75" s="1"/>
  <c r="O33" i="75" s="1"/>
  <c r="N32" i="75"/>
  <c r="O32" i="75" s="1"/>
  <c r="K32" i="75"/>
  <c r="J32" i="75"/>
  <c r="I32" i="75"/>
  <c r="H32" i="75"/>
  <c r="G32" i="75"/>
  <c r="F32" i="75"/>
  <c r="E32" i="75"/>
  <c r="D32" i="75"/>
  <c r="C32" i="75"/>
  <c r="K31" i="75"/>
  <c r="J31" i="75"/>
  <c r="I31" i="75"/>
  <c r="H31" i="75"/>
  <c r="F31" i="75"/>
  <c r="E31" i="75"/>
  <c r="D31" i="75"/>
  <c r="C31" i="75"/>
  <c r="K30" i="75"/>
  <c r="I30" i="75"/>
  <c r="H30" i="75"/>
  <c r="F30" i="75"/>
  <c r="E30" i="75"/>
  <c r="D30" i="75"/>
  <c r="C30" i="75"/>
  <c r="N30" i="75" s="1"/>
  <c r="O30" i="75" s="1"/>
  <c r="K29" i="75"/>
  <c r="J29" i="75"/>
  <c r="I29" i="75"/>
  <c r="H29" i="75"/>
  <c r="G29" i="75"/>
  <c r="F29" i="75"/>
  <c r="E29" i="75"/>
  <c r="D29" i="75"/>
  <c r="C29" i="75"/>
  <c r="K28" i="75"/>
  <c r="J28" i="75"/>
  <c r="I28" i="75"/>
  <c r="H28" i="75"/>
  <c r="G28" i="75"/>
  <c r="F28" i="75"/>
  <c r="D28" i="75"/>
  <c r="C28" i="75"/>
  <c r="N27" i="75"/>
  <c r="O27" i="75" s="1"/>
  <c r="J27" i="75"/>
  <c r="I27" i="75"/>
  <c r="H27" i="75"/>
  <c r="G27" i="75"/>
  <c r="F27" i="75"/>
  <c r="E27" i="75"/>
  <c r="D27" i="75"/>
  <c r="C27" i="75"/>
  <c r="N26" i="75"/>
  <c r="O26" i="75" s="1"/>
  <c r="K26" i="75"/>
  <c r="J26" i="75"/>
  <c r="I26" i="75"/>
  <c r="H26" i="75"/>
  <c r="G26" i="75"/>
  <c r="F26" i="75"/>
  <c r="E26" i="75"/>
  <c r="D26" i="75"/>
  <c r="C26" i="75"/>
  <c r="K25" i="75"/>
  <c r="J25" i="75"/>
  <c r="I25" i="75"/>
  <c r="H25" i="75"/>
  <c r="E25" i="75"/>
  <c r="C25" i="75"/>
  <c r="K24" i="75"/>
  <c r="J24" i="75"/>
  <c r="I24" i="75"/>
  <c r="H24" i="75"/>
  <c r="G24" i="75"/>
  <c r="F24" i="75"/>
  <c r="E24" i="75"/>
  <c r="N24" i="75" s="1"/>
  <c r="O24" i="75" s="1"/>
  <c r="D24" i="75"/>
  <c r="C24" i="75"/>
  <c r="N23" i="75"/>
  <c r="O23" i="75" s="1"/>
  <c r="K23" i="75"/>
  <c r="J23" i="75"/>
  <c r="I23" i="75"/>
  <c r="H23" i="75"/>
  <c r="G23" i="75"/>
  <c r="F23" i="75"/>
  <c r="E23" i="75"/>
  <c r="D23" i="75"/>
  <c r="C23" i="75"/>
  <c r="N22" i="75"/>
  <c r="O22" i="75" s="1"/>
  <c r="K22" i="75"/>
  <c r="J22" i="75"/>
  <c r="I22" i="75"/>
  <c r="F22" i="75"/>
  <c r="E22" i="75"/>
  <c r="D22" i="75"/>
  <c r="C22" i="75"/>
  <c r="L21" i="75"/>
  <c r="J21" i="75"/>
  <c r="E21" i="75"/>
  <c r="D21" i="75"/>
  <c r="N20" i="75"/>
  <c r="O20" i="75" s="1"/>
  <c r="P20" i="75" s="1"/>
  <c r="Q20" i="75" s="1"/>
  <c r="L20" i="75"/>
  <c r="K20" i="75"/>
  <c r="J20" i="75"/>
  <c r="I20" i="75"/>
  <c r="H20" i="75"/>
  <c r="G20" i="75"/>
  <c r="M20" i="75" s="1"/>
  <c r="F20" i="75"/>
  <c r="E20" i="75"/>
  <c r="D20" i="75"/>
  <c r="C20" i="75"/>
  <c r="I19" i="75"/>
  <c r="H19" i="75"/>
  <c r="E19" i="75"/>
  <c r="K18" i="75"/>
  <c r="I18" i="75"/>
  <c r="D18" i="75"/>
  <c r="C18" i="75"/>
  <c r="L17" i="75"/>
  <c r="K17" i="75"/>
  <c r="I17" i="75"/>
  <c r="H17" i="75"/>
  <c r="G17" i="75"/>
  <c r="M17" i="75" s="1"/>
  <c r="E17" i="75"/>
  <c r="D17" i="75"/>
  <c r="N17" i="75" s="1"/>
  <c r="O17" i="75" s="1"/>
  <c r="P17" i="75" s="1"/>
  <c r="Q17" i="75" s="1"/>
  <c r="C17" i="75"/>
  <c r="P16" i="75"/>
  <c r="O16" i="75"/>
  <c r="N16" i="75"/>
  <c r="M16" i="75"/>
  <c r="N15" i="75"/>
  <c r="O15" i="75" s="1"/>
  <c r="K15" i="75"/>
  <c r="J15" i="75"/>
  <c r="H15" i="75"/>
  <c r="F15" i="75"/>
  <c r="E15" i="75"/>
  <c r="D15" i="75"/>
  <c r="C15" i="75"/>
  <c r="N14" i="75"/>
  <c r="O14" i="75" s="1"/>
  <c r="F14" i="75"/>
  <c r="E14" i="75"/>
  <c r="D14" i="75"/>
  <c r="C14" i="75"/>
  <c r="N12" i="75"/>
  <c r="O12" i="75" s="1"/>
  <c r="K12" i="75"/>
  <c r="J12" i="75"/>
  <c r="I12" i="75"/>
  <c r="H12" i="75"/>
  <c r="G12" i="75"/>
  <c r="F12" i="75"/>
  <c r="E12" i="75"/>
  <c r="D12" i="75"/>
  <c r="C12" i="75"/>
  <c r="J9" i="75"/>
  <c r="K8" i="75"/>
  <c r="H8" i="75"/>
  <c r="F8" i="75"/>
  <c r="E8" i="75"/>
  <c r="C8" i="75"/>
  <c r="N8" i="75" s="1"/>
  <c r="O8" i="75" s="1"/>
  <c r="D7" i="74"/>
  <c r="C7" i="74"/>
  <c r="D7" i="73"/>
  <c r="C7" i="73"/>
  <c r="D7" i="72"/>
  <c r="C7" i="72"/>
  <c r="D79" i="71"/>
  <c r="C79" i="71"/>
  <c r="Q78" i="71"/>
  <c r="Q77" i="71"/>
  <c r="Q76" i="71"/>
  <c r="Q75" i="71"/>
  <c r="Q74" i="71"/>
  <c r="Q73" i="71"/>
  <c r="Q72" i="71"/>
  <c r="Q71" i="71"/>
  <c r="Q70" i="71"/>
  <c r="Q69" i="71"/>
  <c r="Q79" i="71" s="1"/>
  <c r="P83" i="71" s="1"/>
  <c r="D67" i="71"/>
  <c r="C67" i="71"/>
  <c r="Q66" i="71"/>
  <c r="Q67" i="71" s="1"/>
  <c r="D64" i="71"/>
  <c r="C64" i="71"/>
  <c r="Q63" i="71"/>
  <c r="Q62" i="71"/>
  <c r="Q64" i="71" s="1"/>
  <c r="Q61" i="71"/>
  <c r="Q60" i="71"/>
  <c r="Q59" i="71"/>
  <c r="Q58" i="71"/>
  <c r="Q56" i="71"/>
  <c r="D56" i="71"/>
  <c r="C56" i="71"/>
  <c r="Q55" i="71"/>
  <c r="D53" i="71"/>
  <c r="C53" i="71"/>
  <c r="Q52" i="71"/>
  <c r="Q51" i="71"/>
  <c r="Q50" i="71"/>
  <c r="Q49" i="71"/>
  <c r="Q48" i="71"/>
  <c r="Q47" i="71"/>
  <c r="Q46" i="71"/>
  <c r="Q45" i="71"/>
  <c r="Q44" i="71"/>
  <c r="Q43" i="71"/>
  <c r="Q42" i="71"/>
  <c r="Q41" i="71"/>
  <c r="Q39" i="71"/>
  <c r="D39" i="71"/>
  <c r="D80" i="71" s="1"/>
  <c r="C39" i="71"/>
  <c r="D31" i="71"/>
  <c r="C31" i="71"/>
  <c r="C80" i="71" s="1"/>
  <c r="Q30" i="71"/>
  <c r="Q29" i="71"/>
  <c r="Q28" i="71"/>
  <c r="Q27" i="71"/>
  <c r="Q26" i="71"/>
  <c r="Q25" i="71"/>
  <c r="Q24" i="71"/>
  <c r="Q23" i="71"/>
  <c r="Q22" i="71"/>
  <c r="Q21" i="71"/>
  <c r="Q20" i="71"/>
  <c r="Q19" i="71"/>
  <c r="Q18" i="71"/>
  <c r="Q17" i="71"/>
  <c r="Q16" i="71"/>
  <c r="Q15" i="71"/>
  <c r="Q14" i="71"/>
  <c r="Q13" i="71"/>
  <c r="Q12" i="71"/>
  <c r="Q11" i="71"/>
  <c r="Q10" i="71"/>
  <c r="Q9" i="71"/>
  <c r="Q8" i="71"/>
  <c r="Q7" i="71"/>
  <c r="Q6" i="71"/>
  <c r="Q31" i="71" s="1"/>
  <c r="N18" i="70"/>
  <c r="M18" i="70"/>
  <c r="L18" i="70"/>
  <c r="K18" i="70"/>
  <c r="J18" i="70"/>
  <c r="I18" i="70"/>
  <c r="H18" i="70"/>
  <c r="G18" i="70"/>
  <c r="F18" i="70"/>
  <c r="E18" i="70"/>
  <c r="D18" i="70"/>
  <c r="C18" i="70"/>
  <c r="O17" i="70"/>
  <c r="O16" i="70"/>
  <c r="O15" i="70"/>
  <c r="O14" i="70"/>
  <c r="O13" i="70"/>
  <c r="O12" i="70"/>
  <c r="O11" i="70"/>
  <c r="O10" i="70"/>
  <c r="O9" i="70"/>
  <c r="F21" i="70" s="1"/>
  <c r="P8" i="70"/>
  <c r="O8" i="70"/>
  <c r="O7" i="70"/>
  <c r="O6" i="70"/>
  <c r="O5" i="70"/>
  <c r="O4" i="70"/>
  <c r="O3" i="70"/>
  <c r="E15" i="69"/>
  <c r="D15" i="69"/>
  <c r="E14" i="69"/>
  <c r="E13" i="69"/>
  <c r="E12" i="69"/>
  <c r="E11" i="69"/>
  <c r="E10" i="69"/>
  <c r="E9" i="69"/>
  <c r="E8" i="69"/>
  <c r="E7" i="69"/>
  <c r="E6" i="69"/>
  <c r="P103" i="68"/>
  <c r="O103" i="68"/>
  <c r="N103" i="68"/>
  <c r="M103" i="68"/>
  <c r="L103" i="68"/>
  <c r="K103" i="68"/>
  <c r="J103" i="68"/>
  <c r="I103" i="68"/>
  <c r="H103" i="68"/>
  <c r="G103" i="68"/>
  <c r="F103" i="68"/>
  <c r="E103" i="68"/>
  <c r="Q102" i="68"/>
  <c r="Q101" i="68"/>
  <c r="Q100" i="68"/>
  <c r="Q99" i="68"/>
  <c r="Q98" i="68"/>
  <c r="Q97" i="68"/>
  <c r="Q96" i="68"/>
  <c r="Q95" i="68"/>
  <c r="Q94" i="68"/>
  <c r="Q93" i="68"/>
  <c r="Q92" i="68"/>
  <c r="Q91" i="68"/>
  <c r="Q90" i="68"/>
  <c r="Q89" i="68"/>
  <c r="Q88" i="68"/>
  <c r="Q87" i="68"/>
  <c r="Q86" i="68"/>
  <c r="Q85" i="68"/>
  <c r="Q84" i="68"/>
  <c r="Q83" i="68"/>
  <c r="Q82" i="68"/>
  <c r="Q81" i="68"/>
  <c r="Q80" i="68"/>
  <c r="Q79" i="68"/>
  <c r="Q78" i="68"/>
  <c r="Q77" i="68"/>
  <c r="Q76" i="68"/>
  <c r="Q75" i="68"/>
  <c r="Q74" i="68"/>
  <c r="Q73" i="68"/>
  <c r="Q103" i="68" s="1"/>
  <c r="Q72" i="68"/>
  <c r="P61" i="68"/>
  <c r="O61" i="68"/>
  <c r="N61" i="68"/>
  <c r="M61" i="68"/>
  <c r="L61" i="68"/>
  <c r="K61" i="68"/>
  <c r="J61" i="68"/>
  <c r="I61" i="68"/>
  <c r="H61" i="68"/>
  <c r="G61" i="68"/>
  <c r="F61" i="68"/>
  <c r="E61" i="68"/>
  <c r="Q60" i="68"/>
  <c r="Q59" i="68"/>
  <c r="Q58" i="68"/>
  <c r="Q57" i="68"/>
  <c r="Q56" i="68"/>
  <c r="Q55" i="68"/>
  <c r="Q54" i="68"/>
  <c r="Q53" i="68"/>
  <c r="Q52" i="68"/>
  <c r="Q51" i="68"/>
  <c r="Q50" i="68"/>
  <c r="Q49" i="68"/>
  <c r="Q48" i="68"/>
  <c r="Q47" i="68"/>
  <c r="Q46" i="68"/>
  <c r="Q45" i="68"/>
  <c r="Q44" i="68"/>
  <c r="Q43" i="68"/>
  <c r="Q42" i="68"/>
  <c r="Q41" i="68"/>
  <c r="Q40" i="68"/>
  <c r="Q39" i="68"/>
  <c r="Q38" i="68"/>
  <c r="Q37" i="68"/>
  <c r="Q36" i="68"/>
  <c r="Q35" i="68"/>
  <c r="Q34" i="68"/>
  <c r="Q33" i="68"/>
  <c r="Q32" i="68"/>
  <c r="Q31" i="68"/>
  <c r="Q30" i="68"/>
  <c r="Q29" i="68"/>
  <c r="Q28" i="68"/>
  <c r="Q27" i="68"/>
  <c r="Q26" i="68"/>
  <c r="Q25" i="68"/>
  <c r="Q24" i="68"/>
  <c r="Q23" i="68"/>
  <c r="Q22" i="68"/>
  <c r="Q21" i="68"/>
  <c r="Q20" i="68"/>
  <c r="Q19" i="68"/>
  <c r="Q18" i="68"/>
  <c r="Q17" i="68"/>
  <c r="Q16" i="68"/>
  <c r="Q15" i="68"/>
  <c r="Q14" i="68"/>
  <c r="Q13" i="68"/>
  <c r="Q12" i="68"/>
  <c r="Q11" i="68"/>
  <c r="Q10" i="68"/>
  <c r="Q9" i="68"/>
  <c r="Q8" i="68"/>
  <c r="Q7" i="68"/>
  <c r="Q6" i="68"/>
  <c r="D16" i="67"/>
  <c r="E16" i="67" s="1"/>
  <c r="E18" i="67" s="1"/>
  <c r="E13" i="67"/>
  <c r="D13" i="67"/>
  <c r="D7" i="67"/>
  <c r="E7" i="67" s="1"/>
  <c r="C38" i="66"/>
  <c r="E37" i="66"/>
  <c r="C37" i="66"/>
  <c r="F36" i="66"/>
  <c r="F35" i="66"/>
  <c r="F34" i="66"/>
  <c r="F33" i="66"/>
  <c r="F32" i="66"/>
  <c r="F31" i="66"/>
  <c r="F30" i="66"/>
  <c r="F29" i="66"/>
  <c r="F28" i="66"/>
  <c r="F27" i="66"/>
  <c r="F26" i="66"/>
  <c r="F25" i="66"/>
  <c r="F24" i="66"/>
  <c r="F23" i="66"/>
  <c r="D23" i="66"/>
  <c r="F22" i="66"/>
  <c r="D22" i="66"/>
  <c r="F21" i="66"/>
  <c r="D21" i="66"/>
  <c r="F20" i="66"/>
  <c r="D20" i="66"/>
  <c r="F19" i="66"/>
  <c r="C41" i="66" s="1"/>
  <c r="D19" i="66"/>
  <c r="D37" i="66" s="1"/>
  <c r="D38" i="66" s="1"/>
  <c r="F18" i="66"/>
  <c r="F17" i="66"/>
  <c r="F16" i="66"/>
  <c r="F15" i="66"/>
  <c r="F14" i="66"/>
  <c r="F13" i="66"/>
  <c r="F12" i="66"/>
  <c r="F11" i="66"/>
  <c r="F10" i="66"/>
  <c r="F9" i="66"/>
  <c r="F8" i="66"/>
  <c r="C40" i="66" s="1"/>
  <c r="F7" i="66"/>
  <c r="F6" i="66"/>
  <c r="F5" i="66"/>
  <c r="F4" i="66"/>
  <c r="C27" i="65"/>
  <c r="E26" i="65"/>
  <c r="F26" i="65" s="1"/>
  <c r="E25" i="65"/>
  <c r="F25" i="65" s="1"/>
  <c r="E24" i="65"/>
  <c r="F24" i="65" s="1"/>
  <c r="F23" i="65"/>
  <c r="E23" i="65"/>
  <c r="E22" i="65"/>
  <c r="F22" i="65" s="1"/>
  <c r="E21" i="65"/>
  <c r="F21" i="65" s="1"/>
  <c r="E20" i="65"/>
  <c r="F20" i="65" s="1"/>
  <c r="E19" i="65"/>
  <c r="F19" i="65" s="1"/>
  <c r="E18" i="65"/>
  <c r="F18" i="65" s="1"/>
  <c r="F17" i="65"/>
  <c r="E17" i="65"/>
  <c r="E16" i="65"/>
  <c r="F16" i="65" s="1"/>
  <c r="E15" i="65"/>
  <c r="F15" i="65" s="1"/>
  <c r="E14" i="65"/>
  <c r="F14" i="65" s="1"/>
  <c r="D14" i="65"/>
  <c r="E13" i="65"/>
  <c r="F13" i="65" s="1"/>
  <c r="E12" i="65"/>
  <c r="F12" i="65" s="1"/>
  <c r="D12" i="65"/>
  <c r="E11" i="65"/>
  <c r="F11" i="65" s="1"/>
  <c r="D11" i="65"/>
  <c r="F10" i="65"/>
  <c r="E10" i="65"/>
  <c r="F9" i="65"/>
  <c r="E9" i="65"/>
  <c r="E8" i="65"/>
  <c r="F8" i="65" s="1"/>
  <c r="E7" i="65"/>
  <c r="F7" i="65" s="1"/>
  <c r="D7" i="65"/>
  <c r="E6" i="65"/>
  <c r="F6" i="65" s="1"/>
  <c r="D6" i="65"/>
  <c r="D27" i="65" s="1"/>
  <c r="D29" i="65" s="1"/>
  <c r="D31" i="65" s="1"/>
  <c r="F5" i="65"/>
  <c r="E5" i="65"/>
  <c r="F4" i="65"/>
  <c r="E4" i="65"/>
  <c r="C180" i="64"/>
  <c r="B180" i="64"/>
  <c r="D179" i="64"/>
  <c r="D180" i="64" s="1"/>
  <c r="C179" i="64"/>
  <c r="B179" i="64"/>
  <c r="E170" i="64"/>
  <c r="D170" i="64"/>
  <c r="C170" i="64"/>
  <c r="B170" i="64"/>
  <c r="D165" i="64"/>
  <c r="E160" i="64"/>
  <c r="D160" i="64"/>
  <c r="C160" i="64"/>
  <c r="B160" i="64"/>
  <c r="J155" i="64"/>
  <c r="E154" i="64"/>
  <c r="D154" i="64"/>
  <c r="C154" i="64"/>
  <c r="B154" i="64"/>
  <c r="K153" i="64"/>
  <c r="H151" i="64"/>
  <c r="G151" i="64"/>
  <c r="E150" i="64"/>
  <c r="D150" i="64"/>
  <c r="C150" i="64"/>
  <c r="B150" i="64"/>
  <c r="E144" i="64"/>
  <c r="D144" i="64"/>
  <c r="C144" i="64"/>
  <c r="B144" i="64"/>
  <c r="E132" i="64"/>
  <c r="D132" i="64"/>
  <c r="C132" i="64"/>
  <c r="B132" i="64"/>
  <c r="E124" i="64"/>
  <c r="J124" i="64" s="1"/>
  <c r="D124" i="64"/>
  <c r="C124" i="64"/>
  <c r="B124" i="64"/>
  <c r="E118" i="64"/>
  <c r="D118" i="64"/>
  <c r="C118" i="64"/>
  <c r="B118" i="64"/>
  <c r="B165" i="64" s="1"/>
  <c r="E115" i="64"/>
  <c r="J157" i="64" s="1"/>
  <c r="E100" i="64"/>
  <c r="C100" i="64"/>
  <c r="C97" i="64" s="1"/>
  <c r="C165" i="64" s="1"/>
  <c r="B100" i="64"/>
  <c r="D97" i="64"/>
  <c r="B97" i="64"/>
  <c r="C96" i="64"/>
  <c r="H90" i="64"/>
  <c r="E90" i="64"/>
  <c r="D90" i="64"/>
  <c r="C90" i="64"/>
  <c r="B90" i="64"/>
  <c r="E73" i="64"/>
  <c r="D73" i="64"/>
  <c r="C73" i="64"/>
  <c r="B73" i="64"/>
  <c r="E69" i="64"/>
  <c r="E96" i="64" s="1"/>
  <c r="D69" i="64"/>
  <c r="D96" i="64" s="1"/>
  <c r="D166" i="64" s="1"/>
  <c r="C69" i="64"/>
  <c r="B69" i="64"/>
  <c r="B96" i="64" s="1"/>
  <c r="B166" i="64" s="1"/>
  <c r="E48" i="64"/>
  <c r="C48" i="64"/>
  <c r="B48" i="64"/>
  <c r="E34" i="64"/>
  <c r="D34" i="64"/>
  <c r="C34" i="64"/>
  <c r="C4" i="64" s="1"/>
  <c r="C67" i="64" s="1"/>
  <c r="B34" i="64"/>
  <c r="G20" i="64"/>
  <c r="E11" i="64"/>
  <c r="D11" i="64"/>
  <c r="C11" i="64"/>
  <c r="B11" i="64"/>
  <c r="E5" i="64"/>
  <c r="D5" i="64"/>
  <c r="C5" i="64"/>
  <c r="B5" i="64"/>
  <c r="E4" i="64"/>
  <c r="E67" i="64" s="1"/>
  <c r="D4" i="64"/>
  <c r="D67" i="64" s="1"/>
  <c r="B4" i="64"/>
  <c r="B67" i="64" s="1"/>
  <c r="B167" i="64" l="1"/>
  <c r="B168" i="64"/>
  <c r="B169" i="64" s="1"/>
  <c r="B171" i="64" s="1"/>
  <c r="AC9" i="76"/>
  <c r="AB9" i="76"/>
  <c r="AC35" i="76"/>
  <c r="AB35" i="76"/>
  <c r="AC75" i="76"/>
  <c r="AB75" i="76"/>
  <c r="AC74" i="76"/>
  <c r="AB74" i="76"/>
  <c r="AC89" i="76"/>
  <c r="AB89" i="76"/>
  <c r="AC14" i="76"/>
  <c r="AB14" i="76"/>
  <c r="C167" i="64"/>
  <c r="C168" i="64"/>
  <c r="C169" i="64" s="1"/>
  <c r="C171" i="64" s="1"/>
  <c r="AB20" i="76"/>
  <c r="AC20" i="76"/>
  <c r="AC49" i="76"/>
  <c r="AB49" i="76"/>
  <c r="C166" i="64"/>
  <c r="D167" i="64"/>
  <c r="D168" i="64"/>
  <c r="D169" i="64" s="1"/>
  <c r="D171" i="64" s="1"/>
  <c r="F27" i="65"/>
  <c r="P82" i="71"/>
  <c r="P84" i="71" s="1"/>
  <c r="AC32" i="90"/>
  <c r="AB32" i="90"/>
  <c r="N31" i="75"/>
  <c r="O31" i="75" s="1"/>
  <c r="Y8" i="76"/>
  <c r="AC15" i="76"/>
  <c r="AB18" i="76"/>
  <c r="AC52" i="76"/>
  <c r="AB52" i="76"/>
  <c r="AC60" i="76"/>
  <c r="AB60" i="76"/>
  <c r="AC68" i="76"/>
  <c r="AB68" i="76"/>
  <c r="AC42" i="77"/>
  <c r="AC8" i="78"/>
  <c r="AB8" i="78"/>
  <c r="O18" i="70"/>
  <c r="Q53" i="71"/>
  <c r="Q80" i="71" s="1"/>
  <c r="AC90" i="76"/>
  <c r="AB90" i="76"/>
  <c r="M49" i="77"/>
  <c r="X10" i="77"/>
  <c r="Y10" i="77" s="1"/>
  <c r="R10" i="77"/>
  <c r="S10" i="77" s="1"/>
  <c r="O10" i="77"/>
  <c r="X18" i="77"/>
  <c r="Y18" i="77" s="1"/>
  <c r="AC18" i="77" s="1"/>
  <c r="R18" i="77"/>
  <c r="S18" i="77" s="1"/>
  <c r="X23" i="77"/>
  <c r="Y23" i="77" s="1"/>
  <c r="O23" i="77"/>
  <c r="S83" i="78"/>
  <c r="I9" i="75" s="1"/>
  <c r="AC36" i="76"/>
  <c r="AB36" i="76"/>
  <c r="AC48" i="76"/>
  <c r="AB48" i="76"/>
  <c r="AC30" i="77"/>
  <c r="E27" i="65"/>
  <c r="AB16" i="76"/>
  <c r="AC55" i="76"/>
  <c r="AB55" i="76"/>
  <c r="AB57" i="76"/>
  <c r="E105" i="76"/>
  <c r="C7" i="75" s="1"/>
  <c r="AC11" i="78"/>
  <c r="AB11" i="78"/>
  <c r="X29" i="77"/>
  <c r="Y29" i="77" s="1"/>
  <c r="R29" i="77"/>
  <c r="S29" i="77" s="1"/>
  <c r="O29" i="77"/>
  <c r="AC29" i="77" s="1"/>
  <c r="F20" i="70"/>
  <c r="L105" i="76"/>
  <c r="F7" i="75" s="1"/>
  <c r="AC39" i="76"/>
  <c r="AB39" i="76"/>
  <c r="AB41" i="76"/>
  <c r="AB69" i="76"/>
  <c r="S8" i="77"/>
  <c r="AC34" i="77"/>
  <c r="AC33" i="76"/>
  <c r="AB33" i="76"/>
  <c r="M105" i="76"/>
  <c r="Q105" i="76"/>
  <c r="H7" i="75" s="1"/>
  <c r="AC26" i="76"/>
  <c r="AB26" i="76"/>
  <c r="AB28" i="76"/>
  <c r="AC78" i="76"/>
  <c r="AB78" i="76"/>
  <c r="AC80" i="76"/>
  <c r="AC84" i="76"/>
  <c r="Y8" i="77"/>
  <c r="AC27" i="77"/>
  <c r="AC44" i="77"/>
  <c r="Y83" i="78"/>
  <c r="L9" i="75" s="1"/>
  <c r="G83" i="78"/>
  <c r="D9" i="75" s="1"/>
  <c r="AC15" i="78"/>
  <c r="AB15" i="78"/>
  <c r="AB8" i="76"/>
  <c r="O105" i="76"/>
  <c r="AC11" i="76"/>
  <c r="AB13" i="76"/>
  <c r="AB37" i="76"/>
  <c r="AC47" i="76"/>
  <c r="AB47" i="76"/>
  <c r="AB54" i="76"/>
  <c r="AC82" i="76"/>
  <c r="AB82" i="76"/>
  <c r="G85" i="76"/>
  <c r="G105" i="76" s="1"/>
  <c r="D7" i="75" s="1"/>
  <c r="E85" i="76"/>
  <c r="AC86" i="76"/>
  <c r="AB86" i="76"/>
  <c r="AC19" i="77"/>
  <c r="AC24" i="77"/>
  <c r="I83" i="78"/>
  <c r="E9" i="75" s="1"/>
  <c r="AC13" i="78"/>
  <c r="AB13" i="78"/>
  <c r="AC30" i="78"/>
  <c r="AC64" i="78"/>
  <c r="AC76" i="78"/>
  <c r="AB10" i="76"/>
  <c r="AB17" i="76"/>
  <c r="AC45" i="76"/>
  <c r="AB92" i="76"/>
  <c r="AB98" i="76"/>
  <c r="O29" i="79"/>
  <c r="AB29" i="79" s="1"/>
  <c r="AC29" i="79"/>
  <c r="X15" i="77"/>
  <c r="Y15" i="77" s="1"/>
  <c r="O15" i="77"/>
  <c r="O35" i="79"/>
  <c r="AB35" i="79" s="1"/>
  <c r="AC35" i="79"/>
  <c r="AB19" i="76"/>
  <c r="AC32" i="76"/>
  <c r="AB38" i="76"/>
  <c r="AB42" i="76"/>
  <c r="AC61" i="76"/>
  <c r="AB61" i="76"/>
  <c r="AC63" i="76"/>
  <c r="AC81" i="76"/>
  <c r="AB81" i="76"/>
  <c r="X28" i="77"/>
  <c r="Y28" i="77" s="1"/>
  <c r="O28" i="77"/>
  <c r="AC28" i="77" s="1"/>
  <c r="X45" i="77"/>
  <c r="Y45" i="77" s="1"/>
  <c r="R45" i="77"/>
  <c r="S45" i="77" s="1"/>
  <c r="O45" i="77"/>
  <c r="AC12" i="78"/>
  <c r="AB12" i="78"/>
  <c r="AC29" i="78"/>
  <c r="AC41" i="78"/>
  <c r="AC24" i="78"/>
  <c r="AB24" i="78"/>
  <c r="F37" i="66"/>
  <c r="J97" i="64"/>
  <c r="J99" i="64" s="1"/>
  <c r="U105" i="76"/>
  <c r="J7" i="75" s="1"/>
  <c r="AC21" i="76"/>
  <c r="AB21" i="76"/>
  <c r="AC23" i="76"/>
  <c r="AB25" i="76"/>
  <c r="AB27" i="76"/>
  <c r="AB29" i="76"/>
  <c r="AB44" i="76"/>
  <c r="AC67" i="76"/>
  <c r="AC73" i="76"/>
  <c r="AB73" i="76"/>
  <c r="AB77" i="76"/>
  <c r="AC83" i="76"/>
  <c r="AC17" i="77"/>
  <c r="L83" i="78"/>
  <c r="F9" i="75" s="1"/>
  <c r="AB10" i="78"/>
  <c r="AC25" i="78"/>
  <c r="AB25" i="78"/>
  <c r="E97" i="64"/>
  <c r="E165" i="64" s="1"/>
  <c r="E166" i="64" s="1"/>
  <c r="Q61" i="68"/>
  <c r="N29" i="75"/>
  <c r="O29" i="75" s="1"/>
  <c r="W105" i="76"/>
  <c r="K7" i="75" s="1"/>
  <c r="AC51" i="76"/>
  <c r="AC64" i="76"/>
  <c r="AB64" i="76"/>
  <c r="AC71" i="76"/>
  <c r="AC87" i="76"/>
  <c r="AB88" i="76"/>
  <c r="AC35" i="77"/>
  <c r="X38" i="77"/>
  <c r="Y38" i="77" s="1"/>
  <c r="R38" i="77"/>
  <c r="O38" i="77"/>
  <c r="AC38" i="77" s="1"/>
  <c r="M83" i="78"/>
  <c r="AC47" i="78"/>
  <c r="AC51" i="78"/>
  <c r="Q83" i="78"/>
  <c r="H9" i="75" s="1"/>
  <c r="F233" i="79"/>
  <c r="G12" i="79"/>
  <c r="G233" i="79" s="1"/>
  <c r="D10" i="75" s="1"/>
  <c r="AC18" i="79"/>
  <c r="X26" i="77"/>
  <c r="Y26" i="77" s="1"/>
  <c r="AC26" i="77" s="1"/>
  <c r="X36" i="77"/>
  <c r="Y36" i="77" s="1"/>
  <c r="AC36" i="77" s="1"/>
  <c r="O40" i="77"/>
  <c r="AC40" i="77" s="1"/>
  <c r="X43" i="77"/>
  <c r="Y43" i="77" s="1"/>
  <c r="AC43" i="77" s="1"/>
  <c r="O9" i="78"/>
  <c r="AC55" i="78"/>
  <c r="AC67" i="78"/>
  <c r="AC37" i="79"/>
  <c r="O40" i="79"/>
  <c r="AB40" i="79" s="1"/>
  <c r="AC43" i="79"/>
  <c r="O46" i="79"/>
  <c r="AB46" i="79" s="1"/>
  <c r="AC49" i="79"/>
  <c r="O52" i="79"/>
  <c r="AB52" i="79" s="1"/>
  <c r="Y201" i="79"/>
  <c r="AB201" i="79" s="1"/>
  <c r="AC201" i="79"/>
  <c r="R40" i="77"/>
  <c r="S40" i="77" s="1"/>
  <c r="AC66" i="78"/>
  <c r="AC71" i="78"/>
  <c r="AC78" i="78"/>
  <c r="AC14" i="79"/>
  <c r="Y189" i="79"/>
  <c r="AB189" i="79" s="1"/>
  <c r="AC189" i="79"/>
  <c r="AC195" i="79"/>
  <c r="O195" i="79"/>
  <c r="AB195" i="79" s="1"/>
  <c r="W83" i="78"/>
  <c r="K9" i="75" s="1"/>
  <c r="AB144" i="79"/>
  <c r="Y177" i="79"/>
  <c r="AB177" i="79" s="1"/>
  <c r="AC177" i="79"/>
  <c r="AC183" i="79"/>
  <c r="O183" i="79"/>
  <c r="AB183" i="79" s="1"/>
  <c r="X14" i="80"/>
  <c r="Q14" i="80"/>
  <c r="O12" i="77"/>
  <c r="AC12" i="77" s="1"/>
  <c r="O32" i="77"/>
  <c r="AC32" i="77" s="1"/>
  <c r="X83" i="78"/>
  <c r="I233" i="79"/>
  <c r="E10" i="75" s="1"/>
  <c r="O12" i="79"/>
  <c r="AB12" i="79" s="1"/>
  <c r="O19" i="79"/>
  <c r="AB19" i="79" s="1"/>
  <c r="AC19" i="79"/>
  <c r="AC30" i="79"/>
  <c r="AC36" i="79"/>
  <c r="AC171" i="79"/>
  <c r="O171" i="79"/>
  <c r="AB171" i="79" s="1"/>
  <c r="R12" i="77"/>
  <c r="S12" i="77" s="1"/>
  <c r="R32" i="77"/>
  <c r="S32" i="77" s="1"/>
  <c r="AB22" i="79"/>
  <c r="O157" i="79"/>
  <c r="AB157" i="79" s="1"/>
  <c r="AC157" i="79"/>
  <c r="Y10" i="80"/>
  <c r="AC10" i="80"/>
  <c r="AB55" i="79"/>
  <c r="AC57" i="79"/>
  <c r="AB59" i="79"/>
  <c r="AC61" i="79"/>
  <c r="AB63" i="79"/>
  <c r="AC65" i="79"/>
  <c r="AB67" i="79"/>
  <c r="AB71" i="79"/>
  <c r="AB75" i="79"/>
  <c r="AB79" i="79"/>
  <c r="AB83" i="79"/>
  <c r="AB87" i="79"/>
  <c r="AB91" i="79"/>
  <c r="AB95" i="79"/>
  <c r="AB99" i="79"/>
  <c r="AB103" i="79"/>
  <c r="AB107" i="79"/>
  <c r="AB111" i="79"/>
  <c r="AB115" i="79"/>
  <c r="AB119" i="79"/>
  <c r="AB123" i="79"/>
  <c r="AB127" i="79"/>
  <c r="AB131" i="79"/>
  <c r="AB135" i="79"/>
  <c r="AB139" i="79"/>
  <c r="AB143" i="79"/>
  <c r="AB147" i="79"/>
  <c r="AB153" i="79"/>
  <c r="X78" i="80"/>
  <c r="Y78" i="80" s="1"/>
  <c r="Q78" i="80"/>
  <c r="O46" i="77"/>
  <c r="AC46" i="77" s="1"/>
  <c r="AB93" i="76"/>
  <c r="AB96" i="76"/>
  <c r="AB99" i="76"/>
  <c r="AB102" i="76"/>
  <c r="R46" i="77"/>
  <c r="S46" i="77" s="1"/>
  <c r="E83" i="78"/>
  <c r="C9" i="75" s="1"/>
  <c r="N9" i="75" s="1"/>
  <c r="O9" i="75" s="1"/>
  <c r="P9" i="75" s="1"/>
  <c r="Q9" i="75" s="1"/>
  <c r="Q233" i="79"/>
  <c r="H10" i="75" s="1"/>
  <c r="AB152" i="79"/>
  <c r="AB46" i="76"/>
  <c r="AB59" i="76"/>
  <c r="AB72" i="76"/>
  <c r="O8" i="77"/>
  <c r="O31" i="77"/>
  <c r="AC31" i="77" s="1"/>
  <c r="AB26" i="78"/>
  <c r="S233" i="79"/>
  <c r="I10" i="75" s="1"/>
  <c r="AC56" i="79"/>
  <c r="AC60" i="79"/>
  <c r="AC64" i="79"/>
  <c r="AB70" i="79"/>
  <c r="AB74" i="79"/>
  <c r="AB78" i="79"/>
  <c r="AB82" i="79"/>
  <c r="AB86" i="79"/>
  <c r="AB90" i="79"/>
  <c r="AB94" i="79"/>
  <c r="AB98" i="79"/>
  <c r="AB102" i="79"/>
  <c r="AB106" i="79"/>
  <c r="AB110" i="79"/>
  <c r="AB114" i="79"/>
  <c r="AB118" i="79"/>
  <c r="AB122" i="79"/>
  <c r="AB126" i="79"/>
  <c r="AB130" i="79"/>
  <c r="AB134" i="79"/>
  <c r="AB138" i="79"/>
  <c r="AB142" i="79"/>
  <c r="AB146" i="79"/>
  <c r="U233" i="79"/>
  <c r="J10" i="75" s="1"/>
  <c r="AC33" i="79"/>
  <c r="AB151" i="79"/>
  <c r="AC224" i="79"/>
  <c r="Y224" i="79"/>
  <c r="AB224" i="79" s="1"/>
  <c r="Y106" i="80"/>
  <c r="AC106" i="80"/>
  <c r="Q158" i="80"/>
  <c r="X158" i="80"/>
  <c r="Y161" i="79"/>
  <c r="AB161" i="79" s="1"/>
  <c r="O167" i="79"/>
  <c r="AB167" i="79" s="1"/>
  <c r="O168" i="79"/>
  <c r="AB168" i="79" s="1"/>
  <c r="O169" i="79"/>
  <c r="AB169" i="79" s="1"/>
  <c r="O170" i="79"/>
  <c r="AB170" i="79" s="1"/>
  <c r="O182" i="79"/>
  <c r="AB182" i="79" s="1"/>
  <c r="O194" i="79"/>
  <c r="AB194" i="79" s="1"/>
  <c r="T94" i="80"/>
  <c r="U94" i="80" s="1"/>
  <c r="O94" i="80"/>
  <c r="V94" i="80"/>
  <c r="W94" i="80" s="1"/>
  <c r="R94" i="80"/>
  <c r="S94" i="80" s="1"/>
  <c r="P94" i="80"/>
  <c r="AC162" i="79"/>
  <c r="AC176" i="79"/>
  <c r="AC188" i="79"/>
  <c r="AC200" i="79"/>
  <c r="AC11" i="80"/>
  <c r="Y11" i="80"/>
  <c r="T80" i="80"/>
  <c r="U80" i="80" s="1"/>
  <c r="O80" i="80"/>
  <c r="V80" i="80"/>
  <c r="W80" i="80" s="1"/>
  <c r="R80" i="80"/>
  <c r="S80" i="80" s="1"/>
  <c r="P80" i="80"/>
  <c r="L111" i="80"/>
  <c r="I111" i="80"/>
  <c r="G111" i="80"/>
  <c r="E111" i="80"/>
  <c r="Y159" i="79"/>
  <c r="AB159" i="79" s="1"/>
  <c r="O180" i="79"/>
  <c r="AB180" i="79" s="1"/>
  <c r="O192" i="79"/>
  <c r="AB192" i="79" s="1"/>
  <c r="V24" i="80"/>
  <c r="W24" i="80" s="1"/>
  <c r="T24" i="80"/>
  <c r="U24" i="80" s="1"/>
  <c r="R24" i="80"/>
  <c r="S24" i="80" s="1"/>
  <c r="P24" i="80"/>
  <c r="O24" i="80"/>
  <c r="Q97" i="80"/>
  <c r="Y125" i="80"/>
  <c r="AC125" i="80"/>
  <c r="X233" i="79"/>
  <c r="AC160" i="79"/>
  <c r="AC174" i="79"/>
  <c r="AC186" i="79"/>
  <c r="AC198" i="79"/>
  <c r="O203" i="79"/>
  <c r="AB203" i="79" s="1"/>
  <c r="AC211" i="79"/>
  <c r="Y8" i="79"/>
  <c r="AC173" i="79"/>
  <c r="AC185" i="79"/>
  <c r="AC197" i="79"/>
  <c r="Q16" i="80"/>
  <c r="AC65" i="80"/>
  <c r="Y65" i="80"/>
  <c r="Y96" i="80"/>
  <c r="AC96" i="80"/>
  <c r="W124" i="80"/>
  <c r="X124" i="80"/>
  <c r="Y124" i="80" s="1"/>
  <c r="O137" i="80"/>
  <c r="V137" i="80"/>
  <c r="W137" i="80" s="1"/>
  <c r="T137" i="80"/>
  <c r="U137" i="80" s="1"/>
  <c r="R137" i="80"/>
  <c r="S137" i="80" s="1"/>
  <c r="P137" i="80"/>
  <c r="AC206" i="79"/>
  <c r="Q26" i="80"/>
  <c r="Q29" i="80"/>
  <c r="Q56" i="80"/>
  <c r="Q113" i="80"/>
  <c r="Y223" i="79"/>
  <c r="AB223" i="79" s="1"/>
  <c r="AC12" i="80"/>
  <c r="Y12" i="80"/>
  <c r="AB12" i="80" s="1"/>
  <c r="Q35" i="80"/>
  <c r="R59" i="80"/>
  <c r="S59" i="80" s="1"/>
  <c r="V59" i="80"/>
  <c r="W59" i="80" s="1"/>
  <c r="T59" i="80"/>
  <c r="U59" i="80" s="1"/>
  <c r="P59" i="80"/>
  <c r="O59" i="80"/>
  <c r="AC156" i="79"/>
  <c r="AB208" i="79"/>
  <c r="AB209" i="79"/>
  <c r="W8" i="80"/>
  <c r="Q31" i="80"/>
  <c r="AC61" i="80"/>
  <c r="Y61" i="80"/>
  <c r="L233" i="79"/>
  <c r="F10" i="75" s="1"/>
  <c r="E233" i="79"/>
  <c r="C10" i="75" s="1"/>
  <c r="N10" i="75" s="1"/>
  <c r="O10" i="75" s="1"/>
  <c r="AC155" i="79"/>
  <c r="AC166" i="79"/>
  <c r="AC212" i="79"/>
  <c r="AC214" i="79"/>
  <c r="O214" i="79"/>
  <c r="AB214" i="79" s="1"/>
  <c r="AC230" i="79"/>
  <c r="Y230" i="79"/>
  <c r="AB230" i="79" s="1"/>
  <c r="Q8" i="80"/>
  <c r="AB11" i="80"/>
  <c r="Q12" i="80"/>
  <c r="Q37" i="80"/>
  <c r="V71" i="80"/>
  <c r="W71" i="80" s="1"/>
  <c r="P71" i="80"/>
  <c r="T71" i="80"/>
  <c r="U71" i="80" s="1"/>
  <c r="R71" i="80"/>
  <c r="S71" i="80" s="1"/>
  <c r="O71" i="80"/>
  <c r="M233" i="79"/>
  <c r="AC233" i="79" s="1"/>
  <c r="AB212" i="79"/>
  <c r="AB10" i="80"/>
  <c r="AC21" i="80"/>
  <c r="O21" i="80"/>
  <c r="V42" i="80"/>
  <c r="W42" i="80" s="1"/>
  <c r="T42" i="80"/>
  <c r="U42" i="80" s="1"/>
  <c r="R42" i="80"/>
  <c r="S42" i="80" s="1"/>
  <c r="P42" i="80"/>
  <c r="O42" i="80"/>
  <c r="Q61" i="80"/>
  <c r="R92" i="80"/>
  <c r="S92" i="80" s="1"/>
  <c r="V92" i="80"/>
  <c r="W92" i="80" s="1"/>
  <c r="T92" i="80"/>
  <c r="U92" i="80" s="1"/>
  <c r="P92" i="80"/>
  <c r="O92" i="80"/>
  <c r="AC62" i="80"/>
  <c r="P72" i="80"/>
  <c r="T72" i="80"/>
  <c r="U72" i="80" s="1"/>
  <c r="P84" i="80"/>
  <c r="O84" i="80"/>
  <c r="T84" i="80"/>
  <c r="U84" i="80" s="1"/>
  <c r="V85" i="80"/>
  <c r="W85" i="80" s="1"/>
  <c r="R85" i="80"/>
  <c r="S85" i="80" s="1"/>
  <c r="O85" i="80"/>
  <c r="R86" i="80"/>
  <c r="S86" i="80" s="1"/>
  <c r="V86" i="80"/>
  <c r="W86" i="80" s="1"/>
  <c r="T88" i="80"/>
  <c r="U88" i="80" s="1"/>
  <c r="O88" i="80"/>
  <c r="R115" i="80"/>
  <c r="S115" i="80" s="1"/>
  <c r="AC128" i="80"/>
  <c r="S133" i="80"/>
  <c r="X141" i="80"/>
  <c r="Q141" i="80"/>
  <c r="X156" i="80"/>
  <c r="Y156" i="80" s="1"/>
  <c r="Q156" i="80"/>
  <c r="Q259" i="80"/>
  <c r="R8" i="80"/>
  <c r="Q10" i="80"/>
  <c r="O19" i="80"/>
  <c r="O22" i="80"/>
  <c r="R26" i="80"/>
  <c r="S26" i="80" s="1"/>
  <c r="R29" i="80"/>
  <c r="S29" i="80" s="1"/>
  <c r="R31" i="80"/>
  <c r="S31" i="80" s="1"/>
  <c r="R35" i="80"/>
  <c r="S35" i="80" s="1"/>
  <c r="R37" i="80"/>
  <c r="S37" i="80" s="1"/>
  <c r="O45" i="80"/>
  <c r="O47" i="80"/>
  <c r="Q49" i="80"/>
  <c r="N299" i="80"/>
  <c r="O72" i="80"/>
  <c r="R73" i="80"/>
  <c r="S73" i="80" s="1"/>
  <c r="O73" i="80"/>
  <c r="I75" i="80"/>
  <c r="X76" i="80"/>
  <c r="T78" i="80"/>
  <c r="U78" i="80" s="1"/>
  <c r="Q81" i="80"/>
  <c r="O83" i="80"/>
  <c r="R84" i="80"/>
  <c r="S84" i="80" s="1"/>
  <c r="P85" i="80"/>
  <c r="O86" i="80"/>
  <c r="P88" i="80"/>
  <c r="Q89" i="80"/>
  <c r="Q93" i="80"/>
  <c r="Q111" i="80"/>
  <c r="T115" i="80"/>
  <c r="U115" i="80" s="1"/>
  <c r="Y181" i="80"/>
  <c r="AC181" i="80"/>
  <c r="R74" i="80"/>
  <c r="S74" i="80" s="1"/>
  <c r="V74" i="80"/>
  <c r="W74" i="80" s="1"/>
  <c r="Q87" i="80"/>
  <c r="V115" i="80"/>
  <c r="W115" i="80" s="1"/>
  <c r="O127" i="80"/>
  <c r="AC127" i="80"/>
  <c r="X130" i="80"/>
  <c r="S130" i="80"/>
  <c r="AC146" i="80"/>
  <c r="O146" i="80"/>
  <c r="Y232" i="79"/>
  <c r="AB232" i="79" s="1"/>
  <c r="T8" i="80"/>
  <c r="X8" i="80" s="1"/>
  <c r="O13" i="80"/>
  <c r="O15" i="80"/>
  <c r="Q19" i="80"/>
  <c r="Q22" i="80"/>
  <c r="X23" i="80"/>
  <c r="Y23" i="80" s="1"/>
  <c r="T26" i="80"/>
  <c r="U26" i="80" s="1"/>
  <c r="O27" i="80"/>
  <c r="T29" i="80"/>
  <c r="U29" i="80" s="1"/>
  <c r="T31" i="80"/>
  <c r="U31" i="80" s="1"/>
  <c r="O32" i="80"/>
  <c r="Y34" i="80"/>
  <c r="T35" i="80"/>
  <c r="U35" i="80" s="1"/>
  <c r="T37" i="80"/>
  <c r="U37" i="80" s="1"/>
  <c r="O38" i="80"/>
  <c r="X41" i="80"/>
  <c r="Y41" i="80" s="1"/>
  <c r="Q45" i="80"/>
  <c r="Q47" i="80"/>
  <c r="X48" i="80"/>
  <c r="Y48" i="80" s="1"/>
  <c r="P55" i="80"/>
  <c r="Q62" i="80"/>
  <c r="Q73" i="80"/>
  <c r="O74" i="80"/>
  <c r="Q135" i="80"/>
  <c r="O9" i="80"/>
  <c r="P13" i="80"/>
  <c r="P15" i="80"/>
  <c r="R19" i="80"/>
  <c r="S19" i="80" s="1"/>
  <c r="R22" i="80"/>
  <c r="S22" i="80" s="1"/>
  <c r="P27" i="80"/>
  <c r="O30" i="80"/>
  <c r="P32" i="80"/>
  <c r="O36" i="80"/>
  <c r="R45" i="80"/>
  <c r="S45" i="80" s="1"/>
  <c r="R47" i="80"/>
  <c r="S47" i="80" s="1"/>
  <c r="O50" i="80"/>
  <c r="U65" i="80"/>
  <c r="R67" i="80"/>
  <c r="V67" i="80"/>
  <c r="W67" i="80" s="1"/>
  <c r="P74" i="80"/>
  <c r="O75" i="80"/>
  <c r="S76" i="80"/>
  <c r="G76" i="80"/>
  <c r="V84" i="80"/>
  <c r="W84" i="80" s="1"/>
  <c r="T85" i="80"/>
  <c r="U85" i="80" s="1"/>
  <c r="V88" i="80"/>
  <c r="W88" i="80" s="1"/>
  <c r="AC108" i="80"/>
  <c r="O108" i="80"/>
  <c r="X116" i="80"/>
  <c r="Y116" i="80" s="1"/>
  <c r="Y207" i="79"/>
  <c r="AB207" i="79" s="1"/>
  <c r="Y213" i="79"/>
  <c r="AB213" i="79" s="1"/>
  <c r="Y222" i="79"/>
  <c r="AB222" i="79" s="1"/>
  <c r="P9" i="80"/>
  <c r="D299" i="80"/>
  <c r="R17" i="80"/>
  <c r="O25" i="80"/>
  <c r="V26" i="80"/>
  <c r="W26" i="80" s="1"/>
  <c r="V29" i="80"/>
  <c r="W29" i="80" s="1"/>
  <c r="P30" i="80"/>
  <c r="V31" i="80"/>
  <c r="W31" i="80" s="1"/>
  <c r="V35" i="80"/>
  <c r="W35" i="80" s="1"/>
  <c r="P36" i="80"/>
  <c r="V37" i="80"/>
  <c r="W37" i="80" s="1"/>
  <c r="P50" i="80"/>
  <c r="R52" i="80"/>
  <c r="X54" i="80"/>
  <c r="Y54" i="80" s="1"/>
  <c r="R55" i="80"/>
  <c r="S55" i="80" s="1"/>
  <c r="R57" i="80"/>
  <c r="O60" i="80"/>
  <c r="O63" i="80"/>
  <c r="O67" i="80"/>
  <c r="X70" i="80"/>
  <c r="Y70" i="80" s="1"/>
  <c r="V72" i="80"/>
  <c r="W72" i="80" s="1"/>
  <c r="T73" i="80"/>
  <c r="U73" i="80" s="1"/>
  <c r="Q75" i="80"/>
  <c r="O76" i="80"/>
  <c r="V105" i="80"/>
  <c r="W105" i="80" s="1"/>
  <c r="T105" i="80"/>
  <c r="U105" i="80" s="1"/>
  <c r="R105" i="80"/>
  <c r="S105" i="80" s="1"/>
  <c r="O105" i="80"/>
  <c r="P107" i="80"/>
  <c r="O107" i="80"/>
  <c r="T107" i="80"/>
  <c r="U107" i="80" s="1"/>
  <c r="R13" i="80"/>
  <c r="S13" i="80" s="1"/>
  <c r="R15" i="80"/>
  <c r="S15" i="80" s="1"/>
  <c r="T19" i="80"/>
  <c r="U19" i="80" s="1"/>
  <c r="T22" i="80"/>
  <c r="U22" i="80" s="1"/>
  <c r="R27" i="80"/>
  <c r="S27" i="80" s="1"/>
  <c r="R32" i="80"/>
  <c r="S32" i="80" s="1"/>
  <c r="T45" i="80"/>
  <c r="U45" i="80" s="1"/>
  <c r="T47" i="80"/>
  <c r="U47" i="80" s="1"/>
  <c r="T69" i="80"/>
  <c r="U69" i="80" s="1"/>
  <c r="O69" i="80"/>
  <c r="T74" i="80"/>
  <c r="U74" i="80" s="1"/>
  <c r="S75" i="80"/>
  <c r="X79" i="80"/>
  <c r="Y79" i="80" s="1"/>
  <c r="X82" i="80"/>
  <c r="Y82" i="80" s="1"/>
  <c r="X86" i="80"/>
  <c r="Y86" i="80" s="1"/>
  <c r="AC91" i="80"/>
  <c r="P104" i="80"/>
  <c r="O104" i="80"/>
  <c r="T104" i="80"/>
  <c r="U104" i="80" s="1"/>
  <c r="R9" i="80"/>
  <c r="S9" i="80" s="1"/>
  <c r="O18" i="80"/>
  <c r="O20" i="80"/>
  <c r="O44" i="80"/>
  <c r="O46" i="80"/>
  <c r="AC54" i="80"/>
  <c r="O58" i="80"/>
  <c r="Q60" i="80"/>
  <c r="P69" i="80"/>
  <c r="V73" i="80"/>
  <c r="W73" i="80" s="1"/>
  <c r="R104" i="80"/>
  <c r="S104" i="80" s="1"/>
  <c r="Q105" i="80"/>
  <c r="F299" i="80"/>
  <c r="G117" i="80"/>
  <c r="G299" i="80" s="1"/>
  <c r="D11" i="75" s="1"/>
  <c r="V123" i="80"/>
  <c r="W123" i="80" s="1"/>
  <c r="R123" i="80"/>
  <c r="S123" i="80" s="1"/>
  <c r="O123" i="80"/>
  <c r="Y231" i="79"/>
  <c r="AB231" i="79" s="1"/>
  <c r="T13" i="80"/>
  <c r="U13" i="80" s="1"/>
  <c r="T15" i="80"/>
  <c r="U15" i="80" s="1"/>
  <c r="AC16" i="80"/>
  <c r="P18" i="80"/>
  <c r="P20" i="80"/>
  <c r="R25" i="80"/>
  <c r="T27" i="80"/>
  <c r="U27" i="80" s="1"/>
  <c r="T32" i="80"/>
  <c r="U32" i="80" s="1"/>
  <c r="P44" i="80"/>
  <c r="P46" i="80"/>
  <c r="AC51" i="80"/>
  <c r="E55" i="80"/>
  <c r="AC56" i="80"/>
  <c r="P58" i="80"/>
  <c r="R60" i="80"/>
  <c r="S60" i="80" s="1"/>
  <c r="R63" i="80"/>
  <c r="S63" i="80" s="1"/>
  <c r="O64" i="80"/>
  <c r="V66" i="80"/>
  <c r="T67" i="80"/>
  <c r="U67" i="80" s="1"/>
  <c r="X77" i="80"/>
  <c r="V100" i="80"/>
  <c r="W100" i="80" s="1"/>
  <c r="T100" i="80"/>
  <c r="U100" i="80" s="1"/>
  <c r="R100" i="80"/>
  <c r="S100" i="80" s="1"/>
  <c r="P100" i="80"/>
  <c r="Q102" i="80"/>
  <c r="X109" i="80"/>
  <c r="Y109" i="80" s="1"/>
  <c r="AC116" i="80"/>
  <c r="R118" i="80"/>
  <c r="S118" i="80" s="1"/>
  <c r="P118" i="80"/>
  <c r="V118" i="80"/>
  <c r="W118" i="80" s="1"/>
  <c r="P120" i="80"/>
  <c r="P123" i="80"/>
  <c r="R78" i="80"/>
  <c r="S78" i="80" s="1"/>
  <c r="V78" i="80"/>
  <c r="W78" i="80" s="1"/>
  <c r="T98" i="80"/>
  <c r="U98" i="80" s="1"/>
  <c r="R98" i="80"/>
  <c r="S98" i="80" s="1"/>
  <c r="P98" i="80"/>
  <c r="R114" i="80"/>
  <c r="S114" i="80" s="1"/>
  <c r="O114" i="80"/>
  <c r="V114" i="80"/>
  <c r="W114" i="80" s="1"/>
  <c r="X122" i="80"/>
  <c r="V131" i="80"/>
  <c r="W131" i="80" s="1"/>
  <c r="T131" i="80"/>
  <c r="U131" i="80" s="1"/>
  <c r="R131" i="80"/>
  <c r="S131" i="80" s="1"/>
  <c r="P131" i="80"/>
  <c r="O131" i="80"/>
  <c r="E133" i="80"/>
  <c r="L133" i="80"/>
  <c r="L299" i="80" s="1"/>
  <c r="F11" i="75" s="1"/>
  <c r="I133" i="80"/>
  <c r="W133" i="80"/>
  <c r="G133" i="80"/>
  <c r="X164" i="80"/>
  <c r="U164" i="80"/>
  <c r="O8" i="80"/>
  <c r="I55" i="80"/>
  <c r="I299" i="80" s="1"/>
  <c r="E11" i="75" s="1"/>
  <c r="T63" i="80"/>
  <c r="U63" i="80" s="1"/>
  <c r="R64" i="80"/>
  <c r="Q77" i="80"/>
  <c r="O78" i="80"/>
  <c r="AC79" i="80"/>
  <c r="V104" i="80"/>
  <c r="W104" i="80" s="1"/>
  <c r="V111" i="80"/>
  <c r="W111" i="80" s="1"/>
  <c r="T111" i="80"/>
  <c r="U111" i="80" s="1"/>
  <c r="R111" i="80"/>
  <c r="S111" i="80" s="1"/>
  <c r="O111" i="80"/>
  <c r="V113" i="80"/>
  <c r="W113" i="80" s="1"/>
  <c r="T113" i="80"/>
  <c r="U113" i="80" s="1"/>
  <c r="R113" i="80"/>
  <c r="S113" i="80" s="1"/>
  <c r="O113" i="80"/>
  <c r="P114" i="80"/>
  <c r="O115" i="80"/>
  <c r="K299" i="80"/>
  <c r="M117" i="80"/>
  <c r="O118" i="80"/>
  <c r="Q122" i="80"/>
  <c r="T123" i="80"/>
  <c r="U123" i="80" s="1"/>
  <c r="O133" i="80"/>
  <c r="X188" i="80"/>
  <c r="Y188" i="80" s="1"/>
  <c r="R142" i="80"/>
  <c r="S142" i="80" s="1"/>
  <c r="P142" i="80"/>
  <c r="T147" i="80"/>
  <c r="U147" i="80" s="1"/>
  <c r="R147" i="80"/>
  <c r="S147" i="80" s="1"/>
  <c r="AC189" i="80"/>
  <c r="Y189" i="80"/>
  <c r="AC223" i="80"/>
  <c r="Y223" i="80"/>
  <c r="R99" i="80"/>
  <c r="AC103" i="80"/>
  <c r="E118" i="80"/>
  <c r="E299" i="80" s="1"/>
  <c r="C11" i="75" s="1"/>
  <c r="X121" i="80"/>
  <c r="P133" i="80"/>
  <c r="T135" i="80"/>
  <c r="U135" i="80" s="1"/>
  <c r="I138" i="80"/>
  <c r="E138" i="80"/>
  <c r="O142" i="80"/>
  <c r="S145" i="80"/>
  <c r="O147" i="80"/>
  <c r="V155" i="80"/>
  <c r="W155" i="80" s="1"/>
  <c r="T155" i="80"/>
  <c r="U155" i="80" s="1"/>
  <c r="R155" i="80"/>
  <c r="S155" i="80" s="1"/>
  <c r="AC159" i="80"/>
  <c r="Y159" i="80"/>
  <c r="U181" i="80"/>
  <c r="Q187" i="80"/>
  <c r="X187" i="80"/>
  <c r="Y187" i="80" s="1"/>
  <c r="T233" i="80"/>
  <c r="U233" i="80" s="1"/>
  <c r="P233" i="80"/>
  <c r="V233" i="80"/>
  <c r="W233" i="80" s="1"/>
  <c r="R233" i="80"/>
  <c r="S233" i="80" s="1"/>
  <c r="O233" i="80"/>
  <c r="AC195" i="80"/>
  <c r="O195" i="80"/>
  <c r="X207" i="80"/>
  <c r="Y207" i="80" s="1"/>
  <c r="Q207" i="80"/>
  <c r="AC232" i="80"/>
  <c r="O232" i="80"/>
  <c r="P138" i="80"/>
  <c r="Q147" i="80"/>
  <c r="X154" i="80"/>
  <c r="Y154" i="80" s="1"/>
  <c r="Q154" i="80"/>
  <c r="Q155" i="80"/>
  <c r="AC163" i="80"/>
  <c r="Y163" i="80"/>
  <c r="V229" i="80"/>
  <c r="W229" i="80" s="1"/>
  <c r="R229" i="80"/>
  <c r="S229" i="80" s="1"/>
  <c r="O229" i="80"/>
  <c r="T229" i="80"/>
  <c r="U229" i="80" s="1"/>
  <c r="P229" i="80"/>
  <c r="T68" i="80"/>
  <c r="T79" i="80"/>
  <c r="U79" i="80" s="1"/>
  <c r="V81" i="80"/>
  <c r="W81" i="80" s="1"/>
  <c r="T87" i="80"/>
  <c r="U87" i="80" s="1"/>
  <c r="V89" i="80"/>
  <c r="W89" i="80" s="1"/>
  <c r="T93" i="80"/>
  <c r="U93" i="80" s="1"/>
  <c r="AC95" i="80"/>
  <c r="T97" i="80"/>
  <c r="U97" i="80" s="1"/>
  <c r="V102" i="80"/>
  <c r="W102" i="80" s="1"/>
  <c r="V122" i="80"/>
  <c r="W122" i="80" s="1"/>
  <c r="AC124" i="80"/>
  <c r="V130" i="80"/>
  <c r="W130" i="80" s="1"/>
  <c r="O134" i="80"/>
  <c r="R139" i="80"/>
  <c r="S139" i="80" s="1"/>
  <c r="P139" i="80"/>
  <c r="T142" i="80"/>
  <c r="U142" i="80" s="1"/>
  <c r="O143" i="80"/>
  <c r="Q148" i="80"/>
  <c r="T150" i="80"/>
  <c r="U150" i="80" s="1"/>
  <c r="R150" i="80"/>
  <c r="S150" i="80" s="1"/>
  <c r="P150" i="80"/>
  <c r="AC151" i="80"/>
  <c r="T153" i="80"/>
  <c r="U153" i="80" s="1"/>
  <c r="R153" i="80"/>
  <c r="S153" i="80" s="1"/>
  <c r="P153" i="80"/>
  <c r="O153" i="80"/>
  <c r="V153" i="80"/>
  <c r="W153" i="80" s="1"/>
  <c r="V161" i="80"/>
  <c r="W161" i="80" s="1"/>
  <c r="T161" i="80"/>
  <c r="U161" i="80" s="1"/>
  <c r="P161" i="80"/>
  <c r="O161" i="80"/>
  <c r="X168" i="80"/>
  <c r="W168" i="80"/>
  <c r="Q172" i="80"/>
  <c r="V202" i="80"/>
  <c r="W202" i="80" s="1"/>
  <c r="T202" i="80"/>
  <c r="U202" i="80" s="1"/>
  <c r="R202" i="80"/>
  <c r="S202" i="80" s="1"/>
  <c r="P202" i="80"/>
  <c r="O202" i="80"/>
  <c r="Q266" i="80"/>
  <c r="U133" i="80"/>
  <c r="R138" i="80"/>
  <c r="S138" i="80" s="1"/>
  <c r="P143" i="80"/>
  <c r="V147" i="80"/>
  <c r="W147" i="80" s="1"/>
  <c r="Q190" i="80"/>
  <c r="X190" i="80"/>
  <c r="Y190" i="80" s="1"/>
  <c r="O129" i="80"/>
  <c r="R134" i="80"/>
  <c r="V142" i="80"/>
  <c r="W142" i="80" s="1"/>
  <c r="T144" i="80"/>
  <c r="U144" i="80" s="1"/>
  <c r="R144" i="80"/>
  <c r="S144" i="80" s="1"/>
  <c r="V165" i="80"/>
  <c r="W165" i="80" s="1"/>
  <c r="T165" i="80"/>
  <c r="U165" i="80" s="1"/>
  <c r="R165" i="80"/>
  <c r="S165" i="80" s="1"/>
  <c r="P165" i="80"/>
  <c r="O165" i="80"/>
  <c r="V167" i="80"/>
  <c r="W167" i="80" s="1"/>
  <c r="T167" i="80"/>
  <c r="U167" i="80" s="1"/>
  <c r="R167" i="80"/>
  <c r="S167" i="80" s="1"/>
  <c r="P167" i="80"/>
  <c r="O167" i="80"/>
  <c r="P204" i="80"/>
  <c r="V204" i="80"/>
  <c r="W204" i="80" s="1"/>
  <c r="T204" i="80"/>
  <c r="U204" i="80" s="1"/>
  <c r="R204" i="80"/>
  <c r="S204" i="80" s="1"/>
  <c r="O204" i="80"/>
  <c r="AC246" i="80"/>
  <c r="O246" i="80"/>
  <c r="P129" i="80"/>
  <c r="T138" i="80"/>
  <c r="U138" i="80" s="1"/>
  <c r="R143" i="80"/>
  <c r="S143" i="80" s="1"/>
  <c r="V175" i="80"/>
  <c r="W175" i="80" s="1"/>
  <c r="T175" i="80"/>
  <c r="U175" i="80" s="1"/>
  <c r="R175" i="80"/>
  <c r="S175" i="80" s="1"/>
  <c r="P175" i="80"/>
  <c r="O175" i="80"/>
  <c r="P110" i="80"/>
  <c r="P112" i="80"/>
  <c r="P132" i="80"/>
  <c r="T134" i="80"/>
  <c r="U134" i="80" s="1"/>
  <c r="O135" i="80"/>
  <c r="P144" i="80"/>
  <c r="X197" i="80"/>
  <c r="Y197" i="80" s="1"/>
  <c r="S197" i="80"/>
  <c r="Q199" i="80"/>
  <c r="X199" i="80"/>
  <c r="Y199" i="80" s="1"/>
  <c r="O81" i="80"/>
  <c r="O89" i="80"/>
  <c r="O102" i="80"/>
  <c r="O122" i="80"/>
  <c r="O126" i="80"/>
  <c r="R129" i="80"/>
  <c r="S129" i="80" s="1"/>
  <c r="X185" i="80"/>
  <c r="Y185" i="80" s="1"/>
  <c r="Q185" i="80"/>
  <c r="P126" i="80"/>
  <c r="R132" i="80"/>
  <c r="S132" i="80" s="1"/>
  <c r="V134" i="80"/>
  <c r="W134" i="80" s="1"/>
  <c r="X170" i="80"/>
  <c r="Y170" i="80" s="1"/>
  <c r="Q170" i="80"/>
  <c r="AC178" i="80"/>
  <c r="O178" i="80"/>
  <c r="X179" i="80"/>
  <c r="Y179" i="80" s="1"/>
  <c r="L181" i="80"/>
  <c r="I181" i="80"/>
  <c r="G181" i="80"/>
  <c r="E181" i="80"/>
  <c r="O181" i="80"/>
  <c r="AC208" i="80"/>
  <c r="AC240" i="80"/>
  <c r="T256" i="80"/>
  <c r="U256" i="80" s="1"/>
  <c r="P256" i="80"/>
  <c r="O256" i="80"/>
  <c r="V256" i="80"/>
  <c r="W256" i="80" s="1"/>
  <c r="R256" i="80"/>
  <c r="S256" i="80" s="1"/>
  <c r="AC162" i="80"/>
  <c r="AC176" i="80"/>
  <c r="V182" i="80"/>
  <c r="W182" i="80" s="1"/>
  <c r="AC188" i="80"/>
  <c r="L191" i="80"/>
  <c r="X219" i="80"/>
  <c r="Q228" i="80"/>
  <c r="P231" i="80"/>
  <c r="O231" i="80"/>
  <c r="T231" i="80"/>
  <c r="U231" i="80" s="1"/>
  <c r="R231" i="80"/>
  <c r="S231" i="80" s="1"/>
  <c r="Q248" i="80"/>
  <c r="X253" i="80"/>
  <c r="Y253" i="80" s="1"/>
  <c r="T255" i="80"/>
  <c r="U255" i="80" s="1"/>
  <c r="O255" i="80"/>
  <c r="V166" i="80"/>
  <c r="W166" i="80" s="1"/>
  <c r="T236" i="80"/>
  <c r="U236" i="80" s="1"/>
  <c r="P236" i="80"/>
  <c r="X239" i="80"/>
  <c r="Y239" i="80" s="1"/>
  <c r="Q255" i="80"/>
  <c r="T258" i="80"/>
  <c r="U258" i="80" s="1"/>
  <c r="R258" i="80"/>
  <c r="S258" i="80" s="1"/>
  <c r="P258" i="80"/>
  <c r="Q263" i="80"/>
  <c r="Q269" i="80"/>
  <c r="X269" i="80"/>
  <c r="Y269" i="80" s="1"/>
  <c r="AC277" i="80"/>
  <c r="Y277" i="80"/>
  <c r="O173" i="80"/>
  <c r="Q181" i="80"/>
  <c r="O193" i="80"/>
  <c r="O196" i="80"/>
  <c r="O198" i="80"/>
  <c r="O200" i="80"/>
  <c r="Q208" i="80"/>
  <c r="O210" i="80"/>
  <c r="O236" i="80"/>
  <c r="Q240" i="80"/>
  <c r="T242" i="80"/>
  <c r="U242" i="80" s="1"/>
  <c r="P242" i="80"/>
  <c r="Q245" i="80"/>
  <c r="R255" i="80"/>
  <c r="S255" i="80" s="1"/>
  <c r="O258" i="80"/>
  <c r="X278" i="80"/>
  <c r="Q278" i="80"/>
  <c r="R288" i="80"/>
  <c r="S288" i="80" s="1"/>
  <c r="V288" i="80"/>
  <c r="W288" i="80" s="1"/>
  <c r="T288" i="80"/>
  <c r="U288" i="80" s="1"/>
  <c r="P288" i="80"/>
  <c r="O288" i="80"/>
  <c r="AC294" i="80"/>
  <c r="O294" i="80"/>
  <c r="S20" i="82"/>
  <c r="X20" i="82"/>
  <c r="Y20" i="82" s="1"/>
  <c r="V213" i="80"/>
  <c r="W213" i="80" s="1"/>
  <c r="R213" i="80"/>
  <c r="S213" i="80" s="1"/>
  <c r="Q214" i="80"/>
  <c r="AC216" i="80"/>
  <c r="T225" i="80"/>
  <c r="U225" i="80" s="1"/>
  <c r="P225" i="80"/>
  <c r="O225" i="80"/>
  <c r="V225" i="80"/>
  <c r="W225" i="80" s="1"/>
  <c r="Q227" i="80"/>
  <c r="X268" i="80"/>
  <c r="Y268" i="80" s="1"/>
  <c r="Q268" i="80"/>
  <c r="P171" i="80"/>
  <c r="O184" i="80"/>
  <c r="P191" i="80"/>
  <c r="O205" i="80"/>
  <c r="O212" i="80"/>
  <c r="O213" i="80"/>
  <c r="O214" i="80"/>
  <c r="L217" i="80"/>
  <c r="Y217" i="80"/>
  <c r="E217" i="80"/>
  <c r="O217" i="80"/>
  <c r="AC222" i="80"/>
  <c r="T224" i="80"/>
  <c r="U224" i="80" s="1"/>
  <c r="O224" i="80"/>
  <c r="V228" i="80"/>
  <c r="W228" i="80" s="1"/>
  <c r="V231" i="80"/>
  <c r="W231" i="80" s="1"/>
  <c r="R242" i="80"/>
  <c r="S242" i="80" s="1"/>
  <c r="X247" i="80"/>
  <c r="Y247" i="80" s="1"/>
  <c r="V255" i="80"/>
  <c r="W255" i="80" s="1"/>
  <c r="V258" i="80"/>
  <c r="W258" i="80" s="1"/>
  <c r="R173" i="80"/>
  <c r="O182" i="80"/>
  <c r="P184" i="80"/>
  <c r="R193" i="80"/>
  <c r="R196" i="80"/>
  <c r="R198" i="80"/>
  <c r="R200" i="80"/>
  <c r="P205" i="80"/>
  <c r="P213" i="80"/>
  <c r="R214" i="80"/>
  <c r="S214" i="80" s="1"/>
  <c r="X215" i="80"/>
  <c r="Y215" i="80" s="1"/>
  <c r="Q217" i="80"/>
  <c r="X218" i="80"/>
  <c r="Y218" i="80" s="1"/>
  <c r="T220" i="80"/>
  <c r="U220" i="80" s="1"/>
  <c r="O220" i="80"/>
  <c r="O221" i="80"/>
  <c r="AC221" i="80"/>
  <c r="P224" i="80"/>
  <c r="R225" i="80"/>
  <c r="S225" i="80" s="1"/>
  <c r="V236" i="80"/>
  <c r="W236" i="80" s="1"/>
  <c r="AC238" i="80"/>
  <c r="Y238" i="80"/>
  <c r="Q262" i="80"/>
  <c r="AC292" i="80"/>
  <c r="Y10" i="81"/>
  <c r="L12" i="75" s="1"/>
  <c r="M12" i="75" s="1"/>
  <c r="O166" i="80"/>
  <c r="R171" i="80"/>
  <c r="S171" i="80" s="1"/>
  <c r="T179" i="80"/>
  <c r="U179" i="80" s="1"/>
  <c r="O180" i="80"/>
  <c r="P182" i="80"/>
  <c r="R186" i="80"/>
  <c r="S186" i="80" s="1"/>
  <c r="T188" i="80"/>
  <c r="U188" i="80" s="1"/>
  <c r="R191" i="80"/>
  <c r="S191" i="80" s="1"/>
  <c r="AC207" i="80"/>
  <c r="T214" i="80"/>
  <c r="U214" i="80" s="1"/>
  <c r="Q215" i="80"/>
  <c r="S217" i="80"/>
  <c r="Q218" i="80"/>
  <c r="P220" i="80"/>
  <c r="R224" i="80"/>
  <c r="S224" i="80" s="1"/>
  <c r="V242" i="80"/>
  <c r="W242" i="80" s="1"/>
  <c r="X244" i="80"/>
  <c r="Y244" i="80" s="1"/>
  <c r="T267" i="80"/>
  <c r="U267" i="80" s="1"/>
  <c r="R267" i="80"/>
  <c r="S267" i="80" s="1"/>
  <c r="P267" i="80"/>
  <c r="O267" i="80"/>
  <c r="V267" i="80"/>
  <c r="W267" i="80" s="1"/>
  <c r="P275" i="80"/>
  <c r="V275" i="80"/>
  <c r="W275" i="80" s="1"/>
  <c r="T275" i="80"/>
  <c r="U275" i="80" s="1"/>
  <c r="R275" i="80"/>
  <c r="S275" i="80" s="1"/>
  <c r="O275" i="80"/>
  <c r="O160" i="80"/>
  <c r="P166" i="80"/>
  <c r="T173" i="80"/>
  <c r="U173" i="80" s="1"/>
  <c r="O174" i="80"/>
  <c r="O177" i="80"/>
  <c r="P180" i="80"/>
  <c r="R184" i="80"/>
  <c r="S184" i="80" s="1"/>
  <c r="AC187" i="80"/>
  <c r="AC190" i="80"/>
  <c r="T193" i="80"/>
  <c r="U193" i="80" s="1"/>
  <c r="O194" i="80"/>
  <c r="T196" i="80"/>
  <c r="U196" i="80" s="1"/>
  <c r="T198" i="80"/>
  <c r="U198" i="80" s="1"/>
  <c r="T200" i="80"/>
  <c r="U200" i="80" s="1"/>
  <c r="O201" i="80"/>
  <c r="E202" i="80"/>
  <c r="O203" i="80"/>
  <c r="E204" i="80"/>
  <c r="O206" i="80"/>
  <c r="T213" i="80"/>
  <c r="U213" i="80" s="1"/>
  <c r="U217" i="80"/>
  <c r="Q261" i="80"/>
  <c r="AC156" i="80"/>
  <c r="P160" i="80"/>
  <c r="T171" i="80"/>
  <c r="U171" i="80" s="1"/>
  <c r="AC172" i="80"/>
  <c r="P174" i="80"/>
  <c r="P177" i="80"/>
  <c r="R182" i="80"/>
  <c r="S182" i="80" s="1"/>
  <c r="T186" i="80"/>
  <c r="U186" i="80" s="1"/>
  <c r="O187" i="80"/>
  <c r="O190" i="80"/>
  <c r="T191" i="80"/>
  <c r="U191" i="80" s="1"/>
  <c r="AC192" i="80"/>
  <c r="P194" i="80"/>
  <c r="E196" i="80"/>
  <c r="E198" i="80"/>
  <c r="O199" i="80"/>
  <c r="E200" i="80"/>
  <c r="P201" i="80"/>
  <c r="G202" i="80"/>
  <c r="P203" i="80"/>
  <c r="G204" i="80"/>
  <c r="T205" i="80"/>
  <c r="U205" i="80" s="1"/>
  <c r="P206" i="80"/>
  <c r="AC209" i="80"/>
  <c r="Y209" i="80"/>
  <c r="V214" i="80"/>
  <c r="W214" i="80" s="1"/>
  <c r="W217" i="80"/>
  <c r="R220" i="80"/>
  <c r="S220" i="80" s="1"/>
  <c r="V224" i="80"/>
  <c r="W224" i="80" s="1"/>
  <c r="X235" i="80"/>
  <c r="Y235" i="80" s="1"/>
  <c r="AC243" i="80"/>
  <c r="X257" i="80"/>
  <c r="Y257" i="80" s="1"/>
  <c r="AC274" i="80"/>
  <c r="Y274" i="80"/>
  <c r="AC280" i="80"/>
  <c r="Y280" i="80"/>
  <c r="V287" i="80"/>
  <c r="W287" i="80" s="1"/>
  <c r="R287" i="80"/>
  <c r="S287" i="80" s="1"/>
  <c r="T287" i="80"/>
  <c r="U287" i="80" s="1"/>
  <c r="O287" i="80"/>
  <c r="T11" i="82"/>
  <c r="U11" i="82" s="1"/>
  <c r="R11" i="82"/>
  <c r="S11" i="82" s="1"/>
  <c r="P11" i="82"/>
  <c r="V11" i="82"/>
  <c r="W11" i="82" s="1"/>
  <c r="O11" i="82"/>
  <c r="AC145" i="80"/>
  <c r="AC148" i="80"/>
  <c r="AC154" i="80"/>
  <c r="O156" i="80"/>
  <c r="AC170" i="80"/>
  <c r="E191" i="80"/>
  <c r="G196" i="80"/>
  <c r="G198" i="80"/>
  <c r="G200" i="80"/>
  <c r="I202" i="80"/>
  <c r="I204" i="80"/>
  <c r="X241" i="80"/>
  <c r="Y241" i="80" s="1"/>
  <c r="Q249" i="80"/>
  <c r="X249" i="80"/>
  <c r="V251" i="80"/>
  <c r="W251" i="80" s="1"/>
  <c r="R251" i="80"/>
  <c r="S251" i="80" s="1"/>
  <c r="O251" i="80"/>
  <c r="AC270" i="80"/>
  <c r="Y279" i="80"/>
  <c r="AC284" i="80"/>
  <c r="Y284" i="80"/>
  <c r="Q287" i="80"/>
  <c r="AB10" i="81"/>
  <c r="V205" i="80"/>
  <c r="W205" i="80" s="1"/>
  <c r="O207" i="80"/>
  <c r="V220" i="80"/>
  <c r="W220" i="80" s="1"/>
  <c r="O249" i="80"/>
  <c r="P251" i="80"/>
  <c r="AC254" i="80"/>
  <c r="V266" i="80"/>
  <c r="W266" i="80" s="1"/>
  <c r="T266" i="80"/>
  <c r="U266" i="80" s="1"/>
  <c r="R266" i="80"/>
  <c r="S266" i="80" s="1"/>
  <c r="O266" i="80"/>
  <c r="AC283" i="80"/>
  <c r="X10" i="82"/>
  <c r="Q10" i="82"/>
  <c r="AC218" i="80"/>
  <c r="AC239" i="80"/>
  <c r="AC264" i="80"/>
  <c r="T285" i="80"/>
  <c r="U285" i="80" s="1"/>
  <c r="AC290" i="80"/>
  <c r="V19" i="82"/>
  <c r="W19" i="82" s="1"/>
  <c r="R19" i="82"/>
  <c r="S19" i="82" s="1"/>
  <c r="Q26" i="82"/>
  <c r="X26" i="82"/>
  <c r="Y26" i="82" s="1"/>
  <c r="AC41" i="82"/>
  <c r="O41" i="82"/>
  <c r="AC26" i="83"/>
  <c r="AC28" i="83"/>
  <c r="AC46" i="83"/>
  <c r="AC65" i="83"/>
  <c r="AC76" i="83"/>
  <c r="AC112" i="83"/>
  <c r="AC121" i="83"/>
  <c r="AC130" i="83"/>
  <c r="V14" i="82"/>
  <c r="W14" i="82" s="1"/>
  <c r="T14" i="82"/>
  <c r="U14" i="82" s="1"/>
  <c r="U47" i="82" s="1"/>
  <c r="J13" i="75" s="1"/>
  <c r="R14" i="82"/>
  <c r="S14" i="82" s="1"/>
  <c r="V17" i="82"/>
  <c r="W17" i="82" s="1"/>
  <c r="W47" i="82" s="1"/>
  <c r="K13" i="75" s="1"/>
  <c r="T17" i="82"/>
  <c r="U17" i="82" s="1"/>
  <c r="Q18" i="82"/>
  <c r="X18" i="82"/>
  <c r="Y18" i="82" s="1"/>
  <c r="AC21" i="88"/>
  <c r="AB21" i="88"/>
  <c r="AC39" i="88"/>
  <c r="AB39" i="88"/>
  <c r="AC58" i="88"/>
  <c r="AB58" i="88"/>
  <c r="AC86" i="88"/>
  <c r="AB86" i="88"/>
  <c r="V285" i="80"/>
  <c r="W285" i="80" s="1"/>
  <c r="Q297" i="80"/>
  <c r="E47" i="82"/>
  <c r="C13" i="75" s="1"/>
  <c r="Y9" i="82"/>
  <c r="AB9" i="82" s="1"/>
  <c r="S10" i="82"/>
  <c r="O13" i="82"/>
  <c r="AB13" i="82" s="1"/>
  <c r="O14" i="82"/>
  <c r="Q15" i="82"/>
  <c r="X15" i="82"/>
  <c r="Y15" i="82" s="1"/>
  <c r="O17" i="82"/>
  <c r="Q21" i="82"/>
  <c r="AC35" i="82"/>
  <c r="Y35" i="82"/>
  <c r="W229" i="83"/>
  <c r="K14" i="75" s="1"/>
  <c r="AC17" i="83"/>
  <c r="AC41" i="83"/>
  <c r="AC69" i="83"/>
  <c r="AC80" i="83"/>
  <c r="AC84" i="83"/>
  <c r="AC86" i="83"/>
  <c r="AC145" i="83"/>
  <c r="AC163" i="83"/>
  <c r="V263" i="80"/>
  <c r="W263" i="80" s="1"/>
  <c r="G47" i="82"/>
  <c r="D13" i="75" s="1"/>
  <c r="P14" i="82"/>
  <c r="P17" i="82"/>
  <c r="AC34" i="83"/>
  <c r="AC58" i="83"/>
  <c r="AC92" i="83"/>
  <c r="AC109" i="83"/>
  <c r="AC116" i="83"/>
  <c r="AC134" i="83"/>
  <c r="AC8" i="88"/>
  <c r="AB8" i="88"/>
  <c r="O87" i="88"/>
  <c r="I47" i="82"/>
  <c r="E13" i="75" s="1"/>
  <c r="R17" i="82"/>
  <c r="S17" i="82" s="1"/>
  <c r="X45" i="82"/>
  <c r="S45" i="82"/>
  <c r="V226" i="80"/>
  <c r="W226" i="80" s="1"/>
  <c r="AC237" i="80"/>
  <c r="V244" i="80"/>
  <c r="W244" i="80" s="1"/>
  <c r="V247" i="80"/>
  <c r="W247" i="80" s="1"/>
  <c r="V259" i="80"/>
  <c r="W259" i="80" s="1"/>
  <c r="P260" i="80"/>
  <c r="V261" i="80"/>
  <c r="W261" i="80" s="1"/>
  <c r="V268" i="80"/>
  <c r="W268" i="80" s="1"/>
  <c r="AC272" i="80"/>
  <c r="X276" i="80"/>
  <c r="X281" i="80"/>
  <c r="Y286" i="80"/>
  <c r="X293" i="80"/>
  <c r="Y293" i="80" s="1"/>
  <c r="P298" i="80"/>
  <c r="Y9" i="81"/>
  <c r="L47" i="82"/>
  <c r="F13" i="75" s="1"/>
  <c r="AC10" i="83"/>
  <c r="AC12" i="83"/>
  <c r="AC45" i="83"/>
  <c r="AC102" i="83"/>
  <c r="AC173" i="83"/>
  <c r="R227" i="80"/>
  <c r="S227" i="80" s="1"/>
  <c r="R245" i="80"/>
  <c r="S245" i="80" s="1"/>
  <c r="R248" i="80"/>
  <c r="S248" i="80" s="1"/>
  <c r="AC252" i="80"/>
  <c r="R262" i="80"/>
  <c r="S262" i="80" s="1"/>
  <c r="AC265" i="80"/>
  <c r="R269" i="80"/>
  <c r="S269" i="80" s="1"/>
  <c r="R298" i="80"/>
  <c r="S298" i="80" s="1"/>
  <c r="X10" i="81"/>
  <c r="M47" i="82"/>
  <c r="Q33" i="82"/>
  <c r="X33" i="82"/>
  <c r="Y33" i="82" s="1"/>
  <c r="AC27" i="83"/>
  <c r="AC38" i="83"/>
  <c r="AC120" i="83"/>
  <c r="AC151" i="83"/>
  <c r="R260" i="80"/>
  <c r="S260" i="80" s="1"/>
  <c r="AC66" i="83"/>
  <c r="AC77" i="83"/>
  <c r="AC95" i="83"/>
  <c r="AC133" i="83"/>
  <c r="AC153" i="83"/>
  <c r="Q285" i="80"/>
  <c r="X285" i="80"/>
  <c r="Y285" i="80" s="1"/>
  <c r="V29" i="82"/>
  <c r="W29" i="82" s="1"/>
  <c r="T29" i="82"/>
  <c r="U29" i="82" s="1"/>
  <c r="R29" i="82"/>
  <c r="S29" i="82" s="1"/>
  <c r="S47" i="82" s="1"/>
  <c r="I13" i="75" s="1"/>
  <c r="P29" i="82"/>
  <c r="O29" i="82"/>
  <c r="AC244" i="80"/>
  <c r="AC247" i="80"/>
  <c r="Y282" i="80"/>
  <c r="O285" i="80"/>
  <c r="AC44" i="83"/>
  <c r="AC57" i="83"/>
  <c r="AC148" i="83"/>
  <c r="AC273" i="80"/>
  <c r="R285" i="80"/>
  <c r="S285" i="80" s="1"/>
  <c r="T291" i="80"/>
  <c r="U291" i="80" s="1"/>
  <c r="T295" i="80"/>
  <c r="U295" i="80" s="1"/>
  <c r="P295" i="80"/>
  <c r="O28" i="82"/>
  <c r="AC22" i="83"/>
  <c r="AC35" i="83"/>
  <c r="AC63" i="83"/>
  <c r="AC72" i="83"/>
  <c r="AC89" i="83"/>
  <c r="AC99" i="83"/>
  <c r="AC128" i="83"/>
  <c r="AC135" i="83"/>
  <c r="AC137" i="83"/>
  <c r="AC170" i="83"/>
  <c r="Y176" i="83"/>
  <c r="AC176" i="83" s="1"/>
  <c r="AC224" i="83"/>
  <c r="AC11" i="84"/>
  <c r="AB11" i="84"/>
  <c r="AC15" i="86"/>
  <c r="AB15" i="86"/>
  <c r="AC30" i="94"/>
  <c r="AB30" i="94"/>
  <c r="O34" i="82"/>
  <c r="Y36" i="82"/>
  <c r="O42" i="82"/>
  <c r="O46" i="82"/>
  <c r="M229" i="83"/>
  <c r="AC155" i="83"/>
  <c r="AC158" i="83"/>
  <c r="AC226" i="83"/>
  <c r="AC228" i="83"/>
  <c r="Q25" i="87"/>
  <c r="H18" i="75" s="1"/>
  <c r="I25" i="87"/>
  <c r="E18" i="75" s="1"/>
  <c r="N18" i="75" s="1"/>
  <c r="O18" i="75" s="1"/>
  <c r="P18" i="75" s="1"/>
  <c r="Q18" i="75" s="1"/>
  <c r="AC12" i="88"/>
  <c r="AB12" i="88"/>
  <c r="AC25" i="88"/>
  <c r="AB25" i="88"/>
  <c r="AC40" i="88"/>
  <c r="AB40" i="88"/>
  <c r="AC57" i="88"/>
  <c r="AB57" i="88"/>
  <c r="P34" i="82"/>
  <c r="Y37" i="82"/>
  <c r="O43" i="82"/>
  <c r="AB43" i="82" s="1"/>
  <c r="P46" i="82"/>
  <c r="O229" i="83"/>
  <c r="AC178" i="83"/>
  <c r="U87" i="88"/>
  <c r="J19" i="75" s="1"/>
  <c r="AC33" i="88"/>
  <c r="AB33" i="88"/>
  <c r="AC38" i="88"/>
  <c r="AB38" i="88"/>
  <c r="AC48" i="88"/>
  <c r="AB48" i="88"/>
  <c r="AC51" i="88"/>
  <c r="AB51" i="88"/>
  <c r="AC54" i="88"/>
  <c r="AB54" i="88"/>
  <c r="O32" i="82"/>
  <c r="Y38" i="82"/>
  <c r="Q229" i="83"/>
  <c r="H14" i="75" s="1"/>
  <c r="AC147" i="83"/>
  <c r="AC165" i="83"/>
  <c r="AC192" i="83"/>
  <c r="AC197" i="83"/>
  <c r="Y14" i="84"/>
  <c r="L15" i="75" s="1"/>
  <c r="P15" i="75" s="1"/>
  <c r="Q15" i="75" s="1"/>
  <c r="U25" i="87"/>
  <c r="J18" i="75" s="1"/>
  <c r="W87" i="88"/>
  <c r="K19" i="75" s="1"/>
  <c r="AC10" i="88"/>
  <c r="AB10" i="88"/>
  <c r="AC13" i="88"/>
  <c r="AB13" i="88"/>
  <c r="AC17" i="88"/>
  <c r="AB17" i="88"/>
  <c r="AC23" i="88"/>
  <c r="AB23" i="88"/>
  <c r="AC26" i="88"/>
  <c r="AB26" i="88"/>
  <c r="X87" i="88"/>
  <c r="AC26" i="90"/>
  <c r="AB26" i="90"/>
  <c r="P32" i="82"/>
  <c r="R34" i="82"/>
  <c r="S34" i="82" s="1"/>
  <c r="Y39" i="82"/>
  <c r="O44" i="82"/>
  <c r="R46" i="82"/>
  <c r="S46" i="82" s="1"/>
  <c r="S229" i="83"/>
  <c r="I14" i="75" s="1"/>
  <c r="AC24" i="87"/>
  <c r="AB24" i="87"/>
  <c r="AC20" i="88"/>
  <c r="AB20" i="88"/>
  <c r="AC36" i="88"/>
  <c r="AB36" i="88"/>
  <c r="AC43" i="88"/>
  <c r="AB43" i="88"/>
  <c r="P44" i="82"/>
  <c r="U229" i="83"/>
  <c r="J14" i="75" s="1"/>
  <c r="AC180" i="83"/>
  <c r="Y185" i="83"/>
  <c r="AC185" i="83" s="1"/>
  <c r="Y204" i="83"/>
  <c r="AC204" i="83" s="1"/>
  <c r="AC209" i="83"/>
  <c r="AC211" i="83"/>
  <c r="AC213" i="83"/>
  <c r="AC219" i="83"/>
  <c r="Y18" i="85"/>
  <c r="AB18" i="85" s="1"/>
  <c r="Y87" i="88"/>
  <c r="L19" i="75" s="1"/>
  <c r="R32" i="82"/>
  <c r="S32" i="82" s="1"/>
  <c r="T34" i="82"/>
  <c r="U34" i="82" s="1"/>
  <c r="T46" i="82"/>
  <c r="U46" i="82" s="1"/>
  <c r="AC10" i="84"/>
  <c r="AB10" i="84"/>
  <c r="Y25" i="87"/>
  <c r="L18" i="75" s="1"/>
  <c r="AC23" i="87"/>
  <c r="AC29" i="88"/>
  <c r="AB29" i="88"/>
  <c r="AC50" i="88"/>
  <c r="AB50" i="88"/>
  <c r="AC53" i="88"/>
  <c r="AB53" i="88"/>
  <c r="AC61" i="88"/>
  <c r="AB61" i="88"/>
  <c r="AC82" i="88"/>
  <c r="L42" i="90"/>
  <c r="F21" i="75" s="1"/>
  <c r="AC10" i="91"/>
  <c r="AB10" i="91"/>
  <c r="AC13" i="91"/>
  <c r="AB13" i="91"/>
  <c r="AC16" i="91"/>
  <c r="AB16" i="91"/>
  <c r="AC19" i="91"/>
  <c r="AB19" i="91"/>
  <c r="AC22" i="91"/>
  <c r="AB22" i="91"/>
  <c r="AC25" i="91"/>
  <c r="AB25" i="91"/>
  <c r="AC28" i="91"/>
  <c r="AB28" i="91"/>
  <c r="Y8" i="92"/>
  <c r="Y9" i="92" s="1"/>
  <c r="L23" i="75" s="1"/>
  <c r="M23" i="75" s="1"/>
  <c r="X9" i="92"/>
  <c r="AC18" i="82"/>
  <c r="AC26" i="82"/>
  <c r="AC33" i="82"/>
  <c r="R44" i="82"/>
  <c r="S44" i="82" s="1"/>
  <c r="X229" i="83"/>
  <c r="AC189" i="83"/>
  <c r="AC196" i="83"/>
  <c r="AC206" i="83"/>
  <c r="S14" i="84"/>
  <c r="I15" i="75" s="1"/>
  <c r="AC10" i="87"/>
  <c r="AC9" i="88"/>
  <c r="AB9" i="88"/>
  <c r="AB16" i="88"/>
  <c r="AC19" i="88"/>
  <c r="AB19" i="88"/>
  <c r="AC22" i="88"/>
  <c r="AB22" i="88"/>
  <c r="AC32" i="88"/>
  <c r="AB32" i="88"/>
  <c r="AC60" i="88"/>
  <c r="AB60" i="88"/>
  <c r="AC66" i="88"/>
  <c r="AB66" i="88"/>
  <c r="AB69" i="88"/>
  <c r="AC20" i="90"/>
  <c r="AB20" i="90"/>
  <c r="AB41" i="90"/>
  <c r="AC41" i="90"/>
  <c r="O15" i="82"/>
  <c r="O18" i="82"/>
  <c r="O26" i="82"/>
  <c r="Y31" i="82"/>
  <c r="T32" i="82"/>
  <c r="U32" i="82" s="1"/>
  <c r="O33" i="82"/>
  <c r="Y9" i="83"/>
  <c r="Y189" i="83"/>
  <c r="AB10" i="85"/>
  <c r="AC13" i="87"/>
  <c r="AC22" i="87"/>
  <c r="AC35" i="88"/>
  <c r="AB35" i="88"/>
  <c r="E87" i="88"/>
  <c r="C19" i="75" s="1"/>
  <c r="AC72" i="88"/>
  <c r="AB72" i="88"/>
  <c r="AB75" i="88"/>
  <c r="AC297" i="80"/>
  <c r="AC9" i="83"/>
  <c r="Y146" i="83"/>
  <c r="AC146" i="83" s="1"/>
  <c r="AC156" i="83"/>
  <c r="Y164" i="83"/>
  <c r="AC164" i="83" s="1"/>
  <c r="AC169" i="83"/>
  <c r="AC179" i="83"/>
  <c r="Y201" i="83"/>
  <c r="AC201" i="83" s="1"/>
  <c r="AB15" i="88"/>
  <c r="G87" i="88"/>
  <c r="D19" i="75" s="1"/>
  <c r="AC59" i="88"/>
  <c r="AB59" i="88"/>
  <c r="AB81" i="88"/>
  <c r="AC19" i="90"/>
  <c r="AB19" i="90"/>
  <c r="AC161" i="83"/>
  <c r="AC198" i="83"/>
  <c r="AC208" i="83"/>
  <c r="AB8" i="84"/>
  <c r="X14" i="84"/>
  <c r="I18" i="85"/>
  <c r="L15" i="86"/>
  <c r="F17" i="75" s="1"/>
  <c r="L25" i="87"/>
  <c r="F18" i="75" s="1"/>
  <c r="AC31" i="88"/>
  <c r="AB31" i="88"/>
  <c r="AC41" i="88"/>
  <c r="AC49" i="88"/>
  <c r="AB49" i="88"/>
  <c r="AC52" i="88"/>
  <c r="AB52" i="88"/>
  <c r="AC80" i="88"/>
  <c r="M87" i="88"/>
  <c r="M42" i="90"/>
  <c r="Y29" i="91"/>
  <c r="L22" i="75" s="1"/>
  <c r="P22" i="75" s="1"/>
  <c r="Q22" i="75" s="1"/>
  <c r="O42" i="90"/>
  <c r="AC18" i="90"/>
  <c r="AB22" i="90"/>
  <c r="AB28" i="90"/>
  <c r="AB34" i="90"/>
  <c r="AC20" i="97"/>
  <c r="AB20" i="97"/>
  <c r="Y14" i="102"/>
  <c r="L33" i="75" s="1"/>
  <c r="P33" i="75" s="1"/>
  <c r="AB11" i="88"/>
  <c r="AB24" i="88"/>
  <c r="AB37" i="88"/>
  <c r="AB68" i="88"/>
  <c r="AB74" i="88"/>
  <c r="Q42" i="90"/>
  <c r="H21" i="75" s="1"/>
  <c r="AB40" i="90"/>
  <c r="AC11" i="93"/>
  <c r="AC26" i="94"/>
  <c r="AC29" i="94"/>
  <c r="AB29" i="94"/>
  <c r="Y33" i="94"/>
  <c r="AC33" i="94" s="1"/>
  <c r="AC35" i="94"/>
  <c r="AC11" i="99"/>
  <c r="AC17" i="99"/>
  <c r="AB22" i="99"/>
  <c r="U15" i="86"/>
  <c r="J17" i="75" s="1"/>
  <c r="S42" i="90"/>
  <c r="I21" i="75" s="1"/>
  <c r="AC9" i="91"/>
  <c r="AB9" i="91"/>
  <c r="AC12" i="91"/>
  <c r="AB12" i="91"/>
  <c r="AC15" i="91"/>
  <c r="AB15" i="91"/>
  <c r="AC18" i="91"/>
  <c r="AB18" i="91"/>
  <c r="AC21" i="91"/>
  <c r="AB21" i="91"/>
  <c r="AC24" i="91"/>
  <c r="AB24" i="91"/>
  <c r="AC27" i="91"/>
  <c r="AB27" i="91"/>
  <c r="AC39" i="94"/>
  <c r="AB18" i="95"/>
  <c r="AC10" i="97"/>
  <c r="AB10" i="97"/>
  <c r="X25" i="87"/>
  <c r="W42" i="90"/>
  <c r="K21" i="75" s="1"/>
  <c r="AC12" i="93"/>
  <c r="AB12" i="93"/>
  <c r="AC28" i="94"/>
  <c r="AB28" i="94"/>
  <c r="AB21" i="99"/>
  <c r="AB17" i="103"/>
  <c r="X42" i="90"/>
  <c r="AC9" i="92"/>
  <c r="AB9" i="92"/>
  <c r="AC27" i="94"/>
  <c r="AB27" i="94"/>
  <c r="AB13" i="97"/>
  <c r="AC9" i="99"/>
  <c r="AC15" i="99"/>
  <c r="O25" i="87"/>
  <c r="AC8" i="91"/>
  <c r="O29" i="91"/>
  <c r="AB8" i="91"/>
  <c r="AC11" i="91"/>
  <c r="AB11" i="91"/>
  <c r="AC14" i="91"/>
  <c r="AB14" i="91"/>
  <c r="AC17" i="91"/>
  <c r="AB17" i="91"/>
  <c r="AC20" i="91"/>
  <c r="AB20" i="91"/>
  <c r="AC23" i="91"/>
  <c r="AB23" i="91"/>
  <c r="AC26" i="91"/>
  <c r="AB26" i="91"/>
  <c r="G45" i="94"/>
  <c r="D25" i="75" s="1"/>
  <c r="N25" i="75" s="1"/>
  <c r="O25" i="75" s="1"/>
  <c r="AC34" i="94"/>
  <c r="Y20" i="97"/>
  <c r="L28" i="75" s="1"/>
  <c r="M28" i="75" s="1"/>
  <c r="AB13" i="84"/>
  <c r="AB8" i="86"/>
  <c r="AB9" i="86"/>
  <c r="AB10" i="86"/>
  <c r="AB11" i="86"/>
  <c r="AB12" i="86"/>
  <c r="AB13" i="86"/>
  <c r="AB14" i="86"/>
  <c r="AB18" i="88"/>
  <c r="AB30" i="88"/>
  <c r="AB44" i="88"/>
  <c r="AB45" i="88"/>
  <c r="AB46" i="88"/>
  <c r="AB47" i="88"/>
  <c r="AB55" i="88"/>
  <c r="AB62" i="88"/>
  <c r="AB65" i="88"/>
  <c r="AB71" i="88"/>
  <c r="AB77" i="88"/>
  <c r="AB8" i="90"/>
  <c r="AB9" i="90"/>
  <c r="AB10" i="90"/>
  <c r="AB11" i="90"/>
  <c r="AB12" i="90"/>
  <c r="AB13" i="90"/>
  <c r="AB14" i="90"/>
  <c r="AB15" i="90"/>
  <c r="AB16" i="90"/>
  <c r="AB17" i="90"/>
  <c r="AB18" i="90"/>
  <c r="AC38" i="90"/>
  <c r="AB38" i="90"/>
  <c r="AC40" i="90"/>
  <c r="Q29" i="91"/>
  <c r="H22" i="75" s="1"/>
  <c r="AB10" i="93"/>
  <c r="AC8" i="99"/>
  <c r="AC14" i="99"/>
  <c r="AC20" i="99"/>
  <c r="AB9" i="101"/>
  <c r="O14" i="84"/>
  <c r="AC8" i="86"/>
  <c r="AB63" i="88"/>
  <c r="AB78" i="88"/>
  <c r="AC8" i="90"/>
  <c r="AC21" i="90"/>
  <c r="AB24" i="90"/>
  <c r="AC27" i="90"/>
  <c r="AB30" i="90"/>
  <c r="AC33" i="90"/>
  <c r="E42" i="90"/>
  <c r="C21" i="75" s="1"/>
  <c r="N21" i="75" s="1"/>
  <c r="O21" i="75" s="1"/>
  <c r="P21" i="75" s="1"/>
  <c r="Q21" i="75" s="1"/>
  <c r="L45" i="94"/>
  <c r="F25" i="75" s="1"/>
  <c r="M25" i="94"/>
  <c r="AC31" i="94"/>
  <c r="AB31" i="94"/>
  <c r="Y36" i="94"/>
  <c r="AC36" i="94" s="1"/>
  <c r="AC38" i="94"/>
  <c r="AC40" i="94"/>
  <c r="AB11" i="102"/>
  <c r="AB14" i="105"/>
  <c r="AB8" i="89"/>
  <c r="AB35" i="90"/>
  <c r="AC37" i="90"/>
  <c r="AB37" i="90"/>
  <c r="AC42" i="94"/>
  <c r="AC13" i="99"/>
  <c r="AC19" i="99"/>
  <c r="AC27" i="99"/>
  <c r="AB11" i="100"/>
  <c r="Y9" i="101"/>
  <c r="L32" i="75" s="1"/>
  <c r="M32" i="75" s="1"/>
  <c r="AB8" i="101"/>
  <c r="AB15" i="103"/>
  <c r="O33" i="99"/>
  <c r="AB8" i="92"/>
  <c r="Y12" i="93"/>
  <c r="L24" i="75" s="1"/>
  <c r="M24" i="75" s="1"/>
  <c r="X15" i="96"/>
  <c r="X14" i="98"/>
  <c r="AC14" i="98" s="1"/>
  <c r="O18" i="100"/>
  <c r="X29" i="91"/>
  <c r="AC8" i="92"/>
  <c r="Y15" i="96"/>
  <c r="L27" i="75" s="1"/>
  <c r="M27" i="75" s="1"/>
  <c r="M29" i="91"/>
  <c r="Y8" i="95"/>
  <c r="Y18" i="95" s="1"/>
  <c r="L26" i="75" s="1"/>
  <c r="P26" i="75" s="1"/>
  <c r="AB8" i="97"/>
  <c r="Y13" i="98"/>
  <c r="Y14" i="98" s="1"/>
  <c r="Y8" i="99"/>
  <c r="Y33" i="99" s="1"/>
  <c r="L30" i="75" s="1"/>
  <c r="P30" i="75" s="1"/>
  <c r="Q30" i="75" s="1"/>
  <c r="X9" i="104"/>
  <c r="Y8" i="105"/>
  <c r="AC8" i="97"/>
  <c r="AB9" i="97"/>
  <c r="X14" i="102"/>
  <c r="Y8" i="103"/>
  <c r="AB11" i="97"/>
  <c r="AB16" i="97"/>
  <c r="AB8" i="104"/>
  <c r="AB9" i="93"/>
  <c r="O14" i="102"/>
  <c r="X9" i="101"/>
  <c r="AD9" i="93"/>
  <c r="Y8" i="100"/>
  <c r="Y18" i="100" s="1"/>
  <c r="L31" i="75" s="1"/>
  <c r="Y8" i="94"/>
  <c r="D37" i="75" l="1"/>
  <c r="N11" i="75"/>
  <c r="O11" i="75" s="1"/>
  <c r="Y8" i="80"/>
  <c r="AC8" i="80"/>
  <c r="E37" i="75"/>
  <c r="L29" i="75"/>
  <c r="M29" i="75" s="1"/>
  <c r="AB14" i="98"/>
  <c r="E167" i="64"/>
  <c r="E168" i="64"/>
  <c r="E169" i="64" s="1"/>
  <c r="E171" i="64" s="1"/>
  <c r="Q233" i="80"/>
  <c r="X233" i="80"/>
  <c r="Q107" i="80"/>
  <c r="X107" i="80"/>
  <c r="Q13" i="80"/>
  <c r="X13" i="80"/>
  <c r="AC14" i="80"/>
  <c r="Y14" i="80"/>
  <c r="AB14" i="80" s="1"/>
  <c r="Y49" i="77"/>
  <c r="L8" i="75" s="1"/>
  <c r="P8" i="75" s="1"/>
  <c r="Q8" i="75" s="1"/>
  <c r="Y249" i="80"/>
  <c r="AC249" i="80"/>
  <c r="Q275" i="80"/>
  <c r="X275" i="80"/>
  <c r="X220" i="80"/>
  <c r="Q220" i="80"/>
  <c r="Q182" i="80"/>
  <c r="X182" i="80"/>
  <c r="X227" i="80"/>
  <c r="AC278" i="80"/>
  <c r="Y278" i="80"/>
  <c r="X175" i="80"/>
  <c r="Q175" i="80"/>
  <c r="Q143" i="80"/>
  <c r="X143" i="80"/>
  <c r="X138" i="80"/>
  <c r="Q138" i="80"/>
  <c r="V117" i="80"/>
  <c r="W117" i="80" s="1"/>
  <c r="T117" i="80"/>
  <c r="U117" i="80" s="1"/>
  <c r="R117" i="80"/>
  <c r="S117" i="80" s="1"/>
  <c r="P117" i="80"/>
  <c r="O117" i="80"/>
  <c r="X115" i="80"/>
  <c r="Q20" i="80"/>
  <c r="X20" i="80"/>
  <c r="Q30" i="80"/>
  <c r="X30" i="80"/>
  <c r="X111" i="80"/>
  <c r="X59" i="80"/>
  <c r="Q59" i="80"/>
  <c r="X113" i="80"/>
  <c r="X49" i="77"/>
  <c r="P24" i="75"/>
  <c r="Q24" i="75" s="1"/>
  <c r="AB18" i="100"/>
  <c r="G31" i="75"/>
  <c r="M31" i="75" s="1"/>
  <c r="N19" i="75"/>
  <c r="O19" i="75" s="1"/>
  <c r="P19" i="75" s="1"/>
  <c r="Q19" i="75" s="1"/>
  <c r="AC285" i="80"/>
  <c r="Q213" i="80"/>
  <c r="X213" i="80"/>
  <c r="X263" i="80"/>
  <c r="X231" i="80"/>
  <c r="Q231" i="80"/>
  <c r="Q144" i="80"/>
  <c r="X144" i="80"/>
  <c r="Q150" i="80"/>
  <c r="X150" i="80"/>
  <c r="Q18" i="80"/>
  <c r="X18" i="80"/>
  <c r="Q72" i="80"/>
  <c r="X72" i="80"/>
  <c r="AC78" i="80"/>
  <c r="Y233" i="79"/>
  <c r="L10" i="75" s="1"/>
  <c r="AB8" i="79"/>
  <c r="P29" i="75"/>
  <c r="Q29" i="75" s="1"/>
  <c r="S49" i="77"/>
  <c r="I8" i="75" s="1"/>
  <c r="C37" i="75"/>
  <c r="N37" i="75" s="1"/>
  <c r="O37" i="75" s="1"/>
  <c r="N7" i="75"/>
  <c r="O7" i="75" s="1"/>
  <c r="P7" i="75" s="1"/>
  <c r="Q7" i="75" s="1"/>
  <c r="X34" i="82"/>
  <c r="Q34" i="82"/>
  <c r="AC281" i="80"/>
  <c r="Y281" i="80"/>
  <c r="Q160" i="80"/>
  <c r="X160" i="80"/>
  <c r="Q180" i="80"/>
  <c r="X180" i="80"/>
  <c r="Q205" i="80"/>
  <c r="X205" i="80"/>
  <c r="X228" i="80"/>
  <c r="X204" i="80"/>
  <c r="Q204" i="80"/>
  <c r="AC168" i="80"/>
  <c r="Y168" i="80"/>
  <c r="X135" i="80"/>
  <c r="AC130" i="80"/>
  <c r="Y130" i="80"/>
  <c r="R299" i="80"/>
  <c r="S8" i="80"/>
  <c r="X47" i="80"/>
  <c r="X97" i="80"/>
  <c r="AC9" i="78"/>
  <c r="AB9" i="78"/>
  <c r="AC29" i="91"/>
  <c r="AB29" i="91"/>
  <c r="G22" i="75"/>
  <c r="M22" i="75" s="1"/>
  <c r="Y276" i="80"/>
  <c r="AC276" i="80"/>
  <c r="AC45" i="82"/>
  <c r="Y45" i="82"/>
  <c r="Q17" i="82"/>
  <c r="X17" i="82"/>
  <c r="AC253" i="80"/>
  <c r="X287" i="80"/>
  <c r="Q194" i="80"/>
  <c r="X194" i="80"/>
  <c r="Q267" i="80"/>
  <c r="X267" i="80"/>
  <c r="S200" i="80"/>
  <c r="X200" i="80"/>
  <c r="X245" i="80"/>
  <c r="Q114" i="80"/>
  <c r="X114" i="80"/>
  <c r="Q100" i="80"/>
  <c r="X100" i="80"/>
  <c r="X58" i="80"/>
  <c r="Q58" i="80"/>
  <c r="X102" i="80"/>
  <c r="S57" i="80"/>
  <c r="X57" i="80"/>
  <c r="X31" i="80"/>
  <c r="AC23" i="80"/>
  <c r="AC105" i="76"/>
  <c r="G7" i="75"/>
  <c r="AB105" i="76"/>
  <c r="P27" i="75"/>
  <c r="X46" i="82"/>
  <c r="Q46" i="82"/>
  <c r="X229" i="80"/>
  <c r="Q229" i="80"/>
  <c r="W66" i="80"/>
  <c r="X66" i="80"/>
  <c r="Y45" i="94"/>
  <c r="L25" i="75" s="1"/>
  <c r="AC8" i="94"/>
  <c r="M45" i="94"/>
  <c r="O25" i="94"/>
  <c r="AC25" i="87"/>
  <c r="AB25" i="87"/>
  <c r="G18" i="75"/>
  <c r="M18" i="75" s="1"/>
  <c r="AB15" i="82"/>
  <c r="Q44" i="82"/>
  <c r="X44" i="82"/>
  <c r="X14" i="82"/>
  <c r="Q14" i="82"/>
  <c r="X224" i="80"/>
  <c r="Q224" i="80"/>
  <c r="S198" i="80"/>
  <c r="X198" i="80"/>
  <c r="X225" i="80"/>
  <c r="Q225" i="80"/>
  <c r="Q258" i="80"/>
  <c r="X258" i="80"/>
  <c r="AC219" i="80"/>
  <c r="Y219" i="80"/>
  <c r="X256" i="80"/>
  <c r="Q256" i="80"/>
  <c r="Q132" i="80"/>
  <c r="X132" i="80"/>
  <c r="X167" i="80"/>
  <c r="Q167" i="80"/>
  <c r="S134" i="80"/>
  <c r="X134" i="80"/>
  <c r="X266" i="80"/>
  <c r="X161" i="80"/>
  <c r="Q161" i="80"/>
  <c r="X133" i="80"/>
  <c r="Q133" i="80"/>
  <c r="M299" i="80"/>
  <c r="S17" i="80"/>
  <c r="X17" i="80"/>
  <c r="Q32" i="80"/>
  <c r="X32" i="80"/>
  <c r="Y76" i="80"/>
  <c r="AC76" i="80"/>
  <c r="X259" i="80"/>
  <c r="X42" i="80"/>
  <c r="Q42" i="80"/>
  <c r="X29" i="80"/>
  <c r="X80" i="80"/>
  <c r="Q80" i="80"/>
  <c r="M26" i="75"/>
  <c r="R49" i="77"/>
  <c r="P25" i="75"/>
  <c r="Q25" i="75" s="1"/>
  <c r="Y18" i="105"/>
  <c r="AB18" i="105" s="1"/>
  <c r="AB8" i="105"/>
  <c r="AC14" i="84"/>
  <c r="AB14" i="84"/>
  <c r="G15" i="75"/>
  <c r="M15" i="75" s="1"/>
  <c r="AC15" i="82"/>
  <c r="AB8" i="100"/>
  <c r="AC20" i="82"/>
  <c r="Q29" i="82"/>
  <c r="X29" i="82"/>
  <c r="T47" i="82"/>
  <c r="N13" i="75"/>
  <c r="O13" i="75" s="1"/>
  <c r="R47" i="82"/>
  <c r="X251" i="80"/>
  <c r="Q251" i="80"/>
  <c r="Q206" i="80"/>
  <c r="X206" i="80"/>
  <c r="AC199" i="80"/>
  <c r="S196" i="80"/>
  <c r="X196" i="80"/>
  <c r="Q242" i="80"/>
  <c r="X242" i="80"/>
  <c r="Q112" i="80"/>
  <c r="X112" i="80"/>
  <c r="AC257" i="80"/>
  <c r="AC121" i="80"/>
  <c r="Y121" i="80"/>
  <c r="X142" i="80"/>
  <c r="Q142" i="80"/>
  <c r="X64" i="80"/>
  <c r="S64" i="80"/>
  <c r="X98" i="80"/>
  <c r="Q98" i="80"/>
  <c r="AC86" i="80"/>
  <c r="W299" i="80"/>
  <c r="K11" i="75" s="1"/>
  <c r="K37" i="75" s="1"/>
  <c r="X24" i="80"/>
  <c r="Q24" i="80"/>
  <c r="X94" i="80"/>
  <c r="Q94" i="80"/>
  <c r="AC23" i="77"/>
  <c r="Y105" i="76"/>
  <c r="L7" i="75" s="1"/>
  <c r="AC8" i="76"/>
  <c r="P23" i="75"/>
  <c r="Q23" i="75" s="1"/>
  <c r="Q174" i="80"/>
  <c r="X174" i="80"/>
  <c r="AC164" i="80"/>
  <c r="Y164" i="80"/>
  <c r="S25" i="80"/>
  <c r="X25" i="80"/>
  <c r="X85" i="80"/>
  <c r="Q85" i="80"/>
  <c r="Q84" i="80"/>
  <c r="X84" i="80"/>
  <c r="O47" i="82"/>
  <c r="AC87" i="88"/>
  <c r="AB87" i="88"/>
  <c r="G19" i="75"/>
  <c r="M19" i="75" s="1"/>
  <c r="AC215" i="80"/>
  <c r="X261" i="80"/>
  <c r="Q166" i="80"/>
  <c r="X166" i="80"/>
  <c r="S193" i="80"/>
  <c r="X193" i="80"/>
  <c r="Q191" i="80"/>
  <c r="X191" i="80"/>
  <c r="Q288" i="80"/>
  <c r="X288" i="80"/>
  <c r="Q110" i="80"/>
  <c r="X110" i="80"/>
  <c r="Q129" i="80"/>
  <c r="X129" i="80"/>
  <c r="X123" i="80"/>
  <c r="Q123" i="80"/>
  <c r="S52" i="80"/>
  <c r="X52" i="80"/>
  <c r="Q9" i="80"/>
  <c r="X9" i="80"/>
  <c r="Q27" i="80"/>
  <c r="X27" i="80"/>
  <c r="X71" i="80"/>
  <c r="Q71" i="80"/>
  <c r="V299" i="80"/>
  <c r="X35" i="80"/>
  <c r="X26" i="80"/>
  <c r="X89" i="80"/>
  <c r="AC158" i="80"/>
  <c r="Y158" i="80"/>
  <c r="AC45" i="77"/>
  <c r="F37" i="75"/>
  <c r="P31" i="75"/>
  <c r="AB33" i="99"/>
  <c r="AC33" i="99"/>
  <c r="G30" i="75"/>
  <c r="M30" i="75" s="1"/>
  <c r="V47" i="82"/>
  <c r="Q260" i="80"/>
  <c r="X260" i="80"/>
  <c r="X11" i="82"/>
  <c r="Q11" i="82"/>
  <c r="Q47" i="82" s="1"/>
  <c r="H13" i="75" s="1"/>
  <c r="AC197" i="80"/>
  <c r="Q184" i="80"/>
  <c r="X184" i="80"/>
  <c r="X214" i="80"/>
  <c r="X248" i="80"/>
  <c r="X186" i="80"/>
  <c r="Q139" i="80"/>
  <c r="X139" i="80"/>
  <c r="X155" i="80"/>
  <c r="AC109" i="80"/>
  <c r="Q131" i="80"/>
  <c r="X131" i="80"/>
  <c r="X120" i="80"/>
  <c r="Q120" i="80"/>
  <c r="Y77" i="80"/>
  <c r="AC77" i="80"/>
  <c r="Q46" i="80"/>
  <c r="X46" i="80"/>
  <c r="X105" i="80"/>
  <c r="X60" i="80"/>
  <c r="Q50" i="80"/>
  <c r="X50" i="80"/>
  <c r="X74" i="80"/>
  <c r="Q74" i="80"/>
  <c r="X87" i="80"/>
  <c r="X93" i="80"/>
  <c r="X19" i="80"/>
  <c r="O49" i="77"/>
  <c r="AC8" i="77"/>
  <c r="AC41" i="80"/>
  <c r="O83" i="78"/>
  <c r="P12" i="75"/>
  <c r="Q12" i="75" s="1"/>
  <c r="Y18" i="103"/>
  <c r="AB8" i="103"/>
  <c r="AC269" i="80"/>
  <c r="P47" i="82"/>
  <c r="Q203" i="80"/>
  <c r="X203" i="80"/>
  <c r="X226" i="80"/>
  <c r="X255" i="80"/>
  <c r="X202" i="80"/>
  <c r="Q202" i="80"/>
  <c r="Q44" i="80"/>
  <c r="X44" i="80"/>
  <c r="Q55" i="80"/>
  <c r="X55" i="80"/>
  <c r="T299" i="80"/>
  <c r="U8" i="80"/>
  <c r="AC141" i="80"/>
  <c r="Y141" i="80"/>
  <c r="Q92" i="80"/>
  <c r="X92" i="80"/>
  <c r="X22" i="80"/>
  <c r="Q137" i="80"/>
  <c r="X137" i="80"/>
  <c r="O233" i="79"/>
  <c r="P32" i="75"/>
  <c r="X291" i="80"/>
  <c r="AB14" i="102"/>
  <c r="G33" i="75"/>
  <c r="M33" i="75" s="1"/>
  <c r="AC42" i="90"/>
  <c r="AB42" i="90"/>
  <c r="G21" i="75"/>
  <c r="M21" i="75" s="1"/>
  <c r="AC293" i="80"/>
  <c r="Y229" i="83"/>
  <c r="L14" i="75" s="1"/>
  <c r="P14" i="75" s="1"/>
  <c r="Q14" i="75" s="1"/>
  <c r="Q32" i="82"/>
  <c r="X32" i="82"/>
  <c r="X295" i="80"/>
  <c r="Q295" i="80"/>
  <c r="AC268" i="80"/>
  <c r="X19" i="82"/>
  <c r="AC10" i="82"/>
  <c r="Y10" i="82"/>
  <c r="Q171" i="80"/>
  <c r="X171" i="80"/>
  <c r="AC241" i="80"/>
  <c r="AC179" i="80"/>
  <c r="X126" i="80"/>
  <c r="Q126" i="80"/>
  <c r="X165" i="80"/>
  <c r="Q165" i="80"/>
  <c r="Q153" i="80"/>
  <c r="X153" i="80"/>
  <c r="X99" i="80"/>
  <c r="S99" i="80"/>
  <c r="O299" i="80"/>
  <c r="G11" i="75" s="1"/>
  <c r="AB8" i="80"/>
  <c r="AC70" i="80"/>
  <c r="X69" i="80"/>
  <c r="Q69" i="80"/>
  <c r="Q36" i="80"/>
  <c r="X36" i="80"/>
  <c r="S67" i="80"/>
  <c r="X67" i="80"/>
  <c r="X88" i="80"/>
  <c r="Q88" i="80"/>
  <c r="X63" i="80"/>
  <c r="X37" i="80"/>
  <c r="AC10" i="77"/>
  <c r="P28" i="75"/>
  <c r="Q28" i="75" s="1"/>
  <c r="AC122" i="80"/>
  <c r="Y122" i="80"/>
  <c r="AB15" i="96"/>
  <c r="AC229" i="83"/>
  <c r="G14" i="75"/>
  <c r="M14" i="75" s="1"/>
  <c r="Q298" i="80"/>
  <c r="X298" i="80"/>
  <c r="AC185" i="80"/>
  <c r="Q201" i="80"/>
  <c r="X201" i="80"/>
  <c r="Q177" i="80"/>
  <c r="X177" i="80"/>
  <c r="X262" i="80"/>
  <c r="S173" i="80"/>
  <c r="X173" i="80"/>
  <c r="Q236" i="80"/>
  <c r="X236" i="80"/>
  <c r="AC235" i="80"/>
  <c r="U68" i="80"/>
  <c r="X68" i="80"/>
  <c r="AC82" i="80"/>
  <c r="Q118" i="80"/>
  <c r="X118" i="80"/>
  <c r="Q104" i="80"/>
  <c r="X104" i="80"/>
  <c r="Q15" i="80"/>
  <c r="X15" i="80"/>
  <c r="X147" i="80"/>
  <c r="X73" i="80"/>
  <c r="P10" i="75"/>
  <c r="Q10" i="75" s="1"/>
  <c r="X81" i="80"/>
  <c r="X45" i="80"/>
  <c r="AC48" i="80"/>
  <c r="AC15" i="77"/>
  <c r="Y194" i="80" l="1"/>
  <c r="AC194" i="80"/>
  <c r="Y88" i="80"/>
  <c r="AC88" i="80"/>
  <c r="AC153" i="80"/>
  <c r="Y153" i="80"/>
  <c r="Y19" i="82"/>
  <c r="AC19" i="82"/>
  <c r="U299" i="80"/>
  <c r="J11" i="75" s="1"/>
  <c r="J37" i="75" s="1"/>
  <c r="Y120" i="80"/>
  <c r="AC120" i="80"/>
  <c r="Y52" i="80"/>
  <c r="AC52" i="80"/>
  <c r="Y193" i="80"/>
  <c r="AC193" i="80"/>
  <c r="Y142" i="80"/>
  <c r="AC142" i="80"/>
  <c r="Y259" i="80"/>
  <c r="AC259" i="80"/>
  <c r="Y266" i="80"/>
  <c r="AC266" i="80"/>
  <c r="Y229" i="80"/>
  <c r="AC229" i="80"/>
  <c r="Y204" i="80"/>
  <c r="AC204" i="80"/>
  <c r="Y150" i="80"/>
  <c r="AC150" i="80"/>
  <c r="Y20" i="80"/>
  <c r="AC20" i="80"/>
  <c r="Y298" i="80"/>
  <c r="AC298" i="80"/>
  <c r="Y87" i="80"/>
  <c r="AC87" i="80"/>
  <c r="Y102" i="80"/>
  <c r="AC102" i="80"/>
  <c r="AC73" i="80"/>
  <c r="Y73" i="80"/>
  <c r="Y67" i="80"/>
  <c r="AC67" i="80"/>
  <c r="AC291" i="80"/>
  <c r="Y291" i="80"/>
  <c r="Y131" i="80"/>
  <c r="AC131" i="80"/>
  <c r="Y85" i="80"/>
  <c r="AC85" i="80"/>
  <c r="Y94" i="80"/>
  <c r="AC94" i="80"/>
  <c r="Y134" i="80"/>
  <c r="AC134" i="80"/>
  <c r="Y58" i="80"/>
  <c r="AC58" i="80"/>
  <c r="Y287" i="80"/>
  <c r="AC287" i="80"/>
  <c r="Y228" i="80"/>
  <c r="AC228" i="80"/>
  <c r="Y99" i="80"/>
  <c r="AC99" i="80"/>
  <c r="Y74" i="80"/>
  <c r="AC74" i="80"/>
  <c r="Y11" i="82"/>
  <c r="AB11" i="82" s="1"/>
  <c r="X47" i="82"/>
  <c r="AC47" i="82" s="1"/>
  <c r="AC11" i="82"/>
  <c r="Y89" i="80"/>
  <c r="AC89" i="80"/>
  <c r="Y166" i="80"/>
  <c r="AC166" i="80"/>
  <c r="Y25" i="80"/>
  <c r="AC25" i="80"/>
  <c r="Y251" i="80"/>
  <c r="AC251" i="80"/>
  <c r="Y225" i="80"/>
  <c r="AC225" i="80"/>
  <c r="Y46" i="82"/>
  <c r="AC46" i="82"/>
  <c r="Y100" i="80"/>
  <c r="AC100" i="80"/>
  <c r="Y97" i="80"/>
  <c r="AC97" i="80"/>
  <c r="Y205" i="80"/>
  <c r="AC205" i="80"/>
  <c r="Y144" i="80"/>
  <c r="AC144" i="80"/>
  <c r="Y115" i="80"/>
  <c r="AC115" i="80"/>
  <c r="Y175" i="80"/>
  <c r="AC175" i="80"/>
  <c r="Y236" i="80"/>
  <c r="AC236" i="80"/>
  <c r="Y26" i="80"/>
  <c r="AC26" i="80"/>
  <c r="Y24" i="80"/>
  <c r="AC24" i="80"/>
  <c r="Y32" i="80"/>
  <c r="AC32" i="80"/>
  <c r="AC198" i="80"/>
  <c r="Y198" i="80"/>
  <c r="Y17" i="82"/>
  <c r="AC17" i="82"/>
  <c r="Y47" i="80"/>
  <c r="AC47" i="80"/>
  <c r="Y143" i="80"/>
  <c r="AC143" i="80"/>
  <c r="Y36" i="80"/>
  <c r="AC36" i="80"/>
  <c r="Y123" i="80"/>
  <c r="AC123" i="80"/>
  <c r="Y32" i="82"/>
  <c r="AC32" i="82"/>
  <c r="AB233" i="79"/>
  <c r="G10" i="75"/>
  <c r="M10" i="75" s="1"/>
  <c r="Y44" i="80"/>
  <c r="AC44" i="80"/>
  <c r="AC155" i="80"/>
  <c r="Y155" i="80"/>
  <c r="Y35" i="80"/>
  <c r="AC35" i="80"/>
  <c r="Y129" i="80"/>
  <c r="AC129" i="80"/>
  <c r="Y261" i="80"/>
  <c r="AC261" i="80"/>
  <c r="Y112" i="80"/>
  <c r="AC112" i="80"/>
  <c r="Y167" i="80"/>
  <c r="AC167" i="80"/>
  <c r="Y114" i="80"/>
  <c r="AC114" i="80"/>
  <c r="S299" i="80"/>
  <c r="I11" i="75" s="1"/>
  <c r="I37" i="75" s="1"/>
  <c r="Y180" i="80"/>
  <c r="AC180" i="80"/>
  <c r="X117" i="80"/>
  <c r="Q117" i="80"/>
  <c r="Q299" i="80" s="1"/>
  <c r="H11" i="75" s="1"/>
  <c r="H37" i="75" s="1"/>
  <c r="Y165" i="80"/>
  <c r="AC165" i="80"/>
  <c r="Y50" i="80"/>
  <c r="AC50" i="80"/>
  <c r="Y262" i="80"/>
  <c r="AC262" i="80"/>
  <c r="Y137" i="80"/>
  <c r="AC137" i="80"/>
  <c r="Y139" i="80"/>
  <c r="AC139" i="80"/>
  <c r="Y17" i="80"/>
  <c r="AC17" i="80"/>
  <c r="Y132" i="80"/>
  <c r="AC132" i="80"/>
  <c r="AC25" i="94"/>
  <c r="AB25" i="94"/>
  <c r="O45" i="94"/>
  <c r="M7" i="75"/>
  <c r="Y231" i="80"/>
  <c r="AC231" i="80"/>
  <c r="AC113" i="80"/>
  <c r="Y113" i="80"/>
  <c r="Y227" i="80"/>
  <c r="AC227" i="80"/>
  <c r="Y13" i="80"/>
  <c r="AB13" i="80" s="1"/>
  <c r="AC13" i="80"/>
  <c r="Y15" i="80"/>
  <c r="AB15" i="80" s="1"/>
  <c r="AC15" i="80"/>
  <c r="Y105" i="80"/>
  <c r="AC105" i="80"/>
  <c r="Y110" i="80"/>
  <c r="AC110" i="80"/>
  <c r="Y174" i="80"/>
  <c r="AC174" i="80"/>
  <c r="Y242" i="80"/>
  <c r="AC242" i="80"/>
  <c r="Y29" i="82"/>
  <c r="AC29" i="82"/>
  <c r="Y224" i="80"/>
  <c r="AC224" i="80"/>
  <c r="Y245" i="80"/>
  <c r="AC245" i="80"/>
  <c r="Y160" i="80"/>
  <c r="AC160" i="80"/>
  <c r="Y263" i="80"/>
  <c r="AC263" i="80"/>
  <c r="Y182" i="80"/>
  <c r="AC182" i="80"/>
  <c r="Y161" i="80"/>
  <c r="AC161" i="80"/>
  <c r="Y44" i="82"/>
  <c r="AC44" i="82"/>
  <c r="AC60" i="80"/>
  <c r="Y60" i="80"/>
  <c r="Y22" i="80"/>
  <c r="AC22" i="80"/>
  <c r="Y202" i="80"/>
  <c r="AC202" i="80"/>
  <c r="Y46" i="80"/>
  <c r="AC46" i="80"/>
  <c r="Y186" i="80"/>
  <c r="AC186" i="80"/>
  <c r="Y71" i="80"/>
  <c r="AC71" i="80"/>
  <c r="AC200" i="80"/>
  <c r="Y200" i="80"/>
  <c r="Y72" i="80"/>
  <c r="AC72" i="80"/>
  <c r="Y213" i="80"/>
  <c r="AC213" i="80"/>
  <c r="Y59" i="80"/>
  <c r="AC59" i="80"/>
  <c r="Y107" i="80"/>
  <c r="AC107" i="80"/>
  <c r="AC206" i="80"/>
  <c r="Y206" i="80"/>
  <c r="Y42" i="80"/>
  <c r="AC42" i="80"/>
  <c r="Y258" i="80"/>
  <c r="AC258" i="80"/>
  <c r="Y173" i="80"/>
  <c r="AC173" i="80"/>
  <c r="AB79" i="78"/>
  <c r="G9" i="75"/>
  <c r="M9" i="75" s="1"/>
  <c r="AC83" i="78"/>
  <c r="Y255" i="80"/>
  <c r="AC255" i="80"/>
  <c r="Y248" i="80"/>
  <c r="AC248" i="80"/>
  <c r="Y27" i="80"/>
  <c r="AC27" i="80"/>
  <c r="Y288" i="80"/>
  <c r="AC288" i="80"/>
  <c r="Y98" i="80"/>
  <c r="AC98" i="80"/>
  <c r="AC196" i="80"/>
  <c r="Y196" i="80"/>
  <c r="Y80" i="80"/>
  <c r="AC80" i="80"/>
  <c r="Y256" i="80"/>
  <c r="AC256" i="80"/>
  <c r="Y31" i="80"/>
  <c r="AC31" i="80"/>
  <c r="AC135" i="80"/>
  <c r="Y135" i="80"/>
  <c r="P299" i="80"/>
  <c r="Y81" i="80"/>
  <c r="AC81" i="80"/>
  <c r="L34" i="75"/>
  <c r="AB18" i="103"/>
  <c r="Y104" i="80"/>
  <c r="AC104" i="80"/>
  <c r="AC69" i="80"/>
  <c r="Y69" i="80"/>
  <c r="Y201" i="80"/>
  <c r="AC201" i="80"/>
  <c r="Y92" i="80"/>
  <c r="AC92" i="80"/>
  <c r="Y226" i="80"/>
  <c r="AC226" i="80"/>
  <c r="Y19" i="80"/>
  <c r="AC19" i="80"/>
  <c r="Y214" i="80"/>
  <c r="AC214" i="80"/>
  <c r="G13" i="75"/>
  <c r="Y29" i="80"/>
  <c r="AC29" i="80"/>
  <c r="Y133" i="80"/>
  <c r="AC133" i="80"/>
  <c r="Y14" i="82"/>
  <c r="AB14" i="82" s="1"/>
  <c r="AC14" i="82"/>
  <c r="Y66" i="80"/>
  <c r="AC66" i="80"/>
  <c r="Y57" i="80"/>
  <c r="AC57" i="80"/>
  <c r="Y267" i="80"/>
  <c r="AC267" i="80"/>
  <c r="AC111" i="80"/>
  <c r="Y111" i="80"/>
  <c r="Y220" i="80"/>
  <c r="AC220" i="80"/>
  <c r="Y233" i="80"/>
  <c r="AC233" i="80"/>
  <c r="Y34" i="82"/>
  <c r="AC34" i="82"/>
  <c r="Y147" i="80"/>
  <c r="AC147" i="80"/>
  <c r="Y55" i="80"/>
  <c r="AC55" i="80"/>
  <c r="AC295" i="80"/>
  <c r="Y295" i="80"/>
  <c r="Y260" i="80"/>
  <c r="AC260" i="80"/>
  <c r="AC126" i="80"/>
  <c r="Y126" i="80"/>
  <c r="Y177" i="80"/>
  <c r="AC177" i="80"/>
  <c r="Y118" i="80"/>
  <c r="AC118" i="80"/>
  <c r="Y171" i="80"/>
  <c r="AC171" i="80"/>
  <c r="AC49" i="77"/>
  <c r="G8" i="75"/>
  <c r="M8" i="75" s="1"/>
  <c r="Y37" i="80"/>
  <c r="AC37" i="80"/>
  <c r="Y45" i="80"/>
  <c r="AC45" i="80"/>
  <c r="Y68" i="80"/>
  <c r="AC68" i="80"/>
  <c r="Y63" i="80"/>
  <c r="AC63" i="80"/>
  <c r="AB10" i="82"/>
  <c r="Y203" i="80"/>
  <c r="AC203" i="80"/>
  <c r="Y93" i="80"/>
  <c r="AC93" i="80"/>
  <c r="Y184" i="80"/>
  <c r="AC184" i="80"/>
  <c r="Y9" i="80"/>
  <c r="AB9" i="80" s="1"/>
  <c r="AC9" i="80"/>
  <c r="Y191" i="80"/>
  <c r="AC191" i="80"/>
  <c r="Y84" i="80"/>
  <c r="AC84" i="80"/>
  <c r="Y64" i="80"/>
  <c r="AC64" i="80"/>
  <c r="Y18" i="80"/>
  <c r="AC18" i="80"/>
  <c r="Y30" i="80"/>
  <c r="AC30" i="80"/>
  <c r="Y138" i="80"/>
  <c r="AC138" i="80"/>
  <c r="Y275" i="80"/>
  <c r="AC275" i="80"/>
  <c r="AC45" i="94" l="1"/>
  <c r="AB45" i="94"/>
  <c r="G25" i="75"/>
  <c r="P34" i="75"/>
  <c r="M34" i="75"/>
  <c r="Y117" i="80"/>
  <c r="Y299" i="80" s="1"/>
  <c r="L11" i="75" s="1"/>
  <c r="AC117" i="80"/>
  <c r="Y47" i="82"/>
  <c r="X299" i="80"/>
  <c r="M11" i="75" l="1"/>
  <c r="P11" i="75"/>
  <c r="Q11" i="75" s="1"/>
  <c r="L13" i="75"/>
  <c r="AB47" i="82"/>
  <c r="M25" i="75"/>
  <c r="G37" i="75"/>
  <c r="P13" i="75" l="1"/>
  <c r="Q13" i="75" s="1"/>
  <c r="M13" i="75"/>
  <c r="L37" i="75"/>
  <c r="P37" i="75" s="1"/>
  <c r="Q37" i="75" s="1"/>
  <c r="F35" i="53" l="1"/>
  <c r="C447" i="28"/>
  <c r="C446" i="28"/>
  <c r="C448" i="28" s="1"/>
  <c r="C445" i="28"/>
  <c r="K200" i="58" l="1"/>
  <c r="K199" i="58"/>
  <c r="K198" i="58"/>
  <c r="K197" i="58"/>
  <c r="K195" i="58"/>
  <c r="G193" i="58"/>
  <c r="F187" i="58"/>
  <c r="D187" i="58"/>
  <c r="C187" i="58"/>
  <c r="C186" i="58"/>
  <c r="F183" i="58"/>
  <c r="F180" i="58" s="1"/>
  <c r="F182" i="58"/>
  <c r="D180" i="58"/>
  <c r="C180" i="58"/>
  <c r="F179" i="58"/>
  <c r="F178" i="58"/>
  <c r="C178" i="58"/>
  <c r="C176" i="58" s="1"/>
  <c r="C192" i="58" s="1"/>
  <c r="F177" i="58"/>
  <c r="F176" i="58"/>
  <c r="D176" i="58"/>
  <c r="K175" i="58"/>
  <c r="H175" i="58"/>
  <c r="E175" i="58"/>
  <c r="D170" i="58"/>
  <c r="D192" i="58" s="1"/>
  <c r="C170" i="58"/>
  <c r="F169" i="58"/>
  <c r="C169" i="58"/>
  <c r="I168" i="58"/>
  <c r="K168" i="58" s="1"/>
  <c r="H168" i="58"/>
  <c r="E168" i="58"/>
  <c r="K167" i="58"/>
  <c r="K166" i="58"/>
  <c r="K165" i="58"/>
  <c r="K164" i="58"/>
  <c r="K163" i="58"/>
  <c r="K162" i="58"/>
  <c r="K161" i="58"/>
  <c r="K160" i="58"/>
  <c r="K159" i="58"/>
  <c r="K158" i="58"/>
  <c r="K157" i="58"/>
  <c r="K156" i="58"/>
  <c r="K155" i="58"/>
  <c r="K154" i="58" s="1"/>
  <c r="H154" i="58"/>
  <c r="E154" i="58"/>
  <c r="D149" i="58"/>
  <c r="I148" i="58"/>
  <c r="K148" i="58" s="1"/>
  <c r="H148" i="58"/>
  <c r="E148" i="58"/>
  <c r="F145" i="58"/>
  <c r="F144" i="58"/>
  <c r="F133" i="58"/>
  <c r="F131" i="58"/>
  <c r="F130" i="58" s="1"/>
  <c r="C131" i="58"/>
  <c r="D130" i="58"/>
  <c r="C130" i="58"/>
  <c r="D128" i="58"/>
  <c r="I127" i="58"/>
  <c r="K127" i="58" s="1"/>
  <c r="H127" i="58"/>
  <c r="E127" i="58"/>
  <c r="K121" i="58"/>
  <c r="I121" i="58"/>
  <c r="H121" i="58"/>
  <c r="E121" i="58"/>
  <c r="E120" i="58"/>
  <c r="D120" i="58"/>
  <c r="C120" i="58"/>
  <c r="C193" i="58" s="1"/>
  <c r="D119" i="58"/>
  <c r="F118" i="58"/>
  <c r="D118" i="58"/>
  <c r="F109" i="58"/>
  <c r="F193" i="58" s="1"/>
  <c r="D109" i="58"/>
  <c r="K105" i="58"/>
  <c r="I105" i="58"/>
  <c r="H105" i="58"/>
  <c r="E105" i="58"/>
  <c r="D104" i="58"/>
  <c r="D102" i="58"/>
  <c r="I101" i="58"/>
  <c r="K101" i="58" s="1"/>
  <c r="H101" i="58"/>
  <c r="E101" i="58"/>
  <c r="K100" i="58"/>
  <c r="H100" i="58"/>
  <c r="E100" i="58"/>
  <c r="K99" i="58"/>
  <c r="H99" i="58"/>
  <c r="E99" i="58"/>
  <c r="K98" i="58"/>
  <c r="H98" i="58"/>
  <c r="E98" i="58"/>
  <c r="K97" i="58"/>
  <c r="H97" i="58"/>
  <c r="E97" i="58"/>
  <c r="K96" i="58"/>
  <c r="H96" i="58"/>
  <c r="E96" i="58"/>
  <c r="K95" i="58"/>
  <c r="J95" i="58"/>
  <c r="H95" i="58"/>
  <c r="H193" i="58" s="1"/>
  <c r="E95" i="58"/>
  <c r="E193" i="58" s="1"/>
  <c r="F90" i="58"/>
  <c r="E90" i="58"/>
  <c r="F89" i="58"/>
  <c r="C89" i="58"/>
  <c r="E89" i="58" s="1"/>
  <c r="J88" i="58"/>
  <c r="I88" i="58"/>
  <c r="K88" i="58" s="1"/>
  <c r="H88" i="58"/>
  <c r="E88" i="58"/>
  <c r="F84" i="58"/>
  <c r="F69" i="58" s="1"/>
  <c r="D73" i="58"/>
  <c r="D71" i="58"/>
  <c r="D70" i="58"/>
  <c r="D69" i="58" s="1"/>
  <c r="C69" i="58"/>
  <c r="F67" i="58"/>
  <c r="F66" i="58"/>
  <c r="D66" i="58"/>
  <c r="F64" i="58"/>
  <c r="D64" i="58"/>
  <c r="F63" i="58"/>
  <c r="D63" i="58"/>
  <c r="F61" i="58"/>
  <c r="D60" i="58"/>
  <c r="F59" i="58"/>
  <c r="D59" i="58"/>
  <c r="I58" i="58"/>
  <c r="K58" i="58" s="1"/>
  <c r="H58" i="58"/>
  <c r="E58" i="58"/>
  <c r="I57" i="58"/>
  <c r="K57" i="58" s="1"/>
  <c r="H57" i="58"/>
  <c r="E57" i="58"/>
  <c r="K56" i="58"/>
  <c r="I56" i="58"/>
  <c r="H56" i="58"/>
  <c r="E56" i="58"/>
  <c r="I55" i="58"/>
  <c r="K55" i="58" s="1"/>
  <c r="H55" i="58"/>
  <c r="E55" i="58"/>
  <c r="I54" i="58"/>
  <c r="K54" i="58" s="1"/>
  <c r="H54" i="58"/>
  <c r="E54" i="58"/>
  <c r="I53" i="58"/>
  <c r="K53" i="58" s="1"/>
  <c r="H53" i="58"/>
  <c r="E53" i="58"/>
  <c r="I52" i="58"/>
  <c r="K52" i="58" s="1"/>
  <c r="H52" i="58"/>
  <c r="E52" i="58"/>
  <c r="I50" i="58"/>
  <c r="J50" i="58" s="1"/>
  <c r="H50" i="58"/>
  <c r="E50" i="58"/>
  <c r="E49" i="58"/>
  <c r="E48" i="58"/>
  <c r="E47" i="58"/>
  <c r="F46" i="58"/>
  <c r="D46" i="58"/>
  <c r="E46" i="58" s="1"/>
  <c r="C46" i="58"/>
  <c r="G44" i="58"/>
  <c r="G94" i="58" s="1"/>
  <c r="G194" i="58" s="1"/>
  <c r="C39" i="58"/>
  <c r="E39" i="58" s="1"/>
  <c r="E38" i="58"/>
  <c r="E37" i="58"/>
  <c r="E36" i="58"/>
  <c r="E35" i="58"/>
  <c r="C34" i="58"/>
  <c r="E34" i="58" s="1"/>
  <c r="E33" i="58"/>
  <c r="E32" i="58"/>
  <c r="C31" i="58"/>
  <c r="E31" i="58" s="1"/>
  <c r="D30" i="58"/>
  <c r="E30" i="58" s="1"/>
  <c r="E29" i="58"/>
  <c r="D29" i="58"/>
  <c r="E28" i="58"/>
  <c r="E27" i="58"/>
  <c r="F26" i="58"/>
  <c r="E26" i="58"/>
  <c r="F25" i="58"/>
  <c r="C25" i="58"/>
  <c r="E25" i="58" s="1"/>
  <c r="F24" i="58"/>
  <c r="C24" i="58"/>
  <c r="E24" i="58" s="1"/>
  <c r="E23" i="58"/>
  <c r="E22" i="58"/>
  <c r="E21" i="58"/>
  <c r="E20" i="58"/>
  <c r="D19" i="58"/>
  <c r="E19" i="58" s="1"/>
  <c r="D18" i="58"/>
  <c r="E18" i="58" s="1"/>
  <c r="C18" i="58"/>
  <c r="C16" i="58" s="1"/>
  <c r="F17" i="58"/>
  <c r="D17" i="58"/>
  <c r="D16" i="58" s="1"/>
  <c r="E16" i="58" s="1"/>
  <c r="F16" i="58"/>
  <c r="E15" i="58"/>
  <c r="E14" i="58"/>
  <c r="D13" i="58"/>
  <c r="E13" i="58" s="1"/>
  <c r="C13" i="58"/>
  <c r="E12" i="58"/>
  <c r="F11" i="58"/>
  <c r="D11" i="58"/>
  <c r="E11" i="58" s="1"/>
  <c r="C11" i="58"/>
  <c r="C10" i="58" s="1"/>
  <c r="F10" i="58"/>
  <c r="F94" i="58" s="1"/>
  <c r="I9" i="58"/>
  <c r="I94" i="58" s="1"/>
  <c r="H9" i="58"/>
  <c r="H94" i="58" s="1"/>
  <c r="H194" i="58" s="1"/>
  <c r="E9" i="58"/>
  <c r="B2" i="58"/>
  <c r="I35" i="53"/>
  <c r="G29" i="57"/>
  <c r="F29" i="57"/>
  <c r="E29" i="57"/>
  <c r="D29" i="57"/>
  <c r="C29" i="57"/>
  <c r="H28" i="57"/>
  <c r="H27" i="57"/>
  <c r="G14" i="57"/>
  <c r="G30" i="57" s="1"/>
  <c r="F14" i="57"/>
  <c r="F30" i="57" s="1"/>
  <c r="F34" i="57" s="1"/>
  <c r="E14" i="57"/>
  <c r="E30" i="57" s="1"/>
  <c r="D14" i="57"/>
  <c r="D30" i="57" s="1"/>
  <c r="C14" i="57"/>
  <c r="C30" i="57" s="1"/>
  <c r="K193" i="58" l="1"/>
  <c r="F194" i="58"/>
  <c r="F192" i="58"/>
  <c r="C94" i="58"/>
  <c r="C194" i="58" s="1"/>
  <c r="K50" i="58"/>
  <c r="D10" i="58"/>
  <c r="E17" i="58"/>
  <c r="K9" i="58"/>
  <c r="K94" i="58" s="1"/>
  <c r="K194" i="58" s="1"/>
  <c r="K196" i="58" s="1"/>
  <c r="K201" i="58" s="1"/>
  <c r="I193" i="58"/>
  <c r="I194" i="58" s="1"/>
  <c r="D169" i="58"/>
  <c r="D193" i="58" s="1"/>
  <c r="G45" i="8"/>
  <c r="G46" i="8"/>
  <c r="G44" i="8"/>
  <c r="S16" i="56"/>
  <c r="S17" i="56" s="1"/>
  <c r="R16" i="56"/>
  <c r="Q16" i="56"/>
  <c r="P16" i="56"/>
  <c r="O16" i="56"/>
  <c r="N16" i="56"/>
  <c r="M17" i="56" s="1"/>
  <c r="M16" i="56"/>
  <c r="L16" i="56"/>
  <c r="K16" i="56"/>
  <c r="J16" i="56"/>
  <c r="I16" i="56"/>
  <c r="H16" i="56"/>
  <c r="G16" i="56"/>
  <c r="F16" i="56"/>
  <c r="E16" i="56"/>
  <c r="E17" i="56" s="1"/>
  <c r="D16" i="56"/>
  <c r="D17" i="56" s="1"/>
  <c r="R18" i="55"/>
  <c r="Q18" i="55"/>
  <c r="P18" i="55"/>
  <c r="O18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S17" i="55"/>
  <c r="S16" i="55"/>
  <c r="S15" i="55"/>
  <c r="S14" i="55"/>
  <c r="S18" i="55" s="1"/>
  <c r="S13" i="55"/>
  <c r="S12" i="55"/>
  <c r="S11" i="55"/>
  <c r="S10" i="55"/>
  <c r="S9" i="55"/>
  <c r="S8" i="55"/>
  <c r="S7" i="55"/>
  <c r="S6" i="55"/>
  <c r="D94" i="58" l="1"/>
  <c r="D194" i="58" s="1"/>
  <c r="E10" i="58"/>
  <c r="E94" i="58" s="1"/>
  <c r="E194" i="58" s="1"/>
  <c r="T17" i="56"/>
  <c r="T16" i="56"/>
  <c r="G6" i="24" l="1"/>
  <c r="G5" i="24"/>
  <c r="C104" i="8" s="1"/>
  <c r="F44" i="53"/>
  <c r="F43" i="53"/>
  <c r="F42" i="53"/>
  <c r="F41" i="53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T157" i="52"/>
  <c r="AU157" i="52"/>
  <c r="AV157" i="52"/>
  <c r="AW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DY157" i="52"/>
  <c r="DZ157" i="52"/>
  <c r="EA157" i="52"/>
  <c r="EB157" i="52"/>
  <c r="EC157" i="52"/>
  <c r="ED157" i="52"/>
  <c r="EE157" i="52"/>
  <c r="EF157" i="52"/>
  <c r="EG157" i="52"/>
  <c r="EH157" i="52"/>
  <c r="EI157" i="52"/>
  <c r="EJ157" i="52"/>
  <c r="EK157" i="52"/>
  <c r="EL157" i="52"/>
  <c r="EM157" i="52"/>
  <c r="EN157" i="52"/>
  <c r="EO157" i="52"/>
  <c r="EP157" i="52"/>
  <c r="EQ157" i="52"/>
  <c r="ER157" i="52"/>
  <c r="ES157" i="52"/>
  <c r="ET157" i="52"/>
  <c r="EU157" i="52"/>
  <c r="EV157" i="52"/>
  <c r="EW157" i="52"/>
  <c r="EX157" i="52"/>
  <c r="EY157" i="52"/>
  <c r="EZ157" i="52"/>
  <c r="FA157" i="52"/>
  <c r="FB157" i="52"/>
  <c r="FC157" i="52"/>
  <c r="FD157" i="52"/>
  <c r="FE157" i="52"/>
  <c r="FF157" i="52"/>
  <c r="FG157" i="52"/>
  <c r="FH157" i="52"/>
  <c r="FI157" i="52"/>
  <c r="FJ157" i="52"/>
  <c r="FK157" i="52"/>
  <c r="FL157" i="52"/>
  <c r="FM157" i="52"/>
  <c r="FN157" i="52"/>
  <c r="FO157" i="52"/>
  <c r="FP157" i="52"/>
  <c r="FQ157" i="52"/>
  <c r="FR157" i="52"/>
  <c r="FS157" i="52"/>
  <c r="FT157" i="52"/>
  <c r="FU157" i="52"/>
  <c r="FV157" i="52"/>
  <c r="FW157" i="52"/>
  <c r="FX157" i="52"/>
  <c r="FY157" i="52"/>
  <c r="FZ157" i="52"/>
  <c r="GA157" i="52"/>
  <c r="GB157" i="52"/>
  <c r="GC157" i="52"/>
  <c r="GD157" i="52"/>
  <c r="GE157" i="52"/>
  <c r="GF157" i="52"/>
  <c r="GG157" i="52"/>
  <c r="GH157" i="52"/>
  <c r="GI157" i="52"/>
  <c r="GJ157" i="52"/>
  <c r="GK157" i="52"/>
  <c r="GL157" i="52"/>
  <c r="GM157" i="52"/>
  <c r="GN157" i="52"/>
  <c r="GO157" i="52"/>
  <c r="GP157" i="52"/>
  <c r="GQ157" i="52"/>
  <c r="GR157" i="52"/>
  <c r="GS157" i="52"/>
  <c r="GT157" i="52"/>
  <c r="GU157" i="52"/>
  <c r="GV157" i="52"/>
  <c r="GW157" i="52"/>
  <c r="GX157" i="52"/>
  <c r="GY157" i="52"/>
  <c r="GZ157" i="52"/>
  <c r="HA157" i="52"/>
  <c r="HB157" i="52"/>
  <c r="HC157" i="52"/>
  <c r="HD157" i="52"/>
  <c r="HE157" i="52"/>
  <c r="HF157" i="52"/>
  <c r="HG157" i="52"/>
  <c r="HH157" i="52"/>
  <c r="HI157" i="52"/>
  <c r="HJ157" i="52"/>
  <c r="HK157" i="52"/>
  <c r="HL157" i="52"/>
  <c r="HM157" i="52"/>
  <c r="HN157" i="52"/>
  <c r="HO157" i="52"/>
  <c r="HP157" i="52"/>
  <c r="HQ157" i="52"/>
  <c r="HR157" i="52"/>
  <c r="HS157" i="52"/>
  <c r="HT157" i="52"/>
  <c r="HU157" i="52"/>
  <c r="HV157" i="52"/>
  <c r="HW157" i="52"/>
  <c r="HX157" i="52"/>
  <c r="HY157" i="52"/>
  <c r="HZ157" i="52"/>
  <c r="IA157" i="52"/>
  <c r="IB157" i="52"/>
  <c r="IC157" i="52"/>
  <c r="ID157" i="52"/>
  <c r="IE157" i="52"/>
  <c r="IF157" i="52"/>
  <c r="IG157" i="52"/>
  <c r="IH157" i="52"/>
  <c r="II157" i="52"/>
  <c r="IJ157" i="52"/>
  <c r="IK157" i="52"/>
  <c r="IL157" i="52"/>
  <c r="IM157" i="52"/>
  <c r="IN157" i="52"/>
  <c r="IO157" i="52"/>
  <c r="IP157" i="52"/>
  <c r="IQ157" i="52"/>
  <c r="IR157" i="52"/>
  <c r="IS157" i="52"/>
  <c r="IT157" i="52"/>
  <c r="IU157" i="52"/>
  <c r="IV157" i="52"/>
  <c r="IW157" i="52"/>
  <c r="IX157" i="52"/>
  <c r="IY157" i="52"/>
  <c r="IZ157" i="52"/>
  <c r="JA157" i="52"/>
  <c r="JB157" i="52"/>
  <c r="JC157" i="52"/>
  <c r="JD157" i="52"/>
  <c r="JE157" i="52"/>
  <c r="JF157" i="52"/>
  <c r="JG157" i="52"/>
  <c r="JH157" i="52"/>
  <c r="JI157" i="52"/>
  <c r="JJ157" i="52"/>
  <c r="JK157" i="52"/>
  <c r="JL157" i="52"/>
  <c r="JM157" i="52"/>
  <c r="JN157" i="52"/>
  <c r="JO157" i="52"/>
  <c r="JP157" i="52"/>
  <c r="JQ157" i="52"/>
  <c r="JR157" i="52"/>
  <c r="JS157" i="52"/>
  <c r="JT157" i="52"/>
  <c r="JU157" i="52"/>
  <c r="JV157" i="52"/>
  <c r="JW157" i="52"/>
  <c r="JX157" i="52"/>
  <c r="JY157" i="52"/>
  <c r="JZ157" i="52"/>
  <c r="KA157" i="52"/>
  <c r="KB157" i="52"/>
  <c r="KC157" i="52"/>
  <c r="KD157" i="52"/>
  <c r="KE157" i="52"/>
  <c r="KF157" i="52"/>
  <c r="KG157" i="52"/>
  <c r="KH157" i="52"/>
  <c r="KI157" i="52"/>
  <c r="KJ157" i="52"/>
  <c r="KK157" i="52"/>
  <c r="KL157" i="52"/>
  <c r="KM157" i="52"/>
  <c r="KN157" i="52"/>
  <c r="KO157" i="52"/>
  <c r="KP157" i="52"/>
  <c r="KQ157" i="52"/>
  <c r="KR157" i="52"/>
  <c r="KS157" i="52"/>
  <c r="KT157" i="52"/>
  <c r="KU157" i="52"/>
  <c r="KV157" i="52"/>
  <c r="KW157" i="52"/>
  <c r="KX157" i="52"/>
  <c r="KY157" i="52"/>
  <c r="KZ157" i="52"/>
  <c r="LA157" i="52"/>
  <c r="LB157" i="52"/>
  <c r="LC157" i="52"/>
  <c r="LD157" i="52"/>
  <c r="LE157" i="52"/>
  <c r="LF157" i="52"/>
  <c r="LG157" i="52"/>
  <c r="LH157" i="52"/>
  <c r="LI157" i="52"/>
  <c r="LJ157" i="52"/>
  <c r="LK157" i="52"/>
  <c r="LL157" i="52"/>
  <c r="LM157" i="52"/>
  <c r="LN157" i="52"/>
  <c r="LO157" i="52"/>
  <c r="LP157" i="52"/>
  <c r="LQ157" i="52"/>
  <c r="LR157" i="52"/>
  <c r="LS157" i="52"/>
  <c r="LT157" i="52"/>
  <c r="LU157" i="52"/>
  <c r="LV157" i="52"/>
  <c r="LW157" i="52"/>
  <c r="LX157" i="52"/>
  <c r="LY157" i="52"/>
  <c r="LZ157" i="52"/>
  <c r="MA157" i="52"/>
  <c r="MB157" i="52"/>
  <c r="MC157" i="52"/>
  <c r="MD157" i="52"/>
  <c r="ME157" i="52"/>
  <c r="MF157" i="52"/>
  <c r="MG157" i="52"/>
  <c r="MH157" i="52"/>
  <c r="MI157" i="52"/>
  <c r="MJ157" i="52"/>
  <c r="MK157" i="52"/>
  <c r="ML157" i="52"/>
  <c r="MM157" i="52"/>
  <c r="MN157" i="52"/>
  <c r="MO157" i="52"/>
  <c r="MP157" i="52"/>
  <c r="MQ157" i="52"/>
  <c r="MR157" i="52"/>
  <c r="MS157" i="52"/>
  <c r="MT157" i="52"/>
  <c r="MU157" i="52"/>
  <c r="MV157" i="52"/>
  <c r="MW157" i="52"/>
  <c r="MX157" i="52"/>
  <c r="MY157" i="52"/>
  <c r="MZ157" i="52"/>
  <c r="NA157" i="52"/>
  <c r="NB157" i="52"/>
  <c r="NC157" i="52"/>
  <c r="ND157" i="52"/>
  <c r="NE157" i="52"/>
  <c r="NF157" i="52"/>
  <c r="NG157" i="52"/>
  <c r="NH157" i="52"/>
  <c r="NI157" i="52"/>
  <c r="NJ157" i="52"/>
  <c r="NK157" i="52"/>
  <c r="NL157" i="52"/>
  <c r="NM157" i="52"/>
  <c r="NN157" i="52"/>
  <c r="NO157" i="52"/>
  <c r="NP157" i="52"/>
  <c r="NQ157" i="52"/>
  <c r="NR157" i="52"/>
  <c r="NS157" i="52"/>
  <c r="NT157" i="52"/>
  <c r="NU157" i="52"/>
  <c r="NV157" i="52"/>
  <c r="NW157" i="52"/>
  <c r="NX157" i="52"/>
  <c r="NY157" i="52"/>
  <c r="NZ157" i="52"/>
  <c r="OA157" i="52"/>
  <c r="OB157" i="52"/>
  <c r="OC157" i="52"/>
  <c r="OD157" i="52"/>
  <c r="OE157" i="52"/>
  <c r="OF157" i="52"/>
  <c r="OG157" i="52"/>
  <c r="OH157" i="52"/>
  <c r="OI157" i="52"/>
  <c r="OJ157" i="52"/>
  <c r="OK157" i="52"/>
  <c r="OL157" i="52"/>
  <c r="OM157" i="52"/>
  <c r="ON157" i="52"/>
  <c r="OO157" i="52"/>
  <c r="OP157" i="52"/>
  <c r="OQ157" i="52"/>
  <c r="OR157" i="52"/>
  <c r="OS157" i="52"/>
  <c r="OT157" i="52"/>
  <c r="OU157" i="52"/>
  <c r="OV157" i="52"/>
  <c r="OW157" i="52"/>
  <c r="OX157" i="52"/>
  <c r="OY157" i="52"/>
  <c r="OZ157" i="52"/>
  <c r="PA157" i="52"/>
  <c r="PB157" i="52"/>
  <c r="PC157" i="52"/>
  <c r="PD157" i="52"/>
  <c r="PE157" i="52"/>
  <c r="PF157" i="52"/>
  <c r="PG157" i="52"/>
  <c r="PH157" i="52"/>
  <c r="PI157" i="52"/>
  <c r="PJ157" i="52"/>
  <c r="PK157" i="52"/>
  <c r="PL157" i="52"/>
  <c r="PM157" i="52"/>
  <c r="PN157" i="52"/>
  <c r="PO157" i="52"/>
  <c r="PP157" i="52"/>
  <c r="PQ157" i="52"/>
  <c r="PR157" i="52"/>
  <c r="PS157" i="52"/>
  <c r="PT157" i="52"/>
  <c r="PU157" i="52"/>
  <c r="PV157" i="52"/>
  <c r="PW157" i="52"/>
  <c r="PX157" i="52"/>
  <c r="PY157" i="52"/>
  <c r="PZ157" i="52"/>
  <c r="QA157" i="52"/>
  <c r="QB157" i="52"/>
  <c r="QC157" i="52"/>
  <c r="QD157" i="52"/>
  <c r="QE157" i="52"/>
  <c r="QF157" i="52"/>
  <c r="QG157" i="52"/>
  <c r="QH157" i="52"/>
  <c r="QI157" i="52"/>
  <c r="QJ157" i="52"/>
  <c r="QK157" i="52"/>
  <c r="QL157" i="52"/>
  <c r="QM157" i="52"/>
  <c r="QN157" i="52"/>
  <c r="QO157" i="52"/>
  <c r="QP157" i="52"/>
  <c r="QQ157" i="52"/>
  <c r="QR157" i="52"/>
  <c r="QS157" i="52"/>
  <c r="QT157" i="52"/>
  <c r="QU157" i="52"/>
  <c r="QV157" i="52"/>
  <c r="QW157" i="52"/>
  <c r="QX157" i="52"/>
  <c r="QY157" i="52"/>
  <c r="QZ157" i="52"/>
  <c r="RA157" i="52"/>
  <c r="RB157" i="52"/>
  <c r="RC157" i="52"/>
  <c r="RD157" i="52"/>
  <c r="RE157" i="52"/>
  <c r="RF157" i="52"/>
  <c r="RG157" i="52"/>
  <c r="RH157" i="52"/>
  <c r="RI157" i="52"/>
  <c r="RJ157" i="52"/>
  <c r="RK157" i="52"/>
  <c r="RL157" i="52"/>
  <c r="RM157" i="52"/>
  <c r="RN157" i="52"/>
  <c r="RO157" i="52"/>
  <c r="RP157" i="52"/>
  <c r="RQ157" i="52"/>
  <c r="RR157" i="52"/>
  <c r="RS157" i="52"/>
  <c r="RT157" i="52"/>
  <c r="RU157" i="52"/>
  <c r="RV157" i="52"/>
  <c r="RW157" i="52"/>
  <c r="RX157" i="52"/>
  <c r="RY157" i="52"/>
  <c r="RZ157" i="52"/>
  <c r="SA157" i="52"/>
  <c r="SB157" i="52"/>
  <c r="SC157" i="52"/>
  <c r="SD157" i="52"/>
  <c r="SE157" i="52"/>
  <c r="SF157" i="52"/>
  <c r="SG157" i="52"/>
  <c r="SH157" i="52"/>
  <c r="SI157" i="52"/>
  <c r="SJ157" i="52"/>
  <c r="SK157" i="52"/>
  <c r="SL157" i="52"/>
  <c r="SM157" i="52"/>
  <c r="SN157" i="52"/>
  <c r="SO157" i="52"/>
  <c r="SP157" i="52"/>
  <c r="SQ157" i="52"/>
  <c r="SR157" i="52"/>
  <c r="SS157" i="52"/>
  <c r="ST157" i="52"/>
  <c r="SU157" i="52"/>
  <c r="SV157" i="52"/>
  <c r="SW157" i="52"/>
  <c r="SX157" i="52"/>
  <c r="SY157" i="52"/>
  <c r="SZ157" i="52"/>
  <c r="TA157" i="52"/>
  <c r="TB157" i="52"/>
  <c r="TC157" i="52"/>
  <c r="TD157" i="52"/>
  <c r="TE157" i="52"/>
  <c r="TF157" i="52"/>
  <c r="TG157" i="52"/>
  <c r="TH157" i="52"/>
  <c r="TI157" i="52"/>
  <c r="TJ157" i="52"/>
  <c r="TK157" i="52"/>
  <c r="TL157" i="52"/>
  <c r="TM157" i="52"/>
  <c r="TN157" i="52"/>
  <c r="TO157" i="52"/>
  <c r="TP157" i="52"/>
  <c r="TQ157" i="52"/>
  <c r="TR157" i="52"/>
  <c r="TS157" i="52"/>
  <c r="TT157" i="52"/>
  <c r="TU157" i="52"/>
  <c r="TV157" i="52"/>
  <c r="TW157" i="52"/>
  <c r="TX157" i="52"/>
  <c r="TY157" i="52"/>
  <c r="TZ157" i="52"/>
  <c r="UA157" i="52"/>
  <c r="UB157" i="52"/>
  <c r="UC157" i="52"/>
  <c r="UD157" i="52"/>
  <c r="UE157" i="52"/>
  <c r="UF157" i="52"/>
  <c r="UG157" i="52"/>
  <c r="UH157" i="52"/>
  <c r="UI157" i="52"/>
  <c r="UJ157" i="52"/>
  <c r="UK157" i="52"/>
  <c r="UL157" i="52"/>
  <c r="UM157" i="52"/>
  <c r="UN157" i="52"/>
  <c r="UO157" i="52"/>
  <c r="UP157" i="52"/>
  <c r="UQ157" i="52"/>
  <c r="UR157" i="52"/>
  <c r="US157" i="52"/>
  <c r="UT157" i="52"/>
  <c r="UU157" i="52"/>
  <c r="UV157" i="52"/>
  <c r="UW157" i="52"/>
  <c r="UX157" i="52"/>
  <c r="UY157" i="52"/>
  <c r="UZ157" i="52"/>
  <c r="VA157" i="52"/>
  <c r="VB157" i="52"/>
  <c r="VC157" i="52"/>
  <c r="VD157" i="52"/>
  <c r="VE157" i="52"/>
  <c r="VF157" i="52"/>
  <c r="VG157" i="52"/>
  <c r="VH157" i="52"/>
  <c r="VI157" i="52"/>
  <c r="VJ157" i="52"/>
  <c r="VK157" i="52"/>
  <c r="VL157" i="52"/>
  <c r="VM157" i="52"/>
  <c r="VN157" i="52"/>
  <c r="VO157" i="52"/>
  <c r="VP157" i="52"/>
  <c r="VQ157" i="52"/>
  <c r="VR157" i="52"/>
  <c r="VS157" i="52"/>
  <c r="VT157" i="52"/>
  <c r="VU157" i="52"/>
  <c r="VV157" i="52"/>
  <c r="VW157" i="52"/>
  <c r="VX157" i="52"/>
  <c r="VY157" i="52"/>
  <c r="VZ157" i="52"/>
  <c r="WA157" i="52"/>
  <c r="WB157" i="52"/>
  <c r="WC157" i="52"/>
  <c r="WD157" i="52"/>
  <c r="WE157" i="52"/>
  <c r="WF157" i="52"/>
  <c r="WG157" i="52"/>
  <c r="WH157" i="52"/>
  <c r="WI157" i="52"/>
  <c r="WJ157" i="52"/>
  <c r="WK157" i="52"/>
  <c r="WL157" i="52"/>
  <c r="WM157" i="52"/>
  <c r="WN157" i="52"/>
  <c r="WO157" i="52"/>
  <c r="WP157" i="52"/>
  <c r="WQ157" i="52"/>
  <c r="WR157" i="52"/>
  <c r="WS157" i="52"/>
  <c r="WT157" i="52"/>
  <c r="WU157" i="52"/>
  <c r="WV157" i="52"/>
  <c r="WW157" i="52"/>
  <c r="WX157" i="52"/>
  <c r="WY157" i="52"/>
  <c r="WZ157" i="52"/>
  <c r="XA157" i="52"/>
  <c r="XB157" i="52"/>
  <c r="XC157" i="52"/>
  <c r="XD157" i="52"/>
  <c r="XE157" i="52"/>
  <c r="XF157" i="52"/>
  <c r="XG157" i="52"/>
  <c r="XH157" i="52"/>
  <c r="XI157" i="52"/>
  <c r="XJ157" i="52"/>
  <c r="XK157" i="52"/>
  <c r="XL157" i="52"/>
  <c r="XM157" i="52"/>
  <c r="XN157" i="52"/>
  <c r="XO157" i="52"/>
  <c r="XP157" i="52"/>
  <c r="XQ157" i="52"/>
  <c r="XR157" i="52"/>
  <c r="XS157" i="52"/>
  <c r="XT157" i="52"/>
  <c r="XU157" i="52"/>
  <c r="XV157" i="52"/>
  <c r="XW157" i="52"/>
  <c r="XX157" i="52"/>
  <c r="XY157" i="52"/>
  <c r="XZ157" i="52"/>
  <c r="YA157" i="52"/>
  <c r="YB157" i="52"/>
  <c r="YC157" i="52"/>
  <c r="YD157" i="52"/>
  <c r="YE157" i="52"/>
  <c r="YF157" i="52"/>
  <c r="YG157" i="52"/>
  <c r="YH157" i="52"/>
  <c r="YI157" i="52"/>
  <c r="YJ157" i="52"/>
  <c r="YK157" i="52"/>
  <c r="YL157" i="52"/>
  <c r="YM157" i="52"/>
  <c r="YN157" i="52"/>
  <c r="YO157" i="52"/>
  <c r="YP157" i="52"/>
  <c r="YQ157" i="52"/>
  <c r="YR157" i="52"/>
  <c r="YS157" i="52"/>
  <c r="YT157" i="52"/>
  <c r="YU157" i="52"/>
  <c r="YV157" i="52"/>
  <c r="YW157" i="52"/>
  <c r="YX157" i="52"/>
  <c r="YY157" i="52"/>
  <c r="YZ157" i="52"/>
  <c r="ZA157" i="52"/>
  <c r="ZB157" i="52"/>
  <c r="ZC157" i="52"/>
  <c r="ZD157" i="52"/>
  <c r="ZE157" i="52"/>
  <c r="ZF157" i="52"/>
  <c r="ZG157" i="52"/>
  <c r="ZH157" i="52"/>
  <c r="ZI157" i="52"/>
  <c r="ZJ157" i="52"/>
  <c r="ZK157" i="52"/>
  <c r="ZL157" i="52"/>
  <c r="ZM157" i="52"/>
  <c r="ZN157" i="52"/>
  <c r="ZO157" i="52"/>
  <c r="ZP157" i="52"/>
  <c r="ZQ157" i="52"/>
  <c r="ZR157" i="52"/>
  <c r="ZS157" i="52"/>
  <c r="ZT157" i="52"/>
  <c r="ZU157" i="52"/>
  <c r="ZV157" i="52"/>
  <c r="ZW157" i="52"/>
  <c r="ZX157" i="52"/>
  <c r="ZY157" i="52"/>
  <c r="ZZ157" i="52"/>
  <c r="AAA157" i="52"/>
  <c r="AAB157" i="52"/>
  <c r="AAC157" i="52"/>
  <c r="AAD157" i="52"/>
  <c r="AAE157" i="52"/>
  <c r="AAF157" i="52"/>
  <c r="AAG157" i="52"/>
  <c r="AAH157" i="52"/>
  <c r="AAI157" i="52"/>
  <c r="AAJ157" i="52"/>
  <c r="AAK157" i="52"/>
  <c r="AAL157" i="52"/>
  <c r="AAM157" i="52"/>
  <c r="AAN157" i="52"/>
  <c r="AAO157" i="52"/>
  <c r="AAP157" i="52"/>
  <c r="AAQ157" i="52"/>
  <c r="AAR157" i="52"/>
  <c r="AAS157" i="52"/>
  <c r="AAT157" i="52"/>
  <c r="AAU157" i="52"/>
  <c r="AAV157" i="52"/>
  <c r="AAW157" i="52"/>
  <c r="AAX157" i="52"/>
  <c r="AAY157" i="52"/>
  <c r="AAZ157" i="52"/>
  <c r="ABA157" i="52"/>
  <c r="ABB157" i="52"/>
  <c r="ABC157" i="52"/>
  <c r="ABD157" i="52"/>
  <c r="ABE157" i="52"/>
  <c r="ABF157" i="52"/>
  <c r="ABG157" i="52"/>
  <c r="ABH157" i="52"/>
  <c r="ABI157" i="52"/>
  <c r="ABJ157" i="52"/>
  <c r="ABK157" i="52"/>
  <c r="ABL157" i="52"/>
  <c r="ABM157" i="52"/>
  <c r="ABN157" i="52"/>
  <c r="ABO157" i="52"/>
  <c r="ABP157" i="52"/>
  <c r="ABQ157" i="52"/>
  <c r="ABR157" i="52"/>
  <c r="ABS157" i="52"/>
  <c r="ABT157" i="52"/>
  <c r="ABU157" i="52"/>
  <c r="ABV157" i="52"/>
  <c r="ABW157" i="52"/>
  <c r="ABX157" i="52"/>
  <c r="ABY157" i="52"/>
  <c r="ABZ157" i="52"/>
  <c r="ACA157" i="52"/>
  <c r="ACB157" i="52"/>
  <c r="ACC157" i="52"/>
  <c r="ACD157" i="52"/>
  <c r="ACE157" i="52"/>
  <c r="ACF157" i="52"/>
  <c r="ACG157" i="52"/>
  <c r="ACH157" i="52"/>
  <c r="ACI157" i="52"/>
  <c r="ACJ157" i="52"/>
  <c r="ACK157" i="52"/>
  <c r="ACL157" i="52"/>
  <c r="ACM157" i="52"/>
  <c r="ACN157" i="52"/>
  <c r="ACO157" i="52"/>
  <c r="ACP157" i="52"/>
  <c r="ACQ157" i="52"/>
  <c r="ACR157" i="52"/>
  <c r="ACS157" i="52"/>
  <c r="ACT157" i="52"/>
  <c r="ACU157" i="52"/>
  <c r="ACV157" i="52"/>
  <c r="ACW157" i="52"/>
  <c r="ACX157" i="52"/>
  <c r="ACY157" i="52"/>
  <c r="ACZ157" i="52"/>
  <c r="ADA157" i="52"/>
  <c r="ADB157" i="52"/>
  <c r="ADC157" i="52"/>
  <c r="ADD157" i="52"/>
  <c r="ADE157" i="52"/>
  <c r="ADF157" i="52"/>
  <c r="ADG157" i="52"/>
  <c r="ADH157" i="52"/>
  <c r="ADI157" i="52"/>
  <c r="ADJ157" i="52"/>
  <c r="ADK157" i="52"/>
  <c r="ADL157" i="52"/>
  <c r="ADM157" i="52"/>
  <c r="ADN157" i="52"/>
  <c r="ADO157" i="52"/>
  <c r="ADP157" i="52"/>
  <c r="ADQ157" i="52"/>
  <c r="ADR157" i="52"/>
  <c r="ADS157" i="52"/>
  <c r="ADT157" i="52"/>
  <c r="ADU157" i="52"/>
  <c r="ADV157" i="52"/>
  <c r="ADW157" i="52"/>
  <c r="ADX157" i="52"/>
  <c r="ADY157" i="52"/>
  <c r="ADZ157" i="52"/>
  <c r="AEA157" i="52"/>
  <c r="AEB157" i="52"/>
  <c r="AEC157" i="52"/>
  <c r="AED157" i="52"/>
  <c r="AEE157" i="52"/>
  <c r="AEF157" i="52"/>
  <c r="AEG157" i="52"/>
  <c r="AEH157" i="52"/>
  <c r="AEI157" i="52"/>
  <c r="AEJ157" i="52"/>
  <c r="AEK157" i="52"/>
  <c r="AEL157" i="52"/>
  <c r="AEM157" i="52"/>
  <c r="AEN157" i="52"/>
  <c r="AEO157" i="52"/>
  <c r="AEP157" i="52"/>
  <c r="AEQ157" i="52"/>
  <c r="AER157" i="52"/>
  <c r="AES157" i="52"/>
  <c r="AET157" i="52"/>
  <c r="AEU157" i="52"/>
  <c r="AEV157" i="52"/>
  <c r="AEW157" i="52"/>
  <c r="AEX157" i="52"/>
  <c r="AEY157" i="52"/>
  <c r="AEZ157" i="52"/>
  <c r="AFA157" i="52"/>
  <c r="AFB157" i="52"/>
  <c r="AFC157" i="52"/>
  <c r="AFD157" i="52"/>
  <c r="AFE157" i="52"/>
  <c r="AFF157" i="52"/>
  <c r="AFG157" i="52"/>
  <c r="AFH157" i="52"/>
  <c r="AFI157" i="52"/>
  <c r="AFJ157" i="52"/>
  <c r="AFK157" i="52"/>
  <c r="AFL157" i="52"/>
  <c r="AFM157" i="52"/>
  <c r="AFN157" i="52"/>
  <c r="AFO157" i="52"/>
  <c r="AFP157" i="52"/>
  <c r="AFQ157" i="52"/>
  <c r="AFR157" i="52"/>
  <c r="AFS157" i="52"/>
  <c r="AFT157" i="52"/>
  <c r="AFU157" i="52"/>
  <c r="AFV157" i="52"/>
  <c r="AFW157" i="52"/>
  <c r="AFX157" i="52"/>
  <c r="AFY157" i="52"/>
  <c r="AFZ157" i="52"/>
  <c r="AGA157" i="52"/>
  <c r="AGB157" i="52"/>
  <c r="AGC157" i="52"/>
  <c r="AGD157" i="52"/>
  <c r="AGE157" i="52"/>
  <c r="AGF157" i="52"/>
  <c r="AGG157" i="52"/>
  <c r="AGH157" i="52"/>
  <c r="AGI157" i="52"/>
  <c r="AGJ157" i="52"/>
  <c r="AGK157" i="52"/>
  <c r="AGL157" i="52"/>
  <c r="AGM157" i="52"/>
  <c r="AGN157" i="52"/>
  <c r="AGO157" i="52"/>
  <c r="AGP157" i="52"/>
  <c r="AGQ157" i="52"/>
  <c r="AGR157" i="52"/>
  <c r="AGS157" i="52"/>
  <c r="AGT157" i="52"/>
  <c r="AGU157" i="52"/>
  <c r="AGV157" i="52"/>
  <c r="AGW157" i="52"/>
  <c r="AGX157" i="52"/>
  <c r="AGY157" i="52"/>
  <c r="AGZ157" i="52"/>
  <c r="AHA157" i="52"/>
  <c r="AHB157" i="52"/>
  <c r="AHC157" i="52"/>
  <c r="AHD157" i="52"/>
  <c r="AHE157" i="52"/>
  <c r="AHF157" i="52"/>
  <c r="AHG157" i="52"/>
  <c r="AHH157" i="52"/>
  <c r="AHI157" i="52"/>
  <c r="AHJ157" i="52"/>
  <c r="AHK157" i="52"/>
  <c r="AHL157" i="52"/>
  <c r="AHM157" i="52"/>
  <c r="AHN157" i="52"/>
  <c r="AHO157" i="52"/>
  <c r="AHP157" i="52"/>
  <c r="AHQ157" i="52"/>
  <c r="AHR157" i="52"/>
  <c r="AHS157" i="52"/>
  <c r="AHT157" i="52"/>
  <c r="D157" i="52"/>
  <c r="AHU164" i="52"/>
  <c r="E159" i="52"/>
  <c r="F159" i="52"/>
  <c r="G159" i="52"/>
  <c r="H159" i="52"/>
  <c r="I159" i="52"/>
  <c r="J159" i="52"/>
  <c r="K159" i="52"/>
  <c r="L159" i="52"/>
  <c r="M159" i="52"/>
  <c r="N159" i="52"/>
  <c r="O159" i="52"/>
  <c r="P159" i="52"/>
  <c r="Q159" i="52"/>
  <c r="R159" i="52"/>
  <c r="S159" i="52"/>
  <c r="T159" i="52"/>
  <c r="U159" i="52"/>
  <c r="V159" i="52"/>
  <c r="W159" i="52"/>
  <c r="X159" i="52"/>
  <c r="Y159" i="52"/>
  <c r="Z159" i="52"/>
  <c r="AA159" i="52"/>
  <c r="AB159" i="52"/>
  <c r="AC159" i="52"/>
  <c r="AD159" i="52"/>
  <c r="AE159" i="52"/>
  <c r="AF159" i="52"/>
  <c r="AG159" i="52"/>
  <c r="AH159" i="52"/>
  <c r="AI159" i="52"/>
  <c r="AJ159" i="52"/>
  <c r="AK159" i="52"/>
  <c r="AL159" i="52"/>
  <c r="AM159" i="52"/>
  <c r="AN159" i="52"/>
  <c r="AO159" i="52"/>
  <c r="AP159" i="52"/>
  <c r="AQ159" i="52"/>
  <c r="AR159" i="52"/>
  <c r="AS159" i="52"/>
  <c r="AT159" i="52"/>
  <c r="AU159" i="52"/>
  <c r="AV159" i="52"/>
  <c r="AW159" i="52"/>
  <c r="AX159" i="52"/>
  <c r="AY159" i="52"/>
  <c r="AZ159" i="52"/>
  <c r="BA159" i="52"/>
  <c r="BB159" i="52"/>
  <c r="BC159" i="52"/>
  <c r="BD159" i="52"/>
  <c r="BE159" i="52"/>
  <c r="BF159" i="52"/>
  <c r="BG159" i="52"/>
  <c r="BH159" i="52"/>
  <c r="BI159" i="52"/>
  <c r="BJ159" i="52"/>
  <c r="BK159" i="52"/>
  <c r="BL159" i="52"/>
  <c r="BM159" i="52"/>
  <c r="BN159" i="52"/>
  <c r="BO159" i="52"/>
  <c r="BP159" i="52"/>
  <c r="BQ159" i="52"/>
  <c r="BR159" i="52"/>
  <c r="BS159" i="52"/>
  <c r="BT159" i="52"/>
  <c r="BU159" i="52"/>
  <c r="BV159" i="52"/>
  <c r="BW159" i="52"/>
  <c r="BX159" i="52"/>
  <c r="BY159" i="52"/>
  <c r="BZ159" i="52"/>
  <c r="CA159" i="52"/>
  <c r="CB159" i="52"/>
  <c r="CC159" i="52"/>
  <c r="CD159" i="52"/>
  <c r="CE159" i="52"/>
  <c r="CF159" i="52"/>
  <c r="CG159" i="52"/>
  <c r="CH159" i="52"/>
  <c r="CI159" i="52"/>
  <c r="CJ159" i="52"/>
  <c r="CK159" i="52"/>
  <c r="CL159" i="52"/>
  <c r="CM159" i="52"/>
  <c r="CN159" i="52"/>
  <c r="CO159" i="52"/>
  <c r="CP159" i="52"/>
  <c r="CQ159" i="52"/>
  <c r="CR159" i="52"/>
  <c r="CS159" i="52"/>
  <c r="CT159" i="52"/>
  <c r="CU159" i="52"/>
  <c r="CV159" i="52"/>
  <c r="CW159" i="52"/>
  <c r="CX159" i="52"/>
  <c r="CY159" i="52"/>
  <c r="CZ159" i="52"/>
  <c r="DA159" i="52"/>
  <c r="DB159" i="52"/>
  <c r="DC159" i="52"/>
  <c r="DD159" i="52"/>
  <c r="DE159" i="52"/>
  <c r="DF159" i="52"/>
  <c r="DG159" i="52"/>
  <c r="DH159" i="52"/>
  <c r="DI159" i="52"/>
  <c r="DJ159" i="52"/>
  <c r="DK159" i="52"/>
  <c r="DL159" i="52"/>
  <c r="DM159" i="52"/>
  <c r="DN159" i="52"/>
  <c r="DO159" i="52"/>
  <c r="DP159" i="52"/>
  <c r="DQ159" i="52"/>
  <c r="DR159" i="52"/>
  <c r="DS159" i="52"/>
  <c r="DT159" i="52"/>
  <c r="DU159" i="52"/>
  <c r="DV159" i="52"/>
  <c r="DW159" i="52"/>
  <c r="DX159" i="52"/>
  <c r="DY159" i="52"/>
  <c r="DZ159" i="52"/>
  <c r="EA159" i="52"/>
  <c r="EB159" i="52"/>
  <c r="EC159" i="52"/>
  <c r="ED159" i="52"/>
  <c r="EE159" i="52"/>
  <c r="EF159" i="52"/>
  <c r="EG159" i="52"/>
  <c r="EH159" i="52"/>
  <c r="EI159" i="52"/>
  <c r="EJ159" i="52"/>
  <c r="EK159" i="52"/>
  <c r="EL159" i="52"/>
  <c r="EM159" i="52"/>
  <c r="EN159" i="52"/>
  <c r="EO159" i="52"/>
  <c r="EP159" i="52"/>
  <c r="EQ159" i="52"/>
  <c r="ER159" i="52"/>
  <c r="ES159" i="52"/>
  <c r="ET159" i="52"/>
  <c r="EU159" i="52"/>
  <c r="EV159" i="52"/>
  <c r="EW159" i="52"/>
  <c r="EX159" i="52"/>
  <c r="EY159" i="52"/>
  <c r="EZ159" i="52"/>
  <c r="FA159" i="52"/>
  <c r="FB159" i="52"/>
  <c r="FC159" i="52"/>
  <c r="FD159" i="52"/>
  <c r="FE159" i="52"/>
  <c r="FF159" i="52"/>
  <c r="FG159" i="52"/>
  <c r="FH159" i="52"/>
  <c r="FI159" i="52"/>
  <c r="FJ159" i="52"/>
  <c r="FK159" i="52"/>
  <c r="FL159" i="52"/>
  <c r="FM159" i="52"/>
  <c r="FN159" i="52"/>
  <c r="FO159" i="52"/>
  <c r="FP159" i="52"/>
  <c r="FQ159" i="52"/>
  <c r="FR159" i="52"/>
  <c r="FS159" i="52"/>
  <c r="FT159" i="52"/>
  <c r="FU159" i="52"/>
  <c r="FV159" i="52"/>
  <c r="FW159" i="52"/>
  <c r="FX159" i="52"/>
  <c r="FY159" i="52"/>
  <c r="FZ159" i="52"/>
  <c r="GA159" i="52"/>
  <c r="GB159" i="52"/>
  <c r="GC159" i="52"/>
  <c r="GD159" i="52"/>
  <c r="GE159" i="52"/>
  <c r="GF159" i="52"/>
  <c r="GG159" i="52"/>
  <c r="GH159" i="52"/>
  <c r="GI159" i="52"/>
  <c r="GJ159" i="52"/>
  <c r="GK159" i="52"/>
  <c r="GL159" i="52"/>
  <c r="GM159" i="52"/>
  <c r="GN159" i="52"/>
  <c r="GO159" i="52"/>
  <c r="GP159" i="52"/>
  <c r="GQ159" i="52"/>
  <c r="GR159" i="52"/>
  <c r="GS159" i="52"/>
  <c r="GT159" i="52"/>
  <c r="GU159" i="52"/>
  <c r="GV159" i="52"/>
  <c r="GW159" i="52"/>
  <c r="GX159" i="52"/>
  <c r="GY159" i="52"/>
  <c r="GZ159" i="52"/>
  <c r="HA159" i="52"/>
  <c r="HB159" i="52"/>
  <c r="HC159" i="52"/>
  <c r="HD159" i="52"/>
  <c r="HE159" i="52"/>
  <c r="HF159" i="52"/>
  <c r="HG159" i="52"/>
  <c r="HH159" i="52"/>
  <c r="HI159" i="52"/>
  <c r="HJ159" i="52"/>
  <c r="HK159" i="52"/>
  <c r="HL159" i="52"/>
  <c r="HM159" i="52"/>
  <c r="HN159" i="52"/>
  <c r="HO159" i="52"/>
  <c r="HP159" i="52"/>
  <c r="HQ159" i="52"/>
  <c r="HR159" i="52"/>
  <c r="HS159" i="52"/>
  <c r="HT159" i="52"/>
  <c r="HU159" i="52"/>
  <c r="HV159" i="52"/>
  <c r="HW159" i="52"/>
  <c r="HX159" i="52"/>
  <c r="HY159" i="52"/>
  <c r="HZ159" i="52"/>
  <c r="IA159" i="52"/>
  <c r="IB159" i="52"/>
  <c r="IC159" i="52"/>
  <c r="ID159" i="52"/>
  <c r="IE159" i="52"/>
  <c r="IF159" i="52"/>
  <c r="IG159" i="52"/>
  <c r="IH159" i="52"/>
  <c r="II159" i="52"/>
  <c r="IJ159" i="52"/>
  <c r="IK159" i="52"/>
  <c r="IL159" i="52"/>
  <c r="IM159" i="52"/>
  <c r="IN159" i="52"/>
  <c r="IO159" i="52"/>
  <c r="IP159" i="52"/>
  <c r="IQ159" i="52"/>
  <c r="IR159" i="52"/>
  <c r="IS159" i="52"/>
  <c r="IT159" i="52"/>
  <c r="IU159" i="52"/>
  <c r="IV159" i="52"/>
  <c r="IW159" i="52"/>
  <c r="IX159" i="52"/>
  <c r="IY159" i="52"/>
  <c r="IZ159" i="52"/>
  <c r="JA159" i="52"/>
  <c r="JB159" i="52"/>
  <c r="JC159" i="52"/>
  <c r="JD159" i="52"/>
  <c r="JE159" i="52"/>
  <c r="JF159" i="52"/>
  <c r="JG159" i="52"/>
  <c r="JH159" i="52"/>
  <c r="JI159" i="52"/>
  <c r="JJ159" i="52"/>
  <c r="JK159" i="52"/>
  <c r="JL159" i="52"/>
  <c r="JM159" i="52"/>
  <c r="JN159" i="52"/>
  <c r="JO159" i="52"/>
  <c r="JP159" i="52"/>
  <c r="JQ159" i="52"/>
  <c r="JR159" i="52"/>
  <c r="JS159" i="52"/>
  <c r="JT159" i="52"/>
  <c r="JU159" i="52"/>
  <c r="JV159" i="52"/>
  <c r="JW159" i="52"/>
  <c r="JX159" i="52"/>
  <c r="JY159" i="52"/>
  <c r="JZ159" i="52"/>
  <c r="KA159" i="52"/>
  <c r="KB159" i="52"/>
  <c r="KC159" i="52"/>
  <c r="KD159" i="52"/>
  <c r="KE159" i="52"/>
  <c r="KF159" i="52"/>
  <c r="KG159" i="52"/>
  <c r="KH159" i="52"/>
  <c r="KI159" i="52"/>
  <c r="KJ159" i="52"/>
  <c r="KK159" i="52"/>
  <c r="KL159" i="52"/>
  <c r="KM159" i="52"/>
  <c r="KN159" i="52"/>
  <c r="KO159" i="52"/>
  <c r="KP159" i="52"/>
  <c r="KQ159" i="52"/>
  <c r="KR159" i="52"/>
  <c r="KS159" i="52"/>
  <c r="KT159" i="52"/>
  <c r="KU159" i="52"/>
  <c r="KV159" i="52"/>
  <c r="KW159" i="52"/>
  <c r="KX159" i="52"/>
  <c r="KY159" i="52"/>
  <c r="KZ159" i="52"/>
  <c r="LA159" i="52"/>
  <c r="LB159" i="52"/>
  <c r="LC159" i="52"/>
  <c r="LD159" i="52"/>
  <c r="LE159" i="52"/>
  <c r="LF159" i="52"/>
  <c r="LG159" i="52"/>
  <c r="LH159" i="52"/>
  <c r="LI159" i="52"/>
  <c r="LJ159" i="52"/>
  <c r="LK159" i="52"/>
  <c r="LL159" i="52"/>
  <c r="LM159" i="52"/>
  <c r="LN159" i="52"/>
  <c r="LO159" i="52"/>
  <c r="LP159" i="52"/>
  <c r="LQ159" i="52"/>
  <c r="LR159" i="52"/>
  <c r="LS159" i="52"/>
  <c r="LT159" i="52"/>
  <c r="LU159" i="52"/>
  <c r="LV159" i="52"/>
  <c r="LW159" i="52"/>
  <c r="LX159" i="52"/>
  <c r="LY159" i="52"/>
  <c r="LZ159" i="52"/>
  <c r="MA159" i="52"/>
  <c r="MB159" i="52"/>
  <c r="MC159" i="52"/>
  <c r="MD159" i="52"/>
  <c r="ME159" i="52"/>
  <c r="MF159" i="52"/>
  <c r="MG159" i="52"/>
  <c r="MH159" i="52"/>
  <c r="MI159" i="52"/>
  <c r="MJ159" i="52"/>
  <c r="MK159" i="52"/>
  <c r="ML159" i="52"/>
  <c r="MM159" i="52"/>
  <c r="MN159" i="52"/>
  <c r="MO159" i="52"/>
  <c r="MP159" i="52"/>
  <c r="MQ159" i="52"/>
  <c r="MR159" i="52"/>
  <c r="MS159" i="52"/>
  <c r="MT159" i="52"/>
  <c r="MU159" i="52"/>
  <c r="MV159" i="52"/>
  <c r="MW159" i="52"/>
  <c r="MX159" i="52"/>
  <c r="MY159" i="52"/>
  <c r="MZ159" i="52"/>
  <c r="NA159" i="52"/>
  <c r="NB159" i="52"/>
  <c r="NC159" i="52"/>
  <c r="ND159" i="52"/>
  <c r="NE159" i="52"/>
  <c r="NF159" i="52"/>
  <c r="NG159" i="52"/>
  <c r="NH159" i="52"/>
  <c r="NI159" i="52"/>
  <c r="NJ159" i="52"/>
  <c r="NK159" i="52"/>
  <c r="NL159" i="52"/>
  <c r="NM159" i="52"/>
  <c r="NN159" i="52"/>
  <c r="NO159" i="52"/>
  <c r="NP159" i="52"/>
  <c r="NQ159" i="52"/>
  <c r="NR159" i="52"/>
  <c r="NS159" i="52"/>
  <c r="NT159" i="52"/>
  <c r="NU159" i="52"/>
  <c r="NV159" i="52"/>
  <c r="NW159" i="52"/>
  <c r="NX159" i="52"/>
  <c r="NY159" i="52"/>
  <c r="NZ159" i="52"/>
  <c r="OA159" i="52"/>
  <c r="OB159" i="52"/>
  <c r="OC159" i="52"/>
  <c r="OD159" i="52"/>
  <c r="OE159" i="52"/>
  <c r="OF159" i="52"/>
  <c r="OG159" i="52"/>
  <c r="OH159" i="52"/>
  <c r="OI159" i="52"/>
  <c r="OJ159" i="52"/>
  <c r="OK159" i="52"/>
  <c r="OL159" i="52"/>
  <c r="OM159" i="52"/>
  <c r="ON159" i="52"/>
  <c r="OO159" i="52"/>
  <c r="OP159" i="52"/>
  <c r="OQ159" i="52"/>
  <c r="OR159" i="52"/>
  <c r="OS159" i="52"/>
  <c r="OT159" i="52"/>
  <c r="OU159" i="52"/>
  <c r="OV159" i="52"/>
  <c r="OW159" i="52"/>
  <c r="OX159" i="52"/>
  <c r="OY159" i="52"/>
  <c r="OZ159" i="52"/>
  <c r="PA159" i="52"/>
  <c r="PB159" i="52"/>
  <c r="PC159" i="52"/>
  <c r="PD159" i="52"/>
  <c r="PE159" i="52"/>
  <c r="PF159" i="52"/>
  <c r="PG159" i="52"/>
  <c r="PH159" i="52"/>
  <c r="PI159" i="52"/>
  <c r="PJ159" i="52"/>
  <c r="PK159" i="52"/>
  <c r="PL159" i="52"/>
  <c r="PM159" i="52"/>
  <c r="PN159" i="52"/>
  <c r="PO159" i="52"/>
  <c r="PP159" i="52"/>
  <c r="PQ159" i="52"/>
  <c r="PR159" i="52"/>
  <c r="PS159" i="52"/>
  <c r="PT159" i="52"/>
  <c r="PU159" i="52"/>
  <c r="PV159" i="52"/>
  <c r="PW159" i="52"/>
  <c r="PX159" i="52"/>
  <c r="PY159" i="52"/>
  <c r="PZ159" i="52"/>
  <c r="QA159" i="52"/>
  <c r="QB159" i="52"/>
  <c r="QC159" i="52"/>
  <c r="QD159" i="52"/>
  <c r="QE159" i="52"/>
  <c r="QF159" i="52"/>
  <c r="QG159" i="52"/>
  <c r="QH159" i="52"/>
  <c r="QI159" i="52"/>
  <c r="QJ159" i="52"/>
  <c r="QK159" i="52"/>
  <c r="QL159" i="52"/>
  <c r="QM159" i="52"/>
  <c r="QN159" i="52"/>
  <c r="QO159" i="52"/>
  <c r="QP159" i="52"/>
  <c r="QQ159" i="52"/>
  <c r="QR159" i="52"/>
  <c r="QS159" i="52"/>
  <c r="QT159" i="52"/>
  <c r="QU159" i="52"/>
  <c r="QV159" i="52"/>
  <c r="QW159" i="52"/>
  <c r="QX159" i="52"/>
  <c r="QY159" i="52"/>
  <c r="QZ159" i="52"/>
  <c r="RA159" i="52"/>
  <c r="RB159" i="52"/>
  <c r="RC159" i="52"/>
  <c r="RD159" i="52"/>
  <c r="RE159" i="52"/>
  <c r="RF159" i="52"/>
  <c r="RG159" i="52"/>
  <c r="RH159" i="52"/>
  <c r="RI159" i="52"/>
  <c r="RJ159" i="52"/>
  <c r="RK159" i="52"/>
  <c r="RL159" i="52"/>
  <c r="RM159" i="52"/>
  <c r="RN159" i="52"/>
  <c r="RO159" i="52"/>
  <c r="RP159" i="52"/>
  <c r="RQ159" i="52"/>
  <c r="RR159" i="52"/>
  <c r="RS159" i="52"/>
  <c r="RT159" i="52"/>
  <c r="RU159" i="52"/>
  <c r="RV159" i="52"/>
  <c r="RW159" i="52"/>
  <c r="RX159" i="52"/>
  <c r="RY159" i="52"/>
  <c r="RZ159" i="52"/>
  <c r="SA159" i="52"/>
  <c r="SB159" i="52"/>
  <c r="SC159" i="52"/>
  <c r="SD159" i="52"/>
  <c r="SE159" i="52"/>
  <c r="SF159" i="52"/>
  <c r="SG159" i="52"/>
  <c r="SH159" i="52"/>
  <c r="SI159" i="52"/>
  <c r="SJ159" i="52"/>
  <c r="SK159" i="52"/>
  <c r="SL159" i="52"/>
  <c r="SM159" i="52"/>
  <c r="SN159" i="52"/>
  <c r="SO159" i="52"/>
  <c r="SP159" i="52"/>
  <c r="SQ159" i="52"/>
  <c r="SR159" i="52"/>
  <c r="SS159" i="52"/>
  <c r="ST159" i="52"/>
  <c r="SU159" i="52"/>
  <c r="SV159" i="52"/>
  <c r="SW159" i="52"/>
  <c r="SX159" i="52"/>
  <c r="SY159" i="52"/>
  <c r="SZ159" i="52"/>
  <c r="TA159" i="52"/>
  <c r="TB159" i="52"/>
  <c r="TC159" i="52"/>
  <c r="TD159" i="52"/>
  <c r="TE159" i="52"/>
  <c r="TF159" i="52"/>
  <c r="TG159" i="52"/>
  <c r="TH159" i="52"/>
  <c r="TI159" i="52"/>
  <c r="TJ159" i="52"/>
  <c r="TK159" i="52"/>
  <c r="TL159" i="52"/>
  <c r="TM159" i="52"/>
  <c r="TN159" i="52"/>
  <c r="TO159" i="52"/>
  <c r="TP159" i="52"/>
  <c r="TQ159" i="52"/>
  <c r="TR159" i="52"/>
  <c r="TS159" i="52"/>
  <c r="TT159" i="52"/>
  <c r="TU159" i="52"/>
  <c r="TV159" i="52"/>
  <c r="TW159" i="52"/>
  <c r="TX159" i="52"/>
  <c r="TY159" i="52"/>
  <c r="TZ159" i="52"/>
  <c r="UA159" i="52"/>
  <c r="UB159" i="52"/>
  <c r="UC159" i="52"/>
  <c r="UD159" i="52"/>
  <c r="UE159" i="52"/>
  <c r="UF159" i="52"/>
  <c r="UG159" i="52"/>
  <c r="UH159" i="52"/>
  <c r="UI159" i="52"/>
  <c r="UJ159" i="52"/>
  <c r="UK159" i="52"/>
  <c r="UL159" i="52"/>
  <c r="UM159" i="52"/>
  <c r="UN159" i="52"/>
  <c r="UO159" i="52"/>
  <c r="UP159" i="52"/>
  <c r="UQ159" i="52"/>
  <c r="UR159" i="52"/>
  <c r="US159" i="52"/>
  <c r="UT159" i="52"/>
  <c r="UU159" i="52"/>
  <c r="UV159" i="52"/>
  <c r="UW159" i="52"/>
  <c r="UX159" i="52"/>
  <c r="UY159" i="52"/>
  <c r="UZ159" i="52"/>
  <c r="VA159" i="52"/>
  <c r="VB159" i="52"/>
  <c r="VC159" i="52"/>
  <c r="VD159" i="52"/>
  <c r="VE159" i="52"/>
  <c r="VF159" i="52"/>
  <c r="VG159" i="52"/>
  <c r="VH159" i="52"/>
  <c r="VI159" i="52"/>
  <c r="VJ159" i="52"/>
  <c r="VK159" i="52"/>
  <c r="VL159" i="52"/>
  <c r="VM159" i="52"/>
  <c r="VN159" i="52"/>
  <c r="VO159" i="52"/>
  <c r="VP159" i="52"/>
  <c r="VQ159" i="52"/>
  <c r="VR159" i="52"/>
  <c r="VS159" i="52"/>
  <c r="VT159" i="52"/>
  <c r="VU159" i="52"/>
  <c r="VV159" i="52"/>
  <c r="VW159" i="52"/>
  <c r="VX159" i="52"/>
  <c r="VY159" i="52"/>
  <c r="VZ159" i="52"/>
  <c r="WA159" i="52"/>
  <c r="WB159" i="52"/>
  <c r="WC159" i="52"/>
  <c r="WD159" i="52"/>
  <c r="WE159" i="52"/>
  <c r="WF159" i="52"/>
  <c r="WG159" i="52"/>
  <c r="WH159" i="52"/>
  <c r="WI159" i="52"/>
  <c r="WJ159" i="52"/>
  <c r="WK159" i="52"/>
  <c r="WL159" i="52"/>
  <c r="WM159" i="52"/>
  <c r="WN159" i="52"/>
  <c r="WO159" i="52"/>
  <c r="WP159" i="52"/>
  <c r="WQ159" i="52"/>
  <c r="WR159" i="52"/>
  <c r="WS159" i="52"/>
  <c r="WT159" i="52"/>
  <c r="WU159" i="52"/>
  <c r="WV159" i="52"/>
  <c r="WW159" i="52"/>
  <c r="WX159" i="52"/>
  <c r="WY159" i="52"/>
  <c r="WZ159" i="52"/>
  <c r="XA159" i="52"/>
  <c r="XB159" i="52"/>
  <c r="XC159" i="52"/>
  <c r="XD159" i="52"/>
  <c r="XE159" i="52"/>
  <c r="XF159" i="52"/>
  <c r="XG159" i="52"/>
  <c r="XH159" i="52"/>
  <c r="XI159" i="52"/>
  <c r="XJ159" i="52"/>
  <c r="XK159" i="52"/>
  <c r="XL159" i="52"/>
  <c r="XM159" i="52"/>
  <c r="XN159" i="52"/>
  <c r="XO159" i="52"/>
  <c r="XP159" i="52"/>
  <c r="XQ159" i="52"/>
  <c r="XR159" i="52"/>
  <c r="XS159" i="52"/>
  <c r="XT159" i="52"/>
  <c r="XU159" i="52"/>
  <c r="XV159" i="52"/>
  <c r="XW159" i="52"/>
  <c r="XX159" i="52"/>
  <c r="XY159" i="52"/>
  <c r="XZ159" i="52"/>
  <c r="YA159" i="52"/>
  <c r="YB159" i="52"/>
  <c r="YC159" i="52"/>
  <c r="YD159" i="52"/>
  <c r="YE159" i="52"/>
  <c r="YF159" i="52"/>
  <c r="YG159" i="52"/>
  <c r="YH159" i="52"/>
  <c r="YI159" i="52"/>
  <c r="YJ159" i="52"/>
  <c r="YK159" i="52"/>
  <c r="YL159" i="52"/>
  <c r="YM159" i="52"/>
  <c r="YN159" i="52"/>
  <c r="YO159" i="52"/>
  <c r="YP159" i="52"/>
  <c r="YQ159" i="52"/>
  <c r="YR159" i="52"/>
  <c r="YS159" i="52"/>
  <c r="YT159" i="52"/>
  <c r="YU159" i="52"/>
  <c r="YV159" i="52"/>
  <c r="YW159" i="52"/>
  <c r="YX159" i="52"/>
  <c r="YY159" i="52"/>
  <c r="YZ159" i="52"/>
  <c r="ZA159" i="52"/>
  <c r="ZB159" i="52"/>
  <c r="ZC159" i="52"/>
  <c r="ZD159" i="52"/>
  <c r="ZE159" i="52"/>
  <c r="ZF159" i="52"/>
  <c r="ZG159" i="52"/>
  <c r="ZH159" i="52"/>
  <c r="ZI159" i="52"/>
  <c r="ZJ159" i="52"/>
  <c r="ZK159" i="52"/>
  <c r="ZL159" i="52"/>
  <c r="ZM159" i="52"/>
  <c r="ZN159" i="52"/>
  <c r="ZO159" i="52"/>
  <c r="ZP159" i="52"/>
  <c r="ZQ159" i="52"/>
  <c r="ZR159" i="52"/>
  <c r="ZS159" i="52"/>
  <c r="ZT159" i="52"/>
  <c r="ZU159" i="52"/>
  <c r="ZV159" i="52"/>
  <c r="ZW159" i="52"/>
  <c r="ZX159" i="52"/>
  <c r="ZY159" i="52"/>
  <c r="ZZ159" i="52"/>
  <c r="AAA159" i="52"/>
  <c r="AAB159" i="52"/>
  <c r="AAC159" i="52"/>
  <c r="AAD159" i="52"/>
  <c r="AAE159" i="52"/>
  <c r="AAF159" i="52"/>
  <c r="AAG159" i="52"/>
  <c r="AAH159" i="52"/>
  <c r="AAI159" i="52"/>
  <c r="AAJ159" i="52"/>
  <c r="AAK159" i="52"/>
  <c r="AAL159" i="52"/>
  <c r="AAM159" i="52"/>
  <c r="AAN159" i="52"/>
  <c r="AAO159" i="52"/>
  <c r="AAP159" i="52"/>
  <c r="AAQ159" i="52"/>
  <c r="AAR159" i="52"/>
  <c r="AAS159" i="52"/>
  <c r="AAT159" i="52"/>
  <c r="AAU159" i="52"/>
  <c r="AAV159" i="52"/>
  <c r="AAW159" i="52"/>
  <c r="AAX159" i="52"/>
  <c r="AAY159" i="52"/>
  <c r="AAZ159" i="52"/>
  <c r="ABA159" i="52"/>
  <c r="ABB159" i="52"/>
  <c r="ABC159" i="52"/>
  <c r="ABD159" i="52"/>
  <c r="ABE159" i="52"/>
  <c r="ABF159" i="52"/>
  <c r="ABG159" i="52"/>
  <c r="ABH159" i="52"/>
  <c r="ABI159" i="52"/>
  <c r="ABJ159" i="52"/>
  <c r="ABK159" i="52"/>
  <c r="ABL159" i="52"/>
  <c r="ABM159" i="52"/>
  <c r="ABN159" i="52"/>
  <c r="ABO159" i="52"/>
  <c r="ABP159" i="52"/>
  <c r="ABQ159" i="52"/>
  <c r="ABR159" i="52"/>
  <c r="ABS159" i="52"/>
  <c r="ABT159" i="52"/>
  <c r="ABU159" i="52"/>
  <c r="ABV159" i="52"/>
  <c r="ABW159" i="52"/>
  <c r="ABX159" i="52"/>
  <c r="ABY159" i="52"/>
  <c r="ABZ159" i="52"/>
  <c r="ACA159" i="52"/>
  <c r="ACB159" i="52"/>
  <c r="ACC159" i="52"/>
  <c r="ACD159" i="52"/>
  <c r="ACE159" i="52"/>
  <c r="ACF159" i="52"/>
  <c r="ACG159" i="52"/>
  <c r="ACH159" i="52"/>
  <c r="ACI159" i="52"/>
  <c r="ACJ159" i="52"/>
  <c r="ACK159" i="52"/>
  <c r="ACL159" i="52"/>
  <c r="ACM159" i="52"/>
  <c r="ACN159" i="52"/>
  <c r="ACO159" i="52"/>
  <c r="ACP159" i="52"/>
  <c r="ACQ159" i="52"/>
  <c r="ACR159" i="52"/>
  <c r="ACS159" i="52"/>
  <c r="ACT159" i="52"/>
  <c r="ACU159" i="52"/>
  <c r="ACV159" i="52"/>
  <c r="ACW159" i="52"/>
  <c r="ACX159" i="52"/>
  <c r="ACY159" i="52"/>
  <c r="ACZ159" i="52"/>
  <c r="ADA159" i="52"/>
  <c r="ADB159" i="52"/>
  <c r="ADC159" i="52"/>
  <c r="ADD159" i="52"/>
  <c r="ADE159" i="52"/>
  <c r="ADF159" i="52"/>
  <c r="ADG159" i="52"/>
  <c r="ADH159" i="52"/>
  <c r="ADI159" i="52"/>
  <c r="ADJ159" i="52"/>
  <c r="ADK159" i="52"/>
  <c r="ADL159" i="52"/>
  <c r="ADM159" i="52"/>
  <c r="ADN159" i="52"/>
  <c r="ADO159" i="52"/>
  <c r="ADP159" i="52"/>
  <c r="ADQ159" i="52"/>
  <c r="ADR159" i="52"/>
  <c r="ADS159" i="52"/>
  <c r="ADT159" i="52"/>
  <c r="ADU159" i="52"/>
  <c r="ADV159" i="52"/>
  <c r="ADW159" i="52"/>
  <c r="ADX159" i="52"/>
  <c r="ADY159" i="52"/>
  <c r="ADZ159" i="52"/>
  <c r="AEA159" i="52"/>
  <c r="AEB159" i="52"/>
  <c r="AEC159" i="52"/>
  <c r="AED159" i="52"/>
  <c r="AEE159" i="52"/>
  <c r="AEF159" i="52"/>
  <c r="AEG159" i="52"/>
  <c r="AEH159" i="52"/>
  <c r="AEI159" i="52"/>
  <c r="AEJ159" i="52"/>
  <c r="AEK159" i="52"/>
  <c r="AEL159" i="52"/>
  <c r="AEM159" i="52"/>
  <c r="AEN159" i="52"/>
  <c r="AEO159" i="52"/>
  <c r="AEP159" i="52"/>
  <c r="AEQ159" i="52"/>
  <c r="AER159" i="52"/>
  <c r="AES159" i="52"/>
  <c r="AET159" i="52"/>
  <c r="AEU159" i="52"/>
  <c r="AEV159" i="52"/>
  <c r="AEW159" i="52"/>
  <c r="AEX159" i="52"/>
  <c r="AEY159" i="52"/>
  <c r="AEZ159" i="52"/>
  <c r="AFA159" i="52"/>
  <c r="AFB159" i="52"/>
  <c r="AFC159" i="52"/>
  <c r="AFD159" i="52"/>
  <c r="AFE159" i="52"/>
  <c r="AFF159" i="52"/>
  <c r="AFG159" i="52"/>
  <c r="AFH159" i="52"/>
  <c r="AFI159" i="52"/>
  <c r="AFJ159" i="52"/>
  <c r="AFK159" i="52"/>
  <c r="AFL159" i="52"/>
  <c r="AFM159" i="52"/>
  <c r="AFN159" i="52"/>
  <c r="AFO159" i="52"/>
  <c r="AFP159" i="52"/>
  <c r="AFQ159" i="52"/>
  <c r="AFR159" i="52"/>
  <c r="AFS159" i="52"/>
  <c r="AFT159" i="52"/>
  <c r="AFU159" i="52"/>
  <c r="AFV159" i="52"/>
  <c r="AFW159" i="52"/>
  <c r="AFX159" i="52"/>
  <c r="AFY159" i="52"/>
  <c r="AFZ159" i="52"/>
  <c r="AGA159" i="52"/>
  <c r="AGB159" i="52"/>
  <c r="AGC159" i="52"/>
  <c r="AGD159" i="52"/>
  <c r="AGE159" i="52"/>
  <c r="AGF159" i="52"/>
  <c r="AGG159" i="52"/>
  <c r="AGH159" i="52"/>
  <c r="AGI159" i="52"/>
  <c r="AGJ159" i="52"/>
  <c r="AGK159" i="52"/>
  <c r="AGL159" i="52"/>
  <c r="AGM159" i="52"/>
  <c r="AGN159" i="52"/>
  <c r="AGO159" i="52"/>
  <c r="AGP159" i="52"/>
  <c r="AGQ159" i="52"/>
  <c r="AGR159" i="52"/>
  <c r="AGS159" i="52"/>
  <c r="AGT159" i="52"/>
  <c r="AGU159" i="52"/>
  <c r="AGV159" i="52"/>
  <c r="AGW159" i="52"/>
  <c r="AGX159" i="52"/>
  <c r="AGY159" i="52"/>
  <c r="AGZ159" i="52"/>
  <c r="AHA159" i="52"/>
  <c r="AHB159" i="52"/>
  <c r="AHC159" i="52"/>
  <c r="AHD159" i="52"/>
  <c r="AHE159" i="52"/>
  <c r="AHF159" i="52"/>
  <c r="AHG159" i="52"/>
  <c r="AHH159" i="52"/>
  <c r="AHI159" i="52"/>
  <c r="AHJ159" i="52"/>
  <c r="AHK159" i="52"/>
  <c r="AHL159" i="52"/>
  <c r="AHM159" i="52"/>
  <c r="AHN159" i="52"/>
  <c r="AHO159" i="52"/>
  <c r="AHP159" i="52"/>
  <c r="AHQ159" i="52"/>
  <c r="AHR159" i="52"/>
  <c r="AHS159" i="52"/>
  <c r="AHT159" i="52"/>
  <c r="E160" i="52"/>
  <c r="F160" i="52"/>
  <c r="G160" i="52"/>
  <c r="H160" i="52"/>
  <c r="I160" i="52"/>
  <c r="J160" i="52"/>
  <c r="K160" i="52"/>
  <c r="L160" i="52"/>
  <c r="M160" i="52"/>
  <c r="N160" i="52"/>
  <c r="O160" i="52"/>
  <c r="P160" i="52"/>
  <c r="Q160" i="52"/>
  <c r="R160" i="52"/>
  <c r="S160" i="52"/>
  <c r="T160" i="52"/>
  <c r="U160" i="52"/>
  <c r="V160" i="52"/>
  <c r="W160" i="52"/>
  <c r="X160" i="52"/>
  <c r="Y160" i="52"/>
  <c r="Z160" i="52"/>
  <c r="AA160" i="52"/>
  <c r="AB160" i="52"/>
  <c r="AC160" i="52"/>
  <c r="AD160" i="52"/>
  <c r="AE160" i="52"/>
  <c r="AF160" i="52"/>
  <c r="AG160" i="52"/>
  <c r="AH160" i="52"/>
  <c r="AI160" i="52"/>
  <c r="AJ160" i="52"/>
  <c r="AK160" i="52"/>
  <c r="AL160" i="52"/>
  <c r="AM160" i="52"/>
  <c r="AN160" i="52"/>
  <c r="AO160" i="52"/>
  <c r="AP160" i="52"/>
  <c r="AQ160" i="52"/>
  <c r="AR160" i="52"/>
  <c r="AS160" i="52"/>
  <c r="AT160" i="52"/>
  <c r="AU160" i="52"/>
  <c r="AV160" i="52"/>
  <c r="AW160" i="52"/>
  <c r="AX160" i="52"/>
  <c r="AY160" i="52"/>
  <c r="AZ160" i="52"/>
  <c r="BA160" i="52"/>
  <c r="BB160" i="52"/>
  <c r="BC160" i="52"/>
  <c r="BD160" i="52"/>
  <c r="BE160" i="52"/>
  <c r="BF160" i="52"/>
  <c r="BG160" i="52"/>
  <c r="BH160" i="52"/>
  <c r="BI160" i="52"/>
  <c r="BJ160" i="52"/>
  <c r="BK160" i="52"/>
  <c r="BL160" i="52"/>
  <c r="BM160" i="52"/>
  <c r="BN160" i="52"/>
  <c r="BO160" i="52"/>
  <c r="BP160" i="52"/>
  <c r="BQ160" i="52"/>
  <c r="BR160" i="52"/>
  <c r="BS160" i="52"/>
  <c r="BT160" i="52"/>
  <c r="BU160" i="52"/>
  <c r="BV160" i="52"/>
  <c r="BW160" i="52"/>
  <c r="BX160" i="52"/>
  <c r="BY160" i="52"/>
  <c r="BZ160" i="52"/>
  <c r="CA160" i="52"/>
  <c r="CB160" i="52"/>
  <c r="CC160" i="52"/>
  <c r="CD160" i="52"/>
  <c r="CE160" i="52"/>
  <c r="CF160" i="52"/>
  <c r="CG160" i="52"/>
  <c r="CH160" i="52"/>
  <c r="CI160" i="52"/>
  <c r="CJ160" i="52"/>
  <c r="CK160" i="52"/>
  <c r="CL160" i="52"/>
  <c r="CM160" i="52"/>
  <c r="CN160" i="52"/>
  <c r="CO160" i="52"/>
  <c r="CP160" i="52"/>
  <c r="CQ160" i="52"/>
  <c r="CR160" i="52"/>
  <c r="CS160" i="52"/>
  <c r="CT160" i="52"/>
  <c r="CU160" i="52"/>
  <c r="CV160" i="52"/>
  <c r="CW160" i="52"/>
  <c r="CX160" i="52"/>
  <c r="CY160" i="52"/>
  <c r="CZ160" i="52"/>
  <c r="DA160" i="52"/>
  <c r="DB160" i="52"/>
  <c r="DC160" i="52"/>
  <c r="DD160" i="52"/>
  <c r="DE160" i="52"/>
  <c r="DF160" i="52"/>
  <c r="DG160" i="52"/>
  <c r="DH160" i="52"/>
  <c r="DI160" i="52"/>
  <c r="DJ160" i="52"/>
  <c r="DK160" i="52"/>
  <c r="DL160" i="52"/>
  <c r="DM160" i="52"/>
  <c r="DN160" i="52"/>
  <c r="DO160" i="52"/>
  <c r="DP160" i="52"/>
  <c r="DQ160" i="52"/>
  <c r="DR160" i="52"/>
  <c r="DS160" i="52"/>
  <c r="DT160" i="52"/>
  <c r="DU160" i="52"/>
  <c r="DV160" i="52"/>
  <c r="DW160" i="52"/>
  <c r="DX160" i="52"/>
  <c r="DY160" i="52"/>
  <c r="DZ160" i="52"/>
  <c r="EA160" i="52"/>
  <c r="EB160" i="52"/>
  <c r="EC160" i="52"/>
  <c r="ED160" i="52"/>
  <c r="EE160" i="52"/>
  <c r="EF160" i="52"/>
  <c r="EG160" i="52"/>
  <c r="EH160" i="52"/>
  <c r="EI160" i="52"/>
  <c r="EJ160" i="52"/>
  <c r="EK160" i="52"/>
  <c r="EL160" i="52"/>
  <c r="EM160" i="52"/>
  <c r="EN160" i="52"/>
  <c r="EO160" i="52"/>
  <c r="EP160" i="52"/>
  <c r="EQ160" i="52"/>
  <c r="ER160" i="52"/>
  <c r="ES160" i="52"/>
  <c r="ET160" i="52"/>
  <c r="EU160" i="52"/>
  <c r="EV160" i="52"/>
  <c r="EW160" i="52"/>
  <c r="EX160" i="52"/>
  <c r="EY160" i="52"/>
  <c r="EZ160" i="52"/>
  <c r="FA160" i="52"/>
  <c r="FB160" i="52"/>
  <c r="FC160" i="52"/>
  <c r="FD160" i="52"/>
  <c r="FE160" i="52"/>
  <c r="FF160" i="52"/>
  <c r="FG160" i="52"/>
  <c r="FH160" i="52"/>
  <c r="FI160" i="52"/>
  <c r="FJ160" i="52"/>
  <c r="FK160" i="52"/>
  <c r="FL160" i="52"/>
  <c r="FM160" i="52"/>
  <c r="FN160" i="52"/>
  <c r="FO160" i="52"/>
  <c r="FP160" i="52"/>
  <c r="FQ160" i="52"/>
  <c r="FR160" i="52"/>
  <c r="FS160" i="52"/>
  <c r="FT160" i="52"/>
  <c r="FU160" i="52"/>
  <c r="FV160" i="52"/>
  <c r="FW160" i="52"/>
  <c r="FX160" i="52"/>
  <c r="FY160" i="52"/>
  <c r="FZ160" i="52"/>
  <c r="GA160" i="52"/>
  <c r="GB160" i="52"/>
  <c r="GC160" i="52"/>
  <c r="GD160" i="52"/>
  <c r="GE160" i="52"/>
  <c r="GF160" i="52"/>
  <c r="GG160" i="52"/>
  <c r="GH160" i="52"/>
  <c r="GI160" i="52"/>
  <c r="GJ160" i="52"/>
  <c r="GK160" i="52"/>
  <c r="GL160" i="52"/>
  <c r="GM160" i="52"/>
  <c r="GN160" i="52"/>
  <c r="GO160" i="52"/>
  <c r="GP160" i="52"/>
  <c r="GQ160" i="52"/>
  <c r="GR160" i="52"/>
  <c r="GS160" i="52"/>
  <c r="GT160" i="52"/>
  <c r="GU160" i="52"/>
  <c r="GV160" i="52"/>
  <c r="GW160" i="52"/>
  <c r="GX160" i="52"/>
  <c r="GY160" i="52"/>
  <c r="GZ160" i="52"/>
  <c r="HA160" i="52"/>
  <c r="HB160" i="52"/>
  <c r="HC160" i="52"/>
  <c r="HD160" i="52"/>
  <c r="HE160" i="52"/>
  <c r="HF160" i="52"/>
  <c r="HG160" i="52"/>
  <c r="HH160" i="52"/>
  <c r="HI160" i="52"/>
  <c r="HJ160" i="52"/>
  <c r="HK160" i="52"/>
  <c r="HL160" i="52"/>
  <c r="HM160" i="52"/>
  <c r="HN160" i="52"/>
  <c r="HO160" i="52"/>
  <c r="HP160" i="52"/>
  <c r="HQ160" i="52"/>
  <c r="HR160" i="52"/>
  <c r="HS160" i="52"/>
  <c r="HT160" i="52"/>
  <c r="HU160" i="52"/>
  <c r="HV160" i="52"/>
  <c r="HW160" i="52"/>
  <c r="HX160" i="52"/>
  <c r="HY160" i="52"/>
  <c r="HZ160" i="52"/>
  <c r="IA160" i="52"/>
  <c r="IB160" i="52"/>
  <c r="IC160" i="52"/>
  <c r="ID160" i="52"/>
  <c r="IE160" i="52"/>
  <c r="IF160" i="52"/>
  <c r="IG160" i="52"/>
  <c r="IH160" i="52"/>
  <c r="II160" i="52"/>
  <c r="IJ160" i="52"/>
  <c r="IK160" i="52"/>
  <c r="IL160" i="52"/>
  <c r="IM160" i="52"/>
  <c r="IN160" i="52"/>
  <c r="IO160" i="52"/>
  <c r="IP160" i="52"/>
  <c r="IQ160" i="52"/>
  <c r="IR160" i="52"/>
  <c r="IS160" i="52"/>
  <c r="IT160" i="52"/>
  <c r="IU160" i="52"/>
  <c r="IV160" i="52"/>
  <c r="IW160" i="52"/>
  <c r="IX160" i="52"/>
  <c r="IY160" i="52"/>
  <c r="IZ160" i="52"/>
  <c r="JA160" i="52"/>
  <c r="JB160" i="52"/>
  <c r="JC160" i="52"/>
  <c r="JD160" i="52"/>
  <c r="JE160" i="52"/>
  <c r="JF160" i="52"/>
  <c r="JG160" i="52"/>
  <c r="JH160" i="52"/>
  <c r="JI160" i="52"/>
  <c r="JJ160" i="52"/>
  <c r="JK160" i="52"/>
  <c r="JL160" i="52"/>
  <c r="JM160" i="52"/>
  <c r="JN160" i="52"/>
  <c r="JO160" i="52"/>
  <c r="JP160" i="52"/>
  <c r="JQ160" i="52"/>
  <c r="JR160" i="52"/>
  <c r="JS160" i="52"/>
  <c r="JT160" i="52"/>
  <c r="JU160" i="52"/>
  <c r="JV160" i="52"/>
  <c r="JW160" i="52"/>
  <c r="JX160" i="52"/>
  <c r="JY160" i="52"/>
  <c r="JZ160" i="52"/>
  <c r="KA160" i="52"/>
  <c r="KB160" i="52"/>
  <c r="KC160" i="52"/>
  <c r="KD160" i="52"/>
  <c r="KE160" i="52"/>
  <c r="KF160" i="52"/>
  <c r="KG160" i="52"/>
  <c r="KH160" i="52"/>
  <c r="KI160" i="52"/>
  <c r="KJ160" i="52"/>
  <c r="KK160" i="52"/>
  <c r="KL160" i="52"/>
  <c r="KM160" i="52"/>
  <c r="KN160" i="52"/>
  <c r="KO160" i="52"/>
  <c r="KP160" i="52"/>
  <c r="KQ160" i="52"/>
  <c r="KR160" i="52"/>
  <c r="KS160" i="52"/>
  <c r="KT160" i="52"/>
  <c r="KU160" i="52"/>
  <c r="KV160" i="52"/>
  <c r="KW160" i="52"/>
  <c r="KX160" i="52"/>
  <c r="KY160" i="52"/>
  <c r="KZ160" i="52"/>
  <c r="LA160" i="52"/>
  <c r="LB160" i="52"/>
  <c r="LC160" i="52"/>
  <c r="LD160" i="52"/>
  <c r="LE160" i="52"/>
  <c r="LF160" i="52"/>
  <c r="LG160" i="52"/>
  <c r="LH160" i="52"/>
  <c r="LI160" i="52"/>
  <c r="LJ160" i="52"/>
  <c r="LK160" i="52"/>
  <c r="LL160" i="52"/>
  <c r="LM160" i="52"/>
  <c r="LN160" i="52"/>
  <c r="LO160" i="52"/>
  <c r="LP160" i="52"/>
  <c r="LQ160" i="52"/>
  <c r="LR160" i="52"/>
  <c r="LS160" i="52"/>
  <c r="LT160" i="52"/>
  <c r="LU160" i="52"/>
  <c r="LV160" i="52"/>
  <c r="LW160" i="52"/>
  <c r="LX160" i="52"/>
  <c r="LY160" i="52"/>
  <c r="LZ160" i="52"/>
  <c r="MA160" i="52"/>
  <c r="MB160" i="52"/>
  <c r="MC160" i="52"/>
  <c r="MD160" i="52"/>
  <c r="ME160" i="52"/>
  <c r="MF160" i="52"/>
  <c r="MG160" i="52"/>
  <c r="MH160" i="52"/>
  <c r="MI160" i="52"/>
  <c r="MJ160" i="52"/>
  <c r="MK160" i="52"/>
  <c r="ML160" i="52"/>
  <c r="MM160" i="52"/>
  <c r="MN160" i="52"/>
  <c r="MO160" i="52"/>
  <c r="MP160" i="52"/>
  <c r="MQ160" i="52"/>
  <c r="MR160" i="52"/>
  <c r="MS160" i="52"/>
  <c r="MT160" i="52"/>
  <c r="MU160" i="52"/>
  <c r="MV160" i="52"/>
  <c r="MW160" i="52"/>
  <c r="MX160" i="52"/>
  <c r="MY160" i="52"/>
  <c r="MZ160" i="52"/>
  <c r="NA160" i="52"/>
  <c r="NB160" i="52"/>
  <c r="NC160" i="52"/>
  <c r="ND160" i="52"/>
  <c r="NE160" i="52"/>
  <c r="NF160" i="52"/>
  <c r="NG160" i="52"/>
  <c r="NH160" i="52"/>
  <c r="NI160" i="52"/>
  <c r="NJ160" i="52"/>
  <c r="NK160" i="52"/>
  <c r="NL160" i="52"/>
  <c r="NM160" i="52"/>
  <c r="NN160" i="52"/>
  <c r="NO160" i="52"/>
  <c r="NP160" i="52"/>
  <c r="NQ160" i="52"/>
  <c r="NR160" i="52"/>
  <c r="NS160" i="52"/>
  <c r="NT160" i="52"/>
  <c r="NU160" i="52"/>
  <c r="NV160" i="52"/>
  <c r="NW160" i="52"/>
  <c r="NX160" i="52"/>
  <c r="NY160" i="52"/>
  <c r="NZ160" i="52"/>
  <c r="OA160" i="52"/>
  <c r="OB160" i="52"/>
  <c r="OC160" i="52"/>
  <c r="OD160" i="52"/>
  <c r="OE160" i="52"/>
  <c r="OF160" i="52"/>
  <c r="OG160" i="52"/>
  <c r="OH160" i="52"/>
  <c r="OI160" i="52"/>
  <c r="OJ160" i="52"/>
  <c r="OK160" i="52"/>
  <c r="OL160" i="52"/>
  <c r="OM160" i="52"/>
  <c r="ON160" i="52"/>
  <c r="OO160" i="52"/>
  <c r="OP160" i="52"/>
  <c r="OQ160" i="52"/>
  <c r="OR160" i="52"/>
  <c r="OS160" i="52"/>
  <c r="OT160" i="52"/>
  <c r="OU160" i="52"/>
  <c r="OV160" i="52"/>
  <c r="OW160" i="52"/>
  <c r="OX160" i="52"/>
  <c r="OY160" i="52"/>
  <c r="OZ160" i="52"/>
  <c r="PA160" i="52"/>
  <c r="PB160" i="52"/>
  <c r="PC160" i="52"/>
  <c r="PD160" i="52"/>
  <c r="PE160" i="52"/>
  <c r="PF160" i="52"/>
  <c r="PG160" i="52"/>
  <c r="PH160" i="52"/>
  <c r="PI160" i="52"/>
  <c r="PJ160" i="52"/>
  <c r="PK160" i="52"/>
  <c r="PL160" i="52"/>
  <c r="PM160" i="52"/>
  <c r="PN160" i="52"/>
  <c r="PO160" i="52"/>
  <c r="PP160" i="52"/>
  <c r="PQ160" i="52"/>
  <c r="PR160" i="52"/>
  <c r="PS160" i="52"/>
  <c r="PT160" i="52"/>
  <c r="PU160" i="52"/>
  <c r="PV160" i="52"/>
  <c r="PW160" i="52"/>
  <c r="PX160" i="52"/>
  <c r="PY160" i="52"/>
  <c r="PZ160" i="52"/>
  <c r="QA160" i="52"/>
  <c r="QB160" i="52"/>
  <c r="QC160" i="52"/>
  <c r="QD160" i="52"/>
  <c r="QE160" i="52"/>
  <c r="QF160" i="52"/>
  <c r="QG160" i="52"/>
  <c r="QH160" i="52"/>
  <c r="QI160" i="52"/>
  <c r="QJ160" i="52"/>
  <c r="QK160" i="52"/>
  <c r="QL160" i="52"/>
  <c r="QM160" i="52"/>
  <c r="QN160" i="52"/>
  <c r="QO160" i="52"/>
  <c r="QP160" i="52"/>
  <c r="QQ160" i="52"/>
  <c r="QR160" i="52"/>
  <c r="QS160" i="52"/>
  <c r="QT160" i="52"/>
  <c r="QU160" i="52"/>
  <c r="QV160" i="52"/>
  <c r="QW160" i="52"/>
  <c r="QX160" i="52"/>
  <c r="QY160" i="52"/>
  <c r="QZ160" i="52"/>
  <c r="RA160" i="52"/>
  <c r="RB160" i="52"/>
  <c r="RC160" i="52"/>
  <c r="RD160" i="52"/>
  <c r="RE160" i="52"/>
  <c r="RF160" i="52"/>
  <c r="RG160" i="52"/>
  <c r="RH160" i="52"/>
  <c r="RI160" i="52"/>
  <c r="RJ160" i="52"/>
  <c r="RK160" i="52"/>
  <c r="RL160" i="52"/>
  <c r="RM160" i="52"/>
  <c r="RN160" i="52"/>
  <c r="RO160" i="52"/>
  <c r="RP160" i="52"/>
  <c r="RQ160" i="52"/>
  <c r="RR160" i="52"/>
  <c r="RS160" i="52"/>
  <c r="RT160" i="52"/>
  <c r="RU160" i="52"/>
  <c r="RV160" i="52"/>
  <c r="RW160" i="52"/>
  <c r="RX160" i="52"/>
  <c r="RY160" i="52"/>
  <c r="RZ160" i="52"/>
  <c r="SA160" i="52"/>
  <c r="SB160" i="52"/>
  <c r="SC160" i="52"/>
  <c r="SD160" i="52"/>
  <c r="SE160" i="52"/>
  <c r="SF160" i="52"/>
  <c r="SG160" i="52"/>
  <c r="SH160" i="52"/>
  <c r="SI160" i="52"/>
  <c r="SJ160" i="52"/>
  <c r="SK160" i="52"/>
  <c r="SL160" i="52"/>
  <c r="SM160" i="52"/>
  <c r="SN160" i="52"/>
  <c r="SO160" i="52"/>
  <c r="SP160" i="52"/>
  <c r="SQ160" i="52"/>
  <c r="SR160" i="52"/>
  <c r="SS160" i="52"/>
  <c r="ST160" i="52"/>
  <c r="SU160" i="52"/>
  <c r="SV160" i="52"/>
  <c r="SW160" i="52"/>
  <c r="SX160" i="52"/>
  <c r="SY160" i="52"/>
  <c r="SZ160" i="52"/>
  <c r="TA160" i="52"/>
  <c r="TB160" i="52"/>
  <c r="TC160" i="52"/>
  <c r="TD160" i="52"/>
  <c r="TE160" i="52"/>
  <c r="TF160" i="52"/>
  <c r="TG160" i="52"/>
  <c r="TH160" i="52"/>
  <c r="TI160" i="52"/>
  <c r="TJ160" i="52"/>
  <c r="TK160" i="52"/>
  <c r="TL160" i="52"/>
  <c r="TM160" i="52"/>
  <c r="TN160" i="52"/>
  <c r="TO160" i="52"/>
  <c r="TP160" i="52"/>
  <c r="TQ160" i="52"/>
  <c r="TR160" i="52"/>
  <c r="TS160" i="52"/>
  <c r="TT160" i="52"/>
  <c r="TU160" i="52"/>
  <c r="TV160" i="52"/>
  <c r="TW160" i="52"/>
  <c r="TX160" i="52"/>
  <c r="TY160" i="52"/>
  <c r="TZ160" i="52"/>
  <c r="UA160" i="52"/>
  <c r="UB160" i="52"/>
  <c r="UC160" i="52"/>
  <c r="UD160" i="52"/>
  <c r="UE160" i="52"/>
  <c r="UF160" i="52"/>
  <c r="UG160" i="52"/>
  <c r="UH160" i="52"/>
  <c r="UI160" i="52"/>
  <c r="UJ160" i="52"/>
  <c r="UK160" i="52"/>
  <c r="UL160" i="52"/>
  <c r="UM160" i="52"/>
  <c r="UN160" i="52"/>
  <c r="UO160" i="52"/>
  <c r="UP160" i="52"/>
  <c r="UQ160" i="52"/>
  <c r="UR160" i="52"/>
  <c r="US160" i="52"/>
  <c r="UT160" i="52"/>
  <c r="UU160" i="52"/>
  <c r="UV160" i="52"/>
  <c r="UW160" i="52"/>
  <c r="UX160" i="52"/>
  <c r="UY160" i="52"/>
  <c r="UZ160" i="52"/>
  <c r="VA160" i="52"/>
  <c r="VB160" i="52"/>
  <c r="VC160" i="52"/>
  <c r="VD160" i="52"/>
  <c r="VE160" i="52"/>
  <c r="VF160" i="52"/>
  <c r="VG160" i="52"/>
  <c r="VH160" i="52"/>
  <c r="VI160" i="52"/>
  <c r="VJ160" i="52"/>
  <c r="VK160" i="52"/>
  <c r="VL160" i="52"/>
  <c r="VM160" i="52"/>
  <c r="VN160" i="52"/>
  <c r="VO160" i="52"/>
  <c r="VP160" i="52"/>
  <c r="VQ160" i="52"/>
  <c r="VR160" i="52"/>
  <c r="VS160" i="52"/>
  <c r="VT160" i="52"/>
  <c r="VU160" i="52"/>
  <c r="VV160" i="52"/>
  <c r="VW160" i="52"/>
  <c r="VX160" i="52"/>
  <c r="VY160" i="52"/>
  <c r="VZ160" i="52"/>
  <c r="WA160" i="52"/>
  <c r="WB160" i="52"/>
  <c r="WC160" i="52"/>
  <c r="WD160" i="52"/>
  <c r="WE160" i="52"/>
  <c r="WF160" i="52"/>
  <c r="WG160" i="52"/>
  <c r="WH160" i="52"/>
  <c r="WI160" i="52"/>
  <c r="WJ160" i="52"/>
  <c r="WK160" i="52"/>
  <c r="WL160" i="52"/>
  <c r="WM160" i="52"/>
  <c r="WN160" i="52"/>
  <c r="WO160" i="52"/>
  <c r="WP160" i="52"/>
  <c r="WQ160" i="52"/>
  <c r="WR160" i="52"/>
  <c r="WS160" i="52"/>
  <c r="WT160" i="52"/>
  <c r="WU160" i="52"/>
  <c r="WV160" i="52"/>
  <c r="WW160" i="52"/>
  <c r="WX160" i="52"/>
  <c r="WY160" i="52"/>
  <c r="WZ160" i="52"/>
  <c r="XA160" i="52"/>
  <c r="XB160" i="52"/>
  <c r="XC160" i="52"/>
  <c r="XD160" i="52"/>
  <c r="XE160" i="52"/>
  <c r="XF160" i="52"/>
  <c r="XG160" i="52"/>
  <c r="XH160" i="52"/>
  <c r="XI160" i="52"/>
  <c r="XJ160" i="52"/>
  <c r="XK160" i="52"/>
  <c r="XL160" i="52"/>
  <c r="XM160" i="52"/>
  <c r="XN160" i="52"/>
  <c r="XO160" i="52"/>
  <c r="XP160" i="52"/>
  <c r="XQ160" i="52"/>
  <c r="XR160" i="52"/>
  <c r="XS160" i="52"/>
  <c r="XT160" i="52"/>
  <c r="XU160" i="52"/>
  <c r="XV160" i="52"/>
  <c r="XW160" i="52"/>
  <c r="XX160" i="52"/>
  <c r="XY160" i="52"/>
  <c r="XZ160" i="52"/>
  <c r="YA160" i="52"/>
  <c r="YB160" i="52"/>
  <c r="YC160" i="52"/>
  <c r="YD160" i="52"/>
  <c r="YE160" i="52"/>
  <c r="YF160" i="52"/>
  <c r="YG160" i="52"/>
  <c r="YH160" i="52"/>
  <c r="YI160" i="52"/>
  <c r="YJ160" i="52"/>
  <c r="YK160" i="52"/>
  <c r="YL160" i="52"/>
  <c r="YM160" i="52"/>
  <c r="YN160" i="52"/>
  <c r="YO160" i="52"/>
  <c r="YP160" i="52"/>
  <c r="YQ160" i="52"/>
  <c r="YR160" i="52"/>
  <c r="YS160" i="52"/>
  <c r="YT160" i="52"/>
  <c r="YU160" i="52"/>
  <c r="YV160" i="52"/>
  <c r="YW160" i="52"/>
  <c r="YX160" i="52"/>
  <c r="YY160" i="52"/>
  <c r="YZ160" i="52"/>
  <c r="ZA160" i="52"/>
  <c r="ZB160" i="52"/>
  <c r="ZC160" i="52"/>
  <c r="ZD160" i="52"/>
  <c r="ZE160" i="52"/>
  <c r="ZF160" i="52"/>
  <c r="ZG160" i="52"/>
  <c r="ZH160" i="52"/>
  <c r="ZI160" i="52"/>
  <c r="ZJ160" i="52"/>
  <c r="ZK160" i="52"/>
  <c r="ZL160" i="52"/>
  <c r="ZM160" i="52"/>
  <c r="ZN160" i="52"/>
  <c r="ZO160" i="52"/>
  <c r="ZP160" i="52"/>
  <c r="ZQ160" i="52"/>
  <c r="ZR160" i="52"/>
  <c r="ZS160" i="52"/>
  <c r="ZT160" i="52"/>
  <c r="ZU160" i="52"/>
  <c r="ZV160" i="52"/>
  <c r="ZW160" i="52"/>
  <c r="ZX160" i="52"/>
  <c r="ZY160" i="52"/>
  <c r="ZZ160" i="52"/>
  <c r="AAA160" i="52"/>
  <c r="AAB160" i="52"/>
  <c r="AAC160" i="52"/>
  <c r="AAD160" i="52"/>
  <c r="AAE160" i="52"/>
  <c r="AAF160" i="52"/>
  <c r="AAG160" i="52"/>
  <c r="AAH160" i="52"/>
  <c r="AAI160" i="52"/>
  <c r="AAJ160" i="52"/>
  <c r="AAK160" i="52"/>
  <c r="AAL160" i="52"/>
  <c r="AAM160" i="52"/>
  <c r="AAN160" i="52"/>
  <c r="AAO160" i="52"/>
  <c r="AAP160" i="52"/>
  <c r="AAQ160" i="52"/>
  <c r="AAR160" i="52"/>
  <c r="AAS160" i="52"/>
  <c r="AAT160" i="52"/>
  <c r="AAU160" i="52"/>
  <c r="AAV160" i="52"/>
  <c r="AAW160" i="52"/>
  <c r="AAX160" i="52"/>
  <c r="AAY160" i="52"/>
  <c r="AAZ160" i="52"/>
  <c r="ABA160" i="52"/>
  <c r="ABB160" i="52"/>
  <c r="ABC160" i="52"/>
  <c r="ABD160" i="52"/>
  <c r="ABE160" i="52"/>
  <c r="ABF160" i="52"/>
  <c r="ABG160" i="52"/>
  <c r="ABH160" i="52"/>
  <c r="ABI160" i="52"/>
  <c r="ABJ160" i="52"/>
  <c r="ABK160" i="52"/>
  <c r="ABL160" i="52"/>
  <c r="ABM160" i="52"/>
  <c r="ABN160" i="52"/>
  <c r="ABO160" i="52"/>
  <c r="ABP160" i="52"/>
  <c r="ABQ160" i="52"/>
  <c r="ABR160" i="52"/>
  <c r="ABS160" i="52"/>
  <c r="ABT160" i="52"/>
  <c r="ABU160" i="52"/>
  <c r="ABV160" i="52"/>
  <c r="ABW160" i="52"/>
  <c r="ABX160" i="52"/>
  <c r="ABY160" i="52"/>
  <c r="ABZ160" i="52"/>
  <c r="ACA160" i="52"/>
  <c r="ACB160" i="52"/>
  <c r="ACC160" i="52"/>
  <c r="ACD160" i="52"/>
  <c r="ACE160" i="52"/>
  <c r="ACF160" i="52"/>
  <c r="ACG160" i="52"/>
  <c r="ACH160" i="52"/>
  <c r="ACI160" i="52"/>
  <c r="ACJ160" i="52"/>
  <c r="ACK160" i="52"/>
  <c r="ACL160" i="52"/>
  <c r="ACM160" i="52"/>
  <c r="ACN160" i="52"/>
  <c r="ACO160" i="52"/>
  <c r="ACP160" i="52"/>
  <c r="ACQ160" i="52"/>
  <c r="ACR160" i="52"/>
  <c r="ACS160" i="52"/>
  <c r="ACT160" i="52"/>
  <c r="ACU160" i="52"/>
  <c r="ACV160" i="52"/>
  <c r="ACW160" i="52"/>
  <c r="ACX160" i="52"/>
  <c r="ACY160" i="52"/>
  <c r="ACZ160" i="52"/>
  <c r="ADA160" i="52"/>
  <c r="ADB160" i="52"/>
  <c r="ADC160" i="52"/>
  <c r="ADD160" i="52"/>
  <c r="ADE160" i="52"/>
  <c r="ADF160" i="52"/>
  <c r="ADG160" i="52"/>
  <c r="ADH160" i="52"/>
  <c r="ADI160" i="52"/>
  <c r="ADJ160" i="52"/>
  <c r="ADK160" i="52"/>
  <c r="ADL160" i="52"/>
  <c r="ADM160" i="52"/>
  <c r="ADN160" i="52"/>
  <c r="ADO160" i="52"/>
  <c r="ADP160" i="52"/>
  <c r="ADQ160" i="52"/>
  <c r="ADR160" i="52"/>
  <c r="ADS160" i="52"/>
  <c r="ADT160" i="52"/>
  <c r="ADU160" i="52"/>
  <c r="ADV160" i="52"/>
  <c r="ADW160" i="52"/>
  <c r="ADX160" i="52"/>
  <c r="ADY160" i="52"/>
  <c r="ADZ160" i="52"/>
  <c r="AEA160" i="52"/>
  <c r="AEB160" i="52"/>
  <c r="AEC160" i="52"/>
  <c r="AED160" i="52"/>
  <c r="AEE160" i="52"/>
  <c r="AEF160" i="52"/>
  <c r="AEG160" i="52"/>
  <c r="AEH160" i="52"/>
  <c r="AEI160" i="52"/>
  <c r="AEJ160" i="52"/>
  <c r="AEK160" i="52"/>
  <c r="AEL160" i="52"/>
  <c r="AEM160" i="52"/>
  <c r="AEN160" i="52"/>
  <c r="AEO160" i="52"/>
  <c r="AEP160" i="52"/>
  <c r="AEQ160" i="52"/>
  <c r="AER160" i="52"/>
  <c r="AES160" i="52"/>
  <c r="AET160" i="52"/>
  <c r="AEU160" i="52"/>
  <c r="AEV160" i="52"/>
  <c r="AEW160" i="52"/>
  <c r="AEX160" i="52"/>
  <c r="AEY160" i="52"/>
  <c r="AEZ160" i="52"/>
  <c r="AFA160" i="52"/>
  <c r="AFB160" i="52"/>
  <c r="AFC160" i="52"/>
  <c r="AFD160" i="52"/>
  <c r="AFE160" i="52"/>
  <c r="AFF160" i="52"/>
  <c r="AFG160" i="52"/>
  <c r="AFH160" i="52"/>
  <c r="AFI160" i="52"/>
  <c r="AFJ160" i="52"/>
  <c r="AFK160" i="52"/>
  <c r="AFL160" i="52"/>
  <c r="AFM160" i="52"/>
  <c r="AFN160" i="52"/>
  <c r="AFO160" i="52"/>
  <c r="AFP160" i="52"/>
  <c r="AFQ160" i="52"/>
  <c r="AFR160" i="52"/>
  <c r="AFS160" i="52"/>
  <c r="AFT160" i="52"/>
  <c r="AFU160" i="52"/>
  <c r="AFV160" i="52"/>
  <c r="AFW160" i="52"/>
  <c r="AFX160" i="52"/>
  <c r="AFY160" i="52"/>
  <c r="AFZ160" i="52"/>
  <c r="AGA160" i="52"/>
  <c r="AGB160" i="52"/>
  <c r="AGC160" i="52"/>
  <c r="AGD160" i="52"/>
  <c r="AGE160" i="52"/>
  <c r="AGF160" i="52"/>
  <c r="AGG160" i="52"/>
  <c r="AGH160" i="52"/>
  <c r="AGI160" i="52"/>
  <c r="AGJ160" i="52"/>
  <c r="AGK160" i="52"/>
  <c r="AGL160" i="52"/>
  <c r="AGM160" i="52"/>
  <c r="AGN160" i="52"/>
  <c r="AGO160" i="52"/>
  <c r="AGP160" i="52"/>
  <c r="AGQ160" i="52"/>
  <c r="AGR160" i="52"/>
  <c r="AGS160" i="52"/>
  <c r="AGT160" i="52"/>
  <c r="AGU160" i="52"/>
  <c r="AGV160" i="52"/>
  <c r="AGW160" i="52"/>
  <c r="AGX160" i="52"/>
  <c r="AGY160" i="52"/>
  <c r="AGZ160" i="52"/>
  <c r="AHA160" i="52"/>
  <c r="AHB160" i="52"/>
  <c r="AHC160" i="52"/>
  <c r="AHD160" i="52"/>
  <c r="AHE160" i="52"/>
  <c r="AHF160" i="52"/>
  <c r="AHG160" i="52"/>
  <c r="AHH160" i="52"/>
  <c r="AHI160" i="52"/>
  <c r="AHJ160" i="52"/>
  <c r="AHK160" i="52"/>
  <c r="AHL160" i="52"/>
  <c r="AHM160" i="52"/>
  <c r="AHN160" i="52"/>
  <c r="AHO160" i="52"/>
  <c r="AHP160" i="52"/>
  <c r="AHQ160" i="52"/>
  <c r="AHR160" i="52"/>
  <c r="AHS160" i="52"/>
  <c r="AHT160" i="52"/>
  <c r="E161" i="52"/>
  <c r="F161" i="52"/>
  <c r="G161" i="52"/>
  <c r="H161" i="52"/>
  <c r="I161" i="52"/>
  <c r="J161" i="52"/>
  <c r="K161" i="52"/>
  <c r="L161" i="52"/>
  <c r="M161" i="52"/>
  <c r="N161" i="52"/>
  <c r="O161" i="52"/>
  <c r="P161" i="52"/>
  <c r="Q161" i="52"/>
  <c r="R161" i="52"/>
  <c r="S161" i="52"/>
  <c r="T161" i="52"/>
  <c r="U161" i="52"/>
  <c r="V161" i="52"/>
  <c r="W161" i="52"/>
  <c r="X161" i="52"/>
  <c r="Y161" i="52"/>
  <c r="Z161" i="52"/>
  <c r="AA161" i="52"/>
  <c r="AB161" i="52"/>
  <c r="AC161" i="52"/>
  <c r="AD161" i="52"/>
  <c r="AE161" i="52"/>
  <c r="AF161" i="52"/>
  <c r="AG161" i="52"/>
  <c r="AH161" i="52"/>
  <c r="AI161" i="52"/>
  <c r="AJ161" i="52"/>
  <c r="AK161" i="52"/>
  <c r="AL161" i="52"/>
  <c r="AM161" i="52"/>
  <c r="AN161" i="52"/>
  <c r="AO161" i="52"/>
  <c r="AP161" i="52"/>
  <c r="AQ161" i="52"/>
  <c r="AR161" i="52"/>
  <c r="AS161" i="52"/>
  <c r="AT161" i="52"/>
  <c r="AU161" i="52"/>
  <c r="AV161" i="52"/>
  <c r="AW161" i="52"/>
  <c r="AX161" i="52"/>
  <c r="AY161" i="52"/>
  <c r="AZ161" i="52"/>
  <c r="BA161" i="52"/>
  <c r="BB161" i="52"/>
  <c r="BC161" i="52"/>
  <c r="BD161" i="52"/>
  <c r="BE161" i="52"/>
  <c r="BF161" i="52"/>
  <c r="BG161" i="52"/>
  <c r="BH161" i="52"/>
  <c r="BI161" i="52"/>
  <c r="BJ161" i="52"/>
  <c r="BK161" i="52"/>
  <c r="BL161" i="52"/>
  <c r="BM161" i="52"/>
  <c r="BN161" i="52"/>
  <c r="BO161" i="52"/>
  <c r="BP161" i="52"/>
  <c r="BQ161" i="52"/>
  <c r="BR161" i="52"/>
  <c r="BS161" i="52"/>
  <c r="BT161" i="52"/>
  <c r="BU161" i="52"/>
  <c r="BV161" i="52"/>
  <c r="BW161" i="52"/>
  <c r="BX161" i="52"/>
  <c r="BY161" i="52"/>
  <c r="BZ161" i="52"/>
  <c r="CA161" i="52"/>
  <c r="CB161" i="52"/>
  <c r="CC161" i="52"/>
  <c r="CD161" i="52"/>
  <c r="CE161" i="52"/>
  <c r="CF161" i="52"/>
  <c r="CG161" i="52"/>
  <c r="CH161" i="52"/>
  <c r="CI161" i="52"/>
  <c r="CJ161" i="52"/>
  <c r="CK161" i="52"/>
  <c r="CL161" i="52"/>
  <c r="CM161" i="52"/>
  <c r="CN161" i="52"/>
  <c r="CO161" i="52"/>
  <c r="CP161" i="52"/>
  <c r="CQ161" i="52"/>
  <c r="CR161" i="52"/>
  <c r="CS161" i="52"/>
  <c r="CT161" i="52"/>
  <c r="CU161" i="52"/>
  <c r="CV161" i="52"/>
  <c r="CW161" i="52"/>
  <c r="CX161" i="52"/>
  <c r="CY161" i="52"/>
  <c r="CZ161" i="52"/>
  <c r="DA161" i="52"/>
  <c r="DB161" i="52"/>
  <c r="DC161" i="52"/>
  <c r="DD161" i="52"/>
  <c r="DE161" i="52"/>
  <c r="DF161" i="52"/>
  <c r="DG161" i="52"/>
  <c r="DH161" i="52"/>
  <c r="DI161" i="52"/>
  <c r="DJ161" i="52"/>
  <c r="DK161" i="52"/>
  <c r="DL161" i="52"/>
  <c r="DM161" i="52"/>
  <c r="DN161" i="52"/>
  <c r="DO161" i="52"/>
  <c r="DP161" i="52"/>
  <c r="DQ161" i="52"/>
  <c r="DR161" i="52"/>
  <c r="DS161" i="52"/>
  <c r="DT161" i="52"/>
  <c r="DU161" i="52"/>
  <c r="DV161" i="52"/>
  <c r="DW161" i="52"/>
  <c r="DX161" i="52"/>
  <c r="DY161" i="52"/>
  <c r="DZ161" i="52"/>
  <c r="EA161" i="52"/>
  <c r="EB161" i="52"/>
  <c r="EC161" i="52"/>
  <c r="ED161" i="52"/>
  <c r="EE161" i="52"/>
  <c r="EF161" i="52"/>
  <c r="EG161" i="52"/>
  <c r="EH161" i="52"/>
  <c r="EI161" i="52"/>
  <c r="EJ161" i="52"/>
  <c r="EK161" i="52"/>
  <c r="EL161" i="52"/>
  <c r="EM161" i="52"/>
  <c r="EN161" i="52"/>
  <c r="EO161" i="52"/>
  <c r="EP161" i="52"/>
  <c r="EQ161" i="52"/>
  <c r="ER161" i="52"/>
  <c r="ES161" i="52"/>
  <c r="ET161" i="52"/>
  <c r="EU161" i="52"/>
  <c r="EV161" i="52"/>
  <c r="EW161" i="52"/>
  <c r="EX161" i="52"/>
  <c r="EY161" i="52"/>
  <c r="EZ161" i="52"/>
  <c r="FA161" i="52"/>
  <c r="FB161" i="52"/>
  <c r="FC161" i="52"/>
  <c r="FD161" i="52"/>
  <c r="FE161" i="52"/>
  <c r="FF161" i="52"/>
  <c r="FG161" i="52"/>
  <c r="FH161" i="52"/>
  <c r="FI161" i="52"/>
  <c r="FJ161" i="52"/>
  <c r="FK161" i="52"/>
  <c r="FL161" i="52"/>
  <c r="FM161" i="52"/>
  <c r="FN161" i="52"/>
  <c r="FO161" i="52"/>
  <c r="FP161" i="52"/>
  <c r="FQ161" i="52"/>
  <c r="FR161" i="52"/>
  <c r="FS161" i="52"/>
  <c r="FT161" i="52"/>
  <c r="FU161" i="52"/>
  <c r="FV161" i="52"/>
  <c r="FW161" i="52"/>
  <c r="FX161" i="52"/>
  <c r="FY161" i="52"/>
  <c r="FZ161" i="52"/>
  <c r="GA161" i="52"/>
  <c r="GB161" i="52"/>
  <c r="GC161" i="52"/>
  <c r="GD161" i="52"/>
  <c r="GE161" i="52"/>
  <c r="GF161" i="52"/>
  <c r="GG161" i="52"/>
  <c r="GH161" i="52"/>
  <c r="GI161" i="52"/>
  <c r="GJ161" i="52"/>
  <c r="GK161" i="52"/>
  <c r="GL161" i="52"/>
  <c r="GM161" i="52"/>
  <c r="GN161" i="52"/>
  <c r="GO161" i="52"/>
  <c r="GP161" i="52"/>
  <c r="GQ161" i="52"/>
  <c r="GR161" i="52"/>
  <c r="GS161" i="52"/>
  <c r="GT161" i="52"/>
  <c r="GU161" i="52"/>
  <c r="GV161" i="52"/>
  <c r="GW161" i="52"/>
  <c r="GX161" i="52"/>
  <c r="GY161" i="52"/>
  <c r="GZ161" i="52"/>
  <c r="HA161" i="52"/>
  <c r="HB161" i="52"/>
  <c r="HC161" i="52"/>
  <c r="HD161" i="52"/>
  <c r="HE161" i="52"/>
  <c r="HF161" i="52"/>
  <c r="HG161" i="52"/>
  <c r="HH161" i="52"/>
  <c r="HI161" i="52"/>
  <c r="HJ161" i="52"/>
  <c r="HK161" i="52"/>
  <c r="HL161" i="52"/>
  <c r="HM161" i="52"/>
  <c r="HN161" i="52"/>
  <c r="HO161" i="52"/>
  <c r="HP161" i="52"/>
  <c r="HQ161" i="52"/>
  <c r="HR161" i="52"/>
  <c r="HS161" i="52"/>
  <c r="HT161" i="52"/>
  <c r="HU161" i="52"/>
  <c r="HV161" i="52"/>
  <c r="HW161" i="52"/>
  <c r="HX161" i="52"/>
  <c r="HY161" i="52"/>
  <c r="HZ161" i="52"/>
  <c r="IA161" i="52"/>
  <c r="IB161" i="52"/>
  <c r="IC161" i="52"/>
  <c r="ID161" i="52"/>
  <c r="IE161" i="52"/>
  <c r="IF161" i="52"/>
  <c r="IG161" i="52"/>
  <c r="IH161" i="52"/>
  <c r="II161" i="52"/>
  <c r="IJ161" i="52"/>
  <c r="IK161" i="52"/>
  <c r="IL161" i="52"/>
  <c r="IM161" i="52"/>
  <c r="IN161" i="52"/>
  <c r="IO161" i="52"/>
  <c r="IP161" i="52"/>
  <c r="IQ161" i="52"/>
  <c r="IR161" i="52"/>
  <c r="IS161" i="52"/>
  <c r="IT161" i="52"/>
  <c r="IU161" i="52"/>
  <c r="IV161" i="52"/>
  <c r="IW161" i="52"/>
  <c r="IX161" i="52"/>
  <c r="IY161" i="52"/>
  <c r="IZ161" i="52"/>
  <c r="JA161" i="52"/>
  <c r="JB161" i="52"/>
  <c r="JC161" i="52"/>
  <c r="JD161" i="52"/>
  <c r="JE161" i="52"/>
  <c r="JF161" i="52"/>
  <c r="JG161" i="52"/>
  <c r="JH161" i="52"/>
  <c r="JI161" i="52"/>
  <c r="JJ161" i="52"/>
  <c r="JK161" i="52"/>
  <c r="JL161" i="52"/>
  <c r="JM161" i="52"/>
  <c r="JN161" i="52"/>
  <c r="JO161" i="52"/>
  <c r="JP161" i="52"/>
  <c r="JQ161" i="52"/>
  <c r="JR161" i="52"/>
  <c r="JS161" i="52"/>
  <c r="JT161" i="52"/>
  <c r="JU161" i="52"/>
  <c r="JV161" i="52"/>
  <c r="JW161" i="52"/>
  <c r="JX161" i="52"/>
  <c r="JY161" i="52"/>
  <c r="JZ161" i="52"/>
  <c r="KA161" i="52"/>
  <c r="KB161" i="52"/>
  <c r="KC161" i="52"/>
  <c r="KD161" i="52"/>
  <c r="KE161" i="52"/>
  <c r="KF161" i="52"/>
  <c r="KG161" i="52"/>
  <c r="KH161" i="52"/>
  <c r="KI161" i="52"/>
  <c r="KJ161" i="52"/>
  <c r="KK161" i="52"/>
  <c r="KL161" i="52"/>
  <c r="KM161" i="52"/>
  <c r="KN161" i="52"/>
  <c r="KO161" i="52"/>
  <c r="KP161" i="52"/>
  <c r="KQ161" i="52"/>
  <c r="KR161" i="52"/>
  <c r="KS161" i="52"/>
  <c r="KT161" i="52"/>
  <c r="KU161" i="52"/>
  <c r="KV161" i="52"/>
  <c r="KW161" i="52"/>
  <c r="KX161" i="52"/>
  <c r="KY161" i="52"/>
  <c r="KZ161" i="52"/>
  <c r="LA161" i="52"/>
  <c r="LB161" i="52"/>
  <c r="LC161" i="52"/>
  <c r="LD161" i="52"/>
  <c r="LE161" i="52"/>
  <c r="LF161" i="52"/>
  <c r="LG161" i="52"/>
  <c r="LH161" i="52"/>
  <c r="LI161" i="52"/>
  <c r="LJ161" i="52"/>
  <c r="LK161" i="52"/>
  <c r="LL161" i="52"/>
  <c r="LM161" i="52"/>
  <c r="LN161" i="52"/>
  <c r="LO161" i="52"/>
  <c r="LP161" i="52"/>
  <c r="LQ161" i="52"/>
  <c r="LR161" i="52"/>
  <c r="LS161" i="52"/>
  <c r="LT161" i="52"/>
  <c r="LU161" i="52"/>
  <c r="LV161" i="52"/>
  <c r="LW161" i="52"/>
  <c r="LX161" i="52"/>
  <c r="LY161" i="52"/>
  <c r="LZ161" i="52"/>
  <c r="MA161" i="52"/>
  <c r="MB161" i="52"/>
  <c r="MC161" i="52"/>
  <c r="MD161" i="52"/>
  <c r="ME161" i="52"/>
  <c r="MF161" i="52"/>
  <c r="MG161" i="52"/>
  <c r="MH161" i="52"/>
  <c r="MI161" i="52"/>
  <c r="MJ161" i="52"/>
  <c r="MK161" i="52"/>
  <c r="ML161" i="52"/>
  <c r="MM161" i="52"/>
  <c r="MN161" i="52"/>
  <c r="MO161" i="52"/>
  <c r="MP161" i="52"/>
  <c r="MQ161" i="52"/>
  <c r="MR161" i="52"/>
  <c r="MS161" i="52"/>
  <c r="MT161" i="52"/>
  <c r="MU161" i="52"/>
  <c r="MV161" i="52"/>
  <c r="MW161" i="52"/>
  <c r="MX161" i="52"/>
  <c r="MY161" i="52"/>
  <c r="MZ161" i="52"/>
  <c r="NA161" i="52"/>
  <c r="NB161" i="52"/>
  <c r="NC161" i="52"/>
  <c r="ND161" i="52"/>
  <c r="NE161" i="52"/>
  <c r="NF161" i="52"/>
  <c r="NG161" i="52"/>
  <c r="NH161" i="52"/>
  <c r="NI161" i="52"/>
  <c r="NJ161" i="52"/>
  <c r="NK161" i="52"/>
  <c r="NL161" i="52"/>
  <c r="NM161" i="52"/>
  <c r="NN161" i="52"/>
  <c r="NO161" i="52"/>
  <c r="NP161" i="52"/>
  <c r="NQ161" i="52"/>
  <c r="NR161" i="52"/>
  <c r="NS161" i="52"/>
  <c r="NT161" i="52"/>
  <c r="NU161" i="52"/>
  <c r="NV161" i="52"/>
  <c r="NW161" i="52"/>
  <c r="NX161" i="52"/>
  <c r="NY161" i="52"/>
  <c r="NZ161" i="52"/>
  <c r="OA161" i="52"/>
  <c r="OB161" i="52"/>
  <c r="OC161" i="52"/>
  <c r="OD161" i="52"/>
  <c r="OE161" i="52"/>
  <c r="OF161" i="52"/>
  <c r="OG161" i="52"/>
  <c r="OH161" i="52"/>
  <c r="OI161" i="52"/>
  <c r="OJ161" i="52"/>
  <c r="OK161" i="52"/>
  <c r="OL161" i="52"/>
  <c r="OM161" i="52"/>
  <c r="ON161" i="52"/>
  <c r="OO161" i="52"/>
  <c r="OP161" i="52"/>
  <c r="OQ161" i="52"/>
  <c r="OR161" i="52"/>
  <c r="OS161" i="52"/>
  <c r="OT161" i="52"/>
  <c r="OU161" i="52"/>
  <c r="OV161" i="52"/>
  <c r="OW161" i="52"/>
  <c r="OX161" i="52"/>
  <c r="OY161" i="52"/>
  <c r="OZ161" i="52"/>
  <c r="PA161" i="52"/>
  <c r="PB161" i="52"/>
  <c r="PC161" i="52"/>
  <c r="PD161" i="52"/>
  <c r="PE161" i="52"/>
  <c r="PF161" i="52"/>
  <c r="PG161" i="52"/>
  <c r="PH161" i="52"/>
  <c r="PI161" i="52"/>
  <c r="PJ161" i="52"/>
  <c r="PK161" i="52"/>
  <c r="PL161" i="52"/>
  <c r="PM161" i="52"/>
  <c r="PN161" i="52"/>
  <c r="PO161" i="52"/>
  <c r="PP161" i="52"/>
  <c r="PQ161" i="52"/>
  <c r="PR161" i="52"/>
  <c r="PS161" i="52"/>
  <c r="PT161" i="52"/>
  <c r="PU161" i="52"/>
  <c r="PV161" i="52"/>
  <c r="PW161" i="52"/>
  <c r="PX161" i="52"/>
  <c r="PY161" i="52"/>
  <c r="PZ161" i="52"/>
  <c r="QA161" i="52"/>
  <c r="QB161" i="52"/>
  <c r="QC161" i="52"/>
  <c r="QD161" i="52"/>
  <c r="QE161" i="52"/>
  <c r="QF161" i="52"/>
  <c r="QG161" i="52"/>
  <c r="QH161" i="52"/>
  <c r="QI161" i="52"/>
  <c r="QJ161" i="52"/>
  <c r="QK161" i="52"/>
  <c r="QL161" i="52"/>
  <c r="QM161" i="52"/>
  <c r="QN161" i="52"/>
  <c r="QO161" i="52"/>
  <c r="QP161" i="52"/>
  <c r="QQ161" i="52"/>
  <c r="QR161" i="52"/>
  <c r="QS161" i="52"/>
  <c r="QT161" i="52"/>
  <c r="QU161" i="52"/>
  <c r="QV161" i="52"/>
  <c r="QW161" i="52"/>
  <c r="QX161" i="52"/>
  <c r="QY161" i="52"/>
  <c r="QZ161" i="52"/>
  <c r="RA161" i="52"/>
  <c r="RB161" i="52"/>
  <c r="RC161" i="52"/>
  <c r="RD161" i="52"/>
  <c r="RE161" i="52"/>
  <c r="RF161" i="52"/>
  <c r="RG161" i="52"/>
  <c r="RH161" i="52"/>
  <c r="RI161" i="52"/>
  <c r="RJ161" i="52"/>
  <c r="RK161" i="52"/>
  <c r="RL161" i="52"/>
  <c r="RM161" i="52"/>
  <c r="RN161" i="52"/>
  <c r="RO161" i="52"/>
  <c r="RP161" i="52"/>
  <c r="RQ161" i="52"/>
  <c r="RR161" i="52"/>
  <c r="RS161" i="52"/>
  <c r="RT161" i="52"/>
  <c r="RU161" i="52"/>
  <c r="RV161" i="52"/>
  <c r="RW161" i="52"/>
  <c r="RX161" i="52"/>
  <c r="RY161" i="52"/>
  <c r="RZ161" i="52"/>
  <c r="SA161" i="52"/>
  <c r="SB161" i="52"/>
  <c r="SC161" i="52"/>
  <c r="SD161" i="52"/>
  <c r="SE161" i="52"/>
  <c r="SF161" i="52"/>
  <c r="SG161" i="52"/>
  <c r="SH161" i="52"/>
  <c r="SI161" i="52"/>
  <c r="SJ161" i="52"/>
  <c r="SK161" i="52"/>
  <c r="SL161" i="52"/>
  <c r="SM161" i="52"/>
  <c r="SN161" i="52"/>
  <c r="SO161" i="52"/>
  <c r="SP161" i="52"/>
  <c r="SQ161" i="52"/>
  <c r="SR161" i="52"/>
  <c r="SS161" i="52"/>
  <c r="ST161" i="52"/>
  <c r="SU161" i="52"/>
  <c r="SV161" i="52"/>
  <c r="SW161" i="52"/>
  <c r="SX161" i="52"/>
  <c r="SY161" i="52"/>
  <c r="SZ161" i="52"/>
  <c r="TA161" i="52"/>
  <c r="TB161" i="52"/>
  <c r="TC161" i="52"/>
  <c r="TD161" i="52"/>
  <c r="TE161" i="52"/>
  <c r="TF161" i="52"/>
  <c r="TG161" i="52"/>
  <c r="TH161" i="52"/>
  <c r="TI161" i="52"/>
  <c r="TJ161" i="52"/>
  <c r="TK161" i="52"/>
  <c r="TL161" i="52"/>
  <c r="TM161" i="52"/>
  <c r="TN161" i="52"/>
  <c r="TO161" i="52"/>
  <c r="TP161" i="52"/>
  <c r="TQ161" i="52"/>
  <c r="TR161" i="52"/>
  <c r="TS161" i="52"/>
  <c r="TT161" i="52"/>
  <c r="TU161" i="52"/>
  <c r="TV161" i="52"/>
  <c r="TW161" i="52"/>
  <c r="TX161" i="52"/>
  <c r="TY161" i="52"/>
  <c r="TZ161" i="52"/>
  <c r="UA161" i="52"/>
  <c r="UB161" i="52"/>
  <c r="UC161" i="52"/>
  <c r="UD161" i="52"/>
  <c r="UE161" i="52"/>
  <c r="UF161" i="52"/>
  <c r="UG161" i="52"/>
  <c r="UH161" i="52"/>
  <c r="UI161" i="52"/>
  <c r="UJ161" i="52"/>
  <c r="UK161" i="52"/>
  <c r="UL161" i="52"/>
  <c r="UM161" i="52"/>
  <c r="UN161" i="52"/>
  <c r="UO161" i="52"/>
  <c r="UP161" i="52"/>
  <c r="UQ161" i="52"/>
  <c r="UR161" i="52"/>
  <c r="US161" i="52"/>
  <c r="UT161" i="52"/>
  <c r="UU161" i="52"/>
  <c r="UV161" i="52"/>
  <c r="UW161" i="52"/>
  <c r="UX161" i="52"/>
  <c r="UY161" i="52"/>
  <c r="UZ161" i="52"/>
  <c r="VA161" i="52"/>
  <c r="VB161" i="52"/>
  <c r="VC161" i="52"/>
  <c r="VD161" i="52"/>
  <c r="VE161" i="52"/>
  <c r="VF161" i="52"/>
  <c r="VG161" i="52"/>
  <c r="VH161" i="52"/>
  <c r="VI161" i="52"/>
  <c r="VJ161" i="52"/>
  <c r="VK161" i="52"/>
  <c r="VL161" i="52"/>
  <c r="VM161" i="52"/>
  <c r="VN161" i="52"/>
  <c r="VO161" i="52"/>
  <c r="VP161" i="52"/>
  <c r="VQ161" i="52"/>
  <c r="VR161" i="52"/>
  <c r="VS161" i="52"/>
  <c r="VT161" i="52"/>
  <c r="VU161" i="52"/>
  <c r="VV161" i="52"/>
  <c r="VW161" i="52"/>
  <c r="VX161" i="52"/>
  <c r="VY161" i="52"/>
  <c r="VZ161" i="52"/>
  <c r="WA161" i="52"/>
  <c r="WB161" i="52"/>
  <c r="WC161" i="52"/>
  <c r="WD161" i="52"/>
  <c r="WE161" i="52"/>
  <c r="WF161" i="52"/>
  <c r="WG161" i="52"/>
  <c r="WH161" i="52"/>
  <c r="WI161" i="52"/>
  <c r="WJ161" i="52"/>
  <c r="WK161" i="52"/>
  <c r="WL161" i="52"/>
  <c r="WM161" i="52"/>
  <c r="WN161" i="52"/>
  <c r="WO161" i="52"/>
  <c r="WP161" i="52"/>
  <c r="WQ161" i="52"/>
  <c r="WR161" i="52"/>
  <c r="WS161" i="52"/>
  <c r="WT161" i="52"/>
  <c r="WU161" i="52"/>
  <c r="WV161" i="52"/>
  <c r="WW161" i="52"/>
  <c r="WX161" i="52"/>
  <c r="WY161" i="52"/>
  <c r="WZ161" i="52"/>
  <c r="XA161" i="52"/>
  <c r="XB161" i="52"/>
  <c r="XC161" i="52"/>
  <c r="XD161" i="52"/>
  <c r="XE161" i="52"/>
  <c r="XF161" i="52"/>
  <c r="XG161" i="52"/>
  <c r="XH161" i="52"/>
  <c r="XI161" i="52"/>
  <c r="XJ161" i="52"/>
  <c r="XK161" i="52"/>
  <c r="XL161" i="52"/>
  <c r="XM161" i="52"/>
  <c r="XN161" i="52"/>
  <c r="XO161" i="52"/>
  <c r="XP161" i="52"/>
  <c r="XQ161" i="52"/>
  <c r="XR161" i="52"/>
  <c r="XS161" i="52"/>
  <c r="XT161" i="52"/>
  <c r="XU161" i="52"/>
  <c r="XV161" i="52"/>
  <c r="XW161" i="52"/>
  <c r="XX161" i="52"/>
  <c r="XY161" i="52"/>
  <c r="XZ161" i="52"/>
  <c r="YA161" i="52"/>
  <c r="YB161" i="52"/>
  <c r="YC161" i="52"/>
  <c r="YD161" i="52"/>
  <c r="YE161" i="52"/>
  <c r="YF161" i="52"/>
  <c r="YG161" i="52"/>
  <c r="YH161" i="52"/>
  <c r="YI161" i="52"/>
  <c r="YJ161" i="52"/>
  <c r="YK161" i="52"/>
  <c r="YL161" i="52"/>
  <c r="YM161" i="52"/>
  <c r="YN161" i="52"/>
  <c r="YO161" i="52"/>
  <c r="YP161" i="52"/>
  <c r="YQ161" i="52"/>
  <c r="YR161" i="52"/>
  <c r="YS161" i="52"/>
  <c r="YT161" i="52"/>
  <c r="YU161" i="52"/>
  <c r="YV161" i="52"/>
  <c r="YW161" i="52"/>
  <c r="YX161" i="52"/>
  <c r="YY161" i="52"/>
  <c r="YZ161" i="52"/>
  <c r="ZA161" i="52"/>
  <c r="ZB161" i="52"/>
  <c r="ZC161" i="52"/>
  <c r="ZD161" i="52"/>
  <c r="ZE161" i="52"/>
  <c r="ZF161" i="52"/>
  <c r="ZG161" i="52"/>
  <c r="ZH161" i="52"/>
  <c r="ZI161" i="52"/>
  <c r="ZJ161" i="52"/>
  <c r="ZK161" i="52"/>
  <c r="ZL161" i="52"/>
  <c r="ZM161" i="52"/>
  <c r="ZN161" i="52"/>
  <c r="ZO161" i="52"/>
  <c r="ZP161" i="52"/>
  <c r="ZQ161" i="52"/>
  <c r="ZR161" i="52"/>
  <c r="ZS161" i="52"/>
  <c r="ZT161" i="52"/>
  <c r="ZU161" i="52"/>
  <c r="ZV161" i="52"/>
  <c r="ZW161" i="52"/>
  <c r="ZX161" i="52"/>
  <c r="ZY161" i="52"/>
  <c r="ZZ161" i="52"/>
  <c r="AAA161" i="52"/>
  <c r="AAB161" i="52"/>
  <c r="AAC161" i="52"/>
  <c r="AAD161" i="52"/>
  <c r="AAE161" i="52"/>
  <c r="AAF161" i="52"/>
  <c r="AAG161" i="52"/>
  <c r="AAH161" i="52"/>
  <c r="AAI161" i="52"/>
  <c r="AAJ161" i="52"/>
  <c r="AAK161" i="52"/>
  <c r="AAL161" i="52"/>
  <c r="AAM161" i="52"/>
  <c r="AAN161" i="52"/>
  <c r="AAO161" i="52"/>
  <c r="AAP161" i="52"/>
  <c r="AAQ161" i="52"/>
  <c r="AAR161" i="52"/>
  <c r="AAS161" i="52"/>
  <c r="AAT161" i="52"/>
  <c r="AAU161" i="52"/>
  <c r="AAV161" i="52"/>
  <c r="AAW161" i="52"/>
  <c r="AAX161" i="52"/>
  <c r="AAY161" i="52"/>
  <c r="AAZ161" i="52"/>
  <c r="ABA161" i="52"/>
  <c r="ABB161" i="52"/>
  <c r="ABC161" i="52"/>
  <c r="ABD161" i="52"/>
  <c r="ABE161" i="52"/>
  <c r="ABF161" i="52"/>
  <c r="ABG161" i="52"/>
  <c r="ABH161" i="52"/>
  <c r="ABI161" i="52"/>
  <c r="ABJ161" i="52"/>
  <c r="ABK161" i="52"/>
  <c r="ABL161" i="52"/>
  <c r="ABM161" i="52"/>
  <c r="ABN161" i="52"/>
  <c r="ABO161" i="52"/>
  <c r="ABP161" i="52"/>
  <c r="ABQ161" i="52"/>
  <c r="ABR161" i="52"/>
  <c r="ABS161" i="52"/>
  <c r="ABT161" i="52"/>
  <c r="ABU161" i="52"/>
  <c r="ABV161" i="52"/>
  <c r="ABW161" i="52"/>
  <c r="ABX161" i="52"/>
  <c r="ABY161" i="52"/>
  <c r="ABZ161" i="52"/>
  <c r="ACA161" i="52"/>
  <c r="ACB161" i="52"/>
  <c r="ACC161" i="52"/>
  <c r="ACD161" i="52"/>
  <c r="ACE161" i="52"/>
  <c r="ACF161" i="52"/>
  <c r="ACG161" i="52"/>
  <c r="ACH161" i="52"/>
  <c r="ACI161" i="52"/>
  <c r="ACJ161" i="52"/>
  <c r="ACK161" i="52"/>
  <c r="ACL161" i="52"/>
  <c r="ACM161" i="52"/>
  <c r="ACN161" i="52"/>
  <c r="ACO161" i="52"/>
  <c r="ACP161" i="52"/>
  <c r="ACQ161" i="52"/>
  <c r="ACR161" i="52"/>
  <c r="ACS161" i="52"/>
  <c r="ACT161" i="52"/>
  <c r="ACU161" i="52"/>
  <c r="ACV161" i="52"/>
  <c r="ACW161" i="52"/>
  <c r="ACX161" i="52"/>
  <c r="ACY161" i="52"/>
  <c r="ACZ161" i="52"/>
  <c r="ADA161" i="52"/>
  <c r="ADB161" i="52"/>
  <c r="ADC161" i="52"/>
  <c r="ADD161" i="52"/>
  <c r="ADE161" i="52"/>
  <c r="ADF161" i="52"/>
  <c r="ADG161" i="52"/>
  <c r="ADH161" i="52"/>
  <c r="ADI161" i="52"/>
  <c r="ADJ161" i="52"/>
  <c r="ADK161" i="52"/>
  <c r="ADL161" i="52"/>
  <c r="ADM161" i="52"/>
  <c r="ADN161" i="52"/>
  <c r="ADO161" i="52"/>
  <c r="ADP161" i="52"/>
  <c r="ADQ161" i="52"/>
  <c r="ADR161" i="52"/>
  <c r="ADS161" i="52"/>
  <c r="ADT161" i="52"/>
  <c r="ADU161" i="52"/>
  <c r="ADV161" i="52"/>
  <c r="ADW161" i="52"/>
  <c r="ADX161" i="52"/>
  <c r="ADY161" i="52"/>
  <c r="ADZ161" i="52"/>
  <c r="AEA161" i="52"/>
  <c r="AEB161" i="52"/>
  <c r="AEC161" i="52"/>
  <c r="AED161" i="52"/>
  <c r="AEE161" i="52"/>
  <c r="AEF161" i="52"/>
  <c r="AEG161" i="52"/>
  <c r="AEH161" i="52"/>
  <c r="AEI161" i="52"/>
  <c r="AEJ161" i="52"/>
  <c r="AEK161" i="52"/>
  <c r="AEL161" i="52"/>
  <c r="AEM161" i="52"/>
  <c r="AEN161" i="52"/>
  <c r="AEO161" i="52"/>
  <c r="AEP161" i="52"/>
  <c r="AEQ161" i="52"/>
  <c r="AER161" i="52"/>
  <c r="AES161" i="52"/>
  <c r="AET161" i="52"/>
  <c r="AEU161" i="52"/>
  <c r="AEV161" i="52"/>
  <c r="AEW161" i="52"/>
  <c r="AEX161" i="52"/>
  <c r="AEY161" i="52"/>
  <c r="AEZ161" i="52"/>
  <c r="AFA161" i="52"/>
  <c r="AFB161" i="52"/>
  <c r="AFC161" i="52"/>
  <c r="AFD161" i="52"/>
  <c r="AFE161" i="52"/>
  <c r="AFF161" i="52"/>
  <c r="AFG161" i="52"/>
  <c r="AFH161" i="52"/>
  <c r="AFI161" i="52"/>
  <c r="AFJ161" i="52"/>
  <c r="AFK161" i="52"/>
  <c r="AFL161" i="52"/>
  <c r="AFM161" i="52"/>
  <c r="AFN161" i="52"/>
  <c r="AFO161" i="52"/>
  <c r="AFP161" i="52"/>
  <c r="AFQ161" i="52"/>
  <c r="AFR161" i="52"/>
  <c r="AFS161" i="52"/>
  <c r="AFT161" i="52"/>
  <c r="AFU161" i="52"/>
  <c r="AFV161" i="52"/>
  <c r="AFW161" i="52"/>
  <c r="AFX161" i="52"/>
  <c r="AFY161" i="52"/>
  <c r="AFZ161" i="52"/>
  <c r="AGA161" i="52"/>
  <c r="AGB161" i="52"/>
  <c r="AGC161" i="52"/>
  <c r="AGD161" i="52"/>
  <c r="AGE161" i="52"/>
  <c r="AGF161" i="52"/>
  <c r="AGG161" i="52"/>
  <c r="AGH161" i="52"/>
  <c r="AGI161" i="52"/>
  <c r="AGJ161" i="52"/>
  <c r="AGK161" i="52"/>
  <c r="AGL161" i="52"/>
  <c r="AGM161" i="52"/>
  <c r="AGN161" i="52"/>
  <c r="AGO161" i="52"/>
  <c r="AGP161" i="52"/>
  <c r="AGQ161" i="52"/>
  <c r="AGR161" i="52"/>
  <c r="AGS161" i="52"/>
  <c r="AGT161" i="52"/>
  <c r="AGU161" i="52"/>
  <c r="AGV161" i="52"/>
  <c r="AGW161" i="52"/>
  <c r="AGX161" i="52"/>
  <c r="AGY161" i="52"/>
  <c r="AGZ161" i="52"/>
  <c r="AHA161" i="52"/>
  <c r="AHB161" i="52"/>
  <c r="AHC161" i="52"/>
  <c r="AHD161" i="52"/>
  <c r="AHE161" i="52"/>
  <c r="AHF161" i="52"/>
  <c r="AHG161" i="52"/>
  <c r="AHH161" i="52"/>
  <c r="AHI161" i="52"/>
  <c r="AHJ161" i="52"/>
  <c r="AHK161" i="52"/>
  <c r="AHL161" i="52"/>
  <c r="AHM161" i="52"/>
  <c r="AHN161" i="52"/>
  <c r="AHO161" i="52"/>
  <c r="AHP161" i="52"/>
  <c r="AHQ161" i="52"/>
  <c r="AHR161" i="52"/>
  <c r="AHS161" i="52"/>
  <c r="AHT161" i="52"/>
  <c r="E162" i="52"/>
  <c r="F162" i="52"/>
  <c r="G162" i="52"/>
  <c r="H162" i="52"/>
  <c r="I162" i="52"/>
  <c r="J162" i="52"/>
  <c r="K162" i="52"/>
  <c r="L162" i="52"/>
  <c r="M162" i="52"/>
  <c r="N162" i="52"/>
  <c r="O162" i="52"/>
  <c r="P162" i="52"/>
  <c r="Q162" i="52"/>
  <c r="R162" i="52"/>
  <c r="S162" i="52"/>
  <c r="T162" i="52"/>
  <c r="U162" i="52"/>
  <c r="V162" i="52"/>
  <c r="W162" i="52"/>
  <c r="X162" i="52"/>
  <c r="Y162" i="52"/>
  <c r="Z162" i="52"/>
  <c r="AA162" i="52"/>
  <c r="AB162" i="52"/>
  <c r="AC162" i="52"/>
  <c r="AD162" i="52"/>
  <c r="AE162" i="52"/>
  <c r="AF162" i="52"/>
  <c r="AG162" i="52"/>
  <c r="AH162" i="52"/>
  <c r="AI162" i="52"/>
  <c r="AJ162" i="52"/>
  <c r="AK162" i="52"/>
  <c r="AL162" i="52"/>
  <c r="AM162" i="52"/>
  <c r="AN162" i="52"/>
  <c r="AO162" i="52"/>
  <c r="AP162" i="52"/>
  <c r="AQ162" i="52"/>
  <c r="AR162" i="52"/>
  <c r="AS162" i="52"/>
  <c r="AT162" i="52"/>
  <c r="AU162" i="52"/>
  <c r="AV162" i="52"/>
  <c r="AW162" i="52"/>
  <c r="AX162" i="52"/>
  <c r="AY162" i="52"/>
  <c r="AZ162" i="52"/>
  <c r="BA162" i="52"/>
  <c r="BB162" i="52"/>
  <c r="BC162" i="52"/>
  <c r="BD162" i="52"/>
  <c r="BE162" i="52"/>
  <c r="BF162" i="52"/>
  <c r="BG162" i="52"/>
  <c r="BH162" i="52"/>
  <c r="BI162" i="52"/>
  <c r="BJ162" i="52"/>
  <c r="BK162" i="52"/>
  <c r="BL162" i="52"/>
  <c r="BM162" i="52"/>
  <c r="BN162" i="52"/>
  <c r="BO162" i="52"/>
  <c r="BP162" i="52"/>
  <c r="BQ162" i="52"/>
  <c r="BR162" i="52"/>
  <c r="BS162" i="52"/>
  <c r="BT162" i="52"/>
  <c r="BU162" i="52"/>
  <c r="BV162" i="52"/>
  <c r="BW162" i="52"/>
  <c r="BX162" i="52"/>
  <c r="BY162" i="52"/>
  <c r="BZ162" i="52"/>
  <c r="CA162" i="52"/>
  <c r="CB162" i="52"/>
  <c r="CC162" i="52"/>
  <c r="CD162" i="52"/>
  <c r="CE162" i="52"/>
  <c r="CF162" i="52"/>
  <c r="CG162" i="52"/>
  <c r="CH162" i="52"/>
  <c r="CI162" i="52"/>
  <c r="CJ162" i="52"/>
  <c r="CK162" i="52"/>
  <c r="CL162" i="52"/>
  <c r="CM162" i="52"/>
  <c r="CN162" i="52"/>
  <c r="CO162" i="52"/>
  <c r="CP162" i="52"/>
  <c r="CQ162" i="52"/>
  <c r="CR162" i="52"/>
  <c r="CS162" i="52"/>
  <c r="CT162" i="52"/>
  <c r="CU162" i="52"/>
  <c r="CV162" i="52"/>
  <c r="CW162" i="52"/>
  <c r="CX162" i="52"/>
  <c r="CY162" i="52"/>
  <c r="CZ162" i="52"/>
  <c r="DA162" i="52"/>
  <c r="DB162" i="52"/>
  <c r="DC162" i="52"/>
  <c r="DD162" i="52"/>
  <c r="DE162" i="52"/>
  <c r="DF162" i="52"/>
  <c r="DG162" i="52"/>
  <c r="DH162" i="52"/>
  <c r="DI162" i="52"/>
  <c r="DJ162" i="52"/>
  <c r="DK162" i="52"/>
  <c r="DL162" i="52"/>
  <c r="DM162" i="52"/>
  <c r="DN162" i="52"/>
  <c r="DO162" i="52"/>
  <c r="DP162" i="52"/>
  <c r="DQ162" i="52"/>
  <c r="DR162" i="52"/>
  <c r="DS162" i="52"/>
  <c r="DT162" i="52"/>
  <c r="DU162" i="52"/>
  <c r="DV162" i="52"/>
  <c r="DW162" i="52"/>
  <c r="DX162" i="52"/>
  <c r="DY162" i="52"/>
  <c r="DZ162" i="52"/>
  <c r="EA162" i="52"/>
  <c r="EB162" i="52"/>
  <c r="EC162" i="52"/>
  <c r="ED162" i="52"/>
  <c r="EE162" i="52"/>
  <c r="EF162" i="52"/>
  <c r="EG162" i="52"/>
  <c r="EH162" i="52"/>
  <c r="EI162" i="52"/>
  <c r="EJ162" i="52"/>
  <c r="EK162" i="52"/>
  <c r="EL162" i="52"/>
  <c r="EM162" i="52"/>
  <c r="EN162" i="52"/>
  <c r="EO162" i="52"/>
  <c r="EP162" i="52"/>
  <c r="EQ162" i="52"/>
  <c r="ER162" i="52"/>
  <c r="ES162" i="52"/>
  <c r="ET162" i="52"/>
  <c r="EU162" i="52"/>
  <c r="EV162" i="52"/>
  <c r="EW162" i="52"/>
  <c r="EX162" i="52"/>
  <c r="EY162" i="52"/>
  <c r="EZ162" i="52"/>
  <c r="FA162" i="52"/>
  <c r="FB162" i="52"/>
  <c r="FC162" i="52"/>
  <c r="FD162" i="52"/>
  <c r="FE162" i="52"/>
  <c r="FF162" i="52"/>
  <c r="FG162" i="52"/>
  <c r="FH162" i="52"/>
  <c r="FI162" i="52"/>
  <c r="FJ162" i="52"/>
  <c r="FK162" i="52"/>
  <c r="FL162" i="52"/>
  <c r="FM162" i="52"/>
  <c r="FN162" i="52"/>
  <c r="FO162" i="52"/>
  <c r="FP162" i="52"/>
  <c r="FQ162" i="52"/>
  <c r="FR162" i="52"/>
  <c r="FS162" i="52"/>
  <c r="FT162" i="52"/>
  <c r="FU162" i="52"/>
  <c r="FV162" i="52"/>
  <c r="FW162" i="52"/>
  <c r="FX162" i="52"/>
  <c r="FY162" i="52"/>
  <c r="FZ162" i="52"/>
  <c r="GA162" i="52"/>
  <c r="GB162" i="52"/>
  <c r="GC162" i="52"/>
  <c r="GD162" i="52"/>
  <c r="GE162" i="52"/>
  <c r="GF162" i="52"/>
  <c r="GG162" i="52"/>
  <c r="GH162" i="52"/>
  <c r="GI162" i="52"/>
  <c r="GJ162" i="52"/>
  <c r="GK162" i="52"/>
  <c r="GL162" i="52"/>
  <c r="GM162" i="52"/>
  <c r="GN162" i="52"/>
  <c r="GO162" i="52"/>
  <c r="GP162" i="52"/>
  <c r="GQ162" i="52"/>
  <c r="GR162" i="52"/>
  <c r="GS162" i="52"/>
  <c r="GT162" i="52"/>
  <c r="GU162" i="52"/>
  <c r="GV162" i="52"/>
  <c r="GW162" i="52"/>
  <c r="GX162" i="52"/>
  <c r="GY162" i="52"/>
  <c r="GZ162" i="52"/>
  <c r="HA162" i="52"/>
  <c r="HB162" i="52"/>
  <c r="HC162" i="52"/>
  <c r="HD162" i="52"/>
  <c r="HE162" i="52"/>
  <c r="HF162" i="52"/>
  <c r="HG162" i="52"/>
  <c r="HH162" i="52"/>
  <c r="HI162" i="52"/>
  <c r="HJ162" i="52"/>
  <c r="HK162" i="52"/>
  <c r="HL162" i="52"/>
  <c r="HM162" i="52"/>
  <c r="HN162" i="52"/>
  <c r="HO162" i="52"/>
  <c r="HP162" i="52"/>
  <c r="HQ162" i="52"/>
  <c r="HR162" i="52"/>
  <c r="HS162" i="52"/>
  <c r="HT162" i="52"/>
  <c r="HU162" i="52"/>
  <c r="HV162" i="52"/>
  <c r="HW162" i="52"/>
  <c r="HX162" i="52"/>
  <c r="HY162" i="52"/>
  <c r="HZ162" i="52"/>
  <c r="IA162" i="52"/>
  <c r="IB162" i="52"/>
  <c r="IC162" i="52"/>
  <c r="ID162" i="52"/>
  <c r="IE162" i="52"/>
  <c r="IF162" i="52"/>
  <c r="IG162" i="52"/>
  <c r="IH162" i="52"/>
  <c r="II162" i="52"/>
  <c r="IJ162" i="52"/>
  <c r="IK162" i="52"/>
  <c r="IL162" i="52"/>
  <c r="IM162" i="52"/>
  <c r="IN162" i="52"/>
  <c r="IO162" i="52"/>
  <c r="IP162" i="52"/>
  <c r="IQ162" i="52"/>
  <c r="IR162" i="52"/>
  <c r="IS162" i="52"/>
  <c r="IT162" i="52"/>
  <c r="IU162" i="52"/>
  <c r="IV162" i="52"/>
  <c r="IW162" i="52"/>
  <c r="IX162" i="52"/>
  <c r="IY162" i="52"/>
  <c r="IZ162" i="52"/>
  <c r="JA162" i="52"/>
  <c r="JB162" i="52"/>
  <c r="JC162" i="52"/>
  <c r="JD162" i="52"/>
  <c r="JE162" i="52"/>
  <c r="JF162" i="52"/>
  <c r="JG162" i="52"/>
  <c r="JH162" i="52"/>
  <c r="JI162" i="52"/>
  <c r="JJ162" i="52"/>
  <c r="JK162" i="52"/>
  <c r="JL162" i="52"/>
  <c r="JM162" i="52"/>
  <c r="JN162" i="52"/>
  <c r="JO162" i="52"/>
  <c r="JP162" i="52"/>
  <c r="JQ162" i="52"/>
  <c r="JR162" i="52"/>
  <c r="JS162" i="52"/>
  <c r="JT162" i="52"/>
  <c r="JU162" i="52"/>
  <c r="JV162" i="52"/>
  <c r="JW162" i="52"/>
  <c r="JX162" i="52"/>
  <c r="JY162" i="52"/>
  <c r="JZ162" i="52"/>
  <c r="KA162" i="52"/>
  <c r="KB162" i="52"/>
  <c r="KC162" i="52"/>
  <c r="KD162" i="52"/>
  <c r="KE162" i="52"/>
  <c r="KF162" i="52"/>
  <c r="KG162" i="52"/>
  <c r="KH162" i="52"/>
  <c r="KI162" i="52"/>
  <c r="KJ162" i="52"/>
  <c r="KK162" i="52"/>
  <c r="KL162" i="52"/>
  <c r="KM162" i="52"/>
  <c r="KN162" i="52"/>
  <c r="KO162" i="52"/>
  <c r="KP162" i="52"/>
  <c r="KQ162" i="52"/>
  <c r="KR162" i="52"/>
  <c r="KS162" i="52"/>
  <c r="KT162" i="52"/>
  <c r="KU162" i="52"/>
  <c r="KV162" i="52"/>
  <c r="KW162" i="52"/>
  <c r="KX162" i="52"/>
  <c r="KY162" i="52"/>
  <c r="KZ162" i="52"/>
  <c r="LA162" i="52"/>
  <c r="LB162" i="52"/>
  <c r="LC162" i="52"/>
  <c r="LD162" i="52"/>
  <c r="LE162" i="52"/>
  <c r="LF162" i="52"/>
  <c r="LG162" i="52"/>
  <c r="LH162" i="52"/>
  <c r="LI162" i="52"/>
  <c r="LJ162" i="52"/>
  <c r="LK162" i="52"/>
  <c r="LL162" i="52"/>
  <c r="LM162" i="52"/>
  <c r="LN162" i="52"/>
  <c r="LO162" i="52"/>
  <c r="LP162" i="52"/>
  <c r="LQ162" i="52"/>
  <c r="LR162" i="52"/>
  <c r="LS162" i="52"/>
  <c r="LT162" i="52"/>
  <c r="LU162" i="52"/>
  <c r="LV162" i="52"/>
  <c r="LW162" i="52"/>
  <c r="LX162" i="52"/>
  <c r="LY162" i="52"/>
  <c r="LZ162" i="52"/>
  <c r="MA162" i="52"/>
  <c r="MB162" i="52"/>
  <c r="MC162" i="52"/>
  <c r="MD162" i="52"/>
  <c r="ME162" i="52"/>
  <c r="MF162" i="52"/>
  <c r="MG162" i="52"/>
  <c r="MH162" i="52"/>
  <c r="MI162" i="52"/>
  <c r="MJ162" i="52"/>
  <c r="MK162" i="52"/>
  <c r="ML162" i="52"/>
  <c r="MM162" i="52"/>
  <c r="MN162" i="52"/>
  <c r="MO162" i="52"/>
  <c r="MP162" i="52"/>
  <c r="MQ162" i="52"/>
  <c r="MR162" i="52"/>
  <c r="MS162" i="52"/>
  <c r="MT162" i="52"/>
  <c r="MU162" i="52"/>
  <c r="MV162" i="52"/>
  <c r="MW162" i="52"/>
  <c r="MX162" i="52"/>
  <c r="MY162" i="52"/>
  <c r="MZ162" i="52"/>
  <c r="NA162" i="52"/>
  <c r="NB162" i="52"/>
  <c r="NC162" i="52"/>
  <c r="ND162" i="52"/>
  <c r="NE162" i="52"/>
  <c r="NF162" i="52"/>
  <c r="NG162" i="52"/>
  <c r="NH162" i="52"/>
  <c r="NI162" i="52"/>
  <c r="NJ162" i="52"/>
  <c r="NK162" i="52"/>
  <c r="NL162" i="52"/>
  <c r="NM162" i="52"/>
  <c r="NN162" i="52"/>
  <c r="NO162" i="52"/>
  <c r="NP162" i="52"/>
  <c r="NQ162" i="52"/>
  <c r="NR162" i="52"/>
  <c r="NS162" i="52"/>
  <c r="NT162" i="52"/>
  <c r="NU162" i="52"/>
  <c r="NV162" i="52"/>
  <c r="NW162" i="52"/>
  <c r="NX162" i="52"/>
  <c r="NY162" i="52"/>
  <c r="NZ162" i="52"/>
  <c r="OA162" i="52"/>
  <c r="OB162" i="52"/>
  <c r="OC162" i="52"/>
  <c r="OD162" i="52"/>
  <c r="OE162" i="52"/>
  <c r="OF162" i="52"/>
  <c r="OG162" i="52"/>
  <c r="OH162" i="52"/>
  <c r="OI162" i="52"/>
  <c r="OJ162" i="52"/>
  <c r="OK162" i="52"/>
  <c r="OL162" i="52"/>
  <c r="OM162" i="52"/>
  <c r="ON162" i="52"/>
  <c r="OO162" i="52"/>
  <c r="OP162" i="52"/>
  <c r="OQ162" i="52"/>
  <c r="OR162" i="52"/>
  <c r="OS162" i="52"/>
  <c r="OT162" i="52"/>
  <c r="OU162" i="52"/>
  <c r="OV162" i="52"/>
  <c r="OW162" i="52"/>
  <c r="OX162" i="52"/>
  <c r="OY162" i="52"/>
  <c r="OZ162" i="52"/>
  <c r="PA162" i="52"/>
  <c r="PB162" i="52"/>
  <c r="PC162" i="52"/>
  <c r="PD162" i="52"/>
  <c r="PE162" i="52"/>
  <c r="PF162" i="52"/>
  <c r="PG162" i="52"/>
  <c r="PH162" i="52"/>
  <c r="PI162" i="52"/>
  <c r="PJ162" i="52"/>
  <c r="PK162" i="52"/>
  <c r="PL162" i="52"/>
  <c r="PM162" i="52"/>
  <c r="PN162" i="52"/>
  <c r="PO162" i="52"/>
  <c r="PP162" i="52"/>
  <c r="PQ162" i="52"/>
  <c r="PR162" i="52"/>
  <c r="PS162" i="52"/>
  <c r="PT162" i="52"/>
  <c r="PU162" i="52"/>
  <c r="PV162" i="52"/>
  <c r="PW162" i="52"/>
  <c r="PX162" i="52"/>
  <c r="PY162" i="52"/>
  <c r="PZ162" i="52"/>
  <c r="QA162" i="52"/>
  <c r="QB162" i="52"/>
  <c r="QC162" i="52"/>
  <c r="QD162" i="52"/>
  <c r="QE162" i="52"/>
  <c r="QF162" i="52"/>
  <c r="QG162" i="52"/>
  <c r="QH162" i="52"/>
  <c r="QI162" i="52"/>
  <c r="QJ162" i="52"/>
  <c r="QK162" i="52"/>
  <c r="QL162" i="52"/>
  <c r="QM162" i="52"/>
  <c r="QN162" i="52"/>
  <c r="QO162" i="52"/>
  <c r="QP162" i="52"/>
  <c r="QQ162" i="52"/>
  <c r="QR162" i="52"/>
  <c r="QS162" i="52"/>
  <c r="QT162" i="52"/>
  <c r="QU162" i="52"/>
  <c r="QV162" i="52"/>
  <c r="QW162" i="52"/>
  <c r="QX162" i="52"/>
  <c r="QY162" i="52"/>
  <c r="QZ162" i="52"/>
  <c r="RA162" i="52"/>
  <c r="RB162" i="52"/>
  <c r="RC162" i="52"/>
  <c r="RD162" i="52"/>
  <c r="RE162" i="52"/>
  <c r="RF162" i="52"/>
  <c r="RG162" i="52"/>
  <c r="RH162" i="52"/>
  <c r="RI162" i="52"/>
  <c r="RJ162" i="52"/>
  <c r="RK162" i="52"/>
  <c r="RL162" i="52"/>
  <c r="RM162" i="52"/>
  <c r="RN162" i="52"/>
  <c r="RO162" i="52"/>
  <c r="RP162" i="52"/>
  <c r="RQ162" i="52"/>
  <c r="RR162" i="52"/>
  <c r="RS162" i="52"/>
  <c r="RT162" i="52"/>
  <c r="RU162" i="52"/>
  <c r="RV162" i="52"/>
  <c r="RW162" i="52"/>
  <c r="RX162" i="52"/>
  <c r="RY162" i="52"/>
  <c r="RZ162" i="52"/>
  <c r="SA162" i="52"/>
  <c r="SB162" i="52"/>
  <c r="SC162" i="52"/>
  <c r="SD162" i="52"/>
  <c r="SE162" i="52"/>
  <c r="SF162" i="52"/>
  <c r="SG162" i="52"/>
  <c r="SH162" i="52"/>
  <c r="SI162" i="52"/>
  <c r="SJ162" i="52"/>
  <c r="SK162" i="52"/>
  <c r="SL162" i="52"/>
  <c r="SM162" i="52"/>
  <c r="SN162" i="52"/>
  <c r="SO162" i="52"/>
  <c r="SP162" i="52"/>
  <c r="SQ162" i="52"/>
  <c r="SR162" i="52"/>
  <c r="SS162" i="52"/>
  <c r="ST162" i="52"/>
  <c r="SU162" i="52"/>
  <c r="SV162" i="52"/>
  <c r="SW162" i="52"/>
  <c r="SX162" i="52"/>
  <c r="SY162" i="52"/>
  <c r="SZ162" i="52"/>
  <c r="TA162" i="52"/>
  <c r="TB162" i="52"/>
  <c r="TC162" i="52"/>
  <c r="TD162" i="52"/>
  <c r="TE162" i="52"/>
  <c r="TF162" i="52"/>
  <c r="TG162" i="52"/>
  <c r="TH162" i="52"/>
  <c r="TI162" i="52"/>
  <c r="TJ162" i="52"/>
  <c r="TK162" i="52"/>
  <c r="TL162" i="52"/>
  <c r="TM162" i="52"/>
  <c r="TN162" i="52"/>
  <c r="TO162" i="52"/>
  <c r="TP162" i="52"/>
  <c r="TQ162" i="52"/>
  <c r="TR162" i="52"/>
  <c r="TS162" i="52"/>
  <c r="TT162" i="52"/>
  <c r="TU162" i="52"/>
  <c r="TV162" i="52"/>
  <c r="TW162" i="52"/>
  <c r="TX162" i="52"/>
  <c r="TY162" i="52"/>
  <c r="TZ162" i="52"/>
  <c r="UA162" i="52"/>
  <c r="UB162" i="52"/>
  <c r="UC162" i="52"/>
  <c r="UD162" i="52"/>
  <c r="UE162" i="52"/>
  <c r="UF162" i="52"/>
  <c r="UG162" i="52"/>
  <c r="UH162" i="52"/>
  <c r="UI162" i="52"/>
  <c r="UJ162" i="52"/>
  <c r="UK162" i="52"/>
  <c r="UL162" i="52"/>
  <c r="UM162" i="52"/>
  <c r="UN162" i="52"/>
  <c r="UO162" i="52"/>
  <c r="UP162" i="52"/>
  <c r="UQ162" i="52"/>
  <c r="UR162" i="52"/>
  <c r="US162" i="52"/>
  <c r="UT162" i="52"/>
  <c r="UU162" i="52"/>
  <c r="UV162" i="52"/>
  <c r="UW162" i="52"/>
  <c r="UX162" i="52"/>
  <c r="UY162" i="52"/>
  <c r="UZ162" i="52"/>
  <c r="VA162" i="52"/>
  <c r="VB162" i="52"/>
  <c r="VC162" i="52"/>
  <c r="VD162" i="52"/>
  <c r="VE162" i="52"/>
  <c r="VF162" i="52"/>
  <c r="VG162" i="52"/>
  <c r="VH162" i="52"/>
  <c r="VI162" i="52"/>
  <c r="VJ162" i="52"/>
  <c r="VK162" i="52"/>
  <c r="VL162" i="52"/>
  <c r="VM162" i="52"/>
  <c r="VN162" i="52"/>
  <c r="VO162" i="52"/>
  <c r="VP162" i="52"/>
  <c r="VQ162" i="52"/>
  <c r="VR162" i="52"/>
  <c r="VS162" i="52"/>
  <c r="VT162" i="52"/>
  <c r="VU162" i="52"/>
  <c r="VV162" i="52"/>
  <c r="VW162" i="52"/>
  <c r="VX162" i="52"/>
  <c r="VY162" i="52"/>
  <c r="VZ162" i="52"/>
  <c r="WA162" i="52"/>
  <c r="WB162" i="52"/>
  <c r="WC162" i="52"/>
  <c r="WD162" i="52"/>
  <c r="WE162" i="52"/>
  <c r="WF162" i="52"/>
  <c r="WG162" i="52"/>
  <c r="WH162" i="52"/>
  <c r="WI162" i="52"/>
  <c r="WJ162" i="52"/>
  <c r="WK162" i="52"/>
  <c r="WL162" i="52"/>
  <c r="WM162" i="52"/>
  <c r="WN162" i="52"/>
  <c r="WO162" i="52"/>
  <c r="WP162" i="52"/>
  <c r="WQ162" i="52"/>
  <c r="WR162" i="52"/>
  <c r="WS162" i="52"/>
  <c r="WT162" i="52"/>
  <c r="WU162" i="52"/>
  <c r="WV162" i="52"/>
  <c r="WW162" i="52"/>
  <c r="WX162" i="52"/>
  <c r="WY162" i="52"/>
  <c r="WZ162" i="52"/>
  <c r="XA162" i="52"/>
  <c r="XB162" i="52"/>
  <c r="XC162" i="52"/>
  <c r="XD162" i="52"/>
  <c r="XE162" i="52"/>
  <c r="XF162" i="52"/>
  <c r="XG162" i="52"/>
  <c r="XH162" i="52"/>
  <c r="XI162" i="52"/>
  <c r="XJ162" i="52"/>
  <c r="XK162" i="52"/>
  <c r="XL162" i="52"/>
  <c r="XM162" i="52"/>
  <c r="XN162" i="52"/>
  <c r="XO162" i="52"/>
  <c r="XP162" i="52"/>
  <c r="XQ162" i="52"/>
  <c r="XR162" i="52"/>
  <c r="XS162" i="52"/>
  <c r="XT162" i="52"/>
  <c r="XU162" i="52"/>
  <c r="XV162" i="52"/>
  <c r="XW162" i="52"/>
  <c r="XX162" i="52"/>
  <c r="XY162" i="52"/>
  <c r="XZ162" i="52"/>
  <c r="YA162" i="52"/>
  <c r="YB162" i="52"/>
  <c r="YC162" i="52"/>
  <c r="YD162" i="52"/>
  <c r="YE162" i="52"/>
  <c r="YF162" i="52"/>
  <c r="YG162" i="52"/>
  <c r="YH162" i="52"/>
  <c r="YI162" i="52"/>
  <c r="YJ162" i="52"/>
  <c r="YK162" i="52"/>
  <c r="YL162" i="52"/>
  <c r="YM162" i="52"/>
  <c r="YN162" i="52"/>
  <c r="YO162" i="52"/>
  <c r="YP162" i="52"/>
  <c r="YQ162" i="52"/>
  <c r="YR162" i="52"/>
  <c r="YS162" i="52"/>
  <c r="YT162" i="52"/>
  <c r="YU162" i="52"/>
  <c r="YV162" i="52"/>
  <c r="YW162" i="52"/>
  <c r="YX162" i="52"/>
  <c r="YY162" i="52"/>
  <c r="YZ162" i="52"/>
  <c r="ZA162" i="52"/>
  <c r="ZB162" i="52"/>
  <c r="ZC162" i="52"/>
  <c r="ZD162" i="52"/>
  <c r="ZE162" i="52"/>
  <c r="ZF162" i="52"/>
  <c r="ZG162" i="52"/>
  <c r="ZH162" i="52"/>
  <c r="ZI162" i="52"/>
  <c r="ZJ162" i="52"/>
  <c r="ZK162" i="52"/>
  <c r="ZL162" i="52"/>
  <c r="ZM162" i="52"/>
  <c r="ZN162" i="52"/>
  <c r="ZO162" i="52"/>
  <c r="ZP162" i="52"/>
  <c r="ZQ162" i="52"/>
  <c r="ZR162" i="52"/>
  <c r="ZS162" i="52"/>
  <c r="ZT162" i="52"/>
  <c r="ZU162" i="52"/>
  <c r="ZV162" i="52"/>
  <c r="ZW162" i="52"/>
  <c r="ZX162" i="52"/>
  <c r="ZY162" i="52"/>
  <c r="ZZ162" i="52"/>
  <c r="AAA162" i="52"/>
  <c r="AAB162" i="52"/>
  <c r="AAC162" i="52"/>
  <c r="AAD162" i="52"/>
  <c r="AAE162" i="52"/>
  <c r="AAF162" i="52"/>
  <c r="AAG162" i="52"/>
  <c r="AAH162" i="52"/>
  <c r="AAI162" i="52"/>
  <c r="AAJ162" i="52"/>
  <c r="AAK162" i="52"/>
  <c r="AAL162" i="52"/>
  <c r="AAM162" i="52"/>
  <c r="AAN162" i="52"/>
  <c r="AAO162" i="52"/>
  <c r="AAP162" i="52"/>
  <c r="AAQ162" i="52"/>
  <c r="AAR162" i="52"/>
  <c r="AAS162" i="52"/>
  <c r="AAT162" i="52"/>
  <c r="AAU162" i="52"/>
  <c r="AAV162" i="52"/>
  <c r="AAW162" i="52"/>
  <c r="AAX162" i="52"/>
  <c r="AAY162" i="52"/>
  <c r="AAZ162" i="52"/>
  <c r="ABA162" i="52"/>
  <c r="ABB162" i="52"/>
  <c r="ABC162" i="52"/>
  <c r="ABD162" i="52"/>
  <c r="ABE162" i="52"/>
  <c r="ABF162" i="52"/>
  <c r="ABG162" i="52"/>
  <c r="ABH162" i="52"/>
  <c r="ABI162" i="52"/>
  <c r="ABJ162" i="52"/>
  <c r="ABK162" i="52"/>
  <c r="ABL162" i="52"/>
  <c r="ABM162" i="52"/>
  <c r="ABN162" i="52"/>
  <c r="ABO162" i="52"/>
  <c r="ABP162" i="52"/>
  <c r="ABQ162" i="52"/>
  <c r="ABR162" i="52"/>
  <c r="ABS162" i="52"/>
  <c r="ABT162" i="52"/>
  <c r="ABU162" i="52"/>
  <c r="ABV162" i="52"/>
  <c r="ABW162" i="52"/>
  <c r="ABX162" i="52"/>
  <c r="ABY162" i="52"/>
  <c r="ABZ162" i="52"/>
  <c r="ACA162" i="52"/>
  <c r="ACB162" i="52"/>
  <c r="ACC162" i="52"/>
  <c r="ACD162" i="52"/>
  <c r="ACE162" i="52"/>
  <c r="ACF162" i="52"/>
  <c r="ACG162" i="52"/>
  <c r="ACH162" i="52"/>
  <c r="ACI162" i="52"/>
  <c r="ACJ162" i="52"/>
  <c r="ACK162" i="52"/>
  <c r="ACL162" i="52"/>
  <c r="ACM162" i="52"/>
  <c r="ACN162" i="52"/>
  <c r="ACO162" i="52"/>
  <c r="ACP162" i="52"/>
  <c r="ACQ162" i="52"/>
  <c r="ACR162" i="52"/>
  <c r="ACS162" i="52"/>
  <c r="ACT162" i="52"/>
  <c r="ACU162" i="52"/>
  <c r="ACV162" i="52"/>
  <c r="ACW162" i="52"/>
  <c r="ACX162" i="52"/>
  <c r="ACY162" i="52"/>
  <c r="ACZ162" i="52"/>
  <c r="ADA162" i="52"/>
  <c r="ADB162" i="52"/>
  <c r="ADC162" i="52"/>
  <c r="ADD162" i="52"/>
  <c r="ADE162" i="52"/>
  <c r="ADF162" i="52"/>
  <c r="ADG162" i="52"/>
  <c r="ADH162" i="52"/>
  <c r="ADI162" i="52"/>
  <c r="ADJ162" i="52"/>
  <c r="ADK162" i="52"/>
  <c r="ADL162" i="52"/>
  <c r="ADM162" i="52"/>
  <c r="ADN162" i="52"/>
  <c r="ADO162" i="52"/>
  <c r="ADP162" i="52"/>
  <c r="ADQ162" i="52"/>
  <c r="ADR162" i="52"/>
  <c r="ADS162" i="52"/>
  <c r="ADT162" i="52"/>
  <c r="ADU162" i="52"/>
  <c r="ADV162" i="52"/>
  <c r="ADW162" i="52"/>
  <c r="ADX162" i="52"/>
  <c r="ADY162" i="52"/>
  <c r="ADZ162" i="52"/>
  <c r="AEA162" i="52"/>
  <c r="AEA163" i="52" s="1"/>
  <c r="AEA164" i="52" s="1"/>
  <c r="AEB162" i="52"/>
  <c r="AEC162" i="52"/>
  <c r="AED162" i="52"/>
  <c r="AEE162" i="52"/>
  <c r="AEF162" i="52"/>
  <c r="AEG162" i="52"/>
  <c r="AEH162" i="52"/>
  <c r="AEI162" i="52"/>
  <c r="AEJ162" i="52"/>
  <c r="AEK162" i="52"/>
  <c r="AEL162" i="52"/>
  <c r="AEM162" i="52"/>
  <c r="AEM163" i="52" s="1"/>
  <c r="AEM164" i="52" s="1"/>
  <c r="AEN162" i="52"/>
  <c r="AEO162" i="52"/>
  <c r="AEP162" i="52"/>
  <c r="AEQ162" i="52"/>
  <c r="AER162" i="52"/>
  <c r="AES162" i="52"/>
  <c r="AET162" i="52"/>
  <c r="AEU162" i="52"/>
  <c r="AEV162" i="52"/>
  <c r="AEW162" i="52"/>
  <c r="AEX162" i="52"/>
  <c r="AEY162" i="52"/>
  <c r="AEY163" i="52" s="1"/>
  <c r="AEY164" i="52" s="1"/>
  <c r="AEZ162" i="52"/>
  <c r="AFA162" i="52"/>
  <c r="AFB162" i="52"/>
  <c r="AFC162" i="52"/>
  <c r="AFD162" i="52"/>
  <c r="AFE162" i="52"/>
  <c r="AFF162" i="52"/>
  <c r="AFG162" i="52"/>
  <c r="AFH162" i="52"/>
  <c r="AFI162" i="52"/>
  <c r="AFJ162" i="52"/>
  <c r="AFK162" i="52"/>
  <c r="AFK163" i="52" s="1"/>
  <c r="AFK164" i="52" s="1"/>
  <c r="AFL162" i="52"/>
  <c r="AFM162" i="52"/>
  <c r="AFN162" i="52"/>
  <c r="AFO162" i="52"/>
  <c r="AFP162" i="52"/>
  <c r="AFQ162" i="52"/>
  <c r="AFR162" i="52"/>
  <c r="AFR163" i="52" s="1"/>
  <c r="AFR164" i="52" s="1"/>
  <c r="AFS162" i="52"/>
  <c r="AFT162" i="52"/>
  <c r="AFU162" i="52"/>
  <c r="AFV162" i="52"/>
  <c r="AFW162" i="52"/>
  <c r="AFW163" i="52" s="1"/>
  <c r="AFW164" i="52" s="1"/>
  <c r="AFX162" i="52"/>
  <c r="AFY162" i="52"/>
  <c r="AFZ162" i="52"/>
  <c r="AGA162" i="52"/>
  <c r="AGB162" i="52"/>
  <c r="AGC162" i="52"/>
  <c r="AGD162" i="52"/>
  <c r="AGD163" i="52" s="1"/>
  <c r="AGD164" i="52" s="1"/>
  <c r="AGE162" i="52"/>
  <c r="AGF162" i="52"/>
  <c r="AGG162" i="52"/>
  <c r="AGH162" i="52"/>
  <c r="AGI162" i="52"/>
  <c r="AGI163" i="52" s="1"/>
  <c r="AGI164" i="52" s="1"/>
  <c r="AGJ162" i="52"/>
  <c r="AGK162" i="52"/>
  <c r="AGL162" i="52"/>
  <c r="AGM162" i="52"/>
  <c r="AGN162" i="52"/>
  <c r="AGO162" i="52"/>
  <c r="AGP162" i="52"/>
  <c r="AGP163" i="52" s="1"/>
  <c r="AGP164" i="52" s="1"/>
  <c r="AGQ162" i="52"/>
  <c r="AGR162" i="52"/>
  <c r="AGS162" i="52"/>
  <c r="AGT162" i="52"/>
  <c r="AGU162" i="52"/>
  <c r="AGU163" i="52" s="1"/>
  <c r="AGU164" i="52" s="1"/>
  <c r="AGV162" i="52"/>
  <c r="AGW162" i="52"/>
  <c r="AGX162" i="52"/>
  <c r="AGY162" i="52"/>
  <c r="AGZ162" i="52"/>
  <c r="AHA162" i="52"/>
  <c r="AHB162" i="52"/>
  <c r="AHB163" i="52" s="1"/>
  <c r="AHB164" i="52" s="1"/>
  <c r="AHC162" i="52"/>
  <c r="AHD162" i="52"/>
  <c r="AHE162" i="52"/>
  <c r="AHF162" i="52"/>
  <c r="AHG162" i="52"/>
  <c r="AHG163" i="52" s="1"/>
  <c r="AHG164" i="52" s="1"/>
  <c r="AHH162" i="52"/>
  <c r="AHI162" i="52"/>
  <c r="AHJ162" i="52"/>
  <c r="AHK162" i="52"/>
  <c r="AHL162" i="52"/>
  <c r="AHM162" i="52"/>
  <c r="AHN162" i="52"/>
  <c r="AHN163" i="52" s="1"/>
  <c r="AHN164" i="52" s="1"/>
  <c r="AHO162" i="52"/>
  <c r="AHP162" i="52"/>
  <c r="AHP163" i="52" s="1"/>
  <c r="AHP164" i="52" s="1"/>
  <c r="AHQ162" i="52"/>
  <c r="AHR162" i="52"/>
  <c r="AHS162" i="52"/>
  <c r="AHS163" i="52" s="1"/>
  <c r="AHS164" i="52" s="1"/>
  <c r="AHT162" i="52"/>
  <c r="E163" i="52"/>
  <c r="F163" i="52"/>
  <c r="G163" i="52"/>
  <c r="H163" i="52"/>
  <c r="I163" i="52"/>
  <c r="J163" i="52"/>
  <c r="K163" i="52"/>
  <c r="L163" i="52"/>
  <c r="M163" i="52"/>
  <c r="N163" i="52"/>
  <c r="O163" i="52"/>
  <c r="P163" i="52"/>
  <c r="Q163" i="52"/>
  <c r="R163" i="52"/>
  <c r="S163" i="52"/>
  <c r="T163" i="52"/>
  <c r="U163" i="52"/>
  <c r="V163" i="52"/>
  <c r="W163" i="52"/>
  <c r="X163" i="52"/>
  <c r="Y163" i="52"/>
  <c r="Z163" i="52"/>
  <c r="AA163" i="52"/>
  <c r="AB163" i="52"/>
  <c r="AC163" i="52"/>
  <c r="AD163" i="52"/>
  <c r="AE163" i="52"/>
  <c r="AF163" i="52"/>
  <c r="AG163" i="52"/>
  <c r="AH163" i="52"/>
  <c r="AI163" i="52"/>
  <c r="AJ163" i="52"/>
  <c r="AK163" i="52"/>
  <c r="AL163" i="52"/>
  <c r="AM163" i="52"/>
  <c r="AN163" i="52"/>
  <c r="AO163" i="52"/>
  <c r="AP163" i="52"/>
  <c r="AQ163" i="52"/>
  <c r="AR163" i="52"/>
  <c r="AS163" i="52"/>
  <c r="AT163" i="52"/>
  <c r="AU163" i="52"/>
  <c r="AV163" i="52"/>
  <c r="AW163" i="52"/>
  <c r="AX163" i="52"/>
  <c r="AY163" i="52"/>
  <c r="AZ163" i="52"/>
  <c r="BA163" i="52"/>
  <c r="BB163" i="52"/>
  <c r="BC163" i="52"/>
  <c r="BD163" i="52"/>
  <c r="BE163" i="52"/>
  <c r="BF163" i="52"/>
  <c r="BG163" i="52"/>
  <c r="BH163" i="52"/>
  <c r="BI163" i="52"/>
  <c r="BJ163" i="52"/>
  <c r="BK163" i="52"/>
  <c r="BL163" i="52"/>
  <c r="BM163" i="52"/>
  <c r="BN163" i="52"/>
  <c r="BO163" i="52"/>
  <c r="BP163" i="52"/>
  <c r="BQ163" i="52"/>
  <c r="BR163" i="52"/>
  <c r="BS163" i="52"/>
  <c r="BT163" i="52"/>
  <c r="BU163" i="52"/>
  <c r="BV163" i="52"/>
  <c r="BW163" i="52"/>
  <c r="BX163" i="52"/>
  <c r="BY163" i="52"/>
  <c r="BZ163" i="52"/>
  <c r="CA163" i="52"/>
  <c r="CB163" i="52"/>
  <c r="CC163" i="52"/>
  <c r="CD163" i="52"/>
  <c r="CE163" i="52"/>
  <c r="CF163" i="52"/>
  <c r="CG163" i="52"/>
  <c r="CH163" i="52"/>
  <c r="CI163" i="52"/>
  <c r="CJ163" i="52"/>
  <c r="CK163" i="52"/>
  <c r="CL163" i="52"/>
  <c r="CM163" i="52"/>
  <c r="CN163" i="52"/>
  <c r="CO163" i="52"/>
  <c r="CP163" i="52"/>
  <c r="CQ163" i="52"/>
  <c r="CR163" i="52"/>
  <c r="CS163" i="52"/>
  <c r="CT163" i="52"/>
  <c r="CU163" i="52"/>
  <c r="CV163" i="52"/>
  <c r="CW163" i="52"/>
  <c r="CX163" i="52"/>
  <c r="CY163" i="52"/>
  <c r="CZ163" i="52"/>
  <c r="DA163" i="52"/>
  <c r="DB163" i="52"/>
  <c r="DC163" i="52"/>
  <c r="DD163" i="52"/>
  <c r="DE163" i="52"/>
  <c r="DF163" i="52"/>
  <c r="DG163" i="52"/>
  <c r="DH163" i="52"/>
  <c r="DI163" i="52"/>
  <c r="DJ163" i="52"/>
  <c r="DK163" i="52"/>
  <c r="DL163" i="52"/>
  <c r="DM163" i="52"/>
  <c r="DN163" i="52"/>
  <c r="DO163" i="52"/>
  <c r="DP163" i="52"/>
  <c r="DQ163" i="52"/>
  <c r="DR163" i="52"/>
  <c r="DS163" i="52"/>
  <c r="DT163" i="52"/>
  <c r="DU163" i="52"/>
  <c r="DV163" i="52"/>
  <c r="DW163" i="52"/>
  <c r="DX163" i="52"/>
  <c r="DY163" i="52"/>
  <c r="DZ163" i="52"/>
  <c r="EA163" i="52"/>
  <c r="EB163" i="52"/>
  <c r="EC163" i="52"/>
  <c r="ED163" i="52"/>
  <c r="EE163" i="52"/>
  <c r="EF163" i="52"/>
  <c r="EG163" i="52"/>
  <c r="EH163" i="52"/>
  <c r="EI163" i="52"/>
  <c r="EJ163" i="52"/>
  <c r="EK163" i="52"/>
  <c r="EL163" i="52"/>
  <c r="EM163" i="52"/>
  <c r="EN163" i="52"/>
  <c r="EO163" i="52"/>
  <c r="EP163" i="52"/>
  <c r="EQ163" i="52"/>
  <c r="ER163" i="52"/>
  <c r="ES163" i="52"/>
  <c r="ET163" i="52"/>
  <c r="EU163" i="52"/>
  <c r="EV163" i="52"/>
  <c r="EW163" i="52"/>
  <c r="EX163" i="52"/>
  <c r="EY163" i="52"/>
  <c r="EZ163" i="52"/>
  <c r="FA163" i="52"/>
  <c r="FB163" i="52"/>
  <c r="FC163" i="52"/>
  <c r="FD163" i="52"/>
  <c r="FE163" i="52"/>
  <c r="FF163" i="52"/>
  <c r="FG163" i="52"/>
  <c r="FH163" i="52"/>
  <c r="FI163" i="52"/>
  <c r="FJ163" i="52"/>
  <c r="FK163" i="52"/>
  <c r="FL163" i="52"/>
  <c r="FM163" i="52"/>
  <c r="FN163" i="52"/>
  <c r="FO163" i="52"/>
  <c r="FP163" i="52"/>
  <c r="FQ163" i="52"/>
  <c r="FR163" i="52"/>
  <c r="FS163" i="52"/>
  <c r="FT163" i="52"/>
  <c r="FU163" i="52"/>
  <c r="FV163" i="52"/>
  <c r="FW163" i="52"/>
  <c r="FX163" i="52"/>
  <c r="FY163" i="52"/>
  <c r="FZ163" i="52"/>
  <c r="GA163" i="52"/>
  <c r="GB163" i="52"/>
  <c r="GC163" i="52"/>
  <c r="GD163" i="52"/>
  <c r="GE163" i="52"/>
  <c r="GF163" i="52"/>
  <c r="GG163" i="52"/>
  <c r="GH163" i="52"/>
  <c r="GI163" i="52"/>
  <c r="GJ163" i="52"/>
  <c r="GK163" i="52"/>
  <c r="GL163" i="52"/>
  <c r="GM163" i="52"/>
  <c r="GN163" i="52"/>
  <c r="GO163" i="52"/>
  <c r="GP163" i="52"/>
  <c r="GQ163" i="52"/>
  <c r="GR163" i="52"/>
  <c r="GS163" i="52"/>
  <c r="GT163" i="52"/>
  <c r="GU163" i="52"/>
  <c r="GV163" i="52"/>
  <c r="GW163" i="52"/>
  <c r="GX163" i="52"/>
  <c r="GY163" i="52"/>
  <c r="GZ163" i="52"/>
  <c r="HA163" i="52"/>
  <c r="HB163" i="52"/>
  <c r="HC163" i="52"/>
  <c r="HD163" i="52"/>
  <c r="HE163" i="52"/>
  <c r="HF163" i="52"/>
  <c r="HG163" i="52"/>
  <c r="HH163" i="52"/>
  <c r="HI163" i="52"/>
  <c r="HJ163" i="52"/>
  <c r="HK163" i="52"/>
  <c r="HL163" i="52"/>
  <c r="HM163" i="52"/>
  <c r="HN163" i="52"/>
  <c r="HO163" i="52"/>
  <c r="HP163" i="52"/>
  <c r="HQ163" i="52"/>
  <c r="HR163" i="52"/>
  <c r="HS163" i="52"/>
  <c r="HT163" i="52"/>
  <c r="HU163" i="52"/>
  <c r="HV163" i="52"/>
  <c r="HW163" i="52"/>
  <c r="HX163" i="52"/>
  <c r="HY163" i="52"/>
  <c r="HZ163" i="52"/>
  <c r="IA163" i="52"/>
  <c r="IB163" i="52"/>
  <c r="IC163" i="52"/>
  <c r="ID163" i="52"/>
  <c r="IE163" i="52"/>
  <c r="IF163" i="52"/>
  <c r="IG163" i="52"/>
  <c r="IH163" i="52"/>
  <c r="II163" i="52"/>
  <c r="IJ163" i="52"/>
  <c r="IK163" i="52"/>
  <c r="IL163" i="52"/>
  <c r="IM163" i="52"/>
  <c r="IN163" i="52"/>
  <c r="IO163" i="52"/>
  <c r="IP163" i="52"/>
  <c r="IQ163" i="52"/>
  <c r="IR163" i="52"/>
  <c r="IS163" i="52"/>
  <c r="IT163" i="52"/>
  <c r="IU163" i="52"/>
  <c r="IV163" i="52"/>
  <c r="IW163" i="52"/>
  <c r="IX163" i="52"/>
  <c r="IY163" i="52"/>
  <c r="IZ163" i="52"/>
  <c r="JA163" i="52"/>
  <c r="JB163" i="52"/>
  <c r="JC163" i="52"/>
  <c r="JD163" i="52"/>
  <c r="JE163" i="52"/>
  <c r="JF163" i="52"/>
  <c r="JG163" i="52"/>
  <c r="JH163" i="52"/>
  <c r="JI163" i="52"/>
  <c r="JJ163" i="52"/>
  <c r="JK163" i="52"/>
  <c r="JL163" i="52"/>
  <c r="JM163" i="52"/>
  <c r="JN163" i="52"/>
  <c r="JO163" i="52"/>
  <c r="JP163" i="52"/>
  <c r="JQ163" i="52"/>
  <c r="JR163" i="52"/>
  <c r="JS163" i="52"/>
  <c r="JT163" i="52"/>
  <c r="JU163" i="52"/>
  <c r="JV163" i="52"/>
  <c r="JW163" i="52"/>
  <c r="JX163" i="52"/>
  <c r="JY163" i="52"/>
  <c r="JZ163" i="52"/>
  <c r="KA163" i="52"/>
  <c r="KB163" i="52"/>
  <c r="KC163" i="52"/>
  <c r="KD163" i="52"/>
  <c r="KE163" i="52"/>
  <c r="KF163" i="52"/>
  <c r="KG163" i="52"/>
  <c r="KH163" i="52"/>
  <c r="KI163" i="52"/>
  <c r="KJ163" i="52"/>
  <c r="KK163" i="52"/>
  <c r="KL163" i="52"/>
  <c r="KM163" i="52"/>
  <c r="KN163" i="52"/>
  <c r="KO163" i="52"/>
  <c r="KP163" i="52"/>
  <c r="KQ163" i="52"/>
  <c r="KR163" i="52"/>
  <c r="KS163" i="52"/>
  <c r="KT163" i="52"/>
  <c r="KU163" i="52"/>
  <c r="KV163" i="52"/>
  <c r="KW163" i="52"/>
  <c r="KX163" i="52"/>
  <c r="KY163" i="52"/>
  <c r="KZ163" i="52"/>
  <c r="LA163" i="52"/>
  <c r="LB163" i="52"/>
  <c r="LC163" i="52"/>
  <c r="LD163" i="52"/>
  <c r="LE163" i="52"/>
  <c r="LF163" i="52"/>
  <c r="LG163" i="52"/>
  <c r="LH163" i="52"/>
  <c r="LI163" i="52"/>
  <c r="LJ163" i="52"/>
  <c r="LK163" i="52"/>
  <c r="LL163" i="52"/>
  <c r="LM163" i="52"/>
  <c r="LN163" i="52"/>
  <c r="LO163" i="52"/>
  <c r="LP163" i="52"/>
  <c r="LQ163" i="52"/>
  <c r="LR163" i="52"/>
  <c r="LS163" i="52"/>
  <c r="LT163" i="52"/>
  <c r="LU163" i="52"/>
  <c r="LV163" i="52"/>
  <c r="LW163" i="52"/>
  <c r="LX163" i="52"/>
  <c r="LY163" i="52"/>
  <c r="LZ163" i="52"/>
  <c r="MA163" i="52"/>
  <c r="MB163" i="52"/>
  <c r="MC163" i="52"/>
  <c r="MD163" i="52"/>
  <c r="ME163" i="52"/>
  <c r="MF163" i="52"/>
  <c r="MG163" i="52"/>
  <c r="MH163" i="52"/>
  <c r="MI163" i="52"/>
  <c r="MJ163" i="52"/>
  <c r="MK163" i="52"/>
  <c r="ML163" i="52"/>
  <c r="MM163" i="52"/>
  <c r="MN163" i="52"/>
  <c r="MO163" i="52"/>
  <c r="MP163" i="52"/>
  <c r="MQ163" i="52"/>
  <c r="MR163" i="52"/>
  <c r="MS163" i="52"/>
  <c r="MT163" i="52"/>
  <c r="MU163" i="52"/>
  <c r="MV163" i="52"/>
  <c r="MW163" i="52"/>
  <c r="MX163" i="52"/>
  <c r="MY163" i="52"/>
  <c r="MZ163" i="52"/>
  <c r="NA163" i="52"/>
  <c r="NB163" i="52"/>
  <c r="NC163" i="52"/>
  <c r="ND163" i="52"/>
  <c r="NE163" i="52"/>
  <c r="NF163" i="52"/>
  <c r="NG163" i="52"/>
  <c r="NH163" i="52"/>
  <c r="NI163" i="52"/>
  <c r="NJ163" i="52"/>
  <c r="NK163" i="52"/>
  <c r="NL163" i="52"/>
  <c r="NM163" i="52"/>
  <c r="NN163" i="52"/>
  <c r="NO163" i="52"/>
  <c r="NP163" i="52"/>
  <c r="NQ163" i="52"/>
  <c r="NR163" i="52"/>
  <c r="NS163" i="52"/>
  <c r="NT163" i="52"/>
  <c r="NU163" i="52"/>
  <c r="NV163" i="52"/>
  <c r="NW163" i="52"/>
  <c r="NX163" i="52"/>
  <c r="NY163" i="52"/>
  <c r="NZ163" i="52"/>
  <c r="OA163" i="52"/>
  <c r="OB163" i="52"/>
  <c r="OC163" i="52"/>
  <c r="OD163" i="52"/>
  <c r="OE163" i="52"/>
  <c r="OF163" i="52"/>
  <c r="OG163" i="52"/>
  <c r="OH163" i="52"/>
  <c r="OI163" i="52"/>
  <c r="OJ163" i="52"/>
  <c r="OK163" i="52"/>
  <c r="OL163" i="52"/>
  <c r="OM163" i="52"/>
  <c r="ON163" i="52"/>
  <c r="OO163" i="52"/>
  <c r="OP163" i="52"/>
  <c r="OQ163" i="52"/>
  <c r="OR163" i="52"/>
  <c r="OS163" i="52"/>
  <c r="OT163" i="52"/>
  <c r="OU163" i="52"/>
  <c r="OV163" i="52"/>
  <c r="OW163" i="52"/>
  <c r="OX163" i="52"/>
  <c r="OY163" i="52"/>
  <c r="OZ163" i="52"/>
  <c r="PA163" i="52"/>
  <c r="PB163" i="52"/>
  <c r="PC163" i="52"/>
  <c r="PD163" i="52"/>
  <c r="PE163" i="52"/>
  <c r="PF163" i="52"/>
  <c r="PG163" i="52"/>
  <c r="PH163" i="52"/>
  <c r="PI163" i="52"/>
  <c r="PJ163" i="52"/>
  <c r="PK163" i="52"/>
  <c r="PL163" i="52"/>
  <c r="PM163" i="52"/>
  <c r="PN163" i="52"/>
  <c r="PO163" i="52"/>
  <c r="PP163" i="52"/>
  <c r="PQ163" i="52"/>
  <c r="PR163" i="52"/>
  <c r="PS163" i="52"/>
  <c r="PT163" i="52"/>
  <c r="PU163" i="52"/>
  <c r="PV163" i="52"/>
  <c r="PW163" i="52"/>
  <c r="PX163" i="52"/>
  <c r="PY163" i="52"/>
  <c r="PZ163" i="52"/>
  <c r="QA163" i="52"/>
  <c r="QB163" i="52"/>
  <c r="QC163" i="52"/>
  <c r="QD163" i="52"/>
  <c r="QE163" i="52"/>
  <c r="QF163" i="52"/>
  <c r="QG163" i="52"/>
  <c r="QH163" i="52"/>
  <c r="QI163" i="52"/>
  <c r="QJ163" i="52"/>
  <c r="QK163" i="52"/>
  <c r="QL163" i="52"/>
  <c r="QM163" i="52"/>
  <c r="QN163" i="52"/>
  <c r="QO163" i="52"/>
  <c r="QP163" i="52"/>
  <c r="QQ163" i="52"/>
  <c r="QR163" i="52"/>
  <c r="QS163" i="52"/>
  <c r="QT163" i="52"/>
  <c r="QU163" i="52"/>
  <c r="QV163" i="52"/>
  <c r="QW163" i="52"/>
  <c r="QX163" i="52"/>
  <c r="QY163" i="52"/>
  <c r="QZ163" i="52"/>
  <c r="RA163" i="52"/>
  <c r="RB163" i="52"/>
  <c r="RC163" i="52"/>
  <c r="RD163" i="52"/>
  <c r="RE163" i="52"/>
  <c r="RF163" i="52"/>
  <c r="RG163" i="52"/>
  <c r="RH163" i="52"/>
  <c r="RI163" i="52"/>
  <c r="RJ163" i="52"/>
  <c r="RK163" i="52"/>
  <c r="RL163" i="52"/>
  <c r="RM163" i="52"/>
  <c r="RN163" i="52"/>
  <c r="RO163" i="52"/>
  <c r="RP163" i="52"/>
  <c r="RQ163" i="52"/>
  <c r="RR163" i="52"/>
  <c r="RS163" i="52"/>
  <c r="RT163" i="52"/>
  <c r="RU163" i="52"/>
  <c r="RV163" i="52"/>
  <c r="RW163" i="52"/>
  <c r="RX163" i="52"/>
  <c r="RY163" i="52"/>
  <c r="RZ163" i="52"/>
  <c r="SA163" i="52"/>
  <c r="SB163" i="52"/>
  <c r="SC163" i="52"/>
  <c r="SD163" i="52"/>
  <c r="SE163" i="52"/>
  <c r="SF163" i="52"/>
  <c r="SG163" i="52"/>
  <c r="SH163" i="52"/>
  <c r="SI163" i="52"/>
  <c r="SJ163" i="52"/>
  <c r="SK163" i="52"/>
  <c r="SL163" i="52"/>
  <c r="SM163" i="52"/>
  <c r="SN163" i="52"/>
  <c r="SO163" i="52"/>
  <c r="SP163" i="52"/>
  <c r="SQ163" i="52"/>
  <c r="SR163" i="52"/>
  <c r="SS163" i="52"/>
  <c r="ST163" i="52"/>
  <c r="SU163" i="52"/>
  <c r="SV163" i="52"/>
  <c r="SW163" i="52"/>
  <c r="SX163" i="52"/>
  <c r="SY163" i="52"/>
  <c r="SZ163" i="52"/>
  <c r="TA163" i="52"/>
  <c r="TB163" i="52"/>
  <c r="TC163" i="52"/>
  <c r="TD163" i="52"/>
  <c r="TE163" i="52"/>
  <c r="TF163" i="52"/>
  <c r="TG163" i="52"/>
  <c r="TH163" i="52"/>
  <c r="TI163" i="52"/>
  <c r="TJ163" i="52"/>
  <c r="TK163" i="52"/>
  <c r="TL163" i="52"/>
  <c r="TM163" i="52"/>
  <c r="TN163" i="52"/>
  <c r="TO163" i="52"/>
  <c r="TP163" i="52"/>
  <c r="TQ163" i="52"/>
  <c r="TR163" i="52"/>
  <c r="TS163" i="52"/>
  <c r="TT163" i="52"/>
  <c r="TU163" i="52"/>
  <c r="TV163" i="52"/>
  <c r="TW163" i="52"/>
  <c r="TX163" i="52"/>
  <c r="TY163" i="52"/>
  <c r="TZ163" i="52"/>
  <c r="UA163" i="52"/>
  <c r="UB163" i="52"/>
  <c r="UC163" i="52"/>
  <c r="UD163" i="52"/>
  <c r="UE163" i="52"/>
  <c r="UF163" i="52"/>
  <c r="UG163" i="52"/>
  <c r="UH163" i="52"/>
  <c r="UI163" i="52"/>
  <c r="UJ163" i="52"/>
  <c r="UK163" i="52"/>
  <c r="UL163" i="52"/>
  <c r="UM163" i="52"/>
  <c r="UN163" i="52"/>
  <c r="UO163" i="52"/>
  <c r="UP163" i="52"/>
  <c r="UQ163" i="52"/>
  <c r="UR163" i="52"/>
  <c r="US163" i="52"/>
  <c r="UT163" i="52"/>
  <c r="UU163" i="52"/>
  <c r="UV163" i="52"/>
  <c r="UW163" i="52"/>
  <c r="UX163" i="52"/>
  <c r="UY163" i="52"/>
  <c r="UZ163" i="52"/>
  <c r="VA163" i="52"/>
  <c r="VB163" i="52"/>
  <c r="VC163" i="52"/>
  <c r="VD163" i="52"/>
  <c r="VE163" i="52"/>
  <c r="VF163" i="52"/>
  <c r="VG163" i="52"/>
  <c r="VH163" i="52"/>
  <c r="VI163" i="52"/>
  <c r="VJ163" i="52"/>
  <c r="VK163" i="52"/>
  <c r="VL163" i="52"/>
  <c r="VM163" i="52"/>
  <c r="VN163" i="52"/>
  <c r="VO163" i="52"/>
  <c r="VP163" i="52"/>
  <c r="VQ163" i="52"/>
  <c r="VR163" i="52"/>
  <c r="VS163" i="52"/>
  <c r="VT163" i="52"/>
  <c r="VU163" i="52"/>
  <c r="VV163" i="52"/>
  <c r="VW163" i="52"/>
  <c r="VX163" i="52"/>
  <c r="VY163" i="52"/>
  <c r="VZ163" i="52"/>
  <c r="WA163" i="52"/>
  <c r="WB163" i="52"/>
  <c r="WC163" i="52"/>
  <c r="WD163" i="52"/>
  <c r="WE163" i="52"/>
  <c r="WF163" i="52"/>
  <c r="WG163" i="52"/>
  <c r="WH163" i="52"/>
  <c r="WI163" i="52"/>
  <c r="WJ163" i="52"/>
  <c r="WK163" i="52"/>
  <c r="WL163" i="52"/>
  <c r="WM163" i="52"/>
  <c r="WN163" i="52"/>
  <c r="WO163" i="52"/>
  <c r="WP163" i="52"/>
  <c r="WQ163" i="52"/>
  <c r="WR163" i="52"/>
  <c r="WS163" i="52"/>
  <c r="WT163" i="52"/>
  <c r="WU163" i="52"/>
  <c r="WV163" i="52"/>
  <c r="WW163" i="52"/>
  <c r="WX163" i="52"/>
  <c r="WY163" i="52"/>
  <c r="WZ163" i="52"/>
  <c r="XA163" i="52"/>
  <c r="XB163" i="52"/>
  <c r="XC163" i="52"/>
  <c r="XD163" i="52"/>
  <c r="XE163" i="52"/>
  <c r="XF163" i="52"/>
  <c r="XG163" i="52"/>
  <c r="XH163" i="52"/>
  <c r="XI163" i="52"/>
  <c r="XJ163" i="52"/>
  <c r="XK163" i="52"/>
  <c r="XL163" i="52"/>
  <c r="XM163" i="52"/>
  <c r="XN163" i="52"/>
  <c r="XO163" i="52"/>
  <c r="XP163" i="52"/>
  <c r="XQ163" i="52"/>
  <c r="XR163" i="52"/>
  <c r="XS163" i="52"/>
  <c r="XT163" i="52"/>
  <c r="XU163" i="52"/>
  <c r="XV163" i="52"/>
  <c r="XW163" i="52"/>
  <c r="XX163" i="52"/>
  <c r="XY163" i="52"/>
  <c r="XZ163" i="52"/>
  <c r="YA163" i="52"/>
  <c r="YB163" i="52"/>
  <c r="YC163" i="52"/>
  <c r="YD163" i="52"/>
  <c r="YE163" i="52"/>
  <c r="YF163" i="52"/>
  <c r="YG163" i="52"/>
  <c r="YH163" i="52"/>
  <c r="YI163" i="52"/>
  <c r="YJ163" i="52"/>
  <c r="YK163" i="52"/>
  <c r="YL163" i="52"/>
  <c r="YM163" i="52"/>
  <c r="YN163" i="52"/>
  <c r="YO163" i="52"/>
  <c r="YP163" i="52"/>
  <c r="YQ163" i="52"/>
  <c r="YR163" i="52"/>
  <c r="YS163" i="52"/>
  <c r="YT163" i="52"/>
  <c r="YU163" i="52"/>
  <c r="YV163" i="52"/>
  <c r="YW163" i="52"/>
  <c r="YX163" i="52"/>
  <c r="YY163" i="52"/>
  <c r="YZ163" i="52"/>
  <c r="ZA163" i="52"/>
  <c r="ZA164" i="52" s="1"/>
  <c r="ZB163" i="52"/>
  <c r="ZC163" i="52"/>
  <c r="ZD163" i="52"/>
  <c r="ZE163" i="52"/>
  <c r="ZF163" i="52"/>
  <c r="ZG163" i="52"/>
  <c r="ZH163" i="52"/>
  <c r="ZI163" i="52"/>
  <c r="ZJ163" i="52"/>
  <c r="ZK163" i="52"/>
  <c r="ZL163" i="52"/>
  <c r="ZM163" i="52"/>
  <c r="ZN163" i="52"/>
  <c r="ZO163" i="52"/>
  <c r="ZP163" i="52"/>
  <c r="ZQ163" i="52"/>
  <c r="ZR163" i="52"/>
  <c r="ZS163" i="52"/>
  <c r="ZT163" i="52"/>
  <c r="ZU163" i="52"/>
  <c r="ZV163" i="52"/>
  <c r="ZW163" i="52"/>
  <c r="ZX163" i="52"/>
  <c r="ZY163" i="52"/>
  <c r="ZZ163" i="52"/>
  <c r="AAA163" i="52"/>
  <c r="AAB163" i="52"/>
  <c r="AAC163" i="52"/>
  <c r="AAD163" i="52"/>
  <c r="AAE163" i="52"/>
  <c r="AAF163" i="52"/>
  <c r="AAG163" i="52"/>
  <c r="AAH163" i="52"/>
  <c r="AAI163" i="52"/>
  <c r="AAJ163" i="52"/>
  <c r="AAK163" i="52"/>
  <c r="AAL163" i="52"/>
  <c r="AAM163" i="52"/>
  <c r="AAN163" i="52"/>
  <c r="AAO163" i="52"/>
  <c r="AAP163" i="52"/>
  <c r="AAQ163" i="52"/>
  <c r="AAR163" i="52"/>
  <c r="AAS163" i="52"/>
  <c r="AAT163" i="52"/>
  <c r="AAU163" i="52"/>
  <c r="AAV163" i="52"/>
  <c r="AAW163" i="52"/>
  <c r="AAX163" i="52"/>
  <c r="AAY163" i="52"/>
  <c r="AAZ163" i="52"/>
  <c r="ABA163" i="52"/>
  <c r="ABB163" i="52"/>
  <c r="ABC163" i="52"/>
  <c r="ABD163" i="52"/>
  <c r="ABE163" i="52"/>
  <c r="ABF163" i="52"/>
  <c r="ABG163" i="52"/>
  <c r="ABH163" i="52"/>
  <c r="ABI163" i="52"/>
  <c r="ABJ163" i="52"/>
  <c r="ABK163" i="52"/>
  <c r="ABL163" i="52"/>
  <c r="ABM163" i="52"/>
  <c r="ABN163" i="52"/>
  <c r="ABO163" i="52"/>
  <c r="ABP163" i="52"/>
  <c r="ABQ163" i="52"/>
  <c r="ABR163" i="52"/>
  <c r="ABS163" i="52"/>
  <c r="ABT163" i="52"/>
  <c r="ABU163" i="52"/>
  <c r="ABV163" i="52"/>
  <c r="ABW163" i="52"/>
  <c r="ABX163" i="52"/>
  <c r="ABY163" i="52"/>
  <c r="ABZ163" i="52"/>
  <c r="ACA163" i="52"/>
  <c r="ACB163" i="52"/>
  <c r="ACC163" i="52"/>
  <c r="ACD163" i="52"/>
  <c r="ACE163" i="52"/>
  <c r="ACF163" i="52"/>
  <c r="ACG163" i="52"/>
  <c r="ACH163" i="52"/>
  <c r="ACI163" i="52"/>
  <c r="ACJ163" i="52"/>
  <c r="ACK163" i="52"/>
  <c r="ACL163" i="52"/>
  <c r="ACM163" i="52"/>
  <c r="ACN163" i="52"/>
  <c r="ACO163" i="52"/>
  <c r="ACP163" i="52"/>
  <c r="ACQ163" i="52"/>
  <c r="ACR163" i="52"/>
  <c r="ACS163" i="52"/>
  <c r="ACT163" i="52"/>
  <c r="ACU163" i="52"/>
  <c r="ACV163" i="52"/>
  <c r="ACW163" i="52"/>
  <c r="ACX163" i="52"/>
  <c r="ACY163" i="52"/>
  <c r="ACZ163" i="52"/>
  <c r="ADA163" i="52"/>
  <c r="ADB163" i="52"/>
  <c r="ADC163" i="52"/>
  <c r="ADD163" i="52"/>
  <c r="ADE163" i="52"/>
  <c r="ADF163" i="52"/>
  <c r="ADG163" i="52"/>
  <c r="ADH163" i="52"/>
  <c r="ADI163" i="52"/>
  <c r="ADJ163" i="52"/>
  <c r="ADK163" i="52"/>
  <c r="ADL163" i="52"/>
  <c r="ADM163" i="52"/>
  <c r="ADN163" i="52"/>
  <c r="ADO163" i="52"/>
  <c r="ADP163" i="52"/>
  <c r="ADQ163" i="52"/>
  <c r="ADR163" i="52"/>
  <c r="ADS163" i="52"/>
  <c r="ADT163" i="52"/>
  <c r="ADU163" i="52"/>
  <c r="ADV163" i="52"/>
  <c r="ADW163" i="52"/>
  <c r="ADX163" i="52"/>
  <c r="ADY163" i="52"/>
  <c r="ADZ163" i="52"/>
  <c r="AEB163" i="52"/>
  <c r="AEC163" i="52"/>
  <c r="AED163" i="52"/>
  <c r="AEE163" i="52"/>
  <c r="AEF163" i="52"/>
  <c r="AEG163" i="52"/>
  <c r="AEH163" i="52"/>
  <c r="AEI163" i="52"/>
  <c r="AEJ163" i="52"/>
  <c r="AEK163" i="52"/>
  <c r="AEL163" i="52"/>
  <c r="AEN163" i="52"/>
  <c r="AEO163" i="52"/>
  <c r="AEP163" i="52"/>
  <c r="AEQ163" i="52"/>
  <c r="AER163" i="52"/>
  <c r="AES163" i="52"/>
  <c r="AET163" i="52"/>
  <c r="AEU163" i="52"/>
  <c r="AEV163" i="52"/>
  <c r="AEW163" i="52"/>
  <c r="AEX163" i="52"/>
  <c r="AEZ163" i="52"/>
  <c r="AFA163" i="52"/>
  <c r="AFB163" i="52"/>
  <c r="AFC163" i="52"/>
  <c r="AFD163" i="52"/>
  <c r="AFE163" i="52"/>
  <c r="AFF163" i="52"/>
  <c r="AFG163" i="52"/>
  <c r="AFH163" i="52"/>
  <c r="AFI163" i="52"/>
  <c r="AFJ163" i="52"/>
  <c r="AFL163" i="52"/>
  <c r="AFM163" i="52"/>
  <c r="AFN163" i="52"/>
  <c r="AFO163" i="52"/>
  <c r="AFP163" i="52"/>
  <c r="AFQ163" i="52"/>
  <c r="AFS163" i="52"/>
  <c r="AFT163" i="52"/>
  <c r="AFU163" i="52"/>
  <c r="AFV163" i="52"/>
  <c r="AFX163" i="52"/>
  <c r="AFY163" i="52"/>
  <c r="AFZ163" i="52"/>
  <c r="AGA163" i="52"/>
  <c r="AGB163" i="52"/>
  <c r="AGC163" i="52"/>
  <c r="AGE163" i="52"/>
  <c r="AGF163" i="52"/>
  <c r="AGG163" i="52"/>
  <c r="AGH163" i="52"/>
  <c r="AGJ163" i="52"/>
  <c r="AGK163" i="52"/>
  <c r="AGL163" i="52"/>
  <c r="AGM163" i="52"/>
  <c r="AGN163" i="52"/>
  <c r="AGO163" i="52"/>
  <c r="AGQ163" i="52"/>
  <c r="AGR163" i="52"/>
  <c r="AGS163" i="52"/>
  <c r="AGT163" i="52"/>
  <c r="AGV163" i="52"/>
  <c r="AGW163" i="52"/>
  <c r="AGX163" i="52"/>
  <c r="AGY163" i="52"/>
  <c r="AGZ163" i="52"/>
  <c r="AHA163" i="52"/>
  <c r="AHC163" i="52"/>
  <c r="AHD163" i="52"/>
  <c r="AHE163" i="52"/>
  <c r="AHF163" i="52"/>
  <c r="AHH163" i="52"/>
  <c r="AHI163" i="52"/>
  <c r="AHJ163" i="52"/>
  <c r="AHK163" i="52"/>
  <c r="AHL163" i="52"/>
  <c r="AHM163" i="52"/>
  <c r="AHO163" i="52"/>
  <c r="AHQ163" i="52"/>
  <c r="AHR163" i="52"/>
  <c r="AHT163" i="52"/>
  <c r="E164" i="52"/>
  <c r="F164" i="52"/>
  <c r="G164" i="52"/>
  <c r="H164" i="52"/>
  <c r="I164" i="52"/>
  <c r="J164" i="52"/>
  <c r="K164" i="52"/>
  <c r="L164" i="52"/>
  <c r="M164" i="52"/>
  <c r="N164" i="52"/>
  <c r="O164" i="52"/>
  <c r="P164" i="52"/>
  <c r="Q164" i="52"/>
  <c r="R164" i="52"/>
  <c r="S164" i="52"/>
  <c r="T164" i="52"/>
  <c r="U164" i="52"/>
  <c r="V164" i="52"/>
  <c r="W164" i="52"/>
  <c r="X164" i="52"/>
  <c r="Y164" i="52"/>
  <c r="Z164" i="52"/>
  <c r="AA164" i="52"/>
  <c r="AB164" i="52"/>
  <c r="AC164" i="52"/>
  <c r="AD164" i="52"/>
  <c r="AE164" i="52"/>
  <c r="AF164" i="52"/>
  <c r="AG164" i="52"/>
  <c r="AH164" i="52"/>
  <c r="AI164" i="52"/>
  <c r="AJ164" i="52"/>
  <c r="AK164" i="52"/>
  <c r="AL164" i="52"/>
  <c r="AM164" i="52"/>
  <c r="AN164" i="52"/>
  <c r="AO164" i="52"/>
  <c r="AP164" i="52"/>
  <c r="AQ164" i="52"/>
  <c r="AR164" i="52"/>
  <c r="AS164" i="52"/>
  <c r="AT164" i="52"/>
  <c r="AU164" i="52"/>
  <c r="AV164" i="52"/>
  <c r="AW164" i="52"/>
  <c r="AX164" i="52"/>
  <c r="AY164" i="52"/>
  <c r="AZ164" i="52"/>
  <c r="BA164" i="52"/>
  <c r="BB164" i="52"/>
  <c r="BC164" i="52"/>
  <c r="BD164" i="52"/>
  <c r="BE164" i="52"/>
  <c r="BF164" i="52"/>
  <c r="BG164" i="52"/>
  <c r="BH164" i="52"/>
  <c r="BI164" i="52"/>
  <c r="BJ164" i="52"/>
  <c r="BK164" i="52"/>
  <c r="BL164" i="52"/>
  <c r="BM164" i="52"/>
  <c r="BN164" i="52"/>
  <c r="BO164" i="52"/>
  <c r="BP164" i="52"/>
  <c r="BQ164" i="52"/>
  <c r="BR164" i="52"/>
  <c r="BS164" i="52"/>
  <c r="BT164" i="52"/>
  <c r="BU164" i="52"/>
  <c r="BV164" i="52"/>
  <c r="BW164" i="52"/>
  <c r="BX164" i="52"/>
  <c r="BY164" i="52"/>
  <c r="BZ164" i="52"/>
  <c r="CA164" i="52"/>
  <c r="CB164" i="52"/>
  <c r="CC164" i="52"/>
  <c r="CD164" i="52"/>
  <c r="CE164" i="52"/>
  <c r="CF164" i="52"/>
  <c r="CG164" i="52"/>
  <c r="CH164" i="52"/>
  <c r="CI164" i="52"/>
  <c r="CJ164" i="52"/>
  <c r="CK164" i="52"/>
  <c r="CL164" i="52"/>
  <c r="CM164" i="52"/>
  <c r="CN164" i="52"/>
  <c r="CO164" i="52"/>
  <c r="CP164" i="52"/>
  <c r="CQ164" i="52"/>
  <c r="CR164" i="52"/>
  <c r="CS164" i="52"/>
  <c r="CT164" i="52"/>
  <c r="CU164" i="52"/>
  <c r="CV164" i="52"/>
  <c r="CW164" i="52"/>
  <c r="CX164" i="52"/>
  <c r="CY164" i="52"/>
  <c r="CZ164" i="52"/>
  <c r="DA164" i="52"/>
  <c r="DB164" i="52"/>
  <c r="DC164" i="52"/>
  <c r="DD164" i="52"/>
  <c r="DE164" i="52"/>
  <c r="DF164" i="52"/>
  <c r="DG164" i="52"/>
  <c r="DH164" i="52"/>
  <c r="DI164" i="52"/>
  <c r="DJ164" i="52"/>
  <c r="DK164" i="52"/>
  <c r="DL164" i="52"/>
  <c r="DM164" i="52"/>
  <c r="DN164" i="52"/>
  <c r="DO164" i="52"/>
  <c r="DP164" i="52"/>
  <c r="DQ164" i="52"/>
  <c r="DR164" i="52"/>
  <c r="DS164" i="52"/>
  <c r="DT164" i="52"/>
  <c r="DU164" i="52"/>
  <c r="DV164" i="52"/>
  <c r="DW164" i="52"/>
  <c r="DX164" i="52"/>
  <c r="DY164" i="52"/>
  <c r="DZ164" i="52"/>
  <c r="EA164" i="52"/>
  <c r="EB164" i="52"/>
  <c r="EC164" i="52"/>
  <c r="ED164" i="52"/>
  <c r="EE164" i="52"/>
  <c r="EF164" i="52"/>
  <c r="EG164" i="52"/>
  <c r="EH164" i="52"/>
  <c r="EI164" i="52"/>
  <c r="EJ164" i="52"/>
  <c r="EK164" i="52"/>
  <c r="EL164" i="52"/>
  <c r="EM164" i="52"/>
  <c r="EN164" i="52"/>
  <c r="EO164" i="52"/>
  <c r="EP164" i="52"/>
  <c r="EQ164" i="52"/>
  <c r="ER164" i="52"/>
  <c r="ES164" i="52"/>
  <c r="ET164" i="52"/>
  <c r="EU164" i="52"/>
  <c r="EV164" i="52"/>
  <c r="EW164" i="52"/>
  <c r="EX164" i="52"/>
  <c r="EY164" i="52"/>
  <c r="EZ164" i="52"/>
  <c r="FA164" i="52"/>
  <c r="FB164" i="52"/>
  <c r="FC164" i="52"/>
  <c r="FD164" i="52"/>
  <c r="FE164" i="52"/>
  <c r="FF164" i="52"/>
  <c r="FG164" i="52"/>
  <c r="FH164" i="52"/>
  <c r="FI164" i="52"/>
  <c r="FJ164" i="52"/>
  <c r="FK164" i="52"/>
  <c r="FL164" i="52"/>
  <c r="FM164" i="52"/>
  <c r="FN164" i="52"/>
  <c r="FO164" i="52"/>
  <c r="FP164" i="52"/>
  <c r="FQ164" i="52"/>
  <c r="FR164" i="52"/>
  <c r="FS164" i="52"/>
  <c r="FT164" i="52"/>
  <c r="FU164" i="52"/>
  <c r="FV164" i="52"/>
  <c r="FW164" i="52"/>
  <c r="FX164" i="52"/>
  <c r="FY164" i="52"/>
  <c r="FZ164" i="52"/>
  <c r="GA164" i="52"/>
  <c r="GB164" i="52"/>
  <c r="GC164" i="52"/>
  <c r="GD164" i="52"/>
  <c r="GE164" i="52"/>
  <c r="GF164" i="52"/>
  <c r="GG164" i="52"/>
  <c r="GH164" i="52"/>
  <c r="GI164" i="52"/>
  <c r="GJ164" i="52"/>
  <c r="GK164" i="52"/>
  <c r="GL164" i="52"/>
  <c r="GM164" i="52"/>
  <c r="GN164" i="52"/>
  <c r="GO164" i="52"/>
  <c r="GP164" i="52"/>
  <c r="GQ164" i="52"/>
  <c r="GR164" i="52"/>
  <c r="GS164" i="52"/>
  <c r="GT164" i="52"/>
  <c r="GU164" i="52"/>
  <c r="GV164" i="52"/>
  <c r="GW164" i="52"/>
  <c r="GX164" i="52"/>
  <c r="GY164" i="52"/>
  <c r="GZ164" i="52"/>
  <c r="HA164" i="52"/>
  <c r="HB164" i="52"/>
  <c r="HC164" i="52"/>
  <c r="HD164" i="52"/>
  <c r="HE164" i="52"/>
  <c r="HF164" i="52"/>
  <c r="HG164" i="52"/>
  <c r="HH164" i="52"/>
  <c r="HI164" i="52"/>
  <c r="HJ164" i="52"/>
  <c r="HK164" i="52"/>
  <c r="HL164" i="52"/>
  <c r="HM164" i="52"/>
  <c r="HN164" i="52"/>
  <c r="HO164" i="52"/>
  <c r="HP164" i="52"/>
  <c r="HQ164" i="52"/>
  <c r="HR164" i="52"/>
  <c r="HS164" i="52"/>
  <c r="HT164" i="52"/>
  <c r="HU164" i="52"/>
  <c r="HV164" i="52"/>
  <c r="HW164" i="52"/>
  <c r="HX164" i="52"/>
  <c r="HY164" i="52"/>
  <c r="HZ164" i="52"/>
  <c r="IA164" i="52"/>
  <c r="IB164" i="52"/>
  <c r="IC164" i="52"/>
  <c r="ID164" i="52"/>
  <c r="IE164" i="52"/>
  <c r="IF164" i="52"/>
  <c r="IG164" i="52"/>
  <c r="IH164" i="52"/>
  <c r="II164" i="52"/>
  <c r="IJ164" i="52"/>
  <c r="IK164" i="52"/>
  <c r="IL164" i="52"/>
  <c r="IM164" i="52"/>
  <c r="IN164" i="52"/>
  <c r="IO164" i="52"/>
  <c r="IP164" i="52"/>
  <c r="IQ164" i="52"/>
  <c r="IR164" i="52"/>
  <c r="IS164" i="52"/>
  <c r="IT164" i="52"/>
  <c r="IU164" i="52"/>
  <c r="IV164" i="52"/>
  <c r="IW164" i="52"/>
  <c r="IX164" i="52"/>
  <c r="IY164" i="52"/>
  <c r="IZ164" i="52"/>
  <c r="JA164" i="52"/>
  <c r="JB164" i="52"/>
  <c r="JC164" i="52"/>
  <c r="JD164" i="52"/>
  <c r="JE164" i="52"/>
  <c r="JF164" i="52"/>
  <c r="JG164" i="52"/>
  <c r="JH164" i="52"/>
  <c r="JI164" i="52"/>
  <c r="JJ164" i="52"/>
  <c r="JK164" i="52"/>
  <c r="JL164" i="52"/>
  <c r="JM164" i="52"/>
  <c r="JN164" i="52"/>
  <c r="JO164" i="52"/>
  <c r="JP164" i="52"/>
  <c r="JQ164" i="52"/>
  <c r="JR164" i="52"/>
  <c r="JS164" i="52"/>
  <c r="JT164" i="52"/>
  <c r="JU164" i="52"/>
  <c r="JV164" i="52"/>
  <c r="JW164" i="52"/>
  <c r="JX164" i="52"/>
  <c r="JY164" i="52"/>
  <c r="JZ164" i="52"/>
  <c r="KA164" i="52"/>
  <c r="KB164" i="52"/>
  <c r="KC164" i="52"/>
  <c r="KD164" i="52"/>
  <c r="KE164" i="52"/>
  <c r="KF164" i="52"/>
  <c r="KG164" i="52"/>
  <c r="KH164" i="52"/>
  <c r="KI164" i="52"/>
  <c r="KJ164" i="52"/>
  <c r="KK164" i="52"/>
  <c r="KL164" i="52"/>
  <c r="KM164" i="52"/>
  <c r="KN164" i="52"/>
  <c r="KO164" i="52"/>
  <c r="KP164" i="52"/>
  <c r="KQ164" i="52"/>
  <c r="KR164" i="52"/>
  <c r="KS164" i="52"/>
  <c r="KT164" i="52"/>
  <c r="KU164" i="52"/>
  <c r="KV164" i="52"/>
  <c r="KW164" i="52"/>
  <c r="KX164" i="52"/>
  <c r="KY164" i="52"/>
  <c r="KZ164" i="52"/>
  <c r="LA164" i="52"/>
  <c r="LB164" i="52"/>
  <c r="LC164" i="52"/>
  <c r="LD164" i="52"/>
  <c r="LE164" i="52"/>
  <c r="LF164" i="52"/>
  <c r="LG164" i="52"/>
  <c r="LH164" i="52"/>
  <c r="LI164" i="52"/>
  <c r="LJ164" i="52"/>
  <c r="LK164" i="52"/>
  <c r="LL164" i="52"/>
  <c r="LM164" i="52"/>
  <c r="LN164" i="52"/>
  <c r="LO164" i="52"/>
  <c r="LP164" i="52"/>
  <c r="LQ164" i="52"/>
  <c r="LR164" i="52"/>
  <c r="LS164" i="52"/>
  <c r="LT164" i="52"/>
  <c r="LU164" i="52"/>
  <c r="LV164" i="52"/>
  <c r="LW164" i="52"/>
  <c r="LX164" i="52"/>
  <c r="LY164" i="52"/>
  <c r="LZ164" i="52"/>
  <c r="MA164" i="52"/>
  <c r="MB164" i="52"/>
  <c r="MC164" i="52"/>
  <c r="MD164" i="52"/>
  <c r="ME164" i="52"/>
  <c r="MF164" i="52"/>
  <c r="MG164" i="52"/>
  <c r="MH164" i="52"/>
  <c r="MI164" i="52"/>
  <c r="MJ164" i="52"/>
  <c r="MK164" i="52"/>
  <c r="ML164" i="52"/>
  <c r="MM164" i="52"/>
  <c r="MN164" i="52"/>
  <c r="MO164" i="52"/>
  <c r="MP164" i="52"/>
  <c r="MQ164" i="52"/>
  <c r="MR164" i="52"/>
  <c r="MS164" i="52"/>
  <c r="MT164" i="52"/>
  <c r="MU164" i="52"/>
  <c r="MV164" i="52"/>
  <c r="MW164" i="52"/>
  <c r="MX164" i="52"/>
  <c r="MY164" i="52"/>
  <c r="MZ164" i="52"/>
  <c r="NA164" i="52"/>
  <c r="NB164" i="52"/>
  <c r="NC164" i="52"/>
  <c r="ND164" i="52"/>
  <c r="NE164" i="52"/>
  <c r="NF164" i="52"/>
  <c r="NG164" i="52"/>
  <c r="NH164" i="52"/>
  <c r="NI164" i="52"/>
  <c r="NJ164" i="52"/>
  <c r="NK164" i="52"/>
  <c r="NL164" i="52"/>
  <c r="NM164" i="52"/>
  <c r="NN164" i="52"/>
  <c r="NO164" i="52"/>
  <c r="NP164" i="52"/>
  <c r="NQ164" i="52"/>
  <c r="NR164" i="52"/>
  <c r="NS164" i="52"/>
  <c r="NT164" i="52"/>
  <c r="NU164" i="52"/>
  <c r="NV164" i="52"/>
  <c r="NW164" i="52"/>
  <c r="NX164" i="52"/>
  <c r="NY164" i="52"/>
  <c r="NZ164" i="52"/>
  <c r="OA164" i="52"/>
  <c r="OB164" i="52"/>
  <c r="OC164" i="52"/>
  <c r="OD164" i="52"/>
  <c r="OE164" i="52"/>
  <c r="OF164" i="52"/>
  <c r="OG164" i="52"/>
  <c r="OH164" i="52"/>
  <c r="OI164" i="52"/>
  <c r="OJ164" i="52"/>
  <c r="OK164" i="52"/>
  <c r="OL164" i="52"/>
  <c r="OM164" i="52"/>
  <c r="ON164" i="52"/>
  <c r="OO164" i="52"/>
  <c r="OP164" i="52"/>
  <c r="OQ164" i="52"/>
  <c r="OR164" i="52"/>
  <c r="OS164" i="52"/>
  <c r="OT164" i="52"/>
  <c r="OU164" i="52"/>
  <c r="OV164" i="52"/>
  <c r="OW164" i="52"/>
  <c r="OX164" i="52"/>
  <c r="OY164" i="52"/>
  <c r="OZ164" i="52"/>
  <c r="PA164" i="52"/>
  <c r="PB164" i="52"/>
  <c r="PC164" i="52"/>
  <c r="PD164" i="52"/>
  <c r="PE164" i="52"/>
  <c r="PF164" i="52"/>
  <c r="PG164" i="52"/>
  <c r="PH164" i="52"/>
  <c r="PI164" i="52"/>
  <c r="PJ164" i="52"/>
  <c r="PK164" i="52"/>
  <c r="PL164" i="52"/>
  <c r="PM164" i="52"/>
  <c r="PN164" i="52"/>
  <c r="PO164" i="52"/>
  <c r="PP164" i="52"/>
  <c r="PQ164" i="52"/>
  <c r="PR164" i="52"/>
  <c r="PS164" i="52"/>
  <c r="PT164" i="52"/>
  <c r="PU164" i="52"/>
  <c r="PV164" i="52"/>
  <c r="PW164" i="52"/>
  <c r="PX164" i="52"/>
  <c r="PY164" i="52"/>
  <c r="PZ164" i="52"/>
  <c r="QA164" i="52"/>
  <c r="QB164" i="52"/>
  <c r="QC164" i="52"/>
  <c r="QD164" i="52"/>
  <c r="QE164" i="52"/>
  <c r="QF164" i="52"/>
  <c r="QG164" i="52"/>
  <c r="QH164" i="52"/>
  <c r="QI164" i="52"/>
  <c r="QJ164" i="52"/>
  <c r="QK164" i="52"/>
  <c r="QL164" i="52"/>
  <c r="QM164" i="52"/>
  <c r="QN164" i="52"/>
  <c r="QO164" i="52"/>
  <c r="QP164" i="52"/>
  <c r="QQ164" i="52"/>
  <c r="QR164" i="52"/>
  <c r="QS164" i="52"/>
  <c r="QT164" i="52"/>
  <c r="QU164" i="52"/>
  <c r="QV164" i="52"/>
  <c r="QW164" i="52"/>
  <c r="QX164" i="52"/>
  <c r="QY164" i="52"/>
  <c r="QZ164" i="52"/>
  <c r="RA164" i="52"/>
  <c r="RB164" i="52"/>
  <c r="RC164" i="52"/>
  <c r="RD164" i="52"/>
  <c r="RE164" i="52"/>
  <c r="RF164" i="52"/>
  <c r="RG164" i="52"/>
  <c r="RH164" i="52"/>
  <c r="RI164" i="52"/>
  <c r="RJ164" i="52"/>
  <c r="RK164" i="52"/>
  <c r="RL164" i="52"/>
  <c r="RM164" i="52"/>
  <c r="RN164" i="52"/>
  <c r="RO164" i="52"/>
  <c r="RP164" i="52"/>
  <c r="RQ164" i="52"/>
  <c r="RR164" i="52"/>
  <c r="RS164" i="52"/>
  <c r="RT164" i="52"/>
  <c r="RU164" i="52"/>
  <c r="RV164" i="52"/>
  <c r="RW164" i="52"/>
  <c r="RX164" i="52"/>
  <c r="RY164" i="52"/>
  <c r="RZ164" i="52"/>
  <c r="SA164" i="52"/>
  <c r="SB164" i="52"/>
  <c r="SC164" i="52"/>
  <c r="SD164" i="52"/>
  <c r="SE164" i="52"/>
  <c r="SF164" i="52"/>
  <c r="SG164" i="52"/>
  <c r="SH164" i="52"/>
  <c r="SI164" i="52"/>
  <c r="SJ164" i="52"/>
  <c r="SK164" i="52"/>
  <c r="SL164" i="52"/>
  <c r="SM164" i="52"/>
  <c r="SN164" i="52"/>
  <c r="SO164" i="52"/>
  <c r="SP164" i="52"/>
  <c r="SQ164" i="52"/>
  <c r="SR164" i="52"/>
  <c r="SS164" i="52"/>
  <c r="ST164" i="52"/>
  <c r="SU164" i="52"/>
  <c r="SV164" i="52"/>
  <c r="SW164" i="52"/>
  <c r="SX164" i="52"/>
  <c r="SY164" i="52"/>
  <c r="SZ164" i="52"/>
  <c r="TA164" i="52"/>
  <c r="TB164" i="52"/>
  <c r="TC164" i="52"/>
  <c r="TD164" i="52"/>
  <c r="TE164" i="52"/>
  <c r="TF164" i="52"/>
  <c r="TG164" i="52"/>
  <c r="TH164" i="52"/>
  <c r="TI164" i="52"/>
  <c r="TJ164" i="52"/>
  <c r="TK164" i="52"/>
  <c r="TL164" i="52"/>
  <c r="TM164" i="52"/>
  <c r="TN164" i="52"/>
  <c r="TO164" i="52"/>
  <c r="TP164" i="52"/>
  <c r="TQ164" i="52"/>
  <c r="TR164" i="52"/>
  <c r="TS164" i="52"/>
  <c r="TT164" i="52"/>
  <c r="TU164" i="52"/>
  <c r="TV164" i="52"/>
  <c r="TW164" i="52"/>
  <c r="TX164" i="52"/>
  <c r="TY164" i="52"/>
  <c r="TZ164" i="52"/>
  <c r="UA164" i="52"/>
  <c r="UB164" i="52"/>
  <c r="UC164" i="52"/>
  <c r="UD164" i="52"/>
  <c r="UE164" i="52"/>
  <c r="UF164" i="52"/>
  <c r="UG164" i="52"/>
  <c r="UH164" i="52"/>
  <c r="UI164" i="52"/>
  <c r="UJ164" i="52"/>
  <c r="UK164" i="52"/>
  <c r="UL164" i="52"/>
  <c r="UM164" i="52"/>
  <c r="UN164" i="52"/>
  <c r="UO164" i="52"/>
  <c r="UP164" i="52"/>
  <c r="UQ164" i="52"/>
  <c r="UR164" i="52"/>
  <c r="US164" i="52"/>
  <c r="UT164" i="52"/>
  <c r="UU164" i="52"/>
  <c r="UV164" i="52"/>
  <c r="UW164" i="52"/>
  <c r="UX164" i="52"/>
  <c r="UY164" i="52"/>
  <c r="UZ164" i="52"/>
  <c r="VA164" i="52"/>
  <c r="VB164" i="52"/>
  <c r="VC164" i="52"/>
  <c r="VD164" i="52"/>
  <c r="VE164" i="52"/>
  <c r="VF164" i="52"/>
  <c r="VG164" i="52"/>
  <c r="VH164" i="52"/>
  <c r="VI164" i="52"/>
  <c r="VJ164" i="52"/>
  <c r="VK164" i="52"/>
  <c r="VL164" i="52"/>
  <c r="VM164" i="52"/>
  <c r="VN164" i="52"/>
  <c r="VO164" i="52"/>
  <c r="VP164" i="52"/>
  <c r="VQ164" i="52"/>
  <c r="VR164" i="52"/>
  <c r="VS164" i="52"/>
  <c r="VT164" i="52"/>
  <c r="VU164" i="52"/>
  <c r="VV164" i="52"/>
  <c r="VW164" i="52"/>
  <c r="VX164" i="52"/>
  <c r="VY164" i="52"/>
  <c r="VZ164" i="52"/>
  <c r="WA164" i="52"/>
  <c r="WB164" i="52"/>
  <c r="WC164" i="52"/>
  <c r="WD164" i="52"/>
  <c r="WE164" i="52"/>
  <c r="WF164" i="52"/>
  <c r="WG164" i="52"/>
  <c r="WH164" i="52"/>
  <c r="WI164" i="52"/>
  <c r="WJ164" i="52"/>
  <c r="WK164" i="52"/>
  <c r="WL164" i="52"/>
  <c r="WM164" i="52"/>
  <c r="WN164" i="52"/>
  <c r="WO164" i="52"/>
  <c r="WP164" i="52"/>
  <c r="WQ164" i="52"/>
  <c r="WR164" i="52"/>
  <c r="WS164" i="52"/>
  <c r="WT164" i="52"/>
  <c r="WU164" i="52"/>
  <c r="WV164" i="52"/>
  <c r="WW164" i="52"/>
  <c r="WX164" i="52"/>
  <c r="WY164" i="52"/>
  <c r="WZ164" i="52"/>
  <c r="XA164" i="52"/>
  <c r="XB164" i="52"/>
  <c r="XC164" i="52"/>
  <c r="XD164" i="52"/>
  <c r="XE164" i="52"/>
  <c r="XF164" i="52"/>
  <c r="XG164" i="52"/>
  <c r="XH164" i="52"/>
  <c r="XI164" i="52"/>
  <c r="XJ164" i="52"/>
  <c r="XK164" i="52"/>
  <c r="XL164" i="52"/>
  <c r="XM164" i="52"/>
  <c r="XN164" i="52"/>
  <c r="XO164" i="52"/>
  <c r="XP164" i="52"/>
  <c r="XQ164" i="52"/>
  <c r="XR164" i="52"/>
  <c r="XS164" i="52"/>
  <c r="XT164" i="52"/>
  <c r="XU164" i="52"/>
  <c r="XV164" i="52"/>
  <c r="XW164" i="52"/>
  <c r="XX164" i="52"/>
  <c r="XY164" i="52"/>
  <c r="XZ164" i="52"/>
  <c r="YA164" i="52"/>
  <c r="YB164" i="52"/>
  <c r="YC164" i="52"/>
  <c r="YD164" i="52"/>
  <c r="YE164" i="52"/>
  <c r="YF164" i="52"/>
  <c r="YG164" i="52"/>
  <c r="YH164" i="52"/>
  <c r="YI164" i="52"/>
  <c r="YJ164" i="52"/>
  <c r="YK164" i="52"/>
  <c r="YL164" i="52"/>
  <c r="YM164" i="52"/>
  <c r="YN164" i="52"/>
  <c r="YO164" i="52"/>
  <c r="YP164" i="52"/>
  <c r="YQ164" i="52"/>
  <c r="YR164" i="52"/>
  <c r="YS164" i="52"/>
  <c r="YT164" i="52"/>
  <c r="YU164" i="52"/>
  <c r="YV164" i="52"/>
  <c r="YW164" i="52"/>
  <c r="YX164" i="52"/>
  <c r="YY164" i="52"/>
  <c r="YZ164" i="52"/>
  <c r="ZB164" i="52"/>
  <c r="ZC164" i="52"/>
  <c r="ZD164" i="52"/>
  <c r="ZE164" i="52"/>
  <c r="ZF164" i="52"/>
  <c r="ZG164" i="52"/>
  <c r="ZH164" i="52"/>
  <c r="ZI164" i="52"/>
  <c r="ZJ164" i="52"/>
  <c r="ZK164" i="52"/>
  <c r="ZL164" i="52"/>
  <c r="ZM164" i="52"/>
  <c r="ZN164" i="52"/>
  <c r="ZO164" i="52"/>
  <c r="ZP164" i="52"/>
  <c r="ZQ164" i="52"/>
  <c r="ZR164" i="52"/>
  <c r="ZS164" i="52"/>
  <c r="ZT164" i="52"/>
  <c r="ZU164" i="52"/>
  <c r="ZV164" i="52"/>
  <c r="ZW164" i="52"/>
  <c r="ZX164" i="52"/>
  <c r="ZY164" i="52"/>
  <c r="ZZ164" i="52"/>
  <c r="AAA164" i="52"/>
  <c r="AAB164" i="52"/>
  <c r="AAC164" i="52"/>
  <c r="AAD164" i="52"/>
  <c r="AAE164" i="52"/>
  <c r="AAF164" i="52"/>
  <c r="AAG164" i="52"/>
  <c r="AAH164" i="52"/>
  <c r="AAI164" i="52"/>
  <c r="AAJ164" i="52"/>
  <c r="AAK164" i="52"/>
  <c r="AAL164" i="52"/>
  <c r="AAM164" i="52"/>
  <c r="AAN164" i="52"/>
  <c r="AAO164" i="52"/>
  <c r="AAP164" i="52"/>
  <c r="AAQ164" i="52"/>
  <c r="AAR164" i="52"/>
  <c r="AAS164" i="52"/>
  <c r="AAT164" i="52"/>
  <c r="AAU164" i="52"/>
  <c r="AAV164" i="52"/>
  <c r="AAW164" i="52"/>
  <c r="AAX164" i="52"/>
  <c r="AAY164" i="52"/>
  <c r="AAZ164" i="52"/>
  <c r="ABA164" i="52"/>
  <c r="ABB164" i="52"/>
  <c r="ABC164" i="52"/>
  <c r="ABD164" i="52"/>
  <c r="ABE164" i="52"/>
  <c r="ABF164" i="52"/>
  <c r="ABG164" i="52"/>
  <c r="ABH164" i="52"/>
  <c r="ABI164" i="52"/>
  <c r="ABJ164" i="52"/>
  <c r="ABK164" i="52"/>
  <c r="ABL164" i="52"/>
  <c r="ABM164" i="52"/>
  <c r="ABN164" i="52"/>
  <c r="ABO164" i="52"/>
  <c r="ABP164" i="52"/>
  <c r="ABQ164" i="52"/>
  <c r="ABR164" i="52"/>
  <c r="ABS164" i="52"/>
  <c r="ABT164" i="52"/>
  <c r="ABU164" i="52"/>
  <c r="ABV164" i="52"/>
  <c r="ABW164" i="52"/>
  <c r="ABX164" i="52"/>
  <c r="ABY164" i="52"/>
  <c r="ABZ164" i="52"/>
  <c r="ACA164" i="52"/>
  <c r="ACB164" i="52"/>
  <c r="ACC164" i="52"/>
  <c r="ACD164" i="52"/>
  <c r="ACE164" i="52"/>
  <c r="ACF164" i="52"/>
  <c r="ACG164" i="52"/>
  <c r="ACH164" i="52"/>
  <c r="ACI164" i="52"/>
  <c r="ACJ164" i="52"/>
  <c r="ACK164" i="52"/>
  <c r="ACL164" i="52"/>
  <c r="ACM164" i="52"/>
  <c r="ACN164" i="52"/>
  <c r="ACO164" i="52"/>
  <c r="ACP164" i="52"/>
  <c r="ACQ164" i="52"/>
  <c r="ACR164" i="52"/>
  <c r="ACS164" i="52"/>
  <c r="ACT164" i="52"/>
  <c r="ACU164" i="52"/>
  <c r="ACV164" i="52"/>
  <c r="ACW164" i="52"/>
  <c r="ACX164" i="52"/>
  <c r="ACY164" i="52"/>
  <c r="ACZ164" i="52"/>
  <c r="ADA164" i="52"/>
  <c r="ADB164" i="52"/>
  <c r="ADC164" i="52"/>
  <c r="ADD164" i="52"/>
  <c r="ADE164" i="52"/>
  <c r="ADF164" i="52"/>
  <c r="ADG164" i="52"/>
  <c r="ADH164" i="52"/>
  <c r="ADI164" i="52"/>
  <c r="ADJ164" i="52"/>
  <c r="ADK164" i="52"/>
  <c r="ADL164" i="52"/>
  <c r="ADM164" i="52"/>
  <c r="ADN164" i="52"/>
  <c r="ADO164" i="52"/>
  <c r="ADP164" i="52"/>
  <c r="ADQ164" i="52"/>
  <c r="ADR164" i="52"/>
  <c r="ADS164" i="52"/>
  <c r="ADT164" i="52"/>
  <c r="ADU164" i="52"/>
  <c r="ADV164" i="52"/>
  <c r="ADW164" i="52"/>
  <c r="ADX164" i="52"/>
  <c r="ADY164" i="52"/>
  <c r="ADZ164" i="52"/>
  <c r="AEB164" i="52"/>
  <c r="AEC164" i="52"/>
  <c r="AED164" i="52"/>
  <c r="AEE164" i="52"/>
  <c r="AEF164" i="52"/>
  <c r="AEG164" i="52"/>
  <c r="AEH164" i="52"/>
  <c r="AEI164" i="52"/>
  <c r="AEJ164" i="52"/>
  <c r="AEK164" i="52"/>
  <c r="AEL164" i="52"/>
  <c r="AEN164" i="52"/>
  <c r="AEO164" i="52"/>
  <c r="AEP164" i="52"/>
  <c r="AEQ164" i="52"/>
  <c r="AER164" i="52"/>
  <c r="AES164" i="52"/>
  <c r="AET164" i="52"/>
  <c r="AEU164" i="52"/>
  <c r="AEV164" i="52"/>
  <c r="AEW164" i="52"/>
  <c r="AEX164" i="52"/>
  <c r="AEZ164" i="52"/>
  <c r="AFA164" i="52"/>
  <c r="AFB164" i="52"/>
  <c r="AFC164" i="52"/>
  <c r="AFD164" i="52"/>
  <c r="AFE164" i="52"/>
  <c r="AFF164" i="52"/>
  <c r="AFG164" i="52"/>
  <c r="AFH164" i="52"/>
  <c r="AFI164" i="52"/>
  <c r="AFJ164" i="52"/>
  <c r="AFL164" i="52"/>
  <c r="AFM164" i="52"/>
  <c r="AFN164" i="52"/>
  <c r="AFO164" i="52"/>
  <c r="AFP164" i="52"/>
  <c r="AFQ164" i="52"/>
  <c r="AFS164" i="52"/>
  <c r="AFT164" i="52"/>
  <c r="AFU164" i="52"/>
  <c r="AFV164" i="52"/>
  <c r="AFX164" i="52"/>
  <c r="AFY164" i="52"/>
  <c r="AFZ164" i="52"/>
  <c r="AGA164" i="52"/>
  <c r="AGB164" i="52"/>
  <c r="AGC164" i="52"/>
  <c r="AGE164" i="52"/>
  <c r="AGF164" i="52"/>
  <c r="AGG164" i="52"/>
  <c r="AGH164" i="52"/>
  <c r="AGJ164" i="52"/>
  <c r="AGK164" i="52"/>
  <c r="AGL164" i="52"/>
  <c r="AGM164" i="52"/>
  <c r="AGN164" i="52"/>
  <c r="AGO164" i="52"/>
  <c r="AGQ164" i="52"/>
  <c r="AGR164" i="52"/>
  <c r="AGS164" i="52"/>
  <c r="AGT164" i="52"/>
  <c r="AGV164" i="52"/>
  <c r="AGW164" i="52"/>
  <c r="AGX164" i="52"/>
  <c r="AGY164" i="52"/>
  <c r="AGZ164" i="52"/>
  <c r="AHA164" i="52"/>
  <c r="AHC164" i="52"/>
  <c r="AHD164" i="52"/>
  <c r="AHE164" i="52"/>
  <c r="AHF164" i="52"/>
  <c r="AHH164" i="52"/>
  <c r="AHI164" i="52"/>
  <c r="AHJ164" i="52"/>
  <c r="AHK164" i="52"/>
  <c r="AHL164" i="52"/>
  <c r="AHM164" i="52"/>
  <c r="AHO164" i="52"/>
  <c r="AHQ164" i="52"/>
  <c r="AHR164" i="52"/>
  <c r="AHT164" i="52"/>
  <c r="EE155" i="52"/>
  <c r="E156" i="52"/>
  <c r="E155" i="52" s="1"/>
  <c r="F156" i="52"/>
  <c r="F155" i="52" s="1"/>
  <c r="G156" i="52"/>
  <c r="G155" i="52" s="1"/>
  <c r="H156" i="52"/>
  <c r="H155" i="52" s="1"/>
  <c r="I156" i="52"/>
  <c r="I155" i="52" s="1"/>
  <c r="J156" i="52"/>
  <c r="J155" i="52" s="1"/>
  <c r="K156" i="52"/>
  <c r="K155" i="52" s="1"/>
  <c r="L156" i="52"/>
  <c r="L155" i="52" s="1"/>
  <c r="M156" i="52"/>
  <c r="M155" i="52" s="1"/>
  <c r="N156" i="52"/>
  <c r="N155" i="52" s="1"/>
  <c r="O156" i="52"/>
  <c r="O155" i="52" s="1"/>
  <c r="P156" i="52"/>
  <c r="P155" i="52" s="1"/>
  <c r="Q156" i="52"/>
  <c r="Q155" i="52" s="1"/>
  <c r="R156" i="52"/>
  <c r="R155" i="52" s="1"/>
  <c r="S156" i="52"/>
  <c r="S155" i="52" s="1"/>
  <c r="T156" i="52"/>
  <c r="T155" i="52" s="1"/>
  <c r="U156" i="52"/>
  <c r="U155" i="52" s="1"/>
  <c r="V156" i="52"/>
  <c r="V155" i="52" s="1"/>
  <c r="W156" i="52"/>
  <c r="W155" i="52" s="1"/>
  <c r="X156" i="52"/>
  <c r="X155" i="52" s="1"/>
  <c r="Y156" i="52"/>
  <c r="Y155" i="52" s="1"/>
  <c r="Z156" i="52"/>
  <c r="Z155" i="52" s="1"/>
  <c r="AA156" i="52"/>
  <c r="AA155" i="52" s="1"/>
  <c r="AB156" i="52"/>
  <c r="AB155" i="52" s="1"/>
  <c r="AC156" i="52"/>
  <c r="AC155" i="52" s="1"/>
  <c r="AD156" i="52"/>
  <c r="AD155" i="52" s="1"/>
  <c r="AE156" i="52"/>
  <c r="AE155" i="52" s="1"/>
  <c r="AF156" i="52"/>
  <c r="AF155" i="52" s="1"/>
  <c r="AG156" i="52"/>
  <c r="AG155" i="52" s="1"/>
  <c r="AH156" i="52"/>
  <c r="AH155" i="52" s="1"/>
  <c r="AI156" i="52"/>
  <c r="AI155" i="52" s="1"/>
  <c r="AJ156" i="52"/>
  <c r="AJ155" i="52" s="1"/>
  <c r="AK156" i="52"/>
  <c r="AK155" i="52" s="1"/>
  <c r="AL156" i="52"/>
  <c r="AL155" i="52" s="1"/>
  <c r="AM156" i="52"/>
  <c r="AM155" i="52" s="1"/>
  <c r="AN156" i="52"/>
  <c r="AN155" i="52" s="1"/>
  <c r="AO156" i="52"/>
  <c r="AO155" i="52" s="1"/>
  <c r="AP156" i="52"/>
  <c r="AP155" i="52" s="1"/>
  <c r="AQ156" i="52"/>
  <c r="AQ155" i="52" s="1"/>
  <c r="AR156" i="52"/>
  <c r="AR155" i="52" s="1"/>
  <c r="AS156" i="52"/>
  <c r="AS155" i="52" s="1"/>
  <c r="AT156" i="52"/>
  <c r="AT155" i="52" s="1"/>
  <c r="AU156" i="52"/>
  <c r="AU155" i="52" s="1"/>
  <c r="AV156" i="52"/>
  <c r="AV155" i="52" s="1"/>
  <c r="AW156" i="52"/>
  <c r="AW155" i="52" s="1"/>
  <c r="AX156" i="52"/>
  <c r="AX155" i="52" s="1"/>
  <c r="AY156" i="52"/>
  <c r="AY155" i="52" s="1"/>
  <c r="AZ156" i="52"/>
  <c r="AZ155" i="52" s="1"/>
  <c r="BA156" i="52"/>
  <c r="BA155" i="52" s="1"/>
  <c r="BB156" i="52"/>
  <c r="BB155" i="52" s="1"/>
  <c r="BC156" i="52"/>
  <c r="BC155" i="52" s="1"/>
  <c r="BD156" i="52"/>
  <c r="BD155" i="52" s="1"/>
  <c r="BE156" i="52"/>
  <c r="BE155" i="52" s="1"/>
  <c r="BF156" i="52"/>
  <c r="BF155" i="52" s="1"/>
  <c r="BG156" i="52"/>
  <c r="BG155" i="52" s="1"/>
  <c r="BH156" i="52"/>
  <c r="BH155" i="52" s="1"/>
  <c r="BI156" i="52"/>
  <c r="BI155" i="52" s="1"/>
  <c r="BJ156" i="52"/>
  <c r="BJ155" i="52" s="1"/>
  <c r="BK156" i="52"/>
  <c r="BK155" i="52" s="1"/>
  <c r="BL156" i="52"/>
  <c r="BL155" i="52" s="1"/>
  <c r="BM156" i="52"/>
  <c r="BM155" i="52" s="1"/>
  <c r="BN156" i="52"/>
  <c r="BN155" i="52" s="1"/>
  <c r="BO156" i="52"/>
  <c r="BO155" i="52" s="1"/>
  <c r="BP156" i="52"/>
  <c r="BP155" i="52" s="1"/>
  <c r="BQ156" i="52"/>
  <c r="BQ155" i="52" s="1"/>
  <c r="BR156" i="52"/>
  <c r="BR155" i="52" s="1"/>
  <c r="BS156" i="52"/>
  <c r="BS155" i="52" s="1"/>
  <c r="BT156" i="52"/>
  <c r="BT155" i="52" s="1"/>
  <c r="BU156" i="52"/>
  <c r="BU155" i="52" s="1"/>
  <c r="BV156" i="52"/>
  <c r="BV155" i="52" s="1"/>
  <c r="BW156" i="52"/>
  <c r="BW155" i="52" s="1"/>
  <c r="BX156" i="52"/>
  <c r="BX155" i="52" s="1"/>
  <c r="BY156" i="52"/>
  <c r="BY155" i="52" s="1"/>
  <c r="BZ156" i="52"/>
  <c r="BZ155" i="52" s="1"/>
  <c r="CA156" i="52"/>
  <c r="CA155" i="52" s="1"/>
  <c r="CB156" i="52"/>
  <c r="CB155" i="52" s="1"/>
  <c r="CC156" i="52"/>
  <c r="CC155" i="52" s="1"/>
  <c r="CD156" i="52"/>
  <c r="CD155" i="52" s="1"/>
  <c r="CE156" i="52"/>
  <c r="CE155" i="52" s="1"/>
  <c r="CF156" i="52"/>
  <c r="CF155" i="52" s="1"/>
  <c r="CG156" i="52"/>
  <c r="CG155" i="52" s="1"/>
  <c r="CH156" i="52"/>
  <c r="CH155" i="52" s="1"/>
  <c r="CI156" i="52"/>
  <c r="CI155" i="52" s="1"/>
  <c r="CJ156" i="52"/>
  <c r="CJ155" i="52" s="1"/>
  <c r="CK156" i="52"/>
  <c r="CK155" i="52" s="1"/>
  <c r="CL156" i="52"/>
  <c r="CL155" i="52" s="1"/>
  <c r="CM156" i="52"/>
  <c r="CM155" i="52" s="1"/>
  <c r="CN156" i="52"/>
  <c r="CN155" i="52" s="1"/>
  <c r="CO156" i="52"/>
  <c r="CO155" i="52" s="1"/>
  <c r="CP156" i="52"/>
  <c r="CP155" i="52" s="1"/>
  <c r="CQ156" i="52"/>
  <c r="CQ155" i="52" s="1"/>
  <c r="CR156" i="52"/>
  <c r="CR155" i="52" s="1"/>
  <c r="CS156" i="52"/>
  <c r="CS155" i="52" s="1"/>
  <c r="CT156" i="52"/>
  <c r="CT155" i="52" s="1"/>
  <c r="CU156" i="52"/>
  <c r="CU155" i="52" s="1"/>
  <c r="CV156" i="52"/>
  <c r="CV155" i="52" s="1"/>
  <c r="CW156" i="52"/>
  <c r="CW155" i="52" s="1"/>
  <c r="CX156" i="52"/>
  <c r="CX155" i="52" s="1"/>
  <c r="CY156" i="52"/>
  <c r="CY155" i="52" s="1"/>
  <c r="CZ156" i="52"/>
  <c r="CZ155" i="52" s="1"/>
  <c r="DA156" i="52"/>
  <c r="DA155" i="52" s="1"/>
  <c r="DB156" i="52"/>
  <c r="DB155" i="52" s="1"/>
  <c r="DC156" i="52"/>
  <c r="DC155" i="52" s="1"/>
  <c r="DD156" i="52"/>
  <c r="DD155" i="52" s="1"/>
  <c r="DE156" i="52"/>
  <c r="DE155" i="52" s="1"/>
  <c r="DF156" i="52"/>
  <c r="DF155" i="52" s="1"/>
  <c r="DG156" i="52"/>
  <c r="DG155" i="52" s="1"/>
  <c r="DH156" i="52"/>
  <c r="DH155" i="52" s="1"/>
  <c r="DI156" i="52"/>
  <c r="DI155" i="52" s="1"/>
  <c r="DJ156" i="52"/>
  <c r="DJ155" i="52" s="1"/>
  <c r="DK156" i="52"/>
  <c r="DK155" i="52" s="1"/>
  <c r="DL156" i="52"/>
  <c r="DL155" i="52" s="1"/>
  <c r="DM156" i="52"/>
  <c r="DM155" i="52" s="1"/>
  <c r="DN156" i="52"/>
  <c r="DN155" i="52" s="1"/>
  <c r="DO156" i="52"/>
  <c r="DO155" i="52" s="1"/>
  <c r="DP156" i="52"/>
  <c r="DP155" i="52" s="1"/>
  <c r="DQ156" i="52"/>
  <c r="DQ155" i="52" s="1"/>
  <c r="DR156" i="52"/>
  <c r="DR155" i="52" s="1"/>
  <c r="DS156" i="52"/>
  <c r="DS155" i="52" s="1"/>
  <c r="DT156" i="52"/>
  <c r="DT155" i="52" s="1"/>
  <c r="DU156" i="52"/>
  <c r="DU155" i="52" s="1"/>
  <c r="DV156" i="52"/>
  <c r="DV155" i="52" s="1"/>
  <c r="DW156" i="52"/>
  <c r="DW155" i="52" s="1"/>
  <c r="DX156" i="52"/>
  <c r="DX155" i="52" s="1"/>
  <c r="DY156" i="52"/>
  <c r="DY155" i="52" s="1"/>
  <c r="DZ156" i="52"/>
  <c r="DZ155" i="52" s="1"/>
  <c r="EA156" i="52"/>
  <c r="EA155" i="52" s="1"/>
  <c r="EB156" i="52"/>
  <c r="EB155" i="52" s="1"/>
  <c r="EC156" i="52"/>
  <c r="EC155" i="52" s="1"/>
  <c r="ED156" i="52"/>
  <c r="ED155" i="52" s="1"/>
  <c r="EE156" i="52"/>
  <c r="EF156" i="52"/>
  <c r="EF155" i="52" s="1"/>
  <c r="EG156" i="52"/>
  <c r="EG155" i="52" s="1"/>
  <c r="EH156" i="52"/>
  <c r="EH155" i="52" s="1"/>
  <c r="EI156" i="52"/>
  <c r="EI155" i="52" s="1"/>
  <c r="EJ156" i="52"/>
  <c r="EJ155" i="52" s="1"/>
  <c r="EK156" i="52"/>
  <c r="EK155" i="52" s="1"/>
  <c r="EL156" i="52"/>
  <c r="EL155" i="52" s="1"/>
  <c r="EM156" i="52"/>
  <c r="EM155" i="52" s="1"/>
  <c r="EN156" i="52"/>
  <c r="EN155" i="52" s="1"/>
  <c r="EO156" i="52"/>
  <c r="EO155" i="52" s="1"/>
  <c r="EP156" i="52"/>
  <c r="EP155" i="52" s="1"/>
  <c r="EQ156" i="52"/>
  <c r="EQ155" i="52" s="1"/>
  <c r="ER156" i="52"/>
  <c r="ER155" i="52" s="1"/>
  <c r="ES156" i="52"/>
  <c r="ES155" i="52" s="1"/>
  <c r="ET156" i="52"/>
  <c r="ET155" i="52" s="1"/>
  <c r="EU156" i="52"/>
  <c r="EU155" i="52" s="1"/>
  <c r="EV156" i="52"/>
  <c r="EV155" i="52" s="1"/>
  <c r="EW156" i="52"/>
  <c r="EW155" i="52" s="1"/>
  <c r="EX156" i="52"/>
  <c r="EX155" i="52" s="1"/>
  <c r="EY156" i="52"/>
  <c r="EY155" i="52" s="1"/>
  <c r="EZ156" i="52"/>
  <c r="EZ155" i="52" s="1"/>
  <c r="FA156" i="52"/>
  <c r="FA155" i="52" s="1"/>
  <c r="FB156" i="52"/>
  <c r="FB155" i="52" s="1"/>
  <c r="FC156" i="52"/>
  <c r="FC155" i="52" s="1"/>
  <c r="FD156" i="52"/>
  <c r="FD155" i="52" s="1"/>
  <c r="FE156" i="52"/>
  <c r="FE155" i="52" s="1"/>
  <c r="FF156" i="52"/>
  <c r="FF155" i="52" s="1"/>
  <c r="FG156" i="52"/>
  <c r="FG155" i="52" s="1"/>
  <c r="FH156" i="52"/>
  <c r="FH155" i="52" s="1"/>
  <c r="FI156" i="52"/>
  <c r="FI155" i="52" s="1"/>
  <c r="FJ156" i="52"/>
  <c r="FJ155" i="52" s="1"/>
  <c r="FK156" i="52"/>
  <c r="FK155" i="52" s="1"/>
  <c r="FL156" i="52"/>
  <c r="FL155" i="52" s="1"/>
  <c r="FM156" i="52"/>
  <c r="FM155" i="52" s="1"/>
  <c r="FN156" i="52"/>
  <c r="FN155" i="52" s="1"/>
  <c r="FO156" i="52"/>
  <c r="FO155" i="52" s="1"/>
  <c r="FP156" i="52"/>
  <c r="FP155" i="52" s="1"/>
  <c r="FQ156" i="52"/>
  <c r="FQ155" i="52" s="1"/>
  <c r="FR156" i="52"/>
  <c r="FR155" i="52" s="1"/>
  <c r="FS156" i="52"/>
  <c r="FS155" i="52" s="1"/>
  <c r="FT156" i="52"/>
  <c r="FT155" i="52" s="1"/>
  <c r="FU156" i="52"/>
  <c r="FU155" i="52" s="1"/>
  <c r="FV156" i="52"/>
  <c r="FV155" i="52" s="1"/>
  <c r="FW156" i="52"/>
  <c r="FW155" i="52" s="1"/>
  <c r="FX156" i="52"/>
  <c r="FX155" i="52" s="1"/>
  <c r="FY156" i="52"/>
  <c r="FY155" i="52" s="1"/>
  <c r="FZ156" i="52"/>
  <c r="FZ155" i="52" s="1"/>
  <c r="GA156" i="52"/>
  <c r="GA155" i="52" s="1"/>
  <c r="GB156" i="52"/>
  <c r="GB155" i="52" s="1"/>
  <c r="GC156" i="52"/>
  <c r="GC155" i="52" s="1"/>
  <c r="GD156" i="52"/>
  <c r="GD155" i="52" s="1"/>
  <c r="GE156" i="52"/>
  <c r="GE155" i="52" s="1"/>
  <c r="GF156" i="52"/>
  <c r="GF155" i="52" s="1"/>
  <c r="GG156" i="52"/>
  <c r="GG155" i="52" s="1"/>
  <c r="GH156" i="52"/>
  <c r="GH155" i="52" s="1"/>
  <c r="GI156" i="52"/>
  <c r="GI155" i="52" s="1"/>
  <c r="GJ156" i="52"/>
  <c r="GJ155" i="52" s="1"/>
  <c r="GK156" i="52"/>
  <c r="GK155" i="52" s="1"/>
  <c r="GL156" i="52"/>
  <c r="GL155" i="52" s="1"/>
  <c r="GM156" i="52"/>
  <c r="GM155" i="52" s="1"/>
  <c r="GN156" i="52"/>
  <c r="GN155" i="52" s="1"/>
  <c r="GO156" i="52"/>
  <c r="GO155" i="52" s="1"/>
  <c r="GP156" i="52"/>
  <c r="GP155" i="52" s="1"/>
  <c r="GQ156" i="52"/>
  <c r="GQ155" i="52" s="1"/>
  <c r="GR156" i="52"/>
  <c r="GR155" i="52" s="1"/>
  <c r="GS156" i="52"/>
  <c r="GS155" i="52" s="1"/>
  <c r="GT156" i="52"/>
  <c r="GT155" i="52" s="1"/>
  <c r="GU156" i="52"/>
  <c r="GU155" i="52" s="1"/>
  <c r="GV156" i="52"/>
  <c r="GV155" i="52" s="1"/>
  <c r="GW156" i="52"/>
  <c r="GW155" i="52" s="1"/>
  <c r="GX156" i="52"/>
  <c r="GX155" i="52" s="1"/>
  <c r="GY156" i="52"/>
  <c r="GY155" i="52" s="1"/>
  <c r="GZ156" i="52"/>
  <c r="GZ155" i="52" s="1"/>
  <c r="HA156" i="52"/>
  <c r="HA155" i="52" s="1"/>
  <c r="HB156" i="52"/>
  <c r="HB155" i="52" s="1"/>
  <c r="HC156" i="52"/>
  <c r="HC155" i="52" s="1"/>
  <c r="HD156" i="52"/>
  <c r="HD155" i="52" s="1"/>
  <c r="HE156" i="52"/>
  <c r="HE155" i="52" s="1"/>
  <c r="HF156" i="52"/>
  <c r="HF155" i="52" s="1"/>
  <c r="HG156" i="52"/>
  <c r="HG155" i="52" s="1"/>
  <c r="HH156" i="52"/>
  <c r="HH155" i="52" s="1"/>
  <c r="HI156" i="52"/>
  <c r="HI155" i="52" s="1"/>
  <c r="HJ156" i="52"/>
  <c r="HJ155" i="52" s="1"/>
  <c r="HK156" i="52"/>
  <c r="HK155" i="52" s="1"/>
  <c r="HL156" i="52"/>
  <c r="HL155" i="52" s="1"/>
  <c r="HM156" i="52"/>
  <c r="HM155" i="52" s="1"/>
  <c r="HN156" i="52"/>
  <c r="HN155" i="52" s="1"/>
  <c r="HO156" i="52"/>
  <c r="HO155" i="52" s="1"/>
  <c r="HP156" i="52"/>
  <c r="HP155" i="52" s="1"/>
  <c r="HQ156" i="52"/>
  <c r="HQ155" i="52" s="1"/>
  <c r="HR156" i="52"/>
  <c r="HR155" i="52" s="1"/>
  <c r="HS156" i="52"/>
  <c r="HS155" i="52" s="1"/>
  <c r="HT156" i="52"/>
  <c r="HT155" i="52" s="1"/>
  <c r="HU156" i="52"/>
  <c r="HU155" i="52" s="1"/>
  <c r="HV156" i="52"/>
  <c r="HV155" i="52" s="1"/>
  <c r="HW156" i="52"/>
  <c r="HW155" i="52" s="1"/>
  <c r="HX156" i="52"/>
  <c r="HX155" i="52" s="1"/>
  <c r="HY156" i="52"/>
  <c r="HY155" i="52" s="1"/>
  <c r="HZ156" i="52"/>
  <c r="HZ155" i="52" s="1"/>
  <c r="IA156" i="52"/>
  <c r="IA155" i="52" s="1"/>
  <c r="IB156" i="52"/>
  <c r="IB155" i="52" s="1"/>
  <c r="IC156" i="52"/>
  <c r="IC155" i="52" s="1"/>
  <c r="ID156" i="52"/>
  <c r="ID155" i="52" s="1"/>
  <c r="IE156" i="52"/>
  <c r="IE155" i="52" s="1"/>
  <c r="IF156" i="52"/>
  <c r="IF155" i="52" s="1"/>
  <c r="IG156" i="52"/>
  <c r="IG155" i="52" s="1"/>
  <c r="IH156" i="52"/>
  <c r="IH155" i="52" s="1"/>
  <c r="II156" i="52"/>
  <c r="II155" i="52" s="1"/>
  <c r="IJ156" i="52"/>
  <c r="IJ155" i="52" s="1"/>
  <c r="IK156" i="52"/>
  <c r="IK155" i="52" s="1"/>
  <c r="IL156" i="52"/>
  <c r="IL155" i="52" s="1"/>
  <c r="IM156" i="52"/>
  <c r="IM155" i="52" s="1"/>
  <c r="IN156" i="52"/>
  <c r="IN155" i="52" s="1"/>
  <c r="IO156" i="52"/>
  <c r="IO155" i="52" s="1"/>
  <c r="IP156" i="52"/>
  <c r="IP155" i="52" s="1"/>
  <c r="IQ156" i="52"/>
  <c r="IQ155" i="52" s="1"/>
  <c r="IR156" i="52"/>
  <c r="IR155" i="52" s="1"/>
  <c r="IS156" i="52"/>
  <c r="IS155" i="52" s="1"/>
  <c r="IT156" i="52"/>
  <c r="IT155" i="52" s="1"/>
  <c r="IU156" i="52"/>
  <c r="IU155" i="52" s="1"/>
  <c r="IV156" i="52"/>
  <c r="IV155" i="52" s="1"/>
  <c r="IW156" i="52"/>
  <c r="IW155" i="52" s="1"/>
  <c r="IX156" i="52"/>
  <c r="IX155" i="52" s="1"/>
  <c r="IY156" i="52"/>
  <c r="IY155" i="52" s="1"/>
  <c r="IZ156" i="52"/>
  <c r="IZ155" i="52" s="1"/>
  <c r="JA156" i="52"/>
  <c r="JA155" i="52" s="1"/>
  <c r="JB156" i="52"/>
  <c r="JB155" i="52" s="1"/>
  <c r="JC156" i="52"/>
  <c r="JC155" i="52" s="1"/>
  <c r="JD156" i="52"/>
  <c r="JD155" i="52" s="1"/>
  <c r="JE156" i="52"/>
  <c r="JE155" i="52" s="1"/>
  <c r="JF156" i="52"/>
  <c r="JF155" i="52" s="1"/>
  <c r="JG156" i="52"/>
  <c r="JG155" i="52" s="1"/>
  <c r="JH156" i="52"/>
  <c r="JH155" i="52" s="1"/>
  <c r="JI156" i="52"/>
  <c r="JI155" i="52" s="1"/>
  <c r="JJ156" i="52"/>
  <c r="JJ155" i="52" s="1"/>
  <c r="JK156" i="52"/>
  <c r="JK155" i="52" s="1"/>
  <c r="JL156" i="52"/>
  <c r="JL155" i="52" s="1"/>
  <c r="JM156" i="52"/>
  <c r="JM155" i="52" s="1"/>
  <c r="JN156" i="52"/>
  <c r="JN155" i="52" s="1"/>
  <c r="JO156" i="52"/>
  <c r="JO155" i="52" s="1"/>
  <c r="JP156" i="52"/>
  <c r="JP155" i="52" s="1"/>
  <c r="JQ156" i="52"/>
  <c r="JQ155" i="52" s="1"/>
  <c r="JR156" i="52"/>
  <c r="JR155" i="52" s="1"/>
  <c r="JS156" i="52"/>
  <c r="JS155" i="52" s="1"/>
  <c r="JT156" i="52"/>
  <c r="JT155" i="52" s="1"/>
  <c r="JU156" i="52"/>
  <c r="JU155" i="52" s="1"/>
  <c r="JV156" i="52"/>
  <c r="JV155" i="52" s="1"/>
  <c r="JW156" i="52"/>
  <c r="JW155" i="52" s="1"/>
  <c r="JX156" i="52"/>
  <c r="JX155" i="52" s="1"/>
  <c r="JY156" i="52"/>
  <c r="JY155" i="52" s="1"/>
  <c r="JZ156" i="52"/>
  <c r="JZ155" i="52" s="1"/>
  <c r="KA156" i="52"/>
  <c r="KA155" i="52" s="1"/>
  <c r="KB156" i="52"/>
  <c r="KB155" i="52" s="1"/>
  <c r="KC156" i="52"/>
  <c r="KC155" i="52" s="1"/>
  <c r="KD156" i="52"/>
  <c r="KD155" i="52" s="1"/>
  <c r="KE156" i="52"/>
  <c r="KE155" i="52" s="1"/>
  <c r="KF156" i="52"/>
  <c r="KF155" i="52" s="1"/>
  <c r="KG156" i="52"/>
  <c r="KG155" i="52" s="1"/>
  <c r="KH156" i="52"/>
  <c r="KH155" i="52" s="1"/>
  <c r="KI156" i="52"/>
  <c r="KI155" i="52" s="1"/>
  <c r="KJ156" i="52"/>
  <c r="KJ155" i="52" s="1"/>
  <c r="KK156" i="52"/>
  <c r="KK155" i="52" s="1"/>
  <c r="KL156" i="52"/>
  <c r="KL155" i="52" s="1"/>
  <c r="KM156" i="52"/>
  <c r="KM155" i="52" s="1"/>
  <c r="KN156" i="52"/>
  <c r="KN155" i="52" s="1"/>
  <c r="KO156" i="52"/>
  <c r="KO155" i="52" s="1"/>
  <c r="KP156" i="52"/>
  <c r="KP155" i="52" s="1"/>
  <c r="KQ156" i="52"/>
  <c r="KQ155" i="52" s="1"/>
  <c r="KR156" i="52"/>
  <c r="KR155" i="52" s="1"/>
  <c r="KS156" i="52"/>
  <c r="KS155" i="52" s="1"/>
  <c r="KT156" i="52"/>
  <c r="KT155" i="52" s="1"/>
  <c r="KU156" i="52"/>
  <c r="KU155" i="52" s="1"/>
  <c r="KV156" i="52"/>
  <c r="KV155" i="52" s="1"/>
  <c r="KW156" i="52"/>
  <c r="KW155" i="52" s="1"/>
  <c r="KX156" i="52"/>
  <c r="KX155" i="52" s="1"/>
  <c r="KY156" i="52"/>
  <c r="KY155" i="52" s="1"/>
  <c r="KZ156" i="52"/>
  <c r="KZ155" i="52" s="1"/>
  <c r="LA156" i="52"/>
  <c r="LA155" i="52" s="1"/>
  <c r="LB156" i="52"/>
  <c r="LB155" i="52" s="1"/>
  <c r="LC156" i="52"/>
  <c r="LC155" i="52" s="1"/>
  <c r="LD156" i="52"/>
  <c r="LD155" i="52" s="1"/>
  <c r="LE156" i="52"/>
  <c r="LE155" i="52" s="1"/>
  <c r="LF156" i="52"/>
  <c r="LF155" i="52" s="1"/>
  <c r="LG156" i="52"/>
  <c r="LG155" i="52" s="1"/>
  <c r="LH156" i="52"/>
  <c r="LH155" i="52" s="1"/>
  <c r="LI156" i="52"/>
  <c r="LI155" i="52" s="1"/>
  <c r="LJ156" i="52"/>
  <c r="LJ155" i="52" s="1"/>
  <c r="LK156" i="52"/>
  <c r="LK155" i="52" s="1"/>
  <c r="LL156" i="52"/>
  <c r="LL155" i="52" s="1"/>
  <c r="LM156" i="52"/>
  <c r="LM155" i="52" s="1"/>
  <c r="LN156" i="52"/>
  <c r="LN155" i="52" s="1"/>
  <c r="LO156" i="52"/>
  <c r="LO155" i="52" s="1"/>
  <c r="LP156" i="52"/>
  <c r="LP155" i="52" s="1"/>
  <c r="LQ156" i="52"/>
  <c r="LQ155" i="52" s="1"/>
  <c r="LR156" i="52"/>
  <c r="LR155" i="52" s="1"/>
  <c r="LS156" i="52"/>
  <c r="LS155" i="52" s="1"/>
  <c r="LT156" i="52"/>
  <c r="LT155" i="52" s="1"/>
  <c r="LU156" i="52"/>
  <c r="LU155" i="52" s="1"/>
  <c r="LV156" i="52"/>
  <c r="LV155" i="52" s="1"/>
  <c r="LW156" i="52"/>
  <c r="LW155" i="52" s="1"/>
  <c r="LX156" i="52"/>
  <c r="LX155" i="52" s="1"/>
  <c r="LY156" i="52"/>
  <c r="LY155" i="52" s="1"/>
  <c r="LZ156" i="52"/>
  <c r="LZ155" i="52" s="1"/>
  <c r="MA156" i="52"/>
  <c r="MA155" i="52" s="1"/>
  <c r="MB156" i="52"/>
  <c r="MB155" i="52" s="1"/>
  <c r="MC156" i="52"/>
  <c r="MC155" i="52" s="1"/>
  <c r="MD156" i="52"/>
  <c r="MD155" i="52" s="1"/>
  <c r="ME156" i="52"/>
  <c r="ME155" i="52" s="1"/>
  <c r="MF156" i="52"/>
  <c r="MF155" i="52" s="1"/>
  <c r="MG156" i="52"/>
  <c r="MG155" i="52" s="1"/>
  <c r="MH156" i="52"/>
  <c r="MH155" i="52" s="1"/>
  <c r="MI156" i="52"/>
  <c r="MI155" i="52" s="1"/>
  <c r="MJ156" i="52"/>
  <c r="MJ155" i="52" s="1"/>
  <c r="MK156" i="52"/>
  <c r="MK155" i="52" s="1"/>
  <c r="ML156" i="52"/>
  <c r="ML155" i="52" s="1"/>
  <c r="MM156" i="52"/>
  <c r="MM155" i="52" s="1"/>
  <c r="MN156" i="52"/>
  <c r="MN155" i="52" s="1"/>
  <c r="MO156" i="52"/>
  <c r="MO155" i="52" s="1"/>
  <c r="MP156" i="52"/>
  <c r="MP155" i="52" s="1"/>
  <c r="MQ156" i="52"/>
  <c r="MQ155" i="52" s="1"/>
  <c r="MR156" i="52"/>
  <c r="MR155" i="52" s="1"/>
  <c r="MS156" i="52"/>
  <c r="MS155" i="52" s="1"/>
  <c r="MT156" i="52"/>
  <c r="MT155" i="52" s="1"/>
  <c r="MU156" i="52"/>
  <c r="MU155" i="52" s="1"/>
  <c r="MV156" i="52"/>
  <c r="MV155" i="52" s="1"/>
  <c r="MW156" i="52"/>
  <c r="MW155" i="52" s="1"/>
  <c r="MX156" i="52"/>
  <c r="MX155" i="52" s="1"/>
  <c r="MY156" i="52"/>
  <c r="MY155" i="52" s="1"/>
  <c r="MZ156" i="52"/>
  <c r="MZ155" i="52" s="1"/>
  <c r="NA156" i="52"/>
  <c r="NA155" i="52" s="1"/>
  <c r="NB156" i="52"/>
  <c r="NB155" i="52" s="1"/>
  <c r="NC156" i="52"/>
  <c r="NC155" i="52" s="1"/>
  <c r="ND156" i="52"/>
  <c r="ND155" i="52" s="1"/>
  <c r="NE156" i="52"/>
  <c r="NE155" i="52" s="1"/>
  <c r="NF156" i="52"/>
  <c r="NF155" i="52" s="1"/>
  <c r="NG156" i="52"/>
  <c r="NG155" i="52" s="1"/>
  <c r="NH156" i="52"/>
  <c r="NH155" i="52" s="1"/>
  <c r="NI156" i="52"/>
  <c r="NI155" i="52" s="1"/>
  <c r="NJ156" i="52"/>
  <c r="NJ155" i="52" s="1"/>
  <c r="NK156" i="52"/>
  <c r="NK155" i="52" s="1"/>
  <c r="NL156" i="52"/>
  <c r="NL155" i="52" s="1"/>
  <c r="NM156" i="52"/>
  <c r="NM155" i="52" s="1"/>
  <c r="NN156" i="52"/>
  <c r="NN155" i="52" s="1"/>
  <c r="NO156" i="52"/>
  <c r="NO155" i="52" s="1"/>
  <c r="NP156" i="52"/>
  <c r="NP155" i="52" s="1"/>
  <c r="NQ156" i="52"/>
  <c r="NQ155" i="52" s="1"/>
  <c r="NR156" i="52"/>
  <c r="NR155" i="52" s="1"/>
  <c r="NS156" i="52"/>
  <c r="NS155" i="52" s="1"/>
  <c r="NT156" i="52"/>
  <c r="NT155" i="52" s="1"/>
  <c r="NU156" i="52"/>
  <c r="NU155" i="52" s="1"/>
  <c r="NV156" i="52"/>
  <c r="NV155" i="52" s="1"/>
  <c r="NW156" i="52"/>
  <c r="NW155" i="52" s="1"/>
  <c r="NX156" i="52"/>
  <c r="NX155" i="52" s="1"/>
  <c r="NY156" i="52"/>
  <c r="NY155" i="52" s="1"/>
  <c r="NZ156" i="52"/>
  <c r="NZ155" i="52" s="1"/>
  <c r="OA156" i="52"/>
  <c r="OA155" i="52" s="1"/>
  <c r="OB156" i="52"/>
  <c r="OB155" i="52" s="1"/>
  <c r="OC156" i="52"/>
  <c r="OC155" i="52" s="1"/>
  <c r="OD156" i="52"/>
  <c r="OD155" i="52" s="1"/>
  <c r="OE156" i="52"/>
  <c r="OE155" i="52" s="1"/>
  <c r="OF156" i="52"/>
  <c r="OF155" i="52" s="1"/>
  <c r="OG156" i="52"/>
  <c r="OG155" i="52" s="1"/>
  <c r="OH156" i="52"/>
  <c r="OH155" i="52" s="1"/>
  <c r="OI156" i="52"/>
  <c r="OI155" i="52" s="1"/>
  <c r="OJ156" i="52"/>
  <c r="OJ155" i="52" s="1"/>
  <c r="OK156" i="52"/>
  <c r="OK155" i="52" s="1"/>
  <c r="OL156" i="52"/>
  <c r="OL155" i="52" s="1"/>
  <c r="OM156" i="52"/>
  <c r="OM155" i="52" s="1"/>
  <c r="ON156" i="52"/>
  <c r="ON155" i="52" s="1"/>
  <c r="OO156" i="52"/>
  <c r="OO155" i="52" s="1"/>
  <c r="OP156" i="52"/>
  <c r="OP155" i="52" s="1"/>
  <c r="OQ156" i="52"/>
  <c r="OQ155" i="52" s="1"/>
  <c r="OR156" i="52"/>
  <c r="OR155" i="52" s="1"/>
  <c r="OS156" i="52"/>
  <c r="OS155" i="52" s="1"/>
  <c r="OT156" i="52"/>
  <c r="OT155" i="52" s="1"/>
  <c r="OU156" i="52"/>
  <c r="OU155" i="52" s="1"/>
  <c r="OV156" i="52"/>
  <c r="OV155" i="52" s="1"/>
  <c r="OW156" i="52"/>
  <c r="OW155" i="52" s="1"/>
  <c r="OX156" i="52"/>
  <c r="OX155" i="52" s="1"/>
  <c r="OY156" i="52"/>
  <c r="OY155" i="52" s="1"/>
  <c r="OZ156" i="52"/>
  <c r="OZ155" i="52" s="1"/>
  <c r="PA156" i="52"/>
  <c r="PA155" i="52" s="1"/>
  <c r="PB156" i="52"/>
  <c r="PB155" i="52" s="1"/>
  <c r="PC156" i="52"/>
  <c r="PC155" i="52" s="1"/>
  <c r="PD156" i="52"/>
  <c r="PD155" i="52" s="1"/>
  <c r="PE156" i="52"/>
  <c r="PE155" i="52" s="1"/>
  <c r="PF156" i="52"/>
  <c r="PF155" i="52" s="1"/>
  <c r="PG156" i="52"/>
  <c r="PG155" i="52" s="1"/>
  <c r="PH156" i="52"/>
  <c r="PH155" i="52" s="1"/>
  <c r="PI156" i="52"/>
  <c r="PI155" i="52" s="1"/>
  <c r="PJ156" i="52"/>
  <c r="PJ155" i="52" s="1"/>
  <c r="PK156" i="52"/>
  <c r="PK155" i="52" s="1"/>
  <c r="PL156" i="52"/>
  <c r="PL155" i="52" s="1"/>
  <c r="PM156" i="52"/>
  <c r="PM155" i="52" s="1"/>
  <c r="PN156" i="52"/>
  <c r="PN155" i="52" s="1"/>
  <c r="PO156" i="52"/>
  <c r="PO155" i="52" s="1"/>
  <c r="PP156" i="52"/>
  <c r="PP155" i="52" s="1"/>
  <c r="PQ156" i="52"/>
  <c r="PQ155" i="52" s="1"/>
  <c r="PR156" i="52"/>
  <c r="PR155" i="52" s="1"/>
  <c r="PS156" i="52"/>
  <c r="PS155" i="52" s="1"/>
  <c r="PT156" i="52"/>
  <c r="PT155" i="52" s="1"/>
  <c r="PU156" i="52"/>
  <c r="PU155" i="52" s="1"/>
  <c r="PV156" i="52"/>
  <c r="PV155" i="52" s="1"/>
  <c r="PW156" i="52"/>
  <c r="PW155" i="52" s="1"/>
  <c r="PX156" i="52"/>
  <c r="PX155" i="52" s="1"/>
  <c r="PY156" i="52"/>
  <c r="PY155" i="52" s="1"/>
  <c r="PZ156" i="52"/>
  <c r="PZ155" i="52" s="1"/>
  <c r="QA156" i="52"/>
  <c r="QA155" i="52" s="1"/>
  <c r="QB156" i="52"/>
  <c r="QB155" i="52" s="1"/>
  <c r="QC156" i="52"/>
  <c r="QC155" i="52" s="1"/>
  <c r="QD156" i="52"/>
  <c r="QD155" i="52" s="1"/>
  <c r="QE156" i="52"/>
  <c r="QE155" i="52" s="1"/>
  <c r="QF156" i="52"/>
  <c r="QF155" i="52" s="1"/>
  <c r="QG156" i="52"/>
  <c r="QG155" i="52" s="1"/>
  <c r="QH156" i="52"/>
  <c r="QH155" i="52" s="1"/>
  <c r="QI156" i="52"/>
  <c r="QI155" i="52" s="1"/>
  <c r="QJ156" i="52"/>
  <c r="QJ155" i="52" s="1"/>
  <c r="QK156" i="52"/>
  <c r="QK155" i="52" s="1"/>
  <c r="QL156" i="52"/>
  <c r="QL155" i="52" s="1"/>
  <c r="QM156" i="52"/>
  <c r="QM155" i="52" s="1"/>
  <c r="QN156" i="52"/>
  <c r="QN155" i="52" s="1"/>
  <c r="QO156" i="52"/>
  <c r="QO155" i="52" s="1"/>
  <c r="QP156" i="52"/>
  <c r="QP155" i="52" s="1"/>
  <c r="QQ156" i="52"/>
  <c r="QQ155" i="52" s="1"/>
  <c r="QR156" i="52"/>
  <c r="QR155" i="52" s="1"/>
  <c r="QS156" i="52"/>
  <c r="QS155" i="52" s="1"/>
  <c r="QT156" i="52"/>
  <c r="QT155" i="52" s="1"/>
  <c r="QU156" i="52"/>
  <c r="QU155" i="52" s="1"/>
  <c r="QV156" i="52"/>
  <c r="QV155" i="52" s="1"/>
  <c r="QW156" i="52"/>
  <c r="QW155" i="52" s="1"/>
  <c r="QX156" i="52"/>
  <c r="QX155" i="52" s="1"/>
  <c r="QY156" i="52"/>
  <c r="QY155" i="52" s="1"/>
  <c r="QZ156" i="52"/>
  <c r="QZ155" i="52" s="1"/>
  <c r="RA156" i="52"/>
  <c r="RA155" i="52" s="1"/>
  <c r="RB156" i="52"/>
  <c r="RB155" i="52" s="1"/>
  <c r="RC156" i="52"/>
  <c r="RC155" i="52" s="1"/>
  <c r="RD156" i="52"/>
  <c r="RD155" i="52" s="1"/>
  <c r="RE156" i="52"/>
  <c r="RE155" i="52" s="1"/>
  <c r="RF156" i="52"/>
  <c r="RF155" i="52" s="1"/>
  <c r="RG156" i="52"/>
  <c r="RG155" i="52" s="1"/>
  <c r="RH156" i="52"/>
  <c r="RH155" i="52" s="1"/>
  <c r="RI156" i="52"/>
  <c r="RI155" i="52" s="1"/>
  <c r="RJ156" i="52"/>
  <c r="RJ155" i="52" s="1"/>
  <c r="RK156" i="52"/>
  <c r="RK155" i="52" s="1"/>
  <c r="RL156" i="52"/>
  <c r="RL155" i="52" s="1"/>
  <c r="RM156" i="52"/>
  <c r="RM155" i="52" s="1"/>
  <c r="RN156" i="52"/>
  <c r="RN155" i="52" s="1"/>
  <c r="RO156" i="52"/>
  <c r="RO155" i="52" s="1"/>
  <c r="RP156" i="52"/>
  <c r="RP155" i="52" s="1"/>
  <c r="RQ156" i="52"/>
  <c r="RQ155" i="52" s="1"/>
  <c r="RR156" i="52"/>
  <c r="RR155" i="52" s="1"/>
  <c r="RS156" i="52"/>
  <c r="RS155" i="52" s="1"/>
  <c r="RT156" i="52"/>
  <c r="RT155" i="52" s="1"/>
  <c r="RU156" i="52"/>
  <c r="RU155" i="52" s="1"/>
  <c r="RV156" i="52"/>
  <c r="RV155" i="52" s="1"/>
  <c r="RW156" i="52"/>
  <c r="RW155" i="52" s="1"/>
  <c r="RX156" i="52"/>
  <c r="RX155" i="52" s="1"/>
  <c r="RY156" i="52"/>
  <c r="RY155" i="52" s="1"/>
  <c r="RZ156" i="52"/>
  <c r="RZ155" i="52" s="1"/>
  <c r="SA156" i="52"/>
  <c r="SA155" i="52" s="1"/>
  <c r="SB156" i="52"/>
  <c r="SB155" i="52" s="1"/>
  <c r="SC156" i="52"/>
  <c r="SC155" i="52" s="1"/>
  <c r="SD156" i="52"/>
  <c r="SD155" i="52" s="1"/>
  <c r="SE156" i="52"/>
  <c r="SE155" i="52" s="1"/>
  <c r="SF156" i="52"/>
  <c r="SF155" i="52" s="1"/>
  <c r="SG156" i="52"/>
  <c r="SG155" i="52" s="1"/>
  <c r="SH156" i="52"/>
  <c r="SH155" i="52" s="1"/>
  <c r="SI156" i="52"/>
  <c r="SI155" i="52" s="1"/>
  <c r="SJ156" i="52"/>
  <c r="SJ155" i="52" s="1"/>
  <c r="SK156" i="52"/>
  <c r="SK155" i="52" s="1"/>
  <c r="SL156" i="52"/>
  <c r="SL155" i="52" s="1"/>
  <c r="SM156" i="52"/>
  <c r="SM155" i="52" s="1"/>
  <c r="SN156" i="52"/>
  <c r="SN155" i="52" s="1"/>
  <c r="SO156" i="52"/>
  <c r="SO155" i="52" s="1"/>
  <c r="SP156" i="52"/>
  <c r="SP155" i="52" s="1"/>
  <c r="SQ156" i="52"/>
  <c r="SQ155" i="52" s="1"/>
  <c r="SR156" i="52"/>
  <c r="SR155" i="52" s="1"/>
  <c r="SS156" i="52"/>
  <c r="SS155" i="52" s="1"/>
  <c r="ST156" i="52"/>
  <c r="ST155" i="52" s="1"/>
  <c r="SU156" i="52"/>
  <c r="SU155" i="52" s="1"/>
  <c r="SV156" i="52"/>
  <c r="SV155" i="52" s="1"/>
  <c r="SW156" i="52"/>
  <c r="SW155" i="52" s="1"/>
  <c r="SX156" i="52"/>
  <c r="SX155" i="52" s="1"/>
  <c r="SY156" i="52"/>
  <c r="SY155" i="52" s="1"/>
  <c r="SZ156" i="52"/>
  <c r="SZ155" i="52" s="1"/>
  <c r="TA156" i="52"/>
  <c r="TA155" i="52" s="1"/>
  <c r="TB156" i="52"/>
  <c r="TB155" i="52" s="1"/>
  <c r="TC156" i="52"/>
  <c r="TC155" i="52" s="1"/>
  <c r="TD156" i="52"/>
  <c r="TD155" i="52" s="1"/>
  <c r="TE156" i="52"/>
  <c r="TE155" i="52" s="1"/>
  <c r="TF156" i="52"/>
  <c r="TF155" i="52" s="1"/>
  <c r="TG156" i="52"/>
  <c r="TG155" i="52" s="1"/>
  <c r="TH156" i="52"/>
  <c r="TH155" i="52" s="1"/>
  <c r="TI156" i="52"/>
  <c r="TI155" i="52" s="1"/>
  <c r="TJ156" i="52"/>
  <c r="TJ155" i="52" s="1"/>
  <c r="TK156" i="52"/>
  <c r="TK155" i="52" s="1"/>
  <c r="TL156" i="52"/>
  <c r="TL155" i="52" s="1"/>
  <c r="TM156" i="52"/>
  <c r="TM155" i="52" s="1"/>
  <c r="TN156" i="52"/>
  <c r="TN155" i="52" s="1"/>
  <c r="TO156" i="52"/>
  <c r="TO155" i="52" s="1"/>
  <c r="TP156" i="52"/>
  <c r="TP155" i="52" s="1"/>
  <c r="TQ156" i="52"/>
  <c r="TQ155" i="52" s="1"/>
  <c r="TR156" i="52"/>
  <c r="TR155" i="52" s="1"/>
  <c r="TS156" i="52"/>
  <c r="TS155" i="52" s="1"/>
  <c r="TT156" i="52"/>
  <c r="TT155" i="52" s="1"/>
  <c r="TU156" i="52"/>
  <c r="TU155" i="52" s="1"/>
  <c r="TV156" i="52"/>
  <c r="TV155" i="52" s="1"/>
  <c r="TW156" i="52"/>
  <c r="TW155" i="52" s="1"/>
  <c r="TX156" i="52"/>
  <c r="TX155" i="52" s="1"/>
  <c r="TY156" i="52"/>
  <c r="TY155" i="52" s="1"/>
  <c r="TZ156" i="52"/>
  <c r="TZ155" i="52" s="1"/>
  <c r="UA156" i="52"/>
  <c r="UA155" i="52" s="1"/>
  <c r="UB156" i="52"/>
  <c r="UB155" i="52" s="1"/>
  <c r="UC156" i="52"/>
  <c r="UC155" i="52" s="1"/>
  <c r="UD156" i="52"/>
  <c r="UD155" i="52" s="1"/>
  <c r="UE156" i="52"/>
  <c r="UE155" i="52" s="1"/>
  <c r="UF156" i="52"/>
  <c r="UF155" i="52" s="1"/>
  <c r="UG156" i="52"/>
  <c r="UG155" i="52" s="1"/>
  <c r="UH156" i="52"/>
  <c r="UH155" i="52" s="1"/>
  <c r="UI156" i="52"/>
  <c r="UI155" i="52" s="1"/>
  <c r="UJ156" i="52"/>
  <c r="UJ155" i="52" s="1"/>
  <c r="UK156" i="52"/>
  <c r="UK155" i="52" s="1"/>
  <c r="UL156" i="52"/>
  <c r="UL155" i="52" s="1"/>
  <c r="UM156" i="52"/>
  <c r="UM155" i="52" s="1"/>
  <c r="UN156" i="52"/>
  <c r="UN155" i="52" s="1"/>
  <c r="UO156" i="52"/>
  <c r="UO155" i="52" s="1"/>
  <c r="UP156" i="52"/>
  <c r="UP155" i="52" s="1"/>
  <c r="UQ156" i="52"/>
  <c r="UQ155" i="52" s="1"/>
  <c r="UR156" i="52"/>
  <c r="UR155" i="52" s="1"/>
  <c r="US156" i="52"/>
  <c r="US155" i="52" s="1"/>
  <c r="UT156" i="52"/>
  <c r="UT155" i="52" s="1"/>
  <c r="UU156" i="52"/>
  <c r="UU155" i="52" s="1"/>
  <c r="UV156" i="52"/>
  <c r="UV155" i="52" s="1"/>
  <c r="UW156" i="52"/>
  <c r="UW155" i="52" s="1"/>
  <c r="UX156" i="52"/>
  <c r="UX155" i="52" s="1"/>
  <c r="UY156" i="52"/>
  <c r="UY155" i="52" s="1"/>
  <c r="UZ156" i="52"/>
  <c r="UZ155" i="52" s="1"/>
  <c r="VA156" i="52"/>
  <c r="VA155" i="52" s="1"/>
  <c r="VB156" i="52"/>
  <c r="VB155" i="52" s="1"/>
  <c r="VC156" i="52"/>
  <c r="VC155" i="52" s="1"/>
  <c r="VD156" i="52"/>
  <c r="VD155" i="52" s="1"/>
  <c r="VE156" i="52"/>
  <c r="VE155" i="52" s="1"/>
  <c r="VF156" i="52"/>
  <c r="VF155" i="52" s="1"/>
  <c r="VG156" i="52"/>
  <c r="VG155" i="52" s="1"/>
  <c r="VH156" i="52"/>
  <c r="VH155" i="52" s="1"/>
  <c r="VI156" i="52"/>
  <c r="VI155" i="52" s="1"/>
  <c r="VJ156" i="52"/>
  <c r="VJ155" i="52" s="1"/>
  <c r="VK156" i="52"/>
  <c r="VK155" i="52" s="1"/>
  <c r="VL156" i="52"/>
  <c r="VL155" i="52" s="1"/>
  <c r="VM156" i="52"/>
  <c r="VM155" i="52" s="1"/>
  <c r="VN156" i="52"/>
  <c r="VN155" i="52" s="1"/>
  <c r="VO156" i="52"/>
  <c r="VO155" i="52" s="1"/>
  <c r="VP156" i="52"/>
  <c r="VP155" i="52" s="1"/>
  <c r="VQ156" i="52"/>
  <c r="VQ155" i="52" s="1"/>
  <c r="VR156" i="52"/>
  <c r="VR155" i="52" s="1"/>
  <c r="VS156" i="52"/>
  <c r="VS155" i="52" s="1"/>
  <c r="VT156" i="52"/>
  <c r="VT155" i="52" s="1"/>
  <c r="VU156" i="52"/>
  <c r="VU155" i="52" s="1"/>
  <c r="VV156" i="52"/>
  <c r="VV155" i="52" s="1"/>
  <c r="VW156" i="52"/>
  <c r="VW155" i="52" s="1"/>
  <c r="VX156" i="52"/>
  <c r="VX155" i="52" s="1"/>
  <c r="VY156" i="52"/>
  <c r="VY155" i="52" s="1"/>
  <c r="VZ156" i="52"/>
  <c r="VZ155" i="52" s="1"/>
  <c r="WA156" i="52"/>
  <c r="WA155" i="52" s="1"/>
  <c r="WB156" i="52"/>
  <c r="WB155" i="52" s="1"/>
  <c r="WC156" i="52"/>
  <c r="WC155" i="52" s="1"/>
  <c r="WD156" i="52"/>
  <c r="WD155" i="52" s="1"/>
  <c r="WE156" i="52"/>
  <c r="WE155" i="52" s="1"/>
  <c r="WF156" i="52"/>
  <c r="WF155" i="52" s="1"/>
  <c r="WG156" i="52"/>
  <c r="WG155" i="52" s="1"/>
  <c r="WH156" i="52"/>
  <c r="WH155" i="52" s="1"/>
  <c r="WI156" i="52"/>
  <c r="WI155" i="52" s="1"/>
  <c r="WJ156" i="52"/>
  <c r="WJ155" i="52" s="1"/>
  <c r="WK156" i="52"/>
  <c r="WK155" i="52" s="1"/>
  <c r="WL156" i="52"/>
  <c r="WL155" i="52" s="1"/>
  <c r="WM156" i="52"/>
  <c r="WM155" i="52" s="1"/>
  <c r="WN156" i="52"/>
  <c r="WN155" i="52" s="1"/>
  <c r="WO156" i="52"/>
  <c r="WO155" i="52" s="1"/>
  <c r="WP156" i="52"/>
  <c r="WP155" i="52" s="1"/>
  <c r="WQ156" i="52"/>
  <c r="WQ155" i="52" s="1"/>
  <c r="WR156" i="52"/>
  <c r="WR155" i="52" s="1"/>
  <c r="WS156" i="52"/>
  <c r="WS155" i="52" s="1"/>
  <c r="WT156" i="52"/>
  <c r="WT155" i="52" s="1"/>
  <c r="WU156" i="52"/>
  <c r="WU155" i="52" s="1"/>
  <c r="WV156" i="52"/>
  <c r="WV155" i="52" s="1"/>
  <c r="WW156" i="52"/>
  <c r="WW155" i="52" s="1"/>
  <c r="WX156" i="52"/>
  <c r="WX155" i="52" s="1"/>
  <c r="WY156" i="52"/>
  <c r="WY155" i="52" s="1"/>
  <c r="WZ156" i="52"/>
  <c r="WZ155" i="52" s="1"/>
  <c r="XA156" i="52"/>
  <c r="XA155" i="52" s="1"/>
  <c r="XB156" i="52"/>
  <c r="XB155" i="52" s="1"/>
  <c r="XC156" i="52"/>
  <c r="XC155" i="52" s="1"/>
  <c r="XD156" i="52"/>
  <c r="XD155" i="52" s="1"/>
  <c r="XE156" i="52"/>
  <c r="XE155" i="52" s="1"/>
  <c r="XF156" i="52"/>
  <c r="XF155" i="52" s="1"/>
  <c r="XG156" i="52"/>
  <c r="XG155" i="52" s="1"/>
  <c r="XH156" i="52"/>
  <c r="XH155" i="52" s="1"/>
  <c r="XI156" i="52"/>
  <c r="XI155" i="52" s="1"/>
  <c r="XJ156" i="52"/>
  <c r="XJ155" i="52" s="1"/>
  <c r="XK156" i="52"/>
  <c r="XK155" i="52" s="1"/>
  <c r="XL156" i="52"/>
  <c r="XL155" i="52" s="1"/>
  <c r="XM156" i="52"/>
  <c r="XM155" i="52" s="1"/>
  <c r="XN156" i="52"/>
  <c r="XN155" i="52" s="1"/>
  <c r="XO156" i="52"/>
  <c r="XO155" i="52" s="1"/>
  <c r="XP156" i="52"/>
  <c r="XP155" i="52" s="1"/>
  <c r="XQ156" i="52"/>
  <c r="XQ155" i="52" s="1"/>
  <c r="XR156" i="52"/>
  <c r="XR155" i="52" s="1"/>
  <c r="XS156" i="52"/>
  <c r="XS155" i="52" s="1"/>
  <c r="XT156" i="52"/>
  <c r="XT155" i="52" s="1"/>
  <c r="XU156" i="52"/>
  <c r="XU155" i="52" s="1"/>
  <c r="XV156" i="52"/>
  <c r="XV155" i="52" s="1"/>
  <c r="XW156" i="52"/>
  <c r="XW155" i="52" s="1"/>
  <c r="XX156" i="52"/>
  <c r="XX155" i="52" s="1"/>
  <c r="XY156" i="52"/>
  <c r="XY155" i="52" s="1"/>
  <c r="XZ156" i="52"/>
  <c r="XZ155" i="52" s="1"/>
  <c r="YA156" i="52"/>
  <c r="YA155" i="52" s="1"/>
  <c r="YB156" i="52"/>
  <c r="YB155" i="52" s="1"/>
  <c r="YC156" i="52"/>
  <c r="YC155" i="52" s="1"/>
  <c r="YD156" i="52"/>
  <c r="YD155" i="52" s="1"/>
  <c r="YE156" i="52"/>
  <c r="YE155" i="52" s="1"/>
  <c r="YF156" i="52"/>
  <c r="YF155" i="52" s="1"/>
  <c r="YG156" i="52"/>
  <c r="YG155" i="52" s="1"/>
  <c r="YH156" i="52"/>
  <c r="YH155" i="52" s="1"/>
  <c r="YI156" i="52"/>
  <c r="YI155" i="52" s="1"/>
  <c r="YJ156" i="52"/>
  <c r="YJ155" i="52" s="1"/>
  <c r="YK156" i="52"/>
  <c r="YK155" i="52" s="1"/>
  <c r="YL156" i="52"/>
  <c r="YL155" i="52" s="1"/>
  <c r="YM156" i="52"/>
  <c r="YM155" i="52" s="1"/>
  <c r="YN156" i="52"/>
  <c r="YN155" i="52" s="1"/>
  <c r="YO156" i="52"/>
  <c r="YO155" i="52" s="1"/>
  <c r="YP156" i="52"/>
  <c r="YP155" i="52" s="1"/>
  <c r="YQ156" i="52"/>
  <c r="YQ155" i="52" s="1"/>
  <c r="YR156" i="52"/>
  <c r="YR155" i="52" s="1"/>
  <c r="YS156" i="52"/>
  <c r="YS155" i="52" s="1"/>
  <c r="YT156" i="52"/>
  <c r="YT155" i="52" s="1"/>
  <c r="YU156" i="52"/>
  <c r="YU155" i="52" s="1"/>
  <c r="YV156" i="52"/>
  <c r="YV155" i="52" s="1"/>
  <c r="YW156" i="52"/>
  <c r="YW155" i="52" s="1"/>
  <c r="YX156" i="52"/>
  <c r="YX155" i="52" s="1"/>
  <c r="YY156" i="52"/>
  <c r="YY155" i="52" s="1"/>
  <c r="YZ156" i="52"/>
  <c r="YZ155" i="52" s="1"/>
  <c r="ZA156" i="52"/>
  <c r="ZA155" i="52" s="1"/>
  <c r="ZB156" i="52"/>
  <c r="ZB155" i="52" s="1"/>
  <c r="ZC156" i="52"/>
  <c r="ZC155" i="52" s="1"/>
  <c r="ZD156" i="52"/>
  <c r="ZD155" i="52" s="1"/>
  <c r="ZE156" i="52"/>
  <c r="ZE155" i="52" s="1"/>
  <c r="ZF156" i="52"/>
  <c r="ZF155" i="52" s="1"/>
  <c r="ZG156" i="52"/>
  <c r="ZG155" i="52" s="1"/>
  <c r="ZH156" i="52"/>
  <c r="ZH155" i="52" s="1"/>
  <c r="ZI156" i="52"/>
  <c r="ZI155" i="52" s="1"/>
  <c r="ZJ156" i="52"/>
  <c r="ZJ155" i="52" s="1"/>
  <c r="ZK156" i="52"/>
  <c r="ZK155" i="52" s="1"/>
  <c r="ZL156" i="52"/>
  <c r="ZL155" i="52" s="1"/>
  <c r="ZM156" i="52"/>
  <c r="ZM155" i="52" s="1"/>
  <c r="ZN156" i="52"/>
  <c r="ZN155" i="52" s="1"/>
  <c r="ZO156" i="52"/>
  <c r="ZO155" i="52" s="1"/>
  <c r="ZP156" i="52"/>
  <c r="ZP155" i="52" s="1"/>
  <c r="ZQ156" i="52"/>
  <c r="ZQ155" i="52" s="1"/>
  <c r="ZR156" i="52"/>
  <c r="ZR155" i="52" s="1"/>
  <c r="ZS156" i="52"/>
  <c r="ZS155" i="52" s="1"/>
  <c r="ZT156" i="52"/>
  <c r="ZT155" i="52" s="1"/>
  <c r="ZU156" i="52"/>
  <c r="ZU155" i="52" s="1"/>
  <c r="ZV156" i="52"/>
  <c r="ZV155" i="52" s="1"/>
  <c r="ZW156" i="52"/>
  <c r="ZW155" i="52" s="1"/>
  <c r="ZX156" i="52"/>
  <c r="ZX155" i="52" s="1"/>
  <c r="ZY156" i="52"/>
  <c r="ZY155" i="52" s="1"/>
  <c r="ZZ156" i="52"/>
  <c r="ZZ155" i="52" s="1"/>
  <c r="AAA156" i="52"/>
  <c r="AAA155" i="52" s="1"/>
  <c r="AAB156" i="52"/>
  <c r="AAB155" i="52" s="1"/>
  <c r="AAC156" i="52"/>
  <c r="AAC155" i="52" s="1"/>
  <c r="AAD156" i="52"/>
  <c r="AAD155" i="52" s="1"/>
  <c r="AAE156" i="52"/>
  <c r="AAE155" i="52" s="1"/>
  <c r="AAF156" i="52"/>
  <c r="AAF155" i="52" s="1"/>
  <c r="AAG156" i="52"/>
  <c r="AAG155" i="52" s="1"/>
  <c r="AAH156" i="52"/>
  <c r="AAH155" i="52" s="1"/>
  <c r="AAI156" i="52"/>
  <c r="AAI155" i="52" s="1"/>
  <c r="AAJ156" i="52"/>
  <c r="AAJ155" i="52" s="1"/>
  <c r="AAK156" i="52"/>
  <c r="AAK155" i="52" s="1"/>
  <c r="AAL156" i="52"/>
  <c r="AAL155" i="52" s="1"/>
  <c r="AAM156" i="52"/>
  <c r="AAM155" i="52" s="1"/>
  <c r="AAN156" i="52"/>
  <c r="AAN155" i="52" s="1"/>
  <c r="AAO156" i="52"/>
  <c r="AAO155" i="52" s="1"/>
  <c r="AAP156" i="52"/>
  <c r="AAP155" i="52" s="1"/>
  <c r="AAQ156" i="52"/>
  <c r="AAQ155" i="52" s="1"/>
  <c r="AAR156" i="52"/>
  <c r="AAR155" i="52" s="1"/>
  <c r="AAS156" i="52"/>
  <c r="AAS155" i="52" s="1"/>
  <c r="AAT156" i="52"/>
  <c r="AAT155" i="52" s="1"/>
  <c r="AAU156" i="52"/>
  <c r="AAU155" i="52" s="1"/>
  <c r="AAV156" i="52"/>
  <c r="AAV155" i="52" s="1"/>
  <c r="AAW156" i="52"/>
  <c r="AAW155" i="52" s="1"/>
  <c r="AAX156" i="52"/>
  <c r="AAX155" i="52" s="1"/>
  <c r="AAY156" i="52"/>
  <c r="AAY155" i="52" s="1"/>
  <c r="AAZ156" i="52"/>
  <c r="AAZ155" i="52" s="1"/>
  <c r="ABA156" i="52"/>
  <c r="ABA155" i="52" s="1"/>
  <c r="ABB156" i="52"/>
  <c r="ABB155" i="52" s="1"/>
  <c r="ABC156" i="52"/>
  <c r="ABC155" i="52" s="1"/>
  <c r="ABD156" i="52"/>
  <c r="ABD155" i="52" s="1"/>
  <c r="ABE156" i="52"/>
  <c r="ABE155" i="52" s="1"/>
  <c r="ABF156" i="52"/>
  <c r="ABF155" i="52" s="1"/>
  <c r="ABG156" i="52"/>
  <c r="ABG155" i="52" s="1"/>
  <c r="ABH156" i="52"/>
  <c r="ABH155" i="52" s="1"/>
  <c r="ABI156" i="52"/>
  <c r="ABI155" i="52" s="1"/>
  <c r="ABJ156" i="52"/>
  <c r="ABJ155" i="52" s="1"/>
  <c r="ABK156" i="52"/>
  <c r="ABK155" i="52" s="1"/>
  <c r="ABL156" i="52"/>
  <c r="ABL155" i="52" s="1"/>
  <c r="ABM156" i="52"/>
  <c r="ABM155" i="52" s="1"/>
  <c r="ABN156" i="52"/>
  <c r="ABN155" i="52" s="1"/>
  <c r="ABO156" i="52"/>
  <c r="ABO155" i="52" s="1"/>
  <c r="ABP156" i="52"/>
  <c r="ABP155" i="52" s="1"/>
  <c r="ABQ156" i="52"/>
  <c r="ABQ155" i="52" s="1"/>
  <c r="ABR156" i="52"/>
  <c r="ABR155" i="52" s="1"/>
  <c r="ABS156" i="52"/>
  <c r="ABS155" i="52" s="1"/>
  <c r="ABT156" i="52"/>
  <c r="ABT155" i="52" s="1"/>
  <c r="ABU156" i="52"/>
  <c r="ABU155" i="52" s="1"/>
  <c r="ABV156" i="52"/>
  <c r="ABV155" i="52" s="1"/>
  <c r="ABW156" i="52"/>
  <c r="ABW155" i="52" s="1"/>
  <c r="ABX156" i="52"/>
  <c r="ABX155" i="52" s="1"/>
  <c r="ABY156" i="52"/>
  <c r="ABY155" i="52" s="1"/>
  <c r="ABZ156" i="52"/>
  <c r="ABZ155" i="52" s="1"/>
  <c r="ACA156" i="52"/>
  <c r="ACA155" i="52" s="1"/>
  <c r="ACB156" i="52"/>
  <c r="ACB155" i="52" s="1"/>
  <c r="ACC156" i="52"/>
  <c r="ACC155" i="52" s="1"/>
  <c r="ACD156" i="52"/>
  <c r="ACD155" i="52" s="1"/>
  <c r="ACE156" i="52"/>
  <c r="ACE155" i="52" s="1"/>
  <c r="ACF156" i="52"/>
  <c r="ACF155" i="52" s="1"/>
  <c r="ACG156" i="52"/>
  <c r="ACG155" i="52" s="1"/>
  <c r="ACH156" i="52"/>
  <c r="ACH155" i="52" s="1"/>
  <c r="ACI156" i="52"/>
  <c r="ACI155" i="52" s="1"/>
  <c r="ACJ156" i="52"/>
  <c r="ACJ155" i="52" s="1"/>
  <c r="ACK156" i="52"/>
  <c r="ACK155" i="52" s="1"/>
  <c r="ACL156" i="52"/>
  <c r="ACL155" i="52" s="1"/>
  <c r="ACM156" i="52"/>
  <c r="ACM155" i="52" s="1"/>
  <c r="ACN156" i="52"/>
  <c r="ACN155" i="52" s="1"/>
  <c r="ACO156" i="52"/>
  <c r="ACO155" i="52" s="1"/>
  <c r="ACP156" i="52"/>
  <c r="ACP155" i="52" s="1"/>
  <c r="ACQ156" i="52"/>
  <c r="ACQ155" i="52" s="1"/>
  <c r="ACR156" i="52"/>
  <c r="ACR155" i="52" s="1"/>
  <c r="ACS156" i="52"/>
  <c r="ACS155" i="52" s="1"/>
  <c r="ACT156" i="52"/>
  <c r="ACT155" i="52" s="1"/>
  <c r="ACU156" i="52"/>
  <c r="ACU155" i="52" s="1"/>
  <c r="ACV156" i="52"/>
  <c r="ACV155" i="52" s="1"/>
  <c r="ACW156" i="52"/>
  <c r="ACW155" i="52" s="1"/>
  <c r="ACX156" i="52"/>
  <c r="ACX155" i="52" s="1"/>
  <c r="ACY156" i="52"/>
  <c r="ACY155" i="52" s="1"/>
  <c r="ACZ156" i="52"/>
  <c r="ACZ155" i="52" s="1"/>
  <c r="ADA156" i="52"/>
  <c r="ADA155" i="52" s="1"/>
  <c r="ADB156" i="52"/>
  <c r="ADB155" i="52" s="1"/>
  <c r="ADC156" i="52"/>
  <c r="ADC155" i="52" s="1"/>
  <c r="ADD156" i="52"/>
  <c r="ADD155" i="52" s="1"/>
  <c r="ADE156" i="52"/>
  <c r="ADE155" i="52" s="1"/>
  <c r="ADF156" i="52"/>
  <c r="ADF155" i="52" s="1"/>
  <c r="ADG156" i="52"/>
  <c r="ADG155" i="52" s="1"/>
  <c r="ADH156" i="52"/>
  <c r="ADH155" i="52" s="1"/>
  <c r="ADI156" i="52"/>
  <c r="ADI155" i="52" s="1"/>
  <c r="ADJ156" i="52"/>
  <c r="ADJ155" i="52" s="1"/>
  <c r="ADK156" i="52"/>
  <c r="ADK155" i="52" s="1"/>
  <c r="ADL156" i="52"/>
  <c r="ADL155" i="52" s="1"/>
  <c r="ADM156" i="52"/>
  <c r="ADM155" i="52" s="1"/>
  <c r="ADN156" i="52"/>
  <c r="ADN155" i="52" s="1"/>
  <c r="ADO156" i="52"/>
  <c r="ADO155" i="52" s="1"/>
  <c r="ADP156" i="52"/>
  <c r="ADP155" i="52" s="1"/>
  <c r="ADQ156" i="52"/>
  <c r="ADQ155" i="52" s="1"/>
  <c r="ADR156" i="52"/>
  <c r="ADR155" i="52" s="1"/>
  <c r="ADS156" i="52"/>
  <c r="ADS155" i="52" s="1"/>
  <c r="ADT156" i="52"/>
  <c r="ADT155" i="52" s="1"/>
  <c r="ADU156" i="52"/>
  <c r="ADU155" i="52" s="1"/>
  <c r="ADV156" i="52"/>
  <c r="ADV155" i="52" s="1"/>
  <c r="ADW156" i="52"/>
  <c r="ADW155" i="52" s="1"/>
  <c r="ADX156" i="52"/>
  <c r="ADX155" i="52" s="1"/>
  <c r="ADY156" i="52"/>
  <c r="ADY155" i="52" s="1"/>
  <c r="ADZ156" i="52"/>
  <c r="ADZ155" i="52" s="1"/>
  <c r="AEA156" i="52"/>
  <c r="AEA155" i="52" s="1"/>
  <c r="AEB156" i="52"/>
  <c r="AEB155" i="52" s="1"/>
  <c r="AEC156" i="52"/>
  <c r="AEC155" i="52" s="1"/>
  <c r="AED156" i="52"/>
  <c r="AED155" i="52" s="1"/>
  <c r="AEE156" i="52"/>
  <c r="AEE155" i="52" s="1"/>
  <c r="AEF156" i="52"/>
  <c r="AEF155" i="52" s="1"/>
  <c r="AEG156" i="52"/>
  <c r="AEG155" i="52" s="1"/>
  <c r="AEH156" i="52"/>
  <c r="AEH155" i="52" s="1"/>
  <c r="AEI156" i="52"/>
  <c r="AEI155" i="52" s="1"/>
  <c r="AEJ156" i="52"/>
  <c r="AEJ155" i="52" s="1"/>
  <c r="AEK156" i="52"/>
  <c r="AEK155" i="52" s="1"/>
  <c r="AEL156" i="52"/>
  <c r="AEL155" i="52" s="1"/>
  <c r="AEM156" i="52"/>
  <c r="AEM155" i="52" s="1"/>
  <c r="AEN156" i="52"/>
  <c r="AEN155" i="52" s="1"/>
  <c r="AEO156" i="52"/>
  <c r="AEO155" i="52" s="1"/>
  <c r="AEP156" i="52"/>
  <c r="AEP155" i="52" s="1"/>
  <c r="AEQ156" i="52"/>
  <c r="AEQ155" i="52" s="1"/>
  <c r="AER156" i="52"/>
  <c r="AER155" i="52" s="1"/>
  <c r="AES156" i="52"/>
  <c r="AES155" i="52" s="1"/>
  <c r="AET156" i="52"/>
  <c r="AET155" i="52" s="1"/>
  <c r="AEU156" i="52"/>
  <c r="AEU155" i="52" s="1"/>
  <c r="AEV156" i="52"/>
  <c r="AEV155" i="52" s="1"/>
  <c r="AEW156" i="52"/>
  <c r="AEW155" i="52" s="1"/>
  <c r="AEX156" i="52"/>
  <c r="AEX155" i="52" s="1"/>
  <c r="AEY156" i="52"/>
  <c r="AEY155" i="52" s="1"/>
  <c r="AEZ156" i="52"/>
  <c r="AEZ155" i="52" s="1"/>
  <c r="AFA156" i="52"/>
  <c r="AFA155" i="52" s="1"/>
  <c r="AFB156" i="52"/>
  <c r="AFB155" i="52" s="1"/>
  <c r="AFC156" i="52"/>
  <c r="AFC155" i="52" s="1"/>
  <c r="AFD156" i="52"/>
  <c r="AFD155" i="52" s="1"/>
  <c r="AFE156" i="52"/>
  <c r="AFE155" i="52" s="1"/>
  <c r="AFF156" i="52"/>
  <c r="AFF155" i="52" s="1"/>
  <c r="AFG156" i="52"/>
  <c r="AFG155" i="52" s="1"/>
  <c r="AFH156" i="52"/>
  <c r="AFH155" i="52" s="1"/>
  <c r="AFI156" i="52"/>
  <c r="AFI155" i="52" s="1"/>
  <c r="AFJ156" i="52"/>
  <c r="AFJ155" i="52" s="1"/>
  <c r="AFK156" i="52"/>
  <c r="AFK155" i="52" s="1"/>
  <c r="AFL156" i="52"/>
  <c r="AFL155" i="52" s="1"/>
  <c r="AFM156" i="52"/>
  <c r="AFM155" i="52" s="1"/>
  <c r="AFN156" i="52"/>
  <c r="AFN155" i="52" s="1"/>
  <c r="AFO156" i="52"/>
  <c r="AFO155" i="52" s="1"/>
  <c r="AFP156" i="52"/>
  <c r="AFP155" i="52" s="1"/>
  <c r="AFQ156" i="52"/>
  <c r="AFQ155" i="52" s="1"/>
  <c r="AFR156" i="52"/>
  <c r="AFR155" i="52" s="1"/>
  <c r="AFS156" i="52"/>
  <c r="AFS155" i="52" s="1"/>
  <c r="AFT156" i="52"/>
  <c r="AFT155" i="52" s="1"/>
  <c r="AFU156" i="52"/>
  <c r="AFU155" i="52" s="1"/>
  <c r="AFV156" i="52"/>
  <c r="AFV155" i="52" s="1"/>
  <c r="AFW156" i="52"/>
  <c r="AFW155" i="52" s="1"/>
  <c r="AFX156" i="52"/>
  <c r="AFX155" i="52" s="1"/>
  <c r="AFY156" i="52"/>
  <c r="AFY155" i="52" s="1"/>
  <c r="AFZ156" i="52"/>
  <c r="AFZ155" i="52" s="1"/>
  <c r="AGA156" i="52"/>
  <c r="AGA155" i="52" s="1"/>
  <c r="AGB156" i="52"/>
  <c r="AGB155" i="52" s="1"/>
  <c r="AGC156" i="52"/>
  <c r="AGC155" i="52" s="1"/>
  <c r="AGD156" i="52"/>
  <c r="AGD155" i="52" s="1"/>
  <c r="AGE156" i="52"/>
  <c r="AGE155" i="52" s="1"/>
  <c r="AGF156" i="52"/>
  <c r="AGF155" i="52" s="1"/>
  <c r="AGG156" i="52"/>
  <c r="AGG155" i="52" s="1"/>
  <c r="AGH156" i="52"/>
  <c r="AGH155" i="52" s="1"/>
  <c r="AGI156" i="52"/>
  <c r="AGI155" i="52" s="1"/>
  <c r="AGJ156" i="52"/>
  <c r="AGJ155" i="52" s="1"/>
  <c r="AGK156" i="52"/>
  <c r="AGK155" i="52" s="1"/>
  <c r="AGL156" i="52"/>
  <c r="AGL155" i="52" s="1"/>
  <c r="AGM156" i="52"/>
  <c r="AGM155" i="52" s="1"/>
  <c r="AGN156" i="52"/>
  <c r="AGN155" i="52" s="1"/>
  <c r="AGO156" i="52"/>
  <c r="AGO155" i="52" s="1"/>
  <c r="AGP156" i="52"/>
  <c r="AGP155" i="52" s="1"/>
  <c r="AGQ156" i="52"/>
  <c r="AGQ155" i="52" s="1"/>
  <c r="AGR156" i="52"/>
  <c r="AGR155" i="52" s="1"/>
  <c r="AGS156" i="52"/>
  <c r="AGS155" i="52" s="1"/>
  <c r="AGT156" i="52"/>
  <c r="AGT155" i="52" s="1"/>
  <c r="AGU156" i="52"/>
  <c r="AGU155" i="52" s="1"/>
  <c r="AGV156" i="52"/>
  <c r="AGV155" i="52" s="1"/>
  <c r="AGW156" i="52"/>
  <c r="AGW155" i="52" s="1"/>
  <c r="AGX156" i="52"/>
  <c r="AGX155" i="52" s="1"/>
  <c r="AGY156" i="52"/>
  <c r="AGY155" i="52" s="1"/>
  <c r="AGZ156" i="52"/>
  <c r="AGZ155" i="52" s="1"/>
  <c r="AHA156" i="52"/>
  <c r="AHA155" i="52" s="1"/>
  <c r="AHB156" i="52"/>
  <c r="AHB155" i="52" s="1"/>
  <c r="AHC156" i="52"/>
  <c r="AHC155" i="52" s="1"/>
  <c r="AHD156" i="52"/>
  <c r="AHD155" i="52" s="1"/>
  <c r="AHE156" i="52"/>
  <c r="AHE155" i="52" s="1"/>
  <c r="AHF156" i="52"/>
  <c r="AHF155" i="52" s="1"/>
  <c r="AHG156" i="52"/>
  <c r="AHG155" i="52" s="1"/>
  <c r="AHH156" i="52"/>
  <c r="AHH155" i="52" s="1"/>
  <c r="AHI156" i="52"/>
  <c r="AHI155" i="52" s="1"/>
  <c r="AHJ156" i="52"/>
  <c r="AHJ155" i="52" s="1"/>
  <c r="AHK156" i="52"/>
  <c r="AHK155" i="52" s="1"/>
  <c r="AHL156" i="52"/>
  <c r="AHL155" i="52" s="1"/>
  <c r="AHM156" i="52"/>
  <c r="AHM155" i="52" s="1"/>
  <c r="AHN156" i="52"/>
  <c r="AHN155" i="52" s="1"/>
  <c r="AHO156" i="52"/>
  <c r="AHO155" i="52" s="1"/>
  <c r="AHP156" i="52"/>
  <c r="AHP155" i="52" s="1"/>
  <c r="AHQ156" i="52"/>
  <c r="AHQ155" i="52" s="1"/>
  <c r="AHR156" i="52"/>
  <c r="AHR155" i="52" s="1"/>
  <c r="AHS156" i="52"/>
  <c r="AHS155" i="52" s="1"/>
  <c r="AHT156" i="52"/>
  <c r="AHT155" i="52" s="1"/>
  <c r="D156" i="52"/>
  <c r="D155" i="52" s="1"/>
  <c r="D162" i="52"/>
  <c r="D161" i="52"/>
  <c r="D159" i="52"/>
  <c r="D160" i="52"/>
  <c r="E57" i="52"/>
  <c r="F57" i="52"/>
  <c r="G57" i="52"/>
  <c r="H57" i="52"/>
  <c r="I57" i="52"/>
  <c r="J57" i="52"/>
  <c r="K57" i="52"/>
  <c r="L57" i="52"/>
  <c r="M57" i="52"/>
  <c r="N57" i="52"/>
  <c r="O57" i="52"/>
  <c r="P57" i="52"/>
  <c r="Q57" i="52"/>
  <c r="R57" i="52"/>
  <c r="S57" i="52"/>
  <c r="T57" i="52"/>
  <c r="U57" i="52"/>
  <c r="V57" i="52"/>
  <c r="W57" i="52"/>
  <c r="X57" i="52"/>
  <c r="Y57" i="52"/>
  <c r="Z57" i="52"/>
  <c r="AA57" i="52"/>
  <c r="AB57" i="52"/>
  <c r="AC57" i="52"/>
  <c r="AD57" i="52"/>
  <c r="AE57" i="52"/>
  <c r="AF57" i="52"/>
  <c r="AG57" i="52"/>
  <c r="AH57" i="52"/>
  <c r="AI57" i="52"/>
  <c r="AJ57" i="52"/>
  <c r="AK57" i="52"/>
  <c r="AL57" i="52"/>
  <c r="AM57" i="52"/>
  <c r="AN57" i="52"/>
  <c r="AO57" i="52"/>
  <c r="AP57" i="52"/>
  <c r="AQ57" i="52"/>
  <c r="AR57" i="52"/>
  <c r="AS57" i="52"/>
  <c r="AT57" i="52"/>
  <c r="AU57" i="52"/>
  <c r="AV57" i="52"/>
  <c r="AW57" i="52"/>
  <c r="AX57" i="52"/>
  <c r="AY57" i="52"/>
  <c r="AZ57" i="52"/>
  <c r="BA57" i="52"/>
  <c r="BB57" i="52"/>
  <c r="BC57" i="52"/>
  <c r="BD57" i="52"/>
  <c r="BE57" i="52"/>
  <c r="BF57" i="52"/>
  <c r="BG57" i="52"/>
  <c r="BH57" i="52"/>
  <c r="BI57" i="52"/>
  <c r="BJ57" i="52"/>
  <c r="BK57" i="52"/>
  <c r="BL57" i="52"/>
  <c r="BM57" i="52"/>
  <c r="BN57" i="52"/>
  <c r="BO57" i="52"/>
  <c r="BP57" i="52"/>
  <c r="BQ57" i="52"/>
  <c r="BR57" i="52"/>
  <c r="BS57" i="52"/>
  <c r="BT57" i="52"/>
  <c r="BU57" i="52"/>
  <c r="BV57" i="52"/>
  <c r="BW57" i="52"/>
  <c r="BX57" i="52"/>
  <c r="BY57" i="52"/>
  <c r="BZ57" i="52"/>
  <c r="CA57" i="52"/>
  <c r="CB57" i="52"/>
  <c r="CC57" i="52"/>
  <c r="CD57" i="52"/>
  <c r="CE57" i="52"/>
  <c r="CF57" i="52"/>
  <c r="CG57" i="52"/>
  <c r="CH57" i="52"/>
  <c r="CI57" i="52"/>
  <c r="CJ57" i="52"/>
  <c r="CK57" i="52"/>
  <c r="CL57" i="52"/>
  <c r="CM57" i="52"/>
  <c r="CN57" i="52"/>
  <c r="CO57" i="52"/>
  <c r="CP57" i="52"/>
  <c r="CQ57" i="52"/>
  <c r="CR57" i="52"/>
  <c r="CS57" i="52"/>
  <c r="CT57" i="52"/>
  <c r="CU57" i="52"/>
  <c r="CV57" i="52"/>
  <c r="CW57" i="52"/>
  <c r="CX57" i="52"/>
  <c r="CY57" i="52"/>
  <c r="CZ57" i="52"/>
  <c r="DA57" i="52"/>
  <c r="DB57" i="52"/>
  <c r="DC57" i="52"/>
  <c r="DD57" i="52"/>
  <c r="DE57" i="52"/>
  <c r="DF57" i="52"/>
  <c r="DG57" i="52"/>
  <c r="DH57" i="52"/>
  <c r="DI57" i="52"/>
  <c r="DJ57" i="52"/>
  <c r="DK57" i="52"/>
  <c r="DL57" i="52"/>
  <c r="DM57" i="52"/>
  <c r="DN57" i="52"/>
  <c r="DO57" i="52"/>
  <c r="DP57" i="52"/>
  <c r="DQ57" i="52"/>
  <c r="DR57" i="52"/>
  <c r="DS57" i="52"/>
  <c r="DT57" i="52"/>
  <c r="DU57" i="52"/>
  <c r="DV57" i="52"/>
  <c r="DW57" i="52"/>
  <c r="DX57" i="52"/>
  <c r="DY57" i="52"/>
  <c r="DZ57" i="52"/>
  <c r="EA57" i="52"/>
  <c r="EB57" i="52"/>
  <c r="EC57" i="52"/>
  <c r="ED57" i="52"/>
  <c r="EE57" i="52"/>
  <c r="EF57" i="52"/>
  <c r="EG57" i="52"/>
  <c r="EH57" i="52"/>
  <c r="EI57" i="52"/>
  <c r="EJ57" i="52"/>
  <c r="EK57" i="52"/>
  <c r="EL57" i="52"/>
  <c r="EM57" i="52"/>
  <c r="EN57" i="52"/>
  <c r="EO57" i="52"/>
  <c r="EP57" i="52"/>
  <c r="EQ57" i="52"/>
  <c r="ER57" i="52"/>
  <c r="ES57" i="52"/>
  <c r="ET57" i="52"/>
  <c r="EU57" i="52"/>
  <c r="EV57" i="52"/>
  <c r="EW57" i="52"/>
  <c r="EX57" i="52"/>
  <c r="EY57" i="52"/>
  <c r="EZ57" i="52"/>
  <c r="FA57" i="52"/>
  <c r="FB57" i="52"/>
  <c r="FC57" i="52"/>
  <c r="FD57" i="52"/>
  <c r="FE57" i="52"/>
  <c r="FF57" i="52"/>
  <c r="FG57" i="52"/>
  <c r="FH57" i="52"/>
  <c r="FI57" i="52"/>
  <c r="FJ57" i="52"/>
  <c r="FK57" i="52"/>
  <c r="FL57" i="52"/>
  <c r="FM57" i="52"/>
  <c r="FN57" i="52"/>
  <c r="FO57" i="52"/>
  <c r="FP57" i="52"/>
  <c r="FQ57" i="52"/>
  <c r="FR57" i="52"/>
  <c r="FS57" i="52"/>
  <c r="FT57" i="52"/>
  <c r="FU57" i="52"/>
  <c r="FV57" i="52"/>
  <c r="FW57" i="52"/>
  <c r="FX57" i="52"/>
  <c r="FY57" i="52"/>
  <c r="FZ57" i="52"/>
  <c r="GA57" i="52"/>
  <c r="GB57" i="52"/>
  <c r="GC57" i="52"/>
  <c r="GD57" i="52"/>
  <c r="GE57" i="52"/>
  <c r="GF57" i="52"/>
  <c r="GG57" i="52"/>
  <c r="GH57" i="52"/>
  <c r="GI57" i="52"/>
  <c r="GJ57" i="52"/>
  <c r="GK57" i="52"/>
  <c r="GL57" i="52"/>
  <c r="GM57" i="52"/>
  <c r="GN57" i="52"/>
  <c r="GO57" i="52"/>
  <c r="GP57" i="52"/>
  <c r="GQ57" i="52"/>
  <c r="GR57" i="52"/>
  <c r="GS57" i="52"/>
  <c r="GT57" i="52"/>
  <c r="GU57" i="52"/>
  <c r="GV57" i="52"/>
  <c r="GW57" i="52"/>
  <c r="GX57" i="52"/>
  <c r="GY57" i="52"/>
  <c r="GZ57" i="52"/>
  <c r="HA57" i="52"/>
  <c r="HB57" i="52"/>
  <c r="HC57" i="52"/>
  <c r="HD57" i="52"/>
  <c r="HE57" i="52"/>
  <c r="HF57" i="52"/>
  <c r="HG57" i="52"/>
  <c r="HH57" i="52"/>
  <c r="HI57" i="52"/>
  <c r="HJ57" i="52"/>
  <c r="HK57" i="52"/>
  <c r="HL57" i="52"/>
  <c r="HM57" i="52"/>
  <c r="HN57" i="52"/>
  <c r="HO57" i="52"/>
  <c r="HP57" i="52"/>
  <c r="HQ57" i="52"/>
  <c r="HR57" i="52"/>
  <c r="HS57" i="52"/>
  <c r="HT57" i="52"/>
  <c r="HU57" i="52"/>
  <c r="HV57" i="52"/>
  <c r="HW57" i="52"/>
  <c r="HX57" i="52"/>
  <c r="HY57" i="52"/>
  <c r="HZ57" i="52"/>
  <c r="IA57" i="52"/>
  <c r="IB57" i="52"/>
  <c r="IC57" i="52"/>
  <c r="ID57" i="52"/>
  <c r="IE57" i="52"/>
  <c r="IF57" i="52"/>
  <c r="IG57" i="52"/>
  <c r="IH57" i="52"/>
  <c r="II57" i="52"/>
  <c r="IJ57" i="52"/>
  <c r="IK57" i="52"/>
  <c r="IL57" i="52"/>
  <c r="IM57" i="52"/>
  <c r="IN57" i="52"/>
  <c r="IO57" i="52"/>
  <c r="IP57" i="52"/>
  <c r="IQ57" i="52"/>
  <c r="IR57" i="52"/>
  <c r="IS57" i="52"/>
  <c r="IT57" i="52"/>
  <c r="IU57" i="52"/>
  <c r="IV57" i="52"/>
  <c r="IW57" i="52"/>
  <c r="IX57" i="52"/>
  <c r="IY57" i="52"/>
  <c r="IZ57" i="52"/>
  <c r="JA57" i="52"/>
  <c r="JB57" i="52"/>
  <c r="JC57" i="52"/>
  <c r="JD57" i="52"/>
  <c r="JE57" i="52"/>
  <c r="JF57" i="52"/>
  <c r="JG57" i="52"/>
  <c r="JH57" i="52"/>
  <c r="JI57" i="52"/>
  <c r="JJ57" i="52"/>
  <c r="JK57" i="52"/>
  <c r="JL57" i="52"/>
  <c r="JM57" i="52"/>
  <c r="JN57" i="52"/>
  <c r="JO57" i="52"/>
  <c r="JP57" i="52"/>
  <c r="JQ57" i="52"/>
  <c r="JR57" i="52"/>
  <c r="JS57" i="52"/>
  <c r="JS58" i="52" s="1"/>
  <c r="JT57" i="52"/>
  <c r="JU57" i="52"/>
  <c r="JV57" i="52"/>
  <c r="JW57" i="52"/>
  <c r="JX57" i="52"/>
  <c r="JY57" i="52"/>
  <c r="JZ57" i="52"/>
  <c r="KA57" i="52"/>
  <c r="KB57" i="52"/>
  <c r="KC57" i="52"/>
  <c r="KD57" i="52"/>
  <c r="KE57" i="52"/>
  <c r="KF57" i="52"/>
  <c r="KG57" i="52"/>
  <c r="KH57" i="52"/>
  <c r="KI57" i="52"/>
  <c r="KJ57" i="52"/>
  <c r="KK57" i="52"/>
  <c r="KL57" i="52"/>
  <c r="KM57" i="52"/>
  <c r="KN57" i="52"/>
  <c r="KO57" i="52"/>
  <c r="KP57" i="52"/>
  <c r="KQ57" i="52"/>
  <c r="KR57" i="52"/>
  <c r="KS57" i="52"/>
  <c r="KT57" i="52"/>
  <c r="KU57" i="52"/>
  <c r="KV57" i="52"/>
  <c r="KW57" i="52"/>
  <c r="KX57" i="52"/>
  <c r="KY57" i="52"/>
  <c r="KZ57" i="52"/>
  <c r="LA57" i="52"/>
  <c r="LB57" i="52"/>
  <c r="LC57" i="52"/>
  <c r="LD57" i="52"/>
  <c r="LE57" i="52"/>
  <c r="LF57" i="52"/>
  <c r="LG57" i="52"/>
  <c r="LH57" i="52"/>
  <c r="LI57" i="52"/>
  <c r="LJ57" i="52"/>
  <c r="LK57" i="52"/>
  <c r="LL57" i="52"/>
  <c r="LM57" i="52"/>
  <c r="LN57" i="52"/>
  <c r="LO57" i="52"/>
  <c r="LP57" i="52"/>
  <c r="LQ57" i="52"/>
  <c r="LR57" i="52"/>
  <c r="LS57" i="52"/>
  <c r="LT57" i="52"/>
  <c r="LU57" i="52"/>
  <c r="LV57" i="52"/>
  <c r="LW57" i="52"/>
  <c r="LX57" i="52"/>
  <c r="LY57" i="52"/>
  <c r="LZ57" i="52"/>
  <c r="MA57" i="52"/>
  <c r="MB57" i="52"/>
  <c r="MC57" i="52"/>
  <c r="MD57" i="52"/>
  <c r="ME57" i="52"/>
  <c r="MF57" i="52"/>
  <c r="MG57" i="52"/>
  <c r="MH57" i="52"/>
  <c r="MI57" i="52"/>
  <c r="MJ57" i="52"/>
  <c r="MK57" i="52"/>
  <c r="ML57" i="52"/>
  <c r="MM57" i="52"/>
  <c r="MN57" i="52"/>
  <c r="MO57" i="52"/>
  <c r="MP57" i="52"/>
  <c r="MQ57" i="52"/>
  <c r="MR57" i="52"/>
  <c r="MS57" i="52"/>
  <c r="MT57" i="52"/>
  <c r="MU57" i="52"/>
  <c r="MV57" i="52"/>
  <c r="MW57" i="52"/>
  <c r="MX57" i="52"/>
  <c r="MY57" i="52"/>
  <c r="MZ57" i="52"/>
  <c r="NA57" i="52"/>
  <c r="NB57" i="52"/>
  <c r="NC57" i="52"/>
  <c r="ND57" i="52"/>
  <c r="NE57" i="52"/>
  <c r="NF57" i="52"/>
  <c r="NG57" i="52"/>
  <c r="NH57" i="52"/>
  <c r="NI57" i="52"/>
  <c r="NJ57" i="52"/>
  <c r="NK57" i="52"/>
  <c r="NL57" i="52"/>
  <c r="NM57" i="52"/>
  <c r="NN57" i="52"/>
  <c r="NO57" i="52"/>
  <c r="NP57" i="52"/>
  <c r="NQ57" i="52"/>
  <c r="NR57" i="52"/>
  <c r="NS57" i="52"/>
  <c r="NT57" i="52"/>
  <c r="NU57" i="52"/>
  <c r="NV57" i="52"/>
  <c r="NW57" i="52"/>
  <c r="NX57" i="52"/>
  <c r="NY57" i="52"/>
  <c r="NZ57" i="52"/>
  <c r="OA57" i="52"/>
  <c r="OB57" i="52"/>
  <c r="OC57" i="52"/>
  <c r="OD57" i="52"/>
  <c r="OE57" i="52"/>
  <c r="OF57" i="52"/>
  <c r="OG57" i="52"/>
  <c r="OH57" i="52"/>
  <c r="OI57" i="52"/>
  <c r="OJ57" i="52"/>
  <c r="OK57" i="52"/>
  <c r="OL57" i="52"/>
  <c r="OM57" i="52"/>
  <c r="ON57" i="52"/>
  <c r="OO57" i="52"/>
  <c r="OP57" i="52"/>
  <c r="OQ57" i="52"/>
  <c r="OR57" i="52"/>
  <c r="OS57" i="52"/>
  <c r="OT57" i="52"/>
  <c r="OU57" i="52"/>
  <c r="OV57" i="52"/>
  <c r="OW57" i="52"/>
  <c r="OX57" i="52"/>
  <c r="OY57" i="52"/>
  <c r="OZ57" i="52"/>
  <c r="PA57" i="52"/>
  <c r="PB57" i="52"/>
  <c r="PC57" i="52"/>
  <c r="PD57" i="52"/>
  <c r="PE57" i="52"/>
  <c r="PF57" i="52"/>
  <c r="PG57" i="52"/>
  <c r="PH57" i="52"/>
  <c r="PI57" i="52"/>
  <c r="PJ57" i="52"/>
  <c r="PK57" i="52"/>
  <c r="PL57" i="52"/>
  <c r="PM57" i="52"/>
  <c r="PN57" i="52"/>
  <c r="PO57" i="52"/>
  <c r="PP57" i="52"/>
  <c r="PQ57" i="52"/>
  <c r="PR57" i="52"/>
  <c r="PS57" i="52"/>
  <c r="PT57" i="52"/>
  <c r="PU57" i="52"/>
  <c r="PV57" i="52"/>
  <c r="PW57" i="52"/>
  <c r="PX57" i="52"/>
  <c r="PY57" i="52"/>
  <c r="PZ57" i="52"/>
  <c r="QA57" i="52"/>
  <c r="QB57" i="52"/>
  <c r="QC57" i="52"/>
  <c r="QD57" i="52"/>
  <c r="QE57" i="52"/>
  <c r="QF57" i="52"/>
  <c r="QG57" i="52"/>
  <c r="QH57" i="52"/>
  <c r="QI57" i="52"/>
  <c r="QJ57" i="52"/>
  <c r="QK57" i="52"/>
  <c r="QL57" i="52"/>
  <c r="QM57" i="52"/>
  <c r="QN57" i="52"/>
  <c r="QO57" i="52"/>
  <c r="QP57" i="52"/>
  <c r="QQ57" i="52"/>
  <c r="QR57" i="52"/>
  <c r="QS57" i="52"/>
  <c r="QT57" i="52"/>
  <c r="QU57" i="52"/>
  <c r="QV57" i="52"/>
  <c r="QW57" i="52"/>
  <c r="QX57" i="52"/>
  <c r="QY57" i="52"/>
  <c r="QZ57" i="52"/>
  <c r="RA57" i="52"/>
  <c r="RB57" i="52"/>
  <c r="RC57" i="52"/>
  <c r="RD57" i="52"/>
  <c r="RE57" i="52"/>
  <c r="RF57" i="52"/>
  <c r="RG57" i="52"/>
  <c r="RH57" i="52"/>
  <c r="RI57" i="52"/>
  <c r="RJ57" i="52"/>
  <c r="RK57" i="52"/>
  <c r="RL57" i="52"/>
  <c r="RM57" i="52"/>
  <c r="RN57" i="52"/>
  <c r="RO57" i="52"/>
  <c r="RP57" i="52"/>
  <c r="RQ57" i="52"/>
  <c r="RR57" i="52"/>
  <c r="RS57" i="52"/>
  <c r="RT57" i="52"/>
  <c r="RU57" i="52"/>
  <c r="RV57" i="52"/>
  <c r="RW57" i="52"/>
  <c r="RX57" i="52"/>
  <c r="RY57" i="52"/>
  <c r="RZ57" i="52"/>
  <c r="SA57" i="52"/>
  <c r="SB57" i="52"/>
  <c r="SC57" i="52"/>
  <c r="SD57" i="52"/>
  <c r="SE57" i="52"/>
  <c r="SF57" i="52"/>
  <c r="SG57" i="52"/>
  <c r="SH57" i="52"/>
  <c r="SI57" i="52"/>
  <c r="SJ57" i="52"/>
  <c r="SK57" i="52"/>
  <c r="SL57" i="52"/>
  <c r="SM57" i="52"/>
  <c r="SN57" i="52"/>
  <c r="SO57" i="52"/>
  <c r="SP57" i="52"/>
  <c r="SQ57" i="52"/>
  <c r="SR57" i="52"/>
  <c r="SS57" i="52"/>
  <c r="ST57" i="52"/>
  <c r="SU57" i="52"/>
  <c r="SV57" i="52"/>
  <c r="SW57" i="52"/>
  <c r="SX57" i="52"/>
  <c r="SY57" i="52"/>
  <c r="SZ57" i="52"/>
  <c r="TA57" i="52"/>
  <c r="TB57" i="52"/>
  <c r="TC57" i="52"/>
  <c r="TD57" i="52"/>
  <c r="TE57" i="52"/>
  <c r="TF57" i="52"/>
  <c r="TG57" i="52"/>
  <c r="TH57" i="52"/>
  <c r="TI57" i="52"/>
  <c r="TJ57" i="52"/>
  <c r="TK57" i="52"/>
  <c r="TL57" i="52"/>
  <c r="TM57" i="52"/>
  <c r="TN57" i="52"/>
  <c r="TO57" i="52"/>
  <c r="TP57" i="52"/>
  <c r="TQ57" i="52"/>
  <c r="TR57" i="52"/>
  <c r="TS57" i="52"/>
  <c r="TT57" i="52"/>
  <c r="TU57" i="52"/>
  <c r="TV57" i="52"/>
  <c r="TW57" i="52"/>
  <c r="TX57" i="52"/>
  <c r="TY57" i="52"/>
  <c r="TZ57" i="52"/>
  <c r="UA57" i="52"/>
  <c r="UB57" i="52"/>
  <c r="UC57" i="52"/>
  <c r="UD57" i="52"/>
  <c r="UE57" i="52"/>
  <c r="UF57" i="52"/>
  <c r="UG57" i="52"/>
  <c r="UH57" i="52"/>
  <c r="UI57" i="52"/>
  <c r="UJ57" i="52"/>
  <c r="UK57" i="52"/>
  <c r="UL57" i="52"/>
  <c r="UM57" i="52"/>
  <c r="UN57" i="52"/>
  <c r="UO57" i="52"/>
  <c r="UP57" i="52"/>
  <c r="UQ57" i="52"/>
  <c r="UR57" i="52"/>
  <c r="US57" i="52"/>
  <c r="UT57" i="52"/>
  <c r="UU57" i="52"/>
  <c r="UV57" i="52"/>
  <c r="UW57" i="52"/>
  <c r="UX57" i="52"/>
  <c r="UY57" i="52"/>
  <c r="UZ57" i="52"/>
  <c r="VA57" i="52"/>
  <c r="VB57" i="52"/>
  <c r="VC57" i="52"/>
  <c r="VD57" i="52"/>
  <c r="VE57" i="52"/>
  <c r="VF57" i="52"/>
  <c r="VG57" i="52"/>
  <c r="VH57" i="52"/>
  <c r="VI57" i="52"/>
  <c r="VJ57" i="52"/>
  <c r="VK57" i="52"/>
  <c r="VL57" i="52"/>
  <c r="VM57" i="52"/>
  <c r="VN57" i="52"/>
  <c r="VO57" i="52"/>
  <c r="VP57" i="52"/>
  <c r="VQ57" i="52"/>
  <c r="VR57" i="52"/>
  <c r="VS57" i="52"/>
  <c r="VT57" i="52"/>
  <c r="VU57" i="52"/>
  <c r="VV57" i="52"/>
  <c r="VW57" i="52"/>
  <c r="VX57" i="52"/>
  <c r="VY57" i="52"/>
  <c r="VZ57" i="52"/>
  <c r="WA57" i="52"/>
  <c r="WB57" i="52"/>
  <c r="WC57" i="52"/>
  <c r="WD57" i="52"/>
  <c r="WE57" i="52"/>
  <c r="WF57" i="52"/>
  <c r="WG57" i="52"/>
  <c r="WH57" i="52"/>
  <c r="WI57" i="52"/>
  <c r="WJ57" i="52"/>
  <c r="WK57" i="52"/>
  <c r="WL57" i="52"/>
  <c r="WM57" i="52"/>
  <c r="WN57" i="52"/>
  <c r="WO57" i="52"/>
  <c r="WP57" i="52"/>
  <c r="WQ57" i="52"/>
  <c r="WR57" i="52"/>
  <c r="WS57" i="52"/>
  <c r="WT57" i="52"/>
  <c r="WU57" i="52"/>
  <c r="WV57" i="52"/>
  <c r="WW57" i="52"/>
  <c r="WX57" i="52"/>
  <c r="WY57" i="52"/>
  <c r="WZ57" i="52"/>
  <c r="XA57" i="52"/>
  <c r="XB57" i="52"/>
  <c r="XC57" i="52"/>
  <c r="XD57" i="52"/>
  <c r="XE57" i="52"/>
  <c r="XF57" i="52"/>
  <c r="XG57" i="52"/>
  <c r="XH57" i="52"/>
  <c r="XI57" i="52"/>
  <c r="XJ57" i="52"/>
  <c r="XK57" i="52"/>
  <c r="XL57" i="52"/>
  <c r="XM57" i="52"/>
  <c r="XN57" i="52"/>
  <c r="XO57" i="52"/>
  <c r="XP57" i="52"/>
  <c r="XQ57" i="52"/>
  <c r="XR57" i="52"/>
  <c r="XS57" i="52"/>
  <c r="XT57" i="52"/>
  <c r="XU57" i="52"/>
  <c r="XV57" i="52"/>
  <c r="XW57" i="52"/>
  <c r="XX57" i="52"/>
  <c r="XY57" i="52"/>
  <c r="XZ57" i="52"/>
  <c r="YA57" i="52"/>
  <c r="YB57" i="52"/>
  <c r="YC57" i="52"/>
  <c r="YD57" i="52"/>
  <c r="YE57" i="52"/>
  <c r="YF57" i="52"/>
  <c r="YG57" i="52"/>
  <c r="YH57" i="52"/>
  <c r="YI57" i="52"/>
  <c r="YJ57" i="52"/>
  <c r="YK57" i="52"/>
  <c r="YL57" i="52"/>
  <c r="YM57" i="52"/>
  <c r="YN57" i="52"/>
  <c r="YO57" i="52"/>
  <c r="YP57" i="52"/>
  <c r="YQ57" i="52"/>
  <c r="YR57" i="52"/>
  <c r="YS57" i="52"/>
  <c r="YT57" i="52"/>
  <c r="YU57" i="52"/>
  <c r="YV57" i="52"/>
  <c r="YW57" i="52"/>
  <c r="YX57" i="52"/>
  <c r="YY57" i="52"/>
  <c r="YZ57" i="52"/>
  <c r="ZA57" i="52"/>
  <c r="ZB57" i="52"/>
  <c r="ZC57" i="52"/>
  <c r="ZD57" i="52"/>
  <c r="ZE57" i="52"/>
  <c r="ZF57" i="52"/>
  <c r="ZG57" i="52"/>
  <c r="ZH57" i="52"/>
  <c r="ZI57" i="52"/>
  <c r="ZJ57" i="52"/>
  <c r="ZK57" i="52"/>
  <c r="ZL57" i="52"/>
  <c r="ZM57" i="52"/>
  <c r="ZN57" i="52"/>
  <c r="ZO57" i="52"/>
  <c r="ZP57" i="52"/>
  <c r="ZQ57" i="52"/>
  <c r="ZR57" i="52"/>
  <c r="ZS57" i="52"/>
  <c r="ZT57" i="52"/>
  <c r="ZU57" i="52"/>
  <c r="ZV57" i="52"/>
  <c r="ZW57" i="52"/>
  <c r="ZX57" i="52"/>
  <c r="ZY57" i="52"/>
  <c r="ZZ57" i="52"/>
  <c r="AAA57" i="52"/>
  <c r="AAB57" i="52"/>
  <c r="AAC57" i="52"/>
  <c r="AAD57" i="52"/>
  <c r="AAE57" i="52"/>
  <c r="AAF57" i="52"/>
  <c r="AAG57" i="52"/>
  <c r="AAH57" i="52"/>
  <c r="AAI57" i="52"/>
  <c r="AAJ57" i="52"/>
  <c r="AAK57" i="52"/>
  <c r="AAL57" i="52"/>
  <c r="AAM57" i="52"/>
  <c r="AAN57" i="52"/>
  <c r="AAO57" i="52"/>
  <c r="AAP57" i="52"/>
  <c r="AAQ57" i="52"/>
  <c r="AAR57" i="52"/>
  <c r="AAS57" i="52"/>
  <c r="AAT57" i="52"/>
  <c r="AAU57" i="52"/>
  <c r="AAV57" i="52"/>
  <c r="AAW57" i="52"/>
  <c r="AAX57" i="52"/>
  <c r="AAY57" i="52"/>
  <c r="AAZ57" i="52"/>
  <c r="ABA57" i="52"/>
  <c r="ABB57" i="52"/>
  <c r="ABC57" i="52"/>
  <c r="ABD57" i="52"/>
  <c r="ABE57" i="52"/>
  <c r="ABF57" i="52"/>
  <c r="ABG57" i="52"/>
  <c r="ABH57" i="52"/>
  <c r="ABI57" i="52"/>
  <c r="ABJ57" i="52"/>
  <c r="ABK57" i="52"/>
  <c r="ABL57" i="52"/>
  <c r="ABM57" i="52"/>
  <c r="ABN57" i="52"/>
  <c r="ABO57" i="52"/>
  <c r="ABP57" i="52"/>
  <c r="ABQ57" i="52"/>
  <c r="ABR57" i="52"/>
  <c r="ABS57" i="52"/>
  <c r="ABT57" i="52"/>
  <c r="ABU57" i="52"/>
  <c r="ABV57" i="52"/>
  <c r="ABW57" i="52"/>
  <c r="ABX57" i="52"/>
  <c r="ABY57" i="52"/>
  <c r="ABZ57" i="52"/>
  <c r="ACA57" i="52"/>
  <c r="ACB57" i="52"/>
  <c r="ACC57" i="52"/>
  <c r="ACD57" i="52"/>
  <c r="ACE57" i="52"/>
  <c r="ACF57" i="52"/>
  <c r="ACG57" i="52"/>
  <c r="ACH57" i="52"/>
  <c r="ACI57" i="52"/>
  <c r="ACJ57" i="52"/>
  <c r="ACK57" i="52"/>
  <c r="ACL57" i="52"/>
  <c r="ACM57" i="52"/>
  <c r="ACN57" i="52"/>
  <c r="ACO57" i="52"/>
  <c r="ACP57" i="52"/>
  <c r="ACQ57" i="52"/>
  <c r="ACR57" i="52"/>
  <c r="ACS57" i="52"/>
  <c r="ACT57" i="52"/>
  <c r="ACU57" i="52"/>
  <c r="ACV57" i="52"/>
  <c r="ACW57" i="52"/>
  <c r="ACX57" i="52"/>
  <c r="ACY57" i="52"/>
  <c r="ACZ57" i="52"/>
  <c r="ADA57" i="52"/>
  <c r="ADB57" i="52"/>
  <c r="ADC57" i="52"/>
  <c r="ADD57" i="52"/>
  <c r="ADE57" i="52"/>
  <c r="ADF57" i="52"/>
  <c r="ADG57" i="52"/>
  <c r="ADH57" i="52"/>
  <c r="ADI57" i="52"/>
  <c r="ADJ57" i="52"/>
  <c r="ADK57" i="52"/>
  <c r="ADL57" i="52"/>
  <c r="ADM57" i="52"/>
  <c r="ADN57" i="52"/>
  <c r="ADO57" i="52"/>
  <c r="ADP57" i="52"/>
  <c r="ADQ57" i="52"/>
  <c r="ADR57" i="52"/>
  <c r="ADS57" i="52"/>
  <c r="ADT57" i="52"/>
  <c r="ADU57" i="52"/>
  <c r="ADV57" i="52"/>
  <c r="ADW57" i="52"/>
  <c r="ADX57" i="52"/>
  <c r="ADY57" i="52"/>
  <c r="ADZ57" i="52"/>
  <c r="AEA57" i="52"/>
  <c r="AEB57" i="52"/>
  <c r="AEC57" i="52"/>
  <c r="AED57" i="52"/>
  <c r="AEE57" i="52"/>
  <c r="AEF57" i="52"/>
  <c r="AEG57" i="52"/>
  <c r="AEH57" i="52"/>
  <c r="AEI57" i="52"/>
  <c r="AEJ57" i="52"/>
  <c r="AEK57" i="52"/>
  <c r="AEL57" i="52"/>
  <c r="AEM57" i="52"/>
  <c r="AEN57" i="52"/>
  <c r="AEO57" i="52"/>
  <c r="AEP57" i="52"/>
  <c r="AEQ57" i="52"/>
  <c r="AER57" i="52"/>
  <c r="AES57" i="52"/>
  <c r="AET57" i="52"/>
  <c r="AEU57" i="52"/>
  <c r="AEV57" i="52"/>
  <c r="AEW57" i="52"/>
  <c r="AEX57" i="52"/>
  <c r="AEY57" i="52"/>
  <c r="AEZ57" i="52"/>
  <c r="AFA57" i="52"/>
  <c r="AFB57" i="52"/>
  <c r="AFC57" i="52"/>
  <c r="AFD57" i="52"/>
  <c r="AFE57" i="52"/>
  <c r="AFF57" i="52"/>
  <c r="AFG57" i="52"/>
  <c r="AFH57" i="52"/>
  <c r="AFI57" i="52"/>
  <c r="AFJ57" i="52"/>
  <c r="AFK57" i="52"/>
  <c r="AFL57" i="52"/>
  <c r="AFM57" i="52"/>
  <c r="AFN57" i="52"/>
  <c r="AFO57" i="52"/>
  <c r="AFP57" i="52"/>
  <c r="AFQ57" i="52"/>
  <c r="AFR57" i="52"/>
  <c r="AFS57" i="52"/>
  <c r="AFT57" i="52"/>
  <c r="AFU57" i="52"/>
  <c r="AFV57" i="52"/>
  <c r="AFW57" i="52"/>
  <c r="AFX57" i="52"/>
  <c r="AFY57" i="52"/>
  <c r="AFZ57" i="52"/>
  <c r="AGA57" i="52"/>
  <c r="AGB57" i="52"/>
  <c r="AGC57" i="52"/>
  <c r="AGD57" i="52"/>
  <c r="AGE57" i="52"/>
  <c r="AGF57" i="52"/>
  <c r="AGG57" i="52"/>
  <c r="AGH57" i="52"/>
  <c r="AGI57" i="52"/>
  <c r="AGJ57" i="52"/>
  <c r="AGK57" i="52"/>
  <c r="AGL57" i="52"/>
  <c r="AGM57" i="52"/>
  <c r="AGN57" i="52"/>
  <c r="AGO57" i="52"/>
  <c r="AGP57" i="52"/>
  <c r="AGQ57" i="52"/>
  <c r="AGR57" i="52"/>
  <c r="AGS57" i="52"/>
  <c r="AGT57" i="52"/>
  <c r="AGU57" i="52"/>
  <c r="AGV57" i="52"/>
  <c r="AGW57" i="52"/>
  <c r="AGX57" i="52"/>
  <c r="AGY57" i="52"/>
  <c r="AGZ57" i="52"/>
  <c r="AHA57" i="52"/>
  <c r="AHB57" i="52"/>
  <c r="AHC57" i="52"/>
  <c r="AHD57" i="52"/>
  <c r="AHE57" i="52"/>
  <c r="AHF57" i="52"/>
  <c r="AHG57" i="52"/>
  <c r="AHH57" i="52"/>
  <c r="AHI57" i="52"/>
  <c r="AHJ57" i="52"/>
  <c r="AHK57" i="52"/>
  <c r="AHL57" i="52"/>
  <c r="AHM57" i="52"/>
  <c r="AHN57" i="52"/>
  <c r="AHO57" i="52"/>
  <c r="AHP57" i="52"/>
  <c r="AHQ57" i="52"/>
  <c r="AHR57" i="52"/>
  <c r="AHS57" i="52"/>
  <c r="AHT57" i="52"/>
  <c r="E58" i="52"/>
  <c r="F58" i="52"/>
  <c r="G58" i="52"/>
  <c r="H58" i="52"/>
  <c r="I58" i="52"/>
  <c r="J58" i="52"/>
  <c r="K58" i="52"/>
  <c r="L58" i="52"/>
  <c r="M58" i="52"/>
  <c r="N58" i="52"/>
  <c r="O58" i="52"/>
  <c r="P58" i="52"/>
  <c r="Q58" i="52"/>
  <c r="R58" i="52"/>
  <c r="S58" i="52"/>
  <c r="T58" i="52"/>
  <c r="U58" i="52"/>
  <c r="V58" i="52"/>
  <c r="W58" i="52"/>
  <c r="X58" i="52"/>
  <c r="Y58" i="52"/>
  <c r="Z58" i="52"/>
  <c r="AA58" i="52"/>
  <c r="AB58" i="52"/>
  <c r="AC58" i="52"/>
  <c r="AD58" i="52"/>
  <c r="AE58" i="52"/>
  <c r="AF58" i="52"/>
  <c r="AG58" i="52"/>
  <c r="AH58" i="52"/>
  <c r="AI58" i="52"/>
  <c r="AJ58" i="52"/>
  <c r="AK58" i="52"/>
  <c r="AL58" i="52"/>
  <c r="AM58" i="52"/>
  <c r="AN58" i="52"/>
  <c r="AO58" i="52"/>
  <c r="AP58" i="52"/>
  <c r="AQ58" i="52"/>
  <c r="AR58" i="52"/>
  <c r="AS58" i="52"/>
  <c r="AT58" i="52"/>
  <c r="AU58" i="52"/>
  <c r="AV58" i="52"/>
  <c r="AW58" i="52"/>
  <c r="AX58" i="52"/>
  <c r="AY58" i="52"/>
  <c r="AZ58" i="52"/>
  <c r="BA58" i="52"/>
  <c r="BB58" i="52"/>
  <c r="BC58" i="52"/>
  <c r="BD58" i="52"/>
  <c r="BE58" i="52"/>
  <c r="BF58" i="52"/>
  <c r="BG58" i="52"/>
  <c r="BH58" i="52"/>
  <c r="BI58" i="52"/>
  <c r="BJ58" i="52"/>
  <c r="BK58" i="52"/>
  <c r="BL58" i="52"/>
  <c r="BM58" i="52"/>
  <c r="BN58" i="52"/>
  <c r="BO58" i="52"/>
  <c r="BP58" i="52"/>
  <c r="BQ58" i="52"/>
  <c r="BR58" i="52"/>
  <c r="BS58" i="52"/>
  <c r="BT58" i="52"/>
  <c r="BU58" i="52"/>
  <c r="BV58" i="52"/>
  <c r="BW58" i="52"/>
  <c r="BX58" i="52"/>
  <c r="BY58" i="52"/>
  <c r="BZ58" i="52"/>
  <c r="CA58" i="52"/>
  <c r="CB58" i="52"/>
  <c r="CC58" i="52"/>
  <c r="CD58" i="52"/>
  <c r="CE58" i="52"/>
  <c r="CF58" i="52"/>
  <c r="CG58" i="52"/>
  <c r="CH58" i="52"/>
  <c r="CI58" i="52"/>
  <c r="CJ58" i="52"/>
  <c r="CK58" i="52"/>
  <c r="CL58" i="52"/>
  <c r="CM58" i="52"/>
  <c r="CN58" i="52"/>
  <c r="CO58" i="52"/>
  <c r="CP58" i="52"/>
  <c r="CQ58" i="52"/>
  <c r="CR58" i="52"/>
  <c r="CS58" i="52"/>
  <c r="CT58" i="52"/>
  <c r="CU58" i="52"/>
  <c r="CV58" i="52"/>
  <c r="CW58" i="52"/>
  <c r="CX58" i="52"/>
  <c r="CY58" i="52"/>
  <c r="CZ58" i="52"/>
  <c r="DA58" i="52"/>
  <c r="DB58" i="52"/>
  <c r="DC58" i="52"/>
  <c r="DD58" i="52"/>
  <c r="DE58" i="52"/>
  <c r="DF58" i="52"/>
  <c r="DG58" i="52"/>
  <c r="DH58" i="52"/>
  <c r="DI58" i="52"/>
  <c r="DJ58" i="52"/>
  <c r="DK58" i="52"/>
  <c r="DL58" i="52"/>
  <c r="DM58" i="52"/>
  <c r="DN58" i="52"/>
  <c r="DO58" i="52"/>
  <c r="DP58" i="52"/>
  <c r="DQ58" i="52"/>
  <c r="DR58" i="52"/>
  <c r="DS58" i="52"/>
  <c r="DT58" i="52"/>
  <c r="DU58" i="52"/>
  <c r="DV58" i="52"/>
  <c r="DW58" i="52"/>
  <c r="DX58" i="52"/>
  <c r="DY58" i="52"/>
  <c r="DZ58" i="52"/>
  <c r="EA58" i="52"/>
  <c r="EB58" i="52"/>
  <c r="EC58" i="52"/>
  <c r="ED58" i="52"/>
  <c r="EE58" i="52"/>
  <c r="EF58" i="52"/>
  <c r="EG58" i="52"/>
  <c r="EH58" i="52"/>
  <c r="EI58" i="52"/>
  <c r="EJ58" i="52"/>
  <c r="EK58" i="52"/>
  <c r="EL58" i="52"/>
  <c r="EM58" i="52"/>
  <c r="EN58" i="52"/>
  <c r="EO58" i="52"/>
  <c r="EP58" i="52"/>
  <c r="EQ58" i="52"/>
  <c r="ER58" i="52"/>
  <c r="ES58" i="52"/>
  <c r="ET58" i="52"/>
  <c r="EU58" i="52"/>
  <c r="EV58" i="52"/>
  <c r="EW58" i="52"/>
  <c r="EX58" i="52"/>
  <c r="EY58" i="52"/>
  <c r="EZ58" i="52"/>
  <c r="FA58" i="52"/>
  <c r="FB58" i="52"/>
  <c r="FC58" i="52"/>
  <c r="FD58" i="52"/>
  <c r="FE58" i="52"/>
  <c r="FF58" i="52"/>
  <c r="FG58" i="52"/>
  <c r="FH58" i="52"/>
  <c r="FI58" i="52"/>
  <c r="FJ58" i="52"/>
  <c r="FK58" i="52"/>
  <c r="FL58" i="52"/>
  <c r="FM58" i="52"/>
  <c r="FN58" i="52"/>
  <c r="FO58" i="52"/>
  <c r="FP58" i="52"/>
  <c r="FQ58" i="52"/>
  <c r="FR58" i="52"/>
  <c r="FS58" i="52"/>
  <c r="FT58" i="52"/>
  <c r="FU58" i="52"/>
  <c r="FV58" i="52"/>
  <c r="FW58" i="52"/>
  <c r="FX58" i="52"/>
  <c r="FY58" i="52"/>
  <c r="FZ58" i="52"/>
  <c r="GA58" i="52"/>
  <c r="GB58" i="52"/>
  <c r="GC58" i="52"/>
  <c r="GD58" i="52"/>
  <c r="GE58" i="52"/>
  <c r="GF58" i="52"/>
  <c r="GG58" i="52"/>
  <c r="GH58" i="52"/>
  <c r="GI58" i="52"/>
  <c r="GJ58" i="52"/>
  <c r="GK58" i="52"/>
  <c r="GL58" i="52"/>
  <c r="GM58" i="52"/>
  <c r="GN58" i="52"/>
  <c r="GO58" i="52"/>
  <c r="GP58" i="52"/>
  <c r="GQ58" i="52"/>
  <c r="GR58" i="52"/>
  <c r="GS58" i="52"/>
  <c r="GT58" i="52"/>
  <c r="GU58" i="52"/>
  <c r="GV58" i="52"/>
  <c r="GW58" i="52"/>
  <c r="GX58" i="52"/>
  <c r="GY58" i="52"/>
  <c r="GZ58" i="52"/>
  <c r="HA58" i="52"/>
  <c r="HB58" i="52"/>
  <c r="HC58" i="52"/>
  <c r="HD58" i="52"/>
  <c r="HE58" i="52"/>
  <c r="HF58" i="52"/>
  <c r="HG58" i="52"/>
  <c r="HH58" i="52"/>
  <c r="HI58" i="52"/>
  <c r="HJ58" i="52"/>
  <c r="HK58" i="52"/>
  <c r="HL58" i="52"/>
  <c r="HM58" i="52"/>
  <c r="HN58" i="52"/>
  <c r="HO58" i="52"/>
  <c r="HP58" i="52"/>
  <c r="HQ58" i="52"/>
  <c r="HR58" i="52"/>
  <c r="HS58" i="52"/>
  <c r="HT58" i="52"/>
  <c r="HU58" i="52"/>
  <c r="HV58" i="52"/>
  <c r="HW58" i="52"/>
  <c r="HX58" i="52"/>
  <c r="HY58" i="52"/>
  <c r="HZ58" i="52"/>
  <c r="IA58" i="52"/>
  <c r="IB58" i="52"/>
  <c r="IC58" i="52"/>
  <c r="ID58" i="52"/>
  <c r="IE58" i="52"/>
  <c r="IF58" i="52"/>
  <c r="IG58" i="52"/>
  <c r="IH58" i="52"/>
  <c r="II58" i="52"/>
  <c r="IJ58" i="52"/>
  <c r="IK58" i="52"/>
  <c r="IL58" i="52"/>
  <c r="IM58" i="52"/>
  <c r="IN58" i="52"/>
  <c r="IO58" i="52"/>
  <c r="IP58" i="52"/>
  <c r="IQ58" i="52"/>
  <c r="IR58" i="52"/>
  <c r="IS58" i="52"/>
  <c r="IT58" i="52"/>
  <c r="IU58" i="52"/>
  <c r="IV58" i="52"/>
  <c r="IW58" i="52"/>
  <c r="IX58" i="52"/>
  <c r="IY58" i="52"/>
  <c r="IZ58" i="52"/>
  <c r="JA58" i="52"/>
  <c r="JB58" i="52"/>
  <c r="JC58" i="52"/>
  <c r="JD58" i="52"/>
  <c r="JE58" i="52"/>
  <c r="JF58" i="52"/>
  <c r="JG58" i="52"/>
  <c r="JH58" i="52"/>
  <c r="JI58" i="52"/>
  <c r="JJ58" i="52"/>
  <c r="JK58" i="52"/>
  <c r="JL58" i="52"/>
  <c r="JM58" i="52"/>
  <c r="JN58" i="52"/>
  <c r="JO58" i="52"/>
  <c r="JP58" i="52"/>
  <c r="JQ58" i="52"/>
  <c r="JR58" i="52"/>
  <c r="JT58" i="52"/>
  <c r="JU58" i="52"/>
  <c r="JV58" i="52"/>
  <c r="JW58" i="52"/>
  <c r="JX58" i="52"/>
  <c r="JY58" i="52"/>
  <c r="JZ58" i="52"/>
  <c r="KA58" i="52"/>
  <c r="KB58" i="52"/>
  <c r="KC58" i="52"/>
  <c r="KD58" i="52"/>
  <c r="KE58" i="52"/>
  <c r="KF58" i="52"/>
  <c r="KG58" i="52"/>
  <c r="KH58" i="52"/>
  <c r="KI58" i="52"/>
  <c r="KJ58" i="52"/>
  <c r="KK58" i="52"/>
  <c r="KL58" i="52"/>
  <c r="KM58" i="52"/>
  <c r="KN58" i="52"/>
  <c r="KO58" i="52"/>
  <c r="KP58" i="52"/>
  <c r="KQ58" i="52"/>
  <c r="KR58" i="52"/>
  <c r="KS58" i="52"/>
  <c r="KT58" i="52"/>
  <c r="KU58" i="52"/>
  <c r="KV58" i="52"/>
  <c r="KW58" i="52"/>
  <c r="KX58" i="52"/>
  <c r="KY58" i="52"/>
  <c r="KZ58" i="52"/>
  <c r="LA58" i="52"/>
  <c r="LB58" i="52"/>
  <c r="LC58" i="52"/>
  <c r="LD58" i="52"/>
  <c r="LE58" i="52"/>
  <c r="LF58" i="52"/>
  <c r="LG58" i="52"/>
  <c r="LH58" i="52"/>
  <c r="LI58" i="52"/>
  <c r="LJ58" i="52"/>
  <c r="LK58" i="52"/>
  <c r="LL58" i="52"/>
  <c r="LM58" i="52"/>
  <c r="LN58" i="52"/>
  <c r="LO58" i="52"/>
  <c r="LP58" i="52"/>
  <c r="LQ58" i="52"/>
  <c r="LR58" i="52"/>
  <c r="LS58" i="52"/>
  <c r="LT58" i="52"/>
  <c r="LU58" i="52"/>
  <c r="LV58" i="52"/>
  <c r="LW58" i="52"/>
  <c r="LX58" i="52"/>
  <c r="LY58" i="52"/>
  <c r="LZ58" i="52"/>
  <c r="MA58" i="52"/>
  <c r="MB58" i="52"/>
  <c r="MC58" i="52"/>
  <c r="MD58" i="52"/>
  <c r="ME58" i="52"/>
  <c r="MF58" i="52"/>
  <c r="MG58" i="52"/>
  <c r="MH58" i="52"/>
  <c r="MI58" i="52"/>
  <c r="MJ58" i="52"/>
  <c r="MK58" i="52"/>
  <c r="ML58" i="52"/>
  <c r="MM58" i="52"/>
  <c r="MN58" i="52"/>
  <c r="MO58" i="52"/>
  <c r="MP58" i="52"/>
  <c r="MQ58" i="52"/>
  <c r="MR58" i="52"/>
  <c r="MS58" i="52"/>
  <c r="MT58" i="52"/>
  <c r="MU58" i="52"/>
  <c r="MV58" i="52"/>
  <c r="MW58" i="52"/>
  <c r="MX58" i="52"/>
  <c r="MY58" i="52"/>
  <c r="MZ58" i="52"/>
  <c r="NA58" i="52"/>
  <c r="NB58" i="52"/>
  <c r="NC58" i="52"/>
  <c r="ND58" i="52"/>
  <c r="NE58" i="52"/>
  <c r="NF58" i="52"/>
  <c r="NG58" i="52"/>
  <c r="NH58" i="52"/>
  <c r="NI58" i="52"/>
  <c r="NJ58" i="52"/>
  <c r="NK58" i="52"/>
  <c r="NL58" i="52"/>
  <c r="NM58" i="52"/>
  <c r="NN58" i="52"/>
  <c r="NO58" i="52"/>
  <c r="NP58" i="52"/>
  <c r="NQ58" i="52"/>
  <c r="NR58" i="52"/>
  <c r="NS58" i="52"/>
  <c r="NT58" i="52"/>
  <c r="NU58" i="52"/>
  <c r="NV58" i="52"/>
  <c r="NW58" i="52"/>
  <c r="NX58" i="52"/>
  <c r="NY58" i="52"/>
  <c r="NZ58" i="52"/>
  <c r="OA58" i="52"/>
  <c r="OB58" i="52"/>
  <c r="OC58" i="52"/>
  <c r="OD58" i="52"/>
  <c r="OE58" i="52"/>
  <c r="OF58" i="52"/>
  <c r="OG58" i="52"/>
  <c r="OH58" i="52"/>
  <c r="OI58" i="52"/>
  <c r="OJ58" i="52"/>
  <c r="OK58" i="52"/>
  <c r="OL58" i="52"/>
  <c r="OM58" i="52"/>
  <c r="ON58" i="52"/>
  <c r="OO58" i="52"/>
  <c r="OP58" i="52"/>
  <c r="OQ58" i="52"/>
  <c r="OR58" i="52"/>
  <c r="OS58" i="52"/>
  <c r="OT58" i="52"/>
  <c r="OU58" i="52"/>
  <c r="OV58" i="52"/>
  <c r="OW58" i="52"/>
  <c r="OX58" i="52"/>
  <c r="OY58" i="52"/>
  <c r="OZ58" i="52"/>
  <c r="PA58" i="52"/>
  <c r="PB58" i="52"/>
  <c r="PC58" i="52"/>
  <c r="PD58" i="52"/>
  <c r="PE58" i="52"/>
  <c r="PF58" i="52"/>
  <c r="PG58" i="52"/>
  <c r="PH58" i="52"/>
  <c r="PI58" i="52"/>
  <c r="PJ58" i="52"/>
  <c r="PK58" i="52"/>
  <c r="PL58" i="52"/>
  <c r="PM58" i="52"/>
  <c r="PN58" i="52"/>
  <c r="PO58" i="52"/>
  <c r="PP58" i="52"/>
  <c r="PQ58" i="52"/>
  <c r="PR58" i="52"/>
  <c r="PS58" i="52"/>
  <c r="PT58" i="52"/>
  <c r="PU58" i="52"/>
  <c r="PV58" i="52"/>
  <c r="PW58" i="52"/>
  <c r="PX58" i="52"/>
  <c r="PY58" i="52"/>
  <c r="PZ58" i="52"/>
  <c r="QA58" i="52"/>
  <c r="QB58" i="52"/>
  <c r="QC58" i="52"/>
  <c r="QD58" i="52"/>
  <c r="QE58" i="52"/>
  <c r="QF58" i="52"/>
  <c r="QG58" i="52"/>
  <c r="QH58" i="52"/>
  <c r="QI58" i="52"/>
  <c r="QJ58" i="52"/>
  <c r="QK58" i="52"/>
  <c r="QL58" i="52"/>
  <c r="QM58" i="52"/>
  <c r="QN58" i="52"/>
  <c r="QO58" i="52"/>
  <c r="QP58" i="52"/>
  <c r="QQ58" i="52"/>
  <c r="QR58" i="52"/>
  <c r="QS58" i="52"/>
  <c r="QT58" i="52"/>
  <c r="QU58" i="52"/>
  <c r="QV58" i="52"/>
  <c r="QW58" i="52"/>
  <c r="QX58" i="52"/>
  <c r="QY58" i="52"/>
  <c r="QZ58" i="52"/>
  <c r="RA58" i="52"/>
  <c r="RB58" i="52"/>
  <c r="RC58" i="52"/>
  <c r="RD58" i="52"/>
  <c r="RE58" i="52"/>
  <c r="RF58" i="52"/>
  <c r="RG58" i="52"/>
  <c r="RH58" i="52"/>
  <c r="RI58" i="52"/>
  <c r="RJ58" i="52"/>
  <c r="RK58" i="52"/>
  <c r="RL58" i="52"/>
  <c r="RM58" i="52"/>
  <c r="RN58" i="52"/>
  <c r="RO58" i="52"/>
  <c r="RP58" i="52"/>
  <c r="RQ58" i="52"/>
  <c r="RR58" i="52"/>
  <c r="RS58" i="52"/>
  <c r="RT58" i="52"/>
  <c r="RU58" i="52"/>
  <c r="RV58" i="52"/>
  <c r="RW58" i="52"/>
  <c r="RX58" i="52"/>
  <c r="RY58" i="52"/>
  <c r="RZ58" i="52"/>
  <c r="SA58" i="52"/>
  <c r="SB58" i="52"/>
  <c r="SC58" i="52"/>
  <c r="SD58" i="52"/>
  <c r="SE58" i="52"/>
  <c r="SF58" i="52"/>
  <c r="SG58" i="52"/>
  <c r="SH58" i="52"/>
  <c r="SI58" i="52"/>
  <c r="SJ58" i="52"/>
  <c r="SK58" i="52"/>
  <c r="SL58" i="52"/>
  <c r="SM58" i="52"/>
  <c r="SN58" i="52"/>
  <c r="SO58" i="52"/>
  <c r="SP58" i="52"/>
  <c r="SQ58" i="52"/>
  <c r="SR58" i="52"/>
  <c r="SS58" i="52"/>
  <c r="ST58" i="52"/>
  <c r="SU58" i="52"/>
  <c r="SV58" i="52"/>
  <c r="SW58" i="52"/>
  <c r="SX58" i="52"/>
  <c r="SY58" i="52"/>
  <c r="SZ58" i="52"/>
  <c r="TA58" i="52"/>
  <c r="TB58" i="52"/>
  <c r="TC58" i="52"/>
  <c r="TD58" i="52"/>
  <c r="TE58" i="52"/>
  <c r="TF58" i="52"/>
  <c r="TG58" i="52"/>
  <c r="TH58" i="52"/>
  <c r="TI58" i="52"/>
  <c r="TJ58" i="52"/>
  <c r="TK58" i="52"/>
  <c r="TL58" i="52"/>
  <c r="TM58" i="52"/>
  <c r="TN58" i="52"/>
  <c r="TO58" i="52"/>
  <c r="TP58" i="52"/>
  <c r="TQ58" i="52"/>
  <c r="TR58" i="52"/>
  <c r="TS58" i="52"/>
  <c r="TT58" i="52"/>
  <c r="TU58" i="52"/>
  <c r="TV58" i="52"/>
  <c r="TW58" i="52"/>
  <c r="TX58" i="52"/>
  <c r="TY58" i="52"/>
  <c r="TZ58" i="52"/>
  <c r="UA58" i="52"/>
  <c r="UB58" i="52"/>
  <c r="UC58" i="52"/>
  <c r="UD58" i="52"/>
  <c r="UE58" i="52"/>
  <c r="UF58" i="52"/>
  <c r="UG58" i="52"/>
  <c r="UH58" i="52"/>
  <c r="UI58" i="52"/>
  <c r="UJ58" i="52"/>
  <c r="UK58" i="52"/>
  <c r="UL58" i="52"/>
  <c r="UM58" i="52"/>
  <c r="UN58" i="52"/>
  <c r="UO58" i="52"/>
  <c r="UP58" i="52"/>
  <c r="UQ58" i="52"/>
  <c r="UR58" i="52"/>
  <c r="US58" i="52"/>
  <c r="UT58" i="52"/>
  <c r="UU58" i="52"/>
  <c r="UV58" i="52"/>
  <c r="UW58" i="52"/>
  <c r="UX58" i="52"/>
  <c r="UY58" i="52"/>
  <c r="UZ58" i="52"/>
  <c r="VA58" i="52"/>
  <c r="VB58" i="52"/>
  <c r="VC58" i="52"/>
  <c r="VD58" i="52"/>
  <c r="VE58" i="52"/>
  <c r="VF58" i="52"/>
  <c r="VG58" i="52"/>
  <c r="VH58" i="52"/>
  <c r="VI58" i="52"/>
  <c r="VJ58" i="52"/>
  <c r="VK58" i="52"/>
  <c r="VL58" i="52"/>
  <c r="VM58" i="52"/>
  <c r="VN58" i="52"/>
  <c r="VO58" i="52"/>
  <c r="VP58" i="52"/>
  <c r="VQ58" i="52"/>
  <c r="VR58" i="52"/>
  <c r="VS58" i="52"/>
  <c r="VT58" i="52"/>
  <c r="VU58" i="52"/>
  <c r="VV58" i="52"/>
  <c r="VW58" i="52"/>
  <c r="VX58" i="52"/>
  <c r="VY58" i="52"/>
  <c r="VZ58" i="52"/>
  <c r="WA58" i="52"/>
  <c r="WB58" i="52"/>
  <c r="WC58" i="52"/>
  <c r="WD58" i="52"/>
  <c r="WE58" i="52"/>
  <c r="WF58" i="52"/>
  <c r="WG58" i="52"/>
  <c r="WH58" i="52"/>
  <c r="WI58" i="52"/>
  <c r="WJ58" i="52"/>
  <c r="WK58" i="52"/>
  <c r="WL58" i="52"/>
  <c r="WM58" i="52"/>
  <c r="WN58" i="52"/>
  <c r="WO58" i="52"/>
  <c r="WP58" i="52"/>
  <c r="WQ58" i="52"/>
  <c r="WR58" i="52"/>
  <c r="WS58" i="52"/>
  <c r="WT58" i="52"/>
  <c r="WU58" i="52"/>
  <c r="WV58" i="52"/>
  <c r="WW58" i="52"/>
  <c r="WX58" i="52"/>
  <c r="WY58" i="52"/>
  <c r="WZ58" i="52"/>
  <c r="XA58" i="52"/>
  <c r="XB58" i="52"/>
  <c r="XC58" i="52"/>
  <c r="XD58" i="52"/>
  <c r="XE58" i="52"/>
  <c r="XF58" i="52"/>
  <c r="XG58" i="52"/>
  <c r="XH58" i="52"/>
  <c r="XI58" i="52"/>
  <c r="XJ58" i="52"/>
  <c r="XK58" i="52"/>
  <c r="XL58" i="52"/>
  <c r="XM58" i="52"/>
  <c r="XN58" i="52"/>
  <c r="XO58" i="52"/>
  <c r="XP58" i="52"/>
  <c r="XQ58" i="52"/>
  <c r="XR58" i="52"/>
  <c r="XS58" i="52"/>
  <c r="XT58" i="52"/>
  <c r="XU58" i="52"/>
  <c r="XV58" i="52"/>
  <c r="XW58" i="52"/>
  <c r="XX58" i="52"/>
  <c r="XY58" i="52"/>
  <c r="XZ58" i="52"/>
  <c r="YA58" i="52"/>
  <c r="YB58" i="52"/>
  <c r="YC58" i="52"/>
  <c r="YD58" i="52"/>
  <c r="YE58" i="52"/>
  <c r="YF58" i="52"/>
  <c r="YG58" i="52"/>
  <c r="YH58" i="52"/>
  <c r="YI58" i="52"/>
  <c r="YJ58" i="52"/>
  <c r="YK58" i="52"/>
  <c r="YL58" i="52"/>
  <c r="YM58" i="52"/>
  <c r="YN58" i="52"/>
  <c r="YO58" i="52"/>
  <c r="YP58" i="52"/>
  <c r="YQ58" i="52"/>
  <c r="YR58" i="52"/>
  <c r="YS58" i="52"/>
  <c r="YT58" i="52"/>
  <c r="YU58" i="52"/>
  <c r="YV58" i="52"/>
  <c r="YW58" i="52"/>
  <c r="YX58" i="52"/>
  <c r="YY58" i="52"/>
  <c r="YZ58" i="52"/>
  <c r="ZA58" i="52"/>
  <c r="ZB58" i="52"/>
  <c r="ZC58" i="52"/>
  <c r="ZD58" i="52"/>
  <c r="ZE58" i="52"/>
  <c r="ZF58" i="52"/>
  <c r="ZG58" i="52"/>
  <c r="ZH58" i="52"/>
  <c r="ZI58" i="52"/>
  <c r="ZJ58" i="52"/>
  <c r="ZK58" i="52"/>
  <c r="ZL58" i="52"/>
  <c r="ZM58" i="52"/>
  <c r="ZN58" i="52"/>
  <c r="ZO58" i="52"/>
  <c r="ZP58" i="52"/>
  <c r="ZQ58" i="52"/>
  <c r="ZR58" i="52"/>
  <c r="ZS58" i="52"/>
  <c r="ZT58" i="52"/>
  <c r="ZU58" i="52"/>
  <c r="ZV58" i="52"/>
  <c r="ZW58" i="52"/>
  <c r="ZX58" i="52"/>
  <c r="ZY58" i="52"/>
  <c r="ZZ58" i="52"/>
  <c r="AAA58" i="52"/>
  <c r="AAB58" i="52"/>
  <c r="AAC58" i="52"/>
  <c r="AAD58" i="52"/>
  <c r="AAE58" i="52"/>
  <c r="AAF58" i="52"/>
  <c r="AAG58" i="52"/>
  <c r="AAH58" i="52"/>
  <c r="AAI58" i="52"/>
  <c r="AAJ58" i="52"/>
  <c r="AAK58" i="52"/>
  <c r="AAL58" i="52"/>
  <c r="AAM58" i="52"/>
  <c r="AAN58" i="52"/>
  <c r="AAO58" i="52"/>
  <c r="AAP58" i="52"/>
  <c r="AAQ58" i="52"/>
  <c r="AAR58" i="52"/>
  <c r="AAS58" i="52"/>
  <c r="AAT58" i="52"/>
  <c r="AAU58" i="52"/>
  <c r="AAV58" i="52"/>
  <c r="AAW58" i="52"/>
  <c r="AAX58" i="52"/>
  <c r="AAY58" i="52"/>
  <c r="AAZ58" i="52"/>
  <c r="ABA58" i="52"/>
  <c r="ABB58" i="52"/>
  <c r="ABC58" i="52"/>
  <c r="ABD58" i="52"/>
  <c r="ABE58" i="52"/>
  <c r="ABF58" i="52"/>
  <c r="ABG58" i="52"/>
  <c r="ABH58" i="52"/>
  <c r="ABI58" i="52"/>
  <c r="ABJ58" i="52"/>
  <c r="ABK58" i="52"/>
  <c r="ABL58" i="52"/>
  <c r="ABM58" i="52"/>
  <c r="ABN58" i="52"/>
  <c r="ABO58" i="52"/>
  <c r="ABP58" i="52"/>
  <c r="ABQ58" i="52"/>
  <c r="ABR58" i="52"/>
  <c r="ABS58" i="52"/>
  <c r="ABT58" i="52"/>
  <c r="ABU58" i="52"/>
  <c r="ABV58" i="52"/>
  <c r="ABW58" i="52"/>
  <c r="ABX58" i="52"/>
  <c r="ABY58" i="52"/>
  <c r="ABZ58" i="52"/>
  <c r="ACA58" i="52"/>
  <c r="ACB58" i="52"/>
  <c r="ACC58" i="52"/>
  <c r="ACD58" i="52"/>
  <c r="ACE58" i="52"/>
  <c r="ACF58" i="52"/>
  <c r="ACG58" i="52"/>
  <c r="ACH58" i="52"/>
  <c r="ACI58" i="52"/>
  <c r="ACJ58" i="52"/>
  <c r="ACK58" i="52"/>
  <c r="ACL58" i="52"/>
  <c r="ACM58" i="52"/>
  <c r="ACN58" i="52"/>
  <c r="ACO58" i="52"/>
  <c r="ACP58" i="52"/>
  <c r="ACQ58" i="52"/>
  <c r="ACR58" i="52"/>
  <c r="ACS58" i="52"/>
  <c r="ACT58" i="52"/>
  <c r="ACU58" i="52"/>
  <c r="ACV58" i="52"/>
  <c r="ACW58" i="52"/>
  <c r="ACX58" i="52"/>
  <c r="ACY58" i="52"/>
  <c r="ACZ58" i="52"/>
  <c r="ADA58" i="52"/>
  <c r="ADB58" i="52"/>
  <c r="ADC58" i="52"/>
  <c r="ADD58" i="52"/>
  <c r="ADE58" i="52"/>
  <c r="ADF58" i="52"/>
  <c r="ADG58" i="52"/>
  <c r="ADH58" i="52"/>
  <c r="ADI58" i="52"/>
  <c r="ADJ58" i="52"/>
  <c r="ADK58" i="52"/>
  <c r="ADL58" i="52"/>
  <c r="ADM58" i="52"/>
  <c r="ADN58" i="52"/>
  <c r="ADO58" i="52"/>
  <c r="ADP58" i="52"/>
  <c r="ADQ58" i="52"/>
  <c r="ADR58" i="52"/>
  <c r="ADS58" i="52"/>
  <c r="ADT58" i="52"/>
  <c r="ADU58" i="52"/>
  <c r="ADV58" i="52"/>
  <c r="ADW58" i="52"/>
  <c r="ADX58" i="52"/>
  <c r="ADY58" i="52"/>
  <c r="ADZ58" i="52"/>
  <c r="AEA58" i="52"/>
  <c r="AEB58" i="52"/>
  <c r="AEC58" i="52"/>
  <c r="AED58" i="52"/>
  <c r="AEE58" i="52"/>
  <c r="AEF58" i="52"/>
  <c r="AEG58" i="52"/>
  <c r="AEH58" i="52"/>
  <c r="AEI58" i="52"/>
  <c r="AEJ58" i="52"/>
  <c r="AEK58" i="52"/>
  <c r="AEL58" i="52"/>
  <c r="AEM58" i="52"/>
  <c r="AEN58" i="52"/>
  <c r="AEO58" i="52"/>
  <c r="AEP58" i="52"/>
  <c r="AEQ58" i="52"/>
  <c r="AER58" i="52"/>
  <c r="AES58" i="52"/>
  <c r="AET58" i="52"/>
  <c r="AEU58" i="52"/>
  <c r="AEV58" i="52"/>
  <c r="AEW58" i="52"/>
  <c r="AEX58" i="52"/>
  <c r="AEY58" i="52"/>
  <c r="AEZ58" i="52"/>
  <c r="AFA58" i="52"/>
  <c r="AFB58" i="52"/>
  <c r="AFC58" i="52"/>
  <c r="AFD58" i="52"/>
  <c r="AFE58" i="52"/>
  <c r="AFF58" i="52"/>
  <c r="AFG58" i="52"/>
  <c r="AFH58" i="52"/>
  <c r="AFI58" i="52"/>
  <c r="AFJ58" i="52"/>
  <c r="AFK58" i="52"/>
  <c r="AFL58" i="52"/>
  <c r="AFM58" i="52"/>
  <c r="AFN58" i="52"/>
  <c r="AFO58" i="52"/>
  <c r="AFP58" i="52"/>
  <c r="AFQ58" i="52"/>
  <c r="AFR58" i="52"/>
  <c r="AFS58" i="52"/>
  <c r="AFT58" i="52"/>
  <c r="AFU58" i="52"/>
  <c r="AFV58" i="52"/>
  <c r="AFW58" i="52"/>
  <c r="AFX58" i="52"/>
  <c r="AFY58" i="52"/>
  <c r="AFZ58" i="52"/>
  <c r="AGA58" i="52"/>
  <c r="AGB58" i="52"/>
  <c r="AGC58" i="52"/>
  <c r="AGD58" i="52"/>
  <c r="AGE58" i="52"/>
  <c r="AGF58" i="52"/>
  <c r="AGG58" i="52"/>
  <c r="AGH58" i="52"/>
  <c r="AGI58" i="52"/>
  <c r="AGJ58" i="52"/>
  <c r="AGK58" i="52"/>
  <c r="AGL58" i="52"/>
  <c r="AGM58" i="52"/>
  <c r="AGN58" i="52"/>
  <c r="AGO58" i="52"/>
  <c r="AGP58" i="52"/>
  <c r="AGQ58" i="52"/>
  <c r="AGR58" i="52"/>
  <c r="AGS58" i="52"/>
  <c r="AGT58" i="52"/>
  <c r="AGU58" i="52"/>
  <c r="AGV58" i="52"/>
  <c r="AGW58" i="52"/>
  <c r="AGX58" i="52"/>
  <c r="AGY58" i="52"/>
  <c r="AGZ58" i="52"/>
  <c r="AHA58" i="52"/>
  <c r="AHB58" i="52"/>
  <c r="AHC58" i="52"/>
  <c r="AHD58" i="52"/>
  <c r="AHE58" i="52"/>
  <c r="AHF58" i="52"/>
  <c r="AHG58" i="52"/>
  <c r="AHH58" i="52"/>
  <c r="AHI58" i="52"/>
  <c r="AHJ58" i="52"/>
  <c r="AHK58" i="52"/>
  <c r="AHL58" i="52"/>
  <c r="AHM58" i="52"/>
  <c r="AHN58" i="52"/>
  <c r="AHO58" i="52"/>
  <c r="AHP58" i="52"/>
  <c r="AHQ58" i="52"/>
  <c r="AHR58" i="52"/>
  <c r="AHS58" i="52"/>
  <c r="AHT58" i="52"/>
  <c r="D58" i="52"/>
  <c r="D57" i="52"/>
  <c r="AHU155" i="52" l="1"/>
  <c r="D163" i="52"/>
  <c r="D164" i="52" s="1"/>
  <c r="D150" i="48" l="1"/>
  <c r="D154" i="48"/>
  <c r="C3" i="16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C450" i="28" l="1"/>
  <c r="C449" i="28"/>
  <c r="Q7" i="20"/>
  <c r="C19" i="20"/>
  <c r="D46" i="8"/>
  <c r="E46" i="8" s="1"/>
  <c r="D45" i="8"/>
  <c r="E45" i="8" s="1"/>
  <c r="D44" i="8"/>
  <c r="E44" i="8" s="1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D20" i="8"/>
  <c r="E20" i="8" s="1"/>
  <c r="D19" i="8"/>
  <c r="E19" i="8" s="1"/>
  <c r="D18" i="8"/>
  <c r="E18" i="8" s="1"/>
  <c r="D16" i="8"/>
  <c r="E16" i="8" s="1"/>
  <c r="D15" i="8"/>
  <c r="E15" i="8" s="1"/>
  <c r="D14" i="8"/>
  <c r="E14" i="8" s="1"/>
  <c r="D13" i="8"/>
  <c r="E13" i="8" s="1"/>
  <c r="D12" i="8"/>
  <c r="E12" i="8" s="1"/>
  <c r="D11" i="8"/>
  <c r="E11" i="8" s="1"/>
  <c r="D10" i="8"/>
  <c r="E10" i="8" s="1"/>
  <c r="D9" i="8"/>
  <c r="E9" i="8" s="1"/>
  <c r="D8" i="8"/>
  <c r="E8" i="8" s="1"/>
  <c r="D7" i="8"/>
  <c r="E7" i="8" s="1"/>
  <c r="D6" i="8"/>
  <c r="E6" i="8" s="1"/>
  <c r="D5" i="8"/>
  <c r="E5" i="8" s="1"/>
  <c r="D17" i="52"/>
  <c r="AHM17" i="52"/>
  <c r="AHN17" i="52"/>
  <c r="AHO17" i="52"/>
  <c r="AHP17" i="52"/>
  <c r="AHQ17" i="52"/>
  <c r="AHR17" i="52"/>
  <c r="AHS17" i="52"/>
  <c r="AHT17" i="52"/>
  <c r="AHM33" i="52"/>
  <c r="AHN33" i="52"/>
  <c r="AHO33" i="52"/>
  <c r="AHP33" i="52"/>
  <c r="AHQ33" i="52"/>
  <c r="AHR33" i="52"/>
  <c r="AHS33" i="52"/>
  <c r="AHT33" i="52"/>
  <c r="C12" i="29" l="1"/>
  <c r="C451" i="28"/>
  <c r="C46" i="8"/>
  <c r="C45" i="8"/>
  <c r="C44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D156" i="48"/>
  <c r="F34" i="53"/>
  <c r="F32" i="53"/>
  <c r="F26" i="53"/>
  <c r="F25" i="53"/>
  <c r="F24" i="53"/>
  <c r="F23" i="53"/>
  <c r="F22" i="53"/>
  <c r="F21" i="53"/>
  <c r="G15" i="54"/>
  <c r="F15" i="54"/>
  <c r="I34" i="53" l="1"/>
  <c r="I22" i="53"/>
  <c r="I26" i="53"/>
  <c r="I21" i="53"/>
  <c r="I24" i="53"/>
  <c r="I32" i="53"/>
  <c r="I23" i="53"/>
  <c r="I25" i="53"/>
  <c r="P19" i="20"/>
  <c r="M19" i="20"/>
  <c r="O19" i="20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AG33" i="52"/>
  <c r="AH33" i="52"/>
  <c r="AI33" i="52"/>
  <c r="AJ33" i="52"/>
  <c r="AK33" i="52"/>
  <c r="AL33" i="52"/>
  <c r="AM33" i="52"/>
  <c r="AN33" i="52"/>
  <c r="AO33" i="52"/>
  <c r="AP33" i="52"/>
  <c r="AQ33" i="52"/>
  <c r="AR33" i="52"/>
  <c r="AS33" i="52"/>
  <c r="AT33" i="52"/>
  <c r="AU33" i="52"/>
  <c r="AV33" i="52"/>
  <c r="AW33" i="52"/>
  <c r="AX33" i="52"/>
  <c r="AY33" i="52"/>
  <c r="AZ33" i="52"/>
  <c r="BA33" i="52"/>
  <c r="BB33" i="52"/>
  <c r="BC33" i="52"/>
  <c r="BD33" i="52"/>
  <c r="BE33" i="52"/>
  <c r="BF33" i="52"/>
  <c r="BG33" i="52"/>
  <c r="BH33" i="52"/>
  <c r="BI33" i="52"/>
  <c r="BJ33" i="52"/>
  <c r="BK33" i="52"/>
  <c r="BL33" i="52"/>
  <c r="BM33" i="52"/>
  <c r="BN33" i="52"/>
  <c r="BO33" i="52"/>
  <c r="BP33" i="52"/>
  <c r="BQ33" i="52"/>
  <c r="BR33" i="52"/>
  <c r="BS33" i="52"/>
  <c r="BT33" i="52"/>
  <c r="BU33" i="52"/>
  <c r="BV33" i="52"/>
  <c r="BW33" i="52"/>
  <c r="BX33" i="52"/>
  <c r="BY33" i="52"/>
  <c r="BZ33" i="52"/>
  <c r="CA33" i="52"/>
  <c r="CB33" i="52"/>
  <c r="CC33" i="52"/>
  <c r="CD33" i="52"/>
  <c r="CE33" i="52"/>
  <c r="CF33" i="52"/>
  <c r="CG33" i="52"/>
  <c r="CH33" i="52"/>
  <c r="CI33" i="52"/>
  <c r="CJ33" i="52"/>
  <c r="CK33" i="52"/>
  <c r="CL33" i="52"/>
  <c r="CM33" i="52"/>
  <c r="CN33" i="52"/>
  <c r="CO33" i="52"/>
  <c r="CP33" i="52"/>
  <c r="CQ33" i="52"/>
  <c r="CR33" i="52"/>
  <c r="CS33" i="52"/>
  <c r="CT33" i="52"/>
  <c r="CU33" i="52"/>
  <c r="CV33" i="52"/>
  <c r="CW33" i="52"/>
  <c r="CX33" i="52"/>
  <c r="CY33" i="52"/>
  <c r="CZ33" i="52"/>
  <c r="DA33" i="52"/>
  <c r="DB33" i="52"/>
  <c r="DC33" i="52"/>
  <c r="DD33" i="52"/>
  <c r="DE33" i="52"/>
  <c r="DF33" i="52"/>
  <c r="DG33" i="52"/>
  <c r="DH33" i="52"/>
  <c r="DI33" i="52"/>
  <c r="DJ33" i="52"/>
  <c r="DK33" i="52"/>
  <c r="DL33" i="52"/>
  <c r="DM33" i="52"/>
  <c r="DN33" i="52"/>
  <c r="DO33" i="52"/>
  <c r="DP33" i="52"/>
  <c r="DQ33" i="52"/>
  <c r="DR33" i="52"/>
  <c r="DS33" i="52"/>
  <c r="DT33" i="52"/>
  <c r="DU33" i="52"/>
  <c r="DV33" i="52"/>
  <c r="DW33" i="52"/>
  <c r="DX33" i="52"/>
  <c r="DY33" i="52"/>
  <c r="DZ33" i="52"/>
  <c r="EA33" i="52"/>
  <c r="EB33" i="52"/>
  <c r="EC33" i="52"/>
  <c r="ED33" i="52"/>
  <c r="EE33" i="52"/>
  <c r="EF33" i="52"/>
  <c r="EG33" i="52"/>
  <c r="EH33" i="52"/>
  <c r="EI33" i="52"/>
  <c r="EJ33" i="52"/>
  <c r="EK33" i="52"/>
  <c r="EL33" i="52"/>
  <c r="EM33" i="52"/>
  <c r="EN33" i="52"/>
  <c r="EO33" i="52"/>
  <c r="EP33" i="52"/>
  <c r="EQ33" i="52"/>
  <c r="ER33" i="52"/>
  <c r="ES33" i="52"/>
  <c r="ET33" i="52"/>
  <c r="EU33" i="52"/>
  <c r="EV33" i="52"/>
  <c r="EW33" i="52"/>
  <c r="EX33" i="52"/>
  <c r="EY33" i="52"/>
  <c r="EZ33" i="52"/>
  <c r="FA33" i="52"/>
  <c r="FB33" i="52"/>
  <c r="FC33" i="52"/>
  <c r="FD33" i="52"/>
  <c r="FE33" i="52"/>
  <c r="FF33" i="52"/>
  <c r="FG33" i="52"/>
  <c r="FH33" i="52"/>
  <c r="FI33" i="52"/>
  <c r="FJ33" i="52"/>
  <c r="FK33" i="52"/>
  <c r="FL33" i="52"/>
  <c r="FM33" i="52"/>
  <c r="FN33" i="52"/>
  <c r="FO33" i="52"/>
  <c r="FP33" i="52"/>
  <c r="FQ33" i="52"/>
  <c r="FR33" i="52"/>
  <c r="FS33" i="52"/>
  <c r="FT33" i="52"/>
  <c r="FU33" i="52"/>
  <c r="FV33" i="52"/>
  <c r="FW33" i="52"/>
  <c r="FX33" i="52"/>
  <c r="FY33" i="52"/>
  <c r="FZ33" i="52"/>
  <c r="GA33" i="52"/>
  <c r="GB33" i="52"/>
  <c r="GC33" i="52"/>
  <c r="GD33" i="52"/>
  <c r="GE33" i="52"/>
  <c r="GF33" i="52"/>
  <c r="GG33" i="52"/>
  <c r="GH33" i="52"/>
  <c r="GI33" i="52"/>
  <c r="GJ33" i="52"/>
  <c r="GK33" i="52"/>
  <c r="GL33" i="52"/>
  <c r="GM33" i="52"/>
  <c r="GN33" i="52"/>
  <c r="GO33" i="52"/>
  <c r="GP33" i="52"/>
  <c r="GQ33" i="52"/>
  <c r="GR33" i="52"/>
  <c r="GS33" i="52"/>
  <c r="GT33" i="52"/>
  <c r="GU33" i="52"/>
  <c r="GV33" i="52"/>
  <c r="GW33" i="52"/>
  <c r="GX33" i="52"/>
  <c r="GY33" i="52"/>
  <c r="GZ33" i="52"/>
  <c r="HA33" i="52"/>
  <c r="HB33" i="52"/>
  <c r="HC33" i="52"/>
  <c r="HD33" i="52"/>
  <c r="HE33" i="52"/>
  <c r="HF33" i="52"/>
  <c r="HG33" i="52"/>
  <c r="HH33" i="52"/>
  <c r="HI33" i="52"/>
  <c r="HJ33" i="52"/>
  <c r="HK33" i="52"/>
  <c r="HL33" i="52"/>
  <c r="HM33" i="52"/>
  <c r="HN33" i="52"/>
  <c r="HO33" i="52"/>
  <c r="HP33" i="52"/>
  <c r="HQ33" i="52"/>
  <c r="HR33" i="52"/>
  <c r="HS33" i="52"/>
  <c r="HT33" i="52"/>
  <c r="HU33" i="52"/>
  <c r="HV33" i="52"/>
  <c r="HW33" i="52"/>
  <c r="HX33" i="52"/>
  <c r="HY33" i="52"/>
  <c r="HZ33" i="52"/>
  <c r="IA33" i="52"/>
  <c r="IB33" i="52"/>
  <c r="IC33" i="52"/>
  <c r="ID33" i="52"/>
  <c r="IE33" i="52"/>
  <c r="IF33" i="52"/>
  <c r="IG33" i="52"/>
  <c r="IH33" i="52"/>
  <c r="II33" i="52"/>
  <c r="IJ33" i="52"/>
  <c r="IK33" i="52"/>
  <c r="IL33" i="52"/>
  <c r="IM33" i="52"/>
  <c r="IN33" i="52"/>
  <c r="IO33" i="52"/>
  <c r="IP33" i="52"/>
  <c r="IQ33" i="52"/>
  <c r="IR33" i="52"/>
  <c r="IS33" i="52"/>
  <c r="IT33" i="52"/>
  <c r="IU33" i="52"/>
  <c r="IV33" i="52"/>
  <c r="IW33" i="52"/>
  <c r="IX33" i="52"/>
  <c r="IY33" i="52"/>
  <c r="IZ33" i="52"/>
  <c r="JA33" i="52"/>
  <c r="JB33" i="52"/>
  <c r="JC33" i="52"/>
  <c r="JD33" i="52"/>
  <c r="JE33" i="52"/>
  <c r="JF33" i="52"/>
  <c r="JG33" i="52"/>
  <c r="JH33" i="52"/>
  <c r="JI33" i="52"/>
  <c r="JJ33" i="52"/>
  <c r="JK33" i="52"/>
  <c r="JL33" i="52"/>
  <c r="JM33" i="52"/>
  <c r="JN33" i="52"/>
  <c r="JO33" i="52"/>
  <c r="JP33" i="52"/>
  <c r="JQ33" i="52"/>
  <c r="JR33" i="52"/>
  <c r="JS33" i="52"/>
  <c r="JT33" i="52"/>
  <c r="JU33" i="52"/>
  <c r="JV33" i="52"/>
  <c r="JW33" i="52"/>
  <c r="JX33" i="52"/>
  <c r="JY33" i="52"/>
  <c r="JZ33" i="52"/>
  <c r="KA33" i="52"/>
  <c r="KB33" i="52"/>
  <c r="KC33" i="52"/>
  <c r="KD33" i="52"/>
  <c r="KE33" i="52"/>
  <c r="KF33" i="52"/>
  <c r="KG33" i="52"/>
  <c r="KH33" i="52"/>
  <c r="KI33" i="52"/>
  <c r="KJ33" i="52"/>
  <c r="KK33" i="52"/>
  <c r="KL33" i="52"/>
  <c r="KM33" i="52"/>
  <c r="KN33" i="52"/>
  <c r="KO33" i="52"/>
  <c r="KP33" i="52"/>
  <c r="KQ33" i="52"/>
  <c r="KR33" i="52"/>
  <c r="KS33" i="52"/>
  <c r="KT33" i="52"/>
  <c r="KU33" i="52"/>
  <c r="KV33" i="52"/>
  <c r="KW33" i="52"/>
  <c r="KX33" i="52"/>
  <c r="KY33" i="52"/>
  <c r="KZ33" i="52"/>
  <c r="LA33" i="52"/>
  <c r="LB33" i="52"/>
  <c r="LC33" i="52"/>
  <c r="LD33" i="52"/>
  <c r="LE33" i="52"/>
  <c r="LF33" i="52"/>
  <c r="LG33" i="52"/>
  <c r="LH33" i="52"/>
  <c r="LI33" i="52"/>
  <c r="LJ33" i="52"/>
  <c r="LK33" i="52"/>
  <c r="LL33" i="52"/>
  <c r="LM33" i="52"/>
  <c r="LN33" i="52"/>
  <c r="LO33" i="52"/>
  <c r="LP33" i="52"/>
  <c r="LQ33" i="52"/>
  <c r="LR33" i="52"/>
  <c r="LS33" i="52"/>
  <c r="LT33" i="52"/>
  <c r="LU33" i="52"/>
  <c r="LV33" i="52"/>
  <c r="LW33" i="52"/>
  <c r="LX33" i="52"/>
  <c r="LY33" i="52"/>
  <c r="LZ33" i="52"/>
  <c r="MA33" i="52"/>
  <c r="MB33" i="52"/>
  <c r="MC33" i="52"/>
  <c r="MD33" i="52"/>
  <c r="ME33" i="52"/>
  <c r="MF33" i="52"/>
  <c r="MG33" i="52"/>
  <c r="MH33" i="52"/>
  <c r="MI33" i="52"/>
  <c r="MJ33" i="52"/>
  <c r="MK33" i="52"/>
  <c r="ML33" i="52"/>
  <c r="MM33" i="52"/>
  <c r="MN33" i="52"/>
  <c r="MO33" i="52"/>
  <c r="MP33" i="52"/>
  <c r="MQ33" i="52"/>
  <c r="MR33" i="52"/>
  <c r="MS33" i="52"/>
  <c r="MT33" i="52"/>
  <c r="MU33" i="52"/>
  <c r="MV33" i="52"/>
  <c r="MW33" i="52"/>
  <c r="MX33" i="52"/>
  <c r="MY33" i="52"/>
  <c r="MZ33" i="52"/>
  <c r="NA33" i="52"/>
  <c r="NB33" i="52"/>
  <c r="NC33" i="52"/>
  <c r="ND33" i="52"/>
  <c r="NE33" i="52"/>
  <c r="NF33" i="52"/>
  <c r="NG33" i="52"/>
  <c r="NH33" i="52"/>
  <c r="NI33" i="52"/>
  <c r="NJ33" i="52"/>
  <c r="NK33" i="52"/>
  <c r="NL33" i="52"/>
  <c r="NM33" i="52"/>
  <c r="NN33" i="52"/>
  <c r="NO33" i="52"/>
  <c r="NP33" i="52"/>
  <c r="NQ33" i="52"/>
  <c r="NR33" i="52"/>
  <c r="NS33" i="52"/>
  <c r="NT33" i="52"/>
  <c r="NU33" i="52"/>
  <c r="NV33" i="52"/>
  <c r="NW33" i="52"/>
  <c r="NX33" i="52"/>
  <c r="NY33" i="52"/>
  <c r="NZ33" i="52"/>
  <c r="OA33" i="52"/>
  <c r="OB33" i="52"/>
  <c r="OC33" i="52"/>
  <c r="OD33" i="52"/>
  <c r="OE33" i="52"/>
  <c r="OF33" i="52"/>
  <c r="OG33" i="52"/>
  <c r="OH33" i="52"/>
  <c r="OI33" i="52"/>
  <c r="OJ33" i="52"/>
  <c r="OK33" i="52"/>
  <c r="OL33" i="52"/>
  <c r="OM33" i="52"/>
  <c r="ON33" i="52"/>
  <c r="OO33" i="52"/>
  <c r="OP33" i="52"/>
  <c r="OQ33" i="52"/>
  <c r="OR33" i="52"/>
  <c r="OS33" i="52"/>
  <c r="OT33" i="52"/>
  <c r="OU33" i="52"/>
  <c r="OV33" i="52"/>
  <c r="OW33" i="52"/>
  <c r="OX33" i="52"/>
  <c r="OY33" i="52"/>
  <c r="OZ33" i="52"/>
  <c r="PA33" i="52"/>
  <c r="PB33" i="52"/>
  <c r="PC33" i="52"/>
  <c r="PD33" i="52"/>
  <c r="PE33" i="52"/>
  <c r="PF33" i="52"/>
  <c r="PG33" i="52"/>
  <c r="PH33" i="52"/>
  <c r="PI33" i="52"/>
  <c r="PJ33" i="52"/>
  <c r="PK33" i="52"/>
  <c r="PL33" i="52"/>
  <c r="PM33" i="52"/>
  <c r="PN33" i="52"/>
  <c r="PO33" i="52"/>
  <c r="PP33" i="52"/>
  <c r="PQ33" i="52"/>
  <c r="PR33" i="52"/>
  <c r="PS33" i="52"/>
  <c r="PT33" i="52"/>
  <c r="PU33" i="52"/>
  <c r="PV33" i="52"/>
  <c r="PW33" i="52"/>
  <c r="PX33" i="52"/>
  <c r="PY33" i="52"/>
  <c r="PZ33" i="52"/>
  <c r="QA33" i="52"/>
  <c r="QB33" i="52"/>
  <c r="QC33" i="52"/>
  <c r="QD33" i="52"/>
  <c r="QE33" i="52"/>
  <c r="QF33" i="52"/>
  <c r="QG33" i="52"/>
  <c r="QH33" i="52"/>
  <c r="QI33" i="52"/>
  <c r="QJ33" i="52"/>
  <c r="QK33" i="52"/>
  <c r="QL33" i="52"/>
  <c r="QM33" i="52"/>
  <c r="QN33" i="52"/>
  <c r="QO33" i="52"/>
  <c r="QP33" i="52"/>
  <c r="QQ33" i="52"/>
  <c r="QR33" i="52"/>
  <c r="QS33" i="52"/>
  <c r="QT33" i="52"/>
  <c r="QU33" i="52"/>
  <c r="QV33" i="52"/>
  <c r="QW33" i="52"/>
  <c r="QX33" i="52"/>
  <c r="QY33" i="52"/>
  <c r="QZ33" i="52"/>
  <c r="RA33" i="52"/>
  <c r="RB33" i="52"/>
  <c r="RC33" i="52"/>
  <c r="RD33" i="52"/>
  <c r="RE33" i="52"/>
  <c r="RF33" i="52"/>
  <c r="RG33" i="52"/>
  <c r="RH33" i="52"/>
  <c r="RI33" i="52"/>
  <c r="RJ33" i="52"/>
  <c r="RK33" i="52"/>
  <c r="RL33" i="52"/>
  <c r="RM33" i="52"/>
  <c r="RN33" i="52"/>
  <c r="RO33" i="52"/>
  <c r="RP33" i="52"/>
  <c r="RQ33" i="52"/>
  <c r="RR33" i="52"/>
  <c r="RS33" i="52"/>
  <c r="RT33" i="52"/>
  <c r="RU33" i="52"/>
  <c r="RV33" i="52"/>
  <c r="RW33" i="52"/>
  <c r="RX33" i="52"/>
  <c r="RY33" i="52"/>
  <c r="RZ33" i="52"/>
  <c r="SA33" i="52"/>
  <c r="SB33" i="52"/>
  <c r="SC33" i="52"/>
  <c r="SD33" i="52"/>
  <c r="SE33" i="52"/>
  <c r="SF33" i="52"/>
  <c r="SG33" i="52"/>
  <c r="SH33" i="52"/>
  <c r="SI33" i="52"/>
  <c r="SJ33" i="52"/>
  <c r="SK33" i="52"/>
  <c r="SL33" i="52"/>
  <c r="SM33" i="52"/>
  <c r="SN33" i="52"/>
  <c r="SO33" i="52"/>
  <c r="SP33" i="52"/>
  <c r="SQ33" i="52"/>
  <c r="SR33" i="52"/>
  <c r="SS33" i="52"/>
  <c r="ST33" i="52"/>
  <c r="SU33" i="52"/>
  <c r="SV33" i="52"/>
  <c r="SW33" i="52"/>
  <c r="SX33" i="52"/>
  <c r="SY33" i="52"/>
  <c r="SZ33" i="52"/>
  <c r="TA33" i="52"/>
  <c r="TB33" i="52"/>
  <c r="TC33" i="52"/>
  <c r="TD33" i="52"/>
  <c r="TE33" i="52"/>
  <c r="TF33" i="52"/>
  <c r="TG33" i="52"/>
  <c r="TH33" i="52"/>
  <c r="TI33" i="52"/>
  <c r="TJ33" i="52"/>
  <c r="TK33" i="52"/>
  <c r="TL33" i="52"/>
  <c r="TM33" i="52"/>
  <c r="TN33" i="52"/>
  <c r="TO33" i="52"/>
  <c r="TP33" i="52"/>
  <c r="TQ33" i="52"/>
  <c r="TR33" i="52"/>
  <c r="TS33" i="52"/>
  <c r="TT33" i="52"/>
  <c r="TU33" i="52"/>
  <c r="TV33" i="52"/>
  <c r="TW33" i="52"/>
  <c r="TX33" i="52"/>
  <c r="TY33" i="52"/>
  <c r="TZ33" i="52"/>
  <c r="UA33" i="52"/>
  <c r="UB33" i="52"/>
  <c r="UC33" i="52"/>
  <c r="UD33" i="52"/>
  <c r="UE33" i="52"/>
  <c r="UF33" i="52"/>
  <c r="UG33" i="52"/>
  <c r="UH33" i="52"/>
  <c r="UI33" i="52"/>
  <c r="UJ33" i="52"/>
  <c r="UK33" i="52"/>
  <c r="UL33" i="52"/>
  <c r="UM33" i="52"/>
  <c r="UN33" i="52"/>
  <c r="UO33" i="52"/>
  <c r="UP33" i="52"/>
  <c r="UQ33" i="52"/>
  <c r="UR33" i="52"/>
  <c r="US33" i="52"/>
  <c r="UT33" i="52"/>
  <c r="UU33" i="52"/>
  <c r="UV33" i="52"/>
  <c r="UW33" i="52"/>
  <c r="UX33" i="52"/>
  <c r="UY33" i="52"/>
  <c r="UZ33" i="52"/>
  <c r="VA33" i="52"/>
  <c r="VB33" i="52"/>
  <c r="VC33" i="52"/>
  <c r="VD33" i="52"/>
  <c r="VE33" i="52"/>
  <c r="VF33" i="52"/>
  <c r="VG33" i="52"/>
  <c r="VH33" i="52"/>
  <c r="VI33" i="52"/>
  <c r="VJ33" i="52"/>
  <c r="VK33" i="52"/>
  <c r="VL33" i="52"/>
  <c r="VM33" i="52"/>
  <c r="VN33" i="52"/>
  <c r="VO33" i="52"/>
  <c r="VP33" i="52"/>
  <c r="VQ33" i="52"/>
  <c r="VR33" i="52"/>
  <c r="VS33" i="52"/>
  <c r="VT33" i="52"/>
  <c r="VU33" i="52"/>
  <c r="VV33" i="52"/>
  <c r="VW33" i="52"/>
  <c r="VX33" i="52"/>
  <c r="VY33" i="52"/>
  <c r="VZ33" i="52"/>
  <c r="WA33" i="52"/>
  <c r="WB33" i="52"/>
  <c r="WC33" i="52"/>
  <c r="WD33" i="52"/>
  <c r="WE33" i="52"/>
  <c r="WF33" i="52"/>
  <c r="WG33" i="52"/>
  <c r="WH33" i="52"/>
  <c r="WI33" i="52"/>
  <c r="WJ33" i="52"/>
  <c r="WK33" i="52"/>
  <c r="WL33" i="52"/>
  <c r="WM33" i="52"/>
  <c r="WN33" i="52"/>
  <c r="WO33" i="52"/>
  <c r="WP33" i="52"/>
  <c r="WQ33" i="52"/>
  <c r="WR33" i="52"/>
  <c r="WS33" i="52"/>
  <c r="WT33" i="52"/>
  <c r="WU33" i="52"/>
  <c r="WV33" i="52"/>
  <c r="WW33" i="52"/>
  <c r="WX33" i="52"/>
  <c r="WY33" i="52"/>
  <c r="WZ33" i="52"/>
  <c r="XA33" i="52"/>
  <c r="XB33" i="52"/>
  <c r="XC33" i="52"/>
  <c r="XD33" i="52"/>
  <c r="XE33" i="52"/>
  <c r="XF33" i="52"/>
  <c r="XG33" i="52"/>
  <c r="XH33" i="52"/>
  <c r="XI33" i="52"/>
  <c r="XJ33" i="52"/>
  <c r="XK33" i="52"/>
  <c r="XL33" i="52"/>
  <c r="XM33" i="52"/>
  <c r="XN33" i="52"/>
  <c r="XO33" i="52"/>
  <c r="XP33" i="52"/>
  <c r="XQ33" i="52"/>
  <c r="XR33" i="52"/>
  <c r="XS33" i="52"/>
  <c r="XT33" i="52"/>
  <c r="XU33" i="52"/>
  <c r="XV33" i="52"/>
  <c r="XW33" i="52"/>
  <c r="XX33" i="52"/>
  <c r="XY33" i="52"/>
  <c r="XZ33" i="52"/>
  <c r="YA33" i="52"/>
  <c r="YB33" i="52"/>
  <c r="YC33" i="52"/>
  <c r="YD33" i="52"/>
  <c r="YE33" i="52"/>
  <c r="YF33" i="52"/>
  <c r="YG33" i="52"/>
  <c r="YH33" i="52"/>
  <c r="YI33" i="52"/>
  <c r="YJ33" i="52"/>
  <c r="YK33" i="52"/>
  <c r="YL33" i="52"/>
  <c r="YM33" i="52"/>
  <c r="YN33" i="52"/>
  <c r="YO33" i="52"/>
  <c r="YP33" i="52"/>
  <c r="YQ33" i="52"/>
  <c r="YR33" i="52"/>
  <c r="YS33" i="52"/>
  <c r="YT33" i="52"/>
  <c r="YU33" i="52"/>
  <c r="YV33" i="52"/>
  <c r="YW33" i="52"/>
  <c r="YX33" i="52"/>
  <c r="YY33" i="52"/>
  <c r="YZ33" i="52"/>
  <c r="ZA33" i="52"/>
  <c r="ZB33" i="52"/>
  <c r="ZC33" i="52"/>
  <c r="ZD33" i="52"/>
  <c r="ZE33" i="52"/>
  <c r="ZF33" i="52"/>
  <c r="ZG33" i="52"/>
  <c r="ZH33" i="52"/>
  <c r="ZI33" i="52"/>
  <c r="ZJ33" i="52"/>
  <c r="ZK33" i="52"/>
  <c r="ZL33" i="52"/>
  <c r="ZM33" i="52"/>
  <c r="ZN33" i="52"/>
  <c r="ZO33" i="52"/>
  <c r="ZP33" i="52"/>
  <c r="ZQ33" i="52"/>
  <c r="ZR33" i="52"/>
  <c r="ZS33" i="52"/>
  <c r="ZT33" i="52"/>
  <c r="ZU33" i="52"/>
  <c r="ZV33" i="52"/>
  <c r="ZW33" i="52"/>
  <c r="ZX33" i="52"/>
  <c r="ZY33" i="52"/>
  <c r="ZZ33" i="52"/>
  <c r="AAA33" i="52"/>
  <c r="AAB33" i="52"/>
  <c r="AAC33" i="52"/>
  <c r="AAD33" i="52"/>
  <c r="AAE33" i="52"/>
  <c r="AAF33" i="52"/>
  <c r="AAG33" i="52"/>
  <c r="AAH33" i="52"/>
  <c r="AAI33" i="52"/>
  <c r="AAJ33" i="52"/>
  <c r="AAK33" i="52"/>
  <c r="AAL33" i="52"/>
  <c r="AAM33" i="52"/>
  <c r="AAN33" i="52"/>
  <c r="AAO33" i="52"/>
  <c r="AAP33" i="52"/>
  <c r="AAQ33" i="52"/>
  <c r="AAR33" i="52"/>
  <c r="AAS33" i="52"/>
  <c r="AAT33" i="52"/>
  <c r="AAU33" i="52"/>
  <c r="AAV33" i="52"/>
  <c r="AAW33" i="52"/>
  <c r="AAX33" i="52"/>
  <c r="AAY33" i="52"/>
  <c r="AAZ33" i="52"/>
  <c r="ABA33" i="52"/>
  <c r="ABB33" i="52"/>
  <c r="ABC33" i="52"/>
  <c r="ABD33" i="52"/>
  <c r="ABE33" i="52"/>
  <c r="ABF33" i="52"/>
  <c r="ABG33" i="52"/>
  <c r="ABH33" i="52"/>
  <c r="ABI33" i="52"/>
  <c r="ABJ33" i="52"/>
  <c r="ABK33" i="52"/>
  <c r="ABL33" i="52"/>
  <c r="ABM33" i="52"/>
  <c r="ABN33" i="52"/>
  <c r="ABO33" i="52"/>
  <c r="ABP33" i="52"/>
  <c r="ABQ33" i="52"/>
  <c r="ABR33" i="52"/>
  <c r="ABS33" i="52"/>
  <c r="ABT33" i="52"/>
  <c r="ABU33" i="52"/>
  <c r="ABV33" i="52"/>
  <c r="ABW33" i="52"/>
  <c r="ABX33" i="52"/>
  <c r="ABY33" i="52"/>
  <c r="ABZ33" i="52"/>
  <c r="ACA33" i="52"/>
  <c r="ACB33" i="52"/>
  <c r="ACC33" i="52"/>
  <c r="ACD33" i="52"/>
  <c r="ACE33" i="52"/>
  <c r="ACF33" i="52"/>
  <c r="ACG33" i="52"/>
  <c r="ACH33" i="52"/>
  <c r="ACI33" i="52"/>
  <c r="ACJ33" i="52"/>
  <c r="ACK33" i="52"/>
  <c r="ACL33" i="52"/>
  <c r="ACM33" i="52"/>
  <c r="ACN33" i="52"/>
  <c r="ACO33" i="52"/>
  <c r="ACP33" i="52"/>
  <c r="ACQ33" i="52"/>
  <c r="ACR33" i="52"/>
  <c r="ACS33" i="52"/>
  <c r="ACT33" i="52"/>
  <c r="ACU33" i="52"/>
  <c r="ACV33" i="52"/>
  <c r="ACW33" i="52"/>
  <c r="ACX33" i="52"/>
  <c r="ACY33" i="52"/>
  <c r="ACZ33" i="52"/>
  <c r="ADA33" i="52"/>
  <c r="ADB33" i="52"/>
  <c r="ADC33" i="52"/>
  <c r="ADD33" i="52"/>
  <c r="ADE33" i="52"/>
  <c r="ADF33" i="52"/>
  <c r="ADG33" i="52"/>
  <c r="ADH33" i="52"/>
  <c r="ADI33" i="52"/>
  <c r="ADJ33" i="52"/>
  <c r="ADK33" i="52"/>
  <c r="ADL33" i="52"/>
  <c r="ADM33" i="52"/>
  <c r="ADN33" i="52"/>
  <c r="ADO33" i="52"/>
  <c r="ADP33" i="52"/>
  <c r="ADQ33" i="52"/>
  <c r="ADR33" i="52"/>
  <c r="ADS33" i="52"/>
  <c r="ADT33" i="52"/>
  <c r="ADU33" i="52"/>
  <c r="ADV33" i="52"/>
  <c r="ADW33" i="52"/>
  <c r="ADX33" i="52"/>
  <c r="ADY33" i="52"/>
  <c r="ADZ33" i="52"/>
  <c r="AEA33" i="52"/>
  <c r="AEB33" i="52"/>
  <c r="AEC33" i="52"/>
  <c r="AED33" i="52"/>
  <c r="AEE33" i="52"/>
  <c r="AEF33" i="52"/>
  <c r="AEG33" i="52"/>
  <c r="AEH33" i="52"/>
  <c r="AEI33" i="52"/>
  <c r="AEJ33" i="52"/>
  <c r="AEK33" i="52"/>
  <c r="AEL33" i="52"/>
  <c r="AEM33" i="52"/>
  <c r="AEN33" i="52"/>
  <c r="AEO33" i="52"/>
  <c r="AEP33" i="52"/>
  <c r="AEQ33" i="52"/>
  <c r="AER33" i="52"/>
  <c r="AES33" i="52"/>
  <c r="AET33" i="52"/>
  <c r="AEU33" i="52"/>
  <c r="AEV33" i="52"/>
  <c r="AEW33" i="52"/>
  <c r="AEX33" i="52"/>
  <c r="AEY33" i="52"/>
  <c r="AEZ33" i="52"/>
  <c r="AFA33" i="52"/>
  <c r="AFB33" i="52"/>
  <c r="AFC33" i="52"/>
  <c r="AFD33" i="52"/>
  <c r="AFE33" i="52"/>
  <c r="AFF33" i="52"/>
  <c r="AFG33" i="52"/>
  <c r="AFH33" i="52"/>
  <c r="AFI33" i="52"/>
  <c r="AFJ33" i="52"/>
  <c r="AFK33" i="52"/>
  <c r="AFL33" i="52"/>
  <c r="AFM33" i="52"/>
  <c r="AFN33" i="52"/>
  <c r="AFO33" i="52"/>
  <c r="AFP33" i="52"/>
  <c r="AFQ33" i="52"/>
  <c r="AFR33" i="52"/>
  <c r="AFS33" i="52"/>
  <c r="AFT33" i="52"/>
  <c r="AFU33" i="52"/>
  <c r="AFV33" i="52"/>
  <c r="AFW33" i="52"/>
  <c r="AFX33" i="52"/>
  <c r="AFY33" i="52"/>
  <c r="AFZ33" i="52"/>
  <c r="AGA33" i="52"/>
  <c r="AGB33" i="52"/>
  <c r="AGC33" i="52"/>
  <c r="AGD33" i="52"/>
  <c r="AGE33" i="52"/>
  <c r="AGF33" i="52"/>
  <c r="AGG33" i="52"/>
  <c r="AGH33" i="52"/>
  <c r="AGI33" i="52"/>
  <c r="AGJ33" i="52"/>
  <c r="AGK33" i="52"/>
  <c r="AGL33" i="52"/>
  <c r="AGM33" i="52"/>
  <c r="AGN33" i="52"/>
  <c r="AGO33" i="52"/>
  <c r="AGP33" i="52"/>
  <c r="AGQ33" i="52"/>
  <c r="AGR33" i="52"/>
  <c r="AGS33" i="52"/>
  <c r="AGT33" i="52"/>
  <c r="AGU33" i="52"/>
  <c r="AGV33" i="52"/>
  <c r="AGW33" i="52"/>
  <c r="AGX33" i="52"/>
  <c r="AGY33" i="52"/>
  <c r="AGZ33" i="52"/>
  <c r="AHA33" i="52"/>
  <c r="AHB33" i="52"/>
  <c r="AHC33" i="52"/>
  <c r="AHD33" i="52"/>
  <c r="AHE33" i="52"/>
  <c r="AHF33" i="52"/>
  <c r="AHG33" i="52"/>
  <c r="AHH33" i="52"/>
  <c r="AHI33" i="52"/>
  <c r="AHJ33" i="52"/>
  <c r="AHK33" i="52"/>
  <c r="AHL33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AE17" i="52"/>
  <c r="AF17" i="52"/>
  <c r="AG17" i="52"/>
  <c r="AH17" i="52"/>
  <c r="AI17" i="52"/>
  <c r="AJ17" i="52"/>
  <c r="AK17" i="52"/>
  <c r="AL17" i="52"/>
  <c r="AM17" i="52"/>
  <c r="AN17" i="52"/>
  <c r="AO17" i="52"/>
  <c r="AP17" i="52"/>
  <c r="AQ17" i="52"/>
  <c r="AR17" i="52"/>
  <c r="AS17" i="52"/>
  <c r="AT17" i="52"/>
  <c r="AU17" i="52"/>
  <c r="AV17" i="52"/>
  <c r="AW17" i="52"/>
  <c r="AX17" i="52"/>
  <c r="AY17" i="52"/>
  <c r="AZ17" i="52"/>
  <c r="BA17" i="52"/>
  <c r="BB17" i="52"/>
  <c r="BC17" i="52"/>
  <c r="BD17" i="52"/>
  <c r="BE17" i="52"/>
  <c r="BF17" i="52"/>
  <c r="BG17" i="52"/>
  <c r="BH17" i="52"/>
  <c r="BI17" i="52"/>
  <c r="BJ17" i="52"/>
  <c r="BK17" i="52"/>
  <c r="BL17" i="52"/>
  <c r="BM17" i="52"/>
  <c r="BN17" i="52"/>
  <c r="BO17" i="52"/>
  <c r="BP17" i="52"/>
  <c r="BQ17" i="52"/>
  <c r="BR17" i="52"/>
  <c r="BS17" i="52"/>
  <c r="BT17" i="52"/>
  <c r="BU17" i="52"/>
  <c r="BV17" i="52"/>
  <c r="BW17" i="52"/>
  <c r="BX17" i="52"/>
  <c r="BY17" i="52"/>
  <c r="BZ17" i="52"/>
  <c r="CA17" i="52"/>
  <c r="CB17" i="52"/>
  <c r="CC17" i="52"/>
  <c r="CD17" i="52"/>
  <c r="CE17" i="52"/>
  <c r="CF17" i="52"/>
  <c r="CG17" i="52"/>
  <c r="CH17" i="52"/>
  <c r="CI17" i="52"/>
  <c r="CJ17" i="52"/>
  <c r="CK17" i="52"/>
  <c r="CL17" i="52"/>
  <c r="CM17" i="52"/>
  <c r="CN17" i="52"/>
  <c r="CO17" i="52"/>
  <c r="CP17" i="52"/>
  <c r="CQ17" i="52"/>
  <c r="CR17" i="52"/>
  <c r="CS17" i="52"/>
  <c r="CT17" i="52"/>
  <c r="CU17" i="52"/>
  <c r="CV17" i="52"/>
  <c r="CW17" i="52"/>
  <c r="CX17" i="52"/>
  <c r="CY17" i="52"/>
  <c r="CZ17" i="52"/>
  <c r="DA17" i="52"/>
  <c r="DB17" i="52"/>
  <c r="DC17" i="52"/>
  <c r="DD17" i="52"/>
  <c r="DE17" i="52"/>
  <c r="DF17" i="52"/>
  <c r="DG17" i="52"/>
  <c r="DH17" i="52"/>
  <c r="DI17" i="52"/>
  <c r="DJ17" i="52"/>
  <c r="DK17" i="52"/>
  <c r="DL17" i="52"/>
  <c r="DM17" i="52"/>
  <c r="DN17" i="52"/>
  <c r="DO17" i="52"/>
  <c r="DP17" i="52"/>
  <c r="DQ17" i="52"/>
  <c r="DR17" i="52"/>
  <c r="DS17" i="52"/>
  <c r="DT17" i="52"/>
  <c r="DU17" i="52"/>
  <c r="DV17" i="52"/>
  <c r="DW17" i="52"/>
  <c r="DX17" i="52"/>
  <c r="DY17" i="52"/>
  <c r="DZ17" i="52"/>
  <c r="EA17" i="52"/>
  <c r="EB17" i="52"/>
  <c r="EC17" i="52"/>
  <c r="ED17" i="52"/>
  <c r="EE17" i="52"/>
  <c r="EF17" i="52"/>
  <c r="EG17" i="52"/>
  <c r="EH17" i="52"/>
  <c r="EI17" i="52"/>
  <c r="EJ17" i="52"/>
  <c r="EK17" i="52"/>
  <c r="EL17" i="52"/>
  <c r="EM17" i="52"/>
  <c r="EN17" i="52"/>
  <c r="EO17" i="52"/>
  <c r="EP17" i="52"/>
  <c r="EQ17" i="52"/>
  <c r="ER17" i="52"/>
  <c r="ES17" i="52"/>
  <c r="ET17" i="52"/>
  <c r="EU17" i="52"/>
  <c r="EV17" i="52"/>
  <c r="EW17" i="52"/>
  <c r="EX17" i="52"/>
  <c r="EY17" i="52"/>
  <c r="EZ17" i="52"/>
  <c r="FA17" i="52"/>
  <c r="FB17" i="52"/>
  <c r="FC17" i="52"/>
  <c r="FD17" i="52"/>
  <c r="FE17" i="52"/>
  <c r="FF17" i="52"/>
  <c r="FG17" i="52"/>
  <c r="FH17" i="52"/>
  <c r="FI17" i="52"/>
  <c r="FJ17" i="52"/>
  <c r="FK17" i="52"/>
  <c r="FL17" i="52"/>
  <c r="FM17" i="52"/>
  <c r="FN17" i="52"/>
  <c r="FO17" i="52"/>
  <c r="FP17" i="52"/>
  <c r="FQ17" i="52"/>
  <c r="FR17" i="52"/>
  <c r="FS17" i="52"/>
  <c r="FT17" i="52"/>
  <c r="FU17" i="52"/>
  <c r="FV17" i="52"/>
  <c r="FW17" i="52"/>
  <c r="FX17" i="52"/>
  <c r="FY17" i="52"/>
  <c r="FZ17" i="52"/>
  <c r="GA17" i="52"/>
  <c r="GB17" i="52"/>
  <c r="GC17" i="52"/>
  <c r="GD17" i="52"/>
  <c r="GE17" i="52"/>
  <c r="GF17" i="52"/>
  <c r="GG17" i="52"/>
  <c r="GH17" i="52"/>
  <c r="GI17" i="52"/>
  <c r="GJ17" i="52"/>
  <c r="GK17" i="52"/>
  <c r="GL17" i="52"/>
  <c r="GM17" i="52"/>
  <c r="GN17" i="52"/>
  <c r="GO17" i="52"/>
  <c r="GP17" i="52"/>
  <c r="GQ17" i="52"/>
  <c r="GR17" i="52"/>
  <c r="GS17" i="52"/>
  <c r="GT17" i="52"/>
  <c r="GU17" i="52"/>
  <c r="GV17" i="52"/>
  <c r="GW17" i="52"/>
  <c r="GX17" i="52"/>
  <c r="GY17" i="52"/>
  <c r="GZ17" i="52"/>
  <c r="HA17" i="52"/>
  <c r="HB17" i="52"/>
  <c r="HC17" i="52"/>
  <c r="HD17" i="52"/>
  <c r="HE17" i="52"/>
  <c r="HF17" i="52"/>
  <c r="HG17" i="52"/>
  <c r="HH17" i="52"/>
  <c r="HI17" i="52"/>
  <c r="HJ17" i="52"/>
  <c r="HK17" i="52"/>
  <c r="HL17" i="52"/>
  <c r="HM17" i="52"/>
  <c r="HN17" i="52"/>
  <c r="HO17" i="52"/>
  <c r="HP17" i="52"/>
  <c r="HQ17" i="52"/>
  <c r="HR17" i="52"/>
  <c r="HS17" i="52"/>
  <c r="HT17" i="52"/>
  <c r="HU17" i="52"/>
  <c r="HV17" i="52"/>
  <c r="HW17" i="52"/>
  <c r="HX17" i="52"/>
  <c r="HY17" i="52"/>
  <c r="HZ17" i="52"/>
  <c r="IA17" i="52"/>
  <c r="IB17" i="52"/>
  <c r="IC17" i="52"/>
  <c r="ID17" i="52"/>
  <c r="IE17" i="52"/>
  <c r="IF17" i="52"/>
  <c r="IG17" i="52"/>
  <c r="IH17" i="52"/>
  <c r="II17" i="52"/>
  <c r="IJ17" i="52"/>
  <c r="IK17" i="52"/>
  <c r="IL17" i="52"/>
  <c r="IM17" i="52"/>
  <c r="IN17" i="52"/>
  <c r="IO17" i="52"/>
  <c r="IP17" i="52"/>
  <c r="IQ17" i="52"/>
  <c r="IR17" i="52"/>
  <c r="IS17" i="52"/>
  <c r="IT17" i="52"/>
  <c r="IU17" i="52"/>
  <c r="IV17" i="52"/>
  <c r="IW17" i="52"/>
  <c r="IX17" i="52"/>
  <c r="IY17" i="52"/>
  <c r="IZ17" i="52"/>
  <c r="JA17" i="52"/>
  <c r="JB17" i="52"/>
  <c r="JC17" i="52"/>
  <c r="JD17" i="52"/>
  <c r="JE17" i="52"/>
  <c r="JF17" i="52"/>
  <c r="JG17" i="52"/>
  <c r="JH17" i="52"/>
  <c r="JI17" i="52"/>
  <c r="JJ17" i="52"/>
  <c r="JK17" i="52"/>
  <c r="JL17" i="52"/>
  <c r="JM17" i="52"/>
  <c r="JN17" i="52"/>
  <c r="JO17" i="52"/>
  <c r="JP17" i="52"/>
  <c r="JQ17" i="52"/>
  <c r="JR17" i="52"/>
  <c r="JS17" i="52"/>
  <c r="JT17" i="52"/>
  <c r="JU17" i="52"/>
  <c r="JV17" i="52"/>
  <c r="JW17" i="52"/>
  <c r="JX17" i="52"/>
  <c r="JY17" i="52"/>
  <c r="JZ17" i="52"/>
  <c r="KA17" i="52"/>
  <c r="KB17" i="52"/>
  <c r="KC17" i="52"/>
  <c r="KD17" i="52"/>
  <c r="KE17" i="52"/>
  <c r="KF17" i="52"/>
  <c r="KG17" i="52"/>
  <c r="KH17" i="52"/>
  <c r="KI17" i="52"/>
  <c r="KJ17" i="52"/>
  <c r="KK17" i="52"/>
  <c r="KL17" i="52"/>
  <c r="KM17" i="52"/>
  <c r="KN17" i="52"/>
  <c r="KO17" i="52"/>
  <c r="KP17" i="52"/>
  <c r="KQ17" i="52"/>
  <c r="KR17" i="52"/>
  <c r="KS17" i="52"/>
  <c r="KT17" i="52"/>
  <c r="KU17" i="52"/>
  <c r="KV17" i="52"/>
  <c r="KW17" i="52"/>
  <c r="KX17" i="52"/>
  <c r="KY17" i="52"/>
  <c r="KZ17" i="52"/>
  <c r="LA17" i="52"/>
  <c r="LB17" i="52"/>
  <c r="LC17" i="52"/>
  <c r="LD17" i="52"/>
  <c r="LE17" i="52"/>
  <c r="LF17" i="52"/>
  <c r="LG17" i="52"/>
  <c r="LH17" i="52"/>
  <c r="LI17" i="52"/>
  <c r="LJ17" i="52"/>
  <c r="LK17" i="52"/>
  <c r="LL17" i="52"/>
  <c r="LM17" i="52"/>
  <c r="LN17" i="52"/>
  <c r="LO17" i="52"/>
  <c r="LP17" i="52"/>
  <c r="LQ17" i="52"/>
  <c r="LR17" i="52"/>
  <c r="LS17" i="52"/>
  <c r="LT17" i="52"/>
  <c r="LU17" i="52"/>
  <c r="LV17" i="52"/>
  <c r="LW17" i="52"/>
  <c r="LX17" i="52"/>
  <c r="LY17" i="52"/>
  <c r="LZ17" i="52"/>
  <c r="MA17" i="52"/>
  <c r="MB17" i="52"/>
  <c r="MC17" i="52"/>
  <c r="MD17" i="52"/>
  <c r="ME17" i="52"/>
  <c r="MF17" i="52"/>
  <c r="MG17" i="52"/>
  <c r="MH17" i="52"/>
  <c r="MI17" i="52"/>
  <c r="MJ17" i="52"/>
  <c r="MK17" i="52"/>
  <c r="ML17" i="52"/>
  <c r="MM17" i="52"/>
  <c r="MN17" i="52"/>
  <c r="MO17" i="52"/>
  <c r="MP17" i="52"/>
  <c r="MQ17" i="52"/>
  <c r="MR17" i="52"/>
  <c r="MS17" i="52"/>
  <c r="MT17" i="52"/>
  <c r="MU17" i="52"/>
  <c r="MV17" i="52"/>
  <c r="MW17" i="52"/>
  <c r="MX17" i="52"/>
  <c r="MY17" i="52"/>
  <c r="MZ17" i="52"/>
  <c r="NA17" i="52"/>
  <c r="NB17" i="52"/>
  <c r="NC17" i="52"/>
  <c r="ND17" i="52"/>
  <c r="NE17" i="52"/>
  <c r="NF17" i="52"/>
  <c r="NG17" i="52"/>
  <c r="NH17" i="52"/>
  <c r="NI17" i="52"/>
  <c r="NJ17" i="52"/>
  <c r="NK17" i="52"/>
  <c r="NL17" i="52"/>
  <c r="NM17" i="52"/>
  <c r="NN17" i="52"/>
  <c r="NO17" i="52"/>
  <c r="NP17" i="52"/>
  <c r="NQ17" i="52"/>
  <c r="NR17" i="52"/>
  <c r="NS17" i="52"/>
  <c r="NT17" i="52"/>
  <c r="NU17" i="52"/>
  <c r="NV17" i="52"/>
  <c r="NW17" i="52"/>
  <c r="NX17" i="52"/>
  <c r="NY17" i="52"/>
  <c r="NZ17" i="52"/>
  <c r="OA17" i="52"/>
  <c r="OB17" i="52"/>
  <c r="OC17" i="52"/>
  <c r="OD17" i="52"/>
  <c r="OE17" i="52"/>
  <c r="OF17" i="52"/>
  <c r="OG17" i="52"/>
  <c r="OH17" i="52"/>
  <c r="OI17" i="52"/>
  <c r="OJ17" i="52"/>
  <c r="OK17" i="52"/>
  <c r="OL17" i="52"/>
  <c r="OM17" i="52"/>
  <c r="ON17" i="52"/>
  <c r="OO17" i="52"/>
  <c r="OP17" i="52"/>
  <c r="OQ17" i="52"/>
  <c r="OR17" i="52"/>
  <c r="OS17" i="52"/>
  <c r="OT17" i="52"/>
  <c r="OU17" i="52"/>
  <c r="OV17" i="52"/>
  <c r="OW17" i="52"/>
  <c r="OX17" i="52"/>
  <c r="OY17" i="52"/>
  <c r="OZ17" i="52"/>
  <c r="PA17" i="52"/>
  <c r="PB17" i="52"/>
  <c r="PC17" i="52"/>
  <c r="PD17" i="52"/>
  <c r="PE17" i="52"/>
  <c r="PF17" i="52"/>
  <c r="PG17" i="52"/>
  <c r="PH17" i="52"/>
  <c r="PI17" i="52"/>
  <c r="PJ17" i="52"/>
  <c r="PK17" i="52"/>
  <c r="PL17" i="52"/>
  <c r="PM17" i="52"/>
  <c r="PN17" i="52"/>
  <c r="PO17" i="52"/>
  <c r="PP17" i="52"/>
  <c r="PQ17" i="52"/>
  <c r="PR17" i="52"/>
  <c r="PS17" i="52"/>
  <c r="PT17" i="52"/>
  <c r="PU17" i="52"/>
  <c r="PV17" i="52"/>
  <c r="PW17" i="52"/>
  <c r="PX17" i="52"/>
  <c r="PY17" i="52"/>
  <c r="PZ17" i="52"/>
  <c r="QA17" i="52"/>
  <c r="QB17" i="52"/>
  <c r="QC17" i="52"/>
  <c r="QD17" i="52"/>
  <c r="QE17" i="52"/>
  <c r="QF17" i="52"/>
  <c r="QG17" i="52"/>
  <c r="QH17" i="52"/>
  <c r="QI17" i="52"/>
  <c r="QJ17" i="52"/>
  <c r="QK17" i="52"/>
  <c r="QL17" i="52"/>
  <c r="QM17" i="52"/>
  <c r="QN17" i="52"/>
  <c r="QO17" i="52"/>
  <c r="QP17" i="52"/>
  <c r="QQ17" i="52"/>
  <c r="QR17" i="52"/>
  <c r="QS17" i="52"/>
  <c r="QT17" i="52"/>
  <c r="QU17" i="52"/>
  <c r="QV17" i="52"/>
  <c r="QW17" i="52"/>
  <c r="QX17" i="52"/>
  <c r="QY17" i="52"/>
  <c r="QZ17" i="52"/>
  <c r="RA17" i="52"/>
  <c r="RB17" i="52"/>
  <c r="RC17" i="52"/>
  <c r="RD17" i="52"/>
  <c r="RE17" i="52"/>
  <c r="RF17" i="52"/>
  <c r="RG17" i="52"/>
  <c r="RH17" i="52"/>
  <c r="RI17" i="52"/>
  <c r="RJ17" i="52"/>
  <c r="RK17" i="52"/>
  <c r="RL17" i="52"/>
  <c r="RM17" i="52"/>
  <c r="RN17" i="52"/>
  <c r="RO17" i="52"/>
  <c r="RP17" i="52"/>
  <c r="RQ17" i="52"/>
  <c r="RR17" i="52"/>
  <c r="RS17" i="52"/>
  <c r="RT17" i="52"/>
  <c r="RU17" i="52"/>
  <c r="RV17" i="52"/>
  <c r="RW17" i="52"/>
  <c r="RX17" i="52"/>
  <c r="RY17" i="52"/>
  <c r="RZ17" i="52"/>
  <c r="SA17" i="52"/>
  <c r="SB17" i="52"/>
  <c r="SC17" i="52"/>
  <c r="SD17" i="52"/>
  <c r="SE17" i="52"/>
  <c r="SF17" i="52"/>
  <c r="SG17" i="52"/>
  <c r="SH17" i="52"/>
  <c r="SI17" i="52"/>
  <c r="SJ17" i="52"/>
  <c r="SK17" i="52"/>
  <c r="SL17" i="52"/>
  <c r="SM17" i="52"/>
  <c r="SN17" i="52"/>
  <c r="SO17" i="52"/>
  <c r="SP17" i="52"/>
  <c r="SQ17" i="52"/>
  <c r="SR17" i="52"/>
  <c r="SS17" i="52"/>
  <c r="ST17" i="52"/>
  <c r="SU17" i="52"/>
  <c r="SV17" i="52"/>
  <c r="SW17" i="52"/>
  <c r="SX17" i="52"/>
  <c r="SY17" i="52"/>
  <c r="SZ17" i="52"/>
  <c r="TA17" i="52"/>
  <c r="TB17" i="52"/>
  <c r="TC17" i="52"/>
  <c r="TD17" i="52"/>
  <c r="TE17" i="52"/>
  <c r="TF17" i="52"/>
  <c r="TG17" i="52"/>
  <c r="TH17" i="52"/>
  <c r="TI17" i="52"/>
  <c r="TJ17" i="52"/>
  <c r="TK17" i="52"/>
  <c r="TL17" i="52"/>
  <c r="TM17" i="52"/>
  <c r="TN17" i="52"/>
  <c r="TO17" i="52"/>
  <c r="TP17" i="52"/>
  <c r="TQ17" i="52"/>
  <c r="TR17" i="52"/>
  <c r="TS17" i="52"/>
  <c r="TT17" i="52"/>
  <c r="TU17" i="52"/>
  <c r="TV17" i="52"/>
  <c r="TW17" i="52"/>
  <c r="TX17" i="52"/>
  <c r="TY17" i="52"/>
  <c r="TZ17" i="52"/>
  <c r="UA17" i="52"/>
  <c r="UB17" i="52"/>
  <c r="UC17" i="52"/>
  <c r="UD17" i="52"/>
  <c r="UE17" i="52"/>
  <c r="UF17" i="52"/>
  <c r="UG17" i="52"/>
  <c r="UH17" i="52"/>
  <c r="UI17" i="52"/>
  <c r="UJ17" i="52"/>
  <c r="UK17" i="52"/>
  <c r="UL17" i="52"/>
  <c r="UM17" i="52"/>
  <c r="UN17" i="52"/>
  <c r="UO17" i="52"/>
  <c r="UP17" i="52"/>
  <c r="UQ17" i="52"/>
  <c r="UR17" i="52"/>
  <c r="US17" i="52"/>
  <c r="UT17" i="52"/>
  <c r="UU17" i="52"/>
  <c r="UV17" i="52"/>
  <c r="UW17" i="52"/>
  <c r="UX17" i="52"/>
  <c r="UY17" i="52"/>
  <c r="UZ17" i="52"/>
  <c r="VA17" i="52"/>
  <c r="VB17" i="52"/>
  <c r="VC17" i="52"/>
  <c r="VD17" i="52"/>
  <c r="VE17" i="52"/>
  <c r="VF17" i="52"/>
  <c r="VG17" i="52"/>
  <c r="VH17" i="52"/>
  <c r="VI17" i="52"/>
  <c r="VJ17" i="52"/>
  <c r="VK17" i="52"/>
  <c r="VL17" i="52"/>
  <c r="VM17" i="52"/>
  <c r="VN17" i="52"/>
  <c r="VO17" i="52"/>
  <c r="VP17" i="52"/>
  <c r="VQ17" i="52"/>
  <c r="VR17" i="52"/>
  <c r="VS17" i="52"/>
  <c r="VT17" i="52"/>
  <c r="VU17" i="52"/>
  <c r="VV17" i="52"/>
  <c r="VW17" i="52"/>
  <c r="VX17" i="52"/>
  <c r="VY17" i="52"/>
  <c r="VZ17" i="52"/>
  <c r="WA17" i="52"/>
  <c r="WB17" i="52"/>
  <c r="WC17" i="52"/>
  <c r="WD17" i="52"/>
  <c r="WE17" i="52"/>
  <c r="WF17" i="52"/>
  <c r="WG17" i="52"/>
  <c r="WH17" i="52"/>
  <c r="WI17" i="52"/>
  <c r="WJ17" i="52"/>
  <c r="WK17" i="52"/>
  <c r="WL17" i="52"/>
  <c r="WM17" i="52"/>
  <c r="WN17" i="52"/>
  <c r="WO17" i="52"/>
  <c r="WP17" i="52"/>
  <c r="WQ17" i="52"/>
  <c r="WR17" i="52"/>
  <c r="WS17" i="52"/>
  <c r="WT17" i="52"/>
  <c r="WU17" i="52"/>
  <c r="WV17" i="52"/>
  <c r="WW17" i="52"/>
  <c r="WX17" i="52"/>
  <c r="WY17" i="52"/>
  <c r="WZ17" i="52"/>
  <c r="XA17" i="52"/>
  <c r="XB17" i="52"/>
  <c r="XC17" i="52"/>
  <c r="XD17" i="52"/>
  <c r="XE17" i="52"/>
  <c r="XF17" i="52"/>
  <c r="XG17" i="52"/>
  <c r="XH17" i="52"/>
  <c r="XI17" i="52"/>
  <c r="XJ17" i="52"/>
  <c r="XK17" i="52"/>
  <c r="XL17" i="52"/>
  <c r="XM17" i="52"/>
  <c r="XN17" i="52"/>
  <c r="XO17" i="52"/>
  <c r="XP17" i="52"/>
  <c r="XQ17" i="52"/>
  <c r="XR17" i="52"/>
  <c r="XS17" i="52"/>
  <c r="XT17" i="52"/>
  <c r="XU17" i="52"/>
  <c r="XV17" i="52"/>
  <c r="XW17" i="52"/>
  <c r="XX17" i="52"/>
  <c r="XY17" i="52"/>
  <c r="XZ17" i="52"/>
  <c r="YA17" i="52"/>
  <c r="YB17" i="52"/>
  <c r="YC17" i="52"/>
  <c r="YD17" i="52"/>
  <c r="YE17" i="52"/>
  <c r="YF17" i="52"/>
  <c r="YG17" i="52"/>
  <c r="YH17" i="52"/>
  <c r="YI17" i="52"/>
  <c r="YJ17" i="52"/>
  <c r="YK17" i="52"/>
  <c r="YL17" i="52"/>
  <c r="YM17" i="52"/>
  <c r="YN17" i="52"/>
  <c r="YO17" i="52"/>
  <c r="YP17" i="52"/>
  <c r="YQ17" i="52"/>
  <c r="YR17" i="52"/>
  <c r="YS17" i="52"/>
  <c r="YT17" i="52"/>
  <c r="YU17" i="52"/>
  <c r="YV17" i="52"/>
  <c r="YW17" i="52"/>
  <c r="YX17" i="52"/>
  <c r="YY17" i="52"/>
  <c r="YZ17" i="52"/>
  <c r="ZA17" i="52"/>
  <c r="ZB17" i="52"/>
  <c r="ZC17" i="52"/>
  <c r="ZD17" i="52"/>
  <c r="ZE17" i="52"/>
  <c r="ZF17" i="52"/>
  <c r="ZG17" i="52"/>
  <c r="ZH17" i="52"/>
  <c r="ZI17" i="52"/>
  <c r="ZJ17" i="52"/>
  <c r="ZK17" i="52"/>
  <c r="ZL17" i="52"/>
  <c r="ZM17" i="52"/>
  <c r="ZN17" i="52"/>
  <c r="ZO17" i="52"/>
  <c r="ZP17" i="52"/>
  <c r="ZQ17" i="52"/>
  <c r="ZR17" i="52"/>
  <c r="ZS17" i="52"/>
  <c r="ZT17" i="52"/>
  <c r="ZU17" i="52"/>
  <c r="ZV17" i="52"/>
  <c r="ZW17" i="52"/>
  <c r="ZX17" i="52"/>
  <c r="ZY17" i="52"/>
  <c r="ZZ17" i="52"/>
  <c r="AAA17" i="52"/>
  <c r="AAB17" i="52"/>
  <c r="AAC17" i="52"/>
  <c r="AAD17" i="52"/>
  <c r="AAE17" i="52"/>
  <c r="AAF17" i="52"/>
  <c r="AAG17" i="52"/>
  <c r="AAH17" i="52"/>
  <c r="AAI17" i="52"/>
  <c r="AAJ17" i="52"/>
  <c r="AAK17" i="52"/>
  <c r="AAL17" i="52"/>
  <c r="AAM17" i="52"/>
  <c r="AAN17" i="52"/>
  <c r="AAO17" i="52"/>
  <c r="AAP17" i="52"/>
  <c r="AAQ17" i="52"/>
  <c r="AAR17" i="52"/>
  <c r="AAS17" i="52"/>
  <c r="AAT17" i="52"/>
  <c r="AAU17" i="52"/>
  <c r="AAV17" i="52"/>
  <c r="AAW17" i="52"/>
  <c r="AAX17" i="52"/>
  <c r="AAY17" i="52"/>
  <c r="AAZ17" i="52"/>
  <c r="ABA17" i="52"/>
  <c r="ABB17" i="52"/>
  <c r="ABC17" i="52"/>
  <c r="ABD17" i="52"/>
  <c r="ABE17" i="52"/>
  <c r="ABF17" i="52"/>
  <c r="ABG17" i="52"/>
  <c r="ABH17" i="52"/>
  <c r="ABI17" i="52"/>
  <c r="ABJ17" i="52"/>
  <c r="ABK17" i="52"/>
  <c r="ABL17" i="52"/>
  <c r="ABM17" i="52"/>
  <c r="ABN17" i="52"/>
  <c r="ABO17" i="52"/>
  <c r="ABP17" i="52"/>
  <c r="ABQ17" i="52"/>
  <c r="ABR17" i="52"/>
  <c r="ABS17" i="52"/>
  <c r="ABT17" i="52"/>
  <c r="ABU17" i="52"/>
  <c r="ABV17" i="52"/>
  <c r="ABW17" i="52"/>
  <c r="ABX17" i="52"/>
  <c r="ABY17" i="52"/>
  <c r="ABZ17" i="52"/>
  <c r="ACA17" i="52"/>
  <c r="ACB17" i="52"/>
  <c r="ACC17" i="52"/>
  <c r="ACD17" i="52"/>
  <c r="ACE17" i="52"/>
  <c r="ACF17" i="52"/>
  <c r="ACG17" i="52"/>
  <c r="ACH17" i="52"/>
  <c r="ACI17" i="52"/>
  <c r="ACJ17" i="52"/>
  <c r="ACK17" i="52"/>
  <c r="ACL17" i="52"/>
  <c r="ACM17" i="52"/>
  <c r="ACN17" i="52"/>
  <c r="ACO17" i="52"/>
  <c r="ACP17" i="52"/>
  <c r="ACQ17" i="52"/>
  <c r="ACR17" i="52"/>
  <c r="ACS17" i="52"/>
  <c r="ACT17" i="52"/>
  <c r="ACU17" i="52"/>
  <c r="ACV17" i="52"/>
  <c r="ACW17" i="52"/>
  <c r="ACX17" i="52"/>
  <c r="ACY17" i="52"/>
  <c r="ACZ17" i="52"/>
  <c r="ADA17" i="52"/>
  <c r="ADB17" i="52"/>
  <c r="ADC17" i="52"/>
  <c r="ADD17" i="52"/>
  <c r="ADE17" i="52"/>
  <c r="ADF17" i="52"/>
  <c r="ADG17" i="52"/>
  <c r="ADH17" i="52"/>
  <c r="ADI17" i="52"/>
  <c r="ADJ17" i="52"/>
  <c r="ADK17" i="52"/>
  <c r="ADL17" i="52"/>
  <c r="ADM17" i="52"/>
  <c r="ADN17" i="52"/>
  <c r="ADO17" i="52"/>
  <c r="ADP17" i="52"/>
  <c r="ADQ17" i="52"/>
  <c r="ADR17" i="52"/>
  <c r="ADS17" i="52"/>
  <c r="ADT17" i="52"/>
  <c r="ADU17" i="52"/>
  <c r="ADV17" i="52"/>
  <c r="ADW17" i="52"/>
  <c r="ADX17" i="52"/>
  <c r="ADY17" i="52"/>
  <c r="ADZ17" i="52"/>
  <c r="AEA17" i="52"/>
  <c r="AEB17" i="52"/>
  <c r="AEC17" i="52"/>
  <c r="AED17" i="52"/>
  <c r="AEE17" i="52"/>
  <c r="AEF17" i="52"/>
  <c r="AEG17" i="52"/>
  <c r="AEH17" i="52"/>
  <c r="AEI17" i="52"/>
  <c r="AEJ17" i="52"/>
  <c r="AEK17" i="52"/>
  <c r="AEL17" i="52"/>
  <c r="AEM17" i="52"/>
  <c r="AEN17" i="52"/>
  <c r="AEO17" i="52"/>
  <c r="AEP17" i="52"/>
  <c r="AEQ17" i="52"/>
  <c r="AER17" i="52"/>
  <c r="AES17" i="52"/>
  <c r="AET17" i="52"/>
  <c r="AEU17" i="52"/>
  <c r="AEV17" i="52"/>
  <c r="AEW17" i="52"/>
  <c r="AEX17" i="52"/>
  <c r="AEY17" i="52"/>
  <c r="AEZ17" i="52"/>
  <c r="AFA17" i="52"/>
  <c r="AFB17" i="52"/>
  <c r="AFC17" i="52"/>
  <c r="AFD17" i="52"/>
  <c r="AFE17" i="52"/>
  <c r="AFF17" i="52"/>
  <c r="AFG17" i="52"/>
  <c r="AFH17" i="52"/>
  <c r="AFI17" i="52"/>
  <c r="AFJ17" i="52"/>
  <c r="AFK17" i="52"/>
  <c r="AFL17" i="52"/>
  <c r="AFM17" i="52"/>
  <c r="AFN17" i="52"/>
  <c r="AFO17" i="52"/>
  <c r="AFP17" i="52"/>
  <c r="AFQ17" i="52"/>
  <c r="AFR17" i="52"/>
  <c r="AFS17" i="52"/>
  <c r="AFT17" i="52"/>
  <c r="AFU17" i="52"/>
  <c r="AFV17" i="52"/>
  <c r="AFW17" i="52"/>
  <c r="AFX17" i="52"/>
  <c r="AFY17" i="52"/>
  <c r="AFZ17" i="52"/>
  <c r="AGA17" i="52"/>
  <c r="AGB17" i="52"/>
  <c r="AGC17" i="52"/>
  <c r="AGD17" i="52"/>
  <c r="AGE17" i="52"/>
  <c r="AGF17" i="52"/>
  <c r="AGG17" i="52"/>
  <c r="AGH17" i="52"/>
  <c r="AGI17" i="52"/>
  <c r="AGJ17" i="52"/>
  <c r="AGK17" i="52"/>
  <c r="AGL17" i="52"/>
  <c r="AGM17" i="52"/>
  <c r="AGN17" i="52"/>
  <c r="AGO17" i="52"/>
  <c r="AGP17" i="52"/>
  <c r="AGQ17" i="52"/>
  <c r="AGR17" i="52"/>
  <c r="AGS17" i="52"/>
  <c r="AGT17" i="52"/>
  <c r="AGU17" i="52"/>
  <c r="AGV17" i="52"/>
  <c r="AGW17" i="52"/>
  <c r="AGX17" i="52"/>
  <c r="AGY17" i="52"/>
  <c r="AGZ17" i="52"/>
  <c r="AHA17" i="52"/>
  <c r="AHB17" i="52"/>
  <c r="AHC17" i="52"/>
  <c r="AHD17" i="52"/>
  <c r="AHE17" i="52"/>
  <c r="AHF17" i="52"/>
  <c r="AHG17" i="52"/>
  <c r="AHH17" i="52"/>
  <c r="AHI17" i="52"/>
  <c r="AHJ17" i="52"/>
  <c r="AHK17" i="52"/>
  <c r="AHL17" i="52"/>
  <c r="D33" i="52"/>
  <c r="G3" i="16" l="1"/>
  <c r="G221" i="16"/>
  <c r="E220" i="16"/>
  <c r="F220" i="16"/>
  <c r="G220" i="16"/>
  <c r="C220" i="16"/>
  <c r="E83" i="16"/>
  <c r="E81" i="16"/>
  <c r="F81" i="16"/>
  <c r="G81" i="16"/>
  <c r="E82" i="16"/>
  <c r="F82" i="16"/>
  <c r="G82" i="16"/>
  <c r="C81" i="16"/>
  <c r="C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E150" i="48"/>
  <c r="G150" i="48"/>
  <c r="K150" i="48"/>
  <c r="M150" i="48"/>
  <c r="O150" i="48"/>
  <c r="R150" i="48"/>
  <c r="S150" i="48"/>
  <c r="AD150" i="48"/>
  <c r="AI150" i="48"/>
  <c r="AK150" i="48"/>
  <c r="AO150" i="48"/>
  <c r="AQ150" i="48"/>
  <c r="AU150" i="48"/>
  <c r="AW150" i="48"/>
  <c r="AY150" i="48"/>
  <c r="BB150" i="48"/>
  <c r="BC150" i="48"/>
  <c r="BN150" i="48"/>
  <c r="BS150" i="48"/>
  <c r="BU150" i="48"/>
  <c r="BY150" i="48"/>
  <c r="CA150" i="48"/>
  <c r="CE150" i="48"/>
  <c r="CG150" i="48"/>
  <c r="CI150" i="48"/>
  <c r="CL150" i="48"/>
  <c r="CM150" i="48"/>
  <c r="CX150" i="48"/>
  <c r="DC150" i="48"/>
  <c r="DE150" i="48"/>
  <c r="DI150" i="48"/>
  <c r="DK150" i="48"/>
  <c r="DO150" i="48"/>
  <c r="DS150" i="48"/>
  <c r="DV150" i="48"/>
  <c r="DW150" i="48"/>
  <c r="EA150" i="48"/>
  <c r="EC150" i="48"/>
  <c r="EM150" i="48"/>
  <c r="EN150" i="48"/>
  <c r="ES150" i="48"/>
  <c r="EZ150" i="48"/>
  <c r="FC150" i="48"/>
  <c r="FF150" i="48"/>
  <c r="FI150" i="48"/>
  <c r="FO150" i="48"/>
  <c r="FR150" i="48"/>
  <c r="FS150" i="48"/>
  <c r="FW150" i="48"/>
  <c r="FY150" i="48"/>
  <c r="GI150" i="48"/>
  <c r="GJ150" i="48"/>
  <c r="GO150" i="48"/>
  <c r="GV150" i="48"/>
  <c r="GY150" i="48"/>
  <c r="HB150" i="48"/>
  <c r="HE150" i="48"/>
  <c r="HK150" i="48"/>
  <c r="HN150" i="48"/>
  <c r="HO150" i="48"/>
  <c r="HS150" i="48"/>
  <c r="HU150" i="48"/>
  <c r="IE150" i="48"/>
  <c r="IF150" i="48"/>
  <c r="IK150" i="48"/>
  <c r="IR150" i="48"/>
  <c r="IU150" i="48"/>
  <c r="IX150" i="48"/>
  <c r="JA150" i="48"/>
  <c r="JG150" i="48"/>
  <c r="JJ150" i="48"/>
  <c r="JK150" i="48"/>
  <c r="JO150" i="48"/>
  <c r="JQ150" i="48"/>
  <c r="KA150" i="48"/>
  <c r="KB150" i="48"/>
  <c r="KG150" i="48"/>
  <c r="KN150" i="48"/>
  <c r="KQ150" i="48"/>
  <c r="KT150" i="48"/>
  <c r="KW150" i="48"/>
  <c r="LC150" i="48"/>
  <c r="LF150" i="48"/>
  <c r="LG150" i="48"/>
  <c r="LK150" i="48"/>
  <c r="LM150" i="48"/>
  <c r="LW150" i="48"/>
  <c r="LX150" i="48"/>
  <c r="MC150" i="48"/>
  <c r="MJ150" i="48"/>
  <c r="MM150" i="48"/>
  <c r="MP150" i="48"/>
  <c r="MS150" i="48"/>
  <c r="MY150" i="48"/>
  <c r="NB150" i="48"/>
  <c r="NC150" i="48"/>
  <c r="NG150" i="48"/>
  <c r="NI150" i="48"/>
  <c r="NS150" i="48"/>
  <c r="NT150" i="48"/>
  <c r="NY150" i="48"/>
  <c r="OF150" i="48"/>
  <c r="OI150" i="48"/>
  <c r="OL150" i="48"/>
  <c r="OO150" i="48"/>
  <c r="OU150" i="48"/>
  <c r="OX150" i="48"/>
  <c r="OY150" i="48"/>
  <c r="PC150" i="48"/>
  <c r="PE150" i="48"/>
  <c r="PO150" i="48"/>
  <c r="PP150" i="48"/>
  <c r="PU150" i="48"/>
  <c r="QB150" i="48"/>
  <c r="QE150" i="48"/>
  <c r="QH150" i="48"/>
  <c r="QK150" i="48"/>
  <c r="QQ150" i="48"/>
  <c r="QT150" i="48"/>
  <c r="QU150" i="48"/>
  <c r="QY150" i="48"/>
  <c r="RA150" i="48"/>
  <c r="RK150" i="48"/>
  <c r="RL150" i="48"/>
  <c r="RQ150" i="48"/>
  <c r="RX150" i="48"/>
  <c r="SA150" i="48"/>
  <c r="SD150" i="48"/>
  <c r="SG150" i="48"/>
  <c r="SM150" i="48"/>
  <c r="SP150" i="48"/>
  <c r="SQ150" i="48"/>
  <c r="SU150" i="48"/>
  <c r="SW150" i="48"/>
  <c r="TG150" i="48"/>
  <c r="TH150" i="48"/>
  <c r="TM150" i="48"/>
  <c r="TT150" i="48"/>
  <c r="TW150" i="48"/>
  <c r="TZ150" i="48"/>
  <c r="UC150" i="48"/>
  <c r="UI150" i="48"/>
  <c r="UL150" i="48"/>
  <c r="UM150" i="48"/>
  <c r="UQ150" i="48"/>
  <c r="US150" i="48"/>
  <c r="VC150" i="48"/>
  <c r="VD150" i="48"/>
  <c r="VI150" i="48"/>
  <c r="VP150" i="48"/>
  <c r="VS150" i="48"/>
  <c r="VV150" i="48"/>
  <c r="VY150" i="48"/>
  <c r="WE150" i="48"/>
  <c r="WH150" i="48"/>
  <c r="WI150" i="48"/>
  <c r="WM150" i="48"/>
  <c r="WO150" i="48"/>
  <c r="WY150" i="48"/>
  <c r="WZ150" i="48"/>
  <c r="XE150" i="48"/>
  <c r="XL150" i="48"/>
  <c r="XO150" i="48"/>
  <c r="XR150" i="48"/>
  <c r="XU150" i="48"/>
  <c r="YA150" i="48"/>
  <c r="YD150" i="48"/>
  <c r="YE150" i="48"/>
  <c r="YI150" i="48"/>
  <c r="YK150" i="48"/>
  <c r="YU150" i="48"/>
  <c r="YV150" i="48"/>
  <c r="ZA150" i="48"/>
  <c r="ZH150" i="48"/>
  <c r="ZK150" i="48"/>
  <c r="ZN150" i="48"/>
  <c r="ZQ150" i="48"/>
  <c r="ZW150" i="48"/>
  <c r="ZZ150" i="48"/>
  <c r="AAA150" i="48"/>
  <c r="AAE150" i="48"/>
  <c r="AAG150" i="48"/>
  <c r="AAQ150" i="48"/>
  <c r="AAR150" i="48"/>
  <c r="AAW150" i="48"/>
  <c r="ABD150" i="48"/>
  <c r="ABG150" i="48"/>
  <c r="ABJ150" i="48"/>
  <c r="ABM150" i="48"/>
  <c r="ABS150" i="48"/>
  <c r="ABV150" i="48"/>
  <c r="ABW150" i="48"/>
  <c r="ACA150" i="48"/>
  <c r="ACC150" i="48"/>
  <c r="ACM150" i="48"/>
  <c r="ACN150" i="48"/>
  <c r="ACS150" i="48"/>
  <c r="ACZ150" i="48"/>
  <c r="ADC150" i="48"/>
  <c r="ADF150" i="48"/>
  <c r="ADI150" i="48"/>
  <c r="ADO150" i="48"/>
  <c r="ADR150" i="48"/>
  <c r="ADS150" i="48"/>
  <c r="ADW150" i="48"/>
  <c r="ADY150" i="48"/>
  <c r="AEI150" i="48"/>
  <c r="AEJ150" i="48"/>
  <c r="AEO150" i="48"/>
  <c r="AEV150" i="48"/>
  <c r="AEY150" i="48"/>
  <c r="AFB150" i="48"/>
  <c r="AFE150" i="48"/>
  <c r="AFK150" i="48"/>
  <c r="AFN150" i="48"/>
  <c r="AFO150" i="48"/>
  <c r="AFS150" i="48"/>
  <c r="AFU150" i="48"/>
  <c r="AGE150" i="48"/>
  <c r="AGF150" i="48"/>
  <c r="AGK150" i="48"/>
  <c r="AGR150" i="48"/>
  <c r="AGU150" i="48"/>
  <c r="AGX150" i="48"/>
  <c r="AHA150" i="48"/>
  <c r="AHG150" i="48"/>
  <c r="AHJ150" i="48"/>
  <c r="AHK150" i="48"/>
  <c r="AHO150" i="48"/>
  <c r="AHQ150" i="48"/>
  <c r="E149" i="48"/>
  <c r="F149" i="48"/>
  <c r="F150" i="48" s="1"/>
  <c r="G149" i="48"/>
  <c r="H149" i="48"/>
  <c r="H150" i="48" s="1"/>
  <c r="I149" i="48"/>
  <c r="I150" i="48" s="1"/>
  <c r="J149" i="48"/>
  <c r="J150" i="48" s="1"/>
  <c r="K149" i="48"/>
  <c r="L149" i="48"/>
  <c r="L150" i="48" s="1"/>
  <c r="M149" i="48"/>
  <c r="N149" i="48"/>
  <c r="N150" i="48" s="1"/>
  <c r="O149" i="48"/>
  <c r="P149" i="48"/>
  <c r="P150" i="48" s="1"/>
  <c r="Q149" i="48"/>
  <c r="Q150" i="48" s="1"/>
  <c r="R149" i="48"/>
  <c r="S149" i="48"/>
  <c r="T149" i="48"/>
  <c r="T150" i="48" s="1"/>
  <c r="U149" i="48"/>
  <c r="U150" i="48" s="1"/>
  <c r="V149" i="48"/>
  <c r="V150" i="48" s="1"/>
  <c r="W149" i="48"/>
  <c r="W150" i="48" s="1"/>
  <c r="X149" i="48"/>
  <c r="X150" i="48" s="1"/>
  <c r="Y149" i="48"/>
  <c r="Y150" i="48" s="1"/>
  <c r="Z149" i="48"/>
  <c r="Z150" i="48" s="1"/>
  <c r="AA149" i="48"/>
  <c r="AA150" i="48" s="1"/>
  <c r="AB149" i="48"/>
  <c r="AB150" i="48" s="1"/>
  <c r="AC149" i="48"/>
  <c r="AC150" i="48" s="1"/>
  <c r="AD149" i="48"/>
  <c r="AE149" i="48"/>
  <c r="AE150" i="48" s="1"/>
  <c r="AF149" i="48"/>
  <c r="AF150" i="48" s="1"/>
  <c r="AG149" i="48"/>
  <c r="AG150" i="48" s="1"/>
  <c r="AH149" i="48"/>
  <c r="AH150" i="48" s="1"/>
  <c r="AI149" i="48"/>
  <c r="AJ149" i="48"/>
  <c r="AJ150" i="48" s="1"/>
  <c r="AK149" i="48"/>
  <c r="AL149" i="48"/>
  <c r="AL150" i="48" s="1"/>
  <c r="AM149" i="48"/>
  <c r="AM150" i="48" s="1"/>
  <c r="AN149" i="48"/>
  <c r="AN150" i="48" s="1"/>
  <c r="AO149" i="48"/>
  <c r="AP149" i="48"/>
  <c r="AP150" i="48" s="1"/>
  <c r="AQ149" i="48"/>
  <c r="AR149" i="48"/>
  <c r="AR150" i="48" s="1"/>
  <c r="AS149" i="48"/>
  <c r="AS150" i="48" s="1"/>
  <c r="AT149" i="48"/>
  <c r="AT150" i="48" s="1"/>
  <c r="AU149" i="48"/>
  <c r="AV149" i="48"/>
  <c r="AV150" i="48" s="1"/>
  <c r="AW149" i="48"/>
  <c r="AX149" i="48"/>
  <c r="AX150" i="48" s="1"/>
  <c r="AY149" i="48"/>
  <c r="AZ149" i="48"/>
  <c r="AZ150" i="48" s="1"/>
  <c r="BA149" i="48"/>
  <c r="BA150" i="48" s="1"/>
  <c r="BB149" i="48"/>
  <c r="BC149" i="48"/>
  <c r="BD149" i="48"/>
  <c r="BD150" i="48" s="1"/>
  <c r="BE149" i="48"/>
  <c r="BE150" i="48" s="1"/>
  <c r="BF149" i="48"/>
  <c r="BF150" i="48" s="1"/>
  <c r="BG149" i="48"/>
  <c r="BG150" i="48" s="1"/>
  <c r="BH149" i="48"/>
  <c r="BH150" i="48" s="1"/>
  <c r="BI149" i="48"/>
  <c r="BI150" i="48" s="1"/>
  <c r="BJ149" i="48"/>
  <c r="BJ150" i="48" s="1"/>
  <c r="BK149" i="48"/>
  <c r="BK150" i="48" s="1"/>
  <c r="BL149" i="48"/>
  <c r="BL150" i="48" s="1"/>
  <c r="BM149" i="48"/>
  <c r="BM150" i="48" s="1"/>
  <c r="BN149" i="48"/>
  <c r="BO149" i="48"/>
  <c r="BO150" i="48" s="1"/>
  <c r="BP149" i="48"/>
  <c r="BP150" i="48" s="1"/>
  <c r="BQ149" i="48"/>
  <c r="BQ150" i="48" s="1"/>
  <c r="BR149" i="48"/>
  <c r="BR150" i="48" s="1"/>
  <c r="BS149" i="48"/>
  <c r="BT149" i="48"/>
  <c r="BT150" i="48" s="1"/>
  <c r="BU149" i="48"/>
  <c r="BV149" i="48"/>
  <c r="BV150" i="48" s="1"/>
  <c r="BW149" i="48"/>
  <c r="BW150" i="48" s="1"/>
  <c r="BX149" i="48"/>
  <c r="BX150" i="48" s="1"/>
  <c r="BY149" i="48"/>
  <c r="BZ149" i="48"/>
  <c r="BZ150" i="48" s="1"/>
  <c r="CA149" i="48"/>
  <c r="CB149" i="48"/>
  <c r="CB150" i="48" s="1"/>
  <c r="CC149" i="48"/>
  <c r="CC150" i="48" s="1"/>
  <c r="CD149" i="48"/>
  <c r="CD150" i="48" s="1"/>
  <c r="CE149" i="48"/>
  <c r="CF149" i="48"/>
  <c r="CF150" i="48" s="1"/>
  <c r="CG149" i="48"/>
  <c r="CH149" i="48"/>
  <c r="CH150" i="48" s="1"/>
  <c r="CI149" i="48"/>
  <c r="CJ149" i="48"/>
  <c r="CJ150" i="48" s="1"/>
  <c r="CK149" i="48"/>
  <c r="CK150" i="48" s="1"/>
  <c r="CL149" i="48"/>
  <c r="CM149" i="48"/>
  <c r="CN149" i="48"/>
  <c r="CN150" i="48" s="1"/>
  <c r="CO149" i="48"/>
  <c r="CO150" i="48" s="1"/>
  <c r="CP149" i="48"/>
  <c r="CP150" i="48" s="1"/>
  <c r="CQ149" i="48"/>
  <c r="CQ150" i="48" s="1"/>
  <c r="CR149" i="48"/>
  <c r="CR150" i="48" s="1"/>
  <c r="CS149" i="48"/>
  <c r="CS150" i="48" s="1"/>
  <c r="CT149" i="48"/>
  <c r="CT150" i="48" s="1"/>
  <c r="CU149" i="48"/>
  <c r="CU150" i="48" s="1"/>
  <c r="CV149" i="48"/>
  <c r="CV150" i="48" s="1"/>
  <c r="CW149" i="48"/>
  <c r="CW150" i="48" s="1"/>
  <c r="CX149" i="48"/>
  <c r="CY149" i="48"/>
  <c r="CY150" i="48" s="1"/>
  <c r="CZ149" i="48"/>
  <c r="CZ150" i="48" s="1"/>
  <c r="DA149" i="48"/>
  <c r="DA150" i="48" s="1"/>
  <c r="DB149" i="48"/>
  <c r="DB150" i="48" s="1"/>
  <c r="DC149" i="48"/>
  <c r="DD149" i="48"/>
  <c r="DD150" i="48" s="1"/>
  <c r="DE149" i="48"/>
  <c r="DF149" i="48"/>
  <c r="DF150" i="48" s="1"/>
  <c r="DG149" i="48"/>
  <c r="DG150" i="48" s="1"/>
  <c r="DH149" i="48"/>
  <c r="DH150" i="48" s="1"/>
  <c r="DI149" i="48"/>
  <c r="DJ149" i="48"/>
  <c r="DJ150" i="48" s="1"/>
  <c r="DK149" i="48"/>
  <c r="DL149" i="48"/>
  <c r="DL150" i="48" s="1"/>
  <c r="DM149" i="48"/>
  <c r="DM150" i="48" s="1"/>
  <c r="DN149" i="48"/>
  <c r="DN150" i="48" s="1"/>
  <c r="DO149" i="48"/>
  <c r="DP149" i="48"/>
  <c r="DP150" i="48" s="1"/>
  <c r="DQ149" i="48"/>
  <c r="DQ150" i="48" s="1"/>
  <c r="DR149" i="48"/>
  <c r="DR150" i="48" s="1"/>
  <c r="DS149" i="48"/>
  <c r="DT149" i="48"/>
  <c r="DT150" i="48" s="1"/>
  <c r="DU149" i="48"/>
  <c r="DU150" i="48" s="1"/>
  <c r="DV149" i="48"/>
  <c r="DW149" i="48"/>
  <c r="DX149" i="48"/>
  <c r="DX150" i="48" s="1"/>
  <c r="DY149" i="48"/>
  <c r="DY150" i="48" s="1"/>
  <c r="DZ149" i="48"/>
  <c r="DZ150" i="48" s="1"/>
  <c r="EA149" i="48"/>
  <c r="EB149" i="48"/>
  <c r="EB150" i="48" s="1"/>
  <c r="EC149" i="48"/>
  <c r="ED149" i="48"/>
  <c r="ED150" i="48" s="1"/>
  <c r="EE149" i="48"/>
  <c r="EE150" i="48" s="1"/>
  <c r="EF149" i="48"/>
  <c r="EF150" i="48" s="1"/>
  <c r="EG149" i="48"/>
  <c r="EG150" i="48" s="1"/>
  <c r="EH149" i="48"/>
  <c r="EH150" i="48" s="1"/>
  <c r="EI149" i="48"/>
  <c r="EI150" i="48" s="1"/>
  <c r="EJ149" i="48"/>
  <c r="EJ150" i="48" s="1"/>
  <c r="EK149" i="48"/>
  <c r="EK150" i="48" s="1"/>
  <c r="EL149" i="48"/>
  <c r="EL150" i="48" s="1"/>
  <c r="EM149" i="48"/>
  <c r="EN149" i="48"/>
  <c r="EO149" i="48"/>
  <c r="EO150" i="48" s="1"/>
  <c r="EP149" i="48"/>
  <c r="EP150" i="48" s="1"/>
  <c r="EQ149" i="48"/>
  <c r="EQ150" i="48" s="1"/>
  <c r="ER149" i="48"/>
  <c r="ER150" i="48" s="1"/>
  <c r="ES149" i="48"/>
  <c r="ET149" i="48"/>
  <c r="ET150" i="48" s="1"/>
  <c r="EU149" i="48"/>
  <c r="EU150" i="48" s="1"/>
  <c r="EV149" i="48"/>
  <c r="EV150" i="48" s="1"/>
  <c r="EW149" i="48"/>
  <c r="EW150" i="48" s="1"/>
  <c r="EX149" i="48"/>
  <c r="EX150" i="48" s="1"/>
  <c r="EY149" i="48"/>
  <c r="EY150" i="48" s="1"/>
  <c r="EZ149" i="48"/>
  <c r="FA149" i="48"/>
  <c r="FA150" i="48" s="1"/>
  <c r="FB149" i="48"/>
  <c r="FB150" i="48" s="1"/>
  <c r="FC149" i="48"/>
  <c r="FD149" i="48"/>
  <c r="FD150" i="48" s="1"/>
  <c r="FE149" i="48"/>
  <c r="FE150" i="48" s="1"/>
  <c r="FF149" i="48"/>
  <c r="FG149" i="48"/>
  <c r="FG150" i="48" s="1"/>
  <c r="FH149" i="48"/>
  <c r="FH150" i="48" s="1"/>
  <c r="FI149" i="48"/>
  <c r="FJ149" i="48"/>
  <c r="FJ150" i="48" s="1"/>
  <c r="FK149" i="48"/>
  <c r="FK150" i="48" s="1"/>
  <c r="FL149" i="48"/>
  <c r="FL150" i="48" s="1"/>
  <c r="FM149" i="48"/>
  <c r="FM150" i="48" s="1"/>
  <c r="FN149" i="48"/>
  <c r="FN150" i="48" s="1"/>
  <c r="FO149" i="48"/>
  <c r="FP149" i="48"/>
  <c r="FP150" i="48" s="1"/>
  <c r="FQ149" i="48"/>
  <c r="FQ150" i="48" s="1"/>
  <c r="FR149" i="48"/>
  <c r="FS149" i="48"/>
  <c r="FT149" i="48"/>
  <c r="FT150" i="48" s="1"/>
  <c r="FU149" i="48"/>
  <c r="FU150" i="48" s="1"/>
  <c r="FV149" i="48"/>
  <c r="FV150" i="48" s="1"/>
  <c r="FW149" i="48"/>
  <c r="FX149" i="48"/>
  <c r="FX150" i="48" s="1"/>
  <c r="FY149" i="48"/>
  <c r="FZ149" i="48"/>
  <c r="FZ150" i="48" s="1"/>
  <c r="GA149" i="48"/>
  <c r="GA150" i="48" s="1"/>
  <c r="GB149" i="48"/>
  <c r="GB150" i="48" s="1"/>
  <c r="GC149" i="48"/>
  <c r="GC150" i="48" s="1"/>
  <c r="GD149" i="48"/>
  <c r="GD150" i="48" s="1"/>
  <c r="GE149" i="48"/>
  <c r="GE150" i="48" s="1"/>
  <c r="GF149" i="48"/>
  <c r="GF150" i="48" s="1"/>
  <c r="GG149" i="48"/>
  <c r="GG150" i="48" s="1"/>
  <c r="GH149" i="48"/>
  <c r="GH150" i="48" s="1"/>
  <c r="GI149" i="48"/>
  <c r="GJ149" i="48"/>
  <c r="GK149" i="48"/>
  <c r="GK150" i="48" s="1"/>
  <c r="GL149" i="48"/>
  <c r="GL150" i="48" s="1"/>
  <c r="GM149" i="48"/>
  <c r="GM150" i="48" s="1"/>
  <c r="GN149" i="48"/>
  <c r="GN150" i="48" s="1"/>
  <c r="GO149" i="48"/>
  <c r="GP149" i="48"/>
  <c r="GP150" i="48" s="1"/>
  <c r="GQ149" i="48"/>
  <c r="GQ150" i="48" s="1"/>
  <c r="GR149" i="48"/>
  <c r="GR150" i="48" s="1"/>
  <c r="GS149" i="48"/>
  <c r="GS150" i="48" s="1"/>
  <c r="GT149" i="48"/>
  <c r="GT150" i="48" s="1"/>
  <c r="GU149" i="48"/>
  <c r="GU150" i="48" s="1"/>
  <c r="GV149" i="48"/>
  <c r="GW149" i="48"/>
  <c r="GW150" i="48" s="1"/>
  <c r="GX149" i="48"/>
  <c r="GX150" i="48" s="1"/>
  <c r="GY149" i="48"/>
  <c r="GZ149" i="48"/>
  <c r="GZ150" i="48" s="1"/>
  <c r="HA149" i="48"/>
  <c r="HA150" i="48" s="1"/>
  <c r="HB149" i="48"/>
  <c r="HC149" i="48"/>
  <c r="HC150" i="48" s="1"/>
  <c r="HD149" i="48"/>
  <c r="HD150" i="48" s="1"/>
  <c r="HE149" i="48"/>
  <c r="HF149" i="48"/>
  <c r="HF150" i="48" s="1"/>
  <c r="HG149" i="48"/>
  <c r="HG150" i="48" s="1"/>
  <c r="HH149" i="48"/>
  <c r="HH150" i="48" s="1"/>
  <c r="HI149" i="48"/>
  <c r="HI150" i="48" s="1"/>
  <c r="HJ149" i="48"/>
  <c r="HJ150" i="48" s="1"/>
  <c r="HK149" i="48"/>
  <c r="HL149" i="48"/>
  <c r="HL150" i="48" s="1"/>
  <c r="HM149" i="48"/>
  <c r="HM150" i="48" s="1"/>
  <c r="HN149" i="48"/>
  <c r="HO149" i="48"/>
  <c r="HP149" i="48"/>
  <c r="HP150" i="48" s="1"/>
  <c r="HQ149" i="48"/>
  <c r="HQ150" i="48" s="1"/>
  <c r="HR149" i="48"/>
  <c r="HR150" i="48" s="1"/>
  <c r="HS149" i="48"/>
  <c r="HT149" i="48"/>
  <c r="HT150" i="48" s="1"/>
  <c r="HU149" i="48"/>
  <c r="HV149" i="48"/>
  <c r="HV150" i="48" s="1"/>
  <c r="HW149" i="48"/>
  <c r="HW150" i="48" s="1"/>
  <c r="HX149" i="48"/>
  <c r="HX150" i="48" s="1"/>
  <c r="HY149" i="48"/>
  <c r="HY150" i="48" s="1"/>
  <c r="HZ149" i="48"/>
  <c r="HZ150" i="48" s="1"/>
  <c r="IA149" i="48"/>
  <c r="IA150" i="48" s="1"/>
  <c r="IB149" i="48"/>
  <c r="IB150" i="48" s="1"/>
  <c r="IC149" i="48"/>
  <c r="IC150" i="48" s="1"/>
  <c r="ID149" i="48"/>
  <c r="ID150" i="48" s="1"/>
  <c r="IE149" i="48"/>
  <c r="IF149" i="48"/>
  <c r="IG149" i="48"/>
  <c r="IG150" i="48" s="1"/>
  <c r="IH149" i="48"/>
  <c r="IH150" i="48" s="1"/>
  <c r="II149" i="48"/>
  <c r="II150" i="48" s="1"/>
  <c r="IJ149" i="48"/>
  <c r="IJ150" i="48" s="1"/>
  <c r="IK149" i="48"/>
  <c r="IL149" i="48"/>
  <c r="IL150" i="48" s="1"/>
  <c r="IM149" i="48"/>
  <c r="IM150" i="48" s="1"/>
  <c r="IN149" i="48"/>
  <c r="IN150" i="48" s="1"/>
  <c r="IO149" i="48"/>
  <c r="IO150" i="48" s="1"/>
  <c r="IP149" i="48"/>
  <c r="IP150" i="48" s="1"/>
  <c r="IQ149" i="48"/>
  <c r="IQ150" i="48" s="1"/>
  <c r="IR149" i="48"/>
  <c r="IS149" i="48"/>
  <c r="IS150" i="48" s="1"/>
  <c r="IT149" i="48"/>
  <c r="IT150" i="48" s="1"/>
  <c r="IU149" i="48"/>
  <c r="IV149" i="48"/>
  <c r="IV150" i="48" s="1"/>
  <c r="IW149" i="48"/>
  <c r="IW150" i="48" s="1"/>
  <c r="IX149" i="48"/>
  <c r="IY149" i="48"/>
  <c r="IY150" i="48" s="1"/>
  <c r="IZ149" i="48"/>
  <c r="IZ150" i="48" s="1"/>
  <c r="JA149" i="48"/>
  <c r="JB149" i="48"/>
  <c r="JB150" i="48" s="1"/>
  <c r="JC149" i="48"/>
  <c r="JC150" i="48" s="1"/>
  <c r="JD149" i="48"/>
  <c r="JD150" i="48" s="1"/>
  <c r="JE149" i="48"/>
  <c r="JE150" i="48" s="1"/>
  <c r="JF149" i="48"/>
  <c r="JF150" i="48" s="1"/>
  <c r="JG149" i="48"/>
  <c r="JH149" i="48"/>
  <c r="JH150" i="48" s="1"/>
  <c r="JI149" i="48"/>
  <c r="JI150" i="48" s="1"/>
  <c r="JJ149" i="48"/>
  <c r="JK149" i="48"/>
  <c r="JL149" i="48"/>
  <c r="JL150" i="48" s="1"/>
  <c r="JM149" i="48"/>
  <c r="JM150" i="48" s="1"/>
  <c r="JN149" i="48"/>
  <c r="JN150" i="48" s="1"/>
  <c r="JO149" i="48"/>
  <c r="JP149" i="48"/>
  <c r="JP150" i="48" s="1"/>
  <c r="JQ149" i="48"/>
  <c r="JR149" i="48"/>
  <c r="JR150" i="48" s="1"/>
  <c r="JS149" i="48"/>
  <c r="JS150" i="48" s="1"/>
  <c r="JT149" i="48"/>
  <c r="JT150" i="48" s="1"/>
  <c r="JU149" i="48"/>
  <c r="JU150" i="48" s="1"/>
  <c r="JV149" i="48"/>
  <c r="JV150" i="48" s="1"/>
  <c r="JW149" i="48"/>
  <c r="JW150" i="48" s="1"/>
  <c r="JX149" i="48"/>
  <c r="JX150" i="48" s="1"/>
  <c r="JY149" i="48"/>
  <c r="JY150" i="48" s="1"/>
  <c r="JZ149" i="48"/>
  <c r="JZ150" i="48" s="1"/>
  <c r="KA149" i="48"/>
  <c r="KB149" i="48"/>
  <c r="KC149" i="48"/>
  <c r="KC150" i="48" s="1"/>
  <c r="KD149" i="48"/>
  <c r="KD150" i="48" s="1"/>
  <c r="KE149" i="48"/>
  <c r="KE150" i="48" s="1"/>
  <c r="KF149" i="48"/>
  <c r="KF150" i="48" s="1"/>
  <c r="KG149" i="48"/>
  <c r="KH149" i="48"/>
  <c r="KH150" i="48" s="1"/>
  <c r="KI149" i="48"/>
  <c r="KI150" i="48" s="1"/>
  <c r="KJ149" i="48"/>
  <c r="KJ150" i="48" s="1"/>
  <c r="KK149" i="48"/>
  <c r="KK150" i="48" s="1"/>
  <c r="KL149" i="48"/>
  <c r="KL150" i="48" s="1"/>
  <c r="KM149" i="48"/>
  <c r="KM150" i="48" s="1"/>
  <c r="KN149" i="48"/>
  <c r="KO149" i="48"/>
  <c r="KO150" i="48" s="1"/>
  <c r="KP149" i="48"/>
  <c r="KP150" i="48" s="1"/>
  <c r="KQ149" i="48"/>
  <c r="KR149" i="48"/>
  <c r="KR150" i="48" s="1"/>
  <c r="KS149" i="48"/>
  <c r="KS150" i="48" s="1"/>
  <c r="KT149" i="48"/>
  <c r="KU149" i="48"/>
  <c r="KU150" i="48" s="1"/>
  <c r="KV149" i="48"/>
  <c r="KV150" i="48" s="1"/>
  <c r="KW149" i="48"/>
  <c r="KX149" i="48"/>
  <c r="KX150" i="48" s="1"/>
  <c r="KY149" i="48"/>
  <c r="KY150" i="48" s="1"/>
  <c r="KZ149" i="48"/>
  <c r="KZ150" i="48" s="1"/>
  <c r="LA149" i="48"/>
  <c r="LA150" i="48" s="1"/>
  <c r="LB149" i="48"/>
  <c r="LB150" i="48" s="1"/>
  <c r="LC149" i="48"/>
  <c r="LD149" i="48"/>
  <c r="LD150" i="48" s="1"/>
  <c r="LE149" i="48"/>
  <c r="LE150" i="48" s="1"/>
  <c r="LF149" i="48"/>
  <c r="LG149" i="48"/>
  <c r="LH149" i="48"/>
  <c r="LH150" i="48" s="1"/>
  <c r="LI149" i="48"/>
  <c r="LI150" i="48" s="1"/>
  <c r="LJ149" i="48"/>
  <c r="LJ150" i="48" s="1"/>
  <c r="LK149" i="48"/>
  <c r="LL149" i="48"/>
  <c r="LL150" i="48" s="1"/>
  <c r="LM149" i="48"/>
  <c r="LN149" i="48"/>
  <c r="LN150" i="48" s="1"/>
  <c r="LO149" i="48"/>
  <c r="LO150" i="48" s="1"/>
  <c r="LP149" i="48"/>
  <c r="LP150" i="48" s="1"/>
  <c r="LQ149" i="48"/>
  <c r="LQ150" i="48" s="1"/>
  <c r="LR149" i="48"/>
  <c r="LR150" i="48" s="1"/>
  <c r="LS149" i="48"/>
  <c r="LS150" i="48" s="1"/>
  <c r="LT149" i="48"/>
  <c r="LT150" i="48" s="1"/>
  <c r="LU149" i="48"/>
  <c r="LU150" i="48" s="1"/>
  <c r="LV149" i="48"/>
  <c r="LV150" i="48" s="1"/>
  <c r="LW149" i="48"/>
  <c r="LX149" i="48"/>
  <c r="LY149" i="48"/>
  <c r="LY150" i="48" s="1"/>
  <c r="LZ149" i="48"/>
  <c r="LZ150" i="48" s="1"/>
  <c r="MA149" i="48"/>
  <c r="MA150" i="48" s="1"/>
  <c r="MB149" i="48"/>
  <c r="MB150" i="48" s="1"/>
  <c r="MC149" i="48"/>
  <c r="MD149" i="48"/>
  <c r="MD150" i="48" s="1"/>
  <c r="ME149" i="48"/>
  <c r="ME150" i="48" s="1"/>
  <c r="MF149" i="48"/>
  <c r="MF150" i="48" s="1"/>
  <c r="MG149" i="48"/>
  <c r="MG150" i="48" s="1"/>
  <c r="MH149" i="48"/>
  <c r="MH150" i="48" s="1"/>
  <c r="MI149" i="48"/>
  <c r="MI150" i="48" s="1"/>
  <c r="MJ149" i="48"/>
  <c r="MK149" i="48"/>
  <c r="MK150" i="48" s="1"/>
  <c r="ML149" i="48"/>
  <c r="ML150" i="48" s="1"/>
  <c r="MM149" i="48"/>
  <c r="MN149" i="48"/>
  <c r="MN150" i="48" s="1"/>
  <c r="MO149" i="48"/>
  <c r="MO150" i="48" s="1"/>
  <c r="MP149" i="48"/>
  <c r="MQ149" i="48"/>
  <c r="MQ150" i="48" s="1"/>
  <c r="MR149" i="48"/>
  <c r="MR150" i="48" s="1"/>
  <c r="MS149" i="48"/>
  <c r="MT149" i="48"/>
  <c r="MT150" i="48" s="1"/>
  <c r="MU149" i="48"/>
  <c r="MU150" i="48" s="1"/>
  <c r="MV149" i="48"/>
  <c r="MV150" i="48" s="1"/>
  <c r="MW149" i="48"/>
  <c r="MW150" i="48" s="1"/>
  <c r="MX149" i="48"/>
  <c r="MX150" i="48" s="1"/>
  <c r="MY149" i="48"/>
  <c r="MZ149" i="48"/>
  <c r="MZ150" i="48" s="1"/>
  <c r="NA149" i="48"/>
  <c r="NA150" i="48" s="1"/>
  <c r="NB149" i="48"/>
  <c r="NC149" i="48"/>
  <c r="ND149" i="48"/>
  <c r="ND150" i="48" s="1"/>
  <c r="NE149" i="48"/>
  <c r="NE150" i="48" s="1"/>
  <c r="NF149" i="48"/>
  <c r="NF150" i="48" s="1"/>
  <c r="NG149" i="48"/>
  <c r="NH149" i="48"/>
  <c r="NH150" i="48" s="1"/>
  <c r="NI149" i="48"/>
  <c r="NJ149" i="48"/>
  <c r="NJ150" i="48" s="1"/>
  <c r="NK149" i="48"/>
  <c r="NK150" i="48" s="1"/>
  <c r="NL149" i="48"/>
  <c r="NL150" i="48" s="1"/>
  <c r="NM149" i="48"/>
  <c r="NM150" i="48" s="1"/>
  <c r="NN149" i="48"/>
  <c r="NN150" i="48" s="1"/>
  <c r="NO149" i="48"/>
  <c r="NO150" i="48" s="1"/>
  <c r="NP149" i="48"/>
  <c r="NP150" i="48" s="1"/>
  <c r="NQ149" i="48"/>
  <c r="NQ150" i="48" s="1"/>
  <c r="NR149" i="48"/>
  <c r="NR150" i="48" s="1"/>
  <c r="NS149" i="48"/>
  <c r="NT149" i="48"/>
  <c r="NU149" i="48"/>
  <c r="NU150" i="48" s="1"/>
  <c r="NV149" i="48"/>
  <c r="NV150" i="48" s="1"/>
  <c r="NW149" i="48"/>
  <c r="NW150" i="48" s="1"/>
  <c r="NX149" i="48"/>
  <c r="NX150" i="48" s="1"/>
  <c r="NY149" i="48"/>
  <c r="NZ149" i="48"/>
  <c r="NZ150" i="48" s="1"/>
  <c r="OA149" i="48"/>
  <c r="OA150" i="48" s="1"/>
  <c r="OB149" i="48"/>
  <c r="OB150" i="48" s="1"/>
  <c r="OC149" i="48"/>
  <c r="OC150" i="48" s="1"/>
  <c r="OD149" i="48"/>
  <c r="OD150" i="48" s="1"/>
  <c r="OE149" i="48"/>
  <c r="OE150" i="48" s="1"/>
  <c r="OF149" i="48"/>
  <c r="OG149" i="48"/>
  <c r="OG150" i="48" s="1"/>
  <c r="OH149" i="48"/>
  <c r="OH150" i="48" s="1"/>
  <c r="OI149" i="48"/>
  <c r="OJ149" i="48"/>
  <c r="OJ150" i="48" s="1"/>
  <c r="OK149" i="48"/>
  <c r="OK150" i="48" s="1"/>
  <c r="OL149" i="48"/>
  <c r="OM149" i="48"/>
  <c r="OM150" i="48" s="1"/>
  <c r="ON149" i="48"/>
  <c r="ON150" i="48" s="1"/>
  <c r="OO149" i="48"/>
  <c r="OP149" i="48"/>
  <c r="OP150" i="48" s="1"/>
  <c r="OQ149" i="48"/>
  <c r="OQ150" i="48" s="1"/>
  <c r="OR149" i="48"/>
  <c r="OR150" i="48" s="1"/>
  <c r="OS149" i="48"/>
  <c r="OS150" i="48" s="1"/>
  <c r="OT149" i="48"/>
  <c r="OT150" i="48" s="1"/>
  <c r="OU149" i="48"/>
  <c r="OV149" i="48"/>
  <c r="OV150" i="48" s="1"/>
  <c r="OW149" i="48"/>
  <c r="OW150" i="48" s="1"/>
  <c r="OX149" i="48"/>
  <c r="OY149" i="48"/>
  <c r="OZ149" i="48"/>
  <c r="OZ150" i="48" s="1"/>
  <c r="PA149" i="48"/>
  <c r="PA150" i="48" s="1"/>
  <c r="PB149" i="48"/>
  <c r="PB150" i="48" s="1"/>
  <c r="PC149" i="48"/>
  <c r="PD149" i="48"/>
  <c r="PD150" i="48" s="1"/>
  <c r="PE149" i="48"/>
  <c r="PF149" i="48"/>
  <c r="PF150" i="48" s="1"/>
  <c r="PG149" i="48"/>
  <c r="PG150" i="48" s="1"/>
  <c r="PH149" i="48"/>
  <c r="PH150" i="48" s="1"/>
  <c r="PI149" i="48"/>
  <c r="PI150" i="48" s="1"/>
  <c r="PJ149" i="48"/>
  <c r="PJ150" i="48" s="1"/>
  <c r="PK149" i="48"/>
  <c r="PK150" i="48" s="1"/>
  <c r="PL149" i="48"/>
  <c r="PL150" i="48" s="1"/>
  <c r="PM149" i="48"/>
  <c r="PM150" i="48" s="1"/>
  <c r="PN149" i="48"/>
  <c r="PN150" i="48" s="1"/>
  <c r="PO149" i="48"/>
  <c r="PP149" i="48"/>
  <c r="PQ149" i="48"/>
  <c r="PQ150" i="48" s="1"/>
  <c r="PR149" i="48"/>
  <c r="PR150" i="48" s="1"/>
  <c r="PS149" i="48"/>
  <c r="PS150" i="48" s="1"/>
  <c r="PT149" i="48"/>
  <c r="PT150" i="48" s="1"/>
  <c r="PU149" i="48"/>
  <c r="PV149" i="48"/>
  <c r="PV150" i="48" s="1"/>
  <c r="PW149" i="48"/>
  <c r="PW150" i="48" s="1"/>
  <c r="PX149" i="48"/>
  <c r="PX150" i="48" s="1"/>
  <c r="PY149" i="48"/>
  <c r="PY150" i="48" s="1"/>
  <c r="PZ149" i="48"/>
  <c r="PZ150" i="48" s="1"/>
  <c r="QA149" i="48"/>
  <c r="QA150" i="48" s="1"/>
  <c r="QB149" i="48"/>
  <c r="QC149" i="48"/>
  <c r="QC150" i="48" s="1"/>
  <c r="QD149" i="48"/>
  <c r="QD150" i="48" s="1"/>
  <c r="QE149" i="48"/>
  <c r="QF149" i="48"/>
  <c r="QF150" i="48" s="1"/>
  <c r="QG149" i="48"/>
  <c r="QG150" i="48" s="1"/>
  <c r="QH149" i="48"/>
  <c r="QI149" i="48"/>
  <c r="QI150" i="48" s="1"/>
  <c r="QJ149" i="48"/>
  <c r="QJ150" i="48" s="1"/>
  <c r="QK149" i="48"/>
  <c r="QL149" i="48"/>
  <c r="QL150" i="48" s="1"/>
  <c r="QM149" i="48"/>
  <c r="QM150" i="48" s="1"/>
  <c r="QN149" i="48"/>
  <c r="QN150" i="48" s="1"/>
  <c r="QO149" i="48"/>
  <c r="QO150" i="48" s="1"/>
  <c r="QP149" i="48"/>
  <c r="QP150" i="48" s="1"/>
  <c r="QQ149" i="48"/>
  <c r="QR149" i="48"/>
  <c r="QR150" i="48" s="1"/>
  <c r="QS149" i="48"/>
  <c r="QS150" i="48" s="1"/>
  <c r="QT149" i="48"/>
  <c r="QU149" i="48"/>
  <c r="QV149" i="48"/>
  <c r="QV150" i="48" s="1"/>
  <c r="QW149" i="48"/>
  <c r="QW150" i="48" s="1"/>
  <c r="QX149" i="48"/>
  <c r="QX150" i="48" s="1"/>
  <c r="QY149" i="48"/>
  <c r="QZ149" i="48"/>
  <c r="QZ150" i="48" s="1"/>
  <c r="RA149" i="48"/>
  <c r="RB149" i="48"/>
  <c r="RB150" i="48" s="1"/>
  <c r="RC149" i="48"/>
  <c r="RC150" i="48" s="1"/>
  <c r="RD149" i="48"/>
  <c r="RD150" i="48" s="1"/>
  <c r="RE149" i="48"/>
  <c r="RE150" i="48" s="1"/>
  <c r="RF149" i="48"/>
  <c r="RF150" i="48" s="1"/>
  <c r="RG149" i="48"/>
  <c r="RG150" i="48" s="1"/>
  <c r="RH149" i="48"/>
  <c r="RH150" i="48" s="1"/>
  <c r="RI149" i="48"/>
  <c r="RI150" i="48" s="1"/>
  <c r="RJ149" i="48"/>
  <c r="RJ150" i="48" s="1"/>
  <c r="RK149" i="48"/>
  <c r="RL149" i="48"/>
  <c r="RM149" i="48"/>
  <c r="RM150" i="48" s="1"/>
  <c r="RN149" i="48"/>
  <c r="RN150" i="48" s="1"/>
  <c r="RO149" i="48"/>
  <c r="RO150" i="48" s="1"/>
  <c r="RP149" i="48"/>
  <c r="RP150" i="48" s="1"/>
  <c r="RQ149" i="48"/>
  <c r="RR149" i="48"/>
  <c r="RR150" i="48" s="1"/>
  <c r="RS149" i="48"/>
  <c r="RS150" i="48" s="1"/>
  <c r="RT149" i="48"/>
  <c r="RT150" i="48" s="1"/>
  <c r="RU149" i="48"/>
  <c r="RU150" i="48" s="1"/>
  <c r="RV149" i="48"/>
  <c r="RV150" i="48" s="1"/>
  <c r="RW149" i="48"/>
  <c r="RW150" i="48" s="1"/>
  <c r="RX149" i="48"/>
  <c r="RY149" i="48"/>
  <c r="RY150" i="48" s="1"/>
  <c r="RZ149" i="48"/>
  <c r="RZ150" i="48" s="1"/>
  <c r="SA149" i="48"/>
  <c r="SB149" i="48"/>
  <c r="SB150" i="48" s="1"/>
  <c r="SC149" i="48"/>
  <c r="SC150" i="48" s="1"/>
  <c r="SD149" i="48"/>
  <c r="SE149" i="48"/>
  <c r="SE150" i="48" s="1"/>
  <c r="SF149" i="48"/>
  <c r="SF150" i="48" s="1"/>
  <c r="SG149" i="48"/>
  <c r="SH149" i="48"/>
  <c r="SH150" i="48" s="1"/>
  <c r="SI149" i="48"/>
  <c r="SI150" i="48" s="1"/>
  <c r="SJ149" i="48"/>
  <c r="SJ150" i="48" s="1"/>
  <c r="SK149" i="48"/>
  <c r="SK150" i="48" s="1"/>
  <c r="SL149" i="48"/>
  <c r="SL150" i="48" s="1"/>
  <c r="SM149" i="48"/>
  <c r="SN149" i="48"/>
  <c r="SN150" i="48" s="1"/>
  <c r="SO149" i="48"/>
  <c r="SO150" i="48" s="1"/>
  <c r="SP149" i="48"/>
  <c r="SQ149" i="48"/>
  <c r="SR149" i="48"/>
  <c r="SR150" i="48" s="1"/>
  <c r="SS149" i="48"/>
  <c r="SS150" i="48" s="1"/>
  <c r="ST149" i="48"/>
  <c r="ST150" i="48" s="1"/>
  <c r="SU149" i="48"/>
  <c r="SV149" i="48"/>
  <c r="SV150" i="48" s="1"/>
  <c r="SW149" i="48"/>
  <c r="SX149" i="48"/>
  <c r="SX150" i="48" s="1"/>
  <c r="SY149" i="48"/>
  <c r="SY150" i="48" s="1"/>
  <c r="SZ149" i="48"/>
  <c r="SZ150" i="48" s="1"/>
  <c r="TA149" i="48"/>
  <c r="TA150" i="48" s="1"/>
  <c r="TB149" i="48"/>
  <c r="TB150" i="48" s="1"/>
  <c r="TC149" i="48"/>
  <c r="TC150" i="48" s="1"/>
  <c r="TD149" i="48"/>
  <c r="TD150" i="48" s="1"/>
  <c r="TE149" i="48"/>
  <c r="TE150" i="48" s="1"/>
  <c r="TF149" i="48"/>
  <c r="TF150" i="48" s="1"/>
  <c r="TG149" i="48"/>
  <c r="TH149" i="48"/>
  <c r="TI149" i="48"/>
  <c r="TI150" i="48" s="1"/>
  <c r="TJ149" i="48"/>
  <c r="TJ150" i="48" s="1"/>
  <c r="TK149" i="48"/>
  <c r="TK150" i="48" s="1"/>
  <c r="TL149" i="48"/>
  <c r="TL150" i="48" s="1"/>
  <c r="TM149" i="48"/>
  <c r="TN149" i="48"/>
  <c r="TN150" i="48" s="1"/>
  <c r="TO149" i="48"/>
  <c r="TO150" i="48" s="1"/>
  <c r="TP149" i="48"/>
  <c r="TP150" i="48" s="1"/>
  <c r="TQ149" i="48"/>
  <c r="TQ150" i="48" s="1"/>
  <c r="TR149" i="48"/>
  <c r="TR150" i="48" s="1"/>
  <c r="TS149" i="48"/>
  <c r="TS150" i="48" s="1"/>
  <c r="TT149" i="48"/>
  <c r="TU149" i="48"/>
  <c r="TU150" i="48" s="1"/>
  <c r="TV149" i="48"/>
  <c r="TV150" i="48" s="1"/>
  <c r="TW149" i="48"/>
  <c r="TX149" i="48"/>
  <c r="TX150" i="48" s="1"/>
  <c r="TY149" i="48"/>
  <c r="TY150" i="48" s="1"/>
  <c r="TZ149" i="48"/>
  <c r="UA149" i="48"/>
  <c r="UA150" i="48" s="1"/>
  <c r="UB149" i="48"/>
  <c r="UB150" i="48" s="1"/>
  <c r="UC149" i="48"/>
  <c r="UD149" i="48"/>
  <c r="UD150" i="48" s="1"/>
  <c r="UE149" i="48"/>
  <c r="UE150" i="48" s="1"/>
  <c r="UF149" i="48"/>
  <c r="UF150" i="48" s="1"/>
  <c r="UG149" i="48"/>
  <c r="UG150" i="48" s="1"/>
  <c r="UH149" i="48"/>
  <c r="UH150" i="48" s="1"/>
  <c r="UI149" i="48"/>
  <c r="UJ149" i="48"/>
  <c r="UJ150" i="48" s="1"/>
  <c r="UK149" i="48"/>
  <c r="UK150" i="48" s="1"/>
  <c r="UL149" i="48"/>
  <c r="UM149" i="48"/>
  <c r="UN149" i="48"/>
  <c r="UN150" i="48" s="1"/>
  <c r="UO149" i="48"/>
  <c r="UO150" i="48" s="1"/>
  <c r="UP149" i="48"/>
  <c r="UP150" i="48" s="1"/>
  <c r="UQ149" i="48"/>
  <c r="UR149" i="48"/>
  <c r="UR150" i="48" s="1"/>
  <c r="US149" i="48"/>
  <c r="UT149" i="48"/>
  <c r="UT150" i="48" s="1"/>
  <c r="UU149" i="48"/>
  <c r="UU150" i="48" s="1"/>
  <c r="UV149" i="48"/>
  <c r="UV150" i="48" s="1"/>
  <c r="UW149" i="48"/>
  <c r="UW150" i="48" s="1"/>
  <c r="UX149" i="48"/>
  <c r="UX150" i="48" s="1"/>
  <c r="UY149" i="48"/>
  <c r="UY150" i="48" s="1"/>
  <c r="UZ149" i="48"/>
  <c r="UZ150" i="48" s="1"/>
  <c r="VA149" i="48"/>
  <c r="VA150" i="48" s="1"/>
  <c r="VB149" i="48"/>
  <c r="VB150" i="48" s="1"/>
  <c r="VC149" i="48"/>
  <c r="VD149" i="48"/>
  <c r="VE149" i="48"/>
  <c r="VE150" i="48" s="1"/>
  <c r="VF149" i="48"/>
  <c r="VF150" i="48" s="1"/>
  <c r="VG149" i="48"/>
  <c r="VG150" i="48" s="1"/>
  <c r="VH149" i="48"/>
  <c r="VH150" i="48" s="1"/>
  <c r="VI149" i="48"/>
  <c r="VJ149" i="48"/>
  <c r="VJ150" i="48" s="1"/>
  <c r="VK149" i="48"/>
  <c r="VK150" i="48" s="1"/>
  <c r="VL149" i="48"/>
  <c r="VL150" i="48" s="1"/>
  <c r="VM149" i="48"/>
  <c r="VM150" i="48" s="1"/>
  <c r="VN149" i="48"/>
  <c r="VN150" i="48" s="1"/>
  <c r="VO149" i="48"/>
  <c r="VO150" i="48" s="1"/>
  <c r="VP149" i="48"/>
  <c r="VQ149" i="48"/>
  <c r="VQ150" i="48" s="1"/>
  <c r="VR149" i="48"/>
  <c r="VR150" i="48" s="1"/>
  <c r="VS149" i="48"/>
  <c r="VT149" i="48"/>
  <c r="VT150" i="48" s="1"/>
  <c r="VU149" i="48"/>
  <c r="VU150" i="48" s="1"/>
  <c r="VV149" i="48"/>
  <c r="VW149" i="48"/>
  <c r="VW150" i="48" s="1"/>
  <c r="VX149" i="48"/>
  <c r="VX150" i="48" s="1"/>
  <c r="VY149" i="48"/>
  <c r="VZ149" i="48"/>
  <c r="VZ150" i="48" s="1"/>
  <c r="WA149" i="48"/>
  <c r="WA150" i="48" s="1"/>
  <c r="WB149" i="48"/>
  <c r="WB150" i="48" s="1"/>
  <c r="WC149" i="48"/>
  <c r="WC150" i="48" s="1"/>
  <c r="WD149" i="48"/>
  <c r="WD150" i="48" s="1"/>
  <c r="WE149" i="48"/>
  <c r="WF149" i="48"/>
  <c r="WF150" i="48" s="1"/>
  <c r="WG149" i="48"/>
  <c r="WG150" i="48" s="1"/>
  <c r="WH149" i="48"/>
  <c r="WI149" i="48"/>
  <c r="WJ149" i="48"/>
  <c r="WJ150" i="48" s="1"/>
  <c r="WK149" i="48"/>
  <c r="WK150" i="48" s="1"/>
  <c r="WL149" i="48"/>
  <c r="WL150" i="48" s="1"/>
  <c r="WM149" i="48"/>
  <c r="WN149" i="48"/>
  <c r="WN150" i="48" s="1"/>
  <c r="WO149" i="48"/>
  <c r="WP149" i="48"/>
  <c r="WP150" i="48" s="1"/>
  <c r="WQ149" i="48"/>
  <c r="WQ150" i="48" s="1"/>
  <c r="WR149" i="48"/>
  <c r="WR150" i="48" s="1"/>
  <c r="WS149" i="48"/>
  <c r="WS150" i="48" s="1"/>
  <c r="WT149" i="48"/>
  <c r="WT150" i="48" s="1"/>
  <c r="WU149" i="48"/>
  <c r="WU150" i="48" s="1"/>
  <c r="WV149" i="48"/>
  <c r="WV150" i="48" s="1"/>
  <c r="WW149" i="48"/>
  <c r="WW150" i="48" s="1"/>
  <c r="WX149" i="48"/>
  <c r="WX150" i="48" s="1"/>
  <c r="WY149" i="48"/>
  <c r="WZ149" i="48"/>
  <c r="XA149" i="48"/>
  <c r="XA150" i="48" s="1"/>
  <c r="XB149" i="48"/>
  <c r="XB150" i="48" s="1"/>
  <c r="XC149" i="48"/>
  <c r="XC150" i="48" s="1"/>
  <c r="XD149" i="48"/>
  <c r="XD150" i="48" s="1"/>
  <c r="XE149" i="48"/>
  <c r="XF149" i="48"/>
  <c r="XF150" i="48" s="1"/>
  <c r="XG149" i="48"/>
  <c r="XG150" i="48" s="1"/>
  <c r="XH149" i="48"/>
  <c r="XH150" i="48" s="1"/>
  <c r="XI149" i="48"/>
  <c r="XI150" i="48" s="1"/>
  <c r="XJ149" i="48"/>
  <c r="XJ150" i="48" s="1"/>
  <c r="XK149" i="48"/>
  <c r="XK150" i="48" s="1"/>
  <c r="XL149" i="48"/>
  <c r="XM149" i="48"/>
  <c r="XM150" i="48" s="1"/>
  <c r="XN149" i="48"/>
  <c r="XN150" i="48" s="1"/>
  <c r="XO149" i="48"/>
  <c r="XP149" i="48"/>
  <c r="XP150" i="48" s="1"/>
  <c r="XQ149" i="48"/>
  <c r="XQ150" i="48" s="1"/>
  <c r="XR149" i="48"/>
  <c r="XS149" i="48"/>
  <c r="XS150" i="48" s="1"/>
  <c r="XT149" i="48"/>
  <c r="XT150" i="48" s="1"/>
  <c r="XU149" i="48"/>
  <c r="XV149" i="48"/>
  <c r="XV150" i="48" s="1"/>
  <c r="XW149" i="48"/>
  <c r="XW150" i="48" s="1"/>
  <c r="XX149" i="48"/>
  <c r="XX150" i="48" s="1"/>
  <c r="XY149" i="48"/>
  <c r="XY150" i="48" s="1"/>
  <c r="XZ149" i="48"/>
  <c r="XZ150" i="48" s="1"/>
  <c r="YA149" i="48"/>
  <c r="YB149" i="48"/>
  <c r="YB150" i="48" s="1"/>
  <c r="YC149" i="48"/>
  <c r="YC150" i="48" s="1"/>
  <c r="YD149" i="48"/>
  <c r="YE149" i="48"/>
  <c r="YF149" i="48"/>
  <c r="YF150" i="48" s="1"/>
  <c r="YG149" i="48"/>
  <c r="YG150" i="48" s="1"/>
  <c r="YH149" i="48"/>
  <c r="YH150" i="48" s="1"/>
  <c r="YI149" i="48"/>
  <c r="YJ149" i="48"/>
  <c r="YJ150" i="48" s="1"/>
  <c r="YK149" i="48"/>
  <c r="YL149" i="48"/>
  <c r="YL150" i="48" s="1"/>
  <c r="YM149" i="48"/>
  <c r="YM150" i="48" s="1"/>
  <c r="YN149" i="48"/>
  <c r="YN150" i="48" s="1"/>
  <c r="YO149" i="48"/>
  <c r="YO150" i="48" s="1"/>
  <c r="YP149" i="48"/>
  <c r="YP150" i="48" s="1"/>
  <c r="YQ149" i="48"/>
  <c r="YQ150" i="48" s="1"/>
  <c r="YR149" i="48"/>
  <c r="YR150" i="48" s="1"/>
  <c r="YS149" i="48"/>
  <c r="YS150" i="48" s="1"/>
  <c r="YT149" i="48"/>
  <c r="YT150" i="48" s="1"/>
  <c r="YU149" i="48"/>
  <c r="YV149" i="48"/>
  <c r="YW149" i="48"/>
  <c r="YW150" i="48" s="1"/>
  <c r="YX149" i="48"/>
  <c r="YX150" i="48" s="1"/>
  <c r="YY149" i="48"/>
  <c r="YY150" i="48" s="1"/>
  <c r="YZ149" i="48"/>
  <c r="YZ150" i="48" s="1"/>
  <c r="ZA149" i="48"/>
  <c r="ZB149" i="48"/>
  <c r="ZB150" i="48" s="1"/>
  <c r="ZC149" i="48"/>
  <c r="ZC150" i="48" s="1"/>
  <c r="ZD149" i="48"/>
  <c r="ZD150" i="48" s="1"/>
  <c r="ZE149" i="48"/>
  <c r="ZE150" i="48" s="1"/>
  <c r="ZF149" i="48"/>
  <c r="ZF150" i="48" s="1"/>
  <c r="ZG149" i="48"/>
  <c r="ZG150" i="48" s="1"/>
  <c r="ZH149" i="48"/>
  <c r="ZI149" i="48"/>
  <c r="ZI150" i="48" s="1"/>
  <c r="ZJ149" i="48"/>
  <c r="ZJ150" i="48" s="1"/>
  <c r="ZK149" i="48"/>
  <c r="ZL149" i="48"/>
  <c r="ZL150" i="48" s="1"/>
  <c r="ZM149" i="48"/>
  <c r="ZM150" i="48" s="1"/>
  <c r="ZN149" i="48"/>
  <c r="ZO149" i="48"/>
  <c r="ZO150" i="48" s="1"/>
  <c r="ZP149" i="48"/>
  <c r="ZP150" i="48" s="1"/>
  <c r="ZQ149" i="48"/>
  <c r="ZR149" i="48"/>
  <c r="ZR150" i="48" s="1"/>
  <c r="ZS149" i="48"/>
  <c r="ZS150" i="48" s="1"/>
  <c r="ZT149" i="48"/>
  <c r="ZT150" i="48" s="1"/>
  <c r="ZU149" i="48"/>
  <c r="ZU150" i="48" s="1"/>
  <c r="ZV149" i="48"/>
  <c r="ZV150" i="48" s="1"/>
  <c r="ZW149" i="48"/>
  <c r="ZX149" i="48"/>
  <c r="ZX150" i="48" s="1"/>
  <c r="ZY149" i="48"/>
  <c r="ZY150" i="48" s="1"/>
  <c r="ZZ149" i="48"/>
  <c r="AAA149" i="48"/>
  <c r="AAB149" i="48"/>
  <c r="AAB150" i="48" s="1"/>
  <c r="AAC149" i="48"/>
  <c r="AAC150" i="48" s="1"/>
  <c r="AAD149" i="48"/>
  <c r="AAD150" i="48" s="1"/>
  <c r="AAE149" i="48"/>
  <c r="AAF149" i="48"/>
  <c r="AAF150" i="48" s="1"/>
  <c r="AAG149" i="48"/>
  <c r="AAH149" i="48"/>
  <c r="AAH150" i="48" s="1"/>
  <c r="AAI149" i="48"/>
  <c r="AAI150" i="48" s="1"/>
  <c r="AAJ149" i="48"/>
  <c r="AAJ150" i="48" s="1"/>
  <c r="AAK149" i="48"/>
  <c r="AAK150" i="48" s="1"/>
  <c r="AAL149" i="48"/>
  <c r="AAL150" i="48" s="1"/>
  <c r="AAM149" i="48"/>
  <c r="AAM150" i="48" s="1"/>
  <c r="AAN149" i="48"/>
  <c r="AAN150" i="48" s="1"/>
  <c r="AAO149" i="48"/>
  <c r="AAO150" i="48" s="1"/>
  <c r="AAP149" i="48"/>
  <c r="AAP150" i="48" s="1"/>
  <c r="AAQ149" i="48"/>
  <c r="AAR149" i="48"/>
  <c r="AAS149" i="48"/>
  <c r="AAS150" i="48" s="1"/>
  <c r="AAT149" i="48"/>
  <c r="AAT150" i="48" s="1"/>
  <c r="AAU149" i="48"/>
  <c r="AAU150" i="48" s="1"/>
  <c r="AAV149" i="48"/>
  <c r="AAV150" i="48" s="1"/>
  <c r="AAW149" i="48"/>
  <c r="AAX149" i="48"/>
  <c r="AAX150" i="48" s="1"/>
  <c r="AAY149" i="48"/>
  <c r="AAY150" i="48" s="1"/>
  <c r="AAZ149" i="48"/>
  <c r="AAZ150" i="48" s="1"/>
  <c r="ABA149" i="48"/>
  <c r="ABA150" i="48" s="1"/>
  <c r="ABB149" i="48"/>
  <c r="ABB150" i="48" s="1"/>
  <c r="ABC149" i="48"/>
  <c r="ABC150" i="48" s="1"/>
  <c r="ABD149" i="48"/>
  <c r="ABE149" i="48"/>
  <c r="ABE150" i="48" s="1"/>
  <c r="ABF149" i="48"/>
  <c r="ABF150" i="48" s="1"/>
  <c r="ABG149" i="48"/>
  <c r="ABH149" i="48"/>
  <c r="ABH150" i="48" s="1"/>
  <c r="ABI149" i="48"/>
  <c r="ABI150" i="48" s="1"/>
  <c r="ABJ149" i="48"/>
  <c r="ABK149" i="48"/>
  <c r="ABK150" i="48" s="1"/>
  <c r="ABL149" i="48"/>
  <c r="ABL150" i="48" s="1"/>
  <c r="ABM149" i="48"/>
  <c r="ABN149" i="48"/>
  <c r="ABN150" i="48" s="1"/>
  <c r="ABO149" i="48"/>
  <c r="ABO150" i="48" s="1"/>
  <c r="ABP149" i="48"/>
  <c r="ABP150" i="48" s="1"/>
  <c r="ABQ149" i="48"/>
  <c r="ABQ150" i="48" s="1"/>
  <c r="ABR149" i="48"/>
  <c r="ABR150" i="48" s="1"/>
  <c r="ABS149" i="48"/>
  <c r="ABT149" i="48"/>
  <c r="ABT150" i="48" s="1"/>
  <c r="ABU149" i="48"/>
  <c r="ABU150" i="48" s="1"/>
  <c r="ABV149" i="48"/>
  <c r="ABW149" i="48"/>
  <c r="ABX149" i="48"/>
  <c r="ABX150" i="48" s="1"/>
  <c r="ABY149" i="48"/>
  <c r="ABY150" i="48" s="1"/>
  <c r="ABZ149" i="48"/>
  <c r="ABZ150" i="48" s="1"/>
  <c r="ACA149" i="48"/>
  <c r="ACB149" i="48"/>
  <c r="ACB150" i="48" s="1"/>
  <c r="ACC149" i="48"/>
  <c r="ACD149" i="48"/>
  <c r="ACD150" i="48" s="1"/>
  <c r="ACE149" i="48"/>
  <c r="ACE150" i="48" s="1"/>
  <c r="ACF149" i="48"/>
  <c r="ACF150" i="48" s="1"/>
  <c r="ACG149" i="48"/>
  <c r="ACG150" i="48" s="1"/>
  <c r="ACH149" i="48"/>
  <c r="ACH150" i="48" s="1"/>
  <c r="ACI149" i="48"/>
  <c r="ACI150" i="48" s="1"/>
  <c r="ACJ149" i="48"/>
  <c r="ACJ150" i="48" s="1"/>
  <c r="ACK149" i="48"/>
  <c r="ACK150" i="48" s="1"/>
  <c r="ACL149" i="48"/>
  <c r="ACL150" i="48" s="1"/>
  <c r="ACM149" i="48"/>
  <c r="ACN149" i="48"/>
  <c r="ACO149" i="48"/>
  <c r="ACO150" i="48" s="1"/>
  <c r="ACP149" i="48"/>
  <c r="ACP150" i="48" s="1"/>
  <c r="ACQ149" i="48"/>
  <c r="ACQ150" i="48" s="1"/>
  <c r="ACR149" i="48"/>
  <c r="ACR150" i="48" s="1"/>
  <c r="ACS149" i="48"/>
  <c r="ACT149" i="48"/>
  <c r="ACT150" i="48" s="1"/>
  <c r="ACU149" i="48"/>
  <c r="ACU150" i="48" s="1"/>
  <c r="ACV149" i="48"/>
  <c r="ACV150" i="48" s="1"/>
  <c r="ACW149" i="48"/>
  <c r="ACW150" i="48" s="1"/>
  <c r="ACX149" i="48"/>
  <c r="ACX150" i="48" s="1"/>
  <c r="ACY149" i="48"/>
  <c r="ACY150" i="48" s="1"/>
  <c r="ACZ149" i="48"/>
  <c r="ADA149" i="48"/>
  <c r="ADA150" i="48" s="1"/>
  <c r="ADB149" i="48"/>
  <c r="ADB150" i="48" s="1"/>
  <c r="ADC149" i="48"/>
  <c r="ADD149" i="48"/>
  <c r="ADD150" i="48" s="1"/>
  <c r="ADE149" i="48"/>
  <c r="ADE150" i="48" s="1"/>
  <c r="ADF149" i="48"/>
  <c r="ADG149" i="48"/>
  <c r="ADG150" i="48" s="1"/>
  <c r="ADH149" i="48"/>
  <c r="ADH150" i="48" s="1"/>
  <c r="ADI149" i="48"/>
  <c r="ADJ149" i="48"/>
  <c r="ADJ150" i="48" s="1"/>
  <c r="ADK149" i="48"/>
  <c r="ADK150" i="48" s="1"/>
  <c r="ADL149" i="48"/>
  <c r="ADL150" i="48" s="1"/>
  <c r="ADM149" i="48"/>
  <c r="ADM150" i="48" s="1"/>
  <c r="ADN149" i="48"/>
  <c r="ADN150" i="48" s="1"/>
  <c r="ADO149" i="48"/>
  <c r="ADP149" i="48"/>
  <c r="ADP150" i="48" s="1"/>
  <c r="ADQ149" i="48"/>
  <c r="ADQ150" i="48" s="1"/>
  <c r="ADR149" i="48"/>
  <c r="ADS149" i="48"/>
  <c r="ADT149" i="48"/>
  <c r="ADT150" i="48" s="1"/>
  <c r="ADU149" i="48"/>
  <c r="ADU150" i="48" s="1"/>
  <c r="ADV149" i="48"/>
  <c r="ADV150" i="48" s="1"/>
  <c r="ADW149" i="48"/>
  <c r="ADX149" i="48"/>
  <c r="ADX150" i="48" s="1"/>
  <c r="ADY149" i="48"/>
  <c r="ADZ149" i="48"/>
  <c r="ADZ150" i="48" s="1"/>
  <c r="AEA149" i="48"/>
  <c r="AEA150" i="48" s="1"/>
  <c r="AEB149" i="48"/>
  <c r="AEB150" i="48" s="1"/>
  <c r="AEC149" i="48"/>
  <c r="AEC150" i="48" s="1"/>
  <c r="AED149" i="48"/>
  <c r="AED150" i="48" s="1"/>
  <c r="AEE149" i="48"/>
  <c r="AEE150" i="48" s="1"/>
  <c r="AEF149" i="48"/>
  <c r="AEF150" i="48" s="1"/>
  <c r="AEG149" i="48"/>
  <c r="AEG150" i="48" s="1"/>
  <c r="AEH149" i="48"/>
  <c r="AEH150" i="48" s="1"/>
  <c r="AEI149" i="48"/>
  <c r="AEJ149" i="48"/>
  <c r="AEK149" i="48"/>
  <c r="AEK150" i="48" s="1"/>
  <c r="AEL149" i="48"/>
  <c r="AEL150" i="48" s="1"/>
  <c r="AEM149" i="48"/>
  <c r="AEM150" i="48" s="1"/>
  <c r="AEN149" i="48"/>
  <c r="AEN150" i="48" s="1"/>
  <c r="AEO149" i="48"/>
  <c r="AEP149" i="48"/>
  <c r="AEP150" i="48" s="1"/>
  <c r="AEQ149" i="48"/>
  <c r="AEQ150" i="48" s="1"/>
  <c r="AER149" i="48"/>
  <c r="AER150" i="48" s="1"/>
  <c r="AES149" i="48"/>
  <c r="AES150" i="48" s="1"/>
  <c r="AET149" i="48"/>
  <c r="AET150" i="48" s="1"/>
  <c r="AEU149" i="48"/>
  <c r="AEU150" i="48" s="1"/>
  <c r="AEV149" i="48"/>
  <c r="AEW149" i="48"/>
  <c r="AEW150" i="48" s="1"/>
  <c r="AEX149" i="48"/>
  <c r="AEX150" i="48" s="1"/>
  <c r="AEY149" i="48"/>
  <c r="AEZ149" i="48"/>
  <c r="AEZ150" i="48" s="1"/>
  <c r="AFA149" i="48"/>
  <c r="AFA150" i="48" s="1"/>
  <c r="AFB149" i="48"/>
  <c r="AFC149" i="48"/>
  <c r="AFC150" i="48" s="1"/>
  <c r="AFD149" i="48"/>
  <c r="AFD150" i="48" s="1"/>
  <c r="AFE149" i="48"/>
  <c r="AFF149" i="48"/>
  <c r="AFF150" i="48" s="1"/>
  <c r="AFG149" i="48"/>
  <c r="AFG150" i="48" s="1"/>
  <c r="AFH149" i="48"/>
  <c r="AFH150" i="48" s="1"/>
  <c r="AFI149" i="48"/>
  <c r="AFI150" i="48" s="1"/>
  <c r="AFJ149" i="48"/>
  <c r="AFJ150" i="48" s="1"/>
  <c r="AFK149" i="48"/>
  <c r="AFL149" i="48"/>
  <c r="AFL150" i="48" s="1"/>
  <c r="AFM149" i="48"/>
  <c r="AFM150" i="48" s="1"/>
  <c r="AFN149" i="48"/>
  <c r="AFO149" i="48"/>
  <c r="AFP149" i="48"/>
  <c r="AFP150" i="48" s="1"/>
  <c r="AFQ149" i="48"/>
  <c r="AFQ150" i="48" s="1"/>
  <c r="AFR149" i="48"/>
  <c r="AFR150" i="48" s="1"/>
  <c r="AFS149" i="48"/>
  <c r="AFT149" i="48"/>
  <c r="AFT150" i="48" s="1"/>
  <c r="AFU149" i="48"/>
  <c r="AFV149" i="48"/>
  <c r="AFV150" i="48" s="1"/>
  <c r="AFW149" i="48"/>
  <c r="AFW150" i="48" s="1"/>
  <c r="AFX149" i="48"/>
  <c r="AFX150" i="48" s="1"/>
  <c r="AFY149" i="48"/>
  <c r="AFY150" i="48" s="1"/>
  <c r="AFZ149" i="48"/>
  <c r="AFZ150" i="48" s="1"/>
  <c r="AGA149" i="48"/>
  <c r="AGA150" i="48" s="1"/>
  <c r="AGB149" i="48"/>
  <c r="AGB150" i="48" s="1"/>
  <c r="AGC149" i="48"/>
  <c r="AGC150" i="48" s="1"/>
  <c r="AGD149" i="48"/>
  <c r="AGD150" i="48" s="1"/>
  <c r="AGE149" i="48"/>
  <c r="AGF149" i="48"/>
  <c r="AGG149" i="48"/>
  <c r="AGG150" i="48" s="1"/>
  <c r="AGH149" i="48"/>
  <c r="AGH150" i="48" s="1"/>
  <c r="AGI149" i="48"/>
  <c r="AGI150" i="48" s="1"/>
  <c r="AGJ149" i="48"/>
  <c r="AGJ150" i="48" s="1"/>
  <c r="AGK149" i="48"/>
  <c r="AGL149" i="48"/>
  <c r="AGL150" i="48" s="1"/>
  <c r="AGM149" i="48"/>
  <c r="AGM150" i="48" s="1"/>
  <c r="AGN149" i="48"/>
  <c r="AGN150" i="48" s="1"/>
  <c r="AGO149" i="48"/>
  <c r="AGO150" i="48" s="1"/>
  <c r="AGP149" i="48"/>
  <c r="AGP150" i="48" s="1"/>
  <c r="AGQ149" i="48"/>
  <c r="AGQ150" i="48" s="1"/>
  <c r="AGR149" i="48"/>
  <c r="AGS149" i="48"/>
  <c r="AGS150" i="48" s="1"/>
  <c r="AGT149" i="48"/>
  <c r="AGT150" i="48" s="1"/>
  <c r="AGU149" i="48"/>
  <c r="AGV149" i="48"/>
  <c r="AGV150" i="48" s="1"/>
  <c r="AGW149" i="48"/>
  <c r="AGW150" i="48" s="1"/>
  <c r="AGX149" i="48"/>
  <c r="AGY149" i="48"/>
  <c r="AGY150" i="48" s="1"/>
  <c r="AGZ149" i="48"/>
  <c r="AGZ150" i="48" s="1"/>
  <c r="AHA149" i="48"/>
  <c r="AHB149" i="48"/>
  <c r="AHB150" i="48" s="1"/>
  <c r="AHC149" i="48"/>
  <c r="AHC150" i="48" s="1"/>
  <c r="AHD149" i="48"/>
  <c r="AHD150" i="48" s="1"/>
  <c r="AHE149" i="48"/>
  <c r="AHE150" i="48" s="1"/>
  <c r="AHF149" i="48"/>
  <c r="AHF150" i="48" s="1"/>
  <c r="AHG149" i="48"/>
  <c r="AHH149" i="48"/>
  <c r="AHH150" i="48" s="1"/>
  <c r="AHI149" i="48"/>
  <c r="AHI150" i="48" s="1"/>
  <c r="AHJ149" i="48"/>
  <c r="AHK149" i="48"/>
  <c r="AHL149" i="48"/>
  <c r="AHL150" i="48" s="1"/>
  <c r="AHM149" i="48"/>
  <c r="AHM150" i="48" s="1"/>
  <c r="AHN149" i="48"/>
  <c r="AHN150" i="48" s="1"/>
  <c r="AHO149" i="48"/>
  <c r="AHP149" i="48"/>
  <c r="AHP150" i="48" s="1"/>
  <c r="AHQ149" i="48"/>
  <c r="AHR149" i="48"/>
  <c r="AHR150" i="48" s="1"/>
  <c r="D149" i="48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S149" i="48" s="1"/>
  <c r="AHS150" i="48" s="1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F36" i="53" l="1"/>
  <c r="I36" i="53" s="1"/>
  <c r="E36" i="53"/>
  <c r="G36" i="53" s="1"/>
  <c r="H36" i="53" s="1"/>
  <c r="AHS58" i="48"/>
  <c r="F12" i="19"/>
  <c r="C215" i="16" l="1"/>
  <c r="C216" i="16"/>
  <c r="H55" i="1" l="1"/>
  <c r="R12" i="19" l="1"/>
  <c r="M12" i="19"/>
  <c r="L12" i="19"/>
  <c r="G12" i="19"/>
  <c r="H12" i="19"/>
  <c r="D12" i="19"/>
  <c r="E12" i="19"/>
  <c r="C12" i="19"/>
  <c r="M11" i="25" l="1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C114" i="8" l="1"/>
  <c r="C118" i="8"/>
  <c r="C116" i="8"/>
  <c r="C117" i="8"/>
  <c r="C115" i="8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N7" i="20" s="1"/>
  <c r="C247" i="16"/>
  <c r="J8" i="20" s="1"/>
  <c r="N8" i="20" s="1"/>
  <c r="C248" i="16"/>
  <c r="J10" i="20" s="1"/>
  <c r="N10" i="20" s="1"/>
  <c r="C249" i="16"/>
  <c r="J11" i="20" s="1"/>
  <c r="N11" i="20" s="1"/>
  <c r="C250" i="16"/>
  <c r="J12" i="20" s="1"/>
  <c r="N12" i="20" s="1"/>
  <c r="C251" i="16"/>
  <c r="J13" i="20" s="1"/>
  <c r="N13" i="20" s="1"/>
  <c r="C252" i="16"/>
  <c r="J16" i="20" s="1"/>
  <c r="N16" i="20" s="1"/>
  <c r="C253" i="16"/>
  <c r="J17" i="20" s="1"/>
  <c r="N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N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J14" i="20" s="1"/>
  <c r="N14" i="20" s="1"/>
  <c r="C293" i="16"/>
  <c r="J15" i="20" s="1"/>
  <c r="N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E30" i="53" l="1"/>
  <c r="G30" i="53" s="1"/>
  <c r="H30" i="53"/>
  <c r="E9" i="53"/>
  <c r="H449" i="16"/>
  <c r="C449" i="16"/>
  <c r="E33" i="53"/>
  <c r="E28" i="53"/>
  <c r="E27" i="53"/>
  <c r="E17" i="53"/>
  <c r="E18" i="53"/>
  <c r="F18" i="53" s="1"/>
  <c r="G18" i="53" s="1"/>
  <c r="H18" i="53" s="1"/>
  <c r="E15" i="53"/>
  <c r="E12" i="53"/>
  <c r="E16" i="53"/>
  <c r="E31" i="53"/>
  <c r="F31" i="53" s="1"/>
  <c r="E11" i="53"/>
  <c r="G11" i="53" s="1"/>
  <c r="E10" i="53"/>
  <c r="E29" i="53"/>
  <c r="E14" i="53"/>
  <c r="E13" i="53"/>
  <c r="F37" i="5"/>
  <c r="H173" i="16"/>
  <c r="K12" i="19"/>
  <c r="F15" i="22"/>
  <c r="G15" i="22" s="1"/>
  <c r="K15" i="22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F17" i="53" l="1"/>
  <c r="G17" i="53"/>
  <c r="G12" i="53"/>
  <c r="H12" i="53" s="1"/>
  <c r="H17" i="53"/>
  <c r="G13" i="53"/>
  <c r="H13" i="53" s="1"/>
  <c r="G14" i="53"/>
  <c r="H14" i="53" s="1"/>
  <c r="F30" i="53"/>
  <c r="I30" i="53" s="1"/>
  <c r="F33" i="53"/>
  <c r="I33" i="53" s="1"/>
  <c r="H33" i="53"/>
  <c r="G33" i="53"/>
  <c r="F28" i="53"/>
  <c r="I28" i="53" s="1"/>
  <c r="G28" i="53"/>
  <c r="H28" i="53" s="1"/>
  <c r="F29" i="53"/>
  <c r="I29" i="53" s="1"/>
  <c r="G29" i="53"/>
  <c r="H29" i="53" s="1"/>
  <c r="F27" i="53"/>
  <c r="G27" i="53"/>
  <c r="F10" i="53"/>
  <c r="I10" i="53" s="1"/>
  <c r="G10" i="53"/>
  <c r="H10" i="53" s="1"/>
  <c r="G9" i="53"/>
  <c r="I31" i="53"/>
  <c r="I18" i="53"/>
  <c r="I17" i="53"/>
  <c r="E75" i="8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F37" i="53" l="1"/>
  <c r="H27" i="53"/>
  <c r="I27" i="53"/>
  <c r="H9" i="53"/>
  <c r="I37" i="53"/>
  <c r="E36" i="5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G29" i="8"/>
  <c r="H29" i="8" s="1"/>
  <c r="G16" i="8"/>
  <c r="H16" i="8" s="1"/>
  <c r="G25" i="8"/>
  <c r="H25" i="8" s="1"/>
  <c r="G12" i="8"/>
  <c r="H12" i="8" s="1"/>
  <c r="G21" i="8"/>
  <c r="H21" i="8" s="1"/>
  <c r="G24" i="8"/>
  <c r="H24" i="8" s="1"/>
  <c r="G11" i="8"/>
  <c r="H11" i="8" s="1"/>
  <c r="G26" i="8"/>
  <c r="H26" i="8" s="1"/>
  <c r="G23" i="8"/>
  <c r="H23" i="8" s="1"/>
  <c r="G10" i="8"/>
  <c r="H10" i="8" s="1"/>
  <c r="G9" i="8"/>
  <c r="H9" i="8" s="1"/>
  <c r="G8" i="8"/>
  <c r="H8" i="8" s="1"/>
  <c r="G22" i="8"/>
  <c r="H22" i="8" s="1"/>
  <c r="G32" i="8"/>
  <c r="H32" i="8" s="1"/>
  <c r="G20" i="8"/>
  <c r="H20" i="8" s="1"/>
  <c r="G7" i="8"/>
  <c r="H7" i="8" s="1"/>
  <c r="G15" i="8"/>
  <c r="H15" i="8" s="1"/>
  <c r="G13" i="8"/>
  <c r="H13" i="8" s="1"/>
  <c r="G31" i="8"/>
  <c r="H31" i="8" s="1"/>
  <c r="G19" i="8"/>
  <c r="H19" i="8" s="1"/>
  <c r="G6" i="8"/>
  <c r="H6" i="8" s="1"/>
  <c r="G27" i="8"/>
  <c r="G30" i="8"/>
  <c r="H30" i="8" s="1"/>
  <c r="G18" i="8"/>
  <c r="H18" i="8" s="1"/>
  <c r="G5" i="8"/>
  <c r="H5" i="8" s="1"/>
  <c r="G28" i="8"/>
  <c r="H28" i="8" s="1"/>
  <c r="G14" i="8"/>
  <c r="H14" i="8" s="1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H27" i="8" l="1"/>
  <c r="G31" i="53"/>
  <c r="E23" i="5"/>
  <c r="E17" i="5"/>
  <c r="G36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Q8" i="19"/>
  <c r="Q9" i="19"/>
  <c r="Q10" i="19"/>
  <c r="Q11" i="19"/>
  <c r="Q6" i="19"/>
  <c r="H31" i="53" l="1"/>
  <c r="G37" i="53"/>
  <c r="N12" i="19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H37" i="53" l="1"/>
  <c r="K5" i="22"/>
  <c r="E71" i="8"/>
  <c r="E55" i="8"/>
  <c r="E54" i="8"/>
  <c r="E52" i="8"/>
  <c r="B2" i="53" l="1"/>
  <c r="F39" i="53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12" i="19"/>
  <c r="F19" i="22" l="1"/>
  <c r="G19" i="22" s="1"/>
  <c r="K19" i="22" s="1"/>
  <c r="F11" i="24"/>
  <c r="E11" i="24"/>
  <c r="D11" i="24"/>
  <c r="C11" i="24"/>
  <c r="F18" i="22" l="1"/>
  <c r="G18" i="22" s="1"/>
  <c r="K18" i="22" s="1"/>
  <c r="G10" i="24" l="1"/>
  <c r="C108" i="8" s="1"/>
  <c r="F4" i="1" l="1"/>
  <c r="C11" i="29" l="1"/>
  <c r="F13" i="1" l="1"/>
  <c r="N18" i="20" l="1"/>
  <c r="J20" i="20"/>
  <c r="F5" i="23"/>
  <c r="F14" i="1"/>
  <c r="F15" i="1"/>
  <c r="F16" i="1"/>
  <c r="F17" i="1"/>
  <c r="F18" i="1"/>
  <c r="F19" i="1"/>
  <c r="E29" i="5" l="1"/>
  <c r="F6" i="1"/>
  <c r="F7" i="1"/>
  <c r="F8" i="1"/>
  <c r="F9" i="1"/>
  <c r="F10" i="1"/>
  <c r="E1" i="1" l="1"/>
  <c r="E17" i="8" l="1"/>
  <c r="E35" i="8" s="1"/>
  <c r="E33" i="8"/>
  <c r="E36" i="8" l="1"/>
  <c r="E37" i="8" s="1"/>
  <c r="E34" i="8"/>
  <c r="E38" i="8" l="1"/>
  <c r="E42" i="8"/>
  <c r="E11" i="1"/>
  <c r="E20" i="1" l="1"/>
  <c r="C17" i="8" l="1"/>
  <c r="C35" i="8" s="1"/>
  <c r="D16" i="25" l="1"/>
  <c r="C113" i="8" s="1"/>
  <c r="M16" i="25" l="1"/>
  <c r="K20" i="20" l="1"/>
  <c r="I19" i="20"/>
  <c r="K19" i="20" l="1"/>
  <c r="C33" i="8" l="1"/>
  <c r="C36" i="8" s="1"/>
  <c r="D33" i="8"/>
  <c r="D17" i="8"/>
  <c r="D35" i="8" s="1"/>
  <c r="D36" i="8" l="1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9" i="24" l="1"/>
  <c r="C107" i="8" s="1"/>
  <c r="C7" i="29" s="1"/>
  <c r="C16" i="25" l="1"/>
  <c r="C112" i="8" s="1"/>
  <c r="G7" i="24"/>
  <c r="G8" i="24"/>
  <c r="G12" i="23"/>
  <c r="B12" i="23"/>
  <c r="G11" i="24" l="1"/>
  <c r="C106" i="8"/>
  <c r="C105" i="8"/>
  <c r="F17" i="22" l="1"/>
  <c r="G17" i="22" s="1"/>
  <c r="K17" i="22" s="1"/>
  <c r="C109" i="8"/>
  <c r="D34" i="8" l="1"/>
  <c r="F5" i="1" l="1"/>
  <c r="G45" i="1" l="1"/>
  <c r="F8" i="23"/>
  <c r="F7" i="23"/>
  <c r="F9" i="23"/>
  <c r="F10" i="23"/>
  <c r="D8" i="23"/>
  <c r="E8" i="23" s="1"/>
  <c r="C97" i="8" s="1"/>
  <c r="E20" i="22" l="1"/>
  <c r="F11" i="22"/>
  <c r="D20" i="22"/>
  <c r="E53" i="8"/>
  <c r="E56" i="8" s="1"/>
  <c r="N19" i="20"/>
  <c r="G41" i="1"/>
  <c r="H8" i="23"/>
  <c r="F13" i="53" s="1"/>
  <c r="G11" i="1"/>
  <c r="G38" i="1"/>
  <c r="G44" i="1"/>
  <c r="D11" i="23"/>
  <c r="G39" i="1"/>
  <c r="J19" i="20"/>
  <c r="D7" i="23"/>
  <c r="G40" i="1"/>
  <c r="G20" i="1"/>
  <c r="F20" i="1" s="1"/>
  <c r="D10" i="23"/>
  <c r="D6" i="23"/>
  <c r="E6" i="23" s="1"/>
  <c r="J13" i="19"/>
  <c r="F12" i="23"/>
  <c r="G42" i="1"/>
  <c r="G43" i="1"/>
  <c r="G28" i="1"/>
  <c r="D9" i="23"/>
  <c r="E37" i="5"/>
  <c r="G33" i="8"/>
  <c r="H33" i="8" s="1"/>
  <c r="E11" i="23" l="1"/>
  <c r="C100" i="8" s="1"/>
  <c r="H11" i="53"/>
  <c r="C95" i="8"/>
  <c r="E9" i="23"/>
  <c r="C98" i="8" s="1"/>
  <c r="E10" i="23"/>
  <c r="C99" i="8" s="1"/>
  <c r="E7" i="23"/>
  <c r="C96" i="8" s="1"/>
  <c r="I13" i="53"/>
  <c r="F20" i="22"/>
  <c r="G11" i="22"/>
  <c r="D450" i="28"/>
  <c r="E450" i="28" s="1"/>
  <c r="H6" i="23"/>
  <c r="F11" i="53" s="1"/>
  <c r="G36" i="8"/>
  <c r="C3" i="29" s="1"/>
  <c r="C13" i="29" s="1"/>
  <c r="C14" i="29" s="1"/>
  <c r="H10" i="23" l="1"/>
  <c r="F15" i="53" s="1"/>
  <c r="G15" i="53" s="1"/>
  <c r="H7" i="23"/>
  <c r="F12" i="53" s="1"/>
  <c r="I12" i="53" s="1"/>
  <c r="H9" i="23"/>
  <c r="F14" i="53" s="1"/>
  <c r="I14" i="53" s="1"/>
  <c r="H11" i="23"/>
  <c r="F16" i="53" s="1"/>
  <c r="G16" i="53" s="1"/>
  <c r="I11" i="53"/>
  <c r="K11" i="22"/>
  <c r="K20" i="22" s="1"/>
  <c r="G20" i="22"/>
  <c r="D5" i="23"/>
  <c r="E5" i="23" l="1"/>
  <c r="H16" i="53"/>
  <c r="I16" i="53"/>
  <c r="I15" i="53"/>
  <c r="D12" i="23"/>
  <c r="G46" i="1"/>
  <c r="G50" i="1" s="1"/>
  <c r="E39" i="5" s="1"/>
  <c r="C12" i="23"/>
  <c r="G19" i="53" l="1"/>
  <c r="H15" i="53"/>
  <c r="C94" i="8"/>
  <c r="C101" i="8" s="1"/>
  <c r="E12" i="23"/>
  <c r="H5" i="23"/>
  <c r="F9" i="53" s="1"/>
  <c r="F19" i="53" s="1"/>
  <c r="G17" i="8"/>
  <c r="H12" i="23" l="1"/>
  <c r="I9" i="53"/>
  <c r="G38" i="53"/>
  <c r="H38" i="53" s="1"/>
  <c r="H19" i="53"/>
  <c r="G35" i="8"/>
  <c r="H17" i="8"/>
  <c r="F38" i="53"/>
  <c r="I19" i="53"/>
  <c r="D449" i="28"/>
  <c r="E449" i="28" s="1"/>
  <c r="G37" i="8"/>
  <c r="G38" i="8" s="1"/>
  <c r="G34" i="8"/>
  <c r="G55" i="1"/>
  <c r="E38" i="5" s="1"/>
  <c r="F40" i="53" l="1"/>
  <c r="F45" i="53" s="1"/>
  <c r="I38" i="53"/>
  <c r="G42" i="8"/>
  <c r="G43" i="8" s="1"/>
  <c r="C2" i="29"/>
  <c r="C4" i="29" s="1"/>
  <c r="C6" i="29" l="1"/>
  <c r="C8" i="29"/>
  <c r="B5" i="24"/>
  <c r="B11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A481F986-DA2C-48B0-ABDB-CBE1AAECE369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1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1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E151" authorId="0" shapeId="0" xr:uid="{6382571C-D955-49C7-BEDB-A601396BF4C7}">
      <text>
        <r>
          <rPr>
            <b/>
            <sz val="9"/>
            <color indexed="81"/>
            <rFont val="Tahoma"/>
            <family val="2"/>
          </rPr>
          <t>ระดับเขต       บาท,ระดับจังหวัด 300,000 บาท,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7" authorId="0" shapeId="0" xr:uid="{5C06ED61-2AD0-40E5-8C8F-CFACA9F890FD}">
      <text>
        <r>
          <rPr>
            <b/>
            <sz val="9"/>
            <color indexed="81"/>
            <rFont val="Tahoma"/>
            <family val="2"/>
          </rPr>
          <t>ระดับหน่วยบริการยอดจัดสรร 1,534,535.55 (รพ.สต.สมทบ 163,330.96 รวม 1697866.51)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5" authorId="0" shapeId="0" xr:uid="{6A1CA0C7-F66A-425F-B3D5-57D57700A568}">
      <text>
        <r>
          <rPr>
            <b/>
            <sz val="8"/>
            <color indexed="81"/>
            <rFont val="Tahoma"/>
            <family val="2"/>
          </rPr>
          <t>user: 40 คน ประชุม 2 รอบ 40*2*80 เอกสารในการประชุม 40 ชุด*30 = 7600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I7" authorId="0" shapeId="0" xr:uid="{343C51E5-D58E-4B40-B674-9AB5E95DEBBC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Mr.KKD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2" authorId="1" shapeId="0" xr:uid="{C62323FC-49EE-4738-A020-9EE95D10F0A4}">
      <text>
        <r>
          <rPr>
            <b/>
            <sz val="9"/>
            <color indexed="81"/>
            <rFont val="Tahoma"/>
            <family val="2"/>
          </rPr>
          <t>แผนปี66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" authorId="1" shapeId="0" xr:uid="{203EB461-A94C-4443-8C76-74E0FF2BDAF9}">
      <text>
        <r>
          <rPr>
            <b/>
            <sz val="9"/>
            <color indexed="81"/>
            <rFont val="Tahoma"/>
            <family val="2"/>
          </rPr>
          <t>ปรับลดค่าแรงปี 66 รวมpp op ip</t>
        </r>
      </text>
    </comment>
    <comment ref="C137" authorId="1" shapeId="0" xr:uid="{2F30D0CE-2E2A-4178-BD28-0A7CEEFC841C}">
      <text>
        <r>
          <rPr>
            <sz val="9"/>
            <color indexed="81"/>
            <rFont val="Tahoma"/>
            <family val="2"/>
          </rPr>
          <t xml:space="preserve">บ้านพักปี66
</t>
        </r>
      </text>
    </comment>
    <comment ref="C162" authorId="1" shapeId="0" xr:uid="{82EA6761-2DAE-491C-B488-F798F3E36D65}">
      <text>
        <r>
          <rPr>
            <b/>
            <sz val="9"/>
            <color indexed="81"/>
            <rFont val="Tahoma"/>
            <family val="2"/>
          </rPr>
          <t>แฟลตหลัง2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" authorId="1" shapeId="0" xr:uid="{B92F985B-2D54-4351-8051-6DAF5793A44B}">
      <text>
        <r>
          <rPr>
            <b/>
            <sz val="9"/>
            <color indexed="81"/>
            <rFont val="Tahoma"/>
            <family val="2"/>
          </rPr>
          <t>เงินเดือนปี66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" authorId="2" shapeId="0" xr:uid="{5AD3ED12-E49C-4A5C-A494-611F29FB7067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 shapeId="0" xr:uid="{A8D0A058-267D-456B-855C-6E2A8B2D71EB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" authorId="1" shapeId="0" xr:uid="{6588EBD1-8626-48A3-A9B9-C589B421A9BE}">
      <text>
        <r>
          <rPr>
            <sz val="9"/>
            <color indexed="81"/>
            <rFont val="Tahoma"/>
            <family val="2"/>
          </rPr>
          <t>ขยายเขตไฟฟ้า1,042,391.86
ปรับปรุงภูมิทัศน์รอบโรงพยาบาล
1550000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G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G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E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<sst xmlns="http://schemas.openxmlformats.org/spreadsheetml/2006/main" count="36162" uniqueCount="9257">
  <si>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</si>
  <si>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</si>
  <si>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</si>
  <si>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</si>
  <si>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</si>
  <si>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</si>
  <si>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</si>
  <si>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</si>
  <si>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</si>
  <si>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</si>
  <si>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</si>
  <si>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</si>
  <si>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</si>
  <si>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</si>
  <si>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</si>
  <si>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</si>
  <si>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</si>
  <si>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</si>
  <si>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</si>
  <si>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</si>
  <si>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</si>
  <si>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</si>
  <si>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</si>
  <si>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</si>
  <si>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</si>
  <si>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</si>
  <si>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</si>
  <si>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</si>
  <si>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</si>
  <si>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</si>
  <si>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</si>
  <si>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</si>
  <si>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</si>
  <si>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</si>
  <si>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</si>
  <si>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</si>
  <si>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</si>
  <si>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</si>
  <si>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</si>
  <si>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</si>
  <si>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</si>
  <si>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</si>
  <si>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</si>
  <si>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</si>
  <si>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</si>
  <si>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</si>
  <si>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</si>
  <si>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</si>
  <si>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</si>
  <si>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</si>
  <si>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</si>
  <si>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</si>
  <si>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</si>
  <si>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</si>
  <si>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</si>
  <si>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</si>
  <si>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</si>
  <si>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</si>
  <si>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</si>
  <si>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</si>
  <si>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</si>
  <si>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</si>
  <si>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</si>
  <si>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</si>
  <si>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</si>
  <si>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</si>
  <si>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</si>
  <si>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</si>
  <si>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</si>
  <si>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</si>
  <si>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</si>
  <si>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</si>
  <si>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</si>
  <si>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</si>
  <si>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</si>
  <si>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</si>
  <si>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</si>
  <si>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</si>
  <si>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</si>
  <si>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</si>
  <si>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</si>
  <si>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</si>
  <si>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</si>
  <si>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</si>
  <si>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</si>
  <si>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</si>
  <si>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</si>
  <si>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</si>
  <si>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</si>
  <si>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</si>
  <si>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</si>
  <si>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</si>
  <si>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</si>
  <si>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</si>
  <si>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</si>
  <si>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</si>
  <si>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</si>
  <si>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</si>
  <si>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</si>
  <si>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</si>
  <si>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</si>
  <si>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</si>
  <si>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</si>
  <si>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</si>
  <si>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</si>
  <si>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</si>
  <si>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</si>
  <si>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</si>
  <si>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</si>
  <si>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</si>
  <si>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</si>
  <si>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</si>
  <si>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</si>
  <si>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</si>
  <si>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</si>
  <si>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</si>
  <si>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</si>
  <si>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</si>
  <si>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</si>
  <si>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</si>
  <si>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</si>
  <si>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</si>
  <si>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</si>
  <si>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</si>
  <si>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</si>
  <si>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</si>
  <si>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</si>
  <si>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</si>
  <si>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</si>
  <si>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</si>
  <si>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</si>
  <si>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</si>
  <si>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</si>
  <si>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</si>
  <si>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</si>
  <si>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</si>
  <si>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</si>
  <si>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</si>
  <si>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</si>
  <si>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</si>
  <si>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</si>
  <si>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</si>
  <si>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</si>
  <si>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</si>
  <si>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</si>
  <si>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</si>
  <si>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</si>
  <si>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</si>
  <si>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</si>
  <si>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</si>
  <si>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</si>
  <si>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</si>
  <si>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</si>
  <si>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</si>
  <si>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</si>
  <si>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</si>
  <si>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</si>
  <si>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</si>
  <si>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</si>
  <si>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</si>
  <si>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</si>
  <si>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</si>
  <si>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</si>
  <si>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</si>
  <si>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</si>
  <si>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</si>
  <si>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</si>
  <si>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</si>
  <si>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</si>
  <si>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</si>
  <si>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</si>
  <si>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</si>
  <si>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</si>
  <si>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</si>
  <si>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</si>
  <si>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</si>
  <si>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</si>
  <si>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</si>
  <si>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</si>
  <si>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</si>
  <si>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</si>
  <si>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</si>
  <si>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</si>
  <si>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</si>
  <si>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</si>
  <si>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</si>
  <si>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</si>
  <si>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</si>
  <si>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</si>
  <si>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</si>
  <si>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</si>
  <si>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</si>
  <si>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</si>
  <si>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</si>
  <si>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</si>
  <si>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</si>
  <si>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</si>
  <si>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</si>
  <si>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</si>
  <si>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</si>
  <si>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</si>
  <si>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</si>
  <si>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</si>
  <si>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</si>
  <si>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</si>
  <si>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</si>
  <si>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</si>
  <si>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</si>
  <si>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</si>
  <si>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</si>
  <si>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</si>
  <si>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</si>
  <si>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</si>
  <si>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</si>
  <si>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</si>
  <si>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</si>
  <si>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</si>
  <si>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</si>
  <si>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</si>
  <si>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</si>
  <si>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</si>
  <si>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</si>
  <si>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</si>
  <si>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</si>
  <si>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</si>
  <si>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</si>
  <si>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</si>
  <si>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</si>
  <si>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</si>
  <si>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</si>
  <si>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</si>
  <si>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</si>
  <si>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</si>
  <si>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</si>
  <si>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</si>
  <si>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</si>
  <si>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</si>
  <si>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</si>
  <si>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</si>
  <si>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</si>
  <si>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</si>
  <si>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</si>
  <si>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</si>
  <si>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</si>
  <si>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</si>
  <si>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</si>
  <si>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</si>
  <si>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</si>
  <si>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</si>
  <si>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</si>
  <si>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</si>
  <si>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</si>
  <si>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</si>
  <si>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</si>
  <si>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</si>
  <si>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</si>
  <si>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</si>
  <si>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</si>
  <si>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</si>
  <si>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</si>
  <si>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</si>
  <si>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</si>
  <si>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</si>
  <si>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</si>
  <si>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</si>
  <si>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</si>
  <si>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</si>
  <si>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</si>
  <si>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</si>
  <si>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</si>
  <si>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</si>
  <si>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</si>
  <si>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</si>
  <si>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</si>
  <si>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</si>
  <si>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</si>
  <si>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</si>
  <si>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</si>
  <si>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</si>
  <si>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</si>
  <si>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</si>
  <si>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</si>
  <si>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</si>
  <si>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</si>
  <si>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</si>
  <si>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</si>
  <si>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</si>
  <si>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</si>
  <si>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</si>
  <si>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</si>
  <si>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</si>
  <si>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</si>
  <si>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</si>
  <si>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</si>
  <si>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</si>
  <si>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</si>
  <si>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</si>
  <si>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</si>
  <si>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</si>
  <si>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</si>
  <si>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</si>
  <si>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</si>
  <si>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</si>
  <si>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</si>
  <si>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</si>
  <si>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</si>
  <si>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</si>
  <si>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</si>
  <si>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</si>
  <si>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</si>
  <si>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</si>
  <si>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</si>
  <si>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</si>
  <si>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</si>
  <si>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</si>
  <si>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</si>
  <si>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</si>
  <si>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</si>
  <si>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</si>
  <si>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</si>
  <si>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</si>
  <si>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</si>
  <si>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</si>
  <si>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</si>
  <si>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</si>
  <si>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</si>
  <si>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</si>
  <si>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</si>
  <si>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</si>
  <si>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</si>
  <si>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</si>
  <si>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</si>
  <si>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</si>
  <si>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</si>
  <si>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</si>
  <si>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</si>
  <si>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</si>
  <si>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</si>
  <si>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</si>
  <si>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</si>
  <si>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</si>
  <si>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</si>
  <si>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</si>
  <si>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</si>
  <si>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</si>
  <si>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</si>
  <si>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</si>
  <si>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</si>
  <si>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</si>
  <si>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</si>
  <si>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</si>
  <si>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</si>
  <si>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</si>
  <si>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</si>
  <si>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</si>
  <si>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</si>
  <si>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</si>
  <si>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</si>
  <si>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</si>
  <si>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</si>
  <si>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</si>
  <si>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</si>
  <si>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</si>
  <si>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</si>
  <si>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</si>
  <si>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</si>
  <si>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</si>
  <si>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</si>
  <si>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</si>
  <si>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</si>
  <si>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</si>
  <si>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</si>
  <si>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</si>
  <si>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</si>
  <si>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</si>
  <si>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</si>
  <si>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</si>
  <si>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</si>
  <si>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</si>
  <si>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</si>
  <si>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</si>
  <si>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</si>
  <si>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</si>
  <si>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</si>
  <si>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</si>
  <si>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</si>
  <si>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</si>
  <si>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</si>
  <si>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</si>
  <si>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</si>
  <si>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</si>
  <si>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</si>
  <si>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</si>
  <si>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</si>
  <si>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</si>
  <si>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</si>
  <si>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</si>
  <si>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</si>
  <si>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</si>
  <si>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</si>
  <si>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</si>
  <si>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</si>
  <si>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</si>
  <si>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</si>
  <si>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</si>
  <si>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</si>
  <si>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</si>
  <si>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</si>
  <si>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</si>
  <si>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</si>
  <si>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</si>
  <si>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</si>
  <si>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</si>
  <si>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</si>
  <si>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</si>
  <si>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</si>
  <si>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</si>
  <si>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</si>
  <si>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</si>
  <si>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</si>
  <si>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</si>
  <si>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</si>
  <si>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</si>
  <si>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</si>
  <si>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</si>
  <si>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</si>
  <si>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</si>
  <si>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</si>
  <si>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</si>
  <si>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</si>
  <si>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</si>
  <si>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</si>
  <si>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</si>
  <si>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</si>
  <si>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</si>
  <si>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</si>
  <si>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</si>
  <si>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</si>
  <si>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</si>
  <si>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</si>
  <si>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</si>
  <si>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</si>
  <si>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</si>
  <si>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</si>
  <si>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</si>
  <si>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</si>
  <si>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</si>
  <si>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</si>
  <si>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</si>
  <si>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</si>
  <si>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</si>
  <si>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</si>
  <si>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</si>
  <si>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</si>
  <si>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</si>
  <si>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</si>
  <si>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</si>
  <si>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</si>
  <si>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</si>
  <si>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</si>
  <si>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</si>
  <si>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</si>
  <si>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</si>
  <si>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</si>
  <si>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</si>
  <si>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</si>
  <si>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</si>
  <si>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</si>
  <si>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</si>
  <si>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</si>
  <si>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</si>
  <si>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</si>
  <si>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</si>
  <si>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</si>
  <si>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</si>
  <si>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</si>
  <si>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</si>
  <si>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</si>
  <si>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</si>
  <si>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</si>
  <si>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</si>
  <si>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</si>
  <si>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</si>
  <si>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</si>
  <si>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</si>
  <si>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</si>
  <si>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</si>
  <si>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</si>
  <si>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</si>
  <si>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</si>
  <si>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</si>
  <si>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</si>
  <si>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</si>
  <si>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</si>
  <si>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</si>
  <si>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</si>
  <si>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</si>
  <si>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</si>
  <si>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</si>
  <si>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</si>
  <si>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</si>
  <si>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</si>
  <si>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</si>
  <si>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</si>
  <si>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</si>
  <si>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</si>
  <si>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</si>
  <si>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</si>
  <si>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</si>
  <si>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</si>
  <si>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</si>
  <si>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</si>
  <si>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</si>
  <si>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</si>
  <si>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</si>
  <si>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</si>
  <si>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</si>
  <si>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</si>
  <si>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</si>
  <si>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</si>
  <si>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</si>
  <si>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</si>
  <si>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</si>
  <si>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</si>
  <si>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</si>
  <si>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</si>
  <si>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</si>
  <si>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</si>
  <si>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</si>
  <si>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</si>
  <si>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</si>
  <si>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</si>
  <si>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</si>
  <si>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</si>
  <si>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</si>
  <si>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</si>
  <si>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</si>
  <si>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</si>
  <si>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</si>
  <si>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</si>
  <si>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</si>
  <si>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</si>
  <si>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</si>
  <si>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</si>
  <si>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</si>
  <si>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</si>
  <si>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</si>
  <si>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</si>
  <si>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</si>
  <si>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</si>
  <si>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</si>
  <si>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</si>
  <si>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</si>
  <si>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</si>
  <si>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</si>
  <si>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</si>
  <si>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</si>
  <si>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</si>
  <si>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</si>
  <si>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</si>
  <si>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</si>
  <si>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</si>
  <si>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</si>
  <si>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</si>
  <si>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</si>
  <si>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</si>
  <si>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</si>
  <si>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</si>
  <si>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</si>
  <si>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</si>
  <si>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</si>
  <si>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</si>
  <si>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</si>
  <si>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</si>
  <si>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</si>
  <si>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</si>
  <si>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</si>
  <si>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</si>
  <si>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</si>
  <si>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</si>
  <si>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</si>
  <si>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</si>
  <si>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</si>
  <si>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</si>
  <si>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</si>
  <si>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</si>
  <si>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</si>
  <si>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</si>
  <si>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</si>
  <si>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</si>
  <si>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</si>
  <si>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</si>
  <si>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</si>
  <si>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</si>
  <si>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</si>
  <si>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</si>
  <si>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</si>
  <si>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</si>
  <si>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</si>
  <si>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</si>
  <si>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</si>
  <si>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</si>
  <si>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</si>
  <si>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</si>
  <si>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</si>
  <si>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</si>
  <si>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</si>
  <si>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</si>
  <si>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</si>
  <si>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</si>
  <si>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</si>
  <si>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</si>
  <si>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</si>
  <si>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</si>
  <si>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</si>
  <si>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</si>
  <si>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</si>
  <si>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</si>
  <si>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</si>
  <si>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</si>
  <si>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</si>
  <si>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</si>
  <si>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</si>
  <si>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</si>
  <si>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</si>
  <si>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</si>
  <si>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</si>
  <si>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</si>
  <si>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</si>
  <si>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</si>
  <si>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</si>
  <si>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</si>
  <si>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</si>
  <si>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</si>
  <si>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</si>
  <si>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</si>
  <si>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</si>
  <si>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</si>
  <si>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</si>
  <si>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</si>
  <si>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</si>
  <si>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</si>
  <si>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</si>
  <si>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</si>
  <si>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</si>
  <si>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</si>
  <si>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</si>
  <si>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</si>
  <si>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</si>
  <si>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</si>
  <si>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</si>
  <si>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</si>
  <si>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</si>
  <si>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</si>
  <si>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</si>
  <si>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</si>
  <si>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</si>
  <si>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</si>
  <si>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</si>
  <si>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</si>
  <si>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</si>
  <si>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</si>
  <si>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</si>
  <si>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</si>
  <si>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</si>
  <si>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</si>
  <si>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</si>
  <si>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</si>
  <si>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</si>
  <si>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</si>
  <si>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</si>
  <si>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</si>
  <si>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</si>
  <si>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</si>
  <si>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</si>
  <si>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</si>
  <si>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</si>
  <si>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</si>
  <si>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</si>
  <si>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</si>
  <si>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</si>
  <si>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</si>
  <si>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</si>
  <si>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</si>
  <si>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</si>
  <si>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</si>
  <si>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</si>
  <si>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</si>
  <si>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</si>
  <si>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</si>
  <si>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</si>
  <si>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</si>
  <si>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</si>
  <si>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</si>
  <si>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</si>
  <si>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</si>
  <si>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</si>
  <si>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</si>
  <si>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</si>
  <si>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</si>
  <si>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</si>
  <si>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</si>
  <si>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</si>
  <si>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</si>
  <si>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</si>
  <si>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</si>
  <si>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</si>
  <si>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</si>
  <si>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</si>
  <si>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</si>
  <si>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</si>
  <si>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</si>
  <si>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</si>
  <si>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</si>
  <si>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</si>
  <si>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</si>
  <si>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</si>
  <si>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</si>
  <si>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</si>
  <si>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</si>
  <si>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</si>
  <si>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</si>
  <si>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</si>
  <si>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</si>
  <si>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</si>
  <si>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</si>
  <si>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</si>
  <si>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</si>
  <si>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</si>
  <si>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</si>
  <si>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</si>
  <si>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</si>
  <si>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</si>
  <si>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</si>
  <si>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</si>
  <si>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</si>
  <si>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</si>
  <si>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</si>
  <si>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</si>
  <si>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</si>
  <si>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</si>
  <si>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</si>
  <si>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</si>
  <si>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</si>
  <si>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</si>
  <si>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</si>
  <si>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</si>
  <si>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</si>
  <si>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</si>
  <si>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</si>
  <si>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</si>
  <si>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</si>
  <si>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</si>
  <si>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</si>
  <si>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</si>
  <si>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</si>
  <si>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</si>
  <si>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</si>
  <si>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</si>
  <si>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</si>
  <si>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</si>
  <si>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</si>
  <si>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</si>
  <si>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</si>
  <si>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</si>
  <si>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</si>
  <si>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</si>
  <si>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</si>
  <si>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</si>
  <si>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</si>
  <si>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</si>
  <si>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</si>
  <si>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</si>
  <si>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</si>
  <si>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</si>
  <si>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</si>
  <si>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</si>
  <si>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</si>
  <si>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</si>
  <si>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</si>
  <si>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</si>
  <si>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</si>
  <si>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</si>
  <si>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</si>
  <si>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</si>
  <si>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</si>
  <si>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</si>
  <si>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</si>
  <si>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</si>
  <si>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</si>
  <si>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</si>
  <si>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</si>
  <si>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</si>
  <si>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</si>
  <si>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</si>
  <si>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</si>
  <si>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</si>
  <si>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</si>
  <si>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</si>
  <si>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</si>
  <si>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</si>
  <si>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</si>
  <si>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</si>
  <si>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</si>
  <si>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</si>
  <si>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</si>
  <si>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</si>
  <si>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</si>
  <si>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</si>
  <si>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</si>
  <si>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</si>
  <si>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</si>
  <si>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</si>
  <si>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</si>
  <si>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</si>
  <si>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</si>
  <si>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</si>
  <si>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</si>
  <si>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</si>
  <si>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</si>
  <si>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</si>
  <si>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</si>
  <si>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</si>
  <si>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</si>
  <si>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</si>
  <si>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</si>
  <si>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</si>
  <si>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</si>
  <si>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</si>
  <si>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</si>
  <si>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</si>
  <si>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</si>
  <si>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</si>
  <si>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</si>
  <si>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</si>
  <si>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</si>
  <si>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</si>
  <si>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</si>
  <si>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</si>
  <si>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</si>
  <si>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</si>
  <si>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</si>
  <si>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</si>
  <si>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</si>
  <si>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</si>
  <si>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</si>
  <si>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</si>
  <si>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</si>
  <si>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</si>
  <si>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</si>
  <si>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</si>
  <si>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</si>
  <si>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</si>
  <si>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</si>
  <si>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</si>
  <si>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</si>
  <si>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</si>
  <si>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</si>
  <si>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</si>
  <si>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</si>
  <si>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</si>
  <si>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</si>
  <si>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</si>
  <si>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</si>
  <si>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</si>
  <si>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</si>
  <si>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</si>
  <si>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</si>
  <si>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</si>
  <si>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</si>
  <si>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</si>
  <si>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</si>
  <si>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</si>
  <si>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</si>
  <si>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</si>
  <si>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</si>
  <si>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</si>
  <si>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</si>
  <si>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</si>
  <si>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</si>
  <si>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</si>
  <si>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</si>
  <si>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</si>
  <si>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</si>
  <si>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</si>
  <si>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</si>
  <si>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</si>
  <si>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</si>
  <si>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</si>
  <si>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</si>
  <si>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</si>
  <si>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</si>
  <si>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</si>
  <si>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</si>
  <si>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</si>
  <si>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</si>
  <si>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</si>
  <si>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</si>
  <si>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</si>
  <si>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</si>
  <si>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</si>
  <si>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</si>
  <si>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</si>
  <si>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</si>
  <si>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</si>
  <si>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</si>
  <si>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</si>
  <si>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</si>
  <si>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</si>
  <si>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</si>
  <si>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</si>
  <si>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</si>
  <si>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</si>
  <si>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</si>
  <si>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</si>
  <si>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</si>
  <si>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</si>
  <si>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</si>
  <si>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</si>
  <si>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</si>
  <si>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</si>
  <si>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</si>
  <si>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</si>
  <si>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</si>
  <si>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</si>
  <si>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</si>
  <si>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</si>
  <si>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</si>
  <si>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</si>
  <si>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</si>
  <si>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</si>
  <si>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</si>
  <si>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</si>
  <si>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</si>
  <si>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</si>
  <si>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</si>
  <si>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</si>
  <si>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</si>
  <si>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</si>
  <si>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</si>
  <si>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</si>
  <si>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</si>
  <si>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</si>
  <si>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</si>
  <si>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</si>
  <si>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</si>
  <si>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</si>
  <si>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</si>
  <si>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</si>
  <si>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</si>
  <si>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</si>
  <si>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</si>
  <si>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</si>
  <si>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</si>
  <si>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</si>
  <si>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</si>
  <si>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</si>
  <si>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</si>
  <si>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</si>
  <si>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</si>
  <si>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</si>
  <si>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</si>
  <si>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</si>
  <si>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</si>
  <si>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</si>
  <si>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</si>
  <si>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</si>
  <si>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</si>
  <si>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</si>
  <si>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</si>
  <si>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</si>
  <si>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</si>
  <si>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</si>
  <si>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</si>
  <si>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</si>
  <si>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</si>
  <si>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</si>
  <si>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</si>
  <si>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</si>
  <si>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</si>
  <si>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</si>
  <si>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</si>
  <si>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</si>
  <si>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</si>
  <si>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</si>
  <si>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</si>
  <si>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</si>
  <si>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</si>
  <si>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</si>
  <si>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</si>
  <si>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</si>
  <si>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</si>
  <si>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</si>
  <si>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</si>
  <si>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</si>
  <si>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</si>
  <si>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</si>
  <si>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</si>
  <si>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</si>
  <si>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</si>
  <si>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</si>
  <si>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</si>
  <si>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</si>
  <si>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</si>
  <si>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</si>
  <si>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</si>
  <si>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</si>
  <si>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</si>
  <si>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</si>
  <si>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</si>
  <si>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</si>
  <si>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</si>
  <si>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</si>
  <si>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</si>
  <si>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</si>
  <si>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</si>
  <si>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</si>
  <si>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</si>
  <si>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</si>
  <si>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</si>
  <si>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</si>
  <si>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</si>
  <si>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</si>
  <si>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</si>
  <si>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</si>
  <si>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</si>
  <si>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</si>
  <si>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</si>
  <si>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</si>
  <si>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</si>
  <si>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</si>
  <si>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</si>
  <si>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</si>
  <si>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</si>
  <si>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</si>
  <si>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</si>
  <si>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</si>
  <si>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</si>
  <si>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</si>
  <si>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</si>
  <si>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</si>
  <si>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</si>
  <si>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</si>
  <si>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</si>
  <si>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</si>
  <si>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</si>
  <si>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</si>
  <si>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</si>
  <si>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</si>
  <si>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</si>
  <si>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</si>
  <si>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</si>
  <si>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</si>
  <si>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</si>
  <si>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</si>
  <si>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</si>
  <si>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</si>
  <si>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</si>
  <si>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</si>
  <si>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</si>
  <si>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</si>
  <si>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</si>
  <si>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</si>
  <si>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</si>
  <si>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</si>
  <si>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</si>
  <si>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</si>
  <si>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</si>
  <si>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</si>
  <si>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</si>
  <si>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</si>
  <si>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</si>
  <si>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</si>
  <si>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</si>
  <si>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</si>
  <si>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</si>
  <si>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</si>
  <si>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</si>
  <si>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</si>
  <si>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</si>
  <si>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</si>
  <si>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</si>
  <si>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</si>
  <si>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</si>
  <si>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</si>
  <si>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</si>
  <si>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</si>
  <si>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</si>
  <si>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</si>
  <si>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</si>
  <si>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</si>
  <si>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</si>
  <si>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</si>
  <si>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</si>
  <si>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</si>
  <si>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</si>
  <si>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</si>
  <si>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</si>
  <si>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</si>
  <si>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</si>
  <si>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</si>
  <si>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</si>
  <si>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</si>
  <si>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</si>
  <si>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</si>
  <si>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</si>
  <si>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</si>
  <si>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</si>
  <si>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</si>
  <si>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</si>
  <si>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</si>
  <si>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</si>
  <si>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</si>
  <si>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</si>
  <si>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</si>
  <si>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</si>
  <si>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</si>
  <si>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</si>
  <si>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</si>
  <si>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</si>
  <si>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</si>
  <si>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</si>
  <si>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</si>
  <si>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</si>
  <si>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</si>
  <si>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</si>
  <si>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</si>
  <si>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</si>
  <si>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</si>
  <si>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</si>
  <si>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</si>
  <si>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</si>
  <si>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</si>
  <si>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</si>
  <si>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</si>
  <si>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</si>
  <si>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</si>
  <si>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</si>
  <si>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</si>
  <si>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</si>
  <si>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</si>
  <si>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</si>
  <si>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</si>
  <si>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</si>
  <si>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</si>
  <si>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</si>
  <si>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</si>
  <si>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</si>
  <si>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</si>
  <si>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</si>
  <si>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</si>
  <si>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</si>
  <si>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</si>
  <si>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</si>
  <si>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</si>
  <si>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</si>
  <si>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</si>
  <si>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</si>
  <si>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</si>
  <si>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</si>
  <si>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</si>
  <si>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</si>
  <si>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</si>
  <si>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</si>
  <si>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</si>
  <si>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</si>
  <si>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</si>
  <si>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</si>
  <si>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</si>
  <si>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</si>
  <si>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</si>
  <si>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</si>
  <si>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</si>
  <si>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</si>
  <si>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</si>
  <si>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</si>
  <si>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</si>
  <si>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</si>
  <si>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</si>
  <si>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</si>
  <si>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</si>
  <si>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</si>
  <si>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</si>
  <si>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</si>
  <si>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</si>
  <si>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</si>
  <si>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</si>
  <si>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</si>
  <si>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</si>
  <si>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</si>
  <si>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</si>
  <si>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</si>
  <si>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</si>
  <si>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</si>
  <si>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</si>
  <si>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</si>
  <si>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</si>
  <si>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</si>
  <si>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</si>
  <si>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</si>
  <si>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</si>
  <si>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</si>
  <si>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</si>
  <si>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</si>
  <si>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</si>
  <si>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</si>
  <si>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</si>
  <si>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</si>
  <si>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</si>
  <si>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</si>
  <si>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</si>
  <si>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</si>
  <si>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</si>
  <si>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</si>
  <si>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</si>
  <si>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</si>
  <si>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</si>
  <si>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</si>
  <si>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</si>
  <si>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</si>
  <si>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</si>
  <si>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</si>
  <si>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</si>
  <si>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</si>
  <si>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</si>
  <si>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</si>
  <si>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</si>
  <si>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</si>
  <si>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</si>
  <si>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</si>
  <si>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</si>
  <si>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</si>
  <si>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</si>
  <si>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</si>
  <si>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</si>
  <si>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</si>
  <si>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</si>
  <si>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</si>
  <si>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</si>
  <si>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</si>
  <si>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</si>
  <si>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</si>
  <si>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</si>
  <si>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</si>
  <si>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</si>
  <si>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</si>
  <si>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</si>
  <si>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</si>
  <si>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</si>
  <si>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</si>
  <si>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</si>
  <si>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</si>
  <si>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</si>
  <si>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</si>
  <si>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</si>
  <si>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</si>
  <si>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</si>
  <si>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</si>
  <si>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</si>
  <si>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</si>
  <si>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</si>
  <si>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</si>
  <si>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</si>
  <si>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</si>
  <si>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</si>
  <si>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</si>
  <si>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</si>
  <si>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</si>
  <si>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</si>
  <si>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</si>
  <si>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</si>
  <si>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</si>
  <si>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</si>
  <si>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</si>
  <si>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</si>
  <si>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</si>
  <si>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</si>
  <si>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</si>
  <si>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</si>
  <si>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</si>
  <si>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</si>
  <si>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</si>
  <si>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</si>
  <si>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</si>
  <si>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</si>
  <si>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</si>
  <si>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</si>
  <si>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</si>
  <si>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</si>
  <si>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</si>
  <si>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</si>
  <si>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</si>
  <si>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</si>
  <si>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</si>
  <si>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</si>
  <si>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</si>
  <si>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</si>
  <si>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</si>
  <si>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</si>
  <si>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</si>
  <si>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</si>
  <si>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</si>
  <si>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</si>
  <si>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</si>
  <si>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</si>
  <si>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</si>
  <si>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</si>
  <si>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</si>
  <si>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</si>
  <si>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</si>
  <si>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</si>
  <si>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</si>
  <si>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</si>
  <si>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</si>
  <si>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</si>
  <si>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</si>
  <si>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</si>
  <si>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</si>
  <si>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</si>
  <si>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</si>
  <si>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</si>
  <si>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</si>
  <si>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</si>
  <si>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</si>
  <si>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</si>
  <si>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</si>
  <si>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</si>
  <si>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</si>
  <si>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</si>
  <si>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</si>
  <si>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</si>
  <si>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</si>
  <si>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</si>
  <si>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</si>
  <si>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</si>
  <si>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</si>
  <si>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</si>
  <si>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</si>
  <si>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</si>
  <si>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</si>
  <si>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</si>
  <si>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</si>
  <si>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</si>
  <si>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</si>
  <si>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</si>
  <si>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</si>
  <si>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</si>
  <si>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</si>
  <si>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</si>
  <si>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</si>
  <si>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</si>
  <si>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</si>
  <si>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</si>
  <si>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</si>
  <si>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</si>
  <si>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</si>
  <si>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</si>
  <si>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</si>
  <si>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</si>
  <si>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</si>
  <si>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</si>
  <si>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</si>
  <si>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</si>
  <si>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</si>
  <si>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</si>
  <si>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</si>
  <si>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</si>
  <si>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</si>
  <si>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</si>
  <si>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</si>
  <si>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</si>
  <si>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</si>
  <si>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</si>
  <si>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</si>
  <si>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</si>
  <si>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</si>
  <si>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</si>
  <si>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</si>
  <si>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</si>
  <si>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</si>
  <si>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</si>
  <si>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</si>
  <si>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</si>
  <si>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</si>
  <si>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</si>
  <si>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</si>
  <si>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</si>
  <si>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</si>
  <si>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</si>
  <si>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</si>
  <si>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</si>
  <si>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</si>
  <si>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</si>
  <si>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</si>
  <si>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</si>
  <si>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</si>
  <si>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</si>
  <si>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</si>
  <si>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</si>
  <si>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</si>
  <si>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</si>
  <si>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</si>
  <si>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</si>
  <si>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</si>
  <si>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</si>
  <si>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</si>
  <si>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</si>
  <si>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</si>
  <si>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</si>
  <si>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</si>
  <si>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</si>
  <si>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</si>
  <si>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</si>
  <si>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</si>
  <si>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</si>
  <si>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</si>
  <si>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</si>
  <si>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</si>
  <si>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</si>
  <si>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</si>
  <si>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</si>
  <si>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</si>
  <si>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</si>
  <si>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</si>
  <si>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</si>
  <si>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</si>
  <si>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</si>
  <si>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</si>
  <si>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</si>
  <si>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</si>
  <si>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</si>
  <si>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</si>
  <si>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</si>
  <si>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</si>
  <si>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</si>
  <si>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</si>
  <si>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</si>
  <si>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</si>
  <si>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</si>
  <si>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</si>
  <si>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</si>
  <si>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</si>
  <si>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</si>
  <si>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</si>
  <si>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</si>
  <si>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</si>
  <si>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</si>
  <si>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</si>
  <si>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</si>
  <si>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</si>
  <si>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</si>
  <si>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</si>
  <si>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</si>
  <si>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</si>
  <si>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</si>
  <si>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</si>
  <si>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</si>
  <si>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</si>
  <si>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</si>
  <si>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</si>
  <si>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</si>
  <si>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</si>
  <si>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</si>
  <si>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</si>
  <si>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</si>
  <si>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</si>
  <si>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</si>
  <si>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</si>
  <si>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</si>
  <si>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</si>
  <si>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</si>
  <si>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</si>
  <si>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</si>
  <si>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</si>
  <si>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</si>
  <si>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</si>
  <si>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</si>
  <si>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</si>
  <si>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</si>
  <si>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</si>
  <si>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</si>
  <si>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</si>
  <si>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</si>
  <si>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</si>
  <si>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</si>
  <si>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</si>
  <si>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</si>
  <si>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</si>
  <si>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</si>
  <si>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</si>
  <si>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</si>
  <si>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</si>
  <si>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</si>
  <si>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</si>
  <si>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</si>
  <si>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</si>
  <si>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</si>
  <si>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</si>
  <si>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</si>
  <si>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</si>
  <si>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</si>
  <si>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</si>
  <si>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</si>
  <si>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</si>
  <si>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</si>
  <si>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</si>
  <si>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</si>
  <si>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</si>
  <si>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</si>
  <si>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</si>
  <si>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</si>
  <si>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</si>
  <si>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</si>
  <si>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</si>
  <si>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</si>
  <si>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</si>
  <si>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</si>
  <si>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</si>
  <si>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</si>
  <si>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</si>
  <si>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</si>
  <si>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</si>
  <si>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</si>
  <si>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</si>
  <si>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</si>
  <si>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</si>
  <si>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</si>
  <si>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</si>
  <si>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</si>
  <si>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</si>
  <si>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</si>
  <si>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</si>
  <si>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</si>
  <si>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</si>
  <si>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</si>
  <si>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</si>
  <si>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</si>
  <si>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</si>
  <si>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</si>
  <si>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</si>
  <si>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</si>
  <si>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</si>
  <si>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</si>
  <si>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</si>
  <si>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</si>
  <si>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</si>
  <si>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</si>
  <si>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</si>
  <si>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</si>
  <si>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</si>
  <si>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</si>
  <si>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</si>
  <si>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</si>
  <si>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</si>
  <si>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</si>
  <si>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</si>
  <si>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</si>
  <si>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</si>
  <si>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</si>
  <si>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</si>
  <si>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</si>
  <si>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</si>
  <si>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</si>
  <si>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</si>
  <si>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</si>
  <si>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</si>
  <si>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</si>
  <si>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</si>
  <si>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</si>
  <si>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</si>
  <si>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</si>
  <si>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</si>
  <si>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</si>
  <si>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</si>
  <si>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</si>
  <si>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</si>
  <si>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</si>
  <si>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</si>
  <si>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</si>
  <si>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</si>
  <si>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</si>
  <si>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</si>
  <si>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</si>
  <si>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</si>
  <si>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</si>
  <si>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</si>
  <si>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</si>
  <si>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</si>
  <si>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</si>
  <si>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</si>
  <si>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</si>
  <si>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</si>
  <si>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</si>
  <si>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</si>
  <si>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</si>
  <si>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</si>
  <si>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</si>
  <si>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</si>
  <si>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</si>
  <si>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</si>
  <si>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</si>
  <si>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</si>
  <si>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</si>
  <si>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</si>
  <si>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</si>
  <si>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</si>
  <si>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</si>
  <si>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</si>
  <si>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</si>
  <si>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</si>
  <si>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</si>
  <si>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</si>
  <si>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</si>
  <si>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</si>
  <si>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</si>
  <si>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</si>
  <si>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</si>
  <si>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</si>
  <si>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</si>
  <si>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</si>
  <si>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</si>
  <si>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</si>
  <si>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</si>
  <si>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</si>
  <si>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</si>
  <si>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</si>
  <si>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</si>
  <si>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</si>
  <si>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</si>
  <si>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</si>
  <si>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</si>
  <si>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</si>
  <si>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</si>
  <si>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</si>
  <si>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</si>
  <si>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</si>
  <si>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</si>
  <si>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</si>
  <si>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</si>
  <si>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</si>
  <si>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</si>
  <si>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</si>
  <si>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</si>
  <si>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</si>
  <si>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</si>
  <si>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</si>
  <si>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</si>
  <si>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</si>
  <si>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</si>
  <si>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</si>
  <si>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</si>
  <si>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</si>
  <si>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</si>
  <si>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</si>
  <si>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</si>
  <si>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</si>
  <si>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</si>
  <si>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</si>
  <si>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</si>
  <si>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</si>
  <si>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</si>
  <si>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</si>
  <si>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</si>
  <si>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</si>
  <si>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</si>
  <si>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</si>
  <si>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</si>
  <si>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</si>
  <si>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</si>
  <si>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</si>
  <si>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</si>
  <si>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</si>
  <si>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</si>
  <si>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</si>
  <si>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</si>
  <si>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</si>
  <si>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</si>
  <si>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</si>
  <si>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</si>
  <si>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</si>
  <si>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</si>
  <si>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</si>
  <si>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</si>
  <si>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</si>
  <si>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</si>
  <si>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</si>
  <si>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</si>
  <si>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</si>
  <si>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</si>
  <si>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</si>
  <si>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</si>
  <si>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</si>
  <si>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</si>
  <si>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</si>
  <si>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</si>
  <si>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</si>
  <si>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</si>
  <si>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</si>
  <si>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</si>
  <si>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</si>
  <si>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</si>
  <si>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</si>
  <si>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</si>
  <si>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</si>
  <si>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</si>
  <si>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</si>
  <si>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</si>
  <si>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</si>
  <si>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</si>
  <si>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</si>
  <si>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</si>
  <si>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</si>
  <si>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</si>
  <si>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</si>
  <si>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</si>
  <si>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</si>
  <si>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</si>
  <si>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</si>
  <si>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</si>
  <si>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</si>
  <si>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</si>
  <si>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</si>
  <si>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</si>
  <si>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</si>
  <si>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</si>
  <si>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</si>
  <si>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</si>
  <si>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</si>
  <si>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</si>
  <si>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</si>
  <si>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</si>
  <si>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</si>
  <si>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</si>
  <si>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</si>
  <si>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</si>
  <si>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</si>
  <si>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</si>
  <si>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</si>
  <si>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</si>
  <si>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</si>
  <si>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</si>
  <si>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</si>
  <si>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</si>
  <si>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</si>
  <si>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</si>
  <si>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</si>
  <si>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</si>
  <si>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</si>
  <si>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</si>
  <si>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</si>
  <si>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</si>
  <si>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</si>
  <si>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</si>
  <si>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</si>
  <si>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</si>
  <si>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</si>
  <si>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</si>
  <si>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</si>
  <si>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</si>
  <si>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</si>
  <si>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</si>
  <si>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</si>
  <si>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</si>
  <si>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</si>
  <si>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</si>
  <si>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</si>
  <si>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</si>
  <si>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</si>
  <si>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</si>
  <si>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</si>
  <si>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</si>
  <si>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</si>
  <si>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</si>
  <si>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</si>
  <si>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</si>
  <si>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</si>
  <si>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</si>
  <si>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</si>
  <si>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</si>
  <si>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</si>
  <si>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</si>
  <si>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</si>
  <si>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</si>
  <si>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</si>
  <si>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</si>
  <si>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</si>
  <si>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</si>
  <si>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</si>
  <si>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</si>
  <si>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</si>
  <si>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</si>
  <si>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</si>
  <si>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</si>
  <si>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</si>
  <si>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</si>
  <si>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</si>
  <si>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</si>
  <si>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</si>
  <si>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</si>
  <si>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</si>
  <si>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</si>
  <si>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</si>
  <si>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</si>
  <si>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</si>
  <si>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</si>
  <si>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</si>
  <si>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</si>
  <si>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</si>
  <si>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</si>
  <si>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</si>
  <si>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</si>
  <si>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</si>
  <si>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</si>
  <si>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</si>
  <si>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</si>
  <si>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</si>
  <si>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</si>
  <si>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</si>
  <si>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</si>
  <si>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</si>
  <si>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</si>
  <si>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</si>
  <si>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</si>
  <si>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</si>
  <si>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</si>
  <si>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</si>
  <si>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</si>
  <si>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</si>
  <si>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</si>
  <si>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</si>
  <si>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</si>
  <si>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</si>
  <si>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</si>
  <si>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</si>
  <si>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</si>
  <si>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</si>
  <si>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</si>
  <si>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</si>
  <si>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</si>
  <si>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</si>
  <si>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</si>
  <si>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</si>
  <si>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</si>
  <si>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</si>
  <si>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</si>
  <si>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</si>
  <si>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</si>
  <si>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</si>
  <si>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</si>
  <si>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</si>
  <si>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</si>
  <si>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</si>
  <si>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</si>
  <si>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</si>
  <si>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</si>
  <si>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</si>
  <si>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</si>
  <si>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</si>
  <si>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</si>
  <si>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</si>
  <si>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</si>
  <si>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</si>
  <si>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</si>
  <si>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</si>
  <si>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</si>
  <si>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</si>
  <si>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</si>
  <si>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</si>
  <si>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</si>
  <si>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</si>
  <si>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</si>
  <si>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</si>
  <si>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</si>
  <si>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</si>
  <si>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</si>
  <si>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</si>
  <si>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</si>
  <si>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</si>
  <si>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</si>
  <si>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</si>
  <si>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</si>
  <si>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</si>
  <si>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</si>
  <si>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</si>
  <si>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</si>
  <si>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</si>
  <si>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</si>
  <si>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</si>
  <si>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</si>
  <si>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</si>
  <si>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</si>
  <si>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</si>
  <si>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</si>
  <si>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</si>
  <si>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</si>
  <si>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</si>
  <si>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</si>
  <si>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</si>
  <si>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</si>
  <si>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</si>
  <si>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</si>
  <si>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</si>
  <si>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</si>
  <si>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</si>
  <si>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</si>
  <si>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</si>
  <si>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</si>
  <si>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</si>
  <si>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</si>
  <si>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</si>
  <si>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</si>
  <si>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</si>
  <si>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</si>
  <si>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</si>
  <si>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</si>
  <si>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</si>
  <si>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</si>
  <si>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</si>
  <si>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</si>
  <si>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</si>
  <si>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</si>
  <si>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</si>
  <si>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</si>
  <si>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</si>
  <si>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</si>
  <si>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</si>
  <si>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</si>
  <si>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</si>
  <si>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</si>
  <si>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</si>
  <si>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</si>
  <si>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</si>
  <si>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</si>
  <si>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</si>
  <si>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</si>
  <si>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</si>
  <si>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</si>
  <si>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</si>
  <si>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</si>
  <si>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</si>
  <si>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</si>
  <si>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</si>
  <si>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</si>
  <si>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</si>
  <si>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</si>
  <si>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</si>
  <si>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</si>
  <si>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</si>
  <si>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</si>
  <si>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</si>
  <si>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</si>
  <si>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</si>
  <si>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</si>
  <si>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</si>
  <si>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</si>
  <si>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</si>
  <si>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</si>
  <si>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</si>
  <si>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</si>
  <si>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</si>
  <si>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</si>
  <si>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</si>
  <si>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</si>
  <si>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</si>
  <si>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</si>
  <si>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</si>
  <si>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</si>
  <si>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</si>
  <si>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</si>
  <si>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</si>
  <si>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</si>
  <si>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</si>
  <si>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</si>
  <si>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</si>
  <si>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</si>
  <si>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</si>
  <si>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</si>
  <si>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</si>
  <si>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</si>
  <si>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</si>
  <si>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</si>
  <si>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</si>
  <si>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</si>
  <si>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</si>
  <si>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</si>
  <si>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</si>
  <si>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</si>
  <si>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</si>
  <si>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</si>
  <si>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</si>
  <si>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</si>
  <si>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</si>
  <si>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</si>
  <si>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</si>
  <si>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</si>
  <si>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</si>
  <si>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</si>
  <si>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</si>
  <si>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</si>
  <si>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</si>
  <si>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</si>
  <si>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</si>
  <si>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</si>
  <si>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</si>
  <si>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</si>
  <si>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</si>
  <si>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</si>
  <si>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</si>
  <si>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</si>
  <si>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</si>
  <si>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</si>
  <si>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</si>
  <si>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</si>
  <si>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</si>
  <si>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</si>
  <si>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</si>
  <si>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</si>
  <si>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</si>
  <si>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</si>
  <si>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</si>
  <si>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</si>
  <si>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</si>
  <si>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</si>
  <si>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</si>
  <si>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</si>
  <si>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</si>
  <si>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</si>
  <si>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</si>
  <si>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</si>
  <si>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</si>
  <si>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</si>
  <si>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</si>
  <si>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</si>
  <si>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</si>
  <si>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</si>
  <si>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</si>
  <si>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</si>
  <si>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</si>
  <si>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</si>
  <si>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</si>
  <si>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</si>
  <si>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</si>
  <si>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</si>
  <si>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</si>
  <si>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</si>
  <si>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</si>
  <si>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</si>
  <si>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</si>
  <si>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</si>
  <si>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</si>
  <si>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</si>
  <si>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</si>
  <si>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</si>
  <si>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</si>
  <si>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</si>
  <si>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</si>
  <si>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</si>
  <si>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</si>
  <si>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</si>
  <si>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</si>
  <si>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</si>
  <si>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</si>
  <si>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</si>
  <si>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</si>
  <si>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</si>
  <si>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</si>
  <si>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</si>
  <si>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</si>
  <si>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</si>
  <si>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</si>
  <si>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</si>
  <si>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</si>
  <si>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</si>
  <si>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</si>
  <si>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</si>
  <si>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</si>
  <si>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</si>
  <si>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</si>
  <si>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</si>
  <si>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</si>
  <si>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</si>
  <si>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</si>
  <si>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</si>
  <si>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</si>
  <si>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</si>
  <si>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</si>
  <si>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</si>
  <si>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</si>
  <si>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</si>
  <si>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</si>
  <si>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</si>
  <si>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</si>
  <si>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</si>
  <si>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</si>
  <si>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</si>
  <si>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</si>
  <si>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</si>
  <si>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</si>
  <si>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</si>
  <si>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</si>
  <si>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</si>
  <si>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</si>
  <si>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</si>
  <si>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</si>
  <si>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</si>
  <si>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</si>
  <si>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</si>
  <si>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</si>
  <si>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</si>
  <si>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</si>
  <si>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</si>
  <si>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</si>
  <si>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</si>
  <si>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</si>
  <si>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</si>
  <si>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</si>
  <si>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</si>
  <si>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</si>
  <si>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</si>
  <si>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</si>
  <si>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</si>
  <si>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</si>
  <si>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</si>
  <si>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</si>
  <si>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</si>
  <si>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</si>
  <si>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</si>
  <si>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</si>
  <si>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</si>
  <si>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</si>
  <si>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</si>
  <si>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</si>
  <si>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</si>
  <si>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</si>
  <si>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</si>
  <si>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</si>
  <si>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</si>
  <si>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</si>
  <si>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</si>
  <si>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</si>
  <si>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</si>
  <si>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</si>
  <si>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</si>
  <si>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</si>
  <si>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</si>
  <si>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</si>
  <si>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</si>
  <si>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</si>
  <si>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</si>
  <si>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</si>
  <si>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</si>
  <si>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</si>
  <si>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</si>
  <si>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</si>
  <si>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</si>
  <si>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</si>
  <si>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</si>
  <si>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</si>
  <si>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</si>
  <si>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</si>
  <si>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</si>
  <si>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</si>
  <si>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</si>
  <si>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</si>
  <si>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</si>
  <si>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</si>
  <si>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</si>
  <si>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</si>
  <si>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</si>
  <si>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</si>
  <si>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</si>
  <si>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</si>
  <si>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</si>
  <si>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</si>
  <si>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</si>
  <si>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</si>
  <si>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</si>
  <si>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</si>
  <si>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</si>
  <si>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</si>
  <si>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</si>
  <si>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</si>
  <si>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</si>
  <si>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</si>
  <si>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</si>
  <si>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</si>
  <si>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</si>
  <si>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</si>
  <si>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</si>
  <si>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</si>
  <si>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</si>
  <si>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</si>
  <si>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</si>
  <si>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</si>
  <si>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</si>
  <si>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</si>
  <si>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</si>
  <si>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</si>
  <si>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</si>
  <si>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</si>
  <si>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</si>
  <si>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</si>
  <si>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</si>
  <si>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</si>
  <si>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</si>
  <si>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</si>
  <si>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</si>
  <si>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</si>
  <si>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</si>
  <si>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</si>
  <si>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</si>
  <si>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</si>
  <si>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</si>
  <si>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</si>
  <si>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</si>
  <si>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</si>
  <si>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</si>
  <si>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</si>
  <si>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</si>
  <si>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</si>
  <si>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</si>
  <si>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</si>
  <si>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</si>
  <si>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</si>
  <si>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</si>
  <si>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</si>
  <si>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</si>
  <si>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</si>
  <si>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</si>
  <si>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</si>
  <si>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</si>
  <si>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</si>
  <si>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</si>
  <si>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</si>
  <si>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</si>
  <si>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</si>
  <si>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</si>
  <si>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</si>
  <si>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</si>
  <si>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</si>
  <si>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</si>
  <si>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</si>
  <si>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</si>
  <si>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</si>
  <si>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</si>
  <si>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</si>
  <si>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</si>
  <si>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</si>
  <si>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</si>
  <si>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</si>
  <si>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</si>
  <si>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</si>
  <si>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</si>
  <si>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</si>
  <si>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</si>
  <si>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</si>
  <si>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</si>
  <si>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</si>
  <si>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</si>
  <si>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</si>
  <si>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</si>
  <si>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</si>
  <si>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</si>
  <si>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</si>
  <si>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</si>
  <si>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</si>
  <si>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</si>
  <si>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</si>
  <si>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</si>
  <si>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</si>
  <si>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</si>
  <si>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</si>
  <si>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</si>
  <si>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</si>
  <si>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</si>
  <si>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</si>
  <si>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</si>
  <si>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</si>
  <si>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</si>
  <si>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</si>
  <si>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</si>
  <si>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</si>
  <si>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</si>
  <si>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</si>
  <si>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</si>
  <si>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</si>
  <si>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</si>
  <si>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</si>
  <si>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</si>
  <si>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</si>
  <si>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</si>
  <si>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</si>
  <si>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</si>
  <si>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</si>
  <si>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</si>
  <si>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</si>
  <si>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</si>
  <si>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</si>
  <si>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</si>
  <si>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</si>
  <si>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</si>
  <si>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</si>
  <si>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</si>
  <si>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</si>
  <si>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</si>
  <si>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</si>
  <si>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</si>
  <si>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</si>
  <si>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</si>
  <si>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</si>
  <si>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</si>
  <si>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</si>
  <si>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</si>
  <si>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</si>
  <si>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</si>
  <si>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</si>
  <si>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</si>
  <si>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</si>
  <si>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</si>
  <si>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</si>
  <si>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</si>
  <si>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</si>
  <si>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</si>
  <si>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</si>
  <si>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</si>
  <si>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</si>
  <si>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</si>
  <si>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</si>
  <si>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</si>
  <si>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</si>
  <si>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</si>
  <si>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</si>
  <si>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</si>
  <si>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</si>
  <si>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</si>
  <si>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</si>
  <si>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</si>
  <si>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</si>
  <si>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</si>
  <si>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</si>
  <si>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</si>
  <si>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</si>
  <si>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</si>
  <si>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</si>
  <si>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</si>
  <si>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</si>
  <si>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</si>
  <si>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</si>
  <si>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</si>
  <si>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</si>
  <si>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</si>
  <si>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</si>
  <si>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</si>
  <si>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</si>
  <si>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</si>
  <si>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</si>
  <si>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</si>
  <si>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</si>
  <si>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</si>
  <si>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</si>
  <si>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</si>
  <si>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</si>
  <si>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</si>
  <si>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</si>
  <si>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</si>
  <si>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</si>
  <si>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</si>
  <si>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</si>
  <si>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</si>
  <si>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</si>
  <si>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</si>
  <si>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</si>
  <si>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</si>
  <si>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</si>
  <si>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</si>
  <si>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</si>
  <si>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</si>
  <si>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</si>
  <si>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</si>
  <si>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</si>
  <si>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</si>
  <si>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</si>
  <si>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</si>
  <si>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</si>
  <si>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</si>
  <si>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</si>
  <si>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</si>
  <si>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</si>
  <si>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</si>
  <si>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</si>
  <si>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</si>
  <si>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</si>
  <si>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</si>
  <si>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</si>
  <si>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</si>
  <si>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</si>
  <si>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</si>
  <si>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</si>
  <si>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</si>
  <si>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</si>
  <si>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</si>
  <si>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</si>
  <si>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</si>
  <si>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</si>
  <si>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</si>
  <si>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</si>
  <si>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</si>
  <si>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</si>
  <si>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</si>
  <si>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</si>
  <si>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</si>
  <si>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</si>
  <si>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</si>
  <si>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</si>
  <si>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</si>
  <si>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</si>
  <si>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</si>
  <si>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</si>
  <si>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</si>
  <si>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</si>
  <si>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</si>
  <si>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</si>
  <si>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</si>
  <si>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</si>
  <si>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</si>
  <si>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</si>
  <si>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</si>
  <si>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</si>
  <si>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</si>
  <si>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</si>
  <si>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</si>
  <si>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</si>
  <si>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</si>
  <si>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</si>
  <si>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</si>
  <si>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</si>
  <si>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</si>
  <si>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</si>
  <si>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</si>
  <si>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</si>
  <si>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</si>
  <si>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</si>
  <si>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</si>
  <si>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</si>
  <si>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</si>
  <si>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</si>
  <si>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</si>
  <si>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</si>
  <si>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</si>
  <si>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</si>
  <si>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</si>
  <si>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</si>
  <si>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</si>
  <si>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</si>
  <si>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</si>
  <si>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</si>
  <si>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</si>
  <si>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</si>
  <si>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</si>
  <si>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</si>
  <si>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</si>
  <si>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</si>
  <si>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</si>
  <si>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</si>
  <si>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</si>
  <si>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</si>
  <si>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</si>
  <si>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</si>
  <si>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</si>
  <si>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</si>
  <si>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</si>
  <si>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</si>
  <si>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</si>
  <si>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</si>
  <si>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</si>
  <si>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</si>
  <si>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</si>
  <si>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</si>
  <si>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</si>
  <si>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</si>
  <si>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</si>
  <si>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</si>
  <si>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</si>
  <si>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</si>
  <si>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</si>
  <si>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</si>
  <si>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</si>
  <si>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</si>
  <si>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</si>
  <si>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</si>
  <si>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</si>
  <si>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</si>
  <si>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</si>
  <si>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</si>
  <si>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</si>
  <si>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</si>
  <si>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</si>
  <si>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</si>
  <si>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</si>
  <si>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</si>
  <si>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</si>
  <si>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</si>
  <si>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</si>
  <si>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</si>
  <si>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</si>
  <si>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</si>
  <si>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</si>
  <si>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</si>
  <si>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</si>
  <si>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</si>
  <si>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</si>
  <si>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</si>
  <si>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</si>
  <si>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</si>
  <si>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</si>
  <si>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</si>
  <si>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</si>
  <si>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</si>
  <si>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</si>
  <si>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</si>
  <si>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</si>
  <si>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</si>
  <si>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</si>
  <si>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</si>
  <si>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</si>
  <si>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</si>
  <si>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</si>
  <si>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</si>
  <si>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</si>
  <si>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</si>
  <si>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</si>
  <si>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</si>
  <si>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</si>
  <si>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</si>
  <si>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</si>
  <si>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</si>
  <si>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</si>
  <si>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</si>
  <si>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</si>
  <si>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</si>
  <si>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</si>
  <si>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</si>
  <si>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</si>
  <si>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</si>
  <si>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</si>
  <si>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</si>
  <si>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</si>
  <si>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</si>
  <si>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</si>
  <si>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</si>
  <si>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</si>
  <si>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</si>
  <si>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</si>
  <si>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</si>
  <si>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</si>
  <si>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</si>
  <si>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</si>
  <si>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</si>
  <si>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</si>
  <si>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</si>
  <si>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</si>
  <si>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</si>
  <si>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</si>
  <si>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</si>
  <si>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</si>
  <si>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</si>
  <si>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</si>
  <si>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</si>
  <si>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</si>
  <si>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</si>
  <si>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</si>
  <si>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</si>
  <si>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</si>
  <si>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</si>
  <si>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</si>
  <si>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</si>
  <si>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</si>
  <si>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</si>
  <si>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</si>
  <si>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</si>
  <si>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</si>
  <si>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</si>
  <si>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</si>
  <si>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</si>
  <si>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</si>
  <si>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</si>
  <si>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</si>
  <si>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</si>
  <si>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</si>
  <si>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</si>
  <si>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</si>
  <si>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</si>
  <si>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</si>
  <si>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</si>
  <si>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</si>
  <si>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</si>
  <si>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</si>
  <si>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</si>
  <si>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</si>
  <si>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</si>
  <si>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</si>
  <si>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</si>
  <si>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</si>
  <si>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</si>
  <si>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</si>
  <si>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</si>
  <si>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</si>
  <si>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</si>
  <si>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</si>
  <si>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</si>
  <si>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</si>
  <si>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</si>
  <si>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</si>
  <si>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</si>
  <si>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</si>
  <si>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</si>
  <si>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</si>
  <si>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</si>
  <si>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</si>
  <si>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</si>
  <si>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</si>
  <si>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</si>
  <si>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</si>
  <si>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</si>
  <si>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</si>
  <si>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</si>
  <si>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</si>
  <si>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</si>
  <si>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</si>
  <si>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</si>
  <si>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</si>
  <si>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</si>
  <si>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</si>
  <si>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</si>
  <si>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</si>
  <si>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</si>
  <si>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</si>
  <si>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</si>
  <si>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</si>
  <si>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</si>
  <si>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</si>
  <si>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</si>
  <si>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</si>
  <si>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</si>
  <si>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</si>
  <si>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</si>
  <si>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</si>
  <si>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</si>
  <si>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</si>
  <si>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</si>
  <si>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</si>
  <si>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</si>
  <si>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</si>
  <si>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</si>
  <si>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</si>
  <si>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</si>
  <si>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</si>
  <si>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</si>
  <si>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</si>
  <si>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</si>
  <si>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</si>
  <si>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</si>
  <si>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</si>
  <si>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</si>
  <si>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</si>
  <si>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</si>
  <si>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</si>
  <si>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</si>
  <si>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</si>
  <si>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</si>
  <si>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</si>
  <si>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</si>
  <si>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</si>
  <si>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</si>
  <si>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</si>
  <si>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</si>
  <si>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</si>
  <si>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</si>
  <si>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</si>
  <si>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</si>
  <si>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</si>
  <si>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</si>
  <si>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</si>
  <si>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</si>
  <si>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</si>
  <si>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</si>
  <si>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</si>
  <si>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</si>
  <si>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</si>
  <si>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</si>
  <si>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</si>
  <si>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</si>
  <si>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</si>
  <si>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</si>
  <si>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</si>
  <si>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</si>
  <si>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</si>
  <si>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</si>
  <si>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</si>
  <si>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</si>
  <si>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</si>
  <si>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</si>
  <si>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</si>
  <si>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</si>
  <si>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</si>
  <si>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</si>
  <si>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</si>
  <si>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</si>
  <si>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</si>
  <si>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</si>
  <si>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</si>
  <si>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</si>
  <si>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</si>
  <si>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</si>
  <si>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</si>
  <si>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</si>
  <si>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</si>
  <si>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</si>
  <si>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</si>
  <si>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</si>
  <si>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</si>
  <si>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</si>
  <si>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</si>
  <si>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</si>
  <si>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</si>
  <si>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</si>
  <si>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</si>
  <si>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</si>
  <si>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</si>
  <si>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</si>
  <si>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</si>
  <si>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</si>
  <si>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</si>
  <si>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</si>
  <si>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</si>
  <si>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</si>
  <si>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</si>
  <si>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</si>
  <si>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</si>
  <si>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</si>
  <si>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</si>
  <si>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</si>
  <si>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</si>
  <si>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</si>
  <si>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</si>
  <si>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</si>
  <si>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</si>
  <si>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</si>
  <si>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</si>
  <si>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</si>
  <si>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</si>
  <si>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</si>
  <si>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</si>
  <si>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</si>
  <si>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</si>
  <si>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</si>
  <si>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</si>
  <si>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</si>
  <si>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</si>
  <si>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</si>
  <si>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</si>
  <si>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</si>
  <si>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</si>
  <si>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</si>
  <si>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</si>
  <si>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</si>
  <si>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</si>
  <si>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</si>
  <si>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</si>
  <si>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</si>
  <si>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</si>
  <si>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</si>
  <si>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</si>
  <si>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</si>
  <si>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</si>
  <si>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</si>
  <si>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</si>
  <si>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</si>
  <si>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</si>
  <si>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</si>
  <si>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</si>
  <si>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</si>
  <si>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</si>
  <si>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</si>
  <si>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</si>
  <si>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</si>
  <si>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</si>
  <si>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</si>
  <si>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</si>
  <si>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</si>
  <si>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</si>
  <si>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</si>
  <si>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</si>
  <si>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</si>
  <si>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</si>
  <si>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</si>
  <si>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</si>
  <si>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</si>
  <si>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</si>
  <si>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</si>
  <si>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</si>
  <si>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</si>
  <si>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</si>
  <si>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</si>
  <si>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</si>
  <si>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</si>
  <si>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</si>
  <si>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</si>
  <si>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</si>
  <si>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</si>
  <si>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</si>
  <si>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</si>
  <si>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</si>
  <si>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</si>
  <si>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</si>
  <si>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</si>
  <si>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</si>
  <si>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</si>
  <si>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</si>
  <si>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</si>
  <si>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</si>
  <si>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</si>
  <si>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</si>
  <si>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</si>
  <si>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</si>
  <si>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</si>
  <si>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</si>
  <si>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</si>
  <si>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</si>
  <si>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</si>
  <si>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</si>
  <si>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</si>
  <si>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</si>
  <si>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</si>
  <si>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</si>
  <si>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</si>
  <si>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</si>
  <si>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</si>
  <si>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</si>
  <si>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</si>
  <si>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</si>
  <si>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</si>
  <si>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</si>
  <si>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</si>
  <si>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</si>
  <si>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</si>
  <si>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</si>
  <si>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</si>
  <si>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</si>
  <si>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</si>
  <si>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</si>
  <si>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</si>
  <si>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</si>
  <si>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</si>
  <si>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</si>
  <si>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</si>
  <si>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</si>
  <si>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</si>
  <si>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</si>
  <si>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</si>
  <si>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</si>
  <si>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</si>
  <si>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</si>
  <si>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</si>
  <si>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</si>
  <si>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</si>
  <si>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</si>
  <si>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</si>
  <si>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</si>
  <si>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</si>
  <si>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</si>
  <si>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</si>
  <si>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</si>
  <si>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</si>
  <si>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</si>
  <si>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</si>
  <si>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</si>
  <si>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</si>
  <si>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</si>
  <si>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</si>
  <si>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</si>
  <si>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</si>
  <si>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</si>
  <si>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</si>
  <si>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</si>
  <si>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</si>
  <si>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</si>
  <si>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</si>
  <si>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</si>
  <si>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</si>
  <si>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</si>
  <si>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</si>
  <si>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</si>
  <si>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</si>
  <si>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</si>
  <si>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</si>
  <si>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</si>
  <si>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</si>
  <si>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</si>
  <si>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</si>
  <si>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</si>
  <si>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</si>
  <si>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</si>
  <si>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</si>
  <si>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</si>
  <si>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</si>
  <si>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</si>
  <si>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</si>
  <si>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</si>
  <si>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</si>
  <si>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</si>
  <si>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</si>
  <si>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</si>
  <si>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</si>
  <si>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</si>
  <si>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</si>
  <si>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</si>
  <si>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</si>
  <si>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</si>
  <si>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</si>
  <si>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</si>
  <si>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</si>
  <si>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</si>
  <si>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</si>
  <si>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</si>
  <si>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</si>
  <si>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</si>
  <si>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</si>
  <si>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</si>
  <si>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</si>
  <si>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</si>
  <si>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</si>
  <si>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</si>
  <si>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</si>
  <si>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</si>
  <si>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</si>
  <si>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</si>
  <si>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</si>
  <si>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</si>
  <si>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</si>
  <si>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</si>
  <si>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</si>
  <si>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</si>
  <si>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</si>
  <si>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</si>
  <si>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</si>
  <si>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</si>
  <si>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</si>
  <si>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</si>
  <si>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</si>
  <si>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</si>
  <si>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</si>
  <si>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</si>
  <si>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</si>
  <si>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</si>
  <si>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</si>
  <si>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</si>
  <si>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</si>
  <si>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</si>
  <si>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</si>
  <si>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</si>
  <si>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</si>
  <si>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</si>
  <si>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</si>
  <si>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</si>
  <si>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</si>
  <si>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</si>
  <si>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</si>
  <si>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</si>
  <si>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</si>
  <si>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</si>
  <si>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</si>
  <si>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</si>
  <si>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</si>
  <si>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</si>
  <si>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</si>
  <si>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</si>
  <si>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</si>
  <si>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</si>
  <si>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</si>
  <si>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</si>
  <si>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</si>
  <si>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</si>
  <si>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</si>
  <si>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</si>
  <si>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</si>
  <si>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</si>
  <si>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</si>
  <si>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</si>
  <si>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</si>
  <si>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</si>
  <si>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</si>
  <si>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</si>
  <si>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</si>
  <si>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</si>
  <si>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</si>
  <si>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</si>
  <si>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</si>
  <si>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</si>
  <si>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</si>
  <si>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</si>
  <si>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</si>
  <si>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</si>
  <si>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</si>
  <si>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</si>
  <si>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</si>
  <si>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</si>
  <si>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</si>
  <si>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</si>
  <si>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</si>
  <si>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</si>
  <si>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</si>
  <si>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</si>
  <si>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</si>
  <si>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</si>
  <si>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</si>
  <si>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</si>
  <si>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</si>
  <si>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</si>
  <si>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</si>
  <si>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</si>
  <si>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</si>
  <si>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</si>
  <si>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</si>
  <si>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</si>
  <si>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</si>
  <si>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</si>
  <si>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</si>
  <si>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</si>
  <si>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</si>
  <si>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</si>
  <si>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</si>
  <si>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</si>
  <si>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</si>
  <si>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</si>
  <si>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</si>
  <si>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</si>
  <si>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</si>
  <si>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</si>
  <si>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</si>
  <si>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</si>
  <si>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</si>
  <si>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</si>
  <si>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</si>
  <si>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</si>
  <si>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</si>
  <si>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</si>
  <si>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</si>
  <si>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</si>
  <si>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</si>
  <si>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</si>
  <si>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</si>
  <si>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</si>
  <si>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</si>
  <si>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</si>
  <si>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</si>
  <si>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</si>
  <si>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</si>
  <si>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</si>
  <si>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</si>
  <si>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</si>
  <si>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</si>
  <si>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</si>
  <si>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</si>
  <si>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</si>
  <si>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</si>
  <si>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</si>
  <si>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</si>
  <si>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</si>
  <si>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</si>
  <si>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</si>
  <si>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</si>
  <si>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</si>
  <si>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</si>
  <si>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</si>
  <si>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</si>
  <si>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</si>
  <si>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</si>
  <si>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</si>
  <si>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</si>
  <si>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</si>
  <si>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</si>
  <si>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</si>
  <si>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</si>
  <si>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</si>
  <si>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</si>
  <si>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</si>
  <si>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</si>
  <si>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</si>
  <si>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</si>
  <si>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</si>
  <si>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</si>
  <si>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</si>
  <si>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</si>
  <si>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</si>
  <si>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</si>
  <si>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</si>
  <si>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</si>
  <si>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</si>
  <si>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</si>
  <si>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</si>
  <si>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</si>
  <si>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</si>
  <si>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</si>
  <si>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</si>
  <si>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</si>
  <si>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</si>
  <si>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</si>
  <si>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</si>
  <si>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</si>
  <si>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</si>
  <si>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</si>
  <si>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</si>
  <si>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</si>
  <si>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</si>
  <si>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</si>
  <si>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</si>
  <si>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</si>
  <si>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</si>
  <si>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</si>
  <si>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</si>
  <si>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</si>
  <si>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</si>
  <si>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</si>
  <si>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</si>
  <si>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</si>
  <si>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</si>
  <si>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</si>
  <si>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</si>
  <si>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</si>
  <si>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</si>
  <si>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</si>
  <si>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</si>
  <si>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</si>
  <si>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</si>
  <si>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</si>
  <si>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</si>
  <si>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</si>
  <si>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</si>
  <si>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</si>
  <si>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</si>
  <si>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</si>
  <si>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</si>
  <si>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</si>
  <si>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</si>
  <si>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</si>
  <si>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</si>
  <si>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</si>
  <si>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</si>
  <si>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</si>
  <si>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</si>
  <si>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</si>
  <si>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</si>
  <si>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</si>
  <si>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</si>
  <si>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</si>
  <si>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</si>
  <si>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</si>
  <si>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</si>
  <si>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</si>
  <si>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</si>
  <si>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</si>
  <si>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</si>
  <si>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</si>
  <si>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</si>
  <si>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</si>
  <si>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</si>
  <si>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</si>
  <si>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</si>
  <si>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</si>
  <si>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</si>
  <si>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</si>
  <si>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</si>
  <si>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</si>
  <si>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</si>
  <si>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</si>
  <si>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</si>
  <si>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</si>
  <si>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</si>
  <si>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</si>
  <si>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</si>
  <si>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</si>
  <si>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</si>
  <si>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</si>
  <si>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</si>
  <si>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</si>
  <si>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</si>
  <si>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</si>
  <si>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</si>
  <si>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</si>
  <si>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</si>
  <si>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</si>
  <si>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</si>
  <si>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</si>
  <si>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</si>
  <si>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</si>
  <si>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</si>
  <si>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</si>
  <si>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</si>
  <si>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</si>
  <si>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</si>
  <si>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</si>
  <si>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</si>
  <si>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</si>
  <si>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</si>
  <si>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</si>
  <si>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</si>
  <si>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</si>
  <si>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</si>
  <si>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</si>
  <si>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</si>
  <si>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</si>
  <si>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</si>
  <si>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</si>
  <si>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</si>
  <si>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</si>
  <si>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</si>
  <si>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</si>
  <si>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</si>
  <si>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</si>
  <si>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</si>
  <si>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</si>
  <si>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</si>
  <si>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</si>
  <si>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</si>
  <si>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</si>
  <si>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</si>
  <si>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</si>
  <si>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</si>
  <si>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</si>
  <si>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</si>
  <si>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</si>
  <si>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</si>
  <si>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</si>
  <si>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</si>
  <si>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</si>
  <si>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</si>
  <si>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</si>
  <si>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</si>
  <si>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</si>
  <si>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</si>
  <si>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</si>
  <si>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</si>
  <si>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</si>
  <si>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</si>
  <si>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</si>
  <si>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</si>
  <si>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</si>
  <si>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</si>
  <si>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</si>
  <si>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</si>
  <si>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</si>
  <si>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</si>
  <si>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</si>
  <si>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</si>
  <si>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</si>
  <si>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</si>
  <si>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</si>
  <si>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</si>
  <si>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</si>
  <si>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</si>
  <si>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</si>
  <si>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</si>
  <si>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</si>
  <si>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</si>
  <si>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</si>
  <si>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</si>
  <si>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</si>
  <si>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</si>
  <si>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</si>
  <si>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</si>
  <si>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</si>
  <si>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</si>
  <si>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</si>
  <si>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</si>
  <si>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</si>
  <si>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</si>
  <si>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</si>
  <si>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</si>
  <si>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</si>
  <si>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</si>
  <si>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</si>
  <si>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</si>
  <si>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</si>
  <si>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</si>
  <si>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</si>
  <si>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</si>
  <si>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</si>
  <si>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</si>
  <si>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</si>
  <si>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</si>
  <si>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</si>
  <si>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</si>
  <si>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</si>
  <si>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</si>
  <si>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</si>
  <si>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</si>
  <si>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</si>
  <si>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</si>
  <si>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</si>
  <si>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</si>
  <si>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</si>
  <si>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</si>
  <si>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</si>
  <si>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</si>
  <si>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</si>
  <si>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</si>
  <si>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</si>
  <si>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</si>
  <si>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</si>
  <si>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</si>
  <si>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</si>
  <si>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</si>
  <si>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</si>
  <si>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</si>
  <si>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</si>
  <si>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</si>
  <si>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</si>
  <si>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</si>
  <si>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</si>
  <si>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</si>
  <si>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</si>
  <si>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</si>
  <si>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</si>
  <si>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</si>
  <si>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</si>
  <si>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</si>
  <si>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</si>
  <si>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</si>
  <si>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</si>
  <si>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</si>
  <si>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</si>
  <si>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</si>
  <si>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</si>
  <si>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</si>
  <si>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</si>
  <si>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</si>
  <si>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</si>
  <si>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</si>
  <si>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</si>
  <si>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</si>
  <si>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</si>
  <si>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</si>
  <si>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</si>
  <si>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</si>
  <si>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</si>
  <si>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</si>
  <si>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</si>
  <si>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</si>
  <si>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</si>
  <si>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</si>
  <si>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</si>
  <si>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</si>
  <si>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</si>
  <si>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</si>
  <si>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</si>
  <si>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</si>
  <si>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</si>
  <si>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</si>
  <si>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</si>
  <si>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</si>
  <si>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</si>
  <si>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</si>
  <si>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</si>
  <si>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</si>
  <si>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</si>
  <si>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</si>
  <si>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</si>
  <si>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</si>
  <si>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</si>
  <si>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</si>
  <si>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</si>
  <si>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</si>
  <si>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</si>
  <si>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</si>
  <si>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</si>
  <si>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</si>
  <si>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</si>
  <si>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</si>
  <si>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</si>
  <si>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</si>
  <si>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</si>
  <si>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</si>
  <si>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</si>
  <si>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</si>
  <si>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</si>
  <si>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</si>
  <si>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</si>
  <si>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</si>
  <si>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</si>
  <si>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</si>
  <si>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</si>
  <si>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</si>
  <si>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</si>
  <si>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</si>
  <si>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</si>
  <si>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</si>
  <si>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</si>
  <si>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</si>
  <si>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</si>
  <si>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</si>
  <si>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</si>
  <si>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</si>
  <si>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</si>
  <si>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</si>
  <si>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</si>
  <si>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</si>
  <si>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</si>
  <si>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</si>
  <si>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</si>
  <si>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</si>
  <si>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</si>
  <si>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</si>
  <si>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</si>
  <si>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</si>
  <si>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</si>
  <si>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</si>
  <si>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</si>
  <si>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</si>
  <si>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</si>
  <si>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</si>
  <si>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</si>
  <si>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</si>
  <si>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</si>
  <si>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</si>
  <si>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</si>
  <si>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</si>
  <si>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</si>
  <si>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</si>
  <si>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</si>
  <si>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</si>
  <si>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</si>
  <si>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</si>
  <si>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</si>
  <si>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</si>
  <si>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</si>
  <si>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</si>
  <si>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</si>
  <si>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</si>
  <si>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</si>
  <si>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</si>
  <si>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</si>
  <si>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</si>
  <si>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</si>
  <si>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</si>
  <si>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</si>
  <si>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</si>
  <si>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</si>
  <si>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</si>
  <si>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</si>
  <si>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</si>
  <si>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</si>
  <si>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</si>
  <si>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</si>
  <si>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</si>
  <si>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</si>
  <si>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</si>
  <si>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</si>
  <si>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</si>
  <si>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</si>
  <si>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</si>
  <si>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</si>
  <si>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</si>
  <si>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</si>
  <si>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</si>
  <si>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</si>
  <si>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</si>
  <si>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</si>
  <si>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</si>
  <si>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</si>
  <si>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</si>
  <si>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</si>
  <si>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</si>
  <si>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</si>
  <si>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</si>
  <si>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</si>
  <si>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</si>
  <si>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</si>
  <si>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</si>
  <si>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</si>
  <si>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</si>
  <si>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</si>
  <si>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</si>
  <si>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</si>
  <si>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</si>
  <si>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</si>
  <si>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</si>
  <si>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</si>
  <si>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</si>
  <si>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</si>
  <si>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</si>
  <si>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</si>
  <si>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</si>
  <si>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</si>
  <si>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</si>
  <si>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</si>
  <si>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</si>
  <si>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</si>
  <si>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</si>
  <si>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</si>
  <si>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</si>
  <si>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</si>
  <si>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</si>
  <si>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</si>
  <si>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</si>
  <si>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</si>
  <si>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</si>
  <si>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</si>
  <si>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</si>
  <si>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</si>
  <si>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</si>
  <si>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</si>
  <si>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</si>
  <si>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</si>
  <si>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</si>
  <si>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</si>
  <si>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</si>
  <si>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</si>
  <si>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</si>
  <si>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</si>
  <si>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</si>
  <si>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</si>
  <si>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</si>
  <si>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</si>
  <si>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</si>
  <si>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</si>
  <si>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</si>
  <si>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</si>
  <si>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</si>
  <si>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</si>
  <si>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</si>
  <si>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</si>
  <si>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</si>
  <si>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</si>
  <si>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</si>
  <si>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</si>
  <si>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</si>
  <si>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</si>
  <si>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</si>
  <si>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</si>
  <si>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</si>
  <si>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</si>
  <si>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</si>
  <si>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</si>
  <si>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</si>
  <si>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</si>
  <si>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</si>
  <si>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</si>
  <si>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</si>
  <si>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</si>
  <si>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</si>
  <si>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</si>
  <si>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</si>
  <si>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</si>
  <si>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</si>
  <si>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</si>
  <si>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</si>
  <si>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</si>
  <si>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</si>
  <si>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</si>
  <si>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</si>
  <si>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</si>
  <si>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</si>
  <si>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</si>
  <si>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</si>
  <si>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</si>
  <si>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</si>
  <si>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</si>
  <si>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</si>
  <si>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</si>
  <si>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</si>
  <si>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</si>
  <si>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</si>
  <si>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</si>
  <si>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</si>
  <si>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</si>
  <si>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</si>
  <si>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</si>
  <si>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</si>
  <si>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</si>
  <si>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</si>
  <si>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</si>
  <si>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</si>
  <si>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</si>
  <si>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</si>
  <si>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</si>
  <si>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</si>
  <si>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</si>
  <si>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</si>
  <si>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</si>
  <si>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</si>
  <si>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</si>
  <si>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</si>
  <si>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</si>
  <si>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</si>
  <si>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</si>
  <si>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</si>
  <si>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</si>
  <si>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</si>
  <si>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</si>
  <si>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</si>
  <si>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</si>
  <si>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</si>
  <si>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</si>
  <si>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</si>
  <si>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</si>
  <si>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</si>
  <si>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</si>
  <si>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</si>
  <si>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</si>
  <si>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</si>
  <si>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</si>
  <si>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</si>
  <si>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</si>
  <si>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</si>
  <si>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</si>
  <si>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</si>
  <si>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</si>
  <si>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</si>
  <si>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</si>
  <si>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</si>
  <si>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</si>
  <si>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</si>
  <si>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</si>
  <si>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</si>
  <si>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</si>
  <si>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</si>
  <si>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</si>
  <si>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</si>
  <si>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</si>
  <si>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</si>
  <si>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</si>
  <si>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</si>
  <si>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</si>
  <si>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</si>
  <si>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</si>
  <si>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</si>
  <si>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</si>
  <si>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</si>
  <si>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</si>
  <si>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</si>
  <si>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</si>
  <si>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</si>
  <si>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</si>
  <si>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</si>
  <si>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</si>
  <si>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</si>
  <si>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</si>
  <si>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</si>
  <si>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</si>
  <si>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</si>
  <si>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</si>
  <si>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</si>
  <si>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</si>
  <si>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</si>
  <si>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</si>
  <si>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</si>
  <si>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</si>
  <si>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</si>
  <si>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</si>
  <si>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</si>
  <si>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</si>
  <si>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</si>
  <si>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</si>
  <si>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</si>
  <si>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</si>
  <si>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</si>
  <si>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</si>
  <si>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</si>
  <si>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</si>
  <si>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</si>
  <si>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</si>
  <si>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</si>
  <si>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</si>
  <si>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</si>
  <si>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</si>
  <si>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</si>
  <si>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</si>
  <si>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</si>
  <si>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</si>
  <si>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</si>
  <si>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</si>
  <si>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</si>
  <si>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</si>
  <si>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</si>
  <si>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</si>
  <si>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</si>
  <si>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</si>
  <si>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</si>
  <si>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</si>
  <si>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</si>
  <si>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</si>
  <si>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</si>
  <si>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</si>
  <si>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</si>
  <si>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</si>
  <si>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</si>
  <si>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</si>
  <si>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</si>
  <si>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</si>
  <si>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</si>
  <si>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</si>
  <si>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</si>
  <si>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</si>
  <si>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</si>
  <si>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</si>
  <si>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</si>
  <si>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</si>
  <si>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</si>
  <si>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</si>
  <si>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</si>
  <si>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</si>
  <si>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</si>
  <si>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</si>
  <si>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</si>
  <si>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</si>
  <si>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</si>
  <si>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</si>
  <si>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</si>
  <si>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</si>
  <si>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</si>
  <si>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</si>
  <si>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</si>
  <si>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</si>
  <si>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</si>
  <si>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</si>
  <si>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</si>
  <si>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</si>
  <si>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</si>
  <si>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</si>
  <si>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</si>
  <si>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</si>
  <si>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</si>
  <si>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</si>
  <si>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</si>
  <si>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</si>
  <si>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</si>
  <si>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</si>
  <si>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</si>
  <si>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</si>
  <si>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</si>
  <si>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</si>
  <si>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</si>
  <si>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</si>
  <si>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</si>
  <si>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</si>
  <si>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</si>
  <si>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</si>
  <si>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</si>
  <si>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</si>
  <si>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</si>
  <si>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</si>
  <si>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</si>
  <si>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</si>
  <si>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</si>
  <si>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</si>
  <si>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</si>
  <si>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</si>
  <si>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</si>
  <si>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</si>
  <si>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</si>
  <si>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</si>
  <si>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</si>
  <si>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</si>
  <si>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</si>
  <si>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</si>
  <si>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</si>
  <si>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</si>
  <si>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</si>
  <si>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</si>
  <si>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</si>
  <si>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</si>
  <si>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</si>
  <si>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</si>
  <si>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</si>
  <si>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</si>
  <si>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</si>
  <si>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</si>
  <si>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</si>
  <si>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</si>
  <si>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</si>
  <si>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</si>
  <si>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</si>
  <si>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</si>
  <si>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</si>
  <si>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</si>
  <si>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</si>
  <si>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</si>
  <si>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</si>
  <si>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</si>
  <si>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</si>
  <si>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</si>
  <si>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</si>
  <si>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</si>
  <si>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</si>
  <si>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</si>
  <si>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</si>
  <si>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</si>
  <si>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</si>
  <si>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</si>
  <si>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</si>
  <si>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</si>
  <si>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</si>
  <si>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</si>
  <si>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</si>
  <si>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</si>
  <si>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</si>
  <si>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</si>
  <si>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</si>
  <si>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</si>
  <si>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</si>
  <si>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</si>
  <si>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</si>
  <si>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</si>
  <si>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</si>
  <si>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</si>
  <si>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</si>
  <si>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</si>
  <si>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</si>
  <si>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</si>
  <si>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</si>
  <si>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</si>
  <si>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</si>
  <si>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</si>
  <si>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</si>
  <si>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</si>
  <si>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</si>
  <si>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</si>
  <si>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</si>
  <si>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</si>
  <si>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</si>
  <si>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</si>
  <si>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</si>
  <si>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</si>
  <si>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</si>
  <si>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</si>
  <si>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</si>
  <si>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</si>
  <si>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</si>
  <si>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</si>
  <si>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</si>
  <si>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</si>
  <si>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</si>
  <si>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</si>
  <si>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</si>
  <si>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</si>
  <si>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</si>
  <si>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</si>
  <si>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</si>
  <si>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</si>
  <si>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</si>
  <si>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</si>
  <si>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</si>
  <si>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</si>
  <si>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</si>
  <si>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</si>
  <si>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</si>
  <si>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</si>
  <si>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</si>
  <si>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</si>
  <si>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</si>
  <si>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</si>
  <si>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</si>
  <si>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</si>
  <si>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</si>
  <si>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</si>
  <si>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</si>
  <si>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</si>
  <si>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</si>
  <si>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</si>
  <si>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</si>
  <si>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</si>
  <si>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</si>
  <si>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</si>
  <si>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</si>
  <si>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</si>
  <si>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</si>
  <si>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</si>
  <si>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</si>
  <si>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</si>
  <si>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</si>
  <si>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</si>
  <si>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</si>
  <si>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</si>
  <si>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</si>
  <si>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</si>
  <si>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</si>
  <si>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</si>
  <si>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</si>
  <si>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</si>
  <si>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</si>
  <si>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</si>
  <si>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</si>
  <si>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</si>
  <si>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</si>
  <si>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</si>
  <si>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</si>
  <si>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</si>
  <si>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</si>
  <si>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</si>
  <si>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</si>
  <si>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</si>
  <si>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</si>
  <si>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</si>
  <si>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</si>
  <si>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</si>
  <si>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</si>
  <si>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</si>
  <si>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</si>
  <si>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</si>
  <si>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</si>
  <si>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</si>
  <si>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</si>
  <si>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</si>
  <si>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</si>
  <si>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</si>
  <si>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</si>
  <si>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</si>
  <si>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</si>
  <si>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</si>
  <si>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</si>
  <si>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</si>
  <si>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</si>
  <si>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</si>
  <si>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</si>
  <si>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</si>
  <si>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</si>
  <si>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</si>
  <si>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</si>
  <si>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</si>
  <si>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</si>
  <si>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</si>
  <si>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</si>
  <si>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</si>
  <si>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</si>
  <si>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</si>
  <si>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</si>
  <si>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</si>
  <si>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</si>
  <si>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</si>
  <si>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</si>
  <si>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</si>
  <si>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</si>
  <si>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</si>
  <si>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</si>
  <si>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</si>
  <si>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</si>
  <si>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</si>
  <si>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</si>
  <si>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</si>
  <si>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</si>
  <si>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</si>
  <si>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</si>
  <si>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</si>
  <si>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</si>
  <si>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</si>
  <si>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</si>
  <si>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</si>
  <si>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</si>
  <si>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</si>
  <si>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</si>
  <si>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</si>
  <si>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</si>
  <si>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</si>
  <si>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</si>
  <si>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</si>
  <si>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</si>
  <si>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</si>
  <si>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</si>
  <si>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</si>
  <si>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</si>
  <si>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</si>
  <si>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</si>
  <si>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</si>
  <si>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</si>
  <si>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</si>
  <si>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</si>
  <si>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</si>
  <si>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</si>
  <si>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</si>
  <si>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</si>
  <si>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</si>
  <si>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</si>
  <si>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</si>
  <si>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</si>
  <si>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</si>
  <si>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</si>
  <si>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</si>
  <si>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</si>
  <si>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</si>
  <si>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</si>
  <si>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</si>
  <si>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</si>
  <si>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</si>
  <si>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</si>
  <si>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</si>
  <si>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</si>
  <si>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</si>
  <si>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</si>
  <si>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</si>
  <si>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</si>
  <si>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</si>
  <si>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</si>
  <si>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</si>
  <si>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</si>
  <si>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</si>
  <si>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</si>
  <si>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</si>
  <si>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</si>
  <si>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</si>
  <si>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</si>
  <si>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</si>
  <si>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</si>
  <si>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</si>
  <si>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</si>
  <si>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</si>
  <si>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</si>
  <si>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</si>
  <si>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</si>
  <si>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</si>
  <si>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</si>
  <si>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</si>
  <si>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</si>
  <si>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</si>
  <si>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</si>
  <si>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</si>
  <si>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</si>
  <si>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</si>
  <si>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</si>
  <si>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</si>
  <si>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</si>
  <si>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</si>
  <si>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</si>
  <si>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</si>
  <si>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</si>
  <si>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</si>
  <si>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</si>
  <si>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</si>
  <si>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</si>
  <si>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</si>
  <si>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</si>
  <si>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</si>
  <si>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</si>
  <si>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</si>
  <si>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</si>
  <si>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</si>
  <si>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</si>
  <si>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</si>
  <si>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</si>
  <si>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</si>
  <si>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</si>
  <si>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</si>
  <si>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</si>
  <si>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</si>
  <si>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</si>
  <si>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</si>
  <si>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</si>
  <si>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</si>
  <si>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</si>
  <si>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</si>
  <si>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</si>
  <si>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</si>
  <si>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</si>
  <si>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</si>
  <si>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</si>
  <si>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</si>
  <si>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</si>
  <si>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</si>
  <si>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</si>
  <si>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</si>
  <si>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</si>
  <si>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</si>
  <si>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</si>
  <si>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</si>
  <si>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</si>
  <si>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</si>
  <si>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</si>
  <si>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</si>
  <si>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</si>
  <si>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</si>
  <si>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</si>
  <si>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</si>
  <si>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</si>
  <si>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</si>
  <si>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</si>
  <si>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</si>
  <si>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</si>
  <si>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</si>
  <si>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</si>
  <si>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</si>
  <si>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</si>
  <si>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</si>
  <si>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</si>
  <si>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</si>
  <si>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</si>
  <si>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</si>
  <si>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</si>
  <si>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</si>
  <si>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</si>
  <si>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</si>
  <si>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</si>
  <si>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</si>
  <si>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</si>
  <si>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</si>
  <si>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</si>
  <si>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</si>
  <si>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</si>
  <si>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</si>
  <si>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</si>
  <si>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</si>
  <si>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</si>
  <si>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</si>
  <si>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</si>
  <si>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</si>
  <si>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</si>
  <si>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</si>
  <si>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</si>
  <si>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</si>
  <si>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</si>
  <si>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</si>
  <si>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</si>
  <si>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</si>
  <si>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</si>
  <si>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</si>
  <si>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</si>
  <si>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</si>
  <si>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</si>
  <si>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</si>
  <si>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</si>
  <si>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</si>
  <si>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</si>
  <si>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</si>
  <si>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</si>
  <si>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</si>
  <si>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</si>
  <si>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</si>
  <si>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</si>
  <si>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</si>
  <si>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</si>
  <si>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</si>
  <si>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</si>
  <si>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</si>
  <si>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</si>
  <si>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</si>
  <si>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</si>
  <si>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</si>
  <si>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</si>
  <si>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</si>
  <si>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</si>
  <si>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</si>
  <si>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</si>
  <si>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</si>
  <si>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</si>
  <si>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</si>
  <si>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</si>
  <si>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</si>
  <si>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</si>
  <si>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</si>
  <si>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</si>
  <si>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</si>
  <si>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</si>
  <si>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</si>
  <si>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</si>
  <si>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</si>
  <si>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</si>
  <si>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</si>
  <si>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</si>
  <si>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</si>
  <si>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</si>
  <si>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</si>
  <si>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</si>
  <si>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</si>
  <si>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</si>
  <si>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</si>
  <si>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</si>
  <si>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</si>
  <si>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</si>
  <si>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</si>
  <si>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</si>
  <si>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</si>
  <si>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</si>
  <si>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</si>
  <si>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</si>
  <si>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</si>
  <si>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</si>
  <si>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</si>
  <si>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</si>
  <si>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</si>
  <si>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</si>
  <si>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</si>
  <si>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</si>
  <si>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</si>
  <si>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</si>
  <si>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</si>
  <si>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</si>
  <si>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</si>
  <si>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</si>
  <si>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</si>
  <si>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</si>
  <si>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</si>
  <si>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</si>
  <si>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</si>
  <si>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</si>
  <si>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</si>
  <si>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</si>
  <si>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</si>
  <si>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</si>
  <si>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</si>
  <si>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</si>
  <si>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</si>
  <si>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</si>
  <si>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</si>
  <si>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</si>
  <si>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</si>
  <si>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</si>
  <si>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</si>
  <si>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</si>
  <si>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</si>
  <si>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</si>
  <si>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</si>
  <si>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</si>
  <si>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</si>
  <si>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</si>
  <si>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</si>
  <si>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</si>
  <si>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</si>
  <si>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</si>
  <si>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</si>
  <si>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</si>
  <si>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</si>
  <si>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</si>
  <si>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</si>
  <si>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</si>
  <si>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</si>
  <si>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</si>
  <si>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</si>
  <si>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</si>
  <si>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</si>
  <si>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</si>
  <si>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</si>
  <si>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</si>
  <si>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</si>
  <si>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</si>
  <si>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</si>
  <si>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</si>
  <si>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</si>
  <si>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</si>
  <si>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</si>
  <si>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</si>
  <si>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</si>
  <si>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</si>
  <si>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</si>
  <si>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</si>
  <si>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</si>
  <si>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</si>
  <si>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</si>
  <si>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</si>
  <si>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</si>
  <si>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</si>
  <si>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</si>
  <si>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</si>
  <si>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</si>
  <si>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</si>
  <si>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</si>
  <si>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</si>
  <si>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</si>
  <si>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</si>
  <si>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</si>
  <si>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</si>
  <si>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</si>
  <si>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</si>
  <si>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</si>
  <si>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</si>
  <si>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</si>
  <si>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</si>
  <si>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</si>
  <si>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</si>
  <si>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</si>
  <si>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</si>
  <si>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</si>
  <si>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</si>
  <si>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</si>
  <si>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</si>
  <si>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</si>
  <si>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</si>
  <si>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</si>
  <si>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</si>
  <si>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</si>
  <si>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</si>
  <si>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</si>
  <si>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</si>
  <si>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</si>
  <si>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</si>
  <si>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</si>
  <si>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</si>
  <si>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</si>
  <si>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</si>
  <si>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</si>
  <si>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</si>
  <si>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</si>
  <si>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</si>
  <si>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</si>
  <si>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</si>
  <si>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</si>
  <si>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</si>
  <si>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</si>
  <si>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</si>
  <si>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</si>
  <si>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</si>
  <si>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</si>
  <si>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</si>
  <si>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</si>
  <si>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</si>
  <si>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</si>
  <si>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</si>
  <si>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</si>
  <si>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</si>
  <si>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</si>
  <si>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</si>
  <si>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</si>
  <si>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</si>
  <si>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</si>
  <si>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</si>
  <si>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</si>
  <si>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</si>
  <si>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</si>
  <si>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</si>
  <si>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</si>
  <si>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</si>
  <si>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</si>
  <si>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</si>
  <si>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</si>
  <si>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</si>
  <si>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</si>
  <si>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</si>
  <si>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</si>
  <si>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</si>
  <si>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</si>
  <si>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</si>
  <si>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</si>
  <si>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</si>
  <si>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</si>
  <si>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</si>
  <si>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</si>
  <si>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</si>
  <si>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</si>
  <si>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</si>
  <si>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</si>
  <si>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</si>
  <si>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</si>
  <si>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</si>
  <si>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</si>
  <si>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</si>
  <si>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</si>
  <si>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</si>
  <si>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</si>
  <si>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</si>
  <si>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</si>
  <si>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</si>
  <si>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</si>
  <si>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</si>
  <si>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</si>
  <si>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</si>
  <si>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</si>
  <si>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</si>
  <si>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</si>
  <si>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</si>
  <si>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</si>
  <si>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</si>
  <si>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</si>
  <si>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</si>
  <si>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</si>
  <si>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</si>
  <si>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</si>
  <si>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</si>
  <si>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</si>
  <si>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</si>
  <si>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</si>
  <si>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</si>
  <si>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</si>
  <si>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</si>
  <si>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</si>
  <si>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</si>
  <si>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</si>
  <si>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</si>
  <si>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</si>
  <si>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</si>
  <si>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</si>
  <si>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</si>
  <si>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</si>
  <si>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</si>
  <si>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</si>
  <si>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</si>
  <si>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</si>
  <si>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</si>
  <si>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</si>
  <si>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</si>
  <si>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</si>
  <si>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</si>
  <si>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</si>
  <si>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</si>
  <si>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</si>
  <si>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</si>
  <si>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</si>
  <si>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</si>
  <si>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</si>
  <si>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</si>
  <si>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</si>
  <si>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</si>
  <si>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</si>
  <si>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</si>
  <si>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</si>
  <si>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</si>
  <si>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</si>
  <si>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</si>
  <si>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</si>
  <si>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</si>
  <si>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</si>
  <si>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</si>
  <si>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</si>
  <si>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</si>
  <si>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</si>
  <si>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</si>
  <si>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</si>
  <si>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</si>
  <si>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</si>
  <si>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</si>
  <si>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</si>
  <si>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</si>
  <si>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</si>
  <si>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</si>
  <si>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</si>
  <si>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</si>
  <si>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</si>
  <si>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</si>
  <si>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</si>
  <si>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</si>
  <si>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</si>
  <si>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</si>
  <si>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</si>
  <si>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</si>
  <si>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</si>
  <si>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</si>
  <si>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</si>
  <si>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</si>
  <si>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</si>
  <si>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</si>
  <si>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</si>
  <si>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</si>
  <si>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</si>
  <si>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</si>
  <si>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</si>
  <si>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</si>
  <si>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</si>
  <si>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</si>
  <si>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</si>
  <si>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</si>
  <si>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</si>
  <si>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</si>
  <si>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</si>
  <si>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</si>
  <si>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</si>
  <si>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</si>
  <si>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</si>
  <si>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</si>
  <si>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</si>
  <si>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</si>
  <si>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</si>
  <si>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</si>
  <si>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</si>
  <si>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</si>
  <si>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</si>
  <si>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</si>
  <si>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</si>
  <si>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</si>
  <si>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</si>
  <si>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</si>
  <si>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</si>
  <si>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</si>
  <si>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</si>
  <si>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</si>
  <si>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</si>
  <si>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</si>
  <si>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</si>
  <si>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</si>
  <si>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</si>
  <si>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</si>
  <si>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</si>
  <si>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</si>
  <si>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</si>
  <si>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</si>
  <si>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</si>
  <si>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</si>
  <si>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</si>
  <si>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</si>
  <si>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</si>
  <si>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</si>
  <si>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</si>
  <si>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</si>
  <si>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</si>
  <si>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</si>
  <si>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</si>
  <si>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</si>
  <si>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</si>
  <si>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</si>
  <si>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</si>
  <si>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</si>
  <si>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</si>
  <si>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</si>
  <si>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</si>
  <si>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</si>
  <si>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</si>
  <si>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</si>
  <si>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</si>
  <si>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</si>
  <si>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</si>
  <si>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</si>
  <si>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</si>
  <si>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</si>
  <si>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</si>
  <si>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</si>
  <si>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</si>
  <si>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</si>
  <si>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</si>
  <si>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</si>
  <si>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</si>
  <si>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</si>
  <si>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</si>
  <si>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</si>
  <si>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</si>
  <si>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</si>
  <si>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</si>
  <si>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</si>
  <si>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</si>
  <si>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</si>
  <si>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</si>
  <si>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</si>
  <si>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</si>
  <si>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</si>
  <si>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</si>
  <si>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</si>
  <si>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</si>
  <si>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</si>
  <si>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</si>
  <si>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</si>
  <si>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</si>
  <si>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</si>
  <si>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</si>
  <si>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</si>
  <si>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</si>
  <si>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</si>
  <si>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</si>
  <si>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</si>
  <si>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</si>
  <si>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</si>
  <si>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</si>
  <si>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</si>
  <si>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</si>
  <si>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</si>
  <si>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</si>
  <si>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</si>
  <si>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</si>
  <si>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</si>
  <si>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</si>
  <si>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</si>
  <si>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</si>
  <si>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</si>
  <si>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</si>
  <si>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</si>
  <si>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</si>
  <si>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</si>
  <si>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</si>
  <si>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</si>
  <si>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</si>
  <si>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</si>
  <si>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</si>
  <si>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</si>
  <si>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</si>
  <si>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</si>
  <si>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</si>
  <si>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</si>
  <si>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</si>
  <si>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</si>
  <si>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</si>
  <si>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</si>
  <si>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</si>
  <si>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</si>
  <si>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</si>
  <si>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</si>
  <si>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</si>
  <si>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</si>
  <si>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</si>
  <si>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</si>
  <si>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</si>
  <si>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</si>
  <si>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</si>
  <si>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</si>
  <si>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</si>
  <si>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</si>
  <si>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</si>
  <si>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</si>
  <si>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</si>
  <si>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</si>
  <si>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</si>
  <si>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</si>
  <si>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</si>
  <si>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</si>
  <si>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</si>
  <si>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</si>
  <si>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</si>
  <si>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</si>
  <si>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</si>
  <si>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</si>
  <si>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</si>
  <si>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</si>
  <si>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</si>
  <si>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</si>
  <si>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</si>
  <si>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</si>
  <si>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</si>
  <si>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</si>
  <si>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</si>
  <si>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</si>
  <si>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</si>
  <si>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</si>
  <si>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</si>
  <si>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</si>
  <si>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</si>
  <si>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</si>
  <si>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</si>
  <si>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</si>
  <si>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</si>
  <si>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</si>
  <si>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</si>
  <si>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</si>
  <si>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</si>
  <si>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</si>
  <si>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</si>
  <si>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</si>
  <si>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</si>
  <si>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</si>
  <si>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</si>
  <si>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</si>
  <si>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</si>
  <si>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</si>
  <si>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</si>
  <si>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</si>
  <si>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</si>
  <si>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</si>
  <si>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</si>
  <si>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</si>
  <si>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</si>
  <si>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</si>
  <si>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</si>
  <si>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</si>
  <si>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</si>
  <si>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</si>
  <si>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</si>
  <si>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</si>
  <si>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</si>
  <si>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</si>
  <si>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</si>
  <si>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</si>
  <si>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</si>
  <si>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</si>
  <si>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</si>
  <si>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</si>
  <si>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</si>
  <si>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</si>
  <si>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</si>
  <si>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</si>
  <si>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</si>
  <si>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</si>
  <si>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</si>
  <si>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</si>
  <si>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</si>
  <si>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</si>
  <si>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</si>
  <si>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</si>
  <si>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</si>
  <si>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</si>
  <si>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</si>
  <si>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</si>
  <si>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</si>
  <si>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</si>
  <si>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</si>
  <si>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</si>
  <si>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</si>
  <si>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</si>
  <si>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</si>
  <si>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</si>
  <si>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</si>
  <si>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</si>
  <si>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</si>
  <si>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</si>
  <si>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</si>
  <si>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</si>
  <si>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</si>
  <si>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</si>
  <si>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</si>
  <si>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</si>
  <si>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</si>
  <si>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</si>
  <si>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</si>
  <si>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</si>
  <si>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</si>
  <si>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</si>
  <si>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</si>
  <si>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</si>
  <si>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</si>
  <si>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</si>
  <si>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</si>
  <si>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</si>
  <si>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</si>
  <si>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</si>
  <si>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</si>
  <si>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</si>
  <si>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</si>
  <si>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</si>
  <si>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</si>
  <si>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</si>
  <si>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</si>
  <si>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</si>
  <si>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</si>
  <si>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</si>
  <si>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</si>
  <si>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</si>
  <si>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</si>
  <si>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</si>
  <si>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</si>
  <si>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</si>
  <si>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</si>
  <si>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</si>
  <si>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</si>
  <si>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</si>
  <si>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</si>
  <si>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</si>
  <si>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</si>
  <si>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</si>
  <si>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</si>
  <si>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</si>
  <si>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</si>
  <si>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</si>
  <si>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</si>
  <si>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</si>
  <si>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</si>
  <si>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</si>
  <si>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</si>
  <si>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</si>
  <si>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</si>
  <si>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</si>
  <si>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</si>
  <si>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</si>
  <si>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</si>
  <si>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</si>
  <si>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</si>
  <si>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</si>
  <si>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</si>
  <si>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</si>
  <si>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</si>
  <si>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</si>
  <si>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</si>
  <si>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</si>
  <si>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</si>
  <si>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</si>
  <si>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</si>
  <si>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</si>
  <si>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</si>
  <si>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</si>
  <si>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</si>
  <si>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</si>
  <si>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</si>
  <si>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</si>
  <si>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</si>
  <si>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</si>
  <si>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</si>
  <si>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</si>
  <si>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</si>
  <si>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</si>
  <si>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</si>
  <si>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</si>
  <si>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</si>
  <si>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</si>
  <si>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</si>
  <si>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</si>
  <si>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</si>
  <si>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</si>
  <si>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</si>
  <si>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</si>
  <si>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</si>
  <si>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</si>
  <si>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</si>
  <si>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</si>
  <si>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</si>
  <si>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</si>
  <si>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</si>
  <si>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</si>
  <si>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</si>
  <si>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</si>
  <si>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</si>
  <si>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</si>
  <si>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</si>
  <si>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</si>
  <si>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</si>
  <si>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</si>
  <si>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</si>
  <si>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</si>
  <si>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</si>
  <si>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</si>
  <si>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</si>
  <si>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</si>
  <si>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</si>
  <si>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</si>
  <si>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</si>
  <si>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</si>
  <si>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</si>
  <si>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</si>
  <si>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</si>
  <si>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</si>
  <si>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</si>
  <si>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</si>
  <si>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</si>
  <si>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</si>
  <si>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</si>
  <si>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</si>
  <si>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</si>
  <si>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</si>
  <si>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</si>
  <si>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</si>
  <si>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</si>
  <si>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</si>
  <si>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</si>
  <si>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</si>
  <si>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</si>
  <si>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</si>
  <si>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</si>
  <si>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</si>
  <si>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</si>
  <si>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</si>
  <si>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</si>
  <si>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</si>
  <si>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</si>
  <si>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</si>
  <si>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</si>
  <si>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</si>
  <si>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</si>
  <si>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</si>
  <si>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</si>
  <si>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</si>
  <si>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</si>
  <si>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</si>
  <si>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</si>
  <si>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</si>
  <si>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</si>
  <si>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</si>
  <si>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</si>
  <si>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</si>
  <si>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</si>
  <si>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</si>
  <si>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</si>
  <si>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</si>
  <si>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</si>
  <si>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</si>
  <si>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</si>
  <si>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</si>
  <si>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</si>
  <si>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</si>
  <si>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</si>
  <si>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</si>
  <si>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</si>
  <si>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</si>
  <si>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</si>
  <si>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</si>
  <si>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</si>
  <si>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</si>
  <si>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</si>
  <si>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</si>
  <si>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</si>
  <si>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</si>
  <si>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</si>
  <si>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</si>
  <si>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</si>
  <si>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</si>
  <si>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</si>
  <si>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</si>
  <si>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</si>
  <si>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</si>
  <si>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</si>
  <si>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</si>
  <si>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</si>
  <si>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</si>
  <si>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</si>
  <si>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</si>
  <si>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</si>
  <si>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</si>
  <si>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</si>
  <si>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</si>
  <si>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</si>
  <si>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</si>
  <si>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</si>
  <si>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</si>
  <si>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</si>
  <si>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</si>
  <si>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</si>
  <si>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</si>
  <si>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</si>
  <si>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</si>
  <si>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</si>
  <si>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</si>
  <si>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</si>
  <si>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</si>
  <si>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</si>
  <si>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</si>
  <si>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</si>
  <si>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</si>
  <si>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</si>
  <si>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</si>
  <si>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</si>
  <si>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</si>
  <si>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</si>
  <si>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</si>
  <si>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</si>
  <si>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</si>
  <si>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</si>
  <si>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</si>
  <si>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</si>
  <si>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</si>
  <si>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</si>
  <si>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</si>
  <si>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</si>
  <si>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</si>
  <si>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</si>
  <si>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</si>
  <si>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</si>
  <si>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</si>
  <si>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</si>
  <si>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</si>
  <si>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</si>
  <si>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</si>
  <si>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</si>
  <si>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</si>
  <si>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</si>
  <si>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</si>
  <si>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</si>
  <si>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</si>
  <si>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</si>
  <si>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</si>
  <si>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</si>
  <si>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</si>
  <si>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</si>
  <si>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</si>
  <si>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</si>
  <si>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</si>
  <si>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</si>
  <si>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</si>
  <si>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</si>
  <si>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</si>
  <si>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</si>
  <si>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</si>
  <si>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</si>
  <si>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</si>
  <si>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</si>
  <si>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</si>
  <si>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</si>
  <si>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</si>
  <si>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</si>
  <si>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</si>
  <si>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</si>
  <si>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</si>
  <si>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</si>
  <si>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</si>
  <si>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</si>
  <si>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</si>
  <si>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</si>
  <si>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</si>
  <si>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</si>
  <si>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</si>
  <si>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</si>
  <si>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</si>
  <si>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</si>
  <si>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</si>
  <si>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</si>
  <si>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</si>
  <si>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</si>
  <si>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</si>
  <si>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</si>
  <si>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</si>
  <si>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</si>
  <si>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</si>
  <si>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</si>
  <si>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</si>
  <si>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</si>
  <si>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</si>
  <si>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</si>
  <si>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</si>
  <si>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</si>
  <si>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</si>
  <si>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</si>
  <si>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</si>
  <si>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</si>
  <si>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</si>
  <si>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</si>
  <si>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</si>
  <si>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</si>
  <si>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</si>
  <si>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</si>
  <si>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</si>
  <si>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</si>
  <si>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</si>
  <si>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</si>
  <si>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</si>
  <si>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</si>
  <si>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</si>
  <si>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</si>
  <si>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</si>
  <si>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</si>
  <si>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</si>
  <si>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</si>
  <si>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</si>
  <si>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</si>
  <si>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</si>
  <si>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</si>
  <si>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</si>
  <si>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</si>
  <si>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</si>
  <si>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</si>
  <si>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</si>
  <si>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</si>
  <si>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</si>
  <si>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</si>
  <si>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</si>
  <si>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</si>
  <si>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</si>
  <si>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</si>
  <si>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</si>
  <si>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</si>
  <si>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</si>
  <si>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</si>
  <si>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</si>
  <si>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</si>
  <si>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</si>
  <si>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</si>
  <si>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</si>
  <si>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</si>
  <si>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</si>
  <si>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</si>
  <si>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</si>
  <si>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</si>
  <si>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</si>
  <si>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</si>
  <si>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</si>
  <si>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</si>
  <si>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</si>
  <si>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</si>
  <si>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</si>
  <si>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</si>
  <si>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</si>
  <si>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</si>
  <si>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</si>
  <si>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</si>
  <si>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</si>
  <si>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</si>
  <si>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</si>
  <si>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</si>
  <si>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</si>
  <si>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</si>
  <si>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</si>
  <si>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</si>
  <si>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</si>
  <si>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</si>
  <si>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</si>
  <si>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</si>
  <si>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</si>
  <si>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</si>
  <si>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</si>
  <si>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</si>
  <si>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</si>
  <si>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</si>
  <si>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</si>
  <si>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</si>
  <si>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</si>
  <si>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</si>
  <si>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</si>
  <si>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</si>
  <si>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</si>
  <si>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</si>
  <si>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</si>
  <si>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</si>
  <si>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</si>
  <si>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</si>
  <si>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</si>
  <si>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</si>
  <si>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</si>
  <si>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</si>
  <si>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</si>
  <si>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</si>
  <si>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</si>
  <si>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</si>
  <si>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</si>
  <si>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</si>
  <si>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</si>
  <si>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</si>
  <si>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</si>
  <si>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</si>
  <si>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</si>
  <si>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</si>
  <si>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</si>
  <si>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</si>
  <si>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</si>
  <si>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</si>
  <si>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</si>
  <si>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</si>
  <si>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</si>
  <si>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</si>
  <si>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</si>
  <si>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</si>
  <si>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</si>
  <si>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</si>
  <si>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</si>
  <si>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</si>
  <si>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</si>
  <si>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</si>
  <si>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</si>
  <si>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</si>
  <si>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</si>
  <si>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</si>
  <si>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</si>
  <si>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</si>
  <si>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</si>
  <si>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</si>
  <si>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</si>
  <si>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</si>
  <si>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</si>
  <si>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</si>
  <si>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</si>
  <si>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</si>
  <si>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</si>
  <si>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</si>
  <si>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</si>
  <si>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</si>
  <si>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</si>
  <si>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</si>
  <si>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</si>
  <si>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</si>
  <si>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</si>
  <si>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</si>
  <si>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</si>
  <si>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</si>
  <si>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</si>
  <si>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</si>
  <si>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</si>
  <si>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</si>
  <si>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</si>
  <si>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</si>
  <si>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</si>
  <si>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</si>
  <si>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</si>
  <si>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</si>
  <si>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</si>
  <si>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</si>
  <si>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</si>
  <si>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</si>
  <si>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</si>
  <si>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</si>
  <si>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</si>
  <si>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</si>
  <si>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</si>
  <si>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</si>
  <si>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</si>
  <si>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</si>
  <si>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</si>
  <si>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</si>
  <si>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</si>
  <si>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</si>
  <si>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</si>
  <si>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</si>
  <si>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</si>
  <si>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</si>
  <si>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</si>
  <si>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</si>
  <si>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</si>
  <si>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</si>
  <si>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</si>
  <si>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</si>
  <si>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</si>
  <si>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</si>
  <si>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</si>
  <si>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</si>
  <si>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</si>
  <si>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</si>
  <si>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</si>
  <si>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</si>
  <si>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</si>
  <si>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</si>
  <si>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</si>
  <si>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</si>
  <si>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</si>
  <si>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</si>
  <si>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</si>
  <si>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</si>
  <si>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</si>
  <si>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</si>
  <si>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</si>
  <si>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</si>
  <si>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</si>
  <si>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</si>
  <si>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</si>
  <si>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</si>
  <si>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</si>
  <si>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</si>
  <si>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</si>
  <si>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</si>
  <si>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</si>
  <si>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</si>
  <si>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</si>
  <si>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</si>
  <si>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</si>
  <si>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</si>
  <si>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</si>
  <si>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</si>
  <si>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</si>
  <si>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</si>
  <si>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</si>
  <si>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</si>
  <si>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</si>
  <si>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</si>
  <si>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</si>
  <si>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</si>
  <si>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</si>
  <si>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</si>
  <si>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</si>
  <si>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</si>
  <si>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</si>
  <si>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</si>
  <si>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</si>
  <si>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</si>
  <si>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</si>
  <si>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</si>
  <si>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</si>
  <si>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</si>
  <si>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</si>
  <si>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</si>
  <si>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</si>
  <si>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</si>
  <si>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</si>
  <si>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</si>
  <si>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</si>
  <si>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</si>
  <si>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</si>
  <si>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</si>
  <si>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</si>
  <si>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</si>
  <si>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</si>
  <si>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</si>
  <si>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</si>
  <si>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</si>
  <si>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</si>
  <si>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</si>
  <si>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</si>
  <si>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</si>
  <si>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</si>
  <si>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</si>
  <si>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</si>
  <si>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</si>
  <si>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</si>
  <si>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</si>
  <si>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</si>
  <si>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</si>
  <si>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</si>
  <si>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</si>
  <si>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</si>
  <si>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</si>
  <si>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</si>
  <si>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</si>
  <si>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</si>
  <si>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</si>
  <si>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</si>
  <si>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</si>
  <si>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</si>
  <si>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</si>
  <si>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</si>
  <si>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</si>
  <si>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</si>
  <si>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</si>
  <si>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</si>
  <si>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</si>
  <si>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</si>
  <si>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</si>
  <si>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</si>
  <si>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</si>
  <si>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</si>
  <si>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</si>
  <si>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</si>
  <si>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</si>
  <si>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</si>
  <si>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</si>
  <si>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</si>
  <si>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</si>
  <si>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</si>
  <si>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</si>
  <si>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</si>
  <si>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</si>
  <si>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</si>
  <si>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</si>
  <si>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</si>
  <si>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</si>
  <si>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</si>
  <si>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</si>
  <si>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</si>
  <si>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</si>
  <si>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</si>
  <si>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</si>
  <si>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</si>
  <si>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</si>
  <si>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</si>
  <si>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</si>
  <si>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</si>
  <si>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</si>
  <si>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</si>
  <si>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</si>
  <si>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</si>
  <si>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</si>
  <si>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</si>
  <si>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</si>
  <si>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</si>
  <si>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</si>
  <si>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</si>
  <si>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</si>
  <si>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</si>
  <si>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</si>
  <si>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</si>
  <si>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</si>
  <si>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</si>
  <si>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</si>
  <si>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</si>
  <si>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</si>
  <si>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</si>
  <si>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</si>
  <si>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</si>
  <si>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</si>
  <si>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</si>
  <si>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</si>
  <si>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</si>
  <si>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</si>
  <si>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</si>
  <si>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</si>
  <si>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</si>
  <si>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</si>
  <si>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</si>
  <si>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</si>
  <si>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</si>
  <si>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</si>
  <si>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</si>
  <si>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</si>
  <si>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</si>
  <si>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</si>
  <si>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</si>
  <si>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</si>
  <si>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</si>
  <si>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</si>
  <si>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</si>
  <si>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</si>
  <si>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</si>
  <si>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</si>
  <si>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</si>
  <si>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</si>
  <si>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</si>
  <si>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</si>
  <si>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</si>
  <si>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</si>
  <si>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</si>
  <si>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</si>
  <si>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</si>
  <si>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</si>
  <si>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</si>
  <si>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</si>
  <si>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</si>
  <si>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</si>
  <si>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</si>
  <si>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</si>
  <si>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</si>
  <si>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</si>
  <si>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</si>
  <si>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</si>
  <si>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</si>
  <si>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</si>
  <si>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</si>
  <si>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</si>
  <si>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</si>
  <si>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</si>
  <si>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</si>
  <si>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</si>
  <si>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</si>
  <si>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</si>
  <si>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</si>
  <si>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</si>
  <si>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</si>
  <si>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</si>
  <si>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</si>
  <si>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</si>
  <si>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</si>
  <si>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</si>
  <si>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</si>
  <si>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</si>
  <si>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</si>
  <si>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</si>
  <si>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</si>
  <si>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</si>
  <si>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</si>
  <si>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</si>
  <si>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</si>
  <si>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</si>
  <si>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</si>
  <si>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</si>
  <si>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</si>
  <si>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</si>
  <si>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</si>
  <si>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</si>
  <si>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</si>
  <si>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</si>
  <si>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</si>
  <si>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</si>
  <si>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</si>
  <si>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</si>
  <si>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</si>
  <si>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</si>
  <si>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</si>
  <si>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</si>
  <si>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</si>
  <si>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</si>
  <si>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</si>
  <si>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</si>
  <si>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</si>
  <si>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</si>
  <si>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</si>
  <si>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</si>
  <si>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</si>
  <si>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</si>
  <si>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</si>
  <si>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</si>
  <si>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</si>
  <si>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</si>
  <si>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</si>
  <si>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</si>
  <si>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</si>
  <si>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</si>
  <si>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</si>
  <si>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</si>
  <si>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</si>
  <si>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</si>
  <si>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</si>
  <si>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</si>
  <si>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</si>
  <si>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</si>
  <si>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</si>
  <si>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</si>
  <si>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</si>
  <si>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</si>
  <si>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</si>
  <si>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</si>
  <si>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</si>
  <si>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</si>
  <si>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</si>
  <si>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</si>
  <si>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</si>
  <si>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</si>
  <si>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</si>
  <si>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</si>
  <si>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</si>
  <si>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</si>
  <si>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</si>
  <si>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</si>
  <si>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</si>
  <si>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</si>
  <si>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</si>
  <si>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</si>
  <si>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</si>
  <si>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</si>
  <si>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</si>
  <si>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</si>
  <si>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</si>
  <si>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</si>
  <si>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</si>
  <si>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</si>
  <si>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</si>
  <si>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</si>
  <si>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</si>
  <si>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</si>
  <si>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</si>
  <si>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</si>
  <si>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</si>
  <si>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</si>
  <si>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</si>
  <si>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</si>
  <si>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</si>
  <si>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</si>
  <si>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</si>
  <si>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</si>
  <si>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</si>
  <si>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</si>
  <si>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</si>
  <si>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</si>
  <si>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</si>
  <si>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</si>
  <si>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</si>
  <si>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</si>
  <si>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</si>
  <si>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</si>
  <si>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</si>
  <si>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</si>
  <si>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</si>
  <si>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</si>
  <si>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</si>
  <si>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</si>
  <si>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</si>
  <si>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</si>
  <si>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</si>
  <si>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</si>
  <si>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</si>
  <si>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</si>
  <si>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</si>
  <si>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</si>
  <si>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</si>
  <si>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</si>
  <si>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</si>
  <si>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</si>
  <si>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</si>
  <si>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</si>
  <si>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</si>
  <si>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</si>
  <si>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</si>
  <si>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</si>
  <si>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</si>
  <si>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</si>
  <si>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</si>
  <si>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</si>
  <si>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</si>
  <si>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</si>
  <si>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</si>
  <si>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</si>
  <si>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</si>
  <si>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</si>
  <si>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</si>
  <si>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</si>
  <si>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</si>
  <si>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</si>
  <si>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</si>
  <si>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</si>
  <si>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</si>
  <si>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</si>
  <si>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</si>
  <si>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</si>
  <si>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</si>
  <si>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</si>
  <si>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</si>
  <si>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</si>
  <si>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</si>
  <si>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</si>
  <si>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</si>
  <si>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</si>
  <si>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</si>
  <si>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</si>
  <si>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</si>
  <si>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</si>
  <si>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</si>
  <si>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</si>
  <si>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</si>
  <si>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</si>
  <si>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</si>
  <si>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</si>
  <si>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</si>
  <si>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</si>
  <si>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</si>
  <si>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</si>
  <si>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</si>
  <si>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</si>
  <si>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</si>
  <si>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</si>
  <si>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</si>
  <si>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</si>
  <si>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</si>
  <si>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</si>
  <si>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</si>
  <si>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</si>
  <si>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</si>
  <si>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</si>
  <si>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</si>
  <si>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</si>
  <si>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</si>
  <si>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</si>
  <si>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</si>
  <si>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</si>
  <si>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</si>
  <si>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</si>
  <si>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</si>
  <si>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</si>
  <si>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</si>
  <si>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</si>
  <si>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</si>
  <si>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</si>
  <si>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</si>
  <si>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</si>
  <si>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</si>
  <si>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</si>
  <si>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</si>
  <si>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</si>
  <si>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</si>
  <si>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</si>
  <si>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</si>
  <si>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</si>
  <si>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</si>
  <si>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</si>
  <si>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</si>
  <si>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</si>
  <si>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</si>
  <si>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</si>
  <si>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</si>
  <si>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</si>
  <si>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</si>
  <si>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</si>
  <si>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</si>
  <si>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</si>
  <si>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</si>
  <si>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</si>
  <si>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</si>
  <si>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</si>
  <si>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</si>
  <si>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</si>
  <si>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</si>
  <si>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</si>
  <si>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</si>
  <si>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</si>
  <si>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</si>
  <si>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</si>
  <si>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</si>
  <si>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</si>
  <si>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</si>
  <si>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</si>
  <si>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</si>
  <si>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</si>
  <si>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</si>
  <si>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</si>
  <si>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</si>
  <si>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</si>
  <si>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</si>
  <si>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</si>
  <si>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</si>
  <si>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</si>
  <si>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</si>
  <si>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</si>
  <si>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</si>
  <si>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</si>
  <si>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</si>
  <si>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</si>
  <si>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</si>
  <si>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</si>
  <si>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</si>
  <si>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</si>
  <si>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</si>
  <si>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</si>
  <si>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</si>
  <si>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</si>
  <si>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</si>
  <si>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</si>
  <si>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</si>
  <si>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</si>
  <si>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</si>
  <si>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</si>
  <si>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</si>
  <si>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</si>
  <si>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</si>
  <si>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</si>
  <si>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</si>
  <si>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</si>
  <si>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</si>
  <si>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</si>
  <si>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</si>
  <si>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</si>
  <si>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</si>
  <si>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</si>
  <si>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</si>
  <si>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</si>
  <si>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</si>
  <si>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</si>
  <si>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</si>
  <si>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</si>
  <si>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</si>
  <si>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</si>
  <si>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</si>
  <si>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</si>
  <si>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</si>
  <si>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</si>
  <si>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</si>
  <si>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</si>
  <si>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</si>
  <si>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</si>
  <si>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</si>
  <si>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</si>
  <si>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</si>
  <si>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</si>
  <si>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</si>
  <si>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</si>
  <si>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</si>
  <si>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</si>
  <si>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</si>
  <si>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</si>
  <si>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</si>
  <si>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</si>
  <si>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</si>
  <si>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</si>
  <si>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</si>
  <si>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</si>
  <si>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</si>
  <si>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</si>
  <si>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</si>
  <si>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</si>
  <si>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</si>
  <si>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</si>
  <si>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</si>
  <si>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</si>
  <si>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</si>
  <si>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</si>
  <si>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</si>
  <si>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</si>
  <si>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</si>
  <si>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</si>
  <si>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</si>
  <si>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</si>
  <si>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</si>
  <si>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</si>
  <si>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</si>
  <si>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</si>
  <si>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</si>
  <si>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</si>
  <si>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</si>
  <si>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</si>
  <si>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</si>
  <si>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</si>
  <si>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</si>
  <si>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</si>
  <si>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</si>
  <si>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</si>
  <si>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</si>
  <si>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</si>
  <si>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</si>
  <si>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</si>
  <si>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</si>
  <si>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</si>
  <si>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</si>
  <si>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</si>
  <si>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</si>
  <si>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</si>
  <si>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</si>
  <si>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</si>
  <si>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</si>
  <si>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</si>
  <si>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</si>
  <si>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</si>
  <si>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</si>
  <si>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</si>
  <si>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</si>
  <si>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</si>
  <si>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</si>
  <si>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</si>
  <si>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</si>
  <si>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</si>
  <si>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</si>
  <si>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</si>
  <si>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</si>
  <si>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</si>
  <si>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</si>
  <si>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</si>
  <si>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</si>
  <si>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</si>
  <si>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</si>
  <si>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</si>
  <si>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</si>
  <si>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</si>
  <si>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</si>
  <si>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</si>
  <si>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</si>
  <si>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</si>
  <si>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</si>
  <si>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</si>
  <si>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</si>
  <si>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</si>
  <si>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</si>
  <si>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</si>
  <si>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</si>
  <si>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</si>
  <si>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</si>
  <si>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</si>
  <si>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</si>
  <si>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</si>
  <si>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</si>
  <si>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</si>
  <si>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</si>
  <si>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</si>
  <si>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</si>
  <si>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</si>
  <si>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</si>
  <si>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</si>
  <si>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</si>
  <si>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</si>
  <si>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</si>
  <si>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</si>
  <si>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</si>
  <si>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</si>
  <si>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</si>
  <si>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</si>
  <si>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</si>
  <si>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</si>
  <si>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</si>
  <si>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</si>
  <si>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</si>
  <si>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</si>
  <si>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</si>
  <si>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</si>
  <si>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</si>
  <si>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</si>
  <si>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</si>
  <si>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</si>
  <si>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</si>
  <si>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</si>
  <si>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</si>
  <si>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</si>
  <si>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</si>
  <si>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</si>
  <si>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</si>
  <si>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</si>
  <si>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</si>
  <si>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</si>
  <si>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</si>
  <si>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</si>
  <si>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</si>
  <si>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</si>
  <si>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</si>
  <si>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</si>
  <si>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</si>
  <si>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</si>
  <si>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</si>
  <si>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</si>
  <si>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</si>
  <si>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</si>
  <si>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</si>
  <si>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</si>
  <si>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</si>
  <si>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</si>
  <si>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</si>
  <si>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</si>
  <si>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</si>
  <si>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</si>
  <si>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</si>
  <si>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</si>
  <si>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</si>
  <si>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</si>
  <si>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</si>
  <si>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</si>
  <si>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</si>
  <si>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</si>
  <si>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</si>
  <si>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</si>
  <si>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</si>
  <si>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</si>
  <si>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</si>
  <si>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</si>
  <si>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</si>
  <si>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</si>
  <si>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</si>
  <si>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</si>
  <si>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</si>
  <si>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</si>
  <si>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</si>
  <si>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</si>
  <si>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</si>
  <si>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</si>
  <si>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</si>
  <si>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</si>
  <si>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</si>
  <si>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</si>
  <si>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</si>
  <si>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</si>
  <si>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</si>
  <si>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</si>
  <si>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</si>
  <si>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</si>
  <si>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</si>
  <si>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</si>
  <si>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</si>
  <si>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</si>
  <si>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</si>
  <si>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</si>
  <si>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</si>
  <si>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</si>
  <si>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</si>
  <si>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</si>
  <si>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</si>
  <si>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</si>
  <si>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</si>
  <si>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</si>
  <si>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</si>
  <si>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</si>
  <si>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</si>
  <si>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</si>
  <si>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</si>
  <si>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</si>
  <si>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</si>
  <si>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</si>
  <si>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</si>
  <si>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</si>
  <si>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</si>
  <si>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</si>
  <si>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</si>
  <si>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</si>
  <si>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</si>
  <si>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</si>
  <si>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</si>
  <si>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</si>
  <si>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</si>
  <si>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</si>
  <si>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</si>
  <si>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</si>
  <si>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</si>
  <si>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</si>
  <si>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</si>
  <si>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รพ.คลองท่อม</t>
  </si>
  <si>
    <t>ฉลอง, รพช.</t>
  </si>
  <si>
    <t>เกาะเต่า,รพช.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</si>
  <si>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</si>
  <si>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</si>
  <si>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</si>
  <si>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</si>
  <si>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</si>
  <si>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</si>
  <si>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</si>
  <si>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</si>
  <si>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</si>
  <si>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</si>
  <si>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</si>
  <si>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</si>
  <si>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</si>
  <si>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</si>
  <si>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</si>
  <si>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</si>
  <si>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</si>
  <si>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</si>
  <si>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</si>
  <si>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</si>
  <si>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</si>
  <si>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</si>
  <si>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</si>
  <si>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</si>
  <si>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</si>
  <si>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</si>
  <si>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</si>
  <si>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</si>
  <si>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</si>
  <si>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</si>
  <si>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</si>
  <si>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</si>
  <si>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</si>
  <si>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</si>
  <si>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</si>
  <si>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</si>
  <si>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</si>
  <si>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</si>
  <si>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</si>
  <si>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</si>
  <si>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</si>
  <si>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</si>
  <si>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</si>
  <si>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</si>
  <si>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</si>
  <si>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</si>
  <si>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</si>
  <si>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</si>
  <si>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</si>
  <si>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</si>
  <si>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</si>
  <si>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</si>
  <si>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</si>
  <si>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</si>
  <si>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</si>
  <si>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</si>
  <si>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</si>
  <si>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</si>
  <si>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</si>
  <si>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</si>
  <si>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</si>
  <si>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</si>
  <si>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</si>
  <si>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</si>
  <si>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</si>
  <si>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</si>
  <si>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</si>
  <si>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</si>
  <si>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</si>
  <si>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</si>
  <si>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</si>
  <si>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</si>
  <si>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</si>
  <si>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</si>
  <si>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</si>
  <si>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</si>
  <si>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</si>
  <si>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</si>
  <si>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</si>
  <si>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</si>
  <si>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</si>
  <si>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</si>
  <si>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</si>
  <si>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</si>
  <si>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</si>
  <si>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</si>
  <si>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</si>
  <si>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</si>
  <si>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</si>
  <si>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</si>
  <si>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</si>
  <si>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</si>
  <si>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</si>
  <si>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</si>
  <si>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</si>
  <si>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</si>
  <si>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</si>
  <si>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</si>
  <si>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</si>
  <si>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</si>
  <si>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</si>
  <si>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</si>
  <si>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</si>
  <si>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</si>
  <si>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</si>
  <si>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</si>
  <si>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</si>
  <si>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</si>
  <si>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</si>
  <si>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</si>
  <si>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</si>
  <si>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</si>
  <si>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</si>
  <si>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</si>
  <si>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</si>
  <si>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</si>
  <si>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</si>
  <si>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</si>
  <si>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</si>
  <si>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</si>
  <si>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</si>
  <si>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</si>
  <si>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</si>
  <si>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</si>
  <si>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</si>
  <si>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</si>
  <si>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</si>
  <si>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</si>
  <si>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</si>
  <si>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</si>
  <si>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</si>
  <si>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</si>
  <si>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</si>
  <si>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</si>
  <si>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</si>
  <si>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</si>
  <si>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</si>
  <si>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</si>
  <si>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</si>
  <si>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</si>
  <si>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</si>
  <si>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</si>
  <si>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</si>
  <si>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</si>
  <si>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</si>
  <si>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</si>
  <si>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</si>
  <si>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</si>
  <si>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</si>
  <si>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</si>
  <si>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</si>
  <si>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</si>
  <si>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</si>
  <si>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</si>
  <si>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</si>
  <si>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</si>
  <si>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</si>
  <si>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</si>
  <si>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</si>
  <si>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</si>
  <si>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</si>
  <si>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</si>
  <si>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</si>
  <si>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</si>
  <si>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</si>
  <si>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</si>
  <si>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</si>
  <si>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</si>
  <si>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</si>
  <si>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</si>
  <si>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</si>
  <si>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</si>
  <si>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</si>
  <si>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</si>
  <si>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</si>
  <si>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</si>
  <si>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</si>
  <si>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</si>
  <si>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</si>
  <si>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</si>
  <si>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</si>
  <si>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</si>
  <si>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</si>
  <si>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</si>
  <si>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</si>
  <si>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</si>
  <si>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</si>
  <si>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</si>
  <si>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</si>
  <si>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</si>
  <si>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</si>
  <si>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</si>
  <si>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</si>
  <si>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</si>
  <si>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</si>
  <si>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</si>
  <si>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</si>
  <si>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</si>
  <si>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</si>
  <si>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</si>
  <si>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</si>
  <si>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</si>
  <si>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</si>
  <si>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</si>
  <si>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</si>
  <si>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</si>
  <si>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</si>
  <si>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</si>
  <si>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</si>
  <si>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</si>
  <si>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</si>
  <si>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</si>
  <si>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</si>
  <si>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</si>
  <si>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</si>
  <si>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</si>
  <si>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</si>
  <si>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</si>
  <si>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</si>
  <si>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</si>
  <si>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</si>
  <si>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</si>
  <si>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</si>
  <si>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</si>
  <si>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</si>
  <si>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</si>
  <si>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</si>
  <si>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</si>
  <si>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</si>
  <si>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</si>
  <si>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</si>
  <si>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</si>
  <si>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</si>
  <si>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</si>
  <si>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</si>
  <si>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</si>
  <si>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</si>
  <si>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</si>
  <si>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</si>
  <si>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</si>
  <si>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</si>
  <si>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</si>
  <si>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</si>
  <si>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</si>
  <si>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</si>
  <si>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</si>
  <si>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</si>
  <si>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</si>
  <si>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</si>
  <si>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</si>
  <si>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</si>
  <si>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</si>
  <si>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</si>
  <si>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</si>
  <si>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</si>
  <si>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</si>
  <si>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</si>
  <si>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</si>
  <si>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</si>
  <si>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</si>
  <si>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</si>
  <si>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</si>
  <si>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</si>
  <si>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</si>
  <si>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</si>
  <si>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</si>
  <si>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</si>
  <si>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</si>
  <si>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</si>
  <si>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</si>
  <si>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</si>
  <si>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</si>
  <si>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</si>
  <si>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</si>
  <si>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</si>
  <si>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</si>
  <si>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</si>
  <si>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</si>
  <si>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</si>
  <si>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</si>
  <si>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</si>
  <si>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</si>
  <si>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</si>
  <si>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</si>
  <si>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</si>
  <si>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</si>
  <si>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</si>
  <si>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</si>
  <si>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</si>
  <si>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</si>
  <si>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</si>
  <si>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</si>
  <si>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</si>
  <si>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</si>
  <si>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</si>
  <si>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</si>
  <si>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</si>
  <si>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</si>
  <si>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</si>
  <si>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</si>
  <si>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</si>
  <si>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</si>
  <si>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</si>
  <si>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</si>
  <si>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</si>
  <si>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</si>
  <si>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</si>
  <si>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</si>
  <si>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</si>
  <si>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</si>
  <si>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</si>
  <si>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</si>
  <si>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</si>
  <si>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</si>
  <si>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</si>
  <si>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</si>
  <si>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</si>
  <si>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</si>
  <si>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</si>
  <si>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</si>
  <si>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</si>
  <si>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</si>
  <si>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</si>
  <si>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</si>
  <si>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</si>
  <si>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</si>
  <si>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</si>
  <si>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</si>
  <si>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</si>
  <si>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</si>
  <si>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</si>
  <si>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</si>
  <si>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</si>
  <si>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</si>
  <si>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</si>
  <si>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</si>
  <si>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</si>
  <si>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</si>
  <si>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</si>
  <si>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</si>
  <si>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</si>
  <si>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</si>
  <si>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</si>
  <si>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</si>
  <si>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</si>
  <si>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</si>
  <si>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</si>
  <si>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</si>
  <si>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</si>
  <si>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</si>
  <si>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</si>
  <si>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</si>
  <si>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</si>
  <si>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</si>
  <si>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</si>
  <si>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</si>
  <si>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</si>
  <si>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</si>
  <si>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</si>
  <si>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</si>
  <si>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</si>
  <si>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</si>
  <si>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</si>
  <si>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</si>
  <si>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</si>
  <si>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</si>
  <si>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</si>
  <si>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</si>
  <si>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</si>
  <si>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</si>
  <si>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</si>
  <si>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</si>
  <si>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</si>
  <si>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ผลการดำเนินงานปี 2564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</si>
  <si>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</si>
  <si>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</si>
  <si>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</si>
  <si>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</si>
  <si>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</si>
  <si>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</si>
  <si>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</si>
  <si>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</si>
  <si>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</si>
  <si>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</si>
  <si>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</si>
  <si>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</si>
  <si>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</si>
  <si>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</si>
  <si>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</si>
  <si>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</si>
  <si>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</si>
  <si>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</si>
  <si>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</si>
  <si>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</si>
  <si>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</si>
  <si>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</si>
  <si>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</si>
  <si>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</si>
  <si>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</si>
  <si>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</si>
  <si>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</si>
  <si>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</si>
  <si>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</si>
  <si>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</si>
  <si>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</si>
  <si>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</si>
  <si>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หน่วย : บาท</t>
  </si>
  <si>
    <t>จากงบทดลอง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</si>
  <si>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</si>
  <si>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</si>
  <si>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</si>
  <si>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</si>
  <si>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</si>
  <si>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</si>
  <si>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</si>
  <si>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</si>
  <si>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</si>
  <si>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</si>
  <si>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</si>
  <si>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</si>
  <si>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</si>
  <si>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</si>
  <si>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</si>
  <si>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</si>
  <si>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</si>
  <si>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</si>
  <si>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</si>
  <si>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</si>
  <si>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</si>
  <si>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</si>
  <si>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</si>
  <si>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</si>
  <si>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</si>
  <si>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</si>
  <si>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</si>
  <si>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</si>
  <si>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</si>
  <si>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</si>
  <si>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</si>
  <si>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 xml:space="preserve">14 แผนรับจ่ายเงินบำรุง 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</si>
  <si>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2566</t>
    </r>
  </si>
  <si>
    <t>1. แผนประมาณการรายได้-ควบคุมค่าใช้จ่าย ปีงบประมาณ 2566</t>
  </si>
  <si>
    <t>ประมาณการปี 2566</t>
  </si>
  <si>
    <t>ผลการดำเนินงานปี 2565Q3</t>
  </si>
  <si>
    <t>คาดการณ์ปี 2566</t>
  </si>
  <si>
    <t>[3] =  ([2]/9)*12</t>
  </si>
  <si>
    <t>เงินบำรุงคงเหลือ  ก.ย.</t>
  </si>
  <si>
    <t>ทุนสำรองสุทธิ (Net working Capital)  ก.ย.</t>
  </si>
  <si>
    <t>หนี้สินและภาระผูกพัน    ก.ย.</t>
  </si>
  <si>
    <t>ประมาณการจ่ายชำระหนี้ปี 2566</t>
  </si>
  <si>
    <t>ประมาณการลูกหนี้ที่เรียกเก็บได้ปี 2566</t>
  </si>
  <si>
    <t>จัดซื้อ ด้วยงบค่าบริการฯเบิกจ่ายลักษณะงบลงทุน ปี 2566</t>
  </si>
  <si>
    <t>จัดซื้อ จัดหาด้วยเงินงบประมาณ ของ รพ. ปี 2566</t>
  </si>
  <si>
    <t>Fixed Cost (ว5313)</t>
  </si>
  <si>
    <t>41768</t>
  </si>
  <si>
    <t>ศูนย์บริการการแพทย์นนทบุรี</t>
  </si>
  <si>
    <t>ทุนสำรองสุทธิ (NWC)  มิ.ย.65</t>
  </si>
  <si>
    <t>เงินบำรุงคงเหลือ  มิ.ย.65</t>
  </si>
  <si>
    <t>หนี้สินและภาระผูกพัน  มิ.ย.65</t>
  </si>
  <si>
    <t>ข้อมูลไตรมาส 3/2565   ณ วันที่  19/7/2565</t>
  </si>
  <si>
    <t>แผนปี 2566</t>
  </si>
  <si>
    <t xml:space="preserve">จัดซื้อ/จัดหาด้วยเงินบำรุงของ รพ. </t>
  </si>
  <si>
    <t>WORKSHEET PLANFIN66_1st</t>
  </si>
  <si>
    <t>รหัสPLANFIN</t>
  </si>
  <si>
    <t>มูลค่าการได้รับสนับสนุน ปี 2566</t>
  </si>
  <si>
    <t>แผนจัดซื้อปี 2566 นำไปกรอกใน planfin</t>
  </si>
  <si>
    <t>สินค้าคงคลัง ณ 30  กันยายน 2566</t>
  </si>
  <si>
    <t>สินค้าคงคลัง ปี 2565 (30 กันยายน 2565)</t>
  </si>
  <si>
    <t>มูลค่าการโอนให้หน่วยงานอื่น ปี 2566</t>
  </si>
  <si>
    <t>มูลค่าการสนับสนุน รพ.สต.ปี 2566</t>
  </si>
  <si>
    <t>มูลค่าการใช้ใน รพ. ปี 2566</t>
  </si>
  <si>
    <t>มูลค่าการได้รับสนับสนุนปี 2565</t>
  </si>
  <si>
    <t>สินค้าคงคลัง ณ 30  กันยายน  2566</t>
  </si>
  <si>
    <t>มูลค่าการให้หน่วยงานอื่น ปี 2566</t>
  </si>
  <si>
    <t xml:space="preserve"> รวมมูลค่าการใช้ทั้งปี 2566</t>
  </si>
  <si>
    <t>ปี 2570</t>
  </si>
  <si>
    <t>ภาระหนี้สินคงเหลือสิ้นปี 2566</t>
  </si>
  <si>
    <t>แผนการจ่ายชำระปี 2566 (นำไปกรอกใน Planfin2566)</t>
  </si>
  <si>
    <t>รวมภาระหนี้สินปี 2566</t>
  </si>
  <si>
    <t>ประมาณการหนี้สินปี 2566</t>
  </si>
  <si>
    <t>หนี้สินค้างชำระ ณ 30  กันยายน  2565</t>
  </si>
  <si>
    <t>ลูกหนี้คงเหลือยกไปปี 2566</t>
  </si>
  <si>
    <t xml:space="preserve">  ประมาณการลูกหนี้ค่ารักษาพยาบาลที่เรียกเก็บได้ในปี 2566นำไปกรอกใน planfin  </t>
  </si>
  <si>
    <t xml:space="preserve">   รวมลูกหนี้ค่ารักษาพยาบาลปี 2566</t>
  </si>
  <si>
    <t>ประมาณการลูกหนี้ค่ารักษาพยาบาล ปี 2566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</si>
  <si>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2565</t>
    </r>
  </si>
  <si>
    <t>รวมเงินลงทุนนำไปกรอกใน Planfin2566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</si>
  <si>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</si>
  <si>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</si>
  <si>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</si>
  <si>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</si>
  <si>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</si>
  <si>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</si>
  <si>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ประจำปีงบประมาณ พ.ศ. 2566</t>
  </si>
  <si>
    <t>สิ้นสุด ณ วันที่ 30 กันยายน 2566</t>
  </si>
  <si>
    <t>1 planfin  ช่องคาดการณ์ ใช้ข้อมูล ไตรมาส 3/65 คาดการณ์เป็นทั้งปี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</si>
  <si>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</si>
  <si>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</si>
  <si>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</si>
  <si>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</si>
  <si>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</si>
  <si>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</si>
  <si>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</si>
  <si>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</si>
  <si>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</si>
  <si>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</si>
  <si>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</si>
  <si>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</si>
  <si>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</si>
  <si>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</si>
  <si>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</si>
  <si>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</si>
  <si>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</si>
  <si>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</si>
  <si>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</si>
  <si>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</si>
  <si>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</si>
  <si>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</si>
  <si>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Planfin66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</si>
  <si>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</si>
  <si>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</si>
  <si>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</si>
  <si>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</si>
  <si>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</si>
  <si>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</si>
  <si>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</si>
  <si>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</si>
  <si>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</si>
  <si>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</si>
  <si>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</si>
  <si>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</si>
  <si>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</si>
  <si>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</si>
  <si>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</si>
  <si>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</si>
  <si>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</si>
  <si>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</si>
  <si>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</si>
  <si>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</si>
  <si>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</si>
  <si>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</si>
  <si>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</si>
  <si>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</si>
  <si>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</si>
  <si>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</si>
  <si>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</si>
  <si>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</si>
  <si>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</si>
  <si>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</si>
  <si>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</si>
  <si>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</si>
  <si>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</si>
  <si>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</si>
  <si>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</si>
  <si>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</si>
  <si>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</si>
  <si>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</si>
  <si>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</si>
  <si>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</si>
  <si>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</si>
  <si>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</si>
  <si>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</si>
  <si>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</si>
  <si>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</si>
  <si>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</si>
  <si>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</si>
  <si>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</si>
  <si>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</si>
  <si>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</si>
  <si>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</si>
  <si>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</si>
  <si>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</si>
  <si>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</si>
  <si>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</si>
  <si>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</si>
  <si>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</si>
  <si>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</si>
  <si>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</si>
  <si>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</si>
  <si>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</si>
  <si>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</si>
  <si>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</si>
  <si>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</si>
  <si>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</si>
  <si>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</si>
  <si>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</si>
  <si>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</si>
  <si>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</si>
  <si>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</si>
  <si>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</si>
  <si>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เงินบำรุงคงเหลือสุทธิ (มิ.ย.65)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</si>
  <si>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</si>
  <si>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</si>
  <si>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จัดซื้อ จัดหาด้วยเงินบำรุงของ รพ. ปี 2566 + เงินลงทุนเพิ่มด้วยเงินบำรุงส่วนเกิน</t>
  </si>
  <si>
    <t>ใส่เพิ่ม</t>
  </si>
  <si>
    <t>ค่าวัสดุ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</si>
  <si>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</si>
  <si>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</si>
  <si>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</si>
  <si>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</si>
  <si>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</si>
  <si>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</si>
  <si>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</si>
  <si>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</si>
  <si>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</si>
  <si>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</si>
  <si>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</si>
  <si>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</si>
  <si>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</si>
  <si>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</si>
  <si>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</si>
  <si>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Fixed Cost ตามประกาศ (สธ0204/22819 ลว.15 กค.59)</t>
  </si>
  <si>
    <t>ยา เวชภัณฑ์ และวัสดุทุกประเภท</t>
  </si>
  <si>
    <t>มูลค่ารวมทั้งปี 65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</si>
  <si>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</si>
  <si>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</si>
  <si>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</si>
  <si>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</si>
  <si>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</si>
  <si>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</si>
  <si>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</si>
  <si>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</si>
  <si>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</si>
  <si>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</si>
  <si>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</si>
  <si>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</si>
  <si>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</si>
  <si>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ผลการดำเนินงานปี 2564 ก.ย 2565</t>
  </si>
  <si>
    <t xml:space="preserve">  แผนประมาณการรับ - รายจ่ายเงินบำรุงปีงบประมาณ พ.ศ. 2566 โรงพยาบาล...............................จังหวัด.......................</t>
  </si>
  <si>
    <t>ประมาณการ</t>
  </si>
  <si>
    <t>เปรียบเทียบผลต่างของปี</t>
  </si>
  <si>
    <t>ผลการดำเนินการ</t>
  </si>
  <si>
    <t>ผลการดำเนินการ ไตรมาส 3</t>
  </si>
  <si>
    <t>คาดการณ์</t>
  </si>
  <si>
    <t>ผลต่าง</t>
  </si>
  <si>
    <t>%</t>
  </si>
  <si>
    <t>รายการรับ</t>
  </si>
  <si>
    <t>รายการจ่าย</t>
  </si>
  <si>
    <t>ค่าเวชภัณฑ์มิใช่ยาและวัสดุการแพทย์</t>
  </si>
  <si>
    <t>ค่าวัสดุวิทยาศาสตร์การแพทย์</t>
  </si>
  <si>
    <t>ค่าใช้จ่ายครุภัณฑ์  งบลงทุน จากเงินบำรุง</t>
  </si>
  <si>
    <t>ค่าใช้จ่ายสิ่งก่อสร้าง งบลงทุน จากเงินบำรุง</t>
  </si>
  <si>
    <t>เงินคงเหลือยกมา  ณ 30 ก.ย. 65</t>
  </si>
  <si>
    <t>ภาระหนี้สินผูกพัน ณ 30 ก.ย. 65</t>
  </si>
  <si>
    <t>เงินคงเหลือยกไป  ณ 30 ก.ย. 65</t>
  </si>
  <si>
    <t>(ลงชื่อ) …................................................................................................... ผู้จัดทำ</t>
  </si>
  <si>
    <t>(ลงชื่อ) …...............................................ตรวจสอบ</t>
  </si>
  <si>
    <t>แผนประมาณการรับ-จ่ายเงินบำรุง</t>
  </si>
  <si>
    <t>ค่าวัสดุวิทยาศาสตร์และการแพทย์</t>
  </si>
  <si>
    <t>การลงทุนด้วยเงินบำรุงส่วนเกิน</t>
  </si>
  <si>
    <t xml:space="preserve">ค่าใช้จ่ายครุภัณฑ์ สิ่งก่อสร้างฯ </t>
  </si>
  <si>
    <t>PC25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</si>
  <si>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  ณ 30 ก.ย. 2565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</si>
  <si>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 ณ 30 ก.ย. 2565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</si>
  <si>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ณ 30 ก.ย. 2565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</si>
  <si>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 ณ 30 ก.ย. 2565</t>
    </r>
  </si>
  <si>
    <t>ประมาณการ
ปี 2566</t>
  </si>
  <si>
    <t>คำอธิบาย เดิมของกระทรวง</t>
  </si>
  <si>
    <t>คำอธิบาย สระแก้ว</t>
  </si>
  <si>
    <t>งบค่าเสื่อม UC แม่ข่าย+ลูกข่าย</t>
  </si>
  <si>
    <t>(..........................................................)</t>
  </si>
  <si>
    <t>(..................................................)</t>
  </si>
  <si>
    <t>แผนประมาณการรายงานการรับ-จ่ายเงินบำรุง</t>
  </si>
  <si>
    <t>ประจำปีงบประมาณ พ.ศ. 2565</t>
  </si>
  <si>
    <t>แผนเงินบำรุง ปี 2563</t>
  </si>
  <si>
    <t>แผนเงินบำรุง ปี 2564</t>
  </si>
  <si>
    <t>แผนประมาณการ ปี 2563</t>
  </si>
  <si>
    <t>รับ-จ่ายจริง ปี 2563</t>
  </si>
  <si>
    <t>ส่วนต่าง ปี2563</t>
  </si>
  <si>
    <t>แผนประมาณการ ปี 2564</t>
  </si>
  <si>
    <t>รับ-จ่ายจริง ปี 2564</t>
  </si>
  <si>
    <t>ส่วนต่าง ปี 2564</t>
  </si>
  <si>
    <t>ประมาณการปี 2565</t>
  </si>
  <si>
    <t>คำอธิบาย</t>
  </si>
  <si>
    <t>1.1 กองทุนผู้ป่วยนอก</t>
  </si>
  <si>
    <t xml:space="preserve">   1.1.1 เหมาจ่ายรายหัว</t>
  </si>
  <si>
    <t>ข้อมูลจาก NHSO budget</t>
  </si>
  <si>
    <t xml:space="preserve">   1.1.2  สนับสนุนพัฒนาระบบ OP/PP Indiv</t>
  </si>
  <si>
    <t xml:space="preserve">   1.1.3  ส่งเสริมบริการปฐมภูมิ (QOF)</t>
  </si>
  <si>
    <t xml:space="preserve">   1.1.4 อื่นๆ</t>
  </si>
  <si>
    <t>1.2 กองทุนผู้ป่วยใน</t>
  </si>
  <si>
    <t>1.3 กองทุนสร้างเสริมสุขภาพและป้องกันโรค</t>
  </si>
  <si>
    <t xml:space="preserve">   1.3.1 งบ PP  เหมาจ่าย</t>
  </si>
  <si>
    <t xml:space="preserve">   1.3.2 งบ PP ตามเกณฑ์คุณภาพผลงานบริการ (QOF)</t>
  </si>
  <si>
    <t xml:space="preserve">   1.3.3 งบค่าบริการทันตฯส่งเสริมป้องกัน</t>
  </si>
  <si>
    <t xml:space="preserve">   1.3.4 PP บริหารระดับประเทศ</t>
  </si>
  <si>
    <t xml:space="preserve">   1.3.5 PP บริหารระดับเขต/จังหวัด</t>
  </si>
  <si>
    <t xml:space="preserve">   1.3.6  งบ PP Non Uc</t>
  </si>
  <si>
    <t xml:space="preserve">   1.3.7 อื่น ๆ</t>
  </si>
  <si>
    <t>1.4 กองทุน Central Reimburse</t>
  </si>
  <si>
    <t>1.5 งบค่าเสื่อม (งบลงทุน)</t>
  </si>
  <si>
    <t>1.5.1 งบค่าเสื่อม (ค้างจ่าย ปี 63)</t>
  </si>
  <si>
    <t>1.6 กองทุนฟื้นฟูสมรรถภาพด้านการแพทย์</t>
  </si>
  <si>
    <t>1.7 งบบริการเพิ่มเติมสำหรับหน่วยบริการที่มีต้นทุนคงที่สูง</t>
  </si>
  <si>
    <t>1.8 งบจ่ายตามเกณฑ์คุณภาพผลงานบริการ</t>
  </si>
  <si>
    <t>1.9 งบแพทย์แผนไทย</t>
  </si>
  <si>
    <t>1.10 งบบริการทันตกรรมรักษาในเด็กและทันตกรรมประดิษฐ์</t>
  </si>
  <si>
    <t>1.11 กองทุนเอดส์</t>
  </si>
  <si>
    <t>1.12 กองทุนไตวายเรื้อรัง</t>
  </si>
  <si>
    <t>1.13 ค่าบริการควบคุมป้องกันความรุนแรงของโรคเบาหวานและความดันโลหิตสูง</t>
  </si>
  <si>
    <t>1.14 งบบริการสุขภาพผู้ป่วยจิตเวช</t>
  </si>
  <si>
    <t>1.15 เงิน CF</t>
  </si>
  <si>
    <t>1.16 งบค่าตอบแทนกำลังคนด้านสาธารณสุข</t>
  </si>
  <si>
    <t>1.17 งบค่าบริการสาธารณสุขสำหรับผู้สูงอายุที่มีภาวะพึ่งพิง</t>
  </si>
  <si>
    <t>1.18 รายได้กองทุน UC -สนับสนุนยาและอื่นๆ</t>
  </si>
  <si>
    <t>1.19 งบค่าใช้จ่ายเพื่อเพิ่มประสิทธิภาพหน่วยบริการที่จำเป็นต้องให้บริการในพื้นที่กันดาร พื้นที่เสี่ยงภัย (HS)</t>
  </si>
  <si>
    <t>1.20 งบค่ารักษาพยาบาลผู้ประกันตนที่เป้นคนพิการ สิทธิประกันสังคม</t>
  </si>
  <si>
    <t>1.21 งบบริการสาธารณสุขเพิ่มเติมสำหรับบริการระดับปฐมภูมิที่มีแพทย์ประจำครอบครัว</t>
  </si>
  <si>
    <t>1.22 งบพระราชกำหนดกู้เงินฯ</t>
  </si>
  <si>
    <t>1.23 งบอื่นๆ สปสช.</t>
  </si>
  <si>
    <t>1.24 งบค่ารักษาพยาบาลสิทธิ อปท.</t>
  </si>
  <si>
    <t xml:space="preserve"> 1.19 รายรับจากการตามจ่ายของสถานบริการอื่น (ตามเรียกเก็บจริง)</t>
  </si>
  <si>
    <t xml:space="preserve">         - UC นอก CUP ในจังหวัด</t>
  </si>
  <si>
    <t xml:space="preserve">         - UC นอก CUP นอกจังหวัด</t>
  </si>
  <si>
    <t xml:space="preserve">         - UC ต่างสังกัด สป.</t>
  </si>
  <si>
    <t>2. รายได้ค่ารักษาพยาบาลสิทธิข้าราชการ</t>
  </si>
  <si>
    <t>3. รายได้ค่ารักษาพยาบาลสิทธิเบิกจ่ายตรง-กทม.</t>
  </si>
  <si>
    <t>4. รายได้ค่ารักษาพยาบาลสิทธิเบิกจ่ายตรง-อปท.</t>
  </si>
  <si>
    <t>5. รายได้ค่ารักษาพยาบาลสิทธิเบิกต้นสังกัด</t>
  </si>
  <si>
    <t>6. รายได้ค่ารักษาพยาบาลสิทธิกองทุนประกันสังคม</t>
  </si>
  <si>
    <t>7. รายได้ค่ารักษาพยาบาลสิทธิ พ.ร.บ.</t>
  </si>
  <si>
    <t>8. รายได้ค่ารักษาพยาบาลสิทธิแรงงานต่างด้าว</t>
  </si>
  <si>
    <t>9. รายได้ค่ารักษาพยาบาลสิทธิบุคคลที่มีปัญหาสถานะและสิทธิ</t>
  </si>
  <si>
    <t>10. รายได้ค่ารักษาพยาบาลสิทธิเงินชำระเอง</t>
  </si>
  <si>
    <t xml:space="preserve">11. รายรับเงินอุดหนุนจาก อปท. </t>
  </si>
  <si>
    <t>12. รายรับอื่นๆ (ระบุประเภท)</t>
  </si>
  <si>
    <t xml:space="preserve">     12.1  ดอกเบี้ยเงินฝากธนาคาร</t>
  </si>
  <si>
    <t xml:space="preserve">     12.2  รายได้จากการรับบริจาค</t>
  </si>
  <si>
    <t xml:space="preserve">     12.3 รายได้ค่าธรรมเนียม UC  (30 บาท)</t>
  </si>
  <si>
    <t xml:space="preserve">     12.4  รายได้ค่าตรวจสุขภาพ</t>
  </si>
  <si>
    <t xml:space="preserve">     12.5  รายได้ค่าสิ่งส่งตรวจ</t>
  </si>
  <si>
    <t xml:space="preserve">     12.6  รายได้ EMS</t>
  </si>
  <si>
    <t xml:space="preserve">     12.7 รายได้ค่าปรับ</t>
  </si>
  <si>
    <t xml:space="preserve">     12.8  รายได้ค่าธรรมเนียมอื่น ๆ</t>
  </si>
  <si>
    <t xml:space="preserve">     12.9  รายได้ค่าใบรับรองแพทย์</t>
  </si>
  <si>
    <t xml:space="preserve">     12.10  รายได้จากโครงการผลิตแพทย์/บุคลากรทางการแพทย์</t>
  </si>
  <si>
    <t xml:space="preserve">     12.11  รายได้ค่าบริหารจัดการประกันสังคม</t>
  </si>
  <si>
    <t xml:space="preserve">     12.12  รายได้กองทุนแรงงานต่างด้าว</t>
  </si>
  <si>
    <t xml:space="preserve">     12.13  รายได้กองทุนบุคคลที่มีปัญหาสถานะและสิทธิ</t>
  </si>
  <si>
    <t xml:space="preserve">     12.14  รายได้หน่วยงานรัฐ/บุคคลภายนอก/ค่าเช่า/หน่วยงานอื่น</t>
  </si>
  <si>
    <t xml:space="preserve">     12.15  รายได้เงิน งปม. รับโอนจาก สสจ.</t>
  </si>
  <si>
    <t xml:space="preserve">     12.16  รายได้เงิน นอกงบประมาณรับโอน</t>
  </si>
  <si>
    <t xml:space="preserve">     12.17  รายได้ค่าวัสดุรับโอนจาก สสจ.</t>
  </si>
  <si>
    <t xml:space="preserve">     12.18  รายรับอื่นๆ</t>
  </si>
  <si>
    <t>1.5 รายได้งบลงทุนงบค่าเสื่อม UC  ปี 2565  (รวมสนับสนุน รพ.สต.ในเครือข่าย)</t>
  </si>
  <si>
    <t xml:space="preserve">1.5.1 รายได้งบลงทุนงบค่าเสื่อม UC ค้างจ่าย ปี 2564) </t>
  </si>
  <si>
    <t>1.5.1 รายได้งบลงทุนงบค่าเสื่อม UC ค้างจ่าย ปี 2563)</t>
  </si>
  <si>
    <t>รายได้จากการช่วยเหลือเพื่อการลงทุนจากอปท. ปี 2565</t>
  </si>
  <si>
    <t>รายได้จากการช่วยเหลือเพื่อการลงทุนอื่น ปี 2565</t>
  </si>
  <si>
    <t>ค่าเวัสดุวิทยาศาสตร์และการแพทย์</t>
  </si>
  <si>
    <t xml:space="preserve">   1.1  ค่าจ้างพนักงานกระทรวงสาธารณสุข</t>
  </si>
  <si>
    <t xml:space="preserve">   1.2  ค่าจ้างเหมาบุคลากร</t>
  </si>
  <si>
    <t xml:space="preserve">   1.3  ค่าจ้างลูกจ้างชั่วคราว</t>
  </si>
  <si>
    <t xml:space="preserve">   2.1 เงินเพิ่มไม่ทำเวชปฏิบัติ แพทย์</t>
  </si>
  <si>
    <t xml:space="preserve">   2.2 เงินเพิ่มไม่ทำเวชปฏิบัติ ทันตแพทย์</t>
  </si>
  <si>
    <t xml:space="preserve">   2.3 เงินเพิ่มไม่ทำเวชปฏิบัติ เภสัชกร</t>
  </si>
  <si>
    <t xml:space="preserve">   2.4 ค่าเบี้ยเลี้ยงเหมาจ่าย </t>
  </si>
  <si>
    <t xml:space="preserve">   2.5 ค่าตอบแทน (พ.ต.ส.- เงินงบประมาณ)</t>
  </si>
  <si>
    <t xml:space="preserve">   2.6 ค่าตอบแทนพยาบาลเวร บ่าย-ดึก</t>
  </si>
  <si>
    <t xml:space="preserve">   2.7 ค่าตอบแทนในการปฏิบัติงานของเจ้าหน้าที่   (บริการ)</t>
  </si>
  <si>
    <t xml:space="preserve">   2.8 ค่าตอบแทนในการปฏิบัติงานของเจ้าหน้าที่  (สนับสนุน)</t>
  </si>
  <si>
    <t xml:space="preserve">   2.9 ค่าตอบแทนตามผลการปฏิบัติงาน (P4P) บริการ</t>
  </si>
  <si>
    <t xml:space="preserve">   2.10ค่าตอบแทนตามผลการปฏิบัติงาน (P4P) สนับสนุน </t>
  </si>
  <si>
    <t xml:space="preserve">   2.11 ค่าตอบแทน (พ.ต.ส.- เงินนอกงบประมาณ)</t>
  </si>
  <si>
    <t xml:space="preserve">   2.12 ค่าล่วงเวลา</t>
  </si>
  <si>
    <t xml:space="preserve">   2.13 ค่าตอบแทนชันสูตรพลิกศพ</t>
  </si>
  <si>
    <t xml:space="preserve">   2.14 ค่าตอบแทนอื่นๆ(ถ้ามีให้ระบุรายละเอียด)</t>
  </si>
  <si>
    <t>3. เงินสมทบประกันสังคมส่วนนายจ้าง</t>
  </si>
  <si>
    <t xml:space="preserve">     4.1 ค่าตอบแทนแพทย์สาขาส่งเสริมพิเศษ</t>
  </si>
  <si>
    <t xml:space="preserve">     4.2  เงินสมทบสำรองเลี้ยงชีพ พกส.</t>
  </si>
  <si>
    <t xml:space="preserve">     4.3..................................................................</t>
  </si>
  <si>
    <t xml:space="preserve">     4.4..................................................................</t>
  </si>
  <si>
    <t xml:space="preserve">     4.5..................................................................</t>
  </si>
  <si>
    <t xml:space="preserve">   1.1 ค่าใช้จ่ายเดินทางไปราชการ</t>
  </si>
  <si>
    <t xml:space="preserve">   1.2 ค่าใช้จ่ายในการฝึกอบรม</t>
  </si>
  <si>
    <t xml:space="preserve">   1.3 ค่าใช้จ่ายโครงการ</t>
  </si>
  <si>
    <t xml:space="preserve">      1.3.1 โครงการ P&amp;P</t>
  </si>
  <si>
    <t xml:space="preserve">      1.3.2 โครงการ (นอกเหนือจากเงิน PP)</t>
  </si>
  <si>
    <t xml:space="preserve">   1.4 ค่าซ่อมแซมบำรุงรักษาที่ดิน/สิ่งก่อสร้าง</t>
  </si>
  <si>
    <t xml:space="preserve">   1.5 ซ่อมยานพาหนะ</t>
  </si>
  <si>
    <t xml:space="preserve">   1.6 ค่าซ่อมแซมบำรุงรักษาครุภัณฑ์การแพทย์</t>
  </si>
  <si>
    <t xml:space="preserve">   1.7 ค่าซ่อมแซมบำรุงรักษาครุภัณฑ์อื่นๆ (สนง. , ไฟฟ้าและวิทยุ,คอมฯ ,ครุภัณฑ์อื่น)</t>
  </si>
  <si>
    <t xml:space="preserve">   1.8 ค่าจ้างเหมาทำความสะอาด</t>
  </si>
  <si>
    <t xml:space="preserve">   1.9 ค่าจ้างรักษาความปลอดภัย</t>
  </si>
  <si>
    <t xml:space="preserve">   1.10 ค่าจ้างเหมากำจัดขยะติดเชื้อ</t>
  </si>
  <si>
    <t xml:space="preserve">   1.11 ค่าจ้างเหมาบำรุงรักษาสวน</t>
  </si>
  <si>
    <t xml:space="preserve">   1.12 จ้างเหมาประกอบอาหารให้ผู้ป่วย</t>
  </si>
  <si>
    <t xml:space="preserve">   1.13 ค่าจ้างตรวจทางห้องปฏิบัติการ(ฟันเทียม)</t>
  </si>
  <si>
    <t xml:space="preserve">   1.14 ค่าจ้างตรวจทางห้องปฏิบัติการ(Lab)</t>
  </si>
  <si>
    <t xml:space="preserve">   1.15 ค่าจ้างตรวจทางห้องปฏิบัติการ(X-Ray)</t>
  </si>
  <si>
    <t xml:space="preserve">   1.16 ค่าจ้างเหมาบริการอื่นๆ</t>
  </si>
  <si>
    <t xml:space="preserve">   1.17 ค่าธรรมเนียมธนาคาร</t>
  </si>
  <si>
    <t xml:space="preserve">   1.18 ค่าใช้จ่ายด้านสังคมสงเคราะห์</t>
  </si>
  <si>
    <t xml:space="preserve">   2.1 ค่าไฟฟ้า</t>
  </si>
  <si>
    <t xml:space="preserve">   2.2 ค่าน้ำประปา</t>
  </si>
  <si>
    <t xml:space="preserve">   2.3 ค่าโทรศัพท์</t>
  </si>
  <si>
    <t xml:space="preserve">   2.4 ค่าบริการสื่อสารและโทรคมนาคม</t>
  </si>
  <si>
    <t xml:space="preserve">   2.5 ค่าไปรษณีย์</t>
  </si>
  <si>
    <t>4. ค่ารักษาพยาบาลตามจ่าย</t>
  </si>
  <si>
    <t xml:space="preserve">   - UC นอก CUP ในจังหวัด</t>
  </si>
  <si>
    <t xml:space="preserve">   - UC นอก CUP ต่างจังหวัด</t>
  </si>
  <si>
    <t xml:space="preserve">   - ค่ารักษาตามจ่ายแรงงานต่างด้าว</t>
  </si>
  <si>
    <t xml:space="preserve">   -ค่ารักษาตามจ่ายต่างสังกัด สป.</t>
  </si>
  <si>
    <t xml:space="preserve">  -บุคคลที่มีปัญหาสถานะและสิทธิ</t>
  </si>
  <si>
    <t>ค่าครุภัณฑ์ สิ่งก่อสร้างฯ</t>
  </si>
  <si>
    <t>5. รายจ่ายงบลงทุน(ค่าครุภัณฑ์/สิ่งก่อสร้าง)</t>
  </si>
  <si>
    <t xml:space="preserve">   5.1 งบลงทุน UC </t>
  </si>
  <si>
    <t xml:space="preserve">   5.2 งบลงทุนเงินบำรุง</t>
  </si>
  <si>
    <t xml:space="preserve">   5.3 งบลงทุน UC ที่ได้รับแต่ไม่สามารถดำเนินการให้แล้วเสร็จภายในปีที่ได้รับเงิน</t>
  </si>
  <si>
    <t>6. งบสนับสนุน รพ.สต. /สอ. /PCU ในเครือข่าย</t>
  </si>
  <si>
    <t xml:space="preserve">   6.1  Fixed cost</t>
  </si>
  <si>
    <t xml:space="preserve">    6.2  ค่ายา/เวชภัณฑ์มิใช่ยา/วัสดุการแพทย์/วัสดุอื่นๆ</t>
  </si>
  <si>
    <t xml:space="preserve">    6.3  งบลงทุน UC </t>
  </si>
  <si>
    <t xml:space="preserve">    6.4  ค่าใช้จ่ายอื่นๆ โอนให้ รพสต. (นอกเหนือจาก Fixed cost)</t>
  </si>
  <si>
    <t xml:space="preserve">    6.5  เงินรับฝากที่ รพ.รับไว้เพื่อโอนให้ รพ.สต.</t>
  </si>
  <si>
    <t xml:space="preserve">    6.6  เงินสนับสนุนโครงการ สสอ.</t>
  </si>
  <si>
    <t>7. รายจ่ายอื่นๆ (ระบุประเภท)</t>
  </si>
  <si>
    <t xml:space="preserve">    7.1 ค่าใช้จ่ายโครงการผลิตบุคลากรทางการแพทย์</t>
  </si>
  <si>
    <t xml:space="preserve">    7.2 ค่าเบี้ยประกันภัย</t>
  </si>
  <si>
    <t xml:space="preserve">    7.3 ค่าใช้จ่าย ที่โอนให้ หน่วยงานอื่น</t>
  </si>
  <si>
    <t xml:space="preserve">    7.4 ค่าใช้จ่ายลักษณะอื่นๆ</t>
  </si>
  <si>
    <t>รวมค่าใช้จ่ายจากการดำเนินงาน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</si>
  <si>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</si>
  <si>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</si>
  <si>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</si>
  <si>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</si>
  <si>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แผนประมาณการรายรับ-รายจ่ายเงินบำรุง และรับ-จ่าย จริง ปีงบประมาณ 2566</t>
  </si>
  <si>
    <t>คำอธิบาย/เอกสารประกอบ</t>
  </si>
  <si>
    <t>1. รายรับ UC</t>
  </si>
  <si>
    <t xml:space="preserve">         -UC ต่างสังกัด สป.</t>
  </si>
  <si>
    <t>รายจ่าย</t>
  </si>
  <si>
    <t>1. ค่าจ้างลูกจ้างชั่วคราว</t>
  </si>
  <si>
    <t>แนบวิธีการคำนวณประมาณการค่าจ้าง</t>
  </si>
  <si>
    <t>2. ค่าตอบแทน</t>
  </si>
  <si>
    <t>แนบวิธีการคำนวณประมาณการค่าตอบแทน</t>
  </si>
  <si>
    <t>ต้องมียอดเงินเท่ากับรายรับข้อ 12.15</t>
  </si>
  <si>
    <t>ค่าตอบแทนล่วงเวลาตามระเบียบกรมบัญชีกลาง</t>
  </si>
  <si>
    <t>4. ค่าใช้จ่ายด้านบุคลากรอื่นๆ(ถ้ามีให้ระบุรายละเอียด)</t>
  </si>
  <si>
    <t>รวมค่าใช้จ่ายด้านบุคลากร</t>
  </si>
  <si>
    <t>1. ค่าใช้สอย</t>
  </si>
  <si>
    <t>2. ค่าสาธารณูปโภค</t>
  </si>
  <si>
    <t>3. ค่าวัสดุ</t>
  </si>
  <si>
    <t xml:space="preserve">   3.1 ค่ายา</t>
  </si>
  <si>
    <t xml:space="preserve">   3.3 ค่าวัสดุการแพทย์  </t>
  </si>
  <si>
    <t xml:space="preserve">   3.4 ค่าวัสดุวิทยาศาสตร์การแพทย์ (Lab)</t>
  </si>
  <si>
    <t xml:space="preserve">   3.5 ค่าวัสดุเอ๊กซเรย์ (X-Ray)</t>
  </si>
  <si>
    <t xml:space="preserve">   3.6 ค่าวัสดุทันตกรรม</t>
  </si>
  <si>
    <t xml:space="preserve">   3.7 ค่าวัสดุน้ำมันเชื้อเพลิง</t>
  </si>
  <si>
    <t xml:space="preserve">   3.8 ค่าวัสดุอื่นๆ</t>
  </si>
  <si>
    <t xml:space="preserve">      3.8.1 วัสดุสำนักงาน</t>
  </si>
  <si>
    <t xml:space="preserve">        3.8.2 วัสดุยานพาหนะและขนส่ง</t>
  </si>
  <si>
    <t xml:space="preserve">        3.8.3 วัสดุไฟฟ้าและวิทยุ</t>
  </si>
  <si>
    <t xml:space="preserve">        3.8.4 วัสดุโฆษณาและเผยแพร่</t>
  </si>
  <si>
    <t xml:space="preserve">        3.8.5 วัสดุคอมพิวเตอร์</t>
  </si>
  <si>
    <t xml:space="preserve">        3.8.6 วัสดุงานบ้านงานครัว</t>
  </si>
  <si>
    <t xml:space="preserve">        3.8.7 วัสดุบริโภค</t>
  </si>
  <si>
    <t xml:space="preserve">        3.8.8 วัสดุเครื่องแต่งกาย</t>
  </si>
  <si>
    <t xml:space="preserve">        3.8.9 วัสดุก่อสร้าง</t>
  </si>
  <si>
    <t xml:space="preserve">   3.9 ค่าครุภัณฑ์ต่ำกว่าเกณฑ์</t>
  </si>
  <si>
    <t>ต้องแนบรายละเอียดที่จัดสรรให้ รพ.สต.</t>
  </si>
  <si>
    <t>เงินที่รพ.ได้รับ แล้วจะต้องจัดสรรต่อให้ รพ.สต.</t>
  </si>
  <si>
    <t>สรุปรายรับ สูง (ต่ำ) กว่ารายจ่าย</t>
  </si>
  <si>
    <t xml:space="preserve"> EBITDA รายรับหักรายจ่าย (ไม่รวมงบลงทุน)</t>
  </si>
  <si>
    <t>งบลงทุนเปรียบเทียบกับ EBITDA 20%</t>
  </si>
  <si>
    <t>แผนงบลงทุน เงินบำรุง</t>
  </si>
  <si>
    <t>ส่วนต่าง EBITDA 20% - แผนงบลงทุน</t>
  </si>
  <si>
    <t xml:space="preserve">                      เงินคงเหลือ</t>
  </si>
  <si>
    <t xml:space="preserve">                      เจ้าหนี้การค้า</t>
  </si>
  <si>
    <t xml:space="preserve">                      ค่าใช้จ่ายค้างจ่าย</t>
  </si>
  <si>
    <t>เงินรับฝาก - ที่รอโอนให้ รพ.สต.</t>
  </si>
  <si>
    <t>เงินรับฝากอื่น เพื่อรอจ่าย</t>
  </si>
  <si>
    <t xml:space="preserve">                      งบลงทุน UC</t>
  </si>
  <si>
    <t xml:space="preserve">                      รวมหนี้สินที่ต้องจ่าย</t>
  </si>
  <si>
    <t xml:space="preserve">                      ยอดเงินคงเหลือทั้งสิ้น</t>
  </si>
  <si>
    <t>แผนประมาณการ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</si>
  <si>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</si>
  <si>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</si>
  <si>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</si>
  <si>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</si>
  <si>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</si>
  <si>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</si>
  <si>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1101020501.104</t>
  </si>
  <si>
    <t>เงินฝากคลัง - ที่มีวัตถุประสงค์เฉพาะ (เงินบริจาค)</t>
  </si>
  <si>
    <t>1101020501.201</t>
  </si>
  <si>
    <t>เงินฝากคลัง - ที่มีวัตถุประสงค์เฉพาะ 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</si>
  <si>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</si>
  <si>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</si>
  <si>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</si>
  <si>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</si>
  <si>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1101020605.101</t>
  </si>
  <si>
    <t>เงินฝากธนาคารรับจากคลัง (เงินกู้)</t>
  </si>
  <si>
    <t>เงินฝากธนาคาร- นอกงบประมาณ รอการจัดสรร 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</si>
  <si>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</si>
  <si>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</si>
  <si>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1101030102.104</t>
  </si>
  <si>
    <t>เงินฝากธนาคาร - นอกงบประมาณที่มีวัตถุประสงค์เฉพาะ ออมทรัพย์ (งบลงทุน UC)</t>
  </si>
  <si>
    <t>1101030102.105</t>
  </si>
  <si>
    <t>เงินฝากธนาคาร - 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</si>
  <si>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</si>
  <si>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</si>
  <si>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</si>
  <si>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</si>
  <si>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</si>
  <si>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</si>
  <si>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</si>
  <si>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</si>
  <si>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</si>
  <si>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</si>
  <si>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</si>
  <si>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</si>
  <si>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</si>
  <si>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</si>
  <si>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</si>
  <si>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</si>
  <si>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</si>
  <si>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</si>
  <si>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</si>
  <si>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</si>
  <si>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</si>
  <si>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</si>
  <si>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</si>
  <si>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</si>
  <si>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</si>
  <si>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</si>
  <si>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</si>
  <si>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</si>
  <si>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</si>
  <si>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</si>
  <si>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</si>
  <si>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</si>
  <si>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</si>
  <si>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 xml:space="preserve">ลูกหนี้ค่ารักษาด้านการสร้างเสริมสุขภาพและป้องกันโรค (P&amp;P) 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</si>
  <si>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</si>
  <si>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</si>
  <si>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</si>
  <si>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</si>
  <si>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</si>
  <si>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</si>
  <si>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</si>
  <si>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</si>
  <si>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</si>
  <si>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</si>
  <si>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</si>
  <si>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</si>
  <si>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</si>
  <si>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</si>
  <si>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</si>
  <si>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</si>
  <si>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</si>
  <si>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</si>
  <si>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</si>
  <si>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</si>
  <si>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</si>
  <si>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</si>
  <si>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</si>
  <si>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</si>
  <si>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</si>
  <si>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</si>
  <si>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</si>
  <si>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</si>
  <si>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</si>
  <si>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</si>
  <si>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</si>
  <si>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</si>
  <si>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</si>
  <si>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</si>
  <si>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</si>
  <si>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</si>
  <si>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</si>
  <si>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</si>
  <si>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</si>
  <si>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</si>
  <si>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</si>
  <si>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</si>
  <si>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</si>
  <si>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</si>
  <si>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</si>
  <si>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</si>
  <si>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</si>
  <si>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</si>
  <si>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</si>
  <si>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</si>
  <si>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</si>
  <si>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</si>
  <si>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</si>
  <si>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 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</si>
  <si>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</si>
  <si>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</si>
  <si>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</si>
  <si>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</si>
  <si>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</si>
  <si>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</si>
  <si>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</si>
  <si>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</si>
  <si>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</si>
  <si>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</si>
  <si>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</si>
  <si>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</si>
  <si>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</si>
  <si>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</si>
  <si>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</si>
  <si>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</si>
  <si>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</si>
  <si>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</si>
  <si>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</si>
  <si>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</si>
  <si>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</si>
  <si>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</si>
  <si>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</si>
  <si>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</si>
  <si>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</si>
  <si>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</si>
  <si>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</si>
  <si>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</si>
  <si>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</si>
  <si>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</si>
  <si>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</si>
  <si>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</si>
  <si>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</si>
  <si>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</si>
  <si>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</si>
  <si>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</si>
  <si>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</si>
  <si>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</si>
  <si>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</si>
  <si>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</si>
  <si>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</si>
  <si>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 - Non UC </t>
  </si>
  <si>
    <t>1102050107.106</t>
  </si>
  <si>
    <t>รายได้ค้างรับส่วนต่างค่ารักษาที่ต่ำกว่า IP - Non UC</t>
  </si>
  <si>
    <t>1102050107.201</t>
  </si>
  <si>
    <t xml:space="preserve">รายได้ค้างรับส่วนต่างค่ารักษาที่ต่ำกว่า OP - UC 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</si>
  <si>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</si>
  <si>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</si>
  <si>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</si>
  <si>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</si>
  <si>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</si>
  <si>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</si>
  <si>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</si>
  <si>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</si>
  <si>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</si>
  <si>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</si>
  <si>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</si>
  <si>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</si>
  <si>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</si>
  <si>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</si>
  <si>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</si>
  <si>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(ต่างจังหวัด)</t>
  </si>
  <si>
    <t>1102050124.101</t>
  </si>
  <si>
    <t>ค้างรับจากกรมบัญชีกลาง - หน่วยเบิกจ่าย</t>
  </si>
  <si>
    <t>1102050194.101</t>
  </si>
  <si>
    <t xml:space="preserve">ลูกหนี้อื่น 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</si>
  <si>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</si>
  <si>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</si>
  <si>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</si>
  <si>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</si>
  <si>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</si>
  <si>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</si>
  <si>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</si>
  <si>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</si>
  <si>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</si>
  <si>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</si>
  <si>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</si>
  <si>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</si>
  <si>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</si>
  <si>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</si>
  <si>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</si>
  <si>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</si>
  <si>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</si>
  <si>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</si>
  <si>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</si>
  <si>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</si>
  <si>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</si>
  <si>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</si>
  <si>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</si>
  <si>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</si>
  <si>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</si>
  <si>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</si>
  <si>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</si>
  <si>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</si>
  <si>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</si>
  <si>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</si>
  <si>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</si>
  <si>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</si>
  <si>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</si>
  <si>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</si>
  <si>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</si>
  <si>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</si>
  <si>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</si>
  <si>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</si>
  <si>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1201020101.101</t>
  </si>
  <si>
    <t>เงินให้ยืมระยะยาว-หน่วยงานภาครัฐ</t>
  </si>
  <si>
    <t>1201050198.101</t>
  </si>
  <si>
    <t>ลูกหนี้อื่นระยะยาว</t>
  </si>
  <si>
    <t>1204020103.101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</si>
  <si>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</si>
  <si>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</si>
  <si>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</si>
  <si>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</si>
  <si>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</si>
  <si>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</si>
  <si>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</si>
  <si>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</si>
  <si>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</si>
  <si>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</si>
  <si>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</si>
  <si>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</si>
  <si>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</si>
  <si>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</si>
  <si>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</si>
  <si>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</si>
  <si>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</si>
  <si>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</si>
  <si>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</si>
  <si>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</si>
  <si>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</si>
  <si>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</si>
  <si>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</si>
  <si>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</si>
  <si>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</si>
  <si>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</si>
  <si>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</si>
  <si>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</si>
  <si>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</si>
  <si>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</si>
  <si>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</si>
  <si>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</si>
  <si>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</si>
  <si>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</si>
  <si>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</si>
  <si>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</si>
  <si>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</si>
  <si>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</si>
  <si>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</si>
  <si>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</si>
  <si>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</si>
  <si>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</si>
  <si>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</si>
  <si>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</si>
  <si>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</si>
  <si>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</si>
  <si>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</si>
  <si>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</si>
  <si>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</si>
  <si>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</si>
  <si>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</si>
  <si>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</si>
  <si>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</si>
  <si>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</si>
  <si>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</si>
  <si>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</si>
  <si>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</si>
  <si>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</si>
  <si>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</si>
  <si>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</si>
  <si>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</si>
  <si>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</si>
  <si>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</si>
  <si>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</si>
  <si>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</si>
  <si>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</si>
  <si>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</si>
  <si>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</si>
  <si>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</si>
  <si>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</si>
  <si>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</si>
  <si>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</si>
  <si>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</si>
  <si>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</si>
  <si>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</si>
  <si>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</si>
  <si>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</si>
  <si>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</si>
  <si>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</si>
  <si>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</si>
  <si>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</si>
  <si>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</si>
  <si>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</si>
  <si>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</si>
  <si>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</si>
  <si>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</si>
  <si>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</si>
  <si>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</si>
  <si>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</si>
  <si>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</si>
  <si>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 - Interface</t>
  </si>
  <si>
    <t>1205050102.107</t>
  </si>
  <si>
    <t>ค่าเสื่อมราคาสะสมระบบไฟฟ้า 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</si>
  <si>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</si>
  <si>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</si>
  <si>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</si>
  <si>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</si>
  <si>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</si>
  <si>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</si>
  <si>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</si>
  <si>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</si>
  <si>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</si>
  <si>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</si>
  <si>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</si>
  <si>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</si>
  <si>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</si>
  <si>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</si>
  <si>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</si>
  <si>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</si>
  <si>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</si>
  <si>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</si>
  <si>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</si>
  <si>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</si>
  <si>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</si>
  <si>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</si>
  <si>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</si>
  <si>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</si>
  <si>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</si>
  <si>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</si>
  <si>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</si>
  <si>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</si>
  <si>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</si>
  <si>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</si>
  <si>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</si>
  <si>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</si>
  <si>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</si>
  <si>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</si>
  <si>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</si>
  <si>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</si>
  <si>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</si>
  <si>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</si>
  <si>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</si>
  <si>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</si>
  <si>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</si>
  <si>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</si>
  <si>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</si>
  <si>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</si>
  <si>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</si>
  <si>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</si>
  <si>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</si>
  <si>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</si>
  <si>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</si>
  <si>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</si>
  <si>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</si>
  <si>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</si>
  <si>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</si>
  <si>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</si>
  <si>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</si>
  <si>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</si>
  <si>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</si>
  <si>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</si>
  <si>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</si>
  <si>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</si>
  <si>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</si>
  <si>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</si>
  <si>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</si>
  <si>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</si>
  <si>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</si>
  <si>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</si>
  <si>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</si>
  <si>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ค่าเสื่อมราคาสะสม-ครุภัณฑ์การศึกษา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</si>
  <si>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</si>
  <si>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</si>
  <si>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</si>
  <si>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</si>
  <si>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</si>
  <si>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</si>
  <si>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</si>
  <si>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</si>
  <si>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</si>
  <si>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</si>
  <si>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</si>
  <si>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ค่าเสื่อมราคาสะสม-ครุภัณฑ์กีฬา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</si>
  <si>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</si>
  <si>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</si>
  <si>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</si>
  <si>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</si>
  <si>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</si>
  <si>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ค่าเสื่อมราคาสะสม-ครุภัณฑ์ดนตรี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</si>
  <si>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</si>
  <si>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</si>
  <si>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</si>
  <si>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</si>
  <si>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</si>
  <si>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ค่าเสื่อมราคาสะสม-ครุภัณฑ์สนาม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</si>
  <si>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</si>
  <si>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</si>
  <si>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</si>
  <si>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</si>
  <si>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</si>
  <si>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</si>
  <si>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</si>
  <si>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</si>
  <si>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</si>
  <si>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</si>
  <si>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</si>
  <si>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</si>
  <si>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</si>
  <si>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</si>
  <si>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</si>
  <si>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</si>
  <si>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</si>
  <si>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</si>
  <si>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</si>
  <si>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</si>
  <si>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</si>
  <si>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</si>
  <si>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</si>
  <si>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</si>
  <si>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</si>
  <si>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</si>
  <si>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</si>
  <si>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</si>
  <si>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</si>
  <si>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</si>
  <si>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</si>
  <si>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</si>
  <si>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</si>
  <si>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</si>
  <si>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</si>
  <si>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</si>
  <si>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</si>
  <si>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</si>
  <si>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</si>
  <si>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</si>
  <si>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</si>
  <si>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</si>
  <si>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</si>
  <si>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</si>
  <si>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</si>
  <si>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</si>
  <si>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</si>
  <si>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</si>
  <si>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</si>
  <si>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</si>
  <si>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</si>
  <si>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</si>
  <si>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</si>
  <si>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</si>
  <si>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</si>
  <si>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</si>
  <si>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</si>
  <si>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</si>
  <si>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</si>
  <si>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</si>
  <si>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</si>
  <si>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</si>
  <si>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</si>
  <si>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</si>
  <si>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</si>
  <si>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</si>
  <si>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</si>
  <si>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</si>
  <si>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</si>
  <si>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</si>
  <si>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</si>
  <si>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</si>
  <si>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</si>
  <si>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</si>
  <si>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2101010101.102</t>
  </si>
  <si>
    <t>เจ้าหนี้การค้า - หน่วยงานภาครัฐ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</si>
  <si>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</si>
  <si>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</si>
  <si>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</si>
  <si>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</si>
  <si>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</si>
  <si>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</si>
  <si>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</si>
  <si>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</si>
  <si>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2101010103.101</t>
  </si>
  <si>
    <t>รับสินค้า/ใบสำคัญ (GR/IR) - เงินงบประมาณ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</si>
  <si>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</si>
  <si>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</si>
  <si>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</si>
  <si>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</si>
  <si>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</si>
  <si>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2101020198.118</t>
  </si>
  <si>
    <t>2101020198.121</t>
  </si>
  <si>
    <t>2101020198.122</t>
  </si>
  <si>
    <t>2101020199.151</t>
  </si>
  <si>
    <t>เจ้าหนี้- เงินบริจาค</t>
  </si>
  <si>
    <t>2101020199.201</t>
  </si>
  <si>
    <t>เจ้าหนี้- งบลงทุน UC</t>
  </si>
  <si>
    <t>ค่าใช้จ่ายค้างจ่ายอื่น-บุคคลภายนอก</t>
  </si>
  <si>
    <t>2111020199.202</t>
  </si>
  <si>
    <t>เงินรับฝากกองทุน UC (งบลงทุน)</t>
  </si>
  <si>
    <t>เงินรับฝากกองทุนแรงงานต่างด้าว-ค่าบริหารจัดการ</t>
  </si>
  <si>
    <t>2202010101.101</t>
  </si>
  <si>
    <t>เงินทดรองราชการรับจากคลัง-เพื่อการดำเนินงาน</t>
  </si>
  <si>
    <t>2203010101.101</t>
  </si>
  <si>
    <t>เงินยืมระยะยาว-หน่วยงานภาครัฐ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</si>
  <si>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</si>
  <si>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</si>
  <si>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</si>
  <si>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</si>
  <si>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</si>
  <si>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</si>
  <si>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</si>
  <si>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</si>
  <si>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</si>
  <si>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      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</si>
  <si>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</si>
  <si>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</si>
  <si>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</si>
  <si>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</si>
  <si>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</si>
  <si>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</si>
  <si>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</si>
  <si>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</si>
  <si>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3102010102.201</t>
  </si>
  <si>
    <t xml:space="preserve">กำไร/ขาดทุนสะสมจากข้อผิดพลาดเงินกองทุนUC ปีก่อน
</t>
  </si>
  <si>
    <t>3105010101.101</t>
  </si>
  <si>
    <t>ทุนของหน่วยงาน</t>
  </si>
  <si>
    <t>3105010103.101</t>
  </si>
  <si>
    <t>ทุน-คงยอดเงินต้น</t>
  </si>
  <si>
    <t>หมวดผังบัญชี</t>
  </si>
  <si>
    <t>5102020114.127</t>
  </si>
  <si>
    <t>ค่าตอบแทนพิเศษชายแดนภาคใต้ (บริการ)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</si>
  <si>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</si>
  <si>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</si>
  <si>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ผลการจ่ายเงิน</t>
  </si>
  <si>
    <t>รพ.สต. เฉลิมพระเกียรติฯ</t>
  </si>
  <si>
    <t>รพ.สต. ทุ่งกบินทร์</t>
  </si>
  <si>
    <t>รพ.สต. บ้านถวาย</t>
  </si>
  <si>
    <t>รพ.สต. วังใหม่</t>
  </si>
  <si>
    <t>รพ.สต. ซับสิงโต</t>
  </si>
  <si>
    <t>รพ.สต. คลองเจริญสุข</t>
  </si>
  <si>
    <t>สสอ. วังสมบูรณ์</t>
  </si>
  <si>
    <t>รับจ่ายจริงปี 63</t>
  </si>
  <si>
    <t xml:space="preserve">รับจ่ายจริงปี 64 </t>
  </si>
  <si>
    <t>รับจ่ายจริงปี 65</t>
  </si>
  <si>
    <t>แผนรับจ่ายปี 66</t>
  </si>
  <si>
    <t>Mean</t>
  </si>
  <si>
    <t>SD</t>
  </si>
  <si>
    <t>1.5 งบค่าเสื่อม (งบลงทุน) (เบิกจากเงินงบประมาณ)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</si>
  <si>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โรงพยาบาลวังสมบูรณ์ ตำบลวังสมบูรณ์ อำเภอวังสมบูรณ์ จังหวัดสระแก้ว</t>
  </si>
  <si>
    <t xml:space="preserve">1.15  เงิน CF </t>
  </si>
  <si>
    <t>2. รายได้ค่ารักษาพยาบาลสิทธิข้าราชการ(เบิกคลัง)</t>
  </si>
  <si>
    <t>ต้องมียอดเงินเท่ากับรายจ่ายข้อ 2.5</t>
  </si>
  <si>
    <t>ไม่ต้องกรอกข้อมูลในตอนทำแผน</t>
  </si>
  <si>
    <t>ค่ารอรับรู้+รายได้ลักษณะอื่น</t>
  </si>
  <si>
    <t xml:space="preserve">   2.4 ค่าเบี้ยเลี้ยงเหมาจ่าย( ฉ11) 12เดือน (เงินนอกงบประมาณ)</t>
  </si>
  <si>
    <t>6 เดือน</t>
  </si>
  <si>
    <t xml:space="preserve">   2.4.1 ค่าเบี้ยเลี้ยงเหมาจ่าย(เงินงบประมาณ( ฉ11) </t>
  </si>
  <si>
    <t xml:space="preserve">     4.3  ……………………………………………</t>
  </si>
  <si>
    <t xml:space="preserve">     4.4  …………………………………………..</t>
  </si>
  <si>
    <t xml:space="preserve">     4.5............................................................</t>
  </si>
  <si>
    <t>1.ค่าใช้สอย</t>
  </si>
  <si>
    <t>อยู่หมวด 1</t>
  </si>
  <si>
    <t>2.ค่าเบี้ยประกันภัย</t>
  </si>
  <si>
    <t>อยู่หมวด 7</t>
  </si>
  <si>
    <t>รวมค่าใช้สอย</t>
  </si>
  <si>
    <t xml:space="preserve">      1.3.2 โครงการ (นอกเหนือจากเงิน PP) อบต/อบจ/อื่นๆ</t>
  </si>
  <si>
    <t xml:space="preserve">   1.10 ค่าจ้างเหมากำจัดขยะ</t>
  </si>
  <si>
    <t xml:space="preserve">   1.13 ค่าจ้างตรวจทางห้องปฏิบัติการ</t>
  </si>
  <si>
    <t>ค่าจ้าง ตรวจ LAB+,มะเร็งปากมดลูก+วัตถุพยาน+ทำฟันปลอม</t>
  </si>
  <si>
    <t xml:space="preserve">   1.15 ค่าจ้างตรวจเอ็กซเรย์คอมพิวเตอร์(X-Ray)</t>
  </si>
  <si>
    <t xml:space="preserve"> </t>
  </si>
  <si>
    <t>คือวัสดุที่เบิกใช้จริงเฉพาะ ของ รพ. (ไม่รวม รพ.สต.)</t>
  </si>
  <si>
    <t>วัสดุ</t>
  </si>
  <si>
    <t xml:space="preserve">   3.2 ค่าวัสดุเภสัชกรรม (เวชภัณฑ์มิใช่ยา)</t>
  </si>
  <si>
    <t xml:space="preserve">        3.8.10 วัสดุอื่นๆ (วัสดุการเกษตร)</t>
  </si>
  <si>
    <t>แผนปี 64 ห้ามใช้รายจ่ายครุภัณฑ์ต่ำกว่าเกณฑ์</t>
  </si>
  <si>
    <t xml:space="preserve">   5.1 งบลงทุน UC (ค่าเสื่อม)</t>
  </si>
  <si>
    <t>เฉพาะของรพ.</t>
  </si>
  <si>
    <t>สิ่งก่อสร้าง</t>
  </si>
  <si>
    <t xml:space="preserve">   5.2 งบลงทุนเงินบำรุง (ค่าครุภัณฑ์สูงกว่าเกณฑ์+สิ่งก่อสร้าง)</t>
  </si>
  <si>
    <t>แนบรายการครุภัณฑ์ที่จะขอจัดทำแผนจัดซื้อ</t>
  </si>
  <si>
    <t>ค่าครุภัณฑ์ต่ำกว่าเกณฑ์</t>
  </si>
  <si>
    <t>ค่าครุภัณฑ์สูงกว่าเกณฑ์</t>
  </si>
  <si>
    <t>เงินสมทบค่าเสื่อม</t>
  </si>
  <si>
    <t>รวม (งบลงทุนเงินบำรุง)</t>
  </si>
  <si>
    <t xml:space="preserve">    6.3  งบลงทุน UC (ค่าเสื่อม)</t>
  </si>
  <si>
    <t>รวมยอดตามแผนเงินบำรุง</t>
  </si>
  <si>
    <t>ยอดเงินที่ รพ. โอนสนับสนุน</t>
  </si>
  <si>
    <t>ทุนพยาบาล+นักรังสี</t>
  </si>
  <si>
    <t xml:space="preserve">รพ. โอนเงิน วัสดุ ครุภัณฑ์ ให้ หน่วยบริการอื่น </t>
  </si>
  <si>
    <t xml:space="preserve">สถานะเงินบำรุง ณ  30   กันยายน </t>
  </si>
  <si>
    <t>ณ.30 ก.ย 2563</t>
  </si>
  <si>
    <t>ณ.30 ก.ย 2564</t>
  </si>
  <si>
    <t>ณ.30 ก.ย 2565</t>
  </si>
  <si>
    <t>บัญชีรายละเอียดเงินเดือนพนักงานกระทรวงสาธารณสุข โรงพยาบาลวังสมบูรณ์  จังหวัดสระแก้ว</t>
  </si>
  <si>
    <t xml:space="preserve">ชื่อ-สกุล  </t>
  </si>
  <si>
    <t>เงินเดือน 1 ตุลาคม 65</t>
  </si>
  <si>
    <t>5% ประกันสังคม</t>
  </si>
  <si>
    <t>เงินเดือนประมาณการ/ เดือน</t>
  </si>
  <si>
    <t>เงินเดือนประมาณการ/ ปี</t>
  </si>
  <si>
    <t>นายพงศธร ภู่งาม</t>
  </si>
  <si>
    <t>นางสาวไพรินทร์ ศรีปัจฉิม</t>
  </si>
  <si>
    <t>นางเกศิณี ธรรมเจริญ</t>
  </si>
  <si>
    <t>นายอัครเรศ ผามั่น</t>
  </si>
  <si>
    <t>นางสาวพัทรียา เมืองทอง</t>
  </si>
  <si>
    <t>นางสมพร บุญมา</t>
  </si>
  <si>
    <t>นางสาวพัชรี บุญมา</t>
  </si>
  <si>
    <t>นางสาวเดือนเพ็ญ ตาประศรี</t>
  </si>
  <si>
    <t>นายวัชชิระ นามภักดี</t>
  </si>
  <si>
    <t>นายชูศักดิ์ สงนางรอง</t>
  </si>
  <si>
    <t>นางทองมา แสนปาง</t>
  </si>
  <si>
    <t>นางสาวนฤมล คุ้มเขตต์</t>
  </si>
  <si>
    <t>นางสาวณัฏฐนันธ์ นามวิจิตร์</t>
  </si>
  <si>
    <t>นายจำเวียง สายอยู่</t>
  </si>
  <si>
    <t>นางสาววิไลพร ปั่นหอม</t>
  </si>
  <si>
    <t>นางสาวนันธิดา จิตร์ธรรม</t>
  </si>
  <si>
    <t>นางสาวกันยกร เพ็ชรจรูญ</t>
  </si>
  <si>
    <t>นางไพรินทร์ พรหมเสน</t>
  </si>
  <si>
    <t>นายนิพนธ์ ดีเลิศ</t>
  </si>
  <si>
    <t>นายพิษณุพงษ์ คุ้มพล</t>
  </si>
  <si>
    <t>นายศิวะ ตอพล</t>
  </si>
  <si>
    <t>นางสาววีณา รสโสดา</t>
  </si>
  <si>
    <t>นางสาวปรียาภรณ์ มาไลทอง</t>
  </si>
  <si>
    <t>รวมทั้งสิ้น</t>
  </si>
  <si>
    <t>ประกันสังคม</t>
  </si>
  <si>
    <t xml:space="preserve">บัญชีรายละเอียดเงินเดือนลูกจ้างชั่วคราว </t>
  </si>
  <si>
    <t xml:space="preserve">เงินเดือน </t>
  </si>
  <si>
    <t>นางสาวกาญจนา ทองเกิด</t>
  </si>
  <si>
    <t>นางสาวกัลยรัตน์ จิตรสูงเนิน</t>
  </si>
  <si>
    <t>นางสาวจรินทร์รักษ์ อยู่ทอง</t>
  </si>
  <si>
    <t>นางสาวภัทรพร สียา</t>
  </si>
  <si>
    <t>นางสาวสุพรรณี คู่เมือง</t>
  </si>
  <si>
    <t>นางสาวณัฐธยา บุญมาเครือ</t>
  </si>
  <si>
    <t>นางสาวชนาพร เผียงสูงเนิน</t>
  </si>
  <si>
    <t>นายบุญมี ไหมทอง</t>
  </si>
  <si>
    <t>นางสาวจตุพร สายอยู่</t>
  </si>
  <si>
    <t>นางสาวสุมารินทร์ อินพิทักษ์</t>
  </si>
  <si>
    <t>นางสาวเมธิศา วงศ์รุจิโรจน์</t>
  </si>
  <si>
    <t>นางสาวกัญญารัตน์ ถาวรผล</t>
  </si>
  <si>
    <t>นายนิธิวัฒน์ กลิ่นเกษร</t>
  </si>
  <si>
    <t>นางสาวภัทรา ประกอบชัยโชค</t>
  </si>
  <si>
    <t>นางสาวศศิธร สุขมา</t>
  </si>
  <si>
    <t>นางสาวอรวรรณ แสงสุนีย์</t>
  </si>
  <si>
    <t>นายวินัย นนดี</t>
  </si>
  <si>
    <t>นางสาวไฉไล ลือพรม</t>
  </si>
  <si>
    <t>นายนวพล นามศรี</t>
  </si>
  <si>
    <t>นายทรงยศ นวลตา</t>
  </si>
  <si>
    <t>นางสาวน้ำผึ้ง ยอดดำเนิน</t>
  </si>
  <si>
    <t>นางสาวยุพิน สมสา</t>
  </si>
  <si>
    <t>นายไพโรจน์ พันธุ์วัฒนาเจริญ</t>
  </si>
  <si>
    <t>นางสาวเบญญาภา ธิยาเวศ</t>
  </si>
  <si>
    <t>นางสาวชลิตา แสนโสดา</t>
  </si>
  <si>
    <t>นายธานินทร์ มณีธรรม</t>
  </si>
  <si>
    <t>นางสาวขนิษฐา สุภาสูรย์</t>
  </si>
  <si>
    <t>นายศักดิ์กรินทร์ เจริญสุข</t>
  </si>
  <si>
    <t>นายปิยวัฒน์ ภูประพันธ์</t>
  </si>
  <si>
    <t>นางสาววราภรณ์ เวชการ</t>
  </si>
  <si>
    <t>นางดารา เจริญพร</t>
  </si>
  <si>
    <t>นายวรายุทธ สุขมา</t>
  </si>
  <si>
    <t>สนุบสนุน</t>
  </si>
  <si>
    <t>บริการ</t>
  </si>
  <si>
    <t>บัญชีรายละเอียดค่าตอบแทน ไม่ทำเวชปฎิบัติ  โรงพยาบาลวังสมบูรณ์  จังหวัดสระแก้ว</t>
  </si>
  <si>
    <t>ชื่อ-สกุล</t>
  </si>
  <si>
    <t>ตำแหน่ง</t>
  </si>
  <si>
    <t>จำนวนเงิน/เดือน</t>
  </si>
  <si>
    <t>จำนวนเงิน/ปี</t>
  </si>
  <si>
    <t>นางสาวสรวงภัสสร พรหมภิบาล</t>
  </si>
  <si>
    <t>ทันตแพทย์</t>
  </si>
  <si>
    <t>นางสาวชยุตรา ยรรยงยุทธ์</t>
  </si>
  <si>
    <t>นางสาวสาวิตรี รัตนาธีราธร</t>
  </si>
  <si>
    <t>รวมทันตแพทย์</t>
  </si>
  <si>
    <t>นางสาวสุพิชชา เกิดช้าง</t>
  </si>
  <si>
    <t>แพทย์</t>
  </si>
  <si>
    <t>นางสาวเก็จลดา อุดมเลิศวนสิน</t>
  </si>
  <si>
    <t>นางสาวพรรษภรณ์ แสงสุริโยทัย</t>
  </si>
  <si>
    <t>นายวรินทร แนบเนียน</t>
  </si>
  <si>
    <t>นายเอกวิทย์ มีสุข</t>
  </si>
  <si>
    <t>รวมแพทย์</t>
  </si>
  <si>
    <t>นายทวี จันทร์ภาคภูมิ</t>
  </si>
  <si>
    <t>เภสัชกร</t>
  </si>
  <si>
    <t>รวมเภสัชกร</t>
  </si>
  <si>
    <t xml:space="preserve">                                         แบบรายชื่อแนบท้ายประกอบการเบิกเงินค่าตอบแทนเบี้ยเลี้ยงเหมาจ่ายสำหรับเจ้าหน้าที่ที่ปฏิบัติงานในหน่วยบริการ                                   </t>
  </si>
  <si>
    <t xml:space="preserve">ประจำเดือนตุลาคม พ.ศ.2565 ถึง เดือนกันยายน พ.ศ.2566  ประมาณการปี 2566  </t>
  </si>
  <si>
    <t>ชื่อโรงพยาบาลวังสมบูรณ์ จังหวัดสระแก้ว เป็นหน่วยบริการ พื้นที่ปกติ     ระดับ...3......</t>
  </si>
  <si>
    <t>ชื่อ</t>
  </si>
  <si>
    <t>ระยะเวลา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</si>
  <si>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</si>
  <si>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</si>
  <si>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</si>
  <si>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</si>
  <si>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</si>
  <si>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</si>
  <si>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</si>
  <si>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</si>
  <si>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</si>
  <si>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</si>
  <si>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</si>
  <si>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</si>
  <si>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นายยุทธพงษ์ ศรีมงคล</t>
  </si>
  <si>
    <t>นายแพทย์เชี่ยวชาญ</t>
  </si>
  <si>
    <t>ปีที่ 11 ขึ้นไป</t>
  </si>
  <si>
    <t>นายแพทย์</t>
  </si>
  <si>
    <t>ปีที่ 1- ปีที่ 3</t>
  </si>
  <si>
    <t>นายแพทย์ปฏิบัติการ</t>
  </si>
  <si>
    <t>น.ส.พรรษภรณ์ แสงสุริโยทัย</t>
  </si>
  <si>
    <t>ทันตแพทย์ปฏิบัติการ</t>
  </si>
  <si>
    <t>นางสาวกฤตยา พื้นผล</t>
  </si>
  <si>
    <t>น.ส.สาวิตรี รัตนาธีราธร</t>
  </si>
  <si>
    <t>ปีที่ 4- ปีที่ 10</t>
  </si>
  <si>
    <t>นางสาวไพรินทร์ ปาเส</t>
  </si>
  <si>
    <t>เภสัชกรปฏิบัติการ</t>
  </si>
  <si>
    <t>ปีที่ 4 - ปีที่ 10</t>
  </si>
  <si>
    <t>น.ส.เดือนแรม ไลกระโทก</t>
  </si>
  <si>
    <t>พยาบาลวิชาชีพชำนาญการ</t>
  </si>
  <si>
    <t>น.ส.มนัสชนก มิตรประเสริฐ</t>
  </si>
  <si>
    <t>นางสุกัญญา พัฒนนิติศักดิ์</t>
  </si>
  <si>
    <t>นางชื่นฤทัย วรรณเกตุ</t>
  </si>
  <si>
    <t>นางสาวอุไร ลาวงศรี</t>
  </si>
  <si>
    <t>นางสาวจีรนันท์ กอบัวกลาง</t>
  </si>
  <si>
    <t>พยาบาลวิชาชีพปฏิบัติการ</t>
  </si>
  <si>
    <t>นางสาวพรรณิภา เที่ยงธรรม</t>
  </si>
  <si>
    <t>นางสาวมนัสนันท์ แสนกล้า</t>
  </si>
  <si>
    <t>นางสาววรรณรัตน์ บุญลือ</t>
  </si>
  <si>
    <t>นางสาวจินดาพร แก้วกล่ำ</t>
  </si>
  <si>
    <t>ปีที่ 4 - ปีที่ 3</t>
  </si>
  <si>
    <t>นางสาวรวีวรรณ อินทร์อ่ำ</t>
  </si>
  <si>
    <t>นางสาวลักษ์คณา งามขำ</t>
  </si>
  <si>
    <t>น.ส.ดวงฤดี แก้วกล้า</t>
  </si>
  <si>
    <t>น.ส.ทิพวรรณ เพ็งปลั่ง</t>
  </si>
  <si>
    <t>นางสาวสุชาดา ฆ้องลัน</t>
  </si>
  <si>
    <t>นางสาวอัญชลินทร์ สุขเนตร</t>
  </si>
  <si>
    <t>นางสาวพุทธิดา อุ่นเรือน</t>
  </si>
  <si>
    <t>นางสาวแพรวพรรณ ครประสี</t>
  </si>
  <si>
    <t>นางสาวคนึงนิตย์ จันทกล</t>
  </si>
  <si>
    <t>นางสาวสิมาพร ชัยศร</t>
  </si>
  <si>
    <t>นางสาวสุเนตร บัลลือพรมราช</t>
  </si>
  <si>
    <t>นักวิชาการสาธารณสุขชำนาญการ</t>
  </si>
  <si>
    <t>นางสาวยุพา กาพิมาย</t>
  </si>
  <si>
    <t>จ.พ.เภสัชกรรมชำนาญงาน</t>
  </si>
  <si>
    <t>นางปัทมวรรณ มั่นกำเนิด</t>
  </si>
  <si>
    <t>จ.พ.ทันตสาธารณสุขชำนาญงาน</t>
  </si>
  <si>
    <t>นายยุทธเกียรติ ใจประเสริฐ</t>
  </si>
  <si>
    <t>นักวิชาการสาธารณสุขปฏิบัติการ</t>
  </si>
  <si>
    <t>นางสาวพัชรีญา สู้ณรงค์</t>
  </si>
  <si>
    <t>นักกายภาพบำบัดปฏิบัติการ</t>
  </si>
  <si>
    <t>นางสาวพัชรี รุณพงษ์</t>
  </si>
  <si>
    <t>นักเทคนิคการแพทย์ปฏิบัติการ</t>
  </si>
  <si>
    <t>นายศุภกฤต ถาวรวัน</t>
  </si>
  <si>
    <t>จ.พ.เภสัชกรรมปฏิบัติงาน</t>
  </si>
  <si>
    <t>แพทย์แผนไทย</t>
  </si>
  <si>
    <t>นางสาวสุภัคชา แสงธรรม</t>
  </si>
  <si>
    <t>พยาบาลวิชาชีพ</t>
  </si>
  <si>
    <t>นางสาวนริศรา ขมิ้นแก้ว</t>
  </si>
  <si>
    <t>นางสาวอัญชิสา ภาประจง</t>
  </si>
  <si>
    <t>นางสาวพรรณิภา มาลาสาย</t>
  </si>
  <si>
    <t>นายปรเมษฐ์ คงกระจ่าง</t>
  </si>
  <si>
    <t>นายชยพล เกิดพร้อม</t>
  </si>
  <si>
    <t>นักเทคนิคการแพทย์</t>
  </si>
  <si>
    <t>นางสาวดารนี โมราอรรต์</t>
  </si>
  <si>
    <t>นางสาวขนิษฐา ขุนทอง</t>
  </si>
  <si>
    <t>เจ้าพนักงานเวชสถิติ</t>
  </si>
  <si>
    <t>นางส่าวพรกมล สนศิริ</t>
  </si>
  <si>
    <t>นายณัฐธยา ฉิมมาแก้วจรรยา</t>
  </si>
  <si>
    <t>นางสาวสุมารินทร์ อินทร์พิทักษ์</t>
  </si>
  <si>
    <t>แบบสรุปขอเบิกเงินค่าตอบแทนเบี้ยเลี้ยงเหมาจ่ายสำหรับเจ้าหน้าที่ที่ปฎิบัติงานในหน่วยบริการ ฯ (ฉบับ11) สายสนับสนุน</t>
  </si>
  <si>
    <t>เจ้าพนักงานโสตทัศนศึกษา</t>
  </si>
  <si>
    <t>เจ้าพนักงานสถิติ</t>
  </si>
  <si>
    <t>นักวิชาการเงินและบัญชี</t>
  </si>
  <si>
    <t>เจ้าพนักงานพัสดุ</t>
  </si>
  <si>
    <t>เจ้าพนักงานธุรการ</t>
  </si>
  <si>
    <t>พนักงานช่วยเหลือคนไข้</t>
  </si>
  <si>
    <t>เจ้าพนักงานการเงินและบัญชี</t>
  </si>
  <si>
    <t>พนักงานบริการ(คนสวน)</t>
  </si>
  <si>
    <t>พนักงานบริการ</t>
  </si>
  <si>
    <t>พนักงานบริการ(แม่บ้าน)</t>
  </si>
  <si>
    <t>พนักงานบริการ(ยาม)</t>
  </si>
  <si>
    <t>ผู้ช่วยทันตแพทย์</t>
  </si>
  <si>
    <t>นักวิชาการพัสดุ</t>
  </si>
  <si>
    <t>พนักงานขับรถ</t>
  </si>
  <si>
    <t>นางสาวนัฏฐลักษณ์ แย้มกลิ่น</t>
  </si>
  <si>
    <t>พนักงานประจำห้องยา</t>
  </si>
  <si>
    <t>นางไฉไล กองดารา</t>
  </si>
  <si>
    <t>พนักงานซักฟอก</t>
  </si>
  <si>
    <t>พนักงานการแพทย์และรังสีเทคนิค</t>
  </si>
  <si>
    <t>นายสิทธิพงศ์ ชาวประชา</t>
  </si>
  <si>
    <t xml:space="preserve">  แบบรายชื่อแนบท้ายประกอบการเบิกเงินค่าตอบแทนเบี้ยเลี้ยงเหมาจ่ายสำหรับเจ้าหน้าที่ที่ปฏิบัติงานในหน่วยบริการ                                   </t>
  </si>
  <si>
    <t xml:space="preserve">ประจำเดือนตุลาคม พ.ศ.2564 ถึง เดือนกันยายน พ.ศ.2565  ประมาณการปี 2565  </t>
  </si>
  <si>
    <t>ชื่อ-สกุล  ตามสมุดบัญชี</t>
  </si>
  <si>
    <t>พตส/ เดือน</t>
  </si>
  <si>
    <t>พตส /ปี</t>
  </si>
  <si>
    <t>นางสาวสุพรรณ คู่เมือง</t>
  </si>
  <si>
    <t>นางสาวณัฐธยาน์ บุญมาเครือ</t>
  </si>
  <si>
    <t>ประมาณการ ค่าตอบแทน โรงพยาบาลวังสมบูรณ์  จังหวัดสระแก้ว</t>
  </si>
  <si>
    <t>งานส่งต่อผู้ป่วย</t>
  </si>
  <si>
    <t>อุบัติเหตุฉุกเฉิน</t>
  </si>
  <si>
    <t>ผู้ป่วยใน</t>
  </si>
  <si>
    <t>พนักงานเปล</t>
  </si>
  <si>
    <t>ผู้ช่วยเหลือคนไข้</t>
  </si>
  <si>
    <t>ชันสูตร</t>
  </si>
  <si>
    <t>งานประกัน</t>
  </si>
  <si>
    <t>รังสี</t>
  </si>
  <si>
    <t>งานเวชฯ</t>
  </si>
  <si>
    <t>จ่ายกลาง</t>
  </si>
  <si>
    <t xml:space="preserve"> 2.7 ค่าตอบแทนในการปฏิบัติงานของเจ้าหน้าที่   (บริการ)</t>
  </si>
  <si>
    <t>2.8 ค่าตอบแทนในการปฏิบัติงานของเจ้าหน้าที่  (สนับสนุน)</t>
  </si>
  <si>
    <t>แม่บ้าน</t>
  </si>
  <si>
    <t>คนงาน</t>
  </si>
  <si>
    <t>ยาม</t>
  </si>
  <si>
    <t>office</t>
  </si>
  <si>
    <t>แบบรายงานแผนปฏิบัติการจัดซื้อจัดจ้าง ประจำปีงบประมาณ พ.ศ.2566</t>
  </si>
  <si>
    <t>งบประมาณงบลงทุนเงินบำรุง  โรงพยาบาลวังสมบูรณ์</t>
  </si>
  <si>
    <t>แผนงาน</t>
  </si>
  <si>
    <t>ลักษณะงาน(√)</t>
  </si>
  <si>
    <t>วิธีการ</t>
  </si>
  <si>
    <t>แผนปฏิบัติการ ระบุ เดือนปี</t>
  </si>
  <si>
    <t>แผนการจ่ายเงิน</t>
  </si>
  <si>
    <t>งาน/โครงการ</t>
  </si>
  <si>
    <t>จำนวน</t>
  </si>
  <si>
    <t>ราคาต่อหน่วย</t>
  </si>
  <si>
    <t>งานต่อเนื่องที่ผูกพันงบประมาณปีต่อไป</t>
  </si>
  <si>
    <t>งานที่เสร็จภายในปี 2566</t>
  </si>
  <si>
    <t>จัดซื้อ</t>
  </si>
  <si>
    <t>จัดจ้าง</t>
  </si>
  <si>
    <t>วิธีเฉพาะเจาะจง</t>
  </si>
  <si>
    <t>วิธีคัดเลือก</t>
  </si>
  <si>
    <t>e-market</t>
  </si>
  <si>
    <t>e-bidding</t>
  </si>
  <si>
    <t>เริ่มดำเนินการ</t>
  </si>
  <si>
    <t>คาดว่าจะลงนามในสัญญา</t>
  </si>
  <si>
    <t>คาดว่าจะมีการส่งมอบ</t>
  </si>
  <si>
    <t>งบประมาณที่ได้รับอนุมัติ ปี 2566 (บาท)</t>
  </si>
  <si>
    <t>เงินนอกงบประมาณ หรือเงินสมทบ (บาท)</t>
  </si>
  <si>
    <t>ผู้รับผิดชอบ</t>
  </si>
  <si>
    <t>ครุภัณฑ์วิทยาศาสตร์หรือการแพทย์</t>
  </si>
  <si>
    <t>ถังออกซิเจนขนาดใหญ่</t>
  </si>
  <si>
    <t>√</t>
  </si>
  <si>
    <t>งานเวช</t>
  </si>
  <si>
    <t>ถังออกซิเจนขนาดเล็ก</t>
  </si>
  <si>
    <t>หัวต่อออกซิเจนต่อกับถัง</t>
  </si>
  <si>
    <t>กลุ่มการ</t>
  </si>
  <si>
    <t>หัวต่อออกซิเจนต่อไปร์ไลท์ชนิด 2 หัว</t>
  </si>
  <si>
    <t>หัวต่อออกซิเจนต่อไปร์ไลท์ชนิด 1 หัว</t>
  </si>
  <si>
    <t>เครื่องตรวจหูและตา</t>
  </si>
  <si>
    <t>เครื่องวัดความดันลูกตาซีออด</t>
  </si>
  <si>
    <t>เครื่องชั่งน้ำหนักดิจิตอล</t>
  </si>
  <si>
    <t>รถเข็นสำหรับใส่อุปกรณ์ฉุกเฉิน</t>
  </si>
  <si>
    <t>รถเข็นเปลนอนพร้อมเสาน้ำเกลือ ปรับระดับได้</t>
  </si>
  <si>
    <t>หุ่นฝึกสอนCPRผู้ใหญ่พร้อมแสดงไฟ</t>
  </si>
  <si>
    <t>หุ่นฝึกสอนCPRเด็กพร้อมแสดงไฟ</t>
  </si>
  <si>
    <t>เครื่องบันทึกอุณหภูมิพร้อมหน้าจอแสดงผล (Logtag recorder)</t>
  </si>
  <si>
    <t>เครื่องเหวี่ยงตกตะกอนสำหรับงานธนาคารเลือด (serofuge)</t>
  </si>
  <si>
    <t>Data logger</t>
  </si>
  <si>
    <t>Digital Thermometer with probe</t>
  </si>
  <si>
    <t>รถเข็นวิลแชร์</t>
  </si>
  <si>
    <t>หม้อต้มแผ่นประคบร้อนขนาด 12 แผ่น</t>
  </si>
  <si>
    <t>ชุดบริหารข้อไหล่ (shoulder wheel)</t>
  </si>
  <si>
    <t>เครื่องกรตุ้นไฟฟ้า TENs</t>
  </si>
  <si>
    <t>Autopipette 10-100 ul</t>
  </si>
  <si>
    <t>เครื่องวัดความดันแบบปรอทตั้งโต๊ะ</t>
  </si>
  <si>
    <t>เครื่องวัดความดันโลหิตแบบปรอทตั้งพื้น</t>
  </si>
  <si>
    <t>รถเข็นผ้าแบบแสตนเลส</t>
  </si>
  <si>
    <t>เครื่องแปลงสัญญาณภาพเอกซเรย์เป็นดิจิตอลในช่องปาก ยี่ห้อ Carestream รุ่น CS7600</t>
  </si>
  <si>
    <t>เครื่องพิมพ์เลเซอร์ หรือ LED สี ชนิด Network แบบที่ 1</t>
  </si>
  <si>
    <t>เครื่องสำรองไฟฟ้า ขนาด 500 watts</t>
  </si>
  <si>
    <t>เครื่องสำรองไฟฟ้า ขนาด 650VA router เน็ตกับ switch hub</t>
  </si>
  <si>
    <t>เครื่องปริ้นสติกเกอร์</t>
  </si>
  <si>
    <t>เครื่องสแกน</t>
  </si>
  <si>
    <t>เครื่องคอมพิวเตอร์สำหรับงานประมวลผลแบบที่ 1 (จอแสดงภาพขนาดไม่น้อยกว่า 19 นิ้ว)</t>
  </si>
  <si>
    <t>เก้าอี้สำนักงาน</t>
  </si>
  <si>
    <t xml:space="preserve">1.กลุ่มการ = 2 ตัว
2.IT = 2 ตัว
3.งานประกัน = 1ตัว
</t>
  </si>
  <si>
    <t>ตู้เก็บเอกสาร</t>
  </si>
  <si>
    <t>1.IT = 1 ตัว
2.COPD = 1 ตัว
3.TB = 1 ตัว
4.ARV+IC = 1 ตัว
5.ชันสูตร = 1 ตัว</t>
  </si>
  <si>
    <t>เก้าอี้กลม ปรับระดับได้มีพนักพิง</t>
  </si>
  <si>
    <t>IT</t>
  </si>
  <si>
    <t>โต๊ะสำนักงาน</t>
  </si>
  <si>
    <t>LAB</t>
  </si>
  <si>
    <t>โทรศัพท์ไร้สาย</t>
  </si>
  <si>
    <t xml:space="preserve">เครื่องปรับอากาศแบบติดผนัง 18,000 BTU </t>
  </si>
  <si>
    <t>รถเข็นพับได้</t>
  </si>
  <si>
    <t>IPD</t>
  </si>
  <si>
    <t>พัดลมดูดอากาศ</t>
  </si>
  <si>
    <t>ชั้นวางยา</t>
  </si>
  <si>
    <t>รถลากพาเลท</t>
  </si>
  <si>
    <t>ตู้แขวนติดผนัง</t>
  </si>
  <si>
    <t>เครื่องเคลือบบัตร</t>
  </si>
  <si>
    <t>ไฟฉุกเฉิน (Emergency Lighting)</t>
  </si>
  <si>
    <t>เครื่องขัดพื้น 18 นิ้ว</t>
  </si>
  <si>
    <t>ตู้กดน้ำร้อน-เย็น อัตโนมัติ</t>
  </si>
  <si>
    <t>รถเข็นทำความสะอาด</t>
  </si>
  <si>
    <t>เครื่องกรองน้ำบริสุทธิ์ ขนาดไม่น้อยกว่า 250 ลิตรต่อชั่วโมง</t>
  </si>
  <si>
    <t>ไมโครเวฟ</t>
  </si>
  <si>
    <t xml:space="preserve">เครื่องชั่ง ขนาด  120  กิโลกรัม  </t>
  </si>
  <si>
    <t>สว่านไฟฟ้า 1/2</t>
  </si>
  <si>
    <t>ถนนลาดยางด้านหน้าอาคารผู้ป่วยนอก</t>
  </si>
  <si>
    <t>ถนนคอนกรีตพร้อมรางระบายน้ำ</t>
  </si>
  <si>
    <t>ซ่อมแซมห้องฉุกเฉินคุณภาพ</t>
  </si>
  <si>
    <t>ซ่อมแซมห้องทันตกรรม</t>
  </si>
  <si>
    <t>ซ่อมแซมคลินิก ANCและ EPI</t>
  </si>
  <si>
    <t>ซ่อมแซมคลินิก ARV และ TB</t>
  </si>
  <si>
    <t>ซ่อมแซมห้องประชุม</t>
  </si>
  <si>
    <t>โรงจอดรถบริเวณอาคารบ้านพักพยาบาล</t>
  </si>
  <si>
    <t>ก่อสร้างทางเชื่อมระหว่างอาคารผู้ป่วยนอกกับอาคารตึกพิเศษ</t>
  </si>
  <si>
    <t>ห้องน้ำคนพิการ (ทางเดินเชื่อม)</t>
  </si>
  <si>
    <t>หมวด ซ่อมบำรุงยานพาหนะ ประจำปีงบประมาณ 2566</t>
  </si>
  <si>
    <t>ราคารวม</t>
  </si>
  <si>
    <t>จัดซื้อจัดจ้างโดยวิธี</t>
  </si>
  <si>
    <t>ค่าซ่อมแซมบำรุงยานพาหนะ ไตรมาส 1</t>
  </si>
  <si>
    <t>ค่าซ่อมแซมบำรุงยานพาหนะ ไตรมาส 2</t>
  </si>
  <si>
    <t>ค่าซ่อมแซมบำรุงยานพาหนะ ไตรมาส 3</t>
  </si>
  <si>
    <t>ค่าซ่อมแซมบำรุงยานพาหนะ ไตรมาส 4</t>
  </si>
  <si>
    <t>หมวด ค่าซ่อมแซมบำรุงรักษาครุภัณฑ์การแพทย์ ประจำปีงบประมาณ 2566</t>
  </si>
  <si>
    <t>ค่าซ่อมแซมบำรุงรักษาครุภัณฑ์การแพทย์ ไตรมาส 1</t>
  </si>
  <si>
    <t>ในแต่ละรอบการซ่อมบำรุงรักษาครุภัณฑ์การแพทย์ขึ้นอยู่กับใบขออนุมัติซ่อมจากแต่ละหน่วยงานไม่สามารถกำหนดช่วงเวลาที่หน่วยงานขออนุมัติซ่อมได้  และไม่สามารถระบุครุภัณฑ์ที่จะซ่อมล่วงหน้าได้</t>
  </si>
  <si>
    <t>ค่าซ่อมแซมบำรุงรักษาครุภัณฑ์การแพทย์ ไตรมาส 2</t>
  </si>
  <si>
    <t>ค่าซ่อมแซมบำรุงรักษาครุภัณฑ์การแพทย์ ไตรมาส 3</t>
  </si>
  <si>
    <t>ค่าซ่อมแซมบำรุงรักษาครุภัณฑ์การแพทย์ ไตรมาส 4</t>
  </si>
  <si>
    <t>หมวด ค่าซ่อมแซมบำรุงรักษาครุภัณฑ์อื่นๆ ประจำปีงบประมาณ 2565</t>
  </si>
  <si>
    <t>ค่าซ่อมแซมบำรุงรักษาครุภัณฑ์อื่น ไตรมาส 1</t>
  </si>
  <si>
    <t>ในแต่ละรอบการซ่อมบำรุงรักษาครุภัณฑ์อื่นขึ้นอยู่กับใบขออนุมัติซ่อมจากแต่ละหน่วยงานไม่สามารถกำหนดช่วงเวลาที่หน่วยงานขออนุมัติซ่อมได้  และไม่สามารถระบุครุภัณฑ์ที่จะซ่อมล่วงหน้าได้</t>
  </si>
  <si>
    <t>ค่าซ่อมแซมบำรุงรักษาครุภัณฑ์อื่น ไตรมาส 2</t>
  </si>
  <si>
    <t>ค่าซ่อมแซมบำรุงรักษาครุภัณฑ์อื่น ไตรมาส 3</t>
  </si>
  <si>
    <t>ค่าซ่อมแซมบำรุงรักษาครุภัณฑ์อื่น ไตรมาส 4</t>
  </si>
  <si>
    <t>สรุปแผนปฏิบัติการจัดซื้อโดยใช้งบประมาณจากเงินบำรุง  โรงพยาบาลวังสมบูรณ์ จังหวัดสระแก้ว</t>
  </si>
  <si>
    <t>ประจำปีงบประมาณ 2566</t>
  </si>
  <si>
    <t>รายการวัสดุสำนักงาน</t>
  </si>
  <si>
    <t>มูลค่าการใช้ย้อนหลัง</t>
  </si>
  <si>
    <t>ประมาณ</t>
  </si>
  <si>
    <t>มูลค่าการจัดซื้อปีงบ 2566</t>
  </si>
  <si>
    <t>อัตราเฉลี่ย 3 ปี ย้อนหลัง</t>
  </si>
  <si>
    <t>มูลค่าการจัดซื้อปี2566เทียบกับ 3 ปีย้อนหลัง</t>
  </si>
  <si>
    <t>อัตราการเพิ่มขึ้น เทียบกับ 3 ปีย้อนหลัง</t>
  </si>
  <si>
    <t>3 ปี</t>
  </si>
  <si>
    <t>คงคลัง</t>
  </si>
  <si>
    <t>การจัดซื้อ</t>
  </si>
  <si>
    <t>งวดที่ 1</t>
  </si>
  <si>
    <t>งวดที่ 2</t>
  </si>
  <si>
    <t>งวดที่ 3</t>
  </si>
  <si>
    <t>งวดที่ 4</t>
  </si>
  <si>
    <t>ปี2563</t>
  </si>
  <si>
    <t>ปี2564</t>
  </si>
  <si>
    <t>ปี2565</t>
  </si>
  <si>
    <t>ยกมา</t>
  </si>
  <si>
    <t>(ต.ค.-ธ.ค)</t>
  </si>
  <si>
    <t>(ม.ค.-มี.ค.)</t>
  </si>
  <si>
    <t>(เม.ย-มิ.ย.)</t>
  </si>
  <si>
    <t>(ก.ค.-ก.ย.)</t>
  </si>
  <si>
    <t>(บาท)</t>
  </si>
  <si>
    <t>วัสดุวิทยาศาสตร์หรือการแพทย์</t>
  </si>
  <si>
    <t>เวชภัณฑ์ยา</t>
  </si>
  <si>
    <t>เวชภัณฑ์มิใช่ยา</t>
  </si>
  <si>
    <t>ยาสมุนไพร</t>
  </si>
  <si>
    <t>วัสดุการเกษตร</t>
  </si>
  <si>
    <t>โครงการ</t>
  </si>
  <si>
    <t>ลงชื่อ.............................................................ผู้เสนอแผน</t>
  </si>
  <si>
    <t>ลงชื่อ..................................................ผู้เห็นชอบแผน</t>
  </si>
  <si>
    <t>ลงชื่อ..................................................................ผู้อนุมัติแผน</t>
  </si>
  <si>
    <t xml:space="preserve">                               (นางสาวสุเนตร บัลลือพรมราช)</t>
  </si>
  <si>
    <t xml:space="preserve">                   (นายยุทธพงษ์ ศรีมงคล)</t>
  </si>
  <si>
    <t xml:space="preserve">                   (...................................................................)</t>
  </si>
  <si>
    <t xml:space="preserve">                              นักวิชาการสาธารณสุขชำนาญการ</t>
  </si>
  <si>
    <t xml:space="preserve">      นายแพทย์เชี่ยวชาญ  รักษาการในตำแหน่ง</t>
  </si>
  <si>
    <t xml:space="preserve">                     นายแพทย์สาธารณสุขจังหวัดสระแก้ว</t>
  </si>
  <si>
    <t xml:space="preserve">                                 หัวหน้าฝ่ายบริหารงานทั่วไป </t>
  </si>
  <si>
    <t xml:space="preserve">          ผู้อำนวยการโรงพยาบาลวังสมบูรณ์</t>
  </si>
  <si>
    <t>แผนปฏิบัติการจัดซื้อประเภท วัสดุสำนักงาน</t>
  </si>
  <si>
    <t xml:space="preserve">  โรงพยาบาลวังสมบูรณ์ จังหวัดสระแก้ว</t>
  </si>
  <si>
    <t>ขนาด</t>
  </si>
  <si>
    <t>อัตราการใช้ย้อนหลัง</t>
  </si>
  <si>
    <t>ปริมาณ</t>
  </si>
  <si>
    <t>มูลค่าคงคลัง
 ปี 2565</t>
  </si>
  <si>
    <t xml:space="preserve">ราคา </t>
  </si>
  <si>
    <t>ยอดรวมจัดซื้อจริง</t>
  </si>
  <si>
    <t>กลุ่มงาน</t>
  </si>
  <si>
    <t>บรรจุ</t>
  </si>
  <si>
    <t>การใช้ใน</t>
  </si>
  <si>
    <t>ต่อ</t>
  </si>
  <si>
    <t>หน่วย</t>
  </si>
  <si>
    <t>ปี2563
(รายการ)</t>
  </si>
  <si>
    <t>มูลค่า ปี2563
(บาท)</t>
  </si>
  <si>
    <t>ปี2564
(รายการ)</t>
  </si>
  <si>
    <t>มูลค่า ปี2564
(บาท)</t>
  </si>
  <si>
    <t>ปี2565
(รายการ)</t>
  </si>
  <si>
    <t>มูลค่า ปี2565
(บาท)</t>
  </si>
  <si>
    <t>ปี2566</t>
  </si>
  <si>
    <t>ในปี 2566</t>
  </si>
  <si>
    <t>(รายการ)</t>
  </si>
  <si>
    <t>นับ</t>
  </si>
  <si>
    <t>กรรไกร</t>
  </si>
  <si>
    <t>อัน</t>
  </si>
  <si>
    <t>เฉพาะเจาะจง</t>
  </si>
  <si>
    <t>กระดาษ A4</t>
  </si>
  <si>
    <t>รีม</t>
  </si>
  <si>
    <t>กระดาษ A5 (80 gsm)</t>
  </si>
  <si>
    <t xml:space="preserve">กระดาษการ์ด 150 แกรม สีชมพู </t>
  </si>
  <si>
    <t>กระดาษการ์ดสี 150 แกรม สีเขียว</t>
  </si>
  <si>
    <t>กระดาษการ์ดสี 150 แกรม สีฟ้า</t>
  </si>
  <si>
    <t>กระดาษการ์ดสี 150 แกรม สีเหลือง</t>
  </si>
  <si>
    <t>กระดาษกาวย่น 1  นิ้ว</t>
  </si>
  <si>
    <t>ม้วน</t>
  </si>
  <si>
    <t>กระดาษโฟโต้</t>
  </si>
  <si>
    <t>กระดาษบัตรคิว</t>
  </si>
  <si>
    <t>กระดาษสติ๊กเกอร์สะท้อนแสงA4</t>
  </si>
  <si>
    <t>กาวตราช้าง</t>
  </si>
  <si>
    <t>กาวสองหน้าแบบบาง 3/4</t>
  </si>
  <si>
    <t>กาวสองหน้าแบบหนา</t>
  </si>
  <si>
    <t>คลิบดำ 109 (ใหญ่)</t>
  </si>
  <si>
    <t>กล่อง</t>
  </si>
  <si>
    <t>คลิบดำ 12 mm 110 (กลาง)</t>
  </si>
  <si>
    <t>คลิบดำ 19 mm 112 (เล็ก)</t>
  </si>
  <si>
    <t>ชาร์ทหนีบกระดาษ</t>
  </si>
  <si>
    <t>ซองขาวไม่มีครุฑ</t>
  </si>
  <si>
    <t>มัด</t>
  </si>
  <si>
    <t>ซองน้ำตาล 6X9</t>
  </si>
  <si>
    <t>แพ็ค</t>
  </si>
  <si>
    <t>ซองใส้แฟ้ม</t>
  </si>
  <si>
    <t>ซองเอกสารสีน้ำตาลไม่ขยายข้าง</t>
  </si>
  <si>
    <t>ดินสอ</t>
  </si>
  <si>
    <t>แท่ง</t>
  </si>
  <si>
    <t>ตรายางวันที่</t>
  </si>
  <si>
    <t>ถ่าน AA</t>
  </si>
  <si>
    <t>ถ่าน AAA</t>
  </si>
  <si>
    <t>ถ่านกลมแบน</t>
  </si>
  <si>
    <t>ก้อน</t>
  </si>
  <si>
    <t>ที่ดึงแม็กซ์แบบคีม</t>
  </si>
  <si>
    <t>เทป OPP สีน้ำตาล</t>
  </si>
  <si>
    <t>เทปผ้าแลคซีน 1 1/2  นิ้ว</t>
  </si>
  <si>
    <t>เทปใส 1 นิ้ว (แกนใหญ่)</t>
  </si>
  <si>
    <t>เทปใส 1 นิ้ว (แกนเล็ก)</t>
  </si>
  <si>
    <t>ธงชาติ 300*450</t>
  </si>
  <si>
    <t>ผืน</t>
  </si>
  <si>
    <t>ใบมีดคัตเตอร์ Size L</t>
  </si>
  <si>
    <t>หลอด</t>
  </si>
  <si>
    <t>ปากกาเคมีสีดำ</t>
  </si>
  <si>
    <t>ปากกาเคมีสีน้ำเงิน</t>
  </si>
  <si>
    <t>ปากกาแดง</t>
  </si>
  <si>
    <t>ด้าม</t>
  </si>
  <si>
    <t>ปากกาน้ำเงิน</t>
  </si>
  <si>
    <t>ปากกาไวด์บอร์ดสีน้ำเงิน</t>
  </si>
  <si>
    <t>ปากกาไวท์บอร์ดสีแดง</t>
  </si>
  <si>
    <t>แป้นหมึกสีแดง</t>
  </si>
  <si>
    <t>แป้นหมึกสีน้ำเงิน</t>
  </si>
  <si>
    <t>แผ่นเคลือบบัตร A4</t>
  </si>
  <si>
    <t>แผ่นสติ๊กเกอร์ใส A4</t>
  </si>
  <si>
    <t>แฟ้มใส่เอกสาร 3 นิ้ว H-403</t>
  </si>
  <si>
    <t>มีดคัตเตอร์เล็ก</t>
  </si>
  <si>
    <t>มีดคัตเตอร์ใหญ่</t>
  </si>
  <si>
    <t>แมกซ์กลาง</t>
  </si>
  <si>
    <t>แมกซ์เล็ก</t>
  </si>
  <si>
    <t>ยางลบ</t>
  </si>
  <si>
    <t>ลวดเสียบกระดาษ</t>
  </si>
  <si>
    <t>ลูกแม็กซ์ No.10</t>
  </si>
  <si>
    <t>ลูกแม็กซ์ No.35</t>
  </si>
  <si>
    <t>สมุดคุมการจ่ายเช็ค</t>
  </si>
  <si>
    <t>เล่ม</t>
  </si>
  <si>
    <t>สมุดปกน้ำเงินเบอร์ 2</t>
  </si>
  <si>
    <t>สันรูด 10 mm</t>
  </si>
  <si>
    <t>สันรูด 22 มม.</t>
  </si>
  <si>
    <t>สันรูด 5 มม.</t>
  </si>
  <si>
    <t>หมึกเติมสีแดง</t>
  </si>
  <si>
    <t>ขวด</t>
  </si>
  <si>
    <t>หมึกเติมสีน้ำเงิน</t>
  </si>
  <si>
    <t>หมึกเติมสีดำ</t>
  </si>
  <si>
    <t>แฟ้มพลาสติก</t>
  </si>
  <si>
    <t>แผ่นสติ๊กเกอร์ใสแผ่นใหญ่ 53*70</t>
  </si>
  <si>
    <t>แผ่น</t>
  </si>
  <si>
    <t>ตะกร้าใส่เอกสาร</t>
  </si>
  <si>
    <t>ปกใส</t>
  </si>
  <si>
    <t>ฟิวเจอร์บอร์ด 65x120 cm สีเขียว</t>
  </si>
  <si>
    <t>ฟิวเจอร์บอร์ด 65x120 cm สีแดง</t>
  </si>
  <si>
    <t xml:space="preserve">แฟ้ม 3 ห่วง </t>
  </si>
  <si>
    <t>ธงชาติ 60*90</t>
  </si>
  <si>
    <t>ตรายาง</t>
  </si>
  <si>
    <t>ที่เจาะกระดาษเล็ก</t>
  </si>
  <si>
    <t>ที่เจาะกระดาษกลาง</t>
  </si>
  <si>
    <t>น้ำดื่ม 350 มิลลิลิตร</t>
  </si>
  <si>
    <t>น้ำดื่ม 18.9 ลิตร</t>
  </si>
  <si>
    <t>ถัง</t>
  </si>
  <si>
    <t>น้ำดื่ม 600 มิลลิลิตร</t>
  </si>
  <si>
    <t>ซองน้ำตาลขยายข้าง A4</t>
  </si>
  <si>
    <t>เทปกั้นเขตขาว-แดง</t>
  </si>
  <si>
    <t>ลิ้นชัก A4 4ชั้น</t>
  </si>
  <si>
    <t>ปากกาเน้นข้อความ</t>
  </si>
  <si>
    <t>เครื่องคิดเลข</t>
  </si>
  <si>
    <t>เครื่อง</t>
  </si>
  <si>
    <t>แมกซ์ใหญ่</t>
  </si>
  <si>
    <t>ตัว</t>
  </si>
  <si>
    <t>แฟ้มเสนอเซ็นต์</t>
  </si>
  <si>
    <t>แฟ้ม</t>
  </si>
  <si>
    <t>ใบเสร็จต่อเนื่อง</t>
  </si>
  <si>
    <t>สติ๊กเกอร์ฉลากช่วยพิมพ์"ยานี้มีอายุหลังเปิดใช้.....วัน ขนาด 3.5x2.5ซม.</t>
  </si>
  <si>
    <t>ดวง</t>
  </si>
  <si>
    <t>สติ๊กเกอร์ฉลากช่วย ยาภายนอก</t>
  </si>
  <si>
    <t>สติ๊กเกอร์ไดเรคเทอร์มัล รพ.วสบ</t>
  </si>
  <si>
    <t>สติ๊กเกอร์ฉลากช่วยพิมพ์ "Alert Drugs" ขนาด 6x2.5ซม.</t>
  </si>
  <si>
    <t>สติ๊กเกอร์ไดเรคเทอร์มัล สสอ.วสบ</t>
  </si>
  <si>
    <t>สติ๊กเกอร์แปะซองพีแพคม้วน</t>
  </si>
  <si>
    <t>สติ๊กเกอร์ยาน้ำ</t>
  </si>
  <si>
    <t>สติ๊กเกอร์กึ่งมัน-กึ่งด้าน ขนาด5x4ซม.(สีเขียวอักษรสีดำ)</t>
  </si>
  <si>
    <t>สติ๊กเกอร์กึ่งมัน-กึ่งด้าน ขนาด5x4ซม.(สีชมพูอักษรสีดำ)</t>
  </si>
  <si>
    <t>สติ๊กเกอร์กึ่งมัน-กึ่งด้าน ขนาด5x4ซม.(สีน้ำเงินอักษรสีดำ)</t>
  </si>
  <si>
    <t>สติ๊กเกอร์กึ่งมัน-กึ่งด้าน ขนาด5x4ซม.(สีส้มอักษรสีดำ)</t>
  </si>
  <si>
    <t>สติ๊กเกอร์กึ่งมัน-กึ่งด้าน ขนาด5x4ซม.(สีเหลืองอักษรสีดำ)</t>
  </si>
  <si>
    <t>สติ๊กเกอร์ขาว 3*5 cm</t>
  </si>
  <si>
    <t>สติกเกอร์ปริ้น barcode</t>
  </si>
  <si>
    <t xml:space="preserve">                             ลงชื่อ..............................................................ผู้เห็นชอบแผน</t>
  </si>
  <si>
    <t>ลงชื่อ................................................................................ผู้อนุมัติแผน</t>
  </si>
  <si>
    <t xml:space="preserve">                                                 (นายยุทธพงษ์ ศรีมงคล)</t>
  </si>
  <si>
    <t xml:space="preserve">              (.................................................................................)</t>
  </si>
  <si>
    <t xml:space="preserve">                                  นายแพทย์เชี่ยวชาญ  รักษาการในตำแหน่ง</t>
  </si>
  <si>
    <t xml:space="preserve">                                       ผู้อำนวยการโรงพยาบาลวังสมบูรณ์</t>
  </si>
  <si>
    <t>แผนปฏิบัติการจัดซื้อประเภท วัสดุคอมพิวเตอร์</t>
  </si>
  <si>
    <t>รายการวัสดุคอมพิวเตอร์</t>
  </si>
  <si>
    <t>Keyboard</t>
  </si>
  <si>
    <t>บริหารทั่วไป</t>
  </si>
  <si>
    <t>Mouse</t>
  </si>
  <si>
    <t>หัวแลน RJ45 CAT6</t>
  </si>
  <si>
    <t>CD-R</t>
  </si>
  <si>
    <t>USB HUB v3.0 + LAN</t>
  </si>
  <si>
    <t>สายแลน CAT 6 UTP (100M)</t>
  </si>
  <si>
    <t>หมึกเครื่องพิมพ์ HP CF279A</t>
  </si>
  <si>
    <t>หมึกเครื่องพิมพ์ HP CE285A</t>
  </si>
  <si>
    <t xml:space="preserve">หมึกเครื่องพิมพ์ CANON 325 </t>
  </si>
  <si>
    <t xml:space="preserve">หมึกเครื่องพิมพ์ BROTHER TN-1000 </t>
  </si>
  <si>
    <t xml:space="preserve">หมึกเครื่องพิมพ์ BROTHER TN-2280 </t>
  </si>
  <si>
    <t xml:space="preserve">หมึกเครื่องพิมพ์ BROTHER TN-2480 </t>
  </si>
  <si>
    <t>หมึกเครื่องพิมพ์ BROTHER TN-263 BK</t>
  </si>
  <si>
    <t>หมึกเครื่องพิมพ์ BROTHER TN-263 C</t>
  </si>
  <si>
    <t xml:space="preserve">หมึกเครื่องพิมพ์ BROTHER TN-263 M </t>
  </si>
  <si>
    <t xml:space="preserve">หมึกเครื่องพิมพ์ BROTHER TN-263 Y </t>
  </si>
  <si>
    <t>หมึกแท้ brother DCP L3551CDW สีดำ (แท้)</t>
  </si>
  <si>
    <t>หมึกแท้ brother DCP L3551CDW สีชมพู (แท้)</t>
  </si>
  <si>
    <t>หมึกแท้ brother DCP L3551CDW สีฟ้า (แท้)</t>
  </si>
  <si>
    <t>หมึกแท้ brother DCP L3551CDW สีเหลือง (แท้)</t>
  </si>
  <si>
    <t xml:space="preserve">หมึกเครื่องพิมพ์ Samsung D116L </t>
  </si>
  <si>
    <t>หมึกเครื่องพิมพ์ Samsung MLT-R116L</t>
  </si>
  <si>
    <t>หมึกเครื่องพิมพ์ Samsung ProXpress M4030ND (แท้)</t>
  </si>
  <si>
    <t>หมึกเครื่องพิมพ์ FujiXerox สีเหลือง (แท้)</t>
  </si>
  <si>
    <t>หมึกเครื่องพิมพ์ FujiXerox สีชมพู (แท้)</t>
  </si>
  <si>
    <t>หมึกเครื่องพิมพ์ FujiXerox สีดำ(เทียบ)</t>
  </si>
  <si>
    <t>หมึกเติม EPSON 664 BK</t>
  </si>
  <si>
    <t>หมึกเติม EPSON 664 C</t>
  </si>
  <si>
    <t>หมึกเติม EPSON 664 M</t>
  </si>
  <si>
    <t>หมึกเติม EPSON 664 Y</t>
  </si>
  <si>
    <t>หมึกเติม EPSON 001 BK</t>
  </si>
  <si>
    <t>หมึกเติม EPSON 001 C</t>
  </si>
  <si>
    <t>หมึกเติม EPSON 001 M</t>
  </si>
  <si>
    <t>หมึกเติม EPSON 001 Y</t>
  </si>
  <si>
    <t>Wireless PCIe Adapter TP-LINK</t>
  </si>
  <si>
    <t>อุปกรณ์ทดสอบสัญญาณสาย</t>
  </si>
  <si>
    <t>สาย HDMI (15M)</t>
  </si>
  <si>
    <t>เส้น</t>
  </si>
  <si>
    <t>CABLE PRITER USB2</t>
  </si>
  <si>
    <t>สายปลั๊ก IEC C13 to C14</t>
  </si>
  <si>
    <t>สายไฟพ่วง ตัวผู้-ตัวเมีย ขนาด 5 เมตร</t>
  </si>
  <si>
    <t>สายไฟพ่วง ตัวผู้-ตัวเมีย ขนาด 20 เมตร</t>
  </si>
  <si>
    <t>แผนปฏิบัติการจัดซื้อประเภท วัสดุวิทยาศาสตร์หรือการแพทย์</t>
  </si>
  <si>
    <t xml:space="preserve">รายการวัสดุวิทยาศาสตร์หรือการแพทย์ </t>
  </si>
  <si>
    <t>คลอรีน</t>
  </si>
  <si>
    <t>งานปฐมภูมิฯ</t>
  </si>
  <si>
    <t>CBC</t>
  </si>
  <si>
    <t>test</t>
  </si>
  <si>
    <t>DTX</t>
  </si>
  <si>
    <t>Troponon-I</t>
  </si>
  <si>
    <t>Anti-A</t>
  </si>
  <si>
    <t>10 ml</t>
  </si>
  <si>
    <t>Anti-B</t>
  </si>
  <si>
    <t>Anti-AB</t>
  </si>
  <si>
    <t>Anti-D</t>
  </si>
  <si>
    <t>Coomb's control cell</t>
  </si>
  <si>
    <t>Anti-human Globulin (AHG)</t>
  </si>
  <si>
    <t>standard A cell</t>
  </si>
  <si>
    <t>standard B cell</t>
  </si>
  <si>
    <t>standard O1 cell</t>
  </si>
  <si>
    <t>standard O2 cell</t>
  </si>
  <si>
    <t>Liss solution</t>
  </si>
  <si>
    <t>Rh negative</t>
  </si>
  <si>
    <t>DCIP</t>
  </si>
  <si>
    <t>Test</t>
  </si>
  <si>
    <t>Urine strip 2 แถบ</t>
  </si>
  <si>
    <t>Urine strip 10 แถบ</t>
  </si>
  <si>
    <t>Urine microalbumin</t>
  </si>
  <si>
    <t>Methamphetamine</t>
  </si>
  <si>
    <t>Urine Pregnancy Test</t>
  </si>
  <si>
    <t>THC (กัญชา)</t>
  </si>
  <si>
    <t>Fecal occult blood</t>
  </si>
  <si>
    <t>COVID-Ag (ATK) + ไม้ swab</t>
  </si>
  <si>
    <t>Dengue combo</t>
  </si>
  <si>
    <t>Malaria rapid test</t>
  </si>
  <si>
    <t>Syphilis rapid test</t>
  </si>
  <si>
    <t>HIV combo (Ag/Ab)</t>
  </si>
  <si>
    <t>Anti-HIV (wondfo)</t>
  </si>
  <si>
    <t>HBs Ag - rapid test</t>
  </si>
  <si>
    <t>Anti- HBs - rapid test</t>
  </si>
  <si>
    <t>Anti-HCV - rapid test</t>
  </si>
  <si>
    <t>Free T3</t>
  </si>
  <si>
    <t>Free T4</t>
  </si>
  <si>
    <t>TSH</t>
  </si>
  <si>
    <t>Anti-TP</t>
  </si>
  <si>
    <t>HIV Ag/Ab (CLIA)</t>
  </si>
  <si>
    <t>HBs Ag (CLIA)</t>
  </si>
  <si>
    <t>Filter Element G8</t>
  </si>
  <si>
    <t>TSK gel G8 Variant His</t>
  </si>
  <si>
    <t>G8-Varaint Elution buffer His No.1</t>
  </si>
  <si>
    <t>G8-Varaint Elution buffer His No.2</t>
  </si>
  <si>
    <t>G8-Varaint Elution buffer His No.3</t>
  </si>
  <si>
    <t>His Hemolysis &amp; Wash solution (L)</t>
  </si>
  <si>
    <t>Wright giemsa stain</t>
  </si>
  <si>
    <t>4×450 ml.</t>
  </si>
  <si>
    <t>AFB stain</t>
  </si>
  <si>
    <t>Gram stain</t>
  </si>
  <si>
    <t>Tube Clotted blood (NV)</t>
  </si>
  <si>
    <t>Tube EDTA (NV)</t>
  </si>
  <si>
    <t>Tube EDTA เด็ก (NV)</t>
  </si>
  <si>
    <t>Tube Heparin (NV)</t>
  </si>
  <si>
    <t>Tube Sodium Fluoride (NV)</t>
  </si>
  <si>
    <t>Tube แก้ว 13×100</t>
  </si>
  <si>
    <t>pcs</t>
  </si>
  <si>
    <t>Tube แก้ว 12x75</t>
  </si>
  <si>
    <t>Hematocrit tube</t>
  </si>
  <si>
    <t>Slide ริมฝ้า</t>
  </si>
  <si>
    <t>Urine cell slide</t>
  </si>
  <si>
    <t>ดินสอเขียนแก้ว สีแดง</t>
  </si>
  <si>
    <t>ดินน้ำมัน</t>
  </si>
  <si>
    <t>Hitachi cup</t>
  </si>
  <si>
    <t>sample cup สำหรับ immuno</t>
  </si>
  <si>
    <t>กระป๋องปัสสาวะ</t>
  </si>
  <si>
    <t>Yellow tip</t>
  </si>
  <si>
    <t>Blue tip</t>
  </si>
  <si>
    <t>น้ำยาฆ่าเชื้อ RBS</t>
  </si>
  <si>
    <t>3 Lit</t>
  </si>
  <si>
    <t>thermometer</t>
  </si>
  <si>
    <t>กรรไกรสแตนเลสสำหรับตัดถุงเลือด</t>
  </si>
  <si>
    <t>ไม้เขี่ยเลือด</t>
  </si>
  <si>
    <t>fuji cassette type CR size 10x12</t>
  </si>
  <si>
    <t>ตลับ</t>
  </si>
  <si>
    <t>X-Ray</t>
  </si>
  <si>
    <t>แผ่น Anti-Scatter Grid 10x12</t>
  </si>
  <si>
    <t>แผ่น Anti-Scatter Grid 14x17</t>
  </si>
  <si>
    <t>ถุงมือตะกั่ว</t>
  </si>
  <si>
    <t>คู่</t>
  </si>
  <si>
    <t>แว่นตากันรังสี</t>
  </si>
  <si>
    <t>fuji cassette type DR size 17x17 พร้อม software และอุปกรณ์แสดงผล</t>
  </si>
  <si>
    <t>ชุด</t>
  </si>
  <si>
    <t>E-bidding</t>
  </si>
  <si>
    <t>แผนปฏิบัติการจัดซื้อประเภท วัสดุการแพทย์ทั่วไป</t>
  </si>
  <si>
    <t>รายการวัสดุการแพทย์ทั่วไป</t>
  </si>
  <si>
    <t>Asson มีเขี้ยว ขนาด ยาว 5 นิ้ว</t>
  </si>
  <si>
    <t>ชิ้น</t>
  </si>
  <si>
    <t>Asson ไม่มีเขี้ยว ขนาดยาว 5 นิ้ว</t>
  </si>
  <si>
    <t>Atery โค้ง ขนาดยาว 5.5 นิ้ว</t>
  </si>
  <si>
    <t>Atery ตรง ขนาดยาว 5.5 นิ้ว</t>
  </si>
  <si>
    <t>taylor percussion hammer</t>
  </si>
  <si>
    <t>กรรไกรตัดไหมปลายแหลม 11.5cm/41/2"</t>
  </si>
  <si>
    <t>กรรไกร Metzenbaumโค้ง14.5cm/5 1/2"</t>
  </si>
  <si>
    <t>MosQuito Forceps ตรง10cm/4"</t>
  </si>
  <si>
    <t>MosQuito Forceps โค้ง10cm/4"</t>
  </si>
  <si>
    <t>nontooth forcepยาว    5.5 นิ้ว</t>
  </si>
  <si>
    <t>tooth forcepยาว    5.5 นิ้ว</t>
  </si>
  <si>
    <t>Mayo Hagar Holder 16cm/6 1/4"</t>
  </si>
  <si>
    <t>Vienna Nasal Specula 14.5cm/5 1/2"</t>
  </si>
  <si>
    <t>Oxegen box</t>
  </si>
  <si>
    <t>Stethoscope  ผู้ใหญ่</t>
  </si>
  <si>
    <t>Ambu bag ผู้ใหญ่</t>
  </si>
  <si>
    <t>Ambu bag เด็ก</t>
  </si>
  <si>
    <t>Air Way no 1</t>
  </si>
  <si>
    <t>Air way no 3</t>
  </si>
  <si>
    <t>Air way no 4</t>
  </si>
  <si>
    <t>Air way no2</t>
  </si>
  <si>
    <t>Arm sling no L</t>
  </si>
  <si>
    <t>Arm sling no m</t>
  </si>
  <si>
    <t>Arm sling nox L</t>
  </si>
  <si>
    <t>Arm sling no s</t>
  </si>
  <si>
    <t>Arm sling เด็ก</t>
  </si>
  <si>
    <t>Autoclave tape 1/2"</t>
  </si>
  <si>
    <t>Bagtigas10x10 (Sofa -tule)</t>
  </si>
  <si>
    <t>Blades no 10</t>
  </si>
  <si>
    <t>Blades no 11</t>
  </si>
  <si>
    <t>Blades no15</t>
  </si>
  <si>
    <t>Blood set</t>
  </si>
  <si>
    <t>Blades(ใบมีดโกน)</t>
  </si>
  <si>
    <t>child oxgen mask</t>
  </si>
  <si>
    <t>Chromic cat gut no 2/0 HR40</t>
  </si>
  <si>
    <t>Chromic cat gut no 3/0 HR26</t>
  </si>
  <si>
    <t>Chromic cat gut no 4/0 HR19</t>
  </si>
  <si>
    <t>Clavical traction no ss</t>
  </si>
  <si>
    <t>Cotton wool (ม้วน)1.4กรัม</t>
  </si>
  <si>
    <t>Cotton Wool(ก้อนเล็ก)0.35 กรัม</t>
  </si>
  <si>
    <t>ถุง</t>
  </si>
  <si>
    <t>Cotton Wool(ก้อนเล็ก) 10 ก้อนปราศจากเชื้อ</t>
  </si>
  <si>
    <t>Cotton Wool(ก้อนใหญ่)</t>
  </si>
  <si>
    <t>Dafilon nylon no 3/0 HS 19</t>
  </si>
  <si>
    <t>Dafilon nylon no 4/0 HS 19</t>
  </si>
  <si>
    <t>Dafilon nylon no 5/0 HS 16</t>
  </si>
  <si>
    <t>Disposible needle no 18 1"</t>
  </si>
  <si>
    <t>Disposible needle no 18 1/2"</t>
  </si>
  <si>
    <t>Disposible needle no 20 1"</t>
  </si>
  <si>
    <t>Disposible needle no 20 1/2"</t>
  </si>
  <si>
    <t>Disposible needle no 22 1"</t>
  </si>
  <si>
    <t>Disposible needle no 23 1 1/2"</t>
  </si>
  <si>
    <t>Disposible needle no 24 1"</t>
  </si>
  <si>
    <t>Disposible needle no 24 1/2"</t>
  </si>
  <si>
    <t>Disposible needle no 27 1"</t>
  </si>
  <si>
    <t>Disposible needle no 27 1/2"</t>
  </si>
  <si>
    <t>Disposible needleno 25 1"</t>
  </si>
  <si>
    <t>EKG  elctrode</t>
  </si>
  <si>
    <t>EKG A4</t>
  </si>
  <si>
    <t>พับ</t>
  </si>
  <si>
    <t>Elastic bandage 3"</t>
  </si>
  <si>
    <t>โหล</t>
  </si>
  <si>
    <t>Elastic bandage 4"</t>
  </si>
  <si>
    <t>Elastic bandage 6"</t>
  </si>
  <si>
    <t>Endo Protex no 3</t>
  </si>
  <si>
    <t>Endo Protex no 4.5</t>
  </si>
  <si>
    <t>Endo Protex no 5</t>
  </si>
  <si>
    <t>Endo Protex no 5.5</t>
  </si>
  <si>
    <t>Endo Protex no 6</t>
  </si>
  <si>
    <t>Endo Protex no 6.5</t>
  </si>
  <si>
    <t>Endo Protex no 7</t>
  </si>
  <si>
    <t>Endo Protex no 7.5</t>
  </si>
  <si>
    <t>Endo Protex no 8</t>
  </si>
  <si>
    <t>Endo Protex no3.5</t>
  </si>
  <si>
    <t>Extension tube</t>
  </si>
  <si>
    <t>Eye pad</t>
  </si>
  <si>
    <t>Foley's cath no 10</t>
  </si>
  <si>
    <t>Foley's cath no 12</t>
  </si>
  <si>
    <t>Foley's cath no 18</t>
  </si>
  <si>
    <t>Foley's cath no 20</t>
  </si>
  <si>
    <t>Foley's cath no14</t>
  </si>
  <si>
    <t>Foley's cath no16</t>
  </si>
  <si>
    <t>Gauge (แผ่น)2*2non sterlie</t>
  </si>
  <si>
    <t>ห่อ</t>
  </si>
  <si>
    <t>Gauge (แผ่น)2*2sterlie</t>
  </si>
  <si>
    <t>Gauge (แผ่น)3*3 non sterlie</t>
  </si>
  <si>
    <t>Gauge (แผ่น)3*3 sterlie</t>
  </si>
  <si>
    <t>Gauge drain</t>
  </si>
  <si>
    <t>Gauge(ม้วน)</t>
  </si>
  <si>
    <t>gide ET no m</t>
  </si>
  <si>
    <t>gide ET no s</t>
  </si>
  <si>
    <t>gideET noL</t>
  </si>
  <si>
    <t>Glass aseptosyringes 50 cc</t>
  </si>
  <si>
    <t>Heparin lock</t>
  </si>
  <si>
    <t>Infusion Set</t>
  </si>
  <si>
    <t>mask (disposible)</t>
  </si>
  <si>
    <t xml:space="preserve">mask 95 </t>
  </si>
  <si>
    <t>Medicat no 16</t>
  </si>
  <si>
    <t>Medicat no 18</t>
  </si>
  <si>
    <t>Medicat no 20</t>
  </si>
  <si>
    <t>Medicat no 22</t>
  </si>
  <si>
    <t>Medicat no 24</t>
  </si>
  <si>
    <t>Medipore 10*10</t>
  </si>
  <si>
    <t>Micropore1"</t>
  </si>
  <si>
    <t>NG tube  no 6</t>
  </si>
  <si>
    <t>NG tube  no 8</t>
  </si>
  <si>
    <t>NG tube  no 10</t>
  </si>
  <si>
    <t>NG tube  no 12</t>
  </si>
  <si>
    <t>NG tube no 18</t>
  </si>
  <si>
    <t>NG tube no14</t>
  </si>
  <si>
    <t>NG tube no16</t>
  </si>
  <si>
    <t>O2 canular เด็กโต</t>
  </si>
  <si>
    <t>O2 canular เด็กเล็ก</t>
  </si>
  <si>
    <t>O2 canular ผู้ใหญ่</t>
  </si>
  <si>
    <t>Pediatric Solution Set</t>
  </si>
  <si>
    <t>Plaster ผ้า 1cms</t>
  </si>
  <si>
    <t>Silk no 2/0</t>
  </si>
  <si>
    <t>Silk no 3/0</t>
  </si>
  <si>
    <t xml:space="preserve">Slapเผือกสำเร็จรูป 3" </t>
  </si>
  <si>
    <t>Slapเผือกสำเร็จรูป 4"</t>
  </si>
  <si>
    <t>Slapเผือกสำเร็จรูป 6"</t>
  </si>
  <si>
    <t>Spinal needle dis no 22</t>
  </si>
  <si>
    <t>Spinal needle dis no 23</t>
  </si>
  <si>
    <t>Spinal needle dis no 24</t>
  </si>
  <si>
    <t>Stockgenet</t>
  </si>
  <si>
    <t>Suction no 10</t>
  </si>
  <si>
    <t>Suction no 12</t>
  </si>
  <si>
    <t>Suction no 14</t>
  </si>
  <si>
    <t>Suction no 16</t>
  </si>
  <si>
    <t>Suction no 18</t>
  </si>
  <si>
    <t>Suction no 8</t>
  </si>
  <si>
    <t>Surgical needle 1/2 circle cutting no 28</t>
  </si>
  <si>
    <t>Surgical needle 1/2 circle cutting no 32</t>
  </si>
  <si>
    <t>Surgical needles 1/2 circle cutting no 24</t>
  </si>
  <si>
    <t>Syringes ball no 3</t>
  </si>
  <si>
    <t>Syringes disposible no 10 cc</t>
  </si>
  <si>
    <t>Syringes disposible no 5 cc</t>
  </si>
  <si>
    <t>Syringes disposible no20 cc</t>
  </si>
  <si>
    <t>Syringes disposible no3 cc</t>
  </si>
  <si>
    <t>Syringes Insuline 1 ccเข็ม 27 1/2"</t>
  </si>
  <si>
    <t>Syringes Insuline 1 ccเข็ม 29 1/2"</t>
  </si>
  <si>
    <t>Syringes Insuline 1 ccเข็ม 30 1/2"</t>
  </si>
  <si>
    <t>Syringes Insuline 1 ccเข็ม ไม่มีเข็ม27 1/2</t>
  </si>
  <si>
    <t>Thoracic catheter no24</t>
  </si>
  <si>
    <t>Thoracic catheter no28</t>
  </si>
  <si>
    <t>Thoracic catheter no32</t>
  </si>
  <si>
    <t>Transpore 1/2"</t>
  </si>
  <si>
    <t>T-way</t>
  </si>
  <si>
    <t>Ultrasound gel</t>
  </si>
  <si>
    <t>กระปุก</t>
  </si>
  <si>
    <t>Urinal plastic</t>
  </si>
  <si>
    <t>ใบ</t>
  </si>
  <si>
    <t>urine bag</t>
  </si>
  <si>
    <t>Webil 4"(สำลีรองเฝือก)</t>
  </si>
  <si>
    <t>Webil 6"(สำลีรองเฝือก)</t>
  </si>
  <si>
    <t>ชุดยาพ่นเด็ก</t>
  </si>
  <si>
    <t>ชุดยาพ่นผู้ใหญ่</t>
  </si>
  <si>
    <t>ถุงมือ  sterile n0 `6.5</t>
  </si>
  <si>
    <t>ถุงมือ sterile n0 `7</t>
  </si>
  <si>
    <t>ถุงมือdis  sx</t>
  </si>
  <si>
    <t xml:space="preserve">ถุงมือdis  m </t>
  </si>
  <si>
    <t xml:space="preserve">ถุงมือdis  s </t>
  </si>
  <si>
    <t>ถุงมือdis L</t>
  </si>
  <si>
    <t>ปรอทวัดไข้แบบดิจิตอล</t>
  </si>
  <si>
    <t>ป้ายข้อมือเด็ก สีชมพู</t>
  </si>
  <si>
    <t>ป้ายข้อมือเด็ก สีฟ้า</t>
  </si>
  <si>
    <t>ป้ายข้อมือผู้ใหญ่ สีชมพู</t>
  </si>
  <si>
    <t>ป้ายข้อมือผู้ใหญ่ สีฟ้า</t>
  </si>
  <si>
    <t>เฝือกคอปรับได้เด็ก</t>
  </si>
  <si>
    <t>เฝือกคอปรับได้ผู้ใหญ่</t>
  </si>
  <si>
    <t>เฝือกปูน 4"</t>
  </si>
  <si>
    <t>เฝือกปูน 6"</t>
  </si>
  <si>
    <t>ภาชนะบรรจุหัวเข็มขนาดกลาง</t>
  </si>
  <si>
    <t>ไม้กดลิ้น ดีสโพส</t>
  </si>
  <si>
    <t>ไม้พันสำลีขนาดโหญ่</t>
  </si>
  <si>
    <t>สายยางเบอร์ 200(touniqaet)</t>
  </si>
  <si>
    <t>สายยางเบอร์ 203 (ต่อ suction)</t>
  </si>
  <si>
    <t>หมวก ดีสโพส</t>
  </si>
  <si>
    <t>กระดาษสำหรับเครื่อง US</t>
  </si>
  <si>
    <t>ซองบรรจุเวชภัณฑ์ขนาด 2"</t>
  </si>
  <si>
    <t>ซองบรรจุเวชภัณฑ์ขนาด 3"</t>
  </si>
  <si>
    <t>ซองบรรจุเวชภัณฑ์ขนาด 4"</t>
  </si>
  <si>
    <t>ซองบรรจุเวชภัณฑ์ขนาด 6"</t>
  </si>
  <si>
    <t>ซองบรรจุเวชภัณฑ์ขนาด 8"</t>
  </si>
  <si>
    <t>ซองบรรจุเวชภัณฑ์ขนาด 12"</t>
  </si>
  <si>
    <t>ซองบรรจุเวชภัณฑ์ขนาด 16"</t>
  </si>
  <si>
    <t>กระป๋องออกซิเจน</t>
  </si>
  <si>
    <t>Gel diff</t>
  </si>
  <si>
    <t>ข้อต่อตรงsuction 7x7</t>
  </si>
  <si>
    <t>สำลีมีแอลกอฮอล์สำเร็จรูป</t>
  </si>
  <si>
    <t>เจลแอลกอฮอล์เช็ดมือขนาด600ml</t>
  </si>
  <si>
    <t>Fleiter กรองเชื้อในผู้ป่วยใส่ท่อหายใจกรณีติดเชื้อ</t>
  </si>
  <si>
    <t>ผ้ายางปูเตียง 2 หน้า</t>
  </si>
  <si>
    <t>ผ้าผูกรัดแขนผู้ป่วยสีขาวมีชื่อรพ.</t>
  </si>
  <si>
    <t>ผ้าห่อเซต ขนาด 20x20 นิ้วสีเขียวโศกพิมพ์ชื่อรพ.</t>
  </si>
  <si>
    <t>ผ้าห่อเซต ขนาด 25x25 นิ้วสีเขียวโศกพิมพ์ชื่อรพ.</t>
  </si>
  <si>
    <t>ผ้าห่อเซต 30x30 นิ้วสีเขียวโศกพิมพ์ชื่อรพ.</t>
  </si>
  <si>
    <t>ผ้าสี่เหลี่ยมเจากะกลางขนาด 25x25 นิ้วเจาะกลาง 4x4 นิ้วสีเขียวโศกพิมพ์ชื่อรพ.</t>
  </si>
  <si>
    <t>ผ้าสี่เหลี่ยมเจากะกลางขนาด 18x18 นิ้วเจาะกลาง 4x4 นิ้ว</t>
  </si>
  <si>
    <t>ผ้าสี่เหลี่ยมเจากะกลางขนาด 20x20 นิ้วเจาะกลาง 4x4 นิ้วสีเขียวโศกพิมพ์ชื่อรพ.</t>
  </si>
  <si>
    <t>ชุดทดสอบหม้อนึ่งไอน้ำ(Bowic TesTX)</t>
  </si>
  <si>
    <t>Indicater Test Stem</t>
  </si>
  <si>
    <t>Indicater Test EO(อบแก๊ส)</t>
  </si>
  <si>
    <t>Medical Enzme</t>
  </si>
  <si>
    <t>แกลลอน</t>
  </si>
  <si>
    <t>กระดาษNST</t>
  </si>
  <si>
    <t>กระดาษปริ้นเคื่องนึ่งไอน้ำ</t>
  </si>
  <si>
    <t>หลอดดูดเสมหะ</t>
  </si>
  <si>
    <t>Face shild</t>
  </si>
  <si>
    <t>shoe cover</t>
  </si>
  <si>
    <t>Long cover</t>
  </si>
  <si>
    <t>Isolate gown</t>
  </si>
  <si>
    <t>ชุดPPE no S</t>
  </si>
  <si>
    <t>ชุดPPE no m</t>
  </si>
  <si>
    <t>ชุดPPE no L</t>
  </si>
  <si>
    <t xml:space="preserve">ไม้เท้า 1 ปุ่ม </t>
  </si>
  <si>
    <t>กายภาพ</t>
  </si>
  <si>
    <t xml:space="preserve">ไม้เท้า 3 ปุ่ม  </t>
  </si>
  <si>
    <t>Walker</t>
  </si>
  <si>
    <t xml:space="preserve">ไม้ค้ำยันแบบไม้ </t>
  </si>
  <si>
    <t>ไม้ค้ำยันแบบอลูมิเนียม</t>
  </si>
  <si>
    <t>ผ้าพยุงหลังแบบผ้า (L-S support)  (M5/L20/XL15)</t>
  </si>
  <si>
    <t xml:space="preserve">Stethoscope   เด็ก  </t>
  </si>
  <si>
    <t xml:space="preserve">อัน </t>
  </si>
  <si>
    <t xml:space="preserve">กระปุกสำลี  </t>
  </si>
  <si>
    <t xml:space="preserve">อัน  </t>
  </si>
  <si>
    <t xml:space="preserve">tray ฉีดยา </t>
  </si>
  <si>
    <t xml:space="preserve">ครีมถอดลูก แม๊กซ์เย็บแผล off  Stripple  </t>
  </si>
  <si>
    <t xml:space="preserve">ตัว </t>
  </si>
  <si>
    <t>tooth forcep ยาว 5.5 นิ้ว</t>
  </si>
  <si>
    <t xml:space="preserve"> Non  - tooth forcep ยาว 5.5 นิ้ว</t>
  </si>
  <si>
    <t xml:space="preserve">ชุดป้องกันสารเคมี  XL  </t>
  </si>
  <si>
    <t xml:space="preserve"> ชุด</t>
  </si>
  <si>
    <t xml:space="preserve">ถุงมือป้องกันสารเคมี </t>
  </si>
  <si>
    <t>แว่นตาใส</t>
  </si>
  <si>
    <t xml:space="preserve">หน้ากาแก๊ส </t>
  </si>
  <si>
    <t>แผนปฏิบัติการจัดซื้อประเภท เวชภัณฑ์ยา</t>
  </si>
  <si>
    <t>รายการเวชภัณฑ์ยา</t>
  </si>
  <si>
    <t>Acetaminophen syrup 120 mg/5ml</t>
  </si>
  <si>
    <t>1 ขวด</t>
  </si>
  <si>
    <t>Acetaminophen tab 325 mg</t>
  </si>
  <si>
    <t>1 เม็ด</t>
  </si>
  <si>
    <t>Acetaminophen tab 500 mg</t>
  </si>
  <si>
    <t>Activated charcoal powder 50g</t>
  </si>
  <si>
    <t>1 กระปุก</t>
  </si>
  <si>
    <t>Acyclovir tab 400 mg</t>
  </si>
  <si>
    <t>Adenosine 3mg/ml</t>
  </si>
  <si>
    <t xml:space="preserve">ADRENALINE INJECTION 1 mg/ml 1 ml </t>
  </si>
  <si>
    <t>1 หลอด</t>
  </si>
  <si>
    <t xml:space="preserve">dT VACCINE 1 doses/ampule 0.5 ml </t>
  </si>
  <si>
    <t>Albendazole susp. 100 mg/5ml</t>
  </si>
  <si>
    <t>Albendazole tab 200 mg</t>
  </si>
  <si>
    <t>Alcohol 70% (450ml)</t>
  </si>
  <si>
    <t>Alcohol 70% (60ml)</t>
  </si>
  <si>
    <t>Allopurinol tab 100 mg</t>
  </si>
  <si>
    <t>Amiodarone inj.</t>
  </si>
  <si>
    <t>Amitriptyline  tab10 mg</t>
  </si>
  <si>
    <t>Amitriptyline  tab25 mg</t>
  </si>
  <si>
    <t>Amlodipine tab 5 mg</t>
  </si>
  <si>
    <t>Amoxicillin cap 250 mg</t>
  </si>
  <si>
    <t>Amoxicillin cap 500 mg</t>
  </si>
  <si>
    <t>Amoxicillin dry syrup 125 mg/5ml</t>
  </si>
  <si>
    <t>Amoxycillin200+Clavulonate 28.5 dry syr</t>
  </si>
  <si>
    <t>Amoxycillin825+Clavulonate125 Tab</t>
  </si>
  <si>
    <t>Ampicillin inj. 1 g.</t>
  </si>
  <si>
    <t>Analgesic cream 25 g.</t>
  </si>
  <si>
    <t>Antacid gel 240ml</t>
  </si>
  <si>
    <t>Antirabies hyperimmune serum ERIC</t>
  </si>
  <si>
    <t>Aromatic ammonia spirit 450 ml</t>
  </si>
  <si>
    <t>Aspirin tab 325 mg</t>
  </si>
  <si>
    <t>Aspirin tab 81 mg</t>
  </si>
  <si>
    <t>Atenolol tab 50 mg</t>
  </si>
  <si>
    <t xml:space="preserve">ATROPINE SULFATE INJ 0.60 mg/ml 1 ml  </t>
  </si>
  <si>
    <t xml:space="preserve">rabies vaccine (PCECV/PVRV/CPRV )           </t>
  </si>
  <si>
    <t>BCG VACCINE 10 หรือ 20 doses/vial</t>
  </si>
  <si>
    <t>Benzhexol tab 2 mg</t>
  </si>
  <si>
    <t>Benzhexol tab 5 mg</t>
  </si>
  <si>
    <t>Benzyl benzoate 100 ml.</t>
  </si>
  <si>
    <t>Berodual MDI</t>
  </si>
  <si>
    <t>Berodual solution 4 ml</t>
  </si>
  <si>
    <t>Betahistine tab 6 mg</t>
  </si>
  <si>
    <t xml:space="preserve">BETAMETHASONE CREAM 0.1%w/w 5 g </t>
  </si>
  <si>
    <t>Bisacodyl tab 5 mg</t>
  </si>
  <si>
    <t>Brown mixture   ยาสามัญ</t>
  </si>
  <si>
    <t>Budesonide MDI</t>
  </si>
  <si>
    <t>Calamine lotion 60 ml</t>
  </si>
  <si>
    <t>Calcium carbonate tab 600 mg</t>
  </si>
  <si>
    <t>Calcium gluconate inj. 10 ml</t>
  </si>
  <si>
    <t>Calcium polystyrene sulfonate 5g.</t>
  </si>
  <si>
    <t>1 ซอง</t>
  </si>
  <si>
    <t>Captopril 25 mg</t>
  </si>
  <si>
    <t>Carbamazepine tab 200 mg</t>
  </si>
  <si>
    <t>Cefazolin 1 G</t>
  </si>
  <si>
    <t>Ceftriaxone inj. 1 g</t>
  </si>
  <si>
    <t>Ceftazidime inj. 1 g</t>
  </si>
  <si>
    <t>Cetirizine 10 mg</t>
  </si>
  <si>
    <t>Chloroquine tab 250 mg</t>
  </si>
  <si>
    <t>Chlorpheniramine inj. 10 mg/ml</t>
  </si>
  <si>
    <t>Chlorpheniramine syrup 2 mg/5ml</t>
  </si>
  <si>
    <t>Chlorpheniramine tab 4 mg</t>
  </si>
  <si>
    <t xml:space="preserve">CHLORPROMAZINE 100 mg </t>
  </si>
  <si>
    <t>CHLORPROMAZINE 50 mg</t>
  </si>
  <si>
    <t>Clindamycin HCI 300 mg</t>
  </si>
  <si>
    <t>Clindamycin phosphate inj. 150mg/ml</t>
  </si>
  <si>
    <t>Clobetasol propionate  5 g.</t>
  </si>
  <si>
    <t>Clopidogrel 75  mg</t>
  </si>
  <si>
    <t>Clotrimazole cream 1% 10g.</t>
  </si>
  <si>
    <t>Clotrimazole troche</t>
  </si>
  <si>
    <t>1 แท่ง</t>
  </si>
  <si>
    <t>Clotrimazole vaginal tab  0.1g</t>
  </si>
  <si>
    <t>Colchicine tab 0.6 mg</t>
  </si>
  <si>
    <t>Conjugated estrogen tab 0.625 mg</t>
  </si>
  <si>
    <t>Clonazepam 0.5 mg tab</t>
  </si>
  <si>
    <t>Clonazepam 2 mg tab</t>
  </si>
  <si>
    <t>Clozapine 100 mg</t>
  </si>
  <si>
    <t>Co-trimoxazole susp. 200:40 mg</t>
  </si>
  <si>
    <t>Co-trimoxazole tab 400:80</t>
  </si>
  <si>
    <t>Cyproheptadine 4 mg</t>
  </si>
  <si>
    <t>D 10 N/2  (1000ml)</t>
  </si>
  <si>
    <t>D 10 W  (500ml)</t>
  </si>
  <si>
    <t>D 5 N/2 (1,000ml)</t>
  </si>
  <si>
    <t>D 5 N/3 (500ml)</t>
  </si>
  <si>
    <t>D 5 N/4 (500ml)</t>
  </si>
  <si>
    <t>D 5 N/5 (500ml)</t>
  </si>
  <si>
    <t>D 5 S  (1,000ml)</t>
  </si>
  <si>
    <t>D 5 W  (100ml)</t>
  </si>
  <si>
    <t>D 5 W  (500ml)</t>
  </si>
  <si>
    <t>Dex oph</t>
  </si>
  <si>
    <t>Dexamethasone inj. 4 mg/ml</t>
  </si>
  <si>
    <t>Dextromethorphan tab 15 mg</t>
  </si>
  <si>
    <t>Dextrose inj 50% w/v 50 ml</t>
  </si>
  <si>
    <t xml:space="preserve">DIAZEPAM INJECTION 10 mg/2 ml </t>
  </si>
  <si>
    <t>Diazepam tab 2 mg</t>
  </si>
  <si>
    <t>Diazepam tab 5 mg</t>
  </si>
  <si>
    <t>Dicloxacillin cap 250 mg</t>
  </si>
  <si>
    <t>Dicloxacillin dry syrup 125 mg/5ml</t>
  </si>
  <si>
    <t xml:space="preserve">Dicyclomine HCl 10 mg </t>
  </si>
  <si>
    <t>Digoxin inj. 0.5 mg/2ml</t>
  </si>
  <si>
    <t>Digoxin tab 0.25 mg</t>
  </si>
  <si>
    <t>Dimenhydrinate inj. 50 mg/ml</t>
  </si>
  <si>
    <t>Dimenhydrinate tab 50 mg</t>
  </si>
  <si>
    <t>Dipotassium clorazepate cap 5 mg</t>
  </si>
  <si>
    <t>Domperidone susp. 5 mg/5ml</t>
  </si>
  <si>
    <t>Domperidone tab 10 mg</t>
  </si>
  <si>
    <t>Dopamine inj. 250 mg/10ml</t>
  </si>
  <si>
    <t>Doxazosin 2 mg</t>
  </si>
  <si>
    <t>Doxycycline cap 100 mg</t>
  </si>
  <si>
    <t>1 แคปซูล</t>
  </si>
  <si>
    <t>Efavirenz Tablets 600 mg</t>
  </si>
  <si>
    <t>Enalapril 20 mg</t>
  </si>
  <si>
    <t>Enalapril 5 mg</t>
  </si>
  <si>
    <t>Enema (Sodium biphosphate) 133 ml.</t>
  </si>
  <si>
    <t>Ergotamine + Caffeine tab 100 mg</t>
  </si>
  <si>
    <t>Erythromycin dry syrup 125 mg/5ml</t>
  </si>
  <si>
    <t>Ethinylestradiol30 + Levonorgestrel 150</t>
  </si>
  <si>
    <t>28 เม็ด/แผง</t>
  </si>
  <si>
    <t>Ethambutol 400 mg</t>
  </si>
  <si>
    <t>Ferrous Fumalate drop syrup 50 mg/0.6ml</t>
  </si>
  <si>
    <t>Ferrous Fumalate  syrup 76mg/ml</t>
  </si>
  <si>
    <t>Ferrous fumarate tab 200 mg</t>
  </si>
  <si>
    <t>Fluoxetine cap 20 mg</t>
  </si>
  <si>
    <t>Fluphenazine decanoate 25 mg/ml</t>
  </si>
  <si>
    <t>Folic acid tab 5 mg</t>
  </si>
  <si>
    <t>Formaldehyde solution 450 ml.</t>
  </si>
  <si>
    <t>Furosemide inj. 20 mg/2ml</t>
  </si>
  <si>
    <t>Furosemide inj. 250 mg/25ml</t>
  </si>
  <si>
    <t>Furosemide tab 40 mg</t>
  </si>
  <si>
    <t xml:space="preserve">Gemfibrozil 600 mg </t>
  </si>
  <si>
    <t>Gentamicin 40mg/ml</t>
  </si>
  <si>
    <t>Glipizide tab 5 mg</t>
  </si>
  <si>
    <t>Glyceryl guaicolate 100 mg</t>
  </si>
  <si>
    <t>Griseofulvin tab 500 mg</t>
  </si>
  <si>
    <t>Guaifenesin 100mg/5ml (Glyceryl guaiacolate)</t>
  </si>
  <si>
    <t>GPO VIR Z250</t>
  </si>
  <si>
    <t>Haloperidol inj. 5 mg/ml</t>
  </si>
  <si>
    <t>Haloperidol tab 2 mg</t>
  </si>
  <si>
    <t>Haloperidol tab 5 mg</t>
  </si>
  <si>
    <t>HEPATITIS B VACCINE 0.5 doses/vial</t>
  </si>
  <si>
    <t>HEPATITIS B VACCINE 2 doses/vial</t>
  </si>
  <si>
    <t xml:space="preserve">Histaoph eye drops </t>
  </si>
  <si>
    <t>Humulin 70/30 insulin inj. 1,000 u.</t>
  </si>
  <si>
    <t>Humulin 70/30 Penfill</t>
  </si>
  <si>
    <t>Hydralazine tab 25 mg</t>
  </si>
  <si>
    <t>Hydrochlorothiazide tab 25 mg</t>
  </si>
  <si>
    <t>Hydrogen peroxide solution 450 ml.</t>
  </si>
  <si>
    <t>Hydroxyzine tab 10 mg</t>
  </si>
  <si>
    <t>HYOSCINE-N-BUTYLBROMIDE INJECTION 20 mg/ml 1 ml ampule</t>
  </si>
  <si>
    <t>HYOSCINE-N-BUTYLBROMIDE 5 mg/5 ml</t>
  </si>
  <si>
    <t>Ibuprofen susp. 100 mg/5ml</t>
  </si>
  <si>
    <t>Ibuprofen tab 400 mg</t>
  </si>
  <si>
    <t>Implanol NXT (ยาคุมชนิดฝัง 3 ปี)</t>
  </si>
  <si>
    <t>1 กล่อง</t>
  </si>
  <si>
    <t>Isosorbide SL 5 mg</t>
  </si>
  <si>
    <t>Isosorbide-5 mononitrate 20 mg</t>
  </si>
  <si>
    <t>Isoniazid 100 mg</t>
  </si>
  <si>
    <t>Ketoconazole tab 200 mg</t>
  </si>
  <si>
    <t>lactulose syr</t>
  </si>
  <si>
    <t xml:space="preserve">lamivudine 150 mg </t>
  </si>
  <si>
    <t xml:space="preserve">lamivudine 300 mg </t>
  </si>
  <si>
    <t>Levodopa 100mg+Carbidopa 25 mg</t>
  </si>
  <si>
    <t>Levonorgestrel tab0.75 mg</t>
  </si>
  <si>
    <t>2  เม็ด/กล่อง</t>
  </si>
  <si>
    <t xml:space="preserve">Lidocaine HCL inj. 2% </t>
  </si>
  <si>
    <t>Lidocaine inj. 2% + Adrenaline inj. 50 ml</t>
  </si>
  <si>
    <t>Lopinavir 200 mg/Ritonavir tablets 50 mg</t>
  </si>
  <si>
    <t>Lorazepam tab. 0.5 mg.</t>
  </si>
  <si>
    <t>Lorazepam tab. 2 mg.</t>
  </si>
  <si>
    <t xml:space="preserve">LOSARTAN TABLETS 50 mg 3x10's </t>
  </si>
  <si>
    <t>Lynestrenol tab</t>
  </si>
  <si>
    <t>28  เม็ด/กล่อง</t>
  </si>
  <si>
    <t>M. Carminative (180 ml)</t>
  </si>
  <si>
    <t xml:space="preserve">Magnesium sulphate inj. 50% </t>
  </si>
  <si>
    <t>Medroxyprogesterone acetate
inj.(ยาคุมฉีด)</t>
  </si>
  <si>
    <t xml:space="preserve">METFORMIN TABLETS 500 mg 50x10's </t>
  </si>
  <si>
    <t>Methimazole (Thiamazole)</t>
  </si>
  <si>
    <t>Metoclopramide inj. 10 mg/2ml</t>
  </si>
  <si>
    <t>Metoprolol 100 mg</t>
  </si>
  <si>
    <t>Metronidazole inj. 500 mg/100ml</t>
  </si>
  <si>
    <t>Metronidazole tab 400 mg</t>
  </si>
  <si>
    <t>Milk Of Magnesia (60ml)</t>
  </si>
  <si>
    <t>Morphine sulfate inj.10 mg/ml</t>
  </si>
  <si>
    <t>Morphine MST tablets 10 mg</t>
  </si>
  <si>
    <t>Multivitamin syrup</t>
  </si>
  <si>
    <t>Naproxen 250 mg</t>
  </si>
  <si>
    <t>N.S.S.  Irrigation (1,000ml)</t>
  </si>
  <si>
    <t>N.S.S. (1,000ml)</t>
  </si>
  <si>
    <t>N.S.S. (100ml)</t>
  </si>
  <si>
    <t>N.S.S. (10ml)</t>
  </si>
  <si>
    <t>Naloxone inj. 0.4 mg/ml</t>
  </si>
  <si>
    <t>Nevirapine 200 mg</t>
  </si>
  <si>
    <t>Nifedipine 20 mg</t>
  </si>
  <si>
    <t>Norethisterone tab 5 mg</t>
  </si>
  <si>
    <t>Norfloxacin tab 400 mg</t>
  </si>
  <si>
    <t>Nortriptyline 25 mg</t>
  </si>
  <si>
    <t>O.R.S.เด็ก</t>
  </si>
  <si>
    <t>Ofloxacin 200 mg</t>
  </si>
  <si>
    <t>Olive oil 450 ml.</t>
  </si>
  <si>
    <t>Omeprazole cap 20 mg</t>
  </si>
  <si>
    <t>Omeprazole inj. 40 mg</t>
  </si>
  <si>
    <t>Oseltamivir 30 mg</t>
  </si>
  <si>
    <t>Oseltamivir 45 mg</t>
  </si>
  <si>
    <t>Oseltamivir 75 mg</t>
  </si>
  <si>
    <t>Oxytocin inj. 10 iu/ml</t>
  </si>
  <si>
    <t>Penicillin V tab 250 mg</t>
  </si>
  <si>
    <t>Perphenazine 4 mg tab</t>
  </si>
  <si>
    <t>Perphenazine 8 mg tab</t>
  </si>
  <si>
    <t>Pethidine HCL inj. 50 mg/ml</t>
  </si>
  <si>
    <t>PHENOBARBITONE TABLETS 30 mg</t>
  </si>
  <si>
    <t>PHENOBARBITONE TABLETS 60 mg</t>
  </si>
  <si>
    <t>Phenytoin cap 100 mg</t>
  </si>
  <si>
    <t>Phenytoin 250mg/5ml inj.</t>
  </si>
  <si>
    <t xml:space="preserve">Polyoph eye drops </t>
  </si>
  <si>
    <t>Potassium chloride elixer 500mg/5ml</t>
  </si>
  <si>
    <t>Potassium Cl. Inj. 20 meq/10ml</t>
  </si>
  <si>
    <t>Povidone iodine solution 10% 30ml</t>
  </si>
  <si>
    <t>POVIDONE IODINE SOLUTION 10%w/v 450 ml</t>
  </si>
  <si>
    <t>Pioglitazone 20 mg</t>
  </si>
  <si>
    <t>Prednisolone tab 5 mg</t>
  </si>
  <si>
    <t>Primaquine tab 15 mg</t>
  </si>
  <si>
    <t xml:space="preserve">Proctosedyl suppo. </t>
  </si>
  <si>
    <t>Propranolol tab 10 mg</t>
  </si>
  <si>
    <t>Propylthiouracil tab 50 mg</t>
  </si>
  <si>
    <t>Proluton inj. (ยาฉีดกันแท้ง)</t>
  </si>
  <si>
    <t>Pyrazinamide 500 mg</t>
  </si>
  <si>
    <t>Regular insulin.</t>
  </si>
  <si>
    <t>Rifampicin 300 mg</t>
  </si>
  <si>
    <t>Rifampicin 450 mg</t>
  </si>
  <si>
    <t>Ringer's acetate 1,000ml</t>
  </si>
  <si>
    <t>Risperidone 1 mg</t>
  </si>
  <si>
    <t>Risperidone 2 mg</t>
  </si>
  <si>
    <t>Roxithromycin tab 150 mg</t>
  </si>
  <si>
    <t>Salbutamol MDI</t>
  </si>
  <si>
    <t>Salbutamol respiratory. soln. 2.5 ml</t>
  </si>
  <si>
    <t>Salbutamol syrup 2 mg/5ml</t>
  </si>
  <si>
    <t>Salbutamol tab 2 mg</t>
  </si>
  <si>
    <t>Salicylic acid+Lactic acid(collomack)</t>
  </si>
  <si>
    <t>Seroflo 25/125</t>
  </si>
  <si>
    <t>Sertraline 50 mg</t>
  </si>
  <si>
    <t>Silver sulfadiazine cream 25 g.</t>
  </si>
  <si>
    <t>Simethicone susp. Drop 40 mg/0.6ml</t>
  </si>
  <si>
    <t>Simethicone tab 80 mg</t>
  </si>
  <si>
    <t xml:space="preserve">Simvastatin  tab 20 mg </t>
  </si>
  <si>
    <t>Sodium bicarbonate  tab 300 mg</t>
  </si>
  <si>
    <t>Sodium bicarbonate inj. 7.5%</t>
  </si>
  <si>
    <t>Sodium chloride 3 % (500ml)</t>
  </si>
  <si>
    <t>Sodium valproate 200 mg tab</t>
  </si>
  <si>
    <t>Sodium Valproate tab 500 mg</t>
  </si>
  <si>
    <t>Special Mouth Wash 180 ml</t>
  </si>
  <si>
    <t>Spironolactone tab 25 mg</t>
  </si>
  <si>
    <t>Sterile water for injection 100 ml</t>
  </si>
  <si>
    <t>Sterile water for irrigate 1000 ml</t>
  </si>
  <si>
    <t>Streptokinase 1,500,000 iu. (Thromboflux )</t>
  </si>
  <si>
    <t>Tetracaine 0.5 % eye drop.</t>
  </si>
  <si>
    <t>Tenofovir 300 mg</t>
  </si>
  <si>
    <t>Theophylline tab 200 mg</t>
  </si>
  <si>
    <t>Thyroxine sodium tab 0.1 mg</t>
  </si>
  <si>
    <t>Tramadol HCI cap 50 mg</t>
  </si>
  <si>
    <t>Tramadol inj 50mg/1ml</t>
  </si>
  <si>
    <t>Tranexamic acid inj. 250 mg/5ml</t>
  </si>
  <si>
    <t>Trazodone 50 mg</t>
  </si>
  <si>
    <t>Triamcinolone acetonide cream 0.1% 5g.</t>
  </si>
  <si>
    <t xml:space="preserve">Triamcinolone acetonide cream0.02% </t>
  </si>
  <si>
    <t>Triamcinolone lotion 0.1% 30 ml</t>
  </si>
  <si>
    <t>Triferdine tab 150 mg</t>
  </si>
  <si>
    <t>Tropicamide 1.0% Drop.</t>
  </si>
  <si>
    <t>Urea cream 10% 35g</t>
  </si>
  <si>
    <t xml:space="preserve">Vitamin B complex tab </t>
  </si>
  <si>
    <t>Vitamin B1 tab</t>
  </si>
  <si>
    <t>Vitamin B6 tab</t>
  </si>
  <si>
    <t>Vitamin C tab 100 mg</t>
  </si>
  <si>
    <t>Vitamin K1 inj. 10 mg/ml</t>
  </si>
  <si>
    <t>Vitamin K1 inj. 1 mg/ml</t>
  </si>
  <si>
    <t>Whitfield ointment</t>
  </si>
  <si>
    <t>Xylocaine jelly 2% 100 ml</t>
  </si>
  <si>
    <t>Zinc oxide 5 g.</t>
  </si>
  <si>
    <t>Zidovudine 100 mg</t>
  </si>
  <si>
    <t>Zidovudine 300 mg</t>
  </si>
  <si>
    <t>dT VACCINE 10 doses/vial</t>
  </si>
  <si>
    <t>DTP VACCINE 10 doses/vial</t>
  </si>
  <si>
    <t>DTP-HB Hib VACCINE 10 doses/vial</t>
  </si>
  <si>
    <t>ORAL POLIOMYELITIS VACCINE 20 doses/vial</t>
  </si>
  <si>
    <t>MMR VACCINE (เด็ก 9 เดือน) SINGLE DOSE</t>
  </si>
  <si>
    <t>IPV vaccine</t>
  </si>
  <si>
    <t>INFLUENZA Vaccine 0.5 ml/dose</t>
  </si>
  <si>
    <t>J.E.VACCINE 2 หรือ 20 PEDIATRIC doses/vial</t>
  </si>
  <si>
    <t>Acetylcysteine 200 mg</t>
  </si>
  <si>
    <t>Chlorhexidine gluconate scrub 4 % 450 ml</t>
  </si>
  <si>
    <t>Dextrose monohydrate powder 454 mg</t>
  </si>
  <si>
    <t>Famotidine 20 mg</t>
  </si>
  <si>
    <t>Glutaraldehyde 2% (Cidex)</t>
  </si>
  <si>
    <t>1 แกลลอน</t>
  </si>
  <si>
    <t>Gynecon vaginal tab</t>
  </si>
  <si>
    <t>Haemaccel 35mg for 500 ml</t>
  </si>
  <si>
    <t>Hydroxypropyl methylcelluiose 0.3% eye drop (OPSIL TEAR)</t>
  </si>
  <si>
    <t>Lubricating jelly + Lidocaine 2% 30 gm</t>
  </si>
  <si>
    <t>Orphenadrine + paracetamol tab</t>
  </si>
  <si>
    <t>Povidone iodine scrub 7.5% 450 ml.</t>
  </si>
  <si>
    <t>Selenium Sulfide 2.5 g</t>
  </si>
  <si>
    <t xml:space="preserve">Terramycin eye ointment </t>
  </si>
  <si>
    <t>Triamcinolone oral paste</t>
  </si>
  <si>
    <t>Vitamin B complex inj.</t>
  </si>
  <si>
    <t>แผนปฏิบัติการจัดซื้อประเภท เวชภัณฑ์มิใช่ยา</t>
  </si>
  <si>
    <t>รายการเวชภัณฑ์มิใช่ยา</t>
  </si>
  <si>
    <t>Alcohol 95% (450ml)</t>
  </si>
  <si>
    <t>Alcohol 70% (4500ml)</t>
  </si>
  <si>
    <t>1แกลลอน</t>
  </si>
  <si>
    <t>แผนปฏิบัติการจัดซื้อประเภท ยาสมุนไพร</t>
  </si>
  <si>
    <t>รายการยาสมุนไพร</t>
  </si>
  <si>
    <t>ขมิ้นชัน</t>
  </si>
  <si>
    <t>แผนไทย</t>
  </si>
  <si>
    <t>ฟ้าทะลายโจร</t>
  </si>
  <si>
    <t>เถาวัลย์เปรียง</t>
  </si>
  <si>
    <t>เพชรสังฆาต</t>
  </si>
  <si>
    <t>สหัศธารา</t>
  </si>
  <si>
    <t>ยาแก้ไอมะขามป้อม</t>
  </si>
  <si>
    <t>ชากระเจี๊ยบแดง</t>
  </si>
  <si>
    <t>ซอง</t>
  </si>
  <si>
    <t>น้ำมันไพล</t>
  </si>
  <si>
    <t>เสลดพังพอนกลีเซอรีน</t>
  </si>
  <si>
    <t>ลูกประคบใหญ่</t>
  </si>
  <si>
    <t>ลูก</t>
  </si>
  <si>
    <t>ยาอบสมุนไพร</t>
  </si>
  <si>
    <t>ยาหม่องไพล</t>
  </si>
  <si>
    <t>ยาแคปซูลบอระเพ็ด(อภัยภูเบศร)</t>
  </si>
  <si>
    <t>ชากระเจี๊ยบ(อภัยภูเบศร)</t>
  </si>
  <si>
    <t>ยาชงสมุนไพรชุมเห็ดเทศ(อภัยภูเบศร)</t>
  </si>
  <si>
    <t>ยาชงสมุนไพรผสมรางจืด(อภัยภูเบศร)</t>
  </si>
  <si>
    <t>หอมบำรุงหัวใจ</t>
  </si>
  <si>
    <t>หอมเทพจิต(CPS)</t>
  </si>
  <si>
    <t>ธาตุบรรจบ(CPS)</t>
  </si>
  <si>
    <t>ชาชงขิง(CPS)</t>
  </si>
  <si>
    <t>มะขามแขกแคปซูล(CPS)</t>
  </si>
  <si>
    <t>ธรณีสัณฑาต(CPS)</t>
  </si>
  <si>
    <t>ยาประสะไพล(CPS)</t>
  </si>
  <si>
    <t>ตรีผลา(CPS)</t>
  </si>
  <si>
    <t>บอระเพ็ด</t>
  </si>
  <si>
    <t>อมชาววัง</t>
  </si>
  <si>
    <t>ชาขิง</t>
  </si>
  <si>
    <t>บำรุงโลหิต</t>
  </si>
  <si>
    <t>ปราบชมภูทวีป</t>
  </si>
  <si>
    <t>ตรีผลา</t>
  </si>
  <si>
    <t>ศุขไสยาศน์</t>
  </si>
  <si>
    <t>30ซอง</t>
  </si>
  <si>
    <t>ทำลายพระสุเมรุ</t>
  </si>
  <si>
    <t>ยาแก้นอนไม่หลับ/ยาแก้ไข้ผอมเหลือง</t>
  </si>
  <si>
    <t>ยาแก้ลมแก้เส้น</t>
  </si>
  <si>
    <t>ยาทาริดสีดวงทวารหนักและโรคผิวหนัง</t>
  </si>
  <si>
    <t>ยาแก้โรคจิต</t>
  </si>
  <si>
    <t>ยาประสะไพล(แก้วมังกรเภสัช)</t>
  </si>
  <si>
    <t>ยาธาตุบรรจบ(แก้วมังกรเภสัช)</t>
  </si>
  <si>
    <t>ยาอมผสมมะแว้ง(รสบ๊วย)</t>
  </si>
  <si>
    <t xml:space="preserve">แผนปฏิบัติการจัดซื้อเวชภัณฑ์ที่ไม่ใช่ยา ประเภท วัสดุทันตกรรม </t>
  </si>
  <si>
    <t>หน่วยงาน…โรงพยาบาลวังสมบูรณ์…..จังหวัดสระแก้ว</t>
  </si>
  <si>
    <t>รายการวัสดุทันตกรรม</t>
  </si>
  <si>
    <t>มูลค่า 
ปี2563
(บาท)</t>
  </si>
  <si>
    <t>มูลค่า 
ปี2564
(บาท)</t>
  </si>
  <si>
    <t>มูลค่า 
ปี2565
(บาท)</t>
  </si>
  <si>
    <t>Alvogyl</t>
  </si>
  <si>
    <t>Forcep 150</t>
  </si>
  <si>
    <t>Forcep 151</t>
  </si>
  <si>
    <t>Forcep 150s</t>
  </si>
  <si>
    <t>Forcep 151s</t>
  </si>
  <si>
    <t>Rongeur forcep</t>
  </si>
  <si>
    <t>luxator</t>
  </si>
  <si>
    <t>Gel foam</t>
  </si>
  <si>
    <t>Topical gel</t>
  </si>
  <si>
    <t>Root forcep ล่าง</t>
  </si>
  <si>
    <t>Root forcep บน</t>
  </si>
  <si>
    <t>Syringe ยาชา</t>
  </si>
  <si>
    <t>2% lidocaine</t>
  </si>
  <si>
    <t>4% articaine</t>
  </si>
  <si>
    <t>Straight elevator</t>
  </si>
  <si>
    <t>Elevator 190</t>
  </si>
  <si>
    <t>Elevator 191</t>
  </si>
  <si>
    <t>Straight root tip pick</t>
  </si>
  <si>
    <t>Angle root tip pick</t>
  </si>
  <si>
    <t>Double-ended root tip pick</t>
  </si>
  <si>
    <t>Blade holder</t>
  </si>
  <si>
    <t>กรรไกรตัดไหม</t>
  </si>
  <si>
    <t>Needle holder</t>
  </si>
  <si>
    <t>เข็มเย็บแผล</t>
  </si>
  <si>
    <t>แพค</t>
  </si>
  <si>
    <t>artery forceps</t>
  </si>
  <si>
    <t>Byonet ซ้าย</t>
  </si>
  <si>
    <t>Byonet ขวา</t>
  </si>
  <si>
    <t>Bone file</t>
  </si>
  <si>
    <t xml:space="preserve">เข็มสั้น 21 mm </t>
  </si>
  <si>
    <t>เข็มยาว 30 mm</t>
  </si>
  <si>
    <t>หัวกรอฟันคุด</t>
  </si>
  <si>
    <t>หัวกรอ carbide round/fissure</t>
  </si>
  <si>
    <t>bone currette</t>
  </si>
  <si>
    <t>minnesota</t>
  </si>
  <si>
    <t>suction tubes</t>
  </si>
  <si>
    <t>cowhorn</t>
  </si>
  <si>
    <t>88R</t>
  </si>
  <si>
    <t>88L</t>
  </si>
  <si>
    <t>P5</t>
  </si>
  <si>
    <t>WHO probe</t>
  </si>
  <si>
    <t>Sickel</t>
  </si>
  <si>
    <t>Curette Gracey</t>
  </si>
  <si>
    <t>Universal curette</t>
  </si>
  <si>
    <t>Pumice</t>
  </si>
  <si>
    <t>Rubber cup</t>
  </si>
  <si>
    <t>Rubber brush</t>
  </si>
  <si>
    <t>หินลับ</t>
  </si>
  <si>
    <t>exd 11/12</t>
  </si>
  <si>
    <t>Dycal carrier</t>
  </si>
  <si>
    <t>Dycal</t>
  </si>
  <si>
    <t>Amalgam carier</t>
  </si>
  <si>
    <t>amalgam plugger</t>
  </si>
  <si>
    <t>Amalgam burnisher (ball)</t>
  </si>
  <si>
    <t>Groove burnisher</t>
  </si>
  <si>
    <t>Interproximal carver</t>
  </si>
  <si>
    <t>Amalgam alloy</t>
  </si>
  <si>
    <t>Spoon</t>
  </si>
  <si>
    <t xml:space="preserve">cement spatular </t>
  </si>
  <si>
    <t>amalgam carver</t>
  </si>
  <si>
    <t>composite carver</t>
  </si>
  <si>
    <t>cord packer</t>
  </si>
  <si>
    <t>Fuji IX</t>
  </si>
  <si>
    <t>Fuji II LC</t>
  </si>
  <si>
    <t>GI capsule</t>
  </si>
  <si>
    <t>GI liner</t>
  </si>
  <si>
    <t>Temporary restoration</t>
  </si>
  <si>
    <t>Cavit</t>
  </si>
  <si>
    <t>cord</t>
  </si>
  <si>
    <t>ชวด</t>
  </si>
  <si>
    <t>แปรงพู่กัน</t>
  </si>
  <si>
    <t>T-Band เด็ก</t>
  </si>
  <si>
    <t>T-Band ผู้ใหญ่</t>
  </si>
  <si>
    <t>Ivory matrix retainer</t>
  </si>
  <si>
    <t>Tofflemire matrix holder</t>
  </si>
  <si>
    <t>matrix band</t>
  </si>
  <si>
    <t>Sectional matrix + Bitine ring</t>
  </si>
  <si>
    <t>Celluloid strip</t>
  </si>
  <si>
    <t>Sand paper strip</t>
  </si>
  <si>
    <t>Wedge</t>
  </si>
  <si>
    <t>Glass slab</t>
  </si>
  <si>
    <t>Etching</t>
  </si>
  <si>
    <t>Bonding</t>
  </si>
  <si>
    <t>ถาดหลุม Bonding</t>
  </si>
  <si>
    <t>Articulating paper</t>
  </si>
  <si>
    <t>ไม้กั้นแสง</t>
  </si>
  <si>
    <t>flowable composite A3.5</t>
  </si>
  <si>
    <t>Composite A2</t>
  </si>
  <si>
    <t>composite A3</t>
  </si>
  <si>
    <t>Composite A3.5</t>
  </si>
  <si>
    <t>Composite A4</t>
  </si>
  <si>
    <t>sealant</t>
  </si>
  <si>
    <t>Pop-on</t>
  </si>
  <si>
    <t>mendrel pop-on</t>
  </si>
  <si>
    <t>Diamond bur round</t>
  </si>
  <si>
    <t>Diamond bur fissure</t>
  </si>
  <si>
    <t xml:space="preserve">Astringent </t>
  </si>
  <si>
    <t>white stone เร็ว</t>
  </si>
  <si>
    <t>white stone ช้า</t>
  </si>
  <si>
    <t>Superfine diamond bur rugby</t>
  </si>
  <si>
    <t>Superfine diamond bur round</t>
  </si>
  <si>
    <t>Superfine diamond bur flame</t>
  </si>
  <si>
    <t>enchance</t>
  </si>
  <si>
    <t>carbide round</t>
  </si>
  <si>
    <t>carbide round long shank</t>
  </si>
  <si>
    <t>astropol เทา</t>
  </si>
  <si>
    <t>แผง</t>
  </si>
  <si>
    <t>astropol เขียว</t>
  </si>
  <si>
    <t>astropol ชมพู</t>
  </si>
  <si>
    <t>Stone finishing green flame</t>
  </si>
  <si>
    <t>vitrebond</t>
  </si>
  <si>
    <t>Endodontic explorer</t>
  </si>
  <si>
    <t>Endodontioc plugger</t>
  </si>
  <si>
    <t>Glick no.1</t>
  </si>
  <si>
    <t>Rubber dam clamp</t>
  </si>
  <si>
    <t>Rubber dam forceps</t>
  </si>
  <si>
    <t>Rubber dam punch</t>
  </si>
  <si>
    <t>XCP + endo ray</t>
  </si>
  <si>
    <t>Lateral cone</t>
  </si>
  <si>
    <t>paper point</t>
  </si>
  <si>
    <t>EDTA Pulpdent prep rite</t>
  </si>
  <si>
    <t>EDTA</t>
  </si>
  <si>
    <t>Clove oil</t>
  </si>
  <si>
    <t>2.5% NaOCl Dakin 1000 ml.</t>
  </si>
  <si>
    <t>ZOE w/o acetate (50 g)</t>
  </si>
  <si>
    <t>Root canal cement</t>
  </si>
  <si>
    <t>Vitapex</t>
  </si>
  <si>
    <t>Formocresol</t>
  </si>
  <si>
    <t>CaOH2</t>
  </si>
  <si>
    <t>K file 21mm</t>
  </si>
  <si>
    <t>K file 25mm</t>
  </si>
  <si>
    <t>k-file 28 mm</t>
  </si>
  <si>
    <t>k-file 31 mm</t>
  </si>
  <si>
    <t>c-file</t>
  </si>
  <si>
    <t>Lenturo spiral</t>
  </si>
  <si>
    <t>Barbbroach</t>
  </si>
  <si>
    <t>Gutta percha maincone</t>
  </si>
  <si>
    <t>Gutta percha Protaper</t>
  </si>
  <si>
    <t>Finger spreader</t>
  </si>
  <si>
    <t>hand spreader</t>
  </si>
  <si>
    <t>Gate Glidden Drill</t>
  </si>
  <si>
    <t>snap aray</t>
  </si>
  <si>
    <t>MEGA front กระจก</t>
  </si>
  <si>
    <t>plate แก้วใหญ่</t>
  </si>
  <si>
    <t>rubber dam</t>
  </si>
  <si>
    <t>finger ruler</t>
  </si>
  <si>
    <t>fuji vii</t>
  </si>
  <si>
    <t>rubber dam frame</t>
  </si>
  <si>
    <t>rubber dam punch</t>
  </si>
  <si>
    <t>Aliganate Kromopan</t>
  </si>
  <si>
    <t>Stone</t>
  </si>
  <si>
    <t>Velmix</t>
  </si>
  <si>
    <t>pink wax</t>
  </si>
  <si>
    <t>periphery wax</t>
  </si>
  <si>
    <t>Silicone light body</t>
  </si>
  <si>
    <t>Silicone mono</t>
  </si>
  <si>
    <t>Bite registration silicone</t>
  </si>
  <si>
    <t>Mixing tip ชมพู</t>
  </si>
  <si>
    <t>compound</t>
  </si>
  <si>
    <t>Aluwax</t>
  </si>
  <si>
    <t>PIP</t>
  </si>
  <si>
    <t>Temporary cement</t>
  </si>
  <si>
    <t>Fork Plate</t>
  </si>
  <si>
    <t>Torch</t>
  </si>
  <si>
    <t>ตะเกียงแอลกอฮอล์</t>
  </si>
  <si>
    <t>คีมดัดลวด 325</t>
  </si>
  <si>
    <t>คีมสามขา/bird beak</t>
  </si>
  <si>
    <t>คีมตัดลวด</t>
  </si>
  <si>
    <t>Acrylic self cure ชมพู</t>
  </si>
  <si>
    <t>Acrylic self cure สี ivory</t>
  </si>
  <si>
    <t>Acrylic self cure (liquid)</t>
  </si>
  <si>
    <t>Partial tray</t>
  </si>
  <si>
    <t>Tray</t>
  </si>
  <si>
    <t>edentulous Tray</t>
  </si>
  <si>
    <t>carbide กรอฟันปลอม</t>
  </si>
  <si>
    <t>หัวยางขัดฟันปลอม</t>
  </si>
  <si>
    <t>wax spatular no.7</t>
  </si>
  <si>
    <t>Plaster spatula</t>
  </si>
  <si>
    <t>hot plate เกรียง</t>
  </si>
  <si>
    <t>fiber post (Frc postec plus refill/5 size)</t>
  </si>
  <si>
    <t>multilink speed (Multilink speed refill transparent)</t>
  </si>
  <si>
    <t>putty</t>
  </si>
  <si>
    <t>syringe for silicone</t>
  </si>
  <si>
    <t>D8</t>
  </si>
  <si>
    <t>cavex LC dental tray</t>
  </si>
  <si>
    <t>multicore dispenser</t>
  </si>
  <si>
    <t>multicore flow</t>
  </si>
  <si>
    <t>Rely X u200</t>
  </si>
  <si>
    <t>saliva ejetor</t>
  </si>
  <si>
    <t>ชุดตรวจ 5 เกลอ</t>
  </si>
  <si>
    <t>แก้วน้ำ 5oz</t>
  </si>
  <si>
    <t>หัว mouth mirror</t>
  </si>
  <si>
    <t>triple syringe</t>
  </si>
  <si>
    <t>faceshield</t>
  </si>
  <si>
    <t>แผ่นเติม faceshield</t>
  </si>
  <si>
    <t>mouth gag</t>
  </si>
  <si>
    <t>mouth prop ผู้ใหญ่</t>
  </si>
  <si>
    <t>Talbot's solution</t>
  </si>
  <si>
    <t>Hi clean spray handpiece</t>
  </si>
  <si>
    <t>กระป๋อง</t>
  </si>
  <si>
    <t xml:space="preserve">น้ำยาพ่นพื้นผิว </t>
  </si>
  <si>
    <t>น้ำยาล้างท่อ suction vacucid</t>
  </si>
  <si>
    <t>น้ำยาแช่เครื่องมือ Micro</t>
  </si>
  <si>
    <t>ไหมขัดฟัน</t>
  </si>
  <si>
    <t>PaPoose board</t>
  </si>
  <si>
    <t>F vanish</t>
  </si>
  <si>
    <t>F gel</t>
  </si>
  <si>
    <t>Film เด็ก</t>
  </si>
  <si>
    <t>Film ผู้ใหญ่</t>
  </si>
  <si>
    <t>น้ำยาล้างฟิล์ม</t>
  </si>
  <si>
    <t>tray F</t>
  </si>
  <si>
    <t>film holder</t>
  </si>
  <si>
    <t>แผ่นเช็ดทำความสะอาดพื้นผิว</t>
  </si>
  <si>
    <t>ผ้าห่อเครื่องมือ</t>
  </si>
  <si>
    <t>ผ้าเจาะกลาง</t>
  </si>
  <si>
    <t>plastic spatula</t>
  </si>
  <si>
    <t>Straight handpiece</t>
  </si>
  <si>
    <t>contra-angle handpiece</t>
  </si>
  <si>
    <t>airotor set</t>
  </si>
  <si>
    <t>airmotor set</t>
  </si>
  <si>
    <t>Tray มีฝาปิด (12"x8"x2.5")</t>
  </si>
  <si>
    <t>ชุดทำความสะอาดช่องปาก</t>
  </si>
  <si>
    <t>โคมไฟยูนิต</t>
  </si>
  <si>
    <t xml:space="preserve">                    ลงชื่อ.............................................................ผู้เสนอแผน</t>
  </si>
  <si>
    <t>ลงชื่อ..............................................................ผู้เห็นชอบแผน</t>
  </si>
  <si>
    <t xml:space="preserve">          (นางสาวสาวิตรี รัตนาธีราธร)</t>
  </si>
  <si>
    <t xml:space="preserve">                  (นายยุทธพงษ์ ศรีมงคล)</t>
  </si>
  <si>
    <t xml:space="preserve">       ทันตแพทย์ปฏิบัติการ</t>
  </si>
  <si>
    <t xml:space="preserve">       นายแพทย์เชี่ยวชาญ รักษาการในตำแหน่ง</t>
  </si>
  <si>
    <t xml:space="preserve">      หัวหน้ากลุ่มงานทันตกรรม</t>
  </si>
  <si>
    <t xml:space="preserve">           ผู้อำนวยการโรงพยาบาลวังสมบูรณ์</t>
  </si>
  <si>
    <t>แผนปฏิบัติการจัดซื้อประเภท วัสดุยานพาหนะและขนส่ง</t>
  </si>
  <si>
    <t>รายการวัสดุยานพาหนะ
และขนส่ง</t>
  </si>
  <si>
    <t>ยาง ขอบ 15</t>
  </si>
  <si>
    <t>ล้อ</t>
  </si>
  <si>
    <t>ยาง ขอบ 17</t>
  </si>
  <si>
    <t>ยางนอกรถมอตเอร์ไซด์</t>
  </si>
  <si>
    <t>ยางในรถมอตเอร์ไซด์</t>
  </si>
  <si>
    <t>แบตเตอร์รี่รถยนต์</t>
  </si>
  <si>
    <t>แบตเตอร์รี่เครื่องปั่นไฟ</t>
  </si>
  <si>
    <t>แผนปฏิบัติการจัดซื้อประเภท วัสดุโฆษณาและเผยแพร่</t>
  </si>
  <si>
    <t>รายการวัสดุโฆษณาและเผยแพร่</t>
  </si>
  <si>
    <t>มูลค่า ปี63
(บาท)</t>
  </si>
  <si>
    <t>มูลค่า ปี64
(บาท)</t>
  </si>
  <si>
    <t>มูลค่า ปี65
(บาท)</t>
  </si>
  <si>
    <t>แผนปฏิบัติการจัดซื้อประเภท วัสดุการเกษตร</t>
  </si>
  <si>
    <t>รายการวัสดุการเกษตร</t>
  </si>
  <si>
    <t>เอ็นตัดหญ้า</t>
  </si>
  <si>
    <t>ใบมีดตัดหญ้าเหล็ก 16 นิ้ว</t>
  </si>
  <si>
    <t>สายยาง</t>
  </si>
  <si>
    <t>ปุ๋ย</t>
  </si>
  <si>
    <t>จานเอ็นตัดหญ้า</t>
  </si>
  <si>
    <t>ต้นไม้</t>
  </si>
  <si>
    <t>ครั้ง</t>
  </si>
  <si>
    <t>ถังพ่นยา</t>
  </si>
  <si>
    <t>แผนปฏิบัติการจัดซื้อประเภท วัสดุเครื่องแต่งกาย</t>
  </si>
  <si>
    <t>รายการวัสดุเครื่องแต่งกาย</t>
  </si>
  <si>
    <t>กางเกงเด็กโตสีขาวพิมพ์ชื่อ 
รพ.วังสมบูรณ์ (สีน้ำเงิน)</t>
  </si>
  <si>
    <t>กางเกงเด็กเล็กสีขาวขาสั้น</t>
  </si>
  <si>
    <t>กางเกงสีฟ้าพิเศษโทเรพิมพ์ชื่อ 
รพ.วังสมบูรณ์ (สีน้ำเงิน)</t>
  </si>
  <si>
    <t>กางเกงสีขาวสามัญโทเรพิมพ์ชื่อ รพ.วังสมบูรณ์ (สีน้ำเงิน)</t>
  </si>
  <si>
    <t>ผ้าถุงสามัญโทเรสีขาว</t>
  </si>
  <si>
    <t>ผ้าถุงพิเศษโทเรสีฟ้า</t>
  </si>
  <si>
    <t>เสื้อเด็กเล็กผ่าข้างสีขาว</t>
  </si>
  <si>
    <t>เสื้อเด็กโตสีขาว</t>
  </si>
  <si>
    <t>เสื้อสามัญสีขาวโทเร</t>
  </si>
  <si>
    <t>เสื้อพิเศษสีฟ้าโทเร</t>
  </si>
  <si>
    <t>ผ้ายางเอี๊ยมกันเปื้อน</t>
  </si>
  <si>
    <t>ผ้ายางเอี๊ยมกันเปื้อนพลาสติก</t>
  </si>
  <si>
    <t>ชุดปฏิบัติงานพนักงานจ่ายกลางและแม่บ้านสีน้ำเงิน</t>
  </si>
  <si>
    <t>เสื้อ ผู้ป่วย กิโมโนสั้นสีฟ้าพิมพ์ชื่อรพ.</t>
  </si>
  <si>
    <t>เสื้อกาวน์กันน้ำซักได้</t>
  </si>
  <si>
    <t>ชุดสครับคนไข้สีน้ำเงิน/กรม</t>
  </si>
  <si>
    <t>ชุดกิมโมโนคนไข้เอกซเรย์</t>
  </si>
  <si>
    <t>X-ray</t>
  </si>
  <si>
    <t>แผนปฏิบัติการจัดซื้อประเภท วัสดุงานบ้านงานครัว</t>
  </si>
  <si>
    <t>รายการวัสดุงานบ้านงานครัว</t>
  </si>
  <si>
    <t>กระดาษชำระม้วนใหญ่</t>
  </si>
  <si>
    <t>กระดาษเช็ดมือ แบบหนา (1 ลังมี 24 แพ็ค)</t>
  </si>
  <si>
    <t>แก้วกระดาษกรวย</t>
  </si>
  <si>
    <t>ลัง</t>
  </si>
  <si>
    <t>เชือกฟาง</t>
  </si>
  <si>
    <t>ซันเจี่ยฆ่ามด</t>
  </si>
  <si>
    <t>ถุงดำ 18X20</t>
  </si>
  <si>
    <t>กก.</t>
  </si>
  <si>
    <t>ถุงดำ 28x36</t>
  </si>
  <si>
    <t>กิโลกรัม</t>
  </si>
  <si>
    <t>ถุงแดง 18x26</t>
  </si>
  <si>
    <t>ถุงแดง 20x36</t>
  </si>
  <si>
    <t>ถุงแดง 8x16</t>
  </si>
  <si>
    <t>ถุงมือยางสีส้ม</t>
  </si>
  <si>
    <t>ถุงร้อน 18x28 นิ้ว</t>
  </si>
  <si>
    <t>น้ายาปรับผ้านุ่ม</t>
  </si>
  <si>
    <t>น้ำยาดับกลิ่นฆ่าเชื้อ</t>
  </si>
  <si>
    <t>น้ำยาถูพื้น</t>
  </si>
  <si>
    <t>น้ำยาถูพื้น(สีเขียว)</t>
  </si>
  <si>
    <t>น้ำยาล้างจาน 3800 ซี.ซี.</t>
  </si>
  <si>
    <t>แปรงไม้ขัดพื้น</t>
  </si>
  <si>
    <t>ผงซักฟอกใช้กับเครื่อง 25 กก.</t>
  </si>
  <si>
    <t>หีบ</t>
  </si>
  <si>
    <t>ผ้าถูพื้น</t>
  </si>
  <si>
    <t>ฟิล์มพันอาหาร ARO</t>
  </si>
  <si>
    <t>ไม้กวาดดอกหญ้า</t>
  </si>
  <si>
    <t>สบู่ล้างมือ</t>
  </si>
  <si>
    <t>หัวเชื้อน้ำยาซักผ้าขาว5000CC</t>
  </si>
  <si>
    <t>ผ้าม๊อปดันฝุ่นแห้ง 24 นิ้ว</t>
  </si>
  <si>
    <t>พรมเช็ดเท้าหน้าห้องน้ำ</t>
  </si>
  <si>
    <t>ฟองน้ำล้างจาน</t>
  </si>
  <si>
    <t>ป๊อกกี้</t>
  </si>
  <si>
    <t>ไม้กวาดทางมะพร้าว</t>
  </si>
  <si>
    <t xml:space="preserve">ไม้ถูพื้น </t>
  </si>
  <si>
    <t>ชุดกันฝน</t>
  </si>
  <si>
    <t xml:space="preserve">ถังน้ำมีฝาปิด </t>
  </si>
  <si>
    <t>ถังยะแบบเหยียบ มีล้อ 85 ลิตร</t>
  </si>
  <si>
    <t>ผ้าไมโครไฟเบอร์</t>
  </si>
  <si>
    <t>สเปยร์ฉีดยุงและฆ่าแมลง</t>
  </si>
  <si>
    <t>ถังบีบผ้าม๊อบถูพื้น</t>
  </si>
  <si>
    <t>ถังขยะ 240 ลิตร</t>
  </si>
  <si>
    <t>รองเท้าบู๊ท</t>
  </si>
  <si>
    <t>ไม้กวาดขนไก่</t>
  </si>
  <si>
    <t>ถังขยะทรงสี่เหลี่ยมแบบสวิง 40 ลิตร</t>
  </si>
  <si>
    <t>ลูกเหม็น</t>
  </si>
  <si>
    <t>ฝอยขัดหม้อ</t>
  </si>
  <si>
    <t>น้ำยาล้างห้องน้ำ 960 ซี.ซี.</t>
  </si>
  <si>
    <t>ที่โกยผงพลาสติก</t>
  </si>
  <si>
    <t>ถังขยะ 120 ลิตร</t>
  </si>
  <si>
    <t>แปรงขัดโถสุขภัณฑ์</t>
  </si>
  <si>
    <t>ชุดยังชีพโควิด</t>
  </si>
  <si>
    <t>กล่องพลาสติกล้อเลื่อน 30 ลิตร</t>
  </si>
  <si>
    <t>แผ่นขัดใยสังเคราะห์ละเอียด 16 นิ้ว</t>
  </si>
  <si>
    <t>แผ่นขัดใยสังเคราะห์หยาบ 16 นิ้ว</t>
  </si>
  <si>
    <t>ไม้ม๊อปดันฝุ่น 24 นิ้ว</t>
  </si>
  <si>
    <t>ถังขยะแบบเหยียบมีฝาปิด 10 ลิตร</t>
  </si>
  <si>
    <t>ไม้รีดน้ำ 24 นิ้ว</t>
  </si>
  <si>
    <t>รองเท้าแตะ</t>
  </si>
  <si>
    <t>ถุงแดง 30*40</t>
  </si>
  <si>
    <t>รองเท้าบู๊ทขายาวกั้นน้ำ</t>
  </si>
  <si>
    <t>แก้วพลาสติก 15 ออนซ์</t>
  </si>
  <si>
    <t>งานปฐมภูมิ</t>
  </si>
  <si>
    <t>ขวดพลาสติก 30 ซีซี</t>
  </si>
  <si>
    <t>งานเภสัชกรรม</t>
  </si>
  <si>
    <t>ซองซิปสีชา 6X8 ซม.</t>
  </si>
  <si>
    <t>Kg</t>
  </si>
  <si>
    <t>ซองซิปสีชา 9x13 ซม.</t>
  </si>
  <si>
    <t>ซองซิปสีชา 13x20 ซม.</t>
  </si>
  <si>
    <t>ซองซิปสีใส 6X8 ซม.</t>
  </si>
  <si>
    <t>ซองซิปสีใส 9x13 ซม.</t>
  </si>
  <si>
    <t>ซองซิปสีใส 13x20 ซม.</t>
  </si>
  <si>
    <t>ซองซิปสีใส 20X30 ซม.</t>
  </si>
  <si>
    <t>ตลับ 5 กรัม</t>
  </si>
  <si>
    <t>ถุงหูหิ้ว 6x14 นิ้ว สสอ. วังสมบูรณ์</t>
  </si>
  <si>
    <t>ถุงหูหิ้ว 6x14 นิ้ว รพ.วสบ</t>
  </si>
  <si>
    <t>ถุงหูหิ้ว 9x18 นิ้ว รพ.วสบ</t>
  </si>
  <si>
    <t>ถ้วย 2 ออนซ์</t>
  </si>
  <si>
    <t>ผ้าขนหนูเช็ดตัวสีฟ้า สกรีนข้อความ"แพทย์แผนไทย"</t>
  </si>
  <si>
    <t>ผ้ารองหมอนสีฟ้า สกรีนข้อความ "แพทย์แผนไทย"</t>
  </si>
  <si>
    <t>ชุดผ้าปูที่นอนห้องแพทย์แผนไทย</t>
  </si>
  <si>
    <t>ผ้าขนหนูขนาดกลาง 15*30 นิ้ว</t>
  </si>
  <si>
    <t>ผ้าปูสามัญโทเรสีเขียวโศกห้องพิเศษ</t>
  </si>
  <si>
    <t>ผ้าปูสามัญโทเรสีขาว</t>
  </si>
  <si>
    <t>ปลอกหมอนสีขาว</t>
  </si>
  <si>
    <t>ปลอกหมอนห้องพิเศษ</t>
  </si>
  <si>
    <t>ผ้าขนหนูเช็ดตัวสีขาว ขนาด 27x54 นิ้ว พร้อมสกรีนข้อความ</t>
  </si>
  <si>
    <t>แผนปฏิบัติการจัดซื้อประเภท วัสดุบริโภค</t>
  </si>
  <si>
    <t>รายการวัสดุบริโภค</t>
  </si>
  <si>
    <t>ค่าอาหารเหลว</t>
  </si>
  <si>
    <t>แผนปฏิบัติการจัดซื้อประเภท วัสดุก่อสร้าง</t>
  </si>
  <si>
    <t>รายการวัสดุก่อสร้าง</t>
  </si>
  <si>
    <t>ก๊อกน้ำ 6 หุน</t>
  </si>
  <si>
    <t>ก๊อกน้ำ 4 หุน</t>
  </si>
  <si>
    <t>ก๊อกอ่างล้างหน้า</t>
  </si>
  <si>
    <t>ก๊อกอ่างล้างมือ</t>
  </si>
  <si>
    <t>ข้องอ 1/2</t>
  </si>
  <si>
    <t>ข้อต่อตรง 1/2</t>
  </si>
  <si>
    <t>ข้อต่อสามทาง 1/2 นิ้ว</t>
  </si>
  <si>
    <t>ชุดท่อน้ำทิ้ง</t>
  </si>
  <si>
    <t>ท่อประปา 1/2 นิ้ว</t>
  </si>
  <si>
    <t>ท่อประปา 3/4 นิ้ว</t>
  </si>
  <si>
    <t>ฝักบัว</t>
  </si>
  <si>
    <t>ลูกบิดประตู</t>
  </si>
  <si>
    <t>วาล์ว 1/2 "</t>
  </si>
  <si>
    <t>สามทาง 3/4</t>
  </si>
  <si>
    <t>สายฉีดชำระ</t>
  </si>
  <si>
    <t>เทปพันเกลียว</t>
  </si>
  <si>
    <t>สกรูปลายแหลม 1 นิ้ว</t>
  </si>
  <si>
    <t>สกรูปลายสว่าน 1 นิ้ว</t>
  </si>
  <si>
    <t>พลุ๊กพลาสติก</t>
  </si>
  <si>
    <t>กาวทาท่อ</t>
  </si>
  <si>
    <t>ก๊อกซิงค์คอยาว</t>
  </si>
  <si>
    <t>ใบตัด</t>
  </si>
  <si>
    <t>ใบเจียร</t>
  </si>
  <si>
    <t>ซิลิโคน</t>
  </si>
  <si>
    <t>สีสเปรย์</t>
  </si>
  <si>
    <t>ตาข่ายพลาสติก</t>
  </si>
  <si>
    <t>เชลฟินโคท (กันรั่วซึม)</t>
  </si>
  <si>
    <t>ปูน</t>
  </si>
  <si>
    <t>เคเบิ้ลไทร์</t>
  </si>
  <si>
    <t>ลวดดำ</t>
  </si>
  <si>
    <t>ลวดเชื่อม 2.6</t>
  </si>
  <si>
    <t>ลวดขาว</t>
  </si>
  <si>
    <t>เหล็กกล่อง</t>
  </si>
  <si>
    <t>บันได 10 ขั้น</t>
  </si>
  <si>
    <t>แผนปฏิบัติการจัดซื้อประเภท วัสดุไฟฟ้าและวิทยุ</t>
  </si>
  <si>
    <t>รายการวัสดุไฟฟ้าและวิทยุ</t>
  </si>
  <si>
    <t>โคมไฟหัวเสา</t>
  </si>
  <si>
    <t>เทปพันสายไฟ</t>
  </si>
  <si>
    <t xml:space="preserve">นีออน 18 W </t>
  </si>
  <si>
    <t xml:space="preserve">นีออน 36 W </t>
  </si>
  <si>
    <t>สวิทซ์เมจิก Panasonic</t>
  </si>
  <si>
    <t>สายไฟ 2*2.5</t>
  </si>
  <si>
    <t>ขด</t>
  </si>
  <si>
    <t>หลอดตะเกียบ 13 วัตต์</t>
  </si>
  <si>
    <t xml:space="preserve">หลอดตะเกียบ 15 วัตต์ </t>
  </si>
  <si>
    <t>หลอดนีออน 36 วัตต์</t>
  </si>
  <si>
    <t>หลอดไฟ LED 18 W</t>
  </si>
  <si>
    <t>เบรคเกอร์ 30 แอมป์</t>
  </si>
  <si>
    <t>ปลั๊กสามตา 3 เมตร</t>
  </si>
  <si>
    <t>ปลั๊กสามตา 5 เมตร</t>
  </si>
  <si>
    <t>ปลั๊กสามตา 10 เมตร</t>
  </si>
  <si>
    <t>บล๊อคลอย</t>
  </si>
  <si>
    <t>ปลั๊กกราวคู่</t>
  </si>
  <si>
    <t>หน้ากาก 3ช่อง</t>
  </si>
  <si>
    <t>หลอดไฟ NPV 15 วัตต์</t>
  </si>
  <si>
    <t>รางไฟ</t>
  </si>
  <si>
    <t>สายไฟ 2*1.5</t>
  </si>
  <si>
    <t>ไขควงเช็คไฟ</t>
  </si>
  <si>
    <t>แผนปฏิบัติการจัดซื้อประเภท วัสดุเชื้อเพลิงและหล่อลื่น</t>
  </si>
  <si>
    <t>รายการวัสดุเชื้อเพลิงและหล่อลื่น</t>
  </si>
  <si>
    <t>แผนปฏิบัติการจัดซื้อประเภท ค่าสาธารณูปโภค</t>
  </si>
  <si>
    <t>รายการค่าสาธารณูปโภค</t>
  </si>
  <si>
    <t>เดือน</t>
  </si>
  <si>
    <t>แผนปฏิบัติการจัดซื้อประเภท ค่าใช้สอย</t>
  </si>
  <si>
    <t>รายการค่าใช้สอย</t>
  </si>
  <si>
    <t>ค่าซ่อมบำรุงเครื่องปั่นไฟ</t>
  </si>
  <si>
    <t>ค่าซ่อมบำรุงระบบประปา</t>
  </si>
  <si>
    <t>ค่าซ่อมบำรุงครุภัณฑ์ยานพาหนะ</t>
  </si>
  <si>
    <t>ค่าเบี้ยประกัน+พรบ</t>
  </si>
  <si>
    <t>ค่า GPS รายปี</t>
  </si>
  <si>
    <t>ค่าจ้างเหมาถ่ายเอกสาร</t>
  </si>
  <si>
    <t>ค่าจ้างเหมาทำป้าย</t>
  </si>
  <si>
    <t>ค่าทำฟันปลอม</t>
  </si>
  <si>
    <t>ค่าซ่อมบำรุงระบบออกซิเจนไปไลท์</t>
  </si>
  <si>
    <t>ค่าซ่อมบำรุงครุภัณฑ์วิทยาศาสตร์และการแพทย์</t>
  </si>
  <si>
    <t>ค่าซ่อมบำรุงเครื่องปรับอากาศ</t>
  </si>
  <si>
    <t>ค่าซ่อมบำรุงครุภัณฑ์คอมพิวเตอร์</t>
  </si>
  <si>
    <t>ค่าซ่อมบำรุงอาคารสถานที่</t>
  </si>
  <si>
    <t>ค่าซ่อมบำรุงตู้น้ำดื่ม</t>
  </si>
  <si>
    <t>ค่าซ่อมบำรุงครุภัณฑ์อื่นๆ</t>
  </si>
  <si>
    <t>ค่าจ้างเหมาทำอาหารสำหรับผู้ป่วย</t>
  </si>
  <si>
    <t>ค่ากำจัดขยะมูลฝอยติดเชื้อและขยะอันตราย</t>
  </si>
  <si>
    <t>ค่าสอบเทียบตู้ปลอดเชื้อ(BSC II)</t>
  </si>
  <si>
    <t>ค่าสอบเทียบ auto-pipette</t>
  </si>
  <si>
    <t>ค่าสอบเทียบเครื่องวัดอุณหภูมิและความชื้น</t>
  </si>
  <si>
    <t>ค่าสมัคร EQA สาขาจุลชีววิทยา</t>
  </si>
  <si>
    <t>ค่าตรวจวัดรังสีบุคคล OSL</t>
  </si>
  <si>
    <t>คน</t>
  </si>
  <si>
    <t>ค่าจ้างเหมาตรวจทางห้องปฎิบัติการ (LAB)</t>
  </si>
  <si>
    <t>ค่าเช่าเครื่องพร้อมน้ำยาตรวจวิเคราะห์ทางเคมีคลินิก</t>
  </si>
  <si>
    <t>ครั้ง/ปี</t>
  </si>
  <si>
    <t>E-bidding แล้ว (อยู่ในสัญญา)</t>
  </si>
  <si>
    <t>ค่าบำรุงรักษาเครื่องเอกซเรย์</t>
  </si>
  <si>
    <t>ค่าเช่าระบบจัดเก็บและรับส่งข้อมูลทางการแพทย์แบบดิจิตอล (ระบบ PACS)</t>
  </si>
  <si>
    <t>ค่า Active License โปรแกรม HosXp</t>
  </si>
  <si>
    <t>ค่าเช่าพื้นที่และค่าเช่าโดเมนรายปี</t>
  </si>
  <si>
    <t>ค่าซ่อมบำรุงระบบอินเทอร์เน็ต</t>
  </si>
  <si>
    <t>ค่าจ้างเหมาซ่อมระบบ LAN</t>
  </si>
  <si>
    <t>ค่าจ้างเหมาติดตั้งกล้องวงจรปิด</t>
  </si>
  <si>
    <t>ค่าจ้างเหมาตรวจมะเร็งปากมดลูก</t>
  </si>
  <si>
    <t>ค่าจ้างเหมาตรวจวัตถุพยาน</t>
  </si>
  <si>
    <t>ค่าตรวจน้ำเสียกับกรมอนามัย</t>
  </si>
  <si>
    <t>ค่ากำจัดสิ่งปฏิกูล</t>
  </si>
  <si>
    <t>ค่าขุดลอกท่อ</t>
  </si>
  <si>
    <t>ค่าจ้างเหมาทำตะแกรงล่องระบายน้ำ</t>
  </si>
  <si>
    <t>แผนปฏิบัติการจัดซื้อประเภท โครงการ</t>
  </si>
  <si>
    <t>รายการโครงการ</t>
  </si>
  <si>
    <t>แผนปฏิบัติการจัดซื้อประเภท ค่าครุภัณฑ์สำนักงาน</t>
  </si>
  <si>
    <t>รายการครุภัณฑ์สำนักงาน</t>
  </si>
  <si>
    <t>งานปฐมภูมิฯ 3+เภสัช 1+lab 2+ER 2+กลุ่มการ 3</t>
  </si>
  <si>
    <t>ตู้</t>
  </si>
  <si>
    <t>เภสัช+กลุ่มการ 1</t>
  </si>
  <si>
    <t>เภสัช</t>
  </si>
  <si>
    <t>เภสัช 2+LAB1</t>
  </si>
  <si>
    <t>เภสัช1+LAB2</t>
  </si>
  <si>
    <t>คัน</t>
  </si>
  <si>
    <t>เภสัช+กลุ่มการ 3</t>
  </si>
  <si>
    <t>หลัง</t>
  </si>
  <si>
    <t>กายภาพบำบัด</t>
  </si>
  <si>
    <t>แผนปฏิบัติการจัดซื้อประเภท ค่าครุภัณฑ์คอมพิวเตอร์</t>
  </si>
  <si>
    <t>รายการครุภัณฑ์คอมพิวเตอร์</t>
  </si>
  <si>
    <t>X-ray1,เภสัชกรรม1</t>
  </si>
  <si>
    <t>เภสัชกรรม1,การเงิน1,ชันสูตร1,OPD5,ห้องตรวจ2,ปฐมภูมิ1</t>
  </si>
  <si>
    <t>ห้อง Server</t>
  </si>
  <si>
    <t>เภสัชกรรม2</t>
  </si>
  <si>
    <t>เภสัชกรรม+กายภาพ</t>
  </si>
  <si>
    <t>แผนปฏิบัติการจัดซื้อประเภท ค่าครุภัณฑ์วิทยาศาสตร์หรือการแพทย์</t>
  </si>
  <si>
    <t>รายการครุภัณฑ์วิทยาศาสตร์
หรือการแพทย์</t>
  </si>
  <si>
    <t>yes</t>
  </si>
  <si>
    <t xml:space="preserve">เครื่อง </t>
  </si>
  <si>
    <t xml:space="preserve">คัน </t>
  </si>
  <si>
    <t>แผนปฏิบัติการจัดซื้อประเภท ค่าครุภัณฑ์โฆษณาและเผยแพร่</t>
  </si>
  <si>
    <t>รายการครุภัณฑ์โฆษณาและเผยแพร่</t>
  </si>
  <si>
    <t>แผนปฏิบัติการจัดซื้อประเภท ค่าครุภัณฑ์ไฟฟ้าและวิทยุ</t>
  </si>
  <si>
    <t>รายการครุภัณฑ์ไฟฟ้าและวิทยุ</t>
  </si>
  <si>
    <t>X-ray1+กลุ่มการ 2</t>
  </si>
  <si>
    <t>แผนปฏิบัติการจัดซื้อประเภท ค่าครุภัณฑ์งานบ้านงานครัว</t>
  </si>
  <si>
    <t>รายการครุภัณฑ์งานบ้านงานครัว</t>
  </si>
  <si>
    <t>บริหาร(แม่บ้าน)</t>
  </si>
  <si>
    <t>บริหาร(โรงซักฟอก-จ่ายกลาง)</t>
  </si>
  <si>
    <t>X-Ray 1+กายภาพ 1</t>
  </si>
  <si>
    <t>แผนปฏิบัติการจัดซื้อประเภท ค่าครุภัณฑ์การเกษตร</t>
  </si>
  <si>
    <t>รายการครุภัณฑ์การเกษตร</t>
  </si>
  <si>
    <t>แผนปฏิบัติการจัดซื้อประเภท ค่าครุภัณฑ์ก่อสร้าง</t>
  </si>
  <si>
    <t>รายการครุภัณฑ์ก่อสร้าง</t>
  </si>
  <si>
    <t>แผนปฏิบัติการจัดซื้อประเภท ค่าครุภัณฑ์ยานพาหนะและขนส่ง</t>
  </si>
  <si>
    <t>รายการครุภัณฑ์ยานพาหนะและขนส่ง</t>
  </si>
  <si>
    <t>ครงการตามแผนปฏิบัติการสาธารณสุข โรงพยาบาลวังสมบูรณ์ สำนักงานสาธารณสุขจังหวัดสระแก้ว ประจำปี 2562  จำแนกตามเจ้าภาพหลัก</t>
  </si>
  <si>
    <t>ที่</t>
  </si>
  <si>
    <t>แผน</t>
  </si>
  <si>
    <t>งบประมาณ/แหล่งงบประมาณ</t>
  </si>
  <si>
    <t>เจ้าภาพหลัก</t>
  </si>
  <si>
    <t>อบรม</t>
  </si>
  <si>
    <t>ซื้อของ/จ้าง</t>
  </si>
  <si>
    <t>เบิก/จ่าย</t>
  </si>
  <si>
    <t>ส่งโครงการที่เป็นอบรมแล้ว</t>
  </si>
  <si>
    <t>อบจ.</t>
  </si>
  <si>
    <t>อปท.</t>
  </si>
  <si>
    <t>สสจ</t>
  </si>
  <si>
    <t>สปสช.</t>
  </si>
  <si>
    <t>เงินบำรุง</t>
  </si>
  <si>
    <t>1. กลุ่มการพยาบาล</t>
  </si>
  <si>
    <t xml:space="preserve">มหกรรมตรวจตา ช่องปาก เท้า ในผู้เป็นเบาหวานและตรวจตาประชาชนอายุ 60 ปีขึ้นไป </t>
  </si>
  <si>
    <t>พัฒนาวิชาการโรงพยาบาลวังสมบูรณ์</t>
  </si>
  <si>
    <t>การพัฒนาระบบการประเมินประสิทธิภาพการปฏิบัติตามระบบงาน IC</t>
  </si>
  <si>
    <t>การพัฒนาศักยภาพบุคลากรให้การดูแลผู้ป่วยฉุกเฉินและส่งต่อ</t>
  </si>
  <si>
    <t>ระบบการแพทย์ฉุกเฉินและส่งต่อ</t>
  </si>
  <si>
    <t>การเตรียมรับการเยี่ยมประเมินHA</t>
  </si>
  <si>
    <t>ผู้นำการเปลี่ยนแปลงในระดับองค์กร(change Agent) HA203</t>
  </si>
  <si>
    <t>HA303การพัฒนาการปฏิบัติการพยาบาลเพื่อคุณภาพ</t>
  </si>
  <si>
    <t>HA 304 Haกับการพยาบาล</t>
  </si>
  <si>
    <t>การพัฒนากับสายสนับสนุน</t>
  </si>
  <si>
    <t>HA601ระบบบริหารความเสี่ยงในโรงพยาบาลคุณภาพ</t>
  </si>
  <si>
    <t>HA602คุณภาพและความปลอดภัยทางคลินิก</t>
  </si>
  <si>
    <t>2. กลุ่มงานเภสัชกรรม</t>
  </si>
  <si>
    <t>อบรมให้ความรู้เรื่อง "การใช้ยาในเด็ก" สำหรับเจ้าหน้าที่รพ.สต อำเภอวังสมบูรณ์ โดยวิธีบรรยายและฝึกปฏิบัติ</t>
  </si>
  <si>
    <t>อบรมให้ความรู้เรื่อง "การใช้ยาในหญิงตั้งครรภ์และให้นมบุตร" สำหรับเจ้าหน้าที่รพ.สต อำเภอวังสมบูรณ์ โดยวิธีบรรยายและฝึกปฏิบัติ</t>
  </si>
  <si>
    <t>โครงการควบคุมระบบ Cold chain เพื่อให้เป็นไปตามมาตรฐานและมีประสิทธิภาพ</t>
  </si>
  <si>
    <t xml:space="preserve">กิจกรรมการคุ้มครองผู้บริโภคในโรงเรียน (อย.น้อย) </t>
  </si>
  <si>
    <t>3. กลุ่มงานกายภาพบำบัด</t>
  </si>
  <si>
    <t>โครงการพัฒนาระบบบริการฟื้นฟูสมรรถภาพโดยเครือข่ายนักกายภาพบำบัด จังหวัดสระแก้ว เขตอำเภอวังสมบูรณ์ จังหวัดสระแก้ว ประจำปี 2562 
(งบกองทุนฟื้นฟูอบจ.)</t>
  </si>
  <si>
    <t>โครงการประเมินความพิการและเสริมสร้างศักยภาพการดูแลคนพิการในชุมชน โรงพยาบาลวังสมบูรณ์ จังหวัดสระแก้ว ประจำปี 2562 (งบกองทุนฟื้นฟูอบจ.)</t>
  </si>
  <si>
    <t>5. กลุ่มงานบริหาร</t>
  </si>
  <si>
    <t>โครงการบริหารการจัดการที่ดี</t>
  </si>
  <si>
    <t>6. กลุ่มงานทันตสาธารณสุข</t>
  </si>
  <si>
    <t>โครงการส่งเสริมทันตสุขภาพทุกกลุ่มวัย</t>
  </si>
  <si>
    <t>7. กลุ่มงานเวชศาสตร์ครอบครัวและบริการด้านปฐมภูมิ</t>
  </si>
  <si>
    <r>
      <t xml:space="preserve">โครงการสาวไทยแก้มแดง </t>
    </r>
    <r>
      <rPr>
        <sz val="16"/>
        <color rgb="FFFF0000"/>
        <rFont val="TH SarabunPSK"/>
        <family val="2"/>
      </rPr>
      <t>(งบอปท.)</t>
    </r>
  </si>
  <si>
    <r>
      <t xml:space="preserve">โครงการส่งเสริมสุขภาพกลุ่มวัย กิจกรรมที่ 1 ส่งเสริมสุขภาพกลุ่มแม่และเด็ก  "มหัศจรรย์ 1000 วัน แรกแห่งชีวิต สร้างกระแสฝากครรภ์เร็วก่อน 12สัปดาห์" </t>
    </r>
    <r>
      <rPr>
        <sz val="16"/>
        <color rgb="FFFF0000"/>
        <rFont val="TH SarabunPSK"/>
        <family val="2"/>
      </rPr>
      <t>(เงินบำรุงรพ.)</t>
    </r>
  </si>
  <si>
    <r>
      <t>อบรมและพัฒนาศักยภาพวัยรุ่นยุคใหม่ ไม่ตั้งครรภ์ซ้ำ อายุ&lt; 20 ปี</t>
    </r>
    <r>
      <rPr>
        <sz val="16"/>
        <color rgb="FFFF0000"/>
        <rFont val="TH SarabunPSK"/>
        <family val="2"/>
      </rPr>
      <t xml:space="preserve"> (เงินบำรุง) </t>
    </r>
  </si>
  <si>
    <r>
      <t xml:space="preserve">อบรมและพัฒนาศักยภาพเครือข่ายครูปฐมวัยและบุคลากรสาธารณสุขในการประเมินนักเรียนที่มีภาวะสมาธิสั้น,บกพร่องการเรียนรู้และออทิสซึม ในเด็กวัยเรียน </t>
    </r>
    <r>
      <rPr>
        <sz val="16"/>
        <color rgb="FFFF0000"/>
        <rFont val="TH SarabunPSK"/>
        <family val="2"/>
      </rPr>
      <t>(เงินบำรุง)</t>
    </r>
  </si>
  <si>
    <r>
      <t>รับประเมินรพ.มาตรฐานอนามัยแม่และเด็ก</t>
    </r>
    <r>
      <rPr>
        <sz val="16"/>
        <color rgb="FFFF0000"/>
        <rFont val="TH SarabunPSK"/>
        <family val="2"/>
      </rPr>
      <t xml:space="preserve"> (เงินบำรุง)</t>
    </r>
  </si>
  <si>
    <r>
      <t>ส่งเสริมสุขภาพวัยทำงาน "ปรับเปลี่ยนพฤติกรรมในกลุ่มเสี่ยง/กลุ่มป่วย ด้วย 3 อ.2ส. ด้วยความรอบรู้ด้านสุขภาพ (HL)"</t>
    </r>
    <r>
      <rPr>
        <sz val="16"/>
        <color rgb="FFFF0000"/>
        <rFont val="TH SarabunPSK"/>
        <family val="2"/>
      </rPr>
      <t>(เงินบำรุง)</t>
    </r>
  </si>
  <si>
    <r>
      <t>มหกรรมคัดกรองมะเร็งท่อน้ำดี/มะเร็งเต้านม/มะเร็งปากมดลูก/มะเร็งลำไส้ใหญ่</t>
    </r>
    <r>
      <rPr>
        <sz val="16"/>
        <color rgb="FFFF0000"/>
        <rFont val="TH SarabunPSK"/>
        <family val="2"/>
      </rPr>
      <t xml:space="preserve"> (เงินบำรุง)</t>
    </r>
  </si>
  <si>
    <r>
      <t xml:space="preserve">โครงการจัดบริการผู้ป่วยจิตเวชเรื้อรังในชุมชน </t>
    </r>
    <r>
      <rPr>
        <sz val="16"/>
        <color rgb="FFFF0000"/>
        <rFont val="TH SarabunPSK"/>
        <family val="2"/>
      </rPr>
      <t>(งบสปสช.)</t>
    </r>
  </si>
  <si>
    <r>
      <t xml:space="preserve">โครงการบูรณาการระบบการบำบัดรักษาพยาบาลและฟื้นฟูสมรรถภาพผู้ป่วยยาเสพติด อำเภอวังสมบูรณ์ จังหวัดสระแก้ว </t>
    </r>
    <r>
      <rPr>
        <sz val="16"/>
        <color rgb="FFFF0000"/>
        <rFont val="TH SarabunPSK"/>
        <family val="2"/>
      </rPr>
      <t>(เงินงบประมาณ)</t>
    </r>
  </si>
  <si>
    <r>
      <t xml:space="preserve">โครงการพัฒนาคุณภาพชีวิตผู้สูงอายุอำเภอวังสมบูรณ์ </t>
    </r>
    <r>
      <rPr>
        <sz val="16"/>
        <color rgb="FFFF0000"/>
        <rFont val="TH SarabunPSK"/>
        <family val="2"/>
      </rPr>
      <t>(งบสปสช.LTC)</t>
    </r>
  </si>
  <si>
    <t>8. กลุ่มงานชันสูตร</t>
  </si>
  <si>
    <t>โครงการอบรมวิชาการการเก็บสิ่งส่งตรวจและการใช้ห้องปฏิบัติการ สำหรับเจ้าหน้าหน้าที่ รพ.สต.</t>
  </si>
  <si>
    <t>โครงการอบรมวิชาการการเก็บสิ่งส่งตรวจและการใช้ห้องปฏิบัติการ สำหรับเจ้าหน้าหน้าที่ รพ.วังสมบูรณ์</t>
  </si>
  <si>
    <t>โครงการตรวจเยื่ยมห้องปฏิบัติการทางการแพทย์ ในสังกัดสำนักงานสาธารณสุขจังหวัดสระแก้ว</t>
  </si>
  <si>
    <t>รวมงบประมาณดำเนินโครงการทั้งสิ้น</t>
  </si>
  <si>
    <t>(นายยุทธพงษ์ ศรีมงคล)</t>
  </si>
  <si>
    <t>ผู้อำนวยการโรงพยาบาลวังสมบูรณ์</t>
  </si>
  <si>
    <t xml:space="preserve">1 ตุลาคม พ.ศ.2561 </t>
  </si>
  <si>
    <t>ราคา</t>
  </si>
  <si>
    <t>แผน P04+ผลรวมทั้งหมดชีส 12.WS-แผนสนับสนุน รพ.สต. - ผลรวมบค่าเสื่อม UC รพ.สต.</t>
  </si>
  <si>
    <t>แผน P05</t>
  </si>
  <si>
    <t>ประมาณการ
ปี 2566 สระแก้ว</t>
  </si>
  <si>
    <t>คาดกาณ์จากเงินสดเท่านั้น</t>
  </si>
  <si>
    <t>ต้องตรงกับรายละเอียดแผนจัดซื้อจัดจ้าง</t>
  </si>
  <si>
    <t>แผน P18 ต้องตรงกับรายละเอียดรายบุคคล</t>
  </si>
  <si>
    <t>แผน P18 + ค่าจ้างชั่วคราว/พกส./ค่าจ้างเหมาบุคลากรอื่นค้างจ่าย  ณ 30  กันยายน  2565</t>
  </si>
  <si>
    <t>แผน P19 + ค่าตอบแทนค้างจ่าย ณ 30  กันยายน  2565</t>
  </si>
  <si>
    <t>แผน P21</t>
  </si>
  <si>
    <t>แผน P20 + ค่าใช้จ่ายบุคลากรอื่นค้างจ่าย ณ 30  กันยายน  2565</t>
  </si>
  <si>
    <t>แผน P22 + ค่าสาธารณูปโภคค้างจ่าย ณ 30  กันยายน  2565</t>
  </si>
  <si>
    <t>ชีส 1.Planfin2566 แผน 2.แผนจัดซื้อยา เวชภัณฑ์ วัสดุการแพทย์ วัสดุวิทยาศาสตร์การแพทย์ (เงินนอกงบประมาณ)</t>
  </si>
  <si>
    <t>ชีส 1.Planfin2566 แผน 3 .แผนจัดซื้อวัสดุอื่น (เงินนอกงบประมาณ)</t>
  </si>
  <si>
    <t>เงินกันสำหรับฉุกเฉิน</t>
  </si>
  <si>
    <t>เติมมือ</t>
  </si>
  <si>
    <t>PC26</t>
  </si>
  <si>
    <t>ชีส'11.WS-แผนลงทุน'!G6 (การลงทุนด้วยเงินบำรุงส่วนเกิน)</t>
  </si>
  <si>
    <t>แผน P25</t>
  </si>
  <si>
    <t xml:space="preserve"> ชีส 9.WS-แผนเจ้าหนี้การค้า รายการ เจ้าหนี้ค่าครุภัณฑ์ สิ่งก่อสร้างฯ ณ 30 ก.ย 2565  + เงินนอกงบประมาณ 2566</t>
  </si>
  <si>
    <t>เติมมือ จะมีเกณฑ์ไหม</t>
  </si>
  <si>
    <t>จำนวนที่จ่ายชำระเงินแล้ว ที่ค้างจ่าย+ปีปัจจุบัน</t>
  </si>
  <si>
    <t xml:space="preserve">แผน P06 + ลูกหนี้ค่ารักษาพยาบาลที่เรียกเก็บได้ในปี 2566 เบิกต้นสังกัด </t>
  </si>
  <si>
    <t>แผน P61 + ลูกหนี้ค่ารักษาพยาบาลที่เรียกเก็บได้ในปี 2566  อปท</t>
  </si>
  <si>
    <t>แผน P07 + ลูกหนี้ค่ารักษาพยาบาลที่เรียกเก็บได้ในปี 2566 กรมบัญชีกลาง</t>
  </si>
  <si>
    <t>แผน P08 + ลูกหนี้ค่ารักษาพยาบาลที่เรียกเก็บได้ในปี 2566 ประกันสังคม</t>
  </si>
  <si>
    <t>แผน P09 + ลูกหนี้ค่ารักษาพยาบาลที่เรียกเก็บได้ในปี 2566 แรงงานต่างด้าว</t>
  </si>
  <si>
    <t>แผน P10 + ลูกหนี้ค่ารักษาพยาบาลที่เรียกเก็บได้ในปี 2566 อื่น ๆ</t>
  </si>
  <si>
    <t>แผน P12 ไม่รวมงบประมาณ</t>
  </si>
  <si>
    <t>แผน P13 ไม่รวมงบลงทุนงบประมาณ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</si>
</sst>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#,##0.00_ ;[Red]\-#,##0.00&quot; &quot;"/>
    <numFmt numFmtId="197" formatCode="_-* #,##0_-;\-* #,##0_-;_-* &quot;-&quot;??_-;_-@_-"/>
    <numFmt numFmtId="198" formatCode="[$-1070000]d/m/yy;@"/>
    <numFmt numFmtId="199" formatCode="_-* #,##0_-;\-* #,##0_-;_-* &quot;-&quot;??_-;_-@"/>
    <numFmt numFmtId="200" formatCode="#,##0_ ;\-#,##0\ "/>
    <numFmt numFmtId="201" formatCode="_-* #,##0.000_-;\-* #,##0.000_-;_-* &quot;-&quot;??_-;_-@_-"/>
  </numFmts>
  <fonts count="9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sz val="10"/>
      <name val="Arial"/>
      <family val="2"/>
    </font>
    <font>
      <sz val="11"/>
      <color theme="1"/>
      <name val="Tahoma"/>
      <family val="2"/>
      <scheme val="minor"/>
    </font>
    <font>
      <sz val="11"/>
      <color rgb="FFFF0000"/>
      <name val="Tahoma"/>
      <family val="2"/>
      <charset val="222"/>
      <scheme val="minor"/>
    </font>
    <font>
      <sz val="11"/>
      <color indexed="8"/>
      <name val="Tahoma"/>
      <family val="2"/>
      <charset val="222"/>
    </font>
    <font>
      <b/>
      <sz val="14"/>
      <name val="TH SarabunPSK"/>
      <family val="2"/>
    </font>
    <font>
      <sz val="12"/>
      <name val="TH SarabunPSK"/>
      <family val="2"/>
    </font>
    <font>
      <sz val="12"/>
      <color rgb="FFFF0000"/>
      <name val="TH SarabunPSK"/>
      <family val="2"/>
    </font>
    <font>
      <b/>
      <sz val="12"/>
      <name val="TH SarabunPSK"/>
      <family val="2"/>
    </font>
    <font>
      <sz val="14"/>
      <name val="TH SarabunPSK"/>
      <family val="2"/>
    </font>
    <font>
      <sz val="11"/>
      <name val="TH SarabunPSK"/>
      <family val="2"/>
    </font>
    <font>
      <b/>
      <sz val="8"/>
      <color indexed="81"/>
      <name val="Tahoma"/>
      <family val="2"/>
    </font>
    <font>
      <u/>
      <sz val="16"/>
      <color rgb="FF000000"/>
      <name val="TH SarabunPSK"/>
      <family val="2"/>
    </font>
    <font>
      <strike/>
      <sz val="16"/>
      <color indexed="8"/>
      <name val="TH SarabunPSK"/>
      <family val="2"/>
    </font>
    <font>
      <b/>
      <sz val="20"/>
      <name val="TH SarabunPSK"/>
      <family val="2"/>
    </font>
    <font>
      <b/>
      <sz val="15"/>
      <name val="TH SarabunPSK"/>
      <family val="2"/>
    </font>
    <font>
      <sz val="15"/>
      <name val="TH SarabunPSK"/>
      <family val="2"/>
    </font>
    <font>
      <sz val="14"/>
      <name val="Angsana New"/>
      <family val="1"/>
    </font>
    <font>
      <sz val="14"/>
      <color rgb="FFFF0000"/>
      <name val="Angsana New"/>
      <family val="1"/>
    </font>
    <font>
      <sz val="12"/>
      <color indexed="8"/>
      <name val="Verdana"/>
      <family val="2"/>
    </font>
    <font>
      <sz val="16"/>
      <name val="Angsana New"/>
      <family val="1"/>
    </font>
    <font>
      <sz val="16"/>
      <color theme="1"/>
      <name val="Angsana New"/>
      <family val="1"/>
    </font>
    <font>
      <b/>
      <sz val="16"/>
      <name val="Angsana New"/>
      <family val="1"/>
    </font>
    <font>
      <sz val="14"/>
      <color theme="1"/>
      <name val="TH SarabunIT๙"/>
      <family val="2"/>
    </font>
    <font>
      <b/>
      <sz val="14"/>
      <name val="Angsana New"/>
      <family val="1"/>
    </font>
    <font>
      <sz val="13"/>
      <name val="TH SarabunPSK"/>
      <family val="2"/>
    </font>
  </fonts>
  <fills count="4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theme="5"/>
        <bgColor indexed="64"/>
      </patternFill>
    </fill>
  </fills>
  <borders count="8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FF00"/>
      </left>
      <right style="thin">
        <color rgb="FF00FF00"/>
      </right>
      <top style="thin">
        <color rgb="FF00FF00"/>
      </top>
      <bottom/>
      <diagonal/>
    </border>
    <border>
      <left style="thin">
        <color rgb="FF00FF00"/>
      </left>
      <right style="thin">
        <color rgb="FF00FF00"/>
      </right>
      <top/>
      <bottom/>
      <diagonal/>
    </border>
    <border>
      <left style="thin">
        <color rgb="FF00FF00"/>
      </left>
      <right style="thin">
        <color rgb="FF00FF00"/>
      </right>
      <top/>
      <bottom style="thin">
        <color rgb="FF00FF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2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/>
    <xf numFmtId="0" fontId="74" fillId="0" borderId="0"/>
    <xf numFmtId="0" fontId="75" fillId="0" borderId="0"/>
    <xf numFmtId="187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92" fillId="0" borderId="0" applyNumberFormat="0" applyFill="0" applyBorder="0" applyProtection="0">
      <alignment vertical="top"/>
    </xf>
    <xf numFmtId="0" fontId="9" fillId="0" borderId="0"/>
    <xf numFmtId="0" fontId="1" fillId="0" borderId="0"/>
    <xf numFmtId="0" fontId="9" fillId="0" borderId="0"/>
    <xf numFmtId="43" fontId="9" fillId="0" borderId="0" applyFont="0" applyFill="0" applyBorder="0" applyAlignment="0" applyProtection="0"/>
  </cellStyleXfs>
  <cellXfs count="211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1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88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30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4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3" fillId="19" borderId="32" xfId="0" applyFont="1" applyFill="1" applyBorder="1" applyAlignment="1">
      <alignment horizontal="left" vertical="center" wrapText="1" readingOrder="1"/>
    </xf>
    <xf numFmtId="0" fontId="35" fillId="20" borderId="33" xfId="0" applyFont="1" applyFill="1" applyBorder="1" applyAlignment="1">
      <alignment horizontal="center" vertical="center" wrapText="1" readingOrder="1"/>
    </xf>
    <xf numFmtId="0" fontId="35" fillId="20" borderId="33" xfId="0" applyFont="1" applyFill="1" applyBorder="1" applyAlignment="1">
      <alignment horizontal="left" vertical="center" readingOrder="1"/>
    </xf>
    <xf numFmtId="0" fontId="35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5" fillId="21" borderId="34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21" borderId="30" xfId="0" applyFont="1" applyFill="1" applyBorder="1" applyAlignment="1">
      <alignment horizontal="center" vertical="center" wrapText="1" readingOrder="1"/>
    </xf>
    <xf numFmtId="0" fontId="36" fillId="21" borderId="30" xfId="0" applyFont="1" applyFill="1" applyBorder="1" applyAlignment="1">
      <alignment horizontal="center" vertical="center" wrapText="1" readingOrder="1"/>
    </xf>
    <xf numFmtId="0" fontId="35" fillId="21" borderId="30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88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16" borderId="2" xfId="0" applyFont="1" applyFill="1" applyBorder="1"/>
    <xf numFmtId="0" fontId="27" fillId="0" borderId="0" xfId="0" applyFont="1"/>
    <xf numFmtId="0" fontId="6" fillId="0" borderId="0" xfId="0" applyFont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6" xfId="0" applyNumberFormat="1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/>
    <xf numFmtId="0" fontId="14" fillId="0" borderId="0" xfId="0" applyFont="1"/>
    <xf numFmtId="0" fontId="21" fillId="0" borderId="0" xfId="0" applyFont="1" applyAlignment="1">
      <alignment vertical="center"/>
    </xf>
    <xf numFmtId="0" fontId="7" fillId="11" borderId="0" xfId="0" applyFont="1" applyFill="1" applyAlignment="1">
      <alignment horizontal="center"/>
    </xf>
    <xf numFmtId="0" fontId="7" fillId="11" borderId="0" xfId="0" applyFont="1" applyFill="1" applyAlignment="1">
      <alignment horizontal="center" vertical="center" wrapText="1"/>
    </xf>
    <xf numFmtId="0" fontId="7" fillId="11" borderId="0" xfId="0" applyFont="1" applyFill="1" applyAlignment="1">
      <alignment horizontal="left" vertical="center" wrapText="1"/>
    </xf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0" fontId="11" fillId="0" borderId="0" xfId="0" applyFont="1" applyAlignment="1">
      <alignment horizontal="center"/>
    </xf>
    <xf numFmtId="188" fontId="7" fillId="0" borderId="0" xfId="3" applyNumberFormat="1" applyFont="1" applyFill="1" applyBorder="1"/>
    <xf numFmtId="0" fontId="7" fillId="15" borderId="0" xfId="0" applyFont="1" applyFill="1" applyAlignment="1">
      <alignment horizontal="center" vertical="center"/>
    </xf>
    <xf numFmtId="188" fontId="7" fillId="0" borderId="35" xfId="3" applyNumberFormat="1" applyFont="1" applyFill="1" applyBorder="1"/>
    <xf numFmtId="188" fontId="6" fillId="0" borderId="0" xfId="3" applyNumberFormat="1" applyFont="1" applyFill="1" applyBorder="1"/>
    <xf numFmtId="0" fontId="11" fillId="0" borderId="0" xfId="0" applyFont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4" borderId="0" xfId="0" applyFont="1" applyFill="1" applyAlignment="1">
      <alignment horizontal="center"/>
    </xf>
    <xf numFmtId="188" fontId="20" fillId="0" borderId="0" xfId="0" applyNumberFormat="1" applyFont="1"/>
    <xf numFmtId="188" fontId="20" fillId="6" borderId="0" xfId="0" applyNumberFormat="1" applyFont="1" applyFill="1"/>
    <xf numFmtId="0" fontId="13" fillId="0" borderId="0" xfId="0" applyFont="1" applyAlignment="1">
      <alignment vertical="top"/>
    </xf>
    <xf numFmtId="188" fontId="6" fillId="0" borderId="0" xfId="0" applyNumberFormat="1" applyFont="1" applyAlignment="1">
      <alignment vertical="top" wrapText="1"/>
    </xf>
    <xf numFmtId="188" fontId="7" fillId="16" borderId="0" xfId="0" applyNumberFormat="1" applyFont="1" applyFill="1"/>
    <xf numFmtId="0" fontId="4" fillId="0" borderId="0" xfId="0" applyFont="1" applyAlignment="1">
      <alignment vertical="top"/>
    </xf>
    <xf numFmtId="0" fontId="32" fillId="20" borderId="33" xfId="0" applyFont="1" applyFill="1" applyBorder="1" applyAlignment="1">
      <alignment horizontal="left" vertical="top" readingOrder="1"/>
    </xf>
    <xf numFmtId="0" fontId="32" fillId="21" borderId="34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21" borderId="30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left" vertical="top" readingOrder="1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7" fillId="0" borderId="0" xfId="0" applyNumberFormat="1" applyFont="1" applyAlignment="1">
      <alignment horizontal="center" vertical="top"/>
    </xf>
    <xf numFmtId="40" fontId="25" fillId="0" borderId="0" xfId="0" applyNumberFormat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188" fontId="25" fillId="28" borderId="0" xfId="0" applyNumberFormat="1" applyFont="1" applyFill="1" applyAlignment="1">
      <alignment horizontal="center" vertical="top"/>
    </xf>
    <xf numFmtId="0" fontId="11" fillId="0" borderId="0" xfId="0" applyFo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6" borderId="0" xfId="0" applyNumberFormat="1" applyFont="1" applyFill="1" applyAlignment="1">
      <alignment horizontal="right"/>
    </xf>
    <xf numFmtId="188" fontId="25" fillId="16" borderId="0" xfId="0" applyNumberFormat="1" applyFont="1" applyFill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/>
    </xf>
    <xf numFmtId="0" fontId="18" fillId="0" borderId="0" xfId="1" applyFont="1" applyAlignment="1">
      <alignment horizontal="right"/>
    </xf>
    <xf numFmtId="0" fontId="27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right" vertical="top" wrapText="1"/>
    </xf>
    <xf numFmtId="0" fontId="7" fillId="16" borderId="0" xfId="0" applyFont="1" applyFill="1" applyAlignment="1">
      <alignment horizontal="center" vertical="center"/>
    </xf>
    <xf numFmtId="40" fontId="7" fillId="16" borderId="0" xfId="0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Border="1" applyAlignment="1">
      <alignment vertical="top"/>
    </xf>
    <xf numFmtId="40" fontId="15" fillId="0" borderId="0" xfId="0" applyNumberFormat="1" applyFont="1"/>
    <xf numFmtId="0" fontId="10" fillId="16" borderId="0" xfId="0" applyFont="1" applyFill="1" applyAlignment="1">
      <alignment horizontal="center" vertical="top"/>
    </xf>
    <xf numFmtId="40" fontId="6" fillId="17" borderId="0" xfId="0" applyNumberFormat="1" applyFont="1" applyFill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1" xfId="6" applyFont="1" applyBorder="1" applyAlignment="1">
      <alignment horizontal="center" vertical="top"/>
    </xf>
    <xf numFmtId="0" fontId="15" fillId="0" borderId="1" xfId="6" applyFont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7" fillId="18" borderId="0" xfId="0" applyFont="1" applyFill="1" applyAlignment="1">
      <alignment vertical="top" wrapText="1"/>
    </xf>
    <xf numFmtId="0" fontId="7" fillId="18" borderId="0" xfId="0" applyFont="1" applyFill="1" applyAlignment="1">
      <alignment horizontal="center"/>
    </xf>
    <xf numFmtId="0" fontId="6" fillId="8" borderId="0" xfId="0" applyFont="1" applyFill="1"/>
    <xf numFmtId="0" fontId="18" fillId="0" borderId="0" xfId="6" applyFont="1" applyAlignment="1">
      <alignment vertical="top"/>
    </xf>
    <xf numFmtId="188" fontId="6" fillId="0" borderId="0" xfId="3" applyNumberFormat="1" applyFont="1" applyBorder="1"/>
    <xf numFmtId="188" fontId="7" fillId="28" borderId="0" xfId="0" applyNumberFormat="1" applyFont="1" applyFill="1" applyAlignment="1">
      <alignment horizontal="right" vertical="top"/>
    </xf>
    <xf numFmtId="188" fontId="10" fillId="15" borderId="35" xfId="0" applyNumberFormat="1" applyFont="1" applyFill="1" applyBorder="1"/>
    <xf numFmtId="188" fontId="6" fillId="16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5" borderId="2" xfId="0" applyNumberFormat="1" applyFont="1" applyFill="1" applyBorder="1"/>
    <xf numFmtId="188" fontId="7" fillId="26" borderId="2" xfId="0" applyNumberFormat="1" applyFont="1" applyFill="1" applyBorder="1"/>
    <xf numFmtId="188" fontId="7" fillId="16" borderId="2" xfId="0" applyNumberFormat="1" applyFont="1" applyFill="1" applyBorder="1"/>
    <xf numFmtId="188" fontId="7" fillId="12" borderId="2" xfId="0" applyNumberFormat="1" applyFont="1" applyFill="1" applyBorder="1"/>
    <xf numFmtId="188" fontId="7" fillId="0" borderId="2" xfId="0" applyNumberFormat="1" applyFont="1" applyBorder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Border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16" borderId="2" xfId="3" applyNumberFormat="1" applyFont="1" applyFill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88" fontId="6" fillId="0" borderId="0" xfId="0" applyNumberFormat="1" applyFont="1" applyAlignment="1">
      <alignment vertical="top"/>
    </xf>
    <xf numFmtId="49" fontId="18" fillId="0" borderId="0" xfId="6" applyNumberFormat="1" applyFont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188" fontId="6" fillId="8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Alignment="1">
      <alignment vertical="center" wrapText="1"/>
    </xf>
    <xf numFmtId="43" fontId="6" fillId="0" borderId="0" xfId="3" applyFont="1" applyFill="1"/>
    <xf numFmtId="0" fontId="4" fillId="0" borderId="0" xfId="0" applyFont="1"/>
    <xf numFmtId="0" fontId="5" fillId="0" borderId="0" xfId="0" applyFont="1"/>
    <xf numFmtId="193" fontId="6" fillId="0" borderId="0" xfId="0" applyNumberFormat="1" applyFont="1"/>
    <xf numFmtId="191" fontId="6" fillId="0" borderId="0" xfId="0" applyNumberFormat="1" applyFont="1"/>
    <xf numFmtId="194" fontId="6" fillId="0" borderId="0" xfId="3" applyNumberFormat="1" applyFont="1" applyFill="1"/>
    <xf numFmtId="188" fontId="15" fillId="0" borderId="0" xfId="0" applyNumberFormat="1" applyFont="1"/>
    <xf numFmtId="49" fontId="15" fillId="0" borderId="0" xfId="0" applyNumberFormat="1" applyFont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0" fontId="44" fillId="0" borderId="0" xfId="11" applyFont="1" applyAlignment="1">
      <alignment horizontal="center"/>
    </xf>
    <xf numFmtId="0" fontId="7" fillId="0" borderId="14" xfId="0" applyFont="1" applyBorder="1" applyAlignment="1">
      <alignment horizontal="center"/>
    </xf>
    <xf numFmtId="189" fontId="10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189" fontId="6" fillId="30" borderId="0" xfId="0" applyNumberFormat="1" applyFont="1" applyFill="1"/>
    <xf numFmtId="189" fontId="6" fillId="30" borderId="0" xfId="3" applyNumberFormat="1" applyFont="1" applyFill="1" applyBorder="1" applyAlignment="1"/>
    <xf numFmtId="195" fontId="6" fillId="30" borderId="0" xfId="0" applyNumberFormat="1" applyFont="1" applyFill="1"/>
    <xf numFmtId="195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6" fillId="0" borderId="19" xfId="0" applyFont="1" applyBorder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43" fillId="0" borderId="0" xfId="0" applyFont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Alignment="1">
      <alignment horizontal="center"/>
    </xf>
    <xf numFmtId="188" fontId="6" fillId="0" borderId="0" xfId="11" applyNumberFormat="1" applyFont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40" fontId="7" fillId="0" borderId="0" xfId="11" applyNumberFormat="1" applyFont="1"/>
    <xf numFmtId="0" fontId="6" fillId="0" borderId="45" xfId="0" applyFont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6" borderId="45" xfId="3" applyNumberFormat="1" applyFont="1" applyFill="1" applyBorder="1" applyAlignment="1"/>
    <xf numFmtId="188" fontId="6" fillId="0" borderId="45" xfId="0" applyNumberFormat="1" applyFont="1" applyBorder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Alignment="1">
      <alignment horizontal="center" vertical="top"/>
    </xf>
    <xf numFmtId="49" fontId="15" fillId="0" borderId="0" xfId="0" applyNumberFormat="1" applyFont="1" applyAlignment="1">
      <alignment horizontal="center" vertical="top" wrapText="1"/>
    </xf>
    <xf numFmtId="0" fontId="15" fillId="0" borderId="0" xfId="6" applyFont="1" applyAlignment="1">
      <alignment vertical="top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29" borderId="48" xfId="8" applyFont="1" applyFill="1" applyBorder="1"/>
    <xf numFmtId="0" fontId="24" fillId="29" borderId="48" xfId="8" applyFont="1" applyFill="1" applyBorder="1" applyAlignment="1">
      <alignment horizontal="right"/>
    </xf>
    <xf numFmtId="1" fontId="24" fillId="29" borderId="48" xfId="8" applyNumberFormat="1" applyFont="1" applyFill="1" applyBorder="1" applyAlignment="1">
      <alignment horizontal="right"/>
    </xf>
    <xf numFmtId="0" fontId="12" fillId="29" borderId="49" xfId="0" applyFont="1" applyFill="1" applyBorder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/>
    <xf numFmtId="188" fontId="6" fillId="0" borderId="0" xfId="11" applyNumberFormat="1" applyFont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49" fontId="42" fillId="18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Alignment="1">
      <alignment horizontal="center"/>
    </xf>
    <xf numFmtId="0" fontId="51" fillId="0" borderId="0" xfId="3" applyNumberFormat="1" applyFont="1" applyFill="1" applyBorder="1" applyAlignment="1">
      <alignment horizontal="center" vertical="center"/>
    </xf>
    <xf numFmtId="0" fontId="11" fillId="31" borderId="0" xfId="0" applyFont="1" applyFill="1" applyAlignment="1">
      <alignment horizontal="center" vertical="center" wrapText="1"/>
    </xf>
    <xf numFmtId="43" fontId="11" fillId="4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2" fillId="0" borderId="0" xfId="3" applyNumberFormat="1" applyFont="1" applyBorder="1" applyAlignment="1">
      <alignment horizontal="center" vertical="center" wrapText="1"/>
    </xf>
    <xf numFmtId="188" fontId="7" fillId="18" borderId="0" xfId="0" applyNumberFormat="1" applyFont="1" applyFill="1" applyAlignment="1">
      <alignment vertical="center"/>
    </xf>
    <xf numFmtId="188" fontId="5" fillId="18" borderId="0" xfId="0" applyNumberFormat="1" applyFont="1" applyFill="1" applyAlignment="1">
      <alignment vertical="top" wrapText="1"/>
    </xf>
    <xf numFmtId="188" fontId="5" fillId="18" borderId="0" xfId="0" applyNumberFormat="1" applyFont="1" applyFill="1" applyAlignment="1">
      <alignment vertical="center" wrapText="1"/>
    </xf>
    <xf numFmtId="188" fontId="7" fillId="18" borderId="0" xfId="3" applyNumberFormat="1" applyFont="1" applyFill="1" applyBorder="1" applyAlignment="1">
      <alignment vertical="center" wrapText="1"/>
    </xf>
    <xf numFmtId="188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188" fontId="6" fillId="32" borderId="2" xfId="3" applyNumberFormat="1" applyFont="1" applyFill="1" applyBorder="1"/>
    <xf numFmtId="188" fontId="7" fillId="32" borderId="2" xfId="3" applyNumberFormat="1" applyFont="1" applyFill="1" applyBorder="1" applyAlignment="1">
      <alignment vertical="top"/>
    </xf>
    <xf numFmtId="188" fontId="7" fillId="32" borderId="2" xfId="3" applyNumberFormat="1" applyFont="1" applyFill="1" applyBorder="1" applyAlignment="1"/>
    <xf numFmtId="0" fontId="42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6" fillId="0" borderId="0" xfId="0" applyFont="1"/>
    <xf numFmtId="0" fontId="57" fillId="0" borderId="0" xfId="0" applyFont="1" applyAlignment="1">
      <alignment horizontal="centerContinuous"/>
    </xf>
    <xf numFmtId="0" fontId="58" fillId="0" borderId="0" xfId="0" applyFont="1"/>
    <xf numFmtId="0" fontId="59" fillId="0" borderId="0" xfId="0" applyFont="1" applyAlignment="1">
      <alignment horizontal="center"/>
    </xf>
    <xf numFmtId="0" fontId="59" fillId="0" borderId="0" xfId="0" applyFont="1"/>
    <xf numFmtId="0" fontId="60" fillId="0" borderId="0" xfId="17" applyFont="1" applyBorder="1"/>
    <xf numFmtId="0" fontId="61" fillId="0" borderId="0" xfId="0" applyFont="1"/>
    <xf numFmtId="49" fontId="11" fillId="0" borderId="0" xfId="0" applyNumberFormat="1" applyFont="1" applyAlignment="1">
      <alignment horizontal="left"/>
    </xf>
    <xf numFmtId="0" fontId="62" fillId="0" borderId="8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9" fillId="33" borderId="0" xfId="0" applyFont="1" applyFill="1"/>
    <xf numFmtId="0" fontId="59" fillId="33" borderId="0" xfId="0" applyFont="1" applyFill="1" applyAlignment="1">
      <alignment horizontal="center"/>
    </xf>
    <xf numFmtId="0" fontId="60" fillId="33" borderId="0" xfId="17" applyFont="1" applyFill="1" applyBorder="1"/>
    <xf numFmtId="0" fontId="63" fillId="33" borderId="0" xfId="17" applyFont="1" applyFill="1" applyBorder="1"/>
    <xf numFmtId="0" fontId="6" fillId="0" borderId="1" xfId="0" applyFont="1" applyBorder="1" applyAlignment="1">
      <alignment vertical="top"/>
    </xf>
    <xf numFmtId="0" fontId="18" fillId="0" borderId="2" xfId="6" applyFont="1" applyBorder="1" applyAlignment="1">
      <alignment vertical="top"/>
    </xf>
    <xf numFmtId="0" fontId="15" fillId="0" borderId="1" xfId="6" applyFont="1" applyBorder="1" applyAlignment="1">
      <alignment vertical="top" wrapText="1"/>
    </xf>
    <xf numFmtId="0" fontId="18" fillId="0" borderId="0" xfId="6" applyFont="1" applyAlignment="1">
      <alignment horizontal="center"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0" fontId="7" fillId="18" borderId="0" xfId="0" applyFont="1" applyFill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43" fontId="7" fillId="15" borderId="45" xfId="3" applyFont="1" applyFill="1" applyBorder="1" applyAlignment="1">
      <alignment horizontal="center" vertical="center" wrapText="1"/>
    </xf>
    <xf numFmtId="0" fontId="7" fillId="15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3" applyNumberFormat="1" applyFont="1" applyFill="1" applyBorder="1" applyAlignment="1"/>
    <xf numFmtId="188" fontId="6" fillId="18" borderId="2" xfId="0" applyNumberFormat="1" applyFont="1" applyFill="1" applyBorder="1"/>
    <xf numFmtId="188" fontId="6" fillId="18" borderId="45" xfId="0" applyNumberFormat="1" applyFont="1" applyFill="1" applyBorder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5" borderId="2" xfId="0" applyFont="1" applyFill="1" applyBorder="1"/>
    <xf numFmtId="0" fontId="7" fillId="0" borderId="0" xfId="0" applyFont="1" applyAlignment="1">
      <alignment horizontal="center" vertical="center"/>
    </xf>
    <xf numFmtId="0" fontId="7" fillId="0" borderId="51" xfId="0" applyFont="1" applyBorder="1" applyAlignment="1">
      <alignment horizontal="center" vertical="center" wrapText="1"/>
    </xf>
    <xf numFmtId="188" fontId="18" fillId="0" borderId="45" xfId="1" applyNumberFormat="1" applyFont="1" applyBorder="1"/>
    <xf numFmtId="2" fontId="6" fillId="16" borderId="36" xfId="3" applyNumberFormat="1" applyFont="1" applyFill="1" applyBorder="1"/>
    <xf numFmtId="0" fontId="6" fillId="30" borderId="0" xfId="0" applyFont="1" applyFill="1" applyAlignment="1">
      <alignment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5" borderId="0" xfId="2" applyNumberFormat="1" applyFont="1" applyFill="1" applyAlignment="1">
      <alignment horizontal="center"/>
    </xf>
    <xf numFmtId="0" fontId="17" fillId="35" borderId="0" xfId="2" applyFont="1" applyFill="1" applyAlignment="1">
      <alignment horizontal="center"/>
    </xf>
    <xf numFmtId="0" fontId="7" fillId="35" borderId="0" xfId="0" applyFont="1" applyFill="1" applyAlignment="1">
      <alignment horizontal="center"/>
    </xf>
    <xf numFmtId="0" fontId="6" fillId="35" borderId="0" xfId="0" applyFont="1" applyFill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7" fillId="18" borderId="45" xfId="0" applyFont="1" applyFill="1" applyBorder="1" applyAlignment="1">
      <alignment horizontal="center" vertical="center" wrapText="1"/>
    </xf>
    <xf numFmtId="0" fontId="6" fillId="36" borderId="0" xfId="11" applyFont="1" applyFill="1" applyAlignment="1">
      <alignment horizontal="center"/>
    </xf>
    <xf numFmtId="0" fontId="6" fillId="36" borderId="0" xfId="11" applyFont="1" applyFill="1"/>
    <xf numFmtId="188" fontId="6" fillId="15" borderId="36" xfId="3" applyNumberFormat="1" applyFont="1" applyFill="1" applyBorder="1"/>
    <xf numFmtId="0" fontId="12" fillId="0" borderId="0" xfId="0" applyFont="1" applyAlignment="1">
      <alignment horizontal="left"/>
    </xf>
    <xf numFmtId="40" fontId="15" fillId="4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5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5" borderId="55" xfId="0" applyFont="1" applyFill="1" applyBorder="1"/>
    <xf numFmtId="0" fontId="12" fillId="15" borderId="53" xfId="0" applyFont="1" applyFill="1" applyBorder="1" applyAlignment="1">
      <alignment horizontal="center"/>
    </xf>
    <xf numFmtId="0" fontId="11" fillId="0" borderId="0" xfId="0" applyFont="1" applyAlignment="1">
      <alignment vertical="center"/>
    </xf>
    <xf numFmtId="0" fontId="7" fillId="15" borderId="45" xfId="0" applyFont="1" applyFill="1" applyBorder="1" applyAlignment="1">
      <alignment vertical="center"/>
    </xf>
    <xf numFmtId="0" fontId="18" fillId="0" borderId="45" xfId="1" applyFont="1" applyBorder="1"/>
    <xf numFmtId="0" fontId="10" fillId="16" borderId="36" xfId="0" applyFont="1" applyFill="1" applyBorder="1" applyAlignment="1">
      <alignment horizontal="center"/>
    </xf>
    <xf numFmtId="0" fontId="10" fillId="15" borderId="57" xfId="0" applyFont="1" applyFill="1" applyBorder="1" applyAlignment="1">
      <alignment horizontal="center"/>
    </xf>
    <xf numFmtId="43" fontId="7" fillId="15" borderId="2" xfId="3" applyFont="1" applyFill="1" applyBorder="1" applyAlignment="1">
      <alignment horizontal="center"/>
    </xf>
    <xf numFmtId="0" fontId="7" fillId="15" borderId="0" xfId="0" applyFont="1" applyFill="1"/>
    <xf numFmtId="0" fontId="6" fillId="0" borderId="2" xfId="0" applyFont="1" applyBorder="1" applyAlignment="1">
      <alignment horizontal="left"/>
    </xf>
    <xf numFmtId="0" fontId="7" fillId="16" borderId="0" xfId="0" applyFont="1" applyFill="1"/>
    <xf numFmtId="0" fontId="15" fillId="0" borderId="45" xfId="0" applyFont="1" applyBorder="1" applyAlignment="1">
      <alignment vertical="top"/>
    </xf>
    <xf numFmtId="188" fontId="15" fillId="15" borderId="45" xfId="0" applyNumberFormat="1" applyFont="1" applyFill="1" applyBorder="1" applyAlignment="1">
      <alignment vertical="top"/>
    </xf>
    <xf numFmtId="0" fontId="15" fillId="0" borderId="45" xfId="0" applyFont="1" applyBorder="1"/>
    <xf numFmtId="0" fontId="10" fillId="15" borderId="35" xfId="0" applyFont="1" applyFill="1" applyBorder="1" applyAlignment="1">
      <alignment horizontal="center"/>
    </xf>
    <xf numFmtId="188" fontId="15" fillId="26" borderId="55" xfId="3" applyNumberFormat="1" applyFont="1" applyFill="1" applyBorder="1" applyAlignment="1"/>
    <xf numFmtId="188" fontId="7" fillId="26" borderId="55" xfId="0" applyNumberFormat="1" applyFont="1" applyFill="1" applyBorder="1"/>
    <xf numFmtId="188" fontId="7" fillId="18" borderId="45" xfId="0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2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8" borderId="0" xfId="0" applyFont="1" applyFill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4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Border="1"/>
    <xf numFmtId="188" fontId="15" fillId="18" borderId="9" xfId="3" applyNumberFormat="1" applyFont="1" applyFill="1" applyBorder="1"/>
    <xf numFmtId="188" fontId="15" fillId="18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7" fillId="16" borderId="35" xfId="1" applyFont="1" applyFill="1" applyBorder="1" applyAlignment="1">
      <alignment horizontal="center"/>
    </xf>
    <xf numFmtId="188" fontId="10" fillId="25" borderId="36" xfId="0" applyNumberFormat="1" applyFont="1" applyFill="1" applyBorder="1"/>
    <xf numFmtId="188" fontId="10" fillId="26" borderId="36" xfId="0" applyNumberFormat="1" applyFont="1" applyFill="1" applyBorder="1"/>
    <xf numFmtId="188" fontId="10" fillId="0" borderId="36" xfId="3" applyNumberFormat="1" applyFont="1" applyBorder="1"/>
    <xf numFmtId="188" fontId="10" fillId="12" borderId="36" xfId="3" applyNumberFormat="1" applyFont="1" applyFill="1" applyBorder="1"/>
    <xf numFmtId="188" fontId="10" fillId="0" borderId="36" xfId="0" applyNumberFormat="1" applyFont="1" applyBorder="1"/>
    <xf numFmtId="188" fontId="10" fillId="23" borderId="36" xfId="3" applyNumberFormat="1" applyFont="1" applyFill="1" applyBorder="1"/>
    <xf numFmtId="188" fontId="10" fillId="18" borderId="36" xfId="3" applyNumberFormat="1" applyFont="1" applyFill="1" applyBorder="1"/>
    <xf numFmtId="188" fontId="15" fillId="18" borderId="4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45" xfId="3" applyNumberFormat="1" applyFont="1" applyFill="1" applyBorder="1" applyAlignment="1">
      <alignment vertical="center"/>
    </xf>
    <xf numFmtId="188" fontId="7" fillId="26" borderId="54" xfId="0" applyNumberFormat="1" applyFont="1" applyFill="1" applyBorder="1" applyAlignment="1">
      <alignment vertical="center"/>
    </xf>
    <xf numFmtId="43" fontId="6" fillId="0" borderId="45" xfId="3" applyFont="1" applyBorder="1"/>
    <xf numFmtId="40" fontId="6" fillId="0" borderId="0" xfId="0" applyNumberFormat="1" applyFont="1"/>
    <xf numFmtId="43" fontId="48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6" borderId="3" xfId="0" applyFont="1" applyFill="1" applyBorder="1"/>
    <xf numFmtId="0" fontId="11" fillId="0" borderId="22" xfId="0" applyFont="1" applyBorder="1" applyAlignment="1">
      <alignment horizontal="center"/>
    </xf>
    <xf numFmtId="0" fontId="47" fillId="31" borderId="0" xfId="0" applyFont="1" applyFill="1" applyAlignment="1">
      <alignment horizontal="center" vertical="center" wrapText="1"/>
    </xf>
    <xf numFmtId="0" fontId="42" fillId="31" borderId="0" xfId="0" applyFont="1" applyFill="1" applyAlignment="1">
      <alignment horizontal="center" vertical="center" wrapText="1"/>
    </xf>
    <xf numFmtId="0" fontId="15" fillId="0" borderId="1" xfId="6" applyFont="1" applyBorder="1" applyAlignment="1">
      <alignment horizontal="left" vertical="top"/>
    </xf>
    <xf numFmtId="0" fontId="15" fillId="0" borderId="1" xfId="0" applyFont="1" applyBorder="1" applyAlignment="1">
      <alignment vertical="top"/>
    </xf>
    <xf numFmtId="0" fontId="15" fillId="0" borderId="48" xfId="6" applyFont="1" applyBorder="1" applyAlignment="1">
      <alignment vertical="top"/>
    </xf>
    <xf numFmtId="0" fontId="15" fillId="0" borderId="48" xfId="6" applyFont="1" applyBorder="1" applyAlignment="1">
      <alignment horizontal="center" vertical="top"/>
    </xf>
    <xf numFmtId="0" fontId="15" fillId="0" borderId="48" xfId="6" applyFont="1" applyBorder="1" applyAlignment="1">
      <alignment horizontal="left" vertical="top"/>
    </xf>
    <xf numFmtId="0" fontId="15" fillId="0" borderId="2" xfId="6" applyFont="1" applyBorder="1" applyAlignment="1">
      <alignment vertical="top"/>
    </xf>
    <xf numFmtId="0" fontId="15" fillId="0" borderId="0" xfId="6" applyFont="1" applyAlignment="1">
      <alignment vertical="top"/>
    </xf>
    <xf numFmtId="0" fontId="15" fillId="0" borderId="0" xfId="6" applyFont="1" applyAlignment="1">
      <alignment horizontal="center" vertical="top"/>
    </xf>
    <xf numFmtId="0" fontId="15" fillId="0" borderId="0" xfId="6" applyFont="1" applyAlignment="1">
      <alignment horizontal="left" vertical="top"/>
    </xf>
    <xf numFmtId="0" fontId="15" fillId="0" borderId="1" xfId="18" applyFont="1" applyBorder="1"/>
    <xf numFmtId="0" fontId="15" fillId="0" borderId="48" xfId="0" applyFont="1" applyBorder="1" applyAlignment="1">
      <alignment horizontal="center" vertical="top"/>
    </xf>
    <xf numFmtId="0" fontId="15" fillId="0" borderId="48" xfId="0" applyFont="1" applyBorder="1" applyAlignment="1">
      <alignment vertical="top"/>
    </xf>
    <xf numFmtId="0" fontId="15" fillId="0" borderId="1" xfId="18" applyFont="1" applyBorder="1" applyAlignment="1">
      <alignment horizontal="center" vertical="top"/>
    </xf>
    <xf numFmtId="0" fontId="15" fillId="0" borderId="1" xfId="18" applyFont="1" applyBorder="1" applyAlignment="1">
      <alignment horizontal="right"/>
    </xf>
    <xf numFmtId="0" fontId="6" fillId="0" borderId="48" xfId="0" applyFont="1" applyBorder="1" applyAlignment="1">
      <alignment vertical="top"/>
    </xf>
    <xf numFmtId="0" fontId="6" fillId="30" borderId="48" xfId="0" applyFont="1" applyFill="1" applyBorder="1" applyAlignment="1">
      <alignment vertical="top"/>
    </xf>
    <xf numFmtId="0" fontId="18" fillId="34" borderId="0" xfId="18" applyFont="1" applyFill="1"/>
    <xf numFmtId="0" fontId="18" fillId="14" borderId="0" xfId="18" applyFont="1" applyFill="1"/>
    <xf numFmtId="0" fontId="6" fillId="14" borderId="0" xfId="0" applyFont="1" applyFill="1" applyAlignment="1">
      <alignment vertical="top"/>
    </xf>
    <xf numFmtId="0" fontId="48" fillId="0" borderId="0" xfId="0" applyFont="1" applyAlignment="1">
      <alignment horizontal="center"/>
    </xf>
    <xf numFmtId="0" fontId="25" fillId="0" borderId="0" xfId="0" applyFont="1"/>
    <xf numFmtId="0" fontId="62" fillId="0" borderId="0" xfId="0" applyFont="1" applyAlignment="1">
      <alignment horizontal="center" vertical="center"/>
    </xf>
    <xf numFmtId="188" fontId="12" fillId="0" borderId="0" xfId="3" applyNumberFormat="1" applyFont="1" applyFill="1" applyBorder="1" applyAlignment="1">
      <alignment horizontal="right"/>
    </xf>
    <xf numFmtId="188" fontId="7" fillId="0" borderId="35" xfId="0" applyNumberFormat="1" applyFont="1" applyBorder="1"/>
    <xf numFmtId="0" fontId="67" fillId="0" borderId="0" xfId="0" applyFont="1" applyAlignment="1">
      <alignment horizontal="center"/>
    </xf>
    <xf numFmtId="188" fontId="6" fillId="28" borderId="58" xfId="3" applyNumberFormat="1" applyFont="1" applyFill="1" applyBorder="1" applyAlignment="1">
      <alignment horizontal="right"/>
    </xf>
    <xf numFmtId="188" fontId="6" fillId="28" borderId="59" xfId="3" applyNumberFormat="1" applyFont="1" applyFill="1" applyBorder="1" applyAlignment="1">
      <alignment horizontal="right"/>
    </xf>
    <xf numFmtId="188" fontId="6" fillId="28" borderId="60" xfId="3" applyNumberFormat="1" applyFont="1" applyFill="1" applyBorder="1" applyAlignment="1">
      <alignment horizontal="right"/>
    </xf>
    <xf numFmtId="0" fontId="68" fillId="0" borderId="0" xfId="0" applyFont="1"/>
    <xf numFmtId="188" fontId="6" fillId="0" borderId="0" xfId="0" applyNumberFormat="1" applyFont="1" applyAlignment="1">
      <alignment horizontal="right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3" fillId="0" borderId="0" xfId="0" applyFont="1"/>
    <xf numFmtId="0" fontId="6" fillId="0" borderId="45" xfId="0" applyFont="1" applyBorder="1" applyAlignment="1">
      <alignment horizontal="left" vertical="top" wrapText="1" indent="1"/>
    </xf>
    <xf numFmtId="43" fontId="7" fillId="18" borderId="0" xfId="3" applyFont="1" applyFill="1" applyBorder="1" applyAlignment="1">
      <alignment horizontal="center" vertical="center"/>
    </xf>
    <xf numFmtId="0" fontId="6" fillId="0" borderId="45" xfId="0" applyFont="1" applyBorder="1" applyAlignment="1">
      <alignment horizontal="left" indent="1"/>
    </xf>
    <xf numFmtId="0" fontId="6" fillId="0" borderId="2" xfId="0" applyFont="1" applyBorder="1" applyAlignment="1">
      <alignment vertical="top"/>
    </xf>
    <xf numFmtId="49" fontId="15" fillId="0" borderId="1" xfId="6" applyNumberFormat="1" applyFont="1" applyBorder="1" applyAlignment="1">
      <alignment vertical="center"/>
    </xf>
    <xf numFmtId="49" fontId="15" fillId="0" borderId="1" xfId="0" applyNumberFormat="1" applyFont="1" applyBorder="1" applyAlignment="1">
      <alignment vertical="center"/>
    </xf>
    <xf numFmtId="49" fontId="15" fillId="0" borderId="48" xfId="6" applyNumberFormat="1" applyFont="1" applyBorder="1" applyAlignment="1">
      <alignment vertical="center"/>
    </xf>
    <xf numFmtId="49" fontId="15" fillId="0" borderId="0" xfId="6" applyNumberFormat="1" applyFont="1" applyAlignment="1">
      <alignment vertical="center"/>
    </xf>
    <xf numFmtId="49" fontId="15" fillId="0" borderId="2" xfId="6" applyNumberFormat="1" applyFont="1" applyBorder="1" applyAlignment="1">
      <alignment vertical="center"/>
    </xf>
    <xf numFmtId="0" fontId="18" fillId="0" borderId="0" xfId="18" applyFont="1" applyAlignment="1">
      <alignment horizontal="center"/>
    </xf>
    <xf numFmtId="0" fontId="6" fillId="0" borderId="48" xfId="0" applyFont="1" applyBorder="1" applyAlignment="1">
      <alignment horizontal="center" vertical="top"/>
    </xf>
    <xf numFmtId="0" fontId="7" fillId="0" borderId="55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" fillId="19" borderId="31" xfId="0" applyFont="1" applyFill="1" applyBorder="1" applyAlignment="1">
      <alignment horizontal="center" vertical="top"/>
    </xf>
    <xf numFmtId="0" fontId="30" fillId="19" borderId="31" xfId="0" applyFont="1" applyFill="1" applyBorder="1" applyAlignment="1">
      <alignment horizontal="left" vertical="top" readingOrder="1"/>
    </xf>
    <xf numFmtId="0" fontId="31" fillId="19" borderId="31" xfId="0" applyFont="1" applyFill="1" applyBorder="1" applyAlignment="1">
      <alignment horizontal="left" vertical="top" readingOrder="1"/>
    </xf>
    <xf numFmtId="0" fontId="4" fillId="19" borderId="32" xfId="0" applyFont="1" applyFill="1" applyBorder="1" applyAlignment="1">
      <alignment horizontal="center" vertical="top"/>
    </xf>
    <xf numFmtId="0" fontId="30" fillId="19" borderId="32" xfId="0" applyFont="1" applyFill="1" applyBorder="1" applyAlignment="1">
      <alignment horizontal="left" vertical="top" readingOrder="1"/>
    </xf>
    <xf numFmtId="0" fontId="32" fillId="20" borderId="33" xfId="0" applyFont="1" applyFill="1" applyBorder="1" applyAlignment="1">
      <alignment horizontal="center" vertical="top" readingOrder="1"/>
    </xf>
    <xf numFmtId="0" fontId="32" fillId="21" borderId="34" xfId="0" applyFont="1" applyFill="1" applyBorder="1" applyAlignment="1">
      <alignment horizontal="center" vertical="top" readingOrder="1"/>
    </xf>
    <xf numFmtId="0" fontId="28" fillId="21" borderId="34" xfId="0" applyFont="1" applyFill="1" applyBorder="1" applyAlignment="1">
      <alignment horizontal="center" vertical="top" readingOrder="1"/>
    </xf>
    <xf numFmtId="0" fontId="32" fillId="20" borderId="30" xfId="0" applyFont="1" applyFill="1" applyBorder="1" applyAlignment="1">
      <alignment horizontal="center" vertical="top" readingOrder="1"/>
    </xf>
    <xf numFmtId="0" fontId="32" fillId="21" borderId="30" xfId="0" applyFont="1" applyFill="1" applyBorder="1" applyAlignment="1">
      <alignment horizontal="center" vertical="top" readingOrder="1"/>
    </xf>
    <xf numFmtId="0" fontId="28" fillId="21" borderId="30" xfId="0" applyFont="1" applyFill="1" applyBorder="1" applyAlignment="1">
      <alignment horizontal="center" vertical="top" readingOrder="1"/>
    </xf>
    <xf numFmtId="0" fontId="32" fillId="20" borderId="34" xfId="0" applyFont="1" applyFill="1" applyBorder="1" applyAlignment="1">
      <alignment horizontal="center" vertical="top" readingOrder="1"/>
    </xf>
    <xf numFmtId="0" fontId="28" fillId="20" borderId="34" xfId="0" applyFont="1" applyFill="1" applyBorder="1" applyAlignment="1">
      <alignment horizontal="center" vertical="top" readingOrder="1"/>
    </xf>
    <xf numFmtId="0" fontId="28" fillId="20" borderId="30" xfId="0" applyFont="1" applyFill="1" applyBorder="1" applyAlignment="1">
      <alignment horizontal="center" vertical="top" readingOrder="1"/>
    </xf>
    <xf numFmtId="0" fontId="15" fillId="17" borderId="0" xfId="0" applyFont="1" applyFill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readingOrder="1"/>
    </xf>
    <xf numFmtId="40" fontId="15" fillId="0" borderId="0" xfId="0" applyNumberFormat="1" applyFont="1" applyAlignment="1">
      <alignment horizontal="center" vertical="top" readingOrder="1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11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3" fillId="0" borderId="0" xfId="17" applyFont="1" applyFill="1" applyBorder="1"/>
    <xf numFmtId="0" fontId="6" fillId="4" borderId="0" xfId="0" applyFont="1" applyFill="1" applyAlignment="1">
      <alignment horizontal="center" vertical="top"/>
    </xf>
    <xf numFmtId="0" fontId="15" fillId="4" borderId="48" xfId="0" applyFont="1" applyFill="1" applyBorder="1" applyAlignment="1">
      <alignment vertical="top"/>
    </xf>
    <xf numFmtId="0" fontId="15" fillId="23" borderId="48" xfId="6" applyFont="1" applyFill="1" applyBorder="1" applyAlignment="1">
      <alignment vertical="top"/>
    </xf>
    <xf numFmtId="49" fontId="15" fillId="0" borderId="1" xfId="6" applyNumberFormat="1" applyFont="1" applyBorder="1" applyAlignment="1">
      <alignment horizontal="center" vertical="top"/>
    </xf>
    <xf numFmtId="49" fontId="15" fillId="0" borderId="1" xfId="18" applyNumberFormat="1" applyFont="1" applyBorder="1" applyAlignment="1">
      <alignment horizontal="center" vertical="top"/>
    </xf>
    <xf numFmtId="49" fontId="15" fillId="0" borderId="48" xfId="6" applyNumberFormat="1" applyFont="1" applyBorder="1" applyAlignment="1">
      <alignment horizontal="center" vertical="top"/>
    </xf>
    <xf numFmtId="49" fontId="15" fillId="0" borderId="48" xfId="0" applyNumberFormat="1" applyFont="1" applyBorder="1" applyAlignment="1">
      <alignment horizontal="center" vertical="top"/>
    </xf>
    <xf numFmtId="49" fontId="15" fillId="0" borderId="0" xfId="6" applyNumberFormat="1" applyFont="1" applyAlignment="1">
      <alignment horizontal="center" vertical="top"/>
    </xf>
    <xf numFmtId="49" fontId="15" fillId="0" borderId="1" xfId="18" applyNumberFormat="1" applyFont="1" applyBorder="1" applyAlignment="1">
      <alignment vertical="center"/>
    </xf>
    <xf numFmtId="49" fontId="15" fillId="0" borderId="48" xfId="0" applyNumberFormat="1" applyFont="1" applyBorder="1" applyAlignment="1">
      <alignment vertical="center"/>
    </xf>
    <xf numFmtId="0" fontId="70" fillId="0" borderId="0" xfId="0" applyFont="1"/>
    <xf numFmtId="0" fontId="6" fillId="4" borderId="0" xfId="11" applyFont="1" applyFill="1" applyAlignment="1">
      <alignment horizontal="center"/>
    </xf>
    <xf numFmtId="0" fontId="12" fillId="4" borderId="0" xfId="0" applyFont="1" applyFill="1" applyAlignment="1">
      <alignment horizontal="left"/>
    </xf>
    <xf numFmtId="188" fontId="6" fillId="0" borderId="45" xfId="3" applyNumberFormat="1" applyFont="1" applyBorder="1" applyAlignment="1">
      <alignment vertical="top"/>
    </xf>
    <xf numFmtId="188" fontId="6" fillId="0" borderId="45" xfId="0" applyNumberFormat="1" applyFont="1" applyBorder="1" applyAlignment="1">
      <alignment vertical="top"/>
    </xf>
    <xf numFmtId="188" fontId="6" fillId="0" borderId="45" xfId="3" applyNumberFormat="1" applyFont="1" applyFill="1" applyBorder="1" applyAlignment="1">
      <alignment vertical="top"/>
    </xf>
    <xf numFmtId="0" fontId="12" fillId="0" borderId="45" xfId="0" applyFont="1" applyBorder="1" applyAlignment="1">
      <alignment vertical="top" wrapText="1"/>
    </xf>
    <xf numFmtId="0" fontId="6" fillId="4" borderId="45" xfId="0" applyFont="1" applyFill="1" applyBorder="1" applyAlignment="1">
      <alignment vertical="top"/>
    </xf>
    <xf numFmtId="0" fontId="6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vertical="center"/>
    </xf>
    <xf numFmtId="0" fontId="6" fillId="0" borderId="45" xfId="0" applyFont="1" applyBorder="1" applyAlignment="1">
      <alignment horizontal="center"/>
    </xf>
    <xf numFmtId="0" fontId="15" fillId="0" borderId="45" xfId="0" applyFont="1" applyBorder="1" applyAlignment="1">
      <alignment vertical="center" wrapText="1"/>
    </xf>
    <xf numFmtId="0" fontId="15" fillId="0" borderId="45" xfId="19" applyFont="1" applyBorder="1"/>
    <xf numFmtId="43" fontId="6" fillId="0" borderId="45" xfId="3" applyFont="1" applyBorder="1" applyAlignment="1">
      <alignment horizontal="left"/>
    </xf>
    <xf numFmtId="0" fontId="7" fillId="0" borderId="61" xfId="0" applyFont="1" applyBorder="1"/>
    <xf numFmtId="43" fontId="7" fillId="0" borderId="62" xfId="0" applyNumberFormat="1" applyFont="1" applyBorder="1"/>
    <xf numFmtId="0" fontId="7" fillId="0" borderId="62" xfId="0" applyFont="1" applyBorder="1" applyAlignment="1">
      <alignment horizontal="center"/>
    </xf>
    <xf numFmtId="43" fontId="7" fillId="0" borderId="63" xfId="3" applyFont="1" applyBorder="1"/>
    <xf numFmtId="0" fontId="7" fillId="35" borderId="45" xfId="0" applyFont="1" applyFill="1" applyBorder="1" applyAlignment="1">
      <alignment horizontal="center" vertical="center"/>
    </xf>
    <xf numFmtId="0" fontId="7" fillId="35" borderId="4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3" fontId="7" fillId="35" borderId="45" xfId="3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45" xfId="3" applyFont="1" applyBorder="1" applyAlignment="1">
      <alignment horizontal="center"/>
    </xf>
    <xf numFmtId="43" fontId="6" fillId="0" borderId="45" xfId="3" applyFont="1" applyFill="1" applyBorder="1"/>
    <xf numFmtId="43" fontId="7" fillId="0" borderId="55" xfId="0" applyNumberFormat="1" applyFont="1" applyBorder="1" applyAlignment="1">
      <alignment horizontal="center" vertical="center"/>
    </xf>
    <xf numFmtId="43" fontId="7" fillId="0" borderId="55" xfId="3" applyFont="1" applyBorder="1" applyAlignment="1">
      <alignment horizontal="center" vertical="center"/>
    </xf>
    <xf numFmtId="43" fontId="7" fillId="0" borderId="45" xfId="3" applyFont="1" applyBorder="1" applyAlignment="1">
      <alignment horizontal="center"/>
    </xf>
    <xf numFmtId="43" fontId="7" fillId="0" borderId="45" xfId="0" applyNumberFormat="1" applyFont="1" applyBorder="1"/>
    <xf numFmtId="43" fontId="7" fillId="0" borderId="45" xfId="3" applyFont="1" applyBorder="1"/>
    <xf numFmtId="43" fontId="0" fillId="0" borderId="0" xfId="3" applyFont="1"/>
    <xf numFmtId="188" fontId="6" fillId="28" borderId="0" xfId="3" applyNumberFormat="1" applyFont="1" applyFill="1" applyBorder="1" applyAlignment="1">
      <alignment horizontal="right"/>
    </xf>
    <xf numFmtId="188" fontId="15" fillId="15" borderId="0" xfId="0" applyNumberFormat="1" applyFont="1" applyFill="1" applyAlignment="1">
      <alignment vertical="top"/>
    </xf>
    <xf numFmtId="188" fontId="10" fillId="15" borderId="0" xfId="0" applyNumberFormat="1" applyFont="1" applyFill="1"/>
    <xf numFmtId="188" fontId="18" fillId="0" borderId="0" xfId="1" applyNumberFormat="1" applyFont="1"/>
    <xf numFmtId="188" fontId="6" fillId="16" borderId="0" xfId="3" applyNumberFormat="1" applyFont="1" applyFill="1" applyBorder="1"/>
    <xf numFmtId="188" fontId="6" fillId="15" borderId="0" xfId="0" applyNumberFormat="1" applyFont="1" applyFill="1" applyAlignment="1">
      <alignment vertical="center"/>
    </xf>
    <xf numFmtId="188" fontId="6" fillId="15" borderId="0" xfId="3" applyNumberFormat="1" applyFont="1" applyFill="1" applyBorder="1"/>
    <xf numFmtId="0" fontId="11" fillId="31" borderId="45" xfId="0" applyFont="1" applyFill="1" applyBorder="1" applyAlignment="1">
      <alignment horizontal="center" vertical="center" wrapText="1"/>
    </xf>
    <xf numFmtId="188" fontId="6" fillId="28" borderId="0" xfId="0" applyNumberFormat="1" applyFont="1" applyFill="1"/>
    <xf numFmtId="0" fontId="6" fillId="0" borderId="0" xfId="20" applyFont="1"/>
    <xf numFmtId="0" fontId="7" fillId="0" borderId="65" xfId="20" applyFont="1" applyBorder="1" applyAlignment="1">
      <alignment horizontal="center"/>
    </xf>
    <xf numFmtId="0" fontId="7" fillId="0" borderId="66" xfId="20" applyFont="1" applyBorder="1" applyAlignment="1">
      <alignment horizontal="centerContinuous"/>
    </xf>
    <xf numFmtId="0" fontId="7" fillId="0" borderId="38" xfId="20" applyFont="1" applyBorder="1" applyAlignment="1">
      <alignment horizontal="center" vertical="center"/>
    </xf>
    <xf numFmtId="0" fontId="7" fillId="0" borderId="38" xfId="20" applyFont="1" applyBorder="1" applyAlignment="1">
      <alignment horizontal="center" vertical="center" wrapText="1"/>
    </xf>
    <xf numFmtId="0" fontId="7" fillId="0" borderId="65" xfId="21" applyNumberFormat="1" applyFont="1" applyFill="1" applyBorder="1" applyAlignment="1">
      <alignment horizontal="center" vertical="center" wrapText="1"/>
    </xf>
    <xf numFmtId="0" fontId="7" fillId="0" borderId="65" xfId="21" applyNumberFormat="1" applyFont="1" applyFill="1" applyBorder="1" applyAlignment="1">
      <alignment horizontal="center" vertical="center"/>
    </xf>
    <xf numFmtId="0" fontId="7" fillId="0" borderId="67" xfId="20" applyFont="1" applyBorder="1"/>
    <xf numFmtId="0" fontId="6" fillId="0" borderId="68" xfId="20" applyFont="1" applyBorder="1"/>
    <xf numFmtId="188" fontId="6" fillId="0" borderId="66" xfId="20" applyNumberFormat="1" applyFont="1" applyBorder="1" applyAlignment="1">
      <alignment vertical="center"/>
    </xf>
    <xf numFmtId="188" fontId="6" fillId="0" borderId="66" xfId="21" applyNumberFormat="1" applyFont="1" applyFill="1" applyBorder="1" applyAlignment="1">
      <alignment vertical="center"/>
    </xf>
    <xf numFmtId="0" fontId="6" fillId="0" borderId="7" xfId="20" applyFont="1" applyBorder="1"/>
    <xf numFmtId="188" fontId="6" fillId="0" borderId="38" xfId="20" applyNumberFormat="1" applyFont="1" applyBorder="1" applyAlignment="1">
      <alignment vertical="center"/>
    </xf>
    <xf numFmtId="188" fontId="6" fillId="0" borderId="38" xfId="21" applyNumberFormat="1" applyFont="1" applyFill="1" applyBorder="1" applyAlignment="1">
      <alignment vertical="center"/>
    </xf>
    <xf numFmtId="188" fontId="6" fillId="0" borderId="38" xfId="22" applyNumberFormat="1" applyFont="1" applyFill="1" applyBorder="1" applyAlignment="1">
      <alignment vertical="center"/>
    </xf>
    <xf numFmtId="0" fontId="6" fillId="0" borderId="0" xfId="20" applyFont="1" applyAlignment="1">
      <alignment horizontal="left" vertical="top"/>
    </xf>
    <xf numFmtId="0" fontId="7" fillId="37" borderId="69" xfId="20" applyFont="1" applyFill="1" applyBorder="1"/>
    <xf numFmtId="0" fontId="7" fillId="37" borderId="70" xfId="20" applyFont="1" applyFill="1" applyBorder="1" applyAlignment="1">
      <alignment horizontal="right"/>
    </xf>
    <xf numFmtId="188" fontId="7" fillId="37" borderId="65" xfId="20" applyNumberFormat="1" applyFont="1" applyFill="1" applyBorder="1" applyAlignment="1">
      <alignment vertical="center"/>
    </xf>
    <xf numFmtId="188" fontId="7" fillId="37" borderId="65" xfId="21" applyNumberFormat="1" applyFont="1" applyFill="1" applyBorder="1" applyAlignment="1">
      <alignment vertical="center"/>
    </xf>
    <xf numFmtId="188" fontId="7" fillId="37" borderId="65" xfId="22" applyNumberFormat="1" applyFont="1" applyFill="1" applyBorder="1" applyAlignment="1">
      <alignment vertical="center"/>
    </xf>
    <xf numFmtId="0" fontId="15" fillId="0" borderId="0" xfId="20" applyFont="1"/>
    <xf numFmtId="0" fontId="7" fillId="37" borderId="69" xfId="20" applyFont="1" applyFill="1" applyBorder="1" applyAlignment="1">
      <alignment horizontal="right"/>
    </xf>
    <xf numFmtId="0" fontId="7" fillId="37" borderId="71" xfId="20" applyFont="1" applyFill="1" applyBorder="1" applyAlignment="1">
      <alignment horizontal="right"/>
    </xf>
    <xf numFmtId="0" fontId="7" fillId="38" borderId="69" xfId="20" applyFont="1" applyFill="1" applyBorder="1" applyAlignment="1">
      <alignment horizontal="right"/>
    </xf>
    <xf numFmtId="0" fontId="7" fillId="38" borderId="71" xfId="20" applyFont="1" applyFill="1" applyBorder="1" applyAlignment="1">
      <alignment horizontal="right"/>
    </xf>
    <xf numFmtId="188" fontId="7" fillId="38" borderId="65" xfId="20" applyNumberFormat="1" applyFont="1" applyFill="1" applyBorder="1" applyAlignment="1">
      <alignment vertical="center"/>
    </xf>
    <xf numFmtId="188" fontId="7" fillId="38" borderId="65" xfId="21" applyNumberFormat="1" applyFont="1" applyFill="1" applyBorder="1" applyAlignment="1">
      <alignment vertical="center"/>
    </xf>
    <xf numFmtId="0" fontId="7" fillId="0" borderId="69" xfId="20" applyFont="1" applyBorder="1" applyAlignment="1">
      <alignment horizontal="right"/>
    </xf>
    <xf numFmtId="0" fontId="7" fillId="0" borderId="71" xfId="20" applyFont="1" applyBorder="1" applyAlignment="1">
      <alignment horizontal="right"/>
    </xf>
    <xf numFmtId="188" fontId="7" fillId="0" borderId="65" xfId="20" applyNumberFormat="1" applyFont="1" applyBorder="1" applyAlignment="1">
      <alignment vertical="center"/>
    </xf>
    <xf numFmtId="188" fontId="7" fillId="0" borderId="65" xfId="21" applyNumberFormat="1" applyFont="1" applyFill="1" applyBorder="1" applyAlignment="1">
      <alignment vertical="center"/>
    </xf>
    <xf numFmtId="187" fontId="6" fillId="0" borderId="0" xfId="21" applyFont="1" applyFill="1"/>
    <xf numFmtId="0" fontId="6" fillId="0" borderId="0" xfId="20" applyFont="1" applyAlignment="1">
      <alignment horizontal="center"/>
    </xf>
    <xf numFmtId="0" fontId="6" fillId="0" borderId="0" xfId="20" applyFont="1" applyAlignment="1">
      <alignment horizontal="centerContinuous"/>
    </xf>
    <xf numFmtId="187" fontId="6" fillId="0" borderId="0" xfId="21" applyFont="1" applyFill="1" applyAlignment="1">
      <alignment horizontal="centerContinuous"/>
    </xf>
    <xf numFmtId="0" fontId="6" fillId="0" borderId="0" xfId="20" applyFont="1" applyAlignment="1">
      <alignment horizontal="left"/>
    </xf>
    <xf numFmtId="0" fontId="7" fillId="35" borderId="65" xfId="0" applyFont="1" applyFill="1" applyBorder="1" applyAlignment="1">
      <alignment horizontal="center" vertical="center"/>
    </xf>
    <xf numFmtId="0" fontId="7" fillId="35" borderId="65" xfId="20" applyFont="1" applyFill="1" applyBorder="1" applyAlignment="1">
      <alignment horizontal="center"/>
    </xf>
    <xf numFmtId="0" fontId="7" fillId="35" borderId="65" xfId="0" applyFont="1" applyFill="1" applyBorder="1" applyAlignment="1">
      <alignment horizontal="center"/>
    </xf>
    <xf numFmtId="0" fontId="7" fillId="35" borderId="65" xfId="20" applyFont="1" applyFill="1" applyBorder="1" applyAlignment="1">
      <alignment horizontal="center" vertical="center"/>
    </xf>
    <xf numFmtId="0" fontId="7" fillId="35" borderId="65" xfId="14" applyNumberFormat="1" applyFont="1" applyFill="1" applyBorder="1" applyAlignment="1">
      <alignment horizontal="center" vertical="center"/>
    </xf>
    <xf numFmtId="0" fontId="6" fillId="0" borderId="65" xfId="0" applyFont="1" applyBorder="1"/>
    <xf numFmtId="0" fontId="6" fillId="0" borderId="65" xfId="0" applyFont="1" applyBorder="1" applyAlignment="1">
      <alignment horizontal="center"/>
    </xf>
    <xf numFmtId="188" fontId="6" fillId="0" borderId="65" xfId="3" applyNumberFormat="1" applyFont="1" applyFill="1" applyBorder="1" applyAlignment="1">
      <alignment horizontal="right"/>
    </xf>
    <xf numFmtId="188" fontId="6" fillId="0" borderId="65" xfId="0" applyNumberFormat="1" applyFont="1" applyBorder="1" applyAlignment="1">
      <alignment horizontal="right"/>
    </xf>
    <xf numFmtId="188" fontId="7" fillId="15" borderId="65" xfId="0" applyNumberFormat="1" applyFont="1" applyFill="1" applyBorder="1" applyAlignment="1">
      <alignment horizontal="right"/>
    </xf>
    <xf numFmtId="188" fontId="6" fillId="15" borderId="65" xfId="3" applyNumberFormat="1" applyFont="1" applyFill="1" applyBorder="1" applyAlignment="1">
      <alignment horizontal="right"/>
    </xf>
    <xf numFmtId="188" fontId="6" fillId="0" borderId="65" xfId="3" applyNumberFormat="1" applyFont="1" applyBorder="1" applyAlignment="1">
      <alignment horizontal="right"/>
    </xf>
    <xf numFmtId="0" fontId="15" fillId="0" borderId="65" xfId="0" applyFont="1" applyBorder="1"/>
    <xf numFmtId="0" fontId="6" fillId="4" borderId="65" xfId="0" applyFont="1" applyFill="1" applyBorder="1"/>
    <xf numFmtId="0" fontId="6" fillId="0" borderId="65" xfId="0" applyFont="1" applyBorder="1" applyAlignment="1">
      <alignment horizontal="right"/>
    </xf>
    <xf numFmtId="0" fontId="6" fillId="0" borderId="65" xfId="0" applyFont="1" applyBorder="1" applyAlignment="1">
      <alignment horizontal="left"/>
    </xf>
    <xf numFmtId="0" fontId="70" fillId="4" borderId="65" xfId="0" applyFont="1" applyFill="1" applyBorder="1"/>
    <xf numFmtId="188" fontId="7" fillId="16" borderId="65" xfId="0" applyNumberFormat="1" applyFont="1" applyFill="1" applyBorder="1" applyAlignment="1">
      <alignment horizontal="right"/>
    </xf>
    <xf numFmtId="188" fontId="6" fillId="16" borderId="65" xfId="0" applyNumberFormat="1" applyFont="1" applyFill="1" applyBorder="1" applyAlignment="1">
      <alignment horizontal="right"/>
    </xf>
    <xf numFmtId="0" fontId="7" fillId="15" borderId="65" xfId="0" applyFont="1" applyFill="1" applyBorder="1" applyAlignment="1">
      <alignment horizontal="center"/>
    </xf>
    <xf numFmtId="0" fontId="7" fillId="15" borderId="65" xfId="0" applyFont="1" applyFill="1" applyBorder="1" applyAlignment="1">
      <alignment horizontal="right"/>
    </xf>
    <xf numFmtId="0" fontId="7" fillId="15" borderId="69" xfId="0" applyFont="1" applyFill="1" applyBorder="1"/>
    <xf numFmtId="0" fontId="7" fillId="15" borderId="71" xfId="0" applyFont="1" applyFill="1" applyBorder="1"/>
    <xf numFmtId="188" fontId="6" fillId="0" borderId="0" xfId="3" applyNumberFormat="1" applyFont="1" applyAlignment="1">
      <alignment horizontal="left"/>
    </xf>
    <xf numFmtId="188" fontId="6" fillId="0" borderId="0" xfId="0" applyNumberFormat="1" applyFont="1" applyAlignment="1">
      <alignment horizontal="left"/>
    </xf>
    <xf numFmtId="0" fontId="6" fillId="0" borderId="0" xfId="0" applyFont="1" applyAlignment="1">
      <alignment horizontal="centerContinuous"/>
    </xf>
    <xf numFmtId="187" fontId="6" fillId="0" borderId="0" xfId="14" applyFont="1" applyFill="1" applyAlignment="1">
      <alignment horizontal="centerContinuous"/>
    </xf>
    <xf numFmtId="187" fontId="6" fillId="0" borderId="0" xfId="14" applyFont="1" applyFill="1"/>
    <xf numFmtId="0" fontId="7" fillId="16" borderId="65" xfId="0" applyFont="1" applyFill="1" applyBorder="1" applyAlignment="1">
      <alignment horizontal="left" vertical="center" wrapText="1"/>
    </xf>
    <xf numFmtId="188" fontId="6" fillId="0" borderId="65" xfId="0" applyNumberFormat="1" applyFont="1" applyBorder="1" applyAlignment="1">
      <alignment horizontal="left"/>
    </xf>
    <xf numFmtId="188" fontId="7" fillId="15" borderId="65" xfId="0" applyNumberFormat="1" applyFont="1" applyFill="1" applyBorder="1" applyAlignment="1">
      <alignment horizontal="left"/>
    </xf>
    <xf numFmtId="188" fontId="6" fillId="0" borderId="65" xfId="3" applyNumberFormat="1" applyFont="1" applyBorder="1" applyAlignment="1">
      <alignment horizontal="left"/>
    </xf>
    <xf numFmtId="188" fontId="6" fillId="16" borderId="65" xfId="0" applyNumberFormat="1" applyFont="1" applyFill="1" applyBorder="1" applyAlignment="1">
      <alignment horizontal="left"/>
    </xf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9" borderId="31" xfId="0" applyFont="1" applyFill="1" applyBorder="1" applyAlignment="1">
      <alignment horizontal="center" vertical="top" readingOrder="1"/>
    </xf>
    <xf numFmtId="0" fontId="30" fillId="19" borderId="32" xfId="0" applyFont="1" applyFill="1" applyBorder="1" applyAlignment="1">
      <alignment horizontal="center" vertical="top" readingOrder="1"/>
    </xf>
    <xf numFmtId="0" fontId="15" fillId="0" borderId="0" xfId="0" applyFont="1" applyAlignment="1">
      <alignment horizontal="center" vertical="top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Alignment="1">
      <alignment horizontal="left" vertical="center"/>
    </xf>
    <xf numFmtId="0" fontId="39" fillId="7" borderId="8" xfId="0" applyFont="1" applyFill="1" applyBorder="1" applyAlignment="1">
      <alignment horizontal="center" vertical="center" wrapText="1"/>
    </xf>
    <xf numFmtId="0" fontId="39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2" borderId="9" xfId="0" applyFont="1" applyFill="1" applyBorder="1" applyAlignment="1">
      <alignment horizontal="center" vertical="center" wrapText="1"/>
    </xf>
    <xf numFmtId="0" fontId="7" fillId="32" borderId="38" xfId="0" applyFont="1" applyFill="1" applyBorder="1" applyAlignment="1">
      <alignment horizontal="center" vertical="center" wrapText="1"/>
    </xf>
    <xf numFmtId="0" fontId="7" fillId="32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53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15" borderId="2" xfId="0" applyFont="1" applyFill="1" applyBorder="1" applyAlignment="1">
      <alignment horizontal="center"/>
    </xf>
    <xf numFmtId="43" fontId="7" fillId="35" borderId="46" xfId="3" applyFont="1" applyFill="1" applyBorder="1" applyAlignment="1">
      <alignment horizontal="center" vertical="center"/>
    </xf>
    <xf numFmtId="43" fontId="7" fillId="35" borderId="10" xfId="3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43" fontId="7" fillId="0" borderId="54" xfId="0" applyNumberFormat="1" applyFont="1" applyBorder="1" applyAlignment="1">
      <alignment horizontal="center"/>
    </xf>
    <xf numFmtId="43" fontId="7" fillId="0" borderId="55" xfId="0" applyNumberFormat="1" applyFont="1" applyBorder="1" applyAlignment="1">
      <alignment horizontal="center"/>
    </xf>
    <xf numFmtId="43" fontId="7" fillId="0" borderId="53" xfId="3" applyFont="1" applyBorder="1" applyAlignment="1">
      <alignment horizontal="center"/>
    </xf>
    <xf numFmtId="43" fontId="7" fillId="0" borderId="54" xfId="3" applyFont="1" applyBorder="1" applyAlignment="1">
      <alignment horizontal="center"/>
    </xf>
    <xf numFmtId="43" fontId="7" fillId="0" borderId="55" xfId="3" applyFont="1" applyBorder="1" applyAlignment="1">
      <alignment horizontal="center"/>
    </xf>
    <xf numFmtId="0" fontId="7" fillId="35" borderId="45" xfId="0" applyFont="1" applyFill="1" applyBorder="1" applyAlignment="1">
      <alignment horizontal="center" vertical="center"/>
    </xf>
    <xf numFmtId="0" fontId="7" fillId="35" borderId="45" xfId="0" applyFont="1" applyFill="1" applyBorder="1" applyAlignment="1">
      <alignment horizontal="center" vertical="center" wrapText="1"/>
    </xf>
    <xf numFmtId="0" fontId="7" fillId="35" borderId="46" xfId="0" applyFont="1" applyFill="1" applyBorder="1" applyAlignment="1">
      <alignment horizontal="center" vertical="center" wrapText="1"/>
    </xf>
    <xf numFmtId="0" fontId="7" fillId="35" borderId="10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65" xfId="0" applyFont="1" applyBorder="1" applyAlignment="1">
      <alignment horizontal="right"/>
    </xf>
    <xf numFmtId="0" fontId="7" fillId="16" borderId="69" xfId="0" applyFont="1" applyFill="1" applyBorder="1" applyAlignment="1">
      <alignment horizontal="left" vertical="center" wrapText="1"/>
    </xf>
    <xf numFmtId="0" fontId="7" fillId="16" borderId="70" xfId="0" applyFont="1" applyFill="1" applyBorder="1" applyAlignment="1">
      <alignment horizontal="left" vertical="center" wrapText="1"/>
    </xf>
    <xf numFmtId="0" fontId="7" fillId="16" borderId="71" xfId="0" applyFont="1" applyFill="1" applyBorder="1" applyAlignment="1">
      <alignment horizontal="left" vertical="center" wrapText="1"/>
    </xf>
    <xf numFmtId="0" fontId="7" fillId="35" borderId="69" xfId="0" applyFont="1" applyFill="1" applyBorder="1" applyAlignment="1">
      <alignment horizontal="center"/>
    </xf>
    <xf numFmtId="0" fontId="7" fillId="35" borderId="7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15" borderId="65" xfId="0" applyFont="1" applyFill="1" applyBorder="1" applyAlignment="1">
      <alignment horizontal="center"/>
    </xf>
    <xf numFmtId="188" fontId="7" fillId="16" borderId="65" xfId="0" applyNumberFormat="1" applyFont="1" applyFill="1" applyBorder="1" applyAlignment="1">
      <alignment horizontal="center"/>
    </xf>
    <xf numFmtId="43" fontId="7" fillId="35" borderId="65" xfId="3" applyFont="1" applyFill="1" applyBorder="1" applyAlignment="1">
      <alignment horizontal="center" vertical="center" wrapText="1"/>
    </xf>
    <xf numFmtId="0" fontId="7" fillId="35" borderId="66" xfId="0" applyFont="1" applyFill="1" applyBorder="1" applyAlignment="1">
      <alignment horizontal="center" vertical="center"/>
    </xf>
    <xf numFmtId="0" fontId="7" fillId="35" borderId="10" xfId="0" applyFont="1" applyFill="1" applyBorder="1" applyAlignment="1">
      <alignment horizontal="center" vertical="center"/>
    </xf>
    <xf numFmtId="0" fontId="33" fillId="19" borderId="30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center" vertical="center" wrapText="1" readingOrder="1"/>
    </xf>
    <xf numFmtId="0" fontId="33" fillId="19" borderId="32" xfId="0" applyFont="1" applyFill="1" applyBorder="1" applyAlignment="1">
      <alignment horizontal="center" vertical="center" wrapText="1" readingOrder="1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4" fillId="0" borderId="0" xfId="20" applyFont="1" applyAlignment="1">
      <alignment horizontal="center" vertical="center"/>
    </xf>
    <xf numFmtId="0" fontId="14" fillId="0" borderId="50" xfId="20" applyFont="1" applyBorder="1" applyAlignment="1">
      <alignment horizontal="center" vertical="center"/>
    </xf>
    <xf numFmtId="0" fontId="14" fillId="0" borderId="64" xfId="20" applyFont="1" applyBorder="1" applyAlignment="1">
      <alignment horizontal="center" vertical="center"/>
    </xf>
    <xf numFmtId="0" fontId="14" fillId="0" borderId="56" xfId="20" applyFont="1" applyBorder="1" applyAlignment="1">
      <alignment horizontal="center" vertical="center"/>
    </xf>
    <xf numFmtId="0" fontId="14" fillId="0" borderId="40" xfId="20" applyFont="1" applyBorder="1" applyAlignment="1">
      <alignment horizontal="center" vertical="center"/>
    </xf>
    <xf numFmtId="0" fontId="7" fillId="15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43" fontId="7" fillId="4" borderId="0" xfId="3" applyFont="1" applyFill="1" applyBorder="1" applyAlignment="1">
      <alignment horizontal="center" vertical="center" wrapText="1"/>
    </xf>
    <xf numFmtId="43" fontId="7" fillId="15" borderId="0" xfId="3" applyFont="1" applyFill="1" applyBorder="1" applyAlignment="1">
      <alignment horizontal="right" vertical="center" wrapText="1"/>
    </xf>
    <xf numFmtId="40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Alignment="1">
      <alignment horizontal="right"/>
    </xf>
    <xf numFmtId="188" fontId="6" fillId="15" borderId="0" xfId="3" applyNumberFormat="1" applyFont="1" applyFill="1" applyBorder="1" applyAlignment="1">
      <alignment horizontal="right"/>
    </xf>
    <xf numFmtId="43" fontId="7" fillId="0" borderId="0" xfId="3" applyFont="1" applyFill="1"/>
    <xf numFmtId="0" fontId="7" fillId="35" borderId="69" xfId="0" applyFont="1" applyFill="1" applyBorder="1" applyAlignment="1">
      <alignment horizontal="center" vertical="center"/>
    </xf>
    <xf numFmtId="0" fontId="7" fillId="35" borderId="71" xfId="0" applyFont="1" applyFill="1" applyBorder="1" applyAlignment="1">
      <alignment horizontal="center" vertical="center"/>
    </xf>
    <xf numFmtId="49" fontId="6" fillId="0" borderId="0" xfId="0" applyNumberFormat="1" applyFont="1" applyAlignment="1">
      <alignment vertical="top"/>
    </xf>
    <xf numFmtId="188" fontId="70" fillId="4" borderId="0" xfId="0" applyNumberFormat="1" applyFont="1" applyFill="1"/>
    <xf numFmtId="188" fontId="15" fillId="4" borderId="0" xfId="0" applyNumberFormat="1" applyFont="1" applyFill="1"/>
    <xf numFmtId="188" fontId="70" fillId="0" borderId="0" xfId="0" applyNumberFormat="1" applyFont="1"/>
    <xf numFmtId="196" fontId="70" fillId="4" borderId="0" xfId="0" applyNumberFormat="1" applyFont="1" applyFill="1"/>
    <xf numFmtId="0" fontId="18" fillId="0" borderId="74" xfId="6" applyFont="1" applyBorder="1" applyAlignment="1">
      <alignment vertical="top"/>
    </xf>
    <xf numFmtId="188" fontId="70" fillId="4" borderId="0" xfId="3" applyNumberFormat="1" applyFont="1" applyFill="1" applyBorder="1" applyAlignment="1">
      <alignment vertical="top"/>
    </xf>
    <xf numFmtId="43" fontId="70" fillId="4" borderId="0" xfId="3" applyFont="1" applyFill="1"/>
    <xf numFmtId="188" fontId="15" fillId="8" borderId="0" xfId="0" applyNumberFormat="1" applyFont="1" applyFill="1"/>
    <xf numFmtId="49" fontId="6" fillId="0" borderId="1" xfId="0" applyNumberFormat="1" applyFont="1" applyBorder="1" applyAlignment="1">
      <alignment horizontal="center" vertical="top"/>
    </xf>
    <xf numFmtId="49" fontId="18" fillId="28" borderId="1" xfId="6" applyNumberFormat="1" applyFont="1" applyFill="1" applyBorder="1" applyAlignment="1">
      <alignment horizontal="center" vertical="top"/>
    </xf>
    <xf numFmtId="0" fontId="18" fillId="28" borderId="1" xfId="6" applyFont="1" applyFill="1" applyBorder="1" applyAlignment="1">
      <alignment vertical="top"/>
    </xf>
    <xf numFmtId="40" fontId="70" fillId="0" borderId="0" xfId="0" applyNumberFormat="1" applyFont="1"/>
    <xf numFmtId="49" fontId="18" fillId="39" borderId="1" xfId="6" applyNumberFormat="1" applyFont="1" applyFill="1" applyBorder="1" applyAlignment="1">
      <alignment horizontal="center" vertical="top"/>
    </xf>
    <xf numFmtId="0" fontId="18" fillId="39" borderId="1" xfId="6" applyFont="1" applyFill="1" applyBorder="1" applyAlignment="1">
      <alignment vertical="top"/>
    </xf>
    <xf numFmtId="49" fontId="18" fillId="30" borderId="1" xfId="6" applyNumberFormat="1" applyFont="1" applyFill="1" applyBorder="1" applyAlignment="1">
      <alignment horizontal="center" vertical="top"/>
    </xf>
    <xf numFmtId="0" fontId="18" fillId="30" borderId="1" xfId="6" applyFont="1" applyFill="1" applyBorder="1" applyAlignment="1">
      <alignment vertical="top"/>
    </xf>
    <xf numFmtId="188" fontId="70" fillId="6" borderId="0" xfId="3" applyNumberFormat="1" applyFont="1" applyFill="1" applyBorder="1" applyAlignment="1"/>
    <xf numFmtId="49" fontId="18" fillId="4" borderId="1" xfId="6" applyNumberFormat="1" applyFont="1" applyFill="1" applyBorder="1" applyAlignment="1">
      <alignment horizontal="center" vertical="top"/>
    </xf>
    <xf numFmtId="49" fontId="18" fillId="0" borderId="2" xfId="6" applyNumberFormat="1" applyFont="1" applyBorder="1" applyAlignment="1">
      <alignment horizontal="center" vertical="top"/>
    </xf>
    <xf numFmtId="49" fontId="15" fillId="0" borderId="1" xfId="0" applyNumberFormat="1" applyFont="1" applyBorder="1" applyAlignment="1">
      <alignment horizontal="center" vertical="top" wrapText="1"/>
    </xf>
    <xf numFmtId="0" fontId="6" fillId="30" borderId="0" xfId="0" applyFont="1" applyFill="1" applyAlignment="1">
      <alignment horizontal="center" vertical="top"/>
    </xf>
    <xf numFmtId="49" fontId="18" fillId="34" borderId="1" xfId="6" applyNumberFormat="1" applyFont="1" applyFill="1" applyBorder="1" applyAlignment="1">
      <alignment horizontal="center" vertical="top"/>
    </xf>
    <xf numFmtId="0" fontId="18" fillId="34" borderId="1" xfId="6" applyFont="1" applyFill="1" applyBorder="1" applyAlignment="1">
      <alignment vertical="top"/>
    </xf>
    <xf numFmtId="43" fontId="7" fillId="25" borderId="10" xfId="0" applyNumberFormat="1" applyFont="1" applyFill="1" applyBorder="1" applyAlignment="1">
      <alignment vertical="center"/>
    </xf>
    <xf numFmtId="43" fontId="15" fillId="25" borderId="2" xfId="0" applyNumberFormat="1" applyFont="1" applyFill="1" applyBorder="1"/>
    <xf numFmtId="188" fontId="18" fillId="0" borderId="2" xfId="5" applyNumberFormat="1" applyFont="1" applyBorder="1" applyAlignment="1">
      <alignment horizontal="right"/>
    </xf>
    <xf numFmtId="188" fontId="18" fillId="0" borderId="2" xfId="3" applyNumberFormat="1" applyFont="1" applyFill="1" applyBorder="1" applyAlignment="1">
      <alignment horizontal="right"/>
    </xf>
    <xf numFmtId="4" fontId="18" fillId="0" borderId="45" xfId="5" applyNumberFormat="1" applyFont="1" applyBorder="1" applyAlignment="1">
      <alignment horizontal="right"/>
    </xf>
    <xf numFmtId="188" fontId="6" fillId="0" borderId="2" xfId="0" applyNumberFormat="1" applyFont="1" applyBorder="1" applyAlignment="1">
      <alignment horizontal="right" indent="1"/>
    </xf>
    <xf numFmtId="4" fontId="6" fillId="0" borderId="2" xfId="0" applyNumberFormat="1" applyFont="1" applyBorder="1" applyAlignment="1">
      <alignment horizontal="right" indent="1"/>
    </xf>
    <xf numFmtId="188" fontId="18" fillId="0" borderId="45" xfId="5" applyNumberFormat="1" applyFont="1" applyBorder="1" applyAlignment="1">
      <alignment horizontal="right"/>
    </xf>
    <xf numFmtId="188" fontId="18" fillId="0" borderId="45" xfId="3" applyNumberFormat="1" applyFont="1" applyFill="1" applyBorder="1" applyAlignment="1">
      <alignment horizontal="right"/>
    </xf>
    <xf numFmtId="43" fontId="6" fillId="0" borderId="45" xfId="3" applyFont="1" applyBorder="1" applyAlignment="1">
      <alignment horizontal="right"/>
    </xf>
    <xf numFmtId="0" fontId="6" fillId="0" borderId="45" xfId="0" applyFont="1" applyBorder="1" applyAlignment="1">
      <alignment horizontal="right"/>
    </xf>
    <xf numFmtId="43" fontId="6" fillId="0" borderId="45" xfId="0" applyNumberFormat="1" applyFont="1" applyBorder="1" applyAlignment="1">
      <alignment vertical="center"/>
    </xf>
    <xf numFmtId="43" fontId="6" fillId="15" borderId="45" xfId="3" applyFont="1" applyFill="1" applyBorder="1" applyAlignment="1">
      <alignment horizontal="right" vertical="center"/>
    </xf>
    <xf numFmtId="40" fontId="7" fillId="32" borderId="2" xfId="3" applyNumberFormat="1" applyFont="1" applyFill="1" applyBorder="1" applyAlignment="1">
      <alignment horizontal="right" vertical="center"/>
    </xf>
    <xf numFmtId="40" fontId="87" fillId="0" borderId="0" xfId="25" applyNumberFormat="1" applyFont="1" applyAlignment="1" applyProtection="1">
      <alignment horizontal="center" vertical="top" shrinkToFit="1"/>
      <protection locked="0"/>
    </xf>
    <xf numFmtId="40" fontId="88" fillId="0" borderId="0" xfId="25" applyNumberFormat="1" applyFont="1" applyAlignment="1" applyProtection="1">
      <alignment horizontal="center" vertical="top"/>
      <protection locked="0"/>
    </xf>
    <xf numFmtId="188" fontId="88" fillId="0" borderId="0" xfId="25" applyNumberFormat="1" applyFont="1" applyAlignment="1" applyProtection="1">
      <alignment horizontal="center" vertical="top"/>
      <protection locked="0"/>
    </xf>
    <xf numFmtId="40" fontId="89" fillId="0" borderId="0" xfId="25" applyNumberFormat="1" applyFont="1" applyAlignment="1">
      <alignment vertical="top"/>
    </xf>
    <xf numFmtId="40" fontId="87" fillId="0" borderId="8" xfId="25" applyNumberFormat="1" applyFont="1" applyBorder="1" applyAlignment="1" applyProtection="1">
      <alignment horizontal="center" vertical="top" shrinkToFit="1"/>
      <protection locked="0"/>
    </xf>
    <xf numFmtId="40" fontId="78" fillId="4" borderId="2" xfId="25" applyNumberFormat="1" applyFont="1" applyFill="1" applyBorder="1" applyAlignment="1">
      <alignment horizontal="center" vertical="top" shrinkToFit="1"/>
    </xf>
    <xf numFmtId="40" fontId="78" fillId="4" borderId="2" xfId="26" applyNumberFormat="1" applyFont="1" applyFill="1" applyBorder="1" applyAlignment="1">
      <alignment horizontal="center" vertical="top"/>
    </xf>
    <xf numFmtId="40" fontId="81" fillId="4" borderId="2" xfId="26" applyNumberFormat="1" applyFont="1" applyFill="1" applyBorder="1" applyAlignment="1">
      <alignment horizontal="center" vertical="top"/>
    </xf>
    <xf numFmtId="0" fontId="52" fillId="0" borderId="2" xfId="25" applyFont="1" applyBorder="1" applyAlignment="1">
      <alignment horizontal="center"/>
    </xf>
    <xf numFmtId="43" fontId="52" fillId="0" borderId="2" xfId="26" applyFont="1" applyFill="1" applyBorder="1" applyAlignment="1">
      <alignment horizontal="center"/>
    </xf>
    <xf numFmtId="40" fontId="78" fillId="0" borderId="2" xfId="25" applyNumberFormat="1" applyFont="1" applyBorder="1" applyAlignment="1" applyProtection="1">
      <alignment vertical="top" shrinkToFit="1"/>
      <protection locked="0"/>
    </xf>
    <xf numFmtId="40" fontId="78" fillId="0" borderId="2" xfId="26" applyNumberFormat="1" applyFont="1" applyFill="1" applyBorder="1" applyAlignment="1" applyProtection="1">
      <alignment horizontal="right" vertical="center" wrapText="1"/>
    </xf>
    <xf numFmtId="40" fontId="78" fillId="0" borderId="2" xfId="26" applyNumberFormat="1" applyFont="1" applyFill="1" applyBorder="1" applyAlignment="1" applyProtection="1">
      <alignment vertical="center" wrapText="1"/>
    </xf>
    <xf numFmtId="40" fontId="78" fillId="6" borderId="2" xfId="26" applyNumberFormat="1" applyFont="1" applyFill="1" applyBorder="1" applyAlignment="1" applyProtection="1">
      <alignment horizontal="right" vertical="center" wrapText="1"/>
    </xf>
    <xf numFmtId="40" fontId="81" fillId="0" borderId="2" xfId="26" applyNumberFormat="1" applyFont="1" applyFill="1" applyBorder="1" applyAlignment="1" applyProtection="1">
      <alignment horizontal="center" vertical="top" wrapText="1"/>
    </xf>
    <xf numFmtId="40" fontId="81" fillId="0" borderId="2" xfId="26" applyNumberFormat="1" applyFont="1" applyFill="1" applyBorder="1" applyAlignment="1">
      <alignment horizontal="center" vertical="top"/>
    </xf>
    <xf numFmtId="188" fontId="81" fillId="0" borderId="2" xfId="26" applyNumberFormat="1" applyFont="1" applyFill="1" applyBorder="1" applyAlignment="1">
      <alignment horizontal="center" vertical="top"/>
    </xf>
    <xf numFmtId="40" fontId="81" fillId="0" borderId="0" xfId="26" applyNumberFormat="1" applyFont="1" applyFill="1" applyBorder="1" applyAlignment="1">
      <alignment horizontal="center" vertical="top"/>
    </xf>
    <xf numFmtId="40" fontId="81" fillId="0" borderId="0" xfId="25" applyNumberFormat="1" applyFont="1" applyAlignment="1">
      <alignment horizontal="center" vertical="top"/>
    </xf>
    <xf numFmtId="40" fontId="88" fillId="0" borderId="2" xfId="26" applyNumberFormat="1" applyFont="1" applyFill="1" applyBorder="1" applyAlignment="1" applyProtection="1">
      <alignment vertical="top" wrapText="1"/>
    </xf>
    <xf numFmtId="188" fontId="88" fillId="0" borderId="2" xfId="26" applyNumberFormat="1" applyFont="1" applyFill="1" applyBorder="1" applyAlignment="1" applyProtection="1">
      <alignment vertical="top" wrapText="1"/>
    </xf>
    <xf numFmtId="40" fontId="88" fillId="0" borderId="0" xfId="26" applyNumberFormat="1" applyFont="1" applyFill="1" applyBorder="1" applyAlignment="1" applyProtection="1">
      <alignment vertical="top" wrapText="1"/>
    </xf>
    <xf numFmtId="40" fontId="88" fillId="0" borderId="0" xfId="25" applyNumberFormat="1" applyFont="1" applyAlignment="1">
      <alignment vertical="top"/>
    </xf>
    <xf numFmtId="40" fontId="82" fillId="0" borderId="2" xfId="26" applyNumberFormat="1" applyFont="1" applyFill="1" applyBorder="1" applyAlignment="1">
      <alignment vertical="center" shrinkToFit="1"/>
    </xf>
    <xf numFmtId="40" fontId="78" fillId="0" borderId="2" xfId="26" applyNumberFormat="1" applyFont="1" applyFill="1" applyBorder="1" applyAlignment="1" applyProtection="1">
      <alignment horizontal="right" vertical="center" wrapText="1"/>
      <protection locked="0"/>
    </xf>
    <xf numFmtId="40" fontId="78" fillId="0" borderId="2" xfId="26" applyNumberFormat="1" applyFont="1" applyFill="1" applyBorder="1" applyAlignment="1">
      <alignment vertical="center"/>
    </xf>
    <xf numFmtId="40" fontId="78" fillId="6" borderId="2" xfId="26" applyNumberFormat="1" applyFont="1" applyFill="1" applyBorder="1" applyAlignment="1" applyProtection="1">
      <alignment horizontal="right" vertical="center" wrapText="1"/>
      <protection locked="0"/>
    </xf>
    <xf numFmtId="40" fontId="81" fillId="0" borderId="2" xfId="26" applyNumberFormat="1" applyFont="1" applyFill="1" applyBorder="1" applyAlignment="1" applyProtection="1">
      <alignment horizontal="center" vertical="top" wrapText="1"/>
      <protection locked="0"/>
    </xf>
    <xf numFmtId="40" fontId="88" fillId="0" borderId="2" xfId="26" applyNumberFormat="1" applyFont="1" applyFill="1" applyBorder="1" applyAlignment="1" applyProtection="1">
      <alignment horizontal="center" vertical="top" wrapText="1"/>
    </xf>
    <xf numFmtId="188" fontId="81" fillId="0" borderId="2" xfId="26" applyNumberFormat="1" applyFont="1" applyFill="1" applyBorder="1" applyAlignment="1" applyProtection="1">
      <alignment vertical="center" wrapText="1"/>
      <protection locked="0"/>
    </xf>
    <xf numFmtId="40" fontId="88" fillId="0" borderId="0" xfId="26" applyNumberFormat="1" applyFont="1" applyFill="1" applyBorder="1" applyAlignment="1" applyProtection="1">
      <alignment horizontal="center" vertical="top" wrapText="1"/>
    </xf>
    <xf numFmtId="40" fontId="89" fillId="0" borderId="2" xfId="26" applyNumberFormat="1" applyFont="1" applyFill="1" applyBorder="1" applyAlignment="1" applyProtection="1">
      <alignment horizontal="center" vertical="top" wrapText="1"/>
    </xf>
    <xf numFmtId="188" fontId="89" fillId="0" borderId="2" xfId="26" applyNumberFormat="1" applyFont="1" applyFill="1" applyBorder="1" applyAlignment="1" applyProtection="1">
      <alignment horizontal="right" vertical="top" wrapText="1"/>
    </xf>
    <xf numFmtId="40" fontId="89" fillId="0" borderId="0" xfId="26" applyNumberFormat="1" applyFont="1" applyFill="1" applyBorder="1" applyAlignment="1" applyProtection="1">
      <alignment horizontal="center" vertical="top" wrapText="1"/>
    </xf>
    <xf numFmtId="188" fontId="89" fillId="0" borderId="2" xfId="26" applyNumberFormat="1" applyFont="1" applyFill="1" applyBorder="1" applyAlignment="1" applyProtection="1">
      <alignment horizontal="center" vertical="top" wrapText="1"/>
    </xf>
    <xf numFmtId="40" fontId="78" fillId="0" borderId="2" xfId="26" applyNumberFormat="1" applyFont="1" applyFill="1" applyBorder="1" applyAlignment="1" applyProtection="1">
      <alignment vertical="center" wrapText="1"/>
      <protection locked="0"/>
    </xf>
    <xf numFmtId="40" fontId="88" fillId="0" borderId="2" xfId="26" applyNumberFormat="1" applyFont="1" applyFill="1" applyBorder="1" applyAlignment="1" applyProtection="1">
      <alignment vertical="top" wrapText="1"/>
      <protection locked="0"/>
    </xf>
    <xf numFmtId="188" fontId="88" fillId="0" borderId="2" xfId="26" applyNumberFormat="1" applyFont="1" applyFill="1" applyBorder="1" applyAlignment="1" applyProtection="1">
      <alignment vertical="top" wrapText="1"/>
      <protection locked="0"/>
    </xf>
    <xf numFmtId="40" fontId="88" fillId="0" borderId="0" xfId="26" applyNumberFormat="1" applyFont="1" applyFill="1" applyBorder="1" applyAlignment="1" applyProtection="1">
      <alignment vertical="top" wrapText="1"/>
      <protection locked="0"/>
    </xf>
    <xf numFmtId="40" fontId="82" fillId="0" borderId="2" xfId="26" applyNumberFormat="1" applyFont="1" applyFill="1" applyBorder="1" applyAlignment="1">
      <alignment horizontal="left" vertical="center" shrinkToFit="1"/>
    </xf>
    <xf numFmtId="40" fontId="89" fillId="0" borderId="2" xfId="26" applyNumberFormat="1" applyFont="1" applyFill="1" applyBorder="1" applyAlignment="1" applyProtection="1">
      <alignment horizontal="center" vertical="top" wrapText="1"/>
      <protection locked="0"/>
    </xf>
    <xf numFmtId="188" fontId="89" fillId="0" borderId="2" xfId="26" applyNumberFormat="1" applyFont="1" applyFill="1" applyBorder="1" applyAlignment="1" applyProtection="1">
      <alignment horizontal="center" vertical="top" wrapText="1"/>
      <protection locked="0"/>
    </xf>
    <xf numFmtId="40" fontId="89" fillId="0" borderId="0" xfId="26" applyNumberFormat="1" applyFont="1" applyFill="1" applyBorder="1" applyAlignment="1" applyProtection="1">
      <alignment horizontal="center" vertical="top" wrapText="1"/>
      <protection locked="0"/>
    </xf>
    <xf numFmtId="40" fontId="89" fillId="0" borderId="2" xfId="26" applyNumberFormat="1" applyFont="1" applyFill="1" applyBorder="1" applyAlignment="1" applyProtection="1">
      <alignment vertical="top" wrapText="1"/>
      <protection locked="0"/>
    </xf>
    <xf numFmtId="188" fontId="89" fillId="0" borderId="2" xfId="26" applyNumberFormat="1" applyFont="1" applyFill="1" applyBorder="1" applyAlignment="1" applyProtection="1">
      <alignment vertical="top" wrapText="1"/>
      <protection locked="0"/>
    </xf>
    <xf numFmtId="40" fontId="89" fillId="0" borderId="0" xfId="26" applyNumberFormat="1" applyFont="1" applyFill="1" applyBorder="1" applyAlignment="1" applyProtection="1">
      <alignment vertical="top" wrapText="1"/>
      <protection locked="0"/>
    </xf>
    <xf numFmtId="40" fontId="78" fillId="0" borderId="2" xfId="26" applyNumberFormat="1" applyFont="1" applyFill="1" applyBorder="1" applyAlignment="1">
      <alignment horizontal="left" vertical="center" shrinkToFit="1"/>
    </xf>
    <xf numFmtId="40" fontId="81" fillId="0" borderId="0" xfId="25" applyNumberFormat="1" applyFont="1" applyAlignment="1">
      <alignment vertical="top" wrapText="1"/>
    </xf>
    <xf numFmtId="40" fontId="78" fillId="0" borderId="2" xfId="26" applyNumberFormat="1" applyFont="1" applyFill="1" applyBorder="1" applyAlignment="1" applyProtection="1">
      <alignment horizontal="right" vertical="center"/>
      <protection locked="0" hidden="1"/>
    </xf>
    <xf numFmtId="40" fontId="78" fillId="0" borderId="2" xfId="26" applyNumberFormat="1" applyFont="1" applyFill="1" applyBorder="1" applyAlignment="1" applyProtection="1">
      <alignment vertical="center"/>
      <protection locked="0" hidden="1"/>
    </xf>
    <xf numFmtId="40" fontId="78" fillId="6" borderId="2" xfId="26" applyNumberFormat="1" applyFont="1" applyFill="1" applyBorder="1" applyAlignment="1" applyProtection="1">
      <alignment horizontal="right" vertical="center"/>
      <protection locked="0" hidden="1"/>
    </xf>
    <xf numFmtId="40" fontId="81" fillId="0" borderId="2" xfId="26" applyNumberFormat="1" applyFont="1" applyFill="1" applyBorder="1" applyAlignment="1" applyProtection="1">
      <alignment horizontal="center" vertical="top"/>
      <protection locked="0" hidden="1"/>
    </xf>
    <xf numFmtId="40" fontId="82" fillId="0" borderId="2" xfId="25" applyNumberFormat="1" applyFont="1" applyBorder="1" applyAlignment="1" applyProtection="1">
      <alignment vertical="top" shrinkToFit="1"/>
      <protection locked="0"/>
    </xf>
    <xf numFmtId="40" fontId="78" fillId="0" borderId="2" xfId="26" applyNumberFormat="1" applyFont="1" applyFill="1" applyBorder="1" applyAlignment="1" applyProtection="1">
      <alignment horizontal="right" vertical="center"/>
      <protection locked="0"/>
    </xf>
    <xf numFmtId="40" fontId="78" fillId="0" borderId="2" xfId="26" applyNumberFormat="1" applyFont="1" applyFill="1" applyBorder="1" applyAlignment="1" applyProtection="1">
      <alignment vertical="center"/>
      <protection locked="0"/>
    </xf>
    <xf numFmtId="40" fontId="78" fillId="6" borderId="2" xfId="26" applyNumberFormat="1" applyFont="1" applyFill="1" applyBorder="1" applyAlignment="1" applyProtection="1">
      <alignment horizontal="right" vertical="center"/>
      <protection locked="0"/>
    </xf>
    <xf numFmtId="40" fontId="81" fillId="0" borderId="2" xfId="26" applyNumberFormat="1" applyFont="1" applyFill="1" applyBorder="1" applyAlignment="1" applyProtection="1">
      <alignment horizontal="center" vertical="top"/>
      <protection locked="0"/>
    </xf>
    <xf numFmtId="40" fontId="88" fillId="0" borderId="2" xfId="26" applyNumberFormat="1" applyFont="1" applyFill="1" applyBorder="1" applyAlignment="1" applyProtection="1">
      <alignment vertical="top"/>
      <protection locked="0"/>
    </xf>
    <xf numFmtId="188" fontId="88" fillId="0" borderId="2" xfId="26" applyNumberFormat="1" applyFont="1" applyFill="1" applyBorder="1" applyAlignment="1" applyProtection="1">
      <alignment vertical="top"/>
      <protection locked="0"/>
    </xf>
    <xf numFmtId="40" fontId="88" fillId="0" borderId="0" xfId="26" applyNumberFormat="1" applyFont="1" applyFill="1" applyBorder="1" applyAlignment="1" applyProtection="1">
      <alignment vertical="top"/>
      <protection locked="0"/>
    </xf>
    <xf numFmtId="40" fontId="89" fillId="0" borderId="72" xfId="25" applyNumberFormat="1" applyFont="1" applyBorder="1" applyAlignment="1">
      <alignment vertical="top"/>
    </xf>
    <xf numFmtId="40" fontId="88" fillId="0" borderId="2" xfId="26" applyNumberFormat="1" applyFont="1" applyFill="1" applyBorder="1" applyAlignment="1" applyProtection="1">
      <alignment horizontal="center" vertical="top" wrapText="1"/>
      <protection locked="0"/>
    </xf>
    <xf numFmtId="188" fontId="88" fillId="0" borderId="2" xfId="26" applyNumberFormat="1" applyFont="1" applyFill="1" applyBorder="1" applyAlignment="1" applyProtection="1">
      <alignment horizontal="center" vertical="top" wrapText="1"/>
      <protection locked="0"/>
    </xf>
    <xf numFmtId="40" fontId="88" fillId="0" borderId="0" xfId="26" applyNumberFormat="1" applyFont="1" applyFill="1" applyBorder="1" applyAlignment="1" applyProtection="1">
      <alignment horizontal="center" vertical="top" wrapText="1"/>
      <protection locked="0"/>
    </xf>
    <xf numFmtId="188" fontId="88" fillId="0" borderId="2" xfId="26" applyNumberFormat="1" applyFont="1" applyFill="1" applyBorder="1" applyAlignment="1" applyProtection="1">
      <alignment horizontal="center" vertical="top" wrapText="1"/>
    </xf>
    <xf numFmtId="40" fontId="82" fillId="0" borderId="2" xfId="25" applyNumberFormat="1" applyFont="1" applyBorder="1" applyAlignment="1">
      <alignment horizontal="left" vertical="top" shrinkToFit="1"/>
    </xf>
    <xf numFmtId="40" fontId="82" fillId="0" borderId="2" xfId="25" applyNumberFormat="1" applyFont="1" applyBorder="1" applyAlignment="1">
      <alignment vertical="top" shrinkToFit="1"/>
    </xf>
    <xf numFmtId="40" fontId="79" fillId="0" borderId="2" xfId="26" applyNumberFormat="1" applyFont="1" applyFill="1" applyBorder="1" applyAlignment="1" applyProtection="1">
      <alignment vertical="top"/>
      <protection locked="0"/>
    </xf>
    <xf numFmtId="40" fontId="78" fillId="4" borderId="2" xfId="25" applyNumberFormat="1" applyFont="1" applyFill="1" applyBorder="1" applyAlignment="1" applyProtection="1">
      <alignment horizontal="center" vertical="top" shrinkToFit="1"/>
      <protection locked="0"/>
    </xf>
    <xf numFmtId="40" fontId="78" fillId="4" borderId="2" xfId="26" applyNumberFormat="1" applyFont="1" applyFill="1" applyBorder="1" applyAlignment="1" applyProtection="1">
      <alignment horizontal="right" vertical="center" wrapText="1"/>
    </xf>
    <xf numFmtId="40" fontId="78" fillId="4" borderId="2" xfId="26" applyNumberFormat="1" applyFont="1" applyFill="1" applyBorder="1" applyAlignment="1" applyProtection="1">
      <alignment vertical="center" wrapText="1"/>
    </xf>
    <xf numFmtId="40" fontId="81" fillId="4" borderId="2" xfId="26" applyNumberFormat="1" applyFont="1" applyFill="1" applyBorder="1" applyAlignment="1" applyProtection="1">
      <alignment horizontal="center" vertical="top" wrapText="1"/>
    </xf>
    <xf numFmtId="40" fontId="78" fillId="0" borderId="2" xfId="26" applyNumberFormat="1" applyFont="1" applyFill="1" applyBorder="1" applyAlignment="1" applyProtection="1">
      <alignment horizontal="right" vertical="center"/>
    </xf>
    <xf numFmtId="40" fontId="78" fillId="0" borderId="2" xfId="26" applyNumberFormat="1" applyFont="1" applyFill="1" applyBorder="1" applyAlignment="1" applyProtection="1">
      <alignment vertical="center"/>
    </xf>
    <xf numFmtId="40" fontId="78" fillId="6" borderId="2" xfId="26" applyNumberFormat="1" applyFont="1" applyFill="1" applyBorder="1" applyAlignment="1" applyProtection="1">
      <alignment horizontal="right" vertical="center"/>
    </xf>
    <xf numFmtId="40" fontId="81" fillId="0" borderId="2" xfId="26" applyNumberFormat="1" applyFont="1" applyFill="1" applyBorder="1" applyAlignment="1" applyProtection="1">
      <alignment horizontal="center" vertical="top"/>
    </xf>
    <xf numFmtId="4" fontId="83" fillId="0" borderId="4" xfId="25" applyNumberFormat="1" applyFont="1" applyBorder="1" applyAlignment="1">
      <alignment horizontal="right" vertical="center"/>
    </xf>
    <xf numFmtId="43" fontId="83" fillId="0" borderId="2" xfId="26" applyFont="1" applyFill="1" applyBorder="1" applyAlignment="1">
      <alignment vertical="center"/>
    </xf>
    <xf numFmtId="40" fontId="82" fillId="0" borderId="2" xfId="26" applyNumberFormat="1" applyFont="1" applyFill="1" applyBorder="1" applyAlignment="1" applyProtection="1">
      <alignment horizontal="right" vertical="center" wrapText="1"/>
    </xf>
    <xf numFmtId="40" fontId="82" fillId="0" borderId="2" xfId="26" applyNumberFormat="1" applyFont="1" applyFill="1" applyBorder="1" applyAlignment="1" applyProtection="1">
      <alignment vertical="center" wrapText="1"/>
      <protection locked="0"/>
    </xf>
    <xf numFmtId="40" fontId="79" fillId="0" borderId="2" xfId="26" applyNumberFormat="1" applyFont="1" applyFill="1" applyBorder="1" applyAlignment="1" applyProtection="1">
      <alignment horizontal="center" vertical="top" wrapText="1"/>
    </xf>
    <xf numFmtId="40" fontId="78" fillId="0" borderId="75" xfId="26" applyNumberFormat="1" applyFont="1" applyFill="1" applyBorder="1" applyAlignment="1" applyProtection="1">
      <alignment horizontal="right" vertical="center" wrapText="1"/>
      <protection locked="0"/>
    </xf>
    <xf numFmtId="40" fontId="78" fillId="0" borderId="38" xfId="26" applyNumberFormat="1" applyFont="1" applyFill="1" applyBorder="1" applyAlignment="1" applyProtection="1">
      <alignment horizontal="right" vertical="center" wrapText="1"/>
      <protection locked="0"/>
    </xf>
    <xf numFmtId="40" fontId="79" fillId="0" borderId="2" xfId="26" applyNumberFormat="1" applyFont="1" applyFill="1" applyBorder="1" applyAlignment="1" applyProtection="1">
      <alignment horizontal="center" vertical="top" wrapText="1"/>
      <protection locked="0"/>
    </xf>
    <xf numFmtId="40" fontId="81" fillId="0" borderId="2" xfId="26" applyNumberFormat="1" applyFont="1" applyFill="1" applyBorder="1" applyAlignment="1" applyProtection="1">
      <alignment horizontal="left" vertical="top" wrapText="1"/>
      <protection locked="0"/>
    </xf>
    <xf numFmtId="40" fontId="78" fillId="0" borderId="2" xfId="25" applyNumberFormat="1" applyFont="1" applyBorder="1" applyAlignment="1" applyProtection="1">
      <alignment horizontal="left" vertical="top" shrinkToFit="1"/>
      <protection locked="0"/>
    </xf>
    <xf numFmtId="4" fontId="83" fillId="0" borderId="2" xfId="25" applyNumberFormat="1" applyFont="1" applyBorder="1" applyAlignment="1">
      <alignment horizontal="right" vertical="center"/>
    </xf>
    <xf numFmtId="40" fontId="89" fillId="40" borderId="0" xfId="25" applyNumberFormat="1" applyFont="1" applyFill="1" applyAlignment="1">
      <alignment vertical="top"/>
    </xf>
    <xf numFmtId="40" fontId="82" fillId="4" borderId="2" xfId="25" applyNumberFormat="1" applyFont="1" applyFill="1" applyBorder="1" applyAlignment="1" applyProtection="1">
      <alignment vertical="top" shrinkToFit="1"/>
      <protection locked="0"/>
    </xf>
    <xf numFmtId="40" fontId="78" fillId="4" borderId="2" xfId="26" applyNumberFormat="1" applyFont="1" applyFill="1" applyBorder="1" applyAlignment="1" applyProtection="1">
      <alignment horizontal="right" vertical="center" wrapText="1"/>
      <protection locked="0"/>
    </xf>
    <xf numFmtId="40" fontId="78" fillId="4" borderId="2" xfId="26" applyNumberFormat="1" applyFont="1" applyFill="1" applyBorder="1" applyAlignment="1" applyProtection="1">
      <alignment vertical="center" wrapText="1"/>
      <protection locked="0"/>
    </xf>
    <xf numFmtId="43" fontId="82" fillId="0" borderId="0" xfId="19" applyNumberFormat="1" applyFont="1"/>
    <xf numFmtId="40" fontId="88" fillId="6" borderId="0" xfId="26" applyNumberFormat="1" applyFont="1" applyFill="1" applyBorder="1" applyAlignment="1" applyProtection="1">
      <alignment vertical="top" wrapText="1"/>
      <protection locked="0"/>
    </xf>
    <xf numFmtId="40" fontId="89" fillId="0" borderId="0" xfId="26" applyNumberFormat="1" applyFont="1" applyFill="1" applyBorder="1" applyAlignment="1" applyProtection="1">
      <alignment vertical="top" wrapText="1"/>
    </xf>
    <xf numFmtId="40" fontId="78" fillId="4" borderId="2" xfId="25" applyNumberFormat="1" applyFont="1" applyFill="1" applyBorder="1" applyAlignment="1" applyProtection="1">
      <alignment vertical="top" shrinkToFit="1"/>
      <protection locked="0"/>
    </xf>
    <xf numFmtId="4" fontId="78" fillId="6" borderId="2" xfId="25" applyNumberFormat="1" applyFont="1" applyFill="1" applyBorder="1" applyAlignment="1">
      <alignment vertical="center" shrinkToFit="1"/>
    </xf>
    <xf numFmtId="188" fontId="78" fillId="0" borderId="0" xfId="0" applyNumberFormat="1" applyFont="1"/>
    <xf numFmtId="40" fontId="88" fillId="0" borderId="0" xfId="26" applyNumberFormat="1" applyFont="1" applyFill="1" applyBorder="1" applyAlignment="1" applyProtection="1">
      <alignment horizontal="right" vertical="top" wrapText="1"/>
    </xf>
    <xf numFmtId="40" fontId="89" fillId="0" borderId="0" xfId="26" applyNumberFormat="1" applyFont="1" applyFill="1" applyBorder="1" applyAlignment="1" applyProtection="1">
      <alignment horizontal="right" vertical="top" wrapText="1"/>
      <protection locked="0"/>
    </xf>
    <xf numFmtId="40" fontId="89" fillId="0" borderId="73" xfId="25" applyNumberFormat="1" applyFont="1" applyBorder="1" applyAlignment="1">
      <alignment vertical="top"/>
    </xf>
    <xf numFmtId="40" fontId="78" fillId="0" borderId="2" xfId="26" applyNumberFormat="1" applyFont="1" applyFill="1" applyBorder="1" applyAlignment="1" applyProtection="1">
      <alignment horizontal="right" vertical="top" wrapText="1"/>
      <protection locked="0"/>
    </xf>
    <xf numFmtId="40" fontId="78" fillId="0" borderId="2" xfId="26" applyNumberFormat="1" applyFont="1" applyFill="1" applyBorder="1" applyAlignment="1" applyProtection="1">
      <alignment vertical="top" wrapText="1"/>
      <protection locked="0"/>
    </xf>
    <xf numFmtId="40" fontId="78" fillId="6" borderId="2" xfId="26" applyNumberFormat="1" applyFont="1" applyFill="1" applyBorder="1" applyAlignment="1" applyProtection="1">
      <alignment horizontal="right" vertical="top" wrapText="1"/>
      <protection locked="0"/>
    </xf>
    <xf numFmtId="40" fontId="88" fillId="0" borderId="72" xfId="25" applyNumberFormat="1" applyFont="1" applyBorder="1" applyAlignment="1">
      <alignment vertical="top"/>
    </xf>
    <xf numFmtId="0" fontId="83" fillId="0" borderId="2" xfId="25" applyFont="1" applyBorder="1" applyAlignment="1">
      <alignment horizontal="center"/>
    </xf>
    <xf numFmtId="40" fontId="88" fillId="0" borderId="2" xfId="25" applyNumberFormat="1" applyFont="1" applyBorder="1" applyAlignment="1">
      <alignment vertical="top"/>
    </xf>
    <xf numFmtId="188" fontId="89" fillId="0" borderId="0" xfId="26" applyNumberFormat="1" applyFont="1" applyFill="1" applyBorder="1" applyAlignment="1" applyProtection="1">
      <alignment vertical="top" wrapText="1"/>
      <protection locked="0"/>
    </xf>
    <xf numFmtId="40" fontId="89" fillId="0" borderId="2" xfId="25" applyNumberFormat="1" applyFont="1" applyBorder="1" applyAlignment="1">
      <alignment vertical="top"/>
    </xf>
    <xf numFmtId="40" fontId="89" fillId="0" borderId="0" xfId="25" applyNumberFormat="1" applyFont="1" applyAlignment="1">
      <alignment horizontal="right" vertical="top"/>
    </xf>
    <xf numFmtId="188" fontId="89" fillId="0" borderId="2" xfId="25" applyNumberFormat="1" applyFont="1" applyBorder="1" applyAlignment="1">
      <alignment vertical="top"/>
    </xf>
    <xf numFmtId="188" fontId="88" fillId="0" borderId="0" xfId="26" applyNumberFormat="1" applyFont="1" applyFill="1" applyBorder="1" applyAlignment="1" applyProtection="1">
      <alignment vertical="top" wrapText="1"/>
    </xf>
    <xf numFmtId="40" fontId="88" fillId="0" borderId="0" xfId="26" applyNumberFormat="1" applyFont="1" applyFill="1" applyBorder="1" applyAlignment="1" applyProtection="1">
      <alignment horizontal="right" vertical="top" wrapText="1"/>
      <protection locked="0"/>
    </xf>
    <xf numFmtId="40" fontId="78" fillId="0" borderId="0" xfId="26" applyNumberFormat="1" applyFont="1" applyFill="1" applyBorder="1" applyAlignment="1" applyProtection="1">
      <alignment horizontal="right" vertical="top" wrapText="1"/>
    </xf>
    <xf numFmtId="40" fontId="81" fillId="0" borderId="2" xfId="26" applyNumberFormat="1" applyFont="1" applyFill="1" applyBorder="1" applyAlignment="1" applyProtection="1">
      <alignment horizontal="center" vertical="top" shrinkToFit="1"/>
      <protection locked="0"/>
    </xf>
    <xf numFmtId="40" fontId="78" fillId="4" borderId="2" xfId="25" applyNumberFormat="1" applyFont="1" applyFill="1" applyBorder="1" applyAlignment="1">
      <alignment vertical="top" shrinkToFit="1"/>
    </xf>
    <xf numFmtId="40" fontId="81" fillId="4" borderId="2" xfId="26" applyNumberFormat="1" applyFont="1" applyFill="1" applyBorder="1" applyAlignment="1" applyProtection="1">
      <alignment horizontal="center" vertical="top" wrapText="1"/>
      <protection locked="0"/>
    </xf>
    <xf numFmtId="40" fontId="78" fillId="0" borderId="2" xfId="25" applyNumberFormat="1" applyFont="1" applyBorder="1" applyAlignment="1">
      <alignment vertical="top" shrinkToFit="1"/>
    </xf>
    <xf numFmtId="188" fontId="88" fillId="0" borderId="0" xfId="26" applyNumberFormat="1" applyFont="1" applyFill="1" applyBorder="1" applyAlignment="1" applyProtection="1">
      <alignment horizontal="center" vertical="top" wrapText="1"/>
    </xf>
    <xf numFmtId="40" fontId="78" fillId="0" borderId="2" xfId="25" applyNumberFormat="1" applyFont="1" applyBorder="1" applyAlignment="1">
      <alignment horizontal="center" vertical="top" shrinkToFit="1"/>
    </xf>
    <xf numFmtId="40" fontId="78" fillId="0" borderId="2" xfId="25" applyNumberFormat="1" applyFont="1" applyBorder="1" applyAlignment="1">
      <alignment horizontal="center" vertical="top"/>
    </xf>
    <xf numFmtId="40" fontId="78" fillId="6" borderId="2" xfId="25" applyNumberFormat="1" applyFont="1" applyFill="1" applyBorder="1" applyAlignment="1">
      <alignment horizontal="right" vertical="top"/>
    </xf>
    <xf numFmtId="40" fontId="81" fillId="0" borderId="2" xfId="25" applyNumberFormat="1" applyFont="1" applyBorder="1" applyAlignment="1">
      <alignment horizontal="center" vertical="top"/>
    </xf>
    <xf numFmtId="40" fontId="78" fillId="0" borderId="2" xfId="25" applyNumberFormat="1" applyFont="1" applyBorder="1" applyAlignment="1">
      <alignment horizontal="left" vertical="top" shrinkToFit="1"/>
    </xf>
    <xf numFmtId="40" fontId="78" fillId="0" borderId="2" xfId="26" applyNumberFormat="1" applyFont="1" applyFill="1" applyBorder="1" applyAlignment="1" applyProtection="1">
      <alignment horizontal="center" vertical="top" wrapText="1"/>
    </xf>
    <xf numFmtId="40" fontId="78" fillId="0" borderId="2" xfId="26" applyNumberFormat="1" applyFont="1" applyFill="1" applyBorder="1" applyAlignment="1" applyProtection="1">
      <alignment horizontal="right" vertical="top" wrapText="1"/>
    </xf>
    <xf numFmtId="40" fontId="78" fillId="6" borderId="2" xfId="26" applyNumberFormat="1" applyFont="1" applyFill="1" applyBorder="1" applyAlignment="1" applyProtection="1">
      <alignment horizontal="right" vertical="top" wrapText="1"/>
    </xf>
    <xf numFmtId="40" fontId="82" fillId="0" borderId="0" xfId="25" applyNumberFormat="1" applyFont="1" applyAlignment="1">
      <alignment vertical="top" shrinkToFit="1"/>
    </xf>
    <xf numFmtId="40" fontId="82" fillId="0" borderId="0" xfId="25" applyNumberFormat="1" applyFont="1" applyAlignment="1">
      <alignment horizontal="right" vertical="top" shrinkToFit="1"/>
    </xf>
    <xf numFmtId="40" fontId="82" fillId="6" borderId="0" xfId="25" applyNumberFormat="1" applyFont="1" applyFill="1" applyAlignment="1">
      <alignment horizontal="right" vertical="top"/>
    </xf>
    <xf numFmtId="40" fontId="79" fillId="0" borderId="0" xfId="25" applyNumberFormat="1" applyFont="1" applyAlignment="1">
      <alignment horizontal="center" vertical="top"/>
    </xf>
    <xf numFmtId="188" fontId="89" fillId="0" borderId="0" xfId="25" applyNumberFormat="1" applyFont="1" applyAlignment="1">
      <alignment vertical="top"/>
    </xf>
    <xf numFmtId="0" fontId="82" fillId="0" borderId="0" xfId="25" applyFont="1" applyAlignment="1">
      <alignment horizontal="center" vertical="top" wrapText="1"/>
    </xf>
    <xf numFmtId="0" fontId="82" fillId="0" borderId="0" xfId="25" applyFont="1" applyAlignment="1">
      <alignment horizontal="center" vertical="top" shrinkToFit="1"/>
    </xf>
    <xf numFmtId="0" fontId="82" fillId="0" borderId="0" xfId="25" applyFont="1" applyAlignment="1">
      <alignment horizontal="right" vertical="top" wrapText="1"/>
    </xf>
    <xf numFmtId="40" fontId="89" fillId="0" borderId="0" xfId="25" applyNumberFormat="1" applyFont="1" applyAlignment="1">
      <alignment horizontal="center" vertical="top"/>
    </xf>
    <xf numFmtId="0" fontId="10" fillId="0" borderId="0" xfId="25" applyFont="1" applyAlignment="1">
      <alignment horizontal="center"/>
    </xf>
    <xf numFmtId="0" fontId="15" fillId="0" borderId="0" xfId="25" applyFont="1"/>
    <xf numFmtId="0" fontId="10" fillId="0" borderId="8" xfId="25" applyFont="1" applyBorder="1" applyAlignment="1">
      <alignment horizontal="center"/>
    </xf>
    <xf numFmtId="0" fontId="10" fillId="0" borderId="2" xfId="25" applyFont="1" applyBorder="1" applyAlignment="1">
      <alignment horizontal="center"/>
    </xf>
    <xf numFmtId="3" fontId="10" fillId="0" borderId="2" xfId="25" applyNumberFormat="1" applyFont="1" applyBorder="1" applyAlignment="1">
      <alignment horizontal="center"/>
    </xf>
    <xf numFmtId="0" fontId="10" fillId="0" borderId="2" xfId="25" applyFont="1" applyBorder="1" applyAlignment="1">
      <alignment horizontal="center" shrinkToFit="1"/>
    </xf>
    <xf numFmtId="0" fontId="10" fillId="0" borderId="0" xfId="25" applyFont="1"/>
    <xf numFmtId="0" fontId="15" fillId="0" borderId="2" xfId="25" applyFont="1" applyBorder="1" applyAlignment="1">
      <alignment horizontal="center"/>
    </xf>
    <xf numFmtId="0" fontId="90" fillId="6" borderId="2" xfId="0" applyFont="1" applyFill="1" applyBorder="1" applyAlignment="1">
      <alignment horizontal="left" shrinkToFit="1"/>
    </xf>
    <xf numFmtId="187" fontId="90" fillId="6" borderId="2" xfId="3" applyNumberFormat="1" applyFont="1" applyFill="1" applyBorder="1" applyAlignment="1">
      <alignment shrinkToFit="1"/>
    </xf>
    <xf numFmtId="43" fontId="15" fillId="0" borderId="2" xfId="26" applyFont="1" applyFill="1" applyBorder="1" applyAlignment="1">
      <alignment horizontal="right"/>
    </xf>
    <xf numFmtId="0" fontId="90" fillId="6" borderId="10" xfId="0" applyFont="1" applyFill="1" applyBorder="1" applyAlignment="1">
      <alignment horizontal="left" shrinkToFit="1"/>
    </xf>
    <xf numFmtId="187" fontId="90" fillId="6" borderId="10" xfId="3" applyNumberFormat="1" applyFont="1" applyFill="1" applyBorder="1" applyAlignment="1">
      <alignment shrinkToFit="1"/>
    </xf>
    <xf numFmtId="0" fontId="10" fillId="0" borderId="2" xfId="25" applyFont="1" applyBorder="1" applyAlignment="1">
      <alignment horizontal="right"/>
    </xf>
    <xf numFmtId="3" fontId="10" fillId="0" borderId="2" xfId="26" applyNumberFormat="1" applyFont="1" applyFill="1" applyBorder="1" applyAlignment="1">
      <alignment horizontal="right"/>
    </xf>
    <xf numFmtId="0" fontId="10" fillId="0" borderId="2" xfId="25" applyFont="1" applyBorder="1" applyAlignment="1">
      <alignment shrinkToFit="1"/>
    </xf>
    <xf numFmtId="0" fontId="15" fillId="0" borderId="0" xfId="25" applyFont="1" applyAlignment="1">
      <alignment horizontal="center"/>
    </xf>
    <xf numFmtId="0" fontId="15" fillId="0" borderId="0" xfId="25" applyFont="1" applyAlignment="1">
      <alignment horizontal="left"/>
    </xf>
    <xf numFmtId="3" fontId="15" fillId="0" borderId="0" xfId="25" applyNumberFormat="1" applyFont="1" applyAlignment="1">
      <alignment horizontal="right"/>
    </xf>
    <xf numFmtId="43" fontId="15" fillId="0" borderId="0" xfId="25" applyNumberFormat="1" applyFont="1" applyAlignment="1">
      <alignment horizontal="right"/>
    </xf>
    <xf numFmtId="0" fontId="15" fillId="0" borderId="0" xfId="25" applyFont="1" applyAlignment="1">
      <alignment horizontal="right"/>
    </xf>
    <xf numFmtId="0" fontId="15" fillId="0" borderId="0" xfId="25" applyFont="1" applyAlignment="1">
      <alignment shrinkToFit="1"/>
    </xf>
    <xf numFmtId="43" fontId="15" fillId="0" borderId="0" xfId="3" applyFont="1" applyFill="1" applyBorder="1" applyAlignment="1">
      <alignment horizontal="right"/>
    </xf>
    <xf numFmtId="40" fontId="15" fillId="0" borderId="0" xfId="25" applyNumberFormat="1" applyFont="1" applyAlignment="1">
      <alignment horizontal="right" vertical="top" shrinkToFit="1"/>
    </xf>
    <xf numFmtId="0" fontId="15" fillId="0" borderId="0" xfId="25" applyFont="1" applyAlignment="1">
      <alignment horizontal="center" vertical="top" wrapText="1"/>
    </xf>
    <xf numFmtId="0" fontId="15" fillId="0" borderId="0" xfId="25" applyFont="1" applyAlignment="1">
      <alignment horizontal="center" vertical="top" shrinkToFit="1"/>
    </xf>
    <xf numFmtId="0" fontId="10" fillId="6" borderId="0" xfId="25" applyFont="1" applyFill="1" applyAlignment="1">
      <alignment horizontal="center"/>
    </xf>
    <xf numFmtId="0" fontId="15" fillId="6" borderId="0" xfId="25" applyFont="1" applyFill="1"/>
    <xf numFmtId="0" fontId="15" fillId="6" borderId="0" xfId="25" applyFont="1" applyFill="1" applyAlignment="1">
      <alignment horizontal="center"/>
    </xf>
    <xf numFmtId="0" fontId="10" fillId="6" borderId="8" xfId="25" applyFont="1" applyFill="1" applyBorder="1" applyAlignment="1">
      <alignment horizontal="center"/>
    </xf>
    <xf numFmtId="0" fontId="10" fillId="6" borderId="2" xfId="25" applyFont="1" applyFill="1" applyBorder="1" applyAlignment="1">
      <alignment horizontal="center"/>
    </xf>
    <xf numFmtId="9" fontId="10" fillId="6" borderId="2" xfId="25" applyNumberFormat="1" applyFont="1" applyFill="1" applyBorder="1" applyAlignment="1">
      <alignment horizontal="center"/>
    </xf>
    <xf numFmtId="0" fontId="10" fillId="6" borderId="2" xfId="25" applyFont="1" applyFill="1" applyBorder="1" applyAlignment="1">
      <alignment horizontal="center" shrinkToFit="1"/>
    </xf>
    <xf numFmtId="0" fontId="10" fillId="6" borderId="0" xfId="25" applyFont="1" applyFill="1"/>
    <xf numFmtId="0" fontId="15" fillId="6" borderId="2" xfId="19" applyFont="1" applyFill="1" applyBorder="1" applyAlignment="1">
      <alignment horizontal="center" vertical="center"/>
    </xf>
    <xf numFmtId="0" fontId="91" fillId="6" borderId="2" xfId="0" applyFont="1" applyFill="1" applyBorder="1" applyAlignment="1">
      <alignment horizontal="left" shrinkToFit="1"/>
    </xf>
    <xf numFmtId="43" fontId="15" fillId="6" borderId="2" xfId="26" applyFont="1" applyFill="1" applyBorder="1" applyAlignment="1">
      <alignment horizontal="center"/>
    </xf>
    <xf numFmtId="43" fontId="15" fillId="6" borderId="2" xfId="26" applyFont="1" applyFill="1" applyBorder="1"/>
    <xf numFmtId="0" fontId="15" fillId="6" borderId="2" xfId="25" applyFont="1" applyFill="1" applyBorder="1" applyAlignment="1">
      <alignment shrinkToFit="1"/>
    </xf>
    <xf numFmtId="0" fontId="91" fillId="4" borderId="2" xfId="0" applyFont="1" applyFill="1" applyBorder="1" applyAlignment="1">
      <alignment horizontal="left" shrinkToFit="1"/>
    </xf>
    <xf numFmtId="187" fontId="91" fillId="6" borderId="2" xfId="3" applyNumberFormat="1" applyFont="1" applyFill="1" applyBorder="1" applyAlignment="1">
      <alignment shrinkToFit="1"/>
    </xf>
    <xf numFmtId="0" fontId="91" fillId="6" borderId="10" xfId="0" applyFont="1" applyFill="1" applyBorder="1" applyAlignment="1">
      <alignment horizontal="left" shrinkToFit="1"/>
    </xf>
    <xf numFmtId="187" fontId="91" fillId="6" borderId="10" xfId="3" applyNumberFormat="1" applyFont="1" applyFill="1" applyBorder="1" applyAlignment="1">
      <alignment shrinkToFit="1"/>
    </xf>
    <xf numFmtId="0" fontId="10" fillId="6" borderId="3" xfId="25" applyFont="1" applyFill="1" applyBorder="1" applyAlignment="1">
      <alignment horizontal="right"/>
    </xf>
    <xf numFmtId="0" fontId="10" fillId="6" borderId="4" xfId="25" applyFont="1" applyFill="1" applyBorder="1" applyAlignment="1">
      <alignment horizontal="right"/>
    </xf>
    <xf numFmtId="43" fontId="10" fillId="6" borderId="2" xfId="26" applyFont="1" applyFill="1" applyBorder="1"/>
    <xf numFmtId="0" fontId="10" fillId="6" borderId="2" xfId="25" applyFont="1" applyFill="1" applyBorder="1" applyAlignment="1">
      <alignment shrinkToFit="1"/>
    </xf>
    <xf numFmtId="43" fontId="15" fillId="6" borderId="0" xfId="25" applyNumberFormat="1" applyFont="1" applyFill="1"/>
    <xf numFmtId="43" fontId="15" fillId="6" borderId="0" xfId="26" applyFont="1" applyFill="1" applyBorder="1"/>
    <xf numFmtId="0" fontId="15" fillId="6" borderId="0" xfId="25" applyFont="1" applyFill="1" applyAlignment="1">
      <alignment shrinkToFit="1"/>
    </xf>
    <xf numFmtId="0" fontId="70" fillId="6" borderId="0" xfId="25" applyFont="1" applyFill="1"/>
    <xf numFmtId="0" fontId="15" fillId="6" borderId="0" xfId="25" applyFont="1" applyFill="1" applyAlignment="1">
      <alignment horizontal="center" vertical="top" wrapText="1"/>
    </xf>
    <xf numFmtId="0" fontId="15" fillId="6" borderId="0" xfId="25" applyFont="1" applyFill="1" applyAlignment="1">
      <alignment horizontal="center" vertical="top" shrinkToFit="1"/>
    </xf>
    <xf numFmtId="0" fontId="42" fillId="0" borderId="0" xfId="25" applyFont="1" applyAlignment="1">
      <alignment horizontal="center"/>
    </xf>
    <xf numFmtId="0" fontId="42" fillId="0" borderId="0" xfId="25" applyFont="1"/>
    <xf numFmtId="0" fontId="83" fillId="0" borderId="0" xfId="25" applyFont="1"/>
    <xf numFmtId="0" fontId="42" fillId="0" borderId="0" xfId="25" applyFont="1" applyAlignment="1">
      <alignment horizontal="center"/>
    </xf>
    <xf numFmtId="0" fontId="42" fillId="0" borderId="2" xfId="25" applyFont="1" applyBorder="1" applyAlignment="1">
      <alignment horizontal="center"/>
    </xf>
    <xf numFmtId="0" fontId="15" fillId="0" borderId="2" xfId="25" applyFont="1" applyBorder="1" applyAlignment="1">
      <alignment horizontal="center" shrinkToFit="1"/>
    </xf>
    <xf numFmtId="0" fontId="15" fillId="0" borderId="2" xfId="25" applyFont="1" applyBorder="1" applyAlignment="1">
      <alignment shrinkToFit="1"/>
    </xf>
    <xf numFmtId="43" fontId="15" fillId="0" borderId="2" xfId="26" applyFont="1" applyFill="1" applyBorder="1" applyAlignment="1">
      <alignment horizontal="center" shrinkToFit="1"/>
    </xf>
    <xf numFmtId="43" fontId="15" fillId="0" borderId="2" xfId="26" applyFont="1" applyFill="1" applyBorder="1" applyAlignment="1">
      <alignment shrinkToFit="1"/>
    </xf>
    <xf numFmtId="0" fontId="15" fillId="0" borderId="3" xfId="25" applyFont="1" applyBorder="1" applyAlignment="1">
      <alignment horizontal="center" shrinkToFit="1"/>
    </xf>
    <xf numFmtId="0" fontId="15" fillId="0" borderId="22" xfId="25" applyFont="1" applyBorder="1" applyAlignment="1">
      <alignment shrinkToFit="1"/>
    </xf>
    <xf numFmtId="0" fontId="10" fillId="0" borderId="3" xfId="25" applyFont="1" applyBorder="1" applyAlignment="1">
      <alignment horizontal="right" shrinkToFit="1"/>
    </xf>
    <xf numFmtId="0" fontId="10" fillId="0" borderId="22" xfId="25" applyFont="1" applyBorder="1" applyAlignment="1">
      <alignment horizontal="right" shrinkToFit="1"/>
    </xf>
    <xf numFmtId="0" fontId="10" fillId="0" borderId="4" xfId="25" applyFont="1" applyBorder="1" applyAlignment="1">
      <alignment horizontal="right" shrinkToFit="1"/>
    </xf>
    <xf numFmtId="43" fontId="10" fillId="0" borderId="2" xfId="26" quotePrefix="1" applyFont="1" applyFill="1" applyBorder="1" applyAlignment="1">
      <alignment horizontal="center" shrinkToFit="1"/>
    </xf>
    <xf numFmtId="43" fontId="10" fillId="0" borderId="2" xfId="25" applyNumberFormat="1" applyFont="1" applyBorder="1" applyAlignment="1">
      <alignment shrinkToFit="1"/>
    </xf>
    <xf numFmtId="0" fontId="10" fillId="0" borderId="0" xfId="25" applyFont="1" applyAlignment="1">
      <alignment shrinkToFit="1"/>
    </xf>
    <xf numFmtId="0" fontId="15" fillId="0" borderId="10" xfId="25" applyFont="1" applyBorder="1" applyAlignment="1">
      <alignment shrinkToFit="1"/>
    </xf>
    <xf numFmtId="0" fontId="15" fillId="6" borderId="10" xfId="27" applyFont="1" applyFill="1" applyBorder="1" applyAlignment="1">
      <alignment vertical="center" wrapText="1"/>
    </xf>
    <xf numFmtId="43" fontId="10" fillId="0" borderId="2" xfId="26" applyFont="1" applyFill="1" applyBorder="1" applyAlignment="1">
      <alignment shrinkToFit="1"/>
    </xf>
    <xf numFmtId="43" fontId="15" fillId="0" borderId="2" xfId="26" quotePrefix="1" applyFont="1" applyFill="1" applyBorder="1" applyAlignment="1">
      <alignment horizontal="center" shrinkToFit="1"/>
    </xf>
    <xf numFmtId="43" fontId="83" fillId="0" borderId="0" xfId="25" applyNumberFormat="1" applyFont="1"/>
    <xf numFmtId="0" fontId="10" fillId="0" borderId="9" xfId="25" applyFont="1" applyBorder="1" applyAlignment="1">
      <alignment horizontal="center" vertical="center" shrinkToFit="1"/>
    </xf>
    <xf numFmtId="0" fontId="15" fillId="0" borderId="0" xfId="25" applyFont="1" applyAlignment="1">
      <alignment horizontal="center" shrinkToFit="1"/>
    </xf>
    <xf numFmtId="0" fontId="93" fillId="6" borderId="2" xfId="25" applyFont="1" applyFill="1" applyBorder="1" applyAlignment="1">
      <alignment horizontal="left"/>
    </xf>
    <xf numFmtId="0" fontId="93" fillId="6" borderId="2" xfId="25" applyFont="1" applyFill="1" applyBorder="1" applyAlignment="1">
      <alignment horizontal="center"/>
    </xf>
    <xf numFmtId="0" fontId="15" fillId="0" borderId="2" xfId="25" applyFont="1" applyBorder="1"/>
    <xf numFmtId="197" fontId="15" fillId="0" borderId="2" xfId="26" applyNumberFormat="1" applyFont="1" applyFill="1" applyBorder="1" applyAlignment="1">
      <alignment horizontal="center"/>
    </xf>
    <xf numFmtId="0" fontId="93" fillId="6" borderId="2" xfId="0" applyFont="1" applyFill="1" applyBorder="1" applyAlignment="1">
      <alignment vertical="center" wrapText="1"/>
    </xf>
    <xf numFmtId="0" fontId="93" fillId="6" borderId="10" xfId="0" applyFont="1" applyFill="1" applyBorder="1" applyAlignment="1">
      <alignment vertical="center" wrapText="1"/>
    </xf>
    <xf numFmtId="0" fontId="93" fillId="6" borderId="10" xfId="25" applyFont="1" applyFill="1" applyBorder="1" applyAlignment="1">
      <alignment horizontal="left" shrinkToFit="1"/>
    </xf>
    <xf numFmtId="0" fontId="93" fillId="6" borderId="2" xfId="25" applyFont="1" applyFill="1" applyBorder="1" applyAlignment="1">
      <alignment vertical="center" wrapText="1"/>
    </xf>
    <xf numFmtId="0" fontId="93" fillId="6" borderId="2" xfId="0" applyFont="1" applyFill="1" applyBorder="1" applyAlignment="1">
      <alignment horizontal="left" shrinkToFit="1"/>
    </xf>
    <xf numFmtId="0" fontId="93" fillId="6" borderId="2" xfId="25" applyFont="1" applyFill="1" applyBorder="1" applyAlignment="1">
      <alignment horizontal="left" shrinkToFit="1"/>
    </xf>
    <xf numFmtId="43" fontId="15" fillId="6" borderId="2" xfId="26" applyFont="1" applyFill="1" applyBorder="1" applyAlignment="1">
      <alignment horizontal="center" vertical="center"/>
    </xf>
    <xf numFmtId="0" fontId="93" fillId="6" borderId="2" xfId="25" applyFont="1" applyFill="1" applyBorder="1" applyAlignment="1">
      <alignment vertical="center"/>
    </xf>
    <xf numFmtId="0" fontId="93" fillId="6" borderId="2" xfId="0" applyFont="1" applyFill="1" applyBorder="1" applyAlignment="1">
      <alignment vertical="center"/>
    </xf>
    <xf numFmtId="0" fontId="93" fillId="6" borderId="10" xfId="0" applyFont="1" applyFill="1" applyBorder="1" applyAlignment="1">
      <alignment horizontal="left" shrinkToFit="1"/>
    </xf>
    <xf numFmtId="0" fontId="94" fillId="6" borderId="2" xfId="0" applyFont="1" applyFill="1" applyBorder="1" applyAlignment="1">
      <alignment horizontal="center"/>
    </xf>
    <xf numFmtId="0" fontId="10" fillId="0" borderId="3" xfId="25" applyFont="1" applyBorder="1" applyAlignment="1">
      <alignment horizontal="right"/>
    </xf>
    <xf numFmtId="0" fontId="10" fillId="0" borderId="22" xfId="25" applyFont="1" applyBorder="1" applyAlignment="1">
      <alignment horizontal="right"/>
    </xf>
    <xf numFmtId="0" fontId="10" fillId="0" borderId="4" xfId="25" applyFont="1" applyBorder="1" applyAlignment="1">
      <alignment horizontal="right"/>
    </xf>
    <xf numFmtId="197" fontId="10" fillId="0" borderId="2" xfId="25" applyNumberFormat="1" applyFont="1" applyBorder="1"/>
    <xf numFmtId="0" fontId="15" fillId="0" borderId="0" xfId="25" applyFont="1" applyAlignment="1">
      <alignment horizontal="center" vertical="top" wrapText="1"/>
    </xf>
    <xf numFmtId="0" fontId="93" fillId="6" borderId="0" xfId="0" applyFont="1" applyFill="1" applyAlignment="1">
      <alignment horizontal="center"/>
    </xf>
    <xf numFmtId="0" fontId="95" fillId="6" borderId="2" xfId="0" applyFont="1" applyFill="1" applyBorder="1" applyAlignment="1">
      <alignment horizontal="center"/>
    </xf>
    <xf numFmtId="43" fontId="95" fillId="6" borderId="2" xfId="3" applyFont="1" applyFill="1" applyBorder="1" applyAlignment="1">
      <alignment horizontal="center"/>
    </xf>
    <xf numFmtId="17" fontId="95" fillId="6" borderId="2" xfId="3" applyNumberFormat="1" applyFont="1" applyFill="1" applyBorder="1" applyAlignment="1">
      <alignment horizontal="center"/>
    </xf>
    <xf numFmtId="0" fontId="93" fillId="6" borderId="2" xfId="0" applyFont="1" applyFill="1" applyBorder="1" applyAlignment="1">
      <alignment horizontal="center"/>
    </xf>
    <xf numFmtId="43" fontId="93" fillId="6" borderId="2" xfId="3" applyFont="1" applyFill="1" applyBorder="1" applyAlignment="1">
      <alignment horizontal="center"/>
    </xf>
    <xf numFmtId="43" fontId="15" fillId="0" borderId="2" xfId="25" applyNumberFormat="1" applyFont="1" applyBorder="1"/>
    <xf numFmtId="43" fontId="93" fillId="6" borderId="2" xfId="3" applyFont="1" applyFill="1" applyBorder="1" applyAlignment="1">
      <alignment horizontal="center" vertical="center"/>
    </xf>
    <xf numFmtId="43" fontId="93" fillId="6" borderId="2" xfId="3" applyFont="1" applyFill="1" applyBorder="1"/>
    <xf numFmtId="0" fontId="15" fillId="6" borderId="0" xfId="0" applyFont="1" applyFill="1"/>
    <xf numFmtId="43" fontId="93" fillId="6" borderId="10" xfId="3" applyFont="1" applyFill="1" applyBorder="1" applyAlignment="1">
      <alignment horizontal="center"/>
    </xf>
    <xf numFmtId="43" fontId="15" fillId="0" borderId="0" xfId="25" applyNumberFormat="1" applyFont="1"/>
    <xf numFmtId="0" fontId="10" fillId="0" borderId="0" xfId="25" applyFont="1"/>
    <xf numFmtId="0" fontId="93" fillId="6" borderId="10" xfId="0" applyFont="1" applyFill="1" applyBorder="1" applyAlignment="1">
      <alignment horizontal="center" vertical="center" wrapText="1"/>
    </xf>
    <xf numFmtId="43" fontId="15" fillId="0" borderId="10" xfId="26" applyFont="1" applyBorder="1"/>
    <xf numFmtId="0" fontId="15" fillId="6" borderId="2" xfId="25" applyFont="1" applyFill="1" applyBorder="1"/>
    <xf numFmtId="0" fontId="15" fillId="6" borderId="10" xfId="25" applyFont="1" applyFill="1" applyBorder="1" applyAlignment="1">
      <alignment horizontal="center"/>
    </xf>
    <xf numFmtId="43" fontId="15" fillId="0" borderId="2" xfId="26" applyFont="1" applyBorder="1"/>
    <xf numFmtId="0" fontId="10" fillId="0" borderId="4" xfId="25" applyFont="1" applyBorder="1" applyAlignment="1">
      <alignment horizontal="center"/>
    </xf>
    <xf numFmtId="43" fontId="10" fillId="0" borderId="2" xfId="25" applyNumberFormat="1" applyFont="1" applyBorder="1"/>
    <xf numFmtId="43" fontId="15" fillId="0" borderId="0" xfId="26" applyFont="1" applyFill="1" applyBorder="1" applyAlignment="1">
      <alignment shrinkToFit="1"/>
    </xf>
    <xf numFmtId="43" fontId="15" fillId="0" borderId="0" xfId="26" applyFont="1"/>
    <xf numFmtId="43" fontId="10" fillId="0" borderId="2" xfId="26" applyFont="1" applyFill="1" applyBorder="1" applyAlignment="1">
      <alignment horizontal="center"/>
    </xf>
    <xf numFmtId="0" fontId="10" fillId="0" borderId="0" xfId="25" applyFont="1" applyAlignment="1">
      <alignment horizontal="center"/>
    </xf>
    <xf numFmtId="0" fontId="15" fillId="4" borderId="2" xfId="25" applyFont="1" applyFill="1" applyBorder="1" applyAlignment="1">
      <alignment horizontal="center"/>
    </xf>
    <xf numFmtId="0" fontId="15" fillId="4" borderId="2" xfId="25" applyFont="1" applyFill="1" applyBorder="1"/>
    <xf numFmtId="43" fontId="15" fillId="4" borderId="2" xfId="26" applyFont="1" applyFill="1" applyBorder="1"/>
    <xf numFmtId="0" fontId="15" fillId="4" borderId="0" xfId="25" applyFont="1" applyFill="1"/>
    <xf numFmtId="43" fontId="15" fillId="0" borderId="2" xfId="26" applyFont="1" applyFill="1" applyBorder="1"/>
    <xf numFmtId="0" fontId="15" fillId="37" borderId="2" xfId="25" applyFont="1" applyFill="1" applyBorder="1"/>
    <xf numFmtId="43" fontId="10" fillId="0" borderId="2" xfId="26" applyFont="1" applyFill="1" applyBorder="1"/>
    <xf numFmtId="43" fontId="15" fillId="0" borderId="0" xfId="26" applyFont="1" applyFill="1"/>
    <xf numFmtId="0" fontId="7" fillId="0" borderId="0" xfId="25" applyFont="1" applyAlignment="1">
      <alignment vertical="center"/>
    </xf>
    <xf numFmtId="0" fontId="6" fillId="0" borderId="9" xfId="25" applyFont="1" applyBorder="1" applyAlignment="1">
      <alignment horizontal="center" vertical="center"/>
    </xf>
    <xf numFmtId="0" fontId="7" fillId="0" borderId="2" xfId="25" applyFont="1" applyBorder="1" applyAlignment="1">
      <alignment horizontal="center" vertical="center"/>
    </xf>
    <xf numFmtId="4" fontId="7" fillId="0" borderId="2" xfId="25" applyNumberFormat="1" applyFont="1" applyBorder="1" applyAlignment="1">
      <alignment horizontal="right" vertical="center"/>
    </xf>
    <xf numFmtId="0" fontId="7" fillId="0" borderId="2" xfId="25" applyFont="1" applyBorder="1" applyAlignment="1">
      <alignment horizontal="right" vertical="center"/>
    </xf>
    <xf numFmtId="0" fontId="7" fillId="0" borderId="3" xfId="25" applyFont="1" applyBorder="1" applyAlignment="1">
      <alignment horizontal="center" vertical="center"/>
    </xf>
    <xf numFmtId="0" fontId="7" fillId="0" borderId="4" xfId="25" applyFont="1" applyBorder="1" applyAlignment="1">
      <alignment horizontal="center" vertical="center"/>
    </xf>
    <xf numFmtId="0" fontId="7" fillId="0" borderId="2" xfId="25" applyFont="1" applyBorder="1" applyAlignment="1">
      <alignment horizontal="center" vertical="center"/>
    </xf>
    <xf numFmtId="0" fontId="7" fillId="0" borderId="22" xfId="25" applyFont="1" applyBorder="1" applyAlignment="1">
      <alignment horizontal="center" vertical="center"/>
    </xf>
    <xf numFmtId="0" fontId="7" fillId="0" borderId="2" xfId="25" applyFont="1" applyBorder="1" applyAlignment="1">
      <alignment vertical="center"/>
    </xf>
    <xf numFmtId="0" fontId="6" fillId="0" borderId="10" xfId="25" applyFont="1" applyBorder="1" applyAlignment="1">
      <alignment horizontal="center" vertical="center"/>
    </xf>
    <xf numFmtId="4" fontId="7" fillId="0" borderId="2" xfId="26" applyNumberFormat="1" applyFont="1" applyFill="1" applyBorder="1" applyAlignment="1">
      <alignment horizontal="center" vertical="center"/>
    </xf>
    <xf numFmtId="3" fontId="7" fillId="0" borderId="2" xfId="25" applyNumberFormat="1" applyFont="1" applyBorder="1" applyAlignment="1">
      <alignment horizontal="center" vertical="center"/>
    </xf>
    <xf numFmtId="0" fontId="7" fillId="0" borderId="4" xfId="25" applyFont="1" applyBorder="1" applyAlignment="1">
      <alignment horizontal="center" vertical="center" wrapText="1"/>
    </xf>
    <xf numFmtId="0" fontId="7" fillId="0" borderId="2" xfId="25" applyFont="1" applyBorder="1" applyAlignment="1">
      <alignment horizontal="center" vertical="center" wrapText="1"/>
    </xf>
    <xf numFmtId="4" fontId="7" fillId="0" borderId="2" xfId="25" applyNumberFormat="1" applyFont="1" applyBorder="1" applyAlignment="1">
      <alignment horizontal="center" vertical="center" wrapText="1"/>
    </xf>
    <xf numFmtId="0" fontId="7" fillId="0" borderId="4" xfId="25" applyFont="1" applyBorder="1" applyAlignment="1">
      <alignment horizontal="center" vertical="center"/>
    </xf>
    <xf numFmtId="0" fontId="7" fillId="0" borderId="0" xfId="25" applyFont="1" applyAlignment="1">
      <alignment horizontal="center" vertical="center"/>
    </xf>
    <xf numFmtId="0" fontId="7" fillId="0" borderId="3" xfId="25" applyFont="1" applyBorder="1" applyAlignment="1">
      <alignment horizontal="center" vertical="center" wrapText="1"/>
    </xf>
    <xf numFmtId="0" fontId="7" fillId="0" borderId="4" xfId="25" applyFont="1" applyBorder="1" applyAlignment="1">
      <alignment horizontal="center" vertical="center" wrapText="1"/>
    </xf>
    <xf numFmtId="4" fontId="6" fillId="0" borderId="2" xfId="25" applyNumberFormat="1" applyFont="1" applyBorder="1" applyAlignment="1">
      <alignment horizontal="right" vertical="center" wrapText="1"/>
    </xf>
    <xf numFmtId="4" fontId="6" fillId="0" borderId="2" xfId="26" applyNumberFormat="1" applyFont="1" applyFill="1" applyBorder="1" applyAlignment="1">
      <alignment horizontal="right" vertical="center" wrapText="1"/>
    </xf>
    <xf numFmtId="0" fontId="6" fillId="0" borderId="2" xfId="25" applyFont="1" applyBorder="1" applyAlignment="1">
      <alignment vertical="center"/>
    </xf>
    <xf numFmtId="0" fontId="6" fillId="0" borderId="2" xfId="25" applyFont="1" applyBorder="1" applyAlignment="1">
      <alignment horizontal="center" vertical="center"/>
    </xf>
    <xf numFmtId="17" fontId="6" fillId="0" borderId="2" xfId="25" applyNumberFormat="1" applyFont="1" applyBorder="1" applyAlignment="1">
      <alignment vertical="center"/>
    </xf>
    <xf numFmtId="4" fontId="6" fillId="0" borderId="2" xfId="25" applyNumberFormat="1" applyFont="1" applyBorder="1" applyAlignment="1">
      <alignment horizontal="right" vertical="center"/>
    </xf>
    <xf numFmtId="0" fontId="6" fillId="0" borderId="2" xfId="25" applyFont="1" applyBorder="1" applyAlignment="1">
      <alignment horizontal="center" vertical="center" wrapText="1"/>
    </xf>
    <xf numFmtId="0" fontId="6" fillId="0" borderId="0" xfId="25" applyFont="1" applyAlignment="1">
      <alignment vertical="center"/>
    </xf>
    <xf numFmtId="0" fontId="6" fillId="0" borderId="56" xfId="25" applyFont="1" applyBorder="1" applyAlignment="1">
      <alignment horizontal="center" vertical="top"/>
    </xf>
    <xf numFmtId="0" fontId="4" fillId="0" borderId="56" xfId="0" applyFont="1" applyBorder="1" applyAlignment="1">
      <alignment vertical="center" shrinkToFit="1"/>
    </xf>
    <xf numFmtId="43" fontId="4" fillId="0" borderId="8" xfId="0" applyNumberFormat="1" applyFont="1" applyBorder="1" applyAlignment="1">
      <alignment horizontal="right" vertical="center" wrapText="1"/>
    </xf>
    <xf numFmtId="43" fontId="4" fillId="0" borderId="10" xfId="3" applyFont="1" applyFill="1" applyBorder="1" applyAlignment="1">
      <alignment horizontal="right" vertical="center" wrapText="1" shrinkToFit="1"/>
    </xf>
    <xf numFmtId="4" fontId="6" fillId="0" borderId="2" xfId="25" applyNumberFormat="1" applyFont="1" applyBorder="1" applyAlignment="1">
      <alignment vertical="center"/>
    </xf>
    <xf numFmtId="4" fontId="6" fillId="0" borderId="10" xfId="25" applyNumberFormat="1" applyFont="1" applyBorder="1" applyAlignment="1">
      <alignment horizontal="right" vertical="center"/>
    </xf>
    <xf numFmtId="0" fontId="6" fillId="0" borderId="2" xfId="19" applyFont="1" applyBorder="1" applyAlignment="1">
      <alignment vertical="center"/>
    </xf>
    <xf numFmtId="198" fontId="4" fillId="0" borderId="56" xfId="0" applyNumberFormat="1" applyFont="1" applyBorder="1" applyAlignment="1">
      <alignment vertical="center" wrapText="1" shrinkToFit="1"/>
    </xf>
    <xf numFmtId="43" fontId="4" fillId="0" borderId="2" xfId="0" quotePrefix="1" applyNumberFormat="1" applyFont="1" applyBorder="1" applyAlignment="1">
      <alignment vertical="center" wrapText="1"/>
    </xf>
    <xf numFmtId="0" fontId="6" fillId="0" borderId="10" xfId="25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43" fontId="4" fillId="0" borderId="10" xfId="3" applyFont="1" applyFill="1" applyBorder="1" applyAlignment="1">
      <alignment horizontal="right" vertical="center" wrapText="1"/>
    </xf>
    <xf numFmtId="0" fontId="4" fillId="0" borderId="56" xfId="0" applyFont="1" applyBorder="1" applyAlignment="1">
      <alignment vertical="center" wrapText="1"/>
    </xf>
    <xf numFmtId="43" fontId="4" fillId="0" borderId="2" xfId="0" quotePrefix="1" applyNumberFormat="1" applyFont="1" applyBorder="1" applyAlignment="1">
      <alignment horizontal="right" vertical="center" wrapText="1"/>
    </xf>
    <xf numFmtId="0" fontId="4" fillId="0" borderId="10" xfId="0" applyFont="1" applyBorder="1" applyAlignment="1">
      <alignment horizontal="left" vertical="center" wrapText="1"/>
    </xf>
    <xf numFmtId="43" fontId="4" fillId="0" borderId="10" xfId="0" quotePrefix="1" applyNumberFormat="1" applyFont="1" applyBorder="1" applyAlignment="1">
      <alignment vertical="center" wrapText="1"/>
    </xf>
    <xf numFmtId="0" fontId="4" fillId="0" borderId="10" xfId="0" applyFont="1" applyBorder="1" applyAlignment="1">
      <alignment horizontal="left" vertical="center" wrapText="1" shrinkToFit="1"/>
    </xf>
    <xf numFmtId="43" fontId="4" fillId="0" borderId="8" xfId="0" applyNumberFormat="1" applyFont="1" applyBorder="1" applyAlignment="1">
      <alignment horizontal="center" vertical="center"/>
    </xf>
    <xf numFmtId="43" fontId="4" fillId="0" borderId="10" xfId="3" applyFont="1" applyFill="1" applyBorder="1" applyAlignment="1">
      <alignment horizontal="center" vertical="center"/>
    </xf>
    <xf numFmtId="0" fontId="6" fillId="0" borderId="2" xfId="28" applyFont="1" applyBorder="1" applyAlignment="1">
      <alignment horizontal="left" vertical="top" wrapText="1"/>
    </xf>
    <xf numFmtId="43" fontId="4" fillId="0" borderId="2" xfId="0" applyNumberFormat="1" applyFont="1" applyBorder="1" applyAlignment="1">
      <alignment horizontal="right" vertical="center" wrapText="1"/>
    </xf>
    <xf numFmtId="43" fontId="4" fillId="0" borderId="2" xfId="3" applyFont="1" applyFill="1" applyBorder="1" applyAlignment="1">
      <alignment horizontal="right" vertical="center" wrapText="1"/>
    </xf>
    <xf numFmtId="0" fontId="6" fillId="0" borderId="2" xfId="25" applyFont="1" applyBorder="1" applyAlignment="1">
      <alignment horizontal="center" vertical="top"/>
    </xf>
    <xf numFmtId="0" fontId="4" fillId="0" borderId="4" xfId="0" applyFont="1" applyBorder="1" applyAlignment="1">
      <alignment horizontal="left" vertical="center" wrapText="1"/>
    </xf>
    <xf numFmtId="0" fontId="7" fillId="0" borderId="3" xfId="25" applyFont="1" applyBorder="1" applyAlignment="1">
      <alignment horizontal="right" vertical="center"/>
    </xf>
    <xf numFmtId="0" fontId="7" fillId="0" borderId="4" xfId="25" applyFont="1" applyBorder="1" applyAlignment="1">
      <alignment horizontal="right" vertical="center"/>
    </xf>
    <xf numFmtId="0" fontId="6" fillId="0" borderId="3" xfId="25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top" wrapText="1"/>
    </xf>
    <xf numFmtId="43" fontId="82" fillId="0" borderId="8" xfId="0" applyNumberFormat="1" applyFont="1" applyBorder="1" applyAlignment="1">
      <alignment horizontal="right" vertical="top" wrapText="1"/>
    </xf>
    <xf numFmtId="43" fontId="82" fillId="0" borderId="10" xfId="3" applyFont="1" applyFill="1" applyBorder="1" applyAlignment="1">
      <alignment horizontal="right" vertical="top" wrapText="1" shrinkToFit="1"/>
    </xf>
    <xf numFmtId="43" fontId="82" fillId="0" borderId="10" xfId="3" applyFont="1" applyFill="1" applyBorder="1" applyAlignment="1">
      <alignment horizontal="right" vertical="top" wrapText="1"/>
    </xf>
    <xf numFmtId="4" fontId="7" fillId="0" borderId="2" xfId="25" applyNumberFormat="1" applyFont="1" applyBorder="1" applyAlignment="1">
      <alignment horizontal="right" vertical="center" wrapText="1"/>
    </xf>
    <xf numFmtId="17" fontId="7" fillId="0" borderId="2" xfId="25" applyNumberFormat="1" applyFont="1" applyBorder="1" applyAlignment="1">
      <alignment vertical="center"/>
    </xf>
    <xf numFmtId="4" fontId="6" fillId="0" borderId="2" xfId="25" applyNumberFormat="1" applyFont="1" applyBorder="1" applyAlignment="1">
      <alignment horizontal="right" vertical="center" shrinkToFit="1"/>
    </xf>
    <xf numFmtId="17" fontId="6" fillId="0" borderId="2" xfId="19" applyNumberFormat="1" applyFont="1" applyBorder="1" applyAlignment="1">
      <alignment vertical="center"/>
    </xf>
    <xf numFmtId="0" fontId="6" fillId="0" borderId="10" xfId="25" applyFont="1" applyBorder="1" applyAlignment="1">
      <alignment horizontal="center" vertical="top" wrapText="1"/>
    </xf>
    <xf numFmtId="4" fontId="6" fillId="0" borderId="10" xfId="25" applyNumberFormat="1" applyFont="1" applyBorder="1" applyAlignment="1">
      <alignment horizontal="right" vertical="center" wrapText="1"/>
    </xf>
    <xf numFmtId="0" fontId="6" fillId="0" borderId="2" xfId="25" applyFont="1" applyBorder="1" applyAlignment="1">
      <alignment horizontal="center" vertical="top" wrapText="1"/>
    </xf>
    <xf numFmtId="43" fontId="4" fillId="0" borderId="40" xfId="0" applyNumberFormat="1" applyFont="1" applyBorder="1" applyAlignment="1">
      <alignment horizontal="right" vertical="center" wrapText="1"/>
    </xf>
    <xf numFmtId="0" fontId="6" fillId="0" borderId="10" xfId="25" applyFont="1" applyBorder="1" applyAlignment="1">
      <alignment horizontal="center" vertical="center" wrapText="1"/>
    </xf>
    <xf numFmtId="0" fontId="7" fillId="0" borderId="2" xfId="19" applyFont="1" applyBorder="1" applyAlignment="1">
      <alignment vertical="center"/>
    </xf>
    <xf numFmtId="43" fontId="4" fillId="0" borderId="40" xfId="0" applyNumberFormat="1" applyFont="1" applyBorder="1" applyAlignment="1">
      <alignment vertical="center" wrapText="1"/>
    </xf>
    <xf numFmtId="43" fontId="4" fillId="0" borderId="10" xfId="3" applyFont="1" applyFill="1" applyBorder="1" applyAlignment="1">
      <alignment vertical="center" wrapText="1"/>
    </xf>
    <xf numFmtId="17" fontId="7" fillId="0" borderId="2" xfId="19" applyNumberFormat="1" applyFont="1" applyBorder="1" applyAlignment="1">
      <alignment vertical="center"/>
    </xf>
    <xf numFmtId="4" fontId="7" fillId="0" borderId="2" xfId="25" applyNumberFormat="1" applyFont="1" applyBorder="1" applyAlignment="1">
      <alignment horizontal="right" vertical="center" shrinkToFit="1"/>
    </xf>
    <xf numFmtId="0" fontId="7" fillId="0" borderId="3" xfId="25" applyFont="1" applyBorder="1" applyAlignment="1">
      <alignment horizontal="center" vertical="center"/>
    </xf>
    <xf numFmtId="0" fontId="7" fillId="0" borderId="10" xfId="25" applyFont="1" applyBorder="1" applyAlignment="1">
      <alignment horizontal="center" vertical="center" wrapText="1"/>
    </xf>
    <xf numFmtId="0" fontId="96" fillId="0" borderId="2" xfId="0" applyFont="1" applyBorder="1" applyAlignment="1">
      <alignment horizontal="left" vertical="top" wrapText="1"/>
    </xf>
    <xf numFmtId="0" fontId="7" fillId="0" borderId="0" xfId="25" applyFont="1" applyAlignment="1">
      <alignment horizontal="center" vertical="center" wrapText="1"/>
    </xf>
    <xf numFmtId="0" fontId="7" fillId="0" borderId="56" xfId="25" applyFont="1" applyBorder="1" applyAlignment="1">
      <alignment horizontal="center" vertical="center"/>
    </xf>
    <xf numFmtId="199" fontId="82" fillId="0" borderId="2" xfId="27" applyNumberFormat="1" applyFont="1" applyFill="1" applyBorder="1" applyAlignment="1">
      <alignment horizontal="left"/>
    </xf>
    <xf numFmtId="43" fontId="82" fillId="0" borderId="8" xfId="0" applyNumberFormat="1" applyFont="1" applyBorder="1" applyAlignment="1">
      <alignment horizontal="right" vertical="center" wrapText="1"/>
    </xf>
    <xf numFmtId="43" fontId="82" fillId="0" borderId="10" xfId="3" applyFont="1" applyFill="1" applyBorder="1" applyAlignment="1">
      <alignment horizontal="right" vertical="center" wrapText="1"/>
    </xf>
    <xf numFmtId="0" fontId="7" fillId="0" borderId="10" xfId="25" applyFont="1" applyBorder="1" applyAlignment="1">
      <alignment vertical="center"/>
    </xf>
    <xf numFmtId="0" fontId="7" fillId="0" borderId="10" xfId="25" applyFont="1" applyBorder="1" applyAlignment="1">
      <alignment horizontal="center" vertical="center"/>
    </xf>
    <xf numFmtId="0" fontId="7" fillId="0" borderId="10" xfId="19" applyFont="1" applyBorder="1" applyAlignment="1">
      <alignment vertical="center"/>
    </xf>
    <xf numFmtId="17" fontId="6" fillId="0" borderId="10" xfId="25" applyNumberFormat="1" applyFont="1" applyBorder="1" applyAlignment="1">
      <alignment vertical="center"/>
    </xf>
    <xf numFmtId="199" fontId="82" fillId="0" borderId="10" xfId="27" applyNumberFormat="1" applyFont="1" applyFill="1" applyBorder="1" applyAlignment="1">
      <alignment horizontal="left"/>
    </xf>
    <xf numFmtId="0" fontId="82" fillId="0" borderId="10" xfId="0" applyFont="1" applyBorder="1" applyAlignment="1">
      <alignment horizontal="left" vertical="center" wrapText="1"/>
    </xf>
    <xf numFmtId="0" fontId="7" fillId="0" borderId="3" xfId="25" applyFont="1" applyBorder="1" applyAlignment="1">
      <alignment horizontal="right" vertical="center"/>
    </xf>
    <xf numFmtId="43" fontId="7" fillId="0" borderId="4" xfId="25" applyNumberFormat="1" applyFont="1" applyBorder="1" applyAlignment="1">
      <alignment vertical="center"/>
    </xf>
    <xf numFmtId="43" fontId="5" fillId="6" borderId="2" xfId="27" applyNumberFormat="1" applyFont="1" applyFill="1" applyBorder="1" applyAlignment="1">
      <alignment horizontal="center" wrapText="1"/>
    </xf>
    <xf numFmtId="0" fontId="7" fillId="0" borderId="0" xfId="25" applyFont="1" applyAlignment="1">
      <alignment horizontal="right" vertical="center"/>
    </xf>
    <xf numFmtId="4" fontId="6" fillId="0" borderId="0" xfId="25" applyNumberFormat="1" applyFont="1" applyAlignment="1">
      <alignment horizontal="right" vertical="center"/>
    </xf>
    <xf numFmtId="0" fontId="6" fillId="0" borderId="0" xfId="25" applyFont="1" applyAlignment="1">
      <alignment horizontal="right" vertical="center"/>
    </xf>
    <xf numFmtId="0" fontId="6" fillId="0" borderId="0" xfId="25" applyFont="1" applyAlignment="1">
      <alignment horizontal="center" vertical="center"/>
    </xf>
    <xf numFmtId="4" fontId="6" fillId="0" borderId="0" xfId="25" applyNumberFormat="1" applyFont="1" applyAlignment="1">
      <alignment vertical="center"/>
    </xf>
    <xf numFmtId="0" fontId="78" fillId="0" borderId="8" xfId="25" applyFont="1" applyBorder="1" applyAlignment="1">
      <alignment horizontal="center"/>
    </xf>
    <xf numFmtId="0" fontId="82" fillId="0" borderId="0" xfId="25" applyFont="1"/>
    <xf numFmtId="0" fontId="78" fillId="0" borderId="2" xfId="25" applyFont="1" applyBorder="1" applyAlignment="1">
      <alignment horizontal="center"/>
    </xf>
    <xf numFmtId="4" fontId="78" fillId="0" borderId="2" xfId="25" applyNumberFormat="1" applyFont="1" applyBorder="1" applyAlignment="1">
      <alignment horizontal="center"/>
    </xf>
    <xf numFmtId="0" fontId="82" fillId="0" borderId="0" xfId="25" applyFont="1" applyAlignment="1">
      <alignment horizontal="center"/>
    </xf>
    <xf numFmtId="0" fontId="82" fillId="0" borderId="2" xfId="25" applyFont="1" applyBorder="1" applyAlignment="1">
      <alignment horizontal="center"/>
    </xf>
    <xf numFmtId="4" fontId="82" fillId="0" borderId="2" xfId="25" applyNumberFormat="1" applyFont="1" applyBorder="1"/>
    <xf numFmtId="4" fontId="82" fillId="0" borderId="2" xfId="25" applyNumberFormat="1" applyFont="1" applyBorder="1" applyAlignment="1">
      <alignment horizontal="center"/>
    </xf>
    <xf numFmtId="0" fontId="82" fillId="0" borderId="2" xfId="25" applyFont="1" applyBorder="1"/>
    <xf numFmtId="0" fontId="78" fillId="6" borderId="2" xfId="25" applyFont="1" applyFill="1" applyBorder="1" applyAlignment="1">
      <alignment horizontal="right"/>
    </xf>
    <xf numFmtId="4" fontId="78" fillId="6" borderId="2" xfId="25" applyNumberFormat="1" applyFont="1" applyFill="1" applyBorder="1" applyAlignment="1">
      <alignment horizontal="center"/>
    </xf>
    <xf numFmtId="4" fontId="78" fillId="6" borderId="2" xfId="25" applyNumberFormat="1" applyFont="1" applyFill="1" applyBorder="1"/>
    <xf numFmtId="0" fontId="78" fillId="6" borderId="2" xfId="25" applyFont="1" applyFill="1" applyBorder="1"/>
    <xf numFmtId="0" fontId="78" fillId="6" borderId="0" xfId="25" applyFont="1" applyFill="1"/>
    <xf numFmtId="0" fontId="82" fillId="0" borderId="2" xfId="25" applyFont="1" applyBorder="1" applyAlignment="1">
      <alignment horizontal="center" vertical="top" wrapText="1"/>
    </xf>
    <xf numFmtId="0" fontId="78" fillId="0" borderId="2" xfId="25" applyFont="1" applyBorder="1" applyAlignment="1">
      <alignment horizontal="right"/>
    </xf>
    <xf numFmtId="4" fontId="78" fillId="0" borderId="2" xfId="25" applyNumberFormat="1" applyFont="1" applyBorder="1" applyAlignment="1">
      <alignment horizontal="right"/>
    </xf>
    <xf numFmtId="4" fontId="82" fillId="0" borderId="0" xfId="25" applyNumberFormat="1" applyFont="1"/>
    <xf numFmtId="4" fontId="82" fillId="0" borderId="0" xfId="25" applyNumberFormat="1" applyFont="1" applyAlignment="1">
      <alignment horizontal="center"/>
    </xf>
    <xf numFmtId="0" fontId="82" fillId="0" borderId="9" xfId="25" applyFont="1" applyBorder="1" applyAlignment="1">
      <alignment horizontal="center" vertical="top" wrapText="1"/>
    </xf>
    <xf numFmtId="0" fontId="82" fillId="0" borderId="38" xfId="25" applyFont="1" applyBorder="1" applyAlignment="1">
      <alignment horizontal="center" vertical="top" wrapText="1"/>
    </xf>
    <xf numFmtId="0" fontId="78" fillId="0" borderId="3" xfId="25" applyFont="1" applyBorder="1" applyAlignment="1">
      <alignment horizontal="right"/>
    </xf>
    <xf numFmtId="0" fontId="78" fillId="0" borderId="4" xfId="25" applyFont="1" applyBorder="1" applyAlignment="1">
      <alignment horizontal="right"/>
    </xf>
    <xf numFmtId="4" fontId="78" fillId="0" borderId="2" xfId="25" applyNumberFormat="1" applyFont="1" applyBorder="1"/>
    <xf numFmtId="0" fontId="82" fillId="0" borderId="10" xfId="25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82" fillId="0" borderId="0" xfId="0" applyFont="1" applyAlignment="1">
      <alignment vertical="center"/>
    </xf>
    <xf numFmtId="4" fontId="4" fillId="0" borderId="0" xfId="0" applyNumberFormat="1" applyFont="1"/>
    <xf numFmtId="0" fontId="5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43" fontId="4" fillId="0" borderId="2" xfId="0" applyNumberFormat="1" applyFont="1" applyBorder="1" applyAlignment="1">
      <alignment horizontal="center" shrinkToFit="1"/>
    </xf>
    <xf numFmtId="43" fontId="4" fillId="0" borderId="2" xfId="0" applyNumberFormat="1" applyFont="1" applyBorder="1" applyAlignment="1">
      <alignment horizontal="center" shrinkToFit="1"/>
    </xf>
    <xf numFmtId="43" fontId="4" fillId="0" borderId="2" xfId="3" applyFont="1" applyFill="1" applyBorder="1" applyAlignment="1">
      <alignment horizontal="center"/>
    </xf>
    <xf numFmtId="43" fontId="4" fillId="0" borderId="2" xfId="0" applyNumberFormat="1" applyFont="1" applyBorder="1" applyAlignment="1">
      <alignment horizontal="center"/>
    </xf>
    <xf numFmtId="43" fontId="4" fillId="0" borderId="9" xfId="0" applyNumberFormat="1" applyFont="1" applyBorder="1" applyAlignment="1">
      <alignment horizontal="center" vertical="center" wrapText="1"/>
    </xf>
    <xf numFmtId="0" fontId="82" fillId="23" borderId="9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vertical="center" wrapText="1"/>
    </xf>
    <xf numFmtId="4" fontId="4" fillId="4" borderId="9" xfId="0" applyNumberFormat="1" applyFont="1" applyFill="1" applyBorder="1" applyAlignment="1">
      <alignment horizontal="center" wrapText="1"/>
    </xf>
    <xf numFmtId="0" fontId="4" fillId="0" borderId="38" xfId="0" applyFont="1" applyBorder="1" applyAlignment="1">
      <alignment horizontal="center" vertical="center" wrapText="1"/>
    </xf>
    <xf numFmtId="43" fontId="4" fillId="0" borderId="10" xfId="0" applyNumberFormat="1" applyFont="1" applyBorder="1" applyAlignment="1">
      <alignment horizontal="center" vertical="center" wrapText="1"/>
    </xf>
    <xf numFmtId="0" fontId="82" fillId="23" borderId="38" xfId="0" applyFont="1" applyFill="1" applyBorder="1" applyAlignment="1">
      <alignment horizontal="center" vertical="center" wrapText="1"/>
    </xf>
    <xf numFmtId="4" fontId="4" fillId="4" borderId="38" xfId="0" applyNumberFormat="1" applyFont="1" applyFill="1" applyBorder="1" applyAlignment="1">
      <alignment horizontal="center" wrapText="1"/>
    </xf>
    <xf numFmtId="43" fontId="4" fillId="0" borderId="2" xfId="0" applyNumberFormat="1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wrapText="1"/>
    </xf>
    <xf numFmtId="0" fontId="82" fillId="23" borderId="10" xfId="0" applyFont="1" applyFill="1" applyBorder="1" applyAlignment="1">
      <alignment horizontal="center" vertical="center" wrapText="1"/>
    </xf>
    <xf numFmtId="4" fontId="4" fillId="4" borderId="10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vertical="top" wrapText="1"/>
    </xf>
    <xf numFmtId="199" fontId="32" fillId="0" borderId="76" xfId="0" applyNumberFormat="1" applyFont="1" applyBorder="1" applyAlignment="1">
      <alignment horizontal="left" vertical="center" wrapText="1"/>
    </xf>
    <xf numFmtId="43" fontId="82" fillId="0" borderId="2" xfId="0" applyNumberFormat="1" applyFont="1" applyBorder="1" applyAlignment="1">
      <alignment horizontal="right" shrinkToFit="1"/>
    </xf>
    <xf numFmtId="0" fontId="4" fillId="0" borderId="0" xfId="0" applyFont="1" applyAlignment="1">
      <alignment vertical="top" wrapText="1"/>
    </xf>
    <xf numFmtId="43" fontId="4" fillId="0" borderId="0" xfId="0" applyNumberFormat="1" applyFont="1"/>
    <xf numFmtId="43" fontId="82" fillId="23" borderId="2" xfId="0" applyNumberFormat="1" applyFont="1" applyFill="1" applyBorder="1" applyAlignment="1">
      <alignment vertical="center"/>
    </xf>
    <xf numFmtId="43" fontId="28" fillId="23" borderId="2" xfId="0" applyNumberFormat="1" applyFont="1" applyFill="1" applyBorder="1"/>
    <xf numFmtId="4" fontId="4" fillId="4" borderId="2" xfId="0" applyNumberFormat="1" applyFont="1" applyFill="1" applyBorder="1"/>
    <xf numFmtId="199" fontId="82" fillId="0" borderId="77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199" fontId="82" fillId="0" borderId="78" xfId="0" applyNumberFormat="1" applyFont="1" applyBorder="1" applyAlignment="1">
      <alignment horizontal="left" vertical="center" wrapText="1"/>
    </xf>
    <xf numFmtId="199" fontId="82" fillId="0" borderId="2" xfId="0" applyNumberFormat="1" applyFont="1" applyBorder="1" applyAlignment="1">
      <alignment horizontal="left" vertical="center" wrapText="1"/>
    </xf>
    <xf numFmtId="43" fontId="4" fillId="23" borderId="2" xfId="0" applyNumberFormat="1" applyFont="1" applyFill="1" applyBorder="1"/>
    <xf numFmtId="0" fontId="82" fillId="0" borderId="2" xfId="0" applyFont="1" applyBorder="1" applyAlignment="1">
      <alignment horizontal="center" vertical="top" wrapText="1"/>
    </xf>
    <xf numFmtId="0" fontId="82" fillId="0" borderId="0" xfId="0" applyFont="1"/>
    <xf numFmtId="199" fontId="82" fillId="0" borderId="2" xfId="0" applyNumberFormat="1" applyFont="1" applyBorder="1" applyAlignment="1">
      <alignment horizontal="left" vertical="center" shrinkToFit="1"/>
    </xf>
    <xf numFmtId="4" fontId="5" fillId="0" borderId="2" xfId="0" applyNumberFormat="1" applyFont="1" applyBorder="1" applyAlignment="1">
      <alignment horizontal="right"/>
    </xf>
    <xf numFmtId="43" fontId="78" fillId="0" borderId="2" xfId="0" quotePrefix="1" applyNumberFormat="1" applyFont="1" applyBorder="1" applyAlignment="1">
      <alignment horizontal="right" shrinkToFit="1"/>
    </xf>
    <xf numFmtId="4" fontId="5" fillId="0" borderId="0" xfId="0" applyNumberFormat="1" applyFont="1"/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 wrapText="1"/>
    </xf>
    <xf numFmtId="43" fontId="4" fillId="0" borderId="0" xfId="0" applyNumberFormat="1" applyFont="1" applyAlignment="1">
      <alignment horizontal="center"/>
    </xf>
    <xf numFmtId="43" fontId="82" fillId="0" borderId="0" xfId="0" applyNumberFormat="1" applyFont="1" applyAlignment="1">
      <alignment horizontal="center"/>
    </xf>
    <xf numFmtId="43" fontId="4" fillId="0" borderId="0" xfId="3" applyFont="1" applyFill="1" applyBorder="1" applyAlignment="1">
      <alignment horizontal="center"/>
    </xf>
    <xf numFmtId="43" fontId="82" fillId="0" borderId="0" xfId="0" applyNumberFormat="1" applyFont="1"/>
    <xf numFmtId="43" fontId="4" fillId="0" borderId="0" xfId="3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left"/>
    </xf>
    <xf numFmtId="0" fontId="78" fillId="0" borderId="0" xfId="0" applyFont="1" applyAlignment="1">
      <alignment horizontal="center"/>
    </xf>
    <xf numFmtId="0" fontId="78" fillId="0" borderId="8" xfId="0" applyFont="1" applyBorder="1" applyAlignment="1">
      <alignment horizontal="center"/>
    </xf>
    <xf numFmtId="0" fontId="82" fillId="0" borderId="9" xfId="0" applyFont="1" applyBorder="1" applyAlignment="1">
      <alignment horizontal="center" vertical="center"/>
    </xf>
    <xf numFmtId="0" fontId="82" fillId="0" borderId="6" xfId="0" applyFont="1" applyBorder="1" applyAlignment="1">
      <alignment horizontal="center" vertical="center"/>
    </xf>
    <xf numFmtId="0" fontId="82" fillId="0" borderId="9" xfId="0" applyFont="1" applyBorder="1" applyAlignment="1">
      <alignment horizontal="center"/>
    </xf>
    <xf numFmtId="43" fontId="82" fillId="0" borderId="4" xfId="0" applyNumberFormat="1" applyFont="1" applyBorder="1" applyAlignment="1">
      <alignment horizontal="center" shrinkToFit="1"/>
    </xf>
    <xf numFmtId="43" fontId="82" fillId="0" borderId="2" xfId="0" applyNumberFormat="1" applyFont="1" applyBorder="1" applyAlignment="1">
      <alignment horizontal="center" shrinkToFit="1"/>
    </xf>
    <xf numFmtId="43" fontId="82" fillId="0" borderId="21" xfId="0" applyNumberFormat="1" applyFont="1" applyBorder="1" applyAlignment="1">
      <alignment horizontal="center" shrinkToFit="1"/>
    </xf>
    <xf numFmtId="43" fontId="82" fillId="0" borderId="6" xfId="0" applyNumberFormat="1" applyFont="1" applyBorder="1" applyAlignment="1">
      <alignment horizontal="center" shrinkToFit="1"/>
    </xf>
    <xf numFmtId="43" fontId="82" fillId="0" borderId="9" xfId="0" applyNumberFormat="1" applyFont="1" applyBorder="1" applyAlignment="1">
      <alignment horizontal="center" vertical="center" shrinkToFit="1"/>
    </xf>
    <xf numFmtId="43" fontId="82" fillId="0" borderId="9" xfId="0" applyNumberFormat="1" applyFont="1" applyBorder="1" applyAlignment="1">
      <alignment horizontal="center" shrinkToFit="1"/>
    </xf>
    <xf numFmtId="43" fontId="82" fillId="0" borderId="9" xfId="3" applyFont="1" applyFill="1" applyBorder="1" applyAlignment="1">
      <alignment horizontal="center" shrinkToFit="1"/>
    </xf>
    <xf numFmtId="43" fontId="82" fillId="0" borderId="6" xfId="3" applyFont="1" applyFill="1" applyBorder="1" applyAlignment="1">
      <alignment horizontal="center"/>
    </xf>
    <xf numFmtId="43" fontId="82" fillId="0" borderId="4" xfId="0" applyNumberFormat="1" applyFont="1" applyBorder="1" applyAlignment="1">
      <alignment horizontal="center" vertical="center"/>
    </xf>
    <xf numFmtId="43" fontId="82" fillId="0" borderId="2" xfId="0" applyNumberFormat="1" applyFont="1" applyBorder="1" applyAlignment="1">
      <alignment horizontal="center" vertical="center"/>
    </xf>
    <xf numFmtId="0" fontId="82" fillId="0" borderId="9" xfId="0" applyFont="1" applyBorder="1" applyAlignment="1">
      <alignment vertical="center" shrinkToFit="1"/>
    </xf>
    <xf numFmtId="0" fontId="82" fillId="0" borderId="38" xfId="0" applyFont="1" applyBorder="1" applyAlignment="1">
      <alignment horizontal="center" vertical="center"/>
    </xf>
    <xf numFmtId="0" fontId="82" fillId="0" borderId="7" xfId="0" applyFont="1" applyBorder="1" applyAlignment="1">
      <alignment horizontal="center" vertical="center"/>
    </xf>
    <xf numFmtId="0" fontId="82" fillId="0" borderId="38" xfId="0" applyFont="1" applyBorder="1" applyAlignment="1">
      <alignment horizontal="center"/>
    </xf>
    <xf numFmtId="43" fontId="82" fillId="0" borderId="39" xfId="0" applyNumberFormat="1" applyFont="1" applyBorder="1" applyAlignment="1">
      <alignment horizontal="center" shrinkToFit="1"/>
    </xf>
    <xf numFmtId="43" fontId="82" fillId="0" borderId="7" xfId="0" applyNumberFormat="1" applyFont="1" applyBorder="1" applyAlignment="1">
      <alignment horizontal="center" shrinkToFit="1"/>
    </xf>
    <xf numFmtId="43" fontId="82" fillId="0" borderId="38" xfId="0" applyNumberFormat="1" applyFont="1" applyBorder="1" applyAlignment="1">
      <alignment horizontal="center" vertical="center" shrinkToFit="1"/>
    </xf>
    <xf numFmtId="43" fontId="82" fillId="0" borderId="38" xfId="0" applyNumberFormat="1" applyFont="1" applyBorder="1" applyAlignment="1">
      <alignment horizontal="center" shrinkToFit="1"/>
    </xf>
    <xf numFmtId="43" fontId="82" fillId="0" borderId="38" xfId="3" applyFont="1" applyFill="1" applyBorder="1" applyAlignment="1">
      <alignment horizontal="center" shrinkToFit="1"/>
    </xf>
    <xf numFmtId="43" fontId="82" fillId="0" borderId="7" xfId="3" applyFont="1" applyFill="1" applyBorder="1" applyAlignment="1">
      <alignment horizontal="center"/>
    </xf>
    <xf numFmtId="0" fontId="82" fillId="0" borderId="38" xfId="0" applyFont="1" applyBorder="1" applyAlignment="1">
      <alignment horizontal="center" vertical="center" shrinkToFit="1"/>
    </xf>
    <xf numFmtId="43" fontId="82" fillId="0" borderId="4" xfId="0" applyNumberFormat="1" applyFont="1" applyBorder="1" applyAlignment="1">
      <alignment horizontal="center" vertical="center" shrinkToFit="1"/>
    </xf>
    <xf numFmtId="43" fontId="82" fillId="0" borderId="9" xfId="0" applyNumberFormat="1" applyFont="1" applyBorder="1" applyAlignment="1">
      <alignment horizontal="center" vertical="center" wrapText="1"/>
    </xf>
    <xf numFmtId="43" fontId="82" fillId="0" borderId="2" xfId="0" applyNumberFormat="1" applyFont="1" applyBorder="1" applyAlignment="1">
      <alignment horizontal="center" vertical="center" wrapText="1"/>
    </xf>
    <xf numFmtId="43" fontId="82" fillId="0" borderId="38" xfId="0" applyNumberFormat="1" applyFont="1" applyBorder="1" applyAlignment="1">
      <alignment horizontal="center"/>
    </xf>
    <xf numFmtId="43" fontId="82" fillId="0" borderId="2" xfId="0" applyNumberFormat="1" applyFont="1" applyBorder="1" applyAlignment="1">
      <alignment horizontal="center"/>
    </xf>
    <xf numFmtId="0" fontId="82" fillId="0" borderId="10" xfId="0" applyFont="1" applyBorder="1" applyAlignment="1">
      <alignment horizontal="center" vertical="center"/>
    </xf>
    <xf numFmtId="0" fontId="82" fillId="0" borderId="56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/>
    </xf>
    <xf numFmtId="43" fontId="82" fillId="0" borderId="10" xfId="0" applyNumberFormat="1" applyFont="1" applyBorder="1" applyAlignment="1">
      <alignment horizontal="center" vertical="center" wrapText="1"/>
    </xf>
    <xf numFmtId="43" fontId="82" fillId="0" borderId="40" xfId="0" applyNumberFormat="1" applyFont="1" applyBorder="1" applyAlignment="1">
      <alignment horizontal="center" shrinkToFit="1"/>
    </xf>
    <xf numFmtId="43" fontId="82" fillId="0" borderId="56" xfId="0" applyNumberFormat="1" applyFont="1" applyBorder="1" applyAlignment="1">
      <alignment shrinkToFit="1"/>
    </xf>
    <xf numFmtId="43" fontId="82" fillId="0" borderId="10" xfId="0" applyNumberFormat="1" applyFont="1" applyBorder="1" applyAlignment="1">
      <alignment horizontal="center" vertical="center" shrinkToFit="1"/>
    </xf>
    <xf numFmtId="43" fontId="82" fillId="0" borderId="10" xfId="0" applyNumberFormat="1" applyFont="1" applyBorder="1" applyAlignment="1">
      <alignment horizontal="center" shrinkToFit="1"/>
    </xf>
    <xf numFmtId="43" fontId="82" fillId="0" borderId="10" xfId="3" applyFont="1" applyFill="1" applyBorder="1" applyAlignment="1">
      <alignment horizontal="center" shrinkToFit="1"/>
    </xf>
    <xf numFmtId="43" fontId="82" fillId="0" borderId="56" xfId="3" applyFont="1" applyFill="1" applyBorder="1" applyAlignment="1">
      <alignment horizontal="center"/>
    </xf>
    <xf numFmtId="43" fontId="82" fillId="0" borderId="10" xfId="0" applyNumberFormat="1" applyFont="1" applyBorder="1" applyAlignment="1">
      <alignment horizontal="center"/>
    </xf>
    <xf numFmtId="43" fontId="82" fillId="0" borderId="40" xfId="0" applyNumberFormat="1" applyFont="1" applyBorder="1" applyAlignment="1">
      <alignment horizontal="center"/>
    </xf>
    <xf numFmtId="0" fontId="82" fillId="0" borderId="10" xfId="0" applyFont="1" applyBorder="1" applyAlignment="1">
      <alignment vertical="center" shrinkToFit="1"/>
    </xf>
    <xf numFmtId="0" fontId="82" fillId="0" borderId="2" xfId="0" applyFont="1" applyBorder="1" applyAlignment="1">
      <alignment vertical="center" wrapText="1"/>
    </xf>
    <xf numFmtId="0" fontId="82" fillId="0" borderId="10" xfId="0" applyFont="1" applyBorder="1" applyAlignment="1">
      <alignment horizontal="center" vertical="center" wrapText="1"/>
    </xf>
    <xf numFmtId="43" fontId="82" fillId="0" borderId="2" xfId="0" applyNumberFormat="1" applyFont="1" applyBorder="1" applyAlignment="1">
      <alignment horizontal="right" vertical="center" wrapText="1" shrinkToFit="1"/>
    </xf>
    <xf numFmtId="43" fontId="82" fillId="0" borderId="2" xfId="0" quotePrefix="1" applyNumberFormat="1" applyFont="1" applyBorder="1" applyAlignment="1">
      <alignment horizontal="right" vertical="center" wrapText="1"/>
    </xf>
    <xf numFmtId="43" fontId="82" fillId="0" borderId="2" xfId="0" applyNumberFormat="1" applyFont="1" applyBorder="1" applyAlignment="1">
      <alignment horizontal="right" vertical="center" wrapText="1"/>
    </xf>
    <xf numFmtId="43" fontId="82" fillId="0" borderId="2" xfId="3" applyFont="1" applyFill="1" applyBorder="1" applyAlignment="1">
      <alignment horizontal="right" vertical="center" wrapText="1"/>
    </xf>
    <xf numFmtId="4" fontId="15" fillId="0" borderId="2" xfId="0" applyNumberFormat="1" applyFont="1" applyBorder="1" applyAlignment="1">
      <alignment horizontal="right" vertical="center" wrapText="1"/>
    </xf>
    <xf numFmtId="4" fontId="82" fillId="0" borderId="40" xfId="0" applyNumberFormat="1" applyFont="1" applyBorder="1" applyAlignment="1">
      <alignment horizontal="right" vertical="center" wrapText="1" shrinkToFit="1"/>
    </xf>
    <xf numFmtId="4" fontId="82" fillId="0" borderId="56" xfId="0" applyNumberFormat="1" applyFont="1" applyBorder="1" applyAlignment="1">
      <alignment horizontal="right" vertical="center" wrapText="1" shrinkToFit="1"/>
    </xf>
    <xf numFmtId="4" fontId="82" fillId="0" borderId="2" xfId="0" quotePrefix="1" applyNumberFormat="1" applyFont="1" applyBorder="1" applyAlignment="1">
      <alignment horizontal="right" vertical="center" wrapText="1"/>
    </xf>
    <xf numFmtId="4" fontId="82" fillId="0" borderId="8" xfId="0" applyNumberFormat="1" applyFont="1" applyBorder="1" applyAlignment="1">
      <alignment horizontal="right" vertical="center" wrapText="1"/>
    </xf>
    <xf numFmtId="4" fontId="82" fillId="0" borderId="10" xfId="3" applyNumberFormat="1" applyFont="1" applyFill="1" applyBorder="1" applyAlignment="1">
      <alignment horizontal="right" vertical="center" wrapText="1" shrinkToFit="1"/>
    </xf>
    <xf numFmtId="4" fontId="82" fillId="0" borderId="2" xfId="3" applyNumberFormat="1" applyFont="1" applyFill="1" applyBorder="1" applyAlignment="1">
      <alignment horizontal="right" vertical="center" wrapText="1"/>
    </xf>
    <xf numFmtId="4" fontId="82" fillId="0" borderId="10" xfId="0" applyNumberFormat="1" applyFont="1" applyBorder="1" applyAlignment="1">
      <alignment horizontal="right" vertical="center" wrapText="1"/>
    </xf>
    <xf numFmtId="4" fontId="82" fillId="0" borderId="10" xfId="0" quotePrefix="1" applyNumberFormat="1" applyFont="1" applyBorder="1" applyAlignment="1">
      <alignment horizontal="right" vertical="center" wrapText="1"/>
    </xf>
    <xf numFmtId="4" fontId="82" fillId="0" borderId="2" xfId="0" applyNumberFormat="1" applyFont="1" applyBorder="1" applyAlignment="1">
      <alignment horizontal="right" vertical="center" wrapText="1"/>
    </xf>
    <xf numFmtId="0" fontId="82" fillId="0" borderId="10" xfId="0" applyFont="1" applyBorder="1" applyAlignment="1">
      <alignment horizontal="center" vertical="center" shrinkToFit="1"/>
    </xf>
    <xf numFmtId="0" fontId="82" fillId="0" borderId="10" xfId="0" applyFont="1" applyBorder="1" applyAlignment="1">
      <alignment horizontal="center" vertical="center"/>
    </xf>
    <xf numFmtId="0" fontId="82" fillId="0" borderId="0" xfId="0" applyFont="1" applyAlignment="1">
      <alignment vertical="center" wrapText="1"/>
    </xf>
    <xf numFmtId="0" fontId="82" fillId="0" borderId="2" xfId="0" applyFont="1" applyBorder="1" applyAlignment="1">
      <alignment horizontal="center" vertical="center" wrapText="1"/>
    </xf>
    <xf numFmtId="4" fontId="82" fillId="0" borderId="40" xfId="0" applyNumberFormat="1" applyFont="1" applyBorder="1" applyAlignment="1">
      <alignment horizontal="right" vertical="center" wrapText="1"/>
    </xf>
    <xf numFmtId="4" fontId="82" fillId="0" borderId="56" xfId="0" applyNumberFormat="1" applyFont="1" applyBorder="1" applyAlignment="1">
      <alignment horizontal="right" vertical="center" wrapText="1"/>
    </xf>
    <xf numFmtId="4" fontId="82" fillId="0" borderId="10" xfId="3" applyNumberFormat="1" applyFont="1" applyFill="1" applyBorder="1" applyAlignment="1">
      <alignment horizontal="right" vertical="center" wrapText="1"/>
    </xf>
    <xf numFmtId="199" fontId="15" fillId="0" borderId="0" xfId="0" applyNumberFormat="1" applyFont="1" applyAlignment="1">
      <alignment horizontal="left" vertical="center" shrinkToFit="1"/>
    </xf>
    <xf numFmtId="4" fontId="82" fillId="0" borderId="79" xfId="0" applyNumberFormat="1" applyFont="1" applyBorder="1" applyAlignment="1">
      <alignment vertical="center"/>
    </xf>
    <xf numFmtId="4" fontId="82" fillId="0" borderId="80" xfId="0" applyNumberFormat="1" applyFont="1" applyBorder="1" applyAlignment="1">
      <alignment horizontal="right" vertical="center" wrapText="1"/>
    </xf>
    <xf numFmtId="4" fontId="82" fillId="0" borderId="77" xfId="0" applyNumberFormat="1" applyFont="1" applyBorder="1" applyAlignment="1">
      <alignment horizontal="right" vertical="center" wrapText="1"/>
    </xf>
    <xf numFmtId="0" fontId="15" fillId="0" borderId="0" xfId="0" applyFont="1" applyAlignment="1">
      <alignment vertical="center"/>
    </xf>
    <xf numFmtId="199" fontId="82" fillId="0" borderId="2" xfId="0" applyNumberFormat="1" applyFont="1" applyBorder="1" applyAlignment="1">
      <alignment horizontal="center" vertical="center" wrapText="1"/>
    </xf>
    <xf numFmtId="43" fontId="82" fillId="0" borderId="2" xfId="0" applyNumberFormat="1" applyFont="1" applyBorder="1" applyAlignment="1">
      <alignment horizontal="right" vertical="center"/>
    </xf>
    <xf numFmtId="43" fontId="82" fillId="0" borderId="2" xfId="3" applyFont="1" applyFill="1" applyBorder="1" applyAlignment="1">
      <alignment horizontal="right" vertical="center"/>
    </xf>
    <xf numFmtId="0" fontId="82" fillId="0" borderId="2" xfId="0" applyFont="1" applyBorder="1" applyAlignment="1">
      <alignment horizontal="left" vertical="center" wrapText="1"/>
    </xf>
    <xf numFmtId="199" fontId="82" fillId="0" borderId="80" xfId="0" applyNumberFormat="1" applyFont="1" applyBorder="1" applyAlignment="1">
      <alignment horizontal="center" vertical="center" wrapText="1"/>
    </xf>
    <xf numFmtId="4" fontId="15" fillId="0" borderId="2" xfId="0" quotePrefix="1" applyNumberFormat="1" applyFont="1" applyBorder="1" applyAlignment="1">
      <alignment vertical="center" wrapText="1"/>
    </xf>
    <xf numFmtId="4" fontId="82" fillId="0" borderId="2" xfId="0" applyNumberFormat="1" applyFont="1" applyBorder="1" applyAlignment="1">
      <alignment vertical="center"/>
    </xf>
    <xf numFmtId="199" fontId="82" fillId="0" borderId="2" xfId="0" applyNumberFormat="1" applyFont="1" applyBorder="1" applyAlignment="1">
      <alignment vertical="center" wrapText="1"/>
    </xf>
    <xf numFmtId="43" fontId="82" fillId="0" borderId="2" xfId="0" applyNumberFormat="1" applyFont="1" applyBorder="1" applyAlignment="1">
      <alignment vertical="center" wrapText="1"/>
    </xf>
    <xf numFmtId="43" fontId="82" fillId="0" borderId="2" xfId="0" quotePrefix="1" applyNumberFormat="1" applyFont="1" applyBorder="1" applyAlignment="1">
      <alignment vertical="center" wrapText="1"/>
    </xf>
    <xf numFmtId="0" fontId="82" fillId="0" borderId="2" xfId="0" applyFont="1" applyBorder="1" applyAlignment="1">
      <alignment horizontal="center" vertical="center"/>
    </xf>
    <xf numFmtId="43" fontId="82" fillId="0" borderId="2" xfId="3" applyFont="1" applyFill="1" applyBorder="1" applyAlignment="1">
      <alignment vertical="center" wrapText="1"/>
    </xf>
    <xf numFmtId="43" fontId="82" fillId="0" borderId="2" xfId="0" applyNumberFormat="1" applyFont="1" applyBorder="1" applyAlignment="1">
      <alignment vertical="center"/>
    </xf>
    <xf numFmtId="199" fontId="82" fillId="0" borderId="0" xfId="0" applyNumberFormat="1" applyFont="1" applyAlignment="1">
      <alignment horizontal="left" vertical="center" shrinkToFit="1"/>
    </xf>
    <xf numFmtId="0" fontId="82" fillId="0" borderId="56" xfId="0" applyFont="1" applyBorder="1" applyAlignment="1">
      <alignment horizontal="center" vertical="center" wrapText="1"/>
    </xf>
    <xf numFmtId="4" fontId="4" fillId="0" borderId="2" xfId="0" quotePrefix="1" applyNumberFormat="1" applyFont="1" applyBorder="1" applyAlignment="1">
      <alignment horizontal="right" vertical="center" wrapText="1"/>
    </xf>
    <xf numFmtId="4" fontId="82" fillId="0" borderId="2" xfId="0" quotePrefix="1" applyNumberFormat="1" applyFont="1" applyBorder="1" applyAlignment="1">
      <alignment vertical="center" wrapText="1"/>
    </xf>
    <xf numFmtId="4" fontId="82" fillId="0" borderId="2" xfId="0" applyNumberFormat="1" applyFont="1" applyBorder="1" applyAlignment="1">
      <alignment horizontal="right" vertical="center" wrapText="1" shrinkToFit="1"/>
    </xf>
    <xf numFmtId="0" fontId="82" fillId="0" borderId="2" xfId="0" applyFont="1" applyBorder="1" applyAlignment="1">
      <alignment horizontal="center" vertical="top" wrapText="1" shrinkToFit="1"/>
    </xf>
    <xf numFmtId="0" fontId="28" fillId="0" borderId="0" xfId="0" applyFont="1" applyAlignment="1">
      <alignment vertical="center" wrapText="1"/>
    </xf>
    <xf numFmtId="4" fontId="78" fillId="0" borderId="2" xfId="0" applyNumberFormat="1" applyFont="1" applyBorder="1" applyAlignment="1">
      <alignment horizontal="right"/>
    </xf>
    <xf numFmtId="43" fontId="78" fillId="0" borderId="2" xfId="0" applyNumberFormat="1" applyFont="1" applyBorder="1"/>
    <xf numFmtId="4" fontId="78" fillId="0" borderId="2" xfId="0" applyNumberFormat="1" applyFont="1" applyBorder="1" applyAlignment="1">
      <alignment shrinkToFit="1"/>
    </xf>
    <xf numFmtId="4" fontId="78" fillId="0" borderId="2" xfId="0" applyNumberFormat="1" applyFont="1" applyBorder="1"/>
    <xf numFmtId="4" fontId="78" fillId="0" borderId="0" xfId="0" applyNumberFormat="1" applyFont="1"/>
    <xf numFmtId="4" fontId="78" fillId="0" borderId="0" xfId="0" applyNumberFormat="1" applyFont="1" applyAlignment="1">
      <alignment horizontal="right"/>
    </xf>
    <xf numFmtId="43" fontId="78" fillId="0" borderId="0" xfId="0" applyNumberFormat="1" applyFont="1"/>
    <xf numFmtId="4" fontId="78" fillId="0" borderId="0" xfId="0" applyNumberFormat="1" applyFont="1" applyAlignment="1">
      <alignment shrinkToFit="1"/>
    </xf>
    <xf numFmtId="1" fontId="82" fillId="0" borderId="0" xfId="0" applyNumberFormat="1" applyFont="1" applyAlignment="1">
      <alignment horizontal="center"/>
    </xf>
    <xf numFmtId="0" fontId="82" fillId="0" borderId="0" xfId="0" applyFont="1" applyAlignment="1">
      <alignment horizontal="left"/>
    </xf>
    <xf numFmtId="0" fontId="82" fillId="0" borderId="0" xfId="0" applyFont="1" applyAlignment="1">
      <alignment horizontal="center"/>
    </xf>
    <xf numFmtId="43" fontId="82" fillId="0" borderId="0" xfId="3" applyFont="1" applyFill="1" applyBorder="1" applyAlignment="1">
      <alignment horizontal="center"/>
    </xf>
    <xf numFmtId="0" fontId="82" fillId="0" borderId="0" xfId="0" applyFont="1" applyAlignment="1">
      <alignment shrinkToFit="1"/>
    </xf>
    <xf numFmtId="4" fontId="82" fillId="0" borderId="0" xfId="0" applyNumberFormat="1" applyFont="1"/>
    <xf numFmtId="200" fontId="82" fillId="0" borderId="0" xfId="0" applyNumberFormat="1" applyFont="1" applyAlignment="1">
      <alignment horizontal="center"/>
    </xf>
    <xf numFmtId="43" fontId="82" fillId="0" borderId="0" xfId="0" applyNumberFormat="1" applyFont="1" applyAlignment="1">
      <alignment horizontal="center" shrinkToFit="1"/>
    </xf>
    <xf numFmtId="0" fontId="82" fillId="0" borderId="0" xfId="0" applyFont="1" applyAlignment="1">
      <alignment horizontal="center" shrinkToFit="1"/>
    </xf>
    <xf numFmtId="43" fontId="82" fillId="0" borderId="0" xfId="3" applyFont="1" applyFill="1" applyAlignment="1">
      <alignment horizontal="center"/>
    </xf>
    <xf numFmtId="43" fontId="82" fillId="0" borderId="0" xfId="3" applyFont="1" applyFill="1" applyAlignment="1"/>
    <xf numFmtId="0" fontId="82" fillId="0" borderId="9" xfId="0" applyFont="1" applyBorder="1" applyAlignment="1">
      <alignment horizontal="center" vertical="center" wrapText="1"/>
    </xf>
    <xf numFmtId="1" fontId="82" fillId="0" borderId="2" xfId="0" applyNumberFormat="1" applyFont="1" applyBorder="1" applyAlignment="1">
      <alignment horizontal="center" shrinkToFit="1"/>
    </xf>
    <xf numFmtId="1" fontId="82" fillId="0" borderId="21" xfId="0" applyNumberFormat="1" applyFont="1" applyBorder="1" applyAlignment="1">
      <alignment horizontal="center" shrinkToFit="1"/>
    </xf>
    <xf numFmtId="1" fontId="82" fillId="0" borderId="6" xfId="0" applyNumberFormat="1" applyFont="1" applyBorder="1" applyAlignment="1">
      <alignment horizontal="center" shrinkToFit="1"/>
    </xf>
    <xf numFmtId="1" fontId="82" fillId="0" borderId="9" xfId="0" applyNumberFormat="1" applyFont="1" applyBorder="1" applyAlignment="1">
      <alignment horizontal="center" vertical="center" wrapText="1" shrinkToFit="1"/>
    </xf>
    <xf numFmtId="0" fontId="82" fillId="0" borderId="9" xfId="0" applyFont="1" applyBorder="1" applyAlignment="1">
      <alignment horizontal="center" shrinkToFit="1"/>
    </xf>
    <xf numFmtId="0" fontId="82" fillId="0" borderId="21" xfId="0" applyFont="1" applyBorder="1" applyAlignment="1">
      <alignment horizontal="center" shrinkToFit="1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38" xfId="0" applyFont="1" applyBorder="1" applyAlignment="1">
      <alignment horizontal="center" vertical="center" wrapText="1"/>
    </xf>
    <xf numFmtId="1" fontId="82" fillId="0" borderId="39" xfId="0" applyNumberFormat="1" applyFont="1" applyBorder="1" applyAlignment="1">
      <alignment horizontal="center" shrinkToFit="1"/>
    </xf>
    <xf numFmtId="1" fontId="82" fillId="0" borderId="7" xfId="0" applyNumberFormat="1" applyFont="1" applyBorder="1" applyAlignment="1">
      <alignment horizontal="center" shrinkToFit="1"/>
    </xf>
    <xf numFmtId="1" fontId="82" fillId="0" borderId="38" xfId="0" applyNumberFormat="1" applyFont="1" applyBorder="1" applyAlignment="1">
      <alignment horizontal="center" vertical="center" shrinkToFit="1"/>
    </xf>
    <xf numFmtId="0" fontId="82" fillId="0" borderId="38" xfId="0" applyFont="1" applyBorder="1" applyAlignment="1">
      <alignment horizontal="center" shrinkToFit="1"/>
    </xf>
    <xf numFmtId="0" fontId="82" fillId="0" borderId="39" xfId="0" applyFont="1" applyBorder="1" applyAlignment="1">
      <alignment horizontal="center" shrinkToFit="1"/>
    </xf>
    <xf numFmtId="1" fontId="82" fillId="0" borderId="2" xfId="0" applyNumberFormat="1" applyFont="1" applyBorder="1" applyAlignment="1">
      <alignment horizontal="center" vertical="center" wrapText="1" shrinkToFit="1"/>
    </xf>
    <xf numFmtId="0" fontId="82" fillId="0" borderId="2" xfId="0" applyFont="1" applyBorder="1" applyAlignment="1">
      <alignment horizontal="center"/>
    </xf>
    <xf numFmtId="0" fontId="82" fillId="0" borderId="10" xfId="0" applyFont="1" applyBorder="1" applyAlignment="1">
      <alignment horizontal="center" vertical="center" wrapText="1"/>
    </xf>
    <xf numFmtId="1" fontId="82" fillId="0" borderId="2" xfId="0" applyNumberFormat="1" applyFont="1" applyBorder="1" applyAlignment="1">
      <alignment horizontal="center" vertical="center" shrinkToFit="1"/>
    </xf>
    <xf numFmtId="1" fontId="82" fillId="0" borderId="10" xfId="0" applyNumberFormat="1" applyFont="1" applyBorder="1" applyAlignment="1">
      <alignment horizontal="center" vertical="center" shrinkToFit="1"/>
    </xf>
    <xf numFmtId="1" fontId="82" fillId="0" borderId="40" xfId="0" applyNumberFormat="1" applyFont="1" applyBorder="1" applyAlignment="1">
      <alignment horizontal="center" shrinkToFit="1"/>
    </xf>
    <xf numFmtId="1" fontId="82" fillId="0" borderId="56" xfId="0" applyNumberFormat="1" applyFont="1" applyBorder="1" applyAlignment="1">
      <alignment shrinkToFit="1"/>
    </xf>
    <xf numFmtId="1" fontId="82" fillId="0" borderId="10" xfId="0" applyNumberFormat="1" applyFont="1" applyBorder="1" applyAlignment="1">
      <alignment horizontal="center" shrinkToFit="1"/>
    </xf>
    <xf numFmtId="0" fontId="82" fillId="0" borderId="40" xfId="0" applyFont="1" applyBorder="1" applyAlignment="1">
      <alignment horizontal="center"/>
    </xf>
    <xf numFmtId="0" fontId="82" fillId="0" borderId="2" xfId="0" applyFont="1" applyBorder="1" applyAlignment="1">
      <alignment horizontal="center" vertical="top"/>
    </xf>
    <xf numFmtId="3" fontId="82" fillId="0" borderId="2" xfId="0" applyNumberFormat="1" applyFont="1" applyBorder="1" applyAlignment="1">
      <alignment horizontal="left" vertical="center"/>
    </xf>
    <xf numFmtId="0" fontId="82" fillId="0" borderId="10" xfId="0" applyFont="1" applyBorder="1" applyAlignment="1">
      <alignment horizontal="center" vertical="top"/>
    </xf>
    <xf numFmtId="43" fontId="82" fillId="0" borderId="2" xfId="0" applyNumberFormat="1" applyFont="1" applyBorder="1" applyAlignment="1">
      <alignment horizontal="right" vertical="top" shrinkToFit="1"/>
    </xf>
    <xf numFmtId="43" fontId="82" fillId="0" borderId="2" xfId="0" quotePrefix="1" applyNumberFormat="1" applyFont="1" applyBorder="1" applyAlignment="1">
      <alignment vertical="top"/>
    </xf>
    <xf numFmtId="43" fontId="82" fillId="0" borderId="2" xfId="0" applyNumberFormat="1" applyFont="1" applyBorder="1" applyAlignment="1">
      <alignment horizontal="right" vertical="top"/>
    </xf>
    <xf numFmtId="43" fontId="82" fillId="0" borderId="2" xfId="3" applyFont="1" applyFill="1" applyBorder="1" applyAlignment="1">
      <alignment horizontal="center" vertical="top" shrinkToFit="1"/>
    </xf>
    <xf numFmtId="43" fontId="82" fillId="0" borderId="10" xfId="3" applyFont="1" applyFill="1" applyBorder="1" applyAlignment="1">
      <alignment horizontal="center" vertical="top" shrinkToFit="1"/>
    </xf>
    <xf numFmtId="43" fontId="82" fillId="0" borderId="40" xfId="0" applyNumberFormat="1" applyFont="1" applyBorder="1" applyAlignment="1">
      <alignment horizontal="center" vertical="top" shrinkToFit="1"/>
    </xf>
    <xf numFmtId="43" fontId="82" fillId="0" borderId="56" xfId="0" applyNumberFormat="1" applyFont="1" applyBorder="1" applyAlignment="1">
      <alignment vertical="top" shrinkToFit="1"/>
    </xf>
    <xf numFmtId="43" fontId="82" fillId="0" borderId="10" xfId="0" applyNumberFormat="1" applyFont="1" applyBorder="1" applyAlignment="1">
      <alignment horizontal="center" vertical="top" shrinkToFit="1"/>
    </xf>
    <xf numFmtId="43" fontId="82" fillId="0" borderId="8" xfId="0" applyNumberFormat="1" applyFont="1" applyBorder="1" applyAlignment="1">
      <alignment horizontal="center" vertical="top" shrinkToFit="1"/>
    </xf>
    <xf numFmtId="43" fontId="82" fillId="0" borderId="56" xfId="3" applyFont="1" applyFill="1" applyBorder="1" applyAlignment="1">
      <alignment horizontal="center" vertical="top"/>
    </xf>
    <xf numFmtId="43" fontId="82" fillId="0" borderId="10" xfId="0" applyNumberFormat="1" applyFont="1" applyBorder="1" applyAlignment="1">
      <alignment horizontal="center" vertical="top"/>
    </xf>
    <xf numFmtId="43" fontId="82" fillId="0" borderId="4" xfId="0" applyNumberFormat="1" applyFont="1" applyBorder="1" applyAlignment="1">
      <alignment horizontal="center" vertical="top"/>
    </xf>
    <xf numFmtId="43" fontId="82" fillId="0" borderId="2" xfId="0" applyNumberFormat="1" applyFont="1" applyBorder="1" applyAlignment="1">
      <alignment horizontal="center" vertical="top"/>
    </xf>
    <xf numFmtId="0" fontId="82" fillId="0" borderId="10" xfId="0" applyFont="1" applyBorder="1" applyAlignment="1">
      <alignment horizontal="center" vertical="top" shrinkToFit="1"/>
    </xf>
    <xf numFmtId="43" fontId="82" fillId="0" borderId="10" xfId="0" applyNumberFormat="1" applyFont="1" applyBorder="1" applyAlignment="1">
      <alignment horizontal="right" vertical="top"/>
    </xf>
    <xf numFmtId="3" fontId="82" fillId="0" borderId="2" xfId="0" applyNumberFormat="1" applyFont="1" applyBorder="1" applyAlignment="1">
      <alignment horizontal="left" vertical="center" wrapText="1"/>
    </xf>
    <xf numFmtId="0" fontId="82" fillId="0" borderId="10" xfId="0" applyFont="1" applyBorder="1" applyAlignment="1">
      <alignment horizontal="center" vertical="top" wrapText="1"/>
    </xf>
    <xf numFmtId="3" fontId="82" fillId="0" borderId="2" xfId="0" applyNumberFormat="1" applyFont="1" applyBorder="1" applyAlignment="1">
      <alignment horizontal="left" vertical="top" wrapText="1"/>
    </xf>
    <xf numFmtId="3" fontId="82" fillId="0" borderId="10" xfId="0" applyNumberFormat="1" applyFont="1" applyBorder="1" applyAlignment="1">
      <alignment horizontal="left" vertical="center" wrapText="1"/>
    </xf>
    <xf numFmtId="43" fontId="82" fillId="0" borderId="2" xfId="0" applyNumberFormat="1" applyFont="1" applyBorder="1" applyAlignment="1">
      <alignment vertical="top" shrinkToFit="1"/>
    </xf>
    <xf numFmtId="43" fontId="82" fillId="0" borderId="2" xfId="0" applyNumberFormat="1" applyFont="1" applyBorder="1" applyAlignment="1">
      <alignment horizontal="center" vertical="top" shrinkToFit="1"/>
    </xf>
    <xf numFmtId="0" fontId="82" fillId="0" borderId="10" xfId="0" applyFont="1" applyBorder="1" applyAlignment="1">
      <alignment horizontal="left" vertical="top"/>
    </xf>
    <xf numFmtId="4" fontId="82" fillId="0" borderId="0" xfId="0" applyNumberFormat="1" applyFont="1" applyAlignment="1">
      <alignment horizontal="center"/>
    </xf>
    <xf numFmtId="4" fontId="82" fillId="0" borderId="0" xfId="3" applyNumberFormat="1" applyFont="1" applyFill="1" applyBorder="1" applyAlignment="1">
      <alignment horizontal="center"/>
    </xf>
    <xf numFmtId="1" fontId="82" fillId="0" borderId="0" xfId="0" applyNumberFormat="1" applyFont="1"/>
    <xf numFmtId="43" fontId="82" fillId="0" borderId="0" xfId="3" applyFont="1" applyFill="1"/>
    <xf numFmtId="0" fontId="82" fillId="0" borderId="0" xfId="0" applyFont="1" applyAlignment="1">
      <alignment horizontal="left" wrapText="1"/>
    </xf>
    <xf numFmtId="43" fontId="78" fillId="0" borderId="0" xfId="0" applyNumberFormat="1" applyFont="1" applyAlignment="1">
      <alignment horizontal="center"/>
    </xf>
    <xf numFmtId="43" fontId="78" fillId="0" borderId="8" xfId="0" applyNumberFormat="1" applyFont="1" applyBorder="1" applyAlignment="1">
      <alignment horizontal="center"/>
    </xf>
    <xf numFmtId="200" fontId="82" fillId="0" borderId="9" xfId="0" applyNumberFormat="1" applyFont="1" applyBorder="1" applyAlignment="1">
      <alignment horizontal="center" vertical="center" wrapText="1"/>
    </xf>
    <xf numFmtId="43" fontId="82" fillId="0" borderId="9" xfId="0" applyNumberFormat="1" applyFont="1" applyBorder="1" applyAlignment="1">
      <alignment horizontal="center" vertical="center" wrapText="1" shrinkToFit="1"/>
    </xf>
    <xf numFmtId="43" fontId="82" fillId="0" borderId="9" xfId="0" applyNumberFormat="1" applyFont="1" applyBorder="1" applyAlignment="1">
      <alignment vertical="center" shrinkToFit="1"/>
    </xf>
    <xf numFmtId="43" fontId="82" fillId="0" borderId="9" xfId="0" applyNumberFormat="1" applyFont="1" applyBorder="1" applyAlignment="1">
      <alignment horizontal="center" vertical="center"/>
    </xf>
    <xf numFmtId="200" fontId="82" fillId="0" borderId="38" xfId="0" applyNumberFormat="1" applyFont="1" applyBorder="1" applyAlignment="1">
      <alignment horizontal="center" vertical="center" wrapText="1"/>
    </xf>
    <xf numFmtId="43" fontId="82" fillId="0" borderId="38" xfId="0" applyNumberFormat="1" applyFont="1" applyBorder="1" applyAlignment="1">
      <alignment horizontal="center" vertical="center" wrapText="1"/>
    </xf>
    <xf numFmtId="43" fontId="82" fillId="0" borderId="38" xfId="0" applyNumberFormat="1" applyFont="1" applyBorder="1" applyAlignment="1">
      <alignment horizontal="center" vertical="center" shrinkToFit="1"/>
    </xf>
    <xf numFmtId="43" fontId="82" fillId="0" borderId="38" xfId="0" applyNumberFormat="1" applyFont="1" applyBorder="1" applyAlignment="1">
      <alignment horizontal="center" vertical="center"/>
    </xf>
    <xf numFmtId="43" fontId="82" fillId="0" borderId="2" xfId="0" applyNumberFormat="1" applyFont="1" applyBorder="1" applyAlignment="1">
      <alignment horizontal="center" vertical="center" wrapText="1" shrinkToFit="1"/>
    </xf>
    <xf numFmtId="200" fontId="82" fillId="0" borderId="10" xfId="0" applyNumberFormat="1" applyFont="1" applyBorder="1" applyAlignment="1">
      <alignment horizontal="center" vertical="center" wrapText="1"/>
    </xf>
    <xf numFmtId="43" fontId="82" fillId="0" borderId="2" xfId="0" applyNumberFormat="1" applyFont="1" applyBorder="1" applyAlignment="1">
      <alignment horizontal="center" vertical="center" shrinkToFit="1"/>
    </xf>
    <xf numFmtId="43" fontId="82" fillId="0" borderId="10" xfId="0" applyNumberFormat="1" applyFont="1" applyBorder="1" applyAlignment="1">
      <alignment vertical="center" shrinkToFit="1"/>
    </xf>
    <xf numFmtId="43" fontId="82" fillId="0" borderId="10" xfId="0" applyNumberFormat="1" applyFont="1" applyBorder="1" applyAlignment="1">
      <alignment horizontal="center" vertical="center"/>
    </xf>
    <xf numFmtId="200" fontId="82" fillId="0" borderId="2" xfId="0" applyNumberFormat="1" applyFont="1" applyBorder="1" applyAlignment="1">
      <alignment horizontal="center" vertical="top" wrapText="1"/>
    </xf>
    <xf numFmtId="43" fontId="82" fillId="0" borderId="2" xfId="0" applyNumberFormat="1" applyFont="1" applyBorder="1" applyAlignment="1">
      <alignment vertical="top" wrapText="1"/>
    </xf>
    <xf numFmtId="43" fontId="82" fillId="0" borderId="56" xfId="0" applyNumberFormat="1" applyFont="1" applyBorder="1" applyAlignment="1">
      <alignment horizontal="center" vertical="center" shrinkToFit="1"/>
    </xf>
    <xf numFmtId="43" fontId="82" fillId="0" borderId="40" xfId="0" applyNumberFormat="1" applyFont="1" applyBorder="1" applyAlignment="1">
      <alignment horizontal="right" vertical="center" wrapText="1" shrinkToFit="1"/>
    </xf>
    <xf numFmtId="43" fontId="82" fillId="0" borderId="2" xfId="3" applyFont="1" applyFill="1" applyBorder="1" applyAlignment="1">
      <alignment horizontal="right" vertical="center" wrapText="1" shrinkToFit="1"/>
    </xf>
    <xf numFmtId="43" fontId="82" fillId="0" borderId="10" xfId="0" applyNumberFormat="1" applyFont="1" applyBorder="1" applyAlignment="1">
      <alignment horizontal="right" vertical="center" wrapText="1"/>
    </xf>
    <xf numFmtId="43" fontId="82" fillId="0" borderId="10" xfId="0" quotePrefix="1" applyNumberFormat="1" applyFont="1" applyBorder="1" applyAlignment="1">
      <alignment horizontal="right" vertical="center" wrapText="1"/>
    </xf>
    <xf numFmtId="43" fontId="82" fillId="0" borderId="2" xfId="0" applyNumberFormat="1" applyFont="1" applyBorder="1" applyAlignment="1">
      <alignment horizontal="center" vertical="center" shrinkToFit="1"/>
    </xf>
    <xf numFmtId="43" fontId="82" fillId="0" borderId="2" xfId="0" applyNumberFormat="1" applyFont="1" applyBorder="1" applyAlignment="1">
      <alignment horizontal="center" vertical="center"/>
    </xf>
    <xf numFmtId="43" fontId="82" fillId="0" borderId="0" xfId="0" applyNumberFormat="1" applyFont="1" applyAlignment="1">
      <alignment vertical="center" wrapText="1"/>
    </xf>
    <xf numFmtId="0" fontId="28" fillId="0" borderId="0" xfId="0" applyFont="1" applyAlignment="1">
      <alignment vertical="center"/>
    </xf>
    <xf numFmtId="43" fontId="28" fillId="0" borderId="0" xfId="0" applyNumberFormat="1" applyFont="1" applyAlignment="1">
      <alignment vertical="center" wrapText="1"/>
    </xf>
    <xf numFmtId="0" fontId="82" fillId="0" borderId="56" xfId="0" applyFont="1" applyBorder="1" applyAlignment="1">
      <alignment horizontal="center" vertical="center" shrinkToFit="1"/>
    </xf>
    <xf numFmtId="199" fontId="82" fillId="0" borderId="80" xfId="0" applyNumberFormat="1" applyFont="1" applyBorder="1" applyAlignment="1">
      <alignment horizontal="center" vertical="center" shrinkToFit="1"/>
    </xf>
    <xf numFmtId="4" fontId="82" fillId="0" borderId="0" xfId="0" applyNumberFormat="1" applyFont="1" applyAlignment="1">
      <alignment horizontal="right" vertical="center" wrapText="1"/>
    </xf>
    <xf numFmtId="4" fontId="82" fillId="0" borderId="78" xfId="0" applyNumberFormat="1" applyFont="1" applyBorder="1" applyAlignment="1">
      <alignment horizontal="right" vertical="center" wrapText="1"/>
    </xf>
    <xf numFmtId="200" fontId="82" fillId="4" borderId="2" xfId="0" applyNumberFormat="1" applyFont="1" applyFill="1" applyBorder="1" applyAlignment="1">
      <alignment horizontal="center" vertical="top" wrapText="1"/>
    </xf>
    <xf numFmtId="0" fontId="82" fillId="4" borderId="2" xfId="0" applyFont="1" applyFill="1" applyBorder="1" applyAlignment="1">
      <alignment horizontal="left" vertical="center" wrapText="1"/>
    </xf>
    <xf numFmtId="0" fontId="82" fillId="4" borderId="56" xfId="0" applyFont="1" applyFill="1" applyBorder="1" applyAlignment="1">
      <alignment horizontal="center" vertical="center" shrinkToFit="1"/>
    </xf>
    <xf numFmtId="4" fontId="82" fillId="4" borderId="2" xfId="0" quotePrefix="1" applyNumberFormat="1" applyFont="1" applyFill="1" applyBorder="1" applyAlignment="1">
      <alignment horizontal="right" vertical="center" wrapText="1"/>
    </xf>
    <xf numFmtId="4" fontId="82" fillId="4" borderId="2" xfId="0" quotePrefix="1" applyNumberFormat="1" applyFont="1" applyFill="1" applyBorder="1" applyAlignment="1">
      <alignment vertical="center" wrapText="1"/>
    </xf>
    <xf numFmtId="4" fontId="82" fillId="4" borderId="2" xfId="0" applyNumberFormat="1" applyFont="1" applyFill="1" applyBorder="1" applyAlignment="1">
      <alignment vertical="center"/>
    </xf>
    <xf numFmtId="4" fontId="82" fillId="4" borderId="2" xfId="0" applyNumberFormat="1" applyFont="1" applyFill="1" applyBorder="1" applyAlignment="1">
      <alignment horizontal="right" vertical="center" wrapText="1"/>
    </xf>
    <xf numFmtId="4" fontId="82" fillId="4" borderId="2" xfId="3" applyNumberFormat="1" applyFont="1" applyFill="1" applyBorder="1" applyAlignment="1">
      <alignment horizontal="right" vertical="center" wrapText="1"/>
    </xf>
    <xf numFmtId="4" fontId="82" fillId="4" borderId="10" xfId="0" applyNumberFormat="1" applyFont="1" applyFill="1" applyBorder="1" applyAlignment="1">
      <alignment horizontal="right" vertical="center" wrapText="1"/>
    </xf>
    <xf numFmtId="4" fontId="82" fillId="4" borderId="10" xfId="0" quotePrefix="1" applyNumberFormat="1" applyFont="1" applyFill="1" applyBorder="1" applyAlignment="1">
      <alignment horizontal="right" vertical="center" wrapText="1"/>
    </xf>
    <xf numFmtId="0" fontId="82" fillId="4" borderId="2" xfId="0" applyFont="1" applyFill="1" applyBorder="1" applyAlignment="1">
      <alignment horizontal="center" vertical="top" wrapText="1" shrinkToFit="1"/>
    </xf>
    <xf numFmtId="0" fontId="82" fillId="4" borderId="10" xfId="0" applyFont="1" applyFill="1" applyBorder="1" applyAlignment="1">
      <alignment horizontal="center" vertical="center"/>
    </xf>
    <xf numFmtId="0" fontId="82" fillId="4" borderId="0" xfId="0" applyFont="1" applyFill="1" applyAlignment="1">
      <alignment vertical="center" wrapText="1"/>
    </xf>
    <xf numFmtId="0" fontId="28" fillId="4" borderId="0" xfId="0" applyFont="1" applyFill="1" applyAlignment="1">
      <alignment vertical="center"/>
    </xf>
    <xf numFmtId="0" fontId="82" fillId="4" borderId="0" xfId="0" applyFont="1" applyFill="1" applyAlignment="1">
      <alignment vertical="center"/>
    </xf>
    <xf numFmtId="0" fontId="82" fillId="4" borderId="2" xfId="0" applyFont="1" applyFill="1" applyBorder="1" applyAlignment="1">
      <alignment horizontal="center" vertical="top" wrapText="1"/>
    </xf>
    <xf numFmtId="199" fontId="82" fillId="0" borderId="2" xfId="0" applyNumberFormat="1" applyFont="1" applyBorder="1" applyAlignment="1">
      <alignment horizontal="center" vertical="center" shrinkToFit="1"/>
    </xf>
    <xf numFmtId="4" fontId="82" fillId="0" borderId="3" xfId="0" applyNumberFormat="1" applyFont="1" applyBorder="1" applyAlignment="1">
      <alignment horizontal="right" vertical="center" wrapText="1"/>
    </xf>
    <xf numFmtId="43" fontId="82" fillId="0" borderId="0" xfId="0" applyNumberFormat="1" applyFont="1" applyAlignment="1">
      <alignment horizontal="left" wrapText="1"/>
    </xf>
    <xf numFmtId="43" fontId="82" fillId="0" borderId="0" xfId="0" applyNumberFormat="1" applyFont="1" applyAlignment="1">
      <alignment shrinkToFit="1"/>
    </xf>
    <xf numFmtId="200" fontId="82" fillId="0" borderId="0" xfId="0" applyNumberFormat="1" applyFont="1"/>
    <xf numFmtId="200" fontId="82" fillId="0" borderId="9" xfId="0" applyNumberFormat="1" applyFont="1" applyBorder="1" applyAlignment="1">
      <alignment horizontal="center" vertical="center"/>
    </xf>
    <xf numFmtId="43" fontId="82" fillId="0" borderId="3" xfId="0" applyNumberFormat="1" applyFont="1" applyBorder="1" applyAlignment="1">
      <alignment horizontal="center" shrinkToFit="1"/>
    </xf>
    <xf numFmtId="43" fontId="82" fillId="0" borderId="22" xfId="0" applyNumberFormat="1" applyFont="1" applyBorder="1" applyAlignment="1">
      <alignment horizontal="center" shrinkToFit="1"/>
    </xf>
    <xf numFmtId="43" fontId="82" fillId="0" borderId="6" xfId="0" applyNumberFormat="1" applyFont="1" applyBorder="1" applyAlignment="1">
      <alignment horizontal="center" vertical="center"/>
    </xf>
    <xf numFmtId="43" fontId="82" fillId="0" borderId="21" xfId="0" applyNumberFormat="1" applyFont="1" applyBorder="1" applyAlignment="1">
      <alignment horizontal="center" vertical="center"/>
    </xf>
    <xf numFmtId="200" fontId="82" fillId="0" borderId="38" xfId="0" applyNumberFormat="1" applyFont="1" applyBorder="1" applyAlignment="1">
      <alignment horizontal="center" vertical="center"/>
    </xf>
    <xf numFmtId="43" fontId="82" fillId="0" borderId="56" xfId="0" applyNumberFormat="1" applyFont="1" applyBorder="1" applyAlignment="1">
      <alignment horizontal="center" vertical="center"/>
    </xf>
    <xf numFmtId="43" fontId="82" fillId="0" borderId="40" xfId="0" applyNumberFormat="1" applyFont="1" applyBorder="1" applyAlignment="1">
      <alignment horizontal="center" vertical="center"/>
    </xf>
    <xf numFmtId="43" fontId="82" fillId="0" borderId="4" xfId="0" applyNumberFormat="1" applyFont="1" applyBorder="1" applyAlignment="1">
      <alignment horizontal="center" vertical="center"/>
    </xf>
    <xf numFmtId="200" fontId="82" fillId="0" borderId="10" xfId="0" applyNumberFormat="1" applyFont="1" applyBorder="1" applyAlignment="1">
      <alignment horizontal="center" vertical="center"/>
    </xf>
    <xf numFmtId="3" fontId="82" fillId="0" borderId="2" xfId="0" applyNumberFormat="1" applyFont="1" applyBorder="1" applyAlignment="1">
      <alignment vertical="top" shrinkToFit="1"/>
    </xf>
    <xf numFmtId="43" fontId="82" fillId="0" borderId="2" xfId="0" quotePrefix="1" applyNumberFormat="1" applyFont="1" applyBorder="1" applyAlignment="1">
      <alignment horizontal="center" vertical="center"/>
    </xf>
    <xf numFmtId="43" fontId="82" fillId="0" borderId="2" xfId="0" quotePrefix="1" applyNumberFormat="1" applyFont="1" applyBorder="1" applyAlignment="1">
      <alignment horizontal="right" vertical="center"/>
    </xf>
    <xf numFmtId="0" fontId="82" fillId="0" borderId="2" xfId="0" applyFont="1" applyBorder="1" applyAlignment="1">
      <alignment horizontal="center" vertical="center" shrinkToFit="1"/>
    </xf>
    <xf numFmtId="43" fontId="82" fillId="0" borderId="2" xfId="26" applyFont="1" applyFill="1" applyBorder="1" applyAlignment="1">
      <alignment horizontal="center" vertical="top"/>
    </xf>
    <xf numFmtId="43" fontId="82" fillId="0" borderId="2" xfId="0" quotePrefix="1" applyNumberFormat="1" applyFont="1" applyBorder="1" applyAlignment="1">
      <alignment vertical="center"/>
    </xf>
    <xf numFmtId="43" fontId="82" fillId="0" borderId="2" xfId="26" applyFont="1" applyFill="1" applyBorder="1" applyAlignment="1">
      <alignment horizontal="center" vertical="center" shrinkToFit="1"/>
    </xf>
    <xf numFmtId="0" fontId="82" fillId="0" borderId="2" xfId="0" applyFont="1" applyBorder="1" applyAlignment="1">
      <alignment vertical="top" shrinkToFit="1"/>
    </xf>
    <xf numFmtId="43" fontId="82" fillId="0" borderId="2" xfId="0" applyNumberFormat="1" applyFont="1" applyBorder="1" applyAlignment="1">
      <alignment horizontal="right" vertical="center" shrinkToFit="1"/>
    </xf>
    <xf numFmtId="43" fontId="82" fillId="0" borderId="2" xfId="26" quotePrefix="1" applyFont="1" applyFill="1" applyBorder="1" applyAlignment="1">
      <alignment horizontal="center" vertical="center" shrinkToFit="1"/>
    </xf>
    <xf numFmtId="3" fontId="82" fillId="0" borderId="2" xfId="0" applyNumberFormat="1" applyFont="1" applyBorder="1" applyAlignment="1">
      <alignment vertical="top"/>
    </xf>
    <xf numFmtId="0" fontId="82" fillId="0" borderId="2" xfId="19" applyFont="1" applyBorder="1" applyAlignment="1">
      <alignment vertical="top"/>
    </xf>
    <xf numFmtId="0" fontId="82" fillId="0" borderId="2" xfId="19" applyFont="1" applyBorder="1" applyAlignment="1">
      <alignment horizontal="center" vertical="center"/>
    </xf>
    <xf numFmtId="43" fontId="4" fillId="0" borderId="2" xfId="0" quotePrefix="1" applyNumberFormat="1" applyFont="1" applyBorder="1" applyAlignment="1">
      <alignment horizontal="right" vertical="center"/>
    </xf>
    <xf numFmtId="43" fontId="82" fillId="0" borderId="2" xfId="3" applyFont="1" applyFill="1" applyBorder="1" applyAlignment="1">
      <alignment horizontal="right" vertical="center" shrinkToFit="1"/>
    </xf>
    <xf numFmtId="0" fontId="82" fillId="0" borderId="2" xfId="0" applyFont="1" applyBorder="1" applyAlignment="1">
      <alignment horizontal="left" vertical="top" shrinkToFit="1"/>
    </xf>
    <xf numFmtId="0" fontId="82" fillId="0" borderId="2" xfId="0" applyFont="1" applyBorder="1" applyAlignment="1">
      <alignment horizontal="center" vertical="top" shrinkToFit="1"/>
    </xf>
    <xf numFmtId="0" fontId="82" fillId="0" borderId="2" xfId="0" applyFont="1" applyBorder="1" applyAlignment="1">
      <alignment horizontal="left" vertical="top"/>
    </xf>
    <xf numFmtId="0" fontId="82" fillId="0" borderId="2" xfId="0" applyFont="1" applyBorder="1" applyAlignment="1">
      <alignment horizontal="left" vertical="top" wrapText="1"/>
    </xf>
    <xf numFmtId="0" fontId="82" fillId="0" borderId="2" xfId="0" applyFont="1" applyBorder="1" applyAlignment="1">
      <alignment horizontal="center" shrinkToFit="1"/>
    </xf>
    <xf numFmtId="0" fontId="82" fillId="0" borderId="2" xfId="19" applyFont="1" applyBorder="1" applyAlignment="1">
      <alignment horizontal="left" vertical="top" wrapText="1"/>
    </xf>
    <xf numFmtId="3" fontId="4" fillId="0" borderId="2" xfId="0" applyNumberFormat="1" applyFont="1" applyBorder="1" applyAlignment="1">
      <alignment vertical="top" wrapText="1"/>
    </xf>
    <xf numFmtId="3" fontId="4" fillId="0" borderId="2" xfId="0" applyNumberFormat="1" applyFont="1" applyBorder="1" applyAlignment="1">
      <alignment horizontal="center" vertical="top"/>
    </xf>
    <xf numFmtId="3" fontId="82" fillId="0" borderId="2" xfId="0" applyNumberFormat="1" applyFont="1" applyBorder="1" applyAlignment="1">
      <alignment vertical="top" wrapText="1"/>
    </xf>
    <xf numFmtId="3" fontId="82" fillId="0" borderId="2" xfId="0" applyNumberFormat="1" applyFont="1" applyBorder="1" applyAlignment="1">
      <alignment horizontal="center" vertical="top"/>
    </xf>
    <xf numFmtId="3" fontId="28" fillId="0" borderId="2" xfId="0" applyNumberFormat="1" applyFont="1" applyBorder="1" applyAlignment="1">
      <alignment vertical="top" wrapText="1"/>
    </xf>
    <xf numFmtId="3" fontId="28" fillId="0" borderId="2" xfId="0" applyNumberFormat="1" applyFont="1" applyBorder="1" applyAlignment="1">
      <alignment horizontal="center" vertical="top"/>
    </xf>
    <xf numFmtId="43" fontId="28" fillId="0" borderId="2" xfId="0" quotePrefix="1" applyNumberFormat="1" applyFont="1" applyBorder="1" applyAlignment="1">
      <alignment horizontal="right" vertical="center"/>
    </xf>
    <xf numFmtId="43" fontId="28" fillId="0" borderId="2" xfId="0" quotePrefix="1" applyNumberFormat="1" applyFont="1" applyBorder="1" applyAlignment="1">
      <alignment vertical="center"/>
    </xf>
    <xf numFmtId="43" fontId="28" fillId="0" borderId="2" xfId="0" applyNumberFormat="1" applyFont="1" applyBorder="1" applyAlignment="1">
      <alignment vertical="center"/>
    </xf>
    <xf numFmtId="43" fontId="28" fillId="0" borderId="2" xfId="0" applyNumberFormat="1" applyFont="1" applyBorder="1" applyAlignment="1">
      <alignment horizontal="right" vertical="center"/>
    </xf>
    <xf numFmtId="43" fontId="28" fillId="0" borderId="2" xfId="3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 shrinkToFit="1"/>
    </xf>
    <xf numFmtId="0" fontId="28" fillId="0" borderId="2" xfId="0" applyFont="1" applyBorder="1" applyAlignment="1">
      <alignment horizontal="center" vertical="center"/>
    </xf>
    <xf numFmtId="0" fontId="28" fillId="0" borderId="0" xfId="0" applyFont="1"/>
    <xf numFmtId="0" fontId="82" fillId="0" borderId="2" xfId="0" applyFont="1" applyBorder="1" applyAlignment="1">
      <alignment horizontal="left" vertical="center" shrinkToFit="1"/>
    </xf>
    <xf numFmtId="0" fontId="82" fillId="0" borderId="2" xfId="0" applyFont="1" applyBorder="1" applyAlignment="1">
      <alignment horizontal="left" vertical="center"/>
    </xf>
    <xf numFmtId="199" fontId="82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center" vertical="center" wrapText="1"/>
    </xf>
    <xf numFmtId="43" fontId="28" fillId="0" borderId="2" xfId="0" quotePrefix="1" applyNumberFormat="1" applyFont="1" applyBorder="1" applyAlignment="1">
      <alignment horizontal="right" vertical="center" wrapText="1"/>
    </xf>
    <xf numFmtId="43" fontId="28" fillId="0" borderId="2" xfId="0" applyNumberFormat="1" applyFont="1" applyBorder="1" applyAlignment="1">
      <alignment horizontal="right" vertical="center" wrapText="1"/>
    </xf>
    <xf numFmtId="43" fontId="28" fillId="0" borderId="2" xfId="3" applyFont="1" applyFill="1" applyBorder="1" applyAlignment="1">
      <alignment horizontal="right" vertical="center" wrapText="1"/>
    </xf>
    <xf numFmtId="0" fontId="80" fillId="0" borderId="2" xfId="0" applyFont="1" applyBorder="1" applyAlignment="1">
      <alignment horizontal="left" vertical="center" wrapText="1"/>
    </xf>
    <xf numFmtId="43" fontId="78" fillId="0" borderId="2" xfId="0" applyNumberFormat="1" applyFont="1" applyBorder="1" applyAlignment="1">
      <alignment horizontal="center"/>
    </xf>
    <xf numFmtId="43" fontId="78" fillId="0" borderId="2" xfId="0" applyNumberFormat="1" applyFont="1" applyBorder="1" applyAlignment="1">
      <alignment shrinkToFit="1"/>
    </xf>
    <xf numFmtId="43" fontId="82" fillId="0" borderId="0" xfId="0" applyNumberFormat="1" applyFont="1" applyAlignment="1">
      <alignment horizontal="left"/>
    </xf>
    <xf numFmtId="1" fontId="82" fillId="0" borderId="9" xfId="0" applyNumberFormat="1" applyFont="1" applyBorder="1" applyAlignment="1">
      <alignment horizontal="center" vertical="center" shrinkToFit="1"/>
    </xf>
    <xf numFmtId="1" fontId="82" fillId="0" borderId="9" xfId="0" applyNumberFormat="1" applyFont="1" applyBorder="1" applyAlignment="1">
      <alignment horizontal="center" vertical="center" wrapText="1"/>
    </xf>
    <xf numFmtId="1" fontId="82" fillId="0" borderId="2" xfId="0" applyNumberFormat="1" applyFont="1" applyBorder="1" applyAlignment="1">
      <alignment horizontal="center" vertical="center" wrapText="1"/>
    </xf>
    <xf numFmtId="1" fontId="82" fillId="0" borderId="10" xfId="0" applyNumberFormat="1" applyFont="1" applyBorder="1" applyAlignment="1">
      <alignment horizontal="center" vertical="center" wrapText="1"/>
    </xf>
    <xf numFmtId="199" fontId="82" fillId="0" borderId="2" xfId="27" applyNumberFormat="1" applyFont="1" applyFill="1" applyBorder="1" applyAlignment="1">
      <alignment vertical="top" shrinkToFit="1"/>
    </xf>
    <xf numFmtId="199" fontId="32" fillId="0" borderId="2" xfId="27" applyNumberFormat="1" applyFont="1" applyFill="1" applyBorder="1" applyAlignment="1">
      <alignment horizontal="center" vertical="center" shrinkToFit="1"/>
    </xf>
    <xf numFmtId="43" fontId="32" fillId="0" borderId="77" xfId="25" applyNumberFormat="1" applyFont="1" applyBorder="1" applyAlignment="1">
      <alignment horizontal="center" vertical="center"/>
    </xf>
    <xf numFmtId="43" fontId="32" fillId="0" borderId="2" xfId="27" applyNumberFormat="1" applyFont="1" applyFill="1" applyBorder="1" applyAlignment="1">
      <alignment horizontal="center" vertical="center"/>
    </xf>
    <xf numFmtId="43" fontId="82" fillId="0" borderId="76" xfId="25" applyNumberFormat="1" applyFont="1" applyBorder="1" applyAlignment="1">
      <alignment horizontal="center" vertical="center"/>
    </xf>
    <xf numFmtId="43" fontId="82" fillId="0" borderId="2" xfId="3" applyFont="1" applyFill="1" applyBorder="1" applyAlignment="1">
      <alignment horizontal="center" vertical="center" shrinkToFit="1"/>
    </xf>
    <xf numFmtId="201" fontId="32" fillId="0" borderId="2" xfId="27" applyNumberFormat="1" applyFont="1" applyFill="1" applyBorder="1" applyAlignment="1">
      <alignment horizontal="center" vertical="center"/>
    </xf>
    <xf numFmtId="43" fontId="82" fillId="0" borderId="2" xfId="3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201" fontId="4" fillId="0" borderId="2" xfId="0" applyNumberFormat="1" applyFont="1" applyBorder="1" applyAlignment="1">
      <alignment horizontal="center" vertical="center"/>
    </xf>
    <xf numFmtId="43" fontId="4" fillId="0" borderId="2" xfId="0" applyNumberFormat="1" applyFont="1" applyBorder="1" applyAlignment="1">
      <alignment horizontal="center" vertical="center"/>
    </xf>
    <xf numFmtId="199" fontId="82" fillId="0" borderId="2" xfId="27" applyNumberFormat="1" applyFont="1" applyFill="1" applyBorder="1" applyAlignment="1">
      <alignment vertical="top" wrapText="1"/>
    </xf>
    <xf numFmtId="43" fontId="82" fillId="0" borderId="2" xfId="25" applyNumberFormat="1" applyFont="1" applyBorder="1" applyAlignment="1">
      <alignment horizontal="center" vertical="center"/>
    </xf>
    <xf numFmtId="199" fontId="82" fillId="0" borderId="0" xfId="0" applyNumberFormat="1" applyFont="1" applyAlignment="1">
      <alignment horizontal="center" vertical="center" shrinkToFit="1"/>
    </xf>
    <xf numFmtId="43" fontId="32" fillId="0" borderId="76" xfId="25" applyNumberFormat="1" applyFont="1" applyBorder="1" applyAlignment="1">
      <alignment horizontal="center" vertical="center"/>
    </xf>
    <xf numFmtId="201" fontId="82" fillId="0" borderId="2" xfId="3" applyNumberFormat="1" applyFont="1" applyFill="1" applyBorder="1" applyAlignment="1">
      <alignment horizontal="center" vertical="center"/>
    </xf>
    <xf numFmtId="43" fontId="4" fillId="0" borderId="2" xfId="3" applyFont="1" applyFill="1" applyBorder="1" applyAlignment="1">
      <alignment horizontal="center" vertical="center"/>
    </xf>
    <xf numFmtId="199" fontId="32" fillId="0" borderId="2" xfId="27" applyNumberFormat="1" applyFont="1" applyFill="1" applyBorder="1" applyAlignment="1">
      <alignment vertical="top" wrapText="1"/>
    </xf>
    <xf numFmtId="43" fontId="32" fillId="0" borderId="78" xfId="25" applyNumberFormat="1" applyFont="1" applyBorder="1" applyAlignment="1">
      <alignment horizontal="center" vertical="center"/>
    </xf>
    <xf numFmtId="0" fontId="82" fillId="0" borderId="2" xfId="19" applyFont="1" applyBorder="1" applyAlignment="1">
      <alignment vertical="top" shrinkToFit="1"/>
    </xf>
    <xf numFmtId="199" fontId="82" fillId="0" borderId="2" xfId="27" applyNumberFormat="1" applyFont="1" applyFill="1" applyBorder="1" applyAlignment="1">
      <alignment horizontal="center" vertical="center" shrinkToFit="1"/>
    </xf>
    <xf numFmtId="43" fontId="82" fillId="0" borderId="2" xfId="27" applyNumberFormat="1" applyFont="1" applyFill="1" applyBorder="1" applyAlignment="1">
      <alignment horizontal="center" vertical="center"/>
    </xf>
    <xf numFmtId="201" fontId="82" fillId="0" borderId="2" xfId="27" applyNumberFormat="1" applyFont="1" applyFill="1" applyBorder="1" applyAlignment="1">
      <alignment horizontal="center" vertical="center"/>
    </xf>
    <xf numFmtId="0" fontId="82" fillId="0" borderId="2" xfId="27" applyFont="1" applyFill="1" applyBorder="1" applyAlignment="1">
      <alignment vertical="top" wrapText="1"/>
    </xf>
    <xf numFmtId="199" fontId="82" fillId="0" borderId="77" xfId="25" applyNumberFormat="1" applyFont="1" applyBorder="1" applyAlignment="1">
      <alignment vertical="top" wrapText="1"/>
    </xf>
    <xf numFmtId="43" fontId="82" fillId="0" borderId="0" xfId="0" applyNumberFormat="1" applyFont="1" applyAlignment="1">
      <alignment horizontal="center" vertical="center"/>
    </xf>
    <xf numFmtId="199" fontId="82" fillId="0" borderId="2" xfId="27" applyNumberFormat="1" applyFont="1" applyFill="1" applyBorder="1" applyAlignment="1">
      <alignment horizontal="left" vertical="top" wrapText="1"/>
    </xf>
    <xf numFmtId="0" fontId="32" fillId="0" borderId="2" xfId="27" applyFont="1" applyFill="1" applyBorder="1" applyAlignment="1">
      <alignment vertical="top" wrapText="1"/>
    </xf>
    <xf numFmtId="0" fontId="82" fillId="0" borderId="0" xfId="0" applyFont="1" applyAlignment="1">
      <alignment horizontal="center" vertical="center" shrinkToFit="1"/>
    </xf>
    <xf numFmtId="43" fontId="78" fillId="0" borderId="2" xfId="0" applyNumberFormat="1" applyFont="1" applyBorder="1" applyAlignment="1">
      <alignment horizontal="center" vertical="center" shrinkToFit="1"/>
    </xf>
    <xf numFmtId="4" fontId="78" fillId="0" borderId="2" xfId="0" applyNumberFormat="1" applyFont="1" applyBorder="1" applyAlignment="1">
      <alignment horizontal="center" vertical="center"/>
    </xf>
    <xf numFmtId="4" fontId="78" fillId="0" borderId="0" xfId="0" applyNumberFormat="1" applyFont="1" applyAlignment="1">
      <alignment horizontal="center" vertical="center"/>
    </xf>
    <xf numFmtId="4" fontId="78" fillId="0" borderId="0" xfId="0" applyNumberFormat="1" applyFont="1" applyAlignment="1">
      <alignment horizontal="right" vertical="top"/>
    </xf>
    <xf numFmtId="43" fontId="78" fillId="0" borderId="0" xfId="0" applyNumberFormat="1" applyFont="1" applyAlignment="1">
      <alignment horizontal="center" vertical="center"/>
    </xf>
    <xf numFmtId="201" fontId="78" fillId="0" borderId="0" xfId="0" applyNumberFormat="1" applyFont="1" applyAlignment="1">
      <alignment horizontal="center" vertical="center"/>
    </xf>
    <xf numFmtId="43" fontId="78" fillId="0" borderId="0" xfId="0" applyNumberFormat="1" applyFont="1" applyAlignment="1">
      <alignment horizontal="center" vertical="center" shrinkToFit="1"/>
    </xf>
    <xf numFmtId="0" fontId="82" fillId="0" borderId="0" xfId="0" applyFont="1" applyAlignment="1">
      <alignment horizontal="left" vertical="top"/>
    </xf>
    <xf numFmtId="201" fontId="82" fillId="0" borderId="0" xfId="3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1" fontId="82" fillId="0" borderId="0" xfId="0" applyNumberFormat="1" applyFont="1" applyAlignment="1">
      <alignment horizontal="center"/>
    </xf>
    <xf numFmtId="43" fontId="82" fillId="0" borderId="0" xfId="0" applyNumberFormat="1" applyFont="1" applyAlignment="1">
      <alignment horizontal="center"/>
    </xf>
    <xf numFmtId="43" fontId="82" fillId="0" borderId="0" xfId="0" applyNumberFormat="1" applyFont="1" applyAlignment="1">
      <alignment horizontal="left"/>
    </xf>
    <xf numFmtId="43" fontId="82" fillId="0" borderId="0" xfId="0" applyNumberFormat="1" applyFont="1"/>
    <xf numFmtId="0" fontId="82" fillId="0" borderId="9" xfId="0" applyFont="1" applyBorder="1" applyAlignment="1">
      <alignment horizontal="center" vertical="center" shrinkToFit="1"/>
    </xf>
    <xf numFmtId="1" fontId="82" fillId="6" borderId="9" xfId="0" applyNumberFormat="1" applyFont="1" applyFill="1" applyBorder="1" applyAlignment="1">
      <alignment horizontal="center" vertical="center" wrapText="1" shrinkToFit="1"/>
    </xf>
    <xf numFmtId="0" fontId="82" fillId="6" borderId="9" xfId="0" applyFont="1" applyFill="1" applyBorder="1" applyAlignment="1">
      <alignment horizontal="center" shrinkToFit="1"/>
    </xf>
    <xf numFmtId="0" fontId="82" fillId="6" borderId="21" xfId="0" applyFont="1" applyFill="1" applyBorder="1" applyAlignment="1">
      <alignment horizontal="center" shrinkToFit="1"/>
    </xf>
    <xf numFmtId="0" fontId="82" fillId="0" borderId="38" xfId="0" applyFont="1" applyBorder="1" applyAlignment="1">
      <alignment horizontal="center" vertical="center" shrinkToFit="1"/>
    </xf>
    <xf numFmtId="1" fontId="82" fillId="6" borderId="38" xfId="0" applyNumberFormat="1" applyFont="1" applyFill="1" applyBorder="1" applyAlignment="1">
      <alignment horizontal="center" vertical="center" shrinkToFit="1"/>
    </xf>
    <xf numFmtId="0" fontId="82" fillId="6" borderId="38" xfId="0" applyFont="1" applyFill="1" applyBorder="1" applyAlignment="1">
      <alignment horizontal="center" shrinkToFit="1"/>
    </xf>
    <xf numFmtId="0" fontId="82" fillId="6" borderId="39" xfId="0" applyFont="1" applyFill="1" applyBorder="1" applyAlignment="1">
      <alignment horizontal="center" shrinkToFit="1"/>
    </xf>
    <xf numFmtId="1" fontId="82" fillId="6" borderId="2" xfId="0" applyNumberFormat="1" applyFont="1" applyFill="1" applyBorder="1" applyAlignment="1">
      <alignment horizontal="center" vertical="center" wrapText="1" shrinkToFit="1"/>
    </xf>
    <xf numFmtId="0" fontId="82" fillId="0" borderId="10" xfId="0" applyFont="1" applyBorder="1" applyAlignment="1">
      <alignment horizontal="center" vertical="center" shrinkToFit="1"/>
    </xf>
    <xf numFmtId="1" fontId="82" fillId="6" borderId="10" xfId="0" applyNumberFormat="1" applyFont="1" applyFill="1" applyBorder="1" applyAlignment="1">
      <alignment horizontal="center" vertical="center" shrinkToFit="1"/>
    </xf>
    <xf numFmtId="1" fontId="82" fillId="6" borderId="2" xfId="0" applyNumberFormat="1" applyFont="1" applyFill="1" applyBorder="1" applyAlignment="1">
      <alignment horizontal="center" vertical="center" shrinkToFit="1"/>
    </xf>
    <xf numFmtId="0" fontId="82" fillId="6" borderId="10" xfId="0" applyFont="1" applyFill="1" applyBorder="1" applyAlignment="1">
      <alignment horizontal="center"/>
    </xf>
    <xf numFmtId="0" fontId="82" fillId="6" borderId="40" xfId="0" applyFont="1" applyFill="1" applyBorder="1" applyAlignment="1">
      <alignment horizontal="center"/>
    </xf>
    <xf numFmtId="4" fontId="4" fillId="0" borderId="2" xfId="0" quotePrefix="1" applyNumberFormat="1" applyFont="1" applyBorder="1" applyAlignment="1">
      <alignment horizontal="right" vertical="center"/>
    </xf>
    <xf numFmtId="4" fontId="82" fillId="6" borderId="2" xfId="0" quotePrefix="1" applyNumberFormat="1" applyFont="1" applyFill="1" applyBorder="1" applyAlignment="1">
      <alignment vertical="center" wrapText="1"/>
    </xf>
    <xf numFmtId="4" fontId="82" fillId="6" borderId="2" xfId="0" applyNumberFormat="1" applyFont="1" applyFill="1" applyBorder="1" applyAlignment="1">
      <alignment horizontal="right" vertical="center" wrapText="1" shrinkToFit="1"/>
    </xf>
    <xf numFmtId="4" fontId="82" fillId="6" borderId="2" xfId="0" applyNumberFormat="1" applyFont="1" applyFill="1" applyBorder="1" applyAlignment="1">
      <alignment horizontal="right" vertical="center" wrapText="1"/>
    </xf>
    <xf numFmtId="4" fontId="82" fillId="6" borderId="2" xfId="0" quotePrefix="1" applyNumberFormat="1" applyFont="1" applyFill="1" applyBorder="1" applyAlignment="1">
      <alignment horizontal="right" vertical="center" wrapText="1"/>
    </xf>
    <xf numFmtId="4" fontId="82" fillId="6" borderId="10" xfId="0" applyNumberFormat="1" applyFont="1" applyFill="1" applyBorder="1" applyAlignment="1">
      <alignment horizontal="right" vertical="center" wrapText="1"/>
    </xf>
    <xf numFmtId="4" fontId="82" fillId="6" borderId="10" xfId="0" quotePrefix="1" applyNumberFormat="1" applyFont="1" applyFill="1" applyBorder="1" applyAlignment="1">
      <alignment horizontal="right" vertical="center" wrapText="1"/>
    </xf>
    <xf numFmtId="199" fontId="82" fillId="0" borderId="2" xfId="27" applyNumberFormat="1" applyFont="1" applyFill="1" applyBorder="1" applyAlignment="1">
      <alignment vertical="center"/>
    </xf>
    <xf numFmtId="4" fontId="78" fillId="6" borderId="2" xfId="0" applyNumberFormat="1" applyFont="1" applyFill="1" applyBorder="1"/>
    <xf numFmtId="1" fontId="82" fillId="6" borderId="0" xfId="0" applyNumberFormat="1" applyFont="1" applyFill="1" applyAlignment="1">
      <alignment horizontal="center"/>
    </xf>
    <xf numFmtId="4" fontId="82" fillId="6" borderId="0" xfId="3" applyNumberFormat="1" applyFont="1" applyFill="1" applyBorder="1" applyAlignment="1">
      <alignment horizontal="center"/>
    </xf>
    <xf numFmtId="1" fontId="82" fillId="6" borderId="0" xfId="0" applyNumberFormat="1" applyFont="1" applyFill="1"/>
    <xf numFmtId="0" fontId="82" fillId="6" borderId="0" xfId="0" applyFont="1" applyFill="1" applyAlignment="1">
      <alignment horizontal="center"/>
    </xf>
    <xf numFmtId="4" fontId="82" fillId="6" borderId="0" xfId="0" applyNumberFormat="1" applyFont="1" applyFill="1" applyAlignment="1">
      <alignment horizontal="center"/>
    </xf>
    <xf numFmtId="0" fontId="82" fillId="0" borderId="6" xfId="0" applyFont="1" applyBorder="1" applyAlignment="1">
      <alignment horizontal="center" shrinkToFit="1"/>
    </xf>
    <xf numFmtId="0" fontId="82" fillId="0" borderId="7" xfId="0" applyFont="1" applyBorder="1" applyAlignment="1">
      <alignment horizontal="center" shrinkToFit="1"/>
    </xf>
    <xf numFmtId="0" fontId="82" fillId="0" borderId="56" xfId="0" applyFont="1" applyBorder="1" applyAlignment="1">
      <alignment horizontal="center" shrinkToFit="1"/>
    </xf>
    <xf numFmtId="0" fontId="82" fillId="0" borderId="2" xfId="0" applyFont="1" applyBorder="1" applyAlignment="1" applyProtection="1">
      <alignment vertical="center"/>
      <protection locked="0"/>
    </xf>
    <xf numFmtId="43" fontId="82" fillId="0" borderId="56" xfId="0" applyNumberFormat="1" applyFont="1" applyBorder="1" applyAlignment="1">
      <alignment horizontal="right" vertical="center" wrapText="1" shrinkToFit="1"/>
    </xf>
    <xf numFmtId="43" fontId="82" fillId="0" borderId="40" xfId="0" applyNumberFormat="1" applyFont="1" applyBorder="1" applyAlignment="1">
      <alignment horizontal="right" vertical="center" wrapText="1"/>
    </xf>
    <xf numFmtId="43" fontId="82" fillId="0" borderId="56" xfId="0" applyNumberFormat="1" applyFont="1" applyBorder="1" applyAlignment="1">
      <alignment horizontal="right" vertical="center" wrapText="1"/>
    </xf>
    <xf numFmtId="0" fontId="82" fillId="0" borderId="2" xfId="0" applyFont="1" applyBorder="1" applyAlignment="1" applyProtection="1">
      <alignment wrapText="1"/>
      <protection locked="0"/>
    </xf>
    <xf numFmtId="0" fontId="82" fillId="0" borderId="9" xfId="0" applyFont="1" applyBorder="1" applyAlignment="1">
      <alignment horizontal="center" vertical="top" shrinkToFit="1"/>
    </xf>
    <xf numFmtId="43" fontId="82" fillId="0" borderId="9" xfId="0" applyNumberFormat="1" applyFont="1" applyBorder="1" applyAlignment="1">
      <alignment vertical="center"/>
    </xf>
    <xf numFmtId="0" fontId="4" fillId="0" borderId="2" xfId="0" applyFont="1" applyBorder="1" applyAlignment="1" applyProtection="1">
      <alignment vertical="center" wrapText="1"/>
      <protection locked="0"/>
    </xf>
    <xf numFmtId="0" fontId="4" fillId="0" borderId="2" xfId="0" applyFont="1" applyBorder="1" applyAlignment="1" applyProtection="1">
      <alignment vertical="center"/>
      <protection locked="0"/>
    </xf>
    <xf numFmtId="0" fontId="4" fillId="0" borderId="2" xfId="0" applyFont="1" applyBorder="1" applyAlignment="1">
      <alignment vertical="center"/>
    </xf>
    <xf numFmtId="4" fontId="78" fillId="0" borderId="56" xfId="0" applyNumberFormat="1" applyFont="1" applyBorder="1" applyAlignment="1">
      <alignment horizontal="right"/>
    </xf>
    <xf numFmtId="4" fontId="78" fillId="0" borderId="8" xfId="0" applyNumberFormat="1" applyFont="1" applyBorder="1" applyAlignment="1">
      <alignment horizontal="right"/>
    </xf>
    <xf numFmtId="4" fontId="78" fillId="0" borderId="40" xfId="0" applyNumberFormat="1" applyFont="1" applyBorder="1" applyAlignment="1">
      <alignment horizontal="right"/>
    </xf>
    <xf numFmtId="43" fontId="78" fillId="0" borderId="3" xfId="0" applyNumberFormat="1" applyFont="1" applyBorder="1"/>
    <xf numFmtId="0" fontId="78" fillId="0" borderId="0" xfId="29" applyFont="1" applyAlignment="1">
      <alignment horizontal="center" vertical="center"/>
    </xf>
    <xf numFmtId="0" fontId="78" fillId="0" borderId="0" xfId="29" applyFont="1" applyAlignment="1">
      <alignment horizontal="center"/>
    </xf>
    <xf numFmtId="0" fontId="5" fillId="0" borderId="0" xfId="29" applyFont="1" applyAlignment="1">
      <alignment horizontal="center" vertical="center"/>
    </xf>
    <xf numFmtId="0" fontId="5" fillId="0" borderId="8" xfId="29" applyFont="1" applyBorder="1" applyAlignment="1">
      <alignment horizontal="center"/>
    </xf>
    <xf numFmtId="0" fontId="78" fillId="0" borderId="8" xfId="29" applyFont="1" applyBorder="1" applyAlignment="1">
      <alignment vertical="center"/>
    </xf>
    <xf numFmtId="0" fontId="5" fillId="0" borderId="0" xfId="29" applyFont="1" applyAlignment="1">
      <alignment vertical="center"/>
    </xf>
    <xf numFmtId="43" fontId="5" fillId="0" borderId="8" xfId="29" applyNumberFormat="1" applyFont="1" applyBorder="1" applyAlignment="1">
      <alignment horizontal="center" vertical="center"/>
    </xf>
    <xf numFmtId="43" fontId="5" fillId="0" borderId="8" xfId="26" applyFont="1" applyFill="1" applyBorder="1" applyAlignment="1">
      <alignment horizontal="center" vertical="center"/>
    </xf>
    <xf numFmtId="43" fontId="5" fillId="0" borderId="0" xfId="26" applyFont="1" applyFill="1" applyBorder="1" applyAlignment="1">
      <alignment horizontal="center" vertical="center"/>
    </xf>
    <xf numFmtId="43" fontId="5" fillId="0" borderId="0" xfId="29" applyNumberFormat="1" applyFont="1" applyAlignment="1">
      <alignment horizontal="center"/>
    </xf>
    <xf numFmtId="0" fontId="5" fillId="0" borderId="0" xfId="29" applyFont="1" applyAlignment="1">
      <alignment horizontal="center"/>
    </xf>
    <xf numFmtId="0" fontId="5" fillId="0" borderId="0" xfId="29" applyFont="1"/>
    <xf numFmtId="0" fontId="78" fillId="0" borderId="2" xfId="25" applyFont="1" applyBorder="1" applyAlignment="1">
      <alignment horizontal="center" wrapText="1"/>
    </xf>
    <xf numFmtId="0" fontId="78" fillId="0" borderId="3" xfId="25" applyFont="1" applyBorder="1" applyAlignment="1">
      <alignment horizontal="center" vertical="center" wrapText="1"/>
    </xf>
    <xf numFmtId="43" fontId="82" fillId="0" borderId="2" xfId="0" applyNumberFormat="1" applyFont="1" applyBorder="1" applyAlignment="1">
      <alignment horizontal="center" shrinkToFit="1"/>
    </xf>
    <xf numFmtId="43" fontId="82" fillId="0" borderId="3" xfId="0" applyNumberFormat="1" applyFont="1" applyBorder="1" applyAlignment="1">
      <alignment horizontal="center" vertical="center" wrapText="1" shrinkToFit="1"/>
    </xf>
    <xf numFmtId="43" fontId="82" fillId="0" borderId="6" xfId="3" applyFont="1" applyFill="1" applyBorder="1" applyAlignment="1">
      <alignment horizontal="center" shrinkToFit="1"/>
    </xf>
    <xf numFmtId="43" fontId="82" fillId="0" borderId="9" xfId="3" applyFont="1" applyFill="1" applyBorder="1" applyAlignment="1">
      <alignment horizontal="center"/>
    </xf>
    <xf numFmtId="43" fontId="82" fillId="0" borderId="22" xfId="0" applyNumberFormat="1" applyFont="1" applyBorder="1" applyAlignment="1">
      <alignment horizontal="center" shrinkToFit="1"/>
    </xf>
    <xf numFmtId="43" fontId="82" fillId="0" borderId="3" xfId="0" applyNumberFormat="1" applyFont="1" applyBorder="1" applyAlignment="1">
      <alignment horizontal="center" vertical="center"/>
    </xf>
    <xf numFmtId="0" fontId="78" fillId="0" borderId="2" xfId="25" applyFont="1" applyBorder="1" applyAlignment="1">
      <alignment horizontal="center" vertical="center"/>
    </xf>
    <xf numFmtId="43" fontId="82" fillId="0" borderId="3" xfId="0" applyNumberFormat="1" applyFont="1" applyBorder="1" applyAlignment="1">
      <alignment horizontal="center" vertical="center" shrinkToFit="1"/>
    </xf>
    <xf numFmtId="43" fontId="82" fillId="0" borderId="7" xfId="3" applyFont="1" applyFill="1" applyBorder="1" applyAlignment="1">
      <alignment horizontal="center" shrinkToFit="1"/>
    </xf>
    <xf numFmtId="43" fontId="82" fillId="0" borderId="38" xfId="3" applyFont="1" applyFill="1" applyBorder="1" applyAlignment="1">
      <alignment horizontal="center"/>
    </xf>
    <xf numFmtId="43" fontId="82" fillId="0" borderId="22" xfId="0" applyNumberFormat="1" applyFont="1" applyBorder="1" applyAlignment="1">
      <alignment horizontal="center"/>
    </xf>
    <xf numFmtId="43" fontId="82" fillId="0" borderId="3" xfId="0" applyNumberFormat="1" applyFont="1" applyBorder="1" applyAlignment="1">
      <alignment horizontal="center"/>
    </xf>
    <xf numFmtId="43" fontId="82" fillId="0" borderId="10" xfId="0" applyNumberFormat="1" applyFont="1" applyBorder="1" applyAlignment="1">
      <alignment horizontal="center" vertical="center" wrapText="1" shrinkToFit="1"/>
    </xf>
    <xf numFmtId="43" fontId="82" fillId="0" borderId="56" xfId="0" applyNumberFormat="1" applyFont="1" applyBorder="1" applyAlignment="1">
      <alignment horizontal="center" vertical="top" shrinkToFit="1"/>
    </xf>
    <xf numFmtId="43" fontId="82" fillId="0" borderId="56" xfId="3" applyFont="1" applyFill="1" applyBorder="1" applyAlignment="1">
      <alignment horizontal="center" vertical="top" shrinkToFit="1"/>
    </xf>
    <xf numFmtId="43" fontId="82" fillId="0" borderId="10" xfId="3" applyFont="1" applyFill="1" applyBorder="1" applyAlignment="1">
      <alignment horizontal="center" vertical="top"/>
    </xf>
    <xf numFmtId="199" fontId="32" fillId="0" borderId="2" xfId="27" applyNumberFormat="1" applyFont="1" applyFill="1" applyBorder="1" applyAlignment="1">
      <alignment horizontal="center"/>
    </xf>
    <xf numFmtId="199" fontId="82" fillId="0" borderId="2" xfId="27" applyNumberFormat="1" applyFont="1" applyFill="1" applyBorder="1" applyAlignment="1">
      <alignment horizontal="left" vertical="center"/>
    </xf>
    <xf numFmtId="199" fontId="32" fillId="0" borderId="2" xfId="27" applyNumberFormat="1" applyFont="1" applyFill="1" applyBorder="1" applyAlignment="1">
      <alignment horizontal="center" vertical="center"/>
    </xf>
    <xf numFmtId="43" fontId="32" fillId="0" borderId="2" xfId="27" applyNumberFormat="1" applyFont="1" applyFill="1" applyBorder="1" applyAlignment="1">
      <alignment horizontal="right" vertical="center"/>
    </xf>
    <xf numFmtId="43" fontId="32" fillId="0" borderId="2" xfId="27" applyNumberFormat="1" applyFont="1" applyFill="1" applyBorder="1" applyAlignment="1">
      <alignment horizontal="right" vertical="center" wrapText="1"/>
    </xf>
    <xf numFmtId="43" fontId="32" fillId="0" borderId="2" xfId="27" applyNumberFormat="1" applyFont="1" applyFill="1" applyBorder="1" applyAlignment="1">
      <alignment horizontal="center" vertical="center" wrapText="1"/>
    </xf>
    <xf numFmtId="43" fontId="82" fillId="0" borderId="2" xfId="27" applyNumberFormat="1" applyFont="1" applyFill="1" applyBorder="1" applyAlignment="1">
      <alignment horizontal="center" vertical="center" wrapText="1"/>
    </xf>
    <xf numFmtId="43" fontId="82" fillId="0" borderId="2" xfId="27" applyNumberFormat="1" applyFont="1" applyFill="1" applyBorder="1" applyAlignment="1">
      <alignment horizontal="right" vertical="center" wrapText="1"/>
    </xf>
    <xf numFmtId="0" fontId="32" fillId="0" borderId="2" xfId="27" applyFont="1" applyFill="1" applyBorder="1" applyAlignment="1">
      <alignment horizontal="center" vertical="center" shrinkToFit="1"/>
    </xf>
    <xf numFmtId="0" fontId="32" fillId="0" borderId="2" xfId="27" applyFont="1" applyFill="1" applyBorder="1" applyAlignment="1">
      <alignment horizontal="right" vertical="center"/>
    </xf>
    <xf numFmtId="0" fontId="28" fillId="0" borderId="2" xfId="0" applyFont="1" applyBorder="1" applyAlignment="1">
      <alignment vertical="center" wrapText="1"/>
    </xf>
    <xf numFmtId="199" fontId="28" fillId="0" borderId="2" xfId="27" applyNumberFormat="1" applyFont="1" applyFill="1" applyBorder="1" applyAlignment="1">
      <alignment horizontal="center"/>
    </xf>
    <xf numFmtId="199" fontId="28" fillId="0" borderId="2" xfId="27" applyNumberFormat="1" applyFont="1" applyFill="1" applyBorder="1" applyAlignment="1">
      <alignment horizontal="left" vertical="center"/>
    </xf>
    <xf numFmtId="199" fontId="28" fillId="0" borderId="2" xfId="27" applyNumberFormat="1" applyFont="1" applyFill="1" applyBorder="1" applyAlignment="1">
      <alignment horizontal="center" vertical="center"/>
    </xf>
    <xf numFmtId="43" fontId="28" fillId="0" borderId="2" xfId="27" applyNumberFormat="1" applyFont="1" applyFill="1" applyBorder="1" applyAlignment="1">
      <alignment horizontal="center" vertical="center"/>
    </xf>
    <xf numFmtId="43" fontId="28" fillId="0" borderId="2" xfId="27" applyNumberFormat="1" applyFont="1" applyFill="1" applyBorder="1" applyAlignment="1">
      <alignment horizontal="right" vertical="center"/>
    </xf>
    <xf numFmtId="43" fontId="28" fillId="0" borderId="2" xfId="27" applyNumberFormat="1" applyFont="1" applyFill="1" applyBorder="1" applyAlignment="1">
      <alignment horizontal="right" vertical="center" wrapText="1"/>
    </xf>
    <xf numFmtId="43" fontId="28" fillId="0" borderId="2" xfId="27" applyNumberFormat="1" applyFont="1" applyFill="1" applyBorder="1" applyAlignment="1">
      <alignment horizontal="center" vertical="center" wrapText="1"/>
    </xf>
    <xf numFmtId="199" fontId="4" fillId="0" borderId="2" xfId="27" applyNumberFormat="1" applyFont="1" applyFill="1" applyBorder="1" applyAlignment="1">
      <alignment horizontal="center"/>
    </xf>
    <xf numFmtId="199" fontId="4" fillId="0" borderId="2" xfId="27" applyNumberFormat="1" applyFont="1" applyFill="1" applyBorder="1" applyAlignment="1">
      <alignment horizontal="left" vertical="center"/>
    </xf>
    <xf numFmtId="199" fontId="4" fillId="0" borderId="2" xfId="27" applyNumberFormat="1" applyFont="1" applyFill="1" applyBorder="1" applyAlignment="1">
      <alignment horizontal="center" vertical="center"/>
    </xf>
    <xf numFmtId="43" fontId="4" fillId="0" borderId="2" xfId="27" applyNumberFormat="1" applyFont="1" applyFill="1" applyBorder="1" applyAlignment="1">
      <alignment horizontal="center" vertical="center"/>
    </xf>
    <xf numFmtId="43" fontId="4" fillId="0" borderId="2" xfId="27" applyNumberFormat="1" applyFont="1" applyFill="1" applyBorder="1" applyAlignment="1">
      <alignment horizontal="right" vertical="center"/>
    </xf>
    <xf numFmtId="43" fontId="4" fillId="0" borderId="2" xfId="27" applyNumberFormat="1" applyFont="1" applyFill="1" applyBorder="1" applyAlignment="1">
      <alignment horizontal="right" vertical="center" wrapText="1"/>
    </xf>
    <xf numFmtId="43" fontId="4" fillId="0" borderId="2" xfId="27" applyNumberFormat="1" applyFont="1" applyFill="1" applyBorder="1" applyAlignment="1">
      <alignment horizontal="center" vertical="center" wrapText="1"/>
    </xf>
    <xf numFmtId="0" fontId="4" fillId="0" borderId="2" xfId="27" applyFont="1" applyFill="1" applyBorder="1" applyAlignment="1">
      <alignment horizontal="center" vertical="center" shrinkToFit="1"/>
    </xf>
    <xf numFmtId="0" fontId="4" fillId="0" borderId="2" xfId="27" applyFont="1" applyFill="1" applyBorder="1" applyAlignment="1">
      <alignment horizontal="right" vertical="center"/>
    </xf>
    <xf numFmtId="0" fontId="76" fillId="0" borderId="0" xfId="0" applyFont="1"/>
    <xf numFmtId="0" fontId="28" fillId="0" borderId="2" xfId="0" applyFont="1" applyBorder="1" applyAlignment="1">
      <alignment vertical="center"/>
    </xf>
    <xf numFmtId="199" fontId="4" fillId="0" borderId="38" xfId="27" applyNumberFormat="1" applyFont="1" applyFill="1" applyBorder="1" applyAlignment="1">
      <alignment horizontal="center"/>
    </xf>
    <xf numFmtId="0" fontId="78" fillId="0" borderId="2" xfId="29" applyFont="1" applyBorder="1" applyAlignment="1">
      <alignment horizontal="right"/>
    </xf>
    <xf numFmtId="43" fontId="78" fillId="0" borderId="2" xfId="29" applyNumberFormat="1" applyFont="1" applyBorder="1" applyAlignment="1">
      <alignment horizontal="center"/>
    </xf>
    <xf numFmtId="0" fontId="78" fillId="0" borderId="2" xfId="29" applyFont="1" applyBorder="1" applyAlignment="1">
      <alignment horizontal="right"/>
    </xf>
    <xf numFmtId="0" fontId="78" fillId="0" borderId="0" xfId="29" applyFont="1" applyAlignment="1">
      <alignment horizontal="center"/>
    </xf>
    <xf numFmtId="0" fontId="78" fillId="0" borderId="0" xfId="29" applyFont="1" applyAlignment="1">
      <alignment horizontal="right"/>
    </xf>
    <xf numFmtId="43" fontId="78" fillId="0" borderId="0" xfId="29" applyNumberFormat="1" applyFont="1" applyAlignment="1">
      <alignment horizontal="center"/>
    </xf>
    <xf numFmtId="0" fontId="82" fillId="0" borderId="0" xfId="29" applyFont="1" applyAlignment="1">
      <alignment horizontal="center"/>
    </xf>
    <xf numFmtId="0" fontId="82" fillId="0" borderId="0" xfId="29" applyFont="1"/>
    <xf numFmtId="43" fontId="82" fillId="0" borderId="0" xfId="29" applyNumberFormat="1" applyFont="1" applyAlignment="1">
      <alignment horizontal="center"/>
    </xf>
    <xf numFmtId="43" fontId="90" fillId="0" borderId="0" xfId="0" applyNumberFormat="1" applyFont="1"/>
    <xf numFmtId="0" fontId="0" fillId="0" borderId="0" xfId="0" applyAlignment="1">
      <alignment horizontal="center"/>
    </xf>
    <xf numFmtId="0" fontId="78" fillId="0" borderId="0" xfId="0" applyFont="1" applyAlignment="1">
      <alignment horizontal="center" wrapText="1"/>
    </xf>
    <xf numFmtId="0" fontId="4" fillId="0" borderId="0" xfId="0" applyFont="1" applyAlignment="1">
      <alignment vertical="center" wrapText="1"/>
    </xf>
    <xf numFmtId="0" fontId="97" fillId="0" borderId="0" xfId="0" applyFont="1" applyAlignment="1">
      <alignment horizontal="center" wrapText="1"/>
    </xf>
    <xf numFmtId="0" fontId="97" fillId="0" borderId="0" xfId="0" applyFont="1" applyAlignment="1">
      <alignment horizontal="center"/>
    </xf>
    <xf numFmtId="0" fontId="90" fillId="0" borderId="0" xfId="0" applyFont="1"/>
    <xf numFmtId="0" fontId="97" fillId="0" borderId="8" xfId="0" applyFont="1" applyBorder="1" applyAlignment="1">
      <alignment horizontal="center"/>
    </xf>
    <xf numFmtId="0" fontId="90" fillId="0" borderId="9" xfId="0" applyFont="1" applyBorder="1" applyAlignment="1">
      <alignment horizontal="center" vertical="center" wrapText="1"/>
    </xf>
    <xf numFmtId="0" fontId="90" fillId="0" borderId="6" xfId="0" applyFont="1" applyBorder="1" applyAlignment="1">
      <alignment horizontal="center"/>
    </xf>
    <xf numFmtId="1" fontId="90" fillId="0" borderId="2" xfId="0" applyNumberFormat="1" applyFont="1" applyBorder="1" applyAlignment="1">
      <alignment horizontal="center" shrinkToFit="1"/>
    </xf>
    <xf numFmtId="1" fontId="90" fillId="0" borderId="21" xfId="0" applyNumberFormat="1" applyFont="1" applyBorder="1" applyAlignment="1">
      <alignment horizontal="center" shrinkToFit="1"/>
    </xf>
    <xf numFmtId="1" fontId="90" fillId="0" borderId="6" xfId="0" applyNumberFormat="1" applyFont="1" applyBorder="1" applyAlignment="1">
      <alignment horizontal="center" shrinkToFit="1"/>
    </xf>
    <xf numFmtId="1" fontId="90" fillId="6" borderId="9" xfId="0" applyNumberFormat="1" applyFont="1" applyFill="1" applyBorder="1" applyAlignment="1">
      <alignment horizontal="center" vertical="center" wrapText="1" shrinkToFit="1"/>
    </xf>
    <xf numFmtId="0" fontId="90" fillId="0" borderId="9" xfId="0" applyFont="1" applyBorder="1" applyAlignment="1">
      <alignment horizontal="center" shrinkToFit="1"/>
    </xf>
    <xf numFmtId="43" fontId="90" fillId="0" borderId="9" xfId="3" applyFont="1" applyFill="1" applyBorder="1" applyAlignment="1">
      <alignment horizontal="center" shrinkToFit="1"/>
    </xf>
    <xf numFmtId="43" fontId="90" fillId="25" borderId="6" xfId="3" applyFont="1" applyFill="1" applyBorder="1" applyAlignment="1">
      <alignment horizontal="center"/>
    </xf>
    <xf numFmtId="0" fontId="90" fillId="6" borderId="9" xfId="0" applyFont="1" applyFill="1" applyBorder="1" applyAlignment="1">
      <alignment horizontal="center" shrinkToFit="1"/>
    </xf>
    <xf numFmtId="0" fontId="90" fillId="6" borderId="21" xfId="0" applyFont="1" applyFill="1" applyBorder="1" applyAlignment="1">
      <alignment horizontal="center" shrinkToFit="1"/>
    </xf>
    <xf numFmtId="0" fontId="90" fillId="0" borderId="4" xfId="0" applyFont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0" borderId="9" xfId="0" applyFont="1" applyBorder="1" applyAlignment="1">
      <alignment vertical="center" shrinkToFit="1"/>
    </xf>
    <xf numFmtId="0" fontId="90" fillId="0" borderId="9" xfId="0" applyFont="1" applyBorder="1" applyAlignment="1">
      <alignment horizontal="center" vertical="center"/>
    </xf>
    <xf numFmtId="0" fontId="90" fillId="0" borderId="38" xfId="0" applyFont="1" applyBorder="1" applyAlignment="1">
      <alignment horizontal="center" vertical="center" wrapText="1"/>
    </xf>
    <xf numFmtId="0" fontId="90" fillId="0" borderId="7" xfId="0" applyFont="1" applyBorder="1" applyAlignment="1">
      <alignment horizontal="center"/>
    </xf>
    <xf numFmtId="1" fontId="90" fillId="0" borderId="39" xfId="0" applyNumberFormat="1" applyFont="1" applyBorder="1" applyAlignment="1">
      <alignment horizontal="center" shrinkToFit="1"/>
    </xf>
    <xf numFmtId="1" fontId="90" fillId="0" borderId="7" xfId="0" applyNumberFormat="1" applyFont="1" applyBorder="1" applyAlignment="1">
      <alignment horizontal="center" shrinkToFit="1"/>
    </xf>
    <xf numFmtId="1" fontId="90" fillId="6" borderId="38" xfId="0" applyNumberFormat="1" applyFont="1" applyFill="1" applyBorder="1" applyAlignment="1">
      <alignment horizontal="center" vertical="center" shrinkToFit="1"/>
    </xf>
    <xf numFmtId="0" fontId="90" fillId="0" borderId="38" xfId="0" applyFont="1" applyBorder="1" applyAlignment="1">
      <alignment horizontal="center" shrinkToFit="1"/>
    </xf>
    <xf numFmtId="43" fontId="90" fillId="0" borderId="38" xfId="3" applyFont="1" applyFill="1" applyBorder="1" applyAlignment="1">
      <alignment horizontal="center" shrinkToFit="1"/>
    </xf>
    <xf numFmtId="43" fontId="90" fillId="25" borderId="7" xfId="3" applyFont="1" applyFill="1" applyBorder="1" applyAlignment="1">
      <alignment horizontal="center"/>
    </xf>
    <xf numFmtId="0" fontId="90" fillId="6" borderId="38" xfId="0" applyFont="1" applyFill="1" applyBorder="1" applyAlignment="1">
      <alignment horizontal="center" shrinkToFit="1"/>
    </xf>
    <xf numFmtId="0" fontId="90" fillId="6" borderId="39" xfId="0" applyFont="1" applyFill="1" applyBorder="1" applyAlignment="1">
      <alignment horizontal="center" shrinkToFit="1"/>
    </xf>
    <xf numFmtId="0" fontId="90" fillId="0" borderId="38" xfId="0" applyFont="1" applyBorder="1" applyAlignment="1">
      <alignment horizontal="center" vertical="center" shrinkToFit="1"/>
    </xf>
    <xf numFmtId="0" fontId="90" fillId="0" borderId="38" xfId="0" applyFont="1" applyBorder="1" applyAlignment="1">
      <alignment horizontal="center" vertical="center"/>
    </xf>
    <xf numFmtId="1" fontId="90" fillId="0" borderId="2" xfId="0" applyNumberFormat="1" applyFont="1" applyBorder="1" applyAlignment="1">
      <alignment horizontal="center" vertical="center" wrapText="1" shrinkToFit="1"/>
    </xf>
    <xf numFmtId="1" fontId="90" fillId="6" borderId="2" xfId="0" applyNumberFormat="1" applyFont="1" applyFill="1" applyBorder="1" applyAlignment="1">
      <alignment horizontal="center" vertical="center" wrapText="1" shrinkToFit="1"/>
    </xf>
    <xf numFmtId="0" fontId="90" fillId="0" borderId="38" xfId="0" applyFont="1" applyBorder="1" applyAlignment="1">
      <alignment horizontal="center"/>
    </xf>
    <xf numFmtId="0" fontId="90" fillId="25" borderId="2" xfId="0" applyFont="1" applyFill="1" applyBorder="1" applyAlignment="1">
      <alignment horizontal="center"/>
    </xf>
    <xf numFmtId="0" fontId="90" fillId="0" borderId="10" xfId="0" applyFont="1" applyBorder="1" applyAlignment="1">
      <alignment horizontal="center" vertical="center" wrapText="1"/>
    </xf>
    <xf numFmtId="0" fontId="90" fillId="0" borderId="56" xfId="0" applyFont="1" applyBorder="1" applyAlignment="1">
      <alignment horizontal="center"/>
    </xf>
    <xf numFmtId="1" fontId="90" fillId="0" borderId="2" xfId="0" applyNumberFormat="1" applyFont="1" applyBorder="1" applyAlignment="1">
      <alignment horizontal="center" vertical="center" shrinkToFit="1"/>
    </xf>
    <xf numFmtId="1" fontId="90" fillId="6" borderId="10" xfId="0" applyNumberFormat="1" applyFont="1" applyFill="1" applyBorder="1" applyAlignment="1">
      <alignment horizontal="center" vertical="center" shrinkToFit="1"/>
    </xf>
    <xf numFmtId="1" fontId="90" fillId="6" borderId="2" xfId="0" applyNumberFormat="1" applyFont="1" applyFill="1" applyBorder="1" applyAlignment="1">
      <alignment horizontal="center" vertical="center" shrinkToFit="1"/>
    </xf>
    <xf numFmtId="1" fontId="90" fillId="0" borderId="40" xfId="0" applyNumberFormat="1" applyFont="1" applyBorder="1" applyAlignment="1">
      <alignment horizontal="center" shrinkToFit="1"/>
    </xf>
    <xf numFmtId="1" fontId="90" fillId="0" borderId="56" xfId="0" applyNumberFormat="1" applyFont="1" applyBorder="1" applyAlignment="1">
      <alignment shrinkToFit="1"/>
    </xf>
    <xf numFmtId="1" fontId="90" fillId="0" borderId="10" xfId="0" applyNumberFormat="1" applyFont="1" applyBorder="1" applyAlignment="1">
      <alignment horizontal="center" shrinkToFit="1"/>
    </xf>
    <xf numFmtId="43" fontId="90" fillId="0" borderId="10" xfId="3" applyFont="1" applyFill="1" applyBorder="1" applyAlignment="1">
      <alignment horizontal="center" shrinkToFit="1"/>
    </xf>
    <xf numFmtId="43" fontId="90" fillId="25" borderId="56" xfId="3" applyFont="1" applyFill="1" applyBorder="1" applyAlignment="1">
      <alignment horizontal="center"/>
    </xf>
    <xf numFmtId="0" fontId="90" fillId="0" borderId="10" xfId="0" applyFont="1" applyBorder="1" applyAlignment="1">
      <alignment horizontal="center"/>
    </xf>
    <xf numFmtId="0" fontId="90" fillId="6" borderId="10" xfId="0" applyFont="1" applyFill="1" applyBorder="1" applyAlignment="1">
      <alignment horizontal="center"/>
    </xf>
    <xf numFmtId="0" fontId="90" fillId="6" borderId="40" xfId="0" applyFont="1" applyFill="1" applyBorder="1" applyAlignment="1">
      <alignment horizontal="center"/>
    </xf>
    <xf numFmtId="0" fontId="90" fillId="0" borderId="10" xfId="0" applyFont="1" applyBorder="1" applyAlignment="1">
      <alignment vertical="center" shrinkToFit="1"/>
    </xf>
    <xf numFmtId="0" fontId="90" fillId="0" borderId="10" xfId="0" applyFont="1" applyBorder="1" applyAlignment="1">
      <alignment horizontal="center" vertical="center"/>
    </xf>
    <xf numFmtId="0" fontId="90" fillId="0" borderId="2" xfId="0" applyFont="1" applyBorder="1" applyAlignment="1">
      <alignment horizontal="center" vertical="top" wrapText="1"/>
    </xf>
    <xf numFmtId="0" fontId="90" fillId="0" borderId="10" xfId="0" applyFont="1" applyBorder="1" applyAlignment="1">
      <alignment horizontal="left" vertical="center" wrapText="1"/>
    </xf>
    <xf numFmtId="0" fontId="90" fillId="0" borderId="56" xfId="0" applyFont="1" applyBorder="1" applyAlignment="1">
      <alignment horizontal="center" vertical="center" wrapText="1"/>
    </xf>
    <xf numFmtId="4" fontId="0" fillId="0" borderId="2" xfId="0" quotePrefix="1" applyNumberFormat="1" applyBorder="1" applyAlignment="1">
      <alignment horizontal="right" vertical="center" wrapText="1"/>
    </xf>
    <xf numFmtId="4" fontId="15" fillId="6" borderId="2" xfId="0" quotePrefix="1" applyNumberFormat="1" applyFont="1" applyFill="1" applyBorder="1" applyAlignment="1">
      <alignment vertical="center" wrapText="1"/>
    </xf>
    <xf numFmtId="4" fontId="90" fillId="6" borderId="2" xfId="0" applyNumberFormat="1" applyFont="1" applyFill="1" applyBorder="1" applyAlignment="1">
      <alignment horizontal="right" vertical="center" wrapText="1" shrinkToFit="1"/>
    </xf>
    <xf numFmtId="4" fontId="15" fillId="6" borderId="2" xfId="0" applyNumberFormat="1" applyFont="1" applyFill="1" applyBorder="1" applyAlignment="1">
      <alignment horizontal="right" vertical="center" wrapText="1"/>
    </xf>
    <xf numFmtId="4" fontId="90" fillId="0" borderId="40" xfId="0" applyNumberFormat="1" applyFont="1" applyBorder="1" applyAlignment="1">
      <alignment horizontal="right" vertical="center" wrapText="1" shrinkToFit="1"/>
    </xf>
    <xf numFmtId="4" fontId="90" fillId="0" borderId="56" xfId="0" applyNumberFormat="1" applyFont="1" applyBorder="1" applyAlignment="1">
      <alignment horizontal="right" vertical="center" wrapText="1" shrinkToFit="1"/>
    </xf>
    <xf numFmtId="4" fontId="90" fillId="6" borderId="2" xfId="0" quotePrefix="1" applyNumberFormat="1" applyFont="1" applyFill="1" applyBorder="1" applyAlignment="1">
      <alignment horizontal="right" vertical="center" wrapText="1"/>
    </xf>
    <xf numFmtId="4" fontId="90" fillId="0" borderId="8" xfId="0" applyNumberFormat="1" applyFont="1" applyBorder="1" applyAlignment="1">
      <alignment horizontal="right" vertical="center" wrapText="1"/>
    </xf>
    <xf numFmtId="4" fontId="90" fillId="0" borderId="10" xfId="3" applyNumberFormat="1" applyFont="1" applyFill="1" applyBorder="1" applyAlignment="1">
      <alignment horizontal="right" vertical="center" wrapText="1" shrinkToFit="1"/>
    </xf>
    <xf numFmtId="4" fontId="90" fillId="25" borderId="2" xfId="3" applyNumberFormat="1" applyFont="1" applyFill="1" applyBorder="1" applyAlignment="1">
      <alignment horizontal="right" vertical="center" wrapText="1"/>
    </xf>
    <xf numFmtId="4" fontId="90" fillId="0" borderId="10" xfId="0" applyNumberFormat="1" applyFont="1" applyBorder="1" applyAlignment="1">
      <alignment horizontal="right" vertical="center" wrapText="1"/>
    </xf>
    <xf numFmtId="4" fontId="90" fillId="6" borderId="10" xfId="0" applyNumberFormat="1" applyFont="1" applyFill="1" applyBorder="1" applyAlignment="1">
      <alignment horizontal="right" vertical="center" wrapText="1"/>
    </xf>
    <xf numFmtId="4" fontId="90" fillId="6" borderId="10" xfId="0" quotePrefix="1" applyNumberFormat="1" applyFont="1" applyFill="1" applyBorder="1" applyAlignment="1">
      <alignment horizontal="right" vertical="center" wrapText="1"/>
    </xf>
    <xf numFmtId="4" fontId="90" fillId="0" borderId="2" xfId="0" applyNumberFormat="1" applyFont="1" applyBorder="1" applyAlignment="1">
      <alignment horizontal="right" vertical="center" wrapText="1"/>
    </xf>
    <xf numFmtId="4" fontId="90" fillId="25" borderId="2" xfId="0" applyNumberFormat="1" applyFont="1" applyFill="1" applyBorder="1" applyAlignment="1">
      <alignment horizontal="right" vertical="center" wrapText="1"/>
    </xf>
    <xf numFmtId="0" fontId="90" fillId="0" borderId="10" xfId="0" applyFont="1" applyBorder="1" applyAlignment="1">
      <alignment horizontal="center" vertical="center" shrinkToFit="1"/>
    </xf>
    <xf numFmtId="0" fontId="90" fillId="0" borderId="10" xfId="0" applyFont="1" applyBorder="1" applyAlignment="1">
      <alignment horizontal="center" vertical="center"/>
    </xf>
    <xf numFmtId="0" fontId="90" fillId="0" borderId="0" xfId="0" applyFont="1" applyAlignment="1">
      <alignment vertical="center" wrapText="1"/>
    </xf>
    <xf numFmtId="0" fontId="91" fillId="0" borderId="0" xfId="0" applyFont="1" applyAlignment="1">
      <alignment vertical="center" wrapText="1"/>
    </xf>
    <xf numFmtId="4" fontId="90" fillId="0" borderId="2" xfId="0" quotePrefix="1" applyNumberFormat="1" applyFont="1" applyBorder="1" applyAlignment="1">
      <alignment horizontal="right" vertical="center" wrapText="1"/>
    </xf>
    <xf numFmtId="4" fontId="90" fillId="6" borderId="2" xfId="0" applyNumberFormat="1" applyFont="1" applyFill="1" applyBorder="1" applyAlignment="1">
      <alignment horizontal="right" vertical="center" wrapText="1"/>
    </xf>
    <xf numFmtId="4" fontId="90" fillId="0" borderId="40" xfId="0" applyNumberFormat="1" applyFont="1" applyBorder="1" applyAlignment="1">
      <alignment horizontal="right" vertical="center" wrapText="1"/>
    </xf>
    <xf numFmtId="4" fontId="90" fillId="0" borderId="56" xfId="0" applyNumberFormat="1" applyFont="1" applyBorder="1" applyAlignment="1">
      <alignment horizontal="right" vertical="center" wrapText="1"/>
    </xf>
    <xf numFmtId="4" fontId="90" fillId="0" borderId="10" xfId="3" applyNumberFormat="1" applyFont="1" applyFill="1" applyBorder="1" applyAlignment="1">
      <alignment horizontal="right" vertical="center" wrapText="1"/>
    </xf>
    <xf numFmtId="199" fontId="93" fillId="0" borderId="0" xfId="0" applyNumberFormat="1" applyFont="1" applyAlignment="1">
      <alignment horizontal="left" vertical="center" shrinkToFit="1"/>
    </xf>
    <xf numFmtId="0" fontId="90" fillId="0" borderId="2" xfId="0" applyFont="1" applyBorder="1" applyAlignment="1">
      <alignment horizontal="left" vertical="center" wrapText="1"/>
    </xf>
    <xf numFmtId="199" fontId="90" fillId="0" borderId="80" xfId="0" applyNumberFormat="1" applyFont="1" applyBorder="1" applyAlignment="1">
      <alignment horizontal="center" vertical="center" wrapText="1"/>
    </xf>
    <xf numFmtId="4" fontId="90" fillId="6" borderId="2" xfId="0" applyNumberFormat="1" applyFont="1" applyFill="1" applyBorder="1" applyAlignment="1">
      <alignment vertical="center"/>
    </xf>
    <xf numFmtId="4" fontId="90" fillId="0" borderId="79" xfId="0" applyNumberFormat="1" applyFont="1" applyBorder="1" applyAlignment="1">
      <alignment vertical="center"/>
    </xf>
    <xf numFmtId="4" fontId="90" fillId="0" borderId="80" xfId="0" applyNumberFormat="1" applyFont="1" applyBorder="1" applyAlignment="1">
      <alignment horizontal="right" vertical="center" wrapText="1"/>
    </xf>
    <xf numFmtId="4" fontId="90" fillId="0" borderId="77" xfId="0" applyNumberFormat="1" applyFont="1" applyBorder="1" applyAlignment="1">
      <alignment horizontal="right" vertical="center" wrapText="1"/>
    </xf>
    <xf numFmtId="0" fontId="90" fillId="0" borderId="2" xfId="0" applyFont="1" applyBorder="1" applyAlignment="1">
      <alignment vertical="center" shrinkToFit="1"/>
    </xf>
    <xf numFmtId="0" fontId="90" fillId="0" borderId="2" xfId="0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4" fontId="97" fillId="0" borderId="2" xfId="0" applyNumberFormat="1" applyFont="1" applyBorder="1" applyAlignment="1">
      <alignment horizontal="right"/>
    </xf>
    <xf numFmtId="4" fontId="97" fillId="6" borderId="2" xfId="0" applyNumberFormat="1" applyFont="1" applyFill="1" applyBorder="1"/>
    <xf numFmtId="4" fontId="97" fillId="6" borderId="2" xfId="0" applyNumberFormat="1" applyFont="1" applyFill="1" applyBorder="1" applyAlignment="1">
      <alignment shrinkToFit="1"/>
    </xf>
    <xf numFmtId="4" fontId="97" fillId="0" borderId="2" xfId="0" applyNumberFormat="1" applyFont="1" applyBorder="1"/>
    <xf numFmtId="4" fontId="97" fillId="0" borderId="3" xfId="0" applyNumberFormat="1" applyFont="1" applyBorder="1"/>
    <xf numFmtId="4" fontId="97" fillId="25" borderId="2" xfId="0" applyNumberFormat="1" applyFont="1" applyFill="1" applyBorder="1"/>
    <xf numFmtId="4" fontId="97" fillId="0" borderId="2" xfId="0" applyNumberFormat="1" applyFont="1" applyBorder="1" applyAlignment="1">
      <alignment shrinkToFit="1"/>
    </xf>
    <xf numFmtId="4" fontId="97" fillId="0" borderId="0" xfId="0" applyNumberFormat="1" applyFont="1"/>
    <xf numFmtId="1" fontId="90" fillId="0" borderId="0" xfId="0" applyNumberFormat="1" applyFont="1" applyAlignment="1">
      <alignment horizontal="center"/>
    </xf>
    <xf numFmtId="0" fontId="90" fillId="0" borderId="0" xfId="0" applyFont="1" applyAlignment="1">
      <alignment horizontal="left" wrapText="1"/>
    </xf>
    <xf numFmtId="0" fontId="90" fillId="0" borderId="0" xfId="0" applyFont="1" applyAlignment="1">
      <alignment horizontal="center"/>
    </xf>
    <xf numFmtId="1" fontId="90" fillId="6" borderId="0" xfId="0" applyNumberFormat="1" applyFont="1" applyFill="1" applyAlignment="1">
      <alignment horizontal="center"/>
    </xf>
    <xf numFmtId="4" fontId="90" fillId="0" borderId="0" xfId="0" applyNumberFormat="1" applyFont="1" applyAlignment="1">
      <alignment horizontal="center"/>
    </xf>
    <xf numFmtId="43" fontId="90" fillId="0" borderId="0" xfId="3" applyFont="1" applyFill="1" applyBorder="1" applyAlignment="1">
      <alignment horizontal="center"/>
    </xf>
    <xf numFmtId="4" fontId="90" fillId="0" borderId="0" xfId="3" applyNumberFormat="1" applyFont="1" applyFill="1" applyBorder="1" applyAlignment="1">
      <alignment horizontal="center"/>
    </xf>
    <xf numFmtId="4" fontId="90" fillId="6" borderId="0" xfId="3" applyNumberFormat="1" applyFont="1" applyFill="1" applyBorder="1" applyAlignment="1">
      <alignment horizontal="center"/>
    </xf>
    <xf numFmtId="0" fontId="90" fillId="0" borderId="0" xfId="0" applyFont="1" applyAlignment="1">
      <alignment shrinkToFit="1"/>
    </xf>
    <xf numFmtId="4" fontId="90" fillId="0" borderId="0" xfId="0" applyNumberFormat="1" applyFont="1"/>
    <xf numFmtId="1" fontId="90" fillId="0" borderId="0" xfId="0" applyNumberFormat="1" applyFont="1"/>
    <xf numFmtId="1" fontId="90" fillId="6" borderId="0" xfId="0" applyNumberFormat="1" applyFont="1" applyFill="1"/>
    <xf numFmtId="43" fontId="90" fillId="0" borderId="0" xfId="3" applyFont="1" applyFill="1" applyAlignment="1">
      <alignment horizontal="center"/>
    </xf>
    <xf numFmtId="43" fontId="90" fillId="0" borderId="0" xfId="3" applyFont="1" applyFill="1"/>
    <xf numFmtId="0" fontId="90" fillId="6" borderId="0" xfId="0" applyFont="1" applyFill="1" applyAlignment="1">
      <alignment horizontal="center"/>
    </xf>
    <xf numFmtId="0" fontId="90" fillId="0" borderId="0" xfId="0" applyFont="1" applyAlignment="1">
      <alignment horizontal="center" shrinkToFit="1"/>
    </xf>
    <xf numFmtId="4" fontId="90" fillId="6" borderId="0" xfId="0" applyNumberFormat="1" applyFont="1" applyFill="1" applyAlignment="1">
      <alignment horizontal="center"/>
    </xf>
    <xf numFmtId="0" fontId="82" fillId="0" borderId="6" xfId="0" applyFont="1" applyBorder="1" applyAlignment="1">
      <alignment horizontal="center"/>
    </xf>
    <xf numFmtId="0" fontId="82" fillId="0" borderId="7" xfId="0" applyFont="1" applyBorder="1" applyAlignment="1">
      <alignment horizontal="center"/>
    </xf>
    <xf numFmtId="0" fontId="82" fillId="0" borderId="56" xfId="0" applyFont="1" applyBorder="1" applyAlignment="1">
      <alignment horizontal="center"/>
    </xf>
    <xf numFmtId="2" fontId="78" fillId="0" borderId="0" xfId="0" applyNumberFormat="1" applyFont="1" applyAlignment="1">
      <alignment horizontal="center" wrapText="1"/>
    </xf>
    <xf numFmtId="2" fontId="78" fillId="0" borderId="0" xfId="0" applyNumberFormat="1" applyFont="1" applyAlignment="1">
      <alignment horizontal="center"/>
    </xf>
    <xf numFmtId="2" fontId="82" fillId="0" borderId="0" xfId="0" applyNumberFormat="1" applyFont="1"/>
    <xf numFmtId="2" fontId="78" fillId="0" borderId="8" xfId="0" applyNumberFormat="1" applyFont="1" applyBorder="1" applyAlignment="1">
      <alignment horizontal="center"/>
    </xf>
    <xf numFmtId="2" fontId="82" fillId="0" borderId="9" xfId="0" applyNumberFormat="1" applyFont="1" applyBorder="1" applyAlignment="1">
      <alignment horizontal="center" vertical="center" wrapText="1"/>
    </xf>
    <xf numFmtId="2" fontId="82" fillId="0" borderId="9" xfId="0" applyNumberFormat="1" applyFont="1" applyBorder="1" applyAlignment="1">
      <alignment horizontal="center"/>
    </xf>
    <xf numFmtId="2" fontId="82" fillId="0" borderId="9" xfId="0" applyNumberFormat="1" applyFont="1" applyBorder="1" applyAlignment="1">
      <alignment vertical="center" shrinkToFit="1"/>
    </xf>
    <xf numFmtId="2" fontId="82" fillId="0" borderId="9" xfId="0" applyNumberFormat="1" applyFont="1" applyBorder="1" applyAlignment="1">
      <alignment horizontal="center" vertical="center"/>
    </xf>
    <xf numFmtId="1" fontId="82" fillId="0" borderId="38" xfId="0" applyNumberFormat="1" applyFont="1" applyBorder="1" applyAlignment="1">
      <alignment horizontal="center" vertical="center" wrapText="1"/>
    </xf>
    <xf numFmtId="2" fontId="82" fillId="0" borderId="38" xfId="0" applyNumberFormat="1" applyFont="1" applyBorder="1" applyAlignment="1">
      <alignment horizontal="center" vertical="center" wrapText="1"/>
    </xf>
    <xf numFmtId="2" fontId="82" fillId="0" borderId="38" xfId="0" applyNumberFormat="1" applyFont="1" applyBorder="1" applyAlignment="1">
      <alignment horizontal="center"/>
    </xf>
    <xf numFmtId="2" fontId="82" fillId="0" borderId="38" xfId="0" applyNumberFormat="1" applyFont="1" applyBorder="1" applyAlignment="1">
      <alignment horizontal="center" vertical="center" shrinkToFit="1"/>
    </xf>
    <xf numFmtId="2" fontId="82" fillId="0" borderId="38" xfId="0" applyNumberFormat="1" applyFont="1" applyBorder="1" applyAlignment="1">
      <alignment horizontal="center" vertical="center"/>
    </xf>
    <xf numFmtId="2" fontId="82" fillId="0" borderId="10" xfId="0" applyNumberFormat="1" applyFont="1" applyBorder="1" applyAlignment="1">
      <alignment horizontal="center" vertical="center" wrapText="1"/>
    </xf>
    <xf numFmtId="2" fontId="82" fillId="0" borderId="10" xfId="0" applyNumberFormat="1" applyFont="1" applyBorder="1" applyAlignment="1">
      <alignment horizontal="center"/>
    </xf>
    <xf numFmtId="2" fontId="82" fillId="0" borderId="10" xfId="0" applyNumberFormat="1" applyFont="1" applyBorder="1" applyAlignment="1">
      <alignment vertical="center" shrinkToFit="1"/>
    </xf>
    <xf numFmtId="2" fontId="82" fillId="0" borderId="10" xfId="0" applyNumberFormat="1" applyFont="1" applyBorder="1" applyAlignment="1">
      <alignment horizontal="center" vertical="center"/>
    </xf>
    <xf numFmtId="1" fontId="82" fillId="0" borderId="2" xfId="0" applyNumberFormat="1" applyFont="1" applyBorder="1" applyAlignment="1">
      <alignment horizontal="center" vertical="center"/>
    </xf>
    <xf numFmtId="2" fontId="82" fillId="0" borderId="2" xfId="0" applyNumberFormat="1" applyFont="1" applyBorder="1" applyAlignment="1">
      <alignment horizontal="left" vertical="center" wrapText="1"/>
    </xf>
    <xf numFmtId="2" fontId="82" fillId="0" borderId="10" xfId="0" applyNumberFormat="1" applyFont="1" applyBorder="1" applyAlignment="1">
      <alignment horizontal="center" vertical="center" shrinkToFit="1"/>
    </xf>
    <xf numFmtId="43" fontId="82" fillId="0" borderId="10" xfId="0" applyNumberFormat="1" applyFont="1" applyBorder="1" applyAlignment="1">
      <alignment horizontal="center" vertical="center" shrinkToFit="1"/>
    </xf>
    <xf numFmtId="43" fontId="15" fillId="0" borderId="2" xfId="0" quotePrefix="1" applyNumberFormat="1" applyFont="1" applyBorder="1" applyAlignment="1">
      <alignment vertical="center" wrapText="1"/>
    </xf>
    <xf numFmtId="43" fontId="15" fillId="0" borderId="2" xfId="0" applyNumberFormat="1" applyFont="1" applyBorder="1" applyAlignment="1">
      <alignment horizontal="right" vertical="center" wrapText="1"/>
    </xf>
    <xf numFmtId="43" fontId="82" fillId="0" borderId="10" xfId="3" applyFont="1" applyFill="1" applyBorder="1" applyAlignment="1">
      <alignment horizontal="right" vertical="center" wrapText="1" shrinkToFit="1"/>
    </xf>
    <xf numFmtId="2" fontId="82" fillId="0" borderId="10" xfId="0" applyNumberFormat="1" applyFont="1" applyBorder="1" applyAlignment="1">
      <alignment horizontal="center" vertical="center"/>
    </xf>
    <xf numFmtId="2" fontId="28" fillId="0" borderId="0" xfId="0" applyNumberFormat="1" applyFont="1" applyAlignment="1">
      <alignment vertical="center" wrapText="1"/>
    </xf>
    <xf numFmtId="1" fontId="82" fillId="0" borderId="2" xfId="0" applyNumberFormat="1" applyFont="1" applyBorder="1" applyAlignment="1">
      <alignment horizontal="center" vertical="top" wrapText="1"/>
    </xf>
    <xf numFmtId="2" fontId="82" fillId="0" borderId="2" xfId="0" applyNumberFormat="1" applyFont="1" applyBorder="1" applyAlignment="1">
      <alignment horizontal="left" vertical="top" wrapText="1"/>
    </xf>
    <xf numFmtId="2" fontId="82" fillId="0" borderId="2" xfId="0" applyNumberFormat="1" applyFont="1" applyBorder="1" applyAlignment="1">
      <alignment horizontal="center" vertical="center" shrinkToFit="1"/>
    </xf>
    <xf numFmtId="2" fontId="82" fillId="0" borderId="0" xfId="0" applyNumberFormat="1" applyFont="1" applyAlignment="1">
      <alignment vertical="center" wrapText="1"/>
    </xf>
    <xf numFmtId="2" fontId="82" fillId="0" borderId="2" xfId="0" applyNumberFormat="1" applyFont="1" applyBorder="1" applyAlignment="1">
      <alignment vertical="top" wrapText="1"/>
    </xf>
    <xf numFmtId="2" fontId="82" fillId="0" borderId="2" xfId="0" applyNumberFormat="1" applyFont="1" applyBorder="1" applyAlignment="1">
      <alignment horizontal="center" vertical="top" wrapText="1"/>
    </xf>
    <xf numFmtId="2" fontId="78" fillId="0" borderId="0" xfId="0" applyNumberFormat="1" applyFont="1"/>
    <xf numFmtId="2" fontId="98" fillId="0" borderId="2" xfId="0" applyNumberFormat="1" applyFont="1" applyBorder="1" applyAlignment="1">
      <alignment horizontal="left" vertical="top" wrapText="1"/>
    </xf>
    <xf numFmtId="2" fontId="82" fillId="0" borderId="2" xfId="0" applyNumberFormat="1" applyFont="1" applyBorder="1" applyAlignment="1">
      <alignment horizontal="center" vertical="center" wrapText="1"/>
    </xf>
    <xf numFmtId="43" fontId="4" fillId="0" borderId="2" xfId="0" quotePrefix="1" applyNumberFormat="1" applyFont="1" applyBorder="1" applyAlignment="1">
      <alignment horizontal="center" vertical="center" wrapText="1"/>
    </xf>
    <xf numFmtId="2" fontId="78" fillId="0" borderId="2" xfId="0" applyNumberFormat="1" applyFont="1" applyBorder="1" applyAlignment="1">
      <alignment horizontal="right"/>
    </xf>
    <xf numFmtId="43" fontId="78" fillId="0" borderId="2" xfId="0" applyNumberFormat="1" applyFont="1" applyBorder="1" applyAlignment="1">
      <alignment horizontal="center"/>
    </xf>
    <xf numFmtId="2" fontId="78" fillId="0" borderId="2" xfId="0" applyNumberFormat="1" applyFont="1" applyBorder="1" applyAlignment="1">
      <alignment shrinkToFit="1"/>
    </xf>
    <xf numFmtId="2" fontId="78" fillId="0" borderId="2" xfId="0" applyNumberFormat="1" applyFont="1" applyBorder="1"/>
    <xf numFmtId="2" fontId="82" fillId="0" borderId="0" xfId="0" applyNumberFormat="1" applyFont="1" applyAlignment="1">
      <alignment horizontal="left" wrapText="1"/>
    </xf>
    <xf numFmtId="2" fontId="82" fillId="0" borderId="0" xfId="0" applyNumberFormat="1" applyFont="1" applyAlignment="1">
      <alignment horizontal="center"/>
    </xf>
    <xf numFmtId="2" fontId="82" fillId="0" borderId="0" xfId="0" applyNumberFormat="1" applyFont="1" applyAlignment="1">
      <alignment shrinkToFit="1"/>
    </xf>
    <xf numFmtId="2" fontId="82" fillId="0" borderId="0" xfId="0" applyNumberFormat="1" applyFont="1" applyAlignment="1">
      <alignment horizontal="center" shrinkToFit="1"/>
    </xf>
    <xf numFmtId="0" fontId="82" fillId="0" borderId="2" xfId="0" applyFont="1" applyBorder="1" applyAlignment="1">
      <alignment horizontal="left"/>
    </xf>
    <xf numFmtId="43" fontId="82" fillId="0" borderId="2" xfId="27" applyNumberFormat="1" applyFont="1" applyFill="1" applyBorder="1" applyAlignment="1">
      <alignment horizontal="right" vertical="center"/>
    </xf>
    <xf numFmtId="0" fontId="82" fillId="0" borderId="2" xfId="0" applyFont="1" applyBorder="1" applyAlignment="1">
      <alignment horizontal="left" wrapText="1"/>
    </xf>
    <xf numFmtId="43" fontId="82" fillId="0" borderId="79" xfId="0" applyNumberFormat="1" applyFont="1" applyBorder="1" applyAlignment="1">
      <alignment vertical="center"/>
    </xf>
    <xf numFmtId="43" fontId="82" fillId="0" borderId="80" xfId="0" applyNumberFormat="1" applyFont="1" applyBorder="1" applyAlignment="1">
      <alignment horizontal="right" vertical="center" wrapText="1"/>
    </xf>
    <xf numFmtId="43" fontId="82" fillId="0" borderId="77" xfId="0" applyNumberFormat="1" applyFont="1" applyBorder="1" applyAlignment="1">
      <alignment horizontal="right" vertical="center" wrapText="1"/>
    </xf>
    <xf numFmtId="199" fontId="82" fillId="0" borderId="2" xfId="0" applyNumberFormat="1" applyFont="1" applyBorder="1" applyAlignment="1">
      <alignment horizontal="left" vertical="center"/>
    </xf>
    <xf numFmtId="43" fontId="13" fillId="0" borderId="2" xfId="0" quotePrefix="1" applyNumberFormat="1" applyFont="1" applyBorder="1" applyAlignment="1">
      <alignment horizontal="right" vertical="center" wrapText="1"/>
    </xf>
    <xf numFmtId="0" fontId="82" fillId="0" borderId="56" xfId="0" applyFont="1" applyBorder="1" applyAlignment="1">
      <alignment horizontal="center" vertical="top" wrapText="1"/>
    </xf>
    <xf numFmtId="43" fontId="82" fillId="0" borderId="2" xfId="0" applyNumberFormat="1" applyFont="1" applyBorder="1" applyAlignment="1">
      <alignment horizontal="right" vertical="top" wrapText="1"/>
    </xf>
    <xf numFmtId="43" fontId="82" fillId="0" borderId="2" xfId="0" quotePrefix="1" applyNumberFormat="1" applyFont="1" applyBorder="1" applyAlignment="1">
      <alignment vertical="top" wrapText="1"/>
    </xf>
    <xf numFmtId="4" fontId="82" fillId="0" borderId="2" xfId="0" quotePrefix="1" applyNumberFormat="1" applyFont="1" applyBorder="1" applyAlignment="1">
      <alignment vertical="top" wrapText="1"/>
    </xf>
    <xf numFmtId="4" fontId="82" fillId="0" borderId="2" xfId="0" applyNumberFormat="1" applyFont="1" applyBorder="1" applyAlignment="1">
      <alignment horizontal="right" vertical="top" wrapText="1"/>
    </xf>
    <xf numFmtId="4" fontId="82" fillId="0" borderId="40" xfId="0" applyNumberFormat="1" applyFont="1" applyBorder="1" applyAlignment="1">
      <alignment horizontal="right" vertical="top" wrapText="1"/>
    </xf>
    <xf numFmtId="4" fontId="82" fillId="0" borderId="56" xfId="0" applyNumberFormat="1" applyFont="1" applyBorder="1" applyAlignment="1">
      <alignment horizontal="right" vertical="top" wrapText="1"/>
    </xf>
    <xf numFmtId="4" fontId="82" fillId="0" borderId="2" xfId="0" quotePrefix="1" applyNumberFormat="1" applyFont="1" applyBorder="1" applyAlignment="1">
      <alignment horizontal="right" vertical="top" wrapText="1"/>
    </xf>
    <xf numFmtId="4" fontId="82" fillId="0" borderId="8" xfId="0" applyNumberFormat="1" applyFont="1" applyBorder="1" applyAlignment="1">
      <alignment horizontal="right" vertical="top" wrapText="1"/>
    </xf>
    <xf numFmtId="4" fontId="82" fillId="0" borderId="10" xfId="3" applyNumberFormat="1" applyFont="1" applyFill="1" applyBorder="1" applyAlignment="1">
      <alignment horizontal="right" vertical="top" wrapText="1"/>
    </xf>
    <xf numFmtId="4" fontId="82" fillId="0" borderId="2" xfId="3" applyNumberFormat="1" applyFont="1" applyFill="1" applyBorder="1" applyAlignment="1">
      <alignment horizontal="right" vertical="top" wrapText="1"/>
    </xf>
    <xf numFmtId="4" fontId="82" fillId="0" borderId="10" xfId="0" applyNumberFormat="1" applyFont="1" applyBorder="1" applyAlignment="1">
      <alignment horizontal="right" vertical="top" wrapText="1"/>
    </xf>
    <xf numFmtId="4" fontId="82" fillId="0" borderId="10" xfId="0" quotePrefix="1" applyNumberFormat="1" applyFont="1" applyBorder="1" applyAlignment="1">
      <alignment horizontal="right" vertical="top" wrapText="1"/>
    </xf>
    <xf numFmtId="0" fontId="82" fillId="0" borderId="0" xfId="0" applyFont="1" applyAlignment="1">
      <alignment vertical="top" wrapText="1"/>
    </xf>
    <xf numFmtId="0" fontId="28" fillId="0" borderId="0" xfId="0" applyFont="1" applyAlignment="1">
      <alignment vertical="top" wrapText="1"/>
    </xf>
    <xf numFmtId="43" fontId="82" fillId="0" borderId="2" xfId="0" applyNumberFormat="1" applyFont="1" applyBorder="1" applyAlignment="1">
      <alignment horizontal="center" vertical="center" wrapText="1"/>
    </xf>
    <xf numFmtId="43" fontId="82" fillId="0" borderId="2" xfId="0" quotePrefix="1" applyNumberFormat="1" applyFont="1" applyBorder="1" applyAlignment="1">
      <alignment horizontal="center" vertical="center" wrapText="1"/>
    </xf>
    <xf numFmtId="43" fontId="82" fillId="0" borderId="2" xfId="0" applyNumberFormat="1" applyFont="1" applyBorder="1" applyAlignment="1">
      <alignment horizontal="center" vertical="center" wrapText="1" shrinkToFit="1"/>
    </xf>
    <xf numFmtId="0" fontId="78" fillId="0" borderId="6" xfId="0" applyFont="1" applyBorder="1" applyAlignment="1">
      <alignment horizontal="center" wrapText="1"/>
    </xf>
    <xf numFmtId="0" fontId="78" fillId="0" borderId="5" xfId="0" applyFont="1" applyBorder="1" applyAlignment="1">
      <alignment horizontal="center"/>
    </xf>
    <xf numFmtId="0" fontId="82" fillId="0" borderId="5" xfId="0" applyFont="1" applyBorder="1"/>
    <xf numFmtId="0" fontId="78" fillId="0" borderId="7" xfId="0" applyFont="1" applyBorder="1" applyAlignment="1">
      <alignment horizontal="center"/>
    </xf>
    <xf numFmtId="0" fontId="78" fillId="0" borderId="56" xfId="0" applyFont="1" applyBorder="1" applyAlignment="1">
      <alignment horizontal="center"/>
    </xf>
    <xf numFmtId="4" fontId="82" fillId="0" borderId="0" xfId="0" applyNumberFormat="1" applyFont="1" applyAlignment="1">
      <alignment vertical="center" wrapText="1"/>
    </xf>
    <xf numFmtId="1" fontId="82" fillId="0" borderId="7" xfId="0" applyNumberFormat="1" applyFont="1" applyBorder="1" applyAlignment="1">
      <alignment horizontal="center"/>
    </xf>
    <xf numFmtId="43" fontId="82" fillId="0" borderId="0" xfId="3" applyFont="1" applyFill="1" applyBorder="1"/>
    <xf numFmtId="0" fontId="82" fillId="0" borderId="7" xfId="0" applyFont="1" applyBorder="1"/>
    <xf numFmtId="43" fontId="82" fillId="0" borderId="56" xfId="0" applyNumberFormat="1" applyFont="1" applyBorder="1" applyAlignment="1">
      <alignment horizontal="center" shrinkToFit="1"/>
    </xf>
    <xf numFmtId="43" fontId="82" fillId="0" borderId="2" xfId="0" applyNumberFormat="1" applyFont="1" applyBorder="1" applyAlignment="1">
      <alignment horizontal="right" wrapText="1"/>
    </xf>
    <xf numFmtId="43" fontId="78" fillId="0" borderId="2" xfId="0" applyNumberFormat="1" applyFont="1" applyBorder="1" applyAlignment="1">
      <alignment horizontal="right"/>
    </xf>
    <xf numFmtId="43" fontId="82" fillId="0" borderId="0" xfId="0" applyNumberFormat="1" applyFont="1" applyAlignment="1">
      <alignment horizontal="right"/>
    </xf>
    <xf numFmtId="43" fontId="82" fillId="0" borderId="0" xfId="3" applyFont="1" applyFill="1" applyBorder="1" applyAlignment="1">
      <alignment horizontal="right"/>
    </xf>
    <xf numFmtId="43" fontId="82" fillId="0" borderId="0" xfId="3" applyFont="1" applyFill="1" applyAlignment="1">
      <alignment horizontal="right"/>
    </xf>
    <xf numFmtId="44" fontId="78" fillId="0" borderId="0" xfId="0" applyNumberFormat="1" applyFont="1" applyAlignment="1">
      <alignment horizontal="center" wrapText="1"/>
    </xf>
    <xf numFmtId="44" fontId="78" fillId="0" borderId="0" xfId="0" applyNumberFormat="1" applyFont="1" applyAlignment="1">
      <alignment horizontal="center"/>
    </xf>
    <xf numFmtId="0" fontId="82" fillId="0" borderId="0" xfId="0" applyFont="1" applyAlignment="1">
      <alignment horizontal="center" wrapText="1"/>
    </xf>
    <xf numFmtId="43" fontId="82" fillId="0" borderId="10" xfId="0" applyNumberFormat="1" applyFont="1" applyBorder="1" applyAlignment="1">
      <alignment horizontal="center" vertical="center"/>
    </xf>
    <xf numFmtId="43" fontId="82" fillId="0" borderId="2" xfId="0" applyNumberFormat="1" applyFont="1" applyBorder="1" applyAlignment="1">
      <alignment vertical="center" shrinkToFit="1"/>
    </xf>
    <xf numFmtId="0" fontId="28" fillId="0" borderId="2" xfId="0" applyFont="1" applyBorder="1" applyAlignment="1">
      <alignment horizontal="center" vertical="top" wrapText="1"/>
    </xf>
    <xf numFmtId="0" fontId="28" fillId="0" borderId="10" xfId="0" applyFont="1" applyBorder="1" applyAlignment="1">
      <alignment horizontal="left" vertical="center" wrapText="1"/>
    </xf>
    <xf numFmtId="0" fontId="28" fillId="0" borderId="56" xfId="0" applyFont="1" applyBorder="1" applyAlignment="1">
      <alignment horizontal="center" vertical="center" wrapText="1"/>
    </xf>
    <xf numFmtId="43" fontId="28" fillId="0" borderId="2" xfId="0" quotePrefix="1" applyNumberFormat="1" applyFont="1" applyBorder="1" applyAlignment="1">
      <alignment vertical="center" wrapText="1"/>
    </xf>
    <xf numFmtId="43" fontId="28" fillId="0" borderId="2" xfId="0" applyNumberFormat="1" applyFont="1" applyBorder="1" applyAlignment="1">
      <alignment horizontal="right" vertical="center" wrapText="1" shrinkToFit="1"/>
    </xf>
    <xf numFmtId="43" fontId="28" fillId="0" borderId="40" xfId="0" applyNumberFormat="1" applyFont="1" applyBorder="1" applyAlignment="1">
      <alignment horizontal="right" vertical="center" wrapText="1" shrinkToFit="1"/>
    </xf>
    <xf numFmtId="43" fontId="28" fillId="0" borderId="56" xfId="0" applyNumberFormat="1" applyFont="1" applyBorder="1" applyAlignment="1">
      <alignment horizontal="right" vertical="center" wrapText="1" shrinkToFit="1"/>
    </xf>
    <xf numFmtId="43" fontId="28" fillId="0" borderId="8" xfId="0" applyNumberFormat="1" applyFont="1" applyBorder="1" applyAlignment="1">
      <alignment horizontal="right" vertical="center" wrapText="1"/>
    </xf>
    <xf numFmtId="43" fontId="28" fillId="0" borderId="10" xfId="3" applyFont="1" applyFill="1" applyBorder="1" applyAlignment="1">
      <alignment horizontal="right" vertical="center" wrapText="1" shrinkToFit="1"/>
    </xf>
    <xf numFmtId="43" fontId="28" fillId="0" borderId="10" xfId="0" applyNumberFormat="1" applyFont="1" applyBorder="1" applyAlignment="1">
      <alignment horizontal="right" vertical="center" wrapText="1"/>
    </xf>
    <xf numFmtId="43" fontId="28" fillId="0" borderId="10" xfId="0" quotePrefix="1" applyNumberFormat="1" applyFont="1" applyBorder="1" applyAlignment="1">
      <alignment horizontal="right" vertical="center" wrapText="1"/>
    </xf>
    <xf numFmtId="43" fontId="70" fillId="0" borderId="2" xfId="0" quotePrefix="1" applyNumberFormat="1" applyFont="1" applyBorder="1" applyAlignment="1">
      <alignment vertical="center" wrapText="1"/>
    </xf>
    <xf numFmtId="43" fontId="70" fillId="0" borderId="2" xfId="0" applyNumberFormat="1" applyFont="1" applyBorder="1" applyAlignment="1">
      <alignment horizontal="right" vertical="center" wrapText="1"/>
    </xf>
    <xf numFmtId="43" fontId="28" fillId="0" borderId="40" xfId="0" applyNumberFormat="1" applyFont="1" applyBorder="1" applyAlignment="1">
      <alignment horizontal="right" vertical="center" wrapText="1"/>
    </xf>
    <xf numFmtId="43" fontId="28" fillId="0" borderId="56" xfId="0" applyNumberFormat="1" applyFont="1" applyBorder="1" applyAlignment="1">
      <alignment horizontal="right" vertical="center" wrapText="1"/>
    </xf>
    <xf numFmtId="43" fontId="28" fillId="0" borderId="10" xfId="3" applyFont="1" applyFill="1" applyBorder="1" applyAlignment="1">
      <alignment horizontal="right" vertical="center" wrapText="1"/>
    </xf>
    <xf numFmtId="0" fontId="28" fillId="0" borderId="10" xfId="0" applyFont="1" applyBorder="1" applyAlignment="1">
      <alignment horizontal="center" vertical="center"/>
    </xf>
    <xf numFmtId="43" fontId="28" fillId="0" borderId="40" xfId="0" applyNumberFormat="1" applyFont="1" applyBorder="1" applyAlignment="1">
      <alignment vertical="center" wrapText="1"/>
    </xf>
    <xf numFmtId="43" fontId="28" fillId="0" borderId="10" xfId="3" applyFont="1" applyFill="1" applyBorder="1" applyAlignment="1">
      <alignment vertical="center" wrapText="1"/>
    </xf>
    <xf numFmtId="43" fontId="82" fillId="0" borderId="40" xfId="0" applyNumberFormat="1" applyFont="1" applyBorder="1" applyAlignment="1">
      <alignment vertical="center" wrapText="1"/>
    </xf>
    <xf numFmtId="43" fontId="82" fillId="0" borderId="10" xfId="3" applyFont="1" applyFill="1" applyBorder="1" applyAlignment="1">
      <alignment vertical="center" wrapText="1"/>
    </xf>
    <xf numFmtId="43" fontId="83" fillId="0" borderId="2" xfId="0" quotePrefix="1" applyNumberFormat="1" applyFont="1" applyBorder="1" applyAlignment="1">
      <alignment horizontal="right" vertical="center" wrapText="1"/>
    </xf>
    <xf numFmtId="43" fontId="82" fillId="0" borderId="2" xfId="0" quotePrefix="1" applyNumberFormat="1" applyFont="1" applyBorder="1" applyAlignment="1">
      <alignment horizontal="right" vertical="top" wrapText="1"/>
    </xf>
    <xf numFmtId="43" fontId="82" fillId="0" borderId="40" xfId="0" applyNumberFormat="1" applyFont="1" applyBorder="1" applyAlignment="1">
      <alignment horizontal="right" vertical="top" wrapText="1" shrinkToFit="1"/>
    </xf>
    <xf numFmtId="43" fontId="82" fillId="0" borderId="56" xfId="0" applyNumberFormat="1" applyFont="1" applyBorder="1" applyAlignment="1">
      <alignment horizontal="right" vertical="top" wrapText="1" shrinkToFit="1"/>
    </xf>
    <xf numFmtId="43" fontId="82" fillId="0" borderId="2" xfId="3" applyFont="1" applyFill="1" applyBorder="1" applyAlignment="1">
      <alignment horizontal="right" vertical="top" wrapText="1"/>
    </xf>
    <xf numFmtId="43" fontId="82" fillId="0" borderId="10" xfId="0" applyNumberFormat="1" applyFont="1" applyBorder="1" applyAlignment="1">
      <alignment horizontal="right" vertical="top" wrapText="1"/>
    </xf>
    <xf numFmtId="43" fontId="82" fillId="0" borderId="10" xfId="0" quotePrefix="1" applyNumberFormat="1" applyFont="1" applyBorder="1" applyAlignment="1">
      <alignment horizontal="right" vertical="top" wrapText="1"/>
    </xf>
    <xf numFmtId="0" fontId="82" fillId="0" borderId="0" xfId="0" applyFont="1" applyAlignment="1">
      <alignment horizontal="center" vertical="top"/>
    </xf>
    <xf numFmtId="43" fontId="82" fillId="0" borderId="2" xfId="0" applyNumberFormat="1" applyFont="1" applyBorder="1" applyAlignment="1">
      <alignment horizontal="right" vertical="top" wrapText="1" shrinkToFit="1"/>
    </xf>
    <xf numFmtId="0" fontId="79" fillId="0" borderId="10" xfId="0" applyFont="1" applyBorder="1" applyAlignment="1">
      <alignment horizontal="center" vertical="top" wrapText="1"/>
    </xf>
    <xf numFmtId="43" fontId="82" fillId="0" borderId="40" xfId="0" applyNumberFormat="1" applyFont="1" applyBorder="1" applyAlignment="1">
      <alignment horizontal="right" vertical="top" wrapText="1"/>
    </xf>
    <xf numFmtId="43" fontId="82" fillId="0" borderId="56" xfId="0" applyNumberFormat="1" applyFont="1" applyBorder="1" applyAlignment="1">
      <alignment horizontal="right" vertical="top" wrapText="1"/>
    </xf>
    <xf numFmtId="0" fontId="82" fillId="0" borderId="2" xfId="0" applyFont="1" applyBorder="1" applyAlignment="1">
      <alignment vertical="top" wrapText="1"/>
    </xf>
    <xf numFmtId="0" fontId="82" fillId="0" borderId="56" xfId="0" applyFont="1" applyBorder="1" applyAlignment="1">
      <alignment vertical="center" shrinkToFit="1"/>
    </xf>
    <xf numFmtId="0" fontId="28" fillId="0" borderId="56" xfId="0" applyFont="1" applyBorder="1" applyAlignment="1">
      <alignment vertical="center" shrinkToFit="1"/>
    </xf>
    <xf numFmtId="0" fontId="28" fillId="0" borderId="10" xfId="0" applyFont="1" applyBorder="1" applyAlignment="1">
      <alignment horizontal="center" vertical="center" shrinkToFit="1"/>
    </xf>
    <xf numFmtId="198" fontId="82" fillId="0" borderId="56" xfId="0" applyNumberFormat="1" applyFont="1" applyBorder="1" applyAlignment="1">
      <alignment vertical="center" wrapText="1" shrinkToFit="1"/>
    </xf>
    <xf numFmtId="0" fontId="82" fillId="0" borderId="56" xfId="0" applyFont="1" applyBorder="1" applyAlignment="1">
      <alignment vertical="center" wrapText="1"/>
    </xf>
    <xf numFmtId="43" fontId="82" fillId="0" borderId="10" xfId="0" quotePrefix="1" applyNumberFormat="1" applyFont="1" applyBorder="1" applyAlignment="1">
      <alignment vertical="center" wrapText="1"/>
    </xf>
    <xf numFmtId="0" fontId="82" fillId="0" borderId="10" xfId="0" applyFont="1" applyBorder="1" applyAlignment="1">
      <alignment horizontal="left" vertical="center" wrapText="1" shrinkToFit="1"/>
    </xf>
    <xf numFmtId="0" fontId="82" fillId="0" borderId="56" xfId="0" applyFont="1" applyBorder="1" applyAlignment="1">
      <alignment horizontal="center" vertical="center"/>
    </xf>
    <xf numFmtId="43" fontId="82" fillId="0" borderId="40" xfId="0" applyNumberFormat="1" applyFont="1" applyBorder="1" applyAlignment="1">
      <alignment horizontal="center" vertical="center"/>
    </xf>
    <xf numFmtId="43" fontId="82" fillId="0" borderId="56" xfId="0" applyNumberFormat="1" applyFont="1" applyBorder="1" applyAlignment="1">
      <alignment horizontal="center" vertical="center"/>
    </xf>
    <xf numFmtId="43" fontId="82" fillId="0" borderId="8" xfId="0" applyNumberFormat="1" applyFont="1" applyBorder="1" applyAlignment="1">
      <alignment horizontal="center" vertical="center"/>
    </xf>
    <xf numFmtId="43" fontId="82" fillId="0" borderId="10" xfId="3" applyFont="1" applyFill="1" applyBorder="1" applyAlignment="1">
      <alignment horizontal="center" vertical="center"/>
    </xf>
    <xf numFmtId="0" fontId="70" fillId="0" borderId="2" xfId="28" applyFont="1" applyBorder="1" applyAlignment="1">
      <alignment horizontal="left" vertical="top" wrapText="1"/>
    </xf>
    <xf numFmtId="0" fontId="28" fillId="0" borderId="56" xfId="0" applyFont="1" applyBorder="1" applyAlignment="1">
      <alignment horizontal="center" vertical="center" shrinkToFit="1"/>
    </xf>
    <xf numFmtId="4" fontId="28" fillId="0" borderId="2" xfId="0" quotePrefix="1" applyNumberFormat="1" applyFont="1" applyBorder="1" applyAlignment="1">
      <alignment horizontal="right" vertical="center" wrapText="1"/>
    </xf>
    <xf numFmtId="4" fontId="28" fillId="41" borderId="2" xfId="0" quotePrefix="1" applyNumberFormat="1" applyFont="1" applyFill="1" applyBorder="1" applyAlignment="1">
      <alignment vertical="center" wrapText="1"/>
    </xf>
    <xf numFmtId="4" fontId="28" fillId="41" borderId="2" xfId="0" applyNumberFormat="1" applyFont="1" applyFill="1" applyBorder="1" applyAlignment="1">
      <alignment horizontal="right" vertical="center" wrapText="1"/>
    </xf>
    <xf numFmtId="4" fontId="28" fillId="41" borderId="2" xfId="0" applyNumberFormat="1" applyFont="1" applyFill="1" applyBorder="1" applyAlignment="1">
      <alignment horizontal="right" vertical="center" wrapText="1" shrinkToFit="1"/>
    </xf>
    <xf numFmtId="4" fontId="28" fillId="0" borderId="8" xfId="0" applyNumberFormat="1" applyFont="1" applyBorder="1" applyAlignment="1">
      <alignment horizontal="right" vertical="center" wrapText="1"/>
    </xf>
    <xf numFmtId="4" fontId="28" fillId="0" borderId="56" xfId="0" applyNumberFormat="1" applyFont="1" applyBorder="1" applyAlignment="1">
      <alignment horizontal="right" vertical="center" wrapText="1"/>
    </xf>
    <xf numFmtId="4" fontId="28" fillId="41" borderId="2" xfId="0" quotePrefix="1" applyNumberFormat="1" applyFont="1" applyFill="1" applyBorder="1" applyAlignment="1">
      <alignment horizontal="right" vertical="center" wrapText="1"/>
    </xf>
    <xf numFmtId="4" fontId="28" fillId="41" borderId="10" xfId="0" quotePrefix="1" applyNumberFormat="1" applyFont="1" applyFill="1" applyBorder="1" applyAlignment="1">
      <alignment vertical="center" wrapText="1"/>
    </xf>
    <xf numFmtId="4" fontId="28" fillId="42" borderId="2" xfId="3" applyNumberFormat="1" applyFont="1" applyFill="1" applyBorder="1" applyAlignment="1">
      <alignment horizontal="right" vertical="center" wrapText="1"/>
    </xf>
    <xf numFmtId="4" fontId="28" fillId="41" borderId="10" xfId="0" applyNumberFormat="1" applyFont="1" applyFill="1" applyBorder="1" applyAlignment="1">
      <alignment horizontal="right" vertical="center" wrapText="1"/>
    </xf>
    <xf numFmtId="4" fontId="28" fillId="41" borderId="10" xfId="0" quotePrefix="1" applyNumberFormat="1" applyFont="1" applyFill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4" fontId="28" fillId="42" borderId="2" xfId="0" applyNumberFormat="1" applyFont="1" applyFill="1" applyBorder="1" applyAlignment="1">
      <alignment horizontal="right" vertical="center" wrapText="1"/>
    </xf>
    <xf numFmtId="43" fontId="97" fillId="0" borderId="2" xfId="0" applyNumberFormat="1" applyFont="1" applyBorder="1"/>
    <xf numFmtId="4" fontId="97" fillId="0" borderId="0" xfId="0" applyNumberFormat="1" applyFont="1" applyAlignment="1">
      <alignment horizontal="right"/>
    </xf>
    <xf numFmtId="43" fontId="97" fillId="0" borderId="0" xfId="0" applyNumberFormat="1" applyFont="1"/>
    <xf numFmtId="43" fontId="97" fillId="0" borderId="0" xfId="0" applyNumberFormat="1" applyFont="1" applyAlignment="1">
      <alignment shrinkToFit="1"/>
    </xf>
    <xf numFmtId="4" fontId="97" fillId="0" borderId="0" xfId="0" applyNumberFormat="1" applyFont="1" applyAlignment="1">
      <alignment shrinkToFit="1"/>
    </xf>
    <xf numFmtId="0" fontId="28" fillId="0" borderId="2" xfId="0" applyFont="1" applyBorder="1" applyAlignment="1">
      <alignment horizontal="center" vertical="top" wrapText="1" shrinkToFit="1"/>
    </xf>
    <xf numFmtId="43" fontId="82" fillId="6" borderId="2" xfId="0" quotePrefix="1" applyNumberFormat="1" applyFont="1" applyFill="1" applyBorder="1" applyAlignment="1">
      <alignment vertical="center" wrapText="1"/>
    </xf>
    <xf numFmtId="43" fontId="82" fillId="6" borderId="2" xfId="0" applyNumberFormat="1" applyFont="1" applyFill="1" applyBorder="1" applyAlignment="1">
      <alignment horizontal="right" vertical="center" wrapText="1" shrinkToFit="1"/>
    </xf>
    <xf numFmtId="43" fontId="82" fillId="6" borderId="2" xfId="0" applyNumberFormat="1" applyFont="1" applyFill="1" applyBorder="1" applyAlignment="1">
      <alignment horizontal="right" vertical="center" wrapText="1"/>
    </xf>
    <xf numFmtId="43" fontId="82" fillId="6" borderId="2" xfId="0" quotePrefix="1" applyNumberFormat="1" applyFont="1" applyFill="1" applyBorder="1" applyAlignment="1">
      <alignment horizontal="right" vertical="center" wrapText="1"/>
    </xf>
    <xf numFmtId="43" fontId="82" fillId="6" borderId="10" xfId="0" applyNumberFormat="1" applyFont="1" applyFill="1" applyBorder="1" applyAlignment="1">
      <alignment horizontal="right" vertical="center" wrapText="1"/>
    </xf>
    <xf numFmtId="43" fontId="82" fillId="6" borderId="10" xfId="0" quotePrefix="1" applyNumberFormat="1" applyFont="1" applyFill="1" applyBorder="1" applyAlignment="1">
      <alignment horizontal="right" vertical="center" wrapText="1"/>
    </xf>
    <xf numFmtId="0" fontId="82" fillId="0" borderId="2" xfId="0" applyFont="1" applyBorder="1" applyAlignment="1">
      <alignment horizontal="center" vertical="center" wrapText="1" shrinkToFit="1"/>
    </xf>
    <xf numFmtId="43" fontId="28" fillId="6" borderId="2" xfId="0" quotePrefix="1" applyNumberFormat="1" applyFont="1" applyFill="1" applyBorder="1" applyAlignment="1">
      <alignment vertical="center" wrapText="1"/>
    </xf>
    <xf numFmtId="43" fontId="28" fillId="6" borderId="2" xfId="0" applyNumberFormat="1" applyFont="1" applyFill="1" applyBorder="1" applyAlignment="1">
      <alignment horizontal="right" vertical="center" wrapText="1" shrinkToFit="1"/>
    </xf>
    <xf numFmtId="43" fontId="28" fillId="6" borderId="2" xfId="0" applyNumberFormat="1" applyFont="1" applyFill="1" applyBorder="1" applyAlignment="1">
      <alignment horizontal="right" vertical="center" wrapText="1"/>
    </xf>
    <xf numFmtId="43" fontId="28" fillId="6" borderId="2" xfId="0" quotePrefix="1" applyNumberFormat="1" applyFont="1" applyFill="1" applyBorder="1" applyAlignment="1">
      <alignment horizontal="right" vertical="center" wrapText="1"/>
    </xf>
    <xf numFmtId="43" fontId="28" fillId="6" borderId="10" xfId="0" applyNumberFormat="1" applyFont="1" applyFill="1" applyBorder="1" applyAlignment="1">
      <alignment horizontal="right" vertical="center" wrapText="1"/>
    </xf>
    <xf numFmtId="43" fontId="28" fillId="6" borderId="10" xfId="0" quotePrefix="1" applyNumberFormat="1" applyFont="1" applyFill="1" applyBorder="1" applyAlignment="1">
      <alignment horizontal="right" vertical="center" wrapText="1"/>
    </xf>
    <xf numFmtId="4" fontId="10" fillId="6" borderId="0" xfId="30" applyNumberFormat="1" applyFont="1" applyFill="1" applyAlignment="1">
      <alignment horizontal="center" vertical="top" wrapText="1"/>
    </xf>
    <xf numFmtId="49" fontId="10" fillId="6" borderId="0" xfId="30" applyNumberFormat="1" applyFont="1" applyFill="1" applyAlignment="1">
      <alignment horizontal="center" vertical="top" wrapText="1"/>
    </xf>
    <xf numFmtId="4" fontId="15" fillId="6" borderId="0" xfId="30" applyNumberFormat="1" applyFont="1" applyFill="1" applyAlignment="1">
      <alignment vertical="top" wrapText="1"/>
    </xf>
    <xf numFmtId="1" fontId="10" fillId="6" borderId="0" xfId="30" applyNumberFormat="1" applyFont="1" applyFill="1" applyAlignment="1">
      <alignment horizontal="center" vertical="center" wrapText="1"/>
    </xf>
    <xf numFmtId="4" fontId="10" fillId="6" borderId="0" xfId="30" applyNumberFormat="1" applyFont="1" applyFill="1" applyAlignment="1">
      <alignment horizontal="center" vertical="top" wrapText="1"/>
    </xf>
    <xf numFmtId="4" fontId="10" fillId="6" borderId="0" xfId="30" applyNumberFormat="1" applyFont="1" applyFill="1" applyAlignment="1">
      <alignment horizontal="right" vertical="center" wrapText="1"/>
    </xf>
    <xf numFmtId="4" fontId="10" fillId="6" borderId="0" xfId="30" applyNumberFormat="1" applyFont="1" applyFill="1" applyAlignment="1">
      <alignment horizontal="left" vertical="top" wrapText="1"/>
    </xf>
    <xf numFmtId="4" fontId="10" fillId="6" borderId="0" xfId="30" applyNumberFormat="1" applyFont="1" applyFill="1" applyAlignment="1">
      <alignment horizontal="center" vertical="center" wrapText="1"/>
    </xf>
    <xf numFmtId="49" fontId="15" fillId="6" borderId="0" xfId="30" applyNumberFormat="1" applyFont="1" applyFill="1" applyAlignment="1">
      <alignment horizontal="center" vertical="top" wrapText="1"/>
    </xf>
    <xf numFmtId="1" fontId="10" fillId="6" borderId="2" xfId="30" applyNumberFormat="1" applyFont="1" applyFill="1" applyBorder="1" applyAlignment="1">
      <alignment horizontal="center" vertical="center" wrapText="1"/>
    </xf>
    <xf numFmtId="4" fontId="10" fillId="6" borderId="9" xfId="30" applyNumberFormat="1" applyFont="1" applyFill="1" applyBorder="1" applyAlignment="1">
      <alignment horizontal="center" vertical="center" wrapText="1"/>
    </xf>
    <xf numFmtId="4" fontId="10" fillId="6" borderId="2" xfId="30" applyNumberFormat="1" applyFont="1" applyFill="1" applyBorder="1" applyAlignment="1">
      <alignment horizontal="center" vertical="center" wrapText="1"/>
    </xf>
    <xf numFmtId="4" fontId="10" fillId="6" borderId="2" xfId="31" applyNumberFormat="1" applyFont="1" applyFill="1" applyBorder="1" applyAlignment="1">
      <alignment horizontal="center" vertical="center"/>
    </xf>
    <xf numFmtId="49" fontId="10" fillId="6" borderId="9" xfId="30" applyNumberFormat="1" applyFont="1" applyFill="1" applyBorder="1" applyAlignment="1">
      <alignment horizontal="center" vertical="center" wrapText="1"/>
    </xf>
    <xf numFmtId="4" fontId="10" fillId="6" borderId="0" xfId="30" applyNumberFormat="1" applyFont="1" applyFill="1" applyAlignment="1">
      <alignment vertical="top" wrapText="1"/>
    </xf>
    <xf numFmtId="1" fontId="10" fillId="6" borderId="9" xfId="30" applyNumberFormat="1" applyFont="1" applyFill="1" applyBorder="1" applyAlignment="1">
      <alignment horizontal="center" vertical="center"/>
    </xf>
    <xf numFmtId="4" fontId="10" fillId="6" borderId="38" xfId="30" applyNumberFormat="1" applyFont="1" applyFill="1" applyBorder="1" applyAlignment="1">
      <alignment horizontal="center" vertical="center" wrapText="1"/>
    </xf>
    <xf numFmtId="4" fontId="10" fillId="6" borderId="9" xfId="30" applyNumberFormat="1" applyFont="1" applyFill="1" applyBorder="1" applyAlignment="1">
      <alignment horizontal="center" vertical="center" wrapText="1"/>
    </xf>
    <xf numFmtId="49" fontId="10" fillId="6" borderId="38" xfId="30" applyNumberFormat="1" applyFont="1" applyFill="1" applyBorder="1" applyAlignment="1">
      <alignment horizontal="center" vertical="center" wrapText="1"/>
    </xf>
    <xf numFmtId="1" fontId="10" fillId="6" borderId="2" xfId="30" applyNumberFormat="1" applyFont="1" applyFill="1" applyBorder="1" applyAlignment="1">
      <alignment horizontal="left" vertical="center"/>
    </xf>
    <xf numFmtId="4" fontId="10" fillId="6" borderId="2" xfId="30" applyNumberFormat="1" applyFont="1" applyFill="1" applyBorder="1" applyAlignment="1">
      <alignment horizontal="center" vertical="center" wrapText="1"/>
    </xf>
    <xf numFmtId="4" fontId="15" fillId="6" borderId="2" xfId="3" applyNumberFormat="1" applyFont="1" applyFill="1" applyBorder="1" applyAlignment="1">
      <alignment vertical="center"/>
    </xf>
    <xf numFmtId="4" fontId="10" fillId="6" borderId="2" xfId="30" applyNumberFormat="1" applyFont="1" applyFill="1" applyBorder="1" applyAlignment="1">
      <alignment horizontal="right" vertical="center" wrapText="1"/>
    </xf>
    <xf numFmtId="49" fontId="10" fillId="6" borderId="2" xfId="30" applyNumberFormat="1" applyFont="1" applyFill="1" applyBorder="1" applyAlignment="1">
      <alignment horizontal="center" vertical="center" wrapText="1"/>
    </xf>
    <xf numFmtId="1" fontId="15" fillId="6" borderId="2" xfId="30" applyNumberFormat="1" applyFont="1" applyFill="1" applyBorder="1" applyAlignment="1">
      <alignment horizontal="center" vertical="center"/>
    </xf>
    <xf numFmtId="2" fontId="15" fillId="6" borderId="2" xfId="0" applyNumberFormat="1" applyFont="1" applyFill="1" applyBorder="1" applyAlignment="1">
      <alignment vertical="center" wrapText="1"/>
    </xf>
    <xf numFmtId="0" fontId="15" fillId="6" borderId="2" xfId="0" applyFont="1" applyFill="1" applyBorder="1" applyAlignment="1">
      <alignment vertical="center" wrapText="1"/>
    </xf>
    <xf numFmtId="4" fontId="6" fillId="6" borderId="2" xfId="3" applyNumberFormat="1" applyFont="1" applyFill="1" applyBorder="1" applyAlignment="1">
      <alignment vertical="center"/>
    </xf>
    <xf numFmtId="4" fontId="10" fillId="6" borderId="2" xfId="30" applyNumberFormat="1" applyFont="1" applyFill="1" applyBorder="1" applyAlignment="1">
      <alignment horizontal="center" vertical="top" wrapText="1"/>
    </xf>
    <xf numFmtId="4" fontId="10" fillId="6" borderId="2" xfId="30" applyNumberFormat="1" applyFont="1" applyFill="1" applyBorder="1" applyAlignment="1">
      <alignment vertical="top" wrapText="1"/>
    </xf>
    <xf numFmtId="1" fontId="15" fillId="6" borderId="2" xfId="30" applyNumberFormat="1" applyFont="1" applyFill="1" applyBorder="1" applyAlignment="1">
      <alignment horizontal="right" vertical="center" wrapText="1"/>
    </xf>
    <xf numFmtId="4" fontId="15" fillId="6" borderId="2" xfId="30" applyNumberFormat="1" applyFont="1" applyFill="1" applyBorder="1" applyAlignment="1">
      <alignment horizontal="center" vertical="center" wrapText="1"/>
    </xf>
    <xf numFmtId="43" fontId="15" fillId="6" borderId="2" xfId="3" applyFont="1" applyFill="1" applyBorder="1" applyAlignment="1">
      <alignment vertical="center" wrapText="1"/>
    </xf>
    <xf numFmtId="4" fontId="15" fillId="6" borderId="2" xfId="30" applyNumberFormat="1" applyFont="1" applyFill="1" applyBorder="1" applyAlignment="1">
      <alignment horizontal="right" vertical="center" wrapText="1"/>
    </xf>
    <xf numFmtId="4" fontId="15" fillId="6" borderId="2" xfId="30" applyNumberFormat="1" applyFont="1" applyFill="1" applyBorder="1" applyAlignment="1">
      <alignment horizontal="left" vertical="center" wrapText="1"/>
    </xf>
    <xf numFmtId="49" fontId="15" fillId="6" borderId="2" xfId="30" applyNumberFormat="1" applyFont="1" applyFill="1" applyBorder="1" applyAlignment="1">
      <alignment horizontal="center" vertical="center" wrapText="1"/>
    </xf>
    <xf numFmtId="4" fontId="10" fillId="6" borderId="0" xfId="30" applyNumberFormat="1" applyFont="1" applyFill="1" applyAlignment="1">
      <alignment vertical="center" wrapText="1"/>
    </xf>
    <xf numFmtId="1" fontId="15" fillId="6" borderId="2" xfId="30" applyNumberFormat="1" applyFont="1" applyFill="1" applyBorder="1" applyAlignment="1">
      <alignment horizontal="center" vertical="center" wrapText="1"/>
    </xf>
    <xf numFmtId="4" fontId="15" fillId="6" borderId="2" xfId="30" applyNumberFormat="1" applyFont="1" applyFill="1" applyBorder="1" applyAlignment="1">
      <alignment horizontal="center" vertical="top" wrapText="1"/>
    </xf>
    <xf numFmtId="4" fontId="15" fillId="6" borderId="2" xfId="30" applyNumberFormat="1" applyFont="1" applyFill="1" applyBorder="1" applyAlignment="1">
      <alignment horizontal="left" vertical="top" wrapText="1"/>
    </xf>
    <xf numFmtId="0" fontId="15" fillId="6" borderId="2" xfId="19" applyFont="1" applyFill="1" applyBorder="1" applyAlignment="1">
      <alignment vertical="center" wrapText="1"/>
    </xf>
    <xf numFmtId="4" fontId="15" fillId="6" borderId="2" xfId="19" applyNumberFormat="1" applyFont="1" applyFill="1" applyBorder="1" applyAlignment="1">
      <alignment vertical="center" wrapText="1"/>
    </xf>
    <xf numFmtId="0" fontId="15" fillId="6" borderId="10" xfId="0" applyFont="1" applyFill="1" applyBorder="1" applyAlignment="1">
      <alignment vertical="center" wrapText="1"/>
    </xf>
    <xf numFmtId="4" fontId="6" fillId="6" borderId="10" xfId="3" applyNumberFormat="1" applyFont="1" applyFill="1" applyBorder="1" applyAlignment="1">
      <alignment vertical="center" wrapText="1"/>
    </xf>
    <xf numFmtId="4" fontId="15" fillId="6" borderId="2" xfId="3" applyNumberFormat="1" applyFont="1" applyFill="1" applyBorder="1" applyAlignment="1">
      <alignment vertical="center" wrapText="1" shrinkToFit="1"/>
    </xf>
    <xf numFmtId="0" fontId="6" fillId="6" borderId="10" xfId="0" applyFont="1" applyFill="1" applyBorder="1" applyAlignment="1">
      <alignment vertical="center" wrapText="1"/>
    </xf>
    <xf numFmtId="4" fontId="6" fillId="6" borderId="10" xfId="3" applyNumberFormat="1" applyFont="1" applyFill="1" applyBorder="1" applyAlignment="1">
      <alignment vertical="center" wrapText="1" shrinkToFit="1"/>
    </xf>
    <xf numFmtId="4" fontId="6" fillId="6" borderId="10" xfId="0" applyNumberFormat="1" applyFont="1" applyFill="1" applyBorder="1" applyAlignment="1">
      <alignment vertical="center" wrapText="1" shrinkToFit="1"/>
    </xf>
    <xf numFmtId="4" fontId="15" fillId="6" borderId="2" xfId="3" applyNumberFormat="1" applyFont="1" applyFill="1" applyBorder="1" applyAlignment="1">
      <alignment vertical="center" wrapText="1"/>
    </xf>
    <xf numFmtId="4" fontId="15" fillId="6" borderId="2" xfId="3" applyNumberFormat="1" applyFont="1" applyFill="1" applyBorder="1" applyAlignment="1">
      <alignment horizontal="center" vertical="center" wrapText="1" shrinkToFit="1"/>
    </xf>
    <xf numFmtId="4" fontId="15" fillId="6" borderId="2" xfId="30" applyNumberFormat="1" applyFont="1" applyFill="1" applyBorder="1" applyAlignment="1">
      <alignment vertical="top" wrapText="1"/>
    </xf>
    <xf numFmtId="4" fontId="15" fillId="6" borderId="2" xfId="0" applyNumberFormat="1" applyFont="1" applyFill="1" applyBorder="1" applyAlignment="1">
      <alignment vertical="center" wrapText="1"/>
    </xf>
    <xf numFmtId="4" fontId="6" fillId="6" borderId="10" xfId="0" applyNumberFormat="1" applyFont="1" applyFill="1" applyBorder="1" applyAlignment="1">
      <alignment vertical="center" wrapText="1"/>
    </xf>
    <xf numFmtId="4" fontId="10" fillId="6" borderId="2" xfId="30" applyNumberFormat="1" applyFont="1" applyFill="1" applyBorder="1" applyAlignment="1">
      <alignment horizontal="left" vertical="top" wrapText="1"/>
    </xf>
    <xf numFmtId="4" fontId="15" fillId="6" borderId="2" xfId="19" applyNumberFormat="1" applyFont="1" applyFill="1" applyBorder="1" applyAlignment="1">
      <alignment vertical="center"/>
    </xf>
    <xf numFmtId="1" fontId="10" fillId="6" borderId="2" xfId="30" applyNumberFormat="1" applyFont="1" applyFill="1" applyBorder="1" applyAlignment="1">
      <alignment horizontal="center" vertical="center" wrapText="1"/>
    </xf>
    <xf numFmtId="4" fontId="10" fillId="6" borderId="2" xfId="30" applyNumberFormat="1" applyFont="1" applyFill="1" applyBorder="1" applyAlignment="1">
      <alignment vertical="center" wrapText="1"/>
    </xf>
    <xf numFmtId="1" fontId="15" fillId="6" borderId="0" xfId="30" applyNumberFormat="1" applyFont="1" applyFill="1" applyAlignment="1">
      <alignment vertical="center" wrapText="1"/>
    </xf>
    <xf numFmtId="4" fontId="15" fillId="6" borderId="0" xfId="30" applyNumberFormat="1" applyFont="1" applyFill="1" applyAlignment="1">
      <alignment horizontal="center" vertical="top" wrapText="1"/>
    </xf>
    <xf numFmtId="4" fontId="15" fillId="6" borderId="0" xfId="30" applyNumberFormat="1" applyFont="1" applyFill="1" applyAlignment="1">
      <alignment horizontal="right" vertical="center" wrapText="1"/>
    </xf>
    <xf numFmtId="4" fontId="15" fillId="6" borderId="0" xfId="30" applyNumberFormat="1" applyFont="1" applyFill="1" applyAlignment="1">
      <alignment horizontal="center" vertical="center" wrapText="1"/>
    </xf>
    <xf numFmtId="4" fontId="15" fillId="6" borderId="0" xfId="30" applyNumberFormat="1" applyFont="1" applyFill="1" applyAlignment="1">
      <alignment horizontal="center" vertical="center" wrapText="1"/>
    </xf>
    <xf numFmtId="4" fontId="15" fillId="6" borderId="0" xfId="30" applyNumberFormat="1" applyFont="1" applyFill="1" applyAlignment="1">
      <alignment horizontal="left" vertical="top" wrapText="1"/>
    </xf>
    <xf numFmtId="4" fontId="15" fillId="6" borderId="0" xfId="30" applyNumberFormat="1" applyFont="1" applyFill="1" applyAlignment="1">
      <alignment horizontal="center" vertical="top" wrapText="1"/>
    </xf>
    <xf numFmtId="3" fontId="15" fillId="0" borderId="0" xfId="29" applyNumberFormat="1" applyFont="1" applyAlignment="1">
      <alignment horizontal="center"/>
    </xf>
    <xf numFmtId="1" fontId="15" fillId="6" borderId="0" xfId="30" applyNumberFormat="1" applyFont="1" applyFill="1" applyAlignment="1">
      <alignment vertical="center"/>
    </xf>
    <xf numFmtId="4" fontId="15" fillId="6" borderId="0" xfId="30" applyNumberFormat="1" applyFont="1" applyFill="1" applyAlignment="1">
      <alignment horizontal="right" vertical="center"/>
    </xf>
    <xf numFmtId="4" fontId="15" fillId="6" borderId="0" xfId="30" applyNumberFormat="1" applyFont="1" applyFill="1" applyAlignment="1">
      <alignment horizontal="left"/>
    </xf>
    <xf numFmtId="4" fontId="15" fillId="6" borderId="0" xfId="30" applyNumberFormat="1" applyFont="1" applyFill="1" applyAlignment="1">
      <alignment horizontal="center" vertical="center"/>
    </xf>
    <xf numFmtId="4" fontId="15" fillId="6" borderId="0" xfId="30" applyNumberFormat="1" applyFont="1" applyFill="1" applyAlignment="1">
      <alignment vertical="center" wrapText="1"/>
    </xf>
    <xf numFmtId="0" fontId="7" fillId="16" borderId="22" xfId="0" applyFont="1" applyFill="1" applyBorder="1" applyAlignment="1">
      <alignment horizontal="left" vertical="center" wrapText="1"/>
    </xf>
    <xf numFmtId="188" fontId="6" fillId="0" borderId="2" xfId="0" applyNumberFormat="1" applyFont="1" applyBorder="1" applyAlignment="1">
      <alignment horizontal="right"/>
    </xf>
    <xf numFmtId="188" fontId="7" fillId="15" borderId="2" xfId="0" applyNumberFormat="1" applyFont="1" applyFill="1" applyBorder="1" applyAlignment="1">
      <alignment horizontal="right"/>
    </xf>
    <xf numFmtId="188" fontId="6" fillId="0" borderId="2" xfId="3" applyNumberFormat="1" applyFont="1" applyBorder="1" applyAlignment="1">
      <alignment horizontal="right"/>
    </xf>
    <xf numFmtId="188" fontId="6" fillId="0" borderId="0" xfId="0" applyNumberFormat="1" applyFont="1" applyBorder="1" applyAlignment="1">
      <alignment horizontal="right"/>
    </xf>
    <xf numFmtId="0" fontId="7" fillId="35" borderId="2" xfId="0" applyFont="1" applyFill="1" applyBorder="1" applyAlignment="1">
      <alignment horizontal="center" vertical="center"/>
    </xf>
    <xf numFmtId="0" fontId="6" fillId="35" borderId="9" xfId="0" applyFont="1" applyFill="1" applyBorder="1" applyAlignment="1">
      <alignment horizontal="center" vertical="center"/>
    </xf>
    <xf numFmtId="0" fontId="6" fillId="35" borderId="10" xfId="0" applyFont="1" applyFill="1" applyBorder="1" applyAlignment="1">
      <alignment horizontal="center" vertical="center"/>
    </xf>
    <xf numFmtId="0" fontId="6" fillId="43" borderId="0" xfId="0" applyFont="1" applyFill="1"/>
    <xf numFmtId="0" fontId="6" fillId="43" borderId="0" xfId="0" applyFont="1" applyFill="1" applyAlignment="1">
      <alignment horizontal="center"/>
    </xf>
    <xf numFmtId="190" fontId="6" fillId="43" borderId="0" xfId="0" applyNumberFormat="1" applyFont="1" applyFill="1" applyAlignment="1">
      <alignment horizontal="center"/>
    </xf>
    <xf numFmtId="0" fontId="70" fillId="4" borderId="2" xfId="0" applyFont="1" applyFill="1" applyBorder="1"/>
    <xf numFmtId="0" fontId="6" fillId="4" borderId="2" xfId="0" applyFont="1" applyFill="1" applyBorder="1"/>
    <xf numFmtId="188" fontId="6" fillId="0" borderId="2" xfId="0" applyNumberFormat="1" applyFont="1" applyBorder="1" applyAlignment="1">
      <alignment horizontal="left"/>
    </xf>
    <xf numFmtId="0" fontId="6" fillId="43" borderId="65" xfId="0" applyFont="1" applyFill="1" applyBorder="1" applyAlignment="1">
      <alignment horizontal="center"/>
    </xf>
    <xf numFmtId="43" fontId="6" fillId="43" borderId="0" xfId="3" applyFont="1" applyFill="1"/>
    <xf numFmtId="188" fontId="70" fillId="4" borderId="2" xfId="0" applyNumberFormat="1" applyFont="1" applyFill="1" applyBorder="1" applyAlignment="1">
      <alignment horizontal="left"/>
    </xf>
    <xf numFmtId="188" fontId="70" fillId="0" borderId="65" xfId="3" applyNumberFormat="1" applyFont="1" applyBorder="1" applyAlignment="1">
      <alignment horizontal="left"/>
    </xf>
  </cellXfs>
  <cellStyles count="32">
    <cellStyle name="Comma 2" xfId="26" xr:uid="{C0ECB7A1-1411-4B07-9462-4432A0668E55}"/>
    <cellStyle name="Hyperlink" xfId="17" builtinId="8"/>
    <cellStyle name="Normal 2" xfId="4" xr:uid="{00000000-0005-0000-0000-000001000000}"/>
    <cellStyle name="Normal 2 2" xfId="25" xr:uid="{711A7D63-72DD-4796-A766-788E98F0F774}"/>
    <cellStyle name="Normal 2 2 2" xfId="27" xr:uid="{12FC093E-7B90-47B6-83EB-F8D806EF29C2}"/>
    <cellStyle name="Normal 28" xfId="29" xr:uid="{5E36F573-7C0D-4B0E-8BC6-1CAC1A43F76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เครื่องหมายจุลภาค 10 3" xfId="31" xr:uid="{FA6D8B8F-2514-4EE5-8D42-3744B15C42B3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จุลภาค 4" xfId="21" xr:uid="{EFD83ABA-072E-41AB-BB0D-83A319983E33}"/>
    <cellStyle name="จุลภาค 5" xfId="24" xr:uid="{4F8B2CE3-C997-4311-AE3E-5CAF1AD805B8}"/>
    <cellStyle name="ปกติ" xfId="0" builtinId="0"/>
    <cellStyle name="ปกติ 14 4" xfId="30" xr:uid="{61CBE732-0C76-44CE-AED0-57EE18965321}"/>
    <cellStyle name="ปกติ 2" xfId="7" xr:uid="{00000000-0005-0000-0000-00000C000000}"/>
    <cellStyle name="ปกติ 2 2" xfId="11" xr:uid="{00000000-0005-0000-0000-00000D000000}"/>
    <cellStyle name="ปกติ 2 2 2" xfId="19" xr:uid="{7CA465EC-8315-4246-804B-F9C636DD443D}"/>
    <cellStyle name="ปกติ 3" xfId="9" xr:uid="{00000000-0005-0000-0000-00000E000000}"/>
    <cellStyle name="ปกติ 4" xfId="13" xr:uid="{00000000-0005-0000-0000-00000F000000}"/>
    <cellStyle name="ปกติ 4 2" xfId="28" xr:uid="{CA1B42E6-CEA7-4D1B-A5FD-C4BF2E24B192}"/>
    <cellStyle name="ปกติ 5" xfId="20" xr:uid="{35F8CC19-A7FF-488D-9662-1A68A72AF180}"/>
    <cellStyle name="ปกติ 6" xfId="23" xr:uid="{3DFC9A4D-96E2-4C79-B503-05F004ABD1CB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  <cellStyle name="เปอร์เซ็นต์ 3" xfId="22" xr:uid="{E4045DF8-FA55-4E1E-8627-8398FBCBDFF5}"/>
  </cellStyles>
  <dxfs count="29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</dxfs>
  <tableStyles count="0" defaultTableStyle="TableStyleMedium2" defaultPivotStyle="PivotStyleLight16"/>
  <colors>
    <mruColors>
      <color rgb="FFCCFFCC"/>
      <color rgb="FFFF0066"/>
      <color rgb="FFFFFF99"/>
      <color rgb="FF00FF00"/>
      <color rgb="FF66FF66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570932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42333</xdr:colOff>
      <xdr:row>0</xdr:row>
      <xdr:rowOff>16933</xdr:rowOff>
    </xdr:from>
    <xdr:to>
      <xdr:col>10</xdr:col>
      <xdr:colOff>59334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996170</xdr:colOff>
      <xdr:row>0</xdr:row>
      <xdr:rowOff>294428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48300" y="0"/>
          <a:ext cx="996832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181</xdr:row>
      <xdr:rowOff>22215</xdr:rowOff>
    </xdr:from>
    <xdr:to>
      <xdr:col>5</xdr:col>
      <xdr:colOff>1795462</xdr:colOff>
      <xdr:row>185</xdr:row>
      <xdr:rowOff>95247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7E6E0CAB-02B8-4604-BA69-6ECC1D5E3FAC}"/>
            </a:ext>
          </a:extLst>
        </xdr:cNvPr>
        <xdr:cNvGrpSpPr/>
      </xdr:nvGrpSpPr>
      <xdr:grpSpPr>
        <a:xfrm>
          <a:off x="142875" y="53080275"/>
          <a:ext cx="10446067" cy="1292232"/>
          <a:chOff x="1117024" y="10336827"/>
          <a:chExt cx="12176036" cy="1350017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6E4AACDD-C46B-5F71-2A1E-0E75F9376B76}"/>
              </a:ext>
            </a:extLst>
          </xdr:cNvPr>
          <xdr:cNvSpPr txBox="1"/>
        </xdr:nvSpPr>
        <xdr:spPr>
          <a:xfrm>
            <a:off x="1117024" y="10336827"/>
            <a:ext cx="3965195" cy="132802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ลงชื่อ.................................................ผู้เสนอแผน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        (นางสาวสุเนตร  บัลลือพรมราช)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       นักวิชาการสาธารณสุขชำนาญการ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         หัวหน้ากลุ่มงานบริหารทั่วไป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F23877B-08DD-5775-C4B2-31917EED3DD3}"/>
              </a:ext>
            </a:extLst>
          </xdr:cNvPr>
          <xdr:cNvSpPr txBox="1"/>
        </xdr:nvSpPr>
        <xdr:spPr>
          <a:xfrm>
            <a:off x="4914100" y="10358819"/>
            <a:ext cx="3892376" cy="132802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           (นายยุทธพงษ์ 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  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    ผู้อำนวยการโรงพยาบาลวังสมบูรณ์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87D65F20-B2E6-FF53-4F70-0126DF7C5DFF}"/>
              </a:ext>
            </a:extLst>
          </xdr:cNvPr>
          <xdr:cNvSpPr txBox="1"/>
        </xdr:nvSpPr>
        <xdr:spPr>
          <a:xfrm>
            <a:off x="9242941" y="10347530"/>
            <a:ext cx="4050119" cy="1073723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ลงชื่อ....................................................ผู้อนุมัติแผน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238124</xdr:colOff>
      <xdr:row>106</xdr:row>
      <xdr:rowOff>133349</xdr:rowOff>
    </xdr:from>
    <xdr:to>
      <xdr:col>26</xdr:col>
      <xdr:colOff>104776</xdr:colOff>
      <xdr:row>111</xdr:row>
      <xdr:rowOff>190499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25B14880-0EB8-471F-8580-779C3DF9EF4F}"/>
            </a:ext>
          </a:extLst>
        </xdr:cNvPr>
        <xdr:cNvGrpSpPr/>
      </xdr:nvGrpSpPr>
      <xdr:grpSpPr>
        <a:xfrm>
          <a:off x="2379344" y="28693109"/>
          <a:ext cx="13887452" cy="1314450"/>
          <a:chOff x="2495549" y="29165550"/>
          <a:chExt cx="13916027" cy="1057274"/>
        </a:xfrm>
      </xdr:grpSpPr>
      <xdr:sp macro="" textlink="">
        <xdr:nvSpPr>
          <xdr:cNvPr id="3" name="TextBox 1">
            <a:extLst>
              <a:ext uri="{FF2B5EF4-FFF2-40B4-BE49-F238E27FC236}">
                <a16:creationId xmlns:a16="http://schemas.microsoft.com/office/drawing/2014/main" id="{AC949F51-AB28-F41A-CAA4-4570A4856094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B497EBC-3106-2AD8-33E4-ED6F4E6B6F74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5">
            <a:extLst>
              <a:ext uri="{FF2B5EF4-FFF2-40B4-BE49-F238E27FC236}">
                <a16:creationId xmlns:a16="http://schemas.microsoft.com/office/drawing/2014/main" id="{D6C4E5F1-2671-8D60-38E4-78A5DAADA18A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1439141</xdr:colOff>
      <xdr:row>50</xdr:row>
      <xdr:rowOff>207803</xdr:rowOff>
    </xdr:from>
    <xdr:to>
      <xdr:col>25</xdr:col>
      <xdr:colOff>539461</xdr:colOff>
      <xdr:row>55</xdr:row>
      <xdr:rowOff>228583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29C4D311-E958-4A4B-9E07-003DD3ECB5E0}"/>
            </a:ext>
          </a:extLst>
        </xdr:cNvPr>
        <xdr:cNvGrpSpPr/>
      </xdr:nvGrpSpPr>
      <xdr:grpSpPr>
        <a:xfrm>
          <a:off x="1797281" y="15257303"/>
          <a:ext cx="13997420" cy="1354280"/>
          <a:chOff x="2495570" y="29165550"/>
          <a:chExt cx="13916005" cy="1236728"/>
        </a:xfrm>
      </xdr:grpSpPr>
      <xdr:sp macro="" textlink="">
        <xdr:nvSpPr>
          <xdr:cNvPr id="3" name="TextBox 14">
            <a:extLst>
              <a:ext uri="{FF2B5EF4-FFF2-40B4-BE49-F238E27FC236}">
                <a16:creationId xmlns:a16="http://schemas.microsoft.com/office/drawing/2014/main" id="{29301182-DB65-E46D-2E53-1238CD4A0F5A}"/>
              </a:ext>
            </a:extLst>
          </xdr:cNvPr>
          <xdr:cNvSpPr txBox="1"/>
        </xdr:nvSpPr>
        <xdr:spPr>
          <a:xfrm>
            <a:off x="2495570" y="29250479"/>
            <a:ext cx="3107373" cy="115179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15">
            <a:extLst>
              <a:ext uri="{FF2B5EF4-FFF2-40B4-BE49-F238E27FC236}">
                <a16:creationId xmlns:a16="http://schemas.microsoft.com/office/drawing/2014/main" id="{AAC2409E-7B0D-85A2-45E7-26F64C10D7BA}"/>
              </a:ext>
            </a:extLst>
          </xdr:cNvPr>
          <xdr:cNvSpPr txBox="1"/>
        </xdr:nvSpPr>
        <xdr:spPr>
          <a:xfrm>
            <a:off x="7462166" y="29203649"/>
            <a:ext cx="3232188" cy="1120853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16">
            <a:extLst>
              <a:ext uri="{FF2B5EF4-FFF2-40B4-BE49-F238E27FC236}">
                <a16:creationId xmlns:a16="http://schemas.microsoft.com/office/drawing/2014/main" id="{4DA2938F-A4CA-097C-580C-E4528CB245C1}"/>
              </a:ext>
            </a:extLst>
          </xdr:cNvPr>
          <xdr:cNvSpPr txBox="1"/>
        </xdr:nvSpPr>
        <xdr:spPr>
          <a:xfrm>
            <a:off x="13306802" y="29165550"/>
            <a:ext cx="3104773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1238250</xdr:colOff>
      <xdr:row>84</xdr:row>
      <xdr:rowOff>209553</xdr:rowOff>
    </xdr:from>
    <xdr:to>
      <xdr:col>25</xdr:col>
      <xdr:colOff>395721</xdr:colOff>
      <xdr:row>89</xdr:row>
      <xdr:rowOff>209557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836D5ADA-DF7F-4D15-90DB-E81559371392}"/>
            </a:ext>
          </a:extLst>
        </xdr:cNvPr>
        <xdr:cNvGrpSpPr/>
      </xdr:nvGrpSpPr>
      <xdr:grpSpPr>
        <a:xfrm>
          <a:off x="1588770" y="23130513"/>
          <a:ext cx="19670511" cy="1257304"/>
          <a:chOff x="2476501" y="29165550"/>
          <a:chExt cx="13935075" cy="1312758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172DFFCE-C90E-9D4E-8D1D-E97B71DDDCFB}"/>
              </a:ext>
            </a:extLst>
          </xdr:cNvPr>
          <xdr:cNvSpPr txBox="1"/>
        </xdr:nvSpPr>
        <xdr:spPr>
          <a:xfrm>
            <a:off x="2476501" y="29289375"/>
            <a:ext cx="2998044" cy="11889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ลงชื่อ........................................................ผู้เสนอแผน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(นางสาวพัชรี รุณพงษ์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นักเทคนิคการแพทย์ปฏิบัติการ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หัวหน้ากลุ่มงานเทคนิคการแพทย์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D806A2A3-0E01-EA52-1089-A892FF60E4BF}"/>
              </a:ext>
            </a:extLst>
          </xdr:cNvPr>
          <xdr:cNvSpPr txBox="1"/>
        </xdr:nvSpPr>
        <xdr:spPr>
          <a:xfrm>
            <a:off x="7412187" y="29203649"/>
            <a:ext cx="3239044" cy="118713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2BF3E0B9-C53C-8F52-1054-706660B8FE22}"/>
              </a:ext>
            </a:extLst>
          </xdr:cNvPr>
          <xdr:cNvSpPr txBox="1"/>
        </xdr:nvSpPr>
        <xdr:spPr>
          <a:xfrm>
            <a:off x="13292595" y="29165550"/>
            <a:ext cx="3118981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1436543</xdr:colOff>
      <xdr:row>234</xdr:row>
      <xdr:rowOff>186150</xdr:rowOff>
    </xdr:from>
    <xdr:to>
      <xdr:col>25</xdr:col>
      <xdr:colOff>329045</xdr:colOff>
      <xdr:row>239</xdr:row>
      <xdr:rowOff>123816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31A11EEA-EF5D-4A31-87E3-4CDC08B1B6E2}"/>
            </a:ext>
          </a:extLst>
        </xdr:cNvPr>
        <xdr:cNvGrpSpPr/>
      </xdr:nvGrpSpPr>
      <xdr:grpSpPr>
        <a:xfrm>
          <a:off x="1794683" y="70198710"/>
          <a:ext cx="17104302" cy="1194966"/>
          <a:chOff x="2476501" y="29165550"/>
          <a:chExt cx="13935074" cy="1261778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F757A1B0-2B25-6FDE-A9C6-79F11CB01768}"/>
              </a:ext>
            </a:extLst>
          </xdr:cNvPr>
          <xdr:cNvSpPr txBox="1"/>
        </xdr:nvSpPr>
        <xdr:spPr>
          <a:xfrm>
            <a:off x="2476501" y="29289375"/>
            <a:ext cx="3283487" cy="113795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(นางสุกัญญา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พัฒนนิติศักดิ์)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พยาบาลวิชาชีพชำนาญการ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หัวหน้ากลุ่มการพยาบาล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E9902E3-08CB-3F78-6634-895F7CE30A6B}"/>
              </a:ext>
            </a:extLst>
          </xdr:cNvPr>
          <xdr:cNvSpPr txBox="1"/>
        </xdr:nvSpPr>
        <xdr:spPr>
          <a:xfrm>
            <a:off x="7555288" y="29203649"/>
            <a:ext cx="3214166" cy="1145107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F161006-E4C8-3855-ADDF-D6636FB6682E}"/>
              </a:ext>
            </a:extLst>
          </xdr:cNvPr>
          <xdr:cNvSpPr txBox="1"/>
        </xdr:nvSpPr>
        <xdr:spPr>
          <a:xfrm>
            <a:off x="13298318" y="29165550"/>
            <a:ext cx="3113257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1248833</xdr:colOff>
      <xdr:row>300</xdr:row>
      <xdr:rowOff>190511</xdr:rowOff>
    </xdr:from>
    <xdr:to>
      <xdr:col>25</xdr:col>
      <xdr:colOff>204836</xdr:colOff>
      <xdr:row>305</xdr:row>
      <xdr:rowOff>137595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7BE74620-2C2B-406E-9790-8E565BB48001}"/>
            </a:ext>
          </a:extLst>
        </xdr:cNvPr>
        <xdr:cNvGrpSpPr/>
      </xdr:nvGrpSpPr>
      <xdr:grpSpPr>
        <a:xfrm>
          <a:off x="1561253" y="99898211"/>
          <a:ext cx="13700703" cy="1280584"/>
          <a:chOff x="2508674" y="29165550"/>
          <a:chExt cx="13902901" cy="1200548"/>
        </a:xfrm>
      </xdr:grpSpPr>
      <xdr:sp macro="" textlink="">
        <xdr:nvSpPr>
          <xdr:cNvPr id="3" name="TextBox 10">
            <a:extLst>
              <a:ext uri="{FF2B5EF4-FFF2-40B4-BE49-F238E27FC236}">
                <a16:creationId xmlns:a16="http://schemas.microsoft.com/office/drawing/2014/main" id="{7535E652-134C-A4CB-9ABC-D58C878252E5}"/>
              </a:ext>
            </a:extLst>
          </xdr:cNvPr>
          <xdr:cNvSpPr txBox="1"/>
        </xdr:nvSpPr>
        <xdr:spPr>
          <a:xfrm>
            <a:off x="2508674" y="29212976"/>
            <a:ext cx="3283487" cy="113795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(นางสาวไพรินทร์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ปาเส)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เภสัชกรปฏิบัติการ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หัวหน้ากลุ่มงานเภสัชกรรม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11">
            <a:extLst>
              <a:ext uri="{FF2B5EF4-FFF2-40B4-BE49-F238E27FC236}">
                <a16:creationId xmlns:a16="http://schemas.microsoft.com/office/drawing/2014/main" id="{874CABDA-270D-040A-70BC-533B948C6A00}"/>
              </a:ext>
            </a:extLst>
          </xdr:cNvPr>
          <xdr:cNvSpPr txBox="1"/>
        </xdr:nvSpPr>
        <xdr:spPr>
          <a:xfrm>
            <a:off x="7555288" y="29203649"/>
            <a:ext cx="3382933" cy="1162449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12">
            <a:extLst>
              <a:ext uri="{FF2B5EF4-FFF2-40B4-BE49-F238E27FC236}">
                <a16:creationId xmlns:a16="http://schemas.microsoft.com/office/drawing/2014/main" id="{E0EDFACB-0F30-BA9D-92DE-CE2E4BD6220C}"/>
              </a:ext>
            </a:extLst>
          </xdr:cNvPr>
          <xdr:cNvSpPr txBox="1"/>
        </xdr:nvSpPr>
        <xdr:spPr>
          <a:xfrm>
            <a:off x="13298318" y="29165550"/>
            <a:ext cx="3113257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965007</xdr:colOff>
      <xdr:row>11</xdr:row>
      <xdr:rowOff>168372</xdr:rowOff>
    </xdr:from>
    <xdr:to>
      <xdr:col>24</xdr:col>
      <xdr:colOff>786919</xdr:colOff>
      <xdr:row>16</xdr:row>
      <xdr:rowOff>33675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7F2C876E-9ED5-46DA-AF9B-B3648C99EF91}"/>
            </a:ext>
          </a:extLst>
        </xdr:cNvPr>
        <xdr:cNvGrpSpPr/>
      </xdr:nvGrpSpPr>
      <xdr:grpSpPr>
        <a:xfrm>
          <a:off x="1277427" y="3063972"/>
          <a:ext cx="13675072" cy="1122603"/>
          <a:chOff x="2508674" y="29165550"/>
          <a:chExt cx="13902901" cy="1200548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65843E21-9906-E5C9-DCD1-6CFC5300B22E}"/>
              </a:ext>
            </a:extLst>
          </xdr:cNvPr>
          <xdr:cNvSpPr txBox="1"/>
        </xdr:nvSpPr>
        <xdr:spPr>
          <a:xfrm>
            <a:off x="2508674" y="29212976"/>
            <a:ext cx="3283487" cy="113795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(นางสาวไพรินทร์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ปาเส)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เภสัชกรปฏิบัติการ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หัวหน้ากลุ่มงานเภสัชกรรม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DFA6E0BD-5429-E3DA-CD2D-83E95865BF4A}"/>
              </a:ext>
            </a:extLst>
          </xdr:cNvPr>
          <xdr:cNvSpPr txBox="1"/>
        </xdr:nvSpPr>
        <xdr:spPr>
          <a:xfrm>
            <a:off x="7555288" y="29203649"/>
            <a:ext cx="3382933" cy="1162449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FFC8AA9B-AE24-5092-6DA4-8D5D5A5A4751}"/>
              </a:ext>
            </a:extLst>
          </xdr:cNvPr>
          <xdr:cNvSpPr txBox="1"/>
        </xdr:nvSpPr>
        <xdr:spPr>
          <a:xfrm>
            <a:off x="13298318" y="29165550"/>
            <a:ext cx="3113257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1185332</xdr:colOff>
      <xdr:row>49</xdr:row>
      <xdr:rowOff>10584</xdr:rowOff>
    </xdr:from>
    <xdr:to>
      <xdr:col>25</xdr:col>
      <xdr:colOff>194252</xdr:colOff>
      <xdr:row>53</xdr:row>
      <xdr:rowOff>158751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0A2826BC-6F64-4BF1-89C8-91304A23C9A6}"/>
            </a:ext>
          </a:extLst>
        </xdr:cNvPr>
        <xdr:cNvGrpSpPr/>
      </xdr:nvGrpSpPr>
      <xdr:grpSpPr>
        <a:xfrm>
          <a:off x="1520612" y="12476904"/>
          <a:ext cx="13707900" cy="1154007"/>
          <a:chOff x="2508674" y="29165550"/>
          <a:chExt cx="13902901" cy="1200548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72460F4-2554-FAAB-A933-EFD565F7975B}"/>
              </a:ext>
            </a:extLst>
          </xdr:cNvPr>
          <xdr:cNvSpPr txBox="1"/>
        </xdr:nvSpPr>
        <xdr:spPr>
          <a:xfrm>
            <a:off x="2508674" y="29212976"/>
            <a:ext cx="3283487" cy="113795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(นางสาวจรินทร์รักษ์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อยู่ทอง)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แพทย์แผนไทย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หัวหน้ากลุ่มงานแพทย์แผนไทย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880D85CD-48EB-A559-94F8-AB626E98DA9F}"/>
              </a:ext>
            </a:extLst>
          </xdr:cNvPr>
          <xdr:cNvSpPr txBox="1"/>
        </xdr:nvSpPr>
        <xdr:spPr>
          <a:xfrm>
            <a:off x="7555288" y="29203649"/>
            <a:ext cx="3382933" cy="1162449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DEDE3EC-B957-9EE1-7AB7-138AEAAAA4B0}"/>
              </a:ext>
            </a:extLst>
          </xdr:cNvPr>
          <xdr:cNvSpPr txBox="1"/>
        </xdr:nvSpPr>
        <xdr:spPr>
          <a:xfrm>
            <a:off x="13298318" y="29165550"/>
            <a:ext cx="3113257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1661583</xdr:colOff>
      <xdr:row>16</xdr:row>
      <xdr:rowOff>42333</xdr:rowOff>
    </xdr:from>
    <xdr:to>
      <xdr:col>25</xdr:col>
      <xdr:colOff>835989</xdr:colOff>
      <xdr:row>21</xdr:row>
      <xdr:rowOff>86495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D87D08BB-1EF3-4E14-A4F9-418CA54E6BA8}"/>
            </a:ext>
          </a:extLst>
        </xdr:cNvPr>
        <xdr:cNvGrpSpPr/>
      </xdr:nvGrpSpPr>
      <xdr:grpSpPr>
        <a:xfrm>
          <a:off x="1974003" y="4210473"/>
          <a:ext cx="13873386" cy="1301462"/>
          <a:chOff x="2495549" y="29165550"/>
          <a:chExt cx="13916027" cy="1057274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4B6A1CD0-B5F9-9716-8B21-8F651A505CD4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2151721-1A8D-CE9C-D6CC-4A586AD7F971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024EC23-311A-4AD7-A373-3F5E7D4A5091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21166</xdr:colOff>
      <xdr:row>16</xdr:row>
      <xdr:rowOff>179918</xdr:rowOff>
    </xdr:from>
    <xdr:to>
      <xdr:col>26</xdr:col>
      <xdr:colOff>21072</xdr:colOff>
      <xdr:row>21</xdr:row>
      <xdr:rowOff>224080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6EA8A7A0-EB66-4FDE-91C0-6552C2272616}"/>
            </a:ext>
          </a:extLst>
        </xdr:cNvPr>
        <xdr:cNvGrpSpPr/>
      </xdr:nvGrpSpPr>
      <xdr:grpSpPr>
        <a:xfrm>
          <a:off x="2002366" y="4348058"/>
          <a:ext cx="13875926" cy="1301462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2E69301A-7864-C9D4-52CA-AA033673061C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A00E0647-A527-0BA1-1AC3-B05F16927D53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83EB8DE3-1420-1167-5656-949E7F07FAEC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1631155</xdr:colOff>
      <xdr:row>26</xdr:row>
      <xdr:rowOff>119071</xdr:rowOff>
    </xdr:from>
    <xdr:to>
      <xdr:col>25</xdr:col>
      <xdr:colOff>193054</xdr:colOff>
      <xdr:row>31</xdr:row>
      <xdr:rowOff>170087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DE2420B9-B85F-4F01-9DE9-E666DFD3F891}"/>
            </a:ext>
          </a:extLst>
        </xdr:cNvPr>
        <xdr:cNvGrpSpPr/>
      </xdr:nvGrpSpPr>
      <xdr:grpSpPr>
        <a:xfrm>
          <a:off x="1989295" y="7045651"/>
          <a:ext cx="13260879" cy="1308316"/>
          <a:chOff x="1988343" y="7036602"/>
          <a:chExt cx="13254211" cy="1360704"/>
        </a:xfrm>
      </xdr:grpSpPr>
      <xdr:grpSp>
        <xdr:nvGrpSpPr>
          <xdr:cNvPr id="3" name="กลุ่ม 2">
            <a:extLst>
              <a:ext uri="{FF2B5EF4-FFF2-40B4-BE49-F238E27FC236}">
                <a16:creationId xmlns:a16="http://schemas.microsoft.com/office/drawing/2014/main" id="{4B1F8319-82B3-3B84-B95A-A506610B5743}"/>
              </a:ext>
            </a:extLst>
          </xdr:cNvPr>
          <xdr:cNvGrpSpPr/>
        </xdr:nvGrpSpPr>
        <xdr:grpSpPr>
          <a:xfrm>
            <a:off x="6501858" y="7036602"/>
            <a:ext cx="8740696" cy="1360704"/>
            <a:chOff x="7621350" y="29165550"/>
            <a:chExt cx="8790226" cy="1085775"/>
          </a:xfrm>
        </xdr:grpSpPr>
        <xdr:sp macro="" textlink="">
          <xdr:nvSpPr>
            <xdr:cNvPr id="5" name="TextBox 3">
              <a:extLst>
                <a:ext uri="{FF2B5EF4-FFF2-40B4-BE49-F238E27FC236}">
                  <a16:creationId xmlns:a16="http://schemas.microsoft.com/office/drawing/2014/main" id="{2D2A59BD-BA27-B00F-1928-C516286EB054}"/>
                </a:ext>
              </a:extLst>
            </xdr:cNvPr>
            <xdr:cNvSpPr txBox="1"/>
          </xdr:nvSpPr>
          <xdr:spPr>
            <a:xfrm>
              <a:off x="7621350" y="29232150"/>
              <a:ext cx="3429000" cy="1019175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ลงชื่อ............................................................ผู้เห็นชอบแผน</a:t>
              </a:r>
              <a:b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(นายยุทธพงษ์ ศรีมงคล)</a:t>
              </a:r>
              <a:b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นายแพทย์เชี่ยวชาญ รักษาการในตำแหน่ง</a:t>
              </a:r>
              <a:b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ผู้อำนวยการโรงพยาบาลวังสมบูรณ์</a:t>
              </a:r>
            </a:p>
          </xdr:txBody>
        </xdr:sp>
        <xdr:sp macro="" textlink="">
          <xdr:nvSpPr>
            <xdr:cNvPr id="6" name="TextBox 4">
              <a:extLst>
                <a:ext uri="{FF2B5EF4-FFF2-40B4-BE49-F238E27FC236}">
                  <a16:creationId xmlns:a16="http://schemas.microsoft.com/office/drawing/2014/main" id="{3BAE9871-92E7-02A3-93C7-4D5B10C8D4A0}"/>
                </a:ext>
              </a:extLst>
            </xdr:cNvPr>
            <xdr:cNvSpPr txBox="1"/>
          </xdr:nvSpPr>
          <xdr:spPr>
            <a:xfrm>
              <a:off x="13115926" y="29165550"/>
              <a:ext cx="3295650" cy="876300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ลงชื่อ...........................................................ผู้อนุมัติแผน</a:t>
              </a:r>
              <a:br>
                <a:rPr kumimoji="0" lang="th-TH" sz="1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endPara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endParaRPr>
            </a:p>
          </xdr:txBody>
        </xdr:sp>
      </xdr:grpSp>
      <xdr:sp macro="" textlink="">
        <xdr:nvSpPr>
          <xdr:cNvPr id="4" name="TextBox 5">
            <a:extLst>
              <a:ext uri="{FF2B5EF4-FFF2-40B4-BE49-F238E27FC236}">
                <a16:creationId xmlns:a16="http://schemas.microsoft.com/office/drawing/2014/main" id="{982F55F1-35C6-7612-86C8-392847EAB539}"/>
              </a:ext>
            </a:extLst>
          </xdr:cNvPr>
          <xdr:cNvSpPr txBox="1"/>
        </xdr:nvSpPr>
        <xdr:spPr>
          <a:xfrm>
            <a:off x="1988343" y="7131843"/>
            <a:ext cx="3240232" cy="110346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(นางสุกัญญา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พัฒนนิติศักดิ์)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พยาบาลวิชาชีพชำนาญการ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หัวหน้ากลุ่มการพยาบาล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1595437</xdr:colOff>
      <xdr:row>89</xdr:row>
      <xdr:rowOff>35719</xdr:rowOff>
    </xdr:from>
    <xdr:to>
      <xdr:col>25</xdr:col>
      <xdr:colOff>402071</xdr:colOff>
      <xdr:row>94</xdr:row>
      <xdr:rowOff>79881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06758ACF-667E-4E2E-B717-0CC0ABE8CD67}"/>
            </a:ext>
          </a:extLst>
        </xdr:cNvPr>
        <xdr:cNvGrpSpPr/>
      </xdr:nvGrpSpPr>
      <xdr:grpSpPr>
        <a:xfrm>
          <a:off x="1953577" y="24038719"/>
          <a:ext cx="13871374" cy="1301462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789D450A-0110-5C72-3915-E950A47D02EA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8C077F7A-270B-745C-9ADB-6B3FFA9C0082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2DF3C5E1-013E-3C31-8757-68A15463B46D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74083</xdr:colOff>
      <xdr:row>10</xdr:row>
      <xdr:rowOff>52916</xdr:rowOff>
    </xdr:from>
    <xdr:to>
      <xdr:col>25</xdr:col>
      <xdr:colOff>289627</xdr:colOff>
      <xdr:row>15</xdr:row>
      <xdr:rowOff>143620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96EE0A10-9E0D-4311-9875-9212F4178CEA}"/>
            </a:ext>
          </a:extLst>
        </xdr:cNvPr>
        <xdr:cNvGrpSpPr/>
      </xdr:nvGrpSpPr>
      <xdr:grpSpPr>
        <a:xfrm>
          <a:off x="2101003" y="2712296"/>
          <a:ext cx="13245744" cy="1348004"/>
          <a:chOff x="1988343" y="7036602"/>
          <a:chExt cx="13254211" cy="1360704"/>
        </a:xfrm>
      </xdr:grpSpPr>
      <xdr:grpSp>
        <xdr:nvGrpSpPr>
          <xdr:cNvPr id="3" name="กลุ่ม 2">
            <a:extLst>
              <a:ext uri="{FF2B5EF4-FFF2-40B4-BE49-F238E27FC236}">
                <a16:creationId xmlns:a16="http://schemas.microsoft.com/office/drawing/2014/main" id="{DA9D907B-6210-4D80-4653-3BADF05CFEBA}"/>
              </a:ext>
            </a:extLst>
          </xdr:cNvPr>
          <xdr:cNvGrpSpPr/>
        </xdr:nvGrpSpPr>
        <xdr:grpSpPr>
          <a:xfrm>
            <a:off x="6501858" y="7036602"/>
            <a:ext cx="8740696" cy="1360704"/>
            <a:chOff x="7621350" y="29165550"/>
            <a:chExt cx="8790226" cy="1085775"/>
          </a:xfrm>
        </xdr:grpSpPr>
        <xdr:sp macro="" textlink="">
          <xdr:nvSpPr>
            <xdr:cNvPr id="5" name="TextBox 9">
              <a:extLst>
                <a:ext uri="{FF2B5EF4-FFF2-40B4-BE49-F238E27FC236}">
                  <a16:creationId xmlns:a16="http://schemas.microsoft.com/office/drawing/2014/main" id="{082B914B-9FE1-A58C-2C1A-9C9A6BFC021A}"/>
                </a:ext>
              </a:extLst>
            </xdr:cNvPr>
            <xdr:cNvSpPr txBox="1"/>
          </xdr:nvSpPr>
          <xdr:spPr>
            <a:xfrm>
              <a:off x="7621350" y="29232150"/>
              <a:ext cx="3429000" cy="1019175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ลงชื่อ............................................................ผู้เห็นชอบแผน</a:t>
              </a:r>
              <a:b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(นายยุทธพงษ์ ศรีมงคล)</a:t>
              </a:r>
              <a:b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นายแพทย์เชี่ยวชาญ รักษาการในตำแหน่ง</a:t>
              </a:r>
              <a:b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ผู้อำนวยการโรงพยาบาลวังสมบูรณ์</a:t>
              </a:r>
            </a:p>
          </xdr:txBody>
        </xdr:sp>
        <xdr:sp macro="" textlink="">
          <xdr:nvSpPr>
            <xdr:cNvPr id="6" name="TextBox 10">
              <a:extLst>
                <a:ext uri="{FF2B5EF4-FFF2-40B4-BE49-F238E27FC236}">
                  <a16:creationId xmlns:a16="http://schemas.microsoft.com/office/drawing/2014/main" id="{463101E8-9160-77DA-A90C-330098FFD00E}"/>
                </a:ext>
              </a:extLst>
            </xdr:cNvPr>
            <xdr:cNvSpPr txBox="1"/>
          </xdr:nvSpPr>
          <xdr:spPr>
            <a:xfrm>
              <a:off x="13115926" y="29165550"/>
              <a:ext cx="3295650" cy="876300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  <a:t>ลงชื่อ...........................................................ผู้อนุมัติแผน</a:t>
              </a:r>
              <a:br>
                <a:rPr kumimoji="0" lang="th-TH" sz="1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TH SarabunPSK" pitchFamily="34" charset="-34"/>
                  <a:ea typeface="+mn-ea"/>
                  <a:cs typeface="TH SarabunPSK" pitchFamily="34" charset="-34"/>
                </a:rPr>
              </a:br>
              <a:endPara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endParaRPr>
            </a:p>
          </xdr:txBody>
        </xdr:sp>
      </xdr:grpSp>
      <xdr:sp macro="" textlink="">
        <xdr:nvSpPr>
          <xdr:cNvPr id="4" name="TextBox 8">
            <a:extLst>
              <a:ext uri="{FF2B5EF4-FFF2-40B4-BE49-F238E27FC236}">
                <a16:creationId xmlns:a16="http://schemas.microsoft.com/office/drawing/2014/main" id="{5A5D349E-62DF-0482-FC91-79E9E3E379D7}"/>
              </a:ext>
            </a:extLst>
          </xdr:cNvPr>
          <xdr:cNvSpPr txBox="1"/>
        </xdr:nvSpPr>
        <xdr:spPr>
          <a:xfrm>
            <a:off x="1988343" y="7131843"/>
            <a:ext cx="3240232" cy="110346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(นางสุกัญญา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พัฒนนิติศักดิ์)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พยาบาลวิชาชีพชำนาญการ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หัวหน้ากลุ่มการพยาบาล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44</xdr:row>
      <xdr:rowOff>0</xdr:rowOff>
    </xdr:from>
    <xdr:to>
      <xdr:col>25</xdr:col>
      <xdr:colOff>723540</xdr:colOff>
      <xdr:row>49</xdr:row>
      <xdr:rowOff>83849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5ABF2DFD-011E-4A0E-8FEC-F9E0C9347160}"/>
            </a:ext>
          </a:extLst>
        </xdr:cNvPr>
        <xdr:cNvGrpSpPr/>
      </xdr:nvGrpSpPr>
      <xdr:grpSpPr>
        <a:xfrm>
          <a:off x="1737360" y="11353800"/>
          <a:ext cx="13860420" cy="1341149"/>
          <a:chOff x="2495549" y="29165550"/>
          <a:chExt cx="13916027" cy="1057274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4E064F97-3ED5-4C69-EA02-83C2D8336286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FDB058A-0825-4E26-8776-FFE9AC3410F6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6410E36A-1402-0CEE-EFB8-764A2CCE5A55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137582</xdr:colOff>
      <xdr:row>30</xdr:row>
      <xdr:rowOff>201083</xdr:rowOff>
    </xdr:from>
    <xdr:to>
      <xdr:col>26</xdr:col>
      <xdr:colOff>120289</xdr:colOff>
      <xdr:row>36</xdr:row>
      <xdr:rowOff>30932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B64836A1-EE1A-4180-B045-E7D85E85DE45}"/>
            </a:ext>
          </a:extLst>
        </xdr:cNvPr>
        <xdr:cNvGrpSpPr/>
      </xdr:nvGrpSpPr>
      <xdr:grpSpPr>
        <a:xfrm>
          <a:off x="2118782" y="7927763"/>
          <a:ext cx="13858727" cy="1338609"/>
          <a:chOff x="2495549" y="29165550"/>
          <a:chExt cx="13916027" cy="1057274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6147ECF3-0367-C1BB-E4BE-3DEA52B896EE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53655FE-8C19-B721-01E9-479224309B30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85BB3F3-9E27-72FC-4379-EA617B244E32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1555750</xdr:colOff>
      <xdr:row>11</xdr:row>
      <xdr:rowOff>0</xdr:rowOff>
    </xdr:from>
    <xdr:to>
      <xdr:col>25</xdr:col>
      <xdr:colOff>712957</xdr:colOff>
      <xdr:row>16</xdr:row>
      <xdr:rowOff>83849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829B4182-97A7-434E-AB43-F47BC39CAF03}"/>
            </a:ext>
          </a:extLst>
        </xdr:cNvPr>
        <xdr:cNvGrpSpPr/>
      </xdr:nvGrpSpPr>
      <xdr:grpSpPr>
        <a:xfrm>
          <a:off x="1868170" y="2910840"/>
          <a:ext cx="13856187" cy="1341149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83147197-3A07-C4AE-7B86-0AE2D5FE55BB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E6470C53-FF2F-0F27-2A72-CCD5076DB204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EDA46D84-F8FA-CF7F-A445-10CB70E7D136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1619250</xdr:colOff>
      <xdr:row>13</xdr:row>
      <xdr:rowOff>238125</xdr:rowOff>
    </xdr:from>
    <xdr:to>
      <xdr:col>25</xdr:col>
      <xdr:colOff>761640</xdr:colOff>
      <xdr:row>19</xdr:row>
      <xdr:rowOff>48924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F9D21223-31EA-40BB-937F-BF42405F9BA4}"/>
            </a:ext>
          </a:extLst>
        </xdr:cNvPr>
        <xdr:cNvGrpSpPr/>
      </xdr:nvGrpSpPr>
      <xdr:grpSpPr>
        <a:xfrm>
          <a:off x="1992630" y="3651885"/>
          <a:ext cx="13841370" cy="1319559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3F9F4264-89DB-958B-CB85-6203D1CB65EA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D6196C72-A217-7873-445A-9478EBC1B109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4CE11726-FE51-2483-7189-8BAED234D50B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0</xdr:rowOff>
    </xdr:from>
    <xdr:to>
      <xdr:col>25</xdr:col>
      <xdr:colOff>244379</xdr:colOff>
      <xdr:row>52</xdr:row>
      <xdr:rowOff>25112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7C792E30-F63A-4F8A-9529-6933BF252EA8}"/>
            </a:ext>
          </a:extLst>
        </xdr:cNvPr>
        <xdr:cNvGrpSpPr/>
      </xdr:nvGrpSpPr>
      <xdr:grpSpPr>
        <a:xfrm>
          <a:off x="2621280" y="13716000"/>
          <a:ext cx="20003039" cy="1282412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772E3D24-2E1D-2E5B-DC8E-2C6CDC7DBF50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2D3B9F18-F919-647A-4094-2D1994303E39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8F6E1734-CA83-672F-3612-6DBB8FE5B8D1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23813</xdr:colOff>
      <xdr:row>20</xdr:row>
      <xdr:rowOff>11907</xdr:rowOff>
    </xdr:from>
    <xdr:to>
      <xdr:col>25</xdr:col>
      <xdr:colOff>696817</xdr:colOff>
      <xdr:row>25</xdr:row>
      <xdr:rowOff>37019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56B4D477-4048-4BD3-89C8-20F76B8DA970}"/>
            </a:ext>
          </a:extLst>
        </xdr:cNvPr>
        <xdr:cNvGrpSpPr/>
      </xdr:nvGrpSpPr>
      <xdr:grpSpPr>
        <a:xfrm>
          <a:off x="2264093" y="5810727"/>
          <a:ext cx="14914784" cy="1282412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36543B00-BCC5-3680-1233-701E751C7F82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7764F61A-399A-5BFD-029B-E38FF0ED3987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0712A044-30EE-61CE-786F-E6D5371CEC94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</xdr:colOff>
      <xdr:row>22</xdr:row>
      <xdr:rowOff>47625</xdr:rowOff>
    </xdr:from>
    <xdr:to>
      <xdr:col>26</xdr:col>
      <xdr:colOff>235119</xdr:colOff>
      <xdr:row>27</xdr:row>
      <xdr:rowOff>33050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4E0F6DA8-2DC3-4F25-AC50-4D9F1F29B795}"/>
            </a:ext>
          </a:extLst>
        </xdr:cNvPr>
        <xdr:cNvGrpSpPr/>
      </xdr:nvGrpSpPr>
      <xdr:grpSpPr>
        <a:xfrm>
          <a:off x="2005012" y="6280785"/>
          <a:ext cx="20008067" cy="1242725"/>
          <a:chOff x="2495549" y="29165550"/>
          <a:chExt cx="13916027" cy="1057274"/>
        </a:xfrm>
      </xdr:grpSpPr>
      <xdr:sp macro="" textlink="">
        <xdr:nvSpPr>
          <xdr:cNvPr id="3" name="TextBox 10">
            <a:extLst>
              <a:ext uri="{FF2B5EF4-FFF2-40B4-BE49-F238E27FC236}">
                <a16:creationId xmlns:a16="http://schemas.microsoft.com/office/drawing/2014/main" id="{99329766-ED99-56D0-FDE5-9AFED001C2F4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11">
            <a:extLst>
              <a:ext uri="{FF2B5EF4-FFF2-40B4-BE49-F238E27FC236}">
                <a16:creationId xmlns:a16="http://schemas.microsoft.com/office/drawing/2014/main" id="{B4C5838C-FB29-46D9-6869-7C5098775431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12">
            <a:extLst>
              <a:ext uri="{FF2B5EF4-FFF2-40B4-BE49-F238E27FC236}">
                <a16:creationId xmlns:a16="http://schemas.microsoft.com/office/drawing/2014/main" id="{A713DDB8-E110-5E41-FD2D-5512A71FB306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1576916</xdr:colOff>
      <xdr:row>14</xdr:row>
      <xdr:rowOff>243417</xdr:rowOff>
    </xdr:from>
    <xdr:to>
      <xdr:col>26</xdr:col>
      <xdr:colOff>101504</xdr:colOff>
      <xdr:row>20</xdr:row>
      <xdr:rowOff>14529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937C8060-17E6-4533-9680-73285ACF9E7A}"/>
            </a:ext>
          </a:extLst>
        </xdr:cNvPr>
        <xdr:cNvGrpSpPr/>
      </xdr:nvGrpSpPr>
      <xdr:grpSpPr>
        <a:xfrm>
          <a:off x="1889336" y="6057477"/>
          <a:ext cx="19990128" cy="1279872"/>
          <a:chOff x="2495549" y="29165550"/>
          <a:chExt cx="13916027" cy="1057274"/>
        </a:xfrm>
      </xdr:grpSpPr>
      <xdr:sp macro="" textlink="">
        <xdr:nvSpPr>
          <xdr:cNvPr id="3" name="TextBox 3">
            <a:extLst>
              <a:ext uri="{FF2B5EF4-FFF2-40B4-BE49-F238E27FC236}">
                <a16:creationId xmlns:a16="http://schemas.microsoft.com/office/drawing/2014/main" id="{B6626737-9955-A481-7AC4-26D2C7C62C2C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4">
            <a:extLst>
              <a:ext uri="{FF2B5EF4-FFF2-40B4-BE49-F238E27FC236}">
                <a16:creationId xmlns:a16="http://schemas.microsoft.com/office/drawing/2014/main" id="{11063ADC-CC90-644A-3D58-41354CF66341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5">
            <a:extLst>
              <a:ext uri="{FF2B5EF4-FFF2-40B4-BE49-F238E27FC236}">
                <a16:creationId xmlns:a16="http://schemas.microsoft.com/office/drawing/2014/main" id="{9664B87A-C7AA-4219-61A9-40E88A18D8C2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1725083</xdr:colOff>
      <xdr:row>35</xdr:row>
      <xdr:rowOff>21167</xdr:rowOff>
    </xdr:from>
    <xdr:to>
      <xdr:col>26</xdr:col>
      <xdr:colOff>80337</xdr:colOff>
      <xdr:row>40</xdr:row>
      <xdr:rowOff>46279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85A81928-3AF9-4318-A44D-5FB6C3F5CC15}"/>
            </a:ext>
          </a:extLst>
        </xdr:cNvPr>
        <xdr:cNvGrpSpPr/>
      </xdr:nvGrpSpPr>
      <xdr:grpSpPr>
        <a:xfrm>
          <a:off x="2083223" y="12571307"/>
          <a:ext cx="17450974" cy="1282412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D1B0A20A-0C68-659A-34E3-216442C01AE5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(นางสุกัญญา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พัฒนนิติศักดิ์)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พยาบาลวิชาชีพชำนาญการ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หัวหน้ากลุ่มการพยาบาล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1FFBD58F-FC6C-8C21-86A6-C489A3A329F0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CE21AF34-D5BA-6ECA-8FCC-29CE03BB7CA8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41765</xdr:colOff>
      <xdr:row>0</xdr:row>
      <xdr:rowOff>361103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26</xdr:col>
      <xdr:colOff>535421</xdr:colOff>
      <xdr:row>15</xdr:row>
      <xdr:rowOff>25112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38F421C9-F7DC-458A-AF19-7DB7558CFD80}"/>
            </a:ext>
          </a:extLst>
        </xdr:cNvPr>
        <xdr:cNvGrpSpPr/>
      </xdr:nvGrpSpPr>
      <xdr:grpSpPr>
        <a:xfrm>
          <a:off x="2324100" y="2621280"/>
          <a:ext cx="17451821" cy="1282412"/>
          <a:chOff x="2495549" y="29165550"/>
          <a:chExt cx="13916027" cy="1057274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3F095314-2AE1-8816-E1C8-67CF60AC3865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(นางสาวพัชรี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รุณพงษ์)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นักเทคนิคการแพทย์ปฏิบัติการ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หัวหน้ากลุ่มงานเทคนิคการแพทย์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20D7680-D5BD-9087-DE6B-3825E79000F4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BD42D30-BDEF-0B0C-EA5F-0C838A2A429F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1407583</xdr:colOff>
      <xdr:row>15</xdr:row>
      <xdr:rowOff>201084</xdr:rowOff>
    </xdr:from>
    <xdr:to>
      <xdr:col>25</xdr:col>
      <xdr:colOff>778838</xdr:colOff>
      <xdr:row>20</xdr:row>
      <xdr:rowOff>226196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F28D8847-3B33-4EA5-9639-D971E55D8769}"/>
            </a:ext>
          </a:extLst>
        </xdr:cNvPr>
        <xdr:cNvGrpSpPr/>
      </xdr:nvGrpSpPr>
      <xdr:grpSpPr>
        <a:xfrm>
          <a:off x="1742863" y="4780704"/>
          <a:ext cx="19990975" cy="1282412"/>
          <a:chOff x="2495549" y="29165550"/>
          <a:chExt cx="13916027" cy="1057274"/>
        </a:xfrm>
      </xdr:grpSpPr>
      <xdr:sp macro="" textlink="">
        <xdr:nvSpPr>
          <xdr:cNvPr id="3" name="TextBox 6">
            <a:extLst>
              <a:ext uri="{FF2B5EF4-FFF2-40B4-BE49-F238E27FC236}">
                <a16:creationId xmlns:a16="http://schemas.microsoft.com/office/drawing/2014/main" id="{218A3C25-649B-A628-C60A-27085867E5A2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7">
            <a:extLst>
              <a:ext uri="{FF2B5EF4-FFF2-40B4-BE49-F238E27FC236}">
                <a16:creationId xmlns:a16="http://schemas.microsoft.com/office/drawing/2014/main" id="{A4B4BF5A-9D50-F335-2982-5AD1A9F1803F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8">
            <a:extLst>
              <a:ext uri="{FF2B5EF4-FFF2-40B4-BE49-F238E27FC236}">
                <a16:creationId xmlns:a16="http://schemas.microsoft.com/office/drawing/2014/main" id="{44DBDF54-14C6-A263-D3C5-E68EC54E4F7B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1566334</xdr:colOff>
      <xdr:row>10</xdr:row>
      <xdr:rowOff>169334</xdr:rowOff>
    </xdr:from>
    <xdr:to>
      <xdr:col>26</xdr:col>
      <xdr:colOff>60133</xdr:colOff>
      <xdr:row>15</xdr:row>
      <xdr:rowOff>171355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F699F3E7-A9A4-4284-A727-41954BC5B0DF}"/>
            </a:ext>
          </a:extLst>
        </xdr:cNvPr>
        <xdr:cNvGrpSpPr/>
      </xdr:nvGrpSpPr>
      <xdr:grpSpPr>
        <a:xfrm>
          <a:off x="1924474" y="2828714"/>
          <a:ext cx="14038599" cy="1259321"/>
          <a:chOff x="2495549" y="29165550"/>
          <a:chExt cx="13916027" cy="1057274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D4C777A0-BFB3-0048-07F4-9B23CE0D2608}"/>
              </a:ext>
            </a:extLst>
          </xdr:cNvPr>
          <xdr:cNvSpPr txBox="1"/>
        </xdr:nvSpPr>
        <xdr:spPr>
          <a:xfrm>
            <a:off x="2495549" y="29184397"/>
            <a:ext cx="3305175" cy="10084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>
                <a:latin typeface="TH SarabunPSK" pitchFamily="34" charset="-34"/>
                <a:cs typeface="TH SarabunPSK" pitchFamily="34" charset="-34"/>
              </a:rPr>
              <a:t>    ลงชื่อ...........................................................ผู้เสนอแผน</a:t>
            </a:r>
            <a:br>
              <a:rPr lang="th-TH" sz="1600">
                <a:latin typeface="TH SarabunPSK" pitchFamily="34" charset="-34"/>
                <a:cs typeface="TH SarabunPSK" pitchFamily="34" charset="-34"/>
              </a:rPr>
            </a:br>
            <a:r>
              <a:rPr lang="th-TH" sz="1600">
                <a:latin typeface="TH SarabunPSK" pitchFamily="34" charset="-34"/>
                <a:cs typeface="TH SarabunPSK" pitchFamily="34" charset="-34"/>
              </a:rPr>
              <a:t>(นางสาวสุเนตร</a:t>
            </a: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 บัลลือพรมราช)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นักวิชาการสาธารณสุขชำนาญการ</a:t>
            </a:r>
            <a:br>
              <a:rPr lang="th-TH" sz="1600" baseline="0">
                <a:latin typeface="TH SarabunPSK" pitchFamily="34" charset="-34"/>
                <a:cs typeface="TH SarabunPSK" pitchFamily="34" charset="-34"/>
              </a:rPr>
            </a:br>
            <a:r>
              <a:rPr lang="th-TH" sz="1600" baseline="0">
                <a:latin typeface="TH SarabunPSK" pitchFamily="34" charset="-34"/>
                <a:cs typeface="TH SarabunPSK" pitchFamily="34" charset="-34"/>
              </a:rPr>
              <a:t>หัวหน้ากลุ่มงานบริหารทั่วไป</a:t>
            </a:r>
            <a:endParaRPr lang="th-TH" sz="1600">
              <a:latin typeface="TH SarabunPSK" pitchFamily="34" charset="-34"/>
              <a:cs typeface="TH SarabunPSK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DBAF507-93EE-4144-8C69-C3865FF93E7D}"/>
              </a:ext>
            </a:extLst>
          </xdr:cNvPr>
          <xdr:cNvSpPr txBox="1"/>
        </xdr:nvSpPr>
        <xdr:spPr>
          <a:xfrm>
            <a:off x="7381875" y="29203649"/>
            <a:ext cx="3429000" cy="1019175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ลงชื่อ............................................................ผู้เห็นชอบแผน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(นายยุทธพงษ์ ศรีมงคล)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นายแพทย์เชี่ยวชาญ รักษาการในตำแหน่ง</a:t>
            </a:r>
            <a:b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ผู้อำนวยการโรงพยาบาลวังสมบูรณ์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BC0A63D-46F0-2182-E2A8-5A62D32B1194}"/>
              </a:ext>
            </a:extLst>
          </xdr:cNvPr>
          <xdr:cNvSpPr txBox="1"/>
        </xdr:nvSpPr>
        <xdr:spPr>
          <a:xfrm>
            <a:off x="13115926" y="29165550"/>
            <a:ext cx="3295650" cy="87630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  <a:t>ลงชื่อ...........................................................ผู้อนุมัติแผน</a:t>
            </a:r>
            <a:br>
              <a:rPr kumimoji="0" lang="th-TH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itchFamily="34" charset="-34"/>
                <a:ea typeface="+mn-ea"/>
                <a:cs typeface="TH SarabunPSK" pitchFamily="34" charset="-34"/>
              </a:rPr>
            </a:br>
            <a:endParaRPr kumimoji="0" lang="th-TH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endParaRP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50800</xdr:colOff>
      <xdr:row>2</xdr:row>
      <xdr:rowOff>16933</xdr:rowOff>
    </xdr:from>
    <xdr:to>
      <xdr:col>14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103573-018B-4541-B909-DC779FD9D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307040" y="641773"/>
          <a:ext cx="994264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1175240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1200005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779778</xdr:colOff>
      <xdr:row>0</xdr:row>
      <xdr:rowOff>110066</xdr:rowOff>
    </xdr:from>
    <xdr:to>
      <xdr:col>9</xdr:col>
      <xdr:colOff>356301</xdr:colOff>
      <xdr:row>1</xdr:row>
      <xdr:rowOff>21589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50800</xdr:colOff>
      <xdr:row>2</xdr:row>
      <xdr:rowOff>16933</xdr:rowOff>
    </xdr:from>
    <xdr:to>
      <xdr:col>14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5c9b4cb3f84e8dd9/Data%20MaMa%2028042565/&#3591;&#3634;&#3609;&#3585;&#3634;&#3619;&#3648;&#3591;&#3636;&#3609;&#3585;&#3634;&#3619;&#3588;&#3621;&#3633;&#3591;/&#3586;&#3657;&#3629;&#3617;&#3641;&#3621;%20MOC%20%5e0%20Planfin/&#3586;&#3657;&#3629;&#3617;&#3641;&#3621;MOC%20&#3611;&#3637;%202565/&#3615;&#3629;&#3619;&#3660;&#3617;&#3585;&#3619;&#3632;&#3604;&#3634;&#3625;&#3607;&#3635;&#3585;&#3634;&#3619;&#3649;&#3592;&#3657;&#3591;&#3627;&#3609;&#3656;&#3623;&#3618;&#3610;&#3619;&#3636;&#3585;&#3634;&#3619;%202565/WorkSheetPlanfin2565V2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05;&#3633;&#3623;&#3629;&#3618;&#3656;&#3634;&#3591;%2028849_Planfin2566_1810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น้าแรก"/>
      <sheetName val="กศภ2564Q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7.WS-ยา วชภฯ"/>
      <sheetName val="6.WS-Re-Exp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"/>
      <sheetName val="14.แผนรายรับรายจ่ายเงินบำรุ (2"/>
      <sheetName val="15.แผนก่อหนี้"/>
    </sheetNames>
    <sheetDataSet>
      <sheetData sheetId="0" refreshError="1"/>
      <sheetData sheetId="1">
        <row r="42">
          <cell r="D42" t="str">
            <v>10674</v>
          </cell>
          <cell r="E42" t="str">
            <v>11189</v>
          </cell>
          <cell r="F42" t="str">
            <v>11190</v>
          </cell>
          <cell r="G42" t="str">
            <v>11191</v>
          </cell>
          <cell r="H42" t="str">
            <v>11192</v>
          </cell>
          <cell r="I42" t="str">
            <v>11193</v>
          </cell>
          <cell r="J42" t="str">
            <v>11194</v>
          </cell>
          <cell r="K42" t="str">
            <v>11195</v>
          </cell>
          <cell r="L42" t="str">
            <v>11196</v>
          </cell>
          <cell r="M42" t="str">
            <v>11197</v>
          </cell>
          <cell r="N42" t="str">
            <v>11198</v>
          </cell>
          <cell r="O42" t="str">
            <v>11199</v>
          </cell>
          <cell r="P42" t="str">
            <v>11200</v>
          </cell>
          <cell r="Q42" t="str">
            <v>11201</v>
          </cell>
          <cell r="R42" t="str">
            <v>11202</v>
          </cell>
          <cell r="S42" t="str">
            <v>11454</v>
          </cell>
          <cell r="T42" t="str">
            <v>15012</v>
          </cell>
          <cell r="U42" t="str">
            <v>28823</v>
          </cell>
          <cell r="V42" t="str">
            <v>10713</v>
          </cell>
          <cell r="W42" t="str">
            <v>11119</v>
          </cell>
          <cell r="X42" t="str">
            <v>11120</v>
          </cell>
          <cell r="Y42" t="str">
            <v>11121</v>
          </cell>
          <cell r="Z42" t="str">
            <v>11122</v>
          </cell>
          <cell r="AA42" t="str">
            <v>11123</v>
          </cell>
          <cell r="AB42" t="str">
            <v>11124</v>
          </cell>
          <cell r="AC42" t="str">
            <v>11125</v>
          </cell>
          <cell r="AD42" t="str">
            <v>11126</v>
          </cell>
          <cell r="AE42" t="str">
            <v>11127</v>
          </cell>
          <cell r="AF42" t="str">
            <v>11128</v>
          </cell>
          <cell r="AG42" t="str">
            <v>11129</v>
          </cell>
          <cell r="AH42" t="str">
            <v>11130</v>
          </cell>
          <cell r="AI42" t="str">
            <v>11131</v>
          </cell>
          <cell r="AJ42" t="str">
            <v>11132</v>
          </cell>
          <cell r="AK42" t="str">
            <v>11133</v>
          </cell>
          <cell r="AL42" t="str">
            <v>11134</v>
          </cell>
          <cell r="AM42" t="str">
            <v>11135</v>
          </cell>
          <cell r="AN42" t="str">
            <v>11136</v>
          </cell>
          <cell r="AO42" t="str">
            <v>11137</v>
          </cell>
          <cell r="AP42" t="str">
            <v>11138</v>
          </cell>
          <cell r="AQ42" t="str">
            <v>11139</v>
          </cell>
          <cell r="AR42" t="str">
            <v>11643</v>
          </cell>
          <cell r="AS42" t="str">
            <v>23736</v>
          </cell>
          <cell r="AT42" t="str">
            <v>10716</v>
          </cell>
          <cell r="AU42" t="str">
            <v>11173</v>
          </cell>
          <cell r="AV42" t="str">
            <v>11174</v>
          </cell>
          <cell r="AW42" t="str">
            <v>11175</v>
          </cell>
          <cell r="AX42" t="str">
            <v>11176</v>
          </cell>
          <cell r="AY42" t="str">
            <v>11177</v>
          </cell>
          <cell r="AZ42" t="str">
            <v>11178</v>
          </cell>
          <cell r="BA42" t="str">
            <v>11179</v>
          </cell>
          <cell r="BB42" t="str">
            <v>11180</v>
          </cell>
          <cell r="BC42" t="str">
            <v>11181</v>
          </cell>
          <cell r="BD42" t="str">
            <v>11182</v>
          </cell>
          <cell r="BE42" t="str">
            <v>11183</v>
          </cell>
          <cell r="BF42" t="str">
            <v>11453</v>
          </cell>
          <cell r="BG42" t="str">
            <v>11625</v>
          </cell>
          <cell r="BH42" t="str">
            <v>25017</v>
          </cell>
          <cell r="BI42" t="str">
            <v>10717</v>
          </cell>
          <cell r="BJ42" t="str">
            <v>10718</v>
          </cell>
          <cell r="BK42" t="str">
            <v>11184</v>
          </cell>
          <cell r="BL42" t="str">
            <v>11185</v>
          </cell>
          <cell r="BM42" t="str">
            <v>11186</v>
          </cell>
          <cell r="BN42" t="str">
            <v>11187</v>
          </cell>
          <cell r="BO42" t="str">
            <v>11188</v>
          </cell>
          <cell r="BP42" t="str">
            <v>40744</v>
          </cell>
          <cell r="BQ42" t="str">
            <v>40745</v>
          </cell>
          <cell r="BR42" t="str">
            <v>10715</v>
          </cell>
          <cell r="BS42" t="str">
            <v>11166</v>
          </cell>
          <cell r="BT42" t="str">
            <v>11167</v>
          </cell>
          <cell r="BU42" t="str">
            <v>11169</v>
          </cell>
          <cell r="BV42" t="str">
            <v>11170</v>
          </cell>
          <cell r="BW42" t="str">
            <v>11171</v>
          </cell>
          <cell r="BX42" t="str">
            <v>11172</v>
          </cell>
          <cell r="BY42" t="str">
            <v>11452</v>
          </cell>
          <cell r="BZ42" t="str">
            <v>10719</v>
          </cell>
          <cell r="CA42" t="str">
            <v>11203</v>
          </cell>
          <cell r="CB42" t="str">
            <v>11204</v>
          </cell>
          <cell r="CC42" t="str">
            <v>11205</v>
          </cell>
          <cell r="CD42" t="str">
            <v>11206</v>
          </cell>
          <cell r="CE42" t="str">
            <v>11207</v>
          </cell>
          <cell r="CF42" t="str">
            <v>11208</v>
          </cell>
          <cell r="CG42" t="str">
            <v>10672</v>
          </cell>
          <cell r="CH42" t="str">
            <v>11146</v>
          </cell>
          <cell r="CI42" t="str">
            <v>11147</v>
          </cell>
          <cell r="CJ42" t="str">
            <v>11148</v>
          </cell>
          <cell r="CK42" t="str">
            <v>11149</v>
          </cell>
          <cell r="CL42" t="str">
            <v>11150</v>
          </cell>
          <cell r="CM42" t="str">
            <v>11151</v>
          </cell>
          <cell r="CN42" t="str">
            <v>11152</v>
          </cell>
          <cell r="CO42" t="str">
            <v>11153</v>
          </cell>
          <cell r="CP42" t="str">
            <v>11154</v>
          </cell>
          <cell r="CQ42" t="str">
            <v>11155</v>
          </cell>
          <cell r="CR42" t="str">
            <v>11156</v>
          </cell>
          <cell r="CS42" t="str">
            <v>11157</v>
          </cell>
          <cell r="CT42" t="str">
            <v>10714</v>
          </cell>
          <cell r="CU42" t="str">
            <v>11140</v>
          </cell>
          <cell r="CV42" t="str">
            <v>11141</v>
          </cell>
          <cell r="CW42" t="str">
            <v>11142</v>
          </cell>
          <cell r="CX42" t="str">
            <v>11143</v>
          </cell>
          <cell r="CY42" t="str">
            <v>11144</v>
          </cell>
          <cell r="CZ42" t="str">
            <v>11145</v>
          </cell>
          <cell r="DA42" t="str">
            <v>24956</v>
          </cell>
          <cell r="DB42" t="str">
            <v>10722</v>
          </cell>
          <cell r="DC42" t="str">
            <v>10723</v>
          </cell>
          <cell r="DD42" t="str">
            <v>11238</v>
          </cell>
          <cell r="DE42" t="str">
            <v>11239</v>
          </cell>
          <cell r="DF42" t="str">
            <v>11240</v>
          </cell>
          <cell r="DG42" t="str">
            <v>11241</v>
          </cell>
          <cell r="DH42" t="str">
            <v>11242</v>
          </cell>
          <cell r="DI42" t="str">
            <v>11243</v>
          </cell>
          <cell r="DJ42" t="str">
            <v>27443</v>
          </cell>
          <cell r="DK42" t="str">
            <v>10676</v>
          </cell>
          <cell r="DL42" t="str">
            <v>11251</v>
          </cell>
          <cell r="DM42" t="str">
            <v>11252</v>
          </cell>
          <cell r="DN42" t="str">
            <v>11253</v>
          </cell>
          <cell r="DO42" t="str">
            <v>11254</v>
          </cell>
          <cell r="DP42" t="str">
            <v>11255</v>
          </cell>
          <cell r="DQ42" t="str">
            <v>11256</v>
          </cell>
          <cell r="DR42" t="str">
            <v>11257</v>
          </cell>
          <cell r="DS42" t="str">
            <v>11455</v>
          </cell>
          <cell r="DT42" t="str">
            <v>10727</v>
          </cell>
          <cell r="DU42" t="str">
            <v>11264</v>
          </cell>
          <cell r="DV42" t="str">
            <v>11265</v>
          </cell>
          <cell r="DW42" t="str">
            <v>11266</v>
          </cell>
          <cell r="DX42" t="str">
            <v>11267</v>
          </cell>
          <cell r="DY42" t="str">
            <v>11268</v>
          </cell>
          <cell r="DZ42" t="str">
            <v>11269</v>
          </cell>
          <cell r="EA42" t="str">
            <v>11270</v>
          </cell>
          <cell r="EB42" t="str">
            <v>11271</v>
          </cell>
          <cell r="EC42" t="str">
            <v>11272</v>
          </cell>
          <cell r="ED42" t="str">
            <v>11457</v>
          </cell>
          <cell r="EE42" t="str">
            <v>10724</v>
          </cell>
          <cell r="EF42" t="str">
            <v>10725</v>
          </cell>
          <cell r="EG42" t="str">
            <v>11244</v>
          </cell>
          <cell r="EH42" t="str">
            <v>11245</v>
          </cell>
          <cell r="EI42" t="str">
            <v>11246</v>
          </cell>
          <cell r="EJ42" t="str">
            <v>11247</v>
          </cell>
          <cell r="EK42" t="str">
            <v>11248</v>
          </cell>
          <cell r="EL42" t="str">
            <v>11249</v>
          </cell>
          <cell r="EM42" t="str">
            <v>11250</v>
          </cell>
          <cell r="EN42" t="str">
            <v>10673</v>
          </cell>
          <cell r="EO42" t="str">
            <v>11158</v>
          </cell>
          <cell r="EP42" t="str">
            <v>11159</v>
          </cell>
          <cell r="EQ42" t="str">
            <v>11160</v>
          </cell>
          <cell r="ER42" t="str">
            <v>11161</v>
          </cell>
          <cell r="ES42" t="str">
            <v>11162</v>
          </cell>
          <cell r="ET42" t="str">
            <v>11163</v>
          </cell>
          <cell r="EU42" t="str">
            <v>11164</v>
          </cell>
          <cell r="EV42" t="str">
            <v>11165</v>
          </cell>
          <cell r="EW42" t="str">
            <v>10721</v>
          </cell>
          <cell r="EX42" t="str">
            <v>11228</v>
          </cell>
          <cell r="EY42" t="str">
            <v>11229</v>
          </cell>
          <cell r="EZ42" t="str">
            <v>11230</v>
          </cell>
          <cell r="FA42" t="str">
            <v>11231</v>
          </cell>
          <cell r="FB42" t="str">
            <v>11232</v>
          </cell>
          <cell r="FC42" t="str">
            <v>11233</v>
          </cell>
          <cell r="FD42" t="str">
            <v>11234</v>
          </cell>
          <cell r="FE42" t="str">
            <v>11235</v>
          </cell>
          <cell r="FF42" t="str">
            <v>11236</v>
          </cell>
          <cell r="FG42" t="str">
            <v>14135</v>
          </cell>
          <cell r="FH42" t="str">
            <v>28010</v>
          </cell>
          <cell r="FI42" t="str">
            <v>10694</v>
          </cell>
          <cell r="FJ42" t="str">
            <v>10802</v>
          </cell>
          <cell r="FK42" t="str">
            <v>10803</v>
          </cell>
          <cell r="FL42" t="str">
            <v>10804</v>
          </cell>
          <cell r="FM42" t="str">
            <v>10805</v>
          </cell>
          <cell r="FN42" t="str">
            <v>10806</v>
          </cell>
          <cell r="FO42" t="str">
            <v>27974</v>
          </cell>
          <cell r="FP42" t="str">
            <v>27975</v>
          </cell>
          <cell r="FQ42" t="str">
            <v>10675</v>
          </cell>
          <cell r="FR42" t="str">
            <v>11209</v>
          </cell>
          <cell r="FS42" t="str">
            <v>11210</v>
          </cell>
          <cell r="FT42" t="str">
            <v>11211</v>
          </cell>
          <cell r="FU42" t="str">
            <v>11212</v>
          </cell>
          <cell r="FV42" t="str">
            <v>11213</v>
          </cell>
          <cell r="FW42" t="str">
            <v>11214</v>
          </cell>
          <cell r="FX42" t="str">
            <v>11215</v>
          </cell>
          <cell r="FY42" t="str">
            <v>11216</v>
          </cell>
          <cell r="FZ42" t="str">
            <v>11217</v>
          </cell>
          <cell r="GA42" t="str">
            <v>11218</v>
          </cell>
          <cell r="GB42" t="str">
            <v>11219</v>
          </cell>
          <cell r="GC42" t="str">
            <v>11220</v>
          </cell>
          <cell r="GD42" t="str">
            <v>40749</v>
          </cell>
          <cell r="GE42" t="str">
            <v>10726</v>
          </cell>
          <cell r="GF42" t="str">
            <v>11258</v>
          </cell>
          <cell r="GG42" t="str">
            <v>11259</v>
          </cell>
          <cell r="GH42" t="str">
            <v>11260</v>
          </cell>
          <cell r="GI42" t="str">
            <v>11261</v>
          </cell>
          <cell r="GJ42" t="str">
            <v>11262</v>
          </cell>
          <cell r="GK42" t="str">
            <v>11263</v>
          </cell>
          <cell r="GL42" t="str">
            <v>11456</v>
          </cell>
          <cell r="GM42" t="str">
            <v>11631</v>
          </cell>
          <cell r="GN42" t="str">
            <v>27978</v>
          </cell>
          <cell r="GO42" t="str">
            <v>27979</v>
          </cell>
          <cell r="GP42" t="str">
            <v>27980</v>
          </cell>
          <cell r="GQ42" t="str">
            <v>10720</v>
          </cell>
          <cell r="GR42" t="str">
            <v>11221</v>
          </cell>
          <cell r="GS42" t="str">
            <v>11222</v>
          </cell>
          <cell r="GT42" t="str">
            <v>11223</v>
          </cell>
          <cell r="GU42" t="str">
            <v>11224</v>
          </cell>
          <cell r="GV42" t="str">
            <v>11225</v>
          </cell>
          <cell r="GW42" t="str">
            <v>11226</v>
          </cell>
          <cell r="GX42" t="str">
            <v>11227</v>
          </cell>
          <cell r="GY42" t="str">
            <v>10698</v>
          </cell>
          <cell r="GZ42" t="str">
            <v>10863</v>
          </cell>
          <cell r="HA42" t="str">
            <v>10864</v>
          </cell>
          <cell r="HB42" t="str">
            <v>10865</v>
          </cell>
          <cell r="HC42" t="str">
            <v>10686</v>
          </cell>
          <cell r="HD42" t="str">
            <v>10756</v>
          </cell>
          <cell r="HE42" t="str">
            <v>10757</v>
          </cell>
          <cell r="HF42" t="str">
            <v>10758</v>
          </cell>
          <cell r="HG42" t="str">
            <v>10759</v>
          </cell>
          <cell r="HH42" t="str">
            <v>10760</v>
          </cell>
          <cell r="HI42" t="str">
            <v>28875</v>
          </cell>
          <cell r="HJ42" t="str">
            <v>10687</v>
          </cell>
          <cell r="HK42" t="str">
            <v>10761</v>
          </cell>
          <cell r="HL42" t="str">
            <v>10762</v>
          </cell>
          <cell r="HM42" t="str">
            <v>10763</v>
          </cell>
          <cell r="HN42" t="str">
            <v>10764</v>
          </cell>
          <cell r="HO42" t="str">
            <v>10765</v>
          </cell>
          <cell r="HP42" t="str">
            <v>10766</v>
          </cell>
          <cell r="HQ42" t="str">
            <v>10767</v>
          </cell>
          <cell r="HR42" t="str">
            <v>10660</v>
          </cell>
          <cell r="HS42" t="str">
            <v>10688</v>
          </cell>
          <cell r="HT42" t="str">
            <v>10768</v>
          </cell>
          <cell r="HU42" t="str">
            <v>10769</v>
          </cell>
          <cell r="HV42" t="str">
            <v>10770</v>
          </cell>
          <cell r="HW42" t="str">
            <v>10771</v>
          </cell>
          <cell r="HX42" t="str">
            <v>10772</v>
          </cell>
          <cell r="HY42" t="str">
            <v>10773</v>
          </cell>
          <cell r="HZ42" t="str">
            <v>10774</v>
          </cell>
          <cell r="IA42" t="str">
            <v>10775</v>
          </cell>
          <cell r="IB42" t="str">
            <v>10776</v>
          </cell>
          <cell r="IC42" t="str">
            <v>10777</v>
          </cell>
          <cell r="ID42" t="str">
            <v>10778</v>
          </cell>
          <cell r="IE42" t="str">
            <v>10779</v>
          </cell>
          <cell r="IF42" t="str">
            <v>10780</v>
          </cell>
          <cell r="IG42" t="str">
            <v>10781</v>
          </cell>
          <cell r="IH42" t="str">
            <v>10690</v>
          </cell>
          <cell r="II42" t="str">
            <v>10691</v>
          </cell>
          <cell r="IJ42" t="str">
            <v>10789</v>
          </cell>
          <cell r="IK42" t="str">
            <v>10790</v>
          </cell>
          <cell r="IL42" t="str">
            <v>10791</v>
          </cell>
          <cell r="IM42" t="str">
            <v>10792</v>
          </cell>
          <cell r="IN42" t="str">
            <v>10793</v>
          </cell>
          <cell r="IO42" t="str">
            <v>10794</v>
          </cell>
          <cell r="IP42" t="str">
            <v>10795</v>
          </cell>
          <cell r="IQ42" t="str">
            <v>10796</v>
          </cell>
          <cell r="IR42" t="str">
            <v>10797</v>
          </cell>
          <cell r="IS42" t="str">
            <v>10661</v>
          </cell>
          <cell r="IT42" t="str">
            <v>10695</v>
          </cell>
          <cell r="IU42" t="str">
            <v>10807</v>
          </cell>
          <cell r="IV42" t="str">
            <v>10808</v>
          </cell>
          <cell r="IW42" t="str">
            <v>10809</v>
          </cell>
          <cell r="IX42" t="str">
            <v>10810</v>
          </cell>
          <cell r="IY42" t="str">
            <v>10811</v>
          </cell>
          <cell r="IZ42" t="str">
            <v>10812</v>
          </cell>
          <cell r="JA42" t="str">
            <v>10813</v>
          </cell>
          <cell r="JB42" t="str">
            <v>10814</v>
          </cell>
          <cell r="JC42" t="str">
            <v>10815</v>
          </cell>
          <cell r="JD42" t="str">
            <v>10816</v>
          </cell>
          <cell r="JE42" t="str">
            <v>10692</v>
          </cell>
          <cell r="JF42" t="str">
            <v>10693</v>
          </cell>
          <cell r="JG42" t="str">
            <v>10798</v>
          </cell>
          <cell r="JH42" t="str">
            <v>10799</v>
          </cell>
          <cell r="JI42" t="str">
            <v>10800</v>
          </cell>
          <cell r="JJ42" t="str">
            <v>10801</v>
          </cell>
          <cell r="JK42" t="str">
            <v>10689</v>
          </cell>
          <cell r="JL42" t="str">
            <v>10782</v>
          </cell>
          <cell r="JM42" t="str">
            <v>10784</v>
          </cell>
          <cell r="JN42" t="str">
            <v>10785</v>
          </cell>
          <cell r="JO42" t="str">
            <v>10786</v>
          </cell>
          <cell r="JP42" t="str">
            <v>10787</v>
          </cell>
          <cell r="JQ42" t="str">
            <v>10788</v>
          </cell>
          <cell r="JR42" t="str">
            <v>10731</v>
          </cell>
          <cell r="JS42" t="str">
            <v>10732</v>
          </cell>
          <cell r="JT42" t="str">
            <v>11278</v>
          </cell>
          <cell r="JU42" t="str">
            <v>11279</v>
          </cell>
          <cell r="JV42" t="str">
            <v>11280</v>
          </cell>
          <cell r="JW42" t="str">
            <v>11281</v>
          </cell>
          <cell r="JX42" t="str">
            <v>11282</v>
          </cell>
          <cell r="JY42" t="str">
            <v>11283</v>
          </cell>
          <cell r="JZ42" t="str">
            <v>11284</v>
          </cell>
          <cell r="KA42" t="str">
            <v>11285</v>
          </cell>
          <cell r="KB42" t="str">
            <v>11286</v>
          </cell>
          <cell r="KC42" t="str">
            <v>11287</v>
          </cell>
          <cell r="KD42" t="str">
            <v>11288</v>
          </cell>
          <cell r="KE42" t="str">
            <v>14136</v>
          </cell>
          <cell r="KF42" t="str">
            <v>21948</v>
          </cell>
          <cell r="KG42" t="str">
            <v>41701</v>
          </cell>
          <cell r="KH42" t="str">
            <v>10679</v>
          </cell>
          <cell r="KI42" t="str">
            <v>11297</v>
          </cell>
          <cell r="KJ42" t="str">
            <v>11298</v>
          </cell>
          <cell r="KK42" t="str">
            <v>11299</v>
          </cell>
          <cell r="KL42" t="str">
            <v>11300</v>
          </cell>
          <cell r="KM42" t="str">
            <v>11301</v>
          </cell>
          <cell r="KN42" t="str">
            <v>11302</v>
          </cell>
          <cell r="KO42" t="str">
            <v>11303</v>
          </cell>
          <cell r="KP42" t="str">
            <v>13819</v>
          </cell>
          <cell r="KQ42" t="str">
            <v>10737</v>
          </cell>
          <cell r="KR42" t="str">
            <v>11315</v>
          </cell>
          <cell r="KS42" t="str">
            <v>11316</v>
          </cell>
          <cell r="KT42" t="str">
            <v>11317</v>
          </cell>
          <cell r="KU42" t="str">
            <v>11318</v>
          </cell>
          <cell r="KV42" t="str">
            <v>11319</v>
          </cell>
          <cell r="KW42" t="str">
            <v>11320</v>
          </cell>
          <cell r="KX42" t="str">
            <v>11321</v>
          </cell>
          <cell r="KY42" t="str">
            <v>10736</v>
          </cell>
          <cell r="KZ42" t="str">
            <v>11308</v>
          </cell>
          <cell r="LA42" t="str">
            <v>11309</v>
          </cell>
          <cell r="LB42" t="str">
            <v>11310</v>
          </cell>
          <cell r="LC42" t="str">
            <v>11311</v>
          </cell>
          <cell r="LD42" t="str">
            <v>11312</v>
          </cell>
          <cell r="LE42" t="str">
            <v>11313</v>
          </cell>
          <cell r="LF42" t="str">
            <v>11314</v>
          </cell>
          <cell r="LG42" t="str">
            <v>10677</v>
          </cell>
          <cell r="LH42" t="str">
            <v>10728</v>
          </cell>
          <cell r="LI42" t="str">
            <v>10729</v>
          </cell>
          <cell r="LJ42" t="str">
            <v>10730</v>
          </cell>
          <cell r="LK42" t="str">
            <v>11273</v>
          </cell>
          <cell r="LL42" t="str">
            <v>11274</v>
          </cell>
          <cell r="LM42" t="str">
            <v>11275</v>
          </cell>
          <cell r="LN42" t="str">
            <v>11276</v>
          </cell>
          <cell r="LO42" t="str">
            <v>11277</v>
          </cell>
          <cell r="LP42" t="str">
            <v>11458</v>
          </cell>
          <cell r="LQ42" t="str">
            <v>28858</v>
          </cell>
          <cell r="LR42" t="str">
            <v>10735</v>
          </cell>
          <cell r="LS42" t="str">
            <v>11306</v>
          </cell>
          <cell r="LT42" t="str">
            <v>11307</v>
          </cell>
          <cell r="LU42" t="str">
            <v>10734</v>
          </cell>
          <cell r="LV42" t="str">
            <v>11304</v>
          </cell>
          <cell r="LW42" t="str">
            <v>10678</v>
          </cell>
          <cell r="LX42" t="str">
            <v>10733</v>
          </cell>
          <cell r="LY42" t="str">
            <v>11289</v>
          </cell>
          <cell r="LZ42" t="str">
            <v>11290</v>
          </cell>
          <cell r="MA42" t="str">
            <v>11291</v>
          </cell>
          <cell r="MB42" t="str">
            <v>11292</v>
          </cell>
          <cell r="MC42" t="str">
            <v>11293</v>
          </cell>
          <cell r="MD42" t="str">
            <v>11294</v>
          </cell>
          <cell r="ME42" t="str">
            <v>11295</v>
          </cell>
          <cell r="MF42" t="str">
            <v>11296</v>
          </cell>
          <cell r="MG42" t="str">
            <v>10664</v>
          </cell>
          <cell r="MH42" t="str">
            <v>10834</v>
          </cell>
          <cell r="MI42" t="str">
            <v>10835</v>
          </cell>
          <cell r="MJ42" t="str">
            <v>10836</v>
          </cell>
          <cell r="MK42" t="str">
            <v>10837</v>
          </cell>
          <cell r="ML42" t="str">
            <v>10838</v>
          </cell>
          <cell r="MM42" t="str">
            <v>10839</v>
          </cell>
          <cell r="MN42" t="str">
            <v>10840</v>
          </cell>
          <cell r="MO42" t="str">
            <v>10841</v>
          </cell>
          <cell r="MP42" t="str">
            <v>10842</v>
          </cell>
          <cell r="MQ42" t="str">
            <v>10843</v>
          </cell>
          <cell r="MR42" t="str">
            <v>10844</v>
          </cell>
          <cell r="MS42" t="str">
            <v>10697</v>
          </cell>
          <cell r="MT42" t="str">
            <v>10833</v>
          </cell>
          <cell r="MU42" t="str">
            <v>10850</v>
          </cell>
          <cell r="MV42" t="str">
            <v>10851</v>
          </cell>
          <cell r="MW42" t="str">
            <v>10852</v>
          </cell>
          <cell r="MX42" t="str">
            <v>10853</v>
          </cell>
          <cell r="MY42" t="str">
            <v>10854</v>
          </cell>
          <cell r="MZ42" t="str">
            <v>10855</v>
          </cell>
          <cell r="NA42" t="str">
            <v>10856</v>
          </cell>
          <cell r="NB42" t="str">
            <v>13747</v>
          </cell>
          <cell r="NC42" t="str">
            <v>31327</v>
          </cell>
          <cell r="ND42" t="str">
            <v>10662</v>
          </cell>
          <cell r="NE42" t="str">
            <v>10817</v>
          </cell>
          <cell r="NF42" t="str">
            <v>10818</v>
          </cell>
          <cell r="NG42" t="str">
            <v>10819</v>
          </cell>
          <cell r="NH42" t="str">
            <v>10820</v>
          </cell>
          <cell r="NI42" t="str">
            <v>10821</v>
          </cell>
          <cell r="NJ42" t="str">
            <v>10822</v>
          </cell>
          <cell r="NK42" t="str">
            <v>10823</v>
          </cell>
          <cell r="NL42" t="str">
            <v>10824</v>
          </cell>
          <cell r="NM42" t="str">
            <v>10825</v>
          </cell>
          <cell r="NN42" t="str">
            <v>10826</v>
          </cell>
          <cell r="NO42" t="str">
            <v>28006</v>
          </cell>
          <cell r="NP42" t="str">
            <v>10696</v>
          </cell>
          <cell r="NQ42" t="str">
            <v>10845</v>
          </cell>
          <cell r="NR42" t="str">
            <v>10846</v>
          </cell>
          <cell r="NS42" t="str">
            <v>10847</v>
          </cell>
          <cell r="NT42" t="str">
            <v>10848</v>
          </cell>
          <cell r="NU42" t="str">
            <v>10849</v>
          </cell>
          <cell r="NV42" t="str">
            <v>13816</v>
          </cell>
          <cell r="NW42" t="str">
            <v>10665</v>
          </cell>
          <cell r="NX42" t="str">
            <v>10857</v>
          </cell>
          <cell r="NY42" t="str">
            <v>10858</v>
          </cell>
          <cell r="NZ42" t="str">
            <v>10859</v>
          </cell>
          <cell r="OA42" t="str">
            <v>10860</v>
          </cell>
          <cell r="OB42" t="str">
            <v>10861</v>
          </cell>
          <cell r="OC42" t="str">
            <v>10862</v>
          </cell>
          <cell r="OD42" t="str">
            <v>10663</v>
          </cell>
          <cell r="OE42" t="str">
            <v>10827</v>
          </cell>
          <cell r="OF42" t="str">
            <v>10828</v>
          </cell>
          <cell r="OG42" t="str">
            <v>10829</v>
          </cell>
          <cell r="OH42" t="str">
            <v>10830</v>
          </cell>
          <cell r="OI42" t="str">
            <v>10831</v>
          </cell>
          <cell r="OJ42" t="str">
            <v>10832</v>
          </cell>
          <cell r="OK42" t="str">
            <v>22734</v>
          </cell>
          <cell r="OL42" t="str">
            <v>23962</v>
          </cell>
          <cell r="OM42" t="str">
            <v>10685</v>
          </cell>
          <cell r="ON42" t="str">
            <v>10752</v>
          </cell>
          <cell r="OO42" t="str">
            <v>10753</v>
          </cell>
          <cell r="OP42" t="str">
            <v>10754</v>
          </cell>
          <cell r="OQ42" t="str">
            <v>10755</v>
          </cell>
          <cell r="OR42" t="str">
            <v>28785</v>
          </cell>
          <cell r="OS42" t="str">
            <v>10699</v>
          </cell>
          <cell r="OT42" t="str">
            <v>10866</v>
          </cell>
          <cell r="OU42" t="str">
            <v>10867</v>
          </cell>
          <cell r="OV42" t="str">
            <v>10868</v>
          </cell>
          <cell r="OW42" t="str">
            <v>10869</v>
          </cell>
          <cell r="OX42" t="str">
            <v>10870</v>
          </cell>
          <cell r="OY42" t="str">
            <v>13817</v>
          </cell>
          <cell r="OZ42" t="str">
            <v>28849</v>
          </cell>
          <cell r="PA42" t="str">
            <v>28850</v>
          </cell>
          <cell r="PB42" t="str">
            <v>10709</v>
          </cell>
          <cell r="PC42" t="str">
            <v>11077</v>
          </cell>
          <cell r="PD42" t="str">
            <v>11078</v>
          </cell>
          <cell r="PE42" t="str">
            <v>11079</v>
          </cell>
          <cell r="PF42" t="str">
            <v>11080</v>
          </cell>
          <cell r="PG42" t="str">
            <v>11081</v>
          </cell>
          <cell r="PH42" t="str">
            <v>11082</v>
          </cell>
          <cell r="PI42" t="str">
            <v>11083</v>
          </cell>
          <cell r="PJ42" t="str">
            <v>11084</v>
          </cell>
          <cell r="PK42" t="str">
            <v>11085</v>
          </cell>
          <cell r="PL42" t="str">
            <v>11086</v>
          </cell>
          <cell r="PM42" t="str">
            <v>11087</v>
          </cell>
          <cell r="PN42" t="str">
            <v>11088</v>
          </cell>
          <cell r="PO42" t="str">
            <v>11449</v>
          </cell>
          <cell r="PP42" t="str">
            <v>28017</v>
          </cell>
          <cell r="PQ42" t="str">
            <v>28789</v>
          </cell>
          <cell r="PR42" t="str">
            <v>28790</v>
          </cell>
          <cell r="PS42" t="str">
            <v>28791</v>
          </cell>
          <cell r="PT42" t="str">
            <v>10670</v>
          </cell>
          <cell r="PU42" t="str">
            <v>10995</v>
          </cell>
          <cell r="PV42" t="str">
            <v>10996</v>
          </cell>
          <cell r="PW42" t="str">
            <v>10997</v>
          </cell>
          <cell r="PX42" t="str">
            <v>10998</v>
          </cell>
          <cell r="PY42" t="str">
            <v>10999</v>
          </cell>
          <cell r="PZ42" t="str">
            <v>11000</v>
          </cell>
          <cell r="QA42" t="str">
            <v>11001</v>
          </cell>
          <cell r="QB42" t="str">
            <v>11002</v>
          </cell>
          <cell r="QC42" t="str">
            <v>11003</v>
          </cell>
          <cell r="QD42" t="str">
            <v>11004</v>
          </cell>
          <cell r="QE42" t="str">
            <v>11005</v>
          </cell>
          <cell r="QF42" t="str">
            <v>11006</v>
          </cell>
          <cell r="QG42" t="str">
            <v>11007</v>
          </cell>
          <cell r="QH42" t="str">
            <v>11008</v>
          </cell>
          <cell r="QI42" t="str">
            <v>11009</v>
          </cell>
          <cell r="QJ42" t="str">
            <v>11010</v>
          </cell>
          <cell r="QK42" t="str">
            <v>11011</v>
          </cell>
          <cell r="QL42" t="str">
            <v>11012</v>
          </cell>
          <cell r="QM42" t="str">
            <v>11445</v>
          </cell>
          <cell r="QN42" t="str">
            <v>12275</v>
          </cell>
          <cell r="QO42" t="str">
            <v>14132</v>
          </cell>
          <cell r="QP42" t="str">
            <v>77649</v>
          </cell>
          <cell r="QQ42" t="str">
            <v>77650</v>
          </cell>
          <cell r="QR42" t="str">
            <v>77651</v>
          </cell>
          <cell r="QS42" t="str">
            <v>77652</v>
          </cell>
          <cell r="QT42" t="str">
            <v>10707</v>
          </cell>
          <cell r="QU42" t="str">
            <v>11051</v>
          </cell>
          <cell r="QV42" t="str">
            <v>11052</v>
          </cell>
          <cell r="QW42" t="str">
            <v>11053</v>
          </cell>
          <cell r="QX42" t="str">
            <v>11054</v>
          </cell>
          <cell r="QY42" t="str">
            <v>11055</v>
          </cell>
          <cell r="QZ42" t="str">
            <v>11056</v>
          </cell>
          <cell r="RA42" t="str">
            <v>11057</v>
          </cell>
          <cell r="RB42" t="str">
            <v>11058</v>
          </cell>
          <cell r="RC42" t="str">
            <v>11059</v>
          </cell>
          <cell r="RD42" t="str">
            <v>11060</v>
          </cell>
          <cell r="RE42" t="str">
            <v>24704</v>
          </cell>
          <cell r="RF42" t="str">
            <v>28843</v>
          </cell>
          <cell r="RG42" t="str">
            <v>10708</v>
          </cell>
          <cell r="RH42" t="str">
            <v>11061</v>
          </cell>
          <cell r="RI42" t="str">
            <v>11062</v>
          </cell>
          <cell r="RJ42" t="str">
            <v>11063</v>
          </cell>
          <cell r="RK42" t="str">
            <v>11064</v>
          </cell>
          <cell r="RL42" t="str">
            <v>11065</v>
          </cell>
          <cell r="RM42" t="str">
            <v>11066</v>
          </cell>
          <cell r="RN42" t="str">
            <v>11067</v>
          </cell>
          <cell r="RO42" t="str">
            <v>11068</v>
          </cell>
          <cell r="RP42" t="str">
            <v>11069</v>
          </cell>
          <cell r="RQ42" t="str">
            <v>11070</v>
          </cell>
          <cell r="RR42" t="str">
            <v>11071</v>
          </cell>
          <cell r="RS42" t="str">
            <v>11072</v>
          </cell>
          <cell r="RT42" t="str">
            <v>11073</v>
          </cell>
          <cell r="RU42" t="str">
            <v>11074</v>
          </cell>
          <cell r="RV42" t="str">
            <v>11075</v>
          </cell>
          <cell r="RW42" t="str">
            <v>11076</v>
          </cell>
          <cell r="RX42" t="str">
            <v>27988</v>
          </cell>
          <cell r="RY42" t="str">
            <v>27989</v>
          </cell>
          <cell r="RZ42" t="str">
            <v>27990</v>
          </cell>
          <cell r="SA42" t="str">
            <v>10711</v>
          </cell>
          <cell r="SB42" t="str">
            <v>11104</v>
          </cell>
          <cell r="SC42" t="str">
            <v>11105</v>
          </cell>
          <cell r="SD42" t="str">
            <v>11106</v>
          </cell>
          <cell r="SE42" t="str">
            <v>11107</v>
          </cell>
          <cell r="SF42" t="str">
            <v>11108</v>
          </cell>
          <cell r="SG42" t="str">
            <v>11109</v>
          </cell>
          <cell r="SH42" t="str">
            <v>11110</v>
          </cell>
          <cell r="SI42" t="str">
            <v>11111</v>
          </cell>
          <cell r="SJ42" t="str">
            <v>11112</v>
          </cell>
          <cell r="SK42" t="str">
            <v>11451</v>
          </cell>
          <cell r="SL42" t="str">
            <v>40840</v>
          </cell>
          <cell r="SM42" t="str">
            <v>11040</v>
          </cell>
          <cell r="SN42" t="str">
            <v>11041</v>
          </cell>
          <cell r="SO42" t="str">
            <v>11043</v>
          </cell>
          <cell r="SP42" t="str">
            <v>11046</v>
          </cell>
          <cell r="SQ42" t="str">
            <v>11047</v>
          </cell>
          <cell r="SR42" t="str">
            <v>11048</v>
          </cell>
          <cell r="SS42" t="str">
            <v>11049</v>
          </cell>
          <cell r="ST42" t="str">
            <v>11050</v>
          </cell>
          <cell r="SU42" t="str">
            <v>10705</v>
          </cell>
          <cell r="SV42" t="str">
            <v>11030</v>
          </cell>
          <cell r="SW42" t="str">
            <v>11031</v>
          </cell>
          <cell r="SX42" t="str">
            <v>11032</v>
          </cell>
          <cell r="SY42" t="str">
            <v>11033</v>
          </cell>
          <cell r="SZ42" t="str">
            <v>11034</v>
          </cell>
          <cell r="TA42" t="str">
            <v>11035</v>
          </cell>
          <cell r="TB42" t="str">
            <v>11036</v>
          </cell>
          <cell r="TC42" t="str">
            <v>11037</v>
          </cell>
          <cell r="TD42" t="str">
            <v>11038</v>
          </cell>
          <cell r="TE42" t="str">
            <v>11039</v>
          </cell>
          <cell r="TF42" t="str">
            <v>11447</v>
          </cell>
          <cell r="TG42" t="str">
            <v>14133</v>
          </cell>
          <cell r="TH42" t="str">
            <v>28861</v>
          </cell>
          <cell r="TI42" t="str">
            <v>10710</v>
          </cell>
          <cell r="TJ42" t="str">
            <v>11089</v>
          </cell>
          <cell r="TK42" t="str">
            <v>11090</v>
          </cell>
          <cell r="TL42" t="str">
            <v>11091</v>
          </cell>
          <cell r="TM42" t="str">
            <v>11092</v>
          </cell>
          <cell r="TN42" t="str">
            <v>11093</v>
          </cell>
          <cell r="TO42" t="str">
            <v>11094</v>
          </cell>
          <cell r="TP42" t="str">
            <v>11095</v>
          </cell>
          <cell r="TQ42" t="str">
            <v>11096</v>
          </cell>
          <cell r="TR42" t="str">
            <v>11097</v>
          </cell>
          <cell r="TS42" t="str">
            <v>11098</v>
          </cell>
          <cell r="TT42" t="str">
            <v>11099</v>
          </cell>
          <cell r="TU42" t="str">
            <v>11100</v>
          </cell>
          <cell r="TV42" t="str">
            <v>11101</v>
          </cell>
          <cell r="TW42" t="str">
            <v>11102</v>
          </cell>
          <cell r="TX42" t="str">
            <v>11103</v>
          </cell>
          <cell r="TY42" t="str">
            <v>11450</v>
          </cell>
          <cell r="TZ42" t="str">
            <v>21323</v>
          </cell>
          <cell r="UA42" t="str">
            <v>10706</v>
          </cell>
          <cell r="UB42" t="str">
            <v>11042</v>
          </cell>
          <cell r="UC42" t="str">
            <v>11044</v>
          </cell>
          <cell r="UD42" t="str">
            <v>11045</v>
          </cell>
          <cell r="UE42" t="str">
            <v>11448</v>
          </cell>
          <cell r="UF42" t="str">
            <v>21356</v>
          </cell>
          <cell r="UG42" t="str">
            <v>28778</v>
          </cell>
          <cell r="UH42" t="str">
            <v>28811</v>
          </cell>
          <cell r="UI42" t="str">
            <v>28815</v>
          </cell>
          <cell r="UJ42" t="str">
            <v>10704</v>
          </cell>
          <cell r="UK42" t="str">
            <v>10991</v>
          </cell>
          <cell r="UL42" t="str">
            <v>10992</v>
          </cell>
          <cell r="UM42" t="str">
            <v>10993</v>
          </cell>
          <cell r="UN42" t="str">
            <v>10994</v>
          </cell>
          <cell r="UO42" t="str">
            <v>23367</v>
          </cell>
          <cell r="UP42" t="str">
            <v>10671</v>
          </cell>
          <cell r="UQ42" t="str">
            <v>11013</v>
          </cell>
          <cell r="UR42" t="str">
            <v>11014</v>
          </cell>
          <cell r="US42" t="str">
            <v>11015</v>
          </cell>
          <cell r="UT42" t="str">
            <v>11016</v>
          </cell>
          <cell r="UU42" t="str">
            <v>11017</v>
          </cell>
          <cell r="UV42" t="str">
            <v>11018</v>
          </cell>
          <cell r="UW42" t="str">
            <v>11019</v>
          </cell>
          <cell r="UX42" t="str">
            <v>11020</v>
          </cell>
          <cell r="UY42" t="str">
            <v>11021</v>
          </cell>
          <cell r="UZ42" t="str">
            <v>11022</v>
          </cell>
          <cell r="VA42" t="str">
            <v>11023</v>
          </cell>
          <cell r="VB42" t="str">
            <v>11024</v>
          </cell>
          <cell r="VC42" t="str">
            <v>11025</v>
          </cell>
          <cell r="VD42" t="str">
            <v>11026</v>
          </cell>
          <cell r="VE42" t="str">
            <v>11027</v>
          </cell>
          <cell r="VF42" t="str">
            <v>11028</v>
          </cell>
          <cell r="VG42" t="str">
            <v>11029</v>
          </cell>
          <cell r="VH42" t="str">
            <v>11446</v>
          </cell>
          <cell r="VI42" t="str">
            <v>25058</v>
          </cell>
          <cell r="VJ42" t="str">
            <v>25059</v>
          </cell>
          <cell r="VK42" t="str">
            <v>04007</v>
          </cell>
          <cell r="VL42" t="str">
            <v>10702</v>
          </cell>
          <cell r="VM42" t="str">
            <v>10970</v>
          </cell>
          <cell r="VN42" t="str">
            <v>10971</v>
          </cell>
          <cell r="VO42" t="str">
            <v>10972</v>
          </cell>
          <cell r="VP42" t="str">
            <v>10973</v>
          </cell>
          <cell r="VQ42" t="str">
            <v>10974</v>
          </cell>
          <cell r="VR42" t="str">
            <v>10975</v>
          </cell>
          <cell r="VS42" t="str">
            <v>10976</v>
          </cell>
          <cell r="VT42" t="str">
            <v>10977</v>
          </cell>
          <cell r="VU42" t="str">
            <v>10978</v>
          </cell>
          <cell r="VV42" t="str">
            <v>10979</v>
          </cell>
          <cell r="VW42" t="str">
            <v>10980</v>
          </cell>
          <cell r="VX42" t="str">
            <v>10981</v>
          </cell>
          <cell r="VY42" t="str">
            <v>10982</v>
          </cell>
          <cell r="VZ42" t="str">
            <v>10983</v>
          </cell>
          <cell r="WA42" t="str">
            <v>10666</v>
          </cell>
          <cell r="WB42" t="str">
            <v>10871</v>
          </cell>
          <cell r="WC42" t="str">
            <v>10872</v>
          </cell>
          <cell r="WD42" t="str">
            <v>10873</v>
          </cell>
          <cell r="WE42" t="str">
            <v>10874</v>
          </cell>
          <cell r="WF42" t="str">
            <v>10875</v>
          </cell>
          <cell r="WG42" t="str">
            <v>10876</v>
          </cell>
          <cell r="WH42" t="str">
            <v>10877</v>
          </cell>
          <cell r="WI42" t="str">
            <v>10878</v>
          </cell>
          <cell r="WJ42" t="str">
            <v>10879</v>
          </cell>
          <cell r="WK42" t="str">
            <v>10880</v>
          </cell>
          <cell r="WL42" t="str">
            <v>10881</v>
          </cell>
          <cell r="WM42" t="str">
            <v>10882</v>
          </cell>
          <cell r="WN42" t="str">
            <v>10883</v>
          </cell>
          <cell r="WO42" t="str">
            <v>10884</v>
          </cell>
          <cell r="WP42" t="str">
            <v>10885</v>
          </cell>
          <cell r="WQ42" t="str">
            <v>10886</v>
          </cell>
          <cell r="WR42" t="str">
            <v>10887</v>
          </cell>
          <cell r="WS42" t="str">
            <v>10888</v>
          </cell>
          <cell r="WT42" t="str">
            <v>10889</v>
          </cell>
          <cell r="WU42" t="str">
            <v>10890</v>
          </cell>
          <cell r="WV42" t="str">
            <v>10891</v>
          </cell>
          <cell r="WW42" t="str">
            <v>10892</v>
          </cell>
          <cell r="WX42" t="str">
            <v>10893</v>
          </cell>
          <cell r="WY42" t="str">
            <v>10894</v>
          </cell>
          <cell r="WZ42" t="str">
            <v>11602</v>
          </cell>
          <cell r="XA42" t="str">
            <v>11608</v>
          </cell>
          <cell r="XB42" t="str">
            <v>22456</v>
          </cell>
          <cell r="XC42" t="str">
            <v>23839</v>
          </cell>
          <cell r="XD42" t="str">
            <v>24692</v>
          </cell>
          <cell r="XE42" t="str">
            <v>27839</v>
          </cell>
          <cell r="XF42" t="str">
            <v>27840</v>
          </cell>
          <cell r="XG42" t="str">
            <v>27841</v>
          </cell>
          <cell r="XH42" t="str">
            <v>10667</v>
          </cell>
          <cell r="XI42" t="str">
            <v>10895</v>
          </cell>
          <cell r="XJ42" t="str">
            <v>10896</v>
          </cell>
          <cell r="XK42" t="str">
            <v>10897</v>
          </cell>
          <cell r="XL42" t="str">
            <v>10898</v>
          </cell>
          <cell r="XM42" t="str">
            <v>10899</v>
          </cell>
          <cell r="XN42" t="str">
            <v>10900</v>
          </cell>
          <cell r="XO42" t="str">
            <v>10901</v>
          </cell>
          <cell r="XP42" t="str">
            <v>10902</v>
          </cell>
          <cell r="XQ42" t="str">
            <v>10904</v>
          </cell>
          <cell r="XR42" t="str">
            <v>10905</v>
          </cell>
          <cell r="XS42" t="str">
            <v>10906</v>
          </cell>
          <cell r="XT42" t="str">
            <v>10907</v>
          </cell>
          <cell r="XU42" t="str">
            <v>10908</v>
          </cell>
          <cell r="XV42" t="str">
            <v>10909</v>
          </cell>
          <cell r="XW42" t="str">
            <v>10910</v>
          </cell>
          <cell r="XX42" t="str">
            <v>10911</v>
          </cell>
          <cell r="XY42" t="str">
            <v>10912</v>
          </cell>
          <cell r="XZ42" t="str">
            <v>10913</v>
          </cell>
          <cell r="YA42" t="str">
            <v>10914</v>
          </cell>
          <cell r="YB42" t="str">
            <v>11619</v>
          </cell>
          <cell r="YC42" t="str">
            <v>23578</v>
          </cell>
          <cell r="YD42" t="str">
            <v>28020</v>
          </cell>
          <cell r="YE42" t="str">
            <v>10668</v>
          </cell>
          <cell r="YF42" t="str">
            <v>10915</v>
          </cell>
          <cell r="YG42" t="str">
            <v>10916</v>
          </cell>
          <cell r="YH42" t="str">
            <v>10917</v>
          </cell>
          <cell r="YI42" t="str">
            <v>10918</v>
          </cell>
          <cell r="YJ42" t="str">
            <v>10919</v>
          </cell>
          <cell r="YK42" t="str">
            <v>10920</v>
          </cell>
          <cell r="YL42" t="str">
            <v>10921</v>
          </cell>
          <cell r="YM42" t="str">
            <v>10922</v>
          </cell>
          <cell r="YN42" t="str">
            <v>10923</v>
          </cell>
          <cell r="YO42" t="str">
            <v>10924</v>
          </cell>
          <cell r="YP42" t="str">
            <v>10925</v>
          </cell>
          <cell r="YQ42" t="str">
            <v>10926</v>
          </cell>
          <cell r="YR42" t="str">
            <v>22302</v>
          </cell>
          <cell r="YS42" t="str">
            <v>27842</v>
          </cell>
          <cell r="YT42" t="str">
            <v>27843</v>
          </cell>
          <cell r="YU42" t="str">
            <v>27844</v>
          </cell>
          <cell r="YV42" t="str">
            <v>10712</v>
          </cell>
          <cell r="YW42" t="str">
            <v>11113</v>
          </cell>
          <cell r="YX42" t="str">
            <v>11114</v>
          </cell>
          <cell r="YY42" t="str">
            <v>11115</v>
          </cell>
          <cell r="YZ42" t="str">
            <v>11116</v>
          </cell>
          <cell r="ZA42" t="str">
            <v>11117</v>
          </cell>
          <cell r="ZB42" t="str">
            <v>11118</v>
          </cell>
          <cell r="ZC42" t="str">
            <v>10701</v>
          </cell>
          <cell r="ZD42" t="str">
            <v>10963</v>
          </cell>
          <cell r="ZE42" t="str">
            <v>10964</v>
          </cell>
          <cell r="ZF42" t="str">
            <v>10965</v>
          </cell>
          <cell r="ZG42" t="str">
            <v>10966</v>
          </cell>
          <cell r="ZH42" t="str">
            <v>10967</v>
          </cell>
          <cell r="ZI42" t="str">
            <v>10968</v>
          </cell>
          <cell r="ZJ42" t="str">
            <v>10969</v>
          </cell>
          <cell r="ZK42" t="str">
            <v>11444</v>
          </cell>
          <cell r="ZL42" t="str">
            <v>10700</v>
          </cell>
          <cell r="ZM42" t="str">
            <v>10927</v>
          </cell>
          <cell r="ZN42" t="str">
            <v>10928</v>
          </cell>
          <cell r="ZO42" t="str">
            <v>10929</v>
          </cell>
          <cell r="ZP42" t="str">
            <v>10930</v>
          </cell>
          <cell r="ZQ42" t="str">
            <v>10931</v>
          </cell>
          <cell r="ZR42" t="str">
            <v>10932</v>
          </cell>
          <cell r="ZS42" t="str">
            <v>10933</v>
          </cell>
          <cell r="ZT42" t="str">
            <v>10934</v>
          </cell>
          <cell r="ZU42" t="str">
            <v>10935</v>
          </cell>
          <cell r="ZV42" t="str">
            <v>10936</v>
          </cell>
          <cell r="ZW42" t="str">
            <v>10937</v>
          </cell>
          <cell r="ZX42" t="str">
            <v>10938</v>
          </cell>
          <cell r="ZY42" t="str">
            <v>10939</v>
          </cell>
          <cell r="ZZ42" t="str">
            <v>10940</v>
          </cell>
          <cell r="AAA42" t="str">
            <v>10941</v>
          </cell>
          <cell r="AAB42" t="str">
            <v>10942</v>
          </cell>
          <cell r="AAC42" t="str">
            <v>10943</v>
          </cell>
          <cell r="AAD42" t="str">
            <v>23125</v>
          </cell>
          <cell r="AAE42" t="str">
            <v>28014</v>
          </cell>
          <cell r="AAF42" t="str">
            <v>28015</v>
          </cell>
          <cell r="AAG42" t="str">
            <v>28016</v>
          </cell>
          <cell r="AAH42" t="str">
            <v>10703</v>
          </cell>
          <cell r="AAI42" t="str">
            <v>10985</v>
          </cell>
          <cell r="AAJ42" t="str">
            <v>10986</v>
          </cell>
          <cell r="AAK42" t="str">
            <v>10987</v>
          </cell>
          <cell r="AAL42" t="str">
            <v>10988</v>
          </cell>
          <cell r="AAM42" t="str">
            <v>10989</v>
          </cell>
          <cell r="AAN42" t="str">
            <v>10990</v>
          </cell>
          <cell r="AAO42" t="str">
            <v>10669</v>
          </cell>
          <cell r="AAP42" t="str">
            <v>10944</v>
          </cell>
          <cell r="AAQ42" t="str">
            <v>10945</v>
          </cell>
          <cell r="AAR42" t="str">
            <v>10946</v>
          </cell>
          <cell r="AAS42" t="str">
            <v>10947</v>
          </cell>
          <cell r="AAT42" t="str">
            <v>10948</v>
          </cell>
          <cell r="AAU42" t="str">
            <v>10949</v>
          </cell>
          <cell r="AAV42" t="str">
            <v>10950</v>
          </cell>
          <cell r="AAW42" t="str">
            <v>10951</v>
          </cell>
          <cell r="AAX42" t="str">
            <v>10952</v>
          </cell>
          <cell r="AAY42" t="str">
            <v>10953</v>
          </cell>
          <cell r="AAZ42" t="str">
            <v>10954</v>
          </cell>
          <cell r="ABA42" t="str">
            <v>10956</v>
          </cell>
          <cell r="ABB42" t="str">
            <v>10957</v>
          </cell>
          <cell r="ABC42" t="str">
            <v>10958</v>
          </cell>
          <cell r="ABD42" t="str">
            <v>10959</v>
          </cell>
          <cell r="ABE42" t="str">
            <v>10960</v>
          </cell>
          <cell r="ABF42" t="str">
            <v>10961</v>
          </cell>
          <cell r="ABG42" t="str">
            <v>10962</v>
          </cell>
          <cell r="ABH42" t="str">
            <v>11443</v>
          </cell>
          <cell r="ABI42" t="str">
            <v>21984</v>
          </cell>
          <cell r="ABJ42" t="str">
            <v>24032</v>
          </cell>
          <cell r="ABK42" t="str">
            <v>24821</v>
          </cell>
          <cell r="ABL42" t="str">
            <v>27967</v>
          </cell>
          <cell r="ABM42" t="str">
            <v>27968</v>
          </cell>
          <cell r="ABN42" t="str">
            <v>27976</v>
          </cell>
          <cell r="ABO42" t="str">
            <v>10738</v>
          </cell>
          <cell r="ABP42" t="str">
            <v>11340</v>
          </cell>
          <cell r="ABQ42" t="str">
            <v>11341</v>
          </cell>
          <cell r="ABR42" t="str">
            <v>11342</v>
          </cell>
          <cell r="ABS42" t="str">
            <v>11343</v>
          </cell>
          <cell r="ABT42" t="str">
            <v>11344</v>
          </cell>
          <cell r="ABU42" t="str">
            <v>11345</v>
          </cell>
          <cell r="ABV42" t="str">
            <v>11346</v>
          </cell>
          <cell r="ABW42" t="str">
            <v>77753</v>
          </cell>
          <cell r="ABX42" t="str">
            <v>10744</v>
          </cell>
          <cell r="ABY42" t="str">
            <v>11375</v>
          </cell>
          <cell r="ABZ42" t="str">
            <v>11376</v>
          </cell>
          <cell r="ACA42" t="str">
            <v>11377</v>
          </cell>
          <cell r="ACB42" t="str">
            <v>11378</v>
          </cell>
          <cell r="ACC42" t="str">
            <v>11379</v>
          </cell>
          <cell r="ACD42" t="str">
            <v>11380</v>
          </cell>
          <cell r="ACE42" t="str">
            <v>11381</v>
          </cell>
          <cell r="ACF42" t="str">
            <v>11382</v>
          </cell>
          <cell r="ACG42" t="str">
            <v>11383</v>
          </cell>
          <cell r="ACH42" t="str">
            <v>11385</v>
          </cell>
          <cell r="ACI42" t="str">
            <v>10680</v>
          </cell>
          <cell r="ACJ42" t="str">
            <v>11322</v>
          </cell>
          <cell r="ACK42" t="str">
            <v>11324</v>
          </cell>
          <cell r="ACL42" t="str">
            <v>11325</v>
          </cell>
          <cell r="ACM42" t="str">
            <v>11326</v>
          </cell>
          <cell r="ACN42" t="str">
            <v>11327</v>
          </cell>
          <cell r="ACO42" t="str">
            <v>11328</v>
          </cell>
          <cell r="ACP42" t="str">
            <v>11329</v>
          </cell>
          <cell r="ACQ42" t="str">
            <v>11330</v>
          </cell>
          <cell r="ACR42" t="str">
            <v>11331</v>
          </cell>
          <cell r="ACS42" t="str">
            <v>11332</v>
          </cell>
          <cell r="ACT42" t="str">
            <v>11333</v>
          </cell>
          <cell r="ACU42" t="str">
            <v>11334</v>
          </cell>
          <cell r="ACV42" t="str">
            <v>11335</v>
          </cell>
          <cell r="ACW42" t="str">
            <v>11336</v>
          </cell>
          <cell r="ACX42" t="str">
            <v>11337</v>
          </cell>
          <cell r="ACY42" t="str">
            <v>11338</v>
          </cell>
          <cell r="ACZ42" t="str">
            <v>11339</v>
          </cell>
          <cell r="ADA42" t="str">
            <v>11660</v>
          </cell>
          <cell r="ADB42" t="str">
            <v>40491</v>
          </cell>
          <cell r="ADC42" t="str">
            <v>40492</v>
          </cell>
          <cell r="ADD42" t="str">
            <v>40742</v>
          </cell>
          <cell r="ADE42" t="str">
            <v>40743</v>
          </cell>
          <cell r="ADF42" t="str">
            <v>10739</v>
          </cell>
          <cell r="ADG42" t="str">
            <v>10740</v>
          </cell>
          <cell r="ADH42" t="str">
            <v>11347</v>
          </cell>
          <cell r="ADI42" t="str">
            <v>11348</v>
          </cell>
          <cell r="ADJ42" t="str">
            <v>11349</v>
          </cell>
          <cell r="ADK42" t="str">
            <v>11350</v>
          </cell>
          <cell r="ADL42" t="str">
            <v>11352</v>
          </cell>
          <cell r="ADM42" t="str">
            <v>11353</v>
          </cell>
          <cell r="ADN42" t="str">
            <v>11354</v>
          </cell>
          <cell r="ADO42" t="str">
            <v>10741</v>
          </cell>
          <cell r="ADP42" t="str">
            <v>11355</v>
          </cell>
          <cell r="ADQ42" t="str">
            <v>11356</v>
          </cell>
          <cell r="ADR42" t="str">
            <v>41436</v>
          </cell>
          <cell r="ADS42" t="str">
            <v>10743</v>
          </cell>
          <cell r="ADT42" t="str">
            <v>11323</v>
          </cell>
          <cell r="ADU42" t="str">
            <v>11372</v>
          </cell>
          <cell r="ADV42" t="str">
            <v>11373</v>
          </cell>
          <cell r="ADW42" t="str">
            <v>11374</v>
          </cell>
          <cell r="ADX42" t="str">
            <v>09192</v>
          </cell>
          <cell r="ADY42" t="str">
            <v>10681</v>
          </cell>
          <cell r="ADZ42" t="str">
            <v>10742</v>
          </cell>
          <cell r="AEA42" t="str">
            <v>11357</v>
          </cell>
          <cell r="AEB42" t="str">
            <v>11358</v>
          </cell>
          <cell r="AEC42" t="str">
            <v>11359</v>
          </cell>
          <cell r="AED42" t="str">
            <v>11360</v>
          </cell>
          <cell r="AEE42" t="str">
            <v>11361</v>
          </cell>
          <cell r="AEF42" t="str">
            <v>11362</v>
          </cell>
          <cell r="AEG42" t="str">
            <v>11363</v>
          </cell>
          <cell r="AEH42" t="str">
            <v>11364</v>
          </cell>
          <cell r="AEI42" t="str">
            <v>11365</v>
          </cell>
          <cell r="AEJ42" t="str">
            <v>11366</v>
          </cell>
          <cell r="AEK42" t="str">
            <v>11367</v>
          </cell>
          <cell r="AEL42" t="str">
            <v>11368</v>
          </cell>
          <cell r="AEM42" t="str">
            <v>11369</v>
          </cell>
          <cell r="AEN42" t="str">
            <v>11370</v>
          </cell>
          <cell r="AEO42" t="str">
            <v>11371</v>
          </cell>
          <cell r="AEP42" t="str">
            <v>11459</v>
          </cell>
          <cell r="AEQ42" t="str">
            <v>11654</v>
          </cell>
          <cell r="AER42" t="str">
            <v>14138</v>
          </cell>
          <cell r="AES42" t="str">
            <v>10683</v>
          </cell>
          <cell r="AET42" t="str">
            <v>11407</v>
          </cell>
          <cell r="AEU42" t="str">
            <v>11408</v>
          </cell>
          <cell r="AEV42" t="str">
            <v>11409</v>
          </cell>
          <cell r="AEW42" t="str">
            <v>11410</v>
          </cell>
          <cell r="AEX42" t="str">
            <v>11411</v>
          </cell>
          <cell r="AEY42" t="str">
            <v>11412</v>
          </cell>
          <cell r="AEZ42" t="str">
            <v>11413</v>
          </cell>
          <cell r="AFA42" t="str">
            <v>14139</v>
          </cell>
          <cell r="AFB42" t="str">
            <v>28817</v>
          </cell>
          <cell r="AFC42" t="str">
            <v>10750</v>
          </cell>
          <cell r="AFD42" t="str">
            <v>10751</v>
          </cell>
          <cell r="AFE42" t="str">
            <v>11435</v>
          </cell>
          <cell r="AFF42" t="str">
            <v>11436</v>
          </cell>
          <cell r="AFG42" t="str">
            <v>11437</v>
          </cell>
          <cell r="AFH42" t="str">
            <v>11438</v>
          </cell>
          <cell r="AFI42" t="str">
            <v>11439</v>
          </cell>
          <cell r="AFJ42" t="str">
            <v>11440</v>
          </cell>
          <cell r="AFK42" t="str">
            <v>11441</v>
          </cell>
          <cell r="AFL42" t="str">
            <v>11442</v>
          </cell>
          <cell r="AFM42" t="str">
            <v>13818</v>
          </cell>
          <cell r="AFN42" t="str">
            <v>15010</v>
          </cell>
          <cell r="AFO42" t="str">
            <v>23771</v>
          </cell>
          <cell r="AFP42" t="str">
            <v>10748</v>
          </cell>
          <cell r="AFQ42" t="str">
            <v>11423</v>
          </cell>
          <cell r="AFR42" t="str">
            <v>11424</v>
          </cell>
          <cell r="AFS42" t="str">
            <v>11425</v>
          </cell>
          <cell r="AFT42" t="str">
            <v>11426</v>
          </cell>
          <cell r="AFU42" t="str">
            <v>11427</v>
          </cell>
          <cell r="AFV42" t="str">
            <v>11428</v>
          </cell>
          <cell r="AFW42" t="str">
            <v>11429</v>
          </cell>
          <cell r="AFX42" t="str">
            <v>11430</v>
          </cell>
          <cell r="AFY42" t="str">
            <v>11431</v>
          </cell>
          <cell r="AFZ42" t="str">
            <v>11460</v>
          </cell>
          <cell r="AGA42" t="str">
            <v>11464</v>
          </cell>
          <cell r="AGB42" t="str">
            <v>10747</v>
          </cell>
          <cell r="AGC42" t="str">
            <v>11414</v>
          </cell>
          <cell r="AGD42" t="str">
            <v>11415</v>
          </cell>
          <cell r="AGE42" t="str">
            <v>11416</v>
          </cell>
          <cell r="AGF42" t="str">
            <v>11417</v>
          </cell>
          <cell r="AGG42" t="str">
            <v>11418</v>
          </cell>
          <cell r="AGH42" t="str">
            <v>11419</v>
          </cell>
          <cell r="AGI42" t="str">
            <v>11420</v>
          </cell>
          <cell r="AGJ42" t="str">
            <v>11421</v>
          </cell>
          <cell r="AGK42" t="str">
            <v>11422</v>
          </cell>
          <cell r="AGL42" t="str">
            <v>24673</v>
          </cell>
          <cell r="AGM42" t="str">
            <v>10684</v>
          </cell>
          <cell r="AGN42" t="str">
            <v>10749</v>
          </cell>
          <cell r="AGO42" t="str">
            <v>11432</v>
          </cell>
          <cell r="AGP42" t="str">
            <v>11433</v>
          </cell>
          <cell r="AGQ42" t="str">
            <v>11434</v>
          </cell>
          <cell r="AGR42" t="str">
            <v>11461</v>
          </cell>
          <cell r="AGS42" t="str">
            <v>13806</v>
          </cell>
          <cell r="AGT42" t="str">
            <v>24689</v>
          </cell>
          <cell r="AGU42" t="str">
            <v>10682</v>
          </cell>
          <cell r="AGV42" t="str">
            <v>10745</v>
          </cell>
          <cell r="AGW42" t="str">
            <v>11386</v>
          </cell>
          <cell r="AGX42" t="str">
            <v>11387</v>
          </cell>
          <cell r="AGY42" t="str">
            <v>11388</v>
          </cell>
          <cell r="AGZ42" t="str">
            <v>11390</v>
          </cell>
          <cell r="AHA42" t="str">
            <v>11391</v>
          </cell>
          <cell r="AHB42" t="str">
            <v>11392</v>
          </cell>
          <cell r="AHC42" t="str">
            <v>11393</v>
          </cell>
          <cell r="AHD42" t="str">
            <v>11394</v>
          </cell>
          <cell r="AHE42" t="str">
            <v>11395</v>
          </cell>
          <cell r="AHF42" t="str">
            <v>11396</v>
          </cell>
          <cell r="AHG42" t="str">
            <v>11397</v>
          </cell>
          <cell r="AHH42" t="str">
            <v>11398</v>
          </cell>
          <cell r="AHI42" t="str">
            <v>11399</v>
          </cell>
          <cell r="AHJ42" t="str">
            <v>11400</v>
          </cell>
          <cell r="AHK42" t="str">
            <v>11401</v>
          </cell>
          <cell r="AHL42" t="str">
            <v>10746</v>
          </cell>
          <cell r="AHM42" t="str">
            <v>11402</v>
          </cell>
          <cell r="AHN42" t="str">
            <v>11403</v>
          </cell>
          <cell r="AHO42" t="str">
            <v>11404</v>
          </cell>
          <cell r="AHP42" t="str">
            <v>11405</v>
          </cell>
          <cell r="AHQ42" t="str">
            <v>11406</v>
          </cell>
          <cell r="AHR42" t="str">
            <v>28786</v>
          </cell>
        </row>
        <row r="154">
          <cell r="B154" t="str">
            <v>D01</v>
          </cell>
          <cell r="C154" t="str">
            <v>เงินกองทุน UC รอจัดสรร</v>
          </cell>
          <cell r="D154">
            <v>3493643.01</v>
          </cell>
          <cell r="E154">
            <v>4813181.83</v>
          </cell>
          <cell r="F154">
            <v>0</v>
          </cell>
          <cell r="G154">
            <v>0</v>
          </cell>
          <cell r="H154">
            <v>13901472.65</v>
          </cell>
          <cell r="I154">
            <v>0</v>
          </cell>
          <cell r="J154">
            <v>20798442.859999999</v>
          </cell>
          <cell r="K154">
            <v>6300183.2300000004</v>
          </cell>
          <cell r="L154">
            <v>2915915.61</v>
          </cell>
          <cell r="M154">
            <v>1148306.82</v>
          </cell>
          <cell r="N154">
            <v>86881.01</v>
          </cell>
          <cell r="O154">
            <v>25102.11</v>
          </cell>
          <cell r="P154">
            <v>45716405.609999999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521660.99</v>
          </cell>
          <cell r="V154">
            <v>544540.23</v>
          </cell>
          <cell r="W154">
            <v>3684157.94</v>
          </cell>
          <cell r="X154">
            <v>5530965.3499999996</v>
          </cell>
          <cell r="Y154">
            <v>8524714.4000000004</v>
          </cell>
          <cell r="Z154">
            <v>849994.06</v>
          </cell>
          <cell r="AA154">
            <v>2026010.6</v>
          </cell>
          <cell r="AB154">
            <v>1988238.43</v>
          </cell>
          <cell r="AC154">
            <v>5662539.1299999999</v>
          </cell>
          <cell r="AD154">
            <v>6178888.8300000001</v>
          </cell>
          <cell r="AE154">
            <v>3687981.75</v>
          </cell>
          <cell r="AF154">
            <v>5458902.8700000001</v>
          </cell>
          <cell r="AG154">
            <v>3159441.51</v>
          </cell>
          <cell r="AH154">
            <v>6136337.0600000005</v>
          </cell>
          <cell r="AI154">
            <v>590824.28999999992</v>
          </cell>
          <cell r="AJ154">
            <v>2578671.23</v>
          </cell>
          <cell r="AK154">
            <v>1014751.88</v>
          </cell>
          <cell r="AL154">
            <v>5563717.3400000008</v>
          </cell>
          <cell r="AM154">
            <v>2250248.7199999997</v>
          </cell>
          <cell r="AN154">
            <v>1513055.8</v>
          </cell>
          <cell r="AO154">
            <v>6229661</v>
          </cell>
          <cell r="AP154">
            <v>2075407.52</v>
          </cell>
          <cell r="AQ154">
            <v>1296352.77</v>
          </cell>
          <cell r="AR154">
            <v>2753502.48</v>
          </cell>
          <cell r="AS154">
            <v>474412.72</v>
          </cell>
          <cell r="AT154">
            <v>1670962.97</v>
          </cell>
          <cell r="AU154">
            <v>1718383.5</v>
          </cell>
          <cell r="AV154">
            <v>1631176.43</v>
          </cell>
          <cell r="AW154">
            <v>41401.56</v>
          </cell>
          <cell r="AX154">
            <v>2980175</v>
          </cell>
          <cell r="AY154">
            <v>4695419.41</v>
          </cell>
          <cell r="AZ154">
            <v>1825013.18</v>
          </cell>
          <cell r="BA154">
            <v>123230.83</v>
          </cell>
          <cell r="BB154">
            <v>771561.89999999991</v>
          </cell>
          <cell r="BC154">
            <v>619938.64</v>
          </cell>
          <cell r="BD154">
            <v>900311.41999999993</v>
          </cell>
          <cell r="BE154">
            <v>2480433.1799999997</v>
          </cell>
          <cell r="BF154">
            <v>290273.51</v>
          </cell>
          <cell r="BG154">
            <v>107046.69</v>
          </cell>
          <cell r="BH154">
            <v>2974265.41</v>
          </cell>
          <cell r="BI154">
            <v>7291127.9199999999</v>
          </cell>
          <cell r="BJ154">
            <v>2894359.3</v>
          </cell>
          <cell r="BK154">
            <v>584273.52</v>
          </cell>
          <cell r="BL154">
            <v>664659.64999999991</v>
          </cell>
          <cell r="BM154">
            <v>1120351.51</v>
          </cell>
          <cell r="BN154">
            <v>3272090.05</v>
          </cell>
          <cell r="BO154">
            <v>1668230.94</v>
          </cell>
          <cell r="BP154">
            <v>1871073.45</v>
          </cell>
          <cell r="BQ154">
            <v>1027581.86</v>
          </cell>
          <cell r="BR154">
            <v>3536832.87</v>
          </cell>
          <cell r="BS154">
            <v>3715053.4299999997</v>
          </cell>
          <cell r="BT154">
            <v>2184382.65</v>
          </cell>
          <cell r="BU154">
            <v>2515762.5300000003</v>
          </cell>
          <cell r="BV154">
            <v>1553601.65</v>
          </cell>
          <cell r="BW154">
            <v>2170133.7800000003</v>
          </cell>
          <cell r="BX154">
            <v>1173290.53</v>
          </cell>
          <cell r="BY154">
            <v>479323.94</v>
          </cell>
          <cell r="BZ154">
            <v>772229.49</v>
          </cell>
          <cell r="CA154">
            <v>1564240.69</v>
          </cell>
          <cell r="CB154">
            <v>1386126.25</v>
          </cell>
          <cell r="CC154">
            <v>1770830.1600000001</v>
          </cell>
          <cell r="CD154">
            <v>685502.71</v>
          </cell>
          <cell r="CE154">
            <v>2929125.4899999998</v>
          </cell>
          <cell r="CF154">
            <v>687001.84</v>
          </cell>
          <cell r="CG154">
            <v>12698799.789999999</v>
          </cell>
          <cell r="CH154">
            <v>1800965.22</v>
          </cell>
          <cell r="CI154">
            <v>3640128.51</v>
          </cell>
          <cell r="CJ154">
            <v>1672949.91</v>
          </cell>
          <cell r="CK154">
            <v>2739282.24</v>
          </cell>
          <cell r="CL154">
            <v>2051934.6800000002</v>
          </cell>
          <cell r="CM154">
            <v>3441620.49</v>
          </cell>
          <cell r="CN154">
            <v>4009815.0700000003</v>
          </cell>
          <cell r="CO154">
            <v>815591.14</v>
          </cell>
          <cell r="CP154">
            <v>2949750</v>
          </cell>
          <cell r="CQ154">
            <v>2293984.08</v>
          </cell>
          <cell r="CR154">
            <v>1668199.06</v>
          </cell>
          <cell r="CS154">
            <v>2174715.2199999997</v>
          </cell>
          <cell r="CT154">
            <v>6502445.1100000003</v>
          </cell>
          <cell r="CU154">
            <v>3393765.2199999997</v>
          </cell>
          <cell r="CV154">
            <v>1736953.75</v>
          </cell>
          <cell r="CW154">
            <v>3166445.19</v>
          </cell>
          <cell r="CX154">
            <v>4081497.44</v>
          </cell>
          <cell r="CY154">
            <v>491665.43</v>
          </cell>
          <cell r="CZ154">
            <v>1410048.15</v>
          </cell>
          <cell r="DA154">
            <v>14295.69</v>
          </cell>
          <cell r="DB154">
            <v>4252353.62</v>
          </cell>
          <cell r="DC154">
            <v>10822831.85</v>
          </cell>
          <cell r="DD154">
            <v>2596367.5500000003</v>
          </cell>
          <cell r="DE154">
            <v>3489627.4699999997</v>
          </cell>
          <cell r="DF154">
            <v>2177598.56</v>
          </cell>
          <cell r="DG154">
            <v>5769968.29</v>
          </cell>
          <cell r="DH154">
            <v>2681260.4500000002</v>
          </cell>
          <cell r="DI154">
            <v>0</v>
          </cell>
          <cell r="DJ154">
            <v>1199731.82</v>
          </cell>
          <cell r="DK154">
            <v>29960508.82</v>
          </cell>
          <cell r="DL154">
            <v>3759941.65</v>
          </cell>
          <cell r="DM154">
            <v>5616722.8300000001</v>
          </cell>
          <cell r="DN154">
            <v>3871115.12</v>
          </cell>
          <cell r="DO154">
            <v>4857276.41</v>
          </cell>
          <cell r="DP154">
            <v>1157365.81</v>
          </cell>
          <cell r="DQ154">
            <v>4834070.6500000004</v>
          </cell>
          <cell r="DR154">
            <v>3172569.68</v>
          </cell>
          <cell r="DS154">
            <v>8567720.9299999997</v>
          </cell>
          <cell r="DT154">
            <v>2488318.2200000002</v>
          </cell>
          <cell r="DU154">
            <v>943971.44</v>
          </cell>
          <cell r="DV154">
            <v>2194487.5</v>
          </cell>
          <cell r="DW154">
            <v>3678316.34</v>
          </cell>
          <cell r="DX154">
            <v>540205.59</v>
          </cell>
          <cell r="DY154">
            <v>0</v>
          </cell>
          <cell r="DZ154">
            <v>2182035.69</v>
          </cell>
          <cell r="EA154">
            <v>159162.82999999999</v>
          </cell>
          <cell r="EB154">
            <v>515897.73</v>
          </cell>
          <cell r="EC154">
            <v>531900.52</v>
          </cell>
          <cell r="ED154">
            <v>1181242.24</v>
          </cell>
          <cell r="EE154">
            <v>3625113.5</v>
          </cell>
          <cell r="EF154">
            <v>3975894.84</v>
          </cell>
          <cell r="EG154">
            <v>100000</v>
          </cell>
          <cell r="EH154">
            <v>5015229.09</v>
          </cell>
          <cell r="EI154">
            <v>1357471.15</v>
          </cell>
          <cell r="EJ154">
            <v>4612777.04</v>
          </cell>
          <cell r="EK154">
            <v>1883207.8399999999</v>
          </cell>
          <cell r="EL154">
            <v>1318395.8999999999</v>
          </cell>
          <cell r="EM154">
            <v>686797.28</v>
          </cell>
          <cell r="EN154">
            <v>1960863.99</v>
          </cell>
          <cell r="EO154">
            <v>255348.77</v>
          </cell>
          <cell r="EP154">
            <v>4000000</v>
          </cell>
          <cell r="EQ154">
            <v>1112549.23</v>
          </cell>
          <cell r="ER154">
            <v>187672.8</v>
          </cell>
          <cell r="ES154">
            <v>276753.52999999997</v>
          </cell>
          <cell r="ET154">
            <v>4620499.24</v>
          </cell>
          <cell r="EU154">
            <v>3382353.5300000003</v>
          </cell>
          <cell r="EV154">
            <v>922452.97</v>
          </cell>
          <cell r="EW154">
            <v>11316849.800000001</v>
          </cell>
          <cell r="EX154">
            <v>0</v>
          </cell>
          <cell r="EY154">
            <v>1448266.36</v>
          </cell>
          <cell r="EZ154">
            <v>2407027.38</v>
          </cell>
          <cell r="FA154">
            <v>2550000</v>
          </cell>
          <cell r="FB154">
            <v>3189522.23</v>
          </cell>
          <cell r="FC154">
            <v>3675008.6799999997</v>
          </cell>
          <cell r="FD154">
            <v>1570012.09</v>
          </cell>
          <cell r="FE154">
            <v>1729340.38</v>
          </cell>
          <cell r="FF154">
            <v>2240984.4300000002</v>
          </cell>
          <cell r="FG154">
            <v>167251.20000000001</v>
          </cell>
          <cell r="FH154">
            <v>1876653.29</v>
          </cell>
          <cell r="FI154">
            <v>2110229.61</v>
          </cell>
          <cell r="FJ154">
            <v>1290633.53</v>
          </cell>
          <cell r="FK154">
            <v>0</v>
          </cell>
          <cell r="FL154">
            <v>1126977.3599999999</v>
          </cell>
          <cell r="FM154">
            <v>2096411.12</v>
          </cell>
          <cell r="FN154">
            <v>110227.54</v>
          </cell>
          <cell r="FO154">
            <v>2321162.04</v>
          </cell>
          <cell r="FP154">
            <v>443676.31</v>
          </cell>
          <cell r="FQ154">
            <v>59263376.539999999</v>
          </cell>
          <cell r="FR154">
            <v>2042820.74</v>
          </cell>
          <cell r="FS154">
            <v>5881375.2699999996</v>
          </cell>
          <cell r="FT154">
            <v>2699689.54</v>
          </cell>
          <cell r="FU154">
            <v>3613784.58</v>
          </cell>
          <cell r="FV154">
            <v>1565724.69</v>
          </cell>
          <cell r="FW154">
            <v>7191473.3399999999</v>
          </cell>
          <cell r="FX154">
            <v>4375627.1400000006</v>
          </cell>
          <cell r="FY154">
            <v>1310162.43</v>
          </cell>
          <cell r="FZ154">
            <v>1734072.1400000001</v>
          </cell>
          <cell r="GA154">
            <v>7263440.0800000001</v>
          </cell>
          <cell r="GB154">
            <v>4336986.75</v>
          </cell>
          <cell r="GC154">
            <v>7355652.2200000007</v>
          </cell>
          <cell r="GD154">
            <v>1762345.1500000001</v>
          </cell>
          <cell r="GE154">
            <v>6499123.9200000009</v>
          </cell>
          <cell r="GF154">
            <v>2731056.17</v>
          </cell>
          <cell r="GG154">
            <v>3393400.6399999997</v>
          </cell>
          <cell r="GH154">
            <v>1111809.6499999999</v>
          </cell>
          <cell r="GI154">
            <v>3384843.17</v>
          </cell>
          <cell r="GJ154">
            <v>1318455.01</v>
          </cell>
          <cell r="GK154">
            <v>2478655.48</v>
          </cell>
          <cell r="GL154">
            <v>399003.04</v>
          </cell>
          <cell r="GM154">
            <v>1868211.59</v>
          </cell>
          <cell r="GN154">
            <v>2239162.04</v>
          </cell>
          <cell r="GO154">
            <v>1273898.94</v>
          </cell>
          <cell r="GP154">
            <v>2345519.96</v>
          </cell>
          <cell r="GQ154">
            <v>7080906.4399999995</v>
          </cell>
          <cell r="GR154">
            <v>1810194.46</v>
          </cell>
          <cell r="GS154">
            <v>1635703.47</v>
          </cell>
          <cell r="GT154">
            <v>3578778.4</v>
          </cell>
          <cell r="GU154">
            <v>603799.64</v>
          </cell>
          <cell r="GV154">
            <v>2478898.19</v>
          </cell>
          <cell r="GW154">
            <v>749305.84</v>
          </cell>
          <cell r="GX154">
            <v>480000</v>
          </cell>
          <cell r="GY154">
            <v>268809</v>
          </cell>
          <cell r="GZ154">
            <v>0</v>
          </cell>
          <cell r="HA154">
            <v>0</v>
          </cell>
          <cell r="HB154">
            <v>561000</v>
          </cell>
          <cell r="HC154">
            <v>5692492.2800000003</v>
          </cell>
          <cell r="HD154">
            <v>1237022.31</v>
          </cell>
          <cell r="HE154">
            <v>18305560.719999999</v>
          </cell>
          <cell r="HF154">
            <v>2734316.78</v>
          </cell>
          <cell r="HG154">
            <v>12116679.619999999</v>
          </cell>
          <cell r="HH154">
            <v>744351.14</v>
          </cell>
          <cell r="HI154">
            <v>4405121.9000000004</v>
          </cell>
          <cell r="HJ154">
            <v>63069603.510000005</v>
          </cell>
          <cell r="HK154">
            <v>7821543.5</v>
          </cell>
          <cell r="HL154">
            <v>3137922.14</v>
          </cell>
          <cell r="HM154">
            <v>1696292.29</v>
          </cell>
          <cell r="HN154">
            <v>4872475.76</v>
          </cell>
          <cell r="HO154">
            <v>11468892.369999999</v>
          </cell>
          <cell r="HP154">
            <v>3812949.55</v>
          </cell>
          <cell r="HQ154">
            <v>1216285.95</v>
          </cell>
          <cell r="HR154">
            <v>18339518.060000002</v>
          </cell>
          <cell r="HS154">
            <v>1821737.21</v>
          </cell>
          <cell r="HT154">
            <v>340403.85</v>
          </cell>
          <cell r="HU154">
            <v>469329.64</v>
          </cell>
          <cell r="HV154">
            <v>2828298.55</v>
          </cell>
          <cell r="HW154">
            <v>3940445.21</v>
          </cell>
          <cell r="HX154">
            <v>566822.65999999992</v>
          </cell>
          <cell r="HY154">
            <v>1625082.07</v>
          </cell>
          <cell r="HZ154">
            <v>1370398.78</v>
          </cell>
          <cell r="IA154">
            <v>1601244.53</v>
          </cell>
          <cell r="IB154">
            <v>897526.17999999993</v>
          </cell>
          <cell r="IC154">
            <v>1290769.8600000001</v>
          </cell>
          <cell r="ID154">
            <v>1315419</v>
          </cell>
          <cell r="IE154">
            <v>1922230.69</v>
          </cell>
          <cell r="IF154">
            <v>1017984.06</v>
          </cell>
          <cell r="IG154">
            <v>457431.39</v>
          </cell>
          <cell r="IH154">
            <v>15363289.67</v>
          </cell>
          <cell r="II154">
            <v>3284348.55</v>
          </cell>
          <cell r="IJ154">
            <v>2290540.12</v>
          </cell>
          <cell r="IK154">
            <v>4542732.3899999997</v>
          </cell>
          <cell r="IL154">
            <v>564813.91</v>
          </cell>
          <cell r="IM154">
            <v>4354498.5600000005</v>
          </cell>
          <cell r="IN154">
            <v>452862.64</v>
          </cell>
          <cell r="IO154">
            <v>1022884.3300000001</v>
          </cell>
          <cell r="IP154">
            <v>2118832.0099999998</v>
          </cell>
          <cell r="IQ154">
            <v>611487.79</v>
          </cell>
          <cell r="IR154">
            <v>1101940.06</v>
          </cell>
          <cell r="IS154">
            <v>4352844.4799999995</v>
          </cell>
          <cell r="IT154">
            <v>1665798.24</v>
          </cell>
          <cell r="IU154">
            <v>955542.58</v>
          </cell>
          <cell r="IV154">
            <v>2239781.48</v>
          </cell>
          <cell r="IW154">
            <v>165871.26</v>
          </cell>
          <cell r="IX154">
            <v>931969.95</v>
          </cell>
          <cell r="IY154">
            <v>3271980.8200000003</v>
          </cell>
          <cell r="IZ154">
            <v>832011.83</v>
          </cell>
          <cell r="JA154">
            <v>439612.74</v>
          </cell>
          <cell r="JB154">
            <v>588635.82000000007</v>
          </cell>
          <cell r="JC154">
            <v>9397458.5399999991</v>
          </cell>
          <cell r="JD154">
            <v>709781.39</v>
          </cell>
          <cell r="JE154">
            <v>896422.26</v>
          </cell>
          <cell r="JF154">
            <v>3632163.16</v>
          </cell>
          <cell r="JG154">
            <v>960652.01</v>
          </cell>
          <cell r="JH154">
            <v>0</v>
          </cell>
          <cell r="JI154">
            <v>516017.61000000004</v>
          </cell>
          <cell r="JJ154">
            <v>517853.27999999997</v>
          </cell>
          <cell r="JK154">
            <v>3868218.92</v>
          </cell>
          <cell r="JL154">
            <v>529859.42000000004</v>
          </cell>
          <cell r="JM154">
            <v>137019.32</v>
          </cell>
          <cell r="JN154">
            <v>887854.46</v>
          </cell>
          <cell r="JO154">
            <v>971886.77</v>
          </cell>
          <cell r="JP154">
            <v>0</v>
          </cell>
          <cell r="JQ154">
            <v>238132.91</v>
          </cell>
          <cell r="JR154">
            <v>14964897.98</v>
          </cell>
          <cell r="JS154">
            <v>2490000</v>
          </cell>
          <cell r="JT154">
            <v>3692910.0999999996</v>
          </cell>
          <cell r="JU154">
            <v>632071.75</v>
          </cell>
          <cell r="JV154">
            <v>4056191.24</v>
          </cell>
          <cell r="JW154">
            <v>1466508.48</v>
          </cell>
          <cell r="JX154">
            <v>4187020.09</v>
          </cell>
          <cell r="JY154">
            <v>-2724960.61</v>
          </cell>
          <cell r="JZ154">
            <v>3506662.49</v>
          </cell>
          <cell r="KA154">
            <v>2645123.96</v>
          </cell>
          <cell r="KB154">
            <v>3855556.08</v>
          </cell>
          <cell r="KC154">
            <v>2783271.9699999997</v>
          </cell>
          <cell r="KD154">
            <v>1789326.25</v>
          </cell>
          <cell r="KE154">
            <v>196420.82</v>
          </cell>
          <cell r="KF154">
            <v>1967087.17</v>
          </cell>
          <cell r="KG154">
            <v>2017506.6400000001</v>
          </cell>
          <cell r="KH154">
            <v>5271700.3499999996</v>
          </cell>
          <cell r="KI154">
            <v>2039642.23</v>
          </cell>
          <cell r="KJ154">
            <v>25748883.870000001</v>
          </cell>
          <cell r="KK154">
            <v>6139771.9900000002</v>
          </cell>
          <cell r="KL154">
            <v>4514746.17</v>
          </cell>
          <cell r="KM154">
            <v>5840802.7199999997</v>
          </cell>
          <cell r="KN154">
            <v>6014647.4199999999</v>
          </cell>
          <cell r="KO154">
            <v>1276069.7</v>
          </cell>
          <cell r="KP154">
            <v>1933480.7</v>
          </cell>
          <cell r="KQ154">
            <v>2196607.34</v>
          </cell>
          <cell r="KR154">
            <v>600000</v>
          </cell>
          <cell r="KS154">
            <v>1087988.96</v>
          </cell>
          <cell r="KT154">
            <v>1784086.71</v>
          </cell>
          <cell r="KU154">
            <v>2917812.05</v>
          </cell>
          <cell r="KV154">
            <v>3168304.98</v>
          </cell>
          <cell r="KW154">
            <v>5031527.42</v>
          </cell>
          <cell r="KX154">
            <v>4085034.55</v>
          </cell>
          <cell r="KY154">
            <v>21858977.140000001</v>
          </cell>
          <cell r="KZ154">
            <v>0</v>
          </cell>
          <cell r="LA154">
            <v>2361349.66</v>
          </cell>
          <cell r="LB154">
            <v>0</v>
          </cell>
          <cell r="LC154">
            <v>1008429.99</v>
          </cell>
          <cell r="LD154">
            <v>1161665.2000000002</v>
          </cell>
          <cell r="LE154">
            <v>1225745.42</v>
          </cell>
          <cell r="LF154">
            <v>8533415.3399999999</v>
          </cell>
          <cell r="LG154">
            <v>12523307.35</v>
          </cell>
          <cell r="LH154">
            <v>1492619.88</v>
          </cell>
          <cell r="LI154">
            <v>26419242.350000001</v>
          </cell>
          <cell r="LJ154">
            <v>1779621.61</v>
          </cell>
          <cell r="LK154">
            <v>1334065.1299999999</v>
          </cell>
          <cell r="LL154">
            <v>1109642.23</v>
          </cell>
          <cell r="LM154">
            <v>746838.5</v>
          </cell>
          <cell r="LN154">
            <v>7340265.2999999998</v>
          </cell>
          <cell r="LO154">
            <v>344682.83</v>
          </cell>
          <cell r="LP154">
            <v>5033078.5</v>
          </cell>
          <cell r="LQ154">
            <v>871659.8</v>
          </cell>
          <cell r="LR154">
            <v>16781675.689999998</v>
          </cell>
          <cell r="LS154">
            <v>1885759.96</v>
          </cell>
          <cell r="LT154">
            <v>1299835.17</v>
          </cell>
          <cell r="LU154">
            <v>18690068.379999999</v>
          </cell>
          <cell r="LV154">
            <v>13260955.220000001</v>
          </cell>
          <cell r="LW154">
            <v>15825870.77</v>
          </cell>
          <cell r="LX154">
            <v>8493941.7100000009</v>
          </cell>
          <cell r="LY154">
            <v>6346545</v>
          </cell>
          <cell r="LZ154">
            <v>1021915</v>
          </cell>
          <cell r="MA154">
            <v>3371616.59</v>
          </cell>
          <cell r="MB154">
            <v>3790931.38</v>
          </cell>
          <cell r="MC154">
            <v>3541940.6</v>
          </cell>
          <cell r="MD154">
            <v>2313746.1900000004</v>
          </cell>
          <cell r="ME154">
            <v>6505868.0999999996</v>
          </cell>
          <cell r="MF154">
            <v>2730090.87</v>
          </cell>
          <cell r="MG154">
            <v>2608022.9300000002</v>
          </cell>
          <cell r="MH154">
            <v>3917916.56</v>
          </cell>
          <cell r="MI154">
            <v>0</v>
          </cell>
          <cell r="MJ154">
            <v>275622.95</v>
          </cell>
          <cell r="MK154">
            <v>645000</v>
          </cell>
          <cell r="ML154">
            <v>2052167.89</v>
          </cell>
          <cell r="MM154">
            <v>737325.06</v>
          </cell>
          <cell r="MN154">
            <v>362817.53</v>
          </cell>
          <cell r="MO154">
            <v>2887686.58</v>
          </cell>
          <cell r="MP154">
            <v>2648257.8199999998</v>
          </cell>
          <cell r="MQ154">
            <v>2555708.25</v>
          </cell>
          <cell r="MR154">
            <v>2132637.5099999998</v>
          </cell>
          <cell r="MS154">
            <v>4892214.9800000004</v>
          </cell>
          <cell r="MT154">
            <v>6752487.9500000002</v>
          </cell>
          <cell r="MU154">
            <v>1773928.26</v>
          </cell>
          <cell r="MV154">
            <v>1669842.74</v>
          </cell>
          <cell r="MW154">
            <v>2035512.9</v>
          </cell>
          <cell r="MX154">
            <v>3172222.51</v>
          </cell>
          <cell r="MY154">
            <v>5680643.3191</v>
          </cell>
          <cell r="MZ154">
            <v>6193182.04</v>
          </cell>
          <cell r="NA154">
            <v>8829564.5099999998</v>
          </cell>
          <cell r="NB154">
            <v>362818.08</v>
          </cell>
          <cell r="NC154">
            <v>1149872.9099999999</v>
          </cell>
          <cell r="ND154">
            <v>2596783.2599999998</v>
          </cell>
          <cell r="NE154">
            <v>2003305.8199999998</v>
          </cell>
          <cell r="NF154">
            <v>2510433.65</v>
          </cell>
          <cell r="NG154">
            <v>7709523.04</v>
          </cell>
          <cell r="NH154">
            <v>2105996.0499999998</v>
          </cell>
          <cell r="NI154">
            <v>8458380.9000000004</v>
          </cell>
          <cell r="NJ154">
            <v>4359792.8499999996</v>
          </cell>
          <cell r="NK154">
            <v>11307731.82</v>
          </cell>
          <cell r="NL154">
            <v>0</v>
          </cell>
          <cell r="NM154">
            <v>1209385.82</v>
          </cell>
          <cell r="NN154">
            <v>1221002.77</v>
          </cell>
          <cell r="NO154">
            <v>3466379.84</v>
          </cell>
          <cell r="NP154">
            <v>3030300.2600000002</v>
          </cell>
          <cell r="NQ154">
            <v>574880.74</v>
          </cell>
          <cell r="NR154">
            <v>3229953.1</v>
          </cell>
          <cell r="NS154">
            <v>315578.43</v>
          </cell>
          <cell r="NT154">
            <v>1459482.97</v>
          </cell>
          <cell r="NU154">
            <v>14926.01</v>
          </cell>
          <cell r="NV154">
            <v>512565.34</v>
          </cell>
          <cell r="NW154">
            <v>1960668.81</v>
          </cell>
          <cell r="NX154">
            <v>23347212.66</v>
          </cell>
          <cell r="NY154">
            <v>804453.66999999993</v>
          </cell>
          <cell r="NZ154">
            <v>793653.17</v>
          </cell>
          <cell r="OA154">
            <v>1567993.05</v>
          </cell>
          <cell r="OB154">
            <v>2331455.83</v>
          </cell>
          <cell r="OC154">
            <v>575983.23</v>
          </cell>
          <cell r="OD154">
            <v>10846000.43</v>
          </cell>
          <cell r="OE154">
            <v>2281115.86</v>
          </cell>
          <cell r="OF154">
            <v>10435308.859999999</v>
          </cell>
          <cell r="OG154">
            <v>19372423.449999999</v>
          </cell>
          <cell r="OH154">
            <v>1467397.46</v>
          </cell>
          <cell r="OI154">
            <v>4946940.1400000006</v>
          </cell>
          <cell r="OJ154">
            <v>6350382.4299999997</v>
          </cell>
          <cell r="OK154">
            <v>791161.61</v>
          </cell>
          <cell r="OL154">
            <v>4370895.5999999996</v>
          </cell>
          <cell r="OM154">
            <v>50106398.120000005</v>
          </cell>
          <cell r="ON154">
            <v>10014104.960000001</v>
          </cell>
          <cell r="OO154">
            <v>16435441.65</v>
          </cell>
          <cell r="OP154">
            <v>2591276.0099999998</v>
          </cell>
          <cell r="OQ154">
            <v>18142584.900000002</v>
          </cell>
          <cell r="OR154">
            <v>61767.5</v>
          </cell>
          <cell r="OS154">
            <v>15008772.780000001</v>
          </cell>
          <cell r="OT154">
            <v>2790437.19</v>
          </cell>
          <cell r="OU154">
            <v>7632880.8299999991</v>
          </cell>
          <cell r="OV154">
            <v>3307942.1100000003</v>
          </cell>
          <cell r="OW154">
            <v>3317453.18</v>
          </cell>
          <cell r="OX154">
            <v>10486428.75</v>
          </cell>
          <cell r="OY154">
            <v>5767110.7300000004</v>
          </cell>
          <cell r="OZ154">
            <v>4621318.26</v>
          </cell>
          <cell r="PA154">
            <v>3477895.1500000004</v>
          </cell>
          <cell r="PB154">
            <v>3390773.52</v>
          </cell>
          <cell r="PC154">
            <v>0</v>
          </cell>
          <cell r="PD154">
            <v>1429742.98</v>
          </cell>
          <cell r="PE154">
            <v>175348.28</v>
          </cell>
          <cell r="PF154">
            <v>871583.06</v>
          </cell>
          <cell r="PG154">
            <v>5234018.03</v>
          </cell>
          <cell r="PH154">
            <v>1227146.77</v>
          </cell>
          <cell r="PI154">
            <v>0</v>
          </cell>
          <cell r="PJ154">
            <v>787990.34999999986</v>
          </cell>
          <cell r="PK154">
            <v>228020.56</v>
          </cell>
          <cell r="PL154">
            <v>865442.9</v>
          </cell>
          <cell r="PM154">
            <v>260270.48</v>
          </cell>
          <cell r="PN154">
            <v>234446.15</v>
          </cell>
          <cell r="PO154">
            <v>1359674.96</v>
          </cell>
          <cell r="PP154">
            <v>3333611.65</v>
          </cell>
          <cell r="PQ154">
            <v>0</v>
          </cell>
          <cell r="PR154">
            <v>500206.22</v>
          </cell>
          <cell r="PS154">
            <v>2865086.12</v>
          </cell>
          <cell r="PT154">
            <v>123225061.86999999</v>
          </cell>
          <cell r="PU154">
            <v>4828994.66</v>
          </cell>
          <cell r="PV154">
            <v>71250</v>
          </cell>
          <cell r="PW154">
            <v>2455317.77</v>
          </cell>
          <cell r="PX154">
            <v>5355014.21</v>
          </cell>
          <cell r="PY154">
            <v>2669696.9699999997</v>
          </cell>
          <cell r="PZ154">
            <v>7152442.3399999999</v>
          </cell>
          <cell r="QA154">
            <v>458418.1</v>
          </cell>
          <cell r="QB154">
            <v>5520374.7599999998</v>
          </cell>
          <cell r="QC154">
            <v>0</v>
          </cell>
          <cell r="QD154">
            <v>6869148.1500000004</v>
          </cell>
          <cell r="QE154">
            <v>651047.62</v>
          </cell>
          <cell r="QF154">
            <v>1869767.02</v>
          </cell>
          <cell r="QG154">
            <v>1254614.3600000001</v>
          </cell>
          <cell r="QH154">
            <v>0</v>
          </cell>
          <cell r="QI154">
            <v>9003215.4000000004</v>
          </cell>
          <cell r="QJ154">
            <v>3170661.13</v>
          </cell>
          <cell r="QK154">
            <v>593142.27</v>
          </cell>
          <cell r="QL154">
            <v>1876360.66</v>
          </cell>
          <cell r="QM154">
            <v>224090.02</v>
          </cell>
          <cell r="QN154">
            <v>2986672.57</v>
          </cell>
          <cell r="QO154">
            <v>769334.2</v>
          </cell>
          <cell r="QP154">
            <v>1302411.9300000002</v>
          </cell>
          <cell r="QQ154">
            <v>979770.11</v>
          </cell>
          <cell r="QR154">
            <v>993994.04</v>
          </cell>
          <cell r="QS154">
            <v>810362.44</v>
          </cell>
          <cell r="QT154">
            <v>0</v>
          </cell>
          <cell r="QU154">
            <v>1269466.6599999999</v>
          </cell>
          <cell r="QV154">
            <v>127225.9</v>
          </cell>
          <cell r="QW154">
            <v>2892551.95</v>
          </cell>
          <cell r="QX154">
            <v>1842900.63</v>
          </cell>
          <cell r="QY154">
            <v>2911478.9699999997</v>
          </cell>
          <cell r="QZ154">
            <v>3592202.8600000003</v>
          </cell>
          <cell r="RA154">
            <v>5332437.2</v>
          </cell>
          <cell r="RB154">
            <v>5127500</v>
          </cell>
          <cell r="RC154">
            <v>3739124.59</v>
          </cell>
          <cell r="RD154">
            <v>1229353.6000000001</v>
          </cell>
          <cell r="RE154">
            <v>1837981.94</v>
          </cell>
          <cell r="RF154">
            <v>1348162.63</v>
          </cell>
          <cell r="RG154">
            <v>0</v>
          </cell>
          <cell r="RH154">
            <v>3667587.76</v>
          </cell>
          <cell r="RI154">
            <v>290410.03999999998</v>
          </cell>
          <cell r="RJ154">
            <v>5143912.49</v>
          </cell>
          <cell r="RK154">
            <v>360</v>
          </cell>
          <cell r="RL154">
            <v>0</v>
          </cell>
          <cell r="RM154">
            <v>0</v>
          </cell>
          <cell r="RN154">
            <v>3415191.4299999997</v>
          </cell>
          <cell r="RO154">
            <v>2027577.17</v>
          </cell>
          <cell r="RP154">
            <v>3199397.64</v>
          </cell>
          <cell r="RQ154">
            <v>1923435.88</v>
          </cell>
          <cell r="RR154">
            <v>3030044.5200000005</v>
          </cell>
          <cell r="RS154">
            <v>1600645.35</v>
          </cell>
          <cell r="RT154">
            <v>1741986.3900000001</v>
          </cell>
          <cell r="RU154">
            <v>883276.80000000005</v>
          </cell>
          <cell r="RV154">
            <v>3011839.4000000004</v>
          </cell>
          <cell r="RW154">
            <v>2016544.29</v>
          </cell>
          <cell r="RX154">
            <v>1338220.06</v>
          </cell>
          <cell r="RY154">
            <v>258668.78</v>
          </cell>
          <cell r="RZ154">
            <v>1743675.92</v>
          </cell>
          <cell r="SA154">
            <v>30873727.43</v>
          </cell>
          <cell r="SB154">
            <v>138436.91</v>
          </cell>
          <cell r="SC154">
            <v>2428882.77</v>
          </cell>
          <cell r="SD154">
            <v>1364882.67</v>
          </cell>
          <cell r="SE154">
            <v>336119.18</v>
          </cell>
          <cell r="SF154">
            <v>1174345.6800000002</v>
          </cell>
          <cell r="SG154">
            <v>3867540.94</v>
          </cell>
          <cell r="SH154">
            <v>1308375.0900000001</v>
          </cell>
          <cell r="SI154">
            <v>5861334.9799999995</v>
          </cell>
          <cell r="SJ154">
            <v>2363102.46</v>
          </cell>
          <cell r="SK154">
            <v>6674686.9800000004</v>
          </cell>
          <cell r="SL154">
            <v>798065.29</v>
          </cell>
          <cell r="SM154">
            <v>3603864.75</v>
          </cell>
          <cell r="SN154">
            <v>1010874.7</v>
          </cell>
          <cell r="SO154">
            <v>1412889.3</v>
          </cell>
          <cell r="SP154">
            <v>7586352.1299999999</v>
          </cell>
          <cell r="SQ154">
            <v>1473339.4000000001</v>
          </cell>
          <cell r="SR154">
            <v>3614171.62</v>
          </cell>
          <cell r="SS154">
            <v>9641309.8900000006</v>
          </cell>
          <cell r="ST154">
            <v>661370.88</v>
          </cell>
          <cell r="SU154">
            <v>5807332.0499999998</v>
          </cell>
          <cell r="SV154">
            <v>1540764.79</v>
          </cell>
          <cell r="SW154">
            <v>1665336.1400000001</v>
          </cell>
          <cell r="SX154">
            <v>2861037.28</v>
          </cell>
          <cell r="SY154">
            <v>655830.23</v>
          </cell>
          <cell r="SZ154">
            <v>775463.85</v>
          </cell>
          <cell r="TA154">
            <v>97302.76</v>
          </cell>
          <cell r="TB154">
            <v>927274.54</v>
          </cell>
          <cell r="TC154">
            <v>1387727.1099999999</v>
          </cell>
          <cell r="TD154">
            <v>2900392.82</v>
          </cell>
          <cell r="TE154">
            <v>3286035.1599999997</v>
          </cell>
          <cell r="TF154">
            <v>2070463.92</v>
          </cell>
          <cell r="TG154">
            <v>436379.12</v>
          </cell>
          <cell r="TH154">
            <v>2123716.66</v>
          </cell>
          <cell r="TI154">
            <v>15990716.670000002</v>
          </cell>
          <cell r="TJ154">
            <v>2372471.09</v>
          </cell>
          <cell r="TK154">
            <v>2290639.0699999998</v>
          </cell>
          <cell r="TL154">
            <v>3687999.27</v>
          </cell>
          <cell r="TM154">
            <v>3118452.48</v>
          </cell>
          <cell r="TN154">
            <v>2723841.13</v>
          </cell>
          <cell r="TO154">
            <v>420762.37</v>
          </cell>
          <cell r="TP154">
            <v>1938033.5</v>
          </cell>
          <cell r="TQ154">
            <v>2688477.27</v>
          </cell>
          <cell r="TR154">
            <v>0</v>
          </cell>
          <cell r="TS154">
            <v>46238.82</v>
          </cell>
          <cell r="TT154">
            <v>870706.14</v>
          </cell>
          <cell r="TU154">
            <v>66000</v>
          </cell>
          <cell r="TV154">
            <v>1436021.85</v>
          </cell>
          <cell r="TW154">
            <v>5050123.0999999996</v>
          </cell>
          <cell r="TX154">
            <v>457885.79</v>
          </cell>
          <cell r="TY154">
            <v>630932.86</v>
          </cell>
          <cell r="TZ154">
            <v>3068940.5300000003</v>
          </cell>
          <cell r="UA154">
            <v>13527755.220000001</v>
          </cell>
          <cell r="UB154">
            <v>5791385.4900000002</v>
          </cell>
          <cell r="UC154">
            <v>194710</v>
          </cell>
          <cell r="UD154">
            <v>1793987.3399999999</v>
          </cell>
          <cell r="UE154">
            <v>1468863.37</v>
          </cell>
          <cell r="UF154">
            <v>750569.73</v>
          </cell>
          <cell r="UG154">
            <v>277181.69</v>
          </cell>
          <cell r="UH154">
            <v>5469016.5800000001</v>
          </cell>
          <cell r="UI154">
            <v>313658.40000000002</v>
          </cell>
          <cell r="UJ154">
            <v>12078703.050000001</v>
          </cell>
          <cell r="UK154">
            <v>515205.36</v>
          </cell>
          <cell r="UL154">
            <v>1611786.82</v>
          </cell>
          <cell r="UM154">
            <v>3552897.47</v>
          </cell>
          <cell r="UN154">
            <v>1865561.8599999999</v>
          </cell>
          <cell r="UO154">
            <v>3574388.41</v>
          </cell>
          <cell r="UP154">
            <v>11733643.15</v>
          </cell>
          <cell r="UQ154">
            <v>5761924.4199999999</v>
          </cell>
          <cell r="UR154">
            <v>784833.37</v>
          </cell>
          <cell r="US154">
            <v>5467976.5999999996</v>
          </cell>
          <cell r="UT154">
            <v>80060</v>
          </cell>
          <cell r="UU154">
            <v>2323130.04</v>
          </cell>
          <cell r="UV154">
            <v>2658950.83</v>
          </cell>
          <cell r="UW154">
            <v>2748793.1900000004</v>
          </cell>
          <cell r="UX154">
            <v>0</v>
          </cell>
          <cell r="UY154">
            <v>5168345.6399999997</v>
          </cell>
          <cell r="UZ154">
            <v>2265279.4099999997</v>
          </cell>
          <cell r="VA154">
            <v>7754060.6399999997</v>
          </cell>
          <cell r="VB154">
            <v>7665626.9399999995</v>
          </cell>
          <cell r="VC154">
            <v>6145340.9699999997</v>
          </cell>
          <cell r="VD154">
            <v>4321866.5199999996</v>
          </cell>
          <cell r="VE154">
            <v>2219707.19</v>
          </cell>
          <cell r="VF154">
            <v>6648959.0999999996</v>
          </cell>
          <cell r="VG154">
            <v>895179.72</v>
          </cell>
          <cell r="VH154">
            <v>5184757.95</v>
          </cell>
          <cell r="VI154">
            <v>389420.62</v>
          </cell>
          <cell r="VJ154">
            <v>670351.22</v>
          </cell>
          <cell r="VK154">
            <v>1667022.21</v>
          </cell>
          <cell r="VL154">
            <v>1746864</v>
          </cell>
          <cell r="VM154">
            <v>367645.59</v>
          </cell>
          <cell r="VN154">
            <v>4228703.07</v>
          </cell>
          <cell r="VO154">
            <v>8192047.5199999996</v>
          </cell>
          <cell r="VP154">
            <v>2109275.16</v>
          </cell>
          <cell r="VQ154">
            <v>1040244.76</v>
          </cell>
          <cell r="VR154">
            <v>4077506.7299999995</v>
          </cell>
          <cell r="VS154">
            <v>989943.1</v>
          </cell>
          <cell r="VT154">
            <v>3891255</v>
          </cell>
          <cell r="VU154">
            <v>23896423.640000001</v>
          </cell>
          <cell r="VV154">
            <v>915624.85</v>
          </cell>
          <cell r="VW154">
            <v>8323664.4500000002</v>
          </cell>
          <cell r="VX154">
            <v>59664.58</v>
          </cell>
          <cell r="VY154">
            <v>2955186.44</v>
          </cell>
          <cell r="VZ154">
            <v>969594.5</v>
          </cell>
          <cell r="WA154">
            <v>0</v>
          </cell>
          <cell r="WB154">
            <v>0</v>
          </cell>
          <cell r="WC154">
            <v>3867506.6900000004</v>
          </cell>
          <cell r="WD154">
            <v>4521706.6500000004</v>
          </cell>
          <cell r="WE154">
            <v>0</v>
          </cell>
          <cell r="WF154">
            <v>3354930.3600000003</v>
          </cell>
          <cell r="WG154">
            <v>3883709.7199999997</v>
          </cell>
          <cell r="WH154">
            <v>11705207.720000001</v>
          </cell>
          <cell r="WI154">
            <v>4511168.54</v>
          </cell>
          <cell r="WJ154">
            <v>1327753.8900000001</v>
          </cell>
          <cell r="WK154">
            <v>1365095.9100000001</v>
          </cell>
          <cell r="WL154">
            <v>4112434.79</v>
          </cell>
          <cell r="WM154">
            <v>4921872.9800000004</v>
          </cell>
          <cell r="WN154">
            <v>7573677.2299999995</v>
          </cell>
          <cell r="WO154">
            <v>4829152.75</v>
          </cell>
          <cell r="WP154">
            <v>3367638.75</v>
          </cell>
          <cell r="WQ154">
            <v>4703272.4800000004</v>
          </cell>
          <cell r="WR154">
            <v>0</v>
          </cell>
          <cell r="WS154">
            <v>2516139.9500000002</v>
          </cell>
          <cell r="WT154">
            <v>6261572.2699999996</v>
          </cell>
          <cell r="WU154">
            <v>2919732.63</v>
          </cell>
          <cell r="WV154">
            <v>0</v>
          </cell>
          <cell r="WW154">
            <v>1733389.31</v>
          </cell>
          <cell r="WX154">
            <v>13973.95</v>
          </cell>
          <cell r="WY154">
            <v>3171709.55</v>
          </cell>
          <cell r="WZ154">
            <v>168541.19</v>
          </cell>
          <cell r="XA154">
            <v>135867.53999999998</v>
          </cell>
          <cell r="XB154">
            <v>2251900</v>
          </cell>
          <cell r="XC154">
            <v>26529121.32</v>
          </cell>
          <cell r="XD154">
            <v>440104.61</v>
          </cell>
          <cell r="XE154">
            <v>875059.36</v>
          </cell>
          <cell r="XF154">
            <v>0</v>
          </cell>
          <cell r="XG154">
            <v>3226701.76</v>
          </cell>
          <cell r="XH154">
            <v>0</v>
          </cell>
          <cell r="XI154">
            <v>602503.73</v>
          </cell>
          <cell r="XJ154">
            <v>5026892.63</v>
          </cell>
          <cell r="XK154">
            <v>2479205.48</v>
          </cell>
          <cell r="XL154">
            <v>2496082.17</v>
          </cell>
          <cell r="XM154">
            <v>832964.3</v>
          </cell>
          <cell r="XN154">
            <v>1749472.97</v>
          </cell>
          <cell r="XO154">
            <v>1664662.88</v>
          </cell>
          <cell r="XP154">
            <v>3121922.51</v>
          </cell>
          <cell r="XQ154">
            <v>3357125.24</v>
          </cell>
          <cell r="XR154">
            <v>4489417.5299999993</v>
          </cell>
          <cell r="XS154">
            <v>103256</v>
          </cell>
          <cell r="XT154">
            <v>189111.59</v>
          </cell>
          <cell r="XU154">
            <v>830412.76</v>
          </cell>
          <cell r="XV154">
            <v>850105.1</v>
          </cell>
          <cell r="XW154">
            <v>1506822.88</v>
          </cell>
          <cell r="XX154">
            <v>689954.65</v>
          </cell>
          <cell r="XY154">
            <v>1052455</v>
          </cell>
          <cell r="XZ154">
            <v>231717.42</v>
          </cell>
          <cell r="YA154">
            <v>1481216.88</v>
          </cell>
          <cell r="YB154">
            <v>250003.26</v>
          </cell>
          <cell r="YC154">
            <v>354418.37</v>
          </cell>
          <cell r="YD154">
            <v>416162.36</v>
          </cell>
          <cell r="YE154">
            <v>17904936.199999999</v>
          </cell>
          <cell r="YF154">
            <v>6154734.5300000003</v>
          </cell>
          <cell r="YG154">
            <v>9875563.2300000004</v>
          </cell>
          <cell r="YH154">
            <v>2059724.81</v>
          </cell>
          <cell r="YI154">
            <v>12863082.82</v>
          </cell>
          <cell r="YJ154">
            <v>0</v>
          </cell>
          <cell r="YK154">
            <v>10444647.619999999</v>
          </cell>
          <cell r="YL154">
            <v>1769399.89</v>
          </cell>
          <cell r="YM154">
            <v>4428837.18</v>
          </cell>
          <cell r="YN154">
            <v>7015432.6200000001</v>
          </cell>
          <cell r="YO154">
            <v>663653.94999999995</v>
          </cell>
          <cell r="YP154">
            <v>368266.32</v>
          </cell>
          <cell r="YQ154">
            <v>5382930.3599999994</v>
          </cell>
          <cell r="YR154">
            <v>4670640.8899999997</v>
          </cell>
          <cell r="YS154">
            <v>3639312.41</v>
          </cell>
          <cell r="YT154">
            <v>2048477.98</v>
          </cell>
          <cell r="YU154">
            <v>1649178.2100000002</v>
          </cell>
          <cell r="YV154">
            <v>10105946.68</v>
          </cell>
          <cell r="YW154">
            <v>1785617.77</v>
          </cell>
          <cell r="YX154">
            <v>3401461.48</v>
          </cell>
          <cell r="YY154">
            <v>1914020.21</v>
          </cell>
          <cell r="YZ154">
            <v>5058099.92</v>
          </cell>
          <cell r="ZA154">
            <v>1220012.97</v>
          </cell>
          <cell r="ZB154">
            <v>378458.77</v>
          </cell>
          <cell r="ZC154">
            <v>17891382.170000002</v>
          </cell>
          <cell r="ZD154">
            <v>3479929.63</v>
          </cell>
          <cell r="ZE154">
            <v>1632178.2999999998</v>
          </cell>
          <cell r="ZF154">
            <v>3837368.4899999998</v>
          </cell>
          <cell r="ZG154">
            <v>1105945.25</v>
          </cell>
          <cell r="ZH154">
            <v>1884192.06</v>
          </cell>
          <cell r="ZI154">
            <v>8011803.71</v>
          </cell>
          <cell r="ZJ154">
            <v>3378782.83</v>
          </cell>
          <cell r="ZK154">
            <v>11480968.07</v>
          </cell>
          <cell r="ZL154">
            <v>23680768.490000002</v>
          </cell>
          <cell r="ZM154">
            <v>5177187.879999999</v>
          </cell>
          <cell r="ZN154">
            <v>5064341.1900000004</v>
          </cell>
          <cell r="ZO154">
            <v>20905053.98</v>
          </cell>
          <cell r="ZP154">
            <v>14153125.779999999</v>
          </cell>
          <cell r="ZQ154">
            <v>3782236.68</v>
          </cell>
          <cell r="ZR154">
            <v>12428641.780000001</v>
          </cell>
          <cell r="ZS154">
            <v>6074282.8899999997</v>
          </cell>
          <cell r="ZT154">
            <v>14942815.15</v>
          </cell>
          <cell r="ZU154">
            <v>2592186.91</v>
          </cell>
          <cell r="ZV154">
            <v>4428912.55</v>
          </cell>
          <cell r="ZW154">
            <v>12457391.26</v>
          </cell>
          <cell r="ZX154">
            <v>3160536.88</v>
          </cell>
          <cell r="ZY154">
            <v>9198755.7199999988</v>
          </cell>
          <cell r="ZZ154">
            <v>3684127.38</v>
          </cell>
          <cell r="AAA154">
            <v>7101665.0300000003</v>
          </cell>
          <cell r="AAB154">
            <v>9631443.4399999995</v>
          </cell>
          <cell r="AAC154">
            <v>2106310.9500000002</v>
          </cell>
          <cell r="AAD154">
            <v>7583023.4000000004</v>
          </cell>
          <cell r="AAE154">
            <v>11970925.59</v>
          </cell>
          <cell r="AAF154">
            <v>1809084.45</v>
          </cell>
          <cell r="AAG154">
            <v>3722120.13</v>
          </cell>
          <cell r="AAH154">
            <v>17288686.93</v>
          </cell>
          <cell r="AAI154">
            <v>6330529.6600000001</v>
          </cell>
          <cell r="AAJ154">
            <v>1758663.05</v>
          </cell>
          <cell r="AAK154">
            <v>1306126.1599999999</v>
          </cell>
          <cell r="AAL154">
            <v>1579890.91</v>
          </cell>
          <cell r="AAM154">
            <v>2354035.29</v>
          </cell>
          <cell r="AAN154">
            <v>983699.30999999994</v>
          </cell>
          <cell r="AAO154">
            <v>1000000</v>
          </cell>
          <cell r="AAP154">
            <v>4781953.8</v>
          </cell>
          <cell r="AAQ154">
            <v>2491324.42</v>
          </cell>
          <cell r="AAR154">
            <v>8039484.75</v>
          </cell>
          <cell r="AAS154">
            <v>4105474.91</v>
          </cell>
          <cell r="AAT154">
            <v>1430604.49</v>
          </cell>
          <cell r="AAU154">
            <v>3841947.04</v>
          </cell>
          <cell r="AAV154">
            <v>7051193.4299999997</v>
          </cell>
          <cell r="AAW154">
            <v>3895383.91</v>
          </cell>
          <cell r="AAX154">
            <v>2562848.9500000002</v>
          </cell>
          <cell r="AAY154">
            <v>4030179.0700000003</v>
          </cell>
          <cell r="AAZ154">
            <v>4743292.1500000004</v>
          </cell>
          <cell r="ABA154">
            <v>4939175.08</v>
          </cell>
          <cell r="ABB154">
            <v>326038.21999999997</v>
          </cell>
          <cell r="ABC154">
            <v>1704943.92</v>
          </cell>
          <cell r="ABD154">
            <v>2956250.8000000003</v>
          </cell>
          <cell r="ABE154">
            <v>389342.71</v>
          </cell>
          <cell r="ABF154">
            <v>-886548.38</v>
          </cell>
          <cell r="ABG154">
            <v>3667136.56</v>
          </cell>
          <cell r="ABH154">
            <v>5404418.2799999993</v>
          </cell>
          <cell r="ABI154">
            <v>14623656.84</v>
          </cell>
          <cell r="ABJ154">
            <v>976568.38</v>
          </cell>
          <cell r="ABK154">
            <v>1199391</v>
          </cell>
          <cell r="ABL154">
            <v>2862024.38</v>
          </cell>
          <cell r="ABM154">
            <v>2301542.4900000002</v>
          </cell>
          <cell r="ABN154">
            <v>1466130</v>
          </cell>
          <cell r="ABO154">
            <v>264758.26</v>
          </cell>
          <cell r="ABP154">
            <v>5014047.75</v>
          </cell>
          <cell r="ABQ154">
            <v>0</v>
          </cell>
          <cell r="ABR154">
            <v>2080630.96</v>
          </cell>
          <cell r="ABS154">
            <v>77191</v>
          </cell>
          <cell r="ABT154">
            <v>0</v>
          </cell>
          <cell r="ABU154">
            <v>157774.53</v>
          </cell>
          <cell r="ABV154">
            <v>1013783.93</v>
          </cell>
          <cell r="ABW154">
            <v>0</v>
          </cell>
          <cell r="ABX154">
            <v>5121003.3</v>
          </cell>
          <cell r="ABY154">
            <v>72514.490000000005</v>
          </cell>
          <cell r="ABZ154">
            <v>450000</v>
          </cell>
          <cell r="ACA154">
            <v>1045086.85</v>
          </cell>
          <cell r="ACB154">
            <v>412514.33999999997</v>
          </cell>
          <cell r="ACC154">
            <v>1629676.47</v>
          </cell>
          <cell r="ACD154">
            <v>0</v>
          </cell>
          <cell r="ACE154">
            <v>812503.40999999992</v>
          </cell>
          <cell r="ACF154">
            <v>475997.81</v>
          </cell>
          <cell r="ACG154">
            <v>1261541.27</v>
          </cell>
          <cell r="ACH154">
            <v>2691853.49</v>
          </cell>
          <cell r="ACI154">
            <v>3496187.66</v>
          </cell>
          <cell r="ACJ154">
            <v>21425.63</v>
          </cell>
          <cell r="ACK154">
            <v>1380963.5899999999</v>
          </cell>
          <cell r="ACL154">
            <v>2002515.59</v>
          </cell>
          <cell r="ACM154">
            <v>621983.09</v>
          </cell>
          <cell r="ACN154">
            <v>1107780.99</v>
          </cell>
          <cell r="ACO154">
            <v>423403.94</v>
          </cell>
          <cell r="ACP154">
            <v>0</v>
          </cell>
          <cell r="ACQ154">
            <v>1893280.03</v>
          </cell>
          <cell r="ACR154">
            <v>2627640.7999999998</v>
          </cell>
          <cell r="ACS154">
            <v>2302774.31</v>
          </cell>
          <cell r="ACT154">
            <v>5493435.8399999999</v>
          </cell>
          <cell r="ACU154">
            <v>2559298.4299999997</v>
          </cell>
          <cell r="ACV154">
            <v>252981.61</v>
          </cell>
          <cell r="ACW154">
            <v>204089.1</v>
          </cell>
          <cell r="ACX154">
            <v>1937745.1</v>
          </cell>
          <cell r="ACY154">
            <v>1149997.1000000001</v>
          </cell>
          <cell r="ACZ154">
            <v>33704.019999999997</v>
          </cell>
          <cell r="ADA154">
            <v>1559648.6</v>
          </cell>
          <cell r="ADB154">
            <v>0</v>
          </cell>
          <cell r="ADC154">
            <v>2165138.96</v>
          </cell>
          <cell r="ADD154">
            <v>1017649.87</v>
          </cell>
          <cell r="ADE154">
            <v>960000</v>
          </cell>
          <cell r="ADF154">
            <v>3019707.91</v>
          </cell>
          <cell r="ADG154">
            <v>4553729.47</v>
          </cell>
          <cell r="ADH154">
            <v>1682993.3299999998</v>
          </cell>
          <cell r="ADI154">
            <v>1124729.1000000001</v>
          </cell>
          <cell r="ADJ154">
            <v>1676122.3199999998</v>
          </cell>
          <cell r="ADK154">
            <v>1628627.12</v>
          </cell>
          <cell r="ADL154">
            <v>6454234.0700000003</v>
          </cell>
          <cell r="ADM154">
            <v>3233468.68</v>
          </cell>
          <cell r="ADN154">
            <v>2936144.6100000003</v>
          </cell>
          <cell r="ADO154">
            <v>4889233.55</v>
          </cell>
          <cell r="ADP154">
            <v>426562.59</v>
          </cell>
          <cell r="ADQ154">
            <v>21811.599999999999</v>
          </cell>
          <cell r="ADR154">
            <v>-1060079.1499999999</v>
          </cell>
          <cell r="ADS154">
            <v>2291840</v>
          </cell>
          <cell r="ADT154">
            <v>84628.99</v>
          </cell>
          <cell r="ADU154">
            <v>1942670.38</v>
          </cell>
          <cell r="ADV154">
            <v>0</v>
          </cell>
          <cell r="ADW154">
            <v>0</v>
          </cell>
          <cell r="ADX154">
            <v>0</v>
          </cell>
          <cell r="ADY154">
            <v>8432466.5500000007</v>
          </cell>
          <cell r="ADZ154">
            <v>4540876.2300000004</v>
          </cell>
          <cell r="AEA154">
            <v>4997658.16</v>
          </cell>
          <cell r="AEB154">
            <v>4360418.0600000005</v>
          </cell>
          <cell r="AEC154">
            <v>2892774.86</v>
          </cell>
          <cell r="AED154">
            <v>1024245.9400000001</v>
          </cell>
          <cell r="AEE154">
            <v>2091990.57</v>
          </cell>
          <cell r="AEF154">
            <v>45401.71</v>
          </cell>
          <cell r="AEG154">
            <v>228446.64</v>
          </cell>
          <cell r="AEH154">
            <v>841835.11</v>
          </cell>
          <cell r="AEI154">
            <v>0</v>
          </cell>
          <cell r="AEJ154">
            <v>1383735.1600000001</v>
          </cell>
          <cell r="AEK154">
            <v>1386577.78</v>
          </cell>
          <cell r="AEL154">
            <v>4269838.7799999993</v>
          </cell>
          <cell r="AEM154">
            <v>7837449.1899999995</v>
          </cell>
          <cell r="AEN154">
            <v>2926339.4200000004</v>
          </cell>
          <cell r="AEO154">
            <v>2936012.5599999996</v>
          </cell>
          <cell r="AEP154">
            <v>2556330.9</v>
          </cell>
          <cell r="AEQ154">
            <v>0</v>
          </cell>
          <cell r="AER154">
            <v>5759557.8600000003</v>
          </cell>
          <cell r="AES154">
            <v>334220.27</v>
          </cell>
          <cell r="AET154">
            <v>1811733.1099999999</v>
          </cell>
          <cell r="AEU154">
            <v>1214028.1499999999</v>
          </cell>
          <cell r="AEV154">
            <v>1515875.06</v>
          </cell>
          <cell r="AEW154">
            <v>1553528.18</v>
          </cell>
          <cell r="AEX154">
            <v>2877042.5500000003</v>
          </cell>
          <cell r="AEY154">
            <v>295711.39</v>
          </cell>
          <cell r="AEZ154">
            <v>1154489.4300000002</v>
          </cell>
          <cell r="AFA154">
            <v>1564372.97</v>
          </cell>
          <cell r="AFB154">
            <v>1099503.77</v>
          </cell>
          <cell r="AFC154">
            <v>4070259.49</v>
          </cell>
          <cell r="AFD154">
            <v>3960913.2399999998</v>
          </cell>
          <cell r="AFE154">
            <v>254000.81</v>
          </cell>
          <cell r="AFF154">
            <v>1112220.69</v>
          </cell>
          <cell r="AFG154">
            <v>2861341.1199999996</v>
          </cell>
          <cell r="AFH154">
            <v>73607.899999999994</v>
          </cell>
          <cell r="AFI154">
            <v>465782.49</v>
          </cell>
          <cell r="AFJ154">
            <v>1301341.9300000002</v>
          </cell>
          <cell r="AFK154">
            <v>757186.59000000008</v>
          </cell>
          <cell r="AFL154">
            <v>546504.02</v>
          </cell>
          <cell r="AFM154">
            <v>424667.12</v>
          </cell>
          <cell r="AFN154">
            <v>3925734.11</v>
          </cell>
          <cell r="AFO154">
            <v>2305941.91</v>
          </cell>
          <cell r="AFP154">
            <v>6304768.6799999997</v>
          </cell>
          <cell r="AFQ154">
            <v>992671.5</v>
          </cell>
          <cell r="AFR154">
            <v>921618.5</v>
          </cell>
          <cell r="AFS154">
            <v>628763.18000000005</v>
          </cell>
          <cell r="AFT154">
            <v>1345979.1900000002</v>
          </cell>
          <cell r="AFU154">
            <v>926957.55</v>
          </cell>
          <cell r="AFV154">
            <v>752268.07</v>
          </cell>
          <cell r="AFW154">
            <v>3811376.7</v>
          </cell>
          <cell r="AFX154">
            <v>852452.76</v>
          </cell>
          <cell r="AFY154">
            <v>523110.55</v>
          </cell>
          <cell r="AFZ154">
            <v>3795981.46</v>
          </cell>
          <cell r="AGA154">
            <v>1015712.45</v>
          </cell>
          <cell r="AGB154">
            <v>9144699.9499999993</v>
          </cell>
          <cell r="AGC154">
            <v>2255865.61</v>
          </cell>
          <cell r="AGD154">
            <v>417070.61</v>
          </cell>
          <cell r="AGE154">
            <v>2368806.7599999998</v>
          </cell>
          <cell r="AGF154">
            <v>5311414.6899999995</v>
          </cell>
          <cell r="AGG154">
            <v>3034086.36</v>
          </cell>
          <cell r="AGH154">
            <v>2312389.11</v>
          </cell>
          <cell r="AGI154">
            <v>4232320.58</v>
          </cell>
          <cell r="AGJ154">
            <v>1798023.47</v>
          </cell>
          <cell r="AGK154">
            <v>1609033.93</v>
          </cell>
          <cell r="AGL154">
            <v>2919014.73</v>
          </cell>
          <cell r="AGM154">
            <v>4089607.04</v>
          </cell>
          <cell r="AGN154">
            <v>4760276.46</v>
          </cell>
          <cell r="AGO154">
            <v>5777500.0700000003</v>
          </cell>
          <cell r="AGP154">
            <v>2394397.08</v>
          </cell>
          <cell r="AGQ154">
            <v>9455136.0600000005</v>
          </cell>
          <cell r="AGR154">
            <v>3284072.51</v>
          </cell>
          <cell r="AGS154">
            <v>4121286.95</v>
          </cell>
          <cell r="AGT154">
            <v>3506431.0900000003</v>
          </cell>
          <cell r="AGU154">
            <v>2285259.52</v>
          </cell>
          <cell r="AGV154">
            <v>13972384.530000001</v>
          </cell>
          <cell r="AGW154">
            <v>2375009.96</v>
          </cell>
          <cell r="AGX154">
            <v>8107783.4700000007</v>
          </cell>
          <cell r="AGY154">
            <v>3232257.59</v>
          </cell>
          <cell r="AGZ154">
            <v>1599824.74</v>
          </cell>
          <cell r="AHA154">
            <v>4301361.1100000003</v>
          </cell>
          <cell r="AHB154">
            <v>589394.44999999995</v>
          </cell>
          <cell r="AHC154">
            <v>722303.97</v>
          </cell>
          <cell r="AHD154">
            <v>2939320.4800000004</v>
          </cell>
          <cell r="AHE154">
            <v>4497299.42</v>
          </cell>
          <cell r="AHF154">
            <v>3510031.56</v>
          </cell>
          <cell r="AHG154">
            <v>897351.54999999993</v>
          </cell>
          <cell r="AHH154">
            <v>6325532.7999999998</v>
          </cell>
          <cell r="AHI154">
            <v>2341184.58</v>
          </cell>
          <cell r="AHJ154">
            <v>196206.65</v>
          </cell>
          <cell r="AHK154">
            <v>1243479.3699999999</v>
          </cell>
          <cell r="AHL154">
            <v>7601736.8200000003</v>
          </cell>
          <cell r="AHM154">
            <v>801004.83</v>
          </cell>
          <cell r="AHN154">
            <v>5632260.3599999994</v>
          </cell>
          <cell r="AHO154">
            <v>397007.3</v>
          </cell>
          <cell r="AHP154">
            <v>1759953.89</v>
          </cell>
          <cell r="AHQ154">
            <v>1484375.92</v>
          </cell>
          <cell r="AHR154">
            <v>1079632.22</v>
          </cell>
        </row>
        <row r="155">
          <cell r="B155" t="str">
            <v>D02</v>
          </cell>
          <cell r="C155" t="str">
            <v>เงินกองทุนแรงงานต่างด้าว</v>
          </cell>
          <cell r="D155">
            <v>682500</v>
          </cell>
          <cell r="E155">
            <v>37328</v>
          </cell>
          <cell r="F155">
            <v>193321</v>
          </cell>
          <cell r="G155">
            <v>32614.35</v>
          </cell>
          <cell r="H155">
            <v>141919.51999999999</v>
          </cell>
          <cell r="I155">
            <v>212201.79</v>
          </cell>
          <cell r="J155">
            <v>555975.6</v>
          </cell>
          <cell r="K155">
            <v>762607.96</v>
          </cell>
          <cell r="L155">
            <v>197541.61</v>
          </cell>
          <cell r="M155">
            <v>198498</v>
          </cell>
          <cell r="N155">
            <v>18094</v>
          </cell>
          <cell r="O155">
            <v>14873</v>
          </cell>
          <cell r="P155">
            <v>0</v>
          </cell>
          <cell r="Q155">
            <v>244415</v>
          </cell>
          <cell r="R155">
            <v>18000</v>
          </cell>
          <cell r="S155">
            <v>0</v>
          </cell>
          <cell r="T155">
            <v>161869.9</v>
          </cell>
          <cell r="U155">
            <v>43967.3</v>
          </cell>
          <cell r="V155">
            <v>35385096.979999997</v>
          </cell>
          <cell r="W155">
            <v>53122.07</v>
          </cell>
          <cell r="X155">
            <v>2288596.35</v>
          </cell>
          <cell r="Y155">
            <v>0</v>
          </cell>
          <cell r="Z155">
            <v>2401960.35</v>
          </cell>
          <cell r="AA155">
            <v>1334474.3500000001</v>
          </cell>
          <cell r="AB155">
            <v>2763865.17</v>
          </cell>
          <cell r="AC155">
            <v>8876633.7799999993</v>
          </cell>
          <cell r="AD155">
            <v>4635538.13</v>
          </cell>
          <cell r="AE155">
            <v>1326692.18</v>
          </cell>
          <cell r="AF155">
            <v>1558603.37</v>
          </cell>
          <cell r="AG155">
            <v>5207410.8600000003</v>
          </cell>
          <cell r="AH155">
            <v>4996687.54</v>
          </cell>
          <cell r="AI155">
            <v>227796.98</v>
          </cell>
          <cell r="AJ155">
            <v>267857</v>
          </cell>
          <cell r="AK155">
            <v>237817.58</v>
          </cell>
          <cell r="AL155">
            <v>103919.8</v>
          </cell>
          <cell r="AM155">
            <v>4946512.1399999997</v>
          </cell>
          <cell r="AN155">
            <v>384681.18</v>
          </cell>
          <cell r="AO155">
            <v>3977918.54</v>
          </cell>
          <cell r="AP155">
            <v>200448.59</v>
          </cell>
          <cell r="AQ155">
            <v>1199474.27</v>
          </cell>
          <cell r="AR155">
            <v>2378491.17</v>
          </cell>
          <cell r="AS155">
            <v>95294.02</v>
          </cell>
          <cell r="AT155">
            <v>5428</v>
          </cell>
          <cell r="AU155">
            <v>5170</v>
          </cell>
          <cell r="AV155">
            <v>11301</v>
          </cell>
          <cell r="AW155">
            <v>1771.35</v>
          </cell>
          <cell r="AX155">
            <v>236893</v>
          </cell>
          <cell r="AY155">
            <v>31338</v>
          </cell>
          <cell r="AZ155">
            <v>1000</v>
          </cell>
          <cell r="BA155">
            <v>10805</v>
          </cell>
          <cell r="BB155">
            <v>6657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2400</v>
          </cell>
          <cell r="BH155">
            <v>0</v>
          </cell>
          <cell r="BI155">
            <v>45850</v>
          </cell>
          <cell r="BJ155">
            <v>0</v>
          </cell>
          <cell r="BK155">
            <v>0</v>
          </cell>
          <cell r="BL155">
            <v>21034</v>
          </cell>
          <cell r="BM155">
            <v>12000</v>
          </cell>
          <cell r="BN155">
            <v>53421.04</v>
          </cell>
          <cell r="BO155">
            <v>0</v>
          </cell>
          <cell r="BP155">
            <v>0</v>
          </cell>
          <cell r="BQ155">
            <v>0</v>
          </cell>
          <cell r="BR155">
            <v>29500</v>
          </cell>
          <cell r="BS155">
            <v>4000</v>
          </cell>
          <cell r="BT155">
            <v>43496</v>
          </cell>
          <cell r="BU155">
            <v>74591.5</v>
          </cell>
          <cell r="BV155">
            <v>29022</v>
          </cell>
          <cell r="BW155">
            <v>18996</v>
          </cell>
          <cell r="BX155">
            <v>4200</v>
          </cell>
          <cell r="BY155">
            <v>47970</v>
          </cell>
          <cell r="BZ155">
            <v>0</v>
          </cell>
          <cell r="CA155">
            <v>0</v>
          </cell>
          <cell r="CB155">
            <v>123483.03</v>
          </cell>
          <cell r="CC155">
            <v>194566</v>
          </cell>
          <cell r="CD155">
            <v>0</v>
          </cell>
          <cell r="CE155">
            <v>5264</v>
          </cell>
          <cell r="CF155">
            <v>74165.97</v>
          </cell>
          <cell r="CG155">
            <v>223500</v>
          </cell>
          <cell r="CH155">
            <v>217686</v>
          </cell>
          <cell r="CI155">
            <v>51517</v>
          </cell>
          <cell r="CJ155">
            <v>29798</v>
          </cell>
          <cell r="CK155">
            <v>57563.37</v>
          </cell>
          <cell r="CL155">
            <v>18779</v>
          </cell>
          <cell r="CM155">
            <v>0</v>
          </cell>
          <cell r="CN155">
            <v>50944.69</v>
          </cell>
          <cell r="CO155">
            <v>8826</v>
          </cell>
          <cell r="CP155">
            <v>29111.200000000001</v>
          </cell>
          <cell r="CQ155">
            <v>1208</v>
          </cell>
          <cell r="CR155">
            <v>1090481.5</v>
          </cell>
          <cell r="CS155">
            <v>70796.759999999995</v>
          </cell>
          <cell r="CT155">
            <v>91684.69</v>
          </cell>
          <cell r="CU155">
            <v>204440.5</v>
          </cell>
          <cell r="CV155">
            <v>1104894.43</v>
          </cell>
          <cell r="CW155">
            <v>0</v>
          </cell>
          <cell r="CX155">
            <v>22554.99</v>
          </cell>
          <cell r="CY155">
            <v>2544382.04</v>
          </cell>
          <cell r="CZ155">
            <v>790922</v>
          </cell>
          <cell r="DA155">
            <v>385896</v>
          </cell>
          <cell r="DB155">
            <v>728680.87</v>
          </cell>
          <cell r="DC155">
            <v>35565255.07</v>
          </cell>
          <cell r="DD155">
            <v>12467</v>
          </cell>
          <cell r="DE155">
            <v>8932.98</v>
          </cell>
          <cell r="DF155">
            <v>470768</v>
          </cell>
          <cell r="DG155">
            <v>481139</v>
          </cell>
          <cell r="DH155">
            <v>1288307</v>
          </cell>
          <cell r="DI155">
            <v>39254</v>
          </cell>
          <cell r="DJ155">
            <v>9313.7000000000007</v>
          </cell>
          <cell r="DK155">
            <v>2052158.15</v>
          </cell>
          <cell r="DL155">
            <v>69269.820000000007</v>
          </cell>
          <cell r="DM155">
            <v>203149.27</v>
          </cell>
          <cell r="DN155">
            <v>149816.6</v>
          </cell>
          <cell r="DO155">
            <v>100674.95</v>
          </cell>
          <cell r="DP155">
            <v>222481.35</v>
          </cell>
          <cell r="DQ155">
            <v>799107.84</v>
          </cell>
          <cell r="DR155">
            <v>278019</v>
          </cell>
          <cell r="DS155">
            <v>614943.84</v>
          </cell>
          <cell r="DT155">
            <v>111005</v>
          </cell>
          <cell r="DU155">
            <v>36910</v>
          </cell>
          <cell r="DV155">
            <v>0</v>
          </cell>
          <cell r="DW155">
            <v>426144.9</v>
          </cell>
          <cell r="DX155">
            <v>78723.210000000006</v>
          </cell>
          <cell r="DY155">
            <v>388001</v>
          </cell>
          <cell r="DZ155">
            <v>501066.5</v>
          </cell>
          <cell r="EA155">
            <v>58778.5</v>
          </cell>
          <cell r="EB155">
            <v>33418</v>
          </cell>
          <cell r="EC155">
            <v>92561.9</v>
          </cell>
          <cell r="ED155">
            <v>17157.25</v>
          </cell>
          <cell r="EE155">
            <v>149328.18</v>
          </cell>
          <cell r="EF155">
            <v>0</v>
          </cell>
          <cell r="EG155">
            <v>49700</v>
          </cell>
          <cell r="EH155">
            <v>33655.760000000002</v>
          </cell>
          <cell r="EI155">
            <v>38841.96</v>
          </cell>
          <cell r="EJ155">
            <v>220818.2</v>
          </cell>
          <cell r="EK155">
            <v>85142</v>
          </cell>
          <cell r="EL155">
            <v>9579.25</v>
          </cell>
          <cell r="EM155">
            <v>102244.2</v>
          </cell>
          <cell r="EN155">
            <v>185583.16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1291</v>
          </cell>
          <cell r="ET155">
            <v>0</v>
          </cell>
          <cell r="EU155">
            <v>0</v>
          </cell>
          <cell r="EV155">
            <v>0</v>
          </cell>
          <cell r="EW155">
            <v>472673.46</v>
          </cell>
          <cell r="EX155">
            <v>281126.67</v>
          </cell>
          <cell r="EY155">
            <v>215579.5</v>
          </cell>
          <cell r="EZ155">
            <v>131279</v>
          </cell>
          <cell r="FA155">
            <v>214619</v>
          </cell>
          <cell r="FB155">
            <v>600239.11</v>
          </cell>
          <cell r="FC155">
            <v>603488.5</v>
          </cell>
          <cell r="FD155">
            <v>123141.33</v>
          </cell>
          <cell r="FE155">
            <v>813568.09</v>
          </cell>
          <cell r="FF155">
            <v>282079.52</v>
          </cell>
          <cell r="FG155">
            <v>694294.02</v>
          </cell>
          <cell r="FH155">
            <v>395553.5</v>
          </cell>
          <cell r="FI155">
            <v>334791.36</v>
          </cell>
          <cell r="FJ155">
            <v>95513</v>
          </cell>
          <cell r="FK155">
            <v>0</v>
          </cell>
          <cell r="FL155">
            <v>51184</v>
          </cell>
          <cell r="FM155">
            <v>54159</v>
          </cell>
          <cell r="FN155">
            <v>47693.73</v>
          </cell>
          <cell r="FO155">
            <v>514</v>
          </cell>
          <cell r="FP155">
            <v>0</v>
          </cell>
          <cell r="FQ155">
            <v>0</v>
          </cell>
          <cell r="FR155">
            <v>82871</v>
          </cell>
          <cell r="FS155">
            <v>65184</v>
          </cell>
          <cell r="FT155">
            <v>116799</v>
          </cell>
          <cell r="FU155">
            <v>15413</v>
          </cell>
          <cell r="FV155">
            <v>100274.75</v>
          </cell>
          <cell r="FW155">
            <v>86326</v>
          </cell>
          <cell r="FX155">
            <v>196731</v>
          </cell>
          <cell r="FY155">
            <v>22101</v>
          </cell>
          <cell r="FZ155">
            <v>178715</v>
          </cell>
          <cell r="GA155">
            <v>29332.07</v>
          </cell>
          <cell r="GB155">
            <v>184073.95</v>
          </cell>
          <cell r="GC155">
            <v>47140</v>
          </cell>
          <cell r="GD155">
            <v>0</v>
          </cell>
          <cell r="GE155">
            <v>62742.91</v>
          </cell>
          <cell r="GF155">
            <v>55356.95</v>
          </cell>
          <cell r="GG155">
            <v>348852.41</v>
          </cell>
          <cell r="GH155">
            <v>131224.5</v>
          </cell>
          <cell r="GI155">
            <v>79459</v>
          </cell>
          <cell r="GJ155">
            <v>95958</v>
          </cell>
          <cell r="GK155">
            <v>212</v>
          </cell>
          <cell r="GL155">
            <v>662</v>
          </cell>
          <cell r="GM155">
            <v>72976.25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149.13</v>
          </cell>
          <cell r="GV155">
            <v>0</v>
          </cell>
          <cell r="GW155">
            <v>0</v>
          </cell>
          <cell r="GX155">
            <v>0</v>
          </cell>
          <cell r="GY155">
            <v>776351.58</v>
          </cell>
          <cell r="GZ155">
            <v>0</v>
          </cell>
          <cell r="HA155">
            <v>4579775.7699999996</v>
          </cell>
          <cell r="HB155">
            <v>1400015</v>
          </cell>
          <cell r="HC155">
            <v>10590685.25</v>
          </cell>
          <cell r="HD155">
            <v>3705459.21</v>
          </cell>
          <cell r="HE155">
            <v>8037021.0999999996</v>
          </cell>
          <cell r="HF155">
            <v>6592887.3099999996</v>
          </cell>
          <cell r="HG155">
            <v>5105880.8899999997</v>
          </cell>
          <cell r="HH155">
            <v>4154417.9</v>
          </cell>
          <cell r="HI155">
            <v>1657743.14</v>
          </cell>
          <cell r="HJ155">
            <v>0</v>
          </cell>
          <cell r="HK155">
            <v>9738803.0600000005</v>
          </cell>
          <cell r="HL155">
            <v>4198214.53</v>
          </cell>
          <cell r="HM155">
            <v>7606082.4299999997</v>
          </cell>
          <cell r="HN155">
            <v>1814622.8</v>
          </cell>
          <cell r="HO155">
            <v>2856350.01</v>
          </cell>
          <cell r="HP155">
            <v>7915667.04</v>
          </cell>
          <cell r="HQ155">
            <v>4745137.76</v>
          </cell>
          <cell r="HR155">
            <v>2026746.27</v>
          </cell>
          <cell r="HS155">
            <v>870416.06</v>
          </cell>
          <cell r="HT155">
            <v>313173.5</v>
          </cell>
          <cell r="HU155">
            <v>207783</v>
          </cell>
          <cell r="HV155">
            <v>1626840.55</v>
          </cell>
          <cell r="HW155">
            <v>0</v>
          </cell>
          <cell r="HX155">
            <v>1614891</v>
          </cell>
          <cell r="HY155">
            <v>491833</v>
          </cell>
          <cell r="HZ155">
            <v>355563.25</v>
          </cell>
          <cell r="IA155">
            <v>264116</v>
          </cell>
          <cell r="IB155">
            <v>1112575.25</v>
          </cell>
          <cell r="IC155">
            <v>1854674.5</v>
          </cell>
          <cell r="ID155">
            <v>0</v>
          </cell>
          <cell r="IE155">
            <v>211107.5</v>
          </cell>
          <cell r="IF155">
            <v>0</v>
          </cell>
          <cell r="IG155">
            <v>0</v>
          </cell>
          <cell r="IH155">
            <v>2634587</v>
          </cell>
          <cell r="II155">
            <v>159515.75</v>
          </cell>
          <cell r="IJ155">
            <v>1007100.32</v>
          </cell>
          <cell r="IK155">
            <v>67543.41</v>
          </cell>
          <cell r="IL155">
            <v>233344.05</v>
          </cell>
          <cell r="IM155">
            <v>194113.25</v>
          </cell>
          <cell r="IN155">
            <v>192140.29</v>
          </cell>
          <cell r="IO155">
            <v>43059</v>
          </cell>
          <cell r="IP155">
            <v>64455.199999999997</v>
          </cell>
          <cell r="IQ155">
            <v>0</v>
          </cell>
          <cell r="IR155">
            <v>941830.1</v>
          </cell>
          <cell r="IS155">
            <v>0</v>
          </cell>
          <cell r="IT155">
            <v>636817.01</v>
          </cell>
          <cell r="IU155">
            <v>1440848.02</v>
          </cell>
          <cell r="IV155">
            <v>2006577.42</v>
          </cell>
          <cell r="IW155">
            <v>1624527.2</v>
          </cell>
          <cell r="IX155">
            <v>841</v>
          </cell>
          <cell r="IY155">
            <v>297903.61</v>
          </cell>
          <cell r="IZ155">
            <v>28792.15</v>
          </cell>
          <cell r="JA155">
            <v>78604</v>
          </cell>
          <cell r="JB155">
            <v>149746</v>
          </cell>
          <cell r="JC155">
            <v>3789328.59</v>
          </cell>
          <cell r="JD155">
            <v>282655</v>
          </cell>
          <cell r="JE155">
            <v>9220</v>
          </cell>
          <cell r="JF155">
            <v>104002.08</v>
          </cell>
          <cell r="JG155">
            <v>193614.27</v>
          </cell>
          <cell r="JH155">
            <v>226648</v>
          </cell>
          <cell r="JI155">
            <v>58353</v>
          </cell>
          <cell r="JJ155">
            <v>45778.5</v>
          </cell>
          <cell r="JK155">
            <v>445552.94</v>
          </cell>
          <cell r="JL155">
            <v>20108</v>
          </cell>
          <cell r="JM155">
            <v>0</v>
          </cell>
          <cell r="JN155">
            <v>80032</v>
          </cell>
          <cell r="JO155">
            <v>47528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9157208.6500000004</v>
          </cell>
          <cell r="KI155">
            <v>2661188.88</v>
          </cell>
          <cell r="KJ155">
            <v>2591215.85</v>
          </cell>
          <cell r="KK155">
            <v>2711827.3</v>
          </cell>
          <cell r="KL155">
            <v>2694466.51</v>
          </cell>
          <cell r="KM155">
            <v>6915706.5099999998</v>
          </cell>
          <cell r="KN155">
            <v>6111668.6900000004</v>
          </cell>
          <cell r="KO155">
            <v>1780574</v>
          </cell>
          <cell r="KP155">
            <v>27998</v>
          </cell>
          <cell r="KQ155">
            <v>0</v>
          </cell>
          <cell r="KR155">
            <v>921266.6</v>
          </cell>
          <cell r="KS155">
            <v>1597053.97</v>
          </cell>
          <cell r="KT155">
            <v>2992230</v>
          </cell>
          <cell r="KU155">
            <v>5617355.2300000004</v>
          </cell>
          <cell r="KV155">
            <v>2785969.53</v>
          </cell>
          <cell r="KW155">
            <v>804549.29</v>
          </cell>
          <cell r="KX155">
            <v>1395547</v>
          </cell>
          <cell r="KY155">
            <v>392341.35</v>
          </cell>
          <cell r="KZ155">
            <v>748873</v>
          </cell>
          <cell r="LA155">
            <v>257168.34</v>
          </cell>
          <cell r="LB155">
            <v>488475.25</v>
          </cell>
          <cell r="LC155">
            <v>256672</v>
          </cell>
          <cell r="LD155">
            <v>35.76</v>
          </cell>
          <cell r="LE155">
            <v>100611.63</v>
          </cell>
          <cell r="LF155">
            <v>0</v>
          </cell>
          <cell r="LG155">
            <v>7323898.6299999999</v>
          </cell>
          <cell r="LH155">
            <v>3772983.4</v>
          </cell>
          <cell r="LI155">
            <v>4251827.1100000003</v>
          </cell>
          <cell r="LJ155">
            <v>0</v>
          </cell>
          <cell r="LK155">
            <v>1405011</v>
          </cell>
          <cell r="LL155">
            <v>3145625.88</v>
          </cell>
          <cell r="LM155">
            <v>0</v>
          </cell>
          <cell r="LN155">
            <v>36547.42</v>
          </cell>
          <cell r="LO155">
            <v>26093.4</v>
          </cell>
          <cell r="LP155">
            <v>635950.22</v>
          </cell>
          <cell r="LQ155">
            <v>1024353.6</v>
          </cell>
          <cell r="LR155">
            <v>6947823.0099999998</v>
          </cell>
          <cell r="LS155">
            <v>0</v>
          </cell>
          <cell r="LT155">
            <v>0</v>
          </cell>
          <cell r="LU155">
            <v>9095525.8800000008</v>
          </cell>
          <cell r="LV155">
            <v>4821487.25</v>
          </cell>
          <cell r="LW155">
            <v>1023740</v>
          </cell>
          <cell r="LX155">
            <v>2189453.96</v>
          </cell>
          <cell r="LY155">
            <v>127553.49</v>
          </cell>
          <cell r="LZ155">
            <v>367000</v>
          </cell>
          <cell r="MA155">
            <v>565290.89</v>
          </cell>
          <cell r="MB155">
            <v>580273.59</v>
          </cell>
          <cell r="MC155">
            <v>277605</v>
          </cell>
          <cell r="MD155">
            <v>702221.68</v>
          </cell>
          <cell r="ME155">
            <v>406155.6</v>
          </cell>
          <cell r="MF155">
            <v>0</v>
          </cell>
          <cell r="MG155">
            <v>0</v>
          </cell>
          <cell r="MH155">
            <v>957000</v>
          </cell>
          <cell r="MI155">
            <v>0</v>
          </cell>
          <cell r="MJ155">
            <v>0</v>
          </cell>
          <cell r="MK155">
            <v>0</v>
          </cell>
          <cell r="ML155">
            <v>0</v>
          </cell>
          <cell r="MM155">
            <v>0</v>
          </cell>
          <cell r="MN155">
            <v>472350</v>
          </cell>
          <cell r="MO155">
            <v>1141500</v>
          </cell>
          <cell r="MP155">
            <v>626000</v>
          </cell>
          <cell r="MQ155">
            <v>0</v>
          </cell>
          <cell r="MR155">
            <v>887000</v>
          </cell>
          <cell r="MS155">
            <v>2619086</v>
          </cell>
          <cell r="MT155">
            <v>418613</v>
          </cell>
          <cell r="MU155">
            <v>2052411.42</v>
          </cell>
          <cell r="MV155">
            <v>553129</v>
          </cell>
          <cell r="MW155">
            <v>10121556.470000001</v>
          </cell>
          <cell r="MX155">
            <v>1654618</v>
          </cell>
          <cell r="MY155">
            <v>4347956.38</v>
          </cell>
          <cell r="MZ155">
            <v>2896345.5</v>
          </cell>
          <cell r="NA155">
            <v>1992997.47</v>
          </cell>
          <cell r="NB155">
            <v>198352.61</v>
          </cell>
          <cell r="NC155">
            <v>204276</v>
          </cell>
          <cell r="ND155">
            <v>19580118.079999998</v>
          </cell>
          <cell r="NE155">
            <v>13659385.25</v>
          </cell>
          <cell r="NF155">
            <v>9260124.6699999999</v>
          </cell>
          <cell r="NG155">
            <v>34950299.140000001</v>
          </cell>
          <cell r="NH155">
            <v>4116370</v>
          </cell>
          <cell r="NI155">
            <v>6201044.2300000004</v>
          </cell>
          <cell r="NJ155">
            <v>7019960.5499999998</v>
          </cell>
          <cell r="NK155">
            <v>41636139.799999997</v>
          </cell>
          <cell r="NL155">
            <v>546390</v>
          </cell>
          <cell r="NM155">
            <v>16759249.119999999</v>
          </cell>
          <cell r="NN155">
            <v>7399976.9299999997</v>
          </cell>
          <cell r="NO155">
            <v>810745.18</v>
          </cell>
          <cell r="NP155">
            <v>4998654.96</v>
          </cell>
          <cell r="NQ155">
            <v>1653526.75</v>
          </cell>
          <cell r="NR155">
            <v>5813978.7199999997</v>
          </cell>
          <cell r="NS155">
            <v>3337550.55</v>
          </cell>
          <cell r="NT155">
            <v>1300667</v>
          </cell>
          <cell r="NU155">
            <v>280879</v>
          </cell>
          <cell r="NV155">
            <v>1044315.15</v>
          </cell>
          <cell r="NW155">
            <v>1801291</v>
          </cell>
          <cell r="NX155">
            <v>3098471.5</v>
          </cell>
          <cell r="NY155">
            <v>411914</v>
          </cell>
          <cell r="NZ155">
            <v>234906.58</v>
          </cell>
          <cell r="OA155">
            <v>81160.38</v>
          </cell>
          <cell r="OB155">
            <v>718813</v>
          </cell>
          <cell r="OC155">
            <v>877179</v>
          </cell>
          <cell r="OD155">
            <v>16475667.26</v>
          </cell>
          <cell r="OE155">
            <v>5667489.4299999997</v>
          </cell>
          <cell r="OF155">
            <v>1202016.49</v>
          </cell>
          <cell r="OG155">
            <v>5840971.96</v>
          </cell>
          <cell r="OH155">
            <v>5912757.0300000003</v>
          </cell>
          <cell r="OI155">
            <v>3215350.48</v>
          </cell>
          <cell r="OJ155">
            <v>7516806.0999999996</v>
          </cell>
          <cell r="OK155">
            <v>453876.9</v>
          </cell>
          <cell r="OL155">
            <v>1389378</v>
          </cell>
          <cell r="OM155">
            <v>17699724.379999999</v>
          </cell>
          <cell r="ON155">
            <v>3948749.95</v>
          </cell>
          <cell r="OO155">
            <v>26082125.559999999</v>
          </cell>
          <cell r="OP155">
            <v>3350707.42</v>
          </cell>
          <cell r="OQ155">
            <v>6040501.5300000003</v>
          </cell>
          <cell r="OR155">
            <v>0</v>
          </cell>
          <cell r="OS155">
            <v>0</v>
          </cell>
          <cell r="OT155">
            <v>3769920.69</v>
          </cell>
          <cell r="OU155">
            <v>2349074.94</v>
          </cell>
          <cell r="OV155">
            <v>1171076.82</v>
          </cell>
          <cell r="OW155">
            <v>2211198.62</v>
          </cell>
          <cell r="OX155">
            <v>8857478.6999999993</v>
          </cell>
          <cell r="OY155">
            <v>370741.82</v>
          </cell>
          <cell r="OZ155">
            <v>783864</v>
          </cell>
          <cell r="PA155">
            <v>0</v>
          </cell>
          <cell r="PB155">
            <v>0</v>
          </cell>
          <cell r="PC155">
            <v>8221</v>
          </cell>
          <cell r="PD155">
            <v>0</v>
          </cell>
          <cell r="PE155">
            <v>14124</v>
          </cell>
          <cell r="PF155">
            <v>0</v>
          </cell>
          <cell r="PG155">
            <v>26275.200000000001</v>
          </cell>
          <cell r="PH155">
            <v>0</v>
          </cell>
          <cell r="PI155">
            <v>4368</v>
          </cell>
          <cell r="PJ155">
            <v>1514</v>
          </cell>
          <cell r="PK155">
            <v>13254.64</v>
          </cell>
          <cell r="PL155">
            <v>47830</v>
          </cell>
          <cell r="PM155">
            <v>1514</v>
          </cell>
          <cell r="PN155">
            <v>35687</v>
          </cell>
          <cell r="PO155">
            <v>14720.44</v>
          </cell>
          <cell r="PP155">
            <v>0</v>
          </cell>
          <cell r="PQ155">
            <v>0</v>
          </cell>
          <cell r="PR155">
            <v>0</v>
          </cell>
          <cell r="PS155">
            <v>0</v>
          </cell>
          <cell r="PT155">
            <v>233820</v>
          </cell>
          <cell r="PU155">
            <v>169612.5</v>
          </cell>
          <cell r="PV155">
            <v>0</v>
          </cell>
          <cell r="PW155">
            <v>0</v>
          </cell>
          <cell r="PX155">
            <v>0</v>
          </cell>
          <cell r="PY155">
            <v>0</v>
          </cell>
          <cell r="PZ155">
            <v>0</v>
          </cell>
          <cell r="QA155">
            <v>1716</v>
          </cell>
          <cell r="QB155">
            <v>187033.75</v>
          </cell>
          <cell r="QC155">
            <v>0</v>
          </cell>
          <cell r="QD155">
            <v>0</v>
          </cell>
          <cell r="QE155">
            <v>16053</v>
          </cell>
          <cell r="QF155">
            <v>3603</v>
          </cell>
          <cell r="QG155">
            <v>0</v>
          </cell>
          <cell r="QH155">
            <v>44602</v>
          </cell>
          <cell r="QI155">
            <v>69627</v>
          </cell>
          <cell r="QJ155">
            <v>8382</v>
          </cell>
          <cell r="QK155">
            <v>16935</v>
          </cell>
          <cell r="QL155">
            <v>6398</v>
          </cell>
          <cell r="QM155">
            <v>14462.5</v>
          </cell>
          <cell r="QN155">
            <v>2172</v>
          </cell>
          <cell r="QO155">
            <v>412</v>
          </cell>
          <cell r="QP155">
            <v>5739</v>
          </cell>
          <cell r="QQ155">
            <v>0</v>
          </cell>
          <cell r="QR155">
            <v>15911</v>
          </cell>
          <cell r="QS155">
            <v>0</v>
          </cell>
          <cell r="QT155">
            <v>20595.63</v>
          </cell>
          <cell r="QU155">
            <v>7640</v>
          </cell>
          <cell r="QV155">
            <v>0</v>
          </cell>
          <cell r="QW155">
            <v>15578.5</v>
          </cell>
          <cell r="QX155">
            <v>0</v>
          </cell>
          <cell r="QY155">
            <v>7968</v>
          </cell>
          <cell r="QZ155">
            <v>27659</v>
          </cell>
          <cell r="RA155">
            <v>80124</v>
          </cell>
          <cell r="RB155">
            <v>0</v>
          </cell>
          <cell r="RC155">
            <v>1291</v>
          </cell>
          <cell r="RD155">
            <v>9039</v>
          </cell>
          <cell r="RE155">
            <v>0</v>
          </cell>
          <cell r="RF155">
            <v>0</v>
          </cell>
          <cell r="RG155">
            <v>39473.25</v>
          </cell>
          <cell r="RH155">
            <v>40102</v>
          </cell>
          <cell r="RI155">
            <v>10201</v>
          </cell>
          <cell r="RJ155">
            <v>40674</v>
          </cell>
          <cell r="RK155">
            <v>0</v>
          </cell>
          <cell r="RL155">
            <v>0</v>
          </cell>
          <cell r="RM155">
            <v>12796</v>
          </cell>
          <cell r="RN155">
            <v>8727</v>
          </cell>
          <cell r="RO155">
            <v>0</v>
          </cell>
          <cell r="RP155">
            <v>40495.160000000003</v>
          </cell>
          <cell r="RQ155">
            <v>4724</v>
          </cell>
          <cell r="RR155">
            <v>19401</v>
          </cell>
          <cell r="RS155">
            <v>11456.5</v>
          </cell>
          <cell r="RT155">
            <v>0</v>
          </cell>
          <cell r="RU155">
            <v>14321</v>
          </cell>
          <cell r="RV155">
            <v>0</v>
          </cell>
          <cell r="RW155">
            <v>14256</v>
          </cell>
          <cell r="RX155">
            <v>0</v>
          </cell>
          <cell r="RY155">
            <v>0</v>
          </cell>
          <cell r="RZ155">
            <v>0</v>
          </cell>
          <cell r="SA155">
            <v>316339.25</v>
          </cell>
          <cell r="SB155">
            <v>0</v>
          </cell>
          <cell r="SC155">
            <v>171084</v>
          </cell>
          <cell r="SD155">
            <v>0</v>
          </cell>
          <cell r="SE155">
            <v>12703.51</v>
          </cell>
          <cell r="SF155">
            <v>80137</v>
          </cell>
          <cell r="SG155">
            <v>107745.58</v>
          </cell>
          <cell r="SH155">
            <v>736879.68</v>
          </cell>
          <cell r="SI155">
            <v>19322.419999999998</v>
          </cell>
          <cell r="SJ155">
            <v>0</v>
          </cell>
          <cell r="SK155">
            <v>129218.37</v>
          </cell>
          <cell r="SL155">
            <v>8033</v>
          </cell>
          <cell r="SM155">
            <v>196608.69</v>
          </cell>
          <cell r="SN155">
            <v>60835.16</v>
          </cell>
          <cell r="SO155">
            <v>74464.5</v>
          </cell>
          <cell r="SP155">
            <v>13708.28</v>
          </cell>
          <cell r="SQ155">
            <v>106047.69</v>
          </cell>
          <cell r="SR155">
            <v>43258.239999999998</v>
          </cell>
          <cell r="SS155">
            <v>44480.69</v>
          </cell>
          <cell r="ST155">
            <v>98134.24</v>
          </cell>
          <cell r="SU155">
            <v>630819.69999999995</v>
          </cell>
          <cell r="SV155">
            <v>18278.919999999998</v>
          </cell>
          <cell r="SW155">
            <v>428526</v>
          </cell>
          <cell r="SX155">
            <v>157639.64000000001</v>
          </cell>
          <cell r="SY155">
            <v>7845.38</v>
          </cell>
          <cell r="SZ155">
            <v>257867.05</v>
          </cell>
          <cell r="TA155">
            <v>0</v>
          </cell>
          <cell r="TB155">
            <v>3656</v>
          </cell>
          <cell r="TC155">
            <v>17518.61</v>
          </cell>
          <cell r="TD155">
            <v>38222</v>
          </cell>
          <cell r="TE155">
            <v>28029.34</v>
          </cell>
          <cell r="TF155">
            <v>173086.37</v>
          </cell>
          <cell r="TG155">
            <v>114842</v>
          </cell>
          <cell r="TH155">
            <v>43034.17</v>
          </cell>
          <cell r="TI155">
            <v>204255.99</v>
          </cell>
          <cell r="TJ155">
            <v>45560.83</v>
          </cell>
          <cell r="TK155">
            <v>3700.25</v>
          </cell>
          <cell r="TL155">
            <v>12790.17</v>
          </cell>
          <cell r="TM155">
            <v>40053.199999999997</v>
          </cell>
          <cell r="TN155">
            <v>25229.599999999999</v>
          </cell>
          <cell r="TO155">
            <v>0</v>
          </cell>
          <cell r="TP155">
            <v>80494.080000000002</v>
          </cell>
          <cell r="TQ155">
            <v>25692.32</v>
          </cell>
          <cell r="TR155">
            <v>44163</v>
          </cell>
          <cell r="TS155">
            <v>267478.68</v>
          </cell>
          <cell r="TT155">
            <v>13567</v>
          </cell>
          <cell r="TU155">
            <v>26570</v>
          </cell>
          <cell r="TV155">
            <v>22039.5</v>
          </cell>
          <cell r="TW155">
            <v>22464.28</v>
          </cell>
          <cell r="TX155">
            <v>20217.82</v>
          </cell>
          <cell r="TY155">
            <v>259808.25</v>
          </cell>
          <cell r="TZ155">
            <v>23594.7</v>
          </cell>
          <cell r="UA155">
            <v>255530.71</v>
          </cell>
          <cell r="UB155">
            <v>252127.62</v>
          </cell>
          <cell r="UC155">
            <v>0</v>
          </cell>
          <cell r="UD155">
            <v>77655.41</v>
          </cell>
          <cell r="UE155">
            <v>224556.65</v>
          </cell>
          <cell r="UF155">
            <v>0</v>
          </cell>
          <cell r="UG155">
            <v>0</v>
          </cell>
          <cell r="UH155">
            <v>0</v>
          </cell>
          <cell r="UI155">
            <v>0</v>
          </cell>
          <cell r="UJ155">
            <v>28052.82</v>
          </cell>
          <cell r="UK155">
            <v>15252.32</v>
          </cell>
          <cell r="UL155">
            <v>8342.07</v>
          </cell>
          <cell r="UM155">
            <v>8986.01</v>
          </cell>
          <cell r="UN155">
            <v>18292.71</v>
          </cell>
          <cell r="UO155">
            <v>34304.21</v>
          </cell>
          <cell r="UP155">
            <v>0</v>
          </cell>
          <cell r="UQ155">
            <v>24216</v>
          </cell>
          <cell r="UR155">
            <v>0</v>
          </cell>
          <cell r="US155">
            <v>49449.14</v>
          </cell>
          <cell r="UT155">
            <v>0</v>
          </cell>
          <cell r="UU155">
            <v>257</v>
          </cell>
          <cell r="UV155">
            <v>76653.64</v>
          </cell>
          <cell r="UW155">
            <v>3656</v>
          </cell>
          <cell r="UX155">
            <v>3862</v>
          </cell>
          <cell r="UY155">
            <v>6283.27</v>
          </cell>
          <cell r="UZ155">
            <v>20108</v>
          </cell>
          <cell r="VA155">
            <v>63412.46</v>
          </cell>
          <cell r="VB155">
            <v>16290</v>
          </cell>
          <cell r="VC155">
            <v>47100.26</v>
          </cell>
          <cell r="VD155">
            <v>0</v>
          </cell>
          <cell r="VE155">
            <v>8987.67</v>
          </cell>
          <cell r="VF155">
            <v>21477.78</v>
          </cell>
          <cell r="VG155">
            <v>4844</v>
          </cell>
          <cell r="VH155">
            <v>45380.69</v>
          </cell>
          <cell r="VI155">
            <v>0</v>
          </cell>
          <cell r="VJ155">
            <v>25106.34</v>
          </cell>
          <cell r="VK155">
            <v>0</v>
          </cell>
          <cell r="VL155">
            <v>21904.54</v>
          </cell>
          <cell r="VM155">
            <v>26795</v>
          </cell>
          <cell r="VN155">
            <v>24051.62</v>
          </cell>
          <cell r="VO155">
            <v>27061</v>
          </cell>
          <cell r="VP155">
            <v>0</v>
          </cell>
          <cell r="VQ155">
            <v>280601.90000000002</v>
          </cell>
          <cell r="VR155">
            <v>90528</v>
          </cell>
          <cell r="VS155">
            <v>1828</v>
          </cell>
          <cell r="VT155">
            <v>30762</v>
          </cell>
          <cell r="VU155">
            <v>0</v>
          </cell>
          <cell r="VV155">
            <v>14814.5</v>
          </cell>
          <cell r="VW155">
            <v>14183.4</v>
          </cell>
          <cell r="VX155">
            <v>70032</v>
          </cell>
          <cell r="VY155">
            <v>0</v>
          </cell>
          <cell r="VZ155">
            <v>7200</v>
          </cell>
          <cell r="WA155">
            <v>0</v>
          </cell>
          <cell r="WB155">
            <v>898255.55</v>
          </cell>
          <cell r="WC155">
            <v>1188043</v>
          </cell>
          <cell r="WD155">
            <v>0</v>
          </cell>
          <cell r="WE155">
            <v>0</v>
          </cell>
          <cell r="WF155">
            <v>36926</v>
          </cell>
          <cell r="WG155">
            <v>368843.44</v>
          </cell>
          <cell r="WH155">
            <v>111228.73</v>
          </cell>
          <cell r="WI155">
            <v>11500</v>
          </cell>
          <cell r="WJ155">
            <v>88533</v>
          </cell>
          <cell r="WK155">
            <v>81564.38</v>
          </cell>
          <cell r="WL155">
            <v>99578.72</v>
          </cell>
          <cell r="WM155">
            <v>5199</v>
          </cell>
          <cell r="WN155">
            <v>801866.75</v>
          </cell>
          <cell r="WO155">
            <v>46673</v>
          </cell>
          <cell r="WP155">
            <v>0</v>
          </cell>
          <cell r="WQ155">
            <v>5808</v>
          </cell>
          <cell r="WR155">
            <v>290458</v>
          </cell>
          <cell r="WS155">
            <v>136810.32999999999</v>
          </cell>
          <cell r="WT155">
            <v>691523.81</v>
          </cell>
          <cell r="WU155">
            <v>791445.39</v>
          </cell>
          <cell r="WV155">
            <v>128034.85</v>
          </cell>
          <cell r="WW155">
            <v>3000</v>
          </cell>
          <cell r="WX155">
            <v>19740</v>
          </cell>
          <cell r="WY155">
            <v>460544.09</v>
          </cell>
          <cell r="WZ155">
            <v>0</v>
          </cell>
          <cell r="XA155">
            <v>3939</v>
          </cell>
          <cell r="XB155">
            <v>13571.5</v>
          </cell>
          <cell r="XC155">
            <v>999129.12</v>
          </cell>
          <cell r="XD155">
            <v>143037</v>
          </cell>
          <cell r="XE155">
            <v>0</v>
          </cell>
          <cell r="XF155">
            <v>0</v>
          </cell>
          <cell r="XG155">
            <v>15742.84</v>
          </cell>
          <cell r="XH155">
            <v>1657028.43</v>
          </cell>
          <cell r="XI155">
            <v>0</v>
          </cell>
          <cell r="XJ155">
            <v>0</v>
          </cell>
          <cell r="XK155">
            <v>0</v>
          </cell>
          <cell r="XL155">
            <v>0</v>
          </cell>
          <cell r="XM155">
            <v>0</v>
          </cell>
          <cell r="XN155">
            <v>0</v>
          </cell>
          <cell r="XO155">
            <v>0</v>
          </cell>
          <cell r="XP155">
            <v>0</v>
          </cell>
          <cell r="XQ155">
            <v>0</v>
          </cell>
          <cell r="XR155">
            <v>0</v>
          </cell>
          <cell r="XS155">
            <v>0</v>
          </cell>
          <cell r="XT155">
            <v>0</v>
          </cell>
          <cell r="XU155">
            <v>0</v>
          </cell>
          <cell r="XV155">
            <v>0</v>
          </cell>
          <cell r="XW155">
            <v>0</v>
          </cell>
          <cell r="XX155">
            <v>0</v>
          </cell>
          <cell r="XY155">
            <v>0</v>
          </cell>
          <cell r="XZ155">
            <v>0</v>
          </cell>
          <cell r="YA155">
            <v>0</v>
          </cell>
          <cell r="YB155">
            <v>0</v>
          </cell>
          <cell r="YC155">
            <v>0</v>
          </cell>
          <cell r="YD155">
            <v>0</v>
          </cell>
          <cell r="YE155">
            <v>513038.85</v>
          </cell>
          <cell r="YF155">
            <v>0</v>
          </cell>
          <cell r="YG155">
            <v>0</v>
          </cell>
          <cell r="YH155">
            <v>0</v>
          </cell>
          <cell r="YI155">
            <v>0</v>
          </cell>
          <cell r="YJ155">
            <v>0</v>
          </cell>
          <cell r="YK155">
            <v>0</v>
          </cell>
          <cell r="YL155">
            <v>0</v>
          </cell>
          <cell r="YM155">
            <v>0</v>
          </cell>
          <cell r="YN155">
            <v>0</v>
          </cell>
          <cell r="YO155">
            <v>0</v>
          </cell>
          <cell r="YP155">
            <v>0</v>
          </cell>
          <cell r="YQ155">
            <v>0</v>
          </cell>
          <cell r="YR155">
            <v>0</v>
          </cell>
          <cell r="YS155">
            <v>0</v>
          </cell>
          <cell r="YT155">
            <v>0</v>
          </cell>
          <cell r="YU155">
            <v>0</v>
          </cell>
          <cell r="YV155">
            <v>202094.9</v>
          </cell>
          <cell r="YW155">
            <v>0</v>
          </cell>
          <cell r="YX155">
            <v>9347</v>
          </cell>
          <cell r="YY155">
            <v>0</v>
          </cell>
          <cell r="YZ155">
            <v>58243.5</v>
          </cell>
          <cell r="ZA155">
            <v>5484</v>
          </cell>
          <cell r="ZB155">
            <v>0</v>
          </cell>
          <cell r="ZC155">
            <v>30224</v>
          </cell>
          <cell r="ZD155">
            <v>0</v>
          </cell>
          <cell r="ZE155">
            <v>0</v>
          </cell>
          <cell r="ZF155">
            <v>0</v>
          </cell>
          <cell r="ZG155">
            <v>0</v>
          </cell>
          <cell r="ZH155">
            <v>0</v>
          </cell>
          <cell r="ZI155">
            <v>0</v>
          </cell>
          <cell r="ZJ155">
            <v>0</v>
          </cell>
          <cell r="ZK155">
            <v>0</v>
          </cell>
          <cell r="ZL155">
            <v>739692.03</v>
          </cell>
          <cell r="ZM155">
            <v>1828</v>
          </cell>
          <cell r="ZN155">
            <v>12796</v>
          </cell>
          <cell r="ZO155">
            <v>14481.5</v>
          </cell>
          <cell r="ZP155">
            <v>0</v>
          </cell>
          <cell r="ZQ155">
            <v>0</v>
          </cell>
          <cell r="ZR155">
            <v>0</v>
          </cell>
          <cell r="ZS155">
            <v>0</v>
          </cell>
          <cell r="ZT155">
            <v>20108</v>
          </cell>
          <cell r="ZU155">
            <v>2742</v>
          </cell>
          <cell r="ZV155">
            <v>0</v>
          </cell>
          <cell r="ZW155">
            <v>7312</v>
          </cell>
          <cell r="ZX155">
            <v>0</v>
          </cell>
          <cell r="ZY155">
            <v>5390.91</v>
          </cell>
          <cell r="ZZ155">
            <v>0</v>
          </cell>
          <cell r="AAA155">
            <v>0</v>
          </cell>
          <cell r="AAB155">
            <v>0</v>
          </cell>
          <cell r="AAC155">
            <v>0</v>
          </cell>
          <cell r="AAD155">
            <v>2558</v>
          </cell>
          <cell r="AAE155">
            <v>0</v>
          </cell>
          <cell r="AAF155">
            <v>9140</v>
          </cell>
          <cell r="AAG155">
            <v>0</v>
          </cell>
          <cell r="AAH155">
            <v>0</v>
          </cell>
          <cell r="AAI155">
            <v>0</v>
          </cell>
          <cell r="AAJ155">
            <v>0</v>
          </cell>
          <cell r="AAK155">
            <v>0</v>
          </cell>
          <cell r="AAL155">
            <v>0</v>
          </cell>
          <cell r="AAM155">
            <v>0</v>
          </cell>
          <cell r="AAN155">
            <v>0</v>
          </cell>
          <cell r="AAO155">
            <v>15138</v>
          </cell>
          <cell r="AAP155">
            <v>197690</v>
          </cell>
          <cell r="AAQ155">
            <v>0</v>
          </cell>
          <cell r="AAR155">
            <v>7500</v>
          </cell>
          <cell r="AAS155">
            <v>0</v>
          </cell>
          <cell r="AAT155">
            <v>0</v>
          </cell>
          <cell r="AAU155">
            <v>0</v>
          </cell>
          <cell r="AAV155">
            <v>0</v>
          </cell>
          <cell r="AAW155">
            <v>0</v>
          </cell>
          <cell r="AAX155">
            <v>0</v>
          </cell>
          <cell r="AAY155">
            <v>0</v>
          </cell>
          <cell r="AAZ155">
            <v>97760</v>
          </cell>
          <cell r="ABA155">
            <v>4500</v>
          </cell>
          <cell r="ABB155">
            <v>7226</v>
          </cell>
          <cell r="ABC155">
            <v>0</v>
          </cell>
          <cell r="ABD155">
            <v>0</v>
          </cell>
          <cell r="ABE155">
            <v>9920</v>
          </cell>
          <cell r="ABF155">
            <v>0</v>
          </cell>
          <cell r="ABG155">
            <v>0</v>
          </cell>
          <cell r="ABH155">
            <v>0</v>
          </cell>
          <cell r="ABI155">
            <v>65808</v>
          </cell>
          <cell r="ABJ155">
            <v>47092</v>
          </cell>
          <cell r="ABK155">
            <v>0</v>
          </cell>
          <cell r="ABL155">
            <v>0</v>
          </cell>
          <cell r="ABM155">
            <v>1500</v>
          </cell>
          <cell r="ABN155">
            <v>0</v>
          </cell>
          <cell r="ABO155">
            <v>0</v>
          </cell>
          <cell r="ABP155">
            <v>1401573.54</v>
          </cell>
          <cell r="ABQ155">
            <v>496158.5</v>
          </cell>
          <cell r="ABR155">
            <v>1215391.1100000001</v>
          </cell>
          <cell r="ABS155">
            <v>901435.2</v>
          </cell>
          <cell r="ABT155">
            <v>560291</v>
          </cell>
          <cell r="ABU155">
            <v>520957.64</v>
          </cell>
          <cell r="ABV155">
            <v>510853.59</v>
          </cell>
          <cell r="ABW155">
            <v>0</v>
          </cell>
          <cell r="ABX155">
            <v>2480158.9</v>
          </cell>
          <cell r="ABY155">
            <v>4868946</v>
          </cell>
          <cell r="ABZ155">
            <v>5165539.7699999996</v>
          </cell>
          <cell r="ACA155">
            <v>1529415.84</v>
          </cell>
          <cell r="ACB155">
            <v>5925053.4199999999</v>
          </cell>
          <cell r="ACC155">
            <v>4559995.3</v>
          </cell>
          <cell r="ACD155">
            <v>1650764.26</v>
          </cell>
          <cell r="ACE155">
            <v>1703415.6</v>
          </cell>
          <cell r="ACF155">
            <v>1573129.58</v>
          </cell>
          <cell r="ACG155">
            <v>3643133.93</v>
          </cell>
          <cell r="ACH155">
            <v>3215093.25</v>
          </cell>
          <cell r="ACI155">
            <v>232297.04</v>
          </cell>
          <cell r="ACJ155">
            <v>11999</v>
          </cell>
          <cell r="ACK155">
            <v>163319</v>
          </cell>
          <cell r="ACL155">
            <v>1341198.71</v>
          </cell>
          <cell r="ACM155">
            <v>150537.75</v>
          </cell>
          <cell r="ACN155">
            <v>0</v>
          </cell>
          <cell r="ACO155">
            <v>111780.95</v>
          </cell>
          <cell r="ACP155">
            <v>4715062.5</v>
          </cell>
          <cell r="ACQ155">
            <v>0</v>
          </cell>
          <cell r="ACR155">
            <v>332345</v>
          </cell>
          <cell r="ACS155">
            <v>2148338.2799999998</v>
          </cell>
          <cell r="ACT155">
            <v>134831</v>
          </cell>
          <cell r="ACU155">
            <v>12360</v>
          </cell>
          <cell r="ACV155">
            <v>23592</v>
          </cell>
          <cell r="ACW155">
            <v>1025687.39</v>
          </cell>
          <cell r="ACX155">
            <v>263126.5</v>
          </cell>
          <cell r="ACY155">
            <v>803807.19</v>
          </cell>
          <cell r="ACZ155">
            <v>256829.23</v>
          </cell>
          <cell r="ADA155">
            <v>19693</v>
          </cell>
          <cell r="ADB155">
            <v>0</v>
          </cell>
          <cell r="ADC155">
            <v>0</v>
          </cell>
          <cell r="ADD155">
            <v>0</v>
          </cell>
          <cell r="ADE155">
            <v>0</v>
          </cell>
          <cell r="ADF155">
            <v>0</v>
          </cell>
          <cell r="ADG155">
            <v>713537.3</v>
          </cell>
          <cell r="ADH155">
            <v>0</v>
          </cell>
          <cell r="ADI155">
            <v>530980</v>
          </cell>
          <cell r="ADJ155">
            <v>0</v>
          </cell>
          <cell r="ADK155">
            <v>165500</v>
          </cell>
          <cell r="ADL155">
            <v>1164000</v>
          </cell>
          <cell r="ADM155">
            <v>0</v>
          </cell>
          <cell r="ADN155">
            <v>0</v>
          </cell>
          <cell r="ADO155">
            <v>22771751.879999999</v>
          </cell>
          <cell r="ADP155">
            <v>3718490.39</v>
          </cell>
          <cell r="ADQ155">
            <v>5800711</v>
          </cell>
          <cell r="ADR155">
            <v>0</v>
          </cell>
          <cell r="ADS155">
            <v>2168813.5</v>
          </cell>
          <cell r="ADT155">
            <v>69490.63</v>
          </cell>
          <cell r="ADU155">
            <v>762547.3</v>
          </cell>
          <cell r="ADV155">
            <v>7901003.5499999998</v>
          </cell>
          <cell r="ADW155">
            <v>101544.38</v>
          </cell>
          <cell r="ADX155">
            <v>0</v>
          </cell>
          <cell r="ADY155">
            <v>0</v>
          </cell>
          <cell r="ADZ155">
            <v>0</v>
          </cell>
          <cell r="AEA155">
            <v>1946703.5</v>
          </cell>
          <cell r="AEB155">
            <v>1356176.05</v>
          </cell>
          <cell r="AEC155">
            <v>904325.31</v>
          </cell>
          <cell r="AED155">
            <v>3266967.75</v>
          </cell>
          <cell r="AEE155">
            <v>725763.71</v>
          </cell>
          <cell r="AEF155">
            <v>1199555.03</v>
          </cell>
          <cell r="AEG155">
            <v>187095.72</v>
          </cell>
          <cell r="AEH155">
            <v>1391372.49</v>
          </cell>
          <cell r="AEI155">
            <v>2056</v>
          </cell>
          <cell r="AEJ155">
            <v>43827.5</v>
          </cell>
          <cell r="AEK155">
            <v>433965.44</v>
          </cell>
          <cell r="AEL155">
            <v>1266676</v>
          </cell>
          <cell r="AEM155">
            <v>1064306.8400000001</v>
          </cell>
          <cell r="AEN155">
            <v>1686278.5</v>
          </cell>
          <cell r="AEO155">
            <v>594250.29</v>
          </cell>
          <cell r="AEP155">
            <v>1425897</v>
          </cell>
          <cell r="AEQ155">
            <v>590730.03</v>
          </cell>
          <cell r="AER155">
            <v>1192078.6499999999</v>
          </cell>
          <cell r="AES155">
            <v>341347.96</v>
          </cell>
          <cell r="AET155">
            <v>2662553.36</v>
          </cell>
          <cell r="AEU155">
            <v>349548.2</v>
          </cell>
          <cell r="AEV155">
            <v>80322.570000000007</v>
          </cell>
          <cell r="AEW155">
            <v>441411.71</v>
          </cell>
          <cell r="AEX155">
            <v>409828.2</v>
          </cell>
          <cell r="AEY155">
            <v>195873.4</v>
          </cell>
          <cell r="AEZ155">
            <v>17660.75</v>
          </cell>
          <cell r="AFA155">
            <v>318070.2</v>
          </cell>
          <cell r="AFB155">
            <v>3391</v>
          </cell>
          <cell r="AFC155">
            <v>129237</v>
          </cell>
          <cell r="AFD155">
            <v>7826</v>
          </cell>
          <cell r="AFE155">
            <v>48100</v>
          </cell>
          <cell r="AFF155">
            <v>5356</v>
          </cell>
          <cell r="AFG155">
            <v>0</v>
          </cell>
          <cell r="AFH155">
            <v>76776</v>
          </cell>
          <cell r="AFI155">
            <v>0</v>
          </cell>
          <cell r="AFJ155">
            <v>0</v>
          </cell>
          <cell r="AFK155">
            <v>0</v>
          </cell>
          <cell r="AFL155">
            <v>15695</v>
          </cell>
          <cell r="AFM155">
            <v>0</v>
          </cell>
          <cell r="AFN155">
            <v>0</v>
          </cell>
          <cell r="AFO155">
            <v>4068</v>
          </cell>
          <cell r="AFP155">
            <v>1803838.47</v>
          </cell>
          <cell r="AFQ155">
            <v>0</v>
          </cell>
          <cell r="AFR155">
            <v>48442</v>
          </cell>
          <cell r="AFS155">
            <v>0</v>
          </cell>
          <cell r="AFT155">
            <v>0</v>
          </cell>
          <cell r="AFU155">
            <v>0</v>
          </cell>
          <cell r="AFV155">
            <v>0</v>
          </cell>
          <cell r="AFW155">
            <v>186199</v>
          </cell>
          <cell r="AFX155">
            <v>0</v>
          </cell>
          <cell r="AFY155">
            <v>0</v>
          </cell>
          <cell r="AFZ155">
            <v>4570</v>
          </cell>
          <cell r="AGA155">
            <v>0</v>
          </cell>
          <cell r="AGB155">
            <v>11320</v>
          </cell>
          <cell r="AGC155">
            <v>0</v>
          </cell>
          <cell r="AGD155">
            <v>0</v>
          </cell>
          <cell r="AGE155">
            <v>0</v>
          </cell>
          <cell r="AGF155">
            <v>0</v>
          </cell>
          <cell r="AGG155">
            <v>0</v>
          </cell>
          <cell r="AGH155">
            <v>0</v>
          </cell>
          <cell r="AGI155">
            <v>0</v>
          </cell>
          <cell r="AGJ155">
            <v>0</v>
          </cell>
          <cell r="AGK155">
            <v>8333.75</v>
          </cell>
          <cell r="AGL155">
            <v>0</v>
          </cell>
          <cell r="AGM155">
            <v>1783615.16</v>
          </cell>
          <cell r="AGN155">
            <v>230041</v>
          </cell>
          <cell r="AGO155">
            <v>0</v>
          </cell>
          <cell r="AGP155">
            <v>0</v>
          </cell>
          <cell r="AGQ155">
            <v>0</v>
          </cell>
          <cell r="AGR155">
            <v>0</v>
          </cell>
          <cell r="AGS155">
            <v>0</v>
          </cell>
          <cell r="AGT155">
            <v>0</v>
          </cell>
          <cell r="AGU155">
            <v>3860022.96</v>
          </cell>
          <cell r="AGV155">
            <v>0</v>
          </cell>
          <cell r="AGW155">
            <v>58894</v>
          </cell>
          <cell r="AGX155">
            <v>145994.03</v>
          </cell>
          <cell r="AGY155">
            <v>28258.66</v>
          </cell>
          <cell r="AGZ155">
            <v>308360.27</v>
          </cell>
          <cell r="AHA155">
            <v>0</v>
          </cell>
          <cell r="AHB155">
            <v>227671.1</v>
          </cell>
          <cell r="AHC155">
            <v>9140</v>
          </cell>
          <cell r="AHD155">
            <v>579237.65</v>
          </cell>
          <cell r="AHE155">
            <v>4562722.49</v>
          </cell>
          <cell r="AHF155">
            <v>187843.85</v>
          </cell>
          <cell r="AHG155">
            <v>113774.43</v>
          </cell>
          <cell r="AHH155">
            <v>1412053.45</v>
          </cell>
          <cell r="AHI155">
            <v>406545.95</v>
          </cell>
          <cell r="AHJ155">
            <v>1595798.37</v>
          </cell>
          <cell r="AHK155">
            <v>605251.68999999994</v>
          </cell>
          <cell r="AHL155">
            <v>0</v>
          </cell>
          <cell r="AHM155">
            <v>31334</v>
          </cell>
          <cell r="AHN155">
            <v>14393.56</v>
          </cell>
          <cell r="AHO155">
            <v>0</v>
          </cell>
          <cell r="AHP155">
            <v>1422482.3</v>
          </cell>
          <cell r="AHQ155">
            <v>137726.75</v>
          </cell>
          <cell r="AHR155">
            <v>57476</v>
          </cell>
        </row>
        <row r="156">
          <cell r="B156" t="str">
            <v>D03</v>
          </cell>
          <cell r="C156" t="str">
            <v xml:space="preserve">เงินกองทุนประกันสังคม </v>
          </cell>
          <cell r="D156">
            <v>26804170.239999998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5127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43654517.880000003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15154040.02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5112585.34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18526049.010000002</v>
          </cell>
          <cell r="BJ156">
            <v>5225954.57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6375137.25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6976149.4699999997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16844882.530000001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30268872.199999999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9832461.1300000008</v>
          </cell>
          <cell r="DC156">
            <v>16621292.24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41725808.770000003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28314684.940000001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1226406.25</v>
          </cell>
          <cell r="EF156">
            <v>3971658.95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35740323.759999998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1141018.69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6367264.25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61876845.439999998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2152091.2799999998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19070631.859999999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2648586.7999999998</v>
          </cell>
          <cell r="GZ156">
            <v>0</v>
          </cell>
          <cell r="HA156">
            <v>0</v>
          </cell>
          <cell r="HB156">
            <v>0</v>
          </cell>
          <cell r="HC156">
            <v>27129705.739999998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43445616.93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74499069.489999995</v>
          </cell>
          <cell r="HS156">
            <v>7207279.1699999999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73743907.489999995</v>
          </cell>
          <cell r="II156">
            <v>21662445.329999998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35048134.340000004</v>
          </cell>
          <cell r="IT156">
            <v>115630405.7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5071618.03</v>
          </cell>
          <cell r="JF156">
            <v>342322.06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27756295.629999999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11622091.77</v>
          </cell>
          <cell r="JS156">
            <v>30082121.550000001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89585876.489999995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943381.85</v>
          </cell>
          <cell r="KR156">
            <v>0</v>
          </cell>
          <cell r="KS156">
            <v>0</v>
          </cell>
          <cell r="KT156">
            <v>1430021.25</v>
          </cell>
          <cell r="KU156">
            <v>0</v>
          </cell>
          <cell r="KV156">
            <v>0</v>
          </cell>
          <cell r="KW156">
            <v>28382069.27</v>
          </cell>
          <cell r="KX156">
            <v>0</v>
          </cell>
          <cell r="KY156">
            <v>39589948.380000003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30838206.280000001</v>
          </cell>
          <cell r="LH156">
            <v>7866802.2599999998</v>
          </cell>
          <cell r="LI156">
            <v>21310994.82</v>
          </cell>
          <cell r="LJ156">
            <v>22038795.84</v>
          </cell>
          <cell r="LK156">
            <v>0</v>
          </cell>
          <cell r="LL156">
            <v>0</v>
          </cell>
          <cell r="LM156">
            <v>0</v>
          </cell>
          <cell r="LN156">
            <v>0</v>
          </cell>
          <cell r="LO156">
            <v>0</v>
          </cell>
          <cell r="LP156">
            <v>0</v>
          </cell>
          <cell r="LQ156">
            <v>0</v>
          </cell>
          <cell r="LR156">
            <v>6264075.3499999996</v>
          </cell>
          <cell r="LS156">
            <v>0</v>
          </cell>
          <cell r="LT156">
            <v>0</v>
          </cell>
          <cell r="LU156">
            <v>51077724.640000001</v>
          </cell>
          <cell r="LV156">
            <v>7683161.9299999997</v>
          </cell>
          <cell r="LW156">
            <v>13509791.24</v>
          </cell>
          <cell r="LX156">
            <v>2154891.67</v>
          </cell>
          <cell r="LY156">
            <v>0</v>
          </cell>
          <cell r="LZ156">
            <v>0</v>
          </cell>
          <cell r="MA156">
            <v>0</v>
          </cell>
          <cell r="MB156">
            <v>0</v>
          </cell>
          <cell r="MC156">
            <v>0</v>
          </cell>
          <cell r="MD156">
            <v>0</v>
          </cell>
          <cell r="ME156">
            <v>0</v>
          </cell>
          <cell r="MF156">
            <v>0</v>
          </cell>
          <cell r="MG156">
            <v>12468021.779999999</v>
          </cell>
          <cell r="MH156">
            <v>0</v>
          </cell>
          <cell r="MI156">
            <v>0</v>
          </cell>
          <cell r="MJ156">
            <v>0</v>
          </cell>
          <cell r="MK156">
            <v>0</v>
          </cell>
          <cell r="ML156">
            <v>0</v>
          </cell>
          <cell r="MM156">
            <v>0</v>
          </cell>
          <cell r="MN156">
            <v>0</v>
          </cell>
          <cell r="MO156">
            <v>0</v>
          </cell>
          <cell r="MP156">
            <v>0</v>
          </cell>
          <cell r="MQ156">
            <v>0</v>
          </cell>
          <cell r="MR156">
            <v>0</v>
          </cell>
          <cell r="MS156">
            <v>80042288.439999998</v>
          </cell>
          <cell r="MT156">
            <v>0</v>
          </cell>
          <cell r="MU156">
            <v>0</v>
          </cell>
          <cell r="MV156">
            <v>0</v>
          </cell>
          <cell r="MW156">
            <v>0</v>
          </cell>
          <cell r="MX156">
            <v>0</v>
          </cell>
          <cell r="MY156">
            <v>0</v>
          </cell>
          <cell r="MZ156">
            <v>0</v>
          </cell>
          <cell r="NA156">
            <v>0</v>
          </cell>
          <cell r="NB156">
            <v>0</v>
          </cell>
          <cell r="NC156">
            <v>0</v>
          </cell>
          <cell r="ND156">
            <v>222161795.15000001</v>
          </cell>
          <cell r="NE156">
            <v>0</v>
          </cell>
          <cell r="NF156">
            <v>0</v>
          </cell>
          <cell r="NG156">
            <v>0</v>
          </cell>
          <cell r="NH156">
            <v>0</v>
          </cell>
          <cell r="NI156">
            <v>0</v>
          </cell>
          <cell r="NJ156">
            <v>18102329.690000001</v>
          </cell>
          <cell r="NK156">
            <v>1928913.38</v>
          </cell>
          <cell r="NL156">
            <v>0</v>
          </cell>
          <cell r="NM156">
            <v>0</v>
          </cell>
          <cell r="NN156">
            <v>0</v>
          </cell>
          <cell r="NO156">
            <v>0</v>
          </cell>
          <cell r="NP156">
            <v>16230474.48</v>
          </cell>
          <cell r="NQ156">
            <v>0</v>
          </cell>
          <cell r="NR156">
            <v>0</v>
          </cell>
          <cell r="NS156">
            <v>0</v>
          </cell>
          <cell r="NT156">
            <v>0</v>
          </cell>
          <cell r="NU156">
            <v>0</v>
          </cell>
          <cell r="NV156">
            <v>0</v>
          </cell>
          <cell r="NW156">
            <v>61239598.729999997</v>
          </cell>
          <cell r="NX156">
            <v>18180796.18</v>
          </cell>
          <cell r="NY156">
            <v>0</v>
          </cell>
          <cell r="NZ156">
            <v>0</v>
          </cell>
          <cell r="OA156">
            <v>0</v>
          </cell>
          <cell r="OB156">
            <v>0</v>
          </cell>
          <cell r="OC156">
            <v>0</v>
          </cell>
          <cell r="OD156">
            <v>341227632.91000003</v>
          </cell>
          <cell r="OE156">
            <v>0</v>
          </cell>
          <cell r="OF156">
            <v>0</v>
          </cell>
          <cell r="OG156">
            <v>7328716.6600000001</v>
          </cell>
          <cell r="OH156">
            <v>0</v>
          </cell>
          <cell r="OI156">
            <v>0</v>
          </cell>
          <cell r="OJ156">
            <v>0</v>
          </cell>
          <cell r="OK156">
            <v>0</v>
          </cell>
          <cell r="OL156">
            <v>0</v>
          </cell>
          <cell r="OM156">
            <v>2117786.67</v>
          </cell>
          <cell r="ON156">
            <v>3968942.68</v>
          </cell>
          <cell r="OO156">
            <v>3454530.44</v>
          </cell>
          <cell r="OP156">
            <v>0</v>
          </cell>
          <cell r="OQ156">
            <v>0</v>
          </cell>
          <cell r="OR156">
            <v>0</v>
          </cell>
          <cell r="OS156">
            <v>4407184.9000000004</v>
          </cell>
          <cell r="OT156">
            <v>0</v>
          </cell>
          <cell r="OU156">
            <v>0</v>
          </cell>
          <cell r="OV156">
            <v>0</v>
          </cell>
          <cell r="OW156">
            <v>0</v>
          </cell>
          <cell r="OX156">
            <v>0</v>
          </cell>
          <cell r="OY156">
            <v>0</v>
          </cell>
          <cell r="OZ156">
            <v>0</v>
          </cell>
          <cell r="PA156">
            <v>0</v>
          </cell>
          <cell r="PB156">
            <v>26584542.960000001</v>
          </cell>
          <cell r="PC156">
            <v>0</v>
          </cell>
          <cell r="PD156">
            <v>0</v>
          </cell>
          <cell r="PE156">
            <v>0</v>
          </cell>
          <cell r="PF156">
            <v>0</v>
          </cell>
          <cell r="PG156">
            <v>0</v>
          </cell>
          <cell r="PH156">
            <v>0</v>
          </cell>
          <cell r="PI156">
            <v>0</v>
          </cell>
          <cell r="PJ156">
            <v>0</v>
          </cell>
          <cell r="PK156">
            <v>0</v>
          </cell>
          <cell r="PL156">
            <v>0</v>
          </cell>
          <cell r="PM156">
            <v>0</v>
          </cell>
          <cell r="PN156">
            <v>0</v>
          </cell>
          <cell r="PO156">
            <v>0</v>
          </cell>
          <cell r="PP156">
            <v>0</v>
          </cell>
          <cell r="PQ156">
            <v>0</v>
          </cell>
          <cell r="PR156">
            <v>0</v>
          </cell>
          <cell r="PS156">
            <v>0</v>
          </cell>
          <cell r="PT156">
            <v>87017976.230000004</v>
          </cell>
          <cell r="PU156">
            <v>0</v>
          </cell>
          <cell r="PV156">
            <v>0</v>
          </cell>
          <cell r="PW156">
            <v>0</v>
          </cell>
          <cell r="PX156">
            <v>44211742.460000001</v>
          </cell>
          <cell r="PY156">
            <v>0</v>
          </cell>
          <cell r="PZ156">
            <v>0</v>
          </cell>
          <cell r="QA156">
            <v>0</v>
          </cell>
          <cell r="QB156">
            <v>0</v>
          </cell>
          <cell r="QC156">
            <v>0</v>
          </cell>
          <cell r="QD156">
            <v>0</v>
          </cell>
          <cell r="QE156">
            <v>0</v>
          </cell>
          <cell r="QF156">
            <v>0</v>
          </cell>
          <cell r="QG156">
            <v>0</v>
          </cell>
          <cell r="QH156">
            <v>0</v>
          </cell>
          <cell r="QI156">
            <v>0</v>
          </cell>
          <cell r="QJ156">
            <v>0</v>
          </cell>
          <cell r="QK156">
            <v>0</v>
          </cell>
          <cell r="QL156">
            <v>0</v>
          </cell>
          <cell r="QM156">
            <v>0</v>
          </cell>
          <cell r="QN156">
            <v>0</v>
          </cell>
          <cell r="QO156">
            <v>0</v>
          </cell>
          <cell r="QP156">
            <v>0</v>
          </cell>
          <cell r="QQ156">
            <v>0</v>
          </cell>
          <cell r="QR156">
            <v>0</v>
          </cell>
          <cell r="QS156">
            <v>0</v>
          </cell>
          <cell r="QT156">
            <v>9714404.9900000002</v>
          </cell>
          <cell r="QU156">
            <v>0</v>
          </cell>
          <cell r="QV156">
            <v>0</v>
          </cell>
          <cell r="QW156">
            <v>0</v>
          </cell>
          <cell r="QX156">
            <v>0</v>
          </cell>
          <cell r="QY156">
            <v>0</v>
          </cell>
          <cell r="QZ156">
            <v>0</v>
          </cell>
          <cell r="RA156">
            <v>0</v>
          </cell>
          <cell r="RB156">
            <v>0</v>
          </cell>
          <cell r="RC156">
            <v>0</v>
          </cell>
          <cell r="RD156">
            <v>0</v>
          </cell>
          <cell r="RE156">
            <v>0</v>
          </cell>
          <cell r="RF156">
            <v>0</v>
          </cell>
          <cell r="RG156">
            <v>20727375.699999999</v>
          </cell>
          <cell r="RH156">
            <v>0</v>
          </cell>
          <cell r="RI156">
            <v>0</v>
          </cell>
          <cell r="RJ156">
            <v>0</v>
          </cell>
          <cell r="RK156">
            <v>0</v>
          </cell>
          <cell r="RL156">
            <v>0</v>
          </cell>
          <cell r="RM156">
            <v>0</v>
          </cell>
          <cell r="RN156">
            <v>0</v>
          </cell>
          <cell r="RO156">
            <v>0</v>
          </cell>
          <cell r="RP156">
            <v>0</v>
          </cell>
          <cell r="RQ156">
            <v>0</v>
          </cell>
          <cell r="RR156">
            <v>0</v>
          </cell>
          <cell r="RS156">
            <v>0</v>
          </cell>
          <cell r="RT156">
            <v>0</v>
          </cell>
          <cell r="RU156">
            <v>0</v>
          </cell>
          <cell r="RV156">
            <v>0</v>
          </cell>
          <cell r="RW156">
            <v>0</v>
          </cell>
          <cell r="RX156">
            <v>0</v>
          </cell>
          <cell r="RY156">
            <v>0</v>
          </cell>
          <cell r="RZ156">
            <v>0</v>
          </cell>
          <cell r="SA156">
            <v>11065465.4</v>
          </cell>
          <cell r="SB156">
            <v>0</v>
          </cell>
          <cell r="SC156">
            <v>0</v>
          </cell>
          <cell r="SD156">
            <v>0</v>
          </cell>
          <cell r="SE156">
            <v>0</v>
          </cell>
          <cell r="SF156">
            <v>0</v>
          </cell>
          <cell r="SG156">
            <v>0</v>
          </cell>
          <cell r="SH156">
            <v>0</v>
          </cell>
          <cell r="SI156">
            <v>0</v>
          </cell>
          <cell r="SJ156">
            <v>0</v>
          </cell>
          <cell r="SK156">
            <v>0</v>
          </cell>
          <cell r="SL156">
            <v>0</v>
          </cell>
          <cell r="SM156">
            <v>6192990.3600000003</v>
          </cell>
          <cell r="SN156">
            <v>0</v>
          </cell>
          <cell r="SO156">
            <v>0</v>
          </cell>
          <cell r="SP156">
            <v>0</v>
          </cell>
          <cell r="SQ156">
            <v>0</v>
          </cell>
          <cell r="SR156">
            <v>0</v>
          </cell>
          <cell r="SS156">
            <v>0</v>
          </cell>
          <cell r="ST156">
            <v>0</v>
          </cell>
          <cell r="SU156">
            <v>17274013.690000001</v>
          </cell>
          <cell r="SV156">
            <v>0</v>
          </cell>
          <cell r="SW156">
            <v>0</v>
          </cell>
          <cell r="SX156">
            <v>0</v>
          </cell>
          <cell r="SY156">
            <v>0</v>
          </cell>
          <cell r="SZ156">
            <v>0</v>
          </cell>
          <cell r="TA156">
            <v>0</v>
          </cell>
          <cell r="TB156">
            <v>0</v>
          </cell>
          <cell r="TC156">
            <v>0</v>
          </cell>
          <cell r="TD156">
            <v>0</v>
          </cell>
          <cell r="TE156">
            <v>0</v>
          </cell>
          <cell r="TF156">
            <v>0</v>
          </cell>
          <cell r="TG156">
            <v>0</v>
          </cell>
          <cell r="TH156">
            <v>0</v>
          </cell>
          <cell r="TI156">
            <v>65163070.43</v>
          </cell>
          <cell r="TJ156">
            <v>0</v>
          </cell>
          <cell r="TK156">
            <v>0</v>
          </cell>
          <cell r="TL156">
            <v>0</v>
          </cell>
          <cell r="TM156">
            <v>0</v>
          </cell>
          <cell r="TN156">
            <v>0</v>
          </cell>
          <cell r="TO156">
            <v>0</v>
          </cell>
          <cell r="TP156">
            <v>0</v>
          </cell>
          <cell r="TQ156">
            <v>0</v>
          </cell>
          <cell r="TR156">
            <v>0</v>
          </cell>
          <cell r="TS156">
            <v>0</v>
          </cell>
          <cell r="TT156">
            <v>0</v>
          </cell>
          <cell r="TU156">
            <v>0</v>
          </cell>
          <cell r="TV156">
            <v>0</v>
          </cell>
          <cell r="TW156">
            <v>0</v>
          </cell>
          <cell r="TX156">
            <v>0</v>
          </cell>
          <cell r="TY156">
            <v>4172189.79</v>
          </cell>
          <cell r="TZ156">
            <v>0</v>
          </cell>
          <cell r="UA156">
            <v>17133292.100000001</v>
          </cell>
          <cell r="UB156">
            <v>0</v>
          </cell>
          <cell r="UC156">
            <v>0</v>
          </cell>
          <cell r="UD156">
            <v>0</v>
          </cell>
          <cell r="UE156">
            <v>7677019.7400000002</v>
          </cell>
          <cell r="UF156">
            <v>0</v>
          </cell>
          <cell r="UG156">
            <v>0</v>
          </cell>
          <cell r="UH156">
            <v>0</v>
          </cell>
          <cell r="UI156">
            <v>0</v>
          </cell>
          <cell r="UJ156">
            <v>7216553.1699999999</v>
          </cell>
          <cell r="UK156">
            <v>0</v>
          </cell>
          <cell r="UL156">
            <v>0</v>
          </cell>
          <cell r="UM156">
            <v>0</v>
          </cell>
          <cell r="UN156">
            <v>0</v>
          </cell>
          <cell r="UO156">
            <v>0</v>
          </cell>
          <cell r="UP156">
            <v>77577388.930000007</v>
          </cell>
          <cell r="UQ156">
            <v>0</v>
          </cell>
          <cell r="UR156">
            <v>0</v>
          </cell>
          <cell r="US156">
            <v>0</v>
          </cell>
          <cell r="UT156">
            <v>0</v>
          </cell>
          <cell r="UU156">
            <v>0</v>
          </cell>
          <cell r="UV156">
            <v>0</v>
          </cell>
          <cell r="UW156">
            <v>0</v>
          </cell>
          <cell r="UX156">
            <v>0</v>
          </cell>
          <cell r="UY156">
            <v>0</v>
          </cell>
          <cell r="UZ156">
            <v>0</v>
          </cell>
          <cell r="VA156">
            <v>0</v>
          </cell>
          <cell r="VB156">
            <v>0</v>
          </cell>
          <cell r="VC156">
            <v>0</v>
          </cell>
          <cell r="VD156">
            <v>0</v>
          </cell>
          <cell r="VE156">
            <v>0</v>
          </cell>
          <cell r="VF156">
            <v>0</v>
          </cell>
          <cell r="VG156">
            <v>0</v>
          </cell>
          <cell r="VH156">
            <v>607399.67000000004</v>
          </cell>
          <cell r="VI156">
            <v>0</v>
          </cell>
          <cell r="VJ156">
            <v>0</v>
          </cell>
          <cell r="VK156">
            <v>0</v>
          </cell>
          <cell r="VL156">
            <v>60768083.630000003</v>
          </cell>
          <cell r="VM156">
            <v>0</v>
          </cell>
          <cell r="VN156">
            <v>0</v>
          </cell>
          <cell r="VO156">
            <v>0</v>
          </cell>
          <cell r="VP156">
            <v>0</v>
          </cell>
          <cell r="VQ156">
            <v>0</v>
          </cell>
          <cell r="VR156">
            <v>0</v>
          </cell>
          <cell r="VS156">
            <v>0</v>
          </cell>
          <cell r="VT156">
            <v>0</v>
          </cell>
          <cell r="VU156">
            <v>0</v>
          </cell>
          <cell r="VV156">
            <v>0</v>
          </cell>
          <cell r="VW156">
            <v>867128.14</v>
          </cell>
          <cell r="VX156">
            <v>0</v>
          </cell>
          <cell r="VY156">
            <v>0</v>
          </cell>
          <cell r="VZ156">
            <v>0</v>
          </cell>
          <cell r="WA156">
            <v>221594643.96000001</v>
          </cell>
          <cell r="WB156">
            <v>0</v>
          </cell>
          <cell r="WC156">
            <v>0</v>
          </cell>
          <cell r="WD156">
            <v>0</v>
          </cell>
          <cell r="WE156">
            <v>0</v>
          </cell>
          <cell r="WF156">
            <v>0</v>
          </cell>
          <cell r="WG156">
            <v>0</v>
          </cell>
          <cell r="WH156">
            <v>0</v>
          </cell>
          <cell r="WI156">
            <v>0</v>
          </cell>
          <cell r="WJ156">
            <v>0</v>
          </cell>
          <cell r="WK156">
            <v>0</v>
          </cell>
          <cell r="WL156">
            <v>0</v>
          </cell>
          <cell r="WM156">
            <v>0</v>
          </cell>
          <cell r="WN156">
            <v>0</v>
          </cell>
          <cell r="WO156">
            <v>0</v>
          </cell>
          <cell r="WP156">
            <v>0</v>
          </cell>
          <cell r="WQ156">
            <v>0</v>
          </cell>
          <cell r="WR156">
            <v>0</v>
          </cell>
          <cell r="WS156">
            <v>0</v>
          </cell>
          <cell r="WT156">
            <v>0</v>
          </cell>
          <cell r="WU156">
            <v>269168.77</v>
          </cell>
          <cell r="WV156">
            <v>0</v>
          </cell>
          <cell r="WW156">
            <v>0</v>
          </cell>
          <cell r="WX156">
            <v>0</v>
          </cell>
          <cell r="WY156">
            <v>0</v>
          </cell>
          <cell r="WZ156">
            <v>0</v>
          </cell>
          <cell r="XA156">
            <v>0</v>
          </cell>
          <cell r="XB156">
            <v>0</v>
          </cell>
          <cell r="XC156">
            <v>6334315.79</v>
          </cell>
          <cell r="XD156">
            <v>0</v>
          </cell>
          <cell r="XE156">
            <v>0</v>
          </cell>
          <cell r="XF156">
            <v>0</v>
          </cell>
          <cell r="XG156">
            <v>0</v>
          </cell>
          <cell r="XH156">
            <v>43381103.640000001</v>
          </cell>
          <cell r="XI156">
            <v>0</v>
          </cell>
          <cell r="XJ156">
            <v>0</v>
          </cell>
          <cell r="XK156">
            <v>33097649.210000001</v>
          </cell>
          <cell r="XL156">
            <v>0</v>
          </cell>
          <cell r="XM156">
            <v>0</v>
          </cell>
          <cell r="XN156">
            <v>0</v>
          </cell>
          <cell r="XO156">
            <v>0</v>
          </cell>
          <cell r="XP156">
            <v>0</v>
          </cell>
          <cell r="XQ156">
            <v>0</v>
          </cell>
          <cell r="XR156">
            <v>0</v>
          </cell>
          <cell r="XS156">
            <v>0</v>
          </cell>
          <cell r="XT156">
            <v>0</v>
          </cell>
          <cell r="XU156">
            <v>0</v>
          </cell>
          <cell r="XV156">
            <v>0</v>
          </cell>
          <cell r="XW156">
            <v>0</v>
          </cell>
          <cell r="XX156">
            <v>0</v>
          </cell>
          <cell r="XY156">
            <v>0</v>
          </cell>
          <cell r="XZ156">
            <v>0</v>
          </cell>
          <cell r="YA156">
            <v>0</v>
          </cell>
          <cell r="YB156">
            <v>0</v>
          </cell>
          <cell r="YC156">
            <v>0</v>
          </cell>
          <cell r="YD156">
            <v>0</v>
          </cell>
          <cell r="YE156">
            <v>121964797.08</v>
          </cell>
          <cell r="YF156">
            <v>0</v>
          </cell>
          <cell r="YG156">
            <v>0</v>
          </cell>
          <cell r="YH156">
            <v>0</v>
          </cell>
          <cell r="YI156">
            <v>0</v>
          </cell>
          <cell r="YJ156">
            <v>0</v>
          </cell>
          <cell r="YK156">
            <v>0</v>
          </cell>
          <cell r="YL156">
            <v>0</v>
          </cell>
          <cell r="YM156">
            <v>0</v>
          </cell>
          <cell r="YN156">
            <v>0</v>
          </cell>
          <cell r="YO156">
            <v>0</v>
          </cell>
          <cell r="YP156">
            <v>0</v>
          </cell>
          <cell r="YQ156">
            <v>0</v>
          </cell>
          <cell r="YR156">
            <v>0</v>
          </cell>
          <cell r="YS156">
            <v>0</v>
          </cell>
          <cell r="YT156">
            <v>0</v>
          </cell>
          <cell r="YU156">
            <v>0</v>
          </cell>
          <cell r="YV156">
            <v>17863320.359999999</v>
          </cell>
          <cell r="YW156">
            <v>0</v>
          </cell>
          <cell r="YX156">
            <v>0</v>
          </cell>
          <cell r="YY156">
            <v>0</v>
          </cell>
          <cell r="YZ156">
            <v>0</v>
          </cell>
          <cell r="ZA156">
            <v>0</v>
          </cell>
          <cell r="ZB156">
            <v>0</v>
          </cell>
          <cell r="ZC156">
            <v>19751374.100000001</v>
          </cell>
          <cell r="ZD156">
            <v>0</v>
          </cell>
          <cell r="ZE156">
            <v>0</v>
          </cell>
          <cell r="ZF156">
            <v>0</v>
          </cell>
          <cell r="ZG156">
            <v>0</v>
          </cell>
          <cell r="ZH156">
            <v>0</v>
          </cell>
          <cell r="ZI156">
            <v>0</v>
          </cell>
          <cell r="ZJ156">
            <v>0</v>
          </cell>
          <cell r="ZK156">
            <v>0</v>
          </cell>
          <cell r="ZL156">
            <v>4433440.76</v>
          </cell>
          <cell r="ZM156">
            <v>0</v>
          </cell>
          <cell r="ZN156">
            <v>0</v>
          </cell>
          <cell r="ZO156">
            <v>0</v>
          </cell>
          <cell r="ZP156">
            <v>0</v>
          </cell>
          <cell r="ZQ156">
            <v>0</v>
          </cell>
          <cell r="ZR156">
            <v>0</v>
          </cell>
          <cell r="ZS156">
            <v>0</v>
          </cell>
          <cell r="ZT156">
            <v>0</v>
          </cell>
          <cell r="ZU156">
            <v>0</v>
          </cell>
          <cell r="ZV156">
            <v>0</v>
          </cell>
          <cell r="ZW156">
            <v>0</v>
          </cell>
          <cell r="ZX156">
            <v>0</v>
          </cell>
          <cell r="ZY156">
            <v>0</v>
          </cell>
          <cell r="ZZ156">
            <v>0</v>
          </cell>
          <cell r="AAA156">
            <v>0</v>
          </cell>
          <cell r="AAB156">
            <v>0</v>
          </cell>
          <cell r="AAC156">
            <v>0</v>
          </cell>
          <cell r="AAD156">
            <v>0</v>
          </cell>
          <cell r="AAE156">
            <v>0</v>
          </cell>
          <cell r="AAF156">
            <v>0</v>
          </cell>
          <cell r="AAG156">
            <v>0</v>
          </cell>
          <cell r="AAH156">
            <v>11961195</v>
          </cell>
          <cell r="AAI156">
            <v>0</v>
          </cell>
          <cell r="AAJ156">
            <v>0</v>
          </cell>
          <cell r="AAK156">
            <v>0</v>
          </cell>
          <cell r="AAL156">
            <v>0</v>
          </cell>
          <cell r="AAM156">
            <v>0</v>
          </cell>
          <cell r="AAN156">
            <v>0</v>
          </cell>
          <cell r="AAO156">
            <v>154373759.91999999</v>
          </cell>
          <cell r="AAP156">
            <v>0</v>
          </cell>
          <cell r="AAQ156">
            <v>0</v>
          </cell>
          <cell r="AAR156">
            <v>0</v>
          </cell>
          <cell r="AAS156">
            <v>0</v>
          </cell>
          <cell r="AAT156">
            <v>0</v>
          </cell>
          <cell r="AAU156">
            <v>0</v>
          </cell>
          <cell r="AAV156">
            <v>0</v>
          </cell>
          <cell r="AAW156">
            <v>0</v>
          </cell>
          <cell r="AAX156">
            <v>0</v>
          </cell>
          <cell r="AAY156">
            <v>0</v>
          </cell>
          <cell r="AAZ156">
            <v>27790325.170000002</v>
          </cell>
          <cell r="ABA156">
            <v>0</v>
          </cell>
          <cell r="ABB156">
            <v>0</v>
          </cell>
          <cell r="ABC156">
            <v>0</v>
          </cell>
          <cell r="ABD156">
            <v>0</v>
          </cell>
          <cell r="ABE156">
            <v>0</v>
          </cell>
          <cell r="ABF156">
            <v>0</v>
          </cell>
          <cell r="ABG156">
            <v>0</v>
          </cell>
          <cell r="ABH156">
            <v>0</v>
          </cell>
          <cell r="ABI156">
            <v>0</v>
          </cell>
          <cell r="ABJ156">
            <v>0</v>
          </cell>
          <cell r="ABK156">
            <v>0</v>
          </cell>
          <cell r="ABL156">
            <v>0</v>
          </cell>
          <cell r="ABM156">
            <v>0</v>
          </cell>
          <cell r="ABN156">
            <v>0</v>
          </cell>
          <cell r="ABO156">
            <v>5490233.5700000003</v>
          </cell>
          <cell r="ABP156">
            <v>0</v>
          </cell>
          <cell r="ABQ156">
            <v>0</v>
          </cell>
          <cell r="ABR156">
            <v>0</v>
          </cell>
          <cell r="ABS156">
            <v>0</v>
          </cell>
          <cell r="ABT156">
            <v>0</v>
          </cell>
          <cell r="ABU156">
            <v>0</v>
          </cell>
          <cell r="ABV156">
            <v>0</v>
          </cell>
          <cell r="ABW156">
            <v>0</v>
          </cell>
          <cell r="ABX156">
            <v>67750705.519999996</v>
          </cell>
          <cell r="ABY156">
            <v>0</v>
          </cell>
          <cell r="ABZ156">
            <v>0</v>
          </cell>
          <cell r="ACA156">
            <v>0</v>
          </cell>
          <cell r="ACB156">
            <v>0</v>
          </cell>
          <cell r="ACC156">
            <v>0</v>
          </cell>
          <cell r="ACD156">
            <v>0</v>
          </cell>
          <cell r="ACE156">
            <v>0</v>
          </cell>
          <cell r="ACF156">
            <v>0</v>
          </cell>
          <cell r="ACG156">
            <v>0</v>
          </cell>
          <cell r="ACH156">
            <v>0</v>
          </cell>
          <cell r="ACI156">
            <v>24752771.719999999</v>
          </cell>
          <cell r="ACJ156">
            <v>0</v>
          </cell>
          <cell r="ACK156">
            <v>0</v>
          </cell>
          <cell r="ACL156">
            <v>0</v>
          </cell>
          <cell r="ACM156">
            <v>0</v>
          </cell>
          <cell r="ACN156">
            <v>0</v>
          </cell>
          <cell r="ACO156">
            <v>0</v>
          </cell>
          <cell r="ACP156">
            <v>21855057.77</v>
          </cell>
          <cell r="ACQ156">
            <v>75810576.329999998</v>
          </cell>
          <cell r="ACR156">
            <v>0</v>
          </cell>
          <cell r="ACS156">
            <v>0</v>
          </cell>
          <cell r="ACT156">
            <v>0</v>
          </cell>
          <cell r="ACU156">
            <v>0</v>
          </cell>
          <cell r="ACV156">
            <v>2152319.2400000002</v>
          </cell>
          <cell r="ACW156">
            <v>0</v>
          </cell>
          <cell r="ACX156">
            <v>0</v>
          </cell>
          <cell r="ACY156">
            <v>0</v>
          </cell>
          <cell r="ACZ156">
            <v>0</v>
          </cell>
          <cell r="ADA156">
            <v>0</v>
          </cell>
          <cell r="ADB156">
            <v>0</v>
          </cell>
          <cell r="ADC156">
            <v>0</v>
          </cell>
          <cell r="ADD156">
            <v>0</v>
          </cell>
          <cell r="ADE156">
            <v>0</v>
          </cell>
          <cell r="ADF156">
            <v>2648566.8199999998</v>
          </cell>
          <cell r="ADG156">
            <v>2680745.5499999998</v>
          </cell>
          <cell r="ADH156">
            <v>0</v>
          </cell>
          <cell r="ADI156">
            <v>0</v>
          </cell>
          <cell r="ADJ156">
            <v>0</v>
          </cell>
          <cell r="ADK156">
            <v>0</v>
          </cell>
          <cell r="ADL156">
            <v>0</v>
          </cell>
          <cell r="ADM156">
            <v>0</v>
          </cell>
          <cell r="ADN156">
            <v>0</v>
          </cell>
          <cell r="ADO156">
            <v>57314927.140000001</v>
          </cell>
          <cell r="ADP156">
            <v>22887919.57</v>
          </cell>
          <cell r="ADQ156">
            <v>0</v>
          </cell>
          <cell r="ADR156">
            <v>0</v>
          </cell>
          <cell r="ADS156">
            <v>4069974.17</v>
          </cell>
          <cell r="ADT156">
            <v>0</v>
          </cell>
          <cell r="ADU156">
            <v>18643.8</v>
          </cell>
          <cell r="ADV156">
            <v>0</v>
          </cell>
          <cell r="ADW156">
            <v>0</v>
          </cell>
          <cell r="ADX156">
            <v>0</v>
          </cell>
          <cell r="ADY156">
            <v>80717336.790000007</v>
          </cell>
          <cell r="ADZ156">
            <v>9197177.7400000002</v>
          </cell>
          <cell r="AEA156">
            <v>0</v>
          </cell>
          <cell r="AEB156">
            <v>0</v>
          </cell>
          <cell r="AEC156">
            <v>0</v>
          </cell>
          <cell r="AED156">
            <v>0</v>
          </cell>
          <cell r="AEE156">
            <v>0</v>
          </cell>
          <cell r="AEF156">
            <v>0</v>
          </cell>
          <cell r="AEG156">
            <v>0</v>
          </cell>
          <cell r="AEH156">
            <v>0</v>
          </cell>
          <cell r="AEI156">
            <v>0</v>
          </cell>
          <cell r="AEJ156">
            <v>0</v>
          </cell>
          <cell r="AEK156">
            <v>0</v>
          </cell>
          <cell r="AEL156">
            <v>0</v>
          </cell>
          <cell r="AEM156">
            <v>0</v>
          </cell>
          <cell r="AEN156">
            <v>0</v>
          </cell>
          <cell r="AEO156">
            <v>0</v>
          </cell>
          <cell r="AEP156">
            <v>0</v>
          </cell>
          <cell r="AEQ156">
            <v>0</v>
          </cell>
          <cell r="AER156">
            <v>0</v>
          </cell>
          <cell r="AES156">
            <v>15787583.060000001</v>
          </cell>
          <cell r="AET156">
            <v>0</v>
          </cell>
          <cell r="AEU156">
            <v>0</v>
          </cell>
          <cell r="AEV156">
            <v>0</v>
          </cell>
          <cell r="AEW156">
            <v>0</v>
          </cell>
          <cell r="AEX156">
            <v>0</v>
          </cell>
          <cell r="AEY156">
            <v>0</v>
          </cell>
          <cell r="AEZ156">
            <v>0</v>
          </cell>
          <cell r="AFA156">
            <v>0</v>
          </cell>
          <cell r="AFB156">
            <v>0</v>
          </cell>
          <cell r="AFC156">
            <v>14956717.32</v>
          </cell>
          <cell r="AFD156">
            <v>148218.28</v>
          </cell>
          <cell r="AFE156">
            <v>0</v>
          </cell>
          <cell r="AFF156">
            <v>0</v>
          </cell>
          <cell r="AFG156">
            <v>0</v>
          </cell>
          <cell r="AFH156">
            <v>0</v>
          </cell>
          <cell r="AFI156">
            <v>0</v>
          </cell>
          <cell r="AFJ156">
            <v>0</v>
          </cell>
          <cell r="AFK156">
            <v>0</v>
          </cell>
          <cell r="AFL156">
            <v>0</v>
          </cell>
          <cell r="AFM156">
            <v>0</v>
          </cell>
          <cell r="AFN156">
            <v>0</v>
          </cell>
          <cell r="AFO156">
            <v>0</v>
          </cell>
          <cell r="AFP156">
            <v>3888610.83</v>
          </cell>
          <cell r="AFQ156">
            <v>0</v>
          </cell>
          <cell r="AFR156">
            <v>0</v>
          </cell>
          <cell r="AFS156">
            <v>0</v>
          </cell>
          <cell r="AFT156">
            <v>0</v>
          </cell>
          <cell r="AFU156">
            <v>0</v>
          </cell>
          <cell r="AFV156">
            <v>0</v>
          </cell>
          <cell r="AFW156">
            <v>0</v>
          </cell>
          <cell r="AFX156">
            <v>0</v>
          </cell>
          <cell r="AFY156">
            <v>0</v>
          </cell>
          <cell r="AFZ156">
            <v>0</v>
          </cell>
          <cell r="AGA156">
            <v>0</v>
          </cell>
          <cell r="AGB156">
            <v>18605149.789999999</v>
          </cell>
          <cell r="AGC156">
            <v>0</v>
          </cell>
          <cell r="AGD156">
            <v>0</v>
          </cell>
          <cell r="AGE156">
            <v>0</v>
          </cell>
          <cell r="AGF156">
            <v>0</v>
          </cell>
          <cell r="AGG156">
            <v>0</v>
          </cell>
          <cell r="AGH156">
            <v>0</v>
          </cell>
          <cell r="AGI156">
            <v>0</v>
          </cell>
          <cell r="AGJ156">
            <v>0</v>
          </cell>
          <cell r="AGK156">
            <v>0</v>
          </cell>
          <cell r="AGL156">
            <v>0</v>
          </cell>
          <cell r="AGM156">
            <v>0</v>
          </cell>
          <cell r="AGN156">
            <v>306853.84999999998</v>
          </cell>
          <cell r="AGO156">
            <v>0</v>
          </cell>
          <cell r="AGP156">
            <v>0</v>
          </cell>
          <cell r="AGQ156">
            <v>0</v>
          </cell>
          <cell r="AGR156">
            <v>0</v>
          </cell>
          <cell r="AGS156">
            <v>0</v>
          </cell>
          <cell r="AGT156">
            <v>0</v>
          </cell>
          <cell r="AGU156">
            <v>72873645.409999996</v>
          </cell>
          <cell r="AGV156">
            <v>13595722.800000001</v>
          </cell>
          <cell r="AGW156">
            <v>0</v>
          </cell>
          <cell r="AGX156">
            <v>0</v>
          </cell>
          <cell r="AGY156">
            <v>0</v>
          </cell>
          <cell r="AGZ156">
            <v>0</v>
          </cell>
          <cell r="AHA156">
            <v>0</v>
          </cell>
          <cell r="AHB156">
            <v>0</v>
          </cell>
          <cell r="AHC156">
            <v>0</v>
          </cell>
          <cell r="AHD156">
            <v>0</v>
          </cell>
          <cell r="AHE156">
            <v>0</v>
          </cell>
          <cell r="AHF156">
            <v>0</v>
          </cell>
          <cell r="AHG156">
            <v>0</v>
          </cell>
          <cell r="AHH156">
            <v>0</v>
          </cell>
          <cell r="AHI156">
            <v>0</v>
          </cell>
          <cell r="AHJ156">
            <v>0</v>
          </cell>
          <cell r="AHK156">
            <v>0</v>
          </cell>
          <cell r="AHL156">
            <v>664427.67000000004</v>
          </cell>
          <cell r="AHM156">
            <v>0</v>
          </cell>
          <cell r="AHN156">
            <v>0</v>
          </cell>
          <cell r="AHO156">
            <v>0</v>
          </cell>
          <cell r="AHP156">
            <v>0</v>
          </cell>
          <cell r="AHQ156">
            <v>0</v>
          </cell>
          <cell r="AHR156">
            <v>0</v>
          </cell>
        </row>
        <row r="157">
          <cell r="B157" t="str">
            <v>D04</v>
          </cell>
          <cell r="C157" t="str">
            <v>ภาระผูกพัน</v>
          </cell>
          <cell r="D157">
            <v>163977787.79000002</v>
          </cell>
          <cell r="E157">
            <v>28085578.600000001</v>
          </cell>
          <cell r="F157">
            <v>46838083.050000004</v>
          </cell>
          <cell r="G157">
            <v>6798715.3799999999</v>
          </cell>
          <cell r="H157">
            <v>54364707.699999996</v>
          </cell>
          <cell r="I157">
            <v>10844698.200000001</v>
          </cell>
          <cell r="J157">
            <v>34839254.580000006</v>
          </cell>
          <cell r="K157">
            <v>9557837.379999999</v>
          </cell>
          <cell r="L157">
            <v>13676372.01</v>
          </cell>
          <cell r="M157">
            <v>20487927.369999997</v>
          </cell>
          <cell r="N157">
            <v>17671013.290000007</v>
          </cell>
          <cell r="O157">
            <v>15274770.780000001</v>
          </cell>
          <cell r="P157">
            <v>49149137.199999996</v>
          </cell>
          <cell r="Q157">
            <v>13765339.129999997</v>
          </cell>
          <cell r="R157">
            <v>7017112.0599999996</v>
          </cell>
          <cell r="S157">
            <v>50012369.020000003</v>
          </cell>
          <cell r="T157">
            <v>11711283.289999999</v>
          </cell>
          <cell r="U157">
            <v>7830358.04</v>
          </cell>
          <cell r="V157">
            <v>260538038.33999994</v>
          </cell>
          <cell r="W157">
            <v>96151654.150000006</v>
          </cell>
          <cell r="X157">
            <v>15234620.720000001</v>
          </cell>
          <cell r="Y157">
            <v>16673733.4</v>
          </cell>
          <cell r="Z157">
            <v>29165283.73</v>
          </cell>
          <cell r="AA157">
            <v>37319261.660000011</v>
          </cell>
          <cell r="AB157">
            <v>19981696.789999999</v>
          </cell>
          <cell r="AC157">
            <v>152483128.57999998</v>
          </cell>
          <cell r="AD157">
            <v>44114360.830000006</v>
          </cell>
          <cell r="AE157">
            <v>36903340.579999998</v>
          </cell>
          <cell r="AF157">
            <v>142027627.11999997</v>
          </cell>
          <cell r="AG157">
            <v>33965308.890000001</v>
          </cell>
          <cell r="AH157">
            <v>158326772.42000002</v>
          </cell>
          <cell r="AI157">
            <v>69496601.829999998</v>
          </cell>
          <cell r="AJ157">
            <v>23014637.839999992</v>
          </cell>
          <cell r="AK157">
            <v>17284001.719999999</v>
          </cell>
          <cell r="AL157">
            <v>18898085.75</v>
          </cell>
          <cell r="AM157">
            <v>34002008.700000003</v>
          </cell>
          <cell r="AN157">
            <v>40559271.780000001</v>
          </cell>
          <cell r="AO157">
            <v>19180246.030000001</v>
          </cell>
          <cell r="AP157">
            <v>15185852.529999999</v>
          </cell>
          <cell r="AQ157">
            <v>14409491.99</v>
          </cell>
          <cell r="AR157">
            <v>25738740.790000003</v>
          </cell>
          <cell r="AS157">
            <v>17524556.219999999</v>
          </cell>
          <cell r="AT157">
            <v>147839423.52000001</v>
          </cell>
          <cell r="AU157">
            <v>4924793.0999999996</v>
          </cell>
          <cell r="AV157">
            <v>5054140.8</v>
          </cell>
          <cell r="AW157">
            <v>4745675.5299999993</v>
          </cell>
          <cell r="AX157">
            <v>10555289.550000001</v>
          </cell>
          <cell r="AY157">
            <v>24813589.120000005</v>
          </cell>
          <cell r="AZ157">
            <v>7935839.8399999999</v>
          </cell>
          <cell r="BA157">
            <v>7162713.3200000012</v>
          </cell>
          <cell r="BB157">
            <v>3785242.2399999998</v>
          </cell>
          <cell r="BC157">
            <v>6625561.3499999996</v>
          </cell>
          <cell r="BD157">
            <v>4277195.37</v>
          </cell>
          <cell r="BE157">
            <v>5908388.3999999994</v>
          </cell>
          <cell r="BF157">
            <v>46663641.240000002</v>
          </cell>
          <cell r="BG157">
            <v>2475275.9700000002</v>
          </cell>
          <cell r="BH157">
            <v>9302592.8100000005</v>
          </cell>
          <cell r="BI157">
            <v>238047521.58999994</v>
          </cell>
          <cell r="BJ157">
            <v>62058081.609999999</v>
          </cell>
          <cell r="BK157">
            <v>23462433.110000007</v>
          </cell>
          <cell r="BL157">
            <v>8565013.5800000001</v>
          </cell>
          <cell r="BM157">
            <v>28854103.650000002</v>
          </cell>
          <cell r="BN157">
            <v>13417193.680000002</v>
          </cell>
          <cell r="BO157">
            <v>9743920.129999999</v>
          </cell>
          <cell r="BP157">
            <v>1564607.02</v>
          </cell>
          <cell r="BQ157">
            <v>1328959.76</v>
          </cell>
          <cell r="BR157">
            <v>126650418.55000001</v>
          </cell>
          <cell r="BS157">
            <v>7218667.1599999992</v>
          </cell>
          <cell r="BT157">
            <v>9429840.0800000001</v>
          </cell>
          <cell r="BU157">
            <v>12898205.77</v>
          </cell>
          <cell r="BV157">
            <v>8261771.2699999996</v>
          </cell>
          <cell r="BW157">
            <v>6516634.1300000008</v>
          </cell>
          <cell r="BX157">
            <v>4326245.6400000006</v>
          </cell>
          <cell r="BY157">
            <v>4204681.5599999996</v>
          </cell>
          <cell r="BZ157">
            <v>78215302.633000016</v>
          </cell>
          <cell r="CA157">
            <v>17507955.209999997</v>
          </cell>
          <cell r="CB157">
            <v>27051662.930000003</v>
          </cell>
          <cell r="CC157">
            <v>37118551.919999994</v>
          </cell>
          <cell r="CD157">
            <v>12029698.470000001</v>
          </cell>
          <cell r="CE157">
            <v>9620078.0999999996</v>
          </cell>
          <cell r="CF157">
            <v>14663584.870000001</v>
          </cell>
          <cell r="CG157">
            <v>116058417.28999999</v>
          </cell>
          <cell r="CH157">
            <v>11076914.4</v>
          </cell>
          <cell r="CI157">
            <v>29683908.529999997</v>
          </cell>
          <cell r="CJ157">
            <v>7381512.5399999991</v>
          </cell>
          <cell r="CK157">
            <v>10086432.039999999</v>
          </cell>
          <cell r="CL157">
            <v>10784419.600000001</v>
          </cell>
          <cell r="CM157">
            <v>7646153.7700000005</v>
          </cell>
          <cell r="CN157">
            <v>19109861.369999997</v>
          </cell>
          <cell r="CO157">
            <v>3995204.88</v>
          </cell>
          <cell r="CP157">
            <v>13828645.010000004</v>
          </cell>
          <cell r="CQ157">
            <v>7704691.6999999993</v>
          </cell>
          <cell r="CR157">
            <v>10625858.640000002</v>
          </cell>
          <cell r="CS157">
            <v>6783271.71</v>
          </cell>
          <cell r="CT157">
            <v>138108263.88999999</v>
          </cell>
          <cell r="CU157">
            <v>5642693.6199999992</v>
          </cell>
          <cell r="CV157">
            <v>12129956.550000001</v>
          </cell>
          <cell r="CW157">
            <v>32735699.379999999</v>
          </cell>
          <cell r="CX157">
            <v>7717959.3600000003</v>
          </cell>
          <cell r="CY157">
            <v>20319496.389999997</v>
          </cell>
          <cell r="CZ157">
            <v>10393599.68</v>
          </cell>
          <cell r="DA157">
            <v>6297742.3000000007</v>
          </cell>
          <cell r="DB157">
            <v>138999017.09</v>
          </cell>
          <cell r="DC157">
            <v>172495525.81000003</v>
          </cell>
          <cell r="DD157">
            <v>18453682.479999997</v>
          </cell>
          <cell r="DE157">
            <v>22117779.359999999</v>
          </cell>
          <cell r="DF157">
            <v>21937762.630000003</v>
          </cell>
          <cell r="DG157">
            <v>22522407.759999998</v>
          </cell>
          <cell r="DH157">
            <v>26053913.429999996</v>
          </cell>
          <cell r="DI157">
            <v>26073257.649999995</v>
          </cell>
          <cell r="DJ157">
            <v>14179964.68</v>
          </cell>
          <cell r="DK157">
            <v>420438181.79000002</v>
          </cell>
          <cell r="DL157">
            <v>10148455.599999998</v>
          </cell>
          <cell r="DM157">
            <v>33481107.890000001</v>
          </cell>
          <cell r="DN157">
            <v>18046365.360000003</v>
          </cell>
          <cell r="DO157">
            <v>18999426.809799999</v>
          </cell>
          <cell r="DP157">
            <v>13711746.799999999</v>
          </cell>
          <cell r="DQ157">
            <v>37125184.799999997</v>
          </cell>
          <cell r="DR157">
            <v>12778170.6099</v>
          </cell>
          <cell r="DS157">
            <v>30618651.359999999</v>
          </cell>
          <cell r="DT157">
            <v>144594479.25999999</v>
          </cell>
          <cell r="DU157">
            <v>34849644</v>
          </cell>
          <cell r="DV157">
            <v>62691108.560000002</v>
          </cell>
          <cell r="DW157">
            <v>97701525.070000008</v>
          </cell>
          <cell r="DX157">
            <v>42453700.579999998</v>
          </cell>
          <cell r="DY157">
            <v>33433291.959999997</v>
          </cell>
          <cell r="DZ157">
            <v>29750563.220000003</v>
          </cell>
          <cell r="EA157">
            <v>5635617.7699999996</v>
          </cell>
          <cell r="EB157">
            <v>20464806.180000003</v>
          </cell>
          <cell r="EC157">
            <v>14915480</v>
          </cell>
          <cell r="ED157">
            <v>49921867.79999999</v>
          </cell>
          <cell r="EE157">
            <v>97687187.649999976</v>
          </cell>
          <cell r="EF157">
            <v>42986623.039999992</v>
          </cell>
          <cell r="EG157">
            <v>21285246.709999993</v>
          </cell>
          <cell r="EH157">
            <v>18880643.149999999</v>
          </cell>
          <cell r="EI157">
            <v>20263907.589999996</v>
          </cell>
          <cell r="EJ157">
            <v>28598343.689999998</v>
          </cell>
          <cell r="EK157">
            <v>30773075.649999999</v>
          </cell>
          <cell r="EL157">
            <v>15049538.84</v>
          </cell>
          <cell r="EM157">
            <v>18373181.049999997</v>
          </cell>
          <cell r="EN157">
            <v>253595089.77000001</v>
          </cell>
          <cell r="EO157">
            <v>19494076.310000002</v>
          </cell>
          <cell r="EP157">
            <v>23600195.91</v>
          </cell>
          <cell r="EQ157">
            <v>12397903.950000001</v>
          </cell>
          <cell r="ER157">
            <v>12155278.409999998</v>
          </cell>
          <cell r="ES157">
            <v>6700482.0200000014</v>
          </cell>
          <cell r="ET157">
            <v>40278502.18999999</v>
          </cell>
          <cell r="EU157">
            <v>24673138.270000003</v>
          </cell>
          <cell r="EV157">
            <v>26386087.249999996</v>
          </cell>
          <cell r="EW157">
            <v>227937052.09999999</v>
          </cell>
          <cell r="EX157">
            <v>4897963.05</v>
          </cell>
          <cell r="EY157">
            <v>9539047.6900000013</v>
          </cell>
          <cell r="EZ157">
            <v>20187347.740000002</v>
          </cell>
          <cell r="FA157">
            <v>27759020.069999997</v>
          </cell>
          <cell r="FB157">
            <v>49854195.660000004</v>
          </cell>
          <cell r="FC157">
            <v>27373603.919999998</v>
          </cell>
          <cell r="FD157">
            <v>14913085.120000003</v>
          </cell>
          <cell r="FE157">
            <v>11312615.180000002</v>
          </cell>
          <cell r="FF157">
            <v>11869799.640000001</v>
          </cell>
          <cell r="FG157">
            <v>9414212.1799999997</v>
          </cell>
          <cell r="FH157">
            <v>9395305.2799999993</v>
          </cell>
          <cell r="FI157">
            <v>102675139.33000001</v>
          </cell>
          <cell r="FJ157">
            <v>7300533.79</v>
          </cell>
          <cell r="FK157">
            <v>2694681.4300000006</v>
          </cell>
          <cell r="FL157">
            <v>5360430.42</v>
          </cell>
          <cell r="FM157">
            <v>21519118.27</v>
          </cell>
          <cell r="FN157">
            <v>12445105.220000003</v>
          </cell>
          <cell r="FO157">
            <v>8268731.6600000011</v>
          </cell>
          <cell r="FP157">
            <v>4288347.2000000011</v>
          </cell>
          <cell r="FQ157">
            <v>276533499.34999996</v>
          </cell>
          <cell r="FR157">
            <v>14190525.23</v>
          </cell>
          <cell r="FS157">
            <v>21179065.669999994</v>
          </cell>
          <cell r="FT157">
            <v>28302511.109999999</v>
          </cell>
          <cell r="FU157">
            <v>21258767.400000002</v>
          </cell>
          <cell r="FV157">
            <v>6996447.5700000003</v>
          </cell>
          <cell r="FW157">
            <v>48148038.660000004</v>
          </cell>
          <cell r="FX157">
            <v>36522850.719999991</v>
          </cell>
          <cell r="FY157">
            <v>21975255.400000002</v>
          </cell>
          <cell r="FZ157">
            <v>15326306.57</v>
          </cell>
          <cell r="GA157">
            <v>48768282.530000009</v>
          </cell>
          <cell r="GB157">
            <v>17219373.530000005</v>
          </cell>
          <cell r="GC157">
            <v>8147622.3899999997</v>
          </cell>
          <cell r="GD157">
            <v>6745375.21</v>
          </cell>
          <cell r="GE157">
            <v>130429587.87</v>
          </cell>
          <cell r="GF157">
            <v>6071355.29</v>
          </cell>
          <cell r="GG157">
            <v>6428728.1299999999</v>
          </cell>
          <cell r="GH157">
            <v>40329023.490000002</v>
          </cell>
          <cell r="GI157">
            <v>15823444.409999996</v>
          </cell>
          <cell r="GJ157">
            <v>7385986.8399999999</v>
          </cell>
          <cell r="GK157">
            <v>8357148.9699999988</v>
          </cell>
          <cell r="GL157">
            <v>36951958.850000001</v>
          </cell>
          <cell r="GM157">
            <v>4020648.43</v>
          </cell>
          <cell r="GN157">
            <v>3799486.5500000003</v>
          </cell>
          <cell r="GO157">
            <v>3619796.2800000003</v>
          </cell>
          <cell r="GP157">
            <v>4323431.6400000006</v>
          </cell>
          <cell r="GQ157">
            <v>113353167.01000004</v>
          </cell>
          <cell r="GR157">
            <v>7033432.0200000014</v>
          </cell>
          <cell r="GS157">
            <v>9402542.8200000003</v>
          </cell>
          <cell r="GT157">
            <v>15042568.300000001</v>
          </cell>
          <cell r="GU157">
            <v>2181634.17</v>
          </cell>
          <cell r="GV157">
            <v>8745616.5099999998</v>
          </cell>
          <cell r="GW157">
            <v>11318812.869999999</v>
          </cell>
          <cell r="GX157">
            <v>7311398.0799999991</v>
          </cell>
          <cell r="GY157">
            <v>119987197.70000002</v>
          </cell>
          <cell r="GZ157">
            <v>10169999.65</v>
          </cell>
          <cell r="HA157">
            <v>34032816.490000002</v>
          </cell>
          <cell r="HB157">
            <v>24576902.090000004</v>
          </cell>
          <cell r="HC157">
            <v>607381582.16000009</v>
          </cell>
          <cell r="HD157">
            <v>129995473.62</v>
          </cell>
          <cell r="HE157">
            <v>53315424.579999991</v>
          </cell>
          <cell r="HF157">
            <v>88117850.320000023</v>
          </cell>
          <cell r="HG157">
            <v>31448662.139999993</v>
          </cell>
          <cell r="HH157">
            <v>43970954.730000004</v>
          </cell>
          <cell r="HI157">
            <v>26517308.890000001</v>
          </cell>
          <cell r="HJ157">
            <v>172983519.81999999</v>
          </cell>
          <cell r="HK157">
            <v>48320646.960000001</v>
          </cell>
          <cell r="HL157">
            <v>125366248.72</v>
          </cell>
          <cell r="HM157">
            <v>24704089.940000001</v>
          </cell>
          <cell r="HN157">
            <v>21229321.490000002</v>
          </cell>
          <cell r="HO157">
            <v>30926470.610000007</v>
          </cell>
          <cell r="HP157">
            <v>34341729.230000004</v>
          </cell>
          <cell r="HQ157">
            <v>30566797.380000003</v>
          </cell>
          <cell r="HR157">
            <v>231180022.16939995</v>
          </cell>
          <cell r="HS157">
            <v>146839113.16</v>
          </cell>
          <cell r="HT157">
            <v>24744339.25</v>
          </cell>
          <cell r="HU157">
            <v>9829517.9199999981</v>
          </cell>
          <cell r="HV157">
            <v>15483859.899999999</v>
          </cell>
          <cell r="HW157">
            <v>16823067.07</v>
          </cell>
          <cell r="HX157">
            <v>60652757.510000013</v>
          </cell>
          <cell r="HY157">
            <v>26387184.68</v>
          </cell>
          <cell r="HZ157">
            <v>22439157.259999998</v>
          </cell>
          <cell r="IA157">
            <v>13507392.989999996</v>
          </cell>
          <cell r="IB157">
            <v>10264719.110000001</v>
          </cell>
          <cell r="IC157">
            <v>16195656.389999999</v>
          </cell>
          <cell r="ID157">
            <v>5094361.2300000004</v>
          </cell>
          <cell r="IE157">
            <v>18352739.659999996</v>
          </cell>
          <cell r="IF157">
            <v>9125467.7600000016</v>
          </cell>
          <cell r="IG157">
            <v>6867091.3099999996</v>
          </cell>
          <cell r="IH157">
            <v>188710221.60000002</v>
          </cell>
          <cell r="II157">
            <v>21404873.489999995</v>
          </cell>
          <cell r="IJ157">
            <v>13414183.65</v>
          </cell>
          <cell r="IK157">
            <v>65763765.189999998</v>
          </cell>
          <cell r="IL157">
            <v>100703495.54000001</v>
          </cell>
          <cell r="IM157">
            <v>31764743.32</v>
          </cell>
          <cell r="IN157">
            <v>12056376.120000001</v>
          </cell>
          <cell r="IO157">
            <v>12508751.489999998</v>
          </cell>
          <cell r="IP157">
            <v>10101155.860000001</v>
          </cell>
          <cell r="IQ157">
            <v>24978326.98</v>
          </cell>
          <cell r="IR157">
            <v>13266703.92</v>
          </cell>
          <cell r="IS157">
            <v>436676856.8300001</v>
          </cell>
          <cell r="IT157">
            <v>215730727.41000003</v>
          </cell>
          <cell r="IU157">
            <v>17099220.390000001</v>
          </cell>
          <cell r="IV157">
            <v>21062757.77</v>
          </cell>
          <cell r="IW157">
            <v>22057807.259999998</v>
          </cell>
          <cell r="IX157">
            <v>9400515.7399999984</v>
          </cell>
          <cell r="IY157">
            <v>24301318.66</v>
          </cell>
          <cell r="IZ157">
            <v>6915954.3500000006</v>
          </cell>
          <cell r="JA157">
            <v>11019793.259999998</v>
          </cell>
          <cell r="JB157">
            <v>26038169.030000005</v>
          </cell>
          <cell r="JC157">
            <v>40962712.459999993</v>
          </cell>
          <cell r="JD157">
            <v>14690291.439999999</v>
          </cell>
          <cell r="JE157">
            <v>50637454.5</v>
          </cell>
          <cell r="JF157">
            <v>68121223.330000013</v>
          </cell>
          <cell r="JG157">
            <v>19825028.82</v>
          </cell>
          <cell r="JH157">
            <v>18894464.369999997</v>
          </cell>
          <cell r="JI157">
            <v>14245477.739999998</v>
          </cell>
          <cell r="JJ157">
            <v>10053371.659999996</v>
          </cell>
          <cell r="JK157">
            <v>160372382.70999998</v>
          </cell>
          <cell r="JL157">
            <v>18067161.989999998</v>
          </cell>
          <cell r="JM157">
            <v>31428571.900000002</v>
          </cell>
          <cell r="JN157">
            <v>56929498.450000003</v>
          </cell>
          <cell r="JO157">
            <v>31533764.680000003</v>
          </cell>
          <cell r="JP157">
            <v>48846736.690000005</v>
          </cell>
          <cell r="JQ157">
            <v>13941431.720000001</v>
          </cell>
          <cell r="JR157">
            <v>170296911.63000003</v>
          </cell>
          <cell r="JS157">
            <v>88052771.260000005</v>
          </cell>
          <cell r="JT157">
            <v>10809604.859999999</v>
          </cell>
          <cell r="JU157">
            <v>5745805.0600000005</v>
          </cell>
          <cell r="JV157">
            <v>10978087.4</v>
          </cell>
          <cell r="JW157">
            <v>4810587.0300000012</v>
          </cell>
          <cell r="JX157">
            <v>55425969.619999997</v>
          </cell>
          <cell r="JY157">
            <v>15018038.15</v>
          </cell>
          <cell r="JZ157">
            <v>13365455.34</v>
          </cell>
          <cell r="KA157">
            <v>21398816.07</v>
          </cell>
          <cell r="KB157">
            <v>9069895.379999999</v>
          </cell>
          <cell r="KC157">
            <v>10595239.68</v>
          </cell>
          <cell r="KD157">
            <v>9619682.3800000008</v>
          </cell>
          <cell r="KE157">
            <v>2796235.65</v>
          </cell>
          <cell r="KF157">
            <v>7585600.2399999993</v>
          </cell>
          <cell r="KG157">
            <v>6383793.7399999993</v>
          </cell>
          <cell r="KH157">
            <v>367630384.72000003</v>
          </cell>
          <cell r="KI157">
            <v>55817687.670000002</v>
          </cell>
          <cell r="KJ157">
            <v>15754912.300000001</v>
          </cell>
          <cell r="KK157">
            <v>23388876.080000002</v>
          </cell>
          <cell r="KL157">
            <v>13563355.84</v>
          </cell>
          <cell r="KM157">
            <v>8867506.8399999999</v>
          </cell>
          <cell r="KN157">
            <v>73816574.720000014</v>
          </cell>
          <cell r="KO157">
            <v>9384413.910000002</v>
          </cell>
          <cell r="KP157">
            <v>14661093.179999998</v>
          </cell>
          <cell r="KQ157">
            <v>177751780.82999995</v>
          </cell>
          <cell r="KR157">
            <v>19140433.059999999</v>
          </cell>
          <cell r="KS157">
            <v>28173502.099999998</v>
          </cell>
          <cell r="KT157">
            <v>94481565.080000013</v>
          </cell>
          <cell r="KU157">
            <v>18299933.52</v>
          </cell>
          <cell r="KV157">
            <v>27036522.210000005</v>
          </cell>
          <cell r="KW157">
            <v>188865809.25000006</v>
          </cell>
          <cell r="KX157">
            <v>19588345.82</v>
          </cell>
          <cell r="KY157">
            <v>199399689.17000002</v>
          </cell>
          <cell r="KZ157">
            <v>22083727.159999996</v>
          </cell>
          <cell r="LA157">
            <v>9882052.9300000016</v>
          </cell>
          <cell r="LB157">
            <v>32214091.020000003</v>
          </cell>
          <cell r="LC157">
            <v>28543711.770000003</v>
          </cell>
          <cell r="LD157">
            <v>16528377.139999999</v>
          </cell>
          <cell r="LE157">
            <v>16019060.639999999</v>
          </cell>
          <cell r="LF157">
            <v>14693232.359999999</v>
          </cell>
          <cell r="LG157">
            <v>529039446.31000012</v>
          </cell>
          <cell r="LH157">
            <v>139737231.06999999</v>
          </cell>
          <cell r="LI157">
            <v>68355509.269999996</v>
          </cell>
          <cell r="LJ157">
            <v>119189534</v>
          </cell>
          <cell r="LK157">
            <v>28851059.449999996</v>
          </cell>
          <cell r="LL157">
            <v>20981121.730000004</v>
          </cell>
          <cell r="LM157">
            <v>11855527.560000001</v>
          </cell>
          <cell r="LN157">
            <v>26852046.66</v>
          </cell>
          <cell r="LO157">
            <v>10298806.74</v>
          </cell>
          <cell r="LP157">
            <v>33550912.23</v>
          </cell>
          <cell r="LQ157">
            <v>8406765.8599999994</v>
          </cell>
          <cell r="LR157">
            <v>142442311.17999998</v>
          </cell>
          <cell r="LS157">
            <v>11464046.560000001</v>
          </cell>
          <cell r="LT157">
            <v>7026484.0399999991</v>
          </cell>
          <cell r="LU157">
            <v>346965002.45999998</v>
          </cell>
          <cell r="LV157">
            <v>132869494.82999998</v>
          </cell>
          <cell r="LW157">
            <v>404941907.5999999</v>
          </cell>
          <cell r="LX157">
            <v>108673999.09999999</v>
          </cell>
          <cell r="LY157">
            <v>43376260.979999997</v>
          </cell>
          <cell r="LZ157">
            <v>41557094.290000007</v>
          </cell>
          <cell r="MA157">
            <v>33048090.370000001</v>
          </cell>
          <cell r="MB157">
            <v>25525010.990000002</v>
          </cell>
          <cell r="MC157">
            <v>33166678.43</v>
          </cell>
          <cell r="MD157">
            <v>27143329.469999999</v>
          </cell>
          <cell r="ME157">
            <v>88021210.810000017</v>
          </cell>
          <cell r="MF157">
            <v>22851248.84</v>
          </cell>
          <cell r="MG157">
            <v>440482931.70000005</v>
          </cell>
          <cell r="MH157">
            <v>17592427.719999999</v>
          </cell>
          <cell r="MI157">
            <v>11492612.68</v>
          </cell>
          <cell r="MJ157">
            <v>7795932.96</v>
          </cell>
          <cell r="MK157">
            <v>7832712.4699999997</v>
          </cell>
          <cell r="ML157">
            <v>22456867.43</v>
          </cell>
          <cell r="MM157">
            <v>18479267.43</v>
          </cell>
          <cell r="MN157">
            <v>12544054.369999999</v>
          </cell>
          <cell r="MO157">
            <v>28960543.969999999</v>
          </cell>
          <cell r="MP157">
            <v>10992427.929999998</v>
          </cell>
          <cell r="MQ157">
            <v>13870131.430000002</v>
          </cell>
          <cell r="MR157">
            <v>11740795.610000001</v>
          </cell>
          <cell r="MS157">
            <v>283248330.43999994</v>
          </cell>
          <cell r="MT157">
            <v>20749824.530000001</v>
          </cell>
          <cell r="MU157">
            <v>23683566.940000001</v>
          </cell>
          <cell r="MV157">
            <v>36123031.919999994</v>
          </cell>
          <cell r="MW157">
            <v>41938249.679999992</v>
          </cell>
          <cell r="MX157">
            <v>20259570.150000006</v>
          </cell>
          <cell r="MY157">
            <v>58252140.409099996</v>
          </cell>
          <cell r="MZ157">
            <v>51477746.719999999</v>
          </cell>
          <cell r="NA157">
            <v>21395579.509999994</v>
          </cell>
          <cell r="NB157">
            <v>13351399.380000001</v>
          </cell>
          <cell r="NC157">
            <v>3497284.8000000007</v>
          </cell>
          <cell r="ND157">
            <v>404824506.94</v>
          </cell>
          <cell r="NE157">
            <v>39704055.880000003</v>
          </cell>
          <cell r="NF157">
            <v>9834110.0300000012</v>
          </cell>
          <cell r="NG157">
            <v>309298150.45000005</v>
          </cell>
          <cell r="NH157">
            <v>20474454.300000001</v>
          </cell>
          <cell r="NI157">
            <v>29622410.439999994</v>
          </cell>
          <cell r="NJ157">
            <v>109099196.69000001</v>
          </cell>
          <cell r="NK157">
            <v>72907234.199999988</v>
          </cell>
          <cell r="NL157">
            <v>4245908.5299999993</v>
          </cell>
          <cell r="NM157">
            <v>22431423.379999999</v>
          </cell>
          <cell r="NN157">
            <v>15277797.530000001</v>
          </cell>
          <cell r="NO157">
            <v>10616638.910999998</v>
          </cell>
          <cell r="NP157">
            <v>65473943.270000003</v>
          </cell>
          <cell r="NQ157">
            <v>8925712.9899999984</v>
          </cell>
          <cell r="NR157">
            <v>10980898.27</v>
          </cell>
          <cell r="NS157">
            <v>6225620.4399999985</v>
          </cell>
          <cell r="NT157">
            <v>4600668.97</v>
          </cell>
          <cell r="NU157">
            <v>2442844.2600000007</v>
          </cell>
          <cell r="NV157">
            <v>3341958.93</v>
          </cell>
          <cell r="NW157">
            <v>268699741.75</v>
          </cell>
          <cell r="NX157">
            <v>90460202.969999999</v>
          </cell>
          <cell r="NY157">
            <v>17966257.400000002</v>
          </cell>
          <cell r="NZ157">
            <v>16212301.090000002</v>
          </cell>
          <cell r="OA157">
            <v>15707512.52</v>
          </cell>
          <cell r="OB157">
            <v>35786290.150000006</v>
          </cell>
          <cell r="OC157">
            <v>16157457.43</v>
          </cell>
          <cell r="OD157">
            <v>118580088.32000002</v>
          </cell>
          <cell r="OE157">
            <v>125612930.3</v>
          </cell>
          <cell r="OF157">
            <v>14044972.060000001</v>
          </cell>
          <cell r="OG157">
            <v>79479522.38000001</v>
          </cell>
          <cell r="OH157">
            <v>25686007.079999998</v>
          </cell>
          <cell r="OI157">
            <v>26150646.309999991</v>
          </cell>
          <cell r="OJ157">
            <v>75725268.030000001</v>
          </cell>
          <cell r="OK157">
            <v>17336531.149999999</v>
          </cell>
          <cell r="OL157">
            <v>34403386.329999998</v>
          </cell>
          <cell r="OM157">
            <v>239656707.90000001</v>
          </cell>
          <cell r="ON157">
            <v>74112248.87000002</v>
          </cell>
          <cell r="OO157">
            <v>192637682.11000001</v>
          </cell>
          <cell r="OP157">
            <v>39484680.120000005</v>
          </cell>
          <cell r="OQ157">
            <v>24298643.439999998</v>
          </cell>
          <cell r="OR157">
            <v>50977445.389999993</v>
          </cell>
          <cell r="OS157">
            <v>89868856.530000016</v>
          </cell>
          <cell r="OT157">
            <v>12971316.27</v>
          </cell>
          <cell r="OU157">
            <v>10522902.51</v>
          </cell>
          <cell r="OV157">
            <v>12823135.24</v>
          </cell>
          <cell r="OW157">
            <v>18191531.800000001</v>
          </cell>
          <cell r="OX157">
            <v>71079094.390000001</v>
          </cell>
          <cell r="OY157">
            <v>16626065.119999999</v>
          </cell>
          <cell r="OZ157">
            <v>8662202.0999999996</v>
          </cell>
          <cell r="PA157">
            <v>12851754.300000001</v>
          </cell>
          <cell r="PB157">
            <v>237475943.83000004</v>
          </cell>
          <cell r="PC157">
            <v>7455129.6799999988</v>
          </cell>
          <cell r="PD157">
            <v>48067070.670000002</v>
          </cell>
          <cell r="PE157">
            <v>8350671.4100000001</v>
          </cell>
          <cell r="PF157">
            <v>11307996.649999999</v>
          </cell>
          <cell r="PG157">
            <v>45355386.759999998</v>
          </cell>
          <cell r="PH157">
            <v>14180891.390000002</v>
          </cell>
          <cell r="PI157">
            <v>16507929.269999998</v>
          </cell>
          <cell r="PJ157">
            <v>21191075.659999996</v>
          </cell>
          <cell r="PK157">
            <v>11988771.149999999</v>
          </cell>
          <cell r="PL157">
            <v>12285199.249999998</v>
          </cell>
          <cell r="PM157">
            <v>34482926.840000004</v>
          </cell>
          <cell r="PN157">
            <v>9691317.7300000023</v>
          </cell>
          <cell r="PO157">
            <v>68878523.660000011</v>
          </cell>
          <cell r="PP157">
            <v>8612782.1400000006</v>
          </cell>
          <cell r="PQ157">
            <v>12369250.229999999</v>
          </cell>
          <cell r="PR157">
            <v>7893202.3200000012</v>
          </cell>
          <cell r="PS157">
            <v>5158935.12</v>
          </cell>
          <cell r="PT157">
            <v>592976892.69999993</v>
          </cell>
          <cell r="PU157">
            <v>29456742.549999997</v>
          </cell>
          <cell r="PV157">
            <v>20165578.059999999</v>
          </cell>
          <cell r="PW157">
            <v>18172137.420000002</v>
          </cell>
          <cell r="PX157">
            <v>198383473.07000002</v>
          </cell>
          <cell r="PY157">
            <v>30749038.390000004</v>
          </cell>
          <cell r="PZ157">
            <v>68100620.790000007</v>
          </cell>
          <cell r="QA157">
            <v>14798268.120000003</v>
          </cell>
          <cell r="QB157">
            <v>61637496.220000006</v>
          </cell>
          <cell r="QC157">
            <v>6305654.6700000009</v>
          </cell>
          <cell r="QD157">
            <v>48861590.209999993</v>
          </cell>
          <cell r="QE157">
            <v>14686401.189999998</v>
          </cell>
          <cell r="QF157">
            <v>12399062.209999999</v>
          </cell>
          <cell r="QG157">
            <v>16750836.230000004</v>
          </cell>
          <cell r="QH157">
            <v>40743839.329999998</v>
          </cell>
          <cell r="QI157">
            <v>15593002.640000001</v>
          </cell>
          <cell r="QJ157">
            <v>22476528.91</v>
          </cell>
          <cell r="QK157">
            <v>17632325.960000001</v>
          </cell>
          <cell r="QL157">
            <v>14229799.359999999</v>
          </cell>
          <cell r="QM157">
            <v>68804955.809999987</v>
          </cell>
          <cell r="QN157">
            <v>65758035.669999994</v>
          </cell>
          <cell r="QO157">
            <v>15476863.310000001</v>
          </cell>
          <cell r="QP157">
            <v>3580828.5700000003</v>
          </cell>
          <cell r="QQ157">
            <v>9080645.290000001</v>
          </cell>
          <cell r="QR157">
            <v>3260226.47</v>
          </cell>
          <cell r="QS157">
            <v>8413338.5700000003</v>
          </cell>
          <cell r="QT157">
            <v>265679322.54999995</v>
          </cell>
          <cell r="QU157">
            <v>8475062.4800000004</v>
          </cell>
          <cell r="QV157">
            <v>57423435.160000011</v>
          </cell>
          <cell r="QW157">
            <v>12287880.25</v>
          </cell>
          <cell r="QX157">
            <v>17089133.639999997</v>
          </cell>
          <cell r="QY157">
            <v>47785653.25999999</v>
          </cell>
          <cell r="QZ157">
            <v>20013471.579999998</v>
          </cell>
          <cell r="RA157">
            <v>36610914.089999996</v>
          </cell>
          <cell r="RB157">
            <v>20134092.250000004</v>
          </cell>
          <cell r="RC157">
            <v>18475025.390000001</v>
          </cell>
          <cell r="RD157">
            <v>10936520.400000002</v>
          </cell>
          <cell r="RE157">
            <v>5439419.4799999995</v>
          </cell>
          <cell r="RF157">
            <v>7067902.2000000011</v>
          </cell>
          <cell r="RG157">
            <v>404901612.17000014</v>
          </cell>
          <cell r="RH157">
            <v>57342880.120000005</v>
          </cell>
          <cell r="RI157">
            <v>21150837.430000003</v>
          </cell>
          <cell r="RJ157">
            <v>18788000.5</v>
          </cell>
          <cell r="RK157">
            <v>28275224.939999994</v>
          </cell>
          <cell r="RL157">
            <v>46122693.339999996</v>
          </cell>
          <cell r="RM157">
            <v>83086634.670000002</v>
          </cell>
          <cell r="RN157">
            <v>17572283.760000002</v>
          </cell>
          <cell r="RO157">
            <v>16244249.259999998</v>
          </cell>
          <cell r="RP157">
            <v>53625285.099999994</v>
          </cell>
          <cell r="RQ157">
            <v>74052599.529999986</v>
          </cell>
          <cell r="RR157">
            <v>14571905.359999999</v>
          </cell>
          <cell r="RS157">
            <v>16347523.51</v>
          </cell>
          <cell r="RT157">
            <v>26626668.990000002</v>
          </cell>
          <cell r="RU157">
            <v>13074869.520000001</v>
          </cell>
          <cell r="RV157">
            <v>12401866</v>
          </cell>
          <cell r="RW157">
            <v>18956517.359999999</v>
          </cell>
          <cell r="RX157">
            <v>7723988.5200000014</v>
          </cell>
          <cell r="RY157">
            <v>9651303.3800000008</v>
          </cell>
          <cell r="RZ157">
            <v>11025337.91</v>
          </cell>
          <cell r="SA157">
            <v>127015365.00999999</v>
          </cell>
          <cell r="SB157">
            <v>11874509.02</v>
          </cell>
          <cell r="SC157">
            <v>8915365.4799999986</v>
          </cell>
          <cell r="SD157">
            <v>17730183.73</v>
          </cell>
          <cell r="SE157">
            <v>7985331.6299999999</v>
          </cell>
          <cell r="SF157">
            <v>17980050.559999999</v>
          </cell>
          <cell r="SG157">
            <v>21147619.639999997</v>
          </cell>
          <cell r="SH157">
            <v>28822553.66</v>
          </cell>
          <cell r="SI157">
            <v>11906777.609999998</v>
          </cell>
          <cell r="SJ157">
            <v>9733205.4199999999</v>
          </cell>
          <cell r="SK157">
            <v>70180180.199999988</v>
          </cell>
          <cell r="SL157">
            <v>4782878.13</v>
          </cell>
          <cell r="SM157">
            <v>85348933.959999993</v>
          </cell>
          <cell r="SN157">
            <v>18558686.609999996</v>
          </cell>
          <cell r="SO157">
            <v>25786592.07</v>
          </cell>
          <cell r="SP157">
            <v>38835105.560000002</v>
          </cell>
          <cell r="SQ157">
            <v>10986882.380000001</v>
          </cell>
          <cell r="SR157">
            <v>7178159.7299999995</v>
          </cell>
          <cell r="SS157">
            <v>15380357.699999999</v>
          </cell>
          <cell r="ST157">
            <v>16444708.859999999</v>
          </cell>
          <cell r="SU157">
            <v>221834448.77000001</v>
          </cell>
          <cell r="SV157">
            <v>6461182.3100000005</v>
          </cell>
          <cell r="SW157">
            <v>17369477.759999998</v>
          </cell>
          <cell r="SX157">
            <v>23062480.770000003</v>
          </cell>
          <cell r="SY157">
            <v>6608306.5499999998</v>
          </cell>
          <cell r="SZ157">
            <v>6245565.8899999997</v>
          </cell>
          <cell r="TA157">
            <v>9582187.3599999994</v>
          </cell>
          <cell r="TB157">
            <v>64190048.069999993</v>
          </cell>
          <cell r="TC157">
            <v>12432424.479999999</v>
          </cell>
          <cell r="TD157">
            <v>14271688.620000003</v>
          </cell>
          <cell r="TE157">
            <v>11240788.590000002</v>
          </cell>
          <cell r="TF157">
            <v>37003048.770000003</v>
          </cell>
          <cell r="TG157">
            <v>8662128.1699999999</v>
          </cell>
          <cell r="TH157">
            <v>7057900.0499999998</v>
          </cell>
          <cell r="TI157">
            <v>509651606.10000008</v>
          </cell>
          <cell r="TJ157">
            <v>13366884.090000002</v>
          </cell>
          <cell r="TK157">
            <v>19143352.620000001</v>
          </cell>
          <cell r="TL157">
            <v>65665124.859999999</v>
          </cell>
          <cell r="TM157">
            <v>25043548.720000003</v>
          </cell>
          <cell r="TN157">
            <v>6547979.8500000006</v>
          </cell>
          <cell r="TO157">
            <v>9493407.5099999998</v>
          </cell>
          <cell r="TP157">
            <v>56625177.109999999</v>
          </cell>
          <cell r="TQ157">
            <v>13121937.749999998</v>
          </cell>
          <cell r="TR157">
            <v>31870446.800000001</v>
          </cell>
          <cell r="TS157">
            <v>41537435.340000004</v>
          </cell>
          <cell r="TT157">
            <v>7491373.4700000007</v>
          </cell>
          <cell r="TU157">
            <v>11051028.07</v>
          </cell>
          <cell r="TV157">
            <v>20097559.249999996</v>
          </cell>
          <cell r="TW157">
            <v>25392710.289999999</v>
          </cell>
          <cell r="TX157">
            <v>4993970.0199999996</v>
          </cell>
          <cell r="TY157">
            <v>74185830.029999986</v>
          </cell>
          <cell r="TZ157">
            <v>8989602.8000000007</v>
          </cell>
          <cell r="UA157">
            <v>143540763.12</v>
          </cell>
          <cell r="UB157">
            <v>53417473.229999997</v>
          </cell>
          <cell r="UC157">
            <v>21177785.880000006</v>
          </cell>
          <cell r="UD157">
            <v>22421703.109999996</v>
          </cell>
          <cell r="UE157">
            <v>244872068.65000004</v>
          </cell>
          <cell r="UF157">
            <v>8970461.200000003</v>
          </cell>
          <cell r="UG157">
            <v>14241872.090000002</v>
          </cell>
          <cell r="UH157">
            <v>21176697.659999996</v>
          </cell>
          <cell r="UI157">
            <v>14088045.100000001</v>
          </cell>
          <cell r="UJ157">
            <v>112752163.59</v>
          </cell>
          <cell r="UK157">
            <v>44034403.240000002</v>
          </cell>
          <cell r="UL157">
            <v>24583790.239999998</v>
          </cell>
          <cell r="UM157">
            <v>49300575.299999997</v>
          </cell>
          <cell r="UN157">
            <v>24575749.66</v>
          </cell>
          <cell r="UO157">
            <v>29739611.840000004</v>
          </cell>
          <cell r="UP157">
            <v>451404879.56999993</v>
          </cell>
          <cell r="UQ157">
            <v>28043075.129999999</v>
          </cell>
          <cell r="UR157">
            <v>28372111.780000001</v>
          </cell>
          <cell r="US157">
            <v>136296965.39000002</v>
          </cell>
          <cell r="UT157">
            <v>3894452.9400000004</v>
          </cell>
          <cell r="UU157">
            <v>17359361.150000002</v>
          </cell>
          <cell r="UV157">
            <v>73978739.420000002</v>
          </cell>
          <cell r="UW157">
            <v>9184254.9399999976</v>
          </cell>
          <cell r="UX157">
            <v>19771333.18</v>
          </cell>
          <cell r="UY157">
            <v>11694978.6</v>
          </cell>
          <cell r="UZ157">
            <v>27728872.320000004</v>
          </cell>
          <cell r="VA157">
            <v>52757483.639999993</v>
          </cell>
          <cell r="VB157">
            <v>25488171.129999999</v>
          </cell>
          <cell r="VC157">
            <v>27081186.210000001</v>
          </cell>
          <cell r="VD157">
            <v>15455629.09</v>
          </cell>
          <cell r="VE157">
            <v>16958996.190000005</v>
          </cell>
          <cell r="VF157">
            <v>16317570.799999999</v>
          </cell>
          <cell r="VG157">
            <v>13925806.469999999</v>
          </cell>
          <cell r="VH157">
            <v>57104279.119999997</v>
          </cell>
          <cell r="VI157">
            <v>9455113.0899999999</v>
          </cell>
          <cell r="VJ157">
            <v>6215588.7399999993</v>
          </cell>
          <cell r="VK157">
            <v>5806130.4100000001</v>
          </cell>
          <cell r="VL157">
            <v>361673702.05000001</v>
          </cell>
          <cell r="VM157">
            <v>21016183.449999999</v>
          </cell>
          <cell r="VN157">
            <v>21753683.450000003</v>
          </cell>
          <cell r="VO157">
            <v>42476797.780000009</v>
          </cell>
          <cell r="VP157">
            <v>54338975.799999997</v>
          </cell>
          <cell r="VQ157">
            <v>45166058.310000002</v>
          </cell>
          <cell r="VR157">
            <v>38868641.310000002</v>
          </cell>
          <cell r="VS157">
            <v>8989979.620000001</v>
          </cell>
          <cell r="VT157">
            <v>21317670.960000001</v>
          </cell>
          <cell r="VU157">
            <v>124919751.28</v>
          </cell>
          <cell r="VV157">
            <v>12961477.48</v>
          </cell>
          <cell r="VW157">
            <v>37964875.850000001</v>
          </cell>
          <cell r="VX157">
            <v>19137642.039999995</v>
          </cell>
          <cell r="VY157">
            <v>5282936.9399999995</v>
          </cell>
          <cell r="VZ157">
            <v>11541016.329999996</v>
          </cell>
          <cell r="WA157">
            <v>662956913.53999984</v>
          </cell>
          <cell r="WB157">
            <v>22581568.049999997</v>
          </cell>
          <cell r="WC157">
            <v>18587978.82</v>
          </cell>
          <cell r="WD157">
            <v>21005283.459999993</v>
          </cell>
          <cell r="WE157">
            <v>9796540.3199999984</v>
          </cell>
          <cell r="WF157">
            <v>23868623.690000001</v>
          </cell>
          <cell r="WG157">
            <v>45979637.730000004</v>
          </cell>
          <cell r="WH157">
            <v>28838972.060000002</v>
          </cell>
          <cell r="WI157">
            <v>14279667.119999997</v>
          </cell>
          <cell r="WJ157">
            <v>35354414.259999998</v>
          </cell>
          <cell r="WK157">
            <v>12902369.65</v>
          </cell>
          <cell r="WL157">
            <v>45509273.219999999</v>
          </cell>
          <cell r="WM157">
            <v>17301306.670000002</v>
          </cell>
          <cell r="WN157">
            <v>56541110.839999989</v>
          </cell>
          <cell r="WO157">
            <v>59543699.060000002</v>
          </cell>
          <cell r="WP157">
            <v>14387142.950000001</v>
          </cell>
          <cell r="WQ157">
            <v>23239810.289999995</v>
          </cell>
          <cell r="WR157">
            <v>31439096.18</v>
          </cell>
          <cell r="WS157">
            <v>10175790.18</v>
          </cell>
          <cell r="WT157">
            <v>37586454.330000006</v>
          </cell>
          <cell r="WU157">
            <v>179784318.98000005</v>
          </cell>
          <cell r="WV157">
            <v>27391347.390000001</v>
          </cell>
          <cell r="WW157">
            <v>17073146.489999995</v>
          </cell>
          <cell r="WX157">
            <v>11715155.939999999</v>
          </cell>
          <cell r="WY157">
            <v>15084372.270000001</v>
          </cell>
          <cell r="WZ157">
            <v>19458673.180000003</v>
          </cell>
          <cell r="XA157">
            <v>6403454.04</v>
          </cell>
          <cell r="XB157">
            <v>11995427.260000002</v>
          </cell>
          <cell r="XC157">
            <v>100358424.17000002</v>
          </cell>
          <cell r="XD157">
            <v>11980830.57</v>
          </cell>
          <cell r="XE157">
            <v>5833029.4399999995</v>
          </cell>
          <cell r="XF157">
            <v>7307125.4799999986</v>
          </cell>
          <cell r="XG157">
            <v>11530591.68</v>
          </cell>
          <cell r="XH157">
            <v>158990761.25</v>
          </cell>
          <cell r="XI157">
            <v>30624785.009999998</v>
          </cell>
          <cell r="XJ157">
            <v>29865206.029999997</v>
          </cell>
          <cell r="XK157">
            <v>122304718.12</v>
          </cell>
          <cell r="XL157">
            <v>17030808.650000002</v>
          </cell>
          <cell r="XM157">
            <v>21469573.43</v>
          </cell>
          <cell r="XN157">
            <v>55077212.789999999</v>
          </cell>
          <cell r="XO157">
            <v>20705773.749999996</v>
          </cell>
          <cell r="XP157">
            <v>16757437.689999999</v>
          </cell>
          <cell r="XQ157">
            <v>48027256.75</v>
          </cell>
          <cell r="XR157">
            <v>41586516.460000008</v>
          </cell>
          <cell r="XS157">
            <v>14362808.439999999</v>
          </cell>
          <cell r="XT157">
            <v>15697388.530000001</v>
          </cell>
          <cell r="XU157">
            <v>11917780.070000002</v>
          </cell>
          <cell r="XV157">
            <v>12736403.369999999</v>
          </cell>
          <cell r="XW157">
            <v>10755764.18</v>
          </cell>
          <cell r="XX157">
            <v>8357177.9300000006</v>
          </cell>
          <cell r="XY157">
            <v>13652634.4</v>
          </cell>
          <cell r="XZ157">
            <v>7647513.9800000004</v>
          </cell>
          <cell r="YA157">
            <v>5647899.2999999998</v>
          </cell>
          <cell r="YB157">
            <v>7635089.4300000006</v>
          </cell>
          <cell r="YC157">
            <v>12086381.979999999</v>
          </cell>
          <cell r="YD157">
            <v>10393363.839999998</v>
          </cell>
          <cell r="YE157">
            <v>221236758.93000004</v>
          </cell>
          <cell r="YF157">
            <v>20659325.379999999</v>
          </cell>
          <cell r="YG157">
            <v>42109583.990000002</v>
          </cell>
          <cell r="YH157">
            <v>10568575.559999999</v>
          </cell>
          <cell r="YI157">
            <v>79974925.060000002</v>
          </cell>
          <cell r="YJ157">
            <v>9293415.3300000001</v>
          </cell>
          <cell r="YK157">
            <v>57770822.54999999</v>
          </cell>
          <cell r="YL157">
            <v>7542396.0899999989</v>
          </cell>
          <cell r="YM157">
            <v>57201467.859999999</v>
          </cell>
          <cell r="YN157">
            <v>45794978.340000004</v>
          </cell>
          <cell r="YO157">
            <v>13144750.450000001</v>
          </cell>
          <cell r="YP157">
            <v>13422128.199999999</v>
          </cell>
          <cell r="YQ157">
            <v>16404842.190000001</v>
          </cell>
          <cell r="YR157">
            <v>7394585.8299999991</v>
          </cell>
          <cell r="YS157">
            <v>8838595.8900000006</v>
          </cell>
          <cell r="YT157">
            <v>18867896.07</v>
          </cell>
          <cell r="YU157">
            <v>7629576.5899999999</v>
          </cell>
          <cell r="YV157">
            <v>102521920.51000001</v>
          </cell>
          <cell r="YW157">
            <v>14480926.269999998</v>
          </cell>
          <cell r="YX157">
            <v>9315676.1400000006</v>
          </cell>
          <cell r="YY157">
            <v>16626621.25</v>
          </cell>
          <cell r="YZ157">
            <v>14021254.439999998</v>
          </cell>
          <cell r="ZA157">
            <v>7103185.3300000001</v>
          </cell>
          <cell r="ZB157">
            <v>6441160.2599999998</v>
          </cell>
          <cell r="ZC157">
            <v>118560936.53999999</v>
          </cell>
          <cell r="ZD157">
            <v>4337541.09</v>
          </cell>
          <cell r="ZE157">
            <v>12151519.969999999</v>
          </cell>
          <cell r="ZF157">
            <v>12300156.389999999</v>
          </cell>
          <cell r="ZG157">
            <v>5530584.0299999993</v>
          </cell>
          <cell r="ZH157">
            <v>8028220.9000000004</v>
          </cell>
          <cell r="ZI157">
            <v>6776497.6099999994</v>
          </cell>
          <cell r="ZJ157">
            <v>6240913.9100000001</v>
          </cell>
          <cell r="ZK157">
            <v>58847706.759999998</v>
          </cell>
          <cell r="ZL157">
            <v>314350795.5800001</v>
          </cell>
          <cell r="ZM157">
            <v>8720098.2999999989</v>
          </cell>
          <cell r="ZN157">
            <v>31883853.420000002</v>
          </cell>
          <cell r="ZO157">
            <v>60895652.639999993</v>
          </cell>
          <cell r="ZP157">
            <v>29662759.709999993</v>
          </cell>
          <cell r="ZQ157">
            <v>12984856.639999997</v>
          </cell>
          <cell r="ZR157">
            <v>11025593.899999999</v>
          </cell>
          <cell r="ZS157">
            <v>27149639.350000009</v>
          </cell>
          <cell r="ZT157">
            <v>21555653.859999999</v>
          </cell>
          <cell r="ZU157">
            <v>56738627.350000001</v>
          </cell>
          <cell r="ZV157">
            <v>3252433.89</v>
          </cell>
          <cell r="ZW157">
            <v>13475866.870000003</v>
          </cell>
          <cell r="ZX157">
            <v>14503885.279999996</v>
          </cell>
          <cell r="ZY157">
            <v>17921198.920000002</v>
          </cell>
          <cell r="ZZ157">
            <v>12321988.92</v>
          </cell>
          <cell r="AAA157">
            <v>13218560.120000001</v>
          </cell>
          <cell r="AAB157">
            <v>7233889.3000000007</v>
          </cell>
          <cell r="AAC157">
            <v>3736269</v>
          </cell>
          <cell r="AAD157">
            <v>17327354.940000001</v>
          </cell>
          <cell r="AAE157">
            <v>5662531.5499999998</v>
          </cell>
          <cell r="AAF157">
            <v>4338046.9700000007</v>
          </cell>
          <cell r="AAG157">
            <v>6503884.0600000005</v>
          </cell>
          <cell r="AAH157">
            <v>72610251.599999994</v>
          </cell>
          <cell r="AAI157">
            <v>17757819.289999999</v>
          </cell>
          <cell r="AAJ157">
            <v>23919841.290000003</v>
          </cell>
          <cell r="AAK157">
            <v>12876394.509999998</v>
          </cell>
          <cell r="AAL157">
            <v>6567333.21</v>
          </cell>
          <cell r="AAM157">
            <v>28301660.219999995</v>
          </cell>
          <cell r="AAN157">
            <v>4691895.7899999991</v>
          </cell>
          <cell r="AAO157">
            <v>690251610.85000002</v>
          </cell>
          <cell r="AAP157">
            <v>28218025.880000003</v>
          </cell>
          <cell r="AAQ157">
            <v>20265094.949999996</v>
          </cell>
          <cell r="AAR157">
            <v>35746057.670000002</v>
          </cell>
          <cell r="AAS157">
            <v>43424841.160000004</v>
          </cell>
          <cell r="AAT157">
            <v>10108501.550000001</v>
          </cell>
          <cell r="AAU157">
            <v>13528970.450000001</v>
          </cell>
          <cell r="AAV157">
            <v>20362901.890000001</v>
          </cell>
          <cell r="AAW157">
            <v>93634720.679999992</v>
          </cell>
          <cell r="AAX157">
            <v>18250919.050000001</v>
          </cell>
          <cell r="AAY157">
            <v>34413786.609999999</v>
          </cell>
          <cell r="AAZ157">
            <v>139969769.27000001</v>
          </cell>
          <cell r="ABA157">
            <v>50837815.270000003</v>
          </cell>
          <cell r="ABB157">
            <v>10417574.34</v>
          </cell>
          <cell r="ABC157">
            <v>20365251.089999996</v>
          </cell>
          <cell r="ABD157">
            <v>19093345.100000001</v>
          </cell>
          <cell r="ABE157">
            <v>6585767.6800000006</v>
          </cell>
          <cell r="ABF157">
            <v>13793838.470000001</v>
          </cell>
          <cell r="ABG157">
            <v>11433382.199999997</v>
          </cell>
          <cell r="ABH157">
            <v>115564047.34999998</v>
          </cell>
          <cell r="ABI157">
            <v>121006079.10000001</v>
          </cell>
          <cell r="ABJ157">
            <v>18829905.119999997</v>
          </cell>
          <cell r="ABK157">
            <v>11678248.729999999</v>
          </cell>
          <cell r="ABL157">
            <v>16979251.68</v>
          </cell>
          <cell r="ABM157">
            <v>5884668.9500000011</v>
          </cell>
          <cell r="ABN157">
            <v>8985317.2699999996</v>
          </cell>
          <cell r="ABO157">
            <v>223343497.74999997</v>
          </cell>
          <cell r="ABP157">
            <v>13514205.75</v>
          </cell>
          <cell r="ABQ157">
            <v>16450062.08</v>
          </cell>
          <cell r="ABR157">
            <v>22811203.359999996</v>
          </cell>
          <cell r="ABS157">
            <v>24205070.720000003</v>
          </cell>
          <cell r="ABT157">
            <v>16285749.629999999</v>
          </cell>
          <cell r="ABU157">
            <v>12150307.779999999</v>
          </cell>
          <cell r="ABV157">
            <v>16235300.23</v>
          </cell>
          <cell r="ABW157">
            <v>3264899.65</v>
          </cell>
          <cell r="ABX157">
            <v>404713688.99000001</v>
          </cell>
          <cell r="ABY157">
            <v>9714438.1300000027</v>
          </cell>
          <cell r="ABZ157">
            <v>26095089.459999997</v>
          </cell>
          <cell r="ACA157">
            <v>9296483.7300000004</v>
          </cell>
          <cell r="ACB157">
            <v>8849728.0999999996</v>
          </cell>
          <cell r="ACC157">
            <v>88326503</v>
          </cell>
          <cell r="ACD157">
            <v>6040571.6500000004</v>
          </cell>
          <cell r="ACE157">
            <v>13319311.799999999</v>
          </cell>
          <cell r="ACF157">
            <v>10466156.579999998</v>
          </cell>
          <cell r="ACG157">
            <v>22392872.340000004</v>
          </cell>
          <cell r="ACH157">
            <v>15311703.75</v>
          </cell>
          <cell r="ACI157">
            <v>303944033.47000003</v>
          </cell>
          <cell r="ACJ157">
            <v>12824408.870000001</v>
          </cell>
          <cell r="ACK157">
            <v>23687485.789999999</v>
          </cell>
          <cell r="ACL157">
            <v>44043755.99000001</v>
          </cell>
          <cell r="ACM157">
            <v>9019517.8100000005</v>
          </cell>
          <cell r="ACN157">
            <v>50597247.790000007</v>
          </cell>
          <cell r="ACO157">
            <v>13291586.23</v>
          </cell>
          <cell r="ACP157">
            <v>109572692.04999998</v>
          </cell>
          <cell r="ACQ157">
            <v>84153952.319999993</v>
          </cell>
          <cell r="ACR157">
            <v>26093159.150000002</v>
          </cell>
          <cell r="ACS157">
            <v>51340198.249999993</v>
          </cell>
          <cell r="ACT157">
            <v>39556731.740000002</v>
          </cell>
          <cell r="ACU157">
            <v>22578541.260000002</v>
          </cell>
          <cell r="ACV157">
            <v>60375791.169999994</v>
          </cell>
          <cell r="ACW157">
            <v>18875513.390000001</v>
          </cell>
          <cell r="ACX157">
            <v>18252362.02</v>
          </cell>
          <cell r="ACY157">
            <v>19516963.229999997</v>
          </cell>
          <cell r="ACZ157">
            <v>21784179.310000002</v>
          </cell>
          <cell r="ADA157">
            <v>18224101.59</v>
          </cell>
          <cell r="ADB157">
            <v>9024446.2599999998</v>
          </cell>
          <cell r="ADC157">
            <v>20234962.25</v>
          </cell>
          <cell r="ADD157">
            <v>7557979.0499999998</v>
          </cell>
          <cell r="ADE157">
            <v>9931280.8599999975</v>
          </cell>
          <cell r="ADF157">
            <v>98223092.170000002</v>
          </cell>
          <cell r="ADG157">
            <v>51862210.739999995</v>
          </cell>
          <cell r="ADH157">
            <v>5694078.3399999999</v>
          </cell>
          <cell r="ADI157">
            <v>10905739.020000001</v>
          </cell>
          <cell r="ADJ157">
            <v>33177604.140000004</v>
          </cell>
          <cell r="ADK157">
            <v>13534516.760000002</v>
          </cell>
          <cell r="ADL157">
            <v>10274421.399999997</v>
          </cell>
          <cell r="ADM157">
            <v>17740526.650000002</v>
          </cell>
          <cell r="ADN157">
            <v>26125114.789999995</v>
          </cell>
          <cell r="ADO157">
            <v>393493654.67000002</v>
          </cell>
          <cell r="ADP157">
            <v>41672755.619999997</v>
          </cell>
          <cell r="ADQ157">
            <v>44952850.210000001</v>
          </cell>
          <cell r="ADR157">
            <v>2902233.1100000008</v>
          </cell>
          <cell r="ADS157">
            <v>171021357.63</v>
          </cell>
          <cell r="ADT157">
            <v>3640314.3099999996</v>
          </cell>
          <cell r="ADU157">
            <v>15707191.16</v>
          </cell>
          <cell r="ADV157">
            <v>8879921.2300000004</v>
          </cell>
          <cell r="ADW157">
            <v>5781244.6299999999</v>
          </cell>
          <cell r="ADX157">
            <v>2094056.32</v>
          </cell>
          <cell r="ADY157">
            <v>421060150.54000002</v>
          </cell>
          <cell r="ADZ157">
            <v>142195448.19</v>
          </cell>
          <cell r="AEA157">
            <v>105978682.92999998</v>
          </cell>
          <cell r="AEB157">
            <v>29670495.670000002</v>
          </cell>
          <cell r="AEC157">
            <v>14135932.219999999</v>
          </cell>
          <cell r="AED157">
            <v>40582275.480000004</v>
          </cell>
          <cell r="AEE157">
            <v>26127217.890000001</v>
          </cell>
          <cell r="AEF157">
            <v>20427997.390000001</v>
          </cell>
          <cell r="AEG157">
            <v>11508579.260000004</v>
          </cell>
          <cell r="AEH157">
            <v>9424327.0299999993</v>
          </cell>
          <cell r="AEI157">
            <v>38684121.769999996</v>
          </cell>
          <cell r="AEJ157">
            <v>19534766.740000002</v>
          </cell>
          <cell r="AEK157">
            <v>9295625.1300000027</v>
          </cell>
          <cell r="AEL157">
            <v>18685268.309999999</v>
          </cell>
          <cell r="AEM157">
            <v>30380553.209999997</v>
          </cell>
          <cell r="AEN157">
            <v>23824885.699999999</v>
          </cell>
          <cell r="AEO157">
            <v>6549828.5099999998</v>
          </cell>
          <cell r="AEP157">
            <v>66934146.960000001</v>
          </cell>
          <cell r="AEQ157">
            <v>5360581.0600000005</v>
          </cell>
          <cell r="AER157">
            <v>42198762.210000001</v>
          </cell>
          <cell r="AES157">
            <v>234155098.02000001</v>
          </cell>
          <cell r="AET157">
            <v>45318907.339999996</v>
          </cell>
          <cell r="AEU157">
            <v>35066469.479999989</v>
          </cell>
          <cell r="AEV157">
            <v>22115133.530000001</v>
          </cell>
          <cell r="AEW157">
            <v>14015955.120000001</v>
          </cell>
          <cell r="AEX157">
            <v>82960144.36999999</v>
          </cell>
          <cell r="AEY157">
            <v>23301688.169999998</v>
          </cell>
          <cell r="AEZ157">
            <v>33240830.870000001</v>
          </cell>
          <cell r="AFA157">
            <v>17537652.710000001</v>
          </cell>
          <cell r="AFB157">
            <v>11808695.949999999</v>
          </cell>
          <cell r="AFC157">
            <v>128777105.77</v>
          </cell>
          <cell r="AFD157">
            <v>30623210.609999999</v>
          </cell>
          <cell r="AFE157">
            <v>19624515.720000003</v>
          </cell>
          <cell r="AFF157">
            <v>16760300.34</v>
          </cell>
          <cell r="AFG157">
            <v>23213312.550000001</v>
          </cell>
          <cell r="AFH157">
            <v>30639424.389999997</v>
          </cell>
          <cell r="AFI157">
            <v>17531581.840000004</v>
          </cell>
          <cell r="AFJ157">
            <v>11742124.499999998</v>
          </cell>
          <cell r="AFK157">
            <v>10145865.52</v>
          </cell>
          <cell r="AFL157">
            <v>28130630.980000004</v>
          </cell>
          <cell r="AFM157">
            <v>13102257.389999999</v>
          </cell>
          <cell r="AFN157">
            <v>10358059.420000002</v>
          </cell>
          <cell r="AFO157">
            <v>20131905.249999996</v>
          </cell>
          <cell r="AFP157">
            <v>270026708.59000003</v>
          </cell>
          <cell r="AFQ157">
            <v>44365441.459999993</v>
          </cell>
          <cell r="AFR157">
            <v>27290729.700000003</v>
          </cell>
          <cell r="AFS157">
            <v>24111070.670000006</v>
          </cell>
          <cell r="AFT157">
            <v>24871843.780000001</v>
          </cell>
          <cell r="AFU157">
            <v>16425364.250000004</v>
          </cell>
          <cell r="AFV157">
            <v>10333365.140000001</v>
          </cell>
          <cell r="AFW157">
            <v>34855949.779999994</v>
          </cell>
          <cell r="AFX157">
            <v>31118743.090000004</v>
          </cell>
          <cell r="AFY157">
            <v>10749639.939999999</v>
          </cell>
          <cell r="AFZ157">
            <v>50194531.790000007</v>
          </cell>
          <cell r="AGA157">
            <v>10640562.779999997</v>
          </cell>
          <cell r="AGB157">
            <v>96068273.149999991</v>
          </cell>
          <cell r="AGC157">
            <v>15521722.07</v>
          </cell>
          <cell r="AGD157">
            <v>14676396.509999998</v>
          </cell>
          <cell r="AGE157">
            <v>12868224.259999998</v>
          </cell>
          <cell r="AGF157">
            <v>47433635.43999999</v>
          </cell>
          <cell r="AGG157">
            <v>22398641.23</v>
          </cell>
          <cell r="AGH157">
            <v>4133331.4899999998</v>
          </cell>
          <cell r="AGI157">
            <v>15476840.540000001</v>
          </cell>
          <cell r="AGJ157">
            <v>6716802</v>
          </cell>
          <cell r="AGK157">
            <v>8151616.46</v>
          </cell>
          <cell r="AGL157">
            <v>11213405.560000001</v>
          </cell>
          <cell r="AGM157">
            <v>191168021.26000002</v>
          </cell>
          <cell r="AGN157">
            <v>30649554.219999999</v>
          </cell>
          <cell r="AGO157">
            <v>17334599.710000001</v>
          </cell>
          <cell r="AGP157">
            <v>10453697.25</v>
          </cell>
          <cell r="AGQ157">
            <v>27901104.969999999</v>
          </cell>
          <cell r="AGR157">
            <v>26240679.489999998</v>
          </cell>
          <cell r="AGS157">
            <v>10035881.359999999</v>
          </cell>
          <cell r="AGT157">
            <v>9594808.5700000003</v>
          </cell>
          <cell r="AGU157">
            <v>424799553.16999996</v>
          </cell>
          <cell r="AGV157">
            <v>520046826.31999993</v>
          </cell>
          <cell r="AGW157">
            <v>25336232.500000004</v>
          </cell>
          <cell r="AGX157">
            <v>48503830.99000001</v>
          </cell>
          <cell r="AGY157">
            <v>44839437.340000004</v>
          </cell>
          <cell r="AGZ157">
            <v>17791816.57</v>
          </cell>
          <cell r="AHA157">
            <v>16144250.140000001</v>
          </cell>
          <cell r="AHB157">
            <v>18100105.940000001</v>
          </cell>
          <cell r="AHC157">
            <v>7106173.2299999995</v>
          </cell>
          <cell r="AHD157">
            <v>54442978.480000004</v>
          </cell>
          <cell r="AHE157">
            <v>26232916.839999992</v>
          </cell>
          <cell r="AHF157">
            <v>17438477.41</v>
          </cell>
          <cell r="AHG157">
            <v>16130521.739999996</v>
          </cell>
          <cell r="AHH157">
            <v>21990555.149999999</v>
          </cell>
          <cell r="AHI157">
            <v>8300560.669999999</v>
          </cell>
          <cell r="AHJ157">
            <v>11962050.18</v>
          </cell>
          <cell r="AHK157">
            <v>15912542.759999998</v>
          </cell>
          <cell r="AHL157">
            <v>135839162.40000001</v>
          </cell>
          <cell r="AHM157">
            <v>12762750.970000003</v>
          </cell>
          <cell r="AHN157">
            <v>8257390.4199999999</v>
          </cell>
          <cell r="AHO157">
            <v>11064234.25</v>
          </cell>
          <cell r="AHP157">
            <v>20679049.48</v>
          </cell>
          <cell r="AHQ157">
            <v>7382174.9199999999</v>
          </cell>
          <cell r="AHR157">
            <v>17705211.609999999</v>
          </cell>
        </row>
      </sheetData>
      <sheetData sheetId="2" refreshError="1"/>
      <sheetData sheetId="3" refreshError="1"/>
      <sheetData sheetId="4">
        <row r="2">
          <cell r="F2" t="str">
            <v/>
          </cell>
          <cell r="I2" t="str">
            <v>10000</v>
          </cell>
        </row>
        <row r="45">
          <cell r="F45" t="str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6">
          <cell r="P6">
            <v>400</v>
          </cell>
        </row>
      </sheetData>
      <sheetData sheetId="10">
        <row r="399">
          <cell r="C399">
            <v>10</v>
          </cell>
          <cell r="G399">
            <v>0</v>
          </cell>
        </row>
        <row r="400">
          <cell r="C400">
            <v>20</v>
          </cell>
          <cell r="G400">
            <v>0</v>
          </cell>
        </row>
        <row r="401">
          <cell r="C401">
            <v>30</v>
          </cell>
          <cell r="G401">
            <v>0</v>
          </cell>
        </row>
        <row r="402">
          <cell r="C402">
            <v>40</v>
          </cell>
          <cell r="G402">
            <v>0</v>
          </cell>
        </row>
        <row r="403">
          <cell r="C403">
            <v>50</v>
          </cell>
          <cell r="G403">
            <v>0</v>
          </cell>
        </row>
        <row r="404">
          <cell r="C404">
            <v>60</v>
          </cell>
          <cell r="G404">
            <v>0</v>
          </cell>
        </row>
        <row r="405">
          <cell r="C405">
            <v>70</v>
          </cell>
          <cell r="G405">
            <v>0</v>
          </cell>
        </row>
        <row r="406">
          <cell r="C406">
            <v>80</v>
          </cell>
          <cell r="G406">
            <v>0</v>
          </cell>
        </row>
        <row r="407">
          <cell r="C407">
            <v>90</v>
          </cell>
          <cell r="G407">
            <v>0</v>
          </cell>
        </row>
        <row r="408">
          <cell r="C408">
            <v>100</v>
          </cell>
          <cell r="G408">
            <v>0</v>
          </cell>
        </row>
        <row r="409">
          <cell r="C409">
            <v>110</v>
          </cell>
          <cell r="G409">
            <v>0</v>
          </cell>
        </row>
        <row r="410">
          <cell r="C410">
            <v>120</v>
          </cell>
          <cell r="G410" t="str">
            <v>PC08</v>
          </cell>
        </row>
        <row r="411">
          <cell r="C411">
            <v>130</v>
          </cell>
          <cell r="G411" t="str">
            <v>PC08</v>
          </cell>
        </row>
        <row r="412">
          <cell r="C412">
            <v>140</v>
          </cell>
          <cell r="G412" t="str">
            <v>PC08</v>
          </cell>
        </row>
        <row r="413">
          <cell r="C413">
            <v>150</v>
          </cell>
          <cell r="G413" t="str">
            <v>PC08</v>
          </cell>
        </row>
        <row r="414">
          <cell r="C414">
            <v>160</v>
          </cell>
          <cell r="G414" t="str">
            <v>PC08</v>
          </cell>
        </row>
        <row r="415">
          <cell r="C415">
            <v>170</v>
          </cell>
          <cell r="G415" t="str">
            <v>PC08</v>
          </cell>
        </row>
        <row r="416">
          <cell r="C416">
            <v>180</v>
          </cell>
          <cell r="G416" t="str">
            <v>PC08</v>
          </cell>
        </row>
        <row r="417">
          <cell r="C417">
            <v>190</v>
          </cell>
          <cell r="G417" t="str">
            <v>PC05</v>
          </cell>
        </row>
        <row r="418">
          <cell r="C418">
            <v>200</v>
          </cell>
          <cell r="G418" t="str">
            <v>PC02</v>
          </cell>
        </row>
        <row r="419">
          <cell r="C419">
            <v>210</v>
          </cell>
          <cell r="G419" t="str">
            <v>PC08</v>
          </cell>
        </row>
        <row r="420">
          <cell r="C420">
            <v>220</v>
          </cell>
          <cell r="G420" t="str">
            <v>PC03</v>
          </cell>
        </row>
        <row r="421">
          <cell r="C421">
            <v>230</v>
          </cell>
          <cell r="G421" t="str">
            <v>PC03</v>
          </cell>
        </row>
        <row r="422">
          <cell r="C422">
            <v>240</v>
          </cell>
          <cell r="G422" t="str">
            <v>PC08</v>
          </cell>
        </row>
        <row r="423">
          <cell r="C423">
            <v>250</v>
          </cell>
          <cell r="G423" t="str">
            <v>PC08</v>
          </cell>
        </row>
        <row r="424">
          <cell r="C424">
            <v>260</v>
          </cell>
          <cell r="G424" t="str">
            <v>PC03</v>
          </cell>
        </row>
        <row r="425">
          <cell r="C425">
            <v>270</v>
          </cell>
          <cell r="G425" t="str">
            <v>PC03</v>
          </cell>
        </row>
        <row r="426">
          <cell r="C426">
            <v>280</v>
          </cell>
          <cell r="G426" t="str">
            <v>PC03</v>
          </cell>
        </row>
        <row r="427">
          <cell r="C427">
            <v>290</v>
          </cell>
          <cell r="G427" t="str">
            <v>PC03</v>
          </cell>
        </row>
        <row r="428">
          <cell r="C428">
            <v>300</v>
          </cell>
          <cell r="G428" t="str">
            <v>PC05</v>
          </cell>
        </row>
        <row r="429">
          <cell r="C429">
            <v>310</v>
          </cell>
          <cell r="G429" t="str">
            <v>PC05</v>
          </cell>
        </row>
        <row r="430">
          <cell r="C430">
            <v>320</v>
          </cell>
          <cell r="G430" t="str">
            <v>PC05</v>
          </cell>
        </row>
        <row r="431">
          <cell r="C431">
            <v>330</v>
          </cell>
          <cell r="G431" t="str">
            <v>PC05</v>
          </cell>
        </row>
        <row r="432">
          <cell r="C432">
            <v>340</v>
          </cell>
          <cell r="G432" t="str">
            <v>PC08</v>
          </cell>
        </row>
        <row r="433">
          <cell r="C433">
            <v>350</v>
          </cell>
          <cell r="G433" t="str">
            <v>PC08</v>
          </cell>
        </row>
        <row r="434">
          <cell r="C434">
            <v>360</v>
          </cell>
          <cell r="G434" t="str">
            <v>PC04</v>
          </cell>
        </row>
        <row r="435">
          <cell r="C435">
            <v>370</v>
          </cell>
          <cell r="G435" t="str">
            <v>PC04</v>
          </cell>
        </row>
        <row r="436">
          <cell r="C436">
            <v>380</v>
          </cell>
          <cell r="G436" t="str">
            <v>PC04</v>
          </cell>
        </row>
        <row r="437">
          <cell r="C437">
            <v>390</v>
          </cell>
          <cell r="G437" t="str">
            <v>PC04</v>
          </cell>
        </row>
        <row r="438">
          <cell r="C438">
            <v>400</v>
          </cell>
          <cell r="G438" t="str">
            <v>PC04</v>
          </cell>
        </row>
        <row r="439">
          <cell r="C439">
            <v>410</v>
          </cell>
          <cell r="G439" t="str">
            <v>PC04</v>
          </cell>
        </row>
        <row r="440">
          <cell r="C440">
            <v>420</v>
          </cell>
          <cell r="G440" t="str">
            <v>PC04</v>
          </cell>
        </row>
        <row r="441">
          <cell r="C441">
            <v>430</v>
          </cell>
          <cell r="G441" t="str">
            <v>PC04</v>
          </cell>
        </row>
        <row r="442">
          <cell r="C442">
            <v>440</v>
          </cell>
          <cell r="G442" t="str">
            <v>PC01</v>
          </cell>
        </row>
        <row r="443">
          <cell r="C443">
            <v>450</v>
          </cell>
          <cell r="G443" t="str">
            <v>PC01</v>
          </cell>
        </row>
        <row r="444">
          <cell r="C444">
            <v>460</v>
          </cell>
          <cell r="G444" t="str">
            <v>PC01</v>
          </cell>
        </row>
        <row r="445">
          <cell r="C445">
            <v>470</v>
          </cell>
          <cell r="G445" t="str">
            <v>PC01</v>
          </cell>
        </row>
        <row r="446">
          <cell r="C446">
            <v>480</v>
          </cell>
          <cell r="G446" t="str">
            <v>PC01</v>
          </cell>
        </row>
        <row r="447">
          <cell r="C447">
            <v>490</v>
          </cell>
          <cell r="G447" t="str">
            <v>PC10</v>
          </cell>
        </row>
        <row r="448">
          <cell r="C448">
            <v>500</v>
          </cell>
          <cell r="G448" t="str">
            <v>PC01</v>
          </cell>
        </row>
        <row r="449">
          <cell r="C449">
            <v>510</v>
          </cell>
          <cell r="G449" t="str">
            <v>PC01</v>
          </cell>
        </row>
        <row r="450">
          <cell r="C450">
            <v>520</v>
          </cell>
          <cell r="G450" t="str">
            <v>PC01</v>
          </cell>
        </row>
        <row r="451">
          <cell r="C451">
            <v>530</v>
          </cell>
          <cell r="G451" t="str">
            <v>PC01</v>
          </cell>
        </row>
        <row r="452">
          <cell r="C452">
            <v>540</v>
          </cell>
          <cell r="G452" t="str">
            <v>PC01</v>
          </cell>
        </row>
        <row r="453">
          <cell r="C453">
            <v>550</v>
          </cell>
          <cell r="G453" t="str">
            <v>PC01</v>
          </cell>
        </row>
        <row r="454">
          <cell r="C454">
            <v>560</v>
          </cell>
          <cell r="G454" t="str">
            <v>PC01</v>
          </cell>
        </row>
        <row r="455">
          <cell r="C455">
            <v>570</v>
          </cell>
          <cell r="G455" t="str">
            <v>PC01</v>
          </cell>
        </row>
        <row r="456">
          <cell r="C456">
            <v>580</v>
          </cell>
          <cell r="G456" t="str">
            <v>PC01</v>
          </cell>
        </row>
        <row r="457">
          <cell r="C457">
            <v>590</v>
          </cell>
          <cell r="G457" t="str">
            <v>PC01</v>
          </cell>
        </row>
        <row r="458">
          <cell r="C458">
            <v>600</v>
          </cell>
          <cell r="G458" t="str">
            <v>PC01</v>
          </cell>
        </row>
        <row r="459">
          <cell r="C459">
            <v>610</v>
          </cell>
          <cell r="G459" t="str">
            <v>PC01</v>
          </cell>
        </row>
        <row r="460">
          <cell r="C460">
            <v>620</v>
          </cell>
          <cell r="G460" t="str">
            <v>PC01</v>
          </cell>
        </row>
        <row r="461">
          <cell r="C461">
            <v>630</v>
          </cell>
          <cell r="G461" t="str">
            <v>PC01</v>
          </cell>
        </row>
        <row r="462">
          <cell r="C462">
            <v>640</v>
          </cell>
          <cell r="G462" t="str">
            <v>PC01</v>
          </cell>
        </row>
        <row r="463">
          <cell r="C463">
            <v>650</v>
          </cell>
          <cell r="G463" t="str">
            <v>PC01</v>
          </cell>
        </row>
        <row r="464">
          <cell r="C464">
            <v>660</v>
          </cell>
          <cell r="G464" t="str">
            <v>PC01</v>
          </cell>
        </row>
        <row r="465">
          <cell r="C465">
            <v>670</v>
          </cell>
          <cell r="G465" t="str">
            <v>PC01</v>
          </cell>
        </row>
        <row r="466">
          <cell r="C466">
            <v>680</v>
          </cell>
          <cell r="G466" t="str">
            <v>PC01</v>
          </cell>
        </row>
        <row r="467">
          <cell r="C467">
            <v>690</v>
          </cell>
          <cell r="G467" t="str">
            <v>PC01</v>
          </cell>
        </row>
        <row r="468">
          <cell r="C468">
            <v>700</v>
          </cell>
          <cell r="G468" t="str">
            <v>PC01</v>
          </cell>
        </row>
        <row r="469">
          <cell r="C469">
            <v>710</v>
          </cell>
          <cell r="G469" t="str">
            <v>PC01</v>
          </cell>
        </row>
        <row r="470">
          <cell r="C470">
            <v>720</v>
          </cell>
          <cell r="G470" t="str">
            <v>PC01</v>
          </cell>
        </row>
        <row r="471">
          <cell r="C471">
            <v>730</v>
          </cell>
          <cell r="G471" t="str">
            <v>PC01</v>
          </cell>
        </row>
        <row r="472">
          <cell r="C472">
            <v>740</v>
          </cell>
          <cell r="G472" t="str">
            <v>PC01</v>
          </cell>
        </row>
        <row r="473">
          <cell r="C473">
            <v>750</v>
          </cell>
          <cell r="G473" t="str">
            <v>PC01</v>
          </cell>
        </row>
        <row r="474">
          <cell r="C474">
            <v>760</v>
          </cell>
          <cell r="G474" t="str">
            <v>PC01</v>
          </cell>
        </row>
        <row r="475">
          <cell r="C475">
            <v>770</v>
          </cell>
          <cell r="G475" t="str">
            <v>PC08</v>
          </cell>
        </row>
        <row r="476">
          <cell r="C476">
            <v>780</v>
          </cell>
          <cell r="G476" t="str">
            <v>PC08</v>
          </cell>
        </row>
        <row r="477">
          <cell r="C477">
            <v>790</v>
          </cell>
          <cell r="G477" t="str">
            <v>PC06</v>
          </cell>
        </row>
        <row r="478">
          <cell r="C478">
            <v>800</v>
          </cell>
          <cell r="G478" t="str">
            <v>PC06</v>
          </cell>
        </row>
        <row r="479">
          <cell r="C479">
            <v>810</v>
          </cell>
          <cell r="G479" t="str">
            <v>PC06</v>
          </cell>
        </row>
        <row r="480">
          <cell r="C480">
            <v>820</v>
          </cell>
          <cell r="G480" t="str">
            <v>PC06</v>
          </cell>
        </row>
        <row r="481">
          <cell r="C481">
            <v>830</v>
          </cell>
          <cell r="G481" t="str">
            <v>PC06</v>
          </cell>
        </row>
        <row r="482">
          <cell r="C482">
            <v>840</v>
          </cell>
          <cell r="G482" t="str">
            <v>PC06</v>
          </cell>
        </row>
        <row r="483">
          <cell r="C483">
            <v>850</v>
          </cell>
          <cell r="G483" t="str">
            <v>PC06</v>
          </cell>
        </row>
        <row r="484">
          <cell r="C484">
            <v>860</v>
          </cell>
          <cell r="G484" t="str">
            <v>PC06</v>
          </cell>
        </row>
        <row r="485">
          <cell r="C485">
            <v>870</v>
          </cell>
          <cell r="G485" t="str">
            <v>PC06</v>
          </cell>
        </row>
        <row r="486">
          <cell r="C486">
            <v>880</v>
          </cell>
          <cell r="G486" t="str">
            <v>PC06</v>
          </cell>
        </row>
        <row r="487">
          <cell r="C487">
            <v>890</v>
          </cell>
          <cell r="G487" t="str">
            <v>PC06</v>
          </cell>
        </row>
        <row r="488">
          <cell r="C488">
            <v>900</v>
          </cell>
          <cell r="G488" t="str">
            <v>PC06</v>
          </cell>
        </row>
        <row r="489">
          <cell r="C489">
            <v>910</v>
          </cell>
          <cell r="G489" t="str">
            <v>PC06</v>
          </cell>
        </row>
        <row r="490">
          <cell r="C490">
            <v>920</v>
          </cell>
          <cell r="G490" t="str">
            <v>PC06</v>
          </cell>
        </row>
        <row r="491">
          <cell r="C491">
            <v>930</v>
          </cell>
          <cell r="G491" t="str">
            <v>PC06</v>
          </cell>
        </row>
        <row r="492">
          <cell r="C492">
            <v>940</v>
          </cell>
          <cell r="G492" t="str">
            <v>PC06</v>
          </cell>
        </row>
        <row r="493">
          <cell r="C493">
            <v>950</v>
          </cell>
          <cell r="G493" t="str">
            <v>PC06</v>
          </cell>
        </row>
        <row r="494">
          <cell r="C494">
            <v>960</v>
          </cell>
          <cell r="G494" t="str">
            <v>PC07</v>
          </cell>
        </row>
        <row r="495">
          <cell r="C495">
            <v>970</v>
          </cell>
          <cell r="G495" t="str">
            <v>PC07</v>
          </cell>
        </row>
        <row r="496">
          <cell r="C496">
            <v>980</v>
          </cell>
          <cell r="G496" t="str">
            <v>PC07</v>
          </cell>
        </row>
        <row r="497">
          <cell r="C497">
            <v>990</v>
          </cell>
          <cell r="G497" t="str">
            <v>PC07</v>
          </cell>
        </row>
        <row r="498">
          <cell r="C498">
            <v>1000</v>
          </cell>
          <cell r="G498" t="str">
            <v>PC07</v>
          </cell>
        </row>
        <row r="499">
          <cell r="C499">
            <v>1010</v>
          </cell>
          <cell r="G499" t="str">
            <v>PC07</v>
          </cell>
        </row>
        <row r="500">
          <cell r="C500">
            <v>1020</v>
          </cell>
          <cell r="G500" t="str">
            <v>PC07</v>
          </cell>
        </row>
        <row r="501">
          <cell r="C501">
            <v>1030</v>
          </cell>
          <cell r="G501" t="str">
            <v>PC07</v>
          </cell>
        </row>
        <row r="502">
          <cell r="C502">
            <v>1040</v>
          </cell>
          <cell r="G502" t="str">
            <v>PC07</v>
          </cell>
        </row>
        <row r="503">
          <cell r="C503">
            <v>1050</v>
          </cell>
          <cell r="G503" t="str">
            <v>PC07</v>
          </cell>
        </row>
        <row r="504">
          <cell r="C504">
            <v>1060</v>
          </cell>
          <cell r="G504" t="str">
            <v>PC07</v>
          </cell>
        </row>
        <row r="505">
          <cell r="C505">
            <v>1070</v>
          </cell>
          <cell r="G505" t="str">
            <v>PC07</v>
          </cell>
        </row>
        <row r="506">
          <cell r="C506">
            <v>1080</v>
          </cell>
          <cell r="G506" t="str">
            <v>PC07</v>
          </cell>
        </row>
        <row r="507">
          <cell r="C507">
            <v>1090</v>
          </cell>
          <cell r="G507" t="str">
            <v>PC07</v>
          </cell>
        </row>
        <row r="508">
          <cell r="C508">
            <v>1100</v>
          </cell>
          <cell r="G508" t="str">
            <v>PC07</v>
          </cell>
        </row>
        <row r="509">
          <cell r="C509">
            <v>1110</v>
          </cell>
          <cell r="G509" t="str">
            <v>PC07</v>
          </cell>
        </row>
        <row r="510">
          <cell r="C510">
            <v>1120</v>
          </cell>
          <cell r="G510" t="str">
            <v>PC08</v>
          </cell>
        </row>
        <row r="511">
          <cell r="C511">
            <v>1130</v>
          </cell>
          <cell r="G511" t="str">
            <v>PC08</v>
          </cell>
        </row>
        <row r="512">
          <cell r="C512">
            <v>1140</v>
          </cell>
          <cell r="G512" t="str">
            <v>PC08</v>
          </cell>
        </row>
        <row r="513">
          <cell r="C513">
            <v>1150</v>
          </cell>
          <cell r="G513" t="str">
            <v>PC08</v>
          </cell>
        </row>
        <row r="514">
          <cell r="C514">
            <v>1160</v>
          </cell>
          <cell r="G514" t="str">
            <v>PC08</v>
          </cell>
        </row>
        <row r="515">
          <cell r="C515">
            <v>1170</v>
          </cell>
          <cell r="G515" t="str">
            <v>PC08</v>
          </cell>
        </row>
        <row r="516">
          <cell r="C516">
            <v>1180</v>
          </cell>
          <cell r="G516" t="str">
            <v>PC08</v>
          </cell>
        </row>
        <row r="517">
          <cell r="C517">
            <v>1190</v>
          </cell>
          <cell r="G517" t="str">
            <v>PC08</v>
          </cell>
        </row>
        <row r="518">
          <cell r="C518">
            <v>1200</v>
          </cell>
          <cell r="G518" t="str">
            <v>PC08</v>
          </cell>
        </row>
        <row r="519">
          <cell r="C519">
            <v>1210</v>
          </cell>
          <cell r="G519" t="str">
            <v>PC09</v>
          </cell>
        </row>
        <row r="520">
          <cell r="C520">
            <v>1220</v>
          </cell>
          <cell r="G520" t="str">
            <v>PC09</v>
          </cell>
        </row>
        <row r="521">
          <cell r="C521">
            <v>1230</v>
          </cell>
          <cell r="G521" t="str">
            <v>PC09</v>
          </cell>
        </row>
        <row r="522">
          <cell r="C522">
            <v>1240</v>
          </cell>
          <cell r="G522" t="str">
            <v>PC09</v>
          </cell>
        </row>
        <row r="523">
          <cell r="C523">
            <v>1250</v>
          </cell>
          <cell r="G523" t="str">
            <v>PC09</v>
          </cell>
        </row>
        <row r="524">
          <cell r="C524">
            <v>1260</v>
          </cell>
          <cell r="G524" t="str">
            <v>PC10</v>
          </cell>
        </row>
        <row r="525">
          <cell r="C525">
            <v>1270</v>
          </cell>
          <cell r="G525" t="str">
            <v>PC10</v>
          </cell>
        </row>
        <row r="526">
          <cell r="C526">
            <v>1280</v>
          </cell>
          <cell r="G526" t="str">
            <v>PC09</v>
          </cell>
        </row>
        <row r="527">
          <cell r="C527">
            <v>1290</v>
          </cell>
          <cell r="G527" t="str">
            <v>PC09</v>
          </cell>
        </row>
        <row r="528">
          <cell r="C528">
            <v>1300</v>
          </cell>
          <cell r="G528">
            <v>0</v>
          </cell>
        </row>
        <row r="529">
          <cell r="C529">
            <v>1310</v>
          </cell>
          <cell r="G529" t="str">
            <v>PC09</v>
          </cell>
        </row>
        <row r="530">
          <cell r="C530">
            <v>1320</v>
          </cell>
          <cell r="G530" t="str">
            <v>PC09</v>
          </cell>
        </row>
        <row r="531">
          <cell r="C531">
            <v>1330</v>
          </cell>
          <cell r="G531" t="str">
            <v>PC09</v>
          </cell>
        </row>
        <row r="532">
          <cell r="C532">
            <v>1340</v>
          </cell>
          <cell r="G532" t="str">
            <v>PC09</v>
          </cell>
        </row>
        <row r="533">
          <cell r="C533">
            <v>1350</v>
          </cell>
          <cell r="G533">
            <v>0</v>
          </cell>
        </row>
        <row r="534">
          <cell r="C534">
            <v>1360</v>
          </cell>
          <cell r="G534">
            <v>0</v>
          </cell>
        </row>
        <row r="535">
          <cell r="C535">
            <v>1370</v>
          </cell>
          <cell r="G535">
            <v>0</v>
          </cell>
        </row>
        <row r="536">
          <cell r="C536">
            <v>1380</v>
          </cell>
          <cell r="G536">
            <v>0</v>
          </cell>
        </row>
        <row r="537">
          <cell r="C537">
            <v>1390</v>
          </cell>
          <cell r="G537">
            <v>0</v>
          </cell>
        </row>
        <row r="538">
          <cell r="C538">
            <v>1400</v>
          </cell>
          <cell r="G538">
            <v>0</v>
          </cell>
        </row>
        <row r="539">
          <cell r="C539">
            <v>1410</v>
          </cell>
          <cell r="G539">
            <v>0</v>
          </cell>
        </row>
        <row r="540">
          <cell r="C540">
            <v>1420</v>
          </cell>
          <cell r="G540">
            <v>0</v>
          </cell>
        </row>
        <row r="541">
          <cell r="C541">
            <v>1430</v>
          </cell>
          <cell r="G541">
            <v>0</v>
          </cell>
        </row>
        <row r="542">
          <cell r="C542">
            <v>1440</v>
          </cell>
          <cell r="G542">
            <v>0</v>
          </cell>
        </row>
        <row r="543">
          <cell r="C543">
            <v>1450</v>
          </cell>
          <cell r="G543">
            <v>0</v>
          </cell>
        </row>
        <row r="544">
          <cell r="C544">
            <v>1460</v>
          </cell>
          <cell r="G544">
            <v>0</v>
          </cell>
        </row>
        <row r="545">
          <cell r="C545">
            <v>1470</v>
          </cell>
          <cell r="G545">
            <v>0</v>
          </cell>
        </row>
        <row r="546">
          <cell r="C546">
            <v>1480</v>
          </cell>
          <cell r="G546">
            <v>0</v>
          </cell>
        </row>
        <row r="547">
          <cell r="C547">
            <v>1490</v>
          </cell>
          <cell r="G547">
            <v>0</v>
          </cell>
        </row>
        <row r="548">
          <cell r="C548">
            <v>1500</v>
          </cell>
          <cell r="G548" t="str">
            <v>PC09</v>
          </cell>
        </row>
        <row r="549">
          <cell r="C549">
            <v>1510</v>
          </cell>
          <cell r="G549" t="str">
            <v>PC09</v>
          </cell>
        </row>
        <row r="550">
          <cell r="C550">
            <v>1520</v>
          </cell>
          <cell r="G550" t="str">
            <v>PC08</v>
          </cell>
        </row>
        <row r="551">
          <cell r="C551">
            <v>1530</v>
          </cell>
          <cell r="G551" t="str">
            <v>PC08</v>
          </cell>
        </row>
        <row r="552">
          <cell r="C552">
            <v>1540</v>
          </cell>
          <cell r="G552" t="str">
            <v>PC09</v>
          </cell>
        </row>
        <row r="553">
          <cell r="C553">
            <v>1550</v>
          </cell>
          <cell r="G553" t="str">
            <v>PC09</v>
          </cell>
        </row>
        <row r="554">
          <cell r="C554">
            <v>1560</v>
          </cell>
          <cell r="G554" t="str">
            <v>PC09</v>
          </cell>
        </row>
        <row r="555">
          <cell r="C555">
            <v>1570</v>
          </cell>
          <cell r="G555" t="str">
            <v>PC09</v>
          </cell>
        </row>
        <row r="556">
          <cell r="C556">
            <v>1580</v>
          </cell>
          <cell r="G556" t="str">
            <v>PC09</v>
          </cell>
        </row>
        <row r="557">
          <cell r="C557">
            <v>1590</v>
          </cell>
          <cell r="G557" t="str">
            <v>PC09</v>
          </cell>
        </row>
        <row r="558">
          <cell r="C558">
            <v>1600</v>
          </cell>
          <cell r="G558" t="str">
            <v>PC09</v>
          </cell>
        </row>
        <row r="559">
          <cell r="C559">
            <v>1610</v>
          </cell>
          <cell r="G559" t="str">
            <v>PC09</v>
          </cell>
        </row>
        <row r="560">
          <cell r="C560">
            <v>1620</v>
          </cell>
          <cell r="G560" t="str">
            <v>PC09</v>
          </cell>
        </row>
        <row r="561">
          <cell r="C561">
            <v>1630</v>
          </cell>
          <cell r="G561">
            <v>0</v>
          </cell>
        </row>
        <row r="562">
          <cell r="C562">
            <v>1640</v>
          </cell>
          <cell r="G562">
            <v>0</v>
          </cell>
        </row>
        <row r="563">
          <cell r="C563">
            <v>1650</v>
          </cell>
          <cell r="G563">
            <v>0</v>
          </cell>
        </row>
        <row r="564">
          <cell r="C564">
            <v>1660</v>
          </cell>
          <cell r="G564">
            <v>0</v>
          </cell>
        </row>
        <row r="565">
          <cell r="C565">
            <v>1670</v>
          </cell>
          <cell r="G565">
            <v>0</v>
          </cell>
        </row>
        <row r="566">
          <cell r="C566">
            <v>1680</v>
          </cell>
          <cell r="G566">
            <v>0</v>
          </cell>
        </row>
        <row r="567">
          <cell r="C567">
            <v>1690</v>
          </cell>
          <cell r="G567" t="str">
            <v>PC09</v>
          </cell>
        </row>
        <row r="568">
          <cell r="C568">
            <v>1700</v>
          </cell>
          <cell r="G568">
            <v>0</v>
          </cell>
        </row>
        <row r="569">
          <cell r="C569">
            <v>1710</v>
          </cell>
          <cell r="G569">
            <v>0</v>
          </cell>
        </row>
        <row r="570">
          <cell r="C570">
            <v>1720</v>
          </cell>
          <cell r="G570">
            <v>0</v>
          </cell>
        </row>
        <row r="571">
          <cell r="C571">
            <v>1730</v>
          </cell>
          <cell r="G571">
            <v>0</v>
          </cell>
        </row>
        <row r="572">
          <cell r="C572">
            <v>1740</v>
          </cell>
          <cell r="G572">
            <v>0</v>
          </cell>
        </row>
        <row r="573">
          <cell r="C573">
            <v>1750</v>
          </cell>
          <cell r="G573">
            <v>0</v>
          </cell>
        </row>
        <row r="574">
          <cell r="C574">
            <v>1760</v>
          </cell>
          <cell r="G574">
            <v>0</v>
          </cell>
        </row>
        <row r="575">
          <cell r="C575">
            <v>1770</v>
          </cell>
          <cell r="G575">
            <v>0</v>
          </cell>
        </row>
        <row r="576">
          <cell r="C576">
            <v>1780</v>
          </cell>
          <cell r="G576">
            <v>0</v>
          </cell>
        </row>
        <row r="577">
          <cell r="C577">
            <v>1790</v>
          </cell>
          <cell r="G577">
            <v>0</v>
          </cell>
        </row>
        <row r="578">
          <cell r="C578">
            <v>1800</v>
          </cell>
          <cell r="G578">
            <v>0</v>
          </cell>
        </row>
        <row r="579">
          <cell r="C579">
            <v>1810</v>
          </cell>
          <cell r="G579">
            <v>0</v>
          </cell>
        </row>
        <row r="580">
          <cell r="C580">
            <v>1820</v>
          </cell>
          <cell r="G580" t="str">
            <v>PC17</v>
          </cell>
        </row>
        <row r="581">
          <cell r="C581">
            <v>1830</v>
          </cell>
          <cell r="G581" t="str">
            <v>PC17</v>
          </cell>
        </row>
        <row r="582">
          <cell r="C582">
            <v>1840</v>
          </cell>
          <cell r="G582" t="str">
            <v>PC17</v>
          </cell>
        </row>
        <row r="583">
          <cell r="C583">
            <v>1850</v>
          </cell>
          <cell r="G583" t="str">
            <v>PC17</v>
          </cell>
        </row>
        <row r="584">
          <cell r="C584">
            <v>1860</v>
          </cell>
          <cell r="G584" t="str">
            <v>PC17</v>
          </cell>
        </row>
        <row r="585">
          <cell r="C585">
            <v>1870</v>
          </cell>
          <cell r="G585" t="str">
            <v>PC17</v>
          </cell>
        </row>
        <row r="586">
          <cell r="C586">
            <v>1880</v>
          </cell>
          <cell r="G586">
            <v>0</v>
          </cell>
        </row>
        <row r="587">
          <cell r="C587">
            <v>1890</v>
          </cell>
          <cell r="G587">
            <v>0</v>
          </cell>
        </row>
        <row r="588">
          <cell r="C588">
            <v>1900</v>
          </cell>
          <cell r="G588">
            <v>0</v>
          </cell>
        </row>
        <row r="589">
          <cell r="C589">
            <v>1910</v>
          </cell>
          <cell r="G589">
            <v>0</v>
          </cell>
        </row>
        <row r="590">
          <cell r="C590">
            <v>1920</v>
          </cell>
          <cell r="G590">
            <v>0</v>
          </cell>
        </row>
        <row r="591">
          <cell r="C591">
            <v>1930</v>
          </cell>
          <cell r="G591">
            <v>0</v>
          </cell>
        </row>
        <row r="592">
          <cell r="C592">
            <v>1940</v>
          </cell>
          <cell r="G592">
            <v>0</v>
          </cell>
        </row>
        <row r="593">
          <cell r="C593">
            <v>1950</v>
          </cell>
          <cell r="G593">
            <v>0</v>
          </cell>
        </row>
        <row r="594">
          <cell r="C594">
            <v>1960</v>
          </cell>
          <cell r="G594">
            <v>0</v>
          </cell>
        </row>
        <row r="595">
          <cell r="C595">
            <v>1970</v>
          </cell>
          <cell r="G595">
            <v>0</v>
          </cell>
        </row>
        <row r="596">
          <cell r="C596">
            <v>1980</v>
          </cell>
          <cell r="G596" t="str">
            <v>PC18</v>
          </cell>
        </row>
        <row r="597">
          <cell r="C597">
            <v>1990</v>
          </cell>
          <cell r="G597">
            <v>0</v>
          </cell>
        </row>
        <row r="598">
          <cell r="C598">
            <v>2000</v>
          </cell>
          <cell r="G598" t="str">
            <v>PC19</v>
          </cell>
        </row>
        <row r="599">
          <cell r="C599">
            <v>2010</v>
          </cell>
          <cell r="G599">
            <v>0</v>
          </cell>
        </row>
        <row r="600">
          <cell r="C600">
            <v>2020</v>
          </cell>
          <cell r="G600">
            <v>0</v>
          </cell>
        </row>
        <row r="601">
          <cell r="C601">
            <v>2030</v>
          </cell>
          <cell r="G601">
            <v>0</v>
          </cell>
        </row>
        <row r="602">
          <cell r="C602">
            <v>2040</v>
          </cell>
          <cell r="G602">
            <v>0</v>
          </cell>
        </row>
        <row r="603">
          <cell r="C603">
            <v>2050</v>
          </cell>
          <cell r="G603">
            <v>0</v>
          </cell>
        </row>
        <row r="604">
          <cell r="C604">
            <v>2060</v>
          </cell>
          <cell r="G604" t="str">
            <v>PC19</v>
          </cell>
        </row>
        <row r="605">
          <cell r="C605">
            <v>2070</v>
          </cell>
          <cell r="G605">
            <v>0</v>
          </cell>
        </row>
        <row r="606">
          <cell r="C606">
            <v>2080</v>
          </cell>
          <cell r="G606" t="str">
            <v>PC19</v>
          </cell>
        </row>
        <row r="607">
          <cell r="C607">
            <v>2090</v>
          </cell>
          <cell r="G607">
            <v>0</v>
          </cell>
        </row>
        <row r="608">
          <cell r="C608">
            <v>2100</v>
          </cell>
          <cell r="G608" t="str">
            <v>PC18</v>
          </cell>
        </row>
        <row r="609">
          <cell r="C609">
            <v>2110</v>
          </cell>
          <cell r="G609">
            <v>0</v>
          </cell>
        </row>
        <row r="610">
          <cell r="C610">
            <v>2120</v>
          </cell>
          <cell r="G610" t="e">
            <v>#N/A</v>
          </cell>
        </row>
        <row r="611">
          <cell r="C611">
            <v>2130</v>
          </cell>
          <cell r="G611" t="str">
            <v>PC18</v>
          </cell>
        </row>
        <row r="612">
          <cell r="C612">
            <v>2140</v>
          </cell>
          <cell r="G612">
            <v>0</v>
          </cell>
        </row>
        <row r="613">
          <cell r="C613">
            <v>2150</v>
          </cell>
          <cell r="G613" t="str">
            <v>PC19</v>
          </cell>
        </row>
        <row r="614">
          <cell r="C614">
            <v>2160</v>
          </cell>
          <cell r="G614">
            <v>0</v>
          </cell>
        </row>
        <row r="615">
          <cell r="C615">
            <v>2170</v>
          </cell>
          <cell r="G615">
            <v>0</v>
          </cell>
        </row>
        <row r="616">
          <cell r="C616">
            <v>2180</v>
          </cell>
          <cell r="G616">
            <v>0</v>
          </cell>
        </row>
        <row r="617">
          <cell r="C617">
            <v>2190</v>
          </cell>
          <cell r="G617">
            <v>0</v>
          </cell>
        </row>
        <row r="618">
          <cell r="C618">
            <v>2200</v>
          </cell>
          <cell r="G618">
            <v>0</v>
          </cell>
        </row>
        <row r="619">
          <cell r="C619">
            <v>2210</v>
          </cell>
          <cell r="G619">
            <v>0</v>
          </cell>
        </row>
        <row r="620">
          <cell r="C620">
            <v>2220</v>
          </cell>
          <cell r="G620">
            <v>0</v>
          </cell>
        </row>
        <row r="621">
          <cell r="C621">
            <v>2230</v>
          </cell>
          <cell r="G621">
            <v>0</v>
          </cell>
        </row>
        <row r="622">
          <cell r="C622">
            <v>2240</v>
          </cell>
          <cell r="G622">
            <v>0</v>
          </cell>
        </row>
        <row r="623">
          <cell r="C623">
            <v>2250</v>
          </cell>
          <cell r="G623">
            <v>0</v>
          </cell>
        </row>
        <row r="624">
          <cell r="C624">
            <v>2260</v>
          </cell>
          <cell r="G624">
            <v>0</v>
          </cell>
        </row>
        <row r="625">
          <cell r="C625">
            <v>2270</v>
          </cell>
          <cell r="G625">
            <v>0</v>
          </cell>
        </row>
        <row r="626">
          <cell r="C626">
            <v>2280</v>
          </cell>
          <cell r="G626">
            <v>0</v>
          </cell>
        </row>
        <row r="627">
          <cell r="C627">
            <v>2290</v>
          </cell>
          <cell r="G627">
            <v>0</v>
          </cell>
        </row>
        <row r="628">
          <cell r="C628">
            <v>2300</v>
          </cell>
          <cell r="G628" t="str">
            <v>PC19</v>
          </cell>
        </row>
        <row r="629">
          <cell r="C629">
            <v>2310</v>
          </cell>
          <cell r="G629" t="str">
            <v>PC19</v>
          </cell>
        </row>
        <row r="630">
          <cell r="C630">
            <v>2320</v>
          </cell>
          <cell r="G630" t="str">
            <v>PC19</v>
          </cell>
        </row>
        <row r="631">
          <cell r="C631">
            <v>2330</v>
          </cell>
          <cell r="G631">
            <v>0</v>
          </cell>
        </row>
        <row r="632">
          <cell r="C632">
            <v>2340</v>
          </cell>
          <cell r="G632" t="str">
            <v>PC19</v>
          </cell>
        </row>
        <row r="633">
          <cell r="C633">
            <v>2350</v>
          </cell>
          <cell r="G633">
            <v>0</v>
          </cell>
        </row>
        <row r="634">
          <cell r="C634">
            <v>2360</v>
          </cell>
          <cell r="G634" t="str">
            <v>PC20</v>
          </cell>
        </row>
        <row r="635">
          <cell r="C635">
            <v>2370</v>
          </cell>
          <cell r="G635">
            <v>0</v>
          </cell>
        </row>
        <row r="636">
          <cell r="C636">
            <v>2380</v>
          </cell>
          <cell r="G636" t="str">
            <v>PC20</v>
          </cell>
        </row>
        <row r="637">
          <cell r="C637">
            <v>2390</v>
          </cell>
          <cell r="G637">
            <v>0</v>
          </cell>
        </row>
        <row r="638">
          <cell r="C638">
            <v>2400</v>
          </cell>
          <cell r="G638" t="str">
            <v>PC20</v>
          </cell>
        </row>
        <row r="639">
          <cell r="C639">
            <v>2410</v>
          </cell>
          <cell r="G639">
            <v>0</v>
          </cell>
        </row>
        <row r="640">
          <cell r="C640">
            <v>2420</v>
          </cell>
          <cell r="G640">
            <v>0</v>
          </cell>
        </row>
        <row r="641">
          <cell r="C641">
            <v>2430</v>
          </cell>
          <cell r="G641">
            <v>0</v>
          </cell>
        </row>
        <row r="642">
          <cell r="C642">
            <v>2440</v>
          </cell>
          <cell r="G642">
            <v>0</v>
          </cell>
        </row>
        <row r="643">
          <cell r="C643">
            <v>2450</v>
          </cell>
          <cell r="G643">
            <v>0</v>
          </cell>
        </row>
        <row r="644">
          <cell r="C644">
            <v>2460</v>
          </cell>
          <cell r="G644">
            <v>0</v>
          </cell>
        </row>
        <row r="645">
          <cell r="C645">
            <v>2470</v>
          </cell>
          <cell r="G645">
            <v>0</v>
          </cell>
        </row>
        <row r="646">
          <cell r="C646">
            <v>2480</v>
          </cell>
          <cell r="G646">
            <v>0</v>
          </cell>
        </row>
        <row r="647">
          <cell r="C647">
            <v>2490</v>
          </cell>
          <cell r="G647">
            <v>0</v>
          </cell>
        </row>
        <row r="648">
          <cell r="C648">
            <v>2500</v>
          </cell>
          <cell r="G648" t="str">
            <v>PC20</v>
          </cell>
        </row>
        <row r="649">
          <cell r="C649">
            <v>2510</v>
          </cell>
          <cell r="G649" t="str">
            <v>PC20</v>
          </cell>
        </row>
        <row r="650">
          <cell r="C650">
            <v>2520</v>
          </cell>
          <cell r="G650" t="str">
            <v>PC20</v>
          </cell>
        </row>
        <row r="651">
          <cell r="C651">
            <v>2530</v>
          </cell>
          <cell r="G651" t="str">
            <v>PC20</v>
          </cell>
        </row>
        <row r="652">
          <cell r="C652">
            <v>2540</v>
          </cell>
          <cell r="G652" t="str">
            <v>PC20</v>
          </cell>
        </row>
        <row r="653">
          <cell r="C653">
            <v>2550</v>
          </cell>
          <cell r="G653" t="str">
            <v>PC20</v>
          </cell>
        </row>
        <row r="654">
          <cell r="C654">
            <v>2560</v>
          </cell>
          <cell r="G654" t="str">
            <v>PC20</v>
          </cell>
        </row>
        <row r="655">
          <cell r="C655">
            <v>2570</v>
          </cell>
          <cell r="G655" t="str">
            <v>PC20</v>
          </cell>
        </row>
        <row r="656">
          <cell r="C656">
            <v>2580</v>
          </cell>
          <cell r="G656" t="str">
            <v>PC20</v>
          </cell>
        </row>
        <row r="657">
          <cell r="C657">
            <v>2590</v>
          </cell>
          <cell r="G657" t="str">
            <v>PC20</v>
          </cell>
        </row>
        <row r="658">
          <cell r="C658">
            <v>2600</v>
          </cell>
          <cell r="G658" t="str">
            <v>PC20</v>
          </cell>
        </row>
        <row r="659">
          <cell r="C659">
            <v>2610</v>
          </cell>
          <cell r="G659" t="str">
            <v>PC20</v>
          </cell>
        </row>
        <row r="660">
          <cell r="C660">
            <v>2620</v>
          </cell>
          <cell r="G660" t="str">
            <v>PC20</v>
          </cell>
        </row>
        <row r="661">
          <cell r="C661">
            <v>2630</v>
          </cell>
          <cell r="G661">
            <v>0</v>
          </cell>
        </row>
        <row r="662">
          <cell r="C662">
            <v>2640</v>
          </cell>
          <cell r="G662" t="str">
            <v>PC20</v>
          </cell>
        </row>
        <row r="663">
          <cell r="C663">
            <v>2650</v>
          </cell>
          <cell r="G663" t="str">
            <v>PC20</v>
          </cell>
        </row>
        <row r="664">
          <cell r="C664">
            <v>2660</v>
          </cell>
          <cell r="G664" t="str">
            <v>PC20</v>
          </cell>
        </row>
        <row r="665">
          <cell r="C665">
            <v>2670</v>
          </cell>
          <cell r="G665" t="str">
            <v>PC20</v>
          </cell>
        </row>
        <row r="666">
          <cell r="C666">
            <v>2680</v>
          </cell>
          <cell r="G666" t="str">
            <v>PC20</v>
          </cell>
        </row>
        <row r="667">
          <cell r="C667">
            <v>2690</v>
          </cell>
          <cell r="G667" t="str">
            <v>PC20</v>
          </cell>
        </row>
        <row r="668">
          <cell r="C668">
            <v>2700</v>
          </cell>
          <cell r="G668" t="str">
            <v>PC20</v>
          </cell>
        </row>
        <row r="669">
          <cell r="C669">
            <v>2710</v>
          </cell>
          <cell r="G669" t="str">
            <v>PC20</v>
          </cell>
        </row>
        <row r="670">
          <cell r="C670">
            <v>2720</v>
          </cell>
          <cell r="G670" t="str">
            <v>PC20</v>
          </cell>
        </row>
        <row r="671">
          <cell r="C671">
            <v>2730</v>
          </cell>
          <cell r="G671" t="str">
            <v>PC20</v>
          </cell>
        </row>
        <row r="672">
          <cell r="C672">
            <v>2740</v>
          </cell>
          <cell r="G672" t="str">
            <v>PC20</v>
          </cell>
        </row>
        <row r="673">
          <cell r="C673">
            <v>2750</v>
          </cell>
          <cell r="G673" t="str">
            <v>PC20</v>
          </cell>
        </row>
        <row r="674">
          <cell r="C674">
            <v>2760</v>
          </cell>
          <cell r="G674" t="str">
            <v>PC21</v>
          </cell>
        </row>
        <row r="675">
          <cell r="C675">
            <v>2770</v>
          </cell>
          <cell r="G675" t="str">
            <v>PC21</v>
          </cell>
        </row>
        <row r="676">
          <cell r="C676">
            <v>2780</v>
          </cell>
          <cell r="G676" t="str">
            <v>PC21</v>
          </cell>
        </row>
        <row r="677">
          <cell r="C677">
            <v>2790</v>
          </cell>
          <cell r="G677" t="str">
            <v>PC21</v>
          </cell>
        </row>
        <row r="678">
          <cell r="C678">
            <v>2800</v>
          </cell>
          <cell r="G678" t="str">
            <v>PC21</v>
          </cell>
        </row>
        <row r="679">
          <cell r="C679">
            <v>2810</v>
          </cell>
          <cell r="G679" t="str">
            <v>PC20</v>
          </cell>
        </row>
        <row r="680">
          <cell r="C680">
            <v>2820</v>
          </cell>
          <cell r="G680" t="str">
            <v>PC20</v>
          </cell>
        </row>
        <row r="681">
          <cell r="C681">
            <v>2830</v>
          </cell>
          <cell r="G681">
            <v>0</v>
          </cell>
        </row>
        <row r="682">
          <cell r="C682">
            <v>2840</v>
          </cell>
          <cell r="G682">
            <v>0</v>
          </cell>
        </row>
        <row r="683">
          <cell r="C683">
            <v>2850</v>
          </cell>
          <cell r="G683">
            <v>0</v>
          </cell>
        </row>
        <row r="684">
          <cell r="C684">
            <v>2860</v>
          </cell>
          <cell r="G684">
            <v>0</v>
          </cell>
        </row>
        <row r="685">
          <cell r="C685">
            <v>2870</v>
          </cell>
          <cell r="G685">
            <v>0</v>
          </cell>
        </row>
        <row r="686">
          <cell r="C686">
            <v>2880</v>
          </cell>
          <cell r="G686">
            <v>0</v>
          </cell>
        </row>
        <row r="687">
          <cell r="C687">
            <v>2890</v>
          </cell>
          <cell r="G687">
            <v>0</v>
          </cell>
        </row>
        <row r="688">
          <cell r="C688">
            <v>2900</v>
          </cell>
          <cell r="G688">
            <v>0</v>
          </cell>
        </row>
        <row r="689">
          <cell r="C689">
            <v>2910</v>
          </cell>
          <cell r="G689">
            <v>0</v>
          </cell>
        </row>
        <row r="690">
          <cell r="C690">
            <v>2920</v>
          </cell>
          <cell r="G690" t="str">
            <v>PC20</v>
          </cell>
        </row>
        <row r="691">
          <cell r="C691">
            <v>2930</v>
          </cell>
          <cell r="G691" t="str">
            <v>PC20</v>
          </cell>
        </row>
        <row r="692">
          <cell r="C692">
            <v>2940</v>
          </cell>
          <cell r="G692" t="str">
            <v>PC20</v>
          </cell>
        </row>
        <row r="693">
          <cell r="C693">
            <v>2950</v>
          </cell>
          <cell r="G693" t="str">
            <v>PC20</v>
          </cell>
        </row>
        <row r="694">
          <cell r="C694">
            <v>2960</v>
          </cell>
          <cell r="G694" t="str">
            <v>PC20</v>
          </cell>
        </row>
        <row r="695">
          <cell r="C695">
            <v>2970</v>
          </cell>
          <cell r="G695">
            <v>0</v>
          </cell>
        </row>
        <row r="696">
          <cell r="C696">
            <v>2980</v>
          </cell>
          <cell r="G696" t="str">
            <v>PC20</v>
          </cell>
        </row>
        <row r="697">
          <cell r="C697">
            <v>2990</v>
          </cell>
          <cell r="G697" t="str">
            <v>PC20</v>
          </cell>
        </row>
        <row r="698">
          <cell r="C698">
            <v>3000</v>
          </cell>
          <cell r="G698" t="str">
            <v>PC23</v>
          </cell>
        </row>
        <row r="699">
          <cell r="C699">
            <v>3010</v>
          </cell>
          <cell r="G699">
            <v>0</v>
          </cell>
        </row>
        <row r="700">
          <cell r="C700">
            <v>3020</v>
          </cell>
          <cell r="G700" t="str">
            <v>PC20</v>
          </cell>
        </row>
        <row r="701">
          <cell r="C701">
            <v>3030</v>
          </cell>
          <cell r="G701" t="str">
            <v>PC23</v>
          </cell>
        </row>
        <row r="702">
          <cell r="C702">
            <v>3040</v>
          </cell>
          <cell r="G702" t="str">
            <v>PC23</v>
          </cell>
        </row>
        <row r="703">
          <cell r="C703">
            <v>3050</v>
          </cell>
          <cell r="G703" t="str">
            <v>PC23</v>
          </cell>
        </row>
        <row r="704">
          <cell r="C704">
            <v>3060</v>
          </cell>
          <cell r="G704">
            <v>0</v>
          </cell>
        </row>
        <row r="705">
          <cell r="C705">
            <v>3070</v>
          </cell>
          <cell r="G705" t="str">
            <v>PC23</v>
          </cell>
        </row>
        <row r="706">
          <cell r="C706">
            <v>3080</v>
          </cell>
          <cell r="G706" t="str">
            <v>PC23</v>
          </cell>
        </row>
        <row r="707">
          <cell r="C707">
            <v>3090</v>
          </cell>
          <cell r="G707" t="str">
            <v>PC23</v>
          </cell>
        </row>
        <row r="708">
          <cell r="C708">
            <v>3100</v>
          </cell>
          <cell r="G708" t="str">
            <v>PC23</v>
          </cell>
        </row>
        <row r="709">
          <cell r="C709">
            <v>3110</v>
          </cell>
          <cell r="G709" t="str">
            <v>PC18</v>
          </cell>
        </row>
        <row r="710">
          <cell r="C710">
            <v>3120</v>
          </cell>
          <cell r="G710" t="str">
            <v>PC18</v>
          </cell>
        </row>
        <row r="711">
          <cell r="C711">
            <v>3130</v>
          </cell>
          <cell r="G711" t="str">
            <v>PC18</v>
          </cell>
        </row>
        <row r="712">
          <cell r="C712">
            <v>3140</v>
          </cell>
          <cell r="G712" t="str">
            <v>PC18</v>
          </cell>
        </row>
        <row r="713">
          <cell r="C713">
            <v>3150</v>
          </cell>
          <cell r="G713" t="str">
            <v>PC18</v>
          </cell>
        </row>
        <row r="714">
          <cell r="C714">
            <v>3160</v>
          </cell>
          <cell r="G714" t="str">
            <v>PC18</v>
          </cell>
        </row>
        <row r="715">
          <cell r="C715">
            <v>3170</v>
          </cell>
          <cell r="G715">
            <v>0</v>
          </cell>
        </row>
        <row r="716">
          <cell r="C716">
            <v>3180</v>
          </cell>
          <cell r="G716" t="str">
            <v>PC18</v>
          </cell>
        </row>
        <row r="717">
          <cell r="C717">
            <v>3190</v>
          </cell>
          <cell r="G717" t="str">
            <v>PC18</v>
          </cell>
        </row>
        <row r="718">
          <cell r="C718">
            <v>3200</v>
          </cell>
          <cell r="G718" t="str">
            <v>PC18</v>
          </cell>
        </row>
        <row r="719">
          <cell r="C719">
            <v>3210</v>
          </cell>
          <cell r="G719">
            <v>0</v>
          </cell>
        </row>
        <row r="720">
          <cell r="C720">
            <v>3220</v>
          </cell>
          <cell r="G720">
            <v>0</v>
          </cell>
        </row>
        <row r="721">
          <cell r="C721">
            <v>3230</v>
          </cell>
          <cell r="G721" t="str">
            <v>PC18</v>
          </cell>
        </row>
        <row r="722">
          <cell r="C722">
            <v>3240</v>
          </cell>
          <cell r="G722" t="str">
            <v>PC18</v>
          </cell>
        </row>
        <row r="723">
          <cell r="C723">
            <v>3250</v>
          </cell>
          <cell r="G723">
            <v>0</v>
          </cell>
        </row>
        <row r="724">
          <cell r="C724">
            <v>3260</v>
          </cell>
          <cell r="G724">
            <v>0</v>
          </cell>
        </row>
        <row r="725">
          <cell r="C725">
            <v>3270</v>
          </cell>
          <cell r="G725" t="str">
            <v>PC18</v>
          </cell>
        </row>
        <row r="726">
          <cell r="C726">
            <v>3280</v>
          </cell>
          <cell r="G726" t="str">
            <v>PC18</v>
          </cell>
        </row>
        <row r="727">
          <cell r="C727">
            <v>3290</v>
          </cell>
          <cell r="G727">
            <v>0</v>
          </cell>
        </row>
        <row r="728">
          <cell r="C728">
            <v>3300</v>
          </cell>
          <cell r="G728" t="str">
            <v>PC18</v>
          </cell>
        </row>
        <row r="729">
          <cell r="C729">
            <v>3310</v>
          </cell>
          <cell r="G729">
            <v>0</v>
          </cell>
        </row>
        <row r="730">
          <cell r="C730">
            <v>3320</v>
          </cell>
          <cell r="G730">
            <v>0</v>
          </cell>
        </row>
        <row r="731">
          <cell r="C731">
            <v>3330</v>
          </cell>
          <cell r="G731">
            <v>0</v>
          </cell>
        </row>
        <row r="732">
          <cell r="C732">
            <v>3340</v>
          </cell>
          <cell r="G732">
            <v>0</v>
          </cell>
        </row>
        <row r="733">
          <cell r="C733">
            <v>3350</v>
          </cell>
          <cell r="G733">
            <v>0</v>
          </cell>
        </row>
        <row r="734">
          <cell r="C734">
            <v>3360</v>
          </cell>
          <cell r="G734">
            <v>0</v>
          </cell>
        </row>
        <row r="735">
          <cell r="C735">
            <v>3370</v>
          </cell>
          <cell r="G735">
            <v>0</v>
          </cell>
        </row>
        <row r="736">
          <cell r="C736">
            <v>3380</v>
          </cell>
          <cell r="G736">
            <v>0</v>
          </cell>
        </row>
        <row r="737">
          <cell r="C737">
            <v>3390</v>
          </cell>
          <cell r="G737">
            <v>0</v>
          </cell>
        </row>
        <row r="738">
          <cell r="C738">
            <v>3400</v>
          </cell>
          <cell r="G738">
            <v>0</v>
          </cell>
        </row>
        <row r="739">
          <cell r="C739">
            <v>3410</v>
          </cell>
          <cell r="G739">
            <v>0</v>
          </cell>
        </row>
        <row r="740">
          <cell r="C740">
            <v>3420</v>
          </cell>
          <cell r="G740">
            <v>0</v>
          </cell>
        </row>
        <row r="741">
          <cell r="C741">
            <v>3430</v>
          </cell>
          <cell r="G741">
            <v>0</v>
          </cell>
        </row>
        <row r="742">
          <cell r="C742">
            <v>3440</v>
          </cell>
          <cell r="G742">
            <v>0</v>
          </cell>
        </row>
        <row r="743">
          <cell r="C743">
            <v>3450</v>
          </cell>
          <cell r="G743">
            <v>0</v>
          </cell>
        </row>
        <row r="744">
          <cell r="C744">
            <v>3460</v>
          </cell>
          <cell r="G744">
            <v>0</v>
          </cell>
        </row>
        <row r="745">
          <cell r="C745">
            <v>3470</v>
          </cell>
          <cell r="G745">
            <v>0</v>
          </cell>
        </row>
        <row r="746">
          <cell r="C746">
            <v>3480</v>
          </cell>
          <cell r="G746">
            <v>0</v>
          </cell>
        </row>
        <row r="747">
          <cell r="C747">
            <v>3490</v>
          </cell>
          <cell r="G747">
            <v>0</v>
          </cell>
        </row>
        <row r="748">
          <cell r="C748">
            <v>3500</v>
          </cell>
          <cell r="G748">
            <v>0</v>
          </cell>
        </row>
        <row r="749">
          <cell r="C749">
            <v>3510</v>
          </cell>
          <cell r="G749">
            <v>0</v>
          </cell>
        </row>
        <row r="750">
          <cell r="C750">
            <v>3520</v>
          </cell>
          <cell r="G750">
            <v>0</v>
          </cell>
        </row>
        <row r="751">
          <cell r="C751">
            <v>3530</v>
          </cell>
          <cell r="G751">
            <v>0</v>
          </cell>
        </row>
        <row r="752">
          <cell r="C752">
            <v>3540</v>
          </cell>
          <cell r="G752">
            <v>0</v>
          </cell>
        </row>
        <row r="753">
          <cell r="C753">
            <v>3550</v>
          </cell>
          <cell r="G753">
            <v>0</v>
          </cell>
        </row>
        <row r="754">
          <cell r="C754">
            <v>3560</v>
          </cell>
          <cell r="G754">
            <v>0</v>
          </cell>
        </row>
        <row r="755">
          <cell r="C755">
            <v>3570</v>
          </cell>
          <cell r="G755">
            <v>0</v>
          </cell>
        </row>
        <row r="756">
          <cell r="C756">
            <v>3580</v>
          </cell>
          <cell r="G756">
            <v>0</v>
          </cell>
        </row>
        <row r="757">
          <cell r="C757">
            <v>3590</v>
          </cell>
          <cell r="G757">
            <v>0</v>
          </cell>
        </row>
        <row r="758">
          <cell r="C758">
            <v>3600</v>
          </cell>
          <cell r="G758">
            <v>0</v>
          </cell>
        </row>
        <row r="759">
          <cell r="C759">
            <v>3610</v>
          </cell>
          <cell r="G759">
            <v>0</v>
          </cell>
        </row>
        <row r="760">
          <cell r="C760">
            <v>3620</v>
          </cell>
          <cell r="G760">
            <v>0</v>
          </cell>
        </row>
        <row r="761">
          <cell r="C761">
            <v>3630</v>
          </cell>
          <cell r="G761">
            <v>0</v>
          </cell>
        </row>
        <row r="762">
          <cell r="C762">
            <v>3640</v>
          </cell>
          <cell r="G762">
            <v>0</v>
          </cell>
        </row>
        <row r="763">
          <cell r="C763">
            <v>3650</v>
          </cell>
          <cell r="G763">
            <v>0</v>
          </cell>
        </row>
        <row r="764">
          <cell r="C764">
            <v>3660</v>
          </cell>
          <cell r="G764">
            <v>0</v>
          </cell>
        </row>
        <row r="765">
          <cell r="C765">
            <v>3670</v>
          </cell>
          <cell r="G765">
            <v>0</v>
          </cell>
        </row>
        <row r="766">
          <cell r="C766">
            <v>3680</v>
          </cell>
          <cell r="G766">
            <v>0</v>
          </cell>
        </row>
        <row r="767">
          <cell r="C767">
            <v>3690</v>
          </cell>
          <cell r="G767">
            <v>0</v>
          </cell>
        </row>
        <row r="768">
          <cell r="C768">
            <v>3700</v>
          </cell>
          <cell r="G768">
            <v>0</v>
          </cell>
        </row>
        <row r="769">
          <cell r="C769">
            <v>3710</v>
          </cell>
          <cell r="G769">
            <v>0</v>
          </cell>
        </row>
        <row r="770">
          <cell r="C770">
            <v>3720</v>
          </cell>
          <cell r="G770">
            <v>0</v>
          </cell>
        </row>
        <row r="771">
          <cell r="C771">
            <v>3730</v>
          </cell>
          <cell r="G771">
            <v>0</v>
          </cell>
        </row>
        <row r="772">
          <cell r="C772">
            <v>3740</v>
          </cell>
          <cell r="G772">
            <v>0</v>
          </cell>
        </row>
        <row r="773">
          <cell r="C773">
            <v>3750</v>
          </cell>
          <cell r="G773">
            <v>0</v>
          </cell>
        </row>
        <row r="774">
          <cell r="C774">
            <v>3760</v>
          </cell>
          <cell r="G774">
            <v>0</v>
          </cell>
        </row>
        <row r="775">
          <cell r="C775">
            <v>3770</v>
          </cell>
          <cell r="G775">
            <v>0</v>
          </cell>
        </row>
        <row r="776">
          <cell r="C776">
            <v>3780</v>
          </cell>
          <cell r="G776">
            <v>0</v>
          </cell>
        </row>
        <row r="777">
          <cell r="C777">
            <v>3790</v>
          </cell>
          <cell r="G777">
            <v>0</v>
          </cell>
        </row>
        <row r="778">
          <cell r="C778">
            <v>3800</v>
          </cell>
          <cell r="G778">
            <v>0</v>
          </cell>
        </row>
        <row r="779">
          <cell r="C779">
            <v>3810</v>
          </cell>
          <cell r="G779">
            <v>0</v>
          </cell>
        </row>
        <row r="780">
          <cell r="C780">
            <v>3820</v>
          </cell>
          <cell r="G780" t="str">
            <v>PC23</v>
          </cell>
        </row>
        <row r="781">
          <cell r="C781">
            <v>3830</v>
          </cell>
          <cell r="G781" t="str">
            <v>PC23</v>
          </cell>
        </row>
        <row r="782">
          <cell r="C782">
            <v>3840</v>
          </cell>
          <cell r="G782">
            <v>0</v>
          </cell>
        </row>
        <row r="783">
          <cell r="C783">
            <v>3850</v>
          </cell>
          <cell r="G783">
            <v>0</v>
          </cell>
        </row>
        <row r="784">
          <cell r="C784">
            <v>3860</v>
          </cell>
          <cell r="G784">
            <v>0</v>
          </cell>
        </row>
        <row r="785">
          <cell r="C785">
            <v>3870</v>
          </cell>
          <cell r="G785">
            <v>0</v>
          </cell>
        </row>
        <row r="786">
          <cell r="C786">
            <v>3880</v>
          </cell>
          <cell r="G786">
            <v>0</v>
          </cell>
        </row>
        <row r="787">
          <cell r="C787">
            <v>3890</v>
          </cell>
          <cell r="G787">
            <v>0</v>
          </cell>
        </row>
        <row r="788">
          <cell r="C788">
            <v>3900</v>
          </cell>
          <cell r="G788">
            <v>0</v>
          </cell>
        </row>
        <row r="789">
          <cell r="C789">
            <v>3910</v>
          </cell>
          <cell r="G789">
            <v>0</v>
          </cell>
        </row>
        <row r="790">
          <cell r="C790">
            <v>3920</v>
          </cell>
          <cell r="G790">
            <v>0</v>
          </cell>
        </row>
        <row r="791">
          <cell r="C791">
            <v>3930</v>
          </cell>
          <cell r="G791">
            <v>0</v>
          </cell>
        </row>
        <row r="792">
          <cell r="C792">
            <v>3940</v>
          </cell>
          <cell r="G792">
            <v>0</v>
          </cell>
        </row>
        <row r="793">
          <cell r="C793">
            <v>3950</v>
          </cell>
          <cell r="G793">
            <v>0</v>
          </cell>
        </row>
        <row r="794">
          <cell r="C794">
            <v>3960</v>
          </cell>
          <cell r="G794">
            <v>0</v>
          </cell>
        </row>
        <row r="795">
          <cell r="C795">
            <v>3970</v>
          </cell>
          <cell r="G795">
            <v>0</v>
          </cell>
        </row>
        <row r="796">
          <cell r="C796">
            <v>3980</v>
          </cell>
          <cell r="G796">
            <v>0</v>
          </cell>
        </row>
        <row r="797">
          <cell r="C797">
            <v>3990</v>
          </cell>
          <cell r="G797" t="str">
            <v>PC23</v>
          </cell>
        </row>
        <row r="798">
          <cell r="C798">
            <v>4000</v>
          </cell>
          <cell r="G798" t="str">
            <v>PC23</v>
          </cell>
        </row>
        <row r="799">
          <cell r="C799">
            <v>4010</v>
          </cell>
          <cell r="G799" t="str">
            <v>PC23</v>
          </cell>
        </row>
        <row r="800">
          <cell r="C800">
            <v>4020</v>
          </cell>
          <cell r="G800" t="str">
            <v>PC23</v>
          </cell>
        </row>
        <row r="801">
          <cell r="C801">
            <v>4030</v>
          </cell>
          <cell r="G801" t="str">
            <v>PC23</v>
          </cell>
        </row>
        <row r="802">
          <cell r="C802">
            <v>4040</v>
          </cell>
          <cell r="G802" t="str">
            <v>PC23</v>
          </cell>
        </row>
        <row r="803">
          <cell r="C803">
            <v>4050</v>
          </cell>
          <cell r="G803" t="str">
            <v>PC23</v>
          </cell>
        </row>
        <row r="804">
          <cell r="C804">
            <v>4060</v>
          </cell>
          <cell r="G804" t="str">
            <v>PC23</v>
          </cell>
        </row>
        <row r="805">
          <cell r="C805">
            <v>4070</v>
          </cell>
          <cell r="G805" t="str">
            <v>PC23</v>
          </cell>
        </row>
        <row r="806">
          <cell r="C806">
            <v>4080</v>
          </cell>
          <cell r="G806" t="str">
            <v>PC23</v>
          </cell>
        </row>
        <row r="807">
          <cell r="C807">
            <v>4090</v>
          </cell>
          <cell r="G807" t="str">
            <v>PC23</v>
          </cell>
        </row>
        <row r="808">
          <cell r="C808">
            <v>4100</v>
          </cell>
          <cell r="G808" t="str">
            <v>PC23</v>
          </cell>
        </row>
        <row r="809">
          <cell r="C809">
            <v>4110</v>
          </cell>
          <cell r="G809" t="str">
            <v>PC23</v>
          </cell>
        </row>
        <row r="810">
          <cell r="C810">
            <v>4120</v>
          </cell>
          <cell r="G810" t="str">
            <v>PC23</v>
          </cell>
        </row>
        <row r="811">
          <cell r="C811">
            <v>4130</v>
          </cell>
          <cell r="G811" t="str">
            <v>PC23</v>
          </cell>
        </row>
        <row r="812">
          <cell r="C812">
            <v>4140</v>
          </cell>
          <cell r="G812" t="str">
            <v>PC23</v>
          </cell>
        </row>
        <row r="813">
          <cell r="C813">
            <v>4150</v>
          </cell>
          <cell r="G813" t="str">
            <v>PC23</v>
          </cell>
        </row>
        <row r="814">
          <cell r="C814">
            <v>4160</v>
          </cell>
          <cell r="G814" t="str">
            <v>PC23</v>
          </cell>
        </row>
        <row r="815">
          <cell r="C815">
            <v>4170</v>
          </cell>
          <cell r="G815" t="str">
            <v>PC23</v>
          </cell>
        </row>
        <row r="816">
          <cell r="C816">
            <v>4180</v>
          </cell>
          <cell r="G816" t="str">
            <v>PC23</v>
          </cell>
        </row>
        <row r="817">
          <cell r="C817">
            <v>4190</v>
          </cell>
          <cell r="G817" t="str">
            <v>PC23</v>
          </cell>
        </row>
        <row r="818">
          <cell r="C818">
            <v>4200</v>
          </cell>
          <cell r="G818">
            <v>0</v>
          </cell>
        </row>
        <row r="819">
          <cell r="C819">
            <v>4210</v>
          </cell>
          <cell r="G819">
            <v>0</v>
          </cell>
        </row>
        <row r="820">
          <cell r="C820">
            <v>4220</v>
          </cell>
          <cell r="G820">
            <v>0</v>
          </cell>
        </row>
        <row r="821">
          <cell r="C821">
            <v>4230</v>
          </cell>
          <cell r="G821">
            <v>0</v>
          </cell>
        </row>
        <row r="822">
          <cell r="C822">
            <v>4240</v>
          </cell>
          <cell r="G822">
            <v>0</v>
          </cell>
        </row>
        <row r="823">
          <cell r="C823">
            <v>4250</v>
          </cell>
          <cell r="G823">
            <v>0</v>
          </cell>
        </row>
        <row r="824">
          <cell r="C824">
            <v>4260</v>
          </cell>
          <cell r="G824">
            <v>0</v>
          </cell>
        </row>
        <row r="825">
          <cell r="C825">
            <v>4270</v>
          </cell>
          <cell r="G825">
            <v>0</v>
          </cell>
        </row>
        <row r="826">
          <cell r="C826">
            <v>4280</v>
          </cell>
          <cell r="G826">
            <v>0</v>
          </cell>
        </row>
        <row r="827">
          <cell r="C827">
            <v>4290</v>
          </cell>
          <cell r="G827" t="str">
            <v>PC23</v>
          </cell>
        </row>
        <row r="828">
          <cell r="C828">
            <v>4300</v>
          </cell>
          <cell r="G828" t="str">
            <v>PC23</v>
          </cell>
        </row>
        <row r="829">
          <cell r="C829">
            <v>4310</v>
          </cell>
          <cell r="G829" t="str">
            <v>PC23</v>
          </cell>
        </row>
        <row r="830">
          <cell r="C830">
            <v>4320</v>
          </cell>
          <cell r="G830" t="str">
            <v>PC23</v>
          </cell>
        </row>
        <row r="831">
          <cell r="C831">
            <v>4330</v>
          </cell>
          <cell r="G831" t="str">
            <v>PC23</v>
          </cell>
        </row>
        <row r="832">
          <cell r="C832">
            <v>4340</v>
          </cell>
          <cell r="G832" t="str">
            <v>PC23</v>
          </cell>
        </row>
        <row r="833">
          <cell r="C833">
            <v>4350</v>
          </cell>
          <cell r="G833" t="str">
            <v>PC23</v>
          </cell>
        </row>
        <row r="834">
          <cell r="C834">
            <v>4360</v>
          </cell>
          <cell r="G834" t="str">
            <v>PC23</v>
          </cell>
        </row>
        <row r="835">
          <cell r="C835">
            <v>4370</v>
          </cell>
          <cell r="G835">
            <v>0</v>
          </cell>
        </row>
        <row r="836">
          <cell r="C836">
            <v>4380</v>
          </cell>
          <cell r="G836">
            <v>0</v>
          </cell>
        </row>
        <row r="837">
          <cell r="C837">
            <v>4390</v>
          </cell>
          <cell r="G837">
            <v>0</v>
          </cell>
        </row>
        <row r="838">
          <cell r="C838">
            <v>4400</v>
          </cell>
          <cell r="G838">
            <v>0</v>
          </cell>
        </row>
        <row r="839">
          <cell r="C839">
            <v>4410</v>
          </cell>
          <cell r="G839">
            <v>0</v>
          </cell>
        </row>
        <row r="840">
          <cell r="C840">
            <v>4420</v>
          </cell>
          <cell r="G840" t="str">
            <v>PC23</v>
          </cell>
        </row>
        <row r="841">
          <cell r="C841">
            <v>4430</v>
          </cell>
          <cell r="G841" t="str">
            <v>PC23</v>
          </cell>
        </row>
      </sheetData>
      <sheetData sheetId="11" refreshError="1"/>
      <sheetData sheetId="12"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6">
          <cell r="K16">
            <v>0</v>
          </cell>
        </row>
      </sheetData>
      <sheetData sheetId="13">
        <row r="5">
          <cell r="H5">
            <v>14560</v>
          </cell>
        </row>
        <row r="6">
          <cell r="H6">
            <v>980</v>
          </cell>
        </row>
        <row r="7">
          <cell r="H7">
            <v>3160</v>
          </cell>
        </row>
        <row r="8">
          <cell r="H8">
            <v>1260</v>
          </cell>
        </row>
        <row r="9">
          <cell r="H9">
            <v>11250</v>
          </cell>
        </row>
        <row r="10">
          <cell r="H10">
            <v>14370</v>
          </cell>
        </row>
        <row r="11">
          <cell r="H11">
            <v>9830</v>
          </cell>
        </row>
      </sheetData>
      <sheetData sheetId="14">
        <row r="6">
          <cell r="G6">
            <v>2158887.96</v>
          </cell>
        </row>
      </sheetData>
      <sheetData sheetId="15" refreshError="1"/>
      <sheetData sheetId="16">
        <row r="16">
          <cell r="L16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1.Planfin2566"/>
      <sheetName val="กศภ2564"/>
      <sheetName val="กศภ_Q265"/>
      <sheetName val="กศภ2563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3.Mapping"/>
      <sheetName val="14.แผนรายรับรายจ่ายเงินบำรุงฯ"/>
      <sheetName val="PlanFin Analysis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G4">
            <v>4602500</v>
          </cell>
        </row>
        <row r="5">
          <cell r="G5">
            <v>10000</v>
          </cell>
        </row>
        <row r="6">
          <cell r="G6">
            <v>263528</v>
          </cell>
        </row>
        <row r="7">
          <cell r="G7">
            <v>1000000</v>
          </cell>
        </row>
        <row r="8">
          <cell r="G8">
            <v>1850000</v>
          </cell>
        </row>
        <row r="9">
          <cell r="G9">
            <v>455000</v>
          </cell>
        </row>
        <row r="10">
          <cell r="G10">
            <v>8053000</v>
          </cell>
        </row>
        <row r="13">
          <cell r="G13">
            <v>6500000</v>
          </cell>
        </row>
        <row r="14">
          <cell r="G14">
            <v>5000</v>
          </cell>
        </row>
        <row r="15">
          <cell r="G15">
            <v>192085.5</v>
          </cell>
        </row>
        <row r="16">
          <cell r="G16">
            <v>1469796.25</v>
          </cell>
        </row>
        <row r="17">
          <cell r="G17">
            <v>1350000</v>
          </cell>
        </row>
        <row r="18">
          <cell r="G18">
            <v>250000</v>
          </cell>
        </row>
        <row r="19">
          <cell r="G19">
            <v>1793219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1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 x14ac:dyDescent="0.5"/>
  <cols>
    <col min="1" max="1" width="3.296875" style="5" customWidth="1"/>
    <col min="2" max="2" width="101.19921875" style="188" customWidth="1"/>
    <col min="3" max="16384" width="9" style="5"/>
  </cols>
  <sheetData>
    <row r="2" spans="2:2" ht="24" customHeight="1" x14ac:dyDescent="0.75">
      <c r="B2" s="375" t="s">
        <v>706</v>
      </c>
    </row>
    <row r="3" spans="2:2" ht="24.6" x14ac:dyDescent="0.5">
      <c r="B3" s="284" t="s">
        <v>5851</v>
      </c>
    </row>
    <row r="4" spans="2:2" ht="24.6" x14ac:dyDescent="0.5">
      <c r="B4" s="184" t="s">
        <v>5912</v>
      </c>
    </row>
    <row r="5" spans="2:2" ht="24.6" x14ac:dyDescent="0.5">
      <c r="B5" s="184" t="s">
        <v>5895</v>
      </c>
    </row>
    <row r="6" spans="2:2" ht="24.6" x14ac:dyDescent="0.5">
      <c r="B6" s="184" t="s">
        <v>5896</v>
      </c>
    </row>
    <row r="7" spans="2:2" ht="24.6" x14ac:dyDescent="0.5">
      <c r="B7" s="184" t="s">
        <v>5911</v>
      </c>
    </row>
    <row r="8" spans="2:2" ht="24.6" x14ac:dyDescent="0.5">
      <c r="B8" s="184" t="s">
        <v>5897</v>
      </c>
    </row>
    <row r="9" spans="2:2" ht="24.6" x14ac:dyDescent="0.5">
      <c r="B9" s="184" t="s">
        <v>5898</v>
      </c>
    </row>
    <row r="10" spans="2:2" ht="24.6" x14ac:dyDescent="0.5">
      <c r="B10" s="184" t="s">
        <v>5899</v>
      </c>
    </row>
    <row r="11" spans="2:2" ht="24.6" x14ac:dyDescent="0.5">
      <c r="B11" s="184" t="s">
        <v>5900</v>
      </c>
    </row>
    <row r="12" spans="2:2" ht="24.6" x14ac:dyDescent="0.5">
      <c r="B12" s="184" t="s">
        <v>5901</v>
      </c>
    </row>
    <row r="13" spans="2:2" ht="24.6" x14ac:dyDescent="0.5">
      <c r="B13" s="184" t="s">
        <v>5902</v>
      </c>
    </row>
    <row r="14" spans="2:2" ht="24.6" x14ac:dyDescent="0.5">
      <c r="B14" s="184" t="s">
        <v>5903</v>
      </c>
    </row>
    <row r="15" spans="2:2" ht="24.6" x14ac:dyDescent="0.5">
      <c r="B15" s="184" t="s">
        <v>5904</v>
      </c>
    </row>
    <row r="16" spans="2:2" ht="24.6" x14ac:dyDescent="0.5">
      <c r="B16" s="184" t="s">
        <v>5908</v>
      </c>
    </row>
    <row r="17" spans="2:2" ht="24.6" x14ac:dyDescent="0.5">
      <c r="B17" s="184" t="s">
        <v>5905</v>
      </c>
    </row>
    <row r="18" spans="2:2" ht="24.6" x14ac:dyDescent="0.7">
      <c r="B18" s="190" t="s">
        <v>2190</v>
      </c>
    </row>
    <row r="19" spans="2:2" ht="24.6" x14ac:dyDescent="0.7">
      <c r="B19" s="189" t="s">
        <v>2191</v>
      </c>
    </row>
    <row r="20" spans="2:2" ht="24.6" x14ac:dyDescent="0.7">
      <c r="B20" s="189" t="s">
        <v>2195</v>
      </c>
    </row>
    <row r="21" spans="2:2" ht="21.6" customHeight="1" x14ac:dyDescent="0.7">
      <c r="B21" s="189" t="s">
        <v>2193</v>
      </c>
    </row>
    <row r="22" spans="2:2" ht="21" customHeight="1" x14ac:dyDescent="0.7">
      <c r="B22" s="189" t="s">
        <v>2192</v>
      </c>
    </row>
    <row r="23" spans="2:2" ht="21.6" customHeight="1" x14ac:dyDescent="0.7">
      <c r="B23" s="189" t="s">
        <v>2194</v>
      </c>
    </row>
    <row r="24" spans="2:2" ht="21" customHeight="1" x14ac:dyDescent="0.7">
      <c r="B24" s="189" t="s">
        <v>5858</v>
      </c>
    </row>
    <row r="25" spans="2:2" ht="24.6" x14ac:dyDescent="0.7">
      <c r="B25" s="189" t="s">
        <v>5806</v>
      </c>
    </row>
    <row r="26" spans="2:2" ht="24.6" x14ac:dyDescent="0.7">
      <c r="B26" s="189" t="s">
        <v>5906</v>
      </c>
    </row>
    <row r="27" spans="2:2" ht="24.6" x14ac:dyDescent="0.7">
      <c r="B27" s="189" t="s">
        <v>5807</v>
      </c>
    </row>
    <row r="28" spans="2:2" ht="24.6" x14ac:dyDescent="0.7">
      <c r="B28" s="189" t="s">
        <v>5884</v>
      </c>
    </row>
    <row r="29" spans="2:2" ht="24.6" x14ac:dyDescent="0.7">
      <c r="B29" s="189" t="s">
        <v>2196</v>
      </c>
    </row>
    <row r="30" spans="2:2" ht="21" x14ac:dyDescent="0.6">
      <c r="B30" s="185"/>
    </row>
    <row r="31" spans="2:2" ht="24.6" x14ac:dyDescent="0.7">
      <c r="B31" s="189" t="s">
        <v>5808</v>
      </c>
    </row>
    <row r="32" spans="2:2" ht="24.6" x14ac:dyDescent="0.7">
      <c r="B32" s="189" t="s">
        <v>2269</v>
      </c>
    </row>
    <row r="33" spans="2:2" ht="24.6" x14ac:dyDescent="0.7">
      <c r="B33" s="189" t="s">
        <v>2197</v>
      </c>
    </row>
    <row r="34" spans="2:2" ht="24.6" x14ac:dyDescent="0.7">
      <c r="B34" s="189" t="s">
        <v>2272</v>
      </c>
    </row>
    <row r="35" spans="2:2" ht="24.6" x14ac:dyDescent="0.7">
      <c r="B35" s="189" t="s">
        <v>5859</v>
      </c>
    </row>
    <row r="36" spans="2:2" ht="24.6" x14ac:dyDescent="0.7">
      <c r="B36" s="189" t="s">
        <v>5907</v>
      </c>
    </row>
    <row r="37" spans="2:2" ht="24.6" x14ac:dyDescent="0.7">
      <c r="B37" s="189" t="s">
        <v>5860</v>
      </c>
    </row>
    <row r="38" spans="2:2" ht="24.6" x14ac:dyDescent="0.7">
      <c r="B38" s="189" t="s">
        <v>2198</v>
      </c>
    </row>
    <row r="39" spans="2:2" ht="24.6" x14ac:dyDescent="0.7">
      <c r="B39" s="189" t="s">
        <v>2199</v>
      </c>
    </row>
    <row r="40" spans="2:2" ht="24.6" x14ac:dyDescent="0.7">
      <c r="B40" s="189" t="s">
        <v>2273</v>
      </c>
    </row>
    <row r="41" spans="2:2" ht="24.6" x14ac:dyDescent="0.7">
      <c r="B41" s="189" t="s">
        <v>2200</v>
      </c>
    </row>
    <row r="42" spans="2:2" ht="24.6" x14ac:dyDescent="0.7">
      <c r="B42" s="189" t="s">
        <v>2202</v>
      </c>
    </row>
    <row r="43" spans="2:2" ht="24.6" x14ac:dyDescent="0.7">
      <c r="B43" s="189" t="s">
        <v>2203</v>
      </c>
    </row>
    <row r="44" spans="2:2" ht="24.6" x14ac:dyDescent="0.7">
      <c r="B44" s="189" t="s">
        <v>5861</v>
      </c>
    </row>
    <row r="45" spans="2:2" ht="24.6" x14ac:dyDescent="0.7">
      <c r="B45" s="190" t="s">
        <v>5862</v>
      </c>
    </row>
    <row r="46" spans="2:2" s="6" customFormat="1" ht="24.6" x14ac:dyDescent="0.7">
      <c r="B46" s="192" t="s">
        <v>5885</v>
      </c>
    </row>
    <row r="47" spans="2:2" s="6" customFormat="1" ht="24.6" x14ac:dyDescent="0.7">
      <c r="B47" s="192" t="s">
        <v>5863</v>
      </c>
    </row>
    <row r="48" spans="2:2" s="6" customFormat="1" ht="24.6" x14ac:dyDescent="0.7">
      <c r="B48" s="192" t="s">
        <v>2204</v>
      </c>
    </row>
    <row r="49" spans="2:2" s="6" customFormat="1" ht="24.6" x14ac:dyDescent="0.7">
      <c r="B49" s="192" t="s">
        <v>5864</v>
      </c>
    </row>
    <row r="50" spans="2:2" s="6" customFormat="1" ht="24.6" x14ac:dyDescent="0.7">
      <c r="B50" s="192" t="s">
        <v>5886</v>
      </c>
    </row>
    <row r="51" spans="2:2" s="6" customFormat="1" ht="24.6" x14ac:dyDescent="0.7">
      <c r="B51" s="192" t="s">
        <v>2210</v>
      </c>
    </row>
    <row r="52" spans="2:2" s="6" customFormat="1" ht="24.6" x14ac:dyDescent="0.7">
      <c r="B52" s="192" t="s">
        <v>2211</v>
      </c>
    </row>
    <row r="53" spans="2:2" s="6" customFormat="1" ht="24.6" x14ac:dyDescent="0.7">
      <c r="B53" s="192" t="s">
        <v>5865</v>
      </c>
    </row>
    <row r="54" spans="2:2" s="6" customFormat="1" ht="24.6" x14ac:dyDescent="0.7">
      <c r="B54" s="192" t="s">
        <v>2206</v>
      </c>
    </row>
    <row r="55" spans="2:2" s="6" customFormat="1" ht="24.6" x14ac:dyDescent="0.7">
      <c r="B55" s="192" t="s">
        <v>2207</v>
      </c>
    </row>
    <row r="56" spans="2:2" s="6" customFormat="1" ht="24.6" x14ac:dyDescent="0.7">
      <c r="B56" s="192" t="s">
        <v>5866</v>
      </c>
    </row>
    <row r="57" spans="2:2" s="6" customFormat="1" ht="24.6" x14ac:dyDescent="0.7">
      <c r="B57" s="192" t="s">
        <v>2208</v>
      </c>
    </row>
    <row r="58" spans="2:2" s="6" customFormat="1" ht="24.6" x14ac:dyDescent="0.7">
      <c r="B58" s="192" t="s">
        <v>5887</v>
      </c>
    </row>
    <row r="59" spans="2:2" s="6" customFormat="1" ht="24.6" x14ac:dyDescent="0.7">
      <c r="B59" s="192" t="s">
        <v>5888</v>
      </c>
    </row>
    <row r="60" spans="2:2" s="6" customFormat="1" ht="24.6" x14ac:dyDescent="0.7">
      <c r="B60" s="192" t="s">
        <v>5889</v>
      </c>
    </row>
    <row r="61" spans="2:2" s="6" customFormat="1" ht="24.6" x14ac:dyDescent="0.7">
      <c r="B61" s="192" t="s">
        <v>5867</v>
      </c>
    </row>
    <row r="62" spans="2:2" s="6" customFormat="1" ht="24.6" x14ac:dyDescent="0.7">
      <c r="B62" s="192" t="s">
        <v>5868</v>
      </c>
    </row>
    <row r="63" spans="2:2" s="6" customFormat="1" ht="24.6" x14ac:dyDescent="0.7">
      <c r="B63" s="192" t="s">
        <v>2212</v>
      </c>
    </row>
    <row r="64" spans="2:2" s="6" customFormat="1" ht="24.6" x14ac:dyDescent="0.7">
      <c r="B64" s="192" t="s">
        <v>2213</v>
      </c>
    </row>
    <row r="65" spans="2:2" s="6" customFormat="1" ht="24.6" x14ac:dyDescent="0.7">
      <c r="B65" s="192" t="s">
        <v>5869</v>
      </c>
    </row>
    <row r="66" spans="2:2" s="6" customFormat="1" ht="24.6" x14ac:dyDescent="0.7">
      <c r="B66" s="192" t="s">
        <v>2214</v>
      </c>
    </row>
    <row r="67" spans="2:2" s="6" customFormat="1" ht="24.6" x14ac:dyDescent="0.7">
      <c r="B67" s="192" t="s">
        <v>2216</v>
      </c>
    </row>
    <row r="68" spans="2:2" s="6" customFormat="1" ht="24.6" x14ac:dyDescent="0.7">
      <c r="B68" s="186" t="s">
        <v>2217</v>
      </c>
    </row>
    <row r="69" spans="2:2" s="6" customFormat="1" ht="24.6" x14ac:dyDescent="0.7">
      <c r="B69" s="186" t="s">
        <v>5890</v>
      </c>
    </row>
    <row r="70" spans="2:2" s="6" customFormat="1" ht="24.6" x14ac:dyDescent="0.7">
      <c r="B70" s="186" t="s">
        <v>2218</v>
      </c>
    </row>
    <row r="71" spans="2:2" s="6" customFormat="1" ht="24.6" x14ac:dyDescent="0.7">
      <c r="B71" s="186" t="s">
        <v>5870</v>
      </c>
    </row>
    <row r="72" spans="2:2" s="6" customFormat="1" ht="24.6" x14ac:dyDescent="0.7">
      <c r="B72" s="187" t="s">
        <v>2219</v>
      </c>
    </row>
    <row r="73" spans="2:2" s="6" customFormat="1" ht="24.6" x14ac:dyDescent="0.7">
      <c r="B73" s="186" t="s">
        <v>2222</v>
      </c>
    </row>
    <row r="74" spans="2:2" s="6" customFormat="1" ht="24.6" x14ac:dyDescent="0.7">
      <c r="B74" s="186" t="s">
        <v>5891</v>
      </c>
    </row>
    <row r="75" spans="2:2" ht="24.6" x14ac:dyDescent="0.7">
      <c r="B75" s="186" t="s">
        <v>5871</v>
      </c>
    </row>
    <row r="76" spans="2:2" s="6" customFormat="1" ht="22.8" customHeight="1" x14ac:dyDescent="0.7">
      <c r="B76" s="187" t="s">
        <v>2221</v>
      </c>
    </row>
    <row r="77" spans="2:2" ht="24.6" x14ac:dyDescent="0.7">
      <c r="B77" s="186" t="s">
        <v>5892</v>
      </c>
    </row>
    <row r="78" spans="2:2" s="6" customFormat="1" ht="24.6" x14ac:dyDescent="0.7">
      <c r="B78" s="186" t="s">
        <v>5872</v>
      </c>
    </row>
    <row r="79" spans="2:2" s="6" customFormat="1" ht="24.6" x14ac:dyDescent="0.7">
      <c r="B79" s="186" t="s">
        <v>5873</v>
      </c>
    </row>
    <row r="80" spans="2:2" s="6" customFormat="1" ht="24.6" x14ac:dyDescent="0.7">
      <c r="B80" s="186" t="s">
        <v>5893</v>
      </c>
    </row>
    <row r="81" spans="2:2" s="6" customFormat="1" ht="24.6" x14ac:dyDescent="0.7">
      <c r="B81" s="186" t="s">
        <v>5874</v>
      </c>
    </row>
    <row r="82" spans="2:2" s="6" customFormat="1" ht="24.6" x14ac:dyDescent="0.7">
      <c r="B82" s="195" t="s">
        <v>5875</v>
      </c>
    </row>
    <row r="83" spans="2:2" s="6" customFormat="1" ht="24.6" x14ac:dyDescent="0.7">
      <c r="B83" s="186" t="s">
        <v>2230</v>
      </c>
    </row>
    <row r="84" spans="2:2" s="6" customFormat="1" ht="24.6" x14ac:dyDescent="0.7">
      <c r="B84" s="186" t="s">
        <v>5894</v>
      </c>
    </row>
    <row r="85" spans="2:2" s="6" customFormat="1" ht="24.6" x14ac:dyDescent="0.7">
      <c r="B85" s="186" t="s">
        <v>5876</v>
      </c>
    </row>
    <row r="86" spans="2:2" s="6" customFormat="1" ht="24.6" x14ac:dyDescent="0.7">
      <c r="B86" s="186" t="s">
        <v>2226</v>
      </c>
    </row>
    <row r="87" spans="2:2" s="6" customFormat="1" ht="24.6" x14ac:dyDescent="0.7">
      <c r="B87" s="186" t="s">
        <v>5877</v>
      </c>
    </row>
    <row r="88" spans="2:2" s="6" customFormat="1" ht="24.6" x14ac:dyDescent="0.7">
      <c r="B88" s="186" t="s">
        <v>5878</v>
      </c>
    </row>
    <row r="89" spans="2:2" ht="24.6" x14ac:dyDescent="0.7">
      <c r="B89" s="186" t="s">
        <v>5879</v>
      </c>
    </row>
    <row r="90" spans="2:2" ht="24.6" x14ac:dyDescent="0.7">
      <c r="B90" s="186" t="s">
        <v>2224</v>
      </c>
    </row>
    <row r="91" spans="2:2" ht="24.6" x14ac:dyDescent="0.7">
      <c r="B91" s="186" t="s">
        <v>2225</v>
      </c>
    </row>
    <row r="92" spans="2:2" ht="24.6" x14ac:dyDescent="0.7">
      <c r="B92" s="186" t="s">
        <v>2227</v>
      </c>
    </row>
    <row r="93" spans="2:2" ht="24.6" x14ac:dyDescent="0.7">
      <c r="B93" s="186" t="s">
        <v>5880</v>
      </c>
    </row>
    <row r="94" spans="2:2" ht="24.6" x14ac:dyDescent="0.7">
      <c r="B94" s="195" t="s">
        <v>5881</v>
      </c>
    </row>
    <row r="95" spans="2:2" ht="24.6" x14ac:dyDescent="0.7">
      <c r="B95" s="195" t="s">
        <v>2229</v>
      </c>
    </row>
    <row r="96" spans="2:2" ht="24.6" x14ac:dyDescent="0.7">
      <c r="B96" s="186" t="s">
        <v>2234</v>
      </c>
    </row>
    <row r="97" spans="2:2" ht="24.6" x14ac:dyDescent="0.7">
      <c r="B97" s="186" t="s">
        <v>5909</v>
      </c>
    </row>
    <row r="98" spans="2:2" ht="24.6" x14ac:dyDescent="0.7">
      <c r="B98" s="186" t="s">
        <v>5910</v>
      </c>
    </row>
    <row r="99" spans="2:2" ht="24.6" x14ac:dyDescent="0.7">
      <c r="B99" s="186" t="s">
        <v>2231</v>
      </c>
    </row>
    <row r="100" spans="2:2" ht="24.6" x14ac:dyDescent="0.7">
      <c r="B100" s="186" t="s">
        <v>2251</v>
      </c>
    </row>
    <row r="101" spans="2:2" ht="24.6" x14ac:dyDescent="0.7">
      <c r="B101" s="186" t="s">
        <v>5882</v>
      </c>
    </row>
    <row r="102" spans="2:2" ht="24.6" x14ac:dyDescent="0.7">
      <c r="B102" s="186" t="s">
        <v>2232</v>
      </c>
    </row>
    <row r="103" spans="2:2" ht="24.6" x14ac:dyDescent="0.7">
      <c r="B103" s="186" t="s">
        <v>2252</v>
      </c>
    </row>
    <row r="104" spans="2:2" ht="24.6" x14ac:dyDescent="0.7">
      <c r="B104" s="186" t="s">
        <v>2255</v>
      </c>
    </row>
    <row r="105" spans="2:2" ht="24.6" x14ac:dyDescent="0.7">
      <c r="B105" s="186" t="s">
        <v>2253</v>
      </c>
    </row>
    <row r="106" spans="2:2" ht="24.6" x14ac:dyDescent="0.7">
      <c r="B106" s="186" t="s">
        <v>2256</v>
      </c>
    </row>
    <row r="107" spans="2:2" ht="24.6" x14ac:dyDescent="0.7">
      <c r="B107" s="186" t="s">
        <v>2254</v>
      </c>
    </row>
    <row r="108" spans="2:2" ht="24.6" x14ac:dyDescent="0.7">
      <c r="B108" s="186" t="s">
        <v>2236</v>
      </c>
    </row>
    <row r="109" spans="2:2" ht="24.6" x14ac:dyDescent="0.7">
      <c r="B109" s="186" t="s">
        <v>2238</v>
      </c>
    </row>
    <row r="110" spans="2:2" ht="24.6" x14ac:dyDescent="0.7">
      <c r="B110" s="186" t="s">
        <v>2237</v>
      </c>
    </row>
    <row r="111" spans="2:2" ht="24.6" x14ac:dyDescent="0.7">
      <c r="B111" s="186" t="s">
        <v>2239</v>
      </c>
    </row>
    <row r="112" spans="2:2" ht="24.6" x14ac:dyDescent="0.7">
      <c r="B112" s="186" t="s">
        <v>2241</v>
      </c>
    </row>
    <row r="113" spans="2:2" ht="24.6" x14ac:dyDescent="0.7">
      <c r="B113" s="186" t="s">
        <v>2242</v>
      </c>
    </row>
    <row r="114" spans="2:2" ht="24.6" x14ac:dyDescent="0.7">
      <c r="B114" s="186" t="s">
        <v>2243</v>
      </c>
    </row>
    <row r="115" spans="2:2" ht="24.6" x14ac:dyDescent="0.7">
      <c r="B115" s="186" t="s">
        <v>2244</v>
      </c>
    </row>
    <row r="116" spans="2:2" ht="24.6" x14ac:dyDescent="0.7">
      <c r="B116" s="186" t="s">
        <v>2245</v>
      </c>
    </row>
    <row r="117" spans="2:2" ht="24.6" x14ac:dyDescent="0.7">
      <c r="B117" s="186" t="s">
        <v>2246</v>
      </c>
    </row>
    <row r="118" spans="2:2" ht="24.6" x14ac:dyDescent="0.7">
      <c r="B118" s="186" t="s">
        <v>2247</v>
      </c>
    </row>
    <row r="119" spans="2:2" ht="24.6" x14ac:dyDescent="0.7">
      <c r="B119" s="186" t="s">
        <v>2248</v>
      </c>
    </row>
    <row r="120" spans="2:2" ht="24.6" x14ac:dyDescent="0.7">
      <c r="B120" s="186" t="s">
        <v>2249</v>
      </c>
    </row>
    <row r="121" spans="2:2" ht="24.6" x14ac:dyDescent="0.7">
      <c r="B121" s="186" t="s">
        <v>2250</v>
      </c>
    </row>
    <row r="122" spans="2:2" ht="27" x14ac:dyDescent="0.75">
      <c r="B122" s="183" t="s">
        <v>5849</v>
      </c>
    </row>
    <row r="123" spans="2:2" ht="24.6" x14ac:dyDescent="0.7">
      <c r="B123" s="186"/>
    </row>
    <row r="124" spans="2:2" ht="24.6" x14ac:dyDescent="0.7">
      <c r="B124" s="186"/>
    </row>
    <row r="125" spans="2:2" ht="24.6" x14ac:dyDescent="0.7">
      <c r="B125" s="186"/>
    </row>
    <row r="126" spans="2:2" ht="24.6" x14ac:dyDescent="0.7">
      <c r="B126" s="18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511"/>
  <sheetViews>
    <sheetView topLeftCell="A435" zoomScaleNormal="100" workbookViewId="0">
      <selection activeCell="D445" sqref="D445"/>
    </sheetView>
  </sheetViews>
  <sheetFormatPr defaultColWidth="8.796875" defaultRowHeight="24.6" x14ac:dyDescent="0.7"/>
  <cols>
    <col min="1" max="1" width="17.3984375" style="264" customWidth="1"/>
    <col min="2" max="2" width="78.296875" style="87" customWidth="1"/>
    <col min="3" max="3" width="18.796875" style="197" bestFit="1" customWidth="1"/>
    <col min="4" max="4" width="18.59765625" style="197" bestFit="1" customWidth="1"/>
    <col min="5" max="5" width="17.69921875" style="197" customWidth="1"/>
    <col min="6" max="6" width="2.09765625" style="87" hidden="1" customWidth="1"/>
    <col min="7" max="16384" width="8.796875" style="87"/>
  </cols>
  <sheetData>
    <row r="1" spans="1:6" x14ac:dyDescent="0.7">
      <c r="A1" s="265" t="s">
        <v>1151</v>
      </c>
      <c r="B1" s="266" t="s">
        <v>670</v>
      </c>
      <c r="C1" s="267" t="s">
        <v>655</v>
      </c>
      <c r="F1" s="87" t="s">
        <v>6445</v>
      </c>
    </row>
    <row r="2" spans="1:6" x14ac:dyDescent="0.7">
      <c r="A2" s="485" t="s">
        <v>139</v>
      </c>
      <c r="B2" s="196" t="s">
        <v>140</v>
      </c>
      <c r="C2" s="263">
        <v>0</v>
      </c>
      <c r="F2" s="87" t="str">
        <f>LEFT(A2,1)</f>
        <v>4</v>
      </c>
    </row>
    <row r="3" spans="1:6" x14ac:dyDescent="0.7">
      <c r="A3" s="485" t="s">
        <v>141</v>
      </c>
      <c r="B3" s="196" t="s">
        <v>142</v>
      </c>
      <c r="C3" s="263">
        <v>0</v>
      </c>
      <c r="F3" s="87" t="str">
        <f t="shared" ref="F3:F66" si="0">LEFT(A3,1)</f>
        <v>4</v>
      </c>
    </row>
    <row r="4" spans="1:6" x14ac:dyDescent="0.7">
      <c r="A4" s="485" t="s">
        <v>143</v>
      </c>
      <c r="B4" s="196" t="s">
        <v>144</v>
      </c>
      <c r="C4" s="263">
        <v>0</v>
      </c>
      <c r="F4" s="87" t="str">
        <f t="shared" si="0"/>
        <v>4</v>
      </c>
    </row>
    <row r="5" spans="1:6" x14ac:dyDescent="0.7">
      <c r="A5" s="485" t="s">
        <v>145</v>
      </c>
      <c r="B5" s="196" t="s">
        <v>146</v>
      </c>
      <c r="C5" s="263">
        <v>0</v>
      </c>
      <c r="F5" s="87" t="str">
        <f t="shared" si="0"/>
        <v>4</v>
      </c>
    </row>
    <row r="6" spans="1:6" x14ac:dyDescent="0.7">
      <c r="A6" s="485" t="s">
        <v>147</v>
      </c>
      <c r="B6" s="196" t="s">
        <v>937</v>
      </c>
      <c r="C6" s="263">
        <v>0</v>
      </c>
      <c r="F6" s="87" t="str">
        <f t="shared" si="0"/>
        <v>4</v>
      </c>
    </row>
    <row r="7" spans="1:6" x14ac:dyDescent="0.7">
      <c r="A7" s="485" t="s">
        <v>148</v>
      </c>
      <c r="B7" s="196" t="s">
        <v>149</v>
      </c>
      <c r="C7" s="263">
        <v>0</v>
      </c>
      <c r="F7" s="87" t="str">
        <f t="shared" si="0"/>
        <v>4</v>
      </c>
    </row>
    <row r="8" spans="1:6" x14ac:dyDescent="0.7">
      <c r="A8" s="485" t="s">
        <v>150</v>
      </c>
      <c r="B8" s="196" t="s">
        <v>171</v>
      </c>
      <c r="C8" s="263">
        <v>0</v>
      </c>
      <c r="F8" s="87" t="str">
        <f t="shared" si="0"/>
        <v>4</v>
      </c>
    </row>
    <row r="9" spans="1:6" x14ac:dyDescent="0.7">
      <c r="A9" s="485" t="s">
        <v>151</v>
      </c>
      <c r="B9" s="196" t="s">
        <v>173</v>
      </c>
      <c r="C9" s="263">
        <v>0</v>
      </c>
      <c r="F9" s="87" t="str">
        <f t="shared" si="0"/>
        <v>4</v>
      </c>
    </row>
    <row r="10" spans="1:6" x14ac:dyDescent="0.7">
      <c r="A10" s="485" t="s">
        <v>152</v>
      </c>
      <c r="B10" s="196" t="s">
        <v>153</v>
      </c>
      <c r="C10" s="263">
        <v>0</v>
      </c>
      <c r="F10" s="87" t="str">
        <f t="shared" si="0"/>
        <v>4</v>
      </c>
    </row>
    <row r="11" spans="1:6" x14ac:dyDescent="0.7">
      <c r="A11" s="485" t="s">
        <v>5813</v>
      </c>
      <c r="B11" s="196" t="s">
        <v>5814</v>
      </c>
      <c r="C11" s="263">
        <v>0</v>
      </c>
      <c r="F11" s="87" t="str">
        <f t="shared" si="0"/>
        <v>4</v>
      </c>
    </row>
    <row r="12" spans="1:6" x14ac:dyDescent="0.7">
      <c r="A12" s="485" t="s">
        <v>154</v>
      </c>
      <c r="B12" s="196" t="s">
        <v>155</v>
      </c>
      <c r="C12" s="263">
        <v>0</v>
      </c>
      <c r="F12" s="87" t="str">
        <f t="shared" si="0"/>
        <v>4</v>
      </c>
    </row>
    <row r="13" spans="1:6" x14ac:dyDescent="0.7">
      <c r="A13" s="485" t="s">
        <v>112</v>
      </c>
      <c r="B13" s="196" t="s">
        <v>113</v>
      </c>
      <c r="C13" s="263">
        <v>0</v>
      </c>
      <c r="F13" s="87" t="str">
        <f t="shared" si="0"/>
        <v>4</v>
      </c>
    </row>
    <row r="14" spans="1:6" x14ac:dyDescent="0.7">
      <c r="A14" s="485" t="s">
        <v>114</v>
      </c>
      <c r="B14" s="196" t="s">
        <v>115</v>
      </c>
      <c r="C14" s="263">
        <v>0</v>
      </c>
      <c r="F14" s="87" t="str">
        <f t="shared" si="0"/>
        <v>4</v>
      </c>
    </row>
    <row r="15" spans="1:6" x14ac:dyDescent="0.7">
      <c r="A15" s="485" t="s">
        <v>716</v>
      </c>
      <c r="B15" s="196" t="s">
        <v>117</v>
      </c>
      <c r="C15" s="263">
        <v>0</v>
      </c>
      <c r="F15" s="87" t="str">
        <f t="shared" si="0"/>
        <v>4</v>
      </c>
    </row>
    <row r="16" spans="1:6" x14ac:dyDescent="0.7">
      <c r="A16" s="485" t="s">
        <v>717</v>
      </c>
      <c r="B16" s="196" t="s">
        <v>118</v>
      </c>
      <c r="C16" s="263">
        <v>0</v>
      </c>
      <c r="F16" s="87" t="str">
        <f t="shared" si="0"/>
        <v>4</v>
      </c>
    </row>
    <row r="17" spans="1:6" x14ac:dyDescent="0.7">
      <c r="A17" s="485" t="s">
        <v>119</v>
      </c>
      <c r="B17" s="196" t="s">
        <v>120</v>
      </c>
      <c r="C17" s="263">
        <v>0</v>
      </c>
      <c r="F17" s="87" t="str">
        <f t="shared" si="0"/>
        <v>4</v>
      </c>
    </row>
    <row r="18" spans="1:6" x14ac:dyDescent="0.7">
      <c r="A18" s="485" t="s">
        <v>121</v>
      </c>
      <c r="B18" s="196" t="s">
        <v>122</v>
      </c>
      <c r="C18" s="263">
        <v>0</v>
      </c>
      <c r="F18" s="87" t="str">
        <f t="shared" si="0"/>
        <v>4</v>
      </c>
    </row>
    <row r="19" spans="1:6" x14ac:dyDescent="0.7">
      <c r="A19" s="485" t="s">
        <v>718</v>
      </c>
      <c r="B19" s="196" t="s">
        <v>116</v>
      </c>
      <c r="C19" s="263">
        <v>0</v>
      </c>
      <c r="F19" s="87" t="str">
        <f t="shared" si="0"/>
        <v>4</v>
      </c>
    </row>
    <row r="20" spans="1:6" x14ac:dyDescent="0.7">
      <c r="A20" s="485" t="s">
        <v>719</v>
      </c>
      <c r="B20" s="196" t="s">
        <v>79</v>
      </c>
      <c r="C20" s="263">
        <v>104700</v>
      </c>
      <c r="F20" s="87" t="str">
        <f t="shared" si="0"/>
        <v>4</v>
      </c>
    </row>
    <row r="21" spans="1:6" x14ac:dyDescent="0.7">
      <c r="A21" s="485" t="s">
        <v>720</v>
      </c>
      <c r="B21" s="196" t="s">
        <v>721</v>
      </c>
      <c r="C21" s="824">
        <v>450000</v>
      </c>
      <c r="F21" s="87" t="str">
        <f t="shared" si="0"/>
        <v>4</v>
      </c>
    </row>
    <row r="22" spans="1:6" x14ac:dyDescent="0.7">
      <c r="A22" s="485" t="s">
        <v>722</v>
      </c>
      <c r="B22" s="196" t="s">
        <v>723</v>
      </c>
      <c r="C22" s="263">
        <v>692943.6</v>
      </c>
      <c r="F22" s="87" t="str">
        <f t="shared" si="0"/>
        <v>4</v>
      </c>
    </row>
    <row r="23" spans="1:6" x14ac:dyDescent="0.7">
      <c r="A23" s="485" t="s">
        <v>71</v>
      </c>
      <c r="B23" s="196" t="s">
        <v>938</v>
      </c>
      <c r="C23" s="825">
        <v>10000</v>
      </c>
      <c r="F23" s="87" t="str">
        <f t="shared" si="0"/>
        <v>4</v>
      </c>
    </row>
    <row r="24" spans="1:6" x14ac:dyDescent="0.7">
      <c r="A24" s="485" t="s">
        <v>72</v>
      </c>
      <c r="B24" s="196" t="s">
        <v>939</v>
      </c>
      <c r="C24" s="826">
        <v>5000</v>
      </c>
      <c r="F24" s="87" t="str">
        <f t="shared" si="0"/>
        <v>4</v>
      </c>
    </row>
    <row r="25" spans="1:6" x14ac:dyDescent="0.7">
      <c r="A25" s="485" t="s">
        <v>123</v>
      </c>
      <c r="B25" s="196" t="s">
        <v>940</v>
      </c>
      <c r="C25" s="824">
        <v>2700000</v>
      </c>
      <c r="F25" s="87" t="str">
        <f t="shared" si="0"/>
        <v>4</v>
      </c>
    </row>
    <row r="26" spans="1:6" x14ac:dyDescent="0.7">
      <c r="A26" s="485" t="s">
        <v>124</v>
      </c>
      <c r="B26" s="196" t="s">
        <v>941</v>
      </c>
      <c r="C26" s="826">
        <v>1293219</v>
      </c>
      <c r="F26" s="87" t="str">
        <f t="shared" si="0"/>
        <v>4</v>
      </c>
    </row>
    <row r="27" spans="1:6" x14ac:dyDescent="0.7">
      <c r="A27" s="485" t="s">
        <v>1128</v>
      </c>
      <c r="B27" s="196" t="s">
        <v>1090</v>
      </c>
      <c r="C27" s="263">
        <v>0</v>
      </c>
      <c r="F27" s="87" t="str">
        <f t="shared" si="0"/>
        <v>4</v>
      </c>
    </row>
    <row r="28" spans="1:6" x14ac:dyDescent="0.7">
      <c r="A28" s="485" t="s">
        <v>1129</v>
      </c>
      <c r="B28" s="196" t="s">
        <v>1091</v>
      </c>
      <c r="C28" s="263">
        <v>0</v>
      </c>
      <c r="F28" s="87" t="str">
        <f t="shared" si="0"/>
        <v>4</v>
      </c>
    </row>
    <row r="29" spans="1:6" x14ac:dyDescent="0.7">
      <c r="A29" s="485" t="s">
        <v>1130</v>
      </c>
      <c r="B29" s="196" t="s">
        <v>1092</v>
      </c>
      <c r="C29" s="263">
        <v>0</v>
      </c>
      <c r="F29" s="87" t="str">
        <f t="shared" si="0"/>
        <v>4</v>
      </c>
    </row>
    <row r="30" spans="1:6" x14ac:dyDescent="0.7">
      <c r="A30" s="485" t="s">
        <v>1131</v>
      </c>
      <c r="B30" s="196" t="s">
        <v>1093</v>
      </c>
      <c r="C30" s="263">
        <v>0</v>
      </c>
      <c r="F30" s="87" t="str">
        <f t="shared" si="0"/>
        <v>4</v>
      </c>
    </row>
    <row r="31" spans="1:6" x14ac:dyDescent="0.7">
      <c r="A31" s="485" t="s">
        <v>80</v>
      </c>
      <c r="B31" s="196" t="s">
        <v>942</v>
      </c>
      <c r="C31" s="263">
        <v>1000000</v>
      </c>
      <c r="F31" s="87" t="str">
        <f t="shared" si="0"/>
        <v>4</v>
      </c>
    </row>
    <row r="32" spans="1:6" x14ac:dyDescent="0.7">
      <c r="A32" s="485" t="s">
        <v>81</v>
      </c>
      <c r="B32" s="196" t="s">
        <v>943</v>
      </c>
      <c r="C32" s="263">
        <v>1469796.25</v>
      </c>
      <c r="F32" s="87" t="str">
        <f t="shared" si="0"/>
        <v>4</v>
      </c>
    </row>
    <row r="33" spans="1:6" x14ac:dyDescent="0.7">
      <c r="A33" s="485" t="s">
        <v>82</v>
      </c>
      <c r="B33" s="196" t="s">
        <v>83</v>
      </c>
      <c r="C33" s="263">
        <v>0</v>
      </c>
      <c r="F33" s="87" t="str">
        <f t="shared" si="0"/>
        <v>4</v>
      </c>
    </row>
    <row r="34" spans="1:6" x14ac:dyDescent="0.7">
      <c r="A34" s="485" t="s">
        <v>84</v>
      </c>
      <c r="B34" s="196" t="s">
        <v>85</v>
      </c>
      <c r="C34" s="263">
        <v>0</v>
      </c>
      <c r="F34" s="87" t="str">
        <f t="shared" si="0"/>
        <v>4</v>
      </c>
    </row>
    <row r="35" spans="1:6" x14ac:dyDescent="0.7">
      <c r="A35" s="485" t="s">
        <v>125</v>
      </c>
      <c r="B35" s="196" t="s">
        <v>944</v>
      </c>
      <c r="C35" s="826">
        <v>350000</v>
      </c>
      <c r="F35" s="87" t="str">
        <f t="shared" si="0"/>
        <v>4</v>
      </c>
    </row>
    <row r="36" spans="1:6" x14ac:dyDescent="0.7">
      <c r="A36" s="485" t="s">
        <v>126</v>
      </c>
      <c r="B36" s="196" t="s">
        <v>945</v>
      </c>
      <c r="C36" s="826">
        <v>200000</v>
      </c>
      <c r="F36" s="87" t="str">
        <f t="shared" si="0"/>
        <v>4</v>
      </c>
    </row>
    <row r="37" spans="1:6" x14ac:dyDescent="0.7">
      <c r="A37" s="485" t="s">
        <v>73</v>
      </c>
      <c r="B37" s="196" t="s">
        <v>946</v>
      </c>
      <c r="C37" s="826">
        <v>250000</v>
      </c>
      <c r="F37" s="87" t="str">
        <f t="shared" si="0"/>
        <v>4</v>
      </c>
    </row>
    <row r="38" spans="1:6" x14ac:dyDescent="0.7">
      <c r="A38" s="485" t="s">
        <v>74</v>
      </c>
      <c r="B38" s="196" t="s">
        <v>1096</v>
      </c>
      <c r="C38" s="826">
        <v>180000</v>
      </c>
      <c r="F38" s="87" t="str">
        <f t="shared" si="0"/>
        <v>4</v>
      </c>
    </row>
    <row r="39" spans="1:6" x14ac:dyDescent="0.7">
      <c r="A39" s="485" t="s">
        <v>75</v>
      </c>
      <c r="B39" s="196" t="s">
        <v>76</v>
      </c>
      <c r="C39" s="263">
        <v>0</v>
      </c>
      <c r="F39" s="87" t="str">
        <f t="shared" si="0"/>
        <v>4</v>
      </c>
    </row>
    <row r="40" spans="1:6" x14ac:dyDescent="0.7">
      <c r="A40" s="485" t="s">
        <v>77</v>
      </c>
      <c r="B40" s="196" t="s">
        <v>78</v>
      </c>
      <c r="C40" s="263">
        <v>0</v>
      </c>
      <c r="F40" s="87" t="str">
        <f t="shared" si="0"/>
        <v>4</v>
      </c>
    </row>
    <row r="41" spans="1:6" x14ac:dyDescent="0.7">
      <c r="A41" s="485" t="s">
        <v>724</v>
      </c>
      <c r="B41" s="196" t="s">
        <v>1094</v>
      </c>
      <c r="C41" s="263">
        <v>13528</v>
      </c>
      <c r="F41" s="87" t="str">
        <f t="shared" si="0"/>
        <v>4</v>
      </c>
    </row>
    <row r="42" spans="1:6" x14ac:dyDescent="0.7">
      <c r="A42" s="485" t="s">
        <v>725</v>
      </c>
      <c r="B42" s="196" t="s">
        <v>1095</v>
      </c>
      <c r="C42" s="263">
        <v>12085.5</v>
      </c>
      <c r="F42" s="87" t="str">
        <f t="shared" si="0"/>
        <v>4</v>
      </c>
    </row>
    <row r="43" spans="1:6" x14ac:dyDescent="0.7">
      <c r="A43" s="485" t="s">
        <v>726</v>
      </c>
      <c r="B43" s="196" t="s">
        <v>1097</v>
      </c>
      <c r="C43" s="263">
        <v>0</v>
      </c>
      <c r="F43" s="87" t="str">
        <f t="shared" si="0"/>
        <v>4</v>
      </c>
    </row>
    <row r="44" spans="1:6" x14ac:dyDescent="0.7">
      <c r="A44" s="485" t="s">
        <v>727</v>
      </c>
      <c r="B44" s="196" t="s">
        <v>1098</v>
      </c>
      <c r="C44" s="263">
        <v>0</v>
      </c>
      <c r="F44" s="87" t="str">
        <f t="shared" si="0"/>
        <v>4</v>
      </c>
    </row>
    <row r="45" spans="1:6" x14ac:dyDescent="0.7">
      <c r="A45" s="485" t="s">
        <v>45</v>
      </c>
      <c r="B45" s="196" t="s">
        <v>947</v>
      </c>
      <c r="C45" s="263">
        <v>0</v>
      </c>
      <c r="F45" s="87" t="str">
        <f t="shared" si="0"/>
        <v>4</v>
      </c>
    </row>
    <row r="46" spans="1:6" x14ac:dyDescent="0.7">
      <c r="A46" s="485" t="s">
        <v>46</v>
      </c>
      <c r="B46" s="196" t="s">
        <v>948</v>
      </c>
      <c r="C46" s="827">
        <v>6000000</v>
      </c>
      <c r="F46" s="87" t="str">
        <f t="shared" si="0"/>
        <v>4</v>
      </c>
    </row>
    <row r="47" spans="1:6" x14ac:dyDescent="0.7">
      <c r="A47" s="485" t="s">
        <v>47</v>
      </c>
      <c r="B47" s="196" t="s">
        <v>949</v>
      </c>
      <c r="C47" s="826">
        <v>100000</v>
      </c>
      <c r="F47" s="87" t="str">
        <f t="shared" si="0"/>
        <v>4</v>
      </c>
    </row>
    <row r="48" spans="1:6" x14ac:dyDescent="0.7">
      <c r="A48" s="485" t="s">
        <v>48</v>
      </c>
      <c r="B48" s="828" t="s">
        <v>950</v>
      </c>
      <c r="C48" s="263">
        <v>0</v>
      </c>
      <c r="F48" s="87" t="str">
        <f t="shared" si="0"/>
        <v>4</v>
      </c>
    </row>
    <row r="49" spans="1:6" x14ac:dyDescent="0.7">
      <c r="A49" s="485" t="s">
        <v>49</v>
      </c>
      <c r="B49" s="828" t="s">
        <v>951</v>
      </c>
      <c r="C49" s="826">
        <v>2000</v>
      </c>
      <c r="F49" s="87" t="str">
        <f t="shared" si="0"/>
        <v>4</v>
      </c>
    </row>
    <row r="50" spans="1:6" x14ac:dyDescent="0.7">
      <c r="A50" s="485" t="s">
        <v>209</v>
      </c>
      <c r="B50" s="828" t="s">
        <v>210</v>
      </c>
      <c r="C50" s="829">
        <v>13312250</v>
      </c>
      <c r="F50" s="87" t="str">
        <f t="shared" si="0"/>
        <v>4</v>
      </c>
    </row>
    <row r="51" spans="1:6" x14ac:dyDescent="0.7">
      <c r="A51" s="485" t="s">
        <v>50</v>
      </c>
      <c r="B51" s="828" t="s">
        <v>952</v>
      </c>
      <c r="C51" s="830">
        <v>35569337.799999997</v>
      </c>
      <c r="F51" s="87" t="str">
        <f t="shared" si="0"/>
        <v>4</v>
      </c>
    </row>
    <row r="52" spans="1:6" x14ac:dyDescent="0.7">
      <c r="A52" s="485" t="s">
        <v>51</v>
      </c>
      <c r="B52" s="196" t="s">
        <v>953</v>
      </c>
      <c r="C52" s="826">
        <v>200000</v>
      </c>
      <c r="F52" s="87" t="str">
        <f t="shared" si="0"/>
        <v>4</v>
      </c>
    </row>
    <row r="53" spans="1:6" x14ac:dyDescent="0.7">
      <c r="A53" s="485" t="s">
        <v>52</v>
      </c>
      <c r="B53" s="196" t="s">
        <v>954</v>
      </c>
      <c r="C53" s="827">
        <v>7000000</v>
      </c>
      <c r="F53" s="87" t="str">
        <f t="shared" si="0"/>
        <v>4</v>
      </c>
    </row>
    <row r="54" spans="1:6" x14ac:dyDescent="0.7">
      <c r="A54" s="485" t="s">
        <v>53</v>
      </c>
      <c r="B54" s="196" t="s">
        <v>54</v>
      </c>
      <c r="C54" s="826">
        <v>750000</v>
      </c>
      <c r="F54" s="87" t="str">
        <f t="shared" si="0"/>
        <v>4</v>
      </c>
    </row>
    <row r="55" spans="1:6" x14ac:dyDescent="0.7">
      <c r="A55" s="485" t="s">
        <v>55</v>
      </c>
      <c r="B55" s="196" t="s">
        <v>955</v>
      </c>
      <c r="C55" s="826">
        <v>1511230.4</v>
      </c>
      <c r="F55" s="87" t="str">
        <f t="shared" si="0"/>
        <v>4</v>
      </c>
    </row>
    <row r="56" spans="1:6" x14ac:dyDescent="0.7">
      <c r="A56" s="485" t="s">
        <v>56</v>
      </c>
      <c r="B56" s="196" t="s">
        <v>57</v>
      </c>
      <c r="C56" s="824">
        <v>1500000</v>
      </c>
      <c r="F56" s="87" t="str">
        <f t="shared" si="0"/>
        <v>4</v>
      </c>
    </row>
    <row r="57" spans="1:6" x14ac:dyDescent="0.7">
      <c r="A57" s="485" t="s">
        <v>58</v>
      </c>
      <c r="B57" s="196" t="s">
        <v>956</v>
      </c>
      <c r="C57" s="263">
        <v>0</v>
      </c>
      <c r="F57" s="87" t="str">
        <f t="shared" si="0"/>
        <v>4</v>
      </c>
    </row>
    <row r="58" spans="1:6" x14ac:dyDescent="0.7">
      <c r="A58" s="485" t="s">
        <v>59</v>
      </c>
      <c r="B58" s="196" t="s">
        <v>957</v>
      </c>
      <c r="C58" s="263">
        <v>0</v>
      </c>
      <c r="F58" s="87" t="str">
        <f t="shared" si="0"/>
        <v>4</v>
      </c>
    </row>
    <row r="59" spans="1:6" x14ac:dyDescent="0.7">
      <c r="A59" s="485" t="s">
        <v>60</v>
      </c>
      <c r="B59" s="196" t="s">
        <v>958</v>
      </c>
      <c r="C59" s="263">
        <v>430948.57</v>
      </c>
      <c r="F59" s="87" t="str">
        <f t="shared" si="0"/>
        <v>4</v>
      </c>
    </row>
    <row r="60" spans="1:6" x14ac:dyDescent="0.7">
      <c r="A60" s="485" t="s">
        <v>61</v>
      </c>
      <c r="B60" s="196" t="s">
        <v>959</v>
      </c>
      <c r="C60" s="263">
        <v>0</v>
      </c>
      <c r="F60" s="87" t="str">
        <f t="shared" si="0"/>
        <v>4</v>
      </c>
    </row>
    <row r="61" spans="1:6" x14ac:dyDescent="0.7">
      <c r="A61" s="485" t="s">
        <v>5811</v>
      </c>
      <c r="B61" s="196" t="s">
        <v>960</v>
      </c>
      <c r="C61" s="263">
        <v>167683.75</v>
      </c>
      <c r="F61" s="87" t="str">
        <f t="shared" si="0"/>
        <v>4</v>
      </c>
    </row>
    <row r="62" spans="1:6" x14ac:dyDescent="0.7">
      <c r="A62" s="485" t="s">
        <v>62</v>
      </c>
      <c r="B62" s="196" t="s">
        <v>961</v>
      </c>
      <c r="C62" s="824">
        <v>3000000</v>
      </c>
      <c r="F62" s="87" t="str">
        <f t="shared" si="0"/>
        <v>4</v>
      </c>
    </row>
    <row r="63" spans="1:6" x14ac:dyDescent="0.7">
      <c r="A63" s="485" t="s">
        <v>63</v>
      </c>
      <c r="B63" s="196" t="s">
        <v>64</v>
      </c>
      <c r="C63" s="263">
        <v>0</v>
      </c>
      <c r="F63" s="87" t="str">
        <f t="shared" si="0"/>
        <v>4</v>
      </c>
    </row>
    <row r="64" spans="1:6" x14ac:dyDescent="0.7">
      <c r="A64" s="485" t="s">
        <v>65</v>
      </c>
      <c r="B64" s="196" t="s">
        <v>66</v>
      </c>
      <c r="C64" s="826">
        <v>0</v>
      </c>
      <c r="F64" s="87" t="str">
        <f t="shared" si="0"/>
        <v>4</v>
      </c>
    </row>
    <row r="65" spans="1:6" x14ac:dyDescent="0.7">
      <c r="A65" s="485" t="s">
        <v>67</v>
      </c>
      <c r="B65" s="196" t="s">
        <v>1099</v>
      </c>
      <c r="C65" s="826">
        <v>1500000</v>
      </c>
      <c r="F65" s="87" t="str">
        <f t="shared" si="0"/>
        <v>4</v>
      </c>
    </row>
    <row r="66" spans="1:6" x14ac:dyDescent="0.7">
      <c r="A66" s="485" t="s">
        <v>68</v>
      </c>
      <c r="B66" s="196" t="s">
        <v>1100</v>
      </c>
      <c r="C66" s="826">
        <v>500000</v>
      </c>
      <c r="F66" s="87" t="str">
        <f t="shared" si="0"/>
        <v>4</v>
      </c>
    </row>
    <row r="67" spans="1:6" x14ac:dyDescent="0.7">
      <c r="A67" s="485" t="s">
        <v>69</v>
      </c>
      <c r="B67" s="196" t="s">
        <v>962</v>
      </c>
      <c r="C67" s="263">
        <v>0</v>
      </c>
      <c r="F67" s="87" t="str">
        <f t="shared" ref="F67:F130" si="1">LEFT(A67,1)</f>
        <v>4</v>
      </c>
    </row>
    <row r="68" spans="1:6" x14ac:dyDescent="0.7">
      <c r="A68" s="485" t="s">
        <v>70</v>
      </c>
      <c r="B68" s="196" t="s">
        <v>963</v>
      </c>
      <c r="C68" s="263">
        <v>0</v>
      </c>
      <c r="F68" s="87" t="str">
        <f t="shared" si="1"/>
        <v>4</v>
      </c>
    </row>
    <row r="69" spans="1:6" x14ac:dyDescent="0.7">
      <c r="A69" s="485" t="s">
        <v>728</v>
      </c>
      <c r="B69" s="196" t="s">
        <v>729</v>
      </c>
      <c r="C69" s="263">
        <v>0</v>
      </c>
      <c r="F69" s="87" t="str">
        <f t="shared" si="1"/>
        <v>4</v>
      </c>
    </row>
    <row r="70" spans="1:6" x14ac:dyDescent="0.7">
      <c r="A70" s="485" t="s">
        <v>730</v>
      </c>
      <c r="B70" s="196" t="s">
        <v>731</v>
      </c>
      <c r="C70" s="263">
        <v>0</v>
      </c>
      <c r="F70" s="87" t="str">
        <f t="shared" si="1"/>
        <v>4</v>
      </c>
    </row>
    <row r="71" spans="1:6" x14ac:dyDescent="0.7">
      <c r="A71" s="485" t="s">
        <v>732</v>
      </c>
      <c r="B71" s="196" t="s">
        <v>733</v>
      </c>
      <c r="C71" s="263">
        <v>0</v>
      </c>
      <c r="F71" s="87" t="str">
        <f t="shared" si="1"/>
        <v>4</v>
      </c>
    </row>
    <row r="72" spans="1:6" x14ac:dyDescent="0.7">
      <c r="A72" s="485" t="s">
        <v>734</v>
      </c>
      <c r="B72" s="196" t="s">
        <v>735</v>
      </c>
      <c r="C72" s="263">
        <v>0</v>
      </c>
      <c r="F72" s="87" t="str">
        <f t="shared" si="1"/>
        <v>4</v>
      </c>
    </row>
    <row r="73" spans="1:6" x14ac:dyDescent="0.7">
      <c r="A73" s="485" t="s">
        <v>707</v>
      </c>
      <c r="B73" s="196" t="s">
        <v>964</v>
      </c>
      <c r="C73" s="263">
        <v>25470.55</v>
      </c>
      <c r="F73" s="87" t="str">
        <f t="shared" si="1"/>
        <v>4</v>
      </c>
    </row>
    <row r="74" spans="1:6" x14ac:dyDescent="0.7">
      <c r="A74" s="485" t="s">
        <v>708</v>
      </c>
      <c r="B74" s="196" t="s">
        <v>709</v>
      </c>
      <c r="C74" s="263">
        <v>500</v>
      </c>
      <c r="F74" s="87" t="str">
        <f t="shared" si="1"/>
        <v>4</v>
      </c>
    </row>
    <row r="75" spans="1:6" x14ac:dyDescent="0.7">
      <c r="A75" s="485" t="s">
        <v>710</v>
      </c>
      <c r="B75" s="196" t="s">
        <v>711</v>
      </c>
      <c r="C75" s="831">
        <v>-18066638</v>
      </c>
      <c r="F75" s="87" t="str">
        <f t="shared" si="1"/>
        <v>4</v>
      </c>
    </row>
    <row r="76" spans="1:6" x14ac:dyDescent="0.7">
      <c r="A76" s="485" t="s">
        <v>712</v>
      </c>
      <c r="B76" s="196" t="s">
        <v>713</v>
      </c>
      <c r="C76" s="831"/>
      <c r="F76" s="87" t="str">
        <f t="shared" si="1"/>
        <v>4</v>
      </c>
    </row>
    <row r="77" spans="1:6" x14ac:dyDescent="0.7">
      <c r="A77" s="485" t="s">
        <v>714</v>
      </c>
      <c r="B77" s="196" t="s">
        <v>715</v>
      </c>
      <c r="C77" s="831"/>
      <c r="F77" s="87" t="str">
        <f t="shared" si="1"/>
        <v>4</v>
      </c>
    </row>
    <row r="78" spans="1:6" x14ac:dyDescent="0.7">
      <c r="A78" s="485" t="s">
        <v>5815</v>
      </c>
      <c r="B78" s="196" t="s">
        <v>5817</v>
      </c>
      <c r="C78" s="826">
        <v>5000000</v>
      </c>
      <c r="F78" s="87" t="str">
        <f t="shared" si="1"/>
        <v>4</v>
      </c>
    </row>
    <row r="79" spans="1:6" x14ac:dyDescent="0.7">
      <c r="A79" s="485" t="s">
        <v>5816</v>
      </c>
      <c r="B79" s="196" t="s">
        <v>5818</v>
      </c>
      <c r="C79" s="826">
        <v>300000</v>
      </c>
      <c r="F79" s="87" t="str">
        <f t="shared" si="1"/>
        <v>4</v>
      </c>
    </row>
    <row r="80" spans="1:6" x14ac:dyDescent="0.7">
      <c r="A80" s="485" t="s">
        <v>86</v>
      </c>
      <c r="B80" s="196" t="s">
        <v>87</v>
      </c>
      <c r="C80" s="263">
        <v>0</v>
      </c>
      <c r="F80" s="87" t="str">
        <f t="shared" si="1"/>
        <v>4</v>
      </c>
    </row>
    <row r="81" spans="1:6" x14ac:dyDescent="0.7">
      <c r="A81" s="485" t="s">
        <v>88</v>
      </c>
      <c r="B81" s="196" t="s">
        <v>965</v>
      </c>
      <c r="C81" s="824">
        <v>1500000</v>
      </c>
      <c r="F81" s="87" t="str">
        <f t="shared" si="1"/>
        <v>4</v>
      </c>
    </row>
    <row r="82" spans="1:6" x14ac:dyDescent="0.7">
      <c r="A82" s="485" t="s">
        <v>89</v>
      </c>
      <c r="B82" s="196" t="s">
        <v>966</v>
      </c>
      <c r="C82" s="824">
        <v>850000</v>
      </c>
      <c r="F82" s="87" t="str">
        <f t="shared" si="1"/>
        <v>4</v>
      </c>
    </row>
    <row r="83" spans="1:6" x14ac:dyDescent="0.7">
      <c r="A83" s="485" t="s">
        <v>90</v>
      </c>
      <c r="B83" s="196" t="s">
        <v>5847</v>
      </c>
      <c r="C83" s="263">
        <v>0</v>
      </c>
      <c r="F83" s="87" t="str">
        <f t="shared" si="1"/>
        <v>4</v>
      </c>
    </row>
    <row r="84" spans="1:6" x14ac:dyDescent="0.7">
      <c r="A84" s="485" t="s">
        <v>91</v>
      </c>
      <c r="B84" s="196" t="s">
        <v>5848</v>
      </c>
      <c r="C84" s="263">
        <v>0</v>
      </c>
      <c r="F84" s="87" t="str">
        <f t="shared" si="1"/>
        <v>4</v>
      </c>
    </row>
    <row r="85" spans="1:6" x14ac:dyDescent="0.7">
      <c r="A85" s="832" t="s">
        <v>5844</v>
      </c>
      <c r="B85" s="383" t="s">
        <v>5842</v>
      </c>
      <c r="C85" s="263">
        <v>0</v>
      </c>
      <c r="F85" s="87" t="str">
        <f t="shared" si="1"/>
        <v>4</v>
      </c>
    </row>
    <row r="86" spans="1:6" x14ac:dyDescent="0.7">
      <c r="A86" s="832" t="s">
        <v>5845</v>
      </c>
      <c r="B86" s="383" t="s">
        <v>5843</v>
      </c>
      <c r="C86" s="263">
        <v>0</v>
      </c>
      <c r="F86" s="87" t="str">
        <f t="shared" si="1"/>
        <v>4</v>
      </c>
    </row>
    <row r="87" spans="1:6" x14ac:dyDescent="0.7">
      <c r="A87" s="485" t="s">
        <v>92</v>
      </c>
      <c r="B87" s="196" t="s">
        <v>93</v>
      </c>
      <c r="C87" s="826">
        <v>100000</v>
      </c>
      <c r="F87" s="87" t="str">
        <f t="shared" si="1"/>
        <v>4</v>
      </c>
    </row>
    <row r="88" spans="1:6" x14ac:dyDescent="0.7">
      <c r="A88" s="485" t="s">
        <v>94</v>
      </c>
      <c r="B88" s="196" t="s">
        <v>95</v>
      </c>
      <c r="C88" s="263">
        <v>0</v>
      </c>
      <c r="F88" s="87" t="str">
        <f t="shared" si="1"/>
        <v>4</v>
      </c>
    </row>
    <row r="89" spans="1:6" x14ac:dyDescent="0.7">
      <c r="A89" s="485" t="s">
        <v>96</v>
      </c>
      <c r="B89" s="196" t="s">
        <v>967</v>
      </c>
      <c r="C89" s="826">
        <v>350000</v>
      </c>
      <c r="F89" s="87" t="str">
        <f t="shared" si="1"/>
        <v>4</v>
      </c>
    </row>
    <row r="90" spans="1:6" x14ac:dyDescent="0.7">
      <c r="A90" s="485" t="s">
        <v>97</v>
      </c>
      <c r="B90" s="196" t="s">
        <v>968</v>
      </c>
      <c r="C90" s="826">
        <v>500000</v>
      </c>
      <c r="F90" s="87" t="str">
        <f t="shared" si="1"/>
        <v>4</v>
      </c>
    </row>
    <row r="91" spans="1:6" x14ac:dyDescent="0.7">
      <c r="A91" s="485" t="s">
        <v>98</v>
      </c>
      <c r="B91" s="196" t="s">
        <v>969</v>
      </c>
      <c r="C91" s="263">
        <v>0</v>
      </c>
      <c r="F91" s="87" t="str">
        <f t="shared" si="1"/>
        <v>4</v>
      </c>
    </row>
    <row r="92" spans="1:6" x14ac:dyDescent="0.7">
      <c r="A92" s="485" t="s">
        <v>99</v>
      </c>
      <c r="B92" s="196" t="s">
        <v>970</v>
      </c>
      <c r="C92" s="263">
        <v>0</v>
      </c>
      <c r="F92" s="87" t="str">
        <f t="shared" si="1"/>
        <v>4</v>
      </c>
    </row>
    <row r="93" spans="1:6" x14ac:dyDescent="0.7">
      <c r="A93" s="485" t="s">
        <v>100</v>
      </c>
      <c r="B93" s="196" t="s">
        <v>971</v>
      </c>
      <c r="C93" s="263">
        <v>0</v>
      </c>
      <c r="F93" s="87" t="str">
        <f t="shared" si="1"/>
        <v>4</v>
      </c>
    </row>
    <row r="94" spans="1:6" x14ac:dyDescent="0.7">
      <c r="A94" s="485" t="s">
        <v>101</v>
      </c>
      <c r="B94" s="196" t="s">
        <v>972</v>
      </c>
      <c r="C94" s="263">
        <v>302899</v>
      </c>
      <c r="F94" s="87" t="str">
        <f t="shared" si="1"/>
        <v>4</v>
      </c>
    </row>
    <row r="95" spans="1:6" x14ac:dyDescent="0.7">
      <c r="A95" s="485" t="s">
        <v>736</v>
      </c>
      <c r="B95" s="196" t="s">
        <v>102</v>
      </c>
      <c r="C95" s="263">
        <v>0</v>
      </c>
      <c r="F95" s="87" t="str">
        <f t="shared" si="1"/>
        <v>4</v>
      </c>
    </row>
    <row r="96" spans="1:6" x14ac:dyDescent="0.7">
      <c r="A96" s="485" t="s">
        <v>737</v>
      </c>
      <c r="B96" s="196" t="s">
        <v>103</v>
      </c>
      <c r="C96" s="263">
        <v>0</v>
      </c>
      <c r="F96" s="87" t="str">
        <f t="shared" si="1"/>
        <v>4</v>
      </c>
    </row>
    <row r="97" spans="1:6" x14ac:dyDescent="0.7">
      <c r="A97" s="485" t="s">
        <v>1142</v>
      </c>
      <c r="B97" s="196" t="s">
        <v>1143</v>
      </c>
      <c r="C97" s="263">
        <v>0</v>
      </c>
      <c r="F97" s="87" t="str">
        <f t="shared" si="1"/>
        <v>4</v>
      </c>
    </row>
    <row r="98" spans="1:6" x14ac:dyDescent="0.7">
      <c r="A98" s="485" t="s">
        <v>104</v>
      </c>
      <c r="B98" s="196" t="s">
        <v>973</v>
      </c>
      <c r="C98" s="826">
        <v>150000</v>
      </c>
      <c r="F98" s="87" t="str">
        <f t="shared" si="1"/>
        <v>4</v>
      </c>
    </row>
    <row r="99" spans="1:6" x14ac:dyDescent="0.7">
      <c r="A99" s="485" t="s">
        <v>105</v>
      </c>
      <c r="B99" s="196" t="s">
        <v>974</v>
      </c>
      <c r="C99" s="826">
        <v>250000</v>
      </c>
      <c r="F99" s="87" t="str">
        <f t="shared" si="1"/>
        <v>4</v>
      </c>
    </row>
    <row r="100" spans="1:6" x14ac:dyDescent="0.7">
      <c r="A100" s="485" t="s">
        <v>106</v>
      </c>
      <c r="B100" s="196" t="s">
        <v>975</v>
      </c>
      <c r="C100" s="263">
        <v>0</v>
      </c>
      <c r="F100" s="87" t="str">
        <f t="shared" si="1"/>
        <v>4</v>
      </c>
    </row>
    <row r="101" spans="1:6" x14ac:dyDescent="0.7">
      <c r="A101" s="485" t="s">
        <v>107</v>
      </c>
      <c r="B101" s="196" t="s">
        <v>976</v>
      </c>
      <c r="C101" s="263">
        <v>0</v>
      </c>
      <c r="F101" s="87" t="str">
        <f t="shared" si="1"/>
        <v>4</v>
      </c>
    </row>
    <row r="102" spans="1:6" x14ac:dyDescent="0.7">
      <c r="A102" s="485" t="s">
        <v>108</v>
      </c>
      <c r="B102" s="196" t="s">
        <v>977</v>
      </c>
      <c r="C102" s="263">
        <v>0</v>
      </c>
      <c r="F102" s="87" t="str">
        <f t="shared" si="1"/>
        <v>4</v>
      </c>
    </row>
    <row r="103" spans="1:6" x14ac:dyDescent="0.7">
      <c r="A103" s="485" t="s">
        <v>109</v>
      </c>
      <c r="B103" s="196" t="s">
        <v>978</v>
      </c>
      <c r="C103" s="263">
        <v>0</v>
      </c>
      <c r="F103" s="87" t="str">
        <f t="shared" si="1"/>
        <v>4</v>
      </c>
    </row>
    <row r="104" spans="1:6" x14ac:dyDescent="0.7">
      <c r="A104" s="485" t="s">
        <v>110</v>
      </c>
      <c r="B104" s="196" t="s">
        <v>979</v>
      </c>
      <c r="C104" s="263">
        <v>0</v>
      </c>
      <c r="F104" s="87" t="str">
        <f t="shared" si="1"/>
        <v>4</v>
      </c>
    </row>
    <row r="105" spans="1:6" x14ac:dyDescent="0.7">
      <c r="A105" s="485" t="s">
        <v>738</v>
      </c>
      <c r="B105" s="196" t="s">
        <v>739</v>
      </c>
      <c r="C105" s="826">
        <v>5000</v>
      </c>
      <c r="F105" s="87" t="str">
        <f t="shared" si="1"/>
        <v>4</v>
      </c>
    </row>
    <row r="106" spans="1:6" x14ac:dyDescent="0.7">
      <c r="A106" s="485" t="s">
        <v>740</v>
      </c>
      <c r="B106" s="196" t="s">
        <v>741</v>
      </c>
      <c r="C106" s="263">
        <v>0</v>
      </c>
      <c r="F106" s="87" t="str">
        <f t="shared" si="1"/>
        <v>4</v>
      </c>
    </row>
    <row r="107" spans="1:6" x14ac:dyDescent="0.7">
      <c r="A107" s="485" t="s">
        <v>742</v>
      </c>
      <c r="B107" s="196" t="s">
        <v>743</v>
      </c>
      <c r="C107" s="263">
        <v>0</v>
      </c>
      <c r="F107" s="87" t="str">
        <f t="shared" si="1"/>
        <v>4</v>
      </c>
    </row>
    <row r="108" spans="1:6" x14ac:dyDescent="0.7">
      <c r="A108" s="485" t="s">
        <v>744</v>
      </c>
      <c r="B108" s="196" t="s">
        <v>745</v>
      </c>
      <c r="C108" s="263">
        <v>0</v>
      </c>
      <c r="F108" s="87" t="str">
        <f t="shared" si="1"/>
        <v>4</v>
      </c>
    </row>
    <row r="109" spans="1:6" x14ac:dyDescent="0.7">
      <c r="A109" s="485" t="s">
        <v>746</v>
      </c>
      <c r="B109" s="196" t="s">
        <v>747</v>
      </c>
      <c r="C109" s="826">
        <v>300000</v>
      </c>
      <c r="F109" s="87" t="str">
        <f t="shared" si="1"/>
        <v>4</v>
      </c>
    </row>
    <row r="110" spans="1:6" x14ac:dyDescent="0.7">
      <c r="A110" s="485" t="s">
        <v>748</v>
      </c>
      <c r="B110" s="196" t="s">
        <v>111</v>
      </c>
      <c r="C110" s="263">
        <v>0</v>
      </c>
      <c r="F110" s="87" t="str">
        <f t="shared" si="1"/>
        <v>4</v>
      </c>
    </row>
    <row r="111" spans="1:6" x14ac:dyDescent="0.7">
      <c r="A111" s="485" t="s">
        <v>749</v>
      </c>
      <c r="B111" s="196" t="s">
        <v>750</v>
      </c>
      <c r="C111" s="263">
        <v>0</v>
      </c>
      <c r="F111" s="87" t="str">
        <f t="shared" si="1"/>
        <v>4</v>
      </c>
    </row>
    <row r="112" spans="1:6" x14ac:dyDescent="0.7">
      <c r="A112" s="485" t="s">
        <v>1132</v>
      </c>
      <c r="B112" s="196" t="s">
        <v>7341</v>
      </c>
      <c r="C112" s="263">
        <v>0</v>
      </c>
      <c r="F112" s="87" t="str">
        <f t="shared" si="1"/>
        <v>4</v>
      </c>
    </row>
    <row r="113" spans="1:6" x14ac:dyDescent="0.7">
      <c r="A113" s="485" t="s">
        <v>127</v>
      </c>
      <c r="B113" s="196" t="s">
        <v>980</v>
      </c>
      <c r="C113" s="826">
        <v>3000</v>
      </c>
      <c r="F113" s="87" t="str">
        <f t="shared" si="1"/>
        <v>4</v>
      </c>
    </row>
    <row r="114" spans="1:6" x14ac:dyDescent="0.7">
      <c r="A114" s="485" t="s">
        <v>128</v>
      </c>
      <c r="B114" s="196" t="s">
        <v>981</v>
      </c>
      <c r="C114" s="263">
        <v>0</v>
      </c>
      <c r="F114" s="87" t="str">
        <f t="shared" si="1"/>
        <v>4</v>
      </c>
    </row>
    <row r="115" spans="1:6" x14ac:dyDescent="0.7">
      <c r="A115" s="485" t="s">
        <v>129</v>
      </c>
      <c r="B115" s="196" t="s">
        <v>982</v>
      </c>
      <c r="C115" s="263">
        <v>0</v>
      </c>
      <c r="F115" s="87" t="str">
        <f t="shared" si="1"/>
        <v>4</v>
      </c>
    </row>
    <row r="116" spans="1:6" x14ac:dyDescent="0.7">
      <c r="A116" s="485" t="s">
        <v>130</v>
      </c>
      <c r="B116" s="196" t="s">
        <v>131</v>
      </c>
      <c r="C116" s="263">
        <v>0</v>
      </c>
      <c r="F116" s="87" t="str">
        <f t="shared" si="1"/>
        <v>4</v>
      </c>
    </row>
    <row r="117" spans="1:6" x14ac:dyDescent="0.7">
      <c r="A117" s="485" t="s">
        <v>132</v>
      </c>
      <c r="B117" s="196" t="s">
        <v>133</v>
      </c>
      <c r="C117" s="263">
        <v>0</v>
      </c>
      <c r="F117" s="87" t="str">
        <f t="shared" si="1"/>
        <v>4</v>
      </c>
    </row>
    <row r="118" spans="1:6" x14ac:dyDescent="0.7">
      <c r="A118" s="485" t="s">
        <v>751</v>
      </c>
      <c r="B118" s="196" t="s">
        <v>752</v>
      </c>
      <c r="C118" s="263">
        <v>0</v>
      </c>
      <c r="F118" s="87" t="str">
        <f t="shared" si="1"/>
        <v>4</v>
      </c>
    </row>
    <row r="119" spans="1:6" x14ac:dyDescent="0.7">
      <c r="A119" s="485" t="s">
        <v>753</v>
      </c>
      <c r="B119" s="196" t="s">
        <v>754</v>
      </c>
      <c r="C119" s="263">
        <v>0</v>
      </c>
      <c r="F119" s="87" t="str">
        <f t="shared" si="1"/>
        <v>4</v>
      </c>
    </row>
    <row r="120" spans="1:6" x14ac:dyDescent="0.7">
      <c r="A120" s="485" t="s">
        <v>755</v>
      </c>
      <c r="B120" s="196" t="s">
        <v>756</v>
      </c>
      <c r="C120" s="263">
        <v>0</v>
      </c>
      <c r="F120" s="87" t="str">
        <f t="shared" si="1"/>
        <v>4</v>
      </c>
    </row>
    <row r="121" spans="1:6" x14ac:dyDescent="0.7">
      <c r="A121" s="485" t="s">
        <v>757</v>
      </c>
      <c r="B121" s="196" t="s">
        <v>758</v>
      </c>
      <c r="C121" s="263">
        <v>1167.5899999999999</v>
      </c>
      <c r="F121" s="87" t="str">
        <f t="shared" si="1"/>
        <v>4</v>
      </c>
    </row>
    <row r="122" spans="1:6" x14ac:dyDescent="0.7">
      <c r="A122" s="485" t="s">
        <v>156</v>
      </c>
      <c r="B122" s="196" t="s">
        <v>157</v>
      </c>
      <c r="C122" s="263">
        <v>0</v>
      </c>
      <c r="F122" s="87" t="str">
        <f t="shared" si="1"/>
        <v>4</v>
      </c>
    </row>
    <row r="123" spans="1:6" x14ac:dyDescent="0.7">
      <c r="A123" s="485" t="s">
        <v>158</v>
      </c>
      <c r="B123" s="196" t="s">
        <v>983</v>
      </c>
      <c r="C123" s="263">
        <v>0</v>
      </c>
      <c r="F123" s="87" t="str">
        <f t="shared" si="1"/>
        <v>4</v>
      </c>
    </row>
    <row r="124" spans="1:6" x14ac:dyDescent="0.7">
      <c r="A124" s="485" t="s">
        <v>159</v>
      </c>
      <c r="B124" s="196" t="s">
        <v>984</v>
      </c>
      <c r="C124" s="263">
        <v>0</v>
      </c>
      <c r="F124" s="87" t="str">
        <f t="shared" si="1"/>
        <v>4</v>
      </c>
    </row>
    <row r="125" spans="1:6" x14ac:dyDescent="0.7">
      <c r="A125" s="485" t="s">
        <v>160</v>
      </c>
      <c r="B125" s="196" t="s">
        <v>161</v>
      </c>
      <c r="C125" s="263">
        <v>158792</v>
      </c>
      <c r="F125" s="87" t="str">
        <f t="shared" si="1"/>
        <v>4</v>
      </c>
    </row>
    <row r="126" spans="1:6" x14ac:dyDescent="0.7">
      <c r="A126" s="485" t="s">
        <v>162</v>
      </c>
      <c r="B126" s="196" t="s">
        <v>163</v>
      </c>
      <c r="C126" s="263">
        <v>0</v>
      </c>
      <c r="F126" s="87" t="str">
        <f t="shared" si="1"/>
        <v>4</v>
      </c>
    </row>
    <row r="127" spans="1:6" x14ac:dyDescent="0.7">
      <c r="A127" s="485" t="s">
        <v>164</v>
      </c>
      <c r="B127" s="196" t="s">
        <v>165</v>
      </c>
      <c r="C127" s="263">
        <v>0</v>
      </c>
      <c r="F127" s="87" t="str">
        <f t="shared" si="1"/>
        <v>4</v>
      </c>
    </row>
    <row r="128" spans="1:6" x14ac:dyDescent="0.7">
      <c r="A128" s="485" t="s">
        <v>166</v>
      </c>
      <c r="B128" s="196" t="s">
        <v>167</v>
      </c>
      <c r="C128" s="263">
        <v>0</v>
      </c>
      <c r="F128" s="87" t="str">
        <f t="shared" si="1"/>
        <v>4</v>
      </c>
    </row>
    <row r="129" spans="1:6" x14ac:dyDescent="0.7">
      <c r="A129" s="485" t="s">
        <v>168</v>
      </c>
      <c r="B129" s="196" t="s">
        <v>985</v>
      </c>
      <c r="C129" s="826">
        <v>0</v>
      </c>
      <c r="F129" s="87" t="str">
        <f t="shared" si="1"/>
        <v>4</v>
      </c>
    </row>
    <row r="130" spans="1:6" x14ac:dyDescent="0.7">
      <c r="A130" s="485" t="s">
        <v>759</v>
      </c>
      <c r="B130" s="196" t="s">
        <v>760</v>
      </c>
      <c r="C130" s="826">
        <v>0</v>
      </c>
      <c r="F130" s="87" t="str">
        <f t="shared" si="1"/>
        <v>4</v>
      </c>
    </row>
    <row r="131" spans="1:6" x14ac:dyDescent="0.7">
      <c r="A131" s="485" t="s">
        <v>761</v>
      </c>
      <c r="B131" s="196" t="s">
        <v>762</v>
      </c>
      <c r="C131" s="263">
        <v>0</v>
      </c>
      <c r="F131" s="87" t="str">
        <f t="shared" ref="F131:F194" si="2">LEFT(A131,1)</f>
        <v>4</v>
      </c>
    </row>
    <row r="132" spans="1:6" x14ac:dyDescent="0.7">
      <c r="A132" s="485" t="s">
        <v>169</v>
      </c>
      <c r="B132" s="196" t="s">
        <v>986</v>
      </c>
      <c r="C132" s="263">
        <v>165966.92000000001</v>
      </c>
      <c r="F132" s="87" t="str">
        <f t="shared" si="2"/>
        <v>4</v>
      </c>
    </row>
    <row r="133" spans="1:6" x14ac:dyDescent="0.7">
      <c r="A133" s="485" t="s">
        <v>170</v>
      </c>
      <c r="B133" s="196" t="s">
        <v>171</v>
      </c>
      <c r="C133" s="263">
        <v>0</v>
      </c>
      <c r="F133" s="87" t="str">
        <f t="shared" si="2"/>
        <v>4</v>
      </c>
    </row>
    <row r="134" spans="1:6" x14ac:dyDescent="0.7">
      <c r="A134" s="485" t="s">
        <v>172</v>
      </c>
      <c r="B134" s="196" t="s">
        <v>173</v>
      </c>
      <c r="C134" s="263">
        <v>0</v>
      </c>
      <c r="F134" s="87" t="str">
        <f t="shared" si="2"/>
        <v>4</v>
      </c>
    </row>
    <row r="135" spans="1:6" x14ac:dyDescent="0.7">
      <c r="A135" s="485" t="s">
        <v>763</v>
      </c>
      <c r="B135" s="196" t="s">
        <v>764</v>
      </c>
      <c r="C135" s="263">
        <v>0</v>
      </c>
      <c r="F135" s="87" t="str">
        <f t="shared" si="2"/>
        <v>4</v>
      </c>
    </row>
    <row r="136" spans="1:6" x14ac:dyDescent="0.7">
      <c r="A136" s="485" t="s">
        <v>138</v>
      </c>
      <c r="B136" s="196" t="s">
        <v>987</v>
      </c>
      <c r="C136" s="824">
        <v>15968184.73</v>
      </c>
      <c r="F136" s="87" t="str">
        <f t="shared" si="2"/>
        <v>4</v>
      </c>
    </row>
    <row r="137" spans="1:6" x14ac:dyDescent="0.7">
      <c r="A137" s="485" t="s">
        <v>211</v>
      </c>
      <c r="B137" s="196" t="s">
        <v>988</v>
      </c>
      <c r="C137" s="824">
        <v>1546100</v>
      </c>
      <c r="F137" s="87" t="str">
        <f t="shared" si="2"/>
        <v>4</v>
      </c>
    </row>
    <row r="138" spans="1:6" x14ac:dyDescent="0.7">
      <c r="A138" s="485" t="s">
        <v>174</v>
      </c>
      <c r="B138" s="196" t="s">
        <v>989</v>
      </c>
      <c r="C138" s="263">
        <v>0</v>
      </c>
      <c r="F138" s="87" t="str">
        <f t="shared" si="2"/>
        <v>4</v>
      </c>
    </row>
    <row r="139" spans="1:6" x14ac:dyDescent="0.7">
      <c r="A139" s="485" t="s">
        <v>175</v>
      </c>
      <c r="B139" s="196" t="s">
        <v>990</v>
      </c>
      <c r="C139" s="263">
        <v>0</v>
      </c>
      <c r="F139" s="87" t="str">
        <f t="shared" si="2"/>
        <v>4</v>
      </c>
    </row>
    <row r="140" spans="1:6" x14ac:dyDescent="0.7">
      <c r="A140" s="485" t="s">
        <v>176</v>
      </c>
      <c r="B140" s="196" t="s">
        <v>991</v>
      </c>
      <c r="C140" s="263">
        <v>0</v>
      </c>
      <c r="F140" s="87" t="str">
        <f t="shared" si="2"/>
        <v>4</v>
      </c>
    </row>
    <row r="141" spans="1:6" x14ac:dyDescent="0.7">
      <c r="A141" s="485" t="s">
        <v>177</v>
      </c>
      <c r="B141" s="196" t="s">
        <v>992</v>
      </c>
      <c r="C141" s="824">
        <v>0</v>
      </c>
      <c r="F141" s="87" t="str">
        <f t="shared" si="2"/>
        <v>4</v>
      </c>
    </row>
    <row r="142" spans="1:6" x14ac:dyDescent="0.7">
      <c r="A142" s="485" t="s">
        <v>178</v>
      </c>
      <c r="B142" s="196" t="s">
        <v>993</v>
      </c>
      <c r="C142" s="263">
        <v>0</v>
      </c>
      <c r="F142" s="87" t="str">
        <f t="shared" si="2"/>
        <v>4</v>
      </c>
    </row>
    <row r="143" spans="1:6" x14ac:dyDescent="0.7">
      <c r="A143" s="485" t="s">
        <v>5820</v>
      </c>
      <c r="B143" s="196" t="s">
        <v>5819</v>
      </c>
      <c r="C143" s="263">
        <v>0</v>
      </c>
      <c r="F143" s="87" t="str">
        <f t="shared" si="2"/>
        <v>4</v>
      </c>
    </row>
    <row r="144" spans="1:6" x14ac:dyDescent="0.7">
      <c r="A144" s="485" t="s">
        <v>765</v>
      </c>
      <c r="B144" s="196" t="s">
        <v>766</v>
      </c>
      <c r="C144" s="263">
        <v>0</v>
      </c>
      <c r="F144" s="87" t="str">
        <f t="shared" si="2"/>
        <v>4</v>
      </c>
    </row>
    <row r="145" spans="1:6" x14ac:dyDescent="0.7">
      <c r="A145" s="485" t="s">
        <v>767</v>
      </c>
      <c r="B145" s="196" t="s">
        <v>768</v>
      </c>
      <c r="C145" s="263">
        <v>0</v>
      </c>
      <c r="F145" s="87" t="str">
        <f t="shared" si="2"/>
        <v>4</v>
      </c>
    </row>
    <row r="146" spans="1:6" x14ac:dyDescent="0.7">
      <c r="A146" s="485" t="s">
        <v>769</v>
      </c>
      <c r="B146" s="196" t="s">
        <v>770</v>
      </c>
      <c r="C146" s="263">
        <v>0</v>
      </c>
      <c r="F146" s="87" t="str">
        <f t="shared" si="2"/>
        <v>4</v>
      </c>
    </row>
    <row r="147" spans="1:6" x14ac:dyDescent="0.7">
      <c r="A147" s="485" t="s">
        <v>179</v>
      </c>
      <c r="B147" s="196" t="s">
        <v>994</v>
      </c>
      <c r="C147" s="263">
        <v>0</v>
      </c>
      <c r="F147" s="87" t="str">
        <f t="shared" si="2"/>
        <v>4</v>
      </c>
    </row>
    <row r="148" spans="1:6" x14ac:dyDescent="0.7">
      <c r="A148" s="485" t="s">
        <v>771</v>
      </c>
      <c r="B148" s="196" t="s">
        <v>772</v>
      </c>
      <c r="C148" s="263">
        <v>0</v>
      </c>
      <c r="F148" s="87" t="str">
        <f t="shared" si="2"/>
        <v>4</v>
      </c>
    </row>
    <row r="149" spans="1:6" x14ac:dyDescent="0.7">
      <c r="A149" s="485" t="s">
        <v>180</v>
      </c>
      <c r="B149" s="196" t="s">
        <v>995</v>
      </c>
      <c r="C149" s="263">
        <v>0</v>
      </c>
      <c r="F149" s="87" t="str">
        <f t="shared" si="2"/>
        <v>4</v>
      </c>
    </row>
    <row r="150" spans="1:6" x14ac:dyDescent="0.7">
      <c r="A150" s="833" t="s">
        <v>6027</v>
      </c>
      <c r="B150" s="834" t="s">
        <v>6026</v>
      </c>
      <c r="C150" s="263">
        <v>0</v>
      </c>
      <c r="F150" s="87" t="str">
        <f t="shared" si="2"/>
        <v>4</v>
      </c>
    </row>
    <row r="151" spans="1:6" x14ac:dyDescent="0.7">
      <c r="A151" s="485" t="s">
        <v>181</v>
      </c>
      <c r="B151" s="196" t="s">
        <v>182</v>
      </c>
      <c r="C151" s="263">
        <v>0</v>
      </c>
      <c r="F151" s="87" t="str">
        <f t="shared" si="2"/>
        <v>4</v>
      </c>
    </row>
    <row r="152" spans="1:6" x14ac:dyDescent="0.7">
      <c r="A152" s="485" t="s">
        <v>183</v>
      </c>
      <c r="B152" s="196" t="s">
        <v>184</v>
      </c>
      <c r="C152" s="263">
        <v>0</v>
      </c>
      <c r="F152" s="87" t="str">
        <f t="shared" si="2"/>
        <v>4</v>
      </c>
    </row>
    <row r="153" spans="1:6" x14ac:dyDescent="0.7">
      <c r="A153" s="485" t="s">
        <v>134</v>
      </c>
      <c r="B153" s="196" t="s">
        <v>135</v>
      </c>
      <c r="C153" s="263">
        <v>0</v>
      </c>
      <c r="F153" s="87" t="str">
        <f t="shared" si="2"/>
        <v>4</v>
      </c>
    </row>
    <row r="154" spans="1:6" x14ac:dyDescent="0.7">
      <c r="A154" s="485" t="s">
        <v>136</v>
      </c>
      <c r="B154" s="196" t="s">
        <v>137</v>
      </c>
      <c r="C154" s="263">
        <v>0</v>
      </c>
      <c r="F154" s="87" t="str">
        <f t="shared" si="2"/>
        <v>4</v>
      </c>
    </row>
    <row r="155" spans="1:6" x14ac:dyDescent="0.7">
      <c r="A155" s="485" t="s">
        <v>185</v>
      </c>
      <c r="B155" s="196" t="s">
        <v>186</v>
      </c>
      <c r="C155" s="263">
        <v>0</v>
      </c>
      <c r="F155" s="87" t="str">
        <f t="shared" si="2"/>
        <v>4</v>
      </c>
    </row>
    <row r="156" spans="1:6" x14ac:dyDescent="0.7">
      <c r="A156" s="485" t="s">
        <v>187</v>
      </c>
      <c r="B156" s="196" t="s">
        <v>188</v>
      </c>
      <c r="C156" s="263">
        <v>0</v>
      </c>
      <c r="F156" s="87" t="str">
        <f t="shared" si="2"/>
        <v>4</v>
      </c>
    </row>
    <row r="157" spans="1:6" x14ac:dyDescent="0.7">
      <c r="A157" s="485" t="s">
        <v>189</v>
      </c>
      <c r="B157" s="196" t="s">
        <v>190</v>
      </c>
      <c r="C157" s="263">
        <v>0</v>
      </c>
      <c r="F157" s="87" t="str">
        <f t="shared" si="2"/>
        <v>4</v>
      </c>
    </row>
    <row r="158" spans="1:6" x14ac:dyDescent="0.7">
      <c r="A158" s="485" t="s">
        <v>191</v>
      </c>
      <c r="B158" s="196" t="s">
        <v>192</v>
      </c>
      <c r="C158" s="263">
        <v>15530</v>
      </c>
      <c r="F158" s="87" t="str">
        <f t="shared" si="2"/>
        <v>4</v>
      </c>
    </row>
    <row r="159" spans="1:6" x14ac:dyDescent="0.7">
      <c r="A159" s="485" t="s">
        <v>193</v>
      </c>
      <c r="B159" s="196" t="s">
        <v>194</v>
      </c>
      <c r="C159" s="263">
        <v>5880</v>
      </c>
      <c r="F159" s="87" t="str">
        <f t="shared" si="2"/>
        <v>4</v>
      </c>
    </row>
    <row r="160" spans="1:6" x14ac:dyDescent="0.7">
      <c r="A160" s="485" t="s">
        <v>195</v>
      </c>
      <c r="B160" s="196" t="s">
        <v>996</v>
      </c>
      <c r="C160" s="263">
        <v>0</v>
      </c>
      <c r="F160" s="87" t="str">
        <f t="shared" si="2"/>
        <v>4</v>
      </c>
    </row>
    <row r="161" spans="1:6" x14ac:dyDescent="0.7">
      <c r="A161" s="485" t="s">
        <v>196</v>
      </c>
      <c r="B161" s="196" t="s">
        <v>997</v>
      </c>
      <c r="C161" s="263">
        <v>0</v>
      </c>
      <c r="F161" s="87" t="str">
        <f t="shared" si="2"/>
        <v>4</v>
      </c>
    </row>
    <row r="162" spans="1:6" x14ac:dyDescent="0.7">
      <c r="A162" s="485" t="s">
        <v>197</v>
      </c>
      <c r="B162" s="196" t="s">
        <v>198</v>
      </c>
      <c r="C162" s="835">
        <v>8513000</v>
      </c>
      <c r="F162" s="87" t="str">
        <f t="shared" si="2"/>
        <v>4</v>
      </c>
    </row>
    <row r="163" spans="1:6" x14ac:dyDescent="0.7">
      <c r="A163" s="485" t="s">
        <v>199</v>
      </c>
      <c r="B163" s="196" t="s">
        <v>200</v>
      </c>
      <c r="C163" s="835">
        <v>0</v>
      </c>
      <c r="F163" s="87" t="str">
        <f t="shared" si="2"/>
        <v>4</v>
      </c>
    </row>
    <row r="164" spans="1:6" x14ac:dyDescent="0.7">
      <c r="A164" s="485" t="s">
        <v>212</v>
      </c>
      <c r="B164" s="196" t="s">
        <v>213</v>
      </c>
      <c r="C164" s="263">
        <v>0</v>
      </c>
      <c r="F164" s="87" t="str">
        <f t="shared" si="2"/>
        <v>4</v>
      </c>
    </row>
    <row r="165" spans="1:6" x14ac:dyDescent="0.7">
      <c r="A165" s="485" t="s">
        <v>201</v>
      </c>
      <c r="B165" s="196" t="s">
        <v>998</v>
      </c>
      <c r="C165" s="824">
        <v>3000000</v>
      </c>
      <c r="F165" s="87" t="str">
        <f t="shared" si="2"/>
        <v>4</v>
      </c>
    </row>
    <row r="166" spans="1:6" x14ac:dyDescent="0.7">
      <c r="A166" s="485" t="s">
        <v>202</v>
      </c>
      <c r="B166" s="196" t="s">
        <v>203</v>
      </c>
      <c r="C166" s="263">
        <v>0</v>
      </c>
      <c r="F166" s="87" t="str">
        <f t="shared" si="2"/>
        <v>4</v>
      </c>
    </row>
    <row r="167" spans="1:6" x14ac:dyDescent="0.7">
      <c r="A167" s="485" t="s">
        <v>204</v>
      </c>
      <c r="B167" s="196" t="s">
        <v>999</v>
      </c>
      <c r="C167" s="263">
        <v>0</v>
      </c>
      <c r="F167" s="87" t="str">
        <f t="shared" si="2"/>
        <v>4</v>
      </c>
    </row>
    <row r="168" spans="1:6" x14ac:dyDescent="0.7">
      <c r="A168" s="485" t="s">
        <v>205</v>
      </c>
      <c r="B168" s="196" t="s">
        <v>206</v>
      </c>
      <c r="C168" s="826">
        <v>35000</v>
      </c>
      <c r="F168" s="87" t="str">
        <f t="shared" si="2"/>
        <v>4</v>
      </c>
    </row>
    <row r="169" spans="1:6" x14ac:dyDescent="0.7">
      <c r="A169" s="836" t="s">
        <v>5956</v>
      </c>
      <c r="B169" s="837" t="s">
        <v>5955</v>
      </c>
      <c r="C169" s="263">
        <v>0</v>
      </c>
      <c r="F169" s="87" t="str">
        <f t="shared" si="2"/>
        <v>4</v>
      </c>
    </row>
    <row r="170" spans="1:6" x14ac:dyDescent="0.7">
      <c r="A170" s="485" t="s">
        <v>207</v>
      </c>
      <c r="B170" s="196" t="s">
        <v>208</v>
      </c>
      <c r="C170" s="826">
        <v>250000</v>
      </c>
      <c r="F170" s="87" t="str">
        <f t="shared" si="2"/>
        <v>4</v>
      </c>
    </row>
    <row r="171" spans="1:6" x14ac:dyDescent="0.7">
      <c r="A171" s="485" t="s">
        <v>223</v>
      </c>
      <c r="B171" s="196" t="s">
        <v>224</v>
      </c>
      <c r="C171" s="824">
        <v>15295560</v>
      </c>
      <c r="F171" s="87" t="str">
        <f t="shared" si="2"/>
        <v>5</v>
      </c>
    </row>
    <row r="172" spans="1:6" x14ac:dyDescent="0.7">
      <c r="A172" s="485" t="s">
        <v>225</v>
      </c>
      <c r="B172" s="196" t="s">
        <v>226</v>
      </c>
      <c r="C172" s="263">
        <v>0</v>
      </c>
      <c r="F172" s="87" t="str">
        <f t="shared" si="2"/>
        <v>5</v>
      </c>
    </row>
    <row r="173" spans="1:6" x14ac:dyDescent="0.7">
      <c r="A173" s="485" t="s">
        <v>227</v>
      </c>
      <c r="B173" s="196" t="s">
        <v>228</v>
      </c>
      <c r="C173" s="263">
        <v>0</v>
      </c>
      <c r="F173" s="87" t="str">
        <f t="shared" si="2"/>
        <v>5</v>
      </c>
    </row>
    <row r="174" spans="1:6" x14ac:dyDescent="0.7">
      <c r="A174" s="485" t="s">
        <v>229</v>
      </c>
      <c r="B174" s="196" t="s">
        <v>230</v>
      </c>
      <c r="C174" s="826">
        <v>354045.7</v>
      </c>
      <c r="F174" s="87" t="str">
        <f t="shared" si="2"/>
        <v>5</v>
      </c>
    </row>
    <row r="175" spans="1:6" x14ac:dyDescent="0.7">
      <c r="A175" s="485" t="s">
        <v>231</v>
      </c>
      <c r="B175" s="196" t="s">
        <v>232</v>
      </c>
      <c r="C175" s="263">
        <v>0</v>
      </c>
      <c r="F175" s="87" t="str">
        <f t="shared" si="2"/>
        <v>5</v>
      </c>
    </row>
    <row r="176" spans="1:6" x14ac:dyDescent="0.7">
      <c r="A176" s="485" t="s">
        <v>233</v>
      </c>
      <c r="B176" s="196" t="s">
        <v>234</v>
      </c>
      <c r="C176" s="263">
        <v>0</v>
      </c>
      <c r="F176" s="87" t="str">
        <f t="shared" si="2"/>
        <v>5</v>
      </c>
    </row>
    <row r="177" spans="1:6" x14ac:dyDescent="0.7">
      <c r="A177" s="485" t="s">
        <v>235</v>
      </c>
      <c r="B177" s="196" t="s">
        <v>236</v>
      </c>
      <c r="C177" s="263">
        <v>0</v>
      </c>
      <c r="F177" s="87" t="str">
        <f t="shared" si="2"/>
        <v>5</v>
      </c>
    </row>
    <row r="178" spans="1:6" x14ac:dyDescent="0.7">
      <c r="A178" s="485" t="s">
        <v>237</v>
      </c>
      <c r="B178" s="196" t="s">
        <v>238</v>
      </c>
      <c r="C178" s="263">
        <v>0</v>
      </c>
      <c r="F178" s="87" t="str">
        <f t="shared" si="2"/>
        <v>5</v>
      </c>
    </row>
    <row r="179" spans="1:6" x14ac:dyDescent="0.7">
      <c r="A179" s="485" t="s">
        <v>239</v>
      </c>
      <c r="B179" s="196" t="s">
        <v>240</v>
      </c>
      <c r="C179" s="263">
        <v>0</v>
      </c>
      <c r="F179" s="87" t="str">
        <f t="shared" si="2"/>
        <v>5</v>
      </c>
    </row>
    <row r="180" spans="1:6" x14ac:dyDescent="0.7">
      <c r="A180" s="485" t="s">
        <v>241</v>
      </c>
      <c r="B180" s="196" t="s">
        <v>242</v>
      </c>
      <c r="C180" s="263">
        <v>0</v>
      </c>
      <c r="F180" s="87" t="str">
        <f t="shared" si="2"/>
        <v>5</v>
      </c>
    </row>
    <row r="181" spans="1:6" x14ac:dyDescent="0.7">
      <c r="A181" s="485" t="s">
        <v>243</v>
      </c>
      <c r="B181" s="196" t="s">
        <v>244</v>
      </c>
      <c r="C181" s="263">
        <v>0</v>
      </c>
      <c r="F181" s="87" t="str">
        <f t="shared" si="2"/>
        <v>5</v>
      </c>
    </row>
    <row r="182" spans="1:6" x14ac:dyDescent="0.7">
      <c r="A182" s="485" t="s">
        <v>245</v>
      </c>
      <c r="B182" s="196" t="s">
        <v>246</v>
      </c>
      <c r="C182" s="263">
        <v>0</v>
      </c>
      <c r="F182" s="87" t="str">
        <f t="shared" si="2"/>
        <v>5</v>
      </c>
    </row>
    <row r="183" spans="1:6" x14ac:dyDescent="0.7">
      <c r="A183" s="485" t="s">
        <v>255</v>
      </c>
      <c r="B183" s="196" t="s">
        <v>256</v>
      </c>
      <c r="C183" s="826">
        <v>2049360</v>
      </c>
      <c r="F183" s="87" t="str">
        <f t="shared" si="2"/>
        <v>5</v>
      </c>
    </row>
    <row r="184" spans="1:6" x14ac:dyDescent="0.7">
      <c r="A184" s="485" t="s">
        <v>257</v>
      </c>
      <c r="B184" s="196" t="s">
        <v>258</v>
      </c>
      <c r="C184" s="826">
        <v>2587560</v>
      </c>
      <c r="F184" s="87" t="str">
        <f t="shared" si="2"/>
        <v>5</v>
      </c>
    </row>
    <row r="185" spans="1:6" x14ac:dyDescent="0.7">
      <c r="A185" s="485" t="s">
        <v>259</v>
      </c>
      <c r="B185" s="196" t="s">
        <v>1000</v>
      </c>
      <c r="C185" s="263">
        <v>0</v>
      </c>
      <c r="F185" s="87" t="str">
        <f t="shared" si="2"/>
        <v>5</v>
      </c>
    </row>
    <row r="186" spans="1:6" x14ac:dyDescent="0.7">
      <c r="A186" s="485" t="s">
        <v>260</v>
      </c>
      <c r="B186" s="196" t="s">
        <v>261</v>
      </c>
      <c r="C186" s="826">
        <v>3088680</v>
      </c>
      <c r="F186" s="87" t="str">
        <f t="shared" si="2"/>
        <v>5</v>
      </c>
    </row>
    <row r="187" spans="1:6" x14ac:dyDescent="0.7">
      <c r="A187" s="485" t="s">
        <v>262</v>
      </c>
      <c r="B187" s="196" t="s">
        <v>263</v>
      </c>
      <c r="C187" s="263">
        <v>0</v>
      </c>
      <c r="F187" s="87" t="str">
        <f t="shared" si="2"/>
        <v>5</v>
      </c>
    </row>
    <row r="188" spans="1:6" x14ac:dyDescent="0.7">
      <c r="A188" s="485" t="s">
        <v>264</v>
      </c>
      <c r="B188" s="196" t="s">
        <v>594</v>
      </c>
      <c r="C188" s="263">
        <v>0</v>
      </c>
      <c r="F188" s="87" t="str">
        <f t="shared" si="2"/>
        <v>5</v>
      </c>
    </row>
    <row r="189" spans="1:6" x14ac:dyDescent="0.7">
      <c r="A189" s="485" t="s">
        <v>247</v>
      </c>
      <c r="B189" s="196" t="s">
        <v>1001</v>
      </c>
      <c r="C189" s="263">
        <v>0</v>
      </c>
      <c r="F189" s="87" t="str">
        <f t="shared" si="2"/>
        <v>5</v>
      </c>
    </row>
    <row r="190" spans="1:6" x14ac:dyDescent="0.7">
      <c r="A190" s="485" t="s">
        <v>248</v>
      </c>
      <c r="B190" s="196" t="s">
        <v>1002</v>
      </c>
      <c r="C190" s="263">
        <v>187250</v>
      </c>
      <c r="F190" s="87" t="str">
        <f t="shared" si="2"/>
        <v>5</v>
      </c>
    </row>
    <row r="191" spans="1:6" x14ac:dyDescent="0.7">
      <c r="A191" s="485" t="s">
        <v>249</v>
      </c>
      <c r="B191" s="196" t="s">
        <v>1003</v>
      </c>
      <c r="C191" s="263">
        <v>0</v>
      </c>
      <c r="F191" s="87" t="str">
        <f t="shared" si="2"/>
        <v>5</v>
      </c>
    </row>
    <row r="192" spans="1:6" x14ac:dyDescent="0.7">
      <c r="A192" s="485" t="s">
        <v>250</v>
      </c>
      <c r="B192" s="196" t="s">
        <v>1004</v>
      </c>
      <c r="C192" s="263">
        <v>0</v>
      </c>
      <c r="F192" s="87" t="str">
        <f t="shared" si="2"/>
        <v>5</v>
      </c>
    </row>
    <row r="193" spans="1:6" x14ac:dyDescent="0.7">
      <c r="A193" s="485" t="s">
        <v>251</v>
      </c>
      <c r="B193" s="196" t="s">
        <v>1005</v>
      </c>
      <c r="C193" s="263">
        <v>0</v>
      </c>
      <c r="F193" s="87" t="str">
        <f t="shared" si="2"/>
        <v>5</v>
      </c>
    </row>
    <row r="194" spans="1:6" x14ac:dyDescent="0.7">
      <c r="A194" s="485" t="s">
        <v>252</v>
      </c>
      <c r="B194" s="196" t="s">
        <v>1006</v>
      </c>
      <c r="C194" s="263">
        <v>0</v>
      </c>
      <c r="F194" s="87" t="str">
        <f t="shared" si="2"/>
        <v>5</v>
      </c>
    </row>
    <row r="195" spans="1:6" x14ac:dyDescent="0.7">
      <c r="A195" s="485" t="s">
        <v>253</v>
      </c>
      <c r="B195" s="196" t="s">
        <v>1007</v>
      </c>
      <c r="C195" s="263">
        <v>0</v>
      </c>
      <c r="F195" s="87" t="str">
        <f t="shared" ref="F195:F258" si="3">LEFT(A195,1)</f>
        <v>5</v>
      </c>
    </row>
    <row r="196" spans="1:6" x14ac:dyDescent="0.7">
      <c r="A196" s="485" t="s">
        <v>254</v>
      </c>
      <c r="B196" s="196" t="s">
        <v>1008</v>
      </c>
      <c r="C196" s="263">
        <v>0</v>
      </c>
      <c r="F196" s="87" t="str">
        <f t="shared" si="3"/>
        <v>5</v>
      </c>
    </row>
    <row r="197" spans="1:6" x14ac:dyDescent="0.7">
      <c r="A197" s="485" t="s">
        <v>773</v>
      </c>
      <c r="B197" s="196" t="s">
        <v>774</v>
      </c>
      <c r="C197" s="263">
        <v>131329.03</v>
      </c>
      <c r="F197" s="87" t="str">
        <f t="shared" si="3"/>
        <v>5</v>
      </c>
    </row>
    <row r="198" spans="1:6" x14ac:dyDescent="0.7">
      <c r="A198" s="485" t="s">
        <v>775</v>
      </c>
      <c r="B198" s="196" t="s">
        <v>776</v>
      </c>
      <c r="C198" s="263">
        <v>0</v>
      </c>
      <c r="F198" s="87" t="str">
        <f t="shared" si="3"/>
        <v>5</v>
      </c>
    </row>
    <row r="199" spans="1:6" x14ac:dyDescent="0.7">
      <c r="A199" s="485" t="s">
        <v>777</v>
      </c>
      <c r="B199" s="196" t="s">
        <v>1029</v>
      </c>
      <c r="C199" s="826">
        <v>3497680</v>
      </c>
      <c r="F199" s="87" t="str">
        <f t="shared" si="3"/>
        <v>5</v>
      </c>
    </row>
    <row r="200" spans="1:6" x14ac:dyDescent="0.7">
      <c r="A200" s="485" t="s">
        <v>272</v>
      </c>
      <c r="B200" s="196" t="s">
        <v>5821</v>
      </c>
      <c r="C200" s="263">
        <v>0</v>
      </c>
      <c r="F200" s="87" t="str">
        <f t="shared" si="3"/>
        <v>5</v>
      </c>
    </row>
    <row r="201" spans="1:6" x14ac:dyDescent="0.7">
      <c r="A201" s="485" t="s">
        <v>5823</v>
      </c>
      <c r="B201" s="196" t="s">
        <v>5822</v>
      </c>
      <c r="C201" s="263">
        <v>0</v>
      </c>
      <c r="F201" s="87" t="str">
        <f t="shared" si="3"/>
        <v>5</v>
      </c>
    </row>
    <row r="202" spans="1:6" x14ac:dyDescent="0.7">
      <c r="A202" s="485" t="s">
        <v>273</v>
      </c>
      <c r="B202" s="196" t="s">
        <v>274</v>
      </c>
      <c r="C202" s="263">
        <v>0</v>
      </c>
      <c r="F202" s="87" t="str">
        <f t="shared" si="3"/>
        <v>5</v>
      </c>
    </row>
    <row r="203" spans="1:6" x14ac:dyDescent="0.7">
      <c r="A203" s="485" t="s">
        <v>275</v>
      </c>
      <c r="B203" s="196" t="s">
        <v>276</v>
      </c>
      <c r="C203" s="824">
        <v>239055.37</v>
      </c>
      <c r="F203" s="87" t="str">
        <f t="shared" si="3"/>
        <v>5</v>
      </c>
    </row>
    <row r="204" spans="1:6" x14ac:dyDescent="0.7">
      <c r="A204" s="485" t="s">
        <v>277</v>
      </c>
      <c r="B204" s="196" t="s">
        <v>278</v>
      </c>
      <c r="C204" s="824">
        <v>358583.05</v>
      </c>
      <c r="F204" s="87" t="str">
        <f t="shared" si="3"/>
        <v>5</v>
      </c>
    </row>
    <row r="205" spans="1:6" x14ac:dyDescent="0.7">
      <c r="A205" s="485" t="s">
        <v>279</v>
      </c>
      <c r="B205" s="196" t="s">
        <v>280</v>
      </c>
      <c r="C205" s="263">
        <v>0</v>
      </c>
      <c r="F205" s="87" t="str">
        <f t="shared" si="3"/>
        <v>5</v>
      </c>
    </row>
    <row r="206" spans="1:6" x14ac:dyDescent="0.7">
      <c r="A206" s="485" t="s">
        <v>1133</v>
      </c>
      <c r="B206" s="196" t="s">
        <v>1101</v>
      </c>
      <c r="C206" s="263">
        <v>0</v>
      </c>
      <c r="F206" s="87" t="str">
        <f t="shared" si="3"/>
        <v>5</v>
      </c>
    </row>
    <row r="207" spans="1:6" x14ac:dyDescent="0.7">
      <c r="A207" s="485" t="s">
        <v>1134</v>
      </c>
      <c r="B207" s="196" t="s">
        <v>1102</v>
      </c>
      <c r="C207" s="826">
        <v>369324</v>
      </c>
      <c r="F207" s="87" t="str">
        <f t="shared" si="3"/>
        <v>5</v>
      </c>
    </row>
    <row r="208" spans="1:6" x14ac:dyDescent="0.7">
      <c r="A208" s="485" t="s">
        <v>281</v>
      </c>
      <c r="B208" s="196" t="s">
        <v>282</v>
      </c>
      <c r="C208" s="263">
        <v>0</v>
      </c>
      <c r="F208" s="87" t="str">
        <f t="shared" si="3"/>
        <v>5</v>
      </c>
    </row>
    <row r="209" spans="1:6" x14ac:dyDescent="0.7">
      <c r="A209" s="485" t="s">
        <v>283</v>
      </c>
      <c r="B209" s="196" t="s">
        <v>284</v>
      </c>
      <c r="C209" s="263">
        <v>2400</v>
      </c>
      <c r="F209" s="87" t="str">
        <f t="shared" si="3"/>
        <v>5</v>
      </c>
    </row>
    <row r="210" spans="1:6" x14ac:dyDescent="0.7">
      <c r="A210" s="485" t="s">
        <v>266</v>
      </c>
      <c r="B210" s="196" t="s">
        <v>267</v>
      </c>
      <c r="C210" s="826">
        <v>1193177.42</v>
      </c>
      <c r="F210" s="87" t="str">
        <f t="shared" si="3"/>
        <v>5</v>
      </c>
    </row>
    <row r="211" spans="1:6" x14ac:dyDescent="0.7">
      <c r="A211" s="485" t="s">
        <v>268</v>
      </c>
      <c r="B211" s="196" t="s">
        <v>269</v>
      </c>
      <c r="C211" s="826">
        <v>240000</v>
      </c>
      <c r="F211" s="87" t="str">
        <f t="shared" si="3"/>
        <v>5</v>
      </c>
    </row>
    <row r="212" spans="1:6" x14ac:dyDescent="0.7">
      <c r="A212" s="838" t="s">
        <v>5957</v>
      </c>
      <c r="B212" s="839" t="s">
        <v>782</v>
      </c>
      <c r="C212" s="263">
        <v>0</v>
      </c>
      <c r="F212" s="87" t="str">
        <f t="shared" si="3"/>
        <v>5</v>
      </c>
    </row>
    <row r="213" spans="1:6" x14ac:dyDescent="0.7">
      <c r="A213" s="838" t="s">
        <v>7339</v>
      </c>
      <c r="B213" s="839" t="s">
        <v>784</v>
      </c>
      <c r="C213" s="263">
        <v>0</v>
      </c>
      <c r="F213" s="87" t="str">
        <f t="shared" si="3"/>
        <v>5</v>
      </c>
    </row>
    <row r="214" spans="1:6" x14ac:dyDescent="0.7">
      <c r="A214" s="485" t="s">
        <v>780</v>
      </c>
      <c r="B214" s="196" t="s">
        <v>7340</v>
      </c>
      <c r="C214" s="263">
        <v>0</v>
      </c>
      <c r="F214" s="87" t="str">
        <f t="shared" si="3"/>
        <v>5</v>
      </c>
    </row>
    <row r="215" spans="1:6" x14ac:dyDescent="0.7">
      <c r="A215" s="485" t="s">
        <v>1138</v>
      </c>
      <c r="B215" s="196" t="s">
        <v>1139</v>
      </c>
      <c r="C215" s="263">
        <v>0</v>
      </c>
      <c r="F215" s="87" t="str">
        <f t="shared" si="3"/>
        <v>5</v>
      </c>
    </row>
    <row r="216" spans="1:6" x14ac:dyDescent="0.7">
      <c r="A216" s="485" t="s">
        <v>1140</v>
      </c>
      <c r="B216" s="196" t="s">
        <v>1141</v>
      </c>
      <c r="C216" s="826">
        <v>13800</v>
      </c>
      <c r="F216" s="87" t="str">
        <f t="shared" si="3"/>
        <v>5</v>
      </c>
    </row>
    <row r="217" spans="1:6" x14ac:dyDescent="0.7">
      <c r="A217" s="485" t="s">
        <v>285</v>
      </c>
      <c r="B217" s="196" t="s">
        <v>286</v>
      </c>
      <c r="C217" s="826">
        <v>15292</v>
      </c>
      <c r="F217" s="87" t="str">
        <f t="shared" si="3"/>
        <v>5</v>
      </c>
    </row>
    <row r="218" spans="1:6" x14ac:dyDescent="0.7">
      <c r="A218" s="485" t="s">
        <v>287</v>
      </c>
      <c r="B218" s="196" t="s">
        <v>288</v>
      </c>
      <c r="C218" s="826">
        <v>19547</v>
      </c>
      <c r="F218" s="87" t="str">
        <f t="shared" si="3"/>
        <v>5</v>
      </c>
    </row>
    <row r="219" spans="1:6" x14ac:dyDescent="0.7">
      <c r="A219" s="485" t="s">
        <v>785</v>
      </c>
      <c r="B219" s="196" t="s">
        <v>786</v>
      </c>
      <c r="C219" s="263">
        <v>0</v>
      </c>
      <c r="F219" s="87" t="str">
        <f t="shared" si="3"/>
        <v>5</v>
      </c>
    </row>
    <row r="220" spans="1:6" x14ac:dyDescent="0.7">
      <c r="A220" s="485" t="s">
        <v>289</v>
      </c>
      <c r="B220" s="196" t="s">
        <v>290</v>
      </c>
      <c r="C220" s="263">
        <v>0</v>
      </c>
      <c r="F220" s="87" t="str">
        <f t="shared" si="3"/>
        <v>5</v>
      </c>
    </row>
    <row r="221" spans="1:6" x14ac:dyDescent="0.7">
      <c r="A221" s="485" t="s">
        <v>291</v>
      </c>
      <c r="B221" s="196" t="s">
        <v>292</v>
      </c>
      <c r="C221" s="263">
        <v>0</v>
      </c>
      <c r="F221" s="87" t="str">
        <f t="shared" si="3"/>
        <v>5</v>
      </c>
    </row>
    <row r="222" spans="1:6" x14ac:dyDescent="0.7">
      <c r="A222" s="485" t="s">
        <v>293</v>
      </c>
      <c r="B222" s="196" t="s">
        <v>1009</v>
      </c>
      <c r="C222" s="263">
        <v>0</v>
      </c>
      <c r="F222" s="87" t="str">
        <f t="shared" si="3"/>
        <v>5</v>
      </c>
    </row>
    <row r="223" spans="1:6" x14ac:dyDescent="0.7">
      <c r="A223" s="485" t="s">
        <v>294</v>
      </c>
      <c r="B223" s="196" t="s">
        <v>295</v>
      </c>
      <c r="C223" s="263">
        <v>0</v>
      </c>
      <c r="F223" s="87" t="str">
        <f t="shared" si="3"/>
        <v>5</v>
      </c>
    </row>
    <row r="224" spans="1:6" x14ac:dyDescent="0.7">
      <c r="A224" s="485" t="s">
        <v>296</v>
      </c>
      <c r="B224" s="196" t="s">
        <v>297</v>
      </c>
      <c r="C224" s="263">
        <v>0</v>
      </c>
      <c r="F224" s="87" t="str">
        <f t="shared" si="3"/>
        <v>5</v>
      </c>
    </row>
    <row r="225" spans="1:6" x14ac:dyDescent="0.7">
      <c r="A225" s="485" t="s">
        <v>298</v>
      </c>
      <c r="B225" s="196" t="s">
        <v>299</v>
      </c>
      <c r="C225" s="263">
        <v>0</v>
      </c>
      <c r="F225" s="87" t="str">
        <f t="shared" si="3"/>
        <v>5</v>
      </c>
    </row>
    <row r="226" spans="1:6" x14ac:dyDescent="0.7">
      <c r="A226" s="485" t="s">
        <v>300</v>
      </c>
      <c r="B226" s="196" t="s">
        <v>286</v>
      </c>
      <c r="C226" s="263">
        <v>0</v>
      </c>
      <c r="F226" s="87" t="str">
        <f t="shared" si="3"/>
        <v>5</v>
      </c>
    </row>
    <row r="227" spans="1:6" x14ac:dyDescent="0.7">
      <c r="A227" s="485" t="s">
        <v>301</v>
      </c>
      <c r="B227" s="196" t="s">
        <v>302</v>
      </c>
      <c r="C227" s="263">
        <v>0</v>
      </c>
      <c r="F227" s="87" t="str">
        <f t="shared" si="3"/>
        <v>5</v>
      </c>
    </row>
    <row r="228" spans="1:6" x14ac:dyDescent="0.7">
      <c r="A228" s="485" t="s">
        <v>787</v>
      </c>
      <c r="B228" s="196" t="s">
        <v>788</v>
      </c>
      <c r="C228" s="263">
        <v>0</v>
      </c>
      <c r="F228" s="87" t="str">
        <f t="shared" si="3"/>
        <v>5</v>
      </c>
    </row>
    <row r="229" spans="1:6" x14ac:dyDescent="0.7">
      <c r="A229" s="485" t="s">
        <v>303</v>
      </c>
      <c r="B229" s="196" t="s">
        <v>304</v>
      </c>
      <c r="C229" s="263">
        <v>0</v>
      </c>
      <c r="F229" s="87" t="str">
        <f t="shared" si="3"/>
        <v>5</v>
      </c>
    </row>
    <row r="230" spans="1:6" x14ac:dyDescent="0.7">
      <c r="A230" s="485" t="s">
        <v>305</v>
      </c>
      <c r="B230" s="196" t="s">
        <v>306</v>
      </c>
      <c r="C230" s="263">
        <v>0</v>
      </c>
      <c r="F230" s="87" t="str">
        <f t="shared" si="3"/>
        <v>5</v>
      </c>
    </row>
    <row r="231" spans="1:6" x14ac:dyDescent="0.7">
      <c r="A231" s="485" t="s">
        <v>307</v>
      </c>
      <c r="B231" s="196" t="s">
        <v>308</v>
      </c>
      <c r="C231" s="263">
        <v>0</v>
      </c>
      <c r="F231" s="87" t="str">
        <f t="shared" si="3"/>
        <v>5</v>
      </c>
    </row>
    <row r="232" spans="1:6" x14ac:dyDescent="0.7">
      <c r="A232" s="485" t="s">
        <v>309</v>
      </c>
      <c r="B232" s="196" t="s">
        <v>1112</v>
      </c>
      <c r="C232" s="263">
        <v>0</v>
      </c>
      <c r="F232" s="87" t="str">
        <f t="shared" si="3"/>
        <v>5</v>
      </c>
    </row>
    <row r="233" spans="1:6" x14ac:dyDescent="0.7">
      <c r="A233" s="485" t="s">
        <v>1107</v>
      </c>
      <c r="B233" s="196" t="s">
        <v>1110</v>
      </c>
      <c r="C233" s="826">
        <v>300000</v>
      </c>
      <c r="F233" s="87" t="str">
        <f t="shared" si="3"/>
        <v>5</v>
      </c>
    </row>
    <row r="234" spans="1:6" x14ac:dyDescent="0.7">
      <c r="A234" s="485" t="s">
        <v>310</v>
      </c>
      <c r="B234" s="196" t="s">
        <v>1111</v>
      </c>
      <c r="C234" s="263">
        <v>0</v>
      </c>
      <c r="F234" s="87" t="str">
        <f t="shared" si="3"/>
        <v>5</v>
      </c>
    </row>
    <row r="235" spans="1:6" x14ac:dyDescent="0.7">
      <c r="A235" s="485" t="s">
        <v>1108</v>
      </c>
      <c r="B235" s="196" t="s">
        <v>1113</v>
      </c>
      <c r="C235" s="263">
        <v>0</v>
      </c>
      <c r="F235" s="87" t="str">
        <f t="shared" si="3"/>
        <v>5</v>
      </c>
    </row>
    <row r="236" spans="1:6" x14ac:dyDescent="0.7">
      <c r="A236" s="485" t="s">
        <v>311</v>
      </c>
      <c r="B236" s="196" t="s">
        <v>1116</v>
      </c>
      <c r="C236" s="263">
        <v>0</v>
      </c>
      <c r="F236" s="87" t="str">
        <f t="shared" si="3"/>
        <v>5</v>
      </c>
    </row>
    <row r="237" spans="1:6" x14ac:dyDescent="0.7">
      <c r="A237" s="485" t="s">
        <v>1109</v>
      </c>
      <c r="B237" s="196" t="s">
        <v>1117</v>
      </c>
      <c r="C237" s="826">
        <v>10000</v>
      </c>
      <c r="F237" s="87" t="str">
        <f t="shared" si="3"/>
        <v>5</v>
      </c>
    </row>
    <row r="238" spans="1:6" x14ac:dyDescent="0.7">
      <c r="A238" s="485" t="s">
        <v>312</v>
      </c>
      <c r="B238" s="196" t="s">
        <v>1118</v>
      </c>
      <c r="C238" s="263">
        <v>0</v>
      </c>
      <c r="F238" s="87" t="str">
        <f t="shared" si="3"/>
        <v>5</v>
      </c>
    </row>
    <row r="239" spans="1:6" x14ac:dyDescent="0.7">
      <c r="A239" s="485" t="s">
        <v>1114</v>
      </c>
      <c r="B239" s="196" t="s">
        <v>1119</v>
      </c>
      <c r="C239" s="826">
        <v>80000</v>
      </c>
      <c r="F239" s="87" t="str">
        <f t="shared" si="3"/>
        <v>5</v>
      </c>
    </row>
    <row r="240" spans="1:6" x14ac:dyDescent="0.7">
      <c r="A240" s="485" t="s">
        <v>313</v>
      </c>
      <c r="B240" s="196" t="s">
        <v>1120</v>
      </c>
      <c r="C240" s="263">
        <v>0</v>
      </c>
      <c r="F240" s="87" t="str">
        <f t="shared" si="3"/>
        <v>5</v>
      </c>
    </row>
    <row r="241" spans="1:6" x14ac:dyDescent="0.7">
      <c r="A241" s="485" t="s">
        <v>1115</v>
      </c>
      <c r="B241" s="196" t="s">
        <v>1121</v>
      </c>
      <c r="C241" s="825">
        <v>30932</v>
      </c>
      <c r="F241" s="87" t="str">
        <f t="shared" si="3"/>
        <v>5</v>
      </c>
    </row>
    <row r="242" spans="1:6" x14ac:dyDescent="0.7">
      <c r="A242" s="485" t="s">
        <v>789</v>
      </c>
      <c r="B242" s="196" t="s">
        <v>379</v>
      </c>
      <c r="C242" s="826">
        <v>596234</v>
      </c>
      <c r="F242" s="87" t="str">
        <f t="shared" si="3"/>
        <v>5</v>
      </c>
    </row>
    <row r="243" spans="1:6" x14ac:dyDescent="0.7">
      <c r="A243" s="485" t="s">
        <v>790</v>
      </c>
      <c r="B243" s="196" t="s">
        <v>380</v>
      </c>
      <c r="C243" s="826">
        <v>128000</v>
      </c>
      <c r="F243" s="87" t="str">
        <f t="shared" si="3"/>
        <v>5</v>
      </c>
    </row>
    <row r="244" spans="1:6" x14ac:dyDescent="0.7">
      <c r="A244" s="485" t="s">
        <v>791</v>
      </c>
      <c r="B244" s="196" t="s">
        <v>381</v>
      </c>
      <c r="C244" s="826">
        <v>50410</v>
      </c>
      <c r="F244" s="87" t="str">
        <f t="shared" si="3"/>
        <v>5</v>
      </c>
    </row>
    <row r="245" spans="1:6" x14ac:dyDescent="0.7">
      <c r="A245" s="485" t="s">
        <v>792</v>
      </c>
      <c r="B245" s="196" t="s">
        <v>382</v>
      </c>
      <c r="C245" s="263">
        <v>0</v>
      </c>
      <c r="F245" s="87" t="str">
        <f t="shared" si="3"/>
        <v>5</v>
      </c>
    </row>
    <row r="246" spans="1:6" x14ac:dyDescent="0.7">
      <c r="A246" s="485" t="s">
        <v>793</v>
      </c>
      <c r="B246" s="196" t="s">
        <v>383</v>
      </c>
      <c r="C246" s="826">
        <v>180975</v>
      </c>
      <c r="F246" s="87" t="str">
        <f t="shared" si="3"/>
        <v>5</v>
      </c>
    </row>
    <row r="247" spans="1:6" x14ac:dyDescent="0.7">
      <c r="A247" s="485" t="s">
        <v>794</v>
      </c>
      <c r="B247" s="196" t="s">
        <v>384</v>
      </c>
      <c r="C247" s="826">
        <v>739081.8</v>
      </c>
      <c r="F247" s="87" t="str">
        <f t="shared" si="3"/>
        <v>5</v>
      </c>
    </row>
    <row r="248" spans="1:6" x14ac:dyDescent="0.7">
      <c r="A248" s="485" t="s">
        <v>795</v>
      </c>
      <c r="B248" s="196" t="s">
        <v>389</v>
      </c>
      <c r="C248" s="826">
        <v>44425</v>
      </c>
      <c r="F248" s="87" t="str">
        <f t="shared" si="3"/>
        <v>5</v>
      </c>
    </row>
    <row r="249" spans="1:6" x14ac:dyDescent="0.7">
      <c r="A249" s="485" t="s">
        <v>2270</v>
      </c>
      <c r="B249" s="196" t="s">
        <v>390</v>
      </c>
      <c r="C249" s="826">
        <v>133950</v>
      </c>
      <c r="F249" s="87" t="str">
        <f t="shared" si="3"/>
        <v>5</v>
      </c>
    </row>
    <row r="250" spans="1:6" x14ac:dyDescent="0.7">
      <c r="A250" s="485" t="s">
        <v>796</v>
      </c>
      <c r="B250" s="196" t="s">
        <v>391</v>
      </c>
      <c r="C250" s="263">
        <v>0</v>
      </c>
      <c r="F250" s="87" t="str">
        <f t="shared" si="3"/>
        <v>5</v>
      </c>
    </row>
    <row r="251" spans="1:6" x14ac:dyDescent="0.7">
      <c r="A251" s="485" t="s">
        <v>314</v>
      </c>
      <c r="B251" s="196" t="s">
        <v>315</v>
      </c>
      <c r="C251" s="826">
        <v>600000</v>
      </c>
      <c r="F251" s="87" t="str">
        <f t="shared" si="3"/>
        <v>5</v>
      </c>
    </row>
    <row r="252" spans="1:6" x14ac:dyDescent="0.7">
      <c r="A252" s="485" t="s">
        <v>316</v>
      </c>
      <c r="B252" s="196" t="s">
        <v>317</v>
      </c>
      <c r="C252" s="826">
        <v>180000</v>
      </c>
      <c r="F252" s="87" t="str">
        <f t="shared" si="3"/>
        <v>5</v>
      </c>
    </row>
    <row r="253" spans="1:6" x14ac:dyDescent="0.7">
      <c r="A253" s="485" t="s">
        <v>318</v>
      </c>
      <c r="B253" s="196" t="s">
        <v>319</v>
      </c>
      <c r="C253" s="826">
        <v>360000</v>
      </c>
      <c r="F253" s="87" t="str">
        <f t="shared" si="3"/>
        <v>5</v>
      </c>
    </row>
    <row r="254" spans="1:6" x14ac:dyDescent="0.7">
      <c r="A254" s="485" t="s">
        <v>320</v>
      </c>
      <c r="B254" s="196" t="s">
        <v>321</v>
      </c>
      <c r="C254" s="263">
        <v>82550.5</v>
      </c>
      <c r="F254" s="87" t="str">
        <f t="shared" si="3"/>
        <v>5</v>
      </c>
    </row>
    <row r="255" spans="1:6" x14ac:dyDescent="0.7">
      <c r="A255" s="485" t="s">
        <v>322</v>
      </c>
      <c r="B255" s="196" t="s">
        <v>323</v>
      </c>
      <c r="C255" s="263">
        <v>0</v>
      </c>
      <c r="F255" s="87" t="str">
        <f t="shared" si="3"/>
        <v>5</v>
      </c>
    </row>
    <row r="256" spans="1:6" x14ac:dyDescent="0.7">
      <c r="A256" s="485" t="s">
        <v>324</v>
      </c>
      <c r="B256" s="196" t="s">
        <v>325</v>
      </c>
      <c r="C256" s="826">
        <v>600000</v>
      </c>
      <c r="F256" s="87" t="str">
        <f t="shared" si="3"/>
        <v>5</v>
      </c>
    </row>
    <row r="257" spans="1:6" x14ac:dyDescent="0.7">
      <c r="A257" s="485" t="s">
        <v>326</v>
      </c>
      <c r="B257" s="196" t="s">
        <v>327</v>
      </c>
      <c r="C257" s="826">
        <v>120000</v>
      </c>
      <c r="F257" s="87" t="str">
        <f t="shared" si="3"/>
        <v>5</v>
      </c>
    </row>
    <row r="258" spans="1:6" x14ac:dyDescent="0.7">
      <c r="A258" s="485" t="s">
        <v>328</v>
      </c>
      <c r="B258" s="196" t="s">
        <v>329</v>
      </c>
      <c r="C258" s="826">
        <v>250000</v>
      </c>
      <c r="F258" s="87" t="str">
        <f t="shared" si="3"/>
        <v>5</v>
      </c>
    </row>
    <row r="259" spans="1:6" x14ac:dyDescent="0.7">
      <c r="A259" s="485" t="s">
        <v>330</v>
      </c>
      <c r="B259" s="196" t="s">
        <v>331</v>
      </c>
      <c r="C259" s="263">
        <v>0</v>
      </c>
      <c r="F259" s="87" t="str">
        <f t="shared" ref="F259:F322" si="4">LEFT(A259,1)</f>
        <v>5</v>
      </c>
    </row>
    <row r="260" spans="1:6" x14ac:dyDescent="0.7">
      <c r="A260" s="485" t="s">
        <v>332</v>
      </c>
      <c r="B260" s="196" t="s">
        <v>333</v>
      </c>
      <c r="C260" s="263">
        <v>0</v>
      </c>
      <c r="F260" s="87" t="str">
        <f t="shared" si="4"/>
        <v>5</v>
      </c>
    </row>
    <row r="261" spans="1:6" x14ac:dyDescent="0.7">
      <c r="A261" s="485" t="s">
        <v>334</v>
      </c>
      <c r="B261" s="196" t="s">
        <v>1010</v>
      </c>
      <c r="C261" s="826">
        <v>200000</v>
      </c>
      <c r="F261" s="87" t="str">
        <f t="shared" si="4"/>
        <v>5</v>
      </c>
    </row>
    <row r="262" spans="1:6" x14ac:dyDescent="0.7">
      <c r="A262" s="485" t="s">
        <v>335</v>
      </c>
      <c r="B262" s="196" t="s">
        <v>336</v>
      </c>
      <c r="C262" s="826">
        <v>180000</v>
      </c>
      <c r="F262" s="87" t="str">
        <f t="shared" si="4"/>
        <v>5</v>
      </c>
    </row>
    <row r="263" spans="1:6" x14ac:dyDescent="0.7">
      <c r="A263" s="485" t="s">
        <v>337</v>
      </c>
      <c r="B263" s="196" t="s">
        <v>338</v>
      </c>
      <c r="C263" s="826">
        <v>50000</v>
      </c>
      <c r="F263" s="87" t="str">
        <f t="shared" si="4"/>
        <v>5</v>
      </c>
    </row>
    <row r="264" spans="1:6" x14ac:dyDescent="0.7">
      <c r="A264" s="485" t="s">
        <v>797</v>
      </c>
      <c r="B264" s="196" t="s">
        <v>798</v>
      </c>
      <c r="C264" s="826">
        <v>792000</v>
      </c>
      <c r="F264" s="87" t="str">
        <f t="shared" si="4"/>
        <v>5</v>
      </c>
    </row>
    <row r="265" spans="1:6" x14ac:dyDescent="0.7">
      <c r="A265" s="485" t="s">
        <v>339</v>
      </c>
      <c r="B265" s="196" t="s">
        <v>340</v>
      </c>
      <c r="C265" s="263">
        <v>0</v>
      </c>
      <c r="F265" s="87" t="str">
        <f t="shared" si="4"/>
        <v>5</v>
      </c>
    </row>
    <row r="266" spans="1:6" x14ac:dyDescent="0.7">
      <c r="A266" s="485" t="s">
        <v>341</v>
      </c>
      <c r="B266" s="196" t="s">
        <v>342</v>
      </c>
      <c r="C266" s="826">
        <v>720000</v>
      </c>
      <c r="F266" s="87" t="str">
        <f t="shared" si="4"/>
        <v>5</v>
      </c>
    </row>
    <row r="267" spans="1:6" x14ac:dyDescent="0.7">
      <c r="A267" s="485" t="s">
        <v>343</v>
      </c>
      <c r="B267" s="196" t="s">
        <v>344</v>
      </c>
      <c r="C267" s="263">
        <v>0</v>
      </c>
      <c r="F267" s="87" t="str">
        <f t="shared" si="4"/>
        <v>5</v>
      </c>
    </row>
    <row r="268" spans="1:6" x14ac:dyDescent="0.7">
      <c r="A268" s="485" t="s">
        <v>345</v>
      </c>
      <c r="B268" s="196" t="s">
        <v>346</v>
      </c>
      <c r="C268" s="263">
        <v>0</v>
      </c>
      <c r="F268" s="87" t="str">
        <f t="shared" si="4"/>
        <v>5</v>
      </c>
    </row>
    <row r="269" spans="1:6" x14ac:dyDescent="0.7">
      <c r="A269" s="485" t="s">
        <v>347</v>
      </c>
      <c r="B269" s="196" t="s">
        <v>348</v>
      </c>
      <c r="C269" s="263">
        <v>0</v>
      </c>
      <c r="F269" s="87" t="str">
        <f t="shared" si="4"/>
        <v>5</v>
      </c>
    </row>
    <row r="270" spans="1:6" x14ac:dyDescent="0.7">
      <c r="A270" s="485" t="s">
        <v>349</v>
      </c>
      <c r="B270" s="196" t="s">
        <v>350</v>
      </c>
      <c r="C270" s="826">
        <v>300000</v>
      </c>
      <c r="F270" s="87" t="str">
        <f t="shared" si="4"/>
        <v>5</v>
      </c>
    </row>
    <row r="271" spans="1:6" x14ac:dyDescent="0.7">
      <c r="A271" s="485" t="s">
        <v>351</v>
      </c>
      <c r="B271" s="196" t="s">
        <v>1011</v>
      </c>
      <c r="C271" s="826">
        <v>1498116.15</v>
      </c>
      <c r="F271" s="87" t="str">
        <f t="shared" si="4"/>
        <v>5</v>
      </c>
    </row>
    <row r="272" spans="1:6" x14ac:dyDescent="0.7">
      <c r="A272" s="485" t="s">
        <v>353</v>
      </c>
      <c r="B272" s="196" t="s">
        <v>1012</v>
      </c>
      <c r="C272" s="263">
        <v>2500000</v>
      </c>
      <c r="F272" s="87" t="str">
        <f t="shared" si="4"/>
        <v>5</v>
      </c>
    </row>
    <row r="273" spans="1:6" x14ac:dyDescent="0.7">
      <c r="A273" s="485" t="s">
        <v>354</v>
      </c>
      <c r="B273" s="196" t="s">
        <v>355</v>
      </c>
      <c r="C273" s="826">
        <v>444000</v>
      </c>
      <c r="F273" s="87" t="str">
        <f t="shared" si="4"/>
        <v>5</v>
      </c>
    </row>
    <row r="274" spans="1:6" x14ac:dyDescent="0.7">
      <c r="A274" s="485" t="s">
        <v>356</v>
      </c>
      <c r="B274" s="196" t="s">
        <v>357</v>
      </c>
      <c r="C274" s="826">
        <v>400000</v>
      </c>
      <c r="F274" s="87" t="str">
        <f t="shared" si="4"/>
        <v>5</v>
      </c>
    </row>
    <row r="275" spans="1:6" x14ac:dyDescent="0.7">
      <c r="A275" s="485" t="s">
        <v>358</v>
      </c>
      <c r="B275" s="196" t="s">
        <v>359</v>
      </c>
      <c r="C275" s="263">
        <v>0</v>
      </c>
      <c r="F275" s="87" t="str">
        <f t="shared" si="4"/>
        <v>5</v>
      </c>
    </row>
    <row r="276" spans="1:6" x14ac:dyDescent="0.7">
      <c r="A276" s="485" t="s">
        <v>360</v>
      </c>
      <c r="B276" s="196" t="s">
        <v>361</v>
      </c>
      <c r="C276" s="263">
        <v>99</v>
      </c>
      <c r="F276" s="87" t="str">
        <f t="shared" si="4"/>
        <v>5</v>
      </c>
    </row>
    <row r="277" spans="1:6" x14ac:dyDescent="0.7">
      <c r="A277" s="485" t="s">
        <v>370</v>
      </c>
      <c r="B277" s="196" t="s">
        <v>371</v>
      </c>
      <c r="C277" s="826">
        <v>1320000</v>
      </c>
      <c r="F277" s="87" t="str">
        <f t="shared" si="4"/>
        <v>5</v>
      </c>
    </row>
    <row r="278" spans="1:6" x14ac:dyDescent="0.7">
      <c r="A278" s="485" t="s">
        <v>372</v>
      </c>
      <c r="B278" s="196" t="s">
        <v>1013</v>
      </c>
      <c r="C278" s="263">
        <v>0</v>
      </c>
      <c r="F278" s="87" t="str">
        <f t="shared" si="4"/>
        <v>5</v>
      </c>
    </row>
    <row r="279" spans="1:6" x14ac:dyDescent="0.7">
      <c r="A279" s="485" t="s">
        <v>373</v>
      </c>
      <c r="B279" s="196" t="s">
        <v>374</v>
      </c>
      <c r="C279" s="826">
        <v>58800</v>
      </c>
      <c r="F279" s="87" t="str">
        <f t="shared" si="4"/>
        <v>5</v>
      </c>
    </row>
    <row r="280" spans="1:6" x14ac:dyDescent="0.7">
      <c r="A280" s="485" t="s">
        <v>375</v>
      </c>
      <c r="B280" s="196" t="s">
        <v>376</v>
      </c>
      <c r="C280" s="826">
        <v>31200</v>
      </c>
      <c r="F280" s="87" t="str">
        <f t="shared" si="4"/>
        <v>5</v>
      </c>
    </row>
    <row r="281" spans="1:6" x14ac:dyDescent="0.7">
      <c r="A281" s="485" t="s">
        <v>377</v>
      </c>
      <c r="B281" s="196" t="s">
        <v>378</v>
      </c>
      <c r="C281" s="826">
        <v>24000</v>
      </c>
      <c r="F281" s="87" t="str">
        <f t="shared" si="4"/>
        <v>5</v>
      </c>
    </row>
    <row r="282" spans="1:6" x14ac:dyDescent="0.7">
      <c r="A282" s="485" t="s">
        <v>362</v>
      </c>
      <c r="B282" s="196" t="s">
        <v>363</v>
      </c>
      <c r="C282" s="263">
        <v>0</v>
      </c>
      <c r="F282" s="87" t="str">
        <f t="shared" si="4"/>
        <v>5</v>
      </c>
    </row>
    <row r="283" spans="1:6" x14ac:dyDescent="0.7">
      <c r="A283" s="485" t="s">
        <v>364</v>
      </c>
      <c r="B283" s="196" t="s">
        <v>365</v>
      </c>
      <c r="C283" s="826">
        <v>150000</v>
      </c>
      <c r="F283" s="87" t="str">
        <f t="shared" si="4"/>
        <v>5</v>
      </c>
    </row>
    <row r="284" spans="1:6" x14ac:dyDescent="0.7">
      <c r="A284" s="485" t="s">
        <v>214</v>
      </c>
      <c r="B284" s="196" t="s">
        <v>215</v>
      </c>
      <c r="C284" s="826">
        <v>7589538.25</v>
      </c>
      <c r="F284" s="87" t="str">
        <f t="shared" si="4"/>
        <v>5</v>
      </c>
    </row>
    <row r="285" spans="1:6" x14ac:dyDescent="0.7">
      <c r="A285" s="485" t="s">
        <v>216</v>
      </c>
      <c r="B285" s="196" t="s">
        <v>1014</v>
      </c>
      <c r="C285" s="826">
        <v>26000</v>
      </c>
      <c r="F285" s="87" t="str">
        <f t="shared" si="4"/>
        <v>5</v>
      </c>
    </row>
    <row r="286" spans="1:6" x14ac:dyDescent="0.7">
      <c r="A286" s="485" t="s">
        <v>218</v>
      </c>
      <c r="B286" s="196" t="s">
        <v>1015</v>
      </c>
      <c r="C286" s="826">
        <v>3230729.49</v>
      </c>
      <c r="F286" s="87" t="str">
        <f t="shared" si="4"/>
        <v>5</v>
      </c>
    </row>
    <row r="287" spans="1:6" x14ac:dyDescent="0.7">
      <c r="A287" s="485" t="s">
        <v>221</v>
      </c>
      <c r="B287" s="828" t="s">
        <v>222</v>
      </c>
      <c r="C287" s="840">
        <v>3195935</v>
      </c>
      <c r="F287" s="87" t="str">
        <f t="shared" si="4"/>
        <v>5</v>
      </c>
    </row>
    <row r="288" spans="1:6" x14ac:dyDescent="0.7">
      <c r="A288" s="485" t="s">
        <v>385</v>
      </c>
      <c r="B288" s="196" t="s">
        <v>386</v>
      </c>
      <c r="C288" s="826">
        <v>60000</v>
      </c>
      <c r="F288" s="87" t="str">
        <f t="shared" si="4"/>
        <v>5</v>
      </c>
    </row>
    <row r="289" spans="1:6" x14ac:dyDescent="0.7">
      <c r="A289" s="485" t="s">
        <v>387</v>
      </c>
      <c r="B289" s="196" t="s">
        <v>388</v>
      </c>
      <c r="C289" s="826">
        <v>143860</v>
      </c>
      <c r="F289" s="87" t="str">
        <f t="shared" si="4"/>
        <v>5</v>
      </c>
    </row>
    <row r="290" spans="1:6" x14ac:dyDescent="0.7">
      <c r="A290" s="485" t="s">
        <v>219</v>
      </c>
      <c r="B290" s="196" t="s">
        <v>220</v>
      </c>
      <c r="C290" s="826">
        <v>500067.41</v>
      </c>
      <c r="F290" s="87" t="str">
        <f t="shared" si="4"/>
        <v>5</v>
      </c>
    </row>
    <row r="291" spans="1:6" x14ac:dyDescent="0.7">
      <c r="A291" s="485" t="s">
        <v>799</v>
      </c>
      <c r="B291" s="196" t="s">
        <v>800</v>
      </c>
      <c r="C291" s="263">
        <v>0</v>
      </c>
      <c r="F291" s="87" t="str">
        <f t="shared" si="4"/>
        <v>5</v>
      </c>
    </row>
    <row r="292" spans="1:6" x14ac:dyDescent="0.7">
      <c r="A292" s="485" t="s">
        <v>392</v>
      </c>
      <c r="B292" s="196" t="s">
        <v>1016</v>
      </c>
      <c r="C292" s="824">
        <v>498250</v>
      </c>
      <c r="F292" s="87" t="str">
        <f t="shared" si="4"/>
        <v>5</v>
      </c>
    </row>
    <row r="293" spans="1:6" x14ac:dyDescent="0.7">
      <c r="A293" s="485" t="s">
        <v>366</v>
      </c>
      <c r="B293" s="196" t="s">
        <v>367</v>
      </c>
      <c r="C293" s="263">
        <v>0</v>
      </c>
      <c r="F293" s="87" t="str">
        <f t="shared" si="4"/>
        <v>5</v>
      </c>
    </row>
    <row r="294" spans="1:6" x14ac:dyDescent="0.7">
      <c r="A294" s="485" t="s">
        <v>368</v>
      </c>
      <c r="B294" s="196" t="s">
        <v>369</v>
      </c>
      <c r="C294" s="263">
        <v>0</v>
      </c>
      <c r="F294" s="87" t="str">
        <f t="shared" si="4"/>
        <v>5</v>
      </c>
    </row>
    <row r="295" spans="1:6" x14ac:dyDescent="0.7">
      <c r="A295" s="485" t="s">
        <v>483</v>
      </c>
      <c r="B295" s="196" t="s">
        <v>1017</v>
      </c>
      <c r="C295" s="263">
        <v>0</v>
      </c>
      <c r="F295" s="87" t="str">
        <f t="shared" si="4"/>
        <v>5</v>
      </c>
    </row>
    <row r="296" spans="1:6" x14ac:dyDescent="0.7">
      <c r="A296" s="485" t="s">
        <v>801</v>
      </c>
      <c r="B296" s="196" t="s">
        <v>802</v>
      </c>
      <c r="C296" s="263">
        <v>0</v>
      </c>
      <c r="F296" s="87" t="str">
        <f t="shared" si="4"/>
        <v>5</v>
      </c>
    </row>
    <row r="297" spans="1:6" x14ac:dyDescent="0.7">
      <c r="A297" s="485" t="s">
        <v>484</v>
      </c>
      <c r="B297" s="196" t="s">
        <v>485</v>
      </c>
      <c r="C297" s="263">
        <v>0</v>
      </c>
      <c r="F297" s="87" t="str">
        <f t="shared" si="4"/>
        <v>5</v>
      </c>
    </row>
    <row r="298" spans="1:6" x14ac:dyDescent="0.7">
      <c r="A298" s="485" t="s">
        <v>803</v>
      </c>
      <c r="B298" s="196" t="s">
        <v>804</v>
      </c>
      <c r="C298" s="263">
        <v>0</v>
      </c>
      <c r="F298" s="87" t="str">
        <f t="shared" si="4"/>
        <v>5</v>
      </c>
    </row>
    <row r="299" spans="1:6" x14ac:dyDescent="0.7">
      <c r="A299" s="485" t="s">
        <v>486</v>
      </c>
      <c r="B299" s="196" t="s">
        <v>487</v>
      </c>
      <c r="C299" s="263">
        <v>0</v>
      </c>
      <c r="F299" s="87" t="str">
        <f t="shared" si="4"/>
        <v>5</v>
      </c>
    </row>
    <row r="300" spans="1:6" x14ac:dyDescent="0.7">
      <c r="A300" s="485" t="s">
        <v>488</v>
      </c>
      <c r="B300" s="196" t="s">
        <v>489</v>
      </c>
      <c r="C300" s="263">
        <v>0</v>
      </c>
      <c r="F300" s="87" t="str">
        <f t="shared" si="4"/>
        <v>5</v>
      </c>
    </row>
    <row r="301" spans="1:6" x14ac:dyDescent="0.7">
      <c r="A301" s="485" t="s">
        <v>490</v>
      </c>
      <c r="B301" s="196" t="s">
        <v>1122</v>
      </c>
      <c r="C301" s="826">
        <v>2763170</v>
      </c>
      <c r="F301" s="87" t="str">
        <f t="shared" si="4"/>
        <v>5</v>
      </c>
    </row>
    <row r="302" spans="1:6" x14ac:dyDescent="0.7">
      <c r="A302" s="485" t="s">
        <v>491</v>
      </c>
      <c r="B302" s="196" t="s">
        <v>1123</v>
      </c>
      <c r="C302" s="263">
        <v>86530</v>
      </c>
      <c r="F302" s="87" t="str">
        <f t="shared" si="4"/>
        <v>5</v>
      </c>
    </row>
    <row r="303" spans="1:6" x14ac:dyDescent="0.7">
      <c r="A303" s="485" t="s">
        <v>805</v>
      </c>
      <c r="B303" s="196" t="s">
        <v>806</v>
      </c>
      <c r="C303" s="826">
        <v>0</v>
      </c>
      <c r="F303" s="87" t="str">
        <f t="shared" si="4"/>
        <v>5</v>
      </c>
    </row>
    <row r="304" spans="1:6" x14ac:dyDescent="0.7">
      <c r="A304" s="485" t="s">
        <v>1124</v>
      </c>
      <c r="B304" s="196" t="s">
        <v>1125</v>
      </c>
      <c r="C304" s="826">
        <v>1119583</v>
      </c>
      <c r="F304" s="87" t="str">
        <f t="shared" si="4"/>
        <v>5</v>
      </c>
    </row>
    <row r="305" spans="1:6" x14ac:dyDescent="0.7">
      <c r="A305" s="841" t="s">
        <v>492</v>
      </c>
      <c r="B305" s="196" t="s">
        <v>1018</v>
      </c>
      <c r="C305" s="824">
        <v>3000000</v>
      </c>
      <c r="F305" s="87" t="str">
        <f t="shared" si="4"/>
        <v>5</v>
      </c>
    </row>
    <row r="306" spans="1:6" x14ac:dyDescent="0.7">
      <c r="A306" s="842" t="s">
        <v>493</v>
      </c>
      <c r="B306" s="384" t="s">
        <v>1019</v>
      </c>
      <c r="C306" s="826">
        <v>5000</v>
      </c>
      <c r="F306" s="87" t="str">
        <f t="shared" si="4"/>
        <v>5</v>
      </c>
    </row>
    <row r="307" spans="1:6" x14ac:dyDescent="0.7">
      <c r="A307" s="485" t="s">
        <v>2259</v>
      </c>
      <c r="B307" s="196" t="s">
        <v>2257</v>
      </c>
      <c r="C307" s="263">
        <v>0</v>
      </c>
      <c r="F307" s="87" t="str">
        <f t="shared" si="4"/>
        <v>5</v>
      </c>
    </row>
    <row r="308" spans="1:6" x14ac:dyDescent="0.7">
      <c r="A308" s="843" t="s">
        <v>5846</v>
      </c>
      <c r="B308" s="385" t="s">
        <v>5836</v>
      </c>
      <c r="C308" s="824">
        <v>200000</v>
      </c>
      <c r="F308" s="87" t="str">
        <f t="shared" si="4"/>
        <v>5</v>
      </c>
    </row>
    <row r="309" spans="1:6" x14ac:dyDescent="0.7">
      <c r="A309" s="485" t="s">
        <v>807</v>
      </c>
      <c r="B309" s="196" t="s">
        <v>808</v>
      </c>
      <c r="C309" s="263">
        <v>0</v>
      </c>
      <c r="F309" s="87" t="str">
        <f t="shared" si="4"/>
        <v>5</v>
      </c>
    </row>
    <row r="310" spans="1:6" x14ac:dyDescent="0.7">
      <c r="A310" s="485" t="s">
        <v>494</v>
      </c>
      <c r="B310" s="196" t="s">
        <v>495</v>
      </c>
      <c r="C310" s="263">
        <v>0</v>
      </c>
      <c r="F310" s="87" t="str">
        <f t="shared" si="4"/>
        <v>5</v>
      </c>
    </row>
    <row r="311" spans="1:6" x14ac:dyDescent="0.7">
      <c r="A311" s="485" t="s">
        <v>496</v>
      </c>
      <c r="B311" s="196" t="s">
        <v>497</v>
      </c>
      <c r="C311" s="263">
        <v>450</v>
      </c>
      <c r="F311" s="87" t="str">
        <f t="shared" si="4"/>
        <v>5</v>
      </c>
    </row>
    <row r="312" spans="1:6" x14ac:dyDescent="0.7">
      <c r="A312" s="838" t="s">
        <v>5967</v>
      </c>
      <c r="B312" s="839" t="s">
        <v>5958</v>
      </c>
      <c r="C312" s="826">
        <v>600000</v>
      </c>
      <c r="F312" s="87" t="str">
        <f t="shared" si="4"/>
        <v>5</v>
      </c>
    </row>
    <row r="313" spans="1:6" x14ac:dyDescent="0.7">
      <c r="A313" s="838" t="s">
        <v>5968</v>
      </c>
      <c r="B313" s="839" t="s">
        <v>265</v>
      </c>
      <c r="C313" s="826">
        <v>360000</v>
      </c>
      <c r="F313" s="87" t="str">
        <f t="shared" si="4"/>
        <v>5</v>
      </c>
    </row>
    <row r="314" spans="1:6" x14ac:dyDescent="0.7">
      <c r="A314" s="838" t="s">
        <v>5969</v>
      </c>
      <c r="B314" s="839" t="s">
        <v>5959</v>
      </c>
      <c r="C314" s="826">
        <v>120000</v>
      </c>
      <c r="F314" s="87" t="str">
        <f t="shared" si="4"/>
        <v>5</v>
      </c>
    </row>
    <row r="315" spans="1:6" x14ac:dyDescent="0.7">
      <c r="A315" s="838" t="s">
        <v>5970</v>
      </c>
      <c r="B315" s="839" t="s">
        <v>5960</v>
      </c>
      <c r="C315" s="826">
        <v>6842420</v>
      </c>
      <c r="F315" s="87" t="str">
        <f t="shared" si="4"/>
        <v>5</v>
      </c>
    </row>
    <row r="316" spans="1:6" x14ac:dyDescent="0.7">
      <c r="A316" s="838" t="s">
        <v>5971</v>
      </c>
      <c r="B316" s="839" t="s">
        <v>5961</v>
      </c>
      <c r="C316" s="826">
        <v>2353500</v>
      </c>
      <c r="F316" s="87" t="str">
        <f t="shared" si="4"/>
        <v>5</v>
      </c>
    </row>
    <row r="317" spans="1:6" x14ac:dyDescent="0.7">
      <c r="A317" s="838" t="s">
        <v>5972</v>
      </c>
      <c r="B317" s="839" t="s">
        <v>5962</v>
      </c>
      <c r="C317" s="263">
        <v>0</v>
      </c>
      <c r="F317" s="87" t="str">
        <f t="shared" si="4"/>
        <v>5</v>
      </c>
    </row>
    <row r="318" spans="1:6" x14ac:dyDescent="0.7">
      <c r="A318" s="838" t="s">
        <v>5973</v>
      </c>
      <c r="B318" s="839" t="s">
        <v>5963</v>
      </c>
      <c r="C318" s="263">
        <v>16800</v>
      </c>
      <c r="F318" s="87" t="str">
        <f t="shared" si="4"/>
        <v>5</v>
      </c>
    </row>
    <row r="319" spans="1:6" x14ac:dyDescent="0.7">
      <c r="A319" s="838" t="s">
        <v>5974</v>
      </c>
      <c r="B319" s="839" t="s">
        <v>5964</v>
      </c>
      <c r="C319" s="263">
        <v>15000</v>
      </c>
      <c r="F319" s="87" t="str">
        <f t="shared" si="4"/>
        <v>5</v>
      </c>
    </row>
    <row r="320" spans="1:6" x14ac:dyDescent="0.7">
      <c r="A320" s="838" t="s">
        <v>5975</v>
      </c>
      <c r="B320" s="839" t="s">
        <v>5965</v>
      </c>
      <c r="C320" s="263">
        <v>0</v>
      </c>
      <c r="F320" s="87" t="str">
        <f t="shared" si="4"/>
        <v>5</v>
      </c>
    </row>
    <row r="321" spans="1:6" x14ac:dyDescent="0.7">
      <c r="A321" s="838" t="s">
        <v>5978</v>
      </c>
      <c r="B321" s="839" t="s">
        <v>5966</v>
      </c>
      <c r="C321" s="263">
        <v>0</v>
      </c>
      <c r="F321" s="87" t="str">
        <f t="shared" si="4"/>
        <v>5</v>
      </c>
    </row>
    <row r="322" spans="1:6" x14ac:dyDescent="0.7">
      <c r="A322" s="844" t="s">
        <v>6008</v>
      </c>
      <c r="B322" s="407" t="s">
        <v>6009</v>
      </c>
      <c r="C322" s="826">
        <v>1477258.95</v>
      </c>
      <c r="F322" s="87" t="str">
        <f t="shared" si="4"/>
        <v>5</v>
      </c>
    </row>
    <row r="323" spans="1:6" x14ac:dyDescent="0.7">
      <c r="A323" s="844" t="s">
        <v>6010</v>
      </c>
      <c r="B323" s="407" t="s">
        <v>6011</v>
      </c>
      <c r="C323" s="263">
        <v>0</v>
      </c>
      <c r="F323" s="87" t="str">
        <f t="shared" ref="F323:F386" si="5">LEFT(A323,1)</f>
        <v>5</v>
      </c>
    </row>
    <row r="324" spans="1:6" x14ac:dyDescent="0.7">
      <c r="A324" s="838" t="s">
        <v>6012</v>
      </c>
      <c r="B324" s="839" t="s">
        <v>6013</v>
      </c>
      <c r="C324" s="826">
        <v>1525741.05</v>
      </c>
      <c r="F324" s="87" t="str">
        <f t="shared" si="5"/>
        <v>5</v>
      </c>
    </row>
    <row r="325" spans="1:6" x14ac:dyDescent="0.7">
      <c r="A325" s="838" t="s">
        <v>6014</v>
      </c>
      <c r="B325" s="839" t="s">
        <v>6015</v>
      </c>
      <c r="C325" s="826">
        <v>459600</v>
      </c>
      <c r="F325" s="87" t="str">
        <f t="shared" si="5"/>
        <v>5</v>
      </c>
    </row>
    <row r="326" spans="1:6" x14ac:dyDescent="0.7">
      <c r="A326" s="838" t="s">
        <v>6016</v>
      </c>
      <c r="B326" s="839" t="s">
        <v>6017</v>
      </c>
      <c r="C326" s="263">
        <v>0</v>
      </c>
      <c r="F326" s="87" t="str">
        <f t="shared" si="5"/>
        <v>5</v>
      </c>
    </row>
    <row r="327" spans="1:6" x14ac:dyDescent="0.7">
      <c r="A327" s="838" t="s">
        <v>6018</v>
      </c>
      <c r="B327" s="839" t="s">
        <v>6019</v>
      </c>
      <c r="C327" s="263">
        <v>0</v>
      </c>
      <c r="F327" s="87" t="str">
        <f t="shared" si="5"/>
        <v>5</v>
      </c>
    </row>
    <row r="328" spans="1:6" x14ac:dyDescent="0.7">
      <c r="A328" s="838" t="s">
        <v>6020</v>
      </c>
      <c r="B328" s="839" t="s">
        <v>6021</v>
      </c>
      <c r="C328" s="263">
        <v>0</v>
      </c>
      <c r="F328" s="87" t="str">
        <f t="shared" si="5"/>
        <v>5</v>
      </c>
    </row>
    <row r="329" spans="1:6" x14ac:dyDescent="0.7">
      <c r="A329" s="838" t="s">
        <v>6022</v>
      </c>
      <c r="B329" s="839" t="s">
        <v>6023</v>
      </c>
      <c r="C329" s="263">
        <v>0</v>
      </c>
      <c r="F329" s="87" t="str">
        <f t="shared" si="5"/>
        <v>5</v>
      </c>
    </row>
    <row r="330" spans="1:6" x14ac:dyDescent="0.7">
      <c r="A330" s="838" t="s">
        <v>5977</v>
      </c>
      <c r="B330" s="839" t="s">
        <v>5976</v>
      </c>
      <c r="C330" s="263">
        <v>0</v>
      </c>
      <c r="F330" s="87" t="str">
        <f t="shared" si="5"/>
        <v>5</v>
      </c>
    </row>
    <row r="331" spans="1:6" x14ac:dyDescent="0.7">
      <c r="A331" s="845" t="s">
        <v>5979</v>
      </c>
      <c r="B331" s="846" t="s">
        <v>6024</v>
      </c>
      <c r="C331" s="826">
        <v>100000</v>
      </c>
      <c r="F331" s="87" t="str">
        <f t="shared" si="5"/>
        <v>5</v>
      </c>
    </row>
    <row r="332" spans="1:6" x14ac:dyDescent="0.7">
      <c r="A332" s="485" t="s">
        <v>393</v>
      </c>
      <c r="B332" s="196" t="s">
        <v>394</v>
      </c>
      <c r="C332" s="826">
        <v>363186.2</v>
      </c>
      <c r="F332" s="87" t="str">
        <f t="shared" si="5"/>
        <v>5</v>
      </c>
    </row>
    <row r="333" spans="1:6" x14ac:dyDescent="0.7">
      <c r="A333" s="485" t="s">
        <v>395</v>
      </c>
      <c r="B333" s="196" t="s">
        <v>396</v>
      </c>
      <c r="C333" s="826">
        <v>0</v>
      </c>
      <c r="F333" s="87" t="str">
        <f t="shared" si="5"/>
        <v>5</v>
      </c>
    </row>
    <row r="334" spans="1:6" x14ac:dyDescent="0.7">
      <c r="A334" s="485" t="s">
        <v>397</v>
      </c>
      <c r="B334" s="196" t="s">
        <v>398</v>
      </c>
      <c r="C334" s="826">
        <v>973978.87</v>
      </c>
      <c r="F334" s="87" t="str">
        <f t="shared" si="5"/>
        <v>5</v>
      </c>
    </row>
    <row r="335" spans="1:6" x14ac:dyDescent="0.7">
      <c r="A335" s="485" t="s">
        <v>399</v>
      </c>
      <c r="B335" s="196" t="s">
        <v>400</v>
      </c>
      <c r="C335" s="826">
        <v>599702.67000000004</v>
      </c>
      <c r="F335" s="87" t="str">
        <f t="shared" si="5"/>
        <v>5</v>
      </c>
    </row>
    <row r="336" spans="1:6" x14ac:dyDescent="0.7">
      <c r="A336" s="485" t="s">
        <v>401</v>
      </c>
      <c r="B336" s="196" t="s">
        <v>402</v>
      </c>
      <c r="C336" s="826">
        <v>0</v>
      </c>
      <c r="F336" s="87" t="str">
        <f t="shared" si="5"/>
        <v>5</v>
      </c>
    </row>
    <row r="337" spans="1:6" x14ac:dyDescent="0.7">
      <c r="A337" s="485" t="s">
        <v>403</v>
      </c>
      <c r="B337" s="196" t="s">
        <v>404</v>
      </c>
      <c r="C337" s="826">
        <v>0</v>
      </c>
      <c r="F337" s="87" t="str">
        <f t="shared" si="5"/>
        <v>5</v>
      </c>
    </row>
    <row r="338" spans="1:6" x14ac:dyDescent="0.7">
      <c r="A338" s="485" t="s">
        <v>405</v>
      </c>
      <c r="B338" s="196" t="s">
        <v>406</v>
      </c>
      <c r="C338" s="826">
        <v>0</v>
      </c>
      <c r="F338" s="87" t="str">
        <f t="shared" si="5"/>
        <v>5</v>
      </c>
    </row>
    <row r="339" spans="1:6" x14ac:dyDescent="0.7">
      <c r="A339" s="485" t="s">
        <v>407</v>
      </c>
      <c r="B339" s="196" t="s">
        <v>408</v>
      </c>
      <c r="C339" s="826">
        <v>0</v>
      </c>
      <c r="F339" s="87" t="str">
        <f t="shared" si="5"/>
        <v>5</v>
      </c>
    </row>
    <row r="340" spans="1:6" x14ac:dyDescent="0.7">
      <c r="A340" s="485" t="s">
        <v>409</v>
      </c>
      <c r="B340" s="196" t="s">
        <v>410</v>
      </c>
      <c r="C340" s="826">
        <v>0</v>
      </c>
      <c r="F340" s="87" t="str">
        <f t="shared" si="5"/>
        <v>5</v>
      </c>
    </row>
    <row r="341" spans="1:6" x14ac:dyDescent="0.7">
      <c r="A341" s="485" t="s">
        <v>411</v>
      </c>
      <c r="B341" s="196" t="s">
        <v>412</v>
      </c>
      <c r="C341" s="826">
        <v>0</v>
      </c>
      <c r="F341" s="87" t="str">
        <f t="shared" si="5"/>
        <v>5</v>
      </c>
    </row>
    <row r="342" spans="1:6" x14ac:dyDescent="0.7">
      <c r="A342" s="485" t="s">
        <v>413</v>
      </c>
      <c r="B342" s="196" t="s">
        <v>414</v>
      </c>
      <c r="C342" s="826">
        <v>0</v>
      </c>
      <c r="F342" s="87" t="str">
        <f t="shared" si="5"/>
        <v>5</v>
      </c>
    </row>
    <row r="343" spans="1:6" x14ac:dyDescent="0.7">
      <c r="A343" s="485" t="s">
        <v>415</v>
      </c>
      <c r="B343" s="196" t="s">
        <v>416</v>
      </c>
      <c r="C343" s="826">
        <v>0</v>
      </c>
      <c r="F343" s="87" t="str">
        <f t="shared" si="5"/>
        <v>5</v>
      </c>
    </row>
    <row r="344" spans="1:6" x14ac:dyDescent="0.7">
      <c r="A344" s="485" t="s">
        <v>417</v>
      </c>
      <c r="B344" s="196" t="s">
        <v>418</v>
      </c>
      <c r="C344" s="826">
        <v>0</v>
      </c>
      <c r="F344" s="87" t="str">
        <f t="shared" si="5"/>
        <v>5</v>
      </c>
    </row>
    <row r="345" spans="1:6" x14ac:dyDescent="0.7">
      <c r="A345" s="485" t="s">
        <v>419</v>
      </c>
      <c r="B345" s="196" t="s">
        <v>420</v>
      </c>
      <c r="C345" s="826">
        <v>0</v>
      </c>
      <c r="F345" s="87" t="str">
        <f t="shared" si="5"/>
        <v>5</v>
      </c>
    </row>
    <row r="346" spans="1:6" x14ac:dyDescent="0.7">
      <c r="A346" s="845" t="s">
        <v>5981</v>
      </c>
      <c r="B346" s="846" t="s">
        <v>5980</v>
      </c>
      <c r="C346" s="826">
        <v>0</v>
      </c>
      <c r="F346" s="87" t="str">
        <f t="shared" si="5"/>
        <v>5</v>
      </c>
    </row>
    <row r="347" spans="1:6" x14ac:dyDescent="0.7">
      <c r="A347" s="485" t="s">
        <v>421</v>
      </c>
      <c r="B347" s="196" t="s">
        <v>422</v>
      </c>
      <c r="C347" s="826">
        <v>0</v>
      </c>
      <c r="F347" s="87" t="str">
        <f t="shared" si="5"/>
        <v>5</v>
      </c>
    </row>
    <row r="348" spans="1:6" x14ac:dyDescent="0.7">
      <c r="A348" s="485" t="s">
        <v>423</v>
      </c>
      <c r="B348" s="196" t="s">
        <v>424</v>
      </c>
      <c r="C348" s="826">
        <v>4836.0200000000004</v>
      </c>
      <c r="F348" s="87" t="str">
        <f t="shared" si="5"/>
        <v>5</v>
      </c>
    </row>
    <row r="349" spans="1:6" x14ac:dyDescent="0.7">
      <c r="A349" s="485" t="s">
        <v>425</v>
      </c>
      <c r="B349" s="196" t="s">
        <v>426</v>
      </c>
      <c r="C349" s="826">
        <v>0</v>
      </c>
      <c r="F349" s="87" t="str">
        <f t="shared" si="5"/>
        <v>5</v>
      </c>
    </row>
    <row r="350" spans="1:6" x14ac:dyDescent="0.7">
      <c r="A350" s="485" t="s">
        <v>819</v>
      </c>
      <c r="B350" s="196" t="s">
        <v>820</v>
      </c>
      <c r="C350" s="826">
        <v>0</v>
      </c>
      <c r="F350" s="87" t="str">
        <f t="shared" si="5"/>
        <v>5</v>
      </c>
    </row>
    <row r="351" spans="1:6" x14ac:dyDescent="0.7">
      <c r="A351" s="485" t="s">
        <v>427</v>
      </c>
      <c r="B351" s="196" t="s">
        <v>428</v>
      </c>
      <c r="C351" s="826">
        <v>0</v>
      </c>
      <c r="F351" s="87" t="str">
        <f t="shared" si="5"/>
        <v>5</v>
      </c>
    </row>
    <row r="352" spans="1:6" x14ac:dyDescent="0.7">
      <c r="A352" s="485" t="s">
        <v>821</v>
      </c>
      <c r="B352" s="196" t="s">
        <v>822</v>
      </c>
      <c r="C352" s="826">
        <v>0</v>
      </c>
      <c r="F352" s="87" t="str">
        <f t="shared" si="5"/>
        <v>5</v>
      </c>
    </row>
    <row r="353" spans="1:6" x14ac:dyDescent="0.7">
      <c r="A353" s="485" t="s">
        <v>823</v>
      </c>
      <c r="B353" s="196" t="s">
        <v>824</v>
      </c>
      <c r="C353" s="826">
        <v>0</v>
      </c>
      <c r="F353" s="87" t="str">
        <f t="shared" si="5"/>
        <v>5</v>
      </c>
    </row>
    <row r="354" spans="1:6" x14ac:dyDescent="0.7">
      <c r="A354" s="485" t="s">
        <v>825</v>
      </c>
      <c r="B354" s="196" t="s">
        <v>826</v>
      </c>
      <c r="C354" s="826">
        <v>0</v>
      </c>
      <c r="F354" s="87" t="str">
        <f t="shared" si="5"/>
        <v>5</v>
      </c>
    </row>
    <row r="355" spans="1:6" x14ac:dyDescent="0.7">
      <c r="A355" s="485" t="s">
        <v>429</v>
      </c>
      <c r="B355" s="196" t="s">
        <v>430</v>
      </c>
      <c r="C355" s="826">
        <v>0</v>
      </c>
      <c r="F355" s="87" t="str">
        <f t="shared" si="5"/>
        <v>5</v>
      </c>
    </row>
    <row r="356" spans="1:6" x14ac:dyDescent="0.7">
      <c r="A356" s="485" t="s">
        <v>431</v>
      </c>
      <c r="B356" s="196" t="s">
        <v>432</v>
      </c>
      <c r="C356" s="826">
        <v>14944.78</v>
      </c>
      <c r="F356" s="87" t="str">
        <f t="shared" si="5"/>
        <v>5</v>
      </c>
    </row>
    <row r="357" spans="1:6" x14ac:dyDescent="0.7">
      <c r="A357" s="485" t="s">
        <v>433</v>
      </c>
      <c r="B357" s="196" t="s">
        <v>434</v>
      </c>
      <c r="C357" s="826">
        <v>0</v>
      </c>
      <c r="F357" s="87" t="str">
        <f t="shared" si="5"/>
        <v>5</v>
      </c>
    </row>
    <row r="358" spans="1:6" x14ac:dyDescent="0.7">
      <c r="A358" s="485" t="s">
        <v>435</v>
      </c>
      <c r="B358" s="196" t="s">
        <v>436</v>
      </c>
      <c r="C358" s="826">
        <v>0</v>
      </c>
      <c r="F358" s="87" t="str">
        <f t="shared" si="5"/>
        <v>5</v>
      </c>
    </row>
    <row r="359" spans="1:6" x14ac:dyDescent="0.7">
      <c r="A359" s="485" t="s">
        <v>437</v>
      </c>
      <c r="B359" s="196" t="s">
        <v>438</v>
      </c>
      <c r="C359" s="826">
        <v>0</v>
      </c>
      <c r="F359" s="87" t="str">
        <f t="shared" si="5"/>
        <v>5</v>
      </c>
    </row>
    <row r="360" spans="1:6" x14ac:dyDescent="0.7">
      <c r="A360" s="485" t="s">
        <v>439</v>
      </c>
      <c r="B360" s="196" t="s">
        <v>440</v>
      </c>
      <c r="C360" s="826">
        <v>0</v>
      </c>
      <c r="F360" s="87" t="str">
        <f t="shared" si="5"/>
        <v>5</v>
      </c>
    </row>
    <row r="361" spans="1:6" x14ac:dyDescent="0.7">
      <c r="A361" s="485" t="s">
        <v>441</v>
      </c>
      <c r="B361" s="196" t="s">
        <v>442</v>
      </c>
      <c r="C361" s="826">
        <v>43597.86</v>
      </c>
      <c r="F361" s="87" t="str">
        <f t="shared" si="5"/>
        <v>5</v>
      </c>
    </row>
    <row r="362" spans="1:6" x14ac:dyDescent="0.7">
      <c r="A362" s="485" t="s">
        <v>443</v>
      </c>
      <c r="B362" s="196" t="s">
        <v>444</v>
      </c>
      <c r="C362" s="826">
        <v>232451.48</v>
      </c>
      <c r="F362" s="87" t="str">
        <f t="shared" si="5"/>
        <v>5</v>
      </c>
    </row>
    <row r="363" spans="1:6" x14ac:dyDescent="0.7">
      <c r="A363" s="485" t="s">
        <v>445</v>
      </c>
      <c r="B363" s="196" t="s">
        <v>446</v>
      </c>
      <c r="C363" s="826">
        <v>0</v>
      </c>
      <c r="F363" s="87" t="str">
        <f t="shared" si="5"/>
        <v>5</v>
      </c>
    </row>
    <row r="364" spans="1:6" x14ac:dyDescent="0.7">
      <c r="A364" s="485" t="s">
        <v>447</v>
      </c>
      <c r="B364" s="196" t="s">
        <v>448</v>
      </c>
      <c r="C364" s="826">
        <v>0</v>
      </c>
      <c r="F364" s="87" t="str">
        <f t="shared" si="5"/>
        <v>5</v>
      </c>
    </row>
    <row r="365" spans="1:6" x14ac:dyDescent="0.7">
      <c r="A365" s="485" t="s">
        <v>449</v>
      </c>
      <c r="B365" s="196" t="s">
        <v>450</v>
      </c>
      <c r="C365" s="826">
        <v>0</v>
      </c>
      <c r="F365" s="87" t="str">
        <f t="shared" si="5"/>
        <v>5</v>
      </c>
    </row>
    <row r="366" spans="1:6" x14ac:dyDescent="0.7">
      <c r="A366" s="485" t="s">
        <v>451</v>
      </c>
      <c r="B366" s="196" t="s">
        <v>452</v>
      </c>
      <c r="C366" s="826">
        <v>0</v>
      </c>
      <c r="F366" s="87" t="str">
        <f t="shared" si="5"/>
        <v>5</v>
      </c>
    </row>
    <row r="367" spans="1:6" x14ac:dyDescent="0.7">
      <c r="A367" s="485" t="s">
        <v>453</v>
      </c>
      <c r="B367" s="196" t="s">
        <v>454</v>
      </c>
      <c r="C367" s="826">
        <v>0</v>
      </c>
      <c r="F367" s="87" t="str">
        <f t="shared" si="5"/>
        <v>5</v>
      </c>
    </row>
    <row r="368" spans="1:6" x14ac:dyDescent="0.7">
      <c r="A368" s="485" t="s">
        <v>455</v>
      </c>
      <c r="B368" s="196" t="s">
        <v>456</v>
      </c>
      <c r="C368" s="826">
        <v>1243832.78</v>
      </c>
      <c r="F368" s="87" t="str">
        <f t="shared" si="5"/>
        <v>5</v>
      </c>
    </row>
    <row r="369" spans="1:6" x14ac:dyDescent="0.7">
      <c r="A369" s="485" t="s">
        <v>457</v>
      </c>
      <c r="B369" s="196" t="s">
        <v>458</v>
      </c>
      <c r="C369" s="826">
        <v>638322.29</v>
      </c>
      <c r="F369" s="87" t="str">
        <f t="shared" si="5"/>
        <v>5</v>
      </c>
    </row>
    <row r="370" spans="1:6" x14ac:dyDescent="0.7">
      <c r="A370" s="485" t="s">
        <v>459</v>
      </c>
      <c r="B370" s="196" t="s">
        <v>460</v>
      </c>
      <c r="C370" s="826">
        <v>114954.41</v>
      </c>
      <c r="F370" s="87" t="str">
        <f t="shared" si="5"/>
        <v>5</v>
      </c>
    </row>
    <row r="371" spans="1:6" x14ac:dyDescent="0.7">
      <c r="A371" s="485" t="s">
        <v>461</v>
      </c>
      <c r="B371" s="196" t="s">
        <v>462</v>
      </c>
      <c r="C371" s="826">
        <v>95244.24</v>
      </c>
      <c r="F371" s="87" t="str">
        <f t="shared" si="5"/>
        <v>5</v>
      </c>
    </row>
    <row r="372" spans="1:6" x14ac:dyDescent="0.7">
      <c r="A372" s="485" t="s">
        <v>463</v>
      </c>
      <c r="B372" s="196" t="s">
        <v>464</v>
      </c>
      <c r="C372" s="826">
        <v>3365.56</v>
      </c>
      <c r="F372" s="87" t="str">
        <f t="shared" si="5"/>
        <v>5</v>
      </c>
    </row>
    <row r="373" spans="1:6" x14ac:dyDescent="0.7">
      <c r="A373" s="485" t="s">
        <v>465</v>
      </c>
      <c r="B373" s="196" t="s">
        <v>466</v>
      </c>
      <c r="C373" s="826">
        <v>656.08</v>
      </c>
      <c r="F373" s="87" t="str">
        <f t="shared" si="5"/>
        <v>5</v>
      </c>
    </row>
    <row r="374" spans="1:6" x14ac:dyDescent="0.7">
      <c r="A374" s="485" t="s">
        <v>467</v>
      </c>
      <c r="B374" s="196" t="s">
        <v>468</v>
      </c>
      <c r="C374" s="826">
        <v>3990060.91</v>
      </c>
      <c r="F374" s="87" t="str">
        <f t="shared" si="5"/>
        <v>5</v>
      </c>
    </row>
    <row r="375" spans="1:6" x14ac:dyDescent="0.7">
      <c r="A375" s="485" t="s">
        <v>469</v>
      </c>
      <c r="B375" s="196" t="s">
        <v>470</v>
      </c>
      <c r="C375" s="826">
        <v>412923.78</v>
      </c>
      <c r="F375" s="87" t="str">
        <f t="shared" si="5"/>
        <v>5</v>
      </c>
    </row>
    <row r="376" spans="1:6" x14ac:dyDescent="0.7">
      <c r="A376" s="485" t="s">
        <v>471</v>
      </c>
      <c r="B376" s="196" t="s">
        <v>472</v>
      </c>
      <c r="C376" s="826">
        <v>227998.68</v>
      </c>
      <c r="F376" s="87" t="str">
        <f t="shared" si="5"/>
        <v>5</v>
      </c>
    </row>
    <row r="377" spans="1:6" x14ac:dyDescent="0.7">
      <c r="A377" s="485" t="s">
        <v>473</v>
      </c>
      <c r="B377" s="196" t="s">
        <v>474</v>
      </c>
      <c r="C377" s="826">
        <v>0</v>
      </c>
      <c r="F377" s="87" t="str">
        <f t="shared" si="5"/>
        <v>5</v>
      </c>
    </row>
    <row r="378" spans="1:6" x14ac:dyDescent="0.7">
      <c r="A378" s="485" t="s">
        <v>475</v>
      </c>
      <c r="B378" s="196" t="s">
        <v>476</v>
      </c>
      <c r="C378" s="826">
        <v>91888.76</v>
      </c>
      <c r="F378" s="87" t="str">
        <f t="shared" si="5"/>
        <v>5</v>
      </c>
    </row>
    <row r="379" spans="1:6" x14ac:dyDescent="0.7">
      <c r="A379" s="485" t="s">
        <v>477</v>
      </c>
      <c r="B379" s="196" t="s">
        <v>478</v>
      </c>
      <c r="C379" s="826">
        <v>0</v>
      </c>
      <c r="F379" s="87" t="str">
        <f t="shared" si="5"/>
        <v>5</v>
      </c>
    </row>
    <row r="380" spans="1:6" x14ac:dyDescent="0.7">
      <c r="A380" s="485" t="s">
        <v>479</v>
      </c>
      <c r="B380" s="196" t="s">
        <v>480</v>
      </c>
      <c r="C380" s="826">
        <v>0</v>
      </c>
      <c r="F380" s="87" t="str">
        <f t="shared" si="5"/>
        <v>5</v>
      </c>
    </row>
    <row r="381" spans="1:6" x14ac:dyDescent="0.7">
      <c r="A381" s="485" t="s">
        <v>481</v>
      </c>
      <c r="B381" s="196" t="s">
        <v>482</v>
      </c>
      <c r="C381" s="826">
        <v>0</v>
      </c>
      <c r="F381" s="87" t="str">
        <f t="shared" si="5"/>
        <v>5</v>
      </c>
    </row>
    <row r="382" spans="1:6" x14ac:dyDescent="0.7">
      <c r="A382" s="485" t="s">
        <v>5838</v>
      </c>
      <c r="B382" s="196" t="s">
        <v>5837</v>
      </c>
      <c r="C382" s="826">
        <v>0</v>
      </c>
      <c r="F382" s="87" t="str">
        <f t="shared" si="5"/>
        <v>5</v>
      </c>
    </row>
    <row r="383" spans="1:6" x14ac:dyDescent="0.7">
      <c r="A383" s="485" t="s">
        <v>498</v>
      </c>
      <c r="B383" s="196" t="s">
        <v>499</v>
      </c>
      <c r="C383" s="263">
        <v>0</v>
      </c>
      <c r="F383" s="87" t="str">
        <f t="shared" si="5"/>
        <v>5</v>
      </c>
    </row>
    <row r="384" spans="1:6" x14ac:dyDescent="0.7">
      <c r="A384" s="485" t="s">
        <v>500</v>
      </c>
      <c r="B384" s="196" t="s">
        <v>501</v>
      </c>
      <c r="C384" s="263">
        <v>0</v>
      </c>
      <c r="F384" s="87" t="str">
        <f t="shared" si="5"/>
        <v>5</v>
      </c>
    </row>
    <row r="385" spans="1:6" x14ac:dyDescent="0.7">
      <c r="A385" s="485" t="s">
        <v>827</v>
      </c>
      <c r="B385" s="196" t="s">
        <v>828</v>
      </c>
      <c r="C385" s="263">
        <v>0</v>
      </c>
      <c r="F385" s="87" t="str">
        <f t="shared" si="5"/>
        <v>5</v>
      </c>
    </row>
    <row r="386" spans="1:6" x14ac:dyDescent="0.7">
      <c r="A386" s="485" t="s">
        <v>502</v>
      </c>
      <c r="B386" s="196" t="s">
        <v>1020</v>
      </c>
      <c r="C386" s="263">
        <v>0</v>
      </c>
      <c r="F386" s="87" t="str">
        <f t="shared" si="5"/>
        <v>5</v>
      </c>
    </row>
    <row r="387" spans="1:6" x14ac:dyDescent="0.7">
      <c r="A387" s="485" t="s">
        <v>503</v>
      </c>
      <c r="B387" s="196" t="s">
        <v>504</v>
      </c>
      <c r="C387" s="263">
        <v>0</v>
      </c>
      <c r="F387" s="87" t="str">
        <f t="shared" ref="F387:F447" si="6">LEFT(A387,1)</f>
        <v>5</v>
      </c>
    </row>
    <row r="388" spans="1:6" x14ac:dyDescent="0.7">
      <c r="A388" s="485" t="s">
        <v>505</v>
      </c>
      <c r="B388" s="196" t="s">
        <v>506</v>
      </c>
      <c r="C388" s="263">
        <v>0</v>
      </c>
      <c r="F388" s="87" t="str">
        <f t="shared" si="6"/>
        <v>5</v>
      </c>
    </row>
    <row r="389" spans="1:6" x14ac:dyDescent="0.7">
      <c r="A389" s="485" t="s">
        <v>507</v>
      </c>
      <c r="B389" s="196" t="s">
        <v>1021</v>
      </c>
      <c r="C389" s="263">
        <v>0</v>
      </c>
      <c r="F389" s="87" t="str">
        <f t="shared" si="6"/>
        <v>5</v>
      </c>
    </row>
    <row r="390" spans="1:6" x14ac:dyDescent="0.7">
      <c r="A390" s="485" t="s">
        <v>508</v>
      </c>
      <c r="B390" s="196" t="s">
        <v>1022</v>
      </c>
      <c r="C390" s="263">
        <v>0</v>
      </c>
      <c r="F390" s="87" t="str">
        <f t="shared" si="6"/>
        <v>5</v>
      </c>
    </row>
    <row r="391" spans="1:6" x14ac:dyDescent="0.7">
      <c r="A391" s="485" t="s">
        <v>509</v>
      </c>
      <c r="B391" s="196" t="s">
        <v>1135</v>
      </c>
      <c r="C391" s="263">
        <v>0</v>
      </c>
      <c r="F391" s="87" t="str">
        <f t="shared" si="6"/>
        <v>5</v>
      </c>
    </row>
    <row r="392" spans="1:6" x14ac:dyDescent="0.7">
      <c r="A392" s="485" t="s">
        <v>510</v>
      </c>
      <c r="B392" s="196" t="s">
        <v>1023</v>
      </c>
      <c r="C392" s="263">
        <v>0</v>
      </c>
      <c r="F392" s="87" t="str">
        <f t="shared" si="6"/>
        <v>5</v>
      </c>
    </row>
    <row r="393" spans="1:6" x14ac:dyDescent="0.7">
      <c r="A393" s="485" t="s">
        <v>511</v>
      </c>
      <c r="B393" s="196" t="s">
        <v>512</v>
      </c>
      <c r="C393" s="263">
        <v>0</v>
      </c>
      <c r="F393" s="87" t="str">
        <f t="shared" si="6"/>
        <v>5</v>
      </c>
    </row>
    <row r="394" spans="1:6" x14ac:dyDescent="0.7">
      <c r="A394" s="485" t="s">
        <v>513</v>
      </c>
      <c r="B394" s="196" t="s">
        <v>514</v>
      </c>
      <c r="C394" s="263">
        <v>0</v>
      </c>
      <c r="F394" s="87" t="str">
        <f t="shared" si="6"/>
        <v>5</v>
      </c>
    </row>
    <row r="395" spans="1:6" x14ac:dyDescent="0.7">
      <c r="A395" s="485" t="s">
        <v>5840</v>
      </c>
      <c r="B395" s="196" t="s">
        <v>5839</v>
      </c>
      <c r="C395" s="263">
        <v>0</v>
      </c>
      <c r="F395" s="87" t="str">
        <f t="shared" si="6"/>
        <v>5</v>
      </c>
    </row>
    <row r="396" spans="1:6" x14ac:dyDescent="0.7">
      <c r="A396" s="485" t="s">
        <v>515</v>
      </c>
      <c r="B396" s="196" t="s">
        <v>1024</v>
      </c>
      <c r="C396" s="826">
        <v>55000</v>
      </c>
      <c r="F396" s="87" t="str">
        <f t="shared" si="6"/>
        <v>5</v>
      </c>
    </row>
    <row r="397" spans="1:6" x14ac:dyDescent="0.7">
      <c r="A397" s="485" t="s">
        <v>516</v>
      </c>
      <c r="B397" s="196" t="s">
        <v>1025</v>
      </c>
      <c r="C397" s="826">
        <v>95000</v>
      </c>
      <c r="F397" s="87" t="str">
        <f t="shared" si="6"/>
        <v>5</v>
      </c>
    </row>
    <row r="398" spans="1:6" x14ac:dyDescent="0.7">
      <c r="A398" s="485" t="s">
        <v>5854</v>
      </c>
      <c r="B398" s="196" t="s">
        <v>5852</v>
      </c>
      <c r="C398" s="826">
        <v>5000</v>
      </c>
      <c r="F398" s="87" t="str">
        <f t="shared" si="6"/>
        <v>5</v>
      </c>
    </row>
    <row r="399" spans="1:6" x14ac:dyDescent="0.7">
      <c r="A399" s="485" t="s">
        <v>5855</v>
      </c>
      <c r="B399" s="196" t="s">
        <v>5853</v>
      </c>
      <c r="C399" s="263">
        <v>0</v>
      </c>
      <c r="F399" s="87" t="str">
        <f t="shared" si="6"/>
        <v>5</v>
      </c>
    </row>
    <row r="400" spans="1:6" x14ac:dyDescent="0.7">
      <c r="A400" s="485" t="s">
        <v>1136</v>
      </c>
      <c r="B400" s="196" t="s">
        <v>1127</v>
      </c>
      <c r="C400" s="263">
        <v>0</v>
      </c>
      <c r="F400" s="87" t="str">
        <f t="shared" si="6"/>
        <v>5</v>
      </c>
    </row>
    <row r="401" spans="1:6" x14ac:dyDescent="0.7">
      <c r="A401" s="485" t="s">
        <v>517</v>
      </c>
      <c r="B401" s="196" t="s">
        <v>518</v>
      </c>
      <c r="C401" s="263">
        <v>0</v>
      </c>
      <c r="F401" s="87" t="str">
        <f t="shared" si="6"/>
        <v>5</v>
      </c>
    </row>
    <row r="402" spans="1:6" x14ac:dyDescent="0.7">
      <c r="A402" s="485" t="s">
        <v>519</v>
      </c>
      <c r="B402" s="196" t="s">
        <v>520</v>
      </c>
      <c r="C402" s="263">
        <v>0</v>
      </c>
      <c r="F402" s="87" t="str">
        <f t="shared" si="6"/>
        <v>5</v>
      </c>
    </row>
    <row r="403" spans="1:6" x14ac:dyDescent="0.7">
      <c r="A403" s="485" t="s">
        <v>521</v>
      </c>
      <c r="B403" s="196" t="s">
        <v>522</v>
      </c>
      <c r="C403" s="263">
        <v>0</v>
      </c>
      <c r="F403" s="87" t="str">
        <f t="shared" si="6"/>
        <v>5</v>
      </c>
    </row>
    <row r="404" spans="1:6" x14ac:dyDescent="0.7">
      <c r="A404" s="485" t="s">
        <v>523</v>
      </c>
      <c r="B404" s="196" t="s">
        <v>524</v>
      </c>
      <c r="C404" s="263">
        <v>0</v>
      </c>
      <c r="F404" s="87" t="str">
        <f t="shared" si="6"/>
        <v>5</v>
      </c>
    </row>
    <row r="405" spans="1:6" x14ac:dyDescent="0.7">
      <c r="A405" s="485" t="s">
        <v>525</v>
      </c>
      <c r="B405" s="196" t="s">
        <v>526</v>
      </c>
      <c r="C405" s="263">
        <v>0</v>
      </c>
      <c r="F405" s="87" t="str">
        <f t="shared" si="6"/>
        <v>5</v>
      </c>
    </row>
    <row r="406" spans="1:6" x14ac:dyDescent="0.7">
      <c r="A406" s="485" t="s">
        <v>527</v>
      </c>
      <c r="B406" s="196" t="s">
        <v>528</v>
      </c>
      <c r="C406" s="263">
        <v>0</v>
      </c>
      <c r="F406" s="87" t="str">
        <f t="shared" si="6"/>
        <v>5</v>
      </c>
    </row>
    <row r="407" spans="1:6" x14ac:dyDescent="0.7">
      <c r="A407" s="485" t="s">
        <v>529</v>
      </c>
      <c r="B407" s="196" t="s">
        <v>530</v>
      </c>
      <c r="C407" s="263">
        <v>0</v>
      </c>
      <c r="F407" s="87" t="str">
        <f t="shared" si="6"/>
        <v>5</v>
      </c>
    </row>
    <row r="408" spans="1:6" x14ac:dyDescent="0.7">
      <c r="A408" s="485" t="s">
        <v>531</v>
      </c>
      <c r="B408" s="196" t="s">
        <v>532</v>
      </c>
      <c r="C408" s="263">
        <v>0</v>
      </c>
      <c r="F408" s="87" t="str">
        <f t="shared" si="6"/>
        <v>5</v>
      </c>
    </row>
    <row r="409" spans="1:6" x14ac:dyDescent="0.7">
      <c r="A409" s="485" t="s">
        <v>533</v>
      </c>
      <c r="B409" s="196" t="s">
        <v>534</v>
      </c>
      <c r="C409" s="263">
        <v>0</v>
      </c>
      <c r="F409" s="87" t="str">
        <f t="shared" si="6"/>
        <v>5</v>
      </c>
    </row>
    <row r="410" spans="1:6" x14ac:dyDescent="0.7">
      <c r="A410" s="485" t="s">
        <v>535</v>
      </c>
      <c r="B410" s="196" t="s">
        <v>536</v>
      </c>
      <c r="C410" s="263">
        <v>0</v>
      </c>
      <c r="F410" s="87" t="str">
        <f t="shared" si="6"/>
        <v>5</v>
      </c>
    </row>
    <row r="411" spans="1:6" x14ac:dyDescent="0.7">
      <c r="A411" s="485" t="s">
        <v>537</v>
      </c>
      <c r="B411" s="196" t="s">
        <v>538</v>
      </c>
      <c r="C411" s="263">
        <v>0</v>
      </c>
      <c r="F411" s="87" t="str">
        <f t="shared" si="6"/>
        <v>5</v>
      </c>
    </row>
    <row r="412" spans="1:6" x14ac:dyDescent="0.7">
      <c r="A412" s="485" t="s">
        <v>539</v>
      </c>
      <c r="B412" s="196" t="s">
        <v>540</v>
      </c>
      <c r="C412" s="263">
        <v>0</v>
      </c>
      <c r="F412" s="87" t="str">
        <f t="shared" si="6"/>
        <v>5</v>
      </c>
    </row>
    <row r="413" spans="1:6" x14ac:dyDescent="0.7">
      <c r="A413" s="485" t="s">
        <v>541</v>
      </c>
      <c r="B413" s="196" t="s">
        <v>542</v>
      </c>
      <c r="C413" s="263">
        <v>0</v>
      </c>
      <c r="F413" s="87" t="str">
        <f t="shared" si="6"/>
        <v>5</v>
      </c>
    </row>
    <row r="414" spans="1:6" x14ac:dyDescent="0.7">
      <c r="A414" s="485" t="s">
        <v>543</v>
      </c>
      <c r="B414" s="196" t="s">
        <v>544</v>
      </c>
      <c r="C414" s="263">
        <v>0</v>
      </c>
      <c r="F414" s="87" t="str">
        <f t="shared" si="6"/>
        <v>5</v>
      </c>
    </row>
    <row r="415" spans="1:6" x14ac:dyDescent="0.7">
      <c r="A415" s="485" t="s">
        <v>545</v>
      </c>
      <c r="B415" s="196" t="s">
        <v>546</v>
      </c>
      <c r="C415" s="263">
        <v>0</v>
      </c>
      <c r="F415" s="87" t="str">
        <f t="shared" si="6"/>
        <v>5</v>
      </c>
    </row>
    <row r="416" spans="1:6" x14ac:dyDescent="0.7">
      <c r="A416" s="485" t="s">
        <v>547</v>
      </c>
      <c r="B416" s="196" t="s">
        <v>548</v>
      </c>
      <c r="C416" s="263">
        <v>0</v>
      </c>
      <c r="F416" s="87" t="str">
        <f t="shared" si="6"/>
        <v>5</v>
      </c>
    </row>
    <row r="417" spans="1:6" x14ac:dyDescent="0.7">
      <c r="A417" s="485" t="s">
        <v>549</v>
      </c>
      <c r="B417" s="196" t="s">
        <v>550</v>
      </c>
      <c r="C417" s="263">
        <v>0</v>
      </c>
      <c r="F417" s="87" t="str">
        <f t="shared" si="6"/>
        <v>5</v>
      </c>
    </row>
    <row r="418" spans="1:6" x14ac:dyDescent="0.7">
      <c r="A418" s="485" t="s">
        <v>551</v>
      </c>
      <c r="B418" s="196" t="s">
        <v>552</v>
      </c>
      <c r="C418" s="263">
        <v>0</v>
      </c>
      <c r="F418" s="87" t="str">
        <f t="shared" si="6"/>
        <v>5</v>
      </c>
    </row>
    <row r="419" spans="1:6" x14ac:dyDescent="0.7">
      <c r="A419" s="485" t="s">
        <v>553</v>
      </c>
      <c r="B419" s="196" t="s">
        <v>554</v>
      </c>
      <c r="C419" s="263">
        <v>0</v>
      </c>
      <c r="F419" s="87" t="str">
        <f t="shared" si="6"/>
        <v>5</v>
      </c>
    </row>
    <row r="420" spans="1:6" x14ac:dyDescent="0.7">
      <c r="A420" s="485" t="s">
        <v>555</v>
      </c>
      <c r="B420" s="196" t="s">
        <v>556</v>
      </c>
      <c r="C420" s="263">
        <v>0</v>
      </c>
      <c r="F420" s="87" t="str">
        <f t="shared" si="6"/>
        <v>5</v>
      </c>
    </row>
    <row r="421" spans="1:6" x14ac:dyDescent="0.7">
      <c r="A421" s="485" t="s">
        <v>2271</v>
      </c>
      <c r="B421" s="196" t="s">
        <v>829</v>
      </c>
      <c r="C421" s="263">
        <v>0</v>
      </c>
      <c r="F421" s="87" t="str">
        <f t="shared" si="6"/>
        <v>5</v>
      </c>
    </row>
    <row r="422" spans="1:6" x14ac:dyDescent="0.7">
      <c r="A422" s="485" t="s">
        <v>830</v>
      </c>
      <c r="B422" s="196" t="s">
        <v>831</v>
      </c>
      <c r="C422" s="263">
        <v>0</v>
      </c>
      <c r="F422" s="87" t="str">
        <f t="shared" si="6"/>
        <v>5</v>
      </c>
    </row>
    <row r="423" spans="1:6" x14ac:dyDescent="0.7">
      <c r="A423" s="485" t="s">
        <v>832</v>
      </c>
      <c r="B423" s="196" t="s">
        <v>833</v>
      </c>
      <c r="C423" s="263">
        <v>0</v>
      </c>
      <c r="F423" s="87" t="str">
        <f t="shared" si="6"/>
        <v>5</v>
      </c>
    </row>
    <row r="424" spans="1:6" x14ac:dyDescent="0.7">
      <c r="A424" s="485" t="s">
        <v>557</v>
      </c>
      <c r="B424" s="196" t="s">
        <v>1026</v>
      </c>
      <c r="C424" s="263">
        <v>0</v>
      </c>
      <c r="F424" s="87" t="str">
        <f t="shared" si="6"/>
        <v>5</v>
      </c>
    </row>
    <row r="425" spans="1:6" x14ac:dyDescent="0.7">
      <c r="A425" s="485" t="s">
        <v>834</v>
      </c>
      <c r="B425" s="196" t="s">
        <v>835</v>
      </c>
      <c r="C425" s="263">
        <v>0</v>
      </c>
      <c r="F425" s="87" t="str">
        <f t="shared" si="6"/>
        <v>5</v>
      </c>
    </row>
    <row r="426" spans="1:6" x14ac:dyDescent="0.7">
      <c r="A426" s="485" t="s">
        <v>836</v>
      </c>
      <c r="B426" s="196" t="s">
        <v>837</v>
      </c>
      <c r="C426" s="263">
        <v>0</v>
      </c>
      <c r="F426" s="87" t="str">
        <f t="shared" si="6"/>
        <v>5</v>
      </c>
    </row>
    <row r="427" spans="1:6" x14ac:dyDescent="0.7">
      <c r="A427" s="485" t="s">
        <v>558</v>
      </c>
      <c r="B427" s="196" t="s">
        <v>5985</v>
      </c>
      <c r="C427" s="263">
        <v>0</v>
      </c>
      <c r="F427" s="87" t="str">
        <f t="shared" si="6"/>
        <v>5</v>
      </c>
    </row>
    <row r="428" spans="1:6" x14ac:dyDescent="0.7">
      <c r="A428" s="845" t="s">
        <v>5984</v>
      </c>
      <c r="B428" s="846" t="s">
        <v>5982</v>
      </c>
      <c r="C428" s="826">
        <v>0</v>
      </c>
      <c r="F428" s="87" t="str">
        <f t="shared" si="6"/>
        <v>5</v>
      </c>
    </row>
    <row r="429" spans="1:6" x14ac:dyDescent="0.7">
      <c r="A429" s="845" t="s">
        <v>5983</v>
      </c>
      <c r="B429" s="846" t="s">
        <v>559</v>
      </c>
      <c r="C429" s="263">
        <v>0</v>
      </c>
      <c r="F429" s="87" t="str">
        <f t="shared" si="6"/>
        <v>5</v>
      </c>
    </row>
    <row r="430" spans="1:6" x14ac:dyDescent="0.7">
      <c r="A430" s="485" t="s">
        <v>838</v>
      </c>
      <c r="B430" s="196" t="s">
        <v>7342</v>
      </c>
      <c r="C430" s="263">
        <v>0</v>
      </c>
      <c r="F430" s="87" t="str">
        <f t="shared" si="6"/>
        <v>5</v>
      </c>
    </row>
    <row r="431" spans="1:6" x14ac:dyDescent="0.7">
      <c r="A431" s="485" t="s">
        <v>560</v>
      </c>
      <c r="B431" s="196" t="s">
        <v>561</v>
      </c>
      <c r="C431" s="263">
        <v>0</v>
      </c>
      <c r="F431" s="87" t="str">
        <f t="shared" si="6"/>
        <v>5</v>
      </c>
    </row>
    <row r="432" spans="1:6" x14ac:dyDescent="0.7">
      <c r="A432" s="485" t="s">
        <v>562</v>
      </c>
      <c r="B432" s="196" t="s">
        <v>563</v>
      </c>
      <c r="C432" s="826">
        <v>240000</v>
      </c>
      <c r="F432" s="87" t="str">
        <f t="shared" si="6"/>
        <v>5</v>
      </c>
    </row>
    <row r="433" spans="1:6" x14ac:dyDescent="0.7">
      <c r="A433" s="485" t="s">
        <v>564</v>
      </c>
      <c r="B433" s="196" t="s">
        <v>565</v>
      </c>
      <c r="C433" s="263">
        <v>0</v>
      </c>
      <c r="F433" s="87" t="str">
        <f t="shared" si="6"/>
        <v>5</v>
      </c>
    </row>
    <row r="434" spans="1:6" x14ac:dyDescent="0.7">
      <c r="A434" s="485" t="s">
        <v>566</v>
      </c>
      <c r="B434" s="196" t="s">
        <v>567</v>
      </c>
      <c r="C434" s="263">
        <v>0</v>
      </c>
      <c r="F434" s="87" t="str">
        <f t="shared" si="6"/>
        <v>5</v>
      </c>
    </row>
    <row r="435" spans="1:6" x14ac:dyDescent="0.7">
      <c r="A435" s="485" t="s">
        <v>568</v>
      </c>
      <c r="B435" s="196" t="s">
        <v>1027</v>
      </c>
      <c r="C435" s="263">
        <v>0</v>
      </c>
      <c r="F435" s="87" t="str">
        <f t="shared" si="6"/>
        <v>5</v>
      </c>
    </row>
    <row r="436" spans="1:6" x14ac:dyDescent="0.7">
      <c r="A436" s="485" t="s">
        <v>569</v>
      </c>
      <c r="B436" s="196" t="s">
        <v>1028</v>
      </c>
      <c r="C436" s="263">
        <v>0</v>
      </c>
      <c r="F436" s="87" t="str">
        <f t="shared" si="6"/>
        <v>5</v>
      </c>
    </row>
    <row r="437" spans="1:6" x14ac:dyDescent="0.7">
      <c r="A437" s="485" t="s">
        <v>570</v>
      </c>
      <c r="B437" s="196" t="s">
        <v>571</v>
      </c>
      <c r="C437" s="826">
        <v>0</v>
      </c>
      <c r="F437" s="87" t="str">
        <f t="shared" si="6"/>
        <v>5</v>
      </c>
    </row>
    <row r="438" spans="1:6" x14ac:dyDescent="0.7">
      <c r="A438" s="485" t="s">
        <v>572</v>
      </c>
      <c r="B438" s="196" t="s">
        <v>573</v>
      </c>
      <c r="C438" s="263">
        <v>0</v>
      </c>
      <c r="F438" s="87" t="str">
        <f t="shared" si="6"/>
        <v>5</v>
      </c>
    </row>
    <row r="439" spans="1:6" x14ac:dyDescent="0.7">
      <c r="A439" s="485" t="s">
        <v>574</v>
      </c>
      <c r="B439" s="196" t="s">
        <v>5990</v>
      </c>
      <c r="C439" s="263">
        <v>0</v>
      </c>
      <c r="F439" s="87" t="str">
        <f t="shared" si="6"/>
        <v>5</v>
      </c>
    </row>
    <row r="440" spans="1:6" x14ac:dyDescent="0.7">
      <c r="A440" s="485" t="s">
        <v>575</v>
      </c>
      <c r="B440" s="196" t="s">
        <v>5989</v>
      </c>
      <c r="C440" s="263">
        <v>0</v>
      </c>
      <c r="F440" s="87" t="str">
        <f t="shared" si="6"/>
        <v>5</v>
      </c>
    </row>
    <row r="441" spans="1:6" x14ac:dyDescent="0.7">
      <c r="A441" s="485" t="s">
        <v>576</v>
      </c>
      <c r="B441" s="196" t="s">
        <v>5988</v>
      </c>
      <c r="C441" s="263">
        <v>0</v>
      </c>
      <c r="F441" s="87" t="str">
        <f t="shared" si="6"/>
        <v>5</v>
      </c>
    </row>
    <row r="442" spans="1:6" x14ac:dyDescent="0.7">
      <c r="A442" s="485" t="s">
        <v>577</v>
      </c>
      <c r="B442" s="196" t="s">
        <v>5987</v>
      </c>
      <c r="C442" s="263">
        <v>0</v>
      </c>
      <c r="F442" s="87" t="str">
        <f t="shared" si="6"/>
        <v>5</v>
      </c>
    </row>
    <row r="443" spans="1:6" x14ac:dyDescent="0.7">
      <c r="A443" s="251" t="s">
        <v>578</v>
      </c>
      <c r="B443" s="212" t="s">
        <v>5991</v>
      </c>
      <c r="C443" s="826">
        <v>0</v>
      </c>
      <c r="F443" s="87" t="str">
        <f t="shared" si="6"/>
        <v>5</v>
      </c>
    </row>
    <row r="444" spans="1:6" x14ac:dyDescent="0.7">
      <c r="A444" s="251" t="s">
        <v>579</v>
      </c>
      <c r="B444" s="212" t="s">
        <v>580</v>
      </c>
      <c r="C444" s="263">
        <v>0</v>
      </c>
      <c r="F444" s="87" t="str">
        <f t="shared" si="6"/>
        <v>5</v>
      </c>
    </row>
    <row r="445" spans="1:6" x14ac:dyDescent="0.7">
      <c r="C445" s="421">
        <f>SUM(C2:C444)</f>
        <v>190038371.20000005</v>
      </c>
      <c r="F445" s="87" t="str">
        <f t="shared" si="6"/>
        <v/>
      </c>
    </row>
    <row r="446" spans="1:6" x14ac:dyDescent="0.7">
      <c r="B446" s="87" t="s">
        <v>632</v>
      </c>
      <c r="C446" s="197">
        <f>SUM(C2:C168)</f>
        <v>101254575.66000001</v>
      </c>
      <c r="F446" s="87" t="str">
        <f t="shared" si="6"/>
        <v/>
      </c>
    </row>
    <row r="447" spans="1:6" x14ac:dyDescent="0.7">
      <c r="B447" s="87" t="s">
        <v>650</v>
      </c>
      <c r="C447" s="197">
        <f>SUM(C169:C438)</f>
        <v>88783795.540000021</v>
      </c>
      <c r="F447" s="87" t="str">
        <f t="shared" si="6"/>
        <v/>
      </c>
    </row>
    <row r="448" spans="1:6" x14ac:dyDescent="0.7">
      <c r="C448" s="197">
        <f>SUM(C446-C447)</f>
        <v>12470780.11999999</v>
      </c>
      <c r="D448" s="69" t="s">
        <v>5935</v>
      </c>
    </row>
    <row r="449" spans="2:5" x14ac:dyDescent="0.7">
      <c r="B449" s="87" t="s">
        <v>632</v>
      </c>
      <c r="C449" s="197">
        <f>SUMIF($F$2:$F$447,4,$C$2:$C$447)</f>
        <v>101504575.66000001</v>
      </c>
      <c r="D449" s="197">
        <f>SUM('1.Planfin2566'!G17)</f>
        <v>101504575.66</v>
      </c>
      <c r="E449" s="197">
        <f>SUM(C449-D449)</f>
        <v>1.4901161193847656E-8</v>
      </c>
    </row>
    <row r="450" spans="2:5" x14ac:dyDescent="0.7">
      <c r="B450" s="87" t="s">
        <v>650</v>
      </c>
      <c r="C450" s="197">
        <f>SUMIF($F$2:$F$447,5,$C$2:$C$447)</f>
        <v>88533795.540000021</v>
      </c>
      <c r="D450" s="197">
        <f>SUM('1.Planfin2566'!G33)</f>
        <v>88533795.540000007</v>
      </c>
      <c r="E450" s="197">
        <f>SUM(C450-D450)</f>
        <v>1.4901161193847656E-8</v>
      </c>
    </row>
    <row r="451" spans="2:5" x14ac:dyDescent="0.7">
      <c r="C451" s="197">
        <f>SUM(C449-C450)</f>
        <v>12970780.11999999</v>
      </c>
    </row>
    <row r="511" spans="2:2" x14ac:dyDescent="0.7">
      <c r="B511" s="87" t="s">
        <v>5850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00B0F0"/>
  </sheetPr>
  <dimension ref="A1:I451"/>
  <sheetViews>
    <sheetView zoomScale="80" zoomScaleNormal="80" workbookViewId="0">
      <selection activeCell="C455" sqref="C455"/>
    </sheetView>
  </sheetViews>
  <sheetFormatPr defaultColWidth="8.796875" defaultRowHeight="24.6" x14ac:dyDescent="0.7"/>
  <cols>
    <col min="1" max="1" width="16.3984375" style="6" customWidth="1"/>
    <col min="2" max="2" width="65.3984375" style="6" customWidth="1"/>
    <col min="3" max="3" width="19.19921875" style="6" bestFit="1" customWidth="1"/>
    <col min="4" max="4" width="8.3984375" style="6" customWidth="1"/>
    <col min="5" max="5" width="14.59765625" style="96" bestFit="1" customWidth="1"/>
    <col min="6" max="6" width="18.09765625" style="96" customWidth="1"/>
    <col min="7" max="7" width="15.3984375" style="96" customWidth="1"/>
    <col min="8" max="8" width="19.8984375" style="349" bestFit="1" customWidth="1"/>
    <col min="9" max="9" width="5.796875" style="6" bestFit="1" customWidth="1"/>
    <col min="10" max="16384" width="8.796875" style="6"/>
  </cols>
  <sheetData>
    <row r="1" spans="1:9" ht="28.8" customHeight="1" x14ac:dyDescent="1">
      <c r="A1" s="99"/>
      <c r="B1" s="182" t="s">
        <v>6390</v>
      </c>
      <c r="C1" s="99"/>
      <c r="D1" s="99"/>
      <c r="E1" s="99"/>
      <c r="F1" s="99"/>
      <c r="G1" s="99"/>
    </row>
    <row r="2" spans="1:9" x14ac:dyDescent="0.7">
      <c r="A2" s="411" t="s">
        <v>669</v>
      </c>
      <c r="B2" s="412" t="s">
        <v>670</v>
      </c>
      <c r="C2" s="413" t="s">
        <v>655</v>
      </c>
      <c r="E2" s="414" t="s">
        <v>704</v>
      </c>
      <c r="F2" s="414" t="s">
        <v>6391</v>
      </c>
      <c r="G2" s="414" t="s">
        <v>5986</v>
      </c>
      <c r="I2" s="6" t="s">
        <v>6313</v>
      </c>
    </row>
    <row r="3" spans="1:9" ht="24" hidden="1" customHeight="1" x14ac:dyDescent="0.7">
      <c r="A3" s="251" t="s">
        <v>139</v>
      </c>
      <c r="B3" s="212" t="s">
        <v>140</v>
      </c>
      <c r="C3" s="11">
        <f>IFERROR(INDEX('5.งบทดลอง รพ.'!$C:$C,MATCH('6.WS-Re-Exp'!A3,'5.งบทดลอง รพ.'!$A:$A,0)),)</f>
        <v>0</v>
      </c>
      <c r="E3" s="201" t="str">
        <f>INDEX('13.Mapping'!$F:$F,MATCH('6.WS-Re-Exp'!$A3,'13.Mapping'!$B:$B,0))</f>
        <v>45110</v>
      </c>
      <c r="F3" s="201" t="str">
        <f>INDEX('13.Mapping'!$D:$D,MATCH('6.WS-Re-Exp'!$A3,'13.Mapping'!$B:$B,0))</f>
        <v>P12</v>
      </c>
      <c r="G3" s="201">
        <f>INDEX('13.Mapping'!$K:$K,MATCH('6.WS-Re-Exp'!$A3,'13.Mapping'!$B:$B,0))</f>
        <v>0</v>
      </c>
      <c r="H3" s="350"/>
      <c r="I3" s="531">
        <v>1</v>
      </c>
    </row>
    <row r="4" spans="1:9" hidden="1" x14ac:dyDescent="0.7">
      <c r="A4" s="251" t="s">
        <v>141</v>
      </c>
      <c r="B4" s="212" t="s">
        <v>142</v>
      </c>
      <c r="C4" s="11">
        <f>IFERROR(INDEX('5.งบทดลอง รพ.'!$C:$C,MATCH('6.WS-Re-Exp'!A4,'5.งบทดลอง รพ.'!$A:$A,0)),)</f>
        <v>0</v>
      </c>
      <c r="E4" s="201" t="str">
        <f>INDEX('13.Mapping'!$F:$F,MATCH('6.WS-Re-Exp'!$A4,'13.Mapping'!$B:$B,0))</f>
        <v>45110</v>
      </c>
      <c r="F4" s="201" t="str">
        <f>INDEX('13.Mapping'!$D:$D,MATCH('6.WS-Re-Exp'!$A4,'13.Mapping'!$B:$B,0))</f>
        <v>P12</v>
      </c>
      <c r="G4" s="201">
        <f>INDEX('13.Mapping'!$K:$K,MATCH('6.WS-Re-Exp'!$A4,'13.Mapping'!$B:$B,0))</f>
        <v>0</v>
      </c>
      <c r="H4" s="350"/>
      <c r="I4" s="531">
        <v>2</v>
      </c>
    </row>
    <row r="5" spans="1:9" hidden="1" x14ac:dyDescent="0.7">
      <c r="A5" s="251" t="s">
        <v>143</v>
      </c>
      <c r="B5" s="212" t="s">
        <v>144</v>
      </c>
      <c r="C5" s="11">
        <f>IFERROR(INDEX('5.งบทดลอง รพ.'!$C:$C,MATCH('6.WS-Re-Exp'!A5,'5.งบทดลอง รพ.'!$A:$A,0)),)</f>
        <v>0</v>
      </c>
      <c r="E5" s="201" t="str">
        <f>INDEX('13.Mapping'!$F:$F,MATCH('6.WS-Re-Exp'!$A5,'13.Mapping'!$B:$B,0))</f>
        <v>45110</v>
      </c>
      <c r="F5" s="201" t="str">
        <f>INDEX('13.Mapping'!$D:$D,MATCH('6.WS-Re-Exp'!$A5,'13.Mapping'!$B:$B,0))</f>
        <v>P12</v>
      </c>
      <c r="G5" s="201">
        <f>INDEX('13.Mapping'!$K:$K,MATCH('6.WS-Re-Exp'!$A5,'13.Mapping'!$B:$B,0))</f>
        <v>0</v>
      </c>
      <c r="H5" s="350"/>
      <c r="I5" s="531">
        <v>3</v>
      </c>
    </row>
    <row r="6" spans="1:9" hidden="1" x14ac:dyDescent="0.7">
      <c r="A6" s="251" t="s">
        <v>145</v>
      </c>
      <c r="B6" s="212" t="s">
        <v>146</v>
      </c>
      <c r="C6" s="11">
        <f>IFERROR(INDEX('5.งบทดลอง รพ.'!$C:$C,MATCH('6.WS-Re-Exp'!A6,'5.งบทดลอง รพ.'!$A:$A,0)),)</f>
        <v>0</v>
      </c>
      <c r="E6" s="201" t="str">
        <f>INDEX('13.Mapping'!$F:$F,MATCH('6.WS-Re-Exp'!$A6,'13.Mapping'!$B:$B,0))</f>
        <v>45110</v>
      </c>
      <c r="F6" s="201" t="str">
        <f>INDEX('13.Mapping'!$D:$D,MATCH('6.WS-Re-Exp'!$A6,'13.Mapping'!$B:$B,0))</f>
        <v>P12</v>
      </c>
      <c r="G6" s="201">
        <f>INDEX('13.Mapping'!$K:$K,MATCH('6.WS-Re-Exp'!$A6,'13.Mapping'!$B:$B,0))</f>
        <v>0</v>
      </c>
      <c r="H6" s="350"/>
      <c r="I6" s="531">
        <v>4</v>
      </c>
    </row>
    <row r="7" spans="1:9" hidden="1" x14ac:dyDescent="0.7">
      <c r="A7" s="251" t="s">
        <v>147</v>
      </c>
      <c r="B7" s="212" t="s">
        <v>937</v>
      </c>
      <c r="C7" s="11">
        <f>IFERROR(INDEX('5.งบทดลอง รพ.'!$C:$C,MATCH('6.WS-Re-Exp'!A7,'5.งบทดลอง รพ.'!$A:$A,0)),)</f>
        <v>0</v>
      </c>
      <c r="E7" s="201" t="str">
        <f>INDEX('13.Mapping'!$F:$F,MATCH('6.WS-Re-Exp'!$A7,'13.Mapping'!$B:$B,0))</f>
        <v>45110</v>
      </c>
      <c r="F7" s="201" t="str">
        <f>INDEX('13.Mapping'!$D:$D,MATCH('6.WS-Re-Exp'!$A7,'13.Mapping'!$B:$B,0))</f>
        <v>P12</v>
      </c>
      <c r="G7" s="201">
        <f>INDEX('13.Mapping'!$K:$K,MATCH('6.WS-Re-Exp'!$A7,'13.Mapping'!$B:$B,0))</f>
        <v>0</v>
      </c>
      <c r="H7" s="350"/>
      <c r="I7" s="531">
        <v>5</v>
      </c>
    </row>
    <row r="8" spans="1:9" hidden="1" x14ac:dyDescent="0.7">
      <c r="A8" s="251" t="s">
        <v>148</v>
      </c>
      <c r="B8" s="212" t="s">
        <v>149</v>
      </c>
      <c r="C8" s="11">
        <f>IFERROR(INDEX('5.งบทดลอง รพ.'!$C:$C,MATCH('6.WS-Re-Exp'!A8,'5.งบทดลอง รพ.'!$A:$A,0)),)</f>
        <v>0</v>
      </c>
      <c r="E8" s="201" t="str">
        <f>INDEX('13.Mapping'!$F:$F,MATCH('6.WS-Re-Exp'!$A8,'13.Mapping'!$B:$B,0))</f>
        <v>45110</v>
      </c>
      <c r="F8" s="201" t="str">
        <f>INDEX('13.Mapping'!$D:$D,MATCH('6.WS-Re-Exp'!$A8,'13.Mapping'!$B:$B,0))</f>
        <v>P12</v>
      </c>
      <c r="G8" s="201">
        <f>INDEX('13.Mapping'!$K:$K,MATCH('6.WS-Re-Exp'!$A8,'13.Mapping'!$B:$B,0))</f>
        <v>0</v>
      </c>
      <c r="H8" s="350"/>
      <c r="I8" s="531">
        <v>6</v>
      </c>
    </row>
    <row r="9" spans="1:9" hidden="1" x14ac:dyDescent="0.7">
      <c r="A9" s="251" t="s">
        <v>150</v>
      </c>
      <c r="B9" s="212" t="s">
        <v>171</v>
      </c>
      <c r="C9" s="11">
        <f>IFERROR(INDEX('5.งบทดลอง รพ.'!$C:$C,MATCH('6.WS-Re-Exp'!A9,'5.งบทดลอง รพ.'!$A:$A,0)),)</f>
        <v>0</v>
      </c>
      <c r="E9" s="201" t="str">
        <f>INDEX('13.Mapping'!$F:$F,MATCH('6.WS-Re-Exp'!$A9,'13.Mapping'!$B:$B,0))</f>
        <v>45110</v>
      </c>
      <c r="F9" s="201" t="str">
        <f>INDEX('13.Mapping'!$D:$D,MATCH('6.WS-Re-Exp'!$A9,'13.Mapping'!$B:$B,0))</f>
        <v>P12</v>
      </c>
      <c r="G9" s="201">
        <f>INDEX('13.Mapping'!$K:$K,MATCH('6.WS-Re-Exp'!$A9,'13.Mapping'!$B:$B,0))</f>
        <v>0</v>
      </c>
      <c r="H9" s="350"/>
      <c r="I9" s="531">
        <v>7</v>
      </c>
    </row>
    <row r="10" spans="1:9" hidden="1" x14ac:dyDescent="0.7">
      <c r="A10" s="251" t="s">
        <v>151</v>
      </c>
      <c r="B10" s="212" t="s">
        <v>173</v>
      </c>
      <c r="C10" s="11">
        <f>IFERROR(INDEX('5.งบทดลอง รพ.'!$C:$C,MATCH('6.WS-Re-Exp'!A10,'5.งบทดลอง รพ.'!$A:$A,0)),)</f>
        <v>0</v>
      </c>
      <c r="E10" s="201" t="str">
        <f>INDEX('13.Mapping'!$F:$F,MATCH('6.WS-Re-Exp'!$A10,'13.Mapping'!$B:$B,0))</f>
        <v>45110</v>
      </c>
      <c r="F10" s="201" t="str">
        <f>INDEX('13.Mapping'!$D:$D,MATCH('6.WS-Re-Exp'!$A10,'13.Mapping'!$B:$B,0))</f>
        <v>P12</v>
      </c>
      <c r="G10" s="201">
        <f>INDEX('13.Mapping'!$K:$K,MATCH('6.WS-Re-Exp'!$A10,'13.Mapping'!$B:$B,0))</f>
        <v>0</v>
      </c>
      <c r="H10" s="350"/>
      <c r="I10" s="531">
        <v>8</v>
      </c>
    </row>
    <row r="11" spans="1:9" hidden="1" x14ac:dyDescent="0.7">
      <c r="A11" s="251" t="s">
        <v>152</v>
      </c>
      <c r="B11" s="212" t="s">
        <v>153</v>
      </c>
      <c r="C11" s="11">
        <f>IFERROR(INDEX('5.งบทดลอง รพ.'!$C:$C,MATCH('6.WS-Re-Exp'!A11,'5.งบทดลอง รพ.'!$A:$A,0)),)</f>
        <v>0</v>
      </c>
      <c r="E11" s="201" t="str">
        <f>INDEX('13.Mapping'!$F:$F,MATCH('6.WS-Re-Exp'!$A11,'13.Mapping'!$B:$B,0))</f>
        <v>45110</v>
      </c>
      <c r="F11" s="201" t="str">
        <f>INDEX('13.Mapping'!$D:$D,MATCH('6.WS-Re-Exp'!$A11,'13.Mapping'!$B:$B,0))</f>
        <v>P12</v>
      </c>
      <c r="G11" s="201">
        <f>INDEX('13.Mapping'!$K:$K,MATCH('6.WS-Re-Exp'!$A11,'13.Mapping'!$B:$B,0))</f>
        <v>0</v>
      </c>
      <c r="H11" s="350"/>
      <c r="I11" s="531">
        <v>9</v>
      </c>
    </row>
    <row r="12" spans="1:9" hidden="1" x14ac:dyDescent="0.7">
      <c r="A12" s="251" t="s">
        <v>5813</v>
      </c>
      <c r="B12" s="212" t="s">
        <v>5814</v>
      </c>
      <c r="C12" s="11">
        <f>IFERROR(INDEX('5.งบทดลอง รพ.'!$C:$C,MATCH('6.WS-Re-Exp'!A12,'5.งบทดลอง รพ.'!$A:$A,0)),)</f>
        <v>0</v>
      </c>
      <c r="E12" s="201" t="str">
        <f>INDEX('13.Mapping'!$F:$F,MATCH('6.WS-Re-Exp'!$A12,'13.Mapping'!$B:$B,0))</f>
        <v>45110</v>
      </c>
      <c r="F12" s="201" t="str">
        <f>INDEX('13.Mapping'!$D:$D,MATCH('6.WS-Re-Exp'!$A12,'13.Mapping'!$B:$B,0))</f>
        <v>P12</v>
      </c>
      <c r="G12" s="201">
        <f>INDEX('13.Mapping'!$K:$K,MATCH('6.WS-Re-Exp'!$A12,'13.Mapping'!$B:$B,0))</f>
        <v>0</v>
      </c>
      <c r="H12" s="350"/>
      <c r="I12" s="531">
        <v>10</v>
      </c>
    </row>
    <row r="13" spans="1:9" hidden="1" x14ac:dyDescent="0.7">
      <c r="A13" s="251" t="s">
        <v>154</v>
      </c>
      <c r="B13" s="212" t="s">
        <v>155</v>
      </c>
      <c r="C13" s="11">
        <f>IFERROR(INDEX('5.งบทดลอง รพ.'!$C:$C,MATCH('6.WS-Re-Exp'!A13,'5.งบทดลอง รพ.'!$A:$A,0)),)</f>
        <v>0</v>
      </c>
      <c r="E13" s="201" t="str">
        <f>INDEX('13.Mapping'!$F:$F,MATCH('6.WS-Re-Exp'!$A13,'13.Mapping'!$B:$B,0))</f>
        <v>45110</v>
      </c>
      <c r="F13" s="201" t="str">
        <f>INDEX('13.Mapping'!$D:$D,MATCH('6.WS-Re-Exp'!$A13,'13.Mapping'!$B:$B,0))</f>
        <v>P12</v>
      </c>
      <c r="G13" s="201">
        <f>INDEX('13.Mapping'!$K:$K,MATCH('6.WS-Re-Exp'!$A13,'13.Mapping'!$B:$B,0))</f>
        <v>0</v>
      </c>
      <c r="H13" s="350"/>
      <c r="I13" s="531">
        <v>11</v>
      </c>
    </row>
    <row r="14" spans="1:9" s="33" customFormat="1" hidden="1" x14ac:dyDescent="0.7">
      <c r="A14" s="251" t="s">
        <v>112</v>
      </c>
      <c r="B14" s="212" t="s">
        <v>113</v>
      </c>
      <c r="C14" s="11">
        <f>IFERROR(INDEX('5.งบทดลอง รพ.'!$C:$C,MATCH('6.WS-Re-Exp'!A14,'5.งบทดลอง รพ.'!$A:$A,0)),)</f>
        <v>0</v>
      </c>
      <c r="D14" s="6"/>
      <c r="E14" s="201" t="str">
        <f>INDEX('13.Mapping'!$F:$F,MATCH('6.WS-Re-Exp'!$A14,'13.Mapping'!$B:$B,0))</f>
        <v>43050</v>
      </c>
      <c r="F14" s="201" t="str">
        <f>INDEX('13.Mapping'!$D:$D,MATCH('6.WS-Re-Exp'!$A14,'13.Mapping'!$B:$B,0))</f>
        <v>P10</v>
      </c>
      <c r="G14" s="201" t="str">
        <f>INDEX('13.Mapping'!$K:$K,MATCH('6.WS-Re-Exp'!$A14,'13.Mapping'!$B:$B,0))</f>
        <v>PC08</v>
      </c>
      <c r="H14" s="289"/>
      <c r="I14" s="531">
        <v>12</v>
      </c>
    </row>
    <row r="15" spans="1:9" s="33" customFormat="1" hidden="1" x14ac:dyDescent="0.7">
      <c r="A15" s="251" t="s">
        <v>114</v>
      </c>
      <c r="B15" s="212" t="s">
        <v>115</v>
      </c>
      <c r="C15" s="11">
        <f>IFERROR(INDEX('5.งบทดลอง รพ.'!$C:$C,MATCH('6.WS-Re-Exp'!A15,'5.งบทดลอง รพ.'!$A:$A,0)),)</f>
        <v>0</v>
      </c>
      <c r="D15" s="6"/>
      <c r="E15" s="201" t="str">
        <f>INDEX('13.Mapping'!$F:$F,MATCH('6.WS-Re-Exp'!$A15,'13.Mapping'!$B:$B,0))</f>
        <v>43050</v>
      </c>
      <c r="F15" s="201" t="str">
        <f>INDEX('13.Mapping'!$D:$D,MATCH('6.WS-Re-Exp'!$A15,'13.Mapping'!$B:$B,0))</f>
        <v>P10</v>
      </c>
      <c r="G15" s="201" t="str">
        <f>INDEX('13.Mapping'!$K:$K,MATCH('6.WS-Re-Exp'!$A15,'13.Mapping'!$B:$B,0))</f>
        <v>PC08</v>
      </c>
      <c r="H15" s="289"/>
      <c r="I15" s="531">
        <v>13</v>
      </c>
    </row>
    <row r="16" spans="1:9" s="33" customFormat="1" hidden="1" x14ac:dyDescent="0.7">
      <c r="A16" s="251" t="s">
        <v>716</v>
      </c>
      <c r="B16" s="212" t="s">
        <v>117</v>
      </c>
      <c r="C16" s="11">
        <f>IFERROR(INDEX('5.งบทดลอง รพ.'!$C:$C,MATCH('6.WS-Re-Exp'!A16,'5.งบทดลอง รพ.'!$A:$A,0)),)</f>
        <v>0</v>
      </c>
      <c r="D16" s="6"/>
      <c r="E16" s="201" t="str">
        <f>INDEX('13.Mapping'!$F:$F,MATCH('6.WS-Re-Exp'!$A16,'13.Mapping'!$B:$B,0))</f>
        <v>43050</v>
      </c>
      <c r="F16" s="201" t="str">
        <f>INDEX('13.Mapping'!$D:$D,MATCH('6.WS-Re-Exp'!$A16,'13.Mapping'!$B:$B,0))</f>
        <v>P10</v>
      </c>
      <c r="G16" s="201" t="str">
        <f>INDEX('13.Mapping'!$K:$K,MATCH('6.WS-Re-Exp'!$A16,'13.Mapping'!$B:$B,0))</f>
        <v>PC08</v>
      </c>
      <c r="H16" s="289"/>
      <c r="I16" s="531">
        <v>14</v>
      </c>
    </row>
    <row r="17" spans="1:9" s="33" customFormat="1" hidden="1" x14ac:dyDescent="0.7">
      <c r="A17" s="251" t="s">
        <v>717</v>
      </c>
      <c r="B17" s="212" t="s">
        <v>118</v>
      </c>
      <c r="C17" s="11">
        <f>IFERROR(INDEX('5.งบทดลอง รพ.'!$C:$C,MATCH('6.WS-Re-Exp'!A17,'5.งบทดลอง รพ.'!$A:$A,0)),)</f>
        <v>0</v>
      </c>
      <c r="D17" s="6"/>
      <c r="E17" s="201" t="str">
        <f>INDEX('13.Mapping'!$F:$F,MATCH('6.WS-Re-Exp'!$A17,'13.Mapping'!$B:$B,0))</f>
        <v>43050</v>
      </c>
      <c r="F17" s="201" t="str">
        <f>INDEX('13.Mapping'!$D:$D,MATCH('6.WS-Re-Exp'!$A17,'13.Mapping'!$B:$B,0))</f>
        <v>P10</v>
      </c>
      <c r="G17" s="201" t="str">
        <f>INDEX('13.Mapping'!$K:$K,MATCH('6.WS-Re-Exp'!$A17,'13.Mapping'!$B:$B,0))</f>
        <v>PC08</v>
      </c>
      <c r="H17" s="289"/>
      <c r="I17" s="531">
        <v>15</v>
      </c>
    </row>
    <row r="18" spans="1:9" s="33" customFormat="1" hidden="1" x14ac:dyDescent="0.7">
      <c r="A18" s="251" t="s">
        <v>119</v>
      </c>
      <c r="B18" s="212" t="s">
        <v>120</v>
      </c>
      <c r="C18" s="11">
        <f>IFERROR(INDEX('5.งบทดลอง รพ.'!$C:$C,MATCH('6.WS-Re-Exp'!A18,'5.งบทดลอง รพ.'!$A:$A,0)),)</f>
        <v>0</v>
      </c>
      <c r="D18" s="6"/>
      <c r="E18" s="201" t="str">
        <f>INDEX('13.Mapping'!$F:$F,MATCH('6.WS-Re-Exp'!$A18,'13.Mapping'!$B:$B,0))</f>
        <v>43050</v>
      </c>
      <c r="F18" s="201" t="str">
        <f>INDEX('13.Mapping'!$D:$D,MATCH('6.WS-Re-Exp'!$A18,'13.Mapping'!$B:$B,0))</f>
        <v>P10</v>
      </c>
      <c r="G18" s="201" t="str">
        <f>INDEX('13.Mapping'!$K:$K,MATCH('6.WS-Re-Exp'!$A18,'13.Mapping'!$B:$B,0))</f>
        <v>PC08</v>
      </c>
      <c r="H18" s="289"/>
      <c r="I18" s="531">
        <v>16</v>
      </c>
    </row>
    <row r="19" spans="1:9" s="33" customFormat="1" hidden="1" x14ac:dyDescent="0.7">
      <c r="A19" s="251" t="s">
        <v>121</v>
      </c>
      <c r="B19" s="212" t="s">
        <v>122</v>
      </c>
      <c r="C19" s="11">
        <f>IFERROR(INDEX('5.งบทดลอง รพ.'!$C:$C,MATCH('6.WS-Re-Exp'!A19,'5.งบทดลอง รพ.'!$A:$A,0)),)</f>
        <v>0</v>
      </c>
      <c r="D19" s="6"/>
      <c r="E19" s="201" t="str">
        <f>INDEX('13.Mapping'!$F:$F,MATCH('6.WS-Re-Exp'!$A19,'13.Mapping'!$B:$B,0))</f>
        <v>41070</v>
      </c>
      <c r="F19" s="201" t="str">
        <f>INDEX('13.Mapping'!$D:$D,MATCH('6.WS-Re-Exp'!$A19,'13.Mapping'!$B:$B,0))</f>
        <v>P10</v>
      </c>
      <c r="G19" s="201" t="str">
        <f>INDEX('13.Mapping'!$K:$K,MATCH('6.WS-Re-Exp'!$A19,'13.Mapping'!$B:$B,0))</f>
        <v>PC08</v>
      </c>
      <c r="H19" s="289"/>
      <c r="I19" s="531">
        <v>17</v>
      </c>
    </row>
    <row r="20" spans="1:9" s="33" customFormat="1" hidden="1" x14ac:dyDescent="0.7">
      <c r="A20" s="251" t="s">
        <v>718</v>
      </c>
      <c r="B20" s="212" t="s">
        <v>116</v>
      </c>
      <c r="C20" s="11">
        <f>IFERROR(INDEX('5.งบทดลอง รพ.'!$C:$C,MATCH('6.WS-Re-Exp'!A20,'5.งบทดลอง รพ.'!$A:$A,0)),)</f>
        <v>0</v>
      </c>
      <c r="D20" s="6"/>
      <c r="E20" s="201" t="str">
        <f>INDEX('13.Mapping'!$F:$F,MATCH('6.WS-Re-Exp'!$A20,'13.Mapping'!$B:$B,0))</f>
        <v>43050</v>
      </c>
      <c r="F20" s="201" t="str">
        <f>INDEX('13.Mapping'!$D:$D,MATCH('6.WS-Re-Exp'!$A20,'13.Mapping'!$B:$B,0))</f>
        <v>P10</v>
      </c>
      <c r="G20" s="201" t="str">
        <f>INDEX('13.Mapping'!$K:$K,MATCH('6.WS-Re-Exp'!$A20,'13.Mapping'!$B:$B,0))</f>
        <v>PC08</v>
      </c>
      <c r="H20" s="289"/>
      <c r="I20" s="531">
        <v>18</v>
      </c>
    </row>
    <row r="21" spans="1:9" s="33" customFormat="1" hidden="1" x14ac:dyDescent="0.7">
      <c r="A21" s="251" t="s">
        <v>719</v>
      </c>
      <c r="B21" s="212" t="s">
        <v>79</v>
      </c>
      <c r="C21" s="11">
        <f>IFERROR(INDEX('5.งบทดลอง รพ.'!$C:$C,MATCH('6.WS-Re-Exp'!A21,'5.งบทดลอง รพ.'!$A:$A,0)),)</f>
        <v>104700</v>
      </c>
      <c r="D21" s="6"/>
      <c r="E21" s="201" t="str">
        <f>INDEX('13.Mapping'!$F:$F,MATCH('6.WS-Re-Exp'!$A21,'13.Mapping'!$B:$B,0))</f>
        <v>43020</v>
      </c>
      <c r="F21" s="201" t="str">
        <f>INDEX('13.Mapping'!$D:$D,MATCH('6.WS-Re-Exp'!$A21,'13.Mapping'!$B:$B,0))</f>
        <v>P07</v>
      </c>
      <c r="G21" s="201" t="str">
        <f>INDEX('13.Mapping'!$K:$K,MATCH('6.WS-Re-Exp'!$A21,'13.Mapping'!$B:$B,0))</f>
        <v>PC05</v>
      </c>
      <c r="H21" s="289"/>
      <c r="I21" s="531">
        <v>19</v>
      </c>
    </row>
    <row r="22" spans="1:9" s="33" customFormat="1" hidden="1" x14ac:dyDescent="0.7">
      <c r="A22" s="251" t="s">
        <v>720</v>
      </c>
      <c r="B22" s="212" t="s">
        <v>721</v>
      </c>
      <c r="C22" s="11">
        <f>IFERROR(INDEX('5.งบทดลอง รพ.'!$C:$C,MATCH('6.WS-Re-Exp'!A22,'5.งบทดลอง รพ.'!$A:$A,0)),)</f>
        <v>450000</v>
      </c>
      <c r="D22" s="6"/>
      <c r="E22" s="201" t="str">
        <f>INDEX('13.Mapping'!$F:$F,MATCH('6.WS-Re-Exp'!$A22,'13.Mapping'!$B:$B,0))</f>
        <v>43060</v>
      </c>
      <c r="F22" s="201" t="str">
        <f>INDEX('13.Mapping'!$D:$D,MATCH('6.WS-Re-Exp'!$A22,'13.Mapping'!$B:$B,0))</f>
        <v>P05</v>
      </c>
      <c r="G22" s="201" t="str">
        <f>INDEX('13.Mapping'!$K:$K,MATCH('6.WS-Re-Exp'!$A22,'13.Mapping'!$B:$B,0))</f>
        <v>PC02</v>
      </c>
      <c r="H22" s="289"/>
      <c r="I22" s="531">
        <v>20</v>
      </c>
    </row>
    <row r="23" spans="1:9" s="33" customFormat="1" hidden="1" x14ac:dyDescent="0.7">
      <c r="A23" s="251" t="s">
        <v>722</v>
      </c>
      <c r="B23" s="212" t="s">
        <v>723</v>
      </c>
      <c r="C23" s="11">
        <f>IFERROR(INDEX('5.งบทดลอง รพ.'!$C:$C,MATCH('6.WS-Re-Exp'!A23,'5.งบทดลอง รพ.'!$A:$A,0)),)</f>
        <v>692943.6</v>
      </c>
      <c r="D23" s="6"/>
      <c r="E23" s="201" t="str">
        <f>INDEX('13.Mapping'!$F:$F,MATCH('6.WS-Re-Exp'!$A23,'13.Mapping'!$B:$B,0))</f>
        <v>43050</v>
      </c>
      <c r="F23" s="201" t="str">
        <f>INDEX('13.Mapping'!$D:$D,MATCH('6.WS-Re-Exp'!$A23,'13.Mapping'!$B:$B,0))</f>
        <v>P10</v>
      </c>
      <c r="G23" s="201" t="str">
        <f>INDEX('13.Mapping'!$K:$K,MATCH('6.WS-Re-Exp'!$A23,'13.Mapping'!$B:$B,0))</f>
        <v>PC08</v>
      </c>
      <c r="H23" s="289"/>
      <c r="I23" s="531">
        <v>21</v>
      </c>
    </row>
    <row r="24" spans="1:9" s="33" customFormat="1" hidden="1" x14ac:dyDescent="0.7">
      <c r="A24" s="251" t="s">
        <v>71</v>
      </c>
      <c r="B24" s="212" t="s">
        <v>938</v>
      </c>
      <c r="C24" s="11">
        <f>IFERROR(INDEX('5.งบทดลอง รพ.'!$C:$C,MATCH('6.WS-Re-Exp'!A24,'5.งบทดลอง รพ.'!$A:$A,0)),)</f>
        <v>10000</v>
      </c>
      <c r="D24" s="6"/>
      <c r="E24" s="201" t="str">
        <f>INDEX('13.Mapping'!$F:$F,MATCH('6.WS-Re-Exp'!$A24,'13.Mapping'!$B:$B,0))</f>
        <v>41020</v>
      </c>
      <c r="F24" s="201" t="str">
        <f>INDEX('13.Mapping'!$D:$D,MATCH('6.WS-Re-Exp'!$A24,'13.Mapping'!$B:$B,0))</f>
        <v>P06</v>
      </c>
      <c r="G24" s="201" t="str">
        <f>INDEX('13.Mapping'!$K:$K,MATCH('6.WS-Re-Exp'!$A24,'13.Mapping'!$B:$B,0))</f>
        <v>PC03</v>
      </c>
      <c r="H24" s="289"/>
      <c r="I24" s="531">
        <v>22</v>
      </c>
    </row>
    <row r="25" spans="1:9" s="33" customFormat="1" hidden="1" x14ac:dyDescent="0.7">
      <c r="A25" s="251" t="s">
        <v>72</v>
      </c>
      <c r="B25" s="212" t="s">
        <v>939</v>
      </c>
      <c r="C25" s="11">
        <f>IFERROR(INDEX('5.งบทดลอง รพ.'!$C:$C,MATCH('6.WS-Re-Exp'!A25,'5.งบทดลอง รพ.'!$A:$A,0)),)</f>
        <v>5000</v>
      </c>
      <c r="D25" s="6"/>
      <c r="E25" s="201" t="str">
        <f>INDEX('13.Mapping'!$F:$F,MATCH('6.WS-Re-Exp'!$A25,'13.Mapping'!$B:$B,0))</f>
        <v>42020</v>
      </c>
      <c r="F25" s="201" t="str">
        <f>INDEX('13.Mapping'!$D:$D,MATCH('6.WS-Re-Exp'!$A25,'13.Mapping'!$B:$B,0))</f>
        <v>P06</v>
      </c>
      <c r="G25" s="201" t="str">
        <f>INDEX('13.Mapping'!$K:$K,MATCH('6.WS-Re-Exp'!$A25,'13.Mapping'!$B:$B,0))</f>
        <v>PC03</v>
      </c>
      <c r="H25" s="289"/>
      <c r="I25" s="531">
        <v>23</v>
      </c>
    </row>
    <row r="26" spans="1:9" s="33" customFormat="1" hidden="1" x14ac:dyDescent="0.7">
      <c r="A26" s="251" t="s">
        <v>123</v>
      </c>
      <c r="B26" s="212" t="s">
        <v>940</v>
      </c>
      <c r="C26" s="11">
        <f>IFERROR(INDEX('5.งบทดลอง รพ.'!$C:$C,MATCH('6.WS-Re-Exp'!A26,'5.งบทดลอง รพ.'!$A:$A,0)),)</f>
        <v>2700000</v>
      </c>
      <c r="D26" s="6"/>
      <c r="E26" s="201" t="str">
        <f>INDEX('13.Mapping'!$F:$F,MATCH('6.WS-Re-Exp'!$A26,'13.Mapping'!$B:$B,0))</f>
        <v>41070</v>
      </c>
      <c r="F26" s="201" t="str">
        <f>INDEX('13.Mapping'!$D:$D,MATCH('6.WS-Re-Exp'!$A26,'13.Mapping'!$B:$B,0))</f>
        <v>P10</v>
      </c>
      <c r="G26" s="201" t="str">
        <f>INDEX('13.Mapping'!$K:$K,MATCH('6.WS-Re-Exp'!$A26,'13.Mapping'!$B:$B,0))</f>
        <v>PC08</v>
      </c>
      <c r="H26" s="289"/>
      <c r="I26" s="531">
        <v>24</v>
      </c>
    </row>
    <row r="27" spans="1:9" s="33" customFormat="1" hidden="1" x14ac:dyDescent="0.7">
      <c r="A27" s="251" t="s">
        <v>124</v>
      </c>
      <c r="B27" s="212" t="s">
        <v>941</v>
      </c>
      <c r="C27" s="11">
        <f>IFERROR(INDEX('5.งบทดลอง รพ.'!$C:$C,MATCH('6.WS-Re-Exp'!A27,'5.งบทดลอง รพ.'!$A:$A,0)),)</f>
        <v>1293219</v>
      </c>
      <c r="D27" s="6"/>
      <c r="E27" s="201" t="str">
        <f>INDEX('13.Mapping'!$F:$F,MATCH('6.WS-Re-Exp'!$A27,'13.Mapping'!$B:$B,0))</f>
        <v>42070</v>
      </c>
      <c r="F27" s="201" t="str">
        <f>INDEX('13.Mapping'!$D:$D,MATCH('6.WS-Re-Exp'!$A27,'13.Mapping'!$B:$B,0))</f>
        <v>P10</v>
      </c>
      <c r="G27" s="201" t="str">
        <f>INDEX('13.Mapping'!$K:$K,MATCH('6.WS-Re-Exp'!$A27,'13.Mapping'!$B:$B,0))</f>
        <v>PC08</v>
      </c>
      <c r="H27" s="289"/>
      <c r="I27" s="531">
        <v>25</v>
      </c>
    </row>
    <row r="28" spans="1:9" s="33" customFormat="1" hidden="1" x14ac:dyDescent="0.7">
      <c r="A28" s="251" t="s">
        <v>1128</v>
      </c>
      <c r="B28" s="212" t="s">
        <v>1090</v>
      </c>
      <c r="C28" s="11">
        <f>IFERROR(INDEX('5.งบทดลอง รพ.'!$C:$C,MATCH('6.WS-Re-Exp'!A28,'5.งบทดลอง รพ.'!$A:$A,0)),)</f>
        <v>0</v>
      </c>
      <c r="D28" s="6"/>
      <c r="E28" s="201" t="str">
        <f>INDEX('13.Mapping'!$F:$F,MATCH('6.WS-Re-Exp'!$A28,'13.Mapping'!$B:$B,0))</f>
        <v>41020</v>
      </c>
      <c r="F28" s="201" t="str">
        <f>INDEX('13.Mapping'!$D:$D,MATCH('6.WS-Re-Exp'!$A28,'13.Mapping'!$B:$B,0))</f>
        <v>P06</v>
      </c>
      <c r="G28" s="201" t="str">
        <f>INDEX('13.Mapping'!$K:$K,MATCH('6.WS-Re-Exp'!$A28,'13.Mapping'!$B:$B,0))</f>
        <v>PC03</v>
      </c>
      <c r="H28" s="289"/>
      <c r="I28" s="531">
        <v>26</v>
      </c>
    </row>
    <row r="29" spans="1:9" s="33" customFormat="1" hidden="1" x14ac:dyDescent="0.7">
      <c r="A29" s="251" t="s">
        <v>1129</v>
      </c>
      <c r="B29" s="212" t="s">
        <v>1091</v>
      </c>
      <c r="C29" s="11">
        <f>IFERROR(INDEX('5.งบทดลอง รพ.'!$C:$C,MATCH('6.WS-Re-Exp'!A29,'5.งบทดลอง รพ.'!$A:$A,0)),)</f>
        <v>0</v>
      </c>
      <c r="D29" s="6"/>
      <c r="E29" s="201" t="str">
        <f>INDEX('13.Mapping'!$F:$F,MATCH('6.WS-Re-Exp'!$A29,'13.Mapping'!$B:$B,0))</f>
        <v>42020</v>
      </c>
      <c r="F29" s="201" t="str">
        <f>INDEX('13.Mapping'!$D:$D,MATCH('6.WS-Re-Exp'!$A29,'13.Mapping'!$B:$B,0))</f>
        <v>P06</v>
      </c>
      <c r="G29" s="201" t="str">
        <f>INDEX('13.Mapping'!$K:$K,MATCH('6.WS-Re-Exp'!$A29,'13.Mapping'!$B:$B,0))</f>
        <v>PC03</v>
      </c>
      <c r="H29" s="289"/>
      <c r="I29" s="531">
        <v>27</v>
      </c>
    </row>
    <row r="30" spans="1:9" s="33" customFormat="1" hidden="1" x14ac:dyDescent="0.7">
      <c r="A30" s="251" t="s">
        <v>1130</v>
      </c>
      <c r="B30" s="212" t="s">
        <v>1092</v>
      </c>
      <c r="C30" s="11">
        <f>IFERROR(INDEX('5.งบทดลอง รพ.'!$C:$C,MATCH('6.WS-Re-Exp'!A30,'5.งบทดลอง รพ.'!$A:$A,0)),)</f>
        <v>0</v>
      </c>
      <c r="D30" s="6"/>
      <c r="E30" s="201" t="str">
        <f>INDEX('13.Mapping'!$F:$F,MATCH('6.WS-Re-Exp'!$A30,'13.Mapping'!$B:$B,0))</f>
        <v>44060</v>
      </c>
      <c r="F30" s="201" t="str">
        <f>INDEX('13.Mapping'!$D:$D,MATCH('6.WS-Re-Exp'!$A30,'13.Mapping'!$B:$B,0))</f>
        <v>P06</v>
      </c>
      <c r="G30" s="201" t="str">
        <f>INDEX('13.Mapping'!$K:$K,MATCH('6.WS-Re-Exp'!$A30,'13.Mapping'!$B:$B,0))</f>
        <v>PC03</v>
      </c>
      <c r="H30" s="289"/>
      <c r="I30" s="531">
        <v>28</v>
      </c>
    </row>
    <row r="31" spans="1:9" s="33" customFormat="1" hidden="1" x14ac:dyDescent="0.7">
      <c r="A31" s="251" t="s">
        <v>1131</v>
      </c>
      <c r="B31" s="212" t="s">
        <v>1093</v>
      </c>
      <c r="C31" s="11">
        <f>IFERROR(INDEX('5.งบทดลอง รพ.'!$C:$C,MATCH('6.WS-Re-Exp'!A31,'5.งบทดลอง รพ.'!$A:$A,0)),)</f>
        <v>0</v>
      </c>
      <c r="D31" s="6"/>
      <c r="E31" s="201" t="str">
        <f>INDEX('13.Mapping'!$F:$F,MATCH('6.WS-Re-Exp'!$A31,'13.Mapping'!$B:$B,0))</f>
        <v>44060</v>
      </c>
      <c r="F31" s="201" t="str">
        <f>INDEX('13.Mapping'!$D:$D,MATCH('6.WS-Re-Exp'!$A31,'13.Mapping'!$B:$B,0))</f>
        <v>P06</v>
      </c>
      <c r="G31" s="201" t="str">
        <f>INDEX('13.Mapping'!$K:$K,MATCH('6.WS-Re-Exp'!$A31,'13.Mapping'!$B:$B,0))</f>
        <v>PC03</v>
      </c>
      <c r="H31" s="289"/>
      <c r="I31" s="531">
        <v>29</v>
      </c>
    </row>
    <row r="32" spans="1:9" s="33" customFormat="1" hidden="1" x14ac:dyDescent="0.7">
      <c r="A32" s="251" t="s">
        <v>80</v>
      </c>
      <c r="B32" s="212" t="s">
        <v>942</v>
      </c>
      <c r="C32" s="11">
        <f>IFERROR(INDEX('5.งบทดลอง รพ.'!$C:$C,MATCH('6.WS-Re-Exp'!A32,'5.งบทดลอง รพ.'!$A:$A,0)),)</f>
        <v>1000000</v>
      </c>
      <c r="D32" s="6"/>
      <c r="E32" s="201" t="str">
        <f>INDEX('13.Mapping'!$F:$F,MATCH('6.WS-Re-Exp'!$A32,'13.Mapping'!$B:$B,0))</f>
        <v>41040</v>
      </c>
      <c r="F32" s="201" t="str">
        <f>INDEX('13.Mapping'!$D:$D,MATCH('6.WS-Re-Exp'!$A32,'13.Mapping'!$B:$B,0))</f>
        <v>P07</v>
      </c>
      <c r="G32" s="201" t="str">
        <f>INDEX('13.Mapping'!$K:$K,MATCH('6.WS-Re-Exp'!$A32,'13.Mapping'!$B:$B,0))</f>
        <v>PC05</v>
      </c>
      <c r="H32" s="289"/>
      <c r="I32" s="531">
        <v>30</v>
      </c>
    </row>
    <row r="33" spans="1:9" s="33" customFormat="1" hidden="1" x14ac:dyDescent="0.7">
      <c r="A33" s="251" t="s">
        <v>81</v>
      </c>
      <c r="B33" s="212" t="s">
        <v>943</v>
      </c>
      <c r="C33" s="11">
        <f>IFERROR(INDEX('5.งบทดลอง รพ.'!$C:$C,MATCH('6.WS-Re-Exp'!A33,'5.งบทดลอง รพ.'!$A:$A,0)),)</f>
        <v>1469796.25</v>
      </c>
      <c r="D33" s="6"/>
      <c r="E33" s="201" t="str">
        <f>INDEX('13.Mapping'!$F:$F,MATCH('6.WS-Re-Exp'!$A33,'13.Mapping'!$B:$B,0))</f>
        <v>42040</v>
      </c>
      <c r="F33" s="201" t="str">
        <f>INDEX('13.Mapping'!$D:$D,MATCH('6.WS-Re-Exp'!$A33,'13.Mapping'!$B:$B,0))</f>
        <v>P07</v>
      </c>
      <c r="G33" s="201" t="str">
        <f>INDEX('13.Mapping'!$K:$K,MATCH('6.WS-Re-Exp'!$A33,'13.Mapping'!$B:$B,0))</f>
        <v>PC05</v>
      </c>
      <c r="H33" s="289"/>
      <c r="I33" s="531">
        <v>31</v>
      </c>
    </row>
    <row r="34" spans="1:9" s="33" customFormat="1" hidden="1" x14ac:dyDescent="0.7">
      <c r="A34" s="251" t="s">
        <v>82</v>
      </c>
      <c r="B34" s="212" t="s">
        <v>83</v>
      </c>
      <c r="C34" s="11">
        <f>IFERROR(INDEX('5.งบทดลอง รพ.'!$C:$C,MATCH('6.WS-Re-Exp'!A34,'5.งบทดลอง รพ.'!$A:$A,0)),)</f>
        <v>0</v>
      </c>
      <c r="D34" s="6"/>
      <c r="E34" s="201" t="str">
        <f>INDEX('13.Mapping'!$F:$F,MATCH('6.WS-Re-Exp'!$A34,'13.Mapping'!$B:$B,0))</f>
        <v>44020</v>
      </c>
      <c r="F34" s="201" t="str">
        <f>INDEX('13.Mapping'!$D:$D,MATCH('6.WS-Re-Exp'!$A34,'13.Mapping'!$B:$B,0))</f>
        <v>P07</v>
      </c>
      <c r="G34" s="201" t="str">
        <f>INDEX('13.Mapping'!$K:$K,MATCH('6.WS-Re-Exp'!$A34,'13.Mapping'!$B:$B,0))</f>
        <v>PC05</v>
      </c>
      <c r="H34" s="289"/>
      <c r="I34" s="531">
        <v>32</v>
      </c>
    </row>
    <row r="35" spans="1:9" s="33" customFormat="1" hidden="1" x14ac:dyDescent="0.7">
      <c r="A35" s="251" t="s">
        <v>84</v>
      </c>
      <c r="B35" s="212" t="s">
        <v>85</v>
      </c>
      <c r="C35" s="11">
        <f>IFERROR(INDEX('5.งบทดลอง รพ.'!$C:$C,MATCH('6.WS-Re-Exp'!A35,'5.งบทดลอง รพ.'!$A:$A,0)),)</f>
        <v>0</v>
      </c>
      <c r="D35" s="6"/>
      <c r="E35" s="201" t="str">
        <f>INDEX('13.Mapping'!$F:$F,MATCH('6.WS-Re-Exp'!$A35,'13.Mapping'!$B:$B,0))</f>
        <v>44020</v>
      </c>
      <c r="F35" s="201" t="str">
        <f>INDEX('13.Mapping'!$D:$D,MATCH('6.WS-Re-Exp'!$A35,'13.Mapping'!$B:$B,0))</f>
        <v>P07</v>
      </c>
      <c r="G35" s="201" t="str">
        <f>INDEX('13.Mapping'!$K:$K,MATCH('6.WS-Re-Exp'!$A35,'13.Mapping'!$B:$B,0))</f>
        <v>PC05</v>
      </c>
      <c r="H35" s="289"/>
      <c r="I35" s="531">
        <v>33</v>
      </c>
    </row>
    <row r="36" spans="1:9" s="33" customFormat="1" hidden="1" x14ac:dyDescent="0.7">
      <c r="A36" s="251" t="s">
        <v>125</v>
      </c>
      <c r="B36" s="212" t="s">
        <v>944</v>
      </c>
      <c r="C36" s="11">
        <f>IFERROR(INDEX('5.งบทดลอง รพ.'!$C:$C,MATCH('6.WS-Re-Exp'!A36,'5.งบทดลอง รพ.'!$A:$A,0)),)</f>
        <v>350000</v>
      </c>
      <c r="D36" s="6"/>
      <c r="E36" s="201" t="str">
        <f>INDEX('13.Mapping'!$F:$F,MATCH('6.WS-Re-Exp'!$A36,'13.Mapping'!$B:$B,0))</f>
        <v>41070</v>
      </c>
      <c r="F36" s="201" t="str">
        <f>INDEX('13.Mapping'!$D:$D,MATCH('6.WS-Re-Exp'!$A36,'13.Mapping'!$B:$B,0))</f>
        <v>P10</v>
      </c>
      <c r="G36" s="201" t="str">
        <f>INDEX('13.Mapping'!$K:$K,MATCH('6.WS-Re-Exp'!$A36,'13.Mapping'!$B:$B,0))</f>
        <v>PC08</v>
      </c>
      <c r="H36" s="289"/>
      <c r="I36" s="531">
        <v>34</v>
      </c>
    </row>
    <row r="37" spans="1:9" s="33" customFormat="1" hidden="1" x14ac:dyDescent="0.7">
      <c r="A37" s="251" t="s">
        <v>126</v>
      </c>
      <c r="B37" s="212" t="s">
        <v>945</v>
      </c>
      <c r="C37" s="11">
        <f>IFERROR(INDEX('5.งบทดลอง รพ.'!$C:$C,MATCH('6.WS-Re-Exp'!A37,'5.งบทดลอง รพ.'!$A:$A,0)),)</f>
        <v>200000</v>
      </c>
      <c r="D37" s="6"/>
      <c r="E37" s="201" t="str">
        <f>INDEX('13.Mapping'!$F:$F,MATCH('6.WS-Re-Exp'!$A37,'13.Mapping'!$B:$B,0))</f>
        <v>42070</v>
      </c>
      <c r="F37" s="201" t="str">
        <f>INDEX('13.Mapping'!$D:$D,MATCH('6.WS-Re-Exp'!$A37,'13.Mapping'!$B:$B,0))</f>
        <v>P10</v>
      </c>
      <c r="G37" s="201" t="str">
        <f>INDEX('13.Mapping'!$K:$K,MATCH('6.WS-Re-Exp'!$A37,'13.Mapping'!$B:$B,0))</f>
        <v>PC08</v>
      </c>
      <c r="H37" s="289"/>
      <c r="I37" s="531">
        <v>35</v>
      </c>
    </row>
    <row r="38" spans="1:9" s="33" customFormat="1" hidden="1" x14ac:dyDescent="0.7">
      <c r="A38" s="251" t="s">
        <v>73</v>
      </c>
      <c r="B38" s="212" t="s">
        <v>946</v>
      </c>
      <c r="C38" s="11">
        <f>IFERROR(INDEX('5.งบทดลอง รพ.'!$C:$C,MATCH('6.WS-Re-Exp'!A38,'5.งบทดลอง รพ.'!$A:$A,0)),)</f>
        <v>250000</v>
      </c>
      <c r="D38" s="6"/>
      <c r="E38" s="201" t="str">
        <f>INDEX('13.Mapping'!$F:$F,MATCH('6.WS-Re-Exp'!$A38,'13.Mapping'!$B:$B,0))</f>
        <v>41030</v>
      </c>
      <c r="F38" s="201" t="str">
        <f>INDEX('13.Mapping'!$D:$D,MATCH('6.WS-Re-Exp'!$A38,'13.Mapping'!$B:$B,0))</f>
        <v>P61</v>
      </c>
      <c r="G38" s="201" t="str">
        <f>INDEX('13.Mapping'!$K:$K,MATCH('6.WS-Re-Exp'!$A38,'13.Mapping'!$B:$B,0))</f>
        <v>PC04</v>
      </c>
      <c r="H38" s="289"/>
      <c r="I38" s="531">
        <v>36</v>
      </c>
    </row>
    <row r="39" spans="1:9" s="33" customFormat="1" hidden="1" x14ac:dyDescent="0.7">
      <c r="A39" s="251" t="s">
        <v>74</v>
      </c>
      <c r="B39" s="212" t="s">
        <v>1096</v>
      </c>
      <c r="C39" s="11">
        <f>IFERROR(INDEX('5.งบทดลอง รพ.'!$C:$C,MATCH('6.WS-Re-Exp'!A39,'5.งบทดลอง รพ.'!$A:$A,0)),)</f>
        <v>180000</v>
      </c>
      <c r="D39" s="6"/>
      <c r="E39" s="201" t="str">
        <f>INDEX('13.Mapping'!$F:$F,MATCH('6.WS-Re-Exp'!$A39,'13.Mapping'!$B:$B,0))</f>
        <v>42030</v>
      </c>
      <c r="F39" s="201" t="str">
        <f>INDEX('13.Mapping'!$D:$D,MATCH('6.WS-Re-Exp'!$A39,'13.Mapping'!$B:$B,0))</f>
        <v>P61</v>
      </c>
      <c r="G39" s="201" t="str">
        <f>INDEX('13.Mapping'!$K:$K,MATCH('6.WS-Re-Exp'!$A39,'13.Mapping'!$B:$B,0))</f>
        <v>PC04</v>
      </c>
      <c r="H39" s="289"/>
      <c r="I39" s="531">
        <v>37</v>
      </c>
    </row>
    <row r="40" spans="1:9" s="33" customFormat="1" hidden="1" x14ac:dyDescent="0.7">
      <c r="A40" s="251" t="s">
        <v>75</v>
      </c>
      <c r="B40" s="212" t="s">
        <v>76</v>
      </c>
      <c r="C40" s="11">
        <f>IFERROR(INDEX('5.งบทดลอง รพ.'!$C:$C,MATCH('6.WS-Re-Exp'!A40,'5.งบทดลอง รพ.'!$A:$A,0)),)</f>
        <v>0</v>
      </c>
      <c r="D40" s="6"/>
      <c r="E40" s="201" t="str">
        <f>INDEX('13.Mapping'!$F:$F,MATCH('6.WS-Re-Exp'!$A40,'13.Mapping'!$B:$B,0))</f>
        <v>44030</v>
      </c>
      <c r="F40" s="201" t="str">
        <f>INDEX('13.Mapping'!$D:$D,MATCH('6.WS-Re-Exp'!$A40,'13.Mapping'!$B:$B,0))</f>
        <v>P61</v>
      </c>
      <c r="G40" s="201" t="str">
        <f>INDEX('13.Mapping'!$K:$K,MATCH('6.WS-Re-Exp'!$A40,'13.Mapping'!$B:$B,0))</f>
        <v>PC04</v>
      </c>
      <c r="H40" s="289"/>
      <c r="I40" s="531">
        <v>38</v>
      </c>
    </row>
    <row r="41" spans="1:9" s="33" customFormat="1" hidden="1" x14ac:dyDescent="0.7">
      <c r="A41" s="251" t="s">
        <v>77</v>
      </c>
      <c r="B41" s="212" t="s">
        <v>78</v>
      </c>
      <c r="C41" s="11">
        <f>IFERROR(INDEX('5.งบทดลอง รพ.'!$C:$C,MATCH('6.WS-Re-Exp'!A41,'5.งบทดลอง รพ.'!$A:$A,0)),)</f>
        <v>0</v>
      </c>
      <c r="D41" s="6"/>
      <c r="E41" s="201" t="str">
        <f>INDEX('13.Mapping'!$F:$F,MATCH('6.WS-Re-Exp'!$A41,'13.Mapping'!$B:$B,0))</f>
        <v>44030</v>
      </c>
      <c r="F41" s="201" t="str">
        <f>INDEX('13.Mapping'!$D:$D,MATCH('6.WS-Re-Exp'!$A41,'13.Mapping'!$B:$B,0))</f>
        <v>P61</v>
      </c>
      <c r="G41" s="201" t="str">
        <f>INDEX('13.Mapping'!$K:$K,MATCH('6.WS-Re-Exp'!$A41,'13.Mapping'!$B:$B,0))</f>
        <v>PC04</v>
      </c>
      <c r="H41" s="289"/>
      <c r="I41" s="531">
        <v>39</v>
      </c>
    </row>
    <row r="42" spans="1:9" s="33" customFormat="1" hidden="1" x14ac:dyDescent="0.7">
      <c r="A42" s="251" t="s">
        <v>724</v>
      </c>
      <c r="B42" s="212" t="s">
        <v>1094</v>
      </c>
      <c r="C42" s="11">
        <f>IFERROR(INDEX('5.งบทดลอง รพ.'!$C:$C,MATCH('6.WS-Re-Exp'!A42,'5.งบทดลอง รพ.'!$A:$A,0)),)</f>
        <v>13528</v>
      </c>
      <c r="D42" s="6"/>
      <c r="E42" s="201" t="str">
        <f>INDEX('13.Mapping'!$F:$F,MATCH('6.WS-Re-Exp'!$A42,'13.Mapping'!$B:$B,0))</f>
        <v>41030</v>
      </c>
      <c r="F42" s="201" t="str">
        <f>INDEX('13.Mapping'!$D:$D,MATCH('6.WS-Re-Exp'!$A42,'13.Mapping'!$B:$B,0))</f>
        <v>P61</v>
      </c>
      <c r="G42" s="201" t="str">
        <f>INDEX('13.Mapping'!$K:$K,MATCH('6.WS-Re-Exp'!$A42,'13.Mapping'!$B:$B,0))</f>
        <v>PC04</v>
      </c>
      <c r="H42" s="289"/>
      <c r="I42" s="531">
        <v>40</v>
      </c>
    </row>
    <row r="43" spans="1:9" s="33" customFormat="1" hidden="1" x14ac:dyDescent="0.7">
      <c r="A43" s="251" t="s">
        <v>725</v>
      </c>
      <c r="B43" s="212" t="s">
        <v>1095</v>
      </c>
      <c r="C43" s="11">
        <f>IFERROR(INDEX('5.งบทดลอง รพ.'!$C:$C,MATCH('6.WS-Re-Exp'!A43,'5.งบทดลอง รพ.'!$A:$A,0)),)</f>
        <v>12085.5</v>
      </c>
      <c r="D43" s="6"/>
      <c r="E43" s="201" t="str">
        <f>INDEX('13.Mapping'!$F:$F,MATCH('6.WS-Re-Exp'!$A43,'13.Mapping'!$B:$B,0))</f>
        <v>42030</v>
      </c>
      <c r="F43" s="201" t="str">
        <f>INDEX('13.Mapping'!$D:$D,MATCH('6.WS-Re-Exp'!$A43,'13.Mapping'!$B:$B,0))</f>
        <v>P61</v>
      </c>
      <c r="G43" s="201" t="str">
        <f>INDEX('13.Mapping'!$K:$K,MATCH('6.WS-Re-Exp'!$A43,'13.Mapping'!$B:$B,0))</f>
        <v>PC04</v>
      </c>
      <c r="H43" s="289"/>
      <c r="I43" s="531">
        <v>41</v>
      </c>
    </row>
    <row r="44" spans="1:9" s="33" customFormat="1" hidden="1" x14ac:dyDescent="0.7">
      <c r="A44" s="251" t="s">
        <v>726</v>
      </c>
      <c r="B44" s="212" t="s">
        <v>1097</v>
      </c>
      <c r="C44" s="11">
        <f>IFERROR(INDEX('5.งบทดลอง รพ.'!$C:$C,MATCH('6.WS-Re-Exp'!A44,'5.งบทดลอง รพ.'!$A:$A,0)),)</f>
        <v>0</v>
      </c>
      <c r="D44" s="6"/>
      <c r="E44" s="201" t="str">
        <f>INDEX('13.Mapping'!$F:$F,MATCH('6.WS-Re-Exp'!$A44,'13.Mapping'!$B:$B,0))</f>
        <v>44030</v>
      </c>
      <c r="F44" s="201" t="str">
        <f>INDEX('13.Mapping'!$D:$D,MATCH('6.WS-Re-Exp'!$A44,'13.Mapping'!$B:$B,0))</f>
        <v>P61</v>
      </c>
      <c r="G44" s="201" t="str">
        <f>INDEX('13.Mapping'!$K:$K,MATCH('6.WS-Re-Exp'!$A44,'13.Mapping'!$B:$B,0))</f>
        <v>PC04</v>
      </c>
      <c r="H44" s="289"/>
      <c r="I44" s="531">
        <v>42</v>
      </c>
    </row>
    <row r="45" spans="1:9" s="33" customFormat="1" hidden="1" x14ac:dyDescent="0.7">
      <c r="A45" s="251" t="s">
        <v>727</v>
      </c>
      <c r="B45" s="212" t="s">
        <v>1098</v>
      </c>
      <c r="C45" s="11">
        <f>IFERROR(INDEX('5.งบทดลอง รพ.'!$C:$C,MATCH('6.WS-Re-Exp'!A45,'5.งบทดลอง รพ.'!$A:$A,0)),)</f>
        <v>0</v>
      </c>
      <c r="D45" s="6"/>
      <c r="E45" s="201" t="str">
        <f>INDEX('13.Mapping'!$F:$F,MATCH('6.WS-Re-Exp'!$A45,'13.Mapping'!$B:$B,0))</f>
        <v>44030</v>
      </c>
      <c r="F45" s="201" t="str">
        <f>INDEX('13.Mapping'!$D:$D,MATCH('6.WS-Re-Exp'!$A45,'13.Mapping'!$B:$B,0))</f>
        <v>P61</v>
      </c>
      <c r="G45" s="201" t="str">
        <f>INDEX('13.Mapping'!$K:$K,MATCH('6.WS-Re-Exp'!$A45,'13.Mapping'!$B:$B,0))</f>
        <v>PC04</v>
      </c>
      <c r="H45" s="289"/>
      <c r="I45" s="531">
        <v>43</v>
      </c>
    </row>
    <row r="46" spans="1:9" s="33" customFormat="1" hidden="1" x14ac:dyDescent="0.7">
      <c r="A46" s="251" t="s">
        <v>45</v>
      </c>
      <c r="B46" s="212" t="s">
        <v>947</v>
      </c>
      <c r="C46" s="11">
        <f>IFERROR(INDEX('5.งบทดลอง รพ.'!$C:$C,MATCH('6.WS-Re-Exp'!A46,'5.งบทดลอง รพ.'!$A:$A,0)),)</f>
        <v>0</v>
      </c>
      <c r="D46" s="6"/>
      <c r="E46" s="201" t="str">
        <f>INDEX('13.Mapping'!$F:$F,MATCH('6.WS-Re-Exp'!$A46,'13.Mapping'!$B:$B,0))</f>
        <v>41010</v>
      </c>
      <c r="F46" s="201" t="str">
        <f>INDEX('13.Mapping'!$D:$D,MATCH('6.WS-Re-Exp'!$A46,'13.Mapping'!$B:$B,0))</f>
        <v>P04</v>
      </c>
      <c r="G46" s="201" t="str">
        <f>INDEX('13.Mapping'!$K:$K,MATCH('6.WS-Re-Exp'!$A46,'13.Mapping'!$B:$B,0))</f>
        <v>PC01</v>
      </c>
      <c r="H46" s="289"/>
      <c r="I46" s="531">
        <v>44</v>
      </c>
    </row>
    <row r="47" spans="1:9" s="33" customFormat="1" hidden="1" x14ac:dyDescent="0.7">
      <c r="A47" s="251" t="s">
        <v>46</v>
      </c>
      <c r="B47" s="212" t="s">
        <v>948</v>
      </c>
      <c r="C47" s="11">
        <f>IFERROR(INDEX('5.งบทดลอง รพ.'!$C:$C,MATCH('6.WS-Re-Exp'!A47,'5.งบทดลอง รพ.'!$A:$A,0)),)</f>
        <v>6000000</v>
      </c>
      <c r="D47" s="6"/>
      <c r="E47" s="201" t="str">
        <f>INDEX('13.Mapping'!$F:$F,MATCH('6.WS-Re-Exp'!$A47,'13.Mapping'!$B:$B,0))</f>
        <v>42010</v>
      </c>
      <c r="F47" s="201" t="str">
        <f>INDEX('13.Mapping'!$D:$D,MATCH('6.WS-Re-Exp'!$A47,'13.Mapping'!$B:$B,0))</f>
        <v>P04</v>
      </c>
      <c r="G47" s="201" t="str">
        <f>INDEX('13.Mapping'!$K:$K,MATCH('6.WS-Re-Exp'!$A47,'13.Mapping'!$B:$B,0))</f>
        <v>PC01</v>
      </c>
      <c r="H47" s="289"/>
      <c r="I47" s="531">
        <v>45</v>
      </c>
    </row>
    <row r="48" spans="1:9" s="33" customFormat="1" hidden="1" x14ac:dyDescent="0.7">
      <c r="A48" s="251" t="s">
        <v>47</v>
      </c>
      <c r="B48" s="212" t="s">
        <v>949</v>
      </c>
      <c r="C48" s="11">
        <f>IFERROR(INDEX('5.งบทดลอง รพ.'!$C:$C,MATCH('6.WS-Re-Exp'!A48,'5.งบทดลอง รพ.'!$A:$A,0)),)</f>
        <v>100000</v>
      </c>
      <c r="D48" s="6"/>
      <c r="E48" s="201" t="str">
        <f>INDEX('13.Mapping'!$F:$F,MATCH('6.WS-Re-Exp'!$A48,'13.Mapping'!$B:$B,0))</f>
        <v>41010</v>
      </c>
      <c r="F48" s="201" t="str">
        <f>INDEX('13.Mapping'!$D:$D,MATCH('6.WS-Re-Exp'!$A48,'13.Mapping'!$B:$B,0))</f>
        <v>P04</v>
      </c>
      <c r="G48" s="201" t="str">
        <f>INDEX('13.Mapping'!$K:$K,MATCH('6.WS-Re-Exp'!$A48,'13.Mapping'!$B:$B,0))</f>
        <v>PC01</v>
      </c>
      <c r="H48" s="289"/>
      <c r="I48" s="531">
        <v>46</v>
      </c>
    </row>
    <row r="49" spans="1:9" s="33" customFormat="1" hidden="1" x14ac:dyDescent="0.7">
      <c r="A49" s="251" t="s">
        <v>48</v>
      </c>
      <c r="B49" s="212" t="s">
        <v>950</v>
      </c>
      <c r="C49" s="11">
        <f>IFERROR(INDEX('5.งบทดลอง รพ.'!$C:$C,MATCH('6.WS-Re-Exp'!A49,'5.งบทดลอง รพ.'!$A:$A,0)),)</f>
        <v>0</v>
      </c>
      <c r="D49" s="6"/>
      <c r="E49" s="201" t="str">
        <f>INDEX('13.Mapping'!$F:$F,MATCH('6.WS-Re-Exp'!$A49,'13.Mapping'!$B:$B,0))</f>
        <v>41010</v>
      </c>
      <c r="F49" s="201" t="str">
        <f>INDEX('13.Mapping'!$D:$D,MATCH('6.WS-Re-Exp'!$A49,'13.Mapping'!$B:$B,0))</f>
        <v>P04</v>
      </c>
      <c r="G49" s="201" t="str">
        <f>INDEX('13.Mapping'!$K:$K,MATCH('6.WS-Re-Exp'!$A49,'13.Mapping'!$B:$B,0))</f>
        <v>PC01</v>
      </c>
      <c r="H49" s="289"/>
      <c r="I49" s="531">
        <v>47</v>
      </c>
    </row>
    <row r="50" spans="1:9" s="33" customFormat="1" hidden="1" x14ac:dyDescent="0.7">
      <c r="A50" s="251" t="s">
        <v>49</v>
      </c>
      <c r="B50" s="212" t="s">
        <v>951</v>
      </c>
      <c r="C50" s="11">
        <f>IFERROR(INDEX('5.งบทดลอง รพ.'!$C:$C,MATCH('6.WS-Re-Exp'!A50,'5.งบทดลอง รพ.'!$A:$A,0)),)</f>
        <v>2000</v>
      </c>
      <c r="D50" s="6"/>
      <c r="E50" s="201" t="str">
        <f>INDEX('13.Mapping'!$F:$F,MATCH('6.WS-Re-Exp'!$A50,'13.Mapping'!$B:$B,0))</f>
        <v>41010</v>
      </c>
      <c r="F50" s="201" t="str">
        <f>INDEX('13.Mapping'!$D:$D,MATCH('6.WS-Re-Exp'!$A50,'13.Mapping'!$B:$B,0))</f>
        <v>P04</v>
      </c>
      <c r="G50" s="201" t="str">
        <f>INDEX('13.Mapping'!$K:$K,MATCH('6.WS-Re-Exp'!$A50,'13.Mapping'!$B:$B,0))</f>
        <v>PC01</v>
      </c>
      <c r="H50" s="289"/>
      <c r="I50" s="531">
        <v>48</v>
      </c>
    </row>
    <row r="51" spans="1:9" s="33" customFormat="1" x14ac:dyDescent="0.7">
      <c r="A51" s="251" t="s">
        <v>209</v>
      </c>
      <c r="B51" s="212" t="s">
        <v>210</v>
      </c>
      <c r="C51" s="11">
        <f>IFERROR(INDEX('5.งบทดลอง รพ.'!$C:$C,MATCH('6.WS-Re-Exp'!A51,'5.งบทดลอง รพ.'!$A:$A,0)),)</f>
        <v>13312250</v>
      </c>
      <c r="D51" s="6"/>
      <c r="E51" s="201" t="str">
        <f>INDEX('13.Mapping'!$F:$F,MATCH('6.WS-Re-Exp'!$A51,'13.Mapping'!$B:$B,0))</f>
        <v>46020</v>
      </c>
      <c r="F51" s="201" t="str">
        <f>INDEX('13.Mapping'!$D:$D,MATCH('6.WS-Re-Exp'!$A51,'13.Mapping'!$B:$B,0))</f>
        <v>P13</v>
      </c>
      <c r="G51" s="201" t="str">
        <f>INDEX('13.Mapping'!$K:$K,MATCH('6.WS-Re-Exp'!$A51,'13.Mapping'!$B:$B,0))</f>
        <v>PC10</v>
      </c>
      <c r="H51" s="289"/>
      <c r="I51" s="531">
        <v>49</v>
      </c>
    </row>
    <row r="52" spans="1:9" s="33" customFormat="1" hidden="1" x14ac:dyDescent="0.7">
      <c r="A52" s="251" t="s">
        <v>50</v>
      </c>
      <c r="B52" s="212" t="s">
        <v>952</v>
      </c>
      <c r="C52" s="11">
        <f>IFERROR(INDEX('5.งบทดลอง รพ.'!$C:$C,MATCH('6.WS-Re-Exp'!A52,'5.งบทดลอง รพ.'!$A:$A,0)),)</f>
        <v>35569337.799999997</v>
      </c>
      <c r="D52" s="6"/>
      <c r="E52" s="201" t="str">
        <f>INDEX('13.Mapping'!$F:$F,MATCH('6.WS-Re-Exp'!$A52,'13.Mapping'!$B:$B,0))</f>
        <v>44010</v>
      </c>
      <c r="F52" s="201" t="str">
        <f>INDEX('13.Mapping'!$D:$D,MATCH('6.WS-Re-Exp'!$A52,'13.Mapping'!$B:$B,0))</f>
        <v>P04</v>
      </c>
      <c r="G52" s="201" t="str">
        <f>INDEX('13.Mapping'!$K:$K,MATCH('6.WS-Re-Exp'!$A52,'13.Mapping'!$B:$B,0))</f>
        <v>PC01</v>
      </c>
      <c r="H52" s="289"/>
      <c r="I52" s="531">
        <v>50</v>
      </c>
    </row>
    <row r="53" spans="1:9" s="33" customFormat="1" hidden="1" x14ac:dyDescent="0.7">
      <c r="A53" s="251" t="s">
        <v>51</v>
      </c>
      <c r="B53" s="212" t="s">
        <v>953</v>
      </c>
      <c r="C53" s="11">
        <f>IFERROR(INDEX('5.งบทดลอง รพ.'!$C:$C,MATCH('6.WS-Re-Exp'!A53,'5.งบทดลอง รพ.'!$A:$A,0)),)</f>
        <v>200000</v>
      </c>
      <c r="D53" s="6"/>
      <c r="E53" s="201" t="str">
        <f>INDEX('13.Mapping'!$F:$F,MATCH('6.WS-Re-Exp'!$A53,'13.Mapping'!$B:$B,0))</f>
        <v>43010</v>
      </c>
      <c r="F53" s="201" t="str">
        <f>INDEX('13.Mapping'!$D:$D,MATCH('6.WS-Re-Exp'!$A53,'13.Mapping'!$B:$B,0))</f>
        <v>P04</v>
      </c>
      <c r="G53" s="201" t="str">
        <f>INDEX('13.Mapping'!$K:$K,MATCH('6.WS-Re-Exp'!$A53,'13.Mapping'!$B:$B,0))</f>
        <v>PC01</v>
      </c>
      <c r="H53" s="289"/>
      <c r="I53" s="531">
        <v>51</v>
      </c>
    </row>
    <row r="54" spans="1:9" s="33" customFormat="1" hidden="1" x14ac:dyDescent="0.7">
      <c r="A54" s="251" t="s">
        <v>52</v>
      </c>
      <c r="B54" s="212" t="s">
        <v>954</v>
      </c>
      <c r="C54" s="11">
        <f>IFERROR(INDEX('5.งบทดลอง รพ.'!$C:$C,MATCH('6.WS-Re-Exp'!A54,'5.งบทดลอง รพ.'!$A:$A,0)),)</f>
        <v>7000000</v>
      </c>
      <c r="D54" s="6"/>
      <c r="E54" s="201" t="str">
        <f>INDEX('13.Mapping'!$F:$F,MATCH('6.WS-Re-Exp'!$A54,'13.Mapping'!$B:$B,0))</f>
        <v>44010</v>
      </c>
      <c r="F54" s="201" t="str">
        <f>INDEX('13.Mapping'!$D:$D,MATCH('6.WS-Re-Exp'!$A54,'13.Mapping'!$B:$B,0))</f>
        <v>P04</v>
      </c>
      <c r="G54" s="201" t="str">
        <f>INDEX('13.Mapping'!$K:$K,MATCH('6.WS-Re-Exp'!$A54,'13.Mapping'!$B:$B,0))</f>
        <v>PC01</v>
      </c>
      <c r="H54" s="289"/>
      <c r="I54" s="531">
        <v>52</v>
      </c>
    </row>
    <row r="55" spans="1:9" s="33" customFormat="1" hidden="1" x14ac:dyDescent="0.7">
      <c r="A55" s="251" t="s">
        <v>53</v>
      </c>
      <c r="B55" s="212" t="s">
        <v>54</v>
      </c>
      <c r="C55" s="11">
        <f>IFERROR(INDEX('5.งบทดลอง รพ.'!$C:$C,MATCH('6.WS-Re-Exp'!A55,'5.งบทดลอง รพ.'!$A:$A,0)),)</f>
        <v>750000</v>
      </c>
      <c r="D55" s="6"/>
      <c r="E55" s="201" t="str">
        <f>INDEX('13.Mapping'!$F:$F,MATCH('6.WS-Re-Exp'!$A55,'13.Mapping'!$B:$B,0))</f>
        <v>43010</v>
      </c>
      <c r="F55" s="201" t="str">
        <f>INDEX('13.Mapping'!$D:$D,MATCH('6.WS-Re-Exp'!$A55,'13.Mapping'!$B:$B,0))</f>
        <v>P04</v>
      </c>
      <c r="G55" s="201" t="str">
        <f>INDEX('13.Mapping'!$K:$K,MATCH('6.WS-Re-Exp'!$A55,'13.Mapping'!$B:$B,0))</f>
        <v>PC01</v>
      </c>
      <c r="H55" s="289"/>
      <c r="I55" s="531">
        <v>53</v>
      </c>
    </row>
    <row r="56" spans="1:9" s="33" customFormat="1" hidden="1" x14ac:dyDescent="0.7">
      <c r="A56" s="251" t="s">
        <v>55</v>
      </c>
      <c r="B56" s="212" t="s">
        <v>955</v>
      </c>
      <c r="C56" s="11">
        <f>IFERROR(INDEX('5.งบทดลอง รพ.'!$C:$C,MATCH('6.WS-Re-Exp'!A56,'5.งบทดลอง รพ.'!$A:$A,0)),)</f>
        <v>1511230.4</v>
      </c>
      <c r="D56" s="6"/>
      <c r="E56" s="201" t="str">
        <f>INDEX('13.Mapping'!$F:$F,MATCH('6.WS-Re-Exp'!$A56,'13.Mapping'!$B:$B,0))</f>
        <v>43010</v>
      </c>
      <c r="F56" s="201" t="str">
        <f>INDEX('13.Mapping'!$D:$D,MATCH('6.WS-Re-Exp'!$A56,'13.Mapping'!$B:$B,0))</f>
        <v>P04</v>
      </c>
      <c r="G56" s="201" t="str">
        <f>INDEX('13.Mapping'!$K:$K,MATCH('6.WS-Re-Exp'!$A56,'13.Mapping'!$B:$B,0))</f>
        <v>PC01</v>
      </c>
      <c r="H56" s="289"/>
      <c r="I56" s="531">
        <v>54</v>
      </c>
    </row>
    <row r="57" spans="1:9" s="33" customFormat="1" hidden="1" x14ac:dyDescent="0.7">
      <c r="A57" s="251" t="s">
        <v>56</v>
      </c>
      <c r="B57" s="212" t="s">
        <v>57</v>
      </c>
      <c r="C57" s="11">
        <f>IFERROR(INDEX('5.งบทดลอง รพ.'!$C:$C,MATCH('6.WS-Re-Exp'!A57,'5.งบทดลอง รพ.'!$A:$A,0)),)</f>
        <v>1500000</v>
      </c>
      <c r="D57" s="6"/>
      <c r="E57" s="201" t="str">
        <f>INDEX('13.Mapping'!$F:$F,MATCH('6.WS-Re-Exp'!$A57,'13.Mapping'!$B:$B,0))</f>
        <v>43010</v>
      </c>
      <c r="F57" s="201" t="str">
        <f>INDEX('13.Mapping'!$D:$D,MATCH('6.WS-Re-Exp'!$A57,'13.Mapping'!$B:$B,0))</f>
        <v>P04</v>
      </c>
      <c r="G57" s="201" t="str">
        <f>INDEX('13.Mapping'!$K:$K,MATCH('6.WS-Re-Exp'!$A57,'13.Mapping'!$B:$B,0))</f>
        <v>PC01</v>
      </c>
      <c r="H57" s="289"/>
      <c r="I57" s="531">
        <v>55</v>
      </c>
    </row>
    <row r="58" spans="1:9" s="33" customFormat="1" hidden="1" x14ac:dyDescent="0.7">
      <c r="A58" s="251" t="s">
        <v>58</v>
      </c>
      <c r="B58" s="212" t="s">
        <v>956</v>
      </c>
      <c r="C58" s="11">
        <f>IFERROR(INDEX('5.งบทดลอง รพ.'!$C:$C,MATCH('6.WS-Re-Exp'!A58,'5.งบทดลอง รพ.'!$A:$A,0)),)</f>
        <v>0</v>
      </c>
      <c r="D58" s="6"/>
      <c r="E58" s="201" t="str">
        <f>INDEX('13.Mapping'!$F:$F,MATCH('6.WS-Re-Exp'!$A58,'13.Mapping'!$B:$B,0))</f>
        <v>44010</v>
      </c>
      <c r="F58" s="201" t="str">
        <f>INDEX('13.Mapping'!$D:$D,MATCH('6.WS-Re-Exp'!$A58,'13.Mapping'!$B:$B,0))</f>
        <v>P04</v>
      </c>
      <c r="G58" s="201" t="str">
        <f>INDEX('13.Mapping'!$K:$K,MATCH('6.WS-Re-Exp'!$A58,'13.Mapping'!$B:$B,0))</f>
        <v>PC01</v>
      </c>
      <c r="H58" s="289"/>
      <c r="I58" s="531">
        <v>56</v>
      </c>
    </row>
    <row r="59" spans="1:9" s="33" customFormat="1" hidden="1" x14ac:dyDescent="0.7">
      <c r="A59" s="251" t="s">
        <v>59</v>
      </c>
      <c r="B59" s="212" t="s">
        <v>957</v>
      </c>
      <c r="C59" s="11">
        <f>IFERROR(INDEX('5.งบทดลอง รพ.'!$C:$C,MATCH('6.WS-Re-Exp'!A59,'5.งบทดลอง รพ.'!$A:$A,0)),)</f>
        <v>0</v>
      </c>
      <c r="D59" s="6"/>
      <c r="E59" s="201" t="str">
        <f>INDEX('13.Mapping'!$F:$F,MATCH('6.WS-Re-Exp'!$A59,'13.Mapping'!$B:$B,0))</f>
        <v>44010</v>
      </c>
      <c r="F59" s="201" t="str">
        <f>INDEX('13.Mapping'!$D:$D,MATCH('6.WS-Re-Exp'!$A59,'13.Mapping'!$B:$B,0))</f>
        <v>P04</v>
      </c>
      <c r="G59" s="201" t="str">
        <f>INDEX('13.Mapping'!$K:$K,MATCH('6.WS-Re-Exp'!$A59,'13.Mapping'!$B:$B,0))</f>
        <v>PC01</v>
      </c>
      <c r="H59" s="289"/>
      <c r="I59" s="531">
        <v>57</v>
      </c>
    </row>
    <row r="60" spans="1:9" s="33" customFormat="1" hidden="1" x14ac:dyDescent="0.7">
      <c r="A60" s="251" t="s">
        <v>60</v>
      </c>
      <c r="B60" s="212" t="s">
        <v>958</v>
      </c>
      <c r="C60" s="11">
        <f>IFERROR(INDEX('5.งบทดลอง รพ.'!$C:$C,MATCH('6.WS-Re-Exp'!A60,'5.งบทดลอง รพ.'!$A:$A,0)),)</f>
        <v>430948.57</v>
      </c>
      <c r="D60" s="6"/>
      <c r="E60" s="201" t="str">
        <f>INDEX('13.Mapping'!$F:$F,MATCH('6.WS-Re-Exp'!$A60,'13.Mapping'!$B:$B,0))</f>
        <v>44010</v>
      </c>
      <c r="F60" s="201" t="str">
        <f>INDEX('13.Mapping'!$D:$D,MATCH('6.WS-Re-Exp'!$A60,'13.Mapping'!$B:$B,0))</f>
        <v>P04</v>
      </c>
      <c r="G60" s="201" t="str">
        <f>INDEX('13.Mapping'!$K:$K,MATCH('6.WS-Re-Exp'!$A60,'13.Mapping'!$B:$B,0))</f>
        <v>PC01</v>
      </c>
      <c r="H60" s="289"/>
      <c r="I60" s="531">
        <v>58</v>
      </c>
    </row>
    <row r="61" spans="1:9" s="33" customFormat="1" hidden="1" x14ac:dyDescent="0.7">
      <c r="A61" s="251" t="s">
        <v>61</v>
      </c>
      <c r="B61" s="212" t="s">
        <v>959</v>
      </c>
      <c r="C61" s="11">
        <f>IFERROR(INDEX('5.งบทดลอง รพ.'!$C:$C,MATCH('6.WS-Re-Exp'!A61,'5.งบทดลอง รพ.'!$A:$A,0)),)</f>
        <v>0</v>
      </c>
      <c r="D61" s="6"/>
      <c r="E61" s="201" t="str">
        <f>INDEX('13.Mapping'!$F:$F,MATCH('6.WS-Re-Exp'!$A61,'13.Mapping'!$B:$B,0))</f>
        <v>44010</v>
      </c>
      <c r="F61" s="201" t="str">
        <f>INDEX('13.Mapping'!$D:$D,MATCH('6.WS-Re-Exp'!$A61,'13.Mapping'!$B:$B,0))</f>
        <v>P04</v>
      </c>
      <c r="G61" s="201" t="str">
        <f>INDEX('13.Mapping'!$K:$K,MATCH('6.WS-Re-Exp'!$A61,'13.Mapping'!$B:$B,0))</f>
        <v>PC01</v>
      </c>
      <c r="H61" s="289"/>
      <c r="I61" s="531">
        <v>59</v>
      </c>
    </row>
    <row r="62" spans="1:9" s="33" customFormat="1" hidden="1" x14ac:dyDescent="0.7">
      <c r="A62" s="251" t="s">
        <v>5811</v>
      </c>
      <c r="B62" s="212" t="s">
        <v>960</v>
      </c>
      <c r="C62" s="11">
        <f>IFERROR(INDEX('5.งบทดลอง รพ.'!$C:$C,MATCH('6.WS-Re-Exp'!A62,'5.งบทดลอง รพ.'!$A:$A,0)),)</f>
        <v>167683.75</v>
      </c>
      <c r="D62" s="6"/>
      <c r="E62" s="201" t="str">
        <f>INDEX('13.Mapping'!$F:$F,MATCH('6.WS-Re-Exp'!$A62,'13.Mapping'!$B:$B,0))</f>
        <v>44010</v>
      </c>
      <c r="F62" s="201" t="str">
        <f>INDEX('13.Mapping'!$D:$D,MATCH('6.WS-Re-Exp'!$A62,'13.Mapping'!$B:$B,0))</f>
        <v>P04</v>
      </c>
      <c r="G62" s="201" t="str">
        <f>INDEX('13.Mapping'!$K:$K,MATCH('6.WS-Re-Exp'!$A62,'13.Mapping'!$B:$B,0))</f>
        <v>PC01</v>
      </c>
      <c r="H62" s="289"/>
      <c r="I62" s="531">
        <v>60</v>
      </c>
    </row>
    <row r="63" spans="1:9" s="33" customFormat="1" hidden="1" x14ac:dyDescent="0.7">
      <c r="A63" s="251" t="s">
        <v>62</v>
      </c>
      <c r="B63" s="212" t="s">
        <v>961</v>
      </c>
      <c r="C63" s="11">
        <f>IFERROR(INDEX('5.งบทดลอง รพ.'!$C:$C,MATCH('6.WS-Re-Exp'!A63,'5.งบทดลอง รพ.'!$A:$A,0)),)</f>
        <v>3000000</v>
      </c>
      <c r="D63" s="6"/>
      <c r="E63" s="201" t="str">
        <f>INDEX('13.Mapping'!$F:$F,MATCH('6.WS-Re-Exp'!$A63,'13.Mapping'!$B:$B,0))</f>
        <v>41010</v>
      </c>
      <c r="F63" s="201" t="str">
        <f>INDEX('13.Mapping'!$D:$D,MATCH('6.WS-Re-Exp'!$A63,'13.Mapping'!$B:$B,0))</f>
        <v>P04</v>
      </c>
      <c r="G63" s="201" t="str">
        <f>INDEX('13.Mapping'!$K:$K,MATCH('6.WS-Re-Exp'!$A63,'13.Mapping'!$B:$B,0))</f>
        <v>PC01</v>
      </c>
      <c r="H63" s="289"/>
      <c r="I63" s="531">
        <v>61</v>
      </c>
    </row>
    <row r="64" spans="1:9" s="33" customFormat="1" hidden="1" x14ac:dyDescent="0.7">
      <c r="A64" s="251" t="s">
        <v>63</v>
      </c>
      <c r="B64" s="212" t="s">
        <v>64</v>
      </c>
      <c r="C64" s="11">
        <f>IFERROR(INDEX('5.งบทดลอง รพ.'!$C:$C,MATCH('6.WS-Re-Exp'!A64,'5.งบทดลอง รพ.'!$A:$A,0)),)</f>
        <v>0</v>
      </c>
      <c r="D64" s="6"/>
      <c r="E64" s="201" t="str">
        <f>INDEX('13.Mapping'!$F:$F,MATCH('6.WS-Re-Exp'!$A64,'13.Mapping'!$B:$B,0))</f>
        <v>43010</v>
      </c>
      <c r="F64" s="201" t="str">
        <f>INDEX('13.Mapping'!$D:$D,MATCH('6.WS-Re-Exp'!$A64,'13.Mapping'!$B:$B,0))</f>
        <v>P04</v>
      </c>
      <c r="G64" s="201" t="str">
        <f>INDEX('13.Mapping'!$K:$K,MATCH('6.WS-Re-Exp'!$A64,'13.Mapping'!$B:$B,0))</f>
        <v>PC01</v>
      </c>
      <c r="H64" s="289"/>
      <c r="I64" s="531">
        <v>62</v>
      </c>
    </row>
    <row r="65" spans="1:9" s="33" customFormat="1" hidden="1" x14ac:dyDescent="0.7">
      <c r="A65" s="251" t="s">
        <v>65</v>
      </c>
      <c r="B65" s="212" t="s">
        <v>66</v>
      </c>
      <c r="C65" s="11">
        <f>IFERROR(INDEX('5.งบทดลอง รพ.'!$C:$C,MATCH('6.WS-Re-Exp'!A65,'5.งบทดลอง รพ.'!$A:$A,0)),)</f>
        <v>0</v>
      </c>
      <c r="D65" s="6"/>
      <c r="E65" s="201" t="str">
        <f>INDEX('13.Mapping'!$F:$F,MATCH('6.WS-Re-Exp'!$A65,'13.Mapping'!$B:$B,0))</f>
        <v>43010</v>
      </c>
      <c r="F65" s="201" t="str">
        <f>INDEX('13.Mapping'!$D:$D,MATCH('6.WS-Re-Exp'!$A65,'13.Mapping'!$B:$B,0))</f>
        <v>P04</v>
      </c>
      <c r="G65" s="201" t="str">
        <f>INDEX('13.Mapping'!$K:$K,MATCH('6.WS-Re-Exp'!$A65,'13.Mapping'!$B:$B,0))</f>
        <v>PC01</v>
      </c>
      <c r="H65" s="289"/>
      <c r="I65" s="531">
        <v>63</v>
      </c>
    </row>
    <row r="66" spans="1:9" s="33" customFormat="1" hidden="1" x14ac:dyDescent="0.7">
      <c r="A66" s="251" t="s">
        <v>67</v>
      </c>
      <c r="B66" s="212" t="s">
        <v>1099</v>
      </c>
      <c r="C66" s="11">
        <f>IFERROR(INDEX('5.งบทดลอง รพ.'!$C:$C,MATCH('6.WS-Re-Exp'!A66,'5.งบทดลอง รพ.'!$A:$A,0)),)</f>
        <v>1500000</v>
      </c>
      <c r="D66" s="6"/>
      <c r="E66" s="201" t="str">
        <f>INDEX('13.Mapping'!$F:$F,MATCH('6.WS-Re-Exp'!$A66,'13.Mapping'!$B:$B,0))</f>
        <v>41010</v>
      </c>
      <c r="F66" s="201" t="str">
        <f>INDEX('13.Mapping'!$D:$D,MATCH('6.WS-Re-Exp'!$A66,'13.Mapping'!$B:$B,0))</f>
        <v>P04</v>
      </c>
      <c r="G66" s="201" t="str">
        <f>INDEX('13.Mapping'!$K:$K,MATCH('6.WS-Re-Exp'!$A66,'13.Mapping'!$B:$B,0))</f>
        <v>PC01</v>
      </c>
      <c r="H66" s="289"/>
      <c r="I66" s="531">
        <v>64</v>
      </c>
    </row>
    <row r="67" spans="1:9" s="33" customFormat="1" hidden="1" x14ac:dyDescent="0.7">
      <c r="A67" s="251" t="s">
        <v>68</v>
      </c>
      <c r="B67" s="212" t="s">
        <v>1100</v>
      </c>
      <c r="C67" s="11">
        <f>IFERROR(INDEX('5.งบทดลอง รพ.'!$C:$C,MATCH('6.WS-Re-Exp'!A67,'5.งบทดลอง รพ.'!$A:$A,0)),)</f>
        <v>500000</v>
      </c>
      <c r="D67" s="6"/>
      <c r="E67" s="201" t="str">
        <f>INDEX('13.Mapping'!$F:$F,MATCH('6.WS-Re-Exp'!$A67,'13.Mapping'!$B:$B,0))</f>
        <v>42010</v>
      </c>
      <c r="F67" s="201" t="str">
        <f>INDEX('13.Mapping'!$D:$D,MATCH('6.WS-Re-Exp'!$A67,'13.Mapping'!$B:$B,0))</f>
        <v>P04</v>
      </c>
      <c r="G67" s="201" t="str">
        <f>INDEX('13.Mapping'!$K:$K,MATCH('6.WS-Re-Exp'!$A67,'13.Mapping'!$B:$B,0))</f>
        <v>PC01</v>
      </c>
      <c r="H67" s="289"/>
      <c r="I67" s="531">
        <v>65</v>
      </c>
    </row>
    <row r="68" spans="1:9" s="33" customFormat="1" hidden="1" x14ac:dyDescent="0.7">
      <c r="A68" s="251" t="s">
        <v>69</v>
      </c>
      <c r="B68" s="212" t="s">
        <v>962</v>
      </c>
      <c r="C68" s="11">
        <f>IFERROR(INDEX('5.งบทดลอง รพ.'!$C:$C,MATCH('6.WS-Re-Exp'!A68,'5.งบทดลอง รพ.'!$A:$A,0)),)</f>
        <v>0</v>
      </c>
      <c r="D68" s="6"/>
      <c r="E68" s="201" t="str">
        <f>INDEX('13.Mapping'!$F:$F,MATCH('6.WS-Re-Exp'!$A68,'13.Mapping'!$B:$B,0))</f>
        <v>44010</v>
      </c>
      <c r="F68" s="201" t="str">
        <f>INDEX('13.Mapping'!$D:$D,MATCH('6.WS-Re-Exp'!$A68,'13.Mapping'!$B:$B,0))</f>
        <v>P04</v>
      </c>
      <c r="G68" s="201" t="str">
        <f>INDEX('13.Mapping'!$K:$K,MATCH('6.WS-Re-Exp'!$A68,'13.Mapping'!$B:$B,0))</f>
        <v>PC01</v>
      </c>
      <c r="H68" s="289"/>
      <c r="I68" s="531">
        <v>66</v>
      </c>
    </row>
    <row r="69" spans="1:9" s="33" customFormat="1" hidden="1" x14ac:dyDescent="0.7">
      <c r="A69" s="251" t="s">
        <v>70</v>
      </c>
      <c r="B69" s="212" t="s">
        <v>963</v>
      </c>
      <c r="C69" s="11">
        <f>IFERROR(INDEX('5.งบทดลอง รพ.'!$C:$C,MATCH('6.WS-Re-Exp'!A69,'5.งบทดลอง รพ.'!$A:$A,0)),)</f>
        <v>0</v>
      </c>
      <c r="D69" s="6"/>
      <c r="E69" s="201" t="str">
        <f>INDEX('13.Mapping'!$F:$F,MATCH('6.WS-Re-Exp'!$A69,'13.Mapping'!$B:$B,0))</f>
        <v>44010</v>
      </c>
      <c r="F69" s="201" t="str">
        <f>INDEX('13.Mapping'!$D:$D,MATCH('6.WS-Re-Exp'!$A69,'13.Mapping'!$B:$B,0))</f>
        <v>P04</v>
      </c>
      <c r="G69" s="201" t="str">
        <f>INDEX('13.Mapping'!$K:$K,MATCH('6.WS-Re-Exp'!$A69,'13.Mapping'!$B:$B,0))</f>
        <v>PC01</v>
      </c>
      <c r="H69" s="289"/>
      <c r="I69" s="531">
        <v>67</v>
      </c>
    </row>
    <row r="70" spans="1:9" s="33" customFormat="1" hidden="1" x14ac:dyDescent="0.7">
      <c r="A70" s="251" t="s">
        <v>728</v>
      </c>
      <c r="B70" s="212" t="s">
        <v>729</v>
      </c>
      <c r="C70" s="11">
        <f>IFERROR(INDEX('5.งบทดลอง รพ.'!$C:$C,MATCH('6.WS-Re-Exp'!A70,'5.งบทดลอง รพ.'!$A:$A,0)),)</f>
        <v>0</v>
      </c>
      <c r="D70" s="6"/>
      <c r="E70" s="201" t="str">
        <f>INDEX('13.Mapping'!$F:$F,MATCH('6.WS-Re-Exp'!$A70,'13.Mapping'!$B:$B,0))</f>
        <v>43010</v>
      </c>
      <c r="F70" s="201" t="str">
        <f>INDEX('13.Mapping'!$D:$D,MATCH('6.WS-Re-Exp'!$A70,'13.Mapping'!$B:$B,0))</f>
        <v>P04</v>
      </c>
      <c r="G70" s="201" t="str">
        <f>INDEX('13.Mapping'!$K:$K,MATCH('6.WS-Re-Exp'!$A70,'13.Mapping'!$B:$B,0))</f>
        <v>PC01</v>
      </c>
      <c r="H70" s="289"/>
      <c r="I70" s="531">
        <v>68</v>
      </c>
    </row>
    <row r="71" spans="1:9" s="33" customFormat="1" hidden="1" x14ac:dyDescent="0.7">
      <c r="A71" s="251" t="s">
        <v>730</v>
      </c>
      <c r="B71" s="212" t="s">
        <v>731</v>
      </c>
      <c r="C71" s="11">
        <f>IFERROR(INDEX('5.งบทดลอง รพ.'!$C:$C,MATCH('6.WS-Re-Exp'!A71,'5.งบทดลอง รพ.'!$A:$A,0)),)</f>
        <v>0</v>
      </c>
      <c r="D71" s="6"/>
      <c r="E71" s="201" t="str">
        <f>INDEX('13.Mapping'!$F:$F,MATCH('6.WS-Re-Exp'!$A71,'13.Mapping'!$B:$B,0))</f>
        <v>43010</v>
      </c>
      <c r="F71" s="201" t="str">
        <f>INDEX('13.Mapping'!$D:$D,MATCH('6.WS-Re-Exp'!$A71,'13.Mapping'!$B:$B,0))</f>
        <v>P04</v>
      </c>
      <c r="G71" s="201" t="str">
        <f>INDEX('13.Mapping'!$K:$K,MATCH('6.WS-Re-Exp'!$A71,'13.Mapping'!$B:$B,0))</f>
        <v>PC01</v>
      </c>
      <c r="H71" s="289"/>
      <c r="I71" s="531">
        <v>69</v>
      </c>
    </row>
    <row r="72" spans="1:9" s="33" customFormat="1" hidden="1" x14ac:dyDescent="0.7">
      <c r="A72" s="251" t="s">
        <v>732</v>
      </c>
      <c r="B72" s="212" t="s">
        <v>733</v>
      </c>
      <c r="C72" s="11">
        <f>IFERROR(INDEX('5.งบทดลอง รพ.'!$C:$C,MATCH('6.WS-Re-Exp'!A72,'5.งบทดลอง รพ.'!$A:$A,0)),)</f>
        <v>0</v>
      </c>
      <c r="D72" s="6"/>
      <c r="E72" s="201" t="str">
        <f>INDEX('13.Mapping'!$F:$F,MATCH('6.WS-Re-Exp'!$A72,'13.Mapping'!$B:$B,0))</f>
        <v>44010</v>
      </c>
      <c r="F72" s="201" t="str">
        <f>INDEX('13.Mapping'!$D:$D,MATCH('6.WS-Re-Exp'!$A72,'13.Mapping'!$B:$B,0))</f>
        <v>P04</v>
      </c>
      <c r="G72" s="201" t="str">
        <f>INDEX('13.Mapping'!$K:$K,MATCH('6.WS-Re-Exp'!$A72,'13.Mapping'!$B:$B,0))</f>
        <v>PC01</v>
      </c>
      <c r="H72" s="289"/>
      <c r="I72" s="531">
        <v>70</v>
      </c>
    </row>
    <row r="73" spans="1:9" s="33" customFormat="1" hidden="1" x14ac:dyDescent="0.7">
      <c r="A73" s="251" t="s">
        <v>734</v>
      </c>
      <c r="B73" s="212" t="s">
        <v>735</v>
      </c>
      <c r="C73" s="11">
        <f>IFERROR(INDEX('5.งบทดลอง รพ.'!$C:$C,MATCH('6.WS-Re-Exp'!A73,'5.งบทดลอง รพ.'!$A:$A,0)),)</f>
        <v>0</v>
      </c>
      <c r="D73" s="6"/>
      <c r="E73" s="201" t="str">
        <f>INDEX('13.Mapping'!$F:$F,MATCH('6.WS-Re-Exp'!$A73,'13.Mapping'!$B:$B,0))</f>
        <v>44010</v>
      </c>
      <c r="F73" s="201" t="str">
        <f>INDEX('13.Mapping'!$D:$D,MATCH('6.WS-Re-Exp'!$A73,'13.Mapping'!$B:$B,0))</f>
        <v>P04</v>
      </c>
      <c r="G73" s="201" t="str">
        <f>INDEX('13.Mapping'!$K:$K,MATCH('6.WS-Re-Exp'!$A73,'13.Mapping'!$B:$B,0))</f>
        <v>PC01</v>
      </c>
      <c r="H73" s="289"/>
      <c r="I73" s="531">
        <v>71</v>
      </c>
    </row>
    <row r="74" spans="1:9" s="33" customFormat="1" hidden="1" x14ac:dyDescent="0.7">
      <c r="A74" s="251" t="s">
        <v>707</v>
      </c>
      <c r="B74" s="212" t="s">
        <v>964</v>
      </c>
      <c r="C74" s="11">
        <f>IFERROR(INDEX('5.งบทดลอง รพ.'!$C:$C,MATCH('6.WS-Re-Exp'!A74,'5.งบทดลอง รพ.'!$A:$A,0)),)</f>
        <v>25470.55</v>
      </c>
      <c r="D74" s="6"/>
      <c r="E74" s="201" t="str">
        <f>INDEX('13.Mapping'!$F:$F,MATCH('6.WS-Re-Exp'!$A74,'13.Mapping'!$B:$B,0))</f>
        <v>44010</v>
      </c>
      <c r="F74" s="201" t="str">
        <f>INDEX('13.Mapping'!$D:$D,MATCH('6.WS-Re-Exp'!$A74,'13.Mapping'!$B:$B,0))</f>
        <v>P04</v>
      </c>
      <c r="G74" s="201" t="str">
        <f>INDEX('13.Mapping'!$K:$K,MATCH('6.WS-Re-Exp'!$A74,'13.Mapping'!$B:$B,0))</f>
        <v>PC01</v>
      </c>
      <c r="H74" s="289"/>
      <c r="I74" s="531">
        <v>72</v>
      </c>
    </row>
    <row r="75" spans="1:9" s="33" customFormat="1" hidden="1" x14ac:dyDescent="0.7">
      <c r="A75" s="251" t="s">
        <v>708</v>
      </c>
      <c r="B75" s="212" t="s">
        <v>709</v>
      </c>
      <c r="C75" s="11">
        <f>IFERROR(INDEX('5.งบทดลอง รพ.'!$C:$C,MATCH('6.WS-Re-Exp'!A75,'5.งบทดลอง รพ.'!$A:$A,0)),)</f>
        <v>500</v>
      </c>
      <c r="D75" s="6"/>
      <c r="E75" s="201" t="str">
        <f>INDEX('13.Mapping'!$F:$F,MATCH('6.WS-Re-Exp'!$A75,'13.Mapping'!$B:$B,0))</f>
        <v>41010</v>
      </c>
      <c r="F75" s="201" t="str">
        <f>INDEX('13.Mapping'!$D:$D,MATCH('6.WS-Re-Exp'!$A75,'13.Mapping'!$B:$B,0))</f>
        <v>P04</v>
      </c>
      <c r="G75" s="201" t="str">
        <f>INDEX('13.Mapping'!$K:$K,MATCH('6.WS-Re-Exp'!$A75,'13.Mapping'!$B:$B,0))</f>
        <v>PC01</v>
      </c>
      <c r="H75" s="289"/>
      <c r="I75" s="531">
        <v>73</v>
      </c>
    </row>
    <row r="76" spans="1:9" s="33" customFormat="1" hidden="1" x14ac:dyDescent="0.7">
      <c r="A76" s="251" t="s">
        <v>710</v>
      </c>
      <c r="B76" s="212" t="s">
        <v>711</v>
      </c>
      <c r="C76" s="11">
        <f>IFERROR(INDEX('5.งบทดลอง รพ.'!$C:$C,MATCH('6.WS-Re-Exp'!A76,'5.งบทดลอง รพ.'!$A:$A,0)),)</f>
        <v>-18066638</v>
      </c>
      <c r="D76" s="6"/>
      <c r="E76" s="201" t="str">
        <f>INDEX('13.Mapping'!$F:$F,MATCH('6.WS-Re-Exp'!$A76,'13.Mapping'!$B:$B,0))</f>
        <v>44010</v>
      </c>
      <c r="F76" s="201" t="str">
        <f>INDEX('13.Mapping'!$D:$D,MATCH('6.WS-Re-Exp'!$A76,'13.Mapping'!$B:$B,0))</f>
        <v>P04</v>
      </c>
      <c r="G76" s="201" t="str">
        <f>INDEX('13.Mapping'!$K:$K,MATCH('6.WS-Re-Exp'!$A76,'13.Mapping'!$B:$B,0))</f>
        <v>PC01</v>
      </c>
      <c r="H76" s="289"/>
      <c r="I76" s="531">
        <v>74</v>
      </c>
    </row>
    <row r="77" spans="1:9" s="33" customFormat="1" hidden="1" x14ac:dyDescent="0.7">
      <c r="A77" s="251" t="s">
        <v>712</v>
      </c>
      <c r="B77" s="212" t="s">
        <v>713</v>
      </c>
      <c r="C77" s="11">
        <f>IFERROR(INDEX('5.งบทดลอง รพ.'!$C:$C,MATCH('6.WS-Re-Exp'!A77,'5.งบทดลอง รพ.'!$A:$A,0)),)</f>
        <v>0</v>
      </c>
      <c r="D77" s="6"/>
      <c r="E77" s="201" t="str">
        <f>INDEX('13.Mapping'!$F:$F,MATCH('6.WS-Re-Exp'!$A77,'13.Mapping'!$B:$B,0))</f>
        <v>44010</v>
      </c>
      <c r="F77" s="201" t="str">
        <f>INDEX('13.Mapping'!$D:$D,MATCH('6.WS-Re-Exp'!$A77,'13.Mapping'!$B:$B,0))</f>
        <v>P04</v>
      </c>
      <c r="G77" s="201" t="str">
        <f>INDEX('13.Mapping'!$K:$K,MATCH('6.WS-Re-Exp'!$A77,'13.Mapping'!$B:$B,0))</f>
        <v>PC01</v>
      </c>
      <c r="H77" s="289"/>
      <c r="I77" s="531">
        <v>75</v>
      </c>
    </row>
    <row r="78" spans="1:9" s="33" customFormat="1" hidden="1" x14ac:dyDescent="0.7">
      <c r="A78" s="251" t="s">
        <v>714</v>
      </c>
      <c r="B78" s="212" t="s">
        <v>715</v>
      </c>
      <c r="C78" s="11">
        <f>IFERROR(INDEX('5.งบทดลอง รพ.'!$C:$C,MATCH('6.WS-Re-Exp'!A78,'5.งบทดลอง รพ.'!$A:$A,0)),)</f>
        <v>0</v>
      </c>
      <c r="D78" s="6"/>
      <c r="E78" s="201" t="str">
        <f>INDEX('13.Mapping'!$F:$F,MATCH('6.WS-Re-Exp'!$A78,'13.Mapping'!$B:$B,0))</f>
        <v>44010</v>
      </c>
      <c r="F78" s="201" t="str">
        <f>INDEX('13.Mapping'!$D:$D,MATCH('6.WS-Re-Exp'!$A78,'13.Mapping'!$B:$B,0))</f>
        <v>P04</v>
      </c>
      <c r="G78" s="201" t="str">
        <f>INDEX('13.Mapping'!$K:$K,MATCH('6.WS-Re-Exp'!$A78,'13.Mapping'!$B:$B,0))</f>
        <v>PC01</v>
      </c>
      <c r="H78" s="289"/>
      <c r="I78" s="531">
        <v>76</v>
      </c>
    </row>
    <row r="79" spans="1:9" s="33" customFormat="1" hidden="1" x14ac:dyDescent="0.7">
      <c r="A79" s="251" t="s">
        <v>5815</v>
      </c>
      <c r="B79" s="212" t="s">
        <v>5817</v>
      </c>
      <c r="C79" s="11">
        <f>IFERROR(INDEX('5.งบทดลอง รพ.'!$C:$C,MATCH('6.WS-Re-Exp'!A79,'5.งบทดลอง รพ.'!$A:$A,0)),)</f>
        <v>5000000</v>
      </c>
      <c r="D79" s="6"/>
      <c r="E79" s="201" t="str">
        <f>INDEX('13.Mapping'!$F:$F,MATCH('6.WS-Re-Exp'!$A79,'13.Mapping'!$B:$B,0))</f>
        <v>41070</v>
      </c>
      <c r="F79" s="201" t="str">
        <f>INDEX('13.Mapping'!$D:$D,MATCH('6.WS-Re-Exp'!$A79,'13.Mapping'!$B:$B,0))</f>
        <v>P10</v>
      </c>
      <c r="G79" s="201" t="str">
        <f>INDEX('13.Mapping'!$K:$K,MATCH('6.WS-Re-Exp'!$A79,'13.Mapping'!$B:$B,0))</f>
        <v>PC08</v>
      </c>
      <c r="H79" s="289"/>
      <c r="I79" s="531">
        <v>77</v>
      </c>
    </row>
    <row r="80" spans="1:9" s="33" customFormat="1" hidden="1" x14ac:dyDescent="0.7">
      <c r="A80" s="251" t="s">
        <v>5816</v>
      </c>
      <c r="B80" s="212" t="s">
        <v>5818</v>
      </c>
      <c r="C80" s="11">
        <f>IFERROR(INDEX('5.งบทดลอง รพ.'!$C:$C,MATCH('6.WS-Re-Exp'!A80,'5.งบทดลอง รพ.'!$A:$A,0)),)</f>
        <v>300000</v>
      </c>
      <c r="D80" s="6"/>
      <c r="E80" s="201" t="str">
        <f>INDEX('13.Mapping'!$F:$F,MATCH('6.WS-Re-Exp'!$A80,'13.Mapping'!$B:$B,0))</f>
        <v>42070</v>
      </c>
      <c r="F80" s="201" t="str">
        <f>INDEX('13.Mapping'!$D:$D,MATCH('6.WS-Re-Exp'!$A80,'13.Mapping'!$B:$B,0))</f>
        <v>P10</v>
      </c>
      <c r="G80" s="201" t="str">
        <f>INDEX('13.Mapping'!$K:$K,MATCH('6.WS-Re-Exp'!$A80,'13.Mapping'!$B:$B,0))</f>
        <v>PC08</v>
      </c>
      <c r="H80" s="289"/>
      <c r="I80" s="531">
        <v>78</v>
      </c>
    </row>
    <row r="81" spans="1:9" s="33" customFormat="1" hidden="1" x14ac:dyDescent="0.7">
      <c r="A81" s="521" t="s">
        <v>6305</v>
      </c>
      <c r="B81" s="521" t="s">
        <v>6306</v>
      </c>
      <c r="C81" s="11">
        <f>IFERROR(INDEX('5.งบทดลอง รพ.'!$C:$C,MATCH('6.WS-Re-Exp'!A81,'5.งบทดลอง รพ.'!$A:$A,0)),)</f>
        <v>0</v>
      </c>
      <c r="D81" s="6"/>
      <c r="E81" s="201" t="str">
        <f>INDEX('13.Mapping'!$F:$F,MATCH('6.WS-Re-Exp'!$A81,'13.Mapping'!$B:$B,0))</f>
        <v>44060</v>
      </c>
      <c r="F81" s="201" t="str">
        <f>INDEX('13.Mapping'!$D:$D,MATCH('6.WS-Re-Exp'!$A81,'13.Mapping'!$B:$B,0))</f>
        <v>P10</v>
      </c>
      <c r="G81" s="201" t="str">
        <f>INDEX('13.Mapping'!$K:$K,MATCH('6.WS-Re-Exp'!$A81,'13.Mapping'!$B:$B,0))</f>
        <v>PC08</v>
      </c>
      <c r="H81" s="289"/>
      <c r="I81" s="531">
        <v>79</v>
      </c>
    </row>
    <row r="82" spans="1:9" s="33" customFormat="1" hidden="1" x14ac:dyDescent="0.7">
      <c r="A82" s="521" t="s">
        <v>6308</v>
      </c>
      <c r="B82" s="521" t="s">
        <v>6309</v>
      </c>
      <c r="C82" s="11">
        <f>IFERROR(INDEX('5.งบทดลอง รพ.'!$C:$C,MATCH('6.WS-Re-Exp'!A82,'5.งบทดลอง รพ.'!$A:$A,0)),)</f>
        <v>0</v>
      </c>
      <c r="D82" s="6"/>
      <c r="E82" s="201" t="str">
        <f>INDEX('13.Mapping'!$F:$F,MATCH('6.WS-Re-Exp'!$A82,'13.Mapping'!$B:$B,0))</f>
        <v>44060</v>
      </c>
      <c r="F82" s="201" t="str">
        <f>INDEX('13.Mapping'!$D:$D,MATCH('6.WS-Re-Exp'!$A82,'13.Mapping'!$B:$B,0))</f>
        <v>P10</v>
      </c>
      <c r="G82" s="201" t="str">
        <f>INDEX('13.Mapping'!$K:$K,MATCH('6.WS-Re-Exp'!$A82,'13.Mapping'!$B:$B,0))</f>
        <v>PC08</v>
      </c>
      <c r="H82" s="289"/>
      <c r="I82" s="531">
        <v>80</v>
      </c>
    </row>
    <row r="83" spans="1:9" s="33" customFormat="1" hidden="1" x14ac:dyDescent="0.7">
      <c r="A83" s="251" t="s">
        <v>86</v>
      </c>
      <c r="B83" s="212" t="s">
        <v>87</v>
      </c>
      <c r="C83" s="11">
        <f>IFERROR(INDEX('5.งบทดลอง รพ.'!$C:$C,MATCH('6.WS-Re-Exp'!A83,'5.งบทดลอง รพ.'!$A:$A,0)),)</f>
        <v>0</v>
      </c>
      <c r="D83" s="6"/>
      <c r="E83" s="201" t="str">
        <f>INDEX('13.Mapping'!$F:$F,MATCH('6.WS-Re-Exp'!$A83,'13.Mapping'!$B:$B,0))</f>
        <v>43030</v>
      </c>
      <c r="F83" s="201" t="str">
        <f>INDEX('13.Mapping'!$D:$D,MATCH('6.WS-Re-Exp'!$A83,'13.Mapping'!$B:$B,0))</f>
        <v>P08</v>
      </c>
      <c r="G83" s="201" t="str">
        <f>INDEX('13.Mapping'!$K:$K,MATCH('6.WS-Re-Exp'!$A83,'13.Mapping'!$B:$B,0))</f>
        <v>PC06</v>
      </c>
      <c r="H83" s="289"/>
      <c r="I83" s="531">
        <v>81</v>
      </c>
    </row>
    <row r="84" spans="1:9" s="33" customFormat="1" hidden="1" x14ac:dyDescent="0.7">
      <c r="A84" s="251" t="s">
        <v>88</v>
      </c>
      <c r="B84" s="212" t="s">
        <v>965</v>
      </c>
      <c r="C84" s="11">
        <f>IFERROR(INDEX('5.งบทดลอง รพ.'!$C:$C,MATCH('6.WS-Re-Exp'!A84,'5.งบทดลอง รพ.'!$A:$A,0)),)</f>
        <v>1500000</v>
      </c>
      <c r="D84" s="6"/>
      <c r="E84" s="201" t="str">
        <f>INDEX('13.Mapping'!$F:$F,MATCH('6.WS-Re-Exp'!$A84,'13.Mapping'!$B:$B,0))</f>
        <v>41050</v>
      </c>
      <c r="F84" s="201" t="str">
        <f>INDEX('13.Mapping'!$D:$D,MATCH('6.WS-Re-Exp'!$A84,'13.Mapping'!$B:$B,0))</f>
        <v>P08</v>
      </c>
      <c r="G84" s="201" t="str">
        <f>INDEX('13.Mapping'!$K:$K,MATCH('6.WS-Re-Exp'!$A84,'13.Mapping'!$B:$B,0))</f>
        <v>PC06</v>
      </c>
      <c r="H84" s="289"/>
      <c r="I84" s="531">
        <v>82</v>
      </c>
    </row>
    <row r="85" spans="1:9" s="33" customFormat="1" hidden="1" x14ac:dyDescent="0.7">
      <c r="A85" s="251" t="s">
        <v>89</v>
      </c>
      <c r="B85" s="212" t="s">
        <v>966</v>
      </c>
      <c r="C85" s="11">
        <f>IFERROR(INDEX('5.งบทดลอง รพ.'!$C:$C,MATCH('6.WS-Re-Exp'!A85,'5.งบทดลอง รพ.'!$A:$A,0)),)</f>
        <v>850000</v>
      </c>
      <c r="D85" s="6"/>
      <c r="E85" s="201" t="str">
        <f>INDEX('13.Mapping'!$F:$F,MATCH('6.WS-Re-Exp'!$A85,'13.Mapping'!$B:$B,0))</f>
        <v>42050</v>
      </c>
      <c r="F85" s="201" t="str">
        <f>INDEX('13.Mapping'!$D:$D,MATCH('6.WS-Re-Exp'!$A85,'13.Mapping'!$B:$B,0))</f>
        <v>P08</v>
      </c>
      <c r="G85" s="201" t="str">
        <f>INDEX('13.Mapping'!$K:$K,MATCH('6.WS-Re-Exp'!$A85,'13.Mapping'!$B:$B,0))</f>
        <v>PC06</v>
      </c>
      <c r="H85" s="289"/>
      <c r="I85" s="531">
        <v>83</v>
      </c>
    </row>
    <row r="86" spans="1:9" s="33" customFormat="1" hidden="1" x14ac:dyDescent="0.7">
      <c r="A86" s="251" t="s">
        <v>90</v>
      </c>
      <c r="B86" s="196" t="s">
        <v>5847</v>
      </c>
      <c r="C86" s="11">
        <f>IFERROR(INDEX('5.งบทดลอง รพ.'!$C:$C,MATCH('6.WS-Re-Exp'!A86,'5.งบทดลอง รพ.'!$A:$A,0)),)</f>
        <v>0</v>
      </c>
      <c r="D86" s="6"/>
      <c r="E86" s="201" t="str">
        <f>INDEX('13.Mapping'!$F:$F,MATCH('6.WS-Re-Exp'!$A86,'13.Mapping'!$B:$B,0))</f>
        <v>41050</v>
      </c>
      <c r="F86" s="201" t="str">
        <f>INDEX('13.Mapping'!$D:$D,MATCH('6.WS-Re-Exp'!$A86,'13.Mapping'!$B:$B,0))</f>
        <v>P08</v>
      </c>
      <c r="G86" s="201" t="str">
        <f>INDEX('13.Mapping'!$K:$K,MATCH('6.WS-Re-Exp'!$A86,'13.Mapping'!$B:$B,0))</f>
        <v>PC06</v>
      </c>
      <c r="H86" s="289"/>
      <c r="I86" s="531">
        <v>84</v>
      </c>
    </row>
    <row r="87" spans="1:9" s="33" customFormat="1" hidden="1" x14ac:dyDescent="0.7">
      <c r="A87" s="251" t="s">
        <v>91</v>
      </c>
      <c r="B87" s="196" t="s">
        <v>5848</v>
      </c>
      <c r="C87" s="11">
        <f>IFERROR(INDEX('5.งบทดลอง รพ.'!$C:$C,MATCH('6.WS-Re-Exp'!A87,'5.งบทดลอง รพ.'!$A:$A,0)),)</f>
        <v>0</v>
      </c>
      <c r="D87" s="6"/>
      <c r="E87" s="201" t="str">
        <f>INDEX('13.Mapping'!$F:$F,MATCH('6.WS-Re-Exp'!$A87,'13.Mapping'!$B:$B,0))</f>
        <v>42050</v>
      </c>
      <c r="F87" s="201" t="str">
        <f>INDEX('13.Mapping'!$D:$D,MATCH('6.WS-Re-Exp'!$A87,'13.Mapping'!$B:$B,0))</f>
        <v>P08</v>
      </c>
      <c r="G87" s="201" t="str">
        <f>INDEX('13.Mapping'!$K:$K,MATCH('6.WS-Re-Exp'!$A87,'13.Mapping'!$B:$B,0))</f>
        <v>PC06</v>
      </c>
      <c r="H87" s="289"/>
      <c r="I87" s="531">
        <v>85</v>
      </c>
    </row>
    <row r="88" spans="1:9" s="33" customFormat="1" hidden="1" x14ac:dyDescent="0.7">
      <c r="A88" s="305" t="s">
        <v>5844</v>
      </c>
      <c r="B88" s="76" t="s">
        <v>5842</v>
      </c>
      <c r="C88" s="11">
        <f>IFERROR(INDEX('5.งบทดลอง รพ.'!$C:$C,MATCH('6.WS-Re-Exp'!A88,'5.งบทดลอง รพ.'!$A:$A,0)),)</f>
        <v>0</v>
      </c>
      <c r="D88" s="6"/>
      <c r="E88" s="201" t="str">
        <f>INDEX('13.Mapping'!$F:$F,MATCH('6.WS-Re-Exp'!$A88,'13.Mapping'!$B:$B,0))</f>
        <v>41050</v>
      </c>
      <c r="F88" s="201" t="str">
        <f>INDEX('13.Mapping'!$D:$D,MATCH('6.WS-Re-Exp'!$A88,'13.Mapping'!$B:$B,0))</f>
        <v>P08</v>
      </c>
      <c r="G88" s="201" t="str">
        <f>INDEX('13.Mapping'!$K:$K,MATCH('6.WS-Re-Exp'!$A88,'13.Mapping'!$B:$B,0))</f>
        <v>PC06</v>
      </c>
      <c r="H88" s="289"/>
      <c r="I88" s="531">
        <v>86</v>
      </c>
    </row>
    <row r="89" spans="1:9" s="33" customFormat="1" hidden="1" x14ac:dyDescent="0.7">
      <c r="A89" s="305" t="s">
        <v>5845</v>
      </c>
      <c r="B89" s="76" t="s">
        <v>5843</v>
      </c>
      <c r="C89" s="11">
        <f>IFERROR(INDEX('5.งบทดลอง รพ.'!$C:$C,MATCH('6.WS-Re-Exp'!A89,'5.งบทดลอง รพ.'!$A:$A,0)),)</f>
        <v>0</v>
      </c>
      <c r="D89" s="6"/>
      <c r="E89" s="201" t="str">
        <f>INDEX('13.Mapping'!$F:$F,MATCH('6.WS-Re-Exp'!$A89,'13.Mapping'!$B:$B,0))</f>
        <v>42050</v>
      </c>
      <c r="F89" s="201" t="str">
        <f>INDEX('13.Mapping'!$D:$D,MATCH('6.WS-Re-Exp'!$A89,'13.Mapping'!$B:$B,0))</f>
        <v>P08</v>
      </c>
      <c r="G89" s="201" t="str">
        <f>INDEX('13.Mapping'!$K:$K,MATCH('6.WS-Re-Exp'!$A89,'13.Mapping'!$B:$B,0))</f>
        <v>PC06</v>
      </c>
      <c r="H89" s="289"/>
      <c r="I89" s="531">
        <v>87</v>
      </c>
    </row>
    <row r="90" spans="1:9" s="33" customFormat="1" hidden="1" x14ac:dyDescent="0.7">
      <c r="A90" s="251" t="s">
        <v>92</v>
      </c>
      <c r="B90" s="212" t="s">
        <v>93</v>
      </c>
      <c r="C90" s="11">
        <f>IFERROR(INDEX('5.งบทดลอง รพ.'!$C:$C,MATCH('6.WS-Re-Exp'!A90,'5.งบทดลอง รพ.'!$A:$A,0)),)</f>
        <v>100000</v>
      </c>
      <c r="D90" s="6"/>
      <c r="E90" s="201" t="str">
        <f>INDEX('13.Mapping'!$F:$F,MATCH('6.WS-Re-Exp'!$A90,'13.Mapping'!$B:$B,0))</f>
        <v>43030</v>
      </c>
      <c r="F90" s="201" t="str">
        <f>INDEX('13.Mapping'!$D:$D,MATCH('6.WS-Re-Exp'!$A90,'13.Mapping'!$B:$B,0))</f>
        <v>P08</v>
      </c>
      <c r="G90" s="201" t="str">
        <f>INDEX('13.Mapping'!$K:$K,MATCH('6.WS-Re-Exp'!$A90,'13.Mapping'!$B:$B,0))</f>
        <v>PC06</v>
      </c>
      <c r="H90" s="289"/>
      <c r="I90" s="531">
        <v>88</v>
      </c>
    </row>
    <row r="91" spans="1:9" s="33" customFormat="1" hidden="1" x14ac:dyDescent="0.7">
      <c r="A91" s="251" t="s">
        <v>94</v>
      </c>
      <c r="B91" s="212" t="s">
        <v>95</v>
      </c>
      <c r="C91" s="11">
        <f>IFERROR(INDEX('5.งบทดลอง รพ.'!$C:$C,MATCH('6.WS-Re-Exp'!A91,'5.งบทดลอง รพ.'!$A:$A,0)),)</f>
        <v>0</v>
      </c>
      <c r="D91" s="6"/>
      <c r="E91" s="201" t="str">
        <f>INDEX('13.Mapping'!$F:$F,MATCH('6.WS-Re-Exp'!$A91,'13.Mapping'!$B:$B,0))</f>
        <v>42050</v>
      </c>
      <c r="F91" s="201" t="str">
        <f>INDEX('13.Mapping'!$D:$D,MATCH('6.WS-Re-Exp'!$A91,'13.Mapping'!$B:$B,0))</f>
        <v>P08</v>
      </c>
      <c r="G91" s="201" t="str">
        <f>INDEX('13.Mapping'!$K:$K,MATCH('6.WS-Re-Exp'!$A91,'13.Mapping'!$B:$B,0))</f>
        <v>PC06</v>
      </c>
      <c r="H91" s="289"/>
      <c r="I91" s="531">
        <v>89</v>
      </c>
    </row>
    <row r="92" spans="1:9" s="33" customFormat="1" hidden="1" x14ac:dyDescent="0.7">
      <c r="A92" s="251" t="s">
        <v>96</v>
      </c>
      <c r="B92" s="212" t="s">
        <v>967</v>
      </c>
      <c r="C92" s="11">
        <f>IFERROR(INDEX('5.งบทดลอง รพ.'!$C:$C,MATCH('6.WS-Re-Exp'!A92,'5.งบทดลอง รพ.'!$A:$A,0)),)</f>
        <v>350000</v>
      </c>
      <c r="D92" s="6"/>
      <c r="E92" s="201" t="str">
        <f>INDEX('13.Mapping'!$F:$F,MATCH('6.WS-Re-Exp'!$A92,'13.Mapping'!$B:$B,0))</f>
        <v>41050</v>
      </c>
      <c r="F92" s="201" t="str">
        <f>INDEX('13.Mapping'!$D:$D,MATCH('6.WS-Re-Exp'!$A92,'13.Mapping'!$B:$B,0))</f>
        <v>P08</v>
      </c>
      <c r="G92" s="201" t="str">
        <f>INDEX('13.Mapping'!$K:$K,MATCH('6.WS-Re-Exp'!$A92,'13.Mapping'!$B:$B,0))</f>
        <v>PC06</v>
      </c>
      <c r="H92" s="289"/>
      <c r="I92" s="531">
        <v>90</v>
      </c>
    </row>
    <row r="93" spans="1:9" s="33" customFormat="1" hidden="1" x14ac:dyDescent="0.7">
      <c r="A93" s="251" t="s">
        <v>97</v>
      </c>
      <c r="B93" s="212" t="s">
        <v>968</v>
      </c>
      <c r="C93" s="11">
        <f>IFERROR(INDEX('5.งบทดลอง รพ.'!$C:$C,MATCH('6.WS-Re-Exp'!A93,'5.งบทดลอง รพ.'!$A:$A,0)),)</f>
        <v>500000</v>
      </c>
      <c r="D93" s="6"/>
      <c r="E93" s="201" t="str">
        <f>INDEX('13.Mapping'!$F:$F,MATCH('6.WS-Re-Exp'!$A93,'13.Mapping'!$B:$B,0))</f>
        <v>42050</v>
      </c>
      <c r="F93" s="201" t="str">
        <f>INDEX('13.Mapping'!$D:$D,MATCH('6.WS-Re-Exp'!$A93,'13.Mapping'!$B:$B,0))</f>
        <v>P08</v>
      </c>
      <c r="G93" s="201" t="str">
        <f>INDEX('13.Mapping'!$K:$K,MATCH('6.WS-Re-Exp'!$A93,'13.Mapping'!$B:$B,0))</f>
        <v>PC06</v>
      </c>
      <c r="H93" s="289"/>
      <c r="I93" s="531">
        <v>91</v>
      </c>
    </row>
    <row r="94" spans="1:9" s="33" customFormat="1" hidden="1" x14ac:dyDescent="0.7">
      <c r="A94" s="251" t="s">
        <v>98</v>
      </c>
      <c r="B94" s="212" t="s">
        <v>969</v>
      </c>
      <c r="C94" s="11">
        <f>IFERROR(INDEX('5.งบทดลอง รพ.'!$C:$C,MATCH('6.WS-Re-Exp'!A94,'5.งบทดลอง รพ.'!$A:$A,0)),)</f>
        <v>0</v>
      </c>
      <c r="D94" s="6"/>
      <c r="E94" s="201" t="str">
        <f>INDEX('13.Mapping'!$F:$F,MATCH('6.WS-Re-Exp'!$A94,'13.Mapping'!$B:$B,0))</f>
        <v>44040</v>
      </c>
      <c r="F94" s="201" t="str">
        <f>INDEX('13.Mapping'!$D:$D,MATCH('6.WS-Re-Exp'!$A94,'13.Mapping'!$B:$B,0))</f>
        <v>P08</v>
      </c>
      <c r="G94" s="201" t="str">
        <f>INDEX('13.Mapping'!$K:$K,MATCH('6.WS-Re-Exp'!$A94,'13.Mapping'!$B:$B,0))</f>
        <v>PC06</v>
      </c>
      <c r="H94" s="289"/>
      <c r="I94" s="531">
        <v>92</v>
      </c>
    </row>
    <row r="95" spans="1:9" s="33" customFormat="1" hidden="1" x14ac:dyDescent="0.7">
      <c r="A95" s="251" t="s">
        <v>99</v>
      </c>
      <c r="B95" s="212" t="s">
        <v>970</v>
      </c>
      <c r="C95" s="11">
        <f>IFERROR(INDEX('5.งบทดลอง รพ.'!$C:$C,MATCH('6.WS-Re-Exp'!A95,'5.งบทดลอง รพ.'!$A:$A,0)),)</f>
        <v>0</v>
      </c>
      <c r="D95" s="6"/>
      <c r="E95" s="201" t="str">
        <f>INDEX('13.Mapping'!$F:$F,MATCH('6.WS-Re-Exp'!$A95,'13.Mapping'!$B:$B,0))</f>
        <v>44040</v>
      </c>
      <c r="F95" s="201" t="str">
        <f>INDEX('13.Mapping'!$D:$D,MATCH('6.WS-Re-Exp'!$A95,'13.Mapping'!$B:$B,0))</f>
        <v>P08</v>
      </c>
      <c r="G95" s="201" t="str">
        <f>INDEX('13.Mapping'!$K:$K,MATCH('6.WS-Re-Exp'!$A95,'13.Mapping'!$B:$B,0))</f>
        <v>PC06</v>
      </c>
      <c r="H95" s="289"/>
      <c r="I95" s="531">
        <v>93</v>
      </c>
    </row>
    <row r="96" spans="1:9" s="33" customFormat="1" hidden="1" x14ac:dyDescent="0.7">
      <c r="A96" s="251" t="s">
        <v>100</v>
      </c>
      <c r="B96" s="212" t="s">
        <v>971</v>
      </c>
      <c r="C96" s="11">
        <f>IFERROR(INDEX('5.งบทดลอง รพ.'!$C:$C,MATCH('6.WS-Re-Exp'!A96,'5.งบทดลอง รพ.'!$A:$A,0)),)</f>
        <v>0</v>
      </c>
      <c r="D96" s="6"/>
      <c r="E96" s="201" t="str">
        <f>INDEX('13.Mapping'!$F:$F,MATCH('6.WS-Re-Exp'!$A96,'13.Mapping'!$B:$B,0))</f>
        <v>44040</v>
      </c>
      <c r="F96" s="201" t="str">
        <f>INDEX('13.Mapping'!$D:$D,MATCH('6.WS-Re-Exp'!$A96,'13.Mapping'!$B:$B,0))</f>
        <v>P08</v>
      </c>
      <c r="G96" s="201" t="str">
        <f>INDEX('13.Mapping'!$K:$K,MATCH('6.WS-Re-Exp'!$A96,'13.Mapping'!$B:$B,0))</f>
        <v>PC06</v>
      </c>
      <c r="H96" s="289"/>
      <c r="I96" s="531">
        <v>94</v>
      </c>
    </row>
    <row r="97" spans="1:9" s="33" customFormat="1" hidden="1" x14ac:dyDescent="0.7">
      <c r="A97" s="251" t="s">
        <v>101</v>
      </c>
      <c r="B97" s="212" t="s">
        <v>972</v>
      </c>
      <c r="C97" s="11">
        <f>IFERROR(INDEX('5.งบทดลอง รพ.'!$C:$C,MATCH('6.WS-Re-Exp'!A97,'5.งบทดลอง รพ.'!$A:$A,0)),)</f>
        <v>302899</v>
      </c>
      <c r="D97" s="6"/>
      <c r="E97" s="201" t="str">
        <f>INDEX('13.Mapping'!$F:$F,MATCH('6.WS-Re-Exp'!$A97,'13.Mapping'!$B:$B,0))</f>
        <v>44040</v>
      </c>
      <c r="F97" s="201" t="str">
        <f>INDEX('13.Mapping'!$D:$D,MATCH('6.WS-Re-Exp'!$A97,'13.Mapping'!$B:$B,0))</f>
        <v>P08</v>
      </c>
      <c r="G97" s="201" t="str">
        <f>INDEX('13.Mapping'!$K:$K,MATCH('6.WS-Re-Exp'!$A97,'13.Mapping'!$B:$B,0))</f>
        <v>PC06</v>
      </c>
      <c r="H97" s="289"/>
      <c r="I97" s="531">
        <v>95</v>
      </c>
    </row>
    <row r="98" spans="1:9" s="33" customFormat="1" hidden="1" x14ac:dyDescent="0.7">
      <c r="A98" s="251" t="s">
        <v>736</v>
      </c>
      <c r="B98" s="212" t="s">
        <v>102</v>
      </c>
      <c r="C98" s="11">
        <f>IFERROR(INDEX('5.งบทดลอง รพ.'!$C:$C,MATCH('6.WS-Re-Exp'!A98,'5.งบทดลอง รพ.'!$A:$A,0)),)</f>
        <v>0</v>
      </c>
      <c r="D98" s="6"/>
      <c r="E98" s="201" t="str">
        <f>INDEX('13.Mapping'!$F:$F,MATCH('6.WS-Re-Exp'!$A98,'13.Mapping'!$B:$B,0))</f>
        <v>43030</v>
      </c>
      <c r="F98" s="201" t="str">
        <f>INDEX('13.Mapping'!$D:$D,MATCH('6.WS-Re-Exp'!$A98,'13.Mapping'!$B:$B,0))</f>
        <v>P08</v>
      </c>
      <c r="G98" s="201" t="str">
        <f>INDEX('13.Mapping'!$K:$K,MATCH('6.WS-Re-Exp'!$A98,'13.Mapping'!$B:$B,0))</f>
        <v>PC06</v>
      </c>
      <c r="H98" s="289"/>
      <c r="I98" s="531">
        <v>96</v>
      </c>
    </row>
    <row r="99" spans="1:9" s="33" customFormat="1" hidden="1" x14ac:dyDescent="0.7">
      <c r="A99" s="251" t="s">
        <v>737</v>
      </c>
      <c r="B99" s="212" t="s">
        <v>103</v>
      </c>
      <c r="C99" s="11">
        <f>IFERROR(INDEX('5.งบทดลอง รพ.'!$C:$C,MATCH('6.WS-Re-Exp'!A99,'5.งบทดลอง รพ.'!$A:$A,0)),)</f>
        <v>0</v>
      </c>
      <c r="D99" s="6"/>
      <c r="E99" s="201" t="str">
        <f>INDEX('13.Mapping'!$F:$F,MATCH('6.WS-Re-Exp'!$A99,'13.Mapping'!$B:$B,0))</f>
        <v>43030</v>
      </c>
      <c r="F99" s="201" t="str">
        <f>INDEX('13.Mapping'!$D:$D,MATCH('6.WS-Re-Exp'!$A99,'13.Mapping'!$B:$B,0))</f>
        <v>P08</v>
      </c>
      <c r="G99" s="201" t="str">
        <f>INDEX('13.Mapping'!$K:$K,MATCH('6.WS-Re-Exp'!$A99,'13.Mapping'!$B:$B,0))</f>
        <v>PC06</v>
      </c>
      <c r="H99" s="289"/>
      <c r="I99" s="531">
        <v>97</v>
      </c>
    </row>
    <row r="100" spans="1:9" s="33" customFormat="1" hidden="1" x14ac:dyDescent="0.7">
      <c r="A100" s="251" t="s">
        <v>1142</v>
      </c>
      <c r="B100" s="212" t="s">
        <v>1143</v>
      </c>
      <c r="C100" s="11">
        <f>IFERROR(INDEX('5.งบทดลอง รพ.'!$C:$C,MATCH('6.WS-Re-Exp'!A100,'5.งบทดลอง รพ.'!$A:$A,0)),)</f>
        <v>0</v>
      </c>
      <c r="D100" s="6"/>
      <c r="E100" s="201" t="str">
        <f>INDEX('13.Mapping'!$F:$F,MATCH('6.WS-Re-Exp'!$A100,'13.Mapping'!$B:$B,0))</f>
        <v>44050</v>
      </c>
      <c r="F100" s="201" t="str">
        <f>INDEX('13.Mapping'!$D:$D,MATCH('6.WS-Re-Exp'!$A100,'13.Mapping'!$B:$B,0))</f>
        <v>P09</v>
      </c>
      <c r="G100" s="201" t="str">
        <f>INDEX('13.Mapping'!$K:$K,MATCH('6.WS-Re-Exp'!$A100,'13.Mapping'!$B:$B,0))</f>
        <v>PC07</v>
      </c>
      <c r="H100" s="289"/>
      <c r="I100" s="531">
        <v>98</v>
      </c>
    </row>
    <row r="101" spans="1:9" s="33" customFormat="1" hidden="1" x14ac:dyDescent="0.7">
      <c r="A101" s="251" t="s">
        <v>104</v>
      </c>
      <c r="B101" s="212" t="s">
        <v>973</v>
      </c>
      <c r="C101" s="11">
        <f>IFERROR(INDEX('5.งบทดลอง รพ.'!$C:$C,MATCH('6.WS-Re-Exp'!A101,'5.งบทดลอง รพ.'!$A:$A,0)),)</f>
        <v>150000</v>
      </c>
      <c r="D101" s="6"/>
      <c r="E101" s="201" t="str">
        <f>INDEX('13.Mapping'!$F:$F,MATCH('6.WS-Re-Exp'!$A101,'13.Mapping'!$B:$B,0))</f>
        <v>41060</v>
      </c>
      <c r="F101" s="201" t="str">
        <f>INDEX('13.Mapping'!$D:$D,MATCH('6.WS-Re-Exp'!$A101,'13.Mapping'!$B:$B,0))</f>
        <v>P09</v>
      </c>
      <c r="G101" s="201" t="str">
        <f>INDEX('13.Mapping'!$K:$K,MATCH('6.WS-Re-Exp'!$A101,'13.Mapping'!$B:$B,0))</f>
        <v>PC07</v>
      </c>
      <c r="H101" s="289"/>
      <c r="I101" s="531">
        <v>99</v>
      </c>
    </row>
    <row r="102" spans="1:9" s="33" customFormat="1" hidden="1" x14ac:dyDescent="0.7">
      <c r="A102" s="251" t="s">
        <v>105</v>
      </c>
      <c r="B102" s="212" t="s">
        <v>974</v>
      </c>
      <c r="C102" s="11">
        <f>IFERROR(INDEX('5.งบทดลอง รพ.'!$C:$C,MATCH('6.WS-Re-Exp'!A102,'5.งบทดลอง รพ.'!$A:$A,0)),)</f>
        <v>250000</v>
      </c>
      <c r="D102" s="6"/>
      <c r="E102" s="201" t="str">
        <f>INDEX('13.Mapping'!$F:$F,MATCH('6.WS-Re-Exp'!$A102,'13.Mapping'!$B:$B,0))</f>
        <v>42060</v>
      </c>
      <c r="F102" s="201" t="str">
        <f>INDEX('13.Mapping'!$D:$D,MATCH('6.WS-Re-Exp'!$A102,'13.Mapping'!$B:$B,0))</f>
        <v>P09</v>
      </c>
      <c r="G102" s="201" t="str">
        <f>INDEX('13.Mapping'!$K:$K,MATCH('6.WS-Re-Exp'!$A102,'13.Mapping'!$B:$B,0))</f>
        <v>PC07</v>
      </c>
      <c r="H102" s="289"/>
      <c r="I102" s="531">
        <v>100</v>
      </c>
    </row>
    <row r="103" spans="1:9" s="33" customFormat="1" hidden="1" x14ac:dyDescent="0.7">
      <c r="A103" s="251" t="s">
        <v>106</v>
      </c>
      <c r="B103" s="212" t="s">
        <v>975</v>
      </c>
      <c r="C103" s="11">
        <f>IFERROR(INDEX('5.งบทดลอง รพ.'!$C:$C,MATCH('6.WS-Re-Exp'!A103,'5.งบทดลอง รพ.'!$A:$A,0)),)</f>
        <v>0</v>
      </c>
      <c r="D103" s="6"/>
      <c r="E103" s="201" t="str">
        <f>INDEX('13.Mapping'!$F:$F,MATCH('6.WS-Re-Exp'!$A103,'13.Mapping'!$B:$B,0))</f>
        <v>44050</v>
      </c>
      <c r="F103" s="201" t="str">
        <f>INDEX('13.Mapping'!$D:$D,MATCH('6.WS-Re-Exp'!$A103,'13.Mapping'!$B:$B,0))</f>
        <v>P09</v>
      </c>
      <c r="G103" s="201" t="str">
        <f>INDEX('13.Mapping'!$K:$K,MATCH('6.WS-Re-Exp'!$A103,'13.Mapping'!$B:$B,0))</f>
        <v>PC07</v>
      </c>
      <c r="H103" s="289"/>
      <c r="I103" s="531">
        <v>101</v>
      </c>
    </row>
    <row r="104" spans="1:9" s="33" customFormat="1" hidden="1" x14ac:dyDescent="0.7">
      <c r="A104" s="251" t="s">
        <v>107</v>
      </c>
      <c r="B104" s="212" t="s">
        <v>976</v>
      </c>
      <c r="C104" s="11">
        <f>IFERROR(INDEX('5.งบทดลอง รพ.'!$C:$C,MATCH('6.WS-Re-Exp'!A104,'5.งบทดลอง รพ.'!$A:$A,0)),)</f>
        <v>0</v>
      </c>
      <c r="D104" s="6"/>
      <c r="E104" s="201" t="str">
        <f>INDEX('13.Mapping'!$F:$F,MATCH('6.WS-Re-Exp'!$A104,'13.Mapping'!$B:$B,0))</f>
        <v>44050</v>
      </c>
      <c r="F104" s="201" t="str">
        <f>INDEX('13.Mapping'!$D:$D,MATCH('6.WS-Re-Exp'!$A104,'13.Mapping'!$B:$B,0))</f>
        <v>P09</v>
      </c>
      <c r="G104" s="201" t="str">
        <f>INDEX('13.Mapping'!$K:$K,MATCH('6.WS-Re-Exp'!$A104,'13.Mapping'!$B:$B,0))</f>
        <v>PC07</v>
      </c>
      <c r="H104" s="289"/>
      <c r="I104" s="531">
        <v>102</v>
      </c>
    </row>
    <row r="105" spans="1:9" s="33" customFormat="1" hidden="1" x14ac:dyDescent="0.7">
      <c r="A105" s="251" t="s">
        <v>108</v>
      </c>
      <c r="B105" s="212" t="s">
        <v>977</v>
      </c>
      <c r="C105" s="11">
        <f>IFERROR(INDEX('5.งบทดลอง รพ.'!$C:$C,MATCH('6.WS-Re-Exp'!A105,'5.งบทดลอง รพ.'!$A:$A,0)),)</f>
        <v>0</v>
      </c>
      <c r="D105" s="6"/>
      <c r="E105" s="201" t="str">
        <f>INDEX('13.Mapping'!$F:$F,MATCH('6.WS-Re-Exp'!$A105,'13.Mapping'!$B:$B,0))</f>
        <v>41060</v>
      </c>
      <c r="F105" s="201" t="str">
        <f>INDEX('13.Mapping'!$D:$D,MATCH('6.WS-Re-Exp'!$A105,'13.Mapping'!$B:$B,0))</f>
        <v>P09</v>
      </c>
      <c r="G105" s="201" t="str">
        <f>INDEX('13.Mapping'!$K:$K,MATCH('6.WS-Re-Exp'!$A105,'13.Mapping'!$B:$B,0))</f>
        <v>PC07</v>
      </c>
      <c r="H105" s="289"/>
      <c r="I105" s="531">
        <v>103</v>
      </c>
    </row>
    <row r="106" spans="1:9" s="33" customFormat="1" hidden="1" x14ac:dyDescent="0.7">
      <c r="A106" s="251" t="s">
        <v>109</v>
      </c>
      <c r="B106" s="212" t="s">
        <v>978</v>
      </c>
      <c r="C106" s="11">
        <f>IFERROR(INDEX('5.งบทดลอง รพ.'!$C:$C,MATCH('6.WS-Re-Exp'!A106,'5.งบทดลอง รพ.'!$A:$A,0)),)</f>
        <v>0</v>
      </c>
      <c r="D106" s="6"/>
      <c r="E106" s="201" t="str">
        <f>INDEX('13.Mapping'!$F:$F,MATCH('6.WS-Re-Exp'!$A106,'13.Mapping'!$B:$B,0))</f>
        <v>44050</v>
      </c>
      <c r="F106" s="201" t="str">
        <f>INDEX('13.Mapping'!$D:$D,MATCH('6.WS-Re-Exp'!$A106,'13.Mapping'!$B:$B,0))</f>
        <v>P09</v>
      </c>
      <c r="G106" s="201" t="str">
        <f>INDEX('13.Mapping'!$K:$K,MATCH('6.WS-Re-Exp'!$A106,'13.Mapping'!$B:$B,0))</f>
        <v>PC07</v>
      </c>
      <c r="H106" s="289"/>
      <c r="I106" s="531">
        <v>104</v>
      </c>
    </row>
    <row r="107" spans="1:9" s="33" customFormat="1" hidden="1" x14ac:dyDescent="0.7">
      <c r="A107" s="251" t="s">
        <v>110</v>
      </c>
      <c r="B107" s="212" t="s">
        <v>979</v>
      </c>
      <c r="C107" s="11">
        <f>IFERROR(INDEX('5.งบทดลอง รพ.'!$C:$C,MATCH('6.WS-Re-Exp'!A107,'5.งบทดลอง รพ.'!$A:$A,0)),)</f>
        <v>0</v>
      </c>
      <c r="D107" s="6"/>
      <c r="E107" s="201" t="str">
        <f>INDEX('13.Mapping'!$F:$F,MATCH('6.WS-Re-Exp'!$A107,'13.Mapping'!$B:$B,0))</f>
        <v>44050</v>
      </c>
      <c r="F107" s="201" t="str">
        <f>INDEX('13.Mapping'!$D:$D,MATCH('6.WS-Re-Exp'!$A107,'13.Mapping'!$B:$B,0))</f>
        <v>P09</v>
      </c>
      <c r="G107" s="201" t="str">
        <f>INDEX('13.Mapping'!$K:$K,MATCH('6.WS-Re-Exp'!$A107,'13.Mapping'!$B:$B,0))</f>
        <v>PC07</v>
      </c>
      <c r="H107" s="289"/>
      <c r="I107" s="531">
        <v>105</v>
      </c>
    </row>
    <row r="108" spans="1:9" s="33" customFormat="1" hidden="1" x14ac:dyDescent="0.7">
      <c r="A108" s="251" t="s">
        <v>738</v>
      </c>
      <c r="B108" s="212" t="s">
        <v>739</v>
      </c>
      <c r="C108" s="11">
        <f>IFERROR(INDEX('5.งบทดลอง รพ.'!$C:$C,MATCH('6.WS-Re-Exp'!A108,'5.งบทดลอง รพ.'!$A:$A,0)),)</f>
        <v>5000</v>
      </c>
      <c r="D108" s="6"/>
      <c r="E108" s="201" t="str">
        <f>INDEX('13.Mapping'!$F:$F,MATCH('6.WS-Re-Exp'!$A108,'13.Mapping'!$B:$B,0))</f>
        <v>41060</v>
      </c>
      <c r="F108" s="201" t="str">
        <f>INDEX('13.Mapping'!$D:$D,MATCH('6.WS-Re-Exp'!$A108,'13.Mapping'!$B:$B,0))</f>
        <v>P09</v>
      </c>
      <c r="G108" s="201" t="str">
        <f>INDEX('13.Mapping'!$K:$K,MATCH('6.WS-Re-Exp'!$A108,'13.Mapping'!$B:$B,0))</f>
        <v>PC07</v>
      </c>
      <c r="H108" s="289"/>
      <c r="I108" s="531">
        <v>106</v>
      </c>
    </row>
    <row r="109" spans="1:9" s="33" customFormat="1" hidden="1" x14ac:dyDescent="0.7">
      <c r="A109" s="251" t="s">
        <v>740</v>
      </c>
      <c r="B109" s="212" t="s">
        <v>741</v>
      </c>
      <c r="C109" s="11">
        <f>IFERROR(INDEX('5.งบทดลอง รพ.'!$C:$C,MATCH('6.WS-Re-Exp'!A109,'5.งบทดลอง รพ.'!$A:$A,0)),)</f>
        <v>0</v>
      </c>
      <c r="D109" s="6"/>
      <c r="E109" s="201" t="str">
        <f>INDEX('13.Mapping'!$F:$F,MATCH('6.WS-Re-Exp'!$A109,'13.Mapping'!$B:$B,0))</f>
        <v>42060</v>
      </c>
      <c r="F109" s="201" t="str">
        <f>INDEX('13.Mapping'!$D:$D,MATCH('6.WS-Re-Exp'!$A109,'13.Mapping'!$B:$B,0))</f>
        <v>P09</v>
      </c>
      <c r="G109" s="201" t="str">
        <f>INDEX('13.Mapping'!$K:$K,MATCH('6.WS-Re-Exp'!$A109,'13.Mapping'!$B:$B,0))</f>
        <v>PC07</v>
      </c>
      <c r="H109" s="289"/>
      <c r="I109" s="531">
        <v>107</v>
      </c>
    </row>
    <row r="110" spans="1:9" s="33" customFormat="1" hidden="1" x14ac:dyDescent="0.7">
      <c r="A110" s="251" t="s">
        <v>742</v>
      </c>
      <c r="B110" s="212" t="s">
        <v>743</v>
      </c>
      <c r="C110" s="11">
        <f>IFERROR(INDEX('5.งบทดลอง รพ.'!$C:$C,MATCH('6.WS-Re-Exp'!A110,'5.งบทดลอง รพ.'!$A:$A,0)),)</f>
        <v>0</v>
      </c>
      <c r="D110" s="6"/>
      <c r="E110" s="201" t="str">
        <f>INDEX('13.Mapping'!$F:$F,MATCH('6.WS-Re-Exp'!$A110,'13.Mapping'!$B:$B,0))</f>
        <v>42060</v>
      </c>
      <c r="F110" s="201" t="str">
        <f>INDEX('13.Mapping'!$D:$D,MATCH('6.WS-Re-Exp'!$A110,'13.Mapping'!$B:$B,0))</f>
        <v>P09</v>
      </c>
      <c r="G110" s="201" t="str">
        <f>INDEX('13.Mapping'!$K:$K,MATCH('6.WS-Re-Exp'!$A110,'13.Mapping'!$B:$B,0))</f>
        <v>PC07</v>
      </c>
      <c r="H110" s="289"/>
      <c r="I110" s="531">
        <v>108</v>
      </c>
    </row>
    <row r="111" spans="1:9" s="33" customFormat="1" hidden="1" x14ac:dyDescent="0.7">
      <c r="A111" s="251" t="s">
        <v>744</v>
      </c>
      <c r="B111" s="212" t="s">
        <v>745</v>
      </c>
      <c r="C111" s="11">
        <f>IFERROR(INDEX('5.งบทดลอง รพ.'!$C:$C,MATCH('6.WS-Re-Exp'!A111,'5.งบทดลอง รพ.'!$A:$A,0)),)</f>
        <v>0</v>
      </c>
      <c r="D111" s="6"/>
      <c r="E111" s="201" t="str">
        <f>INDEX('13.Mapping'!$F:$F,MATCH('6.WS-Re-Exp'!$A111,'13.Mapping'!$B:$B,0))</f>
        <v>44050</v>
      </c>
      <c r="F111" s="201" t="str">
        <f>INDEX('13.Mapping'!$D:$D,MATCH('6.WS-Re-Exp'!$A111,'13.Mapping'!$B:$B,0))</f>
        <v>P09</v>
      </c>
      <c r="G111" s="201" t="str">
        <f>INDEX('13.Mapping'!$K:$K,MATCH('6.WS-Re-Exp'!$A111,'13.Mapping'!$B:$B,0))</f>
        <v>PC07</v>
      </c>
      <c r="H111" s="289"/>
      <c r="I111" s="531">
        <v>109</v>
      </c>
    </row>
    <row r="112" spans="1:9" s="33" customFormat="1" hidden="1" x14ac:dyDescent="0.7">
      <c r="A112" s="251" t="s">
        <v>746</v>
      </c>
      <c r="B112" s="212" t="s">
        <v>747</v>
      </c>
      <c r="C112" s="11">
        <f>IFERROR(INDEX('5.งบทดลอง รพ.'!$C:$C,MATCH('6.WS-Re-Exp'!A112,'5.งบทดลอง รพ.'!$A:$A,0)),)</f>
        <v>300000</v>
      </c>
      <c r="D112" s="6"/>
      <c r="E112" s="201" t="str">
        <f>INDEX('13.Mapping'!$F:$F,MATCH('6.WS-Re-Exp'!$A112,'13.Mapping'!$B:$B,0))</f>
        <v>41060</v>
      </c>
      <c r="F112" s="201" t="str">
        <f>INDEX('13.Mapping'!$D:$D,MATCH('6.WS-Re-Exp'!$A112,'13.Mapping'!$B:$B,0))</f>
        <v>P09</v>
      </c>
      <c r="G112" s="201" t="str">
        <f>INDEX('13.Mapping'!$K:$K,MATCH('6.WS-Re-Exp'!$A112,'13.Mapping'!$B:$B,0))</f>
        <v>PC07</v>
      </c>
      <c r="H112" s="289"/>
      <c r="I112" s="531">
        <v>110</v>
      </c>
    </row>
    <row r="113" spans="1:9" s="33" customFormat="1" hidden="1" x14ac:dyDescent="0.7">
      <c r="A113" s="251" t="s">
        <v>748</v>
      </c>
      <c r="B113" s="212" t="s">
        <v>111</v>
      </c>
      <c r="C113" s="11">
        <f>IFERROR(INDEX('5.งบทดลอง รพ.'!$C:$C,MATCH('6.WS-Re-Exp'!A113,'5.งบทดลอง รพ.'!$A:$A,0)),)</f>
        <v>0</v>
      </c>
      <c r="D113" s="6"/>
      <c r="E113" s="201" t="str">
        <f>INDEX('13.Mapping'!$F:$F,MATCH('6.WS-Re-Exp'!$A113,'13.Mapping'!$B:$B,0))</f>
        <v>43040</v>
      </c>
      <c r="F113" s="201" t="str">
        <f>INDEX('13.Mapping'!$D:$D,MATCH('6.WS-Re-Exp'!$A113,'13.Mapping'!$B:$B,0))</f>
        <v>P09</v>
      </c>
      <c r="G113" s="201" t="str">
        <f>INDEX('13.Mapping'!$K:$K,MATCH('6.WS-Re-Exp'!$A113,'13.Mapping'!$B:$B,0))</f>
        <v>PC07</v>
      </c>
      <c r="H113" s="289"/>
      <c r="I113" s="531">
        <v>111</v>
      </c>
    </row>
    <row r="114" spans="1:9" s="33" customFormat="1" hidden="1" x14ac:dyDescent="0.7">
      <c r="A114" s="251" t="s">
        <v>749</v>
      </c>
      <c r="B114" s="212" t="s">
        <v>750</v>
      </c>
      <c r="C114" s="11">
        <f>IFERROR(INDEX('5.งบทดลอง รพ.'!$C:$C,MATCH('6.WS-Re-Exp'!A114,'5.งบทดลอง รพ.'!$A:$A,0)),)</f>
        <v>0</v>
      </c>
      <c r="D114" s="6"/>
      <c r="E114" s="201" t="str">
        <f>INDEX('13.Mapping'!$F:$F,MATCH('6.WS-Re-Exp'!$A114,'13.Mapping'!$B:$B,0))</f>
        <v>43040</v>
      </c>
      <c r="F114" s="201" t="str">
        <f>INDEX('13.Mapping'!$D:$D,MATCH('6.WS-Re-Exp'!$A114,'13.Mapping'!$B:$B,0))</f>
        <v>P09</v>
      </c>
      <c r="G114" s="201" t="str">
        <f>INDEX('13.Mapping'!$K:$K,MATCH('6.WS-Re-Exp'!$A114,'13.Mapping'!$B:$B,0))</f>
        <v>PC07</v>
      </c>
      <c r="H114" s="289"/>
      <c r="I114" s="531">
        <v>112</v>
      </c>
    </row>
    <row r="115" spans="1:9" s="33" customFormat="1" hidden="1" x14ac:dyDescent="0.7">
      <c r="A115" s="251" t="s">
        <v>1132</v>
      </c>
      <c r="B115" s="212" t="s">
        <v>5923</v>
      </c>
      <c r="C115" s="11">
        <f>IFERROR(INDEX('5.งบทดลอง รพ.'!$C:$C,MATCH('6.WS-Re-Exp'!A115,'5.งบทดลอง รพ.'!$A:$A,0)),)</f>
        <v>0</v>
      </c>
      <c r="D115" s="6"/>
      <c r="E115" s="201" t="str">
        <f>INDEX('13.Mapping'!$F:$F,MATCH('6.WS-Re-Exp'!$A115,'13.Mapping'!$B:$B,0))</f>
        <v>44050</v>
      </c>
      <c r="F115" s="201" t="str">
        <f>INDEX('13.Mapping'!$D:$D,MATCH('6.WS-Re-Exp'!$A115,'13.Mapping'!$B:$B,0))</f>
        <v>P09</v>
      </c>
      <c r="G115" s="201" t="str">
        <f>INDEX('13.Mapping'!$K:$K,MATCH('6.WS-Re-Exp'!$A115,'13.Mapping'!$B:$B,0))</f>
        <v>PC07</v>
      </c>
      <c r="H115" s="289"/>
      <c r="I115" s="531">
        <v>113</v>
      </c>
    </row>
    <row r="116" spans="1:9" s="33" customFormat="1" hidden="1" x14ac:dyDescent="0.7">
      <c r="A116" s="251" t="s">
        <v>127</v>
      </c>
      <c r="B116" s="212" t="s">
        <v>980</v>
      </c>
      <c r="C116" s="11">
        <f>IFERROR(INDEX('5.งบทดลอง รพ.'!$C:$C,MATCH('6.WS-Re-Exp'!A116,'5.งบทดลอง รพ.'!$A:$A,0)),)</f>
        <v>3000</v>
      </c>
      <c r="D116" s="6"/>
      <c r="E116" s="201" t="str">
        <f>INDEX('13.Mapping'!$F:$F,MATCH('6.WS-Re-Exp'!$A116,'13.Mapping'!$B:$B,0))</f>
        <v>41070</v>
      </c>
      <c r="F116" s="201" t="str">
        <f>INDEX('13.Mapping'!$D:$D,MATCH('6.WS-Re-Exp'!$A116,'13.Mapping'!$B:$B,0))</f>
        <v>P10</v>
      </c>
      <c r="G116" s="201" t="str">
        <f>INDEX('13.Mapping'!$K:$K,MATCH('6.WS-Re-Exp'!$A116,'13.Mapping'!$B:$B,0))</f>
        <v>PC08</v>
      </c>
      <c r="H116" s="289"/>
      <c r="I116" s="531">
        <v>114</v>
      </c>
    </row>
    <row r="117" spans="1:9" s="33" customFormat="1" hidden="1" x14ac:dyDescent="0.7">
      <c r="A117" s="251" t="s">
        <v>128</v>
      </c>
      <c r="B117" s="212" t="s">
        <v>981</v>
      </c>
      <c r="C117" s="11">
        <f>IFERROR(INDEX('5.งบทดลอง รพ.'!$C:$C,MATCH('6.WS-Re-Exp'!A117,'5.งบทดลอง รพ.'!$A:$A,0)),)</f>
        <v>0</v>
      </c>
      <c r="D117" s="6"/>
      <c r="E117" s="201" t="str">
        <f>INDEX('13.Mapping'!$F:$F,MATCH('6.WS-Re-Exp'!$A117,'13.Mapping'!$B:$B,0))</f>
        <v>41070</v>
      </c>
      <c r="F117" s="201" t="str">
        <f>INDEX('13.Mapping'!$D:$D,MATCH('6.WS-Re-Exp'!$A117,'13.Mapping'!$B:$B,0))</f>
        <v>P10</v>
      </c>
      <c r="G117" s="201" t="str">
        <f>INDEX('13.Mapping'!$K:$K,MATCH('6.WS-Re-Exp'!$A117,'13.Mapping'!$B:$B,0))</f>
        <v>PC08</v>
      </c>
      <c r="H117" s="289"/>
      <c r="I117" s="531">
        <v>115</v>
      </c>
    </row>
    <row r="118" spans="1:9" s="33" customFormat="1" hidden="1" x14ac:dyDescent="0.7">
      <c r="A118" s="251" t="s">
        <v>129</v>
      </c>
      <c r="B118" s="212" t="s">
        <v>982</v>
      </c>
      <c r="C118" s="11">
        <f>IFERROR(INDEX('5.งบทดลอง รพ.'!$C:$C,MATCH('6.WS-Re-Exp'!A118,'5.งบทดลอง รพ.'!$A:$A,0)),)</f>
        <v>0</v>
      </c>
      <c r="D118" s="6"/>
      <c r="E118" s="201" t="str">
        <f>INDEX('13.Mapping'!$F:$F,MATCH('6.WS-Re-Exp'!$A118,'13.Mapping'!$B:$B,0))</f>
        <v>41070</v>
      </c>
      <c r="F118" s="201" t="str">
        <f>INDEX('13.Mapping'!$D:$D,MATCH('6.WS-Re-Exp'!$A118,'13.Mapping'!$B:$B,0))</f>
        <v>P10</v>
      </c>
      <c r="G118" s="201" t="str">
        <f>INDEX('13.Mapping'!$K:$K,MATCH('6.WS-Re-Exp'!$A118,'13.Mapping'!$B:$B,0))</f>
        <v>PC08</v>
      </c>
      <c r="H118" s="289"/>
      <c r="I118" s="531">
        <v>116</v>
      </c>
    </row>
    <row r="119" spans="1:9" s="33" customFormat="1" hidden="1" x14ac:dyDescent="0.7">
      <c r="A119" s="251" t="s">
        <v>130</v>
      </c>
      <c r="B119" s="212" t="s">
        <v>131</v>
      </c>
      <c r="C119" s="11">
        <f>IFERROR(INDEX('5.งบทดลอง รพ.'!$C:$C,MATCH('6.WS-Re-Exp'!A119,'5.งบทดลอง รพ.'!$A:$A,0)),)</f>
        <v>0</v>
      </c>
      <c r="D119" s="6"/>
      <c r="E119" s="201" t="str">
        <f>INDEX('13.Mapping'!$F:$F,MATCH('6.WS-Re-Exp'!$A119,'13.Mapping'!$B:$B,0))</f>
        <v>43050</v>
      </c>
      <c r="F119" s="201" t="str">
        <f>INDEX('13.Mapping'!$D:$D,MATCH('6.WS-Re-Exp'!$A119,'13.Mapping'!$B:$B,0))</f>
        <v>P10</v>
      </c>
      <c r="G119" s="201" t="str">
        <f>INDEX('13.Mapping'!$K:$K,MATCH('6.WS-Re-Exp'!$A119,'13.Mapping'!$B:$B,0))</f>
        <v>PC08</v>
      </c>
      <c r="H119" s="289"/>
      <c r="I119" s="531">
        <v>117</v>
      </c>
    </row>
    <row r="120" spans="1:9" s="33" customFormat="1" hidden="1" x14ac:dyDescent="0.7">
      <c r="A120" s="251" t="s">
        <v>132</v>
      </c>
      <c r="B120" s="212" t="s">
        <v>133</v>
      </c>
      <c r="C120" s="11">
        <f>IFERROR(INDEX('5.งบทดลอง รพ.'!$C:$C,MATCH('6.WS-Re-Exp'!A120,'5.งบทดลอง รพ.'!$A:$A,0)),)</f>
        <v>0</v>
      </c>
      <c r="D120" s="6"/>
      <c r="E120" s="201" t="str">
        <f>INDEX('13.Mapping'!$F:$F,MATCH('6.WS-Re-Exp'!$A120,'13.Mapping'!$B:$B,0))</f>
        <v>43050</v>
      </c>
      <c r="F120" s="201" t="str">
        <f>INDEX('13.Mapping'!$D:$D,MATCH('6.WS-Re-Exp'!$A120,'13.Mapping'!$B:$B,0))</f>
        <v>P10</v>
      </c>
      <c r="G120" s="201" t="str">
        <f>INDEX('13.Mapping'!$K:$K,MATCH('6.WS-Re-Exp'!$A120,'13.Mapping'!$B:$B,0))</f>
        <v>PC08</v>
      </c>
      <c r="H120" s="289"/>
      <c r="I120" s="531">
        <v>118</v>
      </c>
    </row>
    <row r="121" spans="1:9" s="33" customFormat="1" hidden="1" x14ac:dyDescent="0.7">
      <c r="A121" s="251" t="s">
        <v>751</v>
      </c>
      <c r="B121" s="212" t="s">
        <v>752</v>
      </c>
      <c r="C121" s="11">
        <f>IFERROR(INDEX('5.งบทดลอง รพ.'!$C:$C,MATCH('6.WS-Re-Exp'!A121,'5.งบทดลอง รพ.'!$A:$A,0)),)</f>
        <v>0</v>
      </c>
      <c r="D121" s="6"/>
      <c r="E121" s="201" t="str">
        <f>INDEX('13.Mapping'!$F:$F,MATCH('6.WS-Re-Exp'!$A121,'13.Mapping'!$B:$B,0))</f>
        <v>41070</v>
      </c>
      <c r="F121" s="201" t="str">
        <f>INDEX('13.Mapping'!$D:$D,MATCH('6.WS-Re-Exp'!$A121,'13.Mapping'!$B:$B,0))</f>
        <v>P10</v>
      </c>
      <c r="G121" s="201" t="str">
        <f>INDEX('13.Mapping'!$K:$K,MATCH('6.WS-Re-Exp'!$A121,'13.Mapping'!$B:$B,0))</f>
        <v>PC08</v>
      </c>
      <c r="H121" s="289"/>
      <c r="I121" s="531">
        <v>119</v>
      </c>
    </row>
    <row r="122" spans="1:9" s="33" customFormat="1" hidden="1" x14ac:dyDescent="0.7">
      <c r="A122" s="251" t="s">
        <v>753</v>
      </c>
      <c r="B122" s="212" t="s">
        <v>754</v>
      </c>
      <c r="C122" s="11">
        <f>IFERROR(INDEX('5.งบทดลอง รพ.'!$C:$C,MATCH('6.WS-Re-Exp'!A122,'5.งบทดลอง รพ.'!$A:$A,0)),)</f>
        <v>0</v>
      </c>
      <c r="D122" s="6"/>
      <c r="E122" s="201" t="str">
        <f>INDEX('13.Mapping'!$F:$F,MATCH('6.WS-Re-Exp'!$A122,'13.Mapping'!$B:$B,0))</f>
        <v>42070</v>
      </c>
      <c r="F122" s="201" t="str">
        <f>INDEX('13.Mapping'!$D:$D,MATCH('6.WS-Re-Exp'!$A122,'13.Mapping'!$B:$B,0))</f>
        <v>P10</v>
      </c>
      <c r="G122" s="201" t="str">
        <f>INDEX('13.Mapping'!$K:$K,MATCH('6.WS-Re-Exp'!$A122,'13.Mapping'!$B:$B,0))</f>
        <v>PC08</v>
      </c>
      <c r="H122" s="289"/>
      <c r="I122" s="531">
        <v>120</v>
      </c>
    </row>
    <row r="123" spans="1:9" s="33" customFormat="1" hidden="1" x14ac:dyDescent="0.7">
      <c r="A123" s="251" t="s">
        <v>755</v>
      </c>
      <c r="B123" s="212" t="s">
        <v>756</v>
      </c>
      <c r="C123" s="11">
        <f>IFERROR(INDEX('5.งบทดลอง รพ.'!$C:$C,MATCH('6.WS-Re-Exp'!A123,'5.งบทดลอง รพ.'!$A:$A,0)),)</f>
        <v>0</v>
      </c>
      <c r="D123" s="6"/>
      <c r="E123" s="201" t="str">
        <f>INDEX('13.Mapping'!$F:$F,MATCH('6.WS-Re-Exp'!$A123,'13.Mapping'!$B:$B,0))</f>
        <v>41070</v>
      </c>
      <c r="F123" s="201" t="str">
        <f>INDEX('13.Mapping'!$D:$D,MATCH('6.WS-Re-Exp'!$A123,'13.Mapping'!$B:$B,0))</f>
        <v>P10</v>
      </c>
      <c r="G123" s="201" t="str">
        <f>INDEX('13.Mapping'!$K:$K,MATCH('6.WS-Re-Exp'!$A123,'13.Mapping'!$B:$B,0))</f>
        <v>PC08</v>
      </c>
      <c r="H123" s="289"/>
      <c r="I123" s="531">
        <v>121</v>
      </c>
    </row>
    <row r="124" spans="1:9" s="33" customFormat="1" hidden="1" x14ac:dyDescent="0.7">
      <c r="A124" s="251" t="s">
        <v>757</v>
      </c>
      <c r="B124" s="212" t="s">
        <v>758</v>
      </c>
      <c r="C124" s="11">
        <f>IFERROR(INDEX('5.งบทดลอง รพ.'!$C:$C,MATCH('6.WS-Re-Exp'!A124,'5.งบทดลอง รพ.'!$A:$A,0)),)</f>
        <v>1167.5899999999999</v>
      </c>
      <c r="D124" s="6"/>
      <c r="E124" s="201" t="str">
        <f>INDEX('13.Mapping'!$F:$F,MATCH('6.WS-Re-Exp'!$A124,'13.Mapping'!$B:$B,0))</f>
        <v>43050</v>
      </c>
      <c r="F124" s="201" t="str">
        <f>INDEX('13.Mapping'!$D:$D,MATCH('6.WS-Re-Exp'!$A124,'13.Mapping'!$B:$B,0))</f>
        <v>P10</v>
      </c>
      <c r="G124" s="201" t="str">
        <f>INDEX('13.Mapping'!$K:$K,MATCH('6.WS-Re-Exp'!$A124,'13.Mapping'!$B:$B,0))</f>
        <v>PC08</v>
      </c>
      <c r="H124" s="289"/>
      <c r="I124" s="531">
        <v>122</v>
      </c>
    </row>
    <row r="125" spans="1:9" hidden="1" x14ac:dyDescent="0.7">
      <c r="A125" s="251" t="s">
        <v>156</v>
      </c>
      <c r="B125" s="212" t="s">
        <v>157</v>
      </c>
      <c r="C125" s="11">
        <f>IFERROR(INDEX('5.งบทดลอง รพ.'!$C:$C,MATCH('6.WS-Re-Exp'!A125,'5.งบทดลอง รพ.'!$A:$A,0)),)</f>
        <v>0</v>
      </c>
      <c r="E125" s="201" t="str">
        <f>INDEX('13.Mapping'!$F:$F,MATCH('6.WS-Re-Exp'!$A125,'13.Mapping'!$B:$B,0))</f>
        <v>45110</v>
      </c>
      <c r="F125" s="201" t="str">
        <f>INDEX('13.Mapping'!$D:$D,MATCH('6.WS-Re-Exp'!$A125,'13.Mapping'!$B:$B,0))</f>
        <v>P12</v>
      </c>
      <c r="G125" s="201" t="str">
        <f>INDEX('13.Mapping'!$K:$K,MATCH('6.WS-Re-Exp'!$A125,'13.Mapping'!$B:$B,0))</f>
        <v>PC09</v>
      </c>
      <c r="H125" s="350"/>
      <c r="I125" s="531">
        <v>123</v>
      </c>
    </row>
    <row r="126" spans="1:9" hidden="1" x14ac:dyDescent="0.7">
      <c r="A126" s="251" t="s">
        <v>158</v>
      </c>
      <c r="B126" s="212" t="s">
        <v>983</v>
      </c>
      <c r="C126" s="11">
        <f>IFERROR(INDEX('5.งบทดลอง รพ.'!$C:$C,MATCH('6.WS-Re-Exp'!A126,'5.งบทดลอง รพ.'!$A:$A,0)),)</f>
        <v>0</v>
      </c>
      <c r="E126" s="201" t="str">
        <f>INDEX('13.Mapping'!$F:$F,MATCH('6.WS-Re-Exp'!$A126,'13.Mapping'!$B:$B,0))</f>
        <v>45110</v>
      </c>
      <c r="F126" s="201" t="str">
        <f>INDEX('13.Mapping'!$D:$D,MATCH('6.WS-Re-Exp'!$A126,'13.Mapping'!$B:$B,0))</f>
        <v>P12</v>
      </c>
      <c r="G126" s="201" t="str">
        <f>INDEX('13.Mapping'!$K:$K,MATCH('6.WS-Re-Exp'!$A126,'13.Mapping'!$B:$B,0))</f>
        <v>PC09</v>
      </c>
      <c r="H126" s="350"/>
      <c r="I126" s="531">
        <v>124</v>
      </c>
    </row>
    <row r="127" spans="1:9" hidden="1" x14ac:dyDescent="0.7">
      <c r="A127" s="251" t="s">
        <v>159</v>
      </c>
      <c r="B127" s="212" t="s">
        <v>984</v>
      </c>
      <c r="C127" s="11">
        <f>IFERROR(INDEX('5.งบทดลอง รพ.'!$C:$C,MATCH('6.WS-Re-Exp'!A127,'5.งบทดลอง รพ.'!$A:$A,0)),)</f>
        <v>0</v>
      </c>
      <c r="E127" s="201" t="str">
        <f>INDEX('13.Mapping'!$F:$F,MATCH('6.WS-Re-Exp'!$A127,'13.Mapping'!$B:$B,0))</f>
        <v>45110</v>
      </c>
      <c r="F127" s="201" t="str">
        <f>INDEX('13.Mapping'!$D:$D,MATCH('6.WS-Re-Exp'!$A127,'13.Mapping'!$B:$B,0))</f>
        <v>P12</v>
      </c>
      <c r="G127" s="201" t="str">
        <f>INDEX('13.Mapping'!$K:$K,MATCH('6.WS-Re-Exp'!$A127,'13.Mapping'!$B:$B,0))</f>
        <v>PC09</v>
      </c>
      <c r="H127" s="350"/>
      <c r="I127" s="531">
        <v>125</v>
      </c>
    </row>
    <row r="128" spans="1:9" s="33" customFormat="1" hidden="1" x14ac:dyDescent="0.7">
      <c r="A128" s="251" t="s">
        <v>160</v>
      </c>
      <c r="B128" s="212" t="s">
        <v>161</v>
      </c>
      <c r="C128" s="11">
        <f>IFERROR(INDEX('5.งบทดลอง รพ.'!$C:$C,MATCH('6.WS-Re-Exp'!A128,'5.งบทดลอง รพ.'!$A:$A,0)),)</f>
        <v>158792</v>
      </c>
      <c r="D128" s="6"/>
      <c r="E128" s="201" t="str">
        <f>INDEX('13.Mapping'!$F:$F,MATCH('6.WS-Re-Exp'!$A128,'13.Mapping'!$B:$B,0))</f>
        <v>45110</v>
      </c>
      <c r="F128" s="201" t="str">
        <f>INDEX('13.Mapping'!$D:$D,MATCH('6.WS-Re-Exp'!$A128,'13.Mapping'!$B:$B,0))</f>
        <v>P12</v>
      </c>
      <c r="G128" s="201" t="str">
        <f>INDEX('13.Mapping'!$K:$K,MATCH('6.WS-Re-Exp'!$A128,'13.Mapping'!$B:$B,0))</f>
        <v>PC09</v>
      </c>
      <c r="H128" s="289"/>
      <c r="I128" s="531">
        <v>126</v>
      </c>
    </row>
    <row r="129" spans="1:9" s="33" customFormat="1" hidden="1" x14ac:dyDescent="0.7">
      <c r="A129" s="251" t="s">
        <v>162</v>
      </c>
      <c r="B129" s="212" t="s">
        <v>163</v>
      </c>
      <c r="C129" s="11">
        <f>IFERROR(INDEX('5.งบทดลอง รพ.'!$C:$C,MATCH('6.WS-Re-Exp'!A129,'5.งบทดลอง รพ.'!$A:$A,0)),)</f>
        <v>0</v>
      </c>
      <c r="D129" s="6"/>
      <c r="E129" s="201" t="str">
        <f>INDEX('13.Mapping'!$F:$F,MATCH('6.WS-Re-Exp'!$A129,'13.Mapping'!$B:$B,0))</f>
        <v>45110</v>
      </c>
      <c r="F129" s="201" t="str">
        <f>INDEX('13.Mapping'!$D:$D,MATCH('6.WS-Re-Exp'!$A129,'13.Mapping'!$B:$B,0))</f>
        <v>P12</v>
      </c>
      <c r="G129" s="201" t="str">
        <f>INDEX('13.Mapping'!$K:$K,MATCH('6.WS-Re-Exp'!$A129,'13.Mapping'!$B:$B,0))</f>
        <v>PC09</v>
      </c>
      <c r="H129" s="289"/>
      <c r="I129" s="531">
        <v>127</v>
      </c>
    </row>
    <row r="130" spans="1:9" x14ac:dyDescent="0.7">
      <c r="A130" s="251" t="s">
        <v>164</v>
      </c>
      <c r="B130" s="212" t="s">
        <v>165</v>
      </c>
      <c r="C130" s="11">
        <f>IFERROR(INDEX('5.งบทดลอง รพ.'!$C:$C,MATCH('6.WS-Re-Exp'!A130,'5.งบทดลอง รพ.'!$A:$A,0)),)</f>
        <v>0</v>
      </c>
      <c r="E130" s="201" t="str">
        <f>INDEX('13.Mapping'!$F:$F,MATCH('6.WS-Re-Exp'!$A130,'13.Mapping'!$B:$B,0))</f>
        <v>46030</v>
      </c>
      <c r="F130" s="201" t="str">
        <f>INDEX('13.Mapping'!$D:$D,MATCH('6.WS-Re-Exp'!$A130,'13.Mapping'!$B:$B,0))</f>
        <v>P13</v>
      </c>
      <c r="G130" s="201" t="str">
        <f>INDEX('13.Mapping'!$K:$K,MATCH('6.WS-Re-Exp'!$A130,'13.Mapping'!$B:$B,0))</f>
        <v>PC10</v>
      </c>
      <c r="H130" s="350"/>
      <c r="I130" s="531">
        <v>128</v>
      </c>
    </row>
    <row r="131" spans="1:9" x14ac:dyDescent="0.7">
      <c r="A131" s="251" t="s">
        <v>166</v>
      </c>
      <c r="B131" s="212" t="s">
        <v>167</v>
      </c>
      <c r="C131" s="11">
        <f>IFERROR(INDEX('5.งบทดลอง รพ.'!$C:$C,MATCH('6.WS-Re-Exp'!A131,'5.งบทดลอง รพ.'!$A:$A,0)),)</f>
        <v>0</v>
      </c>
      <c r="E131" s="201" t="str">
        <f>INDEX('13.Mapping'!$F:$F,MATCH('6.WS-Re-Exp'!$A131,'13.Mapping'!$B:$B,0))</f>
        <v>46030</v>
      </c>
      <c r="F131" s="201" t="str">
        <f>INDEX('13.Mapping'!$D:$D,MATCH('6.WS-Re-Exp'!$A131,'13.Mapping'!$B:$B,0))</f>
        <v>P13</v>
      </c>
      <c r="G131" s="201" t="str">
        <f>INDEX('13.Mapping'!$K:$K,MATCH('6.WS-Re-Exp'!$A131,'13.Mapping'!$B:$B,0))</f>
        <v>PC10</v>
      </c>
      <c r="H131" s="350"/>
      <c r="I131" s="531">
        <v>129</v>
      </c>
    </row>
    <row r="132" spans="1:9" s="33" customFormat="1" hidden="1" x14ac:dyDescent="0.7">
      <c r="A132" s="251" t="s">
        <v>168</v>
      </c>
      <c r="B132" s="212" t="s">
        <v>985</v>
      </c>
      <c r="C132" s="11">
        <f>IFERROR(INDEX('5.งบทดลอง รพ.'!$C:$C,MATCH('6.WS-Re-Exp'!A132,'5.งบทดลอง รพ.'!$A:$A,0)),)</f>
        <v>0</v>
      </c>
      <c r="D132" s="6"/>
      <c r="E132" s="201" t="str">
        <f>INDEX('13.Mapping'!$F:$F,MATCH('6.WS-Re-Exp'!$A132,'13.Mapping'!$B:$B,0))</f>
        <v>45110</v>
      </c>
      <c r="F132" s="201" t="str">
        <f>INDEX('13.Mapping'!$D:$D,MATCH('6.WS-Re-Exp'!$A132,'13.Mapping'!$B:$B,0))</f>
        <v>P12</v>
      </c>
      <c r="G132" s="201" t="str">
        <f>INDEX('13.Mapping'!$K:$K,MATCH('6.WS-Re-Exp'!$A132,'13.Mapping'!$B:$B,0))</f>
        <v>PC09</v>
      </c>
      <c r="H132" s="289"/>
      <c r="I132" s="531">
        <v>130</v>
      </c>
    </row>
    <row r="133" spans="1:9" s="33" customFormat="1" hidden="1" x14ac:dyDescent="0.7">
      <c r="A133" s="251" t="s">
        <v>759</v>
      </c>
      <c r="B133" s="212" t="s">
        <v>760</v>
      </c>
      <c r="C133" s="11">
        <f>IFERROR(INDEX('5.งบทดลอง รพ.'!$C:$C,MATCH('6.WS-Re-Exp'!A133,'5.งบทดลอง รพ.'!$A:$A,0)),)</f>
        <v>0</v>
      </c>
      <c r="D133" s="6"/>
      <c r="E133" s="201" t="str">
        <f>INDEX('13.Mapping'!$F:$F,MATCH('6.WS-Re-Exp'!$A133,'13.Mapping'!$B:$B,0))</f>
        <v>45110</v>
      </c>
      <c r="F133" s="201" t="str">
        <f>INDEX('13.Mapping'!$D:$D,MATCH('6.WS-Re-Exp'!$A133,'13.Mapping'!$B:$B,0))</f>
        <v>P12</v>
      </c>
      <c r="G133" s="201" t="str">
        <f>INDEX('13.Mapping'!$K:$K,MATCH('6.WS-Re-Exp'!$A133,'13.Mapping'!$B:$B,0))</f>
        <v>PC09</v>
      </c>
      <c r="H133" s="289"/>
      <c r="I133" s="531">
        <v>131</v>
      </c>
    </row>
    <row r="134" spans="1:9" hidden="1" x14ac:dyDescent="0.7">
      <c r="A134" s="251" t="s">
        <v>761</v>
      </c>
      <c r="B134" s="212" t="s">
        <v>762</v>
      </c>
      <c r="C134" s="11">
        <f>IFERROR(INDEX('5.งบทดลอง รพ.'!$C:$C,MATCH('6.WS-Re-Exp'!A134,'5.งบทดลอง รพ.'!$A:$A,0)),)</f>
        <v>0</v>
      </c>
      <c r="E134" s="201" t="str">
        <f>INDEX('13.Mapping'!$F:$F,MATCH('6.WS-Re-Exp'!$A134,'13.Mapping'!$B:$B,0))</f>
        <v>45111</v>
      </c>
      <c r="F134" s="201" t="str">
        <f>INDEX('13.Mapping'!$D:$D,MATCH('6.WS-Re-Exp'!$A134,'13.Mapping'!$B:$B,0))</f>
        <v>P121</v>
      </c>
      <c r="G134" s="201">
        <f>INDEX('13.Mapping'!$K:$K,MATCH('6.WS-Re-Exp'!$A134,'13.Mapping'!$B:$B,0))</f>
        <v>0</v>
      </c>
      <c r="H134" s="350"/>
      <c r="I134" s="531">
        <v>132</v>
      </c>
    </row>
    <row r="135" spans="1:9" s="33" customFormat="1" hidden="1" x14ac:dyDescent="0.7">
      <c r="A135" s="251" t="s">
        <v>169</v>
      </c>
      <c r="B135" s="212" t="s">
        <v>986</v>
      </c>
      <c r="C135" s="11">
        <f>IFERROR(INDEX('5.งบทดลอง รพ.'!$C:$C,MATCH('6.WS-Re-Exp'!A135,'5.งบทดลอง รพ.'!$A:$A,0)),)</f>
        <v>165966.92000000001</v>
      </c>
      <c r="D135" s="6"/>
      <c r="E135" s="201" t="str">
        <f>INDEX('13.Mapping'!$F:$F,MATCH('6.WS-Re-Exp'!$A135,'13.Mapping'!$B:$B,0))</f>
        <v>45110</v>
      </c>
      <c r="F135" s="201" t="str">
        <f>INDEX('13.Mapping'!$D:$D,MATCH('6.WS-Re-Exp'!$A135,'13.Mapping'!$B:$B,0))</f>
        <v>P12</v>
      </c>
      <c r="G135" s="201" t="str">
        <f>INDEX('13.Mapping'!$K:$K,MATCH('6.WS-Re-Exp'!$A135,'13.Mapping'!$B:$B,0))</f>
        <v>PC09</v>
      </c>
      <c r="H135" s="289"/>
      <c r="I135" s="531">
        <v>133</v>
      </c>
    </row>
    <row r="136" spans="1:9" hidden="1" x14ac:dyDescent="0.7">
      <c r="A136" s="251" t="s">
        <v>170</v>
      </c>
      <c r="B136" s="212" t="s">
        <v>171</v>
      </c>
      <c r="C136" s="11">
        <f>IFERROR(INDEX('5.งบทดลอง รพ.'!$C:$C,MATCH('6.WS-Re-Exp'!A136,'5.งบทดลอง รพ.'!$A:$A,0)),)</f>
        <v>0</v>
      </c>
      <c r="E136" s="201" t="str">
        <f>INDEX('13.Mapping'!$F:$F,MATCH('6.WS-Re-Exp'!$A136,'13.Mapping'!$B:$B,0))</f>
        <v>45110</v>
      </c>
      <c r="F136" s="201" t="str">
        <f>INDEX('13.Mapping'!$D:$D,MATCH('6.WS-Re-Exp'!$A136,'13.Mapping'!$B:$B,0))</f>
        <v>P12</v>
      </c>
      <c r="G136" s="201" t="str">
        <f>INDEX('13.Mapping'!$K:$K,MATCH('6.WS-Re-Exp'!$A136,'13.Mapping'!$B:$B,0))</f>
        <v>PC09</v>
      </c>
      <c r="H136" s="350"/>
      <c r="I136" s="531">
        <v>134</v>
      </c>
    </row>
    <row r="137" spans="1:9" hidden="1" x14ac:dyDescent="0.7">
      <c r="A137" s="251" t="s">
        <v>172</v>
      </c>
      <c r="B137" s="212" t="s">
        <v>173</v>
      </c>
      <c r="C137" s="11">
        <f>IFERROR(INDEX('5.งบทดลอง รพ.'!$C:$C,MATCH('6.WS-Re-Exp'!A137,'5.งบทดลอง รพ.'!$A:$A,0)),)</f>
        <v>0</v>
      </c>
      <c r="E137" s="201" t="str">
        <f>INDEX('13.Mapping'!$F:$F,MATCH('6.WS-Re-Exp'!$A137,'13.Mapping'!$B:$B,0))</f>
        <v>45110</v>
      </c>
      <c r="F137" s="201" t="str">
        <f>INDEX('13.Mapping'!$D:$D,MATCH('6.WS-Re-Exp'!$A137,'13.Mapping'!$B:$B,0))</f>
        <v>P12</v>
      </c>
      <c r="G137" s="201" t="str">
        <f>INDEX('13.Mapping'!$K:$K,MATCH('6.WS-Re-Exp'!$A137,'13.Mapping'!$B:$B,0))</f>
        <v>PC09</v>
      </c>
      <c r="H137" s="350"/>
      <c r="I137" s="531">
        <v>135</v>
      </c>
    </row>
    <row r="138" spans="1:9" hidden="1" x14ac:dyDescent="0.7">
      <c r="A138" s="251" t="s">
        <v>763</v>
      </c>
      <c r="B138" s="212" t="s">
        <v>764</v>
      </c>
      <c r="C138" s="11">
        <f>IFERROR(INDEX('5.งบทดลอง รพ.'!$C:$C,MATCH('6.WS-Re-Exp'!A138,'5.งบทดลอง รพ.'!$A:$A,0)),)</f>
        <v>0</v>
      </c>
      <c r="E138" s="201" t="str">
        <f>INDEX('13.Mapping'!$F:$F,MATCH('6.WS-Re-Exp'!$A138,'13.Mapping'!$B:$B,0))</f>
        <v>45110</v>
      </c>
      <c r="F138" s="201" t="str">
        <f>INDEX('13.Mapping'!$D:$D,MATCH('6.WS-Re-Exp'!$A138,'13.Mapping'!$B:$B,0))</f>
        <v>P12</v>
      </c>
      <c r="G138" s="201" t="str">
        <f>INDEX('13.Mapping'!$K:$K,MATCH('6.WS-Re-Exp'!$A138,'13.Mapping'!$B:$B,0))</f>
        <v>PC09</v>
      </c>
      <c r="H138" s="350"/>
      <c r="I138" s="531">
        <v>136</v>
      </c>
    </row>
    <row r="139" spans="1:9" hidden="1" x14ac:dyDescent="0.7">
      <c r="A139" s="251" t="s">
        <v>138</v>
      </c>
      <c r="B139" s="212" t="s">
        <v>987</v>
      </c>
      <c r="C139" s="11">
        <f>IFERROR(INDEX('5.งบทดลอง รพ.'!$C:$C,MATCH('6.WS-Re-Exp'!A139,'5.งบทดลอง รพ.'!$A:$A,0)),)</f>
        <v>15968184.73</v>
      </c>
      <c r="E139" s="201" t="str">
        <f>INDEX('13.Mapping'!$F:$F,MATCH('6.WS-Re-Exp'!$A139,'13.Mapping'!$B:$B,0))</f>
        <v>45100</v>
      </c>
      <c r="F139" s="201" t="str">
        <f>INDEX('13.Mapping'!$D:$D,MATCH('6.WS-Re-Exp'!$A139,'13.Mapping'!$B:$B,0))</f>
        <v>P11</v>
      </c>
      <c r="G139" s="201">
        <f>INDEX('13.Mapping'!$K:$K,MATCH('6.WS-Re-Exp'!$A139,'13.Mapping'!$B:$B,0))</f>
        <v>0</v>
      </c>
      <c r="H139" s="350"/>
      <c r="I139" s="531">
        <v>137</v>
      </c>
    </row>
    <row r="140" spans="1:9" x14ac:dyDescent="0.7">
      <c r="A140" s="251" t="s">
        <v>211</v>
      </c>
      <c r="B140" s="212" t="s">
        <v>988</v>
      </c>
      <c r="C140" s="11">
        <f>IFERROR(INDEX('5.งบทดลอง รพ.'!$C:$C,MATCH('6.WS-Re-Exp'!A140,'5.งบทดลอง รพ.'!$A:$A,0)),)</f>
        <v>1546100</v>
      </c>
      <c r="E140" s="201" t="str">
        <f>INDEX('13.Mapping'!$F:$F,MATCH('6.WS-Re-Exp'!$A140,'13.Mapping'!$B:$B,0))</f>
        <v>46010</v>
      </c>
      <c r="F140" s="201" t="str">
        <f>INDEX('13.Mapping'!$D:$D,MATCH('6.WS-Re-Exp'!$A140,'13.Mapping'!$B:$B,0))</f>
        <v>P13</v>
      </c>
      <c r="G140" s="201">
        <f>INDEX('13.Mapping'!$K:$K,MATCH('6.WS-Re-Exp'!$A140,'13.Mapping'!$B:$B,0))</f>
        <v>0</v>
      </c>
      <c r="H140" s="350"/>
      <c r="I140" s="531">
        <v>138</v>
      </c>
    </row>
    <row r="141" spans="1:9" hidden="1" x14ac:dyDescent="0.7">
      <c r="A141" s="251" t="s">
        <v>174</v>
      </c>
      <c r="B141" s="212" t="s">
        <v>989</v>
      </c>
      <c r="C141" s="11">
        <f>IFERROR(INDEX('5.งบทดลอง รพ.'!$C:$C,MATCH('6.WS-Re-Exp'!A141,'5.งบทดลอง รพ.'!$A:$A,0)),)</f>
        <v>0</v>
      </c>
      <c r="E141" s="201" t="str">
        <f>INDEX('13.Mapping'!$F:$F,MATCH('6.WS-Re-Exp'!$A141,'13.Mapping'!$B:$B,0))</f>
        <v>45110</v>
      </c>
      <c r="F141" s="201" t="str">
        <f>INDEX('13.Mapping'!$D:$D,MATCH('6.WS-Re-Exp'!$A141,'13.Mapping'!$B:$B,0))</f>
        <v>P12</v>
      </c>
      <c r="G141" s="201">
        <f>INDEX('13.Mapping'!$K:$K,MATCH('6.WS-Re-Exp'!$A141,'13.Mapping'!$B:$B,0))</f>
        <v>0</v>
      </c>
      <c r="H141" s="350"/>
      <c r="I141" s="531">
        <v>139</v>
      </c>
    </row>
    <row r="142" spans="1:9" hidden="1" x14ac:dyDescent="0.7">
      <c r="A142" s="251" t="s">
        <v>175</v>
      </c>
      <c r="B142" s="212" t="s">
        <v>990</v>
      </c>
      <c r="C142" s="11">
        <f>IFERROR(INDEX('5.งบทดลอง รพ.'!$C:$C,MATCH('6.WS-Re-Exp'!A142,'5.งบทดลอง รพ.'!$A:$A,0)),)</f>
        <v>0</v>
      </c>
      <c r="E142" s="201" t="str">
        <f>INDEX('13.Mapping'!$F:$F,MATCH('6.WS-Re-Exp'!$A142,'13.Mapping'!$B:$B,0))</f>
        <v>45110</v>
      </c>
      <c r="F142" s="201" t="str">
        <f>INDEX('13.Mapping'!$D:$D,MATCH('6.WS-Re-Exp'!$A142,'13.Mapping'!$B:$B,0))</f>
        <v>P12</v>
      </c>
      <c r="G142" s="201">
        <f>INDEX('13.Mapping'!$K:$K,MATCH('6.WS-Re-Exp'!$A142,'13.Mapping'!$B:$B,0))</f>
        <v>0</v>
      </c>
      <c r="H142" s="350"/>
      <c r="I142" s="531">
        <v>140</v>
      </c>
    </row>
    <row r="143" spans="1:9" hidden="1" x14ac:dyDescent="0.7">
      <c r="A143" s="251" t="s">
        <v>176</v>
      </c>
      <c r="B143" s="212" t="s">
        <v>991</v>
      </c>
      <c r="C143" s="11">
        <f>IFERROR(INDEX('5.งบทดลอง รพ.'!$C:$C,MATCH('6.WS-Re-Exp'!A143,'5.งบทดลอง รพ.'!$A:$A,0)),)</f>
        <v>0</v>
      </c>
      <c r="E143" s="201" t="str">
        <f>INDEX('13.Mapping'!$F:$F,MATCH('6.WS-Re-Exp'!$A143,'13.Mapping'!$B:$B,0))</f>
        <v>45110</v>
      </c>
      <c r="F143" s="201" t="str">
        <f>INDEX('13.Mapping'!$D:$D,MATCH('6.WS-Re-Exp'!$A143,'13.Mapping'!$B:$B,0))</f>
        <v>P12</v>
      </c>
      <c r="G143" s="201">
        <f>INDEX('13.Mapping'!$K:$K,MATCH('6.WS-Re-Exp'!$A143,'13.Mapping'!$B:$B,0))</f>
        <v>0</v>
      </c>
      <c r="H143" s="350"/>
      <c r="I143" s="531">
        <v>141</v>
      </c>
    </row>
    <row r="144" spans="1:9" hidden="1" x14ac:dyDescent="0.7">
      <c r="A144" s="251" t="s">
        <v>177</v>
      </c>
      <c r="B144" s="212" t="s">
        <v>992</v>
      </c>
      <c r="C144" s="11">
        <f>IFERROR(INDEX('5.งบทดลอง รพ.'!$C:$C,MATCH('6.WS-Re-Exp'!A144,'5.งบทดลอง รพ.'!$A:$A,0)),)</f>
        <v>0</v>
      </c>
      <c r="E144" s="201" t="str">
        <f>INDEX('13.Mapping'!$F:$F,MATCH('6.WS-Re-Exp'!$A144,'13.Mapping'!$B:$B,0))</f>
        <v>45110</v>
      </c>
      <c r="F144" s="201" t="str">
        <f>INDEX('13.Mapping'!$D:$D,MATCH('6.WS-Re-Exp'!$A144,'13.Mapping'!$B:$B,0))</f>
        <v>P12</v>
      </c>
      <c r="G144" s="201">
        <f>INDEX('13.Mapping'!$K:$K,MATCH('6.WS-Re-Exp'!$A144,'13.Mapping'!$B:$B,0))</f>
        <v>0</v>
      </c>
      <c r="H144" s="350"/>
      <c r="I144" s="531">
        <v>142</v>
      </c>
    </row>
    <row r="145" spans="1:9" hidden="1" x14ac:dyDescent="0.7">
      <c r="A145" s="251" t="s">
        <v>178</v>
      </c>
      <c r="B145" s="212" t="s">
        <v>993</v>
      </c>
      <c r="C145" s="11">
        <f>IFERROR(INDEX('5.งบทดลอง รพ.'!$C:$C,MATCH('6.WS-Re-Exp'!A145,'5.งบทดลอง รพ.'!$A:$A,0)),)</f>
        <v>0</v>
      </c>
      <c r="E145" s="201" t="str">
        <f>INDEX('13.Mapping'!$F:$F,MATCH('6.WS-Re-Exp'!$A145,'13.Mapping'!$B:$B,0))</f>
        <v>45110</v>
      </c>
      <c r="F145" s="201" t="str">
        <f>INDEX('13.Mapping'!$D:$D,MATCH('6.WS-Re-Exp'!$A145,'13.Mapping'!$B:$B,0))</f>
        <v>P12</v>
      </c>
      <c r="G145" s="201">
        <f>INDEX('13.Mapping'!$K:$K,MATCH('6.WS-Re-Exp'!$A145,'13.Mapping'!$B:$B,0))</f>
        <v>0</v>
      </c>
      <c r="H145" s="350"/>
      <c r="I145" s="531">
        <v>143</v>
      </c>
    </row>
    <row r="146" spans="1:9" hidden="1" x14ac:dyDescent="0.7">
      <c r="A146" s="251" t="s">
        <v>5820</v>
      </c>
      <c r="B146" s="212" t="s">
        <v>5819</v>
      </c>
      <c r="C146" s="11">
        <f>IFERROR(INDEX('5.งบทดลอง รพ.'!$C:$C,MATCH('6.WS-Re-Exp'!A146,'5.งบทดลอง รพ.'!$A:$A,0)),)</f>
        <v>0</v>
      </c>
      <c r="E146" s="201" t="str">
        <f>INDEX('13.Mapping'!$F:$F,MATCH('6.WS-Re-Exp'!$A146,'13.Mapping'!$B:$B,0))</f>
        <v>45111</v>
      </c>
      <c r="F146" s="201" t="str">
        <f>INDEX('13.Mapping'!$D:$D,MATCH('6.WS-Re-Exp'!$A146,'13.Mapping'!$B:$B,0))</f>
        <v>P121</v>
      </c>
      <c r="G146" s="201">
        <f>INDEX('13.Mapping'!$K:$K,MATCH('6.WS-Re-Exp'!$A146,'13.Mapping'!$B:$B,0))</f>
        <v>0</v>
      </c>
      <c r="H146" s="350"/>
      <c r="I146" s="531">
        <v>144</v>
      </c>
    </row>
    <row r="147" spans="1:9" hidden="1" x14ac:dyDescent="0.7">
      <c r="A147" s="251" t="s">
        <v>765</v>
      </c>
      <c r="B147" s="212" t="s">
        <v>766</v>
      </c>
      <c r="C147" s="11">
        <f>IFERROR(INDEX('5.งบทดลอง รพ.'!$C:$C,MATCH('6.WS-Re-Exp'!A147,'5.งบทดลอง รพ.'!$A:$A,0)),)</f>
        <v>0</v>
      </c>
      <c r="E147" s="201" t="str">
        <f>INDEX('13.Mapping'!$F:$F,MATCH('6.WS-Re-Exp'!$A147,'13.Mapping'!$B:$B,0))</f>
        <v>45111</v>
      </c>
      <c r="F147" s="201" t="str">
        <f>INDEX('13.Mapping'!$D:$D,MATCH('6.WS-Re-Exp'!$A147,'13.Mapping'!$B:$B,0))</f>
        <v>P121</v>
      </c>
      <c r="G147" s="201">
        <f>INDEX('13.Mapping'!$K:$K,MATCH('6.WS-Re-Exp'!$A147,'13.Mapping'!$B:$B,0))</f>
        <v>0</v>
      </c>
      <c r="H147" s="350"/>
      <c r="I147" s="531">
        <v>145</v>
      </c>
    </row>
    <row r="148" spans="1:9" hidden="1" x14ac:dyDescent="0.7">
      <c r="A148" s="251" t="s">
        <v>767</v>
      </c>
      <c r="B148" s="212" t="s">
        <v>768</v>
      </c>
      <c r="C148" s="11">
        <f>IFERROR(INDEX('5.งบทดลอง รพ.'!$C:$C,MATCH('6.WS-Re-Exp'!A148,'5.งบทดลอง รพ.'!$A:$A,0)),)</f>
        <v>0</v>
      </c>
      <c r="E148" s="201" t="str">
        <f>INDEX('13.Mapping'!$F:$F,MATCH('6.WS-Re-Exp'!$A148,'13.Mapping'!$B:$B,0))</f>
        <v>45111</v>
      </c>
      <c r="F148" s="201" t="str">
        <f>INDEX('13.Mapping'!$D:$D,MATCH('6.WS-Re-Exp'!$A148,'13.Mapping'!$B:$B,0))</f>
        <v>P121</v>
      </c>
      <c r="G148" s="201">
        <f>INDEX('13.Mapping'!$K:$K,MATCH('6.WS-Re-Exp'!$A148,'13.Mapping'!$B:$B,0))</f>
        <v>0</v>
      </c>
      <c r="H148" s="350"/>
      <c r="I148" s="531">
        <v>146</v>
      </c>
    </row>
    <row r="149" spans="1:9" hidden="1" x14ac:dyDescent="0.7">
      <c r="A149" s="251" t="s">
        <v>769</v>
      </c>
      <c r="B149" s="212" t="s">
        <v>770</v>
      </c>
      <c r="C149" s="11">
        <f>IFERROR(INDEX('5.งบทดลอง รพ.'!$C:$C,MATCH('6.WS-Re-Exp'!A149,'5.งบทดลอง รพ.'!$A:$A,0)),)</f>
        <v>0</v>
      </c>
      <c r="E149" s="201" t="str">
        <f>INDEX('13.Mapping'!$F:$F,MATCH('6.WS-Re-Exp'!$A149,'13.Mapping'!$B:$B,0))</f>
        <v>45111</v>
      </c>
      <c r="F149" s="201" t="str">
        <f>INDEX('13.Mapping'!$D:$D,MATCH('6.WS-Re-Exp'!$A149,'13.Mapping'!$B:$B,0))</f>
        <v>P121</v>
      </c>
      <c r="G149" s="201">
        <f>INDEX('13.Mapping'!$K:$K,MATCH('6.WS-Re-Exp'!$A149,'13.Mapping'!$B:$B,0))</f>
        <v>0</v>
      </c>
      <c r="H149" s="350"/>
      <c r="I149" s="531">
        <v>147</v>
      </c>
    </row>
    <row r="150" spans="1:9" hidden="1" x14ac:dyDescent="0.7">
      <c r="A150" s="251" t="s">
        <v>179</v>
      </c>
      <c r="B150" s="212" t="s">
        <v>994</v>
      </c>
      <c r="C150" s="11">
        <f>IFERROR(INDEX('5.งบทดลอง รพ.'!$C:$C,MATCH('6.WS-Re-Exp'!A150,'5.งบทดลอง รพ.'!$A:$A,0)),)</f>
        <v>0</v>
      </c>
      <c r="E150" s="201" t="str">
        <f>INDEX('13.Mapping'!$F:$F,MATCH('6.WS-Re-Exp'!$A150,'13.Mapping'!$B:$B,0))</f>
        <v>45111</v>
      </c>
      <c r="F150" s="201" t="str">
        <f>INDEX('13.Mapping'!$D:$D,MATCH('6.WS-Re-Exp'!$A150,'13.Mapping'!$B:$B,0))</f>
        <v>P121</v>
      </c>
      <c r="G150" s="201">
        <f>INDEX('13.Mapping'!$K:$K,MATCH('6.WS-Re-Exp'!$A150,'13.Mapping'!$B:$B,0))</f>
        <v>0</v>
      </c>
      <c r="H150" s="350"/>
      <c r="I150" s="531">
        <v>148</v>
      </c>
    </row>
    <row r="151" spans="1:9" hidden="1" x14ac:dyDescent="0.7">
      <c r="A151" s="251" t="s">
        <v>771</v>
      </c>
      <c r="B151" s="212" t="s">
        <v>772</v>
      </c>
      <c r="C151" s="11">
        <f>IFERROR(INDEX('5.งบทดลอง รพ.'!$C:$C,MATCH('6.WS-Re-Exp'!A151,'5.งบทดลอง รพ.'!$A:$A,0)),)</f>
        <v>0</v>
      </c>
      <c r="E151" s="201" t="str">
        <f>INDEX('13.Mapping'!$F:$F,MATCH('6.WS-Re-Exp'!$A151,'13.Mapping'!$B:$B,0))</f>
        <v>45111</v>
      </c>
      <c r="F151" s="201" t="str">
        <f>INDEX('13.Mapping'!$D:$D,MATCH('6.WS-Re-Exp'!$A151,'13.Mapping'!$B:$B,0))</f>
        <v>P121</v>
      </c>
      <c r="G151" s="201">
        <f>INDEX('13.Mapping'!$K:$K,MATCH('6.WS-Re-Exp'!$A151,'13.Mapping'!$B:$B,0))</f>
        <v>0</v>
      </c>
      <c r="H151" s="350"/>
      <c r="I151" s="531">
        <v>149</v>
      </c>
    </row>
    <row r="152" spans="1:9" hidden="1" x14ac:dyDescent="0.7">
      <c r="A152" s="251" t="s">
        <v>180</v>
      </c>
      <c r="B152" s="212" t="s">
        <v>995</v>
      </c>
      <c r="C152" s="11">
        <f>IFERROR(INDEX('5.งบทดลอง รพ.'!$C:$C,MATCH('6.WS-Re-Exp'!A152,'5.งบทดลอง รพ.'!$A:$A,0)),)</f>
        <v>0</v>
      </c>
      <c r="E152" s="201" t="str">
        <f>INDEX('13.Mapping'!$F:$F,MATCH('6.WS-Re-Exp'!$A152,'13.Mapping'!$B:$B,0))</f>
        <v>45111</v>
      </c>
      <c r="F152" s="201" t="str">
        <f>INDEX('13.Mapping'!$D:$D,MATCH('6.WS-Re-Exp'!$A152,'13.Mapping'!$B:$B,0))</f>
        <v>P121</v>
      </c>
      <c r="G152" s="201">
        <f>INDEX('13.Mapping'!$K:$K,MATCH('6.WS-Re-Exp'!$A152,'13.Mapping'!$B:$B,0))</f>
        <v>0</v>
      </c>
      <c r="H152" s="350"/>
      <c r="I152" s="531">
        <v>150</v>
      </c>
    </row>
    <row r="153" spans="1:9" hidden="1" x14ac:dyDescent="0.7">
      <c r="A153" s="251" t="s">
        <v>6027</v>
      </c>
      <c r="B153" s="212" t="s">
        <v>6026</v>
      </c>
      <c r="C153" s="11">
        <f>IFERROR(INDEX('5.งบทดลอง รพ.'!$C:$C,MATCH('6.WS-Re-Exp'!A153,'5.งบทดลอง รพ.'!$A:$A,0)),)</f>
        <v>0</v>
      </c>
      <c r="E153" s="201" t="str">
        <f>INDEX('13.Mapping'!$F:$F,MATCH('6.WS-Re-Exp'!$A153,'13.Mapping'!$B:$B,0))</f>
        <v>45111</v>
      </c>
      <c r="F153" s="201" t="str">
        <f>INDEX('13.Mapping'!$D:$D,MATCH('6.WS-Re-Exp'!$A153,'13.Mapping'!$B:$B,0))</f>
        <v>P121</v>
      </c>
      <c r="G153" s="201">
        <f>INDEX('13.Mapping'!$K:$K,MATCH('6.WS-Re-Exp'!$A153,'13.Mapping'!$B:$B,0))</f>
        <v>0</v>
      </c>
      <c r="H153" s="350"/>
      <c r="I153" s="531">
        <v>151</v>
      </c>
    </row>
    <row r="154" spans="1:9" hidden="1" x14ac:dyDescent="0.7">
      <c r="A154" s="251" t="s">
        <v>181</v>
      </c>
      <c r="B154" s="212" t="s">
        <v>182</v>
      </c>
      <c r="C154" s="11">
        <f>IFERROR(INDEX('5.งบทดลอง รพ.'!$C:$C,MATCH('6.WS-Re-Exp'!A154,'5.งบทดลอง รพ.'!$A:$A,0)),)</f>
        <v>0</v>
      </c>
      <c r="E154" s="201" t="str">
        <f>INDEX('13.Mapping'!$F:$F,MATCH('6.WS-Re-Exp'!$A154,'13.Mapping'!$B:$B,0))</f>
        <v>45110</v>
      </c>
      <c r="F154" s="201" t="str">
        <f>INDEX('13.Mapping'!$D:$D,MATCH('6.WS-Re-Exp'!$A154,'13.Mapping'!$B:$B,0))</f>
        <v>P12</v>
      </c>
      <c r="G154" s="201" t="str">
        <f>INDEX('13.Mapping'!$K:$K,MATCH('6.WS-Re-Exp'!$A154,'13.Mapping'!$B:$B,0))</f>
        <v>PC09</v>
      </c>
      <c r="H154" s="350"/>
      <c r="I154" s="531">
        <v>152</v>
      </c>
    </row>
    <row r="155" spans="1:9" s="33" customFormat="1" hidden="1" x14ac:dyDescent="0.7">
      <c r="A155" s="251" t="s">
        <v>183</v>
      </c>
      <c r="B155" s="212" t="s">
        <v>184</v>
      </c>
      <c r="C155" s="11">
        <f>IFERROR(INDEX('5.งบทดลอง รพ.'!$C:$C,MATCH('6.WS-Re-Exp'!A155,'5.งบทดลอง รพ.'!$A:$A,0)),)</f>
        <v>0</v>
      </c>
      <c r="D155" s="6"/>
      <c r="E155" s="201" t="str">
        <f>INDEX('13.Mapping'!$F:$F,MATCH('6.WS-Re-Exp'!$A155,'13.Mapping'!$B:$B,0))</f>
        <v>45110</v>
      </c>
      <c r="F155" s="201" t="str">
        <f>INDEX('13.Mapping'!$D:$D,MATCH('6.WS-Re-Exp'!$A155,'13.Mapping'!$B:$B,0))</f>
        <v>P12</v>
      </c>
      <c r="G155" s="201" t="str">
        <f>INDEX('13.Mapping'!$K:$K,MATCH('6.WS-Re-Exp'!$A155,'13.Mapping'!$B:$B,0))</f>
        <v>PC09</v>
      </c>
      <c r="H155" s="289"/>
      <c r="I155" s="531">
        <v>153</v>
      </c>
    </row>
    <row r="156" spans="1:9" s="33" customFormat="1" hidden="1" x14ac:dyDescent="0.7">
      <c r="A156" s="251" t="s">
        <v>134</v>
      </c>
      <c r="B156" s="212" t="s">
        <v>135</v>
      </c>
      <c r="C156" s="11">
        <f>IFERROR(INDEX('5.งบทดลอง รพ.'!$C:$C,MATCH('6.WS-Re-Exp'!A156,'5.งบทดลอง รพ.'!$A:$A,0)),)</f>
        <v>0</v>
      </c>
      <c r="D156" s="6"/>
      <c r="E156" s="201" t="str">
        <f>INDEX('13.Mapping'!$F:$F,MATCH('6.WS-Re-Exp'!$A156,'13.Mapping'!$B:$B,0))</f>
        <v>43050</v>
      </c>
      <c r="F156" s="201" t="str">
        <f>INDEX('13.Mapping'!$D:$D,MATCH('6.WS-Re-Exp'!$A156,'13.Mapping'!$B:$B,0))</f>
        <v>P10</v>
      </c>
      <c r="G156" s="201" t="str">
        <f>INDEX('13.Mapping'!$K:$K,MATCH('6.WS-Re-Exp'!$A156,'13.Mapping'!$B:$B,0))</f>
        <v>PC08</v>
      </c>
      <c r="H156" s="289"/>
      <c r="I156" s="531">
        <v>154</v>
      </c>
    </row>
    <row r="157" spans="1:9" s="33" customFormat="1" hidden="1" x14ac:dyDescent="0.7">
      <c r="A157" s="251" t="s">
        <v>136</v>
      </c>
      <c r="B157" s="212" t="s">
        <v>137</v>
      </c>
      <c r="C157" s="11">
        <f>IFERROR(INDEX('5.งบทดลอง รพ.'!$C:$C,MATCH('6.WS-Re-Exp'!A157,'5.งบทดลอง รพ.'!$A:$A,0)),)</f>
        <v>0</v>
      </c>
      <c r="D157" s="6"/>
      <c r="E157" s="201" t="str">
        <f>INDEX('13.Mapping'!$F:$F,MATCH('6.WS-Re-Exp'!$A157,'13.Mapping'!$B:$B,0))</f>
        <v>43050</v>
      </c>
      <c r="F157" s="201" t="str">
        <f>INDEX('13.Mapping'!$D:$D,MATCH('6.WS-Re-Exp'!$A157,'13.Mapping'!$B:$B,0))</f>
        <v>P10</v>
      </c>
      <c r="G157" s="201" t="str">
        <f>INDEX('13.Mapping'!$K:$K,MATCH('6.WS-Re-Exp'!$A157,'13.Mapping'!$B:$B,0))</f>
        <v>PC08</v>
      </c>
      <c r="H157" s="289"/>
      <c r="I157" s="531">
        <v>155</v>
      </c>
    </row>
    <row r="158" spans="1:9" hidden="1" x14ac:dyDescent="0.7">
      <c r="A158" s="251" t="s">
        <v>185</v>
      </c>
      <c r="B158" s="212" t="s">
        <v>186</v>
      </c>
      <c r="C158" s="11">
        <f>IFERROR(INDEX('5.งบทดลอง รพ.'!$C:$C,MATCH('6.WS-Re-Exp'!A158,'5.งบทดลอง รพ.'!$A:$A,0)),)</f>
        <v>0</v>
      </c>
      <c r="E158" s="201" t="str">
        <f>INDEX('13.Mapping'!$F:$F,MATCH('6.WS-Re-Exp'!$A158,'13.Mapping'!$B:$B,0))</f>
        <v>45110</v>
      </c>
      <c r="F158" s="201" t="str">
        <f>INDEX('13.Mapping'!$D:$D,MATCH('6.WS-Re-Exp'!$A158,'13.Mapping'!$B:$B,0))</f>
        <v>P12</v>
      </c>
      <c r="G158" s="201" t="str">
        <f>INDEX('13.Mapping'!$K:$K,MATCH('6.WS-Re-Exp'!$A158,'13.Mapping'!$B:$B,0))</f>
        <v>PC09</v>
      </c>
      <c r="H158" s="350"/>
      <c r="I158" s="531">
        <v>156</v>
      </c>
    </row>
    <row r="159" spans="1:9" hidden="1" x14ac:dyDescent="0.7">
      <c r="A159" s="251" t="s">
        <v>187</v>
      </c>
      <c r="B159" s="212" t="s">
        <v>188</v>
      </c>
      <c r="C159" s="11">
        <f>IFERROR(INDEX('5.งบทดลอง รพ.'!$C:$C,MATCH('6.WS-Re-Exp'!A159,'5.งบทดลอง รพ.'!$A:$A,0)),)</f>
        <v>0</v>
      </c>
      <c r="E159" s="201" t="str">
        <f>INDEX('13.Mapping'!$F:$F,MATCH('6.WS-Re-Exp'!$A159,'13.Mapping'!$B:$B,0))</f>
        <v>45110</v>
      </c>
      <c r="F159" s="201" t="str">
        <f>INDEX('13.Mapping'!$D:$D,MATCH('6.WS-Re-Exp'!$A159,'13.Mapping'!$B:$B,0))</f>
        <v>P12</v>
      </c>
      <c r="G159" s="201" t="str">
        <f>INDEX('13.Mapping'!$K:$K,MATCH('6.WS-Re-Exp'!$A159,'13.Mapping'!$B:$B,0))</f>
        <v>PC09</v>
      </c>
      <c r="H159" s="350"/>
      <c r="I159" s="531">
        <v>157</v>
      </c>
    </row>
    <row r="160" spans="1:9" s="33" customFormat="1" hidden="1" x14ac:dyDescent="0.7">
      <c r="A160" s="251" t="s">
        <v>189</v>
      </c>
      <c r="B160" s="212" t="s">
        <v>190</v>
      </c>
      <c r="C160" s="11">
        <f>IFERROR(INDEX('5.งบทดลอง รพ.'!$C:$C,MATCH('6.WS-Re-Exp'!A160,'5.งบทดลอง รพ.'!$A:$A,0)),)</f>
        <v>0</v>
      </c>
      <c r="D160" s="6"/>
      <c r="E160" s="201" t="str">
        <f>INDEX('13.Mapping'!$F:$F,MATCH('6.WS-Re-Exp'!$A160,'13.Mapping'!$B:$B,0))</f>
        <v>45110</v>
      </c>
      <c r="F160" s="201" t="str">
        <f>INDEX('13.Mapping'!$D:$D,MATCH('6.WS-Re-Exp'!$A160,'13.Mapping'!$B:$B,0))</f>
        <v>P12</v>
      </c>
      <c r="G160" s="201" t="str">
        <f>INDEX('13.Mapping'!$K:$K,MATCH('6.WS-Re-Exp'!$A160,'13.Mapping'!$B:$B,0))</f>
        <v>PC09</v>
      </c>
      <c r="H160" s="289"/>
      <c r="I160" s="531">
        <v>158</v>
      </c>
    </row>
    <row r="161" spans="1:9" hidden="1" x14ac:dyDescent="0.7">
      <c r="A161" s="251" t="s">
        <v>191</v>
      </c>
      <c r="B161" s="212" t="s">
        <v>192</v>
      </c>
      <c r="C161" s="11">
        <f>IFERROR(INDEX('5.งบทดลอง รพ.'!$C:$C,MATCH('6.WS-Re-Exp'!A161,'5.งบทดลอง รพ.'!$A:$A,0)),)</f>
        <v>15530</v>
      </c>
      <c r="E161" s="201" t="str">
        <f>INDEX('13.Mapping'!$F:$F,MATCH('6.WS-Re-Exp'!$A161,'13.Mapping'!$B:$B,0))</f>
        <v>45110</v>
      </c>
      <c r="F161" s="201" t="str">
        <f>INDEX('13.Mapping'!$D:$D,MATCH('6.WS-Re-Exp'!$A161,'13.Mapping'!$B:$B,0))</f>
        <v>P12</v>
      </c>
      <c r="G161" s="201" t="str">
        <f>INDEX('13.Mapping'!$K:$K,MATCH('6.WS-Re-Exp'!$A161,'13.Mapping'!$B:$B,0))</f>
        <v>PC09</v>
      </c>
      <c r="H161" s="350"/>
      <c r="I161" s="531">
        <v>159</v>
      </c>
    </row>
    <row r="162" spans="1:9" hidden="1" x14ac:dyDescent="0.7">
      <c r="A162" s="251" t="s">
        <v>193</v>
      </c>
      <c r="B162" s="212" t="s">
        <v>194</v>
      </c>
      <c r="C162" s="11">
        <f>IFERROR(INDEX('5.งบทดลอง รพ.'!$C:$C,MATCH('6.WS-Re-Exp'!A162,'5.งบทดลอง รพ.'!$A:$A,0)),)</f>
        <v>5880</v>
      </c>
      <c r="E162" s="201" t="str">
        <f>INDEX('13.Mapping'!$F:$F,MATCH('6.WS-Re-Exp'!$A162,'13.Mapping'!$B:$B,0))</f>
        <v>45110</v>
      </c>
      <c r="F162" s="201" t="str">
        <f>INDEX('13.Mapping'!$D:$D,MATCH('6.WS-Re-Exp'!$A162,'13.Mapping'!$B:$B,0))</f>
        <v>P12</v>
      </c>
      <c r="G162" s="201" t="str">
        <f>INDEX('13.Mapping'!$K:$K,MATCH('6.WS-Re-Exp'!$A162,'13.Mapping'!$B:$B,0))</f>
        <v>PC09</v>
      </c>
      <c r="H162" s="350"/>
      <c r="I162" s="531">
        <v>160</v>
      </c>
    </row>
    <row r="163" spans="1:9" hidden="1" x14ac:dyDescent="0.7">
      <c r="A163" s="251" t="s">
        <v>195</v>
      </c>
      <c r="B163" s="212" t="s">
        <v>996</v>
      </c>
      <c r="C163" s="11">
        <f>IFERROR(INDEX('5.งบทดลอง รพ.'!$C:$C,MATCH('6.WS-Re-Exp'!A163,'5.งบทดลอง รพ.'!$A:$A,0)),)</f>
        <v>0</v>
      </c>
      <c r="E163" s="201" t="str">
        <f>INDEX('13.Mapping'!$F:$F,MATCH('6.WS-Re-Exp'!$A163,'13.Mapping'!$B:$B,0))</f>
        <v>45110</v>
      </c>
      <c r="F163" s="201" t="str">
        <f>INDEX('13.Mapping'!$D:$D,MATCH('6.WS-Re-Exp'!$A163,'13.Mapping'!$B:$B,0))</f>
        <v>P12</v>
      </c>
      <c r="G163" s="201" t="str">
        <f>INDEX('13.Mapping'!$K:$K,MATCH('6.WS-Re-Exp'!$A163,'13.Mapping'!$B:$B,0))</f>
        <v>PC09</v>
      </c>
      <c r="H163" s="350"/>
      <c r="I163" s="531">
        <v>161</v>
      </c>
    </row>
    <row r="164" spans="1:9" hidden="1" x14ac:dyDescent="0.7">
      <c r="A164" s="251" t="s">
        <v>196</v>
      </c>
      <c r="B164" s="212" t="s">
        <v>997</v>
      </c>
      <c r="C164" s="11">
        <f>IFERROR(INDEX('5.งบทดลอง รพ.'!$C:$C,MATCH('6.WS-Re-Exp'!A164,'5.งบทดลอง รพ.'!$A:$A,0)),)</f>
        <v>0</v>
      </c>
      <c r="E164" s="201" t="str">
        <f>INDEX('13.Mapping'!$F:$F,MATCH('6.WS-Re-Exp'!$A164,'13.Mapping'!$B:$B,0))</f>
        <v>45110</v>
      </c>
      <c r="F164" s="201" t="str">
        <f>INDEX('13.Mapping'!$D:$D,MATCH('6.WS-Re-Exp'!$A164,'13.Mapping'!$B:$B,0))</f>
        <v>P12</v>
      </c>
      <c r="G164" s="201" t="str">
        <f>INDEX('13.Mapping'!$K:$K,MATCH('6.WS-Re-Exp'!$A164,'13.Mapping'!$B:$B,0))</f>
        <v>PC09</v>
      </c>
      <c r="H164" s="350"/>
      <c r="I164" s="531">
        <v>162</v>
      </c>
    </row>
    <row r="165" spans="1:9" hidden="1" x14ac:dyDescent="0.7">
      <c r="A165" s="251" t="s">
        <v>197</v>
      </c>
      <c r="B165" s="212" t="s">
        <v>198</v>
      </c>
      <c r="C165" s="11">
        <f>IFERROR(INDEX('5.งบทดลอง รพ.'!$C:$C,MATCH('6.WS-Re-Exp'!A165,'5.งบทดลอง รพ.'!$A:$A,0)),)</f>
        <v>8513000</v>
      </c>
      <c r="E165" s="201" t="str">
        <f>INDEX('13.Mapping'!$F:$F,MATCH('6.WS-Re-Exp'!$A165,'13.Mapping'!$B:$B,0))</f>
        <v>45110</v>
      </c>
      <c r="F165" s="201" t="str">
        <f>INDEX('13.Mapping'!$D:$D,MATCH('6.WS-Re-Exp'!$A165,'13.Mapping'!$B:$B,0))</f>
        <v>P12</v>
      </c>
      <c r="G165" s="201" t="str">
        <f>INDEX('13.Mapping'!$K:$K,MATCH('6.WS-Re-Exp'!$A165,'13.Mapping'!$B:$B,0))</f>
        <v>PC09</v>
      </c>
      <c r="H165" s="350"/>
      <c r="I165" s="531">
        <v>163</v>
      </c>
    </row>
    <row r="166" spans="1:9" hidden="1" x14ac:dyDescent="0.7">
      <c r="A166" s="251" t="s">
        <v>199</v>
      </c>
      <c r="B166" s="212" t="s">
        <v>200</v>
      </c>
      <c r="C166" s="11">
        <f>IFERROR(INDEX('5.งบทดลอง รพ.'!$C:$C,MATCH('6.WS-Re-Exp'!A166,'5.งบทดลอง รพ.'!$A:$A,0)),)</f>
        <v>0</v>
      </c>
      <c r="E166" s="201" t="str">
        <f>INDEX('13.Mapping'!$F:$F,MATCH('6.WS-Re-Exp'!$A166,'13.Mapping'!$B:$B,0))</f>
        <v>45110</v>
      </c>
      <c r="F166" s="201" t="str">
        <f>INDEX('13.Mapping'!$D:$D,MATCH('6.WS-Re-Exp'!$A166,'13.Mapping'!$B:$B,0))</f>
        <v>P12</v>
      </c>
      <c r="G166" s="201" t="str">
        <f>INDEX('13.Mapping'!$K:$K,MATCH('6.WS-Re-Exp'!$A166,'13.Mapping'!$B:$B,0))</f>
        <v>PC09</v>
      </c>
      <c r="H166" s="350"/>
      <c r="I166" s="531">
        <v>164</v>
      </c>
    </row>
    <row r="167" spans="1:9" x14ac:dyDescent="0.7">
      <c r="A167" s="251" t="s">
        <v>212</v>
      </c>
      <c r="B167" s="212" t="s">
        <v>213</v>
      </c>
      <c r="C167" s="11">
        <f>IFERROR(INDEX('5.งบทดลอง รพ.'!$C:$C,MATCH('6.WS-Re-Exp'!A167,'5.งบทดลอง รพ.'!$A:$A,0)),)</f>
        <v>0</v>
      </c>
      <c r="E167" s="201" t="str">
        <f>INDEX('13.Mapping'!$F:$F,MATCH('6.WS-Re-Exp'!$A167,'13.Mapping'!$B:$B,0))</f>
        <v>46010</v>
      </c>
      <c r="F167" s="201" t="str">
        <f>INDEX('13.Mapping'!$D:$D,MATCH('6.WS-Re-Exp'!$A167,'13.Mapping'!$B:$B,0))</f>
        <v>P13</v>
      </c>
      <c r="G167" s="201">
        <f>INDEX('13.Mapping'!$K:$K,MATCH('6.WS-Re-Exp'!$A167,'13.Mapping'!$B:$B,0))</f>
        <v>0</v>
      </c>
      <c r="H167" s="350"/>
      <c r="I167" s="531">
        <v>165</v>
      </c>
    </row>
    <row r="168" spans="1:9" hidden="1" x14ac:dyDescent="0.7">
      <c r="A168" s="251" t="s">
        <v>201</v>
      </c>
      <c r="B168" s="212" t="s">
        <v>998</v>
      </c>
      <c r="C168" s="11">
        <f>IFERROR(INDEX('5.งบทดลอง รพ.'!$C:$C,MATCH('6.WS-Re-Exp'!A168,'5.งบทดลอง รพ.'!$A:$A,0)),)</f>
        <v>3000000</v>
      </c>
      <c r="E168" s="201" t="str">
        <f>INDEX('13.Mapping'!$F:$F,MATCH('6.WS-Re-Exp'!$A168,'13.Mapping'!$B:$B,0))</f>
        <v>45110</v>
      </c>
      <c r="F168" s="201" t="str">
        <f>INDEX('13.Mapping'!$D:$D,MATCH('6.WS-Re-Exp'!$A168,'13.Mapping'!$B:$B,0))</f>
        <v>P12</v>
      </c>
      <c r="G168" s="201">
        <f>INDEX('13.Mapping'!$K:$K,MATCH('6.WS-Re-Exp'!$A168,'13.Mapping'!$B:$B,0))</f>
        <v>0</v>
      </c>
      <c r="H168" s="350"/>
      <c r="I168" s="531">
        <v>166</v>
      </c>
    </row>
    <row r="169" spans="1:9" hidden="1" x14ac:dyDescent="0.7">
      <c r="A169" s="251" t="s">
        <v>202</v>
      </c>
      <c r="B169" s="212" t="s">
        <v>203</v>
      </c>
      <c r="C169" s="11">
        <f>IFERROR(INDEX('5.งบทดลอง รพ.'!$C:$C,MATCH('6.WS-Re-Exp'!A169,'5.งบทดลอง รพ.'!$A:$A,0)),)</f>
        <v>0</v>
      </c>
      <c r="E169" s="201" t="str">
        <f>INDEX('13.Mapping'!$F:$F,MATCH('6.WS-Re-Exp'!$A169,'13.Mapping'!$B:$B,0))</f>
        <v>45110</v>
      </c>
      <c r="F169" s="201" t="str">
        <f>INDEX('13.Mapping'!$D:$D,MATCH('6.WS-Re-Exp'!$A169,'13.Mapping'!$B:$B,0))</f>
        <v>P12</v>
      </c>
      <c r="G169" s="201">
        <f>INDEX('13.Mapping'!$K:$K,MATCH('6.WS-Re-Exp'!$A169,'13.Mapping'!$B:$B,0))</f>
        <v>0</v>
      </c>
      <c r="H169" s="350"/>
      <c r="I169" s="531">
        <v>167</v>
      </c>
    </row>
    <row r="170" spans="1:9" hidden="1" x14ac:dyDescent="0.7">
      <c r="A170" s="251" t="s">
        <v>204</v>
      </c>
      <c r="B170" s="212" t="s">
        <v>999</v>
      </c>
      <c r="C170" s="11">
        <f>IFERROR(INDEX('5.งบทดลอง รพ.'!$C:$C,MATCH('6.WS-Re-Exp'!A170,'5.งบทดลอง รพ.'!$A:$A,0)),)</f>
        <v>0</v>
      </c>
      <c r="E170" s="201" t="str">
        <f>INDEX('13.Mapping'!$F:$F,MATCH('6.WS-Re-Exp'!$A170,'13.Mapping'!$B:$B,0))</f>
        <v>45110</v>
      </c>
      <c r="F170" s="201" t="str">
        <f>INDEX('13.Mapping'!$D:$D,MATCH('6.WS-Re-Exp'!$A170,'13.Mapping'!$B:$B,0))</f>
        <v>P12</v>
      </c>
      <c r="G170" s="201">
        <f>INDEX('13.Mapping'!$K:$K,MATCH('6.WS-Re-Exp'!$A170,'13.Mapping'!$B:$B,0))</f>
        <v>0</v>
      </c>
      <c r="H170" s="350"/>
      <c r="I170" s="531">
        <v>168</v>
      </c>
    </row>
    <row r="171" spans="1:9" s="33" customFormat="1" hidden="1" x14ac:dyDescent="0.7">
      <c r="A171" s="251" t="s">
        <v>205</v>
      </c>
      <c r="B171" s="212" t="s">
        <v>206</v>
      </c>
      <c r="C171" s="11">
        <f>IFERROR(INDEX('5.งบทดลอง รพ.'!$C:$C,MATCH('6.WS-Re-Exp'!A171,'5.งบทดลอง รพ.'!$A:$A,0)),)</f>
        <v>35000</v>
      </c>
      <c r="D171" s="6"/>
      <c r="E171" s="201" t="str">
        <f>INDEX('13.Mapping'!$F:$F,MATCH('6.WS-Re-Exp'!$A171,'13.Mapping'!$B:$B,0))</f>
        <v>45110</v>
      </c>
      <c r="F171" s="201" t="str">
        <f>INDEX('13.Mapping'!$D:$D,MATCH('6.WS-Re-Exp'!$A171,'13.Mapping'!$B:$B,0))</f>
        <v>P12</v>
      </c>
      <c r="G171" s="201">
        <f>INDEX('13.Mapping'!$K:$K,MATCH('6.WS-Re-Exp'!$A171,'13.Mapping'!$B:$B,0))</f>
        <v>0</v>
      </c>
      <c r="H171" s="290"/>
      <c r="I171" s="531">
        <v>169</v>
      </c>
    </row>
    <row r="172" spans="1:9" hidden="1" x14ac:dyDescent="0.7">
      <c r="A172" s="251" t="s">
        <v>5956</v>
      </c>
      <c r="B172" s="212" t="s">
        <v>5955</v>
      </c>
      <c r="C172" s="11">
        <f>IFERROR(INDEX('5.งบทดลอง รพ.'!$C:$C,MATCH('6.WS-Re-Exp'!A172,'5.งบทดลอง รพ.'!$A:$A,0)),)</f>
        <v>0</v>
      </c>
      <c r="E172" s="201" t="str">
        <f>INDEX('13.Mapping'!$F:$F,MATCH('6.WS-Re-Exp'!$A172,'13.Mapping'!$B:$B,0))</f>
        <v>45110</v>
      </c>
      <c r="F172" s="201" t="str">
        <f>INDEX('13.Mapping'!$D:$D,MATCH('6.WS-Re-Exp'!$A172,'13.Mapping'!$B:$B,0))</f>
        <v>P12</v>
      </c>
      <c r="G172" s="201">
        <f>INDEX('13.Mapping'!$K:$K,MATCH('6.WS-Re-Exp'!$A172,'13.Mapping'!$B:$B,0))</f>
        <v>0</v>
      </c>
      <c r="H172" s="350"/>
      <c r="I172" s="531">
        <v>170</v>
      </c>
    </row>
    <row r="173" spans="1:9" hidden="1" x14ac:dyDescent="0.7">
      <c r="A173" s="251" t="s">
        <v>207</v>
      </c>
      <c r="B173" s="212" t="s">
        <v>208</v>
      </c>
      <c r="C173" s="11">
        <f>IFERROR(INDEX('5.งบทดลอง รพ.'!$C:$C,MATCH('6.WS-Re-Exp'!A173,'5.งบทดลอง รพ.'!$A:$A,0)),)</f>
        <v>250000</v>
      </c>
      <c r="E173" s="201" t="str">
        <f>INDEX('13.Mapping'!$F:$F,MATCH('6.WS-Re-Exp'!$A173,'13.Mapping'!$B:$B,0))</f>
        <v>45110</v>
      </c>
      <c r="F173" s="201" t="str">
        <f>INDEX('13.Mapping'!$D:$D,MATCH('6.WS-Re-Exp'!$A173,'13.Mapping'!$B:$B,0))</f>
        <v>P12</v>
      </c>
      <c r="G173" s="201" t="str">
        <f>INDEX('13.Mapping'!$K:$K,MATCH('6.WS-Re-Exp'!$A173,'13.Mapping'!$B:$B,0))</f>
        <v>PC09</v>
      </c>
      <c r="H173" s="506">
        <f>SUM(C3:C173)</f>
        <v>101504575.66000001</v>
      </c>
      <c r="I173" s="531">
        <v>171</v>
      </c>
    </row>
    <row r="174" spans="1:9" hidden="1" x14ac:dyDescent="0.7">
      <c r="A174" s="251" t="s">
        <v>223</v>
      </c>
      <c r="B174" s="212" t="s">
        <v>224</v>
      </c>
      <c r="C174" s="11">
        <f>IFERROR(INDEX('5.งบทดลอง รพ.'!$C:$C,MATCH('6.WS-Re-Exp'!A174,'5.งบทดลอง รพ.'!$A:$A,0)),)</f>
        <v>15295560</v>
      </c>
      <c r="E174" s="201" t="str">
        <f>INDEX('13.Mapping'!$F:$F,MATCH('6.WS-Re-Exp'!$A174,'13.Mapping'!$B:$B,0))</f>
        <v>52010</v>
      </c>
      <c r="F174" s="201" t="str">
        <f>INDEX('13.Mapping'!$D:$D,MATCH('6.WS-Re-Exp'!$A174,'13.Mapping'!$B:$B,0))</f>
        <v>P17</v>
      </c>
      <c r="G174" s="201">
        <f>INDEX('13.Mapping'!$K:$K,MATCH('6.WS-Re-Exp'!$A174,'13.Mapping'!$B:$B,0))</f>
        <v>0</v>
      </c>
      <c r="H174" s="350"/>
      <c r="I174" s="531">
        <v>172</v>
      </c>
    </row>
    <row r="175" spans="1:9" hidden="1" x14ac:dyDescent="0.7">
      <c r="A175" s="251" t="s">
        <v>225</v>
      </c>
      <c r="B175" s="212" t="s">
        <v>226</v>
      </c>
      <c r="C175" s="11">
        <f>IFERROR(INDEX('5.งบทดลอง รพ.'!$C:$C,MATCH('6.WS-Re-Exp'!A175,'5.งบทดลอง รพ.'!$A:$A,0)),)</f>
        <v>0</v>
      </c>
      <c r="E175" s="201" t="str">
        <f>INDEX('13.Mapping'!$F:$F,MATCH('6.WS-Re-Exp'!$A175,'13.Mapping'!$B:$B,0))</f>
        <v>52010</v>
      </c>
      <c r="F175" s="201" t="str">
        <f>INDEX('13.Mapping'!$D:$D,MATCH('6.WS-Re-Exp'!$A175,'13.Mapping'!$B:$B,0))</f>
        <v>P17</v>
      </c>
      <c r="G175" s="201">
        <f>INDEX('13.Mapping'!$K:$K,MATCH('6.WS-Re-Exp'!$A175,'13.Mapping'!$B:$B,0))</f>
        <v>0</v>
      </c>
      <c r="H175" s="350"/>
      <c r="I175" s="531">
        <v>173</v>
      </c>
    </row>
    <row r="176" spans="1:9" hidden="1" x14ac:dyDescent="0.7">
      <c r="A176" s="251" t="s">
        <v>227</v>
      </c>
      <c r="B176" s="212" t="s">
        <v>228</v>
      </c>
      <c r="C176" s="11">
        <f>IFERROR(INDEX('5.งบทดลอง รพ.'!$C:$C,MATCH('6.WS-Re-Exp'!A176,'5.งบทดลอง รพ.'!$A:$A,0)),)</f>
        <v>0</v>
      </c>
      <c r="E176" s="201" t="str">
        <f>INDEX('13.Mapping'!$F:$F,MATCH('6.WS-Re-Exp'!$A176,'13.Mapping'!$B:$B,0))</f>
        <v>52010</v>
      </c>
      <c r="F176" s="201" t="str">
        <f>INDEX('13.Mapping'!$D:$D,MATCH('6.WS-Re-Exp'!$A176,'13.Mapping'!$B:$B,0))</f>
        <v>P17</v>
      </c>
      <c r="G176" s="201">
        <f>INDEX('13.Mapping'!$K:$K,MATCH('6.WS-Re-Exp'!$A176,'13.Mapping'!$B:$B,0))</f>
        <v>0</v>
      </c>
      <c r="H176" s="350"/>
      <c r="I176" s="531">
        <v>174</v>
      </c>
    </row>
    <row r="177" spans="1:9" s="33" customFormat="1" hidden="1" x14ac:dyDescent="0.7">
      <c r="A177" s="251" t="s">
        <v>229</v>
      </c>
      <c r="B177" s="212" t="s">
        <v>230</v>
      </c>
      <c r="C177" s="11">
        <f>IFERROR(INDEX('5.งบทดลอง รพ.'!$C:$C,MATCH('6.WS-Re-Exp'!A177,'5.งบทดลอง รพ.'!$A:$A,0)),)</f>
        <v>354045.7</v>
      </c>
      <c r="D177" s="6"/>
      <c r="E177" s="201" t="str">
        <f>INDEX('13.Mapping'!$F:$F,MATCH('6.WS-Re-Exp'!$A177,'13.Mapping'!$B:$B,0))</f>
        <v>52010</v>
      </c>
      <c r="F177" s="201" t="str">
        <f>INDEX('13.Mapping'!$D:$D,MATCH('6.WS-Re-Exp'!$A177,'13.Mapping'!$B:$B,0))</f>
        <v>P17</v>
      </c>
      <c r="G177" s="201">
        <f>INDEX('13.Mapping'!$K:$K,MATCH('6.WS-Re-Exp'!$A177,'13.Mapping'!$B:$B,0))</f>
        <v>0</v>
      </c>
      <c r="H177" s="289"/>
      <c r="I177" s="531">
        <v>175</v>
      </c>
    </row>
    <row r="178" spans="1:9" hidden="1" x14ac:dyDescent="0.7">
      <c r="A178" s="251" t="s">
        <v>231</v>
      </c>
      <c r="B178" s="212" t="s">
        <v>232</v>
      </c>
      <c r="C178" s="11">
        <f>IFERROR(INDEX('5.งบทดลอง รพ.'!$C:$C,MATCH('6.WS-Re-Exp'!A178,'5.งบทดลอง รพ.'!$A:$A,0)),)</f>
        <v>0</v>
      </c>
      <c r="E178" s="201" t="str">
        <f>INDEX('13.Mapping'!$F:$F,MATCH('6.WS-Re-Exp'!$A178,'13.Mapping'!$B:$B,0))</f>
        <v>52010</v>
      </c>
      <c r="F178" s="201" t="str">
        <f>INDEX('13.Mapping'!$D:$D,MATCH('6.WS-Re-Exp'!$A178,'13.Mapping'!$B:$B,0))</f>
        <v>P17</v>
      </c>
      <c r="G178" s="201">
        <f>INDEX('13.Mapping'!$K:$K,MATCH('6.WS-Re-Exp'!$A178,'13.Mapping'!$B:$B,0))</f>
        <v>0</v>
      </c>
      <c r="H178" s="350"/>
      <c r="I178" s="531">
        <v>176</v>
      </c>
    </row>
    <row r="179" spans="1:9" hidden="1" x14ac:dyDescent="0.7">
      <c r="A179" s="251" t="s">
        <v>233</v>
      </c>
      <c r="B179" s="212" t="s">
        <v>234</v>
      </c>
      <c r="C179" s="11">
        <f>IFERROR(INDEX('5.งบทดลอง รพ.'!$C:$C,MATCH('6.WS-Re-Exp'!A179,'5.งบทดลอง รพ.'!$A:$A,0)),)</f>
        <v>0</v>
      </c>
      <c r="E179" s="201" t="str">
        <f>INDEX('13.Mapping'!$F:$F,MATCH('6.WS-Re-Exp'!$A179,'13.Mapping'!$B:$B,0))</f>
        <v>51070</v>
      </c>
      <c r="F179" s="201" t="str">
        <f>INDEX('13.Mapping'!$D:$D,MATCH('6.WS-Re-Exp'!$A179,'13.Mapping'!$B:$B,0))</f>
        <v>P19</v>
      </c>
      <c r="G179" s="201">
        <f>INDEX('13.Mapping'!$K:$K,MATCH('6.WS-Re-Exp'!$A179,'13.Mapping'!$B:$B,0))</f>
        <v>0</v>
      </c>
      <c r="H179" s="350"/>
      <c r="I179" s="531">
        <v>177</v>
      </c>
    </row>
    <row r="180" spans="1:9" hidden="1" x14ac:dyDescent="0.7">
      <c r="A180" s="251" t="s">
        <v>235</v>
      </c>
      <c r="B180" s="212" t="s">
        <v>236</v>
      </c>
      <c r="C180" s="11">
        <f>IFERROR(INDEX('5.งบทดลอง รพ.'!$C:$C,MATCH('6.WS-Re-Exp'!A180,'5.งบทดลอง รพ.'!$A:$A,0)),)</f>
        <v>0</v>
      </c>
      <c r="E180" s="201" t="str">
        <f>INDEX('13.Mapping'!$F:$F,MATCH('6.WS-Re-Exp'!$A180,'13.Mapping'!$B:$B,0))</f>
        <v>52010</v>
      </c>
      <c r="F180" s="201" t="str">
        <f>INDEX('13.Mapping'!$D:$D,MATCH('6.WS-Re-Exp'!$A180,'13.Mapping'!$B:$B,0))</f>
        <v>P17</v>
      </c>
      <c r="G180" s="201">
        <f>INDEX('13.Mapping'!$K:$K,MATCH('6.WS-Re-Exp'!$A180,'13.Mapping'!$B:$B,0))</f>
        <v>0</v>
      </c>
      <c r="H180" s="350"/>
      <c r="I180" s="531">
        <v>178</v>
      </c>
    </row>
    <row r="181" spans="1:9" hidden="1" x14ac:dyDescent="0.7">
      <c r="A181" s="251" t="s">
        <v>237</v>
      </c>
      <c r="B181" s="212" t="s">
        <v>238</v>
      </c>
      <c r="C181" s="11">
        <f>IFERROR(INDEX('5.งบทดลอง รพ.'!$C:$C,MATCH('6.WS-Re-Exp'!A181,'5.งบทดลอง รพ.'!$A:$A,0)),)</f>
        <v>0</v>
      </c>
      <c r="E181" s="201" t="str">
        <f>INDEX('13.Mapping'!$F:$F,MATCH('6.WS-Re-Exp'!$A181,'13.Mapping'!$B:$B,0))</f>
        <v>52010</v>
      </c>
      <c r="F181" s="201" t="str">
        <f>INDEX('13.Mapping'!$D:$D,MATCH('6.WS-Re-Exp'!$A181,'13.Mapping'!$B:$B,0))</f>
        <v>P17</v>
      </c>
      <c r="G181" s="201">
        <f>INDEX('13.Mapping'!$K:$K,MATCH('6.WS-Re-Exp'!$A181,'13.Mapping'!$B:$B,0))</f>
        <v>0</v>
      </c>
      <c r="H181" s="350"/>
      <c r="I181" s="531">
        <v>179</v>
      </c>
    </row>
    <row r="182" spans="1:9" hidden="1" x14ac:dyDescent="0.7">
      <c r="A182" s="251" t="s">
        <v>239</v>
      </c>
      <c r="B182" s="212" t="s">
        <v>240</v>
      </c>
      <c r="C182" s="11">
        <f>IFERROR(INDEX('5.งบทดลอง รพ.'!$C:$C,MATCH('6.WS-Re-Exp'!A182,'5.งบทดลอง รพ.'!$A:$A,0)),)</f>
        <v>0</v>
      </c>
      <c r="E182" s="201" t="str">
        <f>INDEX('13.Mapping'!$F:$F,MATCH('6.WS-Re-Exp'!$A182,'13.Mapping'!$B:$B,0))</f>
        <v>52010</v>
      </c>
      <c r="F182" s="201" t="str">
        <f>INDEX('13.Mapping'!$D:$D,MATCH('6.WS-Re-Exp'!$A182,'13.Mapping'!$B:$B,0))</f>
        <v>P17</v>
      </c>
      <c r="G182" s="201">
        <f>INDEX('13.Mapping'!$K:$K,MATCH('6.WS-Re-Exp'!$A182,'13.Mapping'!$B:$B,0))</f>
        <v>0</v>
      </c>
      <c r="H182" s="350"/>
      <c r="I182" s="531">
        <v>180</v>
      </c>
    </row>
    <row r="183" spans="1:9" hidden="1" x14ac:dyDescent="0.7">
      <c r="A183" s="251" t="s">
        <v>241</v>
      </c>
      <c r="B183" s="212" t="s">
        <v>242</v>
      </c>
      <c r="C183" s="11">
        <f>IFERROR(INDEX('5.งบทดลอง รพ.'!$C:$C,MATCH('6.WS-Re-Exp'!A183,'5.งบทดลอง รพ.'!$A:$A,0)),)</f>
        <v>0</v>
      </c>
      <c r="E183" s="201" t="str">
        <f>INDEX('13.Mapping'!$F:$F,MATCH('6.WS-Re-Exp'!$A183,'13.Mapping'!$B:$B,0))</f>
        <v>52010</v>
      </c>
      <c r="F183" s="201" t="str">
        <f>INDEX('13.Mapping'!$D:$D,MATCH('6.WS-Re-Exp'!$A183,'13.Mapping'!$B:$B,0))</f>
        <v>P17</v>
      </c>
      <c r="G183" s="201">
        <f>INDEX('13.Mapping'!$K:$K,MATCH('6.WS-Re-Exp'!$A183,'13.Mapping'!$B:$B,0))</f>
        <v>0</v>
      </c>
      <c r="H183" s="350"/>
      <c r="I183" s="531">
        <v>181</v>
      </c>
    </row>
    <row r="184" spans="1:9" s="33" customFormat="1" hidden="1" x14ac:dyDescent="0.7">
      <c r="A184" s="251" t="s">
        <v>243</v>
      </c>
      <c r="B184" s="212" t="s">
        <v>244</v>
      </c>
      <c r="C184" s="11">
        <f>IFERROR(INDEX('5.งบทดลอง รพ.'!$C:$C,MATCH('6.WS-Re-Exp'!A184,'5.งบทดลอง รพ.'!$A:$A,0)),)</f>
        <v>0</v>
      </c>
      <c r="D184" s="6"/>
      <c r="E184" s="201" t="str">
        <f>INDEX('13.Mapping'!$F:$F,MATCH('6.WS-Re-Exp'!$A184,'13.Mapping'!$B:$B,0))</f>
        <v>52010</v>
      </c>
      <c r="F184" s="201" t="str">
        <f>INDEX('13.Mapping'!$D:$D,MATCH('6.WS-Re-Exp'!$A184,'13.Mapping'!$B:$B,0))</f>
        <v>P17</v>
      </c>
      <c r="G184" s="201">
        <f>INDEX('13.Mapping'!$K:$K,MATCH('6.WS-Re-Exp'!$A184,'13.Mapping'!$B:$B,0))</f>
        <v>0</v>
      </c>
      <c r="H184" s="289"/>
      <c r="I184" s="531">
        <v>182</v>
      </c>
    </row>
    <row r="185" spans="1:9" s="33" customFormat="1" hidden="1" x14ac:dyDescent="0.7">
      <c r="A185" s="251" t="s">
        <v>245</v>
      </c>
      <c r="B185" s="212" t="s">
        <v>246</v>
      </c>
      <c r="C185" s="11">
        <f>IFERROR(INDEX('5.งบทดลอง รพ.'!$C:$C,MATCH('6.WS-Re-Exp'!A185,'5.งบทดลอง รพ.'!$A:$A,0)),)</f>
        <v>0</v>
      </c>
      <c r="D185" s="6"/>
      <c r="E185" s="201" t="str">
        <f>INDEX('13.Mapping'!$F:$F,MATCH('6.WS-Re-Exp'!$A185,'13.Mapping'!$B:$B,0))</f>
        <v>52010</v>
      </c>
      <c r="F185" s="201" t="str">
        <f>INDEX('13.Mapping'!$D:$D,MATCH('6.WS-Re-Exp'!$A185,'13.Mapping'!$B:$B,0))</f>
        <v>P17</v>
      </c>
      <c r="G185" s="201">
        <f>INDEX('13.Mapping'!$K:$K,MATCH('6.WS-Re-Exp'!$A185,'13.Mapping'!$B:$B,0))</f>
        <v>0</v>
      </c>
      <c r="H185" s="289"/>
      <c r="I185" s="531">
        <v>183</v>
      </c>
    </row>
    <row r="186" spans="1:9" s="33" customFormat="1" hidden="1" x14ac:dyDescent="0.7">
      <c r="A186" s="251" t="s">
        <v>255</v>
      </c>
      <c r="B186" s="212" t="s">
        <v>256</v>
      </c>
      <c r="C186" s="11">
        <f>IFERROR(INDEX('5.งบทดลอง รพ.'!$C:$C,MATCH('6.WS-Re-Exp'!A186,'5.งบทดลอง รพ.'!$A:$A,0)),)</f>
        <v>2049360</v>
      </c>
      <c r="D186" s="6"/>
      <c r="E186" s="201" t="str">
        <f>INDEX('13.Mapping'!$F:$F,MATCH('6.WS-Re-Exp'!$A186,'13.Mapping'!$B:$B,0))</f>
        <v>52030</v>
      </c>
      <c r="F186" s="201" t="str">
        <f>INDEX('13.Mapping'!$D:$D,MATCH('6.WS-Re-Exp'!$A186,'13.Mapping'!$B:$B,0))</f>
        <v>P18</v>
      </c>
      <c r="G186" s="201" t="str">
        <f>INDEX('13.Mapping'!$K:$K,MATCH('6.WS-Re-Exp'!$A186,'13.Mapping'!$B:$B,0))</f>
        <v>PC17</v>
      </c>
      <c r="H186" s="289"/>
      <c r="I186" s="531">
        <v>184</v>
      </c>
    </row>
    <row r="187" spans="1:9" s="33" customFormat="1" hidden="1" x14ac:dyDescent="0.7">
      <c r="A187" s="251" t="s">
        <v>257</v>
      </c>
      <c r="B187" s="212" t="s">
        <v>258</v>
      </c>
      <c r="C187" s="11">
        <f>IFERROR(INDEX('5.งบทดลอง รพ.'!$C:$C,MATCH('6.WS-Re-Exp'!A187,'5.งบทดลอง รพ.'!$A:$A,0)),)</f>
        <v>2587560</v>
      </c>
      <c r="D187" s="6"/>
      <c r="E187" s="201" t="str">
        <f>INDEX('13.Mapping'!$F:$F,MATCH('6.WS-Re-Exp'!$A187,'13.Mapping'!$B:$B,0))</f>
        <v>52030</v>
      </c>
      <c r="F187" s="201" t="str">
        <f>INDEX('13.Mapping'!$D:$D,MATCH('6.WS-Re-Exp'!$A187,'13.Mapping'!$B:$B,0))</f>
        <v>P18</v>
      </c>
      <c r="G187" s="201" t="str">
        <f>INDEX('13.Mapping'!$K:$K,MATCH('6.WS-Re-Exp'!$A187,'13.Mapping'!$B:$B,0))</f>
        <v>PC17</v>
      </c>
      <c r="H187" s="289"/>
      <c r="I187" s="531">
        <v>185</v>
      </c>
    </row>
    <row r="188" spans="1:9" s="33" customFormat="1" hidden="1" x14ac:dyDescent="0.7">
      <c r="A188" s="251" t="s">
        <v>259</v>
      </c>
      <c r="B188" s="212" t="s">
        <v>1000</v>
      </c>
      <c r="C188" s="11">
        <f>IFERROR(INDEX('5.งบทดลอง รพ.'!$C:$C,MATCH('6.WS-Re-Exp'!A188,'5.งบทดลอง รพ.'!$A:$A,0)),)</f>
        <v>0</v>
      </c>
      <c r="D188" s="6"/>
      <c r="E188" s="201" t="str">
        <f>INDEX('13.Mapping'!$F:$F,MATCH('6.WS-Re-Exp'!$A188,'13.Mapping'!$B:$B,0))</f>
        <v>52020</v>
      </c>
      <c r="F188" s="201" t="str">
        <f>INDEX('13.Mapping'!$D:$D,MATCH('6.WS-Re-Exp'!$A188,'13.Mapping'!$B:$B,0))</f>
        <v>P18</v>
      </c>
      <c r="G188" s="201" t="str">
        <f>INDEX('13.Mapping'!$K:$K,MATCH('6.WS-Re-Exp'!$A188,'13.Mapping'!$B:$B,0))</f>
        <v>PC17</v>
      </c>
      <c r="H188" s="289"/>
      <c r="I188" s="531">
        <v>186</v>
      </c>
    </row>
    <row r="189" spans="1:9" s="33" customFormat="1" hidden="1" x14ac:dyDescent="0.7">
      <c r="A189" s="251" t="s">
        <v>260</v>
      </c>
      <c r="B189" s="212" t="s">
        <v>261</v>
      </c>
      <c r="C189" s="11">
        <f>IFERROR(INDEX('5.งบทดลอง รพ.'!$C:$C,MATCH('6.WS-Re-Exp'!A189,'5.งบทดลอง รพ.'!$A:$A,0)),)</f>
        <v>3088680</v>
      </c>
      <c r="D189" s="6"/>
      <c r="E189" s="201" t="str">
        <f>INDEX('13.Mapping'!$F:$F,MATCH('6.WS-Re-Exp'!$A189,'13.Mapping'!$B:$B,0))</f>
        <v>52020</v>
      </c>
      <c r="F189" s="201" t="str">
        <f>INDEX('13.Mapping'!$D:$D,MATCH('6.WS-Re-Exp'!$A189,'13.Mapping'!$B:$B,0))</f>
        <v>P18</v>
      </c>
      <c r="G189" s="201" t="str">
        <f>INDEX('13.Mapping'!$K:$K,MATCH('6.WS-Re-Exp'!$A189,'13.Mapping'!$B:$B,0))</f>
        <v>PC17</v>
      </c>
      <c r="H189" s="289"/>
      <c r="I189" s="531">
        <v>187</v>
      </c>
    </row>
    <row r="190" spans="1:9" hidden="1" x14ac:dyDescent="0.7">
      <c r="A190" s="251" t="s">
        <v>262</v>
      </c>
      <c r="B190" s="212" t="s">
        <v>263</v>
      </c>
      <c r="C190" s="11">
        <f>IFERROR(INDEX('5.งบทดลอง รพ.'!$C:$C,MATCH('6.WS-Re-Exp'!A190,'5.งบทดลอง รพ.'!$A:$A,0)),)</f>
        <v>0</v>
      </c>
      <c r="E190" s="201" t="str">
        <f>INDEX('13.Mapping'!$F:$F,MATCH('6.WS-Re-Exp'!$A190,'13.Mapping'!$B:$B,0))</f>
        <v>52040</v>
      </c>
      <c r="F190" s="201" t="str">
        <f>INDEX('13.Mapping'!$D:$D,MATCH('6.WS-Re-Exp'!$A190,'13.Mapping'!$B:$B,0))</f>
        <v>P18</v>
      </c>
      <c r="G190" s="201" t="str">
        <f>INDEX('13.Mapping'!$K:$K,MATCH('6.WS-Re-Exp'!$A190,'13.Mapping'!$B:$B,0))</f>
        <v>PC17</v>
      </c>
      <c r="H190" s="350"/>
      <c r="I190" s="531">
        <v>188</v>
      </c>
    </row>
    <row r="191" spans="1:9" hidden="1" x14ac:dyDescent="0.7">
      <c r="A191" s="251" t="s">
        <v>264</v>
      </c>
      <c r="B191" s="212" t="s">
        <v>594</v>
      </c>
      <c r="C191" s="11">
        <f>IFERROR(INDEX('5.งบทดลอง รพ.'!$C:$C,MATCH('6.WS-Re-Exp'!A191,'5.งบทดลอง รพ.'!$A:$A,0)),)</f>
        <v>0</v>
      </c>
      <c r="E191" s="201" t="str">
        <f>INDEX('13.Mapping'!$F:$F,MATCH('6.WS-Re-Exp'!$A191,'13.Mapping'!$B:$B,0))</f>
        <v>52040</v>
      </c>
      <c r="F191" s="201" t="str">
        <f>INDEX('13.Mapping'!$D:$D,MATCH('6.WS-Re-Exp'!$A191,'13.Mapping'!$B:$B,0))</f>
        <v>P18</v>
      </c>
      <c r="G191" s="201" t="str">
        <f>INDEX('13.Mapping'!$K:$K,MATCH('6.WS-Re-Exp'!$A191,'13.Mapping'!$B:$B,0))</f>
        <v>PC17</v>
      </c>
      <c r="H191" s="350"/>
      <c r="I191" s="531">
        <v>189</v>
      </c>
    </row>
    <row r="192" spans="1:9" hidden="1" x14ac:dyDescent="0.7">
      <c r="A192" s="251" t="s">
        <v>247</v>
      </c>
      <c r="B192" s="212" t="s">
        <v>1001</v>
      </c>
      <c r="C192" s="11">
        <f>IFERROR(INDEX('5.งบทดลอง รพ.'!$C:$C,MATCH('6.WS-Re-Exp'!A192,'5.งบทดลอง รพ.'!$A:$A,0)),)</f>
        <v>0</v>
      </c>
      <c r="E192" s="201" t="str">
        <f>INDEX('13.Mapping'!$F:$F,MATCH('6.WS-Re-Exp'!$A192,'13.Mapping'!$B:$B,0))</f>
        <v>52010</v>
      </c>
      <c r="F192" s="201" t="str">
        <f>INDEX('13.Mapping'!$D:$D,MATCH('6.WS-Re-Exp'!$A192,'13.Mapping'!$B:$B,0))</f>
        <v>P17</v>
      </c>
      <c r="G192" s="201">
        <f>INDEX('13.Mapping'!$K:$K,MATCH('6.WS-Re-Exp'!$A192,'13.Mapping'!$B:$B,0))</f>
        <v>0</v>
      </c>
      <c r="H192" s="350"/>
      <c r="I192" s="531">
        <v>190</v>
      </c>
    </row>
    <row r="193" spans="1:9" hidden="1" x14ac:dyDescent="0.7">
      <c r="A193" s="251" t="s">
        <v>248</v>
      </c>
      <c r="B193" s="212" t="s">
        <v>1002</v>
      </c>
      <c r="C193" s="11">
        <f>IFERROR(INDEX('5.งบทดลอง รพ.'!$C:$C,MATCH('6.WS-Re-Exp'!A193,'5.งบทดลอง รพ.'!$A:$A,0)),)</f>
        <v>187250</v>
      </c>
      <c r="E193" s="201" t="str">
        <f>INDEX('13.Mapping'!$F:$F,MATCH('6.WS-Re-Exp'!$A193,'13.Mapping'!$B:$B,0))</f>
        <v>52010</v>
      </c>
      <c r="F193" s="201" t="str">
        <f>INDEX('13.Mapping'!$D:$D,MATCH('6.WS-Re-Exp'!$A193,'13.Mapping'!$B:$B,0))</f>
        <v>P17</v>
      </c>
      <c r="G193" s="201">
        <f>INDEX('13.Mapping'!$K:$K,MATCH('6.WS-Re-Exp'!$A193,'13.Mapping'!$B:$B,0))</f>
        <v>0</v>
      </c>
      <c r="H193" s="350"/>
      <c r="I193" s="531">
        <v>191</v>
      </c>
    </row>
    <row r="194" spans="1:9" hidden="1" x14ac:dyDescent="0.7">
      <c r="A194" s="251" t="s">
        <v>249</v>
      </c>
      <c r="B194" s="212" t="s">
        <v>1003</v>
      </c>
      <c r="C194" s="11">
        <f>IFERROR(INDEX('5.งบทดลอง รพ.'!$C:$C,MATCH('6.WS-Re-Exp'!A194,'5.งบทดลอง รพ.'!$A:$A,0)),)</f>
        <v>0</v>
      </c>
      <c r="E194" s="201" t="str">
        <f>INDEX('13.Mapping'!$F:$F,MATCH('6.WS-Re-Exp'!$A194,'13.Mapping'!$B:$B,0))</f>
        <v>52010</v>
      </c>
      <c r="F194" s="201" t="str">
        <f>INDEX('13.Mapping'!$D:$D,MATCH('6.WS-Re-Exp'!$A194,'13.Mapping'!$B:$B,0))</f>
        <v>P17</v>
      </c>
      <c r="G194" s="201">
        <f>INDEX('13.Mapping'!$K:$K,MATCH('6.WS-Re-Exp'!$A194,'13.Mapping'!$B:$B,0))</f>
        <v>0</v>
      </c>
      <c r="H194" s="350"/>
      <c r="I194" s="531">
        <v>192</v>
      </c>
    </row>
    <row r="195" spans="1:9" hidden="1" x14ac:dyDescent="0.7">
      <c r="A195" s="251" t="s">
        <v>250</v>
      </c>
      <c r="B195" s="212" t="s">
        <v>1004</v>
      </c>
      <c r="C195" s="11">
        <f>IFERROR(INDEX('5.งบทดลอง รพ.'!$C:$C,MATCH('6.WS-Re-Exp'!A195,'5.งบทดลอง รพ.'!$A:$A,0)),)</f>
        <v>0</v>
      </c>
      <c r="E195" s="201" t="str">
        <f>INDEX('13.Mapping'!$F:$F,MATCH('6.WS-Re-Exp'!$A195,'13.Mapping'!$B:$B,0))</f>
        <v>52010</v>
      </c>
      <c r="F195" s="201" t="str">
        <f>INDEX('13.Mapping'!$D:$D,MATCH('6.WS-Re-Exp'!$A195,'13.Mapping'!$B:$B,0))</f>
        <v>P17</v>
      </c>
      <c r="G195" s="201">
        <f>INDEX('13.Mapping'!$K:$K,MATCH('6.WS-Re-Exp'!$A195,'13.Mapping'!$B:$B,0))</f>
        <v>0</v>
      </c>
      <c r="H195" s="350"/>
      <c r="I195" s="531">
        <v>193</v>
      </c>
    </row>
    <row r="196" spans="1:9" hidden="1" x14ac:dyDescent="0.7">
      <c r="A196" s="251" t="s">
        <v>251</v>
      </c>
      <c r="B196" s="212" t="s">
        <v>1005</v>
      </c>
      <c r="C196" s="11">
        <f>IFERROR(INDEX('5.งบทดลอง รพ.'!$C:$C,MATCH('6.WS-Re-Exp'!A196,'5.งบทดลอง รพ.'!$A:$A,0)),)</f>
        <v>0</v>
      </c>
      <c r="E196" s="201" t="str">
        <f>INDEX('13.Mapping'!$F:$F,MATCH('6.WS-Re-Exp'!$A196,'13.Mapping'!$B:$B,0))</f>
        <v>52010</v>
      </c>
      <c r="F196" s="201" t="str">
        <f>INDEX('13.Mapping'!$D:$D,MATCH('6.WS-Re-Exp'!$A196,'13.Mapping'!$B:$B,0))</f>
        <v>P17</v>
      </c>
      <c r="G196" s="201">
        <f>INDEX('13.Mapping'!$K:$K,MATCH('6.WS-Re-Exp'!$A196,'13.Mapping'!$B:$B,0))</f>
        <v>0</v>
      </c>
      <c r="H196" s="350"/>
      <c r="I196" s="531">
        <v>194</v>
      </c>
    </row>
    <row r="197" spans="1:9" hidden="1" x14ac:dyDescent="0.7">
      <c r="A197" s="251" t="s">
        <v>252</v>
      </c>
      <c r="B197" s="212" t="s">
        <v>1006</v>
      </c>
      <c r="C197" s="11">
        <f>IFERROR(INDEX('5.งบทดลอง รพ.'!$C:$C,MATCH('6.WS-Re-Exp'!A197,'5.งบทดลอง รพ.'!$A:$A,0)),)</f>
        <v>0</v>
      </c>
      <c r="E197" s="201" t="str">
        <f>INDEX('13.Mapping'!$F:$F,MATCH('6.WS-Re-Exp'!$A197,'13.Mapping'!$B:$B,0))</f>
        <v>52010</v>
      </c>
      <c r="F197" s="201" t="str">
        <f>INDEX('13.Mapping'!$D:$D,MATCH('6.WS-Re-Exp'!$A197,'13.Mapping'!$B:$B,0))</f>
        <v>P17</v>
      </c>
      <c r="G197" s="201">
        <f>INDEX('13.Mapping'!$K:$K,MATCH('6.WS-Re-Exp'!$A197,'13.Mapping'!$B:$B,0))</f>
        <v>0</v>
      </c>
      <c r="H197" s="350"/>
      <c r="I197" s="531">
        <v>195</v>
      </c>
    </row>
    <row r="198" spans="1:9" hidden="1" x14ac:dyDescent="0.7">
      <c r="A198" s="251" t="s">
        <v>253</v>
      </c>
      <c r="B198" s="212" t="s">
        <v>1007</v>
      </c>
      <c r="C198" s="11">
        <f>IFERROR(INDEX('5.งบทดลอง รพ.'!$C:$C,MATCH('6.WS-Re-Exp'!A198,'5.งบทดลอง รพ.'!$A:$A,0)),)</f>
        <v>0</v>
      </c>
      <c r="E198" s="201" t="str">
        <f>INDEX('13.Mapping'!$F:$F,MATCH('6.WS-Re-Exp'!$A198,'13.Mapping'!$B:$B,0))</f>
        <v>52010</v>
      </c>
      <c r="F198" s="201" t="str">
        <f>INDEX('13.Mapping'!$D:$D,MATCH('6.WS-Re-Exp'!$A198,'13.Mapping'!$B:$B,0))</f>
        <v>P17</v>
      </c>
      <c r="G198" s="201">
        <f>INDEX('13.Mapping'!$K:$K,MATCH('6.WS-Re-Exp'!$A198,'13.Mapping'!$B:$B,0))</f>
        <v>0</v>
      </c>
      <c r="H198" s="350"/>
      <c r="I198" s="531">
        <v>196</v>
      </c>
    </row>
    <row r="199" spans="1:9" hidden="1" x14ac:dyDescent="0.7">
      <c r="A199" s="251" t="s">
        <v>254</v>
      </c>
      <c r="B199" s="212" t="s">
        <v>1008</v>
      </c>
      <c r="C199" s="11">
        <f>IFERROR(INDEX('5.งบทดลอง รพ.'!$C:$C,MATCH('6.WS-Re-Exp'!A199,'5.งบทดลอง รพ.'!$A:$A,0)),)</f>
        <v>0</v>
      </c>
      <c r="E199" s="201" t="str">
        <f>INDEX('13.Mapping'!$F:$F,MATCH('6.WS-Re-Exp'!$A199,'13.Mapping'!$B:$B,0))</f>
        <v>52010</v>
      </c>
      <c r="F199" s="201" t="str">
        <f>INDEX('13.Mapping'!$D:$D,MATCH('6.WS-Re-Exp'!$A199,'13.Mapping'!$B:$B,0))</f>
        <v>P17</v>
      </c>
      <c r="G199" s="201">
        <f>INDEX('13.Mapping'!$K:$K,MATCH('6.WS-Re-Exp'!$A199,'13.Mapping'!$B:$B,0))</f>
        <v>0</v>
      </c>
      <c r="H199" s="350"/>
      <c r="I199" s="531">
        <v>197</v>
      </c>
    </row>
    <row r="200" spans="1:9" s="33" customFormat="1" hidden="1" x14ac:dyDescent="0.7">
      <c r="A200" s="251" t="s">
        <v>773</v>
      </c>
      <c r="B200" s="212" t="s">
        <v>774</v>
      </c>
      <c r="C200" s="11">
        <f>IFERROR(INDEX('5.งบทดลอง รพ.'!$C:$C,MATCH('6.WS-Re-Exp'!A200,'5.งบทดลอง รพ.'!$A:$A,0)),)</f>
        <v>131329.03</v>
      </c>
      <c r="D200" s="6"/>
      <c r="E200" s="201" t="str">
        <f>INDEX('13.Mapping'!$F:$F,MATCH('6.WS-Re-Exp'!$A200,'13.Mapping'!$B:$B,0))</f>
        <v>52010</v>
      </c>
      <c r="F200" s="201" t="str">
        <f>INDEX('13.Mapping'!$D:$D,MATCH('6.WS-Re-Exp'!$A200,'13.Mapping'!$B:$B,0))</f>
        <v>P17</v>
      </c>
      <c r="G200" s="201">
        <f>INDEX('13.Mapping'!$K:$K,MATCH('6.WS-Re-Exp'!$A200,'13.Mapping'!$B:$B,0))</f>
        <v>0</v>
      </c>
      <c r="H200" s="289"/>
      <c r="I200" s="531">
        <v>198</v>
      </c>
    </row>
    <row r="201" spans="1:9" hidden="1" x14ac:dyDescent="0.7">
      <c r="A201" s="251" t="s">
        <v>775</v>
      </c>
      <c r="B201" s="212" t="s">
        <v>776</v>
      </c>
      <c r="C201" s="11">
        <f>IFERROR(INDEX('5.งบทดลอง รพ.'!$C:$C,MATCH('6.WS-Re-Exp'!A201,'5.งบทดลอง รพ.'!$A:$A,0)),)</f>
        <v>0</v>
      </c>
      <c r="E201" s="201" t="str">
        <f>INDEX('13.Mapping'!$F:$F,MATCH('6.WS-Re-Exp'!$A201,'13.Mapping'!$B:$B,0))</f>
        <v>52010</v>
      </c>
      <c r="F201" s="201" t="str">
        <f>INDEX('13.Mapping'!$D:$D,MATCH('6.WS-Re-Exp'!$A201,'13.Mapping'!$B:$B,0))</f>
        <v>P17</v>
      </c>
      <c r="G201" s="201">
        <f>INDEX('13.Mapping'!$K:$K,MATCH('6.WS-Re-Exp'!$A201,'13.Mapping'!$B:$B,0))</f>
        <v>0</v>
      </c>
      <c r="H201" s="350"/>
      <c r="I201" s="531">
        <v>199</v>
      </c>
    </row>
    <row r="202" spans="1:9" hidden="1" x14ac:dyDescent="0.7">
      <c r="A202" s="251" t="s">
        <v>777</v>
      </c>
      <c r="B202" s="212" t="s">
        <v>1029</v>
      </c>
      <c r="C202" s="11">
        <f>IFERROR(INDEX('5.งบทดลอง รพ.'!$C:$C,MATCH('6.WS-Re-Exp'!A202,'5.งบทดลอง รพ.'!$A:$A,0)),)</f>
        <v>3497680</v>
      </c>
      <c r="E202" s="201" t="str">
        <f>INDEX('13.Mapping'!$F:$F,MATCH('6.WS-Re-Exp'!$A202,'13.Mapping'!$B:$B,0))</f>
        <v>51070</v>
      </c>
      <c r="F202" s="201" t="str">
        <f>INDEX('13.Mapping'!$D:$D,MATCH('6.WS-Re-Exp'!$A202,'13.Mapping'!$B:$B,0))</f>
        <v>P19</v>
      </c>
      <c r="G202" s="201" t="str">
        <f>INDEX('13.Mapping'!$K:$K,MATCH('6.WS-Re-Exp'!$A202,'13.Mapping'!$B:$B,0))</f>
        <v>PC18</v>
      </c>
      <c r="H202" s="350"/>
      <c r="I202" s="531">
        <v>200</v>
      </c>
    </row>
    <row r="203" spans="1:9" hidden="1" x14ac:dyDescent="0.7">
      <c r="A203" s="251" t="s">
        <v>272</v>
      </c>
      <c r="B203" s="212" t="s">
        <v>5821</v>
      </c>
      <c r="C203" s="11">
        <f>IFERROR(INDEX('5.งบทดลอง รพ.'!$C:$C,MATCH('6.WS-Re-Exp'!A203,'5.งบทดลอง รพ.'!$A:$A,0)),)</f>
        <v>0</v>
      </c>
      <c r="E203" s="201" t="str">
        <f>INDEX('13.Mapping'!$F:$F,MATCH('6.WS-Re-Exp'!$A203,'13.Mapping'!$B:$B,0))</f>
        <v>52060</v>
      </c>
      <c r="F203" s="201" t="str">
        <f>INDEX('13.Mapping'!$D:$D,MATCH('6.WS-Re-Exp'!$A203,'13.Mapping'!$B:$B,0))</f>
        <v>P20</v>
      </c>
      <c r="G203" s="201">
        <f>INDEX('13.Mapping'!$K:$K,MATCH('6.WS-Re-Exp'!$A203,'13.Mapping'!$B:$B,0))</f>
        <v>0</v>
      </c>
      <c r="H203" s="350"/>
      <c r="I203" s="531">
        <v>201</v>
      </c>
    </row>
    <row r="204" spans="1:9" hidden="1" x14ac:dyDescent="0.7">
      <c r="A204" s="251" t="s">
        <v>5823</v>
      </c>
      <c r="B204" s="212" t="s">
        <v>5822</v>
      </c>
      <c r="C204" s="11">
        <f>IFERROR(INDEX('5.งบทดลอง รพ.'!$C:$C,MATCH('6.WS-Re-Exp'!A204,'5.งบทดลอง รพ.'!$A:$A,0)),)</f>
        <v>0</v>
      </c>
      <c r="E204" s="201" t="str">
        <f>INDEX('13.Mapping'!$F:$F,MATCH('6.WS-Re-Exp'!$A204,'13.Mapping'!$B:$B,0))</f>
        <v>52060</v>
      </c>
      <c r="F204" s="201" t="str">
        <f>INDEX('13.Mapping'!$D:$D,MATCH('6.WS-Re-Exp'!$A204,'13.Mapping'!$B:$B,0))</f>
        <v>P20</v>
      </c>
      <c r="G204" s="201" t="str">
        <f>INDEX('13.Mapping'!$K:$K,MATCH('6.WS-Re-Exp'!$A204,'13.Mapping'!$B:$B,0))</f>
        <v>PC19</v>
      </c>
      <c r="H204" s="350"/>
      <c r="I204" s="531">
        <v>202</v>
      </c>
    </row>
    <row r="205" spans="1:9" hidden="1" x14ac:dyDescent="0.7">
      <c r="A205" s="251" t="s">
        <v>273</v>
      </c>
      <c r="B205" s="212" t="s">
        <v>274</v>
      </c>
      <c r="C205" s="11">
        <f>IFERROR(INDEX('5.งบทดลอง รพ.'!$C:$C,MATCH('6.WS-Re-Exp'!A205,'5.งบทดลอง รพ.'!$A:$A,0)),)</f>
        <v>0</v>
      </c>
      <c r="E205" s="201" t="str">
        <f>INDEX('13.Mapping'!$F:$F,MATCH('6.WS-Re-Exp'!$A205,'13.Mapping'!$B:$B,0))</f>
        <v>52060</v>
      </c>
      <c r="F205" s="201" t="str">
        <f>INDEX('13.Mapping'!$D:$D,MATCH('6.WS-Re-Exp'!$A205,'13.Mapping'!$B:$B,0))</f>
        <v>P20</v>
      </c>
      <c r="G205" s="201">
        <f>INDEX('13.Mapping'!$K:$K,MATCH('6.WS-Re-Exp'!$A205,'13.Mapping'!$B:$B,0))</f>
        <v>0</v>
      </c>
      <c r="H205" s="350"/>
      <c r="I205" s="531">
        <v>203</v>
      </c>
    </row>
    <row r="206" spans="1:9" hidden="1" x14ac:dyDescent="0.7">
      <c r="A206" s="251" t="s">
        <v>275</v>
      </c>
      <c r="B206" s="212" t="s">
        <v>276</v>
      </c>
      <c r="C206" s="11">
        <f>IFERROR(INDEX('5.งบทดลอง รพ.'!$C:$C,MATCH('6.WS-Re-Exp'!A206,'5.งบทดลอง รพ.'!$A:$A,0)),)</f>
        <v>239055.37</v>
      </c>
      <c r="E206" s="201" t="str">
        <f>INDEX('13.Mapping'!$F:$F,MATCH('6.WS-Re-Exp'!$A206,'13.Mapping'!$B:$B,0))</f>
        <v>52060</v>
      </c>
      <c r="F206" s="201" t="str">
        <f>INDEX('13.Mapping'!$D:$D,MATCH('6.WS-Re-Exp'!$A206,'13.Mapping'!$B:$B,0))</f>
        <v>P20</v>
      </c>
      <c r="G206" s="201">
        <f>INDEX('13.Mapping'!$K:$K,MATCH('6.WS-Re-Exp'!$A206,'13.Mapping'!$B:$B,0))</f>
        <v>0</v>
      </c>
      <c r="H206" s="350"/>
      <c r="I206" s="531">
        <v>204</v>
      </c>
    </row>
    <row r="207" spans="1:9" hidden="1" x14ac:dyDescent="0.7">
      <c r="A207" s="251" t="s">
        <v>277</v>
      </c>
      <c r="B207" s="212" t="s">
        <v>278</v>
      </c>
      <c r="C207" s="11">
        <f>IFERROR(INDEX('5.งบทดลอง รพ.'!$C:$C,MATCH('6.WS-Re-Exp'!A207,'5.งบทดลอง รพ.'!$A:$A,0)),)</f>
        <v>358583.05</v>
      </c>
      <c r="E207" s="201" t="str">
        <f>INDEX('13.Mapping'!$F:$F,MATCH('6.WS-Re-Exp'!$A207,'13.Mapping'!$B:$B,0))</f>
        <v>52060</v>
      </c>
      <c r="F207" s="201" t="str">
        <f>INDEX('13.Mapping'!$D:$D,MATCH('6.WS-Re-Exp'!$A207,'13.Mapping'!$B:$B,0))</f>
        <v>P20</v>
      </c>
      <c r="G207" s="201">
        <f>INDEX('13.Mapping'!$K:$K,MATCH('6.WS-Re-Exp'!$A207,'13.Mapping'!$B:$B,0))</f>
        <v>0</v>
      </c>
      <c r="H207" s="350"/>
      <c r="I207" s="531">
        <v>205</v>
      </c>
    </row>
    <row r="208" spans="1:9" s="33" customFormat="1" hidden="1" x14ac:dyDescent="0.7">
      <c r="A208" s="251" t="s">
        <v>279</v>
      </c>
      <c r="B208" s="212" t="s">
        <v>280</v>
      </c>
      <c r="C208" s="11">
        <f>IFERROR(INDEX('5.งบทดลอง รพ.'!$C:$C,MATCH('6.WS-Re-Exp'!A208,'5.งบทดลอง รพ.'!$A:$A,0)),)</f>
        <v>0</v>
      </c>
      <c r="D208" s="6"/>
      <c r="E208" s="201" t="str">
        <f>INDEX('13.Mapping'!$F:$F,MATCH('6.WS-Re-Exp'!$A208,'13.Mapping'!$B:$B,0))</f>
        <v>52060</v>
      </c>
      <c r="F208" s="201" t="str">
        <f>INDEX('13.Mapping'!$D:$D,MATCH('6.WS-Re-Exp'!$A208,'13.Mapping'!$B:$B,0))</f>
        <v>P20</v>
      </c>
      <c r="G208" s="201">
        <f>INDEX('13.Mapping'!$K:$K,MATCH('6.WS-Re-Exp'!$A208,'13.Mapping'!$B:$B,0))</f>
        <v>0</v>
      </c>
      <c r="H208" s="289"/>
      <c r="I208" s="531">
        <v>206</v>
      </c>
    </row>
    <row r="209" spans="1:9" hidden="1" x14ac:dyDescent="0.7">
      <c r="A209" s="251" t="s">
        <v>1133</v>
      </c>
      <c r="B209" s="212" t="s">
        <v>1101</v>
      </c>
      <c r="C209" s="11">
        <f>IFERROR(INDEX('5.งบทดลอง รพ.'!$C:$C,MATCH('6.WS-Re-Exp'!A209,'5.งบทดลอง รพ.'!$A:$A,0)),)</f>
        <v>0</v>
      </c>
      <c r="E209" s="201" t="str">
        <f>INDEX('13.Mapping'!$F:$F,MATCH('6.WS-Re-Exp'!$A209,'13.Mapping'!$B:$B,0))</f>
        <v>52060</v>
      </c>
      <c r="F209" s="201" t="str">
        <f>INDEX('13.Mapping'!$D:$D,MATCH('6.WS-Re-Exp'!$A209,'13.Mapping'!$B:$B,0))</f>
        <v>P20</v>
      </c>
      <c r="G209" s="201">
        <f>INDEX('13.Mapping'!$K:$K,MATCH('6.WS-Re-Exp'!$A209,'13.Mapping'!$B:$B,0))</f>
        <v>0</v>
      </c>
      <c r="H209" s="350"/>
      <c r="I209" s="531">
        <v>207</v>
      </c>
    </row>
    <row r="210" spans="1:9" s="33" customFormat="1" hidden="1" x14ac:dyDescent="0.7">
      <c r="A210" s="251" t="s">
        <v>1134</v>
      </c>
      <c r="B210" s="212" t="s">
        <v>1102</v>
      </c>
      <c r="C210" s="11">
        <f>IFERROR(INDEX('5.งบทดลอง รพ.'!$C:$C,MATCH('6.WS-Re-Exp'!A210,'5.งบทดลอง รพ.'!$A:$A,0)),)</f>
        <v>369324</v>
      </c>
      <c r="D210" s="6"/>
      <c r="E210" s="201" t="str">
        <f>INDEX('13.Mapping'!$F:$F,MATCH('6.WS-Re-Exp'!$A210,'13.Mapping'!$B:$B,0))</f>
        <v>52060</v>
      </c>
      <c r="F210" s="201" t="str">
        <f>INDEX('13.Mapping'!$D:$D,MATCH('6.WS-Re-Exp'!$A210,'13.Mapping'!$B:$B,0))</f>
        <v>P20</v>
      </c>
      <c r="G210" s="201" t="str">
        <f>INDEX('13.Mapping'!$K:$K,MATCH('6.WS-Re-Exp'!$A210,'13.Mapping'!$B:$B,0))</f>
        <v>PC19</v>
      </c>
      <c r="H210" s="289"/>
      <c r="I210" s="531">
        <v>208</v>
      </c>
    </row>
    <row r="211" spans="1:9" hidden="1" x14ac:dyDescent="0.7">
      <c r="A211" s="251" t="s">
        <v>281</v>
      </c>
      <c r="B211" s="212" t="s">
        <v>282</v>
      </c>
      <c r="C211" s="11">
        <f>IFERROR(INDEX('5.งบทดลอง รพ.'!$C:$C,MATCH('6.WS-Re-Exp'!A211,'5.งบทดลอง รพ.'!$A:$A,0)),)</f>
        <v>0</v>
      </c>
      <c r="E211" s="201" t="str">
        <f>INDEX('13.Mapping'!$F:$F,MATCH('6.WS-Re-Exp'!$A211,'13.Mapping'!$B:$B,0))</f>
        <v>52060</v>
      </c>
      <c r="F211" s="201" t="str">
        <f>INDEX('13.Mapping'!$D:$D,MATCH('6.WS-Re-Exp'!$A211,'13.Mapping'!$B:$B,0))</f>
        <v>P20</v>
      </c>
      <c r="G211" s="201">
        <f>INDEX('13.Mapping'!$K:$K,MATCH('6.WS-Re-Exp'!$A211,'13.Mapping'!$B:$B,0))</f>
        <v>0</v>
      </c>
      <c r="H211" s="350"/>
      <c r="I211" s="531">
        <v>209</v>
      </c>
    </row>
    <row r="212" spans="1:9" s="33" customFormat="1" hidden="1" x14ac:dyDescent="0.7">
      <c r="A212" s="251" t="s">
        <v>283</v>
      </c>
      <c r="B212" s="212" t="s">
        <v>284</v>
      </c>
      <c r="C212" s="11">
        <f>IFERROR(INDEX('5.งบทดลอง รพ.'!$C:$C,MATCH('6.WS-Re-Exp'!A212,'5.งบทดลอง รพ.'!$A:$A,0)),)</f>
        <v>2400</v>
      </c>
      <c r="D212" s="6"/>
      <c r="E212" s="201" t="str">
        <f>INDEX('13.Mapping'!$F:$F,MATCH('6.WS-Re-Exp'!$A212,'13.Mapping'!$B:$B,0))</f>
        <v>52060</v>
      </c>
      <c r="F212" s="201" t="str">
        <f>INDEX('13.Mapping'!$D:$D,MATCH('6.WS-Re-Exp'!$A212,'13.Mapping'!$B:$B,0))</f>
        <v>P20</v>
      </c>
      <c r="G212" s="201" t="str">
        <f>INDEX('13.Mapping'!$K:$K,MATCH('6.WS-Re-Exp'!$A212,'13.Mapping'!$B:$B,0))</f>
        <v>PC19</v>
      </c>
      <c r="H212" s="289"/>
      <c r="I212" s="531">
        <v>210</v>
      </c>
    </row>
    <row r="213" spans="1:9" hidden="1" x14ac:dyDescent="0.7">
      <c r="A213" s="251" t="s">
        <v>266</v>
      </c>
      <c r="B213" s="212" t="s">
        <v>267</v>
      </c>
      <c r="C213" s="11">
        <f>IFERROR(INDEX('5.งบทดลอง รพ.'!$C:$C,MATCH('6.WS-Re-Exp'!A213,'5.งบทดลอง รพ.'!$A:$A,0)),)</f>
        <v>1193177.42</v>
      </c>
      <c r="E213" s="201" t="str">
        <f>INDEX('13.Mapping'!$F:$F,MATCH('6.WS-Re-Exp'!$A213,'13.Mapping'!$B:$B,0))</f>
        <v>52070</v>
      </c>
      <c r="F213" s="201" t="str">
        <f>INDEX('13.Mapping'!$D:$D,MATCH('6.WS-Re-Exp'!$A213,'13.Mapping'!$B:$B,0))</f>
        <v>P19</v>
      </c>
      <c r="G213" s="201">
        <f>INDEX('13.Mapping'!$K:$K,MATCH('6.WS-Re-Exp'!$A213,'13.Mapping'!$B:$B,0))</f>
        <v>0</v>
      </c>
      <c r="H213" s="350"/>
      <c r="I213" s="531">
        <v>211</v>
      </c>
    </row>
    <row r="214" spans="1:9" hidden="1" x14ac:dyDescent="0.7">
      <c r="A214" s="251" t="s">
        <v>268</v>
      </c>
      <c r="B214" s="212" t="s">
        <v>269</v>
      </c>
      <c r="C214" s="11">
        <f>IFERROR(INDEX('5.งบทดลอง รพ.'!$C:$C,MATCH('6.WS-Re-Exp'!A214,'5.งบทดลอง รพ.'!$A:$A,0)),)</f>
        <v>240000</v>
      </c>
      <c r="E214" s="201" t="str">
        <f>INDEX('13.Mapping'!$F:$F,MATCH('6.WS-Re-Exp'!$A214,'13.Mapping'!$B:$B,0))</f>
        <v>52070</v>
      </c>
      <c r="F214" s="201" t="str">
        <f>INDEX('13.Mapping'!$D:$D,MATCH('6.WS-Re-Exp'!$A214,'13.Mapping'!$B:$B,0))</f>
        <v>P19</v>
      </c>
      <c r="G214" s="201" t="str">
        <f>INDEX('13.Mapping'!$K:$K,MATCH('6.WS-Re-Exp'!$A214,'13.Mapping'!$B:$B,0))</f>
        <v>PC18</v>
      </c>
      <c r="H214" s="350"/>
      <c r="I214" s="531">
        <v>212</v>
      </c>
    </row>
    <row r="215" spans="1:9" hidden="1" x14ac:dyDescent="0.7">
      <c r="A215" s="251" t="s">
        <v>5957</v>
      </c>
      <c r="B215" s="212" t="s">
        <v>782</v>
      </c>
      <c r="C215" s="11">
        <f>IFERROR(INDEX('5.งบทดลอง รพ.'!$C:$C,MATCH('6.WS-Re-Exp'!A215,'5.งบทดลอง รพ.'!$A:$A,0)),)</f>
        <v>0</v>
      </c>
      <c r="E215" s="201" t="str">
        <f>INDEX('13.Mapping'!$F:$F,MATCH('6.WS-Re-Exp'!$A215,'13.Mapping'!$B:$B,0))</f>
        <v>52060</v>
      </c>
      <c r="F215" s="201" t="str">
        <f>INDEX('13.Mapping'!$D:$D,MATCH('6.WS-Re-Exp'!$A215,'13.Mapping'!$B:$B,0))</f>
        <v>P20</v>
      </c>
      <c r="G215" s="201">
        <f>INDEX('13.Mapping'!$K:$K,MATCH('6.WS-Re-Exp'!$A215,'13.Mapping'!$B:$B,0))</f>
        <v>0</v>
      </c>
      <c r="H215" s="350"/>
      <c r="I215" s="531">
        <v>213</v>
      </c>
    </row>
    <row r="216" spans="1:9" hidden="1" x14ac:dyDescent="0.7">
      <c r="A216" s="251" t="s">
        <v>6299</v>
      </c>
      <c r="B216" s="212" t="s">
        <v>784</v>
      </c>
      <c r="C216" s="11">
        <f>IFERROR(INDEX('5.งบทดลอง รพ.'!$C:$C,MATCH('6.WS-Re-Exp'!A216,'5.งบทดลอง รพ.'!$A:$A,0)),)</f>
        <v>0</v>
      </c>
      <c r="E216" s="201" t="str">
        <f>INDEX('13.Mapping'!$F:$F,MATCH('6.WS-Re-Exp'!$A216,'13.Mapping'!$B:$B,0))</f>
        <v>52060</v>
      </c>
      <c r="F216" s="201" t="str">
        <f>INDEX('13.Mapping'!$D:$D,MATCH('6.WS-Re-Exp'!$A216,'13.Mapping'!$B:$B,0))</f>
        <v>P20</v>
      </c>
      <c r="G216" s="201">
        <f>INDEX('13.Mapping'!$K:$K,MATCH('6.WS-Re-Exp'!$A216,'13.Mapping'!$B:$B,0))</f>
        <v>0</v>
      </c>
      <c r="H216" s="350"/>
      <c r="I216" s="531">
        <v>214</v>
      </c>
    </row>
    <row r="217" spans="1:9" s="33" customFormat="1" hidden="1" x14ac:dyDescent="0.7">
      <c r="A217" s="251" t="s">
        <v>780</v>
      </c>
      <c r="B217" s="212" t="s">
        <v>6447</v>
      </c>
      <c r="C217" s="11">
        <f>IFERROR(INDEX('5.งบทดลอง รพ.'!$C:$C,MATCH('6.WS-Re-Exp'!A217,'5.งบทดลอง รพ.'!$A:$A,0)),)</f>
        <v>0</v>
      </c>
      <c r="D217" s="6"/>
      <c r="E217" s="201" t="str">
        <f>INDEX('13.Mapping'!$F:$F,MATCH('6.WS-Re-Exp'!$A217,'13.Mapping'!$B:$B,0))</f>
        <v>52080</v>
      </c>
      <c r="F217" s="201" t="str">
        <f>INDEX('13.Mapping'!$D:$D,MATCH('6.WS-Re-Exp'!$A217,'13.Mapping'!$B:$B,0))</f>
        <v>P19</v>
      </c>
      <c r="G217" s="201" t="str">
        <f>INDEX('13.Mapping'!$K:$K,MATCH('6.WS-Re-Exp'!$A217,'13.Mapping'!$B:$B,0))</f>
        <v>PC18</v>
      </c>
      <c r="H217" s="289"/>
      <c r="I217" s="531">
        <v>215</v>
      </c>
    </row>
    <row r="218" spans="1:9" s="33" customFormat="1" hidden="1" x14ac:dyDescent="0.7">
      <c r="A218" s="251" t="s">
        <v>1138</v>
      </c>
      <c r="B218" s="212" t="s">
        <v>1139</v>
      </c>
      <c r="C218" s="11">
        <f>IFERROR(INDEX('5.งบทดลอง รพ.'!$C:$C,MATCH('6.WS-Re-Exp'!A218,'5.งบทดลอง รพ.'!$A:$A,0)),)</f>
        <v>0</v>
      </c>
      <c r="D218" s="6"/>
      <c r="E218" s="201" t="str">
        <f>INDEX('13.Mapping'!$F:$F,MATCH('6.WS-Re-Exp'!$A218,'13.Mapping'!$B:$B,0))</f>
        <v>52060</v>
      </c>
      <c r="F218" s="201" t="str">
        <f>INDEX('13.Mapping'!$D:$D,MATCH('6.WS-Re-Exp'!$A218,'13.Mapping'!$B:$B,0))</f>
        <v>P20</v>
      </c>
      <c r="G218" s="201">
        <f>INDEX('13.Mapping'!$K:$K,MATCH('6.WS-Re-Exp'!$A218,'13.Mapping'!$B:$B,0))</f>
        <v>0</v>
      </c>
      <c r="H218" s="289"/>
      <c r="I218" s="531">
        <v>216</v>
      </c>
    </row>
    <row r="219" spans="1:9" s="33" customFormat="1" hidden="1" x14ac:dyDescent="0.7">
      <c r="A219" s="251" t="s">
        <v>1140</v>
      </c>
      <c r="B219" s="212" t="s">
        <v>1141</v>
      </c>
      <c r="C219" s="11">
        <f>IFERROR(INDEX('5.งบทดลอง รพ.'!$C:$C,MATCH('6.WS-Re-Exp'!A219,'5.งบทดลอง รพ.'!$A:$A,0)),)</f>
        <v>13800</v>
      </c>
      <c r="D219" s="6"/>
      <c r="E219" s="201" t="str">
        <f>INDEX('13.Mapping'!$F:$F,MATCH('6.WS-Re-Exp'!$A219,'13.Mapping'!$B:$B,0))</f>
        <v>52060</v>
      </c>
      <c r="F219" s="201" t="str">
        <f>INDEX('13.Mapping'!$D:$D,MATCH('6.WS-Re-Exp'!$A219,'13.Mapping'!$B:$B,0))</f>
        <v>P20</v>
      </c>
      <c r="G219" s="201" t="str">
        <f>INDEX('13.Mapping'!$K:$K,MATCH('6.WS-Re-Exp'!$A219,'13.Mapping'!$B:$B,0))</f>
        <v>PC19</v>
      </c>
      <c r="H219" s="289"/>
      <c r="I219" s="531">
        <v>217</v>
      </c>
    </row>
    <row r="220" spans="1:9" s="33" customFormat="1" hidden="1" x14ac:dyDescent="0.7">
      <c r="A220" s="521" t="s">
        <v>6302</v>
      </c>
      <c r="B220" s="521" t="s">
        <v>6303</v>
      </c>
      <c r="C220" s="11">
        <f>IFERROR(INDEX('5.งบทดลอง รพ.'!$C:$C,MATCH('6.WS-Re-Exp'!A220,'5.งบทดลอง รพ.'!$A:$A,0)),)</f>
        <v>0</v>
      </c>
      <c r="D220" s="6"/>
      <c r="E220" s="201" t="str">
        <f>INDEX('13.Mapping'!$F:$F,MATCH('6.WS-Re-Exp'!$A220,'13.Mapping'!$B:$B,0))</f>
        <v>52060</v>
      </c>
      <c r="F220" s="201" t="str">
        <f>INDEX('13.Mapping'!$D:$D,MATCH('6.WS-Re-Exp'!$A220,'13.Mapping'!$B:$B,0))</f>
        <v>P20</v>
      </c>
      <c r="G220" s="201" t="str">
        <f>INDEX('13.Mapping'!$K:$K,MATCH('6.WS-Re-Exp'!$A220,'13.Mapping'!$B:$B,0))</f>
        <v>PC18</v>
      </c>
      <c r="H220" s="289"/>
      <c r="I220" s="531">
        <v>218</v>
      </c>
    </row>
    <row r="221" spans="1:9" s="33" customFormat="1" hidden="1" x14ac:dyDescent="0.7">
      <c r="A221" s="251" t="s">
        <v>285</v>
      </c>
      <c r="B221" s="212" t="s">
        <v>286</v>
      </c>
      <c r="C221" s="11">
        <f>IFERROR(INDEX('5.งบทดลอง รพ.'!$C:$C,MATCH('6.WS-Re-Exp'!A221,'5.งบทดลอง รพ.'!$A:$A,0)),)</f>
        <v>15292</v>
      </c>
      <c r="D221" s="6"/>
      <c r="E221" s="201" t="str">
        <f>INDEX('13.Mapping'!$F:$F,MATCH('6.WS-Re-Exp'!$A221,'13.Mapping'!$B:$B,0))</f>
        <v>52060</v>
      </c>
      <c r="F221" s="201" t="str">
        <f>INDEX('13.Mapping'!$D:$D,MATCH('6.WS-Re-Exp'!$A221,'13.Mapping'!$B:$B,0))</f>
        <v>P20</v>
      </c>
      <c r="G221" s="201">
        <f>INDEX('13.Mapping'!$K:$K,MATCH('6.WS-Re-Exp'!$A221,'13.Mapping'!$B:$B,0))</f>
        <v>0</v>
      </c>
      <c r="H221" s="289"/>
      <c r="I221" s="531">
        <v>219</v>
      </c>
    </row>
    <row r="222" spans="1:9" hidden="1" x14ac:dyDescent="0.7">
      <c r="A222" s="251" t="s">
        <v>287</v>
      </c>
      <c r="B222" s="212" t="s">
        <v>288</v>
      </c>
      <c r="C222" s="11">
        <f>IFERROR(INDEX('5.งบทดลอง รพ.'!$C:$C,MATCH('6.WS-Re-Exp'!A222,'5.งบทดลอง รพ.'!$A:$A,0)),)</f>
        <v>19547</v>
      </c>
      <c r="E222" s="201" t="str">
        <f>INDEX('13.Mapping'!$F:$F,MATCH('6.WS-Re-Exp'!$A222,'13.Mapping'!$B:$B,0))</f>
        <v>52060</v>
      </c>
      <c r="F222" s="201" t="str">
        <f>INDEX('13.Mapping'!$D:$D,MATCH('6.WS-Re-Exp'!$A222,'13.Mapping'!$B:$B,0))</f>
        <v>P20</v>
      </c>
      <c r="G222" s="201">
        <f>INDEX('13.Mapping'!$K:$K,MATCH('6.WS-Re-Exp'!$A222,'13.Mapping'!$B:$B,0))</f>
        <v>0</v>
      </c>
      <c r="H222" s="350"/>
      <c r="I222" s="531">
        <v>220</v>
      </c>
    </row>
    <row r="223" spans="1:9" hidden="1" x14ac:dyDescent="0.7">
      <c r="A223" s="251" t="s">
        <v>785</v>
      </c>
      <c r="B223" s="212" t="s">
        <v>786</v>
      </c>
      <c r="C223" s="11">
        <f>IFERROR(INDEX('5.งบทดลอง รพ.'!$C:$C,MATCH('6.WS-Re-Exp'!A223,'5.งบทดลอง รพ.'!$A:$A,0)),)</f>
        <v>0</v>
      </c>
      <c r="E223" s="201" t="str">
        <f>INDEX('13.Mapping'!$F:$F,MATCH('6.WS-Re-Exp'!$A223,'13.Mapping'!$B:$B,0))</f>
        <v>52060</v>
      </c>
      <c r="F223" s="201" t="str">
        <f>INDEX('13.Mapping'!$D:$D,MATCH('6.WS-Re-Exp'!$A223,'13.Mapping'!$B:$B,0))</f>
        <v>P20</v>
      </c>
      <c r="G223" s="201">
        <f>INDEX('13.Mapping'!$K:$K,MATCH('6.WS-Re-Exp'!$A223,'13.Mapping'!$B:$B,0))</f>
        <v>0</v>
      </c>
      <c r="H223" s="350"/>
      <c r="I223" s="531">
        <v>221</v>
      </c>
    </row>
    <row r="224" spans="1:9" hidden="1" x14ac:dyDescent="0.7">
      <c r="A224" s="251" t="s">
        <v>289</v>
      </c>
      <c r="B224" s="212" t="s">
        <v>290</v>
      </c>
      <c r="C224" s="11">
        <f>IFERROR(INDEX('5.งบทดลอง รพ.'!$C:$C,MATCH('6.WS-Re-Exp'!A224,'5.งบทดลอง รพ.'!$A:$A,0)),)</f>
        <v>0</v>
      </c>
      <c r="E224" s="201" t="str">
        <f>INDEX('13.Mapping'!$F:$F,MATCH('6.WS-Re-Exp'!$A224,'13.Mapping'!$B:$B,0))</f>
        <v>52060</v>
      </c>
      <c r="F224" s="201" t="str">
        <f>INDEX('13.Mapping'!$D:$D,MATCH('6.WS-Re-Exp'!$A224,'13.Mapping'!$B:$B,0))</f>
        <v>P20</v>
      </c>
      <c r="G224" s="201">
        <f>INDEX('13.Mapping'!$K:$K,MATCH('6.WS-Re-Exp'!$A224,'13.Mapping'!$B:$B,0))</f>
        <v>0</v>
      </c>
      <c r="H224" s="350"/>
      <c r="I224" s="531">
        <v>222</v>
      </c>
    </row>
    <row r="225" spans="1:9" hidden="1" x14ac:dyDescent="0.7">
      <c r="A225" s="251" t="s">
        <v>291</v>
      </c>
      <c r="B225" s="212" t="s">
        <v>292</v>
      </c>
      <c r="C225" s="11">
        <f>IFERROR(INDEX('5.งบทดลอง รพ.'!$C:$C,MATCH('6.WS-Re-Exp'!A225,'5.งบทดลอง รพ.'!$A:$A,0)),)</f>
        <v>0</v>
      </c>
      <c r="E225" s="201" t="str">
        <f>INDEX('13.Mapping'!$F:$F,MATCH('6.WS-Re-Exp'!$A225,'13.Mapping'!$B:$B,0))</f>
        <v>52060</v>
      </c>
      <c r="F225" s="201" t="str">
        <f>INDEX('13.Mapping'!$D:$D,MATCH('6.WS-Re-Exp'!$A225,'13.Mapping'!$B:$B,0))</f>
        <v>P20</v>
      </c>
      <c r="G225" s="201">
        <f>INDEX('13.Mapping'!$K:$K,MATCH('6.WS-Re-Exp'!$A225,'13.Mapping'!$B:$B,0))</f>
        <v>0</v>
      </c>
      <c r="H225" s="350"/>
      <c r="I225" s="531">
        <v>223</v>
      </c>
    </row>
    <row r="226" spans="1:9" hidden="1" x14ac:dyDescent="0.7">
      <c r="A226" s="251" t="s">
        <v>293</v>
      </c>
      <c r="B226" s="212" t="s">
        <v>1009</v>
      </c>
      <c r="C226" s="11">
        <f>IFERROR(INDEX('5.งบทดลอง รพ.'!$C:$C,MATCH('6.WS-Re-Exp'!A226,'5.งบทดลอง รพ.'!$A:$A,0)),)</f>
        <v>0</v>
      </c>
      <c r="E226" s="201" t="str">
        <f>INDEX('13.Mapping'!$F:$F,MATCH('6.WS-Re-Exp'!$A226,'13.Mapping'!$B:$B,0))</f>
        <v>52060</v>
      </c>
      <c r="F226" s="201" t="str">
        <f>INDEX('13.Mapping'!$D:$D,MATCH('6.WS-Re-Exp'!$A226,'13.Mapping'!$B:$B,0))</f>
        <v>P20</v>
      </c>
      <c r="G226" s="201">
        <f>INDEX('13.Mapping'!$K:$K,MATCH('6.WS-Re-Exp'!$A226,'13.Mapping'!$B:$B,0))</f>
        <v>0</v>
      </c>
      <c r="H226" s="350"/>
      <c r="I226" s="531">
        <v>224</v>
      </c>
    </row>
    <row r="227" spans="1:9" hidden="1" x14ac:dyDescent="0.7">
      <c r="A227" s="251" t="s">
        <v>294</v>
      </c>
      <c r="B227" s="212" t="s">
        <v>295</v>
      </c>
      <c r="C227" s="11">
        <f>IFERROR(INDEX('5.งบทดลอง รพ.'!$C:$C,MATCH('6.WS-Re-Exp'!A227,'5.งบทดลอง รพ.'!$A:$A,0)),)</f>
        <v>0</v>
      </c>
      <c r="E227" s="201" t="str">
        <f>INDEX('13.Mapping'!$F:$F,MATCH('6.WS-Re-Exp'!$A227,'13.Mapping'!$B:$B,0))</f>
        <v>52060</v>
      </c>
      <c r="F227" s="201" t="str">
        <f>INDEX('13.Mapping'!$D:$D,MATCH('6.WS-Re-Exp'!$A227,'13.Mapping'!$B:$B,0))</f>
        <v>P20</v>
      </c>
      <c r="G227" s="201">
        <f>INDEX('13.Mapping'!$K:$K,MATCH('6.WS-Re-Exp'!$A227,'13.Mapping'!$B:$B,0))</f>
        <v>0</v>
      </c>
      <c r="H227" s="350"/>
      <c r="I227" s="531">
        <v>225</v>
      </c>
    </row>
    <row r="228" spans="1:9" hidden="1" x14ac:dyDescent="0.7">
      <c r="A228" s="251" t="s">
        <v>296</v>
      </c>
      <c r="B228" s="212" t="s">
        <v>297</v>
      </c>
      <c r="C228" s="11">
        <f>IFERROR(INDEX('5.งบทดลอง รพ.'!$C:$C,MATCH('6.WS-Re-Exp'!A228,'5.งบทดลอง รพ.'!$A:$A,0)),)</f>
        <v>0</v>
      </c>
      <c r="E228" s="201" t="str">
        <f>INDEX('13.Mapping'!$F:$F,MATCH('6.WS-Re-Exp'!$A228,'13.Mapping'!$B:$B,0))</f>
        <v>52060</v>
      </c>
      <c r="F228" s="201" t="str">
        <f>INDEX('13.Mapping'!$D:$D,MATCH('6.WS-Re-Exp'!$A228,'13.Mapping'!$B:$B,0))</f>
        <v>P20</v>
      </c>
      <c r="G228" s="201">
        <f>INDEX('13.Mapping'!$K:$K,MATCH('6.WS-Re-Exp'!$A228,'13.Mapping'!$B:$B,0))</f>
        <v>0</v>
      </c>
      <c r="H228" s="350"/>
      <c r="I228" s="531">
        <v>226</v>
      </c>
    </row>
    <row r="229" spans="1:9" hidden="1" x14ac:dyDescent="0.7">
      <c r="A229" s="251" t="s">
        <v>298</v>
      </c>
      <c r="B229" s="212" t="s">
        <v>299</v>
      </c>
      <c r="C229" s="11">
        <f>IFERROR(INDEX('5.งบทดลอง รพ.'!$C:$C,MATCH('6.WS-Re-Exp'!A229,'5.งบทดลอง รพ.'!$A:$A,0)),)</f>
        <v>0</v>
      </c>
      <c r="E229" s="201" t="str">
        <f>INDEX('13.Mapping'!$F:$F,MATCH('6.WS-Re-Exp'!$A229,'13.Mapping'!$B:$B,0))</f>
        <v>52060</v>
      </c>
      <c r="F229" s="201" t="str">
        <f>INDEX('13.Mapping'!$D:$D,MATCH('6.WS-Re-Exp'!$A229,'13.Mapping'!$B:$B,0))</f>
        <v>P20</v>
      </c>
      <c r="G229" s="201">
        <f>INDEX('13.Mapping'!$K:$K,MATCH('6.WS-Re-Exp'!$A229,'13.Mapping'!$B:$B,0))</f>
        <v>0</v>
      </c>
      <c r="H229" s="350"/>
      <c r="I229" s="531">
        <v>227</v>
      </c>
    </row>
    <row r="230" spans="1:9" hidden="1" x14ac:dyDescent="0.7">
      <c r="A230" s="251" t="s">
        <v>300</v>
      </c>
      <c r="B230" s="212" t="s">
        <v>286</v>
      </c>
      <c r="C230" s="11">
        <f>IFERROR(INDEX('5.งบทดลอง รพ.'!$C:$C,MATCH('6.WS-Re-Exp'!A230,'5.งบทดลอง รพ.'!$A:$A,0)),)</f>
        <v>0</v>
      </c>
      <c r="E230" s="201" t="str">
        <f>INDEX('13.Mapping'!$F:$F,MATCH('6.WS-Re-Exp'!$A230,'13.Mapping'!$B:$B,0))</f>
        <v>52060</v>
      </c>
      <c r="F230" s="201" t="str">
        <f>INDEX('13.Mapping'!$D:$D,MATCH('6.WS-Re-Exp'!$A230,'13.Mapping'!$B:$B,0))</f>
        <v>P20</v>
      </c>
      <c r="G230" s="201">
        <f>INDEX('13.Mapping'!$K:$K,MATCH('6.WS-Re-Exp'!$A230,'13.Mapping'!$B:$B,0))</f>
        <v>0</v>
      </c>
      <c r="H230" s="350"/>
      <c r="I230" s="531">
        <v>228</v>
      </c>
    </row>
    <row r="231" spans="1:9" hidden="1" x14ac:dyDescent="0.7">
      <c r="A231" s="251" t="s">
        <v>301</v>
      </c>
      <c r="B231" s="212" t="s">
        <v>302</v>
      </c>
      <c r="C231" s="11">
        <f>IFERROR(INDEX('5.งบทดลอง รพ.'!$C:$C,MATCH('6.WS-Re-Exp'!A231,'5.งบทดลอง รพ.'!$A:$A,0)),)</f>
        <v>0</v>
      </c>
      <c r="E231" s="201" t="str">
        <f>INDEX('13.Mapping'!$F:$F,MATCH('6.WS-Re-Exp'!$A231,'13.Mapping'!$B:$B,0))</f>
        <v>52060</v>
      </c>
      <c r="F231" s="201" t="str">
        <f>INDEX('13.Mapping'!$D:$D,MATCH('6.WS-Re-Exp'!$A231,'13.Mapping'!$B:$B,0))</f>
        <v>P20</v>
      </c>
      <c r="G231" s="201">
        <f>INDEX('13.Mapping'!$K:$K,MATCH('6.WS-Re-Exp'!$A231,'13.Mapping'!$B:$B,0))</f>
        <v>0</v>
      </c>
      <c r="H231" s="350"/>
      <c r="I231" s="531">
        <v>229</v>
      </c>
    </row>
    <row r="232" spans="1:9" hidden="1" x14ac:dyDescent="0.7">
      <c r="A232" s="251" t="s">
        <v>787</v>
      </c>
      <c r="B232" s="212" t="s">
        <v>788</v>
      </c>
      <c r="C232" s="11">
        <f>IFERROR(INDEX('5.งบทดลอง รพ.'!$C:$C,MATCH('6.WS-Re-Exp'!A232,'5.งบทดลอง รพ.'!$A:$A,0)),)</f>
        <v>0</v>
      </c>
      <c r="E232" s="201" t="str">
        <f>INDEX('13.Mapping'!$F:$F,MATCH('6.WS-Re-Exp'!$A232,'13.Mapping'!$B:$B,0))</f>
        <v>52060</v>
      </c>
      <c r="F232" s="201" t="str">
        <f>INDEX('13.Mapping'!$D:$D,MATCH('6.WS-Re-Exp'!$A232,'13.Mapping'!$B:$B,0))</f>
        <v>P20</v>
      </c>
      <c r="G232" s="201">
        <f>INDEX('13.Mapping'!$K:$K,MATCH('6.WS-Re-Exp'!$A232,'13.Mapping'!$B:$B,0))</f>
        <v>0</v>
      </c>
      <c r="H232" s="350"/>
      <c r="I232" s="531">
        <v>230</v>
      </c>
    </row>
    <row r="233" spans="1:9" hidden="1" x14ac:dyDescent="0.7">
      <c r="A233" s="251" t="s">
        <v>303</v>
      </c>
      <c r="B233" s="212" t="s">
        <v>304</v>
      </c>
      <c r="C233" s="11">
        <f>IFERROR(INDEX('5.งบทดลอง รพ.'!$C:$C,MATCH('6.WS-Re-Exp'!A233,'5.งบทดลอง รพ.'!$A:$A,0)),)</f>
        <v>0</v>
      </c>
      <c r="E233" s="201" t="str">
        <f>INDEX('13.Mapping'!$F:$F,MATCH('6.WS-Re-Exp'!$A233,'13.Mapping'!$B:$B,0))</f>
        <v>52060</v>
      </c>
      <c r="F233" s="201" t="str">
        <f>INDEX('13.Mapping'!$D:$D,MATCH('6.WS-Re-Exp'!$A233,'13.Mapping'!$B:$B,0))</f>
        <v>P20</v>
      </c>
      <c r="G233" s="201">
        <f>INDEX('13.Mapping'!$K:$K,MATCH('6.WS-Re-Exp'!$A233,'13.Mapping'!$B:$B,0))</f>
        <v>0</v>
      </c>
      <c r="H233" s="350"/>
      <c r="I233" s="531">
        <v>231</v>
      </c>
    </row>
    <row r="234" spans="1:9" hidden="1" x14ac:dyDescent="0.7">
      <c r="A234" s="251" t="s">
        <v>305</v>
      </c>
      <c r="B234" s="212" t="s">
        <v>306</v>
      </c>
      <c r="C234" s="11">
        <f>IFERROR(INDEX('5.งบทดลอง รพ.'!$C:$C,MATCH('6.WS-Re-Exp'!A234,'5.งบทดลอง รพ.'!$A:$A,0)),)</f>
        <v>0</v>
      </c>
      <c r="E234" s="201" t="str">
        <f>INDEX('13.Mapping'!$F:$F,MATCH('6.WS-Re-Exp'!$A234,'13.Mapping'!$B:$B,0))</f>
        <v>52060</v>
      </c>
      <c r="F234" s="201" t="str">
        <f>INDEX('13.Mapping'!$D:$D,MATCH('6.WS-Re-Exp'!$A234,'13.Mapping'!$B:$B,0))</f>
        <v>P20</v>
      </c>
      <c r="G234" s="201">
        <f>INDEX('13.Mapping'!$K:$K,MATCH('6.WS-Re-Exp'!$A234,'13.Mapping'!$B:$B,0))</f>
        <v>0</v>
      </c>
      <c r="H234" s="350"/>
      <c r="I234" s="531">
        <v>232</v>
      </c>
    </row>
    <row r="235" spans="1:9" hidden="1" x14ac:dyDescent="0.7">
      <c r="A235" s="251" t="s">
        <v>307</v>
      </c>
      <c r="B235" s="212" t="s">
        <v>308</v>
      </c>
      <c r="C235" s="11">
        <f>IFERROR(INDEX('5.งบทดลอง รพ.'!$C:$C,MATCH('6.WS-Re-Exp'!A235,'5.งบทดลอง รพ.'!$A:$A,0)),)</f>
        <v>0</v>
      </c>
      <c r="E235" s="201" t="str">
        <f>INDEX('13.Mapping'!$F:$F,MATCH('6.WS-Re-Exp'!$A235,'13.Mapping'!$B:$B,0))</f>
        <v>52060</v>
      </c>
      <c r="F235" s="201" t="str">
        <f>INDEX('13.Mapping'!$D:$D,MATCH('6.WS-Re-Exp'!$A235,'13.Mapping'!$B:$B,0))</f>
        <v>P20</v>
      </c>
      <c r="G235" s="201" t="str">
        <f>INDEX('13.Mapping'!$K:$K,MATCH('6.WS-Re-Exp'!$A235,'13.Mapping'!$B:$B,0))</f>
        <v>PC19</v>
      </c>
      <c r="H235" s="350"/>
      <c r="I235" s="531">
        <v>233</v>
      </c>
    </row>
    <row r="236" spans="1:9" hidden="1" x14ac:dyDescent="0.7">
      <c r="A236" s="251" t="s">
        <v>309</v>
      </c>
      <c r="B236" s="212" t="s">
        <v>1112</v>
      </c>
      <c r="C236" s="11">
        <f>IFERROR(INDEX('5.งบทดลอง รพ.'!$C:$C,MATCH('6.WS-Re-Exp'!A236,'5.งบทดลอง รพ.'!$A:$A,0)),)</f>
        <v>0</v>
      </c>
      <c r="E236" s="201" t="str">
        <f>INDEX('13.Mapping'!$F:$F,MATCH('6.WS-Re-Exp'!$A236,'13.Mapping'!$B:$B,0))</f>
        <v>52060</v>
      </c>
      <c r="F236" s="201" t="str">
        <f>INDEX('13.Mapping'!$D:$D,MATCH('6.WS-Re-Exp'!$A236,'13.Mapping'!$B:$B,0))</f>
        <v>P20</v>
      </c>
      <c r="G236" s="201" t="str">
        <f>INDEX('13.Mapping'!$K:$K,MATCH('6.WS-Re-Exp'!$A236,'13.Mapping'!$B:$B,0))</f>
        <v>PC19</v>
      </c>
      <c r="H236" s="350"/>
      <c r="I236" s="531">
        <v>234</v>
      </c>
    </row>
    <row r="237" spans="1:9" hidden="1" x14ac:dyDescent="0.7">
      <c r="A237" s="251" t="s">
        <v>1107</v>
      </c>
      <c r="B237" s="212" t="s">
        <v>1110</v>
      </c>
      <c r="C237" s="11">
        <f>IFERROR(INDEX('5.งบทดลอง รพ.'!$C:$C,MATCH('6.WS-Re-Exp'!A237,'5.งบทดลอง รพ.'!$A:$A,0)),)</f>
        <v>300000</v>
      </c>
      <c r="E237" s="201" t="str">
        <f>INDEX('13.Mapping'!$F:$F,MATCH('6.WS-Re-Exp'!$A237,'13.Mapping'!$B:$B,0))</f>
        <v>52060</v>
      </c>
      <c r="F237" s="201" t="str">
        <f>INDEX('13.Mapping'!$D:$D,MATCH('6.WS-Re-Exp'!$A237,'13.Mapping'!$B:$B,0))</f>
        <v>P20</v>
      </c>
      <c r="G237" s="201" t="str">
        <f>INDEX('13.Mapping'!$K:$K,MATCH('6.WS-Re-Exp'!$A237,'13.Mapping'!$B:$B,0))</f>
        <v>PC19</v>
      </c>
      <c r="H237" s="350"/>
      <c r="I237" s="531">
        <v>235</v>
      </c>
    </row>
    <row r="238" spans="1:9" hidden="1" x14ac:dyDescent="0.7">
      <c r="A238" s="251" t="s">
        <v>310</v>
      </c>
      <c r="B238" s="212" t="s">
        <v>1111</v>
      </c>
      <c r="C238" s="11">
        <f>IFERROR(INDEX('5.งบทดลอง รพ.'!$C:$C,MATCH('6.WS-Re-Exp'!A238,'5.งบทดลอง รพ.'!$A:$A,0)),)</f>
        <v>0</v>
      </c>
      <c r="E238" s="201" t="str">
        <f>INDEX('13.Mapping'!$F:$F,MATCH('6.WS-Re-Exp'!$A238,'13.Mapping'!$B:$B,0))</f>
        <v>52060</v>
      </c>
      <c r="F238" s="201" t="str">
        <f>INDEX('13.Mapping'!$D:$D,MATCH('6.WS-Re-Exp'!$A238,'13.Mapping'!$B:$B,0))</f>
        <v>P20</v>
      </c>
      <c r="G238" s="201">
        <f>INDEX('13.Mapping'!$K:$K,MATCH('6.WS-Re-Exp'!$A238,'13.Mapping'!$B:$B,0))</f>
        <v>0</v>
      </c>
      <c r="H238" s="350"/>
      <c r="I238" s="531">
        <v>236</v>
      </c>
    </row>
    <row r="239" spans="1:9" hidden="1" x14ac:dyDescent="0.7">
      <c r="A239" s="251" t="s">
        <v>1108</v>
      </c>
      <c r="B239" s="212" t="s">
        <v>1113</v>
      </c>
      <c r="C239" s="11">
        <f>IFERROR(INDEX('5.งบทดลอง รพ.'!$C:$C,MATCH('6.WS-Re-Exp'!A239,'5.งบทดลอง รพ.'!$A:$A,0)),)</f>
        <v>0</v>
      </c>
      <c r="E239" s="201" t="str">
        <f>INDEX('13.Mapping'!$F:$F,MATCH('6.WS-Re-Exp'!$A239,'13.Mapping'!$B:$B,0))</f>
        <v>52060</v>
      </c>
      <c r="F239" s="201" t="str">
        <f>INDEX('13.Mapping'!$D:$D,MATCH('6.WS-Re-Exp'!$A239,'13.Mapping'!$B:$B,0))</f>
        <v>P20</v>
      </c>
      <c r="G239" s="201" t="str">
        <f>INDEX('13.Mapping'!$K:$K,MATCH('6.WS-Re-Exp'!$A239,'13.Mapping'!$B:$B,0))</f>
        <v>PC19</v>
      </c>
      <c r="H239" s="350"/>
      <c r="I239" s="531">
        <v>237</v>
      </c>
    </row>
    <row r="240" spans="1:9" hidden="1" x14ac:dyDescent="0.7">
      <c r="A240" s="251" t="s">
        <v>311</v>
      </c>
      <c r="B240" s="212" t="s">
        <v>1116</v>
      </c>
      <c r="C240" s="11">
        <f>IFERROR(INDEX('5.งบทดลอง รพ.'!$C:$C,MATCH('6.WS-Re-Exp'!A240,'5.งบทดลอง รพ.'!$A:$A,0)),)</f>
        <v>0</v>
      </c>
      <c r="E240" s="201" t="str">
        <f>INDEX('13.Mapping'!$F:$F,MATCH('6.WS-Re-Exp'!$A240,'13.Mapping'!$B:$B,0))</f>
        <v>51130</v>
      </c>
      <c r="F240" s="201" t="str">
        <f>INDEX('13.Mapping'!$D:$D,MATCH('6.WS-Re-Exp'!$A240,'13.Mapping'!$B:$B,0))</f>
        <v>P21</v>
      </c>
      <c r="G240" s="201">
        <f>INDEX('13.Mapping'!$K:$K,MATCH('6.WS-Re-Exp'!$A240,'13.Mapping'!$B:$B,0))</f>
        <v>0</v>
      </c>
      <c r="H240" s="350"/>
      <c r="I240" s="531">
        <v>238</v>
      </c>
    </row>
    <row r="241" spans="1:9" hidden="1" x14ac:dyDescent="0.7">
      <c r="A241" s="251" t="s">
        <v>1109</v>
      </c>
      <c r="B241" s="212" t="s">
        <v>1117</v>
      </c>
      <c r="C241" s="11">
        <f>IFERROR(INDEX('5.งบทดลอง รพ.'!$C:$C,MATCH('6.WS-Re-Exp'!A241,'5.งบทดลอง รพ.'!$A:$A,0)),)</f>
        <v>10000</v>
      </c>
      <c r="E241" s="201" t="str">
        <f>INDEX('13.Mapping'!$F:$F,MATCH('6.WS-Re-Exp'!$A241,'13.Mapping'!$B:$B,0))</f>
        <v>51130</v>
      </c>
      <c r="F241" s="201" t="str">
        <f>INDEX('13.Mapping'!$D:$D,MATCH('6.WS-Re-Exp'!$A241,'13.Mapping'!$B:$B,0))</f>
        <v>P21</v>
      </c>
      <c r="G241" s="201" t="str">
        <f>INDEX('13.Mapping'!$K:$K,MATCH('6.WS-Re-Exp'!$A241,'13.Mapping'!$B:$B,0))</f>
        <v>PC20</v>
      </c>
      <c r="H241" s="350"/>
      <c r="I241" s="531">
        <v>239</v>
      </c>
    </row>
    <row r="242" spans="1:9" hidden="1" x14ac:dyDescent="0.7">
      <c r="A242" s="251" t="s">
        <v>312</v>
      </c>
      <c r="B242" s="212" t="s">
        <v>1118</v>
      </c>
      <c r="C242" s="11">
        <f>IFERROR(INDEX('5.งบทดลอง รพ.'!$C:$C,MATCH('6.WS-Re-Exp'!A242,'5.งบทดลอง รพ.'!$A:$A,0)),)</f>
        <v>0</v>
      </c>
      <c r="E242" s="201" t="str">
        <f>INDEX('13.Mapping'!$F:$F,MATCH('6.WS-Re-Exp'!$A242,'13.Mapping'!$B:$B,0))</f>
        <v>51130</v>
      </c>
      <c r="F242" s="201" t="str">
        <f>INDEX('13.Mapping'!$D:$D,MATCH('6.WS-Re-Exp'!$A242,'13.Mapping'!$B:$B,0))</f>
        <v>P21</v>
      </c>
      <c r="G242" s="201">
        <f>INDEX('13.Mapping'!$K:$K,MATCH('6.WS-Re-Exp'!$A242,'13.Mapping'!$B:$B,0))</f>
        <v>0</v>
      </c>
      <c r="H242" s="350"/>
      <c r="I242" s="531">
        <v>240</v>
      </c>
    </row>
    <row r="243" spans="1:9" s="33" customFormat="1" hidden="1" x14ac:dyDescent="0.7">
      <c r="A243" s="251" t="s">
        <v>1114</v>
      </c>
      <c r="B243" s="212" t="s">
        <v>1119</v>
      </c>
      <c r="C243" s="11">
        <f>IFERROR(INDEX('5.งบทดลอง รพ.'!$C:$C,MATCH('6.WS-Re-Exp'!A243,'5.งบทดลอง รพ.'!$A:$A,0)),)</f>
        <v>80000</v>
      </c>
      <c r="D243" s="6"/>
      <c r="E243" s="201" t="str">
        <f>INDEX('13.Mapping'!$F:$F,MATCH('6.WS-Re-Exp'!$A243,'13.Mapping'!$B:$B,0))</f>
        <v>51130</v>
      </c>
      <c r="F243" s="201" t="str">
        <f>INDEX('13.Mapping'!$D:$D,MATCH('6.WS-Re-Exp'!$A243,'13.Mapping'!$B:$B,0))</f>
        <v>P21</v>
      </c>
      <c r="G243" s="201" t="str">
        <f>INDEX('13.Mapping'!$K:$K,MATCH('6.WS-Re-Exp'!$A243,'13.Mapping'!$B:$B,0))</f>
        <v>PC20</v>
      </c>
      <c r="H243" s="289"/>
      <c r="I243" s="531">
        <v>241</v>
      </c>
    </row>
    <row r="244" spans="1:9" hidden="1" x14ac:dyDescent="0.7">
      <c r="A244" s="251" t="s">
        <v>313</v>
      </c>
      <c r="B244" s="212" t="s">
        <v>1120</v>
      </c>
      <c r="C244" s="11">
        <f>IFERROR(INDEX('5.งบทดลอง รพ.'!$C:$C,MATCH('6.WS-Re-Exp'!A244,'5.งบทดลอง รพ.'!$A:$A,0)),)</f>
        <v>0</v>
      </c>
      <c r="E244" s="201" t="str">
        <f>INDEX('13.Mapping'!$F:$F,MATCH('6.WS-Re-Exp'!$A244,'13.Mapping'!$B:$B,0))</f>
        <v>51130</v>
      </c>
      <c r="F244" s="201" t="str">
        <f>INDEX('13.Mapping'!$D:$D,MATCH('6.WS-Re-Exp'!$A244,'13.Mapping'!$B:$B,0))</f>
        <v>P21</v>
      </c>
      <c r="G244" s="201">
        <f>INDEX('13.Mapping'!$K:$K,MATCH('6.WS-Re-Exp'!$A244,'13.Mapping'!$B:$B,0))</f>
        <v>0</v>
      </c>
      <c r="H244" s="350"/>
      <c r="I244" s="531">
        <v>242</v>
      </c>
    </row>
    <row r="245" spans="1:9" s="33" customFormat="1" hidden="1" x14ac:dyDescent="0.7">
      <c r="A245" s="251" t="s">
        <v>1115</v>
      </c>
      <c r="B245" s="212" t="s">
        <v>1121</v>
      </c>
      <c r="C245" s="11">
        <f>IFERROR(INDEX('5.งบทดลอง รพ.'!$C:$C,MATCH('6.WS-Re-Exp'!A245,'5.งบทดลอง รพ.'!$A:$A,0)),)</f>
        <v>30932</v>
      </c>
      <c r="D245" s="6"/>
      <c r="E245" s="201" t="str">
        <f>INDEX('13.Mapping'!$F:$F,MATCH('6.WS-Re-Exp'!$A245,'13.Mapping'!$B:$B,0))</f>
        <v>51130</v>
      </c>
      <c r="F245" s="201" t="str">
        <f>INDEX('13.Mapping'!$D:$D,MATCH('6.WS-Re-Exp'!$A245,'13.Mapping'!$B:$B,0))</f>
        <v>P21</v>
      </c>
      <c r="G245" s="201" t="str">
        <f>INDEX('13.Mapping'!$K:$K,MATCH('6.WS-Re-Exp'!$A245,'13.Mapping'!$B:$B,0))</f>
        <v>PC20</v>
      </c>
      <c r="H245" s="289"/>
      <c r="I245" s="531">
        <v>243</v>
      </c>
    </row>
    <row r="246" spans="1:9" s="33" customFormat="1" hidden="1" x14ac:dyDescent="0.7">
      <c r="A246" s="251" t="s">
        <v>789</v>
      </c>
      <c r="B246" s="212" t="s">
        <v>379</v>
      </c>
      <c r="C246" s="11">
        <f>IFERROR(INDEX('5.งบทดลอง รพ.'!$C:$C,MATCH('6.WS-Re-Exp'!A246,'5.งบทดลอง รพ.'!$A:$A,0)),)</f>
        <v>596234</v>
      </c>
      <c r="D246" s="6"/>
      <c r="E246" s="201" t="str">
        <f>INDEX('13.Mapping'!$F:$F,MATCH('6.WS-Re-Exp'!$A246,'13.Mapping'!$B:$B,0))</f>
        <v>51060</v>
      </c>
      <c r="F246" s="201" t="str">
        <f>INDEX('13.Mapping'!$D:$D,MATCH('6.WS-Re-Exp'!$A246,'13.Mapping'!$B:$B,0))</f>
        <v>P23</v>
      </c>
      <c r="G246" s="201">
        <f>INDEX('13.Mapping'!$K:$K,MATCH('6.WS-Re-Exp'!$A246,'13.Mapping'!$B:$B,0))</f>
        <v>0</v>
      </c>
      <c r="H246" s="289"/>
      <c r="I246" s="531">
        <v>244</v>
      </c>
    </row>
    <row r="247" spans="1:9" s="33" customFormat="1" hidden="1" x14ac:dyDescent="0.7">
      <c r="A247" s="251" t="s">
        <v>790</v>
      </c>
      <c r="B247" s="212" t="s">
        <v>380</v>
      </c>
      <c r="C247" s="11">
        <f>IFERROR(INDEX('5.งบทดลอง รพ.'!$C:$C,MATCH('6.WS-Re-Exp'!A247,'5.งบทดลอง รพ.'!$A:$A,0)),)</f>
        <v>128000</v>
      </c>
      <c r="D247" s="6"/>
      <c r="E247" s="201" t="str">
        <f>INDEX('13.Mapping'!$F:$F,MATCH('6.WS-Re-Exp'!$A247,'13.Mapping'!$B:$B,0))</f>
        <v>51060</v>
      </c>
      <c r="F247" s="201" t="str">
        <f>INDEX('13.Mapping'!$D:$D,MATCH('6.WS-Re-Exp'!$A247,'13.Mapping'!$B:$B,0))</f>
        <v>P23</v>
      </c>
      <c r="G247" s="201">
        <f>INDEX('13.Mapping'!$K:$K,MATCH('6.WS-Re-Exp'!$A247,'13.Mapping'!$B:$B,0))</f>
        <v>0</v>
      </c>
      <c r="H247" s="289"/>
      <c r="I247" s="531">
        <v>245</v>
      </c>
    </row>
    <row r="248" spans="1:9" s="33" customFormat="1" hidden="1" x14ac:dyDescent="0.7">
      <c r="A248" s="251" t="s">
        <v>791</v>
      </c>
      <c r="B248" s="212" t="s">
        <v>381</v>
      </c>
      <c r="C248" s="11">
        <f>IFERROR(INDEX('5.งบทดลอง รพ.'!$C:$C,MATCH('6.WS-Re-Exp'!A248,'5.งบทดลอง รพ.'!$A:$A,0)),)</f>
        <v>50410</v>
      </c>
      <c r="D248" s="6"/>
      <c r="E248" s="201" t="str">
        <f>INDEX('13.Mapping'!$F:$F,MATCH('6.WS-Re-Exp'!$A248,'13.Mapping'!$B:$B,0))</f>
        <v>51060</v>
      </c>
      <c r="F248" s="201" t="str">
        <f>INDEX('13.Mapping'!$D:$D,MATCH('6.WS-Re-Exp'!$A248,'13.Mapping'!$B:$B,0))</f>
        <v>P23</v>
      </c>
      <c r="G248" s="201">
        <f>INDEX('13.Mapping'!$K:$K,MATCH('6.WS-Re-Exp'!$A248,'13.Mapping'!$B:$B,0))</f>
        <v>0</v>
      </c>
      <c r="H248" s="289"/>
      <c r="I248" s="531">
        <v>246</v>
      </c>
    </row>
    <row r="249" spans="1:9" s="33" customFormat="1" hidden="1" x14ac:dyDescent="0.7">
      <c r="A249" s="251" t="s">
        <v>792</v>
      </c>
      <c r="B249" s="212" t="s">
        <v>382</v>
      </c>
      <c r="C249" s="11">
        <f>IFERROR(INDEX('5.งบทดลอง รพ.'!$C:$C,MATCH('6.WS-Re-Exp'!A249,'5.งบทดลอง รพ.'!$A:$A,0)),)</f>
        <v>0</v>
      </c>
      <c r="D249" s="6"/>
      <c r="E249" s="201" t="str">
        <f>INDEX('13.Mapping'!$F:$F,MATCH('6.WS-Re-Exp'!$A249,'13.Mapping'!$B:$B,0))</f>
        <v>51060</v>
      </c>
      <c r="F249" s="201" t="str">
        <f>INDEX('13.Mapping'!$D:$D,MATCH('6.WS-Re-Exp'!$A249,'13.Mapping'!$B:$B,0))</f>
        <v>P23</v>
      </c>
      <c r="G249" s="201">
        <f>INDEX('13.Mapping'!$K:$K,MATCH('6.WS-Re-Exp'!$A249,'13.Mapping'!$B:$B,0))</f>
        <v>0</v>
      </c>
      <c r="H249" s="289"/>
      <c r="I249" s="531">
        <v>247</v>
      </c>
    </row>
    <row r="250" spans="1:9" s="33" customFormat="1" hidden="1" x14ac:dyDescent="0.7">
      <c r="A250" s="251" t="s">
        <v>793</v>
      </c>
      <c r="B250" s="212" t="s">
        <v>383</v>
      </c>
      <c r="C250" s="11">
        <f>IFERROR(INDEX('5.งบทดลอง รพ.'!$C:$C,MATCH('6.WS-Re-Exp'!A250,'5.งบทดลอง รพ.'!$A:$A,0)),)</f>
        <v>180975</v>
      </c>
      <c r="D250" s="6"/>
      <c r="E250" s="201" t="str">
        <f>INDEX('13.Mapping'!$F:$F,MATCH('6.WS-Re-Exp'!$A250,'13.Mapping'!$B:$B,0))</f>
        <v>51060</v>
      </c>
      <c r="F250" s="201" t="str">
        <f>INDEX('13.Mapping'!$D:$D,MATCH('6.WS-Re-Exp'!$A250,'13.Mapping'!$B:$B,0))</f>
        <v>P23</v>
      </c>
      <c r="G250" s="201">
        <f>INDEX('13.Mapping'!$K:$K,MATCH('6.WS-Re-Exp'!$A250,'13.Mapping'!$B:$B,0))</f>
        <v>0</v>
      </c>
      <c r="H250" s="289"/>
      <c r="I250" s="531">
        <v>248</v>
      </c>
    </row>
    <row r="251" spans="1:9" s="33" customFormat="1" hidden="1" x14ac:dyDescent="0.7">
      <c r="A251" s="251" t="s">
        <v>794</v>
      </c>
      <c r="B251" s="212" t="s">
        <v>384</v>
      </c>
      <c r="C251" s="11">
        <f>IFERROR(INDEX('5.งบทดลอง รพ.'!$C:$C,MATCH('6.WS-Re-Exp'!A251,'5.งบทดลอง รพ.'!$A:$A,0)),)</f>
        <v>739081.8</v>
      </c>
      <c r="D251" s="6"/>
      <c r="E251" s="201" t="str">
        <f>INDEX('13.Mapping'!$F:$F,MATCH('6.WS-Re-Exp'!$A251,'13.Mapping'!$B:$B,0))</f>
        <v>51060</v>
      </c>
      <c r="F251" s="201" t="str">
        <f>INDEX('13.Mapping'!$D:$D,MATCH('6.WS-Re-Exp'!$A251,'13.Mapping'!$B:$B,0))</f>
        <v>P23</v>
      </c>
      <c r="G251" s="201">
        <f>INDEX('13.Mapping'!$K:$K,MATCH('6.WS-Re-Exp'!$A251,'13.Mapping'!$B:$B,0))</f>
        <v>0</v>
      </c>
      <c r="H251" s="289"/>
      <c r="I251" s="531">
        <v>249</v>
      </c>
    </row>
    <row r="252" spans="1:9" s="33" customFormat="1" hidden="1" x14ac:dyDescent="0.7">
      <c r="A252" s="251" t="s">
        <v>795</v>
      </c>
      <c r="B252" s="212" t="s">
        <v>389</v>
      </c>
      <c r="C252" s="11">
        <f>IFERROR(INDEX('5.งบทดลอง รพ.'!$C:$C,MATCH('6.WS-Re-Exp'!A252,'5.งบทดลอง รพ.'!$A:$A,0)),)</f>
        <v>44425</v>
      </c>
      <c r="D252" s="6"/>
      <c r="E252" s="201" t="str">
        <f>INDEX('13.Mapping'!$F:$F,MATCH('6.WS-Re-Exp'!$A252,'13.Mapping'!$B:$B,0))</f>
        <v>51060</v>
      </c>
      <c r="F252" s="201" t="str">
        <f>INDEX('13.Mapping'!$D:$D,MATCH('6.WS-Re-Exp'!$A252,'13.Mapping'!$B:$B,0))</f>
        <v>P23</v>
      </c>
      <c r="G252" s="201">
        <f>INDEX('13.Mapping'!$K:$K,MATCH('6.WS-Re-Exp'!$A252,'13.Mapping'!$B:$B,0))</f>
        <v>0</v>
      </c>
      <c r="H252" s="289"/>
      <c r="I252" s="531">
        <v>250</v>
      </c>
    </row>
    <row r="253" spans="1:9" s="33" customFormat="1" hidden="1" x14ac:dyDescent="0.7">
      <c r="A253" s="251" t="s">
        <v>2270</v>
      </c>
      <c r="B253" s="212" t="s">
        <v>390</v>
      </c>
      <c r="C253" s="11">
        <f>IFERROR(INDEX('5.งบทดลอง รพ.'!$C:$C,MATCH('6.WS-Re-Exp'!A253,'5.งบทดลอง รพ.'!$A:$A,0)),)</f>
        <v>133950</v>
      </c>
      <c r="D253" s="6"/>
      <c r="E253" s="201" t="str">
        <f>INDEX('13.Mapping'!$F:$F,MATCH('6.WS-Re-Exp'!$A253,'13.Mapping'!$B:$B,0))</f>
        <v>51060</v>
      </c>
      <c r="F253" s="201" t="str">
        <f>INDEX('13.Mapping'!$D:$D,MATCH('6.WS-Re-Exp'!$A253,'13.Mapping'!$B:$B,0))</f>
        <v>P23</v>
      </c>
      <c r="G253" s="201">
        <f>INDEX('13.Mapping'!$K:$K,MATCH('6.WS-Re-Exp'!$A253,'13.Mapping'!$B:$B,0))</f>
        <v>0</v>
      </c>
      <c r="H253" s="289"/>
      <c r="I253" s="531">
        <v>251</v>
      </c>
    </row>
    <row r="254" spans="1:9" s="33" customFormat="1" hidden="1" x14ac:dyDescent="0.7">
      <c r="A254" s="251" t="s">
        <v>796</v>
      </c>
      <c r="B254" s="212" t="s">
        <v>391</v>
      </c>
      <c r="C254" s="11">
        <f>IFERROR(INDEX('5.งบทดลอง รพ.'!$C:$C,MATCH('6.WS-Re-Exp'!A254,'5.งบทดลอง รพ.'!$A:$A,0)),)</f>
        <v>0</v>
      </c>
      <c r="D254" s="6"/>
      <c r="E254" s="201" t="str">
        <f>INDEX('13.Mapping'!$F:$F,MATCH('6.WS-Re-Exp'!$A254,'13.Mapping'!$B:$B,0))</f>
        <v>51060</v>
      </c>
      <c r="F254" s="201" t="str">
        <f>INDEX('13.Mapping'!$D:$D,MATCH('6.WS-Re-Exp'!$A254,'13.Mapping'!$B:$B,0))</f>
        <v>P23</v>
      </c>
      <c r="G254" s="201">
        <f>INDEX('13.Mapping'!$K:$K,MATCH('6.WS-Re-Exp'!$A254,'13.Mapping'!$B:$B,0))</f>
        <v>0</v>
      </c>
      <c r="H254" s="289"/>
      <c r="I254" s="531">
        <v>252</v>
      </c>
    </row>
    <row r="255" spans="1:9" s="33" customFormat="1" hidden="1" x14ac:dyDescent="0.7">
      <c r="A255" s="251" t="s">
        <v>314</v>
      </c>
      <c r="B255" s="212" t="s">
        <v>315</v>
      </c>
      <c r="C255" s="11">
        <f>IFERROR(INDEX('5.งบทดลอง รพ.'!$C:$C,MATCH('6.WS-Re-Exp'!A255,'5.งบทดลอง รพ.'!$A:$A,0)),)</f>
        <v>600000</v>
      </c>
      <c r="D255" s="6"/>
      <c r="E255" s="201" t="str">
        <f>INDEX('13.Mapping'!$F:$F,MATCH('6.WS-Re-Exp'!$A255,'13.Mapping'!$B:$B,0))</f>
        <v>51120</v>
      </c>
      <c r="F255" s="201" t="str">
        <f>INDEX('13.Mapping'!$D:$D,MATCH('6.WS-Re-Exp'!$A255,'13.Mapping'!$B:$B,0))</f>
        <v>P21</v>
      </c>
      <c r="G255" s="201" t="str">
        <f>INDEX('13.Mapping'!$K:$K,MATCH('6.WS-Re-Exp'!$A255,'13.Mapping'!$B:$B,0))</f>
        <v>PC20</v>
      </c>
      <c r="H255" s="289"/>
      <c r="I255" s="531">
        <v>253</v>
      </c>
    </row>
    <row r="256" spans="1:9" s="33" customFormat="1" hidden="1" x14ac:dyDescent="0.7">
      <c r="A256" s="251" t="s">
        <v>316</v>
      </c>
      <c r="B256" s="212" t="s">
        <v>317</v>
      </c>
      <c r="C256" s="11">
        <f>IFERROR(INDEX('5.งบทดลอง รพ.'!$C:$C,MATCH('6.WS-Re-Exp'!A256,'5.งบทดลอง รพ.'!$A:$A,0)),)</f>
        <v>180000</v>
      </c>
      <c r="D256" s="6"/>
      <c r="E256" s="201" t="str">
        <f>INDEX('13.Mapping'!$F:$F,MATCH('6.WS-Re-Exp'!$A256,'13.Mapping'!$B:$B,0))</f>
        <v>51120</v>
      </c>
      <c r="F256" s="201" t="str">
        <f>INDEX('13.Mapping'!$D:$D,MATCH('6.WS-Re-Exp'!$A256,'13.Mapping'!$B:$B,0))</f>
        <v>P21</v>
      </c>
      <c r="G256" s="201" t="str">
        <f>INDEX('13.Mapping'!$K:$K,MATCH('6.WS-Re-Exp'!$A256,'13.Mapping'!$B:$B,0))</f>
        <v>PC20</v>
      </c>
      <c r="H256" s="289"/>
      <c r="I256" s="531">
        <v>254</v>
      </c>
    </row>
    <row r="257" spans="1:9" s="33" customFormat="1" hidden="1" x14ac:dyDescent="0.7">
      <c r="A257" s="251" t="s">
        <v>318</v>
      </c>
      <c r="B257" s="212" t="s">
        <v>319</v>
      </c>
      <c r="C257" s="11">
        <f>IFERROR(INDEX('5.งบทดลอง รพ.'!$C:$C,MATCH('6.WS-Re-Exp'!A257,'5.งบทดลอง รพ.'!$A:$A,0)),)</f>
        <v>360000</v>
      </c>
      <c r="D257" s="6"/>
      <c r="E257" s="201" t="str">
        <f>INDEX('13.Mapping'!$F:$F,MATCH('6.WS-Re-Exp'!$A257,'13.Mapping'!$B:$B,0))</f>
        <v>51120</v>
      </c>
      <c r="F257" s="201" t="str">
        <f>INDEX('13.Mapping'!$D:$D,MATCH('6.WS-Re-Exp'!$A257,'13.Mapping'!$B:$B,0))</f>
        <v>P21</v>
      </c>
      <c r="G257" s="201" t="str">
        <f>INDEX('13.Mapping'!$K:$K,MATCH('6.WS-Re-Exp'!$A257,'13.Mapping'!$B:$B,0))</f>
        <v>PC20</v>
      </c>
      <c r="H257" s="289"/>
      <c r="I257" s="531">
        <v>255</v>
      </c>
    </row>
    <row r="258" spans="1:9" s="33" customFormat="1" hidden="1" x14ac:dyDescent="0.7">
      <c r="A258" s="251" t="s">
        <v>320</v>
      </c>
      <c r="B258" s="212" t="s">
        <v>321</v>
      </c>
      <c r="C258" s="11">
        <f>IFERROR(INDEX('5.งบทดลอง รพ.'!$C:$C,MATCH('6.WS-Re-Exp'!A258,'5.งบทดลอง รพ.'!$A:$A,0)),)</f>
        <v>82550.5</v>
      </c>
      <c r="D258" s="6"/>
      <c r="E258" s="201" t="str">
        <f>INDEX('13.Mapping'!$F:$F,MATCH('6.WS-Re-Exp'!$A258,'13.Mapping'!$B:$B,0))</f>
        <v>51120</v>
      </c>
      <c r="F258" s="201" t="str">
        <f>INDEX('13.Mapping'!$D:$D,MATCH('6.WS-Re-Exp'!$A258,'13.Mapping'!$B:$B,0))</f>
        <v>P21</v>
      </c>
      <c r="G258" s="201" t="str">
        <f>INDEX('13.Mapping'!$K:$K,MATCH('6.WS-Re-Exp'!$A258,'13.Mapping'!$B:$B,0))</f>
        <v>PC20</v>
      </c>
      <c r="H258" s="289"/>
      <c r="I258" s="531">
        <v>256</v>
      </c>
    </row>
    <row r="259" spans="1:9" s="33" customFormat="1" hidden="1" x14ac:dyDescent="0.7">
      <c r="A259" s="251" t="s">
        <v>322</v>
      </c>
      <c r="B259" s="212" t="s">
        <v>323</v>
      </c>
      <c r="C259" s="11">
        <f>IFERROR(INDEX('5.งบทดลอง รพ.'!$C:$C,MATCH('6.WS-Re-Exp'!A259,'5.งบทดลอง รพ.'!$A:$A,0)),)</f>
        <v>0</v>
      </c>
      <c r="D259" s="6"/>
      <c r="E259" s="201" t="str">
        <f>INDEX('13.Mapping'!$F:$F,MATCH('6.WS-Re-Exp'!$A259,'13.Mapping'!$B:$B,0))</f>
        <v>51120</v>
      </c>
      <c r="F259" s="201" t="str">
        <f>INDEX('13.Mapping'!$D:$D,MATCH('6.WS-Re-Exp'!$A259,'13.Mapping'!$B:$B,0))</f>
        <v>P21</v>
      </c>
      <c r="G259" s="201" t="str">
        <f>INDEX('13.Mapping'!$K:$K,MATCH('6.WS-Re-Exp'!$A259,'13.Mapping'!$B:$B,0))</f>
        <v>PC20</v>
      </c>
      <c r="H259" s="289"/>
      <c r="I259" s="531">
        <v>257</v>
      </c>
    </row>
    <row r="260" spans="1:9" s="33" customFormat="1" hidden="1" x14ac:dyDescent="0.7">
      <c r="A260" s="251" t="s">
        <v>324</v>
      </c>
      <c r="B260" s="212" t="s">
        <v>325</v>
      </c>
      <c r="C260" s="11">
        <f>IFERROR(INDEX('5.งบทดลอง รพ.'!$C:$C,MATCH('6.WS-Re-Exp'!A260,'5.งบทดลอง รพ.'!$A:$A,0)),)</f>
        <v>600000</v>
      </c>
      <c r="D260" s="6"/>
      <c r="E260" s="201" t="str">
        <f>INDEX('13.Mapping'!$F:$F,MATCH('6.WS-Re-Exp'!$A260,'13.Mapping'!$B:$B,0))</f>
        <v>51120</v>
      </c>
      <c r="F260" s="201" t="str">
        <f>INDEX('13.Mapping'!$D:$D,MATCH('6.WS-Re-Exp'!$A260,'13.Mapping'!$B:$B,0))</f>
        <v>P21</v>
      </c>
      <c r="G260" s="201" t="str">
        <f>INDEX('13.Mapping'!$K:$K,MATCH('6.WS-Re-Exp'!$A260,'13.Mapping'!$B:$B,0))</f>
        <v>PC20</v>
      </c>
      <c r="H260" s="289"/>
      <c r="I260" s="531">
        <v>258</v>
      </c>
    </row>
    <row r="261" spans="1:9" s="33" customFormat="1" hidden="1" x14ac:dyDescent="0.7">
      <c r="A261" s="251" t="s">
        <v>326</v>
      </c>
      <c r="B261" s="212" t="s">
        <v>327</v>
      </c>
      <c r="C261" s="11">
        <f>IFERROR(INDEX('5.งบทดลอง รพ.'!$C:$C,MATCH('6.WS-Re-Exp'!A261,'5.งบทดลอง รพ.'!$A:$A,0)),)</f>
        <v>120000</v>
      </c>
      <c r="D261" s="6"/>
      <c r="E261" s="201" t="str">
        <f>INDEX('13.Mapping'!$F:$F,MATCH('6.WS-Re-Exp'!$A261,'13.Mapping'!$B:$B,0))</f>
        <v>51120</v>
      </c>
      <c r="F261" s="201" t="str">
        <f>INDEX('13.Mapping'!$D:$D,MATCH('6.WS-Re-Exp'!$A261,'13.Mapping'!$B:$B,0))</f>
        <v>P21</v>
      </c>
      <c r="G261" s="201" t="str">
        <f>INDEX('13.Mapping'!$K:$K,MATCH('6.WS-Re-Exp'!$A261,'13.Mapping'!$B:$B,0))</f>
        <v>PC20</v>
      </c>
      <c r="H261" s="289"/>
      <c r="I261" s="531">
        <v>259</v>
      </c>
    </row>
    <row r="262" spans="1:9" s="33" customFormat="1" hidden="1" x14ac:dyDescent="0.7">
      <c r="A262" s="251" t="s">
        <v>328</v>
      </c>
      <c r="B262" s="212" t="s">
        <v>329</v>
      </c>
      <c r="C262" s="11">
        <f>IFERROR(INDEX('5.งบทดลอง รพ.'!$C:$C,MATCH('6.WS-Re-Exp'!A262,'5.งบทดลอง รพ.'!$A:$A,0)),)</f>
        <v>250000</v>
      </c>
      <c r="D262" s="6"/>
      <c r="E262" s="201" t="str">
        <f>INDEX('13.Mapping'!$F:$F,MATCH('6.WS-Re-Exp'!$A262,'13.Mapping'!$B:$B,0))</f>
        <v>51120</v>
      </c>
      <c r="F262" s="201" t="str">
        <f>INDEX('13.Mapping'!$D:$D,MATCH('6.WS-Re-Exp'!$A262,'13.Mapping'!$B:$B,0))</f>
        <v>P21</v>
      </c>
      <c r="G262" s="201" t="str">
        <f>INDEX('13.Mapping'!$K:$K,MATCH('6.WS-Re-Exp'!$A262,'13.Mapping'!$B:$B,0))</f>
        <v>PC20</v>
      </c>
      <c r="H262" s="289"/>
      <c r="I262" s="531">
        <v>260</v>
      </c>
    </row>
    <row r="263" spans="1:9" s="33" customFormat="1" hidden="1" x14ac:dyDescent="0.7">
      <c r="A263" s="251" t="s">
        <v>330</v>
      </c>
      <c r="B263" s="212" t="s">
        <v>331</v>
      </c>
      <c r="C263" s="11">
        <f>IFERROR(INDEX('5.งบทดลอง รพ.'!$C:$C,MATCH('6.WS-Re-Exp'!A263,'5.งบทดลอง รพ.'!$A:$A,0)),)</f>
        <v>0</v>
      </c>
      <c r="D263" s="6"/>
      <c r="E263" s="201" t="str">
        <f>INDEX('13.Mapping'!$F:$F,MATCH('6.WS-Re-Exp'!$A263,'13.Mapping'!$B:$B,0))</f>
        <v>51100</v>
      </c>
      <c r="F263" s="201" t="str">
        <f>INDEX('13.Mapping'!$D:$D,MATCH('6.WS-Re-Exp'!$A263,'13.Mapping'!$B:$B,0))</f>
        <v>P21</v>
      </c>
      <c r="G263" s="201" t="str">
        <f>INDEX('13.Mapping'!$K:$K,MATCH('6.WS-Re-Exp'!$A263,'13.Mapping'!$B:$B,0))</f>
        <v>PC20</v>
      </c>
      <c r="H263" s="289"/>
      <c r="I263" s="531">
        <v>261</v>
      </c>
    </row>
    <row r="264" spans="1:9" s="33" customFormat="1" hidden="1" x14ac:dyDescent="0.7">
      <c r="A264" s="251" t="s">
        <v>332</v>
      </c>
      <c r="B264" s="212" t="s">
        <v>333</v>
      </c>
      <c r="C264" s="11">
        <f>IFERROR(INDEX('5.งบทดลอง รพ.'!$C:$C,MATCH('6.WS-Re-Exp'!A264,'5.งบทดลอง รพ.'!$A:$A,0)),)</f>
        <v>0</v>
      </c>
      <c r="D264" s="6"/>
      <c r="E264" s="201" t="str">
        <f>INDEX('13.Mapping'!$F:$F,MATCH('6.WS-Re-Exp'!$A264,'13.Mapping'!$B:$B,0))</f>
        <v>51100</v>
      </c>
      <c r="F264" s="201" t="str">
        <f>INDEX('13.Mapping'!$D:$D,MATCH('6.WS-Re-Exp'!$A264,'13.Mapping'!$B:$B,0))</f>
        <v>P21</v>
      </c>
      <c r="G264" s="201" t="str">
        <f>INDEX('13.Mapping'!$K:$K,MATCH('6.WS-Re-Exp'!$A264,'13.Mapping'!$B:$B,0))</f>
        <v>PC20</v>
      </c>
      <c r="H264" s="289"/>
      <c r="I264" s="531">
        <v>262</v>
      </c>
    </row>
    <row r="265" spans="1:9" s="33" customFormat="1" hidden="1" x14ac:dyDescent="0.7">
      <c r="A265" s="251" t="s">
        <v>334</v>
      </c>
      <c r="B265" s="212" t="s">
        <v>1010</v>
      </c>
      <c r="C265" s="11">
        <f>IFERROR(INDEX('5.งบทดลอง รพ.'!$C:$C,MATCH('6.WS-Re-Exp'!A265,'5.งบทดลอง รพ.'!$A:$A,0)),)</f>
        <v>200000</v>
      </c>
      <c r="D265" s="6"/>
      <c r="E265" s="201" t="str">
        <f>INDEX('13.Mapping'!$F:$F,MATCH('6.WS-Re-Exp'!$A265,'13.Mapping'!$B:$B,0))</f>
        <v>51100</v>
      </c>
      <c r="F265" s="201" t="str">
        <f>INDEX('13.Mapping'!$D:$D,MATCH('6.WS-Re-Exp'!$A265,'13.Mapping'!$B:$B,0))</f>
        <v>P21</v>
      </c>
      <c r="G265" s="201" t="str">
        <f>INDEX('13.Mapping'!$K:$K,MATCH('6.WS-Re-Exp'!$A265,'13.Mapping'!$B:$B,0))</f>
        <v>PC20</v>
      </c>
      <c r="H265" s="289"/>
      <c r="I265" s="531">
        <v>263</v>
      </c>
    </row>
    <row r="266" spans="1:9" s="33" customFormat="1" hidden="1" x14ac:dyDescent="0.7">
      <c r="A266" s="251" t="s">
        <v>335</v>
      </c>
      <c r="B266" s="212" t="s">
        <v>336</v>
      </c>
      <c r="C266" s="11">
        <f>IFERROR(INDEX('5.งบทดลอง รพ.'!$C:$C,MATCH('6.WS-Re-Exp'!A266,'5.งบทดลอง รพ.'!$A:$A,0)),)</f>
        <v>180000</v>
      </c>
      <c r="D266" s="6"/>
      <c r="E266" s="201" t="str">
        <f>INDEX('13.Mapping'!$F:$F,MATCH('6.WS-Re-Exp'!$A266,'13.Mapping'!$B:$B,0))</f>
        <v>51100</v>
      </c>
      <c r="F266" s="201" t="str">
        <f>INDEX('13.Mapping'!$D:$D,MATCH('6.WS-Re-Exp'!$A266,'13.Mapping'!$B:$B,0))</f>
        <v>P21</v>
      </c>
      <c r="G266" s="201" t="str">
        <f>INDEX('13.Mapping'!$K:$K,MATCH('6.WS-Re-Exp'!$A266,'13.Mapping'!$B:$B,0))</f>
        <v>PC20</v>
      </c>
      <c r="H266" s="289"/>
      <c r="I266" s="531">
        <v>264</v>
      </c>
    </row>
    <row r="267" spans="1:9" s="33" customFormat="1" hidden="1" x14ac:dyDescent="0.7">
      <c r="A267" s="251" t="s">
        <v>337</v>
      </c>
      <c r="B267" s="212" t="s">
        <v>338</v>
      </c>
      <c r="C267" s="11">
        <f>IFERROR(INDEX('5.งบทดลอง รพ.'!$C:$C,MATCH('6.WS-Re-Exp'!A267,'5.งบทดลอง รพ.'!$A:$A,0)),)</f>
        <v>50000</v>
      </c>
      <c r="D267" s="6"/>
      <c r="E267" s="201" t="str">
        <f>INDEX('13.Mapping'!$F:$F,MATCH('6.WS-Re-Exp'!$A267,'13.Mapping'!$B:$B,0))</f>
        <v>51100</v>
      </c>
      <c r="F267" s="201" t="str">
        <f>INDEX('13.Mapping'!$D:$D,MATCH('6.WS-Re-Exp'!$A267,'13.Mapping'!$B:$B,0))</f>
        <v>P21</v>
      </c>
      <c r="G267" s="201" t="str">
        <f>INDEX('13.Mapping'!$K:$K,MATCH('6.WS-Re-Exp'!$A267,'13.Mapping'!$B:$B,0))</f>
        <v>PC20</v>
      </c>
      <c r="H267" s="289"/>
      <c r="I267" s="531">
        <v>265</v>
      </c>
    </row>
    <row r="268" spans="1:9" s="33" customFormat="1" hidden="1" x14ac:dyDescent="0.7">
      <c r="A268" s="251" t="s">
        <v>797</v>
      </c>
      <c r="B268" s="212" t="s">
        <v>798</v>
      </c>
      <c r="C268" s="11">
        <f>IFERROR(INDEX('5.งบทดลอง รพ.'!$C:$C,MATCH('6.WS-Re-Exp'!A268,'5.งบทดลอง รพ.'!$A:$A,0)),)</f>
        <v>792000</v>
      </c>
      <c r="D268" s="6"/>
      <c r="E268" s="201" t="str">
        <f>INDEX('13.Mapping'!$F:$F,MATCH('6.WS-Re-Exp'!$A268,'13.Mapping'!$B:$B,0))</f>
        <v>51060</v>
      </c>
      <c r="F268" s="201" t="str">
        <f>INDEX('13.Mapping'!$D:$D,MATCH('6.WS-Re-Exp'!$A268,'13.Mapping'!$B:$B,0))</f>
        <v>P23</v>
      </c>
      <c r="G268" s="201">
        <f>INDEX('13.Mapping'!$K:$K,MATCH('6.WS-Re-Exp'!$A268,'13.Mapping'!$B:$B,0))</f>
        <v>0</v>
      </c>
      <c r="H268" s="289"/>
      <c r="I268" s="531">
        <v>266</v>
      </c>
    </row>
    <row r="269" spans="1:9" s="33" customFormat="1" hidden="1" x14ac:dyDescent="0.7">
      <c r="A269" s="251" t="s">
        <v>339</v>
      </c>
      <c r="B269" s="212" t="s">
        <v>340</v>
      </c>
      <c r="C269" s="11">
        <f>IFERROR(INDEX('5.งบทดลอง รพ.'!$C:$C,MATCH('6.WS-Re-Exp'!A269,'5.งบทดลอง รพ.'!$A:$A,0)),)</f>
        <v>0</v>
      </c>
      <c r="D269" s="6"/>
      <c r="E269" s="201" t="str">
        <f>INDEX('13.Mapping'!$F:$F,MATCH('6.WS-Re-Exp'!$A269,'13.Mapping'!$B:$B,0))</f>
        <v>51110</v>
      </c>
      <c r="F269" s="201" t="str">
        <f>INDEX('13.Mapping'!$D:$D,MATCH('6.WS-Re-Exp'!$A269,'13.Mapping'!$B:$B,0))</f>
        <v>P21</v>
      </c>
      <c r="G269" s="201" t="str">
        <f>INDEX('13.Mapping'!$K:$K,MATCH('6.WS-Re-Exp'!$A269,'13.Mapping'!$B:$B,0))</f>
        <v>PC20</v>
      </c>
      <c r="H269" s="289"/>
      <c r="I269" s="531">
        <v>267</v>
      </c>
    </row>
    <row r="270" spans="1:9" s="33" customFormat="1" hidden="1" x14ac:dyDescent="0.7">
      <c r="A270" s="251" t="s">
        <v>341</v>
      </c>
      <c r="B270" s="212" t="s">
        <v>342</v>
      </c>
      <c r="C270" s="11">
        <f>IFERROR(INDEX('5.งบทดลอง รพ.'!$C:$C,MATCH('6.WS-Re-Exp'!A270,'5.งบทดลอง รพ.'!$A:$A,0)),)</f>
        <v>720000</v>
      </c>
      <c r="D270" s="6"/>
      <c r="E270" s="201" t="str">
        <f>INDEX('13.Mapping'!$F:$F,MATCH('6.WS-Re-Exp'!$A270,'13.Mapping'!$B:$B,0))</f>
        <v>51110</v>
      </c>
      <c r="F270" s="201" t="str">
        <f>INDEX('13.Mapping'!$D:$D,MATCH('6.WS-Re-Exp'!$A270,'13.Mapping'!$B:$B,0))</f>
        <v>P21</v>
      </c>
      <c r="G270" s="201" t="str">
        <f>INDEX('13.Mapping'!$K:$K,MATCH('6.WS-Re-Exp'!$A270,'13.Mapping'!$B:$B,0))</f>
        <v>PC20</v>
      </c>
      <c r="H270" s="289"/>
      <c r="I270" s="531">
        <v>268</v>
      </c>
    </row>
    <row r="271" spans="1:9" s="33" customFormat="1" hidden="1" x14ac:dyDescent="0.7">
      <c r="A271" s="251" t="s">
        <v>343</v>
      </c>
      <c r="B271" s="212" t="s">
        <v>344</v>
      </c>
      <c r="C271" s="11">
        <f>IFERROR(INDEX('5.งบทดลอง รพ.'!$C:$C,MATCH('6.WS-Re-Exp'!A271,'5.งบทดลอง รพ.'!$A:$A,0)),)</f>
        <v>0</v>
      </c>
      <c r="D271" s="6"/>
      <c r="E271" s="201" t="str">
        <f>INDEX('13.Mapping'!$F:$F,MATCH('6.WS-Re-Exp'!$A271,'13.Mapping'!$B:$B,0))</f>
        <v>51110</v>
      </c>
      <c r="F271" s="201" t="str">
        <f>INDEX('13.Mapping'!$D:$D,MATCH('6.WS-Re-Exp'!$A271,'13.Mapping'!$B:$B,0))</f>
        <v>P21</v>
      </c>
      <c r="G271" s="201" t="str">
        <f>INDEX('13.Mapping'!$K:$K,MATCH('6.WS-Re-Exp'!$A271,'13.Mapping'!$B:$B,0))</f>
        <v>PC20</v>
      </c>
      <c r="H271" s="289"/>
      <c r="I271" s="531">
        <v>269</v>
      </c>
    </row>
    <row r="272" spans="1:9" s="33" customFormat="1" hidden="1" x14ac:dyDescent="0.7">
      <c r="A272" s="251" t="s">
        <v>345</v>
      </c>
      <c r="B272" s="212" t="s">
        <v>346</v>
      </c>
      <c r="C272" s="11">
        <f>IFERROR(INDEX('5.งบทดลอง รพ.'!$C:$C,MATCH('6.WS-Re-Exp'!A272,'5.งบทดลอง รพ.'!$A:$A,0)),)</f>
        <v>0</v>
      </c>
      <c r="D272" s="6"/>
      <c r="E272" s="201" t="str">
        <f>INDEX('13.Mapping'!$F:$F,MATCH('6.WS-Re-Exp'!$A272,'13.Mapping'!$B:$B,0))</f>
        <v>51110</v>
      </c>
      <c r="F272" s="201" t="str">
        <f>INDEX('13.Mapping'!$D:$D,MATCH('6.WS-Re-Exp'!$A272,'13.Mapping'!$B:$B,0))</f>
        <v>P21</v>
      </c>
      <c r="G272" s="201" t="str">
        <f>INDEX('13.Mapping'!$K:$K,MATCH('6.WS-Re-Exp'!$A272,'13.Mapping'!$B:$B,0))</f>
        <v>PC20</v>
      </c>
      <c r="H272" s="289"/>
      <c r="I272" s="531">
        <v>270</v>
      </c>
    </row>
    <row r="273" spans="1:9" s="33" customFormat="1" hidden="1" x14ac:dyDescent="0.7">
      <c r="A273" s="251" t="s">
        <v>347</v>
      </c>
      <c r="B273" s="212" t="s">
        <v>348</v>
      </c>
      <c r="C273" s="11">
        <f>IFERROR(INDEX('5.งบทดลอง รพ.'!$C:$C,MATCH('6.WS-Re-Exp'!A273,'5.งบทดลอง รพ.'!$A:$A,0)),)</f>
        <v>0</v>
      </c>
      <c r="D273" s="6"/>
      <c r="E273" s="201" t="str">
        <f>INDEX('13.Mapping'!$F:$F,MATCH('6.WS-Re-Exp'!$A273,'13.Mapping'!$B:$B,0))</f>
        <v>51110</v>
      </c>
      <c r="F273" s="201" t="str">
        <f>INDEX('13.Mapping'!$D:$D,MATCH('6.WS-Re-Exp'!$A273,'13.Mapping'!$B:$B,0))</f>
        <v>P21</v>
      </c>
      <c r="G273" s="201" t="str">
        <f>INDEX('13.Mapping'!$K:$K,MATCH('6.WS-Re-Exp'!$A273,'13.Mapping'!$B:$B,0))</f>
        <v>PC20</v>
      </c>
      <c r="H273" s="289"/>
      <c r="I273" s="531">
        <v>271</v>
      </c>
    </row>
    <row r="274" spans="1:9" s="33" customFormat="1" hidden="1" x14ac:dyDescent="0.7">
      <c r="A274" s="251" t="s">
        <v>349</v>
      </c>
      <c r="B274" s="212" t="s">
        <v>350</v>
      </c>
      <c r="C274" s="11">
        <f>IFERROR(INDEX('5.งบทดลอง รพ.'!$C:$C,MATCH('6.WS-Re-Exp'!A274,'5.งบทดลอง รพ.'!$A:$A,0)),)</f>
        <v>300000</v>
      </c>
      <c r="D274" s="6"/>
      <c r="E274" s="201" t="str">
        <f>INDEX('13.Mapping'!$F:$F,MATCH('6.WS-Re-Exp'!$A274,'13.Mapping'!$B:$B,0))</f>
        <v>51110</v>
      </c>
      <c r="F274" s="201" t="str">
        <f>INDEX('13.Mapping'!$D:$D,MATCH('6.WS-Re-Exp'!$A274,'13.Mapping'!$B:$B,0))</f>
        <v>P21</v>
      </c>
      <c r="G274" s="201" t="str">
        <f>INDEX('13.Mapping'!$K:$K,MATCH('6.WS-Re-Exp'!$A274,'13.Mapping'!$B:$B,0))</f>
        <v>PC20</v>
      </c>
      <c r="H274" s="289"/>
      <c r="I274" s="531">
        <v>272</v>
      </c>
    </row>
    <row r="275" spans="1:9" s="33" customFormat="1" hidden="1" x14ac:dyDescent="0.7">
      <c r="A275" s="251" t="s">
        <v>351</v>
      </c>
      <c r="B275" s="212" t="s">
        <v>1011</v>
      </c>
      <c r="C275" s="11">
        <f>IFERROR(INDEX('5.งบทดลอง รพ.'!$C:$C,MATCH('6.WS-Re-Exp'!A275,'5.งบทดลอง รพ.'!$A:$A,0)),)</f>
        <v>1498116.15</v>
      </c>
      <c r="D275" s="6"/>
      <c r="E275" s="201" t="str">
        <f>INDEX('13.Mapping'!$F:$F,MATCH('6.WS-Re-Exp'!$A275,'13.Mapping'!$B:$B,0))</f>
        <v>51090</v>
      </c>
      <c r="F275" s="201" t="str">
        <f>INDEX('13.Mapping'!$D:$D,MATCH('6.WS-Re-Exp'!$A275,'13.Mapping'!$B:$B,0))</f>
        <v>P21</v>
      </c>
      <c r="G275" s="201" t="str">
        <f>INDEX('13.Mapping'!$K:$K,MATCH('6.WS-Re-Exp'!$A275,'13.Mapping'!$B:$B,0))</f>
        <v>PC20</v>
      </c>
      <c r="H275" s="289"/>
      <c r="I275" s="531">
        <v>273</v>
      </c>
    </row>
    <row r="276" spans="1:9" s="33" customFormat="1" hidden="1" x14ac:dyDescent="0.7">
      <c r="A276" s="251" t="s">
        <v>353</v>
      </c>
      <c r="B276" s="212" t="s">
        <v>1012</v>
      </c>
      <c r="C276" s="11">
        <f>IFERROR(INDEX('5.งบทดลอง รพ.'!$C:$C,MATCH('6.WS-Re-Exp'!A276,'5.งบทดลอง รพ.'!$A:$A,0)),)</f>
        <v>2500000</v>
      </c>
      <c r="D276" s="6"/>
      <c r="E276" s="201" t="str">
        <f>INDEX('13.Mapping'!$F:$F,MATCH('6.WS-Re-Exp'!$A276,'13.Mapping'!$B:$B,0))</f>
        <v>51110</v>
      </c>
      <c r="F276" s="201" t="str">
        <f>INDEX('13.Mapping'!$D:$D,MATCH('6.WS-Re-Exp'!$A276,'13.Mapping'!$B:$B,0))</f>
        <v>P21</v>
      </c>
      <c r="G276" s="201" t="str">
        <f>INDEX('13.Mapping'!$K:$K,MATCH('6.WS-Re-Exp'!$A276,'13.Mapping'!$B:$B,0))</f>
        <v>PC20</v>
      </c>
      <c r="H276" s="289"/>
      <c r="I276" s="531">
        <v>274</v>
      </c>
    </row>
    <row r="277" spans="1:9" s="33" customFormat="1" hidden="1" x14ac:dyDescent="0.7">
      <c r="A277" s="251" t="s">
        <v>354</v>
      </c>
      <c r="B277" s="212" t="s">
        <v>355</v>
      </c>
      <c r="C277" s="11">
        <f>IFERROR(INDEX('5.งบทดลอง รพ.'!$C:$C,MATCH('6.WS-Re-Exp'!A277,'5.งบทดลอง รพ.'!$A:$A,0)),)</f>
        <v>444000</v>
      </c>
      <c r="D277" s="6"/>
      <c r="E277" s="201" t="str">
        <f>INDEX('13.Mapping'!$F:$F,MATCH('6.WS-Re-Exp'!$A277,'13.Mapping'!$B:$B,0))</f>
        <v>51090</v>
      </c>
      <c r="F277" s="201" t="str">
        <f>INDEX('13.Mapping'!$D:$D,MATCH('6.WS-Re-Exp'!$A277,'13.Mapping'!$B:$B,0))</f>
        <v>P21</v>
      </c>
      <c r="G277" s="201" t="str">
        <f>INDEX('13.Mapping'!$K:$K,MATCH('6.WS-Re-Exp'!$A277,'13.Mapping'!$B:$B,0))</f>
        <v>PC20</v>
      </c>
      <c r="H277" s="289"/>
      <c r="I277" s="531">
        <v>275</v>
      </c>
    </row>
    <row r="278" spans="1:9" s="33" customFormat="1" hidden="1" x14ac:dyDescent="0.7">
      <c r="A278" s="251" t="s">
        <v>356</v>
      </c>
      <c r="B278" s="212" t="s">
        <v>357</v>
      </c>
      <c r="C278" s="11">
        <f>IFERROR(INDEX('5.งบทดลอง รพ.'!$C:$C,MATCH('6.WS-Re-Exp'!A278,'5.งบทดลอง รพ.'!$A:$A,0)),)</f>
        <v>400000</v>
      </c>
      <c r="D278" s="6"/>
      <c r="E278" s="201" t="str">
        <f>INDEX('13.Mapping'!$F:$F,MATCH('6.WS-Re-Exp'!$A278,'13.Mapping'!$B:$B,0))</f>
        <v>51090</v>
      </c>
      <c r="F278" s="201" t="str">
        <f>INDEX('13.Mapping'!$D:$D,MATCH('6.WS-Re-Exp'!$A278,'13.Mapping'!$B:$B,0))</f>
        <v>P21</v>
      </c>
      <c r="G278" s="201" t="str">
        <f>INDEX('13.Mapping'!$K:$K,MATCH('6.WS-Re-Exp'!$A278,'13.Mapping'!$B:$B,0))</f>
        <v>PC20</v>
      </c>
      <c r="H278" s="289"/>
      <c r="I278" s="531">
        <v>276</v>
      </c>
    </row>
    <row r="279" spans="1:9" s="33" customFormat="1" hidden="1" x14ac:dyDescent="0.7">
      <c r="A279" s="251" t="s">
        <v>358</v>
      </c>
      <c r="B279" s="212" t="s">
        <v>359</v>
      </c>
      <c r="C279" s="11">
        <f>IFERROR(INDEX('5.งบทดลอง รพ.'!$C:$C,MATCH('6.WS-Re-Exp'!A279,'5.งบทดลอง รพ.'!$A:$A,0)),)</f>
        <v>0</v>
      </c>
      <c r="D279" s="6"/>
      <c r="E279" s="201" t="str">
        <f>INDEX('13.Mapping'!$F:$F,MATCH('6.WS-Re-Exp'!$A279,'13.Mapping'!$B:$B,0))</f>
        <v>51130</v>
      </c>
      <c r="F279" s="201" t="str">
        <f>INDEX('13.Mapping'!$D:$D,MATCH('6.WS-Re-Exp'!$A279,'13.Mapping'!$B:$B,0))</f>
        <v>P21</v>
      </c>
      <c r="G279" s="201" t="str">
        <f>INDEX('13.Mapping'!$K:$K,MATCH('6.WS-Re-Exp'!$A279,'13.Mapping'!$B:$B,0))</f>
        <v>PC20</v>
      </c>
      <c r="H279" s="289"/>
      <c r="I279" s="531">
        <v>277</v>
      </c>
    </row>
    <row r="280" spans="1:9" s="33" customFormat="1" hidden="1" x14ac:dyDescent="0.7">
      <c r="A280" s="251" t="s">
        <v>360</v>
      </c>
      <c r="B280" s="212" t="s">
        <v>361</v>
      </c>
      <c r="C280" s="11">
        <f>IFERROR(INDEX('5.งบทดลอง รพ.'!$C:$C,MATCH('6.WS-Re-Exp'!A280,'5.งบทดลอง รพ.'!$A:$A,0)),)</f>
        <v>99</v>
      </c>
      <c r="D280" s="6"/>
      <c r="E280" s="201" t="str">
        <f>INDEX('13.Mapping'!$F:$F,MATCH('6.WS-Re-Exp'!$A280,'13.Mapping'!$B:$B,0))</f>
        <v>51130</v>
      </c>
      <c r="F280" s="201" t="str">
        <f>INDEX('13.Mapping'!$D:$D,MATCH('6.WS-Re-Exp'!$A280,'13.Mapping'!$B:$B,0))</f>
        <v>P21</v>
      </c>
      <c r="G280" s="201" t="str">
        <f>INDEX('13.Mapping'!$K:$K,MATCH('6.WS-Re-Exp'!$A280,'13.Mapping'!$B:$B,0))</f>
        <v>PC20</v>
      </c>
      <c r="H280" s="289"/>
      <c r="I280" s="531">
        <v>278</v>
      </c>
    </row>
    <row r="281" spans="1:9" s="33" customFormat="1" hidden="1" x14ac:dyDescent="0.7">
      <c r="A281" s="251" t="s">
        <v>370</v>
      </c>
      <c r="B281" s="212" t="s">
        <v>371</v>
      </c>
      <c r="C281" s="11">
        <f>IFERROR(INDEX('5.งบทดลอง รพ.'!$C:$C,MATCH('6.WS-Re-Exp'!A281,'5.งบทดลอง รพ.'!$A:$A,0)),)</f>
        <v>1320000</v>
      </c>
      <c r="D281" s="6"/>
      <c r="E281" s="201" t="str">
        <f>INDEX('13.Mapping'!$F:$F,MATCH('6.WS-Re-Exp'!$A281,'13.Mapping'!$B:$B,0))</f>
        <v>51080</v>
      </c>
      <c r="F281" s="201" t="str">
        <f>INDEX('13.Mapping'!$D:$D,MATCH('6.WS-Re-Exp'!$A281,'13.Mapping'!$B:$B,0))</f>
        <v>P22</v>
      </c>
      <c r="G281" s="201" t="str">
        <f>INDEX('13.Mapping'!$K:$K,MATCH('6.WS-Re-Exp'!$A281,'13.Mapping'!$B:$B,0))</f>
        <v>PC21</v>
      </c>
      <c r="H281" s="289"/>
      <c r="I281" s="531">
        <v>279</v>
      </c>
    </row>
    <row r="282" spans="1:9" s="33" customFormat="1" hidden="1" x14ac:dyDescent="0.7">
      <c r="A282" s="251" t="s">
        <v>372</v>
      </c>
      <c r="B282" s="212" t="s">
        <v>1013</v>
      </c>
      <c r="C282" s="11">
        <f>IFERROR(INDEX('5.งบทดลอง รพ.'!$C:$C,MATCH('6.WS-Re-Exp'!A282,'5.งบทดลอง รพ.'!$A:$A,0)),)</f>
        <v>0</v>
      </c>
      <c r="D282" s="6"/>
      <c r="E282" s="201" t="str">
        <f>INDEX('13.Mapping'!$F:$F,MATCH('6.WS-Re-Exp'!$A282,'13.Mapping'!$B:$B,0))</f>
        <v>51080</v>
      </c>
      <c r="F282" s="201" t="str">
        <f>INDEX('13.Mapping'!$D:$D,MATCH('6.WS-Re-Exp'!$A282,'13.Mapping'!$B:$B,0))</f>
        <v>P22</v>
      </c>
      <c r="G282" s="201" t="str">
        <f>INDEX('13.Mapping'!$K:$K,MATCH('6.WS-Re-Exp'!$A282,'13.Mapping'!$B:$B,0))</f>
        <v>PC21</v>
      </c>
      <c r="H282" s="289"/>
      <c r="I282" s="531">
        <v>280</v>
      </c>
    </row>
    <row r="283" spans="1:9" s="33" customFormat="1" hidden="1" x14ac:dyDescent="0.7">
      <c r="A283" s="251" t="s">
        <v>373</v>
      </c>
      <c r="B283" s="212" t="s">
        <v>374</v>
      </c>
      <c r="C283" s="11">
        <f>IFERROR(INDEX('5.งบทดลอง รพ.'!$C:$C,MATCH('6.WS-Re-Exp'!A283,'5.งบทดลอง รพ.'!$A:$A,0)),)</f>
        <v>58800</v>
      </c>
      <c r="D283" s="6"/>
      <c r="E283" s="201" t="str">
        <f>INDEX('13.Mapping'!$F:$F,MATCH('6.WS-Re-Exp'!$A283,'13.Mapping'!$B:$B,0))</f>
        <v>51080</v>
      </c>
      <c r="F283" s="201" t="str">
        <f>INDEX('13.Mapping'!$D:$D,MATCH('6.WS-Re-Exp'!$A283,'13.Mapping'!$B:$B,0))</f>
        <v>P22</v>
      </c>
      <c r="G283" s="201" t="str">
        <f>INDEX('13.Mapping'!$K:$K,MATCH('6.WS-Re-Exp'!$A283,'13.Mapping'!$B:$B,0))</f>
        <v>PC21</v>
      </c>
      <c r="H283" s="289"/>
      <c r="I283" s="531">
        <v>281</v>
      </c>
    </row>
    <row r="284" spans="1:9" s="33" customFormat="1" hidden="1" x14ac:dyDescent="0.7">
      <c r="A284" s="251" t="s">
        <v>375</v>
      </c>
      <c r="B284" s="212" t="s">
        <v>376</v>
      </c>
      <c r="C284" s="11">
        <f>IFERROR(INDEX('5.งบทดลอง รพ.'!$C:$C,MATCH('6.WS-Re-Exp'!A284,'5.งบทดลอง รพ.'!$A:$A,0)),)</f>
        <v>31200</v>
      </c>
      <c r="D284" s="6"/>
      <c r="E284" s="201" t="str">
        <f>INDEX('13.Mapping'!$F:$F,MATCH('6.WS-Re-Exp'!$A284,'13.Mapping'!$B:$B,0))</f>
        <v>51080</v>
      </c>
      <c r="F284" s="201" t="str">
        <f>INDEX('13.Mapping'!$D:$D,MATCH('6.WS-Re-Exp'!$A284,'13.Mapping'!$B:$B,0))</f>
        <v>P22</v>
      </c>
      <c r="G284" s="201" t="str">
        <f>INDEX('13.Mapping'!$K:$K,MATCH('6.WS-Re-Exp'!$A284,'13.Mapping'!$B:$B,0))</f>
        <v>PC21</v>
      </c>
      <c r="H284" s="289"/>
      <c r="I284" s="531">
        <v>282</v>
      </c>
    </row>
    <row r="285" spans="1:9" s="33" customFormat="1" hidden="1" x14ac:dyDescent="0.7">
      <c r="A285" s="251" t="s">
        <v>377</v>
      </c>
      <c r="B285" s="212" t="s">
        <v>378</v>
      </c>
      <c r="C285" s="11">
        <f>IFERROR(INDEX('5.งบทดลอง รพ.'!$C:$C,MATCH('6.WS-Re-Exp'!A285,'5.งบทดลอง รพ.'!$A:$A,0)),)</f>
        <v>24000</v>
      </c>
      <c r="D285" s="6"/>
      <c r="E285" s="201" t="str">
        <f>INDEX('13.Mapping'!$F:$F,MATCH('6.WS-Re-Exp'!$A285,'13.Mapping'!$B:$B,0))</f>
        <v>51080</v>
      </c>
      <c r="F285" s="201" t="str">
        <f>INDEX('13.Mapping'!$D:$D,MATCH('6.WS-Re-Exp'!$A285,'13.Mapping'!$B:$B,0))</f>
        <v>P22</v>
      </c>
      <c r="G285" s="201" t="str">
        <f>INDEX('13.Mapping'!$K:$K,MATCH('6.WS-Re-Exp'!$A285,'13.Mapping'!$B:$B,0))</f>
        <v>PC21</v>
      </c>
      <c r="H285" s="289"/>
      <c r="I285" s="531">
        <v>283</v>
      </c>
    </row>
    <row r="286" spans="1:9" s="33" customFormat="1" hidden="1" x14ac:dyDescent="0.7">
      <c r="A286" s="251" t="s">
        <v>362</v>
      </c>
      <c r="B286" s="212" t="s">
        <v>363</v>
      </c>
      <c r="C286" s="11">
        <f>IFERROR(INDEX('5.งบทดลอง รพ.'!$C:$C,MATCH('6.WS-Re-Exp'!A286,'5.งบทดลอง รพ.'!$A:$A,0)),)</f>
        <v>0</v>
      </c>
      <c r="D286" s="6"/>
      <c r="E286" s="201" t="str">
        <f>INDEX('13.Mapping'!$F:$F,MATCH('6.WS-Re-Exp'!$A286,'13.Mapping'!$B:$B,0))</f>
        <v>51130</v>
      </c>
      <c r="F286" s="201" t="str">
        <f>INDEX('13.Mapping'!$D:$D,MATCH('6.WS-Re-Exp'!$A286,'13.Mapping'!$B:$B,0))</f>
        <v>P21</v>
      </c>
      <c r="G286" s="201" t="str">
        <f>INDEX('13.Mapping'!$K:$K,MATCH('6.WS-Re-Exp'!$A286,'13.Mapping'!$B:$B,0))</f>
        <v>PC20</v>
      </c>
      <c r="H286" s="289"/>
      <c r="I286" s="531">
        <v>284</v>
      </c>
    </row>
    <row r="287" spans="1:9" s="33" customFormat="1" hidden="1" x14ac:dyDescent="0.7">
      <c r="A287" s="251" t="s">
        <v>364</v>
      </c>
      <c r="B287" s="212" t="s">
        <v>365</v>
      </c>
      <c r="C287" s="11">
        <f>IFERROR(INDEX('5.งบทดลอง รพ.'!$C:$C,MATCH('6.WS-Re-Exp'!A287,'5.งบทดลอง รพ.'!$A:$A,0)),)</f>
        <v>150000</v>
      </c>
      <c r="D287" s="6"/>
      <c r="E287" s="201" t="str">
        <f>INDEX('13.Mapping'!$F:$F,MATCH('6.WS-Re-Exp'!$A287,'13.Mapping'!$B:$B,0))</f>
        <v>51130</v>
      </c>
      <c r="F287" s="201" t="str">
        <f>INDEX('13.Mapping'!$D:$D,MATCH('6.WS-Re-Exp'!$A287,'13.Mapping'!$B:$B,0))</f>
        <v>P21</v>
      </c>
      <c r="G287" s="201" t="str">
        <f>INDEX('13.Mapping'!$K:$K,MATCH('6.WS-Re-Exp'!$A287,'13.Mapping'!$B:$B,0))</f>
        <v>PC20</v>
      </c>
      <c r="H287" s="289"/>
      <c r="I287" s="531">
        <v>285</v>
      </c>
    </row>
    <row r="288" spans="1:9" s="33" customFormat="1" hidden="1" x14ac:dyDescent="0.7">
      <c r="A288" s="251" t="s">
        <v>214</v>
      </c>
      <c r="B288" s="212" t="s">
        <v>215</v>
      </c>
      <c r="C288" s="11">
        <f>IFERROR(INDEX('5.งบทดลอง รพ.'!$C:$C,MATCH('6.WS-Re-Exp'!A288,'5.งบทดลอง รพ.'!$A:$A,0)),)</f>
        <v>7589538.25</v>
      </c>
      <c r="D288" s="6"/>
      <c r="E288" s="201" t="str">
        <f>INDEX('13.Mapping'!$F:$F,MATCH('6.WS-Re-Exp'!$A288,'13.Mapping'!$B:$B,0))</f>
        <v>51010</v>
      </c>
      <c r="F288" s="201" t="str">
        <f>INDEX('13.Mapping'!$D:$D,MATCH('6.WS-Re-Exp'!$A288,'13.Mapping'!$B:$B,0))</f>
        <v>P14</v>
      </c>
      <c r="G288" s="201">
        <f>INDEX('13.Mapping'!$K:$K,MATCH('6.WS-Re-Exp'!$A288,'13.Mapping'!$B:$B,0))</f>
        <v>0</v>
      </c>
      <c r="H288" s="289"/>
      <c r="I288" s="531">
        <v>286</v>
      </c>
    </row>
    <row r="289" spans="1:9" s="33" customFormat="1" hidden="1" x14ac:dyDescent="0.7">
      <c r="A289" s="251" t="s">
        <v>216</v>
      </c>
      <c r="B289" s="212" t="s">
        <v>1014</v>
      </c>
      <c r="C289" s="11">
        <f>IFERROR(INDEX('5.งบทดลอง รพ.'!$C:$C,MATCH('6.WS-Re-Exp'!A289,'5.งบทดลอง รพ.'!$A:$A,0)),)</f>
        <v>26000</v>
      </c>
      <c r="D289" s="6"/>
      <c r="E289" s="201" t="str">
        <f>INDEX('13.Mapping'!$F:$F,MATCH('6.WS-Re-Exp'!$A289,'13.Mapping'!$B:$B,0))</f>
        <v>51020</v>
      </c>
      <c r="F289" s="201" t="str">
        <f>INDEX('13.Mapping'!$D:$D,MATCH('6.WS-Re-Exp'!$A289,'13.Mapping'!$B:$B,0))</f>
        <v>P15</v>
      </c>
      <c r="G289" s="201">
        <f>INDEX('13.Mapping'!$K:$K,MATCH('6.WS-Re-Exp'!$A289,'13.Mapping'!$B:$B,0))</f>
        <v>0</v>
      </c>
      <c r="H289" s="289"/>
      <c r="I289" s="531">
        <v>287</v>
      </c>
    </row>
    <row r="290" spans="1:9" s="33" customFormat="1" hidden="1" x14ac:dyDescent="0.7">
      <c r="A290" s="251" t="s">
        <v>218</v>
      </c>
      <c r="B290" s="212" t="s">
        <v>1015</v>
      </c>
      <c r="C290" s="11">
        <f>IFERROR(INDEX('5.งบทดลอง รพ.'!$C:$C,MATCH('6.WS-Re-Exp'!A290,'5.งบทดลอง รพ.'!$A:$A,0)),)</f>
        <v>3230729.49</v>
      </c>
      <c r="D290" s="6"/>
      <c r="E290" s="201" t="str">
        <f>INDEX('13.Mapping'!$F:$F,MATCH('6.WS-Re-Exp'!$A290,'13.Mapping'!$B:$B,0))</f>
        <v>51030</v>
      </c>
      <c r="F290" s="201" t="str">
        <f>INDEX('13.Mapping'!$D:$D,MATCH('6.WS-Re-Exp'!$A290,'13.Mapping'!$B:$B,0))</f>
        <v>P15</v>
      </c>
      <c r="G290" s="201">
        <f>INDEX('13.Mapping'!$K:$K,MATCH('6.WS-Re-Exp'!$A290,'13.Mapping'!$B:$B,0))</f>
        <v>0</v>
      </c>
      <c r="H290" s="289"/>
      <c r="I290" s="531">
        <v>288</v>
      </c>
    </row>
    <row r="291" spans="1:9" s="33" customFormat="1" hidden="1" x14ac:dyDescent="0.7">
      <c r="A291" s="251" t="s">
        <v>221</v>
      </c>
      <c r="B291" s="212" t="s">
        <v>222</v>
      </c>
      <c r="C291" s="11">
        <f>IFERROR(INDEX('5.งบทดลอง รพ.'!$C:$C,MATCH('6.WS-Re-Exp'!A291,'5.งบทดลอง รพ.'!$A:$A,0)),)</f>
        <v>3195935</v>
      </c>
      <c r="D291" s="6"/>
      <c r="E291" s="201" t="str">
        <f>INDEX('13.Mapping'!$F:$F,MATCH('6.WS-Re-Exp'!$A291,'13.Mapping'!$B:$B,0))</f>
        <v>51040</v>
      </c>
      <c r="F291" s="201" t="str">
        <f>INDEX('13.Mapping'!$D:$D,MATCH('6.WS-Re-Exp'!$A291,'13.Mapping'!$B:$B,0))</f>
        <v>P16</v>
      </c>
      <c r="G291" s="201">
        <f>INDEX('13.Mapping'!$K:$K,MATCH('6.WS-Re-Exp'!$A291,'13.Mapping'!$B:$B,0))</f>
        <v>0</v>
      </c>
      <c r="H291" s="289"/>
      <c r="I291" s="531">
        <v>289</v>
      </c>
    </row>
    <row r="292" spans="1:9" s="33" customFormat="1" hidden="1" x14ac:dyDescent="0.7">
      <c r="A292" s="251" t="s">
        <v>385</v>
      </c>
      <c r="B292" s="212" t="s">
        <v>386</v>
      </c>
      <c r="C292" s="11">
        <f>IFERROR(INDEX('5.งบทดลอง รพ.'!$C:$C,MATCH('6.WS-Re-Exp'!A292,'5.งบทดลอง รพ.'!$A:$A,0)),)</f>
        <v>60000</v>
      </c>
      <c r="D292" s="6"/>
      <c r="E292" s="201" t="str">
        <f>INDEX('13.Mapping'!$F:$F,MATCH('6.WS-Re-Exp'!$A292,'13.Mapping'!$B:$B,0))</f>
        <v>51060</v>
      </c>
      <c r="F292" s="201" t="str">
        <f>INDEX('13.Mapping'!$D:$D,MATCH('6.WS-Re-Exp'!$A292,'13.Mapping'!$B:$B,0))</f>
        <v>P23</v>
      </c>
      <c r="G292" s="201">
        <f>INDEX('13.Mapping'!$K:$K,MATCH('6.WS-Re-Exp'!$A292,'13.Mapping'!$B:$B,0))</f>
        <v>0</v>
      </c>
      <c r="H292" s="289"/>
      <c r="I292" s="531">
        <v>290</v>
      </c>
    </row>
    <row r="293" spans="1:9" s="33" customFormat="1" hidden="1" x14ac:dyDescent="0.7">
      <c r="A293" s="251" t="s">
        <v>387</v>
      </c>
      <c r="B293" s="212" t="s">
        <v>388</v>
      </c>
      <c r="C293" s="11">
        <f>IFERROR(INDEX('5.งบทดลอง รพ.'!$C:$C,MATCH('6.WS-Re-Exp'!A293,'5.งบทดลอง รพ.'!$A:$A,0)),)</f>
        <v>143860</v>
      </c>
      <c r="D293" s="6"/>
      <c r="E293" s="201" t="str">
        <f>INDEX('13.Mapping'!$F:$F,MATCH('6.WS-Re-Exp'!$A293,'13.Mapping'!$B:$B,0))</f>
        <v>51060</v>
      </c>
      <c r="F293" s="201" t="str">
        <f>INDEX('13.Mapping'!$D:$D,MATCH('6.WS-Re-Exp'!$A293,'13.Mapping'!$B:$B,0))</f>
        <v>P23</v>
      </c>
      <c r="G293" s="201">
        <f>INDEX('13.Mapping'!$K:$K,MATCH('6.WS-Re-Exp'!$A293,'13.Mapping'!$B:$B,0))</f>
        <v>0</v>
      </c>
      <c r="H293" s="289"/>
      <c r="I293" s="531">
        <v>291</v>
      </c>
    </row>
    <row r="294" spans="1:9" s="33" customFormat="1" hidden="1" x14ac:dyDescent="0.7">
      <c r="A294" s="251" t="s">
        <v>219</v>
      </c>
      <c r="B294" s="212" t="s">
        <v>220</v>
      </c>
      <c r="C294" s="11">
        <f>IFERROR(INDEX('5.งบทดลอง รพ.'!$C:$C,MATCH('6.WS-Re-Exp'!A294,'5.งบทดลอง รพ.'!$A:$A,0)),)</f>
        <v>500067.41</v>
      </c>
      <c r="D294" s="6"/>
      <c r="E294" s="201" t="str">
        <f>INDEX('13.Mapping'!$F:$F,MATCH('6.WS-Re-Exp'!$A294,'13.Mapping'!$B:$B,0))</f>
        <v>51050</v>
      </c>
      <c r="F294" s="201" t="str">
        <f>INDEX('13.Mapping'!$D:$D,MATCH('6.WS-Re-Exp'!$A294,'13.Mapping'!$B:$B,0))</f>
        <v>P151</v>
      </c>
      <c r="G294" s="201">
        <f>INDEX('13.Mapping'!$K:$K,MATCH('6.WS-Re-Exp'!$A294,'13.Mapping'!$B:$B,0))</f>
        <v>0</v>
      </c>
      <c r="H294" s="289"/>
      <c r="I294" s="531">
        <v>292</v>
      </c>
    </row>
    <row r="295" spans="1:9" s="33" customFormat="1" hidden="1" x14ac:dyDescent="0.7">
      <c r="A295" s="251" t="s">
        <v>799</v>
      </c>
      <c r="B295" s="212" t="s">
        <v>800</v>
      </c>
      <c r="C295" s="11">
        <f>IFERROR(INDEX('5.งบทดลอง รพ.'!$C:$C,MATCH('6.WS-Re-Exp'!A295,'5.งบทดลอง รพ.'!$A:$A,0)),)</f>
        <v>0</v>
      </c>
      <c r="D295" s="6"/>
      <c r="E295" s="201" t="str">
        <f>INDEX('13.Mapping'!$F:$F,MATCH('6.WS-Re-Exp'!$A295,'13.Mapping'!$B:$B,0))</f>
        <v>51020</v>
      </c>
      <c r="F295" s="201" t="str">
        <f>INDEX('13.Mapping'!$D:$D,MATCH('6.WS-Re-Exp'!$A295,'13.Mapping'!$B:$B,0))</f>
        <v>P15</v>
      </c>
      <c r="G295" s="201">
        <f>INDEX('13.Mapping'!$K:$K,MATCH('6.WS-Re-Exp'!$A295,'13.Mapping'!$B:$B,0))</f>
        <v>0</v>
      </c>
      <c r="H295" s="289"/>
      <c r="I295" s="531">
        <v>293</v>
      </c>
    </row>
    <row r="296" spans="1:9" s="33" customFormat="1" hidden="1" x14ac:dyDescent="0.7">
      <c r="A296" s="251" t="s">
        <v>392</v>
      </c>
      <c r="B296" s="212" t="s">
        <v>1016</v>
      </c>
      <c r="C296" s="11">
        <f>IFERROR(INDEX('5.งบทดลอง รพ.'!$C:$C,MATCH('6.WS-Re-Exp'!A296,'5.งบทดลอง รพ.'!$A:$A,0)),)</f>
        <v>498250</v>
      </c>
      <c r="D296" s="6"/>
      <c r="E296" s="201" t="str">
        <f>INDEX('13.Mapping'!$F:$F,MATCH('6.WS-Re-Exp'!$A296,'13.Mapping'!$B:$B,0))</f>
        <v>51060</v>
      </c>
      <c r="F296" s="201" t="str">
        <f>INDEX('13.Mapping'!$D:$D,MATCH('6.WS-Re-Exp'!$A296,'13.Mapping'!$B:$B,0))</f>
        <v>P23</v>
      </c>
      <c r="G296" s="201">
        <f>INDEX('13.Mapping'!$K:$K,MATCH('6.WS-Re-Exp'!$A296,'13.Mapping'!$B:$B,0))</f>
        <v>0</v>
      </c>
      <c r="H296" s="289"/>
      <c r="I296" s="531">
        <v>294</v>
      </c>
    </row>
    <row r="297" spans="1:9" s="33" customFormat="1" hidden="1" x14ac:dyDescent="0.7">
      <c r="A297" s="251" t="s">
        <v>366</v>
      </c>
      <c r="B297" s="212" t="s">
        <v>367</v>
      </c>
      <c r="C297" s="11">
        <f>IFERROR(INDEX('5.งบทดลอง รพ.'!$C:$C,MATCH('6.WS-Re-Exp'!A297,'5.งบทดลอง รพ.'!$A:$A,0)),)</f>
        <v>0</v>
      </c>
      <c r="D297" s="6"/>
      <c r="E297" s="201" t="str">
        <f>INDEX('13.Mapping'!$F:$F,MATCH('6.WS-Re-Exp'!$A297,'13.Mapping'!$B:$B,0))</f>
        <v>51130</v>
      </c>
      <c r="F297" s="201" t="str">
        <f>INDEX('13.Mapping'!$D:$D,MATCH('6.WS-Re-Exp'!$A297,'13.Mapping'!$B:$B,0))</f>
        <v>P21</v>
      </c>
      <c r="G297" s="201" t="str">
        <f>INDEX('13.Mapping'!$K:$K,MATCH('6.WS-Re-Exp'!$A297,'13.Mapping'!$B:$B,0))</f>
        <v>PC20</v>
      </c>
      <c r="H297" s="289"/>
      <c r="I297" s="531">
        <v>295</v>
      </c>
    </row>
    <row r="298" spans="1:9" s="33" customFormat="1" hidden="1" x14ac:dyDescent="0.7">
      <c r="A298" s="251" t="s">
        <v>368</v>
      </c>
      <c r="B298" s="212" t="s">
        <v>369</v>
      </c>
      <c r="C298" s="11">
        <f>IFERROR(INDEX('5.งบทดลอง รพ.'!$C:$C,MATCH('6.WS-Re-Exp'!A298,'5.งบทดลอง รพ.'!$A:$A,0)),)</f>
        <v>0</v>
      </c>
      <c r="D298" s="6"/>
      <c r="E298" s="201" t="str">
        <f>INDEX('13.Mapping'!$F:$F,MATCH('6.WS-Re-Exp'!$A298,'13.Mapping'!$B:$B,0))</f>
        <v>51130</v>
      </c>
      <c r="F298" s="201" t="str">
        <f>INDEX('13.Mapping'!$D:$D,MATCH('6.WS-Re-Exp'!$A298,'13.Mapping'!$B:$B,0))</f>
        <v>P21</v>
      </c>
      <c r="G298" s="201" t="str">
        <f>INDEX('13.Mapping'!$K:$K,MATCH('6.WS-Re-Exp'!$A298,'13.Mapping'!$B:$B,0))</f>
        <v>PC20</v>
      </c>
      <c r="H298" s="289"/>
      <c r="I298" s="531">
        <v>296</v>
      </c>
    </row>
    <row r="299" spans="1:9" s="33" customFormat="1" hidden="1" x14ac:dyDescent="0.7">
      <c r="A299" s="251" t="s">
        <v>483</v>
      </c>
      <c r="B299" s="212" t="s">
        <v>1017</v>
      </c>
      <c r="C299" s="11">
        <f>IFERROR(INDEX('5.งบทดลอง รพ.'!$C:$C,MATCH('6.WS-Re-Exp'!A299,'5.งบทดลอง รพ.'!$A:$A,0)),)</f>
        <v>0</v>
      </c>
      <c r="D299" s="6"/>
      <c r="E299" s="201" t="str">
        <f>INDEX('13.Mapping'!$F:$F,MATCH('6.WS-Re-Exp'!$A299,'13.Mapping'!$B:$B,0))</f>
        <v>51130</v>
      </c>
      <c r="F299" s="201" t="str">
        <f>INDEX('13.Mapping'!$D:$D,MATCH('6.WS-Re-Exp'!$A299,'13.Mapping'!$B:$B,0))</f>
        <v>P21</v>
      </c>
      <c r="G299" s="201" t="str">
        <f>INDEX('13.Mapping'!$K:$K,MATCH('6.WS-Re-Exp'!$A299,'13.Mapping'!$B:$B,0))</f>
        <v>PC20</v>
      </c>
      <c r="H299" s="289"/>
      <c r="I299" s="531">
        <v>297</v>
      </c>
    </row>
    <row r="300" spans="1:9" s="33" customFormat="1" hidden="1" x14ac:dyDescent="0.7">
      <c r="A300" s="251" t="s">
        <v>801</v>
      </c>
      <c r="B300" s="212" t="s">
        <v>802</v>
      </c>
      <c r="C300" s="11">
        <f>IFERROR(INDEX('5.งบทดลอง รพ.'!$C:$C,MATCH('6.WS-Re-Exp'!A300,'5.งบทดลอง รพ.'!$A:$A,0)),)</f>
        <v>0</v>
      </c>
      <c r="D300" s="6"/>
      <c r="E300" s="201" t="str">
        <f>INDEX('13.Mapping'!$F:$F,MATCH('6.WS-Re-Exp'!$A300,'13.Mapping'!$B:$B,0))</f>
        <v>51130</v>
      </c>
      <c r="F300" s="201" t="str">
        <f>INDEX('13.Mapping'!$D:$D,MATCH('6.WS-Re-Exp'!$A300,'13.Mapping'!$B:$B,0))</f>
        <v>P21</v>
      </c>
      <c r="G300" s="201" t="str">
        <f>INDEX('13.Mapping'!$K:$K,MATCH('6.WS-Re-Exp'!$A300,'13.Mapping'!$B:$B,0))</f>
        <v>PC20</v>
      </c>
      <c r="H300" s="289"/>
      <c r="I300" s="531">
        <v>298</v>
      </c>
    </row>
    <row r="301" spans="1:9" s="33" customFormat="1" ht="21.6" hidden="1" customHeight="1" x14ac:dyDescent="0.7">
      <c r="A301" s="251" t="s">
        <v>484</v>
      </c>
      <c r="B301" s="212" t="s">
        <v>485</v>
      </c>
      <c r="C301" s="11">
        <f>IFERROR(INDEX('5.งบทดลอง รพ.'!$C:$C,MATCH('6.WS-Re-Exp'!A301,'5.งบทดลอง รพ.'!$A:$A,0)),)</f>
        <v>0</v>
      </c>
      <c r="D301" s="6"/>
      <c r="E301" s="201" t="str">
        <f>INDEX('13.Mapping'!$F:$F,MATCH('6.WS-Re-Exp'!$A301,'13.Mapping'!$B:$B,0))</f>
        <v>51130</v>
      </c>
      <c r="F301" s="201" t="str">
        <f>INDEX('13.Mapping'!$D:$D,MATCH('6.WS-Re-Exp'!$A301,'13.Mapping'!$B:$B,0))</f>
        <v>P21</v>
      </c>
      <c r="G301" s="201" t="str">
        <f>INDEX('13.Mapping'!$K:$K,MATCH('6.WS-Re-Exp'!$A301,'13.Mapping'!$B:$B,0))</f>
        <v>PC20</v>
      </c>
      <c r="H301" s="289"/>
      <c r="I301" s="531">
        <v>299</v>
      </c>
    </row>
    <row r="302" spans="1:9" s="33" customFormat="1" ht="21.6" hidden="1" customHeight="1" x14ac:dyDescent="0.7">
      <c r="A302" s="251" t="s">
        <v>803</v>
      </c>
      <c r="B302" s="212" t="s">
        <v>804</v>
      </c>
      <c r="C302" s="11">
        <f>IFERROR(INDEX('5.งบทดลอง รพ.'!$C:$C,MATCH('6.WS-Re-Exp'!A302,'5.งบทดลอง รพ.'!$A:$A,0)),)</f>
        <v>0</v>
      </c>
      <c r="D302" s="6"/>
      <c r="E302" s="201" t="str">
        <f>INDEX('13.Mapping'!$F:$F,MATCH('6.WS-Re-Exp'!$A302,'13.Mapping'!$B:$B,0))</f>
        <v>53050</v>
      </c>
      <c r="F302" s="201" t="str">
        <f>INDEX('13.Mapping'!$D:$D,MATCH('6.WS-Re-Exp'!$A302,'13.Mapping'!$B:$B,0))</f>
        <v>P25</v>
      </c>
      <c r="G302" s="201">
        <f>INDEX('13.Mapping'!$K:$K,MATCH('6.WS-Re-Exp'!$A302,'13.Mapping'!$B:$B,0))</f>
        <v>0</v>
      </c>
      <c r="H302" s="289"/>
      <c r="I302" s="531">
        <v>300</v>
      </c>
    </row>
    <row r="303" spans="1:9" s="33" customFormat="1" ht="21.6" hidden="1" customHeight="1" x14ac:dyDescent="0.7">
      <c r="A303" s="251" t="s">
        <v>486</v>
      </c>
      <c r="B303" s="212" t="s">
        <v>487</v>
      </c>
      <c r="C303" s="11">
        <f>IFERROR(INDEX('5.งบทดลอง รพ.'!$C:$C,MATCH('6.WS-Re-Exp'!A303,'5.งบทดลอง รพ.'!$A:$A,0)),)</f>
        <v>0</v>
      </c>
      <c r="D303" s="6"/>
      <c r="E303" s="201" t="str">
        <f>INDEX('13.Mapping'!$F:$F,MATCH('6.WS-Re-Exp'!$A303,'13.Mapping'!$B:$B,0))</f>
        <v>51130</v>
      </c>
      <c r="F303" s="201" t="str">
        <f>INDEX('13.Mapping'!$D:$D,MATCH('6.WS-Re-Exp'!$A303,'13.Mapping'!$B:$B,0))</f>
        <v>P21</v>
      </c>
      <c r="G303" s="201" t="str">
        <f>INDEX('13.Mapping'!$K:$K,MATCH('6.WS-Re-Exp'!$A303,'13.Mapping'!$B:$B,0))</f>
        <v>PC20</v>
      </c>
      <c r="H303" s="289"/>
      <c r="I303" s="531">
        <v>301</v>
      </c>
    </row>
    <row r="304" spans="1:9" s="33" customFormat="1" ht="21.6" hidden="1" customHeight="1" x14ac:dyDescent="0.7">
      <c r="A304" s="251" t="s">
        <v>488</v>
      </c>
      <c r="B304" s="212" t="s">
        <v>489</v>
      </c>
      <c r="C304" s="11">
        <f>IFERROR(INDEX('5.งบทดลอง รพ.'!$C:$C,MATCH('6.WS-Re-Exp'!A304,'5.งบทดลอง รพ.'!$A:$A,0)),)</f>
        <v>0</v>
      </c>
      <c r="D304" s="6"/>
      <c r="E304" s="201" t="str">
        <f>INDEX('13.Mapping'!$F:$F,MATCH('6.WS-Re-Exp'!$A304,'13.Mapping'!$B:$B,0))</f>
        <v>51130</v>
      </c>
      <c r="F304" s="201" t="str">
        <f>INDEX('13.Mapping'!$D:$D,MATCH('6.WS-Re-Exp'!$A304,'13.Mapping'!$B:$B,0))</f>
        <v>P21</v>
      </c>
      <c r="G304" s="201" t="str">
        <f>INDEX('13.Mapping'!$K:$K,MATCH('6.WS-Re-Exp'!$A304,'13.Mapping'!$B:$B,0))</f>
        <v>PC20</v>
      </c>
      <c r="H304" s="289"/>
      <c r="I304" s="531">
        <v>302</v>
      </c>
    </row>
    <row r="305" spans="1:9" s="33" customFormat="1" ht="21.6" hidden="1" customHeight="1" x14ac:dyDescent="0.7">
      <c r="A305" s="251" t="s">
        <v>490</v>
      </c>
      <c r="B305" s="212" t="s">
        <v>1122</v>
      </c>
      <c r="C305" s="11">
        <f>IFERROR(INDEX('5.งบทดลอง รพ.'!$C:$C,MATCH('6.WS-Re-Exp'!A305,'5.งบทดลอง รพ.'!$A:$A,0)),)</f>
        <v>2763170</v>
      </c>
      <c r="D305" s="6"/>
      <c r="E305" s="201" t="str">
        <f>INDEX('13.Mapping'!$F:$F,MATCH('6.WS-Re-Exp'!$A305,'13.Mapping'!$B:$B,0))</f>
        <v>52100</v>
      </c>
      <c r="F305" s="201" t="str">
        <f>INDEX('13.Mapping'!$D:$D,MATCH('6.WS-Re-Exp'!$A305,'13.Mapping'!$B:$B,0))</f>
        <v>P25</v>
      </c>
      <c r="G305" s="201" t="str">
        <f>INDEX('13.Mapping'!$K:$K,MATCH('6.WS-Re-Exp'!$A305,'13.Mapping'!$B:$B,0))</f>
        <v>PC23</v>
      </c>
      <c r="H305" s="289"/>
      <c r="I305" s="531">
        <v>303</v>
      </c>
    </row>
    <row r="306" spans="1:9" s="33" customFormat="1" ht="21.6" hidden="1" customHeight="1" x14ac:dyDescent="0.7">
      <c r="A306" s="251" t="s">
        <v>491</v>
      </c>
      <c r="B306" s="212" t="s">
        <v>1123</v>
      </c>
      <c r="C306" s="11">
        <f>IFERROR(INDEX('5.งบทดลอง รพ.'!$C:$C,MATCH('6.WS-Re-Exp'!A306,'5.งบทดลอง รพ.'!$A:$A,0)),)</f>
        <v>86530</v>
      </c>
      <c r="D306" s="6"/>
      <c r="E306" s="201" t="str">
        <f>INDEX('13.Mapping'!$F:$F,MATCH('6.WS-Re-Exp'!$A306,'13.Mapping'!$B:$B,0))</f>
        <v>51140</v>
      </c>
      <c r="F306" s="201" t="str">
        <f>INDEX('13.Mapping'!$D:$D,MATCH('6.WS-Re-Exp'!$A306,'13.Mapping'!$B:$B,0))</f>
        <v>P25</v>
      </c>
      <c r="G306" s="201">
        <f>INDEX('13.Mapping'!$K:$K,MATCH('6.WS-Re-Exp'!$A306,'13.Mapping'!$B:$B,0))</f>
        <v>0</v>
      </c>
      <c r="H306" s="289"/>
      <c r="I306" s="531">
        <v>304</v>
      </c>
    </row>
    <row r="307" spans="1:9" s="33" customFormat="1" ht="21.6" hidden="1" customHeight="1" x14ac:dyDescent="0.7">
      <c r="A307" s="251" t="s">
        <v>805</v>
      </c>
      <c r="B307" s="212" t="s">
        <v>806</v>
      </c>
      <c r="C307" s="11">
        <f>IFERROR(INDEX('5.งบทดลอง รพ.'!$C:$C,MATCH('6.WS-Re-Exp'!A307,'5.งบทดลอง รพ.'!$A:$A,0)),)</f>
        <v>0</v>
      </c>
      <c r="D307" s="6"/>
      <c r="E307" s="201" t="str">
        <f>INDEX('13.Mapping'!$F:$F,MATCH('6.WS-Re-Exp'!$A307,'13.Mapping'!$B:$B,0))</f>
        <v>51130</v>
      </c>
      <c r="F307" s="201" t="str">
        <f>INDEX('13.Mapping'!$D:$D,MATCH('6.WS-Re-Exp'!$A307,'13.Mapping'!$B:$B,0))</f>
        <v>P21</v>
      </c>
      <c r="G307" s="201" t="str">
        <f>INDEX('13.Mapping'!$K:$K,MATCH('6.WS-Re-Exp'!$A307,'13.Mapping'!$B:$B,0))</f>
        <v>PC20</v>
      </c>
      <c r="H307" s="289"/>
      <c r="I307" s="531">
        <v>305</v>
      </c>
    </row>
    <row r="308" spans="1:9" s="33" customFormat="1" ht="21.6" hidden="1" customHeight="1" x14ac:dyDescent="0.7">
      <c r="A308" s="251" t="s">
        <v>1124</v>
      </c>
      <c r="B308" s="212" t="s">
        <v>1125</v>
      </c>
      <c r="C308" s="11">
        <f>IFERROR(INDEX('5.งบทดลอง รพ.'!$C:$C,MATCH('6.WS-Re-Exp'!A308,'5.งบทดลอง รพ.'!$A:$A,0)),)</f>
        <v>1119583</v>
      </c>
      <c r="D308" s="6"/>
      <c r="E308" s="201" t="str">
        <f>INDEX('13.Mapping'!$F:$F,MATCH('6.WS-Re-Exp'!$A308,'13.Mapping'!$B:$B,0))</f>
        <v>51140</v>
      </c>
      <c r="F308" s="201" t="str">
        <f>INDEX('13.Mapping'!$D:$D,MATCH('6.WS-Re-Exp'!$A308,'13.Mapping'!$B:$B,0))</f>
        <v>P25</v>
      </c>
      <c r="G308" s="201" t="str">
        <f>INDEX('13.Mapping'!$K:$K,MATCH('6.WS-Re-Exp'!$A308,'13.Mapping'!$B:$B,0))</f>
        <v>PC23</v>
      </c>
      <c r="H308" s="289"/>
      <c r="I308" s="531">
        <v>306</v>
      </c>
    </row>
    <row r="309" spans="1:9" s="33" customFormat="1" ht="21.6" hidden="1" customHeight="1" x14ac:dyDescent="0.7">
      <c r="A309" s="251" t="s">
        <v>492</v>
      </c>
      <c r="B309" s="212" t="s">
        <v>1018</v>
      </c>
      <c r="C309" s="11">
        <f>IFERROR(INDEX('5.งบทดลอง รพ.'!$C:$C,MATCH('6.WS-Re-Exp'!A309,'5.งบทดลอง รพ.'!$A:$A,0)),)</f>
        <v>3000000</v>
      </c>
      <c r="D309" s="6"/>
      <c r="E309" s="201" t="str">
        <f>INDEX('13.Mapping'!$F:$F,MATCH('6.WS-Re-Exp'!$A309,'13.Mapping'!$B:$B,0))</f>
        <v>53040</v>
      </c>
      <c r="F309" s="201" t="str">
        <f>INDEX('13.Mapping'!$D:$D,MATCH('6.WS-Re-Exp'!$A309,'13.Mapping'!$B:$B,0))</f>
        <v>P25</v>
      </c>
      <c r="G309" s="201" t="str">
        <f>INDEX('13.Mapping'!$K:$K,MATCH('6.WS-Re-Exp'!$A309,'13.Mapping'!$B:$B,0))</f>
        <v>PC23</v>
      </c>
      <c r="H309" s="289"/>
      <c r="I309" s="531">
        <v>307</v>
      </c>
    </row>
    <row r="310" spans="1:9" s="33" customFormat="1" ht="21.6" hidden="1" customHeight="1" x14ac:dyDescent="0.7">
      <c r="A310" s="251" t="s">
        <v>493</v>
      </c>
      <c r="B310" s="212" t="s">
        <v>1019</v>
      </c>
      <c r="C310" s="11">
        <f>IFERROR(INDEX('5.งบทดลอง รพ.'!$C:$C,MATCH('6.WS-Re-Exp'!A310,'5.งบทดลอง รพ.'!$A:$A,0)),)</f>
        <v>5000</v>
      </c>
      <c r="D310" s="6"/>
      <c r="E310" s="201" t="str">
        <f>INDEX('13.Mapping'!$F:$F,MATCH('6.WS-Re-Exp'!$A310,'13.Mapping'!$B:$B,0))</f>
        <v>53040</v>
      </c>
      <c r="F310" s="201" t="str">
        <f>INDEX('13.Mapping'!$D:$D,MATCH('6.WS-Re-Exp'!$A310,'13.Mapping'!$B:$B,0))</f>
        <v>P25</v>
      </c>
      <c r="G310" s="201" t="str">
        <f>INDEX('13.Mapping'!$K:$K,MATCH('6.WS-Re-Exp'!$A310,'13.Mapping'!$B:$B,0))</f>
        <v>PC23</v>
      </c>
      <c r="H310" s="289"/>
      <c r="I310" s="531">
        <v>308</v>
      </c>
    </row>
    <row r="311" spans="1:9" s="33" customFormat="1" ht="21.6" hidden="1" customHeight="1" x14ac:dyDescent="0.7">
      <c r="A311" s="251" t="s">
        <v>2259</v>
      </c>
      <c r="B311" s="212" t="s">
        <v>2257</v>
      </c>
      <c r="C311" s="11">
        <f>IFERROR(INDEX('5.งบทดลอง รพ.'!$C:$C,MATCH('6.WS-Re-Exp'!A311,'5.งบทดลอง รพ.'!$A:$A,0)),)</f>
        <v>0</v>
      </c>
      <c r="D311" s="6"/>
      <c r="E311" s="201" t="str">
        <f>INDEX('13.Mapping'!$F:$F,MATCH('6.WS-Re-Exp'!$A311,'13.Mapping'!$B:$B,0))</f>
        <v>53020</v>
      </c>
      <c r="F311" s="201" t="str">
        <f>INDEX('13.Mapping'!$D:$D,MATCH('6.WS-Re-Exp'!$A311,'13.Mapping'!$B:$B,0))</f>
        <v>P24</v>
      </c>
      <c r="G311" s="201" t="str">
        <f>INDEX('13.Mapping'!$K:$K,MATCH('6.WS-Re-Exp'!$A311,'13.Mapping'!$B:$B,0))</f>
        <v>PC20</v>
      </c>
      <c r="H311" s="289"/>
      <c r="I311" s="531">
        <v>309</v>
      </c>
    </row>
    <row r="312" spans="1:9" s="33" customFormat="1" ht="21.6" hidden="1" customHeight="1" x14ac:dyDescent="0.7">
      <c r="A312" s="251" t="s">
        <v>5846</v>
      </c>
      <c r="B312" s="212" t="s">
        <v>5836</v>
      </c>
      <c r="C312" s="11">
        <f>IFERROR(INDEX('5.งบทดลอง รพ.'!$C:$C,MATCH('6.WS-Re-Exp'!A312,'5.งบทดลอง รพ.'!$A:$A,0)),)</f>
        <v>200000</v>
      </c>
      <c r="D312" s="6"/>
      <c r="E312" s="201" t="str">
        <f>INDEX('13.Mapping'!$F:$F,MATCH('6.WS-Re-Exp'!$A312,'13.Mapping'!$B:$B,0))</f>
        <v>53040</v>
      </c>
      <c r="F312" s="201" t="str">
        <f>INDEX('13.Mapping'!$D:$D,MATCH('6.WS-Re-Exp'!$A312,'13.Mapping'!$B:$B,0))</f>
        <v>P25</v>
      </c>
      <c r="G312" s="201" t="str">
        <f>INDEX('13.Mapping'!$K:$K,MATCH('6.WS-Re-Exp'!$A312,'13.Mapping'!$B:$B,0))</f>
        <v>PC23</v>
      </c>
      <c r="H312" s="289"/>
      <c r="I312" s="531">
        <v>310</v>
      </c>
    </row>
    <row r="313" spans="1:9" s="33" customFormat="1" ht="21.6" hidden="1" customHeight="1" x14ac:dyDescent="0.7">
      <c r="A313" s="251" t="s">
        <v>807</v>
      </c>
      <c r="B313" s="212" t="s">
        <v>808</v>
      </c>
      <c r="C313" s="11">
        <f>IFERROR(INDEX('5.งบทดลอง รพ.'!$C:$C,MATCH('6.WS-Re-Exp'!A313,'5.งบทดลอง รพ.'!$A:$A,0)),)</f>
        <v>0</v>
      </c>
      <c r="D313" s="6"/>
      <c r="E313" s="201" t="str">
        <f>INDEX('13.Mapping'!$F:$F,MATCH('6.WS-Re-Exp'!$A313,'13.Mapping'!$B:$B,0))</f>
        <v>53040</v>
      </c>
      <c r="F313" s="201" t="str">
        <f>INDEX('13.Mapping'!$D:$D,MATCH('6.WS-Re-Exp'!$A313,'13.Mapping'!$B:$B,0))</f>
        <v>P25</v>
      </c>
      <c r="G313" s="201" t="str">
        <f>INDEX('13.Mapping'!$K:$K,MATCH('6.WS-Re-Exp'!$A313,'13.Mapping'!$B:$B,0))</f>
        <v>PC23</v>
      </c>
      <c r="H313" s="289"/>
      <c r="I313" s="531">
        <v>311</v>
      </c>
    </row>
    <row r="314" spans="1:9" s="33" customFormat="1" ht="21.6" hidden="1" customHeight="1" x14ac:dyDescent="0.7">
      <c r="A314" s="251" t="s">
        <v>494</v>
      </c>
      <c r="B314" s="212" t="s">
        <v>495</v>
      </c>
      <c r="C314" s="11">
        <f>IFERROR(INDEX('5.งบทดลอง รพ.'!$C:$C,MATCH('6.WS-Re-Exp'!A314,'5.งบทดลอง รพ.'!$A:$A,0)),)</f>
        <v>0</v>
      </c>
      <c r="D314" s="6"/>
      <c r="E314" s="201" t="str">
        <f>INDEX('13.Mapping'!$F:$F,MATCH('6.WS-Re-Exp'!$A314,'13.Mapping'!$B:$B,0))</f>
        <v>52100</v>
      </c>
      <c r="F314" s="201" t="str">
        <f>INDEX('13.Mapping'!$D:$D,MATCH('6.WS-Re-Exp'!$A314,'13.Mapping'!$B:$B,0))</f>
        <v>P25</v>
      </c>
      <c r="G314" s="201" t="str">
        <f>INDEX('13.Mapping'!$K:$K,MATCH('6.WS-Re-Exp'!$A314,'13.Mapping'!$B:$B,0))</f>
        <v>PC23</v>
      </c>
      <c r="H314" s="289"/>
      <c r="I314" s="531">
        <v>312</v>
      </c>
    </row>
    <row r="315" spans="1:9" s="33" customFormat="1" ht="21.6" hidden="1" customHeight="1" x14ac:dyDescent="0.7">
      <c r="A315" s="251" t="s">
        <v>496</v>
      </c>
      <c r="B315" s="212" t="s">
        <v>497</v>
      </c>
      <c r="C315" s="11">
        <f>IFERROR(INDEX('5.งบทดลอง รพ.'!$C:$C,MATCH('6.WS-Re-Exp'!A315,'5.งบทดลอง รพ.'!$A:$A,0)),)</f>
        <v>450</v>
      </c>
      <c r="D315" s="6"/>
      <c r="E315" s="201" t="str">
        <f>INDEX('13.Mapping'!$F:$F,MATCH('6.WS-Re-Exp'!$A315,'13.Mapping'!$B:$B,0))</f>
        <v>53040</v>
      </c>
      <c r="F315" s="201" t="str">
        <f>INDEX('13.Mapping'!$D:$D,MATCH('6.WS-Re-Exp'!$A315,'13.Mapping'!$B:$B,0))</f>
        <v>P25</v>
      </c>
      <c r="G315" s="201" t="str">
        <f>INDEX('13.Mapping'!$K:$K,MATCH('6.WS-Re-Exp'!$A315,'13.Mapping'!$B:$B,0))</f>
        <v>PC23</v>
      </c>
      <c r="H315" s="289"/>
      <c r="I315" s="531">
        <v>313</v>
      </c>
    </row>
    <row r="316" spans="1:9" s="33" customFormat="1" ht="21.6" hidden="1" customHeight="1" x14ac:dyDescent="0.7">
      <c r="A316" s="251" t="s">
        <v>5967</v>
      </c>
      <c r="B316" s="212" t="s">
        <v>5958</v>
      </c>
      <c r="C316" s="11">
        <f>IFERROR(INDEX('5.งบทดลอง รพ.'!$C:$C,MATCH('6.WS-Re-Exp'!A316,'5.งบทดลอง รพ.'!$A:$A,0)),)</f>
        <v>600000</v>
      </c>
      <c r="D316" s="6"/>
      <c r="E316" s="201" t="str">
        <f>INDEX('13.Mapping'!$F:$F,MATCH('6.WS-Re-Exp'!$A316,'13.Mapping'!$B:$B,0))</f>
        <v>51070</v>
      </c>
      <c r="F316" s="201" t="str">
        <f>INDEX('13.Mapping'!$D:$D,MATCH('6.WS-Re-Exp'!$A316,'13.Mapping'!$B:$B,0))</f>
        <v>P19</v>
      </c>
      <c r="G316" s="201" t="str">
        <f>INDEX('13.Mapping'!$K:$K,MATCH('6.WS-Re-Exp'!$A316,'13.Mapping'!$B:$B,0))</f>
        <v>PC18</v>
      </c>
      <c r="H316" s="289"/>
      <c r="I316" s="531">
        <v>314</v>
      </c>
    </row>
    <row r="317" spans="1:9" ht="21.6" hidden="1" customHeight="1" x14ac:dyDescent="0.7">
      <c r="A317" s="251" t="s">
        <v>5968</v>
      </c>
      <c r="B317" s="212" t="s">
        <v>265</v>
      </c>
      <c r="C317" s="11">
        <f>IFERROR(INDEX('5.งบทดลอง รพ.'!$C:$C,MATCH('6.WS-Re-Exp'!A317,'5.งบทดลอง รพ.'!$A:$A,0)),)</f>
        <v>360000</v>
      </c>
      <c r="E317" s="201" t="str">
        <f>INDEX('13.Mapping'!$F:$F,MATCH('6.WS-Re-Exp'!$A317,'13.Mapping'!$B:$B,0))</f>
        <v>51070</v>
      </c>
      <c r="F317" s="201" t="str">
        <f>INDEX('13.Mapping'!$D:$D,MATCH('6.WS-Re-Exp'!$A317,'13.Mapping'!$B:$B,0))</f>
        <v>P19</v>
      </c>
      <c r="G317" s="201" t="str">
        <f>INDEX('13.Mapping'!$K:$K,MATCH('6.WS-Re-Exp'!$A317,'13.Mapping'!$B:$B,0))</f>
        <v>PC18</v>
      </c>
      <c r="H317" s="350"/>
      <c r="I317" s="531">
        <v>315</v>
      </c>
    </row>
    <row r="318" spans="1:9" s="33" customFormat="1" ht="21.6" hidden="1" customHeight="1" x14ac:dyDescent="0.7">
      <c r="A318" s="306" t="s">
        <v>5969</v>
      </c>
      <c r="B318" s="307" t="s">
        <v>5959</v>
      </c>
      <c r="C318" s="11">
        <f>IFERROR(INDEX('5.งบทดลอง รพ.'!$C:$C,MATCH('6.WS-Re-Exp'!A318,'5.งบทดลอง รพ.'!$A:$A,0)),)</f>
        <v>120000</v>
      </c>
      <c r="D318" s="6"/>
      <c r="E318" s="201" t="str">
        <f>INDEX('13.Mapping'!$F:$F,MATCH('6.WS-Re-Exp'!$A318,'13.Mapping'!$B:$B,0))</f>
        <v>51070</v>
      </c>
      <c r="F318" s="201" t="str">
        <f>INDEX('13.Mapping'!$D:$D,MATCH('6.WS-Re-Exp'!$A318,'13.Mapping'!$B:$B,0))</f>
        <v>P19</v>
      </c>
      <c r="G318" s="201" t="str">
        <f>INDEX('13.Mapping'!$K:$K,MATCH('6.WS-Re-Exp'!$A318,'13.Mapping'!$B:$B,0))</f>
        <v>PC18</v>
      </c>
      <c r="H318" s="289"/>
      <c r="I318" s="531">
        <v>316</v>
      </c>
    </row>
    <row r="319" spans="1:9" s="33" customFormat="1" hidden="1" x14ac:dyDescent="0.7">
      <c r="A319" s="251" t="s">
        <v>5970</v>
      </c>
      <c r="B319" s="212" t="s">
        <v>5960</v>
      </c>
      <c r="C319" s="11">
        <f>IFERROR(INDEX('5.งบทดลอง รพ.'!$C:$C,MATCH('6.WS-Re-Exp'!A319,'5.งบทดลอง รพ.'!$A:$A,0)),)</f>
        <v>6842420</v>
      </c>
      <c r="D319" s="6"/>
      <c r="E319" s="201" t="str">
        <f>INDEX('13.Mapping'!$F:$F,MATCH('6.WS-Re-Exp'!$A319,'13.Mapping'!$B:$B,0))</f>
        <v>51070</v>
      </c>
      <c r="F319" s="201" t="str">
        <f>INDEX('13.Mapping'!$D:$D,MATCH('6.WS-Re-Exp'!$A319,'13.Mapping'!$B:$B,0))</f>
        <v>P19</v>
      </c>
      <c r="G319" s="201" t="str">
        <f>INDEX('13.Mapping'!$K:$K,MATCH('6.WS-Re-Exp'!$A319,'13.Mapping'!$B:$B,0))</f>
        <v>PC18</v>
      </c>
      <c r="H319" s="289"/>
      <c r="I319" s="531">
        <v>317</v>
      </c>
    </row>
    <row r="320" spans="1:9" s="33" customFormat="1" hidden="1" x14ac:dyDescent="0.7">
      <c r="A320" s="251" t="s">
        <v>5971</v>
      </c>
      <c r="B320" s="212" t="s">
        <v>5961</v>
      </c>
      <c r="C320" s="11">
        <f>IFERROR(INDEX('5.งบทดลอง รพ.'!$C:$C,MATCH('6.WS-Re-Exp'!A320,'5.งบทดลอง รพ.'!$A:$A,0)),)</f>
        <v>2353500</v>
      </c>
      <c r="D320" s="6"/>
      <c r="E320" s="201" t="str">
        <f>INDEX('13.Mapping'!$F:$F,MATCH('6.WS-Re-Exp'!$A320,'13.Mapping'!$B:$B,0))</f>
        <v>51070</v>
      </c>
      <c r="F320" s="201" t="str">
        <f>INDEX('13.Mapping'!$D:$D,MATCH('6.WS-Re-Exp'!$A320,'13.Mapping'!$B:$B,0))</f>
        <v>P19</v>
      </c>
      <c r="G320" s="201" t="str">
        <f>INDEX('13.Mapping'!$K:$K,MATCH('6.WS-Re-Exp'!$A320,'13.Mapping'!$B:$B,0))</f>
        <v>PC18</v>
      </c>
      <c r="H320" s="289"/>
      <c r="I320" s="531">
        <v>318</v>
      </c>
    </row>
    <row r="321" spans="1:9" s="33" customFormat="1" hidden="1" x14ac:dyDescent="0.7">
      <c r="A321" s="251" t="s">
        <v>5972</v>
      </c>
      <c r="B321" s="212" t="s">
        <v>5962</v>
      </c>
      <c r="C321" s="11">
        <f>IFERROR(INDEX('5.งบทดลอง รพ.'!$C:$C,MATCH('6.WS-Re-Exp'!A321,'5.งบทดลอง รพ.'!$A:$A,0)),)</f>
        <v>0</v>
      </c>
      <c r="D321" s="6"/>
      <c r="E321" s="201" t="str">
        <f>INDEX('13.Mapping'!$F:$F,MATCH('6.WS-Re-Exp'!$A321,'13.Mapping'!$B:$B,0))</f>
        <v>51070</v>
      </c>
      <c r="F321" s="201" t="str">
        <f>INDEX('13.Mapping'!$D:$D,MATCH('6.WS-Re-Exp'!$A321,'13.Mapping'!$B:$B,0))</f>
        <v>P19</v>
      </c>
      <c r="G321" s="201" t="str">
        <f>INDEX('13.Mapping'!$K:$K,MATCH('6.WS-Re-Exp'!$A321,'13.Mapping'!$B:$B,0))</f>
        <v>PC18</v>
      </c>
      <c r="H321" s="289"/>
      <c r="I321" s="531">
        <v>319</v>
      </c>
    </row>
    <row r="322" spans="1:9" s="33" customFormat="1" hidden="1" x14ac:dyDescent="0.7">
      <c r="A322" s="251" t="s">
        <v>5973</v>
      </c>
      <c r="B322" s="212" t="s">
        <v>5963</v>
      </c>
      <c r="C322" s="11">
        <f>IFERROR(INDEX('5.งบทดลอง รพ.'!$C:$C,MATCH('6.WS-Re-Exp'!A322,'5.งบทดลอง รพ.'!$A:$A,0)),)</f>
        <v>16800</v>
      </c>
      <c r="D322" s="6"/>
      <c r="E322" s="201" t="str">
        <f>INDEX('13.Mapping'!$F:$F,MATCH('6.WS-Re-Exp'!$A322,'13.Mapping'!$B:$B,0))</f>
        <v>51070</v>
      </c>
      <c r="F322" s="201" t="str">
        <f>INDEX('13.Mapping'!$D:$D,MATCH('6.WS-Re-Exp'!$A322,'13.Mapping'!$B:$B,0))</f>
        <v>P19</v>
      </c>
      <c r="G322" s="201">
        <f>INDEX('13.Mapping'!$K:$K,MATCH('6.WS-Re-Exp'!$A322,'13.Mapping'!$B:$B,0))</f>
        <v>0</v>
      </c>
      <c r="H322" s="289"/>
      <c r="I322" s="531">
        <v>320</v>
      </c>
    </row>
    <row r="323" spans="1:9" s="33" customFormat="1" hidden="1" x14ac:dyDescent="0.7">
      <c r="A323" s="251" t="s">
        <v>5974</v>
      </c>
      <c r="B323" s="212" t="s">
        <v>5964</v>
      </c>
      <c r="C323" s="11">
        <f>IFERROR(INDEX('5.งบทดลอง รพ.'!$C:$C,MATCH('6.WS-Re-Exp'!A323,'5.งบทดลอง รพ.'!$A:$A,0)),)</f>
        <v>15000</v>
      </c>
      <c r="D323" s="6"/>
      <c r="E323" s="201" t="str">
        <f>INDEX('13.Mapping'!$F:$F,MATCH('6.WS-Re-Exp'!$A323,'13.Mapping'!$B:$B,0))</f>
        <v>51070</v>
      </c>
      <c r="F323" s="201" t="str">
        <f>INDEX('13.Mapping'!$D:$D,MATCH('6.WS-Re-Exp'!$A323,'13.Mapping'!$B:$B,0))</f>
        <v>P19</v>
      </c>
      <c r="G323" s="201" t="str">
        <f>INDEX('13.Mapping'!$K:$K,MATCH('6.WS-Re-Exp'!$A323,'13.Mapping'!$B:$B,0))</f>
        <v>PC18</v>
      </c>
      <c r="H323" s="289"/>
      <c r="I323" s="531">
        <v>321</v>
      </c>
    </row>
    <row r="324" spans="1:9" s="33" customFormat="1" hidden="1" x14ac:dyDescent="0.7">
      <c r="A324" s="251" t="s">
        <v>5975</v>
      </c>
      <c r="B324" s="212" t="s">
        <v>5965</v>
      </c>
      <c r="C324" s="11">
        <f>IFERROR(INDEX('5.งบทดลอง รพ.'!$C:$C,MATCH('6.WS-Re-Exp'!A324,'5.งบทดลอง รพ.'!$A:$A,0)),)</f>
        <v>0</v>
      </c>
      <c r="D324" s="6"/>
      <c r="E324" s="201" t="str">
        <f>INDEX('13.Mapping'!$F:$F,MATCH('6.WS-Re-Exp'!$A324,'13.Mapping'!$B:$B,0))</f>
        <v>51070</v>
      </c>
      <c r="F324" s="201" t="str">
        <f>INDEX('13.Mapping'!$D:$D,MATCH('6.WS-Re-Exp'!$A324,'13.Mapping'!$B:$B,0))</f>
        <v>P19</v>
      </c>
      <c r="G324" s="201" t="str">
        <f>INDEX('13.Mapping'!$K:$K,MATCH('6.WS-Re-Exp'!$A324,'13.Mapping'!$B:$B,0))</f>
        <v>PC18</v>
      </c>
      <c r="H324" s="289"/>
      <c r="I324" s="531">
        <v>322</v>
      </c>
    </row>
    <row r="325" spans="1:9" hidden="1" x14ac:dyDescent="0.7">
      <c r="A325" s="251" t="s">
        <v>5978</v>
      </c>
      <c r="B325" s="212" t="s">
        <v>5966</v>
      </c>
      <c r="C325" s="11">
        <f>IFERROR(INDEX('5.งบทดลอง รพ.'!$C:$C,MATCH('6.WS-Re-Exp'!A325,'5.งบทดลอง รพ.'!$A:$A,0)),)</f>
        <v>0</v>
      </c>
      <c r="E325" s="201" t="str">
        <f>INDEX('13.Mapping'!$F:$F,MATCH('6.WS-Re-Exp'!$A325,'13.Mapping'!$B:$B,0))</f>
        <v>51070</v>
      </c>
      <c r="F325" s="201" t="str">
        <f>INDEX('13.Mapping'!$D:$D,MATCH('6.WS-Re-Exp'!$A325,'13.Mapping'!$B:$B,0))</f>
        <v>P19</v>
      </c>
      <c r="G325" s="201" t="str">
        <f>INDEX('13.Mapping'!$K:$K,MATCH('6.WS-Re-Exp'!$A325,'13.Mapping'!$B:$B,0))</f>
        <v>PC18</v>
      </c>
      <c r="H325" s="350"/>
      <c r="I325" s="531">
        <v>323</v>
      </c>
    </row>
    <row r="326" spans="1:9" hidden="1" x14ac:dyDescent="0.7">
      <c r="A326" s="251" t="s">
        <v>6008</v>
      </c>
      <c r="B326" s="212" t="s">
        <v>6009</v>
      </c>
      <c r="C326" s="11">
        <f>IFERROR(INDEX('5.งบทดลอง รพ.'!$C:$C,MATCH('6.WS-Re-Exp'!A326,'5.งบทดลอง รพ.'!$A:$A,0)),)</f>
        <v>1477258.95</v>
      </c>
      <c r="E326" s="201" t="str">
        <f>INDEX('13.Mapping'!$F:$F,MATCH('6.WS-Re-Exp'!$A326,'13.Mapping'!$B:$B,0))</f>
        <v>52080</v>
      </c>
      <c r="F326" s="201" t="str">
        <f>INDEX('13.Mapping'!$D:$D,MATCH('6.WS-Re-Exp'!$A326,'13.Mapping'!$B:$B,0))</f>
        <v>P19</v>
      </c>
      <c r="G326" s="201">
        <f>INDEX('13.Mapping'!$K:$K,MATCH('6.WS-Re-Exp'!$A326,'13.Mapping'!$B:$B,0))</f>
        <v>0</v>
      </c>
      <c r="H326" s="350"/>
      <c r="I326" s="531">
        <v>324</v>
      </c>
    </row>
    <row r="327" spans="1:9" s="33" customFormat="1" hidden="1" x14ac:dyDescent="0.7">
      <c r="A327" s="251" t="s">
        <v>6010</v>
      </c>
      <c r="B327" s="212" t="s">
        <v>6011</v>
      </c>
      <c r="C327" s="11">
        <f>IFERROR(INDEX('5.งบทดลอง รพ.'!$C:$C,MATCH('6.WS-Re-Exp'!A327,'5.งบทดลอง รพ.'!$A:$A,0)),)</f>
        <v>0</v>
      </c>
      <c r="D327" s="6"/>
      <c r="E327" s="201" t="str">
        <f>INDEX('13.Mapping'!$F:$F,MATCH('6.WS-Re-Exp'!$A327,'13.Mapping'!$B:$B,0))</f>
        <v>52080</v>
      </c>
      <c r="F327" s="201" t="str">
        <f>INDEX('13.Mapping'!$D:$D,MATCH('6.WS-Re-Exp'!$A327,'13.Mapping'!$B:$B,0))</f>
        <v>P19</v>
      </c>
      <c r="G327" s="201">
        <f>INDEX('13.Mapping'!$K:$K,MATCH('6.WS-Re-Exp'!$A327,'13.Mapping'!$B:$B,0))</f>
        <v>0</v>
      </c>
      <c r="H327" s="289"/>
      <c r="I327" s="531">
        <v>325</v>
      </c>
    </row>
    <row r="328" spans="1:9" s="33" customFormat="1" hidden="1" x14ac:dyDescent="0.7">
      <c r="A328" s="251" t="s">
        <v>6012</v>
      </c>
      <c r="B328" s="212" t="s">
        <v>6013</v>
      </c>
      <c r="C328" s="11">
        <f>IFERROR(INDEX('5.งบทดลอง รพ.'!$C:$C,MATCH('6.WS-Re-Exp'!A328,'5.งบทดลอง รพ.'!$A:$A,0)),)</f>
        <v>1525741.05</v>
      </c>
      <c r="D328" s="6"/>
      <c r="E328" s="201" t="str">
        <f>INDEX('13.Mapping'!$F:$F,MATCH('6.WS-Re-Exp'!$A328,'13.Mapping'!$B:$B,0))</f>
        <v>52080</v>
      </c>
      <c r="F328" s="201" t="str">
        <f>INDEX('13.Mapping'!$D:$D,MATCH('6.WS-Re-Exp'!$A328,'13.Mapping'!$B:$B,0))</f>
        <v>P19</v>
      </c>
      <c r="G328" s="201" t="str">
        <f>INDEX('13.Mapping'!$K:$K,MATCH('6.WS-Re-Exp'!$A328,'13.Mapping'!$B:$B,0))</f>
        <v>PC18</v>
      </c>
      <c r="H328" s="289"/>
      <c r="I328" s="531">
        <v>326</v>
      </c>
    </row>
    <row r="329" spans="1:9" s="33" customFormat="1" hidden="1" x14ac:dyDescent="0.7">
      <c r="A329" s="251" t="s">
        <v>6014</v>
      </c>
      <c r="B329" s="212" t="s">
        <v>6015</v>
      </c>
      <c r="C329" s="11">
        <f>IFERROR(INDEX('5.งบทดลอง รพ.'!$C:$C,MATCH('6.WS-Re-Exp'!A329,'5.งบทดลอง รพ.'!$A:$A,0)),)</f>
        <v>459600</v>
      </c>
      <c r="D329" s="6"/>
      <c r="E329" s="201" t="str">
        <f>INDEX('13.Mapping'!$F:$F,MATCH('6.WS-Re-Exp'!$A329,'13.Mapping'!$B:$B,0))</f>
        <v>52080</v>
      </c>
      <c r="F329" s="201" t="str">
        <f>INDEX('13.Mapping'!$D:$D,MATCH('6.WS-Re-Exp'!$A329,'13.Mapping'!$B:$B,0))</f>
        <v>P19</v>
      </c>
      <c r="G329" s="201" t="str">
        <f>INDEX('13.Mapping'!$K:$K,MATCH('6.WS-Re-Exp'!$A329,'13.Mapping'!$B:$B,0))</f>
        <v>PC18</v>
      </c>
      <c r="H329" s="289"/>
      <c r="I329" s="531">
        <v>327</v>
      </c>
    </row>
    <row r="330" spans="1:9" s="33" customFormat="1" hidden="1" x14ac:dyDescent="0.7">
      <c r="A330" s="251" t="s">
        <v>6016</v>
      </c>
      <c r="B330" s="212" t="s">
        <v>6017</v>
      </c>
      <c r="C330" s="11">
        <f>IFERROR(INDEX('5.งบทดลอง รพ.'!$C:$C,MATCH('6.WS-Re-Exp'!A330,'5.งบทดลอง รพ.'!$A:$A,0)),)</f>
        <v>0</v>
      </c>
      <c r="D330" s="6"/>
      <c r="E330" s="201" t="str">
        <f>INDEX('13.Mapping'!$F:$F,MATCH('6.WS-Re-Exp'!$A330,'13.Mapping'!$B:$B,0))</f>
        <v>52090</v>
      </c>
      <c r="F330" s="201" t="str">
        <f>INDEX('13.Mapping'!$D:$D,MATCH('6.WS-Re-Exp'!$A330,'13.Mapping'!$B:$B,0))</f>
        <v>P19</v>
      </c>
      <c r="G330" s="201">
        <f>INDEX('13.Mapping'!$K:$K,MATCH('6.WS-Re-Exp'!$A330,'13.Mapping'!$B:$B,0))</f>
        <v>0</v>
      </c>
      <c r="H330" s="289"/>
      <c r="I330" s="531">
        <v>328</v>
      </c>
    </row>
    <row r="331" spans="1:9" s="33" customFormat="1" hidden="1" x14ac:dyDescent="0.7">
      <c r="A331" s="251" t="s">
        <v>6018</v>
      </c>
      <c r="B331" s="212" t="s">
        <v>6019</v>
      </c>
      <c r="C331" s="11">
        <f>IFERROR(INDEX('5.งบทดลอง รพ.'!$C:$C,MATCH('6.WS-Re-Exp'!A331,'5.งบทดลอง รพ.'!$A:$A,0)),)</f>
        <v>0</v>
      </c>
      <c r="D331" s="6"/>
      <c r="E331" s="201" t="str">
        <f>INDEX('13.Mapping'!$F:$F,MATCH('6.WS-Re-Exp'!$A331,'13.Mapping'!$B:$B,0))</f>
        <v>52090</v>
      </c>
      <c r="F331" s="201" t="str">
        <f>INDEX('13.Mapping'!$D:$D,MATCH('6.WS-Re-Exp'!$A331,'13.Mapping'!$B:$B,0))</f>
        <v>P19</v>
      </c>
      <c r="G331" s="201">
        <f>INDEX('13.Mapping'!$K:$K,MATCH('6.WS-Re-Exp'!$A331,'13.Mapping'!$B:$B,0))</f>
        <v>0</v>
      </c>
      <c r="H331" s="289"/>
      <c r="I331" s="531">
        <v>329</v>
      </c>
    </row>
    <row r="332" spans="1:9" s="33" customFormat="1" hidden="1" x14ac:dyDescent="0.7">
      <c r="A332" s="251" t="s">
        <v>6020</v>
      </c>
      <c r="B332" s="212" t="s">
        <v>6021</v>
      </c>
      <c r="C332" s="11">
        <f>IFERROR(INDEX('5.งบทดลอง รพ.'!$C:$C,MATCH('6.WS-Re-Exp'!A332,'5.งบทดลอง รพ.'!$A:$A,0)),)</f>
        <v>0</v>
      </c>
      <c r="D332" s="6"/>
      <c r="E332" s="201" t="str">
        <f>INDEX('13.Mapping'!$F:$F,MATCH('6.WS-Re-Exp'!$A332,'13.Mapping'!$B:$B,0))</f>
        <v>52090</v>
      </c>
      <c r="F332" s="201" t="str">
        <f>INDEX('13.Mapping'!$D:$D,MATCH('6.WS-Re-Exp'!$A332,'13.Mapping'!$B:$B,0))</f>
        <v>P19</v>
      </c>
      <c r="G332" s="201" t="str">
        <f>INDEX('13.Mapping'!$K:$K,MATCH('6.WS-Re-Exp'!$A332,'13.Mapping'!$B:$B,0))</f>
        <v>PC18</v>
      </c>
      <c r="H332" s="289"/>
      <c r="I332" s="531">
        <v>330</v>
      </c>
    </row>
    <row r="333" spans="1:9" hidden="1" x14ac:dyDescent="0.7">
      <c r="A333" s="251" t="s">
        <v>6022</v>
      </c>
      <c r="B333" s="212" t="s">
        <v>6023</v>
      </c>
      <c r="C333" s="11">
        <f>IFERROR(INDEX('5.งบทดลอง รพ.'!$C:$C,MATCH('6.WS-Re-Exp'!A333,'5.งบทดลอง รพ.'!$A:$A,0)),)</f>
        <v>0</v>
      </c>
      <c r="E333" s="201" t="str">
        <f>INDEX('13.Mapping'!$F:$F,MATCH('6.WS-Re-Exp'!$A333,'13.Mapping'!$B:$B,0))</f>
        <v>52090</v>
      </c>
      <c r="F333" s="201" t="str">
        <f>INDEX('13.Mapping'!$D:$D,MATCH('6.WS-Re-Exp'!$A333,'13.Mapping'!$B:$B,0))</f>
        <v>P19</v>
      </c>
      <c r="G333" s="201" t="str">
        <f>INDEX('13.Mapping'!$K:$K,MATCH('6.WS-Re-Exp'!$A333,'13.Mapping'!$B:$B,0))</f>
        <v>PC18</v>
      </c>
      <c r="H333" s="350"/>
      <c r="I333" s="531">
        <v>331</v>
      </c>
    </row>
    <row r="334" spans="1:9" hidden="1" x14ac:dyDescent="0.7">
      <c r="A334" s="251" t="s">
        <v>5977</v>
      </c>
      <c r="B334" s="212" t="s">
        <v>5976</v>
      </c>
      <c r="C334" s="11">
        <f>IFERROR(INDEX('5.งบทดลอง รพ.'!$C:$C,MATCH('6.WS-Re-Exp'!A334,'5.งบทดลอง รพ.'!$A:$A,0)),)</f>
        <v>0</v>
      </c>
      <c r="E334" s="201" t="str">
        <f>INDEX('13.Mapping'!$F:$F,MATCH('6.WS-Re-Exp'!$A334,'13.Mapping'!$B:$B,0))</f>
        <v>51070</v>
      </c>
      <c r="F334" s="201" t="str">
        <f>INDEX('13.Mapping'!$D:$D,MATCH('6.WS-Re-Exp'!$A334,'13.Mapping'!$B:$B,0))</f>
        <v>P19</v>
      </c>
      <c r="G334" s="201">
        <f>INDEX('13.Mapping'!$K:$K,MATCH('6.WS-Re-Exp'!$A334,'13.Mapping'!$B:$B,0))</f>
        <v>0</v>
      </c>
      <c r="H334" s="350"/>
      <c r="I334" s="531">
        <v>332</v>
      </c>
    </row>
    <row r="335" spans="1:9" hidden="1" x14ac:dyDescent="0.7">
      <c r="A335" s="251" t="s">
        <v>5979</v>
      </c>
      <c r="B335" s="212" t="s">
        <v>6024</v>
      </c>
      <c r="C335" s="11">
        <f>IFERROR(INDEX('5.งบทดลอง รพ.'!$C:$C,MATCH('6.WS-Re-Exp'!A335,'5.งบทดลอง รพ.'!$A:$A,0)),)</f>
        <v>100000</v>
      </c>
      <c r="E335" s="201" t="str">
        <f>INDEX('13.Mapping'!$F:$F,MATCH('6.WS-Re-Exp'!$A335,'13.Mapping'!$B:$B,0))</f>
        <v>51070</v>
      </c>
      <c r="F335" s="201" t="str">
        <f>INDEX('13.Mapping'!$D:$D,MATCH('6.WS-Re-Exp'!$A335,'13.Mapping'!$B:$B,0))</f>
        <v>P19</v>
      </c>
      <c r="G335" s="201" t="str">
        <f>INDEX('13.Mapping'!$K:$K,MATCH('6.WS-Re-Exp'!$A335,'13.Mapping'!$B:$B,0))</f>
        <v>PC18</v>
      </c>
      <c r="H335" s="350"/>
      <c r="I335" s="531">
        <v>333</v>
      </c>
    </row>
    <row r="336" spans="1:9" hidden="1" x14ac:dyDescent="0.7">
      <c r="A336" s="251" t="s">
        <v>393</v>
      </c>
      <c r="B336" s="212" t="s">
        <v>394</v>
      </c>
      <c r="C336" s="11">
        <f>IFERROR(INDEX('5.งบทดลอง รพ.'!$C:$C,MATCH('6.WS-Re-Exp'!A336,'5.งบทดลอง รพ.'!$A:$A,0)),)</f>
        <v>363186.2</v>
      </c>
      <c r="E336" s="201" t="str">
        <f>INDEX('13.Mapping'!$F:$F,MATCH('6.WS-Re-Exp'!$A336,'13.Mapping'!$B:$B,0))</f>
        <v>53020</v>
      </c>
      <c r="F336" s="201" t="str">
        <f>INDEX('13.Mapping'!$D:$D,MATCH('6.WS-Re-Exp'!$A336,'13.Mapping'!$B:$B,0))</f>
        <v>P24</v>
      </c>
      <c r="G336" s="201">
        <f>INDEX('13.Mapping'!$K:$K,MATCH('6.WS-Re-Exp'!$A336,'13.Mapping'!$B:$B,0))</f>
        <v>0</v>
      </c>
      <c r="H336" s="350"/>
      <c r="I336" s="531">
        <v>334</v>
      </c>
    </row>
    <row r="337" spans="1:9" hidden="1" x14ac:dyDescent="0.7">
      <c r="A337" s="251" t="s">
        <v>395</v>
      </c>
      <c r="B337" s="212" t="s">
        <v>396</v>
      </c>
      <c r="C337" s="11">
        <f>IFERROR(INDEX('5.งบทดลอง รพ.'!$C:$C,MATCH('6.WS-Re-Exp'!A337,'5.งบทดลอง รพ.'!$A:$A,0)),)</f>
        <v>0</v>
      </c>
      <c r="E337" s="201" t="str">
        <f>INDEX('13.Mapping'!$F:$F,MATCH('6.WS-Re-Exp'!$A337,'13.Mapping'!$B:$B,0))</f>
        <v>53020</v>
      </c>
      <c r="F337" s="201" t="str">
        <f>INDEX('13.Mapping'!$D:$D,MATCH('6.WS-Re-Exp'!$A337,'13.Mapping'!$B:$B,0))</f>
        <v>P24</v>
      </c>
      <c r="G337" s="201">
        <f>INDEX('13.Mapping'!$K:$K,MATCH('6.WS-Re-Exp'!$A337,'13.Mapping'!$B:$B,0))</f>
        <v>0</v>
      </c>
      <c r="H337" s="350"/>
      <c r="I337" s="531">
        <v>335</v>
      </c>
    </row>
    <row r="338" spans="1:9" hidden="1" x14ac:dyDescent="0.7">
      <c r="A338" s="251" t="s">
        <v>397</v>
      </c>
      <c r="B338" s="212" t="s">
        <v>398</v>
      </c>
      <c r="C338" s="11">
        <f>IFERROR(INDEX('5.งบทดลอง รพ.'!$C:$C,MATCH('6.WS-Re-Exp'!A338,'5.งบทดลอง รพ.'!$A:$A,0)),)</f>
        <v>973978.87</v>
      </c>
      <c r="E338" s="201" t="str">
        <f>INDEX('13.Mapping'!$F:$F,MATCH('6.WS-Re-Exp'!$A338,'13.Mapping'!$B:$B,0))</f>
        <v>53020</v>
      </c>
      <c r="F338" s="201" t="str">
        <f>INDEX('13.Mapping'!$D:$D,MATCH('6.WS-Re-Exp'!$A338,'13.Mapping'!$B:$B,0))</f>
        <v>P24</v>
      </c>
      <c r="G338" s="201">
        <f>INDEX('13.Mapping'!$K:$K,MATCH('6.WS-Re-Exp'!$A338,'13.Mapping'!$B:$B,0))</f>
        <v>0</v>
      </c>
      <c r="H338" s="350"/>
      <c r="I338" s="531">
        <v>336</v>
      </c>
    </row>
    <row r="339" spans="1:9" hidden="1" x14ac:dyDescent="0.7">
      <c r="A339" s="251" t="s">
        <v>399</v>
      </c>
      <c r="B339" s="212" t="s">
        <v>400</v>
      </c>
      <c r="C339" s="11">
        <f>IFERROR(INDEX('5.งบทดลอง รพ.'!$C:$C,MATCH('6.WS-Re-Exp'!A339,'5.งบทดลอง รพ.'!$A:$A,0)),)</f>
        <v>599702.67000000004</v>
      </c>
      <c r="E339" s="201" t="str">
        <f>INDEX('13.Mapping'!$F:$F,MATCH('6.WS-Re-Exp'!$A339,'13.Mapping'!$B:$B,0))</f>
        <v>53020</v>
      </c>
      <c r="F339" s="201" t="str">
        <f>INDEX('13.Mapping'!$D:$D,MATCH('6.WS-Re-Exp'!$A339,'13.Mapping'!$B:$B,0))</f>
        <v>P24</v>
      </c>
      <c r="G339" s="201">
        <f>INDEX('13.Mapping'!$K:$K,MATCH('6.WS-Re-Exp'!$A339,'13.Mapping'!$B:$B,0))</f>
        <v>0</v>
      </c>
      <c r="H339" s="350"/>
      <c r="I339" s="531">
        <v>337</v>
      </c>
    </row>
    <row r="340" spans="1:9" hidden="1" x14ac:dyDescent="0.7">
      <c r="A340" s="251" t="s">
        <v>401</v>
      </c>
      <c r="B340" s="212" t="s">
        <v>402</v>
      </c>
      <c r="C340" s="11">
        <f>IFERROR(INDEX('5.งบทดลอง รพ.'!$C:$C,MATCH('6.WS-Re-Exp'!A340,'5.งบทดลอง รพ.'!$A:$A,0)),)</f>
        <v>0</v>
      </c>
      <c r="E340" s="201" t="str">
        <f>INDEX('13.Mapping'!$F:$F,MATCH('6.WS-Re-Exp'!$A340,'13.Mapping'!$B:$B,0))</f>
        <v>53020</v>
      </c>
      <c r="F340" s="201" t="str">
        <f>INDEX('13.Mapping'!$D:$D,MATCH('6.WS-Re-Exp'!$A340,'13.Mapping'!$B:$B,0))</f>
        <v>P24</v>
      </c>
      <c r="G340" s="201">
        <f>INDEX('13.Mapping'!$K:$K,MATCH('6.WS-Re-Exp'!$A340,'13.Mapping'!$B:$B,0))</f>
        <v>0</v>
      </c>
      <c r="H340" s="350"/>
      <c r="I340" s="531">
        <v>338</v>
      </c>
    </row>
    <row r="341" spans="1:9" hidden="1" x14ac:dyDescent="0.7">
      <c r="A341" s="251" t="s">
        <v>403</v>
      </c>
      <c r="B341" s="212" t="s">
        <v>404</v>
      </c>
      <c r="C341" s="11">
        <f>IFERROR(INDEX('5.งบทดลอง รพ.'!$C:$C,MATCH('6.WS-Re-Exp'!A341,'5.งบทดลอง รพ.'!$A:$A,0)),)</f>
        <v>0</v>
      </c>
      <c r="E341" s="201" t="str">
        <f>INDEX('13.Mapping'!$F:$F,MATCH('6.WS-Re-Exp'!$A341,'13.Mapping'!$B:$B,0))</f>
        <v>53020</v>
      </c>
      <c r="F341" s="201" t="str">
        <f>INDEX('13.Mapping'!$D:$D,MATCH('6.WS-Re-Exp'!$A341,'13.Mapping'!$B:$B,0))</f>
        <v>P24</v>
      </c>
      <c r="G341" s="201">
        <f>INDEX('13.Mapping'!$K:$K,MATCH('6.WS-Re-Exp'!$A341,'13.Mapping'!$B:$B,0))</f>
        <v>0</v>
      </c>
      <c r="H341" s="350"/>
      <c r="I341" s="531">
        <v>339</v>
      </c>
    </row>
    <row r="342" spans="1:9" hidden="1" x14ac:dyDescent="0.7">
      <c r="A342" s="251" t="s">
        <v>405</v>
      </c>
      <c r="B342" s="212" t="s">
        <v>406</v>
      </c>
      <c r="C342" s="11">
        <f>IFERROR(INDEX('5.งบทดลอง รพ.'!$C:$C,MATCH('6.WS-Re-Exp'!A342,'5.งบทดลอง รพ.'!$A:$A,0)),)</f>
        <v>0</v>
      </c>
      <c r="E342" s="201" t="str">
        <f>INDEX('13.Mapping'!$F:$F,MATCH('6.WS-Re-Exp'!$A342,'13.Mapping'!$B:$B,0))</f>
        <v>53020</v>
      </c>
      <c r="F342" s="201" t="str">
        <f>INDEX('13.Mapping'!$D:$D,MATCH('6.WS-Re-Exp'!$A342,'13.Mapping'!$B:$B,0))</f>
        <v>P24</v>
      </c>
      <c r="G342" s="201">
        <f>INDEX('13.Mapping'!$K:$K,MATCH('6.WS-Re-Exp'!$A342,'13.Mapping'!$B:$B,0))</f>
        <v>0</v>
      </c>
      <c r="H342" s="350"/>
      <c r="I342" s="531">
        <v>340</v>
      </c>
    </row>
    <row r="343" spans="1:9" hidden="1" x14ac:dyDescent="0.7">
      <c r="A343" s="251" t="s">
        <v>407</v>
      </c>
      <c r="B343" s="212" t="s">
        <v>408</v>
      </c>
      <c r="C343" s="11">
        <f>IFERROR(INDEX('5.งบทดลอง รพ.'!$C:$C,MATCH('6.WS-Re-Exp'!A343,'5.งบทดลอง รพ.'!$A:$A,0)),)</f>
        <v>0</v>
      </c>
      <c r="E343" s="201" t="str">
        <f>INDEX('13.Mapping'!$F:$F,MATCH('6.WS-Re-Exp'!$A343,'13.Mapping'!$B:$B,0))</f>
        <v>53020</v>
      </c>
      <c r="F343" s="201" t="str">
        <f>INDEX('13.Mapping'!$D:$D,MATCH('6.WS-Re-Exp'!$A343,'13.Mapping'!$B:$B,0))</f>
        <v>P24</v>
      </c>
      <c r="G343" s="201">
        <f>INDEX('13.Mapping'!$K:$K,MATCH('6.WS-Re-Exp'!$A343,'13.Mapping'!$B:$B,0))</f>
        <v>0</v>
      </c>
      <c r="H343" s="350"/>
      <c r="I343" s="531">
        <v>341</v>
      </c>
    </row>
    <row r="344" spans="1:9" hidden="1" x14ac:dyDescent="0.7">
      <c r="A344" s="251" t="s">
        <v>409</v>
      </c>
      <c r="B344" s="212" t="s">
        <v>410</v>
      </c>
      <c r="C344" s="11">
        <f>IFERROR(INDEX('5.งบทดลอง รพ.'!$C:$C,MATCH('6.WS-Re-Exp'!A344,'5.งบทดลอง รพ.'!$A:$A,0)),)</f>
        <v>0</v>
      </c>
      <c r="E344" s="201" t="str">
        <f>INDEX('13.Mapping'!$F:$F,MATCH('6.WS-Re-Exp'!$A344,'13.Mapping'!$B:$B,0))</f>
        <v>53020</v>
      </c>
      <c r="F344" s="201" t="str">
        <f>INDEX('13.Mapping'!$D:$D,MATCH('6.WS-Re-Exp'!$A344,'13.Mapping'!$B:$B,0))</f>
        <v>P24</v>
      </c>
      <c r="G344" s="201">
        <f>INDEX('13.Mapping'!$K:$K,MATCH('6.WS-Re-Exp'!$A344,'13.Mapping'!$B:$B,0))</f>
        <v>0</v>
      </c>
      <c r="H344" s="350"/>
      <c r="I344" s="531">
        <v>342</v>
      </c>
    </row>
    <row r="345" spans="1:9" hidden="1" x14ac:dyDescent="0.7">
      <c r="A345" s="251" t="s">
        <v>411</v>
      </c>
      <c r="B345" s="212" t="s">
        <v>412</v>
      </c>
      <c r="C345" s="11">
        <f>IFERROR(INDEX('5.งบทดลอง รพ.'!$C:$C,MATCH('6.WS-Re-Exp'!A345,'5.งบทดลอง รพ.'!$A:$A,0)),)</f>
        <v>0</v>
      </c>
      <c r="E345" s="201" t="str">
        <f>INDEX('13.Mapping'!$F:$F,MATCH('6.WS-Re-Exp'!$A345,'13.Mapping'!$B:$B,0))</f>
        <v>53030</v>
      </c>
      <c r="F345" s="201" t="str">
        <f>INDEX('13.Mapping'!$D:$D,MATCH('6.WS-Re-Exp'!$A345,'13.Mapping'!$B:$B,0))</f>
        <v>P24</v>
      </c>
      <c r="G345" s="201">
        <f>INDEX('13.Mapping'!$K:$K,MATCH('6.WS-Re-Exp'!$A345,'13.Mapping'!$B:$B,0))</f>
        <v>0</v>
      </c>
      <c r="H345" s="350"/>
      <c r="I345" s="531">
        <v>343</v>
      </c>
    </row>
    <row r="346" spans="1:9" hidden="1" x14ac:dyDescent="0.7">
      <c r="A346" s="251" t="s">
        <v>413</v>
      </c>
      <c r="B346" s="212" t="s">
        <v>414</v>
      </c>
      <c r="C346" s="11">
        <f>IFERROR(INDEX('5.งบทดลอง รพ.'!$C:$C,MATCH('6.WS-Re-Exp'!A346,'5.งบทดลอง รพ.'!$A:$A,0)),)</f>
        <v>0</v>
      </c>
      <c r="E346" s="201" t="str">
        <f>INDEX('13.Mapping'!$F:$F,MATCH('6.WS-Re-Exp'!$A346,'13.Mapping'!$B:$B,0))</f>
        <v>53030</v>
      </c>
      <c r="F346" s="201" t="str">
        <f>INDEX('13.Mapping'!$D:$D,MATCH('6.WS-Re-Exp'!$A346,'13.Mapping'!$B:$B,0))</f>
        <v>P24</v>
      </c>
      <c r="G346" s="201">
        <f>INDEX('13.Mapping'!$K:$K,MATCH('6.WS-Re-Exp'!$A346,'13.Mapping'!$B:$B,0))</f>
        <v>0</v>
      </c>
      <c r="H346" s="350"/>
      <c r="I346" s="531">
        <v>344</v>
      </c>
    </row>
    <row r="347" spans="1:9" hidden="1" x14ac:dyDescent="0.7">
      <c r="A347" s="251" t="s">
        <v>415</v>
      </c>
      <c r="B347" s="212" t="s">
        <v>416</v>
      </c>
      <c r="C347" s="11">
        <f>IFERROR(INDEX('5.งบทดลอง รพ.'!$C:$C,MATCH('6.WS-Re-Exp'!A347,'5.งบทดลอง รพ.'!$A:$A,0)),)</f>
        <v>0</v>
      </c>
      <c r="E347" s="201" t="str">
        <f>INDEX('13.Mapping'!$F:$F,MATCH('6.WS-Re-Exp'!$A347,'13.Mapping'!$B:$B,0))</f>
        <v>53030</v>
      </c>
      <c r="F347" s="201" t="str">
        <f>INDEX('13.Mapping'!$D:$D,MATCH('6.WS-Re-Exp'!$A347,'13.Mapping'!$B:$B,0))</f>
        <v>P24</v>
      </c>
      <c r="G347" s="201">
        <f>INDEX('13.Mapping'!$K:$K,MATCH('6.WS-Re-Exp'!$A347,'13.Mapping'!$B:$B,0))</f>
        <v>0</v>
      </c>
      <c r="H347" s="350"/>
      <c r="I347" s="531">
        <v>345</v>
      </c>
    </row>
    <row r="348" spans="1:9" hidden="1" x14ac:dyDescent="0.7">
      <c r="A348" s="251" t="s">
        <v>417</v>
      </c>
      <c r="B348" s="212" t="s">
        <v>418</v>
      </c>
      <c r="C348" s="11">
        <f>IFERROR(INDEX('5.งบทดลอง รพ.'!$C:$C,MATCH('6.WS-Re-Exp'!A348,'5.งบทดลอง รพ.'!$A:$A,0)),)</f>
        <v>0</v>
      </c>
      <c r="E348" s="201" t="str">
        <f>INDEX('13.Mapping'!$F:$F,MATCH('6.WS-Re-Exp'!$A348,'13.Mapping'!$B:$B,0))</f>
        <v>53030</v>
      </c>
      <c r="F348" s="201" t="str">
        <f>INDEX('13.Mapping'!$D:$D,MATCH('6.WS-Re-Exp'!$A348,'13.Mapping'!$B:$B,0))</f>
        <v>P24</v>
      </c>
      <c r="G348" s="201">
        <f>INDEX('13.Mapping'!$K:$K,MATCH('6.WS-Re-Exp'!$A348,'13.Mapping'!$B:$B,0))</f>
        <v>0</v>
      </c>
      <c r="H348" s="350"/>
      <c r="I348" s="531">
        <v>346</v>
      </c>
    </row>
    <row r="349" spans="1:9" hidden="1" x14ac:dyDescent="0.7">
      <c r="A349" s="251" t="s">
        <v>419</v>
      </c>
      <c r="B349" s="212" t="s">
        <v>420</v>
      </c>
      <c r="C349" s="11">
        <f>IFERROR(INDEX('5.งบทดลอง รพ.'!$C:$C,MATCH('6.WS-Re-Exp'!A349,'5.งบทดลอง รพ.'!$A:$A,0)),)</f>
        <v>0</v>
      </c>
      <c r="E349" s="201" t="str">
        <f>INDEX('13.Mapping'!$F:$F,MATCH('6.WS-Re-Exp'!$A349,'13.Mapping'!$B:$B,0))</f>
        <v>53030</v>
      </c>
      <c r="F349" s="201" t="str">
        <f>INDEX('13.Mapping'!$D:$D,MATCH('6.WS-Re-Exp'!$A349,'13.Mapping'!$B:$B,0))</f>
        <v>P24</v>
      </c>
      <c r="G349" s="201">
        <f>INDEX('13.Mapping'!$K:$K,MATCH('6.WS-Re-Exp'!$A349,'13.Mapping'!$B:$B,0))</f>
        <v>0</v>
      </c>
      <c r="H349" s="350"/>
      <c r="I349" s="531">
        <v>347</v>
      </c>
    </row>
    <row r="350" spans="1:9" hidden="1" x14ac:dyDescent="0.7">
      <c r="A350" s="251" t="s">
        <v>5981</v>
      </c>
      <c r="B350" s="212" t="s">
        <v>5980</v>
      </c>
      <c r="C350" s="11">
        <f>IFERROR(INDEX('5.งบทดลอง รพ.'!$C:$C,MATCH('6.WS-Re-Exp'!A350,'5.งบทดลอง รพ.'!$A:$A,0)),)</f>
        <v>0</v>
      </c>
      <c r="E350" s="201" t="str">
        <f>INDEX('13.Mapping'!$F:$F,MATCH('6.WS-Re-Exp'!$A350,'13.Mapping'!$B:$B,0))</f>
        <v>53030</v>
      </c>
      <c r="F350" s="201" t="str">
        <f>INDEX('13.Mapping'!$D:$D,MATCH('6.WS-Re-Exp'!$A350,'13.Mapping'!$B:$B,0))</f>
        <v>P24</v>
      </c>
      <c r="G350" s="201">
        <f>INDEX('13.Mapping'!$K:$K,MATCH('6.WS-Re-Exp'!$A350,'13.Mapping'!$B:$B,0))</f>
        <v>0</v>
      </c>
      <c r="H350" s="350"/>
      <c r="I350" s="531">
        <v>348</v>
      </c>
    </row>
    <row r="351" spans="1:9" hidden="1" x14ac:dyDescent="0.7">
      <c r="A351" s="251" t="s">
        <v>421</v>
      </c>
      <c r="B351" s="212" t="s">
        <v>422</v>
      </c>
      <c r="C351" s="11">
        <f>IFERROR(INDEX('5.งบทดลอง รพ.'!$C:$C,MATCH('6.WS-Re-Exp'!A351,'5.งบทดลอง รพ.'!$A:$A,0)),)</f>
        <v>0</v>
      </c>
      <c r="E351" s="201" t="str">
        <f>INDEX('13.Mapping'!$F:$F,MATCH('6.WS-Re-Exp'!$A351,'13.Mapping'!$B:$B,0))</f>
        <v>53030</v>
      </c>
      <c r="F351" s="201" t="str">
        <f>INDEX('13.Mapping'!$D:$D,MATCH('6.WS-Re-Exp'!$A351,'13.Mapping'!$B:$B,0))</f>
        <v>P24</v>
      </c>
      <c r="G351" s="201">
        <f>INDEX('13.Mapping'!$K:$K,MATCH('6.WS-Re-Exp'!$A351,'13.Mapping'!$B:$B,0))</f>
        <v>0</v>
      </c>
      <c r="H351" s="350"/>
      <c r="I351" s="531">
        <v>349</v>
      </c>
    </row>
    <row r="352" spans="1:9" hidden="1" x14ac:dyDescent="0.7">
      <c r="A352" s="251" t="s">
        <v>423</v>
      </c>
      <c r="B352" s="212" t="s">
        <v>424</v>
      </c>
      <c r="C352" s="11">
        <f>IFERROR(INDEX('5.งบทดลอง รพ.'!$C:$C,MATCH('6.WS-Re-Exp'!A352,'5.งบทดลอง รพ.'!$A:$A,0)),)</f>
        <v>4836.0200000000004</v>
      </c>
      <c r="E352" s="201" t="str">
        <f>INDEX('13.Mapping'!$F:$F,MATCH('6.WS-Re-Exp'!$A352,'13.Mapping'!$B:$B,0))</f>
        <v>53030</v>
      </c>
      <c r="F352" s="201" t="str">
        <f>INDEX('13.Mapping'!$D:$D,MATCH('6.WS-Re-Exp'!$A352,'13.Mapping'!$B:$B,0))</f>
        <v>P24</v>
      </c>
      <c r="G352" s="201">
        <f>INDEX('13.Mapping'!$K:$K,MATCH('6.WS-Re-Exp'!$A352,'13.Mapping'!$B:$B,0))</f>
        <v>0</v>
      </c>
      <c r="H352" s="350"/>
      <c r="I352" s="531">
        <v>350</v>
      </c>
    </row>
    <row r="353" spans="1:9" hidden="1" x14ac:dyDescent="0.7">
      <c r="A353" s="251" t="s">
        <v>425</v>
      </c>
      <c r="B353" s="212" t="s">
        <v>426</v>
      </c>
      <c r="C353" s="11">
        <f>IFERROR(INDEX('5.งบทดลอง รพ.'!$C:$C,MATCH('6.WS-Re-Exp'!A353,'5.งบทดลอง รพ.'!$A:$A,0)),)</f>
        <v>0</v>
      </c>
      <c r="E353" s="201" t="str">
        <f>INDEX('13.Mapping'!$F:$F,MATCH('6.WS-Re-Exp'!$A353,'13.Mapping'!$B:$B,0))</f>
        <v>53030</v>
      </c>
      <c r="F353" s="201" t="str">
        <f>INDEX('13.Mapping'!$D:$D,MATCH('6.WS-Re-Exp'!$A353,'13.Mapping'!$B:$B,0))</f>
        <v>P24</v>
      </c>
      <c r="G353" s="201">
        <f>INDEX('13.Mapping'!$K:$K,MATCH('6.WS-Re-Exp'!$A353,'13.Mapping'!$B:$B,0))</f>
        <v>0</v>
      </c>
      <c r="H353" s="350"/>
      <c r="I353" s="531">
        <v>351</v>
      </c>
    </row>
    <row r="354" spans="1:9" hidden="1" x14ac:dyDescent="0.7">
      <c r="A354" s="251" t="s">
        <v>819</v>
      </c>
      <c r="B354" s="212" t="s">
        <v>820</v>
      </c>
      <c r="C354" s="11">
        <f>IFERROR(INDEX('5.งบทดลอง รพ.'!$C:$C,MATCH('6.WS-Re-Exp'!A354,'5.งบทดลอง รพ.'!$A:$A,0)),)</f>
        <v>0</v>
      </c>
      <c r="E354" s="201" t="str">
        <f>INDEX('13.Mapping'!$F:$F,MATCH('6.WS-Re-Exp'!$A354,'13.Mapping'!$B:$B,0))</f>
        <v>53030</v>
      </c>
      <c r="F354" s="201" t="str">
        <f>INDEX('13.Mapping'!$D:$D,MATCH('6.WS-Re-Exp'!$A354,'13.Mapping'!$B:$B,0))</f>
        <v>P24</v>
      </c>
      <c r="G354" s="201">
        <f>INDEX('13.Mapping'!$K:$K,MATCH('6.WS-Re-Exp'!$A354,'13.Mapping'!$B:$B,0))</f>
        <v>0</v>
      </c>
      <c r="H354" s="350"/>
      <c r="I354" s="531">
        <v>352</v>
      </c>
    </row>
    <row r="355" spans="1:9" hidden="1" x14ac:dyDescent="0.7">
      <c r="A355" s="251" t="s">
        <v>427</v>
      </c>
      <c r="B355" s="212" t="s">
        <v>428</v>
      </c>
      <c r="C355" s="11">
        <f>IFERROR(INDEX('5.งบทดลอง รพ.'!$C:$C,MATCH('6.WS-Re-Exp'!A355,'5.งบทดลอง รพ.'!$A:$A,0)),)</f>
        <v>0</v>
      </c>
      <c r="E355" s="201" t="str">
        <f>INDEX('13.Mapping'!$F:$F,MATCH('6.WS-Re-Exp'!$A355,'13.Mapping'!$B:$B,0))</f>
        <v>53030</v>
      </c>
      <c r="F355" s="201" t="str">
        <f>INDEX('13.Mapping'!$D:$D,MATCH('6.WS-Re-Exp'!$A355,'13.Mapping'!$B:$B,0))</f>
        <v>P24</v>
      </c>
      <c r="G355" s="201">
        <f>INDEX('13.Mapping'!$K:$K,MATCH('6.WS-Re-Exp'!$A355,'13.Mapping'!$B:$B,0))</f>
        <v>0</v>
      </c>
      <c r="H355" s="350"/>
      <c r="I355" s="531">
        <v>353</v>
      </c>
    </row>
    <row r="356" spans="1:9" hidden="1" x14ac:dyDescent="0.7">
      <c r="A356" s="251" t="s">
        <v>821</v>
      </c>
      <c r="B356" s="212" t="s">
        <v>822</v>
      </c>
      <c r="C356" s="11">
        <f>IFERROR(INDEX('5.งบทดลอง รพ.'!$C:$C,MATCH('6.WS-Re-Exp'!A356,'5.งบทดลอง รพ.'!$A:$A,0)),)</f>
        <v>0</v>
      </c>
      <c r="E356" s="201" t="str">
        <f>INDEX('13.Mapping'!$F:$F,MATCH('6.WS-Re-Exp'!$A356,'13.Mapping'!$B:$B,0))</f>
        <v>53030</v>
      </c>
      <c r="F356" s="201" t="str">
        <f>INDEX('13.Mapping'!$D:$D,MATCH('6.WS-Re-Exp'!$A356,'13.Mapping'!$B:$B,0))</f>
        <v>P24</v>
      </c>
      <c r="G356" s="201">
        <f>INDEX('13.Mapping'!$K:$K,MATCH('6.WS-Re-Exp'!$A356,'13.Mapping'!$B:$B,0))</f>
        <v>0</v>
      </c>
      <c r="H356" s="350"/>
      <c r="I356" s="531">
        <v>354</v>
      </c>
    </row>
    <row r="357" spans="1:9" hidden="1" x14ac:dyDescent="0.7">
      <c r="A357" s="251" t="s">
        <v>823</v>
      </c>
      <c r="B357" s="212" t="s">
        <v>824</v>
      </c>
      <c r="C357" s="11">
        <f>IFERROR(INDEX('5.งบทดลอง รพ.'!$C:$C,MATCH('6.WS-Re-Exp'!A357,'5.งบทดลอง รพ.'!$A:$A,0)),)</f>
        <v>0</v>
      </c>
      <c r="E357" s="201" t="str">
        <f>INDEX('13.Mapping'!$F:$F,MATCH('6.WS-Re-Exp'!$A357,'13.Mapping'!$B:$B,0))</f>
        <v>53030</v>
      </c>
      <c r="F357" s="201" t="str">
        <f>INDEX('13.Mapping'!$D:$D,MATCH('6.WS-Re-Exp'!$A357,'13.Mapping'!$B:$B,0))</f>
        <v>P24</v>
      </c>
      <c r="G357" s="201">
        <f>INDEX('13.Mapping'!$K:$K,MATCH('6.WS-Re-Exp'!$A357,'13.Mapping'!$B:$B,0))</f>
        <v>0</v>
      </c>
      <c r="H357" s="350"/>
      <c r="I357" s="531">
        <v>355</v>
      </c>
    </row>
    <row r="358" spans="1:9" hidden="1" x14ac:dyDescent="0.7">
      <c r="A358" s="251" t="s">
        <v>825</v>
      </c>
      <c r="B358" s="212" t="s">
        <v>826</v>
      </c>
      <c r="C358" s="11">
        <f>IFERROR(INDEX('5.งบทดลอง รพ.'!$C:$C,MATCH('6.WS-Re-Exp'!A358,'5.งบทดลอง รพ.'!$A:$A,0)),)</f>
        <v>0</v>
      </c>
      <c r="E358" s="201" t="str">
        <f>INDEX('13.Mapping'!$F:$F,MATCH('6.WS-Re-Exp'!$A358,'13.Mapping'!$B:$B,0))</f>
        <v>53030</v>
      </c>
      <c r="F358" s="201" t="str">
        <f>INDEX('13.Mapping'!$D:$D,MATCH('6.WS-Re-Exp'!$A358,'13.Mapping'!$B:$B,0))</f>
        <v>P24</v>
      </c>
      <c r="G358" s="201">
        <f>INDEX('13.Mapping'!$K:$K,MATCH('6.WS-Re-Exp'!$A358,'13.Mapping'!$B:$B,0))</f>
        <v>0</v>
      </c>
      <c r="H358" s="350"/>
      <c r="I358" s="531">
        <v>356</v>
      </c>
    </row>
    <row r="359" spans="1:9" hidden="1" x14ac:dyDescent="0.7">
      <c r="A359" s="251" t="s">
        <v>429</v>
      </c>
      <c r="B359" s="212" t="s">
        <v>430</v>
      </c>
      <c r="C359" s="11">
        <f>IFERROR(INDEX('5.งบทดลอง รพ.'!$C:$C,MATCH('6.WS-Re-Exp'!A359,'5.งบทดลอง รพ.'!$A:$A,0)),)</f>
        <v>0</v>
      </c>
      <c r="E359" s="201" t="str">
        <f>INDEX('13.Mapping'!$F:$F,MATCH('6.WS-Re-Exp'!$A359,'13.Mapping'!$B:$B,0))</f>
        <v>53030</v>
      </c>
      <c r="F359" s="201" t="str">
        <f>INDEX('13.Mapping'!$D:$D,MATCH('6.WS-Re-Exp'!$A359,'13.Mapping'!$B:$B,0))</f>
        <v>P24</v>
      </c>
      <c r="G359" s="201">
        <f>INDEX('13.Mapping'!$K:$K,MATCH('6.WS-Re-Exp'!$A359,'13.Mapping'!$B:$B,0))</f>
        <v>0</v>
      </c>
      <c r="H359" s="350"/>
      <c r="I359" s="531">
        <v>357</v>
      </c>
    </row>
    <row r="360" spans="1:9" hidden="1" x14ac:dyDescent="0.7">
      <c r="A360" s="251" t="s">
        <v>431</v>
      </c>
      <c r="B360" s="212" t="s">
        <v>432</v>
      </c>
      <c r="C360" s="11">
        <f>IFERROR(INDEX('5.งบทดลอง รพ.'!$C:$C,MATCH('6.WS-Re-Exp'!A360,'5.งบทดลอง รพ.'!$A:$A,0)),)</f>
        <v>14944.78</v>
      </c>
      <c r="E360" s="201" t="str">
        <f>INDEX('13.Mapping'!$F:$F,MATCH('6.WS-Re-Exp'!$A360,'13.Mapping'!$B:$B,0))</f>
        <v>53060</v>
      </c>
      <c r="F360" s="201" t="str">
        <f>INDEX('13.Mapping'!$D:$D,MATCH('6.WS-Re-Exp'!$A360,'13.Mapping'!$B:$B,0))</f>
        <v>P24</v>
      </c>
      <c r="G360" s="201">
        <f>INDEX('13.Mapping'!$K:$K,MATCH('6.WS-Re-Exp'!$A360,'13.Mapping'!$B:$B,0))</f>
        <v>0</v>
      </c>
      <c r="H360" s="350"/>
      <c r="I360" s="531">
        <v>358</v>
      </c>
    </row>
    <row r="361" spans="1:9" hidden="1" x14ac:dyDescent="0.7">
      <c r="A361" s="251" t="s">
        <v>433</v>
      </c>
      <c r="B361" s="212" t="s">
        <v>434</v>
      </c>
      <c r="C361" s="11">
        <f>IFERROR(INDEX('5.งบทดลอง รพ.'!$C:$C,MATCH('6.WS-Re-Exp'!A361,'5.งบทดลอง รพ.'!$A:$A,0)),)</f>
        <v>0</v>
      </c>
      <c r="E361" s="201" t="str">
        <f>INDEX('13.Mapping'!$F:$F,MATCH('6.WS-Re-Exp'!$A361,'13.Mapping'!$B:$B,0))</f>
        <v>53060</v>
      </c>
      <c r="F361" s="201" t="str">
        <f>INDEX('13.Mapping'!$D:$D,MATCH('6.WS-Re-Exp'!$A361,'13.Mapping'!$B:$B,0))</f>
        <v>P24</v>
      </c>
      <c r="G361" s="201">
        <f>INDEX('13.Mapping'!$K:$K,MATCH('6.WS-Re-Exp'!$A361,'13.Mapping'!$B:$B,0))</f>
        <v>0</v>
      </c>
      <c r="H361" s="350"/>
      <c r="I361" s="531">
        <v>359</v>
      </c>
    </row>
    <row r="362" spans="1:9" hidden="1" x14ac:dyDescent="0.7">
      <c r="A362" s="251" t="s">
        <v>435</v>
      </c>
      <c r="B362" s="212" t="s">
        <v>436</v>
      </c>
      <c r="C362" s="11">
        <f>IFERROR(INDEX('5.งบทดลอง รพ.'!$C:$C,MATCH('6.WS-Re-Exp'!A362,'5.งบทดลอง รพ.'!$A:$A,0)),)</f>
        <v>0</v>
      </c>
      <c r="E362" s="201" t="str">
        <f>INDEX('13.Mapping'!$F:$F,MATCH('6.WS-Re-Exp'!$A362,'13.Mapping'!$B:$B,0))</f>
        <v>53020</v>
      </c>
      <c r="F362" s="201" t="str">
        <f>INDEX('13.Mapping'!$D:$D,MATCH('6.WS-Re-Exp'!$A362,'13.Mapping'!$B:$B,0))</f>
        <v>P24</v>
      </c>
      <c r="G362" s="201">
        <f>INDEX('13.Mapping'!$K:$K,MATCH('6.WS-Re-Exp'!$A362,'13.Mapping'!$B:$B,0))</f>
        <v>0</v>
      </c>
      <c r="H362" s="350"/>
      <c r="I362" s="531">
        <v>360</v>
      </c>
    </row>
    <row r="363" spans="1:9" hidden="1" x14ac:dyDescent="0.7">
      <c r="A363" s="251" t="s">
        <v>437</v>
      </c>
      <c r="B363" s="212" t="s">
        <v>438</v>
      </c>
      <c r="C363" s="11">
        <f>IFERROR(INDEX('5.งบทดลอง รพ.'!$C:$C,MATCH('6.WS-Re-Exp'!A363,'5.งบทดลอง รพ.'!$A:$A,0)),)</f>
        <v>0</v>
      </c>
      <c r="E363" s="201" t="str">
        <f>INDEX('13.Mapping'!$F:$F,MATCH('6.WS-Re-Exp'!$A363,'13.Mapping'!$B:$B,0))</f>
        <v>53020</v>
      </c>
      <c r="F363" s="201" t="str">
        <f>INDEX('13.Mapping'!$D:$D,MATCH('6.WS-Re-Exp'!$A363,'13.Mapping'!$B:$B,0))</f>
        <v>P24</v>
      </c>
      <c r="G363" s="201">
        <f>INDEX('13.Mapping'!$K:$K,MATCH('6.WS-Re-Exp'!$A363,'13.Mapping'!$B:$B,0))</f>
        <v>0</v>
      </c>
      <c r="H363" s="350"/>
      <c r="I363" s="531">
        <v>361</v>
      </c>
    </row>
    <row r="364" spans="1:9" hidden="1" x14ac:dyDescent="0.7">
      <c r="A364" s="251" t="s">
        <v>439</v>
      </c>
      <c r="B364" s="212" t="s">
        <v>440</v>
      </c>
      <c r="C364" s="11">
        <f>IFERROR(INDEX('5.งบทดลอง รพ.'!$C:$C,MATCH('6.WS-Re-Exp'!A364,'5.งบทดลอง รพ.'!$A:$A,0)),)</f>
        <v>0</v>
      </c>
      <c r="E364" s="201" t="str">
        <f>INDEX('13.Mapping'!$F:$F,MATCH('6.WS-Re-Exp'!$A364,'13.Mapping'!$B:$B,0))</f>
        <v>53020</v>
      </c>
      <c r="F364" s="201" t="str">
        <f>INDEX('13.Mapping'!$D:$D,MATCH('6.WS-Re-Exp'!$A364,'13.Mapping'!$B:$B,0))</f>
        <v>P24</v>
      </c>
      <c r="G364" s="201">
        <f>INDEX('13.Mapping'!$K:$K,MATCH('6.WS-Re-Exp'!$A364,'13.Mapping'!$B:$B,0))</f>
        <v>0</v>
      </c>
      <c r="H364" s="350"/>
      <c r="I364" s="531">
        <v>362</v>
      </c>
    </row>
    <row r="365" spans="1:9" hidden="1" x14ac:dyDescent="0.7">
      <c r="A365" s="251" t="s">
        <v>441</v>
      </c>
      <c r="B365" s="212" t="s">
        <v>442</v>
      </c>
      <c r="C365" s="11">
        <f>IFERROR(INDEX('5.งบทดลอง รพ.'!$C:$C,MATCH('6.WS-Re-Exp'!A365,'5.งบทดลอง รพ.'!$A:$A,0)),)</f>
        <v>43597.86</v>
      </c>
      <c r="E365" s="201" t="str">
        <f>INDEX('13.Mapping'!$F:$F,MATCH('6.WS-Re-Exp'!$A365,'13.Mapping'!$B:$B,0))</f>
        <v>53020</v>
      </c>
      <c r="F365" s="201" t="str">
        <f>INDEX('13.Mapping'!$D:$D,MATCH('6.WS-Re-Exp'!$A365,'13.Mapping'!$B:$B,0))</f>
        <v>P24</v>
      </c>
      <c r="G365" s="201">
        <f>INDEX('13.Mapping'!$K:$K,MATCH('6.WS-Re-Exp'!$A365,'13.Mapping'!$B:$B,0))</f>
        <v>0</v>
      </c>
      <c r="H365" s="350"/>
      <c r="I365" s="531">
        <v>363</v>
      </c>
    </row>
    <row r="366" spans="1:9" hidden="1" x14ac:dyDescent="0.7">
      <c r="A366" s="251" t="s">
        <v>443</v>
      </c>
      <c r="B366" s="212" t="s">
        <v>444</v>
      </c>
      <c r="C366" s="11">
        <f>IFERROR(INDEX('5.งบทดลอง รพ.'!$C:$C,MATCH('6.WS-Re-Exp'!A366,'5.งบทดลอง รพ.'!$A:$A,0)),)</f>
        <v>232451.48</v>
      </c>
      <c r="E366" s="201" t="str">
        <f>INDEX('13.Mapping'!$F:$F,MATCH('6.WS-Re-Exp'!$A366,'13.Mapping'!$B:$B,0))</f>
        <v>53020</v>
      </c>
      <c r="F366" s="201" t="str">
        <f>INDEX('13.Mapping'!$D:$D,MATCH('6.WS-Re-Exp'!$A366,'13.Mapping'!$B:$B,0))</f>
        <v>P24</v>
      </c>
      <c r="G366" s="201">
        <f>INDEX('13.Mapping'!$K:$K,MATCH('6.WS-Re-Exp'!$A366,'13.Mapping'!$B:$B,0))</f>
        <v>0</v>
      </c>
      <c r="H366" s="350"/>
      <c r="I366" s="531">
        <v>364</v>
      </c>
    </row>
    <row r="367" spans="1:9" hidden="1" x14ac:dyDescent="0.7">
      <c r="A367" s="251" t="s">
        <v>445</v>
      </c>
      <c r="B367" s="212" t="s">
        <v>446</v>
      </c>
      <c r="C367" s="11">
        <f>IFERROR(INDEX('5.งบทดลอง รพ.'!$C:$C,MATCH('6.WS-Re-Exp'!A367,'5.งบทดลอง รพ.'!$A:$A,0)),)</f>
        <v>0</v>
      </c>
      <c r="E367" s="201" t="str">
        <f>INDEX('13.Mapping'!$F:$F,MATCH('6.WS-Re-Exp'!$A367,'13.Mapping'!$B:$B,0))</f>
        <v>53020</v>
      </c>
      <c r="F367" s="201" t="str">
        <f>INDEX('13.Mapping'!$D:$D,MATCH('6.WS-Re-Exp'!$A367,'13.Mapping'!$B:$B,0))</f>
        <v>P24</v>
      </c>
      <c r="G367" s="201">
        <f>INDEX('13.Mapping'!$K:$K,MATCH('6.WS-Re-Exp'!$A367,'13.Mapping'!$B:$B,0))</f>
        <v>0</v>
      </c>
      <c r="H367" s="350"/>
      <c r="I367" s="531">
        <v>365</v>
      </c>
    </row>
    <row r="368" spans="1:9" hidden="1" x14ac:dyDescent="0.7">
      <c r="A368" s="251" t="s">
        <v>447</v>
      </c>
      <c r="B368" s="212" t="s">
        <v>448</v>
      </c>
      <c r="C368" s="11">
        <f>IFERROR(INDEX('5.งบทดลอง รพ.'!$C:$C,MATCH('6.WS-Re-Exp'!A368,'5.งบทดลอง รพ.'!$A:$A,0)),)</f>
        <v>0</v>
      </c>
      <c r="E368" s="201" t="str">
        <f>INDEX('13.Mapping'!$F:$F,MATCH('6.WS-Re-Exp'!$A368,'13.Mapping'!$B:$B,0))</f>
        <v>53020</v>
      </c>
      <c r="F368" s="201" t="str">
        <f>INDEX('13.Mapping'!$D:$D,MATCH('6.WS-Re-Exp'!$A368,'13.Mapping'!$B:$B,0))</f>
        <v>P24</v>
      </c>
      <c r="G368" s="201">
        <f>INDEX('13.Mapping'!$K:$K,MATCH('6.WS-Re-Exp'!$A368,'13.Mapping'!$B:$B,0))</f>
        <v>0</v>
      </c>
      <c r="H368" s="350"/>
      <c r="I368" s="531">
        <v>366</v>
      </c>
    </row>
    <row r="369" spans="1:9" hidden="1" x14ac:dyDescent="0.7">
      <c r="A369" s="251" t="s">
        <v>449</v>
      </c>
      <c r="B369" s="212" t="s">
        <v>450</v>
      </c>
      <c r="C369" s="11">
        <f>IFERROR(INDEX('5.งบทดลอง รพ.'!$C:$C,MATCH('6.WS-Re-Exp'!A369,'5.งบทดลอง รพ.'!$A:$A,0)),)</f>
        <v>0</v>
      </c>
      <c r="E369" s="201" t="str">
        <f>INDEX('13.Mapping'!$F:$F,MATCH('6.WS-Re-Exp'!$A369,'13.Mapping'!$B:$B,0))</f>
        <v>53020</v>
      </c>
      <c r="F369" s="201" t="str">
        <f>INDEX('13.Mapping'!$D:$D,MATCH('6.WS-Re-Exp'!$A369,'13.Mapping'!$B:$B,0))</f>
        <v>P24</v>
      </c>
      <c r="G369" s="201">
        <f>INDEX('13.Mapping'!$K:$K,MATCH('6.WS-Re-Exp'!$A369,'13.Mapping'!$B:$B,0))</f>
        <v>0</v>
      </c>
      <c r="H369" s="350"/>
      <c r="I369" s="531">
        <v>367</v>
      </c>
    </row>
    <row r="370" spans="1:9" hidden="1" x14ac:dyDescent="0.7">
      <c r="A370" s="251" t="s">
        <v>451</v>
      </c>
      <c r="B370" s="212" t="s">
        <v>452</v>
      </c>
      <c r="C370" s="11">
        <f>IFERROR(INDEX('5.งบทดลอง รพ.'!$C:$C,MATCH('6.WS-Re-Exp'!A370,'5.งบทดลอง รพ.'!$A:$A,0)),)</f>
        <v>0</v>
      </c>
      <c r="E370" s="201" t="str">
        <f>INDEX('13.Mapping'!$F:$F,MATCH('6.WS-Re-Exp'!$A370,'13.Mapping'!$B:$B,0))</f>
        <v>53020</v>
      </c>
      <c r="F370" s="201" t="str">
        <f>INDEX('13.Mapping'!$D:$D,MATCH('6.WS-Re-Exp'!$A370,'13.Mapping'!$B:$B,0))</f>
        <v>P24</v>
      </c>
      <c r="G370" s="201">
        <f>INDEX('13.Mapping'!$K:$K,MATCH('6.WS-Re-Exp'!$A370,'13.Mapping'!$B:$B,0))</f>
        <v>0</v>
      </c>
      <c r="H370" s="350"/>
      <c r="I370" s="531">
        <v>368</v>
      </c>
    </row>
    <row r="371" spans="1:9" hidden="1" x14ac:dyDescent="0.7">
      <c r="A371" s="251" t="s">
        <v>453</v>
      </c>
      <c r="B371" s="212" t="s">
        <v>454</v>
      </c>
      <c r="C371" s="11">
        <f>IFERROR(INDEX('5.งบทดลอง รพ.'!$C:$C,MATCH('6.WS-Re-Exp'!A371,'5.งบทดลอง รพ.'!$A:$A,0)),)</f>
        <v>0</v>
      </c>
      <c r="E371" s="201" t="str">
        <f>INDEX('13.Mapping'!$F:$F,MATCH('6.WS-Re-Exp'!$A371,'13.Mapping'!$B:$B,0))</f>
        <v>53020</v>
      </c>
      <c r="F371" s="201" t="str">
        <f>INDEX('13.Mapping'!$D:$D,MATCH('6.WS-Re-Exp'!$A371,'13.Mapping'!$B:$B,0))</f>
        <v>P24</v>
      </c>
      <c r="G371" s="201">
        <f>INDEX('13.Mapping'!$K:$K,MATCH('6.WS-Re-Exp'!$A371,'13.Mapping'!$B:$B,0))</f>
        <v>0</v>
      </c>
      <c r="H371" s="350"/>
      <c r="I371" s="531">
        <v>369</v>
      </c>
    </row>
    <row r="372" spans="1:9" hidden="1" x14ac:dyDescent="0.7">
      <c r="A372" s="251" t="s">
        <v>455</v>
      </c>
      <c r="B372" s="212" t="s">
        <v>456</v>
      </c>
      <c r="C372" s="11">
        <f>IFERROR(INDEX('5.งบทดลอง รพ.'!$C:$C,MATCH('6.WS-Re-Exp'!A372,'5.งบทดลอง รพ.'!$A:$A,0)),)</f>
        <v>1243832.78</v>
      </c>
      <c r="E372" s="201" t="str">
        <f>INDEX('13.Mapping'!$F:$F,MATCH('6.WS-Re-Exp'!$A372,'13.Mapping'!$B:$B,0))</f>
        <v>53030</v>
      </c>
      <c r="F372" s="201" t="str">
        <f>INDEX('13.Mapping'!$D:$D,MATCH('6.WS-Re-Exp'!$A372,'13.Mapping'!$B:$B,0))</f>
        <v>P24</v>
      </c>
      <c r="G372" s="201">
        <f>INDEX('13.Mapping'!$K:$K,MATCH('6.WS-Re-Exp'!$A372,'13.Mapping'!$B:$B,0))</f>
        <v>0</v>
      </c>
      <c r="H372" s="350"/>
      <c r="I372" s="531">
        <v>370</v>
      </c>
    </row>
    <row r="373" spans="1:9" hidden="1" x14ac:dyDescent="0.7">
      <c r="A373" s="251" t="s">
        <v>457</v>
      </c>
      <c r="B373" s="212" t="s">
        <v>458</v>
      </c>
      <c r="C373" s="11">
        <f>IFERROR(INDEX('5.งบทดลอง รพ.'!$C:$C,MATCH('6.WS-Re-Exp'!A373,'5.งบทดลอง รพ.'!$A:$A,0)),)</f>
        <v>638322.29</v>
      </c>
      <c r="E373" s="201" t="str">
        <f>INDEX('13.Mapping'!$F:$F,MATCH('6.WS-Re-Exp'!$A373,'13.Mapping'!$B:$B,0))</f>
        <v>53030</v>
      </c>
      <c r="F373" s="201" t="str">
        <f>INDEX('13.Mapping'!$D:$D,MATCH('6.WS-Re-Exp'!$A373,'13.Mapping'!$B:$B,0))</f>
        <v>P24</v>
      </c>
      <c r="G373" s="201">
        <f>INDEX('13.Mapping'!$K:$K,MATCH('6.WS-Re-Exp'!$A373,'13.Mapping'!$B:$B,0))</f>
        <v>0</v>
      </c>
      <c r="H373" s="350"/>
      <c r="I373" s="531">
        <v>371</v>
      </c>
    </row>
    <row r="374" spans="1:9" hidden="1" x14ac:dyDescent="0.7">
      <c r="A374" s="251" t="s">
        <v>459</v>
      </c>
      <c r="B374" s="212" t="s">
        <v>460</v>
      </c>
      <c r="C374" s="11">
        <f>IFERROR(INDEX('5.งบทดลอง รพ.'!$C:$C,MATCH('6.WS-Re-Exp'!A374,'5.งบทดลอง รพ.'!$A:$A,0)),)</f>
        <v>114954.41</v>
      </c>
      <c r="E374" s="201" t="str">
        <f>INDEX('13.Mapping'!$F:$F,MATCH('6.WS-Re-Exp'!$A374,'13.Mapping'!$B:$B,0))</f>
        <v>53030</v>
      </c>
      <c r="F374" s="201" t="str">
        <f>INDEX('13.Mapping'!$D:$D,MATCH('6.WS-Re-Exp'!$A374,'13.Mapping'!$B:$B,0))</f>
        <v>P24</v>
      </c>
      <c r="G374" s="201">
        <f>INDEX('13.Mapping'!$K:$K,MATCH('6.WS-Re-Exp'!$A374,'13.Mapping'!$B:$B,0))</f>
        <v>0</v>
      </c>
      <c r="H374" s="350"/>
      <c r="I374" s="531">
        <v>372</v>
      </c>
    </row>
    <row r="375" spans="1:9" hidden="1" x14ac:dyDescent="0.7">
      <c r="A375" s="251" t="s">
        <v>461</v>
      </c>
      <c r="B375" s="212" t="s">
        <v>462</v>
      </c>
      <c r="C375" s="11">
        <f>IFERROR(INDEX('5.งบทดลอง รพ.'!$C:$C,MATCH('6.WS-Re-Exp'!A375,'5.งบทดลอง รพ.'!$A:$A,0)),)</f>
        <v>95244.24</v>
      </c>
      <c r="E375" s="201" t="str">
        <f>INDEX('13.Mapping'!$F:$F,MATCH('6.WS-Re-Exp'!$A375,'13.Mapping'!$B:$B,0))</f>
        <v>53030</v>
      </c>
      <c r="F375" s="201" t="str">
        <f>INDEX('13.Mapping'!$D:$D,MATCH('6.WS-Re-Exp'!$A375,'13.Mapping'!$B:$B,0))</f>
        <v>P24</v>
      </c>
      <c r="G375" s="201">
        <f>INDEX('13.Mapping'!$K:$K,MATCH('6.WS-Re-Exp'!$A375,'13.Mapping'!$B:$B,0))</f>
        <v>0</v>
      </c>
      <c r="H375" s="350"/>
      <c r="I375" s="531">
        <v>373</v>
      </c>
    </row>
    <row r="376" spans="1:9" hidden="1" x14ac:dyDescent="0.7">
      <c r="A376" s="251" t="s">
        <v>463</v>
      </c>
      <c r="B376" s="212" t="s">
        <v>464</v>
      </c>
      <c r="C376" s="11">
        <f>IFERROR(INDEX('5.งบทดลอง รพ.'!$C:$C,MATCH('6.WS-Re-Exp'!A376,'5.งบทดลอง รพ.'!$A:$A,0)),)</f>
        <v>3365.56</v>
      </c>
      <c r="E376" s="201" t="str">
        <f>INDEX('13.Mapping'!$F:$F,MATCH('6.WS-Re-Exp'!$A376,'13.Mapping'!$B:$B,0))</f>
        <v>53030</v>
      </c>
      <c r="F376" s="201" t="str">
        <f>INDEX('13.Mapping'!$D:$D,MATCH('6.WS-Re-Exp'!$A376,'13.Mapping'!$B:$B,0))</f>
        <v>P24</v>
      </c>
      <c r="G376" s="201">
        <f>INDEX('13.Mapping'!$K:$K,MATCH('6.WS-Re-Exp'!$A376,'13.Mapping'!$B:$B,0))</f>
        <v>0</v>
      </c>
      <c r="H376" s="350"/>
      <c r="I376" s="531">
        <v>374</v>
      </c>
    </row>
    <row r="377" spans="1:9" hidden="1" x14ac:dyDescent="0.7">
      <c r="A377" s="251" t="s">
        <v>465</v>
      </c>
      <c r="B377" s="212" t="s">
        <v>466</v>
      </c>
      <c r="C377" s="11">
        <f>IFERROR(INDEX('5.งบทดลอง รพ.'!$C:$C,MATCH('6.WS-Re-Exp'!A377,'5.งบทดลอง รพ.'!$A:$A,0)),)</f>
        <v>656.08</v>
      </c>
      <c r="E377" s="201" t="str">
        <f>INDEX('13.Mapping'!$F:$F,MATCH('6.WS-Re-Exp'!$A377,'13.Mapping'!$B:$B,0))</f>
        <v>53030</v>
      </c>
      <c r="F377" s="201" t="str">
        <f>INDEX('13.Mapping'!$D:$D,MATCH('6.WS-Re-Exp'!$A377,'13.Mapping'!$B:$B,0))</f>
        <v>P24</v>
      </c>
      <c r="G377" s="201">
        <f>INDEX('13.Mapping'!$K:$K,MATCH('6.WS-Re-Exp'!$A377,'13.Mapping'!$B:$B,0))</f>
        <v>0</v>
      </c>
      <c r="H377" s="350"/>
      <c r="I377" s="531">
        <v>375</v>
      </c>
    </row>
    <row r="378" spans="1:9" hidden="1" x14ac:dyDescent="0.7">
      <c r="A378" s="251" t="s">
        <v>467</v>
      </c>
      <c r="B378" s="212" t="s">
        <v>468</v>
      </c>
      <c r="C378" s="11">
        <f>IFERROR(INDEX('5.งบทดลอง รพ.'!$C:$C,MATCH('6.WS-Re-Exp'!A378,'5.งบทดลอง รพ.'!$A:$A,0)),)</f>
        <v>3990060.91</v>
      </c>
      <c r="E378" s="201" t="str">
        <f>INDEX('13.Mapping'!$F:$F,MATCH('6.WS-Re-Exp'!$A378,'13.Mapping'!$B:$B,0))</f>
        <v>53030</v>
      </c>
      <c r="F378" s="201" t="str">
        <f>INDEX('13.Mapping'!$D:$D,MATCH('6.WS-Re-Exp'!$A378,'13.Mapping'!$B:$B,0))</f>
        <v>P24</v>
      </c>
      <c r="G378" s="201">
        <f>INDEX('13.Mapping'!$K:$K,MATCH('6.WS-Re-Exp'!$A378,'13.Mapping'!$B:$B,0))</f>
        <v>0</v>
      </c>
      <c r="H378" s="350"/>
      <c r="I378" s="531">
        <v>376</v>
      </c>
    </row>
    <row r="379" spans="1:9" hidden="1" x14ac:dyDescent="0.7">
      <c r="A379" s="251" t="s">
        <v>469</v>
      </c>
      <c r="B379" s="212" t="s">
        <v>470</v>
      </c>
      <c r="C379" s="11">
        <f>IFERROR(INDEX('5.งบทดลอง รพ.'!$C:$C,MATCH('6.WS-Re-Exp'!A379,'5.งบทดลอง รพ.'!$A:$A,0)),)</f>
        <v>412923.78</v>
      </c>
      <c r="E379" s="201" t="str">
        <f>INDEX('13.Mapping'!$F:$F,MATCH('6.WS-Re-Exp'!$A379,'13.Mapping'!$B:$B,0))</f>
        <v>53030</v>
      </c>
      <c r="F379" s="201" t="str">
        <f>INDEX('13.Mapping'!$D:$D,MATCH('6.WS-Re-Exp'!$A379,'13.Mapping'!$B:$B,0))</f>
        <v>P24</v>
      </c>
      <c r="G379" s="201">
        <f>INDEX('13.Mapping'!$K:$K,MATCH('6.WS-Re-Exp'!$A379,'13.Mapping'!$B:$B,0))</f>
        <v>0</v>
      </c>
      <c r="H379" s="350"/>
      <c r="I379" s="531">
        <v>377</v>
      </c>
    </row>
    <row r="380" spans="1:9" hidden="1" x14ac:dyDescent="0.7">
      <c r="A380" s="251" t="s">
        <v>471</v>
      </c>
      <c r="B380" s="212" t="s">
        <v>472</v>
      </c>
      <c r="C380" s="11">
        <f>IFERROR(INDEX('5.งบทดลอง รพ.'!$C:$C,MATCH('6.WS-Re-Exp'!A380,'5.งบทดลอง รพ.'!$A:$A,0)),)</f>
        <v>227998.68</v>
      </c>
      <c r="E380" s="201" t="str">
        <f>INDEX('13.Mapping'!$F:$F,MATCH('6.WS-Re-Exp'!$A380,'13.Mapping'!$B:$B,0))</f>
        <v>53030</v>
      </c>
      <c r="F380" s="201" t="str">
        <f>INDEX('13.Mapping'!$D:$D,MATCH('6.WS-Re-Exp'!$A380,'13.Mapping'!$B:$B,0))</f>
        <v>P24</v>
      </c>
      <c r="G380" s="201">
        <f>INDEX('13.Mapping'!$K:$K,MATCH('6.WS-Re-Exp'!$A380,'13.Mapping'!$B:$B,0))</f>
        <v>0</v>
      </c>
      <c r="H380" s="350"/>
      <c r="I380" s="531">
        <v>378</v>
      </c>
    </row>
    <row r="381" spans="1:9" hidden="1" x14ac:dyDescent="0.7">
      <c r="A381" s="251" t="s">
        <v>473</v>
      </c>
      <c r="B381" s="212" t="s">
        <v>474</v>
      </c>
      <c r="C381" s="11">
        <f>IFERROR(INDEX('5.งบทดลอง รพ.'!$C:$C,MATCH('6.WS-Re-Exp'!A381,'5.งบทดลอง รพ.'!$A:$A,0)),)</f>
        <v>0</v>
      </c>
      <c r="E381" s="201" t="str">
        <f>INDEX('13.Mapping'!$F:$F,MATCH('6.WS-Re-Exp'!$A381,'13.Mapping'!$B:$B,0))</f>
        <v>53030</v>
      </c>
      <c r="F381" s="201" t="str">
        <f>INDEX('13.Mapping'!$D:$D,MATCH('6.WS-Re-Exp'!$A381,'13.Mapping'!$B:$B,0))</f>
        <v>P24</v>
      </c>
      <c r="G381" s="201">
        <f>INDEX('13.Mapping'!$K:$K,MATCH('6.WS-Re-Exp'!$A381,'13.Mapping'!$B:$B,0))</f>
        <v>0</v>
      </c>
      <c r="H381" s="350"/>
      <c r="I381" s="531">
        <v>379</v>
      </c>
    </row>
    <row r="382" spans="1:9" hidden="1" x14ac:dyDescent="0.7">
      <c r="A382" s="251" t="s">
        <v>475</v>
      </c>
      <c r="B382" s="212" t="s">
        <v>476</v>
      </c>
      <c r="C382" s="11">
        <f>IFERROR(INDEX('5.งบทดลอง รพ.'!$C:$C,MATCH('6.WS-Re-Exp'!A382,'5.งบทดลอง รพ.'!$A:$A,0)),)</f>
        <v>91888.76</v>
      </c>
      <c r="E382" s="201" t="str">
        <f>INDEX('13.Mapping'!$F:$F,MATCH('6.WS-Re-Exp'!$A382,'13.Mapping'!$B:$B,0))</f>
        <v>53060</v>
      </c>
      <c r="F382" s="201" t="str">
        <f>INDEX('13.Mapping'!$D:$D,MATCH('6.WS-Re-Exp'!$A382,'13.Mapping'!$B:$B,0))</f>
        <v>P24</v>
      </c>
      <c r="G382" s="201">
        <f>INDEX('13.Mapping'!$K:$K,MATCH('6.WS-Re-Exp'!$A382,'13.Mapping'!$B:$B,0))</f>
        <v>0</v>
      </c>
      <c r="H382" s="350"/>
      <c r="I382" s="531">
        <v>380</v>
      </c>
    </row>
    <row r="383" spans="1:9" s="33" customFormat="1" hidden="1" x14ac:dyDescent="0.7">
      <c r="A383" s="251" t="s">
        <v>477</v>
      </c>
      <c r="B383" s="212" t="s">
        <v>478</v>
      </c>
      <c r="C383" s="11">
        <f>IFERROR(INDEX('5.งบทดลอง รพ.'!$C:$C,MATCH('6.WS-Re-Exp'!A383,'5.งบทดลอง รพ.'!$A:$A,0)),)</f>
        <v>0</v>
      </c>
      <c r="D383" s="6"/>
      <c r="E383" s="201" t="str">
        <f>INDEX('13.Mapping'!$F:$F,MATCH('6.WS-Re-Exp'!$A383,'13.Mapping'!$B:$B,0))</f>
        <v>53060</v>
      </c>
      <c r="F383" s="201" t="str">
        <f>INDEX('13.Mapping'!$D:$D,MATCH('6.WS-Re-Exp'!$A383,'13.Mapping'!$B:$B,0))</f>
        <v>P24</v>
      </c>
      <c r="G383" s="201">
        <f>INDEX('13.Mapping'!$K:$K,MATCH('6.WS-Re-Exp'!$A383,'13.Mapping'!$B:$B,0))</f>
        <v>0</v>
      </c>
      <c r="H383" s="289"/>
      <c r="I383" s="531">
        <v>381</v>
      </c>
    </row>
    <row r="384" spans="1:9" s="33" customFormat="1" hidden="1" x14ac:dyDescent="0.7">
      <c r="A384" s="251" t="s">
        <v>479</v>
      </c>
      <c r="B384" s="212" t="s">
        <v>480</v>
      </c>
      <c r="C384" s="11">
        <f>IFERROR(INDEX('5.งบทดลอง รพ.'!$C:$C,MATCH('6.WS-Re-Exp'!A384,'5.งบทดลอง รพ.'!$A:$A,0)),)</f>
        <v>0</v>
      </c>
      <c r="D384" s="6"/>
      <c r="E384" s="201" t="str">
        <f>INDEX('13.Mapping'!$F:$F,MATCH('6.WS-Re-Exp'!$A384,'13.Mapping'!$B:$B,0))</f>
        <v>53020</v>
      </c>
      <c r="F384" s="201" t="str">
        <f>INDEX('13.Mapping'!$D:$D,MATCH('6.WS-Re-Exp'!$A384,'13.Mapping'!$B:$B,0))</f>
        <v>P24</v>
      </c>
      <c r="G384" s="201">
        <f>INDEX('13.Mapping'!$K:$K,MATCH('6.WS-Re-Exp'!$A384,'13.Mapping'!$B:$B,0))</f>
        <v>0</v>
      </c>
      <c r="H384" s="289"/>
      <c r="I384" s="531">
        <v>382</v>
      </c>
    </row>
    <row r="385" spans="1:9" hidden="1" x14ac:dyDescent="0.7">
      <c r="A385" s="251" t="s">
        <v>481</v>
      </c>
      <c r="B385" s="212" t="s">
        <v>482</v>
      </c>
      <c r="C385" s="11">
        <f>IFERROR(INDEX('5.งบทดลอง รพ.'!$C:$C,MATCH('6.WS-Re-Exp'!A385,'5.งบทดลอง รพ.'!$A:$A,0)),)</f>
        <v>0</v>
      </c>
      <c r="E385" s="201" t="str">
        <f>INDEX('13.Mapping'!$F:$F,MATCH('6.WS-Re-Exp'!$A385,'13.Mapping'!$B:$B,0))</f>
        <v>53020</v>
      </c>
      <c r="F385" s="201" t="str">
        <f>INDEX('13.Mapping'!$D:$D,MATCH('6.WS-Re-Exp'!$A385,'13.Mapping'!$B:$B,0))</f>
        <v>P24</v>
      </c>
      <c r="G385" s="201">
        <f>INDEX('13.Mapping'!$K:$K,MATCH('6.WS-Re-Exp'!$A385,'13.Mapping'!$B:$B,0))</f>
        <v>0</v>
      </c>
      <c r="H385" s="350"/>
      <c r="I385" s="531">
        <v>383</v>
      </c>
    </row>
    <row r="386" spans="1:9" hidden="1" x14ac:dyDescent="0.7">
      <c r="A386" s="251" t="s">
        <v>5838</v>
      </c>
      <c r="B386" s="212" t="s">
        <v>5837</v>
      </c>
      <c r="C386" s="11">
        <f>IFERROR(INDEX('5.งบทดลอง รพ.'!$C:$C,MATCH('6.WS-Re-Exp'!A386,'5.งบทดลอง รพ.'!$A:$A,0)),)</f>
        <v>0</v>
      </c>
      <c r="E386" s="201" t="str">
        <f>INDEX('13.Mapping'!$F:$F,MATCH('6.WS-Re-Exp'!$A386,'13.Mapping'!$B:$B,0))</f>
        <v>52060</v>
      </c>
      <c r="F386" s="201" t="str">
        <f>INDEX('13.Mapping'!$D:$D,MATCH('6.WS-Re-Exp'!$A386,'13.Mapping'!$B:$B,0))</f>
        <v>P20</v>
      </c>
      <c r="G386" s="201">
        <f>INDEX('13.Mapping'!$K:$K,MATCH('6.WS-Re-Exp'!$A386,'13.Mapping'!$B:$B,0))</f>
        <v>0</v>
      </c>
      <c r="H386" s="350"/>
      <c r="I386" s="531">
        <v>384</v>
      </c>
    </row>
    <row r="387" spans="1:9" hidden="1" x14ac:dyDescent="0.7">
      <c r="A387" s="251" t="s">
        <v>498</v>
      </c>
      <c r="B387" s="212" t="s">
        <v>499</v>
      </c>
      <c r="C387" s="11">
        <f>IFERROR(INDEX('5.งบทดลอง รพ.'!$C:$C,MATCH('6.WS-Re-Exp'!A387,'5.งบทดลอง รพ.'!$A:$A,0)),)</f>
        <v>0</v>
      </c>
      <c r="E387" s="201" t="str">
        <f>INDEX('13.Mapping'!$F:$F,MATCH('6.WS-Re-Exp'!$A387,'13.Mapping'!$B:$B,0))</f>
        <v>53050</v>
      </c>
      <c r="F387" s="201" t="str">
        <f>INDEX('13.Mapping'!$D:$D,MATCH('6.WS-Re-Exp'!$A387,'13.Mapping'!$B:$B,0))</f>
        <v>P25</v>
      </c>
      <c r="G387" s="201" t="str">
        <f>INDEX('13.Mapping'!$K:$K,MATCH('6.WS-Re-Exp'!$A387,'13.Mapping'!$B:$B,0))</f>
        <v>PC23</v>
      </c>
      <c r="H387" s="350"/>
      <c r="I387" s="531">
        <v>385</v>
      </c>
    </row>
    <row r="388" spans="1:9" hidden="1" x14ac:dyDescent="0.7">
      <c r="A388" s="251" t="s">
        <v>500</v>
      </c>
      <c r="B388" s="212" t="s">
        <v>501</v>
      </c>
      <c r="C388" s="11">
        <f>IFERROR(INDEX('5.งบทดลอง รพ.'!$C:$C,MATCH('6.WS-Re-Exp'!A388,'5.งบทดลอง รพ.'!$A:$A,0)),)</f>
        <v>0</v>
      </c>
      <c r="E388" s="201" t="str">
        <f>INDEX('13.Mapping'!$F:$F,MATCH('6.WS-Re-Exp'!$A388,'13.Mapping'!$B:$B,0))</f>
        <v>53050</v>
      </c>
      <c r="F388" s="201" t="str">
        <f>INDEX('13.Mapping'!$D:$D,MATCH('6.WS-Re-Exp'!$A388,'13.Mapping'!$B:$B,0))</f>
        <v>P25</v>
      </c>
      <c r="G388" s="201" t="str">
        <f>INDEX('13.Mapping'!$K:$K,MATCH('6.WS-Re-Exp'!$A388,'13.Mapping'!$B:$B,0))</f>
        <v>PC23</v>
      </c>
      <c r="H388" s="350"/>
      <c r="I388" s="531">
        <v>386</v>
      </c>
    </row>
    <row r="389" spans="1:9" hidden="1" x14ac:dyDescent="0.7">
      <c r="A389" s="251" t="s">
        <v>827</v>
      </c>
      <c r="B389" s="212" t="s">
        <v>828</v>
      </c>
      <c r="C389" s="11">
        <f>IFERROR(INDEX('5.งบทดลอง รพ.'!$C:$C,MATCH('6.WS-Re-Exp'!A389,'5.งบทดลอง รพ.'!$A:$A,0)),)</f>
        <v>0</v>
      </c>
      <c r="E389" s="201" t="str">
        <f>INDEX('13.Mapping'!$F:$F,MATCH('6.WS-Re-Exp'!$A389,'13.Mapping'!$B:$B,0))</f>
        <v>53050</v>
      </c>
      <c r="F389" s="201" t="str">
        <f>INDEX('13.Mapping'!$D:$D,MATCH('6.WS-Re-Exp'!$A389,'13.Mapping'!$B:$B,0))</f>
        <v>P251</v>
      </c>
      <c r="G389" s="201">
        <f>INDEX('13.Mapping'!$K:$K,MATCH('6.WS-Re-Exp'!$A389,'13.Mapping'!$B:$B,0))</f>
        <v>0</v>
      </c>
      <c r="H389" s="350"/>
      <c r="I389" s="531">
        <v>387</v>
      </c>
    </row>
    <row r="390" spans="1:9" hidden="1" x14ac:dyDescent="0.7">
      <c r="A390" s="251" t="s">
        <v>502</v>
      </c>
      <c r="B390" s="212" t="s">
        <v>1020</v>
      </c>
      <c r="C390" s="11">
        <f>IFERROR(INDEX('5.งบทดลอง รพ.'!$C:$C,MATCH('6.WS-Re-Exp'!A390,'5.งบทดลอง รพ.'!$A:$A,0)),)</f>
        <v>0</v>
      </c>
      <c r="E390" s="201" t="str">
        <f>INDEX('13.Mapping'!$F:$F,MATCH('6.WS-Re-Exp'!$A390,'13.Mapping'!$B:$B,0))</f>
        <v>53010</v>
      </c>
      <c r="F390" s="201" t="str">
        <f>INDEX('13.Mapping'!$D:$D,MATCH('6.WS-Re-Exp'!$A390,'13.Mapping'!$B:$B,0))</f>
        <v>P241</v>
      </c>
      <c r="G390" s="201">
        <f>INDEX('13.Mapping'!$K:$K,MATCH('6.WS-Re-Exp'!$A390,'13.Mapping'!$B:$B,0))</f>
        <v>0</v>
      </c>
      <c r="H390" s="350"/>
      <c r="I390" s="531">
        <v>388</v>
      </c>
    </row>
    <row r="391" spans="1:9" hidden="1" x14ac:dyDescent="0.7">
      <c r="A391" s="251" t="s">
        <v>503</v>
      </c>
      <c r="B391" s="212" t="s">
        <v>504</v>
      </c>
      <c r="C391" s="11">
        <f>IFERROR(INDEX('5.งบทดลอง รพ.'!$C:$C,MATCH('6.WS-Re-Exp'!A391,'5.งบทดลอง รพ.'!$A:$A,0)),)</f>
        <v>0</v>
      </c>
      <c r="E391" s="201" t="str">
        <f>INDEX('13.Mapping'!$F:$F,MATCH('6.WS-Re-Exp'!$A391,'13.Mapping'!$B:$B,0))</f>
        <v>53010</v>
      </c>
      <c r="F391" s="201" t="str">
        <f>INDEX('13.Mapping'!$D:$D,MATCH('6.WS-Re-Exp'!$A391,'13.Mapping'!$B:$B,0))</f>
        <v>P241</v>
      </c>
      <c r="G391" s="201">
        <f>INDEX('13.Mapping'!$K:$K,MATCH('6.WS-Re-Exp'!$A391,'13.Mapping'!$B:$B,0))</f>
        <v>0</v>
      </c>
      <c r="H391" s="350"/>
      <c r="I391" s="531">
        <v>389</v>
      </c>
    </row>
    <row r="392" spans="1:9" hidden="1" x14ac:dyDescent="0.7">
      <c r="A392" s="251" t="s">
        <v>505</v>
      </c>
      <c r="B392" s="212" t="s">
        <v>506</v>
      </c>
      <c r="C392" s="11">
        <f>IFERROR(INDEX('5.งบทดลอง รพ.'!$C:$C,MATCH('6.WS-Re-Exp'!A392,'5.งบทดลอง รพ.'!$A:$A,0)),)</f>
        <v>0</v>
      </c>
      <c r="E392" s="201" t="str">
        <f>INDEX('13.Mapping'!$F:$F,MATCH('6.WS-Re-Exp'!$A392,'13.Mapping'!$B:$B,0))</f>
        <v>53010</v>
      </c>
      <c r="F392" s="201" t="str">
        <f>INDEX('13.Mapping'!$D:$D,MATCH('6.WS-Re-Exp'!$A392,'13.Mapping'!$B:$B,0))</f>
        <v>P241</v>
      </c>
      <c r="G392" s="201">
        <f>INDEX('13.Mapping'!$K:$K,MATCH('6.WS-Re-Exp'!$A392,'13.Mapping'!$B:$B,0))</f>
        <v>0</v>
      </c>
      <c r="H392" s="350"/>
      <c r="I392" s="531">
        <v>390</v>
      </c>
    </row>
    <row r="393" spans="1:9" hidden="1" x14ac:dyDescent="0.7">
      <c r="A393" s="251" t="s">
        <v>507</v>
      </c>
      <c r="B393" s="212" t="s">
        <v>1021</v>
      </c>
      <c r="C393" s="11">
        <f>IFERROR(INDEX('5.งบทดลอง รพ.'!$C:$C,MATCH('6.WS-Re-Exp'!A393,'5.งบทดลอง รพ.'!$A:$A,0)),)</f>
        <v>0</v>
      </c>
      <c r="E393" s="201" t="str">
        <f>INDEX('13.Mapping'!$F:$F,MATCH('6.WS-Re-Exp'!$A393,'13.Mapping'!$B:$B,0))</f>
        <v>53010</v>
      </c>
      <c r="F393" s="201" t="str">
        <f>INDEX('13.Mapping'!$D:$D,MATCH('6.WS-Re-Exp'!$A393,'13.Mapping'!$B:$B,0))</f>
        <v>P241</v>
      </c>
      <c r="G393" s="201">
        <f>INDEX('13.Mapping'!$K:$K,MATCH('6.WS-Re-Exp'!$A393,'13.Mapping'!$B:$B,0))</f>
        <v>0</v>
      </c>
      <c r="H393" s="350"/>
      <c r="I393" s="531">
        <v>391</v>
      </c>
    </row>
    <row r="394" spans="1:9" hidden="1" x14ac:dyDescent="0.7">
      <c r="A394" s="251" t="s">
        <v>508</v>
      </c>
      <c r="B394" s="212" t="s">
        <v>1022</v>
      </c>
      <c r="C394" s="11">
        <f>IFERROR(INDEX('5.งบทดลอง รพ.'!$C:$C,MATCH('6.WS-Re-Exp'!A394,'5.งบทดลอง รพ.'!$A:$A,0)),)</f>
        <v>0</v>
      </c>
      <c r="E394" s="201" t="str">
        <f>INDEX('13.Mapping'!$F:$F,MATCH('6.WS-Re-Exp'!$A394,'13.Mapping'!$B:$B,0))</f>
        <v>53010</v>
      </c>
      <c r="F394" s="201" t="str">
        <f>INDEX('13.Mapping'!$D:$D,MATCH('6.WS-Re-Exp'!$A394,'13.Mapping'!$B:$B,0))</f>
        <v>P241</v>
      </c>
      <c r="G394" s="201">
        <f>INDEX('13.Mapping'!$K:$K,MATCH('6.WS-Re-Exp'!$A394,'13.Mapping'!$B:$B,0))</f>
        <v>0</v>
      </c>
      <c r="H394" s="350"/>
      <c r="I394" s="531">
        <v>392</v>
      </c>
    </row>
    <row r="395" spans="1:9" hidden="1" x14ac:dyDescent="0.7">
      <c r="A395" s="251" t="s">
        <v>509</v>
      </c>
      <c r="B395" s="212" t="s">
        <v>1135</v>
      </c>
      <c r="C395" s="11">
        <f>IFERROR(INDEX('5.งบทดลอง รพ.'!$C:$C,MATCH('6.WS-Re-Exp'!A395,'5.งบทดลอง รพ.'!$A:$A,0)),)</f>
        <v>0</v>
      </c>
      <c r="E395" s="201" t="str">
        <f>INDEX('13.Mapping'!$F:$F,MATCH('6.WS-Re-Exp'!$A395,'13.Mapping'!$B:$B,0))</f>
        <v>53010</v>
      </c>
      <c r="F395" s="201" t="str">
        <f>INDEX('13.Mapping'!$D:$D,MATCH('6.WS-Re-Exp'!$A395,'13.Mapping'!$B:$B,0))</f>
        <v>P241</v>
      </c>
      <c r="G395" s="201">
        <f>INDEX('13.Mapping'!$K:$K,MATCH('6.WS-Re-Exp'!$A395,'13.Mapping'!$B:$B,0))</f>
        <v>0</v>
      </c>
      <c r="H395" s="350"/>
      <c r="I395" s="531">
        <v>393</v>
      </c>
    </row>
    <row r="396" spans="1:9" hidden="1" x14ac:dyDescent="0.7">
      <c r="A396" s="251" t="s">
        <v>510</v>
      </c>
      <c r="B396" s="212" t="s">
        <v>1023</v>
      </c>
      <c r="C396" s="11">
        <f>IFERROR(INDEX('5.งบทดลอง รพ.'!$C:$C,MATCH('6.WS-Re-Exp'!A396,'5.งบทดลอง รพ.'!$A:$A,0)),)</f>
        <v>0</v>
      </c>
      <c r="E396" s="201" t="str">
        <f>INDEX('13.Mapping'!$F:$F,MATCH('6.WS-Re-Exp'!$A396,'13.Mapping'!$B:$B,0))</f>
        <v>53010</v>
      </c>
      <c r="F396" s="201" t="str">
        <f>INDEX('13.Mapping'!$D:$D,MATCH('6.WS-Re-Exp'!$A396,'13.Mapping'!$B:$B,0))</f>
        <v>P241</v>
      </c>
      <c r="G396" s="201">
        <f>INDEX('13.Mapping'!$K:$K,MATCH('6.WS-Re-Exp'!$A396,'13.Mapping'!$B:$B,0))</f>
        <v>0</v>
      </c>
      <c r="H396" s="350"/>
      <c r="I396" s="531">
        <v>394</v>
      </c>
    </row>
    <row r="397" spans="1:9" hidden="1" x14ac:dyDescent="0.7">
      <c r="A397" s="251" t="s">
        <v>511</v>
      </c>
      <c r="B397" s="212" t="s">
        <v>512</v>
      </c>
      <c r="C397" s="11">
        <f>IFERROR(INDEX('5.งบทดลอง รพ.'!$C:$C,MATCH('6.WS-Re-Exp'!A397,'5.งบทดลอง รพ.'!$A:$A,0)),)</f>
        <v>0</v>
      </c>
      <c r="E397" s="201" t="str">
        <f>INDEX('13.Mapping'!$F:$F,MATCH('6.WS-Re-Exp'!$A397,'13.Mapping'!$B:$B,0))</f>
        <v>53010</v>
      </c>
      <c r="F397" s="201" t="str">
        <f>INDEX('13.Mapping'!$D:$D,MATCH('6.WS-Re-Exp'!$A397,'13.Mapping'!$B:$B,0))</f>
        <v>P241</v>
      </c>
      <c r="G397" s="201">
        <f>INDEX('13.Mapping'!$K:$K,MATCH('6.WS-Re-Exp'!$A397,'13.Mapping'!$B:$B,0))</f>
        <v>0</v>
      </c>
      <c r="H397" s="350"/>
      <c r="I397" s="531">
        <v>395</v>
      </c>
    </row>
    <row r="398" spans="1:9" hidden="1" x14ac:dyDescent="0.7">
      <c r="A398" s="251" t="s">
        <v>513</v>
      </c>
      <c r="B398" s="212" t="s">
        <v>514</v>
      </c>
      <c r="C398" s="11">
        <f>IFERROR(INDEX('5.งบทดลอง รพ.'!$C:$C,MATCH('6.WS-Re-Exp'!A398,'5.งบทดลอง รพ.'!$A:$A,0)),)</f>
        <v>0</v>
      </c>
      <c r="E398" s="201" t="str">
        <f>INDEX('13.Mapping'!$F:$F,MATCH('6.WS-Re-Exp'!$A398,'13.Mapping'!$B:$B,0))</f>
        <v>53010</v>
      </c>
      <c r="F398" s="201" t="str">
        <f>INDEX('13.Mapping'!$D:$D,MATCH('6.WS-Re-Exp'!$A398,'13.Mapping'!$B:$B,0))</f>
        <v>P241</v>
      </c>
      <c r="G398" s="201">
        <f>INDEX('13.Mapping'!$K:$K,MATCH('6.WS-Re-Exp'!$A398,'13.Mapping'!$B:$B,0))</f>
        <v>0</v>
      </c>
      <c r="H398" s="350"/>
      <c r="I398" s="531">
        <v>396</v>
      </c>
    </row>
    <row r="399" spans="1:9" hidden="1" x14ac:dyDescent="0.7">
      <c r="A399" s="251" t="s">
        <v>5840</v>
      </c>
      <c r="B399" s="212" t="s">
        <v>5839</v>
      </c>
      <c r="C399" s="11">
        <f>IFERROR(INDEX('5.งบทดลอง รพ.'!$C:$C,MATCH('6.WS-Re-Exp'!A399,'5.งบทดลอง รพ.'!$A:$A,0)),)</f>
        <v>0</v>
      </c>
      <c r="E399" s="201" t="str">
        <f>INDEX('13.Mapping'!$F:$F,MATCH('6.WS-Re-Exp'!$A399,'13.Mapping'!$B:$B,0))</f>
        <v>53010</v>
      </c>
      <c r="F399" s="201" t="str">
        <f>INDEX('13.Mapping'!$D:$D,MATCH('6.WS-Re-Exp'!$A399,'13.Mapping'!$B:$B,0))</f>
        <v>P241</v>
      </c>
      <c r="G399" s="201">
        <f>INDEX('13.Mapping'!$K:$K,MATCH('6.WS-Re-Exp'!$A399,'13.Mapping'!$B:$B,0))</f>
        <v>0</v>
      </c>
      <c r="H399" s="350"/>
      <c r="I399" s="531">
        <v>397</v>
      </c>
    </row>
    <row r="400" spans="1:9" s="33" customFormat="1" hidden="1" x14ac:dyDescent="0.7">
      <c r="A400" s="251" t="s">
        <v>515</v>
      </c>
      <c r="B400" s="212" t="s">
        <v>1024</v>
      </c>
      <c r="C400" s="11">
        <f>IFERROR(INDEX('5.งบทดลอง รพ.'!$C:$C,MATCH('6.WS-Re-Exp'!A400,'5.งบทดลอง รพ.'!$A:$A,0)),)</f>
        <v>55000</v>
      </c>
      <c r="D400" s="6"/>
      <c r="E400" s="201" t="str">
        <f>INDEX('13.Mapping'!$F:$F,MATCH('6.WS-Re-Exp'!$A400,'13.Mapping'!$B:$B,0))</f>
        <v>53010</v>
      </c>
      <c r="F400" s="201" t="str">
        <f>INDEX('13.Mapping'!$D:$D,MATCH('6.WS-Re-Exp'!$A400,'13.Mapping'!$B:$B,0))</f>
        <v>P241</v>
      </c>
      <c r="G400" s="201">
        <f>INDEX('13.Mapping'!$K:$K,MATCH('6.WS-Re-Exp'!$A400,'13.Mapping'!$B:$B,0))</f>
        <v>0</v>
      </c>
      <c r="H400" s="289"/>
      <c r="I400" s="531">
        <v>398</v>
      </c>
    </row>
    <row r="401" spans="1:9" s="33" customFormat="1" hidden="1" x14ac:dyDescent="0.7">
      <c r="A401" s="251" t="s">
        <v>516</v>
      </c>
      <c r="B401" s="212" t="s">
        <v>1025</v>
      </c>
      <c r="C401" s="11">
        <f>IFERROR(INDEX('5.งบทดลอง รพ.'!$C:$C,MATCH('6.WS-Re-Exp'!A401,'5.งบทดลอง รพ.'!$A:$A,0)),)</f>
        <v>95000</v>
      </c>
      <c r="D401" s="6"/>
      <c r="E401" s="201" t="str">
        <f>INDEX('13.Mapping'!$F:$F,MATCH('6.WS-Re-Exp'!$A401,'13.Mapping'!$B:$B,0))</f>
        <v>53010</v>
      </c>
      <c r="F401" s="201" t="str">
        <f>INDEX('13.Mapping'!$D:$D,MATCH('6.WS-Re-Exp'!$A401,'13.Mapping'!$B:$B,0))</f>
        <v>P241</v>
      </c>
      <c r="G401" s="201">
        <f>INDEX('13.Mapping'!$K:$K,MATCH('6.WS-Re-Exp'!$A401,'13.Mapping'!$B:$B,0))</f>
        <v>0</v>
      </c>
      <c r="H401" s="289"/>
      <c r="I401" s="531">
        <v>399</v>
      </c>
    </row>
    <row r="402" spans="1:9" s="33" customFormat="1" hidden="1" x14ac:dyDescent="0.7">
      <c r="A402" s="251" t="s">
        <v>5854</v>
      </c>
      <c r="B402" s="212" t="s">
        <v>5852</v>
      </c>
      <c r="C402" s="11">
        <f>IFERROR(INDEX('5.งบทดลอง รพ.'!$C:$C,MATCH('6.WS-Re-Exp'!A402,'5.งบทดลอง รพ.'!$A:$A,0)),)</f>
        <v>5000</v>
      </c>
      <c r="D402" s="6"/>
      <c r="E402" s="201" t="str">
        <f>INDEX('13.Mapping'!$F:$F,MATCH('6.WS-Re-Exp'!$A402,'13.Mapping'!$B:$B,0))</f>
        <v>53010</v>
      </c>
      <c r="F402" s="201" t="str">
        <f>INDEX('13.Mapping'!$D:$D,MATCH('6.WS-Re-Exp'!$A402,'13.Mapping'!$B:$B,0))</f>
        <v>P241</v>
      </c>
      <c r="G402" s="201">
        <f>INDEX('13.Mapping'!$K:$K,MATCH('6.WS-Re-Exp'!$A402,'13.Mapping'!$B:$B,0))</f>
        <v>0</v>
      </c>
      <c r="H402" s="289"/>
      <c r="I402" s="531">
        <v>400</v>
      </c>
    </row>
    <row r="403" spans="1:9" s="33" customFormat="1" hidden="1" x14ac:dyDescent="0.7">
      <c r="A403" s="251" t="s">
        <v>5855</v>
      </c>
      <c r="B403" s="212" t="s">
        <v>5853</v>
      </c>
      <c r="C403" s="11">
        <f>IFERROR(INDEX('5.งบทดลอง รพ.'!$C:$C,MATCH('6.WS-Re-Exp'!A403,'5.งบทดลอง รพ.'!$A:$A,0)),)</f>
        <v>0</v>
      </c>
      <c r="D403" s="6"/>
      <c r="E403" s="201" t="str">
        <f>INDEX('13.Mapping'!$F:$F,MATCH('6.WS-Re-Exp'!$A403,'13.Mapping'!$B:$B,0))</f>
        <v>53010</v>
      </c>
      <c r="F403" s="201" t="str">
        <f>INDEX('13.Mapping'!$D:$D,MATCH('6.WS-Re-Exp'!$A403,'13.Mapping'!$B:$B,0))</f>
        <v>P241</v>
      </c>
      <c r="G403" s="201">
        <f>INDEX('13.Mapping'!$K:$K,MATCH('6.WS-Re-Exp'!$A403,'13.Mapping'!$B:$B,0))</f>
        <v>0</v>
      </c>
      <c r="H403" s="289"/>
      <c r="I403" s="531">
        <v>401</v>
      </c>
    </row>
    <row r="404" spans="1:9" s="33" customFormat="1" hidden="1" x14ac:dyDescent="0.7">
      <c r="A404" s="251" t="s">
        <v>1136</v>
      </c>
      <c r="B404" s="212" t="s">
        <v>1127</v>
      </c>
      <c r="C404" s="11">
        <f>IFERROR(INDEX('5.งบทดลอง รพ.'!$C:$C,MATCH('6.WS-Re-Exp'!A404,'5.งบทดลอง รพ.'!$A:$A,0)),)</f>
        <v>0</v>
      </c>
      <c r="D404" s="6"/>
      <c r="E404" s="201" t="str">
        <f>INDEX('13.Mapping'!$F:$F,MATCH('6.WS-Re-Exp'!$A404,'13.Mapping'!$B:$B,0))</f>
        <v>53050</v>
      </c>
      <c r="F404" s="201" t="str">
        <f>INDEX('13.Mapping'!$D:$D,MATCH('6.WS-Re-Exp'!$A404,'13.Mapping'!$B:$B,0))</f>
        <v>P25</v>
      </c>
      <c r="G404" s="201" t="str">
        <f>INDEX('13.Mapping'!$K:$K,MATCH('6.WS-Re-Exp'!$A404,'13.Mapping'!$B:$B,0))</f>
        <v>PC23</v>
      </c>
      <c r="H404" s="289"/>
      <c r="I404" s="531">
        <v>402</v>
      </c>
    </row>
    <row r="405" spans="1:9" s="33" customFormat="1" hidden="1" x14ac:dyDescent="0.7">
      <c r="A405" s="251" t="s">
        <v>517</v>
      </c>
      <c r="B405" s="212" t="s">
        <v>518</v>
      </c>
      <c r="C405" s="11">
        <f>IFERROR(INDEX('5.งบทดลอง รพ.'!$C:$C,MATCH('6.WS-Re-Exp'!A405,'5.งบทดลอง รพ.'!$A:$A,0)),)</f>
        <v>0</v>
      </c>
      <c r="D405" s="6"/>
      <c r="E405" s="201" t="str">
        <f>INDEX('13.Mapping'!$F:$F,MATCH('6.WS-Re-Exp'!$A405,'13.Mapping'!$B:$B,0))</f>
        <v>53050</v>
      </c>
      <c r="F405" s="201" t="str">
        <f>INDEX('13.Mapping'!$D:$D,MATCH('6.WS-Re-Exp'!$A405,'13.Mapping'!$B:$B,0))</f>
        <v>P25</v>
      </c>
      <c r="G405" s="201" t="str">
        <f>INDEX('13.Mapping'!$K:$K,MATCH('6.WS-Re-Exp'!$A405,'13.Mapping'!$B:$B,0))</f>
        <v>PC23</v>
      </c>
      <c r="H405" s="289"/>
      <c r="I405" s="531">
        <v>403</v>
      </c>
    </row>
    <row r="406" spans="1:9" s="33" customFormat="1" hidden="1" x14ac:dyDescent="0.7">
      <c r="A406" s="251" t="s">
        <v>519</v>
      </c>
      <c r="B406" s="212" t="s">
        <v>520</v>
      </c>
      <c r="C406" s="11">
        <f>IFERROR(INDEX('5.งบทดลอง รพ.'!$C:$C,MATCH('6.WS-Re-Exp'!A406,'5.งบทดลอง รพ.'!$A:$A,0)),)</f>
        <v>0</v>
      </c>
      <c r="D406" s="6"/>
      <c r="E406" s="201" t="str">
        <f>INDEX('13.Mapping'!$F:$F,MATCH('6.WS-Re-Exp'!$A406,'13.Mapping'!$B:$B,0))</f>
        <v>53050</v>
      </c>
      <c r="F406" s="201" t="str">
        <f>INDEX('13.Mapping'!$D:$D,MATCH('6.WS-Re-Exp'!$A406,'13.Mapping'!$B:$B,0))</f>
        <v>P25</v>
      </c>
      <c r="G406" s="201" t="str">
        <f>INDEX('13.Mapping'!$K:$K,MATCH('6.WS-Re-Exp'!$A406,'13.Mapping'!$B:$B,0))</f>
        <v>PC23</v>
      </c>
      <c r="H406" s="289"/>
      <c r="I406" s="531">
        <v>404</v>
      </c>
    </row>
    <row r="407" spans="1:9" s="33" customFormat="1" hidden="1" x14ac:dyDescent="0.7">
      <c r="A407" s="251" t="s">
        <v>521</v>
      </c>
      <c r="B407" s="212" t="s">
        <v>522</v>
      </c>
      <c r="C407" s="11">
        <f>IFERROR(INDEX('5.งบทดลอง รพ.'!$C:$C,MATCH('6.WS-Re-Exp'!A407,'5.งบทดลอง รพ.'!$A:$A,0)),)</f>
        <v>0</v>
      </c>
      <c r="D407" s="6"/>
      <c r="E407" s="201" t="str">
        <f>INDEX('13.Mapping'!$F:$F,MATCH('6.WS-Re-Exp'!$A407,'13.Mapping'!$B:$B,0))</f>
        <v>53050</v>
      </c>
      <c r="F407" s="201" t="str">
        <f>INDEX('13.Mapping'!$D:$D,MATCH('6.WS-Re-Exp'!$A407,'13.Mapping'!$B:$B,0))</f>
        <v>P25</v>
      </c>
      <c r="G407" s="201" t="str">
        <f>INDEX('13.Mapping'!$K:$K,MATCH('6.WS-Re-Exp'!$A407,'13.Mapping'!$B:$B,0))</f>
        <v>PC23</v>
      </c>
      <c r="H407" s="289"/>
      <c r="I407" s="531">
        <v>405</v>
      </c>
    </row>
    <row r="408" spans="1:9" s="33" customFormat="1" hidden="1" x14ac:dyDescent="0.7">
      <c r="A408" s="251" t="s">
        <v>523</v>
      </c>
      <c r="B408" s="212" t="s">
        <v>524</v>
      </c>
      <c r="C408" s="11">
        <f>IFERROR(INDEX('5.งบทดลอง รพ.'!$C:$C,MATCH('6.WS-Re-Exp'!A408,'5.งบทดลอง รพ.'!$A:$A,0)),)</f>
        <v>0</v>
      </c>
      <c r="D408" s="6"/>
      <c r="E408" s="201" t="str">
        <f>INDEX('13.Mapping'!$F:$F,MATCH('6.WS-Re-Exp'!$A408,'13.Mapping'!$B:$B,0))</f>
        <v>53050</v>
      </c>
      <c r="F408" s="201" t="str">
        <f>INDEX('13.Mapping'!$D:$D,MATCH('6.WS-Re-Exp'!$A408,'13.Mapping'!$B:$B,0))</f>
        <v>P25</v>
      </c>
      <c r="G408" s="201" t="str">
        <f>INDEX('13.Mapping'!$K:$K,MATCH('6.WS-Re-Exp'!$A408,'13.Mapping'!$B:$B,0))</f>
        <v>PC23</v>
      </c>
      <c r="H408" s="289"/>
      <c r="I408" s="531">
        <v>406</v>
      </c>
    </row>
    <row r="409" spans="1:9" s="33" customFormat="1" hidden="1" x14ac:dyDescent="0.7">
      <c r="A409" s="251" t="s">
        <v>525</v>
      </c>
      <c r="B409" s="212" t="s">
        <v>526</v>
      </c>
      <c r="C409" s="11">
        <f>IFERROR(INDEX('5.งบทดลอง รพ.'!$C:$C,MATCH('6.WS-Re-Exp'!A409,'5.งบทดลอง รพ.'!$A:$A,0)),)</f>
        <v>0</v>
      </c>
      <c r="D409" s="6"/>
      <c r="E409" s="201" t="str">
        <f>INDEX('13.Mapping'!$F:$F,MATCH('6.WS-Re-Exp'!$A409,'13.Mapping'!$B:$B,0))</f>
        <v>53050</v>
      </c>
      <c r="F409" s="201" t="str">
        <f>INDEX('13.Mapping'!$D:$D,MATCH('6.WS-Re-Exp'!$A409,'13.Mapping'!$B:$B,0))</f>
        <v>P25</v>
      </c>
      <c r="G409" s="201" t="str">
        <f>INDEX('13.Mapping'!$K:$K,MATCH('6.WS-Re-Exp'!$A409,'13.Mapping'!$B:$B,0))</f>
        <v>PC23</v>
      </c>
      <c r="H409" s="289"/>
      <c r="I409" s="531">
        <v>407</v>
      </c>
    </row>
    <row r="410" spans="1:9" s="33" customFormat="1" hidden="1" x14ac:dyDescent="0.7">
      <c r="A410" s="251" t="s">
        <v>527</v>
      </c>
      <c r="B410" s="212" t="s">
        <v>528</v>
      </c>
      <c r="C410" s="11">
        <f>IFERROR(INDEX('5.งบทดลอง รพ.'!$C:$C,MATCH('6.WS-Re-Exp'!A410,'5.งบทดลอง รพ.'!$A:$A,0)),)</f>
        <v>0</v>
      </c>
      <c r="D410" s="6"/>
      <c r="E410" s="201" t="str">
        <f>INDEX('13.Mapping'!$F:$F,MATCH('6.WS-Re-Exp'!$A410,'13.Mapping'!$B:$B,0))</f>
        <v>53050</v>
      </c>
      <c r="F410" s="201" t="str">
        <f>INDEX('13.Mapping'!$D:$D,MATCH('6.WS-Re-Exp'!$A410,'13.Mapping'!$B:$B,0))</f>
        <v>P25</v>
      </c>
      <c r="G410" s="201" t="str">
        <f>INDEX('13.Mapping'!$K:$K,MATCH('6.WS-Re-Exp'!$A410,'13.Mapping'!$B:$B,0))</f>
        <v>PC23</v>
      </c>
      <c r="H410" s="289"/>
      <c r="I410" s="531">
        <v>408</v>
      </c>
    </row>
    <row r="411" spans="1:9" s="33" customFormat="1" hidden="1" x14ac:dyDescent="0.7">
      <c r="A411" s="251" t="s">
        <v>529</v>
      </c>
      <c r="B411" s="212" t="s">
        <v>530</v>
      </c>
      <c r="C411" s="11">
        <f>IFERROR(INDEX('5.งบทดลอง รพ.'!$C:$C,MATCH('6.WS-Re-Exp'!A411,'5.งบทดลอง รพ.'!$A:$A,0)),)</f>
        <v>0</v>
      </c>
      <c r="D411" s="6"/>
      <c r="E411" s="201" t="str">
        <f>INDEX('13.Mapping'!$F:$F,MATCH('6.WS-Re-Exp'!$A411,'13.Mapping'!$B:$B,0))</f>
        <v>53050</v>
      </c>
      <c r="F411" s="201" t="str">
        <f>INDEX('13.Mapping'!$D:$D,MATCH('6.WS-Re-Exp'!$A411,'13.Mapping'!$B:$B,0))</f>
        <v>P25</v>
      </c>
      <c r="G411" s="201" t="str">
        <f>INDEX('13.Mapping'!$K:$K,MATCH('6.WS-Re-Exp'!$A411,'13.Mapping'!$B:$B,0))</f>
        <v>PC23</v>
      </c>
      <c r="H411" s="289"/>
      <c r="I411" s="531">
        <v>409</v>
      </c>
    </row>
    <row r="412" spans="1:9" s="33" customFormat="1" hidden="1" x14ac:dyDescent="0.7">
      <c r="A412" s="251" t="s">
        <v>531</v>
      </c>
      <c r="B412" s="212" t="s">
        <v>532</v>
      </c>
      <c r="C412" s="11">
        <f>IFERROR(INDEX('5.งบทดลอง รพ.'!$C:$C,MATCH('6.WS-Re-Exp'!A412,'5.งบทดลอง รพ.'!$A:$A,0)),)</f>
        <v>0</v>
      </c>
      <c r="D412" s="6"/>
      <c r="E412" s="201" t="str">
        <f>INDEX('13.Mapping'!$F:$F,MATCH('6.WS-Re-Exp'!$A412,'13.Mapping'!$B:$B,0))</f>
        <v>53050</v>
      </c>
      <c r="F412" s="201" t="str">
        <f>INDEX('13.Mapping'!$D:$D,MATCH('6.WS-Re-Exp'!$A412,'13.Mapping'!$B:$B,0))</f>
        <v>P25</v>
      </c>
      <c r="G412" s="201" t="str">
        <f>INDEX('13.Mapping'!$K:$K,MATCH('6.WS-Re-Exp'!$A412,'13.Mapping'!$B:$B,0))</f>
        <v>PC23</v>
      </c>
      <c r="H412" s="289"/>
      <c r="I412" s="531">
        <v>410</v>
      </c>
    </row>
    <row r="413" spans="1:9" s="33" customFormat="1" hidden="1" x14ac:dyDescent="0.7">
      <c r="A413" s="251" t="s">
        <v>533</v>
      </c>
      <c r="B413" s="212" t="s">
        <v>534</v>
      </c>
      <c r="C413" s="11">
        <f>IFERROR(INDEX('5.งบทดลอง รพ.'!$C:$C,MATCH('6.WS-Re-Exp'!A413,'5.งบทดลอง รพ.'!$A:$A,0)),)</f>
        <v>0</v>
      </c>
      <c r="D413" s="6"/>
      <c r="E413" s="201" t="str">
        <f>INDEX('13.Mapping'!$F:$F,MATCH('6.WS-Re-Exp'!$A413,'13.Mapping'!$B:$B,0))</f>
        <v>53050</v>
      </c>
      <c r="F413" s="201" t="str">
        <f>INDEX('13.Mapping'!$D:$D,MATCH('6.WS-Re-Exp'!$A413,'13.Mapping'!$B:$B,0))</f>
        <v>P25</v>
      </c>
      <c r="G413" s="201" t="str">
        <f>INDEX('13.Mapping'!$K:$K,MATCH('6.WS-Re-Exp'!$A413,'13.Mapping'!$B:$B,0))</f>
        <v>PC23</v>
      </c>
      <c r="H413" s="289"/>
      <c r="I413" s="531">
        <v>411</v>
      </c>
    </row>
    <row r="414" spans="1:9" s="33" customFormat="1" hidden="1" x14ac:dyDescent="0.7">
      <c r="A414" s="251" t="s">
        <v>535</v>
      </c>
      <c r="B414" s="212" t="s">
        <v>536</v>
      </c>
      <c r="C414" s="11">
        <f>IFERROR(INDEX('5.งบทดลอง รพ.'!$C:$C,MATCH('6.WS-Re-Exp'!A414,'5.งบทดลอง รพ.'!$A:$A,0)),)</f>
        <v>0</v>
      </c>
      <c r="D414" s="6"/>
      <c r="E414" s="201" t="str">
        <f>INDEX('13.Mapping'!$F:$F,MATCH('6.WS-Re-Exp'!$A414,'13.Mapping'!$B:$B,0))</f>
        <v>53050</v>
      </c>
      <c r="F414" s="201" t="str">
        <f>INDEX('13.Mapping'!$D:$D,MATCH('6.WS-Re-Exp'!$A414,'13.Mapping'!$B:$B,0))</f>
        <v>P25</v>
      </c>
      <c r="G414" s="201" t="str">
        <f>INDEX('13.Mapping'!$K:$K,MATCH('6.WS-Re-Exp'!$A414,'13.Mapping'!$B:$B,0))</f>
        <v>PC23</v>
      </c>
      <c r="H414" s="289"/>
      <c r="I414" s="531">
        <v>412</v>
      </c>
    </row>
    <row r="415" spans="1:9" s="33" customFormat="1" hidden="1" x14ac:dyDescent="0.7">
      <c r="A415" s="251" t="s">
        <v>537</v>
      </c>
      <c r="B415" s="212" t="s">
        <v>538</v>
      </c>
      <c r="C415" s="11">
        <f>IFERROR(INDEX('5.งบทดลอง รพ.'!$C:$C,MATCH('6.WS-Re-Exp'!A415,'5.งบทดลอง รพ.'!$A:$A,0)),)</f>
        <v>0</v>
      </c>
      <c r="D415" s="6"/>
      <c r="E415" s="201" t="str">
        <f>INDEX('13.Mapping'!$F:$F,MATCH('6.WS-Re-Exp'!$A415,'13.Mapping'!$B:$B,0))</f>
        <v>53050</v>
      </c>
      <c r="F415" s="201" t="str">
        <f>INDEX('13.Mapping'!$D:$D,MATCH('6.WS-Re-Exp'!$A415,'13.Mapping'!$B:$B,0))</f>
        <v>P25</v>
      </c>
      <c r="G415" s="201" t="str">
        <f>INDEX('13.Mapping'!$K:$K,MATCH('6.WS-Re-Exp'!$A415,'13.Mapping'!$B:$B,0))</f>
        <v>PC23</v>
      </c>
      <c r="H415" s="289"/>
      <c r="I415" s="531">
        <v>413</v>
      </c>
    </row>
    <row r="416" spans="1:9" s="33" customFormat="1" hidden="1" x14ac:dyDescent="0.7">
      <c r="A416" s="251" t="s">
        <v>539</v>
      </c>
      <c r="B416" s="212" t="s">
        <v>540</v>
      </c>
      <c r="C416" s="11">
        <f>IFERROR(INDEX('5.งบทดลอง รพ.'!$C:$C,MATCH('6.WS-Re-Exp'!A416,'5.งบทดลอง รพ.'!$A:$A,0)),)</f>
        <v>0</v>
      </c>
      <c r="D416" s="6"/>
      <c r="E416" s="201" t="str">
        <f>INDEX('13.Mapping'!$F:$F,MATCH('6.WS-Re-Exp'!$A416,'13.Mapping'!$B:$B,0))</f>
        <v>53050</v>
      </c>
      <c r="F416" s="201" t="str">
        <f>INDEX('13.Mapping'!$D:$D,MATCH('6.WS-Re-Exp'!$A416,'13.Mapping'!$B:$B,0))</f>
        <v>P25</v>
      </c>
      <c r="G416" s="201" t="str">
        <f>INDEX('13.Mapping'!$K:$K,MATCH('6.WS-Re-Exp'!$A416,'13.Mapping'!$B:$B,0))</f>
        <v>PC23</v>
      </c>
      <c r="H416" s="289"/>
      <c r="I416" s="531">
        <v>414</v>
      </c>
    </row>
    <row r="417" spans="1:9" s="33" customFormat="1" hidden="1" x14ac:dyDescent="0.7">
      <c r="A417" s="251" t="s">
        <v>541</v>
      </c>
      <c r="B417" s="212" t="s">
        <v>542</v>
      </c>
      <c r="C417" s="11">
        <f>IFERROR(INDEX('5.งบทดลอง รพ.'!$C:$C,MATCH('6.WS-Re-Exp'!A417,'5.งบทดลอง รพ.'!$A:$A,0)),)</f>
        <v>0</v>
      </c>
      <c r="D417" s="6"/>
      <c r="E417" s="201" t="str">
        <f>INDEX('13.Mapping'!$F:$F,MATCH('6.WS-Re-Exp'!$A417,'13.Mapping'!$B:$B,0))</f>
        <v>53050</v>
      </c>
      <c r="F417" s="201" t="str">
        <f>INDEX('13.Mapping'!$D:$D,MATCH('6.WS-Re-Exp'!$A417,'13.Mapping'!$B:$B,0))</f>
        <v>P25</v>
      </c>
      <c r="G417" s="201" t="str">
        <f>INDEX('13.Mapping'!$K:$K,MATCH('6.WS-Re-Exp'!$A417,'13.Mapping'!$B:$B,0))</f>
        <v>PC23</v>
      </c>
      <c r="H417" s="289"/>
      <c r="I417" s="531">
        <v>415</v>
      </c>
    </row>
    <row r="418" spans="1:9" s="33" customFormat="1" hidden="1" x14ac:dyDescent="0.7">
      <c r="A418" s="251" t="s">
        <v>543</v>
      </c>
      <c r="B418" s="212" t="s">
        <v>544</v>
      </c>
      <c r="C418" s="11">
        <f>IFERROR(INDEX('5.งบทดลอง รพ.'!$C:$C,MATCH('6.WS-Re-Exp'!A418,'5.งบทดลอง รพ.'!$A:$A,0)),)</f>
        <v>0</v>
      </c>
      <c r="D418" s="6"/>
      <c r="E418" s="201" t="str">
        <f>INDEX('13.Mapping'!$F:$F,MATCH('6.WS-Re-Exp'!$A418,'13.Mapping'!$B:$B,0))</f>
        <v>53050</v>
      </c>
      <c r="F418" s="201" t="str">
        <f>INDEX('13.Mapping'!$D:$D,MATCH('6.WS-Re-Exp'!$A418,'13.Mapping'!$B:$B,0))</f>
        <v>P25</v>
      </c>
      <c r="G418" s="201" t="str">
        <f>INDEX('13.Mapping'!$K:$K,MATCH('6.WS-Re-Exp'!$A418,'13.Mapping'!$B:$B,0))</f>
        <v>PC23</v>
      </c>
      <c r="H418" s="289"/>
      <c r="I418" s="531">
        <v>416</v>
      </c>
    </row>
    <row r="419" spans="1:9" s="33" customFormat="1" hidden="1" x14ac:dyDescent="0.7">
      <c r="A419" s="251" t="s">
        <v>545</v>
      </c>
      <c r="B419" s="212" t="s">
        <v>546</v>
      </c>
      <c r="C419" s="11">
        <f>IFERROR(INDEX('5.งบทดลอง รพ.'!$C:$C,MATCH('6.WS-Re-Exp'!A419,'5.งบทดลอง รพ.'!$A:$A,0)),)</f>
        <v>0</v>
      </c>
      <c r="D419" s="6"/>
      <c r="E419" s="201" t="str">
        <f>INDEX('13.Mapping'!$F:$F,MATCH('6.WS-Re-Exp'!$A419,'13.Mapping'!$B:$B,0))</f>
        <v>53050</v>
      </c>
      <c r="F419" s="201" t="str">
        <f>INDEX('13.Mapping'!$D:$D,MATCH('6.WS-Re-Exp'!$A419,'13.Mapping'!$B:$B,0))</f>
        <v>P25</v>
      </c>
      <c r="G419" s="201" t="str">
        <f>INDEX('13.Mapping'!$K:$K,MATCH('6.WS-Re-Exp'!$A419,'13.Mapping'!$B:$B,0))</f>
        <v>PC23</v>
      </c>
      <c r="H419" s="289"/>
      <c r="I419" s="531">
        <v>417</v>
      </c>
    </row>
    <row r="420" spans="1:9" s="33" customFormat="1" hidden="1" x14ac:dyDescent="0.7">
      <c r="A420" s="251" t="s">
        <v>547</v>
      </c>
      <c r="B420" s="212" t="s">
        <v>548</v>
      </c>
      <c r="C420" s="11">
        <f>IFERROR(INDEX('5.งบทดลอง รพ.'!$C:$C,MATCH('6.WS-Re-Exp'!A420,'5.งบทดลอง รพ.'!$A:$A,0)),)</f>
        <v>0</v>
      </c>
      <c r="D420" s="6"/>
      <c r="E420" s="201" t="str">
        <f>INDEX('13.Mapping'!$F:$F,MATCH('6.WS-Re-Exp'!$A420,'13.Mapping'!$B:$B,0))</f>
        <v>53050</v>
      </c>
      <c r="F420" s="201" t="str">
        <f>INDEX('13.Mapping'!$D:$D,MATCH('6.WS-Re-Exp'!$A420,'13.Mapping'!$B:$B,0))</f>
        <v>P25</v>
      </c>
      <c r="G420" s="201" t="str">
        <f>INDEX('13.Mapping'!$K:$K,MATCH('6.WS-Re-Exp'!$A420,'13.Mapping'!$B:$B,0))</f>
        <v>PC23</v>
      </c>
      <c r="H420" s="289"/>
      <c r="I420" s="531">
        <v>418</v>
      </c>
    </row>
    <row r="421" spans="1:9" hidden="1" x14ac:dyDescent="0.7">
      <c r="A421" s="251" t="s">
        <v>549</v>
      </c>
      <c r="B421" s="212" t="s">
        <v>550</v>
      </c>
      <c r="C421" s="11">
        <f>IFERROR(INDEX('5.งบทดลอง รพ.'!$C:$C,MATCH('6.WS-Re-Exp'!A421,'5.งบทดลอง รพ.'!$A:$A,0)),)</f>
        <v>0</v>
      </c>
      <c r="E421" s="201" t="str">
        <f>INDEX('13.Mapping'!$F:$F,MATCH('6.WS-Re-Exp'!$A421,'13.Mapping'!$B:$B,0))</f>
        <v>53050</v>
      </c>
      <c r="F421" s="201" t="str">
        <f>INDEX('13.Mapping'!$D:$D,MATCH('6.WS-Re-Exp'!$A421,'13.Mapping'!$B:$B,0))</f>
        <v>P25</v>
      </c>
      <c r="G421" s="201" t="str">
        <f>INDEX('13.Mapping'!$K:$K,MATCH('6.WS-Re-Exp'!$A421,'13.Mapping'!$B:$B,0))</f>
        <v>PC23</v>
      </c>
      <c r="H421" s="350"/>
      <c r="I421" s="531">
        <v>419</v>
      </c>
    </row>
    <row r="422" spans="1:9" hidden="1" x14ac:dyDescent="0.7">
      <c r="A422" s="251" t="s">
        <v>551</v>
      </c>
      <c r="B422" s="212" t="s">
        <v>552</v>
      </c>
      <c r="C422" s="11">
        <f>IFERROR(INDEX('5.งบทดลอง รพ.'!$C:$C,MATCH('6.WS-Re-Exp'!A422,'5.งบทดลอง รพ.'!$A:$A,0)),)</f>
        <v>0</v>
      </c>
      <c r="E422" s="201" t="str">
        <f>INDEX('13.Mapping'!$F:$F,MATCH('6.WS-Re-Exp'!$A422,'13.Mapping'!$B:$B,0))</f>
        <v>53050</v>
      </c>
      <c r="F422" s="201" t="str">
        <f>INDEX('13.Mapping'!$D:$D,MATCH('6.WS-Re-Exp'!$A422,'13.Mapping'!$B:$B,0))</f>
        <v>P25</v>
      </c>
      <c r="G422" s="201" t="str">
        <f>INDEX('13.Mapping'!$K:$K,MATCH('6.WS-Re-Exp'!$A422,'13.Mapping'!$B:$B,0))</f>
        <v>PC23</v>
      </c>
      <c r="H422" s="350"/>
      <c r="I422" s="531">
        <v>420</v>
      </c>
    </row>
    <row r="423" spans="1:9" hidden="1" x14ac:dyDescent="0.7">
      <c r="A423" s="251" t="s">
        <v>553</v>
      </c>
      <c r="B423" s="212" t="s">
        <v>554</v>
      </c>
      <c r="C423" s="11">
        <f>IFERROR(INDEX('5.งบทดลอง รพ.'!$C:$C,MATCH('6.WS-Re-Exp'!A423,'5.งบทดลอง รพ.'!$A:$A,0)),)</f>
        <v>0</v>
      </c>
      <c r="E423" s="201" t="str">
        <f>INDEX('13.Mapping'!$F:$F,MATCH('6.WS-Re-Exp'!$A423,'13.Mapping'!$B:$B,0))</f>
        <v>53050</v>
      </c>
      <c r="F423" s="201" t="str">
        <f>INDEX('13.Mapping'!$D:$D,MATCH('6.WS-Re-Exp'!$A423,'13.Mapping'!$B:$B,0))</f>
        <v>P25</v>
      </c>
      <c r="G423" s="201" t="str">
        <f>INDEX('13.Mapping'!$K:$K,MATCH('6.WS-Re-Exp'!$A423,'13.Mapping'!$B:$B,0))</f>
        <v>PC23</v>
      </c>
      <c r="H423" s="350"/>
      <c r="I423" s="531">
        <v>421</v>
      </c>
    </row>
    <row r="424" spans="1:9" hidden="1" x14ac:dyDescent="0.7">
      <c r="A424" s="251" t="s">
        <v>555</v>
      </c>
      <c r="B424" s="212" t="s">
        <v>556</v>
      </c>
      <c r="C424" s="11">
        <f>IFERROR(INDEX('5.งบทดลอง รพ.'!$C:$C,MATCH('6.WS-Re-Exp'!A424,'5.งบทดลอง รพ.'!$A:$A,0)),)</f>
        <v>0</v>
      </c>
      <c r="E424" s="201" t="str">
        <f>INDEX('13.Mapping'!$F:$F,MATCH('6.WS-Re-Exp'!$A424,'13.Mapping'!$B:$B,0))</f>
        <v>53050</v>
      </c>
      <c r="F424" s="201" t="str">
        <f>INDEX('13.Mapping'!$D:$D,MATCH('6.WS-Re-Exp'!$A424,'13.Mapping'!$B:$B,0))</f>
        <v>P25</v>
      </c>
      <c r="G424" s="201" t="str">
        <f>INDEX('13.Mapping'!$K:$K,MATCH('6.WS-Re-Exp'!$A424,'13.Mapping'!$B:$B,0))</f>
        <v>PC23</v>
      </c>
      <c r="H424" s="350"/>
      <c r="I424" s="531">
        <v>422</v>
      </c>
    </row>
    <row r="425" spans="1:9" hidden="1" x14ac:dyDescent="0.7">
      <c r="A425" s="251" t="s">
        <v>2271</v>
      </c>
      <c r="B425" s="212" t="s">
        <v>829</v>
      </c>
      <c r="C425" s="11">
        <f>IFERROR(INDEX('5.งบทดลอง รพ.'!$C:$C,MATCH('6.WS-Re-Exp'!A425,'5.งบทดลอง รพ.'!$A:$A,0)),)</f>
        <v>0</v>
      </c>
      <c r="E425" s="201" t="str">
        <f>INDEX('13.Mapping'!$F:$F,MATCH('6.WS-Re-Exp'!$A425,'13.Mapping'!$B:$B,0))</f>
        <v>53050</v>
      </c>
      <c r="F425" s="201" t="str">
        <f>INDEX('13.Mapping'!$D:$D,MATCH('6.WS-Re-Exp'!$A425,'13.Mapping'!$B:$B,0))</f>
        <v>P251</v>
      </c>
      <c r="G425" s="201">
        <f>INDEX('13.Mapping'!$K:$K,MATCH('6.WS-Re-Exp'!$A425,'13.Mapping'!$B:$B,0))</f>
        <v>0</v>
      </c>
      <c r="H425" s="350"/>
      <c r="I425" s="531">
        <v>423</v>
      </c>
    </row>
    <row r="426" spans="1:9" hidden="1" x14ac:dyDescent="0.7">
      <c r="A426" s="251" t="s">
        <v>830</v>
      </c>
      <c r="B426" s="212" t="s">
        <v>831</v>
      </c>
      <c r="C426" s="11">
        <f>IFERROR(INDEX('5.งบทดลอง รพ.'!$C:$C,MATCH('6.WS-Re-Exp'!A426,'5.งบทดลอง รพ.'!$A:$A,0)),)</f>
        <v>0</v>
      </c>
      <c r="E426" s="201" t="str">
        <f>INDEX('13.Mapping'!$F:$F,MATCH('6.WS-Re-Exp'!$A426,'13.Mapping'!$B:$B,0))</f>
        <v>53050</v>
      </c>
      <c r="F426" s="201" t="str">
        <f>INDEX('13.Mapping'!$D:$D,MATCH('6.WS-Re-Exp'!$A426,'13.Mapping'!$B:$B,0))</f>
        <v>P251</v>
      </c>
      <c r="G426" s="201">
        <f>INDEX('13.Mapping'!$K:$K,MATCH('6.WS-Re-Exp'!$A426,'13.Mapping'!$B:$B,0))</f>
        <v>0</v>
      </c>
      <c r="H426" s="350"/>
      <c r="I426" s="531">
        <v>424</v>
      </c>
    </row>
    <row r="427" spans="1:9" hidden="1" x14ac:dyDescent="0.7">
      <c r="A427" s="251" t="s">
        <v>832</v>
      </c>
      <c r="B427" s="212" t="s">
        <v>833</v>
      </c>
      <c r="C427" s="11">
        <f>IFERROR(INDEX('5.งบทดลอง รพ.'!$C:$C,MATCH('6.WS-Re-Exp'!A427,'5.งบทดลอง รพ.'!$A:$A,0)),)</f>
        <v>0</v>
      </c>
      <c r="E427" s="201" t="str">
        <f>INDEX('13.Mapping'!$F:$F,MATCH('6.WS-Re-Exp'!$A427,'13.Mapping'!$B:$B,0))</f>
        <v>53050</v>
      </c>
      <c r="F427" s="201" t="str">
        <f>INDEX('13.Mapping'!$D:$D,MATCH('6.WS-Re-Exp'!$A427,'13.Mapping'!$B:$B,0))</f>
        <v>P251</v>
      </c>
      <c r="G427" s="201">
        <f>INDEX('13.Mapping'!$K:$K,MATCH('6.WS-Re-Exp'!$A427,'13.Mapping'!$B:$B,0))</f>
        <v>0</v>
      </c>
      <c r="H427" s="350"/>
      <c r="I427" s="531">
        <v>425</v>
      </c>
    </row>
    <row r="428" spans="1:9" s="33" customFormat="1" hidden="1" x14ac:dyDescent="0.7">
      <c r="A428" s="251" t="s">
        <v>557</v>
      </c>
      <c r="B428" s="212" t="s">
        <v>1026</v>
      </c>
      <c r="C428" s="11">
        <f>IFERROR(INDEX('5.งบทดลอง รพ.'!$C:$C,MATCH('6.WS-Re-Exp'!A428,'5.งบทดลอง รพ.'!$A:$A,0)),)</f>
        <v>0</v>
      </c>
      <c r="D428" s="6"/>
      <c r="E428" s="201" t="str">
        <f>INDEX('13.Mapping'!$F:$F,MATCH('6.WS-Re-Exp'!$A428,'13.Mapping'!$B:$B,0))</f>
        <v>53050</v>
      </c>
      <c r="F428" s="201" t="str">
        <f>INDEX('13.Mapping'!$D:$D,MATCH('6.WS-Re-Exp'!$A428,'13.Mapping'!$B:$B,0))</f>
        <v>P251</v>
      </c>
      <c r="G428" s="201">
        <f>INDEX('13.Mapping'!$K:$K,MATCH('6.WS-Re-Exp'!$A428,'13.Mapping'!$B:$B,0))</f>
        <v>0</v>
      </c>
      <c r="H428" s="289"/>
      <c r="I428" s="531">
        <v>426</v>
      </c>
    </row>
    <row r="429" spans="1:9" s="33" customFormat="1" hidden="1" x14ac:dyDescent="0.7">
      <c r="A429" s="251" t="s">
        <v>834</v>
      </c>
      <c r="B429" s="212" t="s">
        <v>835</v>
      </c>
      <c r="C429" s="11">
        <f>IFERROR(INDEX('5.งบทดลอง รพ.'!$C:$C,MATCH('6.WS-Re-Exp'!A429,'5.งบทดลอง รพ.'!$A:$A,0)),)</f>
        <v>0</v>
      </c>
      <c r="D429" s="6"/>
      <c r="E429" s="201" t="str">
        <f>INDEX('13.Mapping'!$F:$F,MATCH('6.WS-Re-Exp'!$A429,'13.Mapping'!$B:$B,0))</f>
        <v>53050</v>
      </c>
      <c r="F429" s="201" t="str">
        <f>INDEX('13.Mapping'!$D:$D,MATCH('6.WS-Re-Exp'!$A429,'13.Mapping'!$B:$B,0))</f>
        <v>P251</v>
      </c>
      <c r="G429" s="201">
        <f>INDEX('13.Mapping'!$K:$K,MATCH('6.WS-Re-Exp'!$A429,'13.Mapping'!$B:$B,0))</f>
        <v>0</v>
      </c>
      <c r="H429" s="289"/>
      <c r="I429" s="531">
        <v>427</v>
      </c>
    </row>
    <row r="430" spans="1:9" s="33" customFormat="1" hidden="1" x14ac:dyDescent="0.7">
      <c r="A430" s="251" t="s">
        <v>836</v>
      </c>
      <c r="B430" s="212" t="s">
        <v>837</v>
      </c>
      <c r="C430" s="11">
        <f>IFERROR(INDEX('5.งบทดลอง รพ.'!$C:$C,MATCH('6.WS-Re-Exp'!A430,'5.งบทดลอง รพ.'!$A:$A,0)),)</f>
        <v>0</v>
      </c>
      <c r="D430" s="6"/>
      <c r="E430" s="201" t="str">
        <f>INDEX('13.Mapping'!$F:$F,MATCH('6.WS-Re-Exp'!$A430,'13.Mapping'!$B:$B,0))</f>
        <v>53050</v>
      </c>
      <c r="F430" s="201" t="str">
        <f>INDEX('13.Mapping'!$D:$D,MATCH('6.WS-Re-Exp'!$A430,'13.Mapping'!$B:$B,0))</f>
        <v>P251</v>
      </c>
      <c r="G430" s="201">
        <f>INDEX('13.Mapping'!$K:$K,MATCH('6.WS-Re-Exp'!$A430,'13.Mapping'!$B:$B,0))</f>
        <v>0</v>
      </c>
      <c r="H430" s="289"/>
      <c r="I430" s="531">
        <v>428</v>
      </c>
    </row>
    <row r="431" spans="1:9" s="33" customFormat="1" hidden="1" x14ac:dyDescent="0.7">
      <c r="A431" s="251" t="s">
        <v>558</v>
      </c>
      <c r="B431" s="212" t="s">
        <v>5985</v>
      </c>
      <c r="C431" s="11">
        <f>IFERROR(INDEX('5.งบทดลอง รพ.'!$C:$C,MATCH('6.WS-Re-Exp'!A431,'5.งบทดลอง รพ.'!$A:$A,0)),)</f>
        <v>0</v>
      </c>
      <c r="D431" s="6"/>
      <c r="E431" s="201" t="str">
        <f>INDEX('13.Mapping'!$F:$F,MATCH('6.WS-Re-Exp'!$A431,'13.Mapping'!$B:$B,0))</f>
        <v>53050</v>
      </c>
      <c r="F431" s="201" t="str">
        <f>INDEX('13.Mapping'!$D:$D,MATCH('6.WS-Re-Exp'!$A431,'13.Mapping'!$B:$B,0))</f>
        <v>P251</v>
      </c>
      <c r="G431" s="201">
        <f>INDEX('13.Mapping'!$K:$K,MATCH('6.WS-Re-Exp'!$A431,'13.Mapping'!$B:$B,0))</f>
        <v>0</v>
      </c>
      <c r="H431" s="289"/>
      <c r="I431" s="531">
        <v>429</v>
      </c>
    </row>
    <row r="432" spans="1:9" s="33" customFormat="1" hidden="1" x14ac:dyDescent="0.7">
      <c r="A432" s="251" t="s">
        <v>5984</v>
      </c>
      <c r="B432" s="212" t="s">
        <v>5982</v>
      </c>
      <c r="C432" s="11">
        <f>IFERROR(INDEX('5.งบทดลอง รพ.'!$C:$C,MATCH('6.WS-Re-Exp'!A432,'5.งบทดลอง รพ.'!$A:$A,0)),)</f>
        <v>0</v>
      </c>
      <c r="D432" s="6"/>
      <c r="E432" s="201" t="str">
        <f>INDEX('13.Mapping'!$F:$F,MATCH('6.WS-Re-Exp'!$A432,'13.Mapping'!$B:$B,0))</f>
        <v>53050</v>
      </c>
      <c r="F432" s="201" t="str">
        <f>INDEX('13.Mapping'!$D:$D,MATCH('6.WS-Re-Exp'!$A432,'13.Mapping'!$B:$B,0))</f>
        <v>P25</v>
      </c>
      <c r="G432" s="201">
        <f>INDEX('13.Mapping'!$K:$K,MATCH('6.WS-Re-Exp'!$A432,'13.Mapping'!$B:$B,0))</f>
        <v>0</v>
      </c>
      <c r="H432" s="289"/>
      <c r="I432" s="531">
        <v>430</v>
      </c>
    </row>
    <row r="433" spans="1:9" s="33" customFormat="1" hidden="1" x14ac:dyDescent="0.7">
      <c r="A433" s="251" t="s">
        <v>5983</v>
      </c>
      <c r="B433" s="212" t="s">
        <v>559</v>
      </c>
      <c r="C433" s="11">
        <f>IFERROR(INDEX('5.งบทดลอง รพ.'!$C:$C,MATCH('6.WS-Re-Exp'!A433,'5.งบทดลอง รพ.'!$A:$A,0)),)</f>
        <v>0</v>
      </c>
      <c r="D433" s="6"/>
      <c r="E433" s="201" t="str">
        <f>INDEX('13.Mapping'!$F:$F,MATCH('6.WS-Re-Exp'!$A433,'13.Mapping'!$B:$B,0))</f>
        <v>53050</v>
      </c>
      <c r="F433" s="201" t="str">
        <f>INDEX('13.Mapping'!$D:$D,MATCH('6.WS-Re-Exp'!$A433,'13.Mapping'!$B:$B,0))</f>
        <v>P25</v>
      </c>
      <c r="G433" s="201">
        <f>INDEX('13.Mapping'!$K:$K,MATCH('6.WS-Re-Exp'!$A433,'13.Mapping'!$B:$B,0))</f>
        <v>0</v>
      </c>
      <c r="H433" s="289"/>
      <c r="I433" s="531">
        <v>431</v>
      </c>
    </row>
    <row r="434" spans="1:9" s="33" customFormat="1" hidden="1" x14ac:dyDescent="0.7">
      <c r="A434" s="251" t="s">
        <v>838</v>
      </c>
      <c r="B434" s="212" t="s">
        <v>6025</v>
      </c>
      <c r="C434" s="11">
        <f>IFERROR(INDEX('5.งบทดลอง รพ.'!$C:$C,MATCH('6.WS-Re-Exp'!A434,'5.งบทดลอง รพ.'!$A:$A,0)),)</f>
        <v>0</v>
      </c>
      <c r="D434" s="6"/>
      <c r="E434" s="201" t="str">
        <f>INDEX('13.Mapping'!$F:$F,MATCH('6.WS-Re-Exp'!$A434,'13.Mapping'!$B:$B,0))</f>
        <v>53050</v>
      </c>
      <c r="F434" s="201" t="str">
        <f>INDEX('13.Mapping'!$D:$D,MATCH('6.WS-Re-Exp'!$A434,'13.Mapping'!$B:$B,0))</f>
        <v>P25</v>
      </c>
      <c r="G434" s="201" t="str">
        <f>INDEX('13.Mapping'!$K:$K,MATCH('6.WS-Re-Exp'!$A434,'13.Mapping'!$B:$B,0))</f>
        <v>PC23</v>
      </c>
      <c r="H434" s="289"/>
      <c r="I434" s="531">
        <v>432</v>
      </c>
    </row>
    <row r="435" spans="1:9" s="33" customFormat="1" hidden="1" x14ac:dyDescent="0.7">
      <c r="A435" s="251" t="s">
        <v>560</v>
      </c>
      <c r="B435" s="212" t="s">
        <v>561</v>
      </c>
      <c r="C435" s="11">
        <f>IFERROR(INDEX('5.งบทดลอง รพ.'!$C:$C,MATCH('6.WS-Re-Exp'!A435,'5.งบทดลอง รพ.'!$A:$A,0)),)</f>
        <v>0</v>
      </c>
      <c r="D435" s="6"/>
      <c r="E435" s="201" t="str">
        <f>INDEX('13.Mapping'!$F:$F,MATCH('6.WS-Re-Exp'!$A435,'13.Mapping'!$B:$B,0))</f>
        <v>53050</v>
      </c>
      <c r="F435" s="201" t="str">
        <f>INDEX('13.Mapping'!$D:$D,MATCH('6.WS-Re-Exp'!$A435,'13.Mapping'!$B:$B,0))</f>
        <v>P25</v>
      </c>
      <c r="G435" s="201" t="str">
        <f>INDEX('13.Mapping'!$K:$K,MATCH('6.WS-Re-Exp'!$A435,'13.Mapping'!$B:$B,0))</f>
        <v>PC23</v>
      </c>
      <c r="H435" s="289"/>
      <c r="I435" s="531">
        <v>433</v>
      </c>
    </row>
    <row r="436" spans="1:9" s="33" customFormat="1" hidden="1" x14ac:dyDescent="0.7">
      <c r="A436" s="251" t="s">
        <v>562</v>
      </c>
      <c r="B436" s="212" t="s">
        <v>563</v>
      </c>
      <c r="C436" s="11">
        <f>IFERROR(INDEX('5.งบทดลอง รพ.'!$C:$C,MATCH('6.WS-Re-Exp'!A436,'5.งบทดลอง รพ.'!$A:$A,0)),)</f>
        <v>240000</v>
      </c>
      <c r="D436" s="6"/>
      <c r="E436" s="201" t="str">
        <f>INDEX('13.Mapping'!$F:$F,MATCH('6.WS-Re-Exp'!$A436,'13.Mapping'!$B:$B,0))</f>
        <v>53050</v>
      </c>
      <c r="F436" s="201" t="str">
        <f>INDEX('13.Mapping'!$D:$D,MATCH('6.WS-Re-Exp'!$A436,'13.Mapping'!$B:$B,0))</f>
        <v>P25</v>
      </c>
      <c r="G436" s="201" t="str">
        <f>INDEX('13.Mapping'!$K:$K,MATCH('6.WS-Re-Exp'!$A436,'13.Mapping'!$B:$B,0))</f>
        <v>PC23</v>
      </c>
      <c r="H436" s="289"/>
      <c r="I436" s="531">
        <v>434</v>
      </c>
    </row>
    <row r="437" spans="1:9" s="33" customFormat="1" hidden="1" x14ac:dyDescent="0.7">
      <c r="A437" s="251" t="s">
        <v>564</v>
      </c>
      <c r="B437" s="212" t="s">
        <v>565</v>
      </c>
      <c r="C437" s="11">
        <f>IFERROR(INDEX('5.งบทดลอง รพ.'!$C:$C,MATCH('6.WS-Re-Exp'!A437,'5.งบทดลอง รพ.'!$A:$A,0)),)</f>
        <v>0</v>
      </c>
      <c r="D437" s="6"/>
      <c r="E437" s="201" t="str">
        <f>INDEX('13.Mapping'!$F:$F,MATCH('6.WS-Re-Exp'!$A437,'13.Mapping'!$B:$B,0))</f>
        <v>53050</v>
      </c>
      <c r="F437" s="201" t="str">
        <f>INDEX('13.Mapping'!$D:$D,MATCH('6.WS-Re-Exp'!$A437,'13.Mapping'!$B:$B,0))</f>
        <v>P25</v>
      </c>
      <c r="G437" s="201" t="str">
        <f>INDEX('13.Mapping'!$K:$K,MATCH('6.WS-Re-Exp'!$A437,'13.Mapping'!$B:$B,0))</f>
        <v>PC23</v>
      </c>
      <c r="H437" s="289"/>
      <c r="I437" s="531">
        <v>435</v>
      </c>
    </row>
    <row r="438" spans="1:9" s="33" customFormat="1" hidden="1" x14ac:dyDescent="0.7">
      <c r="A438" s="251" t="s">
        <v>566</v>
      </c>
      <c r="B438" s="212" t="s">
        <v>567</v>
      </c>
      <c r="C438" s="11">
        <f>IFERROR(INDEX('5.งบทดลอง รพ.'!$C:$C,MATCH('6.WS-Re-Exp'!A438,'5.งบทดลอง รพ.'!$A:$A,0)),)</f>
        <v>0</v>
      </c>
      <c r="D438" s="6"/>
      <c r="E438" s="201" t="str">
        <f>INDEX('13.Mapping'!$F:$F,MATCH('6.WS-Re-Exp'!$A438,'13.Mapping'!$B:$B,0))</f>
        <v>53050</v>
      </c>
      <c r="F438" s="201" t="str">
        <f>INDEX('13.Mapping'!$D:$D,MATCH('6.WS-Re-Exp'!$A438,'13.Mapping'!$B:$B,0))</f>
        <v>P25</v>
      </c>
      <c r="G438" s="201" t="str">
        <f>INDEX('13.Mapping'!$K:$K,MATCH('6.WS-Re-Exp'!$A438,'13.Mapping'!$B:$B,0))</f>
        <v>PC23</v>
      </c>
      <c r="H438" s="289"/>
      <c r="I438" s="531">
        <v>436</v>
      </c>
    </row>
    <row r="439" spans="1:9" s="33" customFormat="1" hidden="1" x14ac:dyDescent="0.7">
      <c r="A439" s="251" t="s">
        <v>568</v>
      </c>
      <c r="B439" s="212" t="s">
        <v>1027</v>
      </c>
      <c r="C439" s="11">
        <f>IFERROR(INDEX('5.งบทดลอง รพ.'!$C:$C,MATCH('6.WS-Re-Exp'!A439,'5.งบทดลอง รพ.'!$A:$A,0)),)</f>
        <v>0</v>
      </c>
      <c r="D439" s="6"/>
      <c r="E439" s="201" t="str">
        <f>INDEX('13.Mapping'!$F:$F,MATCH('6.WS-Re-Exp'!$A439,'13.Mapping'!$B:$B,0))</f>
        <v>53050</v>
      </c>
      <c r="F439" s="201" t="str">
        <f>INDEX('13.Mapping'!$D:$D,MATCH('6.WS-Re-Exp'!$A439,'13.Mapping'!$B:$B,0))</f>
        <v>P25</v>
      </c>
      <c r="G439" s="201" t="str">
        <f>INDEX('13.Mapping'!$K:$K,MATCH('6.WS-Re-Exp'!$A439,'13.Mapping'!$B:$B,0))</f>
        <v>PC23</v>
      </c>
      <c r="H439" s="289"/>
      <c r="I439" s="531">
        <v>437</v>
      </c>
    </row>
    <row r="440" spans="1:9" s="33" customFormat="1" hidden="1" x14ac:dyDescent="0.7">
      <c r="A440" s="251" t="s">
        <v>569</v>
      </c>
      <c r="B440" s="212" t="s">
        <v>1028</v>
      </c>
      <c r="C440" s="11">
        <f>IFERROR(INDEX('5.งบทดลอง รพ.'!$C:$C,MATCH('6.WS-Re-Exp'!A440,'5.งบทดลอง รพ.'!$A:$A,0)),)</f>
        <v>0</v>
      </c>
      <c r="D440" s="6"/>
      <c r="E440" s="201" t="str">
        <f>INDEX('13.Mapping'!$F:$F,MATCH('6.WS-Re-Exp'!$A440,'13.Mapping'!$B:$B,0))</f>
        <v>53050</v>
      </c>
      <c r="F440" s="201" t="str">
        <f>INDEX('13.Mapping'!$D:$D,MATCH('6.WS-Re-Exp'!$A440,'13.Mapping'!$B:$B,0))</f>
        <v>P25</v>
      </c>
      <c r="G440" s="201" t="str">
        <f>INDEX('13.Mapping'!$K:$K,MATCH('6.WS-Re-Exp'!$A440,'13.Mapping'!$B:$B,0))</f>
        <v>PC23</v>
      </c>
      <c r="H440" s="289"/>
      <c r="I440" s="531">
        <v>438</v>
      </c>
    </row>
    <row r="441" spans="1:9" s="33" customFormat="1" hidden="1" x14ac:dyDescent="0.7">
      <c r="A441" s="251" t="s">
        <v>570</v>
      </c>
      <c r="B441" s="212" t="s">
        <v>571</v>
      </c>
      <c r="C441" s="11">
        <f>IFERROR(INDEX('5.งบทดลอง รพ.'!$C:$C,MATCH('6.WS-Re-Exp'!A441,'5.งบทดลอง รพ.'!$A:$A,0)),)</f>
        <v>0</v>
      </c>
      <c r="D441" s="6"/>
      <c r="E441" s="201" t="str">
        <f>INDEX('13.Mapping'!$F:$F,MATCH('6.WS-Re-Exp'!$A441,'13.Mapping'!$B:$B,0))</f>
        <v>53050</v>
      </c>
      <c r="F441" s="201" t="str">
        <f>INDEX('13.Mapping'!$D:$D,MATCH('6.WS-Re-Exp'!$A441,'13.Mapping'!$B:$B,0))</f>
        <v>P25</v>
      </c>
      <c r="G441" s="201" t="str">
        <f>INDEX('13.Mapping'!$K:$K,MATCH('6.WS-Re-Exp'!$A441,'13.Mapping'!$B:$B,0))</f>
        <v>PC23</v>
      </c>
      <c r="H441" s="289"/>
      <c r="I441" s="531">
        <v>439</v>
      </c>
    </row>
    <row r="442" spans="1:9" s="33" customFormat="1" hidden="1" x14ac:dyDescent="0.7">
      <c r="A442" s="251" t="s">
        <v>572</v>
      </c>
      <c r="B442" s="212" t="s">
        <v>573</v>
      </c>
      <c r="C442" s="11">
        <f>IFERROR(INDEX('5.งบทดลอง รพ.'!$C:$C,MATCH('6.WS-Re-Exp'!A442,'5.งบทดลอง รพ.'!$A:$A,0)),)</f>
        <v>0</v>
      </c>
      <c r="D442" s="6"/>
      <c r="E442" s="201" t="str">
        <f>INDEX('13.Mapping'!$F:$F,MATCH('6.WS-Re-Exp'!$A442,'13.Mapping'!$B:$B,0))</f>
        <v>53050</v>
      </c>
      <c r="F442" s="201" t="str">
        <f>INDEX('13.Mapping'!$D:$D,MATCH('6.WS-Re-Exp'!$A442,'13.Mapping'!$B:$B,0))</f>
        <v>P25</v>
      </c>
      <c r="G442" s="201">
        <f>INDEX('13.Mapping'!$K:$K,MATCH('6.WS-Re-Exp'!$A442,'13.Mapping'!$B:$B,0))</f>
        <v>0</v>
      </c>
      <c r="H442" s="289"/>
      <c r="I442" s="531">
        <v>440</v>
      </c>
    </row>
    <row r="443" spans="1:9" hidden="1" x14ac:dyDescent="0.7">
      <c r="A443" s="6" t="s">
        <v>574</v>
      </c>
      <c r="B443" s="6" t="s">
        <v>5990</v>
      </c>
      <c r="C443" s="11">
        <f>IFERROR(INDEX('5.งบทดลอง รพ.'!$C:$C,MATCH('6.WS-Re-Exp'!A443,'5.งบทดลอง รพ.'!$A:$A,0)),)</f>
        <v>0</v>
      </c>
      <c r="E443" s="201" t="str">
        <f>INDEX('13.Mapping'!$F:$F,MATCH('6.WS-Re-Exp'!$A443,'13.Mapping'!$B:$B,0))</f>
        <v>53050</v>
      </c>
      <c r="F443" s="201" t="str">
        <f>INDEX('13.Mapping'!$D:$D,MATCH('6.WS-Re-Exp'!$A443,'13.Mapping'!$B:$B,0))</f>
        <v>P25</v>
      </c>
      <c r="G443" s="201">
        <f>INDEX('13.Mapping'!$K:$K,MATCH('6.WS-Re-Exp'!$A443,'13.Mapping'!$B:$B,0))</f>
        <v>0</v>
      </c>
      <c r="H443" s="6"/>
      <c r="I443" s="531">
        <v>441</v>
      </c>
    </row>
    <row r="444" spans="1:9" hidden="1" x14ac:dyDescent="0.7">
      <c r="A444" s="6" t="s">
        <v>575</v>
      </c>
      <c r="B444" s="6" t="s">
        <v>5989</v>
      </c>
      <c r="C444" s="11">
        <f>IFERROR(INDEX('5.งบทดลอง รพ.'!$C:$C,MATCH('6.WS-Re-Exp'!A444,'5.งบทดลอง รพ.'!$A:$A,0)),)</f>
        <v>0</v>
      </c>
      <c r="E444" s="201" t="str">
        <f>INDEX('13.Mapping'!$F:$F,MATCH('6.WS-Re-Exp'!$A444,'13.Mapping'!$B:$B,0))</f>
        <v>53050</v>
      </c>
      <c r="F444" s="201" t="str">
        <f>INDEX('13.Mapping'!$D:$D,MATCH('6.WS-Re-Exp'!$A444,'13.Mapping'!$B:$B,0))</f>
        <v>P25</v>
      </c>
      <c r="G444" s="201">
        <f>INDEX('13.Mapping'!$K:$K,MATCH('6.WS-Re-Exp'!$A444,'13.Mapping'!$B:$B,0))</f>
        <v>0</v>
      </c>
      <c r="H444" s="6"/>
      <c r="I444" s="531">
        <v>442</v>
      </c>
    </row>
    <row r="445" spans="1:9" hidden="1" x14ac:dyDescent="0.7">
      <c r="A445" s="6" t="s">
        <v>576</v>
      </c>
      <c r="B445" s="6" t="s">
        <v>5988</v>
      </c>
      <c r="C445" s="11">
        <f>IFERROR(INDEX('5.งบทดลอง รพ.'!$C:$C,MATCH('6.WS-Re-Exp'!A445,'5.งบทดลอง รพ.'!$A:$A,0)),)</f>
        <v>0</v>
      </c>
      <c r="E445" s="201" t="str">
        <f>INDEX('13.Mapping'!$F:$F,MATCH('6.WS-Re-Exp'!$A445,'13.Mapping'!$B:$B,0))</f>
        <v>53050</v>
      </c>
      <c r="F445" s="201" t="str">
        <f>INDEX('13.Mapping'!$D:$D,MATCH('6.WS-Re-Exp'!$A445,'13.Mapping'!$B:$B,0))</f>
        <v>P25</v>
      </c>
      <c r="G445" s="201">
        <f>INDEX('13.Mapping'!$K:$K,MATCH('6.WS-Re-Exp'!$A445,'13.Mapping'!$B:$B,0))</f>
        <v>0</v>
      </c>
      <c r="I445" s="531">
        <v>443</v>
      </c>
    </row>
    <row r="446" spans="1:9" hidden="1" x14ac:dyDescent="0.7">
      <c r="A446" s="6" t="s">
        <v>577</v>
      </c>
      <c r="B446" s="6" t="s">
        <v>5987</v>
      </c>
      <c r="C446" s="11">
        <f>IFERROR(INDEX('5.งบทดลอง รพ.'!$C:$C,MATCH('6.WS-Re-Exp'!A446,'5.งบทดลอง รพ.'!$A:$A,0)),)</f>
        <v>0</v>
      </c>
      <c r="E446" s="201" t="str">
        <f>INDEX('13.Mapping'!$F:$F,MATCH('6.WS-Re-Exp'!$A446,'13.Mapping'!$B:$B,0))</f>
        <v>53050</v>
      </c>
      <c r="F446" s="201" t="str">
        <f>INDEX('13.Mapping'!$D:$D,MATCH('6.WS-Re-Exp'!$A446,'13.Mapping'!$B:$B,0))</f>
        <v>P25</v>
      </c>
      <c r="G446" s="201">
        <f>INDEX('13.Mapping'!$K:$K,MATCH('6.WS-Re-Exp'!$A446,'13.Mapping'!$B:$B,0))</f>
        <v>0</v>
      </c>
      <c r="I446" s="531">
        <v>444</v>
      </c>
    </row>
    <row r="447" spans="1:9" hidden="1" x14ac:dyDescent="0.7">
      <c r="A447" s="6" t="s">
        <v>578</v>
      </c>
      <c r="B447" s="6" t="s">
        <v>5991</v>
      </c>
      <c r="C447" s="11">
        <f>IFERROR(INDEX('5.งบทดลอง รพ.'!$C:$C,MATCH('6.WS-Re-Exp'!A447,'5.งบทดลอง รพ.'!$A:$A,0)),)</f>
        <v>0</v>
      </c>
      <c r="E447" s="201" t="str">
        <f>INDEX('13.Mapping'!$F:$F,MATCH('6.WS-Re-Exp'!$A447,'13.Mapping'!$B:$B,0))</f>
        <v>53050</v>
      </c>
      <c r="F447" s="201" t="str">
        <f>INDEX('13.Mapping'!$D:$D,MATCH('6.WS-Re-Exp'!$A447,'13.Mapping'!$B:$B,0))</f>
        <v>P25</v>
      </c>
      <c r="G447" s="201" t="str">
        <f>INDEX('13.Mapping'!$K:$K,MATCH('6.WS-Re-Exp'!$A447,'13.Mapping'!$B:$B,0))</f>
        <v>PC23</v>
      </c>
      <c r="I447" s="531">
        <v>445</v>
      </c>
    </row>
    <row r="448" spans="1:9" hidden="1" x14ac:dyDescent="0.7">
      <c r="A448" s="6" t="s">
        <v>579</v>
      </c>
      <c r="B448" s="6" t="s">
        <v>580</v>
      </c>
      <c r="C448" s="11">
        <f>IFERROR(INDEX('5.งบทดลอง รพ.'!$C:$C,MATCH('6.WS-Re-Exp'!A448,'5.งบทดลอง รพ.'!$A:$A,0)),)</f>
        <v>0</v>
      </c>
      <c r="E448" s="201" t="str">
        <f>INDEX('13.Mapping'!$F:$F,MATCH('6.WS-Re-Exp'!$A448,'13.Mapping'!$B:$B,0))</f>
        <v>53050</v>
      </c>
      <c r="F448" s="201" t="str">
        <f>INDEX('13.Mapping'!$D:$D,MATCH('6.WS-Re-Exp'!$A448,'13.Mapping'!$B:$B,0))</f>
        <v>P25</v>
      </c>
      <c r="G448" s="201" t="str">
        <f>INDEX('13.Mapping'!$K:$K,MATCH('6.WS-Re-Exp'!$A448,'13.Mapping'!$B:$B,0))</f>
        <v>PC23</v>
      </c>
      <c r="I448" s="531">
        <v>446</v>
      </c>
    </row>
    <row r="449" spans="2:9" hidden="1" x14ac:dyDescent="0.7">
      <c r="C449" s="360">
        <f>SUM(C3:C448)</f>
        <v>190038371.20000005</v>
      </c>
      <c r="D449" s="69" t="s">
        <v>5935</v>
      </c>
      <c r="H449" s="507">
        <f>SUM(C174:C448)</f>
        <v>88533795.540000021</v>
      </c>
    </row>
    <row r="450" spans="2:9" s="2100" customFormat="1" hidden="1" x14ac:dyDescent="0.7">
      <c r="B450" s="2100" t="s">
        <v>9241</v>
      </c>
      <c r="C450" s="2107">
        <v>1000</v>
      </c>
      <c r="E450" s="2101"/>
      <c r="F450" s="2101"/>
      <c r="G450" s="2106" t="s">
        <v>9243</v>
      </c>
      <c r="H450" s="2102"/>
      <c r="I450" s="2100" t="s">
        <v>9242</v>
      </c>
    </row>
    <row r="451" spans="2:9" x14ac:dyDescent="0.7">
      <c r="C451" s="11"/>
    </row>
  </sheetData>
  <autoFilter ref="A2:I450" xr:uid="{00000000-0009-0000-0000-00000A000000}">
    <filterColumn colId="5">
      <filters>
        <filter val="P13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6 H216 J216:XFD216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123"/>
  <sheetViews>
    <sheetView zoomScale="80" zoomScaleNormal="80" workbookViewId="0">
      <pane xSplit="2" ySplit="4" topLeftCell="C9" activePane="bottomRight" state="frozen"/>
      <selection activeCell="N10" sqref="N10"/>
      <selection pane="topRight" activeCell="N10" sqref="N10"/>
      <selection pane="bottomLeft" activeCell="N10" sqref="N10"/>
      <selection pane="bottomRight" activeCell="G14" sqref="G14"/>
    </sheetView>
  </sheetViews>
  <sheetFormatPr defaultColWidth="9" defaultRowHeight="16.8" x14ac:dyDescent="0.5"/>
  <cols>
    <col min="1" max="1" width="6.69921875" style="38" customWidth="1"/>
    <col min="2" max="2" width="65.796875" style="5" bestFit="1" customWidth="1"/>
    <col min="3" max="3" width="19.19921875" style="5" customWidth="1"/>
    <col min="4" max="4" width="21.796875" style="5" customWidth="1"/>
    <col min="5" max="5" width="19.796875" style="5" customWidth="1"/>
    <col min="6" max="6" width="17.796875" style="5" customWidth="1"/>
    <col min="7" max="7" width="19.69921875" style="163" customWidth="1"/>
    <col min="8" max="8" width="15.19921875" style="163" customWidth="1"/>
    <col min="9" max="9" width="5.09765625" style="163" customWidth="1"/>
    <col min="10" max="10" width="18.8984375" style="5" customWidth="1"/>
    <col min="11" max="11" width="9" style="5"/>
    <col min="12" max="12" width="10.3984375" style="5" bestFit="1" customWidth="1"/>
    <col min="13" max="16384" width="9" style="5"/>
  </cols>
  <sheetData>
    <row r="1" spans="1:12" s="4" customFormat="1" ht="30" customHeight="1" x14ac:dyDescent="0.75">
      <c r="A1" s="324" t="s">
        <v>6368</v>
      </c>
      <c r="B1" s="324"/>
      <c r="C1" s="324"/>
      <c r="D1" s="324"/>
      <c r="E1" s="324"/>
      <c r="F1" s="324"/>
      <c r="G1" s="351" t="s">
        <v>2261</v>
      </c>
      <c r="H1" s="324"/>
      <c r="I1" s="324"/>
    </row>
    <row r="2" spans="1:12" ht="30.75" customHeight="1" x14ac:dyDescent="0.85">
      <c r="A2" s="158" t="s">
        <v>6369</v>
      </c>
      <c r="B2" s="158"/>
      <c r="C2" s="158"/>
      <c r="D2" s="558" t="str">
        <f>IFERROR(INDEX(ID!$B:$B,MATCH('1.Planfin2566'!$G$2,ID!$A:$A,0)),"")</f>
        <v>โรงพยาบาลวังสมบูรณ์</v>
      </c>
      <c r="E2" s="158"/>
      <c r="F2" s="158"/>
      <c r="G2" s="335" t="s">
        <v>3917</v>
      </c>
      <c r="H2" s="249"/>
      <c r="I2" s="249"/>
    </row>
    <row r="3" spans="1:12" ht="22.8" customHeight="1" x14ac:dyDescent="0.75">
      <c r="A3" s="158"/>
      <c r="B3" s="158"/>
      <c r="C3" s="376" t="s">
        <v>1033</v>
      </c>
      <c r="D3" s="376" t="s">
        <v>1043</v>
      </c>
      <c r="E3" s="376" t="s">
        <v>6373</v>
      </c>
      <c r="F3" s="376"/>
      <c r="G3" s="376" t="s">
        <v>1036</v>
      </c>
      <c r="H3" s="376" t="s">
        <v>5951</v>
      </c>
      <c r="I3" s="533"/>
      <c r="J3" s="131"/>
    </row>
    <row r="4" spans="1:12" ht="54" x14ac:dyDescent="0.5">
      <c r="A4" s="336" t="s">
        <v>645</v>
      </c>
      <c r="B4" s="133" t="s">
        <v>646</v>
      </c>
      <c r="C4" s="352" t="s">
        <v>6301</v>
      </c>
      <c r="D4" s="511" t="s">
        <v>6371</v>
      </c>
      <c r="E4" s="510" t="s">
        <v>6372</v>
      </c>
      <c r="F4" s="632" t="s">
        <v>6555</v>
      </c>
      <c r="G4" s="353" t="s">
        <v>6370</v>
      </c>
      <c r="H4" s="355" t="s">
        <v>647</v>
      </c>
      <c r="I4" s="355"/>
      <c r="J4" s="581"/>
    </row>
    <row r="5" spans="1:12" ht="24.6" x14ac:dyDescent="0.7">
      <c r="A5" s="96" t="s">
        <v>0</v>
      </c>
      <c r="B5" s="6" t="s">
        <v>1</v>
      </c>
      <c r="C5" s="159">
        <f>IFERROR(INDEX(กศภ2564!5:5,MATCH('1.Planfin2566'!$G$2,กศภ2564!$3:$3,)),"0")</f>
        <v>40646116.070000015</v>
      </c>
      <c r="D5" s="159">
        <f>IFERROR(INDEX(กศภ_Q365!5:5,MATCH('1.Planfin2566'!$G$2,กศภ_Q365!$3:$3,0)),"0")</f>
        <v>29147909.589999996</v>
      </c>
      <c r="E5" s="159">
        <f t="shared" ref="E5:E16" si="0">(D5*12)/9</f>
        <v>38863879.453333326</v>
      </c>
      <c r="F5" s="159"/>
      <c r="G5" s="135">
        <f>SUMIF('6.WS-Re-Exp'!$F:$F,A5,'6.WS-Re-Exp'!$C:$C)</f>
        <v>40190533.069999993</v>
      </c>
      <c r="H5" s="159">
        <f>IFERROR((G5-F5)/G5*100,0)</f>
        <v>100</v>
      </c>
      <c r="I5" s="159"/>
      <c r="J5" s="159"/>
      <c r="K5" s="354"/>
      <c r="L5" s="9"/>
    </row>
    <row r="6" spans="1:12" ht="24.6" x14ac:dyDescent="0.7">
      <c r="A6" s="96" t="s">
        <v>2</v>
      </c>
      <c r="B6" s="6" t="s">
        <v>3</v>
      </c>
      <c r="C6" s="159">
        <f>IFERROR(INDEX(กศภ2564!6:6,MATCH('1.Planfin2566'!$G$2,กศภ2564!$3:$3,)),"0")</f>
        <v>167350</v>
      </c>
      <c r="D6" s="159">
        <f>IFERROR(INDEX(กศภ_Q365!6:6,MATCH('1.Planfin2566'!$G$2,กศภ_Q365!$3:$3,0)),"0")</f>
        <v>352300</v>
      </c>
      <c r="E6" s="159">
        <f t="shared" si="0"/>
        <v>469733.33333333331</v>
      </c>
      <c r="F6" s="159"/>
      <c r="G6" s="135">
        <f>SUMIF('6.WS-Re-Exp'!$F:$F,A6,'6.WS-Re-Exp'!$C:$C)</f>
        <v>450000</v>
      </c>
      <c r="H6" s="159">
        <f t="shared" ref="H6:H32" si="1">IFERROR((G6-F6)/G6*100,0)</f>
        <v>100</v>
      </c>
      <c r="I6" s="159"/>
      <c r="J6" s="159"/>
    </row>
    <row r="7" spans="1:12" ht="24.6" x14ac:dyDescent="0.7">
      <c r="A7" s="96" t="s">
        <v>4</v>
      </c>
      <c r="B7" s="6" t="s">
        <v>5</v>
      </c>
      <c r="C7" s="159">
        <f>IFERROR(INDEX(กศภ2564!7:7,MATCH('1.Planfin2566'!$G$2,กศภ2564!$3:$3,)),"0")</f>
        <v>28792</v>
      </c>
      <c r="D7" s="159">
        <f>IFERROR(INDEX(กศภ_Q365!7:7,MATCH('1.Planfin2566'!$G$2,กศภ_Q365!$3:$3,0)),"0")</f>
        <v>13749</v>
      </c>
      <c r="E7" s="159">
        <f t="shared" si="0"/>
        <v>18332</v>
      </c>
      <c r="F7" s="159"/>
      <c r="G7" s="135">
        <f>SUMIF('6.WS-Re-Exp'!$F:$F,A7,'6.WS-Re-Exp'!$C:$C)</f>
        <v>15000</v>
      </c>
      <c r="H7" s="159">
        <f t="shared" si="1"/>
        <v>100</v>
      </c>
      <c r="I7" s="159"/>
      <c r="J7" s="159"/>
    </row>
    <row r="8" spans="1:12" ht="24.6" x14ac:dyDescent="0.7">
      <c r="A8" s="96" t="s">
        <v>849</v>
      </c>
      <c r="B8" s="6" t="s">
        <v>664</v>
      </c>
      <c r="C8" s="159">
        <f>IFERROR(INDEX(กศภ2564!8:8,MATCH('1.Planfin2566'!$G$2,กศภ2564!$3:$3,)),"0")</f>
        <v>415881.39999999997</v>
      </c>
      <c r="D8" s="159">
        <f>IFERROR(INDEX(กศภ_Q365!8:8,MATCH('1.Planfin2566'!$G$2,กศภ_Q365!$3:$3,0)),"0")</f>
        <v>331868.75</v>
      </c>
      <c r="E8" s="159">
        <f t="shared" si="0"/>
        <v>442491.66666666669</v>
      </c>
      <c r="F8" s="159"/>
      <c r="G8" s="135">
        <f>SUMIF('6.WS-Re-Exp'!$F:$F,A8,'6.WS-Re-Exp'!$C:$C)</f>
        <v>455613.5</v>
      </c>
      <c r="H8" s="159">
        <f t="shared" si="1"/>
        <v>100</v>
      </c>
      <c r="I8" s="159"/>
      <c r="J8" s="159"/>
    </row>
    <row r="9" spans="1:12" ht="24.6" x14ac:dyDescent="0.7">
      <c r="A9" s="96" t="s">
        <v>6</v>
      </c>
      <c r="B9" s="6" t="s">
        <v>7</v>
      </c>
      <c r="C9" s="159">
        <f>IFERROR(INDEX(กศภ2564!9:9,MATCH('1.Planfin2566'!$G$2,กศภ2564!$3:$3,)),"0")</f>
        <v>1880688.4</v>
      </c>
      <c r="D9" s="159">
        <f>IFERROR(INDEX(กศภ_Q365!9:9,MATCH('1.Planfin2566'!$G$2,กศภ_Q365!$3:$3,0)),"0")</f>
        <v>2578798.6</v>
      </c>
      <c r="E9" s="159">
        <f t="shared" si="0"/>
        <v>3438398.1333333338</v>
      </c>
      <c r="F9" s="159"/>
      <c r="G9" s="135">
        <f>SUMIF('6.WS-Re-Exp'!$F:$F,A9,'6.WS-Re-Exp'!$C:$C)</f>
        <v>2574496.25</v>
      </c>
      <c r="H9" s="159">
        <f t="shared" si="1"/>
        <v>100</v>
      </c>
      <c r="I9" s="159"/>
      <c r="J9" s="159"/>
    </row>
    <row r="10" spans="1:12" ht="24.6" x14ac:dyDescent="0.7">
      <c r="A10" s="96" t="s">
        <v>8</v>
      </c>
      <c r="B10" s="6" t="s">
        <v>9</v>
      </c>
      <c r="C10" s="159">
        <f>IFERROR(INDEX(กศภ2564!10:10,MATCH('1.Planfin2566'!$G$2,กศภ2564!$3:$3,)),"0")</f>
        <v>5689891.6600000001</v>
      </c>
      <c r="D10" s="159">
        <f>IFERROR(INDEX(กศภ_Q365!10:10,MATCH('1.Planfin2566'!$G$2,กศภ_Q365!$3:$3,0)),"0")</f>
        <v>4249107.4799999995</v>
      </c>
      <c r="E10" s="159">
        <f t="shared" si="0"/>
        <v>5665476.6399999987</v>
      </c>
      <c r="F10" s="159"/>
      <c r="G10" s="135">
        <f>SUMIF('6.WS-Re-Exp'!$F:$F,A10,'6.WS-Re-Exp'!$C:$C)</f>
        <v>3602899</v>
      </c>
      <c r="H10" s="159">
        <f t="shared" si="1"/>
        <v>100</v>
      </c>
      <c r="I10" s="159"/>
      <c r="J10" s="159"/>
    </row>
    <row r="11" spans="1:12" ht="24.6" x14ac:dyDescent="0.7">
      <c r="A11" s="96" t="s">
        <v>10</v>
      </c>
      <c r="B11" s="6" t="s">
        <v>11</v>
      </c>
      <c r="C11" s="159">
        <f>IFERROR(INDEX(กศภ2564!11:11,MATCH('1.Planfin2566'!$G$2,กศภ2564!$3:$3,)),"0")</f>
        <v>369783</v>
      </c>
      <c r="D11" s="159">
        <f>IFERROR(INDEX(กศภ_Q365!11:11,MATCH('1.Planfin2566'!$G$2,กศภ_Q365!$3:$3,0)),"0")</f>
        <v>464105</v>
      </c>
      <c r="E11" s="159">
        <f t="shared" si="0"/>
        <v>618806.66666666663</v>
      </c>
      <c r="F11" s="159"/>
      <c r="G11" s="135">
        <f>SUMIF('6.WS-Re-Exp'!$F:$F,A11,'6.WS-Re-Exp'!$C:$C)</f>
        <v>705000</v>
      </c>
      <c r="H11" s="159">
        <f t="shared" si="1"/>
        <v>100</v>
      </c>
      <c r="I11" s="159"/>
      <c r="J11" s="159"/>
    </row>
    <row r="12" spans="1:12" ht="22.2" customHeight="1" x14ac:dyDescent="0.7">
      <c r="A12" s="96" t="s">
        <v>12</v>
      </c>
      <c r="B12" s="6" t="s">
        <v>13</v>
      </c>
      <c r="C12" s="159">
        <f>IFERROR(INDEX(กศภ2564!12:12,MATCH('1.Planfin2566'!$G$2,กศภ2564!$3:$3,)),"0")</f>
        <v>24338606.620000005</v>
      </c>
      <c r="D12" s="159">
        <f>IFERROR(INDEX(กศภ_Q365!12:12,MATCH('1.Planfin2566'!$G$2,กศภ_Q365!$3:$3,0)),"0")</f>
        <v>38119579.690000005</v>
      </c>
      <c r="E12" s="159">
        <f t="shared" si="0"/>
        <v>50826106.253333345</v>
      </c>
      <c r="F12" s="159"/>
      <c r="G12" s="135">
        <f>SUMIF('6.WS-Re-Exp'!$F:$F,A12,'6.WS-Re-Exp'!$C:$C)</f>
        <v>10540330.189999999</v>
      </c>
      <c r="H12" s="159">
        <f t="shared" si="1"/>
        <v>100</v>
      </c>
      <c r="I12" s="159"/>
      <c r="J12" s="159"/>
    </row>
    <row r="13" spans="1:12" ht="24.6" x14ac:dyDescent="0.7">
      <c r="A13" s="96" t="s">
        <v>14</v>
      </c>
      <c r="B13" s="6" t="s">
        <v>15</v>
      </c>
      <c r="C13" s="159">
        <f>IFERROR(INDEX(กศภ2564!13:13,MATCH('1.Planfin2566'!$G$2,กศภ2564!$3:$3,)),"0")</f>
        <v>13677189.52</v>
      </c>
      <c r="D13" s="159">
        <f>IFERROR(INDEX(กศภ_Q365!13:13,MATCH('1.Planfin2566'!$G$2,กศภ_Q365!$3:$3,0)),"0")</f>
        <v>10414683.119999999</v>
      </c>
      <c r="E13" s="159">
        <f t="shared" si="0"/>
        <v>13886244.16</v>
      </c>
      <c r="F13" s="159"/>
      <c r="G13" s="135">
        <f>SUMIF('6.WS-Re-Exp'!$F:$F,A13,'6.WS-Re-Exp'!$C:$C)</f>
        <v>15968184.73</v>
      </c>
      <c r="H13" s="159">
        <f t="shared" si="1"/>
        <v>100</v>
      </c>
      <c r="I13" s="159"/>
      <c r="J13" s="159"/>
    </row>
    <row r="14" spans="1:12" ht="24.6" x14ac:dyDescent="0.7">
      <c r="A14" s="96" t="s">
        <v>16</v>
      </c>
      <c r="B14" s="6" t="s">
        <v>17</v>
      </c>
      <c r="C14" s="159">
        <f>IFERROR(INDEX(กศภ2564!14:14,MATCH('1.Planfin2566'!$G$2,กศภ2564!$3:$3,)),"0")</f>
        <v>13299584.41</v>
      </c>
      <c r="D14" s="159">
        <f>IFERROR(INDEX(กศภ_Q365!14:14,MATCH('1.Planfin2566'!$G$2,กศภ_Q365!$3:$3,0)),"0")</f>
        <v>9046728.4199999999</v>
      </c>
      <c r="E14" s="159">
        <f t="shared" si="0"/>
        <v>12062304.559999999</v>
      </c>
      <c r="F14" s="159"/>
      <c r="G14" s="135">
        <f>SUMIF('6.WS-Re-Exp'!$F:$F,A14,'6.WS-Re-Exp'!$C:$C)</f>
        <v>12144168.92</v>
      </c>
      <c r="H14" s="159">
        <f t="shared" si="1"/>
        <v>100</v>
      </c>
      <c r="I14" s="159"/>
      <c r="J14" s="159"/>
    </row>
    <row r="15" spans="1:12" ht="24.6" x14ac:dyDescent="0.7">
      <c r="A15" s="96" t="s">
        <v>1144</v>
      </c>
      <c r="B15" s="211" t="s">
        <v>1147</v>
      </c>
      <c r="C15" s="415">
        <f>IFERROR(INDEX(กศภ2564!15:15,MATCH('1.Planfin2566'!$G$2,กศภ2564!$3:$3,)),"0")</f>
        <v>0</v>
      </c>
      <c r="D15" s="415">
        <f>IFERROR(INDEX(กศภ_Q365!15:15,MATCH('1.Planfin2566'!$G$2,กศภ_Q365!$3:$3,0)),"0")</f>
        <v>0</v>
      </c>
      <c r="E15" s="415">
        <f t="shared" si="0"/>
        <v>0</v>
      </c>
      <c r="F15" s="415"/>
      <c r="G15" s="135">
        <f>SUMIF('6.WS-Re-Exp'!$F:$F,A15,'6.WS-Re-Exp'!$C:$C)</f>
        <v>0</v>
      </c>
      <c r="H15" s="415">
        <f t="shared" si="1"/>
        <v>0</v>
      </c>
      <c r="I15" s="415"/>
      <c r="J15" s="159"/>
    </row>
    <row r="16" spans="1:12" ht="24.6" x14ac:dyDescent="0.7">
      <c r="A16" s="96" t="s">
        <v>18</v>
      </c>
      <c r="B16" s="211" t="s">
        <v>644</v>
      </c>
      <c r="C16" s="415">
        <f>IFERROR(INDEX(กศภ2564!16:16,MATCH('1.Planfin2566'!$G$2,กศภ2564!$3:$3,)),"0")</f>
        <v>1524158.04</v>
      </c>
      <c r="D16" s="415">
        <f>IFERROR(INDEX(กศภ_Q365!16:16,MATCH('1.Planfin2566'!$G$2,กศภ_Q365!$3:$3,0)),"0")</f>
        <v>4257781.55</v>
      </c>
      <c r="E16" s="415">
        <f t="shared" si="0"/>
        <v>5677042.0666666664</v>
      </c>
      <c r="F16" s="415"/>
      <c r="G16" s="135">
        <f>SUMIF('6.WS-Re-Exp'!$F:$F,A16,'6.WS-Re-Exp'!$C:$C)</f>
        <v>14858350</v>
      </c>
      <c r="H16" s="415">
        <f t="shared" si="1"/>
        <v>100</v>
      </c>
      <c r="I16" s="415"/>
      <c r="J16" s="159"/>
    </row>
    <row r="17" spans="1:10" ht="27.6" thickBot="1" x14ac:dyDescent="0.8">
      <c r="A17" s="99" t="s">
        <v>648</v>
      </c>
      <c r="B17" s="99" t="s">
        <v>632</v>
      </c>
      <c r="C17" s="169">
        <f t="shared" ref="C17:G17" si="2">SUM(C5:C16)</f>
        <v>102038041.12000002</v>
      </c>
      <c r="D17" s="169">
        <f t="shared" si="2"/>
        <v>98976611.200000003</v>
      </c>
      <c r="E17" s="169">
        <f t="shared" si="2"/>
        <v>131968814.93333334</v>
      </c>
      <c r="F17" s="169"/>
      <c r="G17" s="169">
        <f t="shared" si="2"/>
        <v>101504575.66</v>
      </c>
      <c r="H17" s="204">
        <f t="shared" si="1"/>
        <v>100</v>
      </c>
      <c r="I17" s="534"/>
      <c r="J17" s="535"/>
    </row>
    <row r="18" spans="1:10" ht="27.6" thickTop="1" x14ac:dyDescent="0.75">
      <c r="A18" s="35" t="s">
        <v>19</v>
      </c>
      <c r="B18" s="6" t="s">
        <v>20</v>
      </c>
      <c r="C18" s="159">
        <f>IFERROR(INDEX(กศภ2564!18:18,MATCH('1.Planfin2566'!$G$2,กศภ2564!$3:$3,)),"0")</f>
        <v>4385770.9399999995</v>
      </c>
      <c r="D18" s="159">
        <f>IFERROR(INDEX(กศภ_Q365!18:18,MATCH('1.Planfin2566'!$G$2,กศภ_Q365!$3:$3,0)),"0")</f>
        <v>3683721.19</v>
      </c>
      <c r="E18" s="159">
        <f t="shared" ref="E18:E32" si="3">(D18*12)/9</f>
        <v>4911628.2533333339</v>
      </c>
      <c r="F18" s="159"/>
      <c r="G18" s="213">
        <f>SUMIF('6.WS-Re-Exp'!$F:$F,A18,'6.WS-Re-Exp'!$C:$C)</f>
        <v>7589538.25</v>
      </c>
      <c r="H18" s="159">
        <f t="shared" si="1"/>
        <v>100</v>
      </c>
      <c r="I18" s="159"/>
      <c r="J18" s="159"/>
    </row>
    <row r="19" spans="1:10" ht="27" x14ac:dyDescent="0.75">
      <c r="A19" s="35" t="s">
        <v>21</v>
      </c>
      <c r="B19" s="6" t="s">
        <v>22</v>
      </c>
      <c r="C19" s="159">
        <f>IFERROR(INDEX(กศภ2564!19:19,MATCH('1.Planfin2566'!$G$2,กศภ2564!$3:$3,)),"0")</f>
        <v>2005702.62</v>
      </c>
      <c r="D19" s="159">
        <f>IFERROR(INDEX(กศภ_Q365!19:19,MATCH('1.Planfin2566'!$G$2,กศภ_Q365!$3:$3,0)),"0")</f>
        <v>1580965.02</v>
      </c>
      <c r="E19" s="159">
        <f t="shared" si="3"/>
        <v>2107953.3600000003</v>
      </c>
      <c r="F19" s="159"/>
      <c r="G19" s="213">
        <f>SUMIF('6.WS-Re-Exp'!$F:$F,A19,'6.WS-Re-Exp'!$C:$C)</f>
        <v>3256729.49</v>
      </c>
      <c r="H19" s="159">
        <f t="shared" si="1"/>
        <v>100</v>
      </c>
      <c r="I19" s="159"/>
      <c r="J19" s="159"/>
    </row>
    <row r="20" spans="1:10" ht="27" x14ac:dyDescent="0.75">
      <c r="A20" s="35" t="s">
        <v>665</v>
      </c>
      <c r="B20" s="6" t="s">
        <v>666</v>
      </c>
      <c r="C20" s="159">
        <f>IFERROR(INDEX(กศภ2564!20:20,MATCH('1.Planfin2566'!$G$2,กศภ2564!$3:$3,)),"0")</f>
        <v>297473.34000000003</v>
      </c>
      <c r="D20" s="159">
        <f>IFERROR(INDEX(กศภ_Q365!20:20,MATCH('1.Planfin2566'!$G$2,กศภ_Q365!$3:$3,0)),"0")</f>
        <v>124551.92</v>
      </c>
      <c r="E20" s="159">
        <f t="shared" si="3"/>
        <v>166069.22666666668</v>
      </c>
      <c r="F20" s="159"/>
      <c r="G20" s="213">
        <f>SUMIF('6.WS-Re-Exp'!$F:$F,A20,'6.WS-Re-Exp'!$C:$C)</f>
        <v>500067.41</v>
      </c>
      <c r="H20" s="159">
        <f t="shared" si="1"/>
        <v>100</v>
      </c>
      <c r="I20" s="159"/>
      <c r="J20" s="159"/>
    </row>
    <row r="21" spans="1:10" ht="27" x14ac:dyDescent="0.75">
      <c r="A21" s="35" t="s">
        <v>23</v>
      </c>
      <c r="B21" s="6" t="s">
        <v>24</v>
      </c>
      <c r="C21" s="159">
        <f>IFERROR(INDEX(กศภ2564!21:21,MATCH('1.Planfin2566'!$G$2,กศภ2564!$3:$3,)),"0")</f>
        <v>1662591.05</v>
      </c>
      <c r="D21" s="159">
        <f>IFERROR(INDEX(กศภ_Q365!21:21,MATCH('1.Planfin2566'!$G$2,กศภ_Q365!$3:$3,0)),"0")</f>
        <v>1252779.95</v>
      </c>
      <c r="E21" s="159">
        <f t="shared" si="3"/>
        <v>1670373.2666666666</v>
      </c>
      <c r="F21" s="159"/>
      <c r="G21" s="213">
        <f>SUMIF('6.WS-Re-Exp'!$F:$F,A21,'6.WS-Re-Exp'!$C:$C)</f>
        <v>3195935</v>
      </c>
      <c r="H21" s="159">
        <f t="shared" si="1"/>
        <v>100</v>
      </c>
      <c r="I21" s="159"/>
      <c r="J21" s="159"/>
    </row>
    <row r="22" spans="1:10" ht="27" x14ac:dyDescent="0.75">
      <c r="A22" s="35" t="s">
        <v>25</v>
      </c>
      <c r="B22" s="6" t="s">
        <v>26</v>
      </c>
      <c r="C22" s="159">
        <f>IFERROR(INDEX(กศภ2564!22:22,MATCH('1.Planfin2566'!$G$2,กศภ2564!$3:$3,)),"0")</f>
        <v>13677189.52</v>
      </c>
      <c r="D22" s="159">
        <f>IFERROR(INDEX(กศภ_Q365!22:22,MATCH('1.Planfin2566'!$G$2,กศภ_Q365!$3:$3,0)),"0")</f>
        <v>10414683.119999999</v>
      </c>
      <c r="E22" s="159">
        <f t="shared" si="3"/>
        <v>13886244.16</v>
      </c>
      <c r="F22" s="159"/>
      <c r="G22" s="213">
        <f>SUMIF('6.WS-Re-Exp'!$F:$F,A22,'6.WS-Re-Exp'!$C:$C)</f>
        <v>15968184.729999999</v>
      </c>
      <c r="H22" s="159">
        <f t="shared" si="1"/>
        <v>100</v>
      </c>
      <c r="I22" s="159"/>
      <c r="J22" s="159"/>
    </row>
    <row r="23" spans="1:10" ht="27" x14ac:dyDescent="0.75">
      <c r="A23" s="35" t="s">
        <v>27</v>
      </c>
      <c r="B23" s="87" t="s">
        <v>658</v>
      </c>
      <c r="C23" s="159">
        <f>IFERROR(INDEX(กศภ2564!23:23,MATCH('1.Planfin2566'!$G$2,กศภ2564!$3:$3,)),"0")</f>
        <v>6433596.3499999996</v>
      </c>
      <c r="D23" s="159">
        <f>IFERROR(INDEX(กศภ_Q365!23:23,MATCH('1.Planfin2566'!$G$2,กศภ_Q365!$3:$3,0)),"0")</f>
        <v>5817298.6699999999</v>
      </c>
      <c r="E23" s="159">
        <f t="shared" si="3"/>
        <v>7756398.2266666656</v>
      </c>
      <c r="F23" s="159"/>
      <c r="G23" s="213">
        <f>SUMIF('6.WS-Re-Exp'!$F:$F,A23,'6.WS-Re-Exp'!$C:$C)</f>
        <v>7725600</v>
      </c>
      <c r="H23" s="159">
        <f t="shared" si="1"/>
        <v>100</v>
      </c>
      <c r="I23" s="159"/>
      <c r="J23" s="159"/>
    </row>
    <row r="24" spans="1:10" ht="27" x14ac:dyDescent="0.75">
      <c r="A24" s="35" t="s">
        <v>29</v>
      </c>
      <c r="B24" s="6" t="s">
        <v>30</v>
      </c>
      <c r="C24" s="159">
        <f>IFERROR(INDEX(กศภ2564!24:24,MATCH('1.Planfin2566'!$G$2,กศภ2564!$3:$3,)),"0")</f>
        <v>13538750</v>
      </c>
      <c r="D24" s="159">
        <f>IFERROR(INDEX(กศภ_Q365!24:24,MATCH('1.Planfin2566'!$G$2,กศภ_Q365!$3:$3,0)),"0")</f>
        <v>12013931</v>
      </c>
      <c r="E24" s="159">
        <f t="shared" si="3"/>
        <v>16018574.666666666</v>
      </c>
      <c r="F24" s="159"/>
      <c r="G24" s="213">
        <f>SUMIF('6.WS-Re-Exp'!$F:$F,A24,'6.WS-Re-Exp'!$C:$C)</f>
        <v>18801177.419999998</v>
      </c>
      <c r="H24" s="159">
        <f t="shared" si="1"/>
        <v>100</v>
      </c>
      <c r="I24" s="159"/>
      <c r="J24" s="159"/>
    </row>
    <row r="25" spans="1:10" ht="27" x14ac:dyDescent="0.75">
      <c r="A25" s="35" t="s">
        <v>31</v>
      </c>
      <c r="B25" s="6" t="s">
        <v>32</v>
      </c>
      <c r="C25" s="159">
        <f>IFERROR(INDEX(กศภ2564!25:25,MATCH('1.Planfin2566'!$G$2,กศภ2564!$3:$3,)),"0")</f>
        <v>2107976.13</v>
      </c>
      <c r="D25" s="159">
        <f>IFERROR(INDEX(กศภ_Q365!25:25,MATCH('1.Planfin2566'!$G$2,กศภ_Q365!$3:$3,0)),"0")</f>
        <v>4668701.42</v>
      </c>
      <c r="E25" s="159">
        <f t="shared" si="3"/>
        <v>6224935.2266666666</v>
      </c>
      <c r="F25" s="159"/>
      <c r="G25" s="213">
        <f>SUMIF('6.WS-Re-Exp'!$F:$F,A25,'6.WS-Re-Exp'!$C:$C)</f>
        <v>1318001.42</v>
      </c>
      <c r="H25" s="159">
        <f t="shared" si="1"/>
        <v>100</v>
      </c>
      <c r="I25" s="159"/>
      <c r="J25" s="159"/>
    </row>
    <row r="26" spans="1:10" ht="27" x14ac:dyDescent="0.75">
      <c r="A26" s="35" t="s">
        <v>33</v>
      </c>
      <c r="B26" s="6" t="s">
        <v>34</v>
      </c>
      <c r="C26" s="159">
        <f>IFERROR(INDEX(กศภ2564!26:26,MATCH('1.Planfin2566'!$G$2,กศภ2564!$3:$3,)),"0")</f>
        <v>6326424.9000000004</v>
      </c>
      <c r="D26" s="159">
        <f>IFERROR(INDEX(กศภ_Q365!26:26,MATCH('1.Planfin2566'!$G$2,กศภ_Q365!$3:$3,0)),"0")</f>
        <v>4163623.38</v>
      </c>
      <c r="E26" s="159">
        <f t="shared" si="3"/>
        <v>5551497.8399999999</v>
      </c>
      <c r="F26" s="159"/>
      <c r="G26" s="213">
        <f>SUMIF('6.WS-Re-Exp'!$F:$F,A26,'6.WS-Re-Exp'!$C:$C)</f>
        <v>8755697.6500000004</v>
      </c>
      <c r="H26" s="159">
        <f t="shared" si="1"/>
        <v>100</v>
      </c>
      <c r="I26" s="159"/>
      <c r="J26" s="159"/>
    </row>
    <row r="27" spans="1:10" ht="27" x14ac:dyDescent="0.75">
      <c r="A27" s="35" t="s">
        <v>35</v>
      </c>
      <c r="B27" s="6" t="s">
        <v>36</v>
      </c>
      <c r="C27" s="159">
        <f>IFERROR(INDEX(กศภ2564!27:27,MATCH('1.Planfin2566'!$G$2,กศภ2564!$3:$3,)),"0")</f>
        <v>927670.39</v>
      </c>
      <c r="D27" s="159">
        <f>IFERROR(INDEX(กศภ_Q365!27:27,MATCH('1.Planfin2566'!$G$2,กศภ_Q365!$3:$3,0)),"0")</f>
        <v>1172782.96</v>
      </c>
      <c r="E27" s="159">
        <f t="shared" si="3"/>
        <v>1563710.6133333333</v>
      </c>
      <c r="F27" s="159"/>
      <c r="G27" s="213">
        <f>SUMIF('6.WS-Re-Exp'!$F:$F,A27,'6.WS-Re-Exp'!$C:$C)</f>
        <v>1434000</v>
      </c>
      <c r="H27" s="159">
        <f t="shared" si="1"/>
        <v>100</v>
      </c>
      <c r="I27" s="159"/>
      <c r="J27" s="159"/>
    </row>
    <row r="28" spans="1:10" ht="27" x14ac:dyDescent="0.75">
      <c r="A28" s="35" t="s">
        <v>37</v>
      </c>
      <c r="B28" s="6" t="s">
        <v>38</v>
      </c>
      <c r="C28" s="159">
        <f>IFERROR(INDEX(กศภ2564!28:28,MATCH('1.Planfin2566'!$G$2,กศภ2564!$3:$3,)),"0")</f>
        <v>3122959.4299999997</v>
      </c>
      <c r="D28" s="159">
        <f>IFERROR(INDEX(กศภ_Q365!28:28,MATCH('1.Planfin2566'!$G$2,กศภ_Q365!$3:$3,0)),"0")</f>
        <v>2638531.9</v>
      </c>
      <c r="E28" s="159">
        <f t="shared" si="3"/>
        <v>3518042.5333333332</v>
      </c>
      <c r="F28" s="159"/>
      <c r="G28" s="213">
        <f>SUMIF('6.WS-Re-Exp'!$F:$F,A28,'6.WS-Re-Exp'!$C:$C)</f>
        <v>3367185.8</v>
      </c>
      <c r="H28" s="159">
        <f t="shared" si="1"/>
        <v>100</v>
      </c>
      <c r="I28" s="159"/>
      <c r="J28" s="159"/>
    </row>
    <row r="29" spans="1:10" ht="27" x14ac:dyDescent="0.75">
      <c r="A29" s="35" t="s">
        <v>39</v>
      </c>
      <c r="B29" s="211" t="s">
        <v>40</v>
      </c>
      <c r="C29" s="415">
        <f>IFERROR(INDEX(กศภ2564!29:29,MATCH('1.Planfin2566'!$G$2,กศภ2564!$3:$3,)),"0")</f>
        <v>5366765.6100000003</v>
      </c>
      <c r="D29" s="415">
        <f>IFERROR(INDEX(กศภ_Q365!29:29,MATCH('1.Planfin2566'!$G$2,กศภ_Q365!$3:$3,0)),"0")</f>
        <v>7295717.9699999997</v>
      </c>
      <c r="E29" s="415">
        <f t="shared" si="3"/>
        <v>9727623.9600000009</v>
      </c>
      <c r="F29" s="415"/>
      <c r="G29" s="135">
        <f>SUMIF('6.WS-Re-Exp'!$F:$F,A29,'6.WS-Re-Exp'!$C:$C)</f>
        <v>9051945.3699999992</v>
      </c>
      <c r="H29" s="415">
        <f t="shared" si="1"/>
        <v>100</v>
      </c>
      <c r="I29" s="415"/>
      <c r="J29" s="159"/>
    </row>
    <row r="30" spans="1:10" ht="27" x14ac:dyDescent="0.75">
      <c r="A30" s="35" t="s">
        <v>667</v>
      </c>
      <c r="B30" s="6" t="s">
        <v>668</v>
      </c>
      <c r="C30" s="415">
        <f>IFERROR(INDEX(กศภ2564!30:30,MATCH('1.Planfin2566'!$G$2,กศภ2564!$3:$3,)),"0")</f>
        <v>43777.3</v>
      </c>
      <c r="D30" s="415">
        <f>IFERROR(INDEX(กศภ_Q365!30:30,MATCH('1.Planfin2566'!$G$2,กศภ_Q365!$3:$3,0)),"0")</f>
        <v>140442.98000000001</v>
      </c>
      <c r="E30" s="415">
        <f t="shared" si="3"/>
        <v>187257.3066666667</v>
      </c>
      <c r="F30" s="415"/>
      <c r="G30" s="135">
        <f>SUMIF('6.WS-Re-Exp'!$F:$F,A30,'6.WS-Re-Exp'!$C:$C)</f>
        <v>155000</v>
      </c>
      <c r="H30" s="415">
        <f t="shared" si="1"/>
        <v>100</v>
      </c>
      <c r="I30" s="415"/>
      <c r="J30" s="159"/>
    </row>
    <row r="31" spans="1:10" ht="27" x14ac:dyDescent="0.75">
      <c r="A31" s="35" t="s">
        <v>41</v>
      </c>
      <c r="B31" s="6" t="s">
        <v>42</v>
      </c>
      <c r="C31" s="415">
        <f>IFERROR(INDEX(กศภ2564!31:31,MATCH('1.Planfin2566'!$G$2,กศภ2564!$3:$3,)),"0")</f>
        <v>5930127.1399999997</v>
      </c>
      <c r="D31" s="415">
        <f>IFERROR(INDEX(กศภ_Q365!31:31,MATCH('1.Planfin2566'!$G$2,กศภ_Q365!$3:$3,0)),"0")</f>
        <v>5146707.87</v>
      </c>
      <c r="E31" s="415">
        <f t="shared" si="3"/>
        <v>6862277.1600000001</v>
      </c>
      <c r="F31" s="415"/>
      <c r="G31" s="135">
        <f>SUMIF('6.WS-Re-Exp'!$F:$F,A31,'6.WS-Re-Exp'!$C:$C)</f>
        <v>7414733</v>
      </c>
      <c r="H31" s="415">
        <f t="shared" si="1"/>
        <v>100</v>
      </c>
      <c r="I31" s="415"/>
      <c r="J31" s="159"/>
    </row>
    <row r="32" spans="1:10" ht="27" x14ac:dyDescent="0.75">
      <c r="A32" s="35" t="s">
        <v>1145</v>
      </c>
      <c r="B32" s="211" t="s">
        <v>1146</v>
      </c>
      <c r="C32" s="415">
        <f>IFERROR(INDEX(กศภ2564!32:32,MATCH('1.Planfin2566'!$G$2,กศภ2564!$3:$3,)),"0")</f>
        <v>0</v>
      </c>
      <c r="D32" s="415">
        <f>IFERROR(INDEX(กศภ_Q365!32:32,MATCH('1.Planfin2566'!$G$2,กศภ_Q365!$3:$3,0)),"0")</f>
        <v>0</v>
      </c>
      <c r="E32" s="415">
        <f t="shared" si="3"/>
        <v>0</v>
      </c>
      <c r="F32" s="415"/>
      <c r="G32" s="135">
        <f>SUMIF('6.WS-Re-Exp'!$F:$F,A32,'6.WS-Re-Exp'!$C:$C)</f>
        <v>0</v>
      </c>
      <c r="H32" s="415">
        <f t="shared" si="1"/>
        <v>0</v>
      </c>
      <c r="I32" s="415"/>
      <c r="J32" s="159"/>
    </row>
    <row r="33" spans="1:10" s="36" customFormat="1" ht="25.8" customHeight="1" thickBot="1" x14ac:dyDescent="0.75">
      <c r="A33" s="99" t="s">
        <v>649</v>
      </c>
      <c r="B33" s="99" t="s">
        <v>650</v>
      </c>
      <c r="C33" s="134">
        <f t="shared" ref="C33:G33" si="4">SUM(C18:C32)</f>
        <v>65826774.719999999</v>
      </c>
      <c r="D33" s="169">
        <f t="shared" si="4"/>
        <v>60114439.349999994</v>
      </c>
      <c r="E33" s="169">
        <f t="shared" si="4"/>
        <v>80152585.799999982</v>
      </c>
      <c r="F33" s="169"/>
      <c r="G33" s="134">
        <f t="shared" si="4"/>
        <v>88533795.540000007</v>
      </c>
      <c r="H33" s="169">
        <f>IFERROR((G33-F33)/G33*100,0)</f>
        <v>100</v>
      </c>
      <c r="I33" s="170"/>
      <c r="J33" s="535"/>
    </row>
    <row r="34" spans="1:10" s="36" customFormat="1" ht="27.6" thickTop="1" x14ac:dyDescent="0.75">
      <c r="A34" s="131" t="s">
        <v>651</v>
      </c>
      <c r="B34" s="2" t="s">
        <v>1171</v>
      </c>
      <c r="C34" s="2">
        <f t="shared" ref="C34:E34" si="5">C17-C33</f>
        <v>36211266.400000021</v>
      </c>
      <c r="D34" s="170">
        <f t="shared" si="5"/>
        <v>38862171.850000009</v>
      </c>
      <c r="E34" s="170">
        <f t="shared" si="5"/>
        <v>51816229.133333355</v>
      </c>
      <c r="F34" s="170"/>
      <c r="G34" s="132">
        <f>G17-G33</f>
        <v>12970780.11999999</v>
      </c>
      <c r="H34" s="160"/>
      <c r="I34" s="160"/>
      <c r="J34" s="132"/>
    </row>
    <row r="35" spans="1:10" s="138" customFormat="1" ht="27" x14ac:dyDescent="0.25">
      <c r="A35" s="208"/>
      <c r="B35" s="358" t="s">
        <v>5931</v>
      </c>
      <c r="C35" s="356">
        <f>SUM(C17-C16-C15)</f>
        <v>100513883.08000001</v>
      </c>
      <c r="D35" s="356">
        <f t="shared" ref="D35" si="6">SUM(D17-D16-D15)</f>
        <v>94718829.650000006</v>
      </c>
      <c r="E35" s="356">
        <f t="shared" ref="E35" si="7">SUM(E17-E16-E15)</f>
        <v>126291772.86666667</v>
      </c>
      <c r="F35" s="356"/>
      <c r="G35" s="356">
        <f>SUM(G17-G16-G15)</f>
        <v>86646225.659999996</v>
      </c>
      <c r="H35" s="137"/>
      <c r="I35" s="137"/>
    </row>
    <row r="36" spans="1:10" s="207" customFormat="1" ht="45" customHeight="1" x14ac:dyDescent="0.25">
      <c r="A36" s="205"/>
      <c r="B36" s="357" t="s">
        <v>5932</v>
      </c>
      <c r="C36" s="356">
        <f>SUM(C33-C29-C32)</f>
        <v>60460009.109999999</v>
      </c>
      <c r="D36" s="356">
        <f t="shared" ref="D36" si="8">SUM(D33-D29-D32)</f>
        <v>52818721.379999995</v>
      </c>
      <c r="E36" s="356">
        <f t="shared" ref="E36" si="9">SUM(E33-E29-E32)</f>
        <v>70424961.839999974</v>
      </c>
      <c r="F36" s="356"/>
      <c r="G36" s="356">
        <f>SUM(G33-G29-G32)</f>
        <v>79481850.170000002</v>
      </c>
      <c r="H36" s="206"/>
      <c r="I36" s="206"/>
    </row>
    <row r="37" spans="1:10" s="138" customFormat="1" ht="51" customHeight="1" x14ac:dyDescent="0.25">
      <c r="A37" s="136"/>
      <c r="B37" s="209" t="s">
        <v>1172</v>
      </c>
      <c r="C37" s="359">
        <f t="shared" ref="C37:E37" si="10">SUM(C35-C36)</f>
        <v>40053873.970000014</v>
      </c>
      <c r="D37" s="359">
        <f t="shared" si="10"/>
        <v>41900108.270000011</v>
      </c>
      <c r="E37" s="359">
        <f t="shared" si="10"/>
        <v>55866811.026666701</v>
      </c>
      <c r="F37" s="359"/>
      <c r="G37" s="359">
        <f>SUM(G35-G36)</f>
        <v>7164375.4899999946</v>
      </c>
      <c r="H37" s="162"/>
      <c r="I37" s="162"/>
    </row>
    <row r="38" spans="1:10" s="36" customFormat="1" ht="27" x14ac:dyDescent="0.75">
      <c r="A38" s="131" t="s">
        <v>662</v>
      </c>
      <c r="B38" s="210" t="s">
        <v>663</v>
      </c>
      <c r="C38" s="139" t="str">
        <f>IF(C37&gt;0,"เกินดุล",IF(C37=0,"สมดุล","ขาดดุล"))</f>
        <v>เกินดุล</v>
      </c>
      <c r="D38" s="139" t="str">
        <f t="shared" ref="D38:E38" si="11">IF(D37&gt;0,"เกินดุล",IF(D37=0,"สมดุล","ขาดดุล"))</f>
        <v>เกินดุล</v>
      </c>
      <c r="E38" s="139" t="str">
        <f t="shared" si="11"/>
        <v>เกินดุล</v>
      </c>
      <c r="F38" s="139"/>
      <c r="G38" s="139" t="str">
        <f>IF(G37&gt;0,"เกินดุล",IF(G37=0,"สมดุล","ขาดดุล"))</f>
        <v>เกินดุล</v>
      </c>
      <c r="H38" s="161"/>
      <c r="I38" s="161"/>
    </row>
    <row r="39" spans="1:10" s="36" customFormat="1" ht="27" x14ac:dyDescent="0.75">
      <c r="A39" s="131"/>
      <c r="B39" s="99"/>
      <c r="C39" s="99"/>
      <c r="D39" s="99"/>
      <c r="E39" s="99"/>
      <c r="F39" s="99"/>
      <c r="G39" s="578"/>
      <c r="H39" s="579"/>
      <c r="I39" s="579"/>
    </row>
    <row r="40" spans="1:10" ht="27" x14ac:dyDescent="0.75">
      <c r="D40" s="163"/>
      <c r="E40" s="163"/>
      <c r="F40" s="163"/>
      <c r="G40" s="580"/>
    </row>
    <row r="41" spans="1:10" ht="27" x14ac:dyDescent="0.75">
      <c r="A41" s="35"/>
      <c r="B41" s="140" t="s">
        <v>652</v>
      </c>
      <c r="C41" s="141"/>
      <c r="D41" s="171"/>
      <c r="E41" s="171"/>
      <c r="F41" s="171"/>
      <c r="G41" s="141"/>
      <c r="H41" s="164"/>
      <c r="I41" s="164"/>
    </row>
    <row r="42" spans="1:10" s="142" customFormat="1" ht="24.6" customHeight="1" x14ac:dyDescent="0.25">
      <c r="A42" s="77" t="s">
        <v>671</v>
      </c>
      <c r="B42" s="143" t="s">
        <v>1173</v>
      </c>
      <c r="C42" s="165">
        <f t="shared" ref="C42:G42" si="12">IF(C37&lt;0,0,((C37*20%)))</f>
        <v>8010774.7940000035</v>
      </c>
      <c r="D42" s="165">
        <f>IF(D37&lt;0,0,((D37*20%)))</f>
        <v>8380021.6540000029</v>
      </c>
      <c r="E42" s="165">
        <f t="shared" si="12"/>
        <v>11173362.205333341</v>
      </c>
      <c r="F42" s="165"/>
      <c r="G42" s="214">
        <f t="shared" si="12"/>
        <v>1432875.0979999991</v>
      </c>
      <c r="H42" s="165"/>
      <c r="I42" s="165"/>
    </row>
    <row r="43" spans="1:10" ht="24.6" x14ac:dyDescent="0.7">
      <c r="A43" s="96"/>
      <c r="B43" s="11" t="s">
        <v>1183</v>
      </c>
      <c r="C43" s="144"/>
      <c r="D43" s="172"/>
      <c r="E43" s="172"/>
      <c r="F43" s="172"/>
      <c r="G43" s="157" t="str">
        <f>IF(G42&gt;=(C104+C107),"ไม่เกิน","เกิน")</f>
        <v>เกิน</v>
      </c>
      <c r="H43" s="164"/>
      <c r="I43" s="164"/>
    </row>
    <row r="44" spans="1:10" ht="24.6" x14ac:dyDescent="0.7">
      <c r="A44" s="96" t="s">
        <v>43</v>
      </c>
      <c r="B44" s="6" t="s">
        <v>6375</v>
      </c>
      <c r="C44" s="213">
        <f>IFERROR(INDEX(กศภ2564!35:35,MATCH('1.Planfin2566'!$G$2,กศภ2564!$3:$3,)),"")</f>
        <v>59023602.350000039</v>
      </c>
      <c r="D44" s="159">
        <f>IFERROR(INDEX(กศภ_Q365!36:36,MATCH('1.Planfin2566'!$G$2,กศภ_Q365!$3:$3,0)),"0")</f>
        <v>98237973.249999985</v>
      </c>
      <c r="E44" s="537">
        <f>(D44*12)/9</f>
        <v>130983964.33333331</v>
      </c>
      <c r="F44" s="625"/>
      <c r="G44" s="633">
        <f>F44</f>
        <v>0</v>
      </c>
      <c r="H44" s="295"/>
      <c r="I44" s="295"/>
    </row>
    <row r="45" spans="1:10" ht="24.6" x14ac:dyDescent="0.7">
      <c r="A45" s="96" t="s">
        <v>44</v>
      </c>
      <c r="B45" s="6" t="s">
        <v>6374</v>
      </c>
      <c r="C45" s="213">
        <f>IFERROR(INDEX(กศภ2564!36:36,MATCH('1.Planfin2566'!$G$2,กศภ2564!$3:$3,)),"")</f>
        <v>40055127.750000007</v>
      </c>
      <c r="D45" s="159">
        <f>IFERROR(INDEX(กศภ_Q365!37:37,MATCH('1.Planfin2566'!$G$2,กศภ_Q365!$3:$3,0)),"0")</f>
        <v>67367703.770000011</v>
      </c>
      <c r="E45" s="538">
        <f>(D45*12)/9</f>
        <v>89823605.026666686</v>
      </c>
      <c r="F45" s="625"/>
      <c r="G45" s="633">
        <f t="shared" ref="G45:G46" si="13">F45</f>
        <v>0</v>
      </c>
      <c r="H45" s="166"/>
      <c r="I45" s="166"/>
    </row>
    <row r="46" spans="1:10" ht="24.6" x14ac:dyDescent="0.7">
      <c r="A46" s="96" t="s">
        <v>653</v>
      </c>
      <c r="B46" s="6" t="s">
        <v>6376</v>
      </c>
      <c r="C46" s="213">
        <f>IFERROR(INDEX(กศภ2564!37:37,MATCH('1.Planfin2566'!$G$2,กศภ2564!$3:$3,)),"")</f>
        <v>-10501474.879999999</v>
      </c>
      <c r="D46" s="159">
        <f>IFERROR(INDEX(กศภ_Q365!38:38,MATCH('1.Planfin2566'!$G$2,กศภ_Q365!$3:$3,0)),"0")</f>
        <v>-11544137.77</v>
      </c>
      <c r="E46" s="539">
        <f>(D46*12)/9</f>
        <v>-15392183.693333335</v>
      </c>
      <c r="F46" s="625"/>
      <c r="G46" s="633">
        <f t="shared" si="13"/>
        <v>0</v>
      </c>
      <c r="H46" s="166"/>
      <c r="I46" s="166"/>
    </row>
    <row r="47" spans="1:10" ht="16.5" customHeight="1" x14ac:dyDescent="0.75">
      <c r="A47" s="35"/>
      <c r="B47" s="6"/>
      <c r="C47" s="6"/>
      <c r="D47" s="6"/>
      <c r="E47" s="536"/>
      <c r="F47" s="536"/>
      <c r="G47" s="166"/>
      <c r="H47" s="166"/>
      <c r="I47" s="166"/>
    </row>
    <row r="48" spans="1:10" ht="16.5" customHeight="1" x14ac:dyDescent="0.75">
      <c r="A48" s="35"/>
      <c r="B48" s="6"/>
      <c r="C48" s="6"/>
      <c r="D48" s="6"/>
      <c r="E48" s="6"/>
      <c r="F48" s="6"/>
      <c r="G48" s="166"/>
      <c r="H48" s="166"/>
      <c r="I48" s="166"/>
    </row>
    <row r="49" spans="1:9" s="378" customFormat="1" ht="30" customHeight="1" x14ac:dyDescent="0.25">
      <c r="B49" s="429" t="s">
        <v>654</v>
      </c>
      <c r="C49" s="394" t="s">
        <v>5953</v>
      </c>
      <c r="D49" s="395" t="s">
        <v>5954</v>
      </c>
      <c r="E49" s="395" t="s">
        <v>622</v>
      </c>
      <c r="F49" s="133"/>
      <c r="G49" s="339"/>
      <c r="H49" s="339"/>
      <c r="I49" s="339"/>
    </row>
    <row r="50" spans="1:9" ht="27" x14ac:dyDescent="0.75">
      <c r="A50" s="35"/>
      <c r="B50" s="437" t="s">
        <v>5992</v>
      </c>
      <c r="C50" s="396">
        <f>SUM('7.WS-ยา วชภฯ'!O6)</f>
        <v>0</v>
      </c>
      <c r="D50" s="396">
        <f>SUM('7.WS-ยา วชภฯ'!P6)</f>
        <v>7589538.25</v>
      </c>
      <c r="E50" s="438">
        <f t="shared" ref="E50:E55" si="14">SUM(C50:D50)</f>
        <v>7589538.25</v>
      </c>
      <c r="F50" s="626"/>
      <c r="G50" s="173"/>
      <c r="H50" s="173"/>
      <c r="I50" s="173"/>
    </row>
    <row r="51" spans="1:9" ht="27" x14ac:dyDescent="0.75">
      <c r="A51" s="35"/>
      <c r="B51" s="437" t="s">
        <v>5993</v>
      </c>
      <c r="C51" s="396">
        <f>SUM('7.WS-ยา วชภฯ'!O7)</f>
        <v>0</v>
      </c>
      <c r="D51" s="396">
        <f>SUM('7.WS-ยา วชภฯ'!P7)</f>
        <v>26000</v>
      </c>
      <c r="E51" s="438">
        <f t="shared" si="14"/>
        <v>26000</v>
      </c>
      <c r="F51" s="626"/>
      <c r="G51" s="173"/>
      <c r="H51" s="173"/>
      <c r="I51" s="173"/>
    </row>
    <row r="52" spans="1:9" ht="27" x14ac:dyDescent="0.75">
      <c r="A52" s="35"/>
      <c r="B52" s="437" t="s">
        <v>5994</v>
      </c>
      <c r="C52" s="396">
        <f>SUM('7.WS-ยา วชภฯ'!O8)</f>
        <v>0</v>
      </c>
      <c r="D52" s="396">
        <f>SUM('7.WS-ยา วชภฯ'!P8)</f>
        <v>3230729.49</v>
      </c>
      <c r="E52" s="438">
        <f t="shared" si="14"/>
        <v>3230729.49</v>
      </c>
      <c r="F52" s="626"/>
      <c r="G52" s="173"/>
      <c r="H52" s="173"/>
      <c r="I52" s="173"/>
    </row>
    <row r="53" spans="1:9" ht="27" x14ac:dyDescent="0.75">
      <c r="A53" s="35"/>
      <c r="B53" s="437" t="s">
        <v>5995</v>
      </c>
      <c r="C53" s="396">
        <f>SUM('7.WS-ยา วชภฯ'!O9)</f>
        <v>0</v>
      </c>
      <c r="D53" s="396">
        <f>SUM('7.WS-ยา วชภฯ'!P9)</f>
        <v>3195935</v>
      </c>
      <c r="E53" s="438">
        <f t="shared" si="14"/>
        <v>3195935</v>
      </c>
      <c r="F53" s="626"/>
      <c r="G53" s="173"/>
      <c r="H53" s="173"/>
      <c r="I53" s="173"/>
    </row>
    <row r="54" spans="1:9" ht="27" x14ac:dyDescent="0.75">
      <c r="A54" s="35"/>
      <c r="B54" s="439" t="s">
        <v>5996</v>
      </c>
      <c r="C54" s="396">
        <f>SUM('7.WS-ยา วชภฯ'!O10)</f>
        <v>0</v>
      </c>
      <c r="D54" s="396">
        <f>SUM('7.WS-ยา วชภฯ'!P10)</f>
        <v>0</v>
      </c>
      <c r="E54" s="438">
        <f t="shared" si="14"/>
        <v>0</v>
      </c>
      <c r="F54" s="626"/>
      <c r="G54" s="197"/>
      <c r="H54" s="197"/>
      <c r="I54" s="197"/>
    </row>
    <row r="55" spans="1:9" ht="26.25" customHeight="1" x14ac:dyDescent="0.75">
      <c r="A55" s="35"/>
      <c r="B55" s="439" t="s">
        <v>5997</v>
      </c>
      <c r="C55" s="396">
        <f>SUM('7.WS-ยา วชภฯ'!O11)</f>
        <v>0</v>
      </c>
      <c r="D55" s="396">
        <f>SUM('7.WS-ยา วชภฯ'!P11)</f>
        <v>500067.41</v>
      </c>
      <c r="E55" s="438">
        <f t="shared" si="14"/>
        <v>500067.41</v>
      </c>
      <c r="F55" s="626"/>
      <c r="G55" s="174"/>
      <c r="H55" s="174"/>
      <c r="I55" s="174"/>
    </row>
    <row r="56" spans="1:9" ht="21" customHeight="1" thickBot="1" x14ac:dyDescent="0.8">
      <c r="A56" s="35"/>
      <c r="B56" s="440" t="s">
        <v>622</v>
      </c>
      <c r="C56" s="215">
        <f>SUM(C50:C55)</f>
        <v>0</v>
      </c>
      <c r="D56" s="215">
        <f>SUM(D50:D55)</f>
        <v>14542270.15</v>
      </c>
      <c r="E56" s="215">
        <f>SUM(E50:E55)</f>
        <v>14542270.15</v>
      </c>
      <c r="F56" s="627"/>
      <c r="G56" s="174"/>
      <c r="H56" s="174"/>
      <c r="I56" s="174"/>
    </row>
    <row r="57" spans="1:9" ht="23.25" customHeight="1" thickTop="1" x14ac:dyDescent="0.75">
      <c r="A57" s="35"/>
      <c r="B57" s="6"/>
      <c r="C57" s="96"/>
      <c r="D57" s="96"/>
      <c r="E57" s="96"/>
      <c r="F57" s="96"/>
      <c r="G57" s="167"/>
      <c r="H57" s="167"/>
      <c r="I57" s="167"/>
    </row>
    <row r="58" spans="1:9" s="377" customFormat="1" ht="29.4" customHeight="1" x14ac:dyDescent="0.25">
      <c r="B58" s="429" t="s">
        <v>674</v>
      </c>
      <c r="C58" s="394" t="s">
        <v>5953</v>
      </c>
      <c r="D58" s="395" t="s">
        <v>5954</v>
      </c>
      <c r="E58" s="395" t="s">
        <v>622</v>
      </c>
      <c r="F58" s="133"/>
      <c r="G58" s="177"/>
      <c r="H58" s="177"/>
      <c r="I58" s="177"/>
    </row>
    <row r="59" spans="1:9" ht="24.6" x14ac:dyDescent="0.7">
      <c r="A59" s="96"/>
      <c r="B59" s="430" t="s">
        <v>582</v>
      </c>
      <c r="C59" s="396">
        <f>SUM('8.WS-วัสดุอื่น'!O7)</f>
        <v>0</v>
      </c>
      <c r="D59" s="396">
        <f>SUM('8.WS-วัสดุอื่น'!P7)</f>
        <v>596234</v>
      </c>
      <c r="E59" s="405">
        <f t="shared" ref="E59:E70" si="15">SUM(C59:D59)</f>
        <v>596234</v>
      </c>
      <c r="F59" s="628"/>
      <c r="G59" s="175"/>
      <c r="H59" s="175"/>
      <c r="I59" s="175"/>
    </row>
    <row r="60" spans="1:9" ht="24.6" x14ac:dyDescent="0.7">
      <c r="A60" s="96"/>
      <c r="B60" s="430" t="s">
        <v>583</v>
      </c>
      <c r="C60" s="396">
        <f>SUM('8.WS-วัสดุอื่น'!O8)</f>
        <v>0</v>
      </c>
      <c r="D60" s="396">
        <f>SUM('8.WS-วัสดุอื่น'!P8)</f>
        <v>128000</v>
      </c>
      <c r="E60" s="405">
        <f t="shared" si="15"/>
        <v>128000</v>
      </c>
      <c r="F60" s="628"/>
      <c r="G60" s="175"/>
      <c r="H60" s="175"/>
      <c r="I60" s="175"/>
    </row>
    <row r="61" spans="1:9" ht="24.6" x14ac:dyDescent="0.7">
      <c r="A61" s="96"/>
      <c r="B61" s="430" t="s">
        <v>584</v>
      </c>
      <c r="C61" s="396">
        <f>SUM('8.WS-วัสดุอื่น'!O9)</f>
        <v>0</v>
      </c>
      <c r="D61" s="396">
        <f>SUM('8.WS-วัสดุอื่น'!P9)</f>
        <v>792000</v>
      </c>
      <c r="E61" s="405">
        <f t="shared" si="15"/>
        <v>792000</v>
      </c>
      <c r="F61" s="628"/>
      <c r="G61" s="175"/>
      <c r="H61" s="175"/>
      <c r="I61" s="175"/>
    </row>
    <row r="62" spans="1:9" ht="24.6" x14ac:dyDescent="0.7">
      <c r="A62" s="96"/>
      <c r="B62" s="430" t="s">
        <v>585</v>
      </c>
      <c r="C62" s="396">
        <f>SUM('8.WS-วัสดุอื่น'!O10)</f>
        <v>0</v>
      </c>
      <c r="D62" s="396">
        <f>SUM('8.WS-วัสดุอื่น'!P10)</f>
        <v>50410</v>
      </c>
      <c r="E62" s="405">
        <f t="shared" si="15"/>
        <v>50410</v>
      </c>
      <c r="F62" s="628"/>
      <c r="G62" s="175"/>
      <c r="H62" s="175"/>
      <c r="I62" s="175"/>
    </row>
    <row r="63" spans="1:9" ht="24.6" x14ac:dyDescent="0.7">
      <c r="A63" s="96"/>
      <c r="B63" s="430" t="s">
        <v>586</v>
      </c>
      <c r="C63" s="396">
        <f>SUM('8.WS-วัสดุอื่น'!O11)</f>
        <v>0</v>
      </c>
      <c r="D63" s="396">
        <f>SUM('8.WS-วัสดุอื่น'!P11)</f>
        <v>0</v>
      </c>
      <c r="E63" s="405">
        <f t="shared" si="15"/>
        <v>0</v>
      </c>
      <c r="F63" s="628"/>
      <c r="G63" s="175"/>
      <c r="H63" s="175"/>
      <c r="I63" s="175"/>
    </row>
    <row r="64" spans="1:9" ht="24.6" x14ac:dyDescent="0.7">
      <c r="A64" s="96"/>
      <c r="B64" s="430" t="s">
        <v>587</v>
      </c>
      <c r="C64" s="396">
        <f>SUM('8.WS-วัสดุอื่น'!O12)</f>
        <v>0</v>
      </c>
      <c r="D64" s="396">
        <f>SUM('8.WS-วัสดุอื่น'!P12)</f>
        <v>180975</v>
      </c>
      <c r="E64" s="405">
        <f t="shared" si="15"/>
        <v>180975</v>
      </c>
      <c r="F64" s="628"/>
      <c r="G64" s="175"/>
      <c r="H64" s="175"/>
      <c r="I64" s="175"/>
    </row>
    <row r="65" spans="1:9" ht="24.6" x14ac:dyDescent="0.7">
      <c r="A65" s="96"/>
      <c r="B65" s="430" t="s">
        <v>588</v>
      </c>
      <c r="C65" s="396">
        <f>SUM('8.WS-วัสดุอื่น'!O13)</f>
        <v>0</v>
      </c>
      <c r="D65" s="396">
        <f>SUM('8.WS-วัสดุอื่น'!P13)</f>
        <v>739081.8</v>
      </c>
      <c r="E65" s="405">
        <f t="shared" si="15"/>
        <v>739081.8</v>
      </c>
      <c r="F65" s="628"/>
      <c r="G65" s="175"/>
      <c r="H65" s="175"/>
      <c r="I65" s="175"/>
    </row>
    <row r="66" spans="1:9" ht="24.6" x14ac:dyDescent="0.7">
      <c r="A66" s="96"/>
      <c r="B66" s="430" t="s">
        <v>589</v>
      </c>
      <c r="C66" s="396">
        <f>SUM('8.WS-วัสดุอื่น'!O14)</f>
        <v>0</v>
      </c>
      <c r="D66" s="396">
        <f>SUM('8.WS-วัสดุอื่น'!P14)</f>
        <v>60000</v>
      </c>
      <c r="E66" s="405">
        <f t="shared" si="15"/>
        <v>60000</v>
      </c>
      <c r="F66" s="628"/>
      <c r="G66" s="175"/>
      <c r="H66" s="175"/>
      <c r="I66" s="175"/>
    </row>
    <row r="67" spans="1:9" ht="24.6" x14ac:dyDescent="0.7">
      <c r="A67" s="96"/>
      <c r="B67" s="430" t="s">
        <v>590</v>
      </c>
      <c r="C67" s="396">
        <f>SUM('8.WS-วัสดุอื่น'!O15)</f>
        <v>0</v>
      </c>
      <c r="D67" s="396">
        <f>SUM('8.WS-วัสดุอื่น'!P15)</f>
        <v>143860</v>
      </c>
      <c r="E67" s="405">
        <f t="shared" si="15"/>
        <v>143860</v>
      </c>
      <c r="F67" s="628"/>
      <c r="G67" s="175"/>
      <c r="H67" s="175"/>
      <c r="I67" s="175"/>
    </row>
    <row r="68" spans="1:9" ht="24.6" x14ac:dyDescent="0.7">
      <c r="A68" s="96"/>
      <c r="B68" s="430" t="s">
        <v>591</v>
      </c>
      <c r="C68" s="396">
        <f>SUM('8.WS-วัสดุอื่น'!O16)</f>
        <v>0</v>
      </c>
      <c r="D68" s="396">
        <f>SUM('8.WS-วัสดุอื่น'!P16)</f>
        <v>44425</v>
      </c>
      <c r="E68" s="405">
        <f t="shared" si="15"/>
        <v>44425</v>
      </c>
      <c r="F68" s="628"/>
      <c r="G68" s="175"/>
      <c r="H68" s="175"/>
      <c r="I68" s="175"/>
    </row>
    <row r="69" spans="1:9" ht="24.6" x14ac:dyDescent="0.7">
      <c r="A69" s="96"/>
      <c r="B69" s="430" t="s">
        <v>592</v>
      </c>
      <c r="C69" s="396">
        <f>SUM('8.WS-วัสดุอื่น'!O17)</f>
        <v>0</v>
      </c>
      <c r="D69" s="396">
        <f>SUM('8.WS-วัสดุอื่น'!P17)</f>
        <v>133950</v>
      </c>
      <c r="E69" s="405">
        <f t="shared" si="15"/>
        <v>133950</v>
      </c>
      <c r="F69" s="628"/>
      <c r="G69" s="175"/>
      <c r="H69" s="175"/>
      <c r="I69" s="175"/>
    </row>
    <row r="70" spans="1:9" ht="24.6" x14ac:dyDescent="0.7">
      <c r="A70" s="96"/>
      <c r="B70" s="430" t="s">
        <v>1016</v>
      </c>
      <c r="C70" s="396">
        <f>SUM('8.WS-วัสดุอื่น'!O18)</f>
        <v>0</v>
      </c>
      <c r="D70" s="396">
        <f>SUM('8.WS-วัสดุอื่น'!P18)</f>
        <v>498250</v>
      </c>
      <c r="E70" s="405">
        <f t="shared" si="15"/>
        <v>498250</v>
      </c>
      <c r="F70" s="628"/>
      <c r="G70" s="175"/>
      <c r="H70" s="175"/>
      <c r="I70" s="175"/>
    </row>
    <row r="71" spans="1:9" ht="24.6" customHeight="1" thickBot="1" x14ac:dyDescent="0.75">
      <c r="A71" s="96"/>
      <c r="B71" s="431" t="s">
        <v>622</v>
      </c>
      <c r="C71" s="216">
        <f>SUM(C59:C70)</f>
        <v>0</v>
      </c>
      <c r="D71" s="216">
        <f t="shared" ref="D71:E71" si="16">SUM(D59:D70)</f>
        <v>3367185.8</v>
      </c>
      <c r="E71" s="216">
        <f t="shared" si="16"/>
        <v>3367185.8</v>
      </c>
      <c r="F71" s="629"/>
      <c r="G71" s="175"/>
      <c r="H71" s="175"/>
      <c r="I71" s="175"/>
    </row>
    <row r="72" spans="1:9" ht="28.5" customHeight="1" thickTop="1" x14ac:dyDescent="0.75">
      <c r="A72" s="35"/>
      <c r="B72" s="37"/>
      <c r="C72" s="37"/>
      <c r="D72" s="37"/>
      <c r="E72" s="37"/>
      <c r="F72" s="37"/>
      <c r="G72" s="167"/>
      <c r="H72" s="167"/>
      <c r="I72" s="167"/>
    </row>
    <row r="73" spans="1:9" ht="28.5" customHeight="1" x14ac:dyDescent="0.5">
      <c r="A73" s="428" t="s">
        <v>2220</v>
      </c>
      <c r="B73" s="102"/>
      <c r="C73" s="102"/>
      <c r="D73" s="102"/>
      <c r="E73" s="102"/>
      <c r="F73" s="102"/>
      <c r="G73" s="102"/>
      <c r="H73" s="102"/>
      <c r="I73" s="102"/>
    </row>
    <row r="74" spans="1:9" ht="27" x14ac:dyDescent="0.75">
      <c r="A74" s="427"/>
      <c r="B74" s="426" t="s">
        <v>6377</v>
      </c>
      <c r="C74" s="394" t="s">
        <v>5953</v>
      </c>
      <c r="D74" s="395" t="s">
        <v>5954</v>
      </c>
      <c r="E74" s="395" t="s">
        <v>622</v>
      </c>
      <c r="F74" s="133"/>
      <c r="G74" s="176"/>
      <c r="H74" s="176"/>
      <c r="I74" s="176"/>
    </row>
    <row r="75" spans="1:9" ht="27" x14ac:dyDescent="0.75">
      <c r="A75" s="424" t="s">
        <v>6259</v>
      </c>
      <c r="B75" s="425" t="s">
        <v>2188</v>
      </c>
      <c r="C75" s="396">
        <f>SUM('9.WS-แผนเจ้าหนี้การค้า'!H5)</f>
        <v>0</v>
      </c>
      <c r="D75" s="422">
        <f>SUM('9.WS-แผนเจ้าหนี้การค้า'!I5)</f>
        <v>8494238.8854999989</v>
      </c>
      <c r="E75" s="423">
        <f>SUM(C75:D75)</f>
        <v>8494238.8854999989</v>
      </c>
      <c r="F75" s="630"/>
      <c r="G75" s="177"/>
      <c r="H75" s="177"/>
      <c r="I75" s="177"/>
    </row>
    <row r="76" spans="1:9" ht="27" x14ac:dyDescent="0.75">
      <c r="A76" s="424" t="s">
        <v>6260</v>
      </c>
      <c r="B76" s="425" t="s">
        <v>6000</v>
      </c>
      <c r="C76" s="396">
        <f>SUM('9.WS-แผนเจ้าหนี้การค้า'!H6)</f>
        <v>0</v>
      </c>
      <c r="D76" s="422">
        <f>SUM('9.WS-แผนเจ้าหนี้การค้า'!I6)</f>
        <v>26000</v>
      </c>
      <c r="E76" s="423">
        <f t="shared" ref="E76:E89" si="17">SUM(C76:D76)</f>
        <v>26000</v>
      </c>
      <c r="F76" s="630"/>
      <c r="G76" s="177"/>
      <c r="H76" s="177"/>
      <c r="I76" s="177"/>
    </row>
    <row r="77" spans="1:9" ht="27" x14ac:dyDescent="0.75">
      <c r="A77" s="424" t="s">
        <v>6261</v>
      </c>
      <c r="B77" s="425" t="s">
        <v>6001</v>
      </c>
      <c r="C77" s="396">
        <f>SUM('9.WS-แผนเจ้าหนี้การค้า'!H7)</f>
        <v>0</v>
      </c>
      <c r="D77" s="422">
        <f>SUM('9.WS-แผนเจ้าหนี้การค้า'!I7)</f>
        <v>3631411.9454999999</v>
      </c>
      <c r="E77" s="423">
        <f t="shared" si="17"/>
        <v>3631411.9454999999</v>
      </c>
      <c r="F77" s="630"/>
      <c r="G77" s="177"/>
      <c r="H77" s="177"/>
      <c r="I77" s="177"/>
    </row>
    <row r="78" spans="1:9" ht="27" x14ac:dyDescent="0.75">
      <c r="A78" s="424" t="s">
        <v>6262</v>
      </c>
      <c r="B78" s="425" t="s">
        <v>6002</v>
      </c>
      <c r="C78" s="396">
        <f>SUM('9.WS-แผนเจ้าหนี้การค้า'!H8)</f>
        <v>0</v>
      </c>
      <c r="D78" s="422">
        <f>SUM('9.WS-แผนเจ้าหนี้การค้า'!I8)</f>
        <v>3372016.2420000001</v>
      </c>
      <c r="E78" s="423">
        <f t="shared" si="17"/>
        <v>3372016.2420000001</v>
      </c>
      <c r="F78" s="630"/>
      <c r="G78" s="177"/>
      <c r="H78" s="177"/>
      <c r="I78" s="177"/>
    </row>
    <row r="79" spans="1:9" ht="27" x14ac:dyDescent="0.75">
      <c r="A79" s="424" t="s">
        <v>6263</v>
      </c>
      <c r="B79" s="425" t="s">
        <v>6003</v>
      </c>
      <c r="C79" s="396">
        <f>SUM('9.WS-แผนเจ้าหนี้การค้า'!H9)</f>
        <v>0</v>
      </c>
      <c r="D79" s="422">
        <f>SUM('9.WS-แผนเจ้าหนี้การค้า'!I9)</f>
        <v>0</v>
      </c>
      <c r="E79" s="423">
        <f t="shared" si="17"/>
        <v>0</v>
      </c>
      <c r="F79" s="630"/>
      <c r="G79" s="177"/>
      <c r="H79" s="177"/>
      <c r="I79" s="177"/>
    </row>
    <row r="80" spans="1:9" ht="27" x14ac:dyDescent="0.75">
      <c r="A80" s="424" t="s">
        <v>6264</v>
      </c>
      <c r="B80" s="425" t="s">
        <v>6004</v>
      </c>
      <c r="C80" s="396">
        <f>SUM('9.WS-แผนเจ้าหนี้การค้า'!H10)</f>
        <v>0</v>
      </c>
      <c r="D80" s="422">
        <f>SUM('9.WS-แผนเจ้าหนี้การค้า'!I10)</f>
        <v>598529.22779999999</v>
      </c>
      <c r="E80" s="423">
        <f t="shared" si="17"/>
        <v>598529.22779999999</v>
      </c>
      <c r="F80" s="630"/>
      <c r="G80" s="177"/>
      <c r="H80" s="177"/>
      <c r="I80" s="177"/>
    </row>
    <row r="81" spans="1:9" ht="27" x14ac:dyDescent="0.75">
      <c r="A81" s="424" t="s">
        <v>6265</v>
      </c>
      <c r="B81" s="425" t="s">
        <v>686</v>
      </c>
      <c r="C81" s="396">
        <f>SUM('9.WS-แผนเจ้าหนี้การค้า'!H11)</f>
        <v>0</v>
      </c>
      <c r="D81" s="422">
        <f>SUM('9.WS-แผนเจ้าหนี้การค้า'!I11)</f>
        <v>3008600</v>
      </c>
      <c r="E81" s="423">
        <f t="shared" si="17"/>
        <v>3008600</v>
      </c>
      <c r="F81" s="630"/>
      <c r="G81" s="177"/>
      <c r="H81" s="177"/>
      <c r="I81" s="177"/>
    </row>
    <row r="82" spans="1:9" ht="27" x14ac:dyDescent="0.75">
      <c r="A82" s="424" t="s">
        <v>6266</v>
      </c>
      <c r="B82" s="425" t="s">
        <v>6028</v>
      </c>
      <c r="C82" s="396">
        <f>SUM('9.WS-แผนเจ้าหนี้การค้า'!H12)</f>
        <v>0</v>
      </c>
      <c r="D82" s="422">
        <f>SUM('9.WS-แผนเจ้าหนี้การค้า'!I12)</f>
        <v>7725600</v>
      </c>
      <c r="E82" s="423">
        <f t="shared" si="17"/>
        <v>7725600</v>
      </c>
      <c r="F82" s="630"/>
      <c r="G82" s="177"/>
      <c r="H82" s="177"/>
      <c r="I82" s="177"/>
    </row>
    <row r="83" spans="1:9" ht="27" x14ac:dyDescent="0.75">
      <c r="A83" s="424" t="s">
        <v>6267</v>
      </c>
      <c r="B83" s="425" t="s">
        <v>6029</v>
      </c>
      <c r="C83" s="396">
        <f>SUM('9.WS-แผนเจ้าหนี้การค้า'!H13)</f>
        <v>0</v>
      </c>
      <c r="D83" s="422">
        <f>SUM('9.WS-แผนเจ้าหนี้การค้า'!I13)</f>
        <v>19922152.920600001</v>
      </c>
      <c r="E83" s="423">
        <f t="shared" si="17"/>
        <v>19922152.920600001</v>
      </c>
      <c r="F83" s="630"/>
      <c r="G83" s="177"/>
      <c r="H83" s="177"/>
      <c r="I83" s="177"/>
    </row>
    <row r="84" spans="1:9" ht="27" x14ac:dyDescent="0.75">
      <c r="A84" s="424" t="s">
        <v>6268</v>
      </c>
      <c r="B84" s="425" t="s">
        <v>6030</v>
      </c>
      <c r="C84" s="396">
        <f>SUM('9.WS-แผนเจ้าหนี้การค้า'!H14)</f>
        <v>0</v>
      </c>
      <c r="D84" s="422">
        <f>SUM('9.WS-แผนเจ้าหนี้การค้า'!I14)</f>
        <v>1291641.3916</v>
      </c>
      <c r="E84" s="423">
        <f t="shared" si="17"/>
        <v>1291641.3916</v>
      </c>
      <c r="F84" s="630"/>
      <c r="G84" s="177"/>
      <c r="H84" s="177"/>
      <c r="I84" s="177"/>
    </row>
    <row r="85" spans="1:9" ht="27" x14ac:dyDescent="0.75">
      <c r="A85" s="424" t="s">
        <v>6269</v>
      </c>
      <c r="B85" s="425" t="s">
        <v>6031</v>
      </c>
      <c r="C85" s="396">
        <f>SUM('9.WS-แผนเจ้าหนี้การค้า'!H15)</f>
        <v>0</v>
      </c>
      <c r="D85" s="422">
        <f>SUM('9.WS-แผนเจ้าหนี้การค้า'!I15)</f>
        <v>0</v>
      </c>
      <c r="E85" s="423">
        <f t="shared" si="17"/>
        <v>0</v>
      </c>
      <c r="F85" s="630"/>
      <c r="G85" s="177"/>
      <c r="H85" s="177"/>
      <c r="I85" s="177"/>
    </row>
    <row r="86" spans="1:9" ht="27" x14ac:dyDescent="0.75">
      <c r="A86" s="424" t="s">
        <v>6270</v>
      </c>
      <c r="B86" s="425" t="s">
        <v>6032</v>
      </c>
      <c r="C86" s="396">
        <f>SUM('9.WS-แผนเจ้าหนี้การค้า'!H16)</f>
        <v>0</v>
      </c>
      <c r="D86" s="422">
        <f>SUM('9.WS-แผนเจ้าหนี้การค้า'!I16)</f>
        <v>1423418.003</v>
      </c>
      <c r="E86" s="423">
        <f t="shared" si="17"/>
        <v>1423418.003</v>
      </c>
      <c r="F86" s="630"/>
      <c r="G86" s="177"/>
      <c r="H86" s="177"/>
      <c r="I86" s="177"/>
    </row>
    <row r="87" spans="1:9" ht="27" x14ac:dyDescent="0.75">
      <c r="A87" s="424" t="s">
        <v>6271</v>
      </c>
      <c r="B87" s="425" t="s">
        <v>687</v>
      </c>
      <c r="C87" s="396">
        <f>SUM('9.WS-แผนเจ้าหนี้การค้า'!H17)</f>
        <v>1546100</v>
      </c>
      <c r="D87" s="422">
        <f>SUM('9.WS-แผนเจ้าหนี้การค้า'!I17)</f>
        <v>13197194.5</v>
      </c>
      <c r="E87" s="423">
        <f t="shared" si="17"/>
        <v>14743294.5</v>
      </c>
      <c r="F87" s="630"/>
      <c r="G87" s="177"/>
      <c r="H87" s="177"/>
      <c r="I87" s="177"/>
    </row>
    <row r="88" spans="1:9" ht="27" x14ac:dyDescent="0.75">
      <c r="A88" s="424" t="s">
        <v>6272</v>
      </c>
      <c r="B88" s="425" t="s">
        <v>2189</v>
      </c>
      <c r="C88" s="396">
        <f>SUM('9.WS-แผนเจ้าหนี้การค้า'!H18)</f>
        <v>0</v>
      </c>
      <c r="D88" s="422">
        <f>SUM('9.WS-แผนเจ้าหนี้การค้า'!I18)</f>
        <v>3690496.9947999995</v>
      </c>
      <c r="E88" s="423">
        <f t="shared" si="17"/>
        <v>3690496.9947999995</v>
      </c>
      <c r="F88" s="630"/>
      <c r="G88" s="177"/>
      <c r="H88" s="177"/>
      <c r="I88" s="177"/>
    </row>
    <row r="89" spans="1:9" ht="27" x14ac:dyDescent="0.75">
      <c r="A89" s="424" t="s">
        <v>6273</v>
      </c>
      <c r="B89" s="425" t="s">
        <v>593</v>
      </c>
      <c r="C89" s="396">
        <f>SUM('9.WS-แผนเจ้าหนี้การค้า'!H19)</f>
        <v>0</v>
      </c>
      <c r="D89" s="422">
        <f>SUM('9.WS-แผนเจ้าหนี้การค้า'!I19)</f>
        <v>803143.81980000006</v>
      </c>
      <c r="E89" s="423">
        <f t="shared" si="17"/>
        <v>803143.81980000006</v>
      </c>
      <c r="F89" s="630"/>
      <c r="G89" s="177"/>
      <c r="H89" s="177"/>
      <c r="I89" s="177"/>
    </row>
    <row r="90" spans="1:9" ht="27.6" thickBot="1" x14ac:dyDescent="0.8">
      <c r="A90" s="427"/>
      <c r="B90" s="432" t="s">
        <v>622</v>
      </c>
      <c r="C90" s="216">
        <f>SUM(C75:C89)</f>
        <v>1546100</v>
      </c>
      <c r="D90" s="406">
        <f>SUM(D75:D89)</f>
        <v>67184443.930600002</v>
      </c>
      <c r="E90" s="419">
        <f>SUM(E75:E89)</f>
        <v>68730543.930600002</v>
      </c>
      <c r="F90" s="631"/>
      <c r="G90" s="177"/>
      <c r="H90" s="177"/>
      <c r="I90" s="177"/>
    </row>
    <row r="91" spans="1:9" ht="12.75" customHeight="1" thickTop="1" x14ac:dyDescent="0.75">
      <c r="A91" s="35"/>
      <c r="B91" s="6"/>
      <c r="C91" s="6"/>
      <c r="D91" s="6"/>
      <c r="E91" s="6"/>
      <c r="F91" s="6"/>
      <c r="G91" s="167"/>
      <c r="H91" s="167"/>
      <c r="I91" s="167"/>
    </row>
    <row r="92" spans="1:9" ht="24.75" customHeight="1" x14ac:dyDescent="0.7">
      <c r="B92" s="1" t="s">
        <v>679</v>
      </c>
      <c r="G92" s="168"/>
      <c r="H92" s="168"/>
      <c r="I92" s="168"/>
    </row>
    <row r="93" spans="1:9" ht="27" customHeight="1" x14ac:dyDescent="0.75">
      <c r="A93" s="35"/>
      <c r="B93" s="402" t="s">
        <v>6378</v>
      </c>
      <c r="C93" s="433" t="s">
        <v>655</v>
      </c>
      <c r="D93" s="108"/>
      <c r="E93" s="108"/>
      <c r="F93" s="108"/>
      <c r="G93" s="176"/>
      <c r="H93" s="176"/>
      <c r="I93" s="176"/>
    </row>
    <row r="94" spans="1:9" ht="23.25" customHeight="1" x14ac:dyDescent="0.75">
      <c r="A94" s="35"/>
      <c r="B94" s="8" t="s">
        <v>2262</v>
      </c>
      <c r="C94" s="39">
        <f>SUM('10.WS-แผนบริหารจัดการลูกหนี้'!E5)</f>
        <v>11490411.49</v>
      </c>
      <c r="D94" s="6"/>
      <c r="E94" s="6"/>
      <c r="F94" s="6"/>
      <c r="G94" s="167"/>
      <c r="H94" s="167"/>
      <c r="I94" s="167"/>
    </row>
    <row r="95" spans="1:9" ht="27" customHeight="1" x14ac:dyDescent="0.75">
      <c r="A95" s="35"/>
      <c r="B95" s="8" t="s">
        <v>2263</v>
      </c>
      <c r="C95" s="39">
        <f>SUM('10.WS-แผนบริหารจัดการลูกหนี้'!E6)</f>
        <v>150513.5</v>
      </c>
      <c r="D95" s="6"/>
      <c r="E95" s="6"/>
      <c r="F95" s="6"/>
      <c r="G95" s="167"/>
      <c r="H95" s="167"/>
      <c r="I95" s="167"/>
    </row>
    <row r="96" spans="1:9" ht="26.25" customHeight="1" x14ac:dyDescent="0.75">
      <c r="A96" s="35"/>
      <c r="B96" s="8" t="s">
        <v>2264</v>
      </c>
      <c r="C96" s="39">
        <f>SUM('10.WS-แผนบริหารจัดการลูกหนี้'!E7)</f>
        <v>763250.29</v>
      </c>
      <c r="D96" s="6"/>
      <c r="E96" s="6"/>
      <c r="F96" s="6"/>
      <c r="G96" s="167"/>
      <c r="H96" s="167"/>
      <c r="I96" s="167"/>
    </row>
    <row r="97" spans="1:9" ht="25.5" customHeight="1" x14ac:dyDescent="0.75">
      <c r="A97" s="35"/>
      <c r="B97" s="8" t="s">
        <v>2265</v>
      </c>
      <c r="C97" s="39">
        <f>SUM('10.WS-แผนบริหารจัดการลูกหนี้'!E8)</f>
        <v>4191558.13</v>
      </c>
      <c r="D97" s="6"/>
      <c r="E97" s="6"/>
      <c r="F97" s="6"/>
      <c r="G97" s="167"/>
      <c r="H97" s="167"/>
      <c r="I97" s="167"/>
    </row>
    <row r="98" spans="1:9" ht="25.5" customHeight="1" x14ac:dyDescent="0.75">
      <c r="A98" s="35"/>
      <c r="B98" s="8" t="s">
        <v>2266</v>
      </c>
      <c r="C98" s="39">
        <f>SUM('10.WS-แผนบริหารจัดการลูกหนี้'!E9)</f>
        <v>6181519.3399999999</v>
      </c>
      <c r="D98" s="6"/>
      <c r="E98" s="6"/>
      <c r="F98" s="6"/>
      <c r="G98" s="167"/>
      <c r="H98" s="167"/>
      <c r="I98" s="167"/>
    </row>
    <row r="99" spans="1:9" ht="25.5" customHeight="1" x14ac:dyDescent="0.75">
      <c r="A99" s="35"/>
      <c r="B99" s="8" t="s">
        <v>2267</v>
      </c>
      <c r="C99" s="39">
        <f>SUM('10.WS-แผนบริหารจัดการลูกหนี้'!E10)</f>
        <v>705000</v>
      </c>
      <c r="D99" s="6"/>
      <c r="E99" s="6"/>
      <c r="F99" s="6"/>
      <c r="G99" s="167"/>
      <c r="H99" s="167"/>
      <c r="I99" s="167"/>
    </row>
    <row r="100" spans="1:9" ht="24.75" customHeight="1" x14ac:dyDescent="0.75">
      <c r="A100" s="35"/>
      <c r="B100" s="8" t="s">
        <v>2268</v>
      </c>
      <c r="C100" s="39">
        <f>SUM('10.WS-แผนบริหารจัดการลูกหนี้'!E11)</f>
        <v>37206424.710000001</v>
      </c>
      <c r="D100" s="6"/>
      <c r="E100" s="6"/>
      <c r="F100" s="6"/>
      <c r="G100" s="167"/>
      <c r="H100" s="167"/>
      <c r="I100" s="167"/>
    </row>
    <row r="101" spans="1:9" ht="27" customHeight="1" thickBot="1" x14ac:dyDescent="0.8">
      <c r="A101" s="35"/>
      <c r="B101" s="107" t="s">
        <v>622</v>
      </c>
      <c r="C101" s="113">
        <f>SUM(C94:C100)</f>
        <v>60688677.460000001</v>
      </c>
      <c r="D101" s="14"/>
      <c r="E101" s="14"/>
      <c r="F101" s="14"/>
      <c r="G101" s="178"/>
      <c r="H101" s="178"/>
      <c r="I101" s="178"/>
    </row>
    <row r="102" spans="1:9" ht="27" customHeight="1" thickTop="1" x14ac:dyDescent="0.75">
      <c r="A102" s="35"/>
      <c r="B102" s="6"/>
      <c r="C102" s="6"/>
      <c r="D102" s="6"/>
      <c r="E102" s="6"/>
      <c r="F102" s="6"/>
      <c r="G102" s="167"/>
      <c r="H102" s="167"/>
      <c r="I102" s="167"/>
    </row>
    <row r="103" spans="1:9" ht="23.25" customHeight="1" x14ac:dyDescent="0.7">
      <c r="B103" s="434" t="s">
        <v>680</v>
      </c>
      <c r="C103" s="110" t="s">
        <v>655</v>
      </c>
      <c r="G103" s="168"/>
      <c r="H103" s="168"/>
      <c r="I103" s="168"/>
    </row>
    <row r="104" spans="1:9" ht="27" x14ac:dyDescent="0.75">
      <c r="A104" s="35"/>
      <c r="B104" s="8" t="s">
        <v>6521</v>
      </c>
      <c r="C104" s="401">
        <f>SUM('11.WS-แผนลงทุน'!G5,'11.WS-แผนลงทุน'!G6)</f>
        <v>13012250</v>
      </c>
      <c r="D104" s="6"/>
      <c r="E104" s="6"/>
      <c r="F104" s="6"/>
      <c r="G104" s="167"/>
      <c r="H104" s="167"/>
      <c r="I104" s="167"/>
    </row>
    <row r="105" spans="1:9" ht="27" x14ac:dyDescent="0.75">
      <c r="A105" s="35"/>
      <c r="B105" s="8" t="s">
        <v>6379</v>
      </c>
      <c r="C105" s="401">
        <f>SUM('11.WS-แผนลงทุน'!G7)</f>
        <v>300000</v>
      </c>
      <c r="D105" s="6"/>
      <c r="E105" s="6"/>
      <c r="F105" s="6"/>
      <c r="G105" s="167"/>
      <c r="H105" s="167"/>
      <c r="I105" s="167"/>
    </row>
    <row r="106" spans="1:9" ht="27" x14ac:dyDescent="0.75">
      <c r="A106" s="35"/>
      <c r="B106" s="8" t="s">
        <v>6380</v>
      </c>
      <c r="C106" s="401">
        <f>SUM('11.WS-แผนลงทุน'!G8)</f>
        <v>1546100</v>
      </c>
      <c r="D106" s="6"/>
      <c r="E106" s="6"/>
      <c r="F106" s="6"/>
      <c r="G106" s="167"/>
      <c r="H106" s="167"/>
      <c r="I106" s="167"/>
    </row>
    <row r="107" spans="1:9" ht="27" x14ac:dyDescent="0.75">
      <c r="A107" s="35"/>
      <c r="B107" s="435" t="s">
        <v>6519</v>
      </c>
      <c r="C107" s="401">
        <f>SUM('11.WS-แผนลงทุน'!G9)</f>
        <v>0</v>
      </c>
      <c r="D107" s="109"/>
      <c r="E107" s="109"/>
      <c r="F107" s="109"/>
      <c r="G107" s="167"/>
      <c r="H107" s="167"/>
      <c r="I107" s="167"/>
    </row>
    <row r="108" spans="1:9" ht="27" x14ac:dyDescent="0.75">
      <c r="A108" s="35"/>
      <c r="B108" s="298" t="s">
        <v>6520</v>
      </c>
      <c r="C108" s="299">
        <f>SUM('11.WS-แผนลงทุน'!G10)</f>
        <v>0</v>
      </c>
      <c r="D108" s="109"/>
      <c r="E108" s="109"/>
      <c r="F108" s="109"/>
      <c r="G108" s="167"/>
      <c r="H108" s="167"/>
      <c r="I108" s="167"/>
    </row>
    <row r="109" spans="1:9" ht="25.5" customHeight="1" thickBot="1" x14ac:dyDescent="0.8">
      <c r="A109" s="35"/>
      <c r="B109" s="107" t="s">
        <v>622</v>
      </c>
      <c r="C109" s="113">
        <f>SUM(C104:C108)</f>
        <v>14858350</v>
      </c>
      <c r="D109" s="14"/>
      <c r="E109" s="14"/>
      <c r="F109" s="14"/>
      <c r="G109" s="178"/>
      <c r="H109" s="178"/>
      <c r="I109" s="178"/>
    </row>
    <row r="110" spans="1:9" ht="21.75" customHeight="1" thickTop="1" x14ac:dyDescent="0.75">
      <c r="A110" s="35"/>
      <c r="B110" s="6"/>
      <c r="C110" s="6"/>
      <c r="D110" s="6"/>
      <c r="E110" s="6"/>
      <c r="F110" s="6"/>
      <c r="G110" s="167"/>
      <c r="H110" s="167"/>
      <c r="I110" s="167"/>
    </row>
    <row r="111" spans="1:9" ht="23.25" customHeight="1" x14ac:dyDescent="0.7">
      <c r="B111" s="436" t="s">
        <v>681</v>
      </c>
      <c r="C111" s="112" t="s">
        <v>655</v>
      </c>
      <c r="D111" s="1"/>
      <c r="E111" s="1"/>
      <c r="F111" s="1"/>
      <c r="G111" s="168"/>
      <c r="H111" s="168"/>
      <c r="I111" s="168"/>
    </row>
    <row r="112" spans="1:9" ht="27" x14ac:dyDescent="0.75">
      <c r="A112" s="35"/>
      <c r="B112" s="193" t="s">
        <v>6381</v>
      </c>
      <c r="C112" s="39">
        <f>SUM('12.WS-แผนสนับสนุน รพ.สต.'!C16)</f>
        <v>5841168</v>
      </c>
      <c r="D112" s="87"/>
      <c r="E112" s="87"/>
      <c r="F112" s="87"/>
      <c r="G112" s="174"/>
      <c r="H112" s="174"/>
      <c r="I112" s="174"/>
    </row>
    <row r="113" spans="1:9" ht="27" x14ac:dyDescent="0.75">
      <c r="A113" s="35"/>
      <c r="B113" s="103" t="s">
        <v>698</v>
      </c>
      <c r="C113" s="39">
        <f>SUM('12.WS-แผนสนับสนุน รพ.สต.'!D16)</f>
        <v>1615750</v>
      </c>
      <c r="D113" s="6"/>
      <c r="E113" s="6"/>
      <c r="F113" s="6"/>
      <c r="G113" s="167"/>
      <c r="H113" s="167"/>
      <c r="I113" s="167"/>
    </row>
    <row r="114" spans="1:9" ht="27" x14ac:dyDescent="0.75">
      <c r="A114" s="35"/>
      <c r="B114" s="194" t="s">
        <v>581</v>
      </c>
      <c r="C114" s="39">
        <f>SUM('12.WS-แผนสนับสนุน รพ.สต.'!E16)</f>
        <v>1415549.27</v>
      </c>
      <c r="D114" s="111"/>
      <c r="E114" s="111"/>
      <c r="F114" s="111"/>
      <c r="G114" s="179"/>
      <c r="H114" s="179"/>
      <c r="I114" s="179"/>
    </row>
    <row r="115" spans="1:9" ht="27" x14ac:dyDescent="0.75">
      <c r="A115" s="35"/>
      <c r="B115" s="546" t="s">
        <v>6286</v>
      </c>
      <c r="C115" s="396">
        <f>SUM('12.WS-แผนสนับสนุน รพ.สต.'!F16)</f>
        <v>14025.899999999998</v>
      </c>
      <c r="D115" s="111"/>
      <c r="E115" s="111"/>
      <c r="F115" s="111"/>
      <c r="G115" s="179"/>
      <c r="H115" s="179"/>
      <c r="I115" s="179"/>
    </row>
    <row r="116" spans="1:9" ht="27" x14ac:dyDescent="0.75">
      <c r="A116" s="35"/>
      <c r="B116" s="546" t="s">
        <v>6287</v>
      </c>
      <c r="C116" s="396">
        <f>SUM('12.WS-แผนสนับสนุน รพ.สต.'!G16)</f>
        <v>428054.14999999997</v>
      </c>
      <c r="D116" s="111"/>
      <c r="E116" s="111"/>
      <c r="F116" s="111"/>
      <c r="G116" s="179"/>
      <c r="H116" s="179"/>
      <c r="I116" s="179"/>
    </row>
    <row r="117" spans="1:9" ht="27" x14ac:dyDescent="0.75">
      <c r="A117" s="35"/>
      <c r="B117" s="546" t="s">
        <v>6288</v>
      </c>
      <c r="C117" s="396">
        <f>SUM('12.WS-แผนสนับสนุน รพ.สต.'!H16)</f>
        <v>712353.55</v>
      </c>
      <c r="D117" s="111"/>
      <c r="E117" s="111"/>
      <c r="F117" s="111"/>
      <c r="G117" s="179"/>
      <c r="H117" s="179"/>
      <c r="I117" s="179"/>
    </row>
    <row r="118" spans="1:9" ht="27" x14ac:dyDescent="0.75">
      <c r="A118" s="35"/>
      <c r="B118" s="546" t="s">
        <v>6289</v>
      </c>
      <c r="C118" s="396">
        <f>SUM('12.WS-แผนสนับสนุน รพ.สต.'!I16)</f>
        <v>0</v>
      </c>
      <c r="D118" s="111"/>
      <c r="E118" s="111"/>
      <c r="F118" s="111"/>
      <c r="G118" s="179"/>
      <c r="H118" s="179"/>
      <c r="I118" s="179"/>
    </row>
    <row r="119" spans="1:9" ht="27" x14ac:dyDescent="0.75">
      <c r="A119" s="35"/>
      <c r="B119" s="546" t="s">
        <v>6290</v>
      </c>
      <c r="C119" s="396">
        <f>SUM('12.WS-แผนสนับสนุน รพ.สต.'!J16)</f>
        <v>127518.91</v>
      </c>
      <c r="D119" s="111"/>
      <c r="E119" s="111"/>
      <c r="F119" s="111"/>
      <c r="G119" s="179"/>
      <c r="H119" s="179"/>
      <c r="I119" s="179"/>
    </row>
    <row r="120" spans="1:9" ht="27" x14ac:dyDescent="0.75">
      <c r="A120" s="35"/>
      <c r="B120" s="194" t="s">
        <v>592</v>
      </c>
      <c r="C120" s="39">
        <f>SUM('12.WS-แผนสนับสนุน รพ.สต.'!K16)</f>
        <v>74866</v>
      </c>
      <c r="D120" s="111"/>
      <c r="E120" s="111"/>
      <c r="F120" s="111"/>
      <c r="G120" s="179"/>
      <c r="H120" s="179"/>
      <c r="I120" s="179"/>
    </row>
    <row r="121" spans="1:9" ht="24.6" x14ac:dyDescent="0.7">
      <c r="B121" s="194" t="s">
        <v>697</v>
      </c>
      <c r="C121" s="39">
        <f>SUM('12.WS-แผนสนับสนุน รพ.สต.'!L16)</f>
        <v>1534535.55</v>
      </c>
      <c r="D121" s="111"/>
      <c r="E121" s="111"/>
      <c r="F121" s="111"/>
      <c r="G121" s="179"/>
      <c r="H121" s="179"/>
      <c r="I121" s="179"/>
    </row>
    <row r="122" spans="1:9" ht="25.2" thickBot="1" x14ac:dyDescent="0.75">
      <c r="B122" s="107" t="s">
        <v>622</v>
      </c>
      <c r="C122" s="113">
        <f>SUM(C112:C121)</f>
        <v>11763821.330000002</v>
      </c>
      <c r="D122" s="14"/>
      <c r="E122" s="14"/>
      <c r="F122" s="14"/>
      <c r="G122" s="178"/>
      <c r="H122" s="178"/>
      <c r="I122" s="178"/>
    </row>
    <row r="123" spans="1:9" ht="17.399999999999999" thickTop="1" x14ac:dyDescent="0.5"/>
  </sheetData>
  <conditionalFormatting sqref="C38:G39">
    <cfRule type="containsText" dxfId="9" priority="7" operator="containsText" text="เกินดุล">
      <formula>NOT(ISERROR(SEARCH("เกินดุล",C38)))</formula>
    </cfRule>
    <cfRule type="containsText" dxfId="8" priority="8" operator="containsText" text="ขาดดุล">
      <formula>NOT(ISERROR(SEARCH("ขาดดุล",C38)))</formula>
    </cfRule>
    <cfRule type="containsText" dxfId="7" priority="9" operator="containsText" text="เกินดุล">
      <formula>NOT(ISERROR(SEARCH("เกินดุล",C38)))</formula>
    </cfRule>
    <cfRule type="containsText" dxfId="6" priority="10" operator="containsText" text="ขาดดุล">
      <formula>NOT(ISERROR(SEARCH("ขาดดุล",C38)))</formula>
    </cfRule>
  </conditionalFormatting>
  <conditionalFormatting sqref="C37:G37">
    <cfRule type="cellIs" dxfId="5" priority="1" operator="lessThan">
      <formula>0</formula>
    </cfRule>
    <cfRule type="cellIs" dxfId="4" priority="2" operator="equal">
      <formula>0</formula>
    </cfRule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17" right="0.15748031496062992" top="0.15748031496062992" bottom="0.15748031496062992" header="0.15748031496062992" footer="0.15748031496062992"/>
  <pageSetup paperSize="9" scale="69" orientation="landscape" horizontalDpi="4294967294" r:id="rId1"/>
  <headerFooter>
    <oddFooter>&amp;L
Planfin60&amp;R
&amp;P</oddFooter>
  </headerFooter>
  <ignoredErrors>
    <ignoredError sqref="G17 E17" formula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S50"/>
  <sheetViews>
    <sheetView tabSelected="1" zoomScale="70" zoomScaleNormal="70" workbookViewId="0">
      <pane xSplit="2" ySplit="7" topLeftCell="C32" activePane="bottomRight" state="frozen"/>
      <selection pane="topRight" activeCell="C1" sqref="C1"/>
      <selection pane="bottomLeft" activeCell="A8" sqref="A8"/>
      <selection pane="bottomRight" activeCell="J20" sqref="J20"/>
    </sheetView>
  </sheetViews>
  <sheetFormatPr defaultColWidth="9" defaultRowHeight="24.6" x14ac:dyDescent="0.7"/>
  <cols>
    <col min="1" max="1" width="6" style="6" customWidth="1"/>
    <col min="2" max="2" width="43.69921875" style="6" customWidth="1"/>
    <col min="3" max="4" width="14.19921875" style="6" customWidth="1"/>
    <col min="5" max="5" width="14" style="167" customWidth="1"/>
    <col min="6" max="6" width="16.8984375" style="167" bestFit="1" customWidth="1"/>
    <col min="7" max="9" width="16.8984375" style="167" customWidth="1"/>
    <col min="10" max="10" width="84.19921875" style="109" bestFit="1" customWidth="1"/>
    <col min="11" max="11" width="19.09765625" style="109" customWidth="1"/>
    <col min="12" max="12" width="32.19921875" style="109" bestFit="1" customWidth="1"/>
    <col min="13" max="13" width="69.19921875" style="6" customWidth="1"/>
    <col min="14" max="16" width="9" style="6"/>
    <col min="17" max="19" width="9" style="257"/>
    <col min="20" max="16384" width="9" style="6"/>
  </cols>
  <sheetData>
    <row r="1" spans="1:13" x14ac:dyDescent="0.7">
      <c r="B1" s="797" t="s">
        <v>6333</v>
      </c>
      <c r="C1" s="797"/>
      <c r="D1" s="797"/>
      <c r="E1" s="797"/>
      <c r="F1" s="797"/>
      <c r="G1" s="797"/>
      <c r="H1" s="797"/>
      <c r="I1" s="797"/>
      <c r="J1" s="337"/>
      <c r="K1" s="337"/>
      <c r="L1" s="337"/>
    </row>
    <row r="2" spans="1:13" x14ac:dyDescent="0.7">
      <c r="B2" s="797" t="str">
        <f>"ชื่อหน่วยงาน     "&amp;'1.Planfin2566'!$D$2  &amp;"       รหัสหน่วยงาน       "&amp;'1.Planfin2566'!$G$2</f>
        <v>ชื่อหน่วยงาน     โรงพยาบาลวังสมบูรณ์       รหัสหน่วยงาน       28849</v>
      </c>
      <c r="C2" s="797"/>
      <c r="D2" s="797"/>
      <c r="E2" s="797"/>
      <c r="F2" s="797"/>
      <c r="G2" s="797"/>
      <c r="H2" s="797"/>
      <c r="I2" s="797"/>
      <c r="J2" s="337"/>
      <c r="K2" s="337"/>
      <c r="L2" s="337"/>
    </row>
    <row r="3" spans="1:13" x14ac:dyDescent="0.7">
      <c r="B3" s="797" t="s">
        <v>6575</v>
      </c>
      <c r="C3" s="797"/>
      <c r="D3" s="797"/>
      <c r="E3" s="797"/>
      <c r="F3" s="797"/>
      <c r="G3" s="797"/>
      <c r="H3" s="797"/>
      <c r="I3" s="797"/>
      <c r="J3" s="337"/>
      <c r="K3" s="337"/>
      <c r="L3" s="337"/>
      <c r="M3" s="532"/>
    </row>
    <row r="4" spans="1:13" x14ac:dyDescent="0.7">
      <c r="B4" s="797" t="s">
        <v>6421</v>
      </c>
      <c r="C4" s="797"/>
      <c r="D4" s="797"/>
      <c r="E4" s="797"/>
      <c r="F4" s="797"/>
      <c r="G4" s="797"/>
      <c r="H4" s="797"/>
      <c r="I4" s="797"/>
      <c r="J4" s="337"/>
      <c r="K4" s="337"/>
      <c r="L4" s="337"/>
      <c r="M4" s="532"/>
    </row>
    <row r="5" spans="1:13" x14ac:dyDescent="0.7">
      <c r="F5" s="167" t="s">
        <v>6334</v>
      </c>
    </row>
    <row r="6" spans="1:13" ht="24.6" customHeight="1" x14ac:dyDescent="0.7">
      <c r="A6" s="789" t="s">
        <v>646</v>
      </c>
      <c r="B6" s="789"/>
      <c r="C6" s="672" t="s">
        <v>685</v>
      </c>
      <c r="D6" s="673" t="s">
        <v>1137</v>
      </c>
      <c r="E6" s="801" t="s">
        <v>6335</v>
      </c>
      <c r="F6" s="800" t="s">
        <v>6584</v>
      </c>
      <c r="G6" s="800" t="s">
        <v>9230</v>
      </c>
      <c r="H6" s="795" t="s">
        <v>6558</v>
      </c>
      <c r="I6" s="796"/>
      <c r="J6" s="821" t="s">
        <v>6586</v>
      </c>
      <c r="K6" s="822"/>
      <c r="L6" s="2097" t="s">
        <v>691</v>
      </c>
      <c r="M6" s="2098" t="s">
        <v>6585</v>
      </c>
    </row>
    <row r="7" spans="1:13" x14ac:dyDescent="0.7">
      <c r="A7" s="789"/>
      <c r="B7" s="789"/>
      <c r="C7" s="674" t="s">
        <v>6559</v>
      </c>
      <c r="D7" s="671" t="s">
        <v>6559</v>
      </c>
      <c r="E7" s="802"/>
      <c r="F7" s="800"/>
      <c r="G7" s="800"/>
      <c r="H7" s="675" t="s">
        <v>6562</v>
      </c>
      <c r="I7" s="675" t="s">
        <v>6563</v>
      </c>
      <c r="J7" s="671" t="s">
        <v>6802</v>
      </c>
      <c r="K7" s="671" t="s">
        <v>6559</v>
      </c>
      <c r="L7" s="2097"/>
      <c r="M7" s="2099"/>
    </row>
    <row r="8" spans="1:13" ht="24.6" customHeight="1" x14ac:dyDescent="0.7">
      <c r="A8" s="792" t="s">
        <v>6564</v>
      </c>
      <c r="B8" s="793"/>
      <c r="C8" s="793"/>
      <c r="D8" s="793"/>
      <c r="E8" s="793"/>
      <c r="F8" s="793"/>
      <c r="G8" s="2092"/>
      <c r="H8" s="793"/>
      <c r="I8" s="794"/>
      <c r="J8" s="699"/>
      <c r="K8" s="699"/>
      <c r="L8" s="699"/>
      <c r="M8" s="414"/>
    </row>
    <row r="9" spans="1:13" x14ac:dyDescent="0.7">
      <c r="A9" s="677" t="s">
        <v>6243</v>
      </c>
      <c r="B9" s="676" t="s">
        <v>6336</v>
      </c>
      <c r="C9" s="676"/>
      <c r="D9" s="676"/>
      <c r="E9" s="678">
        <f>SUMIF('6.WS-Re-Exp'!$G:$G,'14.แผนรายรับรายจ่ายเงินบำรุงฯ'!A9,'6.WS-Re-Exp'!$C:$C)</f>
        <v>40190533.069999993</v>
      </c>
      <c r="F9" s="679">
        <f>SUM(E9+'10.WS-แผนบริหารจัดการลูกหนี้'!B5-'10.WS-แผนบริหารจัดการลูกหนี้'!H5)+'12.WS-แผนสนับสนุน รพ.สต.'!M16-'12.WS-แผนสนับสนุน รพ.สต.'!L16</f>
        <v>25680927.669999998</v>
      </c>
      <c r="G9" s="2093">
        <f>E9+'12.WS-แผนสนับสนุน รพ.สต.'!M16-'12.WS-แผนสนับสนุน รพ.สต.'!L16</f>
        <v>50419818.849999994</v>
      </c>
      <c r="H9" s="679">
        <f>G9-D9</f>
        <v>50419818.849999994</v>
      </c>
      <c r="I9" s="679">
        <f>IFERROR((F9-D9)/F9*100,0)</f>
        <v>100</v>
      </c>
      <c r="J9" s="700" t="s">
        <v>9228</v>
      </c>
      <c r="K9" s="700"/>
      <c r="L9" s="700"/>
      <c r="M9" s="109" t="s">
        <v>6337</v>
      </c>
    </row>
    <row r="10" spans="1:13" x14ac:dyDescent="0.7">
      <c r="A10" s="677" t="s">
        <v>6244</v>
      </c>
      <c r="B10" s="676" t="s">
        <v>3</v>
      </c>
      <c r="C10" s="676"/>
      <c r="D10" s="676"/>
      <c r="E10" s="678">
        <f>SUMIF('6.WS-Re-Exp'!$G:$G,'14.แผนรายรับรายจ่ายเงินบำรุงฯ'!A10,'6.WS-Re-Exp'!$C:$C)</f>
        <v>450000</v>
      </c>
      <c r="F10" s="679">
        <f>SUM(E10)</f>
        <v>450000</v>
      </c>
      <c r="G10" s="2093">
        <f>E10</f>
        <v>450000</v>
      </c>
      <c r="H10" s="679">
        <f t="shared" ref="H10:H38" si="0">G10-D10</f>
        <v>450000</v>
      </c>
      <c r="I10" s="679">
        <f t="shared" ref="I10:I19" si="1">IFERROR((F10-D10)/F10*100,0)</f>
        <v>100</v>
      </c>
      <c r="J10" s="700" t="s">
        <v>9229</v>
      </c>
      <c r="K10" s="700"/>
      <c r="L10" s="700"/>
      <c r="M10" s="109" t="s">
        <v>6337</v>
      </c>
    </row>
    <row r="11" spans="1:13" x14ac:dyDescent="0.7">
      <c r="A11" s="677" t="s">
        <v>6245</v>
      </c>
      <c r="B11" s="676" t="s">
        <v>5</v>
      </c>
      <c r="C11" s="676"/>
      <c r="D11" s="676"/>
      <c r="E11" s="678">
        <f>SUMIF('6.WS-Re-Exp'!$G:$G,'14.แผนรายรับรายจ่ายเงินบำรุงฯ'!A11,'6.WS-Re-Exp'!$C:$C)</f>
        <v>15000</v>
      </c>
      <c r="F11" s="679">
        <f>SUM(E11+'10.WS-แผนบริหารจัดการลูกหนี้'!B6-'10.WS-แผนบริหารจัดการลูกหนี้'!H6)</f>
        <v>150513.5</v>
      </c>
      <c r="G11" s="2093">
        <f>E11+'10.WS-แผนบริหารจัดการลูกหนี้'!E6</f>
        <v>165513.5</v>
      </c>
      <c r="H11" s="679">
        <f t="shared" si="0"/>
        <v>165513.5</v>
      </c>
      <c r="I11" s="679">
        <f t="shared" si="1"/>
        <v>100</v>
      </c>
      <c r="J11" s="700" t="s">
        <v>9249</v>
      </c>
      <c r="K11" s="700"/>
      <c r="L11" s="700"/>
      <c r="M11" s="109" t="s">
        <v>6337</v>
      </c>
    </row>
    <row r="12" spans="1:13" x14ac:dyDescent="0.7">
      <c r="A12" s="677" t="s">
        <v>6246</v>
      </c>
      <c r="B12" s="676" t="s">
        <v>664</v>
      </c>
      <c r="C12" s="676"/>
      <c r="D12" s="676"/>
      <c r="E12" s="678">
        <f>SUMIF('6.WS-Re-Exp'!$G:$G,'14.แผนรายรับรายจ่ายเงินบำรุงฯ'!A12,'6.WS-Re-Exp'!$C:$C)</f>
        <v>455613.5</v>
      </c>
      <c r="F12" s="679">
        <f>SUM(E12+'10.WS-แผนบริหารจัดการลูกหนี้'!B7-'10.WS-แผนบริหารจัดการลูกหนี้'!H7)</f>
        <v>763250.29</v>
      </c>
      <c r="G12" s="2093">
        <f>E12+'10.WS-แผนบริหารจัดการลูกหนี้'!E7</f>
        <v>1218863.79</v>
      </c>
      <c r="H12" s="679">
        <f t="shared" si="0"/>
        <v>1218863.79</v>
      </c>
      <c r="I12" s="679">
        <f t="shared" si="1"/>
        <v>100</v>
      </c>
      <c r="J12" s="700" t="s">
        <v>9250</v>
      </c>
      <c r="K12" s="700"/>
      <c r="L12" s="700"/>
      <c r="M12" s="109" t="s">
        <v>6337</v>
      </c>
    </row>
    <row r="13" spans="1:13" x14ac:dyDescent="0.7">
      <c r="A13" s="677" t="s">
        <v>6247</v>
      </c>
      <c r="B13" s="676" t="s">
        <v>7</v>
      </c>
      <c r="C13" s="676"/>
      <c r="D13" s="676"/>
      <c r="E13" s="678">
        <f>SUMIF('6.WS-Re-Exp'!$G:$G,'14.แผนรายรับรายจ่ายเงินบำรุงฯ'!A13,'6.WS-Re-Exp'!$C:$C)</f>
        <v>2574496.25</v>
      </c>
      <c r="F13" s="679">
        <f>SUM(E13+'10.WS-แผนบริหารจัดการลูกหนี้'!B8-'10.WS-แผนบริหารจัดการลูกหนี้'!H8)</f>
        <v>4296258.13</v>
      </c>
      <c r="G13" s="2093">
        <f>E13</f>
        <v>2574496.25</v>
      </c>
      <c r="H13" s="679">
        <f t="shared" si="0"/>
        <v>2574496.25</v>
      </c>
      <c r="I13" s="679">
        <f t="shared" si="1"/>
        <v>100</v>
      </c>
      <c r="J13" s="700" t="s">
        <v>9251</v>
      </c>
      <c r="K13" s="700"/>
      <c r="L13" s="700"/>
      <c r="M13" s="109" t="s">
        <v>6337</v>
      </c>
    </row>
    <row r="14" spans="1:13" x14ac:dyDescent="0.7">
      <c r="A14" s="677" t="s">
        <v>6248</v>
      </c>
      <c r="B14" s="676" t="s">
        <v>9</v>
      </c>
      <c r="C14" s="676"/>
      <c r="D14" s="676"/>
      <c r="E14" s="678">
        <f>SUMIF('6.WS-Re-Exp'!$G:$G,'14.แผนรายรับรายจ่ายเงินบำรุงฯ'!A14,'6.WS-Re-Exp'!$C:$C)</f>
        <v>3602899</v>
      </c>
      <c r="F14" s="679">
        <f>SUM(E14+'10.WS-แผนบริหารจัดการลูกหนี้'!B9-'10.WS-แผนบริหารจัดการลูกหนี้'!H9)</f>
        <v>6281519.3399999999</v>
      </c>
      <c r="G14" s="2093">
        <f>E14</f>
        <v>3602899</v>
      </c>
      <c r="H14" s="679">
        <f t="shared" si="0"/>
        <v>3602899</v>
      </c>
      <c r="I14" s="679">
        <f t="shared" si="1"/>
        <v>100</v>
      </c>
      <c r="J14" s="700" t="s">
        <v>9252</v>
      </c>
      <c r="K14" s="700"/>
      <c r="L14" s="700"/>
      <c r="M14" s="109" t="s">
        <v>6337</v>
      </c>
    </row>
    <row r="15" spans="1:13" x14ac:dyDescent="0.7">
      <c r="A15" s="677" t="s">
        <v>6249</v>
      </c>
      <c r="B15" s="676" t="s">
        <v>11</v>
      </c>
      <c r="C15" s="676"/>
      <c r="D15" s="676"/>
      <c r="E15" s="678">
        <f>SUMIF('6.WS-Re-Exp'!$G:$G,'14.แผนรายรับรายจ่ายเงินบำรุงฯ'!A15,'6.WS-Re-Exp'!$C:$C)</f>
        <v>705000</v>
      </c>
      <c r="F15" s="679">
        <f>SUM(E15+'10.WS-แผนบริหารจัดการลูกหนี้'!B10-'10.WS-แผนบริหารจัดการลูกหนี้'!H10)</f>
        <v>705000</v>
      </c>
      <c r="G15" s="2093">
        <f>SUM(F15+'10.WS-แผนบริหารจัดการลูกหนี้'!C10-'10.WS-แผนบริหารจัดการลูกหนี้'!I10)</f>
        <v>1410000</v>
      </c>
      <c r="H15" s="679">
        <f t="shared" si="0"/>
        <v>1410000</v>
      </c>
      <c r="I15" s="679">
        <f t="shared" si="1"/>
        <v>100</v>
      </c>
      <c r="J15" s="700" t="s">
        <v>9253</v>
      </c>
      <c r="K15" s="700"/>
      <c r="L15" s="700"/>
      <c r="M15" s="109" t="s">
        <v>6337</v>
      </c>
    </row>
    <row r="16" spans="1:13" x14ac:dyDescent="0.7">
      <c r="A16" s="677" t="s">
        <v>6250</v>
      </c>
      <c r="B16" s="676" t="s">
        <v>13</v>
      </c>
      <c r="C16" s="676"/>
      <c r="D16" s="676"/>
      <c r="E16" s="678">
        <f>SUMIF('6.WS-Re-Exp'!$G:$G,'14.แผนรายรับรายจ่ายเงินบำรุงฯ'!A16,'6.WS-Re-Exp'!$C:$C)</f>
        <v>10540330.189999999</v>
      </c>
      <c r="F16" s="679">
        <f>SUM(E16+'10.WS-แผนบริหารจัดการลูกหนี้'!B11-'10.WS-แผนบริหารจัดการลูกหนี้'!H11)</f>
        <v>37900535.899999999</v>
      </c>
      <c r="G16" s="2093">
        <f>SUM(F16+'10.WS-แผนบริหารจัดการลูกหนี้'!C11-'10.WS-แผนบริหารจัดการลูกหนี้'!I11)</f>
        <v>47746754.899999999</v>
      </c>
      <c r="H16" s="679">
        <f t="shared" si="0"/>
        <v>47746754.899999999</v>
      </c>
      <c r="I16" s="679">
        <f t="shared" si="1"/>
        <v>100</v>
      </c>
      <c r="J16" s="700" t="s">
        <v>9254</v>
      </c>
      <c r="K16" s="700"/>
      <c r="L16" s="700"/>
      <c r="M16" s="109" t="s">
        <v>6337</v>
      </c>
    </row>
    <row r="17" spans="1:13" x14ac:dyDescent="0.7">
      <c r="A17" s="677" t="s">
        <v>6251</v>
      </c>
      <c r="B17" s="676" t="s">
        <v>17</v>
      </c>
      <c r="C17" s="676"/>
      <c r="D17" s="676"/>
      <c r="E17" s="678">
        <f>SUMIF('6.WS-Re-Exp'!$G:$G,'14.แผนรายรับรายจ่ายเงินบำรุงฯ'!A17,'6.WS-Re-Exp'!$C:$C)</f>
        <v>9109168.9199999999</v>
      </c>
      <c r="F17" s="679">
        <f>SUM(E17)</f>
        <v>9109168.9199999999</v>
      </c>
      <c r="G17" s="2093">
        <f>E17</f>
        <v>9109168.9199999999</v>
      </c>
      <c r="H17" s="679">
        <f t="shared" si="0"/>
        <v>9109168.9199999999</v>
      </c>
      <c r="I17" s="679">
        <f t="shared" si="1"/>
        <v>100</v>
      </c>
      <c r="J17" s="700" t="s">
        <v>9255</v>
      </c>
      <c r="K17" s="700"/>
      <c r="L17" s="700"/>
      <c r="M17" s="109" t="s">
        <v>6337</v>
      </c>
    </row>
    <row r="18" spans="1:13" x14ac:dyDescent="0.7">
      <c r="A18" s="677" t="s">
        <v>6252</v>
      </c>
      <c r="B18" s="676" t="s">
        <v>644</v>
      </c>
      <c r="C18" s="676"/>
      <c r="D18" s="676"/>
      <c r="E18" s="678">
        <f>SUMIF('6.WS-Re-Exp'!$G:$G,'14.แผนรายรับรายจ่ายเงินบำรุงฯ'!A18,'6.WS-Re-Exp'!$C:$C)</f>
        <v>13312250</v>
      </c>
      <c r="F18" s="679">
        <f>SUM(E18)</f>
        <v>13312250</v>
      </c>
      <c r="G18" s="2093">
        <f>SUM(F18)</f>
        <v>13312250</v>
      </c>
      <c r="H18" s="679">
        <f t="shared" si="0"/>
        <v>13312250</v>
      </c>
      <c r="I18" s="679">
        <f t="shared" si="1"/>
        <v>100</v>
      </c>
      <c r="J18" s="700" t="s">
        <v>9256</v>
      </c>
      <c r="K18" s="700"/>
      <c r="L18" s="700" t="s">
        <v>6587</v>
      </c>
    </row>
    <row r="19" spans="1:13" x14ac:dyDescent="0.7">
      <c r="A19" s="692" t="s">
        <v>6338</v>
      </c>
      <c r="B19" s="693"/>
      <c r="C19" s="690"/>
      <c r="D19" s="690"/>
      <c r="E19" s="680"/>
      <c r="F19" s="680">
        <f>SUM(F9:F18)</f>
        <v>98649423.749999985</v>
      </c>
      <c r="G19" s="2094">
        <f>SUM(G9:G18)</f>
        <v>130009765.20999999</v>
      </c>
      <c r="H19" s="680">
        <f t="shared" si="0"/>
        <v>130009765.20999999</v>
      </c>
      <c r="I19" s="680">
        <f t="shared" si="1"/>
        <v>100</v>
      </c>
      <c r="J19" s="701"/>
      <c r="K19" s="701"/>
      <c r="L19" s="701"/>
    </row>
    <row r="20" spans="1:13" ht="24.6" customHeight="1" x14ac:dyDescent="0.7">
      <c r="A20" s="792" t="s">
        <v>6565</v>
      </c>
      <c r="B20" s="793"/>
      <c r="C20" s="793"/>
      <c r="D20" s="793"/>
      <c r="E20" s="793"/>
      <c r="F20" s="793"/>
      <c r="G20" s="2092"/>
      <c r="H20" s="793"/>
      <c r="I20" s="794"/>
      <c r="J20" s="699"/>
      <c r="K20" s="699"/>
      <c r="L20" s="699"/>
    </row>
    <row r="21" spans="1:13" x14ac:dyDescent="0.7">
      <c r="A21" s="677" t="s">
        <v>6339</v>
      </c>
      <c r="B21" s="676" t="s">
        <v>6340</v>
      </c>
      <c r="C21" s="676"/>
      <c r="D21" s="676"/>
      <c r="E21" s="681"/>
      <c r="F21" s="682">
        <f>SUM('9.WS-แผนเจ้าหนี้การค้า'!I5)</f>
        <v>8494238.8854999989</v>
      </c>
      <c r="G21" s="2095">
        <f>'1.Planfin2566'!D50</f>
        <v>7589538.25</v>
      </c>
      <c r="H21" s="682">
        <f t="shared" si="0"/>
        <v>7589538.25</v>
      </c>
      <c r="I21" s="682">
        <f t="shared" ref="I21:I38" si="2">IFERROR((F21-D21)/F21*100,0)</f>
        <v>100</v>
      </c>
      <c r="J21" s="702" t="s">
        <v>9239</v>
      </c>
      <c r="K21" s="2109" t="s">
        <v>9248</v>
      </c>
      <c r="L21" s="702" t="s">
        <v>9232</v>
      </c>
      <c r="M21" s="6" t="s">
        <v>6341</v>
      </c>
    </row>
    <row r="22" spans="1:13" x14ac:dyDescent="0.7">
      <c r="A22" s="677" t="s">
        <v>6342</v>
      </c>
      <c r="B22" s="676" t="s">
        <v>6343</v>
      </c>
      <c r="C22" s="676"/>
      <c r="D22" s="676"/>
      <c r="E22" s="681"/>
      <c r="F22" s="682">
        <f>SUM('9.WS-แผนเจ้าหนี้การค้า'!I6)</f>
        <v>26000</v>
      </c>
      <c r="G22" s="2095">
        <f>'1.Planfin2566'!D51</f>
        <v>26000</v>
      </c>
      <c r="H22" s="682">
        <f t="shared" si="0"/>
        <v>26000</v>
      </c>
      <c r="I22" s="682">
        <f t="shared" si="2"/>
        <v>100</v>
      </c>
      <c r="J22" s="702" t="s">
        <v>9239</v>
      </c>
      <c r="K22" s="2109" t="s">
        <v>9248</v>
      </c>
      <c r="L22" s="702" t="s">
        <v>9232</v>
      </c>
      <c r="M22" s="6" t="s">
        <v>6341</v>
      </c>
    </row>
    <row r="23" spans="1:13" x14ac:dyDescent="0.7">
      <c r="A23" s="677" t="s">
        <v>6344</v>
      </c>
      <c r="B23" s="676" t="s">
        <v>6345</v>
      </c>
      <c r="C23" s="676"/>
      <c r="D23" s="676"/>
      <c r="E23" s="681"/>
      <c r="F23" s="682">
        <f>SUM('9.WS-แผนเจ้าหนี้การค้า'!I7)</f>
        <v>3631411.9454999999</v>
      </c>
      <c r="G23" s="2095">
        <f>'1.Planfin2566'!D52</f>
        <v>3230729.49</v>
      </c>
      <c r="H23" s="682">
        <f t="shared" si="0"/>
        <v>3230729.49</v>
      </c>
      <c r="I23" s="682">
        <f t="shared" si="2"/>
        <v>100</v>
      </c>
      <c r="J23" s="702" t="s">
        <v>9239</v>
      </c>
      <c r="K23" s="2109" t="s">
        <v>9248</v>
      </c>
      <c r="L23" s="702" t="s">
        <v>9232</v>
      </c>
      <c r="M23" s="6" t="s">
        <v>6341</v>
      </c>
    </row>
    <row r="24" spans="1:13" x14ac:dyDescent="0.7">
      <c r="A24" s="677" t="s">
        <v>6346</v>
      </c>
      <c r="B24" s="676" t="s">
        <v>6576</v>
      </c>
      <c r="C24" s="676"/>
      <c r="D24" s="676"/>
      <c r="E24" s="681"/>
      <c r="F24" s="682">
        <f>SUM('9.WS-แผนเจ้าหนี้การค้า'!I8)</f>
        <v>3372016.2420000001</v>
      </c>
      <c r="G24" s="2095">
        <f>'1.Planfin2566'!D53</f>
        <v>3195935</v>
      </c>
      <c r="H24" s="682">
        <f t="shared" si="0"/>
        <v>3195935</v>
      </c>
      <c r="I24" s="682">
        <f t="shared" si="2"/>
        <v>100</v>
      </c>
      <c r="J24" s="702" t="s">
        <v>9239</v>
      </c>
      <c r="K24" s="2109" t="s">
        <v>9248</v>
      </c>
      <c r="L24" s="702" t="s">
        <v>9232</v>
      </c>
      <c r="M24" s="6" t="s">
        <v>6341</v>
      </c>
    </row>
    <row r="25" spans="1:13" x14ac:dyDescent="0.7">
      <c r="A25" s="677" t="s">
        <v>6347</v>
      </c>
      <c r="B25" s="676" t="s">
        <v>6348</v>
      </c>
      <c r="C25" s="676"/>
      <c r="D25" s="676"/>
      <c r="E25" s="681"/>
      <c r="F25" s="682">
        <f>SUM('9.WS-แผนเจ้าหนี้การค้า'!I9)</f>
        <v>0</v>
      </c>
      <c r="G25" s="2095">
        <f>'1.Planfin2566'!D54</f>
        <v>0</v>
      </c>
      <c r="H25" s="682">
        <f t="shared" si="0"/>
        <v>0</v>
      </c>
      <c r="I25" s="682">
        <f t="shared" si="2"/>
        <v>0</v>
      </c>
      <c r="J25" s="702" t="s">
        <v>9239</v>
      </c>
      <c r="K25" s="2109" t="s">
        <v>9248</v>
      </c>
      <c r="L25" s="702" t="s">
        <v>9232</v>
      </c>
      <c r="M25" s="6" t="s">
        <v>6341</v>
      </c>
    </row>
    <row r="26" spans="1:13" x14ac:dyDescent="0.7">
      <c r="A26" s="677" t="s">
        <v>6349</v>
      </c>
      <c r="B26" s="676" t="s">
        <v>6350</v>
      </c>
      <c r="C26" s="676"/>
      <c r="D26" s="676"/>
      <c r="E26" s="681"/>
      <c r="F26" s="682">
        <f>SUM('9.WS-แผนเจ้าหนี้การค้า'!I10)</f>
        <v>598529.22779999999</v>
      </c>
      <c r="G26" s="2095">
        <f>'1.Planfin2566'!D55</f>
        <v>500067.41</v>
      </c>
      <c r="H26" s="682">
        <f t="shared" si="0"/>
        <v>500067.41</v>
      </c>
      <c r="I26" s="682">
        <f t="shared" si="2"/>
        <v>100</v>
      </c>
      <c r="J26" s="702" t="s">
        <v>9239</v>
      </c>
      <c r="K26" s="2109" t="s">
        <v>9248</v>
      </c>
      <c r="L26" s="702" t="s">
        <v>9232</v>
      </c>
      <c r="M26" s="6" t="s">
        <v>6341</v>
      </c>
    </row>
    <row r="27" spans="1:13" x14ac:dyDescent="0.7">
      <c r="A27" s="677" t="s">
        <v>6253</v>
      </c>
      <c r="B27" s="683" t="s">
        <v>658</v>
      </c>
      <c r="C27" s="683"/>
      <c r="D27" s="683"/>
      <c r="E27" s="678">
        <f>SUMIF('6.WS-Re-Exp'!$G:$G,'14.แผนรายรับรายจ่ายเงินบำรุงฯ'!A27,'6.WS-Re-Exp'!$C:$C)</f>
        <v>7725600</v>
      </c>
      <c r="F27" s="679">
        <f>SUM(E27+'9.WS-แผนเจ้าหนี้การค้า'!C12-'9.WS-แผนเจ้าหนี้การค้า'!K12)</f>
        <v>7725600</v>
      </c>
      <c r="G27" s="2093">
        <f>E27+'9.WS-แผนเจ้าหนี้การค้า'!C12</f>
        <v>7725600</v>
      </c>
      <c r="H27" s="679">
        <f t="shared" si="0"/>
        <v>7725600</v>
      </c>
      <c r="I27" s="679">
        <f t="shared" si="2"/>
        <v>100</v>
      </c>
      <c r="J27" s="700" t="s">
        <v>9234</v>
      </c>
      <c r="K27" s="700"/>
      <c r="L27" s="700" t="s">
        <v>9233</v>
      </c>
      <c r="M27" s="109" t="s">
        <v>6351</v>
      </c>
    </row>
    <row r="28" spans="1:13" x14ac:dyDescent="0.7">
      <c r="A28" s="677" t="s">
        <v>6254</v>
      </c>
      <c r="B28" s="676" t="s">
        <v>30</v>
      </c>
      <c r="C28" s="676"/>
      <c r="D28" s="676"/>
      <c r="E28" s="678">
        <f>SUMIF('6.WS-Re-Exp'!$G:$G,'14.แผนรายรับรายจ่ายเงินบำรุงฯ'!A28,'6.WS-Re-Exp'!$C:$C)</f>
        <v>16113941.050000001</v>
      </c>
      <c r="F28" s="679">
        <f>SUM(E28+'9.WS-แผนเจ้าหนี้การค้า'!C13-'9.WS-แผนเจ้าหนี้การค้า'!K13)</f>
        <v>17234916.550600003</v>
      </c>
      <c r="G28" s="2093">
        <f>E28+'9.WS-แผนเจ้าหนี้การค้า'!C13</f>
        <v>17641491.100000001</v>
      </c>
      <c r="H28" s="679">
        <f t="shared" si="0"/>
        <v>17641491.100000001</v>
      </c>
      <c r="I28" s="679">
        <f t="shared" si="2"/>
        <v>100</v>
      </c>
      <c r="J28" s="700" t="s">
        <v>9235</v>
      </c>
      <c r="K28" s="700"/>
      <c r="L28" s="700"/>
      <c r="M28" s="109" t="s">
        <v>6351</v>
      </c>
    </row>
    <row r="29" spans="1:13" x14ac:dyDescent="0.7">
      <c r="A29" s="677" t="s">
        <v>6255</v>
      </c>
      <c r="B29" s="676" t="s">
        <v>32</v>
      </c>
      <c r="C29" s="676"/>
      <c r="D29" s="676"/>
      <c r="E29" s="678">
        <f>SUMIF('6.WS-Re-Exp'!$G:$G,'14.แผนรายรับรายจ่ายเงินบำรุงฯ'!A29,'6.WS-Re-Exp'!$C:$C)</f>
        <v>685524</v>
      </c>
      <c r="F29" s="679">
        <f>SUM(E29+'9.WS-แผนเจ้าหนี้การค้า'!C14-'9.WS-แผนเจ้าหนี้การค้า'!K14)</f>
        <v>659163.97160000005</v>
      </c>
      <c r="G29" s="2093">
        <f>E29+'9.WS-แผนเจ้าหนี้การค้า'!C14</f>
        <v>685524</v>
      </c>
      <c r="H29" s="679">
        <f t="shared" si="0"/>
        <v>685524</v>
      </c>
      <c r="I29" s="679">
        <f t="shared" si="2"/>
        <v>100</v>
      </c>
      <c r="J29" s="700" t="s">
        <v>9237</v>
      </c>
      <c r="K29" s="700"/>
      <c r="L29" s="700"/>
      <c r="M29" s="109" t="s">
        <v>6351</v>
      </c>
    </row>
    <row r="30" spans="1:13" x14ac:dyDescent="0.7">
      <c r="A30" s="677" t="s">
        <v>6256</v>
      </c>
      <c r="B30" s="676" t="s">
        <v>34</v>
      </c>
      <c r="C30" s="676"/>
      <c r="D30" s="676"/>
      <c r="E30" s="678">
        <f>SUMIF('6.WS-Re-Exp'!$G:$G,'14.แผนรายรับรายจ่ายเงินบำรุงฯ'!A30,'6.WS-Re-Exp'!$C:$C)</f>
        <v>8755697.6500000004</v>
      </c>
      <c r="F30" s="679">
        <f>SUM(E30)</f>
        <v>8755697.6500000004</v>
      </c>
      <c r="G30" s="2093">
        <f>E30</f>
        <v>8755697.6500000004</v>
      </c>
      <c r="H30" s="678">
        <f>SUMIF('6.WS-Re-Exp'!$G:$G,'14.แผนรายรับรายจ่ายเงินบำรุงฯ'!D30,'6.WS-Re-Exp'!$C:$C)</f>
        <v>67040114.570000008</v>
      </c>
      <c r="I30" s="679">
        <f t="shared" si="2"/>
        <v>100</v>
      </c>
      <c r="J30" s="700" t="s">
        <v>9236</v>
      </c>
      <c r="K30" s="700"/>
      <c r="L30" s="700"/>
      <c r="M30" s="109"/>
    </row>
    <row r="31" spans="1:13" x14ac:dyDescent="0.7">
      <c r="A31" s="677" t="s">
        <v>6257</v>
      </c>
      <c r="B31" s="676" t="s">
        <v>36</v>
      </c>
      <c r="C31" s="676"/>
      <c r="D31" s="676"/>
      <c r="E31" s="678">
        <f>SUMIF('6.WS-Re-Exp'!$G:$G,'14.แผนรายรับรายจ่ายเงินบำรุงฯ'!A31,'6.WS-Re-Exp'!$C:$C)</f>
        <v>1434000</v>
      </c>
      <c r="F31" s="679">
        <f>SUM(E31+'9.WS-แผนเจ้าหนี้การค้า'!C16-'9.WS-แผนเจ้าหนี้การค้า'!K16)</f>
        <v>1423418.003</v>
      </c>
      <c r="G31" s="2093">
        <f>'1.Planfin2566'!G27+'9.WS-แผนเจ้าหนี้การค้า'!C16</f>
        <v>1452467.35</v>
      </c>
      <c r="H31" s="679">
        <f t="shared" si="0"/>
        <v>1452467.35</v>
      </c>
      <c r="I31" s="679">
        <f t="shared" si="2"/>
        <v>100</v>
      </c>
      <c r="J31" s="700" t="s">
        <v>9238</v>
      </c>
      <c r="K31" s="700"/>
      <c r="L31" s="700"/>
      <c r="M31" s="109" t="s">
        <v>6351</v>
      </c>
    </row>
    <row r="32" spans="1:13" x14ac:dyDescent="0.7">
      <c r="A32" s="677" t="s">
        <v>6352</v>
      </c>
      <c r="B32" s="676" t="s">
        <v>6523</v>
      </c>
      <c r="C32" s="676"/>
      <c r="D32" s="676"/>
      <c r="E32" s="681"/>
      <c r="F32" s="679">
        <f>SUM('9.WS-แผนเจ้าหนี้การค้า'!I18)</f>
        <v>3690496.9947999995</v>
      </c>
      <c r="G32" s="2093">
        <f>'1.Planfin2566'!D71</f>
        <v>3367185.8</v>
      </c>
      <c r="H32" s="679">
        <f t="shared" si="0"/>
        <v>3367185.8</v>
      </c>
      <c r="I32" s="679">
        <f t="shared" si="2"/>
        <v>100</v>
      </c>
      <c r="J32" s="700" t="s">
        <v>9240</v>
      </c>
      <c r="K32" s="700"/>
      <c r="L32" s="702" t="s">
        <v>9232</v>
      </c>
      <c r="M32" s="6" t="s">
        <v>6341</v>
      </c>
    </row>
    <row r="33" spans="1:13" x14ac:dyDescent="0.7">
      <c r="A33" s="677" t="s">
        <v>6258</v>
      </c>
      <c r="B33" s="676" t="s">
        <v>42</v>
      </c>
      <c r="C33" s="676"/>
      <c r="D33" s="676"/>
      <c r="E33" s="678">
        <f>SUMIF('6.WS-Re-Exp'!$G:$G,'14.แผนรายรับรายจ่ายเงินบำรุงฯ'!A33,'6.WS-Re-Exp'!$C:$C)</f>
        <v>7328203</v>
      </c>
      <c r="F33" s="679">
        <f>SUM(E33)</f>
        <v>7328203</v>
      </c>
      <c r="G33" s="2093">
        <f>E33</f>
        <v>7328203</v>
      </c>
      <c r="H33" s="679">
        <f>E33</f>
        <v>7328203</v>
      </c>
      <c r="I33" s="679">
        <f t="shared" si="2"/>
        <v>100</v>
      </c>
      <c r="J33" s="700" t="s">
        <v>9245</v>
      </c>
      <c r="K33" s="700"/>
      <c r="L33" s="700"/>
    </row>
    <row r="34" spans="1:13" x14ac:dyDescent="0.7">
      <c r="A34" s="677" t="s">
        <v>6353</v>
      </c>
      <c r="B34" s="676" t="s">
        <v>6578</v>
      </c>
      <c r="C34" s="676"/>
      <c r="D34" s="676"/>
      <c r="E34" s="681"/>
      <c r="F34" s="679">
        <f>SUM('9.WS-แผนเจ้าหนี้การค้า'!I17)</f>
        <v>13197194.5</v>
      </c>
      <c r="G34" s="2093">
        <f>'9.WS-แผนเจ้าหนี้การค้า'!C17+'9.WS-แผนเจ้าหนี้การค้า'!E17</f>
        <v>13466525</v>
      </c>
      <c r="H34" s="679">
        <f t="shared" si="0"/>
        <v>13466525</v>
      </c>
      <c r="I34" s="679">
        <f t="shared" si="2"/>
        <v>100</v>
      </c>
      <c r="J34" s="700" t="s">
        <v>9246</v>
      </c>
      <c r="K34" s="700"/>
      <c r="L34" s="700"/>
      <c r="M34" s="6" t="s">
        <v>6341</v>
      </c>
    </row>
    <row r="35" spans="1:13" x14ac:dyDescent="0.7">
      <c r="A35" s="677" t="s">
        <v>6579</v>
      </c>
      <c r="B35" s="687" t="s">
        <v>6577</v>
      </c>
      <c r="C35" s="684"/>
      <c r="D35" s="684"/>
      <c r="E35" s="681"/>
      <c r="F35" s="679">
        <f>'11.WS-แผนลงทุน'!G6</f>
        <v>0</v>
      </c>
      <c r="G35" s="2093">
        <f>'11.WS-แผนลงทุน'!G6</f>
        <v>0</v>
      </c>
      <c r="H35" s="679">
        <f t="shared" si="0"/>
        <v>0</v>
      </c>
      <c r="I35" s="679">
        <f t="shared" si="2"/>
        <v>0</v>
      </c>
      <c r="J35" s="700" t="s">
        <v>9244</v>
      </c>
      <c r="K35" s="700" t="s">
        <v>7343</v>
      </c>
      <c r="L35" s="700"/>
      <c r="M35" s="6" t="s">
        <v>6522</v>
      </c>
    </row>
    <row r="36" spans="1:13" x14ac:dyDescent="0.7">
      <c r="A36" s="677" t="s">
        <v>9243</v>
      </c>
      <c r="B36" s="2103" t="s">
        <v>9241</v>
      </c>
      <c r="C36" s="2104"/>
      <c r="D36" s="2104"/>
      <c r="E36" s="678">
        <f>SUMIF('6.WS-Re-Exp'!$G:$G,'14.แผนรายรับรายจ่ายเงินบำรุงฯ'!A36,'6.WS-Re-Exp'!$C:$C)</f>
        <v>1000</v>
      </c>
      <c r="F36" s="678">
        <f>SUMIF('6.WS-Re-Exp'!$G:$G,'14.แผนรายรับรายจ่ายเงินบำรุงฯ'!B36,'6.WS-Re-Exp'!$C:$C)</f>
        <v>0</v>
      </c>
      <c r="G36" s="2093">
        <f>E36</f>
        <v>1000</v>
      </c>
      <c r="H36" s="679">
        <f t="shared" ref="H36" si="3">G36-D36</f>
        <v>1000</v>
      </c>
      <c r="I36" s="679">
        <f t="shared" ref="I36" si="4">IFERROR((F36-D36)/F36*100,0)</f>
        <v>0</v>
      </c>
      <c r="J36" s="2108" t="s">
        <v>9247</v>
      </c>
      <c r="K36" s="2105"/>
      <c r="L36" s="2105"/>
    </row>
    <row r="37" spans="1:13" x14ac:dyDescent="0.7">
      <c r="A37" s="798" t="s">
        <v>6354</v>
      </c>
      <c r="B37" s="798"/>
      <c r="C37" s="691"/>
      <c r="D37" s="691"/>
      <c r="E37" s="680"/>
      <c r="F37" s="680">
        <f>SUM(F21:F35)</f>
        <v>76136886.970800012</v>
      </c>
      <c r="G37" s="680">
        <f>SUM(G21:G35)</f>
        <v>74964964.049999997</v>
      </c>
      <c r="H37" s="680">
        <f t="shared" si="0"/>
        <v>74964964.049999997</v>
      </c>
      <c r="I37" s="680">
        <f t="shared" si="2"/>
        <v>100</v>
      </c>
      <c r="J37" s="701"/>
      <c r="K37" s="701"/>
      <c r="L37" s="701"/>
    </row>
    <row r="38" spans="1:13" x14ac:dyDescent="0.7">
      <c r="A38" s="799" t="s">
        <v>6355</v>
      </c>
      <c r="B38" s="799"/>
      <c r="C38" s="688"/>
      <c r="D38" s="688"/>
      <c r="E38" s="688"/>
      <c r="F38" s="689">
        <f>SUM(F19-F37)</f>
        <v>22512536.779199973</v>
      </c>
      <c r="G38" s="689">
        <f>SUM(G19-G37)</f>
        <v>55044801.159999996</v>
      </c>
      <c r="H38" s="689">
        <f t="shared" si="0"/>
        <v>55044801.159999996</v>
      </c>
      <c r="I38" s="689">
        <f t="shared" si="2"/>
        <v>100</v>
      </c>
      <c r="J38" s="703"/>
      <c r="K38" s="703"/>
      <c r="L38" s="703"/>
    </row>
    <row r="39" spans="1:13" x14ac:dyDescent="0.7">
      <c r="A39" s="791" t="s">
        <v>6356</v>
      </c>
      <c r="B39" s="791"/>
      <c r="C39" s="685"/>
      <c r="D39" s="685"/>
      <c r="E39" s="685"/>
      <c r="F39" s="682">
        <f>SUM('1.Planfin2566'!D45)</f>
        <v>67367703.770000011</v>
      </c>
      <c r="G39" s="159"/>
      <c r="H39" s="166"/>
      <c r="I39" s="166"/>
      <c r="J39" s="694"/>
      <c r="K39" s="694"/>
      <c r="L39" s="694"/>
    </row>
    <row r="40" spans="1:13" x14ac:dyDescent="0.7">
      <c r="A40" s="791" t="s">
        <v>6357</v>
      </c>
      <c r="B40" s="791"/>
      <c r="C40" s="685"/>
      <c r="D40" s="685"/>
      <c r="E40" s="685"/>
      <c r="F40" s="679">
        <f>SUM(F38+F39)</f>
        <v>89880240.549199983</v>
      </c>
      <c r="G40" s="2096"/>
      <c r="H40" s="541"/>
      <c r="I40" s="541"/>
      <c r="J40" s="695"/>
      <c r="K40" s="695"/>
      <c r="L40" s="695"/>
    </row>
    <row r="41" spans="1:13" x14ac:dyDescent="0.7">
      <c r="A41" s="685" t="s">
        <v>6282</v>
      </c>
      <c r="B41" s="685" t="s">
        <v>6580</v>
      </c>
      <c r="C41" s="686"/>
      <c r="D41" s="686"/>
      <c r="E41" s="685"/>
      <c r="F41" s="679">
        <f>IFERROR(INDEX(กศภ_Q365!$159:$159,MATCH('1.Planfin2566'!$G$2,กศภ_Q365!$41:$41,0)),0)</f>
        <v>-1635002.07</v>
      </c>
      <c r="G41" s="2096"/>
      <c r="H41" s="541"/>
      <c r="I41" s="541"/>
      <c r="J41" s="695"/>
      <c r="K41" s="695"/>
      <c r="L41" s="695"/>
    </row>
    <row r="42" spans="1:13" x14ac:dyDescent="0.7">
      <c r="A42" s="685" t="s">
        <v>6283</v>
      </c>
      <c r="B42" s="685" t="s">
        <v>6581</v>
      </c>
      <c r="C42" s="686"/>
      <c r="D42" s="686"/>
      <c r="E42" s="685"/>
      <c r="F42" s="679">
        <f>IFERROR(INDEX(กศภ_Q365!$160:$160,MATCH('1.Planfin2566'!$G$2,กศภ_Q365!$41:$41,0)),0)</f>
        <v>-706376.2</v>
      </c>
      <c r="G42" s="2096"/>
      <c r="H42" s="541"/>
      <c r="I42" s="541"/>
      <c r="J42" s="695"/>
      <c r="K42" s="695"/>
      <c r="L42" s="695"/>
    </row>
    <row r="43" spans="1:13" x14ac:dyDescent="0.7">
      <c r="A43" s="685" t="s">
        <v>6284</v>
      </c>
      <c r="B43" s="685" t="s">
        <v>6582</v>
      </c>
      <c r="C43" s="686"/>
      <c r="D43" s="686"/>
      <c r="E43" s="685"/>
      <c r="F43" s="679">
        <f>IFERROR(INDEX(กศภ_Q365!$161:$161,MATCH('1.Planfin2566'!$G$2,กศภ_Q365!$41:$41,0)),0)</f>
        <v>0</v>
      </c>
      <c r="G43" s="2096"/>
      <c r="H43" s="541"/>
      <c r="I43" s="541"/>
      <c r="J43" s="695"/>
      <c r="K43" s="695"/>
      <c r="L43" s="695"/>
    </row>
    <row r="44" spans="1:13" x14ac:dyDescent="0.7">
      <c r="A44" s="685" t="s">
        <v>6285</v>
      </c>
      <c r="B44" s="685" t="s">
        <v>6583</v>
      </c>
      <c r="C44" s="686"/>
      <c r="D44" s="686"/>
      <c r="E44" s="685"/>
      <c r="F44" s="679">
        <f>IFERROR(INDEX(กศภ_Q365!$162:$162,MATCH('1.Planfin2566'!$G$2,กศภ_Q365!$41:$41,0)),0)</f>
        <v>-9202759.5</v>
      </c>
      <c r="G44" s="2096"/>
      <c r="H44" s="541"/>
      <c r="I44" s="541"/>
      <c r="J44" s="695"/>
      <c r="K44" s="695"/>
      <c r="L44" s="695"/>
    </row>
    <row r="45" spans="1:13" x14ac:dyDescent="0.7">
      <c r="A45" s="685"/>
      <c r="B45" s="685" t="s">
        <v>6358</v>
      </c>
      <c r="C45" s="685"/>
      <c r="D45" s="685"/>
      <c r="E45" s="685"/>
      <c r="F45" s="679">
        <f>SUM(F40:F44)</f>
        <v>78336102.779199988</v>
      </c>
      <c r="G45" s="2096"/>
      <c r="H45" s="541"/>
      <c r="I45" s="541"/>
      <c r="J45" s="695"/>
      <c r="K45" s="695"/>
      <c r="L45" s="695"/>
    </row>
    <row r="46" spans="1:13" x14ac:dyDescent="0.7">
      <c r="A46" s="167"/>
      <c r="B46" s="167"/>
      <c r="F46" s="541"/>
      <c r="G46" s="541"/>
      <c r="H46" s="541"/>
      <c r="I46" s="541"/>
      <c r="J46" s="695"/>
      <c r="K46" s="695"/>
      <c r="L46" s="695"/>
    </row>
    <row r="47" spans="1:13" x14ac:dyDescent="0.7">
      <c r="F47" s="541"/>
      <c r="G47" s="541"/>
      <c r="H47" s="541"/>
      <c r="I47" s="541"/>
      <c r="J47" s="695"/>
      <c r="K47" s="695"/>
      <c r="L47" s="695"/>
    </row>
    <row r="48" spans="1:13" x14ac:dyDescent="0.7">
      <c r="F48" s="541"/>
      <c r="G48" s="541"/>
      <c r="H48" s="541"/>
      <c r="I48" s="541"/>
      <c r="J48" s="695"/>
      <c r="K48" s="695"/>
      <c r="L48" s="695"/>
    </row>
    <row r="49" spans="2:19" x14ac:dyDescent="0.7">
      <c r="B49" s="96" t="s">
        <v>6573</v>
      </c>
      <c r="E49" s="6"/>
      <c r="F49" s="696" t="s">
        <v>6574</v>
      </c>
      <c r="G49" s="696"/>
      <c r="H49" s="697"/>
      <c r="I49" s="698"/>
      <c r="J49" s="6"/>
      <c r="K49" s="6"/>
      <c r="L49" s="6"/>
      <c r="Q49" s="6"/>
      <c r="R49" s="6"/>
      <c r="S49" s="6"/>
    </row>
    <row r="50" spans="2:19" x14ac:dyDescent="0.7">
      <c r="B50" s="96" t="s">
        <v>6588</v>
      </c>
      <c r="F50" s="790" t="s">
        <v>6589</v>
      </c>
      <c r="G50" s="790"/>
      <c r="H50" s="790"/>
      <c r="I50" s="541"/>
      <c r="J50" s="695"/>
      <c r="K50" s="695"/>
      <c r="L50" s="695"/>
    </row>
  </sheetData>
  <mergeCells count="19">
    <mergeCell ref="M6:M7"/>
    <mergeCell ref="B1:I1"/>
    <mergeCell ref="B3:I3"/>
    <mergeCell ref="B2:I2"/>
    <mergeCell ref="B4:I4"/>
    <mergeCell ref="A37:B37"/>
    <mergeCell ref="A6:B7"/>
    <mergeCell ref="F6:F7"/>
    <mergeCell ref="E6:E7"/>
    <mergeCell ref="G6:G7"/>
    <mergeCell ref="L6:L7"/>
    <mergeCell ref="F50:H50"/>
    <mergeCell ref="A39:B39"/>
    <mergeCell ref="A40:B40"/>
    <mergeCell ref="A8:I8"/>
    <mergeCell ref="A20:I20"/>
    <mergeCell ref="H6:I6"/>
    <mergeCell ref="A38:B38"/>
    <mergeCell ref="J6:K6"/>
  </mergeCells>
  <phoneticPr fontId="64" type="noConversion"/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80" zoomScaleNormal="80" workbookViewId="0">
      <pane xSplit="2" ySplit="4" topLeftCell="L5" activePane="bottomRight" state="frozen"/>
      <selection pane="topRight" activeCell="B1" sqref="B1"/>
      <selection pane="bottomLeft" activeCell="A3" sqref="A3"/>
      <selection pane="bottomRight" activeCell="R6" sqref="R6:R11"/>
    </sheetView>
  </sheetViews>
  <sheetFormatPr defaultColWidth="9" defaultRowHeight="24.6" x14ac:dyDescent="0.7"/>
  <cols>
    <col min="1" max="1" width="16.09765625" style="6" bestFit="1" customWidth="1"/>
    <col min="2" max="2" width="45.3984375" style="6" customWidth="1"/>
    <col min="3" max="3" width="17.796875" style="6" customWidth="1"/>
    <col min="4" max="4" width="19.09765625" style="6" customWidth="1"/>
    <col min="5" max="5" width="17.69921875" style="6" customWidth="1"/>
    <col min="6" max="8" width="19.3984375" style="6" customWidth="1"/>
    <col min="9" max="9" width="26.69921875" style="6" bestFit="1" customWidth="1"/>
    <col min="10" max="10" width="21.796875" style="6" customWidth="1"/>
    <col min="11" max="11" width="21.296875" style="6" customWidth="1"/>
    <col min="12" max="12" width="20.796875" style="6" customWidth="1"/>
    <col min="13" max="13" width="19.3984375" style="6" customWidth="1"/>
    <col min="14" max="14" width="31.3984375" style="6" customWidth="1"/>
    <col min="15" max="15" width="14.59765625" style="6" customWidth="1"/>
    <col min="16" max="16" width="17.19921875" style="6" customWidth="1"/>
    <col min="17" max="17" width="13.8984375" style="6" customWidth="1"/>
    <col min="18" max="18" width="19.3984375" style="6" customWidth="1"/>
    <col min="19" max="16384" width="9" style="6"/>
  </cols>
  <sheetData>
    <row r="1" spans="1:18" ht="27" customHeight="1" x14ac:dyDescent="0.7">
      <c r="B1" s="713" t="s">
        <v>654</v>
      </c>
      <c r="C1" s="713"/>
      <c r="D1" s="713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8" s="131" customFormat="1" ht="27.6" customHeight="1" x14ac:dyDescent="0.75">
      <c r="B2" s="339"/>
      <c r="C2" s="339" t="s">
        <v>1033</v>
      </c>
      <c r="D2" s="339" t="s">
        <v>1043</v>
      </c>
      <c r="E2" s="339" t="s">
        <v>1035</v>
      </c>
      <c r="F2" s="339" t="s">
        <v>1036</v>
      </c>
      <c r="G2" s="339" t="s">
        <v>1030</v>
      </c>
      <c r="H2" s="339" t="s">
        <v>1032</v>
      </c>
      <c r="I2" s="339" t="s">
        <v>1159</v>
      </c>
      <c r="J2" s="339" t="s">
        <v>1156</v>
      </c>
      <c r="K2" s="339" t="s">
        <v>1045</v>
      </c>
      <c r="L2" s="339" t="s">
        <v>1046</v>
      </c>
      <c r="M2" s="339" t="s">
        <v>1157</v>
      </c>
      <c r="N2" s="348" t="s">
        <v>6296</v>
      </c>
      <c r="O2" s="339" t="s">
        <v>1158</v>
      </c>
      <c r="P2" s="339" t="s">
        <v>2201</v>
      </c>
      <c r="Q2" s="339" t="s">
        <v>5998</v>
      </c>
      <c r="R2" s="339" t="s">
        <v>5999</v>
      </c>
    </row>
    <row r="3" spans="1:18" s="347" customFormat="1" ht="42" x14ac:dyDescent="0.25">
      <c r="B3" s="104"/>
      <c r="C3" s="714" t="s">
        <v>1152</v>
      </c>
      <c r="D3" s="714"/>
      <c r="E3" s="714"/>
      <c r="F3" s="715" t="s">
        <v>1153</v>
      </c>
      <c r="G3" s="715"/>
      <c r="H3" s="715"/>
      <c r="I3" s="104"/>
      <c r="J3" s="104" t="s">
        <v>6295</v>
      </c>
      <c r="K3" s="104" t="s">
        <v>6291</v>
      </c>
      <c r="L3" s="104"/>
      <c r="M3" s="104"/>
      <c r="N3" s="104"/>
      <c r="O3" s="104"/>
      <c r="P3" s="388"/>
      <c r="Q3" s="388"/>
    </row>
    <row r="4" spans="1:18" s="1" customFormat="1" ht="49.2" x14ac:dyDescent="0.7">
      <c r="B4" s="717" t="s">
        <v>682</v>
      </c>
      <c r="C4" s="719" t="s">
        <v>5856</v>
      </c>
      <c r="D4" s="719" t="s">
        <v>685</v>
      </c>
      <c r="E4" s="719" t="s">
        <v>1137</v>
      </c>
      <c r="F4" s="721" t="s">
        <v>5856</v>
      </c>
      <c r="G4" s="721" t="s">
        <v>685</v>
      </c>
      <c r="H4" s="721" t="s">
        <v>1137</v>
      </c>
      <c r="I4" s="723" t="s">
        <v>5936</v>
      </c>
      <c r="J4" s="725" t="s">
        <v>6398</v>
      </c>
      <c r="K4" s="725" t="s">
        <v>6397</v>
      </c>
      <c r="L4" s="725" t="s">
        <v>6396</v>
      </c>
      <c r="M4" s="723" t="s">
        <v>6395</v>
      </c>
      <c r="N4" s="727" t="s">
        <v>6394</v>
      </c>
      <c r="O4" s="729" t="s">
        <v>6393</v>
      </c>
      <c r="P4" s="730"/>
      <c r="Q4" s="730"/>
      <c r="R4" s="191" t="s">
        <v>6392</v>
      </c>
    </row>
    <row r="5" spans="1:18" s="1" customFormat="1" ht="20.399999999999999" customHeight="1" x14ac:dyDescent="0.7">
      <c r="B5" s="718"/>
      <c r="C5" s="720"/>
      <c r="D5" s="720"/>
      <c r="E5" s="720"/>
      <c r="F5" s="722"/>
      <c r="G5" s="722"/>
      <c r="H5" s="722"/>
      <c r="I5" s="724"/>
      <c r="J5" s="726"/>
      <c r="K5" s="726"/>
      <c r="L5" s="726"/>
      <c r="M5" s="724"/>
      <c r="N5" s="728"/>
      <c r="O5" s="392" t="s">
        <v>5953</v>
      </c>
      <c r="P5" s="393" t="s">
        <v>5954</v>
      </c>
      <c r="Q5" s="416" t="s">
        <v>622</v>
      </c>
      <c r="R5" s="389"/>
    </row>
    <row r="6" spans="1:18" s="1" customFormat="1" x14ac:dyDescent="0.7">
      <c r="A6" s="296" t="s">
        <v>214</v>
      </c>
      <c r="B6" s="100" t="s">
        <v>5992</v>
      </c>
      <c r="C6" s="847">
        <v>5291061.2300000004</v>
      </c>
      <c r="D6" s="495">
        <v>5006018.9400000004</v>
      </c>
      <c r="E6" s="495">
        <v>5323462.5599999996</v>
      </c>
      <c r="F6" s="496">
        <v>6535106.8599999994</v>
      </c>
      <c r="G6" s="496"/>
      <c r="H6" s="496"/>
      <c r="I6" s="497"/>
      <c r="J6" s="498">
        <v>6043774.1799999997</v>
      </c>
      <c r="K6" s="499">
        <v>0</v>
      </c>
      <c r="L6" s="498">
        <v>1415549.27</v>
      </c>
      <c r="M6" s="500">
        <v>0</v>
      </c>
      <c r="N6" s="501">
        <v>1790924.22</v>
      </c>
      <c r="O6" s="502"/>
      <c r="P6" s="502">
        <v>7589538.25</v>
      </c>
      <c r="Q6" s="502">
        <f>SUM(O6:P6)</f>
        <v>7589538.25</v>
      </c>
      <c r="R6" s="503">
        <v>717679.35</v>
      </c>
    </row>
    <row r="7" spans="1:18" s="1" customFormat="1" x14ac:dyDescent="0.7">
      <c r="A7" s="296" t="s">
        <v>216</v>
      </c>
      <c r="B7" s="100" t="s">
        <v>5993</v>
      </c>
      <c r="C7" s="495">
        <v>1600</v>
      </c>
      <c r="D7" s="495">
        <v>1440</v>
      </c>
      <c r="E7" s="495">
        <v>787.5</v>
      </c>
      <c r="F7" s="496">
        <v>0</v>
      </c>
      <c r="G7" s="496"/>
      <c r="H7" s="496"/>
      <c r="I7" s="497"/>
      <c r="J7" s="498">
        <v>0</v>
      </c>
      <c r="K7" s="499">
        <v>0</v>
      </c>
      <c r="L7" s="498">
        <v>14025.899999999998</v>
      </c>
      <c r="M7" s="500">
        <v>0</v>
      </c>
      <c r="N7" s="501">
        <v>0</v>
      </c>
      <c r="O7" s="502"/>
      <c r="P7" s="502">
        <v>26000</v>
      </c>
      <c r="Q7" s="502">
        <f t="shared" ref="Q7:Q11" si="0">SUM(O7:P7)</f>
        <v>26000</v>
      </c>
      <c r="R7" s="503"/>
    </row>
    <row r="8" spans="1:18" s="1" customFormat="1" x14ac:dyDescent="0.7">
      <c r="A8" s="296" t="s">
        <v>218</v>
      </c>
      <c r="B8" s="100" t="s">
        <v>5994</v>
      </c>
      <c r="C8" s="495">
        <v>1469938.35</v>
      </c>
      <c r="D8" s="495">
        <v>1998056.52</v>
      </c>
      <c r="E8" s="495">
        <v>2116766.5</v>
      </c>
      <c r="F8" s="496">
        <v>3052254.48</v>
      </c>
      <c r="G8" s="496"/>
      <c r="H8" s="496"/>
      <c r="I8" s="497">
        <v>350893.6</v>
      </c>
      <c r="J8" s="498">
        <v>2873604.7500000005</v>
      </c>
      <c r="K8" s="499">
        <v>0</v>
      </c>
      <c r="L8" s="498">
        <v>428054.14999999997</v>
      </c>
      <c r="M8" s="500">
        <v>0</v>
      </c>
      <c r="N8" s="501">
        <v>973649.21</v>
      </c>
      <c r="O8" s="502"/>
      <c r="P8" s="502">
        <v>3230729.49</v>
      </c>
      <c r="Q8" s="502">
        <f t="shared" si="0"/>
        <v>3230729.49</v>
      </c>
      <c r="R8" s="503">
        <v>479580</v>
      </c>
    </row>
    <row r="9" spans="1:18" ht="23.4" customHeight="1" x14ac:dyDescent="0.7">
      <c r="A9" s="296" t="s">
        <v>221</v>
      </c>
      <c r="B9" s="100" t="s">
        <v>5995</v>
      </c>
      <c r="C9" s="848">
        <v>1472330.38</v>
      </c>
      <c r="D9" s="226">
        <v>1909212.28</v>
      </c>
      <c r="E9" s="226">
        <v>1629531</v>
      </c>
      <c r="F9" s="227">
        <v>2604839.7999999998</v>
      </c>
      <c r="G9" s="228"/>
      <c r="H9" s="228"/>
      <c r="I9" s="497"/>
      <c r="J9" s="498">
        <v>2528150.5500000003</v>
      </c>
      <c r="K9" s="229">
        <v>0</v>
      </c>
      <c r="L9" s="229">
        <v>712353.55</v>
      </c>
      <c r="M9" s="230">
        <v>0</v>
      </c>
      <c r="N9" s="501">
        <v>353690.75</v>
      </c>
      <c r="O9" s="494"/>
      <c r="P9" s="494">
        <v>3195935</v>
      </c>
      <c r="Q9" s="502">
        <f t="shared" si="0"/>
        <v>3195935</v>
      </c>
      <c r="R9" s="441"/>
    </row>
    <row r="10" spans="1:18" x14ac:dyDescent="0.7">
      <c r="A10" s="296" t="s">
        <v>799</v>
      </c>
      <c r="B10" s="87" t="s">
        <v>5996</v>
      </c>
      <c r="C10" s="226">
        <v>0</v>
      </c>
      <c r="D10" s="226">
        <v>0</v>
      </c>
      <c r="E10" s="226">
        <v>0</v>
      </c>
      <c r="F10" s="227">
        <v>0</v>
      </c>
      <c r="G10" s="228"/>
      <c r="H10" s="228"/>
      <c r="I10" s="497"/>
      <c r="J10" s="498">
        <v>0</v>
      </c>
      <c r="K10" s="229">
        <v>0</v>
      </c>
      <c r="L10" s="229">
        <v>0</v>
      </c>
      <c r="M10" s="230">
        <v>0</v>
      </c>
      <c r="N10" s="501">
        <v>0</v>
      </c>
      <c r="O10" s="494"/>
      <c r="P10" s="494">
        <v>0</v>
      </c>
      <c r="Q10" s="502">
        <f t="shared" si="0"/>
        <v>0</v>
      </c>
      <c r="R10" s="441"/>
    </row>
    <row r="11" spans="1:18" x14ac:dyDescent="0.7">
      <c r="A11" s="186" t="s">
        <v>219</v>
      </c>
      <c r="B11" s="87" t="s">
        <v>5997</v>
      </c>
      <c r="C11" s="226">
        <v>497848.03</v>
      </c>
      <c r="D11" s="226">
        <v>326774.18</v>
      </c>
      <c r="E11" s="226">
        <v>318721.34000000003</v>
      </c>
      <c r="F11" s="227">
        <v>278997.94</v>
      </c>
      <c r="G11" s="228"/>
      <c r="H11" s="228"/>
      <c r="I11" s="497"/>
      <c r="J11" s="498">
        <v>333545.84499999997</v>
      </c>
      <c r="K11" s="229">
        <v>0</v>
      </c>
      <c r="L11" s="229">
        <v>127518.91</v>
      </c>
      <c r="M11" s="230">
        <v>0</v>
      </c>
      <c r="N11" s="501">
        <v>260019.04</v>
      </c>
      <c r="O11" s="494"/>
      <c r="P11" s="494">
        <v>500067.41</v>
      </c>
      <c r="Q11" s="502">
        <f t="shared" si="0"/>
        <v>500067.41</v>
      </c>
      <c r="R11" s="441"/>
    </row>
    <row r="12" spans="1:18" s="1" customFormat="1" x14ac:dyDescent="0.7">
      <c r="B12" s="44" t="s">
        <v>622</v>
      </c>
      <c r="C12" s="220">
        <f>SUM(C6:C11)</f>
        <v>8732777.9900000002</v>
      </c>
      <c r="D12" s="220">
        <f t="shared" ref="D12:E12" si="1">SUM(D6:D11)</f>
        <v>9241501.9199999999</v>
      </c>
      <c r="E12" s="220">
        <f t="shared" si="1"/>
        <v>9389268.8999999985</v>
      </c>
      <c r="F12" s="221">
        <f>SUM(F6:F11)</f>
        <v>12471199.08</v>
      </c>
      <c r="G12" s="221">
        <f t="shared" ref="G12:H12" si="2">SUM(G6:G11)</f>
        <v>0</v>
      </c>
      <c r="H12" s="221">
        <f t="shared" si="2"/>
        <v>0</v>
      </c>
      <c r="I12" s="222">
        <f>SUM(I6:I11)</f>
        <v>350893.6</v>
      </c>
      <c r="J12" s="223">
        <f>SUM(J6:J11)</f>
        <v>11779075.325000001</v>
      </c>
      <c r="K12" s="223">
        <f t="shared" ref="K12:L12" si="3">SUM(K6:K11)</f>
        <v>0</v>
      </c>
      <c r="L12" s="223">
        <f t="shared" si="3"/>
        <v>2697501.7800000003</v>
      </c>
      <c r="M12" s="224">
        <f t="shared" ref="M12:R12" si="4">SUM(M6:M11)</f>
        <v>0</v>
      </c>
      <c r="N12" s="225">
        <f t="shared" si="4"/>
        <v>3378283.2199999997</v>
      </c>
      <c r="O12" s="443">
        <f t="shared" si="4"/>
        <v>0</v>
      </c>
      <c r="P12" s="443">
        <f t="shared" si="4"/>
        <v>14542270.15</v>
      </c>
      <c r="Q12" s="443">
        <f t="shared" si="4"/>
        <v>14542270.15</v>
      </c>
      <c r="R12" s="442">
        <f t="shared" si="4"/>
        <v>1197259.3500000001</v>
      </c>
    </row>
    <row r="13" spans="1:18" x14ac:dyDescent="0.7">
      <c r="I13" s="98">
        <f>SUM('1.Planfin2566'!E18:E21)</f>
        <v>8856024.1066666674</v>
      </c>
      <c r="J13" s="231">
        <f>SUM('1.Planfin2566'!G18:G21)</f>
        <v>14542270.15</v>
      </c>
      <c r="Q13" s="11">
        <f>SUM(O11:P12)</f>
        <v>15042337.560000001</v>
      </c>
    </row>
    <row r="14" spans="1:18" ht="20.399999999999999" customHeight="1" x14ac:dyDescent="0.7">
      <c r="I14" s="716" t="s">
        <v>2205</v>
      </c>
      <c r="J14" s="712" t="s">
        <v>2209</v>
      </c>
    </row>
    <row r="15" spans="1:18" ht="20.399999999999999" customHeight="1" x14ac:dyDescent="0.7">
      <c r="I15" s="716"/>
      <c r="J15" s="712"/>
    </row>
    <row r="16" spans="1:18" ht="20.399999999999999" customHeight="1" x14ac:dyDescent="0.7">
      <c r="I16" s="716"/>
      <c r="J16" s="712"/>
    </row>
    <row r="17" spans="9:9" ht="20.399999999999999" customHeight="1" x14ac:dyDescent="0.7">
      <c r="I17" s="716"/>
    </row>
    <row r="18" spans="9:9" ht="20.399999999999999" customHeight="1" x14ac:dyDescent="0.7">
      <c r="I18" s="716"/>
    </row>
    <row r="19" spans="9:9" ht="20.399999999999999" customHeight="1" x14ac:dyDescent="0.7">
      <c r="I19" s="716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60" zoomScaleNormal="60" workbookViewId="0">
      <pane xSplit="2" ySplit="5" topLeftCell="F6" activePane="bottomRight" state="frozen"/>
      <selection pane="topRight" activeCell="B1" sqref="B1"/>
      <selection pane="bottomLeft" activeCell="A5" sqref="A5"/>
      <selection pane="bottomRight" activeCell="O7" sqref="O7:P18"/>
    </sheetView>
  </sheetViews>
  <sheetFormatPr defaultColWidth="8.796875" defaultRowHeight="24.6" x14ac:dyDescent="0.7"/>
  <cols>
    <col min="1" max="1" width="14.3984375" style="6" customWidth="1"/>
    <col min="2" max="2" width="33.59765625" style="6" bestFit="1" customWidth="1"/>
    <col min="3" max="3" width="17.796875" style="6" customWidth="1"/>
    <col min="4" max="4" width="19.09765625" style="6" customWidth="1"/>
    <col min="5" max="5" width="18.296875" style="6" bestFit="1" customWidth="1"/>
    <col min="6" max="6" width="17.69921875" style="6" customWidth="1"/>
    <col min="7" max="7" width="18.796875" style="6" customWidth="1"/>
    <col min="8" max="8" width="17.19921875" style="6" customWidth="1"/>
    <col min="9" max="9" width="19" style="6" customWidth="1"/>
    <col min="10" max="10" width="21.09765625" style="6" customWidth="1"/>
    <col min="11" max="11" width="16.8984375" style="6" customWidth="1"/>
    <col min="12" max="12" width="19.3984375" style="6" customWidth="1"/>
    <col min="13" max="13" width="20.8984375" style="6" customWidth="1"/>
    <col min="14" max="14" width="30.59765625" style="6" customWidth="1"/>
    <col min="15" max="15" width="15.796875" style="6" bestFit="1" customWidth="1"/>
    <col min="16" max="16" width="17.69921875" style="6" bestFit="1" customWidth="1"/>
    <col min="17" max="17" width="12.59765625" style="6" bestFit="1" customWidth="1"/>
    <col min="18" max="18" width="15.69921875" style="6" customWidth="1"/>
    <col min="19" max="20" width="8.796875" style="6"/>
    <col min="21" max="21" width="14.09765625" style="6" customWidth="1"/>
    <col min="22" max="22" width="18.09765625" style="6" customWidth="1"/>
    <col min="23" max="16384" width="8.796875" style="6"/>
  </cols>
  <sheetData>
    <row r="1" spans="1:22" x14ac:dyDescent="0.7">
      <c r="B1" s="458" t="s">
        <v>683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22" s="311" customFormat="1" x14ac:dyDescent="0.25">
      <c r="C2" s="403" t="s">
        <v>1033</v>
      </c>
      <c r="D2" s="403" t="s">
        <v>1043</v>
      </c>
      <c r="E2" s="403" t="s">
        <v>1035</v>
      </c>
      <c r="F2" s="403" t="s">
        <v>1036</v>
      </c>
      <c r="G2" s="403" t="s">
        <v>1030</v>
      </c>
      <c r="H2" s="403" t="s">
        <v>1032</v>
      </c>
      <c r="I2" s="403" t="s">
        <v>1155</v>
      </c>
      <c r="J2" s="403" t="s">
        <v>1156</v>
      </c>
      <c r="K2" s="403" t="s">
        <v>1045</v>
      </c>
      <c r="L2" s="403" t="s">
        <v>1046</v>
      </c>
      <c r="M2" s="403" t="s">
        <v>1157</v>
      </c>
      <c r="N2" s="459" t="s">
        <v>6297</v>
      </c>
      <c r="O2" s="403" t="s">
        <v>1158</v>
      </c>
      <c r="P2" s="403" t="s">
        <v>2201</v>
      </c>
      <c r="Q2" s="403" t="s">
        <v>5998</v>
      </c>
      <c r="R2" s="403" t="s">
        <v>5999</v>
      </c>
    </row>
    <row r="3" spans="1:22" s="96" customFormat="1" x14ac:dyDescent="0.7">
      <c r="C3" s="403"/>
      <c r="D3" s="403"/>
      <c r="E3" s="403"/>
      <c r="F3" s="403"/>
      <c r="G3" s="403"/>
      <c r="H3" s="403"/>
      <c r="I3" s="403"/>
      <c r="J3" s="403"/>
      <c r="K3" s="105"/>
      <c r="L3" s="403"/>
      <c r="M3" s="403"/>
      <c r="N3" s="403"/>
      <c r="O3" s="403"/>
      <c r="P3" s="403"/>
      <c r="Q3" s="403"/>
    </row>
    <row r="4" spans="1:22" x14ac:dyDescent="0.7">
      <c r="B4" s="735" t="s">
        <v>682</v>
      </c>
      <c r="C4" s="733" t="s">
        <v>1152</v>
      </c>
      <c r="D4" s="733"/>
      <c r="E4" s="733"/>
      <c r="F4" s="734" t="s">
        <v>2215</v>
      </c>
      <c r="G4" s="734"/>
      <c r="H4" s="734"/>
      <c r="I4" s="737" t="s">
        <v>5936</v>
      </c>
      <c r="J4" s="738" t="s">
        <v>6402</v>
      </c>
      <c r="K4" s="738" t="s">
        <v>6397</v>
      </c>
      <c r="L4" s="738" t="s">
        <v>6401</v>
      </c>
      <c r="M4" s="737" t="s">
        <v>6395</v>
      </c>
      <c r="N4" s="736" t="s">
        <v>6400</v>
      </c>
      <c r="O4" s="739" t="s">
        <v>6393</v>
      </c>
      <c r="P4" s="740"/>
      <c r="Q4" s="741"/>
      <c r="R4" s="731" t="s">
        <v>6399</v>
      </c>
    </row>
    <row r="5" spans="1:22" x14ac:dyDescent="0.7">
      <c r="B5" s="735"/>
      <c r="C5" s="460" t="s">
        <v>5856</v>
      </c>
      <c r="D5" s="460" t="s">
        <v>685</v>
      </c>
      <c r="E5" s="460" t="s">
        <v>1137</v>
      </c>
      <c r="F5" s="461" t="s">
        <v>5856</v>
      </c>
      <c r="G5" s="461" t="s">
        <v>685</v>
      </c>
      <c r="H5" s="461" t="s">
        <v>1137</v>
      </c>
      <c r="I5" s="737"/>
      <c r="J5" s="738"/>
      <c r="K5" s="738"/>
      <c r="L5" s="738"/>
      <c r="M5" s="737"/>
      <c r="N5" s="736"/>
      <c r="O5" s="742"/>
      <c r="P5" s="743"/>
      <c r="Q5" s="744"/>
      <c r="R5" s="732"/>
    </row>
    <row r="6" spans="1:22" x14ac:dyDescent="0.7">
      <c r="B6" s="462"/>
      <c r="C6" s="463"/>
      <c r="D6" s="463"/>
      <c r="E6" s="463"/>
      <c r="F6" s="464"/>
      <c r="G6" s="464"/>
      <c r="H6" s="464"/>
      <c r="I6" s="445"/>
      <c r="J6" s="465"/>
      <c r="K6" s="465"/>
      <c r="L6" s="465"/>
      <c r="M6" s="445"/>
      <c r="N6" s="466"/>
      <c r="O6" s="547" t="s">
        <v>5953</v>
      </c>
      <c r="P6" s="390" t="s">
        <v>5954</v>
      </c>
      <c r="Q6" s="391" t="s">
        <v>622</v>
      </c>
      <c r="R6" s="467"/>
    </row>
    <row r="7" spans="1:22" x14ac:dyDescent="0.7">
      <c r="A7" s="186" t="s">
        <v>789</v>
      </c>
      <c r="B7" s="468" t="s">
        <v>582</v>
      </c>
      <c r="C7" s="226">
        <v>377714</v>
      </c>
      <c r="D7" s="226">
        <v>615177</v>
      </c>
      <c r="E7" s="226">
        <v>704047</v>
      </c>
      <c r="F7" s="227"/>
      <c r="G7" s="469"/>
      <c r="H7" s="469"/>
      <c r="I7" s="470">
        <v>751961.78</v>
      </c>
      <c r="J7" s="471">
        <f>IFERROR(INDEX('6.WS-Re-Exp'!$C$3:$C$436,MATCH('8.WS-วัสดุอื่น'!$A7,'6.WS-Re-Exp'!$A$3:$A$436,0)),0)</f>
        <v>596234</v>
      </c>
      <c r="K7" s="471"/>
      <c r="L7" s="471"/>
      <c r="M7" s="230">
        <v>194003.61</v>
      </c>
      <c r="N7" s="472">
        <f>SUM(M7+Q7+R7-J7-K7-L7)</f>
        <v>194003.61</v>
      </c>
      <c r="O7" s="473"/>
      <c r="P7" s="474">
        <v>596234</v>
      </c>
      <c r="Q7" s="474">
        <f>SUM(O7:P7)</f>
        <v>596234</v>
      </c>
      <c r="R7" s="475"/>
      <c r="U7" s="386"/>
      <c r="V7" s="212"/>
    </row>
    <row r="8" spans="1:22" x14ac:dyDescent="0.7">
      <c r="A8" s="186" t="s">
        <v>790</v>
      </c>
      <c r="B8" s="468" t="s">
        <v>583</v>
      </c>
      <c r="C8" s="226">
        <v>86419</v>
      </c>
      <c r="D8" s="226">
        <v>49250</v>
      </c>
      <c r="E8" s="226">
        <v>61341.95</v>
      </c>
      <c r="F8" s="227"/>
      <c r="G8" s="469"/>
      <c r="H8" s="469"/>
      <c r="I8" s="470">
        <v>61341.95</v>
      </c>
      <c r="J8" s="471">
        <f>IFERROR(INDEX('6.WS-Re-Exp'!$C$3:$C$436,MATCH('8.WS-วัสดุอื่น'!$A8,'6.WS-Re-Exp'!$A$3:$A$436,0)),0)</f>
        <v>128000</v>
      </c>
      <c r="K8" s="471"/>
      <c r="L8" s="471"/>
      <c r="M8" s="230">
        <v>0</v>
      </c>
      <c r="N8" s="472">
        <f t="shared" ref="N8:N18" si="0">SUM(M8+Q8+R8-J8-K8-L8)</f>
        <v>0</v>
      </c>
      <c r="O8" s="473"/>
      <c r="P8" s="474">
        <v>128000</v>
      </c>
      <c r="Q8" s="474">
        <f t="shared" ref="Q8:Q18" si="1">SUM(O8:P8)</f>
        <v>128000</v>
      </c>
      <c r="R8" s="475"/>
      <c r="U8" s="386"/>
      <c r="V8" s="212"/>
    </row>
    <row r="9" spans="1:22" x14ac:dyDescent="0.7">
      <c r="A9" s="186" t="s">
        <v>797</v>
      </c>
      <c r="B9" s="468" t="s">
        <v>584</v>
      </c>
      <c r="C9" s="226">
        <v>579893</v>
      </c>
      <c r="D9" s="226">
        <v>627320</v>
      </c>
      <c r="E9" s="226">
        <v>723709</v>
      </c>
      <c r="F9" s="227"/>
      <c r="G9" s="469"/>
      <c r="H9" s="469"/>
      <c r="I9" s="470">
        <v>723709</v>
      </c>
      <c r="J9" s="471">
        <f>IFERROR(INDEX('6.WS-Re-Exp'!$C$3:$C$436,MATCH('8.WS-วัสดุอื่น'!$A9,'6.WS-Re-Exp'!$A$3:$A$436,0)),0)</f>
        <v>792000</v>
      </c>
      <c r="K9" s="471"/>
      <c r="L9" s="471"/>
      <c r="M9" s="230">
        <v>0</v>
      </c>
      <c r="N9" s="472">
        <f t="shared" si="0"/>
        <v>0</v>
      </c>
      <c r="O9" s="473"/>
      <c r="P9" s="474">
        <v>792000</v>
      </c>
      <c r="Q9" s="474">
        <f t="shared" si="1"/>
        <v>792000</v>
      </c>
      <c r="R9" s="475"/>
      <c r="U9" s="386"/>
      <c r="V9" s="212"/>
    </row>
    <row r="10" spans="1:22" x14ac:dyDescent="0.7">
      <c r="A10" s="186" t="s">
        <v>791</v>
      </c>
      <c r="B10" s="468" t="s">
        <v>585</v>
      </c>
      <c r="C10" s="226">
        <v>34369.35</v>
      </c>
      <c r="D10" s="226">
        <v>59929.5</v>
      </c>
      <c r="E10" s="226">
        <v>58760</v>
      </c>
      <c r="F10" s="227"/>
      <c r="G10" s="469"/>
      <c r="H10" s="469"/>
      <c r="I10" s="470">
        <v>60002.55</v>
      </c>
      <c r="J10" s="471">
        <f>IFERROR(INDEX('6.WS-Re-Exp'!$C$3:$C$436,MATCH('8.WS-วัสดุอื่น'!$A10,'6.WS-Re-Exp'!$A$3:$A$436,0)),0)</f>
        <v>50410</v>
      </c>
      <c r="K10" s="471"/>
      <c r="L10" s="471"/>
      <c r="M10" s="230">
        <v>14402.6</v>
      </c>
      <c r="N10" s="472">
        <f t="shared" si="0"/>
        <v>14402.599999999999</v>
      </c>
      <c r="O10" s="473"/>
      <c r="P10" s="474">
        <v>50410</v>
      </c>
      <c r="Q10" s="474">
        <f t="shared" si="1"/>
        <v>50410</v>
      </c>
      <c r="R10" s="475"/>
      <c r="U10" s="386"/>
      <c r="V10" s="212"/>
    </row>
    <row r="11" spans="1:22" x14ac:dyDescent="0.7">
      <c r="A11" s="186" t="s">
        <v>792</v>
      </c>
      <c r="B11" s="468" t="s">
        <v>586</v>
      </c>
      <c r="C11" s="226">
        <v>18404</v>
      </c>
      <c r="D11" s="226">
        <v>490</v>
      </c>
      <c r="E11" s="226">
        <v>1980</v>
      </c>
      <c r="F11" s="227"/>
      <c r="G11" s="469"/>
      <c r="H11" s="469"/>
      <c r="I11" s="470">
        <v>1980</v>
      </c>
      <c r="J11" s="471">
        <f>IFERROR(INDEX('6.WS-Re-Exp'!$C$3:$C$436,MATCH('8.WS-วัสดุอื่น'!$A11,'6.WS-Re-Exp'!$A$3:$A$436,0)),0)</f>
        <v>0</v>
      </c>
      <c r="K11" s="471"/>
      <c r="L11" s="471"/>
      <c r="M11" s="230">
        <v>0</v>
      </c>
      <c r="N11" s="472">
        <f t="shared" si="0"/>
        <v>0</v>
      </c>
      <c r="O11" s="473"/>
      <c r="P11" s="474">
        <v>0</v>
      </c>
      <c r="Q11" s="474">
        <f t="shared" si="1"/>
        <v>0</v>
      </c>
      <c r="R11" s="475"/>
      <c r="U11" s="386"/>
      <c r="V11" s="212"/>
    </row>
    <row r="12" spans="1:22" x14ac:dyDescent="0.7">
      <c r="A12" s="186" t="s">
        <v>793</v>
      </c>
      <c r="B12" s="468" t="s">
        <v>587</v>
      </c>
      <c r="C12" s="226">
        <v>246260</v>
      </c>
      <c r="D12" s="226">
        <v>185560</v>
      </c>
      <c r="E12" s="226">
        <v>162365</v>
      </c>
      <c r="F12" s="227"/>
      <c r="G12" s="469"/>
      <c r="H12" s="469"/>
      <c r="I12" s="470">
        <v>162595</v>
      </c>
      <c r="J12" s="471">
        <f>IFERROR(INDEX('6.WS-Re-Exp'!$C$3:$C$436,MATCH('8.WS-วัสดุอื่น'!$A12,'6.WS-Re-Exp'!$A$3:$A$436,0)),0)</f>
        <v>180975</v>
      </c>
      <c r="K12" s="471"/>
      <c r="L12" s="471"/>
      <c r="M12" s="230">
        <v>54800</v>
      </c>
      <c r="N12" s="472">
        <f t="shared" si="0"/>
        <v>54800</v>
      </c>
      <c r="O12" s="473"/>
      <c r="P12" s="474">
        <v>180975</v>
      </c>
      <c r="Q12" s="474">
        <f t="shared" si="1"/>
        <v>180975</v>
      </c>
      <c r="R12" s="475"/>
      <c r="U12" s="386"/>
      <c r="V12" s="212"/>
    </row>
    <row r="13" spans="1:22" x14ac:dyDescent="0.7">
      <c r="A13" s="186" t="s">
        <v>794</v>
      </c>
      <c r="B13" s="468" t="s">
        <v>588</v>
      </c>
      <c r="C13" s="226">
        <v>702490</v>
      </c>
      <c r="D13" s="226">
        <v>918970.8</v>
      </c>
      <c r="E13" s="226">
        <v>988173.11</v>
      </c>
      <c r="F13" s="227"/>
      <c r="G13" s="469"/>
      <c r="H13" s="469"/>
      <c r="I13" s="470">
        <v>949450.33</v>
      </c>
      <c r="J13" s="471">
        <f>IFERROR(INDEX('6.WS-Re-Exp'!$C$3:$C$436,MATCH('8.WS-วัสดุอื่น'!$A13,'6.WS-Re-Exp'!$A$3:$A$436,0)),0)</f>
        <v>739081.8</v>
      </c>
      <c r="K13" s="471"/>
      <c r="L13" s="471"/>
      <c r="M13" s="230">
        <v>323206.75</v>
      </c>
      <c r="N13" s="472">
        <f t="shared" si="0"/>
        <v>323206.75</v>
      </c>
      <c r="O13" s="473"/>
      <c r="P13" s="474">
        <v>739081.8</v>
      </c>
      <c r="Q13" s="474">
        <f t="shared" si="1"/>
        <v>739081.8</v>
      </c>
      <c r="R13" s="475"/>
      <c r="U13" s="386"/>
      <c r="V13" s="212"/>
    </row>
    <row r="14" spans="1:22" x14ac:dyDescent="0.7">
      <c r="A14" s="186" t="s">
        <v>385</v>
      </c>
      <c r="B14" s="468" t="s">
        <v>589</v>
      </c>
      <c r="C14" s="226">
        <v>108472</v>
      </c>
      <c r="D14" s="226">
        <v>22040</v>
      </c>
      <c r="E14" s="226">
        <v>37440</v>
      </c>
      <c r="F14" s="227"/>
      <c r="G14" s="469"/>
      <c r="H14" s="469"/>
      <c r="I14" s="470">
        <v>37440</v>
      </c>
      <c r="J14" s="471">
        <f>IFERROR(INDEX('6.WS-Re-Exp'!$C$3:$C$436,MATCH('8.WS-วัสดุอื่น'!$A14,'6.WS-Re-Exp'!$A$3:$A$436,0)),0)</f>
        <v>60000</v>
      </c>
      <c r="K14" s="471"/>
      <c r="L14" s="471"/>
      <c r="M14" s="230">
        <v>0</v>
      </c>
      <c r="N14" s="472">
        <f t="shared" si="0"/>
        <v>0</v>
      </c>
      <c r="O14" s="473"/>
      <c r="P14" s="474">
        <v>60000</v>
      </c>
      <c r="Q14" s="474">
        <f t="shared" si="1"/>
        <v>60000</v>
      </c>
      <c r="R14" s="475"/>
      <c r="U14" s="386"/>
      <c r="V14" s="212"/>
    </row>
    <row r="15" spans="1:22" x14ac:dyDescent="0.7">
      <c r="A15" s="186" t="s">
        <v>387</v>
      </c>
      <c r="B15" s="468" t="s">
        <v>590</v>
      </c>
      <c r="C15" s="226">
        <v>140400</v>
      </c>
      <c r="D15" s="226">
        <v>133009</v>
      </c>
      <c r="E15" s="226">
        <v>198610</v>
      </c>
      <c r="F15" s="227"/>
      <c r="G15" s="469"/>
      <c r="H15" s="469"/>
      <c r="I15" s="470">
        <v>55540</v>
      </c>
      <c r="J15" s="471">
        <f>IFERROR(INDEX('6.WS-Re-Exp'!$C$3:$C$436,MATCH('8.WS-วัสดุอื่น'!$A15,'6.WS-Re-Exp'!$A$3:$A$436,0)),0)</f>
        <v>143860</v>
      </c>
      <c r="K15" s="471"/>
      <c r="L15" s="471"/>
      <c r="M15" s="230">
        <v>146210</v>
      </c>
      <c r="N15" s="472">
        <f t="shared" si="0"/>
        <v>146210</v>
      </c>
      <c r="O15" s="473"/>
      <c r="P15" s="474">
        <v>143860</v>
      </c>
      <c r="Q15" s="474">
        <f t="shared" si="1"/>
        <v>143860</v>
      </c>
      <c r="R15" s="475"/>
      <c r="U15" s="386"/>
      <c r="V15" s="212"/>
    </row>
    <row r="16" spans="1:22" x14ac:dyDescent="0.7">
      <c r="A16" s="186" t="s">
        <v>795</v>
      </c>
      <c r="B16" s="468" t="s">
        <v>591</v>
      </c>
      <c r="C16" s="226">
        <v>69062.100000000006</v>
      </c>
      <c r="D16" s="226">
        <v>42525.8</v>
      </c>
      <c r="E16" s="226">
        <v>63369</v>
      </c>
      <c r="F16" s="227"/>
      <c r="G16" s="469"/>
      <c r="H16" s="469"/>
      <c r="I16" s="470">
        <v>64037.27</v>
      </c>
      <c r="J16" s="471">
        <f>IFERROR(INDEX('6.WS-Re-Exp'!$C$3:$C$436,MATCH('8.WS-วัสดุอื่น'!$A16,'6.WS-Re-Exp'!$A$3:$A$436,0)),0)</f>
        <v>44425</v>
      </c>
      <c r="K16" s="471"/>
      <c r="L16" s="471"/>
      <c r="M16" s="230">
        <v>3845</v>
      </c>
      <c r="N16" s="472">
        <f t="shared" si="0"/>
        <v>3845</v>
      </c>
      <c r="O16" s="473"/>
      <c r="P16" s="474">
        <v>44425</v>
      </c>
      <c r="Q16" s="474">
        <f t="shared" si="1"/>
        <v>44425</v>
      </c>
      <c r="R16" s="475"/>
      <c r="U16" s="386"/>
      <c r="V16" s="212"/>
    </row>
    <row r="17" spans="1:22" x14ac:dyDescent="0.7">
      <c r="A17" s="186" t="s">
        <v>2270</v>
      </c>
      <c r="B17" s="476" t="s">
        <v>592</v>
      </c>
      <c r="C17" s="477">
        <v>30545</v>
      </c>
      <c r="D17" s="477">
        <v>21595</v>
      </c>
      <c r="E17" s="477">
        <v>18480</v>
      </c>
      <c r="F17" s="478"/>
      <c r="G17" s="479"/>
      <c r="H17" s="479"/>
      <c r="I17" s="480">
        <v>18293</v>
      </c>
      <c r="J17" s="471">
        <f>IFERROR(INDEX('6.WS-Re-Exp'!$C$3:$C$436,MATCH('8.WS-วัสดุอื่น'!$A17,'6.WS-Re-Exp'!$A$3:$A$436,0)),0)</f>
        <v>133950</v>
      </c>
      <c r="K17" s="481"/>
      <c r="L17" s="481"/>
      <c r="M17" s="482">
        <v>642</v>
      </c>
      <c r="N17" s="472">
        <f t="shared" si="0"/>
        <v>642</v>
      </c>
      <c r="O17" s="483"/>
      <c r="P17" s="484">
        <v>133950</v>
      </c>
      <c r="Q17" s="474">
        <f t="shared" si="1"/>
        <v>133950</v>
      </c>
      <c r="R17" s="475"/>
      <c r="U17" s="251"/>
      <c r="V17" s="212"/>
    </row>
    <row r="18" spans="1:22" x14ac:dyDescent="0.7">
      <c r="A18" s="186" t="s">
        <v>392</v>
      </c>
      <c r="B18" s="476" t="s">
        <v>1016</v>
      </c>
      <c r="C18" s="477">
        <v>0</v>
      </c>
      <c r="D18" s="477">
        <v>0</v>
      </c>
      <c r="E18" s="477">
        <v>523590.71</v>
      </c>
      <c r="F18" s="478"/>
      <c r="G18" s="479"/>
      <c r="H18" s="479"/>
      <c r="I18" s="480"/>
      <c r="J18" s="471">
        <f>IFERROR(INDEX('6.WS-Re-Exp'!$C$3:$C$436,MATCH('8.WS-วัสดุอื่น'!$A18,'6.WS-Re-Exp'!$A$3:$A$436,0)),0)</f>
        <v>498250</v>
      </c>
      <c r="K18" s="481"/>
      <c r="L18" s="481"/>
      <c r="M18" s="482">
        <v>0</v>
      </c>
      <c r="N18" s="472">
        <f t="shared" si="0"/>
        <v>0</v>
      </c>
      <c r="O18" s="483"/>
      <c r="P18" s="484">
        <v>498250</v>
      </c>
      <c r="Q18" s="474">
        <f t="shared" si="1"/>
        <v>498250</v>
      </c>
      <c r="R18" s="475"/>
      <c r="U18" s="485"/>
      <c r="V18" s="196"/>
    </row>
    <row r="19" spans="1:22" s="1" customFormat="1" ht="25.2" thickBot="1" x14ac:dyDescent="0.75">
      <c r="B19" s="486" t="s">
        <v>622</v>
      </c>
      <c r="C19" s="487">
        <f>SUM(C7:C18)</f>
        <v>2394028.4500000002</v>
      </c>
      <c r="D19" s="487">
        <f t="shared" ref="D19:J19" si="2">SUM(D7:D18)</f>
        <v>2675867.0999999996</v>
      </c>
      <c r="E19" s="487">
        <f t="shared" si="2"/>
        <v>3541865.77</v>
      </c>
      <c r="F19" s="488">
        <f t="shared" si="2"/>
        <v>0</v>
      </c>
      <c r="G19" s="488">
        <f t="shared" si="2"/>
        <v>0</v>
      </c>
      <c r="H19" s="488">
        <f t="shared" si="2"/>
        <v>0</v>
      </c>
      <c r="I19" s="489">
        <f t="shared" si="2"/>
        <v>2886350.88</v>
      </c>
      <c r="J19" s="490">
        <f t="shared" si="2"/>
        <v>3367185.8</v>
      </c>
      <c r="K19" s="490">
        <f>SUM('1.Planfin2566'!C120)</f>
        <v>74866</v>
      </c>
      <c r="L19" s="490">
        <f t="shared" ref="L19:Q19" si="3">SUM(L7:L18)</f>
        <v>0</v>
      </c>
      <c r="M19" s="491">
        <f t="shared" si="3"/>
        <v>737109.96</v>
      </c>
      <c r="N19" s="492">
        <f t="shared" si="3"/>
        <v>737109.96</v>
      </c>
      <c r="O19" s="493">
        <f t="shared" si="3"/>
        <v>0</v>
      </c>
      <c r="P19" s="493">
        <f t="shared" si="3"/>
        <v>3367185.8</v>
      </c>
      <c r="Q19" s="493">
        <f t="shared" si="3"/>
        <v>3367185.8</v>
      </c>
      <c r="R19" s="221"/>
      <c r="U19" s="386"/>
      <c r="V19" s="212"/>
    </row>
    <row r="20" spans="1:22" ht="25.2" thickTop="1" x14ac:dyDescent="0.7">
      <c r="I20" s="98"/>
      <c r="J20" s="98">
        <f>SUM('1.Planfin2566'!G28)</f>
        <v>3367185.8</v>
      </c>
      <c r="K20" s="70">
        <f>SUM('1.Planfin2566'!C120)</f>
        <v>74866</v>
      </c>
    </row>
    <row r="21" spans="1:22" x14ac:dyDescent="0.7">
      <c r="I21" s="99"/>
      <c r="J21" s="99" t="s">
        <v>1154</v>
      </c>
      <c r="K21" s="99" t="s">
        <v>1154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70" zoomScaleNormal="7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B18" sqref="B18"/>
    </sheetView>
  </sheetViews>
  <sheetFormatPr defaultColWidth="9" defaultRowHeight="16.8" x14ac:dyDescent="0.5"/>
  <cols>
    <col min="1" max="1" width="9" style="5"/>
    <col min="2" max="2" width="40.3984375" style="5" bestFit="1" customWidth="1"/>
    <col min="3" max="3" width="18.3984375" style="5" customWidth="1"/>
    <col min="4" max="6" width="17.3984375" style="5" customWidth="1"/>
    <col min="7" max="7" width="22.09765625" style="9" customWidth="1"/>
    <col min="8" max="8" width="16.09765625" style="5" customWidth="1"/>
    <col min="9" max="9" width="17.59765625" style="5" customWidth="1"/>
    <col min="10" max="10" width="18.69921875" style="5" customWidth="1"/>
    <col min="11" max="11" width="19.296875" style="5" customWidth="1"/>
    <col min="12" max="15" width="15.69921875" style="5" customWidth="1"/>
    <col min="16" max="16384" width="9" style="5"/>
  </cols>
  <sheetData>
    <row r="1" spans="1:15" ht="30" x14ac:dyDescent="0.5">
      <c r="B1" s="106" t="s">
        <v>2220</v>
      </c>
      <c r="D1" s="106"/>
      <c r="E1" s="106"/>
      <c r="F1" s="106"/>
      <c r="G1" s="115"/>
      <c r="H1" s="106"/>
      <c r="I1" s="106"/>
      <c r="J1" s="106"/>
      <c r="K1" s="106"/>
      <c r="L1" s="106"/>
      <c r="M1" s="106"/>
      <c r="N1" s="106"/>
      <c r="O1" s="106"/>
    </row>
    <row r="2" spans="1:15" s="339" customFormat="1" ht="27" x14ac:dyDescent="0.25">
      <c r="C2" s="339" t="s">
        <v>1033</v>
      </c>
      <c r="D2" s="339" t="s">
        <v>1043</v>
      </c>
      <c r="E2" s="339" t="s">
        <v>1035</v>
      </c>
      <c r="F2" s="339" t="s">
        <v>1036</v>
      </c>
      <c r="G2" s="339" t="s">
        <v>6005</v>
      </c>
      <c r="H2" s="339" t="s">
        <v>1032</v>
      </c>
      <c r="I2" s="339" t="s">
        <v>1155</v>
      </c>
      <c r="J2" s="339" t="s">
        <v>1156</v>
      </c>
      <c r="K2" s="339" t="s">
        <v>6300</v>
      </c>
      <c r="L2" s="339" t="s">
        <v>1046</v>
      </c>
      <c r="M2" s="339" t="s">
        <v>1157</v>
      </c>
      <c r="N2" s="339" t="s">
        <v>6006</v>
      </c>
      <c r="O2" s="339" t="s">
        <v>1158</v>
      </c>
    </row>
    <row r="3" spans="1:15" ht="24.6" x14ac:dyDescent="0.5">
      <c r="B3" s="735" t="s">
        <v>682</v>
      </c>
      <c r="C3" s="737" t="s">
        <v>6408</v>
      </c>
      <c r="D3" s="749" t="s">
        <v>6407</v>
      </c>
      <c r="E3" s="750"/>
      <c r="F3" s="751"/>
      <c r="G3" s="745" t="s">
        <v>6406</v>
      </c>
      <c r="H3" s="746" t="s">
        <v>6405</v>
      </c>
      <c r="I3" s="747"/>
      <c r="J3" s="748"/>
      <c r="K3" s="737" t="s">
        <v>6404</v>
      </c>
      <c r="L3" s="735" t="s">
        <v>684</v>
      </c>
      <c r="M3" s="735"/>
      <c r="N3" s="735"/>
      <c r="O3" s="735"/>
    </row>
    <row r="4" spans="1:15" ht="24.6" x14ac:dyDescent="0.5">
      <c r="B4" s="735"/>
      <c r="C4" s="737"/>
      <c r="D4" s="101" t="s">
        <v>5953</v>
      </c>
      <c r="E4" s="403" t="s">
        <v>5954</v>
      </c>
      <c r="F4" s="404" t="s">
        <v>622</v>
      </c>
      <c r="G4" s="745"/>
      <c r="H4" s="392" t="s">
        <v>5953</v>
      </c>
      <c r="I4" s="393" t="s">
        <v>5954</v>
      </c>
      <c r="J4" s="416" t="s">
        <v>622</v>
      </c>
      <c r="K4" s="737"/>
      <c r="L4" s="327" t="s">
        <v>2223</v>
      </c>
      <c r="M4" s="327" t="s">
        <v>5857</v>
      </c>
      <c r="N4" s="327" t="s">
        <v>5937</v>
      </c>
      <c r="O4" s="327" t="s">
        <v>6403</v>
      </c>
    </row>
    <row r="5" spans="1:15" ht="26.1" customHeight="1" x14ac:dyDescent="0.7">
      <c r="A5" s="96" t="s">
        <v>6259</v>
      </c>
      <c r="B5" s="103" t="s">
        <v>2188</v>
      </c>
      <c r="C5" s="849">
        <v>1351765.84</v>
      </c>
      <c r="D5" s="850">
        <v>0</v>
      </c>
      <c r="E5" s="850">
        <v>7589538.25</v>
      </c>
      <c r="F5" s="397">
        <f>SUM(D5:E5)</f>
        <v>7589538.25</v>
      </c>
      <c r="G5" s="233">
        <f>C5+F5</f>
        <v>8941304.0899999999</v>
      </c>
      <c r="H5" s="398"/>
      <c r="I5" s="399">
        <v>8494238.8854999989</v>
      </c>
      <c r="J5" s="399">
        <f>SUM(H5:I5)</f>
        <v>8494238.8854999989</v>
      </c>
      <c r="K5" s="232">
        <f>G5-J5</f>
        <v>447065.20450000092</v>
      </c>
      <c r="L5" s="232"/>
      <c r="M5" s="232"/>
      <c r="N5" s="232"/>
      <c r="O5" s="232"/>
    </row>
    <row r="6" spans="1:15" ht="26.1" customHeight="1" x14ac:dyDescent="0.7">
      <c r="A6" s="96" t="s">
        <v>6260</v>
      </c>
      <c r="B6" s="103" t="s">
        <v>6000</v>
      </c>
      <c r="C6" s="849">
        <v>0</v>
      </c>
      <c r="D6" s="850">
        <v>0</v>
      </c>
      <c r="E6" s="850">
        <v>26000</v>
      </c>
      <c r="F6" s="397">
        <f t="shared" ref="F6:F8" si="0">SUM(D6:E6)</f>
        <v>26000</v>
      </c>
      <c r="G6" s="233">
        <f t="shared" ref="G6:G19" si="1">C6+F6</f>
        <v>26000</v>
      </c>
      <c r="H6" s="398"/>
      <c r="I6" s="399">
        <v>26000</v>
      </c>
      <c r="J6" s="399">
        <f t="shared" ref="J6:J19" si="2">SUM(H6:I6)</f>
        <v>26000</v>
      </c>
      <c r="K6" s="232">
        <f t="shared" ref="K6:K19" si="3">G6-J6</f>
        <v>0</v>
      </c>
      <c r="L6" s="232"/>
      <c r="M6" s="232"/>
      <c r="N6" s="232"/>
      <c r="O6" s="232"/>
    </row>
    <row r="7" spans="1:15" ht="26.1" customHeight="1" x14ac:dyDescent="0.7">
      <c r="A7" s="96" t="s">
        <v>6261</v>
      </c>
      <c r="B7" s="103" t="s">
        <v>6001</v>
      </c>
      <c r="C7" s="851">
        <v>591809.4</v>
      </c>
      <c r="D7" s="850">
        <v>0</v>
      </c>
      <c r="E7" s="850">
        <v>3230729.49</v>
      </c>
      <c r="F7" s="397">
        <f t="shared" si="0"/>
        <v>3230729.49</v>
      </c>
      <c r="G7" s="233">
        <f t="shared" si="1"/>
        <v>3822538.89</v>
      </c>
      <c r="H7" s="399"/>
      <c r="I7" s="399">
        <v>3631411.9454999999</v>
      </c>
      <c r="J7" s="399">
        <f t="shared" si="2"/>
        <v>3631411.9454999999</v>
      </c>
      <c r="K7" s="232">
        <f t="shared" si="3"/>
        <v>191126.94450000022</v>
      </c>
      <c r="L7" s="302"/>
      <c r="M7" s="302"/>
      <c r="N7" s="302"/>
      <c r="O7" s="302"/>
    </row>
    <row r="8" spans="1:15" ht="26.1" customHeight="1" x14ac:dyDescent="0.7">
      <c r="A8" s="96" t="s">
        <v>6262</v>
      </c>
      <c r="B8" s="103" t="s">
        <v>6002</v>
      </c>
      <c r="C8" s="851">
        <v>244897.9</v>
      </c>
      <c r="D8" s="850">
        <v>0</v>
      </c>
      <c r="E8" s="850">
        <v>3195935</v>
      </c>
      <c r="F8" s="397">
        <f t="shared" si="0"/>
        <v>3195935</v>
      </c>
      <c r="G8" s="233">
        <f t="shared" si="1"/>
        <v>3440832.9</v>
      </c>
      <c r="H8" s="399"/>
      <c r="I8" s="399">
        <v>3372016.2420000001</v>
      </c>
      <c r="J8" s="399">
        <f t="shared" si="2"/>
        <v>3372016.2420000001</v>
      </c>
      <c r="K8" s="232">
        <f t="shared" si="3"/>
        <v>68816.657999999821</v>
      </c>
      <c r="L8" s="302"/>
      <c r="M8" s="302"/>
      <c r="N8" s="302"/>
      <c r="O8" s="302"/>
    </row>
    <row r="9" spans="1:15" ht="26.1" customHeight="1" x14ac:dyDescent="0.7">
      <c r="A9" s="96" t="s">
        <v>6263</v>
      </c>
      <c r="B9" s="103" t="s">
        <v>6003</v>
      </c>
      <c r="C9" s="852">
        <v>0</v>
      </c>
      <c r="D9" s="850">
        <v>0</v>
      </c>
      <c r="E9" s="850">
        <v>0</v>
      </c>
      <c r="F9" s="397">
        <f>SUM(D9:E9)</f>
        <v>0</v>
      </c>
      <c r="G9" s="233">
        <f t="shared" si="1"/>
        <v>0</v>
      </c>
      <c r="H9" s="399"/>
      <c r="I9" s="399">
        <v>0</v>
      </c>
      <c r="J9" s="399">
        <f t="shared" si="2"/>
        <v>0</v>
      </c>
      <c r="K9" s="232">
        <f t="shared" si="3"/>
        <v>0</v>
      </c>
      <c r="L9" s="302"/>
      <c r="M9" s="302"/>
      <c r="N9" s="302"/>
      <c r="O9" s="302"/>
    </row>
    <row r="10" spans="1:15" ht="26.1" customHeight="1" x14ac:dyDescent="0.7">
      <c r="A10" s="96" t="s">
        <v>6264</v>
      </c>
      <c r="B10" s="103" t="s">
        <v>6004</v>
      </c>
      <c r="C10" s="853">
        <v>110676.7</v>
      </c>
      <c r="D10" s="850">
        <v>0</v>
      </c>
      <c r="E10" s="850">
        <v>500067.41</v>
      </c>
      <c r="F10" s="397">
        <f t="shared" ref="F10:F19" si="4">SUM(D10:E10)</f>
        <v>500067.41</v>
      </c>
      <c r="G10" s="233">
        <f t="shared" si="1"/>
        <v>610744.11</v>
      </c>
      <c r="H10" s="399"/>
      <c r="I10" s="399">
        <v>598529.22779999999</v>
      </c>
      <c r="J10" s="399">
        <f t="shared" si="2"/>
        <v>598529.22779999999</v>
      </c>
      <c r="K10" s="232">
        <f t="shared" si="3"/>
        <v>12214.882199999993</v>
      </c>
      <c r="L10" s="302"/>
      <c r="M10" s="302"/>
      <c r="N10" s="302"/>
      <c r="O10" s="302"/>
    </row>
    <row r="11" spans="1:15" ht="26.1" customHeight="1" x14ac:dyDescent="0.7">
      <c r="A11" s="96" t="s">
        <v>6265</v>
      </c>
      <c r="B11" s="103" t="s">
        <v>686</v>
      </c>
      <c r="C11" s="849">
        <v>0</v>
      </c>
      <c r="D11" s="849">
        <v>0</v>
      </c>
      <c r="E11" s="850">
        <v>3070000</v>
      </c>
      <c r="F11" s="397">
        <f t="shared" si="4"/>
        <v>3070000</v>
      </c>
      <c r="G11" s="233">
        <f t="shared" si="1"/>
        <v>3070000</v>
      </c>
      <c r="H11" s="398"/>
      <c r="I11" s="399">
        <v>3008600</v>
      </c>
      <c r="J11" s="399">
        <f t="shared" si="2"/>
        <v>3008600</v>
      </c>
      <c r="K11" s="232">
        <f t="shared" si="3"/>
        <v>61400</v>
      </c>
      <c r="L11" s="232"/>
      <c r="M11" s="232"/>
      <c r="N11" s="232"/>
      <c r="O11" s="232"/>
    </row>
    <row r="12" spans="1:15" ht="26.1" customHeight="1" x14ac:dyDescent="0.7">
      <c r="A12" s="96" t="s">
        <v>6266</v>
      </c>
      <c r="B12" s="548" t="s">
        <v>6028</v>
      </c>
      <c r="C12" s="854">
        <v>0</v>
      </c>
      <c r="D12" s="849">
        <v>0</v>
      </c>
      <c r="E12" s="855">
        <v>7725600</v>
      </c>
      <c r="F12" s="397">
        <f t="shared" si="4"/>
        <v>7725600</v>
      </c>
      <c r="G12" s="233">
        <f t="shared" si="1"/>
        <v>7725600</v>
      </c>
      <c r="H12" s="399"/>
      <c r="I12" s="399">
        <v>7725600</v>
      </c>
      <c r="J12" s="399">
        <f t="shared" si="2"/>
        <v>7725600</v>
      </c>
      <c r="K12" s="232">
        <f t="shared" si="3"/>
        <v>0</v>
      </c>
      <c r="L12" s="302"/>
      <c r="M12" s="302"/>
      <c r="N12" s="302"/>
      <c r="O12" s="302"/>
    </row>
    <row r="13" spans="1:15" ht="26.1" customHeight="1" x14ac:dyDescent="0.7">
      <c r="A13" s="96" t="s">
        <v>6267</v>
      </c>
      <c r="B13" s="548" t="s">
        <v>6029</v>
      </c>
      <c r="C13" s="854">
        <v>1527550.05</v>
      </c>
      <c r="D13" s="849">
        <v>0</v>
      </c>
      <c r="E13" s="855">
        <v>18801177.419999998</v>
      </c>
      <c r="F13" s="397">
        <f t="shared" si="4"/>
        <v>18801177.419999998</v>
      </c>
      <c r="G13" s="233">
        <f t="shared" si="1"/>
        <v>20328727.469999999</v>
      </c>
      <c r="H13" s="399"/>
      <c r="I13" s="399">
        <v>19922152.920600001</v>
      </c>
      <c r="J13" s="399">
        <f t="shared" si="2"/>
        <v>19922152.920600001</v>
      </c>
      <c r="K13" s="232">
        <f t="shared" si="3"/>
        <v>406574.54939999804</v>
      </c>
      <c r="L13" s="302"/>
      <c r="M13" s="302"/>
      <c r="N13" s="302"/>
      <c r="O13" s="302"/>
    </row>
    <row r="14" spans="1:15" ht="26.1" customHeight="1" x14ac:dyDescent="0.7">
      <c r="A14" s="96" t="s">
        <v>6268</v>
      </c>
      <c r="B14" s="548" t="s">
        <v>6030</v>
      </c>
      <c r="C14" s="854">
        <v>0</v>
      </c>
      <c r="D14" s="849">
        <v>0</v>
      </c>
      <c r="E14" s="855">
        <v>1318001.42</v>
      </c>
      <c r="F14" s="397">
        <f t="shared" si="4"/>
        <v>1318001.42</v>
      </c>
      <c r="G14" s="233">
        <f t="shared" si="1"/>
        <v>1318001.42</v>
      </c>
      <c r="H14" s="399"/>
      <c r="I14" s="399">
        <v>1291641.3916</v>
      </c>
      <c r="J14" s="399">
        <f t="shared" si="2"/>
        <v>1291641.3916</v>
      </c>
      <c r="K14" s="232">
        <f t="shared" si="3"/>
        <v>26360.028399999952</v>
      </c>
      <c r="L14" s="302"/>
      <c r="M14" s="302"/>
      <c r="N14" s="302"/>
      <c r="O14" s="302"/>
    </row>
    <row r="15" spans="1:15" ht="26.1" customHeight="1" x14ac:dyDescent="0.7">
      <c r="A15" s="96" t="s">
        <v>6269</v>
      </c>
      <c r="B15" s="103" t="s">
        <v>6031</v>
      </c>
      <c r="C15" s="849">
        <v>0</v>
      </c>
      <c r="D15" s="854">
        <v>0</v>
      </c>
      <c r="E15" s="855">
        <v>0</v>
      </c>
      <c r="F15" s="397">
        <f t="shared" si="4"/>
        <v>0</v>
      </c>
      <c r="G15" s="233">
        <f t="shared" si="1"/>
        <v>0</v>
      </c>
      <c r="H15" s="398"/>
      <c r="I15" s="399">
        <v>0</v>
      </c>
      <c r="J15" s="399">
        <f t="shared" si="2"/>
        <v>0</v>
      </c>
      <c r="K15" s="232">
        <f t="shared" si="3"/>
        <v>0</v>
      </c>
      <c r="L15" s="232"/>
      <c r="M15" s="232"/>
      <c r="N15" s="232"/>
      <c r="O15" s="232"/>
    </row>
    <row r="16" spans="1:15" ht="26.1" customHeight="1" x14ac:dyDescent="0.7">
      <c r="A16" s="96" t="s">
        <v>6270</v>
      </c>
      <c r="B16" s="548" t="s">
        <v>6032</v>
      </c>
      <c r="C16" s="854">
        <v>18467.349999999999</v>
      </c>
      <c r="D16" s="854">
        <v>0</v>
      </c>
      <c r="E16" s="855">
        <v>1434000</v>
      </c>
      <c r="F16" s="397">
        <f t="shared" si="4"/>
        <v>1434000</v>
      </c>
      <c r="G16" s="233">
        <f t="shared" si="1"/>
        <v>1452467.35</v>
      </c>
      <c r="H16" s="399"/>
      <c r="I16" s="399">
        <v>1423418.003</v>
      </c>
      <c r="J16" s="399">
        <f t="shared" si="2"/>
        <v>1423418.003</v>
      </c>
      <c r="K16" s="232">
        <f t="shared" si="3"/>
        <v>29049.347000000067</v>
      </c>
      <c r="L16" s="302"/>
      <c r="M16" s="302"/>
      <c r="N16" s="302"/>
      <c r="O16" s="302"/>
    </row>
    <row r="17" spans="1:15" ht="26.1" customHeight="1" x14ac:dyDescent="0.7">
      <c r="A17" s="96" t="s">
        <v>6271</v>
      </c>
      <c r="B17" s="103" t="s">
        <v>687</v>
      </c>
      <c r="C17" s="849">
        <v>154275</v>
      </c>
      <c r="D17" s="856">
        <v>1546100</v>
      </c>
      <c r="E17" s="855">
        <v>13312250</v>
      </c>
      <c r="F17" s="397">
        <f t="shared" si="4"/>
        <v>14858350</v>
      </c>
      <c r="G17" s="233">
        <f t="shared" si="1"/>
        <v>15012625</v>
      </c>
      <c r="H17" s="398">
        <v>1546100</v>
      </c>
      <c r="I17" s="399">
        <v>13197194.5</v>
      </c>
      <c r="J17" s="399">
        <f t="shared" si="2"/>
        <v>14743294.5</v>
      </c>
      <c r="K17" s="232">
        <f t="shared" si="3"/>
        <v>269330.5</v>
      </c>
      <c r="L17" s="232"/>
      <c r="M17" s="232"/>
      <c r="N17" s="232"/>
      <c r="O17" s="232"/>
    </row>
    <row r="18" spans="1:15" ht="26.1" customHeight="1" x14ac:dyDescent="0.7">
      <c r="A18" s="96" t="s">
        <v>6272</v>
      </c>
      <c r="B18" s="103" t="s">
        <v>2189</v>
      </c>
      <c r="C18" s="849">
        <v>398627.46</v>
      </c>
      <c r="D18" s="857">
        <v>0</v>
      </c>
      <c r="E18" s="855">
        <v>3367185.8</v>
      </c>
      <c r="F18" s="397">
        <f t="shared" si="4"/>
        <v>3367185.8</v>
      </c>
      <c r="G18" s="233">
        <f t="shared" si="1"/>
        <v>3765813.26</v>
      </c>
      <c r="H18" s="398"/>
      <c r="I18" s="399">
        <v>3690496.9947999995</v>
      </c>
      <c r="J18" s="399">
        <f t="shared" si="2"/>
        <v>3690496.9947999995</v>
      </c>
      <c r="K18" s="232">
        <f t="shared" si="3"/>
        <v>75316.265200000256</v>
      </c>
      <c r="L18" s="232"/>
      <c r="M18" s="232"/>
      <c r="N18" s="232"/>
      <c r="O18" s="232"/>
    </row>
    <row r="19" spans="1:15" ht="26.1" customHeight="1" x14ac:dyDescent="0.7">
      <c r="A19" s="96" t="s">
        <v>6273</v>
      </c>
      <c r="B19" s="103" t="s">
        <v>593</v>
      </c>
      <c r="C19" s="849">
        <v>819534.51</v>
      </c>
      <c r="D19" s="857">
        <v>0</v>
      </c>
      <c r="E19" s="850">
        <v>0</v>
      </c>
      <c r="F19" s="397">
        <f t="shared" si="4"/>
        <v>0</v>
      </c>
      <c r="G19" s="233">
        <f t="shared" si="1"/>
        <v>819534.51</v>
      </c>
      <c r="H19" s="398"/>
      <c r="I19" s="399">
        <v>803143.81980000006</v>
      </c>
      <c r="J19" s="399">
        <f t="shared" si="2"/>
        <v>803143.81980000006</v>
      </c>
      <c r="K19" s="232">
        <f t="shared" si="3"/>
        <v>16390.690199999954</v>
      </c>
      <c r="L19" s="232"/>
      <c r="M19" s="232"/>
      <c r="N19" s="232"/>
      <c r="O19" s="232"/>
    </row>
    <row r="20" spans="1:15" s="118" customFormat="1" ht="26.1" customHeight="1" x14ac:dyDescent="0.25">
      <c r="B20" s="97" t="s">
        <v>688</v>
      </c>
      <c r="C20" s="234">
        <f>SUM(C5:C19)</f>
        <v>5217604.2100000009</v>
      </c>
      <c r="D20" s="234">
        <f>SUM(D5:D19)</f>
        <v>1546100</v>
      </c>
      <c r="E20" s="234">
        <f t="shared" ref="E20:F20" si="5">SUM(E5:E19)</f>
        <v>63570484.789999992</v>
      </c>
      <c r="F20" s="234">
        <f t="shared" si="5"/>
        <v>65116584.789999992</v>
      </c>
      <c r="G20" s="234">
        <f>SUM(G5:G19)</f>
        <v>70334189.000000015</v>
      </c>
      <c r="H20" s="400">
        <f>SUM(H5:H19)</f>
        <v>1546100</v>
      </c>
      <c r="I20" s="400">
        <f t="shared" ref="I20:J20" si="6">SUM(I5:I19)</f>
        <v>67184443.930600002</v>
      </c>
      <c r="J20" s="400">
        <f t="shared" si="6"/>
        <v>68730543.930600002</v>
      </c>
      <c r="K20" s="234">
        <f>SUM(K5:K19)</f>
        <v>1603645.069399999</v>
      </c>
      <c r="L20" s="234">
        <f>SUM(L5:L19)</f>
        <v>0</v>
      </c>
      <c r="M20" s="234">
        <f>SUM(M5:M19)</f>
        <v>0</v>
      </c>
      <c r="N20" s="234">
        <f>SUM(N5:N19)</f>
        <v>0</v>
      </c>
      <c r="O20" s="234">
        <f>SUM(O5:O19)</f>
        <v>0</v>
      </c>
    </row>
    <row r="21" spans="1:15" ht="26.1" customHeight="1" x14ac:dyDescent="0.75">
      <c r="B21" s="4"/>
      <c r="C21" s="17"/>
      <c r="D21" s="17"/>
      <c r="E21" s="17"/>
      <c r="F21" s="17"/>
      <c r="G21" s="40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75">
      <c r="B22" s="4"/>
      <c r="C22" s="18"/>
      <c r="D22" s="18"/>
      <c r="E22" s="18"/>
      <c r="F22" s="18"/>
      <c r="G22" s="41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75">
      <c r="B23" s="4"/>
      <c r="C23" s="18"/>
      <c r="D23" s="18"/>
      <c r="E23" s="18"/>
      <c r="F23" s="18"/>
      <c r="G23" s="41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75">
      <c r="B24" s="4"/>
      <c r="C24" s="19"/>
      <c r="D24" s="19"/>
      <c r="E24" s="19"/>
      <c r="F24" s="19"/>
      <c r="G24" s="42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75">
      <c r="B25" s="4"/>
      <c r="C25" s="19"/>
      <c r="D25" s="19"/>
      <c r="E25" s="19"/>
      <c r="F25" s="19"/>
      <c r="G25" s="42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75">
      <c r="B26" s="4"/>
      <c r="C26" s="17"/>
      <c r="D26" s="17"/>
      <c r="E26" s="17"/>
      <c r="F26" s="17"/>
      <c r="G26" s="40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75">
      <c r="B27" s="4"/>
      <c r="C27" s="17"/>
      <c r="D27" s="17"/>
      <c r="E27" s="17"/>
      <c r="F27" s="17"/>
      <c r="G27" s="40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75">
      <c r="B28" s="4"/>
      <c r="C28" s="17"/>
      <c r="D28" s="17"/>
      <c r="E28" s="17"/>
      <c r="F28" s="17"/>
      <c r="G28" s="40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75">
      <c r="B29" s="4"/>
      <c r="C29" s="17"/>
      <c r="D29" s="17"/>
      <c r="E29" s="17"/>
      <c r="F29" s="17"/>
      <c r="G29" s="40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75">
      <c r="B30" s="4"/>
      <c r="C30" s="17"/>
      <c r="D30" s="17"/>
      <c r="E30" s="17"/>
      <c r="F30" s="17"/>
      <c r="G30" s="40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75">
      <c r="B31" s="4"/>
      <c r="C31" s="17"/>
      <c r="D31" s="17"/>
      <c r="E31" s="17"/>
      <c r="F31" s="17"/>
      <c r="G31" s="40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75">
      <c r="B32" s="4"/>
      <c r="C32" s="17"/>
      <c r="D32" s="17"/>
      <c r="E32" s="17"/>
      <c r="F32" s="17"/>
      <c r="G32" s="40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75">
      <c r="B33" s="4"/>
      <c r="C33" s="17"/>
      <c r="D33" s="17"/>
      <c r="E33" s="17"/>
      <c r="F33" s="17"/>
      <c r="G33" s="40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75">
      <c r="B34" s="4"/>
      <c r="C34" s="17"/>
      <c r="D34" s="17"/>
      <c r="E34" s="17"/>
      <c r="F34" s="17"/>
      <c r="G34" s="40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75">
      <c r="B35" s="4"/>
      <c r="C35" s="17"/>
      <c r="D35" s="17"/>
      <c r="E35" s="17"/>
      <c r="F35" s="17"/>
      <c r="G35" s="40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75">
      <c r="B36" s="4"/>
      <c r="C36" s="17"/>
      <c r="D36" s="17"/>
      <c r="E36" s="17"/>
      <c r="F36" s="17"/>
      <c r="G36" s="40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75">
      <c r="B37" s="4"/>
      <c r="C37" s="17"/>
      <c r="D37" s="17"/>
      <c r="E37" s="17"/>
      <c r="F37" s="17"/>
      <c r="G37" s="40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75">
      <c r="B38" s="4"/>
      <c r="C38" s="17"/>
      <c r="D38" s="17"/>
      <c r="E38" s="17"/>
      <c r="F38" s="17"/>
      <c r="G38" s="40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75">
      <c r="B39" s="4"/>
      <c r="C39" s="17"/>
      <c r="D39" s="17"/>
      <c r="E39" s="17"/>
      <c r="F39" s="17"/>
      <c r="G39" s="40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75">
      <c r="B40" s="4"/>
      <c r="C40" s="17"/>
      <c r="D40" s="17"/>
      <c r="E40" s="17"/>
      <c r="F40" s="17"/>
      <c r="G40" s="40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75">
      <c r="B41" s="4"/>
      <c r="C41" s="17"/>
      <c r="D41" s="17"/>
      <c r="E41" s="17"/>
      <c r="F41" s="17"/>
      <c r="G41" s="40"/>
      <c r="H41" s="4"/>
      <c r="I41" s="4"/>
      <c r="J41" s="4"/>
      <c r="K41" s="4"/>
      <c r="L41" s="4"/>
      <c r="M41" s="4"/>
      <c r="N41" s="4"/>
      <c r="O41" s="4"/>
    </row>
    <row r="42" spans="2:15" ht="27" x14ac:dyDescent="0.75">
      <c r="B42" s="4"/>
      <c r="C42" s="4"/>
      <c r="D42" s="4"/>
      <c r="E42" s="4"/>
      <c r="F42" s="4"/>
      <c r="G42" s="43"/>
      <c r="H42" s="4"/>
      <c r="I42" s="4"/>
      <c r="J42" s="4"/>
      <c r="K42" s="4"/>
      <c r="L42" s="4"/>
      <c r="M42" s="4"/>
      <c r="N42" s="4"/>
      <c r="O42" s="4"/>
    </row>
    <row r="43" spans="2:15" ht="27" x14ac:dyDescent="0.75">
      <c r="B43" s="4"/>
      <c r="C43" s="4"/>
      <c r="D43" s="4"/>
      <c r="E43" s="4"/>
      <c r="F43" s="4"/>
      <c r="G43" s="43"/>
      <c r="H43" s="4"/>
      <c r="I43" s="4"/>
      <c r="J43" s="4"/>
      <c r="K43" s="4"/>
      <c r="L43" s="4"/>
      <c r="M43" s="4"/>
      <c r="N43" s="4"/>
      <c r="O43" s="4"/>
    </row>
    <row r="44" spans="2:15" ht="27" x14ac:dyDescent="0.75">
      <c r="B44" s="4"/>
      <c r="C44" s="4"/>
      <c r="D44" s="4"/>
      <c r="E44" s="4"/>
      <c r="F44" s="4"/>
      <c r="G44" s="43"/>
      <c r="H44" s="4"/>
      <c r="I44" s="4"/>
      <c r="J44" s="4"/>
      <c r="K44" s="4"/>
      <c r="L44" s="4"/>
      <c r="M44" s="4"/>
      <c r="N44" s="4"/>
      <c r="O44" s="4"/>
    </row>
    <row r="45" spans="2:15" ht="27" x14ac:dyDescent="0.75">
      <c r="B45" s="4"/>
      <c r="C45" s="4"/>
      <c r="D45" s="4"/>
      <c r="E45" s="4"/>
      <c r="F45" s="4"/>
      <c r="G45" s="43"/>
      <c r="H45" s="4"/>
      <c r="I45" s="4"/>
      <c r="J45" s="4"/>
      <c r="K45" s="4"/>
      <c r="L45" s="4"/>
      <c r="M45" s="4"/>
      <c r="N45" s="4"/>
      <c r="O45" s="4"/>
    </row>
    <row r="46" spans="2:15" ht="27" x14ac:dyDescent="0.75">
      <c r="B46" s="4"/>
      <c r="C46" s="4"/>
      <c r="D46" s="4"/>
      <c r="E46" s="4"/>
      <c r="F46" s="4"/>
      <c r="G46" s="43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2" sqref="A12"/>
    </sheetView>
  </sheetViews>
  <sheetFormatPr defaultColWidth="8.8984375" defaultRowHeight="16.8" x14ac:dyDescent="0.5"/>
  <cols>
    <col min="1" max="1" width="37.3984375" style="5" customWidth="1"/>
    <col min="2" max="3" width="22.8984375" style="5" customWidth="1"/>
    <col min="4" max="4" width="22.8984375" style="36" customWidth="1"/>
    <col min="5" max="5" width="26.8984375" style="5" customWidth="1"/>
    <col min="6" max="8" width="22.8984375" style="5" customWidth="1"/>
    <col min="9" max="9" width="12.3984375" style="5" customWidth="1"/>
    <col min="10" max="16384" width="8.8984375" style="5"/>
  </cols>
  <sheetData>
    <row r="1" spans="1:8" ht="30" x14ac:dyDescent="0.85">
      <c r="A1" s="116" t="s">
        <v>679</v>
      </c>
      <c r="B1" s="117"/>
      <c r="C1" s="117"/>
      <c r="D1" s="117"/>
      <c r="E1" s="117"/>
      <c r="F1" s="117"/>
      <c r="G1" s="117"/>
      <c r="H1" s="117"/>
    </row>
    <row r="2" spans="1:8" s="106" customFormat="1" ht="25.2" customHeight="1" x14ac:dyDescent="0.25">
      <c r="A2" s="340"/>
      <c r="B2" s="341" t="s">
        <v>1033</v>
      </c>
      <c r="C2" s="341" t="s">
        <v>1034</v>
      </c>
      <c r="D2" s="341" t="s">
        <v>1160</v>
      </c>
      <c r="E2" s="341" t="s">
        <v>1036</v>
      </c>
      <c r="F2" s="342" t="s">
        <v>1030</v>
      </c>
      <c r="G2" s="341" t="s">
        <v>1032</v>
      </c>
      <c r="H2" s="341" t="s">
        <v>2228</v>
      </c>
    </row>
    <row r="3" spans="1:8" s="343" customFormat="1" ht="25.2" customHeight="1" x14ac:dyDescent="0.25">
      <c r="C3" s="343" t="s">
        <v>1166</v>
      </c>
      <c r="D3" s="106"/>
      <c r="E3" s="343" t="s">
        <v>9231</v>
      </c>
    </row>
    <row r="4" spans="1:8" s="38" customFormat="1" ht="73.8" x14ac:dyDescent="0.5">
      <c r="A4" s="97" t="s">
        <v>682</v>
      </c>
      <c r="B4" s="114" t="s">
        <v>6413</v>
      </c>
      <c r="C4" s="114" t="s">
        <v>6412</v>
      </c>
      <c r="D4" s="114" t="s">
        <v>6411</v>
      </c>
      <c r="E4" s="361" t="s">
        <v>6410</v>
      </c>
      <c r="F4" s="114" t="s">
        <v>1031</v>
      </c>
      <c r="G4" s="114" t="s">
        <v>1037</v>
      </c>
      <c r="H4" s="408" t="s">
        <v>6409</v>
      </c>
    </row>
    <row r="5" spans="1:8" s="6" customFormat="1" ht="24.6" x14ac:dyDescent="0.7">
      <c r="A5" s="8" t="s">
        <v>2262</v>
      </c>
      <c r="B5" s="232">
        <v>387911.49</v>
      </c>
      <c r="C5" s="235">
        <f>SUM('[2]2.Revenue'!G4,'[2]2.Revenue'!G13)</f>
        <v>11102500</v>
      </c>
      <c r="D5" s="236">
        <f>SUM(B5:C5)</f>
        <v>11490411.49</v>
      </c>
      <c r="E5" s="362">
        <f>D5*100/100</f>
        <v>11490411.49</v>
      </c>
      <c r="F5" s="232">
        <f>SUM('2.Revenue'!G30)</f>
        <v>25126802.669999994</v>
      </c>
      <c r="G5" s="232"/>
      <c r="H5" s="409">
        <f>SUM(D5-E5+F5-G5)</f>
        <v>25126802.669999994</v>
      </c>
    </row>
    <row r="6" spans="1:8" s="6" customFormat="1" ht="24.6" x14ac:dyDescent="0.7">
      <c r="A6" s="8" t="s">
        <v>2263</v>
      </c>
      <c r="B6" s="232">
        <v>135513.5</v>
      </c>
      <c r="C6" s="235">
        <f>SUM('[2]2.Revenue'!G5,'[2]2.Revenue'!G14)</f>
        <v>15000</v>
      </c>
      <c r="D6" s="236">
        <f t="shared" ref="D6:D11" si="0">SUM(B6:C6)</f>
        <v>150513.5</v>
      </c>
      <c r="E6" s="362">
        <f t="shared" ref="E6:E11" si="1">D6*100/100</f>
        <v>150513.5</v>
      </c>
      <c r="F6" s="237"/>
      <c r="G6" s="232"/>
      <c r="H6" s="409">
        <f>SUM(D6-E6+F6-G6)</f>
        <v>0</v>
      </c>
    </row>
    <row r="7" spans="1:8" s="6" customFormat="1" ht="24.6" x14ac:dyDescent="0.7">
      <c r="A7" s="8" t="s">
        <v>2264</v>
      </c>
      <c r="B7" s="232">
        <v>307636.78999999998</v>
      </c>
      <c r="C7" s="235">
        <f>SUM('[2]2.Revenue'!G6,'[2]2.Revenue'!G15)</f>
        <v>455613.5</v>
      </c>
      <c r="D7" s="236">
        <f t="shared" si="0"/>
        <v>763250.29</v>
      </c>
      <c r="E7" s="362">
        <f t="shared" si="1"/>
        <v>763250.29</v>
      </c>
      <c r="F7" s="232">
        <f>SUM('2.Revenue'!G32)</f>
        <v>0</v>
      </c>
      <c r="G7" s="232"/>
      <c r="H7" s="409">
        <f t="shared" ref="H7:H11" si="2">SUM(D7-E7+F7-G7)</f>
        <v>0</v>
      </c>
    </row>
    <row r="8" spans="1:8" s="6" customFormat="1" ht="24.6" x14ac:dyDescent="0.7">
      <c r="A8" s="8" t="s">
        <v>2265</v>
      </c>
      <c r="B8" s="232">
        <v>1721761.88</v>
      </c>
      <c r="C8" s="235">
        <f>SUM('[2]2.Revenue'!G7,'[2]2.Revenue'!G16)</f>
        <v>2469796.25</v>
      </c>
      <c r="D8" s="236">
        <f t="shared" si="0"/>
        <v>4191558.13</v>
      </c>
      <c r="E8" s="362">
        <f t="shared" si="1"/>
        <v>4191558.13</v>
      </c>
      <c r="F8" s="232">
        <f>SUM('2.Revenue'!G31)</f>
        <v>0</v>
      </c>
      <c r="G8" s="232"/>
      <c r="H8" s="409">
        <f t="shared" si="2"/>
        <v>0</v>
      </c>
    </row>
    <row r="9" spans="1:8" s="6" customFormat="1" ht="24.6" x14ac:dyDescent="0.7">
      <c r="A9" s="8" t="s">
        <v>2266</v>
      </c>
      <c r="B9" s="232">
        <v>2981519.34</v>
      </c>
      <c r="C9" s="235">
        <f>SUM('[2]2.Revenue'!G8,'[2]2.Revenue'!G17)</f>
        <v>3200000</v>
      </c>
      <c r="D9" s="236">
        <f t="shared" si="0"/>
        <v>6181519.3399999999</v>
      </c>
      <c r="E9" s="362">
        <f t="shared" si="1"/>
        <v>6181519.3399999999</v>
      </c>
      <c r="F9" s="232">
        <f>SUM('2.Revenue'!G33)</f>
        <v>302899</v>
      </c>
      <c r="G9" s="232"/>
      <c r="H9" s="409">
        <f t="shared" si="2"/>
        <v>302899</v>
      </c>
    </row>
    <row r="10" spans="1:8" s="6" customFormat="1" ht="24.6" x14ac:dyDescent="0.7">
      <c r="A10" s="8" t="s">
        <v>2267</v>
      </c>
      <c r="B10" s="232">
        <v>0</v>
      </c>
      <c r="C10" s="235">
        <f>SUM('[2]2.Revenue'!G9,'[2]2.Revenue'!G18)</f>
        <v>705000</v>
      </c>
      <c r="D10" s="236">
        <f t="shared" si="0"/>
        <v>705000</v>
      </c>
      <c r="E10" s="362">
        <f t="shared" si="1"/>
        <v>705000</v>
      </c>
      <c r="F10" s="232">
        <f>SUM('2.Revenue'!G34)</f>
        <v>0</v>
      </c>
      <c r="G10" s="232"/>
      <c r="H10" s="409">
        <f t="shared" si="2"/>
        <v>0</v>
      </c>
    </row>
    <row r="11" spans="1:8" s="6" customFormat="1" ht="24.6" x14ac:dyDescent="0.7">
      <c r="A11" s="8" t="s">
        <v>2268</v>
      </c>
      <c r="B11" s="232">
        <v>27360205.710000001</v>
      </c>
      <c r="C11" s="235">
        <f>SUM('[2]2.Revenue'!G10,'[2]2.Revenue'!G19)</f>
        <v>9846219</v>
      </c>
      <c r="D11" s="236">
        <f t="shared" si="0"/>
        <v>37206424.710000001</v>
      </c>
      <c r="E11" s="362">
        <f t="shared" si="1"/>
        <v>37206424.710000001</v>
      </c>
      <c r="F11" s="237"/>
      <c r="G11" s="232"/>
      <c r="H11" s="409">
        <f t="shared" si="2"/>
        <v>0</v>
      </c>
    </row>
    <row r="12" spans="1:8" s="1" customFormat="1" ht="24.6" x14ac:dyDescent="0.7">
      <c r="A12" s="328" t="s">
        <v>622</v>
      </c>
      <c r="B12" s="238">
        <f t="shared" ref="B12:H12" si="3">SUM(B5:B11)</f>
        <v>32894548.710000001</v>
      </c>
      <c r="C12" s="238">
        <f t="shared" si="3"/>
        <v>27794128.75</v>
      </c>
      <c r="D12" s="238">
        <f>SUM(D5:D11)</f>
        <v>60688677.460000001</v>
      </c>
      <c r="E12" s="238">
        <f t="shared" si="3"/>
        <v>60688677.460000001</v>
      </c>
      <c r="F12" s="238">
        <f t="shared" si="3"/>
        <v>25429701.669999994</v>
      </c>
      <c r="G12" s="238">
        <f t="shared" si="3"/>
        <v>0</v>
      </c>
      <c r="H12" s="410">
        <f t="shared" si="3"/>
        <v>25429701.669999994</v>
      </c>
    </row>
    <row r="13" spans="1:8" ht="19.8" customHeight="1" x14ac:dyDescent="0.5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6" sqref="G6"/>
    </sheetView>
  </sheetViews>
  <sheetFormatPr defaultColWidth="9" defaultRowHeight="27" x14ac:dyDescent="0.75"/>
  <cols>
    <col min="1" max="1" width="52.69921875" style="4" bestFit="1" customWidth="1"/>
    <col min="2" max="2" width="20.09765625" style="4" customWidth="1"/>
    <col min="3" max="3" width="7.8984375" style="4" customWidth="1"/>
    <col min="4" max="4" width="16.3984375" style="4" customWidth="1"/>
    <col min="5" max="5" width="7.296875" style="4" customWidth="1"/>
    <col min="6" max="6" width="19" style="4" customWidth="1"/>
    <col min="7" max="7" width="19.09765625" style="4" customWidth="1"/>
    <col min="8" max="8" width="16.09765625" style="4" customWidth="1"/>
    <col min="9" max="16384" width="9" style="4"/>
  </cols>
  <sheetData>
    <row r="1" spans="1:8" s="346" customFormat="1" ht="36" x14ac:dyDescent="1">
      <c r="A1" s="508" t="s">
        <v>689</v>
      </c>
      <c r="B1" s="509" t="s">
        <v>1033</v>
      </c>
      <c r="C1" s="509" t="s">
        <v>1043</v>
      </c>
      <c r="D1" s="509" t="s">
        <v>1035</v>
      </c>
      <c r="E1" s="509" t="s">
        <v>1036</v>
      </c>
      <c r="F1" s="509" t="s">
        <v>1030</v>
      </c>
      <c r="G1" s="509" t="s">
        <v>1188</v>
      </c>
      <c r="H1" s="345"/>
    </row>
    <row r="2" spans="1:8" x14ac:dyDescent="0.75">
      <c r="A2" s="752" t="s">
        <v>682</v>
      </c>
      <c r="B2" s="755" t="s">
        <v>1170</v>
      </c>
      <c r="C2" s="757" t="s">
        <v>690</v>
      </c>
      <c r="D2" s="758"/>
      <c r="E2" s="758"/>
      <c r="F2" s="759"/>
      <c r="G2" s="760" t="s">
        <v>6414</v>
      </c>
      <c r="H2" s="763" t="s">
        <v>691</v>
      </c>
    </row>
    <row r="3" spans="1:8" x14ac:dyDescent="0.75">
      <c r="A3" s="753"/>
      <c r="B3" s="756"/>
      <c r="C3" s="766" t="s">
        <v>1168</v>
      </c>
      <c r="D3" s="767"/>
      <c r="E3" s="767" t="s">
        <v>2233</v>
      </c>
      <c r="F3" s="768"/>
      <c r="G3" s="761"/>
      <c r="H3" s="764"/>
    </row>
    <row r="4" spans="1:8" s="344" customFormat="1" ht="49.2" x14ac:dyDescent="0.25">
      <c r="A4" s="754"/>
      <c r="B4" s="724"/>
      <c r="C4" s="326" t="s">
        <v>1169</v>
      </c>
      <c r="D4" s="114" t="s">
        <v>1167</v>
      </c>
      <c r="E4" s="326" t="s">
        <v>1169</v>
      </c>
      <c r="F4" s="114" t="s">
        <v>1167</v>
      </c>
      <c r="G4" s="762"/>
      <c r="H4" s="765"/>
    </row>
    <row r="5" spans="1:8" s="21" customFormat="1" x14ac:dyDescent="0.25">
      <c r="A5" s="549" t="s">
        <v>692</v>
      </c>
      <c r="B5" s="239">
        <f>SUM('1.Planfin2566'!G42)</f>
        <v>1432875.0979999991</v>
      </c>
      <c r="C5" s="240">
        <v>51</v>
      </c>
      <c r="D5" s="241">
        <v>2052250</v>
      </c>
      <c r="E5" s="240">
        <v>10</v>
      </c>
      <c r="F5" s="241">
        <v>10960000</v>
      </c>
      <c r="G5" s="363">
        <f t="shared" ref="G5" si="0">SUM(D5,F5)</f>
        <v>13012250</v>
      </c>
      <c r="H5" s="20"/>
    </row>
    <row r="6" spans="1:8" s="21" customFormat="1" x14ac:dyDescent="0.25">
      <c r="A6" s="600" t="s">
        <v>6577</v>
      </c>
      <c r="B6" s="596"/>
      <c r="C6" s="597"/>
      <c r="D6" s="598"/>
      <c r="E6" s="597"/>
      <c r="F6" s="598"/>
      <c r="G6" s="363">
        <f>SUM(D6,F6)</f>
        <v>0</v>
      </c>
      <c r="H6" s="599"/>
    </row>
    <row r="7" spans="1:8" x14ac:dyDescent="0.75">
      <c r="A7" s="34" t="s">
        <v>693</v>
      </c>
      <c r="B7" s="242"/>
      <c r="C7" s="232">
        <v>6</v>
      </c>
      <c r="D7" s="243">
        <v>300000</v>
      </c>
      <c r="E7" s="232"/>
      <c r="F7" s="243"/>
      <c r="G7" s="363">
        <f>SUM(D7,F7)</f>
        <v>300000</v>
      </c>
      <c r="H7" s="16"/>
    </row>
    <row r="8" spans="1:8" x14ac:dyDescent="0.75">
      <c r="A8" s="8" t="s">
        <v>694</v>
      </c>
      <c r="B8" s="242"/>
      <c r="C8" s="232"/>
      <c r="D8" s="243"/>
      <c r="E8" s="232">
        <v>1</v>
      </c>
      <c r="F8" s="243">
        <v>1546100</v>
      </c>
      <c r="G8" s="363">
        <f>SUM(D8,F8)</f>
        <v>1546100</v>
      </c>
      <c r="H8" s="16"/>
    </row>
    <row r="9" spans="1:8" x14ac:dyDescent="0.75">
      <c r="A9" s="8" t="s">
        <v>6519</v>
      </c>
      <c r="B9" s="242"/>
      <c r="C9" s="232"/>
      <c r="D9" s="243"/>
      <c r="E9" s="232"/>
      <c r="F9" s="243"/>
      <c r="G9" s="363">
        <f>SUM(D9,F9)</f>
        <v>0</v>
      </c>
      <c r="H9" s="16"/>
    </row>
    <row r="10" spans="1:8" x14ac:dyDescent="0.75">
      <c r="A10" s="300" t="s">
        <v>6520</v>
      </c>
      <c r="B10" s="301"/>
      <c r="C10" s="302"/>
      <c r="D10" s="303"/>
      <c r="E10" s="302"/>
      <c r="F10" s="303"/>
      <c r="G10" s="363">
        <f>SUM(D10,F10)</f>
        <v>0</v>
      </c>
      <c r="H10" s="304"/>
    </row>
    <row r="11" spans="1:8" x14ac:dyDescent="0.75">
      <c r="A11" s="44" t="s">
        <v>622</v>
      </c>
      <c r="B11" s="244">
        <f>SUM(B5:B10)</f>
        <v>1432875.0979999991</v>
      </c>
      <c r="C11" s="244">
        <f>SUM(C5:C10)</f>
        <v>57</v>
      </c>
      <c r="D11" s="244">
        <f>SUM(D5:D10)</f>
        <v>2352250</v>
      </c>
      <c r="E11" s="244">
        <f>SUM(E5:E10)</f>
        <v>11</v>
      </c>
      <c r="F11" s="244">
        <f>SUM(F5:F10)</f>
        <v>12506100</v>
      </c>
      <c r="G11" s="364">
        <f t="shared" ref="G11" si="1">SUM(G5:G10)</f>
        <v>14858350</v>
      </c>
      <c r="H11" s="13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27AF7-EF7C-43C7-A5A3-86457D595856}">
  <sheetPr>
    <tabColor theme="6"/>
  </sheetPr>
  <dimension ref="A1:V19"/>
  <sheetViews>
    <sheetView zoomScale="80" zoomScaleNormal="80" workbookViewId="0">
      <selection activeCell="CB255" sqref="CB255:CB261"/>
    </sheetView>
  </sheetViews>
  <sheetFormatPr defaultColWidth="9" defaultRowHeight="20.399999999999999" x14ac:dyDescent="0.35"/>
  <cols>
    <col min="1" max="1" width="29.59765625" style="33" customWidth="1"/>
    <col min="2" max="2" width="20.5" style="33" bestFit="1" customWidth="1"/>
    <col min="3" max="3" width="10.5" style="33" bestFit="1" customWidth="1"/>
    <col min="4" max="4" width="14.59765625" style="33" bestFit="1" customWidth="1"/>
    <col min="5" max="5" width="10.5" style="33" bestFit="1" customWidth="1"/>
    <col min="6" max="6" width="14.59765625" style="33" bestFit="1" customWidth="1"/>
    <col min="7" max="7" width="10.5" style="33" bestFit="1" customWidth="1"/>
    <col min="8" max="8" width="12" style="33" bestFit="1" customWidth="1"/>
    <col min="9" max="9" width="10.5" style="33" bestFit="1" customWidth="1"/>
    <col min="10" max="10" width="12" style="33" bestFit="1" customWidth="1"/>
    <col min="11" max="11" width="10.5" style="33" bestFit="1" customWidth="1"/>
    <col min="12" max="12" width="12" style="33" bestFit="1" customWidth="1"/>
    <col min="13" max="13" width="10.5" style="33" bestFit="1" customWidth="1"/>
    <col min="14" max="14" width="12" style="33" bestFit="1" customWidth="1"/>
    <col min="15" max="15" width="10.5" style="33" bestFit="1" customWidth="1"/>
    <col min="16" max="16" width="12" style="33" bestFit="1" customWidth="1"/>
    <col min="17" max="17" width="10.5" style="33" bestFit="1" customWidth="1"/>
    <col min="18" max="18" width="12" style="33" bestFit="1" customWidth="1"/>
    <col min="19" max="19" width="10.5" style="33" bestFit="1" customWidth="1"/>
    <col min="20" max="20" width="12.69921875" style="33" customWidth="1"/>
    <col min="21" max="21" width="15.8984375" style="33" customWidth="1"/>
    <col min="22" max="16384" width="9" style="33"/>
  </cols>
  <sheetData>
    <row r="1" spans="1:22" ht="24.6" x14ac:dyDescent="0.7">
      <c r="A1" s="1" t="s">
        <v>6524</v>
      </c>
      <c r="B1" s="1"/>
      <c r="C1" s="1"/>
      <c r="D1" s="1"/>
      <c r="E1" s="1"/>
      <c r="F1" s="1"/>
      <c r="G1" s="1"/>
    </row>
    <row r="4" spans="1:22" ht="24.6" x14ac:dyDescent="0.7">
      <c r="A4" s="771" t="s">
        <v>682</v>
      </c>
      <c r="B4" s="769" t="s">
        <v>6525</v>
      </c>
      <c r="C4" s="770"/>
      <c r="D4" s="769" t="s">
        <v>6526</v>
      </c>
      <c r="E4" s="770"/>
      <c r="F4" s="769" t="s">
        <v>6527</v>
      </c>
      <c r="G4" s="770"/>
      <c r="H4" s="769" t="s">
        <v>6528</v>
      </c>
      <c r="I4" s="770"/>
      <c r="J4" s="769" t="s">
        <v>6529</v>
      </c>
      <c r="K4" s="770"/>
      <c r="L4" s="769" t="s">
        <v>6530</v>
      </c>
      <c r="M4" s="770"/>
      <c r="N4" s="769" t="s">
        <v>6531</v>
      </c>
      <c r="O4" s="770"/>
      <c r="P4" s="769" t="s">
        <v>6532</v>
      </c>
      <c r="Q4" s="770"/>
      <c r="R4" s="769" t="s">
        <v>6533</v>
      </c>
      <c r="S4" s="770"/>
      <c r="T4" s="6"/>
      <c r="U4" s="6"/>
      <c r="V4" s="6"/>
    </row>
    <row r="5" spans="1:22" ht="73.8" x14ac:dyDescent="0.7">
      <c r="A5" s="771"/>
      <c r="B5" s="601" t="s">
        <v>6534</v>
      </c>
      <c r="C5" s="601" t="s">
        <v>6535</v>
      </c>
      <c r="D5" s="601" t="s">
        <v>6534</v>
      </c>
      <c r="E5" s="601" t="s">
        <v>6535</v>
      </c>
      <c r="F5" s="601" t="s">
        <v>6534</v>
      </c>
      <c r="G5" s="601" t="s">
        <v>6535</v>
      </c>
      <c r="H5" s="601" t="s">
        <v>6534</v>
      </c>
      <c r="I5" s="601" t="s">
        <v>6535</v>
      </c>
      <c r="J5" s="601" t="s">
        <v>6534</v>
      </c>
      <c r="K5" s="601" t="s">
        <v>6535</v>
      </c>
      <c r="L5" s="601" t="s">
        <v>6534</v>
      </c>
      <c r="M5" s="601" t="s">
        <v>6535</v>
      </c>
      <c r="N5" s="601" t="s">
        <v>6534</v>
      </c>
      <c r="O5" s="601" t="s">
        <v>6535</v>
      </c>
      <c r="P5" s="601" t="s">
        <v>6534</v>
      </c>
      <c r="Q5" s="601" t="s">
        <v>6535</v>
      </c>
      <c r="R5" s="601" t="s">
        <v>6534</v>
      </c>
      <c r="S5" s="601" t="s">
        <v>6535</v>
      </c>
      <c r="T5" s="6"/>
      <c r="U5" s="6"/>
      <c r="V5" s="6"/>
    </row>
    <row r="6" spans="1:22" ht="24.6" x14ac:dyDescent="0.7">
      <c r="A6" s="602"/>
      <c r="B6" s="603"/>
      <c r="C6" s="504"/>
      <c r="D6" s="603"/>
      <c r="E6" s="504"/>
      <c r="F6" s="603"/>
      <c r="G6" s="300"/>
      <c r="H6" s="603"/>
      <c r="I6" s="300"/>
      <c r="J6" s="603"/>
      <c r="K6" s="300"/>
      <c r="L6" s="603"/>
      <c r="M6" s="300"/>
      <c r="N6" s="603"/>
      <c r="O6" s="504"/>
      <c r="P6" s="603"/>
      <c r="Q6" s="300"/>
      <c r="R6" s="603"/>
      <c r="S6" s="504">
        <f t="shared" ref="S6:S17" si="0">C6+E6+G6+I6+K6+M6+O6+Q6</f>
        <v>0</v>
      </c>
      <c r="T6" s="6"/>
      <c r="U6" s="7"/>
      <c r="V6" s="6"/>
    </row>
    <row r="7" spans="1:22" ht="24.6" x14ac:dyDescent="0.7">
      <c r="A7" s="604"/>
      <c r="B7" s="603"/>
      <c r="C7" s="504"/>
      <c r="D7" s="603"/>
      <c r="E7" s="504"/>
      <c r="F7" s="603"/>
      <c r="G7" s="300"/>
      <c r="H7" s="603"/>
      <c r="I7" s="300"/>
      <c r="J7" s="603"/>
      <c r="K7" s="300"/>
      <c r="L7" s="603"/>
      <c r="M7" s="300"/>
      <c r="N7" s="603"/>
      <c r="O7" s="504"/>
      <c r="P7" s="603"/>
      <c r="Q7" s="300"/>
      <c r="R7" s="603"/>
      <c r="S7" s="504">
        <f t="shared" si="0"/>
        <v>0</v>
      </c>
      <c r="T7" s="6"/>
      <c r="U7" s="7"/>
      <c r="V7" s="6"/>
    </row>
    <row r="8" spans="1:22" ht="24.6" x14ac:dyDescent="0.7">
      <c r="A8" s="300"/>
      <c r="B8" s="603"/>
      <c r="C8" s="504"/>
      <c r="D8" s="603"/>
      <c r="E8" s="504"/>
      <c r="F8" s="603"/>
      <c r="G8" s="504"/>
      <c r="H8" s="603"/>
      <c r="I8" s="504"/>
      <c r="J8" s="603"/>
      <c r="K8" s="300"/>
      <c r="L8" s="603"/>
      <c r="M8" s="504"/>
      <c r="N8" s="603"/>
      <c r="O8" s="504"/>
      <c r="P8" s="603"/>
      <c r="Q8" s="300"/>
      <c r="R8" s="603"/>
      <c r="S8" s="504">
        <f t="shared" si="0"/>
        <v>0</v>
      </c>
      <c r="T8" s="6"/>
      <c r="U8" s="7"/>
      <c r="V8" s="6"/>
    </row>
    <row r="9" spans="1:22" ht="24.6" x14ac:dyDescent="0.7">
      <c r="A9" s="300"/>
      <c r="B9" s="603"/>
      <c r="C9" s="504"/>
      <c r="D9" s="603"/>
      <c r="E9" s="504"/>
      <c r="F9" s="603"/>
      <c r="G9" s="504"/>
      <c r="H9" s="603"/>
      <c r="I9" s="504"/>
      <c r="J9" s="603"/>
      <c r="K9" s="504"/>
      <c r="L9" s="603"/>
      <c r="M9" s="504"/>
      <c r="N9" s="603"/>
      <c r="O9" s="504"/>
      <c r="P9" s="603"/>
      <c r="Q9" s="504"/>
      <c r="R9" s="603"/>
      <c r="S9" s="504">
        <f t="shared" si="0"/>
        <v>0</v>
      </c>
      <c r="T9" s="6"/>
      <c r="U9" s="7"/>
      <c r="V9" s="6"/>
    </row>
    <row r="10" spans="1:22" ht="24.6" x14ac:dyDescent="0.7">
      <c r="A10" s="300"/>
      <c r="B10" s="603"/>
      <c r="C10" s="504"/>
      <c r="D10" s="603"/>
      <c r="E10" s="504"/>
      <c r="F10" s="603"/>
      <c r="G10" s="504"/>
      <c r="H10" s="603"/>
      <c r="I10" s="504"/>
      <c r="J10" s="603"/>
      <c r="K10" s="504"/>
      <c r="L10" s="603"/>
      <c r="M10" s="504"/>
      <c r="N10" s="603"/>
      <c r="O10" s="504"/>
      <c r="P10" s="603"/>
      <c r="Q10" s="504"/>
      <c r="R10" s="603"/>
      <c r="S10" s="504">
        <f t="shared" si="0"/>
        <v>0</v>
      </c>
      <c r="T10" s="6"/>
      <c r="U10" s="7"/>
      <c r="V10" s="6"/>
    </row>
    <row r="11" spans="1:22" ht="24.6" x14ac:dyDescent="0.7">
      <c r="A11" s="300"/>
      <c r="B11" s="603"/>
      <c r="C11" s="504"/>
      <c r="D11" s="603"/>
      <c r="E11" s="504"/>
      <c r="F11" s="603"/>
      <c r="G11" s="300"/>
      <c r="H11" s="603"/>
      <c r="I11" s="300"/>
      <c r="J11" s="603"/>
      <c r="K11" s="504"/>
      <c r="L11" s="603"/>
      <c r="M11" s="300"/>
      <c r="N11" s="603"/>
      <c r="O11" s="504"/>
      <c r="P11" s="603"/>
      <c r="Q11" s="504"/>
      <c r="R11" s="603"/>
      <c r="S11" s="504">
        <f t="shared" si="0"/>
        <v>0</v>
      </c>
      <c r="T11" s="7"/>
      <c r="U11" s="7"/>
      <c r="V11" s="6"/>
    </row>
    <row r="12" spans="1:22" ht="24.6" x14ac:dyDescent="0.7">
      <c r="A12" s="300"/>
      <c r="B12" s="603"/>
      <c r="C12" s="504"/>
      <c r="D12" s="603"/>
      <c r="E12" s="504"/>
      <c r="F12" s="603"/>
      <c r="G12" s="300"/>
      <c r="H12" s="603"/>
      <c r="I12" s="300"/>
      <c r="J12" s="603"/>
      <c r="K12" s="300"/>
      <c r="L12" s="603"/>
      <c r="M12" s="300"/>
      <c r="N12" s="603"/>
      <c r="O12" s="504"/>
      <c r="P12" s="603"/>
      <c r="Q12" s="504"/>
      <c r="R12" s="603"/>
      <c r="S12" s="504">
        <f t="shared" si="0"/>
        <v>0</v>
      </c>
      <c r="T12" s="6"/>
      <c r="U12" s="7"/>
      <c r="V12" s="6"/>
    </row>
    <row r="13" spans="1:22" ht="24.6" x14ac:dyDescent="0.7">
      <c r="A13" s="300"/>
      <c r="B13" s="603"/>
      <c r="C13" s="300"/>
      <c r="D13" s="603"/>
      <c r="E13" s="504"/>
      <c r="F13" s="603"/>
      <c r="G13" s="300"/>
      <c r="H13" s="603"/>
      <c r="I13" s="504"/>
      <c r="J13" s="603"/>
      <c r="K13" s="504"/>
      <c r="L13" s="603"/>
      <c r="M13" s="300"/>
      <c r="N13" s="603"/>
      <c r="O13" s="504"/>
      <c r="P13" s="603"/>
      <c r="Q13" s="504"/>
      <c r="R13" s="603"/>
      <c r="S13" s="504">
        <f t="shared" si="0"/>
        <v>0</v>
      </c>
      <c r="T13" s="6"/>
      <c r="U13" s="7"/>
      <c r="V13" s="6"/>
    </row>
    <row r="14" spans="1:22" ht="24.6" x14ac:dyDescent="0.7">
      <c r="A14" s="605"/>
      <c r="B14" s="603"/>
      <c r="C14" s="504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603"/>
      <c r="S14" s="504">
        <f t="shared" si="0"/>
        <v>0</v>
      </c>
      <c r="T14" s="6"/>
      <c r="U14" s="7"/>
      <c r="V14" s="6"/>
    </row>
    <row r="15" spans="1:22" ht="24.6" x14ac:dyDescent="0.7">
      <c r="A15" s="300"/>
      <c r="B15" s="603"/>
      <c r="C15" s="504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603"/>
      <c r="S15" s="504">
        <f t="shared" si="0"/>
        <v>0</v>
      </c>
      <c r="T15" s="6"/>
      <c r="U15" s="7"/>
      <c r="V15" s="6"/>
    </row>
    <row r="16" spans="1:22" ht="24.6" x14ac:dyDescent="0.7">
      <c r="A16" s="300"/>
      <c r="B16" s="603"/>
      <c r="C16" s="504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603"/>
      <c r="S16" s="504">
        <f t="shared" si="0"/>
        <v>0</v>
      </c>
      <c r="T16" s="6"/>
      <c r="U16" s="7"/>
      <c r="V16" s="6"/>
    </row>
    <row r="17" spans="1:22" ht="25.2" thickBot="1" x14ac:dyDescent="0.75">
      <c r="A17" s="606"/>
      <c r="B17" s="300"/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603"/>
      <c r="O17" s="504"/>
      <c r="P17" s="300"/>
      <c r="Q17" s="300"/>
      <c r="R17" s="603"/>
      <c r="S17" s="504">
        <f t="shared" si="0"/>
        <v>0</v>
      </c>
      <c r="T17" s="6"/>
      <c r="U17" s="7"/>
      <c r="V17" s="6"/>
    </row>
    <row r="18" spans="1:22" ht="25.2" thickBot="1" x14ac:dyDescent="0.75">
      <c r="A18" s="6"/>
      <c r="B18" s="607"/>
      <c r="C18" s="608">
        <f t="shared" ref="C18:S18" si="1">SUM(C14:C17)</f>
        <v>0</v>
      </c>
      <c r="D18" s="608">
        <f t="shared" si="1"/>
        <v>0</v>
      </c>
      <c r="E18" s="608">
        <f t="shared" si="1"/>
        <v>0</v>
      </c>
      <c r="F18" s="608">
        <f t="shared" si="1"/>
        <v>0</v>
      </c>
      <c r="G18" s="608">
        <f t="shared" si="1"/>
        <v>0</v>
      </c>
      <c r="H18" s="608">
        <f t="shared" si="1"/>
        <v>0</v>
      </c>
      <c r="I18" s="608">
        <f t="shared" si="1"/>
        <v>0</v>
      </c>
      <c r="J18" s="608">
        <f t="shared" si="1"/>
        <v>0</v>
      </c>
      <c r="K18" s="608">
        <f t="shared" si="1"/>
        <v>0</v>
      </c>
      <c r="L18" s="608">
        <f t="shared" si="1"/>
        <v>0</v>
      </c>
      <c r="M18" s="608">
        <f t="shared" si="1"/>
        <v>0</v>
      </c>
      <c r="N18" s="608">
        <f t="shared" si="1"/>
        <v>0</v>
      </c>
      <c r="O18" s="608">
        <f t="shared" si="1"/>
        <v>0</v>
      </c>
      <c r="P18" s="608">
        <f t="shared" si="1"/>
        <v>0</v>
      </c>
      <c r="Q18" s="608">
        <f t="shared" si="1"/>
        <v>0</v>
      </c>
      <c r="R18" s="609">
        <f t="shared" si="1"/>
        <v>0</v>
      </c>
      <c r="S18" s="610">
        <f t="shared" si="1"/>
        <v>0</v>
      </c>
      <c r="T18" s="6"/>
      <c r="U18" s="6"/>
      <c r="V18" s="6"/>
    </row>
    <row r="19" spans="1:22" ht="24.6" x14ac:dyDescent="0.7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2"/>
  <sheetViews>
    <sheetView showGridLines="0" workbookViewId="0"/>
  </sheetViews>
  <sheetFormatPr defaultColWidth="8.8984375" defaultRowHeight="24.6" x14ac:dyDescent="0.7"/>
  <cols>
    <col min="1" max="1" width="8.8984375" style="1"/>
    <col min="2" max="2" width="8" style="1" customWidth="1"/>
    <col min="3" max="3" width="32.796875" style="1" customWidth="1"/>
    <col min="4" max="4" width="3.3984375" style="1" customWidth="1"/>
    <col min="5" max="5" width="8" style="1" customWidth="1"/>
    <col min="6" max="6" width="32.796875" style="1" customWidth="1"/>
    <col min="7" max="16384" width="8.8984375" style="1"/>
  </cols>
  <sheetData>
    <row r="2" spans="2:9" ht="30" x14ac:dyDescent="0.85">
      <c r="C2" s="369"/>
      <c r="D2" s="325"/>
      <c r="E2" s="325"/>
      <c r="F2" s="325"/>
      <c r="I2" s="370" t="s">
        <v>5950</v>
      </c>
    </row>
    <row r="3" spans="2:9" ht="30" x14ac:dyDescent="0.85">
      <c r="B3" s="117"/>
      <c r="C3" s="117"/>
      <c r="D3" s="117"/>
      <c r="E3" s="117"/>
      <c r="F3" s="117"/>
      <c r="I3" s="540"/>
    </row>
    <row r="4" spans="2:9" ht="30" x14ac:dyDescent="0.85">
      <c r="B4" s="371">
        <v>1</v>
      </c>
      <c r="C4" s="582" t="s">
        <v>6446</v>
      </c>
      <c r="D4" s="372"/>
      <c r="E4" s="371">
        <v>9</v>
      </c>
      <c r="F4" s="373" t="s">
        <v>5944</v>
      </c>
      <c r="I4" s="532" t="s">
        <v>6423</v>
      </c>
    </row>
    <row r="5" spans="2:9" ht="30" x14ac:dyDescent="0.85">
      <c r="B5" s="371">
        <v>2</v>
      </c>
      <c r="C5" s="373" t="s">
        <v>673</v>
      </c>
      <c r="D5" s="372"/>
      <c r="E5" s="371">
        <v>10</v>
      </c>
      <c r="F5" s="373" t="s">
        <v>5945</v>
      </c>
    </row>
    <row r="6" spans="2:9" ht="30" x14ac:dyDescent="0.85">
      <c r="B6" s="371">
        <v>3</v>
      </c>
      <c r="C6" s="373" t="s">
        <v>5938</v>
      </c>
      <c r="D6" s="372"/>
      <c r="E6" s="371">
        <v>11</v>
      </c>
      <c r="F6" s="373" t="s">
        <v>5946</v>
      </c>
      <c r="G6" s="368"/>
    </row>
    <row r="7" spans="2:9" ht="30" x14ac:dyDescent="0.85">
      <c r="B7" s="371">
        <v>4</v>
      </c>
      <c r="C7" s="373" t="s">
        <v>5939</v>
      </c>
      <c r="D7" s="372"/>
      <c r="E7" s="371">
        <v>12</v>
      </c>
      <c r="F7" s="373" t="s">
        <v>5947</v>
      </c>
    </row>
    <row r="8" spans="2:9" ht="30" x14ac:dyDescent="0.85">
      <c r="B8" s="371">
        <v>5</v>
      </c>
      <c r="C8" s="373" t="s">
        <v>5940</v>
      </c>
      <c r="D8" s="372"/>
      <c r="E8" s="371">
        <v>13</v>
      </c>
      <c r="F8" s="373" t="s">
        <v>5948</v>
      </c>
      <c r="I8" s="532"/>
    </row>
    <row r="9" spans="2:9" ht="30" x14ac:dyDescent="0.85">
      <c r="B9" s="371">
        <v>6</v>
      </c>
      <c r="C9" s="373" t="s">
        <v>5941</v>
      </c>
      <c r="D9" s="379"/>
      <c r="E9" s="380">
        <v>14</v>
      </c>
      <c r="F9" s="381" t="s">
        <v>5949</v>
      </c>
      <c r="I9" s="545" t="s">
        <v>6367</v>
      </c>
    </row>
    <row r="10" spans="2:9" ht="30" x14ac:dyDescent="0.85">
      <c r="B10" s="371">
        <v>7</v>
      </c>
      <c r="C10" s="373" t="s">
        <v>5942</v>
      </c>
      <c r="D10" s="379"/>
      <c r="E10" s="380">
        <v>15</v>
      </c>
      <c r="F10" s="382" t="s">
        <v>5952</v>
      </c>
    </row>
    <row r="11" spans="2:9" ht="30" x14ac:dyDescent="0.85">
      <c r="B11" s="371">
        <v>8</v>
      </c>
      <c r="C11" s="373" t="s">
        <v>5943</v>
      </c>
      <c r="D11" s="379"/>
      <c r="E11" s="380"/>
      <c r="F11" s="381"/>
    </row>
    <row r="12" spans="2:9" x14ac:dyDescent="0.7">
      <c r="B12" s="374"/>
      <c r="C12" s="374"/>
      <c r="D12" s="374"/>
      <c r="E12" s="374"/>
    </row>
  </sheetData>
  <hyperlinks>
    <hyperlink ref="C4" location="'1.Planfin2566'!A1" display="Planfin66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L3" sqref="L3"/>
    </sheetView>
  </sheetViews>
  <sheetFormatPr defaultColWidth="8.8984375" defaultRowHeight="24.6" x14ac:dyDescent="0.7"/>
  <cols>
    <col min="1" max="1" width="6.296875" style="6" customWidth="1"/>
    <col min="2" max="2" width="23.8984375" style="6" customWidth="1"/>
    <col min="3" max="3" width="20" style="6" customWidth="1"/>
    <col min="4" max="12" width="15" style="6" customWidth="1"/>
    <col min="13" max="13" width="15" style="455" customWidth="1"/>
    <col min="14" max="16384" width="8.8984375" style="6"/>
  </cols>
  <sheetData>
    <row r="1" spans="1:13" x14ac:dyDescent="0.7">
      <c r="B1" s="773" t="s">
        <v>2235</v>
      </c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</row>
    <row r="2" spans="1:13" x14ac:dyDescent="0.7">
      <c r="B2" s="337"/>
      <c r="C2" s="99" t="s">
        <v>1033</v>
      </c>
      <c r="D2" s="99" t="s">
        <v>1043</v>
      </c>
      <c r="E2" s="99" t="s">
        <v>1035</v>
      </c>
      <c r="F2" s="99" t="s">
        <v>1036</v>
      </c>
      <c r="G2" s="99" t="s">
        <v>1030</v>
      </c>
      <c r="H2" s="99" t="s">
        <v>1032</v>
      </c>
      <c r="I2" s="99" t="s">
        <v>1155</v>
      </c>
      <c r="J2" s="99" t="s">
        <v>1156</v>
      </c>
      <c r="K2" s="99" t="s">
        <v>1045</v>
      </c>
      <c r="L2" s="99" t="s">
        <v>1046</v>
      </c>
      <c r="M2" s="451" t="s">
        <v>6298</v>
      </c>
    </row>
    <row r="3" spans="1:13" s="105" customFormat="1" ht="49.2" x14ac:dyDescent="0.25">
      <c r="A3" s="450" t="s">
        <v>2185</v>
      </c>
      <c r="B3" s="450" t="s">
        <v>696</v>
      </c>
      <c r="C3" s="450" t="s">
        <v>6381</v>
      </c>
      <c r="D3" s="450" t="s">
        <v>698</v>
      </c>
      <c r="E3" s="449" t="s">
        <v>581</v>
      </c>
      <c r="F3" s="449" t="s">
        <v>6292</v>
      </c>
      <c r="G3" s="449" t="s">
        <v>6287</v>
      </c>
      <c r="H3" s="449" t="s">
        <v>6293</v>
      </c>
      <c r="I3" s="449" t="s">
        <v>6289</v>
      </c>
      <c r="J3" s="449" t="s">
        <v>6294</v>
      </c>
      <c r="K3" s="449" t="s">
        <v>592</v>
      </c>
      <c r="L3" s="450" t="s">
        <v>697</v>
      </c>
      <c r="M3" s="452" t="s">
        <v>695</v>
      </c>
    </row>
    <row r="4" spans="1:13" x14ac:dyDescent="0.7">
      <c r="A4" s="446">
        <v>1</v>
      </c>
      <c r="B4" s="447" t="s">
        <v>7344</v>
      </c>
      <c r="C4" s="858">
        <v>1009986</v>
      </c>
      <c r="D4" s="444">
        <v>100900</v>
      </c>
      <c r="E4" s="858">
        <v>181211.51</v>
      </c>
      <c r="F4" s="858">
        <v>1681.08</v>
      </c>
      <c r="G4" s="858">
        <v>96183.02</v>
      </c>
      <c r="H4" s="858">
        <v>111694.3</v>
      </c>
      <c r="I4" s="858">
        <v>0</v>
      </c>
      <c r="J4" s="858">
        <v>22223.17</v>
      </c>
      <c r="K4" s="444">
        <v>17204</v>
      </c>
      <c r="L4" s="444">
        <v>150000</v>
      </c>
      <c r="M4" s="859">
        <v>1691083.08</v>
      </c>
    </row>
    <row r="5" spans="1:13" x14ac:dyDescent="0.7">
      <c r="A5" s="446">
        <v>2</v>
      </c>
      <c r="B5" s="447" t="s">
        <v>7345</v>
      </c>
      <c r="C5" s="858">
        <v>1160712</v>
      </c>
      <c r="D5" s="444">
        <v>155150</v>
      </c>
      <c r="E5" s="858">
        <v>228808.71</v>
      </c>
      <c r="F5" s="858">
        <v>3532.72</v>
      </c>
      <c r="G5" s="858">
        <v>101069.31</v>
      </c>
      <c r="H5" s="858">
        <v>113209.1</v>
      </c>
      <c r="I5" s="858">
        <v>0</v>
      </c>
      <c r="J5" s="858">
        <v>17253.169999999998</v>
      </c>
      <c r="K5" s="444">
        <v>14220</v>
      </c>
      <c r="L5" s="858">
        <v>101000</v>
      </c>
      <c r="M5" s="859">
        <v>1894955.01</v>
      </c>
    </row>
    <row r="6" spans="1:13" x14ac:dyDescent="0.7">
      <c r="A6" s="446">
        <v>3</v>
      </c>
      <c r="B6" s="447" t="s">
        <v>7346</v>
      </c>
      <c r="C6" s="858">
        <v>978318</v>
      </c>
      <c r="D6" s="444">
        <v>175950</v>
      </c>
      <c r="E6" s="858">
        <v>296791.53999999998</v>
      </c>
      <c r="F6" s="858">
        <v>1103.08</v>
      </c>
      <c r="G6" s="858">
        <v>71579</v>
      </c>
      <c r="H6" s="858">
        <v>155246.20000000001</v>
      </c>
      <c r="I6" s="858">
        <v>0</v>
      </c>
      <c r="J6" s="858">
        <v>24278.39</v>
      </c>
      <c r="K6" s="444">
        <v>9830</v>
      </c>
      <c r="L6" s="444">
        <v>380000</v>
      </c>
      <c r="M6" s="859">
        <v>2093096.21</v>
      </c>
    </row>
    <row r="7" spans="1:13" x14ac:dyDescent="0.7">
      <c r="A7" s="446">
        <v>4</v>
      </c>
      <c r="B7" s="447" t="s">
        <v>7347</v>
      </c>
      <c r="C7" s="858">
        <v>1026492</v>
      </c>
      <c r="D7" s="444">
        <v>140075</v>
      </c>
      <c r="E7" s="858">
        <v>228386.64</v>
      </c>
      <c r="F7" s="858">
        <v>2142.16</v>
      </c>
      <c r="G7" s="858">
        <v>45908.86</v>
      </c>
      <c r="H7" s="858">
        <v>30254.5</v>
      </c>
      <c r="I7" s="858">
        <v>0</v>
      </c>
      <c r="J7" s="858">
        <v>31600.14</v>
      </c>
      <c r="K7" s="444">
        <v>14020</v>
      </c>
      <c r="L7" s="444">
        <v>149999.54999999999</v>
      </c>
      <c r="M7" s="859">
        <v>1668878.85</v>
      </c>
    </row>
    <row r="8" spans="1:13" x14ac:dyDescent="0.7">
      <c r="A8" s="446">
        <v>5</v>
      </c>
      <c r="B8" s="447" t="s">
        <v>7348</v>
      </c>
      <c r="C8" s="858">
        <v>710610</v>
      </c>
      <c r="D8" s="444">
        <v>75025</v>
      </c>
      <c r="E8" s="858">
        <v>161635.57</v>
      </c>
      <c r="F8" s="858">
        <v>2127.38</v>
      </c>
      <c r="G8" s="858">
        <v>34121.35</v>
      </c>
      <c r="H8" s="858">
        <v>80370.95</v>
      </c>
      <c r="I8" s="858">
        <v>0</v>
      </c>
      <c r="J8" s="858">
        <v>12725.1</v>
      </c>
      <c r="K8" s="444">
        <v>5495</v>
      </c>
      <c r="L8" s="444">
        <v>250000</v>
      </c>
      <c r="M8" s="859">
        <v>1332110.3500000001</v>
      </c>
    </row>
    <row r="9" spans="1:13" x14ac:dyDescent="0.7">
      <c r="A9" s="446">
        <v>6</v>
      </c>
      <c r="B9" s="447" t="s">
        <v>7349</v>
      </c>
      <c r="C9" s="858">
        <v>955050</v>
      </c>
      <c r="D9" s="444">
        <v>160775</v>
      </c>
      <c r="E9" s="858">
        <v>318715.3</v>
      </c>
      <c r="F9" s="858">
        <v>3439.48</v>
      </c>
      <c r="G9" s="858">
        <v>79192.61</v>
      </c>
      <c r="H9" s="858">
        <v>221578.5</v>
      </c>
      <c r="I9" s="858">
        <v>0</v>
      </c>
      <c r="J9" s="858">
        <v>19438.939999999999</v>
      </c>
      <c r="K9" s="444">
        <v>14097</v>
      </c>
      <c r="L9" s="444">
        <v>503536</v>
      </c>
      <c r="M9" s="859">
        <v>2275822.83</v>
      </c>
    </row>
    <row r="10" spans="1:13" x14ac:dyDescent="0.7">
      <c r="A10" s="446">
        <v>7</v>
      </c>
      <c r="B10" s="447" t="s">
        <v>7350</v>
      </c>
      <c r="C10" s="444">
        <v>0</v>
      </c>
      <c r="D10" s="444">
        <v>807875</v>
      </c>
      <c r="E10" s="858"/>
      <c r="F10" s="858"/>
      <c r="G10" s="858"/>
      <c r="H10" s="858"/>
      <c r="I10" s="858"/>
      <c r="J10" s="858"/>
      <c r="K10" s="444"/>
      <c r="L10" s="444"/>
      <c r="M10" s="859">
        <v>807875</v>
      </c>
    </row>
    <row r="11" spans="1:13" x14ac:dyDescent="0.7">
      <c r="A11" s="446">
        <v>8</v>
      </c>
      <c r="B11" s="447"/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57">
        <f t="shared" ref="M5:M15" si="0">SUM(C11:L11)</f>
        <v>0</v>
      </c>
    </row>
    <row r="12" spans="1:13" x14ac:dyDescent="0.7">
      <c r="A12" s="446">
        <v>9</v>
      </c>
      <c r="B12" s="448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457">
        <f t="shared" si="0"/>
        <v>0</v>
      </c>
    </row>
    <row r="13" spans="1:13" x14ac:dyDescent="0.7">
      <c r="A13" s="446">
        <v>10</v>
      </c>
      <c r="B13" s="448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457">
        <f t="shared" si="0"/>
        <v>0</v>
      </c>
    </row>
    <row r="14" spans="1:13" x14ac:dyDescent="0.7">
      <c r="A14" s="446">
        <v>11</v>
      </c>
      <c r="B14" s="448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457">
        <f t="shared" si="0"/>
        <v>0</v>
      </c>
    </row>
    <row r="15" spans="1:13" x14ac:dyDescent="0.7">
      <c r="A15" s="446">
        <v>12</v>
      </c>
      <c r="B15" s="300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457">
        <f t="shared" si="0"/>
        <v>0</v>
      </c>
    </row>
    <row r="16" spans="1:13" s="1" customFormat="1" x14ac:dyDescent="0.7">
      <c r="A16" s="774" t="s">
        <v>622</v>
      </c>
      <c r="B16" s="774"/>
      <c r="C16" s="456">
        <f>SUM(C4:C15)</f>
        <v>5841168</v>
      </c>
      <c r="D16" s="456">
        <f t="shared" ref="D16:M16" si="1">SUM(D4:D15)</f>
        <v>1615750</v>
      </c>
      <c r="E16" s="456">
        <f t="shared" si="1"/>
        <v>1415549.27</v>
      </c>
      <c r="F16" s="456">
        <f t="shared" si="1"/>
        <v>14025.899999999998</v>
      </c>
      <c r="G16" s="456">
        <f t="shared" si="1"/>
        <v>428054.14999999997</v>
      </c>
      <c r="H16" s="456">
        <f t="shared" si="1"/>
        <v>712353.55</v>
      </c>
      <c r="I16" s="456">
        <f t="shared" si="1"/>
        <v>0</v>
      </c>
      <c r="J16" s="456">
        <f t="shared" si="1"/>
        <v>127518.91</v>
      </c>
      <c r="K16" s="456">
        <f t="shared" si="1"/>
        <v>74866</v>
      </c>
      <c r="L16" s="456">
        <f t="shared" si="1"/>
        <v>1534535.55</v>
      </c>
      <c r="M16" s="860">
        <f t="shared" si="1"/>
        <v>11763821.33</v>
      </c>
    </row>
    <row r="18" spans="2:13" s="76" customFormat="1" x14ac:dyDescent="0.25">
      <c r="B18" s="338" t="s">
        <v>701</v>
      </c>
      <c r="C18" s="76" t="s">
        <v>702</v>
      </c>
      <c r="M18" s="453"/>
    </row>
    <row r="19" spans="2:13" s="76" customFormat="1" ht="22.8" customHeight="1" x14ac:dyDescent="0.25">
      <c r="B19" s="338"/>
      <c r="C19" s="76" t="s">
        <v>6415</v>
      </c>
      <c r="M19" s="453"/>
    </row>
    <row r="20" spans="2:13" s="76" customFormat="1" ht="24.6" customHeight="1" x14ac:dyDescent="0.25">
      <c r="B20" s="111" t="s">
        <v>5928</v>
      </c>
      <c r="C20" s="772" t="s">
        <v>703</v>
      </c>
      <c r="D20" s="772"/>
      <c r="E20" s="772"/>
      <c r="F20" s="772"/>
      <c r="G20" s="772"/>
      <c r="H20" s="772"/>
      <c r="I20" s="772"/>
      <c r="J20" s="772"/>
      <c r="K20" s="772"/>
      <c r="L20" s="772"/>
      <c r="M20" s="772"/>
    </row>
    <row r="21" spans="2:13" s="76" customFormat="1" ht="23.4" customHeight="1" x14ac:dyDescent="0.25">
      <c r="B21" s="111" t="s">
        <v>5929</v>
      </c>
      <c r="C21" s="772" t="s">
        <v>2240</v>
      </c>
      <c r="D21" s="772"/>
      <c r="E21" s="772"/>
      <c r="F21" s="772"/>
      <c r="G21" s="772"/>
      <c r="H21" s="772"/>
      <c r="I21" s="772"/>
      <c r="J21" s="772"/>
      <c r="K21" s="111"/>
      <c r="L21" s="111"/>
      <c r="M21" s="454"/>
    </row>
    <row r="22" spans="2:13" s="76" customFormat="1" x14ac:dyDescent="0.25">
      <c r="B22" s="76" t="s">
        <v>5930</v>
      </c>
      <c r="C22" s="76" t="s">
        <v>1187</v>
      </c>
      <c r="M22" s="453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CE941-FA3F-4A2B-974D-3995A58237D3}">
  <sheetPr>
    <tabColor theme="6"/>
  </sheetPr>
  <dimension ref="A1:T18"/>
  <sheetViews>
    <sheetView topLeftCell="C1" zoomScale="90" zoomScaleNormal="90" workbookViewId="0">
      <selection activeCell="CB255" sqref="CB255:CB261"/>
    </sheetView>
  </sheetViews>
  <sheetFormatPr defaultRowHeight="13.8" x14ac:dyDescent="0.25"/>
  <cols>
    <col min="1" max="1" width="6" bestFit="1" customWidth="1"/>
    <col min="2" max="2" width="25.59765625" customWidth="1"/>
    <col min="3" max="3" width="15.59765625" customWidth="1"/>
    <col min="4" max="4" width="13.3984375" customWidth="1"/>
    <col min="5" max="5" width="17.5" customWidth="1"/>
    <col min="6" max="6" width="15.8984375" customWidth="1"/>
    <col min="7" max="7" width="11.5" customWidth="1"/>
    <col min="8" max="8" width="12.59765625" customWidth="1"/>
    <col min="9" max="9" width="16.5" customWidth="1"/>
    <col min="10" max="10" width="13.59765625" customWidth="1"/>
    <col min="11" max="11" width="15.69921875" customWidth="1"/>
    <col min="12" max="12" width="14.3984375" customWidth="1"/>
    <col min="13" max="14" width="14.09765625" customWidth="1"/>
    <col min="15" max="15" width="12" style="624" customWidth="1"/>
    <col min="16" max="16" width="12.59765625" customWidth="1"/>
    <col min="17" max="17" width="13.5" customWidth="1"/>
    <col min="18" max="18" width="14.69921875" customWidth="1"/>
    <col min="19" max="19" width="14.19921875" customWidth="1"/>
    <col min="20" max="20" width="14.5" customWidth="1"/>
  </cols>
  <sheetData>
    <row r="1" spans="1:20" ht="27" x14ac:dyDescent="0.75">
      <c r="A1" s="158" t="s">
        <v>6536</v>
      </c>
      <c r="C1" s="158"/>
      <c r="D1" s="158"/>
      <c r="E1" s="158"/>
      <c r="F1" s="158"/>
      <c r="G1" s="158"/>
      <c r="O1"/>
    </row>
    <row r="2" spans="1:20" s="613" customFormat="1" ht="123" x14ac:dyDescent="0.25">
      <c r="A2" s="785" t="s">
        <v>6537</v>
      </c>
      <c r="B2" s="786" t="s">
        <v>696</v>
      </c>
      <c r="C2" s="786" t="s">
        <v>6538</v>
      </c>
      <c r="D2" s="612" t="s">
        <v>6539</v>
      </c>
      <c r="E2" s="785" t="s">
        <v>698</v>
      </c>
      <c r="F2" s="785"/>
      <c r="G2" s="785"/>
      <c r="H2" s="785"/>
      <c r="I2" s="785"/>
      <c r="J2" s="785"/>
      <c r="K2" s="785"/>
      <c r="L2" s="785"/>
      <c r="M2" s="786" t="s">
        <v>6540</v>
      </c>
      <c r="N2" s="786"/>
      <c r="O2" s="786"/>
      <c r="P2" s="786"/>
      <c r="Q2" s="786"/>
      <c r="R2" s="786"/>
      <c r="S2" s="787" t="s">
        <v>697</v>
      </c>
      <c r="T2" s="775" t="s">
        <v>6541</v>
      </c>
    </row>
    <row r="3" spans="1:20" s="613" customFormat="1" ht="87" customHeight="1" x14ac:dyDescent="0.25">
      <c r="A3" s="785"/>
      <c r="B3" s="786"/>
      <c r="C3" s="786"/>
      <c r="D3" s="612" t="s">
        <v>6542</v>
      </c>
      <c r="E3" s="612" t="s">
        <v>6543</v>
      </c>
      <c r="F3" s="612" t="s">
        <v>6544</v>
      </c>
      <c r="G3" s="612" t="s">
        <v>6545</v>
      </c>
      <c r="H3" s="612" t="s">
        <v>6546</v>
      </c>
      <c r="I3" s="611" t="s">
        <v>6547</v>
      </c>
      <c r="J3" s="612" t="s">
        <v>6548</v>
      </c>
      <c r="K3" s="612" t="s">
        <v>6549</v>
      </c>
      <c r="L3" s="611" t="s">
        <v>6550</v>
      </c>
      <c r="M3" s="614" t="s">
        <v>6551</v>
      </c>
      <c r="N3" s="614" t="s">
        <v>6286</v>
      </c>
      <c r="O3" s="614" t="s">
        <v>6552</v>
      </c>
      <c r="P3" s="612" t="s">
        <v>6553</v>
      </c>
      <c r="Q3" s="612" t="s">
        <v>6554</v>
      </c>
      <c r="R3" s="614" t="s">
        <v>6290</v>
      </c>
      <c r="S3" s="788"/>
      <c r="T3" s="776"/>
    </row>
    <row r="4" spans="1:20" ht="24.6" x14ac:dyDescent="0.7">
      <c r="A4" s="603">
        <v>1</v>
      </c>
      <c r="B4" s="300"/>
      <c r="C4" s="615"/>
      <c r="D4" s="616"/>
      <c r="E4" s="616"/>
      <c r="F4" s="616"/>
      <c r="G4" s="616"/>
      <c r="H4" s="616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617"/>
    </row>
    <row r="5" spans="1:20" ht="24.6" x14ac:dyDescent="0.7">
      <c r="A5" s="603">
        <v>2</v>
      </c>
      <c r="B5" s="300"/>
      <c r="C5" s="603"/>
      <c r="D5" s="617"/>
      <c r="E5" s="617"/>
      <c r="F5" s="617"/>
      <c r="G5" s="617"/>
      <c r="H5" s="617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617"/>
    </row>
    <row r="6" spans="1:20" ht="27" customHeight="1" x14ac:dyDescent="0.7">
      <c r="A6" s="603">
        <v>3</v>
      </c>
      <c r="B6" s="300"/>
      <c r="C6" s="603"/>
      <c r="D6" s="617"/>
      <c r="E6" s="617"/>
      <c r="F6" s="617"/>
      <c r="G6" s="617"/>
      <c r="H6" s="617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617"/>
    </row>
    <row r="7" spans="1:20" ht="24" customHeight="1" x14ac:dyDescent="0.7">
      <c r="A7" s="603">
        <v>4</v>
      </c>
      <c r="B7" s="300"/>
      <c r="C7" s="603"/>
      <c r="D7" s="617"/>
      <c r="E7" s="617"/>
      <c r="F7" s="617"/>
      <c r="G7" s="617"/>
      <c r="H7" s="617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617"/>
    </row>
    <row r="8" spans="1:20" ht="24.75" customHeight="1" x14ac:dyDescent="0.7">
      <c r="A8" s="603">
        <v>5</v>
      </c>
      <c r="B8" s="300"/>
      <c r="C8" s="603"/>
      <c r="D8" s="617"/>
      <c r="E8" s="617"/>
      <c r="F8" s="617"/>
      <c r="G8" s="617"/>
      <c r="H8" s="617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617"/>
    </row>
    <row r="9" spans="1:20" s="4" customFormat="1" ht="27" x14ac:dyDescent="0.75">
      <c r="A9" s="603">
        <v>6</v>
      </c>
      <c r="B9" s="300"/>
      <c r="C9" s="603"/>
      <c r="D9" s="617"/>
      <c r="E9" s="617"/>
      <c r="F9" s="617"/>
      <c r="G9" s="617"/>
      <c r="H9" s="617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617"/>
    </row>
    <row r="10" spans="1:20" s="4" customFormat="1" ht="27" x14ac:dyDescent="0.75">
      <c r="A10" s="603">
        <v>7</v>
      </c>
      <c r="B10" s="300"/>
      <c r="C10" s="603"/>
      <c r="D10" s="617"/>
      <c r="E10" s="617"/>
      <c r="F10" s="617"/>
      <c r="G10" s="617"/>
      <c r="H10" s="617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617"/>
    </row>
    <row r="11" spans="1:20" s="4" customFormat="1" ht="27" x14ac:dyDescent="0.75">
      <c r="A11" s="603">
        <v>8</v>
      </c>
      <c r="B11" s="300"/>
      <c r="C11" s="603"/>
      <c r="D11" s="617"/>
      <c r="E11" s="617"/>
      <c r="F11" s="617"/>
      <c r="G11" s="617"/>
      <c r="H11" s="617"/>
      <c r="I11" s="504"/>
      <c r="J11" s="504"/>
      <c r="K11" s="504"/>
      <c r="L11" s="504"/>
      <c r="M11" s="504"/>
      <c r="N11" s="504"/>
      <c r="O11" s="504"/>
      <c r="P11" s="504"/>
      <c r="Q11" s="504"/>
      <c r="R11" s="504"/>
      <c r="S11" s="504"/>
      <c r="T11" s="617"/>
    </row>
    <row r="12" spans="1:20" s="4" customFormat="1" ht="32.25" customHeight="1" x14ac:dyDescent="0.75">
      <c r="A12" s="603">
        <v>9</v>
      </c>
      <c r="B12" s="300"/>
      <c r="C12" s="603"/>
      <c r="D12" s="617"/>
      <c r="E12" s="617"/>
      <c r="F12" s="617"/>
      <c r="G12" s="617"/>
      <c r="H12" s="617"/>
      <c r="I12" s="504"/>
      <c r="J12" s="504"/>
      <c r="K12" s="504"/>
      <c r="L12" s="504"/>
      <c r="M12" s="504"/>
      <c r="N12" s="504"/>
      <c r="O12" s="504"/>
      <c r="P12" s="504"/>
      <c r="Q12" s="504"/>
      <c r="R12" s="504"/>
      <c r="S12" s="504"/>
      <c r="T12" s="617"/>
    </row>
    <row r="13" spans="1:20" s="4" customFormat="1" ht="32.25" customHeight="1" x14ac:dyDescent="0.75">
      <c r="A13" s="603">
        <v>10</v>
      </c>
      <c r="B13" s="300"/>
      <c r="C13" s="603"/>
      <c r="D13" s="617"/>
      <c r="E13" s="617"/>
      <c r="F13" s="617"/>
      <c r="G13" s="617"/>
      <c r="H13" s="617"/>
      <c r="I13" s="504"/>
      <c r="J13" s="504"/>
      <c r="K13" s="618"/>
      <c r="L13" s="504"/>
      <c r="M13" s="504"/>
      <c r="N13" s="504"/>
      <c r="O13" s="504"/>
      <c r="P13" s="504"/>
      <c r="Q13" s="504"/>
      <c r="R13" s="504"/>
      <c r="S13" s="504"/>
      <c r="T13" s="617"/>
    </row>
    <row r="14" spans="1:20" s="4" customFormat="1" ht="31.5" customHeight="1" x14ac:dyDescent="0.75">
      <c r="A14" s="603">
        <v>11</v>
      </c>
      <c r="B14" s="300"/>
      <c r="C14" s="603"/>
      <c r="D14" s="617"/>
      <c r="E14" s="617"/>
      <c r="F14" s="617"/>
      <c r="G14" s="617"/>
      <c r="H14" s="617"/>
      <c r="I14" s="504"/>
      <c r="J14" s="504"/>
      <c r="K14" s="504"/>
      <c r="L14" s="504"/>
      <c r="M14" s="504"/>
      <c r="N14" s="504"/>
      <c r="O14" s="504"/>
      <c r="P14" s="504"/>
      <c r="Q14" s="504"/>
      <c r="R14" s="504"/>
      <c r="S14" s="504"/>
      <c r="T14" s="617"/>
    </row>
    <row r="15" spans="1:20" ht="24.6" x14ac:dyDescent="0.7">
      <c r="A15" s="603">
        <v>12</v>
      </c>
      <c r="B15" s="300"/>
      <c r="C15" s="603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617"/>
    </row>
    <row r="16" spans="1:20" ht="24.6" x14ac:dyDescent="0.7">
      <c r="A16" s="777" t="s">
        <v>622</v>
      </c>
      <c r="B16" s="778"/>
      <c r="C16" s="779"/>
      <c r="D16" s="619">
        <f t="shared" ref="D16:S16" si="0">SUM(D4:D15)</f>
        <v>0</v>
      </c>
      <c r="E16" s="619">
        <f t="shared" si="0"/>
        <v>0</v>
      </c>
      <c r="F16" s="619">
        <f t="shared" si="0"/>
        <v>0</v>
      </c>
      <c r="G16" s="619">
        <f t="shared" si="0"/>
        <v>0</v>
      </c>
      <c r="H16" s="619">
        <f t="shared" si="0"/>
        <v>0</v>
      </c>
      <c r="I16" s="619">
        <f t="shared" si="0"/>
        <v>0</v>
      </c>
      <c r="J16" s="619">
        <f t="shared" si="0"/>
        <v>0</v>
      </c>
      <c r="K16" s="619">
        <f t="shared" si="0"/>
        <v>0</v>
      </c>
      <c r="L16" s="619">
        <f t="shared" si="0"/>
        <v>0</v>
      </c>
      <c r="M16" s="620">
        <f t="shared" si="0"/>
        <v>0</v>
      </c>
      <c r="N16" s="620">
        <f t="shared" si="0"/>
        <v>0</v>
      </c>
      <c r="O16" s="620">
        <f t="shared" si="0"/>
        <v>0</v>
      </c>
      <c r="P16" s="620">
        <f t="shared" si="0"/>
        <v>0</v>
      </c>
      <c r="Q16" s="620">
        <f t="shared" si="0"/>
        <v>0</v>
      </c>
      <c r="R16" s="620">
        <f t="shared" si="0"/>
        <v>0</v>
      </c>
      <c r="S16" s="619">
        <f t="shared" si="0"/>
        <v>0</v>
      </c>
      <c r="T16" s="621">
        <f>SUM(D16:S16)</f>
        <v>0</v>
      </c>
    </row>
    <row r="17" spans="1:20" ht="24.6" x14ac:dyDescent="0.7">
      <c r="A17" s="777" t="s">
        <v>622</v>
      </c>
      <c r="B17" s="778"/>
      <c r="C17" s="779"/>
      <c r="D17" s="622">
        <f>D16</f>
        <v>0</v>
      </c>
      <c r="E17" s="780">
        <f>SUM(E16:L16)</f>
        <v>0</v>
      </c>
      <c r="F17" s="780"/>
      <c r="G17" s="780"/>
      <c r="H17" s="780"/>
      <c r="I17" s="780"/>
      <c r="J17" s="780"/>
      <c r="K17" s="780"/>
      <c r="L17" s="781"/>
      <c r="M17" s="782">
        <f>SUM(M16:R16)</f>
        <v>0</v>
      </c>
      <c r="N17" s="783"/>
      <c r="O17" s="783"/>
      <c r="P17" s="783"/>
      <c r="Q17" s="783"/>
      <c r="R17" s="784"/>
      <c r="S17" s="619">
        <f>S16</f>
        <v>0</v>
      </c>
      <c r="T17" s="623">
        <f>D17+E17+M17+S17</f>
        <v>0</v>
      </c>
    </row>
    <row r="18" spans="1:20" ht="27" x14ac:dyDescent="0.7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3"/>
      <c r="P18" s="4"/>
      <c r="Q18" s="4"/>
      <c r="R18" s="4"/>
      <c r="S18" s="4"/>
      <c r="T18" s="4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tabColor theme="7" tint="0.39997558519241921"/>
  </sheetPr>
  <dimension ref="A1:Q843"/>
  <sheetViews>
    <sheetView zoomScale="70" zoomScaleNormal="70" workbookViewId="0">
      <pane xSplit="5" ySplit="1" topLeftCell="F2" activePane="bottomRight" state="frozen"/>
      <selection activeCell="H54" sqref="H54"/>
      <selection pane="topRight" activeCell="H54" sqref="H54"/>
      <selection pane="bottomLeft" activeCell="H54" sqref="H54"/>
      <selection pane="bottomRight" activeCell="F854" sqref="F854"/>
    </sheetView>
  </sheetViews>
  <sheetFormatPr defaultColWidth="9" defaultRowHeight="24.6" x14ac:dyDescent="0.25"/>
  <cols>
    <col min="1" max="1" width="10.59765625" style="76" bestFit="1" customWidth="1"/>
    <col min="2" max="2" width="16" style="77" bestFit="1" customWidth="1"/>
    <col min="3" max="3" width="59.19921875" style="76" customWidth="1"/>
    <col min="4" max="4" width="12.8984375" style="77" bestFit="1" customWidth="1"/>
    <col min="5" max="5" width="34.19921875" style="79" bestFit="1" customWidth="1"/>
    <col min="6" max="6" width="13.796875" style="77" customWidth="1"/>
    <col min="7" max="7" width="47" style="76" bestFit="1" customWidth="1"/>
    <col min="8" max="8" width="8" style="77" hidden="1" customWidth="1"/>
    <col min="9" max="9" width="8.3984375" style="77" hidden="1" customWidth="1"/>
    <col min="10" max="10" width="12.69921875" style="76" customWidth="1"/>
    <col min="11" max="11" width="15.796875" style="76" bestFit="1" customWidth="1"/>
    <col min="12" max="12" width="13.8984375" style="77" customWidth="1"/>
    <col min="13" max="13" width="6.796875" style="76" bestFit="1" customWidth="1"/>
    <col min="14" max="14" width="4.296875" style="76" bestFit="1" customWidth="1"/>
    <col min="15" max="15" width="4.09765625" style="76" customWidth="1"/>
    <col min="16" max="16" width="2.296875" style="76" bestFit="1" customWidth="1"/>
    <col min="17" max="17" width="15.19921875" style="76" bestFit="1" customWidth="1"/>
    <col min="18" max="16384" width="9" style="76"/>
  </cols>
  <sheetData>
    <row r="1" spans="1:14" s="77" customFormat="1" ht="27" customHeight="1" x14ac:dyDescent="0.25">
      <c r="A1" s="73" t="s">
        <v>7338</v>
      </c>
      <c r="B1" s="73" t="s">
        <v>6033</v>
      </c>
      <c r="C1" s="73" t="s">
        <v>6416</v>
      </c>
      <c r="D1" s="74" t="s">
        <v>6418</v>
      </c>
      <c r="E1" s="74" t="s">
        <v>6417</v>
      </c>
      <c r="F1" s="80" t="s">
        <v>6419</v>
      </c>
      <c r="G1" s="80" t="s">
        <v>6420</v>
      </c>
      <c r="H1" s="75" t="s">
        <v>935</v>
      </c>
      <c r="I1" s="75" t="s">
        <v>936</v>
      </c>
      <c r="K1" s="387" t="s">
        <v>5986</v>
      </c>
      <c r="L1" s="77" t="s">
        <v>6007</v>
      </c>
      <c r="M1" s="77" t="s">
        <v>6312</v>
      </c>
      <c r="N1" s="77" t="s">
        <v>6313</v>
      </c>
    </row>
    <row r="2" spans="1:14" hidden="1" x14ac:dyDescent="0.25">
      <c r="A2" s="311">
        <v>1</v>
      </c>
      <c r="B2" s="305" t="s">
        <v>6035</v>
      </c>
      <c r="C2" s="823" t="s">
        <v>6036</v>
      </c>
    </row>
    <row r="3" spans="1:14" hidden="1" x14ac:dyDescent="0.25">
      <c r="A3" s="311">
        <v>1</v>
      </c>
      <c r="B3" s="305" t="s">
        <v>6803</v>
      </c>
      <c r="C3" s="823" t="s">
        <v>6804</v>
      </c>
    </row>
    <row r="4" spans="1:14" hidden="1" x14ac:dyDescent="0.25">
      <c r="A4" s="311">
        <v>1</v>
      </c>
      <c r="B4" s="305" t="s">
        <v>6805</v>
      </c>
      <c r="C4" s="823" t="s">
        <v>6806</v>
      </c>
    </row>
    <row r="5" spans="1:14" hidden="1" x14ac:dyDescent="0.25">
      <c r="A5" s="311">
        <v>1</v>
      </c>
      <c r="B5" s="305" t="s">
        <v>6807</v>
      </c>
      <c r="C5" s="823" t="s">
        <v>6808</v>
      </c>
    </row>
    <row r="6" spans="1:14" hidden="1" x14ac:dyDescent="0.25">
      <c r="A6" s="311">
        <v>1</v>
      </c>
      <c r="B6" s="305" t="s">
        <v>6037</v>
      </c>
      <c r="C6" s="823" t="s">
        <v>6455</v>
      </c>
    </row>
    <row r="7" spans="1:14" hidden="1" x14ac:dyDescent="0.25">
      <c r="A7" s="311">
        <v>1</v>
      </c>
      <c r="B7" s="305" t="s">
        <v>6039</v>
      </c>
      <c r="C7" s="823" t="s">
        <v>6456</v>
      </c>
    </row>
    <row r="8" spans="1:14" hidden="1" x14ac:dyDescent="0.25">
      <c r="A8" s="311">
        <v>1</v>
      </c>
      <c r="B8" s="305" t="s">
        <v>6041</v>
      </c>
      <c r="C8" s="823" t="s">
        <v>6042</v>
      </c>
    </row>
    <row r="9" spans="1:14" hidden="1" x14ac:dyDescent="0.25">
      <c r="A9" s="311">
        <v>1</v>
      </c>
      <c r="B9" s="305" t="s">
        <v>6809</v>
      </c>
      <c r="C9" s="823" t="s">
        <v>6810</v>
      </c>
    </row>
    <row r="10" spans="1:14" hidden="1" x14ac:dyDescent="0.25">
      <c r="A10" s="311">
        <v>1</v>
      </c>
      <c r="B10" s="305" t="s">
        <v>6811</v>
      </c>
      <c r="C10" s="823" t="s">
        <v>6812</v>
      </c>
    </row>
    <row r="11" spans="1:14" hidden="1" x14ac:dyDescent="0.25">
      <c r="A11" s="311">
        <v>1</v>
      </c>
      <c r="B11" s="305" t="s">
        <v>6813</v>
      </c>
      <c r="C11" s="823" t="s">
        <v>6814</v>
      </c>
    </row>
    <row r="12" spans="1:14" hidden="1" x14ac:dyDescent="0.25">
      <c r="A12" s="311">
        <v>1</v>
      </c>
      <c r="B12" s="305" t="s">
        <v>6815</v>
      </c>
      <c r="C12" s="823" t="s">
        <v>6816</v>
      </c>
    </row>
    <row r="13" spans="1:14" hidden="1" x14ac:dyDescent="0.25">
      <c r="A13" s="311">
        <v>1</v>
      </c>
      <c r="B13" s="305" t="s">
        <v>6043</v>
      </c>
      <c r="C13" s="823" t="s">
        <v>6457</v>
      </c>
    </row>
    <row r="14" spans="1:14" hidden="1" x14ac:dyDescent="0.25">
      <c r="A14" s="311">
        <v>1</v>
      </c>
      <c r="B14" s="305" t="s">
        <v>6817</v>
      </c>
      <c r="C14" s="823" t="s">
        <v>6818</v>
      </c>
    </row>
    <row r="15" spans="1:14" hidden="1" x14ac:dyDescent="0.25">
      <c r="A15" s="311">
        <v>1</v>
      </c>
      <c r="B15" s="305" t="s">
        <v>6045</v>
      </c>
      <c r="C15" s="823" t="s">
        <v>6046</v>
      </c>
    </row>
    <row r="16" spans="1:14" hidden="1" x14ac:dyDescent="0.25">
      <c r="A16" s="311">
        <v>1</v>
      </c>
      <c r="B16" s="305" t="s">
        <v>6047</v>
      </c>
      <c r="C16" s="823" t="s">
        <v>6458</v>
      </c>
    </row>
    <row r="17" spans="1:3" hidden="1" x14ac:dyDescent="0.25">
      <c r="A17" s="311">
        <v>1</v>
      </c>
      <c r="B17" s="305" t="s">
        <v>6049</v>
      </c>
      <c r="C17" s="823" t="s">
        <v>6819</v>
      </c>
    </row>
    <row r="18" spans="1:3" hidden="1" x14ac:dyDescent="0.25">
      <c r="A18" s="311">
        <v>1</v>
      </c>
      <c r="B18" s="305" t="s">
        <v>6051</v>
      </c>
      <c r="C18" s="823" t="s">
        <v>6460</v>
      </c>
    </row>
    <row r="19" spans="1:3" hidden="1" x14ac:dyDescent="0.25">
      <c r="A19" s="311">
        <v>1</v>
      </c>
      <c r="B19" s="305" t="s">
        <v>6820</v>
      </c>
      <c r="C19" s="823" t="s">
        <v>6821</v>
      </c>
    </row>
    <row r="20" spans="1:3" hidden="1" x14ac:dyDescent="0.25">
      <c r="A20" s="311">
        <v>1</v>
      </c>
      <c r="B20" s="305" t="s">
        <v>6053</v>
      </c>
      <c r="C20" s="823" t="s">
        <v>6461</v>
      </c>
    </row>
    <row r="21" spans="1:3" hidden="1" x14ac:dyDescent="0.25">
      <c r="A21" s="311">
        <v>1</v>
      </c>
      <c r="B21" s="305" t="s">
        <v>6055</v>
      </c>
      <c r="C21" s="823" t="s">
        <v>6462</v>
      </c>
    </row>
    <row r="22" spans="1:3" hidden="1" x14ac:dyDescent="0.25">
      <c r="A22" s="311">
        <v>1</v>
      </c>
      <c r="B22" s="305" t="s">
        <v>6057</v>
      </c>
      <c r="C22" s="823" t="s">
        <v>6463</v>
      </c>
    </row>
    <row r="23" spans="1:3" hidden="1" x14ac:dyDescent="0.25">
      <c r="A23" s="311">
        <v>1</v>
      </c>
      <c r="B23" s="305" t="s">
        <v>6822</v>
      </c>
      <c r="C23" s="823" t="s">
        <v>6823</v>
      </c>
    </row>
    <row r="24" spans="1:3" hidden="1" x14ac:dyDescent="0.25">
      <c r="A24" s="311">
        <v>1</v>
      </c>
      <c r="B24" s="305" t="s">
        <v>6824</v>
      </c>
      <c r="C24" s="823" t="s">
        <v>6825</v>
      </c>
    </row>
    <row r="25" spans="1:3" hidden="1" x14ac:dyDescent="0.25">
      <c r="A25" s="311">
        <v>1</v>
      </c>
      <c r="B25" s="305" t="s">
        <v>6826</v>
      </c>
      <c r="C25" s="823" t="s">
        <v>6827</v>
      </c>
    </row>
    <row r="26" spans="1:3" hidden="1" x14ac:dyDescent="0.25">
      <c r="A26" s="311">
        <v>1</v>
      </c>
      <c r="B26" s="305" t="s">
        <v>6828</v>
      </c>
      <c r="C26" s="823" t="s">
        <v>6829</v>
      </c>
    </row>
    <row r="27" spans="1:3" hidden="1" x14ac:dyDescent="0.25">
      <c r="A27" s="311">
        <v>1</v>
      </c>
      <c r="B27" s="305" t="s">
        <v>6830</v>
      </c>
      <c r="C27" s="823" t="s">
        <v>6831</v>
      </c>
    </row>
    <row r="28" spans="1:3" hidden="1" x14ac:dyDescent="0.25">
      <c r="A28" s="311">
        <v>1</v>
      </c>
      <c r="B28" s="305" t="s">
        <v>6832</v>
      </c>
      <c r="C28" s="823" t="s">
        <v>6833</v>
      </c>
    </row>
    <row r="29" spans="1:3" hidden="1" x14ac:dyDescent="0.25">
      <c r="A29" s="311">
        <v>1</v>
      </c>
      <c r="B29" s="305" t="s">
        <v>6834</v>
      </c>
      <c r="C29" s="823" t="s">
        <v>6835</v>
      </c>
    </row>
    <row r="30" spans="1:3" hidden="1" x14ac:dyDescent="0.25">
      <c r="A30" s="311">
        <v>1</v>
      </c>
      <c r="B30" s="305" t="s">
        <v>6836</v>
      </c>
      <c r="C30" s="823" t="s">
        <v>6837</v>
      </c>
    </row>
    <row r="31" spans="1:3" hidden="1" x14ac:dyDescent="0.25">
      <c r="A31" s="311">
        <v>1</v>
      </c>
      <c r="B31" s="305" t="s">
        <v>6838</v>
      </c>
      <c r="C31" s="823" t="s">
        <v>6839</v>
      </c>
    </row>
    <row r="32" spans="1:3" hidden="1" x14ac:dyDescent="0.25">
      <c r="A32" s="311">
        <v>1</v>
      </c>
      <c r="B32" s="305" t="s">
        <v>6840</v>
      </c>
      <c r="C32" s="823" t="s">
        <v>6841</v>
      </c>
    </row>
    <row r="33" spans="1:3" hidden="1" x14ac:dyDescent="0.25">
      <c r="A33" s="311">
        <v>1</v>
      </c>
      <c r="B33" s="305" t="s">
        <v>6842</v>
      </c>
      <c r="C33" s="823" t="s">
        <v>6843</v>
      </c>
    </row>
    <row r="34" spans="1:3" hidden="1" x14ac:dyDescent="0.25">
      <c r="A34" s="311">
        <v>1</v>
      </c>
      <c r="B34" s="305" t="s">
        <v>6844</v>
      </c>
      <c r="C34" s="823" t="s">
        <v>6845</v>
      </c>
    </row>
    <row r="35" spans="1:3" hidden="1" x14ac:dyDescent="0.25">
      <c r="A35" s="311">
        <v>1</v>
      </c>
      <c r="B35" s="305" t="s">
        <v>6846</v>
      </c>
      <c r="C35" s="823" t="s">
        <v>6847</v>
      </c>
    </row>
    <row r="36" spans="1:3" hidden="1" x14ac:dyDescent="0.25">
      <c r="A36" s="311">
        <v>1</v>
      </c>
      <c r="B36" s="305" t="s">
        <v>6848</v>
      </c>
      <c r="C36" s="823" t="s">
        <v>6849</v>
      </c>
    </row>
    <row r="37" spans="1:3" hidden="1" x14ac:dyDescent="0.25">
      <c r="A37" s="311">
        <v>1</v>
      </c>
      <c r="B37" s="305" t="s">
        <v>6850</v>
      </c>
      <c r="C37" s="823" t="s">
        <v>6851</v>
      </c>
    </row>
    <row r="38" spans="1:3" hidden="1" x14ac:dyDescent="0.25">
      <c r="A38" s="311">
        <v>1</v>
      </c>
      <c r="B38" s="305" t="s">
        <v>6852</v>
      </c>
      <c r="C38" s="823" t="s">
        <v>6853</v>
      </c>
    </row>
    <row r="39" spans="1:3" hidden="1" x14ac:dyDescent="0.25">
      <c r="A39" s="311">
        <v>1</v>
      </c>
      <c r="B39" s="305" t="s">
        <v>6854</v>
      </c>
      <c r="C39" s="823" t="s">
        <v>6855</v>
      </c>
    </row>
    <row r="40" spans="1:3" hidden="1" x14ac:dyDescent="0.25">
      <c r="A40" s="311">
        <v>1</v>
      </c>
      <c r="B40" s="305" t="s">
        <v>6856</v>
      </c>
      <c r="C40" s="823" t="s">
        <v>6857</v>
      </c>
    </row>
    <row r="41" spans="1:3" hidden="1" x14ac:dyDescent="0.25">
      <c r="A41" s="311">
        <v>1</v>
      </c>
      <c r="B41" s="305" t="s">
        <v>6858</v>
      </c>
      <c r="C41" s="823" t="s">
        <v>6859</v>
      </c>
    </row>
    <row r="42" spans="1:3" hidden="1" x14ac:dyDescent="0.25">
      <c r="A42" s="311">
        <v>1</v>
      </c>
      <c r="B42" s="305" t="s">
        <v>6860</v>
      </c>
      <c r="C42" s="823" t="s">
        <v>6861</v>
      </c>
    </row>
    <row r="43" spans="1:3" hidden="1" x14ac:dyDescent="0.25">
      <c r="A43" s="311">
        <v>1</v>
      </c>
      <c r="B43" s="305" t="s">
        <v>6862</v>
      </c>
      <c r="C43" s="823" t="s">
        <v>6863</v>
      </c>
    </row>
    <row r="44" spans="1:3" hidden="1" x14ac:dyDescent="0.25">
      <c r="A44" s="311">
        <v>1</v>
      </c>
      <c r="B44" s="305" t="s">
        <v>6864</v>
      </c>
      <c r="C44" s="823" t="s">
        <v>6865</v>
      </c>
    </row>
    <row r="45" spans="1:3" hidden="1" x14ac:dyDescent="0.25">
      <c r="A45" s="311">
        <v>1</v>
      </c>
      <c r="B45" s="305" t="s">
        <v>6866</v>
      </c>
      <c r="C45" s="823" t="s">
        <v>6867</v>
      </c>
    </row>
    <row r="46" spans="1:3" hidden="1" x14ac:dyDescent="0.25">
      <c r="A46" s="311">
        <v>1</v>
      </c>
      <c r="B46" s="305" t="s">
        <v>6868</v>
      </c>
      <c r="C46" s="823" t="s">
        <v>6869</v>
      </c>
    </row>
    <row r="47" spans="1:3" hidden="1" x14ac:dyDescent="0.25">
      <c r="A47" s="311">
        <v>1</v>
      </c>
      <c r="B47" s="305" t="s">
        <v>6870</v>
      </c>
      <c r="C47" s="823" t="s">
        <v>6871</v>
      </c>
    </row>
    <row r="48" spans="1:3" hidden="1" x14ac:dyDescent="0.25">
      <c r="A48" s="311">
        <v>1</v>
      </c>
      <c r="B48" s="305" t="s">
        <v>6872</v>
      </c>
      <c r="C48" s="823" t="s">
        <v>6873</v>
      </c>
    </row>
    <row r="49" spans="1:3" hidden="1" x14ac:dyDescent="0.25">
      <c r="A49" s="311">
        <v>1</v>
      </c>
      <c r="B49" s="305" t="s">
        <v>6874</v>
      </c>
      <c r="C49" s="823" t="s">
        <v>6875</v>
      </c>
    </row>
    <row r="50" spans="1:3" hidden="1" x14ac:dyDescent="0.25">
      <c r="A50" s="311">
        <v>1</v>
      </c>
      <c r="B50" s="305" t="s">
        <v>6876</v>
      </c>
      <c r="C50" s="823" t="s">
        <v>6877</v>
      </c>
    </row>
    <row r="51" spans="1:3" hidden="1" x14ac:dyDescent="0.25">
      <c r="A51" s="311">
        <v>1</v>
      </c>
      <c r="B51" s="305" t="s">
        <v>6878</v>
      </c>
      <c r="C51" s="823" t="s">
        <v>6879</v>
      </c>
    </row>
    <row r="52" spans="1:3" hidden="1" x14ac:dyDescent="0.25">
      <c r="A52" s="311">
        <v>1</v>
      </c>
      <c r="B52" s="305" t="s">
        <v>6880</v>
      </c>
      <c r="C52" s="823" t="s">
        <v>6881</v>
      </c>
    </row>
    <row r="53" spans="1:3" hidden="1" x14ac:dyDescent="0.25">
      <c r="A53" s="311">
        <v>1</v>
      </c>
      <c r="B53" s="305" t="s">
        <v>6882</v>
      </c>
      <c r="C53" s="823" t="s">
        <v>6883</v>
      </c>
    </row>
    <row r="54" spans="1:3" hidden="1" x14ac:dyDescent="0.25">
      <c r="A54" s="311">
        <v>1</v>
      </c>
      <c r="B54" s="305" t="s">
        <v>6884</v>
      </c>
      <c r="C54" s="823" t="s">
        <v>6885</v>
      </c>
    </row>
    <row r="55" spans="1:3" hidden="1" x14ac:dyDescent="0.25">
      <c r="A55" s="311">
        <v>1</v>
      </c>
      <c r="B55" s="305" t="s">
        <v>6886</v>
      </c>
      <c r="C55" s="823" t="s">
        <v>6887</v>
      </c>
    </row>
    <row r="56" spans="1:3" hidden="1" x14ac:dyDescent="0.25">
      <c r="A56" s="311">
        <v>1</v>
      </c>
      <c r="B56" s="305" t="s">
        <v>6888</v>
      </c>
      <c r="C56" s="823" t="s">
        <v>6889</v>
      </c>
    </row>
    <row r="57" spans="1:3" hidden="1" x14ac:dyDescent="0.25">
      <c r="A57" s="311">
        <v>1</v>
      </c>
      <c r="B57" s="305" t="s">
        <v>6890</v>
      </c>
      <c r="C57" s="823" t="s">
        <v>6891</v>
      </c>
    </row>
    <row r="58" spans="1:3" hidden="1" x14ac:dyDescent="0.25">
      <c r="A58" s="311">
        <v>1</v>
      </c>
      <c r="B58" s="305" t="s">
        <v>6892</v>
      </c>
      <c r="C58" s="823" t="s">
        <v>6893</v>
      </c>
    </row>
    <row r="59" spans="1:3" hidden="1" x14ac:dyDescent="0.25">
      <c r="A59" s="311">
        <v>1</v>
      </c>
      <c r="B59" s="305" t="s">
        <v>6894</v>
      </c>
      <c r="C59" s="823" t="s">
        <v>6895</v>
      </c>
    </row>
    <row r="60" spans="1:3" hidden="1" x14ac:dyDescent="0.25">
      <c r="A60" s="311">
        <v>1</v>
      </c>
      <c r="B60" s="305" t="s">
        <v>6896</v>
      </c>
      <c r="C60" s="823" t="s">
        <v>6897</v>
      </c>
    </row>
    <row r="61" spans="1:3" hidden="1" x14ac:dyDescent="0.25">
      <c r="A61" s="311">
        <v>1</v>
      </c>
      <c r="B61" s="305" t="s">
        <v>6898</v>
      </c>
      <c r="C61" s="823" t="s">
        <v>6899</v>
      </c>
    </row>
    <row r="62" spans="1:3" hidden="1" x14ac:dyDescent="0.25">
      <c r="A62" s="311">
        <v>1</v>
      </c>
      <c r="B62" s="305" t="s">
        <v>6900</v>
      </c>
      <c r="C62" s="823" t="s">
        <v>6901</v>
      </c>
    </row>
    <row r="63" spans="1:3" hidden="1" x14ac:dyDescent="0.25">
      <c r="A63" s="311">
        <v>1</v>
      </c>
      <c r="B63" s="305" t="s">
        <v>6902</v>
      </c>
      <c r="C63" s="823" t="s">
        <v>6903</v>
      </c>
    </row>
    <row r="64" spans="1:3" hidden="1" x14ac:dyDescent="0.25">
      <c r="A64" s="311">
        <v>1</v>
      </c>
      <c r="B64" s="305" t="s">
        <v>6904</v>
      </c>
      <c r="C64" s="823" t="s">
        <v>6905</v>
      </c>
    </row>
    <row r="65" spans="1:3" hidden="1" x14ac:dyDescent="0.25">
      <c r="A65" s="311">
        <v>1</v>
      </c>
      <c r="B65" s="305" t="s">
        <v>6906</v>
      </c>
      <c r="C65" s="823" t="s">
        <v>6907</v>
      </c>
    </row>
    <row r="66" spans="1:3" hidden="1" x14ac:dyDescent="0.25">
      <c r="A66" s="311">
        <v>1</v>
      </c>
      <c r="B66" s="305" t="s">
        <v>6908</v>
      </c>
      <c r="C66" s="823" t="s">
        <v>6909</v>
      </c>
    </row>
    <row r="67" spans="1:3" hidden="1" x14ac:dyDescent="0.25">
      <c r="A67" s="311">
        <v>1</v>
      </c>
      <c r="B67" s="305" t="s">
        <v>6910</v>
      </c>
      <c r="C67" s="823" t="s">
        <v>6911</v>
      </c>
    </row>
    <row r="68" spans="1:3" hidden="1" x14ac:dyDescent="0.25">
      <c r="A68" s="311">
        <v>1</v>
      </c>
      <c r="B68" s="305" t="s">
        <v>6912</v>
      </c>
      <c r="C68" s="823" t="s">
        <v>6913</v>
      </c>
    </row>
    <row r="69" spans="1:3" hidden="1" x14ac:dyDescent="0.25">
      <c r="A69" s="311">
        <v>1</v>
      </c>
      <c r="B69" s="305" t="s">
        <v>6914</v>
      </c>
      <c r="C69" s="823" t="s">
        <v>6915</v>
      </c>
    </row>
    <row r="70" spans="1:3" hidden="1" x14ac:dyDescent="0.25">
      <c r="A70" s="311">
        <v>1</v>
      </c>
      <c r="B70" s="305" t="s">
        <v>6916</v>
      </c>
      <c r="C70" s="823" t="s">
        <v>6917</v>
      </c>
    </row>
    <row r="71" spans="1:3" hidden="1" x14ac:dyDescent="0.25">
      <c r="A71" s="311">
        <v>1</v>
      </c>
      <c r="B71" s="305" t="s">
        <v>6918</v>
      </c>
      <c r="C71" s="823" t="s">
        <v>6919</v>
      </c>
    </row>
    <row r="72" spans="1:3" hidden="1" x14ac:dyDescent="0.25">
      <c r="A72" s="311">
        <v>1</v>
      </c>
      <c r="B72" s="305" t="s">
        <v>6920</v>
      </c>
      <c r="C72" s="823" t="s">
        <v>6921</v>
      </c>
    </row>
    <row r="73" spans="1:3" hidden="1" x14ac:dyDescent="0.25">
      <c r="A73" s="311">
        <v>1</v>
      </c>
      <c r="B73" s="305" t="s">
        <v>6922</v>
      </c>
      <c r="C73" s="823" t="s">
        <v>6923</v>
      </c>
    </row>
    <row r="74" spans="1:3" hidden="1" x14ac:dyDescent="0.25">
      <c r="A74" s="311">
        <v>1</v>
      </c>
      <c r="B74" s="305" t="s">
        <v>6924</v>
      </c>
      <c r="C74" s="823" t="s">
        <v>6925</v>
      </c>
    </row>
    <row r="75" spans="1:3" hidden="1" x14ac:dyDescent="0.25">
      <c r="A75" s="311">
        <v>1</v>
      </c>
      <c r="B75" s="305" t="s">
        <v>6926</v>
      </c>
      <c r="C75" s="823" t="s">
        <v>6927</v>
      </c>
    </row>
    <row r="76" spans="1:3" hidden="1" x14ac:dyDescent="0.25">
      <c r="A76" s="311">
        <v>1</v>
      </c>
      <c r="B76" s="305" t="s">
        <v>6928</v>
      </c>
      <c r="C76" s="823" t="s">
        <v>6929</v>
      </c>
    </row>
    <row r="77" spans="1:3" hidden="1" x14ac:dyDescent="0.25">
      <c r="A77" s="311">
        <v>1</v>
      </c>
      <c r="B77" s="305" t="s">
        <v>6930</v>
      </c>
      <c r="C77" s="823" t="s">
        <v>6931</v>
      </c>
    </row>
    <row r="78" spans="1:3" hidden="1" x14ac:dyDescent="0.25">
      <c r="A78" s="311">
        <v>1</v>
      </c>
      <c r="B78" s="305" t="s">
        <v>6932</v>
      </c>
      <c r="C78" s="823" t="s">
        <v>6933</v>
      </c>
    </row>
    <row r="79" spans="1:3" hidden="1" x14ac:dyDescent="0.25">
      <c r="A79" s="311">
        <v>1</v>
      </c>
      <c r="B79" s="305" t="s">
        <v>6934</v>
      </c>
      <c r="C79" s="823" t="s">
        <v>6935</v>
      </c>
    </row>
    <row r="80" spans="1:3" hidden="1" x14ac:dyDescent="0.25">
      <c r="A80" s="311">
        <v>1</v>
      </c>
      <c r="B80" s="305" t="s">
        <v>6936</v>
      </c>
      <c r="C80" s="823" t="s">
        <v>6937</v>
      </c>
    </row>
    <row r="81" spans="1:3" hidden="1" x14ac:dyDescent="0.25">
      <c r="A81" s="311">
        <v>1</v>
      </c>
      <c r="B81" s="305" t="s">
        <v>6938</v>
      </c>
      <c r="C81" s="823" t="s">
        <v>6939</v>
      </c>
    </row>
    <row r="82" spans="1:3" hidden="1" x14ac:dyDescent="0.25">
      <c r="A82" s="311">
        <v>1</v>
      </c>
      <c r="B82" s="305" t="s">
        <v>6940</v>
      </c>
      <c r="C82" s="823" t="s">
        <v>6941</v>
      </c>
    </row>
    <row r="83" spans="1:3" hidden="1" x14ac:dyDescent="0.25">
      <c r="A83" s="311">
        <v>1</v>
      </c>
      <c r="B83" s="305" t="s">
        <v>6942</v>
      </c>
      <c r="C83" s="823" t="s">
        <v>6943</v>
      </c>
    </row>
    <row r="84" spans="1:3" hidden="1" x14ac:dyDescent="0.25">
      <c r="A84" s="311">
        <v>1</v>
      </c>
      <c r="B84" s="305" t="s">
        <v>6944</v>
      </c>
      <c r="C84" s="823" t="s">
        <v>6945</v>
      </c>
    </row>
    <row r="85" spans="1:3" hidden="1" x14ac:dyDescent="0.25">
      <c r="A85" s="311">
        <v>1</v>
      </c>
      <c r="B85" s="305" t="s">
        <v>6946</v>
      </c>
      <c r="C85" s="823" t="s">
        <v>6947</v>
      </c>
    </row>
    <row r="86" spans="1:3" hidden="1" x14ac:dyDescent="0.25">
      <c r="A86" s="311">
        <v>1</v>
      </c>
      <c r="B86" s="305" t="s">
        <v>6948</v>
      </c>
      <c r="C86" s="823" t="s">
        <v>6949</v>
      </c>
    </row>
    <row r="87" spans="1:3" hidden="1" x14ac:dyDescent="0.25">
      <c r="A87" s="311">
        <v>1</v>
      </c>
      <c r="B87" s="305" t="s">
        <v>6950</v>
      </c>
      <c r="C87" s="823" t="s">
        <v>6951</v>
      </c>
    </row>
    <row r="88" spans="1:3" hidden="1" x14ac:dyDescent="0.25">
      <c r="A88" s="311">
        <v>1</v>
      </c>
      <c r="B88" s="305" t="s">
        <v>6952</v>
      </c>
      <c r="C88" s="823" t="s">
        <v>6953</v>
      </c>
    </row>
    <row r="89" spans="1:3" hidden="1" x14ac:dyDescent="0.25">
      <c r="A89" s="311">
        <v>1</v>
      </c>
      <c r="B89" s="305" t="s">
        <v>6954</v>
      </c>
      <c r="C89" s="823" t="s">
        <v>6955</v>
      </c>
    </row>
    <row r="90" spans="1:3" hidden="1" x14ac:dyDescent="0.25">
      <c r="A90" s="311">
        <v>1</v>
      </c>
      <c r="B90" s="305" t="s">
        <v>6956</v>
      </c>
      <c r="C90" s="823" t="s">
        <v>6957</v>
      </c>
    </row>
    <row r="91" spans="1:3" hidden="1" x14ac:dyDescent="0.25">
      <c r="A91" s="311">
        <v>1</v>
      </c>
      <c r="B91" s="305" t="s">
        <v>6958</v>
      </c>
      <c r="C91" s="823" t="s">
        <v>6959</v>
      </c>
    </row>
    <row r="92" spans="1:3" hidden="1" x14ac:dyDescent="0.25">
      <c r="A92" s="311">
        <v>1</v>
      </c>
      <c r="B92" s="305" t="s">
        <v>6960</v>
      </c>
      <c r="C92" s="823" t="s">
        <v>6961</v>
      </c>
    </row>
    <row r="93" spans="1:3" hidden="1" x14ac:dyDescent="0.25">
      <c r="A93" s="311">
        <v>1</v>
      </c>
      <c r="B93" s="305" t="s">
        <v>6962</v>
      </c>
      <c r="C93" s="823" t="s">
        <v>6963</v>
      </c>
    </row>
    <row r="94" spans="1:3" hidden="1" x14ac:dyDescent="0.25">
      <c r="A94" s="311">
        <v>1</v>
      </c>
      <c r="B94" s="305" t="s">
        <v>6964</v>
      </c>
      <c r="C94" s="823" t="s">
        <v>6965</v>
      </c>
    </row>
    <row r="95" spans="1:3" hidden="1" x14ac:dyDescent="0.25">
      <c r="A95" s="311">
        <v>1</v>
      </c>
      <c r="B95" s="305" t="s">
        <v>6966</v>
      </c>
      <c r="C95" s="823" t="s">
        <v>6967</v>
      </c>
    </row>
    <row r="96" spans="1:3" hidden="1" x14ac:dyDescent="0.25">
      <c r="A96" s="311">
        <v>1</v>
      </c>
      <c r="B96" s="305" t="s">
        <v>6968</v>
      </c>
      <c r="C96" s="823" t="s">
        <v>6969</v>
      </c>
    </row>
    <row r="97" spans="1:3" hidden="1" x14ac:dyDescent="0.25">
      <c r="A97" s="311">
        <v>1</v>
      </c>
      <c r="B97" s="305" t="s">
        <v>6970</v>
      </c>
      <c r="C97" s="823" t="s">
        <v>6971</v>
      </c>
    </row>
    <row r="98" spans="1:3" hidden="1" x14ac:dyDescent="0.25">
      <c r="A98" s="311">
        <v>1</v>
      </c>
      <c r="B98" s="305" t="s">
        <v>6972</v>
      </c>
      <c r="C98" s="823" t="s">
        <v>6973</v>
      </c>
    </row>
    <row r="99" spans="1:3" hidden="1" x14ac:dyDescent="0.25">
      <c r="A99" s="311">
        <v>1</v>
      </c>
      <c r="B99" s="305" t="s">
        <v>6974</v>
      </c>
      <c r="C99" s="823" t="s">
        <v>6975</v>
      </c>
    </row>
    <row r="100" spans="1:3" hidden="1" x14ac:dyDescent="0.25">
      <c r="A100" s="311">
        <v>1</v>
      </c>
      <c r="B100" s="305" t="s">
        <v>6976</v>
      </c>
      <c r="C100" s="823" t="s">
        <v>6977</v>
      </c>
    </row>
    <row r="101" spans="1:3" hidden="1" x14ac:dyDescent="0.25">
      <c r="A101" s="311">
        <v>1</v>
      </c>
      <c r="B101" s="305" t="s">
        <v>6978</v>
      </c>
      <c r="C101" s="823" t="s">
        <v>6979</v>
      </c>
    </row>
    <row r="102" spans="1:3" hidden="1" x14ac:dyDescent="0.25">
      <c r="A102" s="311">
        <v>1</v>
      </c>
      <c r="B102" s="305" t="s">
        <v>6980</v>
      </c>
      <c r="C102" s="823" t="s">
        <v>6981</v>
      </c>
    </row>
    <row r="103" spans="1:3" hidden="1" x14ac:dyDescent="0.25">
      <c r="A103" s="311">
        <v>1</v>
      </c>
      <c r="B103" s="305" t="s">
        <v>6982</v>
      </c>
      <c r="C103" s="823" t="s">
        <v>6983</v>
      </c>
    </row>
    <row r="104" spans="1:3" hidden="1" x14ac:dyDescent="0.25">
      <c r="A104" s="311">
        <v>1</v>
      </c>
      <c r="B104" s="305" t="s">
        <v>6984</v>
      </c>
      <c r="C104" s="823" t="s">
        <v>6985</v>
      </c>
    </row>
    <row r="105" spans="1:3" hidden="1" x14ac:dyDescent="0.25">
      <c r="A105" s="311">
        <v>1</v>
      </c>
      <c r="B105" s="305" t="s">
        <v>6059</v>
      </c>
      <c r="C105" s="823" t="s">
        <v>6060</v>
      </c>
    </row>
    <row r="106" spans="1:3" hidden="1" x14ac:dyDescent="0.25">
      <c r="A106" s="311">
        <v>1</v>
      </c>
      <c r="B106" s="305" t="s">
        <v>6986</v>
      </c>
      <c r="C106" s="823" t="s">
        <v>6987</v>
      </c>
    </row>
    <row r="107" spans="1:3" hidden="1" x14ac:dyDescent="0.25">
      <c r="A107" s="311">
        <v>1</v>
      </c>
      <c r="B107" s="305" t="s">
        <v>6988</v>
      </c>
      <c r="C107" s="823" t="s">
        <v>6989</v>
      </c>
    </row>
    <row r="108" spans="1:3" hidden="1" x14ac:dyDescent="0.25">
      <c r="A108" s="311">
        <v>1</v>
      </c>
      <c r="B108" s="305" t="s">
        <v>6990</v>
      </c>
      <c r="C108" s="823" t="s">
        <v>6991</v>
      </c>
    </row>
    <row r="109" spans="1:3" hidden="1" x14ac:dyDescent="0.25">
      <c r="A109" s="311">
        <v>1</v>
      </c>
      <c r="B109" s="305" t="s">
        <v>6992</v>
      </c>
      <c r="C109" s="823" t="s">
        <v>581</v>
      </c>
    </row>
    <row r="110" spans="1:3" hidden="1" x14ac:dyDescent="0.25">
      <c r="A110" s="311">
        <v>1</v>
      </c>
      <c r="B110" s="305" t="s">
        <v>6993</v>
      </c>
      <c r="C110" s="823" t="s">
        <v>6286</v>
      </c>
    </row>
    <row r="111" spans="1:3" hidden="1" x14ac:dyDescent="0.25">
      <c r="A111" s="311">
        <v>1</v>
      </c>
      <c r="B111" s="305" t="s">
        <v>6994</v>
      </c>
      <c r="C111" s="823" t="s">
        <v>6995</v>
      </c>
    </row>
    <row r="112" spans="1:3" hidden="1" x14ac:dyDescent="0.25">
      <c r="A112" s="311">
        <v>1</v>
      </c>
      <c r="B112" s="305" t="s">
        <v>6996</v>
      </c>
      <c r="C112" s="823" t="s">
        <v>6288</v>
      </c>
    </row>
    <row r="113" spans="1:3" hidden="1" x14ac:dyDescent="0.25">
      <c r="A113" s="311">
        <v>1</v>
      </c>
      <c r="B113" s="305" t="s">
        <v>6997</v>
      </c>
      <c r="C113" s="823" t="s">
        <v>6289</v>
      </c>
    </row>
    <row r="114" spans="1:3" hidden="1" x14ac:dyDescent="0.25">
      <c r="A114" s="311">
        <v>1</v>
      </c>
      <c r="B114" s="305" t="s">
        <v>6998</v>
      </c>
      <c r="C114" s="823" t="s">
        <v>6290</v>
      </c>
    </row>
    <row r="115" spans="1:3" hidden="1" x14ac:dyDescent="0.25">
      <c r="A115" s="311">
        <v>1</v>
      </c>
      <c r="B115" s="305" t="s">
        <v>6999</v>
      </c>
      <c r="C115" s="823" t="s">
        <v>589</v>
      </c>
    </row>
    <row r="116" spans="1:3" hidden="1" x14ac:dyDescent="0.25">
      <c r="A116" s="311">
        <v>1</v>
      </c>
      <c r="B116" s="305" t="s">
        <v>7000</v>
      </c>
      <c r="C116" s="823" t="s">
        <v>590</v>
      </c>
    </row>
    <row r="117" spans="1:3" hidden="1" x14ac:dyDescent="0.25">
      <c r="A117" s="311">
        <v>1</v>
      </c>
      <c r="B117" s="305" t="s">
        <v>7001</v>
      </c>
      <c r="C117" s="823" t="s">
        <v>582</v>
      </c>
    </row>
    <row r="118" spans="1:3" hidden="1" x14ac:dyDescent="0.25">
      <c r="A118" s="311">
        <v>1</v>
      </c>
      <c r="B118" s="305" t="s">
        <v>7002</v>
      </c>
      <c r="C118" s="823" t="s">
        <v>583</v>
      </c>
    </row>
    <row r="119" spans="1:3" hidden="1" x14ac:dyDescent="0.25">
      <c r="A119" s="311">
        <v>1</v>
      </c>
      <c r="B119" s="305" t="s">
        <v>7003</v>
      </c>
      <c r="C119" s="823" t="s">
        <v>584</v>
      </c>
    </row>
    <row r="120" spans="1:3" hidden="1" x14ac:dyDescent="0.25">
      <c r="A120" s="311">
        <v>1</v>
      </c>
      <c r="B120" s="305" t="s">
        <v>7004</v>
      </c>
      <c r="C120" s="823" t="s">
        <v>585</v>
      </c>
    </row>
    <row r="121" spans="1:3" hidden="1" x14ac:dyDescent="0.25">
      <c r="A121" s="311">
        <v>1</v>
      </c>
      <c r="B121" s="305" t="s">
        <v>7005</v>
      </c>
      <c r="C121" s="823" t="s">
        <v>586</v>
      </c>
    </row>
    <row r="122" spans="1:3" hidden="1" x14ac:dyDescent="0.25">
      <c r="A122" s="311">
        <v>1</v>
      </c>
      <c r="B122" s="305" t="s">
        <v>7006</v>
      </c>
      <c r="C122" s="823" t="s">
        <v>587</v>
      </c>
    </row>
    <row r="123" spans="1:3" hidden="1" x14ac:dyDescent="0.25">
      <c r="A123" s="311">
        <v>1</v>
      </c>
      <c r="B123" s="305" t="s">
        <v>7007</v>
      </c>
      <c r="C123" s="823" t="s">
        <v>588</v>
      </c>
    </row>
    <row r="124" spans="1:3" hidden="1" x14ac:dyDescent="0.25">
      <c r="A124" s="311">
        <v>1</v>
      </c>
      <c r="B124" s="305" t="s">
        <v>7008</v>
      </c>
      <c r="C124" s="823" t="s">
        <v>591</v>
      </c>
    </row>
    <row r="125" spans="1:3" hidden="1" x14ac:dyDescent="0.25">
      <c r="A125" s="311">
        <v>1</v>
      </c>
      <c r="B125" s="305" t="s">
        <v>7009</v>
      </c>
      <c r="C125" s="823" t="s">
        <v>592</v>
      </c>
    </row>
    <row r="126" spans="1:3" hidden="1" x14ac:dyDescent="0.25">
      <c r="A126" s="311">
        <v>1</v>
      </c>
      <c r="B126" s="305" t="s">
        <v>7010</v>
      </c>
      <c r="C126" s="823" t="s">
        <v>7011</v>
      </c>
    </row>
    <row r="127" spans="1:3" hidden="1" x14ac:dyDescent="0.25">
      <c r="A127" s="311">
        <v>1</v>
      </c>
      <c r="B127" s="305" t="s">
        <v>7012</v>
      </c>
      <c r="C127" s="823" t="s">
        <v>7013</v>
      </c>
    </row>
    <row r="128" spans="1:3" hidden="1" x14ac:dyDescent="0.25">
      <c r="A128" s="311">
        <v>1</v>
      </c>
      <c r="B128" s="305" t="s">
        <v>7014</v>
      </c>
      <c r="C128" s="823" t="s">
        <v>7015</v>
      </c>
    </row>
    <row r="129" spans="1:3" hidden="1" x14ac:dyDescent="0.25">
      <c r="A129" s="311">
        <v>1</v>
      </c>
      <c r="B129" s="305" t="s">
        <v>7016</v>
      </c>
      <c r="C129" s="823" t="s">
        <v>7017</v>
      </c>
    </row>
    <row r="130" spans="1:3" hidden="1" x14ac:dyDescent="0.25">
      <c r="A130" s="311">
        <v>1</v>
      </c>
      <c r="B130" s="305" t="s">
        <v>7018</v>
      </c>
      <c r="C130" s="823" t="s">
        <v>7019</v>
      </c>
    </row>
    <row r="131" spans="1:3" hidden="1" x14ac:dyDescent="0.25">
      <c r="A131" s="311">
        <v>1</v>
      </c>
      <c r="B131" s="305" t="s">
        <v>7020</v>
      </c>
      <c r="C131" s="823" t="s">
        <v>7021</v>
      </c>
    </row>
    <row r="132" spans="1:3" hidden="1" x14ac:dyDescent="0.25">
      <c r="A132" s="311">
        <v>1</v>
      </c>
      <c r="B132" s="305" t="s">
        <v>6061</v>
      </c>
      <c r="C132" s="823" t="s">
        <v>6062</v>
      </c>
    </row>
    <row r="133" spans="1:3" hidden="1" x14ac:dyDescent="0.25">
      <c r="A133" s="311">
        <v>1</v>
      </c>
      <c r="B133" s="305" t="s">
        <v>7022</v>
      </c>
      <c r="C133" s="823" t="s">
        <v>7023</v>
      </c>
    </row>
    <row r="134" spans="1:3" hidden="1" x14ac:dyDescent="0.25">
      <c r="A134" s="311">
        <v>1</v>
      </c>
      <c r="B134" s="305" t="s">
        <v>7024</v>
      </c>
      <c r="C134" s="823" t="s">
        <v>7025</v>
      </c>
    </row>
    <row r="135" spans="1:3" hidden="1" x14ac:dyDescent="0.25">
      <c r="A135" s="311">
        <v>1</v>
      </c>
      <c r="B135" s="305" t="s">
        <v>7026</v>
      </c>
      <c r="C135" s="823" t="s">
        <v>7027</v>
      </c>
    </row>
    <row r="136" spans="1:3" hidden="1" x14ac:dyDescent="0.25">
      <c r="A136" s="311">
        <v>1</v>
      </c>
      <c r="B136" s="305" t="s">
        <v>7028</v>
      </c>
      <c r="C136" s="823" t="s">
        <v>7029</v>
      </c>
    </row>
    <row r="137" spans="1:3" hidden="1" x14ac:dyDescent="0.25">
      <c r="A137" s="311">
        <v>1</v>
      </c>
      <c r="B137" s="305" t="s">
        <v>7030</v>
      </c>
      <c r="C137" s="823" t="s">
        <v>7031</v>
      </c>
    </row>
    <row r="138" spans="1:3" hidden="1" x14ac:dyDescent="0.25">
      <c r="A138" s="311">
        <v>1</v>
      </c>
      <c r="B138" s="305" t="s">
        <v>7032</v>
      </c>
      <c r="C138" s="823" t="s">
        <v>7033</v>
      </c>
    </row>
    <row r="139" spans="1:3" hidden="1" x14ac:dyDescent="0.25">
      <c r="A139" s="311">
        <v>1</v>
      </c>
      <c r="B139" s="305" t="s">
        <v>7034</v>
      </c>
      <c r="C139" s="823" t="s">
        <v>7035</v>
      </c>
    </row>
    <row r="140" spans="1:3" hidden="1" x14ac:dyDescent="0.25">
      <c r="A140" s="311">
        <v>1</v>
      </c>
      <c r="B140" s="305" t="s">
        <v>7036</v>
      </c>
      <c r="C140" s="823" t="s">
        <v>7037</v>
      </c>
    </row>
    <row r="141" spans="1:3" hidden="1" x14ac:dyDescent="0.25">
      <c r="A141" s="311">
        <v>1</v>
      </c>
      <c r="B141" s="305" t="s">
        <v>7038</v>
      </c>
      <c r="C141" s="823" t="s">
        <v>7039</v>
      </c>
    </row>
    <row r="142" spans="1:3" hidden="1" x14ac:dyDescent="0.25">
      <c r="A142" s="311">
        <v>1</v>
      </c>
      <c r="B142" s="305" t="s">
        <v>7040</v>
      </c>
      <c r="C142" s="823" t="s">
        <v>7041</v>
      </c>
    </row>
    <row r="143" spans="1:3" hidden="1" x14ac:dyDescent="0.25">
      <c r="A143" s="311">
        <v>1</v>
      </c>
      <c r="B143" s="305" t="s">
        <v>7042</v>
      </c>
      <c r="C143" s="823" t="s">
        <v>7043</v>
      </c>
    </row>
    <row r="144" spans="1:3" hidden="1" x14ac:dyDescent="0.25">
      <c r="A144" s="311">
        <v>1</v>
      </c>
      <c r="B144" s="305" t="s">
        <v>7044</v>
      </c>
      <c r="C144" s="823" t="s">
        <v>7045</v>
      </c>
    </row>
    <row r="145" spans="1:3" hidden="1" x14ac:dyDescent="0.25">
      <c r="A145" s="311">
        <v>1</v>
      </c>
      <c r="B145" s="305" t="s">
        <v>7046</v>
      </c>
      <c r="C145" s="823" t="s">
        <v>7047</v>
      </c>
    </row>
    <row r="146" spans="1:3" hidden="1" x14ac:dyDescent="0.25">
      <c r="A146" s="311">
        <v>1</v>
      </c>
      <c r="B146" s="305" t="s">
        <v>7048</v>
      </c>
      <c r="C146" s="823" t="s">
        <v>7049</v>
      </c>
    </row>
    <row r="147" spans="1:3" hidden="1" x14ac:dyDescent="0.25">
      <c r="A147" s="311">
        <v>1</v>
      </c>
      <c r="B147" s="305" t="s">
        <v>7050</v>
      </c>
      <c r="C147" s="823" t="s">
        <v>7051</v>
      </c>
    </row>
    <row r="148" spans="1:3" hidden="1" x14ac:dyDescent="0.25">
      <c r="A148" s="311">
        <v>1</v>
      </c>
      <c r="B148" s="305" t="s">
        <v>7052</v>
      </c>
      <c r="C148" s="823" t="s">
        <v>7053</v>
      </c>
    </row>
    <row r="149" spans="1:3" hidden="1" x14ac:dyDescent="0.25">
      <c r="A149" s="311">
        <v>1</v>
      </c>
      <c r="B149" s="305" t="s">
        <v>7054</v>
      </c>
      <c r="C149" s="823" t="s">
        <v>7055</v>
      </c>
    </row>
    <row r="150" spans="1:3" hidden="1" x14ac:dyDescent="0.25">
      <c r="A150" s="311">
        <v>1</v>
      </c>
      <c r="B150" s="305" t="s">
        <v>7056</v>
      </c>
      <c r="C150" s="823" t="s">
        <v>7057</v>
      </c>
    </row>
    <row r="151" spans="1:3" hidden="1" x14ac:dyDescent="0.25">
      <c r="A151" s="311">
        <v>1</v>
      </c>
      <c r="B151" s="305" t="s">
        <v>7058</v>
      </c>
      <c r="C151" s="823" t="s">
        <v>7059</v>
      </c>
    </row>
    <row r="152" spans="1:3" hidden="1" x14ac:dyDescent="0.25">
      <c r="A152" s="311">
        <v>1</v>
      </c>
      <c r="B152" s="305" t="s">
        <v>7060</v>
      </c>
      <c r="C152" s="823" t="s">
        <v>7061</v>
      </c>
    </row>
    <row r="153" spans="1:3" hidden="1" x14ac:dyDescent="0.25">
      <c r="A153" s="311">
        <v>1</v>
      </c>
      <c r="B153" s="305" t="s">
        <v>7062</v>
      </c>
      <c r="C153" s="823" t="s">
        <v>7063</v>
      </c>
    </row>
    <row r="154" spans="1:3" hidden="1" x14ac:dyDescent="0.25">
      <c r="A154" s="311">
        <v>1</v>
      </c>
      <c r="B154" s="305" t="s">
        <v>7064</v>
      </c>
      <c r="C154" s="823" t="s">
        <v>7065</v>
      </c>
    </row>
    <row r="155" spans="1:3" hidden="1" x14ac:dyDescent="0.25">
      <c r="A155" s="311">
        <v>1</v>
      </c>
      <c r="B155" s="305" t="s">
        <v>7066</v>
      </c>
      <c r="C155" s="823" t="s">
        <v>7067</v>
      </c>
    </row>
    <row r="156" spans="1:3" hidden="1" x14ac:dyDescent="0.25">
      <c r="A156" s="311">
        <v>1</v>
      </c>
      <c r="B156" s="305" t="s">
        <v>7068</v>
      </c>
      <c r="C156" s="823" t="s">
        <v>7069</v>
      </c>
    </row>
    <row r="157" spans="1:3" hidden="1" x14ac:dyDescent="0.25">
      <c r="A157" s="311">
        <v>1</v>
      </c>
      <c r="B157" s="305" t="s">
        <v>7070</v>
      </c>
      <c r="C157" s="823" t="s">
        <v>7071</v>
      </c>
    </row>
    <row r="158" spans="1:3" hidden="1" x14ac:dyDescent="0.25">
      <c r="A158" s="311">
        <v>1</v>
      </c>
      <c r="B158" s="305" t="s">
        <v>7072</v>
      </c>
      <c r="C158" s="823" t="s">
        <v>7073</v>
      </c>
    </row>
    <row r="159" spans="1:3" hidden="1" x14ac:dyDescent="0.25">
      <c r="A159" s="311">
        <v>1</v>
      </c>
      <c r="B159" s="305" t="s">
        <v>7074</v>
      </c>
      <c r="C159" s="823" t="s">
        <v>7075</v>
      </c>
    </row>
    <row r="160" spans="1:3" hidden="1" x14ac:dyDescent="0.25">
      <c r="A160" s="311">
        <v>1</v>
      </c>
      <c r="B160" s="305" t="s">
        <v>7076</v>
      </c>
      <c r="C160" s="823" t="s">
        <v>7077</v>
      </c>
    </row>
    <row r="161" spans="1:3" hidden="1" x14ac:dyDescent="0.25">
      <c r="A161" s="311">
        <v>1</v>
      </c>
      <c r="B161" s="305" t="s">
        <v>7078</v>
      </c>
      <c r="C161" s="823" t="s">
        <v>7079</v>
      </c>
    </row>
    <row r="162" spans="1:3" hidden="1" x14ac:dyDescent="0.25">
      <c r="A162" s="311">
        <v>1</v>
      </c>
      <c r="B162" s="305" t="s">
        <v>7080</v>
      </c>
      <c r="C162" s="823" t="s">
        <v>7081</v>
      </c>
    </row>
    <row r="163" spans="1:3" hidden="1" x14ac:dyDescent="0.25">
      <c r="A163" s="311">
        <v>1</v>
      </c>
      <c r="B163" s="305" t="s">
        <v>7082</v>
      </c>
      <c r="C163" s="823" t="s">
        <v>7083</v>
      </c>
    </row>
    <row r="164" spans="1:3" hidden="1" x14ac:dyDescent="0.25">
      <c r="A164" s="311">
        <v>1</v>
      </c>
      <c r="B164" s="305" t="s">
        <v>7084</v>
      </c>
      <c r="C164" s="823" t="s">
        <v>7085</v>
      </c>
    </row>
    <row r="165" spans="1:3" hidden="1" x14ac:dyDescent="0.25">
      <c r="A165" s="311">
        <v>1</v>
      </c>
      <c r="B165" s="305" t="s">
        <v>7086</v>
      </c>
      <c r="C165" s="823" t="s">
        <v>7087</v>
      </c>
    </row>
    <row r="166" spans="1:3" hidden="1" x14ac:dyDescent="0.25">
      <c r="A166" s="311">
        <v>1</v>
      </c>
      <c r="B166" s="305" t="s">
        <v>7088</v>
      </c>
      <c r="C166" s="823" t="s">
        <v>7089</v>
      </c>
    </row>
    <row r="167" spans="1:3" hidden="1" x14ac:dyDescent="0.25">
      <c r="A167" s="311">
        <v>1</v>
      </c>
      <c r="B167" s="305" t="s">
        <v>7090</v>
      </c>
      <c r="C167" s="823" t="s">
        <v>7091</v>
      </c>
    </row>
    <row r="168" spans="1:3" hidden="1" x14ac:dyDescent="0.25">
      <c r="A168" s="311">
        <v>1</v>
      </c>
      <c r="B168" s="305" t="s">
        <v>7092</v>
      </c>
      <c r="C168" s="823" t="s">
        <v>7093</v>
      </c>
    </row>
    <row r="169" spans="1:3" hidden="1" x14ac:dyDescent="0.25">
      <c r="A169" s="311">
        <v>1</v>
      </c>
      <c r="B169" s="305" t="s">
        <v>7094</v>
      </c>
      <c r="C169" s="823" t="s">
        <v>7095</v>
      </c>
    </row>
    <row r="170" spans="1:3" hidden="1" x14ac:dyDescent="0.25">
      <c r="A170" s="311">
        <v>1</v>
      </c>
      <c r="B170" s="305" t="s">
        <v>7096</v>
      </c>
      <c r="C170" s="823" t="s">
        <v>7097</v>
      </c>
    </row>
    <row r="171" spans="1:3" hidden="1" x14ac:dyDescent="0.25">
      <c r="A171" s="311">
        <v>1</v>
      </c>
      <c r="B171" s="305" t="s">
        <v>7098</v>
      </c>
      <c r="C171" s="823" t="s">
        <v>7099</v>
      </c>
    </row>
    <row r="172" spans="1:3" hidden="1" x14ac:dyDescent="0.25">
      <c r="A172" s="311">
        <v>1</v>
      </c>
      <c r="B172" s="305" t="s">
        <v>7100</v>
      </c>
      <c r="C172" s="823" t="s">
        <v>7101</v>
      </c>
    </row>
    <row r="173" spans="1:3" hidden="1" x14ac:dyDescent="0.25">
      <c r="A173" s="311">
        <v>1</v>
      </c>
      <c r="B173" s="305" t="s">
        <v>7102</v>
      </c>
      <c r="C173" s="823" t="s">
        <v>7103</v>
      </c>
    </row>
    <row r="174" spans="1:3" hidden="1" x14ac:dyDescent="0.25">
      <c r="A174" s="311">
        <v>1</v>
      </c>
      <c r="B174" s="305" t="s">
        <v>7104</v>
      </c>
      <c r="C174" s="823" t="s">
        <v>7105</v>
      </c>
    </row>
    <row r="175" spans="1:3" hidden="1" x14ac:dyDescent="0.25">
      <c r="A175" s="311">
        <v>1</v>
      </c>
      <c r="B175" s="305" t="s">
        <v>7106</v>
      </c>
      <c r="C175" s="823" t="s">
        <v>7107</v>
      </c>
    </row>
    <row r="176" spans="1:3" hidden="1" x14ac:dyDescent="0.25">
      <c r="A176" s="311">
        <v>1</v>
      </c>
      <c r="B176" s="305" t="s">
        <v>7108</v>
      </c>
      <c r="C176" s="823" t="s">
        <v>7109</v>
      </c>
    </row>
    <row r="177" spans="1:3" hidden="1" x14ac:dyDescent="0.25">
      <c r="A177" s="311">
        <v>1</v>
      </c>
      <c r="B177" s="305" t="s">
        <v>7110</v>
      </c>
      <c r="C177" s="823" t="s">
        <v>7111</v>
      </c>
    </row>
    <row r="178" spans="1:3" hidden="1" x14ac:dyDescent="0.25">
      <c r="A178" s="311">
        <v>1</v>
      </c>
      <c r="B178" s="305" t="s">
        <v>7112</v>
      </c>
      <c r="C178" s="823" t="s">
        <v>7113</v>
      </c>
    </row>
    <row r="179" spans="1:3" hidden="1" x14ac:dyDescent="0.25">
      <c r="A179" s="311">
        <v>1</v>
      </c>
      <c r="B179" s="305" t="s">
        <v>7114</v>
      </c>
      <c r="C179" s="823" t="s">
        <v>7115</v>
      </c>
    </row>
    <row r="180" spans="1:3" hidden="1" x14ac:dyDescent="0.25">
      <c r="A180" s="311">
        <v>1</v>
      </c>
      <c r="B180" s="305" t="s">
        <v>7116</v>
      </c>
      <c r="C180" s="823" t="s">
        <v>7117</v>
      </c>
    </row>
    <row r="181" spans="1:3" hidden="1" x14ac:dyDescent="0.25">
      <c r="A181" s="311">
        <v>1</v>
      </c>
      <c r="B181" s="305" t="s">
        <v>7118</v>
      </c>
      <c r="C181" s="823" t="s">
        <v>7119</v>
      </c>
    </row>
    <row r="182" spans="1:3" hidden="1" x14ac:dyDescent="0.25">
      <c r="A182" s="311">
        <v>1</v>
      </c>
      <c r="B182" s="305" t="s">
        <v>7120</v>
      </c>
      <c r="C182" s="823" t="s">
        <v>7121</v>
      </c>
    </row>
    <row r="183" spans="1:3" hidden="1" x14ac:dyDescent="0.25">
      <c r="A183" s="311">
        <v>1</v>
      </c>
      <c r="B183" s="305" t="s">
        <v>7122</v>
      </c>
      <c r="C183" s="823" t="s">
        <v>7123</v>
      </c>
    </row>
    <row r="184" spans="1:3" hidden="1" x14ac:dyDescent="0.25">
      <c r="A184" s="311">
        <v>1</v>
      </c>
      <c r="B184" s="305" t="s">
        <v>7124</v>
      </c>
      <c r="C184" s="823" t="s">
        <v>7125</v>
      </c>
    </row>
    <row r="185" spans="1:3" hidden="1" x14ac:dyDescent="0.25">
      <c r="A185" s="311">
        <v>1</v>
      </c>
      <c r="B185" s="305" t="s">
        <v>7126</v>
      </c>
      <c r="C185" s="823" t="s">
        <v>7127</v>
      </c>
    </row>
    <row r="186" spans="1:3" hidden="1" x14ac:dyDescent="0.25">
      <c r="A186" s="311">
        <v>1</v>
      </c>
      <c r="B186" s="305" t="s">
        <v>7128</v>
      </c>
      <c r="C186" s="823" t="s">
        <v>7129</v>
      </c>
    </row>
    <row r="187" spans="1:3" hidden="1" x14ac:dyDescent="0.25">
      <c r="A187" s="311">
        <v>1</v>
      </c>
      <c r="B187" s="305" t="s">
        <v>7130</v>
      </c>
      <c r="C187" s="823" t="s">
        <v>7131</v>
      </c>
    </row>
    <row r="188" spans="1:3" hidden="1" x14ac:dyDescent="0.25">
      <c r="A188" s="311">
        <v>1</v>
      </c>
      <c r="B188" s="305" t="s">
        <v>7132</v>
      </c>
      <c r="C188" s="823" t="s">
        <v>7133</v>
      </c>
    </row>
    <row r="189" spans="1:3" hidden="1" x14ac:dyDescent="0.25">
      <c r="A189" s="311">
        <v>1</v>
      </c>
      <c r="B189" s="305" t="s">
        <v>7134</v>
      </c>
      <c r="C189" s="823" t="s">
        <v>7135</v>
      </c>
    </row>
    <row r="190" spans="1:3" hidden="1" x14ac:dyDescent="0.25">
      <c r="A190" s="311">
        <v>1</v>
      </c>
      <c r="B190" s="305" t="s">
        <v>7136</v>
      </c>
      <c r="C190" s="823" t="s">
        <v>7137</v>
      </c>
    </row>
    <row r="191" spans="1:3" hidden="1" x14ac:dyDescent="0.25">
      <c r="A191" s="311">
        <v>1</v>
      </c>
      <c r="B191" s="305" t="s">
        <v>7138</v>
      </c>
      <c r="C191" s="823" t="s">
        <v>7139</v>
      </c>
    </row>
    <row r="192" spans="1:3" hidden="1" x14ac:dyDescent="0.25">
      <c r="A192" s="311">
        <v>1</v>
      </c>
      <c r="B192" s="305" t="s">
        <v>7140</v>
      </c>
      <c r="C192" s="823" t="s">
        <v>7141</v>
      </c>
    </row>
    <row r="193" spans="1:3" hidden="1" x14ac:dyDescent="0.25">
      <c r="A193" s="311">
        <v>1</v>
      </c>
      <c r="B193" s="305" t="s">
        <v>7142</v>
      </c>
      <c r="C193" s="823" t="s">
        <v>7143</v>
      </c>
    </row>
    <row r="194" spans="1:3" hidden="1" x14ac:dyDescent="0.25">
      <c r="A194" s="311">
        <v>1</v>
      </c>
      <c r="B194" s="305" t="s">
        <v>7144</v>
      </c>
      <c r="C194" s="823" t="s">
        <v>7145</v>
      </c>
    </row>
    <row r="195" spans="1:3" hidden="1" x14ac:dyDescent="0.25">
      <c r="A195" s="311">
        <v>1</v>
      </c>
      <c r="B195" s="305" t="s">
        <v>7146</v>
      </c>
      <c r="C195" s="823" t="s">
        <v>7147</v>
      </c>
    </row>
    <row r="196" spans="1:3" hidden="1" x14ac:dyDescent="0.25">
      <c r="A196" s="311">
        <v>1</v>
      </c>
      <c r="B196" s="305" t="s">
        <v>7148</v>
      </c>
      <c r="C196" s="823" t="s">
        <v>7149</v>
      </c>
    </row>
    <row r="197" spans="1:3" hidden="1" x14ac:dyDescent="0.25">
      <c r="A197" s="311">
        <v>1</v>
      </c>
      <c r="B197" s="305" t="s">
        <v>7150</v>
      </c>
      <c r="C197" s="823" t="s">
        <v>7151</v>
      </c>
    </row>
    <row r="198" spans="1:3" hidden="1" x14ac:dyDescent="0.25">
      <c r="A198" s="311">
        <v>1</v>
      </c>
      <c r="B198" s="305" t="s">
        <v>7152</v>
      </c>
      <c r="C198" s="823" t="s">
        <v>7153</v>
      </c>
    </row>
    <row r="199" spans="1:3" hidden="1" x14ac:dyDescent="0.25">
      <c r="A199" s="311">
        <v>1</v>
      </c>
      <c r="B199" s="305" t="s">
        <v>7154</v>
      </c>
      <c r="C199" s="823" t="s">
        <v>7155</v>
      </c>
    </row>
    <row r="200" spans="1:3" hidden="1" x14ac:dyDescent="0.25">
      <c r="A200" s="311">
        <v>1</v>
      </c>
      <c r="B200" s="305" t="s">
        <v>7156</v>
      </c>
      <c r="C200" s="823" t="s">
        <v>7157</v>
      </c>
    </row>
    <row r="201" spans="1:3" hidden="1" x14ac:dyDescent="0.25">
      <c r="A201" s="311">
        <v>1</v>
      </c>
      <c r="B201" s="305" t="s">
        <v>7158</v>
      </c>
      <c r="C201" s="823" t="s">
        <v>7159</v>
      </c>
    </row>
    <row r="202" spans="1:3" hidden="1" x14ac:dyDescent="0.25">
      <c r="A202" s="311">
        <v>1</v>
      </c>
      <c r="B202" s="305" t="s">
        <v>7160</v>
      </c>
      <c r="C202" s="823" t="s">
        <v>7161</v>
      </c>
    </row>
    <row r="203" spans="1:3" hidden="1" x14ac:dyDescent="0.25">
      <c r="A203" s="311">
        <v>1</v>
      </c>
      <c r="B203" s="305" t="s">
        <v>7162</v>
      </c>
      <c r="C203" s="823" t="s">
        <v>7163</v>
      </c>
    </row>
    <row r="204" spans="1:3" hidden="1" x14ac:dyDescent="0.25">
      <c r="A204" s="311">
        <v>1</v>
      </c>
      <c r="B204" s="305" t="s">
        <v>7164</v>
      </c>
      <c r="C204" s="823" t="s">
        <v>7165</v>
      </c>
    </row>
    <row r="205" spans="1:3" hidden="1" x14ac:dyDescent="0.25">
      <c r="A205" s="311">
        <v>1</v>
      </c>
      <c r="B205" s="305" t="s">
        <v>7166</v>
      </c>
      <c r="C205" s="823" t="s">
        <v>7167</v>
      </c>
    </row>
    <row r="206" spans="1:3" hidden="1" x14ac:dyDescent="0.25">
      <c r="A206" s="311">
        <v>1</v>
      </c>
      <c r="B206" s="305" t="s">
        <v>7168</v>
      </c>
      <c r="C206" s="823" t="s">
        <v>7169</v>
      </c>
    </row>
    <row r="207" spans="1:3" hidden="1" x14ac:dyDescent="0.25">
      <c r="A207" s="311">
        <v>1</v>
      </c>
      <c r="B207" s="305" t="s">
        <v>7170</v>
      </c>
      <c r="C207" s="823" t="s">
        <v>7171</v>
      </c>
    </row>
    <row r="208" spans="1:3" hidden="1" x14ac:dyDescent="0.25">
      <c r="A208" s="311">
        <v>1</v>
      </c>
      <c r="B208" s="305" t="s">
        <v>7172</v>
      </c>
      <c r="C208" s="823" t="s">
        <v>7173</v>
      </c>
    </row>
    <row r="209" spans="1:3" hidden="1" x14ac:dyDescent="0.25">
      <c r="A209" s="311">
        <v>1</v>
      </c>
      <c r="B209" s="305" t="s">
        <v>7174</v>
      </c>
      <c r="C209" s="823" t="s">
        <v>7175</v>
      </c>
    </row>
    <row r="210" spans="1:3" hidden="1" x14ac:dyDescent="0.25">
      <c r="A210" s="311">
        <v>1</v>
      </c>
      <c r="B210" s="305" t="s">
        <v>7176</v>
      </c>
      <c r="C210" s="823" t="s">
        <v>7177</v>
      </c>
    </row>
    <row r="211" spans="1:3" hidden="1" x14ac:dyDescent="0.25">
      <c r="A211" s="311">
        <v>1</v>
      </c>
      <c r="B211" s="305" t="s">
        <v>7178</v>
      </c>
      <c r="C211" s="823" t="s">
        <v>7179</v>
      </c>
    </row>
    <row r="212" spans="1:3" hidden="1" x14ac:dyDescent="0.25">
      <c r="A212" s="311">
        <v>1</v>
      </c>
      <c r="B212" s="305" t="s">
        <v>7180</v>
      </c>
      <c r="C212" s="823" t="s">
        <v>7181</v>
      </c>
    </row>
    <row r="213" spans="1:3" hidden="1" x14ac:dyDescent="0.25">
      <c r="A213" s="311">
        <v>1</v>
      </c>
      <c r="B213" s="305" t="s">
        <v>7182</v>
      </c>
      <c r="C213" s="823" t="s">
        <v>7183</v>
      </c>
    </row>
    <row r="214" spans="1:3" hidden="1" x14ac:dyDescent="0.25">
      <c r="A214" s="311">
        <v>1</v>
      </c>
      <c r="B214" s="305" t="s">
        <v>7184</v>
      </c>
      <c r="C214" s="823" t="s">
        <v>7185</v>
      </c>
    </row>
    <row r="215" spans="1:3" hidden="1" x14ac:dyDescent="0.25">
      <c r="A215" s="311">
        <v>1</v>
      </c>
      <c r="B215" s="305" t="s">
        <v>7186</v>
      </c>
      <c r="C215" s="823" t="s">
        <v>7187</v>
      </c>
    </row>
    <row r="216" spans="1:3" hidden="1" x14ac:dyDescent="0.25">
      <c r="A216" s="311">
        <v>1</v>
      </c>
      <c r="B216" s="305" t="s">
        <v>7188</v>
      </c>
      <c r="C216" s="823" t="s">
        <v>7189</v>
      </c>
    </row>
    <row r="217" spans="1:3" hidden="1" x14ac:dyDescent="0.25">
      <c r="A217" s="311">
        <v>1</v>
      </c>
      <c r="B217" s="305" t="s">
        <v>7190</v>
      </c>
      <c r="C217" s="823" t="s">
        <v>7191</v>
      </c>
    </row>
    <row r="218" spans="1:3" hidden="1" x14ac:dyDescent="0.25">
      <c r="A218" s="311">
        <v>1</v>
      </c>
      <c r="B218" s="305" t="s">
        <v>7192</v>
      </c>
      <c r="C218" s="823" t="s">
        <v>7193</v>
      </c>
    </row>
    <row r="219" spans="1:3" hidden="1" x14ac:dyDescent="0.25">
      <c r="A219" s="311">
        <v>1</v>
      </c>
      <c r="B219" s="305" t="s">
        <v>7194</v>
      </c>
      <c r="C219" s="823" t="s">
        <v>7195</v>
      </c>
    </row>
    <row r="220" spans="1:3" hidden="1" x14ac:dyDescent="0.25">
      <c r="A220" s="311">
        <v>1</v>
      </c>
      <c r="B220" s="305" t="s">
        <v>7196</v>
      </c>
      <c r="C220" s="823" t="s">
        <v>7197</v>
      </c>
    </row>
    <row r="221" spans="1:3" hidden="1" x14ac:dyDescent="0.25">
      <c r="A221" s="311">
        <v>1</v>
      </c>
      <c r="B221" s="305" t="s">
        <v>7198</v>
      </c>
      <c r="C221" s="823" t="s">
        <v>7199</v>
      </c>
    </row>
    <row r="222" spans="1:3" hidden="1" x14ac:dyDescent="0.25">
      <c r="A222" s="311">
        <v>1</v>
      </c>
      <c r="B222" s="305" t="s">
        <v>7200</v>
      </c>
      <c r="C222" s="823" t="s">
        <v>7201</v>
      </c>
    </row>
    <row r="223" spans="1:3" hidden="1" x14ac:dyDescent="0.25">
      <c r="A223" s="311">
        <v>1</v>
      </c>
      <c r="B223" s="305" t="s">
        <v>7202</v>
      </c>
      <c r="C223" s="823" t="s">
        <v>7203</v>
      </c>
    </row>
    <row r="224" spans="1:3" hidden="1" x14ac:dyDescent="0.25">
      <c r="A224" s="311">
        <v>1</v>
      </c>
      <c r="B224" s="305" t="s">
        <v>7204</v>
      </c>
      <c r="C224" s="823" t="s">
        <v>7205</v>
      </c>
    </row>
    <row r="225" spans="1:3" hidden="1" x14ac:dyDescent="0.25">
      <c r="A225" s="311">
        <v>1</v>
      </c>
      <c r="B225" s="305" t="s">
        <v>7206</v>
      </c>
      <c r="C225" s="823" t="s">
        <v>7207</v>
      </c>
    </row>
    <row r="226" spans="1:3" hidden="1" x14ac:dyDescent="0.25">
      <c r="A226" s="311">
        <v>1</v>
      </c>
      <c r="B226" s="305" t="s">
        <v>7208</v>
      </c>
      <c r="C226" s="823" t="s">
        <v>7209</v>
      </c>
    </row>
    <row r="227" spans="1:3" hidden="1" x14ac:dyDescent="0.25">
      <c r="A227" s="311">
        <v>1</v>
      </c>
      <c r="B227" s="305" t="s">
        <v>7210</v>
      </c>
      <c r="C227" s="823" t="s">
        <v>7211</v>
      </c>
    </row>
    <row r="228" spans="1:3" hidden="1" x14ac:dyDescent="0.25">
      <c r="A228" s="311">
        <v>1</v>
      </c>
      <c r="B228" s="305" t="s">
        <v>7212</v>
      </c>
      <c r="C228" s="823" t="s">
        <v>7213</v>
      </c>
    </row>
    <row r="229" spans="1:3" hidden="1" x14ac:dyDescent="0.25">
      <c r="A229" s="311">
        <v>1</v>
      </c>
      <c r="B229" s="305" t="s">
        <v>7214</v>
      </c>
      <c r="C229" s="823" t="s">
        <v>7215</v>
      </c>
    </row>
    <row r="230" spans="1:3" hidden="1" x14ac:dyDescent="0.25">
      <c r="A230" s="311">
        <v>1</v>
      </c>
      <c r="B230" s="305" t="s">
        <v>7216</v>
      </c>
      <c r="C230" s="823" t="s">
        <v>7217</v>
      </c>
    </row>
    <row r="231" spans="1:3" hidden="1" x14ac:dyDescent="0.25">
      <c r="A231" s="311">
        <v>1</v>
      </c>
      <c r="B231" s="305" t="s">
        <v>7218</v>
      </c>
      <c r="C231" s="823" t="s">
        <v>7219</v>
      </c>
    </row>
    <row r="232" spans="1:3" hidden="1" x14ac:dyDescent="0.25">
      <c r="A232" s="311">
        <v>1</v>
      </c>
      <c r="B232" s="305" t="s">
        <v>7220</v>
      </c>
      <c r="C232" s="823" t="s">
        <v>7221</v>
      </c>
    </row>
    <row r="233" spans="1:3" hidden="1" x14ac:dyDescent="0.25">
      <c r="A233" s="311">
        <v>1</v>
      </c>
      <c r="B233" s="305" t="s">
        <v>7222</v>
      </c>
      <c r="C233" s="823" t="s">
        <v>7223</v>
      </c>
    </row>
    <row r="234" spans="1:3" hidden="1" x14ac:dyDescent="0.25">
      <c r="A234" s="311">
        <v>1</v>
      </c>
      <c r="B234" s="305" t="s">
        <v>7224</v>
      </c>
      <c r="C234" s="823" t="s">
        <v>7225</v>
      </c>
    </row>
    <row r="235" spans="1:3" hidden="1" x14ac:dyDescent="0.25">
      <c r="A235" s="311">
        <v>1</v>
      </c>
      <c r="B235" s="305" t="s">
        <v>7226</v>
      </c>
      <c r="C235" s="823" t="s">
        <v>7227</v>
      </c>
    </row>
    <row r="236" spans="1:3" hidden="1" x14ac:dyDescent="0.25">
      <c r="A236" s="311">
        <v>1</v>
      </c>
      <c r="B236" s="305" t="s">
        <v>7228</v>
      </c>
      <c r="C236" s="823" t="s">
        <v>7229</v>
      </c>
    </row>
    <row r="237" spans="1:3" hidden="1" x14ac:dyDescent="0.25">
      <c r="A237" s="311">
        <v>1</v>
      </c>
      <c r="B237" s="305" t="s">
        <v>7230</v>
      </c>
      <c r="C237" s="823" t="s">
        <v>7231</v>
      </c>
    </row>
    <row r="238" spans="1:3" hidden="1" x14ac:dyDescent="0.25">
      <c r="A238" s="311">
        <v>1</v>
      </c>
      <c r="B238" s="305" t="s">
        <v>7232</v>
      </c>
      <c r="C238" s="823" t="s">
        <v>7233</v>
      </c>
    </row>
    <row r="239" spans="1:3" hidden="1" x14ac:dyDescent="0.25">
      <c r="A239" s="311">
        <v>1</v>
      </c>
      <c r="B239" s="305" t="s">
        <v>7234</v>
      </c>
      <c r="C239" s="823" t="s">
        <v>7235</v>
      </c>
    </row>
    <row r="240" spans="1:3" hidden="1" x14ac:dyDescent="0.25">
      <c r="A240" s="311">
        <v>1</v>
      </c>
      <c r="B240" s="305" t="s">
        <v>7236</v>
      </c>
      <c r="C240" s="823" t="s">
        <v>7237</v>
      </c>
    </row>
    <row r="241" spans="1:3" hidden="1" x14ac:dyDescent="0.25">
      <c r="A241" s="311">
        <v>1</v>
      </c>
      <c r="B241" s="305" t="s">
        <v>7238</v>
      </c>
      <c r="C241" s="823" t="s">
        <v>7239</v>
      </c>
    </row>
    <row r="242" spans="1:3" hidden="1" x14ac:dyDescent="0.25">
      <c r="A242" s="311">
        <v>1</v>
      </c>
      <c r="B242" s="305" t="s">
        <v>7240</v>
      </c>
      <c r="C242" s="823" t="s">
        <v>7241</v>
      </c>
    </row>
    <row r="243" spans="1:3" hidden="1" x14ac:dyDescent="0.25">
      <c r="A243" s="311">
        <v>1</v>
      </c>
      <c r="B243" s="305" t="s">
        <v>7242</v>
      </c>
      <c r="C243" s="823" t="s">
        <v>7243</v>
      </c>
    </row>
    <row r="244" spans="1:3" hidden="1" x14ac:dyDescent="0.25">
      <c r="A244" s="311">
        <v>1</v>
      </c>
      <c r="B244" s="305" t="s">
        <v>7244</v>
      </c>
      <c r="C244" s="823" t="s">
        <v>7245</v>
      </c>
    </row>
    <row r="245" spans="1:3" hidden="1" x14ac:dyDescent="0.25">
      <c r="A245" s="311">
        <v>1</v>
      </c>
      <c r="B245" s="305" t="s">
        <v>7246</v>
      </c>
      <c r="C245" s="823" t="s">
        <v>7247</v>
      </c>
    </row>
    <row r="246" spans="1:3" hidden="1" x14ac:dyDescent="0.25">
      <c r="A246" s="311">
        <v>1</v>
      </c>
      <c r="B246" s="305" t="s">
        <v>7248</v>
      </c>
      <c r="C246" s="823" t="s">
        <v>7249</v>
      </c>
    </row>
    <row r="247" spans="1:3" hidden="1" x14ac:dyDescent="0.25">
      <c r="A247" s="311">
        <v>1</v>
      </c>
      <c r="B247" s="305" t="s">
        <v>7250</v>
      </c>
      <c r="C247" s="823" t="s">
        <v>7251</v>
      </c>
    </row>
    <row r="248" spans="1:3" hidden="1" x14ac:dyDescent="0.25">
      <c r="A248" s="311">
        <v>1</v>
      </c>
      <c r="B248" s="305" t="s">
        <v>7252</v>
      </c>
      <c r="C248" s="823" t="s">
        <v>7253</v>
      </c>
    </row>
    <row r="249" spans="1:3" hidden="1" x14ac:dyDescent="0.25">
      <c r="A249" s="311">
        <v>1</v>
      </c>
      <c r="B249" s="305" t="s">
        <v>7254</v>
      </c>
      <c r="C249" s="823" t="s">
        <v>7255</v>
      </c>
    </row>
    <row r="250" spans="1:3" hidden="1" x14ac:dyDescent="0.25">
      <c r="A250" s="311">
        <v>1</v>
      </c>
      <c r="B250" s="305" t="s">
        <v>7256</v>
      </c>
      <c r="C250" s="823" t="s">
        <v>7257</v>
      </c>
    </row>
    <row r="251" spans="1:3" hidden="1" x14ac:dyDescent="0.25">
      <c r="A251" s="311">
        <v>1</v>
      </c>
      <c r="B251" s="305" t="s">
        <v>7258</v>
      </c>
      <c r="C251" s="823" t="s">
        <v>7259</v>
      </c>
    </row>
    <row r="252" spans="1:3" hidden="1" x14ac:dyDescent="0.25">
      <c r="A252" s="311">
        <v>1</v>
      </c>
      <c r="B252" s="305" t="s">
        <v>7260</v>
      </c>
      <c r="C252" s="823" t="s">
        <v>7261</v>
      </c>
    </row>
    <row r="253" spans="1:3" hidden="1" x14ac:dyDescent="0.25">
      <c r="A253" s="311">
        <v>1</v>
      </c>
      <c r="B253" s="305" t="s">
        <v>7262</v>
      </c>
      <c r="C253" s="823" t="s">
        <v>7263</v>
      </c>
    </row>
    <row r="254" spans="1:3" hidden="1" x14ac:dyDescent="0.25">
      <c r="A254" s="311">
        <v>1</v>
      </c>
      <c r="B254" s="305" t="s">
        <v>7264</v>
      </c>
      <c r="C254" s="823" t="s">
        <v>7265</v>
      </c>
    </row>
    <row r="255" spans="1:3" hidden="1" x14ac:dyDescent="0.25">
      <c r="A255" s="311">
        <v>1</v>
      </c>
      <c r="B255" s="305" t="s">
        <v>7266</v>
      </c>
      <c r="C255" s="823" t="s">
        <v>7267</v>
      </c>
    </row>
    <row r="256" spans="1:3" hidden="1" x14ac:dyDescent="0.25">
      <c r="A256" s="311">
        <v>1</v>
      </c>
      <c r="B256" s="305" t="s">
        <v>7268</v>
      </c>
      <c r="C256" s="823" t="s">
        <v>7269</v>
      </c>
    </row>
    <row r="257" spans="1:3" hidden="1" x14ac:dyDescent="0.25">
      <c r="A257" s="311">
        <v>1</v>
      </c>
      <c r="B257" s="305" t="s">
        <v>7270</v>
      </c>
      <c r="C257" s="823" t="s">
        <v>7271</v>
      </c>
    </row>
    <row r="258" spans="1:3" hidden="1" x14ac:dyDescent="0.25">
      <c r="A258" s="311">
        <v>1</v>
      </c>
      <c r="B258" s="305" t="s">
        <v>7272</v>
      </c>
      <c r="C258" s="823" t="s">
        <v>7273</v>
      </c>
    </row>
    <row r="259" spans="1:3" hidden="1" x14ac:dyDescent="0.25">
      <c r="A259" s="311">
        <v>1</v>
      </c>
      <c r="B259" s="305" t="s">
        <v>7274</v>
      </c>
      <c r="C259" s="823" t="s">
        <v>7275</v>
      </c>
    </row>
    <row r="260" spans="1:3" hidden="1" x14ac:dyDescent="0.25">
      <c r="A260" s="311">
        <v>1</v>
      </c>
      <c r="B260" s="305" t="s">
        <v>7276</v>
      </c>
      <c r="C260" s="823" t="s">
        <v>7277</v>
      </c>
    </row>
    <row r="261" spans="1:3" hidden="1" x14ac:dyDescent="0.25">
      <c r="A261" s="311">
        <v>1</v>
      </c>
      <c r="B261" s="305" t="s">
        <v>7278</v>
      </c>
      <c r="C261" s="823" t="s">
        <v>7279</v>
      </c>
    </row>
    <row r="262" spans="1:3" hidden="1" x14ac:dyDescent="0.25">
      <c r="A262" s="311">
        <v>1</v>
      </c>
      <c r="B262" s="305" t="s">
        <v>7280</v>
      </c>
      <c r="C262" s="823" t="s">
        <v>7281</v>
      </c>
    </row>
    <row r="263" spans="1:3" hidden="1" x14ac:dyDescent="0.25">
      <c r="A263" s="77">
        <v>2</v>
      </c>
      <c r="B263" s="305" t="s">
        <v>7282</v>
      </c>
      <c r="C263" s="823" t="s">
        <v>7283</v>
      </c>
    </row>
    <row r="264" spans="1:3" hidden="1" x14ac:dyDescent="0.25">
      <c r="A264" s="77">
        <v>2</v>
      </c>
      <c r="B264" s="305" t="s">
        <v>6063</v>
      </c>
      <c r="C264" s="823" t="s">
        <v>7284</v>
      </c>
    </row>
    <row r="265" spans="1:3" hidden="1" x14ac:dyDescent="0.25">
      <c r="A265" s="77">
        <v>2</v>
      </c>
      <c r="B265" s="305" t="s">
        <v>6065</v>
      </c>
      <c r="C265" s="823" t="s">
        <v>7285</v>
      </c>
    </row>
    <row r="266" spans="1:3" hidden="1" x14ac:dyDescent="0.25">
      <c r="A266" s="77">
        <v>2</v>
      </c>
      <c r="B266" s="305" t="s">
        <v>6067</v>
      </c>
      <c r="C266" s="823" t="s">
        <v>7286</v>
      </c>
    </row>
    <row r="267" spans="1:3" hidden="1" x14ac:dyDescent="0.25">
      <c r="A267" s="77">
        <v>2</v>
      </c>
      <c r="B267" s="305" t="s">
        <v>6069</v>
      </c>
      <c r="C267" s="823" t="s">
        <v>7287</v>
      </c>
    </row>
    <row r="268" spans="1:3" hidden="1" x14ac:dyDescent="0.25">
      <c r="A268" s="77">
        <v>2</v>
      </c>
      <c r="B268" s="305" t="s">
        <v>6071</v>
      </c>
      <c r="C268" s="823" t="s">
        <v>7288</v>
      </c>
    </row>
    <row r="269" spans="1:3" hidden="1" x14ac:dyDescent="0.25">
      <c r="A269" s="77">
        <v>2</v>
      </c>
      <c r="B269" s="305" t="s">
        <v>6073</v>
      </c>
      <c r="C269" s="823" t="s">
        <v>7289</v>
      </c>
    </row>
    <row r="270" spans="1:3" hidden="1" x14ac:dyDescent="0.25">
      <c r="A270" s="77">
        <v>2</v>
      </c>
      <c r="B270" s="305" t="s">
        <v>6075</v>
      </c>
      <c r="C270" s="823" t="s">
        <v>7290</v>
      </c>
    </row>
    <row r="271" spans="1:3" hidden="1" x14ac:dyDescent="0.25">
      <c r="A271" s="77">
        <v>2</v>
      </c>
      <c r="B271" s="305" t="s">
        <v>6077</v>
      </c>
      <c r="C271" s="823" t="s">
        <v>7291</v>
      </c>
    </row>
    <row r="272" spans="1:3" hidden="1" x14ac:dyDescent="0.25">
      <c r="A272" s="77">
        <v>2</v>
      </c>
      <c r="B272" s="305" t="s">
        <v>6464</v>
      </c>
      <c r="C272" s="823" t="s">
        <v>6465</v>
      </c>
    </row>
    <row r="273" spans="1:3" hidden="1" x14ac:dyDescent="0.25">
      <c r="A273" s="77">
        <v>2</v>
      </c>
      <c r="B273" s="305" t="s">
        <v>6466</v>
      </c>
      <c r="C273" s="823" t="s">
        <v>6467</v>
      </c>
    </row>
    <row r="274" spans="1:3" hidden="1" x14ac:dyDescent="0.25">
      <c r="A274" s="77">
        <v>2</v>
      </c>
      <c r="B274" s="305" t="s">
        <v>6468</v>
      </c>
      <c r="C274" s="823" t="s">
        <v>6469</v>
      </c>
    </row>
    <row r="275" spans="1:3" hidden="1" x14ac:dyDescent="0.25">
      <c r="A275" s="77">
        <v>2</v>
      </c>
      <c r="B275" s="305" t="s">
        <v>6470</v>
      </c>
      <c r="C275" s="823" t="s">
        <v>6471</v>
      </c>
    </row>
    <row r="276" spans="1:3" hidden="1" x14ac:dyDescent="0.25">
      <c r="A276" s="77">
        <v>2</v>
      </c>
      <c r="B276" s="305" t="s">
        <v>6472</v>
      </c>
      <c r="C276" s="823" t="s">
        <v>6473</v>
      </c>
    </row>
    <row r="277" spans="1:3" hidden="1" x14ac:dyDescent="0.25">
      <c r="A277" s="77">
        <v>2</v>
      </c>
      <c r="B277" s="305" t="s">
        <v>6474</v>
      </c>
      <c r="C277" s="823" t="s">
        <v>6475</v>
      </c>
    </row>
    <row r="278" spans="1:3" hidden="1" x14ac:dyDescent="0.25">
      <c r="A278" s="77">
        <v>2</v>
      </c>
      <c r="B278" s="305" t="s">
        <v>6476</v>
      </c>
      <c r="C278" s="823" t="s">
        <v>6477</v>
      </c>
    </row>
    <row r="279" spans="1:3" hidden="1" x14ac:dyDescent="0.25">
      <c r="A279" s="77">
        <v>2</v>
      </c>
      <c r="B279" s="305" t="s">
        <v>6478</v>
      </c>
      <c r="C279" s="823" t="s">
        <v>6479</v>
      </c>
    </row>
    <row r="280" spans="1:3" hidden="1" x14ac:dyDescent="0.25">
      <c r="A280" s="77">
        <v>2</v>
      </c>
      <c r="B280" s="305" t="s">
        <v>7292</v>
      </c>
      <c r="C280" s="823" t="s">
        <v>7293</v>
      </c>
    </row>
    <row r="281" spans="1:3" hidden="1" x14ac:dyDescent="0.25">
      <c r="A281" s="77">
        <v>2</v>
      </c>
      <c r="B281" s="305" t="s">
        <v>6480</v>
      </c>
      <c r="C281" s="823" t="s">
        <v>6481</v>
      </c>
    </row>
    <row r="282" spans="1:3" hidden="1" x14ac:dyDescent="0.25">
      <c r="A282" s="77">
        <v>2</v>
      </c>
      <c r="B282" s="305" t="s">
        <v>7294</v>
      </c>
      <c r="C282" s="823" t="s">
        <v>7295</v>
      </c>
    </row>
    <row r="283" spans="1:3" hidden="1" x14ac:dyDescent="0.25">
      <c r="A283" s="77">
        <v>2</v>
      </c>
      <c r="B283" s="305" t="s">
        <v>7296</v>
      </c>
      <c r="C283" s="823" t="s">
        <v>7297</v>
      </c>
    </row>
    <row r="284" spans="1:3" hidden="1" x14ac:dyDescent="0.25">
      <c r="A284" s="77">
        <v>2</v>
      </c>
      <c r="B284" s="305" t="s">
        <v>6079</v>
      </c>
      <c r="C284" s="823" t="s">
        <v>6483</v>
      </c>
    </row>
    <row r="285" spans="1:3" hidden="1" x14ac:dyDescent="0.25">
      <c r="A285" s="77">
        <v>2</v>
      </c>
      <c r="B285" s="305" t="s">
        <v>6081</v>
      </c>
      <c r="C285" s="823" t="s">
        <v>6485</v>
      </c>
    </row>
    <row r="286" spans="1:3" hidden="1" x14ac:dyDescent="0.25">
      <c r="A286" s="77">
        <v>2</v>
      </c>
      <c r="B286" s="305" t="s">
        <v>6083</v>
      </c>
      <c r="C286" s="823" t="s">
        <v>6084</v>
      </c>
    </row>
    <row r="287" spans="1:3" hidden="1" x14ac:dyDescent="0.25">
      <c r="A287" s="77">
        <v>2</v>
      </c>
      <c r="B287" s="305" t="s">
        <v>6085</v>
      </c>
      <c r="C287" s="823" t="s">
        <v>7298</v>
      </c>
    </row>
    <row r="288" spans="1:3" hidden="1" x14ac:dyDescent="0.25">
      <c r="A288" s="77">
        <v>2</v>
      </c>
      <c r="B288" s="305" t="s">
        <v>6087</v>
      </c>
      <c r="C288" s="823" t="s">
        <v>6088</v>
      </c>
    </row>
    <row r="289" spans="1:3" hidden="1" x14ac:dyDescent="0.25">
      <c r="A289" s="77">
        <v>2</v>
      </c>
      <c r="B289" s="305" t="s">
        <v>6089</v>
      </c>
      <c r="C289" s="823" t="s">
        <v>6090</v>
      </c>
    </row>
    <row r="290" spans="1:3" hidden="1" x14ac:dyDescent="0.25">
      <c r="A290" s="77">
        <v>2</v>
      </c>
      <c r="B290" s="305" t="s">
        <v>6091</v>
      </c>
      <c r="C290" s="823" t="s">
        <v>6092</v>
      </c>
    </row>
    <row r="291" spans="1:3" hidden="1" x14ac:dyDescent="0.25">
      <c r="A291" s="77">
        <v>2</v>
      </c>
      <c r="B291" s="305" t="s">
        <v>6093</v>
      </c>
      <c r="C291" s="823" t="s">
        <v>6094</v>
      </c>
    </row>
    <row r="292" spans="1:3" hidden="1" x14ac:dyDescent="0.25">
      <c r="A292" s="77">
        <v>2</v>
      </c>
      <c r="B292" s="305" t="s">
        <v>6482</v>
      </c>
      <c r="C292" s="823" t="s">
        <v>6483</v>
      </c>
    </row>
    <row r="293" spans="1:3" hidden="1" x14ac:dyDescent="0.25">
      <c r="A293" s="77">
        <v>2</v>
      </c>
      <c r="B293" s="305" t="s">
        <v>6484</v>
      </c>
      <c r="C293" s="823" t="s">
        <v>6485</v>
      </c>
    </row>
    <row r="294" spans="1:3" hidden="1" x14ac:dyDescent="0.25">
      <c r="A294" s="77">
        <v>2</v>
      </c>
      <c r="B294" s="305" t="s">
        <v>6486</v>
      </c>
      <c r="C294" s="823" t="s">
        <v>6084</v>
      </c>
    </row>
    <row r="295" spans="1:3" hidden="1" x14ac:dyDescent="0.25">
      <c r="A295" s="77">
        <v>2</v>
      </c>
      <c r="B295" s="305" t="s">
        <v>7299</v>
      </c>
      <c r="C295" s="823" t="s">
        <v>7298</v>
      </c>
    </row>
    <row r="296" spans="1:3" hidden="1" x14ac:dyDescent="0.25">
      <c r="A296" s="77">
        <v>2</v>
      </c>
      <c r="B296" s="305" t="s">
        <v>6487</v>
      </c>
      <c r="C296" s="823" t="s">
        <v>6088</v>
      </c>
    </row>
    <row r="297" spans="1:3" hidden="1" x14ac:dyDescent="0.25">
      <c r="A297" s="77">
        <v>2</v>
      </c>
      <c r="B297" s="305" t="s">
        <v>6488</v>
      </c>
      <c r="C297" s="823" t="s">
        <v>6090</v>
      </c>
    </row>
    <row r="298" spans="1:3" hidden="1" x14ac:dyDescent="0.25">
      <c r="A298" s="77">
        <v>2</v>
      </c>
      <c r="B298" s="305" t="s">
        <v>7300</v>
      </c>
      <c r="C298" s="823" t="s">
        <v>6092</v>
      </c>
    </row>
    <row r="299" spans="1:3" hidden="1" x14ac:dyDescent="0.25">
      <c r="A299" s="77">
        <v>2</v>
      </c>
      <c r="B299" s="305" t="s">
        <v>7301</v>
      </c>
      <c r="C299" s="823" t="s">
        <v>6094</v>
      </c>
    </row>
    <row r="300" spans="1:3" hidden="1" x14ac:dyDescent="0.25">
      <c r="A300" s="77">
        <v>2</v>
      </c>
      <c r="B300" s="305" t="s">
        <v>6095</v>
      </c>
      <c r="C300" s="823" t="s">
        <v>6096</v>
      </c>
    </row>
    <row r="301" spans="1:3" hidden="1" x14ac:dyDescent="0.25">
      <c r="A301" s="77">
        <v>2</v>
      </c>
      <c r="B301" s="305" t="s">
        <v>6097</v>
      </c>
      <c r="C301" s="823" t="s">
        <v>6098</v>
      </c>
    </row>
    <row r="302" spans="1:3" hidden="1" x14ac:dyDescent="0.25">
      <c r="A302" s="77">
        <v>2</v>
      </c>
      <c r="B302" s="305" t="s">
        <v>6099</v>
      </c>
      <c r="C302" s="823" t="s">
        <v>6100</v>
      </c>
    </row>
    <row r="303" spans="1:3" hidden="1" x14ac:dyDescent="0.25">
      <c r="A303" s="77">
        <v>2</v>
      </c>
      <c r="B303" s="305" t="s">
        <v>6101</v>
      </c>
      <c r="C303" s="823" t="s">
        <v>6102</v>
      </c>
    </row>
    <row r="304" spans="1:3" hidden="1" x14ac:dyDescent="0.25">
      <c r="A304" s="77">
        <v>2</v>
      </c>
      <c r="B304" s="305" t="s">
        <v>6103</v>
      </c>
      <c r="C304" s="823" t="s">
        <v>6104</v>
      </c>
    </row>
    <row r="305" spans="1:3" hidden="1" x14ac:dyDescent="0.25">
      <c r="A305" s="77">
        <v>2</v>
      </c>
      <c r="B305" s="305" t="s">
        <v>6105</v>
      </c>
      <c r="C305" s="823" t="s">
        <v>6106</v>
      </c>
    </row>
    <row r="306" spans="1:3" hidden="1" x14ac:dyDescent="0.25">
      <c r="A306" s="77">
        <v>2</v>
      </c>
      <c r="B306" s="305" t="s">
        <v>6107</v>
      </c>
      <c r="C306" s="823" t="s">
        <v>6108</v>
      </c>
    </row>
    <row r="307" spans="1:3" hidden="1" x14ac:dyDescent="0.25">
      <c r="A307" s="77">
        <v>2</v>
      </c>
      <c r="B307" s="305" t="s">
        <v>6109</v>
      </c>
      <c r="C307" s="823" t="s">
        <v>6110</v>
      </c>
    </row>
    <row r="308" spans="1:3" hidden="1" x14ac:dyDescent="0.25">
      <c r="A308" s="77">
        <v>2</v>
      </c>
      <c r="B308" s="305" t="s">
        <v>6111</v>
      </c>
      <c r="C308" s="823" t="s">
        <v>6112</v>
      </c>
    </row>
    <row r="309" spans="1:3" hidden="1" x14ac:dyDescent="0.25">
      <c r="A309" s="77">
        <v>2</v>
      </c>
      <c r="B309" s="305" t="s">
        <v>6113</v>
      </c>
      <c r="C309" s="823" t="s">
        <v>6114</v>
      </c>
    </row>
    <row r="310" spans="1:3" hidden="1" x14ac:dyDescent="0.25">
      <c r="A310" s="77">
        <v>2</v>
      </c>
      <c r="B310" s="305" t="s">
        <v>6115</v>
      </c>
      <c r="C310" s="823" t="s">
        <v>6116</v>
      </c>
    </row>
    <row r="311" spans="1:3" hidden="1" x14ac:dyDescent="0.25">
      <c r="A311" s="77">
        <v>2</v>
      </c>
      <c r="B311" s="305" t="s">
        <v>6117</v>
      </c>
      <c r="C311" s="823" t="s">
        <v>6118</v>
      </c>
    </row>
    <row r="312" spans="1:3" hidden="1" x14ac:dyDescent="0.25">
      <c r="A312" s="77">
        <v>2</v>
      </c>
      <c r="B312" s="305" t="s">
        <v>6119</v>
      </c>
      <c r="C312" s="823" t="s">
        <v>6120</v>
      </c>
    </row>
    <row r="313" spans="1:3" hidden="1" x14ac:dyDescent="0.25">
      <c r="A313" s="77">
        <v>2</v>
      </c>
      <c r="B313" s="305" t="s">
        <v>6121</v>
      </c>
      <c r="C313" s="823" t="s">
        <v>6122</v>
      </c>
    </row>
    <row r="314" spans="1:3" hidden="1" x14ac:dyDescent="0.25">
      <c r="A314" s="77">
        <v>2</v>
      </c>
      <c r="B314" s="305" t="s">
        <v>6123</v>
      </c>
      <c r="C314" s="823" t="s">
        <v>6124</v>
      </c>
    </row>
    <row r="315" spans="1:3" hidden="1" x14ac:dyDescent="0.25">
      <c r="A315" s="77">
        <v>2</v>
      </c>
      <c r="B315" s="305" t="s">
        <v>6125</v>
      </c>
      <c r="C315" s="823" t="s">
        <v>6126</v>
      </c>
    </row>
    <row r="316" spans="1:3" hidden="1" x14ac:dyDescent="0.25">
      <c r="A316" s="77">
        <v>2</v>
      </c>
      <c r="B316" s="305" t="s">
        <v>6127</v>
      </c>
      <c r="C316" s="823" t="s">
        <v>6128</v>
      </c>
    </row>
    <row r="317" spans="1:3" hidden="1" x14ac:dyDescent="0.25">
      <c r="A317" s="77">
        <v>2</v>
      </c>
      <c r="B317" s="305" t="s">
        <v>7302</v>
      </c>
      <c r="C317" s="823" t="s">
        <v>7303</v>
      </c>
    </row>
    <row r="318" spans="1:3" hidden="1" x14ac:dyDescent="0.25">
      <c r="A318" s="77">
        <v>2</v>
      </c>
      <c r="B318" s="305" t="s">
        <v>7304</v>
      </c>
      <c r="C318" s="823" t="s">
        <v>7305</v>
      </c>
    </row>
    <row r="319" spans="1:3" hidden="1" x14ac:dyDescent="0.25">
      <c r="A319" s="77">
        <v>2</v>
      </c>
      <c r="B319" s="305" t="s">
        <v>6129</v>
      </c>
      <c r="C319" s="823" t="s">
        <v>6130</v>
      </c>
    </row>
    <row r="320" spans="1:3" hidden="1" x14ac:dyDescent="0.25">
      <c r="A320" s="77">
        <v>2</v>
      </c>
      <c r="B320" s="305" t="s">
        <v>6131</v>
      </c>
      <c r="C320" s="823" t="s">
        <v>6132</v>
      </c>
    </row>
    <row r="321" spans="1:3" hidden="1" x14ac:dyDescent="0.25">
      <c r="A321" s="77">
        <v>2</v>
      </c>
      <c r="B321" s="305" t="s">
        <v>6133</v>
      </c>
      <c r="C321" s="823" t="s">
        <v>6134</v>
      </c>
    </row>
    <row r="322" spans="1:3" hidden="1" x14ac:dyDescent="0.25">
      <c r="A322" s="77">
        <v>2</v>
      </c>
      <c r="B322" s="305" t="s">
        <v>6135</v>
      </c>
      <c r="C322" s="823" t="s">
        <v>6136</v>
      </c>
    </row>
    <row r="323" spans="1:3" hidden="1" x14ac:dyDescent="0.25">
      <c r="A323" s="77">
        <v>2</v>
      </c>
      <c r="B323" s="305" t="s">
        <v>6137</v>
      </c>
      <c r="C323" s="823" t="s">
        <v>6138</v>
      </c>
    </row>
    <row r="324" spans="1:3" hidden="1" x14ac:dyDescent="0.25">
      <c r="A324" s="77">
        <v>2</v>
      </c>
      <c r="B324" s="305" t="s">
        <v>6139</v>
      </c>
      <c r="C324" s="823" t="s">
        <v>6140</v>
      </c>
    </row>
    <row r="325" spans="1:3" hidden="1" x14ac:dyDescent="0.25">
      <c r="A325" s="77">
        <v>2</v>
      </c>
      <c r="B325" s="305" t="s">
        <v>6141</v>
      </c>
      <c r="C325" s="823" t="s">
        <v>6142</v>
      </c>
    </row>
    <row r="326" spans="1:3" hidden="1" x14ac:dyDescent="0.25">
      <c r="A326" s="77">
        <v>2</v>
      </c>
      <c r="B326" s="305" t="s">
        <v>6489</v>
      </c>
      <c r="C326" s="823" t="s">
        <v>6032</v>
      </c>
    </row>
    <row r="327" spans="1:3" hidden="1" x14ac:dyDescent="0.25">
      <c r="A327" s="77">
        <v>2</v>
      </c>
      <c r="B327" s="305" t="s">
        <v>6143</v>
      </c>
      <c r="C327" s="823" t="s">
        <v>6156</v>
      </c>
    </row>
    <row r="328" spans="1:3" hidden="1" x14ac:dyDescent="0.25">
      <c r="A328" s="77">
        <v>2</v>
      </c>
      <c r="B328" s="305" t="s">
        <v>6145</v>
      </c>
      <c r="C328" s="823" t="s">
        <v>6146</v>
      </c>
    </row>
    <row r="329" spans="1:3" hidden="1" x14ac:dyDescent="0.25">
      <c r="A329" s="77">
        <v>2</v>
      </c>
      <c r="B329" s="305" t="s">
        <v>6147</v>
      </c>
      <c r="C329" s="823" t="s">
        <v>6148</v>
      </c>
    </row>
    <row r="330" spans="1:3" hidden="1" x14ac:dyDescent="0.25">
      <c r="A330" s="77">
        <v>2</v>
      </c>
      <c r="B330" s="305" t="s">
        <v>6149</v>
      </c>
      <c r="C330" s="823" t="s">
        <v>6150</v>
      </c>
    </row>
    <row r="331" spans="1:3" hidden="1" x14ac:dyDescent="0.25">
      <c r="A331" s="77">
        <v>2</v>
      </c>
      <c r="B331" s="305" t="s">
        <v>6490</v>
      </c>
      <c r="C331" s="823" t="s">
        <v>6491</v>
      </c>
    </row>
    <row r="332" spans="1:3" hidden="1" x14ac:dyDescent="0.25">
      <c r="A332" s="77">
        <v>2</v>
      </c>
      <c r="B332" s="305" t="s">
        <v>6492</v>
      </c>
      <c r="C332" s="823" t="s">
        <v>6158</v>
      </c>
    </row>
    <row r="333" spans="1:3" hidden="1" x14ac:dyDescent="0.25">
      <c r="A333" s="77">
        <v>2</v>
      </c>
      <c r="B333" s="305" t="s">
        <v>6493</v>
      </c>
      <c r="C333" s="823" t="s">
        <v>6160</v>
      </c>
    </row>
    <row r="334" spans="1:3" hidden="1" x14ac:dyDescent="0.25">
      <c r="A334" s="77">
        <v>2</v>
      </c>
      <c r="B334" s="305" t="s">
        <v>6494</v>
      </c>
      <c r="C334" s="823" t="s">
        <v>6162</v>
      </c>
    </row>
    <row r="335" spans="1:3" hidden="1" x14ac:dyDescent="0.25">
      <c r="A335" s="77">
        <v>2</v>
      </c>
      <c r="B335" s="305" t="s">
        <v>6495</v>
      </c>
      <c r="C335" s="823" t="s">
        <v>6164</v>
      </c>
    </row>
    <row r="336" spans="1:3" hidden="1" x14ac:dyDescent="0.25">
      <c r="A336" s="77">
        <v>2</v>
      </c>
      <c r="B336" s="305" t="s">
        <v>6496</v>
      </c>
      <c r="C336" s="823" t="s">
        <v>6166</v>
      </c>
    </row>
    <row r="337" spans="1:3" hidden="1" x14ac:dyDescent="0.25">
      <c r="A337" s="77">
        <v>2</v>
      </c>
      <c r="B337" s="305" t="s">
        <v>6497</v>
      </c>
      <c r="C337" s="823" t="s">
        <v>6168</v>
      </c>
    </row>
    <row r="338" spans="1:3" hidden="1" x14ac:dyDescent="0.25">
      <c r="A338" s="77">
        <v>2</v>
      </c>
      <c r="B338" s="305" t="s">
        <v>6498</v>
      </c>
      <c r="C338" s="823" t="s">
        <v>6170</v>
      </c>
    </row>
    <row r="339" spans="1:3" hidden="1" x14ac:dyDescent="0.25">
      <c r="A339" s="77">
        <v>2</v>
      </c>
      <c r="B339" s="305" t="s">
        <v>6499</v>
      </c>
      <c r="C339" s="823" t="s">
        <v>6172</v>
      </c>
    </row>
    <row r="340" spans="1:3" hidden="1" x14ac:dyDescent="0.25">
      <c r="A340" s="77">
        <v>2</v>
      </c>
      <c r="B340" s="305" t="s">
        <v>6500</v>
      </c>
      <c r="C340" s="823" t="s">
        <v>6174</v>
      </c>
    </row>
    <row r="341" spans="1:3" hidden="1" x14ac:dyDescent="0.25">
      <c r="A341" s="77">
        <v>2</v>
      </c>
      <c r="B341" s="305" t="s">
        <v>6501</v>
      </c>
      <c r="C341" s="823" t="s">
        <v>6176</v>
      </c>
    </row>
    <row r="342" spans="1:3" hidden="1" x14ac:dyDescent="0.25">
      <c r="A342" s="77">
        <v>2</v>
      </c>
      <c r="B342" s="305" t="s">
        <v>6502</v>
      </c>
      <c r="C342" s="823" t="s">
        <v>6178</v>
      </c>
    </row>
    <row r="343" spans="1:3" hidden="1" x14ac:dyDescent="0.25">
      <c r="A343" s="77">
        <v>2</v>
      </c>
      <c r="B343" s="305" t="s">
        <v>6503</v>
      </c>
      <c r="C343" s="823" t="s">
        <v>6032</v>
      </c>
    </row>
    <row r="344" spans="1:3" hidden="1" x14ac:dyDescent="0.25">
      <c r="A344" s="77">
        <v>2</v>
      </c>
      <c r="B344" s="305" t="s">
        <v>6504</v>
      </c>
      <c r="C344" s="823" t="s">
        <v>6505</v>
      </c>
    </row>
    <row r="345" spans="1:3" hidden="1" x14ac:dyDescent="0.25">
      <c r="A345" s="77">
        <v>2</v>
      </c>
      <c r="B345" s="305" t="s">
        <v>6506</v>
      </c>
      <c r="C345" s="823" t="s">
        <v>6507</v>
      </c>
    </row>
    <row r="346" spans="1:3" hidden="1" x14ac:dyDescent="0.25">
      <c r="A346" s="77">
        <v>2</v>
      </c>
      <c r="B346" s="305" t="s">
        <v>6151</v>
      </c>
      <c r="C346" s="823" t="s">
        <v>6152</v>
      </c>
    </row>
    <row r="347" spans="1:3" hidden="1" x14ac:dyDescent="0.25">
      <c r="A347" s="77">
        <v>2</v>
      </c>
      <c r="B347" s="305" t="s">
        <v>6153</v>
      </c>
      <c r="C347" s="823" t="s">
        <v>7306</v>
      </c>
    </row>
    <row r="348" spans="1:3" hidden="1" x14ac:dyDescent="0.25">
      <c r="A348" s="77">
        <v>2</v>
      </c>
      <c r="B348" s="305" t="s">
        <v>6155</v>
      </c>
      <c r="C348" s="823" t="s">
        <v>6156</v>
      </c>
    </row>
    <row r="349" spans="1:3" hidden="1" x14ac:dyDescent="0.25">
      <c r="A349" s="77">
        <v>2</v>
      </c>
      <c r="B349" s="305" t="s">
        <v>6182</v>
      </c>
      <c r="C349" s="823" t="s">
        <v>6183</v>
      </c>
    </row>
    <row r="350" spans="1:3" hidden="1" x14ac:dyDescent="0.25">
      <c r="A350" s="77">
        <v>2</v>
      </c>
      <c r="B350" s="305" t="s">
        <v>6184</v>
      </c>
      <c r="C350" s="823" t="s">
        <v>6185</v>
      </c>
    </row>
    <row r="351" spans="1:3" hidden="1" x14ac:dyDescent="0.25">
      <c r="A351" s="77">
        <v>2</v>
      </c>
      <c r="B351" s="305" t="s">
        <v>6186</v>
      </c>
      <c r="C351" s="823" t="s">
        <v>6187</v>
      </c>
    </row>
    <row r="352" spans="1:3" hidden="1" x14ac:dyDescent="0.25">
      <c r="A352" s="77">
        <v>2</v>
      </c>
      <c r="B352" s="305" t="s">
        <v>6188</v>
      </c>
      <c r="C352" s="823" t="s">
        <v>6189</v>
      </c>
    </row>
    <row r="353" spans="1:3" hidden="1" x14ac:dyDescent="0.25">
      <c r="A353" s="77">
        <v>2</v>
      </c>
      <c r="B353" s="305" t="s">
        <v>6190</v>
      </c>
      <c r="C353" s="823" t="s">
        <v>6191</v>
      </c>
    </row>
    <row r="354" spans="1:3" hidden="1" x14ac:dyDescent="0.25">
      <c r="A354" s="77">
        <v>2</v>
      </c>
      <c r="B354" s="305" t="s">
        <v>6192</v>
      </c>
      <c r="C354" s="823" t="s">
        <v>6193</v>
      </c>
    </row>
    <row r="355" spans="1:3" hidden="1" x14ac:dyDescent="0.25">
      <c r="A355" s="77">
        <v>2</v>
      </c>
      <c r="B355" s="305" t="s">
        <v>6194</v>
      </c>
      <c r="C355" s="823" t="s">
        <v>6195</v>
      </c>
    </row>
    <row r="356" spans="1:3" hidden="1" x14ac:dyDescent="0.25">
      <c r="A356" s="77">
        <v>2</v>
      </c>
      <c r="B356" s="305" t="s">
        <v>6196</v>
      </c>
      <c r="C356" s="823" t="s">
        <v>6197</v>
      </c>
    </row>
    <row r="357" spans="1:3" hidden="1" x14ac:dyDescent="0.25">
      <c r="A357" s="77">
        <v>2</v>
      </c>
      <c r="B357" s="305" t="s">
        <v>6198</v>
      </c>
      <c r="C357" s="823" t="s">
        <v>6199</v>
      </c>
    </row>
    <row r="358" spans="1:3" hidden="1" x14ac:dyDescent="0.25">
      <c r="A358" s="77">
        <v>2</v>
      </c>
      <c r="B358" s="305" t="s">
        <v>6200</v>
      </c>
      <c r="C358" s="823" t="s">
        <v>6201</v>
      </c>
    </row>
    <row r="359" spans="1:3" hidden="1" x14ac:dyDescent="0.25">
      <c r="A359" s="77">
        <v>2</v>
      </c>
      <c r="B359" s="305" t="s">
        <v>6202</v>
      </c>
      <c r="C359" s="823" t="s">
        <v>6203</v>
      </c>
    </row>
    <row r="360" spans="1:3" hidden="1" x14ac:dyDescent="0.25">
      <c r="A360" s="77">
        <v>2</v>
      </c>
      <c r="B360" s="305" t="s">
        <v>6204</v>
      </c>
      <c r="C360" s="823" t="s">
        <v>6205</v>
      </c>
    </row>
    <row r="361" spans="1:3" hidden="1" x14ac:dyDescent="0.25">
      <c r="A361" s="77">
        <v>2</v>
      </c>
      <c r="B361" s="305" t="s">
        <v>6206</v>
      </c>
      <c r="C361" s="823" t="s">
        <v>6207</v>
      </c>
    </row>
    <row r="362" spans="1:3" hidden="1" x14ac:dyDescent="0.25">
      <c r="A362" s="77">
        <v>2</v>
      </c>
      <c r="B362" s="305" t="s">
        <v>6208</v>
      </c>
      <c r="C362" s="823" t="s">
        <v>6209</v>
      </c>
    </row>
    <row r="363" spans="1:3" hidden="1" x14ac:dyDescent="0.25">
      <c r="A363" s="77">
        <v>2</v>
      </c>
      <c r="B363" s="305" t="s">
        <v>7307</v>
      </c>
      <c r="C363" s="823" t="s">
        <v>7308</v>
      </c>
    </row>
    <row r="364" spans="1:3" hidden="1" x14ac:dyDescent="0.25">
      <c r="A364" s="77">
        <v>2</v>
      </c>
      <c r="B364" s="305" t="s">
        <v>6210</v>
      </c>
      <c r="C364" s="823" t="s">
        <v>6211</v>
      </c>
    </row>
    <row r="365" spans="1:3" hidden="1" x14ac:dyDescent="0.25">
      <c r="A365" s="77">
        <v>2</v>
      </c>
      <c r="B365" s="305" t="s">
        <v>6212</v>
      </c>
      <c r="C365" s="823" t="s">
        <v>6213</v>
      </c>
    </row>
    <row r="366" spans="1:3" hidden="1" x14ac:dyDescent="0.25">
      <c r="A366" s="77">
        <v>2</v>
      </c>
      <c r="B366" s="305" t="s">
        <v>6214</v>
      </c>
      <c r="C366" s="823" t="s">
        <v>6215</v>
      </c>
    </row>
    <row r="367" spans="1:3" hidden="1" x14ac:dyDescent="0.25">
      <c r="A367" s="77">
        <v>2</v>
      </c>
      <c r="B367" s="305" t="s">
        <v>6216</v>
      </c>
      <c r="C367" s="823" t="s">
        <v>6217</v>
      </c>
    </row>
    <row r="368" spans="1:3" hidden="1" x14ac:dyDescent="0.25">
      <c r="A368" s="77">
        <v>2</v>
      </c>
      <c r="B368" s="305" t="s">
        <v>6218</v>
      </c>
      <c r="C368" s="823" t="s">
        <v>6219</v>
      </c>
    </row>
    <row r="369" spans="1:3" hidden="1" x14ac:dyDescent="0.25">
      <c r="A369" s="77">
        <v>2</v>
      </c>
      <c r="B369" s="305" t="s">
        <v>6220</v>
      </c>
      <c r="C369" s="823" t="s">
        <v>7309</v>
      </c>
    </row>
    <row r="370" spans="1:3" hidden="1" x14ac:dyDescent="0.25">
      <c r="A370" s="77">
        <v>2</v>
      </c>
      <c r="B370" s="305" t="s">
        <v>6222</v>
      </c>
      <c r="C370" s="823" t="s">
        <v>6223</v>
      </c>
    </row>
    <row r="371" spans="1:3" hidden="1" x14ac:dyDescent="0.25">
      <c r="A371" s="77">
        <v>2</v>
      </c>
      <c r="B371" s="305" t="s">
        <v>6224</v>
      </c>
      <c r="C371" s="823" t="s">
        <v>6225</v>
      </c>
    </row>
    <row r="372" spans="1:3" hidden="1" x14ac:dyDescent="0.25">
      <c r="A372" s="77">
        <v>2</v>
      </c>
      <c r="B372" s="305" t="s">
        <v>6508</v>
      </c>
      <c r="C372" s="823" t="s">
        <v>6509</v>
      </c>
    </row>
    <row r="373" spans="1:3" hidden="1" x14ac:dyDescent="0.25">
      <c r="A373" s="77">
        <v>2</v>
      </c>
      <c r="B373" s="305" t="s">
        <v>6510</v>
      </c>
      <c r="C373" s="823" t="s">
        <v>6511</v>
      </c>
    </row>
    <row r="374" spans="1:3" hidden="1" x14ac:dyDescent="0.25">
      <c r="A374" s="77">
        <v>2</v>
      </c>
      <c r="B374" s="305" t="s">
        <v>6226</v>
      </c>
      <c r="C374" s="823" t="s">
        <v>6227</v>
      </c>
    </row>
    <row r="375" spans="1:3" hidden="1" x14ac:dyDescent="0.25">
      <c r="A375" s="77">
        <v>2</v>
      </c>
      <c r="B375" s="305" t="s">
        <v>6228</v>
      </c>
      <c r="C375" s="823" t="s">
        <v>6229</v>
      </c>
    </row>
    <row r="376" spans="1:3" hidden="1" x14ac:dyDescent="0.25">
      <c r="A376" s="77">
        <v>2</v>
      </c>
      <c r="B376" s="305" t="s">
        <v>6230</v>
      </c>
      <c r="C376" s="823" t="s">
        <v>6231</v>
      </c>
    </row>
    <row r="377" spans="1:3" hidden="1" x14ac:dyDescent="0.25">
      <c r="A377" s="77">
        <v>2</v>
      </c>
      <c r="B377" s="305" t="s">
        <v>6232</v>
      </c>
      <c r="C377" s="823" t="s">
        <v>6233</v>
      </c>
    </row>
    <row r="378" spans="1:3" hidden="1" x14ac:dyDescent="0.25">
      <c r="A378" s="77">
        <v>2</v>
      </c>
      <c r="B378" s="305" t="s">
        <v>6512</v>
      </c>
      <c r="C378" s="823" t="s">
        <v>6513</v>
      </c>
    </row>
    <row r="379" spans="1:3" hidden="1" x14ac:dyDescent="0.25">
      <c r="A379" s="77">
        <v>2</v>
      </c>
      <c r="B379" s="305" t="s">
        <v>6514</v>
      </c>
      <c r="C379" s="823" t="s">
        <v>6515</v>
      </c>
    </row>
    <row r="380" spans="1:3" hidden="1" x14ac:dyDescent="0.25">
      <c r="A380" s="77">
        <v>2</v>
      </c>
      <c r="B380" s="305" t="s">
        <v>6516</v>
      </c>
      <c r="C380" s="823" t="s">
        <v>6517</v>
      </c>
    </row>
    <row r="381" spans="1:3" hidden="1" x14ac:dyDescent="0.25">
      <c r="A381" s="77">
        <v>2</v>
      </c>
      <c r="B381" s="305" t="s">
        <v>7310</v>
      </c>
      <c r="C381" s="823" t="s">
        <v>7311</v>
      </c>
    </row>
    <row r="382" spans="1:3" hidden="1" x14ac:dyDescent="0.25">
      <c r="A382" s="77">
        <v>2</v>
      </c>
      <c r="B382" s="305" t="s">
        <v>7312</v>
      </c>
      <c r="C382" s="823" t="s">
        <v>7313</v>
      </c>
    </row>
    <row r="383" spans="1:3" hidden="1" x14ac:dyDescent="0.25">
      <c r="A383" s="77">
        <v>2</v>
      </c>
      <c r="B383" s="305" t="s">
        <v>6234</v>
      </c>
      <c r="C383" s="823" t="s">
        <v>6235</v>
      </c>
    </row>
    <row r="384" spans="1:3" hidden="1" x14ac:dyDescent="0.25">
      <c r="A384" s="77">
        <v>2</v>
      </c>
      <c r="B384" s="305" t="s">
        <v>6236</v>
      </c>
      <c r="C384" s="823" t="s">
        <v>6237</v>
      </c>
    </row>
    <row r="385" spans="1:17" hidden="1" x14ac:dyDescent="0.25">
      <c r="A385" s="77">
        <v>2</v>
      </c>
      <c r="B385" s="305" t="s">
        <v>6238</v>
      </c>
      <c r="C385" s="823" t="s">
        <v>6239</v>
      </c>
    </row>
    <row r="386" spans="1:17" hidden="1" x14ac:dyDescent="0.25">
      <c r="A386" s="77">
        <v>2</v>
      </c>
      <c r="B386" s="305" t="s">
        <v>7314</v>
      </c>
      <c r="C386" s="823" t="s">
        <v>7315</v>
      </c>
    </row>
    <row r="387" spans="1:17" hidden="1" x14ac:dyDescent="0.25">
      <c r="A387" s="77">
        <v>2</v>
      </c>
      <c r="B387" s="305" t="s">
        <v>7316</v>
      </c>
      <c r="C387" s="823" t="s">
        <v>7317</v>
      </c>
    </row>
    <row r="388" spans="1:17" hidden="1" x14ac:dyDescent="0.25">
      <c r="A388" s="77">
        <v>2</v>
      </c>
      <c r="B388" s="305" t="s">
        <v>7318</v>
      </c>
      <c r="C388" s="823" t="s">
        <v>7319</v>
      </c>
    </row>
    <row r="389" spans="1:17" hidden="1" x14ac:dyDescent="0.25">
      <c r="A389" s="77">
        <v>3</v>
      </c>
      <c r="B389" s="305" t="s">
        <v>7320</v>
      </c>
      <c r="C389" s="823" t="s">
        <v>7321</v>
      </c>
    </row>
    <row r="390" spans="1:17" hidden="1" x14ac:dyDescent="0.25">
      <c r="A390" s="77">
        <v>3</v>
      </c>
      <c r="B390" s="305" t="s">
        <v>7322</v>
      </c>
      <c r="C390" s="823" t="s">
        <v>7323</v>
      </c>
    </row>
    <row r="391" spans="1:17" hidden="1" x14ac:dyDescent="0.25">
      <c r="A391" s="77">
        <v>3</v>
      </c>
      <c r="B391" s="305" t="s">
        <v>7324</v>
      </c>
      <c r="C391" s="823" t="s">
        <v>7325</v>
      </c>
    </row>
    <row r="392" spans="1:17" hidden="1" x14ac:dyDescent="0.25">
      <c r="A392" s="77">
        <v>3</v>
      </c>
      <c r="B392" s="305" t="s">
        <v>7326</v>
      </c>
      <c r="C392" s="823" t="s">
        <v>7327</v>
      </c>
    </row>
    <row r="393" spans="1:17" hidden="1" x14ac:dyDescent="0.25">
      <c r="A393" s="77">
        <v>3</v>
      </c>
      <c r="B393" s="305" t="s">
        <v>7328</v>
      </c>
      <c r="C393" s="823" t="s">
        <v>7329</v>
      </c>
    </row>
    <row r="394" spans="1:17" hidden="1" x14ac:dyDescent="0.25">
      <c r="A394" s="77">
        <v>3</v>
      </c>
      <c r="B394" s="305" t="s">
        <v>7330</v>
      </c>
      <c r="C394" s="823" t="s">
        <v>7331</v>
      </c>
    </row>
    <row r="395" spans="1:17" hidden="1" x14ac:dyDescent="0.25">
      <c r="A395" s="77">
        <v>3</v>
      </c>
      <c r="B395" s="305" t="s">
        <v>7332</v>
      </c>
      <c r="C395" s="823" t="s">
        <v>7333</v>
      </c>
    </row>
    <row r="396" spans="1:17" hidden="1" x14ac:dyDescent="0.25">
      <c r="A396" s="77">
        <v>3</v>
      </c>
      <c r="B396" s="305" t="s">
        <v>7334</v>
      </c>
      <c r="C396" s="823" t="s">
        <v>7335</v>
      </c>
    </row>
    <row r="397" spans="1:17" hidden="1" x14ac:dyDescent="0.25">
      <c r="A397" s="77">
        <v>3</v>
      </c>
      <c r="B397" s="305" t="s">
        <v>7336</v>
      </c>
      <c r="C397" s="823" t="s">
        <v>7337</v>
      </c>
    </row>
    <row r="398" spans="1:17" hidden="1" x14ac:dyDescent="0.25">
      <c r="A398" s="77">
        <v>4</v>
      </c>
      <c r="B398" s="550" t="s">
        <v>139</v>
      </c>
      <c r="C398" s="202" t="s">
        <v>140</v>
      </c>
      <c r="D398" s="201" t="s">
        <v>16</v>
      </c>
      <c r="E398" s="512" t="s">
        <v>17</v>
      </c>
      <c r="F398" s="586" t="s">
        <v>877</v>
      </c>
      <c r="G398" s="202" t="s">
        <v>17</v>
      </c>
      <c r="H398" s="201">
        <v>9</v>
      </c>
      <c r="I398" s="201" t="s">
        <v>863</v>
      </c>
      <c r="J398" s="77"/>
      <c r="K398" s="77"/>
      <c r="N398" s="76">
        <v>1</v>
      </c>
      <c r="P398" s="76" t="s">
        <v>6314</v>
      </c>
      <c r="Q398" s="76" t="s">
        <v>6315</v>
      </c>
    </row>
    <row r="399" spans="1:17" hidden="1" x14ac:dyDescent="0.25">
      <c r="A399" s="77">
        <v>4</v>
      </c>
      <c r="B399" s="550" t="s">
        <v>141</v>
      </c>
      <c r="C399" s="202" t="s">
        <v>142</v>
      </c>
      <c r="D399" s="201" t="s">
        <v>16</v>
      </c>
      <c r="E399" s="512" t="s">
        <v>17</v>
      </c>
      <c r="F399" s="586" t="s">
        <v>877</v>
      </c>
      <c r="G399" s="202" t="s">
        <v>17</v>
      </c>
      <c r="H399" s="201">
        <v>9</v>
      </c>
      <c r="I399" s="201" t="s">
        <v>868</v>
      </c>
      <c r="J399" s="77"/>
      <c r="K399" s="77"/>
      <c r="N399" s="76">
        <v>2</v>
      </c>
      <c r="P399" s="76" t="s">
        <v>6317</v>
      </c>
      <c r="Q399" s="76" t="s">
        <v>6316</v>
      </c>
    </row>
    <row r="400" spans="1:17" hidden="1" x14ac:dyDescent="0.25">
      <c r="A400" s="77">
        <v>4</v>
      </c>
      <c r="B400" s="550" t="s">
        <v>143</v>
      </c>
      <c r="C400" s="202" t="s">
        <v>144</v>
      </c>
      <c r="D400" s="201" t="s">
        <v>16</v>
      </c>
      <c r="E400" s="512" t="s">
        <v>17</v>
      </c>
      <c r="F400" s="586" t="s">
        <v>877</v>
      </c>
      <c r="G400" s="202" t="s">
        <v>17</v>
      </c>
      <c r="H400" s="201">
        <v>9</v>
      </c>
      <c r="I400" s="201" t="s">
        <v>863</v>
      </c>
      <c r="J400" s="77"/>
      <c r="K400" s="77"/>
      <c r="N400" s="76">
        <v>3</v>
      </c>
      <c r="P400" s="530" t="s">
        <v>6314</v>
      </c>
      <c r="Q400" s="76" t="s">
        <v>6323</v>
      </c>
    </row>
    <row r="401" spans="1:14" hidden="1" x14ac:dyDescent="0.25">
      <c r="A401" s="77">
        <v>4</v>
      </c>
      <c r="B401" s="550" t="s">
        <v>145</v>
      </c>
      <c r="C401" s="202" t="s">
        <v>146</v>
      </c>
      <c r="D401" s="201" t="s">
        <v>16</v>
      </c>
      <c r="E401" s="512" t="s">
        <v>17</v>
      </c>
      <c r="F401" s="586" t="s">
        <v>877</v>
      </c>
      <c r="G401" s="202" t="s">
        <v>17</v>
      </c>
      <c r="H401" s="201">
        <v>9</v>
      </c>
      <c r="I401" s="201" t="s">
        <v>863</v>
      </c>
      <c r="J401" s="77"/>
      <c r="K401" s="77"/>
      <c r="N401" s="76">
        <v>4</v>
      </c>
    </row>
    <row r="402" spans="1:14" hidden="1" x14ac:dyDescent="0.25">
      <c r="A402" s="77">
        <v>4</v>
      </c>
      <c r="B402" s="550" t="s">
        <v>147</v>
      </c>
      <c r="C402" s="202" t="s">
        <v>937</v>
      </c>
      <c r="D402" s="201" t="s">
        <v>16</v>
      </c>
      <c r="E402" s="512" t="s">
        <v>17</v>
      </c>
      <c r="F402" s="586" t="s">
        <v>877</v>
      </c>
      <c r="G402" s="202" t="s">
        <v>17</v>
      </c>
      <c r="H402" s="201">
        <v>9</v>
      </c>
      <c r="I402" s="201" t="s">
        <v>864</v>
      </c>
      <c r="J402" s="77"/>
      <c r="K402" s="77"/>
      <c r="N402" s="76">
        <v>5</v>
      </c>
    </row>
    <row r="403" spans="1:14" hidden="1" x14ac:dyDescent="0.25">
      <c r="A403" s="77">
        <v>4</v>
      </c>
      <c r="B403" s="550" t="s">
        <v>148</v>
      </c>
      <c r="C403" s="202" t="s">
        <v>149</v>
      </c>
      <c r="D403" s="201" t="s">
        <v>16</v>
      </c>
      <c r="E403" s="512" t="s">
        <v>17</v>
      </c>
      <c r="F403" s="586" t="s">
        <v>877</v>
      </c>
      <c r="G403" s="202" t="s">
        <v>17</v>
      </c>
      <c r="H403" s="201">
        <v>9</v>
      </c>
      <c r="I403" s="201" t="s">
        <v>866</v>
      </c>
      <c r="J403" s="77"/>
      <c r="K403" s="77"/>
      <c r="N403" s="76">
        <v>6</v>
      </c>
    </row>
    <row r="404" spans="1:14" hidden="1" x14ac:dyDescent="0.25">
      <c r="A404" s="77">
        <v>4</v>
      </c>
      <c r="B404" s="550" t="s">
        <v>150</v>
      </c>
      <c r="C404" s="202" t="s">
        <v>171</v>
      </c>
      <c r="D404" s="201" t="s">
        <v>16</v>
      </c>
      <c r="E404" s="512" t="s">
        <v>17</v>
      </c>
      <c r="F404" s="586" t="s">
        <v>877</v>
      </c>
      <c r="G404" s="202" t="s">
        <v>17</v>
      </c>
      <c r="H404" s="201">
        <v>9</v>
      </c>
      <c r="I404" s="201" t="s">
        <v>866</v>
      </c>
      <c r="J404" s="77"/>
      <c r="K404" s="77"/>
      <c r="N404" s="76">
        <v>7</v>
      </c>
    </row>
    <row r="405" spans="1:14" hidden="1" x14ac:dyDescent="0.25">
      <c r="A405" s="77">
        <v>4</v>
      </c>
      <c r="B405" s="550" t="s">
        <v>151</v>
      </c>
      <c r="C405" s="202" t="s">
        <v>173</v>
      </c>
      <c r="D405" s="201" t="s">
        <v>16</v>
      </c>
      <c r="E405" s="512" t="s">
        <v>17</v>
      </c>
      <c r="F405" s="586" t="s">
        <v>877</v>
      </c>
      <c r="G405" s="202" t="s">
        <v>17</v>
      </c>
      <c r="H405" s="201">
        <v>9</v>
      </c>
      <c r="I405" s="201" t="s">
        <v>863</v>
      </c>
      <c r="J405" s="77"/>
      <c r="K405" s="77"/>
      <c r="N405" s="76">
        <v>8</v>
      </c>
    </row>
    <row r="406" spans="1:14" hidden="1" x14ac:dyDescent="0.25">
      <c r="A406" s="77">
        <v>4</v>
      </c>
      <c r="B406" s="550" t="s">
        <v>152</v>
      </c>
      <c r="C406" s="202" t="s">
        <v>153</v>
      </c>
      <c r="D406" s="201" t="s">
        <v>16</v>
      </c>
      <c r="E406" s="512" t="s">
        <v>17</v>
      </c>
      <c r="F406" s="586" t="s">
        <v>877</v>
      </c>
      <c r="G406" s="202" t="s">
        <v>17</v>
      </c>
      <c r="H406" s="201">
        <v>9</v>
      </c>
      <c r="I406" s="201" t="s">
        <v>868</v>
      </c>
      <c r="J406" s="77"/>
      <c r="K406" s="77"/>
      <c r="N406" s="76">
        <v>9</v>
      </c>
    </row>
    <row r="407" spans="1:14" hidden="1" x14ac:dyDescent="0.25">
      <c r="A407" s="77">
        <v>4</v>
      </c>
      <c r="B407" s="550" t="s">
        <v>5813</v>
      </c>
      <c r="C407" s="202" t="s">
        <v>5814</v>
      </c>
      <c r="D407" s="201" t="s">
        <v>16</v>
      </c>
      <c r="E407" s="512" t="s">
        <v>17</v>
      </c>
      <c r="F407" s="586" t="s">
        <v>877</v>
      </c>
      <c r="G407" s="202" t="s">
        <v>17</v>
      </c>
      <c r="H407" s="201">
        <v>9</v>
      </c>
      <c r="I407" s="201" t="s">
        <v>868</v>
      </c>
      <c r="J407" s="77"/>
      <c r="K407" s="77"/>
      <c r="N407" s="76">
        <v>10</v>
      </c>
    </row>
    <row r="408" spans="1:14" hidden="1" x14ac:dyDescent="0.25">
      <c r="A408" s="77">
        <v>4</v>
      </c>
      <c r="B408" s="550" t="s">
        <v>154</v>
      </c>
      <c r="C408" s="202" t="s">
        <v>155</v>
      </c>
      <c r="D408" s="201" t="s">
        <v>16</v>
      </c>
      <c r="E408" s="512" t="s">
        <v>17</v>
      </c>
      <c r="F408" s="586" t="s">
        <v>877</v>
      </c>
      <c r="G408" s="202" t="s">
        <v>17</v>
      </c>
      <c r="H408" s="201">
        <v>9</v>
      </c>
      <c r="I408" s="201" t="s">
        <v>868</v>
      </c>
      <c r="J408" s="77"/>
      <c r="K408" s="77"/>
      <c r="N408" s="76">
        <v>11</v>
      </c>
    </row>
    <row r="409" spans="1:14" hidden="1" x14ac:dyDescent="0.25">
      <c r="A409" s="77">
        <v>4</v>
      </c>
      <c r="B409" s="550" t="s">
        <v>112</v>
      </c>
      <c r="C409" s="202" t="s">
        <v>113</v>
      </c>
      <c r="D409" s="201" t="s">
        <v>12</v>
      </c>
      <c r="E409" s="512" t="s">
        <v>13</v>
      </c>
      <c r="F409" s="586" t="s">
        <v>870</v>
      </c>
      <c r="G409" s="202" t="s">
        <v>871</v>
      </c>
      <c r="H409" s="201">
        <v>8</v>
      </c>
      <c r="I409" s="201" t="s">
        <v>859</v>
      </c>
      <c r="J409" s="77"/>
      <c r="K409" s="77" t="s">
        <v>6250</v>
      </c>
      <c r="N409" s="76">
        <v>12</v>
      </c>
    </row>
    <row r="410" spans="1:14" hidden="1" x14ac:dyDescent="0.25">
      <c r="A410" s="77">
        <v>4</v>
      </c>
      <c r="B410" s="550" t="s">
        <v>114</v>
      </c>
      <c r="C410" s="202" t="s">
        <v>115</v>
      </c>
      <c r="D410" s="201" t="s">
        <v>12</v>
      </c>
      <c r="E410" s="512" t="s">
        <v>13</v>
      </c>
      <c r="F410" s="586" t="s">
        <v>870</v>
      </c>
      <c r="G410" s="202" t="s">
        <v>871</v>
      </c>
      <c r="H410" s="201">
        <v>8</v>
      </c>
      <c r="I410" s="201" t="s">
        <v>860</v>
      </c>
      <c r="J410" s="77"/>
      <c r="K410" s="77" t="s">
        <v>6250</v>
      </c>
      <c r="N410" s="76">
        <v>13</v>
      </c>
    </row>
    <row r="411" spans="1:14" hidden="1" x14ac:dyDescent="0.25">
      <c r="A411" s="77">
        <v>4</v>
      </c>
      <c r="B411" s="550" t="s">
        <v>716</v>
      </c>
      <c r="C411" s="202" t="s">
        <v>117</v>
      </c>
      <c r="D411" s="201" t="s">
        <v>12</v>
      </c>
      <c r="E411" s="512" t="s">
        <v>13</v>
      </c>
      <c r="F411" s="586" t="s">
        <v>870</v>
      </c>
      <c r="G411" s="202" t="s">
        <v>871</v>
      </c>
      <c r="H411" s="201">
        <v>8</v>
      </c>
      <c r="I411" s="201" t="s">
        <v>859</v>
      </c>
      <c r="J411" s="77"/>
      <c r="K411" s="77" t="s">
        <v>6250</v>
      </c>
      <c r="N411" s="76">
        <v>14</v>
      </c>
    </row>
    <row r="412" spans="1:14" hidden="1" x14ac:dyDescent="0.25">
      <c r="A412" s="77">
        <v>4</v>
      </c>
      <c r="B412" s="550" t="s">
        <v>717</v>
      </c>
      <c r="C412" s="202" t="s">
        <v>118</v>
      </c>
      <c r="D412" s="201" t="s">
        <v>12</v>
      </c>
      <c r="E412" s="512" t="s">
        <v>13</v>
      </c>
      <c r="F412" s="586" t="s">
        <v>870</v>
      </c>
      <c r="G412" s="202" t="s">
        <v>871</v>
      </c>
      <c r="H412" s="201">
        <v>8</v>
      </c>
      <c r="I412" s="201" t="s">
        <v>860</v>
      </c>
      <c r="J412" s="77"/>
      <c r="K412" s="77" t="s">
        <v>6250</v>
      </c>
      <c r="N412" s="76">
        <v>15</v>
      </c>
    </row>
    <row r="413" spans="1:14" hidden="1" x14ac:dyDescent="0.25">
      <c r="A413" s="77">
        <v>4</v>
      </c>
      <c r="B413" s="550" t="s">
        <v>119</v>
      </c>
      <c r="C413" s="202" t="s">
        <v>120</v>
      </c>
      <c r="D413" s="201" t="s">
        <v>12</v>
      </c>
      <c r="E413" s="512" t="s">
        <v>13</v>
      </c>
      <c r="F413" s="586" t="s">
        <v>870</v>
      </c>
      <c r="G413" s="202" t="s">
        <v>871</v>
      </c>
      <c r="H413" s="201">
        <v>8</v>
      </c>
      <c r="I413" s="201" t="s">
        <v>860</v>
      </c>
      <c r="J413" s="77"/>
      <c r="K413" s="77" t="s">
        <v>6250</v>
      </c>
      <c r="N413" s="76">
        <v>16</v>
      </c>
    </row>
    <row r="414" spans="1:14" hidden="1" x14ac:dyDescent="0.25">
      <c r="A414" s="77">
        <v>4</v>
      </c>
      <c r="B414" s="550" t="s">
        <v>121</v>
      </c>
      <c r="C414" s="202" t="s">
        <v>122</v>
      </c>
      <c r="D414" s="201" t="s">
        <v>12</v>
      </c>
      <c r="E414" s="512" t="s">
        <v>13</v>
      </c>
      <c r="F414" s="586" t="s">
        <v>872</v>
      </c>
      <c r="G414" s="202" t="s">
        <v>5824</v>
      </c>
      <c r="H414" s="201">
        <v>8</v>
      </c>
      <c r="I414" s="201" t="s">
        <v>859</v>
      </c>
      <c r="J414" s="77"/>
      <c r="K414" s="77" t="s">
        <v>6250</v>
      </c>
      <c r="N414" s="76">
        <v>17</v>
      </c>
    </row>
    <row r="415" spans="1:14" hidden="1" x14ac:dyDescent="0.25">
      <c r="A415" s="77">
        <v>4</v>
      </c>
      <c r="B415" s="550" t="s">
        <v>718</v>
      </c>
      <c r="C415" s="202" t="s">
        <v>116</v>
      </c>
      <c r="D415" s="201" t="s">
        <v>12</v>
      </c>
      <c r="E415" s="512" t="s">
        <v>13</v>
      </c>
      <c r="F415" s="586" t="s">
        <v>870</v>
      </c>
      <c r="G415" s="202" t="s">
        <v>871</v>
      </c>
      <c r="H415" s="201">
        <v>8</v>
      </c>
      <c r="I415" s="201" t="s">
        <v>860</v>
      </c>
      <c r="J415" s="77"/>
      <c r="K415" s="77" t="s">
        <v>6250</v>
      </c>
      <c r="N415" s="76">
        <v>18</v>
      </c>
    </row>
    <row r="416" spans="1:14" hidden="1" x14ac:dyDescent="0.25">
      <c r="A416" s="77">
        <v>4</v>
      </c>
      <c r="B416" s="550" t="s">
        <v>719</v>
      </c>
      <c r="C416" s="202" t="s">
        <v>79</v>
      </c>
      <c r="D416" s="201" t="s">
        <v>6</v>
      </c>
      <c r="E416" s="512" t="s">
        <v>7</v>
      </c>
      <c r="F416" s="586" t="s">
        <v>853</v>
      </c>
      <c r="G416" s="202" t="s">
        <v>854</v>
      </c>
      <c r="H416" s="201">
        <v>4</v>
      </c>
      <c r="I416" s="201" t="s">
        <v>839</v>
      </c>
      <c r="J416" s="77"/>
      <c r="K416" s="77" t="s">
        <v>6247</v>
      </c>
      <c r="N416" s="76">
        <v>19</v>
      </c>
    </row>
    <row r="417" spans="1:14" hidden="1" x14ac:dyDescent="0.25">
      <c r="A417" s="77">
        <v>4</v>
      </c>
      <c r="B417" s="550" t="s">
        <v>720</v>
      </c>
      <c r="C417" s="202" t="s">
        <v>721</v>
      </c>
      <c r="D417" s="201" t="s">
        <v>2</v>
      </c>
      <c r="E417" s="512" t="s">
        <v>3</v>
      </c>
      <c r="F417" s="586" t="s">
        <v>846</v>
      </c>
      <c r="G417" s="202" t="s">
        <v>3</v>
      </c>
      <c r="H417" s="201">
        <v>162</v>
      </c>
      <c r="I417" s="201" t="s">
        <v>852</v>
      </c>
      <c r="J417" s="77"/>
      <c r="K417" s="77" t="s">
        <v>6244</v>
      </c>
      <c r="N417" s="76">
        <v>20</v>
      </c>
    </row>
    <row r="418" spans="1:14" hidden="1" x14ac:dyDescent="0.25">
      <c r="A418" s="77">
        <v>4</v>
      </c>
      <c r="B418" s="550" t="s">
        <v>722</v>
      </c>
      <c r="C418" s="202" t="s">
        <v>723</v>
      </c>
      <c r="D418" s="201" t="s">
        <v>12</v>
      </c>
      <c r="E418" s="512" t="s">
        <v>13</v>
      </c>
      <c r="F418" s="586" t="s">
        <v>870</v>
      </c>
      <c r="G418" s="202" t="s">
        <v>871</v>
      </c>
      <c r="H418" s="201">
        <v>8</v>
      </c>
      <c r="I418" s="201" t="s">
        <v>858</v>
      </c>
      <c r="J418" s="77"/>
      <c r="K418" s="77" t="s">
        <v>6250</v>
      </c>
      <c r="N418" s="76">
        <v>21</v>
      </c>
    </row>
    <row r="419" spans="1:14" hidden="1" x14ac:dyDescent="0.25">
      <c r="A419" s="77">
        <v>4</v>
      </c>
      <c r="B419" s="550" t="s">
        <v>71</v>
      </c>
      <c r="C419" s="202" t="s">
        <v>938</v>
      </c>
      <c r="D419" s="201" t="s">
        <v>4</v>
      </c>
      <c r="E419" s="512" t="s">
        <v>5</v>
      </c>
      <c r="F419" s="586" t="s">
        <v>847</v>
      </c>
      <c r="G419" s="202" t="s">
        <v>5825</v>
      </c>
      <c r="H419" s="201">
        <v>162</v>
      </c>
      <c r="I419" s="201" t="s">
        <v>852</v>
      </c>
      <c r="J419" s="77"/>
      <c r="K419" s="77" t="s">
        <v>6245</v>
      </c>
      <c r="N419" s="76">
        <v>22</v>
      </c>
    </row>
    <row r="420" spans="1:14" hidden="1" x14ac:dyDescent="0.25">
      <c r="A420" s="77">
        <v>4</v>
      </c>
      <c r="B420" s="550" t="s">
        <v>72</v>
      </c>
      <c r="C420" s="202" t="s">
        <v>939</v>
      </c>
      <c r="D420" s="201" t="s">
        <v>4</v>
      </c>
      <c r="E420" s="512" t="s">
        <v>5</v>
      </c>
      <c r="F420" s="586" t="s">
        <v>848</v>
      </c>
      <c r="G420" s="202" t="s">
        <v>5826</v>
      </c>
      <c r="H420" s="201">
        <v>4</v>
      </c>
      <c r="I420" s="201" t="s">
        <v>839</v>
      </c>
      <c r="J420" s="77"/>
      <c r="K420" s="77" t="s">
        <v>6245</v>
      </c>
      <c r="N420" s="76">
        <v>23</v>
      </c>
    </row>
    <row r="421" spans="1:14" hidden="1" x14ac:dyDescent="0.25">
      <c r="A421" s="77">
        <v>4</v>
      </c>
      <c r="B421" s="550" t="s">
        <v>123</v>
      </c>
      <c r="C421" s="202" t="s">
        <v>940</v>
      </c>
      <c r="D421" s="201" t="s">
        <v>12</v>
      </c>
      <c r="E421" s="512" t="s">
        <v>13</v>
      </c>
      <c r="F421" s="586" t="s">
        <v>872</v>
      </c>
      <c r="G421" s="202" t="s">
        <v>5824</v>
      </c>
      <c r="H421" s="201">
        <v>4</v>
      </c>
      <c r="I421" s="201" t="s">
        <v>843</v>
      </c>
      <c r="J421" s="77"/>
      <c r="K421" s="77" t="s">
        <v>6250</v>
      </c>
      <c r="N421" s="76">
        <v>24</v>
      </c>
    </row>
    <row r="422" spans="1:14" hidden="1" x14ac:dyDescent="0.25">
      <c r="A422" s="77">
        <v>4</v>
      </c>
      <c r="B422" s="550" t="s">
        <v>124</v>
      </c>
      <c r="C422" s="202" t="s">
        <v>941</v>
      </c>
      <c r="D422" s="201" t="s">
        <v>12</v>
      </c>
      <c r="E422" s="512" t="s">
        <v>13</v>
      </c>
      <c r="F422" s="586" t="s">
        <v>874</v>
      </c>
      <c r="G422" s="202" t="s">
        <v>5827</v>
      </c>
      <c r="H422" s="201">
        <v>4</v>
      </c>
      <c r="I422" s="201" t="s">
        <v>843</v>
      </c>
      <c r="J422" s="77"/>
      <c r="K422" s="77" t="s">
        <v>6250</v>
      </c>
      <c r="M422" s="78"/>
      <c r="N422" s="76">
        <v>25</v>
      </c>
    </row>
    <row r="423" spans="1:14" s="78" customFormat="1" hidden="1" x14ac:dyDescent="0.25">
      <c r="A423" s="77">
        <v>4</v>
      </c>
      <c r="B423" s="550" t="s">
        <v>1128</v>
      </c>
      <c r="C423" s="202" t="s">
        <v>1090</v>
      </c>
      <c r="D423" s="201" t="s">
        <v>4</v>
      </c>
      <c r="E423" s="512" t="s">
        <v>5</v>
      </c>
      <c r="F423" s="586" t="s">
        <v>847</v>
      </c>
      <c r="G423" s="202" t="s">
        <v>5825</v>
      </c>
      <c r="H423" s="201">
        <v>162</v>
      </c>
      <c r="I423" s="201" t="s">
        <v>852</v>
      </c>
      <c r="J423" s="77"/>
      <c r="K423" s="77" t="s">
        <v>6245</v>
      </c>
      <c r="L423" s="77"/>
      <c r="N423" s="76">
        <v>26</v>
      </c>
    </row>
    <row r="424" spans="1:14" s="78" customFormat="1" hidden="1" x14ac:dyDescent="0.25">
      <c r="A424" s="77">
        <v>4</v>
      </c>
      <c r="B424" s="550" t="s">
        <v>1129</v>
      </c>
      <c r="C424" s="202" t="s">
        <v>1091</v>
      </c>
      <c r="D424" s="201" t="s">
        <v>4</v>
      </c>
      <c r="E424" s="512" t="s">
        <v>5</v>
      </c>
      <c r="F424" s="586" t="s">
        <v>848</v>
      </c>
      <c r="G424" s="202" t="s">
        <v>5826</v>
      </c>
      <c r="H424" s="201">
        <v>4</v>
      </c>
      <c r="I424" s="201" t="s">
        <v>839</v>
      </c>
      <c r="J424" s="77"/>
      <c r="K424" s="77" t="s">
        <v>6245</v>
      </c>
      <c r="L424" s="77"/>
      <c r="N424" s="76">
        <v>27</v>
      </c>
    </row>
    <row r="425" spans="1:14" s="78" customFormat="1" hidden="1" x14ac:dyDescent="0.25">
      <c r="A425" s="77">
        <v>4</v>
      </c>
      <c r="B425" s="550" t="s">
        <v>1130</v>
      </c>
      <c r="C425" s="202" t="s">
        <v>1092</v>
      </c>
      <c r="D425" s="201" t="s">
        <v>4</v>
      </c>
      <c r="E425" s="512" t="s">
        <v>5</v>
      </c>
      <c r="F425" s="586" t="s">
        <v>6307</v>
      </c>
      <c r="G425" s="202" t="s">
        <v>5812</v>
      </c>
      <c r="H425" s="201">
        <v>162</v>
      </c>
      <c r="I425" s="201" t="s">
        <v>839</v>
      </c>
      <c r="J425" s="77"/>
      <c r="K425" s="77" t="s">
        <v>6245</v>
      </c>
      <c r="L425" s="77"/>
      <c r="N425" s="76">
        <v>28</v>
      </c>
    </row>
    <row r="426" spans="1:14" s="78" customFormat="1" hidden="1" x14ac:dyDescent="0.25">
      <c r="A426" s="77">
        <v>4</v>
      </c>
      <c r="B426" s="550" t="s">
        <v>1131</v>
      </c>
      <c r="C426" s="202" t="s">
        <v>1093</v>
      </c>
      <c r="D426" s="201" t="s">
        <v>4</v>
      </c>
      <c r="E426" s="512" t="s">
        <v>5</v>
      </c>
      <c r="F426" s="586" t="s">
        <v>6307</v>
      </c>
      <c r="G426" s="202" t="s">
        <v>5812</v>
      </c>
      <c r="H426" s="201">
        <v>4</v>
      </c>
      <c r="I426" s="201" t="s">
        <v>880</v>
      </c>
      <c r="J426" s="77"/>
      <c r="K426" s="77" t="s">
        <v>6245</v>
      </c>
      <c r="L426" s="77"/>
      <c r="M426" s="76"/>
      <c r="N426" s="76">
        <v>29</v>
      </c>
    </row>
    <row r="427" spans="1:14" hidden="1" x14ac:dyDescent="0.25">
      <c r="A427" s="77">
        <v>4</v>
      </c>
      <c r="B427" s="550" t="s">
        <v>80</v>
      </c>
      <c r="C427" s="202" t="s">
        <v>942</v>
      </c>
      <c r="D427" s="201" t="s">
        <v>6</v>
      </c>
      <c r="E427" s="512" t="s">
        <v>7</v>
      </c>
      <c r="F427" s="586" t="s">
        <v>855</v>
      </c>
      <c r="G427" s="202" t="s">
        <v>5828</v>
      </c>
      <c r="H427" s="201">
        <v>4</v>
      </c>
      <c r="I427" s="201" t="s">
        <v>841</v>
      </c>
      <c r="J427" s="77"/>
      <c r="K427" s="77" t="s">
        <v>6247</v>
      </c>
      <c r="N427" s="76">
        <v>30</v>
      </c>
    </row>
    <row r="428" spans="1:14" hidden="1" x14ac:dyDescent="0.25">
      <c r="A428" s="77">
        <v>4</v>
      </c>
      <c r="B428" s="550" t="s">
        <v>81</v>
      </c>
      <c r="C428" s="202" t="s">
        <v>943</v>
      </c>
      <c r="D428" s="201" t="s">
        <v>6</v>
      </c>
      <c r="E428" s="512" t="s">
        <v>7</v>
      </c>
      <c r="F428" s="586" t="s">
        <v>856</v>
      </c>
      <c r="G428" s="202" t="s">
        <v>5829</v>
      </c>
      <c r="H428" s="201">
        <v>4</v>
      </c>
      <c r="I428" s="201" t="s">
        <v>839</v>
      </c>
      <c r="J428" s="77"/>
      <c r="K428" s="77" t="s">
        <v>6247</v>
      </c>
      <c r="N428" s="76">
        <v>31</v>
      </c>
    </row>
    <row r="429" spans="1:14" hidden="1" x14ac:dyDescent="0.25">
      <c r="A429" s="77">
        <v>4</v>
      </c>
      <c r="B429" s="550" t="s">
        <v>82</v>
      </c>
      <c r="C429" s="202" t="s">
        <v>83</v>
      </c>
      <c r="D429" s="201" t="s">
        <v>6</v>
      </c>
      <c r="E429" s="512" t="s">
        <v>7</v>
      </c>
      <c r="F429" s="586" t="s">
        <v>857</v>
      </c>
      <c r="G429" s="202" t="s">
        <v>625</v>
      </c>
      <c r="H429" s="201">
        <v>4</v>
      </c>
      <c r="I429" s="201" t="s">
        <v>839</v>
      </c>
      <c r="J429" s="77"/>
      <c r="K429" s="77" t="s">
        <v>6247</v>
      </c>
      <c r="N429" s="76">
        <v>32</v>
      </c>
    </row>
    <row r="430" spans="1:14" hidden="1" x14ac:dyDescent="0.25">
      <c r="A430" s="77">
        <v>4</v>
      </c>
      <c r="B430" s="550" t="s">
        <v>84</v>
      </c>
      <c r="C430" s="202" t="s">
        <v>85</v>
      </c>
      <c r="D430" s="201" t="s">
        <v>6</v>
      </c>
      <c r="E430" s="512" t="s">
        <v>7</v>
      </c>
      <c r="F430" s="586" t="s">
        <v>857</v>
      </c>
      <c r="G430" s="202" t="s">
        <v>625</v>
      </c>
      <c r="H430" s="201">
        <v>33</v>
      </c>
      <c r="I430" s="201" t="s">
        <v>880</v>
      </c>
      <c r="J430" s="77"/>
      <c r="K430" s="77" t="s">
        <v>6247</v>
      </c>
      <c r="N430" s="76">
        <v>33</v>
      </c>
    </row>
    <row r="431" spans="1:14" hidden="1" x14ac:dyDescent="0.25">
      <c r="A431" s="77">
        <v>4</v>
      </c>
      <c r="B431" s="550" t="s">
        <v>125</v>
      </c>
      <c r="C431" s="202" t="s">
        <v>944</v>
      </c>
      <c r="D431" s="201" t="s">
        <v>12</v>
      </c>
      <c r="E431" s="512" t="s">
        <v>13</v>
      </c>
      <c r="F431" s="586" t="s">
        <v>872</v>
      </c>
      <c r="G431" s="202" t="s">
        <v>5824</v>
      </c>
      <c r="H431" s="201">
        <v>4</v>
      </c>
      <c r="I431" s="201" t="s">
        <v>843</v>
      </c>
      <c r="J431" s="77"/>
      <c r="K431" s="77" t="s">
        <v>6250</v>
      </c>
      <c r="N431" s="76">
        <v>34</v>
      </c>
    </row>
    <row r="432" spans="1:14" hidden="1" x14ac:dyDescent="0.25">
      <c r="A432" s="77">
        <v>4</v>
      </c>
      <c r="B432" s="550" t="s">
        <v>126</v>
      </c>
      <c r="C432" s="202" t="s">
        <v>945</v>
      </c>
      <c r="D432" s="201" t="s">
        <v>12</v>
      </c>
      <c r="E432" s="512" t="s">
        <v>13</v>
      </c>
      <c r="F432" s="586" t="s">
        <v>874</v>
      </c>
      <c r="G432" s="202" t="s">
        <v>5827</v>
      </c>
      <c r="H432" s="201">
        <v>4</v>
      </c>
      <c r="I432" s="201" t="s">
        <v>843</v>
      </c>
      <c r="J432" s="77"/>
      <c r="K432" s="77" t="s">
        <v>6250</v>
      </c>
      <c r="N432" s="76">
        <v>35</v>
      </c>
    </row>
    <row r="433" spans="1:14" hidden="1" x14ac:dyDescent="0.25">
      <c r="A433" s="77">
        <v>4</v>
      </c>
      <c r="B433" s="550" t="s">
        <v>73</v>
      </c>
      <c r="C433" s="202" t="s">
        <v>946</v>
      </c>
      <c r="D433" s="201" t="s">
        <v>849</v>
      </c>
      <c r="E433" s="512" t="s">
        <v>664</v>
      </c>
      <c r="F433" s="586" t="s">
        <v>850</v>
      </c>
      <c r="G433" s="202" t="s">
        <v>5830</v>
      </c>
      <c r="H433" s="201">
        <v>25</v>
      </c>
      <c r="I433" s="201" t="s">
        <v>931</v>
      </c>
      <c r="J433" s="77"/>
      <c r="K433" s="77" t="s">
        <v>6246</v>
      </c>
      <c r="N433" s="76">
        <v>36</v>
      </c>
    </row>
    <row r="434" spans="1:14" hidden="1" x14ac:dyDescent="0.25">
      <c r="A434" s="77">
        <v>4</v>
      </c>
      <c r="B434" s="550" t="s">
        <v>74</v>
      </c>
      <c r="C434" s="202" t="s">
        <v>1096</v>
      </c>
      <c r="D434" s="201" t="s">
        <v>849</v>
      </c>
      <c r="E434" s="512" t="s">
        <v>664</v>
      </c>
      <c r="F434" s="586" t="s">
        <v>851</v>
      </c>
      <c r="G434" s="202" t="s">
        <v>5831</v>
      </c>
      <c r="H434" s="201">
        <v>25</v>
      </c>
      <c r="I434" s="201" t="s">
        <v>931</v>
      </c>
      <c r="J434" s="77"/>
      <c r="K434" s="77" t="s">
        <v>6246</v>
      </c>
      <c r="N434" s="76">
        <v>37</v>
      </c>
    </row>
    <row r="435" spans="1:14" hidden="1" x14ac:dyDescent="0.25">
      <c r="A435" s="77">
        <v>4</v>
      </c>
      <c r="B435" s="550" t="s">
        <v>75</v>
      </c>
      <c r="C435" s="202" t="s">
        <v>76</v>
      </c>
      <c r="D435" s="201" t="s">
        <v>849</v>
      </c>
      <c r="E435" s="512" t="s">
        <v>664</v>
      </c>
      <c r="F435" s="586" t="s">
        <v>852</v>
      </c>
      <c r="G435" s="202" t="s">
        <v>626</v>
      </c>
      <c r="H435" s="201">
        <v>25</v>
      </c>
      <c r="I435" s="201" t="s">
        <v>931</v>
      </c>
      <c r="J435" s="77"/>
      <c r="K435" s="77" t="s">
        <v>6246</v>
      </c>
      <c r="N435" s="76">
        <v>38</v>
      </c>
    </row>
    <row r="436" spans="1:14" hidden="1" x14ac:dyDescent="0.25">
      <c r="A436" s="77">
        <v>4</v>
      </c>
      <c r="B436" s="550" t="s">
        <v>77</v>
      </c>
      <c r="C436" s="202" t="s">
        <v>78</v>
      </c>
      <c r="D436" s="201" t="s">
        <v>849</v>
      </c>
      <c r="E436" s="512" t="s">
        <v>664</v>
      </c>
      <c r="F436" s="586" t="s">
        <v>852</v>
      </c>
      <c r="G436" s="202" t="s">
        <v>626</v>
      </c>
      <c r="H436" s="201">
        <v>25</v>
      </c>
      <c r="I436" s="201" t="s">
        <v>931</v>
      </c>
      <c r="J436" s="77"/>
      <c r="K436" s="77" t="s">
        <v>6246</v>
      </c>
      <c r="N436" s="76">
        <v>39</v>
      </c>
    </row>
    <row r="437" spans="1:14" hidden="1" x14ac:dyDescent="0.25">
      <c r="A437" s="77">
        <v>4</v>
      </c>
      <c r="B437" s="550" t="s">
        <v>724</v>
      </c>
      <c r="C437" s="202" t="s">
        <v>1094</v>
      </c>
      <c r="D437" s="201" t="s">
        <v>849</v>
      </c>
      <c r="E437" s="512" t="s">
        <v>664</v>
      </c>
      <c r="F437" s="586" t="s">
        <v>850</v>
      </c>
      <c r="G437" s="202" t="s">
        <v>5830</v>
      </c>
      <c r="H437" s="201">
        <v>25</v>
      </c>
      <c r="I437" s="201" t="s">
        <v>931</v>
      </c>
      <c r="J437" s="77"/>
      <c r="K437" s="77" t="s">
        <v>6246</v>
      </c>
      <c r="N437" s="76">
        <v>40</v>
      </c>
    </row>
    <row r="438" spans="1:14" hidden="1" x14ac:dyDescent="0.25">
      <c r="A438" s="77">
        <v>4</v>
      </c>
      <c r="B438" s="550" t="s">
        <v>725</v>
      </c>
      <c r="C438" s="202" t="s">
        <v>1095</v>
      </c>
      <c r="D438" s="201" t="s">
        <v>849</v>
      </c>
      <c r="E438" s="512" t="s">
        <v>664</v>
      </c>
      <c r="F438" s="586" t="s">
        <v>851</v>
      </c>
      <c r="G438" s="202" t="s">
        <v>5831</v>
      </c>
      <c r="H438" s="201">
        <v>25</v>
      </c>
      <c r="I438" s="201" t="s">
        <v>931</v>
      </c>
      <c r="J438" s="77"/>
      <c r="K438" s="77" t="s">
        <v>6246</v>
      </c>
      <c r="N438" s="76">
        <v>41</v>
      </c>
    </row>
    <row r="439" spans="1:14" hidden="1" x14ac:dyDescent="0.25">
      <c r="A439" s="77">
        <v>4</v>
      </c>
      <c r="B439" s="550" t="s">
        <v>726</v>
      </c>
      <c r="C439" s="202" t="s">
        <v>1097</v>
      </c>
      <c r="D439" s="201" t="s">
        <v>849</v>
      </c>
      <c r="E439" s="512" t="s">
        <v>664</v>
      </c>
      <c r="F439" s="586" t="s">
        <v>852</v>
      </c>
      <c r="G439" s="202" t="s">
        <v>626</v>
      </c>
      <c r="H439" s="201">
        <v>25</v>
      </c>
      <c r="I439" s="201" t="s">
        <v>931</v>
      </c>
      <c r="J439" s="77"/>
      <c r="K439" s="77" t="s">
        <v>6246</v>
      </c>
      <c r="N439" s="76">
        <v>42</v>
      </c>
    </row>
    <row r="440" spans="1:14" hidden="1" x14ac:dyDescent="0.25">
      <c r="A440" s="77">
        <v>4</v>
      </c>
      <c r="B440" s="550" t="s">
        <v>727</v>
      </c>
      <c r="C440" s="202" t="s">
        <v>1098</v>
      </c>
      <c r="D440" s="201" t="s">
        <v>849</v>
      </c>
      <c r="E440" s="512" t="s">
        <v>664</v>
      </c>
      <c r="F440" s="586" t="s">
        <v>852</v>
      </c>
      <c r="G440" s="202" t="s">
        <v>626</v>
      </c>
      <c r="H440" s="201">
        <v>25</v>
      </c>
      <c r="I440" s="201" t="s">
        <v>931</v>
      </c>
      <c r="J440" s="77"/>
      <c r="K440" s="77" t="s">
        <v>6246</v>
      </c>
      <c r="N440" s="76">
        <v>43</v>
      </c>
    </row>
    <row r="441" spans="1:14" x14ac:dyDescent="0.25">
      <c r="A441" s="77">
        <v>4</v>
      </c>
      <c r="B441" s="550" t="s">
        <v>45</v>
      </c>
      <c r="C441" s="202" t="s">
        <v>947</v>
      </c>
      <c r="D441" s="201" t="s">
        <v>0</v>
      </c>
      <c r="E441" s="512" t="s">
        <v>1</v>
      </c>
      <c r="F441" s="586" t="s">
        <v>839</v>
      </c>
      <c r="G441" s="202" t="s">
        <v>5832</v>
      </c>
      <c r="H441" s="201">
        <v>12</v>
      </c>
      <c r="I441" s="201" t="s">
        <v>877</v>
      </c>
      <c r="J441" s="77"/>
      <c r="K441" s="77" t="s">
        <v>6243</v>
      </c>
      <c r="N441" s="76">
        <v>44</v>
      </c>
    </row>
    <row r="442" spans="1:14" x14ac:dyDescent="0.25">
      <c r="A442" s="77">
        <v>4</v>
      </c>
      <c r="B442" s="550" t="s">
        <v>46</v>
      </c>
      <c r="C442" s="202" t="s">
        <v>948</v>
      </c>
      <c r="D442" s="201" t="s">
        <v>0</v>
      </c>
      <c r="E442" s="512" t="s">
        <v>1</v>
      </c>
      <c r="F442" s="586" t="s">
        <v>841</v>
      </c>
      <c r="G442" s="202" t="s">
        <v>5833</v>
      </c>
      <c r="H442" s="201">
        <v>12</v>
      </c>
      <c r="I442" s="201" t="s">
        <v>877</v>
      </c>
      <c r="J442" s="77"/>
      <c r="K442" s="77" t="s">
        <v>6243</v>
      </c>
      <c r="N442" s="76">
        <v>45</v>
      </c>
    </row>
    <row r="443" spans="1:14" x14ac:dyDescent="0.25">
      <c r="A443" s="77">
        <v>4</v>
      </c>
      <c r="B443" s="550" t="s">
        <v>47</v>
      </c>
      <c r="C443" s="202" t="s">
        <v>949</v>
      </c>
      <c r="D443" s="201" t="s">
        <v>0</v>
      </c>
      <c r="E443" s="512" t="s">
        <v>1</v>
      </c>
      <c r="F443" s="586" t="s">
        <v>839</v>
      </c>
      <c r="G443" s="202" t="s">
        <v>5832</v>
      </c>
      <c r="H443" s="201">
        <v>12</v>
      </c>
      <c r="I443" s="201" t="s">
        <v>877</v>
      </c>
      <c r="J443" s="77"/>
      <c r="K443" s="77" t="s">
        <v>6243</v>
      </c>
      <c r="N443" s="76">
        <v>46</v>
      </c>
    </row>
    <row r="444" spans="1:14" x14ac:dyDescent="0.25">
      <c r="A444" s="77">
        <v>4</v>
      </c>
      <c r="B444" s="550" t="s">
        <v>48</v>
      </c>
      <c r="C444" s="202" t="s">
        <v>950</v>
      </c>
      <c r="D444" s="201" t="s">
        <v>0</v>
      </c>
      <c r="E444" s="512" t="s">
        <v>1</v>
      </c>
      <c r="F444" s="586" t="s">
        <v>839</v>
      </c>
      <c r="G444" s="202" t="s">
        <v>5832</v>
      </c>
      <c r="H444" s="201">
        <v>12</v>
      </c>
      <c r="I444" s="201" t="s">
        <v>877</v>
      </c>
      <c r="J444" s="77"/>
      <c r="K444" s="77" t="s">
        <v>6243</v>
      </c>
      <c r="N444" s="76">
        <v>47</v>
      </c>
    </row>
    <row r="445" spans="1:14" x14ac:dyDescent="0.25">
      <c r="A445" s="77">
        <v>4</v>
      </c>
      <c r="B445" s="550" t="s">
        <v>49</v>
      </c>
      <c r="C445" s="202" t="s">
        <v>951</v>
      </c>
      <c r="D445" s="201" t="s">
        <v>0</v>
      </c>
      <c r="E445" s="512" t="s">
        <v>1</v>
      </c>
      <c r="F445" s="586" t="s">
        <v>839</v>
      </c>
      <c r="G445" s="202" t="s">
        <v>5832</v>
      </c>
      <c r="H445" s="201">
        <v>12</v>
      </c>
      <c r="I445" s="201" t="s">
        <v>877</v>
      </c>
      <c r="J445" s="77"/>
      <c r="K445" s="77" t="s">
        <v>6243</v>
      </c>
      <c r="N445" s="76">
        <v>48</v>
      </c>
    </row>
    <row r="446" spans="1:14" hidden="1" x14ac:dyDescent="0.25">
      <c r="A446" s="77">
        <v>4</v>
      </c>
      <c r="B446" s="550" t="s">
        <v>209</v>
      </c>
      <c r="C446" s="202" t="s">
        <v>210</v>
      </c>
      <c r="D446" s="201" t="s">
        <v>18</v>
      </c>
      <c r="E446" s="512" t="s">
        <v>644</v>
      </c>
      <c r="F446" s="586" t="s">
        <v>880</v>
      </c>
      <c r="G446" s="202" t="s">
        <v>630</v>
      </c>
      <c r="H446" s="201">
        <v>12</v>
      </c>
      <c r="I446" s="201" t="s">
        <v>877</v>
      </c>
      <c r="J446" s="77"/>
      <c r="K446" s="77" t="s">
        <v>6252</v>
      </c>
      <c r="N446" s="76">
        <v>49</v>
      </c>
    </row>
    <row r="447" spans="1:14" x14ac:dyDescent="0.25">
      <c r="A447" s="77">
        <v>4</v>
      </c>
      <c r="B447" s="550" t="s">
        <v>50</v>
      </c>
      <c r="C447" s="202" t="s">
        <v>952</v>
      </c>
      <c r="D447" s="201" t="s">
        <v>0</v>
      </c>
      <c r="E447" s="512" t="s">
        <v>1</v>
      </c>
      <c r="F447" s="586" t="s">
        <v>843</v>
      </c>
      <c r="G447" s="202" t="s">
        <v>624</v>
      </c>
      <c r="H447" s="201">
        <v>6</v>
      </c>
      <c r="I447" s="201" t="s">
        <v>847</v>
      </c>
      <c r="J447" s="77"/>
      <c r="K447" s="77" t="s">
        <v>6243</v>
      </c>
      <c r="N447" s="76">
        <v>50</v>
      </c>
    </row>
    <row r="448" spans="1:14" x14ac:dyDescent="0.25">
      <c r="A448" s="77">
        <v>4</v>
      </c>
      <c r="B448" s="550" t="s">
        <v>51</v>
      </c>
      <c r="C448" s="202" t="s">
        <v>953</v>
      </c>
      <c r="D448" s="201" t="s">
        <v>0</v>
      </c>
      <c r="E448" s="512" t="s">
        <v>1</v>
      </c>
      <c r="F448" s="586" t="s">
        <v>844</v>
      </c>
      <c r="G448" s="202" t="s">
        <v>845</v>
      </c>
      <c r="H448" s="201">
        <v>10</v>
      </c>
      <c r="I448" s="201" t="s">
        <v>870</v>
      </c>
      <c r="J448" s="77"/>
      <c r="K448" s="77" t="s">
        <v>6243</v>
      </c>
      <c r="N448" s="76">
        <v>51</v>
      </c>
    </row>
    <row r="449" spans="1:14" x14ac:dyDescent="0.25">
      <c r="A449" s="77">
        <v>4</v>
      </c>
      <c r="B449" s="550" t="s">
        <v>52</v>
      </c>
      <c r="C449" s="202" t="s">
        <v>954</v>
      </c>
      <c r="D449" s="201" t="s">
        <v>0</v>
      </c>
      <c r="E449" s="512" t="s">
        <v>1</v>
      </c>
      <c r="F449" s="586" t="s">
        <v>843</v>
      </c>
      <c r="G449" s="202" t="s">
        <v>624</v>
      </c>
      <c r="H449" s="201">
        <v>12</v>
      </c>
      <c r="I449" s="201" t="s">
        <v>877</v>
      </c>
      <c r="J449" s="77"/>
      <c r="K449" s="77" t="s">
        <v>6243</v>
      </c>
      <c r="N449" s="76">
        <v>52</v>
      </c>
    </row>
    <row r="450" spans="1:14" x14ac:dyDescent="0.25">
      <c r="A450" s="77">
        <v>4</v>
      </c>
      <c r="B450" s="550" t="s">
        <v>53</v>
      </c>
      <c r="C450" s="202" t="s">
        <v>54</v>
      </c>
      <c r="D450" s="201" t="s">
        <v>0</v>
      </c>
      <c r="E450" s="512" t="s">
        <v>1</v>
      </c>
      <c r="F450" s="586" t="s">
        <v>844</v>
      </c>
      <c r="G450" s="202" t="s">
        <v>845</v>
      </c>
      <c r="H450" s="201">
        <v>10</v>
      </c>
      <c r="I450" s="201" t="s">
        <v>870</v>
      </c>
      <c r="J450" s="77"/>
      <c r="K450" s="77" t="s">
        <v>6243</v>
      </c>
      <c r="N450" s="76">
        <v>53</v>
      </c>
    </row>
    <row r="451" spans="1:14" x14ac:dyDescent="0.25">
      <c r="A451" s="77">
        <v>4</v>
      </c>
      <c r="B451" s="550" t="s">
        <v>55</v>
      </c>
      <c r="C451" s="202" t="s">
        <v>955</v>
      </c>
      <c r="D451" s="201" t="s">
        <v>0</v>
      </c>
      <c r="E451" s="512" t="s">
        <v>1</v>
      </c>
      <c r="F451" s="586" t="s">
        <v>844</v>
      </c>
      <c r="G451" s="202" t="s">
        <v>845</v>
      </c>
      <c r="H451" s="201">
        <v>10</v>
      </c>
      <c r="I451" s="201" t="s">
        <v>870</v>
      </c>
      <c r="J451" s="77"/>
      <c r="K451" s="77" t="s">
        <v>6243</v>
      </c>
      <c r="N451" s="76">
        <v>54</v>
      </c>
    </row>
    <row r="452" spans="1:14" x14ac:dyDescent="0.25">
      <c r="A452" s="77">
        <v>4</v>
      </c>
      <c r="B452" s="550" t="s">
        <v>56</v>
      </c>
      <c r="C452" s="202" t="s">
        <v>57</v>
      </c>
      <c r="D452" s="201" t="s">
        <v>0</v>
      </c>
      <c r="E452" s="512" t="s">
        <v>1</v>
      </c>
      <c r="F452" s="586" t="s">
        <v>844</v>
      </c>
      <c r="G452" s="202" t="s">
        <v>845</v>
      </c>
      <c r="H452" s="201">
        <v>10</v>
      </c>
      <c r="I452" s="201" t="s">
        <v>870</v>
      </c>
      <c r="J452" s="77"/>
      <c r="K452" s="77" t="s">
        <v>6243</v>
      </c>
      <c r="N452" s="76">
        <v>55</v>
      </c>
    </row>
    <row r="453" spans="1:14" x14ac:dyDescent="0.25">
      <c r="A453" s="77">
        <v>4</v>
      </c>
      <c r="B453" s="550" t="s">
        <v>58</v>
      </c>
      <c r="C453" s="202" t="s">
        <v>956</v>
      </c>
      <c r="D453" s="201" t="s">
        <v>0</v>
      </c>
      <c r="E453" s="512" t="s">
        <v>1</v>
      </c>
      <c r="F453" s="586" t="s">
        <v>843</v>
      </c>
      <c r="G453" s="202" t="s">
        <v>624</v>
      </c>
      <c r="H453" s="201">
        <v>6</v>
      </c>
      <c r="I453" s="201" t="s">
        <v>848</v>
      </c>
      <c r="J453" s="77"/>
      <c r="K453" s="77" t="s">
        <v>6243</v>
      </c>
      <c r="N453" s="76">
        <v>56</v>
      </c>
    </row>
    <row r="454" spans="1:14" x14ac:dyDescent="0.25">
      <c r="A454" s="77">
        <v>4</v>
      </c>
      <c r="B454" s="550" t="s">
        <v>59</v>
      </c>
      <c r="C454" s="202" t="s">
        <v>957</v>
      </c>
      <c r="D454" s="201" t="s">
        <v>0</v>
      </c>
      <c r="E454" s="512" t="s">
        <v>1</v>
      </c>
      <c r="F454" s="586" t="s">
        <v>843</v>
      </c>
      <c r="G454" s="202" t="s">
        <v>624</v>
      </c>
      <c r="H454" s="201">
        <v>10</v>
      </c>
      <c r="I454" s="201" t="s">
        <v>872</v>
      </c>
      <c r="J454" s="77"/>
      <c r="K454" s="77" t="s">
        <v>6243</v>
      </c>
      <c r="N454" s="76">
        <v>57</v>
      </c>
    </row>
    <row r="455" spans="1:14" x14ac:dyDescent="0.25">
      <c r="A455" s="77">
        <v>4</v>
      </c>
      <c r="B455" s="550" t="s">
        <v>60</v>
      </c>
      <c r="C455" s="202" t="s">
        <v>958</v>
      </c>
      <c r="D455" s="201" t="s">
        <v>0</v>
      </c>
      <c r="E455" s="512" t="s">
        <v>1</v>
      </c>
      <c r="F455" s="586" t="s">
        <v>843</v>
      </c>
      <c r="G455" s="202" t="s">
        <v>624</v>
      </c>
      <c r="H455" s="201">
        <v>10</v>
      </c>
      <c r="I455" s="201" t="s">
        <v>874</v>
      </c>
      <c r="J455" s="77"/>
      <c r="K455" s="77" t="s">
        <v>6243</v>
      </c>
      <c r="N455" s="76">
        <v>58</v>
      </c>
    </row>
    <row r="456" spans="1:14" x14ac:dyDescent="0.25">
      <c r="A456" s="77">
        <v>4</v>
      </c>
      <c r="B456" s="550" t="s">
        <v>61</v>
      </c>
      <c r="C456" s="202" t="s">
        <v>959</v>
      </c>
      <c r="D456" s="201" t="s">
        <v>0</v>
      </c>
      <c r="E456" s="512" t="s">
        <v>1</v>
      </c>
      <c r="F456" s="586" t="s">
        <v>843</v>
      </c>
      <c r="G456" s="202" t="s">
        <v>624</v>
      </c>
      <c r="H456" s="201">
        <v>7</v>
      </c>
      <c r="I456" s="201" t="s">
        <v>855</v>
      </c>
      <c r="J456" s="77"/>
      <c r="K456" s="77" t="s">
        <v>6243</v>
      </c>
      <c r="N456" s="76">
        <v>59</v>
      </c>
    </row>
    <row r="457" spans="1:14" x14ac:dyDescent="0.25">
      <c r="A457" s="77">
        <v>4</v>
      </c>
      <c r="B457" s="550" t="s">
        <v>5811</v>
      </c>
      <c r="C457" s="202" t="s">
        <v>960</v>
      </c>
      <c r="D457" s="201" t="s">
        <v>0</v>
      </c>
      <c r="E457" s="512" t="s">
        <v>1</v>
      </c>
      <c r="F457" s="586" t="s">
        <v>843</v>
      </c>
      <c r="G457" s="202" t="s">
        <v>624</v>
      </c>
      <c r="H457" s="201">
        <v>7</v>
      </c>
      <c r="I457" s="201" t="s">
        <v>856</v>
      </c>
      <c r="J457" s="77"/>
      <c r="K457" s="77" t="s">
        <v>6243</v>
      </c>
      <c r="N457" s="76">
        <v>60</v>
      </c>
    </row>
    <row r="458" spans="1:14" x14ac:dyDescent="0.25">
      <c r="A458" s="77">
        <v>4</v>
      </c>
      <c r="B458" s="550" t="s">
        <v>62</v>
      </c>
      <c r="C458" s="202" t="s">
        <v>961</v>
      </c>
      <c r="D458" s="201" t="s">
        <v>0</v>
      </c>
      <c r="E458" s="512" t="s">
        <v>1</v>
      </c>
      <c r="F458" s="586" t="s">
        <v>839</v>
      </c>
      <c r="G458" s="202" t="s">
        <v>840</v>
      </c>
      <c r="H458" s="201">
        <v>12</v>
      </c>
      <c r="I458" s="201" t="s">
        <v>877</v>
      </c>
      <c r="J458" s="77"/>
      <c r="K458" s="77" t="s">
        <v>6243</v>
      </c>
      <c r="N458" s="76">
        <v>61</v>
      </c>
    </row>
    <row r="459" spans="1:14" x14ac:dyDescent="0.25">
      <c r="A459" s="77">
        <v>4</v>
      </c>
      <c r="B459" s="550" t="s">
        <v>63</v>
      </c>
      <c r="C459" s="202" t="s">
        <v>64</v>
      </c>
      <c r="D459" s="201" t="s">
        <v>0</v>
      </c>
      <c r="E459" s="512" t="s">
        <v>1</v>
      </c>
      <c r="F459" s="586" t="s">
        <v>844</v>
      </c>
      <c r="G459" s="202" t="s">
        <v>845</v>
      </c>
      <c r="H459" s="201">
        <v>10</v>
      </c>
      <c r="I459" s="201" t="s">
        <v>870</v>
      </c>
      <c r="J459" s="77"/>
      <c r="K459" s="77" t="s">
        <v>6243</v>
      </c>
      <c r="N459" s="76">
        <v>62</v>
      </c>
    </row>
    <row r="460" spans="1:14" x14ac:dyDescent="0.25">
      <c r="A460" s="77">
        <v>4</v>
      </c>
      <c r="B460" s="550" t="s">
        <v>65</v>
      </c>
      <c r="C460" s="202" t="s">
        <v>66</v>
      </c>
      <c r="D460" s="201" t="s">
        <v>0</v>
      </c>
      <c r="E460" s="512" t="s">
        <v>1</v>
      </c>
      <c r="F460" s="586" t="s">
        <v>844</v>
      </c>
      <c r="G460" s="202" t="s">
        <v>845</v>
      </c>
      <c r="H460" s="201">
        <v>7</v>
      </c>
      <c r="I460" s="201" t="s">
        <v>853</v>
      </c>
      <c r="J460" s="77"/>
      <c r="K460" s="77" t="s">
        <v>6243</v>
      </c>
      <c r="N460" s="76">
        <v>63</v>
      </c>
    </row>
    <row r="461" spans="1:14" x14ac:dyDescent="0.25">
      <c r="A461" s="77">
        <v>4</v>
      </c>
      <c r="B461" s="550" t="s">
        <v>67</v>
      </c>
      <c r="C461" s="202" t="s">
        <v>1099</v>
      </c>
      <c r="D461" s="201" t="s">
        <v>0</v>
      </c>
      <c r="E461" s="512" t="s">
        <v>1</v>
      </c>
      <c r="F461" s="586" t="s">
        <v>839</v>
      </c>
      <c r="G461" s="202" t="s">
        <v>840</v>
      </c>
      <c r="H461" s="201">
        <v>12</v>
      </c>
      <c r="I461" s="201" t="s">
        <v>877</v>
      </c>
      <c r="J461" s="77"/>
      <c r="K461" s="77" t="s">
        <v>6243</v>
      </c>
      <c r="N461" s="76">
        <v>64</v>
      </c>
    </row>
    <row r="462" spans="1:14" x14ac:dyDescent="0.25">
      <c r="A462" s="77">
        <v>4</v>
      </c>
      <c r="B462" s="550" t="s">
        <v>68</v>
      </c>
      <c r="C462" s="202" t="s">
        <v>1100</v>
      </c>
      <c r="D462" s="201" t="s">
        <v>0</v>
      </c>
      <c r="E462" s="512" t="s">
        <v>1</v>
      </c>
      <c r="F462" s="586" t="s">
        <v>841</v>
      </c>
      <c r="G462" s="202" t="s">
        <v>842</v>
      </c>
      <c r="H462" s="201">
        <v>10</v>
      </c>
      <c r="I462" s="201" t="s">
        <v>870</v>
      </c>
      <c r="J462" s="77"/>
      <c r="K462" s="77" t="s">
        <v>6243</v>
      </c>
      <c r="N462" s="76">
        <v>65</v>
      </c>
    </row>
    <row r="463" spans="1:14" x14ac:dyDescent="0.25">
      <c r="A463" s="77">
        <v>4</v>
      </c>
      <c r="B463" s="550" t="s">
        <v>69</v>
      </c>
      <c r="C463" s="202" t="s">
        <v>962</v>
      </c>
      <c r="D463" s="201" t="s">
        <v>0</v>
      </c>
      <c r="E463" s="512" t="s">
        <v>1</v>
      </c>
      <c r="F463" s="586" t="s">
        <v>843</v>
      </c>
      <c r="G463" s="202" t="s">
        <v>624</v>
      </c>
      <c r="H463" s="201">
        <v>7</v>
      </c>
      <c r="I463" s="201" t="s">
        <v>857</v>
      </c>
      <c r="J463" s="77"/>
      <c r="K463" s="77" t="s">
        <v>6243</v>
      </c>
      <c r="N463" s="76">
        <v>66</v>
      </c>
    </row>
    <row r="464" spans="1:14" x14ac:dyDescent="0.25">
      <c r="A464" s="77">
        <v>4</v>
      </c>
      <c r="B464" s="550" t="s">
        <v>70</v>
      </c>
      <c r="C464" s="202" t="s">
        <v>963</v>
      </c>
      <c r="D464" s="201" t="s">
        <v>0</v>
      </c>
      <c r="E464" s="512" t="s">
        <v>1</v>
      </c>
      <c r="F464" s="586" t="s">
        <v>843</v>
      </c>
      <c r="G464" s="202" t="s">
        <v>624</v>
      </c>
      <c r="H464" s="201">
        <v>7</v>
      </c>
      <c r="I464" s="201" t="s">
        <v>857</v>
      </c>
      <c r="J464" s="77"/>
      <c r="K464" s="77" t="s">
        <v>6243</v>
      </c>
      <c r="N464" s="76">
        <v>67</v>
      </c>
    </row>
    <row r="465" spans="1:14" x14ac:dyDescent="0.25">
      <c r="A465" s="77">
        <v>4</v>
      </c>
      <c r="B465" s="550" t="s">
        <v>728</v>
      </c>
      <c r="C465" s="202" t="s">
        <v>729</v>
      </c>
      <c r="D465" s="201" t="s">
        <v>0</v>
      </c>
      <c r="E465" s="512" t="s">
        <v>1</v>
      </c>
      <c r="F465" s="586" t="s">
        <v>844</v>
      </c>
      <c r="G465" s="202" t="s">
        <v>845</v>
      </c>
      <c r="H465" s="201">
        <v>5</v>
      </c>
      <c r="I465" s="201" t="s">
        <v>846</v>
      </c>
      <c r="J465" s="77"/>
      <c r="K465" s="77" t="s">
        <v>6243</v>
      </c>
      <c r="N465" s="76">
        <v>68</v>
      </c>
    </row>
    <row r="466" spans="1:14" x14ac:dyDescent="0.25">
      <c r="A466" s="77">
        <v>4</v>
      </c>
      <c r="B466" s="550" t="s">
        <v>730</v>
      </c>
      <c r="C466" s="202" t="s">
        <v>731</v>
      </c>
      <c r="D466" s="201" t="s">
        <v>0</v>
      </c>
      <c r="E466" s="512" t="s">
        <v>1</v>
      </c>
      <c r="F466" s="586" t="s">
        <v>844</v>
      </c>
      <c r="G466" s="202" t="s">
        <v>845</v>
      </c>
      <c r="H466" s="201">
        <v>10</v>
      </c>
      <c r="I466" s="201" t="s">
        <v>870</v>
      </c>
      <c r="J466" s="77"/>
      <c r="K466" s="77" t="s">
        <v>6243</v>
      </c>
      <c r="N466" s="76">
        <v>69</v>
      </c>
    </row>
    <row r="467" spans="1:14" x14ac:dyDescent="0.25">
      <c r="A467" s="77">
        <v>4</v>
      </c>
      <c r="B467" s="550" t="s">
        <v>732</v>
      </c>
      <c r="C467" s="202" t="s">
        <v>733</v>
      </c>
      <c r="D467" s="201" t="s">
        <v>0</v>
      </c>
      <c r="E467" s="512" t="s">
        <v>1</v>
      </c>
      <c r="F467" s="586" t="s">
        <v>843</v>
      </c>
      <c r="G467" s="202" t="s">
        <v>624</v>
      </c>
      <c r="H467" s="201">
        <v>162</v>
      </c>
      <c r="I467" s="201" t="s">
        <v>850</v>
      </c>
      <c r="J467" s="77"/>
      <c r="K467" s="77" t="s">
        <v>6243</v>
      </c>
      <c r="N467" s="76">
        <v>70</v>
      </c>
    </row>
    <row r="468" spans="1:14" x14ac:dyDescent="0.25">
      <c r="A468" s="77">
        <v>4</v>
      </c>
      <c r="B468" s="550" t="s">
        <v>734</v>
      </c>
      <c r="C468" s="202" t="s">
        <v>735</v>
      </c>
      <c r="D468" s="201" t="s">
        <v>0</v>
      </c>
      <c r="E468" s="512" t="s">
        <v>1</v>
      </c>
      <c r="F468" s="586" t="s">
        <v>843</v>
      </c>
      <c r="G468" s="202" t="s">
        <v>624</v>
      </c>
      <c r="H468" s="201">
        <v>162</v>
      </c>
      <c r="I468" s="201" t="s">
        <v>851</v>
      </c>
      <c r="J468" s="77"/>
      <c r="K468" s="77" t="s">
        <v>6243</v>
      </c>
      <c r="N468" s="76">
        <v>71</v>
      </c>
    </row>
    <row r="469" spans="1:14" x14ac:dyDescent="0.25">
      <c r="A469" s="77">
        <v>4</v>
      </c>
      <c r="B469" s="550" t="s">
        <v>707</v>
      </c>
      <c r="C469" s="202" t="s">
        <v>964</v>
      </c>
      <c r="D469" s="201" t="s">
        <v>0</v>
      </c>
      <c r="E469" s="512" t="s">
        <v>1</v>
      </c>
      <c r="F469" s="586" t="s">
        <v>843</v>
      </c>
      <c r="G469" s="202" t="s">
        <v>624</v>
      </c>
      <c r="H469" s="201">
        <v>162</v>
      </c>
      <c r="I469" s="201" t="s">
        <v>852</v>
      </c>
      <c r="J469" s="77"/>
      <c r="K469" s="77" t="s">
        <v>6243</v>
      </c>
      <c r="N469" s="76">
        <v>72</v>
      </c>
    </row>
    <row r="470" spans="1:14" x14ac:dyDescent="0.25">
      <c r="A470" s="77">
        <v>4</v>
      </c>
      <c r="B470" s="550" t="s">
        <v>708</v>
      </c>
      <c r="C470" s="202" t="s">
        <v>709</v>
      </c>
      <c r="D470" s="201" t="s">
        <v>0</v>
      </c>
      <c r="E470" s="512" t="s">
        <v>1</v>
      </c>
      <c r="F470" s="586" t="s">
        <v>839</v>
      </c>
      <c r="G470" s="202" t="s">
        <v>5832</v>
      </c>
      <c r="H470" s="201">
        <v>162</v>
      </c>
      <c r="I470" s="201" t="s">
        <v>852</v>
      </c>
      <c r="J470" s="77"/>
      <c r="K470" s="77" t="s">
        <v>6243</v>
      </c>
      <c r="N470" s="76">
        <v>73</v>
      </c>
    </row>
    <row r="471" spans="1:14" x14ac:dyDescent="0.25">
      <c r="A471" s="77">
        <v>4</v>
      </c>
      <c r="B471" s="550" t="s">
        <v>710</v>
      </c>
      <c r="C471" s="202" t="s">
        <v>711</v>
      </c>
      <c r="D471" s="201" t="s">
        <v>0</v>
      </c>
      <c r="E471" s="512" t="s">
        <v>1</v>
      </c>
      <c r="F471" s="586" t="s">
        <v>843</v>
      </c>
      <c r="G471" s="202" t="s">
        <v>624</v>
      </c>
      <c r="H471" s="201">
        <v>162</v>
      </c>
      <c r="I471" s="201" t="s">
        <v>852</v>
      </c>
      <c r="J471" s="77"/>
      <c r="K471" s="77" t="s">
        <v>6243</v>
      </c>
      <c r="N471" s="76">
        <v>74</v>
      </c>
    </row>
    <row r="472" spans="1:14" x14ac:dyDescent="0.25">
      <c r="A472" s="77">
        <v>4</v>
      </c>
      <c r="B472" s="550" t="s">
        <v>712</v>
      </c>
      <c r="C472" s="202" t="s">
        <v>713</v>
      </c>
      <c r="D472" s="201" t="s">
        <v>0</v>
      </c>
      <c r="E472" s="512" t="s">
        <v>1</v>
      </c>
      <c r="F472" s="586" t="s">
        <v>843</v>
      </c>
      <c r="G472" s="202" t="s">
        <v>624</v>
      </c>
      <c r="H472" s="201">
        <v>162</v>
      </c>
      <c r="I472" s="201" t="s">
        <v>852</v>
      </c>
      <c r="J472" s="77"/>
      <c r="K472" s="77" t="s">
        <v>6243</v>
      </c>
      <c r="N472" s="76">
        <v>75</v>
      </c>
    </row>
    <row r="473" spans="1:14" x14ac:dyDescent="0.25">
      <c r="A473" s="77">
        <v>4</v>
      </c>
      <c r="B473" s="550" t="s">
        <v>714</v>
      </c>
      <c r="C473" s="202" t="s">
        <v>715</v>
      </c>
      <c r="D473" s="201" t="s">
        <v>0</v>
      </c>
      <c r="E473" s="512" t="s">
        <v>1</v>
      </c>
      <c r="F473" s="586" t="s">
        <v>843</v>
      </c>
      <c r="G473" s="202" t="s">
        <v>624</v>
      </c>
      <c r="H473" s="201">
        <v>162</v>
      </c>
      <c r="I473" s="201" t="s">
        <v>851</v>
      </c>
      <c r="J473" s="77"/>
      <c r="K473" s="77" t="s">
        <v>6243</v>
      </c>
      <c r="N473" s="76">
        <v>76</v>
      </c>
    </row>
    <row r="474" spans="1:14" hidden="1" x14ac:dyDescent="0.25">
      <c r="A474" s="77">
        <v>4</v>
      </c>
      <c r="B474" s="550" t="s">
        <v>5815</v>
      </c>
      <c r="C474" s="202" t="s">
        <v>5817</v>
      </c>
      <c r="D474" s="201" t="s">
        <v>12</v>
      </c>
      <c r="E474" s="512" t="s">
        <v>13</v>
      </c>
      <c r="F474" s="586" t="s">
        <v>872</v>
      </c>
      <c r="G474" s="202" t="s">
        <v>873</v>
      </c>
      <c r="H474" s="201">
        <v>11</v>
      </c>
      <c r="I474" s="201">
        <v>41070</v>
      </c>
      <c r="J474" s="77"/>
      <c r="K474" s="77" t="s">
        <v>6250</v>
      </c>
      <c r="N474" s="76">
        <v>77</v>
      </c>
    </row>
    <row r="475" spans="1:14" hidden="1" x14ac:dyDescent="0.25">
      <c r="A475" s="77">
        <v>4</v>
      </c>
      <c r="B475" s="550" t="s">
        <v>5816</v>
      </c>
      <c r="C475" s="202" t="s">
        <v>5818</v>
      </c>
      <c r="D475" s="201" t="s">
        <v>12</v>
      </c>
      <c r="E475" s="512" t="s">
        <v>13</v>
      </c>
      <c r="F475" s="586" t="s">
        <v>874</v>
      </c>
      <c r="G475" s="202" t="s">
        <v>875</v>
      </c>
      <c r="H475" s="201">
        <v>11</v>
      </c>
      <c r="I475" s="201">
        <v>42070</v>
      </c>
      <c r="J475" s="77"/>
      <c r="K475" s="77" t="s">
        <v>6250</v>
      </c>
      <c r="N475" s="76">
        <v>78</v>
      </c>
    </row>
    <row r="476" spans="1:14" ht="21" hidden="1" customHeight="1" x14ac:dyDescent="0.7">
      <c r="A476" s="77">
        <v>4</v>
      </c>
      <c r="B476" s="591" t="s">
        <v>6305</v>
      </c>
      <c r="C476" s="521" t="s">
        <v>6306</v>
      </c>
      <c r="D476" s="524" t="s">
        <v>12</v>
      </c>
      <c r="E476" s="521" t="s">
        <v>13</v>
      </c>
      <c r="F476" s="587" t="s">
        <v>6307</v>
      </c>
      <c r="G476" s="521" t="s">
        <v>5812</v>
      </c>
      <c r="H476" s="524">
        <v>11</v>
      </c>
      <c r="I476" s="525"/>
      <c r="K476" s="555" t="s">
        <v>6250</v>
      </c>
      <c r="M476" s="529" t="s">
        <v>6304</v>
      </c>
      <c r="N476" s="76">
        <v>79</v>
      </c>
    </row>
    <row r="477" spans="1:14" ht="21" hidden="1" customHeight="1" x14ac:dyDescent="0.7">
      <c r="A477" s="77">
        <v>4</v>
      </c>
      <c r="B477" s="591" t="s">
        <v>6308</v>
      </c>
      <c r="C477" s="521" t="s">
        <v>6309</v>
      </c>
      <c r="D477" s="524" t="s">
        <v>12</v>
      </c>
      <c r="E477" s="521" t="s">
        <v>13</v>
      </c>
      <c r="F477" s="587" t="s">
        <v>6307</v>
      </c>
      <c r="G477" s="521" t="s">
        <v>5812</v>
      </c>
      <c r="H477" s="524">
        <v>11</v>
      </c>
      <c r="I477" s="525"/>
      <c r="K477" s="555" t="s">
        <v>6250</v>
      </c>
      <c r="M477" s="529" t="s">
        <v>6304</v>
      </c>
      <c r="N477" s="76">
        <v>80</v>
      </c>
    </row>
    <row r="478" spans="1:14" hidden="1" x14ac:dyDescent="0.25">
      <c r="A478" s="77">
        <v>4</v>
      </c>
      <c r="B478" s="550" t="s">
        <v>86</v>
      </c>
      <c r="C478" s="202" t="s">
        <v>87</v>
      </c>
      <c r="D478" s="201" t="s">
        <v>8</v>
      </c>
      <c r="E478" s="512" t="s">
        <v>9</v>
      </c>
      <c r="F478" s="586" t="s">
        <v>861</v>
      </c>
      <c r="G478" s="202" t="s">
        <v>862</v>
      </c>
      <c r="H478" s="201">
        <v>4</v>
      </c>
      <c r="I478" s="201" t="s">
        <v>843</v>
      </c>
      <c r="J478" s="77"/>
      <c r="K478" s="77" t="s">
        <v>6248</v>
      </c>
      <c r="N478" s="76">
        <v>81</v>
      </c>
    </row>
    <row r="479" spans="1:14" hidden="1" x14ac:dyDescent="0.25">
      <c r="A479" s="77">
        <v>4</v>
      </c>
      <c r="B479" s="550" t="s">
        <v>88</v>
      </c>
      <c r="C479" s="202" t="s">
        <v>965</v>
      </c>
      <c r="D479" s="201" t="s">
        <v>8</v>
      </c>
      <c r="E479" s="512" t="s">
        <v>9</v>
      </c>
      <c r="F479" s="586" t="s">
        <v>859</v>
      </c>
      <c r="G479" s="202" t="s">
        <v>5834</v>
      </c>
      <c r="H479" s="201">
        <v>4</v>
      </c>
      <c r="I479" s="201" t="s">
        <v>843</v>
      </c>
      <c r="J479" s="77"/>
      <c r="K479" s="77" t="s">
        <v>6248</v>
      </c>
      <c r="N479" s="76">
        <v>82</v>
      </c>
    </row>
    <row r="480" spans="1:14" hidden="1" x14ac:dyDescent="0.25">
      <c r="A480" s="77">
        <v>4</v>
      </c>
      <c r="B480" s="550" t="s">
        <v>89</v>
      </c>
      <c r="C480" s="202" t="s">
        <v>966</v>
      </c>
      <c r="D480" s="201" t="s">
        <v>8</v>
      </c>
      <c r="E480" s="512" t="s">
        <v>9</v>
      </c>
      <c r="F480" s="586" t="s">
        <v>860</v>
      </c>
      <c r="G480" s="202" t="s">
        <v>5835</v>
      </c>
      <c r="H480" s="201">
        <v>4</v>
      </c>
      <c r="I480" s="201" t="s">
        <v>844</v>
      </c>
      <c r="J480" s="77"/>
      <c r="K480" s="77" t="s">
        <v>6248</v>
      </c>
      <c r="N480" s="76">
        <v>83</v>
      </c>
    </row>
    <row r="481" spans="1:14" hidden="1" x14ac:dyDescent="0.25">
      <c r="A481" s="77">
        <v>4</v>
      </c>
      <c r="B481" s="550" t="s">
        <v>90</v>
      </c>
      <c r="C481" s="202" t="s">
        <v>5847</v>
      </c>
      <c r="D481" s="201" t="s">
        <v>8</v>
      </c>
      <c r="E481" s="512" t="s">
        <v>9</v>
      </c>
      <c r="F481" s="586" t="s">
        <v>859</v>
      </c>
      <c r="G481" s="202" t="s">
        <v>5834</v>
      </c>
      <c r="H481" s="201">
        <v>4</v>
      </c>
      <c r="I481" s="201" t="s">
        <v>844</v>
      </c>
      <c r="J481" s="77"/>
      <c r="K481" s="77" t="s">
        <v>6248</v>
      </c>
      <c r="N481" s="76">
        <v>84</v>
      </c>
    </row>
    <row r="482" spans="1:14" hidden="1" x14ac:dyDescent="0.25">
      <c r="A482" s="77">
        <v>4</v>
      </c>
      <c r="B482" s="550" t="s">
        <v>91</v>
      </c>
      <c r="C482" s="202" t="s">
        <v>5848</v>
      </c>
      <c r="D482" s="201" t="s">
        <v>8</v>
      </c>
      <c r="E482" s="512" t="s">
        <v>9</v>
      </c>
      <c r="F482" s="586" t="s">
        <v>860</v>
      </c>
      <c r="G482" s="202" t="s">
        <v>5835</v>
      </c>
      <c r="H482" s="201">
        <v>4</v>
      </c>
      <c r="I482" s="201" t="s">
        <v>844</v>
      </c>
      <c r="J482" s="77"/>
      <c r="K482" s="77" t="s">
        <v>6248</v>
      </c>
      <c r="N482" s="76">
        <v>85</v>
      </c>
    </row>
    <row r="483" spans="1:14" hidden="1" x14ac:dyDescent="0.25">
      <c r="A483" s="77">
        <v>4</v>
      </c>
      <c r="B483" s="551" t="s">
        <v>5844</v>
      </c>
      <c r="C483" s="513" t="s">
        <v>5842</v>
      </c>
      <c r="D483" s="201" t="s">
        <v>8</v>
      </c>
      <c r="E483" s="512" t="s">
        <v>9</v>
      </c>
      <c r="F483" s="586" t="s">
        <v>859</v>
      </c>
      <c r="G483" s="202" t="s">
        <v>5834</v>
      </c>
      <c r="H483" s="201">
        <v>4</v>
      </c>
      <c r="I483" s="201" t="s">
        <v>844</v>
      </c>
      <c r="J483" s="77"/>
      <c r="K483" s="77" t="s">
        <v>6248</v>
      </c>
      <c r="N483" s="76">
        <v>86</v>
      </c>
    </row>
    <row r="484" spans="1:14" hidden="1" x14ac:dyDescent="0.25">
      <c r="A484" s="77">
        <v>4</v>
      </c>
      <c r="B484" s="551" t="s">
        <v>5845</v>
      </c>
      <c r="C484" s="513" t="s">
        <v>5843</v>
      </c>
      <c r="D484" s="201" t="s">
        <v>8</v>
      </c>
      <c r="E484" s="512" t="s">
        <v>9</v>
      </c>
      <c r="F484" s="586" t="s">
        <v>860</v>
      </c>
      <c r="G484" s="202" t="s">
        <v>5835</v>
      </c>
      <c r="H484" s="201">
        <v>4</v>
      </c>
      <c r="I484" s="201" t="s">
        <v>844</v>
      </c>
      <c r="J484" s="77"/>
      <c r="K484" s="77" t="s">
        <v>6248</v>
      </c>
      <c r="N484" s="76">
        <v>87</v>
      </c>
    </row>
    <row r="485" spans="1:14" hidden="1" x14ac:dyDescent="0.25">
      <c r="A485" s="77">
        <v>4</v>
      </c>
      <c r="B485" s="550" t="s">
        <v>92</v>
      </c>
      <c r="C485" s="202" t="s">
        <v>93</v>
      </c>
      <c r="D485" s="201" t="s">
        <v>8</v>
      </c>
      <c r="E485" s="512" t="s">
        <v>9</v>
      </c>
      <c r="F485" s="586" t="s">
        <v>861</v>
      </c>
      <c r="G485" s="202" t="s">
        <v>862</v>
      </c>
      <c r="H485" s="201">
        <v>4</v>
      </c>
      <c r="I485" s="201" t="s">
        <v>843</v>
      </c>
      <c r="J485" s="77"/>
      <c r="K485" s="77" t="s">
        <v>6248</v>
      </c>
      <c r="N485" s="76">
        <v>88</v>
      </c>
    </row>
    <row r="486" spans="1:14" hidden="1" x14ac:dyDescent="0.25">
      <c r="A486" s="77">
        <v>4</v>
      </c>
      <c r="B486" s="550" t="s">
        <v>94</v>
      </c>
      <c r="C486" s="202" t="s">
        <v>95</v>
      </c>
      <c r="D486" s="201" t="s">
        <v>8</v>
      </c>
      <c r="E486" s="512" t="s">
        <v>9</v>
      </c>
      <c r="F486" s="586" t="s">
        <v>860</v>
      </c>
      <c r="G486" s="202" t="s">
        <v>5835</v>
      </c>
      <c r="H486" s="201">
        <v>4</v>
      </c>
      <c r="I486" s="201" t="s">
        <v>844</v>
      </c>
      <c r="J486" s="77"/>
      <c r="K486" s="77" t="s">
        <v>6248</v>
      </c>
      <c r="N486" s="76">
        <v>89</v>
      </c>
    </row>
    <row r="487" spans="1:14" hidden="1" x14ac:dyDescent="0.25">
      <c r="A487" s="77">
        <v>4</v>
      </c>
      <c r="B487" s="550" t="s">
        <v>96</v>
      </c>
      <c r="C487" s="202" t="s">
        <v>967</v>
      </c>
      <c r="D487" s="201" t="s">
        <v>8</v>
      </c>
      <c r="E487" s="512" t="s">
        <v>9</v>
      </c>
      <c r="F487" s="586" t="s">
        <v>859</v>
      </c>
      <c r="G487" s="202" t="s">
        <v>5834</v>
      </c>
      <c r="H487" s="201">
        <v>4</v>
      </c>
      <c r="I487" s="201" t="s">
        <v>839</v>
      </c>
      <c r="J487" s="77"/>
      <c r="K487" s="77" t="s">
        <v>6248</v>
      </c>
      <c r="N487" s="76">
        <v>90</v>
      </c>
    </row>
    <row r="488" spans="1:14" hidden="1" x14ac:dyDescent="0.25">
      <c r="A488" s="77">
        <v>4</v>
      </c>
      <c r="B488" s="550" t="s">
        <v>97</v>
      </c>
      <c r="C488" s="202" t="s">
        <v>968</v>
      </c>
      <c r="D488" s="201" t="s">
        <v>8</v>
      </c>
      <c r="E488" s="512" t="s">
        <v>9</v>
      </c>
      <c r="F488" s="586" t="s">
        <v>860</v>
      </c>
      <c r="G488" s="202" t="s">
        <v>5835</v>
      </c>
      <c r="H488" s="201">
        <v>4</v>
      </c>
      <c r="I488" s="201" t="s">
        <v>843</v>
      </c>
      <c r="J488" s="77"/>
      <c r="K488" s="77" t="s">
        <v>6248</v>
      </c>
      <c r="N488" s="76">
        <v>91</v>
      </c>
    </row>
    <row r="489" spans="1:14" hidden="1" x14ac:dyDescent="0.25">
      <c r="A489" s="77">
        <v>4</v>
      </c>
      <c r="B489" s="550" t="s">
        <v>98</v>
      </c>
      <c r="C489" s="202" t="s">
        <v>969</v>
      </c>
      <c r="D489" s="201" t="s">
        <v>8</v>
      </c>
      <c r="E489" s="512" t="s">
        <v>9</v>
      </c>
      <c r="F489" s="586" t="s">
        <v>858</v>
      </c>
      <c r="G489" s="202" t="s">
        <v>627</v>
      </c>
      <c r="H489" s="201">
        <v>4</v>
      </c>
      <c r="I489" s="201" t="s">
        <v>839</v>
      </c>
      <c r="J489" s="77"/>
      <c r="K489" s="77" t="s">
        <v>6248</v>
      </c>
      <c r="N489" s="76">
        <v>92</v>
      </c>
    </row>
    <row r="490" spans="1:14" hidden="1" x14ac:dyDescent="0.25">
      <c r="A490" s="77">
        <v>4</v>
      </c>
      <c r="B490" s="550" t="s">
        <v>99</v>
      </c>
      <c r="C490" s="202" t="s">
        <v>970</v>
      </c>
      <c r="D490" s="201" t="s">
        <v>8</v>
      </c>
      <c r="E490" s="512" t="s">
        <v>9</v>
      </c>
      <c r="F490" s="586" t="s">
        <v>858</v>
      </c>
      <c r="G490" s="202" t="s">
        <v>627</v>
      </c>
      <c r="H490" s="201">
        <v>4</v>
      </c>
      <c r="I490" s="201" t="s">
        <v>844</v>
      </c>
      <c r="J490" s="77"/>
      <c r="K490" s="77" t="s">
        <v>6248</v>
      </c>
      <c r="N490" s="76">
        <v>93</v>
      </c>
    </row>
    <row r="491" spans="1:14" hidden="1" x14ac:dyDescent="0.25">
      <c r="A491" s="77">
        <v>4</v>
      </c>
      <c r="B491" s="550" t="s">
        <v>100</v>
      </c>
      <c r="C491" s="202" t="s">
        <v>971</v>
      </c>
      <c r="D491" s="201" t="s">
        <v>8</v>
      </c>
      <c r="E491" s="512" t="s">
        <v>9</v>
      </c>
      <c r="F491" s="586" t="s">
        <v>858</v>
      </c>
      <c r="G491" s="202" t="s">
        <v>627</v>
      </c>
      <c r="H491" s="201">
        <v>4</v>
      </c>
      <c r="I491" s="201" t="s">
        <v>844</v>
      </c>
      <c r="J491" s="77"/>
      <c r="K491" s="77" t="s">
        <v>6248</v>
      </c>
      <c r="N491" s="76">
        <v>94</v>
      </c>
    </row>
    <row r="492" spans="1:14" hidden="1" x14ac:dyDescent="0.25">
      <c r="A492" s="77">
        <v>4</v>
      </c>
      <c r="B492" s="550" t="s">
        <v>101</v>
      </c>
      <c r="C492" s="202" t="s">
        <v>972</v>
      </c>
      <c r="D492" s="201" t="s">
        <v>8</v>
      </c>
      <c r="E492" s="512" t="s">
        <v>9</v>
      </c>
      <c r="F492" s="586" t="s">
        <v>858</v>
      </c>
      <c r="G492" s="202" t="s">
        <v>627</v>
      </c>
      <c r="H492" s="201">
        <v>4</v>
      </c>
      <c r="I492" s="201" t="s">
        <v>839</v>
      </c>
      <c r="J492" s="77"/>
      <c r="K492" s="77" t="s">
        <v>6248</v>
      </c>
      <c r="N492" s="76">
        <v>95</v>
      </c>
    </row>
    <row r="493" spans="1:14" hidden="1" x14ac:dyDescent="0.25">
      <c r="A493" s="77">
        <v>4</v>
      </c>
      <c r="B493" s="550" t="s">
        <v>736</v>
      </c>
      <c r="C493" s="202" t="s">
        <v>102</v>
      </c>
      <c r="D493" s="201" t="s">
        <v>8</v>
      </c>
      <c r="E493" s="512" t="s">
        <v>9</v>
      </c>
      <c r="F493" s="586" t="s">
        <v>861</v>
      </c>
      <c r="G493" s="202" t="s">
        <v>862</v>
      </c>
      <c r="H493" s="201">
        <v>4</v>
      </c>
      <c r="I493" s="201" t="s">
        <v>843</v>
      </c>
      <c r="J493" s="77"/>
      <c r="K493" s="77" t="s">
        <v>6248</v>
      </c>
      <c r="N493" s="76">
        <v>96</v>
      </c>
    </row>
    <row r="494" spans="1:14" hidden="1" x14ac:dyDescent="0.25">
      <c r="A494" s="77">
        <v>4</v>
      </c>
      <c r="B494" s="550" t="s">
        <v>737</v>
      </c>
      <c r="C494" s="202" t="s">
        <v>103</v>
      </c>
      <c r="D494" s="201" t="s">
        <v>8</v>
      </c>
      <c r="E494" s="512" t="s">
        <v>9</v>
      </c>
      <c r="F494" s="586" t="s">
        <v>861</v>
      </c>
      <c r="G494" s="202" t="s">
        <v>862</v>
      </c>
      <c r="H494" s="201">
        <v>4</v>
      </c>
      <c r="I494" s="201" t="s">
        <v>843</v>
      </c>
      <c r="J494" s="77"/>
      <c r="K494" s="77" t="s">
        <v>6248</v>
      </c>
      <c r="N494" s="76">
        <v>97</v>
      </c>
    </row>
    <row r="495" spans="1:14" hidden="1" x14ac:dyDescent="0.25">
      <c r="A495" s="77">
        <v>4</v>
      </c>
      <c r="B495" s="550" t="s">
        <v>1142</v>
      </c>
      <c r="C495" s="202" t="s">
        <v>1143</v>
      </c>
      <c r="D495" s="201" t="s">
        <v>10</v>
      </c>
      <c r="E495" s="512" t="s">
        <v>11</v>
      </c>
      <c r="F495" s="586" t="s">
        <v>863</v>
      </c>
      <c r="G495" s="202" t="s">
        <v>628</v>
      </c>
      <c r="H495" s="201">
        <v>4</v>
      </c>
      <c r="I495" s="201" t="s">
        <v>844</v>
      </c>
      <c r="J495" s="77"/>
      <c r="K495" s="77" t="s">
        <v>6249</v>
      </c>
      <c r="N495" s="76">
        <v>98</v>
      </c>
    </row>
    <row r="496" spans="1:14" s="78" customFormat="1" hidden="1" x14ac:dyDescent="0.25">
      <c r="A496" s="77">
        <v>4</v>
      </c>
      <c r="B496" s="550" t="s">
        <v>104</v>
      </c>
      <c r="C496" s="202" t="s">
        <v>973</v>
      </c>
      <c r="D496" s="201" t="s">
        <v>10</v>
      </c>
      <c r="E496" s="512" t="s">
        <v>11</v>
      </c>
      <c r="F496" s="586" t="s">
        <v>864</v>
      </c>
      <c r="G496" s="202" t="s">
        <v>865</v>
      </c>
      <c r="H496" s="201">
        <v>4</v>
      </c>
      <c r="I496" s="201" t="s">
        <v>841</v>
      </c>
      <c r="J496" s="77"/>
      <c r="K496" s="77" t="s">
        <v>6249</v>
      </c>
      <c r="L496" s="77"/>
      <c r="M496" s="76"/>
      <c r="N496" s="76">
        <v>99</v>
      </c>
    </row>
    <row r="497" spans="1:14" hidden="1" x14ac:dyDescent="0.25">
      <c r="A497" s="77">
        <v>4</v>
      </c>
      <c r="B497" s="550" t="s">
        <v>105</v>
      </c>
      <c r="C497" s="202" t="s">
        <v>974</v>
      </c>
      <c r="D497" s="201" t="s">
        <v>10</v>
      </c>
      <c r="E497" s="512" t="s">
        <v>11</v>
      </c>
      <c r="F497" s="586" t="s">
        <v>866</v>
      </c>
      <c r="G497" s="202" t="s">
        <v>867</v>
      </c>
      <c r="H497" s="201">
        <v>4</v>
      </c>
      <c r="I497" s="201" t="s">
        <v>841</v>
      </c>
      <c r="J497" s="77"/>
      <c r="K497" s="77" t="s">
        <v>6249</v>
      </c>
      <c r="M497" s="78"/>
      <c r="N497" s="76">
        <v>100</v>
      </c>
    </row>
    <row r="498" spans="1:14" hidden="1" x14ac:dyDescent="0.25">
      <c r="A498" s="77">
        <v>4</v>
      </c>
      <c r="B498" s="550" t="s">
        <v>106</v>
      </c>
      <c r="C498" s="202" t="s">
        <v>975</v>
      </c>
      <c r="D498" s="201" t="s">
        <v>10</v>
      </c>
      <c r="E498" s="512" t="s">
        <v>11</v>
      </c>
      <c r="F498" s="586" t="s">
        <v>863</v>
      </c>
      <c r="G498" s="202" t="s">
        <v>628</v>
      </c>
      <c r="H498" s="201">
        <v>4</v>
      </c>
      <c r="I498" s="201" t="s">
        <v>844</v>
      </c>
      <c r="J498" s="77"/>
      <c r="K498" s="77" t="s">
        <v>6249</v>
      </c>
      <c r="N498" s="76">
        <v>101</v>
      </c>
    </row>
    <row r="499" spans="1:14" hidden="1" x14ac:dyDescent="0.25">
      <c r="A499" s="77">
        <v>4</v>
      </c>
      <c r="B499" s="550" t="s">
        <v>107</v>
      </c>
      <c r="C499" s="202" t="s">
        <v>976</v>
      </c>
      <c r="D499" s="201" t="s">
        <v>10</v>
      </c>
      <c r="E499" s="512" t="s">
        <v>11</v>
      </c>
      <c r="F499" s="586" t="s">
        <v>863</v>
      </c>
      <c r="G499" s="202" t="s">
        <v>628</v>
      </c>
      <c r="H499" s="201">
        <v>4</v>
      </c>
      <c r="I499" s="201" t="s">
        <v>844</v>
      </c>
      <c r="J499" s="77"/>
      <c r="K499" s="77" t="s">
        <v>6249</v>
      </c>
      <c r="N499" s="76">
        <v>102</v>
      </c>
    </row>
    <row r="500" spans="1:14" hidden="1" x14ac:dyDescent="0.25">
      <c r="A500" s="77">
        <v>4</v>
      </c>
      <c r="B500" s="550" t="s">
        <v>108</v>
      </c>
      <c r="C500" s="202" t="s">
        <v>977</v>
      </c>
      <c r="D500" s="201" t="s">
        <v>10</v>
      </c>
      <c r="E500" s="512" t="s">
        <v>11</v>
      </c>
      <c r="F500" s="586" t="s">
        <v>864</v>
      </c>
      <c r="G500" s="202" t="s">
        <v>865</v>
      </c>
      <c r="H500" s="201">
        <v>4</v>
      </c>
      <c r="I500" s="201" t="s">
        <v>844</v>
      </c>
      <c r="J500" s="77"/>
      <c r="K500" s="77" t="s">
        <v>6249</v>
      </c>
      <c r="N500" s="76">
        <v>103</v>
      </c>
    </row>
    <row r="501" spans="1:14" hidden="1" x14ac:dyDescent="0.25">
      <c r="A501" s="77">
        <v>4</v>
      </c>
      <c r="B501" s="550" t="s">
        <v>109</v>
      </c>
      <c r="C501" s="202" t="s">
        <v>978</v>
      </c>
      <c r="D501" s="201" t="s">
        <v>10</v>
      </c>
      <c r="E501" s="512" t="s">
        <v>11</v>
      </c>
      <c r="F501" s="586" t="s">
        <v>863</v>
      </c>
      <c r="G501" s="202" t="s">
        <v>628</v>
      </c>
      <c r="H501" s="201">
        <v>4</v>
      </c>
      <c r="I501" s="201" t="s">
        <v>843</v>
      </c>
      <c r="J501" s="77"/>
      <c r="K501" s="77" t="s">
        <v>6249</v>
      </c>
      <c r="N501" s="76">
        <v>104</v>
      </c>
    </row>
    <row r="502" spans="1:14" hidden="1" x14ac:dyDescent="0.25">
      <c r="A502" s="77">
        <v>4</v>
      </c>
      <c r="B502" s="550" t="s">
        <v>110</v>
      </c>
      <c r="C502" s="202" t="s">
        <v>979</v>
      </c>
      <c r="D502" s="201" t="s">
        <v>10</v>
      </c>
      <c r="E502" s="512" t="s">
        <v>11</v>
      </c>
      <c r="F502" s="586" t="s">
        <v>863</v>
      </c>
      <c r="G502" s="202" t="s">
        <v>628</v>
      </c>
      <c r="H502" s="201">
        <v>4</v>
      </c>
      <c r="I502" s="201" t="s">
        <v>843</v>
      </c>
      <c r="J502" s="77"/>
      <c r="K502" s="77" t="s">
        <v>6249</v>
      </c>
      <c r="N502" s="76">
        <v>105</v>
      </c>
    </row>
    <row r="503" spans="1:14" hidden="1" x14ac:dyDescent="0.25">
      <c r="A503" s="77">
        <v>4</v>
      </c>
      <c r="B503" s="550" t="s">
        <v>738</v>
      </c>
      <c r="C503" s="202" t="s">
        <v>739</v>
      </c>
      <c r="D503" s="201" t="s">
        <v>10</v>
      </c>
      <c r="E503" s="512" t="s">
        <v>11</v>
      </c>
      <c r="F503" s="586" t="s">
        <v>864</v>
      </c>
      <c r="G503" s="202" t="s">
        <v>865</v>
      </c>
      <c r="H503" s="201">
        <v>4</v>
      </c>
      <c r="I503" s="201" t="s">
        <v>839</v>
      </c>
      <c r="J503" s="77"/>
      <c r="K503" s="77" t="s">
        <v>6249</v>
      </c>
      <c r="N503" s="76">
        <v>106</v>
      </c>
    </row>
    <row r="504" spans="1:14" hidden="1" x14ac:dyDescent="0.25">
      <c r="A504" s="77">
        <v>4</v>
      </c>
      <c r="B504" s="550" t="s">
        <v>740</v>
      </c>
      <c r="C504" s="202" t="s">
        <v>741</v>
      </c>
      <c r="D504" s="201" t="s">
        <v>10</v>
      </c>
      <c r="E504" s="512" t="s">
        <v>11</v>
      </c>
      <c r="F504" s="586" t="s">
        <v>866</v>
      </c>
      <c r="G504" s="202" t="s">
        <v>867</v>
      </c>
      <c r="H504" s="201">
        <v>4</v>
      </c>
      <c r="I504" s="201" t="s">
        <v>839</v>
      </c>
      <c r="J504" s="77"/>
      <c r="K504" s="77" t="s">
        <v>6249</v>
      </c>
      <c r="N504" s="76">
        <v>107</v>
      </c>
    </row>
    <row r="505" spans="1:14" hidden="1" x14ac:dyDescent="0.25">
      <c r="A505" s="77">
        <v>4</v>
      </c>
      <c r="B505" s="550" t="s">
        <v>742</v>
      </c>
      <c r="C505" s="202" t="s">
        <v>743</v>
      </c>
      <c r="D505" s="201" t="s">
        <v>10</v>
      </c>
      <c r="E505" s="512" t="s">
        <v>11</v>
      </c>
      <c r="F505" s="586" t="s">
        <v>866</v>
      </c>
      <c r="G505" s="202" t="s">
        <v>867</v>
      </c>
      <c r="H505" s="201">
        <v>4</v>
      </c>
      <c r="I505" s="201" t="s">
        <v>841</v>
      </c>
      <c r="J505" s="77"/>
      <c r="K505" s="77" t="s">
        <v>6249</v>
      </c>
      <c r="N505" s="76">
        <v>108</v>
      </c>
    </row>
    <row r="506" spans="1:14" hidden="1" x14ac:dyDescent="0.25">
      <c r="A506" s="77">
        <v>4</v>
      </c>
      <c r="B506" s="550" t="s">
        <v>744</v>
      </c>
      <c r="C506" s="202" t="s">
        <v>745</v>
      </c>
      <c r="D506" s="201" t="s">
        <v>10</v>
      </c>
      <c r="E506" s="512" t="s">
        <v>11</v>
      </c>
      <c r="F506" s="586" t="s">
        <v>863</v>
      </c>
      <c r="G506" s="202" t="s">
        <v>628</v>
      </c>
      <c r="H506" s="201">
        <v>4</v>
      </c>
      <c r="I506" s="201" t="s">
        <v>843</v>
      </c>
      <c r="J506" s="77"/>
      <c r="K506" s="77" t="s">
        <v>6249</v>
      </c>
      <c r="N506" s="76">
        <v>109</v>
      </c>
    </row>
    <row r="507" spans="1:14" hidden="1" x14ac:dyDescent="0.25">
      <c r="A507" s="77">
        <v>4</v>
      </c>
      <c r="B507" s="550" t="s">
        <v>746</v>
      </c>
      <c r="C507" s="202" t="s">
        <v>747</v>
      </c>
      <c r="D507" s="201" t="s">
        <v>10</v>
      </c>
      <c r="E507" s="512" t="s">
        <v>11</v>
      </c>
      <c r="F507" s="586" t="s">
        <v>864</v>
      </c>
      <c r="G507" s="202" t="s">
        <v>865</v>
      </c>
      <c r="H507" s="201">
        <v>4</v>
      </c>
      <c r="I507" s="201" t="s">
        <v>844</v>
      </c>
      <c r="J507" s="77"/>
      <c r="K507" s="77" t="s">
        <v>6249</v>
      </c>
      <c r="N507" s="76">
        <v>110</v>
      </c>
    </row>
    <row r="508" spans="1:14" hidden="1" x14ac:dyDescent="0.25">
      <c r="A508" s="77">
        <v>4</v>
      </c>
      <c r="B508" s="550" t="s">
        <v>748</v>
      </c>
      <c r="C508" s="202" t="s">
        <v>111</v>
      </c>
      <c r="D508" s="201" t="s">
        <v>10</v>
      </c>
      <c r="E508" s="512" t="s">
        <v>11</v>
      </c>
      <c r="F508" s="586" t="s">
        <v>868</v>
      </c>
      <c r="G508" s="202" t="s">
        <v>869</v>
      </c>
      <c r="H508" s="201">
        <v>4</v>
      </c>
      <c r="I508" s="201" t="s">
        <v>843</v>
      </c>
      <c r="J508" s="77"/>
      <c r="K508" s="77" t="s">
        <v>6249</v>
      </c>
      <c r="N508" s="76">
        <v>111</v>
      </c>
    </row>
    <row r="509" spans="1:14" hidden="1" x14ac:dyDescent="0.25">
      <c r="A509" s="77">
        <v>4</v>
      </c>
      <c r="B509" s="550" t="s">
        <v>749</v>
      </c>
      <c r="C509" s="202" t="s">
        <v>750</v>
      </c>
      <c r="D509" s="201" t="s">
        <v>10</v>
      </c>
      <c r="E509" s="512" t="s">
        <v>11</v>
      </c>
      <c r="F509" s="586" t="s">
        <v>868</v>
      </c>
      <c r="G509" s="202" t="s">
        <v>869</v>
      </c>
      <c r="H509" s="201">
        <v>4</v>
      </c>
      <c r="I509" s="201" t="s">
        <v>843</v>
      </c>
      <c r="J509" s="77"/>
      <c r="K509" s="77" t="s">
        <v>6249</v>
      </c>
      <c r="N509" s="76">
        <v>112</v>
      </c>
    </row>
    <row r="510" spans="1:14" hidden="1" x14ac:dyDescent="0.25">
      <c r="A510" s="77">
        <v>4</v>
      </c>
      <c r="B510" s="550" t="s">
        <v>1132</v>
      </c>
      <c r="C510" s="202" t="s">
        <v>6311</v>
      </c>
      <c r="D510" s="201" t="s">
        <v>10</v>
      </c>
      <c r="E510" s="512" t="s">
        <v>11</v>
      </c>
      <c r="F510" s="586" t="s">
        <v>863</v>
      </c>
      <c r="G510" s="202" t="s">
        <v>628</v>
      </c>
      <c r="H510" s="201">
        <v>4</v>
      </c>
      <c r="I510" s="201">
        <v>44010</v>
      </c>
      <c r="J510" s="77"/>
      <c r="K510" s="77" t="s">
        <v>6249</v>
      </c>
      <c r="N510" s="76">
        <v>113</v>
      </c>
    </row>
    <row r="511" spans="1:14" hidden="1" x14ac:dyDescent="0.25">
      <c r="A511" s="77">
        <v>4</v>
      </c>
      <c r="B511" s="550" t="s">
        <v>127</v>
      </c>
      <c r="C511" s="202" t="s">
        <v>980</v>
      </c>
      <c r="D511" s="201" t="s">
        <v>12</v>
      </c>
      <c r="E511" s="512" t="s">
        <v>13</v>
      </c>
      <c r="F511" s="586" t="s">
        <v>872</v>
      </c>
      <c r="G511" s="202" t="s">
        <v>873</v>
      </c>
      <c r="H511" s="201">
        <v>4</v>
      </c>
      <c r="I511" s="201" t="s">
        <v>843</v>
      </c>
      <c r="J511" s="77"/>
      <c r="K511" s="77" t="s">
        <v>6250</v>
      </c>
      <c r="N511" s="76">
        <v>114</v>
      </c>
    </row>
    <row r="512" spans="1:14" hidden="1" x14ac:dyDescent="0.25">
      <c r="A512" s="77">
        <v>4</v>
      </c>
      <c r="B512" s="550" t="s">
        <v>128</v>
      </c>
      <c r="C512" s="202" t="s">
        <v>981</v>
      </c>
      <c r="D512" s="201" t="s">
        <v>12</v>
      </c>
      <c r="E512" s="512" t="s">
        <v>13</v>
      </c>
      <c r="F512" s="586" t="s">
        <v>872</v>
      </c>
      <c r="G512" s="202" t="s">
        <v>873</v>
      </c>
      <c r="H512" s="201">
        <v>8</v>
      </c>
      <c r="I512" s="201" t="s">
        <v>858</v>
      </c>
      <c r="J512" s="77"/>
      <c r="K512" s="77" t="s">
        <v>6250</v>
      </c>
      <c r="N512" s="76">
        <v>115</v>
      </c>
    </row>
    <row r="513" spans="1:14" hidden="1" x14ac:dyDescent="0.25">
      <c r="A513" s="77">
        <v>4</v>
      </c>
      <c r="B513" s="550" t="s">
        <v>129</v>
      </c>
      <c r="C513" s="202" t="s">
        <v>982</v>
      </c>
      <c r="D513" s="201" t="s">
        <v>12</v>
      </c>
      <c r="E513" s="512" t="s">
        <v>13</v>
      </c>
      <c r="F513" s="586" t="s">
        <v>872</v>
      </c>
      <c r="G513" s="202" t="s">
        <v>873</v>
      </c>
      <c r="H513" s="201">
        <v>8</v>
      </c>
      <c r="I513" s="201" t="s">
        <v>858</v>
      </c>
      <c r="J513" s="77"/>
      <c r="K513" s="77" t="s">
        <v>6250</v>
      </c>
      <c r="N513" s="76">
        <v>116</v>
      </c>
    </row>
    <row r="514" spans="1:14" hidden="1" x14ac:dyDescent="0.25">
      <c r="A514" s="77">
        <v>4</v>
      </c>
      <c r="B514" s="550" t="s">
        <v>130</v>
      </c>
      <c r="C514" s="202" t="s">
        <v>131</v>
      </c>
      <c r="D514" s="201" t="s">
        <v>12</v>
      </c>
      <c r="E514" s="512" t="s">
        <v>13</v>
      </c>
      <c r="F514" s="586" t="s">
        <v>870</v>
      </c>
      <c r="G514" s="202" t="s">
        <v>871</v>
      </c>
      <c r="H514" s="201">
        <v>8</v>
      </c>
      <c r="I514" s="201" t="s">
        <v>858</v>
      </c>
      <c r="J514" s="77"/>
      <c r="K514" s="77" t="s">
        <v>6250</v>
      </c>
      <c r="N514" s="76">
        <v>117</v>
      </c>
    </row>
    <row r="515" spans="1:14" hidden="1" x14ac:dyDescent="0.25">
      <c r="A515" s="77">
        <v>4</v>
      </c>
      <c r="B515" s="550" t="s">
        <v>132</v>
      </c>
      <c r="C515" s="202" t="s">
        <v>133</v>
      </c>
      <c r="D515" s="201" t="s">
        <v>12</v>
      </c>
      <c r="E515" s="512" t="s">
        <v>13</v>
      </c>
      <c r="F515" s="586" t="s">
        <v>870</v>
      </c>
      <c r="G515" s="202" t="s">
        <v>871</v>
      </c>
      <c r="H515" s="201">
        <v>8</v>
      </c>
      <c r="I515" s="201" t="s">
        <v>861</v>
      </c>
      <c r="J515" s="77"/>
      <c r="K515" s="77" t="s">
        <v>6250</v>
      </c>
      <c r="N515" s="76">
        <v>118</v>
      </c>
    </row>
    <row r="516" spans="1:14" hidden="1" x14ac:dyDescent="0.25">
      <c r="A516" s="77">
        <v>4</v>
      </c>
      <c r="B516" s="550" t="s">
        <v>751</v>
      </c>
      <c r="C516" s="202" t="s">
        <v>752</v>
      </c>
      <c r="D516" s="201" t="s">
        <v>12</v>
      </c>
      <c r="E516" s="512" t="s">
        <v>13</v>
      </c>
      <c r="F516" s="586" t="s">
        <v>872</v>
      </c>
      <c r="G516" s="202" t="s">
        <v>873</v>
      </c>
      <c r="H516" s="201">
        <v>4</v>
      </c>
      <c r="I516" s="201" t="s">
        <v>843</v>
      </c>
      <c r="J516" s="77"/>
      <c r="K516" s="77" t="s">
        <v>6250</v>
      </c>
      <c r="N516" s="76">
        <v>119</v>
      </c>
    </row>
    <row r="517" spans="1:14" hidden="1" x14ac:dyDescent="0.25">
      <c r="A517" s="77">
        <v>4</v>
      </c>
      <c r="B517" s="550" t="s">
        <v>753</v>
      </c>
      <c r="C517" s="202" t="s">
        <v>754</v>
      </c>
      <c r="D517" s="201" t="s">
        <v>12</v>
      </c>
      <c r="E517" s="512" t="s">
        <v>13</v>
      </c>
      <c r="F517" s="586" t="s">
        <v>874</v>
      </c>
      <c r="G517" s="202" t="s">
        <v>875</v>
      </c>
      <c r="H517" s="201">
        <v>4</v>
      </c>
      <c r="I517" s="201" t="s">
        <v>843</v>
      </c>
      <c r="J517" s="77"/>
      <c r="K517" s="77" t="s">
        <v>6250</v>
      </c>
      <c r="N517" s="76">
        <v>120</v>
      </c>
    </row>
    <row r="518" spans="1:14" hidden="1" x14ac:dyDescent="0.25">
      <c r="A518" s="77">
        <v>4</v>
      </c>
      <c r="B518" s="550" t="s">
        <v>755</v>
      </c>
      <c r="C518" s="202" t="s">
        <v>756</v>
      </c>
      <c r="D518" s="201" t="s">
        <v>12</v>
      </c>
      <c r="E518" s="512" t="s">
        <v>13</v>
      </c>
      <c r="F518" s="586" t="s">
        <v>872</v>
      </c>
      <c r="G518" s="202" t="s">
        <v>873</v>
      </c>
      <c r="H518" s="201">
        <v>8</v>
      </c>
      <c r="I518" s="201" t="s">
        <v>858</v>
      </c>
      <c r="J518" s="77"/>
      <c r="K518" s="77" t="s">
        <v>6250</v>
      </c>
      <c r="N518" s="76">
        <v>121</v>
      </c>
    </row>
    <row r="519" spans="1:14" hidden="1" x14ac:dyDescent="0.25">
      <c r="A519" s="77">
        <v>4</v>
      </c>
      <c r="B519" s="550" t="s">
        <v>757</v>
      </c>
      <c r="C519" s="202" t="s">
        <v>758</v>
      </c>
      <c r="D519" s="201" t="s">
        <v>12</v>
      </c>
      <c r="E519" s="512" t="s">
        <v>13</v>
      </c>
      <c r="F519" s="586" t="s">
        <v>870</v>
      </c>
      <c r="G519" s="202" t="s">
        <v>871</v>
      </c>
      <c r="H519" s="201">
        <v>8</v>
      </c>
      <c r="I519" s="201" t="s">
        <v>861</v>
      </c>
      <c r="J519" s="77"/>
      <c r="K519" s="77" t="s">
        <v>6250</v>
      </c>
      <c r="N519" s="76">
        <v>122</v>
      </c>
    </row>
    <row r="520" spans="1:14" hidden="1" x14ac:dyDescent="0.25">
      <c r="A520" s="77">
        <v>4</v>
      </c>
      <c r="B520" s="550" t="s">
        <v>156</v>
      </c>
      <c r="C520" s="202" t="s">
        <v>157</v>
      </c>
      <c r="D520" s="201" t="s">
        <v>16</v>
      </c>
      <c r="E520" s="512" t="s">
        <v>17</v>
      </c>
      <c r="F520" s="586" t="s">
        <v>877</v>
      </c>
      <c r="G520" s="202" t="s">
        <v>17</v>
      </c>
      <c r="H520" s="201">
        <v>9</v>
      </c>
      <c r="I520" s="201" t="s">
        <v>868</v>
      </c>
      <c r="J520" s="77"/>
      <c r="K520" s="77" t="s">
        <v>6251</v>
      </c>
      <c r="N520" s="76">
        <v>123</v>
      </c>
    </row>
    <row r="521" spans="1:14" hidden="1" x14ac:dyDescent="0.25">
      <c r="A521" s="77">
        <v>4</v>
      </c>
      <c r="B521" s="550" t="s">
        <v>158</v>
      </c>
      <c r="C521" s="202" t="s">
        <v>983</v>
      </c>
      <c r="D521" s="201" t="s">
        <v>16</v>
      </c>
      <c r="E521" s="512" t="s">
        <v>17</v>
      </c>
      <c r="F521" s="586" t="s">
        <v>877</v>
      </c>
      <c r="G521" s="202" t="s">
        <v>17</v>
      </c>
      <c r="H521" s="201">
        <v>10</v>
      </c>
      <c r="I521" s="201" t="s">
        <v>872</v>
      </c>
      <c r="J521" s="77"/>
      <c r="K521" s="77" t="s">
        <v>6251</v>
      </c>
      <c r="N521" s="76">
        <v>124</v>
      </c>
    </row>
    <row r="522" spans="1:14" hidden="1" x14ac:dyDescent="0.25">
      <c r="A522" s="77">
        <v>4</v>
      </c>
      <c r="B522" s="550" t="s">
        <v>159</v>
      </c>
      <c r="C522" s="202" t="s">
        <v>984</v>
      </c>
      <c r="D522" s="201" t="s">
        <v>16</v>
      </c>
      <c r="E522" s="512" t="s">
        <v>17</v>
      </c>
      <c r="F522" s="586" t="s">
        <v>877</v>
      </c>
      <c r="G522" s="202" t="s">
        <v>17</v>
      </c>
      <c r="H522" s="201">
        <v>10</v>
      </c>
      <c r="I522" s="201" t="s">
        <v>870</v>
      </c>
      <c r="J522" s="77"/>
      <c r="K522" s="77" t="s">
        <v>6251</v>
      </c>
      <c r="N522" s="76">
        <v>125</v>
      </c>
    </row>
    <row r="523" spans="1:14" hidden="1" x14ac:dyDescent="0.25">
      <c r="A523" s="77">
        <v>4</v>
      </c>
      <c r="B523" s="550" t="s">
        <v>160</v>
      </c>
      <c r="C523" s="202" t="s">
        <v>161</v>
      </c>
      <c r="D523" s="201" t="s">
        <v>16</v>
      </c>
      <c r="E523" s="512" t="s">
        <v>17</v>
      </c>
      <c r="F523" s="586" t="s">
        <v>877</v>
      </c>
      <c r="G523" s="202" t="s">
        <v>17</v>
      </c>
      <c r="H523" s="201">
        <v>10</v>
      </c>
      <c r="I523" s="201" t="s">
        <v>870</v>
      </c>
      <c r="J523" s="77"/>
      <c r="K523" s="77" t="s">
        <v>6251</v>
      </c>
      <c r="N523" s="76">
        <v>126</v>
      </c>
    </row>
    <row r="524" spans="1:14" hidden="1" x14ac:dyDescent="0.25">
      <c r="A524" s="77">
        <v>4</v>
      </c>
      <c r="B524" s="550" t="s">
        <v>162</v>
      </c>
      <c r="C524" s="202" t="s">
        <v>163</v>
      </c>
      <c r="D524" s="201" t="s">
        <v>16</v>
      </c>
      <c r="E524" s="512" t="s">
        <v>17</v>
      </c>
      <c r="F524" s="586" t="s">
        <v>877</v>
      </c>
      <c r="G524" s="202" t="s">
        <v>17</v>
      </c>
      <c r="H524" s="201">
        <v>10</v>
      </c>
      <c r="I524" s="201" t="s">
        <v>870</v>
      </c>
      <c r="J524" s="77"/>
      <c r="K524" s="77" t="s">
        <v>6251</v>
      </c>
      <c r="N524" s="76">
        <v>127</v>
      </c>
    </row>
    <row r="525" spans="1:14" hidden="1" x14ac:dyDescent="0.25">
      <c r="A525" s="77">
        <v>4</v>
      </c>
      <c r="B525" s="550" t="s">
        <v>164</v>
      </c>
      <c r="C525" s="202" t="s">
        <v>165</v>
      </c>
      <c r="D525" s="201" t="s">
        <v>18</v>
      </c>
      <c r="E525" s="512" t="s">
        <v>644</v>
      </c>
      <c r="F525" s="586" t="s">
        <v>878</v>
      </c>
      <c r="G525" s="202" t="s">
        <v>631</v>
      </c>
      <c r="H525" s="201">
        <v>12</v>
      </c>
      <c r="I525" s="201" t="s">
        <v>877</v>
      </c>
      <c r="J525" s="77"/>
      <c r="K525" s="77" t="s">
        <v>6252</v>
      </c>
      <c r="N525" s="76">
        <v>128</v>
      </c>
    </row>
    <row r="526" spans="1:14" hidden="1" x14ac:dyDescent="0.25">
      <c r="A526" s="77">
        <v>4</v>
      </c>
      <c r="B526" s="550" t="s">
        <v>166</v>
      </c>
      <c r="C526" s="202" t="s">
        <v>167</v>
      </c>
      <c r="D526" s="201" t="s">
        <v>18</v>
      </c>
      <c r="E526" s="512" t="s">
        <v>644</v>
      </c>
      <c r="F526" s="586" t="s">
        <v>878</v>
      </c>
      <c r="G526" s="202" t="s">
        <v>631</v>
      </c>
      <c r="H526" s="201">
        <v>12</v>
      </c>
      <c r="I526" s="201" t="s">
        <v>877</v>
      </c>
      <c r="J526" s="77"/>
      <c r="K526" s="77" t="s">
        <v>6252</v>
      </c>
      <c r="N526" s="76">
        <v>129</v>
      </c>
    </row>
    <row r="527" spans="1:14" hidden="1" x14ac:dyDescent="0.25">
      <c r="A527" s="77">
        <v>4</v>
      </c>
      <c r="B527" s="550" t="s">
        <v>168</v>
      </c>
      <c r="C527" s="202" t="s">
        <v>985</v>
      </c>
      <c r="D527" s="201" t="s">
        <v>16</v>
      </c>
      <c r="E527" s="512" t="s">
        <v>17</v>
      </c>
      <c r="F527" s="586" t="s">
        <v>877</v>
      </c>
      <c r="G527" s="202" t="s">
        <v>17</v>
      </c>
      <c r="H527" s="201">
        <v>10</v>
      </c>
      <c r="I527" s="201" t="s">
        <v>872</v>
      </c>
      <c r="J527" s="77"/>
      <c r="K527" s="77" t="s">
        <v>6251</v>
      </c>
      <c r="N527" s="76">
        <v>130</v>
      </c>
    </row>
    <row r="528" spans="1:14" hidden="1" x14ac:dyDescent="0.25">
      <c r="A528" s="77">
        <v>4</v>
      </c>
      <c r="B528" s="550" t="s">
        <v>759</v>
      </c>
      <c r="C528" s="202" t="s">
        <v>760</v>
      </c>
      <c r="D528" s="201" t="s">
        <v>16</v>
      </c>
      <c r="E528" s="512" t="s">
        <v>17</v>
      </c>
      <c r="F528" s="586" t="s">
        <v>877</v>
      </c>
      <c r="G528" s="202" t="s">
        <v>17</v>
      </c>
      <c r="H528" s="201">
        <v>10</v>
      </c>
      <c r="I528" s="201" t="s">
        <v>874</v>
      </c>
      <c r="J528" s="77"/>
      <c r="K528" s="77" t="s">
        <v>6251</v>
      </c>
      <c r="N528" s="76">
        <v>131</v>
      </c>
    </row>
    <row r="529" spans="1:14" hidden="1" x14ac:dyDescent="0.25">
      <c r="A529" s="77">
        <v>4</v>
      </c>
      <c r="B529" s="550" t="s">
        <v>761</v>
      </c>
      <c r="C529" s="202" t="s">
        <v>762</v>
      </c>
      <c r="D529" s="201" t="s">
        <v>1144</v>
      </c>
      <c r="E529" s="512" t="s">
        <v>1147</v>
      </c>
      <c r="F529" s="586" t="s">
        <v>6449</v>
      </c>
      <c r="G529" s="202" t="s">
        <v>1147</v>
      </c>
      <c r="H529" s="201">
        <v>10</v>
      </c>
      <c r="I529" s="201" t="s">
        <v>874</v>
      </c>
      <c r="J529" s="77"/>
      <c r="K529" s="77"/>
      <c r="N529" s="76">
        <v>132</v>
      </c>
    </row>
    <row r="530" spans="1:14" hidden="1" x14ac:dyDescent="0.25">
      <c r="A530" s="77">
        <v>4</v>
      </c>
      <c r="B530" s="550" t="s">
        <v>169</v>
      </c>
      <c r="C530" s="202" t="s">
        <v>986</v>
      </c>
      <c r="D530" s="201" t="s">
        <v>16</v>
      </c>
      <c r="E530" s="512" t="s">
        <v>17</v>
      </c>
      <c r="F530" s="586" t="s">
        <v>877</v>
      </c>
      <c r="G530" s="202" t="s">
        <v>17</v>
      </c>
      <c r="H530" s="201">
        <v>10</v>
      </c>
      <c r="I530" s="201" t="s">
        <v>870</v>
      </c>
      <c r="J530" s="77"/>
      <c r="K530" s="77" t="s">
        <v>6251</v>
      </c>
      <c r="N530" s="76">
        <v>133</v>
      </c>
    </row>
    <row r="531" spans="1:14" hidden="1" x14ac:dyDescent="0.25">
      <c r="A531" s="77">
        <v>4</v>
      </c>
      <c r="B531" s="550" t="s">
        <v>170</v>
      </c>
      <c r="C531" s="202" t="s">
        <v>171</v>
      </c>
      <c r="D531" s="201" t="s">
        <v>16</v>
      </c>
      <c r="E531" s="512" t="s">
        <v>17</v>
      </c>
      <c r="F531" s="586" t="s">
        <v>877</v>
      </c>
      <c r="G531" s="202" t="s">
        <v>17</v>
      </c>
      <c r="H531" s="201">
        <v>12</v>
      </c>
      <c r="I531" s="201" t="s">
        <v>877</v>
      </c>
      <c r="J531" s="77"/>
      <c r="K531" s="77" t="s">
        <v>6251</v>
      </c>
      <c r="N531" s="76">
        <v>134</v>
      </c>
    </row>
    <row r="532" spans="1:14" hidden="1" x14ac:dyDescent="0.25">
      <c r="A532" s="77">
        <v>4</v>
      </c>
      <c r="B532" s="550" t="s">
        <v>172</v>
      </c>
      <c r="C532" s="202" t="s">
        <v>173</v>
      </c>
      <c r="D532" s="201" t="s">
        <v>16</v>
      </c>
      <c r="E532" s="512" t="s">
        <v>17</v>
      </c>
      <c r="F532" s="586" t="s">
        <v>877</v>
      </c>
      <c r="G532" s="202" t="s">
        <v>17</v>
      </c>
      <c r="H532" s="201">
        <v>12</v>
      </c>
      <c r="I532" s="201" t="s">
        <v>877</v>
      </c>
      <c r="J532" s="77"/>
      <c r="K532" s="77" t="s">
        <v>6251</v>
      </c>
      <c r="N532" s="76">
        <v>135</v>
      </c>
    </row>
    <row r="533" spans="1:14" hidden="1" x14ac:dyDescent="0.25">
      <c r="A533" s="77">
        <v>4</v>
      </c>
      <c r="B533" s="550" t="s">
        <v>763</v>
      </c>
      <c r="C533" s="202" t="s">
        <v>764</v>
      </c>
      <c r="D533" s="201" t="s">
        <v>16</v>
      </c>
      <c r="E533" s="512" t="s">
        <v>17</v>
      </c>
      <c r="F533" s="586" t="s">
        <v>877</v>
      </c>
      <c r="G533" s="202" t="s">
        <v>17</v>
      </c>
      <c r="H533" s="201">
        <v>12</v>
      </c>
      <c r="I533" s="201" t="s">
        <v>877</v>
      </c>
      <c r="J533" s="77"/>
      <c r="K533" s="77" t="s">
        <v>6251</v>
      </c>
      <c r="N533" s="76">
        <v>136</v>
      </c>
    </row>
    <row r="534" spans="1:14" hidden="1" x14ac:dyDescent="0.25">
      <c r="A534" s="77">
        <v>4</v>
      </c>
      <c r="B534" s="550" t="s">
        <v>138</v>
      </c>
      <c r="C534" s="202" t="s">
        <v>987</v>
      </c>
      <c r="D534" s="201" t="s">
        <v>14</v>
      </c>
      <c r="E534" s="512" t="s">
        <v>15</v>
      </c>
      <c r="F534" s="586" t="s">
        <v>876</v>
      </c>
      <c r="G534" s="202" t="s">
        <v>15</v>
      </c>
      <c r="H534" s="201">
        <v>9</v>
      </c>
      <c r="I534" s="201" t="s">
        <v>863</v>
      </c>
      <c r="J534" s="77"/>
      <c r="K534" s="77"/>
      <c r="N534" s="76">
        <v>137</v>
      </c>
    </row>
    <row r="535" spans="1:14" hidden="1" x14ac:dyDescent="0.25">
      <c r="A535" s="77">
        <v>4</v>
      </c>
      <c r="B535" s="550" t="s">
        <v>211</v>
      </c>
      <c r="C535" s="202" t="s">
        <v>988</v>
      </c>
      <c r="D535" s="201" t="s">
        <v>18</v>
      </c>
      <c r="E535" s="512" t="s">
        <v>644</v>
      </c>
      <c r="F535" s="586" t="s">
        <v>879</v>
      </c>
      <c r="G535" s="202" t="s">
        <v>629</v>
      </c>
      <c r="H535" s="201">
        <v>10</v>
      </c>
      <c r="I535" s="201" t="s">
        <v>870</v>
      </c>
      <c r="J535" s="77"/>
      <c r="K535" s="77"/>
      <c r="N535" s="76">
        <v>138</v>
      </c>
    </row>
    <row r="536" spans="1:14" hidden="1" x14ac:dyDescent="0.25">
      <c r="A536" s="77">
        <v>4</v>
      </c>
      <c r="B536" s="550" t="s">
        <v>174</v>
      </c>
      <c r="C536" s="202" t="s">
        <v>989</v>
      </c>
      <c r="D536" s="201" t="s">
        <v>16</v>
      </c>
      <c r="E536" s="512" t="s">
        <v>17</v>
      </c>
      <c r="F536" s="586" t="s">
        <v>877</v>
      </c>
      <c r="G536" s="202" t="s">
        <v>17</v>
      </c>
      <c r="H536" s="201">
        <v>12</v>
      </c>
      <c r="I536" s="201" t="s">
        <v>877</v>
      </c>
      <c r="J536" s="77"/>
      <c r="K536" s="77"/>
      <c r="N536" s="76">
        <v>139</v>
      </c>
    </row>
    <row r="537" spans="1:14" hidden="1" x14ac:dyDescent="0.25">
      <c r="A537" s="77">
        <v>4</v>
      </c>
      <c r="B537" s="550" t="s">
        <v>175</v>
      </c>
      <c r="C537" s="202" t="s">
        <v>990</v>
      </c>
      <c r="D537" s="201" t="s">
        <v>16</v>
      </c>
      <c r="E537" s="512" t="s">
        <v>17</v>
      </c>
      <c r="F537" s="586" t="s">
        <v>877</v>
      </c>
      <c r="G537" s="202" t="s">
        <v>17</v>
      </c>
      <c r="H537" s="201">
        <v>12</v>
      </c>
      <c r="I537" s="201" t="s">
        <v>877</v>
      </c>
      <c r="J537" s="77"/>
      <c r="K537" s="77"/>
      <c r="N537" s="76">
        <v>140</v>
      </c>
    </row>
    <row r="538" spans="1:14" hidden="1" x14ac:dyDescent="0.25">
      <c r="A538" s="77">
        <v>4</v>
      </c>
      <c r="B538" s="550" t="s">
        <v>176</v>
      </c>
      <c r="C538" s="202" t="s">
        <v>991</v>
      </c>
      <c r="D538" s="201" t="s">
        <v>16</v>
      </c>
      <c r="E538" s="512" t="s">
        <v>17</v>
      </c>
      <c r="F538" s="586" t="s">
        <v>877</v>
      </c>
      <c r="G538" s="202" t="s">
        <v>17</v>
      </c>
      <c r="H538" s="201">
        <v>33</v>
      </c>
      <c r="I538" s="201" t="s">
        <v>878</v>
      </c>
      <c r="J538" s="77"/>
      <c r="K538" s="77"/>
      <c r="N538" s="76">
        <v>141</v>
      </c>
    </row>
    <row r="539" spans="1:14" hidden="1" x14ac:dyDescent="0.25">
      <c r="A539" s="77">
        <v>4</v>
      </c>
      <c r="B539" s="550" t="s">
        <v>177</v>
      </c>
      <c r="C539" s="202" t="s">
        <v>992</v>
      </c>
      <c r="D539" s="201" t="s">
        <v>16</v>
      </c>
      <c r="E539" s="512" t="s">
        <v>17</v>
      </c>
      <c r="F539" s="586" t="s">
        <v>877</v>
      </c>
      <c r="G539" s="202" t="s">
        <v>17</v>
      </c>
      <c r="H539" s="201">
        <v>33</v>
      </c>
      <c r="I539" s="201" t="s">
        <v>878</v>
      </c>
      <c r="J539" s="77"/>
      <c r="K539" s="77"/>
      <c r="N539" s="76">
        <v>142</v>
      </c>
    </row>
    <row r="540" spans="1:14" hidden="1" x14ac:dyDescent="0.25">
      <c r="A540" s="77">
        <v>4</v>
      </c>
      <c r="B540" s="550" t="s">
        <v>178</v>
      </c>
      <c r="C540" s="202" t="s">
        <v>993</v>
      </c>
      <c r="D540" s="201" t="s">
        <v>16</v>
      </c>
      <c r="E540" s="512" t="s">
        <v>17</v>
      </c>
      <c r="F540" s="586" t="s">
        <v>877</v>
      </c>
      <c r="G540" s="202" t="s">
        <v>17</v>
      </c>
      <c r="H540" s="201">
        <v>12</v>
      </c>
      <c r="I540" s="201" t="s">
        <v>877</v>
      </c>
      <c r="J540" s="77"/>
      <c r="K540" s="77"/>
      <c r="N540" s="76">
        <v>143</v>
      </c>
    </row>
    <row r="541" spans="1:14" hidden="1" x14ac:dyDescent="0.25">
      <c r="A541" s="77">
        <v>4</v>
      </c>
      <c r="B541" s="550" t="s">
        <v>5820</v>
      </c>
      <c r="C541" s="202" t="s">
        <v>5819</v>
      </c>
      <c r="D541" s="201" t="s">
        <v>1144</v>
      </c>
      <c r="E541" s="512" t="s">
        <v>1147</v>
      </c>
      <c r="F541" s="586" t="s">
        <v>6449</v>
      </c>
      <c r="G541" s="202" t="s">
        <v>1147</v>
      </c>
      <c r="H541" s="201">
        <v>12</v>
      </c>
      <c r="I541" s="201" t="s">
        <v>877</v>
      </c>
      <c r="J541" s="77"/>
      <c r="K541" s="77"/>
      <c r="N541" s="76">
        <v>144</v>
      </c>
    </row>
    <row r="542" spans="1:14" hidden="1" x14ac:dyDescent="0.25">
      <c r="A542" s="77">
        <v>4</v>
      </c>
      <c r="B542" s="550" t="s">
        <v>765</v>
      </c>
      <c r="C542" s="202" t="s">
        <v>766</v>
      </c>
      <c r="D542" s="201" t="s">
        <v>1144</v>
      </c>
      <c r="E542" s="512" t="s">
        <v>1147</v>
      </c>
      <c r="F542" s="586" t="s">
        <v>6449</v>
      </c>
      <c r="G542" s="202" t="s">
        <v>1147</v>
      </c>
      <c r="H542" s="201">
        <v>12</v>
      </c>
      <c r="I542" s="201" t="s">
        <v>877</v>
      </c>
      <c r="J542" s="77"/>
      <c r="K542" s="77"/>
      <c r="N542" s="76">
        <v>145</v>
      </c>
    </row>
    <row r="543" spans="1:14" hidden="1" x14ac:dyDescent="0.25">
      <c r="A543" s="77">
        <v>4</v>
      </c>
      <c r="B543" s="550" t="s">
        <v>767</v>
      </c>
      <c r="C543" s="202" t="s">
        <v>768</v>
      </c>
      <c r="D543" s="201" t="s">
        <v>1144</v>
      </c>
      <c r="E543" s="512" t="s">
        <v>1147</v>
      </c>
      <c r="F543" s="586" t="s">
        <v>6449</v>
      </c>
      <c r="G543" s="202" t="s">
        <v>1147</v>
      </c>
      <c r="H543" s="201">
        <v>12</v>
      </c>
      <c r="I543" s="201" t="s">
        <v>877</v>
      </c>
      <c r="J543" s="77"/>
      <c r="K543" s="77"/>
      <c r="N543" s="76">
        <v>146</v>
      </c>
    </row>
    <row r="544" spans="1:14" hidden="1" x14ac:dyDescent="0.25">
      <c r="A544" s="77">
        <v>4</v>
      </c>
      <c r="B544" s="550" t="s">
        <v>769</v>
      </c>
      <c r="C544" s="202" t="s">
        <v>770</v>
      </c>
      <c r="D544" s="201" t="s">
        <v>1144</v>
      </c>
      <c r="E544" s="512" t="s">
        <v>1147</v>
      </c>
      <c r="F544" s="586" t="s">
        <v>6449</v>
      </c>
      <c r="G544" s="202" t="s">
        <v>1147</v>
      </c>
      <c r="H544" s="201">
        <v>12</v>
      </c>
      <c r="I544" s="201" t="s">
        <v>877</v>
      </c>
      <c r="J544" s="77"/>
      <c r="K544" s="77"/>
      <c r="N544" s="76">
        <v>147</v>
      </c>
    </row>
    <row r="545" spans="1:14" hidden="1" x14ac:dyDescent="0.25">
      <c r="A545" s="77">
        <v>4</v>
      </c>
      <c r="B545" s="550" t="s">
        <v>179</v>
      </c>
      <c r="C545" s="202" t="s">
        <v>994</v>
      </c>
      <c r="D545" s="201" t="s">
        <v>1144</v>
      </c>
      <c r="E545" s="512" t="s">
        <v>1147</v>
      </c>
      <c r="F545" s="586" t="s">
        <v>6449</v>
      </c>
      <c r="G545" s="202" t="s">
        <v>1147</v>
      </c>
      <c r="H545" s="201">
        <v>12</v>
      </c>
      <c r="I545" s="201" t="s">
        <v>877</v>
      </c>
      <c r="J545" s="77"/>
      <c r="K545" s="77"/>
      <c r="N545" s="76">
        <v>148</v>
      </c>
    </row>
    <row r="546" spans="1:14" ht="21" hidden="1" customHeight="1" x14ac:dyDescent="0.25">
      <c r="A546" s="77">
        <v>4</v>
      </c>
      <c r="B546" s="552" t="s">
        <v>771</v>
      </c>
      <c r="C546" s="514" t="s">
        <v>772</v>
      </c>
      <c r="D546" s="201" t="s">
        <v>1144</v>
      </c>
      <c r="E546" s="512" t="s">
        <v>1147</v>
      </c>
      <c r="F546" s="586" t="s">
        <v>6449</v>
      </c>
      <c r="G546" s="202" t="s">
        <v>1147</v>
      </c>
      <c r="H546" s="201">
        <v>12</v>
      </c>
      <c r="I546" s="201" t="s">
        <v>877</v>
      </c>
      <c r="J546" s="77"/>
      <c r="K546" s="77"/>
      <c r="M546" s="526"/>
      <c r="N546" s="76">
        <v>149</v>
      </c>
    </row>
    <row r="547" spans="1:14" hidden="1" x14ac:dyDescent="0.25">
      <c r="A547" s="77">
        <v>4</v>
      </c>
      <c r="B547" s="550" t="s">
        <v>180</v>
      </c>
      <c r="C547" s="202" t="s">
        <v>995</v>
      </c>
      <c r="D547" s="201" t="s">
        <v>1144</v>
      </c>
      <c r="E547" s="512" t="s">
        <v>1147</v>
      </c>
      <c r="F547" s="586" t="s">
        <v>6449</v>
      </c>
      <c r="G547" s="202" t="s">
        <v>1147</v>
      </c>
      <c r="H547" s="201">
        <v>12</v>
      </c>
      <c r="I547" s="201" t="s">
        <v>877</v>
      </c>
      <c r="J547" s="77"/>
      <c r="K547" s="77"/>
      <c r="N547" s="76">
        <v>150</v>
      </c>
    </row>
    <row r="548" spans="1:14" ht="21" hidden="1" customHeight="1" x14ac:dyDescent="0.7">
      <c r="A548" s="77">
        <v>4</v>
      </c>
      <c r="B548" s="550" t="s">
        <v>6027</v>
      </c>
      <c r="C548" s="202" t="s">
        <v>6026</v>
      </c>
      <c r="D548" s="201" t="s">
        <v>1144</v>
      </c>
      <c r="E548" s="512" t="s">
        <v>1147</v>
      </c>
      <c r="F548" s="586" t="s">
        <v>6449</v>
      </c>
      <c r="G548" s="202" t="s">
        <v>1147</v>
      </c>
      <c r="H548" s="201">
        <v>12</v>
      </c>
      <c r="I548" s="201" t="s">
        <v>877</v>
      </c>
      <c r="J548" s="77"/>
      <c r="K548" s="77"/>
      <c r="M548" s="528" t="s">
        <v>6304</v>
      </c>
      <c r="N548" s="76">
        <v>151</v>
      </c>
    </row>
    <row r="549" spans="1:14" hidden="1" x14ac:dyDescent="0.25">
      <c r="A549" s="77">
        <v>4</v>
      </c>
      <c r="B549" s="550" t="s">
        <v>181</v>
      </c>
      <c r="C549" s="202" t="s">
        <v>182</v>
      </c>
      <c r="D549" s="201" t="s">
        <v>16</v>
      </c>
      <c r="E549" s="512" t="s">
        <v>17</v>
      </c>
      <c r="F549" s="586" t="s">
        <v>877</v>
      </c>
      <c r="G549" s="202" t="s">
        <v>17</v>
      </c>
      <c r="H549" s="201">
        <v>12</v>
      </c>
      <c r="I549" s="201" t="s">
        <v>877</v>
      </c>
      <c r="J549" s="77"/>
      <c r="K549" s="77" t="s">
        <v>6251</v>
      </c>
      <c r="N549" s="76">
        <v>152</v>
      </c>
    </row>
    <row r="550" spans="1:14" hidden="1" x14ac:dyDescent="0.25">
      <c r="A550" s="77">
        <v>4</v>
      </c>
      <c r="B550" s="550" t="s">
        <v>183</v>
      </c>
      <c r="C550" s="202" t="s">
        <v>184</v>
      </c>
      <c r="D550" s="201" t="s">
        <v>16</v>
      </c>
      <c r="E550" s="512" t="s">
        <v>17</v>
      </c>
      <c r="F550" s="586" t="s">
        <v>877</v>
      </c>
      <c r="G550" s="202" t="s">
        <v>17</v>
      </c>
      <c r="H550" s="201">
        <v>11</v>
      </c>
      <c r="I550" s="201" t="s">
        <v>876</v>
      </c>
      <c r="J550" s="77"/>
      <c r="K550" s="77" t="s">
        <v>6251</v>
      </c>
      <c r="N550" s="76">
        <v>153</v>
      </c>
    </row>
    <row r="551" spans="1:14" hidden="1" x14ac:dyDescent="0.25">
      <c r="A551" s="77">
        <v>4</v>
      </c>
      <c r="B551" s="550" t="s">
        <v>134</v>
      </c>
      <c r="C551" s="202" t="s">
        <v>135</v>
      </c>
      <c r="D551" s="201" t="s">
        <v>12</v>
      </c>
      <c r="E551" s="512" t="s">
        <v>13</v>
      </c>
      <c r="F551" s="586" t="s">
        <v>870</v>
      </c>
      <c r="G551" s="202" t="s">
        <v>871</v>
      </c>
      <c r="H551" s="201">
        <v>9</v>
      </c>
      <c r="I551" s="201" t="s">
        <v>864</v>
      </c>
      <c r="J551" s="77"/>
      <c r="K551" s="77" t="s">
        <v>6250</v>
      </c>
      <c r="N551" s="76">
        <v>154</v>
      </c>
    </row>
    <row r="552" spans="1:14" hidden="1" x14ac:dyDescent="0.25">
      <c r="A552" s="77">
        <v>4</v>
      </c>
      <c r="B552" s="550" t="s">
        <v>136</v>
      </c>
      <c r="C552" s="202" t="s">
        <v>137</v>
      </c>
      <c r="D552" s="201" t="s">
        <v>12</v>
      </c>
      <c r="E552" s="512" t="s">
        <v>13</v>
      </c>
      <c r="F552" s="586" t="s">
        <v>870</v>
      </c>
      <c r="G552" s="202" t="s">
        <v>871</v>
      </c>
      <c r="H552" s="201">
        <v>9</v>
      </c>
      <c r="I552" s="201" t="s">
        <v>866</v>
      </c>
      <c r="J552" s="77"/>
      <c r="K552" s="77" t="s">
        <v>6250</v>
      </c>
      <c r="N552" s="76">
        <v>155</v>
      </c>
    </row>
    <row r="553" spans="1:14" hidden="1" x14ac:dyDescent="0.25">
      <c r="A553" s="77">
        <v>4</v>
      </c>
      <c r="B553" s="550" t="s">
        <v>185</v>
      </c>
      <c r="C553" s="202" t="s">
        <v>186</v>
      </c>
      <c r="D553" s="201" t="s">
        <v>16</v>
      </c>
      <c r="E553" s="512" t="s">
        <v>17</v>
      </c>
      <c r="F553" s="586" t="s">
        <v>877</v>
      </c>
      <c r="G553" s="202" t="s">
        <v>17</v>
      </c>
      <c r="H553" s="201">
        <v>33</v>
      </c>
      <c r="I553" s="201" t="s">
        <v>879</v>
      </c>
      <c r="J553" s="77"/>
      <c r="K553" s="77" t="s">
        <v>6251</v>
      </c>
      <c r="N553" s="76">
        <v>156</v>
      </c>
    </row>
    <row r="554" spans="1:14" hidden="1" x14ac:dyDescent="0.25">
      <c r="A554" s="77">
        <v>4</v>
      </c>
      <c r="B554" s="550" t="s">
        <v>187</v>
      </c>
      <c r="C554" s="202" t="s">
        <v>188</v>
      </c>
      <c r="D554" s="201" t="s">
        <v>16</v>
      </c>
      <c r="E554" s="512" t="s">
        <v>17</v>
      </c>
      <c r="F554" s="586" t="s">
        <v>877</v>
      </c>
      <c r="G554" s="202" t="s">
        <v>17</v>
      </c>
      <c r="H554" s="201">
        <v>12</v>
      </c>
      <c r="I554" s="201" t="s">
        <v>877</v>
      </c>
      <c r="J554" s="77"/>
      <c r="K554" s="77" t="s">
        <v>6251</v>
      </c>
      <c r="N554" s="76">
        <v>157</v>
      </c>
    </row>
    <row r="555" spans="1:14" hidden="1" x14ac:dyDescent="0.25">
      <c r="A555" s="77">
        <v>4</v>
      </c>
      <c r="B555" s="550" t="s">
        <v>189</v>
      </c>
      <c r="C555" s="202" t="s">
        <v>190</v>
      </c>
      <c r="D555" s="201" t="s">
        <v>16</v>
      </c>
      <c r="E555" s="512" t="s">
        <v>17</v>
      </c>
      <c r="F555" s="586" t="s">
        <v>877</v>
      </c>
      <c r="G555" s="202" t="s">
        <v>17</v>
      </c>
      <c r="H555" s="201">
        <v>12</v>
      </c>
      <c r="I555" s="201" t="s">
        <v>877</v>
      </c>
      <c r="J555" s="77"/>
      <c r="K555" s="77" t="s">
        <v>6251</v>
      </c>
      <c r="N555" s="76">
        <v>158</v>
      </c>
    </row>
    <row r="556" spans="1:14" hidden="1" x14ac:dyDescent="0.25">
      <c r="A556" s="77">
        <v>4</v>
      </c>
      <c r="B556" s="550" t="s">
        <v>191</v>
      </c>
      <c r="C556" s="202" t="s">
        <v>192</v>
      </c>
      <c r="D556" s="201" t="s">
        <v>16</v>
      </c>
      <c r="E556" s="512" t="s">
        <v>17</v>
      </c>
      <c r="F556" s="586" t="s">
        <v>877</v>
      </c>
      <c r="G556" s="202" t="s">
        <v>17</v>
      </c>
      <c r="H556" s="201">
        <v>12</v>
      </c>
      <c r="I556" s="201" t="s">
        <v>877</v>
      </c>
      <c r="J556" s="77"/>
      <c r="K556" s="77" t="s">
        <v>6251</v>
      </c>
      <c r="N556" s="76">
        <v>159</v>
      </c>
    </row>
    <row r="557" spans="1:14" hidden="1" x14ac:dyDescent="0.25">
      <c r="A557" s="77">
        <v>4</v>
      </c>
      <c r="B557" s="550" t="s">
        <v>193</v>
      </c>
      <c r="C557" s="202" t="s">
        <v>194</v>
      </c>
      <c r="D557" s="201" t="s">
        <v>16</v>
      </c>
      <c r="E557" s="512" t="s">
        <v>17</v>
      </c>
      <c r="F557" s="586" t="s">
        <v>877</v>
      </c>
      <c r="G557" s="202" t="s">
        <v>17</v>
      </c>
      <c r="H557" s="201">
        <v>12</v>
      </c>
      <c r="I557" s="201" t="s">
        <v>877</v>
      </c>
      <c r="J557" s="77"/>
      <c r="K557" s="77" t="s">
        <v>6251</v>
      </c>
      <c r="N557" s="76">
        <v>160</v>
      </c>
    </row>
    <row r="558" spans="1:14" hidden="1" x14ac:dyDescent="0.25">
      <c r="A558" s="77">
        <v>4</v>
      </c>
      <c r="B558" s="550" t="s">
        <v>195</v>
      </c>
      <c r="C558" s="202" t="s">
        <v>996</v>
      </c>
      <c r="D558" s="201" t="s">
        <v>16</v>
      </c>
      <c r="E558" s="512" t="s">
        <v>17</v>
      </c>
      <c r="F558" s="586" t="s">
        <v>877</v>
      </c>
      <c r="G558" s="202" t="s">
        <v>17</v>
      </c>
      <c r="H558" s="201">
        <v>12</v>
      </c>
      <c r="I558" s="201" t="s">
        <v>877</v>
      </c>
      <c r="J558" s="77"/>
      <c r="K558" s="77" t="s">
        <v>6251</v>
      </c>
      <c r="N558" s="76">
        <v>161</v>
      </c>
    </row>
    <row r="559" spans="1:14" hidden="1" x14ac:dyDescent="0.25">
      <c r="A559" s="77">
        <v>4</v>
      </c>
      <c r="B559" s="550" t="s">
        <v>196</v>
      </c>
      <c r="C559" s="202" t="s">
        <v>997</v>
      </c>
      <c r="D559" s="201" t="s">
        <v>16</v>
      </c>
      <c r="E559" s="512" t="s">
        <v>17</v>
      </c>
      <c r="F559" s="586" t="s">
        <v>877</v>
      </c>
      <c r="G559" s="202" t="s">
        <v>17</v>
      </c>
      <c r="H559" s="201">
        <v>12</v>
      </c>
      <c r="I559" s="201" t="s">
        <v>877</v>
      </c>
      <c r="J559" s="77"/>
      <c r="K559" s="77" t="s">
        <v>6251</v>
      </c>
      <c r="N559" s="76">
        <v>162</v>
      </c>
    </row>
    <row r="560" spans="1:14" hidden="1" x14ac:dyDescent="0.25">
      <c r="A560" s="77">
        <v>4</v>
      </c>
      <c r="B560" s="550" t="s">
        <v>197</v>
      </c>
      <c r="C560" s="202" t="s">
        <v>198</v>
      </c>
      <c r="D560" s="201" t="s">
        <v>16</v>
      </c>
      <c r="E560" s="512" t="s">
        <v>17</v>
      </c>
      <c r="F560" s="586" t="s">
        <v>877</v>
      </c>
      <c r="G560" s="202" t="s">
        <v>17</v>
      </c>
      <c r="H560" s="201">
        <v>12</v>
      </c>
      <c r="I560" s="201" t="s">
        <v>877</v>
      </c>
      <c r="J560" s="77"/>
      <c r="K560" s="77" t="s">
        <v>6251</v>
      </c>
      <c r="N560" s="76">
        <v>163</v>
      </c>
    </row>
    <row r="561" spans="1:14" hidden="1" x14ac:dyDescent="0.25">
      <c r="A561" s="77">
        <v>4</v>
      </c>
      <c r="B561" s="550" t="s">
        <v>199</v>
      </c>
      <c r="C561" s="202" t="s">
        <v>200</v>
      </c>
      <c r="D561" s="201" t="s">
        <v>16</v>
      </c>
      <c r="E561" s="512" t="s">
        <v>17</v>
      </c>
      <c r="F561" s="586" t="s">
        <v>877</v>
      </c>
      <c r="G561" s="202" t="s">
        <v>17</v>
      </c>
      <c r="H561" s="201">
        <v>12</v>
      </c>
      <c r="I561" s="201" t="s">
        <v>877</v>
      </c>
      <c r="J561" s="77"/>
      <c r="K561" s="77" t="s">
        <v>6251</v>
      </c>
      <c r="N561" s="76">
        <v>164</v>
      </c>
    </row>
    <row r="562" spans="1:14" hidden="1" x14ac:dyDescent="0.25">
      <c r="A562" s="77">
        <v>4</v>
      </c>
      <c r="B562" s="550" t="s">
        <v>212</v>
      </c>
      <c r="C562" s="202" t="s">
        <v>213</v>
      </c>
      <c r="D562" s="201" t="s">
        <v>18</v>
      </c>
      <c r="E562" s="512" t="s">
        <v>644</v>
      </c>
      <c r="F562" s="586" t="s">
        <v>879</v>
      </c>
      <c r="G562" s="202" t="s">
        <v>629</v>
      </c>
      <c r="H562" s="201">
        <v>10</v>
      </c>
      <c r="I562" s="201" t="s">
        <v>870</v>
      </c>
      <c r="J562" s="77"/>
      <c r="K562" s="77"/>
      <c r="N562" s="76">
        <v>165</v>
      </c>
    </row>
    <row r="563" spans="1:14" hidden="1" x14ac:dyDescent="0.25">
      <c r="A563" s="77">
        <v>4</v>
      </c>
      <c r="B563" s="550" t="s">
        <v>201</v>
      </c>
      <c r="C563" s="202" t="s">
        <v>998</v>
      </c>
      <c r="D563" s="201" t="s">
        <v>16</v>
      </c>
      <c r="E563" s="512" t="s">
        <v>17</v>
      </c>
      <c r="F563" s="586" t="s">
        <v>877</v>
      </c>
      <c r="G563" s="202" t="s">
        <v>17</v>
      </c>
      <c r="H563" s="201">
        <v>12</v>
      </c>
      <c r="I563" s="201" t="s">
        <v>877</v>
      </c>
      <c r="J563" s="77"/>
      <c r="K563" s="77"/>
      <c r="N563" s="76">
        <v>166</v>
      </c>
    </row>
    <row r="564" spans="1:14" hidden="1" x14ac:dyDescent="0.25">
      <c r="A564" s="77">
        <v>4</v>
      </c>
      <c r="B564" s="550" t="s">
        <v>202</v>
      </c>
      <c r="C564" s="202" t="s">
        <v>203</v>
      </c>
      <c r="D564" s="201" t="s">
        <v>16</v>
      </c>
      <c r="E564" s="512" t="s">
        <v>17</v>
      </c>
      <c r="F564" s="586" t="s">
        <v>877</v>
      </c>
      <c r="G564" s="202" t="s">
        <v>17</v>
      </c>
      <c r="H564" s="201">
        <v>12</v>
      </c>
      <c r="I564" s="201" t="s">
        <v>877</v>
      </c>
      <c r="J564" s="77"/>
      <c r="K564" s="77"/>
      <c r="N564" s="76">
        <v>167</v>
      </c>
    </row>
    <row r="565" spans="1:14" ht="21" hidden="1" customHeight="1" x14ac:dyDescent="0.25">
      <c r="A565" s="77">
        <v>4</v>
      </c>
      <c r="B565" s="552" t="s">
        <v>204</v>
      </c>
      <c r="C565" s="514" t="s">
        <v>999</v>
      </c>
      <c r="D565" s="515" t="s">
        <v>16</v>
      </c>
      <c r="E565" s="516" t="s">
        <v>17</v>
      </c>
      <c r="F565" s="588" t="s">
        <v>877</v>
      </c>
      <c r="G565" s="514" t="s">
        <v>17</v>
      </c>
      <c r="H565" s="515">
        <v>12</v>
      </c>
      <c r="I565" s="515" t="s">
        <v>877</v>
      </c>
      <c r="J565" s="77"/>
      <c r="K565" s="77"/>
      <c r="M565" s="526"/>
      <c r="N565" s="76">
        <v>168</v>
      </c>
    </row>
    <row r="566" spans="1:14" hidden="1" x14ac:dyDescent="0.25">
      <c r="A566" s="77">
        <v>4</v>
      </c>
      <c r="B566" s="550" t="s">
        <v>205</v>
      </c>
      <c r="C566" s="202" t="s">
        <v>206</v>
      </c>
      <c r="D566" s="201" t="s">
        <v>16</v>
      </c>
      <c r="E566" s="512" t="s">
        <v>17</v>
      </c>
      <c r="F566" s="586" t="s">
        <v>877</v>
      </c>
      <c r="G566" s="202" t="s">
        <v>17</v>
      </c>
      <c r="H566" s="201">
        <v>12</v>
      </c>
      <c r="I566" s="201" t="s">
        <v>877</v>
      </c>
      <c r="J566" s="77"/>
      <c r="K566" s="77"/>
      <c r="N566" s="76">
        <v>169</v>
      </c>
    </row>
    <row r="567" spans="1:14" ht="21" hidden="1" customHeight="1" x14ac:dyDescent="0.7">
      <c r="A567" s="77">
        <v>4</v>
      </c>
      <c r="B567" s="550" t="s">
        <v>5956</v>
      </c>
      <c r="C567" s="202" t="s">
        <v>5955</v>
      </c>
      <c r="D567" s="201" t="s">
        <v>16</v>
      </c>
      <c r="E567" s="512" t="s">
        <v>17</v>
      </c>
      <c r="F567" s="586" t="s">
        <v>877</v>
      </c>
      <c r="G567" s="202" t="s">
        <v>17</v>
      </c>
      <c r="H567" s="201"/>
      <c r="I567" s="201" t="s">
        <v>877</v>
      </c>
      <c r="J567" s="77"/>
      <c r="K567" s="77"/>
      <c r="M567" s="528" t="s">
        <v>6304</v>
      </c>
      <c r="N567" s="76">
        <v>170</v>
      </c>
    </row>
    <row r="568" spans="1:14" hidden="1" x14ac:dyDescent="0.25">
      <c r="A568" s="77">
        <v>4</v>
      </c>
      <c r="B568" s="550" t="s">
        <v>207</v>
      </c>
      <c r="C568" s="202" t="s">
        <v>208</v>
      </c>
      <c r="D568" s="201" t="s">
        <v>16</v>
      </c>
      <c r="E568" s="512" t="s">
        <v>17</v>
      </c>
      <c r="F568" s="586" t="s">
        <v>877</v>
      </c>
      <c r="G568" s="202" t="s">
        <v>17</v>
      </c>
      <c r="H568" s="201">
        <v>12</v>
      </c>
      <c r="I568" s="201" t="s">
        <v>877</v>
      </c>
      <c r="J568" s="77"/>
      <c r="K568" s="77" t="s">
        <v>6251</v>
      </c>
      <c r="N568" s="76">
        <v>171</v>
      </c>
    </row>
    <row r="569" spans="1:14" hidden="1" x14ac:dyDescent="0.25">
      <c r="A569" s="77">
        <v>5</v>
      </c>
      <c r="B569" s="550" t="s">
        <v>223</v>
      </c>
      <c r="C569" s="202" t="s">
        <v>224</v>
      </c>
      <c r="D569" s="201" t="s">
        <v>25</v>
      </c>
      <c r="E569" s="512" t="s">
        <v>26</v>
      </c>
      <c r="F569" s="586" t="s">
        <v>891</v>
      </c>
      <c r="G569" s="202" t="s">
        <v>892</v>
      </c>
      <c r="H569" s="201">
        <v>33</v>
      </c>
      <c r="I569" s="201" t="s">
        <v>879</v>
      </c>
      <c r="J569" s="77"/>
      <c r="K569" s="77"/>
      <c r="N569" s="76">
        <v>172</v>
      </c>
    </row>
    <row r="570" spans="1:14" hidden="1" x14ac:dyDescent="0.25">
      <c r="A570" s="77">
        <v>5</v>
      </c>
      <c r="B570" s="550" t="s">
        <v>225</v>
      </c>
      <c r="C570" s="202" t="s">
        <v>226</v>
      </c>
      <c r="D570" s="201" t="s">
        <v>25</v>
      </c>
      <c r="E570" s="512" t="s">
        <v>26</v>
      </c>
      <c r="F570" s="586" t="s">
        <v>891</v>
      </c>
      <c r="G570" s="202" t="s">
        <v>892</v>
      </c>
      <c r="H570" s="201">
        <v>12</v>
      </c>
      <c r="I570" s="201" t="s">
        <v>877</v>
      </c>
      <c r="J570" s="77"/>
      <c r="K570" s="77"/>
      <c r="N570" s="76">
        <v>173</v>
      </c>
    </row>
    <row r="571" spans="1:14" hidden="1" x14ac:dyDescent="0.25">
      <c r="A571" s="77">
        <v>5</v>
      </c>
      <c r="B571" s="550" t="s">
        <v>227</v>
      </c>
      <c r="C571" s="202" t="s">
        <v>228</v>
      </c>
      <c r="D571" s="201" t="s">
        <v>25</v>
      </c>
      <c r="E571" s="512" t="s">
        <v>26</v>
      </c>
      <c r="F571" s="586" t="s">
        <v>891</v>
      </c>
      <c r="G571" s="202" t="s">
        <v>892</v>
      </c>
      <c r="H571" s="201">
        <v>12</v>
      </c>
      <c r="I571" s="201" t="s">
        <v>877</v>
      </c>
      <c r="J571" s="77"/>
      <c r="K571" s="77"/>
      <c r="N571" s="76">
        <v>174</v>
      </c>
    </row>
    <row r="572" spans="1:14" hidden="1" x14ac:dyDescent="0.25">
      <c r="A572" s="77">
        <v>5</v>
      </c>
      <c r="B572" s="550" t="s">
        <v>229</v>
      </c>
      <c r="C572" s="202" t="s">
        <v>230</v>
      </c>
      <c r="D572" s="201" t="s">
        <v>25</v>
      </c>
      <c r="E572" s="512" t="s">
        <v>26</v>
      </c>
      <c r="F572" s="586" t="s">
        <v>891</v>
      </c>
      <c r="G572" s="202" t="s">
        <v>892</v>
      </c>
      <c r="H572" s="201">
        <v>12</v>
      </c>
      <c r="I572" s="201" t="s">
        <v>877</v>
      </c>
      <c r="J572" s="77"/>
      <c r="K572" s="77"/>
      <c r="N572" s="76">
        <v>175</v>
      </c>
    </row>
    <row r="573" spans="1:14" hidden="1" x14ac:dyDescent="0.25">
      <c r="A573" s="77">
        <v>5</v>
      </c>
      <c r="B573" s="550" t="s">
        <v>231</v>
      </c>
      <c r="C573" s="202" t="s">
        <v>232</v>
      </c>
      <c r="D573" s="201" t="s">
        <v>25</v>
      </c>
      <c r="E573" s="512" t="s">
        <v>26</v>
      </c>
      <c r="F573" s="586" t="s">
        <v>891</v>
      </c>
      <c r="G573" s="202" t="s">
        <v>892</v>
      </c>
      <c r="H573" s="201">
        <v>12</v>
      </c>
      <c r="I573" s="201" t="s">
        <v>877</v>
      </c>
      <c r="J573" s="77"/>
      <c r="K573" s="77"/>
      <c r="N573" s="76">
        <v>176</v>
      </c>
    </row>
    <row r="574" spans="1:14" hidden="1" x14ac:dyDescent="0.25">
      <c r="A574" s="77">
        <v>5</v>
      </c>
      <c r="B574" s="550" t="s">
        <v>233</v>
      </c>
      <c r="C574" s="202" t="s">
        <v>234</v>
      </c>
      <c r="D574" s="201" t="s">
        <v>29</v>
      </c>
      <c r="E574" s="512" t="s">
        <v>30</v>
      </c>
      <c r="F574" s="586" t="s">
        <v>893</v>
      </c>
      <c r="G574" s="202" t="s">
        <v>6448</v>
      </c>
      <c r="H574" s="201">
        <v>17</v>
      </c>
      <c r="I574" s="201" t="s">
        <v>891</v>
      </c>
      <c r="J574" s="77"/>
      <c r="K574" s="77"/>
      <c r="N574" s="76">
        <v>177</v>
      </c>
    </row>
    <row r="575" spans="1:14" hidden="1" x14ac:dyDescent="0.25">
      <c r="A575" s="77">
        <v>5</v>
      </c>
      <c r="B575" s="550" t="s">
        <v>235</v>
      </c>
      <c r="C575" s="202" t="s">
        <v>236</v>
      </c>
      <c r="D575" s="201" t="s">
        <v>25</v>
      </c>
      <c r="E575" s="512" t="s">
        <v>26</v>
      </c>
      <c r="F575" s="586" t="s">
        <v>891</v>
      </c>
      <c r="G575" s="202" t="s">
        <v>892</v>
      </c>
      <c r="H575" s="201">
        <v>12</v>
      </c>
      <c r="I575" s="201" t="s">
        <v>877</v>
      </c>
      <c r="J575" s="77"/>
      <c r="K575" s="77"/>
      <c r="N575" s="76">
        <v>178</v>
      </c>
    </row>
    <row r="576" spans="1:14" hidden="1" x14ac:dyDescent="0.25">
      <c r="A576" s="77">
        <v>5</v>
      </c>
      <c r="B576" s="550" t="s">
        <v>237</v>
      </c>
      <c r="C576" s="202" t="s">
        <v>238</v>
      </c>
      <c r="D576" s="201" t="s">
        <v>25</v>
      </c>
      <c r="E576" s="512" t="s">
        <v>26</v>
      </c>
      <c r="F576" s="586" t="s">
        <v>891</v>
      </c>
      <c r="G576" s="202" t="s">
        <v>892</v>
      </c>
      <c r="H576" s="201">
        <v>17</v>
      </c>
      <c r="I576" s="201" t="s">
        <v>891</v>
      </c>
      <c r="J576" s="77"/>
      <c r="K576" s="77"/>
      <c r="N576" s="76">
        <v>179</v>
      </c>
    </row>
    <row r="577" spans="1:14" hidden="1" x14ac:dyDescent="0.25">
      <c r="A577" s="77">
        <v>5</v>
      </c>
      <c r="B577" s="550" t="s">
        <v>239</v>
      </c>
      <c r="C577" s="202" t="s">
        <v>240</v>
      </c>
      <c r="D577" s="201" t="s">
        <v>25</v>
      </c>
      <c r="E577" s="512" t="s">
        <v>26</v>
      </c>
      <c r="F577" s="586" t="s">
        <v>891</v>
      </c>
      <c r="G577" s="202" t="s">
        <v>892</v>
      </c>
      <c r="H577" s="201">
        <v>17</v>
      </c>
      <c r="I577" s="201" t="s">
        <v>891</v>
      </c>
      <c r="J577" s="77"/>
      <c r="K577" s="77"/>
      <c r="N577" s="76">
        <v>180</v>
      </c>
    </row>
    <row r="578" spans="1:14" hidden="1" x14ac:dyDescent="0.25">
      <c r="A578" s="77">
        <v>5</v>
      </c>
      <c r="B578" s="550" t="s">
        <v>241</v>
      </c>
      <c r="C578" s="202" t="s">
        <v>242</v>
      </c>
      <c r="D578" s="201" t="s">
        <v>25</v>
      </c>
      <c r="E578" s="512" t="s">
        <v>26</v>
      </c>
      <c r="F578" s="586" t="s">
        <v>891</v>
      </c>
      <c r="G578" s="202" t="s">
        <v>892</v>
      </c>
      <c r="H578" s="201">
        <v>17</v>
      </c>
      <c r="I578" s="201" t="s">
        <v>891</v>
      </c>
      <c r="J578" s="77"/>
      <c r="K578" s="77"/>
      <c r="N578" s="76">
        <v>181</v>
      </c>
    </row>
    <row r="579" spans="1:14" hidden="1" x14ac:dyDescent="0.25">
      <c r="A579" s="77">
        <v>5</v>
      </c>
      <c r="B579" s="550" t="s">
        <v>243</v>
      </c>
      <c r="C579" s="202" t="s">
        <v>244</v>
      </c>
      <c r="D579" s="201" t="s">
        <v>25</v>
      </c>
      <c r="E579" s="512" t="s">
        <v>26</v>
      </c>
      <c r="F579" s="586" t="s">
        <v>891</v>
      </c>
      <c r="G579" s="202" t="s">
        <v>892</v>
      </c>
      <c r="H579" s="201">
        <v>17</v>
      </c>
      <c r="I579" s="201" t="s">
        <v>891</v>
      </c>
      <c r="J579" s="77"/>
      <c r="K579" s="77"/>
      <c r="N579" s="76">
        <v>182</v>
      </c>
    </row>
    <row r="580" spans="1:14" hidden="1" x14ac:dyDescent="0.25">
      <c r="A580" s="77">
        <v>5</v>
      </c>
      <c r="B580" s="550" t="s">
        <v>245</v>
      </c>
      <c r="C580" s="202" t="s">
        <v>246</v>
      </c>
      <c r="D580" s="201" t="s">
        <v>25</v>
      </c>
      <c r="E580" s="512" t="s">
        <v>26</v>
      </c>
      <c r="F580" s="586" t="s">
        <v>891</v>
      </c>
      <c r="G580" s="202" t="s">
        <v>892</v>
      </c>
      <c r="H580" s="201">
        <v>17</v>
      </c>
      <c r="I580" s="201" t="s">
        <v>891</v>
      </c>
      <c r="J580" s="77"/>
      <c r="K580" s="77"/>
      <c r="N580" s="76">
        <v>183</v>
      </c>
    </row>
    <row r="581" spans="1:14" hidden="1" x14ac:dyDescent="0.25">
      <c r="A581" s="77">
        <v>5</v>
      </c>
      <c r="B581" s="550" t="s">
        <v>255</v>
      </c>
      <c r="C581" s="202" t="s">
        <v>256</v>
      </c>
      <c r="D581" s="201" t="s">
        <v>27</v>
      </c>
      <c r="E581" s="512" t="s">
        <v>28</v>
      </c>
      <c r="F581" s="586" t="s">
        <v>894</v>
      </c>
      <c r="G581" s="202" t="s">
        <v>895</v>
      </c>
      <c r="H581" s="201">
        <v>18</v>
      </c>
      <c r="I581" s="201" t="s">
        <v>898</v>
      </c>
      <c r="J581" s="77"/>
      <c r="K581" s="77" t="s">
        <v>6253</v>
      </c>
      <c r="N581" s="76">
        <v>184</v>
      </c>
    </row>
    <row r="582" spans="1:14" hidden="1" x14ac:dyDescent="0.25">
      <c r="A582" s="77">
        <v>5</v>
      </c>
      <c r="B582" s="550" t="s">
        <v>257</v>
      </c>
      <c r="C582" s="202" t="s">
        <v>258</v>
      </c>
      <c r="D582" s="201" t="s">
        <v>27</v>
      </c>
      <c r="E582" s="512" t="s">
        <v>28</v>
      </c>
      <c r="F582" s="586" t="s">
        <v>894</v>
      </c>
      <c r="G582" s="202" t="s">
        <v>895</v>
      </c>
      <c r="H582" s="201">
        <v>17</v>
      </c>
      <c r="I582" s="201" t="s">
        <v>891</v>
      </c>
      <c r="J582" s="77"/>
      <c r="K582" s="77" t="s">
        <v>6253</v>
      </c>
      <c r="N582" s="76">
        <v>185</v>
      </c>
    </row>
    <row r="583" spans="1:14" hidden="1" x14ac:dyDescent="0.25">
      <c r="A583" s="77">
        <v>5</v>
      </c>
      <c r="B583" s="550" t="s">
        <v>259</v>
      </c>
      <c r="C583" s="202" t="s">
        <v>1000</v>
      </c>
      <c r="D583" s="201" t="s">
        <v>27</v>
      </c>
      <c r="E583" s="512" t="s">
        <v>28</v>
      </c>
      <c r="F583" s="586" t="s">
        <v>896</v>
      </c>
      <c r="G583" s="202" t="s">
        <v>897</v>
      </c>
      <c r="H583" s="201">
        <v>18</v>
      </c>
      <c r="I583" s="201" t="s">
        <v>896</v>
      </c>
      <c r="J583" s="77"/>
      <c r="K583" s="77" t="s">
        <v>6253</v>
      </c>
      <c r="N583" s="76">
        <v>186</v>
      </c>
    </row>
    <row r="584" spans="1:14" hidden="1" x14ac:dyDescent="0.25">
      <c r="A584" s="77">
        <v>5</v>
      </c>
      <c r="B584" s="550" t="s">
        <v>260</v>
      </c>
      <c r="C584" s="202" t="s">
        <v>261</v>
      </c>
      <c r="D584" s="201" t="s">
        <v>27</v>
      </c>
      <c r="E584" s="512" t="s">
        <v>28</v>
      </c>
      <c r="F584" s="586" t="s">
        <v>896</v>
      </c>
      <c r="G584" s="202" t="s">
        <v>897</v>
      </c>
      <c r="H584" s="201">
        <v>18</v>
      </c>
      <c r="I584" s="201" t="s">
        <v>898</v>
      </c>
      <c r="J584" s="77"/>
      <c r="K584" s="77" t="s">
        <v>6253</v>
      </c>
      <c r="N584" s="76">
        <v>187</v>
      </c>
    </row>
    <row r="585" spans="1:14" hidden="1" x14ac:dyDescent="0.25">
      <c r="A585" s="77">
        <v>5</v>
      </c>
      <c r="B585" s="550" t="s">
        <v>262</v>
      </c>
      <c r="C585" s="202" t="s">
        <v>263</v>
      </c>
      <c r="D585" s="201" t="s">
        <v>27</v>
      </c>
      <c r="E585" s="512" t="s">
        <v>28</v>
      </c>
      <c r="F585" s="586" t="s">
        <v>898</v>
      </c>
      <c r="G585" s="202" t="s">
        <v>899</v>
      </c>
      <c r="H585" s="201">
        <v>17</v>
      </c>
      <c r="I585" s="201" t="s">
        <v>891</v>
      </c>
      <c r="J585" s="77"/>
      <c r="K585" s="77" t="s">
        <v>6253</v>
      </c>
      <c r="N585" s="76">
        <v>188</v>
      </c>
    </row>
    <row r="586" spans="1:14" hidden="1" x14ac:dyDescent="0.25">
      <c r="A586" s="77">
        <v>5</v>
      </c>
      <c r="B586" s="550" t="s">
        <v>264</v>
      </c>
      <c r="C586" s="202" t="s">
        <v>594</v>
      </c>
      <c r="D586" s="201" t="s">
        <v>27</v>
      </c>
      <c r="E586" s="512" t="s">
        <v>28</v>
      </c>
      <c r="F586" s="586" t="s">
        <v>898</v>
      </c>
      <c r="G586" s="202" t="s">
        <v>899</v>
      </c>
      <c r="H586" s="201">
        <v>17</v>
      </c>
      <c r="I586" s="201" t="s">
        <v>891</v>
      </c>
      <c r="J586" s="77"/>
      <c r="K586" s="77" t="s">
        <v>6253</v>
      </c>
      <c r="N586" s="76">
        <v>189</v>
      </c>
    </row>
    <row r="587" spans="1:14" hidden="1" x14ac:dyDescent="0.25">
      <c r="A587" s="77">
        <v>5</v>
      </c>
      <c r="B587" s="550" t="s">
        <v>247</v>
      </c>
      <c r="C587" s="202" t="s">
        <v>1001</v>
      </c>
      <c r="D587" s="201" t="s">
        <v>25</v>
      </c>
      <c r="E587" s="512" t="s">
        <v>26</v>
      </c>
      <c r="F587" s="586" t="s">
        <v>891</v>
      </c>
      <c r="G587" s="202" t="s">
        <v>892</v>
      </c>
      <c r="H587" s="201">
        <v>19</v>
      </c>
      <c r="I587" s="201" t="s">
        <v>893</v>
      </c>
      <c r="J587" s="77"/>
      <c r="K587" s="77"/>
      <c r="N587" s="76">
        <v>190</v>
      </c>
    </row>
    <row r="588" spans="1:14" hidden="1" x14ac:dyDescent="0.25">
      <c r="A588" s="77">
        <v>5</v>
      </c>
      <c r="B588" s="550" t="s">
        <v>248</v>
      </c>
      <c r="C588" s="202" t="s">
        <v>1002</v>
      </c>
      <c r="D588" s="201" t="s">
        <v>25</v>
      </c>
      <c r="E588" s="512" t="s">
        <v>26</v>
      </c>
      <c r="F588" s="586" t="s">
        <v>891</v>
      </c>
      <c r="G588" s="202" t="s">
        <v>892</v>
      </c>
      <c r="H588" s="201">
        <v>17</v>
      </c>
      <c r="I588" s="201" t="s">
        <v>891</v>
      </c>
      <c r="J588" s="77"/>
      <c r="K588" s="77"/>
      <c r="N588" s="76">
        <v>191</v>
      </c>
    </row>
    <row r="589" spans="1:14" hidden="1" x14ac:dyDescent="0.25">
      <c r="A589" s="77">
        <v>5</v>
      </c>
      <c r="B589" s="550" t="s">
        <v>249</v>
      </c>
      <c r="C589" s="202" t="s">
        <v>1003</v>
      </c>
      <c r="D589" s="201" t="s">
        <v>25</v>
      </c>
      <c r="E589" s="512" t="s">
        <v>26</v>
      </c>
      <c r="F589" s="586" t="s">
        <v>891</v>
      </c>
      <c r="G589" s="202" t="s">
        <v>892</v>
      </c>
      <c r="H589" s="201">
        <v>17</v>
      </c>
      <c r="I589" s="201" t="s">
        <v>891</v>
      </c>
      <c r="J589" s="77"/>
      <c r="K589" s="77"/>
      <c r="N589" s="76">
        <v>192</v>
      </c>
    </row>
    <row r="590" spans="1:14" hidden="1" x14ac:dyDescent="0.25">
      <c r="A590" s="77">
        <v>5</v>
      </c>
      <c r="B590" s="550" t="s">
        <v>250</v>
      </c>
      <c r="C590" s="202" t="s">
        <v>1004</v>
      </c>
      <c r="D590" s="201" t="s">
        <v>25</v>
      </c>
      <c r="E590" s="512" t="s">
        <v>26</v>
      </c>
      <c r="F590" s="586" t="s">
        <v>891</v>
      </c>
      <c r="G590" s="202" t="s">
        <v>892</v>
      </c>
      <c r="H590" s="201">
        <v>17</v>
      </c>
      <c r="I590" s="201" t="s">
        <v>891</v>
      </c>
      <c r="J590" s="77"/>
      <c r="K590" s="77"/>
      <c r="N590" s="76">
        <v>193</v>
      </c>
    </row>
    <row r="591" spans="1:14" hidden="1" x14ac:dyDescent="0.25">
      <c r="A591" s="77">
        <v>5</v>
      </c>
      <c r="B591" s="550" t="s">
        <v>251</v>
      </c>
      <c r="C591" s="202" t="s">
        <v>1005</v>
      </c>
      <c r="D591" s="201" t="s">
        <v>25</v>
      </c>
      <c r="E591" s="512" t="s">
        <v>26</v>
      </c>
      <c r="F591" s="586" t="s">
        <v>891</v>
      </c>
      <c r="G591" s="202" t="s">
        <v>892</v>
      </c>
      <c r="H591" s="201">
        <v>17</v>
      </c>
      <c r="I591" s="201" t="s">
        <v>891</v>
      </c>
      <c r="J591" s="77"/>
      <c r="K591" s="77"/>
      <c r="N591" s="76">
        <v>194</v>
      </c>
    </row>
    <row r="592" spans="1:14" hidden="1" x14ac:dyDescent="0.25">
      <c r="A592" s="77">
        <v>5</v>
      </c>
      <c r="B592" s="550" t="s">
        <v>252</v>
      </c>
      <c r="C592" s="202" t="s">
        <v>1006</v>
      </c>
      <c r="D592" s="201" t="s">
        <v>25</v>
      </c>
      <c r="E592" s="512" t="s">
        <v>26</v>
      </c>
      <c r="F592" s="586" t="s">
        <v>891</v>
      </c>
      <c r="G592" s="202" t="s">
        <v>892</v>
      </c>
      <c r="H592" s="201">
        <v>17</v>
      </c>
      <c r="I592" s="201" t="s">
        <v>891</v>
      </c>
      <c r="J592" s="77"/>
      <c r="K592" s="77"/>
      <c r="N592" s="76">
        <v>195</v>
      </c>
    </row>
    <row r="593" spans="1:14" hidden="1" x14ac:dyDescent="0.25">
      <c r="A593" s="77">
        <v>5</v>
      </c>
      <c r="B593" s="550" t="s">
        <v>253</v>
      </c>
      <c r="C593" s="202" t="s">
        <v>1007</v>
      </c>
      <c r="D593" s="201" t="s">
        <v>25</v>
      </c>
      <c r="E593" s="512" t="s">
        <v>26</v>
      </c>
      <c r="F593" s="586" t="s">
        <v>891</v>
      </c>
      <c r="G593" s="202" t="s">
        <v>892</v>
      </c>
      <c r="H593" s="201">
        <v>17</v>
      </c>
      <c r="I593" s="201" t="s">
        <v>891</v>
      </c>
      <c r="J593" s="77"/>
      <c r="K593" s="77"/>
      <c r="N593" s="76">
        <v>196</v>
      </c>
    </row>
    <row r="594" spans="1:14" hidden="1" x14ac:dyDescent="0.25">
      <c r="A594" s="77">
        <v>5</v>
      </c>
      <c r="B594" s="550" t="s">
        <v>254</v>
      </c>
      <c r="C594" s="202" t="s">
        <v>1008</v>
      </c>
      <c r="D594" s="201" t="s">
        <v>25</v>
      </c>
      <c r="E594" s="512" t="s">
        <v>26</v>
      </c>
      <c r="F594" s="586" t="s">
        <v>891</v>
      </c>
      <c r="G594" s="202" t="s">
        <v>892</v>
      </c>
      <c r="H594" s="201">
        <v>18</v>
      </c>
      <c r="I594" s="201" t="s">
        <v>894</v>
      </c>
      <c r="J594" s="77"/>
      <c r="K594" s="77"/>
      <c r="N594" s="76">
        <v>197</v>
      </c>
    </row>
    <row r="595" spans="1:14" hidden="1" x14ac:dyDescent="0.25">
      <c r="A595" s="77">
        <v>5</v>
      </c>
      <c r="B595" s="550" t="s">
        <v>773</v>
      </c>
      <c r="C595" s="202" t="s">
        <v>774</v>
      </c>
      <c r="D595" s="201" t="s">
        <v>25</v>
      </c>
      <c r="E595" s="512" t="s">
        <v>26</v>
      </c>
      <c r="F595" s="586" t="s">
        <v>891</v>
      </c>
      <c r="G595" s="202" t="s">
        <v>892</v>
      </c>
      <c r="H595" s="201">
        <v>18</v>
      </c>
      <c r="I595" s="201" t="s">
        <v>894</v>
      </c>
      <c r="J595" s="77"/>
      <c r="K595" s="77"/>
      <c r="N595" s="76">
        <v>198</v>
      </c>
    </row>
    <row r="596" spans="1:14" hidden="1" x14ac:dyDescent="0.25">
      <c r="A596" s="77">
        <v>5</v>
      </c>
      <c r="B596" s="550" t="s">
        <v>775</v>
      </c>
      <c r="C596" s="202" t="s">
        <v>776</v>
      </c>
      <c r="D596" s="201" t="s">
        <v>25</v>
      </c>
      <c r="E596" s="512" t="s">
        <v>26</v>
      </c>
      <c r="F596" s="586" t="s">
        <v>891</v>
      </c>
      <c r="G596" s="202" t="s">
        <v>892</v>
      </c>
      <c r="H596" s="201">
        <v>18</v>
      </c>
      <c r="I596" s="201" t="s">
        <v>896</v>
      </c>
      <c r="J596" s="77"/>
      <c r="K596" s="77"/>
      <c r="N596" s="76">
        <v>199</v>
      </c>
    </row>
    <row r="597" spans="1:14" hidden="1" x14ac:dyDescent="0.25">
      <c r="A597" s="77">
        <v>5</v>
      </c>
      <c r="B597" s="550" t="s">
        <v>777</v>
      </c>
      <c r="C597" s="202" t="s">
        <v>1029</v>
      </c>
      <c r="D597" s="201" t="s">
        <v>29</v>
      </c>
      <c r="E597" s="512" t="s">
        <v>30</v>
      </c>
      <c r="F597" s="586" t="s">
        <v>893</v>
      </c>
      <c r="G597" s="202" t="s">
        <v>6448</v>
      </c>
      <c r="H597" s="201">
        <v>17</v>
      </c>
      <c r="I597" s="201" t="s">
        <v>891</v>
      </c>
      <c r="J597" s="77"/>
      <c r="K597" s="77" t="s">
        <v>6254</v>
      </c>
      <c r="N597" s="76">
        <v>200</v>
      </c>
    </row>
    <row r="598" spans="1:14" hidden="1" x14ac:dyDescent="0.25">
      <c r="A598" s="77">
        <v>5</v>
      </c>
      <c r="B598" s="550" t="s">
        <v>272</v>
      </c>
      <c r="C598" s="202" t="s">
        <v>5821</v>
      </c>
      <c r="D598" s="201" t="s">
        <v>31</v>
      </c>
      <c r="E598" s="512" t="s">
        <v>32</v>
      </c>
      <c r="F598" s="586" t="s">
        <v>900</v>
      </c>
      <c r="G598" s="202" t="s">
        <v>901</v>
      </c>
      <c r="H598" s="201">
        <v>19</v>
      </c>
      <c r="I598" s="201" t="s">
        <v>893</v>
      </c>
      <c r="J598" s="77"/>
      <c r="K598" s="77"/>
      <c r="N598" s="76">
        <v>201</v>
      </c>
    </row>
    <row r="599" spans="1:14" hidden="1" x14ac:dyDescent="0.25">
      <c r="A599" s="77">
        <v>5</v>
      </c>
      <c r="B599" s="550" t="s">
        <v>5823</v>
      </c>
      <c r="C599" s="202" t="s">
        <v>5822</v>
      </c>
      <c r="D599" s="201" t="s">
        <v>31</v>
      </c>
      <c r="E599" s="512" t="s">
        <v>32</v>
      </c>
      <c r="F599" s="586" t="s">
        <v>900</v>
      </c>
      <c r="G599" s="202" t="s">
        <v>901</v>
      </c>
      <c r="H599" s="201">
        <v>19</v>
      </c>
      <c r="I599" s="201" t="s">
        <v>893</v>
      </c>
      <c r="J599" s="77"/>
      <c r="K599" s="77" t="s">
        <v>6255</v>
      </c>
      <c r="N599" s="76">
        <v>202</v>
      </c>
    </row>
    <row r="600" spans="1:14" hidden="1" x14ac:dyDescent="0.25">
      <c r="A600" s="77">
        <v>5</v>
      </c>
      <c r="B600" s="550" t="s">
        <v>273</v>
      </c>
      <c r="C600" s="202" t="s">
        <v>274</v>
      </c>
      <c r="D600" s="201" t="s">
        <v>31</v>
      </c>
      <c r="E600" s="512" t="s">
        <v>32</v>
      </c>
      <c r="F600" s="586" t="s">
        <v>900</v>
      </c>
      <c r="G600" s="202" t="s">
        <v>901</v>
      </c>
      <c r="H600" s="201">
        <v>19</v>
      </c>
      <c r="I600" s="201" t="s">
        <v>904</v>
      </c>
      <c r="J600" s="77"/>
      <c r="K600" s="77"/>
      <c r="N600" s="76">
        <v>203</v>
      </c>
    </row>
    <row r="601" spans="1:14" hidden="1" x14ac:dyDescent="0.25">
      <c r="A601" s="77">
        <v>5</v>
      </c>
      <c r="B601" s="550" t="s">
        <v>275</v>
      </c>
      <c r="C601" s="202" t="s">
        <v>276</v>
      </c>
      <c r="D601" s="201" t="s">
        <v>31</v>
      </c>
      <c r="E601" s="512" t="s">
        <v>32</v>
      </c>
      <c r="F601" s="586" t="s">
        <v>900</v>
      </c>
      <c r="G601" s="202" t="s">
        <v>901</v>
      </c>
      <c r="H601" s="201">
        <v>19</v>
      </c>
      <c r="I601" s="201" t="s">
        <v>904</v>
      </c>
      <c r="J601" s="77"/>
      <c r="K601" s="77"/>
      <c r="N601" s="76">
        <v>204</v>
      </c>
    </row>
    <row r="602" spans="1:14" hidden="1" x14ac:dyDescent="0.25">
      <c r="A602" s="77">
        <v>5</v>
      </c>
      <c r="B602" s="550" t="s">
        <v>277</v>
      </c>
      <c r="C602" s="202" t="s">
        <v>278</v>
      </c>
      <c r="D602" s="201" t="s">
        <v>31</v>
      </c>
      <c r="E602" s="512" t="s">
        <v>32</v>
      </c>
      <c r="F602" s="586" t="s">
        <v>900</v>
      </c>
      <c r="G602" s="202" t="s">
        <v>901</v>
      </c>
      <c r="H602" s="201">
        <v>19</v>
      </c>
      <c r="I602" s="201" t="s">
        <v>904</v>
      </c>
      <c r="J602" s="77"/>
      <c r="K602" s="77"/>
      <c r="N602" s="76">
        <v>205</v>
      </c>
    </row>
    <row r="603" spans="1:14" hidden="1" x14ac:dyDescent="0.25">
      <c r="A603" s="77">
        <v>5</v>
      </c>
      <c r="B603" s="550" t="s">
        <v>279</v>
      </c>
      <c r="C603" s="202" t="s">
        <v>280</v>
      </c>
      <c r="D603" s="201" t="s">
        <v>31</v>
      </c>
      <c r="E603" s="512" t="s">
        <v>32</v>
      </c>
      <c r="F603" s="586" t="s">
        <v>900</v>
      </c>
      <c r="G603" s="202" t="s">
        <v>901</v>
      </c>
      <c r="H603" s="201">
        <v>20</v>
      </c>
      <c r="I603" s="201" t="s">
        <v>900</v>
      </c>
      <c r="J603" s="77"/>
      <c r="K603" s="77"/>
      <c r="N603" s="76">
        <v>206</v>
      </c>
    </row>
    <row r="604" spans="1:14" hidden="1" x14ac:dyDescent="0.25">
      <c r="A604" s="77">
        <v>5</v>
      </c>
      <c r="B604" s="550" t="s">
        <v>1133</v>
      </c>
      <c r="C604" s="202" t="s">
        <v>1101</v>
      </c>
      <c r="D604" s="201" t="s">
        <v>31</v>
      </c>
      <c r="E604" s="512" t="s">
        <v>32</v>
      </c>
      <c r="F604" s="586" t="s">
        <v>900</v>
      </c>
      <c r="G604" s="202" t="s">
        <v>901</v>
      </c>
      <c r="H604" s="201">
        <v>20</v>
      </c>
      <c r="I604" s="201" t="s">
        <v>900</v>
      </c>
      <c r="J604" s="77"/>
      <c r="K604" s="77"/>
      <c r="N604" s="76">
        <v>207</v>
      </c>
    </row>
    <row r="605" spans="1:14" hidden="1" x14ac:dyDescent="0.25">
      <c r="A605" s="77">
        <v>5</v>
      </c>
      <c r="B605" s="550" t="s">
        <v>1134</v>
      </c>
      <c r="C605" s="202" t="s">
        <v>1102</v>
      </c>
      <c r="D605" s="201" t="s">
        <v>31</v>
      </c>
      <c r="E605" s="512" t="s">
        <v>32</v>
      </c>
      <c r="F605" s="586" t="s">
        <v>900</v>
      </c>
      <c r="G605" s="202" t="s">
        <v>901</v>
      </c>
      <c r="H605" s="201">
        <v>20</v>
      </c>
      <c r="I605" s="201" t="s">
        <v>900</v>
      </c>
      <c r="J605" s="77"/>
      <c r="K605" s="77" t="s">
        <v>6255</v>
      </c>
      <c r="N605" s="76">
        <v>208</v>
      </c>
    </row>
    <row r="606" spans="1:14" hidden="1" x14ac:dyDescent="0.25">
      <c r="A606" s="77">
        <v>5</v>
      </c>
      <c r="B606" s="550" t="s">
        <v>281</v>
      </c>
      <c r="C606" s="202" t="s">
        <v>282</v>
      </c>
      <c r="D606" s="201" t="s">
        <v>31</v>
      </c>
      <c r="E606" s="512" t="s">
        <v>32</v>
      </c>
      <c r="F606" s="586" t="s">
        <v>900</v>
      </c>
      <c r="G606" s="202" t="s">
        <v>901</v>
      </c>
      <c r="H606" s="201">
        <v>20</v>
      </c>
      <c r="I606" s="201" t="s">
        <v>900</v>
      </c>
      <c r="J606" s="77"/>
      <c r="K606" s="77"/>
      <c r="N606" s="76">
        <v>209</v>
      </c>
    </row>
    <row r="607" spans="1:14" hidden="1" x14ac:dyDescent="0.25">
      <c r="A607" s="77">
        <v>5</v>
      </c>
      <c r="B607" s="550" t="s">
        <v>283</v>
      </c>
      <c r="C607" s="202" t="s">
        <v>284</v>
      </c>
      <c r="D607" s="201" t="s">
        <v>31</v>
      </c>
      <c r="E607" s="512" t="s">
        <v>32</v>
      </c>
      <c r="F607" s="586" t="s">
        <v>900</v>
      </c>
      <c r="G607" s="202" t="s">
        <v>901</v>
      </c>
      <c r="H607" s="201">
        <v>20</v>
      </c>
      <c r="I607" s="201" t="s">
        <v>900</v>
      </c>
      <c r="J607" s="77"/>
      <c r="K607" s="77" t="s">
        <v>6255</v>
      </c>
      <c r="N607" s="76">
        <v>210</v>
      </c>
    </row>
    <row r="608" spans="1:14" hidden="1" x14ac:dyDescent="0.25">
      <c r="A608" s="77">
        <v>5</v>
      </c>
      <c r="B608" s="552" t="s">
        <v>266</v>
      </c>
      <c r="C608" s="514" t="s">
        <v>267</v>
      </c>
      <c r="D608" s="515" t="s">
        <v>29</v>
      </c>
      <c r="E608" s="516" t="s">
        <v>30</v>
      </c>
      <c r="F608" s="588" t="s">
        <v>902</v>
      </c>
      <c r="G608" s="514" t="s">
        <v>903</v>
      </c>
      <c r="H608" s="515">
        <v>20</v>
      </c>
      <c r="I608" s="515" t="s">
        <v>900</v>
      </c>
      <c r="J608" s="77"/>
      <c r="K608" s="77"/>
      <c r="N608" s="76">
        <v>211</v>
      </c>
    </row>
    <row r="609" spans="1:14" hidden="1" x14ac:dyDescent="0.25">
      <c r="A609" s="77">
        <v>5</v>
      </c>
      <c r="B609" s="553" t="s">
        <v>268</v>
      </c>
      <c r="C609" s="514" t="s">
        <v>269</v>
      </c>
      <c r="D609" s="515" t="s">
        <v>29</v>
      </c>
      <c r="E609" s="516" t="s">
        <v>30</v>
      </c>
      <c r="F609" s="588" t="s">
        <v>902</v>
      </c>
      <c r="G609" s="514" t="s">
        <v>903</v>
      </c>
      <c r="H609" s="515">
        <v>20</v>
      </c>
      <c r="I609" s="515" t="s">
        <v>900</v>
      </c>
      <c r="J609" s="77"/>
      <c r="K609" s="77" t="s">
        <v>6254</v>
      </c>
      <c r="N609" s="76">
        <v>212</v>
      </c>
    </row>
    <row r="610" spans="1:14" hidden="1" x14ac:dyDescent="0.25">
      <c r="A610" s="77">
        <v>5</v>
      </c>
      <c r="B610" s="550" t="s">
        <v>5957</v>
      </c>
      <c r="C610" s="202" t="s">
        <v>782</v>
      </c>
      <c r="D610" s="201" t="s">
        <v>31</v>
      </c>
      <c r="E610" s="512" t="s">
        <v>32</v>
      </c>
      <c r="F610" s="586" t="s">
        <v>900</v>
      </c>
      <c r="G610" s="202" t="s">
        <v>901</v>
      </c>
      <c r="H610" s="201"/>
      <c r="I610" s="201" t="s">
        <v>900</v>
      </c>
      <c r="J610" s="77"/>
      <c r="K610" s="77"/>
      <c r="L610" s="305" t="s">
        <v>781</v>
      </c>
      <c r="M610" s="407" t="s">
        <v>6310</v>
      </c>
      <c r="N610" s="76">
        <v>213</v>
      </c>
    </row>
    <row r="611" spans="1:14" hidden="1" x14ac:dyDescent="0.25">
      <c r="A611" s="77">
        <v>5</v>
      </c>
      <c r="B611" s="551" t="s">
        <v>6299</v>
      </c>
      <c r="C611" s="202" t="s">
        <v>784</v>
      </c>
      <c r="D611" s="201" t="s">
        <v>31</v>
      </c>
      <c r="E611" s="512" t="s">
        <v>32</v>
      </c>
      <c r="F611" s="586" t="s">
        <v>900</v>
      </c>
      <c r="G611" s="202" t="s">
        <v>901</v>
      </c>
      <c r="H611" s="201"/>
      <c r="I611" s="201" t="s">
        <v>900</v>
      </c>
      <c r="J611" s="77"/>
      <c r="K611" s="77"/>
      <c r="L611" s="305" t="s">
        <v>783</v>
      </c>
      <c r="M611" s="407" t="s">
        <v>6310</v>
      </c>
      <c r="N611" s="76">
        <v>214</v>
      </c>
    </row>
    <row r="612" spans="1:14" hidden="1" x14ac:dyDescent="0.25">
      <c r="A612" s="77">
        <v>5</v>
      </c>
      <c r="B612" s="550" t="s">
        <v>780</v>
      </c>
      <c r="C612" s="202" t="s">
        <v>6447</v>
      </c>
      <c r="D612" s="201" t="s">
        <v>29</v>
      </c>
      <c r="E612" s="512" t="s">
        <v>30</v>
      </c>
      <c r="F612" s="589" t="s">
        <v>6450</v>
      </c>
      <c r="G612" s="584" t="s">
        <v>6452</v>
      </c>
      <c r="H612" s="201">
        <v>19</v>
      </c>
      <c r="I612" s="201" t="s">
        <v>904</v>
      </c>
      <c r="J612" s="77"/>
      <c r="K612" s="77" t="s">
        <v>6254</v>
      </c>
      <c r="N612" s="76">
        <v>215</v>
      </c>
    </row>
    <row r="613" spans="1:14" hidden="1" x14ac:dyDescent="0.25">
      <c r="A613" s="77">
        <v>5</v>
      </c>
      <c r="B613" s="550" t="s">
        <v>1138</v>
      </c>
      <c r="C613" s="202" t="s">
        <v>1139</v>
      </c>
      <c r="D613" s="201" t="s">
        <v>31</v>
      </c>
      <c r="E613" s="512" t="s">
        <v>32</v>
      </c>
      <c r="F613" s="586" t="s">
        <v>900</v>
      </c>
      <c r="G613" s="202" t="s">
        <v>901</v>
      </c>
      <c r="H613" s="201">
        <v>20</v>
      </c>
      <c r="I613" s="201" t="s">
        <v>900</v>
      </c>
      <c r="J613" s="77"/>
      <c r="K613" s="77"/>
      <c r="N613" s="76">
        <v>216</v>
      </c>
    </row>
    <row r="614" spans="1:14" hidden="1" x14ac:dyDescent="0.25">
      <c r="A614" s="77">
        <v>5</v>
      </c>
      <c r="B614" s="550" t="s">
        <v>1140</v>
      </c>
      <c r="C614" s="202" t="s">
        <v>1141</v>
      </c>
      <c r="D614" s="201" t="s">
        <v>31</v>
      </c>
      <c r="E614" s="512" t="s">
        <v>32</v>
      </c>
      <c r="F614" s="586" t="s">
        <v>900</v>
      </c>
      <c r="G614" s="202" t="s">
        <v>901</v>
      </c>
      <c r="H614" s="201">
        <v>20</v>
      </c>
      <c r="I614" s="201" t="s">
        <v>900</v>
      </c>
      <c r="J614" s="77"/>
      <c r="K614" s="77" t="s">
        <v>6255</v>
      </c>
      <c r="N614" s="76">
        <v>217</v>
      </c>
    </row>
    <row r="615" spans="1:14" ht="21" hidden="1" customHeight="1" x14ac:dyDescent="0.7">
      <c r="A615" s="77">
        <v>5</v>
      </c>
      <c r="B615" s="591" t="s">
        <v>6302</v>
      </c>
      <c r="C615" s="521" t="s">
        <v>6303</v>
      </c>
      <c r="D615" s="524" t="s">
        <v>31</v>
      </c>
      <c r="E615" s="521" t="s">
        <v>613</v>
      </c>
      <c r="F615" s="587" t="s">
        <v>900</v>
      </c>
      <c r="G615" s="521" t="s">
        <v>901</v>
      </c>
      <c r="H615" s="524">
        <v>24</v>
      </c>
      <c r="I615" s="525"/>
      <c r="K615" s="77" t="s">
        <v>6254</v>
      </c>
      <c r="M615" s="529" t="s">
        <v>6304</v>
      </c>
      <c r="N615" s="76">
        <v>218</v>
      </c>
    </row>
    <row r="616" spans="1:14" hidden="1" x14ac:dyDescent="0.25">
      <c r="A616" s="77">
        <v>5</v>
      </c>
      <c r="B616" s="550" t="s">
        <v>285</v>
      </c>
      <c r="C616" s="202" t="s">
        <v>286</v>
      </c>
      <c r="D616" s="201" t="s">
        <v>31</v>
      </c>
      <c r="E616" s="512" t="s">
        <v>32</v>
      </c>
      <c r="F616" s="586" t="s">
        <v>900</v>
      </c>
      <c r="G616" s="202" t="s">
        <v>901</v>
      </c>
      <c r="H616" s="201">
        <v>20</v>
      </c>
      <c r="I616" s="201" t="s">
        <v>900</v>
      </c>
      <c r="J616" s="77"/>
      <c r="K616" s="77"/>
      <c r="N616" s="76">
        <v>219</v>
      </c>
    </row>
    <row r="617" spans="1:14" hidden="1" x14ac:dyDescent="0.25">
      <c r="A617" s="77">
        <v>5</v>
      </c>
      <c r="B617" s="550" t="s">
        <v>287</v>
      </c>
      <c r="C617" s="202" t="s">
        <v>288</v>
      </c>
      <c r="D617" s="201" t="s">
        <v>31</v>
      </c>
      <c r="E617" s="512" t="s">
        <v>32</v>
      </c>
      <c r="F617" s="586" t="s">
        <v>900</v>
      </c>
      <c r="G617" s="202" t="s">
        <v>901</v>
      </c>
      <c r="H617" s="201">
        <v>20</v>
      </c>
      <c r="I617" s="201" t="s">
        <v>900</v>
      </c>
      <c r="J617" s="77"/>
      <c r="K617" s="77"/>
      <c r="N617" s="76">
        <v>220</v>
      </c>
    </row>
    <row r="618" spans="1:14" hidden="1" x14ac:dyDescent="0.25">
      <c r="A618" s="77">
        <v>5</v>
      </c>
      <c r="B618" s="550" t="s">
        <v>785</v>
      </c>
      <c r="C618" s="202" t="s">
        <v>786</v>
      </c>
      <c r="D618" s="201" t="s">
        <v>31</v>
      </c>
      <c r="E618" s="512" t="s">
        <v>32</v>
      </c>
      <c r="F618" s="586" t="s">
        <v>900</v>
      </c>
      <c r="G618" s="202" t="s">
        <v>901</v>
      </c>
      <c r="H618" s="201">
        <v>20</v>
      </c>
      <c r="I618" s="201" t="s">
        <v>900</v>
      </c>
      <c r="J618" s="77"/>
      <c r="K618" s="77"/>
      <c r="N618" s="76">
        <v>221</v>
      </c>
    </row>
    <row r="619" spans="1:14" hidden="1" x14ac:dyDescent="0.25">
      <c r="A619" s="77">
        <v>5</v>
      </c>
      <c r="B619" s="550" t="s">
        <v>289</v>
      </c>
      <c r="C619" s="202" t="s">
        <v>290</v>
      </c>
      <c r="D619" s="201" t="s">
        <v>31</v>
      </c>
      <c r="E619" s="512" t="s">
        <v>32</v>
      </c>
      <c r="F619" s="586" t="s">
        <v>900</v>
      </c>
      <c r="G619" s="202" t="s">
        <v>901</v>
      </c>
      <c r="H619" s="201">
        <v>20</v>
      </c>
      <c r="I619" s="201" t="s">
        <v>900</v>
      </c>
      <c r="J619" s="77"/>
      <c r="K619" s="77"/>
      <c r="N619" s="76">
        <v>222</v>
      </c>
    </row>
    <row r="620" spans="1:14" hidden="1" x14ac:dyDescent="0.25">
      <c r="A620" s="77">
        <v>5</v>
      </c>
      <c r="B620" s="550" t="s">
        <v>291</v>
      </c>
      <c r="C620" s="202" t="s">
        <v>292</v>
      </c>
      <c r="D620" s="201" t="s">
        <v>31</v>
      </c>
      <c r="E620" s="512" t="s">
        <v>32</v>
      </c>
      <c r="F620" s="586" t="s">
        <v>900</v>
      </c>
      <c r="G620" s="202" t="s">
        <v>901</v>
      </c>
      <c r="H620" s="201">
        <v>20</v>
      </c>
      <c r="I620" s="201" t="s">
        <v>900</v>
      </c>
      <c r="J620" s="77"/>
      <c r="K620" s="77"/>
      <c r="N620" s="76">
        <v>223</v>
      </c>
    </row>
    <row r="621" spans="1:14" hidden="1" x14ac:dyDescent="0.25">
      <c r="A621" s="77">
        <v>5</v>
      </c>
      <c r="B621" s="550" t="s">
        <v>293</v>
      </c>
      <c r="C621" s="202" t="s">
        <v>1009</v>
      </c>
      <c r="D621" s="201" t="s">
        <v>31</v>
      </c>
      <c r="E621" s="512" t="s">
        <v>32</v>
      </c>
      <c r="F621" s="586" t="s">
        <v>900</v>
      </c>
      <c r="G621" s="202" t="s">
        <v>901</v>
      </c>
      <c r="H621" s="201">
        <v>20</v>
      </c>
      <c r="I621" s="201" t="s">
        <v>900</v>
      </c>
      <c r="J621" s="77"/>
      <c r="K621" s="77"/>
      <c r="N621" s="76">
        <v>224</v>
      </c>
    </row>
    <row r="622" spans="1:14" hidden="1" x14ac:dyDescent="0.25">
      <c r="A622" s="77">
        <v>5</v>
      </c>
      <c r="B622" s="550" t="s">
        <v>294</v>
      </c>
      <c r="C622" s="202" t="s">
        <v>295</v>
      </c>
      <c r="D622" s="201" t="s">
        <v>31</v>
      </c>
      <c r="E622" s="512" t="s">
        <v>32</v>
      </c>
      <c r="F622" s="586" t="s">
        <v>900</v>
      </c>
      <c r="G622" s="202" t="s">
        <v>901</v>
      </c>
      <c r="H622" s="201">
        <v>20</v>
      </c>
      <c r="I622" s="201" t="s">
        <v>900</v>
      </c>
      <c r="J622" s="77"/>
      <c r="K622" s="77"/>
      <c r="N622" s="76">
        <v>225</v>
      </c>
    </row>
    <row r="623" spans="1:14" hidden="1" x14ac:dyDescent="0.25">
      <c r="A623" s="77">
        <v>5</v>
      </c>
      <c r="B623" s="550" t="s">
        <v>296</v>
      </c>
      <c r="C623" s="202" t="s">
        <v>297</v>
      </c>
      <c r="D623" s="201" t="s">
        <v>31</v>
      </c>
      <c r="E623" s="512" t="s">
        <v>32</v>
      </c>
      <c r="F623" s="586" t="s">
        <v>900</v>
      </c>
      <c r="G623" s="202" t="s">
        <v>901</v>
      </c>
      <c r="H623" s="201">
        <v>20</v>
      </c>
      <c r="I623" s="201" t="s">
        <v>900</v>
      </c>
      <c r="J623" s="77"/>
      <c r="K623" s="77"/>
      <c r="N623" s="76">
        <v>226</v>
      </c>
    </row>
    <row r="624" spans="1:14" hidden="1" x14ac:dyDescent="0.25">
      <c r="A624" s="77">
        <v>5</v>
      </c>
      <c r="B624" s="550" t="s">
        <v>298</v>
      </c>
      <c r="C624" s="202" t="s">
        <v>299</v>
      </c>
      <c r="D624" s="201" t="s">
        <v>31</v>
      </c>
      <c r="E624" s="512" t="s">
        <v>32</v>
      </c>
      <c r="F624" s="586" t="s">
        <v>900</v>
      </c>
      <c r="G624" s="202" t="s">
        <v>901</v>
      </c>
      <c r="H624" s="201">
        <v>20</v>
      </c>
      <c r="I624" s="201" t="s">
        <v>900</v>
      </c>
      <c r="J624" s="77"/>
      <c r="K624" s="77"/>
      <c r="N624" s="76">
        <v>227</v>
      </c>
    </row>
    <row r="625" spans="1:14" hidden="1" x14ac:dyDescent="0.25">
      <c r="A625" s="77">
        <v>5</v>
      </c>
      <c r="B625" s="550" t="s">
        <v>300</v>
      </c>
      <c r="C625" s="202" t="s">
        <v>286</v>
      </c>
      <c r="D625" s="201" t="s">
        <v>31</v>
      </c>
      <c r="E625" s="512" t="s">
        <v>32</v>
      </c>
      <c r="F625" s="586" t="s">
        <v>900</v>
      </c>
      <c r="G625" s="202" t="s">
        <v>901</v>
      </c>
      <c r="H625" s="201">
        <v>20</v>
      </c>
      <c r="I625" s="201" t="s">
        <v>900</v>
      </c>
      <c r="J625" s="77"/>
      <c r="K625" s="77"/>
      <c r="N625" s="76">
        <v>228</v>
      </c>
    </row>
    <row r="626" spans="1:14" hidden="1" x14ac:dyDescent="0.25">
      <c r="A626" s="77">
        <v>5</v>
      </c>
      <c r="B626" s="550" t="s">
        <v>301</v>
      </c>
      <c r="C626" s="202" t="s">
        <v>302</v>
      </c>
      <c r="D626" s="201" t="s">
        <v>31</v>
      </c>
      <c r="E626" s="512" t="s">
        <v>32</v>
      </c>
      <c r="F626" s="586" t="s">
        <v>900</v>
      </c>
      <c r="G626" s="202" t="s">
        <v>901</v>
      </c>
      <c r="H626" s="201">
        <v>20</v>
      </c>
      <c r="I626" s="201" t="s">
        <v>900</v>
      </c>
      <c r="J626" s="77"/>
      <c r="K626" s="77"/>
      <c r="N626" s="76">
        <v>229</v>
      </c>
    </row>
    <row r="627" spans="1:14" hidden="1" x14ac:dyDescent="0.25">
      <c r="A627" s="77">
        <v>5</v>
      </c>
      <c r="B627" s="550" t="s">
        <v>787</v>
      </c>
      <c r="C627" s="202" t="s">
        <v>788</v>
      </c>
      <c r="D627" s="201" t="s">
        <v>31</v>
      </c>
      <c r="E627" s="512" t="s">
        <v>32</v>
      </c>
      <c r="F627" s="586" t="s">
        <v>900</v>
      </c>
      <c r="G627" s="202" t="s">
        <v>901</v>
      </c>
      <c r="H627" s="201">
        <v>20</v>
      </c>
      <c r="I627" s="201" t="s">
        <v>900</v>
      </c>
      <c r="J627" s="77"/>
      <c r="K627" s="77"/>
      <c r="N627" s="76">
        <v>230</v>
      </c>
    </row>
    <row r="628" spans="1:14" hidden="1" x14ac:dyDescent="0.25">
      <c r="A628" s="77">
        <v>5</v>
      </c>
      <c r="B628" s="550" t="s">
        <v>303</v>
      </c>
      <c r="C628" s="202" t="s">
        <v>304</v>
      </c>
      <c r="D628" s="201" t="s">
        <v>31</v>
      </c>
      <c r="E628" s="512" t="s">
        <v>32</v>
      </c>
      <c r="F628" s="586" t="s">
        <v>900</v>
      </c>
      <c r="G628" s="202" t="s">
        <v>901</v>
      </c>
      <c r="H628" s="201">
        <v>20</v>
      </c>
      <c r="I628" s="201" t="s">
        <v>900</v>
      </c>
      <c r="J628" s="77"/>
      <c r="K628" s="77"/>
      <c r="N628" s="76">
        <v>231</v>
      </c>
    </row>
    <row r="629" spans="1:14" hidden="1" x14ac:dyDescent="0.25">
      <c r="A629" s="77">
        <v>5</v>
      </c>
      <c r="B629" s="550" t="s">
        <v>305</v>
      </c>
      <c r="C629" s="202" t="s">
        <v>306</v>
      </c>
      <c r="D629" s="201" t="s">
        <v>31</v>
      </c>
      <c r="E629" s="512" t="s">
        <v>32</v>
      </c>
      <c r="F629" s="586" t="s">
        <v>900</v>
      </c>
      <c r="G629" s="202" t="s">
        <v>901</v>
      </c>
      <c r="H629" s="201">
        <v>21</v>
      </c>
      <c r="I629" s="201" t="s">
        <v>905</v>
      </c>
      <c r="J629" s="77"/>
      <c r="K629" s="77"/>
      <c r="N629" s="76">
        <v>232</v>
      </c>
    </row>
    <row r="630" spans="1:14" hidden="1" x14ac:dyDescent="0.25">
      <c r="A630" s="77">
        <v>5</v>
      </c>
      <c r="B630" s="550" t="s">
        <v>307</v>
      </c>
      <c r="C630" s="202" t="s">
        <v>308</v>
      </c>
      <c r="D630" s="201" t="s">
        <v>31</v>
      </c>
      <c r="E630" s="512" t="s">
        <v>32</v>
      </c>
      <c r="F630" s="586" t="s">
        <v>900</v>
      </c>
      <c r="G630" s="202" t="s">
        <v>901</v>
      </c>
      <c r="H630" s="201">
        <v>21</v>
      </c>
      <c r="I630" s="201" t="s">
        <v>905</v>
      </c>
      <c r="J630" s="77"/>
      <c r="K630" s="77" t="s">
        <v>6255</v>
      </c>
      <c r="N630" s="76">
        <v>233</v>
      </c>
    </row>
    <row r="631" spans="1:14" hidden="1" x14ac:dyDescent="0.25">
      <c r="A631" s="77">
        <v>5</v>
      </c>
      <c r="B631" s="550" t="s">
        <v>309</v>
      </c>
      <c r="C631" s="202" t="s">
        <v>1112</v>
      </c>
      <c r="D631" s="201" t="s">
        <v>31</v>
      </c>
      <c r="E631" s="512" t="s">
        <v>32</v>
      </c>
      <c r="F631" s="586" t="s">
        <v>900</v>
      </c>
      <c r="G631" s="202" t="s">
        <v>901</v>
      </c>
      <c r="H631" s="201">
        <v>21</v>
      </c>
      <c r="I631" s="201" t="s">
        <v>905</v>
      </c>
      <c r="J631" s="77"/>
      <c r="K631" s="77" t="s">
        <v>6255</v>
      </c>
      <c r="N631" s="76">
        <v>234</v>
      </c>
    </row>
    <row r="632" spans="1:14" hidden="1" x14ac:dyDescent="0.25">
      <c r="A632" s="77">
        <v>5</v>
      </c>
      <c r="B632" s="550" t="s">
        <v>1107</v>
      </c>
      <c r="C632" s="202" t="s">
        <v>1110</v>
      </c>
      <c r="D632" s="201" t="s">
        <v>31</v>
      </c>
      <c r="E632" s="512" t="s">
        <v>32</v>
      </c>
      <c r="F632" s="586" t="s">
        <v>900</v>
      </c>
      <c r="G632" s="202" t="s">
        <v>901</v>
      </c>
      <c r="H632" s="201">
        <v>21</v>
      </c>
      <c r="I632" s="201" t="s">
        <v>905</v>
      </c>
      <c r="J632" s="77"/>
      <c r="K632" s="77" t="s">
        <v>6255</v>
      </c>
      <c r="N632" s="76">
        <v>235</v>
      </c>
    </row>
    <row r="633" spans="1:14" hidden="1" x14ac:dyDescent="0.25">
      <c r="A633" s="77">
        <v>5</v>
      </c>
      <c r="B633" s="550" t="s">
        <v>310</v>
      </c>
      <c r="C633" s="202" t="s">
        <v>1111</v>
      </c>
      <c r="D633" s="201" t="s">
        <v>31</v>
      </c>
      <c r="E633" s="512" t="s">
        <v>32</v>
      </c>
      <c r="F633" s="586" t="s">
        <v>900</v>
      </c>
      <c r="G633" s="202" t="s">
        <v>901</v>
      </c>
      <c r="H633" s="201">
        <v>23</v>
      </c>
      <c r="I633" s="201" t="s">
        <v>917</v>
      </c>
      <c r="J633" s="77"/>
      <c r="K633" s="77"/>
      <c r="N633" s="76">
        <v>236</v>
      </c>
    </row>
    <row r="634" spans="1:14" hidden="1" x14ac:dyDescent="0.25">
      <c r="A634" s="77">
        <v>5</v>
      </c>
      <c r="B634" s="550" t="s">
        <v>1108</v>
      </c>
      <c r="C634" s="202" t="s">
        <v>1113</v>
      </c>
      <c r="D634" s="201" t="s">
        <v>31</v>
      </c>
      <c r="E634" s="512" t="s">
        <v>32</v>
      </c>
      <c r="F634" s="586" t="s">
        <v>900</v>
      </c>
      <c r="G634" s="202" t="s">
        <v>901</v>
      </c>
      <c r="H634" s="201">
        <v>23</v>
      </c>
      <c r="I634" s="201" t="s">
        <v>917</v>
      </c>
      <c r="J634" s="77"/>
      <c r="K634" s="77" t="s">
        <v>6255</v>
      </c>
      <c r="N634" s="76">
        <v>237</v>
      </c>
    </row>
    <row r="635" spans="1:14" hidden="1" x14ac:dyDescent="0.25">
      <c r="A635" s="77">
        <v>5</v>
      </c>
      <c r="B635" s="550" t="s">
        <v>311</v>
      </c>
      <c r="C635" s="202" t="s">
        <v>1116</v>
      </c>
      <c r="D635" s="201" t="s">
        <v>33</v>
      </c>
      <c r="E635" s="512" t="s">
        <v>34</v>
      </c>
      <c r="F635" s="586" t="s">
        <v>905</v>
      </c>
      <c r="G635" s="202" t="s">
        <v>906</v>
      </c>
      <c r="H635" s="201">
        <v>21</v>
      </c>
      <c r="I635" s="201" t="s">
        <v>911</v>
      </c>
      <c r="J635" s="77"/>
      <c r="K635" s="77"/>
      <c r="N635" s="76">
        <v>238</v>
      </c>
    </row>
    <row r="636" spans="1:14" hidden="1" x14ac:dyDescent="0.25">
      <c r="A636" s="77">
        <v>5</v>
      </c>
      <c r="B636" s="550" t="s">
        <v>1109</v>
      </c>
      <c r="C636" s="202" t="s">
        <v>1117</v>
      </c>
      <c r="D636" s="201" t="s">
        <v>33</v>
      </c>
      <c r="E636" s="512" t="s">
        <v>34</v>
      </c>
      <c r="F636" s="586" t="s">
        <v>905</v>
      </c>
      <c r="G636" s="202" t="s">
        <v>906</v>
      </c>
      <c r="H636" s="201">
        <v>21</v>
      </c>
      <c r="I636" s="201" t="s">
        <v>911</v>
      </c>
      <c r="J636" s="77"/>
      <c r="K636" s="77" t="s">
        <v>6256</v>
      </c>
      <c r="N636" s="76">
        <v>239</v>
      </c>
    </row>
    <row r="637" spans="1:14" hidden="1" x14ac:dyDescent="0.25">
      <c r="A637" s="77">
        <v>5</v>
      </c>
      <c r="B637" s="550" t="s">
        <v>312</v>
      </c>
      <c r="C637" s="202" t="s">
        <v>1118</v>
      </c>
      <c r="D637" s="201" t="s">
        <v>33</v>
      </c>
      <c r="E637" s="512" t="s">
        <v>34</v>
      </c>
      <c r="F637" s="586" t="s">
        <v>905</v>
      </c>
      <c r="G637" s="202" t="s">
        <v>906</v>
      </c>
      <c r="H637" s="201">
        <v>21</v>
      </c>
      <c r="I637" s="201" t="s">
        <v>911</v>
      </c>
      <c r="J637" s="77"/>
      <c r="K637" s="77"/>
      <c r="N637" s="76">
        <v>240</v>
      </c>
    </row>
    <row r="638" spans="1:14" hidden="1" x14ac:dyDescent="0.25">
      <c r="A638" s="77">
        <v>5</v>
      </c>
      <c r="B638" s="550" t="s">
        <v>1114</v>
      </c>
      <c r="C638" s="202" t="s">
        <v>1119</v>
      </c>
      <c r="D638" s="201" t="s">
        <v>33</v>
      </c>
      <c r="E638" s="512" t="s">
        <v>34</v>
      </c>
      <c r="F638" s="586" t="s">
        <v>905</v>
      </c>
      <c r="G638" s="202" t="s">
        <v>906</v>
      </c>
      <c r="H638" s="201">
        <v>21</v>
      </c>
      <c r="I638" s="201" t="s">
        <v>911</v>
      </c>
      <c r="J638" s="77"/>
      <c r="K638" s="77" t="s">
        <v>6256</v>
      </c>
      <c r="N638" s="76">
        <v>241</v>
      </c>
    </row>
    <row r="639" spans="1:14" hidden="1" x14ac:dyDescent="0.25">
      <c r="A639" s="77">
        <v>5</v>
      </c>
      <c r="B639" s="550" t="s">
        <v>313</v>
      </c>
      <c r="C639" s="202" t="s">
        <v>1120</v>
      </c>
      <c r="D639" s="201" t="s">
        <v>33</v>
      </c>
      <c r="E639" s="512" t="s">
        <v>34</v>
      </c>
      <c r="F639" s="586" t="s">
        <v>905</v>
      </c>
      <c r="G639" s="202" t="s">
        <v>906</v>
      </c>
      <c r="H639" s="201">
        <v>21</v>
      </c>
      <c r="I639" s="201" t="s">
        <v>911</v>
      </c>
      <c r="J639" s="77"/>
      <c r="K639" s="77"/>
      <c r="N639" s="76">
        <v>242</v>
      </c>
    </row>
    <row r="640" spans="1:14" hidden="1" x14ac:dyDescent="0.25">
      <c r="A640" s="77">
        <v>5</v>
      </c>
      <c r="B640" s="550" t="s">
        <v>1115</v>
      </c>
      <c r="C640" s="202" t="s">
        <v>1121</v>
      </c>
      <c r="D640" s="201" t="s">
        <v>33</v>
      </c>
      <c r="E640" s="512" t="s">
        <v>34</v>
      </c>
      <c r="F640" s="586" t="s">
        <v>905</v>
      </c>
      <c r="G640" s="202" t="s">
        <v>906</v>
      </c>
      <c r="H640" s="201">
        <v>21</v>
      </c>
      <c r="I640" s="201" t="s">
        <v>911</v>
      </c>
      <c r="J640" s="77"/>
      <c r="K640" s="77" t="s">
        <v>6256</v>
      </c>
      <c r="N640" s="76">
        <v>243</v>
      </c>
    </row>
    <row r="641" spans="1:14" hidden="1" x14ac:dyDescent="0.25">
      <c r="A641" s="77">
        <v>5</v>
      </c>
      <c r="B641" s="550" t="s">
        <v>789</v>
      </c>
      <c r="C641" s="202" t="s">
        <v>379</v>
      </c>
      <c r="D641" s="201" t="s">
        <v>37</v>
      </c>
      <c r="E641" s="512" t="s">
        <v>38</v>
      </c>
      <c r="F641" s="586" t="s">
        <v>917</v>
      </c>
      <c r="G641" s="202" t="s">
        <v>918</v>
      </c>
      <c r="H641" s="201">
        <v>16</v>
      </c>
      <c r="I641" s="201" t="s">
        <v>889</v>
      </c>
      <c r="J641" s="77"/>
      <c r="K641" s="77"/>
      <c r="N641" s="76">
        <v>244</v>
      </c>
    </row>
    <row r="642" spans="1:14" hidden="1" x14ac:dyDescent="0.25">
      <c r="A642" s="77">
        <v>5</v>
      </c>
      <c r="B642" s="550" t="s">
        <v>790</v>
      </c>
      <c r="C642" s="202" t="s">
        <v>380</v>
      </c>
      <c r="D642" s="201" t="s">
        <v>37</v>
      </c>
      <c r="E642" s="512" t="s">
        <v>38</v>
      </c>
      <c r="F642" s="586" t="s">
        <v>917</v>
      </c>
      <c r="G642" s="202" t="s">
        <v>918</v>
      </c>
      <c r="H642" s="201">
        <v>23</v>
      </c>
      <c r="I642" s="201" t="s">
        <v>917</v>
      </c>
      <c r="J642" s="77"/>
      <c r="K642" s="77"/>
      <c r="N642" s="76">
        <v>245</v>
      </c>
    </row>
    <row r="643" spans="1:14" hidden="1" x14ac:dyDescent="0.25">
      <c r="A643" s="77">
        <v>5</v>
      </c>
      <c r="B643" s="550" t="s">
        <v>791</v>
      </c>
      <c r="C643" s="202" t="s">
        <v>381</v>
      </c>
      <c r="D643" s="201" t="s">
        <v>37</v>
      </c>
      <c r="E643" s="512" t="s">
        <v>38</v>
      </c>
      <c r="F643" s="586" t="s">
        <v>917</v>
      </c>
      <c r="G643" s="202" t="s">
        <v>918</v>
      </c>
      <c r="H643" s="201">
        <v>23</v>
      </c>
      <c r="I643" s="201" t="s">
        <v>917</v>
      </c>
      <c r="J643" s="77"/>
      <c r="K643" s="77"/>
      <c r="N643" s="76">
        <v>246</v>
      </c>
    </row>
    <row r="644" spans="1:14" hidden="1" x14ac:dyDescent="0.25">
      <c r="A644" s="77">
        <v>5</v>
      </c>
      <c r="B644" s="550" t="s">
        <v>792</v>
      </c>
      <c r="C644" s="202" t="s">
        <v>382</v>
      </c>
      <c r="D644" s="201" t="s">
        <v>37</v>
      </c>
      <c r="E644" s="512" t="s">
        <v>38</v>
      </c>
      <c r="F644" s="586" t="s">
        <v>917</v>
      </c>
      <c r="G644" s="202" t="s">
        <v>918</v>
      </c>
      <c r="H644" s="201">
        <v>163</v>
      </c>
      <c r="I644" s="201" t="s">
        <v>887</v>
      </c>
      <c r="J644" s="77"/>
      <c r="K644" s="77"/>
      <c r="N644" s="76">
        <v>247</v>
      </c>
    </row>
    <row r="645" spans="1:14" hidden="1" x14ac:dyDescent="0.25">
      <c r="A645" s="77">
        <v>5</v>
      </c>
      <c r="B645" s="550" t="s">
        <v>793</v>
      </c>
      <c r="C645" s="202" t="s">
        <v>383</v>
      </c>
      <c r="D645" s="201" t="s">
        <v>37</v>
      </c>
      <c r="E645" s="512" t="s">
        <v>38</v>
      </c>
      <c r="F645" s="586" t="s">
        <v>917</v>
      </c>
      <c r="G645" s="202" t="s">
        <v>918</v>
      </c>
      <c r="H645" s="201">
        <v>15</v>
      </c>
      <c r="I645" s="201" t="s">
        <v>883</v>
      </c>
      <c r="J645" s="77"/>
      <c r="K645" s="77"/>
      <c r="N645" s="76">
        <v>248</v>
      </c>
    </row>
    <row r="646" spans="1:14" hidden="1" x14ac:dyDescent="0.25">
      <c r="A646" s="77">
        <v>5</v>
      </c>
      <c r="B646" s="550" t="s">
        <v>794</v>
      </c>
      <c r="C646" s="202" t="s">
        <v>384</v>
      </c>
      <c r="D646" s="201" t="s">
        <v>37</v>
      </c>
      <c r="E646" s="512" t="s">
        <v>38</v>
      </c>
      <c r="F646" s="586" t="s">
        <v>917</v>
      </c>
      <c r="G646" s="202" t="s">
        <v>918</v>
      </c>
      <c r="H646" s="201">
        <v>23</v>
      </c>
      <c r="I646" s="201" t="s">
        <v>917</v>
      </c>
      <c r="J646" s="77"/>
      <c r="K646" s="77"/>
      <c r="N646" s="76">
        <v>249</v>
      </c>
    </row>
    <row r="647" spans="1:14" hidden="1" x14ac:dyDescent="0.25">
      <c r="A647" s="77">
        <v>5</v>
      </c>
      <c r="B647" s="550" t="s">
        <v>795</v>
      </c>
      <c r="C647" s="202" t="s">
        <v>389</v>
      </c>
      <c r="D647" s="201" t="s">
        <v>37</v>
      </c>
      <c r="E647" s="512" t="s">
        <v>38</v>
      </c>
      <c r="F647" s="586" t="s">
        <v>917</v>
      </c>
      <c r="G647" s="202" t="s">
        <v>918</v>
      </c>
      <c r="H647" s="201">
        <v>21</v>
      </c>
      <c r="I647" s="201" t="s">
        <v>905</v>
      </c>
      <c r="J647" s="77"/>
      <c r="K647" s="77"/>
      <c r="N647" s="76">
        <v>250</v>
      </c>
    </row>
    <row r="648" spans="1:14" hidden="1" x14ac:dyDescent="0.25">
      <c r="A648" s="77">
        <v>5</v>
      </c>
      <c r="B648" s="550" t="s">
        <v>2270</v>
      </c>
      <c r="C648" s="202" t="s">
        <v>390</v>
      </c>
      <c r="D648" s="201" t="s">
        <v>37</v>
      </c>
      <c r="E648" s="512" t="s">
        <v>38</v>
      </c>
      <c r="F648" s="586" t="s">
        <v>917</v>
      </c>
      <c r="G648" s="202" t="s">
        <v>918</v>
      </c>
      <c r="H648" s="201">
        <v>21</v>
      </c>
      <c r="I648" s="201" t="s">
        <v>905</v>
      </c>
      <c r="J648" s="77"/>
      <c r="K648" s="77"/>
      <c r="N648" s="76">
        <v>251</v>
      </c>
    </row>
    <row r="649" spans="1:14" hidden="1" x14ac:dyDescent="0.25">
      <c r="A649" s="77">
        <v>5</v>
      </c>
      <c r="B649" s="550" t="s">
        <v>796</v>
      </c>
      <c r="C649" s="202" t="s">
        <v>391</v>
      </c>
      <c r="D649" s="201" t="s">
        <v>37</v>
      </c>
      <c r="E649" s="512" t="s">
        <v>38</v>
      </c>
      <c r="F649" s="586" t="s">
        <v>917</v>
      </c>
      <c r="G649" s="202" t="s">
        <v>918</v>
      </c>
      <c r="H649" s="201">
        <v>21</v>
      </c>
      <c r="I649" s="201" t="s">
        <v>905</v>
      </c>
      <c r="J649" s="77"/>
      <c r="K649" s="77"/>
      <c r="N649" s="76">
        <v>252</v>
      </c>
    </row>
    <row r="650" spans="1:14" hidden="1" x14ac:dyDescent="0.25">
      <c r="A650" s="77">
        <v>5</v>
      </c>
      <c r="B650" s="550" t="s">
        <v>314</v>
      </c>
      <c r="C650" s="202" t="s">
        <v>315</v>
      </c>
      <c r="D650" s="201" t="s">
        <v>33</v>
      </c>
      <c r="E650" s="512" t="s">
        <v>34</v>
      </c>
      <c r="F650" s="586" t="s">
        <v>907</v>
      </c>
      <c r="G650" s="202" t="s">
        <v>908</v>
      </c>
      <c r="H650" s="201">
        <v>21</v>
      </c>
      <c r="I650" s="201" t="s">
        <v>907</v>
      </c>
      <c r="J650" s="77"/>
      <c r="K650" s="77" t="s">
        <v>6256</v>
      </c>
      <c r="N650" s="76">
        <v>253</v>
      </c>
    </row>
    <row r="651" spans="1:14" hidden="1" x14ac:dyDescent="0.25">
      <c r="A651" s="77">
        <v>5</v>
      </c>
      <c r="B651" s="550" t="s">
        <v>316</v>
      </c>
      <c r="C651" s="202" t="s">
        <v>317</v>
      </c>
      <c r="D651" s="201" t="s">
        <v>33</v>
      </c>
      <c r="E651" s="512" t="s">
        <v>34</v>
      </c>
      <c r="F651" s="586" t="s">
        <v>907</v>
      </c>
      <c r="G651" s="202" t="s">
        <v>908</v>
      </c>
      <c r="H651" s="201">
        <v>21</v>
      </c>
      <c r="I651" s="201" t="s">
        <v>909</v>
      </c>
      <c r="J651" s="77"/>
      <c r="K651" s="77" t="s">
        <v>6256</v>
      </c>
      <c r="N651" s="76">
        <v>254</v>
      </c>
    </row>
    <row r="652" spans="1:14" hidden="1" x14ac:dyDescent="0.25">
      <c r="A652" s="77">
        <v>5</v>
      </c>
      <c r="B652" s="550" t="s">
        <v>318</v>
      </c>
      <c r="C652" s="202" t="s">
        <v>319</v>
      </c>
      <c r="D652" s="201" t="s">
        <v>33</v>
      </c>
      <c r="E652" s="512" t="s">
        <v>34</v>
      </c>
      <c r="F652" s="586" t="s">
        <v>907</v>
      </c>
      <c r="G652" s="202" t="s">
        <v>908</v>
      </c>
      <c r="H652" s="201">
        <v>21</v>
      </c>
      <c r="I652" s="201" t="s">
        <v>909</v>
      </c>
      <c r="J652" s="77"/>
      <c r="K652" s="77" t="s">
        <v>6256</v>
      </c>
      <c r="N652" s="76">
        <v>255</v>
      </c>
    </row>
    <row r="653" spans="1:14" hidden="1" x14ac:dyDescent="0.25">
      <c r="A653" s="77">
        <v>5</v>
      </c>
      <c r="B653" s="550" t="s">
        <v>320</v>
      </c>
      <c r="C653" s="202" t="s">
        <v>321</v>
      </c>
      <c r="D653" s="201" t="s">
        <v>33</v>
      </c>
      <c r="E653" s="512" t="s">
        <v>34</v>
      </c>
      <c r="F653" s="586" t="s">
        <v>907</v>
      </c>
      <c r="G653" s="202" t="s">
        <v>908</v>
      </c>
      <c r="H653" s="201">
        <v>21</v>
      </c>
      <c r="I653" s="201" t="s">
        <v>909</v>
      </c>
      <c r="J653" s="77"/>
      <c r="K653" s="77" t="s">
        <v>6256</v>
      </c>
      <c r="N653" s="76">
        <v>256</v>
      </c>
    </row>
    <row r="654" spans="1:14" hidden="1" x14ac:dyDescent="0.25">
      <c r="A654" s="77">
        <v>5</v>
      </c>
      <c r="B654" s="550" t="s">
        <v>322</v>
      </c>
      <c r="C654" s="202" t="s">
        <v>323</v>
      </c>
      <c r="D654" s="201" t="s">
        <v>33</v>
      </c>
      <c r="E654" s="512" t="s">
        <v>34</v>
      </c>
      <c r="F654" s="586" t="s">
        <v>907</v>
      </c>
      <c r="G654" s="202" t="s">
        <v>908</v>
      </c>
      <c r="H654" s="201">
        <v>21</v>
      </c>
      <c r="I654" s="201" t="s">
        <v>909</v>
      </c>
      <c r="J654" s="77"/>
      <c r="K654" s="77" t="s">
        <v>6256</v>
      </c>
      <c r="N654" s="76">
        <v>257</v>
      </c>
    </row>
    <row r="655" spans="1:14" hidden="1" x14ac:dyDescent="0.25">
      <c r="A655" s="77">
        <v>5</v>
      </c>
      <c r="B655" s="550" t="s">
        <v>324</v>
      </c>
      <c r="C655" s="202" t="s">
        <v>325</v>
      </c>
      <c r="D655" s="201" t="s">
        <v>33</v>
      </c>
      <c r="E655" s="512" t="s">
        <v>34</v>
      </c>
      <c r="F655" s="586" t="s">
        <v>907</v>
      </c>
      <c r="G655" s="202" t="s">
        <v>908</v>
      </c>
      <c r="H655" s="201">
        <v>21</v>
      </c>
      <c r="I655" s="201" t="s">
        <v>909</v>
      </c>
      <c r="J655" s="77"/>
      <c r="K655" s="77" t="s">
        <v>6256</v>
      </c>
      <c r="N655" s="76">
        <v>258</v>
      </c>
    </row>
    <row r="656" spans="1:14" hidden="1" x14ac:dyDescent="0.25">
      <c r="A656" s="77">
        <v>5</v>
      </c>
      <c r="B656" s="550" t="s">
        <v>326</v>
      </c>
      <c r="C656" s="202" t="s">
        <v>327</v>
      </c>
      <c r="D656" s="201" t="s">
        <v>33</v>
      </c>
      <c r="E656" s="512" t="s">
        <v>34</v>
      </c>
      <c r="F656" s="586" t="s">
        <v>907</v>
      </c>
      <c r="G656" s="202" t="s">
        <v>908</v>
      </c>
      <c r="H656" s="201">
        <v>23</v>
      </c>
      <c r="I656" s="201" t="s">
        <v>917</v>
      </c>
      <c r="J656" s="77"/>
      <c r="K656" s="77" t="s">
        <v>6256</v>
      </c>
      <c r="N656" s="76">
        <v>259</v>
      </c>
    </row>
    <row r="657" spans="1:14" hidden="1" x14ac:dyDescent="0.25">
      <c r="A657" s="77">
        <v>5</v>
      </c>
      <c r="B657" s="550" t="s">
        <v>328</v>
      </c>
      <c r="C657" s="202" t="s">
        <v>329</v>
      </c>
      <c r="D657" s="201" t="s">
        <v>33</v>
      </c>
      <c r="E657" s="512" t="s">
        <v>34</v>
      </c>
      <c r="F657" s="586" t="s">
        <v>907</v>
      </c>
      <c r="G657" s="202" t="s">
        <v>908</v>
      </c>
      <c r="H657" s="201">
        <v>21</v>
      </c>
      <c r="I657" s="201" t="s">
        <v>911</v>
      </c>
      <c r="J657" s="77"/>
      <c r="K657" s="77" t="s">
        <v>6256</v>
      </c>
      <c r="N657" s="76">
        <v>260</v>
      </c>
    </row>
    <row r="658" spans="1:14" hidden="1" x14ac:dyDescent="0.25">
      <c r="A658" s="77">
        <v>5</v>
      </c>
      <c r="B658" s="550" t="s">
        <v>330</v>
      </c>
      <c r="C658" s="202" t="s">
        <v>331</v>
      </c>
      <c r="D658" s="201" t="s">
        <v>33</v>
      </c>
      <c r="E658" s="512" t="s">
        <v>34</v>
      </c>
      <c r="F658" s="586" t="s">
        <v>909</v>
      </c>
      <c r="G658" s="202" t="s">
        <v>910</v>
      </c>
      <c r="H658" s="201">
        <v>23</v>
      </c>
      <c r="I658" s="201" t="s">
        <v>917</v>
      </c>
      <c r="J658" s="77"/>
      <c r="K658" s="77" t="s">
        <v>6256</v>
      </c>
      <c r="N658" s="76">
        <v>261</v>
      </c>
    </row>
    <row r="659" spans="1:14" hidden="1" x14ac:dyDescent="0.25">
      <c r="A659" s="77">
        <v>5</v>
      </c>
      <c r="B659" s="550" t="s">
        <v>332</v>
      </c>
      <c r="C659" s="202" t="s">
        <v>333</v>
      </c>
      <c r="D659" s="201" t="s">
        <v>33</v>
      </c>
      <c r="E659" s="512" t="s">
        <v>34</v>
      </c>
      <c r="F659" s="586" t="s">
        <v>909</v>
      </c>
      <c r="G659" s="202" t="s">
        <v>910</v>
      </c>
      <c r="H659" s="201">
        <v>23</v>
      </c>
      <c r="I659" s="201" t="s">
        <v>917</v>
      </c>
      <c r="J659" s="77"/>
      <c r="K659" s="77" t="s">
        <v>6256</v>
      </c>
      <c r="N659" s="76">
        <v>262</v>
      </c>
    </row>
    <row r="660" spans="1:14" hidden="1" x14ac:dyDescent="0.25">
      <c r="A660" s="77">
        <v>5</v>
      </c>
      <c r="B660" s="550" t="s">
        <v>334</v>
      </c>
      <c r="C660" s="202" t="s">
        <v>1010</v>
      </c>
      <c r="D660" s="201" t="s">
        <v>33</v>
      </c>
      <c r="E660" s="512" t="s">
        <v>34</v>
      </c>
      <c r="F660" s="586" t="s">
        <v>909</v>
      </c>
      <c r="G660" s="202" t="s">
        <v>910</v>
      </c>
      <c r="H660" s="201">
        <v>23</v>
      </c>
      <c r="I660" s="201" t="s">
        <v>917</v>
      </c>
      <c r="J660" s="77"/>
      <c r="K660" s="77" t="s">
        <v>6256</v>
      </c>
      <c r="N660" s="76">
        <v>263</v>
      </c>
    </row>
    <row r="661" spans="1:14" hidden="1" x14ac:dyDescent="0.25">
      <c r="A661" s="77">
        <v>5</v>
      </c>
      <c r="B661" s="550" t="s">
        <v>335</v>
      </c>
      <c r="C661" s="202" t="s">
        <v>336</v>
      </c>
      <c r="D661" s="201" t="s">
        <v>33</v>
      </c>
      <c r="E661" s="512" t="s">
        <v>34</v>
      </c>
      <c r="F661" s="586" t="s">
        <v>909</v>
      </c>
      <c r="G661" s="202" t="s">
        <v>910</v>
      </c>
      <c r="H661" s="201">
        <v>23</v>
      </c>
      <c r="I661" s="201" t="s">
        <v>917</v>
      </c>
      <c r="J661" s="77"/>
      <c r="K661" s="77" t="s">
        <v>6256</v>
      </c>
      <c r="N661" s="76">
        <v>264</v>
      </c>
    </row>
    <row r="662" spans="1:14" hidden="1" x14ac:dyDescent="0.25">
      <c r="A662" s="77">
        <v>5</v>
      </c>
      <c r="B662" s="550" t="s">
        <v>337</v>
      </c>
      <c r="C662" s="202" t="s">
        <v>338</v>
      </c>
      <c r="D662" s="201" t="s">
        <v>33</v>
      </c>
      <c r="E662" s="512" t="s">
        <v>34</v>
      </c>
      <c r="F662" s="586" t="s">
        <v>909</v>
      </c>
      <c r="G662" s="202" t="s">
        <v>910</v>
      </c>
      <c r="H662" s="201">
        <v>23</v>
      </c>
      <c r="I662" s="201" t="s">
        <v>917</v>
      </c>
      <c r="J662" s="77"/>
      <c r="K662" s="77" t="s">
        <v>6256</v>
      </c>
      <c r="N662" s="76">
        <v>265</v>
      </c>
    </row>
    <row r="663" spans="1:14" hidden="1" x14ac:dyDescent="0.25">
      <c r="A663" s="77">
        <v>5</v>
      </c>
      <c r="B663" s="550" t="s">
        <v>797</v>
      </c>
      <c r="C663" s="202" t="s">
        <v>798</v>
      </c>
      <c r="D663" s="201" t="s">
        <v>37</v>
      </c>
      <c r="E663" s="512" t="s">
        <v>38</v>
      </c>
      <c r="F663" s="586" t="s">
        <v>917</v>
      </c>
      <c r="G663" s="202" t="s">
        <v>918</v>
      </c>
      <c r="H663" s="201">
        <v>21</v>
      </c>
      <c r="I663" s="201" t="s">
        <v>905</v>
      </c>
      <c r="J663" s="77"/>
      <c r="K663" s="77"/>
      <c r="N663" s="76">
        <v>266</v>
      </c>
    </row>
    <row r="664" spans="1:14" hidden="1" x14ac:dyDescent="0.25">
      <c r="A664" s="77">
        <v>5</v>
      </c>
      <c r="B664" s="550" t="s">
        <v>339</v>
      </c>
      <c r="C664" s="202" t="s">
        <v>340</v>
      </c>
      <c r="D664" s="201" t="s">
        <v>33</v>
      </c>
      <c r="E664" s="512" t="s">
        <v>34</v>
      </c>
      <c r="F664" s="586" t="s">
        <v>911</v>
      </c>
      <c r="G664" s="202" t="s">
        <v>912</v>
      </c>
      <c r="H664" s="201">
        <v>21</v>
      </c>
      <c r="I664" s="201" t="s">
        <v>907</v>
      </c>
      <c r="J664" s="77"/>
      <c r="K664" s="77" t="s">
        <v>6256</v>
      </c>
      <c r="N664" s="76">
        <v>267</v>
      </c>
    </row>
    <row r="665" spans="1:14" hidden="1" x14ac:dyDescent="0.25">
      <c r="A665" s="77">
        <v>5</v>
      </c>
      <c r="B665" s="550" t="s">
        <v>341</v>
      </c>
      <c r="C665" s="202" t="s">
        <v>342</v>
      </c>
      <c r="D665" s="201" t="s">
        <v>33</v>
      </c>
      <c r="E665" s="512" t="s">
        <v>34</v>
      </c>
      <c r="F665" s="586" t="s">
        <v>911</v>
      </c>
      <c r="G665" s="202" t="s">
        <v>912</v>
      </c>
      <c r="H665" s="201">
        <v>21</v>
      </c>
      <c r="I665" s="201" t="s">
        <v>907</v>
      </c>
      <c r="J665" s="77"/>
      <c r="K665" s="77" t="s">
        <v>6256</v>
      </c>
      <c r="N665" s="76">
        <v>268</v>
      </c>
    </row>
    <row r="666" spans="1:14" hidden="1" x14ac:dyDescent="0.25">
      <c r="A666" s="77">
        <v>5</v>
      </c>
      <c r="B666" s="550" t="s">
        <v>343</v>
      </c>
      <c r="C666" s="202" t="s">
        <v>344</v>
      </c>
      <c r="D666" s="201" t="s">
        <v>33</v>
      </c>
      <c r="E666" s="512" t="s">
        <v>34</v>
      </c>
      <c r="F666" s="586" t="s">
        <v>911</v>
      </c>
      <c r="G666" s="202" t="s">
        <v>912</v>
      </c>
      <c r="H666" s="201">
        <v>21</v>
      </c>
      <c r="I666" s="201" t="s">
        <v>907</v>
      </c>
      <c r="J666" s="77"/>
      <c r="K666" s="77" t="s">
        <v>6256</v>
      </c>
      <c r="N666" s="76">
        <v>269</v>
      </c>
    </row>
    <row r="667" spans="1:14" hidden="1" x14ac:dyDescent="0.25">
      <c r="A667" s="77">
        <v>5</v>
      </c>
      <c r="B667" s="550" t="s">
        <v>345</v>
      </c>
      <c r="C667" s="202" t="s">
        <v>346</v>
      </c>
      <c r="D667" s="201" t="s">
        <v>33</v>
      </c>
      <c r="E667" s="512" t="s">
        <v>34</v>
      </c>
      <c r="F667" s="586" t="s">
        <v>911</v>
      </c>
      <c r="G667" s="202" t="s">
        <v>912</v>
      </c>
      <c r="H667" s="201">
        <v>21</v>
      </c>
      <c r="I667" s="201" t="s">
        <v>907</v>
      </c>
      <c r="J667" s="77"/>
      <c r="K667" s="77" t="s">
        <v>6256</v>
      </c>
      <c r="N667" s="76">
        <v>270</v>
      </c>
    </row>
    <row r="668" spans="1:14" hidden="1" x14ac:dyDescent="0.25">
      <c r="A668" s="77">
        <v>5</v>
      </c>
      <c r="B668" s="550" t="s">
        <v>347</v>
      </c>
      <c r="C668" s="202" t="s">
        <v>348</v>
      </c>
      <c r="D668" s="201" t="s">
        <v>33</v>
      </c>
      <c r="E668" s="512" t="s">
        <v>34</v>
      </c>
      <c r="F668" s="586" t="s">
        <v>911</v>
      </c>
      <c r="G668" s="202" t="s">
        <v>912</v>
      </c>
      <c r="H668" s="201">
        <v>21</v>
      </c>
      <c r="I668" s="201" t="s">
        <v>907</v>
      </c>
      <c r="J668" s="77"/>
      <c r="K668" s="77" t="s">
        <v>6256</v>
      </c>
      <c r="N668" s="76">
        <v>271</v>
      </c>
    </row>
    <row r="669" spans="1:14" hidden="1" x14ac:dyDescent="0.25">
      <c r="A669" s="77">
        <v>5</v>
      </c>
      <c r="B669" s="550" t="s">
        <v>349</v>
      </c>
      <c r="C669" s="202" t="s">
        <v>350</v>
      </c>
      <c r="D669" s="201" t="s">
        <v>33</v>
      </c>
      <c r="E669" s="512" t="s">
        <v>34</v>
      </c>
      <c r="F669" s="586" t="s">
        <v>911</v>
      </c>
      <c r="G669" s="202" t="s">
        <v>912</v>
      </c>
      <c r="H669" s="201">
        <v>21</v>
      </c>
      <c r="I669" s="201" t="s">
        <v>907</v>
      </c>
      <c r="J669" s="77"/>
      <c r="K669" s="77" t="s">
        <v>6256</v>
      </c>
      <c r="N669" s="76">
        <v>272</v>
      </c>
    </row>
    <row r="670" spans="1:14" hidden="1" x14ac:dyDescent="0.25">
      <c r="A670" s="77">
        <v>5</v>
      </c>
      <c r="B670" s="550" t="s">
        <v>351</v>
      </c>
      <c r="C670" s="202" t="s">
        <v>1011</v>
      </c>
      <c r="D670" s="201" t="s">
        <v>33</v>
      </c>
      <c r="E670" s="512" t="s">
        <v>34</v>
      </c>
      <c r="F670" s="586" t="s">
        <v>913</v>
      </c>
      <c r="G670" s="202" t="s">
        <v>914</v>
      </c>
      <c r="H670" s="201">
        <v>23</v>
      </c>
      <c r="I670" s="201" t="s">
        <v>917</v>
      </c>
      <c r="J670" s="77"/>
      <c r="K670" s="77" t="s">
        <v>6256</v>
      </c>
      <c r="N670" s="76">
        <v>273</v>
      </c>
    </row>
    <row r="671" spans="1:14" hidden="1" x14ac:dyDescent="0.25">
      <c r="A671" s="77">
        <v>5</v>
      </c>
      <c r="B671" s="550" t="s">
        <v>353</v>
      </c>
      <c r="C671" s="202" t="s">
        <v>1012</v>
      </c>
      <c r="D671" s="201" t="s">
        <v>33</v>
      </c>
      <c r="E671" s="512" t="s">
        <v>34</v>
      </c>
      <c r="F671" s="586" t="s">
        <v>911</v>
      </c>
      <c r="G671" s="202" t="s">
        <v>912</v>
      </c>
      <c r="H671" s="201">
        <v>21</v>
      </c>
      <c r="I671" s="201" t="s">
        <v>907</v>
      </c>
      <c r="J671" s="77"/>
      <c r="K671" s="77" t="s">
        <v>6256</v>
      </c>
      <c r="N671" s="76">
        <v>274</v>
      </c>
    </row>
    <row r="672" spans="1:14" hidden="1" x14ac:dyDescent="0.25">
      <c r="A672" s="77">
        <v>5</v>
      </c>
      <c r="B672" s="550" t="s">
        <v>354</v>
      </c>
      <c r="C672" s="202" t="s">
        <v>355</v>
      </c>
      <c r="D672" s="201" t="s">
        <v>33</v>
      </c>
      <c r="E672" s="512" t="s">
        <v>34</v>
      </c>
      <c r="F672" s="586" t="s">
        <v>913</v>
      </c>
      <c r="G672" s="202" t="s">
        <v>914</v>
      </c>
      <c r="H672" s="201">
        <v>23</v>
      </c>
      <c r="I672" s="201" t="s">
        <v>917</v>
      </c>
      <c r="J672" s="77"/>
      <c r="K672" s="77" t="s">
        <v>6256</v>
      </c>
      <c r="N672" s="76">
        <v>275</v>
      </c>
    </row>
    <row r="673" spans="1:14" hidden="1" x14ac:dyDescent="0.25">
      <c r="A673" s="77">
        <v>5</v>
      </c>
      <c r="B673" s="550" t="s">
        <v>356</v>
      </c>
      <c r="C673" s="202" t="s">
        <v>357</v>
      </c>
      <c r="D673" s="201" t="s">
        <v>33</v>
      </c>
      <c r="E673" s="512" t="s">
        <v>34</v>
      </c>
      <c r="F673" s="586" t="s">
        <v>913</v>
      </c>
      <c r="G673" s="202" t="s">
        <v>914</v>
      </c>
      <c r="H673" s="201">
        <v>23</v>
      </c>
      <c r="I673" s="201" t="s">
        <v>917</v>
      </c>
      <c r="J673" s="77"/>
      <c r="K673" s="77" t="s">
        <v>6256</v>
      </c>
      <c r="N673" s="76">
        <v>276</v>
      </c>
    </row>
    <row r="674" spans="1:14" hidden="1" x14ac:dyDescent="0.25">
      <c r="A674" s="77">
        <v>5</v>
      </c>
      <c r="B674" s="550" t="s">
        <v>358</v>
      </c>
      <c r="C674" s="202" t="s">
        <v>359</v>
      </c>
      <c r="D674" s="201" t="s">
        <v>33</v>
      </c>
      <c r="E674" s="512" t="s">
        <v>34</v>
      </c>
      <c r="F674" s="586" t="s">
        <v>905</v>
      </c>
      <c r="G674" s="202" t="s">
        <v>906</v>
      </c>
      <c r="H674" s="201">
        <v>21</v>
      </c>
      <c r="I674" s="201" t="s">
        <v>911</v>
      </c>
      <c r="J674" s="77"/>
      <c r="K674" s="77" t="s">
        <v>6256</v>
      </c>
      <c r="N674" s="76">
        <v>277</v>
      </c>
    </row>
    <row r="675" spans="1:14" hidden="1" x14ac:dyDescent="0.25">
      <c r="A675" s="77">
        <v>5</v>
      </c>
      <c r="B675" s="550" t="s">
        <v>360</v>
      </c>
      <c r="C675" s="202" t="s">
        <v>361</v>
      </c>
      <c r="D675" s="201" t="s">
        <v>33</v>
      </c>
      <c r="E675" s="512" t="s">
        <v>34</v>
      </c>
      <c r="F675" s="586" t="s">
        <v>905</v>
      </c>
      <c r="G675" s="202" t="s">
        <v>906</v>
      </c>
      <c r="H675" s="201">
        <v>21</v>
      </c>
      <c r="I675" s="201" t="s">
        <v>911</v>
      </c>
      <c r="J675" s="77"/>
      <c r="K675" s="77" t="s">
        <v>6256</v>
      </c>
      <c r="N675" s="76">
        <v>278</v>
      </c>
    </row>
    <row r="676" spans="1:14" hidden="1" x14ac:dyDescent="0.25">
      <c r="A676" s="77">
        <v>5</v>
      </c>
      <c r="B676" s="550" t="s">
        <v>370</v>
      </c>
      <c r="C676" s="202" t="s">
        <v>371</v>
      </c>
      <c r="D676" s="201" t="s">
        <v>35</v>
      </c>
      <c r="E676" s="512" t="s">
        <v>36</v>
      </c>
      <c r="F676" s="586" t="s">
        <v>915</v>
      </c>
      <c r="G676" s="202" t="s">
        <v>916</v>
      </c>
      <c r="H676" s="201">
        <v>21</v>
      </c>
      <c r="I676" s="201" t="s">
        <v>905</v>
      </c>
      <c r="J676" s="77"/>
      <c r="K676" s="77" t="s">
        <v>6257</v>
      </c>
      <c r="N676" s="76">
        <v>279</v>
      </c>
    </row>
    <row r="677" spans="1:14" hidden="1" x14ac:dyDescent="0.25">
      <c r="A677" s="77">
        <v>5</v>
      </c>
      <c r="B677" s="550" t="s">
        <v>372</v>
      </c>
      <c r="C677" s="202" t="s">
        <v>1013</v>
      </c>
      <c r="D677" s="201" t="s">
        <v>35</v>
      </c>
      <c r="E677" s="512" t="s">
        <v>36</v>
      </c>
      <c r="F677" s="586" t="s">
        <v>915</v>
      </c>
      <c r="G677" s="202" t="s">
        <v>916</v>
      </c>
      <c r="H677" s="201">
        <v>21</v>
      </c>
      <c r="I677" s="201" t="s">
        <v>905</v>
      </c>
      <c r="J677" s="77"/>
      <c r="K677" s="77" t="s">
        <v>6257</v>
      </c>
      <c r="N677" s="76">
        <v>280</v>
      </c>
    </row>
    <row r="678" spans="1:14" hidden="1" x14ac:dyDescent="0.25">
      <c r="A678" s="77">
        <v>5</v>
      </c>
      <c r="B678" s="550" t="s">
        <v>373</v>
      </c>
      <c r="C678" s="202" t="s">
        <v>374</v>
      </c>
      <c r="D678" s="201" t="s">
        <v>35</v>
      </c>
      <c r="E678" s="512" t="s">
        <v>36</v>
      </c>
      <c r="F678" s="586" t="s">
        <v>915</v>
      </c>
      <c r="G678" s="202" t="s">
        <v>916</v>
      </c>
      <c r="H678" s="201">
        <v>14</v>
      </c>
      <c r="I678" s="201" t="s">
        <v>881</v>
      </c>
      <c r="J678" s="77"/>
      <c r="K678" s="77" t="s">
        <v>6257</v>
      </c>
      <c r="N678" s="76">
        <v>281</v>
      </c>
    </row>
    <row r="679" spans="1:14" hidden="1" x14ac:dyDescent="0.25">
      <c r="A679" s="77">
        <v>5</v>
      </c>
      <c r="B679" s="550" t="s">
        <v>375</v>
      </c>
      <c r="C679" s="202" t="s">
        <v>376</v>
      </c>
      <c r="D679" s="201" t="s">
        <v>35</v>
      </c>
      <c r="E679" s="512" t="s">
        <v>36</v>
      </c>
      <c r="F679" s="586" t="s">
        <v>915</v>
      </c>
      <c r="G679" s="202" t="s">
        <v>916</v>
      </c>
      <c r="H679" s="201">
        <v>15</v>
      </c>
      <c r="I679" s="201" t="s">
        <v>883</v>
      </c>
      <c r="J679" s="77"/>
      <c r="K679" s="77" t="s">
        <v>6257</v>
      </c>
      <c r="N679" s="76">
        <v>282</v>
      </c>
    </row>
    <row r="680" spans="1:14" hidden="1" x14ac:dyDescent="0.25">
      <c r="A680" s="77">
        <v>5</v>
      </c>
      <c r="B680" s="550" t="s">
        <v>377</v>
      </c>
      <c r="C680" s="202" t="s">
        <v>378</v>
      </c>
      <c r="D680" s="201" t="s">
        <v>35</v>
      </c>
      <c r="E680" s="512" t="s">
        <v>36</v>
      </c>
      <c r="F680" s="586" t="s">
        <v>915</v>
      </c>
      <c r="G680" s="202" t="s">
        <v>916</v>
      </c>
      <c r="H680" s="201">
        <v>15</v>
      </c>
      <c r="I680" s="201" t="s">
        <v>885</v>
      </c>
      <c r="J680" s="77"/>
      <c r="K680" s="77" t="s">
        <v>6257</v>
      </c>
      <c r="N680" s="76">
        <v>283</v>
      </c>
    </row>
    <row r="681" spans="1:14" hidden="1" x14ac:dyDescent="0.25">
      <c r="A681" s="77">
        <v>5</v>
      </c>
      <c r="B681" s="550" t="s">
        <v>362</v>
      </c>
      <c r="C681" s="202" t="s">
        <v>363</v>
      </c>
      <c r="D681" s="201" t="s">
        <v>33</v>
      </c>
      <c r="E681" s="512" t="s">
        <v>34</v>
      </c>
      <c r="F681" s="586" t="s">
        <v>905</v>
      </c>
      <c r="G681" s="202" t="s">
        <v>906</v>
      </c>
      <c r="H681" s="201">
        <v>21</v>
      </c>
      <c r="I681" s="201" t="s">
        <v>913</v>
      </c>
      <c r="J681" s="77"/>
      <c r="K681" s="77" t="s">
        <v>6256</v>
      </c>
      <c r="N681" s="76">
        <v>284</v>
      </c>
    </row>
    <row r="682" spans="1:14" hidden="1" x14ac:dyDescent="0.25">
      <c r="A682" s="77">
        <v>5</v>
      </c>
      <c r="B682" s="550" t="s">
        <v>364</v>
      </c>
      <c r="C682" s="202" t="s">
        <v>365</v>
      </c>
      <c r="D682" s="201" t="s">
        <v>33</v>
      </c>
      <c r="E682" s="512" t="s">
        <v>34</v>
      </c>
      <c r="F682" s="586" t="s">
        <v>905</v>
      </c>
      <c r="G682" s="202" t="s">
        <v>906</v>
      </c>
      <c r="H682" s="201">
        <v>21</v>
      </c>
      <c r="I682" s="201" t="s">
        <v>911</v>
      </c>
      <c r="J682" s="77"/>
      <c r="K682" s="77" t="s">
        <v>6256</v>
      </c>
      <c r="N682" s="76">
        <v>285</v>
      </c>
    </row>
    <row r="683" spans="1:14" hidden="1" x14ac:dyDescent="0.25">
      <c r="A683" s="77">
        <v>5</v>
      </c>
      <c r="B683" s="550" t="s">
        <v>214</v>
      </c>
      <c r="C683" s="202" t="s">
        <v>215</v>
      </c>
      <c r="D683" s="201" t="s">
        <v>19</v>
      </c>
      <c r="E683" s="512" t="s">
        <v>20</v>
      </c>
      <c r="F683" s="586" t="s">
        <v>881</v>
      </c>
      <c r="G683" s="202" t="s">
        <v>882</v>
      </c>
      <c r="H683" s="201">
        <v>12</v>
      </c>
      <c r="I683" s="201" t="s">
        <v>877</v>
      </c>
      <c r="J683" s="77"/>
      <c r="K683" s="77"/>
      <c r="N683" s="76">
        <v>286</v>
      </c>
    </row>
    <row r="684" spans="1:14" hidden="1" x14ac:dyDescent="0.25">
      <c r="A684" s="77">
        <v>5</v>
      </c>
      <c r="B684" s="550" t="s">
        <v>216</v>
      </c>
      <c r="C684" s="202" t="s">
        <v>1014</v>
      </c>
      <c r="D684" s="201" t="s">
        <v>21</v>
      </c>
      <c r="E684" s="512" t="s">
        <v>22</v>
      </c>
      <c r="F684" s="586" t="s">
        <v>883</v>
      </c>
      <c r="G684" s="202" t="s">
        <v>884</v>
      </c>
      <c r="H684" s="201">
        <v>12</v>
      </c>
      <c r="I684" s="201" t="s">
        <v>877</v>
      </c>
      <c r="J684" s="77"/>
      <c r="K684" s="77"/>
      <c r="N684" s="76">
        <v>287</v>
      </c>
    </row>
    <row r="685" spans="1:14" hidden="1" x14ac:dyDescent="0.25">
      <c r="A685" s="77">
        <v>5</v>
      </c>
      <c r="B685" s="550" t="s">
        <v>218</v>
      </c>
      <c r="C685" s="202" t="s">
        <v>1015</v>
      </c>
      <c r="D685" s="201" t="s">
        <v>21</v>
      </c>
      <c r="E685" s="512" t="s">
        <v>22</v>
      </c>
      <c r="F685" s="586" t="s">
        <v>885</v>
      </c>
      <c r="G685" s="202" t="s">
        <v>886</v>
      </c>
      <c r="H685" s="201">
        <v>12</v>
      </c>
      <c r="I685" s="201" t="s">
        <v>877</v>
      </c>
      <c r="J685" s="77"/>
      <c r="K685" s="77"/>
      <c r="N685" s="76">
        <v>288</v>
      </c>
    </row>
    <row r="686" spans="1:14" hidden="1" x14ac:dyDescent="0.25">
      <c r="A686" s="77">
        <v>5</v>
      </c>
      <c r="B686" s="550" t="s">
        <v>221</v>
      </c>
      <c r="C686" s="202" t="s">
        <v>222</v>
      </c>
      <c r="D686" s="201" t="s">
        <v>23</v>
      </c>
      <c r="E686" s="512" t="s">
        <v>24</v>
      </c>
      <c r="F686" s="586" t="s">
        <v>889</v>
      </c>
      <c r="G686" s="202" t="s">
        <v>890</v>
      </c>
      <c r="H686" s="201">
        <v>12</v>
      </c>
      <c r="I686" s="201" t="s">
        <v>877</v>
      </c>
      <c r="J686" s="77"/>
      <c r="K686" s="77"/>
      <c r="N686" s="76">
        <v>289</v>
      </c>
    </row>
    <row r="687" spans="1:14" hidden="1" x14ac:dyDescent="0.25">
      <c r="A687" s="77">
        <v>5</v>
      </c>
      <c r="B687" s="550" t="s">
        <v>385</v>
      </c>
      <c r="C687" s="202" t="s">
        <v>386</v>
      </c>
      <c r="D687" s="201" t="s">
        <v>37</v>
      </c>
      <c r="E687" s="512" t="s">
        <v>38</v>
      </c>
      <c r="F687" s="586" t="s">
        <v>917</v>
      </c>
      <c r="G687" s="202" t="s">
        <v>918</v>
      </c>
      <c r="H687" s="201">
        <v>21</v>
      </c>
      <c r="I687" s="201" t="s">
        <v>905</v>
      </c>
      <c r="J687" s="77"/>
      <c r="K687" s="77"/>
      <c r="N687" s="76">
        <v>290</v>
      </c>
    </row>
    <row r="688" spans="1:14" hidden="1" x14ac:dyDescent="0.25">
      <c r="A688" s="77">
        <v>5</v>
      </c>
      <c r="B688" s="550" t="s">
        <v>387</v>
      </c>
      <c r="C688" s="202" t="s">
        <v>388</v>
      </c>
      <c r="D688" s="201" t="s">
        <v>37</v>
      </c>
      <c r="E688" s="512" t="s">
        <v>38</v>
      </c>
      <c r="F688" s="586" t="s">
        <v>917</v>
      </c>
      <c r="G688" s="202" t="s">
        <v>918</v>
      </c>
      <c r="H688" s="201">
        <v>25</v>
      </c>
      <c r="I688" s="201" t="s">
        <v>931</v>
      </c>
      <c r="J688" s="77"/>
      <c r="K688" s="77"/>
      <c r="N688" s="76">
        <v>291</v>
      </c>
    </row>
    <row r="689" spans="1:14" hidden="1" x14ac:dyDescent="0.25">
      <c r="A689" s="77">
        <v>5</v>
      </c>
      <c r="B689" s="550" t="s">
        <v>219</v>
      </c>
      <c r="C689" s="202" t="s">
        <v>220</v>
      </c>
      <c r="D689" s="201" t="s">
        <v>665</v>
      </c>
      <c r="E689" s="512" t="s">
        <v>666</v>
      </c>
      <c r="F689" s="586" t="s">
        <v>887</v>
      </c>
      <c r="G689" s="202" t="s">
        <v>888</v>
      </c>
      <c r="H689" s="201">
        <v>12</v>
      </c>
      <c r="I689" s="201" t="s">
        <v>877</v>
      </c>
      <c r="J689" s="77"/>
      <c r="K689" s="77"/>
      <c r="N689" s="76">
        <v>292</v>
      </c>
    </row>
    <row r="690" spans="1:14" hidden="1" x14ac:dyDescent="0.25">
      <c r="A690" s="77">
        <v>5</v>
      </c>
      <c r="B690" s="550" t="s">
        <v>799</v>
      </c>
      <c r="C690" s="202" t="s">
        <v>800</v>
      </c>
      <c r="D690" s="201" t="s">
        <v>21</v>
      </c>
      <c r="E690" s="512" t="s">
        <v>22</v>
      </c>
      <c r="F690" s="586" t="s">
        <v>883</v>
      </c>
      <c r="G690" s="202" t="s">
        <v>884</v>
      </c>
      <c r="H690" s="201">
        <v>12</v>
      </c>
      <c r="I690" s="201" t="s">
        <v>877</v>
      </c>
      <c r="J690" s="77"/>
      <c r="K690" s="77"/>
      <c r="N690" s="76">
        <v>293</v>
      </c>
    </row>
    <row r="691" spans="1:14" hidden="1" x14ac:dyDescent="0.25">
      <c r="A691" s="77">
        <v>5</v>
      </c>
      <c r="B691" s="550" t="s">
        <v>392</v>
      </c>
      <c r="C691" s="202" t="s">
        <v>1016</v>
      </c>
      <c r="D691" s="201" t="s">
        <v>37</v>
      </c>
      <c r="E691" s="512" t="s">
        <v>38</v>
      </c>
      <c r="F691" s="586" t="s">
        <v>917</v>
      </c>
      <c r="G691" s="202" t="s">
        <v>918</v>
      </c>
      <c r="H691" s="201">
        <v>21</v>
      </c>
      <c r="I691" s="201" t="s">
        <v>905</v>
      </c>
      <c r="J691" s="77"/>
      <c r="K691" s="77"/>
      <c r="N691" s="76">
        <v>294</v>
      </c>
    </row>
    <row r="692" spans="1:14" hidden="1" x14ac:dyDescent="0.25">
      <c r="A692" s="77">
        <v>5</v>
      </c>
      <c r="B692" s="550" t="s">
        <v>366</v>
      </c>
      <c r="C692" s="202" t="s">
        <v>367</v>
      </c>
      <c r="D692" s="201" t="s">
        <v>33</v>
      </c>
      <c r="E692" s="512" t="s">
        <v>34</v>
      </c>
      <c r="F692" s="586" t="s">
        <v>905</v>
      </c>
      <c r="G692" s="202" t="s">
        <v>906</v>
      </c>
      <c r="H692" s="201">
        <v>21</v>
      </c>
      <c r="I692" s="201" t="s">
        <v>913</v>
      </c>
      <c r="J692" s="77"/>
      <c r="K692" s="77" t="s">
        <v>6256</v>
      </c>
      <c r="N692" s="76">
        <v>295</v>
      </c>
    </row>
    <row r="693" spans="1:14" hidden="1" x14ac:dyDescent="0.25">
      <c r="A693" s="77">
        <v>5</v>
      </c>
      <c r="B693" s="550" t="s">
        <v>368</v>
      </c>
      <c r="C693" s="202" t="s">
        <v>369</v>
      </c>
      <c r="D693" s="201" t="s">
        <v>33</v>
      </c>
      <c r="E693" s="512" t="s">
        <v>34</v>
      </c>
      <c r="F693" s="586" t="s">
        <v>905</v>
      </c>
      <c r="G693" s="202" t="s">
        <v>906</v>
      </c>
      <c r="H693" s="201">
        <v>21</v>
      </c>
      <c r="I693" s="201" t="s">
        <v>913</v>
      </c>
      <c r="J693" s="77"/>
      <c r="K693" s="77" t="s">
        <v>6256</v>
      </c>
      <c r="N693" s="76">
        <v>296</v>
      </c>
    </row>
    <row r="694" spans="1:14" hidden="1" x14ac:dyDescent="0.25">
      <c r="A694" s="77">
        <v>5</v>
      </c>
      <c r="B694" s="550" t="s">
        <v>483</v>
      </c>
      <c r="C694" s="202" t="s">
        <v>1017</v>
      </c>
      <c r="D694" s="201" t="s">
        <v>33</v>
      </c>
      <c r="E694" s="512" t="s">
        <v>34</v>
      </c>
      <c r="F694" s="586" t="s">
        <v>905</v>
      </c>
      <c r="G694" s="202" t="s">
        <v>906</v>
      </c>
      <c r="H694" s="201">
        <v>21</v>
      </c>
      <c r="I694" s="201" t="s">
        <v>905</v>
      </c>
      <c r="J694" s="77"/>
      <c r="K694" s="77" t="s">
        <v>6256</v>
      </c>
      <c r="N694" s="76">
        <v>297</v>
      </c>
    </row>
    <row r="695" spans="1:14" hidden="1" x14ac:dyDescent="0.25">
      <c r="A695" s="77">
        <v>5</v>
      </c>
      <c r="B695" s="550" t="s">
        <v>801</v>
      </c>
      <c r="C695" s="202" t="s">
        <v>802</v>
      </c>
      <c r="D695" s="201" t="s">
        <v>33</v>
      </c>
      <c r="E695" s="512" t="s">
        <v>34</v>
      </c>
      <c r="F695" s="586" t="s">
        <v>905</v>
      </c>
      <c r="G695" s="202" t="s">
        <v>906</v>
      </c>
      <c r="H695" s="201">
        <v>21</v>
      </c>
      <c r="I695" s="201" t="s">
        <v>905</v>
      </c>
      <c r="J695" s="77"/>
      <c r="K695" s="77" t="s">
        <v>6256</v>
      </c>
      <c r="N695" s="76">
        <v>298</v>
      </c>
    </row>
    <row r="696" spans="1:14" hidden="1" x14ac:dyDescent="0.25">
      <c r="A696" s="77">
        <v>5</v>
      </c>
      <c r="B696" s="550" t="s">
        <v>484</v>
      </c>
      <c r="C696" s="202" t="s">
        <v>485</v>
      </c>
      <c r="D696" s="201" t="s">
        <v>33</v>
      </c>
      <c r="E696" s="512" t="s">
        <v>34</v>
      </c>
      <c r="F696" s="586" t="s">
        <v>905</v>
      </c>
      <c r="G696" s="202" t="s">
        <v>906</v>
      </c>
      <c r="H696" s="201">
        <v>22</v>
      </c>
      <c r="I696" s="201" t="s">
        <v>915</v>
      </c>
      <c r="J696" s="77"/>
      <c r="K696" s="77" t="s">
        <v>6256</v>
      </c>
      <c r="N696" s="76">
        <v>299</v>
      </c>
    </row>
    <row r="697" spans="1:14" hidden="1" x14ac:dyDescent="0.25">
      <c r="A697" s="77">
        <v>5</v>
      </c>
      <c r="B697" s="550" t="s">
        <v>803</v>
      </c>
      <c r="C697" s="202" t="s">
        <v>804</v>
      </c>
      <c r="D697" s="201" t="s">
        <v>41</v>
      </c>
      <c r="E697" s="512" t="s">
        <v>42</v>
      </c>
      <c r="F697" s="586" t="s">
        <v>931</v>
      </c>
      <c r="G697" s="202" t="s">
        <v>932</v>
      </c>
      <c r="H697" s="201">
        <v>164</v>
      </c>
      <c r="I697" s="201" t="s">
        <v>933</v>
      </c>
      <c r="J697" s="77"/>
      <c r="K697" s="77"/>
      <c r="N697" s="76">
        <v>300</v>
      </c>
    </row>
    <row r="698" spans="1:14" hidden="1" x14ac:dyDescent="0.25">
      <c r="A698" s="77">
        <v>5</v>
      </c>
      <c r="B698" s="550" t="s">
        <v>486</v>
      </c>
      <c r="C698" s="202" t="s">
        <v>487</v>
      </c>
      <c r="D698" s="201" t="s">
        <v>33</v>
      </c>
      <c r="E698" s="512" t="s">
        <v>34</v>
      </c>
      <c r="F698" s="586" t="s">
        <v>905</v>
      </c>
      <c r="G698" s="202" t="s">
        <v>906</v>
      </c>
      <c r="H698" s="201">
        <v>22</v>
      </c>
      <c r="I698" s="201" t="s">
        <v>915</v>
      </c>
      <c r="J698" s="77"/>
      <c r="K698" s="77" t="s">
        <v>6256</v>
      </c>
      <c r="N698" s="76">
        <v>301</v>
      </c>
    </row>
    <row r="699" spans="1:14" hidden="1" x14ac:dyDescent="0.25">
      <c r="A699" s="77">
        <v>5</v>
      </c>
      <c r="B699" s="550" t="s">
        <v>488</v>
      </c>
      <c r="C699" s="202" t="s">
        <v>489</v>
      </c>
      <c r="D699" s="201" t="s">
        <v>33</v>
      </c>
      <c r="E699" s="512" t="s">
        <v>34</v>
      </c>
      <c r="F699" s="586" t="s">
        <v>905</v>
      </c>
      <c r="G699" s="202" t="s">
        <v>906</v>
      </c>
      <c r="H699" s="201">
        <v>22</v>
      </c>
      <c r="I699" s="201" t="s">
        <v>915</v>
      </c>
      <c r="J699" s="77"/>
      <c r="K699" s="77" t="s">
        <v>6256</v>
      </c>
      <c r="N699" s="76">
        <v>302</v>
      </c>
    </row>
    <row r="700" spans="1:14" hidden="1" x14ac:dyDescent="0.25">
      <c r="A700" s="77">
        <v>5</v>
      </c>
      <c r="B700" s="550" t="s">
        <v>490</v>
      </c>
      <c r="C700" s="202" t="s">
        <v>1122</v>
      </c>
      <c r="D700" s="201" t="s">
        <v>41</v>
      </c>
      <c r="E700" s="512" t="s">
        <v>42</v>
      </c>
      <c r="F700" s="586" t="s">
        <v>925</v>
      </c>
      <c r="G700" s="202" t="s">
        <v>926</v>
      </c>
      <c r="H700" s="201">
        <v>164</v>
      </c>
      <c r="I700" s="201" t="s">
        <v>933</v>
      </c>
      <c r="J700" s="77"/>
      <c r="K700" s="77" t="s">
        <v>6258</v>
      </c>
      <c r="N700" s="76">
        <v>303</v>
      </c>
    </row>
    <row r="701" spans="1:14" hidden="1" x14ac:dyDescent="0.25">
      <c r="A701" s="77">
        <v>5</v>
      </c>
      <c r="B701" s="550" t="s">
        <v>491</v>
      </c>
      <c r="C701" s="202" t="s">
        <v>1123</v>
      </c>
      <c r="D701" s="201" t="s">
        <v>41</v>
      </c>
      <c r="E701" s="512" t="s">
        <v>42</v>
      </c>
      <c r="F701" s="586" t="s">
        <v>927</v>
      </c>
      <c r="G701" s="202" t="s">
        <v>928</v>
      </c>
      <c r="H701" s="201">
        <v>164</v>
      </c>
      <c r="I701" s="201" t="s">
        <v>933</v>
      </c>
      <c r="J701" s="77"/>
      <c r="K701" s="77"/>
      <c r="N701" s="76">
        <v>304</v>
      </c>
    </row>
    <row r="702" spans="1:14" hidden="1" x14ac:dyDescent="0.25">
      <c r="A702" s="77">
        <v>5</v>
      </c>
      <c r="B702" s="554" t="s">
        <v>805</v>
      </c>
      <c r="C702" s="517" t="s">
        <v>806</v>
      </c>
      <c r="D702" s="201" t="s">
        <v>33</v>
      </c>
      <c r="E702" s="512" t="s">
        <v>34</v>
      </c>
      <c r="F702" s="586" t="s">
        <v>905</v>
      </c>
      <c r="G702" s="202" t="s">
        <v>906</v>
      </c>
      <c r="H702" s="201">
        <v>22</v>
      </c>
      <c r="I702" s="201" t="s">
        <v>915</v>
      </c>
      <c r="J702" s="77"/>
      <c r="K702" s="77" t="s">
        <v>6256</v>
      </c>
      <c r="N702" s="76">
        <v>305</v>
      </c>
    </row>
    <row r="703" spans="1:14" hidden="1" x14ac:dyDescent="0.25">
      <c r="A703" s="77">
        <v>5</v>
      </c>
      <c r="B703" s="550" t="s">
        <v>1124</v>
      </c>
      <c r="C703" s="202" t="s">
        <v>1125</v>
      </c>
      <c r="D703" s="201" t="s">
        <v>41</v>
      </c>
      <c r="E703" s="512" t="s">
        <v>42</v>
      </c>
      <c r="F703" s="586" t="s">
        <v>927</v>
      </c>
      <c r="G703" s="202" t="s">
        <v>928</v>
      </c>
      <c r="H703" s="201">
        <v>164</v>
      </c>
      <c r="I703" s="201" t="s">
        <v>933</v>
      </c>
      <c r="J703" s="77"/>
      <c r="K703" s="77" t="s">
        <v>6258</v>
      </c>
      <c r="N703" s="76">
        <v>306</v>
      </c>
    </row>
    <row r="704" spans="1:14" hidden="1" x14ac:dyDescent="0.25">
      <c r="A704" s="77">
        <v>5</v>
      </c>
      <c r="B704" s="550" t="s">
        <v>492</v>
      </c>
      <c r="C704" s="202" t="s">
        <v>1018</v>
      </c>
      <c r="D704" s="201" t="s">
        <v>41</v>
      </c>
      <c r="E704" s="512" t="s">
        <v>42</v>
      </c>
      <c r="F704" s="586" t="s">
        <v>929</v>
      </c>
      <c r="G704" s="202" t="s">
        <v>930</v>
      </c>
      <c r="H704" s="201">
        <v>164</v>
      </c>
      <c r="I704" s="201" t="s">
        <v>933</v>
      </c>
      <c r="J704" s="77"/>
      <c r="K704" s="77" t="s">
        <v>6258</v>
      </c>
      <c r="N704" s="76">
        <v>307</v>
      </c>
    </row>
    <row r="705" spans="1:14" hidden="1" x14ac:dyDescent="0.25">
      <c r="A705" s="77">
        <v>5</v>
      </c>
      <c r="B705" s="550" t="s">
        <v>493</v>
      </c>
      <c r="C705" s="202" t="s">
        <v>1019</v>
      </c>
      <c r="D705" s="201" t="s">
        <v>41</v>
      </c>
      <c r="E705" s="512" t="s">
        <v>42</v>
      </c>
      <c r="F705" s="586" t="s">
        <v>929</v>
      </c>
      <c r="G705" s="202" t="s">
        <v>930</v>
      </c>
      <c r="H705" s="201">
        <v>164</v>
      </c>
      <c r="I705" s="201" t="s">
        <v>933</v>
      </c>
      <c r="J705" s="77"/>
      <c r="K705" s="77" t="s">
        <v>6258</v>
      </c>
      <c r="N705" s="76">
        <v>308</v>
      </c>
    </row>
    <row r="706" spans="1:14" hidden="1" x14ac:dyDescent="0.25">
      <c r="A706" s="77">
        <v>5</v>
      </c>
      <c r="B706" s="550" t="s">
        <v>2259</v>
      </c>
      <c r="C706" s="202" t="s">
        <v>2257</v>
      </c>
      <c r="D706" s="201" t="s">
        <v>39</v>
      </c>
      <c r="E706" s="512" t="s">
        <v>40</v>
      </c>
      <c r="F706" s="586" t="s">
        <v>919</v>
      </c>
      <c r="G706" s="202" t="s">
        <v>920</v>
      </c>
      <c r="H706" s="201">
        <v>22</v>
      </c>
      <c r="I706" s="201" t="s">
        <v>915</v>
      </c>
      <c r="J706" s="77"/>
      <c r="K706" s="77" t="s">
        <v>6256</v>
      </c>
      <c r="N706" s="76">
        <v>309</v>
      </c>
    </row>
    <row r="707" spans="1:14" hidden="1" x14ac:dyDescent="0.25">
      <c r="A707" s="77">
        <v>5</v>
      </c>
      <c r="B707" s="551" t="s">
        <v>5846</v>
      </c>
      <c r="C707" s="202" t="s">
        <v>5836</v>
      </c>
      <c r="D707" s="201" t="s">
        <v>41</v>
      </c>
      <c r="E707" s="512" t="s">
        <v>42</v>
      </c>
      <c r="F707" s="586" t="s">
        <v>929</v>
      </c>
      <c r="G707" s="202" t="s">
        <v>930</v>
      </c>
      <c r="H707" s="201">
        <v>164</v>
      </c>
      <c r="I707" s="201" t="s">
        <v>933</v>
      </c>
      <c r="J707" s="77"/>
      <c r="K707" s="77" t="s">
        <v>6258</v>
      </c>
      <c r="N707" s="76">
        <v>310</v>
      </c>
    </row>
    <row r="708" spans="1:14" hidden="1" x14ac:dyDescent="0.25">
      <c r="A708" s="77">
        <v>5</v>
      </c>
      <c r="B708" s="552" t="s">
        <v>807</v>
      </c>
      <c r="C708" s="514" t="s">
        <v>808</v>
      </c>
      <c r="D708" s="515" t="s">
        <v>41</v>
      </c>
      <c r="E708" s="516" t="s">
        <v>42</v>
      </c>
      <c r="F708" s="588" t="s">
        <v>929</v>
      </c>
      <c r="G708" s="514" t="s">
        <v>930</v>
      </c>
      <c r="H708" s="515">
        <v>164</v>
      </c>
      <c r="I708" s="515" t="s">
        <v>933</v>
      </c>
      <c r="J708" s="77"/>
      <c r="K708" s="77" t="s">
        <v>6258</v>
      </c>
      <c r="N708" s="76">
        <v>311</v>
      </c>
    </row>
    <row r="709" spans="1:14" hidden="1" x14ac:dyDescent="0.25">
      <c r="A709" s="77">
        <v>5</v>
      </c>
      <c r="B709" s="552" t="s">
        <v>494</v>
      </c>
      <c r="C709" s="514" t="s">
        <v>495</v>
      </c>
      <c r="D709" s="515" t="s">
        <v>41</v>
      </c>
      <c r="E709" s="516" t="s">
        <v>42</v>
      </c>
      <c r="F709" s="588" t="s">
        <v>925</v>
      </c>
      <c r="G709" s="514" t="s">
        <v>926</v>
      </c>
      <c r="H709" s="515">
        <v>164</v>
      </c>
      <c r="I709" s="515" t="s">
        <v>933</v>
      </c>
      <c r="J709" s="77"/>
      <c r="K709" s="77" t="s">
        <v>6258</v>
      </c>
      <c r="N709" s="76">
        <v>312</v>
      </c>
    </row>
    <row r="710" spans="1:14" hidden="1" x14ac:dyDescent="0.25">
      <c r="A710" s="77">
        <v>5</v>
      </c>
      <c r="B710" s="552" t="s">
        <v>496</v>
      </c>
      <c r="C710" s="514" t="s">
        <v>497</v>
      </c>
      <c r="D710" s="515" t="s">
        <v>41</v>
      </c>
      <c r="E710" s="516" t="s">
        <v>42</v>
      </c>
      <c r="F710" s="588" t="s">
        <v>929</v>
      </c>
      <c r="G710" s="514" t="s">
        <v>930</v>
      </c>
      <c r="H710" s="515">
        <v>164</v>
      </c>
      <c r="I710" s="515" t="s">
        <v>933</v>
      </c>
      <c r="J710" s="77"/>
      <c r="K710" s="77" t="s">
        <v>6258</v>
      </c>
      <c r="N710" s="76">
        <v>313</v>
      </c>
    </row>
    <row r="711" spans="1:14" hidden="1" x14ac:dyDescent="0.25">
      <c r="A711" s="77">
        <v>5</v>
      </c>
      <c r="B711" s="552" t="s">
        <v>5967</v>
      </c>
      <c r="C711" s="514" t="s">
        <v>5958</v>
      </c>
      <c r="D711" s="515" t="s">
        <v>29</v>
      </c>
      <c r="E711" s="516" t="s">
        <v>30</v>
      </c>
      <c r="F711" s="588" t="s">
        <v>893</v>
      </c>
      <c r="G711" s="202" t="s">
        <v>6448</v>
      </c>
      <c r="H711" s="515"/>
      <c r="I711" s="515" t="s">
        <v>900</v>
      </c>
      <c r="J711" s="77"/>
      <c r="K711" s="77" t="s">
        <v>6254</v>
      </c>
      <c r="L711" s="305" t="s">
        <v>814</v>
      </c>
      <c r="M711" s="407" t="s">
        <v>6310</v>
      </c>
      <c r="N711" s="76">
        <v>314</v>
      </c>
    </row>
    <row r="712" spans="1:14" hidden="1" x14ac:dyDescent="0.25">
      <c r="A712" s="77">
        <v>5</v>
      </c>
      <c r="B712" s="552" t="s">
        <v>5968</v>
      </c>
      <c r="C712" s="514" t="s">
        <v>265</v>
      </c>
      <c r="D712" s="515" t="s">
        <v>29</v>
      </c>
      <c r="E712" s="516" t="s">
        <v>30</v>
      </c>
      <c r="F712" s="588" t="s">
        <v>893</v>
      </c>
      <c r="G712" s="202" t="s">
        <v>6448</v>
      </c>
      <c r="H712" s="515"/>
      <c r="I712" s="515" t="s">
        <v>900</v>
      </c>
      <c r="J712" s="77"/>
      <c r="K712" s="77" t="s">
        <v>6254</v>
      </c>
      <c r="L712" s="305" t="s">
        <v>815</v>
      </c>
      <c r="M712" s="407" t="s">
        <v>6310</v>
      </c>
      <c r="N712" s="76">
        <v>315</v>
      </c>
    </row>
    <row r="713" spans="1:14" hidden="1" x14ac:dyDescent="0.25">
      <c r="A713" s="77">
        <v>5</v>
      </c>
      <c r="B713" s="552" t="s">
        <v>5969</v>
      </c>
      <c r="C713" s="514" t="s">
        <v>5959</v>
      </c>
      <c r="D713" s="515" t="s">
        <v>29</v>
      </c>
      <c r="E713" s="516" t="s">
        <v>30</v>
      </c>
      <c r="F713" s="588" t="s">
        <v>893</v>
      </c>
      <c r="G713" s="202" t="s">
        <v>6448</v>
      </c>
      <c r="H713" s="515"/>
      <c r="I713" s="515" t="s">
        <v>900</v>
      </c>
      <c r="J713" s="77"/>
      <c r="K713" s="77" t="s">
        <v>6254</v>
      </c>
      <c r="L713" s="305" t="s">
        <v>816</v>
      </c>
      <c r="M713" s="407" t="s">
        <v>6310</v>
      </c>
      <c r="N713" s="76">
        <v>316</v>
      </c>
    </row>
    <row r="714" spans="1:14" hidden="1" x14ac:dyDescent="0.25">
      <c r="A714" s="77">
        <v>5</v>
      </c>
      <c r="B714" s="552" t="s">
        <v>5970</v>
      </c>
      <c r="C714" s="514" t="s">
        <v>5960</v>
      </c>
      <c r="D714" s="515" t="s">
        <v>29</v>
      </c>
      <c r="E714" s="516" t="s">
        <v>30</v>
      </c>
      <c r="F714" s="588" t="s">
        <v>893</v>
      </c>
      <c r="G714" s="202" t="s">
        <v>6448</v>
      </c>
      <c r="H714" s="515"/>
      <c r="I714" s="515" t="s">
        <v>900</v>
      </c>
      <c r="J714" s="77"/>
      <c r="K714" s="77" t="s">
        <v>6254</v>
      </c>
      <c r="L714" s="305" t="s">
        <v>809</v>
      </c>
      <c r="M714" s="407" t="s">
        <v>6310</v>
      </c>
      <c r="N714" s="76">
        <v>317</v>
      </c>
    </row>
    <row r="715" spans="1:14" hidden="1" x14ac:dyDescent="0.25">
      <c r="A715" s="77">
        <v>5</v>
      </c>
      <c r="B715" s="552" t="s">
        <v>5971</v>
      </c>
      <c r="C715" s="514" t="s">
        <v>5961</v>
      </c>
      <c r="D715" s="515" t="s">
        <v>29</v>
      </c>
      <c r="E715" s="516" t="s">
        <v>30</v>
      </c>
      <c r="F715" s="588" t="s">
        <v>893</v>
      </c>
      <c r="G715" s="202" t="s">
        <v>6448</v>
      </c>
      <c r="H715" s="515"/>
      <c r="I715" s="515" t="s">
        <v>900</v>
      </c>
      <c r="J715" s="77"/>
      <c r="K715" s="77" t="s">
        <v>6254</v>
      </c>
      <c r="L715" s="305" t="s">
        <v>810</v>
      </c>
      <c r="M715" s="407" t="s">
        <v>6310</v>
      </c>
      <c r="N715" s="76">
        <v>318</v>
      </c>
    </row>
    <row r="716" spans="1:14" hidden="1" x14ac:dyDescent="0.25">
      <c r="A716" s="77">
        <v>5</v>
      </c>
      <c r="B716" s="552" t="s">
        <v>5972</v>
      </c>
      <c r="C716" s="514" t="s">
        <v>5962</v>
      </c>
      <c r="D716" s="515" t="s">
        <v>29</v>
      </c>
      <c r="E716" s="516" t="s">
        <v>30</v>
      </c>
      <c r="F716" s="588" t="s">
        <v>893</v>
      </c>
      <c r="G716" s="202" t="s">
        <v>6448</v>
      </c>
      <c r="H716" s="515"/>
      <c r="I716" s="515" t="s">
        <v>900</v>
      </c>
      <c r="J716" s="77"/>
      <c r="K716" s="77" t="s">
        <v>6254</v>
      </c>
      <c r="L716" s="305" t="s">
        <v>811</v>
      </c>
      <c r="M716" s="407" t="s">
        <v>6310</v>
      </c>
      <c r="N716" s="76">
        <v>319</v>
      </c>
    </row>
    <row r="717" spans="1:14" hidden="1" x14ac:dyDescent="0.25">
      <c r="A717" s="77">
        <v>5</v>
      </c>
      <c r="B717" s="552" t="s">
        <v>5973</v>
      </c>
      <c r="C717" s="514" t="s">
        <v>5963</v>
      </c>
      <c r="D717" s="515" t="s">
        <v>29</v>
      </c>
      <c r="E717" s="516" t="s">
        <v>30</v>
      </c>
      <c r="F717" s="588" t="s">
        <v>893</v>
      </c>
      <c r="G717" s="202" t="s">
        <v>6448</v>
      </c>
      <c r="H717" s="515"/>
      <c r="I717" s="515" t="s">
        <v>900</v>
      </c>
      <c r="J717" s="77"/>
      <c r="K717" s="77"/>
      <c r="L717" s="305" t="s">
        <v>812</v>
      </c>
      <c r="M717" s="407" t="s">
        <v>6310</v>
      </c>
      <c r="N717" s="76">
        <v>320</v>
      </c>
    </row>
    <row r="718" spans="1:14" hidden="1" x14ac:dyDescent="0.25">
      <c r="A718" s="77">
        <v>5</v>
      </c>
      <c r="B718" s="553" t="s">
        <v>5974</v>
      </c>
      <c r="C718" s="518" t="s">
        <v>5964</v>
      </c>
      <c r="D718" s="519" t="s">
        <v>29</v>
      </c>
      <c r="E718" s="520" t="s">
        <v>30</v>
      </c>
      <c r="F718" s="590" t="s">
        <v>893</v>
      </c>
      <c r="G718" s="202" t="s">
        <v>6448</v>
      </c>
      <c r="H718" s="515"/>
      <c r="I718" s="515" t="s">
        <v>900</v>
      </c>
      <c r="J718" s="77"/>
      <c r="K718" s="77" t="s">
        <v>6254</v>
      </c>
      <c r="L718" s="305" t="s">
        <v>1126</v>
      </c>
      <c r="M718" s="407" t="s">
        <v>6310</v>
      </c>
      <c r="N718" s="76">
        <v>321</v>
      </c>
    </row>
    <row r="719" spans="1:14" hidden="1" x14ac:dyDescent="0.25">
      <c r="A719" s="77">
        <v>5</v>
      </c>
      <c r="B719" s="553" t="s">
        <v>5975</v>
      </c>
      <c r="C719" s="518" t="s">
        <v>5965</v>
      </c>
      <c r="D719" s="519" t="s">
        <v>29</v>
      </c>
      <c r="E719" s="520" t="s">
        <v>30</v>
      </c>
      <c r="F719" s="590" t="s">
        <v>893</v>
      </c>
      <c r="G719" s="202" t="s">
        <v>6448</v>
      </c>
      <c r="H719" s="515"/>
      <c r="I719" s="515" t="s">
        <v>900</v>
      </c>
      <c r="J719" s="77"/>
      <c r="K719" s="77" t="s">
        <v>6254</v>
      </c>
      <c r="L719" s="305" t="s">
        <v>813</v>
      </c>
      <c r="M719" s="407" t="s">
        <v>6310</v>
      </c>
      <c r="N719" s="76">
        <v>322</v>
      </c>
    </row>
    <row r="720" spans="1:14" hidden="1" x14ac:dyDescent="0.25">
      <c r="A720" s="77">
        <v>5</v>
      </c>
      <c r="B720" s="552" t="s">
        <v>5978</v>
      </c>
      <c r="C720" s="514" t="s">
        <v>5966</v>
      </c>
      <c r="D720" s="515" t="s">
        <v>29</v>
      </c>
      <c r="E720" s="516" t="s">
        <v>30</v>
      </c>
      <c r="F720" s="588" t="s">
        <v>893</v>
      </c>
      <c r="G720" s="202" t="s">
        <v>6448</v>
      </c>
      <c r="H720" s="515"/>
      <c r="I720" s="515" t="s">
        <v>900</v>
      </c>
      <c r="J720" s="77"/>
      <c r="K720" s="77" t="s">
        <v>6254</v>
      </c>
      <c r="L720" s="305" t="s">
        <v>817</v>
      </c>
      <c r="M720" s="407" t="s">
        <v>6310</v>
      </c>
      <c r="N720" s="76">
        <v>323</v>
      </c>
    </row>
    <row r="721" spans="1:14" hidden="1" x14ac:dyDescent="0.25">
      <c r="A721" s="77">
        <v>5</v>
      </c>
      <c r="B721" s="592" t="s">
        <v>6008</v>
      </c>
      <c r="C721" s="523" t="s">
        <v>6009</v>
      </c>
      <c r="D721" s="522" t="s">
        <v>29</v>
      </c>
      <c r="E721" s="523" t="s">
        <v>30</v>
      </c>
      <c r="F721" s="589" t="s">
        <v>6450</v>
      </c>
      <c r="G721" s="584" t="s">
        <v>6452</v>
      </c>
      <c r="H721" s="515"/>
      <c r="I721" s="515" t="s">
        <v>900</v>
      </c>
      <c r="J721" s="583"/>
      <c r="K721" s="77"/>
      <c r="L721" s="305" t="s">
        <v>778</v>
      </c>
      <c r="M721" s="407" t="s">
        <v>6310</v>
      </c>
      <c r="N721" s="76">
        <v>324</v>
      </c>
    </row>
    <row r="722" spans="1:14" hidden="1" x14ac:dyDescent="0.25">
      <c r="A722" s="77">
        <v>5</v>
      </c>
      <c r="B722" s="592" t="s">
        <v>6010</v>
      </c>
      <c r="C722" s="523" t="s">
        <v>6011</v>
      </c>
      <c r="D722" s="522" t="s">
        <v>29</v>
      </c>
      <c r="E722" s="523" t="s">
        <v>30</v>
      </c>
      <c r="F722" s="589" t="s">
        <v>6450</v>
      </c>
      <c r="G722" s="584" t="s">
        <v>6452</v>
      </c>
      <c r="H722" s="515"/>
      <c r="I722" s="515" t="s">
        <v>900</v>
      </c>
      <c r="J722" s="583"/>
      <c r="K722" s="77"/>
      <c r="L722" s="305" t="s">
        <v>779</v>
      </c>
      <c r="M722" s="407" t="s">
        <v>6310</v>
      </c>
      <c r="N722" s="76">
        <v>325</v>
      </c>
    </row>
    <row r="723" spans="1:14" hidden="1" x14ac:dyDescent="0.25">
      <c r="A723" s="77">
        <v>5</v>
      </c>
      <c r="B723" s="552" t="s">
        <v>6012</v>
      </c>
      <c r="C723" s="514" t="s">
        <v>6013</v>
      </c>
      <c r="D723" s="515" t="s">
        <v>29</v>
      </c>
      <c r="E723" s="516" t="s">
        <v>30</v>
      </c>
      <c r="F723" s="589" t="s">
        <v>6450</v>
      </c>
      <c r="G723" s="584" t="s">
        <v>6452</v>
      </c>
      <c r="H723" s="515"/>
      <c r="I723" s="515" t="s">
        <v>900</v>
      </c>
      <c r="J723" s="583"/>
      <c r="K723" s="77" t="s">
        <v>6254</v>
      </c>
      <c r="L723" s="305" t="s">
        <v>1105</v>
      </c>
      <c r="M723" s="407" t="s">
        <v>6310</v>
      </c>
      <c r="N723" s="76">
        <v>326</v>
      </c>
    </row>
    <row r="724" spans="1:14" hidden="1" x14ac:dyDescent="0.25">
      <c r="A724" s="77">
        <v>5</v>
      </c>
      <c r="B724" s="552" t="s">
        <v>6014</v>
      </c>
      <c r="C724" s="514" t="s">
        <v>6015</v>
      </c>
      <c r="D724" s="515" t="s">
        <v>29</v>
      </c>
      <c r="E724" s="516" t="s">
        <v>30</v>
      </c>
      <c r="F724" s="589" t="s">
        <v>6450</v>
      </c>
      <c r="G724" s="584" t="s">
        <v>6452</v>
      </c>
      <c r="H724" s="515"/>
      <c r="I724" s="515" t="s">
        <v>900</v>
      </c>
      <c r="J724" s="583"/>
      <c r="K724" s="77" t="s">
        <v>6254</v>
      </c>
      <c r="L724" s="305" t="s">
        <v>1106</v>
      </c>
      <c r="M724" s="407" t="s">
        <v>6310</v>
      </c>
      <c r="N724" s="76">
        <v>327</v>
      </c>
    </row>
    <row r="725" spans="1:14" hidden="1" x14ac:dyDescent="0.25">
      <c r="A725" s="77">
        <v>5</v>
      </c>
      <c r="B725" s="552" t="s">
        <v>6016</v>
      </c>
      <c r="C725" s="514" t="s">
        <v>6017</v>
      </c>
      <c r="D725" s="515" t="s">
        <v>29</v>
      </c>
      <c r="E725" s="516" t="s">
        <v>30</v>
      </c>
      <c r="F725" s="588" t="s">
        <v>904</v>
      </c>
      <c r="G725" s="585" t="s">
        <v>6453</v>
      </c>
      <c r="H725" s="515"/>
      <c r="I725" s="515" t="s">
        <v>900</v>
      </c>
      <c r="J725" s="77"/>
      <c r="K725" s="77"/>
      <c r="L725" s="305" t="s">
        <v>270</v>
      </c>
      <c r="M725" s="407" t="s">
        <v>6310</v>
      </c>
      <c r="N725" s="76">
        <v>328</v>
      </c>
    </row>
    <row r="726" spans="1:14" hidden="1" x14ac:dyDescent="0.25">
      <c r="A726" s="77">
        <v>5</v>
      </c>
      <c r="B726" s="552" t="s">
        <v>6018</v>
      </c>
      <c r="C726" s="514" t="s">
        <v>6019</v>
      </c>
      <c r="D726" s="515" t="s">
        <v>29</v>
      </c>
      <c r="E726" s="516" t="s">
        <v>30</v>
      </c>
      <c r="F726" s="588" t="s">
        <v>904</v>
      </c>
      <c r="G726" s="585" t="s">
        <v>6453</v>
      </c>
      <c r="H726" s="515"/>
      <c r="I726" s="515" t="s">
        <v>900</v>
      </c>
      <c r="J726" s="77"/>
      <c r="K726" s="77"/>
      <c r="L726" s="305" t="s">
        <v>271</v>
      </c>
      <c r="M726" s="407" t="s">
        <v>6310</v>
      </c>
      <c r="N726" s="76">
        <v>329</v>
      </c>
    </row>
    <row r="727" spans="1:14" ht="21" hidden="1" customHeight="1" x14ac:dyDescent="0.25">
      <c r="A727" s="77">
        <v>5</v>
      </c>
      <c r="B727" s="552" t="s">
        <v>6020</v>
      </c>
      <c r="C727" s="514" t="s">
        <v>6021</v>
      </c>
      <c r="D727" s="515" t="s">
        <v>29</v>
      </c>
      <c r="E727" s="516" t="s">
        <v>30</v>
      </c>
      <c r="F727" s="588" t="s">
        <v>904</v>
      </c>
      <c r="G727" s="585" t="s">
        <v>6453</v>
      </c>
      <c r="H727" s="515"/>
      <c r="I727" s="515" t="s">
        <v>900</v>
      </c>
      <c r="J727" s="77"/>
      <c r="K727" s="77" t="s">
        <v>6254</v>
      </c>
      <c r="L727" s="305" t="s">
        <v>1103</v>
      </c>
      <c r="M727" s="527" t="s">
        <v>6310</v>
      </c>
      <c r="N727" s="76">
        <v>330</v>
      </c>
    </row>
    <row r="728" spans="1:14" hidden="1" x14ac:dyDescent="0.25">
      <c r="A728" s="77">
        <v>5</v>
      </c>
      <c r="B728" s="550" t="s">
        <v>6022</v>
      </c>
      <c r="C728" s="202" t="s">
        <v>6023</v>
      </c>
      <c r="D728" s="201" t="s">
        <v>29</v>
      </c>
      <c r="E728" s="512" t="s">
        <v>30</v>
      </c>
      <c r="F728" s="588" t="s">
        <v>904</v>
      </c>
      <c r="G728" s="585" t="s">
        <v>6453</v>
      </c>
      <c r="H728" s="201"/>
      <c r="I728" s="201" t="s">
        <v>900</v>
      </c>
      <c r="J728" s="77"/>
      <c r="K728" s="77" t="s">
        <v>6254</v>
      </c>
      <c r="L728" s="305" t="s">
        <v>1104</v>
      </c>
      <c r="M728" s="407" t="s">
        <v>6310</v>
      </c>
      <c r="N728" s="76">
        <v>331</v>
      </c>
    </row>
    <row r="729" spans="1:14" hidden="1" x14ac:dyDescent="0.25">
      <c r="A729" s="77">
        <v>5</v>
      </c>
      <c r="B729" s="550" t="s">
        <v>5977</v>
      </c>
      <c r="C729" s="202" t="s">
        <v>5976</v>
      </c>
      <c r="D729" s="201" t="s">
        <v>29</v>
      </c>
      <c r="E729" s="512" t="s">
        <v>30</v>
      </c>
      <c r="F729" s="586" t="s">
        <v>893</v>
      </c>
      <c r="G729" s="202" t="s">
        <v>6448</v>
      </c>
      <c r="H729" s="201"/>
      <c r="I729" s="201" t="s">
        <v>900</v>
      </c>
      <c r="J729" s="77"/>
      <c r="K729" s="77"/>
      <c r="L729" s="305" t="s">
        <v>818</v>
      </c>
      <c r="M729" s="407" t="s">
        <v>6310</v>
      </c>
      <c r="N729" s="76">
        <v>332</v>
      </c>
    </row>
    <row r="730" spans="1:14" ht="21" hidden="1" customHeight="1" x14ac:dyDescent="0.7">
      <c r="A730" s="77">
        <v>5</v>
      </c>
      <c r="B730" s="550" t="s">
        <v>5979</v>
      </c>
      <c r="C730" s="202" t="s">
        <v>6024</v>
      </c>
      <c r="D730" s="201" t="s">
        <v>29</v>
      </c>
      <c r="E730" s="512" t="s">
        <v>30</v>
      </c>
      <c r="F730" s="586" t="s">
        <v>893</v>
      </c>
      <c r="G730" s="202" t="s">
        <v>6448</v>
      </c>
      <c r="H730" s="201"/>
      <c r="I730" s="201" t="s">
        <v>900</v>
      </c>
      <c r="J730" s="77"/>
      <c r="K730" s="77" t="s">
        <v>6254</v>
      </c>
      <c r="M730" s="528" t="s">
        <v>6304</v>
      </c>
      <c r="N730" s="76">
        <v>333</v>
      </c>
    </row>
    <row r="731" spans="1:14" hidden="1" x14ac:dyDescent="0.25">
      <c r="A731" s="77">
        <v>5</v>
      </c>
      <c r="B731" s="550" t="s">
        <v>393</v>
      </c>
      <c r="C731" s="202" t="s">
        <v>394</v>
      </c>
      <c r="D731" s="201" t="s">
        <v>39</v>
      </c>
      <c r="E731" s="512" t="s">
        <v>40</v>
      </c>
      <c r="F731" s="586" t="s">
        <v>919</v>
      </c>
      <c r="G731" s="202" t="s">
        <v>920</v>
      </c>
      <c r="H731" s="201">
        <v>21</v>
      </c>
      <c r="I731" s="201" t="s">
        <v>905</v>
      </c>
      <c r="J731" s="77"/>
      <c r="K731" s="77"/>
      <c r="N731" s="76">
        <v>334</v>
      </c>
    </row>
    <row r="732" spans="1:14" hidden="1" x14ac:dyDescent="0.25">
      <c r="A732" s="77">
        <v>5</v>
      </c>
      <c r="B732" s="550" t="s">
        <v>395</v>
      </c>
      <c r="C732" s="202" t="s">
        <v>396</v>
      </c>
      <c r="D732" s="201" t="s">
        <v>39</v>
      </c>
      <c r="E732" s="512" t="s">
        <v>40</v>
      </c>
      <c r="F732" s="586" t="s">
        <v>919</v>
      </c>
      <c r="G732" s="202" t="s">
        <v>920</v>
      </c>
      <c r="H732" s="201">
        <v>21</v>
      </c>
      <c r="I732" s="201" t="s">
        <v>905</v>
      </c>
      <c r="J732" s="77"/>
      <c r="K732" s="77"/>
      <c r="N732" s="76">
        <v>335</v>
      </c>
    </row>
    <row r="733" spans="1:14" hidden="1" x14ac:dyDescent="0.25">
      <c r="A733" s="77">
        <v>5</v>
      </c>
      <c r="B733" s="550" t="s">
        <v>397</v>
      </c>
      <c r="C733" s="202" t="s">
        <v>398</v>
      </c>
      <c r="D733" s="201" t="s">
        <v>39</v>
      </c>
      <c r="E733" s="512" t="s">
        <v>40</v>
      </c>
      <c r="F733" s="586" t="s">
        <v>919</v>
      </c>
      <c r="G733" s="202" t="s">
        <v>920</v>
      </c>
      <c r="H733" s="201">
        <v>25</v>
      </c>
      <c r="I733" s="201" t="s">
        <v>925</v>
      </c>
      <c r="J733" s="77"/>
      <c r="K733" s="77"/>
      <c r="N733" s="76">
        <v>336</v>
      </c>
    </row>
    <row r="734" spans="1:14" hidden="1" x14ac:dyDescent="0.25">
      <c r="A734" s="77">
        <v>5</v>
      </c>
      <c r="B734" s="550" t="s">
        <v>399</v>
      </c>
      <c r="C734" s="202" t="s">
        <v>400</v>
      </c>
      <c r="D734" s="201" t="s">
        <v>39</v>
      </c>
      <c r="E734" s="512" t="s">
        <v>40</v>
      </c>
      <c r="F734" s="586" t="s">
        <v>919</v>
      </c>
      <c r="G734" s="202" t="s">
        <v>920</v>
      </c>
      <c r="H734" s="201">
        <v>25</v>
      </c>
      <c r="I734" s="201" t="s">
        <v>927</v>
      </c>
      <c r="J734" s="77"/>
      <c r="K734" s="77"/>
      <c r="N734" s="76">
        <v>337</v>
      </c>
    </row>
    <row r="735" spans="1:14" hidden="1" x14ac:dyDescent="0.25">
      <c r="A735" s="77">
        <v>5</v>
      </c>
      <c r="B735" s="550" t="s">
        <v>401</v>
      </c>
      <c r="C735" s="202" t="s">
        <v>402</v>
      </c>
      <c r="D735" s="201" t="s">
        <v>39</v>
      </c>
      <c r="E735" s="512" t="s">
        <v>40</v>
      </c>
      <c r="F735" s="586" t="s">
        <v>919</v>
      </c>
      <c r="G735" s="202" t="s">
        <v>920</v>
      </c>
      <c r="H735" s="201">
        <v>21</v>
      </c>
      <c r="I735" s="201" t="s">
        <v>905</v>
      </c>
      <c r="J735" s="77"/>
      <c r="K735" s="77"/>
      <c r="N735" s="76">
        <v>338</v>
      </c>
    </row>
    <row r="736" spans="1:14" hidden="1" x14ac:dyDescent="0.25">
      <c r="A736" s="77">
        <v>5</v>
      </c>
      <c r="B736" s="550" t="s">
        <v>403</v>
      </c>
      <c r="C736" s="202" t="s">
        <v>404</v>
      </c>
      <c r="D736" s="201" t="s">
        <v>39</v>
      </c>
      <c r="E736" s="512" t="s">
        <v>40</v>
      </c>
      <c r="F736" s="586" t="s">
        <v>919</v>
      </c>
      <c r="G736" s="202" t="s">
        <v>920</v>
      </c>
      <c r="H736" s="201">
        <v>25</v>
      </c>
      <c r="I736" s="201" t="s">
        <v>929</v>
      </c>
      <c r="J736" s="77"/>
      <c r="K736" s="77"/>
      <c r="N736" s="76">
        <v>339</v>
      </c>
    </row>
    <row r="737" spans="1:14" hidden="1" x14ac:dyDescent="0.25">
      <c r="A737" s="77">
        <v>5</v>
      </c>
      <c r="B737" s="550" t="s">
        <v>405</v>
      </c>
      <c r="C737" s="202" t="s">
        <v>406</v>
      </c>
      <c r="D737" s="201" t="s">
        <v>39</v>
      </c>
      <c r="E737" s="512" t="s">
        <v>40</v>
      </c>
      <c r="F737" s="586" t="s">
        <v>919</v>
      </c>
      <c r="G737" s="202" t="s">
        <v>920</v>
      </c>
      <c r="H737" s="201">
        <v>25</v>
      </c>
      <c r="I737" s="201" t="s">
        <v>929</v>
      </c>
      <c r="J737" s="77"/>
      <c r="K737" s="77"/>
      <c r="N737" s="76">
        <v>340</v>
      </c>
    </row>
    <row r="738" spans="1:14" hidden="1" x14ac:dyDescent="0.25">
      <c r="A738" s="77">
        <v>5</v>
      </c>
      <c r="B738" s="550" t="s">
        <v>407</v>
      </c>
      <c r="C738" s="202" t="s">
        <v>408</v>
      </c>
      <c r="D738" s="201" t="s">
        <v>39</v>
      </c>
      <c r="E738" s="512" t="s">
        <v>40</v>
      </c>
      <c r="F738" s="586" t="s">
        <v>919</v>
      </c>
      <c r="G738" s="202" t="s">
        <v>920</v>
      </c>
      <c r="H738" s="201">
        <v>25</v>
      </c>
      <c r="I738" s="201" t="s">
        <v>929</v>
      </c>
      <c r="J738" s="77"/>
      <c r="K738" s="77"/>
      <c r="N738" s="76">
        <v>341</v>
      </c>
    </row>
    <row r="739" spans="1:14" hidden="1" x14ac:dyDescent="0.25">
      <c r="A739" s="77">
        <v>5</v>
      </c>
      <c r="B739" s="550" t="s">
        <v>409</v>
      </c>
      <c r="C739" s="202" t="s">
        <v>410</v>
      </c>
      <c r="D739" s="201" t="s">
        <v>39</v>
      </c>
      <c r="E739" s="512" t="s">
        <v>40</v>
      </c>
      <c r="F739" s="586" t="s">
        <v>919</v>
      </c>
      <c r="G739" s="202" t="s">
        <v>920</v>
      </c>
      <c r="H739" s="201">
        <v>25</v>
      </c>
      <c r="I739" s="201" t="s">
        <v>925</v>
      </c>
      <c r="J739" s="77"/>
      <c r="K739" s="77"/>
      <c r="N739" s="76">
        <v>342</v>
      </c>
    </row>
    <row r="740" spans="1:14" hidden="1" x14ac:dyDescent="0.25">
      <c r="A740" s="77">
        <v>5</v>
      </c>
      <c r="B740" s="550" t="s">
        <v>411</v>
      </c>
      <c r="C740" s="202" t="s">
        <v>412</v>
      </c>
      <c r="D740" s="201" t="s">
        <v>39</v>
      </c>
      <c r="E740" s="512" t="s">
        <v>40</v>
      </c>
      <c r="F740" s="586" t="s">
        <v>921</v>
      </c>
      <c r="G740" s="202" t="s">
        <v>922</v>
      </c>
      <c r="H740" s="201">
        <v>24</v>
      </c>
      <c r="I740" s="201" t="s">
        <v>919</v>
      </c>
      <c r="J740" s="77"/>
      <c r="K740" s="77"/>
      <c r="N740" s="76">
        <v>343</v>
      </c>
    </row>
    <row r="741" spans="1:14" hidden="1" x14ac:dyDescent="0.25">
      <c r="A741" s="77">
        <v>5</v>
      </c>
      <c r="B741" s="550" t="s">
        <v>413</v>
      </c>
      <c r="C741" s="202" t="s">
        <v>414</v>
      </c>
      <c r="D741" s="201" t="s">
        <v>39</v>
      </c>
      <c r="E741" s="512" t="s">
        <v>40</v>
      </c>
      <c r="F741" s="586" t="s">
        <v>921</v>
      </c>
      <c r="G741" s="202" t="s">
        <v>922</v>
      </c>
      <c r="H741" s="201">
        <v>24</v>
      </c>
      <c r="I741" s="201" t="s">
        <v>919</v>
      </c>
      <c r="J741" s="77"/>
      <c r="K741" s="77"/>
      <c r="N741" s="76">
        <v>344</v>
      </c>
    </row>
    <row r="742" spans="1:14" ht="21" hidden="1" customHeight="1" x14ac:dyDescent="0.25">
      <c r="A742" s="77">
        <v>5</v>
      </c>
      <c r="B742" s="552" t="s">
        <v>415</v>
      </c>
      <c r="C742" s="514" t="s">
        <v>416</v>
      </c>
      <c r="D742" s="515" t="s">
        <v>39</v>
      </c>
      <c r="E742" s="516" t="s">
        <v>40</v>
      </c>
      <c r="F742" s="588" t="s">
        <v>921</v>
      </c>
      <c r="G742" s="514" t="s">
        <v>922</v>
      </c>
      <c r="H742" s="515">
        <v>24</v>
      </c>
      <c r="I742" s="515" t="s">
        <v>919</v>
      </c>
      <c r="J742" s="77"/>
      <c r="K742" s="77"/>
      <c r="M742" s="526"/>
      <c r="N742" s="76">
        <v>345</v>
      </c>
    </row>
    <row r="743" spans="1:14" hidden="1" x14ac:dyDescent="0.25">
      <c r="A743" s="77">
        <v>5</v>
      </c>
      <c r="B743" s="550" t="s">
        <v>417</v>
      </c>
      <c r="C743" s="202" t="s">
        <v>418</v>
      </c>
      <c r="D743" s="201" t="s">
        <v>39</v>
      </c>
      <c r="E743" s="512" t="s">
        <v>40</v>
      </c>
      <c r="F743" s="586" t="s">
        <v>921</v>
      </c>
      <c r="G743" s="202" t="s">
        <v>922</v>
      </c>
      <c r="H743" s="201">
        <v>24</v>
      </c>
      <c r="I743" s="201" t="s">
        <v>919</v>
      </c>
      <c r="J743" s="77"/>
      <c r="K743" s="77"/>
      <c r="N743" s="76">
        <v>346</v>
      </c>
    </row>
    <row r="744" spans="1:14" hidden="1" x14ac:dyDescent="0.25">
      <c r="A744" s="77">
        <v>5</v>
      </c>
      <c r="B744" s="550" t="s">
        <v>419</v>
      </c>
      <c r="C744" s="202" t="s">
        <v>420</v>
      </c>
      <c r="D744" s="201" t="s">
        <v>39</v>
      </c>
      <c r="E744" s="512" t="s">
        <v>40</v>
      </c>
      <c r="F744" s="586" t="s">
        <v>921</v>
      </c>
      <c r="G744" s="202" t="s">
        <v>922</v>
      </c>
      <c r="H744" s="201">
        <v>24</v>
      </c>
      <c r="I744" s="201" t="s">
        <v>919</v>
      </c>
      <c r="J744" s="77"/>
      <c r="K744" s="77"/>
      <c r="N744" s="76">
        <v>347</v>
      </c>
    </row>
    <row r="745" spans="1:14" ht="21" hidden="1" customHeight="1" x14ac:dyDescent="0.7">
      <c r="A745" s="77">
        <v>5</v>
      </c>
      <c r="B745" s="550" t="s">
        <v>5981</v>
      </c>
      <c r="C745" s="202" t="s">
        <v>5980</v>
      </c>
      <c r="D745" s="201" t="s">
        <v>39</v>
      </c>
      <c r="E745" s="512" t="s">
        <v>40</v>
      </c>
      <c r="F745" s="586" t="s">
        <v>921</v>
      </c>
      <c r="G745" s="202" t="s">
        <v>922</v>
      </c>
      <c r="H745" s="201"/>
      <c r="I745" s="201" t="s">
        <v>919</v>
      </c>
      <c r="J745" s="77"/>
      <c r="K745" s="77"/>
      <c r="M745" s="528" t="s">
        <v>6304</v>
      </c>
      <c r="N745" s="76">
        <v>348</v>
      </c>
    </row>
    <row r="746" spans="1:14" hidden="1" x14ac:dyDescent="0.25">
      <c r="A746" s="77">
        <v>5</v>
      </c>
      <c r="B746" s="550" t="s">
        <v>421</v>
      </c>
      <c r="C746" s="202" t="s">
        <v>422</v>
      </c>
      <c r="D746" s="201" t="s">
        <v>39</v>
      </c>
      <c r="E746" s="512" t="s">
        <v>40</v>
      </c>
      <c r="F746" s="586" t="s">
        <v>921</v>
      </c>
      <c r="G746" s="202" t="s">
        <v>922</v>
      </c>
      <c r="H746" s="201">
        <v>24</v>
      </c>
      <c r="I746" s="201" t="s">
        <v>919</v>
      </c>
      <c r="J746" s="77"/>
      <c r="K746" s="77"/>
      <c r="N746" s="76">
        <v>349</v>
      </c>
    </row>
    <row r="747" spans="1:14" hidden="1" x14ac:dyDescent="0.25">
      <c r="A747" s="77">
        <v>5</v>
      </c>
      <c r="B747" s="550" t="s">
        <v>423</v>
      </c>
      <c r="C747" s="202" t="s">
        <v>424</v>
      </c>
      <c r="D747" s="201" t="s">
        <v>39</v>
      </c>
      <c r="E747" s="512" t="s">
        <v>40</v>
      </c>
      <c r="F747" s="586" t="s">
        <v>921</v>
      </c>
      <c r="G747" s="202" t="s">
        <v>922</v>
      </c>
      <c r="H747" s="201">
        <v>24</v>
      </c>
      <c r="I747" s="201" t="s">
        <v>919</v>
      </c>
      <c r="J747" s="77"/>
      <c r="K747" s="77"/>
      <c r="N747" s="76">
        <v>350</v>
      </c>
    </row>
    <row r="748" spans="1:14" hidden="1" x14ac:dyDescent="0.25">
      <c r="A748" s="77">
        <v>5</v>
      </c>
      <c r="B748" s="550" t="s">
        <v>425</v>
      </c>
      <c r="C748" s="202" t="s">
        <v>426</v>
      </c>
      <c r="D748" s="201" t="s">
        <v>39</v>
      </c>
      <c r="E748" s="512" t="s">
        <v>40</v>
      </c>
      <c r="F748" s="586" t="s">
        <v>921</v>
      </c>
      <c r="G748" s="202" t="s">
        <v>922</v>
      </c>
      <c r="H748" s="201">
        <v>24</v>
      </c>
      <c r="I748" s="201" t="s">
        <v>919</v>
      </c>
      <c r="J748" s="77"/>
      <c r="K748" s="77"/>
      <c r="N748" s="76">
        <v>351</v>
      </c>
    </row>
    <row r="749" spans="1:14" hidden="1" x14ac:dyDescent="0.25">
      <c r="A749" s="77">
        <v>5</v>
      </c>
      <c r="B749" s="550" t="s">
        <v>819</v>
      </c>
      <c r="C749" s="202" t="s">
        <v>820</v>
      </c>
      <c r="D749" s="201" t="s">
        <v>39</v>
      </c>
      <c r="E749" s="512" t="s">
        <v>40</v>
      </c>
      <c r="F749" s="586" t="s">
        <v>921</v>
      </c>
      <c r="G749" s="202" t="s">
        <v>922</v>
      </c>
      <c r="H749" s="201">
        <v>24</v>
      </c>
      <c r="I749" s="201" t="s">
        <v>921</v>
      </c>
      <c r="J749" s="77"/>
      <c r="K749" s="77"/>
      <c r="N749" s="76">
        <v>352</v>
      </c>
    </row>
    <row r="750" spans="1:14" hidden="1" x14ac:dyDescent="0.25">
      <c r="A750" s="77">
        <v>5</v>
      </c>
      <c r="B750" s="550" t="s">
        <v>427</v>
      </c>
      <c r="C750" s="202" t="s">
        <v>428</v>
      </c>
      <c r="D750" s="201" t="s">
        <v>39</v>
      </c>
      <c r="E750" s="512" t="s">
        <v>40</v>
      </c>
      <c r="F750" s="586" t="s">
        <v>921</v>
      </c>
      <c r="G750" s="202" t="s">
        <v>922</v>
      </c>
      <c r="H750" s="201">
        <v>24</v>
      </c>
      <c r="I750" s="201" t="s">
        <v>921</v>
      </c>
      <c r="J750" s="77"/>
      <c r="K750" s="77"/>
      <c r="N750" s="76">
        <v>353</v>
      </c>
    </row>
    <row r="751" spans="1:14" hidden="1" x14ac:dyDescent="0.25">
      <c r="A751" s="77">
        <v>5</v>
      </c>
      <c r="B751" s="550" t="s">
        <v>821</v>
      </c>
      <c r="C751" s="202" t="s">
        <v>822</v>
      </c>
      <c r="D751" s="201" t="s">
        <v>39</v>
      </c>
      <c r="E751" s="512" t="s">
        <v>40</v>
      </c>
      <c r="F751" s="586" t="s">
        <v>921</v>
      </c>
      <c r="G751" s="202" t="s">
        <v>922</v>
      </c>
      <c r="H751" s="201">
        <v>24</v>
      </c>
      <c r="I751" s="201" t="s">
        <v>921</v>
      </c>
      <c r="J751" s="77"/>
      <c r="K751" s="77"/>
      <c r="N751" s="76">
        <v>354</v>
      </c>
    </row>
    <row r="752" spans="1:14" hidden="1" x14ac:dyDescent="0.25">
      <c r="A752" s="77">
        <v>5</v>
      </c>
      <c r="B752" s="550" t="s">
        <v>823</v>
      </c>
      <c r="C752" s="202" t="s">
        <v>824</v>
      </c>
      <c r="D752" s="201" t="s">
        <v>39</v>
      </c>
      <c r="E752" s="512" t="s">
        <v>40</v>
      </c>
      <c r="F752" s="586" t="s">
        <v>921</v>
      </c>
      <c r="G752" s="202" t="s">
        <v>922</v>
      </c>
      <c r="H752" s="201">
        <v>24</v>
      </c>
      <c r="I752" s="201" t="s">
        <v>921</v>
      </c>
      <c r="J752" s="77"/>
      <c r="K752" s="77"/>
      <c r="N752" s="76">
        <v>355</v>
      </c>
    </row>
    <row r="753" spans="1:14" hidden="1" x14ac:dyDescent="0.25">
      <c r="A753" s="77">
        <v>5</v>
      </c>
      <c r="B753" s="550" t="s">
        <v>825</v>
      </c>
      <c r="C753" s="202" t="s">
        <v>826</v>
      </c>
      <c r="D753" s="201" t="s">
        <v>39</v>
      </c>
      <c r="E753" s="512" t="s">
        <v>40</v>
      </c>
      <c r="F753" s="586" t="s">
        <v>921</v>
      </c>
      <c r="G753" s="202" t="s">
        <v>922</v>
      </c>
      <c r="H753" s="201">
        <v>24</v>
      </c>
      <c r="I753" s="201" t="s">
        <v>921</v>
      </c>
      <c r="J753" s="77"/>
      <c r="K753" s="77"/>
      <c r="N753" s="76">
        <v>356</v>
      </c>
    </row>
    <row r="754" spans="1:14" hidden="1" x14ac:dyDescent="0.25">
      <c r="A754" s="77">
        <v>5</v>
      </c>
      <c r="B754" s="550" t="s">
        <v>429</v>
      </c>
      <c r="C754" s="202" t="s">
        <v>430</v>
      </c>
      <c r="D754" s="201" t="s">
        <v>39</v>
      </c>
      <c r="E754" s="512" t="s">
        <v>40</v>
      </c>
      <c r="F754" s="586" t="s">
        <v>921</v>
      </c>
      <c r="G754" s="202" t="s">
        <v>922</v>
      </c>
      <c r="H754" s="201">
        <v>24</v>
      </c>
      <c r="I754" s="201" t="s">
        <v>921</v>
      </c>
      <c r="J754" s="77"/>
      <c r="K754" s="77"/>
      <c r="N754" s="76">
        <v>357</v>
      </c>
    </row>
    <row r="755" spans="1:14" hidden="1" x14ac:dyDescent="0.25">
      <c r="A755" s="77">
        <v>5</v>
      </c>
      <c r="B755" s="550" t="s">
        <v>431</v>
      </c>
      <c r="C755" s="202" t="s">
        <v>432</v>
      </c>
      <c r="D755" s="201" t="s">
        <v>39</v>
      </c>
      <c r="E755" s="512" t="s">
        <v>40</v>
      </c>
      <c r="F755" s="586" t="s">
        <v>923</v>
      </c>
      <c r="G755" s="202" t="s">
        <v>924</v>
      </c>
      <c r="H755" s="201">
        <v>24</v>
      </c>
      <c r="I755" s="201" t="s">
        <v>919</v>
      </c>
      <c r="J755" s="77"/>
      <c r="K755" s="77"/>
      <c r="N755" s="76">
        <v>358</v>
      </c>
    </row>
    <row r="756" spans="1:14" hidden="1" x14ac:dyDescent="0.25">
      <c r="A756" s="77">
        <v>5</v>
      </c>
      <c r="B756" s="550" t="s">
        <v>433</v>
      </c>
      <c r="C756" s="202" t="s">
        <v>434</v>
      </c>
      <c r="D756" s="201" t="s">
        <v>39</v>
      </c>
      <c r="E756" s="512" t="s">
        <v>40</v>
      </c>
      <c r="F756" s="586" t="s">
        <v>923</v>
      </c>
      <c r="G756" s="202" t="s">
        <v>924</v>
      </c>
      <c r="H756" s="201">
        <v>24</v>
      </c>
      <c r="I756" s="201" t="s">
        <v>919</v>
      </c>
      <c r="J756" s="77"/>
      <c r="K756" s="77"/>
      <c r="N756" s="76">
        <v>359</v>
      </c>
    </row>
    <row r="757" spans="1:14" hidden="1" x14ac:dyDescent="0.25">
      <c r="A757" s="77">
        <v>5</v>
      </c>
      <c r="B757" s="550" t="s">
        <v>435</v>
      </c>
      <c r="C757" s="202" t="s">
        <v>436</v>
      </c>
      <c r="D757" s="201" t="s">
        <v>39</v>
      </c>
      <c r="E757" s="512" t="s">
        <v>40</v>
      </c>
      <c r="F757" s="586" t="s">
        <v>919</v>
      </c>
      <c r="G757" s="202" t="s">
        <v>920</v>
      </c>
      <c r="H757" s="201">
        <v>25</v>
      </c>
      <c r="I757" s="201" t="s">
        <v>929</v>
      </c>
      <c r="J757" s="77"/>
      <c r="K757" s="77"/>
      <c r="N757" s="76">
        <v>360</v>
      </c>
    </row>
    <row r="758" spans="1:14" hidden="1" x14ac:dyDescent="0.25">
      <c r="A758" s="77">
        <v>5</v>
      </c>
      <c r="B758" s="550" t="s">
        <v>437</v>
      </c>
      <c r="C758" s="202" t="s">
        <v>438</v>
      </c>
      <c r="D758" s="201" t="s">
        <v>39</v>
      </c>
      <c r="E758" s="512" t="s">
        <v>40</v>
      </c>
      <c r="F758" s="586" t="s">
        <v>919</v>
      </c>
      <c r="G758" s="202" t="s">
        <v>920</v>
      </c>
      <c r="H758" s="201">
        <v>19</v>
      </c>
      <c r="I758" s="201" t="s">
        <v>893</v>
      </c>
      <c r="J758" s="77"/>
      <c r="K758" s="77"/>
      <c r="N758" s="76">
        <v>361</v>
      </c>
    </row>
    <row r="759" spans="1:14" hidden="1" x14ac:dyDescent="0.25">
      <c r="A759" s="77">
        <v>5</v>
      </c>
      <c r="B759" s="550" t="s">
        <v>439</v>
      </c>
      <c r="C759" s="202" t="s">
        <v>440</v>
      </c>
      <c r="D759" s="201" t="s">
        <v>39</v>
      </c>
      <c r="E759" s="512" t="s">
        <v>40</v>
      </c>
      <c r="F759" s="586" t="s">
        <v>919</v>
      </c>
      <c r="G759" s="202" t="s">
        <v>920</v>
      </c>
      <c r="H759" s="201">
        <v>19</v>
      </c>
      <c r="I759" s="201" t="s">
        <v>893</v>
      </c>
      <c r="J759" s="77"/>
      <c r="K759" s="77"/>
      <c r="N759" s="76">
        <v>362</v>
      </c>
    </row>
    <row r="760" spans="1:14" hidden="1" x14ac:dyDescent="0.25">
      <c r="A760" s="77">
        <v>5</v>
      </c>
      <c r="B760" s="550" t="s">
        <v>441</v>
      </c>
      <c r="C760" s="202" t="s">
        <v>442</v>
      </c>
      <c r="D760" s="201" t="s">
        <v>39</v>
      </c>
      <c r="E760" s="512" t="s">
        <v>40</v>
      </c>
      <c r="F760" s="586" t="s">
        <v>919</v>
      </c>
      <c r="G760" s="202" t="s">
        <v>920</v>
      </c>
      <c r="H760" s="201">
        <v>19</v>
      </c>
      <c r="I760" s="201" t="s">
        <v>893</v>
      </c>
      <c r="J760" s="77"/>
      <c r="K760" s="77"/>
      <c r="N760" s="76">
        <v>363</v>
      </c>
    </row>
    <row r="761" spans="1:14" hidden="1" x14ac:dyDescent="0.25">
      <c r="A761" s="77">
        <v>5</v>
      </c>
      <c r="B761" s="550" t="s">
        <v>443</v>
      </c>
      <c r="C761" s="202" t="s">
        <v>444</v>
      </c>
      <c r="D761" s="201" t="s">
        <v>39</v>
      </c>
      <c r="E761" s="512" t="s">
        <v>40</v>
      </c>
      <c r="F761" s="586" t="s">
        <v>919</v>
      </c>
      <c r="G761" s="202" t="s">
        <v>920</v>
      </c>
      <c r="H761" s="201">
        <v>19</v>
      </c>
      <c r="I761" s="201" t="s">
        <v>893</v>
      </c>
      <c r="J761" s="77"/>
      <c r="K761" s="77"/>
      <c r="N761" s="76">
        <v>364</v>
      </c>
    </row>
    <row r="762" spans="1:14" hidden="1" x14ac:dyDescent="0.25">
      <c r="A762" s="77">
        <v>5</v>
      </c>
      <c r="B762" s="550" t="s">
        <v>445</v>
      </c>
      <c r="C762" s="202" t="s">
        <v>446</v>
      </c>
      <c r="D762" s="201" t="s">
        <v>39</v>
      </c>
      <c r="E762" s="512" t="s">
        <v>40</v>
      </c>
      <c r="F762" s="586" t="s">
        <v>919</v>
      </c>
      <c r="G762" s="202" t="s">
        <v>920</v>
      </c>
      <c r="H762" s="201">
        <v>19</v>
      </c>
      <c r="I762" s="201" t="s">
        <v>893</v>
      </c>
      <c r="J762" s="77"/>
      <c r="K762" s="77"/>
      <c r="N762" s="76">
        <v>365</v>
      </c>
    </row>
    <row r="763" spans="1:14" hidden="1" x14ac:dyDescent="0.25">
      <c r="A763" s="77">
        <v>5</v>
      </c>
      <c r="B763" s="550" t="s">
        <v>447</v>
      </c>
      <c r="C763" s="202" t="s">
        <v>448</v>
      </c>
      <c r="D763" s="201" t="s">
        <v>39</v>
      </c>
      <c r="E763" s="512" t="s">
        <v>40</v>
      </c>
      <c r="F763" s="586" t="s">
        <v>919</v>
      </c>
      <c r="G763" s="202" t="s">
        <v>920</v>
      </c>
      <c r="H763" s="201">
        <v>19</v>
      </c>
      <c r="I763" s="201" t="s">
        <v>893</v>
      </c>
      <c r="J763" s="77"/>
      <c r="K763" s="77"/>
      <c r="N763" s="76">
        <v>366</v>
      </c>
    </row>
    <row r="764" spans="1:14" hidden="1" x14ac:dyDescent="0.25">
      <c r="A764" s="77">
        <v>5</v>
      </c>
      <c r="B764" s="550" t="s">
        <v>449</v>
      </c>
      <c r="C764" s="202" t="s">
        <v>450</v>
      </c>
      <c r="D764" s="201" t="s">
        <v>39</v>
      </c>
      <c r="E764" s="512" t="s">
        <v>40</v>
      </c>
      <c r="F764" s="586" t="s">
        <v>919</v>
      </c>
      <c r="G764" s="202" t="s">
        <v>920</v>
      </c>
      <c r="H764" s="201">
        <v>19</v>
      </c>
      <c r="I764" s="201" t="s">
        <v>893</v>
      </c>
      <c r="J764" s="77"/>
      <c r="K764" s="77"/>
      <c r="N764" s="76">
        <v>367</v>
      </c>
    </row>
    <row r="765" spans="1:14" hidden="1" x14ac:dyDescent="0.25">
      <c r="A765" s="77">
        <v>5</v>
      </c>
      <c r="B765" s="550" t="s">
        <v>451</v>
      </c>
      <c r="C765" s="202" t="s">
        <v>452</v>
      </c>
      <c r="D765" s="201" t="s">
        <v>39</v>
      </c>
      <c r="E765" s="512" t="s">
        <v>40</v>
      </c>
      <c r="F765" s="586" t="s">
        <v>919</v>
      </c>
      <c r="G765" s="202" t="s">
        <v>920</v>
      </c>
      <c r="H765" s="201">
        <v>19</v>
      </c>
      <c r="I765" s="201" t="s">
        <v>893</v>
      </c>
      <c r="J765" s="77"/>
      <c r="K765" s="77"/>
      <c r="N765" s="76">
        <v>368</v>
      </c>
    </row>
    <row r="766" spans="1:14" hidden="1" x14ac:dyDescent="0.25">
      <c r="A766" s="77">
        <v>5</v>
      </c>
      <c r="B766" s="550" t="s">
        <v>453</v>
      </c>
      <c r="C766" s="202" t="s">
        <v>454</v>
      </c>
      <c r="D766" s="201" t="s">
        <v>39</v>
      </c>
      <c r="E766" s="512" t="s">
        <v>40</v>
      </c>
      <c r="F766" s="586" t="s">
        <v>919</v>
      </c>
      <c r="G766" s="202" t="s">
        <v>920</v>
      </c>
      <c r="H766" s="201">
        <v>19</v>
      </c>
      <c r="I766" s="201" t="s">
        <v>893</v>
      </c>
      <c r="J766" s="77"/>
      <c r="K766" s="77"/>
      <c r="N766" s="76">
        <v>369</v>
      </c>
    </row>
    <row r="767" spans="1:14" hidden="1" x14ac:dyDescent="0.25">
      <c r="A767" s="77">
        <v>5</v>
      </c>
      <c r="B767" s="550" t="s">
        <v>455</v>
      </c>
      <c r="C767" s="202" t="s">
        <v>456</v>
      </c>
      <c r="D767" s="201" t="s">
        <v>39</v>
      </c>
      <c r="E767" s="512" t="s">
        <v>40</v>
      </c>
      <c r="F767" s="586" t="s">
        <v>921</v>
      </c>
      <c r="G767" s="202" t="s">
        <v>922</v>
      </c>
      <c r="H767" s="201">
        <v>24</v>
      </c>
      <c r="I767" s="201" t="s">
        <v>921</v>
      </c>
      <c r="J767" s="77"/>
      <c r="K767" s="77"/>
      <c r="N767" s="76">
        <v>370</v>
      </c>
    </row>
    <row r="768" spans="1:14" hidden="1" x14ac:dyDescent="0.25">
      <c r="A768" s="77">
        <v>5</v>
      </c>
      <c r="B768" s="550" t="s">
        <v>457</v>
      </c>
      <c r="C768" s="202" t="s">
        <v>458</v>
      </c>
      <c r="D768" s="201" t="s">
        <v>39</v>
      </c>
      <c r="E768" s="512" t="s">
        <v>40</v>
      </c>
      <c r="F768" s="586" t="s">
        <v>921</v>
      </c>
      <c r="G768" s="202" t="s">
        <v>922</v>
      </c>
      <c r="H768" s="201">
        <v>24</v>
      </c>
      <c r="I768" s="201" t="s">
        <v>921</v>
      </c>
      <c r="J768" s="77"/>
      <c r="K768" s="77"/>
      <c r="N768" s="76">
        <v>371</v>
      </c>
    </row>
    <row r="769" spans="1:14" hidden="1" x14ac:dyDescent="0.25">
      <c r="A769" s="77">
        <v>5</v>
      </c>
      <c r="B769" s="550" t="s">
        <v>459</v>
      </c>
      <c r="C769" s="202" t="s">
        <v>460</v>
      </c>
      <c r="D769" s="201" t="s">
        <v>39</v>
      </c>
      <c r="E769" s="512" t="s">
        <v>40</v>
      </c>
      <c r="F769" s="586" t="s">
        <v>921</v>
      </c>
      <c r="G769" s="202" t="s">
        <v>922</v>
      </c>
      <c r="H769" s="201">
        <v>24</v>
      </c>
      <c r="I769" s="201" t="s">
        <v>921</v>
      </c>
      <c r="J769" s="77"/>
      <c r="K769" s="77"/>
      <c r="N769" s="76">
        <v>372</v>
      </c>
    </row>
    <row r="770" spans="1:14" hidden="1" x14ac:dyDescent="0.25">
      <c r="A770" s="77">
        <v>5</v>
      </c>
      <c r="B770" s="550" t="s">
        <v>461</v>
      </c>
      <c r="C770" s="202" t="s">
        <v>462</v>
      </c>
      <c r="D770" s="201" t="s">
        <v>39</v>
      </c>
      <c r="E770" s="512" t="s">
        <v>40</v>
      </c>
      <c r="F770" s="586" t="s">
        <v>921</v>
      </c>
      <c r="G770" s="202" t="s">
        <v>922</v>
      </c>
      <c r="H770" s="201">
        <v>24</v>
      </c>
      <c r="I770" s="201" t="s">
        <v>921</v>
      </c>
      <c r="J770" s="77"/>
      <c r="K770" s="77"/>
      <c r="N770" s="76">
        <v>373</v>
      </c>
    </row>
    <row r="771" spans="1:14" hidden="1" x14ac:dyDescent="0.25">
      <c r="A771" s="77">
        <v>5</v>
      </c>
      <c r="B771" s="550" t="s">
        <v>463</v>
      </c>
      <c r="C771" s="202" t="s">
        <v>464</v>
      </c>
      <c r="D771" s="201" t="s">
        <v>39</v>
      </c>
      <c r="E771" s="512" t="s">
        <v>40</v>
      </c>
      <c r="F771" s="586" t="s">
        <v>921</v>
      </c>
      <c r="G771" s="202" t="s">
        <v>922</v>
      </c>
      <c r="H771" s="201">
        <v>24</v>
      </c>
      <c r="I771" s="201" t="s">
        <v>921</v>
      </c>
      <c r="J771" s="77"/>
      <c r="K771" s="77"/>
      <c r="N771" s="76">
        <v>374</v>
      </c>
    </row>
    <row r="772" spans="1:14" hidden="1" x14ac:dyDescent="0.25">
      <c r="A772" s="77">
        <v>5</v>
      </c>
      <c r="B772" s="550" t="s">
        <v>465</v>
      </c>
      <c r="C772" s="202" t="s">
        <v>466</v>
      </c>
      <c r="D772" s="201" t="s">
        <v>39</v>
      </c>
      <c r="E772" s="512" t="s">
        <v>40</v>
      </c>
      <c r="F772" s="586" t="s">
        <v>921</v>
      </c>
      <c r="G772" s="202" t="s">
        <v>922</v>
      </c>
      <c r="H772" s="201">
        <v>24</v>
      </c>
      <c r="I772" s="201" t="s">
        <v>921</v>
      </c>
      <c r="J772" s="77"/>
      <c r="K772" s="77"/>
      <c r="N772" s="76">
        <v>375</v>
      </c>
    </row>
    <row r="773" spans="1:14" hidden="1" x14ac:dyDescent="0.25">
      <c r="A773" s="77">
        <v>5</v>
      </c>
      <c r="B773" s="550" t="s">
        <v>467</v>
      </c>
      <c r="C773" s="202" t="s">
        <v>468</v>
      </c>
      <c r="D773" s="201" t="s">
        <v>39</v>
      </c>
      <c r="E773" s="512" t="s">
        <v>40</v>
      </c>
      <c r="F773" s="586" t="s">
        <v>921</v>
      </c>
      <c r="G773" s="202" t="s">
        <v>922</v>
      </c>
      <c r="H773" s="201">
        <v>24</v>
      </c>
      <c r="I773" s="201" t="s">
        <v>921</v>
      </c>
      <c r="J773" s="77"/>
      <c r="K773" s="77"/>
      <c r="N773" s="76">
        <v>376</v>
      </c>
    </row>
    <row r="774" spans="1:14" hidden="1" x14ac:dyDescent="0.25">
      <c r="A774" s="77">
        <v>5</v>
      </c>
      <c r="B774" s="550" t="s">
        <v>469</v>
      </c>
      <c r="C774" s="202" t="s">
        <v>470</v>
      </c>
      <c r="D774" s="201" t="s">
        <v>39</v>
      </c>
      <c r="E774" s="512" t="s">
        <v>40</v>
      </c>
      <c r="F774" s="586" t="s">
        <v>921</v>
      </c>
      <c r="G774" s="202" t="s">
        <v>922</v>
      </c>
      <c r="H774" s="201">
        <v>24</v>
      </c>
      <c r="I774" s="201" t="s">
        <v>921</v>
      </c>
      <c r="J774" s="77"/>
      <c r="K774" s="77"/>
      <c r="N774" s="76">
        <v>377</v>
      </c>
    </row>
    <row r="775" spans="1:14" hidden="1" x14ac:dyDescent="0.25">
      <c r="A775" s="77">
        <v>5</v>
      </c>
      <c r="B775" s="550" t="s">
        <v>471</v>
      </c>
      <c r="C775" s="202" t="s">
        <v>472</v>
      </c>
      <c r="D775" s="201" t="s">
        <v>39</v>
      </c>
      <c r="E775" s="512" t="s">
        <v>40</v>
      </c>
      <c r="F775" s="586" t="s">
        <v>921</v>
      </c>
      <c r="G775" s="202" t="s">
        <v>922</v>
      </c>
      <c r="H775" s="201">
        <v>24</v>
      </c>
      <c r="I775" s="201" t="s">
        <v>923</v>
      </c>
      <c r="J775" s="77"/>
      <c r="K775" s="77"/>
      <c r="N775" s="76">
        <v>378</v>
      </c>
    </row>
    <row r="776" spans="1:14" hidden="1" x14ac:dyDescent="0.25">
      <c r="A776" s="77">
        <v>5</v>
      </c>
      <c r="B776" s="550" t="s">
        <v>473</v>
      </c>
      <c r="C776" s="202" t="s">
        <v>474</v>
      </c>
      <c r="D776" s="201" t="s">
        <v>39</v>
      </c>
      <c r="E776" s="512" t="s">
        <v>40</v>
      </c>
      <c r="F776" s="586" t="s">
        <v>921</v>
      </c>
      <c r="G776" s="202" t="s">
        <v>922</v>
      </c>
      <c r="H776" s="201">
        <v>24</v>
      </c>
      <c r="I776" s="201" t="s">
        <v>923</v>
      </c>
      <c r="J776" s="77"/>
      <c r="K776" s="77"/>
      <c r="N776" s="76">
        <v>379</v>
      </c>
    </row>
    <row r="777" spans="1:14" hidden="1" x14ac:dyDescent="0.25">
      <c r="A777" s="77">
        <v>5</v>
      </c>
      <c r="B777" s="550" t="s">
        <v>475</v>
      </c>
      <c r="C777" s="202" t="s">
        <v>476</v>
      </c>
      <c r="D777" s="201" t="s">
        <v>39</v>
      </c>
      <c r="E777" s="512" t="s">
        <v>40</v>
      </c>
      <c r="F777" s="586" t="s">
        <v>923</v>
      </c>
      <c r="G777" s="202" t="s">
        <v>924</v>
      </c>
      <c r="H777" s="201">
        <v>24</v>
      </c>
      <c r="I777" s="201" t="s">
        <v>919</v>
      </c>
      <c r="J777" s="77"/>
      <c r="K777" s="77"/>
      <c r="N777" s="76">
        <v>380</v>
      </c>
    </row>
    <row r="778" spans="1:14" hidden="1" x14ac:dyDescent="0.25">
      <c r="A778" s="77">
        <v>5</v>
      </c>
      <c r="B778" s="550" t="s">
        <v>477</v>
      </c>
      <c r="C778" s="202" t="s">
        <v>478</v>
      </c>
      <c r="D778" s="201" t="s">
        <v>39</v>
      </c>
      <c r="E778" s="512" t="s">
        <v>40</v>
      </c>
      <c r="F778" s="586" t="s">
        <v>923</v>
      </c>
      <c r="G778" s="202" t="s">
        <v>924</v>
      </c>
      <c r="H778" s="201">
        <v>24</v>
      </c>
      <c r="I778" s="201" t="s">
        <v>919</v>
      </c>
      <c r="J778" s="77"/>
      <c r="K778" s="77"/>
      <c r="N778" s="76">
        <v>381</v>
      </c>
    </row>
    <row r="779" spans="1:14" hidden="1" x14ac:dyDescent="0.25">
      <c r="A779" s="77">
        <v>5</v>
      </c>
      <c r="B779" s="550" t="s">
        <v>479</v>
      </c>
      <c r="C779" s="202" t="s">
        <v>480</v>
      </c>
      <c r="D779" s="201" t="s">
        <v>39</v>
      </c>
      <c r="E779" s="512" t="s">
        <v>40</v>
      </c>
      <c r="F779" s="586" t="s">
        <v>919</v>
      </c>
      <c r="G779" s="202" t="s">
        <v>920</v>
      </c>
      <c r="H779" s="201">
        <v>19</v>
      </c>
      <c r="I779" s="201" t="s">
        <v>893</v>
      </c>
      <c r="J779" s="77"/>
      <c r="K779" s="77"/>
      <c r="N779" s="76">
        <v>382</v>
      </c>
    </row>
    <row r="780" spans="1:14" hidden="1" x14ac:dyDescent="0.25">
      <c r="A780" s="77">
        <v>5</v>
      </c>
      <c r="B780" s="550" t="s">
        <v>481</v>
      </c>
      <c r="C780" s="202" t="s">
        <v>482</v>
      </c>
      <c r="D780" s="201" t="s">
        <v>39</v>
      </c>
      <c r="E780" s="512" t="s">
        <v>40</v>
      </c>
      <c r="F780" s="586" t="s">
        <v>919</v>
      </c>
      <c r="G780" s="202" t="s">
        <v>920</v>
      </c>
      <c r="H780" s="201">
        <v>24</v>
      </c>
      <c r="I780" s="201" t="s">
        <v>919</v>
      </c>
      <c r="J780" s="77"/>
      <c r="K780" s="77"/>
      <c r="N780" s="76">
        <v>383</v>
      </c>
    </row>
    <row r="781" spans="1:14" hidden="1" x14ac:dyDescent="0.25">
      <c r="A781" s="77">
        <v>5</v>
      </c>
      <c r="B781" s="550" t="s">
        <v>5838</v>
      </c>
      <c r="C781" s="202" t="s">
        <v>5837</v>
      </c>
      <c r="D781" s="201" t="s">
        <v>31</v>
      </c>
      <c r="E781" s="512" t="s">
        <v>32</v>
      </c>
      <c r="F781" s="586" t="s">
        <v>900</v>
      </c>
      <c r="G781" s="202" t="s">
        <v>901</v>
      </c>
      <c r="H781" s="201"/>
      <c r="I781" s="201" t="s">
        <v>917</v>
      </c>
      <c r="J781" s="77"/>
      <c r="K781" s="77"/>
      <c r="N781" s="76">
        <v>384</v>
      </c>
    </row>
    <row r="782" spans="1:14" hidden="1" x14ac:dyDescent="0.25">
      <c r="A782" s="77">
        <v>5</v>
      </c>
      <c r="B782" s="550" t="s">
        <v>498</v>
      </c>
      <c r="C782" s="202" t="s">
        <v>499</v>
      </c>
      <c r="D782" s="201" t="s">
        <v>41</v>
      </c>
      <c r="E782" s="512" t="s">
        <v>42</v>
      </c>
      <c r="F782" s="586" t="s">
        <v>931</v>
      </c>
      <c r="G782" s="202" t="s">
        <v>932</v>
      </c>
      <c r="H782" s="201">
        <v>164</v>
      </c>
      <c r="I782" s="201" t="s">
        <v>933</v>
      </c>
      <c r="J782" s="77"/>
      <c r="K782" s="77" t="s">
        <v>6258</v>
      </c>
      <c r="N782" s="76">
        <v>385</v>
      </c>
    </row>
    <row r="783" spans="1:14" hidden="1" x14ac:dyDescent="0.25">
      <c r="A783" s="77">
        <v>5</v>
      </c>
      <c r="B783" s="550" t="s">
        <v>500</v>
      </c>
      <c r="C783" s="202" t="s">
        <v>501</v>
      </c>
      <c r="D783" s="201" t="s">
        <v>41</v>
      </c>
      <c r="E783" s="512" t="s">
        <v>42</v>
      </c>
      <c r="F783" s="586" t="s">
        <v>931</v>
      </c>
      <c r="G783" s="202" t="s">
        <v>932</v>
      </c>
      <c r="H783" s="201">
        <v>164</v>
      </c>
      <c r="I783" s="201" t="s">
        <v>933</v>
      </c>
      <c r="J783" s="77"/>
      <c r="K783" s="77" t="s">
        <v>6258</v>
      </c>
      <c r="N783" s="76">
        <v>386</v>
      </c>
    </row>
    <row r="784" spans="1:14" hidden="1" x14ac:dyDescent="0.25">
      <c r="A784" s="77">
        <v>5</v>
      </c>
      <c r="B784" s="550" t="s">
        <v>827</v>
      </c>
      <c r="C784" s="202" t="s">
        <v>828</v>
      </c>
      <c r="D784" s="201" t="s">
        <v>1145</v>
      </c>
      <c r="E784" s="512" t="s">
        <v>1146</v>
      </c>
      <c r="F784" s="586" t="s">
        <v>931</v>
      </c>
      <c r="G784" s="202" t="s">
        <v>932</v>
      </c>
      <c r="H784" s="201">
        <v>164</v>
      </c>
      <c r="I784" s="201" t="s">
        <v>933</v>
      </c>
      <c r="J784" s="77"/>
      <c r="K784" s="77"/>
      <c r="N784" s="76">
        <v>387</v>
      </c>
    </row>
    <row r="785" spans="1:14" hidden="1" x14ac:dyDescent="0.25">
      <c r="A785" s="77">
        <v>5</v>
      </c>
      <c r="B785" s="550" t="s">
        <v>502</v>
      </c>
      <c r="C785" s="202" t="s">
        <v>1020</v>
      </c>
      <c r="D785" s="201" t="s">
        <v>667</v>
      </c>
      <c r="E785" s="512" t="s">
        <v>668</v>
      </c>
      <c r="F785" s="586" t="s">
        <v>933</v>
      </c>
      <c r="G785" s="202" t="s">
        <v>934</v>
      </c>
      <c r="H785" s="201">
        <v>24</v>
      </c>
      <c r="I785" s="201" t="s">
        <v>919</v>
      </c>
      <c r="J785" s="77"/>
      <c r="K785" s="77"/>
      <c r="N785" s="76">
        <v>388</v>
      </c>
    </row>
    <row r="786" spans="1:14" hidden="1" x14ac:dyDescent="0.25">
      <c r="A786" s="77">
        <v>5</v>
      </c>
      <c r="B786" s="550" t="s">
        <v>503</v>
      </c>
      <c r="C786" s="202" t="s">
        <v>504</v>
      </c>
      <c r="D786" s="201" t="s">
        <v>667</v>
      </c>
      <c r="E786" s="512" t="s">
        <v>668</v>
      </c>
      <c r="F786" s="586" t="s">
        <v>933</v>
      </c>
      <c r="G786" s="202" t="s">
        <v>934</v>
      </c>
      <c r="H786" s="201">
        <v>24</v>
      </c>
      <c r="I786" s="201" t="s">
        <v>919</v>
      </c>
      <c r="J786" s="77"/>
      <c r="K786" s="77"/>
      <c r="N786" s="76">
        <v>389</v>
      </c>
    </row>
    <row r="787" spans="1:14" hidden="1" x14ac:dyDescent="0.25">
      <c r="A787" s="77">
        <v>5</v>
      </c>
      <c r="B787" s="550" t="s">
        <v>505</v>
      </c>
      <c r="C787" s="202" t="s">
        <v>506</v>
      </c>
      <c r="D787" s="201" t="s">
        <v>667</v>
      </c>
      <c r="E787" s="512" t="s">
        <v>668</v>
      </c>
      <c r="F787" s="586" t="s">
        <v>933</v>
      </c>
      <c r="G787" s="202" t="s">
        <v>934</v>
      </c>
      <c r="H787" s="201">
        <v>24</v>
      </c>
      <c r="I787" s="201" t="s">
        <v>919</v>
      </c>
      <c r="J787" s="77"/>
      <c r="K787" s="77"/>
      <c r="N787" s="76">
        <v>390</v>
      </c>
    </row>
    <row r="788" spans="1:14" hidden="1" x14ac:dyDescent="0.25">
      <c r="A788" s="77">
        <v>5</v>
      </c>
      <c r="B788" s="550" t="s">
        <v>507</v>
      </c>
      <c r="C788" s="202" t="s">
        <v>1021</v>
      </c>
      <c r="D788" s="201" t="s">
        <v>667</v>
      </c>
      <c r="E788" s="512" t="s">
        <v>668</v>
      </c>
      <c r="F788" s="586" t="s">
        <v>933</v>
      </c>
      <c r="G788" s="202" t="s">
        <v>934</v>
      </c>
      <c r="H788" s="201">
        <v>24</v>
      </c>
      <c r="I788" s="201" t="s">
        <v>919</v>
      </c>
      <c r="J788" s="77"/>
      <c r="K788" s="77"/>
      <c r="N788" s="76">
        <v>391</v>
      </c>
    </row>
    <row r="789" spans="1:14" hidden="1" x14ac:dyDescent="0.25">
      <c r="A789" s="77">
        <v>5</v>
      </c>
      <c r="B789" s="550" t="s">
        <v>508</v>
      </c>
      <c r="C789" s="202" t="s">
        <v>1022</v>
      </c>
      <c r="D789" s="201" t="s">
        <v>667</v>
      </c>
      <c r="E789" s="512" t="s">
        <v>668</v>
      </c>
      <c r="F789" s="586" t="s">
        <v>933</v>
      </c>
      <c r="G789" s="202" t="s">
        <v>934</v>
      </c>
      <c r="H789" s="201">
        <v>24</v>
      </c>
      <c r="I789" s="201" t="s">
        <v>919</v>
      </c>
      <c r="J789" s="77"/>
      <c r="K789" s="77"/>
      <c r="N789" s="76">
        <v>392</v>
      </c>
    </row>
    <row r="790" spans="1:14" hidden="1" x14ac:dyDescent="0.25">
      <c r="A790" s="77">
        <v>5</v>
      </c>
      <c r="B790" s="550" t="s">
        <v>509</v>
      </c>
      <c r="C790" s="202" t="s">
        <v>1135</v>
      </c>
      <c r="D790" s="201" t="s">
        <v>667</v>
      </c>
      <c r="E790" s="512" t="s">
        <v>668</v>
      </c>
      <c r="F790" s="586" t="s">
        <v>933</v>
      </c>
      <c r="G790" s="202" t="s">
        <v>934</v>
      </c>
      <c r="H790" s="201">
        <v>24</v>
      </c>
      <c r="I790" s="201" t="s">
        <v>921</v>
      </c>
      <c r="J790" s="77"/>
      <c r="K790" s="77"/>
      <c r="N790" s="76">
        <v>393</v>
      </c>
    </row>
    <row r="791" spans="1:14" hidden="1" x14ac:dyDescent="0.25">
      <c r="A791" s="77">
        <v>5</v>
      </c>
      <c r="B791" s="550" t="s">
        <v>510</v>
      </c>
      <c r="C791" s="202" t="s">
        <v>1023</v>
      </c>
      <c r="D791" s="201" t="s">
        <v>667</v>
      </c>
      <c r="E791" s="512" t="s">
        <v>668</v>
      </c>
      <c r="F791" s="586" t="s">
        <v>933</v>
      </c>
      <c r="G791" s="202" t="s">
        <v>934</v>
      </c>
      <c r="H791" s="201">
        <v>24</v>
      </c>
      <c r="I791" s="201" t="s">
        <v>921</v>
      </c>
      <c r="J791" s="77"/>
      <c r="K791" s="77"/>
      <c r="N791" s="76">
        <v>394</v>
      </c>
    </row>
    <row r="792" spans="1:14" hidden="1" x14ac:dyDescent="0.25">
      <c r="A792" s="77">
        <v>5</v>
      </c>
      <c r="B792" s="550" t="s">
        <v>511</v>
      </c>
      <c r="C792" s="202" t="s">
        <v>512</v>
      </c>
      <c r="D792" s="201" t="s">
        <v>667</v>
      </c>
      <c r="E792" s="512" t="s">
        <v>668</v>
      </c>
      <c r="F792" s="586" t="s">
        <v>933</v>
      </c>
      <c r="G792" s="202" t="s">
        <v>934</v>
      </c>
      <c r="H792" s="201">
        <v>24</v>
      </c>
      <c r="I792" s="201" t="s">
        <v>923</v>
      </c>
      <c r="J792" s="77"/>
      <c r="K792" s="77"/>
      <c r="N792" s="76">
        <v>395</v>
      </c>
    </row>
    <row r="793" spans="1:14" hidden="1" x14ac:dyDescent="0.25">
      <c r="A793" s="77">
        <v>5</v>
      </c>
      <c r="B793" s="550" t="s">
        <v>513</v>
      </c>
      <c r="C793" s="202" t="s">
        <v>514</v>
      </c>
      <c r="D793" s="201" t="s">
        <v>667</v>
      </c>
      <c r="E793" s="512" t="s">
        <v>668</v>
      </c>
      <c r="F793" s="586" t="s">
        <v>933</v>
      </c>
      <c r="G793" s="202" t="s">
        <v>934</v>
      </c>
      <c r="H793" s="201">
        <v>24</v>
      </c>
      <c r="I793" s="201" t="s">
        <v>923</v>
      </c>
      <c r="J793" s="77"/>
      <c r="K793" s="77"/>
      <c r="N793" s="76">
        <v>396</v>
      </c>
    </row>
    <row r="794" spans="1:14" hidden="1" x14ac:dyDescent="0.25">
      <c r="A794" s="77">
        <v>5</v>
      </c>
      <c r="B794" s="550" t="s">
        <v>5840</v>
      </c>
      <c r="C794" s="202" t="s">
        <v>5839</v>
      </c>
      <c r="D794" s="201" t="s">
        <v>667</v>
      </c>
      <c r="E794" s="512" t="s">
        <v>668</v>
      </c>
      <c r="F794" s="586" t="s">
        <v>933</v>
      </c>
      <c r="G794" s="202" t="s">
        <v>934</v>
      </c>
      <c r="H794" s="201">
        <v>24</v>
      </c>
      <c r="I794" s="201" t="s">
        <v>923</v>
      </c>
      <c r="J794" s="77"/>
      <c r="K794" s="77"/>
      <c r="N794" s="76">
        <v>397</v>
      </c>
    </row>
    <row r="795" spans="1:14" hidden="1" x14ac:dyDescent="0.25">
      <c r="A795" s="77">
        <v>5</v>
      </c>
      <c r="B795" s="550" t="s">
        <v>515</v>
      </c>
      <c r="C795" s="202" t="s">
        <v>1024</v>
      </c>
      <c r="D795" s="201" t="s">
        <v>667</v>
      </c>
      <c r="E795" s="512" t="s">
        <v>668</v>
      </c>
      <c r="F795" s="586" t="s">
        <v>933</v>
      </c>
      <c r="G795" s="202" t="s">
        <v>934</v>
      </c>
      <c r="H795" s="201">
        <v>24</v>
      </c>
      <c r="I795" s="201" t="s">
        <v>919</v>
      </c>
      <c r="J795" s="77"/>
      <c r="K795" s="77"/>
      <c r="N795" s="76">
        <v>398</v>
      </c>
    </row>
    <row r="796" spans="1:14" hidden="1" x14ac:dyDescent="0.25">
      <c r="A796" s="77">
        <v>5</v>
      </c>
      <c r="B796" s="550" t="s">
        <v>516</v>
      </c>
      <c r="C796" s="202" t="s">
        <v>1025</v>
      </c>
      <c r="D796" s="201" t="s">
        <v>667</v>
      </c>
      <c r="E796" s="512" t="s">
        <v>668</v>
      </c>
      <c r="F796" s="586" t="s">
        <v>933</v>
      </c>
      <c r="G796" s="202" t="s">
        <v>934</v>
      </c>
      <c r="H796" s="201">
        <v>24</v>
      </c>
      <c r="I796" s="201" t="s">
        <v>919</v>
      </c>
      <c r="J796" s="77"/>
      <c r="K796" s="77"/>
      <c r="N796" s="76">
        <v>399</v>
      </c>
    </row>
    <row r="797" spans="1:14" hidden="1" x14ac:dyDescent="0.25">
      <c r="A797" s="77">
        <v>5</v>
      </c>
      <c r="B797" s="550" t="s">
        <v>5854</v>
      </c>
      <c r="C797" s="202" t="s">
        <v>5852</v>
      </c>
      <c r="D797" s="201" t="s">
        <v>667</v>
      </c>
      <c r="E797" s="512" t="s">
        <v>668</v>
      </c>
      <c r="F797" s="586" t="s">
        <v>933</v>
      </c>
      <c r="G797" s="202" t="s">
        <v>934</v>
      </c>
      <c r="H797" s="201">
        <v>24</v>
      </c>
      <c r="I797" s="201" t="s">
        <v>919</v>
      </c>
      <c r="J797" s="77"/>
      <c r="K797" s="77"/>
      <c r="N797" s="76">
        <v>400</v>
      </c>
    </row>
    <row r="798" spans="1:14" hidden="1" x14ac:dyDescent="0.25">
      <c r="A798" s="77">
        <v>5</v>
      </c>
      <c r="B798" s="550" t="s">
        <v>5855</v>
      </c>
      <c r="C798" s="202" t="s">
        <v>5853</v>
      </c>
      <c r="D798" s="201" t="s">
        <v>667</v>
      </c>
      <c r="E798" s="512" t="s">
        <v>668</v>
      </c>
      <c r="F798" s="586" t="s">
        <v>933</v>
      </c>
      <c r="G798" s="202" t="s">
        <v>934</v>
      </c>
      <c r="H798" s="201">
        <v>24</v>
      </c>
      <c r="I798" s="201" t="s">
        <v>919</v>
      </c>
      <c r="J798" s="77"/>
      <c r="K798" s="77"/>
      <c r="N798" s="76">
        <v>401</v>
      </c>
    </row>
    <row r="799" spans="1:14" hidden="1" x14ac:dyDescent="0.25">
      <c r="A799" s="77">
        <v>5</v>
      </c>
      <c r="B799" s="550" t="s">
        <v>1136</v>
      </c>
      <c r="C799" s="202" t="s">
        <v>1127</v>
      </c>
      <c r="D799" s="201" t="s">
        <v>41</v>
      </c>
      <c r="E799" s="512" t="s">
        <v>42</v>
      </c>
      <c r="F799" s="586" t="s">
        <v>931</v>
      </c>
      <c r="G799" s="202" t="s">
        <v>932</v>
      </c>
      <c r="H799" s="201">
        <v>164</v>
      </c>
      <c r="I799" s="201" t="s">
        <v>933</v>
      </c>
      <c r="J799" s="77"/>
      <c r="K799" s="77" t="s">
        <v>6258</v>
      </c>
      <c r="N799" s="76">
        <v>402</v>
      </c>
    </row>
    <row r="800" spans="1:14" hidden="1" x14ac:dyDescent="0.25">
      <c r="A800" s="77">
        <v>5</v>
      </c>
      <c r="B800" s="550" t="s">
        <v>517</v>
      </c>
      <c r="C800" s="202" t="s">
        <v>518</v>
      </c>
      <c r="D800" s="201" t="s">
        <v>41</v>
      </c>
      <c r="E800" s="512" t="s">
        <v>42</v>
      </c>
      <c r="F800" s="586" t="s">
        <v>931</v>
      </c>
      <c r="G800" s="202" t="s">
        <v>932</v>
      </c>
      <c r="H800" s="201">
        <v>164</v>
      </c>
      <c r="I800" s="201" t="s">
        <v>933</v>
      </c>
      <c r="J800" s="77"/>
      <c r="K800" s="77" t="s">
        <v>6258</v>
      </c>
      <c r="N800" s="76">
        <v>403</v>
      </c>
    </row>
    <row r="801" spans="1:14" hidden="1" x14ac:dyDescent="0.25">
      <c r="A801" s="77">
        <v>5</v>
      </c>
      <c r="B801" s="550" t="s">
        <v>519</v>
      </c>
      <c r="C801" s="202" t="s">
        <v>520</v>
      </c>
      <c r="D801" s="201" t="s">
        <v>41</v>
      </c>
      <c r="E801" s="512" t="s">
        <v>42</v>
      </c>
      <c r="F801" s="586" t="s">
        <v>931</v>
      </c>
      <c r="G801" s="202" t="s">
        <v>932</v>
      </c>
      <c r="H801" s="201">
        <v>164</v>
      </c>
      <c r="I801" s="201" t="s">
        <v>933</v>
      </c>
      <c r="J801" s="77"/>
      <c r="K801" s="77" t="s">
        <v>6258</v>
      </c>
      <c r="N801" s="76">
        <v>404</v>
      </c>
    </row>
    <row r="802" spans="1:14" hidden="1" x14ac:dyDescent="0.25">
      <c r="A802" s="77">
        <v>5</v>
      </c>
      <c r="B802" s="550" t="s">
        <v>521</v>
      </c>
      <c r="C802" s="202" t="s">
        <v>522</v>
      </c>
      <c r="D802" s="201" t="s">
        <v>41</v>
      </c>
      <c r="E802" s="512" t="s">
        <v>42</v>
      </c>
      <c r="F802" s="586" t="s">
        <v>931</v>
      </c>
      <c r="G802" s="202" t="s">
        <v>932</v>
      </c>
      <c r="H802" s="201">
        <v>164</v>
      </c>
      <c r="I802" s="201" t="s">
        <v>933</v>
      </c>
      <c r="J802" s="77"/>
      <c r="K802" s="77" t="s">
        <v>6258</v>
      </c>
      <c r="N802" s="76">
        <v>405</v>
      </c>
    </row>
    <row r="803" spans="1:14" hidden="1" x14ac:dyDescent="0.25">
      <c r="A803" s="77">
        <v>5</v>
      </c>
      <c r="B803" s="550" t="s">
        <v>523</v>
      </c>
      <c r="C803" s="202" t="s">
        <v>524</v>
      </c>
      <c r="D803" s="201" t="s">
        <v>41</v>
      </c>
      <c r="E803" s="512" t="s">
        <v>42</v>
      </c>
      <c r="F803" s="586" t="s">
        <v>931</v>
      </c>
      <c r="G803" s="202" t="s">
        <v>932</v>
      </c>
      <c r="H803" s="201">
        <v>164</v>
      </c>
      <c r="I803" s="201" t="s">
        <v>933</v>
      </c>
      <c r="J803" s="77"/>
      <c r="K803" s="77" t="s">
        <v>6258</v>
      </c>
      <c r="N803" s="76">
        <v>406</v>
      </c>
    </row>
    <row r="804" spans="1:14" hidden="1" x14ac:dyDescent="0.25">
      <c r="A804" s="77">
        <v>5</v>
      </c>
      <c r="B804" s="550" t="s">
        <v>525</v>
      </c>
      <c r="C804" s="202" t="s">
        <v>526</v>
      </c>
      <c r="D804" s="201" t="s">
        <v>41</v>
      </c>
      <c r="E804" s="512" t="s">
        <v>42</v>
      </c>
      <c r="F804" s="586" t="s">
        <v>931</v>
      </c>
      <c r="G804" s="202" t="s">
        <v>932</v>
      </c>
      <c r="H804" s="201">
        <v>164</v>
      </c>
      <c r="I804" s="201" t="s">
        <v>933</v>
      </c>
      <c r="J804" s="77"/>
      <c r="K804" s="77" t="s">
        <v>6258</v>
      </c>
      <c r="N804" s="76">
        <v>407</v>
      </c>
    </row>
    <row r="805" spans="1:14" hidden="1" x14ac:dyDescent="0.25">
      <c r="A805" s="77">
        <v>5</v>
      </c>
      <c r="B805" s="550" t="s">
        <v>527</v>
      </c>
      <c r="C805" s="202" t="s">
        <v>528</v>
      </c>
      <c r="D805" s="201" t="s">
        <v>41</v>
      </c>
      <c r="E805" s="512" t="s">
        <v>42</v>
      </c>
      <c r="F805" s="586" t="s">
        <v>931</v>
      </c>
      <c r="G805" s="202" t="s">
        <v>932</v>
      </c>
      <c r="H805" s="201">
        <v>164</v>
      </c>
      <c r="I805" s="201" t="s">
        <v>933</v>
      </c>
      <c r="J805" s="77"/>
      <c r="K805" s="77" t="s">
        <v>6258</v>
      </c>
      <c r="N805" s="76">
        <v>408</v>
      </c>
    </row>
    <row r="806" spans="1:14" hidden="1" x14ac:dyDescent="0.25">
      <c r="A806" s="77">
        <v>5</v>
      </c>
      <c r="B806" s="550" t="s">
        <v>529</v>
      </c>
      <c r="C806" s="202" t="s">
        <v>530</v>
      </c>
      <c r="D806" s="201" t="s">
        <v>41</v>
      </c>
      <c r="E806" s="512" t="s">
        <v>42</v>
      </c>
      <c r="F806" s="586" t="s">
        <v>931</v>
      </c>
      <c r="G806" s="202" t="s">
        <v>932</v>
      </c>
      <c r="H806" s="201">
        <v>164</v>
      </c>
      <c r="I806" s="201" t="s">
        <v>933</v>
      </c>
      <c r="J806" s="77"/>
      <c r="K806" s="77" t="s">
        <v>6258</v>
      </c>
      <c r="N806" s="76">
        <v>409</v>
      </c>
    </row>
    <row r="807" spans="1:14" hidden="1" x14ac:dyDescent="0.25">
      <c r="A807" s="77">
        <v>5</v>
      </c>
      <c r="B807" s="550" t="s">
        <v>531</v>
      </c>
      <c r="C807" s="202" t="s">
        <v>532</v>
      </c>
      <c r="D807" s="201" t="s">
        <v>41</v>
      </c>
      <c r="E807" s="512" t="s">
        <v>42</v>
      </c>
      <c r="F807" s="586" t="s">
        <v>931</v>
      </c>
      <c r="G807" s="202" t="s">
        <v>932</v>
      </c>
      <c r="H807" s="201">
        <v>164</v>
      </c>
      <c r="I807" s="201" t="s">
        <v>933</v>
      </c>
      <c r="J807" s="77"/>
      <c r="K807" s="77" t="s">
        <v>6258</v>
      </c>
      <c r="N807" s="76">
        <v>410</v>
      </c>
    </row>
    <row r="808" spans="1:14" hidden="1" x14ac:dyDescent="0.25">
      <c r="A808" s="77">
        <v>5</v>
      </c>
      <c r="B808" s="550" t="s">
        <v>533</v>
      </c>
      <c r="C808" s="202" t="s">
        <v>534</v>
      </c>
      <c r="D808" s="201" t="s">
        <v>41</v>
      </c>
      <c r="E808" s="512" t="s">
        <v>42</v>
      </c>
      <c r="F808" s="586" t="s">
        <v>931</v>
      </c>
      <c r="G808" s="202" t="s">
        <v>932</v>
      </c>
      <c r="H808" s="201">
        <v>164</v>
      </c>
      <c r="I808" s="201" t="s">
        <v>933</v>
      </c>
      <c r="J808" s="77"/>
      <c r="K808" s="77" t="s">
        <v>6258</v>
      </c>
      <c r="N808" s="76">
        <v>411</v>
      </c>
    </row>
    <row r="809" spans="1:14" hidden="1" x14ac:dyDescent="0.25">
      <c r="A809" s="77">
        <v>5</v>
      </c>
      <c r="B809" s="550" t="s">
        <v>535</v>
      </c>
      <c r="C809" s="202" t="s">
        <v>536</v>
      </c>
      <c r="D809" s="201" t="s">
        <v>41</v>
      </c>
      <c r="E809" s="512" t="s">
        <v>42</v>
      </c>
      <c r="F809" s="586" t="s">
        <v>931</v>
      </c>
      <c r="G809" s="202" t="s">
        <v>932</v>
      </c>
      <c r="H809" s="201">
        <v>164</v>
      </c>
      <c r="I809" s="201" t="s">
        <v>933</v>
      </c>
      <c r="J809" s="77"/>
      <c r="K809" s="77" t="s">
        <v>6258</v>
      </c>
      <c r="N809" s="76">
        <v>412</v>
      </c>
    </row>
    <row r="810" spans="1:14" hidden="1" x14ac:dyDescent="0.25">
      <c r="A810" s="77">
        <v>5</v>
      </c>
      <c r="B810" s="550" t="s">
        <v>537</v>
      </c>
      <c r="C810" s="202" t="s">
        <v>538</v>
      </c>
      <c r="D810" s="201" t="s">
        <v>41</v>
      </c>
      <c r="E810" s="512" t="s">
        <v>42</v>
      </c>
      <c r="F810" s="586" t="s">
        <v>931</v>
      </c>
      <c r="G810" s="202" t="s">
        <v>932</v>
      </c>
      <c r="H810" s="201">
        <v>164</v>
      </c>
      <c r="I810" s="201" t="s">
        <v>933</v>
      </c>
      <c r="J810" s="77"/>
      <c r="K810" s="77" t="s">
        <v>6258</v>
      </c>
      <c r="N810" s="76">
        <v>413</v>
      </c>
    </row>
    <row r="811" spans="1:14" hidden="1" x14ac:dyDescent="0.25">
      <c r="A811" s="77">
        <v>5</v>
      </c>
      <c r="B811" s="550" t="s">
        <v>539</v>
      </c>
      <c r="C811" s="202" t="s">
        <v>540</v>
      </c>
      <c r="D811" s="201" t="s">
        <v>41</v>
      </c>
      <c r="E811" s="512" t="s">
        <v>42</v>
      </c>
      <c r="F811" s="586" t="s">
        <v>931</v>
      </c>
      <c r="G811" s="202" t="s">
        <v>932</v>
      </c>
      <c r="H811" s="201">
        <v>164</v>
      </c>
      <c r="I811" s="201" t="s">
        <v>933</v>
      </c>
      <c r="J811" s="77"/>
      <c r="K811" s="77" t="s">
        <v>6258</v>
      </c>
      <c r="N811" s="76">
        <v>414</v>
      </c>
    </row>
    <row r="812" spans="1:14" hidden="1" x14ac:dyDescent="0.25">
      <c r="A812" s="77">
        <v>5</v>
      </c>
      <c r="B812" s="550" t="s">
        <v>541</v>
      </c>
      <c r="C812" s="202" t="s">
        <v>542</v>
      </c>
      <c r="D812" s="201" t="s">
        <v>41</v>
      </c>
      <c r="E812" s="512" t="s">
        <v>42</v>
      </c>
      <c r="F812" s="586" t="s">
        <v>931</v>
      </c>
      <c r="G812" s="202" t="s">
        <v>932</v>
      </c>
      <c r="H812" s="201">
        <v>25</v>
      </c>
      <c r="I812" s="201" t="s">
        <v>931</v>
      </c>
      <c r="J812" s="77"/>
      <c r="K812" s="77" t="s">
        <v>6258</v>
      </c>
      <c r="N812" s="76">
        <v>415</v>
      </c>
    </row>
    <row r="813" spans="1:14" hidden="1" x14ac:dyDescent="0.25">
      <c r="A813" s="77">
        <v>5</v>
      </c>
      <c r="B813" s="550" t="s">
        <v>543</v>
      </c>
      <c r="C813" s="202" t="s">
        <v>544</v>
      </c>
      <c r="D813" s="201" t="s">
        <v>41</v>
      </c>
      <c r="E813" s="512" t="s">
        <v>42</v>
      </c>
      <c r="F813" s="586" t="s">
        <v>931</v>
      </c>
      <c r="G813" s="202" t="s">
        <v>932</v>
      </c>
      <c r="H813" s="201">
        <v>25</v>
      </c>
      <c r="I813" s="201" t="s">
        <v>931</v>
      </c>
      <c r="J813" s="77"/>
      <c r="K813" s="77" t="s">
        <v>6258</v>
      </c>
      <c r="N813" s="76">
        <v>416</v>
      </c>
    </row>
    <row r="814" spans="1:14" hidden="1" x14ac:dyDescent="0.25">
      <c r="A814" s="77">
        <v>5</v>
      </c>
      <c r="B814" s="550" t="s">
        <v>545</v>
      </c>
      <c r="C814" s="202" t="s">
        <v>546</v>
      </c>
      <c r="D814" s="201" t="s">
        <v>41</v>
      </c>
      <c r="E814" s="512" t="s">
        <v>42</v>
      </c>
      <c r="F814" s="586" t="s">
        <v>931</v>
      </c>
      <c r="G814" s="202" t="s">
        <v>932</v>
      </c>
      <c r="H814" s="201">
        <v>25</v>
      </c>
      <c r="I814" s="201" t="s">
        <v>931</v>
      </c>
      <c r="J814" s="77"/>
      <c r="K814" s="77" t="s">
        <v>6258</v>
      </c>
      <c r="N814" s="76">
        <v>417</v>
      </c>
    </row>
    <row r="815" spans="1:14" hidden="1" x14ac:dyDescent="0.25">
      <c r="A815" s="77">
        <v>5</v>
      </c>
      <c r="B815" s="550" t="s">
        <v>547</v>
      </c>
      <c r="C815" s="202" t="s">
        <v>548</v>
      </c>
      <c r="D815" s="201" t="s">
        <v>41</v>
      </c>
      <c r="E815" s="512" t="s">
        <v>42</v>
      </c>
      <c r="F815" s="586" t="s">
        <v>931</v>
      </c>
      <c r="G815" s="202" t="s">
        <v>932</v>
      </c>
      <c r="H815" s="201">
        <v>25</v>
      </c>
      <c r="I815" s="201" t="s">
        <v>931</v>
      </c>
      <c r="J815" s="77"/>
      <c r="K815" s="77" t="s">
        <v>6258</v>
      </c>
      <c r="N815" s="76">
        <v>418</v>
      </c>
    </row>
    <row r="816" spans="1:14" hidden="1" x14ac:dyDescent="0.25">
      <c r="A816" s="77">
        <v>5</v>
      </c>
      <c r="B816" s="550" t="s">
        <v>549</v>
      </c>
      <c r="C816" s="202" t="s">
        <v>550</v>
      </c>
      <c r="D816" s="201" t="s">
        <v>41</v>
      </c>
      <c r="E816" s="512" t="s">
        <v>42</v>
      </c>
      <c r="F816" s="586" t="s">
        <v>931</v>
      </c>
      <c r="G816" s="202" t="s">
        <v>932</v>
      </c>
      <c r="H816" s="201">
        <v>25</v>
      </c>
      <c r="I816" s="201" t="s">
        <v>931</v>
      </c>
      <c r="J816" s="77"/>
      <c r="K816" s="77" t="s">
        <v>6258</v>
      </c>
      <c r="N816" s="76">
        <v>419</v>
      </c>
    </row>
    <row r="817" spans="1:14" hidden="1" x14ac:dyDescent="0.25">
      <c r="A817" s="77">
        <v>5</v>
      </c>
      <c r="B817" s="550" t="s">
        <v>551</v>
      </c>
      <c r="C817" s="202" t="s">
        <v>552</v>
      </c>
      <c r="D817" s="201" t="s">
        <v>41</v>
      </c>
      <c r="E817" s="512" t="s">
        <v>42</v>
      </c>
      <c r="F817" s="586" t="s">
        <v>931</v>
      </c>
      <c r="G817" s="202" t="s">
        <v>932</v>
      </c>
      <c r="H817" s="201">
        <v>25</v>
      </c>
      <c r="I817" s="201" t="s">
        <v>931</v>
      </c>
      <c r="J817" s="77"/>
      <c r="K817" s="77" t="s">
        <v>6258</v>
      </c>
      <c r="N817" s="76">
        <v>420</v>
      </c>
    </row>
    <row r="818" spans="1:14" hidden="1" x14ac:dyDescent="0.25">
      <c r="A818" s="77">
        <v>5</v>
      </c>
      <c r="B818" s="550" t="s">
        <v>553</v>
      </c>
      <c r="C818" s="202" t="s">
        <v>554</v>
      </c>
      <c r="D818" s="201" t="s">
        <v>41</v>
      </c>
      <c r="E818" s="512" t="s">
        <v>42</v>
      </c>
      <c r="F818" s="586" t="s">
        <v>931</v>
      </c>
      <c r="G818" s="202" t="s">
        <v>932</v>
      </c>
      <c r="H818" s="201">
        <v>25</v>
      </c>
      <c r="I818" s="201" t="s">
        <v>931</v>
      </c>
      <c r="J818" s="77"/>
      <c r="K818" s="77" t="s">
        <v>6258</v>
      </c>
      <c r="N818" s="76">
        <v>421</v>
      </c>
    </row>
    <row r="819" spans="1:14" hidden="1" x14ac:dyDescent="0.25">
      <c r="A819" s="77">
        <v>5</v>
      </c>
      <c r="B819" s="550" t="s">
        <v>555</v>
      </c>
      <c r="C819" s="202" t="s">
        <v>556</v>
      </c>
      <c r="D819" s="201" t="s">
        <v>41</v>
      </c>
      <c r="E819" s="512" t="s">
        <v>42</v>
      </c>
      <c r="F819" s="586" t="s">
        <v>931</v>
      </c>
      <c r="G819" s="202" t="s">
        <v>932</v>
      </c>
      <c r="H819" s="201">
        <v>25</v>
      </c>
      <c r="I819" s="201" t="s">
        <v>931</v>
      </c>
      <c r="J819" s="77"/>
      <c r="K819" s="77" t="s">
        <v>6258</v>
      </c>
      <c r="N819" s="76">
        <v>422</v>
      </c>
    </row>
    <row r="820" spans="1:14" hidden="1" x14ac:dyDescent="0.25">
      <c r="A820" s="77">
        <v>5</v>
      </c>
      <c r="B820" s="550" t="s">
        <v>2271</v>
      </c>
      <c r="C820" s="202" t="s">
        <v>829</v>
      </c>
      <c r="D820" s="201" t="s">
        <v>1145</v>
      </c>
      <c r="E820" s="512" t="s">
        <v>1146</v>
      </c>
      <c r="F820" s="586" t="s">
        <v>931</v>
      </c>
      <c r="G820" s="202" t="s">
        <v>932</v>
      </c>
      <c r="H820" s="201">
        <v>25</v>
      </c>
      <c r="I820" s="201" t="s">
        <v>931</v>
      </c>
      <c r="J820" s="77"/>
      <c r="K820" s="77"/>
      <c r="N820" s="76">
        <v>423</v>
      </c>
    </row>
    <row r="821" spans="1:14" hidden="1" x14ac:dyDescent="0.25">
      <c r="A821" s="77">
        <v>5</v>
      </c>
      <c r="B821" s="550" t="s">
        <v>830</v>
      </c>
      <c r="C821" s="202" t="s">
        <v>831</v>
      </c>
      <c r="D821" s="201" t="s">
        <v>1145</v>
      </c>
      <c r="E821" s="512" t="s">
        <v>1146</v>
      </c>
      <c r="F821" s="586" t="s">
        <v>931</v>
      </c>
      <c r="G821" s="202" t="s">
        <v>932</v>
      </c>
      <c r="H821" s="201">
        <v>25</v>
      </c>
      <c r="I821" s="201" t="s">
        <v>931</v>
      </c>
      <c r="J821" s="77"/>
      <c r="K821" s="77"/>
      <c r="N821" s="76">
        <v>424</v>
      </c>
    </row>
    <row r="822" spans="1:14" hidden="1" x14ac:dyDescent="0.25">
      <c r="A822" s="77">
        <v>5</v>
      </c>
      <c r="B822" s="550" t="s">
        <v>832</v>
      </c>
      <c r="C822" s="202" t="s">
        <v>833</v>
      </c>
      <c r="D822" s="201" t="s">
        <v>1145</v>
      </c>
      <c r="E822" s="512" t="s">
        <v>1146</v>
      </c>
      <c r="F822" s="586" t="s">
        <v>931</v>
      </c>
      <c r="G822" s="202" t="s">
        <v>932</v>
      </c>
      <c r="H822" s="201">
        <v>25</v>
      </c>
      <c r="I822" s="201" t="s">
        <v>931</v>
      </c>
      <c r="J822" s="77"/>
      <c r="K822" s="77"/>
      <c r="N822" s="76">
        <v>425</v>
      </c>
    </row>
    <row r="823" spans="1:14" hidden="1" x14ac:dyDescent="0.25">
      <c r="A823" s="77">
        <v>5</v>
      </c>
      <c r="B823" s="550" t="s">
        <v>557</v>
      </c>
      <c r="C823" s="202" t="s">
        <v>1026</v>
      </c>
      <c r="D823" s="201" t="s">
        <v>1145</v>
      </c>
      <c r="E823" s="512" t="s">
        <v>1146</v>
      </c>
      <c r="F823" s="586" t="s">
        <v>931</v>
      </c>
      <c r="G823" s="202" t="s">
        <v>932</v>
      </c>
      <c r="H823" s="201">
        <v>25</v>
      </c>
      <c r="I823" s="201" t="s">
        <v>931</v>
      </c>
      <c r="J823" s="77"/>
      <c r="K823" s="77"/>
      <c r="N823" s="76">
        <v>426</v>
      </c>
    </row>
    <row r="824" spans="1:14" ht="21" hidden="1" customHeight="1" x14ac:dyDescent="0.25">
      <c r="A824" s="77">
        <v>5</v>
      </c>
      <c r="B824" s="552" t="s">
        <v>834</v>
      </c>
      <c r="C824" s="514" t="s">
        <v>835</v>
      </c>
      <c r="D824" s="515" t="s">
        <v>1145</v>
      </c>
      <c r="E824" s="516" t="s">
        <v>1146</v>
      </c>
      <c r="F824" s="588" t="s">
        <v>931</v>
      </c>
      <c r="G824" s="514" t="s">
        <v>932</v>
      </c>
      <c r="H824" s="515">
        <v>25</v>
      </c>
      <c r="I824" s="515" t="s">
        <v>931</v>
      </c>
      <c r="J824" s="77"/>
      <c r="K824" s="77"/>
      <c r="M824" s="526"/>
      <c r="N824" s="76">
        <v>427</v>
      </c>
    </row>
    <row r="825" spans="1:14" ht="21" hidden="1" customHeight="1" x14ac:dyDescent="0.25">
      <c r="A825" s="77">
        <v>5</v>
      </c>
      <c r="B825" s="552" t="s">
        <v>836</v>
      </c>
      <c r="C825" s="514" t="s">
        <v>837</v>
      </c>
      <c r="D825" s="515" t="s">
        <v>1145</v>
      </c>
      <c r="E825" s="516" t="s">
        <v>1146</v>
      </c>
      <c r="F825" s="588" t="s">
        <v>931</v>
      </c>
      <c r="G825" s="514" t="s">
        <v>932</v>
      </c>
      <c r="H825" s="515">
        <v>25</v>
      </c>
      <c r="I825" s="515" t="s">
        <v>931</v>
      </c>
      <c r="J825" s="77"/>
      <c r="K825" s="77"/>
      <c r="M825" s="526"/>
      <c r="N825" s="76">
        <v>428</v>
      </c>
    </row>
    <row r="826" spans="1:14" hidden="1" x14ac:dyDescent="0.25">
      <c r="A826" s="77">
        <v>5</v>
      </c>
      <c r="B826" s="550" t="s">
        <v>558</v>
      </c>
      <c r="C826" s="202" t="s">
        <v>5985</v>
      </c>
      <c r="D826" s="201" t="s">
        <v>1145</v>
      </c>
      <c r="E826" s="512" t="s">
        <v>1146</v>
      </c>
      <c r="F826" s="586" t="s">
        <v>931</v>
      </c>
      <c r="G826" s="202" t="s">
        <v>932</v>
      </c>
      <c r="H826" s="201">
        <v>25</v>
      </c>
      <c r="I826" s="201" t="s">
        <v>931</v>
      </c>
      <c r="J826" s="77"/>
      <c r="K826" s="77"/>
      <c r="N826" s="76">
        <v>429</v>
      </c>
    </row>
    <row r="827" spans="1:14" ht="21" hidden="1" customHeight="1" x14ac:dyDescent="0.7">
      <c r="A827" s="77">
        <v>5</v>
      </c>
      <c r="B827" s="550" t="s">
        <v>5984</v>
      </c>
      <c r="C827" s="202" t="s">
        <v>5982</v>
      </c>
      <c r="D827" s="201" t="s">
        <v>41</v>
      </c>
      <c r="E827" s="512" t="s">
        <v>42</v>
      </c>
      <c r="F827" s="586" t="s">
        <v>931</v>
      </c>
      <c r="G827" s="202" t="s">
        <v>932</v>
      </c>
      <c r="H827" s="201"/>
      <c r="I827" s="201" t="s">
        <v>931</v>
      </c>
      <c r="J827" s="77"/>
      <c r="K827" s="77"/>
      <c r="M827" s="528" t="s">
        <v>6304</v>
      </c>
      <c r="N827" s="76">
        <v>430</v>
      </c>
    </row>
    <row r="828" spans="1:14" ht="21" hidden="1" customHeight="1" x14ac:dyDescent="0.7">
      <c r="A828" s="77">
        <v>5</v>
      </c>
      <c r="B828" s="550" t="s">
        <v>5983</v>
      </c>
      <c r="C828" s="202" t="s">
        <v>559</v>
      </c>
      <c r="D828" s="201" t="s">
        <v>41</v>
      </c>
      <c r="E828" s="512" t="s">
        <v>42</v>
      </c>
      <c r="F828" s="586" t="s">
        <v>931</v>
      </c>
      <c r="G828" s="202" t="s">
        <v>932</v>
      </c>
      <c r="H828" s="201"/>
      <c r="I828" s="201" t="s">
        <v>931</v>
      </c>
      <c r="J828" s="77"/>
      <c r="K828" s="77"/>
      <c r="M828" s="528" t="s">
        <v>6304</v>
      </c>
      <c r="N828" s="76">
        <v>431</v>
      </c>
    </row>
    <row r="829" spans="1:14" hidden="1" x14ac:dyDescent="0.25">
      <c r="A829" s="77">
        <v>5</v>
      </c>
      <c r="B829" s="550" t="s">
        <v>838</v>
      </c>
      <c r="C829" s="202" t="s">
        <v>6025</v>
      </c>
      <c r="D829" s="201" t="s">
        <v>41</v>
      </c>
      <c r="E829" s="512" t="s">
        <v>42</v>
      </c>
      <c r="F829" s="586" t="s">
        <v>931</v>
      </c>
      <c r="G829" s="202" t="s">
        <v>932</v>
      </c>
      <c r="H829" s="201">
        <v>25</v>
      </c>
      <c r="I829" s="201" t="s">
        <v>931</v>
      </c>
      <c r="J829" s="77"/>
      <c r="K829" s="77" t="s">
        <v>6258</v>
      </c>
      <c r="N829" s="76">
        <v>432</v>
      </c>
    </row>
    <row r="830" spans="1:14" hidden="1" x14ac:dyDescent="0.25">
      <c r="A830" s="77">
        <v>5</v>
      </c>
      <c r="B830" s="550" t="s">
        <v>560</v>
      </c>
      <c r="C830" s="202" t="s">
        <v>561</v>
      </c>
      <c r="D830" s="201" t="s">
        <v>41</v>
      </c>
      <c r="E830" s="512" t="s">
        <v>42</v>
      </c>
      <c r="F830" s="586" t="s">
        <v>931</v>
      </c>
      <c r="G830" s="202" t="s">
        <v>932</v>
      </c>
      <c r="H830" s="201">
        <v>25</v>
      </c>
      <c r="I830" s="201" t="s">
        <v>931</v>
      </c>
      <c r="J830" s="77"/>
      <c r="K830" s="77" t="s">
        <v>6258</v>
      </c>
      <c r="N830" s="76">
        <v>433</v>
      </c>
    </row>
    <row r="831" spans="1:14" hidden="1" x14ac:dyDescent="0.25">
      <c r="A831" s="77">
        <v>5</v>
      </c>
      <c r="B831" s="550" t="s">
        <v>562</v>
      </c>
      <c r="C831" s="202" t="s">
        <v>563</v>
      </c>
      <c r="D831" s="201" t="s">
        <v>41</v>
      </c>
      <c r="E831" s="512" t="s">
        <v>42</v>
      </c>
      <c r="F831" s="586" t="s">
        <v>931</v>
      </c>
      <c r="G831" s="202" t="s">
        <v>932</v>
      </c>
      <c r="H831" s="201">
        <v>25</v>
      </c>
      <c r="I831" s="201" t="s">
        <v>931</v>
      </c>
      <c r="J831" s="77"/>
      <c r="K831" s="77" t="s">
        <v>6258</v>
      </c>
      <c r="N831" s="76">
        <v>434</v>
      </c>
    </row>
    <row r="832" spans="1:14" hidden="1" x14ac:dyDescent="0.25">
      <c r="A832" s="77">
        <v>5</v>
      </c>
      <c r="B832" s="550" t="s">
        <v>564</v>
      </c>
      <c r="C832" s="202" t="s">
        <v>565</v>
      </c>
      <c r="D832" s="201" t="s">
        <v>41</v>
      </c>
      <c r="E832" s="512" t="s">
        <v>42</v>
      </c>
      <c r="F832" s="586" t="s">
        <v>931</v>
      </c>
      <c r="G832" s="202" t="s">
        <v>932</v>
      </c>
      <c r="H832" s="201">
        <v>25</v>
      </c>
      <c r="I832" s="201" t="s">
        <v>931</v>
      </c>
      <c r="J832" s="77"/>
      <c r="K832" s="77" t="s">
        <v>6258</v>
      </c>
      <c r="N832" s="76">
        <v>435</v>
      </c>
    </row>
    <row r="833" spans="1:14" hidden="1" x14ac:dyDescent="0.25">
      <c r="A833" s="77">
        <v>5</v>
      </c>
      <c r="B833" s="550" t="s">
        <v>566</v>
      </c>
      <c r="C833" s="202" t="s">
        <v>567</v>
      </c>
      <c r="D833" s="201" t="s">
        <v>41</v>
      </c>
      <c r="E833" s="512" t="s">
        <v>42</v>
      </c>
      <c r="F833" s="586" t="s">
        <v>931</v>
      </c>
      <c r="G833" s="202" t="s">
        <v>932</v>
      </c>
      <c r="H833" s="201">
        <v>25</v>
      </c>
      <c r="I833" s="201" t="s">
        <v>931</v>
      </c>
      <c r="J833" s="77"/>
      <c r="K833" s="77" t="s">
        <v>6258</v>
      </c>
      <c r="N833" s="76">
        <v>436</v>
      </c>
    </row>
    <row r="834" spans="1:14" hidden="1" x14ac:dyDescent="0.25">
      <c r="A834" s="77">
        <v>5</v>
      </c>
      <c r="B834" s="550" t="s">
        <v>568</v>
      </c>
      <c r="C834" s="202" t="s">
        <v>1027</v>
      </c>
      <c r="D834" s="201" t="s">
        <v>41</v>
      </c>
      <c r="E834" s="512" t="s">
        <v>42</v>
      </c>
      <c r="F834" s="586" t="s">
        <v>931</v>
      </c>
      <c r="G834" s="202" t="s">
        <v>932</v>
      </c>
      <c r="H834" s="201">
        <v>25</v>
      </c>
      <c r="I834" s="201" t="s">
        <v>931</v>
      </c>
      <c r="J834" s="77"/>
      <c r="K834" s="77" t="s">
        <v>6258</v>
      </c>
      <c r="N834" s="76">
        <v>437</v>
      </c>
    </row>
    <row r="835" spans="1:14" hidden="1" x14ac:dyDescent="0.25">
      <c r="A835" s="77">
        <v>5</v>
      </c>
      <c r="B835" s="550" t="s">
        <v>569</v>
      </c>
      <c r="C835" s="202" t="s">
        <v>1028</v>
      </c>
      <c r="D835" s="201" t="s">
        <v>41</v>
      </c>
      <c r="E835" s="512" t="s">
        <v>42</v>
      </c>
      <c r="F835" s="586" t="s">
        <v>931</v>
      </c>
      <c r="G835" s="202" t="s">
        <v>932</v>
      </c>
      <c r="H835" s="201">
        <v>25</v>
      </c>
      <c r="I835" s="201" t="s">
        <v>931</v>
      </c>
      <c r="J835" s="77"/>
      <c r="K835" s="77" t="s">
        <v>6258</v>
      </c>
      <c r="N835" s="76">
        <v>438</v>
      </c>
    </row>
    <row r="836" spans="1:14" hidden="1" x14ac:dyDescent="0.25">
      <c r="A836" s="77">
        <v>5</v>
      </c>
      <c r="B836" s="550" t="s">
        <v>570</v>
      </c>
      <c r="C836" s="202" t="s">
        <v>571</v>
      </c>
      <c r="D836" s="201" t="s">
        <v>41</v>
      </c>
      <c r="E836" s="512" t="s">
        <v>42</v>
      </c>
      <c r="F836" s="586" t="s">
        <v>931</v>
      </c>
      <c r="G836" s="202" t="s">
        <v>932</v>
      </c>
      <c r="H836" s="201">
        <v>25</v>
      </c>
      <c r="I836" s="201" t="s">
        <v>931</v>
      </c>
      <c r="J836" s="77"/>
      <c r="K836" s="77" t="s">
        <v>6258</v>
      </c>
      <c r="N836" s="76">
        <v>439</v>
      </c>
    </row>
    <row r="837" spans="1:14" hidden="1" x14ac:dyDescent="0.25">
      <c r="A837" s="77">
        <v>5</v>
      </c>
      <c r="B837" s="550" t="s">
        <v>572</v>
      </c>
      <c r="C837" s="202" t="s">
        <v>573</v>
      </c>
      <c r="D837" s="201" t="s">
        <v>41</v>
      </c>
      <c r="E837" s="512" t="s">
        <v>42</v>
      </c>
      <c r="F837" s="586" t="s">
        <v>931</v>
      </c>
      <c r="G837" s="202" t="s">
        <v>932</v>
      </c>
      <c r="H837" s="201">
        <v>25</v>
      </c>
      <c r="I837" s="201" t="s">
        <v>931</v>
      </c>
      <c r="J837" s="77"/>
      <c r="K837" s="77"/>
      <c r="N837" s="76">
        <v>440</v>
      </c>
    </row>
    <row r="838" spans="1:14" hidden="1" x14ac:dyDescent="0.25">
      <c r="A838" s="77">
        <v>5</v>
      </c>
      <c r="B838" s="550" t="s">
        <v>574</v>
      </c>
      <c r="C838" s="202" t="s">
        <v>5990</v>
      </c>
      <c r="D838" s="201" t="s">
        <v>41</v>
      </c>
      <c r="E838" s="512" t="s">
        <v>42</v>
      </c>
      <c r="F838" s="586" t="s">
        <v>931</v>
      </c>
      <c r="G838" s="202" t="s">
        <v>932</v>
      </c>
      <c r="H838" s="201">
        <v>25</v>
      </c>
      <c r="I838" s="201" t="s">
        <v>931</v>
      </c>
      <c r="J838" s="77"/>
      <c r="K838" s="77"/>
      <c r="N838" s="76">
        <v>441</v>
      </c>
    </row>
    <row r="839" spans="1:14" hidden="1" x14ac:dyDescent="0.25">
      <c r="A839" s="77">
        <v>5</v>
      </c>
      <c r="B839" s="553" t="s">
        <v>575</v>
      </c>
      <c r="C839" s="518" t="s">
        <v>5989</v>
      </c>
      <c r="D839" s="519" t="s">
        <v>41</v>
      </c>
      <c r="E839" s="520" t="s">
        <v>42</v>
      </c>
      <c r="F839" s="590" t="s">
        <v>931</v>
      </c>
      <c r="G839" s="518" t="s">
        <v>932</v>
      </c>
      <c r="H839" s="519">
        <v>25</v>
      </c>
      <c r="I839" s="519" t="s">
        <v>931</v>
      </c>
      <c r="J839" s="77"/>
      <c r="K839" s="77"/>
      <c r="N839" s="76">
        <v>442</v>
      </c>
    </row>
    <row r="840" spans="1:14" hidden="1" x14ac:dyDescent="0.25">
      <c r="A840" s="77">
        <v>5</v>
      </c>
      <c r="B840" s="553" t="s">
        <v>576</v>
      </c>
      <c r="C840" s="518" t="s">
        <v>5988</v>
      </c>
      <c r="D840" s="519" t="s">
        <v>41</v>
      </c>
      <c r="E840" s="520" t="s">
        <v>42</v>
      </c>
      <c r="F840" s="590" t="s">
        <v>931</v>
      </c>
      <c r="G840" s="518" t="s">
        <v>932</v>
      </c>
      <c r="H840" s="519">
        <v>25</v>
      </c>
      <c r="I840" s="519" t="s">
        <v>931</v>
      </c>
      <c r="J840" s="77"/>
      <c r="K840" s="77"/>
      <c r="N840" s="76">
        <v>443</v>
      </c>
    </row>
    <row r="841" spans="1:14" ht="21" hidden="1" customHeight="1" x14ac:dyDescent="0.25">
      <c r="A841" s="77">
        <v>5</v>
      </c>
      <c r="B841" s="552" t="s">
        <v>577</v>
      </c>
      <c r="C841" s="514" t="s">
        <v>5987</v>
      </c>
      <c r="D841" s="515" t="s">
        <v>41</v>
      </c>
      <c r="E841" s="516" t="s">
        <v>42</v>
      </c>
      <c r="F841" s="588" t="s">
        <v>931</v>
      </c>
      <c r="G841" s="514" t="s">
        <v>932</v>
      </c>
      <c r="H841" s="515">
        <v>25</v>
      </c>
      <c r="I841" s="515" t="s">
        <v>931</v>
      </c>
      <c r="J841" s="77"/>
      <c r="K841" s="556"/>
      <c r="M841" s="526"/>
      <c r="N841" s="76">
        <v>444</v>
      </c>
    </row>
    <row r="842" spans="1:14" ht="21" hidden="1" customHeight="1" x14ac:dyDescent="0.25">
      <c r="A842" s="77">
        <v>5</v>
      </c>
      <c r="B842" s="552" t="s">
        <v>578</v>
      </c>
      <c r="C842" s="514" t="s">
        <v>5991</v>
      </c>
      <c r="D842" s="515" t="s">
        <v>41</v>
      </c>
      <c r="E842" s="516" t="s">
        <v>42</v>
      </c>
      <c r="F842" s="588" t="s">
        <v>931</v>
      </c>
      <c r="G842" s="514" t="s">
        <v>932</v>
      </c>
      <c r="H842" s="515">
        <v>25</v>
      </c>
      <c r="I842" s="515" t="s">
        <v>931</v>
      </c>
      <c r="K842" s="556" t="s">
        <v>6258</v>
      </c>
      <c r="M842" s="526"/>
      <c r="N842" s="76">
        <v>445</v>
      </c>
    </row>
    <row r="843" spans="1:14" ht="21" hidden="1" customHeight="1" x14ac:dyDescent="0.25">
      <c r="A843" s="77">
        <v>5</v>
      </c>
      <c r="B843" s="552" t="s">
        <v>579</v>
      </c>
      <c r="C843" s="514" t="s">
        <v>580</v>
      </c>
      <c r="D843" s="515" t="s">
        <v>41</v>
      </c>
      <c r="E843" s="516" t="s">
        <v>42</v>
      </c>
      <c r="F843" s="588" t="s">
        <v>931</v>
      </c>
      <c r="G843" s="514" t="s">
        <v>932</v>
      </c>
      <c r="H843" s="515">
        <v>25</v>
      </c>
      <c r="I843" s="515" t="s">
        <v>931</v>
      </c>
      <c r="K843" s="556" t="s">
        <v>6258</v>
      </c>
      <c r="M843" s="526"/>
      <c r="N843" s="76">
        <v>446</v>
      </c>
    </row>
  </sheetData>
  <autoFilter ref="A1:Q843" xr:uid="{00000000-0001-0000-1100-000000000000}">
    <filterColumn colId="10">
      <filters>
        <filter val="PC01"/>
      </filters>
    </filterColumn>
  </autoFilter>
  <sortState xmlns:xlrd2="http://schemas.microsoft.com/office/spreadsheetml/2017/richdata2" ref="B398:M843">
    <sortCondition ref="B398:B843"/>
    <sortCondition ref="C398:C843"/>
  </sortState>
  <phoneticPr fontId="64" type="noConversion"/>
  <conditionalFormatting sqref="K398:K545 K547:K840">
    <cfRule type="containsText" dxfId="1" priority="2" operator="containsText" text="เงินบำรุง">
      <formula>NOT(ISERROR(SEARCH("เงินบำรุง",K398)))</formula>
    </cfRule>
  </conditionalFormatting>
  <conditionalFormatting sqref="K546">
    <cfRule type="containsText" dxfId="0" priority="1" operator="containsText" text="เงินบำรุง">
      <formula>NOT(ISERROR(SEARCH("เงินบำรุง",K546)))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1D722-C0B1-4807-8DA9-337B6DDC731D}">
  <dimension ref="A1:H39"/>
  <sheetViews>
    <sheetView zoomScale="70" zoomScaleNormal="70" workbookViewId="0">
      <selection activeCell="D19" sqref="D19"/>
    </sheetView>
  </sheetViews>
  <sheetFormatPr defaultColWidth="9.09765625" defaultRowHeight="24.6" x14ac:dyDescent="0.7"/>
  <cols>
    <col min="1" max="1" width="10.59765625" style="634" bestFit="1" customWidth="1"/>
    <col min="2" max="2" width="57.3984375" style="634" bestFit="1" customWidth="1"/>
    <col min="3" max="3" width="22.8984375" style="634" customWidth="1"/>
    <col min="4" max="4" width="24.8984375" style="634" customWidth="1"/>
    <col min="5" max="5" width="17.296875" style="634" customWidth="1"/>
    <col min="6" max="6" width="22.09765625" style="634" customWidth="1"/>
    <col min="7" max="7" width="17.09765625" style="634" customWidth="1"/>
    <col min="8" max="8" width="13" style="634" customWidth="1"/>
    <col min="9" max="16384" width="9.09765625" style="634"/>
  </cols>
  <sheetData>
    <row r="1" spans="1:8" ht="39.75" customHeight="1" x14ac:dyDescent="0.7">
      <c r="A1" s="808" t="s">
        <v>6556</v>
      </c>
      <c r="B1" s="808"/>
      <c r="C1" s="808"/>
      <c r="D1" s="808"/>
      <c r="E1" s="808"/>
      <c r="F1" s="808"/>
      <c r="G1" s="808"/>
      <c r="H1" s="808"/>
    </row>
    <row r="2" spans="1:8" x14ac:dyDescent="0.7">
      <c r="A2" s="809" t="s">
        <v>682</v>
      </c>
      <c r="B2" s="810"/>
      <c r="C2" s="635" t="s">
        <v>685</v>
      </c>
      <c r="D2" s="635" t="s">
        <v>1137</v>
      </c>
      <c r="E2" s="635" t="s">
        <v>1137</v>
      </c>
      <c r="F2" s="636" t="s">
        <v>6557</v>
      </c>
      <c r="G2" s="636" t="s">
        <v>6558</v>
      </c>
      <c r="H2" s="636"/>
    </row>
    <row r="3" spans="1:8" x14ac:dyDescent="0.7">
      <c r="A3" s="811"/>
      <c r="B3" s="812"/>
      <c r="C3" s="637" t="s">
        <v>6559</v>
      </c>
      <c r="D3" s="638" t="s">
        <v>6560</v>
      </c>
      <c r="E3" s="638" t="s">
        <v>6561</v>
      </c>
      <c r="F3" s="639" t="s">
        <v>1150</v>
      </c>
      <c r="G3" s="640" t="s">
        <v>6562</v>
      </c>
      <c r="H3" s="640" t="s">
        <v>6563</v>
      </c>
    </row>
    <row r="4" spans="1:8" x14ac:dyDescent="0.7">
      <c r="A4" s="641" t="s">
        <v>6564</v>
      </c>
      <c r="B4" s="642"/>
      <c r="C4" s="643"/>
      <c r="D4" s="643"/>
      <c r="E4" s="643"/>
      <c r="F4" s="644"/>
      <c r="G4" s="644"/>
      <c r="H4" s="644"/>
    </row>
    <row r="5" spans="1:8" x14ac:dyDescent="0.7">
      <c r="A5" s="645"/>
      <c r="B5" s="634" t="s">
        <v>1</v>
      </c>
      <c r="C5" s="646"/>
      <c r="D5" s="646"/>
      <c r="E5" s="646"/>
      <c r="F5" s="647"/>
      <c r="G5" s="647"/>
      <c r="H5" s="648"/>
    </row>
    <row r="6" spans="1:8" x14ac:dyDescent="0.7">
      <c r="A6" s="645"/>
      <c r="B6" s="649" t="s">
        <v>3</v>
      </c>
      <c r="C6" s="646"/>
      <c r="D6" s="646"/>
      <c r="E6" s="646"/>
      <c r="F6" s="647"/>
      <c r="G6" s="647"/>
      <c r="H6" s="648"/>
    </row>
    <row r="7" spans="1:8" x14ac:dyDescent="0.7">
      <c r="A7" s="645"/>
      <c r="B7" s="634" t="s">
        <v>5</v>
      </c>
      <c r="C7" s="646"/>
      <c r="D7" s="646"/>
      <c r="E7" s="646"/>
      <c r="F7" s="647"/>
      <c r="G7" s="647"/>
      <c r="H7" s="648"/>
    </row>
    <row r="8" spans="1:8" x14ac:dyDescent="0.7">
      <c r="A8" s="645"/>
      <c r="B8" s="634" t="s">
        <v>664</v>
      </c>
      <c r="C8" s="646"/>
      <c r="D8" s="646"/>
      <c r="E8" s="646"/>
      <c r="F8" s="647"/>
      <c r="G8" s="647"/>
      <c r="H8" s="648"/>
    </row>
    <row r="9" spans="1:8" x14ac:dyDescent="0.7">
      <c r="A9" s="645"/>
      <c r="B9" s="634" t="s">
        <v>7</v>
      </c>
      <c r="C9" s="646"/>
      <c r="D9" s="646"/>
      <c r="E9" s="646"/>
      <c r="F9" s="647"/>
      <c r="G9" s="647"/>
      <c r="H9" s="648"/>
    </row>
    <row r="10" spans="1:8" x14ac:dyDescent="0.7">
      <c r="A10" s="645"/>
      <c r="B10" s="634" t="s">
        <v>9</v>
      </c>
      <c r="C10" s="646"/>
      <c r="D10" s="646"/>
      <c r="E10" s="646"/>
      <c r="F10" s="647"/>
      <c r="G10" s="647"/>
      <c r="H10" s="648"/>
    </row>
    <row r="11" spans="1:8" x14ac:dyDescent="0.7">
      <c r="A11" s="645"/>
      <c r="B11" s="634" t="s">
        <v>11</v>
      </c>
      <c r="C11" s="646"/>
      <c r="D11" s="646"/>
      <c r="E11" s="646"/>
      <c r="F11" s="647"/>
      <c r="G11" s="647"/>
      <c r="H11" s="648"/>
    </row>
    <row r="12" spans="1:8" x14ac:dyDescent="0.7">
      <c r="A12" s="645"/>
      <c r="B12" s="634" t="s">
        <v>13</v>
      </c>
      <c r="C12" s="646"/>
      <c r="D12" s="646"/>
      <c r="E12" s="646"/>
      <c r="F12" s="647"/>
      <c r="G12" s="647"/>
      <c r="H12" s="648"/>
    </row>
    <row r="13" spans="1:8" x14ac:dyDescent="0.7">
      <c r="A13" s="645"/>
      <c r="B13" s="634" t="s">
        <v>17</v>
      </c>
      <c r="C13" s="646"/>
      <c r="D13" s="646"/>
      <c r="E13" s="646"/>
      <c r="F13" s="647"/>
      <c r="G13" s="647"/>
      <c r="H13" s="648"/>
    </row>
    <row r="14" spans="1:8" x14ac:dyDescent="0.7">
      <c r="A14" s="650"/>
      <c r="B14" s="651" t="s">
        <v>6338</v>
      </c>
      <c r="C14" s="652">
        <f>SUM(C5:C13)</f>
        <v>0</v>
      </c>
      <c r="D14" s="652">
        <f>SUM(D5:D13)</f>
        <v>0</v>
      </c>
      <c r="E14" s="652">
        <f>SUM(E5:E13)</f>
        <v>0</v>
      </c>
      <c r="F14" s="653">
        <f>SUM(F5:F13)</f>
        <v>0</v>
      </c>
      <c r="G14" s="653">
        <f>SUM(G5:G13)</f>
        <v>0</v>
      </c>
      <c r="H14" s="654"/>
    </row>
    <row r="15" spans="1:8" x14ac:dyDescent="0.7">
      <c r="A15" s="641" t="s">
        <v>6565</v>
      </c>
      <c r="B15" s="642"/>
      <c r="C15" s="643"/>
      <c r="D15" s="643"/>
      <c r="E15" s="643"/>
      <c r="F15" s="644"/>
      <c r="G15" s="644"/>
      <c r="H15" s="644"/>
    </row>
    <row r="16" spans="1:8" x14ac:dyDescent="0.7">
      <c r="A16" s="645"/>
      <c r="B16" s="655" t="s">
        <v>6340</v>
      </c>
      <c r="C16" s="646"/>
      <c r="D16" s="646"/>
      <c r="E16" s="646"/>
      <c r="F16" s="647"/>
      <c r="G16" s="647"/>
      <c r="H16" s="648"/>
    </row>
    <row r="17" spans="1:8" x14ac:dyDescent="0.7">
      <c r="A17" s="645"/>
      <c r="B17" s="655" t="s">
        <v>6566</v>
      </c>
      <c r="C17" s="646"/>
      <c r="D17" s="646"/>
      <c r="E17" s="646"/>
      <c r="F17" s="647"/>
      <c r="G17" s="647"/>
      <c r="H17" s="648"/>
    </row>
    <row r="18" spans="1:8" x14ac:dyDescent="0.7">
      <c r="A18" s="645"/>
      <c r="B18" s="655" t="s">
        <v>6350</v>
      </c>
      <c r="C18" s="646"/>
      <c r="D18" s="646"/>
      <c r="E18" s="646"/>
      <c r="F18" s="647"/>
      <c r="G18" s="647"/>
      <c r="H18" s="648"/>
    </row>
    <row r="19" spans="1:8" x14ac:dyDescent="0.7">
      <c r="A19" s="645"/>
      <c r="B19" s="655" t="s">
        <v>6567</v>
      </c>
      <c r="C19" s="646"/>
      <c r="D19" s="646"/>
      <c r="E19" s="646"/>
      <c r="F19" s="647"/>
      <c r="G19" s="647"/>
      <c r="H19" s="648"/>
    </row>
    <row r="20" spans="1:8" x14ac:dyDescent="0.7">
      <c r="A20" s="645"/>
      <c r="B20" s="655" t="s">
        <v>658</v>
      </c>
      <c r="C20" s="646"/>
      <c r="D20" s="646"/>
      <c r="E20" s="646"/>
      <c r="F20" s="647"/>
      <c r="G20" s="647"/>
      <c r="H20" s="648"/>
    </row>
    <row r="21" spans="1:8" x14ac:dyDescent="0.7">
      <c r="A21" s="645"/>
      <c r="B21" s="655" t="s">
        <v>30</v>
      </c>
      <c r="C21" s="646"/>
      <c r="D21" s="646"/>
      <c r="E21" s="646"/>
      <c r="F21" s="647"/>
      <c r="G21" s="647"/>
      <c r="H21" s="648"/>
    </row>
    <row r="22" spans="1:8" x14ac:dyDescent="0.7">
      <c r="A22" s="645"/>
      <c r="B22" s="655" t="s">
        <v>32</v>
      </c>
      <c r="C22" s="646"/>
      <c r="D22" s="646"/>
      <c r="E22" s="646"/>
      <c r="F22" s="647"/>
      <c r="G22" s="647"/>
      <c r="H22" s="648"/>
    </row>
    <row r="23" spans="1:8" x14ac:dyDescent="0.7">
      <c r="A23" s="645"/>
      <c r="B23" s="655" t="s">
        <v>34</v>
      </c>
      <c r="C23" s="646"/>
      <c r="D23" s="646"/>
      <c r="E23" s="646"/>
      <c r="F23" s="647"/>
      <c r="G23" s="647"/>
      <c r="H23" s="648"/>
    </row>
    <row r="24" spans="1:8" x14ac:dyDescent="0.7">
      <c r="A24" s="645"/>
      <c r="B24" s="655" t="s">
        <v>36</v>
      </c>
      <c r="C24" s="646"/>
      <c r="D24" s="646"/>
      <c r="E24" s="646"/>
      <c r="F24" s="647"/>
      <c r="G24" s="647"/>
      <c r="H24" s="648"/>
    </row>
    <row r="25" spans="1:8" x14ac:dyDescent="0.7">
      <c r="A25" s="645"/>
      <c r="B25" s="655" t="s">
        <v>38</v>
      </c>
      <c r="C25" s="646"/>
      <c r="D25" s="646"/>
      <c r="E25" s="646"/>
      <c r="F25" s="647"/>
      <c r="G25" s="647"/>
      <c r="H25" s="648"/>
    </row>
    <row r="26" spans="1:8" x14ac:dyDescent="0.7">
      <c r="A26" s="645"/>
      <c r="B26" s="655" t="s">
        <v>42</v>
      </c>
      <c r="C26" s="646"/>
      <c r="D26" s="646"/>
      <c r="E26" s="646"/>
      <c r="F26" s="647"/>
      <c r="G26" s="647"/>
      <c r="H26" s="648"/>
    </row>
    <row r="27" spans="1:8" x14ac:dyDescent="0.7">
      <c r="A27" s="645"/>
      <c r="B27" s="655" t="s">
        <v>6568</v>
      </c>
      <c r="C27" s="646"/>
      <c r="D27" s="646"/>
      <c r="E27" s="646"/>
      <c r="F27" s="647"/>
      <c r="G27" s="647"/>
      <c r="H27" s="647" t="str">
        <f>IFERROR(#REF!*100/F27,"")</f>
        <v/>
      </c>
    </row>
    <row r="28" spans="1:8" x14ac:dyDescent="0.7">
      <c r="A28" s="645"/>
      <c r="B28" s="655" t="s">
        <v>6569</v>
      </c>
      <c r="C28" s="646"/>
      <c r="D28" s="646"/>
      <c r="E28" s="646"/>
      <c r="F28" s="647"/>
      <c r="G28" s="647"/>
      <c r="H28" s="647" t="str">
        <f>IFERROR(#REF!*100/F28,"")</f>
        <v/>
      </c>
    </row>
    <row r="29" spans="1:8" x14ac:dyDescent="0.7">
      <c r="A29" s="656"/>
      <c r="B29" s="657" t="s">
        <v>6354</v>
      </c>
      <c r="C29" s="652">
        <f>SUM(C16:C28)</f>
        <v>0</v>
      </c>
      <c r="D29" s="652">
        <f t="shared" ref="D29:G29" si="0">SUM(D16:D28)</f>
        <v>0</v>
      </c>
      <c r="E29" s="652">
        <f t="shared" si="0"/>
        <v>0</v>
      </c>
      <c r="F29" s="653">
        <f t="shared" si="0"/>
        <v>0</v>
      </c>
      <c r="G29" s="653">
        <f t="shared" si="0"/>
        <v>0</v>
      </c>
      <c r="H29" s="653"/>
    </row>
    <row r="30" spans="1:8" x14ac:dyDescent="0.7">
      <c r="A30" s="658"/>
      <c r="B30" s="659" t="s">
        <v>6355</v>
      </c>
      <c r="C30" s="660">
        <f>C14-C29</f>
        <v>0</v>
      </c>
      <c r="D30" s="660">
        <f t="shared" ref="D30:G30" si="1">D14-D29</f>
        <v>0</v>
      </c>
      <c r="E30" s="660">
        <f t="shared" si="1"/>
        <v>0</v>
      </c>
      <c r="F30" s="661">
        <f t="shared" si="1"/>
        <v>0</v>
      </c>
      <c r="G30" s="661">
        <f t="shared" si="1"/>
        <v>0</v>
      </c>
      <c r="H30" s="661"/>
    </row>
    <row r="31" spans="1:8" x14ac:dyDescent="0.7">
      <c r="A31" s="662"/>
      <c r="B31" s="663"/>
      <c r="C31" s="664"/>
      <c r="D31" s="664"/>
      <c r="E31" s="664"/>
      <c r="F31" s="665"/>
      <c r="G31" s="665"/>
      <c r="H31" s="665"/>
    </row>
    <row r="32" spans="1:8" x14ac:dyDescent="0.7">
      <c r="A32" s="662"/>
      <c r="B32" s="663" t="s">
        <v>6570</v>
      </c>
      <c r="C32" s="664"/>
      <c r="D32" s="664"/>
      <c r="E32" s="664"/>
      <c r="F32" s="665"/>
      <c r="G32" s="665"/>
      <c r="H32" s="665"/>
    </row>
    <row r="33" spans="1:8" x14ac:dyDescent="0.7">
      <c r="A33" s="662"/>
      <c r="B33" s="663" t="s">
        <v>6571</v>
      </c>
      <c r="C33" s="664"/>
      <c r="D33" s="664"/>
      <c r="E33" s="664"/>
      <c r="F33" s="665"/>
      <c r="G33" s="665"/>
      <c r="H33" s="665"/>
    </row>
    <row r="34" spans="1:8" x14ac:dyDescent="0.7">
      <c r="A34" s="662"/>
      <c r="B34" s="663" t="s">
        <v>6572</v>
      </c>
      <c r="C34" s="664"/>
      <c r="D34" s="664"/>
      <c r="E34" s="664"/>
      <c r="F34" s="665">
        <f>SUM(F30,F32)</f>
        <v>0</v>
      </c>
      <c r="G34" s="665"/>
      <c r="H34" s="665"/>
    </row>
    <row r="35" spans="1:8" x14ac:dyDescent="0.7">
      <c r="F35" s="666"/>
      <c r="G35" s="666"/>
      <c r="H35" s="666"/>
    </row>
    <row r="36" spans="1:8" x14ac:dyDescent="0.7">
      <c r="B36" s="667" t="s">
        <v>6573</v>
      </c>
      <c r="F36" s="668" t="s">
        <v>6574</v>
      </c>
      <c r="G36" s="669"/>
      <c r="H36" s="666"/>
    </row>
    <row r="37" spans="1:8" x14ac:dyDescent="0.7">
      <c r="B37" s="667"/>
      <c r="C37" s="670"/>
      <c r="D37" s="670"/>
      <c r="E37" s="670"/>
      <c r="F37" s="669"/>
      <c r="G37" s="669"/>
      <c r="H37" s="666"/>
    </row>
    <row r="38" spans="1:8" x14ac:dyDescent="0.7">
      <c r="B38" s="667"/>
      <c r="F38" s="669"/>
      <c r="G38" s="669"/>
      <c r="H38" s="666"/>
    </row>
    <row r="39" spans="1:8" x14ac:dyDescent="0.7">
      <c r="F39" s="666"/>
      <c r="G39" s="666"/>
      <c r="H39" s="666"/>
    </row>
  </sheetData>
  <mergeCells count="2">
    <mergeCell ref="A1:H1"/>
    <mergeCell ref="A2:B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K14" sqref="K14"/>
    </sheetView>
  </sheetViews>
  <sheetFormatPr defaultColWidth="8.69921875" defaultRowHeight="16.8" x14ac:dyDescent="0.5"/>
  <cols>
    <col min="1" max="1" width="5.796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3984375" style="5" bestFit="1" customWidth="1"/>
    <col min="6" max="6" width="16" style="5" bestFit="1" customWidth="1"/>
    <col min="7" max="7" width="36.69921875" style="5" bestFit="1" customWidth="1"/>
    <col min="8" max="16384" width="8.69921875" style="5"/>
  </cols>
  <sheetData>
    <row r="1" spans="1:7" ht="24" customHeight="1" x14ac:dyDescent="0.7">
      <c r="A1" s="797" t="s">
        <v>6359</v>
      </c>
      <c r="B1" s="797"/>
      <c r="C1" s="797"/>
      <c r="D1" s="797"/>
      <c r="E1" s="797"/>
      <c r="F1" s="797"/>
      <c r="G1" s="797"/>
    </row>
    <row r="2" spans="1:7" ht="24" customHeight="1" x14ac:dyDescent="0.7">
      <c r="A2" s="797" t="s">
        <v>6360</v>
      </c>
      <c r="B2" s="797"/>
      <c r="C2" s="797"/>
      <c r="D2" s="797"/>
      <c r="E2" s="797"/>
      <c r="F2" s="797"/>
      <c r="G2" s="797"/>
    </row>
    <row r="3" spans="1:7" ht="24" customHeight="1" x14ac:dyDescent="0.7">
      <c r="A3" s="797" t="s">
        <v>6422</v>
      </c>
      <c r="B3" s="797"/>
      <c r="C3" s="797"/>
      <c r="D3" s="797"/>
      <c r="E3" s="797"/>
      <c r="F3" s="797"/>
      <c r="G3" s="797"/>
    </row>
    <row r="4" spans="1:7" ht="24" customHeight="1" x14ac:dyDescent="0.7">
      <c r="A4" s="337"/>
      <c r="B4" s="99"/>
      <c r="C4" s="99"/>
      <c r="D4" s="99"/>
      <c r="E4" s="99"/>
    </row>
    <row r="5" spans="1:7" ht="24.6" x14ac:dyDescent="0.7">
      <c r="A5" s="806" t="s">
        <v>2185</v>
      </c>
      <c r="B5" s="806" t="s">
        <v>6361</v>
      </c>
      <c r="C5" s="806" t="s">
        <v>6362</v>
      </c>
      <c r="D5" s="806" t="s">
        <v>6363</v>
      </c>
      <c r="E5" s="806" t="s">
        <v>6364</v>
      </c>
      <c r="F5" s="806" t="s">
        <v>2187</v>
      </c>
      <c r="G5" s="557"/>
    </row>
    <row r="6" spans="1:7" ht="24.6" x14ac:dyDescent="0.7">
      <c r="A6" s="807"/>
      <c r="B6" s="807"/>
      <c r="C6" s="807"/>
      <c r="D6" s="807"/>
      <c r="E6" s="807"/>
      <c r="F6" s="807"/>
      <c r="G6" s="542" t="s">
        <v>6365</v>
      </c>
    </row>
    <row r="7" spans="1:7" ht="24.6" x14ac:dyDescent="0.7">
      <c r="A7" s="542"/>
      <c r="B7" s="542"/>
      <c r="C7" s="542"/>
      <c r="D7" s="542"/>
      <c r="E7" s="542"/>
      <c r="F7" s="542"/>
      <c r="G7" s="542"/>
    </row>
    <row r="8" spans="1:7" x14ac:dyDescent="0.5">
      <c r="A8" s="543"/>
      <c r="B8" s="543"/>
      <c r="C8" s="543"/>
      <c r="D8" s="543"/>
      <c r="E8" s="543"/>
      <c r="F8" s="543"/>
      <c r="G8" s="543"/>
    </row>
    <row r="9" spans="1:7" x14ac:dyDescent="0.5">
      <c r="A9" s="543"/>
      <c r="B9" s="543"/>
      <c r="C9" s="543"/>
      <c r="D9" s="543"/>
      <c r="E9" s="543"/>
      <c r="F9" s="543"/>
      <c r="G9" s="543"/>
    </row>
    <row r="10" spans="1:7" x14ac:dyDescent="0.5">
      <c r="A10" s="543"/>
      <c r="B10" s="543"/>
      <c r="C10" s="543"/>
      <c r="D10" s="543"/>
      <c r="E10" s="543"/>
      <c r="F10" s="543"/>
      <c r="G10" s="543"/>
    </row>
    <row r="11" spans="1:7" x14ac:dyDescent="0.5">
      <c r="A11" s="543"/>
      <c r="B11" s="543"/>
      <c r="C11" s="543"/>
      <c r="D11" s="543"/>
      <c r="E11" s="543"/>
      <c r="F11" s="543"/>
      <c r="G11" s="543"/>
    </row>
    <row r="12" spans="1:7" x14ac:dyDescent="0.5">
      <c r="A12" s="543"/>
      <c r="B12" s="543"/>
      <c r="C12" s="543"/>
      <c r="D12" s="543"/>
      <c r="E12" s="543"/>
      <c r="F12" s="543"/>
      <c r="G12" s="543"/>
    </row>
    <row r="13" spans="1:7" x14ac:dyDescent="0.5">
      <c r="A13" s="543"/>
      <c r="B13" s="543"/>
      <c r="C13" s="543"/>
      <c r="D13" s="543"/>
      <c r="E13" s="543"/>
      <c r="F13" s="543"/>
      <c r="G13" s="543"/>
    </row>
    <row r="14" spans="1:7" x14ac:dyDescent="0.5">
      <c r="A14" s="543"/>
      <c r="B14" s="543"/>
      <c r="C14" s="543"/>
      <c r="D14" s="543"/>
      <c r="E14" s="543"/>
      <c r="F14" s="543"/>
      <c r="G14" s="543"/>
    </row>
    <row r="15" spans="1:7" ht="25.2" thickBot="1" x14ac:dyDescent="0.75">
      <c r="B15" s="6" t="s">
        <v>6366</v>
      </c>
      <c r="F15" s="544">
        <f>SUM(F8:F14)</f>
        <v>0</v>
      </c>
      <c r="G15" s="544">
        <f t="shared" ref="G15" si="0">SUM(G8:G14)</f>
        <v>0</v>
      </c>
    </row>
    <row r="16" spans="1:7" ht="17.399999999999999" thickTop="1" x14ac:dyDescent="0.5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BCF20-6111-476F-83D5-C908FD3F4E52}">
  <sheetPr>
    <tabColor rgb="FF00B050"/>
    <pageSetUpPr fitToPage="1"/>
  </sheetPr>
  <dimension ref="A1:DP194"/>
  <sheetViews>
    <sheetView zoomScaleNormal="100" zoomScaleSheetLayoutView="100" workbookViewId="0">
      <selection activeCell="F8" sqref="F8"/>
    </sheetView>
  </sheetViews>
  <sheetFormatPr defaultColWidth="9" defaultRowHeight="22.8" x14ac:dyDescent="0.25"/>
  <cols>
    <col min="1" max="1" width="38.19921875" style="987" customWidth="1"/>
    <col min="2" max="2" width="22.19921875" style="988" customWidth="1"/>
    <col min="3" max="4" width="18.69921875" style="988" customWidth="1"/>
    <col min="5" max="5" width="17.59765625" style="989" customWidth="1"/>
    <col min="6" max="6" width="27" style="990" customWidth="1"/>
    <col min="7" max="7" width="20.19921875" style="864" customWidth="1"/>
    <col min="8" max="8" width="13.69921875" style="991" customWidth="1"/>
    <col min="9" max="9" width="21.69921875" style="864" customWidth="1"/>
    <col min="10" max="44" width="13.69921875" style="864" customWidth="1"/>
    <col min="45" max="16384" width="9" style="864"/>
  </cols>
  <sheetData>
    <row r="1" spans="1:44" ht="30" x14ac:dyDescent="0.25">
      <c r="A1" s="861" t="s">
        <v>6754</v>
      </c>
      <c r="B1" s="861"/>
      <c r="C1" s="861"/>
      <c r="D1" s="861"/>
      <c r="E1" s="861"/>
      <c r="F1" s="861"/>
      <c r="G1" s="862"/>
      <c r="H1" s="863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  <c r="AL1" s="862"/>
      <c r="AM1" s="862"/>
      <c r="AN1" s="862"/>
      <c r="AO1" s="862"/>
      <c r="AP1" s="862"/>
      <c r="AQ1" s="862"/>
      <c r="AR1" s="862"/>
    </row>
    <row r="2" spans="1:44" ht="30" x14ac:dyDescent="0.25">
      <c r="A2" s="865" t="s">
        <v>3918</v>
      </c>
      <c r="B2" s="865"/>
      <c r="C2" s="865"/>
      <c r="D2" s="865"/>
      <c r="E2" s="865"/>
      <c r="F2" s="865"/>
      <c r="G2" s="862"/>
      <c r="H2" s="863"/>
      <c r="I2" s="862"/>
      <c r="J2" s="862"/>
      <c r="K2" s="862"/>
      <c r="L2" s="862"/>
      <c r="M2" s="862"/>
      <c r="N2" s="862"/>
      <c r="O2" s="862"/>
      <c r="P2" s="862"/>
      <c r="Q2" s="862"/>
      <c r="R2" s="862"/>
      <c r="S2" s="862"/>
      <c r="T2" s="862"/>
      <c r="U2" s="862"/>
      <c r="V2" s="862"/>
      <c r="W2" s="862"/>
      <c r="X2" s="862"/>
      <c r="Y2" s="862"/>
      <c r="Z2" s="862"/>
      <c r="AA2" s="862"/>
      <c r="AB2" s="862"/>
      <c r="AC2" s="862"/>
      <c r="AD2" s="862"/>
      <c r="AE2" s="862"/>
      <c r="AF2" s="862"/>
      <c r="AG2" s="862"/>
      <c r="AH2" s="862"/>
      <c r="AI2" s="862"/>
      <c r="AJ2" s="862"/>
      <c r="AK2" s="862"/>
      <c r="AL2" s="862"/>
      <c r="AM2" s="862"/>
      <c r="AN2" s="862"/>
      <c r="AO2" s="862"/>
      <c r="AP2" s="862"/>
      <c r="AQ2" s="862"/>
      <c r="AR2" s="862"/>
    </row>
    <row r="3" spans="1:44" x14ac:dyDescent="0.5">
      <c r="A3" s="866" t="s">
        <v>682</v>
      </c>
      <c r="B3" s="867" t="s">
        <v>7351</v>
      </c>
      <c r="C3" s="867" t="s">
        <v>7352</v>
      </c>
      <c r="D3" s="867" t="s">
        <v>7353</v>
      </c>
      <c r="E3" s="867" t="s">
        <v>7354</v>
      </c>
      <c r="F3" s="868" t="s">
        <v>6755</v>
      </c>
      <c r="G3" s="869" t="s">
        <v>7355</v>
      </c>
      <c r="H3" s="870" t="s">
        <v>7356</v>
      </c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62"/>
      <c r="AF3" s="862"/>
      <c r="AG3" s="862"/>
      <c r="AH3" s="862"/>
      <c r="AI3" s="862"/>
      <c r="AJ3" s="862"/>
      <c r="AK3" s="862"/>
      <c r="AL3" s="862"/>
      <c r="AM3" s="862"/>
      <c r="AN3" s="862"/>
      <c r="AO3" s="862"/>
      <c r="AP3" s="862"/>
      <c r="AQ3" s="862"/>
      <c r="AR3" s="862"/>
    </row>
    <row r="4" spans="1:44" s="879" customFormat="1" ht="21" x14ac:dyDescent="0.25">
      <c r="A4" s="871" t="s">
        <v>6756</v>
      </c>
      <c r="B4" s="872">
        <f>B5+B10+B11+B19+B20+B21+B22+B23+B24+B25+B26+B27+B28+B29+B30+B31+B32+B33+B34</f>
        <v>60733110.349999994</v>
      </c>
      <c r="C4" s="873">
        <f>C5+C10+C11+C19+C20+C21+C22+C23+C24+C25+C26+C27+C28+C29+C30+C31+C32+C33+C34</f>
        <v>72710356.859999999</v>
      </c>
      <c r="D4" s="873">
        <f>D5+D10+D11+D19+D20+D21+D22+D23+D24+D25+D26+D27+D28+D29+D30+D31+D32+D33+D34</f>
        <v>0</v>
      </c>
      <c r="E4" s="874">
        <f>E5+E10+E11+E19+E20+E21+E22+E23+E24+E25+E26+E27+E28+E29+E30+E31+E32+E33+E34</f>
        <v>72608743.530000001</v>
      </c>
      <c r="F4" s="875"/>
      <c r="G4" s="876"/>
      <c r="H4" s="877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  <c r="AD4" s="878"/>
      <c r="AE4" s="878"/>
      <c r="AF4" s="878"/>
      <c r="AG4" s="878"/>
      <c r="AH4" s="878"/>
      <c r="AI4" s="878"/>
      <c r="AJ4" s="878"/>
      <c r="AK4" s="878"/>
      <c r="AL4" s="878"/>
      <c r="AM4" s="878"/>
      <c r="AN4" s="878"/>
      <c r="AO4" s="878"/>
      <c r="AP4" s="878"/>
      <c r="AQ4" s="878"/>
      <c r="AR4" s="878"/>
    </row>
    <row r="5" spans="1:44" s="883" customFormat="1" x14ac:dyDescent="0.25">
      <c r="A5" s="871" t="s">
        <v>6602</v>
      </c>
      <c r="B5" s="872">
        <f>SUM(B6:B9)</f>
        <v>27377410.960000001</v>
      </c>
      <c r="C5" s="873">
        <f>SUM(C6:C9)</f>
        <v>36368008.100000009</v>
      </c>
      <c r="D5" s="873">
        <f>SUM(D6:D9)</f>
        <v>0</v>
      </c>
      <c r="E5" s="874">
        <f>SUM(E6:E9)</f>
        <v>37269337.799999997</v>
      </c>
      <c r="F5" s="875"/>
      <c r="G5" s="880"/>
      <c r="H5" s="881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2"/>
      <c r="T5" s="882"/>
      <c r="U5" s="882"/>
      <c r="V5" s="882"/>
      <c r="W5" s="882"/>
      <c r="X5" s="882"/>
      <c r="Y5" s="882"/>
      <c r="Z5" s="882"/>
      <c r="AA5" s="882"/>
      <c r="AB5" s="882"/>
      <c r="AC5" s="882"/>
      <c r="AD5" s="882"/>
      <c r="AE5" s="882"/>
      <c r="AF5" s="882"/>
      <c r="AG5" s="882"/>
      <c r="AH5" s="882"/>
      <c r="AI5" s="882"/>
      <c r="AJ5" s="882"/>
      <c r="AK5" s="882"/>
      <c r="AL5" s="882"/>
      <c r="AM5" s="882"/>
      <c r="AN5" s="882"/>
      <c r="AO5" s="882"/>
      <c r="AP5" s="882"/>
      <c r="AQ5" s="882"/>
      <c r="AR5" s="882"/>
    </row>
    <row r="6" spans="1:44" s="883" customFormat="1" x14ac:dyDescent="0.25">
      <c r="A6" s="884" t="s">
        <v>6603</v>
      </c>
      <c r="B6" s="885">
        <v>27377410.960000001</v>
      </c>
      <c r="C6" s="886">
        <v>33690767.450000003</v>
      </c>
      <c r="D6" s="886">
        <v>0</v>
      </c>
      <c r="E6" s="887">
        <v>35569337.799999997</v>
      </c>
      <c r="F6" s="888"/>
      <c r="G6" s="889"/>
      <c r="H6" s="890"/>
      <c r="I6" s="891"/>
      <c r="J6" s="891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1"/>
      <c r="AA6" s="891"/>
      <c r="AB6" s="891"/>
      <c r="AC6" s="891"/>
      <c r="AD6" s="891"/>
      <c r="AE6" s="891"/>
      <c r="AF6" s="891"/>
      <c r="AG6" s="891"/>
      <c r="AH6" s="891"/>
      <c r="AI6" s="891"/>
      <c r="AJ6" s="891"/>
      <c r="AK6" s="891"/>
      <c r="AL6" s="891"/>
      <c r="AM6" s="891"/>
      <c r="AN6" s="891"/>
      <c r="AO6" s="891"/>
      <c r="AP6" s="891"/>
      <c r="AQ6" s="891"/>
      <c r="AR6" s="891"/>
    </row>
    <row r="7" spans="1:44" x14ac:dyDescent="0.25">
      <c r="A7" s="884" t="s">
        <v>6605</v>
      </c>
      <c r="B7" s="872">
        <v>0</v>
      </c>
      <c r="C7" s="886">
        <v>0</v>
      </c>
      <c r="D7" s="886">
        <v>0</v>
      </c>
      <c r="E7" s="887">
        <v>0</v>
      </c>
      <c r="F7" s="875"/>
      <c r="G7" s="892"/>
      <c r="H7" s="893"/>
      <c r="I7" s="894"/>
      <c r="J7" s="894"/>
      <c r="K7" s="894"/>
      <c r="L7" s="894"/>
      <c r="M7" s="894"/>
      <c r="N7" s="894"/>
      <c r="O7" s="894"/>
      <c r="P7" s="894"/>
      <c r="Q7" s="894"/>
      <c r="R7" s="894"/>
      <c r="S7" s="894"/>
      <c r="T7" s="894"/>
      <c r="U7" s="894"/>
      <c r="V7" s="894"/>
      <c r="W7" s="894"/>
      <c r="X7" s="894"/>
      <c r="Y7" s="894"/>
      <c r="Z7" s="894"/>
      <c r="AA7" s="894"/>
      <c r="AB7" s="894"/>
      <c r="AC7" s="894"/>
      <c r="AD7" s="894"/>
      <c r="AE7" s="894"/>
      <c r="AF7" s="894"/>
      <c r="AG7" s="894"/>
      <c r="AH7" s="894"/>
      <c r="AI7" s="894"/>
      <c r="AJ7" s="894"/>
      <c r="AK7" s="894"/>
      <c r="AL7" s="894"/>
      <c r="AM7" s="894"/>
      <c r="AN7" s="894"/>
      <c r="AO7" s="894"/>
      <c r="AP7" s="894"/>
      <c r="AQ7" s="894"/>
      <c r="AR7" s="894"/>
    </row>
    <row r="8" spans="1:44" x14ac:dyDescent="0.25">
      <c r="A8" s="884" t="s">
        <v>6606</v>
      </c>
      <c r="B8" s="872">
        <v>0</v>
      </c>
      <c r="C8" s="886">
        <v>200786.59</v>
      </c>
      <c r="D8" s="886">
        <v>0</v>
      </c>
      <c r="E8" s="887">
        <v>200000</v>
      </c>
      <c r="F8" s="875"/>
      <c r="G8" s="892"/>
      <c r="H8" s="895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4"/>
      <c r="Y8" s="894"/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4"/>
    </row>
    <row r="9" spans="1:44" x14ac:dyDescent="0.25">
      <c r="A9" s="884" t="s">
        <v>6607</v>
      </c>
      <c r="B9" s="872">
        <v>0</v>
      </c>
      <c r="C9" s="886">
        <v>2476454.06</v>
      </c>
      <c r="D9" s="886">
        <v>0</v>
      </c>
      <c r="E9" s="887">
        <v>1500000</v>
      </c>
      <c r="F9" s="875"/>
      <c r="G9" s="892"/>
      <c r="H9" s="895"/>
      <c r="I9" s="894"/>
      <c r="J9" s="894"/>
      <c r="K9" s="894"/>
      <c r="L9" s="894"/>
      <c r="M9" s="894"/>
      <c r="N9" s="894"/>
      <c r="O9" s="894"/>
      <c r="P9" s="894"/>
      <c r="Q9" s="894"/>
      <c r="R9" s="894"/>
      <c r="S9" s="894"/>
      <c r="T9" s="894"/>
      <c r="U9" s="894"/>
      <c r="V9" s="894"/>
      <c r="W9" s="894"/>
      <c r="X9" s="894"/>
      <c r="Y9" s="894"/>
      <c r="Z9" s="894"/>
      <c r="AA9" s="894"/>
      <c r="AB9" s="894"/>
      <c r="AC9" s="894"/>
      <c r="AD9" s="894"/>
      <c r="AE9" s="894"/>
      <c r="AF9" s="894"/>
      <c r="AG9" s="894"/>
      <c r="AH9" s="894"/>
      <c r="AI9" s="894"/>
      <c r="AJ9" s="894"/>
      <c r="AK9" s="894"/>
      <c r="AL9" s="894"/>
      <c r="AM9" s="894"/>
      <c r="AN9" s="894"/>
      <c r="AO9" s="894"/>
      <c r="AP9" s="894"/>
      <c r="AQ9" s="894"/>
      <c r="AR9" s="894"/>
    </row>
    <row r="10" spans="1:44" x14ac:dyDescent="0.25">
      <c r="A10" s="871" t="s">
        <v>6608</v>
      </c>
      <c r="B10" s="885">
        <v>9739127.8300000001</v>
      </c>
      <c r="C10" s="886">
        <v>8613915.1600000001</v>
      </c>
      <c r="D10" s="886">
        <v>0</v>
      </c>
      <c r="E10" s="887">
        <v>5278960.54</v>
      </c>
      <c r="F10" s="888"/>
      <c r="G10" s="892"/>
      <c r="H10" s="895"/>
      <c r="I10" s="894"/>
      <c r="J10" s="894"/>
      <c r="K10" s="894"/>
      <c r="L10" s="894"/>
      <c r="M10" s="894"/>
      <c r="N10" s="894"/>
      <c r="O10" s="894"/>
      <c r="P10" s="894"/>
      <c r="Q10" s="894"/>
      <c r="R10" s="894"/>
      <c r="S10" s="894"/>
      <c r="T10" s="894"/>
      <c r="U10" s="894"/>
      <c r="V10" s="894"/>
      <c r="W10" s="894"/>
      <c r="X10" s="894"/>
      <c r="Y10" s="894"/>
      <c r="Z10" s="894"/>
      <c r="AA10" s="894"/>
      <c r="AB10" s="894"/>
      <c r="AC10" s="894"/>
      <c r="AD10" s="894"/>
      <c r="AE10" s="894"/>
      <c r="AF10" s="894"/>
      <c r="AG10" s="894"/>
      <c r="AH10" s="894"/>
      <c r="AI10" s="894"/>
      <c r="AJ10" s="894"/>
      <c r="AK10" s="894"/>
      <c r="AL10" s="894"/>
      <c r="AM10" s="894"/>
      <c r="AN10" s="894"/>
      <c r="AO10" s="894"/>
      <c r="AP10" s="894"/>
      <c r="AQ10" s="894"/>
      <c r="AR10" s="894"/>
    </row>
    <row r="11" spans="1:44" s="883" customFormat="1" x14ac:dyDescent="0.25">
      <c r="A11" s="871" t="s">
        <v>6609</v>
      </c>
      <c r="B11" s="885">
        <f>SUM(B12:B18)</f>
        <v>5981327.9400000004</v>
      </c>
      <c r="C11" s="896">
        <f>SUM(C12:C18)</f>
        <v>6976653.2799999993</v>
      </c>
      <c r="D11" s="896">
        <f>SUM(D12:D18)</f>
        <v>0</v>
      </c>
      <c r="E11" s="887">
        <f>SUM(E12:E18)</f>
        <v>9221306.2100000009</v>
      </c>
      <c r="F11" s="888"/>
      <c r="G11" s="897"/>
      <c r="H11" s="898"/>
      <c r="I11" s="899"/>
      <c r="J11" s="899"/>
      <c r="K11" s="899"/>
      <c r="L11" s="899"/>
      <c r="M11" s="899"/>
      <c r="N11" s="899"/>
      <c r="O11" s="899"/>
      <c r="P11" s="899"/>
      <c r="Q11" s="899"/>
      <c r="R11" s="899"/>
      <c r="S11" s="899"/>
      <c r="T11" s="899"/>
      <c r="U11" s="899"/>
      <c r="V11" s="899"/>
      <c r="W11" s="899"/>
      <c r="X11" s="899"/>
      <c r="Y11" s="899"/>
      <c r="Z11" s="899"/>
      <c r="AA11" s="899"/>
      <c r="AB11" s="899"/>
      <c r="AC11" s="899"/>
      <c r="AD11" s="899"/>
      <c r="AE11" s="899"/>
      <c r="AF11" s="899"/>
      <c r="AG11" s="899"/>
      <c r="AH11" s="899"/>
      <c r="AI11" s="899"/>
      <c r="AJ11" s="899"/>
      <c r="AK11" s="899"/>
      <c r="AL11" s="899"/>
      <c r="AM11" s="899"/>
      <c r="AN11" s="899"/>
      <c r="AO11" s="899"/>
      <c r="AP11" s="899"/>
      <c r="AQ11" s="899"/>
      <c r="AR11" s="899"/>
    </row>
    <row r="12" spans="1:44" x14ac:dyDescent="0.25">
      <c r="A12" s="900" t="s">
        <v>6610</v>
      </c>
      <c r="B12" s="885">
        <v>5019066.74</v>
      </c>
      <c r="C12" s="886">
        <v>5610144.5099999998</v>
      </c>
      <c r="D12" s="886">
        <v>0</v>
      </c>
      <c r="E12" s="887">
        <v>7671306.21</v>
      </c>
      <c r="F12" s="888"/>
      <c r="G12" s="901"/>
      <c r="H12" s="902"/>
      <c r="I12" s="903"/>
      <c r="J12" s="903"/>
      <c r="K12" s="903"/>
      <c r="L12" s="903"/>
      <c r="M12" s="903"/>
      <c r="N12" s="903"/>
      <c r="O12" s="903"/>
      <c r="P12" s="903"/>
      <c r="Q12" s="903"/>
      <c r="R12" s="903"/>
      <c r="S12" s="903"/>
      <c r="T12" s="903"/>
      <c r="U12" s="903"/>
      <c r="V12" s="903"/>
      <c r="W12" s="903"/>
      <c r="X12" s="903"/>
      <c r="Y12" s="903"/>
      <c r="Z12" s="903"/>
      <c r="AA12" s="903"/>
      <c r="AB12" s="903"/>
      <c r="AC12" s="903"/>
      <c r="AD12" s="903"/>
      <c r="AE12" s="903"/>
      <c r="AF12" s="903"/>
      <c r="AG12" s="903"/>
      <c r="AH12" s="903"/>
      <c r="AI12" s="903"/>
      <c r="AJ12" s="903"/>
      <c r="AK12" s="903"/>
      <c r="AL12" s="903"/>
      <c r="AM12" s="903"/>
      <c r="AN12" s="903"/>
      <c r="AO12" s="903"/>
      <c r="AP12" s="903"/>
      <c r="AQ12" s="903"/>
      <c r="AR12" s="903"/>
    </row>
    <row r="13" spans="1:44" x14ac:dyDescent="0.25">
      <c r="A13" s="900" t="s">
        <v>6611</v>
      </c>
      <c r="B13" s="885">
        <v>0</v>
      </c>
      <c r="C13" s="886">
        <v>361485.08</v>
      </c>
      <c r="D13" s="886">
        <v>0</v>
      </c>
      <c r="E13" s="887">
        <v>1000000</v>
      </c>
      <c r="F13" s="888"/>
      <c r="G13" s="904"/>
      <c r="H13" s="905"/>
      <c r="I13" s="906"/>
      <c r="J13" s="906"/>
      <c r="K13" s="906"/>
      <c r="L13" s="906"/>
      <c r="M13" s="906"/>
      <c r="N13" s="906"/>
      <c r="O13" s="906"/>
      <c r="P13" s="906"/>
      <c r="Q13" s="906"/>
      <c r="R13" s="906"/>
      <c r="S13" s="906"/>
      <c r="T13" s="906"/>
      <c r="U13" s="906"/>
      <c r="V13" s="906"/>
      <c r="W13" s="906"/>
      <c r="X13" s="906"/>
      <c r="Y13" s="906"/>
      <c r="Z13" s="906"/>
      <c r="AA13" s="906"/>
      <c r="AB13" s="906"/>
      <c r="AC13" s="906"/>
      <c r="AD13" s="906"/>
      <c r="AE13" s="906"/>
      <c r="AF13" s="906"/>
      <c r="AG13" s="906"/>
      <c r="AH13" s="906"/>
      <c r="AI13" s="906"/>
      <c r="AJ13" s="906"/>
      <c r="AK13" s="906"/>
      <c r="AL13" s="906"/>
      <c r="AM13" s="906"/>
      <c r="AN13" s="906"/>
      <c r="AO13" s="906"/>
      <c r="AP13" s="906"/>
      <c r="AQ13" s="906"/>
      <c r="AR13" s="906"/>
    </row>
    <row r="14" spans="1:44" x14ac:dyDescent="0.25">
      <c r="A14" s="900" t="s">
        <v>6612</v>
      </c>
      <c r="B14" s="885">
        <v>0</v>
      </c>
      <c r="C14" s="886">
        <v>0</v>
      </c>
      <c r="D14" s="886">
        <v>0</v>
      </c>
      <c r="E14" s="887">
        <v>0</v>
      </c>
      <c r="F14" s="888"/>
      <c r="G14" s="904"/>
      <c r="H14" s="905"/>
      <c r="I14" s="906"/>
      <c r="J14" s="906"/>
      <c r="K14" s="906"/>
      <c r="L14" s="906"/>
      <c r="M14" s="906"/>
      <c r="N14" s="906"/>
      <c r="O14" s="906"/>
      <c r="P14" s="906"/>
      <c r="Q14" s="906"/>
      <c r="R14" s="906"/>
      <c r="S14" s="906"/>
      <c r="T14" s="906"/>
      <c r="U14" s="906"/>
      <c r="V14" s="906"/>
      <c r="W14" s="906"/>
      <c r="X14" s="906"/>
      <c r="Y14" s="906"/>
      <c r="Z14" s="906"/>
      <c r="AA14" s="906"/>
      <c r="AB14" s="906"/>
      <c r="AC14" s="906"/>
      <c r="AD14" s="906"/>
      <c r="AE14" s="906"/>
      <c r="AF14" s="906"/>
      <c r="AG14" s="906"/>
      <c r="AH14" s="906"/>
      <c r="AI14" s="906"/>
      <c r="AJ14" s="906"/>
      <c r="AK14" s="906"/>
      <c r="AL14" s="906"/>
      <c r="AM14" s="906"/>
      <c r="AN14" s="906"/>
      <c r="AO14" s="906"/>
      <c r="AP14" s="906"/>
      <c r="AQ14" s="906"/>
      <c r="AR14" s="906"/>
    </row>
    <row r="15" spans="1:44" x14ac:dyDescent="0.25">
      <c r="A15" s="900" t="s">
        <v>6613</v>
      </c>
      <c r="B15" s="885">
        <v>0</v>
      </c>
      <c r="C15" s="886">
        <v>0</v>
      </c>
      <c r="D15" s="886">
        <v>0</v>
      </c>
      <c r="E15" s="887">
        <v>0</v>
      </c>
      <c r="F15" s="888"/>
      <c r="G15" s="904"/>
      <c r="H15" s="905"/>
      <c r="I15" s="906"/>
      <c r="J15" s="906"/>
      <c r="K15" s="906"/>
      <c r="L15" s="906"/>
      <c r="M15" s="906"/>
      <c r="N15" s="906"/>
      <c r="O15" s="906"/>
      <c r="P15" s="906"/>
      <c r="Q15" s="906"/>
      <c r="R15" s="906"/>
      <c r="S15" s="906"/>
      <c r="T15" s="906"/>
      <c r="U15" s="906"/>
      <c r="V15" s="906"/>
      <c r="W15" s="906"/>
      <c r="X15" s="906"/>
      <c r="Y15" s="906"/>
      <c r="Z15" s="906"/>
      <c r="AA15" s="906"/>
      <c r="AB15" s="906"/>
      <c r="AC15" s="906"/>
      <c r="AD15" s="906"/>
      <c r="AE15" s="906"/>
      <c r="AF15" s="906"/>
      <c r="AG15" s="906"/>
      <c r="AH15" s="906"/>
      <c r="AI15" s="906"/>
      <c r="AJ15" s="906"/>
      <c r="AK15" s="906"/>
      <c r="AL15" s="906"/>
      <c r="AM15" s="906"/>
      <c r="AN15" s="906"/>
      <c r="AO15" s="906"/>
      <c r="AP15" s="906"/>
      <c r="AQ15" s="906"/>
      <c r="AR15" s="906"/>
    </row>
    <row r="16" spans="1:44" x14ac:dyDescent="0.25">
      <c r="A16" s="900" t="s">
        <v>6614</v>
      </c>
      <c r="B16" s="885">
        <v>0</v>
      </c>
      <c r="C16" s="886">
        <v>0</v>
      </c>
      <c r="D16" s="886">
        <v>0</v>
      </c>
      <c r="E16" s="887">
        <v>0</v>
      </c>
      <c r="F16" s="888"/>
      <c r="G16" s="904"/>
      <c r="H16" s="905"/>
      <c r="I16" s="906"/>
      <c r="J16" s="906"/>
      <c r="K16" s="906"/>
      <c r="L16" s="906"/>
      <c r="M16" s="906"/>
      <c r="N16" s="906"/>
      <c r="O16" s="906"/>
      <c r="P16" s="906"/>
      <c r="Q16" s="906"/>
      <c r="R16" s="906"/>
      <c r="S16" s="906"/>
      <c r="T16" s="906"/>
      <c r="U16" s="906"/>
      <c r="V16" s="906"/>
      <c r="W16" s="906"/>
      <c r="X16" s="906"/>
      <c r="Y16" s="906"/>
      <c r="Z16" s="906"/>
      <c r="AA16" s="906"/>
      <c r="AB16" s="906"/>
      <c r="AC16" s="906"/>
      <c r="AD16" s="906"/>
      <c r="AE16" s="906"/>
      <c r="AF16" s="906"/>
      <c r="AG16" s="906"/>
      <c r="AH16" s="906"/>
      <c r="AI16" s="906"/>
      <c r="AJ16" s="906"/>
      <c r="AK16" s="906"/>
      <c r="AL16" s="906"/>
      <c r="AM16" s="906"/>
      <c r="AN16" s="906"/>
      <c r="AO16" s="906"/>
      <c r="AP16" s="906"/>
      <c r="AQ16" s="906"/>
      <c r="AR16" s="906"/>
    </row>
    <row r="17" spans="1:44" x14ac:dyDescent="0.25">
      <c r="A17" s="900" t="s">
        <v>6615</v>
      </c>
      <c r="B17" s="885">
        <v>268420.2</v>
      </c>
      <c r="C17" s="886">
        <v>1005023.69</v>
      </c>
      <c r="D17" s="886">
        <v>0</v>
      </c>
      <c r="E17" s="887">
        <v>550000</v>
      </c>
      <c r="F17" s="888"/>
      <c r="G17" s="904"/>
      <c r="H17" s="905"/>
      <c r="I17" s="906"/>
      <c r="J17" s="906"/>
      <c r="K17" s="906"/>
      <c r="L17" s="906"/>
      <c r="M17" s="906"/>
      <c r="N17" s="906"/>
      <c r="O17" s="906"/>
      <c r="P17" s="906"/>
      <c r="Q17" s="906"/>
      <c r="R17" s="906"/>
      <c r="S17" s="906"/>
      <c r="T17" s="906"/>
      <c r="U17" s="906"/>
      <c r="V17" s="906"/>
      <c r="W17" s="906"/>
      <c r="X17" s="906"/>
      <c r="Y17" s="906"/>
      <c r="Z17" s="906"/>
      <c r="AA17" s="906"/>
      <c r="AB17" s="906"/>
      <c r="AC17" s="906"/>
      <c r="AD17" s="906"/>
      <c r="AE17" s="906"/>
      <c r="AF17" s="906"/>
      <c r="AG17" s="906"/>
      <c r="AH17" s="906"/>
      <c r="AI17" s="906"/>
      <c r="AJ17" s="906"/>
      <c r="AK17" s="906"/>
      <c r="AL17" s="906"/>
      <c r="AM17" s="906"/>
      <c r="AN17" s="906"/>
      <c r="AO17" s="906"/>
      <c r="AP17" s="906"/>
      <c r="AQ17" s="906"/>
      <c r="AR17" s="906"/>
    </row>
    <row r="18" spans="1:44" x14ac:dyDescent="0.25">
      <c r="A18" s="900" t="s">
        <v>6616</v>
      </c>
      <c r="B18" s="885">
        <v>693841</v>
      </c>
      <c r="C18" s="886">
        <v>0</v>
      </c>
      <c r="D18" s="886">
        <v>0</v>
      </c>
      <c r="E18" s="887">
        <v>0</v>
      </c>
      <c r="F18" s="875"/>
      <c r="G18" s="904"/>
      <c r="H18" s="905"/>
      <c r="I18" s="906"/>
      <c r="J18" s="906"/>
      <c r="K18" s="906"/>
      <c r="L18" s="906"/>
      <c r="M18" s="906"/>
      <c r="N18" s="906"/>
      <c r="O18" s="906"/>
      <c r="P18" s="906"/>
      <c r="Q18" s="906"/>
      <c r="R18" s="906"/>
      <c r="S18" s="906"/>
      <c r="T18" s="906"/>
      <c r="U18" s="906"/>
      <c r="V18" s="906"/>
      <c r="W18" s="906"/>
      <c r="X18" s="906"/>
      <c r="Y18" s="906"/>
      <c r="Z18" s="906"/>
      <c r="AA18" s="906"/>
      <c r="AB18" s="906"/>
      <c r="AC18" s="906"/>
      <c r="AD18" s="906"/>
      <c r="AE18" s="906"/>
      <c r="AF18" s="906"/>
      <c r="AG18" s="906"/>
      <c r="AH18" s="906"/>
      <c r="AI18" s="906"/>
      <c r="AJ18" s="906"/>
      <c r="AK18" s="906"/>
      <c r="AL18" s="906"/>
      <c r="AM18" s="906"/>
      <c r="AN18" s="906"/>
      <c r="AO18" s="906"/>
      <c r="AP18" s="906"/>
      <c r="AQ18" s="906"/>
      <c r="AR18" s="906"/>
    </row>
    <row r="19" spans="1:44" x14ac:dyDescent="0.25">
      <c r="A19" s="907" t="s">
        <v>6617</v>
      </c>
      <c r="B19" s="885">
        <v>0</v>
      </c>
      <c r="C19" s="886">
        <v>1385062.91</v>
      </c>
      <c r="D19" s="886">
        <v>0</v>
      </c>
      <c r="E19" s="887">
        <v>1179854.25</v>
      </c>
      <c r="F19" s="888"/>
      <c r="G19" s="904"/>
      <c r="H19" s="905"/>
      <c r="I19" s="906"/>
      <c r="J19" s="906"/>
      <c r="K19" s="906"/>
      <c r="L19" s="906"/>
      <c r="M19" s="906"/>
      <c r="N19" s="906"/>
      <c r="O19" s="906"/>
      <c r="P19" s="906"/>
      <c r="Q19" s="906"/>
      <c r="R19" s="906"/>
      <c r="S19" s="906"/>
      <c r="T19" s="906"/>
      <c r="U19" s="906"/>
      <c r="V19" s="906"/>
      <c r="W19" s="906"/>
      <c r="X19" s="906"/>
      <c r="Y19" s="906"/>
      <c r="Z19" s="906"/>
      <c r="AA19" s="906"/>
      <c r="AB19" s="906"/>
      <c r="AC19" s="906"/>
      <c r="AD19" s="906"/>
      <c r="AE19" s="906"/>
      <c r="AF19" s="906"/>
      <c r="AG19" s="906"/>
      <c r="AH19" s="906"/>
      <c r="AI19" s="906"/>
      <c r="AJ19" s="906"/>
      <c r="AK19" s="906"/>
      <c r="AL19" s="906"/>
      <c r="AM19" s="906"/>
      <c r="AN19" s="906"/>
      <c r="AO19" s="906"/>
      <c r="AP19" s="906"/>
      <c r="AQ19" s="906"/>
      <c r="AR19" s="906"/>
    </row>
    <row r="20" spans="1:44" s="883" customFormat="1" ht="23.25" customHeight="1" x14ac:dyDescent="0.25">
      <c r="A20" s="907" t="s">
        <v>7357</v>
      </c>
      <c r="B20" s="885">
        <v>2283701.9300000002</v>
      </c>
      <c r="C20" s="886">
        <v>2924158.04</v>
      </c>
      <c r="D20" s="886">
        <v>0</v>
      </c>
      <c r="E20" s="887">
        <v>1546100</v>
      </c>
      <c r="F20" s="908" t="s">
        <v>7358</v>
      </c>
      <c r="G20" s="897">
        <f>H20+I20</f>
        <v>9617500</v>
      </c>
      <c r="H20" s="898">
        <v>9617500</v>
      </c>
      <c r="I20" s="899"/>
      <c r="J20" s="899"/>
      <c r="K20" s="899"/>
      <c r="L20" s="899"/>
      <c r="M20" s="899"/>
      <c r="N20" s="899"/>
      <c r="O20" s="899"/>
      <c r="P20" s="899"/>
      <c r="Q20" s="899"/>
      <c r="R20" s="899"/>
      <c r="S20" s="899"/>
      <c r="T20" s="899"/>
      <c r="U20" s="899"/>
      <c r="V20" s="899"/>
      <c r="W20" s="899"/>
      <c r="X20" s="899"/>
      <c r="Y20" s="899"/>
      <c r="Z20" s="899"/>
      <c r="AA20" s="899"/>
      <c r="AB20" s="899"/>
      <c r="AC20" s="899"/>
      <c r="AD20" s="899"/>
      <c r="AE20" s="899"/>
      <c r="AF20" s="899"/>
      <c r="AG20" s="899"/>
      <c r="AH20" s="899"/>
      <c r="AI20" s="899"/>
      <c r="AJ20" s="899"/>
      <c r="AK20" s="899"/>
      <c r="AL20" s="899"/>
      <c r="AM20" s="899"/>
      <c r="AN20" s="899"/>
      <c r="AO20" s="899"/>
      <c r="AP20" s="899"/>
      <c r="AQ20" s="899"/>
      <c r="AR20" s="899"/>
    </row>
    <row r="21" spans="1:44" s="883" customFormat="1" x14ac:dyDescent="0.25">
      <c r="A21" s="907" t="s">
        <v>6620</v>
      </c>
      <c r="B21" s="885">
        <v>419700</v>
      </c>
      <c r="C21" s="886">
        <v>284134.82</v>
      </c>
      <c r="D21" s="886">
        <v>0</v>
      </c>
      <c r="E21" s="887">
        <v>350000</v>
      </c>
      <c r="F21" s="888"/>
      <c r="G21" s="897"/>
      <c r="H21" s="898"/>
      <c r="I21" s="899"/>
      <c r="J21" s="899"/>
      <c r="K21" s="899"/>
      <c r="L21" s="899"/>
      <c r="M21" s="899"/>
      <c r="N21" s="899"/>
      <c r="O21" s="899"/>
      <c r="P21" s="899"/>
      <c r="Q21" s="899"/>
      <c r="R21" s="899"/>
      <c r="S21" s="899"/>
      <c r="T21" s="899"/>
      <c r="U21" s="899"/>
      <c r="V21" s="899"/>
      <c r="W21" s="899"/>
      <c r="X21" s="899"/>
      <c r="Y21" s="899"/>
      <c r="Z21" s="899"/>
      <c r="AA21" s="899"/>
      <c r="AB21" s="899"/>
      <c r="AC21" s="899"/>
      <c r="AD21" s="899"/>
      <c r="AE21" s="899"/>
      <c r="AF21" s="899"/>
      <c r="AG21" s="899"/>
      <c r="AH21" s="899"/>
      <c r="AI21" s="899"/>
      <c r="AJ21" s="899"/>
      <c r="AK21" s="899"/>
      <c r="AL21" s="899"/>
      <c r="AM21" s="899"/>
      <c r="AN21" s="899"/>
      <c r="AO21" s="899"/>
      <c r="AP21" s="899"/>
      <c r="AQ21" s="899"/>
      <c r="AR21" s="899"/>
    </row>
    <row r="22" spans="1:44" s="883" customFormat="1" x14ac:dyDescent="0.25">
      <c r="A22" s="907" t="s">
        <v>6621</v>
      </c>
      <c r="B22" s="885">
        <v>0</v>
      </c>
      <c r="C22" s="886">
        <v>0</v>
      </c>
      <c r="D22" s="886">
        <v>0</v>
      </c>
      <c r="E22" s="887">
        <v>0</v>
      </c>
      <c r="F22" s="888"/>
      <c r="G22" s="897"/>
      <c r="H22" s="898"/>
      <c r="I22" s="899"/>
      <c r="J22" s="899"/>
      <c r="K22" s="899"/>
      <c r="L22" s="899"/>
      <c r="M22" s="899"/>
      <c r="N22" s="899"/>
      <c r="O22" s="899"/>
      <c r="P22" s="899"/>
      <c r="Q22" s="899"/>
      <c r="R22" s="899"/>
      <c r="S22" s="899"/>
      <c r="T22" s="899"/>
      <c r="U22" s="899"/>
      <c r="V22" s="899"/>
      <c r="W22" s="899"/>
      <c r="X22" s="899"/>
      <c r="Y22" s="899"/>
      <c r="Z22" s="899"/>
      <c r="AA22" s="899"/>
      <c r="AB22" s="899"/>
      <c r="AC22" s="899"/>
      <c r="AD22" s="899"/>
      <c r="AE22" s="899"/>
      <c r="AF22" s="899"/>
      <c r="AG22" s="899"/>
      <c r="AH22" s="899"/>
      <c r="AI22" s="899"/>
      <c r="AJ22" s="899"/>
      <c r="AK22" s="899"/>
      <c r="AL22" s="899"/>
      <c r="AM22" s="899"/>
      <c r="AN22" s="899"/>
      <c r="AO22" s="899"/>
      <c r="AP22" s="899"/>
      <c r="AQ22" s="899"/>
      <c r="AR22" s="899"/>
    </row>
    <row r="23" spans="1:44" s="883" customFormat="1" x14ac:dyDescent="0.25">
      <c r="A23" s="907" t="s">
        <v>6622</v>
      </c>
      <c r="B23" s="885">
        <v>0</v>
      </c>
      <c r="C23" s="886">
        <v>44619.24</v>
      </c>
      <c r="D23" s="886">
        <v>0</v>
      </c>
      <c r="E23" s="887">
        <v>0</v>
      </c>
      <c r="F23" s="888"/>
      <c r="G23" s="897"/>
      <c r="H23" s="898"/>
      <c r="I23" s="899"/>
      <c r="J23" s="899"/>
      <c r="K23" s="899"/>
      <c r="L23" s="899"/>
      <c r="M23" s="899"/>
      <c r="N23" s="899"/>
      <c r="O23" s="899"/>
      <c r="P23" s="899"/>
      <c r="Q23" s="899"/>
      <c r="R23" s="899"/>
      <c r="S23" s="899"/>
      <c r="T23" s="899"/>
      <c r="U23" s="899"/>
      <c r="V23" s="899"/>
      <c r="W23" s="899"/>
      <c r="X23" s="899"/>
      <c r="Y23" s="899"/>
      <c r="Z23" s="899"/>
      <c r="AA23" s="899"/>
      <c r="AB23" s="899"/>
      <c r="AC23" s="899"/>
      <c r="AD23" s="899"/>
      <c r="AE23" s="899"/>
      <c r="AF23" s="899"/>
      <c r="AG23" s="899"/>
      <c r="AH23" s="899"/>
      <c r="AI23" s="899"/>
      <c r="AJ23" s="899"/>
      <c r="AK23" s="899"/>
      <c r="AL23" s="899"/>
      <c r="AM23" s="899"/>
      <c r="AN23" s="899"/>
      <c r="AO23" s="899"/>
      <c r="AP23" s="899"/>
      <c r="AQ23" s="899"/>
      <c r="AR23" s="899"/>
    </row>
    <row r="24" spans="1:44" s="883" customFormat="1" x14ac:dyDescent="0.25">
      <c r="A24" s="907" t="s">
        <v>6623</v>
      </c>
      <c r="B24" s="885">
        <v>330000</v>
      </c>
      <c r="C24" s="886">
        <v>481403.24</v>
      </c>
      <c r="D24" s="886">
        <v>0</v>
      </c>
      <c r="E24" s="887">
        <v>500000</v>
      </c>
      <c r="F24" s="888"/>
      <c r="G24" s="897"/>
      <c r="H24" s="898"/>
      <c r="I24" s="899"/>
      <c r="J24" s="899"/>
      <c r="K24" s="899"/>
      <c r="L24" s="899"/>
      <c r="M24" s="899"/>
      <c r="N24" s="899"/>
      <c r="O24" s="899"/>
      <c r="P24" s="899"/>
      <c r="Q24" s="899"/>
      <c r="R24" s="899"/>
      <c r="S24" s="899"/>
      <c r="T24" s="899"/>
      <c r="U24" s="899"/>
      <c r="V24" s="899"/>
      <c r="W24" s="899"/>
      <c r="X24" s="899"/>
      <c r="Y24" s="899"/>
      <c r="Z24" s="899"/>
      <c r="AA24" s="899"/>
      <c r="AB24" s="899"/>
      <c r="AC24" s="899"/>
      <c r="AD24" s="899"/>
      <c r="AE24" s="899"/>
      <c r="AF24" s="899"/>
      <c r="AG24" s="899"/>
      <c r="AH24" s="899"/>
      <c r="AI24" s="899"/>
      <c r="AJ24" s="899"/>
      <c r="AK24" s="899"/>
      <c r="AL24" s="899"/>
      <c r="AM24" s="899"/>
      <c r="AN24" s="899"/>
      <c r="AO24" s="899"/>
      <c r="AP24" s="899"/>
      <c r="AQ24" s="899"/>
      <c r="AR24" s="899"/>
    </row>
    <row r="25" spans="1:44" s="883" customFormat="1" x14ac:dyDescent="0.25">
      <c r="A25" s="907" t="s">
        <v>6624</v>
      </c>
      <c r="B25" s="885">
        <v>0</v>
      </c>
      <c r="C25" s="886">
        <v>0</v>
      </c>
      <c r="D25" s="886">
        <v>0</v>
      </c>
      <c r="E25" s="887">
        <v>0</v>
      </c>
      <c r="F25" s="888"/>
      <c r="G25" s="897"/>
      <c r="H25" s="898"/>
      <c r="I25" s="899"/>
      <c r="J25" s="899"/>
      <c r="K25" s="899"/>
      <c r="L25" s="899"/>
      <c r="M25" s="899"/>
      <c r="N25" s="899"/>
      <c r="O25" s="899"/>
      <c r="P25" s="899"/>
      <c r="Q25" s="899"/>
      <c r="R25" s="899"/>
      <c r="S25" s="899"/>
      <c r="T25" s="899"/>
      <c r="U25" s="899"/>
      <c r="V25" s="899"/>
      <c r="W25" s="899"/>
      <c r="X25" s="899"/>
      <c r="Y25" s="899"/>
      <c r="Z25" s="899"/>
      <c r="AA25" s="899"/>
      <c r="AB25" s="899"/>
      <c r="AC25" s="899"/>
      <c r="AD25" s="899"/>
      <c r="AE25" s="899"/>
      <c r="AF25" s="899"/>
      <c r="AG25" s="899"/>
      <c r="AH25" s="899"/>
      <c r="AI25" s="899"/>
      <c r="AJ25" s="899"/>
      <c r="AK25" s="899"/>
      <c r="AL25" s="899"/>
      <c r="AM25" s="899"/>
      <c r="AN25" s="899"/>
      <c r="AO25" s="899"/>
      <c r="AP25" s="899"/>
      <c r="AQ25" s="899"/>
      <c r="AR25" s="899"/>
    </row>
    <row r="26" spans="1:44" s="883" customFormat="1" x14ac:dyDescent="0.25">
      <c r="A26" s="907" t="s">
        <v>6625</v>
      </c>
      <c r="B26" s="885">
        <v>0</v>
      </c>
      <c r="C26" s="886">
        <v>0</v>
      </c>
      <c r="D26" s="886">
        <v>0</v>
      </c>
      <c r="E26" s="887">
        <v>50000</v>
      </c>
      <c r="F26" s="888"/>
      <c r="G26" s="897"/>
      <c r="H26" s="898"/>
      <c r="I26" s="899"/>
      <c r="J26" s="899"/>
      <c r="K26" s="899"/>
      <c r="L26" s="899"/>
      <c r="M26" s="899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899"/>
      <c r="Z26" s="899"/>
      <c r="AA26" s="899"/>
      <c r="AB26" s="899"/>
      <c r="AC26" s="899"/>
      <c r="AD26" s="899"/>
      <c r="AE26" s="899"/>
      <c r="AF26" s="899"/>
      <c r="AG26" s="899"/>
      <c r="AH26" s="899"/>
      <c r="AI26" s="899"/>
      <c r="AJ26" s="899"/>
      <c r="AK26" s="899"/>
      <c r="AL26" s="899"/>
      <c r="AM26" s="899"/>
      <c r="AN26" s="899"/>
      <c r="AO26" s="899"/>
      <c r="AP26" s="899"/>
      <c r="AQ26" s="899"/>
      <c r="AR26" s="899"/>
    </row>
    <row r="27" spans="1:44" s="883" customFormat="1" x14ac:dyDescent="0.25">
      <c r="A27" s="907" t="s">
        <v>6626</v>
      </c>
      <c r="B27" s="885">
        <v>0</v>
      </c>
      <c r="C27" s="886">
        <v>2700</v>
      </c>
      <c r="D27" s="886">
        <v>0</v>
      </c>
      <c r="E27" s="887">
        <v>3000</v>
      </c>
      <c r="F27" s="888"/>
      <c r="G27" s="897"/>
      <c r="H27" s="898"/>
      <c r="I27" s="899"/>
      <c r="J27" s="899"/>
      <c r="K27" s="899"/>
      <c r="L27" s="899"/>
      <c r="M27" s="899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899"/>
      <c r="Z27" s="899"/>
      <c r="AA27" s="899"/>
      <c r="AB27" s="899"/>
      <c r="AC27" s="899"/>
      <c r="AD27" s="899"/>
      <c r="AE27" s="899"/>
      <c r="AF27" s="899"/>
      <c r="AG27" s="899"/>
      <c r="AH27" s="899"/>
      <c r="AI27" s="899"/>
      <c r="AJ27" s="899"/>
      <c r="AK27" s="899"/>
      <c r="AL27" s="899"/>
      <c r="AM27" s="899"/>
      <c r="AN27" s="899"/>
      <c r="AO27" s="899"/>
      <c r="AP27" s="899"/>
      <c r="AQ27" s="899"/>
      <c r="AR27" s="899"/>
    </row>
    <row r="28" spans="1:44" s="883" customFormat="1" x14ac:dyDescent="0.25">
      <c r="A28" s="907" t="s">
        <v>6627</v>
      </c>
      <c r="B28" s="885">
        <v>233656.61</v>
      </c>
      <c r="C28" s="886">
        <v>745037.87</v>
      </c>
      <c r="D28" s="886">
        <v>0</v>
      </c>
      <c r="E28" s="887">
        <v>550000</v>
      </c>
      <c r="F28" s="888"/>
      <c r="G28" s="897"/>
      <c r="H28" s="898"/>
      <c r="I28" s="899"/>
      <c r="J28" s="899"/>
      <c r="K28" s="899"/>
      <c r="L28" s="899"/>
      <c r="M28" s="899"/>
      <c r="N28" s="899"/>
      <c r="O28" s="899"/>
      <c r="P28" s="899"/>
      <c r="Q28" s="899"/>
      <c r="R28" s="899"/>
      <c r="S28" s="899"/>
      <c r="T28" s="899"/>
      <c r="U28" s="899"/>
      <c r="V28" s="899"/>
      <c r="W28" s="899"/>
      <c r="X28" s="899"/>
      <c r="Y28" s="899"/>
      <c r="Z28" s="899"/>
      <c r="AA28" s="899"/>
      <c r="AB28" s="899"/>
      <c r="AC28" s="899"/>
      <c r="AD28" s="899"/>
      <c r="AE28" s="899"/>
      <c r="AF28" s="899"/>
      <c r="AG28" s="899"/>
      <c r="AH28" s="899"/>
      <c r="AI28" s="899"/>
      <c r="AJ28" s="899"/>
      <c r="AK28" s="899"/>
      <c r="AL28" s="899"/>
      <c r="AM28" s="899"/>
      <c r="AN28" s="899"/>
      <c r="AO28" s="899"/>
      <c r="AP28" s="899"/>
      <c r="AQ28" s="899"/>
      <c r="AR28" s="899"/>
    </row>
    <row r="29" spans="1:44" s="883" customFormat="1" x14ac:dyDescent="0.25">
      <c r="A29" s="907" t="s">
        <v>6628</v>
      </c>
      <c r="B29" s="885">
        <v>5000</v>
      </c>
      <c r="C29" s="886">
        <v>15000</v>
      </c>
      <c r="D29" s="886">
        <v>0</v>
      </c>
      <c r="E29" s="887">
        <v>20000</v>
      </c>
      <c r="F29" s="888"/>
      <c r="G29" s="897"/>
      <c r="H29" s="898"/>
      <c r="I29" s="899"/>
      <c r="J29" s="899"/>
      <c r="K29" s="899"/>
      <c r="L29" s="899"/>
      <c r="M29" s="899"/>
      <c r="N29" s="899"/>
      <c r="O29" s="899"/>
      <c r="P29" s="899"/>
      <c r="Q29" s="899"/>
      <c r="R29" s="899"/>
      <c r="S29" s="899"/>
      <c r="T29" s="899"/>
      <c r="U29" s="899"/>
      <c r="V29" s="899"/>
      <c r="W29" s="899"/>
      <c r="X29" s="899"/>
      <c r="Y29" s="899"/>
      <c r="Z29" s="899"/>
      <c r="AA29" s="899"/>
      <c r="AB29" s="899"/>
      <c r="AC29" s="899"/>
      <c r="AD29" s="899"/>
      <c r="AE29" s="899"/>
      <c r="AF29" s="899"/>
      <c r="AG29" s="899"/>
      <c r="AH29" s="899"/>
      <c r="AI29" s="899"/>
      <c r="AJ29" s="899"/>
      <c r="AK29" s="899"/>
      <c r="AL29" s="899"/>
      <c r="AM29" s="899"/>
      <c r="AN29" s="899"/>
      <c r="AO29" s="899"/>
      <c r="AP29" s="899"/>
      <c r="AQ29" s="899"/>
      <c r="AR29" s="899"/>
    </row>
    <row r="30" spans="1:44" s="883" customFormat="1" x14ac:dyDescent="0.25">
      <c r="A30" s="907" t="s">
        <v>7359</v>
      </c>
      <c r="B30" s="885">
        <v>3291896.44</v>
      </c>
      <c r="C30" s="886">
        <v>2457605.04</v>
      </c>
      <c r="D30" s="886">
        <v>0</v>
      </c>
      <c r="E30" s="887">
        <v>0</v>
      </c>
      <c r="F30" s="888"/>
      <c r="G30" s="897"/>
      <c r="H30" s="898"/>
      <c r="I30" s="899"/>
      <c r="J30" s="899"/>
      <c r="K30" s="899"/>
      <c r="L30" s="899"/>
      <c r="M30" s="899"/>
      <c r="N30" s="899"/>
      <c r="O30" s="899"/>
      <c r="P30" s="899"/>
      <c r="Q30" s="899"/>
      <c r="R30" s="899"/>
      <c r="S30" s="899"/>
      <c r="T30" s="899"/>
      <c r="U30" s="899"/>
      <c r="V30" s="899"/>
      <c r="W30" s="899"/>
      <c r="X30" s="899"/>
      <c r="Y30" s="899"/>
      <c r="Z30" s="899"/>
      <c r="AA30" s="899"/>
      <c r="AB30" s="899"/>
      <c r="AC30" s="899"/>
      <c r="AD30" s="899"/>
      <c r="AE30" s="899"/>
      <c r="AF30" s="899"/>
      <c r="AG30" s="899"/>
      <c r="AH30" s="899"/>
      <c r="AI30" s="899"/>
      <c r="AJ30" s="899"/>
      <c r="AK30" s="899"/>
      <c r="AL30" s="899"/>
      <c r="AM30" s="899"/>
      <c r="AN30" s="899"/>
      <c r="AO30" s="899"/>
      <c r="AP30" s="899"/>
      <c r="AQ30" s="899"/>
      <c r="AR30" s="899"/>
    </row>
    <row r="31" spans="1:44" s="883" customFormat="1" x14ac:dyDescent="0.25">
      <c r="A31" s="907" t="s">
        <v>6630</v>
      </c>
      <c r="B31" s="885">
        <v>9849414.5099999998</v>
      </c>
      <c r="C31" s="886">
        <v>12329819.52</v>
      </c>
      <c r="D31" s="886">
        <v>0</v>
      </c>
      <c r="E31" s="887">
        <v>15968184.73</v>
      </c>
      <c r="F31" s="888"/>
      <c r="G31" s="897"/>
      <c r="H31" s="898"/>
      <c r="I31" s="899"/>
      <c r="J31" s="899"/>
      <c r="K31" s="899"/>
      <c r="L31" s="899"/>
      <c r="M31" s="899"/>
      <c r="N31" s="899"/>
      <c r="O31" s="899"/>
      <c r="P31" s="899"/>
      <c r="Q31" s="899"/>
      <c r="R31" s="899"/>
      <c r="S31" s="899"/>
      <c r="T31" s="899"/>
      <c r="U31" s="899"/>
      <c r="V31" s="899"/>
      <c r="W31" s="899"/>
      <c r="X31" s="899"/>
      <c r="Y31" s="899"/>
      <c r="Z31" s="899"/>
      <c r="AA31" s="899"/>
      <c r="AB31" s="899"/>
      <c r="AC31" s="899"/>
      <c r="AD31" s="899"/>
      <c r="AE31" s="899"/>
      <c r="AF31" s="899"/>
      <c r="AG31" s="899"/>
      <c r="AH31" s="899"/>
      <c r="AI31" s="899"/>
      <c r="AJ31" s="899"/>
      <c r="AK31" s="899"/>
      <c r="AL31" s="899"/>
      <c r="AM31" s="899"/>
      <c r="AN31" s="899"/>
      <c r="AO31" s="899"/>
      <c r="AP31" s="899"/>
      <c r="AQ31" s="899"/>
      <c r="AR31" s="899"/>
    </row>
    <row r="32" spans="1:44" s="883" customFormat="1" x14ac:dyDescent="0.25">
      <c r="A32" s="907" t="s">
        <v>6631</v>
      </c>
      <c r="B32" s="885">
        <v>150000</v>
      </c>
      <c r="C32" s="886">
        <v>32799.64</v>
      </c>
      <c r="D32" s="886">
        <v>0</v>
      </c>
      <c r="E32" s="887">
        <v>100000</v>
      </c>
      <c r="F32" s="888"/>
      <c r="G32" s="897"/>
      <c r="H32" s="898"/>
      <c r="I32" s="899"/>
      <c r="J32" s="899"/>
      <c r="K32" s="899"/>
      <c r="L32" s="899"/>
      <c r="M32" s="899"/>
      <c r="N32" s="899"/>
      <c r="O32" s="899"/>
      <c r="P32" s="899"/>
      <c r="Q32" s="899"/>
      <c r="R32" s="899"/>
      <c r="S32" s="899"/>
      <c r="T32" s="899"/>
      <c r="U32" s="899"/>
      <c r="V32" s="899"/>
      <c r="W32" s="899"/>
      <c r="X32" s="899"/>
      <c r="Y32" s="899"/>
      <c r="Z32" s="899"/>
      <c r="AA32" s="899"/>
      <c r="AB32" s="899"/>
      <c r="AC32" s="899"/>
      <c r="AD32" s="899"/>
      <c r="AE32" s="899"/>
      <c r="AF32" s="899"/>
      <c r="AG32" s="899"/>
      <c r="AH32" s="899"/>
      <c r="AI32" s="899"/>
      <c r="AJ32" s="899"/>
      <c r="AK32" s="899"/>
      <c r="AL32" s="899"/>
      <c r="AM32" s="899"/>
      <c r="AN32" s="899"/>
      <c r="AO32" s="899"/>
      <c r="AP32" s="899"/>
      <c r="AQ32" s="899"/>
      <c r="AR32" s="899"/>
    </row>
    <row r="33" spans="1:101" s="883" customFormat="1" x14ac:dyDescent="0.25">
      <c r="A33" s="907" t="s">
        <v>6632</v>
      </c>
      <c r="B33" s="885">
        <v>461193.09</v>
      </c>
      <c r="C33" s="886">
        <v>0</v>
      </c>
      <c r="D33" s="886">
        <v>0</v>
      </c>
      <c r="E33" s="887">
        <v>500000</v>
      </c>
      <c r="F33" s="888"/>
      <c r="G33" s="897"/>
      <c r="H33" s="898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</row>
    <row r="34" spans="1:101" s="883" customFormat="1" x14ac:dyDescent="0.25">
      <c r="A34" s="871" t="s">
        <v>6639</v>
      </c>
      <c r="B34" s="909">
        <f>SUM(B35:B37)</f>
        <v>610681.04</v>
      </c>
      <c r="C34" s="910">
        <f>SUM(C35:C37)</f>
        <v>49440</v>
      </c>
      <c r="D34" s="910">
        <f>SUM(D35:D37)</f>
        <v>0</v>
      </c>
      <c r="E34" s="911">
        <f>SUM(E35:E37)</f>
        <v>72000</v>
      </c>
      <c r="F34" s="912"/>
      <c r="G34" s="897"/>
      <c r="H34" s="898"/>
      <c r="I34" s="899"/>
      <c r="J34" s="899"/>
      <c r="K34" s="899"/>
      <c r="L34" s="899"/>
      <c r="M34" s="899"/>
      <c r="N34" s="899"/>
      <c r="O34" s="899"/>
      <c r="P34" s="899"/>
      <c r="Q34" s="899"/>
      <c r="R34" s="899"/>
      <c r="S34" s="899"/>
      <c r="T34" s="899"/>
      <c r="U34" s="899"/>
      <c r="V34" s="899"/>
      <c r="W34" s="899"/>
      <c r="X34" s="899"/>
      <c r="Y34" s="899"/>
      <c r="Z34" s="899"/>
      <c r="AA34" s="899"/>
      <c r="AB34" s="899"/>
      <c r="AC34" s="899"/>
      <c r="AD34" s="899"/>
      <c r="AE34" s="899"/>
      <c r="AF34" s="899"/>
      <c r="AG34" s="899"/>
      <c r="AH34" s="899"/>
      <c r="AI34" s="899"/>
      <c r="AJ34" s="899"/>
      <c r="AK34" s="899"/>
      <c r="AL34" s="899"/>
      <c r="AM34" s="899"/>
      <c r="AN34" s="899"/>
      <c r="AO34" s="899"/>
      <c r="AP34" s="899"/>
      <c r="AQ34" s="899"/>
      <c r="AR34" s="899"/>
    </row>
    <row r="35" spans="1:101" s="883" customFormat="1" x14ac:dyDescent="0.25">
      <c r="A35" s="913" t="s">
        <v>6640</v>
      </c>
      <c r="B35" s="914">
        <v>605318.04</v>
      </c>
      <c r="C35" s="915">
        <v>49440</v>
      </c>
      <c r="D35" s="915">
        <v>0</v>
      </c>
      <c r="E35" s="916">
        <v>50000</v>
      </c>
      <c r="F35" s="917"/>
      <c r="G35" s="918"/>
      <c r="H35" s="919"/>
      <c r="I35" s="920"/>
      <c r="J35" s="920"/>
      <c r="K35" s="920"/>
      <c r="L35" s="920"/>
      <c r="M35" s="920"/>
      <c r="N35" s="920"/>
      <c r="O35" s="920"/>
      <c r="P35" s="920"/>
      <c r="Q35" s="920"/>
      <c r="R35" s="920"/>
      <c r="S35" s="920"/>
      <c r="T35" s="920"/>
      <c r="U35" s="920"/>
      <c r="V35" s="920"/>
      <c r="W35" s="920"/>
      <c r="X35" s="920"/>
      <c r="Y35" s="920"/>
      <c r="Z35" s="920"/>
      <c r="AA35" s="920"/>
      <c r="AB35" s="920"/>
      <c r="AC35" s="920"/>
      <c r="AD35" s="920"/>
      <c r="AE35" s="920"/>
      <c r="AF35" s="920"/>
      <c r="AG35" s="920"/>
      <c r="AH35" s="920"/>
      <c r="AI35" s="920"/>
      <c r="AJ35" s="920"/>
      <c r="AK35" s="920"/>
      <c r="AL35" s="920"/>
      <c r="AM35" s="920"/>
      <c r="AN35" s="920"/>
      <c r="AO35" s="920"/>
      <c r="AP35" s="920"/>
      <c r="AQ35" s="920"/>
      <c r="AR35" s="920"/>
    </row>
    <row r="36" spans="1:101" s="921" customFormat="1" x14ac:dyDescent="0.25">
      <c r="A36" s="913" t="s">
        <v>6641</v>
      </c>
      <c r="B36" s="914">
        <v>0</v>
      </c>
      <c r="C36" s="915">
        <v>0</v>
      </c>
      <c r="D36" s="915">
        <v>0</v>
      </c>
      <c r="E36" s="916">
        <v>20000</v>
      </c>
      <c r="F36" s="917"/>
      <c r="G36" s="904"/>
      <c r="H36" s="905"/>
      <c r="I36" s="906"/>
      <c r="J36" s="906"/>
      <c r="K36" s="906"/>
      <c r="L36" s="906"/>
      <c r="M36" s="906"/>
      <c r="N36" s="906"/>
      <c r="O36" s="906"/>
      <c r="P36" s="906"/>
      <c r="Q36" s="906"/>
      <c r="R36" s="906"/>
      <c r="S36" s="906"/>
      <c r="T36" s="906"/>
      <c r="U36" s="906"/>
      <c r="V36" s="906"/>
      <c r="W36" s="906"/>
      <c r="X36" s="906"/>
      <c r="Y36" s="906"/>
      <c r="Z36" s="906"/>
      <c r="AA36" s="906"/>
      <c r="AB36" s="906"/>
      <c r="AC36" s="906"/>
      <c r="AD36" s="906"/>
      <c r="AE36" s="906"/>
      <c r="AF36" s="906"/>
      <c r="AG36" s="906"/>
      <c r="AH36" s="906"/>
      <c r="AI36" s="906"/>
      <c r="AJ36" s="906"/>
      <c r="AK36" s="906"/>
      <c r="AL36" s="906"/>
      <c r="AM36" s="906"/>
      <c r="AN36" s="906"/>
      <c r="AO36" s="906"/>
      <c r="AP36" s="906"/>
      <c r="AQ36" s="906"/>
      <c r="AR36" s="906"/>
    </row>
    <row r="37" spans="1:101" x14ac:dyDescent="0.25">
      <c r="A37" s="913" t="s">
        <v>6757</v>
      </c>
      <c r="B37" s="885">
        <v>5363</v>
      </c>
      <c r="C37" s="896">
        <v>0</v>
      </c>
      <c r="D37" s="896">
        <v>0</v>
      </c>
      <c r="E37" s="887">
        <v>2000</v>
      </c>
      <c r="F37" s="888"/>
      <c r="G37" s="904"/>
      <c r="H37" s="905"/>
      <c r="I37" s="906"/>
      <c r="J37" s="906"/>
      <c r="K37" s="906"/>
      <c r="L37" s="906"/>
      <c r="M37" s="906"/>
      <c r="N37" s="906"/>
      <c r="O37" s="906"/>
      <c r="P37" s="906"/>
      <c r="Q37" s="906"/>
      <c r="R37" s="906"/>
      <c r="S37" s="906"/>
      <c r="T37" s="906"/>
      <c r="U37" s="906"/>
      <c r="V37" s="906"/>
      <c r="W37" s="906"/>
      <c r="X37" s="906"/>
      <c r="Y37" s="906"/>
      <c r="Z37" s="906"/>
      <c r="AA37" s="906"/>
      <c r="AB37" s="906"/>
      <c r="AC37" s="906"/>
      <c r="AD37" s="906"/>
      <c r="AE37" s="906"/>
      <c r="AF37" s="906"/>
      <c r="AG37" s="906"/>
      <c r="AH37" s="906"/>
      <c r="AI37" s="906"/>
      <c r="AJ37" s="906"/>
      <c r="AK37" s="906"/>
      <c r="AL37" s="906"/>
      <c r="AM37" s="906"/>
      <c r="AN37" s="906"/>
      <c r="AO37" s="906"/>
      <c r="AP37" s="906"/>
      <c r="AQ37" s="906"/>
      <c r="AR37" s="906"/>
    </row>
    <row r="38" spans="1:101" s="883" customFormat="1" x14ac:dyDescent="0.25">
      <c r="A38" s="871" t="s">
        <v>7360</v>
      </c>
      <c r="B38" s="885">
        <v>1199899.8799999999</v>
      </c>
      <c r="C38" s="896">
        <v>1413818.81</v>
      </c>
      <c r="D38" s="896">
        <v>0</v>
      </c>
      <c r="E38" s="887">
        <v>2050000</v>
      </c>
      <c r="F38" s="888"/>
      <c r="G38" s="922"/>
      <c r="H38" s="923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 s="924"/>
      <c r="Z38" s="924"/>
      <c r="AA38" s="924"/>
      <c r="AB38" s="924"/>
      <c r="AC38" s="924"/>
      <c r="AD38" s="924"/>
      <c r="AE38" s="924"/>
      <c r="AF38" s="924"/>
      <c r="AG38" s="924"/>
      <c r="AH38" s="924"/>
      <c r="AI38" s="924"/>
      <c r="AJ38" s="924"/>
      <c r="AK38" s="924"/>
      <c r="AL38" s="924"/>
      <c r="AM38" s="924"/>
      <c r="AN38" s="924"/>
      <c r="AO38" s="924"/>
      <c r="AP38" s="924"/>
      <c r="AQ38" s="924"/>
      <c r="AR38" s="924"/>
    </row>
    <row r="39" spans="1:101" s="883" customFormat="1" x14ac:dyDescent="0.25">
      <c r="A39" s="871" t="s">
        <v>6644</v>
      </c>
      <c r="B39" s="885">
        <v>0</v>
      </c>
      <c r="C39" s="896">
        <v>0</v>
      </c>
      <c r="D39" s="896">
        <v>0</v>
      </c>
      <c r="E39" s="887">
        <v>0</v>
      </c>
      <c r="F39" s="888"/>
      <c r="G39" s="922"/>
      <c r="H39" s="923"/>
      <c r="I39" s="924"/>
      <c r="J39" s="924"/>
      <c r="K39" s="924"/>
      <c r="L39" s="924"/>
      <c r="M39" s="924"/>
      <c r="N39" s="924"/>
      <c r="O39" s="924"/>
      <c r="P39" s="924"/>
      <c r="Q39" s="924"/>
      <c r="R39" s="924"/>
      <c r="S39" s="924"/>
      <c r="T39" s="924"/>
      <c r="U39" s="924"/>
      <c r="V39" s="924"/>
      <c r="W39" s="924"/>
      <c r="X39" s="924"/>
      <c r="Y39" s="924"/>
      <c r="Z39" s="924"/>
      <c r="AA39" s="924"/>
      <c r="AB39" s="924"/>
      <c r="AC39" s="924"/>
      <c r="AD39" s="924"/>
      <c r="AE39" s="924"/>
      <c r="AF39" s="924"/>
      <c r="AG39" s="924"/>
      <c r="AH39" s="924"/>
      <c r="AI39" s="924"/>
      <c r="AJ39" s="924"/>
      <c r="AK39" s="924"/>
      <c r="AL39" s="924"/>
      <c r="AM39" s="924"/>
      <c r="AN39" s="924"/>
      <c r="AO39" s="924"/>
      <c r="AP39" s="924"/>
      <c r="AQ39" s="924"/>
      <c r="AR39" s="924"/>
      <c r="AS39" s="924"/>
      <c r="AT39" s="924"/>
      <c r="AU39" s="924"/>
      <c r="AV39" s="924"/>
      <c r="AW39" s="924"/>
      <c r="AX39" s="924"/>
      <c r="AY39" s="924"/>
      <c r="AZ39" s="924"/>
      <c r="BA39" s="924"/>
      <c r="BB39" s="924"/>
      <c r="BC39" s="924"/>
      <c r="BD39" s="924"/>
      <c r="BE39" s="924"/>
      <c r="BF39" s="924"/>
      <c r="BG39" s="924"/>
      <c r="BH39" s="924"/>
      <c r="BI39" s="924"/>
      <c r="BJ39" s="924"/>
      <c r="BK39" s="924"/>
      <c r="BL39" s="924"/>
      <c r="BM39" s="924"/>
      <c r="BN39" s="924"/>
      <c r="BO39" s="924"/>
      <c r="BP39" s="924"/>
      <c r="BQ39" s="924"/>
      <c r="BR39" s="924"/>
      <c r="BS39" s="924"/>
      <c r="BT39" s="924"/>
      <c r="BU39" s="924"/>
      <c r="BV39" s="924"/>
      <c r="BW39" s="924"/>
      <c r="BX39" s="924"/>
      <c r="BY39" s="924"/>
      <c r="BZ39" s="924"/>
      <c r="CA39" s="924"/>
      <c r="CB39" s="924"/>
      <c r="CC39" s="924"/>
      <c r="CD39" s="924"/>
      <c r="CE39" s="924"/>
      <c r="CF39" s="924"/>
      <c r="CG39" s="924"/>
      <c r="CH39" s="924"/>
      <c r="CI39" s="924"/>
      <c r="CJ39" s="924"/>
      <c r="CK39" s="924"/>
      <c r="CL39" s="924"/>
      <c r="CM39" s="924"/>
      <c r="CN39" s="924"/>
      <c r="CO39" s="924"/>
      <c r="CP39" s="924"/>
      <c r="CQ39" s="924"/>
      <c r="CR39" s="924"/>
      <c r="CS39" s="924"/>
      <c r="CT39" s="924"/>
      <c r="CU39" s="924"/>
      <c r="CV39" s="924"/>
      <c r="CW39" s="924"/>
    </row>
    <row r="40" spans="1:101" s="883" customFormat="1" x14ac:dyDescent="0.25">
      <c r="A40" s="871" t="s">
        <v>6645</v>
      </c>
      <c r="B40" s="885">
        <v>282438.05</v>
      </c>
      <c r="C40" s="896">
        <v>174207.52</v>
      </c>
      <c r="D40" s="896">
        <v>0</v>
      </c>
      <c r="E40" s="887">
        <v>455613.5</v>
      </c>
      <c r="F40" s="888"/>
      <c r="G40" s="922"/>
      <c r="H40" s="923"/>
      <c r="I40" s="924"/>
      <c r="J40" s="924"/>
      <c r="K40" s="924"/>
      <c r="L40" s="924"/>
      <c r="M40" s="924"/>
      <c r="N40" s="924"/>
      <c r="O40" s="924"/>
      <c r="P40" s="924"/>
      <c r="Q40" s="924"/>
      <c r="R40" s="924"/>
      <c r="S40" s="924"/>
      <c r="T40" s="924"/>
      <c r="U40" s="924"/>
      <c r="V40" s="924"/>
      <c r="W40" s="924"/>
      <c r="X40" s="924"/>
      <c r="Y40" s="924"/>
      <c r="Z40" s="924"/>
      <c r="AA40" s="924"/>
      <c r="AB40" s="924"/>
      <c r="AC40" s="924"/>
      <c r="AD40" s="924"/>
      <c r="AE40" s="924"/>
      <c r="AF40" s="924"/>
      <c r="AG40" s="924"/>
      <c r="AH40" s="924"/>
      <c r="AI40" s="924"/>
      <c r="AJ40" s="924"/>
      <c r="AK40" s="924"/>
      <c r="AL40" s="924"/>
      <c r="AM40" s="924"/>
      <c r="AN40" s="924"/>
      <c r="AO40" s="924"/>
      <c r="AP40" s="924"/>
      <c r="AQ40" s="924"/>
      <c r="AR40" s="924"/>
    </row>
    <row r="41" spans="1:101" s="883" customFormat="1" x14ac:dyDescent="0.25">
      <c r="A41" s="871" t="s">
        <v>6646</v>
      </c>
      <c r="B41" s="885">
        <v>7724</v>
      </c>
      <c r="C41" s="896">
        <v>47933</v>
      </c>
      <c r="D41" s="896">
        <v>0</v>
      </c>
      <c r="E41" s="887">
        <v>15000</v>
      </c>
      <c r="F41" s="888"/>
      <c r="G41" s="922"/>
      <c r="H41" s="923"/>
      <c r="I41" s="924"/>
      <c r="J41" s="924"/>
      <c r="K41" s="924"/>
      <c r="L41" s="924"/>
      <c r="M41" s="924"/>
      <c r="N41" s="924"/>
      <c r="O41" s="924"/>
      <c r="P41" s="924"/>
      <c r="Q41" s="924"/>
      <c r="R41" s="924"/>
      <c r="S41" s="924"/>
      <c r="T41" s="924"/>
      <c r="U41" s="924"/>
      <c r="V41" s="924"/>
      <c r="W41" s="924"/>
      <c r="X41" s="924"/>
      <c r="Y41" s="924"/>
      <c r="Z41" s="924"/>
      <c r="AA41" s="924"/>
      <c r="AB41" s="924"/>
      <c r="AC41" s="924"/>
      <c r="AD41" s="924"/>
      <c r="AE41" s="924"/>
      <c r="AF41" s="924"/>
      <c r="AG41" s="924"/>
      <c r="AH41" s="924"/>
      <c r="AI41" s="924"/>
      <c r="AJ41" s="924"/>
      <c r="AK41" s="924"/>
      <c r="AL41" s="924"/>
      <c r="AM41" s="924"/>
      <c r="AN41" s="924"/>
      <c r="AO41" s="924"/>
      <c r="AP41" s="924"/>
      <c r="AQ41" s="924"/>
      <c r="AR41" s="924"/>
    </row>
    <row r="42" spans="1:101" s="883" customFormat="1" x14ac:dyDescent="0.25">
      <c r="A42" s="871" t="s">
        <v>6647</v>
      </c>
      <c r="B42" s="885">
        <v>732221.39</v>
      </c>
      <c r="C42" s="896">
        <v>1367447.35</v>
      </c>
      <c r="D42" s="896">
        <v>0</v>
      </c>
      <c r="E42" s="887">
        <v>3602899</v>
      </c>
      <c r="F42" s="888"/>
      <c r="G42" s="922"/>
      <c r="H42" s="923"/>
      <c r="I42" s="924"/>
      <c r="J42" s="924"/>
      <c r="K42" s="924"/>
      <c r="L42" s="924"/>
      <c r="M42" s="924"/>
      <c r="N42" s="924"/>
      <c r="O42" s="924"/>
      <c r="P42" s="924"/>
      <c r="Q42" s="924"/>
      <c r="R42" s="924"/>
      <c r="S42" s="924"/>
      <c r="T42" s="924"/>
      <c r="U42" s="924"/>
      <c r="V42" s="924"/>
      <c r="W42" s="924"/>
      <c r="X42" s="924"/>
      <c r="Y42" s="924"/>
      <c r="Z42" s="924"/>
      <c r="AA42" s="924"/>
      <c r="AB42" s="924"/>
      <c r="AC42" s="924"/>
      <c r="AD42" s="924"/>
      <c r="AE42" s="924"/>
      <c r="AF42" s="924"/>
      <c r="AG42" s="924"/>
      <c r="AH42" s="924"/>
      <c r="AI42" s="924"/>
      <c r="AJ42" s="924"/>
      <c r="AK42" s="924"/>
      <c r="AL42" s="924"/>
      <c r="AM42" s="924"/>
      <c r="AN42" s="924"/>
      <c r="AO42" s="924"/>
      <c r="AP42" s="924"/>
      <c r="AQ42" s="924"/>
      <c r="AR42" s="924"/>
    </row>
    <row r="43" spans="1:101" s="883" customFormat="1" x14ac:dyDescent="0.25">
      <c r="A43" s="871" t="s">
        <v>6648</v>
      </c>
      <c r="B43" s="885">
        <v>151226</v>
      </c>
      <c r="C43" s="896">
        <v>280994</v>
      </c>
      <c r="D43" s="896">
        <v>0</v>
      </c>
      <c r="E43" s="887">
        <v>500000</v>
      </c>
      <c r="F43" s="888"/>
      <c r="G43" s="897"/>
      <c r="H43" s="898"/>
      <c r="I43" s="899"/>
      <c r="J43" s="899"/>
      <c r="K43" s="899"/>
      <c r="L43" s="899"/>
      <c r="M43" s="899"/>
      <c r="N43" s="899"/>
      <c r="O43" s="899"/>
      <c r="P43" s="899"/>
      <c r="Q43" s="899"/>
      <c r="R43" s="899"/>
      <c r="S43" s="899"/>
      <c r="T43" s="899"/>
      <c r="U43" s="899"/>
      <c r="V43" s="899"/>
      <c r="W43" s="899"/>
      <c r="X43" s="899"/>
      <c r="Y43" s="899"/>
      <c r="Z43" s="899"/>
      <c r="AA43" s="899"/>
      <c r="AB43" s="899"/>
      <c r="AC43" s="899"/>
      <c r="AD43" s="899"/>
      <c r="AE43" s="899"/>
      <c r="AF43" s="899"/>
      <c r="AG43" s="899"/>
      <c r="AH43" s="899"/>
      <c r="AI43" s="899"/>
      <c r="AJ43" s="899"/>
      <c r="AK43" s="899"/>
      <c r="AL43" s="899"/>
      <c r="AM43" s="899"/>
      <c r="AN43" s="899"/>
      <c r="AO43" s="899"/>
      <c r="AP43" s="899"/>
      <c r="AQ43" s="899"/>
      <c r="AR43" s="899"/>
    </row>
    <row r="44" spans="1:101" s="883" customFormat="1" x14ac:dyDescent="0.25">
      <c r="A44" s="871" t="s">
        <v>6649</v>
      </c>
      <c r="B44" s="885">
        <v>0</v>
      </c>
      <c r="C44" s="896">
        <v>15948</v>
      </c>
      <c r="D44" s="896">
        <v>0</v>
      </c>
      <c r="E44" s="887">
        <v>705000</v>
      </c>
      <c r="F44" s="888"/>
      <c r="G44" s="922"/>
      <c r="H44" s="923"/>
      <c r="I44" s="924"/>
      <c r="J44" s="924"/>
      <c r="K44" s="924"/>
      <c r="L44" s="924"/>
      <c r="M44" s="924"/>
      <c r="N44" s="924"/>
      <c r="O44" s="924"/>
      <c r="P44" s="924"/>
      <c r="Q44" s="924"/>
      <c r="R44" s="924"/>
      <c r="S44" s="924"/>
      <c r="T44" s="924"/>
      <c r="U44" s="924"/>
      <c r="V44" s="924"/>
      <c r="W44" s="924"/>
      <c r="X44" s="924"/>
      <c r="Y44" s="924"/>
      <c r="Z44" s="924"/>
      <c r="AA44" s="924"/>
      <c r="AB44" s="924"/>
      <c r="AC44" s="924"/>
      <c r="AD44" s="924"/>
      <c r="AE44" s="924"/>
      <c r="AF44" s="924"/>
      <c r="AG44" s="924"/>
      <c r="AH44" s="924"/>
      <c r="AI44" s="924"/>
      <c r="AJ44" s="924"/>
      <c r="AK44" s="924"/>
      <c r="AL44" s="924"/>
      <c r="AM44" s="924"/>
      <c r="AN44" s="924"/>
      <c r="AO44" s="924"/>
      <c r="AP44" s="924"/>
      <c r="AQ44" s="924"/>
      <c r="AR44" s="924"/>
    </row>
    <row r="45" spans="1:101" s="883" customFormat="1" x14ac:dyDescent="0.25">
      <c r="A45" s="871" t="s">
        <v>6650</v>
      </c>
      <c r="B45" s="885">
        <v>0</v>
      </c>
      <c r="C45" s="896">
        <v>2952.67</v>
      </c>
      <c r="D45" s="896">
        <v>0</v>
      </c>
      <c r="E45" s="887">
        <v>3000</v>
      </c>
      <c r="F45" s="888"/>
      <c r="G45" s="897"/>
      <c r="H45" s="898"/>
      <c r="I45" s="899"/>
      <c r="J45" s="899"/>
      <c r="K45" s="899"/>
      <c r="L45" s="899"/>
      <c r="M45" s="899"/>
      <c r="N45" s="899"/>
      <c r="O45" s="899"/>
      <c r="P45" s="899"/>
      <c r="Q45" s="899"/>
      <c r="R45" s="899"/>
      <c r="S45" s="899"/>
      <c r="T45" s="899"/>
      <c r="U45" s="899"/>
      <c r="V45" s="899"/>
      <c r="W45" s="899"/>
      <c r="X45" s="899"/>
      <c r="Y45" s="899"/>
      <c r="Z45" s="899"/>
      <c r="AA45" s="899"/>
      <c r="AB45" s="899"/>
      <c r="AC45" s="899"/>
      <c r="AD45" s="899"/>
      <c r="AE45" s="899"/>
      <c r="AF45" s="899"/>
      <c r="AG45" s="899"/>
      <c r="AH45" s="899"/>
      <c r="AI45" s="899"/>
      <c r="AJ45" s="899"/>
      <c r="AK45" s="899"/>
      <c r="AL45" s="899"/>
      <c r="AM45" s="899"/>
      <c r="AN45" s="899"/>
      <c r="AO45" s="899"/>
      <c r="AP45" s="899"/>
      <c r="AQ45" s="899"/>
      <c r="AR45" s="899"/>
    </row>
    <row r="46" spans="1:101" s="883" customFormat="1" x14ac:dyDescent="0.25">
      <c r="A46" s="871" t="s">
        <v>6651</v>
      </c>
      <c r="B46" s="885">
        <v>1130170.5</v>
      </c>
      <c r="C46" s="896">
        <v>2051561.5</v>
      </c>
      <c r="D46" s="896">
        <v>0</v>
      </c>
      <c r="E46" s="887">
        <v>3900000</v>
      </c>
      <c r="F46" s="888"/>
      <c r="G46" s="897"/>
      <c r="H46" s="898"/>
      <c r="I46" s="899"/>
      <c r="J46" s="899"/>
      <c r="K46" s="899"/>
      <c r="L46" s="899"/>
      <c r="M46" s="899"/>
      <c r="N46" s="899"/>
      <c r="O46" s="899"/>
      <c r="P46" s="899"/>
      <c r="Q46" s="899"/>
      <c r="R46" s="899"/>
      <c r="S46" s="899"/>
      <c r="T46" s="899"/>
      <c r="U46" s="899"/>
      <c r="V46" s="899"/>
      <c r="W46" s="899"/>
      <c r="X46" s="899"/>
      <c r="Y46" s="899"/>
      <c r="Z46" s="899"/>
      <c r="AA46" s="899"/>
      <c r="AB46" s="899"/>
      <c r="AC46" s="899"/>
      <c r="AD46" s="899"/>
      <c r="AE46" s="899"/>
      <c r="AF46" s="899"/>
      <c r="AG46" s="899"/>
      <c r="AH46" s="899"/>
      <c r="AI46" s="899"/>
      <c r="AJ46" s="899"/>
      <c r="AK46" s="899"/>
      <c r="AL46" s="899"/>
      <c r="AM46" s="899"/>
      <c r="AN46" s="899"/>
      <c r="AO46" s="899"/>
      <c r="AP46" s="899"/>
      <c r="AQ46" s="899"/>
      <c r="AR46" s="899"/>
    </row>
    <row r="47" spans="1:101" s="883" customFormat="1" x14ac:dyDescent="0.25">
      <c r="A47" s="871" t="s">
        <v>6652</v>
      </c>
      <c r="B47" s="885">
        <v>65500</v>
      </c>
      <c r="C47" s="896">
        <v>113788</v>
      </c>
      <c r="D47" s="896">
        <v>0</v>
      </c>
      <c r="E47" s="887">
        <v>68000</v>
      </c>
      <c r="F47" s="888"/>
      <c r="G47" s="897"/>
      <c r="H47" s="898"/>
      <c r="I47" s="899"/>
      <c r="J47" s="899"/>
      <c r="K47" s="899"/>
      <c r="L47" s="899"/>
      <c r="M47" s="899"/>
      <c r="N47" s="899"/>
      <c r="O47" s="899"/>
      <c r="P47" s="899"/>
      <c r="Q47" s="899"/>
      <c r="R47" s="899"/>
      <c r="S47" s="899"/>
      <c r="T47" s="899"/>
      <c r="U47" s="899"/>
      <c r="V47" s="899"/>
      <c r="W47" s="899"/>
      <c r="X47" s="899"/>
      <c r="Y47" s="899"/>
      <c r="Z47" s="899"/>
      <c r="AA47" s="899"/>
      <c r="AB47" s="899"/>
      <c r="AC47" s="899"/>
      <c r="AD47" s="899"/>
      <c r="AE47" s="899"/>
      <c r="AF47" s="899"/>
      <c r="AG47" s="899"/>
      <c r="AH47" s="899"/>
      <c r="AI47" s="899"/>
      <c r="AJ47" s="899"/>
      <c r="AK47" s="899"/>
      <c r="AL47" s="899"/>
      <c r="AM47" s="899"/>
      <c r="AN47" s="899"/>
      <c r="AO47" s="899"/>
      <c r="AP47" s="899"/>
      <c r="AQ47" s="899"/>
      <c r="AR47" s="899"/>
    </row>
    <row r="48" spans="1:101" s="883" customFormat="1" x14ac:dyDescent="0.25">
      <c r="A48" s="871" t="s">
        <v>6653</v>
      </c>
      <c r="B48" s="872">
        <f>SUM(B49:B66)</f>
        <v>4258434.22</v>
      </c>
      <c r="C48" s="873">
        <f>SUM(C49:C66)</f>
        <v>2041104.8399999999</v>
      </c>
      <c r="D48" s="873">
        <v>0</v>
      </c>
      <c r="E48" s="874">
        <f>SUM(E49:E66)</f>
        <v>3920000</v>
      </c>
      <c r="F48" s="875"/>
      <c r="G48" s="889"/>
      <c r="H48" s="925"/>
      <c r="I48" s="891"/>
      <c r="J48" s="891"/>
      <c r="K48" s="891"/>
      <c r="L48" s="891"/>
      <c r="M48" s="891"/>
      <c r="N48" s="891"/>
      <c r="O48" s="891"/>
      <c r="P48" s="891"/>
      <c r="Q48" s="891"/>
      <c r="R48" s="891"/>
      <c r="S48" s="891"/>
      <c r="T48" s="891"/>
      <c r="U48" s="891"/>
      <c r="V48" s="891"/>
      <c r="W48" s="891"/>
      <c r="X48" s="891"/>
      <c r="Y48" s="891"/>
      <c r="Z48" s="891"/>
      <c r="AA48" s="891"/>
      <c r="AB48" s="891"/>
      <c r="AC48" s="891"/>
      <c r="AD48" s="891"/>
      <c r="AE48" s="891"/>
      <c r="AF48" s="891"/>
      <c r="AG48" s="891"/>
      <c r="AH48" s="891"/>
      <c r="AI48" s="891"/>
      <c r="AJ48" s="891"/>
      <c r="AK48" s="891"/>
      <c r="AL48" s="891"/>
      <c r="AM48" s="891"/>
      <c r="AN48" s="891"/>
      <c r="AO48" s="891"/>
      <c r="AP48" s="891"/>
      <c r="AQ48" s="891"/>
      <c r="AR48" s="891"/>
    </row>
    <row r="49" spans="1:44" x14ac:dyDescent="0.25">
      <c r="A49" s="926" t="s">
        <v>6654</v>
      </c>
      <c r="B49" s="885">
        <v>54910.25</v>
      </c>
      <c r="C49" s="896">
        <v>44744.19</v>
      </c>
      <c r="D49" s="896">
        <v>0</v>
      </c>
      <c r="E49" s="887">
        <v>70000</v>
      </c>
      <c r="F49" s="888"/>
      <c r="G49" s="904"/>
      <c r="H49" s="905"/>
      <c r="I49" s="906"/>
      <c r="J49" s="906"/>
      <c r="K49" s="906"/>
      <c r="L49" s="906"/>
      <c r="M49" s="906"/>
      <c r="N49" s="906"/>
      <c r="O49" s="906"/>
      <c r="P49" s="906"/>
      <c r="Q49" s="906"/>
      <c r="R49" s="906"/>
      <c r="S49" s="906"/>
      <c r="T49" s="906"/>
      <c r="U49" s="906"/>
      <c r="V49" s="906"/>
      <c r="W49" s="906"/>
      <c r="X49" s="906"/>
      <c r="Y49" s="906"/>
      <c r="Z49" s="906"/>
      <c r="AA49" s="906"/>
      <c r="AB49" s="906"/>
      <c r="AC49" s="906"/>
      <c r="AD49" s="906"/>
      <c r="AE49" s="906"/>
      <c r="AF49" s="906"/>
      <c r="AG49" s="906"/>
      <c r="AH49" s="906"/>
      <c r="AI49" s="906"/>
      <c r="AJ49" s="906"/>
      <c r="AK49" s="906"/>
      <c r="AL49" s="906"/>
      <c r="AM49" s="906"/>
      <c r="AN49" s="906"/>
      <c r="AO49" s="906"/>
      <c r="AP49" s="906"/>
      <c r="AQ49" s="906"/>
      <c r="AR49" s="906"/>
    </row>
    <row r="50" spans="1:44" x14ac:dyDescent="0.25">
      <c r="A50" s="927" t="s">
        <v>6655</v>
      </c>
      <c r="B50" s="885">
        <v>1638883.97</v>
      </c>
      <c r="C50" s="896">
        <v>190548.65</v>
      </c>
      <c r="D50" s="896">
        <v>0</v>
      </c>
      <c r="E50" s="887">
        <v>0</v>
      </c>
      <c r="F50" s="888"/>
      <c r="G50" s="904"/>
      <c r="H50" s="905"/>
      <c r="I50" s="906"/>
      <c r="J50" s="906"/>
      <c r="K50" s="906"/>
      <c r="L50" s="906"/>
      <c r="M50" s="906"/>
      <c r="N50" s="906"/>
      <c r="O50" s="906"/>
      <c r="P50" s="906"/>
      <c r="Q50" s="906"/>
      <c r="R50" s="906"/>
      <c r="S50" s="906"/>
      <c r="T50" s="906"/>
      <c r="U50" s="906"/>
      <c r="V50" s="906"/>
      <c r="W50" s="906"/>
      <c r="X50" s="906"/>
      <c r="Y50" s="906"/>
      <c r="Z50" s="906"/>
      <c r="AA50" s="906"/>
      <c r="AB50" s="906"/>
      <c r="AC50" s="906"/>
      <c r="AD50" s="906"/>
      <c r="AE50" s="906"/>
      <c r="AF50" s="906"/>
      <c r="AG50" s="906"/>
      <c r="AH50" s="906"/>
      <c r="AI50" s="906"/>
      <c r="AJ50" s="906"/>
      <c r="AK50" s="906"/>
      <c r="AL50" s="906"/>
      <c r="AM50" s="906"/>
      <c r="AN50" s="906"/>
      <c r="AO50" s="906"/>
      <c r="AP50" s="906"/>
      <c r="AQ50" s="906"/>
      <c r="AR50" s="906"/>
    </row>
    <row r="51" spans="1:44" x14ac:dyDescent="0.25">
      <c r="A51" s="927" t="s">
        <v>6656</v>
      </c>
      <c r="B51" s="885">
        <v>245470</v>
      </c>
      <c r="C51" s="896">
        <v>210654</v>
      </c>
      <c r="D51" s="896">
        <v>0</v>
      </c>
      <c r="E51" s="887">
        <v>200000</v>
      </c>
      <c r="F51" s="888"/>
      <c r="G51" s="904"/>
      <c r="H51" s="905"/>
      <c r="I51" s="906"/>
      <c r="J51" s="906"/>
      <c r="K51" s="906"/>
      <c r="L51" s="906"/>
      <c r="M51" s="906"/>
      <c r="N51" s="906"/>
      <c r="O51" s="906"/>
      <c r="P51" s="906"/>
      <c r="Q51" s="906"/>
      <c r="R51" s="906"/>
      <c r="S51" s="906"/>
      <c r="T51" s="906"/>
      <c r="U51" s="906"/>
      <c r="V51" s="906"/>
      <c r="W51" s="906"/>
      <c r="X51" s="906"/>
      <c r="Y51" s="906"/>
      <c r="Z51" s="906"/>
      <c r="AA51" s="906"/>
      <c r="AB51" s="906"/>
      <c r="AC51" s="906"/>
      <c r="AD51" s="906"/>
      <c r="AE51" s="906"/>
      <c r="AF51" s="906"/>
      <c r="AG51" s="906"/>
      <c r="AH51" s="906"/>
      <c r="AI51" s="906"/>
      <c r="AJ51" s="906"/>
      <c r="AK51" s="906"/>
      <c r="AL51" s="906"/>
      <c r="AM51" s="906"/>
      <c r="AN51" s="906"/>
      <c r="AO51" s="906"/>
      <c r="AP51" s="906"/>
      <c r="AQ51" s="906"/>
      <c r="AR51" s="906"/>
    </row>
    <row r="52" spans="1:44" x14ac:dyDescent="0.25">
      <c r="A52" s="913" t="s">
        <v>6657</v>
      </c>
      <c r="B52" s="885">
        <v>0</v>
      </c>
      <c r="C52" s="896">
        <v>282500</v>
      </c>
      <c r="D52" s="896">
        <v>0</v>
      </c>
      <c r="E52" s="887">
        <v>150000</v>
      </c>
      <c r="F52" s="888"/>
      <c r="G52" s="904"/>
      <c r="H52" s="905"/>
      <c r="I52" s="906"/>
      <c r="J52" s="906"/>
      <c r="K52" s="906"/>
      <c r="L52" s="906"/>
      <c r="M52" s="906"/>
      <c r="N52" s="906"/>
      <c r="O52" s="906"/>
      <c r="P52" s="906"/>
      <c r="Q52" s="906"/>
      <c r="R52" s="906"/>
      <c r="S52" s="906"/>
      <c r="T52" s="906"/>
      <c r="U52" s="906"/>
      <c r="V52" s="906"/>
      <c r="W52" s="906"/>
      <c r="X52" s="906"/>
      <c r="Y52" s="906"/>
      <c r="Z52" s="906"/>
      <c r="AA52" s="906"/>
      <c r="AB52" s="906"/>
      <c r="AC52" s="906"/>
      <c r="AD52" s="906"/>
      <c r="AE52" s="906"/>
      <c r="AF52" s="906"/>
      <c r="AG52" s="906"/>
      <c r="AH52" s="906"/>
      <c r="AI52" s="906"/>
      <c r="AJ52" s="906"/>
      <c r="AK52" s="906"/>
      <c r="AL52" s="906"/>
      <c r="AM52" s="906"/>
      <c r="AN52" s="906"/>
      <c r="AO52" s="906"/>
      <c r="AP52" s="906"/>
      <c r="AQ52" s="906"/>
      <c r="AR52" s="906"/>
    </row>
    <row r="53" spans="1:44" x14ac:dyDescent="0.25">
      <c r="A53" s="927" t="s">
        <v>6658</v>
      </c>
      <c r="B53" s="885">
        <v>0</v>
      </c>
      <c r="C53" s="896">
        <v>0</v>
      </c>
      <c r="D53" s="896">
        <v>0</v>
      </c>
      <c r="E53" s="887">
        <v>0</v>
      </c>
      <c r="F53" s="888"/>
      <c r="G53" s="904"/>
      <c r="H53" s="905"/>
      <c r="I53" s="906"/>
      <c r="J53" s="906"/>
      <c r="K53" s="906"/>
      <c r="L53" s="906"/>
      <c r="M53" s="906"/>
      <c r="N53" s="906"/>
      <c r="O53" s="906"/>
      <c r="P53" s="906"/>
      <c r="Q53" s="906"/>
      <c r="R53" s="906"/>
      <c r="S53" s="906"/>
      <c r="T53" s="906"/>
      <c r="U53" s="906"/>
      <c r="V53" s="906"/>
      <c r="W53" s="906"/>
      <c r="X53" s="906"/>
      <c r="Y53" s="906"/>
      <c r="Z53" s="906"/>
      <c r="AA53" s="906"/>
      <c r="AB53" s="906"/>
      <c r="AC53" s="906"/>
      <c r="AD53" s="906"/>
      <c r="AE53" s="906"/>
      <c r="AF53" s="906"/>
      <c r="AG53" s="906"/>
      <c r="AH53" s="906"/>
      <c r="AI53" s="906"/>
      <c r="AJ53" s="906"/>
      <c r="AK53" s="906"/>
      <c r="AL53" s="906"/>
      <c r="AM53" s="906"/>
      <c r="AN53" s="906"/>
      <c r="AO53" s="906"/>
      <c r="AP53" s="906"/>
      <c r="AQ53" s="906"/>
      <c r="AR53" s="906"/>
    </row>
    <row r="54" spans="1:44" x14ac:dyDescent="0.25">
      <c r="A54" s="927" t="s">
        <v>6659</v>
      </c>
      <c r="B54" s="885">
        <v>298200</v>
      </c>
      <c r="C54" s="896">
        <v>167350</v>
      </c>
      <c r="D54" s="896">
        <v>0</v>
      </c>
      <c r="E54" s="887">
        <v>450000</v>
      </c>
      <c r="F54" s="888"/>
      <c r="G54" s="904"/>
      <c r="H54" s="905"/>
      <c r="I54" s="906"/>
      <c r="J54" s="906"/>
      <c r="K54" s="906"/>
      <c r="L54" s="906"/>
      <c r="M54" s="906"/>
      <c r="N54" s="906"/>
      <c r="O54" s="906"/>
      <c r="P54" s="906"/>
      <c r="Q54" s="906"/>
      <c r="R54" s="906"/>
      <c r="S54" s="906"/>
      <c r="T54" s="906"/>
      <c r="U54" s="906"/>
      <c r="V54" s="906"/>
      <c r="W54" s="906"/>
      <c r="X54" s="906"/>
      <c r="Y54" s="906"/>
      <c r="Z54" s="906"/>
      <c r="AA54" s="906"/>
      <c r="AB54" s="906"/>
      <c r="AC54" s="906"/>
      <c r="AD54" s="906"/>
      <c r="AE54" s="906"/>
      <c r="AF54" s="906"/>
      <c r="AG54" s="906"/>
      <c r="AH54" s="906"/>
      <c r="AI54" s="906"/>
      <c r="AJ54" s="906"/>
      <c r="AK54" s="906"/>
      <c r="AL54" s="906"/>
      <c r="AM54" s="906"/>
      <c r="AN54" s="906"/>
      <c r="AO54" s="906"/>
      <c r="AP54" s="906"/>
      <c r="AQ54" s="906"/>
      <c r="AR54" s="906"/>
    </row>
    <row r="55" spans="1:44" x14ac:dyDescent="0.25">
      <c r="A55" s="927" t="s">
        <v>6660</v>
      </c>
      <c r="B55" s="885">
        <v>0</v>
      </c>
      <c r="C55" s="896">
        <v>240000</v>
      </c>
      <c r="D55" s="896">
        <v>0</v>
      </c>
      <c r="E55" s="887">
        <v>0</v>
      </c>
      <c r="F55" s="888"/>
      <c r="G55" s="904"/>
      <c r="H55" s="905"/>
      <c r="I55" s="906"/>
      <c r="J55" s="906"/>
      <c r="K55" s="906"/>
      <c r="L55" s="906"/>
      <c r="M55" s="906"/>
      <c r="N55" s="906"/>
      <c r="O55" s="906"/>
      <c r="P55" s="906"/>
      <c r="Q55" s="906"/>
      <c r="R55" s="906"/>
      <c r="S55" s="906"/>
      <c r="T55" s="906"/>
      <c r="U55" s="906"/>
      <c r="V55" s="906"/>
      <c r="W55" s="906"/>
      <c r="X55" s="906"/>
      <c r="Y55" s="906"/>
      <c r="Z55" s="906"/>
      <c r="AA55" s="906"/>
      <c r="AB55" s="906"/>
      <c r="AC55" s="906"/>
      <c r="AD55" s="906"/>
      <c r="AE55" s="906"/>
      <c r="AF55" s="906"/>
      <c r="AG55" s="906"/>
      <c r="AH55" s="906"/>
      <c r="AI55" s="906"/>
      <c r="AJ55" s="906"/>
      <c r="AK55" s="906"/>
      <c r="AL55" s="906"/>
      <c r="AM55" s="906"/>
      <c r="AN55" s="906"/>
      <c r="AO55" s="906"/>
      <c r="AP55" s="906"/>
      <c r="AQ55" s="906"/>
      <c r="AR55" s="906"/>
    </row>
    <row r="56" spans="1:44" x14ac:dyDescent="0.25">
      <c r="A56" s="927" t="s">
        <v>6661</v>
      </c>
      <c r="B56" s="885">
        <v>0</v>
      </c>
      <c r="C56" s="896">
        <v>2970</v>
      </c>
      <c r="D56" s="896">
        <v>0</v>
      </c>
      <c r="E56" s="887">
        <v>50000</v>
      </c>
      <c r="F56" s="888"/>
      <c r="G56" s="904"/>
      <c r="H56" s="905"/>
      <c r="I56" s="906"/>
      <c r="J56" s="906"/>
      <c r="K56" s="906"/>
      <c r="L56" s="906"/>
      <c r="M56" s="906"/>
      <c r="N56" s="906"/>
      <c r="O56" s="906"/>
      <c r="P56" s="906"/>
      <c r="Q56" s="906"/>
      <c r="R56" s="906"/>
      <c r="S56" s="906"/>
      <c r="T56" s="906"/>
      <c r="U56" s="906"/>
      <c r="V56" s="906"/>
      <c r="W56" s="906"/>
      <c r="X56" s="906"/>
      <c r="Y56" s="906"/>
      <c r="Z56" s="906"/>
      <c r="AA56" s="906"/>
      <c r="AB56" s="906"/>
      <c r="AC56" s="906"/>
      <c r="AD56" s="906"/>
      <c r="AE56" s="906"/>
      <c r="AF56" s="906"/>
      <c r="AG56" s="906"/>
      <c r="AH56" s="906"/>
      <c r="AI56" s="906"/>
      <c r="AJ56" s="906"/>
      <c r="AK56" s="906"/>
      <c r="AL56" s="906"/>
      <c r="AM56" s="906"/>
      <c r="AN56" s="906"/>
      <c r="AO56" s="906"/>
      <c r="AP56" s="906"/>
      <c r="AQ56" s="906"/>
      <c r="AR56" s="906"/>
    </row>
    <row r="57" spans="1:44" x14ac:dyDescent="0.25">
      <c r="A57" s="927" t="s">
        <v>6662</v>
      </c>
      <c r="B57" s="885">
        <v>0</v>
      </c>
      <c r="C57" s="896">
        <v>0</v>
      </c>
      <c r="D57" s="896">
        <v>0</v>
      </c>
      <c r="E57" s="887">
        <v>0</v>
      </c>
      <c r="F57" s="888"/>
      <c r="G57" s="904"/>
      <c r="H57" s="905"/>
      <c r="I57" s="906"/>
      <c r="J57" s="906"/>
      <c r="K57" s="906"/>
      <c r="L57" s="906"/>
      <c r="M57" s="906"/>
      <c r="N57" s="906"/>
      <c r="O57" s="906"/>
      <c r="P57" s="906"/>
      <c r="Q57" s="906"/>
      <c r="R57" s="906"/>
      <c r="S57" s="906"/>
      <c r="T57" s="906"/>
      <c r="U57" s="906"/>
      <c r="V57" s="906"/>
      <c r="W57" s="906"/>
      <c r="X57" s="906"/>
      <c r="Y57" s="906"/>
      <c r="Z57" s="906"/>
      <c r="AA57" s="906"/>
      <c r="AB57" s="906"/>
      <c r="AC57" s="906"/>
      <c r="AD57" s="906"/>
      <c r="AE57" s="906"/>
      <c r="AF57" s="906"/>
      <c r="AG57" s="906"/>
      <c r="AH57" s="906"/>
      <c r="AI57" s="906"/>
      <c r="AJ57" s="906"/>
      <c r="AK57" s="906"/>
      <c r="AL57" s="906"/>
      <c r="AM57" s="906"/>
      <c r="AN57" s="906"/>
      <c r="AO57" s="906"/>
      <c r="AP57" s="906"/>
      <c r="AQ57" s="906"/>
      <c r="AR57" s="906"/>
    </row>
    <row r="58" spans="1:44" x14ac:dyDescent="0.25">
      <c r="A58" s="927" t="s">
        <v>6663</v>
      </c>
      <c r="B58" s="885">
        <v>0</v>
      </c>
      <c r="C58" s="896">
        <v>0</v>
      </c>
      <c r="D58" s="896">
        <v>0</v>
      </c>
      <c r="E58" s="887">
        <v>0</v>
      </c>
      <c r="F58" s="888"/>
      <c r="G58" s="904"/>
      <c r="H58" s="905"/>
      <c r="I58" s="906"/>
      <c r="J58" s="906"/>
      <c r="K58" s="906"/>
      <c r="L58" s="906"/>
      <c r="M58" s="906"/>
      <c r="N58" s="906"/>
      <c r="O58" s="906"/>
      <c r="P58" s="906"/>
      <c r="Q58" s="906"/>
      <c r="R58" s="906"/>
      <c r="S58" s="906"/>
      <c r="T58" s="906"/>
      <c r="U58" s="906"/>
      <c r="V58" s="906"/>
      <c r="W58" s="906"/>
      <c r="X58" s="906"/>
      <c r="Y58" s="906"/>
      <c r="Z58" s="906"/>
      <c r="AA58" s="906"/>
      <c r="AB58" s="906"/>
      <c r="AC58" s="906"/>
      <c r="AD58" s="906"/>
      <c r="AE58" s="906"/>
      <c r="AF58" s="906"/>
      <c r="AG58" s="906"/>
      <c r="AH58" s="906"/>
      <c r="AI58" s="906"/>
      <c r="AJ58" s="906"/>
      <c r="AK58" s="906"/>
      <c r="AL58" s="906"/>
      <c r="AM58" s="906"/>
      <c r="AN58" s="906"/>
      <c r="AO58" s="906"/>
      <c r="AP58" s="906"/>
      <c r="AQ58" s="906"/>
      <c r="AR58" s="906"/>
    </row>
    <row r="59" spans="1:44" x14ac:dyDescent="0.25">
      <c r="A59" s="927" t="s">
        <v>6664</v>
      </c>
      <c r="B59" s="885">
        <v>0</v>
      </c>
      <c r="C59" s="896">
        <v>0</v>
      </c>
      <c r="D59" s="896">
        <v>0</v>
      </c>
      <c r="E59" s="887">
        <v>0</v>
      </c>
      <c r="F59" s="888"/>
      <c r="G59" s="904"/>
      <c r="H59" s="905"/>
      <c r="I59" s="906"/>
      <c r="J59" s="906"/>
      <c r="K59" s="906"/>
      <c r="L59" s="906"/>
      <c r="M59" s="906"/>
      <c r="N59" s="906"/>
      <c r="O59" s="906"/>
      <c r="P59" s="906"/>
      <c r="Q59" s="906"/>
      <c r="R59" s="906"/>
      <c r="S59" s="906"/>
      <c r="T59" s="906"/>
      <c r="U59" s="906"/>
      <c r="V59" s="906"/>
      <c r="W59" s="906"/>
      <c r="X59" s="906"/>
      <c r="Y59" s="906"/>
      <c r="Z59" s="906"/>
      <c r="AA59" s="906"/>
      <c r="AB59" s="906"/>
      <c r="AC59" s="906"/>
      <c r="AD59" s="906"/>
      <c r="AE59" s="906"/>
      <c r="AF59" s="906"/>
      <c r="AG59" s="906"/>
      <c r="AH59" s="906"/>
      <c r="AI59" s="906"/>
      <c r="AJ59" s="906"/>
      <c r="AK59" s="906"/>
      <c r="AL59" s="906"/>
      <c r="AM59" s="906"/>
      <c r="AN59" s="906"/>
      <c r="AO59" s="906"/>
      <c r="AP59" s="906"/>
      <c r="AQ59" s="906"/>
      <c r="AR59" s="906"/>
    </row>
    <row r="60" spans="1:44" x14ac:dyDescent="0.25">
      <c r="A60" s="927" t="s">
        <v>6665</v>
      </c>
      <c r="B60" s="885">
        <v>0</v>
      </c>
      <c r="C60" s="896">
        <v>0</v>
      </c>
      <c r="D60" s="896">
        <v>0</v>
      </c>
      <c r="E60" s="887">
        <v>0</v>
      </c>
      <c r="F60" s="888"/>
      <c r="G60" s="904"/>
      <c r="H60" s="905"/>
      <c r="I60" s="906"/>
      <c r="J60" s="906"/>
      <c r="K60" s="906"/>
      <c r="L60" s="906"/>
      <c r="M60" s="906"/>
      <c r="N60" s="906"/>
      <c r="O60" s="906"/>
      <c r="P60" s="906"/>
      <c r="Q60" s="906"/>
      <c r="R60" s="906"/>
      <c r="S60" s="906"/>
      <c r="T60" s="906"/>
      <c r="U60" s="906"/>
      <c r="V60" s="906"/>
      <c r="W60" s="906"/>
      <c r="X60" s="906"/>
      <c r="Y60" s="906"/>
      <c r="Z60" s="906"/>
      <c r="AA60" s="906"/>
      <c r="AB60" s="906"/>
      <c r="AC60" s="906"/>
      <c r="AD60" s="906"/>
      <c r="AE60" s="906"/>
      <c r="AF60" s="906"/>
      <c r="AG60" s="906"/>
      <c r="AH60" s="906"/>
      <c r="AI60" s="906"/>
      <c r="AJ60" s="906"/>
      <c r="AK60" s="906"/>
      <c r="AL60" s="906"/>
      <c r="AM60" s="906"/>
      <c r="AN60" s="906"/>
      <c r="AO60" s="906"/>
      <c r="AP60" s="906"/>
      <c r="AQ60" s="906"/>
      <c r="AR60" s="906"/>
    </row>
    <row r="61" spans="1:44" x14ac:dyDescent="0.25">
      <c r="A61" s="927" t="s">
        <v>6666</v>
      </c>
      <c r="B61" s="885">
        <v>0</v>
      </c>
      <c r="C61" s="896">
        <v>0</v>
      </c>
      <c r="D61" s="896">
        <v>0</v>
      </c>
      <c r="E61" s="887">
        <v>0</v>
      </c>
      <c r="F61" s="888"/>
      <c r="G61" s="904"/>
      <c r="H61" s="905"/>
      <c r="I61" s="906"/>
      <c r="J61" s="906"/>
      <c r="K61" s="906"/>
      <c r="L61" s="906"/>
      <c r="M61" s="906"/>
      <c r="N61" s="906"/>
      <c r="O61" s="906"/>
      <c r="P61" s="906"/>
      <c r="Q61" s="906"/>
      <c r="R61" s="906"/>
      <c r="S61" s="906"/>
      <c r="T61" s="906"/>
      <c r="U61" s="906"/>
      <c r="V61" s="906"/>
      <c r="W61" s="906"/>
      <c r="X61" s="906"/>
      <c r="Y61" s="906"/>
      <c r="Z61" s="906"/>
      <c r="AA61" s="906"/>
      <c r="AB61" s="906"/>
      <c r="AC61" s="906"/>
      <c r="AD61" s="906"/>
      <c r="AE61" s="906"/>
      <c r="AF61" s="906"/>
      <c r="AG61" s="906"/>
      <c r="AH61" s="906"/>
      <c r="AI61" s="906"/>
      <c r="AJ61" s="906"/>
      <c r="AK61" s="906"/>
      <c r="AL61" s="906"/>
      <c r="AM61" s="906"/>
      <c r="AN61" s="906"/>
      <c r="AO61" s="906"/>
      <c r="AP61" s="906"/>
      <c r="AQ61" s="906"/>
      <c r="AR61" s="906"/>
    </row>
    <row r="62" spans="1:44" x14ac:dyDescent="0.25">
      <c r="A62" s="927" t="s">
        <v>6667</v>
      </c>
      <c r="B62" s="885">
        <v>0</v>
      </c>
      <c r="C62" s="896">
        <v>0</v>
      </c>
      <c r="D62" s="896">
        <v>0</v>
      </c>
      <c r="E62" s="887">
        <v>0</v>
      </c>
      <c r="F62" s="888"/>
      <c r="G62" s="904"/>
      <c r="H62" s="905"/>
      <c r="I62" s="906"/>
      <c r="J62" s="906"/>
      <c r="K62" s="906"/>
      <c r="L62" s="906"/>
      <c r="M62" s="906"/>
      <c r="N62" s="906"/>
      <c r="O62" s="906"/>
      <c r="P62" s="906"/>
      <c r="Q62" s="906"/>
      <c r="R62" s="906"/>
      <c r="S62" s="906"/>
      <c r="T62" s="906"/>
      <c r="U62" s="906"/>
      <c r="V62" s="906"/>
      <c r="W62" s="906"/>
      <c r="X62" s="906"/>
      <c r="Y62" s="906"/>
      <c r="Z62" s="906"/>
      <c r="AA62" s="906"/>
      <c r="AB62" s="906"/>
      <c r="AC62" s="906"/>
      <c r="AD62" s="906"/>
      <c r="AE62" s="906"/>
      <c r="AF62" s="906"/>
      <c r="AG62" s="906"/>
      <c r="AH62" s="906"/>
      <c r="AI62" s="906"/>
      <c r="AJ62" s="906"/>
      <c r="AK62" s="906"/>
      <c r="AL62" s="906"/>
      <c r="AM62" s="906"/>
      <c r="AN62" s="906"/>
      <c r="AO62" s="906"/>
      <c r="AP62" s="906"/>
      <c r="AQ62" s="906"/>
      <c r="AR62" s="906"/>
    </row>
    <row r="63" spans="1:44" x14ac:dyDescent="0.25">
      <c r="A63" s="927" t="s">
        <v>6668</v>
      </c>
      <c r="B63" s="885">
        <v>1537147</v>
      </c>
      <c r="C63" s="896">
        <v>817000</v>
      </c>
      <c r="D63" s="896">
        <v>0</v>
      </c>
      <c r="E63" s="887">
        <v>3000000</v>
      </c>
      <c r="F63" s="888" t="s">
        <v>7361</v>
      </c>
      <c r="G63" s="904"/>
      <c r="H63" s="905"/>
      <c r="I63" s="906"/>
      <c r="J63" s="906"/>
      <c r="K63" s="906"/>
      <c r="L63" s="906"/>
      <c r="M63" s="906"/>
      <c r="N63" s="906"/>
      <c r="O63" s="906"/>
      <c r="P63" s="906"/>
      <c r="Q63" s="906"/>
      <c r="R63" s="906"/>
      <c r="S63" s="906"/>
      <c r="T63" s="906"/>
      <c r="U63" s="906"/>
      <c r="V63" s="906"/>
      <c r="W63" s="906"/>
      <c r="X63" s="906"/>
      <c r="Y63" s="906"/>
      <c r="Z63" s="906"/>
      <c r="AA63" s="906"/>
      <c r="AB63" s="906"/>
      <c r="AC63" s="906"/>
      <c r="AD63" s="906"/>
      <c r="AE63" s="906"/>
      <c r="AF63" s="906"/>
      <c r="AG63" s="906"/>
      <c r="AH63" s="906"/>
      <c r="AI63" s="906"/>
      <c r="AJ63" s="906"/>
      <c r="AK63" s="906"/>
      <c r="AL63" s="906"/>
      <c r="AM63" s="906"/>
      <c r="AN63" s="906"/>
      <c r="AO63" s="906"/>
      <c r="AP63" s="906"/>
      <c r="AQ63" s="906"/>
      <c r="AR63" s="906"/>
    </row>
    <row r="64" spans="1:44" x14ac:dyDescent="0.25">
      <c r="A64" s="927" t="s">
        <v>6669</v>
      </c>
      <c r="B64" s="885">
        <v>64416</v>
      </c>
      <c r="C64" s="896">
        <v>60000</v>
      </c>
      <c r="D64" s="896">
        <v>0</v>
      </c>
      <c r="E64" s="887">
        <v>0</v>
      </c>
      <c r="F64" s="888"/>
      <c r="G64" s="904"/>
      <c r="H64" s="905"/>
      <c r="I64" s="906"/>
      <c r="J64" s="906"/>
      <c r="K64" s="906"/>
      <c r="L64" s="906"/>
      <c r="M64" s="906"/>
      <c r="N64" s="906"/>
      <c r="O64" s="906"/>
      <c r="P64" s="906"/>
      <c r="Q64" s="906"/>
      <c r="R64" s="906"/>
      <c r="S64" s="906"/>
      <c r="T64" s="906"/>
      <c r="U64" s="906"/>
      <c r="V64" s="906"/>
      <c r="W64" s="906"/>
      <c r="X64" s="906"/>
      <c r="Y64" s="906"/>
      <c r="Z64" s="906"/>
      <c r="AA64" s="906"/>
      <c r="AB64" s="906"/>
      <c r="AC64" s="906"/>
      <c r="AD64" s="906"/>
      <c r="AE64" s="906"/>
      <c r="AF64" s="906"/>
      <c r="AG64" s="906"/>
      <c r="AH64" s="906"/>
      <c r="AI64" s="906"/>
      <c r="AJ64" s="906"/>
      <c r="AK64" s="906"/>
      <c r="AL64" s="906"/>
      <c r="AM64" s="906"/>
      <c r="AN64" s="906"/>
      <c r="AO64" s="906"/>
      <c r="AP64" s="906"/>
      <c r="AQ64" s="906"/>
      <c r="AR64" s="906"/>
    </row>
    <row r="65" spans="1:44" x14ac:dyDescent="0.25">
      <c r="A65" s="927" t="s">
        <v>6670</v>
      </c>
      <c r="B65" s="885">
        <v>0</v>
      </c>
      <c r="C65" s="896">
        <v>0</v>
      </c>
      <c r="D65" s="896">
        <v>0</v>
      </c>
      <c r="E65" s="887">
        <v>0</v>
      </c>
      <c r="F65" s="888" t="s">
        <v>7362</v>
      </c>
      <c r="G65" s="904"/>
      <c r="H65" s="905"/>
      <c r="I65" s="906"/>
      <c r="J65" s="906"/>
      <c r="K65" s="906"/>
      <c r="L65" s="906"/>
      <c r="M65" s="906"/>
      <c r="N65" s="906"/>
      <c r="O65" s="906"/>
      <c r="P65" s="906"/>
      <c r="Q65" s="906"/>
      <c r="R65" s="906"/>
      <c r="S65" s="906"/>
      <c r="T65" s="906"/>
      <c r="U65" s="906"/>
      <c r="V65" s="906"/>
      <c r="W65" s="906"/>
      <c r="X65" s="906"/>
      <c r="Y65" s="906"/>
      <c r="Z65" s="906"/>
      <c r="AA65" s="906"/>
      <c r="AB65" s="906"/>
      <c r="AC65" s="906"/>
      <c r="AD65" s="906"/>
      <c r="AE65" s="906"/>
      <c r="AF65" s="906"/>
      <c r="AG65" s="906"/>
      <c r="AH65" s="906"/>
      <c r="AI65" s="906"/>
      <c r="AJ65" s="906"/>
      <c r="AK65" s="906"/>
      <c r="AL65" s="906"/>
      <c r="AM65" s="906"/>
      <c r="AN65" s="906"/>
      <c r="AO65" s="906"/>
      <c r="AP65" s="906"/>
      <c r="AQ65" s="906"/>
      <c r="AR65" s="906"/>
    </row>
    <row r="66" spans="1:44" x14ac:dyDescent="0.25">
      <c r="A66" s="927" t="s">
        <v>6671</v>
      </c>
      <c r="B66" s="885">
        <v>419407</v>
      </c>
      <c r="C66" s="896">
        <v>25338</v>
      </c>
      <c r="D66" s="896">
        <v>0</v>
      </c>
      <c r="E66" s="887">
        <v>0</v>
      </c>
      <c r="F66" s="888"/>
      <c r="G66" s="928" t="s">
        <v>7363</v>
      </c>
      <c r="H66" s="905"/>
      <c r="I66" s="906"/>
      <c r="J66" s="906"/>
      <c r="K66" s="906"/>
      <c r="L66" s="906"/>
      <c r="M66" s="906"/>
      <c r="N66" s="906"/>
      <c r="O66" s="906"/>
      <c r="P66" s="906"/>
      <c r="Q66" s="906"/>
      <c r="R66" s="906"/>
      <c r="S66" s="906"/>
      <c r="T66" s="906"/>
      <c r="U66" s="906"/>
      <c r="V66" s="906"/>
      <c r="W66" s="906"/>
      <c r="X66" s="906"/>
      <c r="Y66" s="906"/>
      <c r="Z66" s="906"/>
      <c r="AA66" s="906"/>
      <c r="AB66" s="906"/>
      <c r="AC66" s="906"/>
      <c r="AD66" s="906"/>
      <c r="AE66" s="906"/>
      <c r="AF66" s="906"/>
      <c r="AG66" s="906"/>
      <c r="AH66" s="906"/>
      <c r="AI66" s="906"/>
      <c r="AJ66" s="906"/>
      <c r="AK66" s="906"/>
      <c r="AL66" s="906"/>
      <c r="AM66" s="906"/>
      <c r="AN66" s="906"/>
      <c r="AO66" s="906"/>
      <c r="AP66" s="906"/>
      <c r="AQ66" s="906"/>
      <c r="AR66" s="906"/>
    </row>
    <row r="67" spans="1:44" s="883" customFormat="1" x14ac:dyDescent="0.25">
      <c r="A67" s="929" t="s">
        <v>6338</v>
      </c>
      <c r="B67" s="930">
        <f>B4+B38+B39+B40+B41+B42+B43+B44+B45+B46+B47+B48</f>
        <v>68560724.390000001</v>
      </c>
      <c r="C67" s="931">
        <f>C4+C38+C39+C40+C41+C42+C43+C44+C45+C46+C47+C48</f>
        <v>80220112.549999997</v>
      </c>
      <c r="D67" s="931">
        <f>D4+D38+D39+D40+D41+D42+D43+D44+D45+D46+D47+D48</f>
        <v>0</v>
      </c>
      <c r="E67" s="930">
        <f>E4+E38+E39+E40+E41+E42+E43+E44+E45+E46+E47+E48</f>
        <v>87828256.030000001</v>
      </c>
      <c r="F67" s="932"/>
      <c r="G67" s="889"/>
      <c r="H67" s="925"/>
      <c r="I67" s="891"/>
      <c r="J67" s="891"/>
      <c r="K67" s="891"/>
      <c r="L67" s="891"/>
      <c r="M67" s="891"/>
      <c r="N67" s="891"/>
      <c r="O67" s="891"/>
      <c r="P67" s="891"/>
      <c r="Q67" s="891"/>
      <c r="R67" s="891"/>
      <c r="S67" s="891"/>
      <c r="T67" s="891"/>
      <c r="U67" s="891"/>
      <c r="V67" s="891"/>
      <c r="W67" s="891"/>
      <c r="X67" s="891"/>
      <c r="Y67" s="891"/>
      <c r="Z67" s="891"/>
      <c r="AA67" s="891"/>
      <c r="AB67" s="891"/>
      <c r="AC67" s="891"/>
      <c r="AD67" s="891"/>
      <c r="AE67" s="891"/>
      <c r="AF67" s="891"/>
      <c r="AG67" s="891"/>
      <c r="AH67" s="891"/>
      <c r="AI67" s="891"/>
      <c r="AJ67" s="891"/>
      <c r="AK67" s="891"/>
      <c r="AL67" s="891"/>
      <c r="AM67" s="891"/>
      <c r="AN67" s="891"/>
      <c r="AO67" s="891"/>
      <c r="AP67" s="891"/>
      <c r="AQ67" s="891"/>
      <c r="AR67" s="891"/>
    </row>
    <row r="68" spans="1:44" s="883" customFormat="1" x14ac:dyDescent="0.25">
      <c r="A68" s="871" t="s">
        <v>6758</v>
      </c>
      <c r="B68" s="933"/>
      <c r="C68" s="934"/>
      <c r="D68" s="934"/>
      <c r="E68" s="935"/>
      <c r="F68" s="936"/>
      <c r="G68" s="889"/>
      <c r="H68" s="925"/>
      <c r="I68" s="891"/>
      <c r="J68" s="891"/>
      <c r="K68" s="891"/>
      <c r="L68" s="891"/>
      <c r="M68" s="891"/>
      <c r="N68" s="891"/>
      <c r="O68" s="891"/>
      <c r="P68" s="891"/>
      <c r="Q68" s="891"/>
      <c r="R68" s="891"/>
      <c r="S68" s="891"/>
      <c r="T68" s="891"/>
      <c r="U68" s="891"/>
      <c r="V68" s="891"/>
      <c r="W68" s="891"/>
      <c r="X68" s="891"/>
      <c r="Y68" s="891"/>
      <c r="Z68" s="891"/>
      <c r="AA68" s="891"/>
      <c r="AB68" s="891"/>
      <c r="AC68" s="891"/>
      <c r="AD68" s="891"/>
      <c r="AE68" s="891"/>
      <c r="AF68" s="891"/>
      <c r="AG68" s="891"/>
      <c r="AH68" s="891"/>
      <c r="AI68" s="891"/>
      <c r="AJ68" s="891"/>
      <c r="AK68" s="891"/>
      <c r="AL68" s="891"/>
      <c r="AM68" s="891"/>
      <c r="AN68" s="891"/>
      <c r="AO68" s="891"/>
      <c r="AP68" s="891"/>
      <c r="AQ68" s="891"/>
      <c r="AR68" s="891"/>
    </row>
    <row r="69" spans="1:44" x14ac:dyDescent="0.25">
      <c r="A69" s="871" t="s">
        <v>6759</v>
      </c>
      <c r="B69" s="885">
        <f>SUM(B70:B72)</f>
        <v>0</v>
      </c>
      <c r="C69" s="896">
        <f>SUM(C70:C72)</f>
        <v>5835051.3499999996</v>
      </c>
      <c r="D69" s="896">
        <f>SUM(D70:D72)</f>
        <v>0</v>
      </c>
      <c r="E69" s="887">
        <f>SUM(E70:E72)</f>
        <v>7725600</v>
      </c>
      <c r="F69" s="888"/>
      <c r="G69" s="937">
        <v>8874180.8200000003</v>
      </c>
      <c r="H69" s="938">
        <v>8018169.7574931597</v>
      </c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891"/>
      <c r="U69" s="891"/>
      <c r="V69" s="891"/>
      <c r="W69" s="891"/>
      <c r="X69" s="891"/>
      <c r="Y69" s="891"/>
      <c r="Z69" s="891"/>
      <c r="AA69" s="891"/>
      <c r="AB69" s="891"/>
      <c r="AC69" s="891"/>
      <c r="AD69" s="891"/>
      <c r="AE69" s="891"/>
      <c r="AF69" s="891"/>
      <c r="AG69" s="891"/>
      <c r="AH69" s="891"/>
      <c r="AI69" s="891"/>
      <c r="AJ69" s="891"/>
      <c r="AK69" s="891"/>
      <c r="AL69" s="891"/>
      <c r="AM69" s="891"/>
      <c r="AN69" s="891"/>
      <c r="AO69" s="891"/>
      <c r="AP69" s="891"/>
      <c r="AQ69" s="891"/>
      <c r="AR69" s="891"/>
    </row>
    <row r="70" spans="1:44" x14ac:dyDescent="0.25">
      <c r="A70" s="913" t="s">
        <v>6678</v>
      </c>
      <c r="B70" s="939"/>
      <c r="C70" s="940">
        <v>2387769.35</v>
      </c>
      <c r="D70" s="940">
        <v>0</v>
      </c>
      <c r="E70" s="874">
        <v>3088680</v>
      </c>
      <c r="F70" s="941" t="s">
        <v>6760</v>
      </c>
      <c r="G70" s="904"/>
      <c r="H70" s="905"/>
      <c r="I70" s="906"/>
      <c r="J70" s="906"/>
      <c r="K70" s="906"/>
      <c r="L70" s="906"/>
      <c r="M70" s="906"/>
      <c r="N70" s="906"/>
      <c r="O70" s="906"/>
      <c r="P70" s="906"/>
      <c r="Q70" s="906"/>
      <c r="R70" s="906"/>
      <c r="S70" s="906"/>
      <c r="T70" s="906"/>
      <c r="U70" s="906"/>
      <c r="V70" s="906"/>
      <c r="W70" s="906"/>
      <c r="X70" s="906"/>
      <c r="Y70" s="906"/>
      <c r="Z70" s="906"/>
      <c r="AA70" s="906"/>
      <c r="AB70" s="906"/>
      <c r="AC70" s="906"/>
      <c r="AD70" s="906"/>
      <c r="AE70" s="906"/>
      <c r="AF70" s="906"/>
      <c r="AG70" s="906"/>
      <c r="AH70" s="906"/>
      <c r="AI70" s="906"/>
      <c r="AJ70" s="906"/>
      <c r="AK70" s="906"/>
      <c r="AL70" s="906"/>
      <c r="AM70" s="906"/>
      <c r="AN70" s="906"/>
      <c r="AO70" s="906"/>
      <c r="AP70" s="906"/>
      <c r="AQ70" s="906"/>
      <c r="AR70" s="906"/>
    </row>
    <row r="71" spans="1:44" x14ac:dyDescent="0.25">
      <c r="A71" s="913" t="s">
        <v>6679</v>
      </c>
      <c r="B71" s="939"/>
      <c r="C71" s="940">
        <v>0</v>
      </c>
      <c r="D71" s="940">
        <v>0</v>
      </c>
      <c r="E71" s="874">
        <v>0</v>
      </c>
      <c r="F71" s="941" t="s">
        <v>6760</v>
      </c>
      <c r="G71" s="904"/>
      <c r="H71" s="905"/>
      <c r="I71" s="906"/>
      <c r="J71" s="906"/>
      <c r="K71" s="906"/>
      <c r="L71" s="906"/>
      <c r="M71" s="906"/>
      <c r="N71" s="906"/>
      <c r="O71" s="906"/>
      <c r="P71" s="906"/>
      <c r="Q71" s="906"/>
      <c r="R71" s="906"/>
      <c r="S71" s="906"/>
      <c r="T71" s="906"/>
      <c r="U71" s="906"/>
      <c r="V71" s="906"/>
      <c r="W71" s="906"/>
      <c r="X71" s="906"/>
      <c r="Y71" s="906"/>
      <c r="Z71" s="906"/>
      <c r="AA71" s="906"/>
      <c r="AB71" s="906"/>
      <c r="AC71" s="906"/>
      <c r="AD71" s="906"/>
      <c r="AE71" s="906"/>
      <c r="AF71" s="906"/>
      <c r="AG71" s="906"/>
      <c r="AH71" s="906"/>
      <c r="AI71" s="906"/>
      <c r="AJ71" s="906"/>
      <c r="AK71" s="906"/>
      <c r="AL71" s="906"/>
      <c r="AM71" s="906"/>
      <c r="AN71" s="906"/>
      <c r="AO71" s="906"/>
      <c r="AP71" s="906"/>
      <c r="AQ71" s="906"/>
      <c r="AR71" s="906"/>
    </row>
    <row r="72" spans="1:44" x14ac:dyDescent="0.25">
      <c r="A72" s="913" t="s">
        <v>6680</v>
      </c>
      <c r="B72" s="939"/>
      <c r="C72" s="940">
        <v>3447282</v>
      </c>
      <c r="D72" s="940">
        <v>0</v>
      </c>
      <c r="E72" s="874">
        <v>4636920</v>
      </c>
      <c r="F72" s="941" t="s">
        <v>6760</v>
      </c>
      <c r="G72" s="904"/>
      <c r="H72" s="905"/>
      <c r="I72" s="906"/>
      <c r="J72" s="906"/>
      <c r="K72" s="906"/>
      <c r="L72" s="906"/>
      <c r="M72" s="906"/>
      <c r="N72" s="906"/>
      <c r="O72" s="906"/>
      <c r="P72" s="906"/>
      <c r="Q72" s="906"/>
      <c r="R72" s="906"/>
      <c r="S72" s="906"/>
      <c r="T72" s="906"/>
      <c r="U72" s="906"/>
      <c r="V72" s="906"/>
      <c r="W72" s="906"/>
      <c r="X72" s="906"/>
      <c r="Y72" s="906"/>
      <c r="Z72" s="906"/>
      <c r="AA72" s="906"/>
      <c r="AB72" s="906"/>
      <c r="AC72" s="906"/>
      <c r="AD72" s="906"/>
      <c r="AE72" s="906"/>
      <c r="AF72" s="906"/>
      <c r="AG72" s="906"/>
      <c r="AH72" s="906"/>
      <c r="AI72" s="906"/>
      <c r="AJ72" s="906"/>
      <c r="AK72" s="906"/>
      <c r="AL72" s="906"/>
      <c r="AM72" s="906"/>
      <c r="AN72" s="906"/>
      <c r="AO72" s="906"/>
      <c r="AP72" s="906"/>
      <c r="AQ72" s="906"/>
      <c r="AR72" s="906"/>
    </row>
    <row r="73" spans="1:44" x14ac:dyDescent="0.25">
      <c r="A73" s="871" t="s">
        <v>6761</v>
      </c>
      <c r="B73" s="872">
        <f>SUM(B74:B88)</f>
        <v>0</v>
      </c>
      <c r="C73" s="873">
        <f>SUM(C74:C88)</f>
        <v>10063051</v>
      </c>
      <c r="D73" s="873">
        <f>SUM(D74:D88)</f>
        <v>0</v>
      </c>
      <c r="E73" s="874">
        <f>SUM(E74:E89)</f>
        <v>18738279</v>
      </c>
      <c r="F73" s="875"/>
      <c r="G73" s="904"/>
      <c r="H73" s="905"/>
      <c r="I73" s="906"/>
      <c r="J73" s="906"/>
      <c r="K73" s="906"/>
      <c r="L73" s="906"/>
      <c r="M73" s="906"/>
      <c r="N73" s="906"/>
      <c r="O73" s="906"/>
      <c r="P73" s="906"/>
      <c r="Q73" s="906"/>
      <c r="R73" s="906"/>
      <c r="S73" s="906"/>
      <c r="T73" s="906"/>
      <c r="U73" s="906"/>
      <c r="V73" s="906"/>
      <c r="W73" s="906"/>
      <c r="X73" s="906"/>
      <c r="Y73" s="906"/>
      <c r="Z73" s="906"/>
      <c r="AA73" s="906"/>
      <c r="AB73" s="906"/>
      <c r="AC73" s="906"/>
      <c r="AD73" s="906"/>
      <c r="AE73" s="906"/>
      <c r="AF73" s="906"/>
      <c r="AG73" s="906"/>
      <c r="AH73" s="906"/>
      <c r="AI73" s="906"/>
      <c r="AJ73" s="906"/>
      <c r="AK73" s="906"/>
      <c r="AL73" s="906"/>
      <c r="AM73" s="906"/>
      <c r="AN73" s="906"/>
      <c r="AO73" s="906"/>
      <c r="AP73" s="906"/>
      <c r="AQ73" s="906"/>
      <c r="AR73" s="906"/>
    </row>
    <row r="74" spans="1:44" x14ac:dyDescent="0.25">
      <c r="A74" s="913" t="s">
        <v>6681</v>
      </c>
      <c r="B74" s="885"/>
      <c r="C74" s="896">
        <v>330000</v>
      </c>
      <c r="D74" s="896">
        <v>0</v>
      </c>
      <c r="E74" s="887">
        <v>600000</v>
      </c>
      <c r="F74" s="941" t="s">
        <v>6762</v>
      </c>
      <c r="G74" s="904"/>
      <c r="H74" s="905"/>
      <c r="I74" s="906"/>
      <c r="J74" s="906"/>
      <c r="K74" s="906"/>
      <c r="L74" s="906"/>
      <c r="M74" s="906"/>
      <c r="N74" s="906"/>
      <c r="O74" s="906"/>
      <c r="P74" s="906"/>
      <c r="Q74" s="906"/>
      <c r="R74" s="906"/>
      <c r="S74" s="906"/>
      <c r="T74" s="906"/>
      <c r="U74" s="906"/>
      <c r="V74" s="906"/>
      <c r="W74" s="906"/>
      <c r="X74" s="906"/>
      <c r="Y74" s="906"/>
      <c r="Z74" s="906"/>
      <c r="AA74" s="906"/>
      <c r="AB74" s="906"/>
      <c r="AC74" s="906"/>
      <c r="AD74" s="906"/>
      <c r="AE74" s="906"/>
      <c r="AF74" s="906"/>
      <c r="AG74" s="906"/>
      <c r="AH74" s="906"/>
      <c r="AI74" s="906"/>
      <c r="AJ74" s="906"/>
      <c r="AK74" s="906"/>
      <c r="AL74" s="906"/>
      <c r="AM74" s="906"/>
      <c r="AN74" s="906"/>
      <c r="AO74" s="906"/>
      <c r="AP74" s="906"/>
      <c r="AQ74" s="906"/>
      <c r="AR74" s="906"/>
    </row>
    <row r="75" spans="1:44" x14ac:dyDescent="0.25">
      <c r="A75" s="913" t="s">
        <v>6682</v>
      </c>
      <c r="B75" s="885"/>
      <c r="C75" s="896">
        <v>260000</v>
      </c>
      <c r="D75" s="896">
        <v>0</v>
      </c>
      <c r="E75" s="887">
        <v>360000</v>
      </c>
      <c r="F75" s="941" t="s">
        <v>6762</v>
      </c>
      <c r="G75" s="904"/>
      <c r="H75" s="905"/>
      <c r="I75" s="906"/>
      <c r="J75" s="906"/>
      <c r="K75" s="906"/>
      <c r="L75" s="906"/>
      <c r="M75" s="906"/>
      <c r="N75" s="906"/>
      <c r="O75" s="906"/>
      <c r="P75" s="906"/>
      <c r="Q75" s="906"/>
      <c r="R75" s="906"/>
      <c r="S75" s="906"/>
      <c r="T75" s="906"/>
      <c r="U75" s="906"/>
      <c r="V75" s="906"/>
      <c r="W75" s="906"/>
      <c r="X75" s="906"/>
      <c r="Y75" s="906"/>
      <c r="Z75" s="906"/>
      <c r="AA75" s="906"/>
      <c r="AB75" s="906"/>
      <c r="AC75" s="906"/>
      <c r="AD75" s="906"/>
      <c r="AE75" s="906"/>
      <c r="AF75" s="906"/>
      <c r="AG75" s="906"/>
      <c r="AH75" s="906"/>
      <c r="AI75" s="906"/>
      <c r="AJ75" s="906"/>
      <c r="AK75" s="906"/>
      <c r="AL75" s="906"/>
      <c r="AM75" s="906"/>
      <c r="AN75" s="906"/>
      <c r="AO75" s="906"/>
      <c r="AP75" s="906"/>
      <c r="AQ75" s="906"/>
      <c r="AR75" s="906"/>
    </row>
    <row r="76" spans="1:44" x14ac:dyDescent="0.25">
      <c r="A76" s="913" t="s">
        <v>6683</v>
      </c>
      <c r="B76" s="885"/>
      <c r="C76" s="896">
        <v>110000</v>
      </c>
      <c r="D76" s="896">
        <v>0</v>
      </c>
      <c r="E76" s="887">
        <v>120000</v>
      </c>
      <c r="F76" s="941" t="s">
        <v>6762</v>
      </c>
      <c r="G76" s="904"/>
      <c r="H76" s="905"/>
      <c r="I76" s="906"/>
      <c r="J76" s="906"/>
      <c r="K76" s="906"/>
      <c r="L76" s="906"/>
      <c r="M76" s="906"/>
      <c r="N76" s="906"/>
      <c r="O76" s="906"/>
      <c r="P76" s="906"/>
      <c r="Q76" s="906"/>
      <c r="R76" s="906"/>
      <c r="S76" s="906"/>
      <c r="T76" s="906"/>
      <c r="U76" s="906"/>
      <c r="V76" s="906"/>
      <c r="W76" s="906"/>
      <c r="X76" s="906"/>
      <c r="Y76" s="906"/>
      <c r="Z76" s="906"/>
      <c r="AA76" s="906"/>
      <c r="AB76" s="906"/>
      <c r="AC76" s="906"/>
      <c r="AD76" s="906"/>
      <c r="AE76" s="906"/>
      <c r="AF76" s="906"/>
      <c r="AG76" s="906"/>
      <c r="AH76" s="906"/>
      <c r="AI76" s="906"/>
      <c r="AJ76" s="906"/>
      <c r="AK76" s="906"/>
      <c r="AL76" s="906"/>
      <c r="AM76" s="906"/>
      <c r="AN76" s="906"/>
      <c r="AO76" s="906"/>
      <c r="AP76" s="906"/>
      <c r="AQ76" s="906"/>
      <c r="AR76" s="906"/>
    </row>
    <row r="77" spans="1:44" x14ac:dyDescent="0.25">
      <c r="A77" s="913" t="s">
        <v>7364</v>
      </c>
      <c r="B77" s="885"/>
      <c r="C77" s="896">
        <v>0</v>
      </c>
      <c r="D77" s="896">
        <v>0</v>
      </c>
      <c r="E77" s="887">
        <v>3462600</v>
      </c>
      <c r="F77" s="941" t="s">
        <v>6762</v>
      </c>
      <c r="G77" s="885" t="s">
        <v>7365</v>
      </c>
      <c r="H77" s="942">
        <v>2548800</v>
      </c>
      <c r="I77" s="906"/>
      <c r="J77" s="906"/>
      <c r="K77" s="906"/>
      <c r="L77" s="906"/>
      <c r="M77" s="906"/>
      <c r="N77" s="906"/>
      <c r="O77" s="906"/>
      <c r="P77" s="906"/>
      <c r="Q77" s="906"/>
      <c r="R77" s="906"/>
      <c r="S77" s="906"/>
      <c r="T77" s="906"/>
      <c r="U77" s="906"/>
      <c r="V77" s="906"/>
      <c r="W77" s="906"/>
      <c r="X77" s="906"/>
      <c r="Y77" s="906"/>
      <c r="Z77" s="906"/>
      <c r="AA77" s="906"/>
      <c r="AB77" s="906"/>
      <c r="AC77" s="906"/>
      <c r="AD77" s="906"/>
      <c r="AE77" s="906"/>
      <c r="AF77" s="906"/>
      <c r="AG77" s="906"/>
      <c r="AH77" s="906"/>
      <c r="AI77" s="906"/>
      <c r="AJ77" s="906"/>
      <c r="AK77" s="906"/>
      <c r="AL77" s="906"/>
      <c r="AM77" s="906"/>
      <c r="AN77" s="906"/>
      <c r="AO77" s="906"/>
      <c r="AP77" s="906"/>
      <c r="AQ77" s="906"/>
      <c r="AR77" s="906"/>
    </row>
    <row r="78" spans="1:44" x14ac:dyDescent="0.25">
      <c r="A78" s="913" t="s">
        <v>7366</v>
      </c>
      <c r="B78" s="885"/>
      <c r="C78" s="896">
        <v>1115515</v>
      </c>
      <c r="D78" s="896">
        <v>0</v>
      </c>
      <c r="E78" s="887">
        <v>1370435</v>
      </c>
      <c r="F78" s="941" t="s">
        <v>6762</v>
      </c>
      <c r="G78" s="885"/>
      <c r="H78" s="943"/>
      <c r="I78" s="906"/>
      <c r="J78" s="906"/>
      <c r="K78" s="906"/>
      <c r="L78" s="906"/>
      <c r="M78" s="906"/>
      <c r="N78" s="906"/>
      <c r="O78" s="906"/>
      <c r="P78" s="906"/>
      <c r="Q78" s="906"/>
      <c r="R78" s="906"/>
      <c r="S78" s="906"/>
      <c r="T78" s="906"/>
      <c r="U78" s="906"/>
      <c r="V78" s="906"/>
      <c r="W78" s="906"/>
      <c r="X78" s="906"/>
      <c r="Y78" s="906"/>
      <c r="Z78" s="906"/>
      <c r="AA78" s="906"/>
      <c r="AB78" s="906"/>
      <c r="AC78" s="906"/>
      <c r="AD78" s="906"/>
      <c r="AE78" s="906"/>
      <c r="AF78" s="906"/>
      <c r="AG78" s="906"/>
      <c r="AH78" s="906"/>
      <c r="AI78" s="906"/>
      <c r="AJ78" s="906"/>
      <c r="AK78" s="906"/>
      <c r="AL78" s="906"/>
      <c r="AM78" s="906"/>
      <c r="AN78" s="906"/>
      <c r="AO78" s="906"/>
      <c r="AP78" s="906"/>
      <c r="AQ78" s="906"/>
      <c r="AR78" s="906"/>
    </row>
    <row r="79" spans="1:44" x14ac:dyDescent="0.25">
      <c r="A79" s="913" t="s">
        <v>6685</v>
      </c>
      <c r="B79" s="885"/>
      <c r="C79" s="896">
        <v>817000</v>
      </c>
      <c r="D79" s="896">
        <v>0</v>
      </c>
      <c r="E79" s="887">
        <v>3000000</v>
      </c>
      <c r="F79" s="888" t="s">
        <v>6763</v>
      </c>
      <c r="G79" s="904"/>
      <c r="H79" s="905"/>
      <c r="I79" s="906"/>
      <c r="J79" s="906"/>
      <c r="K79" s="906"/>
      <c r="L79" s="906"/>
      <c r="M79" s="906"/>
      <c r="N79" s="906"/>
      <c r="O79" s="906"/>
      <c r="P79" s="906"/>
      <c r="Q79" s="906"/>
      <c r="R79" s="906"/>
      <c r="S79" s="906"/>
      <c r="T79" s="906"/>
      <c r="U79" s="906"/>
      <c r="V79" s="906"/>
      <c r="W79" s="906"/>
      <c r="X79" s="906"/>
      <c r="Y79" s="906"/>
      <c r="Z79" s="906"/>
      <c r="AA79" s="906"/>
      <c r="AB79" s="906"/>
      <c r="AC79" s="906"/>
      <c r="AD79" s="906"/>
      <c r="AE79" s="906"/>
      <c r="AF79" s="906"/>
      <c r="AG79" s="906"/>
      <c r="AH79" s="906"/>
      <c r="AI79" s="906"/>
      <c r="AJ79" s="906"/>
      <c r="AK79" s="906"/>
      <c r="AL79" s="906"/>
      <c r="AM79" s="906"/>
      <c r="AN79" s="906"/>
      <c r="AO79" s="906"/>
      <c r="AP79" s="906"/>
      <c r="AQ79" s="906"/>
      <c r="AR79" s="906"/>
    </row>
    <row r="80" spans="1:44" x14ac:dyDescent="0.25">
      <c r="A80" s="913" t="s">
        <v>6686</v>
      </c>
      <c r="B80" s="885"/>
      <c r="C80" s="896">
        <v>0</v>
      </c>
      <c r="D80" s="896">
        <v>0</v>
      </c>
      <c r="E80" s="887">
        <v>744000</v>
      </c>
      <c r="F80" s="888"/>
      <c r="G80" s="904"/>
      <c r="H80" s="905"/>
      <c r="I80" s="906"/>
      <c r="J80" s="906"/>
      <c r="K80" s="906"/>
      <c r="L80" s="906"/>
      <c r="M80" s="906"/>
      <c r="N80" s="906"/>
      <c r="O80" s="906"/>
      <c r="P80" s="906"/>
      <c r="Q80" s="906"/>
      <c r="R80" s="906"/>
      <c r="S80" s="906"/>
      <c r="T80" s="906"/>
      <c r="U80" s="906"/>
      <c r="V80" s="906"/>
      <c r="W80" s="906"/>
      <c r="X80" s="906"/>
      <c r="Y80" s="906"/>
      <c r="Z80" s="906"/>
      <c r="AA80" s="906"/>
      <c r="AB80" s="906"/>
      <c r="AC80" s="906"/>
      <c r="AD80" s="906"/>
      <c r="AE80" s="906"/>
      <c r="AF80" s="906"/>
      <c r="AG80" s="906"/>
      <c r="AH80" s="906"/>
      <c r="AI80" s="906"/>
      <c r="AJ80" s="906"/>
      <c r="AK80" s="906"/>
      <c r="AL80" s="906"/>
      <c r="AM80" s="906"/>
      <c r="AN80" s="906"/>
      <c r="AO80" s="906"/>
      <c r="AP80" s="906"/>
      <c r="AQ80" s="906"/>
      <c r="AR80" s="906"/>
    </row>
    <row r="81" spans="1:44" ht="19.5" customHeight="1" x14ac:dyDescent="0.25">
      <c r="A81" s="913" t="s">
        <v>6687</v>
      </c>
      <c r="B81" s="885"/>
      <c r="C81" s="896">
        <v>5207700</v>
      </c>
      <c r="D81" s="896">
        <v>0</v>
      </c>
      <c r="E81" s="887">
        <v>5781920</v>
      </c>
      <c r="F81" s="941" t="s">
        <v>6762</v>
      </c>
      <c r="G81" s="904"/>
      <c r="H81" s="905"/>
      <c r="I81" s="906"/>
      <c r="J81" s="906"/>
      <c r="K81" s="906"/>
      <c r="L81" s="906"/>
      <c r="M81" s="906"/>
      <c r="N81" s="906"/>
      <c r="O81" s="906"/>
      <c r="P81" s="906"/>
      <c r="Q81" s="906"/>
      <c r="R81" s="906"/>
      <c r="S81" s="906"/>
      <c r="T81" s="906"/>
      <c r="U81" s="906"/>
      <c r="V81" s="906"/>
      <c r="W81" s="906"/>
      <c r="X81" s="906"/>
      <c r="Y81" s="906"/>
      <c r="Z81" s="906"/>
      <c r="AA81" s="906"/>
      <c r="AB81" s="906"/>
      <c r="AC81" s="906"/>
      <c r="AD81" s="906"/>
      <c r="AE81" s="906"/>
      <c r="AF81" s="906"/>
      <c r="AG81" s="906"/>
      <c r="AH81" s="906"/>
      <c r="AI81" s="906"/>
      <c r="AJ81" s="906"/>
      <c r="AK81" s="906"/>
      <c r="AL81" s="906"/>
      <c r="AM81" s="906"/>
      <c r="AN81" s="906"/>
      <c r="AO81" s="906"/>
      <c r="AP81" s="906"/>
      <c r="AQ81" s="906"/>
      <c r="AR81" s="906"/>
    </row>
    <row r="82" spans="1:44" ht="20.25" customHeight="1" x14ac:dyDescent="0.25">
      <c r="A82" s="913" t="s">
        <v>6688</v>
      </c>
      <c r="B82" s="885"/>
      <c r="C82" s="896">
        <v>2082386</v>
      </c>
      <c r="D82" s="896">
        <v>0</v>
      </c>
      <c r="E82" s="887">
        <v>2670000</v>
      </c>
      <c r="F82" s="941" t="s">
        <v>6762</v>
      </c>
      <c r="G82" s="904"/>
      <c r="H82" s="905"/>
      <c r="I82" s="906"/>
      <c r="J82" s="906"/>
      <c r="K82" s="906"/>
      <c r="L82" s="906"/>
      <c r="M82" s="906"/>
      <c r="N82" s="906"/>
      <c r="O82" s="906"/>
      <c r="P82" s="906"/>
      <c r="Q82" s="906"/>
      <c r="R82" s="906"/>
      <c r="S82" s="906"/>
      <c r="T82" s="906"/>
      <c r="U82" s="906"/>
      <c r="V82" s="906"/>
      <c r="W82" s="906"/>
      <c r="X82" s="906"/>
      <c r="Y82" s="906"/>
      <c r="Z82" s="906"/>
      <c r="AA82" s="906"/>
      <c r="AB82" s="906"/>
      <c r="AC82" s="906"/>
      <c r="AD82" s="906"/>
      <c r="AE82" s="906"/>
      <c r="AF82" s="906"/>
      <c r="AG82" s="906"/>
      <c r="AH82" s="906"/>
      <c r="AI82" s="906"/>
      <c r="AJ82" s="906"/>
      <c r="AK82" s="906"/>
      <c r="AL82" s="906"/>
      <c r="AM82" s="906"/>
      <c r="AN82" s="906"/>
      <c r="AO82" s="906"/>
      <c r="AP82" s="906"/>
      <c r="AQ82" s="906"/>
      <c r="AR82" s="906"/>
    </row>
    <row r="83" spans="1:44" x14ac:dyDescent="0.25">
      <c r="A83" s="913" t="s">
        <v>6689</v>
      </c>
      <c r="B83" s="885"/>
      <c r="C83" s="896">
        <v>0</v>
      </c>
      <c r="D83" s="896">
        <v>0</v>
      </c>
      <c r="E83" s="887">
        <v>0</v>
      </c>
      <c r="F83" s="941" t="s">
        <v>6762</v>
      </c>
      <c r="G83" s="904"/>
      <c r="H83" s="905"/>
      <c r="I83" s="906"/>
      <c r="J83" s="906"/>
      <c r="K83" s="906"/>
      <c r="L83" s="906"/>
      <c r="M83" s="906"/>
      <c r="N83" s="906"/>
      <c r="O83" s="906"/>
      <c r="P83" s="906"/>
      <c r="Q83" s="906"/>
      <c r="R83" s="906"/>
      <c r="S83" s="906"/>
      <c r="T83" s="906"/>
      <c r="U83" s="906"/>
      <c r="V83" s="906"/>
      <c r="W83" s="906"/>
      <c r="X83" s="906"/>
      <c r="Y83" s="906"/>
      <c r="Z83" s="906"/>
      <c r="AA83" s="906"/>
      <c r="AB83" s="906"/>
      <c r="AC83" s="906"/>
      <c r="AD83" s="906"/>
      <c r="AE83" s="906"/>
      <c r="AF83" s="906"/>
      <c r="AG83" s="906"/>
      <c r="AH83" s="906"/>
      <c r="AI83" s="906"/>
      <c r="AJ83" s="906"/>
      <c r="AK83" s="906"/>
      <c r="AL83" s="906"/>
      <c r="AM83" s="906"/>
      <c r="AN83" s="906"/>
      <c r="AO83" s="906"/>
      <c r="AP83" s="906"/>
      <c r="AQ83" s="906"/>
      <c r="AR83" s="906"/>
    </row>
    <row r="84" spans="1:44" x14ac:dyDescent="0.25">
      <c r="A84" s="913" t="s">
        <v>6690</v>
      </c>
      <c r="B84" s="885"/>
      <c r="C84" s="896">
        <v>0</v>
      </c>
      <c r="D84" s="896">
        <v>0</v>
      </c>
      <c r="E84" s="887">
        <v>0</v>
      </c>
      <c r="F84" s="941" t="s">
        <v>6762</v>
      </c>
      <c r="G84" s="904"/>
      <c r="H84" s="905"/>
      <c r="I84" s="906"/>
      <c r="J84" s="906"/>
      <c r="K84" s="906"/>
      <c r="L84" s="906"/>
      <c r="M84" s="906"/>
      <c r="N84" s="906"/>
      <c r="O84" s="906"/>
      <c r="P84" s="906"/>
      <c r="Q84" s="906"/>
      <c r="R84" s="906"/>
      <c r="S84" s="906"/>
      <c r="T84" s="906"/>
      <c r="U84" s="906"/>
      <c r="V84" s="906"/>
      <c r="W84" s="906"/>
      <c r="X84" s="906"/>
      <c r="Y84" s="906"/>
      <c r="Z84" s="906"/>
      <c r="AA84" s="906"/>
      <c r="AB84" s="906"/>
      <c r="AC84" s="906"/>
      <c r="AD84" s="906"/>
      <c r="AE84" s="906"/>
      <c r="AF84" s="906"/>
      <c r="AG84" s="906"/>
      <c r="AH84" s="906"/>
      <c r="AI84" s="906"/>
      <c r="AJ84" s="906"/>
      <c r="AK84" s="906"/>
      <c r="AL84" s="906"/>
      <c r="AM84" s="906"/>
      <c r="AN84" s="906"/>
      <c r="AO84" s="906"/>
      <c r="AP84" s="906"/>
      <c r="AQ84" s="906"/>
      <c r="AR84" s="906"/>
    </row>
    <row r="85" spans="1:44" x14ac:dyDescent="0.25">
      <c r="A85" s="913" t="s">
        <v>6691</v>
      </c>
      <c r="B85" s="885"/>
      <c r="C85" s="896">
        <v>104500</v>
      </c>
      <c r="D85" s="896">
        <v>0</v>
      </c>
      <c r="E85" s="887">
        <v>240000</v>
      </c>
      <c r="F85" s="888"/>
      <c r="G85" s="904"/>
      <c r="H85" s="905"/>
      <c r="I85" s="906"/>
      <c r="J85" s="906"/>
      <c r="K85" s="906"/>
      <c r="L85" s="906"/>
      <c r="M85" s="906"/>
      <c r="N85" s="906"/>
      <c r="O85" s="906"/>
      <c r="P85" s="906"/>
      <c r="Q85" s="906"/>
      <c r="R85" s="906"/>
      <c r="S85" s="906"/>
      <c r="T85" s="906"/>
      <c r="U85" s="906"/>
      <c r="V85" s="906"/>
      <c r="W85" s="906"/>
      <c r="X85" s="906"/>
      <c r="Y85" s="906"/>
      <c r="Z85" s="906"/>
      <c r="AA85" s="906"/>
      <c r="AB85" s="906"/>
      <c r="AC85" s="906"/>
      <c r="AD85" s="906"/>
      <c r="AE85" s="906"/>
      <c r="AF85" s="906"/>
      <c r="AG85" s="906"/>
      <c r="AH85" s="906"/>
      <c r="AI85" s="906"/>
      <c r="AJ85" s="906"/>
      <c r="AK85" s="906"/>
      <c r="AL85" s="906"/>
      <c r="AM85" s="906"/>
      <c r="AN85" s="906"/>
      <c r="AO85" s="906"/>
      <c r="AP85" s="906"/>
      <c r="AQ85" s="906"/>
      <c r="AR85" s="906"/>
    </row>
    <row r="86" spans="1:44" x14ac:dyDescent="0.25">
      <c r="A86" s="913" t="s">
        <v>6692</v>
      </c>
      <c r="B86" s="885"/>
      <c r="C86" s="896">
        <v>0</v>
      </c>
      <c r="D86" s="896">
        <v>0</v>
      </c>
      <c r="E86" s="887">
        <v>0</v>
      </c>
      <c r="F86" s="944" t="s">
        <v>6764</v>
      </c>
      <c r="G86" s="904"/>
      <c r="H86" s="905"/>
      <c r="I86" s="906"/>
      <c r="J86" s="906"/>
      <c r="K86" s="906"/>
      <c r="L86" s="906"/>
      <c r="M86" s="906"/>
      <c r="N86" s="906"/>
      <c r="O86" s="906"/>
      <c r="P86" s="906"/>
      <c r="Q86" s="906"/>
      <c r="R86" s="906"/>
      <c r="S86" s="906"/>
      <c r="T86" s="906"/>
      <c r="U86" s="906"/>
      <c r="V86" s="906"/>
      <c r="W86" s="906"/>
      <c r="X86" s="906"/>
      <c r="Y86" s="906"/>
      <c r="Z86" s="906"/>
      <c r="AA86" s="906"/>
      <c r="AB86" s="906"/>
      <c r="AC86" s="906"/>
      <c r="AD86" s="906"/>
      <c r="AE86" s="906"/>
      <c r="AF86" s="906"/>
      <c r="AG86" s="906"/>
      <c r="AH86" s="906"/>
      <c r="AI86" s="906"/>
      <c r="AJ86" s="906"/>
      <c r="AK86" s="906"/>
      <c r="AL86" s="906"/>
      <c r="AM86" s="906"/>
      <c r="AN86" s="906"/>
      <c r="AO86" s="906"/>
      <c r="AP86" s="906"/>
      <c r="AQ86" s="906"/>
      <c r="AR86" s="906"/>
    </row>
    <row r="87" spans="1:44" x14ac:dyDescent="0.25">
      <c r="A87" s="913" t="s">
        <v>6693</v>
      </c>
      <c r="B87" s="872"/>
      <c r="C87" s="873">
        <v>11900</v>
      </c>
      <c r="D87" s="873">
        <v>0</v>
      </c>
      <c r="E87" s="874">
        <v>20000</v>
      </c>
      <c r="F87" s="875"/>
      <c r="G87" s="889"/>
      <c r="H87" s="925"/>
      <c r="I87" s="891"/>
      <c r="J87" s="891"/>
      <c r="K87" s="891"/>
      <c r="L87" s="891"/>
      <c r="M87" s="891"/>
      <c r="N87" s="891"/>
      <c r="O87" s="891"/>
      <c r="P87" s="891"/>
      <c r="Q87" s="891"/>
      <c r="R87" s="891"/>
      <c r="S87" s="891"/>
      <c r="T87" s="891"/>
      <c r="U87" s="891"/>
      <c r="V87" s="891"/>
      <c r="W87" s="891"/>
      <c r="X87" s="891"/>
      <c r="Y87" s="891"/>
      <c r="Z87" s="891"/>
      <c r="AA87" s="891"/>
      <c r="AB87" s="891"/>
      <c r="AC87" s="891"/>
      <c r="AD87" s="891"/>
      <c r="AE87" s="891"/>
      <c r="AF87" s="891"/>
      <c r="AG87" s="891"/>
      <c r="AH87" s="891"/>
      <c r="AI87" s="891"/>
      <c r="AJ87" s="891"/>
      <c r="AK87" s="891"/>
      <c r="AL87" s="891"/>
      <c r="AM87" s="891"/>
      <c r="AN87" s="891"/>
      <c r="AO87" s="891"/>
      <c r="AP87" s="891"/>
      <c r="AQ87" s="891"/>
      <c r="AR87" s="891"/>
    </row>
    <row r="88" spans="1:44" x14ac:dyDescent="0.25">
      <c r="A88" s="913" t="s">
        <v>6694</v>
      </c>
      <c r="B88" s="885"/>
      <c r="C88" s="896">
        <v>24050</v>
      </c>
      <c r="D88" s="896">
        <v>0</v>
      </c>
      <c r="E88" s="887">
        <v>0</v>
      </c>
      <c r="F88" s="945"/>
      <c r="G88" s="904"/>
      <c r="H88" s="905"/>
      <c r="I88" s="906"/>
      <c r="J88" s="906"/>
      <c r="K88" s="906"/>
      <c r="L88" s="906"/>
      <c r="M88" s="906"/>
      <c r="N88" s="906"/>
      <c r="O88" s="906"/>
      <c r="P88" s="906"/>
      <c r="Q88" s="906"/>
      <c r="R88" s="906"/>
      <c r="S88" s="906"/>
      <c r="T88" s="906"/>
      <c r="U88" s="906"/>
      <c r="V88" s="906"/>
      <c r="W88" s="906"/>
      <c r="X88" s="906"/>
      <c r="Y88" s="906"/>
      <c r="Z88" s="906"/>
      <c r="AA88" s="906"/>
      <c r="AB88" s="906"/>
      <c r="AC88" s="906"/>
      <c r="AD88" s="906"/>
      <c r="AE88" s="906"/>
      <c r="AF88" s="906"/>
      <c r="AG88" s="906"/>
      <c r="AH88" s="906"/>
      <c r="AI88" s="906"/>
      <c r="AJ88" s="906"/>
      <c r="AK88" s="906"/>
      <c r="AL88" s="906"/>
      <c r="AM88" s="906"/>
      <c r="AN88" s="906"/>
      <c r="AO88" s="906"/>
      <c r="AP88" s="906"/>
      <c r="AQ88" s="906"/>
      <c r="AR88" s="906"/>
    </row>
    <row r="89" spans="1:44" x14ac:dyDescent="0.25">
      <c r="A89" s="871" t="s">
        <v>6695</v>
      </c>
      <c r="B89" s="872"/>
      <c r="C89" s="873">
        <v>182523</v>
      </c>
      <c r="D89" s="873">
        <v>0</v>
      </c>
      <c r="E89" s="874">
        <v>369324</v>
      </c>
      <c r="F89" s="875"/>
      <c r="G89" s="904"/>
      <c r="H89" s="905">
        <v>50034</v>
      </c>
      <c r="I89" s="906"/>
      <c r="J89" s="906"/>
      <c r="K89" s="906"/>
      <c r="L89" s="906"/>
      <c r="M89" s="906"/>
      <c r="N89" s="906"/>
      <c r="O89" s="906"/>
      <c r="P89" s="906"/>
      <c r="Q89" s="906"/>
      <c r="R89" s="906"/>
      <c r="S89" s="906"/>
      <c r="T89" s="906"/>
      <c r="U89" s="906"/>
      <c r="V89" s="906"/>
      <c r="W89" s="906"/>
      <c r="X89" s="906"/>
      <c r="Y89" s="906"/>
      <c r="Z89" s="906"/>
      <c r="AA89" s="906"/>
      <c r="AB89" s="906"/>
      <c r="AC89" s="906"/>
      <c r="AD89" s="906"/>
      <c r="AE89" s="906"/>
      <c r="AF89" s="906"/>
      <c r="AG89" s="906"/>
      <c r="AH89" s="906"/>
      <c r="AI89" s="906"/>
      <c r="AJ89" s="906"/>
      <c r="AK89" s="906"/>
      <c r="AL89" s="906"/>
      <c r="AM89" s="906"/>
      <c r="AN89" s="906"/>
      <c r="AO89" s="906"/>
      <c r="AP89" s="906"/>
      <c r="AQ89" s="906"/>
      <c r="AR89" s="906"/>
    </row>
    <row r="90" spans="1:44" x14ac:dyDescent="0.25">
      <c r="A90" s="871" t="s">
        <v>6765</v>
      </c>
      <c r="B90" s="885">
        <f>SUM(B91:B95)</f>
        <v>1938.2</v>
      </c>
      <c r="C90" s="896">
        <f>SUM(C91:C95)</f>
        <v>2129</v>
      </c>
      <c r="D90" s="896">
        <f>SUM(D91:D95)</f>
        <v>0</v>
      </c>
      <c r="E90" s="887">
        <f>SUM(E91:E95)</f>
        <v>2316</v>
      </c>
      <c r="F90" s="888"/>
      <c r="G90" s="904"/>
      <c r="H90" s="905">
        <f>SUM(H89:I89)</f>
        <v>50034</v>
      </c>
      <c r="I90" s="906"/>
      <c r="J90" s="906"/>
      <c r="K90" s="906"/>
      <c r="L90" s="906"/>
      <c r="M90" s="906"/>
      <c r="N90" s="906"/>
      <c r="O90" s="906"/>
      <c r="P90" s="906"/>
      <c r="Q90" s="906"/>
      <c r="R90" s="906"/>
      <c r="S90" s="906"/>
      <c r="T90" s="906"/>
      <c r="U90" s="906"/>
      <c r="V90" s="906"/>
      <c r="W90" s="906"/>
      <c r="X90" s="906"/>
      <c r="Y90" s="906"/>
      <c r="Z90" s="906"/>
      <c r="AA90" s="906"/>
      <c r="AB90" s="906"/>
      <c r="AC90" s="906"/>
      <c r="AD90" s="906"/>
      <c r="AE90" s="906"/>
      <c r="AF90" s="906"/>
      <c r="AG90" s="906"/>
      <c r="AH90" s="906"/>
      <c r="AI90" s="906"/>
      <c r="AJ90" s="906"/>
      <c r="AK90" s="906"/>
      <c r="AL90" s="906"/>
      <c r="AM90" s="906"/>
      <c r="AN90" s="906"/>
      <c r="AO90" s="906"/>
      <c r="AP90" s="906"/>
      <c r="AQ90" s="906"/>
      <c r="AR90" s="906"/>
    </row>
    <row r="91" spans="1:44" x14ac:dyDescent="0.25">
      <c r="A91" s="913" t="s">
        <v>6696</v>
      </c>
      <c r="B91" s="885">
        <v>0</v>
      </c>
      <c r="C91" s="896">
        <v>0</v>
      </c>
      <c r="D91" s="896">
        <v>0</v>
      </c>
      <c r="E91" s="887">
        <v>0</v>
      </c>
      <c r="F91" s="888"/>
      <c r="G91" s="904"/>
      <c r="H91" s="905"/>
      <c r="I91" s="906"/>
      <c r="J91" s="906"/>
      <c r="K91" s="906"/>
      <c r="L91" s="906"/>
      <c r="M91" s="906"/>
      <c r="N91" s="906"/>
      <c r="O91" s="906"/>
      <c r="P91" s="906"/>
      <c r="Q91" s="906"/>
      <c r="R91" s="906"/>
      <c r="S91" s="906"/>
      <c r="T91" s="906"/>
      <c r="U91" s="906"/>
      <c r="V91" s="906"/>
      <c r="W91" s="906"/>
      <c r="X91" s="906"/>
      <c r="Y91" s="906"/>
      <c r="Z91" s="906"/>
      <c r="AA91" s="906"/>
      <c r="AB91" s="906"/>
      <c r="AC91" s="906"/>
      <c r="AD91" s="906"/>
      <c r="AE91" s="906"/>
      <c r="AF91" s="906"/>
      <c r="AG91" s="906"/>
      <c r="AH91" s="906"/>
      <c r="AI91" s="906"/>
      <c r="AJ91" s="906"/>
      <c r="AK91" s="906"/>
      <c r="AL91" s="906"/>
      <c r="AM91" s="906"/>
      <c r="AN91" s="906"/>
      <c r="AO91" s="906"/>
      <c r="AP91" s="906"/>
      <c r="AQ91" s="906"/>
      <c r="AR91" s="906"/>
    </row>
    <row r="92" spans="1:44" x14ac:dyDescent="0.25">
      <c r="A92" s="913" t="s">
        <v>6697</v>
      </c>
      <c r="B92" s="885">
        <v>1938.2</v>
      </c>
      <c r="C92" s="896">
        <v>2129</v>
      </c>
      <c r="D92" s="896">
        <v>0</v>
      </c>
      <c r="E92" s="887">
        <v>2316</v>
      </c>
      <c r="F92" s="888"/>
      <c r="G92" s="904"/>
      <c r="H92" s="905"/>
      <c r="I92" s="906"/>
      <c r="J92" s="906"/>
      <c r="K92" s="906"/>
      <c r="L92" s="906"/>
      <c r="M92" s="906"/>
      <c r="N92" s="906"/>
      <c r="O92" s="906"/>
      <c r="P92" s="906"/>
      <c r="Q92" s="906"/>
      <c r="R92" s="906"/>
      <c r="S92" s="906"/>
      <c r="T92" s="906"/>
      <c r="U92" s="906"/>
      <c r="V92" s="906"/>
      <c r="W92" s="906"/>
      <c r="X92" s="906"/>
      <c r="Y92" s="906"/>
      <c r="Z92" s="906"/>
      <c r="AA92" s="906"/>
      <c r="AB92" s="906"/>
      <c r="AC92" s="906"/>
      <c r="AD92" s="906"/>
      <c r="AE92" s="906"/>
      <c r="AF92" s="906"/>
      <c r="AG92" s="906"/>
      <c r="AH92" s="906"/>
      <c r="AI92" s="906"/>
      <c r="AJ92" s="906"/>
      <c r="AK92" s="906"/>
      <c r="AL92" s="906"/>
      <c r="AM92" s="906"/>
      <c r="AN92" s="906"/>
      <c r="AO92" s="906"/>
      <c r="AP92" s="906"/>
      <c r="AQ92" s="906"/>
      <c r="AR92" s="906"/>
    </row>
    <row r="93" spans="1:44" x14ac:dyDescent="0.25">
      <c r="A93" s="913" t="s">
        <v>7367</v>
      </c>
      <c r="B93" s="885">
        <v>0</v>
      </c>
      <c r="C93" s="896">
        <v>0</v>
      </c>
      <c r="D93" s="896">
        <v>0</v>
      </c>
      <c r="E93" s="887">
        <v>0</v>
      </c>
      <c r="F93" s="888"/>
      <c r="G93" s="904"/>
      <c r="H93" s="905"/>
      <c r="I93" s="906"/>
      <c r="J93" s="906"/>
      <c r="K93" s="906"/>
      <c r="L93" s="906"/>
      <c r="M93" s="906"/>
      <c r="N93" s="906"/>
      <c r="O93" s="906"/>
      <c r="P93" s="906"/>
      <c r="Q93" s="906"/>
      <c r="R93" s="906"/>
      <c r="S93" s="906"/>
      <c r="T93" s="906"/>
      <c r="U93" s="906"/>
      <c r="V93" s="906"/>
      <c r="W93" s="906"/>
      <c r="X93" s="906"/>
      <c r="Y93" s="906"/>
      <c r="Z93" s="906"/>
      <c r="AA93" s="906"/>
      <c r="AB93" s="906"/>
      <c r="AC93" s="906"/>
      <c r="AD93" s="906"/>
      <c r="AE93" s="906"/>
      <c r="AF93" s="906"/>
      <c r="AG93" s="906"/>
      <c r="AH93" s="906"/>
      <c r="AI93" s="906"/>
      <c r="AJ93" s="906"/>
      <c r="AK93" s="906"/>
      <c r="AL93" s="906"/>
      <c r="AM93" s="906"/>
      <c r="AN93" s="906"/>
      <c r="AO93" s="906"/>
      <c r="AP93" s="906"/>
      <c r="AQ93" s="906"/>
      <c r="AR93" s="906"/>
    </row>
    <row r="94" spans="1:44" x14ac:dyDescent="0.25">
      <c r="A94" s="913" t="s">
        <v>7368</v>
      </c>
      <c r="B94" s="885">
        <v>0</v>
      </c>
      <c r="C94" s="896">
        <v>0</v>
      </c>
      <c r="D94" s="896">
        <v>0</v>
      </c>
      <c r="E94" s="887">
        <v>0</v>
      </c>
      <c r="F94" s="888"/>
      <c r="G94" s="904"/>
      <c r="H94" s="905"/>
      <c r="I94" s="906"/>
      <c r="J94" s="906"/>
      <c r="K94" s="906"/>
      <c r="L94" s="906"/>
      <c r="M94" s="906"/>
      <c r="N94" s="906"/>
      <c r="O94" s="906"/>
      <c r="P94" s="906"/>
      <c r="Q94" s="906"/>
      <c r="R94" s="906"/>
      <c r="S94" s="906"/>
      <c r="T94" s="906"/>
      <c r="U94" s="906"/>
      <c r="V94" s="906"/>
      <c r="W94" s="906"/>
      <c r="X94" s="906"/>
      <c r="Y94" s="906"/>
      <c r="Z94" s="906"/>
      <c r="AA94" s="906"/>
      <c r="AB94" s="906"/>
      <c r="AC94" s="906"/>
      <c r="AD94" s="906"/>
      <c r="AE94" s="906"/>
      <c r="AF94" s="906"/>
      <c r="AG94" s="906"/>
      <c r="AH94" s="906"/>
      <c r="AI94" s="906"/>
      <c r="AJ94" s="906"/>
      <c r="AK94" s="906"/>
      <c r="AL94" s="906"/>
      <c r="AM94" s="906"/>
      <c r="AN94" s="906"/>
      <c r="AO94" s="906"/>
      <c r="AP94" s="906"/>
      <c r="AQ94" s="906"/>
      <c r="AR94" s="906"/>
    </row>
    <row r="95" spans="1:44" x14ac:dyDescent="0.25">
      <c r="A95" s="913" t="s">
        <v>7369</v>
      </c>
      <c r="B95" s="885">
        <v>0</v>
      </c>
      <c r="C95" s="896">
        <v>0</v>
      </c>
      <c r="D95" s="896">
        <v>0</v>
      </c>
      <c r="E95" s="887">
        <v>0</v>
      </c>
      <c r="F95" s="888"/>
      <c r="G95" s="889"/>
      <c r="H95" s="925"/>
      <c r="I95" s="891"/>
      <c r="J95" s="891"/>
      <c r="K95" s="891"/>
      <c r="L95" s="891"/>
      <c r="M95" s="891"/>
      <c r="N95" s="891"/>
      <c r="O95" s="891"/>
      <c r="P95" s="891"/>
      <c r="Q95" s="891"/>
      <c r="R95" s="891"/>
      <c r="S95" s="891"/>
      <c r="T95" s="891"/>
      <c r="U95" s="891"/>
      <c r="V95" s="891"/>
      <c r="W95" s="891"/>
      <c r="X95" s="891"/>
      <c r="Y95" s="891"/>
      <c r="Z95" s="891"/>
      <c r="AA95" s="891"/>
      <c r="AB95" s="891"/>
      <c r="AC95" s="891"/>
      <c r="AD95" s="891"/>
      <c r="AE95" s="891"/>
      <c r="AF95" s="891"/>
      <c r="AG95" s="891"/>
      <c r="AH95" s="891"/>
      <c r="AI95" s="891"/>
      <c r="AJ95" s="891"/>
      <c r="AK95" s="891"/>
      <c r="AL95" s="891"/>
      <c r="AM95" s="891"/>
      <c r="AN95" s="891"/>
      <c r="AO95" s="891"/>
      <c r="AP95" s="891"/>
      <c r="AQ95" s="891"/>
      <c r="AR95" s="891"/>
    </row>
    <row r="96" spans="1:44" x14ac:dyDescent="0.25">
      <c r="A96" s="946" t="s">
        <v>6766</v>
      </c>
      <c r="B96" s="872">
        <f>B69+B73+B89+B90</f>
        <v>1938.2</v>
      </c>
      <c r="C96" s="873">
        <f>C69+C73+C89+C90</f>
        <v>16082754.35</v>
      </c>
      <c r="D96" s="873">
        <f>D69+D73+D89+D90</f>
        <v>0</v>
      </c>
      <c r="E96" s="874">
        <f>E69+E73+E89+E90</f>
        <v>26835519</v>
      </c>
      <c r="F96" s="875"/>
      <c r="G96" s="880"/>
      <c r="H96" s="881"/>
      <c r="I96" s="882"/>
      <c r="J96" s="882"/>
      <c r="K96" s="882"/>
      <c r="L96" s="882"/>
      <c r="M96" s="882"/>
      <c r="N96" s="882"/>
      <c r="O96" s="882"/>
      <c r="P96" s="882"/>
      <c r="Q96" s="882"/>
      <c r="R96" s="882"/>
      <c r="S96" s="882"/>
      <c r="T96" s="882"/>
      <c r="U96" s="882"/>
      <c r="V96" s="882"/>
      <c r="W96" s="882"/>
      <c r="X96" s="882"/>
      <c r="Y96" s="882"/>
      <c r="Z96" s="882"/>
      <c r="AA96" s="882"/>
      <c r="AB96" s="882"/>
      <c r="AC96" s="882"/>
      <c r="AD96" s="882"/>
      <c r="AE96" s="882"/>
      <c r="AF96" s="882"/>
      <c r="AG96" s="882"/>
      <c r="AH96" s="882"/>
      <c r="AI96" s="882"/>
      <c r="AJ96" s="882"/>
      <c r="AK96" s="882"/>
      <c r="AL96" s="882"/>
      <c r="AM96" s="882"/>
      <c r="AN96" s="882"/>
      <c r="AO96" s="882"/>
      <c r="AP96" s="882"/>
      <c r="AQ96" s="882"/>
      <c r="AR96" s="882"/>
    </row>
    <row r="97" spans="1:44" s="883" customFormat="1" x14ac:dyDescent="0.25">
      <c r="A97" s="871" t="s">
        <v>6767</v>
      </c>
      <c r="B97" s="872">
        <f>B98+B99+B100+B103+B104+B105+B106+B107+B108+B109+B110+B111+B112+B113+B114+B115+B116+B117</f>
        <v>4304703.09</v>
      </c>
      <c r="C97" s="873">
        <f>C98+C99+C100+C103+C104+C105+C106+C107+C108+C109+C110+C111+C112+C113+C114+C115+C116+C117</f>
        <v>5753952.3900000006</v>
      </c>
      <c r="D97" s="873">
        <f>D98+D99+D100+D103+D104+D105+D106+D107+D108+D109+D110+D111+D112+D113+D114+D115+D116+D117</f>
        <v>0</v>
      </c>
      <c r="E97" s="874">
        <f>SUM(E98:E117)</f>
        <v>14299122.15</v>
      </c>
      <c r="F97" s="875"/>
      <c r="G97" s="947">
        <v>1901477.57</v>
      </c>
      <c r="H97" s="938">
        <v>1183907.0821710799</v>
      </c>
      <c r="I97" s="864" t="s">
        <v>7370</v>
      </c>
      <c r="J97" s="864">
        <f>E103+E104+E105+E106++E109+E111+E113+E115</f>
        <v>6293516.1500000004</v>
      </c>
      <c r="K97" s="864" t="s">
        <v>7371</v>
      </c>
      <c r="L97" s="899"/>
      <c r="M97" s="899"/>
      <c r="N97" s="899"/>
      <c r="O97" s="899"/>
      <c r="P97" s="899"/>
      <c r="Q97" s="899"/>
      <c r="R97" s="899"/>
      <c r="S97" s="899"/>
      <c r="T97" s="899"/>
      <c r="U97" s="899"/>
      <c r="V97" s="899"/>
      <c r="W97" s="899"/>
      <c r="X97" s="899"/>
      <c r="Y97" s="899"/>
      <c r="Z97" s="899"/>
      <c r="AA97" s="899"/>
      <c r="AB97" s="899"/>
      <c r="AC97" s="899"/>
      <c r="AD97" s="899"/>
      <c r="AE97" s="899"/>
      <c r="AF97" s="899"/>
      <c r="AG97" s="899"/>
      <c r="AH97" s="899"/>
      <c r="AI97" s="899"/>
      <c r="AJ97" s="899"/>
      <c r="AK97" s="899"/>
      <c r="AL97" s="899"/>
      <c r="AM97" s="899"/>
      <c r="AN97" s="899"/>
      <c r="AO97" s="899"/>
      <c r="AP97" s="899"/>
      <c r="AQ97" s="899"/>
      <c r="AR97" s="899"/>
    </row>
    <row r="98" spans="1:44" s="883" customFormat="1" x14ac:dyDescent="0.25">
      <c r="A98" s="913" t="s">
        <v>6701</v>
      </c>
      <c r="B98" s="885">
        <v>1398</v>
      </c>
      <c r="C98" s="896">
        <v>18943.599999999999</v>
      </c>
      <c r="D98" s="896">
        <v>0</v>
      </c>
      <c r="E98" s="887">
        <v>80000</v>
      </c>
      <c r="F98" s="888"/>
      <c r="G98" s="897"/>
      <c r="H98" s="898"/>
      <c r="I98" s="864" t="s">
        <v>7372</v>
      </c>
      <c r="J98" s="864">
        <v>150000</v>
      </c>
      <c r="K98" s="864" t="s">
        <v>7373</v>
      </c>
      <c r="L98" s="899"/>
      <c r="M98" s="899"/>
      <c r="N98" s="899"/>
      <c r="O98" s="899"/>
      <c r="P98" s="899"/>
      <c r="Q98" s="899"/>
      <c r="R98" s="899"/>
      <c r="S98" s="899"/>
      <c r="T98" s="899"/>
      <c r="U98" s="899"/>
      <c r="V98" s="899"/>
      <c r="W98" s="899"/>
      <c r="X98" s="899"/>
      <c r="Y98" s="899"/>
      <c r="Z98" s="899"/>
      <c r="AA98" s="899"/>
      <c r="AB98" s="899"/>
      <c r="AC98" s="899"/>
      <c r="AD98" s="899"/>
      <c r="AE98" s="899"/>
      <c r="AF98" s="899"/>
      <c r="AG98" s="899"/>
      <c r="AH98" s="899"/>
      <c r="AI98" s="899"/>
      <c r="AJ98" s="899"/>
      <c r="AK98" s="899"/>
      <c r="AL98" s="899"/>
      <c r="AM98" s="899"/>
      <c r="AN98" s="899"/>
      <c r="AO98" s="899"/>
      <c r="AP98" s="899"/>
      <c r="AQ98" s="899"/>
      <c r="AR98" s="899"/>
    </row>
    <row r="99" spans="1:44" x14ac:dyDescent="0.25">
      <c r="A99" s="913" t="s">
        <v>6702</v>
      </c>
      <c r="B99" s="885">
        <v>238546</v>
      </c>
      <c r="C99" s="896">
        <v>155418</v>
      </c>
      <c r="D99" s="896">
        <v>0</v>
      </c>
      <c r="E99" s="887">
        <v>160000</v>
      </c>
      <c r="F99" s="888"/>
      <c r="G99" s="904"/>
      <c r="H99" s="905"/>
      <c r="I99" s="864" t="s">
        <v>7374</v>
      </c>
      <c r="J99" s="948">
        <f>SUM(J97:J98)</f>
        <v>6443516.1500000004</v>
      </c>
      <c r="L99" s="906"/>
      <c r="M99" s="906"/>
      <c r="N99" s="906"/>
      <c r="O99" s="906"/>
      <c r="P99" s="906"/>
      <c r="Q99" s="906"/>
      <c r="R99" s="906"/>
      <c r="S99" s="906"/>
      <c r="T99" s="906"/>
      <c r="U99" s="906"/>
      <c r="V99" s="906"/>
      <c r="W99" s="906"/>
      <c r="X99" s="906"/>
      <c r="Y99" s="906"/>
      <c r="Z99" s="906"/>
      <c r="AA99" s="906"/>
      <c r="AB99" s="906"/>
      <c r="AC99" s="906"/>
      <c r="AD99" s="906"/>
      <c r="AE99" s="906"/>
      <c r="AF99" s="906"/>
      <c r="AG99" s="906"/>
      <c r="AH99" s="906"/>
      <c r="AI99" s="906"/>
      <c r="AJ99" s="906"/>
      <c r="AK99" s="906"/>
      <c r="AL99" s="906"/>
      <c r="AM99" s="906"/>
      <c r="AN99" s="906"/>
      <c r="AO99" s="906"/>
      <c r="AP99" s="906"/>
      <c r="AQ99" s="906"/>
      <c r="AR99" s="906"/>
    </row>
    <row r="100" spans="1:44" x14ac:dyDescent="0.25">
      <c r="A100" s="949" t="s">
        <v>6703</v>
      </c>
      <c r="B100" s="950">
        <f>SUM(B101:B102)</f>
        <v>669235</v>
      </c>
      <c r="C100" s="951">
        <f>SUM(C101:C102)</f>
        <v>281667.96999999997</v>
      </c>
      <c r="D100" s="951">
        <v>0</v>
      </c>
      <c r="E100" s="950">
        <f>SUM(E101:E102)</f>
        <v>3882753</v>
      </c>
      <c r="F100" s="888"/>
      <c r="G100" s="904"/>
      <c r="H100" s="905"/>
      <c r="M100" s="906"/>
      <c r="N100" s="906"/>
      <c r="O100" s="906"/>
      <c r="P100" s="906"/>
      <c r="Q100" s="906"/>
      <c r="R100" s="906"/>
      <c r="S100" s="906"/>
      <c r="T100" s="906"/>
      <c r="U100" s="906"/>
      <c r="V100" s="906"/>
      <c r="W100" s="906"/>
      <c r="X100" s="906"/>
      <c r="Y100" s="906"/>
      <c r="Z100" s="906"/>
      <c r="AA100" s="906"/>
      <c r="AB100" s="906"/>
      <c r="AC100" s="906"/>
      <c r="AD100" s="906"/>
      <c r="AE100" s="906"/>
      <c r="AF100" s="906"/>
      <c r="AG100" s="906"/>
      <c r="AH100" s="906"/>
      <c r="AI100" s="906"/>
      <c r="AJ100" s="906"/>
      <c r="AK100" s="906"/>
      <c r="AL100" s="906"/>
      <c r="AM100" s="906"/>
      <c r="AN100" s="906"/>
      <c r="AO100" s="906"/>
      <c r="AP100" s="906"/>
      <c r="AQ100" s="906"/>
      <c r="AR100" s="906"/>
    </row>
    <row r="101" spans="1:44" x14ac:dyDescent="0.6">
      <c r="A101" s="913" t="s">
        <v>6704</v>
      </c>
      <c r="B101" s="885">
        <v>45500</v>
      </c>
      <c r="C101" s="896">
        <v>26300</v>
      </c>
      <c r="D101" s="896">
        <v>0</v>
      </c>
      <c r="E101" s="952">
        <v>2763170</v>
      </c>
      <c r="F101" s="888"/>
      <c r="G101" s="904"/>
      <c r="H101" s="905"/>
      <c r="I101" s="906"/>
      <c r="M101" s="906"/>
      <c r="N101" s="906"/>
      <c r="O101" s="906"/>
      <c r="P101" s="906"/>
      <c r="Q101" s="906"/>
      <c r="R101" s="906"/>
      <c r="S101" s="906"/>
      <c r="T101" s="906"/>
      <c r="U101" s="906"/>
      <c r="V101" s="906"/>
      <c r="W101" s="906"/>
      <c r="X101" s="906"/>
      <c r="Y101" s="906"/>
      <c r="Z101" s="906"/>
      <c r="AA101" s="906"/>
      <c r="AB101" s="906"/>
      <c r="AC101" s="906"/>
      <c r="AD101" s="906"/>
      <c r="AE101" s="906"/>
      <c r="AF101" s="906"/>
      <c r="AG101" s="906"/>
      <c r="AH101" s="906"/>
      <c r="AI101" s="906"/>
      <c r="AJ101" s="906"/>
      <c r="AK101" s="906"/>
      <c r="AL101" s="906"/>
      <c r="AM101" s="906"/>
      <c r="AN101" s="906"/>
      <c r="AO101" s="906"/>
      <c r="AP101" s="906"/>
      <c r="AQ101" s="906"/>
      <c r="AR101" s="906"/>
    </row>
    <row r="102" spans="1:44" x14ac:dyDescent="0.25">
      <c r="A102" s="913" t="s">
        <v>7375</v>
      </c>
      <c r="B102" s="885">
        <v>623735</v>
      </c>
      <c r="C102" s="896">
        <v>255367.97</v>
      </c>
      <c r="D102" s="896">
        <v>0</v>
      </c>
      <c r="E102" s="887">
        <v>1119583</v>
      </c>
      <c r="F102" s="888"/>
      <c r="G102" s="904"/>
      <c r="H102" s="905"/>
      <c r="I102" s="906"/>
      <c r="M102" s="906"/>
      <c r="N102" s="906"/>
      <c r="O102" s="906"/>
      <c r="P102" s="906"/>
      <c r="Q102" s="906"/>
      <c r="R102" s="906"/>
      <c r="S102" s="906"/>
      <c r="T102" s="906"/>
      <c r="U102" s="906"/>
      <c r="V102" s="906"/>
      <c r="W102" s="906"/>
      <c r="X102" s="906"/>
      <c r="Y102" s="906"/>
      <c r="Z102" s="906"/>
      <c r="AA102" s="906"/>
      <c r="AB102" s="906"/>
      <c r="AC102" s="906"/>
      <c r="AD102" s="906"/>
      <c r="AE102" s="906"/>
      <c r="AF102" s="906"/>
      <c r="AG102" s="906"/>
      <c r="AH102" s="906"/>
      <c r="AI102" s="906"/>
      <c r="AJ102" s="906"/>
      <c r="AK102" s="906"/>
      <c r="AL102" s="906"/>
      <c r="AM102" s="906"/>
      <c r="AN102" s="906"/>
      <c r="AO102" s="906"/>
      <c r="AP102" s="906"/>
      <c r="AQ102" s="906"/>
      <c r="AR102" s="906"/>
    </row>
    <row r="103" spans="1:44" x14ac:dyDescent="0.25">
      <c r="A103" s="913" t="s">
        <v>6706</v>
      </c>
      <c r="B103" s="885">
        <v>0</v>
      </c>
      <c r="C103" s="896">
        <v>0</v>
      </c>
      <c r="D103" s="896">
        <v>0</v>
      </c>
      <c r="E103" s="887">
        <v>600000</v>
      </c>
      <c r="F103" s="888"/>
      <c r="G103" s="904"/>
      <c r="H103" s="905"/>
      <c r="I103" s="906"/>
      <c r="M103" s="906"/>
      <c r="N103" s="906"/>
      <c r="O103" s="906"/>
      <c r="P103" s="906"/>
      <c r="Q103" s="906"/>
      <c r="R103" s="906"/>
      <c r="S103" s="906"/>
      <c r="T103" s="906"/>
      <c r="U103" s="906"/>
      <c r="V103" s="906"/>
      <c r="W103" s="906"/>
      <c r="X103" s="906"/>
      <c r="Y103" s="906"/>
      <c r="Z103" s="906"/>
      <c r="AA103" s="906"/>
      <c r="AB103" s="906"/>
      <c r="AC103" s="906"/>
      <c r="AD103" s="906"/>
      <c r="AE103" s="906"/>
      <c r="AF103" s="906"/>
      <c r="AG103" s="906"/>
      <c r="AH103" s="906"/>
      <c r="AI103" s="906"/>
      <c r="AJ103" s="906"/>
      <c r="AK103" s="906"/>
      <c r="AL103" s="906"/>
      <c r="AM103" s="906"/>
      <c r="AN103" s="906"/>
      <c r="AO103" s="906"/>
      <c r="AP103" s="906"/>
      <c r="AQ103" s="906"/>
      <c r="AR103" s="906"/>
    </row>
    <row r="104" spans="1:44" x14ac:dyDescent="0.25">
      <c r="A104" s="913" t="s">
        <v>6707</v>
      </c>
      <c r="B104" s="885">
        <v>154844.78</v>
      </c>
      <c r="C104" s="896">
        <v>104765.96</v>
      </c>
      <c r="D104" s="896">
        <v>0</v>
      </c>
      <c r="E104" s="887">
        <v>360000</v>
      </c>
      <c r="F104" s="888"/>
      <c r="G104" s="904"/>
      <c r="H104" s="905"/>
      <c r="K104" s="906"/>
      <c r="L104" s="906"/>
      <c r="M104" s="906"/>
      <c r="N104" s="906"/>
      <c r="O104" s="906"/>
      <c r="P104" s="906"/>
      <c r="Q104" s="906"/>
      <c r="R104" s="906"/>
      <c r="S104" s="906"/>
      <c r="T104" s="906"/>
      <c r="U104" s="906"/>
      <c r="V104" s="906"/>
      <c r="W104" s="906"/>
      <c r="X104" s="906"/>
      <c r="Y104" s="906"/>
      <c r="Z104" s="906"/>
      <c r="AA104" s="906"/>
      <c r="AB104" s="906"/>
      <c r="AC104" s="906"/>
      <c r="AD104" s="906"/>
      <c r="AE104" s="906"/>
      <c r="AF104" s="906"/>
      <c r="AG104" s="906"/>
      <c r="AH104" s="906"/>
      <c r="AI104" s="906"/>
      <c r="AJ104" s="906"/>
      <c r="AK104" s="906"/>
      <c r="AL104" s="906"/>
      <c r="AM104" s="906"/>
      <c r="AN104" s="906"/>
      <c r="AO104" s="906"/>
      <c r="AP104" s="906"/>
      <c r="AQ104" s="906"/>
      <c r="AR104" s="906"/>
    </row>
    <row r="105" spans="1:44" x14ac:dyDescent="0.25">
      <c r="A105" s="913" t="s">
        <v>6708</v>
      </c>
      <c r="B105" s="885">
        <v>120540</v>
      </c>
      <c r="C105" s="896">
        <v>296214.43</v>
      </c>
      <c r="D105" s="896">
        <v>0</v>
      </c>
      <c r="E105" s="887">
        <v>600000</v>
      </c>
      <c r="F105" s="888"/>
      <c r="G105" s="904"/>
      <c r="H105" s="905"/>
      <c r="K105" s="906"/>
      <c r="L105" s="906"/>
      <c r="M105" s="906"/>
      <c r="N105" s="906"/>
      <c r="O105" s="906"/>
      <c r="P105" s="906"/>
      <c r="Q105" s="906"/>
      <c r="R105" s="906"/>
      <c r="S105" s="906"/>
      <c r="T105" s="906"/>
      <c r="U105" s="906"/>
      <c r="V105" s="906"/>
      <c r="W105" s="906"/>
      <c r="X105" s="906"/>
      <c r="Y105" s="906"/>
      <c r="Z105" s="906"/>
      <c r="AA105" s="906"/>
      <c r="AB105" s="906"/>
      <c r="AC105" s="906"/>
      <c r="AD105" s="906"/>
      <c r="AE105" s="906"/>
      <c r="AF105" s="906"/>
      <c r="AG105" s="906"/>
      <c r="AH105" s="906"/>
      <c r="AI105" s="906"/>
      <c r="AJ105" s="906"/>
      <c r="AK105" s="906"/>
      <c r="AL105" s="906"/>
      <c r="AM105" s="906"/>
      <c r="AN105" s="906"/>
      <c r="AO105" s="906"/>
      <c r="AP105" s="906"/>
      <c r="AQ105" s="906"/>
      <c r="AR105" s="906"/>
    </row>
    <row r="106" spans="1:44" x14ac:dyDescent="0.25">
      <c r="A106" s="913" t="s">
        <v>6709</v>
      </c>
      <c r="B106" s="885">
        <v>86168</v>
      </c>
      <c r="C106" s="896">
        <v>82500.39</v>
      </c>
      <c r="D106" s="896">
        <v>0</v>
      </c>
      <c r="E106" s="887">
        <v>625000</v>
      </c>
      <c r="F106" s="888"/>
      <c r="G106" s="904"/>
      <c r="H106" s="905"/>
      <c r="K106" s="906"/>
      <c r="L106" s="906"/>
      <c r="M106" s="906"/>
      <c r="N106" s="906"/>
      <c r="O106" s="906"/>
      <c r="P106" s="906"/>
      <c r="Q106" s="906"/>
      <c r="R106" s="906"/>
      <c r="S106" s="906"/>
      <c r="T106" s="906"/>
      <c r="U106" s="906"/>
      <c r="V106" s="906"/>
      <c r="W106" s="906"/>
      <c r="X106" s="906"/>
      <c r="Y106" s="906"/>
      <c r="Z106" s="906"/>
      <c r="AA106" s="906"/>
      <c r="AB106" s="906"/>
      <c r="AC106" s="906"/>
      <c r="AD106" s="906"/>
      <c r="AE106" s="906"/>
      <c r="AF106" s="906"/>
      <c r="AG106" s="906"/>
      <c r="AH106" s="906"/>
      <c r="AI106" s="906"/>
      <c r="AJ106" s="906"/>
      <c r="AK106" s="906"/>
      <c r="AL106" s="906"/>
      <c r="AM106" s="906"/>
      <c r="AN106" s="906"/>
      <c r="AO106" s="906"/>
      <c r="AP106" s="906"/>
      <c r="AQ106" s="906"/>
      <c r="AR106" s="906"/>
    </row>
    <row r="107" spans="1:44" x14ac:dyDescent="0.25">
      <c r="A107" s="913" t="s">
        <v>6710</v>
      </c>
      <c r="B107" s="885">
        <v>0</v>
      </c>
      <c r="C107" s="896">
        <v>0</v>
      </c>
      <c r="D107" s="896">
        <v>0</v>
      </c>
      <c r="E107" s="887">
        <v>0</v>
      </c>
      <c r="F107" s="888"/>
      <c r="G107" s="904"/>
      <c r="H107" s="905"/>
      <c r="I107" s="906"/>
      <c r="J107" s="906"/>
      <c r="K107" s="906"/>
      <c r="L107" s="906"/>
      <c r="M107" s="906"/>
      <c r="N107" s="906"/>
      <c r="O107" s="906"/>
      <c r="P107" s="906"/>
      <c r="Q107" s="906"/>
      <c r="R107" s="906"/>
      <c r="S107" s="906"/>
      <c r="T107" s="906"/>
      <c r="U107" s="906"/>
      <c r="V107" s="906"/>
      <c r="W107" s="906"/>
      <c r="X107" s="906"/>
      <c r="Y107" s="906"/>
      <c r="Z107" s="906"/>
      <c r="AA107" s="906"/>
      <c r="AB107" s="906"/>
      <c r="AC107" s="906"/>
      <c r="AD107" s="906"/>
      <c r="AE107" s="906"/>
      <c r="AF107" s="906"/>
      <c r="AG107" s="906"/>
      <c r="AH107" s="906"/>
      <c r="AI107" s="906"/>
      <c r="AJ107" s="906"/>
      <c r="AK107" s="906"/>
      <c r="AL107" s="906"/>
      <c r="AM107" s="906"/>
      <c r="AN107" s="906"/>
      <c r="AO107" s="906"/>
      <c r="AP107" s="906"/>
      <c r="AQ107" s="906"/>
      <c r="AR107" s="906"/>
    </row>
    <row r="108" spans="1:44" x14ac:dyDescent="0.25">
      <c r="A108" s="913" t="s">
        <v>6711</v>
      </c>
      <c r="B108" s="885">
        <v>0</v>
      </c>
      <c r="C108" s="896">
        <v>0</v>
      </c>
      <c r="D108" s="896">
        <v>0</v>
      </c>
      <c r="E108" s="887">
        <v>0</v>
      </c>
      <c r="F108" s="888"/>
      <c r="G108" s="904"/>
      <c r="H108" s="905"/>
      <c r="I108" s="906"/>
      <c r="J108" s="906"/>
      <c r="K108" s="906"/>
      <c r="L108" s="906"/>
      <c r="M108" s="906"/>
      <c r="N108" s="906"/>
      <c r="O108" s="906"/>
      <c r="P108" s="906"/>
      <c r="Q108" s="906"/>
      <c r="R108" s="906"/>
      <c r="S108" s="906"/>
      <c r="T108" s="906"/>
      <c r="U108" s="906"/>
      <c r="V108" s="906"/>
      <c r="W108" s="906"/>
      <c r="X108" s="906"/>
      <c r="Y108" s="906"/>
      <c r="Z108" s="906"/>
      <c r="AA108" s="906"/>
      <c r="AB108" s="906"/>
      <c r="AC108" s="906"/>
      <c r="AD108" s="906"/>
      <c r="AE108" s="906"/>
      <c r="AF108" s="906"/>
      <c r="AG108" s="906"/>
      <c r="AH108" s="906"/>
      <c r="AI108" s="906"/>
      <c r="AJ108" s="906"/>
      <c r="AK108" s="906"/>
      <c r="AL108" s="906"/>
      <c r="AM108" s="906"/>
      <c r="AN108" s="906"/>
      <c r="AO108" s="906"/>
      <c r="AP108" s="906"/>
      <c r="AQ108" s="906"/>
      <c r="AR108" s="906"/>
    </row>
    <row r="109" spans="1:44" x14ac:dyDescent="0.25">
      <c r="A109" s="913" t="s">
        <v>7376</v>
      </c>
      <c r="B109" s="885">
        <v>78494.899999999994</v>
      </c>
      <c r="C109" s="896">
        <v>169932.86</v>
      </c>
      <c r="D109" s="896">
        <v>0</v>
      </c>
      <c r="E109" s="887">
        <v>300000</v>
      </c>
      <c r="F109" s="888"/>
      <c r="G109" s="904"/>
      <c r="H109" s="905"/>
      <c r="I109" s="906"/>
      <c r="J109" s="906"/>
      <c r="K109" s="906"/>
      <c r="L109" s="906"/>
      <c r="M109" s="906"/>
      <c r="N109" s="906"/>
      <c r="O109" s="906"/>
      <c r="P109" s="906"/>
      <c r="Q109" s="906"/>
      <c r="R109" s="906"/>
      <c r="S109" s="906"/>
      <c r="T109" s="906"/>
      <c r="U109" s="906"/>
      <c r="V109" s="906"/>
      <c r="W109" s="906"/>
      <c r="X109" s="906"/>
      <c r="Y109" s="906"/>
      <c r="Z109" s="906"/>
      <c r="AA109" s="906"/>
      <c r="AB109" s="906"/>
      <c r="AC109" s="906"/>
      <c r="AD109" s="906"/>
      <c r="AE109" s="906"/>
      <c r="AF109" s="906"/>
      <c r="AG109" s="906"/>
      <c r="AH109" s="906"/>
      <c r="AI109" s="906"/>
      <c r="AJ109" s="906"/>
      <c r="AK109" s="906"/>
      <c r="AL109" s="906"/>
      <c r="AM109" s="906"/>
      <c r="AN109" s="906"/>
      <c r="AO109" s="906"/>
      <c r="AP109" s="906"/>
      <c r="AQ109" s="906"/>
      <c r="AR109" s="906"/>
    </row>
    <row r="110" spans="1:44" x14ac:dyDescent="0.25">
      <c r="A110" s="913" t="s">
        <v>6713</v>
      </c>
      <c r="B110" s="885">
        <v>0</v>
      </c>
      <c r="C110" s="896">
        <v>0</v>
      </c>
      <c r="D110" s="896">
        <v>0</v>
      </c>
      <c r="E110" s="887">
        <v>0</v>
      </c>
      <c r="F110" s="888"/>
      <c r="G110" s="904"/>
      <c r="H110" s="905"/>
      <c r="I110" s="906"/>
      <c r="J110" s="906"/>
      <c r="K110" s="906"/>
      <c r="L110" s="906"/>
      <c r="M110" s="906"/>
      <c r="N110" s="906"/>
      <c r="O110" s="906"/>
      <c r="P110" s="906"/>
      <c r="Q110" s="906"/>
      <c r="R110" s="906"/>
      <c r="S110" s="906"/>
      <c r="T110" s="906"/>
      <c r="U110" s="906"/>
      <c r="V110" s="906"/>
      <c r="W110" s="906"/>
      <c r="X110" s="906"/>
      <c r="Y110" s="906"/>
      <c r="Z110" s="906"/>
      <c r="AA110" s="906"/>
      <c r="AB110" s="906"/>
      <c r="AC110" s="906"/>
      <c r="AD110" s="906"/>
      <c r="AE110" s="906"/>
      <c r="AF110" s="906"/>
      <c r="AG110" s="906"/>
      <c r="AH110" s="906"/>
      <c r="AI110" s="906"/>
      <c r="AJ110" s="906"/>
      <c r="AK110" s="906"/>
      <c r="AL110" s="906"/>
      <c r="AM110" s="906"/>
      <c r="AN110" s="906"/>
      <c r="AO110" s="906"/>
      <c r="AP110" s="906"/>
      <c r="AQ110" s="906"/>
      <c r="AR110" s="906"/>
    </row>
    <row r="111" spans="1:44" x14ac:dyDescent="0.25">
      <c r="A111" s="913" t="s">
        <v>6714</v>
      </c>
      <c r="B111" s="885">
        <v>284536</v>
      </c>
      <c r="C111" s="896">
        <v>682733.7</v>
      </c>
      <c r="D111" s="896">
        <v>0</v>
      </c>
      <c r="E111" s="887">
        <v>720000</v>
      </c>
      <c r="F111" s="888"/>
      <c r="G111" s="904"/>
      <c r="H111" s="905"/>
      <c r="I111" s="906"/>
      <c r="J111" s="906"/>
      <c r="K111" s="906"/>
      <c r="L111" s="906"/>
      <c r="M111" s="906"/>
      <c r="N111" s="906"/>
      <c r="O111" s="906"/>
      <c r="P111" s="906"/>
      <c r="Q111" s="906"/>
      <c r="R111" s="906"/>
      <c r="S111" s="906"/>
      <c r="T111" s="906"/>
      <c r="U111" s="906"/>
      <c r="V111" s="906"/>
      <c r="W111" s="906"/>
      <c r="X111" s="906"/>
      <c r="Y111" s="906"/>
      <c r="Z111" s="906"/>
      <c r="AA111" s="906"/>
      <c r="AB111" s="906"/>
      <c r="AC111" s="906"/>
      <c r="AD111" s="906"/>
      <c r="AE111" s="906"/>
      <c r="AF111" s="906"/>
      <c r="AG111" s="906"/>
      <c r="AH111" s="906"/>
      <c r="AI111" s="906"/>
      <c r="AJ111" s="906"/>
      <c r="AK111" s="906"/>
      <c r="AL111" s="906"/>
      <c r="AM111" s="906"/>
      <c r="AN111" s="906"/>
      <c r="AO111" s="906"/>
      <c r="AP111" s="906"/>
      <c r="AQ111" s="906"/>
      <c r="AR111" s="906"/>
    </row>
    <row r="112" spans="1:44" x14ac:dyDescent="0.25">
      <c r="A112" s="913" t="s">
        <v>7377</v>
      </c>
      <c r="B112" s="885">
        <v>0</v>
      </c>
      <c r="C112" s="896">
        <v>0</v>
      </c>
      <c r="D112" s="896">
        <v>0</v>
      </c>
      <c r="E112" s="887">
        <v>0</v>
      </c>
      <c r="F112" s="888"/>
      <c r="G112" s="904"/>
      <c r="H112" s="905"/>
      <c r="I112" s="906"/>
      <c r="J112" s="906"/>
      <c r="K112" s="906"/>
      <c r="L112" s="906"/>
      <c r="M112" s="906"/>
      <c r="N112" s="906"/>
      <c r="O112" s="906"/>
      <c r="P112" s="906"/>
      <c r="Q112" s="906"/>
      <c r="R112" s="906"/>
      <c r="S112" s="906"/>
      <c r="T112" s="906"/>
      <c r="U112" s="906"/>
      <c r="V112" s="906"/>
      <c r="W112" s="906"/>
      <c r="X112" s="906"/>
      <c r="Y112" s="906"/>
      <c r="Z112" s="906"/>
      <c r="AA112" s="906"/>
      <c r="AB112" s="906"/>
      <c r="AC112" s="906"/>
      <c r="AD112" s="906"/>
      <c r="AE112" s="906"/>
      <c r="AF112" s="906"/>
      <c r="AG112" s="906"/>
      <c r="AH112" s="906"/>
      <c r="AI112" s="906"/>
      <c r="AJ112" s="906"/>
      <c r="AK112" s="906"/>
      <c r="AL112" s="906"/>
      <c r="AM112" s="906"/>
      <c r="AN112" s="906"/>
      <c r="AO112" s="906"/>
      <c r="AP112" s="906"/>
      <c r="AQ112" s="906"/>
      <c r="AR112" s="906"/>
    </row>
    <row r="113" spans="1:44" ht="37.200000000000003" x14ac:dyDescent="0.25">
      <c r="A113" s="913" t="s">
        <v>6716</v>
      </c>
      <c r="B113" s="885">
        <v>1918387.1</v>
      </c>
      <c r="C113" s="896">
        <v>777346.04</v>
      </c>
      <c r="D113" s="896">
        <v>0</v>
      </c>
      <c r="E113" s="953">
        <v>600000</v>
      </c>
      <c r="F113" s="888" t="s">
        <v>7378</v>
      </c>
      <c r="G113" s="904"/>
      <c r="H113" s="905"/>
      <c r="I113" s="906"/>
      <c r="J113" s="906"/>
      <c r="K113" s="906"/>
      <c r="L113" s="906"/>
      <c r="M113" s="906"/>
      <c r="N113" s="906"/>
      <c r="O113" s="906"/>
      <c r="P113" s="906"/>
      <c r="Q113" s="906"/>
      <c r="R113" s="906"/>
      <c r="S113" s="906"/>
      <c r="T113" s="906"/>
      <c r="U113" s="906"/>
      <c r="V113" s="906"/>
      <c r="W113" s="906"/>
      <c r="X113" s="906"/>
      <c r="Y113" s="906"/>
      <c r="Z113" s="906"/>
      <c r="AA113" s="906"/>
      <c r="AB113" s="906"/>
      <c r="AC113" s="906"/>
      <c r="AD113" s="906"/>
      <c r="AE113" s="906"/>
      <c r="AF113" s="906"/>
      <c r="AG113" s="906"/>
      <c r="AH113" s="906"/>
      <c r="AI113" s="906"/>
      <c r="AJ113" s="906"/>
      <c r="AK113" s="906"/>
      <c r="AL113" s="906"/>
      <c r="AM113" s="906"/>
      <c r="AN113" s="906"/>
      <c r="AO113" s="906"/>
      <c r="AP113" s="906"/>
      <c r="AQ113" s="906"/>
      <c r="AR113" s="906"/>
    </row>
    <row r="114" spans="1:44" x14ac:dyDescent="0.25">
      <c r="A114" s="913" t="s">
        <v>7379</v>
      </c>
      <c r="B114" s="885">
        <v>208265</v>
      </c>
      <c r="C114" s="896">
        <v>249458</v>
      </c>
      <c r="D114" s="896">
        <v>0</v>
      </c>
      <c r="E114" s="887">
        <v>0</v>
      </c>
      <c r="F114" s="888"/>
      <c r="G114" s="904"/>
      <c r="H114" s="905"/>
      <c r="I114" s="906"/>
      <c r="J114" s="906"/>
      <c r="K114" s="906"/>
      <c r="L114" s="906"/>
      <c r="M114" s="906"/>
      <c r="N114" s="906"/>
      <c r="O114" s="906"/>
      <c r="P114" s="906"/>
      <c r="Q114" s="906"/>
      <c r="R114" s="906"/>
      <c r="S114" s="906"/>
      <c r="T114" s="906"/>
      <c r="U114" s="906"/>
      <c r="V114" s="906"/>
      <c r="W114" s="906"/>
      <c r="X114" s="906"/>
      <c r="Y114" s="906"/>
      <c r="Z114" s="906"/>
      <c r="AA114" s="906"/>
      <c r="AB114" s="906"/>
      <c r="AC114" s="906"/>
      <c r="AD114" s="906"/>
      <c r="AE114" s="906"/>
      <c r="AF114" s="906"/>
      <c r="AG114" s="906"/>
      <c r="AH114" s="906"/>
      <c r="AI114" s="906"/>
      <c r="AJ114" s="906"/>
      <c r="AK114" s="906"/>
      <c r="AL114" s="906"/>
      <c r="AM114" s="906"/>
      <c r="AN114" s="906"/>
      <c r="AO114" s="906"/>
      <c r="AP114" s="906"/>
      <c r="AQ114" s="906"/>
      <c r="AR114" s="906"/>
    </row>
    <row r="115" spans="1:44" x14ac:dyDescent="0.25">
      <c r="A115" s="913" t="s">
        <v>6718</v>
      </c>
      <c r="B115" s="885">
        <v>544268.31000000006</v>
      </c>
      <c r="C115" s="896">
        <v>2934887.44</v>
      </c>
      <c r="D115" s="896">
        <v>0</v>
      </c>
      <c r="E115" s="887">
        <f>2460516.15+28000</f>
        <v>2488516.15</v>
      </c>
      <c r="F115" s="888"/>
      <c r="G115" s="904"/>
      <c r="H115" s="905"/>
      <c r="L115" s="906"/>
      <c r="M115" s="906"/>
      <c r="N115" s="906"/>
      <c r="O115" s="906"/>
      <c r="P115" s="906"/>
      <c r="Q115" s="906"/>
      <c r="R115" s="906"/>
      <c r="S115" s="906"/>
      <c r="T115" s="906"/>
      <c r="U115" s="906"/>
      <c r="V115" s="906"/>
      <c r="W115" s="906"/>
      <c r="X115" s="906"/>
      <c r="Y115" s="906"/>
      <c r="Z115" s="906"/>
      <c r="AA115" s="906"/>
      <c r="AB115" s="906"/>
      <c r="AC115" s="906"/>
      <c r="AD115" s="906"/>
      <c r="AE115" s="906"/>
      <c r="AF115" s="906"/>
      <c r="AG115" s="906"/>
      <c r="AH115" s="906"/>
      <c r="AI115" s="906"/>
      <c r="AJ115" s="906"/>
      <c r="AK115" s="906"/>
      <c r="AL115" s="906"/>
      <c r="AM115" s="906"/>
      <c r="AN115" s="906"/>
      <c r="AO115" s="906"/>
      <c r="AP115" s="906"/>
      <c r="AQ115" s="906"/>
      <c r="AR115" s="906"/>
    </row>
    <row r="116" spans="1:44" x14ac:dyDescent="0.25">
      <c r="A116" s="913" t="s">
        <v>6719</v>
      </c>
      <c r="B116" s="885">
        <v>20</v>
      </c>
      <c r="C116" s="896">
        <v>84</v>
      </c>
      <c r="D116" s="896">
        <v>0</v>
      </c>
      <c r="E116" s="887">
        <v>100</v>
      </c>
      <c r="F116" s="888" t="s">
        <v>7380</v>
      </c>
      <c r="G116" s="904"/>
      <c r="H116" s="905"/>
      <c r="L116" s="954"/>
      <c r="M116" s="954"/>
      <c r="N116" s="954"/>
      <c r="O116" s="906"/>
      <c r="P116" s="906"/>
      <c r="Q116" s="906"/>
      <c r="R116" s="906"/>
      <c r="S116" s="906"/>
      <c r="T116" s="906"/>
      <c r="U116" s="906"/>
      <c r="V116" s="906"/>
      <c r="W116" s="906"/>
      <c r="X116" s="906"/>
      <c r="Y116" s="906"/>
      <c r="Z116" s="906"/>
      <c r="AA116" s="906"/>
      <c r="AB116" s="906"/>
      <c r="AC116" s="906"/>
      <c r="AD116" s="906"/>
      <c r="AE116" s="906"/>
      <c r="AF116" s="906"/>
      <c r="AG116" s="906"/>
      <c r="AH116" s="906"/>
      <c r="AI116" s="906"/>
      <c r="AJ116" s="906"/>
      <c r="AK116" s="906"/>
      <c r="AL116" s="906"/>
      <c r="AM116" s="906"/>
      <c r="AN116" s="906"/>
      <c r="AO116" s="906"/>
      <c r="AP116" s="906"/>
      <c r="AQ116" s="906"/>
      <c r="AR116" s="906"/>
    </row>
    <row r="117" spans="1:44" x14ac:dyDescent="0.25">
      <c r="A117" s="913" t="s">
        <v>6720</v>
      </c>
      <c r="B117" s="885">
        <v>0</v>
      </c>
      <c r="C117" s="896">
        <v>0</v>
      </c>
      <c r="D117" s="896">
        <v>0</v>
      </c>
      <c r="E117" s="887">
        <v>0</v>
      </c>
      <c r="F117" s="888"/>
      <c r="G117" s="880"/>
      <c r="H117" s="881"/>
      <c r="I117" s="864" t="s">
        <v>7380</v>
      </c>
      <c r="M117" s="954"/>
      <c r="N117" s="906"/>
      <c r="O117" s="882"/>
      <c r="P117" s="882"/>
      <c r="Q117" s="882"/>
      <c r="R117" s="882"/>
      <c r="S117" s="882"/>
      <c r="T117" s="882"/>
      <c r="U117" s="882"/>
      <c r="V117" s="882"/>
      <c r="W117" s="882"/>
      <c r="X117" s="882"/>
      <c r="Y117" s="882"/>
      <c r="Z117" s="882"/>
      <c r="AA117" s="882"/>
      <c r="AB117" s="882"/>
      <c r="AC117" s="882"/>
      <c r="AD117" s="882"/>
      <c r="AE117" s="882"/>
      <c r="AF117" s="882"/>
      <c r="AG117" s="882"/>
      <c r="AH117" s="882"/>
      <c r="AI117" s="882"/>
      <c r="AJ117" s="882"/>
      <c r="AK117" s="882"/>
      <c r="AL117" s="882"/>
      <c r="AM117" s="882"/>
      <c r="AN117" s="882"/>
      <c r="AO117" s="882"/>
      <c r="AP117" s="882"/>
      <c r="AQ117" s="882"/>
      <c r="AR117" s="882"/>
    </row>
    <row r="118" spans="1:44" x14ac:dyDescent="0.25">
      <c r="A118" s="955" t="s">
        <v>6768</v>
      </c>
      <c r="B118" s="930">
        <f>SUM(B119:B123)</f>
        <v>1074041.0499999998</v>
      </c>
      <c r="C118" s="931">
        <f>SUM(C119:C123)</f>
        <v>927670.39</v>
      </c>
      <c r="D118" s="931">
        <f>SUM(D119:D123)</f>
        <v>0</v>
      </c>
      <c r="E118" s="930">
        <f>SUM(E119:E123)</f>
        <v>1434000</v>
      </c>
      <c r="F118" s="875"/>
      <c r="G118" s="904"/>
      <c r="H118" s="905"/>
      <c r="L118" s="906"/>
      <c r="M118" s="906"/>
      <c r="N118" s="906"/>
      <c r="O118" s="906"/>
      <c r="P118" s="906"/>
      <c r="Q118" s="906"/>
      <c r="R118" s="906"/>
      <c r="S118" s="906"/>
      <c r="T118" s="906"/>
      <c r="U118" s="906"/>
      <c r="V118" s="906"/>
      <c r="W118" s="906"/>
      <c r="X118" s="906"/>
      <c r="Y118" s="906"/>
      <c r="Z118" s="906"/>
      <c r="AA118" s="906"/>
      <c r="AB118" s="906"/>
      <c r="AC118" s="906"/>
      <c r="AD118" s="906"/>
      <c r="AE118" s="906"/>
      <c r="AF118" s="906"/>
      <c r="AG118" s="906"/>
      <c r="AH118" s="906"/>
      <c r="AI118" s="906"/>
      <c r="AJ118" s="906"/>
      <c r="AK118" s="906"/>
      <c r="AL118" s="906"/>
      <c r="AM118" s="906"/>
      <c r="AN118" s="906"/>
      <c r="AO118" s="906"/>
      <c r="AP118" s="906"/>
      <c r="AQ118" s="906"/>
      <c r="AR118" s="906"/>
    </row>
    <row r="119" spans="1:44" s="883" customFormat="1" x14ac:dyDescent="0.25">
      <c r="A119" s="913" t="s">
        <v>6721</v>
      </c>
      <c r="B119" s="885">
        <v>1007505.98</v>
      </c>
      <c r="C119" s="896">
        <v>846389.36</v>
      </c>
      <c r="D119" s="896">
        <v>0</v>
      </c>
      <c r="E119" s="956">
        <v>1320000</v>
      </c>
      <c r="F119" s="888"/>
      <c r="G119" s="897"/>
      <c r="H119" s="898"/>
      <c r="I119" s="899"/>
      <c r="J119" s="899"/>
      <c r="K119" s="899"/>
      <c r="L119" s="899"/>
      <c r="M119" s="899"/>
      <c r="N119" s="899"/>
      <c r="O119" s="899"/>
      <c r="P119" s="899"/>
      <c r="Q119" s="899"/>
      <c r="R119" s="899"/>
      <c r="S119" s="899"/>
      <c r="T119" s="899"/>
      <c r="U119" s="899"/>
      <c r="V119" s="899"/>
      <c r="W119" s="899"/>
      <c r="X119" s="899"/>
      <c r="Y119" s="899"/>
      <c r="Z119" s="899"/>
      <c r="AA119" s="899"/>
      <c r="AB119" s="899"/>
      <c r="AC119" s="899"/>
      <c r="AD119" s="899"/>
      <c r="AE119" s="899"/>
      <c r="AF119" s="899"/>
      <c r="AG119" s="899"/>
      <c r="AH119" s="899"/>
      <c r="AI119" s="899"/>
      <c r="AJ119" s="899"/>
      <c r="AK119" s="899"/>
      <c r="AL119" s="899"/>
      <c r="AM119" s="899"/>
      <c r="AN119" s="899"/>
      <c r="AO119" s="899"/>
      <c r="AP119" s="899"/>
      <c r="AQ119" s="899"/>
      <c r="AR119" s="899"/>
    </row>
    <row r="120" spans="1:44" x14ac:dyDescent="0.25">
      <c r="A120" s="913" t="s">
        <v>6722</v>
      </c>
      <c r="B120" s="885">
        <v>0</v>
      </c>
      <c r="C120" s="896">
        <v>0</v>
      </c>
      <c r="D120" s="896">
        <v>0</v>
      </c>
      <c r="E120" s="887">
        <v>0</v>
      </c>
      <c r="F120" s="888"/>
      <c r="G120" s="904"/>
      <c r="H120" s="905"/>
      <c r="I120" s="906"/>
      <c r="J120" s="906"/>
      <c r="K120" s="906"/>
      <c r="L120" s="906"/>
      <c r="M120" s="906"/>
      <c r="N120" s="906"/>
      <c r="O120" s="906"/>
      <c r="P120" s="906"/>
      <c r="Q120" s="906"/>
      <c r="R120" s="906"/>
      <c r="S120" s="906"/>
      <c r="T120" s="906"/>
      <c r="U120" s="906"/>
      <c r="V120" s="906"/>
      <c r="W120" s="906"/>
      <c r="X120" s="906"/>
      <c r="Y120" s="906"/>
      <c r="Z120" s="906"/>
      <c r="AA120" s="906"/>
      <c r="AB120" s="906"/>
      <c r="AC120" s="906"/>
      <c r="AD120" s="906"/>
      <c r="AE120" s="906"/>
      <c r="AF120" s="906"/>
      <c r="AG120" s="906"/>
      <c r="AH120" s="906"/>
      <c r="AI120" s="906"/>
      <c r="AJ120" s="906"/>
      <c r="AK120" s="906"/>
      <c r="AL120" s="906"/>
      <c r="AM120" s="906"/>
      <c r="AN120" s="906"/>
      <c r="AO120" s="906"/>
      <c r="AP120" s="906"/>
      <c r="AQ120" s="906"/>
      <c r="AR120" s="906"/>
    </row>
    <row r="121" spans="1:44" x14ac:dyDescent="0.6">
      <c r="A121" s="913" t="s">
        <v>6723</v>
      </c>
      <c r="B121" s="885">
        <v>30397.82</v>
      </c>
      <c r="C121" s="957">
        <v>32739.05</v>
      </c>
      <c r="D121" s="957">
        <v>0</v>
      </c>
      <c r="E121" s="956">
        <v>58800</v>
      </c>
      <c r="F121" s="888"/>
      <c r="G121" s="904"/>
      <c r="H121" s="905"/>
      <c r="I121" s="906"/>
      <c r="J121" s="906"/>
      <c r="K121" s="906"/>
      <c r="L121" s="906"/>
      <c r="M121" s="906"/>
      <c r="N121" s="906"/>
      <c r="O121" s="906"/>
      <c r="P121" s="906"/>
      <c r="Q121" s="906"/>
      <c r="R121" s="906"/>
      <c r="S121" s="906"/>
      <c r="T121" s="906"/>
      <c r="U121" s="906"/>
      <c r="V121" s="906"/>
      <c r="W121" s="906"/>
      <c r="X121" s="906"/>
      <c r="Y121" s="906"/>
      <c r="Z121" s="906"/>
      <c r="AA121" s="906"/>
      <c r="AB121" s="906"/>
      <c r="AC121" s="906"/>
      <c r="AD121" s="906"/>
      <c r="AE121" s="906"/>
      <c r="AF121" s="906"/>
      <c r="AG121" s="906"/>
      <c r="AH121" s="906"/>
      <c r="AI121" s="906"/>
      <c r="AJ121" s="906"/>
      <c r="AK121" s="906"/>
      <c r="AL121" s="906"/>
      <c r="AM121" s="906"/>
      <c r="AN121" s="906"/>
      <c r="AO121" s="906"/>
      <c r="AP121" s="906"/>
      <c r="AQ121" s="906"/>
      <c r="AR121" s="906"/>
    </row>
    <row r="122" spans="1:44" x14ac:dyDescent="0.6">
      <c r="A122" s="913" t="s">
        <v>6724</v>
      </c>
      <c r="B122" s="885">
        <v>20835.25</v>
      </c>
      <c r="C122" s="957">
        <v>24838.98</v>
      </c>
      <c r="D122" s="957">
        <v>0</v>
      </c>
      <c r="E122" s="887">
        <v>31200</v>
      </c>
      <c r="F122" s="888"/>
      <c r="G122" s="904"/>
      <c r="H122" s="905"/>
      <c r="I122" s="906"/>
      <c r="J122" s="906"/>
      <c r="K122" s="906"/>
      <c r="L122" s="906"/>
      <c r="M122" s="906"/>
      <c r="N122" s="906"/>
      <c r="O122" s="906"/>
      <c r="P122" s="906"/>
      <c r="Q122" s="906"/>
      <c r="R122" s="906"/>
      <c r="S122" s="906"/>
      <c r="T122" s="906"/>
      <c r="U122" s="906"/>
      <c r="V122" s="906"/>
      <c r="W122" s="906"/>
      <c r="X122" s="906"/>
      <c r="Y122" s="906"/>
      <c r="Z122" s="906"/>
      <c r="AA122" s="906"/>
      <c r="AB122" s="906"/>
      <c r="AC122" s="906"/>
      <c r="AD122" s="906"/>
      <c r="AE122" s="906"/>
      <c r="AF122" s="906"/>
      <c r="AG122" s="906"/>
      <c r="AH122" s="906"/>
      <c r="AI122" s="906"/>
      <c r="AJ122" s="906"/>
      <c r="AK122" s="906"/>
      <c r="AL122" s="906"/>
      <c r="AM122" s="906"/>
      <c r="AN122" s="906"/>
      <c r="AO122" s="906"/>
      <c r="AP122" s="906"/>
      <c r="AQ122" s="906"/>
      <c r="AR122" s="906"/>
    </row>
    <row r="123" spans="1:44" x14ac:dyDescent="0.6">
      <c r="A123" s="913" t="s">
        <v>6725</v>
      </c>
      <c r="B123" s="885">
        <v>15302</v>
      </c>
      <c r="C123" s="957">
        <v>23703</v>
      </c>
      <c r="D123" s="957">
        <v>0</v>
      </c>
      <c r="E123" s="887">
        <v>24000</v>
      </c>
      <c r="F123" s="888"/>
      <c r="G123" s="904"/>
      <c r="H123" s="905"/>
      <c r="I123" s="906"/>
      <c r="J123" s="906"/>
      <c r="K123" s="906"/>
      <c r="L123" s="906"/>
      <c r="M123" s="906"/>
      <c r="N123" s="906"/>
      <c r="O123" s="906"/>
      <c r="P123" s="906"/>
      <c r="Q123" s="906"/>
      <c r="R123" s="906"/>
      <c r="S123" s="906"/>
      <c r="T123" s="906"/>
      <c r="U123" s="906"/>
      <c r="V123" s="906"/>
      <c r="W123" s="906"/>
      <c r="X123" s="906"/>
      <c r="Y123" s="906"/>
      <c r="Z123" s="906"/>
      <c r="AA123" s="906"/>
      <c r="AB123" s="906"/>
      <c r="AC123" s="906"/>
      <c r="AD123" s="906"/>
      <c r="AE123" s="906"/>
      <c r="AF123" s="906"/>
      <c r="AG123" s="906"/>
      <c r="AH123" s="906"/>
      <c r="AI123" s="906"/>
      <c r="AJ123" s="906"/>
      <c r="AK123" s="906"/>
      <c r="AL123" s="906"/>
      <c r="AM123" s="906"/>
      <c r="AN123" s="906"/>
      <c r="AO123" s="906"/>
      <c r="AP123" s="906"/>
      <c r="AQ123" s="906"/>
      <c r="AR123" s="906"/>
    </row>
    <row r="124" spans="1:44" ht="20.25" customHeight="1" x14ac:dyDescent="0.25">
      <c r="A124" s="955" t="s">
        <v>6769</v>
      </c>
      <c r="B124" s="930">
        <f>SUM(B125:B131)</f>
        <v>9115154.4199999999</v>
      </c>
      <c r="C124" s="931">
        <f>SUM(C125:C131)</f>
        <v>9951869.3999999985</v>
      </c>
      <c r="D124" s="931">
        <f>SUM(D125:D131)</f>
        <v>0</v>
      </c>
      <c r="E124" s="930">
        <f>SUM(E125:E131)</f>
        <v>15334270.15</v>
      </c>
      <c r="F124" s="875" t="s">
        <v>7381</v>
      </c>
      <c r="G124" s="880">
        <v>11693902.109999999</v>
      </c>
      <c r="H124" s="881">
        <v>12606094.699999999</v>
      </c>
      <c r="I124" s="958" t="s">
        <v>7382</v>
      </c>
      <c r="J124" s="882">
        <f>E124+E132</f>
        <v>17411205.949999999</v>
      </c>
      <c r="K124" s="882"/>
      <c r="L124" s="882"/>
      <c r="M124" s="882"/>
      <c r="N124" s="882"/>
      <c r="O124" s="882"/>
      <c r="P124" s="882"/>
      <c r="Q124" s="882"/>
      <c r="R124" s="882"/>
      <c r="S124" s="882"/>
      <c r="T124" s="882"/>
      <c r="U124" s="882"/>
      <c r="V124" s="882"/>
      <c r="W124" s="882"/>
      <c r="X124" s="882"/>
      <c r="Y124" s="882"/>
      <c r="Z124" s="882"/>
      <c r="AA124" s="882"/>
      <c r="AB124" s="882"/>
      <c r="AC124" s="882"/>
      <c r="AD124" s="882"/>
      <c r="AE124" s="882"/>
      <c r="AF124" s="882"/>
      <c r="AG124" s="882"/>
      <c r="AH124" s="882"/>
      <c r="AI124" s="882"/>
      <c r="AJ124" s="882"/>
      <c r="AK124" s="882"/>
      <c r="AL124" s="882"/>
      <c r="AM124" s="882"/>
      <c r="AN124" s="882"/>
      <c r="AO124" s="882"/>
      <c r="AP124" s="882"/>
      <c r="AQ124" s="882"/>
      <c r="AR124" s="882"/>
    </row>
    <row r="125" spans="1:44" s="883" customFormat="1" x14ac:dyDescent="0.25">
      <c r="A125" s="913" t="s">
        <v>6770</v>
      </c>
      <c r="B125" s="885">
        <v>4894794.1399999997</v>
      </c>
      <c r="C125" s="896">
        <v>5323462.5599999996</v>
      </c>
      <c r="D125" s="896">
        <v>0</v>
      </c>
      <c r="E125" s="887">
        <v>7589538.25</v>
      </c>
      <c r="F125" s="888"/>
      <c r="G125" s="937">
        <v>3996606.92</v>
      </c>
      <c r="H125" s="938">
        <v>1847837.03534581</v>
      </c>
      <c r="I125" s="959"/>
      <c r="J125" s="906"/>
      <c r="K125" s="899"/>
      <c r="L125" s="899"/>
      <c r="M125" s="899"/>
      <c r="N125" s="899"/>
      <c r="O125" s="899"/>
      <c r="P125" s="899"/>
      <c r="Q125" s="899"/>
      <c r="R125" s="899"/>
      <c r="S125" s="899"/>
      <c r="T125" s="899"/>
      <c r="U125" s="899"/>
      <c r="V125" s="899"/>
      <c r="W125" s="899"/>
      <c r="X125" s="899"/>
      <c r="Y125" s="899"/>
      <c r="Z125" s="899"/>
      <c r="AA125" s="899"/>
      <c r="AB125" s="899"/>
      <c r="AC125" s="899"/>
      <c r="AD125" s="899"/>
      <c r="AE125" s="899"/>
      <c r="AF125" s="899"/>
      <c r="AG125" s="899"/>
      <c r="AH125" s="899"/>
      <c r="AI125" s="899"/>
      <c r="AJ125" s="899"/>
      <c r="AK125" s="899"/>
      <c r="AL125" s="899"/>
      <c r="AM125" s="899"/>
      <c r="AN125" s="899"/>
      <c r="AO125" s="899"/>
      <c r="AP125" s="899"/>
      <c r="AQ125" s="899"/>
      <c r="AR125" s="899"/>
    </row>
    <row r="126" spans="1:44" x14ac:dyDescent="0.25">
      <c r="A126" s="913" t="s">
        <v>7383</v>
      </c>
      <c r="B126" s="885">
        <v>0</v>
      </c>
      <c r="C126" s="896">
        <v>0</v>
      </c>
      <c r="D126" s="896">
        <v>0</v>
      </c>
      <c r="E126" s="887">
        <v>26000</v>
      </c>
      <c r="F126" s="888"/>
      <c r="G126" s="904"/>
      <c r="H126" s="905"/>
      <c r="I126" s="959"/>
      <c r="J126" s="906"/>
      <c r="K126" s="906"/>
      <c r="L126" s="906"/>
      <c r="M126" s="906"/>
      <c r="N126" s="906"/>
      <c r="O126" s="906"/>
      <c r="P126" s="906"/>
      <c r="Q126" s="906"/>
      <c r="R126" s="906"/>
      <c r="S126" s="906"/>
      <c r="T126" s="906"/>
      <c r="U126" s="906"/>
      <c r="V126" s="906"/>
      <c r="W126" s="906"/>
      <c r="X126" s="906"/>
      <c r="Y126" s="906"/>
      <c r="Z126" s="906"/>
      <c r="AA126" s="906"/>
      <c r="AB126" s="906"/>
      <c r="AC126" s="906"/>
      <c r="AD126" s="906"/>
      <c r="AE126" s="906"/>
      <c r="AF126" s="906"/>
      <c r="AG126" s="906"/>
      <c r="AH126" s="906"/>
      <c r="AI126" s="906"/>
      <c r="AJ126" s="906"/>
      <c r="AK126" s="906"/>
      <c r="AL126" s="906"/>
      <c r="AM126" s="906"/>
      <c r="AN126" s="906"/>
      <c r="AO126" s="906"/>
      <c r="AP126" s="906"/>
      <c r="AQ126" s="906"/>
      <c r="AR126" s="906"/>
    </row>
    <row r="127" spans="1:44" x14ac:dyDescent="0.25">
      <c r="A127" s="913" t="s">
        <v>6771</v>
      </c>
      <c r="B127" s="885">
        <v>1069913.58</v>
      </c>
      <c r="C127" s="896">
        <v>2116766.5</v>
      </c>
      <c r="D127" s="896">
        <v>0</v>
      </c>
      <c r="E127" s="887">
        <v>3230729.49</v>
      </c>
      <c r="F127" s="888"/>
      <c r="G127" s="937">
        <v>1230775.3600000001</v>
      </c>
      <c r="H127" s="938">
        <v>793058.301656942</v>
      </c>
      <c r="I127" s="906"/>
      <c r="J127" s="906"/>
      <c r="K127" s="906"/>
      <c r="L127" s="906"/>
      <c r="M127" s="906"/>
      <c r="N127" s="906"/>
      <c r="O127" s="906"/>
      <c r="P127" s="906"/>
      <c r="Q127" s="906"/>
      <c r="R127" s="906"/>
      <c r="S127" s="906"/>
      <c r="T127" s="906"/>
      <c r="U127" s="906"/>
      <c r="V127" s="906"/>
      <c r="W127" s="906"/>
      <c r="X127" s="906"/>
      <c r="Y127" s="906"/>
      <c r="Z127" s="906"/>
      <c r="AA127" s="906"/>
      <c r="AB127" s="906"/>
      <c r="AC127" s="906"/>
      <c r="AD127" s="906"/>
      <c r="AE127" s="906"/>
      <c r="AF127" s="906"/>
      <c r="AG127" s="906"/>
      <c r="AH127" s="906"/>
      <c r="AI127" s="906"/>
      <c r="AJ127" s="906"/>
      <c r="AK127" s="906"/>
      <c r="AL127" s="906"/>
      <c r="AM127" s="906"/>
      <c r="AN127" s="906"/>
      <c r="AO127" s="906"/>
      <c r="AP127" s="906"/>
      <c r="AQ127" s="906"/>
      <c r="AR127" s="906"/>
    </row>
    <row r="128" spans="1:44" x14ac:dyDescent="0.25">
      <c r="A128" s="913" t="s">
        <v>6772</v>
      </c>
      <c r="B128" s="885">
        <v>2240206.56</v>
      </c>
      <c r="C128" s="896">
        <v>1629531</v>
      </c>
      <c r="D128" s="896">
        <v>0</v>
      </c>
      <c r="E128" s="887">
        <v>3195935</v>
      </c>
      <c r="F128" s="888"/>
      <c r="G128" s="937">
        <v>1726987.79</v>
      </c>
      <c r="H128" s="938">
        <v>1105833.78540803</v>
      </c>
      <c r="I128" s="906"/>
      <c r="J128" s="906"/>
      <c r="K128" s="906"/>
      <c r="L128" s="906"/>
      <c r="M128" s="906"/>
      <c r="N128" s="906"/>
      <c r="O128" s="906"/>
      <c r="P128" s="906"/>
      <c r="Q128" s="906"/>
      <c r="R128" s="906"/>
      <c r="S128" s="906"/>
      <c r="T128" s="906"/>
      <c r="U128" s="906"/>
      <c r="V128" s="906"/>
      <c r="W128" s="906"/>
      <c r="X128" s="906"/>
      <c r="Y128" s="906"/>
      <c r="Z128" s="906"/>
      <c r="AA128" s="906"/>
      <c r="AB128" s="906"/>
      <c r="AC128" s="906"/>
      <c r="AD128" s="906"/>
      <c r="AE128" s="906"/>
      <c r="AF128" s="906"/>
      <c r="AG128" s="906"/>
      <c r="AH128" s="906"/>
      <c r="AI128" s="906"/>
      <c r="AJ128" s="906"/>
      <c r="AK128" s="906"/>
      <c r="AL128" s="906"/>
      <c r="AM128" s="906"/>
      <c r="AN128" s="906"/>
      <c r="AO128" s="906"/>
      <c r="AP128" s="906"/>
      <c r="AQ128" s="906"/>
      <c r="AR128" s="906"/>
    </row>
    <row r="129" spans="1:120" x14ac:dyDescent="0.25">
      <c r="A129" s="913" t="s">
        <v>6773</v>
      </c>
      <c r="B129" s="885">
        <v>68775</v>
      </c>
      <c r="C129" s="896">
        <v>0</v>
      </c>
      <c r="D129" s="896">
        <v>0</v>
      </c>
      <c r="E129" s="887">
        <v>0</v>
      </c>
      <c r="F129" s="888"/>
      <c r="G129" s="904"/>
      <c r="H129" s="905"/>
      <c r="J129" s="906"/>
      <c r="K129" s="906"/>
      <c r="L129" s="906"/>
      <c r="M129" s="906"/>
      <c r="N129" s="906"/>
      <c r="O129" s="906"/>
      <c r="P129" s="906"/>
      <c r="Q129" s="906"/>
      <c r="R129" s="906"/>
      <c r="S129" s="906"/>
      <c r="T129" s="906"/>
      <c r="U129" s="906"/>
      <c r="V129" s="906"/>
      <c r="W129" s="906"/>
      <c r="X129" s="906"/>
      <c r="Y129" s="906"/>
      <c r="Z129" s="906"/>
      <c r="AA129" s="906"/>
      <c r="AB129" s="906"/>
      <c r="AC129" s="906"/>
      <c r="AD129" s="906"/>
      <c r="AE129" s="906"/>
      <c r="AF129" s="906"/>
      <c r="AG129" s="906"/>
      <c r="AH129" s="906"/>
      <c r="AI129" s="906"/>
      <c r="AJ129" s="906"/>
      <c r="AK129" s="906"/>
      <c r="AL129" s="906"/>
      <c r="AM129" s="906"/>
      <c r="AN129" s="906"/>
      <c r="AO129" s="906"/>
      <c r="AP129" s="906"/>
      <c r="AQ129" s="906"/>
      <c r="AR129" s="906"/>
    </row>
    <row r="130" spans="1:120" s="921" customFormat="1" ht="24.9" customHeight="1" x14ac:dyDescent="0.25">
      <c r="A130" s="913" t="s">
        <v>6774</v>
      </c>
      <c r="B130" s="885">
        <v>368558.14</v>
      </c>
      <c r="C130" s="896">
        <v>318721.34000000003</v>
      </c>
      <c r="D130" s="896">
        <v>0</v>
      </c>
      <c r="E130" s="887">
        <v>500067.41</v>
      </c>
      <c r="F130" s="888"/>
      <c r="G130" s="937">
        <v>333977.96999999997</v>
      </c>
      <c r="H130" s="938">
        <v>204911.75291039899</v>
      </c>
      <c r="I130" s="906"/>
      <c r="J130" s="906"/>
      <c r="K130" s="906"/>
      <c r="L130" s="906"/>
      <c r="M130" s="906"/>
      <c r="N130" s="906"/>
      <c r="O130" s="906"/>
      <c r="P130" s="906"/>
      <c r="Q130" s="906"/>
      <c r="R130" s="906"/>
      <c r="S130" s="906"/>
      <c r="T130" s="906"/>
      <c r="U130" s="906"/>
      <c r="V130" s="906"/>
      <c r="W130" s="906"/>
      <c r="X130" s="906"/>
      <c r="Y130" s="906"/>
      <c r="Z130" s="906"/>
      <c r="AA130" s="906"/>
      <c r="AB130" s="906"/>
      <c r="AC130" s="906"/>
      <c r="AD130" s="906"/>
      <c r="AE130" s="906"/>
      <c r="AF130" s="906"/>
      <c r="AG130" s="906"/>
      <c r="AH130" s="906"/>
      <c r="AI130" s="906"/>
      <c r="AJ130" s="906"/>
      <c r="AK130" s="906"/>
      <c r="AL130" s="906"/>
      <c r="AM130" s="906"/>
      <c r="AN130" s="906"/>
      <c r="AO130" s="906"/>
      <c r="AP130" s="906"/>
      <c r="AQ130" s="906"/>
      <c r="AR130" s="906"/>
    </row>
    <row r="131" spans="1:120" s="960" customFormat="1" ht="24.9" customHeight="1" x14ac:dyDescent="0.25">
      <c r="A131" s="913" t="s">
        <v>6775</v>
      </c>
      <c r="B131" s="885">
        <v>472907</v>
      </c>
      <c r="C131" s="896">
        <v>563388</v>
      </c>
      <c r="D131" s="896">
        <v>0</v>
      </c>
      <c r="E131" s="887">
        <v>792000</v>
      </c>
      <c r="F131" s="888"/>
      <c r="G131" s="904"/>
      <c r="H131" s="905"/>
      <c r="I131" s="906"/>
      <c r="J131" s="906"/>
      <c r="K131" s="906"/>
      <c r="L131" s="906"/>
      <c r="M131" s="906"/>
      <c r="N131" s="906"/>
      <c r="O131" s="906"/>
      <c r="P131" s="906"/>
      <c r="Q131" s="906"/>
      <c r="R131" s="906"/>
      <c r="S131" s="906"/>
      <c r="T131" s="906"/>
      <c r="U131" s="906"/>
      <c r="V131" s="906"/>
      <c r="W131" s="906"/>
      <c r="X131" s="906"/>
      <c r="Y131" s="906"/>
      <c r="Z131" s="906"/>
      <c r="AA131" s="906"/>
      <c r="AB131" s="906"/>
      <c r="AC131" s="906"/>
      <c r="AD131" s="906"/>
      <c r="AE131" s="906"/>
      <c r="AF131" s="906"/>
      <c r="AG131" s="906"/>
      <c r="AH131" s="906"/>
      <c r="AI131" s="906"/>
      <c r="AJ131" s="906"/>
      <c r="AK131" s="906"/>
      <c r="AL131" s="906"/>
      <c r="AM131" s="906"/>
      <c r="AN131" s="906"/>
      <c r="AO131" s="906"/>
      <c r="AP131" s="906"/>
      <c r="AQ131" s="906"/>
      <c r="AR131" s="906"/>
    </row>
    <row r="132" spans="1:120" s="960" customFormat="1" ht="24.9" customHeight="1" x14ac:dyDescent="0.25">
      <c r="A132" s="949" t="s">
        <v>6776</v>
      </c>
      <c r="B132" s="950">
        <f>SUM(B133:B142)</f>
        <v>789984</v>
      </c>
      <c r="C132" s="951">
        <f>SUM(C133:C142)</f>
        <v>2048545</v>
      </c>
      <c r="D132" s="951">
        <f>SUM(D133:D142)</f>
        <v>0</v>
      </c>
      <c r="E132" s="950">
        <f>SUM(E133:E142)</f>
        <v>2076935.8</v>
      </c>
      <c r="F132" s="888"/>
      <c r="G132" s="937">
        <v>1416911.16</v>
      </c>
      <c r="H132" s="938">
        <v>689495.74883098004</v>
      </c>
      <c r="I132" s="906"/>
      <c r="J132" s="906"/>
      <c r="K132" s="906"/>
      <c r="L132" s="906"/>
      <c r="M132" s="906"/>
      <c r="N132" s="906"/>
      <c r="O132" s="906"/>
      <c r="P132" s="906"/>
      <c r="Q132" s="906"/>
      <c r="R132" s="906"/>
      <c r="S132" s="906"/>
      <c r="T132" s="906"/>
      <c r="U132" s="906"/>
      <c r="V132" s="906"/>
      <c r="W132" s="906"/>
      <c r="X132" s="906"/>
      <c r="Y132" s="906"/>
      <c r="Z132" s="906"/>
      <c r="AA132" s="906"/>
      <c r="AB132" s="906"/>
      <c r="AC132" s="906"/>
      <c r="AD132" s="906"/>
      <c r="AE132" s="906"/>
      <c r="AF132" s="906"/>
      <c r="AG132" s="906"/>
      <c r="AH132" s="906"/>
      <c r="AI132" s="906"/>
      <c r="AJ132" s="906"/>
      <c r="AK132" s="906"/>
      <c r="AL132" s="906"/>
      <c r="AM132" s="906"/>
      <c r="AN132" s="906"/>
      <c r="AO132" s="906"/>
      <c r="AP132" s="906"/>
      <c r="AQ132" s="906"/>
      <c r="AR132" s="906"/>
    </row>
    <row r="133" spans="1:120" ht="23.25" customHeight="1" x14ac:dyDescent="0.25">
      <c r="A133" s="913" t="s">
        <v>6777</v>
      </c>
      <c r="B133" s="885">
        <v>360054</v>
      </c>
      <c r="C133" s="896">
        <v>615177</v>
      </c>
      <c r="D133" s="896">
        <v>0</v>
      </c>
      <c r="E133" s="887">
        <v>596234</v>
      </c>
      <c r="F133" s="888"/>
      <c r="G133" s="880"/>
      <c r="H133" s="881"/>
      <c r="I133" s="882"/>
      <c r="J133" s="882"/>
      <c r="K133" s="882"/>
      <c r="L133" s="882"/>
      <c r="M133" s="882"/>
      <c r="N133" s="882"/>
      <c r="O133" s="882"/>
      <c r="P133" s="882"/>
      <c r="Q133" s="882"/>
      <c r="R133" s="882"/>
      <c r="S133" s="882"/>
      <c r="T133" s="882"/>
      <c r="U133" s="882"/>
      <c r="V133" s="882"/>
      <c r="W133" s="882"/>
      <c r="X133" s="882"/>
      <c r="Y133" s="882"/>
      <c r="Z133" s="882"/>
      <c r="AA133" s="882"/>
      <c r="AB133" s="882"/>
      <c r="AC133" s="882"/>
      <c r="AD133" s="882"/>
      <c r="AE133" s="882"/>
      <c r="AF133" s="882"/>
      <c r="AG133" s="882"/>
      <c r="AH133" s="882"/>
      <c r="AI133" s="882"/>
      <c r="AJ133" s="882"/>
      <c r="AK133" s="882"/>
      <c r="AL133" s="882"/>
      <c r="AM133" s="882"/>
      <c r="AN133" s="882"/>
      <c r="AO133" s="882"/>
      <c r="AP133" s="882"/>
      <c r="AQ133" s="882"/>
      <c r="AR133" s="882"/>
      <c r="AS133" s="882"/>
      <c r="AT133" s="882"/>
      <c r="AU133" s="882"/>
      <c r="AV133" s="882"/>
      <c r="AW133" s="882"/>
      <c r="AX133" s="882"/>
      <c r="AY133" s="882"/>
      <c r="AZ133" s="882"/>
      <c r="BA133" s="882"/>
      <c r="BB133" s="882"/>
      <c r="BC133" s="882"/>
      <c r="BD133" s="882"/>
      <c r="BE133" s="882"/>
      <c r="BF133" s="882"/>
      <c r="BG133" s="882"/>
      <c r="BH133" s="882"/>
      <c r="BI133" s="882"/>
      <c r="BJ133" s="882"/>
      <c r="BK133" s="882"/>
      <c r="BL133" s="882"/>
      <c r="BM133" s="882"/>
      <c r="BN133" s="882"/>
      <c r="BO133" s="882"/>
      <c r="BP133" s="882"/>
      <c r="BQ133" s="882"/>
      <c r="BR133" s="882"/>
      <c r="BS133" s="882"/>
      <c r="BT133" s="882"/>
      <c r="BU133" s="882"/>
      <c r="BV133" s="882"/>
      <c r="BW133" s="882"/>
      <c r="BX133" s="882"/>
      <c r="BY133" s="882"/>
      <c r="BZ133" s="882"/>
      <c r="CA133" s="882"/>
      <c r="CB133" s="882"/>
      <c r="CC133" s="882"/>
      <c r="CD133" s="882"/>
      <c r="CE133" s="882"/>
      <c r="CF133" s="882"/>
      <c r="CG133" s="882"/>
      <c r="CH133" s="882"/>
      <c r="CI133" s="882"/>
      <c r="CJ133" s="882"/>
      <c r="CK133" s="882"/>
      <c r="CL133" s="882"/>
      <c r="CM133" s="882"/>
      <c r="CN133" s="882"/>
      <c r="CO133" s="882"/>
      <c r="CP133" s="882"/>
      <c r="CQ133" s="882"/>
      <c r="CR133" s="882"/>
      <c r="CS133" s="882"/>
      <c r="CT133" s="882"/>
      <c r="CU133" s="882"/>
      <c r="CV133" s="882"/>
      <c r="CW133" s="882"/>
      <c r="CX133" s="882"/>
      <c r="CY133" s="882"/>
      <c r="CZ133" s="882"/>
      <c r="DA133" s="882"/>
      <c r="DB133" s="882"/>
      <c r="DC133" s="882"/>
      <c r="DD133" s="882"/>
      <c r="DE133" s="882"/>
      <c r="DF133" s="882"/>
      <c r="DG133" s="882"/>
      <c r="DH133" s="882"/>
      <c r="DI133" s="882"/>
      <c r="DJ133" s="882"/>
      <c r="DK133" s="882"/>
      <c r="DL133" s="882"/>
      <c r="DM133" s="882"/>
      <c r="DN133" s="882"/>
      <c r="DO133" s="882"/>
      <c r="DP133" s="882"/>
    </row>
    <row r="134" spans="1:120" ht="23.25" customHeight="1" x14ac:dyDescent="0.25">
      <c r="A134" s="913" t="s">
        <v>6778</v>
      </c>
      <c r="B134" s="885">
        <v>53640</v>
      </c>
      <c r="C134" s="896">
        <v>49250</v>
      </c>
      <c r="D134" s="896">
        <v>0</v>
      </c>
      <c r="E134" s="887">
        <v>128000</v>
      </c>
      <c r="F134" s="888"/>
      <c r="G134" s="880"/>
      <c r="H134" s="881"/>
      <c r="I134" s="882"/>
      <c r="J134" s="882"/>
      <c r="K134" s="882"/>
      <c r="L134" s="882"/>
      <c r="M134" s="882"/>
      <c r="N134" s="882"/>
      <c r="O134" s="882"/>
      <c r="P134" s="882"/>
      <c r="Q134" s="882"/>
      <c r="R134" s="882"/>
      <c r="S134" s="882"/>
      <c r="T134" s="882"/>
      <c r="U134" s="882"/>
      <c r="V134" s="882"/>
      <c r="W134" s="882"/>
      <c r="X134" s="882"/>
      <c r="Y134" s="882"/>
      <c r="Z134" s="882"/>
      <c r="AA134" s="882"/>
      <c r="AB134" s="882"/>
      <c r="AC134" s="882"/>
      <c r="AD134" s="882"/>
      <c r="AE134" s="882"/>
      <c r="AF134" s="882"/>
      <c r="AG134" s="882"/>
      <c r="AH134" s="882"/>
      <c r="AI134" s="882"/>
      <c r="AJ134" s="882"/>
      <c r="AK134" s="882"/>
      <c r="AL134" s="882"/>
      <c r="AM134" s="882"/>
      <c r="AN134" s="882"/>
      <c r="AO134" s="882"/>
      <c r="AP134" s="882"/>
      <c r="AQ134" s="882"/>
      <c r="AR134" s="882"/>
      <c r="AS134" s="882"/>
      <c r="AT134" s="882"/>
      <c r="AU134" s="882"/>
      <c r="AV134" s="882"/>
      <c r="AW134" s="882"/>
      <c r="AX134" s="882"/>
      <c r="AY134" s="882"/>
      <c r="AZ134" s="882"/>
      <c r="BA134" s="882"/>
      <c r="BB134" s="882"/>
      <c r="BC134" s="882"/>
      <c r="BD134" s="882"/>
      <c r="BE134" s="882"/>
      <c r="BF134" s="882"/>
      <c r="BG134" s="882"/>
      <c r="BH134" s="882"/>
      <c r="BI134" s="882"/>
      <c r="BJ134" s="882"/>
      <c r="BK134" s="882"/>
      <c r="BL134" s="882"/>
      <c r="BM134" s="882"/>
      <c r="BN134" s="882"/>
      <c r="BO134" s="882"/>
      <c r="BP134" s="882"/>
      <c r="BQ134" s="882"/>
      <c r="BR134" s="882"/>
      <c r="BS134" s="882"/>
      <c r="BT134" s="882"/>
      <c r="BU134" s="882"/>
      <c r="BV134" s="882"/>
      <c r="BW134" s="882"/>
      <c r="BX134" s="882"/>
      <c r="BY134" s="882"/>
      <c r="BZ134" s="882"/>
      <c r="CA134" s="882"/>
      <c r="CB134" s="882"/>
      <c r="CC134" s="882"/>
      <c r="CD134" s="882"/>
      <c r="CE134" s="882"/>
      <c r="CF134" s="882"/>
      <c r="CG134" s="882"/>
      <c r="CH134" s="882"/>
      <c r="CI134" s="882"/>
      <c r="CJ134" s="882"/>
      <c r="CK134" s="882"/>
      <c r="CL134" s="882"/>
      <c r="CM134" s="882"/>
      <c r="CN134" s="882"/>
      <c r="CO134" s="882"/>
      <c r="CP134" s="882"/>
      <c r="CQ134" s="882"/>
      <c r="CR134" s="882"/>
      <c r="CS134" s="882"/>
      <c r="CT134" s="882"/>
      <c r="CU134" s="882"/>
      <c r="CV134" s="882"/>
      <c r="CW134" s="882"/>
      <c r="CX134" s="882"/>
      <c r="CY134" s="882"/>
      <c r="CZ134" s="882"/>
      <c r="DA134" s="882"/>
      <c r="DB134" s="882"/>
      <c r="DC134" s="882"/>
      <c r="DD134" s="882"/>
      <c r="DE134" s="882"/>
      <c r="DF134" s="882"/>
      <c r="DG134" s="882"/>
      <c r="DH134" s="882"/>
      <c r="DI134" s="882"/>
      <c r="DJ134" s="882"/>
      <c r="DK134" s="882"/>
      <c r="DL134" s="882"/>
      <c r="DM134" s="882"/>
      <c r="DN134" s="882"/>
      <c r="DO134" s="882"/>
      <c r="DP134" s="882"/>
    </row>
    <row r="135" spans="1:120" ht="23.25" customHeight="1" x14ac:dyDescent="0.25">
      <c r="A135" s="913" t="s">
        <v>6779</v>
      </c>
      <c r="B135" s="885">
        <v>20940</v>
      </c>
      <c r="C135" s="896">
        <v>59929</v>
      </c>
      <c r="D135" s="896">
        <v>0</v>
      </c>
      <c r="E135" s="887">
        <v>50410</v>
      </c>
      <c r="F135" s="888"/>
      <c r="G135" s="880"/>
      <c r="H135" s="881"/>
      <c r="I135" s="882"/>
      <c r="J135" s="882"/>
      <c r="K135" s="882"/>
      <c r="L135" s="882"/>
      <c r="M135" s="882"/>
      <c r="N135" s="882"/>
      <c r="O135" s="882"/>
      <c r="P135" s="882"/>
      <c r="Q135" s="882"/>
      <c r="R135" s="882"/>
      <c r="S135" s="882"/>
      <c r="T135" s="882"/>
      <c r="U135" s="882"/>
      <c r="V135" s="882"/>
      <c r="W135" s="882"/>
      <c r="X135" s="882"/>
      <c r="Y135" s="882"/>
      <c r="Z135" s="882"/>
      <c r="AA135" s="882"/>
      <c r="AB135" s="882"/>
      <c r="AC135" s="882"/>
      <c r="AD135" s="882"/>
      <c r="AE135" s="882"/>
      <c r="AF135" s="882"/>
      <c r="AG135" s="882"/>
      <c r="AH135" s="882"/>
      <c r="AI135" s="882"/>
      <c r="AJ135" s="882"/>
      <c r="AK135" s="882"/>
      <c r="AL135" s="882"/>
      <c r="AM135" s="882"/>
      <c r="AN135" s="882"/>
      <c r="AO135" s="882"/>
      <c r="AP135" s="882"/>
      <c r="AQ135" s="882"/>
      <c r="AR135" s="882"/>
      <c r="AS135" s="882"/>
      <c r="AT135" s="882"/>
      <c r="AU135" s="882"/>
      <c r="AV135" s="882"/>
      <c r="AW135" s="882"/>
      <c r="AX135" s="882"/>
      <c r="AY135" s="882"/>
      <c r="AZ135" s="882"/>
      <c r="BA135" s="882"/>
      <c r="BB135" s="882"/>
      <c r="BC135" s="882"/>
      <c r="BD135" s="882"/>
      <c r="BE135" s="882"/>
      <c r="BF135" s="882"/>
      <c r="BG135" s="882"/>
      <c r="BH135" s="882"/>
      <c r="BI135" s="882"/>
      <c r="BJ135" s="882"/>
      <c r="BK135" s="882"/>
      <c r="BL135" s="882"/>
      <c r="BM135" s="882"/>
      <c r="BN135" s="882"/>
      <c r="BO135" s="882"/>
      <c r="BP135" s="882"/>
      <c r="BQ135" s="882"/>
      <c r="BR135" s="882"/>
      <c r="BS135" s="882"/>
      <c r="BT135" s="882"/>
      <c r="BU135" s="882"/>
      <c r="BV135" s="882"/>
      <c r="BW135" s="882"/>
      <c r="BX135" s="882"/>
      <c r="BY135" s="882"/>
      <c r="BZ135" s="882"/>
      <c r="CA135" s="882"/>
      <c r="CB135" s="882"/>
      <c r="CC135" s="882"/>
      <c r="CD135" s="882"/>
      <c r="CE135" s="882"/>
      <c r="CF135" s="882"/>
      <c r="CG135" s="882"/>
      <c r="CH135" s="882"/>
      <c r="CI135" s="882"/>
      <c r="CJ135" s="882"/>
      <c r="CK135" s="882"/>
      <c r="CL135" s="882"/>
      <c r="CM135" s="882"/>
      <c r="CN135" s="882"/>
      <c r="CO135" s="882"/>
      <c r="CP135" s="882"/>
      <c r="CQ135" s="882"/>
      <c r="CR135" s="882"/>
      <c r="CS135" s="882"/>
      <c r="CT135" s="882"/>
      <c r="CU135" s="882"/>
      <c r="CV135" s="882"/>
      <c r="CW135" s="882"/>
      <c r="CX135" s="882"/>
      <c r="CY135" s="882"/>
      <c r="CZ135" s="882"/>
      <c r="DA135" s="882"/>
      <c r="DB135" s="882"/>
      <c r="DC135" s="882"/>
      <c r="DD135" s="882"/>
      <c r="DE135" s="882"/>
      <c r="DF135" s="882"/>
      <c r="DG135" s="882"/>
      <c r="DH135" s="882"/>
      <c r="DI135" s="882"/>
      <c r="DJ135" s="882"/>
      <c r="DK135" s="882"/>
      <c r="DL135" s="882"/>
      <c r="DM135" s="882"/>
      <c r="DN135" s="882"/>
      <c r="DO135" s="882"/>
      <c r="DP135" s="882"/>
    </row>
    <row r="136" spans="1:120" ht="23.25" customHeight="1" x14ac:dyDescent="0.25">
      <c r="A136" s="913" t="s">
        <v>6780</v>
      </c>
      <c r="B136" s="885">
        <v>0</v>
      </c>
      <c r="C136" s="896">
        <v>490</v>
      </c>
      <c r="D136" s="896">
        <v>0</v>
      </c>
      <c r="E136" s="887">
        <v>0</v>
      </c>
      <c r="F136" s="888"/>
      <c r="G136" s="880"/>
      <c r="H136" s="881"/>
      <c r="I136" s="882"/>
      <c r="J136" s="882"/>
      <c r="K136" s="882"/>
      <c r="L136" s="882"/>
      <c r="M136" s="882"/>
      <c r="N136" s="882"/>
      <c r="O136" s="882"/>
      <c r="P136" s="882"/>
      <c r="Q136" s="882"/>
      <c r="R136" s="882"/>
      <c r="S136" s="882"/>
      <c r="T136" s="882"/>
      <c r="U136" s="882"/>
      <c r="V136" s="882"/>
      <c r="W136" s="882"/>
      <c r="X136" s="882"/>
      <c r="Y136" s="882"/>
      <c r="Z136" s="882"/>
      <c r="AA136" s="882"/>
      <c r="AB136" s="882"/>
      <c r="AC136" s="882"/>
      <c r="AD136" s="882"/>
      <c r="AE136" s="882"/>
      <c r="AF136" s="882"/>
      <c r="AG136" s="882"/>
      <c r="AH136" s="882"/>
      <c r="AI136" s="882"/>
      <c r="AJ136" s="882"/>
      <c r="AK136" s="882"/>
      <c r="AL136" s="882"/>
      <c r="AM136" s="882"/>
      <c r="AN136" s="882"/>
      <c r="AO136" s="882"/>
      <c r="AP136" s="882"/>
      <c r="AQ136" s="882"/>
      <c r="AR136" s="882"/>
      <c r="AS136" s="882"/>
      <c r="AT136" s="882"/>
      <c r="AU136" s="882"/>
      <c r="AV136" s="882"/>
      <c r="AW136" s="882"/>
      <c r="AX136" s="882"/>
      <c r="AY136" s="882"/>
      <c r="AZ136" s="882"/>
      <c r="BA136" s="882"/>
      <c r="BB136" s="882"/>
      <c r="BC136" s="882"/>
      <c r="BD136" s="882"/>
      <c r="BE136" s="882"/>
      <c r="BF136" s="882"/>
      <c r="BG136" s="882"/>
      <c r="BH136" s="882"/>
      <c r="BI136" s="882"/>
      <c r="BJ136" s="882"/>
      <c r="BK136" s="882"/>
      <c r="BL136" s="882"/>
      <c r="BM136" s="882"/>
      <c r="BN136" s="882"/>
      <c r="BO136" s="882"/>
      <c r="BP136" s="882"/>
      <c r="BQ136" s="882"/>
      <c r="BR136" s="882"/>
      <c r="BS136" s="882"/>
      <c r="BT136" s="882"/>
      <c r="BU136" s="882"/>
      <c r="BV136" s="882"/>
      <c r="BW136" s="882"/>
      <c r="BX136" s="882"/>
      <c r="BY136" s="882"/>
      <c r="BZ136" s="882"/>
      <c r="CA136" s="882"/>
      <c r="CB136" s="882"/>
      <c r="CC136" s="882"/>
      <c r="CD136" s="882"/>
      <c r="CE136" s="882"/>
      <c r="CF136" s="882"/>
      <c r="CG136" s="882"/>
      <c r="CH136" s="882"/>
      <c r="CI136" s="882"/>
      <c r="CJ136" s="882"/>
      <c r="CK136" s="882"/>
      <c r="CL136" s="882"/>
      <c r="CM136" s="882"/>
      <c r="CN136" s="882"/>
      <c r="CO136" s="882"/>
      <c r="CP136" s="882"/>
      <c r="CQ136" s="882"/>
      <c r="CR136" s="882"/>
      <c r="CS136" s="882"/>
      <c r="CT136" s="882"/>
      <c r="CU136" s="882"/>
      <c r="CV136" s="882"/>
      <c r="CW136" s="882"/>
      <c r="CX136" s="882"/>
      <c r="CY136" s="882"/>
      <c r="CZ136" s="882"/>
      <c r="DA136" s="882"/>
      <c r="DB136" s="882"/>
      <c r="DC136" s="882"/>
      <c r="DD136" s="882"/>
      <c r="DE136" s="882"/>
      <c r="DF136" s="882"/>
      <c r="DG136" s="882"/>
      <c r="DH136" s="882"/>
      <c r="DI136" s="882"/>
      <c r="DJ136" s="882"/>
      <c r="DK136" s="882"/>
      <c r="DL136" s="882"/>
      <c r="DM136" s="882"/>
      <c r="DN136" s="882"/>
      <c r="DO136" s="882"/>
      <c r="DP136" s="882"/>
    </row>
    <row r="137" spans="1:120" ht="23.25" customHeight="1" x14ac:dyDescent="0.25">
      <c r="A137" s="913" t="s">
        <v>6781</v>
      </c>
      <c r="B137" s="885">
        <v>173710</v>
      </c>
      <c r="C137" s="896">
        <v>185560</v>
      </c>
      <c r="D137" s="896">
        <v>0</v>
      </c>
      <c r="E137" s="887">
        <v>180975</v>
      </c>
      <c r="F137" s="888"/>
      <c r="G137" s="880"/>
      <c r="H137" s="881"/>
      <c r="I137" s="882"/>
      <c r="J137" s="882"/>
      <c r="K137" s="882"/>
      <c r="L137" s="882"/>
      <c r="M137" s="882"/>
      <c r="N137" s="882"/>
      <c r="O137" s="882"/>
      <c r="P137" s="882"/>
      <c r="Q137" s="882"/>
      <c r="R137" s="882"/>
      <c r="S137" s="882"/>
      <c r="T137" s="882"/>
      <c r="U137" s="882"/>
      <c r="V137" s="882"/>
      <c r="W137" s="882"/>
      <c r="X137" s="882"/>
      <c r="Y137" s="882"/>
      <c r="Z137" s="882"/>
      <c r="AA137" s="882"/>
      <c r="AB137" s="882"/>
      <c r="AC137" s="882"/>
      <c r="AD137" s="882"/>
      <c r="AE137" s="882"/>
      <c r="AF137" s="882"/>
      <c r="AG137" s="882"/>
      <c r="AH137" s="882"/>
      <c r="AI137" s="882"/>
      <c r="AJ137" s="882"/>
      <c r="AK137" s="882"/>
      <c r="AL137" s="882"/>
      <c r="AM137" s="882"/>
      <c r="AN137" s="882"/>
      <c r="AO137" s="882"/>
      <c r="AP137" s="882"/>
      <c r="AQ137" s="882"/>
      <c r="AR137" s="882"/>
      <c r="AS137" s="882"/>
      <c r="AT137" s="882"/>
      <c r="AU137" s="882"/>
      <c r="AV137" s="882"/>
      <c r="AW137" s="882"/>
      <c r="AX137" s="882"/>
      <c r="AY137" s="882"/>
      <c r="AZ137" s="882"/>
      <c r="BA137" s="882"/>
      <c r="BB137" s="882"/>
      <c r="BC137" s="882"/>
      <c r="BD137" s="882"/>
      <c r="BE137" s="882"/>
      <c r="BF137" s="882"/>
      <c r="BG137" s="882"/>
      <c r="BH137" s="882"/>
      <c r="BI137" s="882"/>
      <c r="BJ137" s="882"/>
      <c r="BK137" s="882"/>
      <c r="BL137" s="882"/>
      <c r="BM137" s="882"/>
      <c r="BN137" s="882"/>
      <c r="BO137" s="882"/>
      <c r="BP137" s="882"/>
      <c r="BQ137" s="882"/>
      <c r="BR137" s="882"/>
      <c r="BS137" s="882"/>
      <c r="BT137" s="882"/>
      <c r="BU137" s="882"/>
      <c r="BV137" s="882"/>
      <c r="BW137" s="882"/>
      <c r="BX137" s="882"/>
      <c r="BY137" s="882"/>
      <c r="BZ137" s="882"/>
      <c r="CA137" s="882"/>
      <c r="CB137" s="882"/>
      <c r="CC137" s="882"/>
      <c r="CD137" s="882"/>
      <c r="CE137" s="882"/>
      <c r="CF137" s="882"/>
      <c r="CG137" s="882"/>
      <c r="CH137" s="882"/>
      <c r="CI137" s="882"/>
      <c r="CJ137" s="882"/>
      <c r="CK137" s="882"/>
      <c r="CL137" s="882"/>
      <c r="CM137" s="882"/>
      <c r="CN137" s="882"/>
      <c r="CO137" s="882"/>
      <c r="CP137" s="882"/>
      <c r="CQ137" s="882"/>
      <c r="CR137" s="882"/>
      <c r="CS137" s="882"/>
      <c r="CT137" s="882"/>
      <c r="CU137" s="882"/>
      <c r="CV137" s="882"/>
      <c r="CW137" s="882"/>
      <c r="CX137" s="882"/>
      <c r="CY137" s="882"/>
      <c r="CZ137" s="882"/>
      <c r="DA137" s="882"/>
      <c r="DB137" s="882"/>
      <c r="DC137" s="882"/>
      <c r="DD137" s="882"/>
      <c r="DE137" s="882"/>
      <c r="DF137" s="882"/>
      <c r="DG137" s="882"/>
      <c r="DH137" s="882"/>
      <c r="DI137" s="882"/>
      <c r="DJ137" s="882"/>
      <c r="DK137" s="882"/>
      <c r="DL137" s="882"/>
      <c r="DM137" s="882"/>
      <c r="DN137" s="882"/>
      <c r="DO137" s="882"/>
      <c r="DP137" s="882"/>
    </row>
    <row r="138" spans="1:120" ht="23.25" customHeight="1" x14ac:dyDescent="0.25">
      <c r="A138" s="913" t="s">
        <v>6782</v>
      </c>
      <c r="B138" s="885">
        <v>0</v>
      </c>
      <c r="C138" s="896">
        <v>918970</v>
      </c>
      <c r="D138" s="896">
        <v>0</v>
      </c>
      <c r="E138" s="887">
        <v>739081.8</v>
      </c>
      <c r="F138" s="888"/>
      <c r="G138" s="880"/>
      <c r="H138" s="881"/>
      <c r="I138" s="882"/>
      <c r="J138" s="882"/>
      <c r="K138" s="882"/>
      <c r="L138" s="882"/>
      <c r="M138" s="882"/>
      <c r="N138" s="882"/>
      <c r="O138" s="882"/>
      <c r="P138" s="882"/>
      <c r="Q138" s="882"/>
      <c r="R138" s="882"/>
      <c r="S138" s="882"/>
      <c r="T138" s="882"/>
      <c r="U138" s="882"/>
      <c r="V138" s="882"/>
      <c r="W138" s="882"/>
      <c r="X138" s="882"/>
      <c r="Y138" s="882"/>
      <c r="Z138" s="882"/>
      <c r="AA138" s="882"/>
      <c r="AB138" s="882"/>
      <c r="AC138" s="882"/>
      <c r="AD138" s="882"/>
      <c r="AE138" s="882"/>
      <c r="AF138" s="882"/>
      <c r="AG138" s="882"/>
      <c r="AH138" s="882"/>
      <c r="AI138" s="882"/>
      <c r="AJ138" s="882"/>
      <c r="AK138" s="882"/>
      <c r="AL138" s="882"/>
      <c r="AM138" s="882"/>
      <c r="AN138" s="882"/>
      <c r="AO138" s="882"/>
      <c r="AP138" s="882"/>
      <c r="AQ138" s="882"/>
      <c r="AR138" s="882"/>
      <c r="AS138" s="882"/>
      <c r="AT138" s="882"/>
      <c r="AU138" s="882"/>
      <c r="AV138" s="882"/>
      <c r="AW138" s="882"/>
      <c r="AX138" s="882"/>
      <c r="AY138" s="882"/>
      <c r="AZ138" s="882"/>
      <c r="BA138" s="882"/>
      <c r="BB138" s="882"/>
      <c r="BC138" s="882"/>
      <c r="BD138" s="882"/>
      <c r="BE138" s="882"/>
      <c r="BF138" s="882"/>
      <c r="BG138" s="882"/>
      <c r="BH138" s="882"/>
      <c r="BI138" s="882"/>
      <c r="BJ138" s="882"/>
      <c r="BK138" s="882"/>
      <c r="BL138" s="882"/>
      <c r="BM138" s="882"/>
      <c r="BN138" s="882"/>
      <c r="BO138" s="882"/>
      <c r="BP138" s="882"/>
      <c r="BQ138" s="882"/>
      <c r="BR138" s="882"/>
      <c r="BS138" s="882"/>
      <c r="BT138" s="882"/>
      <c r="BU138" s="882"/>
      <c r="BV138" s="882"/>
      <c r="BW138" s="882"/>
      <c r="BX138" s="882"/>
      <c r="BY138" s="882"/>
      <c r="BZ138" s="882"/>
      <c r="CA138" s="882"/>
      <c r="CB138" s="882"/>
      <c r="CC138" s="882"/>
      <c r="CD138" s="882"/>
      <c r="CE138" s="882"/>
      <c r="CF138" s="882"/>
      <c r="CG138" s="882"/>
      <c r="CH138" s="882"/>
      <c r="CI138" s="882"/>
      <c r="CJ138" s="882"/>
      <c r="CK138" s="882"/>
      <c r="CL138" s="882"/>
      <c r="CM138" s="882"/>
      <c r="CN138" s="882"/>
      <c r="CO138" s="882"/>
      <c r="CP138" s="882"/>
      <c r="CQ138" s="882"/>
      <c r="CR138" s="882"/>
      <c r="CS138" s="882"/>
      <c r="CT138" s="882"/>
      <c r="CU138" s="882"/>
      <c r="CV138" s="882"/>
      <c r="CW138" s="882"/>
      <c r="CX138" s="882"/>
      <c r="CY138" s="882"/>
      <c r="CZ138" s="882"/>
      <c r="DA138" s="882"/>
      <c r="DB138" s="882"/>
      <c r="DC138" s="882"/>
      <c r="DD138" s="882"/>
      <c r="DE138" s="882"/>
      <c r="DF138" s="882"/>
      <c r="DG138" s="882"/>
      <c r="DH138" s="882"/>
      <c r="DI138" s="882"/>
      <c r="DJ138" s="882"/>
      <c r="DK138" s="882"/>
      <c r="DL138" s="882"/>
      <c r="DM138" s="882"/>
      <c r="DN138" s="882"/>
      <c r="DO138" s="882"/>
      <c r="DP138" s="882"/>
    </row>
    <row r="139" spans="1:120" ht="23.25" customHeight="1" x14ac:dyDescent="0.25">
      <c r="A139" s="913" t="s">
        <v>6783</v>
      </c>
      <c r="B139" s="885">
        <v>29840</v>
      </c>
      <c r="C139" s="896">
        <v>22040</v>
      </c>
      <c r="D139" s="896">
        <v>0</v>
      </c>
      <c r="E139" s="887">
        <v>60000</v>
      </c>
      <c r="F139" s="888"/>
      <c r="G139" s="880"/>
      <c r="H139" s="881"/>
      <c r="I139" s="882"/>
      <c r="J139" s="882"/>
      <c r="K139" s="882"/>
      <c r="L139" s="882"/>
      <c r="M139" s="882"/>
      <c r="N139" s="882"/>
      <c r="O139" s="882"/>
      <c r="P139" s="882"/>
      <c r="Q139" s="882"/>
      <c r="R139" s="882"/>
      <c r="S139" s="882"/>
      <c r="T139" s="882"/>
      <c r="U139" s="882"/>
      <c r="V139" s="882"/>
      <c r="W139" s="882"/>
      <c r="X139" s="882"/>
      <c r="Y139" s="882"/>
      <c r="Z139" s="882"/>
      <c r="AA139" s="882"/>
      <c r="AB139" s="882"/>
      <c r="AC139" s="882"/>
      <c r="AD139" s="882"/>
      <c r="AE139" s="882"/>
      <c r="AF139" s="882"/>
      <c r="AG139" s="882"/>
      <c r="AH139" s="882"/>
      <c r="AI139" s="882"/>
      <c r="AJ139" s="882"/>
      <c r="AK139" s="882"/>
      <c r="AL139" s="882"/>
      <c r="AM139" s="882"/>
      <c r="AN139" s="882"/>
      <c r="AO139" s="882"/>
      <c r="AP139" s="882"/>
      <c r="AQ139" s="882"/>
      <c r="AR139" s="882"/>
      <c r="AS139" s="882"/>
      <c r="AT139" s="882"/>
      <c r="AU139" s="882"/>
      <c r="AV139" s="882"/>
      <c r="AW139" s="882"/>
      <c r="AX139" s="882"/>
      <c r="AY139" s="882"/>
      <c r="AZ139" s="882"/>
      <c r="BA139" s="882"/>
      <c r="BB139" s="882"/>
      <c r="BC139" s="882"/>
      <c r="BD139" s="882"/>
      <c r="BE139" s="882"/>
      <c r="BF139" s="882"/>
      <c r="BG139" s="882"/>
      <c r="BH139" s="882"/>
      <c r="BI139" s="882"/>
      <c r="BJ139" s="882"/>
      <c r="BK139" s="882"/>
      <c r="BL139" s="882"/>
      <c r="BM139" s="882"/>
      <c r="BN139" s="882"/>
      <c r="BO139" s="882"/>
      <c r="BP139" s="882"/>
      <c r="BQ139" s="882"/>
      <c r="BR139" s="882"/>
      <c r="BS139" s="882"/>
      <c r="BT139" s="882"/>
      <c r="BU139" s="882"/>
      <c r="BV139" s="882"/>
      <c r="BW139" s="882"/>
      <c r="BX139" s="882"/>
      <c r="BY139" s="882"/>
      <c r="BZ139" s="882"/>
      <c r="CA139" s="882"/>
      <c r="CB139" s="882"/>
      <c r="CC139" s="882"/>
      <c r="CD139" s="882"/>
      <c r="CE139" s="882"/>
      <c r="CF139" s="882"/>
      <c r="CG139" s="882"/>
      <c r="CH139" s="882"/>
      <c r="CI139" s="882"/>
      <c r="CJ139" s="882"/>
      <c r="CK139" s="882"/>
      <c r="CL139" s="882"/>
      <c r="CM139" s="882"/>
      <c r="CN139" s="882"/>
      <c r="CO139" s="882"/>
      <c r="CP139" s="882"/>
      <c r="CQ139" s="882"/>
      <c r="CR139" s="882"/>
      <c r="CS139" s="882"/>
      <c r="CT139" s="882"/>
      <c r="CU139" s="882"/>
      <c r="CV139" s="882"/>
      <c r="CW139" s="882"/>
      <c r="CX139" s="882"/>
      <c r="CY139" s="882"/>
      <c r="CZ139" s="882"/>
      <c r="DA139" s="882"/>
      <c r="DB139" s="882"/>
      <c r="DC139" s="882"/>
      <c r="DD139" s="882"/>
      <c r="DE139" s="882"/>
      <c r="DF139" s="882"/>
      <c r="DG139" s="882"/>
      <c r="DH139" s="882"/>
      <c r="DI139" s="882"/>
      <c r="DJ139" s="882"/>
      <c r="DK139" s="882"/>
      <c r="DL139" s="882"/>
      <c r="DM139" s="882"/>
      <c r="DN139" s="882"/>
      <c r="DO139" s="882"/>
      <c r="DP139" s="882"/>
    </row>
    <row r="140" spans="1:120" ht="23.25" customHeight="1" x14ac:dyDescent="0.25">
      <c r="A140" s="913" t="s">
        <v>6784</v>
      </c>
      <c r="B140" s="885">
        <v>68350</v>
      </c>
      <c r="C140" s="896">
        <v>133009</v>
      </c>
      <c r="D140" s="896">
        <v>0</v>
      </c>
      <c r="E140" s="887">
        <v>143860</v>
      </c>
      <c r="F140" s="888"/>
      <c r="G140" s="880"/>
      <c r="H140" s="881"/>
      <c r="I140" s="882"/>
      <c r="J140" s="882"/>
      <c r="K140" s="882"/>
      <c r="L140" s="882"/>
      <c r="M140" s="882"/>
      <c r="N140" s="882"/>
      <c r="O140" s="882"/>
      <c r="P140" s="882"/>
      <c r="Q140" s="882"/>
      <c r="R140" s="882"/>
      <c r="S140" s="882"/>
      <c r="T140" s="882"/>
      <c r="U140" s="882"/>
      <c r="V140" s="882"/>
      <c r="W140" s="882"/>
      <c r="X140" s="882"/>
      <c r="Y140" s="882"/>
      <c r="Z140" s="882"/>
      <c r="AA140" s="882"/>
      <c r="AB140" s="882"/>
      <c r="AC140" s="882"/>
      <c r="AD140" s="882"/>
      <c r="AE140" s="882"/>
      <c r="AF140" s="882"/>
      <c r="AG140" s="882"/>
      <c r="AH140" s="882"/>
      <c r="AI140" s="882"/>
      <c r="AJ140" s="882"/>
      <c r="AK140" s="882"/>
      <c r="AL140" s="882"/>
      <c r="AM140" s="882"/>
      <c r="AN140" s="882"/>
      <c r="AO140" s="882"/>
      <c r="AP140" s="882"/>
      <c r="AQ140" s="882"/>
      <c r="AR140" s="882"/>
      <c r="AS140" s="882"/>
      <c r="AT140" s="882"/>
      <c r="AU140" s="882"/>
      <c r="AV140" s="882"/>
      <c r="AW140" s="882"/>
      <c r="AX140" s="882"/>
      <c r="AY140" s="882"/>
      <c r="AZ140" s="882"/>
      <c r="BA140" s="882"/>
      <c r="BB140" s="882"/>
      <c r="BC140" s="882"/>
      <c r="BD140" s="882"/>
      <c r="BE140" s="882"/>
      <c r="BF140" s="882"/>
      <c r="BG140" s="882"/>
      <c r="BH140" s="882"/>
      <c r="BI140" s="882"/>
      <c r="BJ140" s="882"/>
      <c r="BK140" s="882"/>
      <c r="BL140" s="882"/>
      <c r="BM140" s="882"/>
      <c r="BN140" s="882"/>
      <c r="BO140" s="882"/>
      <c r="BP140" s="882"/>
      <c r="BQ140" s="882"/>
      <c r="BR140" s="882"/>
      <c r="BS140" s="882"/>
      <c r="BT140" s="882"/>
      <c r="BU140" s="882"/>
      <c r="BV140" s="882"/>
      <c r="BW140" s="882"/>
      <c r="BX140" s="882"/>
      <c r="BY140" s="882"/>
      <c r="BZ140" s="882"/>
      <c r="CA140" s="882"/>
      <c r="CB140" s="882"/>
      <c r="CC140" s="882"/>
      <c r="CD140" s="882"/>
      <c r="CE140" s="882"/>
      <c r="CF140" s="882"/>
      <c r="CG140" s="882"/>
      <c r="CH140" s="882"/>
      <c r="CI140" s="882"/>
      <c r="CJ140" s="882"/>
      <c r="CK140" s="882"/>
      <c r="CL140" s="882"/>
      <c r="CM140" s="882"/>
      <c r="CN140" s="882"/>
      <c r="CO140" s="882"/>
      <c r="CP140" s="882"/>
      <c r="CQ140" s="882"/>
      <c r="CR140" s="882"/>
      <c r="CS140" s="882"/>
      <c r="CT140" s="882"/>
      <c r="CU140" s="882"/>
      <c r="CV140" s="882"/>
      <c r="CW140" s="882"/>
      <c r="CX140" s="882"/>
      <c r="CY140" s="882"/>
      <c r="CZ140" s="882"/>
      <c r="DA140" s="882"/>
      <c r="DB140" s="882"/>
      <c r="DC140" s="882"/>
      <c r="DD140" s="882"/>
      <c r="DE140" s="882"/>
      <c r="DF140" s="882"/>
      <c r="DG140" s="882"/>
      <c r="DH140" s="882"/>
      <c r="DI140" s="882"/>
      <c r="DJ140" s="882"/>
      <c r="DK140" s="882"/>
      <c r="DL140" s="882"/>
      <c r="DM140" s="882"/>
      <c r="DN140" s="882"/>
      <c r="DO140" s="882"/>
      <c r="DP140" s="882"/>
    </row>
    <row r="141" spans="1:120" ht="23.25" customHeight="1" x14ac:dyDescent="0.25">
      <c r="A141" s="913" t="s">
        <v>6785</v>
      </c>
      <c r="B141" s="885">
        <v>58500</v>
      </c>
      <c r="C141" s="896">
        <v>42525</v>
      </c>
      <c r="D141" s="896">
        <v>0</v>
      </c>
      <c r="E141" s="887">
        <v>44425</v>
      </c>
      <c r="F141" s="888"/>
      <c r="G141" s="880"/>
      <c r="H141" s="881"/>
      <c r="I141" s="882"/>
      <c r="J141" s="882"/>
      <c r="K141" s="882"/>
      <c r="L141" s="882"/>
      <c r="M141" s="882"/>
      <c r="N141" s="882"/>
      <c r="O141" s="882"/>
      <c r="P141" s="882"/>
      <c r="Q141" s="882"/>
      <c r="R141" s="882"/>
      <c r="S141" s="882"/>
      <c r="T141" s="882"/>
      <c r="U141" s="882"/>
      <c r="V141" s="882"/>
      <c r="W141" s="882"/>
      <c r="X141" s="882"/>
      <c r="Y141" s="882"/>
      <c r="Z141" s="882"/>
      <c r="AA141" s="882"/>
      <c r="AB141" s="882"/>
      <c r="AC141" s="882"/>
      <c r="AD141" s="882"/>
      <c r="AE141" s="882"/>
      <c r="AF141" s="882"/>
      <c r="AG141" s="882"/>
      <c r="AH141" s="882"/>
      <c r="AI141" s="882"/>
      <c r="AJ141" s="882"/>
      <c r="AK141" s="882"/>
      <c r="AL141" s="882"/>
      <c r="AM141" s="882"/>
      <c r="AN141" s="882"/>
      <c r="AO141" s="882"/>
      <c r="AP141" s="882"/>
      <c r="AQ141" s="882"/>
      <c r="AR141" s="882"/>
      <c r="AS141" s="882"/>
      <c r="AT141" s="882"/>
      <c r="AU141" s="882"/>
      <c r="AV141" s="882"/>
      <c r="AW141" s="882"/>
      <c r="AX141" s="882"/>
      <c r="AY141" s="882"/>
      <c r="AZ141" s="882"/>
      <c r="BA141" s="882"/>
      <c r="BB141" s="882"/>
      <c r="BC141" s="882"/>
      <c r="BD141" s="882"/>
      <c r="BE141" s="882"/>
      <c r="BF141" s="882"/>
      <c r="BG141" s="882"/>
      <c r="BH141" s="882"/>
      <c r="BI141" s="882"/>
      <c r="BJ141" s="882"/>
      <c r="BK141" s="882"/>
      <c r="BL141" s="882"/>
      <c r="BM141" s="882"/>
      <c r="BN141" s="882"/>
      <c r="BO141" s="882"/>
      <c r="BP141" s="882"/>
      <c r="BQ141" s="882"/>
      <c r="BR141" s="882"/>
      <c r="BS141" s="882"/>
      <c r="BT141" s="882"/>
      <c r="BU141" s="882"/>
      <c r="BV141" s="882"/>
      <c r="BW141" s="882"/>
      <c r="BX141" s="882"/>
      <c r="BY141" s="882"/>
      <c r="BZ141" s="882"/>
      <c r="CA141" s="882"/>
      <c r="CB141" s="882"/>
      <c r="CC141" s="882"/>
      <c r="CD141" s="882"/>
      <c r="CE141" s="882"/>
      <c r="CF141" s="882"/>
      <c r="CG141" s="882"/>
      <c r="CH141" s="882"/>
      <c r="CI141" s="882"/>
      <c r="CJ141" s="882"/>
      <c r="CK141" s="882"/>
      <c r="CL141" s="882"/>
      <c r="CM141" s="882"/>
      <c r="CN141" s="882"/>
      <c r="CO141" s="882"/>
      <c r="CP141" s="882"/>
      <c r="CQ141" s="882"/>
      <c r="CR141" s="882"/>
      <c r="CS141" s="882"/>
      <c r="CT141" s="882"/>
      <c r="CU141" s="882"/>
      <c r="CV141" s="882"/>
      <c r="CW141" s="882"/>
      <c r="CX141" s="882"/>
      <c r="CY141" s="882"/>
      <c r="CZ141" s="882"/>
      <c r="DA141" s="882"/>
      <c r="DB141" s="882"/>
      <c r="DC141" s="882"/>
      <c r="DD141" s="882"/>
      <c r="DE141" s="882"/>
      <c r="DF141" s="882"/>
      <c r="DG141" s="882"/>
      <c r="DH141" s="882"/>
      <c r="DI141" s="882"/>
      <c r="DJ141" s="882"/>
      <c r="DK141" s="882"/>
      <c r="DL141" s="882"/>
      <c r="DM141" s="882"/>
      <c r="DN141" s="882"/>
      <c r="DO141" s="882"/>
      <c r="DP141" s="882"/>
    </row>
    <row r="142" spans="1:120" x14ac:dyDescent="0.25">
      <c r="A142" s="913" t="s">
        <v>7384</v>
      </c>
      <c r="B142" s="885">
        <v>24950</v>
      </c>
      <c r="C142" s="896">
        <v>21595</v>
      </c>
      <c r="D142" s="896">
        <v>0</v>
      </c>
      <c r="E142" s="887">
        <v>133950</v>
      </c>
      <c r="F142" s="888"/>
      <c r="G142" s="880"/>
      <c r="H142" s="881"/>
      <c r="I142" s="882"/>
      <c r="J142" s="882"/>
      <c r="K142" s="882"/>
      <c r="L142" s="882"/>
      <c r="M142" s="882"/>
      <c r="N142" s="882"/>
      <c r="O142" s="882"/>
      <c r="P142" s="882"/>
      <c r="Q142" s="882"/>
      <c r="R142" s="882"/>
      <c r="S142" s="882"/>
      <c r="T142" s="882"/>
      <c r="U142" s="882"/>
      <c r="V142" s="882"/>
      <c r="W142" s="882"/>
      <c r="X142" s="882"/>
      <c r="Y142" s="882"/>
      <c r="Z142" s="882"/>
      <c r="AA142" s="882"/>
      <c r="AB142" s="882"/>
      <c r="AC142" s="882"/>
      <c r="AD142" s="882"/>
      <c r="AE142" s="882"/>
      <c r="AF142" s="882"/>
      <c r="AG142" s="882"/>
      <c r="AH142" s="882"/>
      <c r="AI142" s="882"/>
      <c r="AJ142" s="882"/>
      <c r="AK142" s="882"/>
      <c r="AL142" s="882"/>
      <c r="AM142" s="882"/>
      <c r="AN142" s="882"/>
      <c r="AO142" s="882"/>
      <c r="AP142" s="882"/>
      <c r="AQ142" s="882"/>
      <c r="AR142" s="882"/>
      <c r="AS142" s="882"/>
      <c r="AT142" s="882"/>
      <c r="AU142" s="882"/>
      <c r="AV142" s="882"/>
      <c r="AW142" s="882"/>
      <c r="AX142" s="882"/>
      <c r="AY142" s="882"/>
      <c r="AZ142" s="882"/>
      <c r="BA142" s="882"/>
      <c r="BB142" s="882"/>
      <c r="BC142" s="882"/>
      <c r="BD142" s="882"/>
      <c r="BE142" s="882"/>
      <c r="BF142" s="882"/>
      <c r="BG142" s="882"/>
      <c r="BH142" s="882"/>
      <c r="BI142" s="882"/>
      <c r="BJ142" s="882"/>
      <c r="BK142" s="882"/>
      <c r="BL142" s="882"/>
      <c r="BM142" s="882"/>
      <c r="BN142" s="882"/>
      <c r="BO142" s="882"/>
      <c r="BP142" s="882"/>
      <c r="BQ142" s="882"/>
      <c r="BR142" s="882"/>
      <c r="BS142" s="882"/>
      <c r="BT142" s="882"/>
      <c r="BU142" s="882"/>
      <c r="BV142" s="882"/>
      <c r="BW142" s="882"/>
      <c r="BX142" s="882"/>
      <c r="BY142" s="882"/>
      <c r="BZ142" s="882"/>
      <c r="CA142" s="882"/>
      <c r="CB142" s="882"/>
      <c r="CC142" s="882"/>
      <c r="CD142" s="882"/>
      <c r="CE142" s="882"/>
      <c r="CF142" s="882"/>
      <c r="CG142" s="882"/>
      <c r="CH142" s="882"/>
      <c r="CI142" s="882"/>
      <c r="CJ142" s="882"/>
      <c r="CK142" s="882"/>
      <c r="CL142" s="882"/>
      <c r="CM142" s="882"/>
      <c r="CN142" s="882"/>
      <c r="CO142" s="882"/>
      <c r="CP142" s="882"/>
      <c r="CQ142" s="882"/>
      <c r="CR142" s="882"/>
      <c r="CS142" s="882"/>
      <c r="CT142" s="882"/>
      <c r="CU142" s="882"/>
      <c r="CV142" s="882"/>
      <c r="CW142" s="882"/>
      <c r="CX142" s="882"/>
      <c r="CY142" s="882"/>
      <c r="CZ142" s="882"/>
      <c r="DA142" s="882"/>
      <c r="DB142" s="882"/>
      <c r="DC142" s="882"/>
      <c r="DD142" s="882"/>
      <c r="DE142" s="882"/>
      <c r="DF142" s="882"/>
      <c r="DG142" s="882"/>
      <c r="DH142" s="882"/>
      <c r="DI142" s="882"/>
      <c r="DJ142" s="882"/>
      <c r="DK142" s="882"/>
      <c r="DL142" s="882"/>
      <c r="DM142" s="882"/>
      <c r="DN142" s="882"/>
      <c r="DO142" s="882"/>
      <c r="DP142" s="882"/>
    </row>
    <row r="143" spans="1:120" ht="24.75" customHeight="1" x14ac:dyDescent="0.25">
      <c r="A143" s="913" t="s">
        <v>6786</v>
      </c>
      <c r="B143" s="961">
        <v>0</v>
      </c>
      <c r="C143" s="962">
        <v>668464</v>
      </c>
      <c r="D143" s="962">
        <v>0</v>
      </c>
      <c r="E143" s="963">
        <v>498250</v>
      </c>
      <c r="F143" s="888" t="s">
        <v>7385</v>
      </c>
      <c r="G143" s="880"/>
      <c r="H143" s="881"/>
      <c r="I143" s="882"/>
      <c r="J143" s="882"/>
      <c r="K143" s="882"/>
      <c r="L143" s="882"/>
      <c r="M143" s="882"/>
      <c r="N143" s="882"/>
      <c r="O143" s="882"/>
      <c r="P143" s="882"/>
      <c r="Q143" s="882"/>
      <c r="R143" s="882"/>
      <c r="S143" s="882"/>
      <c r="T143" s="882"/>
      <c r="U143" s="882"/>
      <c r="V143" s="882"/>
      <c r="W143" s="882"/>
      <c r="X143" s="882"/>
      <c r="Y143" s="882"/>
      <c r="Z143" s="882"/>
      <c r="AA143" s="882"/>
      <c r="AB143" s="882"/>
      <c r="AC143" s="882"/>
      <c r="AD143" s="882"/>
      <c r="AE143" s="882"/>
      <c r="AF143" s="882"/>
      <c r="AG143" s="882"/>
      <c r="AH143" s="882"/>
      <c r="AI143" s="882"/>
      <c r="AJ143" s="882"/>
      <c r="AK143" s="882"/>
      <c r="AL143" s="882"/>
      <c r="AM143" s="882"/>
      <c r="AN143" s="882"/>
      <c r="AO143" s="882"/>
      <c r="AP143" s="882"/>
      <c r="AQ143" s="882"/>
      <c r="AR143" s="882"/>
    </row>
    <row r="144" spans="1:120" ht="24.9" customHeight="1" x14ac:dyDescent="0.25">
      <c r="A144" s="871" t="s">
        <v>6726</v>
      </c>
      <c r="B144" s="885">
        <f>SUM(B145:B149)</f>
        <v>3520852.65</v>
      </c>
      <c r="C144" s="896">
        <f>SUM(C145:C149)</f>
        <v>1467286.44</v>
      </c>
      <c r="D144" s="896">
        <f>SUM(D145:D149)</f>
        <v>0</v>
      </c>
      <c r="E144" s="887">
        <f>SUM(E145:E149)</f>
        <v>3070000</v>
      </c>
      <c r="F144" s="888"/>
      <c r="G144" s="904"/>
      <c r="H144" s="905"/>
      <c r="I144" s="906"/>
      <c r="J144" s="906"/>
      <c r="K144" s="906"/>
      <c r="L144" s="906"/>
      <c r="M144" s="906"/>
      <c r="N144" s="906"/>
      <c r="O144" s="906"/>
      <c r="P144" s="906"/>
      <c r="Q144" s="906"/>
      <c r="R144" s="906"/>
      <c r="S144" s="906"/>
      <c r="T144" s="906"/>
      <c r="U144" s="906"/>
      <c r="V144" s="906"/>
      <c r="W144" s="906"/>
      <c r="X144" s="906"/>
      <c r="Y144" s="906"/>
      <c r="Z144" s="906"/>
      <c r="AA144" s="906"/>
      <c r="AB144" s="906"/>
      <c r="AC144" s="906"/>
      <c r="AD144" s="906"/>
      <c r="AE144" s="906"/>
      <c r="AF144" s="906"/>
      <c r="AG144" s="906"/>
      <c r="AH144" s="906"/>
      <c r="AI144" s="906"/>
      <c r="AJ144" s="906"/>
      <c r="AK144" s="906"/>
      <c r="AL144" s="906"/>
      <c r="AM144" s="906"/>
      <c r="AN144" s="906"/>
      <c r="AO144" s="906"/>
      <c r="AP144" s="906"/>
      <c r="AQ144" s="906"/>
      <c r="AR144" s="906"/>
    </row>
    <row r="145" spans="1:44" s="964" customFormat="1" ht="24.9" customHeight="1" x14ac:dyDescent="0.25">
      <c r="A145" s="871" t="s">
        <v>6727</v>
      </c>
      <c r="B145" s="885">
        <v>3518575.65</v>
      </c>
      <c r="C145" s="896">
        <v>1396146.15</v>
      </c>
      <c r="D145" s="896">
        <v>0</v>
      </c>
      <c r="E145" s="887">
        <v>3000000</v>
      </c>
      <c r="F145" s="888"/>
      <c r="G145" s="897"/>
      <c r="H145" s="898"/>
      <c r="I145" s="899"/>
      <c r="J145" s="899"/>
      <c r="K145" s="899"/>
      <c r="L145" s="899"/>
      <c r="M145" s="899"/>
      <c r="N145" s="899"/>
      <c r="O145" s="899"/>
      <c r="P145" s="899"/>
      <c r="Q145" s="899"/>
      <c r="R145" s="899"/>
      <c r="S145" s="899"/>
      <c r="T145" s="899"/>
      <c r="U145" s="899"/>
      <c r="V145" s="899"/>
      <c r="W145" s="899"/>
      <c r="X145" s="899"/>
      <c r="Y145" s="899"/>
      <c r="Z145" s="899"/>
      <c r="AA145" s="899"/>
      <c r="AB145" s="899"/>
      <c r="AC145" s="899"/>
      <c r="AD145" s="899"/>
      <c r="AE145" s="899"/>
      <c r="AF145" s="899"/>
      <c r="AG145" s="899"/>
      <c r="AH145" s="899"/>
      <c r="AI145" s="899"/>
      <c r="AJ145" s="899"/>
      <c r="AK145" s="899"/>
      <c r="AL145" s="899"/>
      <c r="AM145" s="899"/>
      <c r="AN145" s="899"/>
      <c r="AO145" s="899"/>
      <c r="AP145" s="899"/>
      <c r="AQ145" s="899"/>
      <c r="AR145" s="899"/>
    </row>
    <row r="146" spans="1:44" s="960" customFormat="1" x14ac:dyDescent="0.25">
      <c r="A146" s="913" t="s">
        <v>6728</v>
      </c>
      <c r="B146" s="885">
        <v>0</v>
      </c>
      <c r="C146" s="896">
        <v>4956</v>
      </c>
      <c r="D146" s="896">
        <v>0</v>
      </c>
      <c r="E146" s="887">
        <v>0</v>
      </c>
      <c r="F146" s="888"/>
      <c r="G146" s="904"/>
      <c r="H146" s="905"/>
      <c r="I146" s="906"/>
      <c r="J146" s="906"/>
      <c r="K146" s="906"/>
      <c r="L146" s="906"/>
      <c r="M146" s="906"/>
      <c r="N146" s="906"/>
      <c r="O146" s="906"/>
      <c r="P146" s="906"/>
      <c r="Q146" s="906"/>
      <c r="R146" s="906"/>
      <c r="S146" s="906"/>
      <c r="T146" s="906"/>
      <c r="U146" s="906"/>
      <c r="V146" s="906"/>
      <c r="W146" s="906"/>
      <c r="X146" s="906"/>
      <c r="Y146" s="906"/>
      <c r="Z146" s="906"/>
      <c r="AA146" s="906"/>
      <c r="AB146" s="906"/>
      <c r="AC146" s="906"/>
      <c r="AD146" s="906"/>
      <c r="AE146" s="906"/>
      <c r="AF146" s="906"/>
      <c r="AG146" s="906"/>
      <c r="AH146" s="906"/>
      <c r="AI146" s="906"/>
      <c r="AJ146" s="906"/>
      <c r="AK146" s="906"/>
      <c r="AL146" s="906"/>
      <c r="AM146" s="906"/>
      <c r="AN146" s="906"/>
      <c r="AO146" s="906"/>
      <c r="AP146" s="906"/>
      <c r="AQ146" s="906"/>
      <c r="AR146" s="906"/>
    </row>
    <row r="147" spans="1:44" x14ac:dyDescent="0.25">
      <c r="A147" s="913" t="s">
        <v>6729</v>
      </c>
      <c r="B147" s="885">
        <v>0</v>
      </c>
      <c r="C147" s="896">
        <v>64115.79</v>
      </c>
      <c r="D147" s="896">
        <v>0</v>
      </c>
      <c r="E147" s="887">
        <v>65000</v>
      </c>
      <c r="F147" s="888"/>
      <c r="G147" s="889"/>
      <c r="H147" s="925"/>
      <c r="I147" s="891"/>
      <c r="J147" s="891"/>
      <c r="K147" s="891"/>
      <c r="L147" s="891"/>
      <c r="M147" s="891"/>
      <c r="N147" s="891"/>
      <c r="O147" s="891"/>
      <c r="P147" s="891"/>
      <c r="Q147" s="891"/>
      <c r="R147" s="891"/>
      <c r="S147" s="891"/>
      <c r="T147" s="891"/>
      <c r="U147" s="891"/>
      <c r="V147" s="891"/>
      <c r="W147" s="891"/>
      <c r="X147" s="891"/>
      <c r="Y147" s="891"/>
      <c r="Z147" s="891"/>
      <c r="AA147" s="891"/>
      <c r="AB147" s="891"/>
      <c r="AC147" s="891"/>
      <c r="AD147" s="891"/>
      <c r="AE147" s="891"/>
      <c r="AF147" s="891"/>
      <c r="AG147" s="891"/>
      <c r="AH147" s="891"/>
      <c r="AI147" s="891"/>
      <c r="AJ147" s="891"/>
      <c r="AK147" s="891"/>
      <c r="AL147" s="891"/>
      <c r="AM147" s="891"/>
      <c r="AN147" s="891"/>
      <c r="AO147" s="891"/>
      <c r="AP147" s="891"/>
      <c r="AQ147" s="891"/>
      <c r="AR147" s="891"/>
    </row>
    <row r="148" spans="1:44" x14ac:dyDescent="0.25">
      <c r="A148" s="913" t="s">
        <v>6730</v>
      </c>
      <c r="B148" s="885">
        <v>2277</v>
      </c>
      <c r="C148" s="896">
        <v>2068.5</v>
      </c>
      <c r="D148" s="896">
        <v>0</v>
      </c>
      <c r="E148" s="887">
        <v>5000</v>
      </c>
      <c r="F148" s="888"/>
      <c r="G148" s="904"/>
      <c r="H148" s="905"/>
      <c r="I148" s="906"/>
      <c r="J148" s="906"/>
      <c r="K148" s="906"/>
      <c r="L148" s="906"/>
      <c r="M148" s="906"/>
      <c r="N148" s="906"/>
      <c r="O148" s="906"/>
      <c r="P148" s="906"/>
      <c r="Q148" s="906"/>
      <c r="R148" s="906"/>
      <c r="S148" s="906"/>
      <c r="T148" s="906"/>
      <c r="U148" s="906"/>
      <c r="V148" s="906"/>
      <c r="W148" s="906"/>
      <c r="X148" s="906"/>
      <c r="Y148" s="906"/>
      <c r="Z148" s="906"/>
      <c r="AA148" s="906"/>
      <c r="AB148" s="906"/>
      <c r="AC148" s="906"/>
      <c r="AD148" s="906"/>
      <c r="AE148" s="906"/>
      <c r="AF148" s="906"/>
      <c r="AG148" s="906"/>
      <c r="AH148" s="906"/>
      <c r="AI148" s="906"/>
      <c r="AJ148" s="906"/>
      <c r="AK148" s="906"/>
      <c r="AL148" s="906"/>
      <c r="AM148" s="906"/>
      <c r="AN148" s="906"/>
      <c r="AO148" s="906"/>
      <c r="AP148" s="906"/>
      <c r="AQ148" s="906"/>
      <c r="AR148" s="906"/>
    </row>
    <row r="149" spans="1:44" x14ac:dyDescent="0.25">
      <c r="A149" s="913" t="s">
        <v>6731</v>
      </c>
      <c r="B149" s="885">
        <v>0</v>
      </c>
      <c r="C149" s="896">
        <v>0</v>
      </c>
      <c r="D149" s="896">
        <v>0</v>
      </c>
      <c r="E149" s="887">
        <v>0</v>
      </c>
      <c r="F149" s="888"/>
      <c r="G149" s="904"/>
      <c r="H149" s="905"/>
      <c r="I149" s="906"/>
      <c r="J149" s="906"/>
      <c r="K149" s="906"/>
      <c r="L149" s="906"/>
      <c r="M149" s="906"/>
      <c r="N149" s="906"/>
      <c r="O149" s="906"/>
      <c r="P149" s="906"/>
      <c r="Q149" s="906"/>
      <c r="R149" s="906"/>
      <c r="S149" s="906"/>
      <c r="T149" s="906"/>
      <c r="U149" s="906"/>
      <c r="V149" s="906"/>
      <c r="W149" s="906"/>
      <c r="X149" s="906"/>
      <c r="Y149" s="906"/>
      <c r="Z149" s="906"/>
      <c r="AA149" s="906"/>
      <c r="AB149" s="906"/>
      <c r="AC149" s="906"/>
      <c r="AD149" s="906"/>
      <c r="AE149" s="906"/>
      <c r="AF149" s="906"/>
      <c r="AG149" s="906"/>
      <c r="AH149" s="906"/>
      <c r="AI149" s="906"/>
      <c r="AJ149" s="906"/>
      <c r="AK149" s="906"/>
      <c r="AL149" s="906"/>
      <c r="AM149" s="906"/>
      <c r="AN149" s="906"/>
      <c r="AO149" s="906"/>
      <c r="AP149" s="906"/>
      <c r="AQ149" s="906"/>
      <c r="AR149" s="906"/>
    </row>
    <row r="150" spans="1:44" x14ac:dyDescent="0.25">
      <c r="A150" s="871" t="s">
        <v>6733</v>
      </c>
      <c r="B150" s="885">
        <f>SUM(B151:B153)</f>
        <v>2449456</v>
      </c>
      <c r="C150" s="896">
        <f>SUM(C151:C153)</f>
        <v>2585347.09</v>
      </c>
      <c r="D150" s="896">
        <f>SUM(D151:D153)</f>
        <v>0</v>
      </c>
      <c r="E150" s="887">
        <f>SUM(E151:E153)</f>
        <v>12814000</v>
      </c>
      <c r="F150" s="888"/>
      <c r="G150" s="904">
        <v>11090280</v>
      </c>
      <c r="H150" s="890">
        <v>5301873</v>
      </c>
      <c r="I150" s="906"/>
      <c r="J150" s="906"/>
      <c r="K150" s="906"/>
      <c r="L150" s="906"/>
      <c r="M150" s="906"/>
      <c r="N150" s="906"/>
      <c r="O150" s="906"/>
      <c r="P150" s="906"/>
      <c r="Q150" s="906"/>
      <c r="R150" s="906"/>
      <c r="S150" s="906"/>
      <c r="T150" s="906"/>
      <c r="U150" s="906"/>
      <c r="V150" s="906"/>
      <c r="W150" s="906"/>
      <c r="X150" s="906"/>
      <c r="Y150" s="906"/>
      <c r="Z150" s="906"/>
      <c r="AA150" s="906"/>
      <c r="AB150" s="906"/>
      <c r="AC150" s="906"/>
      <c r="AD150" s="906"/>
      <c r="AE150" s="906"/>
      <c r="AF150" s="906"/>
      <c r="AG150" s="906"/>
      <c r="AH150" s="906"/>
      <c r="AI150" s="906"/>
      <c r="AJ150" s="906"/>
      <c r="AK150" s="906"/>
      <c r="AL150" s="906"/>
      <c r="AM150" s="906"/>
      <c r="AN150" s="906"/>
      <c r="AO150" s="906"/>
      <c r="AP150" s="906"/>
      <c r="AQ150" s="906"/>
      <c r="AR150" s="906"/>
    </row>
    <row r="151" spans="1:44" s="883" customFormat="1" x14ac:dyDescent="0.5">
      <c r="A151" s="913" t="s">
        <v>7386</v>
      </c>
      <c r="B151" s="885">
        <v>725410</v>
      </c>
      <c r="C151" s="896">
        <v>1003971.09</v>
      </c>
      <c r="D151" s="896">
        <v>0</v>
      </c>
      <c r="E151" s="887">
        <v>300000</v>
      </c>
      <c r="F151" s="965" t="s">
        <v>7387</v>
      </c>
      <c r="G151" s="966">
        <f>SUM(G97:G150)</f>
        <v>33390918.879999999</v>
      </c>
      <c r="H151" s="966">
        <f>SUM(H97:H150)</f>
        <v>23733011.406323243</v>
      </c>
      <c r="I151" s="959" t="s">
        <v>7388</v>
      </c>
      <c r="J151" s="967">
        <v>10960000</v>
      </c>
      <c r="K151" s="899"/>
      <c r="L151" s="899"/>
      <c r="M151" s="899"/>
      <c r="N151" s="899"/>
      <c r="O151" s="899"/>
      <c r="P151" s="899"/>
      <c r="Q151" s="899"/>
      <c r="R151" s="899"/>
      <c r="S151" s="899"/>
      <c r="T151" s="899"/>
      <c r="U151" s="899"/>
      <c r="V151" s="899"/>
      <c r="W151" s="899"/>
      <c r="X151" s="899"/>
      <c r="Y151" s="899"/>
      <c r="Z151" s="899"/>
      <c r="AA151" s="899"/>
      <c r="AB151" s="899"/>
      <c r="AC151" s="899"/>
      <c r="AD151" s="899"/>
      <c r="AE151" s="899"/>
      <c r="AF151" s="899"/>
      <c r="AG151" s="899"/>
      <c r="AH151" s="899"/>
      <c r="AI151" s="899"/>
      <c r="AJ151" s="899"/>
      <c r="AK151" s="899"/>
      <c r="AL151" s="899"/>
      <c r="AM151" s="899"/>
      <c r="AN151" s="899"/>
      <c r="AO151" s="899"/>
      <c r="AP151" s="899"/>
      <c r="AQ151" s="899"/>
      <c r="AR151" s="899"/>
    </row>
    <row r="152" spans="1:44" x14ac:dyDescent="0.25">
      <c r="A152" s="913" t="s">
        <v>7389</v>
      </c>
      <c r="B152" s="885">
        <v>1724046</v>
      </c>
      <c r="C152" s="896">
        <v>1581376</v>
      </c>
      <c r="D152" s="896">
        <v>0</v>
      </c>
      <c r="E152" s="887">
        <v>12514000</v>
      </c>
      <c r="F152" s="888" t="s">
        <v>7390</v>
      </c>
      <c r="G152" s="968"/>
      <c r="H152" s="968"/>
      <c r="I152" s="969" t="s">
        <v>7391</v>
      </c>
      <c r="J152" s="864">
        <v>498250</v>
      </c>
      <c r="K152" s="906"/>
      <c r="L152" s="906"/>
      <c r="M152" s="906"/>
      <c r="N152" s="906"/>
      <c r="O152" s="906"/>
      <c r="P152" s="906"/>
      <c r="Q152" s="906"/>
      <c r="R152" s="906"/>
      <c r="S152" s="906"/>
      <c r="T152" s="906"/>
      <c r="U152" s="906"/>
      <c r="V152" s="906"/>
      <c r="W152" s="906"/>
      <c r="X152" s="906"/>
      <c r="Y152" s="906"/>
      <c r="Z152" s="906"/>
      <c r="AA152" s="906"/>
      <c r="AB152" s="906"/>
      <c r="AC152" s="906"/>
      <c r="AD152" s="906"/>
      <c r="AE152" s="906"/>
      <c r="AF152" s="906"/>
      <c r="AG152" s="906"/>
      <c r="AH152" s="906"/>
      <c r="AI152" s="906"/>
      <c r="AJ152" s="906"/>
      <c r="AK152" s="906"/>
      <c r="AL152" s="906"/>
      <c r="AM152" s="906"/>
      <c r="AN152" s="906"/>
      <c r="AO152" s="906"/>
      <c r="AP152" s="906"/>
      <c r="AQ152" s="906"/>
      <c r="AR152" s="906"/>
    </row>
    <row r="153" spans="1:44" x14ac:dyDescent="0.25">
      <c r="A153" s="913" t="s">
        <v>6736</v>
      </c>
      <c r="B153" s="885">
        <v>0</v>
      </c>
      <c r="C153" s="896">
        <v>0</v>
      </c>
      <c r="D153" s="896">
        <v>0</v>
      </c>
      <c r="E153" s="887">
        <v>0</v>
      </c>
      <c r="F153" s="888"/>
      <c r="G153" s="968"/>
      <c r="H153" s="970"/>
      <c r="I153" s="959" t="s">
        <v>7392</v>
      </c>
      <c r="J153" s="967">
        <v>1554000</v>
      </c>
      <c r="K153" s="882">
        <f>J151+J153</f>
        <v>12514000</v>
      </c>
      <c r="L153" s="882"/>
      <c r="M153" s="882"/>
      <c r="N153" s="882"/>
      <c r="O153" s="882"/>
      <c r="P153" s="882"/>
      <c r="Q153" s="882"/>
      <c r="R153" s="882"/>
      <c r="S153" s="882"/>
      <c r="T153" s="882"/>
      <c r="U153" s="882"/>
      <c r="V153" s="882"/>
      <c r="W153" s="882"/>
      <c r="X153" s="882"/>
      <c r="Y153" s="882"/>
      <c r="Z153" s="882"/>
      <c r="AA153" s="882"/>
      <c r="AB153" s="882"/>
      <c r="AC153" s="882"/>
      <c r="AD153" s="882"/>
      <c r="AE153" s="882"/>
      <c r="AF153" s="882"/>
      <c r="AG153" s="882"/>
      <c r="AH153" s="882"/>
      <c r="AI153" s="882"/>
      <c r="AJ153" s="882"/>
      <c r="AK153" s="882"/>
      <c r="AL153" s="882"/>
      <c r="AM153" s="882"/>
      <c r="AN153" s="882"/>
      <c r="AO153" s="882"/>
      <c r="AP153" s="882"/>
      <c r="AQ153" s="882"/>
      <c r="AR153" s="882"/>
    </row>
    <row r="154" spans="1:44" x14ac:dyDescent="0.25">
      <c r="A154" s="871" t="s">
        <v>6737</v>
      </c>
      <c r="B154" s="872">
        <f>SUM(B155:B159)</f>
        <v>0</v>
      </c>
      <c r="C154" s="873">
        <f>SUM(C155:C159)</f>
        <v>7954617.2699999996</v>
      </c>
      <c r="D154" s="873">
        <f>SUM(D155:D159)</f>
        <v>0</v>
      </c>
      <c r="E154" s="874">
        <f>SUM(E155:E159)</f>
        <v>12787864.73</v>
      </c>
      <c r="F154" s="875"/>
      <c r="G154" s="968"/>
      <c r="H154" s="970"/>
      <c r="I154" s="969" t="s">
        <v>7393</v>
      </c>
      <c r="K154" s="906"/>
      <c r="L154" s="906"/>
      <c r="M154" s="906"/>
      <c r="N154" s="906"/>
      <c r="O154" s="906"/>
      <c r="P154" s="906"/>
      <c r="Q154" s="906"/>
      <c r="R154" s="906"/>
      <c r="S154" s="906"/>
      <c r="T154" s="906"/>
      <c r="U154" s="906"/>
      <c r="V154" s="906"/>
      <c r="W154" s="906"/>
      <c r="X154" s="906"/>
      <c r="Y154" s="906"/>
      <c r="Z154" s="906"/>
      <c r="AA154" s="906"/>
      <c r="AB154" s="906"/>
      <c r="AC154" s="906"/>
      <c r="AD154" s="906"/>
      <c r="AE154" s="906"/>
      <c r="AF154" s="906"/>
      <c r="AG154" s="906"/>
      <c r="AH154" s="906"/>
      <c r="AI154" s="906"/>
      <c r="AJ154" s="906"/>
      <c r="AK154" s="906"/>
      <c r="AL154" s="906"/>
      <c r="AM154" s="906"/>
      <c r="AN154" s="906"/>
      <c r="AO154" s="906"/>
      <c r="AP154" s="906"/>
      <c r="AQ154" s="906"/>
      <c r="AR154" s="906"/>
    </row>
    <row r="155" spans="1:44" s="883" customFormat="1" x14ac:dyDescent="0.25">
      <c r="A155" s="913" t="s">
        <v>6738</v>
      </c>
      <c r="B155" s="885">
        <v>0</v>
      </c>
      <c r="C155" s="896">
        <v>3569845</v>
      </c>
      <c r="D155" s="896">
        <v>0</v>
      </c>
      <c r="E155" s="887">
        <v>7456918</v>
      </c>
      <c r="F155" s="888" t="s">
        <v>6787</v>
      </c>
      <c r="G155" s="966"/>
      <c r="H155" s="966"/>
      <c r="I155" s="958" t="s">
        <v>7394</v>
      </c>
      <c r="J155" s="971">
        <f>SUM(J151:J154)</f>
        <v>13012250</v>
      </c>
      <c r="K155" s="899"/>
      <c r="L155" s="899"/>
      <c r="M155" s="899"/>
      <c r="N155" s="899"/>
      <c r="O155" s="899"/>
      <c r="P155" s="899"/>
      <c r="Q155" s="899"/>
      <c r="R155" s="899"/>
      <c r="S155" s="899"/>
      <c r="T155" s="899"/>
      <c r="U155" s="899"/>
      <c r="V155" s="899"/>
      <c r="W155" s="899"/>
      <c r="X155" s="899"/>
      <c r="Y155" s="899"/>
      <c r="Z155" s="899"/>
      <c r="AA155" s="899"/>
      <c r="AB155" s="899"/>
      <c r="AC155" s="899"/>
      <c r="AD155" s="899"/>
      <c r="AE155" s="899"/>
      <c r="AF155" s="899"/>
      <c r="AG155" s="899"/>
      <c r="AH155" s="899"/>
      <c r="AI155" s="899"/>
      <c r="AJ155" s="899"/>
      <c r="AK155" s="899"/>
      <c r="AL155" s="899"/>
      <c r="AM155" s="899"/>
      <c r="AN155" s="899"/>
      <c r="AO155" s="899"/>
      <c r="AP155" s="899"/>
      <c r="AQ155" s="899"/>
      <c r="AR155" s="899"/>
    </row>
    <row r="156" spans="1:44" x14ac:dyDescent="0.25">
      <c r="A156" s="913" t="s">
        <v>6739</v>
      </c>
      <c r="B156" s="885">
        <v>0</v>
      </c>
      <c r="C156" s="896">
        <v>1290748.27</v>
      </c>
      <c r="D156" s="896">
        <v>0</v>
      </c>
      <c r="E156" s="887">
        <v>2174986.1800000002</v>
      </c>
      <c r="F156" s="888" t="s">
        <v>6787</v>
      </c>
      <c r="G156" s="968"/>
      <c r="H156" s="970"/>
      <c r="K156" s="906"/>
      <c r="L156" s="906"/>
      <c r="M156" s="906"/>
      <c r="N156" s="906"/>
      <c r="O156" s="906"/>
      <c r="P156" s="906"/>
      <c r="Q156" s="906"/>
      <c r="R156" s="906"/>
      <c r="S156" s="906"/>
      <c r="T156" s="906"/>
      <c r="U156" s="906"/>
      <c r="V156" s="906"/>
      <c r="W156" s="906"/>
      <c r="X156" s="906"/>
      <c r="Y156" s="906"/>
      <c r="Z156" s="906"/>
      <c r="AA156" s="906"/>
      <c r="AB156" s="906"/>
      <c r="AC156" s="906"/>
      <c r="AD156" s="906"/>
      <c r="AE156" s="906"/>
      <c r="AF156" s="906"/>
      <c r="AG156" s="906"/>
      <c r="AH156" s="906"/>
      <c r="AI156" s="906"/>
      <c r="AJ156" s="906"/>
      <c r="AK156" s="906"/>
      <c r="AL156" s="906"/>
      <c r="AM156" s="906"/>
      <c r="AN156" s="906"/>
      <c r="AO156" s="906"/>
      <c r="AP156" s="906"/>
      <c r="AQ156" s="906"/>
      <c r="AR156" s="906"/>
    </row>
    <row r="157" spans="1:44" x14ac:dyDescent="0.25">
      <c r="A157" s="913" t="s">
        <v>7395</v>
      </c>
      <c r="B157" s="885">
        <v>0</v>
      </c>
      <c r="C157" s="896">
        <v>1470000</v>
      </c>
      <c r="D157" s="896">
        <v>0</v>
      </c>
      <c r="E157" s="887">
        <v>1534535.55</v>
      </c>
      <c r="F157" s="888"/>
      <c r="G157" s="968"/>
      <c r="H157" s="970"/>
      <c r="I157" s="972" t="s">
        <v>7396</v>
      </c>
      <c r="J157" s="899">
        <f>E100+E102+E103+E104+E105+E106+E109+E111+E113+E115+E118+E124+E132+E143+E152+E162</f>
        <v>43303308.100000001</v>
      </c>
      <c r="K157" s="882"/>
      <c r="L157" s="882"/>
      <c r="M157" s="882"/>
      <c r="N157" s="882"/>
      <c r="O157" s="882"/>
      <c r="P157" s="882"/>
      <c r="Q157" s="882"/>
      <c r="R157" s="882"/>
      <c r="S157" s="882"/>
      <c r="T157" s="882"/>
      <c r="U157" s="882"/>
      <c r="V157" s="882"/>
      <c r="W157" s="882"/>
      <c r="X157" s="882"/>
      <c r="Y157" s="882"/>
      <c r="Z157" s="882"/>
      <c r="AA157" s="882"/>
      <c r="AB157" s="882"/>
      <c r="AC157" s="882"/>
      <c r="AD157" s="882"/>
      <c r="AE157" s="882"/>
      <c r="AF157" s="882"/>
      <c r="AG157" s="882"/>
      <c r="AH157" s="882"/>
      <c r="AI157" s="882"/>
      <c r="AJ157" s="882"/>
      <c r="AK157" s="882"/>
      <c r="AL157" s="882"/>
      <c r="AM157" s="882"/>
      <c r="AN157" s="882"/>
      <c r="AO157" s="882"/>
      <c r="AP157" s="882"/>
      <c r="AQ157" s="882"/>
      <c r="AR157" s="882"/>
    </row>
    <row r="158" spans="1:44" x14ac:dyDescent="0.25">
      <c r="A158" s="913" t="s">
        <v>6741</v>
      </c>
      <c r="B158" s="885">
        <v>0</v>
      </c>
      <c r="C158" s="896">
        <v>1624024</v>
      </c>
      <c r="D158" s="896">
        <v>0</v>
      </c>
      <c r="E158" s="887">
        <v>1621425</v>
      </c>
      <c r="F158" s="888" t="s">
        <v>7397</v>
      </c>
      <c r="G158" s="904"/>
      <c r="H158" s="905"/>
      <c r="I158" s="906"/>
      <c r="J158" s="906"/>
      <c r="K158" s="906"/>
      <c r="L158" s="906"/>
      <c r="M158" s="906"/>
      <c r="N158" s="906"/>
      <c r="O158" s="906"/>
      <c r="P158" s="906"/>
      <c r="Q158" s="906"/>
      <c r="R158" s="906"/>
      <c r="S158" s="906"/>
      <c r="T158" s="906"/>
      <c r="U158" s="906"/>
      <c r="V158" s="906"/>
      <c r="W158" s="906"/>
      <c r="X158" s="906"/>
      <c r="Y158" s="906"/>
      <c r="Z158" s="906"/>
      <c r="AA158" s="906"/>
      <c r="AB158" s="906"/>
      <c r="AC158" s="906"/>
      <c r="AD158" s="906"/>
      <c r="AE158" s="906"/>
      <c r="AF158" s="906"/>
      <c r="AG158" s="906"/>
      <c r="AH158" s="906"/>
      <c r="AI158" s="906"/>
      <c r="AJ158" s="906"/>
      <c r="AK158" s="906"/>
      <c r="AL158" s="906"/>
      <c r="AM158" s="906"/>
      <c r="AN158" s="906"/>
      <c r="AO158" s="906"/>
      <c r="AP158" s="906"/>
      <c r="AQ158" s="906"/>
      <c r="AR158" s="906"/>
    </row>
    <row r="159" spans="1:44" x14ac:dyDescent="0.25">
      <c r="A159" s="913" t="s">
        <v>6742</v>
      </c>
      <c r="B159" s="885">
        <v>0</v>
      </c>
      <c r="C159" s="896">
        <v>0</v>
      </c>
      <c r="D159" s="896">
        <v>0</v>
      </c>
      <c r="E159" s="887">
        <v>0</v>
      </c>
      <c r="F159" s="888" t="s">
        <v>6788</v>
      </c>
      <c r="G159" s="880"/>
      <c r="H159" s="881"/>
      <c r="I159" s="973"/>
      <c r="J159" s="882"/>
      <c r="K159" s="882"/>
      <c r="L159" s="882"/>
      <c r="M159" s="882"/>
      <c r="N159" s="882"/>
      <c r="O159" s="882"/>
      <c r="P159" s="882"/>
      <c r="Q159" s="882"/>
      <c r="R159" s="882"/>
      <c r="S159" s="882"/>
      <c r="T159" s="882"/>
      <c r="U159" s="882"/>
      <c r="V159" s="882"/>
      <c r="W159" s="882"/>
      <c r="X159" s="882"/>
      <c r="Y159" s="882"/>
      <c r="Z159" s="882"/>
      <c r="AA159" s="882"/>
      <c r="AB159" s="882"/>
      <c r="AC159" s="882"/>
      <c r="AD159" s="882"/>
      <c r="AE159" s="882"/>
      <c r="AF159" s="882"/>
      <c r="AG159" s="882"/>
      <c r="AH159" s="882"/>
      <c r="AI159" s="882"/>
      <c r="AJ159" s="882"/>
      <c r="AK159" s="882"/>
      <c r="AL159" s="882"/>
      <c r="AM159" s="882"/>
      <c r="AN159" s="882"/>
      <c r="AO159" s="882"/>
      <c r="AP159" s="882"/>
      <c r="AQ159" s="882"/>
      <c r="AR159" s="882"/>
    </row>
    <row r="160" spans="1:44" x14ac:dyDescent="0.25">
      <c r="A160" s="871" t="s">
        <v>6744</v>
      </c>
      <c r="B160" s="872">
        <f>SUM(B161:B164)</f>
        <v>953409.91999999993</v>
      </c>
      <c r="C160" s="873">
        <f>SUM(C161:C164)</f>
        <v>4064489.09</v>
      </c>
      <c r="D160" s="873">
        <f>SUM(D161:D164)</f>
        <v>0</v>
      </c>
      <c r="E160" s="874">
        <f>SUM(E161:E164)</f>
        <v>390000</v>
      </c>
      <c r="F160" s="875"/>
      <c r="G160" s="880"/>
      <c r="H160" s="881"/>
      <c r="I160" s="882"/>
      <c r="J160" s="882"/>
      <c r="K160" s="882"/>
      <c r="L160" s="882"/>
      <c r="M160" s="882"/>
      <c r="N160" s="882"/>
      <c r="O160" s="882"/>
      <c r="P160" s="882"/>
      <c r="Q160" s="882"/>
      <c r="R160" s="882"/>
      <c r="S160" s="882"/>
      <c r="T160" s="882"/>
      <c r="U160" s="882"/>
      <c r="V160" s="882"/>
      <c r="W160" s="882"/>
      <c r="X160" s="882"/>
      <c r="Y160" s="882"/>
      <c r="Z160" s="882"/>
      <c r="AA160" s="882"/>
      <c r="AB160" s="882"/>
      <c r="AC160" s="882"/>
      <c r="AD160" s="882"/>
      <c r="AE160" s="882"/>
      <c r="AF160" s="882"/>
      <c r="AG160" s="882"/>
      <c r="AH160" s="882"/>
      <c r="AI160" s="882"/>
      <c r="AJ160" s="882"/>
      <c r="AK160" s="882"/>
      <c r="AL160" s="882"/>
      <c r="AM160" s="882"/>
      <c r="AN160" s="882"/>
      <c r="AO160" s="882"/>
      <c r="AP160" s="882"/>
      <c r="AQ160" s="882"/>
      <c r="AR160" s="882"/>
    </row>
    <row r="161" spans="1:120" s="883" customFormat="1" x14ac:dyDescent="0.25">
      <c r="A161" s="913" t="s">
        <v>6745</v>
      </c>
      <c r="B161" s="885">
        <v>240000</v>
      </c>
      <c r="C161" s="896">
        <v>280000</v>
      </c>
      <c r="D161" s="896">
        <v>0</v>
      </c>
      <c r="E161" s="887">
        <v>240000</v>
      </c>
      <c r="F161" s="888" t="s">
        <v>7398</v>
      </c>
      <c r="G161" s="897"/>
      <c r="H161" s="898"/>
      <c r="I161" s="899"/>
      <c r="J161" s="899"/>
      <c r="K161" s="899"/>
      <c r="L161" s="899"/>
      <c r="M161" s="899"/>
      <c r="N161" s="899"/>
      <c r="O161" s="899"/>
      <c r="P161" s="899"/>
      <c r="Q161" s="899"/>
      <c r="R161" s="899"/>
      <c r="S161" s="899"/>
      <c r="T161" s="899"/>
      <c r="U161" s="899"/>
      <c r="V161" s="899"/>
      <c r="W161" s="899"/>
      <c r="X161" s="899"/>
      <c r="Y161" s="899"/>
      <c r="Z161" s="899"/>
      <c r="AA161" s="899"/>
      <c r="AB161" s="899"/>
      <c r="AC161" s="899"/>
      <c r="AD161" s="899"/>
      <c r="AE161" s="899"/>
      <c r="AF161" s="899"/>
      <c r="AG161" s="899"/>
      <c r="AH161" s="899"/>
      <c r="AI161" s="899"/>
      <c r="AJ161" s="899"/>
      <c r="AK161" s="899"/>
      <c r="AL161" s="899"/>
      <c r="AM161" s="899"/>
      <c r="AN161" s="899"/>
      <c r="AO161" s="899"/>
      <c r="AP161" s="899"/>
      <c r="AQ161" s="899"/>
      <c r="AR161" s="899"/>
    </row>
    <row r="162" spans="1:120" ht="24.9" customHeight="1" x14ac:dyDescent="0.25">
      <c r="A162" s="913" t="s">
        <v>6746</v>
      </c>
      <c r="B162" s="885">
        <v>66409.919999999998</v>
      </c>
      <c r="C162" s="896">
        <v>56519.54</v>
      </c>
      <c r="D162" s="896">
        <v>0</v>
      </c>
      <c r="E162" s="887">
        <v>150000</v>
      </c>
      <c r="F162" s="888"/>
      <c r="G162" s="904"/>
      <c r="H162" s="905"/>
      <c r="I162" s="906"/>
      <c r="J162" s="906"/>
      <c r="K162" s="906"/>
      <c r="L162" s="906"/>
      <c r="M162" s="906"/>
      <c r="N162" s="906"/>
      <c r="O162" s="906"/>
      <c r="P162" s="906"/>
      <c r="Q162" s="906"/>
      <c r="R162" s="906"/>
      <c r="S162" s="906"/>
      <c r="T162" s="906"/>
      <c r="U162" s="906"/>
      <c r="V162" s="906"/>
      <c r="W162" s="906"/>
      <c r="X162" s="906"/>
      <c r="Y162" s="906"/>
      <c r="Z162" s="906"/>
      <c r="AA162" s="906"/>
      <c r="AB162" s="906"/>
      <c r="AC162" s="906"/>
      <c r="AD162" s="906"/>
      <c r="AE162" s="906"/>
      <c r="AF162" s="906"/>
      <c r="AG162" s="906"/>
      <c r="AH162" s="906"/>
      <c r="AI162" s="906"/>
      <c r="AJ162" s="906"/>
      <c r="AK162" s="906"/>
      <c r="AL162" s="906"/>
      <c r="AM162" s="906"/>
      <c r="AN162" s="906"/>
      <c r="AO162" s="906"/>
      <c r="AP162" s="906"/>
      <c r="AQ162" s="906"/>
      <c r="AR162" s="906"/>
    </row>
    <row r="163" spans="1:120" ht="27.75" customHeight="1" x14ac:dyDescent="0.25">
      <c r="A163" s="913" t="s">
        <v>6747</v>
      </c>
      <c r="B163" s="885">
        <v>647000</v>
      </c>
      <c r="C163" s="896">
        <v>3719669.55</v>
      </c>
      <c r="D163" s="896">
        <v>0</v>
      </c>
      <c r="E163" s="887">
        <v>0</v>
      </c>
      <c r="F163" s="888" t="s">
        <v>7399</v>
      </c>
      <c r="G163" s="904"/>
      <c r="H163" s="905"/>
      <c r="I163" s="906"/>
      <c r="J163" s="906"/>
      <c r="K163" s="906"/>
      <c r="L163" s="906"/>
      <c r="M163" s="906"/>
      <c r="N163" s="906"/>
      <c r="O163" s="906"/>
      <c r="P163" s="906"/>
      <c r="Q163" s="906"/>
      <c r="R163" s="906"/>
      <c r="S163" s="906"/>
      <c r="T163" s="906"/>
      <c r="U163" s="906"/>
      <c r="V163" s="906"/>
      <c r="W163" s="906"/>
      <c r="X163" s="906"/>
      <c r="Y163" s="906"/>
      <c r="Z163" s="906"/>
      <c r="AA163" s="906"/>
      <c r="AB163" s="906"/>
      <c r="AC163" s="906"/>
      <c r="AD163" s="906"/>
      <c r="AE163" s="906"/>
      <c r="AF163" s="906"/>
      <c r="AG163" s="906"/>
      <c r="AH163" s="906"/>
      <c r="AI163" s="906"/>
      <c r="AJ163" s="906"/>
      <c r="AK163" s="906"/>
      <c r="AL163" s="906"/>
      <c r="AM163" s="906"/>
      <c r="AN163" s="906"/>
      <c r="AO163" s="906"/>
      <c r="AP163" s="906"/>
      <c r="AQ163" s="906"/>
      <c r="AR163" s="906"/>
    </row>
    <row r="164" spans="1:120" ht="24.9" customHeight="1" x14ac:dyDescent="0.25">
      <c r="A164" s="913" t="s">
        <v>6748</v>
      </c>
      <c r="B164" s="885">
        <v>0</v>
      </c>
      <c r="C164" s="896">
        <v>8300</v>
      </c>
      <c r="D164" s="896">
        <v>0</v>
      </c>
      <c r="E164" s="887">
        <v>0</v>
      </c>
      <c r="F164" s="974"/>
      <c r="G164" s="889"/>
      <c r="H164" s="925"/>
      <c r="I164" s="891"/>
      <c r="J164" s="891"/>
      <c r="K164" s="891"/>
      <c r="L164" s="891"/>
      <c r="M164" s="891"/>
      <c r="N164" s="891"/>
      <c r="O164" s="891"/>
      <c r="P164" s="891"/>
      <c r="Q164" s="891"/>
      <c r="R164" s="891"/>
      <c r="S164" s="891"/>
      <c r="T164" s="891"/>
      <c r="U164" s="891"/>
      <c r="V164" s="891"/>
      <c r="W164" s="891"/>
      <c r="X164" s="891"/>
      <c r="Y164" s="891"/>
      <c r="Z164" s="891"/>
      <c r="AA164" s="891"/>
      <c r="AB164" s="891"/>
      <c r="AC164" s="891"/>
      <c r="AD164" s="891"/>
      <c r="AE164" s="891"/>
      <c r="AF164" s="891"/>
      <c r="AG164" s="891"/>
      <c r="AH164" s="891"/>
      <c r="AI164" s="891"/>
      <c r="AJ164" s="891"/>
      <c r="AK164" s="891"/>
      <c r="AL164" s="891"/>
      <c r="AM164" s="891"/>
      <c r="AN164" s="891"/>
      <c r="AO164" s="891"/>
      <c r="AP164" s="891"/>
      <c r="AQ164" s="891"/>
      <c r="AR164" s="891"/>
    </row>
    <row r="165" spans="1:120" ht="24.9" customHeight="1" x14ac:dyDescent="0.25">
      <c r="A165" s="975" t="s">
        <v>6749</v>
      </c>
      <c r="B165" s="930">
        <f>B97+B118+B124+B144+B150+B154+B160</f>
        <v>21417617.129999995</v>
      </c>
      <c r="C165" s="931">
        <f>C97+C118+C124+C144+C150+C154+C160</f>
        <v>32705232.07</v>
      </c>
      <c r="D165" s="931">
        <f>D97+D118+D124+D144+D150+D154+D160</f>
        <v>0</v>
      </c>
      <c r="E165" s="931">
        <f>E97+E118+E124+E144+E150+E154+E160</f>
        <v>60129257.030000001</v>
      </c>
      <c r="F165" s="875"/>
      <c r="G165" s="889"/>
      <c r="H165" s="925"/>
      <c r="I165" s="891"/>
      <c r="J165" s="891"/>
      <c r="K165" s="891"/>
      <c r="L165" s="891"/>
      <c r="M165" s="891"/>
      <c r="N165" s="891"/>
      <c r="O165" s="891"/>
      <c r="P165" s="891"/>
      <c r="Q165" s="891"/>
      <c r="R165" s="891"/>
      <c r="S165" s="891"/>
      <c r="T165" s="891"/>
      <c r="U165" s="891"/>
      <c r="V165" s="891"/>
      <c r="W165" s="891"/>
      <c r="X165" s="891"/>
      <c r="Y165" s="891"/>
      <c r="Z165" s="891"/>
      <c r="AA165" s="891"/>
      <c r="AB165" s="891"/>
      <c r="AC165" s="891"/>
      <c r="AD165" s="891"/>
      <c r="AE165" s="891"/>
      <c r="AF165" s="891"/>
      <c r="AG165" s="891"/>
      <c r="AH165" s="891"/>
      <c r="AI165" s="891"/>
      <c r="AJ165" s="891"/>
      <c r="AK165" s="891"/>
      <c r="AL165" s="891"/>
      <c r="AM165" s="891"/>
      <c r="AN165" s="891"/>
      <c r="AO165" s="891"/>
      <c r="AP165" s="891"/>
      <c r="AQ165" s="891"/>
      <c r="AR165" s="891"/>
    </row>
    <row r="166" spans="1:120" ht="24.9" customHeight="1" x14ac:dyDescent="0.25">
      <c r="A166" s="975" t="s">
        <v>6354</v>
      </c>
      <c r="B166" s="950">
        <f>B96+B165</f>
        <v>21419555.329999994</v>
      </c>
      <c r="C166" s="951">
        <f>C96+C165</f>
        <v>48787986.420000002</v>
      </c>
      <c r="D166" s="951">
        <f>D96+D165</f>
        <v>0</v>
      </c>
      <c r="E166" s="951">
        <f>E96+E165</f>
        <v>86964776.030000001</v>
      </c>
      <c r="F166" s="976"/>
      <c r="G166" s="889"/>
      <c r="H166" s="925"/>
      <c r="I166" s="891"/>
      <c r="J166" s="891"/>
      <c r="K166" s="891"/>
      <c r="L166" s="891" t="s">
        <v>7380</v>
      </c>
      <c r="M166" s="891"/>
      <c r="N166" s="891"/>
      <c r="O166" s="891"/>
      <c r="P166" s="891"/>
      <c r="Q166" s="891"/>
      <c r="R166" s="891"/>
      <c r="S166" s="891"/>
      <c r="T166" s="891"/>
      <c r="U166" s="891"/>
      <c r="V166" s="891"/>
      <c r="W166" s="891"/>
      <c r="X166" s="891"/>
      <c r="Y166" s="891"/>
      <c r="Z166" s="891"/>
      <c r="AA166" s="891"/>
      <c r="AB166" s="891"/>
      <c r="AC166" s="891"/>
      <c r="AD166" s="891"/>
      <c r="AE166" s="891"/>
      <c r="AF166" s="891"/>
      <c r="AG166" s="891"/>
      <c r="AH166" s="891"/>
      <c r="AI166" s="891"/>
      <c r="AJ166" s="891"/>
      <c r="AK166" s="891"/>
      <c r="AL166" s="891"/>
      <c r="AM166" s="891"/>
      <c r="AN166" s="891"/>
      <c r="AO166" s="891"/>
      <c r="AP166" s="891"/>
      <c r="AQ166" s="891"/>
      <c r="AR166" s="891"/>
    </row>
    <row r="167" spans="1:120" ht="24.9" customHeight="1" x14ac:dyDescent="0.25">
      <c r="A167" s="975" t="s">
        <v>6789</v>
      </c>
      <c r="B167" s="950">
        <f>B67-B166</f>
        <v>47141169.060000002</v>
      </c>
      <c r="C167" s="951">
        <f>C67-C166</f>
        <v>31432126.129999995</v>
      </c>
      <c r="D167" s="951">
        <f>D67-D166</f>
        <v>0</v>
      </c>
      <c r="E167" s="951">
        <f>E67-E166</f>
        <v>863480</v>
      </c>
      <c r="F167" s="976"/>
      <c r="G167" s="889"/>
      <c r="H167" s="925"/>
      <c r="I167" s="891"/>
      <c r="J167" s="891"/>
      <c r="K167" s="891"/>
      <c r="L167" s="891"/>
      <c r="M167" s="891"/>
      <c r="N167" s="891"/>
      <c r="O167" s="891"/>
      <c r="P167" s="891"/>
      <c r="Q167" s="891"/>
      <c r="R167" s="891"/>
      <c r="S167" s="891"/>
      <c r="T167" s="891"/>
      <c r="U167" s="891"/>
      <c r="V167" s="891"/>
      <c r="W167" s="891"/>
      <c r="X167" s="891"/>
      <c r="Y167" s="891"/>
      <c r="Z167" s="891"/>
      <c r="AA167" s="891"/>
      <c r="AB167" s="891"/>
      <c r="AC167" s="891"/>
      <c r="AD167" s="891"/>
      <c r="AE167" s="891"/>
      <c r="AF167" s="891"/>
      <c r="AG167" s="891"/>
      <c r="AH167" s="891"/>
      <c r="AI167" s="891"/>
      <c r="AJ167" s="891"/>
      <c r="AK167" s="891"/>
      <c r="AL167" s="891"/>
      <c r="AM167" s="891"/>
      <c r="AN167" s="891"/>
      <c r="AO167" s="891"/>
      <c r="AP167" s="891"/>
      <c r="AQ167" s="891"/>
      <c r="AR167" s="891"/>
    </row>
    <row r="168" spans="1:120" ht="24.9" customHeight="1" x14ac:dyDescent="0.25">
      <c r="A168" s="977" t="s">
        <v>6790</v>
      </c>
      <c r="B168" s="961">
        <f>B67-B20-B166+B151+B152+B157</f>
        <v>47306923.13000001</v>
      </c>
      <c r="C168" s="962">
        <f>C67-C20-C166+C151+C152+C157</f>
        <v>32563315.179999989</v>
      </c>
      <c r="D168" s="962">
        <f>D67-D20-D166+D151+D152+D157</f>
        <v>0</v>
      </c>
      <c r="E168" s="962">
        <f>E67-E20-E166+E151+E152+E157</f>
        <v>13665915.550000001</v>
      </c>
      <c r="F168" s="888"/>
      <c r="G168" s="891"/>
      <c r="H168" s="978"/>
      <c r="I168" s="891"/>
      <c r="J168" s="891"/>
      <c r="K168" s="891"/>
      <c r="L168" s="891"/>
      <c r="M168" s="891"/>
      <c r="N168" s="891"/>
      <c r="O168" s="891"/>
      <c r="P168" s="891"/>
      <c r="Q168" s="891"/>
      <c r="R168" s="891"/>
      <c r="S168" s="891"/>
      <c r="T168" s="891"/>
      <c r="U168" s="891"/>
      <c r="V168" s="891"/>
      <c r="W168" s="891"/>
      <c r="X168" s="891"/>
      <c r="Y168" s="891"/>
      <c r="Z168" s="891"/>
      <c r="AA168" s="891"/>
      <c r="AB168" s="891"/>
      <c r="AC168" s="891"/>
      <c r="AD168" s="891"/>
      <c r="AE168" s="891"/>
      <c r="AF168" s="891"/>
      <c r="AG168" s="891"/>
      <c r="AH168" s="891"/>
      <c r="AI168" s="891"/>
      <c r="AJ168" s="891"/>
      <c r="AK168" s="891"/>
      <c r="AL168" s="891"/>
      <c r="AM168" s="891"/>
      <c r="AN168" s="891"/>
      <c r="AO168" s="891"/>
      <c r="AP168" s="891"/>
      <c r="AQ168" s="891"/>
      <c r="AR168" s="891"/>
    </row>
    <row r="169" spans="1:120" ht="24.9" customHeight="1" x14ac:dyDescent="0.25">
      <c r="A169" s="977" t="s">
        <v>6791</v>
      </c>
      <c r="B169" s="961">
        <f>B168*20/100</f>
        <v>9461384.626000002</v>
      </c>
      <c r="C169" s="962">
        <f>C168*20/100</f>
        <v>6512663.0359999975</v>
      </c>
      <c r="D169" s="962">
        <f>D168*20/100</f>
        <v>0</v>
      </c>
      <c r="E169" s="962">
        <f>E168*20/100</f>
        <v>2733183.11</v>
      </c>
      <c r="F169" s="888"/>
      <c r="G169" s="891"/>
      <c r="H169" s="978"/>
      <c r="I169" s="891"/>
      <c r="J169" s="891"/>
      <c r="K169" s="891"/>
      <c r="L169" s="891"/>
      <c r="M169" s="891"/>
      <c r="N169" s="891"/>
      <c r="O169" s="891"/>
      <c r="P169" s="891"/>
      <c r="Q169" s="891"/>
      <c r="R169" s="891"/>
      <c r="S169" s="891"/>
      <c r="T169" s="891"/>
      <c r="U169" s="891"/>
      <c r="V169" s="891"/>
      <c r="W169" s="891"/>
      <c r="X169" s="891"/>
      <c r="Y169" s="891"/>
      <c r="Z169" s="891"/>
      <c r="AA169" s="891"/>
      <c r="AB169" s="891"/>
      <c r="AC169" s="891"/>
      <c r="AD169" s="891"/>
      <c r="AE169" s="891"/>
      <c r="AF169" s="891"/>
      <c r="AG169" s="891"/>
      <c r="AH169" s="891"/>
      <c r="AI169" s="891"/>
      <c r="AJ169" s="891"/>
      <c r="AK169" s="891"/>
      <c r="AL169" s="891"/>
      <c r="AM169" s="891"/>
      <c r="AN169" s="891"/>
      <c r="AO169" s="891"/>
      <c r="AP169" s="891"/>
      <c r="AQ169" s="891"/>
      <c r="AR169" s="891"/>
    </row>
    <row r="170" spans="1:120" ht="24.9" customHeight="1" x14ac:dyDescent="0.25">
      <c r="A170" s="977" t="s">
        <v>6792</v>
      </c>
      <c r="B170" s="961">
        <f>B152</f>
        <v>1724046</v>
      </c>
      <c r="C170" s="962">
        <f>C152</f>
        <v>1581376</v>
      </c>
      <c r="D170" s="962">
        <f>D152</f>
        <v>0</v>
      </c>
      <c r="E170" s="962">
        <f>E152</f>
        <v>12514000</v>
      </c>
      <c r="F170" s="888"/>
      <c r="G170" s="891"/>
      <c r="H170" s="978"/>
      <c r="I170" s="891"/>
      <c r="J170" s="891"/>
      <c r="K170" s="891"/>
      <c r="L170" s="891"/>
      <c r="M170" s="891"/>
      <c r="N170" s="891"/>
      <c r="O170" s="891"/>
      <c r="P170" s="891"/>
      <c r="Q170" s="891"/>
      <c r="R170" s="891"/>
      <c r="S170" s="891"/>
      <c r="T170" s="891"/>
      <c r="U170" s="891"/>
      <c r="V170" s="891"/>
      <c r="W170" s="891"/>
      <c r="X170" s="891"/>
      <c r="Y170" s="891"/>
      <c r="Z170" s="891"/>
      <c r="AA170" s="891"/>
      <c r="AB170" s="891"/>
      <c r="AC170" s="891"/>
      <c r="AD170" s="891"/>
      <c r="AE170" s="891"/>
      <c r="AF170" s="891"/>
      <c r="AG170" s="891"/>
      <c r="AH170" s="891"/>
      <c r="AI170" s="891"/>
      <c r="AJ170" s="891"/>
      <c r="AK170" s="891"/>
      <c r="AL170" s="891"/>
      <c r="AM170" s="891"/>
      <c r="AN170" s="891"/>
      <c r="AO170" s="891"/>
      <c r="AP170" s="891"/>
      <c r="AQ170" s="891"/>
      <c r="AR170" s="891"/>
    </row>
    <row r="171" spans="1:120" ht="24.9" customHeight="1" x14ac:dyDescent="0.25">
      <c r="A171" s="977" t="s">
        <v>6793</v>
      </c>
      <c r="B171" s="961">
        <f>B169-B170</f>
        <v>7737338.626000002</v>
      </c>
      <c r="C171" s="962">
        <f>C169-C170</f>
        <v>4931287.0359999975</v>
      </c>
      <c r="D171" s="962">
        <f>D169-D170</f>
        <v>0</v>
      </c>
      <c r="E171" s="962">
        <f>E169-E170</f>
        <v>-9780816.8900000006</v>
      </c>
      <c r="F171" s="888"/>
      <c r="G171" s="891"/>
      <c r="H171" s="978"/>
      <c r="I171" s="891"/>
      <c r="J171" s="891"/>
      <c r="K171" s="891"/>
      <c r="L171" s="891"/>
      <c r="M171" s="891"/>
      <c r="N171" s="891"/>
      <c r="O171" s="891"/>
      <c r="P171" s="891"/>
      <c r="Q171" s="891"/>
      <c r="R171" s="891"/>
      <c r="S171" s="891"/>
      <c r="T171" s="891"/>
      <c r="U171" s="891"/>
      <c r="V171" s="891"/>
      <c r="W171" s="891"/>
      <c r="X171" s="891"/>
      <c r="Y171" s="891"/>
      <c r="Z171" s="891"/>
      <c r="AA171" s="891"/>
      <c r="AB171" s="891"/>
      <c r="AC171" s="891"/>
      <c r="AD171" s="891"/>
      <c r="AE171" s="891"/>
      <c r="AF171" s="891"/>
      <c r="AG171" s="891"/>
      <c r="AH171" s="891"/>
      <c r="AI171" s="891"/>
      <c r="AJ171" s="891"/>
      <c r="AK171" s="891"/>
      <c r="AL171" s="891"/>
      <c r="AM171" s="891"/>
      <c r="AN171" s="891"/>
      <c r="AO171" s="891"/>
      <c r="AP171" s="891"/>
      <c r="AQ171" s="891"/>
      <c r="AR171" s="891"/>
    </row>
    <row r="172" spans="1:120" x14ac:dyDescent="0.25">
      <c r="A172" s="979" t="s">
        <v>7400</v>
      </c>
      <c r="B172" s="980" t="s">
        <v>7401</v>
      </c>
      <c r="C172" s="980" t="s">
        <v>7402</v>
      </c>
      <c r="D172" s="980" t="s">
        <v>7403</v>
      </c>
      <c r="E172" s="981"/>
      <c r="F172" s="982"/>
      <c r="G172" s="891"/>
      <c r="H172" s="978"/>
      <c r="I172" s="891"/>
      <c r="J172" s="891"/>
      <c r="K172" s="891"/>
      <c r="L172" s="891"/>
      <c r="M172" s="891"/>
      <c r="N172" s="891"/>
      <c r="O172" s="891"/>
      <c r="P172" s="891"/>
      <c r="Q172" s="891"/>
      <c r="R172" s="891"/>
      <c r="S172" s="891"/>
      <c r="T172" s="891"/>
      <c r="U172" s="891"/>
      <c r="V172" s="891"/>
      <c r="W172" s="891"/>
      <c r="X172" s="891"/>
      <c r="Y172" s="891"/>
      <c r="Z172" s="891"/>
      <c r="AA172" s="891"/>
      <c r="AB172" s="891"/>
      <c r="AC172" s="891"/>
      <c r="AD172" s="891"/>
      <c r="AE172" s="891"/>
      <c r="AF172" s="891"/>
      <c r="AG172" s="891"/>
      <c r="AH172" s="891"/>
      <c r="AI172" s="891"/>
      <c r="AJ172" s="891"/>
      <c r="AK172" s="891"/>
      <c r="AL172" s="891"/>
      <c r="AM172" s="891"/>
      <c r="AN172" s="891"/>
      <c r="AO172" s="891"/>
      <c r="AP172" s="891"/>
      <c r="AQ172" s="891"/>
      <c r="AR172" s="891"/>
      <c r="AS172" s="891"/>
      <c r="AT172" s="891"/>
      <c r="AU172" s="891"/>
      <c r="AV172" s="891"/>
      <c r="AW172" s="891"/>
      <c r="AX172" s="891"/>
      <c r="AY172" s="891"/>
      <c r="AZ172" s="891"/>
      <c r="BA172" s="891"/>
      <c r="BB172" s="891"/>
      <c r="BC172" s="891"/>
      <c r="BD172" s="891"/>
      <c r="BE172" s="891"/>
      <c r="BF172" s="891"/>
      <c r="BG172" s="891"/>
      <c r="BH172" s="891"/>
      <c r="BI172" s="891"/>
      <c r="BJ172" s="891"/>
      <c r="BK172" s="891"/>
      <c r="BL172" s="891"/>
      <c r="BM172" s="891"/>
      <c r="BN172" s="891"/>
      <c r="BO172" s="891"/>
      <c r="BP172" s="891"/>
      <c r="BQ172" s="891"/>
      <c r="BR172" s="891"/>
      <c r="BS172" s="891"/>
      <c r="BT172" s="891"/>
      <c r="BU172" s="891"/>
      <c r="BV172" s="891"/>
      <c r="BW172" s="891"/>
      <c r="BX172" s="891"/>
      <c r="BY172" s="891"/>
      <c r="BZ172" s="891"/>
      <c r="CA172" s="891"/>
      <c r="CB172" s="891"/>
      <c r="CC172" s="891"/>
      <c r="CD172" s="891"/>
      <c r="CE172" s="891"/>
      <c r="CF172" s="891"/>
      <c r="CG172" s="891"/>
      <c r="CH172" s="891"/>
      <c r="CI172" s="891"/>
      <c r="CJ172" s="891"/>
      <c r="CK172" s="891"/>
      <c r="CL172" s="891"/>
      <c r="CM172" s="891"/>
      <c r="CN172" s="891"/>
      <c r="CO172" s="891"/>
      <c r="CP172" s="891"/>
      <c r="CQ172" s="891"/>
      <c r="CR172" s="891"/>
      <c r="CS172" s="891"/>
      <c r="CT172" s="891"/>
      <c r="CU172" s="891"/>
      <c r="CV172" s="891"/>
      <c r="CW172" s="891"/>
      <c r="CX172" s="891"/>
      <c r="CY172" s="891"/>
      <c r="CZ172" s="891"/>
      <c r="DA172" s="891"/>
      <c r="DB172" s="891"/>
      <c r="DC172" s="891"/>
      <c r="DD172" s="891"/>
      <c r="DE172" s="891"/>
      <c r="DF172" s="891"/>
      <c r="DG172" s="891"/>
      <c r="DH172" s="891"/>
      <c r="DI172" s="891"/>
      <c r="DJ172" s="891"/>
      <c r="DK172" s="891"/>
      <c r="DL172" s="891"/>
      <c r="DM172" s="891"/>
      <c r="DN172" s="891"/>
      <c r="DO172" s="891"/>
      <c r="DP172" s="891"/>
    </row>
    <row r="173" spans="1:120" x14ac:dyDescent="0.25">
      <c r="A173" s="983" t="s">
        <v>6794</v>
      </c>
      <c r="B173" s="984">
        <v>19578218.640000001</v>
      </c>
      <c r="C173" s="985">
        <v>40055127.75</v>
      </c>
      <c r="D173" s="985">
        <v>56374682.170000002</v>
      </c>
      <c r="E173" s="986"/>
      <c r="F173" s="875"/>
      <c r="G173" s="985"/>
      <c r="H173" s="978"/>
      <c r="I173" s="891"/>
      <c r="J173" s="891"/>
      <c r="K173" s="891"/>
      <c r="L173" s="891"/>
      <c r="M173" s="891"/>
      <c r="N173" s="891"/>
      <c r="O173" s="891"/>
      <c r="P173" s="891"/>
      <c r="Q173" s="891"/>
      <c r="R173" s="891"/>
      <c r="S173" s="891"/>
      <c r="T173" s="891"/>
      <c r="U173" s="891"/>
      <c r="V173" s="891"/>
      <c r="W173" s="891"/>
      <c r="X173" s="891"/>
      <c r="Y173" s="891"/>
      <c r="Z173" s="891"/>
      <c r="AA173" s="891"/>
      <c r="AB173" s="891"/>
      <c r="AC173" s="891"/>
      <c r="AD173" s="891"/>
      <c r="AE173" s="891"/>
      <c r="AF173" s="891"/>
      <c r="AG173" s="891"/>
      <c r="AH173" s="891"/>
      <c r="AI173" s="891"/>
      <c r="AJ173" s="891"/>
      <c r="AK173" s="891"/>
      <c r="AL173" s="891"/>
      <c r="AM173" s="891"/>
      <c r="AN173" s="891"/>
      <c r="AO173" s="891"/>
      <c r="AP173" s="891"/>
      <c r="AQ173" s="891"/>
      <c r="AR173" s="891"/>
      <c r="AS173" s="891"/>
      <c r="AT173" s="891"/>
      <c r="AU173" s="891"/>
      <c r="AV173" s="891"/>
      <c r="AW173" s="891"/>
      <c r="AX173" s="891"/>
      <c r="AY173" s="891"/>
      <c r="AZ173" s="891"/>
      <c r="BA173" s="891"/>
      <c r="BB173" s="891"/>
      <c r="BC173" s="891"/>
      <c r="BD173" s="891"/>
      <c r="BE173" s="891"/>
      <c r="BF173" s="891"/>
      <c r="BG173" s="891"/>
      <c r="BH173" s="891"/>
      <c r="BI173" s="891"/>
      <c r="BJ173" s="891"/>
      <c r="BK173" s="891"/>
      <c r="BL173" s="891"/>
      <c r="BM173" s="891"/>
      <c r="BN173" s="891"/>
      <c r="BO173" s="891"/>
      <c r="BP173" s="891"/>
      <c r="BQ173" s="891"/>
      <c r="BR173" s="891"/>
      <c r="BS173" s="891"/>
      <c r="BT173" s="891"/>
      <c r="BU173" s="891"/>
      <c r="BV173" s="891"/>
      <c r="BW173" s="891"/>
      <c r="BX173" s="891"/>
      <c r="BY173" s="891"/>
      <c r="BZ173" s="891"/>
      <c r="CA173" s="891"/>
      <c r="CB173" s="891"/>
      <c r="CC173" s="891"/>
      <c r="CD173" s="891"/>
      <c r="CE173" s="891"/>
      <c r="CF173" s="891"/>
      <c r="CG173" s="891"/>
      <c r="CH173" s="891"/>
      <c r="CI173" s="891"/>
      <c r="CJ173" s="891"/>
      <c r="CK173" s="891"/>
      <c r="CL173" s="891"/>
      <c r="CM173" s="891"/>
      <c r="CN173" s="891"/>
      <c r="CO173" s="891"/>
      <c r="CP173" s="891"/>
      <c r="CQ173" s="891"/>
      <c r="CR173" s="891"/>
      <c r="CS173" s="891"/>
      <c r="CT173" s="891"/>
      <c r="CU173" s="891"/>
      <c r="CV173" s="891"/>
      <c r="CW173" s="891"/>
      <c r="CX173" s="891"/>
      <c r="CY173" s="891"/>
      <c r="CZ173" s="891"/>
      <c r="DA173" s="891"/>
      <c r="DB173" s="891"/>
      <c r="DC173" s="891"/>
      <c r="DD173" s="891"/>
      <c r="DE173" s="891"/>
      <c r="DF173" s="891"/>
      <c r="DG173" s="891"/>
      <c r="DH173" s="891"/>
      <c r="DI173" s="891"/>
      <c r="DJ173" s="891"/>
      <c r="DK173" s="891"/>
      <c r="DL173" s="891"/>
      <c r="DM173" s="891"/>
      <c r="DN173" s="891"/>
      <c r="DO173" s="891"/>
      <c r="DP173" s="891"/>
    </row>
    <row r="174" spans="1:120" x14ac:dyDescent="0.25">
      <c r="A174" s="983" t="s">
        <v>6795</v>
      </c>
      <c r="B174" s="984">
        <v>2962702.71</v>
      </c>
      <c r="C174" s="985">
        <v>6877346.6900000004</v>
      </c>
      <c r="D174" s="985">
        <v>8298908.5099999998</v>
      </c>
      <c r="E174" s="986"/>
      <c r="F174" s="875"/>
      <c r="G174" s="891"/>
      <c r="H174" s="978"/>
      <c r="I174" s="891"/>
      <c r="J174" s="891"/>
      <c r="K174" s="891"/>
      <c r="L174" s="891"/>
      <c r="M174" s="891"/>
      <c r="N174" s="891"/>
      <c r="O174" s="891"/>
      <c r="P174" s="891"/>
      <c r="Q174" s="891"/>
      <c r="R174" s="891"/>
      <c r="S174" s="891"/>
      <c r="T174" s="891"/>
      <c r="U174" s="891"/>
      <c r="V174" s="891"/>
      <c r="W174" s="891"/>
      <c r="X174" s="891"/>
      <c r="Y174" s="891"/>
      <c r="Z174" s="891"/>
      <c r="AA174" s="891"/>
      <c r="AB174" s="891"/>
      <c r="AC174" s="891"/>
      <c r="AD174" s="891"/>
      <c r="AE174" s="891"/>
      <c r="AF174" s="891"/>
      <c r="AG174" s="891"/>
      <c r="AH174" s="891"/>
      <c r="AI174" s="891"/>
      <c r="AJ174" s="891"/>
      <c r="AK174" s="891"/>
      <c r="AL174" s="891"/>
      <c r="AM174" s="891"/>
      <c r="AN174" s="891"/>
      <c r="AO174" s="891"/>
      <c r="AP174" s="891"/>
      <c r="AQ174" s="891"/>
      <c r="AR174" s="891"/>
      <c r="AS174" s="891"/>
      <c r="AT174" s="891"/>
      <c r="AU174" s="891"/>
      <c r="AV174" s="891"/>
      <c r="AW174" s="891"/>
      <c r="AX174" s="891"/>
      <c r="AY174" s="891"/>
      <c r="AZ174" s="891"/>
      <c r="BA174" s="891"/>
      <c r="BB174" s="891"/>
      <c r="BC174" s="891"/>
      <c r="BD174" s="891"/>
      <c r="BE174" s="891"/>
      <c r="BF174" s="891"/>
      <c r="BG174" s="891"/>
      <c r="BH174" s="891"/>
      <c r="BI174" s="891"/>
      <c r="BJ174" s="891"/>
      <c r="BK174" s="891"/>
      <c r="BL174" s="891"/>
      <c r="BM174" s="891"/>
      <c r="BN174" s="891"/>
      <c r="BO174" s="891"/>
      <c r="BP174" s="891"/>
      <c r="BQ174" s="891"/>
      <c r="BR174" s="891"/>
      <c r="BS174" s="891"/>
      <c r="BT174" s="891"/>
      <c r="BU174" s="891"/>
      <c r="BV174" s="891"/>
      <c r="BW174" s="891"/>
      <c r="BX174" s="891"/>
      <c r="BY174" s="891"/>
      <c r="BZ174" s="891"/>
      <c r="CA174" s="891"/>
      <c r="CB174" s="891"/>
      <c r="CC174" s="891"/>
      <c r="CD174" s="891"/>
      <c r="CE174" s="891"/>
      <c r="CF174" s="891"/>
      <c r="CG174" s="891"/>
      <c r="CH174" s="891"/>
      <c r="CI174" s="891"/>
      <c r="CJ174" s="891"/>
      <c r="CK174" s="891"/>
      <c r="CL174" s="891"/>
      <c r="CM174" s="891"/>
      <c r="CN174" s="891"/>
      <c r="CO174" s="891"/>
      <c r="CP174" s="891"/>
      <c r="CQ174" s="891"/>
      <c r="CR174" s="891"/>
      <c r="CS174" s="891"/>
      <c r="CT174" s="891"/>
      <c r="CU174" s="891"/>
      <c r="CV174" s="891"/>
      <c r="CW174" s="891"/>
      <c r="CX174" s="891"/>
      <c r="CY174" s="891"/>
      <c r="CZ174" s="891"/>
      <c r="DA174" s="891"/>
      <c r="DB174" s="891"/>
      <c r="DC174" s="891"/>
      <c r="DD174" s="891"/>
      <c r="DE174" s="891"/>
      <c r="DF174" s="891"/>
      <c r="DG174" s="891"/>
      <c r="DH174" s="891"/>
      <c r="DI174" s="891"/>
      <c r="DJ174" s="891"/>
      <c r="DK174" s="891"/>
      <c r="DL174" s="891"/>
      <c r="DM174" s="891"/>
      <c r="DN174" s="891"/>
      <c r="DO174" s="891"/>
      <c r="DP174" s="891"/>
    </row>
    <row r="175" spans="1:120" x14ac:dyDescent="0.25">
      <c r="A175" s="983" t="s">
        <v>6796</v>
      </c>
      <c r="B175" s="984">
        <v>1628188.97</v>
      </c>
      <c r="C175" s="985">
        <v>1095711.5</v>
      </c>
      <c r="D175" s="985">
        <v>0</v>
      </c>
      <c r="E175" s="986"/>
      <c r="F175" s="875"/>
      <c r="G175" s="891"/>
      <c r="H175" s="978"/>
      <c r="I175" s="891"/>
      <c r="J175" s="891"/>
      <c r="K175" s="891"/>
      <c r="L175" s="891"/>
      <c r="M175" s="891"/>
      <c r="N175" s="891"/>
      <c r="O175" s="891"/>
      <c r="P175" s="891"/>
      <c r="Q175" s="891"/>
      <c r="R175" s="891"/>
      <c r="S175" s="891"/>
      <c r="T175" s="891"/>
      <c r="U175" s="891"/>
      <c r="V175" s="891"/>
      <c r="W175" s="891"/>
      <c r="X175" s="891"/>
      <c r="Y175" s="891"/>
      <c r="Z175" s="891"/>
      <c r="AA175" s="891"/>
      <c r="AB175" s="891"/>
      <c r="AC175" s="891"/>
      <c r="AD175" s="891"/>
      <c r="AE175" s="891"/>
      <c r="AF175" s="891"/>
      <c r="AG175" s="891"/>
      <c r="AH175" s="891"/>
      <c r="AI175" s="891"/>
      <c r="AJ175" s="891"/>
      <c r="AK175" s="891"/>
      <c r="AL175" s="891"/>
      <c r="AM175" s="891"/>
      <c r="AN175" s="891"/>
      <c r="AO175" s="891"/>
      <c r="AP175" s="891"/>
      <c r="AQ175" s="891"/>
      <c r="AR175" s="891"/>
      <c r="AS175" s="891"/>
      <c r="AT175" s="891"/>
      <c r="AU175" s="891"/>
      <c r="AV175" s="891"/>
      <c r="AW175" s="891"/>
      <c r="AX175" s="891"/>
      <c r="AY175" s="891"/>
      <c r="AZ175" s="891"/>
      <c r="BA175" s="891"/>
      <c r="BB175" s="891"/>
      <c r="BC175" s="891"/>
      <c r="BD175" s="891"/>
      <c r="BE175" s="891"/>
      <c r="BF175" s="891"/>
      <c r="BG175" s="891"/>
      <c r="BH175" s="891"/>
      <c r="BI175" s="891"/>
      <c r="BJ175" s="891"/>
      <c r="BK175" s="891"/>
      <c r="BL175" s="891"/>
      <c r="BM175" s="891"/>
      <c r="BN175" s="891"/>
      <c r="BO175" s="891"/>
      <c r="BP175" s="891"/>
      <c r="BQ175" s="891"/>
      <c r="BR175" s="891"/>
      <c r="BS175" s="891"/>
      <c r="BT175" s="891"/>
      <c r="BU175" s="891"/>
      <c r="BV175" s="891"/>
      <c r="BW175" s="891"/>
      <c r="BX175" s="891"/>
      <c r="BY175" s="891"/>
      <c r="BZ175" s="891"/>
      <c r="CA175" s="891"/>
      <c r="CB175" s="891"/>
      <c r="CC175" s="891"/>
      <c r="CD175" s="891"/>
      <c r="CE175" s="891"/>
      <c r="CF175" s="891"/>
      <c r="CG175" s="891"/>
      <c r="CH175" s="891"/>
      <c r="CI175" s="891"/>
      <c r="CJ175" s="891"/>
      <c r="CK175" s="891"/>
      <c r="CL175" s="891"/>
      <c r="CM175" s="891"/>
      <c r="CN175" s="891"/>
      <c r="CO175" s="891"/>
      <c r="CP175" s="891"/>
      <c r="CQ175" s="891"/>
      <c r="CR175" s="891"/>
      <c r="CS175" s="891"/>
      <c r="CT175" s="891"/>
      <c r="CU175" s="891"/>
      <c r="CV175" s="891"/>
      <c r="CW175" s="891"/>
      <c r="CX175" s="891"/>
      <c r="CY175" s="891"/>
      <c r="CZ175" s="891"/>
      <c r="DA175" s="891"/>
      <c r="DB175" s="891"/>
      <c r="DC175" s="891"/>
      <c r="DD175" s="891"/>
      <c r="DE175" s="891"/>
      <c r="DF175" s="891"/>
      <c r="DG175" s="891"/>
      <c r="DH175" s="891"/>
      <c r="DI175" s="891"/>
      <c r="DJ175" s="891"/>
      <c r="DK175" s="891"/>
      <c r="DL175" s="891"/>
      <c r="DM175" s="891"/>
      <c r="DN175" s="891"/>
      <c r="DO175" s="891"/>
      <c r="DP175" s="891"/>
    </row>
    <row r="176" spans="1:120" x14ac:dyDescent="0.25">
      <c r="A176" s="979" t="s">
        <v>6797</v>
      </c>
      <c r="B176" s="984">
        <v>0</v>
      </c>
      <c r="C176" s="985">
        <v>1082380.69</v>
      </c>
      <c r="D176" s="985">
        <v>0</v>
      </c>
      <c r="E176" s="986"/>
      <c r="F176" s="875"/>
      <c r="G176" s="891"/>
      <c r="H176" s="978"/>
      <c r="I176" s="891"/>
      <c r="J176" s="891"/>
      <c r="K176" s="891"/>
      <c r="L176" s="891"/>
      <c r="M176" s="891"/>
      <c r="N176" s="891"/>
      <c r="O176" s="891"/>
      <c r="P176" s="891"/>
      <c r="Q176" s="891"/>
      <c r="R176" s="891"/>
      <c r="S176" s="891"/>
      <c r="T176" s="891"/>
      <c r="U176" s="891"/>
      <c r="V176" s="891"/>
      <c r="W176" s="891"/>
      <c r="X176" s="891"/>
      <c r="Y176" s="891"/>
      <c r="Z176" s="891"/>
      <c r="AA176" s="891"/>
      <c r="AB176" s="891"/>
      <c r="AC176" s="891"/>
      <c r="AD176" s="891"/>
      <c r="AE176" s="891"/>
      <c r="AF176" s="891"/>
      <c r="AG176" s="891"/>
      <c r="AH176" s="891"/>
      <c r="AI176" s="891"/>
      <c r="AJ176" s="891"/>
      <c r="AK176" s="891"/>
      <c r="AL176" s="891"/>
      <c r="AM176" s="891"/>
      <c r="AN176" s="891"/>
      <c r="AO176" s="891"/>
      <c r="AP176" s="891"/>
      <c r="AQ176" s="891"/>
      <c r="AR176" s="891"/>
      <c r="AS176" s="891"/>
      <c r="AT176" s="891"/>
      <c r="AU176" s="891"/>
      <c r="AV176" s="891"/>
      <c r="AW176" s="891"/>
      <c r="AX176" s="891"/>
      <c r="AY176" s="891"/>
      <c r="AZ176" s="891"/>
      <c r="BA176" s="891"/>
      <c r="BB176" s="891"/>
      <c r="BC176" s="891"/>
      <c r="BD176" s="891"/>
      <c r="BE176" s="891"/>
      <c r="BF176" s="891"/>
      <c r="BG176" s="891"/>
      <c r="BH176" s="891"/>
      <c r="BI176" s="891"/>
      <c r="BJ176" s="891"/>
      <c r="BK176" s="891"/>
      <c r="BL176" s="891"/>
      <c r="BM176" s="891"/>
      <c r="BN176" s="891"/>
      <c r="BO176" s="891"/>
      <c r="BP176" s="891"/>
      <c r="BQ176" s="891"/>
      <c r="BR176" s="891"/>
      <c r="BS176" s="891"/>
      <c r="BT176" s="891"/>
      <c r="BU176" s="891"/>
      <c r="BV176" s="891"/>
      <c r="BW176" s="891"/>
      <c r="BX176" s="891"/>
      <c r="BY176" s="891"/>
      <c r="BZ176" s="891"/>
      <c r="CA176" s="891"/>
      <c r="CB176" s="891"/>
      <c r="CC176" s="891"/>
      <c r="CD176" s="891"/>
      <c r="CE176" s="891"/>
      <c r="CF176" s="891"/>
      <c r="CG176" s="891"/>
      <c r="CH176" s="891"/>
      <c r="CI176" s="891"/>
      <c r="CJ176" s="891"/>
      <c r="CK176" s="891"/>
      <c r="CL176" s="891"/>
      <c r="CM176" s="891"/>
      <c r="CN176" s="891"/>
      <c r="CO176" s="891"/>
      <c r="CP176" s="891"/>
      <c r="CQ176" s="891"/>
      <c r="CR176" s="891"/>
      <c r="CS176" s="891"/>
      <c r="CT176" s="891"/>
      <c r="CU176" s="891"/>
      <c r="CV176" s="891"/>
      <c r="CW176" s="891"/>
      <c r="CX176" s="891"/>
      <c r="CY176" s="891"/>
      <c r="CZ176" s="891"/>
      <c r="DA176" s="891"/>
      <c r="DB176" s="891"/>
      <c r="DC176" s="891"/>
      <c r="DD176" s="891"/>
      <c r="DE176" s="891"/>
      <c r="DF176" s="891"/>
      <c r="DG176" s="891"/>
      <c r="DH176" s="891"/>
      <c r="DI176" s="891"/>
      <c r="DJ176" s="891"/>
      <c r="DK176" s="891"/>
      <c r="DL176" s="891"/>
      <c r="DM176" s="891"/>
      <c r="DN176" s="891"/>
      <c r="DO176" s="891"/>
      <c r="DP176" s="891"/>
    </row>
    <row r="177" spans="1:120" x14ac:dyDescent="0.25">
      <c r="A177" s="979" t="s">
        <v>6798</v>
      </c>
      <c r="B177" s="984">
        <v>450349.34</v>
      </c>
      <c r="C177" s="985">
        <v>1446036</v>
      </c>
      <c r="D177" s="985">
        <v>0</v>
      </c>
      <c r="E177" s="986"/>
      <c r="F177" s="875"/>
      <c r="G177" s="891"/>
      <c r="H177" s="978"/>
      <c r="I177" s="891"/>
      <c r="J177" s="891"/>
      <c r="K177" s="891"/>
      <c r="L177" s="891"/>
      <c r="M177" s="891"/>
      <c r="N177" s="891"/>
      <c r="O177" s="891"/>
      <c r="P177" s="891"/>
      <c r="Q177" s="891"/>
      <c r="R177" s="891"/>
      <c r="S177" s="891"/>
      <c r="T177" s="891"/>
      <c r="U177" s="891"/>
      <c r="V177" s="891"/>
      <c r="W177" s="891"/>
      <c r="X177" s="891"/>
      <c r="Y177" s="891"/>
      <c r="Z177" s="891"/>
      <c r="AA177" s="891"/>
      <c r="AB177" s="891"/>
      <c r="AC177" s="891"/>
      <c r="AD177" s="891"/>
      <c r="AE177" s="891"/>
      <c r="AF177" s="891"/>
      <c r="AG177" s="891"/>
      <c r="AH177" s="891"/>
      <c r="AI177" s="891"/>
      <c r="AJ177" s="891"/>
      <c r="AK177" s="891"/>
      <c r="AL177" s="891"/>
      <c r="AM177" s="891"/>
      <c r="AN177" s="891"/>
      <c r="AO177" s="891"/>
      <c r="AP177" s="891"/>
      <c r="AQ177" s="891"/>
      <c r="AR177" s="891"/>
      <c r="AS177" s="891"/>
      <c r="AT177" s="891"/>
      <c r="AU177" s="891"/>
      <c r="AV177" s="891"/>
      <c r="AW177" s="891"/>
      <c r="AX177" s="891"/>
      <c r="AY177" s="891"/>
      <c r="AZ177" s="891"/>
      <c r="BA177" s="891"/>
      <c r="BB177" s="891"/>
      <c r="BC177" s="891"/>
      <c r="BD177" s="891"/>
      <c r="BE177" s="891"/>
      <c r="BF177" s="891"/>
      <c r="BG177" s="891"/>
      <c r="BH177" s="891"/>
      <c r="BI177" s="891"/>
      <c r="BJ177" s="891"/>
      <c r="BK177" s="891"/>
      <c r="BL177" s="891"/>
      <c r="BM177" s="891"/>
      <c r="BN177" s="891"/>
      <c r="BO177" s="891"/>
      <c r="BP177" s="891"/>
      <c r="BQ177" s="891"/>
      <c r="BR177" s="891"/>
      <c r="BS177" s="891"/>
      <c r="BT177" s="891"/>
      <c r="BU177" s="891"/>
      <c r="BV177" s="891"/>
      <c r="BW177" s="891"/>
      <c r="BX177" s="891"/>
      <c r="BY177" s="891"/>
      <c r="BZ177" s="891"/>
      <c r="CA177" s="891"/>
      <c r="CB177" s="891"/>
      <c r="CC177" s="891"/>
      <c r="CD177" s="891"/>
      <c r="CE177" s="891"/>
      <c r="CF177" s="891"/>
      <c r="CG177" s="891"/>
      <c r="CH177" s="891"/>
      <c r="CI177" s="891"/>
      <c r="CJ177" s="891"/>
      <c r="CK177" s="891"/>
      <c r="CL177" s="891"/>
      <c r="CM177" s="891"/>
      <c r="CN177" s="891"/>
      <c r="CO177" s="891"/>
      <c r="CP177" s="891"/>
      <c r="CQ177" s="891"/>
      <c r="CR177" s="891"/>
      <c r="CS177" s="891"/>
      <c r="CT177" s="891"/>
      <c r="CU177" s="891"/>
      <c r="CV177" s="891"/>
      <c r="CW177" s="891"/>
      <c r="CX177" s="891"/>
      <c r="CY177" s="891"/>
      <c r="CZ177" s="891"/>
      <c r="DA177" s="891"/>
      <c r="DB177" s="891"/>
      <c r="DC177" s="891"/>
      <c r="DD177" s="891"/>
      <c r="DE177" s="891"/>
      <c r="DF177" s="891"/>
      <c r="DG177" s="891"/>
      <c r="DH177" s="891"/>
      <c r="DI177" s="891"/>
      <c r="DJ177" s="891"/>
      <c r="DK177" s="891"/>
      <c r="DL177" s="891"/>
      <c r="DM177" s="891"/>
      <c r="DN177" s="891"/>
      <c r="DO177" s="891"/>
      <c r="DP177" s="891"/>
    </row>
    <row r="178" spans="1:120" x14ac:dyDescent="0.25">
      <c r="A178" s="983" t="s">
        <v>6799</v>
      </c>
      <c r="B178" s="984">
        <v>0</v>
      </c>
      <c r="C178" s="985">
        <v>0</v>
      </c>
      <c r="D178" s="985">
        <v>0</v>
      </c>
      <c r="E178" s="986"/>
      <c r="F178" s="875"/>
      <c r="G178" s="891"/>
      <c r="H178" s="978"/>
      <c r="I178" s="891"/>
      <c r="J178" s="891"/>
      <c r="K178" s="891"/>
      <c r="L178" s="891"/>
      <c r="M178" s="891"/>
      <c r="N178" s="891"/>
      <c r="O178" s="891"/>
      <c r="P178" s="891"/>
      <c r="Q178" s="891"/>
      <c r="R178" s="891"/>
      <c r="S178" s="891"/>
      <c r="T178" s="891"/>
      <c r="U178" s="891"/>
      <c r="V178" s="891"/>
      <c r="W178" s="891"/>
      <c r="X178" s="891"/>
      <c r="Y178" s="891"/>
      <c r="Z178" s="891"/>
      <c r="AA178" s="891"/>
      <c r="AB178" s="891"/>
      <c r="AC178" s="891"/>
      <c r="AD178" s="891"/>
      <c r="AE178" s="891"/>
      <c r="AF178" s="891"/>
      <c r="AG178" s="891"/>
      <c r="AH178" s="891"/>
      <c r="AI178" s="891"/>
      <c r="AJ178" s="891"/>
      <c r="AK178" s="891"/>
      <c r="AL178" s="891"/>
      <c r="AM178" s="891"/>
      <c r="AN178" s="891"/>
      <c r="AO178" s="891"/>
      <c r="AP178" s="891"/>
      <c r="AQ178" s="891"/>
      <c r="AR178" s="891"/>
      <c r="AS178" s="891"/>
      <c r="AT178" s="891"/>
      <c r="AU178" s="891"/>
      <c r="AV178" s="891"/>
      <c r="AW178" s="891"/>
      <c r="AX178" s="891"/>
      <c r="AY178" s="891"/>
      <c r="AZ178" s="891"/>
      <c r="BA178" s="891"/>
      <c r="BB178" s="891"/>
      <c r="BC178" s="891"/>
      <c r="BD178" s="891"/>
      <c r="BE178" s="891"/>
      <c r="BF178" s="891"/>
      <c r="BG178" s="891"/>
      <c r="BH178" s="891"/>
      <c r="BI178" s="891"/>
      <c r="BJ178" s="891"/>
      <c r="BK178" s="891"/>
      <c r="BL178" s="891"/>
      <c r="BM178" s="891"/>
      <c r="BN178" s="891"/>
      <c r="BO178" s="891"/>
      <c r="BP178" s="891"/>
      <c r="BQ178" s="891"/>
      <c r="BR178" s="891"/>
      <c r="BS178" s="891"/>
      <c r="BT178" s="891"/>
      <c r="BU178" s="891"/>
      <c r="BV178" s="891"/>
      <c r="BW178" s="891"/>
      <c r="BX178" s="891"/>
      <c r="BY178" s="891"/>
      <c r="BZ178" s="891"/>
      <c r="CA178" s="891"/>
      <c r="CB178" s="891"/>
      <c r="CC178" s="891"/>
      <c r="CD178" s="891"/>
      <c r="CE178" s="891"/>
      <c r="CF178" s="891"/>
      <c r="CG178" s="891"/>
      <c r="CH178" s="891"/>
      <c r="CI178" s="891"/>
      <c r="CJ178" s="891"/>
      <c r="CK178" s="891"/>
      <c r="CL178" s="891"/>
      <c r="CM178" s="891"/>
      <c r="CN178" s="891"/>
      <c r="CO178" s="891"/>
      <c r="CP178" s="891"/>
      <c r="CQ178" s="891"/>
      <c r="CR178" s="891"/>
      <c r="CS178" s="891"/>
      <c r="CT178" s="891"/>
      <c r="CU178" s="891"/>
      <c r="CV178" s="891"/>
      <c r="CW178" s="891"/>
      <c r="CX178" s="891"/>
      <c r="CY178" s="891"/>
      <c r="CZ178" s="891"/>
      <c r="DA178" s="891"/>
      <c r="DB178" s="891"/>
      <c r="DC178" s="891"/>
      <c r="DD178" s="891"/>
      <c r="DE178" s="891"/>
      <c r="DF178" s="891"/>
      <c r="DG178" s="891"/>
      <c r="DH178" s="891"/>
      <c r="DI178" s="891"/>
      <c r="DJ178" s="891"/>
      <c r="DK178" s="891"/>
      <c r="DL178" s="891"/>
      <c r="DM178" s="891"/>
      <c r="DN178" s="891"/>
      <c r="DO178" s="891"/>
      <c r="DP178" s="891"/>
    </row>
    <row r="179" spans="1:120" x14ac:dyDescent="0.25">
      <c r="A179" s="983" t="s">
        <v>6800</v>
      </c>
      <c r="B179" s="984">
        <f>SUM(B174:B178)</f>
        <v>5041241.0199999996</v>
      </c>
      <c r="C179" s="985">
        <f>SUM(C174:C178)</f>
        <v>10501474.880000001</v>
      </c>
      <c r="D179" s="985">
        <f>SUM(D174:D178)</f>
        <v>8298908.5099999998</v>
      </c>
      <c r="E179" s="986"/>
      <c r="F179" s="875"/>
      <c r="G179" s="891"/>
      <c r="H179" s="978"/>
      <c r="I179" s="891"/>
      <c r="J179" s="891"/>
      <c r="K179" s="891"/>
      <c r="L179" s="891"/>
      <c r="M179" s="891"/>
      <c r="N179" s="891"/>
      <c r="O179" s="891"/>
      <c r="P179" s="891"/>
      <c r="Q179" s="891"/>
      <c r="R179" s="891"/>
      <c r="S179" s="891"/>
      <c r="T179" s="891"/>
      <c r="U179" s="891"/>
      <c r="V179" s="891"/>
      <c r="W179" s="891"/>
      <c r="X179" s="891"/>
      <c r="Y179" s="891"/>
      <c r="Z179" s="891"/>
      <c r="AA179" s="891"/>
      <c r="AB179" s="891"/>
      <c r="AC179" s="891"/>
      <c r="AD179" s="891"/>
      <c r="AE179" s="891"/>
      <c r="AF179" s="891"/>
      <c r="AG179" s="891"/>
      <c r="AH179" s="891"/>
      <c r="AI179" s="891"/>
      <c r="AJ179" s="891"/>
      <c r="AK179" s="891"/>
      <c r="AL179" s="891"/>
      <c r="AM179" s="891"/>
      <c r="AN179" s="891"/>
      <c r="AO179" s="891"/>
      <c r="AP179" s="891"/>
      <c r="AQ179" s="891"/>
      <c r="AR179" s="891"/>
      <c r="AS179" s="891"/>
      <c r="AT179" s="891"/>
      <c r="AU179" s="891"/>
      <c r="AV179" s="891"/>
      <c r="AW179" s="891"/>
      <c r="AX179" s="891"/>
      <c r="AY179" s="891"/>
      <c r="AZ179" s="891"/>
      <c r="BA179" s="891"/>
      <c r="BB179" s="891"/>
      <c r="BC179" s="891"/>
      <c r="BD179" s="891"/>
      <c r="BE179" s="891"/>
      <c r="BF179" s="891"/>
      <c r="BG179" s="891"/>
      <c r="BH179" s="891"/>
      <c r="BI179" s="891"/>
      <c r="BJ179" s="891"/>
      <c r="BK179" s="891"/>
      <c r="BL179" s="891"/>
      <c r="BM179" s="891"/>
      <c r="BN179" s="891"/>
      <c r="BO179" s="891"/>
      <c r="BP179" s="891"/>
      <c r="BQ179" s="891"/>
      <c r="BR179" s="891"/>
      <c r="BS179" s="891"/>
      <c r="BT179" s="891"/>
      <c r="BU179" s="891"/>
      <c r="BV179" s="891"/>
      <c r="BW179" s="891"/>
      <c r="BX179" s="891"/>
      <c r="BY179" s="891"/>
      <c r="BZ179" s="891"/>
      <c r="CA179" s="891"/>
      <c r="CB179" s="891"/>
      <c r="CC179" s="891"/>
      <c r="CD179" s="891"/>
      <c r="CE179" s="891"/>
      <c r="CF179" s="891"/>
      <c r="CG179" s="891"/>
      <c r="CH179" s="891"/>
      <c r="CI179" s="891"/>
      <c r="CJ179" s="891"/>
      <c r="CK179" s="891"/>
      <c r="CL179" s="891"/>
      <c r="CM179" s="891"/>
      <c r="CN179" s="891"/>
      <c r="CO179" s="891"/>
      <c r="CP179" s="891"/>
      <c r="CQ179" s="891"/>
      <c r="CR179" s="891"/>
      <c r="CS179" s="891"/>
      <c r="CT179" s="891"/>
      <c r="CU179" s="891"/>
      <c r="CV179" s="891"/>
      <c r="CW179" s="891"/>
      <c r="CX179" s="891"/>
      <c r="CY179" s="891"/>
      <c r="CZ179" s="891"/>
      <c r="DA179" s="891"/>
      <c r="DB179" s="891"/>
      <c r="DC179" s="891"/>
      <c r="DD179" s="891"/>
      <c r="DE179" s="891"/>
      <c r="DF179" s="891"/>
      <c r="DG179" s="891"/>
      <c r="DH179" s="891"/>
      <c r="DI179" s="891"/>
      <c r="DJ179" s="891"/>
      <c r="DK179" s="891"/>
      <c r="DL179" s="891"/>
      <c r="DM179" s="891"/>
      <c r="DN179" s="891"/>
      <c r="DO179" s="891"/>
      <c r="DP179" s="891"/>
    </row>
    <row r="180" spans="1:120" x14ac:dyDescent="0.25">
      <c r="A180" s="983" t="s">
        <v>6801</v>
      </c>
      <c r="B180" s="984">
        <f>B173-B179</f>
        <v>14536977.620000001</v>
      </c>
      <c r="C180" s="985">
        <f>C173-C179</f>
        <v>29553652.869999997</v>
      </c>
      <c r="D180" s="985">
        <f>D173-D179</f>
        <v>48075773.660000004</v>
      </c>
      <c r="E180" s="986"/>
      <c r="F180" s="875"/>
      <c r="G180" s="891"/>
      <c r="H180" s="978"/>
      <c r="I180" s="891"/>
      <c r="J180" s="891"/>
      <c r="K180" s="891"/>
      <c r="L180" s="891"/>
      <c r="M180" s="891"/>
      <c r="N180" s="891"/>
      <c r="O180" s="891"/>
      <c r="P180" s="891"/>
      <c r="Q180" s="891"/>
      <c r="R180" s="891"/>
      <c r="S180" s="891"/>
      <c r="T180" s="891"/>
      <c r="U180" s="891"/>
      <c r="V180" s="891"/>
      <c r="W180" s="891"/>
      <c r="X180" s="891"/>
      <c r="Y180" s="891"/>
      <c r="Z180" s="891"/>
      <c r="AA180" s="891"/>
      <c r="AB180" s="891"/>
      <c r="AC180" s="891"/>
      <c r="AD180" s="891"/>
      <c r="AE180" s="891"/>
      <c r="AF180" s="891"/>
      <c r="AG180" s="891"/>
      <c r="AH180" s="891"/>
      <c r="AI180" s="891"/>
      <c r="AJ180" s="891"/>
      <c r="AK180" s="891"/>
      <c r="AL180" s="891"/>
      <c r="AM180" s="891"/>
      <c r="AN180" s="891"/>
      <c r="AO180" s="891"/>
      <c r="AP180" s="891"/>
      <c r="AQ180" s="891"/>
      <c r="AR180" s="891"/>
      <c r="AS180" s="891"/>
      <c r="AT180" s="891"/>
      <c r="AU180" s="891"/>
      <c r="AV180" s="891"/>
      <c r="AW180" s="891"/>
      <c r="AX180" s="891"/>
      <c r="AY180" s="891"/>
      <c r="AZ180" s="891"/>
      <c r="BA180" s="891"/>
      <c r="BB180" s="891"/>
      <c r="BC180" s="891"/>
      <c r="BD180" s="891"/>
      <c r="BE180" s="891"/>
      <c r="BF180" s="891"/>
      <c r="BG180" s="891"/>
      <c r="BH180" s="891"/>
      <c r="BI180" s="891"/>
      <c r="BJ180" s="891"/>
      <c r="BK180" s="891"/>
      <c r="BL180" s="891"/>
      <c r="BM180" s="891"/>
      <c r="BN180" s="891"/>
      <c r="BO180" s="891"/>
      <c r="BP180" s="891"/>
      <c r="BQ180" s="891"/>
      <c r="BR180" s="891"/>
      <c r="BS180" s="891"/>
      <c r="BT180" s="891"/>
      <c r="BU180" s="891"/>
      <c r="BV180" s="891"/>
      <c r="BW180" s="891"/>
      <c r="BX180" s="891"/>
      <c r="BY180" s="891"/>
      <c r="BZ180" s="891"/>
      <c r="CA180" s="891"/>
      <c r="CB180" s="891"/>
      <c r="CC180" s="891"/>
      <c r="CD180" s="891"/>
      <c r="CE180" s="891"/>
      <c r="CF180" s="891"/>
      <c r="CG180" s="891"/>
      <c r="CH180" s="891"/>
      <c r="CI180" s="891"/>
      <c r="CJ180" s="891"/>
      <c r="CK180" s="891"/>
      <c r="CL180" s="891"/>
      <c r="CM180" s="891"/>
      <c r="CN180" s="891"/>
      <c r="CO180" s="891"/>
      <c r="CP180" s="891"/>
      <c r="CQ180" s="891"/>
      <c r="CR180" s="891"/>
      <c r="CS180" s="891"/>
      <c r="CT180" s="891"/>
      <c r="CU180" s="891"/>
      <c r="CV180" s="891"/>
      <c r="CW180" s="891"/>
      <c r="CX180" s="891"/>
      <c r="CY180" s="891"/>
      <c r="CZ180" s="891"/>
      <c r="DA180" s="891"/>
      <c r="DB180" s="891"/>
      <c r="DC180" s="891"/>
      <c r="DD180" s="891"/>
      <c r="DE180" s="891"/>
      <c r="DF180" s="891"/>
      <c r="DG180" s="891"/>
      <c r="DH180" s="891"/>
      <c r="DI180" s="891"/>
      <c r="DJ180" s="891"/>
      <c r="DK180" s="891"/>
      <c r="DL180" s="891"/>
      <c r="DM180" s="891"/>
      <c r="DN180" s="891"/>
      <c r="DO180" s="891"/>
      <c r="DP180" s="891"/>
    </row>
    <row r="181" spans="1:120" ht="24.9" customHeight="1" x14ac:dyDescent="0.25"/>
    <row r="183" spans="1:120" ht="25.5" customHeight="1" x14ac:dyDescent="0.25">
      <c r="C183" s="992"/>
      <c r="D183" s="992"/>
      <c r="E183" s="992"/>
    </row>
    <row r="184" spans="1:120" x14ac:dyDescent="0.25">
      <c r="C184" s="993"/>
      <c r="D184" s="993"/>
      <c r="E184" s="993"/>
    </row>
    <row r="185" spans="1:120" ht="25.5" customHeight="1" x14ac:dyDescent="0.25">
      <c r="C185" s="994"/>
      <c r="D185" s="994"/>
      <c r="E185" s="994"/>
    </row>
    <row r="186" spans="1:120" x14ac:dyDescent="0.25">
      <c r="C186" s="994"/>
      <c r="D186" s="994"/>
      <c r="E186" s="994"/>
    </row>
    <row r="187" spans="1:120" ht="21" customHeight="1" x14ac:dyDescent="0.25">
      <c r="C187" s="992"/>
      <c r="D187" s="992"/>
      <c r="E187" s="992"/>
    </row>
    <row r="188" spans="1:120" x14ac:dyDescent="0.25">
      <c r="C188" s="993"/>
      <c r="D188" s="993"/>
      <c r="E188" s="993"/>
    </row>
    <row r="189" spans="1:120" ht="21" customHeight="1" x14ac:dyDescent="0.25">
      <c r="C189" s="994"/>
      <c r="D189" s="994"/>
      <c r="E189" s="994"/>
    </row>
    <row r="192" spans="1:120" x14ac:dyDescent="0.25">
      <c r="A192" s="864"/>
      <c r="C192" s="992"/>
      <c r="D192" s="992"/>
      <c r="E192" s="992"/>
      <c r="F192" s="995"/>
      <c r="H192" s="864"/>
    </row>
    <row r="193" spans="1:8" x14ac:dyDescent="0.25">
      <c r="A193" s="864"/>
      <c r="C193" s="993"/>
      <c r="D193" s="993"/>
      <c r="E193" s="993"/>
      <c r="F193" s="995"/>
      <c r="H193" s="864"/>
    </row>
    <row r="194" spans="1:8" x14ac:dyDescent="0.25">
      <c r="A194" s="864"/>
      <c r="C194" s="994"/>
      <c r="D194" s="994"/>
      <c r="E194" s="994"/>
      <c r="F194" s="995"/>
      <c r="H194" s="864"/>
    </row>
  </sheetData>
  <mergeCells count="12">
    <mergeCell ref="C187:E187"/>
    <mergeCell ref="C188:E188"/>
    <mergeCell ref="C189:E189"/>
    <mergeCell ref="C192:E192"/>
    <mergeCell ref="C193:E193"/>
    <mergeCell ref="C194:E194"/>
    <mergeCell ref="A1:F1"/>
    <mergeCell ref="A2:F2"/>
    <mergeCell ref="C183:E183"/>
    <mergeCell ref="C184:E184"/>
    <mergeCell ref="C185:E185"/>
    <mergeCell ref="C186:E186"/>
  </mergeCells>
  <pageMargins left="0.70866141732283472" right="0.11811023622047245" top="1.1417322834645669" bottom="1.1417322834645669" header="0.31496062992125984" footer="0.31496062992125984"/>
  <pageSetup paperSize="9" scale="90" fitToHeight="0" orientation="landscape" verticalDpi="36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010C6-DF72-4A85-9E38-C1A11E6BBCC4}">
  <sheetPr>
    <tabColor rgb="FF0070C0"/>
  </sheetPr>
  <dimension ref="A1:J64"/>
  <sheetViews>
    <sheetView topLeftCell="A4" workbookViewId="0">
      <selection activeCell="A17" sqref="A17"/>
    </sheetView>
  </sheetViews>
  <sheetFormatPr defaultColWidth="9" defaultRowHeight="24.6" x14ac:dyDescent="0.7"/>
  <cols>
    <col min="1" max="1" width="6.19921875" style="1012" customWidth="1"/>
    <col min="2" max="2" width="23.69921875" style="1013" customWidth="1"/>
    <col min="3" max="3" width="16.8984375" style="1014" customWidth="1"/>
    <col min="4" max="4" width="15.09765625" style="1016" customWidth="1"/>
    <col min="5" max="5" width="21.5" style="1016" customWidth="1"/>
    <col min="6" max="6" width="20.3984375" style="1016" customWidth="1"/>
    <col min="7" max="7" width="15.19921875" style="1017" customWidth="1"/>
    <col min="8" max="16384" width="9" style="997"/>
  </cols>
  <sheetData>
    <row r="1" spans="1:10" x14ac:dyDescent="0.7">
      <c r="A1" s="996" t="s">
        <v>7404</v>
      </c>
      <c r="B1" s="996"/>
      <c r="C1" s="996"/>
      <c r="D1" s="996"/>
      <c r="E1" s="996"/>
      <c r="F1" s="996"/>
      <c r="G1" s="996"/>
    </row>
    <row r="2" spans="1:10" x14ac:dyDescent="0.7">
      <c r="A2" s="998"/>
      <c r="B2" s="998"/>
      <c r="C2" s="998"/>
      <c r="D2" s="998"/>
      <c r="E2" s="998"/>
      <c r="F2" s="998"/>
      <c r="G2" s="998"/>
    </row>
    <row r="3" spans="1:10" s="1002" customFormat="1" x14ac:dyDescent="0.7">
      <c r="A3" s="999" t="s">
        <v>6537</v>
      </c>
      <c r="B3" s="999" t="s">
        <v>7405</v>
      </c>
      <c r="C3" s="1000" t="s">
        <v>7406</v>
      </c>
      <c r="D3" s="999" t="s">
        <v>7407</v>
      </c>
      <c r="E3" s="999" t="s">
        <v>7408</v>
      </c>
      <c r="F3" s="999" t="s">
        <v>7409</v>
      </c>
      <c r="G3" s="1001" t="s">
        <v>691</v>
      </c>
    </row>
    <row r="4" spans="1:10" s="1002" customFormat="1" x14ac:dyDescent="0.7">
      <c r="A4" s="1003">
        <v>1</v>
      </c>
      <c r="B4" s="1004" t="s">
        <v>7410</v>
      </c>
      <c r="C4" s="1005">
        <v>13130</v>
      </c>
      <c r="D4" s="1006">
        <v>657</v>
      </c>
      <c r="E4" s="1005">
        <f t="shared" ref="E4:E26" si="0">C4</f>
        <v>13130</v>
      </c>
      <c r="F4" s="1006">
        <f t="shared" ref="F4:F26" si="1">E4*12</f>
        <v>157560</v>
      </c>
      <c r="G4" s="1001"/>
    </row>
    <row r="5" spans="1:10" s="1002" customFormat="1" x14ac:dyDescent="0.7">
      <c r="A5" s="1003">
        <v>2</v>
      </c>
      <c r="B5" s="1004" t="s">
        <v>7411</v>
      </c>
      <c r="C5" s="1005">
        <v>12510</v>
      </c>
      <c r="D5" s="1006">
        <v>626</v>
      </c>
      <c r="E5" s="1005">
        <f t="shared" si="0"/>
        <v>12510</v>
      </c>
      <c r="F5" s="1006">
        <f t="shared" si="1"/>
        <v>150120</v>
      </c>
      <c r="G5" s="1001"/>
    </row>
    <row r="6" spans="1:10" s="1002" customFormat="1" x14ac:dyDescent="0.7">
      <c r="A6" s="1003">
        <v>3</v>
      </c>
      <c r="B6" s="1004" t="s">
        <v>7412</v>
      </c>
      <c r="C6" s="1005">
        <v>12540</v>
      </c>
      <c r="D6" s="1006">
        <f>C6*5%</f>
        <v>627</v>
      </c>
      <c r="E6" s="1005">
        <f t="shared" si="0"/>
        <v>12540</v>
      </c>
      <c r="F6" s="1006">
        <f t="shared" si="1"/>
        <v>150480</v>
      </c>
      <c r="G6" s="1001"/>
    </row>
    <row r="7" spans="1:10" s="1002" customFormat="1" x14ac:dyDescent="0.7">
      <c r="A7" s="1003">
        <v>4</v>
      </c>
      <c r="B7" s="1004" t="s">
        <v>7413</v>
      </c>
      <c r="C7" s="1005">
        <v>12580</v>
      </c>
      <c r="D7" s="1006">
        <f>C7*5%</f>
        <v>629</v>
      </c>
      <c r="E7" s="1005">
        <f t="shared" si="0"/>
        <v>12580</v>
      </c>
      <c r="F7" s="1006">
        <f t="shared" si="1"/>
        <v>150960</v>
      </c>
      <c r="G7" s="1001"/>
    </row>
    <row r="8" spans="1:10" s="1002" customFormat="1" x14ac:dyDescent="0.7">
      <c r="A8" s="1003">
        <v>5</v>
      </c>
      <c r="B8" s="1004" t="s">
        <v>7414</v>
      </c>
      <c r="C8" s="1005">
        <v>12690</v>
      </c>
      <c r="D8" s="1006">
        <v>635</v>
      </c>
      <c r="E8" s="1005">
        <f t="shared" si="0"/>
        <v>12690</v>
      </c>
      <c r="F8" s="1006">
        <f t="shared" si="1"/>
        <v>152280</v>
      </c>
      <c r="G8" s="1001"/>
    </row>
    <row r="9" spans="1:10" s="1002" customFormat="1" x14ac:dyDescent="0.7">
      <c r="A9" s="1003">
        <v>6</v>
      </c>
      <c r="B9" s="1004" t="s">
        <v>7415</v>
      </c>
      <c r="C9" s="1005">
        <v>10070</v>
      </c>
      <c r="D9" s="1006">
        <v>504</v>
      </c>
      <c r="E9" s="1005">
        <f t="shared" si="0"/>
        <v>10070</v>
      </c>
      <c r="F9" s="1006">
        <f t="shared" si="1"/>
        <v>120840</v>
      </c>
      <c r="G9" s="1001"/>
    </row>
    <row r="10" spans="1:10" s="1002" customFormat="1" x14ac:dyDescent="0.7">
      <c r="A10" s="1003">
        <v>7</v>
      </c>
      <c r="B10" s="1004" t="s">
        <v>7416</v>
      </c>
      <c r="C10" s="1005">
        <v>11890</v>
      </c>
      <c r="D10" s="1006">
        <v>595</v>
      </c>
      <c r="E10" s="1005">
        <f t="shared" si="0"/>
        <v>11890</v>
      </c>
      <c r="F10" s="1006">
        <f t="shared" si="1"/>
        <v>142680</v>
      </c>
      <c r="G10" s="1001"/>
    </row>
    <row r="11" spans="1:10" s="1002" customFormat="1" x14ac:dyDescent="0.7">
      <c r="A11" s="1003">
        <v>8</v>
      </c>
      <c r="B11" s="1004" t="s">
        <v>7417</v>
      </c>
      <c r="C11" s="1005">
        <v>10460</v>
      </c>
      <c r="D11" s="1006">
        <f>C11*5%</f>
        <v>523</v>
      </c>
      <c r="E11" s="1005">
        <f t="shared" si="0"/>
        <v>10460</v>
      </c>
      <c r="F11" s="1006">
        <f t="shared" si="1"/>
        <v>125520</v>
      </c>
      <c r="G11" s="1001"/>
    </row>
    <row r="12" spans="1:10" s="1002" customFormat="1" x14ac:dyDescent="0.7">
      <c r="A12" s="1003">
        <v>9</v>
      </c>
      <c r="B12" s="1004" t="s">
        <v>7418</v>
      </c>
      <c r="C12" s="1005">
        <v>9940</v>
      </c>
      <c r="D12" s="1006">
        <f>C12*5%</f>
        <v>497</v>
      </c>
      <c r="E12" s="1005">
        <f t="shared" si="0"/>
        <v>9940</v>
      </c>
      <c r="F12" s="1006">
        <f t="shared" si="1"/>
        <v>119280</v>
      </c>
      <c r="G12" s="1001"/>
    </row>
    <row r="13" spans="1:10" s="1002" customFormat="1" x14ac:dyDescent="0.7">
      <c r="A13" s="1003">
        <v>10</v>
      </c>
      <c r="B13" s="1004" t="s">
        <v>7419</v>
      </c>
      <c r="C13" s="1005">
        <v>9790</v>
      </c>
      <c r="D13" s="1006">
        <v>490</v>
      </c>
      <c r="E13" s="1005">
        <f t="shared" si="0"/>
        <v>9790</v>
      </c>
      <c r="F13" s="1006">
        <f t="shared" si="1"/>
        <v>117480</v>
      </c>
      <c r="G13" s="1001"/>
    </row>
    <row r="14" spans="1:10" s="1002" customFormat="1" x14ac:dyDescent="0.7">
      <c r="A14" s="1003">
        <v>11</v>
      </c>
      <c r="B14" s="1007" t="s">
        <v>7420</v>
      </c>
      <c r="C14" s="1008">
        <v>9360</v>
      </c>
      <c r="D14" s="1006">
        <f>C14*5%</f>
        <v>468</v>
      </c>
      <c r="E14" s="1005">
        <f t="shared" si="0"/>
        <v>9360</v>
      </c>
      <c r="F14" s="1006">
        <f t="shared" si="1"/>
        <v>112320</v>
      </c>
      <c r="G14" s="1001"/>
      <c r="J14" s="1002" t="s">
        <v>7380</v>
      </c>
    </row>
    <row r="15" spans="1:10" s="1002" customFormat="1" x14ac:dyDescent="0.7">
      <c r="A15" s="1003">
        <v>12</v>
      </c>
      <c r="B15" s="1007" t="s">
        <v>7421</v>
      </c>
      <c r="C15" s="1008">
        <v>10910</v>
      </c>
      <c r="D15" s="1006">
        <v>546</v>
      </c>
      <c r="E15" s="1005">
        <f t="shared" si="0"/>
        <v>10910</v>
      </c>
      <c r="F15" s="1006">
        <f t="shared" si="1"/>
        <v>130920</v>
      </c>
      <c r="G15" s="1001"/>
    </row>
    <row r="16" spans="1:10" s="1002" customFormat="1" x14ac:dyDescent="0.7">
      <c r="A16" s="1003">
        <v>13</v>
      </c>
      <c r="B16" s="1007" t="s">
        <v>7422</v>
      </c>
      <c r="C16" s="1008">
        <v>13010</v>
      </c>
      <c r="D16" s="1006">
        <v>651</v>
      </c>
      <c r="E16" s="1005">
        <f t="shared" si="0"/>
        <v>13010</v>
      </c>
      <c r="F16" s="1006">
        <f t="shared" si="1"/>
        <v>156120</v>
      </c>
      <c r="G16" s="1001"/>
    </row>
    <row r="17" spans="1:10" s="1002" customFormat="1" x14ac:dyDescent="0.7">
      <c r="A17" s="1003">
        <v>14</v>
      </c>
      <c r="B17" s="1007" t="s">
        <v>7423</v>
      </c>
      <c r="C17" s="1008">
        <v>10890</v>
      </c>
      <c r="D17" s="1006">
        <v>545</v>
      </c>
      <c r="E17" s="1005">
        <f t="shared" si="0"/>
        <v>10890</v>
      </c>
      <c r="F17" s="1006">
        <f t="shared" si="1"/>
        <v>130680</v>
      </c>
      <c r="G17" s="1001"/>
    </row>
    <row r="18" spans="1:10" s="1002" customFormat="1" x14ac:dyDescent="0.7">
      <c r="A18" s="1003">
        <v>15</v>
      </c>
      <c r="B18" s="1007" t="s">
        <v>7424</v>
      </c>
      <c r="C18" s="1008">
        <v>15140</v>
      </c>
      <c r="D18" s="1006">
        <v>750</v>
      </c>
      <c r="E18" s="1005">
        <f t="shared" si="0"/>
        <v>15140</v>
      </c>
      <c r="F18" s="1006">
        <f t="shared" si="1"/>
        <v>181680</v>
      </c>
      <c r="G18" s="1001"/>
      <c r="I18" s="1002" t="s">
        <v>7380</v>
      </c>
    </row>
    <row r="19" spans="1:10" s="1002" customFormat="1" x14ac:dyDescent="0.7">
      <c r="A19" s="1003">
        <v>16</v>
      </c>
      <c r="B19" s="1007" t="s">
        <v>7425</v>
      </c>
      <c r="C19" s="1005">
        <v>9790</v>
      </c>
      <c r="D19" s="1006">
        <v>490</v>
      </c>
      <c r="E19" s="1005">
        <f t="shared" si="0"/>
        <v>9790</v>
      </c>
      <c r="F19" s="1006">
        <f t="shared" si="1"/>
        <v>117480</v>
      </c>
      <c r="G19" s="1001"/>
    </row>
    <row r="20" spans="1:10" s="1002" customFormat="1" x14ac:dyDescent="0.7">
      <c r="A20" s="1003">
        <v>17</v>
      </c>
      <c r="B20" s="1007" t="s">
        <v>7426</v>
      </c>
      <c r="C20" s="1008">
        <v>19240</v>
      </c>
      <c r="D20" s="1006">
        <v>750</v>
      </c>
      <c r="E20" s="1005">
        <f t="shared" si="0"/>
        <v>19240</v>
      </c>
      <c r="F20" s="1006">
        <f t="shared" si="1"/>
        <v>230880</v>
      </c>
      <c r="G20" s="1001"/>
    </row>
    <row r="21" spans="1:10" s="1002" customFormat="1" x14ac:dyDescent="0.7">
      <c r="A21" s="1003">
        <v>18</v>
      </c>
      <c r="B21" s="1007" t="s">
        <v>7427</v>
      </c>
      <c r="C21" s="1008">
        <v>9940</v>
      </c>
      <c r="D21" s="1006">
        <v>469</v>
      </c>
      <c r="E21" s="1005">
        <f t="shared" si="0"/>
        <v>9940</v>
      </c>
      <c r="F21" s="1006">
        <f t="shared" si="1"/>
        <v>119280</v>
      </c>
      <c r="G21" s="1001"/>
    </row>
    <row r="22" spans="1:10" s="1002" customFormat="1" x14ac:dyDescent="0.7">
      <c r="A22" s="1003">
        <v>19</v>
      </c>
      <c r="B22" s="1007" t="s">
        <v>7428</v>
      </c>
      <c r="C22" s="1008">
        <v>9180</v>
      </c>
      <c r="D22" s="1006">
        <v>446</v>
      </c>
      <c r="E22" s="1005">
        <f t="shared" si="0"/>
        <v>9180</v>
      </c>
      <c r="F22" s="1006">
        <f t="shared" si="1"/>
        <v>110160</v>
      </c>
      <c r="G22" s="1001"/>
    </row>
    <row r="23" spans="1:10" s="1002" customFormat="1" x14ac:dyDescent="0.7">
      <c r="A23" s="1003">
        <v>20</v>
      </c>
      <c r="B23" s="1007" t="s">
        <v>7429</v>
      </c>
      <c r="C23" s="1008">
        <v>8680</v>
      </c>
      <c r="D23" s="1006">
        <v>422</v>
      </c>
      <c r="E23" s="1005">
        <f t="shared" si="0"/>
        <v>8680</v>
      </c>
      <c r="F23" s="1006">
        <f t="shared" si="1"/>
        <v>104160</v>
      </c>
      <c r="G23" s="1001"/>
    </row>
    <row r="24" spans="1:10" s="1002" customFormat="1" x14ac:dyDescent="0.7">
      <c r="A24" s="1003">
        <v>21</v>
      </c>
      <c r="B24" s="1007" t="s">
        <v>7430</v>
      </c>
      <c r="C24" s="1008">
        <v>8750</v>
      </c>
      <c r="D24" s="1006">
        <v>430</v>
      </c>
      <c r="E24" s="1005">
        <f t="shared" si="0"/>
        <v>8750</v>
      </c>
      <c r="F24" s="1006">
        <f t="shared" si="1"/>
        <v>105000</v>
      </c>
      <c r="G24" s="1001"/>
    </row>
    <row r="25" spans="1:10" s="1002" customFormat="1" x14ac:dyDescent="0.7">
      <c r="A25" s="1003">
        <v>22</v>
      </c>
      <c r="B25" s="1007" t="s">
        <v>7431</v>
      </c>
      <c r="C25" s="1008">
        <v>8210</v>
      </c>
      <c r="D25" s="1006">
        <v>399</v>
      </c>
      <c r="E25" s="1005">
        <f t="shared" si="0"/>
        <v>8210</v>
      </c>
      <c r="F25" s="1006">
        <f t="shared" si="1"/>
        <v>98520</v>
      </c>
      <c r="G25" s="1001"/>
    </row>
    <row r="26" spans="1:10" s="1002" customFormat="1" x14ac:dyDescent="0.7">
      <c r="A26" s="1003">
        <v>23</v>
      </c>
      <c r="B26" s="1007" t="s">
        <v>7432</v>
      </c>
      <c r="C26" s="1008">
        <v>8690</v>
      </c>
      <c r="D26" s="1006">
        <v>435</v>
      </c>
      <c r="E26" s="1005">
        <f t="shared" si="0"/>
        <v>8690</v>
      </c>
      <c r="F26" s="1006">
        <f t="shared" si="1"/>
        <v>104280</v>
      </c>
      <c r="G26" s="1001"/>
    </row>
    <row r="27" spans="1:10" s="1002" customFormat="1" x14ac:dyDescent="0.7">
      <c r="A27" s="1009" t="s">
        <v>7433</v>
      </c>
      <c r="B27" s="1009"/>
      <c r="C27" s="1010">
        <f>SUM(C4:C26)</f>
        <v>257390</v>
      </c>
      <c r="D27" s="1010">
        <f>SUM(D4:D26)</f>
        <v>12584</v>
      </c>
      <c r="E27" s="1010">
        <f>SUM(E4:E26)</f>
        <v>257390</v>
      </c>
      <c r="F27" s="1010">
        <f>SUM(F4:F26)</f>
        <v>3088680</v>
      </c>
      <c r="G27" s="1011"/>
    </row>
    <row r="29" spans="1:10" x14ac:dyDescent="0.7">
      <c r="C29" s="1014" t="s">
        <v>7434</v>
      </c>
      <c r="D29" s="1015">
        <f>D27*12</f>
        <v>151008</v>
      </c>
    </row>
    <row r="30" spans="1:10" x14ac:dyDescent="0.7">
      <c r="D30" s="1018">
        <v>218316</v>
      </c>
      <c r="E30" s="1019"/>
      <c r="F30" s="1020"/>
      <c r="G30" s="1020"/>
    </row>
    <row r="31" spans="1:10" s="1017" customFormat="1" x14ac:dyDescent="0.7">
      <c r="A31" s="997"/>
      <c r="B31" s="1013"/>
      <c r="C31" s="1014"/>
      <c r="D31" s="1015">
        <f>SUM(D29:D30)</f>
        <v>369324</v>
      </c>
      <c r="E31" s="1019"/>
      <c r="F31" s="1021"/>
      <c r="G31" s="1021"/>
      <c r="H31" s="997"/>
      <c r="I31" s="997"/>
      <c r="J31" s="997"/>
    </row>
    <row r="32" spans="1:10" s="1017" customFormat="1" x14ac:dyDescent="0.7">
      <c r="A32" s="997"/>
      <c r="B32" s="1013"/>
      <c r="C32" s="1014"/>
      <c r="D32" s="1016"/>
      <c r="E32" s="1019"/>
      <c r="F32" s="1020"/>
      <c r="G32" s="1020"/>
      <c r="H32" s="997"/>
      <c r="I32" s="997"/>
      <c r="J32" s="997"/>
    </row>
    <row r="33" spans="1:10" s="1017" customFormat="1" x14ac:dyDescent="0.7">
      <c r="A33" s="997"/>
      <c r="B33" s="1013"/>
      <c r="C33" s="1014"/>
      <c r="D33" s="1016"/>
      <c r="E33" s="1016"/>
      <c r="F33" s="1016"/>
      <c r="H33" s="997"/>
      <c r="I33" s="997"/>
      <c r="J33" s="997"/>
    </row>
    <row r="34" spans="1:10" s="1017" customFormat="1" x14ac:dyDescent="0.7">
      <c r="A34" s="997"/>
      <c r="B34" s="1013"/>
      <c r="C34" s="1014"/>
      <c r="D34" s="1016"/>
      <c r="E34" s="1016"/>
      <c r="F34" s="1016"/>
      <c r="G34" s="1017" t="s">
        <v>7380</v>
      </c>
      <c r="H34" s="997"/>
      <c r="I34" s="997"/>
      <c r="J34" s="997"/>
    </row>
    <row r="35" spans="1:10" s="1017" customFormat="1" x14ac:dyDescent="0.7">
      <c r="A35" s="997"/>
      <c r="B35" s="1013"/>
      <c r="C35" s="1014"/>
      <c r="D35" s="1016"/>
      <c r="E35" s="1016"/>
      <c r="F35" s="1016"/>
      <c r="H35" s="997"/>
      <c r="I35" s="997"/>
      <c r="J35" s="997"/>
    </row>
    <row r="36" spans="1:10" s="1017" customFormat="1" x14ac:dyDescent="0.7">
      <c r="A36" s="997"/>
      <c r="B36" s="1013"/>
      <c r="C36" s="1014"/>
      <c r="D36" s="1016"/>
      <c r="E36" s="1016"/>
      <c r="F36" s="1016"/>
      <c r="H36" s="997"/>
      <c r="I36" s="997"/>
      <c r="J36" s="997"/>
    </row>
    <row r="37" spans="1:10" s="1017" customFormat="1" x14ac:dyDescent="0.7">
      <c r="A37" s="997"/>
      <c r="B37" s="1013"/>
      <c r="C37" s="1014"/>
      <c r="D37" s="1016"/>
      <c r="E37" s="1016"/>
      <c r="F37" s="1016"/>
      <c r="H37" s="997"/>
      <c r="I37" s="997"/>
      <c r="J37" s="997"/>
    </row>
    <row r="41" spans="1:10" x14ac:dyDescent="0.7">
      <c r="A41" s="997"/>
      <c r="G41" s="997"/>
    </row>
    <row r="42" spans="1:10" x14ac:dyDescent="0.7">
      <c r="A42" s="997"/>
      <c r="G42" s="997"/>
    </row>
    <row r="43" spans="1:10" x14ac:dyDescent="0.7">
      <c r="A43" s="997"/>
      <c r="G43" s="997"/>
    </row>
    <row r="44" spans="1:10" x14ac:dyDescent="0.7">
      <c r="A44" s="997"/>
      <c r="G44" s="997"/>
    </row>
    <row r="45" spans="1:10" x14ac:dyDescent="0.7">
      <c r="A45" s="997"/>
      <c r="G45" s="997"/>
    </row>
    <row r="46" spans="1:10" x14ac:dyDescent="0.7">
      <c r="A46" s="997"/>
      <c r="G46" s="997"/>
    </row>
    <row r="47" spans="1:10" x14ac:dyDescent="0.7">
      <c r="A47" s="997"/>
      <c r="G47" s="997"/>
    </row>
    <row r="64" spans="5:5" x14ac:dyDescent="0.7">
      <c r="E64" s="1016" t="s">
        <v>7380</v>
      </c>
    </row>
  </sheetData>
  <mergeCells count="6">
    <mergeCell ref="A1:G1"/>
    <mergeCell ref="A2:G2"/>
    <mergeCell ref="A27:B27"/>
    <mergeCell ref="F30:G30"/>
    <mergeCell ref="F31:G31"/>
    <mergeCell ref="F32:G32"/>
  </mergeCells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D919C-D8E2-4342-B10D-E050D96FBC2B}">
  <sheetPr>
    <tabColor rgb="FF0070C0"/>
    <pageSetUpPr fitToPage="1"/>
  </sheetPr>
  <dimension ref="A1:I43"/>
  <sheetViews>
    <sheetView workbookViewId="0">
      <pane ySplit="3" topLeftCell="A32" activePane="bottomLeft" state="frozen"/>
      <selection activeCell="A17" sqref="A17"/>
      <selection pane="bottomLeft" activeCell="A17" sqref="A17"/>
    </sheetView>
  </sheetViews>
  <sheetFormatPr defaultColWidth="9" defaultRowHeight="24.6" x14ac:dyDescent="0.7"/>
  <cols>
    <col min="1" max="1" width="7.3984375" style="1024" customWidth="1"/>
    <col min="2" max="2" width="27.59765625" style="1023" customWidth="1"/>
    <col min="3" max="3" width="13.19921875" style="1023" customWidth="1"/>
    <col min="4" max="4" width="15.3984375" style="1023" customWidth="1"/>
    <col min="5" max="5" width="21.5" style="1044" bestFit="1" customWidth="1"/>
    <col min="6" max="6" width="20.69921875" style="1044" customWidth="1"/>
    <col min="7" max="7" width="22.8984375" style="1045" customWidth="1"/>
    <col min="8" max="16384" width="9" style="1023"/>
  </cols>
  <sheetData>
    <row r="1" spans="1:7" ht="23.25" customHeight="1" x14ac:dyDescent="0.7">
      <c r="A1" s="1022" t="s">
        <v>7435</v>
      </c>
      <c r="B1" s="1022"/>
      <c r="C1" s="1022"/>
      <c r="D1" s="1022"/>
      <c r="E1" s="1022"/>
      <c r="F1" s="1022"/>
      <c r="G1" s="1022"/>
    </row>
    <row r="2" spans="1:7" x14ac:dyDescent="0.7">
      <c r="B2" s="1025"/>
      <c r="C2" s="1025"/>
      <c r="D2" s="1025"/>
      <c r="E2" s="1025"/>
      <c r="F2" s="1025"/>
      <c r="G2" s="1025"/>
    </row>
    <row r="3" spans="1:7" s="1029" customFormat="1" x14ac:dyDescent="0.7">
      <c r="A3" s="1026" t="s">
        <v>6537</v>
      </c>
      <c r="B3" s="1026" t="s">
        <v>7405</v>
      </c>
      <c r="C3" s="1026" t="s">
        <v>7436</v>
      </c>
      <c r="D3" s="1027" t="s">
        <v>7407</v>
      </c>
      <c r="E3" s="1026" t="s">
        <v>7408</v>
      </c>
      <c r="F3" s="1026" t="s">
        <v>7409</v>
      </c>
      <c r="G3" s="1028" t="s">
        <v>691</v>
      </c>
    </row>
    <row r="4" spans="1:7" x14ac:dyDescent="0.7">
      <c r="A4" s="1030">
        <v>1</v>
      </c>
      <c r="B4" s="1031" t="s">
        <v>7437</v>
      </c>
      <c r="C4" s="1005">
        <v>19680</v>
      </c>
      <c r="D4" s="1032">
        <v>750</v>
      </c>
      <c r="E4" s="1005">
        <v>19680</v>
      </c>
      <c r="F4" s="1033">
        <f t="shared" ref="F4:F36" si="0">E4*12</f>
        <v>236160</v>
      </c>
      <c r="G4" s="1034"/>
    </row>
    <row r="5" spans="1:7" x14ac:dyDescent="0.7">
      <c r="A5" s="1030">
        <v>2</v>
      </c>
      <c r="B5" s="1035" t="s">
        <v>7438</v>
      </c>
      <c r="C5" s="1005">
        <v>16760</v>
      </c>
      <c r="D5" s="1032">
        <v>750</v>
      </c>
      <c r="E5" s="1005">
        <v>16760</v>
      </c>
      <c r="F5" s="1033">
        <f t="shared" si="0"/>
        <v>201120</v>
      </c>
      <c r="G5" s="1034"/>
    </row>
    <row r="6" spans="1:7" x14ac:dyDescent="0.7">
      <c r="A6" s="1030">
        <v>3</v>
      </c>
      <c r="B6" s="1031" t="s">
        <v>7439</v>
      </c>
      <c r="C6" s="1005">
        <v>18000</v>
      </c>
      <c r="D6" s="1032">
        <v>750</v>
      </c>
      <c r="E6" s="1005">
        <v>18000</v>
      </c>
      <c r="F6" s="1033">
        <f t="shared" si="0"/>
        <v>216000</v>
      </c>
      <c r="G6" s="1034"/>
    </row>
    <row r="7" spans="1:7" x14ac:dyDescent="0.7">
      <c r="A7" s="1030">
        <v>4</v>
      </c>
      <c r="B7" s="1031" t="s">
        <v>7440</v>
      </c>
      <c r="C7" s="1005">
        <v>15960</v>
      </c>
      <c r="D7" s="1032">
        <v>750</v>
      </c>
      <c r="E7" s="1005">
        <v>15960</v>
      </c>
      <c r="F7" s="1033">
        <f t="shared" si="0"/>
        <v>191520</v>
      </c>
      <c r="G7" s="1034"/>
    </row>
    <row r="8" spans="1:7" x14ac:dyDescent="0.7">
      <c r="A8" s="1030">
        <v>5</v>
      </c>
      <c r="B8" s="1031" t="s">
        <v>7441</v>
      </c>
      <c r="C8" s="1005">
        <v>16760</v>
      </c>
      <c r="D8" s="1032">
        <v>750</v>
      </c>
      <c r="E8" s="1005">
        <v>16760</v>
      </c>
      <c r="F8" s="1033">
        <f t="shared" si="0"/>
        <v>201120</v>
      </c>
      <c r="G8" s="1034"/>
    </row>
    <row r="9" spans="1:7" x14ac:dyDescent="0.7">
      <c r="A9" s="1030">
        <v>6</v>
      </c>
      <c r="B9" s="1031" t="s">
        <v>7442</v>
      </c>
      <c r="C9" s="1005">
        <v>16760</v>
      </c>
      <c r="D9" s="1032">
        <v>750</v>
      </c>
      <c r="E9" s="1005">
        <v>16760</v>
      </c>
      <c r="F9" s="1033">
        <f t="shared" si="0"/>
        <v>201120</v>
      </c>
      <c r="G9" s="1034"/>
    </row>
    <row r="10" spans="1:7" x14ac:dyDescent="0.7">
      <c r="A10" s="1030">
        <v>7</v>
      </c>
      <c r="B10" s="1031" t="s">
        <v>7443</v>
      </c>
      <c r="C10" s="1005">
        <v>16760</v>
      </c>
      <c r="D10" s="1032">
        <v>750</v>
      </c>
      <c r="E10" s="1005">
        <v>16760</v>
      </c>
      <c r="F10" s="1033">
        <f t="shared" si="0"/>
        <v>201120</v>
      </c>
      <c r="G10" s="1034"/>
    </row>
    <row r="11" spans="1:7" x14ac:dyDescent="0.7">
      <c r="A11" s="1030">
        <v>8</v>
      </c>
      <c r="B11" s="1031" t="s">
        <v>7438</v>
      </c>
      <c r="C11" s="1005">
        <v>16760</v>
      </c>
      <c r="D11" s="1032">
        <v>750</v>
      </c>
      <c r="E11" s="1005">
        <v>16760</v>
      </c>
      <c r="F11" s="1033">
        <f t="shared" si="0"/>
        <v>201120</v>
      </c>
      <c r="G11" s="1034"/>
    </row>
    <row r="12" spans="1:7" x14ac:dyDescent="0.7">
      <c r="A12" s="1030">
        <v>9</v>
      </c>
      <c r="B12" s="1031" t="s">
        <v>7444</v>
      </c>
      <c r="C12" s="1005">
        <v>16760</v>
      </c>
      <c r="D12" s="1032">
        <v>750</v>
      </c>
      <c r="E12" s="1005">
        <v>16760</v>
      </c>
      <c r="F12" s="1033">
        <f t="shared" si="0"/>
        <v>201120</v>
      </c>
      <c r="G12" s="1034"/>
    </row>
    <row r="13" spans="1:7" x14ac:dyDescent="0.7">
      <c r="A13" s="1030">
        <v>10</v>
      </c>
      <c r="B13" s="1031" t="s">
        <v>7445</v>
      </c>
      <c r="C13" s="1005">
        <v>15960</v>
      </c>
      <c r="D13" s="1032">
        <v>750</v>
      </c>
      <c r="E13" s="1005">
        <v>15960</v>
      </c>
      <c r="F13" s="1033">
        <f t="shared" si="0"/>
        <v>191520</v>
      </c>
      <c r="G13" s="1034"/>
    </row>
    <row r="14" spans="1:7" x14ac:dyDescent="0.7">
      <c r="A14" s="1030">
        <v>11</v>
      </c>
      <c r="B14" s="1031" t="s">
        <v>7446</v>
      </c>
      <c r="C14" s="1005">
        <v>15960</v>
      </c>
      <c r="D14" s="1032">
        <v>750</v>
      </c>
      <c r="E14" s="1005">
        <v>15960</v>
      </c>
      <c r="F14" s="1033">
        <f t="shared" si="0"/>
        <v>191520</v>
      </c>
      <c r="G14" s="1034"/>
    </row>
    <row r="15" spans="1:7" x14ac:dyDescent="0.7">
      <c r="A15" s="1030">
        <v>12</v>
      </c>
      <c r="B15" s="1031" t="s">
        <v>7447</v>
      </c>
      <c r="C15" s="1005">
        <v>15960</v>
      </c>
      <c r="D15" s="1032">
        <v>750</v>
      </c>
      <c r="E15" s="1005">
        <v>15960</v>
      </c>
      <c r="F15" s="1033">
        <f t="shared" si="0"/>
        <v>191520</v>
      </c>
      <c r="G15" s="1034"/>
    </row>
    <row r="16" spans="1:7" x14ac:dyDescent="0.7">
      <c r="A16" s="1030">
        <v>13</v>
      </c>
      <c r="B16" s="1031" t="s">
        <v>7448</v>
      </c>
      <c r="C16" s="1005">
        <v>13550</v>
      </c>
      <c r="D16" s="1032">
        <v>678</v>
      </c>
      <c r="E16" s="1005">
        <v>13550</v>
      </c>
      <c r="F16" s="1033">
        <f t="shared" si="0"/>
        <v>162600</v>
      </c>
      <c r="G16" s="1034"/>
    </row>
    <row r="17" spans="1:7" x14ac:dyDescent="0.7">
      <c r="A17" s="1030">
        <v>14</v>
      </c>
      <c r="B17" s="1004" t="s">
        <v>7449</v>
      </c>
      <c r="C17" s="1005">
        <v>14010</v>
      </c>
      <c r="D17" s="1032">
        <v>701</v>
      </c>
      <c r="E17" s="1005">
        <v>14010</v>
      </c>
      <c r="F17" s="1033">
        <f t="shared" si="0"/>
        <v>168120</v>
      </c>
      <c r="G17" s="1034"/>
    </row>
    <row r="18" spans="1:7" x14ac:dyDescent="0.7">
      <c r="A18" s="1030">
        <v>15</v>
      </c>
      <c r="B18" s="1031" t="s">
        <v>7450</v>
      </c>
      <c r="C18" s="1036">
        <v>13970</v>
      </c>
      <c r="D18" s="1032">
        <v>699</v>
      </c>
      <c r="E18" s="1036">
        <v>13970</v>
      </c>
      <c r="F18" s="1033">
        <f t="shared" si="0"/>
        <v>167640</v>
      </c>
      <c r="G18" s="1034"/>
    </row>
    <row r="19" spans="1:7" x14ac:dyDescent="0.7">
      <c r="A19" s="1030">
        <v>16</v>
      </c>
      <c r="B19" s="1037" t="s">
        <v>7451</v>
      </c>
      <c r="C19" s="1038">
        <v>7840</v>
      </c>
      <c r="D19" s="1032">
        <f>C19*5%</f>
        <v>392</v>
      </c>
      <c r="E19" s="1038">
        <v>7840</v>
      </c>
      <c r="F19" s="1033">
        <f t="shared" si="0"/>
        <v>94080</v>
      </c>
      <c r="G19" s="1034"/>
    </row>
    <row r="20" spans="1:7" x14ac:dyDescent="0.7">
      <c r="A20" s="1030">
        <v>17</v>
      </c>
      <c r="B20" s="1037" t="s">
        <v>7452</v>
      </c>
      <c r="C20" s="1038">
        <v>7840</v>
      </c>
      <c r="D20" s="1032">
        <f>C20*5%</f>
        <v>392</v>
      </c>
      <c r="E20" s="1038">
        <v>7840</v>
      </c>
      <c r="F20" s="1033">
        <f t="shared" si="0"/>
        <v>94080</v>
      </c>
      <c r="G20" s="1034"/>
    </row>
    <row r="21" spans="1:7" x14ac:dyDescent="0.7">
      <c r="A21" s="1030">
        <v>18</v>
      </c>
      <c r="B21" s="1037" t="s">
        <v>7453</v>
      </c>
      <c r="C21" s="1038">
        <v>7840</v>
      </c>
      <c r="D21" s="1032">
        <f>C21*5%</f>
        <v>392</v>
      </c>
      <c r="E21" s="1038">
        <v>7840</v>
      </c>
      <c r="F21" s="1033">
        <f t="shared" si="0"/>
        <v>94080</v>
      </c>
      <c r="G21" s="1034"/>
    </row>
    <row r="22" spans="1:7" x14ac:dyDescent="0.7">
      <c r="A22" s="1030">
        <v>19</v>
      </c>
      <c r="B22" s="1037" t="s">
        <v>7454</v>
      </c>
      <c r="C22" s="1038">
        <v>7840</v>
      </c>
      <c r="D22" s="1032">
        <f>C22*5%</f>
        <v>392</v>
      </c>
      <c r="E22" s="1038">
        <v>7840</v>
      </c>
      <c r="F22" s="1033">
        <f t="shared" si="0"/>
        <v>94080</v>
      </c>
      <c r="G22" s="1034"/>
    </row>
    <row r="23" spans="1:7" x14ac:dyDescent="0.7">
      <c r="A23" s="1030">
        <v>20</v>
      </c>
      <c r="B23" s="1037" t="s">
        <v>7455</v>
      </c>
      <c r="C23" s="1038">
        <v>7840</v>
      </c>
      <c r="D23" s="1032">
        <f>C23*5%</f>
        <v>392</v>
      </c>
      <c r="E23" s="1038">
        <v>7840</v>
      </c>
      <c r="F23" s="1033">
        <f t="shared" si="0"/>
        <v>94080</v>
      </c>
      <c r="G23" s="1034"/>
    </row>
    <row r="24" spans="1:7" x14ac:dyDescent="0.7">
      <c r="A24" s="1030">
        <v>21</v>
      </c>
      <c r="B24" s="1037" t="s">
        <v>7456</v>
      </c>
      <c r="C24" s="1038">
        <v>7970</v>
      </c>
      <c r="D24" s="1032">
        <v>399</v>
      </c>
      <c r="E24" s="1038">
        <v>7970</v>
      </c>
      <c r="F24" s="1033">
        <f t="shared" si="0"/>
        <v>95640</v>
      </c>
      <c r="G24" s="1034"/>
    </row>
    <row r="25" spans="1:7" x14ac:dyDescent="0.7">
      <c r="A25" s="1030">
        <v>22</v>
      </c>
      <c r="B25" s="1007" t="s">
        <v>7457</v>
      </c>
      <c r="C25" s="1005">
        <v>6510</v>
      </c>
      <c r="D25" s="1032">
        <v>326</v>
      </c>
      <c r="E25" s="1005">
        <v>6510</v>
      </c>
      <c r="F25" s="1033">
        <f t="shared" si="0"/>
        <v>78120</v>
      </c>
      <c r="G25" s="1034"/>
    </row>
    <row r="26" spans="1:7" x14ac:dyDescent="0.7">
      <c r="A26" s="1030">
        <v>23</v>
      </c>
      <c r="B26" s="1007" t="s">
        <v>7458</v>
      </c>
      <c r="C26" s="1005">
        <v>6510</v>
      </c>
      <c r="D26" s="1032">
        <v>326</v>
      </c>
      <c r="E26" s="1005">
        <v>6510</v>
      </c>
      <c r="F26" s="1033">
        <f t="shared" si="0"/>
        <v>78120</v>
      </c>
      <c r="G26" s="1034"/>
    </row>
    <row r="27" spans="1:7" x14ac:dyDescent="0.7">
      <c r="A27" s="1030">
        <v>24</v>
      </c>
      <c r="B27" s="1004" t="s">
        <v>7459</v>
      </c>
      <c r="C27" s="1005">
        <v>6510</v>
      </c>
      <c r="D27" s="1032">
        <v>326</v>
      </c>
      <c r="E27" s="1005">
        <v>6510</v>
      </c>
      <c r="F27" s="1033">
        <f t="shared" si="0"/>
        <v>78120</v>
      </c>
      <c r="G27" s="1034"/>
    </row>
    <row r="28" spans="1:7" x14ac:dyDescent="0.7">
      <c r="A28" s="1030">
        <v>25</v>
      </c>
      <c r="B28" s="1007" t="s">
        <v>7460</v>
      </c>
      <c r="C28" s="1005">
        <v>6510</v>
      </c>
      <c r="D28" s="1032">
        <v>326</v>
      </c>
      <c r="E28" s="1005">
        <v>6510</v>
      </c>
      <c r="F28" s="1033">
        <f t="shared" si="0"/>
        <v>78120</v>
      </c>
      <c r="G28" s="1034"/>
    </row>
    <row r="29" spans="1:7" x14ac:dyDescent="0.7">
      <c r="A29" s="1030">
        <v>26</v>
      </c>
      <c r="B29" s="1007" t="s">
        <v>7461</v>
      </c>
      <c r="C29" s="1005">
        <v>6510</v>
      </c>
      <c r="D29" s="1032">
        <v>326</v>
      </c>
      <c r="E29" s="1005">
        <v>6510</v>
      </c>
      <c r="F29" s="1033">
        <f t="shared" si="0"/>
        <v>78120</v>
      </c>
      <c r="G29" s="1034"/>
    </row>
    <row r="30" spans="1:7" x14ac:dyDescent="0.7">
      <c r="A30" s="1030">
        <v>27</v>
      </c>
      <c r="B30" s="1007" t="s">
        <v>7462</v>
      </c>
      <c r="C30" s="1005">
        <v>6510</v>
      </c>
      <c r="D30" s="1032">
        <v>326</v>
      </c>
      <c r="E30" s="1005">
        <v>6510</v>
      </c>
      <c r="F30" s="1033">
        <f t="shared" si="0"/>
        <v>78120</v>
      </c>
      <c r="G30" s="1034"/>
    </row>
    <row r="31" spans="1:7" x14ac:dyDescent="0.7">
      <c r="A31" s="1030">
        <v>28</v>
      </c>
      <c r="B31" s="1007" t="s">
        <v>7463</v>
      </c>
      <c r="C31" s="1005">
        <v>6510</v>
      </c>
      <c r="D31" s="1032">
        <v>326</v>
      </c>
      <c r="E31" s="1005">
        <v>6510</v>
      </c>
      <c r="F31" s="1033">
        <f t="shared" si="0"/>
        <v>78120</v>
      </c>
      <c r="G31" s="1034"/>
    </row>
    <row r="32" spans="1:7" x14ac:dyDescent="0.7">
      <c r="A32" s="1030">
        <v>29</v>
      </c>
      <c r="B32" s="1007" t="s">
        <v>7464</v>
      </c>
      <c r="C32" s="1005">
        <v>6510</v>
      </c>
      <c r="D32" s="1032">
        <v>326</v>
      </c>
      <c r="E32" s="1005">
        <v>6510</v>
      </c>
      <c r="F32" s="1033">
        <f t="shared" si="0"/>
        <v>78120</v>
      </c>
      <c r="G32" s="1034"/>
    </row>
    <row r="33" spans="1:9" x14ac:dyDescent="0.7">
      <c r="A33" s="1030">
        <v>30</v>
      </c>
      <c r="B33" s="1007" t="s">
        <v>7465</v>
      </c>
      <c r="C33" s="1005">
        <v>14910</v>
      </c>
      <c r="D33" s="1032">
        <v>746</v>
      </c>
      <c r="E33" s="1005">
        <v>14910</v>
      </c>
      <c r="F33" s="1033">
        <f t="shared" si="0"/>
        <v>178920</v>
      </c>
      <c r="G33" s="1034"/>
    </row>
    <row r="34" spans="1:9" x14ac:dyDescent="0.7">
      <c r="A34" s="1030">
        <v>31</v>
      </c>
      <c r="B34" s="1031" t="s">
        <v>7466</v>
      </c>
      <c r="C34" s="1005">
        <v>15620</v>
      </c>
      <c r="D34" s="1032">
        <v>750</v>
      </c>
      <c r="E34" s="1005">
        <v>15620</v>
      </c>
      <c r="F34" s="1033">
        <f t="shared" si="0"/>
        <v>187440</v>
      </c>
      <c r="G34" s="1034"/>
    </row>
    <row r="35" spans="1:9" x14ac:dyDescent="0.7">
      <c r="A35" s="1030">
        <v>32</v>
      </c>
      <c r="B35" s="1007" t="s">
        <v>7467</v>
      </c>
      <c r="C35" s="1005">
        <v>6510</v>
      </c>
      <c r="D35" s="1032">
        <v>326</v>
      </c>
      <c r="E35" s="1005">
        <v>6510</v>
      </c>
      <c r="F35" s="1033">
        <f t="shared" si="0"/>
        <v>78120</v>
      </c>
      <c r="G35" s="1034"/>
    </row>
    <row r="36" spans="1:9" x14ac:dyDescent="0.7">
      <c r="A36" s="1030">
        <v>33</v>
      </c>
      <c r="B36" s="1007" t="s">
        <v>7468</v>
      </c>
      <c r="C36" s="1005">
        <v>6510</v>
      </c>
      <c r="D36" s="1032">
        <v>326</v>
      </c>
      <c r="E36" s="1005">
        <v>6510</v>
      </c>
      <c r="F36" s="1033">
        <f t="shared" si="0"/>
        <v>78120</v>
      </c>
      <c r="G36" s="1034"/>
    </row>
    <row r="37" spans="1:9" x14ac:dyDescent="0.7">
      <c r="A37" s="1039" t="s">
        <v>7433</v>
      </c>
      <c r="B37" s="1040"/>
      <c r="C37" s="1041">
        <f>SUM(C4:C36)</f>
        <v>386410</v>
      </c>
      <c r="D37" s="1041">
        <f>SUM(D4:D36)</f>
        <v>18193</v>
      </c>
      <c r="E37" s="1041">
        <f>SUM(E4:E36)</f>
        <v>386410</v>
      </c>
      <c r="F37" s="1041">
        <f>SUM(F4:F36)</f>
        <v>4636920</v>
      </c>
      <c r="G37" s="1042"/>
    </row>
    <row r="38" spans="1:9" x14ac:dyDescent="0.7">
      <c r="A38" s="1023"/>
      <c r="C38" s="1043">
        <f>C37*12</f>
        <v>4636920</v>
      </c>
      <c r="D38" s="1043">
        <f>D37*12</f>
        <v>218316</v>
      </c>
      <c r="I38" s="1046"/>
    </row>
    <row r="40" spans="1:9" x14ac:dyDescent="0.7">
      <c r="B40" s="1023" t="s">
        <v>7469</v>
      </c>
      <c r="C40" s="1043">
        <f>SUM(F4,F5,F6,F7,F8,F9,F10,F11,F12,F13,F14,F15,F16)</f>
        <v>2587560</v>
      </c>
      <c r="E40" s="1047"/>
      <c r="F40" s="1047"/>
    </row>
    <row r="41" spans="1:9" x14ac:dyDescent="0.7">
      <c r="B41" s="1023" t="s">
        <v>7470</v>
      </c>
      <c r="C41" s="1043">
        <f>SUM(F17:F36)</f>
        <v>2049360</v>
      </c>
      <c r="E41" s="1048"/>
      <c r="F41" s="1048"/>
    </row>
    <row r="42" spans="1:9" x14ac:dyDescent="0.7">
      <c r="E42" s="1047"/>
      <c r="F42" s="1047"/>
    </row>
    <row r="43" spans="1:9" x14ac:dyDescent="0.7">
      <c r="E43" s="1044" t="s">
        <v>7380</v>
      </c>
    </row>
  </sheetData>
  <mergeCells count="6">
    <mergeCell ref="A1:G1"/>
    <mergeCell ref="B2:G2"/>
    <mergeCell ref="A37:B37"/>
    <mergeCell ref="E40:F40"/>
    <mergeCell ref="E41:F41"/>
    <mergeCell ref="E42:F42"/>
  </mergeCells>
  <pageMargins left="0.70866141732283472" right="0.70866141732283472" top="0.94488188976377963" bottom="1.1811023622047245" header="0.31496062992125984" footer="0.15748031496062992"/>
  <pageSetup paperSize="9" scale="9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10FC-6029-4E6C-B1BC-CE98933FFBBD}">
  <sheetPr>
    <tabColor rgb="FF0070C0"/>
    <pageSetUpPr fitToPage="1"/>
  </sheetPr>
  <dimension ref="A1:G54"/>
  <sheetViews>
    <sheetView view="pageBreakPreview" topLeftCell="A4" zoomScale="110" zoomScaleSheetLayoutView="110" workbookViewId="0">
      <selection activeCell="A17" sqref="A17"/>
    </sheetView>
  </sheetViews>
  <sheetFormatPr defaultColWidth="9" defaultRowHeight="16.8" x14ac:dyDescent="0.5"/>
  <cols>
    <col min="1" max="1" width="6.09765625" style="1051" customWidth="1"/>
    <col min="2" max="2" width="29.8984375" style="1051" bestFit="1" customWidth="1"/>
    <col min="3" max="3" width="19.69921875" style="1051" customWidth="1"/>
    <col min="4" max="4" width="23.3984375" style="1051" bestFit="1" customWidth="1"/>
    <col min="5" max="5" width="18.19921875" style="1051" bestFit="1" customWidth="1"/>
    <col min="6" max="16384" width="9" style="1051"/>
  </cols>
  <sheetData>
    <row r="1" spans="1:7" ht="27" x14ac:dyDescent="0.75">
      <c r="A1" s="1049" t="s">
        <v>7471</v>
      </c>
      <c r="B1" s="1049"/>
      <c r="C1" s="1049"/>
      <c r="D1" s="1049"/>
      <c r="E1" s="1049"/>
      <c r="F1" s="1050"/>
      <c r="G1" s="1050"/>
    </row>
    <row r="2" spans="1:7" ht="27" x14ac:dyDescent="0.75">
      <c r="A2" s="1052"/>
      <c r="B2" s="1052"/>
      <c r="C2" s="1052"/>
      <c r="D2" s="1052"/>
      <c r="E2" s="1052"/>
      <c r="F2" s="1050"/>
      <c r="G2" s="1050"/>
    </row>
    <row r="3" spans="1:7" ht="27" x14ac:dyDescent="0.75">
      <c r="A3" s="1053" t="s">
        <v>2185</v>
      </c>
      <c r="B3" s="1053" t="s">
        <v>7472</v>
      </c>
      <c r="C3" s="1053" t="s">
        <v>7473</v>
      </c>
      <c r="D3" s="1053" t="s">
        <v>7474</v>
      </c>
      <c r="E3" s="1053" t="s">
        <v>7475</v>
      </c>
      <c r="F3" s="1052"/>
      <c r="G3" s="1052"/>
    </row>
    <row r="4" spans="1:7" s="1017" customFormat="1" ht="24.6" x14ac:dyDescent="0.7">
      <c r="A4" s="1054">
        <v>1</v>
      </c>
      <c r="B4" s="1055" t="s">
        <v>7476</v>
      </c>
      <c r="C4" s="1055" t="s">
        <v>7477</v>
      </c>
      <c r="D4" s="1056">
        <v>10000</v>
      </c>
      <c r="E4" s="1057">
        <v>120000</v>
      </c>
    </row>
    <row r="5" spans="1:7" s="1017" customFormat="1" ht="24.6" x14ac:dyDescent="0.7">
      <c r="A5" s="1054">
        <v>2</v>
      </c>
      <c r="B5" s="1055" t="s">
        <v>7478</v>
      </c>
      <c r="C5" s="1055" t="s">
        <v>7477</v>
      </c>
      <c r="D5" s="1056">
        <v>10000</v>
      </c>
      <c r="E5" s="1057">
        <v>120000</v>
      </c>
    </row>
    <row r="6" spans="1:7" s="1017" customFormat="1" ht="24.6" x14ac:dyDescent="0.7">
      <c r="A6" s="1058">
        <v>3</v>
      </c>
      <c r="B6" s="1059" t="s">
        <v>7479</v>
      </c>
      <c r="C6" s="1055" t="s">
        <v>7477</v>
      </c>
      <c r="D6" s="1056">
        <v>10000</v>
      </c>
      <c r="E6" s="1057">
        <v>120000</v>
      </c>
    </row>
    <row r="7" spans="1:7" s="1065" customFormat="1" ht="24.6" x14ac:dyDescent="0.7">
      <c r="A7" s="1060" t="s">
        <v>7480</v>
      </c>
      <c r="B7" s="1061"/>
      <c r="C7" s="1062"/>
      <c r="D7" s="1063">
        <f>SUM(D4:D6)</f>
        <v>30000</v>
      </c>
      <c r="E7" s="1064">
        <f>SUM(D7*12)</f>
        <v>360000</v>
      </c>
    </row>
    <row r="8" spans="1:7" s="1017" customFormat="1" ht="24.6" x14ac:dyDescent="0.7">
      <c r="A8" s="1054">
        <v>4</v>
      </c>
      <c r="B8" s="1055" t="s">
        <v>7481</v>
      </c>
      <c r="C8" s="1055" t="s">
        <v>7482</v>
      </c>
      <c r="D8" s="1056">
        <v>10000</v>
      </c>
      <c r="E8" s="1057">
        <v>120000</v>
      </c>
    </row>
    <row r="9" spans="1:7" s="1017" customFormat="1" ht="24.6" x14ac:dyDescent="0.7">
      <c r="A9" s="1054">
        <v>6</v>
      </c>
      <c r="B9" s="1055" t="s">
        <v>7483</v>
      </c>
      <c r="C9" s="1055" t="s">
        <v>7482</v>
      </c>
      <c r="D9" s="1056">
        <v>10000</v>
      </c>
      <c r="E9" s="1057">
        <v>120000</v>
      </c>
    </row>
    <row r="10" spans="1:7" s="1017" customFormat="1" ht="24.6" x14ac:dyDescent="0.7">
      <c r="A10" s="1054">
        <v>7</v>
      </c>
      <c r="B10" s="1055" t="s">
        <v>7484</v>
      </c>
      <c r="C10" s="1055" t="s">
        <v>7482</v>
      </c>
      <c r="D10" s="1057">
        <v>10000</v>
      </c>
      <c r="E10" s="1057">
        <v>120000</v>
      </c>
    </row>
    <row r="11" spans="1:7" s="1017" customFormat="1" ht="24.6" x14ac:dyDescent="0.7">
      <c r="A11" s="1054">
        <v>8</v>
      </c>
      <c r="B11" s="1066" t="s">
        <v>7485</v>
      </c>
      <c r="C11" s="1055" t="s">
        <v>7482</v>
      </c>
      <c r="D11" s="1057">
        <v>10000</v>
      </c>
      <c r="E11" s="1057">
        <v>120000</v>
      </c>
    </row>
    <row r="12" spans="1:7" s="1017" customFormat="1" ht="24.6" x14ac:dyDescent="0.7">
      <c r="A12" s="1054">
        <v>9</v>
      </c>
      <c r="B12" s="1067" t="s">
        <v>7486</v>
      </c>
      <c r="C12" s="1055" t="s">
        <v>7482</v>
      </c>
      <c r="D12" s="1057">
        <v>10000</v>
      </c>
      <c r="E12" s="1057">
        <v>120000</v>
      </c>
    </row>
    <row r="13" spans="1:7" s="1065" customFormat="1" ht="24.6" x14ac:dyDescent="0.7">
      <c r="A13" s="1060" t="s">
        <v>7487</v>
      </c>
      <c r="B13" s="1061"/>
      <c r="C13" s="1062"/>
      <c r="D13" s="1068">
        <f>SUM(D8:D12)</f>
        <v>50000</v>
      </c>
      <c r="E13" s="1064">
        <f>SUM(D13*12)</f>
        <v>600000</v>
      </c>
    </row>
    <row r="14" spans="1:7" s="1017" customFormat="1" ht="24.6" x14ac:dyDescent="0.7">
      <c r="A14" s="1054">
        <v>8</v>
      </c>
      <c r="B14" s="1055" t="s">
        <v>7488</v>
      </c>
      <c r="C14" s="1055" t="s">
        <v>7489</v>
      </c>
      <c r="D14" s="1069">
        <v>5000</v>
      </c>
      <c r="E14" s="1057">
        <v>60000</v>
      </c>
    </row>
    <row r="15" spans="1:7" s="1017" customFormat="1" ht="24.6" x14ac:dyDescent="0.7">
      <c r="A15" s="1058">
        <v>9</v>
      </c>
      <c r="B15" s="1059" t="s">
        <v>7437</v>
      </c>
      <c r="C15" s="1055" t="s">
        <v>7489</v>
      </c>
      <c r="D15" s="1069">
        <v>5000</v>
      </c>
      <c r="E15" s="1057">
        <v>60000</v>
      </c>
    </row>
    <row r="16" spans="1:7" s="1065" customFormat="1" ht="24.6" x14ac:dyDescent="0.7">
      <c r="A16" s="1060" t="s">
        <v>7490</v>
      </c>
      <c r="B16" s="1061"/>
      <c r="C16" s="1062"/>
      <c r="D16" s="1068">
        <f>SUM(D14:D15)</f>
        <v>10000</v>
      </c>
      <c r="E16" s="1064">
        <f>SUM(D16*12)</f>
        <v>120000</v>
      </c>
    </row>
    <row r="18" spans="4:7" x14ac:dyDescent="0.5">
      <c r="E18" s="1070">
        <f>SUM(E16,E13,E7)</f>
        <v>1080000</v>
      </c>
    </row>
    <row r="19" spans="4:7" ht="24.6" x14ac:dyDescent="0.5">
      <c r="D19" s="1020"/>
      <c r="E19" s="1020"/>
    </row>
    <row r="20" spans="4:7" ht="24.6" x14ac:dyDescent="0.5">
      <c r="D20" s="1021"/>
      <c r="E20" s="1021"/>
    </row>
    <row r="21" spans="4:7" ht="24.6" x14ac:dyDescent="0.5">
      <c r="D21" s="1020"/>
      <c r="E21" s="1020"/>
    </row>
    <row r="24" spans="4:7" x14ac:dyDescent="0.5">
      <c r="G24" s="1051" t="s">
        <v>7380</v>
      </c>
    </row>
    <row r="54" spans="5:5" x14ac:dyDescent="0.5">
      <c r="E54" s="1051" t="s">
        <v>7380</v>
      </c>
    </row>
  </sheetData>
  <mergeCells count="7">
    <mergeCell ref="D21:E21"/>
    <mergeCell ref="A1:E1"/>
    <mergeCell ref="A7:C7"/>
    <mergeCell ref="A13:C13"/>
    <mergeCell ref="A16:C16"/>
    <mergeCell ref="D19:E19"/>
    <mergeCell ref="D20:E20"/>
  </mergeCells>
  <pageMargins left="1.299212598425197" right="0.70866141732283472" top="0.94488188976377963" bottom="0.94488188976377963" header="0.31496062992125984" footer="0.31496062992125984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27A7F-977F-4159-B79E-74C4DB676D2C}">
  <sheetPr>
    <tabColor rgb="FF0070C0"/>
    <pageSetUpPr fitToPage="1"/>
  </sheetPr>
  <dimension ref="A1:Q103"/>
  <sheetViews>
    <sheetView view="pageBreakPreview" topLeftCell="C4" zoomScale="80" zoomScaleNormal="90" zoomScaleSheetLayoutView="80" workbookViewId="0">
      <selection activeCell="A17" sqref="A17"/>
    </sheetView>
  </sheetViews>
  <sheetFormatPr defaultColWidth="9" defaultRowHeight="24.6" x14ac:dyDescent="0.7"/>
  <cols>
    <col min="1" max="1" width="6" style="997" bestFit="1" customWidth="1"/>
    <col min="2" max="2" width="24" style="997" customWidth="1"/>
    <col min="3" max="3" width="24.8984375" style="1017" customWidth="1"/>
    <col min="4" max="4" width="14.09765625" style="997" customWidth="1"/>
    <col min="5" max="5" width="13.09765625" style="997" customWidth="1"/>
    <col min="6" max="7" width="10.8984375" style="997" customWidth="1"/>
    <col min="8" max="8" width="14.09765625" style="997" customWidth="1"/>
    <col min="9" max="9" width="11.19921875" style="997" customWidth="1"/>
    <col min="10" max="10" width="10.8984375" style="997" customWidth="1"/>
    <col min="11" max="11" width="11" style="997" customWidth="1"/>
    <col min="12" max="12" width="10.8984375" style="997" customWidth="1"/>
    <col min="13" max="13" width="10.3984375" style="997" customWidth="1"/>
    <col min="14" max="14" width="11.69921875" style="997" customWidth="1"/>
    <col min="15" max="15" width="11.19921875" style="997" customWidth="1"/>
    <col min="16" max="16" width="12.3984375" style="997" customWidth="1"/>
    <col min="17" max="17" width="13.19921875" style="997" customWidth="1"/>
    <col min="18" max="16384" width="9" style="997"/>
  </cols>
  <sheetData>
    <row r="1" spans="1:17" x14ac:dyDescent="0.7">
      <c r="A1" s="996" t="s">
        <v>7491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</row>
    <row r="2" spans="1:17" x14ac:dyDescent="0.7">
      <c r="A2" s="996" t="s">
        <v>7492</v>
      </c>
      <c r="B2" s="996"/>
      <c r="C2" s="996"/>
      <c r="D2" s="996"/>
      <c r="E2" s="996"/>
      <c r="F2" s="996"/>
      <c r="G2" s="996"/>
      <c r="H2" s="996"/>
      <c r="I2" s="996"/>
      <c r="J2" s="996"/>
      <c r="K2" s="996"/>
      <c r="L2" s="996"/>
      <c r="M2" s="996"/>
      <c r="N2" s="996"/>
      <c r="O2" s="996"/>
      <c r="P2" s="996"/>
      <c r="Q2" s="996"/>
    </row>
    <row r="3" spans="1:17" x14ac:dyDescent="0.7">
      <c r="A3" s="996" t="s">
        <v>7493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  <c r="L3" s="996"/>
      <c r="M3" s="996"/>
      <c r="N3" s="996"/>
      <c r="O3" s="996"/>
      <c r="P3" s="996"/>
      <c r="Q3" s="996"/>
    </row>
    <row r="5" spans="1:17" s="1072" customFormat="1" x14ac:dyDescent="0.7">
      <c r="A5" s="1071" t="s">
        <v>6537</v>
      </c>
      <c r="B5" s="1071" t="s">
        <v>7494</v>
      </c>
      <c r="C5" s="1071" t="s">
        <v>7473</v>
      </c>
      <c r="D5" s="1071" t="s">
        <v>7495</v>
      </c>
      <c r="E5" s="1071" t="s">
        <v>7496</v>
      </c>
      <c r="F5" s="1071" t="s">
        <v>7497</v>
      </c>
      <c r="G5" s="1071" t="s">
        <v>7498</v>
      </c>
      <c r="H5" s="1071" t="s">
        <v>7499</v>
      </c>
      <c r="I5" s="1071" t="s">
        <v>7500</v>
      </c>
      <c r="J5" s="1071" t="s">
        <v>7501</v>
      </c>
      <c r="K5" s="1071" t="s">
        <v>7502</v>
      </c>
      <c r="L5" s="1071" t="s">
        <v>7503</v>
      </c>
      <c r="M5" s="1071" t="s">
        <v>7504</v>
      </c>
      <c r="N5" s="1071" t="s">
        <v>7505</v>
      </c>
      <c r="O5" s="1071" t="s">
        <v>7506</v>
      </c>
      <c r="P5" s="1071" t="s">
        <v>7507</v>
      </c>
      <c r="Q5" s="1071" t="s">
        <v>622</v>
      </c>
    </row>
    <row r="6" spans="1:17" x14ac:dyDescent="0.7">
      <c r="A6" s="1003">
        <v>1</v>
      </c>
      <c r="B6" s="1073" t="s">
        <v>7508</v>
      </c>
      <c r="C6" s="1074" t="s">
        <v>7509</v>
      </c>
      <c r="D6" s="1075" t="s">
        <v>7510</v>
      </c>
      <c r="E6" s="1032">
        <v>40000</v>
      </c>
      <c r="F6" s="1032">
        <v>40000</v>
      </c>
      <c r="G6" s="1032">
        <v>40000</v>
      </c>
      <c r="H6" s="1032">
        <v>40000</v>
      </c>
      <c r="I6" s="1032">
        <v>40000</v>
      </c>
      <c r="J6" s="1032">
        <v>40000</v>
      </c>
      <c r="K6" s="1032">
        <v>40000</v>
      </c>
      <c r="L6" s="1032">
        <v>40000</v>
      </c>
      <c r="M6" s="1032">
        <v>40000</v>
      </c>
      <c r="N6" s="1032">
        <v>40000</v>
      </c>
      <c r="O6" s="1032">
        <v>40000</v>
      </c>
      <c r="P6" s="1032">
        <v>40000</v>
      </c>
      <c r="Q6" s="1076">
        <f t="shared" ref="Q6:Q60" si="0">SUM(E6:P6)</f>
        <v>480000</v>
      </c>
    </row>
    <row r="7" spans="1:17" x14ac:dyDescent="0.7">
      <c r="A7" s="1003">
        <v>2</v>
      </c>
      <c r="B7" s="1077" t="s">
        <v>7481</v>
      </c>
      <c r="C7" s="1074" t="s">
        <v>7511</v>
      </c>
      <c r="D7" s="1075" t="s">
        <v>7512</v>
      </c>
      <c r="E7" s="1032">
        <v>10000</v>
      </c>
      <c r="F7" s="1032">
        <v>10000</v>
      </c>
      <c r="G7" s="1032">
        <v>10000</v>
      </c>
      <c r="H7" s="1032">
        <v>10000</v>
      </c>
      <c r="I7" s="1032">
        <v>10000</v>
      </c>
      <c r="J7" s="1032">
        <v>10000</v>
      </c>
      <c r="K7" s="1032">
        <v>10000</v>
      </c>
      <c r="L7" s="1032">
        <v>10000</v>
      </c>
      <c r="M7" s="1032">
        <v>10000</v>
      </c>
      <c r="N7" s="1032">
        <v>10000</v>
      </c>
      <c r="O7" s="1032">
        <v>10000</v>
      </c>
      <c r="P7" s="1032">
        <v>10000</v>
      </c>
      <c r="Q7" s="1076">
        <f t="shared" si="0"/>
        <v>120000</v>
      </c>
    </row>
    <row r="8" spans="1:17" x14ac:dyDescent="0.7">
      <c r="A8" s="1003">
        <v>3</v>
      </c>
      <c r="B8" s="1078" t="s">
        <v>7483</v>
      </c>
      <c r="C8" s="1074" t="s">
        <v>7511</v>
      </c>
      <c r="D8" s="1075" t="s">
        <v>7512</v>
      </c>
      <c r="E8" s="1032">
        <v>10000</v>
      </c>
      <c r="F8" s="1032">
        <v>10000</v>
      </c>
      <c r="G8" s="1032">
        <v>10000</v>
      </c>
      <c r="H8" s="1032">
        <v>10000</v>
      </c>
      <c r="I8" s="1032">
        <v>10000</v>
      </c>
      <c r="J8" s="1032">
        <v>10000</v>
      </c>
      <c r="K8" s="1032">
        <v>10000</v>
      </c>
      <c r="L8" s="1032">
        <v>10000</v>
      </c>
      <c r="M8" s="1032">
        <v>10000</v>
      </c>
      <c r="N8" s="1032">
        <v>10000</v>
      </c>
      <c r="O8" s="1032">
        <v>10000</v>
      </c>
      <c r="P8" s="1032">
        <v>10000</v>
      </c>
      <c r="Q8" s="1076">
        <f t="shared" si="0"/>
        <v>120000</v>
      </c>
    </row>
    <row r="9" spans="1:17" x14ac:dyDescent="0.7">
      <c r="A9" s="1003">
        <v>4</v>
      </c>
      <c r="B9" s="1079" t="s">
        <v>7485</v>
      </c>
      <c r="C9" s="1074" t="s">
        <v>7513</v>
      </c>
      <c r="D9" s="1075" t="s">
        <v>7512</v>
      </c>
      <c r="E9" s="1032">
        <v>10000</v>
      </c>
      <c r="F9" s="1032">
        <v>10000</v>
      </c>
      <c r="G9" s="1032">
        <v>10000</v>
      </c>
      <c r="H9" s="1032">
        <v>10000</v>
      </c>
      <c r="I9" s="1032">
        <v>10000</v>
      </c>
      <c r="J9" s="1032">
        <v>10000</v>
      </c>
      <c r="K9" s="1032">
        <v>10000</v>
      </c>
      <c r="L9" s="1032">
        <v>10000</v>
      </c>
      <c r="M9" s="1032">
        <v>10000</v>
      </c>
      <c r="N9" s="1032">
        <v>10000</v>
      </c>
      <c r="O9" s="1032">
        <v>10000</v>
      </c>
      <c r="P9" s="1032">
        <v>10000</v>
      </c>
      <c r="Q9" s="1076">
        <f t="shared" si="0"/>
        <v>120000</v>
      </c>
    </row>
    <row r="10" spans="1:17" x14ac:dyDescent="0.7">
      <c r="A10" s="1003">
        <v>5</v>
      </c>
      <c r="B10" s="1080" t="s">
        <v>7486</v>
      </c>
      <c r="C10" s="1074" t="s">
        <v>7513</v>
      </c>
      <c r="D10" s="1075" t="s">
        <v>7512</v>
      </c>
      <c r="E10" s="1032">
        <v>10000</v>
      </c>
      <c r="F10" s="1032">
        <v>10000</v>
      </c>
      <c r="G10" s="1032">
        <v>10000</v>
      </c>
      <c r="H10" s="1032">
        <v>10000</v>
      </c>
      <c r="I10" s="1032">
        <v>10000</v>
      </c>
      <c r="J10" s="1032">
        <v>10000</v>
      </c>
      <c r="K10" s="1032">
        <v>10000</v>
      </c>
      <c r="L10" s="1032">
        <v>10000</v>
      </c>
      <c r="M10" s="1032">
        <v>10000</v>
      </c>
      <c r="N10" s="1032">
        <v>10000</v>
      </c>
      <c r="O10" s="1032">
        <v>10000</v>
      </c>
      <c r="P10" s="1032">
        <v>10000</v>
      </c>
      <c r="Q10" s="1076">
        <f t="shared" si="0"/>
        <v>120000</v>
      </c>
    </row>
    <row r="11" spans="1:17" x14ac:dyDescent="0.7">
      <c r="A11" s="1003">
        <v>6</v>
      </c>
      <c r="B11" s="1080" t="s">
        <v>7514</v>
      </c>
      <c r="C11" s="1074" t="s">
        <v>7513</v>
      </c>
      <c r="D11" s="1075" t="s">
        <v>7512</v>
      </c>
      <c r="E11" s="1032">
        <v>10000</v>
      </c>
      <c r="F11" s="1032">
        <v>10000</v>
      </c>
      <c r="G11" s="1032">
        <v>10000</v>
      </c>
      <c r="H11" s="1032">
        <v>10000</v>
      </c>
      <c r="I11" s="1032">
        <v>10000</v>
      </c>
      <c r="J11" s="1032">
        <v>10000</v>
      </c>
      <c r="K11" s="1032">
        <v>10000</v>
      </c>
      <c r="L11" s="1032">
        <v>10000</v>
      </c>
      <c r="M11" s="1032">
        <v>10000</v>
      </c>
      <c r="N11" s="1032">
        <v>10000</v>
      </c>
      <c r="O11" s="1032">
        <v>10000</v>
      </c>
      <c r="P11" s="1032">
        <v>10000</v>
      </c>
      <c r="Q11" s="1076">
        <f t="shared" si="0"/>
        <v>120000</v>
      </c>
    </row>
    <row r="12" spans="1:17" x14ac:dyDescent="0.7">
      <c r="A12" s="1003">
        <v>7</v>
      </c>
      <c r="B12" s="1081" t="s">
        <v>7478</v>
      </c>
      <c r="C12" s="1074" t="s">
        <v>7515</v>
      </c>
      <c r="D12" s="1075" t="s">
        <v>7512</v>
      </c>
      <c r="E12" s="1032">
        <v>10000</v>
      </c>
      <c r="F12" s="1032">
        <v>10000</v>
      </c>
      <c r="G12" s="1032">
        <v>10000</v>
      </c>
      <c r="H12" s="1032">
        <v>10000</v>
      </c>
      <c r="I12" s="1032">
        <v>10000</v>
      </c>
      <c r="J12" s="1032">
        <v>10000</v>
      </c>
      <c r="K12" s="1032">
        <v>10000</v>
      </c>
      <c r="L12" s="1032">
        <v>10000</v>
      </c>
      <c r="M12" s="1032">
        <v>10000</v>
      </c>
      <c r="N12" s="1032">
        <v>10000</v>
      </c>
      <c r="O12" s="1032">
        <v>10000</v>
      </c>
      <c r="P12" s="1032">
        <v>10000</v>
      </c>
      <c r="Q12" s="1076">
        <f t="shared" si="0"/>
        <v>120000</v>
      </c>
    </row>
    <row r="13" spans="1:17" x14ac:dyDescent="0.7">
      <c r="A13" s="1003">
        <v>8</v>
      </c>
      <c r="B13" s="1082" t="s">
        <v>7516</v>
      </c>
      <c r="C13" s="1074" t="s">
        <v>7515</v>
      </c>
      <c r="D13" s="1075" t="s">
        <v>7512</v>
      </c>
      <c r="E13" s="1083">
        <v>10000</v>
      </c>
      <c r="F13" s="1083">
        <v>10000</v>
      </c>
      <c r="G13" s="1083">
        <v>10000</v>
      </c>
      <c r="H13" s="1083">
        <v>10000</v>
      </c>
      <c r="I13" s="1083">
        <v>10000</v>
      </c>
      <c r="J13" s="1083">
        <v>10000</v>
      </c>
      <c r="K13" s="1083">
        <v>10000</v>
      </c>
      <c r="L13" s="1083">
        <v>10000</v>
      </c>
      <c r="M13" s="1083">
        <v>10000</v>
      </c>
      <c r="N13" s="1083">
        <v>10000</v>
      </c>
      <c r="O13" s="1083">
        <v>10000</v>
      </c>
      <c r="P13" s="1083">
        <v>10000</v>
      </c>
      <c r="Q13" s="1076">
        <f t="shared" si="0"/>
        <v>120000</v>
      </c>
    </row>
    <row r="14" spans="1:17" x14ac:dyDescent="0.7">
      <c r="A14" s="1003">
        <v>9</v>
      </c>
      <c r="B14" s="1082" t="s">
        <v>7517</v>
      </c>
      <c r="C14" s="1074" t="s">
        <v>7515</v>
      </c>
      <c r="D14" s="1075" t="s">
        <v>7518</v>
      </c>
      <c r="E14" s="1083">
        <v>10000</v>
      </c>
      <c r="F14" s="1083">
        <v>10000</v>
      </c>
      <c r="G14" s="1083">
        <v>10000</v>
      </c>
      <c r="H14" s="1083">
        <v>10000</v>
      </c>
      <c r="I14" s="1083">
        <v>10000</v>
      </c>
      <c r="J14" s="1083">
        <v>10000</v>
      </c>
      <c r="K14" s="1083">
        <v>10000</v>
      </c>
      <c r="L14" s="1083">
        <v>10000</v>
      </c>
      <c r="M14" s="1083">
        <v>10000</v>
      </c>
      <c r="N14" s="1083">
        <v>10000</v>
      </c>
      <c r="O14" s="1083">
        <v>10000</v>
      </c>
      <c r="P14" s="1083">
        <v>10000</v>
      </c>
      <c r="Q14" s="1076">
        <f t="shared" si="0"/>
        <v>120000</v>
      </c>
    </row>
    <row r="15" spans="1:17" x14ac:dyDescent="0.7">
      <c r="A15" s="1003">
        <v>10</v>
      </c>
      <c r="B15" s="1082" t="s">
        <v>7519</v>
      </c>
      <c r="C15" s="1074" t="s">
        <v>7520</v>
      </c>
      <c r="D15" s="1075" t="s">
        <v>7521</v>
      </c>
      <c r="E15" s="1083">
        <v>5500</v>
      </c>
      <c r="F15" s="1083">
        <v>5500</v>
      </c>
      <c r="G15" s="1083">
        <v>5500</v>
      </c>
      <c r="H15" s="1083">
        <v>5500</v>
      </c>
      <c r="I15" s="1083">
        <v>5500</v>
      </c>
      <c r="J15" s="1083">
        <v>5500</v>
      </c>
      <c r="K15" s="1083">
        <v>5500</v>
      </c>
      <c r="L15" s="1083">
        <v>5500</v>
      </c>
      <c r="M15" s="1083">
        <v>5500</v>
      </c>
      <c r="N15" s="1083">
        <v>5500</v>
      </c>
      <c r="O15" s="1083">
        <v>5500</v>
      </c>
      <c r="P15" s="1083">
        <v>5500</v>
      </c>
      <c r="Q15" s="1076">
        <f t="shared" si="0"/>
        <v>66000</v>
      </c>
    </row>
    <row r="16" spans="1:17" x14ac:dyDescent="0.7">
      <c r="A16" s="1003">
        <v>11</v>
      </c>
      <c r="B16" s="1082" t="s">
        <v>7488</v>
      </c>
      <c r="C16" s="1074" t="s">
        <v>7520</v>
      </c>
      <c r="D16" s="1075" t="s">
        <v>7512</v>
      </c>
      <c r="E16" s="1083">
        <v>4500</v>
      </c>
      <c r="F16" s="1083">
        <v>4500</v>
      </c>
      <c r="G16" s="1083">
        <v>4500</v>
      </c>
      <c r="H16" s="1083">
        <v>4500</v>
      </c>
      <c r="I16" s="1083">
        <v>4500</v>
      </c>
      <c r="J16" s="1083">
        <v>4500</v>
      </c>
      <c r="K16" s="1083">
        <v>4500</v>
      </c>
      <c r="L16" s="1083">
        <v>4500</v>
      </c>
      <c r="M16" s="1083">
        <v>4500</v>
      </c>
      <c r="N16" s="1083">
        <v>4500</v>
      </c>
      <c r="O16" s="1083">
        <v>4500</v>
      </c>
      <c r="P16" s="1083">
        <v>4500</v>
      </c>
      <c r="Q16" s="1076">
        <f t="shared" si="0"/>
        <v>54000</v>
      </c>
    </row>
    <row r="17" spans="1:17" x14ac:dyDescent="0.7">
      <c r="A17" s="1003">
        <v>12</v>
      </c>
      <c r="B17" s="1080" t="s">
        <v>7437</v>
      </c>
      <c r="C17" s="1074" t="s">
        <v>7489</v>
      </c>
      <c r="D17" s="1075" t="s">
        <v>7512</v>
      </c>
      <c r="E17" s="1032">
        <v>4500</v>
      </c>
      <c r="F17" s="1032">
        <v>4500</v>
      </c>
      <c r="G17" s="1032">
        <v>4500</v>
      </c>
      <c r="H17" s="1032">
        <v>4500</v>
      </c>
      <c r="I17" s="1032">
        <v>4500</v>
      </c>
      <c r="J17" s="1032">
        <v>4500</v>
      </c>
      <c r="K17" s="1032">
        <v>4500</v>
      </c>
      <c r="L17" s="1032">
        <v>4500</v>
      </c>
      <c r="M17" s="1032">
        <v>4500</v>
      </c>
      <c r="N17" s="1032">
        <v>4500</v>
      </c>
      <c r="O17" s="1032">
        <v>4500</v>
      </c>
      <c r="P17" s="1032">
        <v>4500</v>
      </c>
      <c r="Q17" s="1076">
        <f t="shared" si="0"/>
        <v>54000</v>
      </c>
    </row>
    <row r="18" spans="1:17" x14ac:dyDescent="0.7">
      <c r="A18" s="1003">
        <v>13</v>
      </c>
      <c r="B18" s="1084" t="s">
        <v>7522</v>
      </c>
      <c r="C18" s="1074" t="s">
        <v>7523</v>
      </c>
      <c r="D18" s="1075" t="s">
        <v>7510</v>
      </c>
      <c r="E18" s="1033">
        <v>3200</v>
      </c>
      <c r="F18" s="1033">
        <v>3200</v>
      </c>
      <c r="G18" s="1033">
        <v>3200</v>
      </c>
      <c r="H18" s="1033">
        <v>3200</v>
      </c>
      <c r="I18" s="1033">
        <v>3200</v>
      </c>
      <c r="J18" s="1033">
        <v>3200</v>
      </c>
      <c r="K18" s="1033">
        <v>3200</v>
      </c>
      <c r="L18" s="1033">
        <v>3200</v>
      </c>
      <c r="M18" s="1033">
        <v>3200</v>
      </c>
      <c r="N18" s="1033">
        <v>3200</v>
      </c>
      <c r="O18" s="1033">
        <v>3200</v>
      </c>
      <c r="P18" s="1033">
        <v>3200</v>
      </c>
      <c r="Q18" s="1076">
        <f t="shared" si="0"/>
        <v>38400</v>
      </c>
    </row>
    <row r="19" spans="1:17" x14ac:dyDescent="0.7">
      <c r="A19" s="1003">
        <v>14</v>
      </c>
      <c r="B19" s="1084" t="s">
        <v>7524</v>
      </c>
      <c r="C19" s="1074" t="s">
        <v>7523</v>
      </c>
      <c r="D19" s="1075" t="s">
        <v>7510</v>
      </c>
      <c r="E19" s="1032">
        <v>3200</v>
      </c>
      <c r="F19" s="1032">
        <v>3200</v>
      </c>
      <c r="G19" s="1032">
        <v>3200</v>
      </c>
      <c r="H19" s="1032">
        <v>3200</v>
      </c>
      <c r="I19" s="1032">
        <v>3200</v>
      </c>
      <c r="J19" s="1032">
        <v>3200</v>
      </c>
      <c r="K19" s="1032">
        <v>3200</v>
      </c>
      <c r="L19" s="1032">
        <v>3200</v>
      </c>
      <c r="M19" s="1032">
        <v>3200</v>
      </c>
      <c r="N19" s="1032">
        <v>3200</v>
      </c>
      <c r="O19" s="1032">
        <v>3200</v>
      </c>
      <c r="P19" s="1032">
        <v>3200</v>
      </c>
      <c r="Q19" s="1076">
        <f t="shared" si="0"/>
        <v>38400</v>
      </c>
    </row>
    <row r="20" spans="1:17" x14ac:dyDescent="0.7">
      <c r="A20" s="1003">
        <v>15</v>
      </c>
      <c r="B20" s="1084" t="s">
        <v>7525</v>
      </c>
      <c r="C20" s="1074" t="s">
        <v>7523</v>
      </c>
      <c r="D20" s="1075" t="s">
        <v>7510</v>
      </c>
      <c r="E20" s="1032">
        <v>3200</v>
      </c>
      <c r="F20" s="1032">
        <v>3200</v>
      </c>
      <c r="G20" s="1032">
        <v>3200</v>
      </c>
      <c r="H20" s="1032">
        <v>3200</v>
      </c>
      <c r="I20" s="1032">
        <v>3200</v>
      </c>
      <c r="J20" s="1032">
        <v>3200</v>
      </c>
      <c r="K20" s="1032">
        <v>3200</v>
      </c>
      <c r="L20" s="1032">
        <v>3200</v>
      </c>
      <c r="M20" s="1032">
        <v>3200</v>
      </c>
      <c r="N20" s="1032">
        <v>3200</v>
      </c>
      <c r="O20" s="1032">
        <v>3200</v>
      </c>
      <c r="P20" s="1032">
        <v>3200</v>
      </c>
      <c r="Q20" s="1076">
        <f t="shared" si="0"/>
        <v>38400</v>
      </c>
    </row>
    <row r="21" spans="1:17" x14ac:dyDescent="0.7">
      <c r="A21" s="1003">
        <v>16</v>
      </c>
      <c r="B21" s="1079" t="s">
        <v>7526</v>
      </c>
      <c r="C21" s="1074" t="s">
        <v>7523</v>
      </c>
      <c r="D21" s="1075" t="s">
        <v>7510</v>
      </c>
      <c r="E21" s="1083">
        <v>3200</v>
      </c>
      <c r="F21" s="1083">
        <v>3200</v>
      </c>
      <c r="G21" s="1083">
        <v>3200</v>
      </c>
      <c r="H21" s="1083">
        <v>3200</v>
      </c>
      <c r="I21" s="1083">
        <v>3200</v>
      </c>
      <c r="J21" s="1083">
        <v>3200</v>
      </c>
      <c r="K21" s="1083">
        <v>3200</v>
      </c>
      <c r="L21" s="1083">
        <v>3200</v>
      </c>
      <c r="M21" s="1083">
        <v>3200</v>
      </c>
      <c r="N21" s="1083">
        <v>3200</v>
      </c>
      <c r="O21" s="1083">
        <v>3200</v>
      </c>
      <c r="P21" s="1083">
        <v>3200</v>
      </c>
      <c r="Q21" s="1076">
        <f t="shared" si="0"/>
        <v>38400</v>
      </c>
    </row>
    <row r="22" spans="1:17" x14ac:dyDescent="0.7">
      <c r="A22" s="1003">
        <v>17</v>
      </c>
      <c r="B22" s="1079" t="s">
        <v>7527</v>
      </c>
      <c r="C22" s="1074" t="s">
        <v>7523</v>
      </c>
      <c r="D22" s="1075" t="s">
        <v>7510</v>
      </c>
      <c r="E22" s="1083">
        <v>3200</v>
      </c>
      <c r="F22" s="1083">
        <v>3200</v>
      </c>
      <c r="G22" s="1083">
        <v>3200</v>
      </c>
      <c r="H22" s="1083">
        <v>3200</v>
      </c>
      <c r="I22" s="1083">
        <v>3200</v>
      </c>
      <c r="J22" s="1083">
        <v>3200</v>
      </c>
      <c r="K22" s="1083">
        <v>3200</v>
      </c>
      <c r="L22" s="1083">
        <v>3200</v>
      </c>
      <c r="M22" s="1083">
        <v>3200</v>
      </c>
      <c r="N22" s="1083">
        <v>3200</v>
      </c>
      <c r="O22" s="1083">
        <v>3200</v>
      </c>
      <c r="P22" s="1083">
        <v>3200</v>
      </c>
      <c r="Q22" s="1076">
        <f t="shared" si="0"/>
        <v>38400</v>
      </c>
    </row>
    <row r="23" spans="1:17" x14ac:dyDescent="0.7">
      <c r="A23" s="1003">
        <v>18</v>
      </c>
      <c r="B23" s="1079" t="s">
        <v>7528</v>
      </c>
      <c r="C23" s="1074" t="s">
        <v>7529</v>
      </c>
      <c r="D23" s="1075" t="s">
        <v>7510</v>
      </c>
      <c r="E23" s="1083">
        <v>3200</v>
      </c>
      <c r="F23" s="1083">
        <v>3200</v>
      </c>
      <c r="G23" s="1083">
        <v>3200</v>
      </c>
      <c r="H23" s="1083">
        <v>3200</v>
      </c>
      <c r="I23" s="1083">
        <v>3200</v>
      </c>
      <c r="J23" s="1083">
        <v>3200</v>
      </c>
      <c r="K23" s="1083">
        <v>3200</v>
      </c>
      <c r="L23" s="1083">
        <v>3200</v>
      </c>
      <c r="M23" s="1083">
        <v>3200</v>
      </c>
      <c r="N23" s="1083">
        <v>3200</v>
      </c>
      <c r="O23" s="1083">
        <v>3200</v>
      </c>
      <c r="P23" s="1083">
        <v>3200</v>
      </c>
      <c r="Q23" s="1076">
        <f t="shared" si="0"/>
        <v>38400</v>
      </c>
    </row>
    <row r="24" spans="1:17" x14ac:dyDescent="0.7">
      <c r="A24" s="1003">
        <v>19</v>
      </c>
      <c r="B24" s="1079" t="s">
        <v>7530</v>
      </c>
      <c r="C24" s="1074" t="s">
        <v>7529</v>
      </c>
      <c r="D24" s="1075" t="s">
        <v>7521</v>
      </c>
      <c r="E24" s="1083">
        <v>3000</v>
      </c>
      <c r="F24" s="1083">
        <v>3000</v>
      </c>
      <c r="G24" s="1083">
        <v>3000</v>
      </c>
      <c r="H24" s="1083">
        <v>3000</v>
      </c>
      <c r="I24" s="1083">
        <v>3000</v>
      </c>
      <c r="J24" s="1083">
        <v>3000</v>
      </c>
      <c r="K24" s="1083">
        <v>3000</v>
      </c>
      <c r="L24" s="1083">
        <v>3000</v>
      </c>
      <c r="M24" s="1083">
        <v>3000</v>
      </c>
      <c r="N24" s="1083">
        <v>3000</v>
      </c>
      <c r="O24" s="1083">
        <v>3000</v>
      </c>
      <c r="P24" s="1083">
        <v>3000</v>
      </c>
      <c r="Q24" s="1076">
        <f t="shared" si="0"/>
        <v>36000</v>
      </c>
    </row>
    <row r="25" spans="1:17" x14ac:dyDescent="0.7">
      <c r="A25" s="1003">
        <v>20</v>
      </c>
      <c r="B25" s="1079" t="s">
        <v>7531</v>
      </c>
      <c r="C25" s="1074" t="s">
        <v>7529</v>
      </c>
      <c r="D25" s="1075" t="s">
        <v>7521</v>
      </c>
      <c r="E25" s="1083">
        <v>3000</v>
      </c>
      <c r="F25" s="1083">
        <v>3000</v>
      </c>
      <c r="G25" s="1083">
        <v>3000</v>
      </c>
      <c r="H25" s="1083">
        <v>3000</v>
      </c>
      <c r="I25" s="1083">
        <v>3000</v>
      </c>
      <c r="J25" s="1083">
        <v>3000</v>
      </c>
      <c r="K25" s="1083">
        <v>3000</v>
      </c>
      <c r="L25" s="1083">
        <v>3000</v>
      </c>
      <c r="M25" s="1083">
        <v>3000</v>
      </c>
      <c r="N25" s="1083">
        <v>3000</v>
      </c>
      <c r="O25" s="1083">
        <v>3000</v>
      </c>
      <c r="P25" s="1083">
        <v>3000</v>
      </c>
      <c r="Q25" s="1076">
        <f t="shared" si="0"/>
        <v>36000</v>
      </c>
    </row>
    <row r="26" spans="1:17" x14ac:dyDescent="0.7">
      <c r="A26" s="1003">
        <v>21</v>
      </c>
      <c r="B26" s="1079" t="s">
        <v>7532</v>
      </c>
      <c r="C26" s="1074" t="s">
        <v>7529</v>
      </c>
      <c r="D26" s="1075" t="s">
        <v>7521</v>
      </c>
      <c r="E26" s="1083">
        <v>3000</v>
      </c>
      <c r="F26" s="1083">
        <v>3000</v>
      </c>
      <c r="G26" s="1083">
        <v>3000</v>
      </c>
      <c r="H26" s="1083">
        <v>3000</v>
      </c>
      <c r="I26" s="1083">
        <v>3000</v>
      </c>
      <c r="J26" s="1083">
        <v>3000</v>
      </c>
      <c r="K26" s="1083">
        <v>3000</v>
      </c>
      <c r="L26" s="1083">
        <v>3000</v>
      </c>
      <c r="M26" s="1083">
        <v>3000</v>
      </c>
      <c r="N26" s="1083">
        <v>3000</v>
      </c>
      <c r="O26" s="1083">
        <v>3000</v>
      </c>
      <c r="P26" s="1083">
        <v>3000</v>
      </c>
      <c r="Q26" s="1076">
        <f t="shared" si="0"/>
        <v>36000</v>
      </c>
    </row>
    <row r="27" spans="1:17" x14ac:dyDescent="0.7">
      <c r="A27" s="1003">
        <v>22</v>
      </c>
      <c r="B27" s="1085" t="s">
        <v>7533</v>
      </c>
      <c r="C27" s="1074" t="s">
        <v>7529</v>
      </c>
      <c r="D27" s="1075" t="s">
        <v>7534</v>
      </c>
      <c r="E27" s="1083">
        <v>2400</v>
      </c>
      <c r="F27" s="1083">
        <v>3000</v>
      </c>
      <c r="G27" s="1083">
        <v>3000</v>
      </c>
      <c r="H27" s="1083">
        <v>3000</v>
      </c>
      <c r="I27" s="1083">
        <v>3000</v>
      </c>
      <c r="J27" s="1083">
        <v>3000</v>
      </c>
      <c r="K27" s="1083">
        <v>3000</v>
      </c>
      <c r="L27" s="1083">
        <v>3000</v>
      </c>
      <c r="M27" s="1083">
        <v>3000</v>
      </c>
      <c r="N27" s="1083">
        <v>3000</v>
      </c>
      <c r="O27" s="1083">
        <v>3000</v>
      </c>
      <c r="P27" s="1083">
        <v>3000</v>
      </c>
      <c r="Q27" s="1076">
        <f t="shared" si="0"/>
        <v>35400</v>
      </c>
    </row>
    <row r="28" spans="1:17" x14ac:dyDescent="0.7">
      <c r="A28" s="1003">
        <v>23</v>
      </c>
      <c r="B28" s="1079" t="s">
        <v>7535</v>
      </c>
      <c r="C28" s="1074" t="s">
        <v>7529</v>
      </c>
      <c r="D28" s="1075" t="s">
        <v>7521</v>
      </c>
      <c r="E28" s="1083">
        <v>3000</v>
      </c>
      <c r="F28" s="1083">
        <v>3000</v>
      </c>
      <c r="G28" s="1083">
        <v>3000</v>
      </c>
      <c r="H28" s="1083">
        <v>3000</v>
      </c>
      <c r="I28" s="1083">
        <v>3000</v>
      </c>
      <c r="J28" s="1083">
        <v>3000</v>
      </c>
      <c r="K28" s="1083">
        <v>3000</v>
      </c>
      <c r="L28" s="1083">
        <v>3000</v>
      </c>
      <c r="M28" s="1083">
        <v>3000</v>
      </c>
      <c r="N28" s="1083">
        <v>3000</v>
      </c>
      <c r="O28" s="1083">
        <v>3000</v>
      </c>
      <c r="P28" s="1083">
        <v>3000</v>
      </c>
      <c r="Q28" s="1076">
        <f t="shared" si="0"/>
        <v>36000</v>
      </c>
    </row>
    <row r="29" spans="1:17" x14ac:dyDescent="0.7">
      <c r="A29" s="1003">
        <v>24</v>
      </c>
      <c r="B29" s="1079" t="s">
        <v>7536</v>
      </c>
      <c r="C29" s="1074" t="s">
        <v>7529</v>
      </c>
      <c r="D29" s="1075" t="s">
        <v>7521</v>
      </c>
      <c r="E29" s="1083">
        <v>3000</v>
      </c>
      <c r="F29" s="1083">
        <v>3000</v>
      </c>
      <c r="G29" s="1083">
        <v>3000</v>
      </c>
      <c r="H29" s="1083">
        <v>3000</v>
      </c>
      <c r="I29" s="1083">
        <v>3000</v>
      </c>
      <c r="J29" s="1083">
        <v>3000</v>
      </c>
      <c r="K29" s="1083">
        <v>3000</v>
      </c>
      <c r="L29" s="1083">
        <v>3000</v>
      </c>
      <c r="M29" s="1083">
        <v>3000</v>
      </c>
      <c r="N29" s="1083">
        <v>3000</v>
      </c>
      <c r="O29" s="1083">
        <v>3000</v>
      </c>
      <c r="P29" s="1083">
        <v>3000</v>
      </c>
      <c r="Q29" s="1076">
        <f t="shared" si="0"/>
        <v>36000</v>
      </c>
    </row>
    <row r="30" spans="1:17" x14ac:dyDescent="0.7">
      <c r="A30" s="1003">
        <v>25</v>
      </c>
      <c r="B30" s="1080" t="s">
        <v>7537</v>
      </c>
      <c r="C30" s="1074" t="s">
        <v>7529</v>
      </c>
      <c r="D30" s="1075" t="s">
        <v>7521</v>
      </c>
      <c r="E30" s="1032">
        <v>3000</v>
      </c>
      <c r="F30" s="1032">
        <v>3000</v>
      </c>
      <c r="G30" s="1032">
        <v>3000</v>
      </c>
      <c r="H30" s="1032">
        <v>3000</v>
      </c>
      <c r="I30" s="1032">
        <v>3000</v>
      </c>
      <c r="J30" s="1032">
        <v>3000</v>
      </c>
      <c r="K30" s="1032">
        <v>3000</v>
      </c>
      <c r="L30" s="1032">
        <v>3000</v>
      </c>
      <c r="M30" s="1032">
        <v>3000</v>
      </c>
      <c r="N30" s="1032">
        <v>3000</v>
      </c>
      <c r="O30" s="1032">
        <v>3000</v>
      </c>
      <c r="P30" s="1032">
        <v>3000</v>
      </c>
      <c r="Q30" s="1076">
        <f t="shared" si="0"/>
        <v>36000</v>
      </c>
    </row>
    <row r="31" spans="1:17" x14ac:dyDescent="0.7">
      <c r="A31" s="1003">
        <v>26</v>
      </c>
      <c r="B31" s="1080" t="s">
        <v>7538</v>
      </c>
      <c r="C31" s="1074" t="s">
        <v>7529</v>
      </c>
      <c r="D31" s="1075" t="s">
        <v>7521</v>
      </c>
      <c r="E31" s="1032">
        <v>3000</v>
      </c>
      <c r="F31" s="1032">
        <v>3000</v>
      </c>
      <c r="G31" s="1032">
        <v>3000</v>
      </c>
      <c r="H31" s="1032">
        <v>3000</v>
      </c>
      <c r="I31" s="1032">
        <v>3000</v>
      </c>
      <c r="J31" s="1032">
        <v>3000</v>
      </c>
      <c r="K31" s="1032">
        <v>3000</v>
      </c>
      <c r="L31" s="1032">
        <v>3000</v>
      </c>
      <c r="M31" s="1032">
        <v>3000</v>
      </c>
      <c r="N31" s="1032">
        <v>3000</v>
      </c>
      <c r="O31" s="1032">
        <v>3000</v>
      </c>
      <c r="P31" s="1032">
        <v>3000</v>
      </c>
      <c r="Q31" s="1076">
        <f t="shared" si="0"/>
        <v>36000</v>
      </c>
    </row>
    <row r="32" spans="1:17" x14ac:dyDescent="0.7">
      <c r="A32" s="1003">
        <v>27</v>
      </c>
      <c r="B32" s="1079" t="s">
        <v>7539</v>
      </c>
      <c r="C32" s="1074" t="s">
        <v>7529</v>
      </c>
      <c r="D32" s="1075" t="s">
        <v>7510</v>
      </c>
      <c r="E32" s="1083">
        <v>3200</v>
      </c>
      <c r="F32" s="1083">
        <v>3200</v>
      </c>
      <c r="G32" s="1083">
        <v>3200</v>
      </c>
      <c r="H32" s="1083">
        <v>3200</v>
      </c>
      <c r="I32" s="1083">
        <v>3200</v>
      </c>
      <c r="J32" s="1083">
        <v>3200</v>
      </c>
      <c r="K32" s="1083">
        <v>3200</v>
      </c>
      <c r="L32" s="1083">
        <v>3200</v>
      </c>
      <c r="M32" s="1083">
        <v>3200</v>
      </c>
      <c r="N32" s="1083">
        <v>3200</v>
      </c>
      <c r="O32" s="1083">
        <v>3200</v>
      </c>
      <c r="P32" s="1083">
        <v>3200</v>
      </c>
      <c r="Q32" s="1076">
        <f t="shared" si="0"/>
        <v>38400</v>
      </c>
    </row>
    <row r="33" spans="1:17" x14ac:dyDescent="0.7">
      <c r="A33" s="1003">
        <v>28</v>
      </c>
      <c r="B33" s="1079" t="s">
        <v>7540</v>
      </c>
      <c r="C33" s="1074" t="s">
        <v>7529</v>
      </c>
      <c r="D33" s="1075" t="s">
        <v>7521</v>
      </c>
      <c r="E33" s="1083">
        <v>3000</v>
      </c>
      <c r="F33" s="1083">
        <v>3000</v>
      </c>
      <c r="G33" s="1083">
        <v>3000</v>
      </c>
      <c r="H33" s="1083">
        <v>3000</v>
      </c>
      <c r="I33" s="1083">
        <v>3000</v>
      </c>
      <c r="J33" s="1083">
        <v>3000</v>
      </c>
      <c r="K33" s="1083">
        <v>3000</v>
      </c>
      <c r="L33" s="1083">
        <v>3000</v>
      </c>
      <c r="M33" s="1083">
        <v>3000</v>
      </c>
      <c r="N33" s="1083">
        <v>3000</v>
      </c>
      <c r="O33" s="1083">
        <v>3000</v>
      </c>
      <c r="P33" s="1083">
        <v>3000</v>
      </c>
      <c r="Q33" s="1076">
        <f t="shared" si="0"/>
        <v>36000</v>
      </c>
    </row>
    <row r="34" spans="1:17" x14ac:dyDescent="0.7">
      <c r="A34" s="1003">
        <v>29</v>
      </c>
      <c r="B34" s="1079" t="s">
        <v>7541</v>
      </c>
      <c r="C34" s="1074" t="s">
        <v>7529</v>
      </c>
      <c r="D34" s="1075" t="s">
        <v>7521</v>
      </c>
      <c r="E34" s="1032">
        <v>3000</v>
      </c>
      <c r="F34" s="1032">
        <v>3000</v>
      </c>
      <c r="G34" s="1032">
        <v>3000</v>
      </c>
      <c r="H34" s="1032">
        <v>3000</v>
      </c>
      <c r="I34" s="1032">
        <v>3000</v>
      </c>
      <c r="J34" s="1032">
        <v>3000</v>
      </c>
      <c r="K34" s="1032">
        <v>3000</v>
      </c>
      <c r="L34" s="1032">
        <v>3000</v>
      </c>
      <c r="M34" s="1032">
        <v>3000</v>
      </c>
      <c r="N34" s="1032">
        <v>3000</v>
      </c>
      <c r="O34" s="1032">
        <v>3000</v>
      </c>
      <c r="P34" s="1032">
        <v>3000</v>
      </c>
      <c r="Q34" s="1076">
        <f t="shared" si="0"/>
        <v>36000</v>
      </c>
    </row>
    <row r="35" spans="1:17" x14ac:dyDescent="0.7">
      <c r="A35" s="1003">
        <v>30</v>
      </c>
      <c r="B35" s="1079" t="s">
        <v>7542</v>
      </c>
      <c r="C35" s="1074" t="s">
        <v>7529</v>
      </c>
      <c r="D35" s="1075" t="s">
        <v>7521</v>
      </c>
      <c r="E35" s="1032">
        <v>3000</v>
      </c>
      <c r="F35" s="1032">
        <v>3000</v>
      </c>
      <c r="G35" s="1032">
        <v>3000</v>
      </c>
      <c r="H35" s="1032">
        <v>3000</v>
      </c>
      <c r="I35" s="1032">
        <v>3000</v>
      </c>
      <c r="J35" s="1032">
        <v>3000</v>
      </c>
      <c r="K35" s="1032">
        <v>3000</v>
      </c>
      <c r="L35" s="1032">
        <v>3000</v>
      </c>
      <c r="M35" s="1032">
        <v>3000</v>
      </c>
      <c r="N35" s="1032">
        <v>3000</v>
      </c>
      <c r="O35" s="1032">
        <v>3000</v>
      </c>
      <c r="P35" s="1032">
        <v>3000</v>
      </c>
      <c r="Q35" s="1076">
        <f t="shared" si="0"/>
        <v>36000</v>
      </c>
    </row>
    <row r="36" spans="1:17" x14ac:dyDescent="0.7">
      <c r="A36" s="1003">
        <v>31</v>
      </c>
      <c r="B36" s="1079" t="s">
        <v>7543</v>
      </c>
      <c r="C36" s="1074" t="s">
        <v>7529</v>
      </c>
      <c r="D36" s="1075" t="s">
        <v>7521</v>
      </c>
      <c r="E36" s="1083">
        <v>3000</v>
      </c>
      <c r="F36" s="1083">
        <v>3000</v>
      </c>
      <c r="G36" s="1083">
        <v>3000</v>
      </c>
      <c r="H36" s="1083">
        <v>3000</v>
      </c>
      <c r="I36" s="1083">
        <v>3000</v>
      </c>
      <c r="J36" s="1083">
        <v>3000</v>
      </c>
      <c r="K36" s="1083">
        <v>3000</v>
      </c>
      <c r="L36" s="1083">
        <v>3000</v>
      </c>
      <c r="M36" s="1083">
        <v>3000</v>
      </c>
      <c r="N36" s="1083">
        <v>3000</v>
      </c>
      <c r="O36" s="1083">
        <v>3000</v>
      </c>
      <c r="P36" s="1083">
        <v>3000</v>
      </c>
      <c r="Q36" s="1076">
        <f t="shared" si="0"/>
        <v>36000</v>
      </c>
    </row>
    <row r="37" spans="1:17" x14ac:dyDescent="0.7">
      <c r="A37" s="1003">
        <v>32</v>
      </c>
      <c r="B37" s="1079" t="s">
        <v>7544</v>
      </c>
      <c r="C37" s="1074" t="s">
        <v>7529</v>
      </c>
      <c r="D37" s="1075" t="s">
        <v>7521</v>
      </c>
      <c r="E37" s="1033">
        <v>3000</v>
      </c>
      <c r="F37" s="1033">
        <v>3000</v>
      </c>
      <c r="G37" s="1033">
        <v>3000</v>
      </c>
      <c r="H37" s="1033">
        <v>3000</v>
      </c>
      <c r="I37" s="1033">
        <v>3000</v>
      </c>
      <c r="J37" s="1033">
        <v>3000</v>
      </c>
      <c r="K37" s="1033">
        <v>3000</v>
      </c>
      <c r="L37" s="1033">
        <v>3000</v>
      </c>
      <c r="M37" s="1033">
        <v>3000</v>
      </c>
      <c r="N37" s="1033">
        <v>3000</v>
      </c>
      <c r="O37" s="1033">
        <v>3000</v>
      </c>
      <c r="P37" s="1033">
        <v>3000</v>
      </c>
      <c r="Q37" s="1076">
        <f t="shared" si="0"/>
        <v>36000</v>
      </c>
    </row>
    <row r="38" spans="1:17" x14ac:dyDescent="0.7">
      <c r="A38" s="1003">
        <v>33</v>
      </c>
      <c r="B38" s="1073" t="s">
        <v>7545</v>
      </c>
      <c r="C38" s="1074" t="s">
        <v>7546</v>
      </c>
      <c r="D38" s="1075" t="s">
        <v>7521</v>
      </c>
      <c r="E38" s="1032">
        <v>3000</v>
      </c>
      <c r="F38" s="1032">
        <v>3000</v>
      </c>
      <c r="G38" s="1032">
        <v>3000</v>
      </c>
      <c r="H38" s="1032">
        <v>3000</v>
      </c>
      <c r="I38" s="1032">
        <v>3000</v>
      </c>
      <c r="J38" s="1032">
        <v>3000</v>
      </c>
      <c r="K38" s="1032">
        <v>3000</v>
      </c>
      <c r="L38" s="1032">
        <v>3000</v>
      </c>
      <c r="M38" s="1032">
        <v>3000</v>
      </c>
      <c r="N38" s="1032">
        <v>3000</v>
      </c>
      <c r="O38" s="1032">
        <v>3000</v>
      </c>
      <c r="P38" s="1032">
        <v>3000</v>
      </c>
      <c r="Q38" s="1076">
        <f t="shared" si="0"/>
        <v>36000</v>
      </c>
    </row>
    <row r="39" spans="1:17" x14ac:dyDescent="0.7">
      <c r="A39" s="1003">
        <v>34</v>
      </c>
      <c r="B39" s="1080" t="s">
        <v>7547</v>
      </c>
      <c r="C39" s="1074" t="s">
        <v>7548</v>
      </c>
      <c r="D39" s="1075" t="s">
        <v>7521</v>
      </c>
      <c r="E39" s="1033">
        <v>3000</v>
      </c>
      <c r="F39" s="1033">
        <v>3000</v>
      </c>
      <c r="G39" s="1033">
        <v>3000</v>
      </c>
      <c r="H39" s="1033">
        <v>3000</v>
      </c>
      <c r="I39" s="1033">
        <v>3000</v>
      </c>
      <c r="J39" s="1033">
        <v>3000</v>
      </c>
      <c r="K39" s="1033">
        <v>3000</v>
      </c>
      <c r="L39" s="1033">
        <v>3000</v>
      </c>
      <c r="M39" s="1033">
        <v>3000</v>
      </c>
      <c r="N39" s="1033">
        <v>3000</v>
      </c>
      <c r="O39" s="1033">
        <v>3000</v>
      </c>
      <c r="P39" s="1033">
        <v>3000</v>
      </c>
      <c r="Q39" s="1076">
        <f t="shared" si="0"/>
        <v>36000</v>
      </c>
    </row>
    <row r="40" spans="1:17" x14ac:dyDescent="0.7">
      <c r="A40" s="1003">
        <v>35</v>
      </c>
      <c r="B40" s="1080" t="s">
        <v>7549</v>
      </c>
      <c r="C40" s="1074" t="s">
        <v>7550</v>
      </c>
      <c r="D40" s="1075" t="s">
        <v>7521</v>
      </c>
      <c r="E40" s="1032">
        <v>3000</v>
      </c>
      <c r="F40" s="1032">
        <v>3000</v>
      </c>
      <c r="G40" s="1032">
        <v>3000</v>
      </c>
      <c r="H40" s="1032">
        <v>3000</v>
      </c>
      <c r="I40" s="1032">
        <v>3000</v>
      </c>
      <c r="J40" s="1032">
        <v>3000</v>
      </c>
      <c r="K40" s="1032">
        <v>3000</v>
      </c>
      <c r="L40" s="1032">
        <v>3000</v>
      </c>
      <c r="M40" s="1032">
        <v>3000</v>
      </c>
      <c r="N40" s="1032">
        <v>3000</v>
      </c>
      <c r="O40" s="1032">
        <v>3000</v>
      </c>
      <c r="P40" s="1032">
        <v>3000</v>
      </c>
      <c r="Q40" s="1076">
        <f t="shared" si="0"/>
        <v>36000</v>
      </c>
    </row>
    <row r="41" spans="1:17" x14ac:dyDescent="0.7">
      <c r="A41" s="1003">
        <v>36</v>
      </c>
      <c r="B41" s="1080" t="s">
        <v>7551</v>
      </c>
      <c r="C41" s="1074" t="s">
        <v>7552</v>
      </c>
      <c r="D41" s="1075" t="s">
        <v>7512</v>
      </c>
      <c r="E41" s="1033">
        <v>2200</v>
      </c>
      <c r="F41" s="1033">
        <v>2200</v>
      </c>
      <c r="G41" s="1033">
        <v>2200</v>
      </c>
      <c r="H41" s="1033">
        <v>2200</v>
      </c>
      <c r="I41" s="1033">
        <v>2200</v>
      </c>
      <c r="J41" s="1033">
        <v>2200</v>
      </c>
      <c r="K41" s="1033">
        <v>2200</v>
      </c>
      <c r="L41" s="1033">
        <v>2200</v>
      </c>
      <c r="M41" s="1033">
        <v>2200</v>
      </c>
      <c r="N41" s="1033">
        <v>2200</v>
      </c>
      <c r="O41" s="1033">
        <v>2200</v>
      </c>
      <c r="P41" s="1033">
        <v>2200</v>
      </c>
      <c r="Q41" s="1076">
        <f t="shared" si="0"/>
        <v>26400</v>
      </c>
    </row>
    <row r="42" spans="1:17" x14ac:dyDescent="0.7">
      <c r="A42" s="1003">
        <v>37</v>
      </c>
      <c r="B42" s="1082" t="s">
        <v>7553</v>
      </c>
      <c r="C42" s="1074" t="s">
        <v>7554</v>
      </c>
      <c r="D42" s="1075" t="s">
        <v>7521</v>
      </c>
      <c r="E42" s="1083">
        <v>2800</v>
      </c>
      <c r="F42" s="1083">
        <v>2800</v>
      </c>
      <c r="G42" s="1083">
        <v>2800</v>
      </c>
      <c r="H42" s="1083">
        <v>2800</v>
      </c>
      <c r="I42" s="1083">
        <v>2800</v>
      </c>
      <c r="J42" s="1083">
        <v>2800</v>
      </c>
      <c r="K42" s="1083">
        <v>2800</v>
      </c>
      <c r="L42" s="1083">
        <v>2800</v>
      </c>
      <c r="M42" s="1083">
        <v>2800</v>
      </c>
      <c r="N42" s="1083">
        <v>2800</v>
      </c>
      <c r="O42" s="1083">
        <v>2800</v>
      </c>
      <c r="P42" s="1083">
        <v>2800</v>
      </c>
      <c r="Q42" s="1076">
        <f t="shared" si="0"/>
        <v>33600</v>
      </c>
    </row>
    <row r="43" spans="1:17" x14ac:dyDescent="0.7">
      <c r="A43" s="1003">
        <v>38</v>
      </c>
      <c r="B43" s="1079" t="s">
        <v>7555</v>
      </c>
      <c r="C43" s="1074" t="s">
        <v>7556</v>
      </c>
      <c r="D43" s="1075" t="s">
        <v>7512</v>
      </c>
      <c r="E43" s="1083">
        <v>2200</v>
      </c>
      <c r="F43" s="1083">
        <v>2200</v>
      </c>
      <c r="G43" s="1083">
        <v>2200</v>
      </c>
      <c r="H43" s="1083">
        <v>2200</v>
      </c>
      <c r="I43" s="1083">
        <v>2200</v>
      </c>
      <c r="J43" s="1083">
        <v>2200</v>
      </c>
      <c r="K43" s="1083">
        <v>2200</v>
      </c>
      <c r="L43" s="1083">
        <v>2200</v>
      </c>
      <c r="M43" s="1083">
        <v>2200</v>
      </c>
      <c r="N43" s="1083">
        <v>2200</v>
      </c>
      <c r="O43" s="1083">
        <v>2200</v>
      </c>
      <c r="P43" s="1083">
        <v>2200</v>
      </c>
      <c r="Q43" s="1076">
        <f t="shared" si="0"/>
        <v>26400</v>
      </c>
    </row>
    <row r="44" spans="1:17" x14ac:dyDescent="0.7">
      <c r="A44" s="1003">
        <v>39</v>
      </c>
      <c r="B44" s="1080" t="s">
        <v>7557</v>
      </c>
      <c r="C44" s="1074" t="s">
        <v>7558</v>
      </c>
      <c r="D44" s="1075" t="s">
        <v>7512</v>
      </c>
      <c r="E44" s="1033">
        <v>1200</v>
      </c>
      <c r="F44" s="1033">
        <v>1200</v>
      </c>
      <c r="G44" s="1033">
        <v>1200</v>
      </c>
      <c r="H44" s="1033">
        <v>1200</v>
      </c>
      <c r="I44" s="1033">
        <v>1200</v>
      </c>
      <c r="J44" s="1033">
        <v>1200</v>
      </c>
      <c r="K44" s="1033">
        <v>1200</v>
      </c>
      <c r="L44" s="1033">
        <v>1200</v>
      </c>
      <c r="M44" s="1033">
        <v>1200</v>
      </c>
      <c r="N44" s="1033">
        <v>1200</v>
      </c>
      <c r="O44" s="1033">
        <v>1200</v>
      </c>
      <c r="P44" s="1033">
        <v>1200</v>
      </c>
      <c r="Q44" s="1076">
        <f t="shared" si="0"/>
        <v>14400</v>
      </c>
    </row>
    <row r="45" spans="1:17" x14ac:dyDescent="0.7">
      <c r="A45" s="1003">
        <v>40</v>
      </c>
      <c r="B45" s="1082" t="s">
        <v>7439</v>
      </c>
      <c r="C45" s="1074" t="s">
        <v>7559</v>
      </c>
      <c r="D45" s="1075" t="s">
        <v>7512</v>
      </c>
      <c r="E45" s="1083">
        <v>2200</v>
      </c>
      <c r="F45" s="1083">
        <v>2200</v>
      </c>
      <c r="G45" s="1083">
        <v>2200</v>
      </c>
      <c r="H45" s="1083">
        <v>2200</v>
      </c>
      <c r="I45" s="1083">
        <v>2200</v>
      </c>
      <c r="J45" s="1083">
        <v>2200</v>
      </c>
      <c r="K45" s="1083">
        <v>2200</v>
      </c>
      <c r="L45" s="1083">
        <v>2200</v>
      </c>
      <c r="M45" s="1083">
        <v>2200</v>
      </c>
      <c r="N45" s="1083">
        <v>2200</v>
      </c>
      <c r="O45" s="1083">
        <v>2200</v>
      </c>
      <c r="P45" s="1083">
        <v>2200</v>
      </c>
      <c r="Q45" s="1076">
        <f t="shared" si="0"/>
        <v>26400</v>
      </c>
    </row>
    <row r="46" spans="1:17" x14ac:dyDescent="0.7">
      <c r="A46" s="1003">
        <v>41</v>
      </c>
      <c r="B46" s="1082" t="s">
        <v>7560</v>
      </c>
      <c r="C46" s="1074" t="s">
        <v>7561</v>
      </c>
      <c r="D46" s="1075" t="s">
        <v>7512</v>
      </c>
      <c r="E46" s="1083">
        <v>2400</v>
      </c>
      <c r="F46" s="1083">
        <v>2400</v>
      </c>
      <c r="G46" s="1083">
        <v>2400</v>
      </c>
      <c r="H46" s="1083">
        <v>2400</v>
      </c>
      <c r="I46" s="1083">
        <v>2400</v>
      </c>
      <c r="J46" s="1083">
        <v>2400</v>
      </c>
      <c r="K46" s="1083">
        <v>2400</v>
      </c>
      <c r="L46" s="1083">
        <v>2400</v>
      </c>
      <c r="M46" s="1083">
        <v>2400</v>
      </c>
      <c r="N46" s="1083">
        <v>2400</v>
      </c>
      <c r="O46" s="1083">
        <v>2400</v>
      </c>
      <c r="P46" s="1083">
        <v>2400</v>
      </c>
      <c r="Q46" s="1076">
        <f t="shared" si="0"/>
        <v>28800</v>
      </c>
    </row>
    <row r="47" spans="1:17" x14ac:dyDescent="0.7">
      <c r="A47" s="1003">
        <v>42</v>
      </c>
      <c r="B47" s="1082" t="s">
        <v>7562</v>
      </c>
      <c r="C47" s="1074" t="s">
        <v>7561</v>
      </c>
      <c r="D47" s="1075" t="s">
        <v>7512</v>
      </c>
      <c r="E47" s="1083">
        <v>2400</v>
      </c>
      <c r="F47" s="1083">
        <v>2400</v>
      </c>
      <c r="G47" s="1083">
        <v>2400</v>
      </c>
      <c r="H47" s="1083">
        <v>2400</v>
      </c>
      <c r="I47" s="1083">
        <v>2400</v>
      </c>
      <c r="J47" s="1083">
        <v>2400</v>
      </c>
      <c r="K47" s="1083">
        <v>2400</v>
      </c>
      <c r="L47" s="1083">
        <v>2400</v>
      </c>
      <c r="M47" s="1083">
        <v>2400</v>
      </c>
      <c r="N47" s="1083">
        <v>2400</v>
      </c>
      <c r="O47" s="1083">
        <v>2400</v>
      </c>
      <c r="P47" s="1083">
        <v>2400</v>
      </c>
      <c r="Q47" s="1076">
        <f t="shared" si="0"/>
        <v>28800</v>
      </c>
    </row>
    <row r="48" spans="1:17" x14ac:dyDescent="0.7">
      <c r="A48" s="1003">
        <v>43</v>
      </c>
      <c r="B48" s="1082" t="s">
        <v>7563</v>
      </c>
      <c r="C48" s="1074" t="s">
        <v>7561</v>
      </c>
      <c r="D48" s="1075" t="s">
        <v>7512</v>
      </c>
      <c r="E48" s="1083">
        <v>2400</v>
      </c>
      <c r="F48" s="1083">
        <v>2400</v>
      </c>
      <c r="G48" s="1083">
        <v>2400</v>
      </c>
      <c r="H48" s="1083">
        <v>2400</v>
      </c>
      <c r="I48" s="1083">
        <v>2400</v>
      </c>
      <c r="J48" s="1083">
        <v>2400</v>
      </c>
      <c r="K48" s="1083">
        <v>2400</v>
      </c>
      <c r="L48" s="1083">
        <v>2400</v>
      </c>
      <c r="M48" s="1083">
        <v>2400</v>
      </c>
      <c r="N48" s="1083">
        <v>2400</v>
      </c>
      <c r="O48" s="1083">
        <v>2400</v>
      </c>
      <c r="P48" s="1083">
        <v>2400</v>
      </c>
      <c r="Q48" s="1076">
        <f t="shared" si="0"/>
        <v>28800</v>
      </c>
    </row>
    <row r="49" spans="1:17" x14ac:dyDescent="0.7">
      <c r="A49" s="1003">
        <v>44</v>
      </c>
      <c r="B49" s="1080" t="s">
        <v>7564</v>
      </c>
      <c r="C49" s="1074" t="s">
        <v>7561</v>
      </c>
      <c r="D49" s="1075" t="s">
        <v>7512</v>
      </c>
      <c r="E49" s="1033">
        <v>2400</v>
      </c>
      <c r="F49" s="1033">
        <v>2400</v>
      </c>
      <c r="G49" s="1033">
        <v>2400</v>
      </c>
      <c r="H49" s="1033">
        <v>2400</v>
      </c>
      <c r="I49" s="1033">
        <v>2400</v>
      </c>
      <c r="J49" s="1033">
        <v>2400</v>
      </c>
      <c r="K49" s="1033">
        <v>2400</v>
      </c>
      <c r="L49" s="1033">
        <v>2400</v>
      </c>
      <c r="M49" s="1033">
        <v>2400</v>
      </c>
      <c r="N49" s="1033">
        <v>2400</v>
      </c>
      <c r="O49" s="1033">
        <v>2400</v>
      </c>
      <c r="P49" s="1033">
        <v>2400</v>
      </c>
      <c r="Q49" s="1076">
        <f t="shared" si="0"/>
        <v>28800</v>
      </c>
    </row>
    <row r="50" spans="1:17" x14ac:dyDescent="0.7">
      <c r="A50" s="1003">
        <v>45</v>
      </c>
      <c r="B50" s="1082" t="s">
        <v>7565</v>
      </c>
      <c r="C50" s="1074" t="s">
        <v>7554</v>
      </c>
      <c r="D50" s="1075" t="s">
        <v>7512</v>
      </c>
      <c r="E50" s="1083">
        <v>2200</v>
      </c>
      <c r="F50" s="1083">
        <v>2200</v>
      </c>
      <c r="G50" s="1083">
        <v>2200</v>
      </c>
      <c r="H50" s="1083">
        <v>2200</v>
      </c>
      <c r="I50" s="1083">
        <v>2200</v>
      </c>
      <c r="J50" s="1083">
        <v>2200</v>
      </c>
      <c r="K50" s="1083">
        <v>2200</v>
      </c>
      <c r="L50" s="1083">
        <v>2200</v>
      </c>
      <c r="M50" s="1083">
        <v>2200</v>
      </c>
      <c r="N50" s="1083">
        <v>2200</v>
      </c>
      <c r="O50" s="1083">
        <v>2200</v>
      </c>
      <c r="P50" s="1083">
        <v>2200</v>
      </c>
      <c r="Q50" s="1076">
        <f t="shared" si="0"/>
        <v>26400</v>
      </c>
    </row>
    <row r="51" spans="1:17" x14ac:dyDescent="0.7">
      <c r="A51" s="1003">
        <v>46</v>
      </c>
      <c r="B51" s="1082" t="s">
        <v>7566</v>
      </c>
      <c r="C51" s="1074" t="s">
        <v>7567</v>
      </c>
      <c r="D51" s="1075" t="s">
        <v>7512</v>
      </c>
      <c r="E51" s="1083">
        <v>2200</v>
      </c>
      <c r="F51" s="1083">
        <v>2200</v>
      </c>
      <c r="G51" s="1083">
        <v>2200</v>
      </c>
      <c r="H51" s="1083">
        <v>2200</v>
      </c>
      <c r="I51" s="1083">
        <v>2200</v>
      </c>
      <c r="J51" s="1083">
        <v>2200</v>
      </c>
      <c r="K51" s="1083">
        <v>2200</v>
      </c>
      <c r="L51" s="1083">
        <v>2200</v>
      </c>
      <c r="M51" s="1083">
        <v>2200</v>
      </c>
      <c r="N51" s="1083">
        <v>2200</v>
      </c>
      <c r="O51" s="1083">
        <v>2200</v>
      </c>
      <c r="P51" s="1083">
        <v>2200</v>
      </c>
      <c r="Q51" s="1076">
        <f t="shared" si="0"/>
        <v>26400</v>
      </c>
    </row>
    <row r="52" spans="1:17" x14ac:dyDescent="0.7">
      <c r="A52" s="1003">
        <v>47</v>
      </c>
      <c r="B52" s="1079" t="s">
        <v>7568</v>
      </c>
      <c r="C52" s="1074" t="s">
        <v>7552</v>
      </c>
      <c r="D52" s="1075" t="s">
        <v>7521</v>
      </c>
      <c r="E52" s="1033">
        <v>2800</v>
      </c>
      <c r="F52" s="1033">
        <v>2800</v>
      </c>
      <c r="G52" s="1033">
        <v>2800</v>
      </c>
      <c r="H52" s="1033">
        <v>2800</v>
      </c>
      <c r="I52" s="1033">
        <v>2800</v>
      </c>
      <c r="J52" s="1033">
        <v>2800</v>
      </c>
      <c r="K52" s="1033">
        <v>2800</v>
      </c>
      <c r="L52" s="1033">
        <v>2800</v>
      </c>
      <c r="M52" s="1033">
        <v>2800</v>
      </c>
      <c r="N52" s="1033">
        <v>2800</v>
      </c>
      <c r="O52" s="1033">
        <v>2800</v>
      </c>
      <c r="P52" s="1033">
        <v>2800</v>
      </c>
      <c r="Q52" s="1076">
        <f t="shared" si="0"/>
        <v>33600</v>
      </c>
    </row>
    <row r="53" spans="1:17" x14ac:dyDescent="0.7">
      <c r="A53" s="1003">
        <v>48</v>
      </c>
      <c r="B53" s="1079" t="s">
        <v>7569</v>
      </c>
      <c r="C53" s="1074" t="s">
        <v>7570</v>
      </c>
      <c r="D53" s="1075" t="s">
        <v>7521</v>
      </c>
      <c r="E53" s="1083">
        <v>1200</v>
      </c>
      <c r="F53" s="1083">
        <v>1200</v>
      </c>
      <c r="G53" s="1083">
        <v>1200</v>
      </c>
      <c r="H53" s="1083">
        <v>1200</v>
      </c>
      <c r="I53" s="1083">
        <v>1200</v>
      </c>
      <c r="J53" s="1083">
        <v>1200</v>
      </c>
      <c r="K53" s="1083">
        <v>1200</v>
      </c>
      <c r="L53" s="1083">
        <v>1200</v>
      </c>
      <c r="M53" s="1083">
        <v>1200</v>
      </c>
      <c r="N53" s="1083">
        <v>1200</v>
      </c>
      <c r="O53" s="1083">
        <v>1200</v>
      </c>
      <c r="P53" s="1083">
        <v>1200</v>
      </c>
      <c r="Q53" s="1076">
        <f t="shared" si="0"/>
        <v>14400</v>
      </c>
    </row>
    <row r="54" spans="1:17" x14ac:dyDescent="0.7">
      <c r="A54" s="1003">
        <v>49</v>
      </c>
      <c r="B54" s="1082" t="s">
        <v>7571</v>
      </c>
      <c r="C54" s="1074" t="s">
        <v>7529</v>
      </c>
      <c r="D54" s="1075" t="s">
        <v>7512</v>
      </c>
      <c r="E54" s="1083">
        <v>2400</v>
      </c>
      <c r="F54" s="1083">
        <v>2400</v>
      </c>
      <c r="G54" s="1083">
        <v>2400</v>
      </c>
      <c r="H54" s="1083">
        <v>2400</v>
      </c>
      <c r="I54" s="1083">
        <v>2400</v>
      </c>
      <c r="J54" s="1083">
        <v>2400</v>
      </c>
      <c r="K54" s="1083">
        <v>2400</v>
      </c>
      <c r="L54" s="1083">
        <v>2400</v>
      </c>
      <c r="M54" s="1083">
        <v>2400</v>
      </c>
      <c r="N54" s="1083">
        <v>2400</v>
      </c>
      <c r="O54" s="1083">
        <v>2400</v>
      </c>
      <c r="P54" s="1083">
        <v>2400</v>
      </c>
      <c r="Q54" s="1076">
        <f t="shared" si="0"/>
        <v>28800</v>
      </c>
    </row>
    <row r="55" spans="1:17" x14ac:dyDescent="0.7">
      <c r="A55" s="1003">
        <v>50</v>
      </c>
      <c r="B55" s="1081" t="s">
        <v>7572</v>
      </c>
      <c r="C55" s="1074" t="s">
        <v>7529</v>
      </c>
      <c r="D55" s="1075" t="s">
        <v>7512</v>
      </c>
      <c r="E55" s="1083">
        <v>2400</v>
      </c>
      <c r="F55" s="1083">
        <v>2400</v>
      </c>
      <c r="G55" s="1083">
        <v>2400</v>
      </c>
      <c r="H55" s="1083">
        <v>2400</v>
      </c>
      <c r="I55" s="1083">
        <v>2400</v>
      </c>
      <c r="J55" s="1083">
        <v>2400</v>
      </c>
      <c r="K55" s="1083">
        <v>2400</v>
      </c>
      <c r="L55" s="1083">
        <v>2400</v>
      </c>
      <c r="M55" s="1083">
        <v>2400</v>
      </c>
      <c r="N55" s="1083">
        <v>2400</v>
      </c>
      <c r="O55" s="1083">
        <v>2400</v>
      </c>
      <c r="P55" s="1083">
        <v>2400</v>
      </c>
      <c r="Q55" s="1076">
        <f t="shared" si="0"/>
        <v>28800</v>
      </c>
    </row>
    <row r="56" spans="1:17" x14ac:dyDescent="0.7">
      <c r="A56" s="1003">
        <v>51</v>
      </c>
      <c r="B56" s="1086" t="s">
        <v>7447</v>
      </c>
      <c r="C56" s="1087" t="s">
        <v>7561</v>
      </c>
      <c r="D56" s="1075" t="s">
        <v>7512</v>
      </c>
      <c r="E56" s="1083">
        <v>2400</v>
      </c>
      <c r="F56" s="1083">
        <v>2400</v>
      </c>
      <c r="G56" s="1083">
        <v>2400</v>
      </c>
      <c r="H56" s="1083">
        <v>2400</v>
      </c>
      <c r="I56" s="1083">
        <v>2400</v>
      </c>
      <c r="J56" s="1083">
        <v>2400</v>
      </c>
      <c r="K56" s="1083">
        <v>2400</v>
      </c>
      <c r="L56" s="1083">
        <v>2400</v>
      </c>
      <c r="M56" s="1083">
        <v>2400</v>
      </c>
      <c r="N56" s="1083">
        <v>2400</v>
      </c>
      <c r="O56" s="1083">
        <v>2400</v>
      </c>
      <c r="P56" s="1083">
        <v>2400</v>
      </c>
      <c r="Q56" s="1076">
        <f t="shared" si="0"/>
        <v>28800</v>
      </c>
    </row>
    <row r="57" spans="1:17" x14ac:dyDescent="0.7">
      <c r="A57" s="1003">
        <v>52</v>
      </c>
      <c r="B57" s="1086" t="s">
        <v>7573</v>
      </c>
      <c r="C57" s="1087" t="s">
        <v>7561</v>
      </c>
      <c r="D57" s="1075" t="s">
        <v>7512</v>
      </c>
      <c r="E57" s="1083">
        <v>2400</v>
      </c>
      <c r="F57" s="1083">
        <v>2400</v>
      </c>
      <c r="G57" s="1083">
        <v>2400</v>
      </c>
      <c r="H57" s="1083">
        <v>2400</v>
      </c>
      <c r="I57" s="1083">
        <v>2400</v>
      </c>
      <c r="J57" s="1083">
        <v>2400</v>
      </c>
      <c r="K57" s="1083">
        <v>2400</v>
      </c>
      <c r="L57" s="1083">
        <v>2400</v>
      </c>
      <c r="M57" s="1083">
        <v>2400</v>
      </c>
      <c r="N57" s="1083">
        <v>2400</v>
      </c>
      <c r="O57" s="1083">
        <v>2400</v>
      </c>
      <c r="P57" s="1083">
        <v>2400</v>
      </c>
      <c r="Q57" s="1076">
        <f t="shared" si="0"/>
        <v>28800</v>
      </c>
    </row>
    <row r="58" spans="1:17" x14ac:dyDescent="0.7">
      <c r="A58" s="1003">
        <v>53</v>
      </c>
      <c r="B58" s="1086" t="s">
        <v>7445</v>
      </c>
      <c r="C58" s="1087" t="s">
        <v>7561</v>
      </c>
      <c r="D58" s="1075" t="s">
        <v>7512</v>
      </c>
      <c r="E58" s="1083">
        <v>2400</v>
      </c>
      <c r="F58" s="1083">
        <v>2400</v>
      </c>
      <c r="G58" s="1083">
        <v>2400</v>
      </c>
      <c r="H58" s="1083">
        <v>2400</v>
      </c>
      <c r="I58" s="1083">
        <v>2400</v>
      </c>
      <c r="J58" s="1083">
        <v>2400</v>
      </c>
      <c r="K58" s="1083">
        <v>2400</v>
      </c>
      <c r="L58" s="1083">
        <v>2400</v>
      </c>
      <c r="M58" s="1083">
        <v>2400</v>
      </c>
      <c r="N58" s="1083">
        <v>2400</v>
      </c>
      <c r="O58" s="1083">
        <v>2400</v>
      </c>
      <c r="P58" s="1083">
        <v>2400</v>
      </c>
      <c r="Q58" s="1076">
        <f t="shared" si="0"/>
        <v>28800</v>
      </c>
    </row>
    <row r="59" spans="1:17" x14ac:dyDescent="0.7">
      <c r="A59" s="1003">
        <v>54</v>
      </c>
      <c r="B59" s="1081" t="s">
        <v>7441</v>
      </c>
      <c r="C59" s="1087" t="s">
        <v>7561</v>
      </c>
      <c r="D59" s="1075" t="s">
        <v>7512</v>
      </c>
      <c r="E59" s="1083">
        <v>2400</v>
      </c>
      <c r="F59" s="1083">
        <v>2400</v>
      </c>
      <c r="G59" s="1083">
        <v>2400</v>
      </c>
      <c r="H59" s="1083">
        <v>2400</v>
      </c>
      <c r="I59" s="1083">
        <v>2400</v>
      </c>
      <c r="J59" s="1083">
        <v>2400</v>
      </c>
      <c r="K59" s="1083">
        <v>2400</v>
      </c>
      <c r="L59" s="1083">
        <v>2400</v>
      </c>
      <c r="M59" s="1083">
        <v>2400</v>
      </c>
      <c r="N59" s="1083">
        <v>2400</v>
      </c>
      <c r="O59" s="1083">
        <v>2400</v>
      </c>
      <c r="P59" s="1083">
        <v>2400</v>
      </c>
      <c r="Q59" s="1076">
        <f t="shared" si="0"/>
        <v>28800</v>
      </c>
    </row>
    <row r="60" spans="1:17" x14ac:dyDescent="0.7">
      <c r="A60" s="1003">
        <v>55</v>
      </c>
      <c r="B60" s="1081" t="s">
        <v>7443</v>
      </c>
      <c r="C60" s="1074" t="s">
        <v>7561</v>
      </c>
      <c r="D60" s="1075" t="s">
        <v>7512</v>
      </c>
      <c r="E60" s="1083">
        <v>2400</v>
      </c>
      <c r="F60" s="1083">
        <v>2400</v>
      </c>
      <c r="G60" s="1083">
        <v>2400</v>
      </c>
      <c r="H60" s="1083">
        <v>2400</v>
      </c>
      <c r="I60" s="1083">
        <v>2400</v>
      </c>
      <c r="J60" s="1083">
        <v>2400</v>
      </c>
      <c r="K60" s="1083">
        <v>2400</v>
      </c>
      <c r="L60" s="1083">
        <v>2400</v>
      </c>
      <c r="M60" s="1083">
        <v>2400</v>
      </c>
      <c r="N60" s="1083">
        <v>2400</v>
      </c>
      <c r="O60" s="1083">
        <v>2400</v>
      </c>
      <c r="P60" s="1083">
        <v>2400</v>
      </c>
      <c r="Q60" s="1076">
        <f t="shared" si="0"/>
        <v>28800</v>
      </c>
    </row>
    <row r="61" spans="1:17" s="1002" customFormat="1" x14ac:dyDescent="0.7">
      <c r="A61" s="1088" t="s">
        <v>7433</v>
      </c>
      <c r="B61" s="1089"/>
      <c r="C61" s="1089"/>
      <c r="D61" s="1090"/>
      <c r="E61" s="1091">
        <f t="shared" ref="E61:Q61" si="1">SUM(E6:E60)</f>
        <v>249700</v>
      </c>
      <c r="F61" s="1091">
        <f t="shared" si="1"/>
        <v>250300</v>
      </c>
      <c r="G61" s="1091">
        <f t="shared" si="1"/>
        <v>250300</v>
      </c>
      <c r="H61" s="1091">
        <f t="shared" si="1"/>
        <v>250300</v>
      </c>
      <c r="I61" s="1091">
        <f t="shared" si="1"/>
        <v>250300</v>
      </c>
      <c r="J61" s="1091">
        <f t="shared" si="1"/>
        <v>250300</v>
      </c>
      <c r="K61" s="1091">
        <f t="shared" si="1"/>
        <v>250300</v>
      </c>
      <c r="L61" s="1091">
        <f t="shared" si="1"/>
        <v>250300</v>
      </c>
      <c r="M61" s="1091">
        <f t="shared" si="1"/>
        <v>250300</v>
      </c>
      <c r="N61" s="1091">
        <f t="shared" si="1"/>
        <v>250300</v>
      </c>
      <c r="O61" s="1091">
        <f t="shared" si="1"/>
        <v>250300</v>
      </c>
      <c r="P61" s="1091">
        <f t="shared" si="1"/>
        <v>250300</v>
      </c>
      <c r="Q61" s="1091">
        <f t="shared" si="1"/>
        <v>3003000</v>
      </c>
    </row>
    <row r="64" spans="1:17" x14ac:dyDescent="0.7">
      <c r="C64" s="997"/>
      <c r="N64" s="1020"/>
      <c r="O64" s="1020"/>
    </row>
    <row r="65" spans="1:17" x14ac:dyDescent="0.7">
      <c r="C65" s="997"/>
      <c r="N65" s="1021"/>
      <c r="O65" s="1021"/>
    </row>
    <row r="66" spans="1:17" x14ac:dyDescent="0.7">
      <c r="C66" s="997"/>
      <c r="N66" s="1020"/>
      <c r="O66" s="1020"/>
    </row>
    <row r="67" spans="1:17" x14ac:dyDescent="0.7">
      <c r="C67" s="997"/>
      <c r="N67" s="1092"/>
      <c r="O67" s="1092"/>
    </row>
    <row r="68" spans="1:17" x14ac:dyDescent="0.7">
      <c r="C68" s="997"/>
      <c r="N68" s="1092"/>
      <c r="O68" s="1092"/>
    </row>
    <row r="69" spans="1:17" x14ac:dyDescent="0.7">
      <c r="C69" s="997"/>
      <c r="N69" s="1092"/>
      <c r="O69" s="1092"/>
    </row>
    <row r="70" spans="1:17" x14ac:dyDescent="0.7">
      <c r="A70" s="1093" t="s">
        <v>7574</v>
      </c>
      <c r="B70" s="1093"/>
      <c r="C70" s="1093"/>
      <c r="D70" s="1093"/>
      <c r="E70" s="1093"/>
      <c r="F70" s="1093"/>
      <c r="G70" s="1093"/>
      <c r="H70" s="1093"/>
      <c r="I70" s="1093"/>
      <c r="J70" s="1093"/>
    </row>
    <row r="71" spans="1:17" x14ac:dyDescent="0.7">
      <c r="A71" s="1094" t="s">
        <v>2185</v>
      </c>
      <c r="B71" s="1094" t="s">
        <v>7472</v>
      </c>
      <c r="C71" s="1094" t="s">
        <v>7473</v>
      </c>
      <c r="D71" s="1095" t="s">
        <v>655</v>
      </c>
      <c r="E71" s="1096">
        <v>24016</v>
      </c>
      <c r="F71" s="1096">
        <v>24047</v>
      </c>
      <c r="G71" s="1096">
        <v>24077</v>
      </c>
      <c r="H71" s="1096">
        <v>24108</v>
      </c>
      <c r="I71" s="1096">
        <v>24139</v>
      </c>
      <c r="J71" s="1096">
        <v>24167</v>
      </c>
      <c r="K71" s="1096">
        <v>24198</v>
      </c>
      <c r="L71" s="1096">
        <v>24228</v>
      </c>
      <c r="M71" s="1096">
        <v>24259</v>
      </c>
      <c r="N71" s="1096">
        <v>24289</v>
      </c>
      <c r="O71" s="1096">
        <v>24320</v>
      </c>
      <c r="P71" s="1096">
        <v>24351</v>
      </c>
      <c r="Q71" s="1096" t="s">
        <v>622</v>
      </c>
    </row>
    <row r="72" spans="1:17" x14ac:dyDescent="0.7">
      <c r="A72" s="1094">
        <v>1</v>
      </c>
      <c r="B72" s="1081" t="s">
        <v>7449</v>
      </c>
      <c r="C72" s="1097" t="s">
        <v>7575</v>
      </c>
      <c r="D72" s="1098">
        <v>1000</v>
      </c>
      <c r="E72" s="1098">
        <v>1000</v>
      </c>
      <c r="F72" s="1098">
        <v>1000</v>
      </c>
      <c r="G72" s="1098">
        <v>1000</v>
      </c>
      <c r="H72" s="1098">
        <v>1000</v>
      </c>
      <c r="I72" s="1098">
        <v>1000</v>
      </c>
      <c r="J72" s="1098">
        <v>1000</v>
      </c>
      <c r="K72" s="1098">
        <v>1000</v>
      </c>
      <c r="L72" s="1098">
        <v>1000</v>
      </c>
      <c r="M72" s="1098">
        <v>1000</v>
      </c>
      <c r="N72" s="1098">
        <v>1000</v>
      </c>
      <c r="O72" s="1098">
        <v>1000</v>
      </c>
      <c r="P72" s="1098">
        <v>1000</v>
      </c>
      <c r="Q72" s="1099">
        <f t="shared" ref="Q72:Q102" si="2">SUM(E72:P72)</f>
        <v>12000</v>
      </c>
    </row>
    <row r="73" spans="1:17" x14ac:dyDescent="0.7">
      <c r="A73" s="1094">
        <v>2</v>
      </c>
      <c r="B73" s="1081" t="s">
        <v>7410</v>
      </c>
      <c r="C73" s="1097" t="s">
        <v>7576</v>
      </c>
      <c r="D73" s="1098">
        <v>1200</v>
      </c>
      <c r="E73" s="1098">
        <v>1200</v>
      </c>
      <c r="F73" s="1098">
        <v>1200</v>
      </c>
      <c r="G73" s="1098">
        <v>1200</v>
      </c>
      <c r="H73" s="1098">
        <v>1200</v>
      </c>
      <c r="I73" s="1098">
        <v>1200</v>
      </c>
      <c r="J73" s="1098">
        <v>1200</v>
      </c>
      <c r="K73" s="1098">
        <v>1200</v>
      </c>
      <c r="L73" s="1098">
        <v>1200</v>
      </c>
      <c r="M73" s="1098">
        <v>1200</v>
      </c>
      <c r="N73" s="1098">
        <v>1200</v>
      </c>
      <c r="O73" s="1098">
        <v>1200</v>
      </c>
      <c r="P73" s="1098">
        <v>1200</v>
      </c>
      <c r="Q73" s="1099">
        <f t="shared" si="2"/>
        <v>14400</v>
      </c>
    </row>
    <row r="74" spans="1:17" x14ac:dyDescent="0.7">
      <c r="A74" s="1094">
        <v>3</v>
      </c>
      <c r="B74" s="1081" t="s">
        <v>7450</v>
      </c>
      <c r="C74" s="1097" t="s">
        <v>7577</v>
      </c>
      <c r="D74" s="1098">
        <v>1700</v>
      </c>
      <c r="E74" s="1098">
        <v>1700</v>
      </c>
      <c r="F74" s="1098">
        <v>1700</v>
      </c>
      <c r="G74" s="1098">
        <v>1700</v>
      </c>
      <c r="H74" s="1098">
        <v>1700</v>
      </c>
      <c r="I74" s="1098">
        <v>1700</v>
      </c>
      <c r="J74" s="1098">
        <v>1700</v>
      </c>
      <c r="K74" s="1098">
        <v>1700</v>
      </c>
      <c r="L74" s="1098">
        <v>1700</v>
      </c>
      <c r="M74" s="1098">
        <v>1700</v>
      </c>
      <c r="N74" s="1098">
        <v>1700</v>
      </c>
      <c r="O74" s="1098">
        <v>1700</v>
      </c>
      <c r="P74" s="1098">
        <v>1700</v>
      </c>
      <c r="Q74" s="1099">
        <f t="shared" si="2"/>
        <v>20400</v>
      </c>
    </row>
    <row r="75" spans="1:17" x14ac:dyDescent="0.7">
      <c r="A75" s="1094">
        <v>4</v>
      </c>
      <c r="B75" s="1081" t="s">
        <v>7411</v>
      </c>
      <c r="C75" s="1097" t="s">
        <v>7578</v>
      </c>
      <c r="D75" s="1098">
        <v>1000</v>
      </c>
      <c r="E75" s="1098">
        <v>1000</v>
      </c>
      <c r="F75" s="1098">
        <v>1000</v>
      </c>
      <c r="G75" s="1098">
        <v>1000</v>
      </c>
      <c r="H75" s="1098">
        <v>1000</v>
      </c>
      <c r="I75" s="1098">
        <v>1000</v>
      </c>
      <c r="J75" s="1098">
        <v>1000</v>
      </c>
      <c r="K75" s="1098">
        <v>1000</v>
      </c>
      <c r="L75" s="1098">
        <v>1000</v>
      </c>
      <c r="M75" s="1098">
        <v>1000</v>
      </c>
      <c r="N75" s="1098">
        <v>1000</v>
      </c>
      <c r="O75" s="1098">
        <v>1000</v>
      </c>
      <c r="P75" s="1098">
        <v>1000</v>
      </c>
      <c r="Q75" s="1099">
        <f t="shared" si="2"/>
        <v>12000</v>
      </c>
    </row>
    <row r="76" spans="1:17" x14ac:dyDescent="0.7">
      <c r="A76" s="1094">
        <v>5</v>
      </c>
      <c r="B76" s="1081" t="s">
        <v>7412</v>
      </c>
      <c r="C76" s="1097" t="s">
        <v>7578</v>
      </c>
      <c r="D76" s="1098">
        <v>1200</v>
      </c>
      <c r="E76" s="1098">
        <v>1200</v>
      </c>
      <c r="F76" s="1098">
        <v>1200</v>
      </c>
      <c r="G76" s="1098">
        <v>1200</v>
      </c>
      <c r="H76" s="1098">
        <v>1200</v>
      </c>
      <c r="I76" s="1098">
        <v>1200</v>
      </c>
      <c r="J76" s="1098">
        <v>1200</v>
      </c>
      <c r="K76" s="1098">
        <v>1200</v>
      </c>
      <c r="L76" s="1098">
        <v>1200</v>
      </c>
      <c r="M76" s="1098">
        <v>1200</v>
      </c>
      <c r="N76" s="1098">
        <v>1200</v>
      </c>
      <c r="O76" s="1098">
        <v>1200</v>
      </c>
      <c r="P76" s="1098">
        <v>1200</v>
      </c>
      <c r="Q76" s="1099">
        <f t="shared" si="2"/>
        <v>14400</v>
      </c>
    </row>
    <row r="77" spans="1:17" x14ac:dyDescent="0.7">
      <c r="A77" s="1094">
        <v>6</v>
      </c>
      <c r="B77" s="1081" t="s">
        <v>7413</v>
      </c>
      <c r="C77" s="1097" t="s">
        <v>7579</v>
      </c>
      <c r="D77" s="1098">
        <v>1200</v>
      </c>
      <c r="E77" s="1098">
        <v>1200</v>
      </c>
      <c r="F77" s="1098">
        <v>1200</v>
      </c>
      <c r="G77" s="1098">
        <v>1200</v>
      </c>
      <c r="H77" s="1098">
        <v>1200</v>
      </c>
      <c r="I77" s="1098">
        <v>1200</v>
      </c>
      <c r="J77" s="1098">
        <v>1200</v>
      </c>
      <c r="K77" s="1098">
        <v>1200</v>
      </c>
      <c r="L77" s="1098">
        <v>1200</v>
      </c>
      <c r="M77" s="1098">
        <v>1200</v>
      </c>
      <c r="N77" s="1098">
        <v>1200</v>
      </c>
      <c r="O77" s="1098">
        <v>1200</v>
      </c>
      <c r="P77" s="1098">
        <v>1200</v>
      </c>
      <c r="Q77" s="1099">
        <f t="shared" si="2"/>
        <v>14400</v>
      </c>
    </row>
    <row r="78" spans="1:17" x14ac:dyDescent="0.7">
      <c r="A78" s="1094">
        <v>7</v>
      </c>
      <c r="B78" s="1081" t="s">
        <v>7414</v>
      </c>
      <c r="C78" s="1097" t="s">
        <v>7579</v>
      </c>
      <c r="D78" s="1100">
        <v>1200</v>
      </c>
      <c r="E78" s="1100">
        <v>1200</v>
      </c>
      <c r="F78" s="1100">
        <v>1200</v>
      </c>
      <c r="G78" s="1100">
        <v>1200</v>
      </c>
      <c r="H78" s="1100">
        <v>1200</v>
      </c>
      <c r="I78" s="1100">
        <v>1200</v>
      </c>
      <c r="J78" s="1100">
        <v>1200</v>
      </c>
      <c r="K78" s="1100">
        <v>1200</v>
      </c>
      <c r="L78" s="1100">
        <v>1200</v>
      </c>
      <c r="M78" s="1100">
        <v>1200</v>
      </c>
      <c r="N78" s="1100">
        <v>1200</v>
      </c>
      <c r="O78" s="1100">
        <v>1200</v>
      </c>
      <c r="P78" s="1100">
        <v>1200</v>
      </c>
      <c r="Q78" s="1099">
        <f t="shared" si="2"/>
        <v>14400</v>
      </c>
    </row>
    <row r="79" spans="1:17" x14ac:dyDescent="0.7">
      <c r="A79" s="1094">
        <v>8</v>
      </c>
      <c r="B79" s="1081" t="s">
        <v>7415</v>
      </c>
      <c r="C79" s="1097" t="s">
        <v>7580</v>
      </c>
      <c r="D79" s="1100">
        <v>1200</v>
      </c>
      <c r="E79" s="1100">
        <v>1200</v>
      </c>
      <c r="F79" s="1100">
        <v>1200</v>
      </c>
      <c r="G79" s="1100">
        <v>1200</v>
      </c>
      <c r="H79" s="1100">
        <v>1200</v>
      </c>
      <c r="I79" s="1100">
        <v>1200</v>
      </c>
      <c r="J79" s="1100">
        <v>1200</v>
      </c>
      <c r="K79" s="1100">
        <v>1200</v>
      </c>
      <c r="L79" s="1100">
        <v>1200</v>
      </c>
      <c r="M79" s="1100">
        <v>1200</v>
      </c>
      <c r="N79" s="1100">
        <v>1200</v>
      </c>
      <c r="O79" s="1100">
        <v>1200</v>
      </c>
      <c r="P79" s="1100">
        <v>1200</v>
      </c>
      <c r="Q79" s="1099">
        <f t="shared" si="2"/>
        <v>14400</v>
      </c>
    </row>
    <row r="80" spans="1:17" x14ac:dyDescent="0.7">
      <c r="A80" s="1094">
        <v>9</v>
      </c>
      <c r="B80" s="1081" t="s">
        <v>7416</v>
      </c>
      <c r="C80" s="1097" t="s">
        <v>7581</v>
      </c>
      <c r="D80" s="1100">
        <v>1200</v>
      </c>
      <c r="E80" s="1100">
        <v>1200</v>
      </c>
      <c r="F80" s="1100">
        <v>1200</v>
      </c>
      <c r="G80" s="1100">
        <v>1200</v>
      </c>
      <c r="H80" s="1100">
        <v>1200</v>
      </c>
      <c r="I80" s="1100">
        <v>1200</v>
      </c>
      <c r="J80" s="1100">
        <v>1200</v>
      </c>
      <c r="K80" s="1100">
        <v>1200</v>
      </c>
      <c r="L80" s="1100">
        <v>1200</v>
      </c>
      <c r="M80" s="1100">
        <v>1200</v>
      </c>
      <c r="N80" s="1100">
        <v>1200</v>
      </c>
      <c r="O80" s="1100">
        <v>1200</v>
      </c>
      <c r="P80" s="1100">
        <v>1200</v>
      </c>
      <c r="Q80" s="1099">
        <f t="shared" si="2"/>
        <v>14400</v>
      </c>
    </row>
    <row r="81" spans="1:17" x14ac:dyDescent="0.7">
      <c r="A81" s="1094">
        <v>10</v>
      </c>
      <c r="B81" s="1081" t="s">
        <v>7417</v>
      </c>
      <c r="C81" s="1097" t="s">
        <v>7580</v>
      </c>
      <c r="D81" s="1100">
        <v>1200</v>
      </c>
      <c r="E81" s="1100">
        <v>1200</v>
      </c>
      <c r="F81" s="1100">
        <v>1200</v>
      </c>
      <c r="G81" s="1100">
        <v>1200</v>
      </c>
      <c r="H81" s="1100">
        <v>1200</v>
      </c>
      <c r="I81" s="1100">
        <v>1200</v>
      </c>
      <c r="J81" s="1100">
        <v>1200</v>
      </c>
      <c r="K81" s="1100">
        <v>1200</v>
      </c>
      <c r="L81" s="1100">
        <v>1200</v>
      </c>
      <c r="M81" s="1100">
        <v>1200</v>
      </c>
      <c r="N81" s="1100">
        <v>1200</v>
      </c>
      <c r="O81" s="1100">
        <v>1200</v>
      </c>
      <c r="P81" s="1100">
        <v>1200</v>
      </c>
      <c r="Q81" s="1099">
        <f t="shared" si="2"/>
        <v>14400</v>
      </c>
    </row>
    <row r="82" spans="1:17" x14ac:dyDescent="0.7">
      <c r="A82" s="1094">
        <v>11</v>
      </c>
      <c r="B82" s="1081" t="s">
        <v>7418</v>
      </c>
      <c r="C82" s="1097" t="s">
        <v>7582</v>
      </c>
      <c r="D82" s="1100">
        <v>1200</v>
      </c>
      <c r="E82" s="1100">
        <v>1200</v>
      </c>
      <c r="F82" s="1100">
        <v>1200</v>
      </c>
      <c r="G82" s="1100">
        <v>1200</v>
      </c>
      <c r="H82" s="1100">
        <v>1200</v>
      </c>
      <c r="I82" s="1100">
        <v>1200</v>
      </c>
      <c r="J82" s="1100">
        <v>1200</v>
      </c>
      <c r="K82" s="1100">
        <v>1200</v>
      </c>
      <c r="L82" s="1100">
        <v>1200</v>
      </c>
      <c r="M82" s="1100">
        <v>1200</v>
      </c>
      <c r="N82" s="1100">
        <v>1200</v>
      </c>
      <c r="O82" s="1100">
        <v>1200</v>
      </c>
      <c r="P82" s="1100">
        <v>1200</v>
      </c>
      <c r="Q82" s="1099">
        <f t="shared" si="2"/>
        <v>14400</v>
      </c>
    </row>
    <row r="83" spans="1:17" x14ac:dyDescent="0.7">
      <c r="A83" s="1094">
        <v>12</v>
      </c>
      <c r="B83" s="1081" t="s">
        <v>7419</v>
      </c>
      <c r="C83" s="1097" t="s">
        <v>7583</v>
      </c>
      <c r="D83" s="1098">
        <v>1200</v>
      </c>
      <c r="E83" s="1098">
        <v>1200</v>
      </c>
      <c r="F83" s="1098">
        <v>1200</v>
      </c>
      <c r="G83" s="1098">
        <v>1200</v>
      </c>
      <c r="H83" s="1098">
        <v>1200</v>
      </c>
      <c r="I83" s="1098">
        <v>1200</v>
      </c>
      <c r="J83" s="1098">
        <v>1200</v>
      </c>
      <c r="K83" s="1098">
        <v>1200</v>
      </c>
      <c r="L83" s="1098">
        <v>1200</v>
      </c>
      <c r="M83" s="1098">
        <v>1200</v>
      </c>
      <c r="N83" s="1098">
        <v>1200</v>
      </c>
      <c r="O83" s="1098">
        <v>1200</v>
      </c>
      <c r="P83" s="1098">
        <v>1200</v>
      </c>
      <c r="Q83" s="1099">
        <f t="shared" si="2"/>
        <v>14400</v>
      </c>
    </row>
    <row r="84" spans="1:17" x14ac:dyDescent="0.7">
      <c r="A84" s="1094">
        <v>13</v>
      </c>
      <c r="B84" s="1086" t="s">
        <v>7420</v>
      </c>
      <c r="C84" s="1097" t="s">
        <v>7584</v>
      </c>
      <c r="D84" s="1101">
        <v>1200</v>
      </c>
      <c r="E84" s="1101">
        <v>1200</v>
      </c>
      <c r="F84" s="1101">
        <v>1200</v>
      </c>
      <c r="G84" s="1101">
        <v>1200</v>
      </c>
      <c r="H84" s="1101">
        <v>1200</v>
      </c>
      <c r="I84" s="1101">
        <v>1200</v>
      </c>
      <c r="J84" s="1101">
        <v>1200</v>
      </c>
      <c r="K84" s="1101">
        <v>1200</v>
      </c>
      <c r="L84" s="1101">
        <v>1200</v>
      </c>
      <c r="M84" s="1101">
        <v>1200</v>
      </c>
      <c r="N84" s="1101">
        <v>1200</v>
      </c>
      <c r="O84" s="1101">
        <v>1200</v>
      </c>
      <c r="P84" s="1101">
        <v>1200</v>
      </c>
      <c r="Q84" s="1099">
        <f t="shared" si="2"/>
        <v>14400</v>
      </c>
    </row>
    <row r="85" spans="1:17" x14ac:dyDescent="0.7">
      <c r="A85" s="1094">
        <v>14</v>
      </c>
      <c r="B85" s="1086" t="s">
        <v>7421</v>
      </c>
      <c r="C85" s="1097" t="s">
        <v>7580</v>
      </c>
      <c r="D85" s="1098">
        <v>1200</v>
      </c>
      <c r="E85" s="1098">
        <v>1200</v>
      </c>
      <c r="F85" s="1098">
        <v>1200</v>
      </c>
      <c r="G85" s="1098">
        <v>1200</v>
      </c>
      <c r="H85" s="1098">
        <v>1200</v>
      </c>
      <c r="I85" s="1098">
        <v>1200</v>
      </c>
      <c r="J85" s="1098">
        <v>1200</v>
      </c>
      <c r="K85" s="1098">
        <v>1200</v>
      </c>
      <c r="L85" s="1098">
        <v>1200</v>
      </c>
      <c r="M85" s="1098">
        <v>1200</v>
      </c>
      <c r="N85" s="1098">
        <v>1200</v>
      </c>
      <c r="O85" s="1098">
        <v>1200</v>
      </c>
      <c r="P85" s="1098">
        <v>1200</v>
      </c>
      <c r="Q85" s="1099">
        <f t="shared" si="2"/>
        <v>14400</v>
      </c>
    </row>
    <row r="86" spans="1:17" x14ac:dyDescent="0.7">
      <c r="A86" s="1094">
        <v>15</v>
      </c>
      <c r="B86" s="1086" t="s">
        <v>7422</v>
      </c>
      <c r="C86" s="1097" t="s">
        <v>7579</v>
      </c>
      <c r="D86" s="1101">
        <v>1200</v>
      </c>
      <c r="E86" s="1101">
        <v>1200</v>
      </c>
      <c r="F86" s="1101">
        <v>1200</v>
      </c>
      <c r="G86" s="1101">
        <v>1200</v>
      </c>
      <c r="H86" s="1101">
        <v>1200</v>
      </c>
      <c r="I86" s="1101">
        <v>1200</v>
      </c>
      <c r="J86" s="1101">
        <v>1200</v>
      </c>
      <c r="K86" s="1101">
        <v>1200</v>
      </c>
      <c r="L86" s="1101">
        <v>1200</v>
      </c>
      <c r="M86" s="1101">
        <v>1200</v>
      </c>
      <c r="N86" s="1101">
        <v>1200</v>
      </c>
      <c r="O86" s="1101">
        <v>1200</v>
      </c>
      <c r="P86" s="1101">
        <v>1200</v>
      </c>
      <c r="Q86" s="1099">
        <f t="shared" si="2"/>
        <v>14400</v>
      </c>
    </row>
    <row r="87" spans="1:17" x14ac:dyDescent="0.7">
      <c r="A87" s="1094">
        <v>16</v>
      </c>
      <c r="B87" s="1086" t="s">
        <v>7423</v>
      </c>
      <c r="C87" s="1097" t="s">
        <v>7585</v>
      </c>
      <c r="D87" s="1100">
        <v>1200</v>
      </c>
      <c r="E87" s="1100">
        <v>1200</v>
      </c>
      <c r="F87" s="1100">
        <v>1200</v>
      </c>
      <c r="G87" s="1100">
        <v>1200</v>
      </c>
      <c r="H87" s="1100">
        <v>1200</v>
      </c>
      <c r="I87" s="1100">
        <v>1200</v>
      </c>
      <c r="J87" s="1100">
        <v>1200</v>
      </c>
      <c r="K87" s="1100">
        <v>1200</v>
      </c>
      <c r="L87" s="1100">
        <v>1200</v>
      </c>
      <c r="M87" s="1100">
        <v>1200</v>
      </c>
      <c r="N87" s="1100">
        <v>1200</v>
      </c>
      <c r="O87" s="1100">
        <v>1200</v>
      </c>
      <c r="P87" s="1100">
        <v>1200</v>
      </c>
      <c r="Q87" s="1099">
        <f t="shared" si="2"/>
        <v>14400</v>
      </c>
    </row>
    <row r="88" spans="1:17" x14ac:dyDescent="0.7">
      <c r="A88" s="1094">
        <v>17</v>
      </c>
      <c r="B88" s="1086" t="s">
        <v>7424</v>
      </c>
      <c r="C88" s="1097" t="s">
        <v>7581</v>
      </c>
      <c r="D88" s="1100">
        <v>1200</v>
      </c>
      <c r="E88" s="1100">
        <v>1200</v>
      </c>
      <c r="F88" s="1100">
        <v>1200</v>
      </c>
      <c r="G88" s="1100">
        <v>1200</v>
      </c>
      <c r="H88" s="1100">
        <v>1200</v>
      </c>
      <c r="I88" s="1100">
        <v>1200</v>
      </c>
      <c r="J88" s="1100">
        <v>1200</v>
      </c>
      <c r="K88" s="1100">
        <v>1200</v>
      </c>
      <c r="L88" s="1100">
        <v>1200</v>
      </c>
      <c r="M88" s="1100">
        <v>1200</v>
      </c>
      <c r="N88" s="1100">
        <v>1200</v>
      </c>
      <c r="O88" s="1100">
        <v>1200</v>
      </c>
      <c r="P88" s="1100">
        <v>1200</v>
      </c>
      <c r="Q88" s="1099">
        <f t="shared" si="2"/>
        <v>14400</v>
      </c>
    </row>
    <row r="89" spans="1:17" x14ac:dyDescent="0.7">
      <c r="A89" s="1094">
        <v>18</v>
      </c>
      <c r="B89" s="1086" t="s">
        <v>7425</v>
      </c>
      <c r="C89" s="1097" t="s">
        <v>7586</v>
      </c>
      <c r="D89" s="1100">
        <v>1200</v>
      </c>
      <c r="E89" s="1100">
        <v>1200</v>
      </c>
      <c r="F89" s="1100">
        <v>1200</v>
      </c>
      <c r="G89" s="1100">
        <v>1200</v>
      </c>
      <c r="H89" s="1100">
        <v>1200</v>
      </c>
      <c r="I89" s="1100">
        <v>1200</v>
      </c>
      <c r="J89" s="1100">
        <v>1200</v>
      </c>
      <c r="K89" s="1100">
        <v>1200</v>
      </c>
      <c r="L89" s="1100">
        <v>1200</v>
      </c>
      <c r="M89" s="1100">
        <v>1200</v>
      </c>
      <c r="N89" s="1100">
        <v>1200</v>
      </c>
      <c r="O89" s="1100">
        <v>1200</v>
      </c>
      <c r="P89" s="1100">
        <v>1200</v>
      </c>
      <c r="Q89" s="1099">
        <f t="shared" si="2"/>
        <v>14400</v>
      </c>
    </row>
    <row r="90" spans="1:17" x14ac:dyDescent="0.7">
      <c r="A90" s="1094">
        <v>19</v>
      </c>
      <c r="B90" s="1086" t="s">
        <v>7426</v>
      </c>
      <c r="C90" s="1097" t="s">
        <v>7587</v>
      </c>
      <c r="D90" s="1100">
        <v>2300</v>
      </c>
      <c r="E90" s="1100">
        <v>2300</v>
      </c>
      <c r="F90" s="1100">
        <v>2300</v>
      </c>
      <c r="G90" s="1100">
        <v>2300</v>
      </c>
      <c r="H90" s="1100">
        <v>2300</v>
      </c>
      <c r="I90" s="1100">
        <v>2300</v>
      </c>
      <c r="J90" s="1100">
        <v>2300</v>
      </c>
      <c r="K90" s="1100">
        <v>2300</v>
      </c>
      <c r="L90" s="1100">
        <v>2300</v>
      </c>
      <c r="M90" s="1100">
        <v>2300</v>
      </c>
      <c r="N90" s="1100">
        <v>2300</v>
      </c>
      <c r="O90" s="1100">
        <v>2300</v>
      </c>
      <c r="P90" s="1100">
        <v>2300</v>
      </c>
      <c r="Q90" s="1099">
        <f t="shared" si="2"/>
        <v>27600</v>
      </c>
    </row>
    <row r="91" spans="1:17" x14ac:dyDescent="0.7">
      <c r="A91" s="1094">
        <v>20</v>
      </c>
      <c r="B91" s="1086" t="s">
        <v>7427</v>
      </c>
      <c r="C91" s="1097" t="s">
        <v>7583</v>
      </c>
      <c r="D91" s="1100">
        <v>1200</v>
      </c>
      <c r="E91" s="1100">
        <v>1200</v>
      </c>
      <c r="F91" s="1100">
        <v>1200</v>
      </c>
      <c r="G91" s="1100">
        <v>1200</v>
      </c>
      <c r="H91" s="1100">
        <v>1200</v>
      </c>
      <c r="I91" s="1100">
        <v>1200</v>
      </c>
      <c r="J91" s="1100">
        <v>1200</v>
      </c>
      <c r="K91" s="1100">
        <v>1200</v>
      </c>
      <c r="L91" s="1100">
        <v>1200</v>
      </c>
      <c r="M91" s="1100">
        <v>1200</v>
      </c>
      <c r="N91" s="1100">
        <v>1200</v>
      </c>
      <c r="O91" s="1100">
        <v>1200</v>
      </c>
      <c r="P91" s="1100">
        <v>1200</v>
      </c>
      <c r="Q91" s="1099">
        <f t="shared" si="2"/>
        <v>14400</v>
      </c>
    </row>
    <row r="92" spans="1:17" x14ac:dyDescent="0.7">
      <c r="A92" s="1094">
        <v>21</v>
      </c>
      <c r="B92" s="1086" t="s">
        <v>7428</v>
      </c>
      <c r="C92" s="1097" t="s">
        <v>7588</v>
      </c>
      <c r="D92" s="1100">
        <v>1200</v>
      </c>
      <c r="E92" s="1100">
        <v>1200</v>
      </c>
      <c r="F92" s="1100">
        <v>1200</v>
      </c>
      <c r="G92" s="1100">
        <v>1200</v>
      </c>
      <c r="H92" s="1100">
        <v>1200</v>
      </c>
      <c r="I92" s="1100">
        <v>1200</v>
      </c>
      <c r="J92" s="1100">
        <v>1200</v>
      </c>
      <c r="K92" s="1100">
        <v>1200</v>
      </c>
      <c r="L92" s="1100">
        <v>1200</v>
      </c>
      <c r="M92" s="1100">
        <v>1200</v>
      </c>
      <c r="N92" s="1100">
        <v>1200</v>
      </c>
      <c r="O92" s="1100">
        <v>1200</v>
      </c>
      <c r="P92" s="1100">
        <v>1200</v>
      </c>
      <c r="Q92" s="1099">
        <f t="shared" si="2"/>
        <v>14400</v>
      </c>
    </row>
    <row r="93" spans="1:17" x14ac:dyDescent="0.7">
      <c r="A93" s="1094">
        <v>22</v>
      </c>
      <c r="B93" s="1086" t="s">
        <v>7429</v>
      </c>
      <c r="C93" s="1097" t="s">
        <v>7588</v>
      </c>
      <c r="D93" s="1100">
        <v>1200</v>
      </c>
      <c r="E93" s="1100">
        <v>1200</v>
      </c>
      <c r="F93" s="1100">
        <v>1200</v>
      </c>
      <c r="G93" s="1100">
        <v>1200</v>
      </c>
      <c r="H93" s="1100">
        <v>1200</v>
      </c>
      <c r="I93" s="1100">
        <v>1200</v>
      </c>
      <c r="J93" s="1100">
        <v>1200</v>
      </c>
      <c r="K93" s="1100">
        <v>1200</v>
      </c>
      <c r="L93" s="1100">
        <v>1200</v>
      </c>
      <c r="M93" s="1100">
        <v>1200</v>
      </c>
      <c r="N93" s="1100">
        <v>1200</v>
      </c>
      <c r="O93" s="1100">
        <v>1200</v>
      </c>
      <c r="P93" s="1100">
        <v>1200</v>
      </c>
      <c r="Q93" s="1099">
        <f t="shared" si="2"/>
        <v>14400</v>
      </c>
    </row>
    <row r="94" spans="1:17" x14ac:dyDescent="0.7">
      <c r="A94" s="1094">
        <v>23</v>
      </c>
      <c r="B94" s="1086" t="s">
        <v>7589</v>
      </c>
      <c r="C94" s="1097" t="s">
        <v>7583</v>
      </c>
      <c r="D94" s="1100">
        <v>1200</v>
      </c>
      <c r="E94" s="1100">
        <v>1200</v>
      </c>
      <c r="F94" s="1100">
        <v>1200</v>
      </c>
      <c r="G94" s="1100">
        <v>1200</v>
      </c>
      <c r="H94" s="1100">
        <v>1200</v>
      </c>
      <c r="I94" s="1100">
        <v>1200</v>
      </c>
      <c r="J94" s="1100">
        <v>1200</v>
      </c>
      <c r="K94" s="1100">
        <v>1200</v>
      </c>
      <c r="L94" s="1100">
        <v>1200</v>
      </c>
      <c r="M94" s="1100">
        <v>1200</v>
      </c>
      <c r="N94" s="1100">
        <v>1200</v>
      </c>
      <c r="O94" s="1100">
        <v>1200</v>
      </c>
      <c r="P94" s="1100">
        <v>1200</v>
      </c>
      <c r="Q94" s="1099">
        <f t="shared" si="2"/>
        <v>14400</v>
      </c>
    </row>
    <row r="95" spans="1:17" x14ac:dyDescent="0.7">
      <c r="A95" s="1094">
        <v>24</v>
      </c>
      <c r="B95" s="1086" t="s">
        <v>7430</v>
      </c>
      <c r="C95" s="1097" t="s">
        <v>7590</v>
      </c>
      <c r="D95" s="1100">
        <v>1200</v>
      </c>
      <c r="E95" s="1100">
        <v>1200</v>
      </c>
      <c r="F95" s="1100">
        <v>1200</v>
      </c>
      <c r="G95" s="1100">
        <v>1200</v>
      </c>
      <c r="H95" s="1100">
        <v>1200</v>
      </c>
      <c r="I95" s="1100">
        <v>1200</v>
      </c>
      <c r="J95" s="1100">
        <v>1200</v>
      </c>
      <c r="K95" s="1100">
        <v>1200</v>
      </c>
      <c r="L95" s="1100">
        <v>1200</v>
      </c>
      <c r="M95" s="1100">
        <v>1200</v>
      </c>
      <c r="N95" s="1100">
        <v>1200</v>
      </c>
      <c r="O95" s="1100">
        <v>1200</v>
      </c>
      <c r="P95" s="1100">
        <v>1200</v>
      </c>
      <c r="Q95" s="1099">
        <f t="shared" si="2"/>
        <v>14400</v>
      </c>
    </row>
    <row r="96" spans="1:17" x14ac:dyDescent="0.7">
      <c r="A96" s="1094">
        <v>25</v>
      </c>
      <c r="B96" s="1086" t="s">
        <v>7431</v>
      </c>
      <c r="C96" s="1097" t="s">
        <v>7580</v>
      </c>
      <c r="D96" s="1100">
        <v>1000</v>
      </c>
      <c r="E96" s="1100">
        <v>1000</v>
      </c>
      <c r="F96" s="1100">
        <v>1000</v>
      </c>
      <c r="G96" s="1100">
        <v>1000</v>
      </c>
      <c r="H96" s="1100">
        <v>1000</v>
      </c>
      <c r="I96" s="1100">
        <v>1000</v>
      </c>
      <c r="J96" s="1100">
        <v>1000</v>
      </c>
      <c r="K96" s="1100">
        <v>1000</v>
      </c>
      <c r="L96" s="1100">
        <v>1000</v>
      </c>
      <c r="M96" s="1100">
        <v>1000</v>
      </c>
      <c r="N96" s="1100">
        <v>1000</v>
      </c>
      <c r="O96" s="1100">
        <v>1000</v>
      </c>
      <c r="P96" s="1100">
        <v>1000</v>
      </c>
      <c r="Q96" s="1099">
        <f t="shared" si="2"/>
        <v>12000</v>
      </c>
    </row>
    <row r="97" spans="1:17" x14ac:dyDescent="0.7">
      <c r="A97" s="1094">
        <v>26</v>
      </c>
      <c r="B97" s="1086" t="s">
        <v>7451</v>
      </c>
      <c r="C97" s="1097" t="s">
        <v>7583</v>
      </c>
      <c r="D97" s="1100">
        <v>1000</v>
      </c>
      <c r="E97" s="1100">
        <v>1000</v>
      </c>
      <c r="F97" s="1100">
        <v>1000</v>
      </c>
      <c r="G97" s="1100">
        <v>1000</v>
      </c>
      <c r="H97" s="1100">
        <v>1000</v>
      </c>
      <c r="I97" s="1100">
        <v>1000</v>
      </c>
      <c r="J97" s="1100">
        <v>1000</v>
      </c>
      <c r="K97" s="1100">
        <v>1000</v>
      </c>
      <c r="L97" s="1100">
        <v>1000</v>
      </c>
      <c r="M97" s="1100">
        <v>1000</v>
      </c>
      <c r="N97" s="1100">
        <v>1000</v>
      </c>
      <c r="O97" s="1100">
        <v>1000</v>
      </c>
      <c r="P97" s="1100">
        <v>1000</v>
      </c>
      <c r="Q97" s="1099">
        <f t="shared" si="2"/>
        <v>12000</v>
      </c>
    </row>
    <row r="98" spans="1:17" x14ac:dyDescent="0.7">
      <c r="A98" s="1094">
        <v>27</v>
      </c>
      <c r="B98" s="1086" t="s">
        <v>7452</v>
      </c>
      <c r="C98" s="1097" t="s">
        <v>7580</v>
      </c>
      <c r="D98" s="1101">
        <v>1000</v>
      </c>
      <c r="E98" s="1101">
        <v>1000</v>
      </c>
      <c r="F98" s="1101">
        <v>1000</v>
      </c>
      <c r="G98" s="1101">
        <v>1000</v>
      </c>
      <c r="H98" s="1101">
        <v>1000</v>
      </c>
      <c r="I98" s="1101">
        <v>1000</v>
      </c>
      <c r="J98" s="1101">
        <v>1000</v>
      </c>
      <c r="K98" s="1101">
        <v>1000</v>
      </c>
      <c r="L98" s="1101">
        <v>1000</v>
      </c>
      <c r="M98" s="1101">
        <v>1000</v>
      </c>
      <c r="N98" s="1101">
        <v>1000</v>
      </c>
      <c r="O98" s="1101">
        <v>1000</v>
      </c>
      <c r="P98" s="1101">
        <v>1000</v>
      </c>
      <c r="Q98" s="1099">
        <f t="shared" si="2"/>
        <v>12000</v>
      </c>
    </row>
    <row r="99" spans="1:17" x14ac:dyDescent="0.7">
      <c r="A99" s="1094">
        <v>28</v>
      </c>
      <c r="B99" s="1086" t="s">
        <v>7453</v>
      </c>
      <c r="C99" s="1097" t="s">
        <v>7588</v>
      </c>
      <c r="D99" s="1101">
        <v>1000</v>
      </c>
      <c r="E99" s="1101">
        <v>1000</v>
      </c>
      <c r="F99" s="1101">
        <v>1000</v>
      </c>
      <c r="G99" s="1101">
        <v>1000</v>
      </c>
      <c r="H99" s="1101">
        <v>1000</v>
      </c>
      <c r="I99" s="1101">
        <v>1000</v>
      </c>
      <c r="J99" s="1101">
        <v>1000</v>
      </c>
      <c r="K99" s="1101">
        <v>1000</v>
      </c>
      <c r="L99" s="1101">
        <v>1000</v>
      </c>
      <c r="M99" s="1101">
        <v>1000</v>
      </c>
      <c r="N99" s="1101">
        <v>1000</v>
      </c>
      <c r="O99" s="1101">
        <v>1000</v>
      </c>
      <c r="P99" s="1101">
        <v>1000</v>
      </c>
      <c r="Q99" s="1099">
        <f t="shared" si="2"/>
        <v>12000</v>
      </c>
    </row>
    <row r="100" spans="1:17" x14ac:dyDescent="0.7">
      <c r="A100" s="1094">
        <v>29</v>
      </c>
      <c r="B100" s="1086" t="s">
        <v>7591</v>
      </c>
      <c r="C100" s="1097" t="s">
        <v>7592</v>
      </c>
      <c r="D100" s="1100">
        <v>1000</v>
      </c>
      <c r="E100" s="1100">
        <v>1000</v>
      </c>
      <c r="F100" s="1100">
        <v>1000</v>
      </c>
      <c r="G100" s="1100">
        <v>1000</v>
      </c>
      <c r="H100" s="1100">
        <v>1000</v>
      </c>
      <c r="I100" s="1100">
        <v>1000</v>
      </c>
      <c r="J100" s="1100">
        <v>1000</v>
      </c>
      <c r="K100" s="1100">
        <v>1000</v>
      </c>
      <c r="L100" s="1100">
        <v>1000</v>
      </c>
      <c r="M100" s="1100">
        <v>1000</v>
      </c>
      <c r="N100" s="1100">
        <v>1000</v>
      </c>
      <c r="O100" s="1100">
        <v>1000</v>
      </c>
      <c r="P100" s="1100">
        <v>1000</v>
      </c>
      <c r="Q100" s="1099">
        <f t="shared" si="2"/>
        <v>12000</v>
      </c>
    </row>
    <row r="101" spans="1:17" x14ac:dyDescent="0.7">
      <c r="A101" s="1094">
        <v>30</v>
      </c>
      <c r="B101" s="1086" t="s">
        <v>7455</v>
      </c>
      <c r="C101" s="1097" t="s">
        <v>7593</v>
      </c>
      <c r="D101" s="1098">
        <v>1000</v>
      </c>
      <c r="E101" s="1098">
        <v>1000</v>
      </c>
      <c r="F101" s="1098">
        <v>1000</v>
      </c>
      <c r="G101" s="1098">
        <v>1000</v>
      </c>
      <c r="H101" s="1098">
        <v>1000</v>
      </c>
      <c r="I101" s="1098">
        <v>1000</v>
      </c>
      <c r="J101" s="1098">
        <v>1000</v>
      </c>
      <c r="K101" s="1098">
        <v>1000</v>
      </c>
      <c r="L101" s="1098">
        <v>1000</v>
      </c>
      <c r="M101" s="1098">
        <v>1000</v>
      </c>
      <c r="N101" s="1098">
        <v>1000</v>
      </c>
      <c r="O101" s="1098">
        <v>1000</v>
      </c>
      <c r="P101" s="1098">
        <v>1000</v>
      </c>
      <c r="Q101" s="1099">
        <f t="shared" si="2"/>
        <v>12000</v>
      </c>
    </row>
    <row r="102" spans="1:17" x14ac:dyDescent="0.7">
      <c r="A102" s="1094">
        <v>31</v>
      </c>
      <c r="B102" s="1077" t="s">
        <v>7594</v>
      </c>
      <c r="C102" s="1097" t="s">
        <v>7577</v>
      </c>
      <c r="D102" s="1098">
        <v>2300</v>
      </c>
      <c r="E102" s="1098">
        <v>2300</v>
      </c>
      <c r="F102" s="1098">
        <v>2300</v>
      </c>
      <c r="G102" s="1098">
        <v>2300</v>
      </c>
      <c r="H102" s="1098">
        <v>2300</v>
      </c>
      <c r="I102" s="1098">
        <v>2300</v>
      </c>
      <c r="J102" s="1098">
        <v>2300</v>
      </c>
      <c r="K102" s="1098">
        <v>2300</v>
      </c>
      <c r="L102" s="1098">
        <v>2300</v>
      </c>
      <c r="M102" s="1098">
        <v>2300</v>
      </c>
      <c r="N102" s="1098">
        <v>2300</v>
      </c>
      <c r="O102" s="1098">
        <v>2300</v>
      </c>
      <c r="P102" s="1098">
        <v>2300</v>
      </c>
      <c r="Q102" s="1099">
        <f t="shared" si="2"/>
        <v>27600</v>
      </c>
    </row>
    <row r="103" spans="1:17" x14ac:dyDescent="0.7">
      <c r="A103" s="1102"/>
      <c r="B103" s="1102"/>
      <c r="C103" s="1102"/>
      <c r="D103" s="1103" t="s">
        <v>622</v>
      </c>
      <c r="E103" s="1103">
        <f t="shared" ref="E103:Q103" si="3">SUM(E72:E102)</f>
        <v>38300</v>
      </c>
      <c r="F103" s="1103">
        <f t="shared" si="3"/>
        <v>38300</v>
      </c>
      <c r="G103" s="1103">
        <f t="shared" si="3"/>
        <v>38300</v>
      </c>
      <c r="H103" s="1103">
        <f t="shared" si="3"/>
        <v>38300</v>
      </c>
      <c r="I103" s="1103">
        <f t="shared" si="3"/>
        <v>38300</v>
      </c>
      <c r="J103" s="1103">
        <f t="shared" si="3"/>
        <v>38300</v>
      </c>
      <c r="K103" s="1103">
        <f t="shared" si="3"/>
        <v>38300</v>
      </c>
      <c r="L103" s="1103">
        <f t="shared" si="3"/>
        <v>38300</v>
      </c>
      <c r="M103" s="1103">
        <f t="shared" si="3"/>
        <v>38300</v>
      </c>
      <c r="N103" s="1103">
        <f t="shared" si="3"/>
        <v>38300</v>
      </c>
      <c r="O103" s="1103">
        <f t="shared" si="3"/>
        <v>38300</v>
      </c>
      <c r="P103" s="1103">
        <f t="shared" si="3"/>
        <v>38300</v>
      </c>
      <c r="Q103" s="1104">
        <f t="shared" si="3"/>
        <v>459600</v>
      </c>
    </row>
  </sheetData>
  <mergeCells count="8">
    <mergeCell ref="N66:O66"/>
    <mergeCell ref="A70:J70"/>
    <mergeCell ref="A1:Q1"/>
    <mergeCell ref="A2:Q2"/>
    <mergeCell ref="A3:Q3"/>
    <mergeCell ref="A61:D61"/>
    <mergeCell ref="N64:O64"/>
    <mergeCell ref="N65:O65"/>
  </mergeCells>
  <pageMargins left="0.39370078740157483" right="0.39370078740157483" top="0.94488188976377963" bottom="0.98425196850393704" header="0.31496062992125984" footer="0.15748031496062992"/>
  <pageSetup paperSize="9" scale="59" fitToHeight="0" orientation="landscape" r:id="rId1"/>
  <rowBreaks count="1" manualBreakCount="1">
    <brk id="31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01"/>
  <sheetViews>
    <sheetView workbookViewId="0">
      <pane xSplit="1" ySplit="1" topLeftCell="B895" activePane="bottomRight" state="frozen"/>
      <selection pane="topRight" activeCell="B1" sqref="B1"/>
      <selection pane="bottomLeft" activeCell="A2" sqref="A2"/>
      <selection pane="bottomRight" activeCell="I905" sqref="I905"/>
    </sheetView>
  </sheetViews>
  <sheetFormatPr defaultColWidth="8.796875" defaultRowHeight="24.6" x14ac:dyDescent="0.7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8.19921875" style="6" bestFit="1" customWidth="1"/>
    <col min="6" max="6" width="14.3984375" style="6" bestFit="1" customWidth="1"/>
    <col min="7" max="7" width="12.796875" style="6" bestFit="1" customWidth="1"/>
    <col min="8" max="8" width="13.296875" style="6" bestFit="1" customWidth="1"/>
    <col min="9" max="9" width="19.69921875" style="6" bestFit="1" customWidth="1"/>
    <col min="10" max="10" width="9" style="6" bestFit="1" customWidth="1"/>
    <col min="11" max="11" width="15.69921875" style="6" bestFit="1" customWidth="1"/>
    <col min="12" max="12" width="9.796875" style="6" bestFit="1" customWidth="1"/>
    <col min="13" max="13" width="21" style="6" bestFit="1" customWidth="1"/>
    <col min="14" max="14" width="24.3984375" style="6" bestFit="1" customWidth="1"/>
    <col min="15" max="15" width="12" style="6" bestFit="1" customWidth="1"/>
    <col min="16" max="16" width="25.699218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7">
      <c r="A1" s="245" t="s">
        <v>2274</v>
      </c>
      <c r="B1" s="245" t="s">
        <v>2275</v>
      </c>
      <c r="C1" s="245" t="s">
        <v>2276</v>
      </c>
      <c r="D1" s="245" t="s">
        <v>2277</v>
      </c>
      <c r="E1" s="245" t="s">
        <v>2278</v>
      </c>
      <c r="F1" s="245" t="s">
        <v>2279</v>
      </c>
      <c r="G1" s="245" t="s">
        <v>2280</v>
      </c>
      <c r="H1" s="245" t="s">
        <v>2281</v>
      </c>
      <c r="I1" s="245" t="s">
        <v>2282</v>
      </c>
      <c r="J1" s="245" t="s">
        <v>2283</v>
      </c>
      <c r="K1" s="245" t="s">
        <v>2284</v>
      </c>
      <c r="L1" s="245" t="s">
        <v>2285</v>
      </c>
      <c r="M1" s="245" t="s">
        <v>2286</v>
      </c>
      <c r="N1" s="245" t="s">
        <v>2287</v>
      </c>
      <c r="O1" s="245" t="s">
        <v>2288</v>
      </c>
      <c r="P1" s="245" t="s">
        <v>2289</v>
      </c>
      <c r="Q1" s="245" t="s">
        <v>5841</v>
      </c>
      <c r="R1" s="245"/>
    </row>
    <row r="2" spans="1:18" x14ac:dyDescent="0.7">
      <c r="A2" s="246" t="s">
        <v>4850</v>
      </c>
      <c r="B2" s="246" t="s">
        <v>4851</v>
      </c>
      <c r="C2" s="246" t="s">
        <v>2154</v>
      </c>
      <c r="D2" s="246" t="s">
        <v>1809</v>
      </c>
      <c r="E2" s="246">
        <v>9</v>
      </c>
      <c r="F2" s="246" t="s">
        <v>2309</v>
      </c>
      <c r="G2" s="246" t="s">
        <v>2310</v>
      </c>
      <c r="H2" s="247">
        <v>36</v>
      </c>
      <c r="I2" s="246" t="s">
        <v>1242</v>
      </c>
      <c r="J2" s="247">
        <v>34</v>
      </c>
      <c r="K2" s="246" t="s">
        <v>2303</v>
      </c>
      <c r="L2" s="246" t="s">
        <v>2398</v>
      </c>
      <c r="M2" s="246">
        <v>2</v>
      </c>
      <c r="N2" s="246"/>
      <c r="O2" s="246" t="s">
        <v>4852</v>
      </c>
      <c r="P2" s="246" t="s">
        <v>6424</v>
      </c>
      <c r="Q2" s="246" t="s">
        <v>4850</v>
      </c>
      <c r="R2" s="248"/>
    </row>
    <row r="3" spans="1:18" x14ac:dyDescent="0.7">
      <c r="A3" s="246" t="s">
        <v>3160</v>
      </c>
      <c r="B3" s="246" t="s">
        <v>3161</v>
      </c>
      <c r="C3" s="246" t="s">
        <v>1482</v>
      </c>
      <c r="D3" s="246" t="s">
        <v>1210</v>
      </c>
      <c r="E3" s="246">
        <v>4</v>
      </c>
      <c r="F3" s="246" t="s">
        <v>2293</v>
      </c>
      <c r="G3" s="246" t="s">
        <v>2294</v>
      </c>
      <c r="H3" s="247">
        <v>14</v>
      </c>
      <c r="I3" s="246" t="s">
        <v>1210</v>
      </c>
      <c r="J3" s="247">
        <v>550</v>
      </c>
      <c r="K3" s="246" t="s">
        <v>2295</v>
      </c>
      <c r="L3" s="246" t="s">
        <v>2296</v>
      </c>
      <c r="M3" s="246">
        <v>18</v>
      </c>
      <c r="N3" s="246"/>
      <c r="O3" s="246" t="s">
        <v>3162</v>
      </c>
      <c r="P3" s="246" t="s">
        <v>6425</v>
      </c>
      <c r="Q3" s="246" t="s">
        <v>3160</v>
      </c>
      <c r="R3" s="248"/>
    </row>
    <row r="4" spans="1:18" x14ac:dyDescent="0.7">
      <c r="A4" s="246" t="s">
        <v>3317</v>
      </c>
      <c r="B4" s="246" t="s">
        <v>3318</v>
      </c>
      <c r="C4" s="246" t="s">
        <v>1509</v>
      </c>
      <c r="D4" s="246" t="s">
        <v>1212</v>
      </c>
      <c r="E4" s="246">
        <v>4</v>
      </c>
      <c r="F4" s="246" t="s">
        <v>2293</v>
      </c>
      <c r="G4" s="246" t="s">
        <v>2294</v>
      </c>
      <c r="H4" s="247">
        <v>19</v>
      </c>
      <c r="I4" s="246" t="s">
        <v>1212</v>
      </c>
      <c r="J4" s="247">
        <v>700</v>
      </c>
      <c r="K4" s="246" t="s">
        <v>2303</v>
      </c>
      <c r="L4" s="246" t="s">
        <v>2296</v>
      </c>
      <c r="M4" s="246">
        <v>18</v>
      </c>
      <c r="N4" s="246"/>
      <c r="O4" s="246" t="s">
        <v>3319</v>
      </c>
      <c r="P4" s="246" t="s">
        <v>6425</v>
      </c>
      <c r="Q4" s="246" t="s">
        <v>3317</v>
      </c>
      <c r="R4" s="248"/>
    </row>
    <row r="5" spans="1:18" x14ac:dyDescent="0.7">
      <c r="A5" s="246" t="s">
        <v>3661</v>
      </c>
      <c r="B5" s="246" t="s">
        <v>3662</v>
      </c>
      <c r="C5" s="246" t="s">
        <v>1621</v>
      </c>
      <c r="D5" s="246" t="s">
        <v>1225</v>
      </c>
      <c r="E5" s="246">
        <v>6</v>
      </c>
      <c r="F5" s="246" t="s">
        <v>2293</v>
      </c>
      <c r="G5" s="246" t="s">
        <v>2294</v>
      </c>
      <c r="H5" s="247">
        <v>20</v>
      </c>
      <c r="I5" s="246" t="s">
        <v>1225</v>
      </c>
      <c r="J5" s="247">
        <v>824</v>
      </c>
      <c r="K5" s="246" t="s">
        <v>2303</v>
      </c>
      <c r="L5" s="246" t="s">
        <v>2296</v>
      </c>
      <c r="M5" s="246">
        <v>19</v>
      </c>
      <c r="N5" s="246"/>
      <c r="O5" s="246" t="s">
        <v>3663</v>
      </c>
      <c r="P5" s="246" t="s">
        <v>6426</v>
      </c>
      <c r="Q5" s="246" t="s">
        <v>3661</v>
      </c>
      <c r="R5" s="248"/>
    </row>
    <row r="6" spans="1:18" x14ac:dyDescent="0.7">
      <c r="A6" s="246" t="s">
        <v>3707</v>
      </c>
      <c r="B6" s="246" t="s">
        <v>3708</v>
      </c>
      <c r="C6" s="246" t="s">
        <v>1645</v>
      </c>
      <c r="D6" s="246" t="s">
        <v>1228</v>
      </c>
      <c r="E6" s="246">
        <v>6</v>
      </c>
      <c r="F6" s="246" t="s">
        <v>2293</v>
      </c>
      <c r="G6" s="246" t="s">
        <v>2294</v>
      </c>
      <c r="H6" s="247">
        <v>21</v>
      </c>
      <c r="I6" s="246" t="s">
        <v>1228</v>
      </c>
      <c r="J6" s="247">
        <v>641</v>
      </c>
      <c r="K6" s="246" t="s">
        <v>2303</v>
      </c>
      <c r="L6" s="246" t="s">
        <v>2296</v>
      </c>
      <c r="M6" s="246">
        <v>18</v>
      </c>
      <c r="N6" s="246"/>
      <c r="O6" s="246" t="s">
        <v>3709</v>
      </c>
      <c r="P6" s="246" t="s">
        <v>6425</v>
      </c>
      <c r="Q6" s="246" t="s">
        <v>3707</v>
      </c>
      <c r="R6" s="248"/>
    </row>
    <row r="7" spans="1:18" x14ac:dyDescent="0.7">
      <c r="A7" s="246" t="s">
        <v>3742</v>
      </c>
      <c r="B7" s="246" t="s">
        <v>3743</v>
      </c>
      <c r="C7" s="246" t="s">
        <v>1599</v>
      </c>
      <c r="D7" s="246" t="s">
        <v>3744</v>
      </c>
      <c r="E7" s="246">
        <v>6</v>
      </c>
      <c r="F7" s="246" t="s">
        <v>2293</v>
      </c>
      <c r="G7" s="246" t="s">
        <v>2294</v>
      </c>
      <c r="H7" s="247">
        <v>22</v>
      </c>
      <c r="I7" s="246" t="s">
        <v>1223</v>
      </c>
      <c r="J7" s="247">
        <v>716</v>
      </c>
      <c r="K7" s="246" t="s">
        <v>2303</v>
      </c>
      <c r="L7" s="246" t="s">
        <v>2296</v>
      </c>
      <c r="M7" s="246">
        <v>19</v>
      </c>
      <c r="N7" s="246"/>
      <c r="O7" s="246" t="s">
        <v>3745</v>
      </c>
      <c r="P7" s="246" t="s">
        <v>6426</v>
      </c>
      <c r="Q7" s="246" t="s">
        <v>3742</v>
      </c>
      <c r="R7" s="248"/>
    </row>
    <row r="8" spans="1:18" x14ac:dyDescent="0.7">
      <c r="A8" s="246" t="s">
        <v>3861</v>
      </c>
      <c r="B8" s="246" t="s">
        <v>3862</v>
      </c>
      <c r="C8" s="246" t="s">
        <v>1639</v>
      </c>
      <c r="D8" s="246" t="s">
        <v>3863</v>
      </c>
      <c r="E8" s="246">
        <v>6</v>
      </c>
      <c r="F8" s="246" t="s">
        <v>2293</v>
      </c>
      <c r="G8" s="246" t="s">
        <v>2294</v>
      </c>
      <c r="H8" s="247">
        <v>25</v>
      </c>
      <c r="I8" s="246" t="s">
        <v>1227</v>
      </c>
      <c r="J8" s="247">
        <v>509</v>
      </c>
      <c r="K8" s="246" t="s">
        <v>2303</v>
      </c>
      <c r="L8" s="246" t="s">
        <v>2296</v>
      </c>
      <c r="M8" s="246">
        <v>18</v>
      </c>
      <c r="N8" s="246"/>
      <c r="O8" s="246" t="s">
        <v>3864</v>
      </c>
      <c r="P8" s="246" t="s">
        <v>6425</v>
      </c>
      <c r="Q8" s="246" t="s">
        <v>3861</v>
      </c>
      <c r="R8" s="248"/>
    </row>
    <row r="9" spans="1:18" x14ac:dyDescent="0.7">
      <c r="A9" s="246" t="s">
        <v>4569</v>
      </c>
      <c r="B9" s="246" t="s">
        <v>4570</v>
      </c>
      <c r="C9" s="246" t="s">
        <v>1824</v>
      </c>
      <c r="D9" s="246" t="s">
        <v>4571</v>
      </c>
      <c r="E9" s="246">
        <v>9</v>
      </c>
      <c r="F9" s="246" t="s">
        <v>2293</v>
      </c>
      <c r="G9" s="246" t="s">
        <v>2294</v>
      </c>
      <c r="H9" s="247">
        <v>30</v>
      </c>
      <c r="I9" s="246" t="s">
        <v>1243</v>
      </c>
      <c r="J9" s="247">
        <v>1387</v>
      </c>
      <c r="K9" s="246" t="s">
        <v>2295</v>
      </c>
      <c r="L9" s="246" t="s">
        <v>2296</v>
      </c>
      <c r="M9" s="246">
        <v>20</v>
      </c>
      <c r="N9" s="246"/>
      <c r="O9" s="246" t="s">
        <v>4572</v>
      </c>
      <c r="P9" s="246" t="s">
        <v>6427</v>
      </c>
      <c r="Q9" s="246" t="s">
        <v>4569</v>
      </c>
      <c r="R9" s="248"/>
    </row>
    <row r="10" spans="1:18" x14ac:dyDescent="0.7">
      <c r="A10" s="246" t="s">
        <v>4697</v>
      </c>
      <c r="B10" s="246" t="s">
        <v>4698</v>
      </c>
      <c r="C10" s="246" t="s">
        <v>1854</v>
      </c>
      <c r="D10" s="246" t="s">
        <v>1244</v>
      </c>
      <c r="E10" s="246">
        <v>9</v>
      </c>
      <c r="F10" s="246" t="s">
        <v>2293</v>
      </c>
      <c r="G10" s="246" t="s">
        <v>2294</v>
      </c>
      <c r="H10" s="247">
        <v>31</v>
      </c>
      <c r="I10" s="246" t="s">
        <v>1244</v>
      </c>
      <c r="J10" s="247">
        <v>895</v>
      </c>
      <c r="K10" s="246" t="s">
        <v>2303</v>
      </c>
      <c r="L10" s="246" t="s">
        <v>2296</v>
      </c>
      <c r="M10" s="246">
        <v>19</v>
      </c>
      <c r="N10" s="246"/>
      <c r="O10" s="246" t="s">
        <v>4699</v>
      </c>
      <c r="P10" s="246" t="s">
        <v>6426</v>
      </c>
      <c r="Q10" s="246" t="s">
        <v>4697</v>
      </c>
      <c r="R10" s="248"/>
    </row>
    <row r="11" spans="1:18" x14ac:dyDescent="0.7">
      <c r="A11" s="246" t="s">
        <v>4786</v>
      </c>
      <c r="B11" s="246" t="s">
        <v>4787</v>
      </c>
      <c r="C11" s="246" t="s">
        <v>1875</v>
      </c>
      <c r="D11" s="246" t="s">
        <v>1245</v>
      </c>
      <c r="E11" s="246">
        <v>9</v>
      </c>
      <c r="F11" s="246" t="s">
        <v>2293</v>
      </c>
      <c r="G11" s="246" t="s">
        <v>2294</v>
      </c>
      <c r="H11" s="247">
        <v>32</v>
      </c>
      <c r="I11" s="246" t="s">
        <v>1245</v>
      </c>
      <c r="J11" s="247">
        <v>914</v>
      </c>
      <c r="K11" s="246" t="s">
        <v>2303</v>
      </c>
      <c r="L11" s="246" t="s">
        <v>2296</v>
      </c>
      <c r="M11" s="246">
        <v>19</v>
      </c>
      <c r="N11" s="246"/>
      <c r="O11" s="246" t="s">
        <v>4788</v>
      </c>
      <c r="P11" s="246" t="s">
        <v>6426</v>
      </c>
      <c r="Q11" s="246" t="s">
        <v>4786</v>
      </c>
      <c r="R11" s="248"/>
    </row>
    <row r="12" spans="1:18" x14ac:dyDescent="0.7">
      <c r="A12" s="246" t="s">
        <v>4998</v>
      </c>
      <c r="B12" s="246" t="s">
        <v>4999</v>
      </c>
      <c r="C12" s="246" t="s">
        <v>1934</v>
      </c>
      <c r="D12" s="246" t="s">
        <v>5000</v>
      </c>
      <c r="E12" s="246">
        <v>10</v>
      </c>
      <c r="F12" s="246" t="s">
        <v>2293</v>
      </c>
      <c r="G12" s="246" t="s">
        <v>2294</v>
      </c>
      <c r="H12" s="247">
        <v>34</v>
      </c>
      <c r="I12" s="246" t="s">
        <v>1250</v>
      </c>
      <c r="J12" s="247">
        <v>1188</v>
      </c>
      <c r="K12" s="246" t="s">
        <v>2303</v>
      </c>
      <c r="L12" s="246" t="s">
        <v>2296</v>
      </c>
      <c r="M12" s="246">
        <v>20</v>
      </c>
      <c r="N12" s="246"/>
      <c r="O12" s="246" t="s">
        <v>5001</v>
      </c>
      <c r="P12" s="246" t="s">
        <v>6427</v>
      </c>
      <c r="Q12" s="246" t="s">
        <v>4998</v>
      </c>
      <c r="R12" s="248"/>
    </row>
    <row r="13" spans="1:18" x14ac:dyDescent="0.7">
      <c r="A13" s="246" t="s">
        <v>3925</v>
      </c>
      <c r="B13" s="246" t="s">
        <v>3926</v>
      </c>
      <c r="C13" s="246" t="s">
        <v>1677</v>
      </c>
      <c r="D13" s="246" t="s">
        <v>1232</v>
      </c>
      <c r="E13" s="246">
        <v>7</v>
      </c>
      <c r="F13" s="246" t="s">
        <v>2293</v>
      </c>
      <c r="G13" s="246" t="s">
        <v>2294</v>
      </c>
      <c r="H13" s="247">
        <v>40</v>
      </c>
      <c r="I13" s="246" t="s">
        <v>1232</v>
      </c>
      <c r="J13" s="247">
        <v>1100</v>
      </c>
      <c r="K13" s="246" t="s">
        <v>2295</v>
      </c>
      <c r="L13" s="246" t="s">
        <v>2296</v>
      </c>
      <c r="M13" s="246">
        <v>20</v>
      </c>
      <c r="N13" s="246"/>
      <c r="O13" s="246" t="s">
        <v>3927</v>
      </c>
      <c r="P13" s="246" t="s">
        <v>6427</v>
      </c>
      <c r="Q13" s="246" t="s">
        <v>3925</v>
      </c>
      <c r="R13" s="248"/>
    </row>
    <row r="14" spans="1:18" x14ac:dyDescent="0.7">
      <c r="A14" s="246" t="s">
        <v>4280</v>
      </c>
      <c r="B14" s="246" t="s">
        <v>4281</v>
      </c>
      <c r="C14" s="246" t="s">
        <v>1789</v>
      </c>
      <c r="D14" s="246" t="s">
        <v>1241</v>
      </c>
      <c r="E14" s="246">
        <v>8</v>
      </c>
      <c r="F14" s="246" t="s">
        <v>2293</v>
      </c>
      <c r="G14" s="246" t="s">
        <v>2294</v>
      </c>
      <c r="H14" s="247">
        <v>41</v>
      </c>
      <c r="I14" s="246" t="s">
        <v>1241</v>
      </c>
      <c r="J14" s="247">
        <v>1154</v>
      </c>
      <c r="K14" s="246" t="s">
        <v>2303</v>
      </c>
      <c r="L14" s="246" t="s">
        <v>2296</v>
      </c>
      <c r="M14" s="246">
        <v>20</v>
      </c>
      <c r="N14" s="246"/>
      <c r="O14" s="246" t="s">
        <v>4282</v>
      </c>
      <c r="P14" s="246" t="s">
        <v>6427</v>
      </c>
      <c r="Q14" s="246" t="s">
        <v>4280</v>
      </c>
      <c r="R14" s="248"/>
    </row>
    <row r="15" spans="1:18" x14ac:dyDescent="0.7">
      <c r="A15" s="246" t="s">
        <v>2431</v>
      </c>
      <c r="B15" s="246" t="s">
        <v>2432</v>
      </c>
      <c r="C15" s="246" t="s">
        <v>1343</v>
      </c>
      <c r="D15" s="246" t="s">
        <v>1195</v>
      </c>
      <c r="E15" s="246">
        <v>1</v>
      </c>
      <c r="F15" s="246" t="s">
        <v>2293</v>
      </c>
      <c r="G15" s="246" t="s">
        <v>2294</v>
      </c>
      <c r="H15" s="247">
        <v>52</v>
      </c>
      <c r="I15" s="246" t="s">
        <v>1195</v>
      </c>
      <c r="J15" s="247">
        <v>743</v>
      </c>
      <c r="K15" s="246" t="s">
        <v>2303</v>
      </c>
      <c r="L15" s="246" t="s">
        <v>2296</v>
      </c>
      <c r="M15" s="246">
        <v>19</v>
      </c>
      <c r="N15" s="246"/>
      <c r="O15" s="246" t="s">
        <v>2433</v>
      </c>
      <c r="P15" s="246" t="s">
        <v>6426</v>
      </c>
      <c r="Q15" s="246" t="s">
        <v>2431</v>
      </c>
      <c r="R15" s="248"/>
    </row>
    <row r="16" spans="1:18" x14ac:dyDescent="0.7">
      <c r="A16" s="246" t="s">
        <v>2706</v>
      </c>
      <c r="B16" s="246" t="s">
        <v>2707</v>
      </c>
      <c r="C16" s="246" t="s">
        <v>1402</v>
      </c>
      <c r="D16" s="246" t="s">
        <v>1201</v>
      </c>
      <c r="E16" s="246">
        <v>2</v>
      </c>
      <c r="F16" s="246" t="s">
        <v>2293</v>
      </c>
      <c r="G16" s="246" t="s">
        <v>2294</v>
      </c>
      <c r="H16" s="247">
        <v>53</v>
      </c>
      <c r="I16" s="246" t="s">
        <v>1201</v>
      </c>
      <c r="J16" s="247">
        <v>655</v>
      </c>
      <c r="K16" s="246" t="s">
        <v>2303</v>
      </c>
      <c r="L16" s="246" t="s">
        <v>2296</v>
      </c>
      <c r="M16" s="246">
        <v>18</v>
      </c>
      <c r="N16" s="246"/>
      <c r="O16" s="246" t="s">
        <v>2708</v>
      </c>
      <c r="P16" s="246" t="s">
        <v>6425</v>
      </c>
      <c r="Q16" s="246" t="s">
        <v>2706</v>
      </c>
      <c r="R16" s="248"/>
    </row>
    <row r="17" spans="1:18" x14ac:dyDescent="0.7">
      <c r="A17" s="246" t="s">
        <v>2606</v>
      </c>
      <c r="B17" s="246" t="s">
        <v>2607</v>
      </c>
      <c r="C17" s="246" t="s">
        <v>1267</v>
      </c>
      <c r="D17" s="246" t="s">
        <v>2608</v>
      </c>
      <c r="E17" s="246">
        <v>1</v>
      </c>
      <c r="F17" s="246" t="s">
        <v>2293</v>
      </c>
      <c r="G17" s="246" t="s">
        <v>2294</v>
      </c>
      <c r="H17" s="247">
        <v>57</v>
      </c>
      <c r="I17" s="246" t="s">
        <v>1189</v>
      </c>
      <c r="J17" s="247">
        <v>773</v>
      </c>
      <c r="K17" s="246" t="s">
        <v>2295</v>
      </c>
      <c r="L17" s="246" t="s">
        <v>2296</v>
      </c>
      <c r="M17" s="246">
        <v>19</v>
      </c>
      <c r="N17" s="246"/>
      <c r="O17" s="246" t="s">
        <v>2609</v>
      </c>
      <c r="P17" s="246" t="s">
        <v>6426</v>
      </c>
      <c r="Q17" s="246" t="s">
        <v>2606</v>
      </c>
      <c r="R17" s="248"/>
    </row>
    <row r="18" spans="1:18" x14ac:dyDescent="0.7">
      <c r="A18" s="246" t="s">
        <v>2921</v>
      </c>
      <c r="B18" s="246" t="s">
        <v>2922</v>
      </c>
      <c r="C18" s="246" t="s">
        <v>1431</v>
      </c>
      <c r="D18" s="246" t="s">
        <v>2923</v>
      </c>
      <c r="E18" s="246">
        <v>3</v>
      </c>
      <c r="F18" s="246" t="s">
        <v>2293</v>
      </c>
      <c r="G18" s="246" t="s">
        <v>2294</v>
      </c>
      <c r="H18" s="247">
        <v>60</v>
      </c>
      <c r="I18" s="246" t="s">
        <v>1204</v>
      </c>
      <c r="J18" s="247">
        <v>858</v>
      </c>
      <c r="K18" s="246" t="s">
        <v>2303</v>
      </c>
      <c r="L18" s="246" t="s">
        <v>2296</v>
      </c>
      <c r="M18" s="246">
        <v>19</v>
      </c>
      <c r="N18" s="246"/>
      <c r="O18" s="246" t="s">
        <v>2924</v>
      </c>
      <c r="P18" s="246" t="s">
        <v>6426</v>
      </c>
      <c r="Q18" s="246" t="s">
        <v>2921</v>
      </c>
      <c r="R18" s="248"/>
    </row>
    <row r="19" spans="1:18" x14ac:dyDescent="0.7">
      <c r="A19" s="246" t="s">
        <v>2812</v>
      </c>
      <c r="B19" s="246" t="s">
        <v>2813</v>
      </c>
      <c r="C19" s="246" t="s">
        <v>1373</v>
      </c>
      <c r="D19" s="246" t="s">
        <v>2814</v>
      </c>
      <c r="E19" s="246">
        <v>2</v>
      </c>
      <c r="F19" s="246" t="s">
        <v>2293</v>
      </c>
      <c r="G19" s="246" t="s">
        <v>2294</v>
      </c>
      <c r="H19" s="247">
        <v>65</v>
      </c>
      <c r="I19" s="246" t="s">
        <v>1198</v>
      </c>
      <c r="J19" s="247">
        <v>922</v>
      </c>
      <c r="K19" s="246" t="s">
        <v>2303</v>
      </c>
      <c r="L19" s="246" t="s">
        <v>2296</v>
      </c>
      <c r="M19" s="246">
        <v>19</v>
      </c>
      <c r="N19" s="246"/>
      <c r="O19" s="246" t="s">
        <v>2815</v>
      </c>
      <c r="P19" s="246" t="s">
        <v>6426</v>
      </c>
      <c r="Q19" s="246" t="s">
        <v>2812</v>
      </c>
      <c r="R19" s="248"/>
    </row>
    <row r="20" spans="1:18" x14ac:dyDescent="0.7">
      <c r="A20" s="246" t="s">
        <v>3379</v>
      </c>
      <c r="B20" s="246" t="s">
        <v>3380</v>
      </c>
      <c r="C20" s="246" t="s">
        <v>1574</v>
      </c>
      <c r="D20" s="246" t="s">
        <v>1219</v>
      </c>
      <c r="E20" s="246">
        <v>5</v>
      </c>
      <c r="F20" s="246" t="s">
        <v>2293</v>
      </c>
      <c r="G20" s="246" t="s">
        <v>2294</v>
      </c>
      <c r="H20" s="247">
        <v>70</v>
      </c>
      <c r="I20" s="246" t="s">
        <v>1219</v>
      </c>
      <c r="J20" s="247">
        <v>855</v>
      </c>
      <c r="K20" s="246" t="s">
        <v>2303</v>
      </c>
      <c r="L20" s="246" t="s">
        <v>2296</v>
      </c>
      <c r="M20" s="246">
        <v>19</v>
      </c>
      <c r="N20" s="246"/>
      <c r="O20" s="246" t="s">
        <v>3381</v>
      </c>
      <c r="P20" s="246" t="s">
        <v>6426</v>
      </c>
      <c r="Q20" s="246" t="s">
        <v>3379</v>
      </c>
      <c r="R20" s="248"/>
    </row>
    <row r="21" spans="1:18" x14ac:dyDescent="0.7">
      <c r="A21" s="246" t="s">
        <v>3482</v>
      </c>
      <c r="B21" s="246" t="s">
        <v>3483</v>
      </c>
      <c r="C21" s="246" t="s">
        <v>1589</v>
      </c>
      <c r="D21" s="246" t="s">
        <v>3484</v>
      </c>
      <c r="E21" s="246">
        <v>5</v>
      </c>
      <c r="F21" s="246" t="s">
        <v>2293</v>
      </c>
      <c r="G21" s="246" t="s">
        <v>2294</v>
      </c>
      <c r="H21" s="247">
        <v>72</v>
      </c>
      <c r="I21" s="246" t="s">
        <v>1222</v>
      </c>
      <c r="J21" s="247">
        <v>721</v>
      </c>
      <c r="K21" s="246" t="s">
        <v>2303</v>
      </c>
      <c r="L21" s="246" t="s">
        <v>2296</v>
      </c>
      <c r="M21" s="246">
        <v>19</v>
      </c>
      <c r="N21" s="246"/>
      <c r="O21" s="246" t="s">
        <v>3485</v>
      </c>
      <c r="P21" s="246" t="s">
        <v>6426</v>
      </c>
      <c r="Q21" s="246" t="s">
        <v>3482</v>
      </c>
      <c r="R21" s="248"/>
    </row>
    <row r="22" spans="1:18" x14ac:dyDescent="0.7">
      <c r="A22" s="246" t="s">
        <v>3522</v>
      </c>
      <c r="B22" s="246" t="s">
        <v>3523</v>
      </c>
      <c r="C22" s="246" t="s">
        <v>1549</v>
      </c>
      <c r="D22" s="246" t="s">
        <v>1216</v>
      </c>
      <c r="E22" s="246">
        <v>5</v>
      </c>
      <c r="F22" s="246" t="s">
        <v>2293</v>
      </c>
      <c r="G22" s="246" t="s">
        <v>2294</v>
      </c>
      <c r="H22" s="247">
        <v>73</v>
      </c>
      <c r="I22" s="246" t="s">
        <v>1216</v>
      </c>
      <c r="J22" s="247">
        <v>860</v>
      </c>
      <c r="K22" s="246" t="s">
        <v>2303</v>
      </c>
      <c r="L22" s="246" t="s">
        <v>2296</v>
      </c>
      <c r="M22" s="246">
        <v>19</v>
      </c>
      <c r="N22" s="246"/>
      <c r="O22" s="246" t="s">
        <v>3524</v>
      </c>
      <c r="P22" s="246" t="s">
        <v>6426</v>
      </c>
      <c r="Q22" s="246" t="s">
        <v>3522</v>
      </c>
      <c r="R22" s="248"/>
    </row>
    <row r="23" spans="1:18" x14ac:dyDescent="0.7">
      <c r="A23" s="246" t="s">
        <v>5188</v>
      </c>
      <c r="B23" s="246" t="s">
        <v>5189</v>
      </c>
      <c r="C23" s="246" t="s">
        <v>1975</v>
      </c>
      <c r="D23" s="246" t="s">
        <v>5190</v>
      </c>
      <c r="E23" s="246">
        <v>11</v>
      </c>
      <c r="F23" s="246" t="s">
        <v>2293</v>
      </c>
      <c r="G23" s="246" t="s">
        <v>2294</v>
      </c>
      <c r="H23" s="247">
        <v>80</v>
      </c>
      <c r="I23" s="246" t="s">
        <v>1253</v>
      </c>
      <c r="J23" s="247">
        <v>844</v>
      </c>
      <c r="K23" s="246" t="s">
        <v>2303</v>
      </c>
      <c r="L23" s="246" t="s">
        <v>2296</v>
      </c>
      <c r="M23" s="246">
        <v>19</v>
      </c>
      <c r="N23" s="246"/>
      <c r="O23" s="246" t="s">
        <v>5191</v>
      </c>
      <c r="P23" s="246" t="s">
        <v>6426</v>
      </c>
      <c r="Q23" s="246" t="s">
        <v>5188</v>
      </c>
      <c r="R23" s="248"/>
    </row>
    <row r="24" spans="1:18" x14ac:dyDescent="0.7">
      <c r="A24" s="246" t="s">
        <v>5358</v>
      </c>
      <c r="B24" s="246" t="s">
        <v>5359</v>
      </c>
      <c r="C24" s="246" t="s">
        <v>2008</v>
      </c>
      <c r="D24" s="246" t="s">
        <v>1257</v>
      </c>
      <c r="E24" s="246">
        <v>11</v>
      </c>
      <c r="F24" s="246" t="s">
        <v>2293</v>
      </c>
      <c r="G24" s="246" t="s">
        <v>2294</v>
      </c>
      <c r="H24" s="247">
        <v>84</v>
      </c>
      <c r="I24" s="246" t="s">
        <v>1257</v>
      </c>
      <c r="J24" s="247">
        <v>862</v>
      </c>
      <c r="K24" s="246" t="s">
        <v>2295</v>
      </c>
      <c r="L24" s="246" t="s">
        <v>2296</v>
      </c>
      <c r="M24" s="246">
        <v>19</v>
      </c>
      <c r="N24" s="246"/>
      <c r="O24" s="246" t="s">
        <v>5360</v>
      </c>
      <c r="P24" s="246" t="s">
        <v>6426</v>
      </c>
      <c r="Q24" s="246" t="s">
        <v>5358</v>
      </c>
      <c r="R24" s="248"/>
    </row>
    <row r="25" spans="1:18" x14ac:dyDescent="0.7">
      <c r="A25" s="246" t="s">
        <v>5500</v>
      </c>
      <c r="B25" s="246" t="s">
        <v>5501</v>
      </c>
      <c r="C25" s="246" t="s">
        <v>2082</v>
      </c>
      <c r="D25" s="246" t="s">
        <v>5502</v>
      </c>
      <c r="E25" s="246">
        <v>12</v>
      </c>
      <c r="F25" s="246" t="s">
        <v>2293</v>
      </c>
      <c r="G25" s="246" t="s">
        <v>2294</v>
      </c>
      <c r="H25" s="247">
        <v>90</v>
      </c>
      <c r="I25" s="246" t="s">
        <v>1263</v>
      </c>
      <c r="J25" s="247">
        <v>655</v>
      </c>
      <c r="K25" s="246" t="s">
        <v>2295</v>
      </c>
      <c r="L25" s="246" t="s">
        <v>2296</v>
      </c>
      <c r="M25" s="246">
        <v>18</v>
      </c>
      <c r="N25" s="246"/>
      <c r="O25" s="246" t="s">
        <v>5503</v>
      </c>
      <c r="P25" s="246" t="s">
        <v>6425</v>
      </c>
      <c r="Q25" s="246" t="s">
        <v>5500</v>
      </c>
      <c r="R25" s="248"/>
    </row>
    <row r="26" spans="1:18" x14ac:dyDescent="0.7">
      <c r="A26" s="246" t="s">
        <v>5594</v>
      </c>
      <c r="B26" s="246" t="s">
        <v>5595</v>
      </c>
      <c r="C26" s="246" t="s">
        <v>2028</v>
      </c>
      <c r="D26" s="246" t="s">
        <v>1258</v>
      </c>
      <c r="E26" s="246">
        <v>12</v>
      </c>
      <c r="F26" s="246" t="s">
        <v>2293</v>
      </c>
      <c r="G26" s="246" t="s">
        <v>2294</v>
      </c>
      <c r="H26" s="247">
        <v>92</v>
      </c>
      <c r="I26" s="246" t="s">
        <v>1258</v>
      </c>
      <c r="J26" s="247">
        <v>553</v>
      </c>
      <c r="K26" s="246" t="s">
        <v>2295</v>
      </c>
      <c r="L26" s="246" t="s">
        <v>2296</v>
      </c>
      <c r="M26" s="246">
        <v>18</v>
      </c>
      <c r="N26" s="246"/>
      <c r="O26" s="246" t="s">
        <v>5596</v>
      </c>
      <c r="P26" s="246" t="s">
        <v>6425</v>
      </c>
      <c r="Q26" s="246" t="s">
        <v>5594</v>
      </c>
      <c r="R26" s="248"/>
    </row>
    <row r="27" spans="1:18" x14ac:dyDescent="0.7">
      <c r="A27" s="246" t="s">
        <v>5723</v>
      </c>
      <c r="B27" s="246" t="s">
        <v>5724</v>
      </c>
      <c r="C27" s="246" t="s">
        <v>2074</v>
      </c>
      <c r="D27" s="246" t="s">
        <v>1262</v>
      </c>
      <c r="E27" s="246">
        <v>12</v>
      </c>
      <c r="F27" s="246" t="s">
        <v>2293</v>
      </c>
      <c r="G27" s="246" t="s">
        <v>2294</v>
      </c>
      <c r="H27" s="247">
        <v>95</v>
      </c>
      <c r="I27" s="246" t="s">
        <v>1262</v>
      </c>
      <c r="J27" s="247">
        <v>513</v>
      </c>
      <c r="K27" s="246" t="s">
        <v>2303</v>
      </c>
      <c r="L27" s="246" t="s">
        <v>2296</v>
      </c>
      <c r="M27" s="246">
        <v>18</v>
      </c>
      <c r="N27" s="246"/>
      <c r="O27" s="246" t="s">
        <v>5725</v>
      </c>
      <c r="P27" s="246" t="s">
        <v>6425</v>
      </c>
      <c r="Q27" s="246" t="s">
        <v>5723</v>
      </c>
      <c r="R27" s="248"/>
    </row>
    <row r="28" spans="1:18" x14ac:dyDescent="0.7">
      <c r="A28" s="246" t="s">
        <v>3639</v>
      </c>
      <c r="B28" s="246" t="s">
        <v>3640</v>
      </c>
      <c r="C28" s="246" t="s">
        <v>6328</v>
      </c>
      <c r="D28" s="246" t="s">
        <v>1229</v>
      </c>
      <c r="E28" s="246">
        <v>6</v>
      </c>
      <c r="F28" s="246" t="s">
        <v>2293</v>
      </c>
      <c r="G28" s="246" t="s">
        <v>2294</v>
      </c>
      <c r="H28" s="247">
        <v>11</v>
      </c>
      <c r="I28" s="246" t="s">
        <v>1229</v>
      </c>
      <c r="J28" s="247">
        <v>594</v>
      </c>
      <c r="K28" s="246" t="s">
        <v>2303</v>
      </c>
      <c r="L28" s="246" t="s">
        <v>2296</v>
      </c>
      <c r="M28" s="246">
        <v>18</v>
      </c>
      <c r="N28" s="246"/>
      <c r="O28" s="246" t="s">
        <v>3641</v>
      </c>
      <c r="P28" s="246" t="s">
        <v>6425</v>
      </c>
      <c r="Q28" s="246" t="s">
        <v>3639</v>
      </c>
      <c r="R28" s="248"/>
    </row>
    <row r="29" spans="1:18" x14ac:dyDescent="0.7">
      <c r="A29" s="246" t="s">
        <v>3101</v>
      </c>
      <c r="B29" s="246" t="s">
        <v>3102</v>
      </c>
      <c r="C29" s="246" t="s">
        <v>6324</v>
      </c>
      <c r="D29" s="246" t="s">
        <v>3103</v>
      </c>
      <c r="E29" s="246">
        <v>4</v>
      </c>
      <c r="F29" s="246" t="s">
        <v>2293</v>
      </c>
      <c r="G29" s="246" t="s">
        <v>2294</v>
      </c>
      <c r="H29" s="247">
        <v>12</v>
      </c>
      <c r="I29" s="246" t="s">
        <v>1208</v>
      </c>
      <c r="J29" s="247">
        <v>611</v>
      </c>
      <c r="K29" s="246" t="s">
        <v>2295</v>
      </c>
      <c r="L29" s="246" t="s">
        <v>2296</v>
      </c>
      <c r="M29" s="246">
        <v>18</v>
      </c>
      <c r="N29" s="246"/>
      <c r="O29" s="246" t="s">
        <v>3104</v>
      </c>
      <c r="P29" s="246" t="s">
        <v>6425</v>
      </c>
      <c r="Q29" s="246" t="s">
        <v>3101</v>
      </c>
      <c r="R29" s="248"/>
    </row>
    <row r="30" spans="1:18" x14ac:dyDescent="0.7">
      <c r="A30" s="246" t="s">
        <v>3129</v>
      </c>
      <c r="B30" s="246" t="s">
        <v>3130</v>
      </c>
      <c r="C30" s="246" t="s">
        <v>1474</v>
      </c>
      <c r="D30" s="246" t="s">
        <v>1209</v>
      </c>
      <c r="E30" s="246">
        <v>4</v>
      </c>
      <c r="F30" s="246" t="s">
        <v>2301</v>
      </c>
      <c r="G30" s="246" t="s">
        <v>2302</v>
      </c>
      <c r="H30" s="247">
        <v>13</v>
      </c>
      <c r="I30" s="246" t="s">
        <v>1209</v>
      </c>
      <c r="J30" s="247">
        <v>408</v>
      </c>
      <c r="K30" s="246" t="s">
        <v>2303</v>
      </c>
      <c r="L30" s="246" t="s">
        <v>2295</v>
      </c>
      <c r="M30" s="246">
        <v>17</v>
      </c>
      <c r="N30" s="246"/>
      <c r="O30" s="246" t="s">
        <v>3131</v>
      </c>
      <c r="P30" s="246" t="s">
        <v>6428</v>
      </c>
      <c r="Q30" s="246" t="s">
        <v>3129</v>
      </c>
      <c r="R30" s="248"/>
    </row>
    <row r="31" spans="1:18" x14ac:dyDescent="0.7">
      <c r="A31" s="246" t="s">
        <v>3163</v>
      </c>
      <c r="B31" s="246" t="s">
        <v>3164</v>
      </c>
      <c r="C31" s="246" t="s">
        <v>1483</v>
      </c>
      <c r="D31" s="246" t="s">
        <v>3165</v>
      </c>
      <c r="E31" s="246">
        <v>4</v>
      </c>
      <c r="F31" s="246" t="s">
        <v>2301</v>
      </c>
      <c r="G31" s="246" t="s">
        <v>2302</v>
      </c>
      <c r="H31" s="247">
        <v>14</v>
      </c>
      <c r="I31" s="246" t="s">
        <v>1210</v>
      </c>
      <c r="J31" s="247">
        <v>208</v>
      </c>
      <c r="K31" s="246" t="s">
        <v>2295</v>
      </c>
      <c r="L31" s="246" t="s">
        <v>2304</v>
      </c>
      <c r="M31" s="246">
        <v>15</v>
      </c>
      <c r="N31" s="246"/>
      <c r="O31" s="246" t="s">
        <v>3166</v>
      </c>
      <c r="P31" s="246" t="s">
        <v>6429</v>
      </c>
      <c r="Q31" s="246" t="s">
        <v>3163</v>
      </c>
      <c r="R31" s="248"/>
    </row>
    <row r="32" spans="1:18" x14ac:dyDescent="0.7">
      <c r="A32" s="246" t="s">
        <v>3223</v>
      </c>
      <c r="B32" s="246" t="s">
        <v>3224</v>
      </c>
      <c r="C32" s="246" t="s">
        <v>1527</v>
      </c>
      <c r="D32" s="246" t="s">
        <v>1214</v>
      </c>
      <c r="E32" s="246">
        <v>4</v>
      </c>
      <c r="F32" s="246" t="s">
        <v>2301</v>
      </c>
      <c r="G32" s="246" t="s">
        <v>2302</v>
      </c>
      <c r="H32" s="247">
        <v>15</v>
      </c>
      <c r="I32" s="246" t="s">
        <v>1214</v>
      </c>
      <c r="J32" s="247">
        <v>324</v>
      </c>
      <c r="K32" s="246" t="s">
        <v>2303</v>
      </c>
      <c r="L32" s="246" t="s">
        <v>2295</v>
      </c>
      <c r="M32" s="246">
        <v>16</v>
      </c>
      <c r="N32" s="246"/>
      <c r="O32" s="246" t="s">
        <v>3225</v>
      </c>
      <c r="P32" s="246" t="s">
        <v>6430</v>
      </c>
      <c r="Q32" s="246" t="s">
        <v>3223</v>
      </c>
      <c r="R32" s="248"/>
    </row>
    <row r="33" spans="1:18" x14ac:dyDescent="0.7">
      <c r="A33" s="246" t="s">
        <v>3250</v>
      </c>
      <c r="B33" s="246" t="s">
        <v>3251</v>
      </c>
      <c r="C33" s="246" t="s">
        <v>1498</v>
      </c>
      <c r="D33" s="246" t="s">
        <v>3252</v>
      </c>
      <c r="E33" s="246">
        <v>4</v>
      </c>
      <c r="F33" s="246" t="s">
        <v>2301</v>
      </c>
      <c r="G33" s="246" t="s">
        <v>2302</v>
      </c>
      <c r="H33" s="247">
        <v>16</v>
      </c>
      <c r="I33" s="246" t="s">
        <v>1211</v>
      </c>
      <c r="J33" s="247">
        <v>561</v>
      </c>
      <c r="K33" s="246" t="s">
        <v>2295</v>
      </c>
      <c r="L33" s="246" t="s">
        <v>2295</v>
      </c>
      <c r="M33" s="246">
        <v>17</v>
      </c>
      <c r="N33" s="246"/>
      <c r="O33" s="246" t="s">
        <v>3253</v>
      </c>
      <c r="P33" s="246" t="s">
        <v>6428</v>
      </c>
      <c r="Q33" s="246" t="s">
        <v>3250</v>
      </c>
      <c r="R33" s="248"/>
    </row>
    <row r="34" spans="1:18" x14ac:dyDescent="0.7">
      <c r="A34" s="246" t="s">
        <v>3254</v>
      </c>
      <c r="B34" s="246" t="s">
        <v>3255</v>
      </c>
      <c r="C34" s="246" t="s">
        <v>1499</v>
      </c>
      <c r="D34" s="246" t="s">
        <v>3256</v>
      </c>
      <c r="E34" s="246">
        <v>4</v>
      </c>
      <c r="F34" s="246" t="s">
        <v>2301</v>
      </c>
      <c r="G34" s="246" t="s">
        <v>2302</v>
      </c>
      <c r="H34" s="247">
        <v>16</v>
      </c>
      <c r="I34" s="246" t="s">
        <v>1211</v>
      </c>
      <c r="J34" s="247">
        <v>258</v>
      </c>
      <c r="K34" s="246" t="s">
        <v>2295</v>
      </c>
      <c r="L34" s="246" t="s">
        <v>2304</v>
      </c>
      <c r="M34" s="246">
        <v>15</v>
      </c>
      <c r="N34" s="246"/>
      <c r="O34" s="246" t="s">
        <v>3257</v>
      </c>
      <c r="P34" s="246" t="s">
        <v>6429</v>
      </c>
      <c r="Q34" s="246" t="s">
        <v>3254</v>
      </c>
      <c r="R34" s="248"/>
    </row>
    <row r="35" spans="1:18" x14ac:dyDescent="0.7">
      <c r="A35" s="246" t="s">
        <v>3294</v>
      </c>
      <c r="B35" s="246" t="s">
        <v>3295</v>
      </c>
      <c r="C35" s="246" t="s">
        <v>1521</v>
      </c>
      <c r="D35" s="246" t="s">
        <v>1213</v>
      </c>
      <c r="E35" s="246">
        <v>4</v>
      </c>
      <c r="F35" s="246" t="s">
        <v>2301</v>
      </c>
      <c r="G35" s="246" t="s">
        <v>2302</v>
      </c>
      <c r="H35" s="247">
        <v>17</v>
      </c>
      <c r="I35" s="246" t="s">
        <v>1213</v>
      </c>
      <c r="J35" s="247">
        <v>282</v>
      </c>
      <c r="K35" s="246" t="s">
        <v>2295</v>
      </c>
      <c r="L35" s="246" t="s">
        <v>2295</v>
      </c>
      <c r="M35" s="246">
        <v>16</v>
      </c>
      <c r="N35" s="246"/>
      <c r="O35" s="246" t="s">
        <v>3296</v>
      </c>
      <c r="P35" s="246" t="s">
        <v>6430</v>
      </c>
      <c r="Q35" s="246" t="s">
        <v>3294</v>
      </c>
      <c r="R35" s="248"/>
    </row>
    <row r="36" spans="1:18" x14ac:dyDescent="0.7">
      <c r="A36" s="246" t="s">
        <v>3297</v>
      </c>
      <c r="B36" s="246" t="s">
        <v>3298</v>
      </c>
      <c r="C36" s="246" t="s">
        <v>1522</v>
      </c>
      <c r="D36" s="246" t="s">
        <v>3299</v>
      </c>
      <c r="E36" s="246">
        <v>4</v>
      </c>
      <c r="F36" s="246" t="s">
        <v>2301</v>
      </c>
      <c r="G36" s="246" t="s">
        <v>2302</v>
      </c>
      <c r="H36" s="247">
        <v>17</v>
      </c>
      <c r="I36" s="246" t="s">
        <v>1213</v>
      </c>
      <c r="J36" s="247">
        <v>150</v>
      </c>
      <c r="K36" s="246" t="s">
        <v>2303</v>
      </c>
      <c r="L36" s="246" t="s">
        <v>2304</v>
      </c>
      <c r="M36" s="246">
        <v>14</v>
      </c>
      <c r="N36" s="246"/>
      <c r="O36" s="246" t="s">
        <v>3300</v>
      </c>
      <c r="P36" s="246" t="s">
        <v>6431</v>
      </c>
      <c r="Q36" s="246" t="s">
        <v>3297</v>
      </c>
      <c r="R36" s="248"/>
    </row>
    <row r="37" spans="1:18" x14ac:dyDescent="0.7">
      <c r="A37" s="246" t="s">
        <v>2891</v>
      </c>
      <c r="B37" s="246" t="s">
        <v>2892</v>
      </c>
      <c r="C37" s="246" t="s">
        <v>1423</v>
      </c>
      <c r="D37" s="246" t="s">
        <v>2893</v>
      </c>
      <c r="E37" s="246">
        <v>3</v>
      </c>
      <c r="F37" s="246" t="s">
        <v>2301</v>
      </c>
      <c r="G37" s="246" t="s">
        <v>2302</v>
      </c>
      <c r="H37" s="247">
        <v>18</v>
      </c>
      <c r="I37" s="246" t="s">
        <v>1203</v>
      </c>
      <c r="J37" s="247">
        <v>353</v>
      </c>
      <c r="K37" s="246" t="s">
        <v>2295</v>
      </c>
      <c r="L37" s="246" t="s">
        <v>2295</v>
      </c>
      <c r="M37" s="246">
        <v>16</v>
      </c>
      <c r="N37" s="246"/>
      <c r="O37" s="246" t="s">
        <v>2894</v>
      </c>
      <c r="P37" s="246" t="s">
        <v>6430</v>
      </c>
      <c r="Q37" s="246" t="s">
        <v>2891</v>
      </c>
      <c r="R37" s="248"/>
    </row>
    <row r="38" spans="1:18" x14ac:dyDescent="0.7">
      <c r="A38" s="246" t="s">
        <v>3320</v>
      </c>
      <c r="B38" s="246" t="s">
        <v>3321</v>
      </c>
      <c r="C38" s="246" t="s">
        <v>1510</v>
      </c>
      <c r="D38" s="246" t="s">
        <v>3322</v>
      </c>
      <c r="E38" s="246">
        <v>4</v>
      </c>
      <c r="F38" s="246" t="s">
        <v>2301</v>
      </c>
      <c r="G38" s="246" t="s">
        <v>2302</v>
      </c>
      <c r="H38" s="247">
        <v>19</v>
      </c>
      <c r="I38" s="246" t="s">
        <v>1212</v>
      </c>
      <c r="J38" s="247">
        <v>315</v>
      </c>
      <c r="K38" s="246" t="s">
        <v>2303</v>
      </c>
      <c r="L38" s="246" t="s">
        <v>2304</v>
      </c>
      <c r="M38" s="246">
        <v>15</v>
      </c>
      <c r="N38" s="246"/>
      <c r="O38" s="246" t="s">
        <v>3323</v>
      </c>
      <c r="P38" s="246" t="s">
        <v>6429</v>
      </c>
      <c r="Q38" s="246" t="s">
        <v>3320</v>
      </c>
      <c r="R38" s="248"/>
    </row>
    <row r="39" spans="1:18" x14ac:dyDescent="0.7">
      <c r="A39" s="246" t="s">
        <v>3790</v>
      </c>
      <c r="B39" s="246" t="s">
        <v>3791</v>
      </c>
      <c r="C39" s="246" t="s">
        <v>1632</v>
      </c>
      <c r="D39" s="246" t="s">
        <v>1226</v>
      </c>
      <c r="E39" s="246">
        <v>6</v>
      </c>
      <c r="F39" s="246" t="s">
        <v>2301</v>
      </c>
      <c r="G39" s="246" t="s">
        <v>2302</v>
      </c>
      <c r="H39" s="247">
        <v>23</v>
      </c>
      <c r="I39" s="246" t="s">
        <v>1226</v>
      </c>
      <c r="J39" s="247">
        <v>378</v>
      </c>
      <c r="K39" s="246" t="s">
        <v>2303</v>
      </c>
      <c r="L39" s="246" t="s">
        <v>2295</v>
      </c>
      <c r="M39" s="246">
        <v>16</v>
      </c>
      <c r="N39" s="246"/>
      <c r="O39" s="246" t="s">
        <v>3792</v>
      </c>
      <c r="P39" s="246" t="s">
        <v>6430</v>
      </c>
      <c r="Q39" s="246" t="s">
        <v>3790</v>
      </c>
      <c r="R39" s="248"/>
    </row>
    <row r="40" spans="1:18" x14ac:dyDescent="0.7">
      <c r="A40" s="246" t="s">
        <v>3817</v>
      </c>
      <c r="B40" s="246" t="s">
        <v>3818</v>
      </c>
      <c r="C40" s="246" t="s">
        <v>6326</v>
      </c>
      <c r="D40" s="246" t="s">
        <v>3819</v>
      </c>
      <c r="E40" s="246">
        <v>6</v>
      </c>
      <c r="F40" s="246" t="s">
        <v>2293</v>
      </c>
      <c r="G40" s="246" t="s">
        <v>2294</v>
      </c>
      <c r="H40" s="247">
        <v>24</v>
      </c>
      <c r="I40" s="246" t="s">
        <v>1224</v>
      </c>
      <c r="J40" s="247">
        <v>595</v>
      </c>
      <c r="K40" s="246" t="s">
        <v>2303</v>
      </c>
      <c r="L40" s="246" t="s">
        <v>2296</v>
      </c>
      <c r="M40" s="246">
        <v>18</v>
      </c>
      <c r="N40" s="246"/>
      <c r="O40" s="246" t="s">
        <v>3820</v>
      </c>
      <c r="P40" s="246" t="s">
        <v>6425</v>
      </c>
      <c r="Q40" s="246" t="s">
        <v>3817</v>
      </c>
      <c r="R40" s="248"/>
    </row>
    <row r="41" spans="1:18" x14ac:dyDescent="0.7">
      <c r="A41" s="246" t="s">
        <v>3364</v>
      </c>
      <c r="B41" s="246" t="s">
        <v>3365</v>
      </c>
      <c r="C41" s="246" t="s">
        <v>1464</v>
      </c>
      <c r="D41" s="246" t="s">
        <v>1207</v>
      </c>
      <c r="E41" s="246">
        <v>4</v>
      </c>
      <c r="F41" s="246" t="s">
        <v>2301</v>
      </c>
      <c r="G41" s="246" t="s">
        <v>2302</v>
      </c>
      <c r="H41" s="247">
        <v>26</v>
      </c>
      <c r="I41" s="246" t="s">
        <v>1207</v>
      </c>
      <c r="J41" s="247">
        <v>314</v>
      </c>
      <c r="K41" s="246" t="s">
        <v>2303</v>
      </c>
      <c r="L41" s="246" t="s">
        <v>2295</v>
      </c>
      <c r="M41" s="246">
        <v>16</v>
      </c>
      <c r="N41" s="246"/>
      <c r="O41" s="246" t="s">
        <v>3366</v>
      </c>
      <c r="P41" s="246" t="s">
        <v>6430</v>
      </c>
      <c r="Q41" s="246" t="s">
        <v>3364</v>
      </c>
      <c r="R41" s="248"/>
    </row>
    <row r="42" spans="1:18" x14ac:dyDescent="0.7">
      <c r="A42" s="246" t="s">
        <v>3889</v>
      </c>
      <c r="B42" s="246" t="s">
        <v>3890</v>
      </c>
      <c r="C42" s="246" t="s">
        <v>1657</v>
      </c>
      <c r="D42" s="246" t="s">
        <v>3891</v>
      </c>
      <c r="E42" s="246">
        <v>6</v>
      </c>
      <c r="F42" s="246" t="s">
        <v>2301</v>
      </c>
      <c r="G42" s="246" t="s">
        <v>2302</v>
      </c>
      <c r="H42" s="247">
        <v>27</v>
      </c>
      <c r="I42" s="246" t="s">
        <v>1230</v>
      </c>
      <c r="J42" s="247">
        <v>441</v>
      </c>
      <c r="K42" s="246" t="s">
        <v>2303</v>
      </c>
      <c r="L42" s="246" t="s">
        <v>2295</v>
      </c>
      <c r="M42" s="246">
        <v>17</v>
      </c>
      <c r="N42" s="246"/>
      <c r="O42" s="246" t="s">
        <v>3892</v>
      </c>
      <c r="P42" s="246" t="s">
        <v>6428</v>
      </c>
      <c r="Q42" s="246" t="s">
        <v>3889</v>
      </c>
      <c r="R42" s="248"/>
    </row>
    <row r="43" spans="1:18" x14ac:dyDescent="0.7">
      <c r="A43" s="246" t="s">
        <v>4912</v>
      </c>
      <c r="B43" s="246" t="s">
        <v>4913</v>
      </c>
      <c r="C43" s="246" t="s">
        <v>6330</v>
      </c>
      <c r="D43" s="246" t="s">
        <v>1248</v>
      </c>
      <c r="E43" s="246">
        <v>10</v>
      </c>
      <c r="F43" s="246" t="s">
        <v>2293</v>
      </c>
      <c r="G43" s="246" t="s">
        <v>2294</v>
      </c>
      <c r="H43" s="247">
        <v>33</v>
      </c>
      <c r="I43" s="246" t="s">
        <v>1248</v>
      </c>
      <c r="J43" s="247">
        <v>809</v>
      </c>
      <c r="K43" s="246" t="s">
        <v>2295</v>
      </c>
      <c r="L43" s="246" t="s">
        <v>2296</v>
      </c>
      <c r="M43" s="246">
        <v>19</v>
      </c>
      <c r="N43" s="246"/>
      <c r="O43" s="246" t="s">
        <v>4914</v>
      </c>
      <c r="P43" s="246" t="s">
        <v>6426</v>
      </c>
      <c r="Q43" s="246" t="s">
        <v>4912</v>
      </c>
      <c r="R43" s="248"/>
    </row>
    <row r="44" spans="1:18" x14ac:dyDescent="0.7">
      <c r="A44" s="246" t="s">
        <v>5099</v>
      </c>
      <c r="B44" s="246" t="s">
        <v>5100</v>
      </c>
      <c r="C44" s="246" t="s">
        <v>1898</v>
      </c>
      <c r="D44" s="246" t="s">
        <v>1247</v>
      </c>
      <c r="E44" s="246">
        <v>10</v>
      </c>
      <c r="F44" s="246" t="s">
        <v>2301</v>
      </c>
      <c r="G44" s="246" t="s">
        <v>2302</v>
      </c>
      <c r="H44" s="247">
        <v>35</v>
      </c>
      <c r="I44" s="246" t="s">
        <v>1247</v>
      </c>
      <c r="J44" s="247">
        <v>424</v>
      </c>
      <c r="K44" s="246" t="s">
        <v>2303</v>
      </c>
      <c r="L44" s="246" t="s">
        <v>2295</v>
      </c>
      <c r="M44" s="246">
        <v>17</v>
      </c>
      <c r="N44" s="246"/>
      <c r="O44" s="246" t="s">
        <v>5101</v>
      </c>
      <c r="P44" s="246" t="s">
        <v>6428</v>
      </c>
      <c r="Q44" s="246" t="s">
        <v>5099</v>
      </c>
      <c r="R44" s="248"/>
    </row>
    <row r="45" spans="1:18" x14ac:dyDescent="0.7">
      <c r="A45" s="246" t="s">
        <v>4853</v>
      </c>
      <c r="B45" s="246" t="s">
        <v>4854</v>
      </c>
      <c r="C45" s="246" t="s">
        <v>1810</v>
      </c>
      <c r="D45" s="246" t="s">
        <v>1242</v>
      </c>
      <c r="E45" s="246">
        <v>9</v>
      </c>
      <c r="F45" s="246" t="s">
        <v>2301</v>
      </c>
      <c r="G45" s="246" t="s">
        <v>2302</v>
      </c>
      <c r="H45" s="247">
        <v>36</v>
      </c>
      <c r="I45" s="246" t="s">
        <v>1242</v>
      </c>
      <c r="J45" s="247">
        <v>678</v>
      </c>
      <c r="K45" s="246" t="s">
        <v>2303</v>
      </c>
      <c r="L45" s="246" t="s">
        <v>2295</v>
      </c>
      <c r="M45" s="246">
        <v>17</v>
      </c>
      <c r="N45" s="246"/>
      <c r="O45" s="246" t="s">
        <v>4855</v>
      </c>
      <c r="P45" s="246" t="s">
        <v>6428</v>
      </c>
      <c r="Q45" s="246" t="s">
        <v>4853</v>
      </c>
      <c r="R45" s="248"/>
    </row>
    <row r="46" spans="1:18" x14ac:dyDescent="0.7">
      <c r="A46" s="246" t="s">
        <v>5134</v>
      </c>
      <c r="B46" s="246" t="s">
        <v>5135</v>
      </c>
      <c r="C46" s="246" t="s">
        <v>1927</v>
      </c>
      <c r="D46" s="246" t="s">
        <v>1249</v>
      </c>
      <c r="E46" s="246">
        <v>10</v>
      </c>
      <c r="F46" s="246" t="s">
        <v>2301</v>
      </c>
      <c r="G46" s="246" t="s">
        <v>2302</v>
      </c>
      <c r="H46" s="247">
        <v>37</v>
      </c>
      <c r="I46" s="246" t="s">
        <v>1249</v>
      </c>
      <c r="J46" s="247">
        <v>406</v>
      </c>
      <c r="K46" s="246" t="s">
        <v>2303</v>
      </c>
      <c r="L46" s="246" t="s">
        <v>2295</v>
      </c>
      <c r="M46" s="246">
        <v>17</v>
      </c>
      <c r="N46" s="246"/>
      <c r="O46" s="246" t="s">
        <v>5136</v>
      </c>
      <c r="P46" s="246" t="s">
        <v>6428</v>
      </c>
      <c r="Q46" s="246" t="s">
        <v>5134</v>
      </c>
      <c r="R46" s="248"/>
    </row>
    <row r="47" spans="1:18" x14ac:dyDescent="0.7">
      <c r="A47" s="246" t="s">
        <v>4257</v>
      </c>
      <c r="B47" s="246" t="s">
        <v>4258</v>
      </c>
      <c r="C47" s="246" t="s">
        <v>1783</v>
      </c>
      <c r="D47" s="246" t="s">
        <v>1240</v>
      </c>
      <c r="E47" s="246">
        <v>8</v>
      </c>
      <c r="F47" s="246" t="s">
        <v>2301</v>
      </c>
      <c r="G47" s="246" t="s">
        <v>2302</v>
      </c>
      <c r="H47" s="247">
        <v>39</v>
      </c>
      <c r="I47" s="246" t="s">
        <v>1240</v>
      </c>
      <c r="J47" s="247">
        <v>351</v>
      </c>
      <c r="K47" s="246" t="s">
        <v>2303</v>
      </c>
      <c r="L47" s="246" t="s">
        <v>2295</v>
      </c>
      <c r="M47" s="246">
        <v>16</v>
      </c>
      <c r="N47" s="246"/>
      <c r="O47" s="246" t="s">
        <v>4259</v>
      </c>
      <c r="P47" s="246" t="s">
        <v>6430</v>
      </c>
      <c r="Q47" s="246" t="s">
        <v>4257</v>
      </c>
      <c r="R47" s="248"/>
    </row>
    <row r="48" spans="1:18" x14ac:dyDescent="0.7">
      <c r="A48" s="246" t="s">
        <v>4361</v>
      </c>
      <c r="B48" s="246" t="s">
        <v>4362</v>
      </c>
      <c r="C48" s="246" t="s">
        <v>1747</v>
      </c>
      <c r="D48" s="246" t="s">
        <v>1237</v>
      </c>
      <c r="E48" s="246">
        <v>8</v>
      </c>
      <c r="F48" s="246" t="s">
        <v>2301</v>
      </c>
      <c r="G48" s="246" t="s">
        <v>2302</v>
      </c>
      <c r="H48" s="247">
        <v>42</v>
      </c>
      <c r="I48" s="246" t="s">
        <v>1237</v>
      </c>
      <c r="J48" s="247">
        <v>541</v>
      </c>
      <c r="K48" s="246" t="s">
        <v>2295</v>
      </c>
      <c r="L48" s="246" t="s">
        <v>2295</v>
      </c>
      <c r="M48" s="246">
        <v>17</v>
      </c>
      <c r="N48" s="246"/>
      <c r="O48" s="246" t="s">
        <v>4363</v>
      </c>
      <c r="P48" s="246" t="s">
        <v>6428</v>
      </c>
      <c r="Q48" s="246" t="s">
        <v>4361</v>
      </c>
      <c r="R48" s="248"/>
    </row>
    <row r="49" spans="1:18" x14ac:dyDescent="0.7">
      <c r="A49" s="246" t="s">
        <v>4416</v>
      </c>
      <c r="B49" s="246" t="s">
        <v>4417</v>
      </c>
      <c r="C49" s="246" t="s">
        <v>1777</v>
      </c>
      <c r="D49" s="246" t="s">
        <v>1239</v>
      </c>
      <c r="E49" s="246">
        <v>8</v>
      </c>
      <c r="F49" s="246" t="s">
        <v>2301</v>
      </c>
      <c r="G49" s="246" t="s">
        <v>2302</v>
      </c>
      <c r="H49" s="247">
        <v>43</v>
      </c>
      <c r="I49" s="246" t="s">
        <v>1239</v>
      </c>
      <c r="J49" s="247">
        <v>420</v>
      </c>
      <c r="K49" s="246" t="s">
        <v>2295</v>
      </c>
      <c r="L49" s="246" t="s">
        <v>2295</v>
      </c>
      <c r="M49" s="246">
        <v>17</v>
      </c>
      <c r="N49" s="246"/>
      <c r="O49" s="246" t="s">
        <v>4418</v>
      </c>
      <c r="P49" s="246" t="s">
        <v>6428</v>
      </c>
      <c r="Q49" s="246" t="s">
        <v>4416</v>
      </c>
      <c r="R49" s="248"/>
    </row>
    <row r="50" spans="1:18" x14ac:dyDescent="0.7">
      <c r="A50" s="246" t="s">
        <v>4028</v>
      </c>
      <c r="B50" s="246" t="s">
        <v>4029</v>
      </c>
      <c r="C50" s="246" t="s">
        <v>1698</v>
      </c>
      <c r="D50" s="246" t="s">
        <v>1233</v>
      </c>
      <c r="E50" s="246">
        <v>7</v>
      </c>
      <c r="F50" s="246" t="s">
        <v>2301</v>
      </c>
      <c r="G50" s="246" t="s">
        <v>2302</v>
      </c>
      <c r="H50" s="247">
        <v>44</v>
      </c>
      <c r="I50" s="246" t="s">
        <v>1233</v>
      </c>
      <c r="J50" s="247">
        <v>540</v>
      </c>
      <c r="K50" s="246" t="s">
        <v>2303</v>
      </c>
      <c r="L50" s="246" t="s">
        <v>2295</v>
      </c>
      <c r="M50" s="246">
        <v>17</v>
      </c>
      <c r="N50" s="246"/>
      <c r="O50" s="246" t="s">
        <v>4030</v>
      </c>
      <c r="P50" s="246" t="s">
        <v>6428</v>
      </c>
      <c r="Q50" s="246" t="s">
        <v>4028</v>
      </c>
      <c r="R50" s="248"/>
    </row>
    <row r="51" spans="1:18" x14ac:dyDescent="0.7">
      <c r="A51" s="246" t="s">
        <v>4079</v>
      </c>
      <c r="B51" s="246" t="s">
        <v>4080</v>
      </c>
      <c r="C51" s="246" t="s">
        <v>6329</v>
      </c>
      <c r="D51" s="246" t="s">
        <v>1234</v>
      </c>
      <c r="E51" s="246">
        <v>7</v>
      </c>
      <c r="F51" s="246" t="s">
        <v>2293</v>
      </c>
      <c r="G51" s="246" t="s">
        <v>2294</v>
      </c>
      <c r="H51" s="247">
        <v>45</v>
      </c>
      <c r="I51" s="246" t="s">
        <v>1234</v>
      </c>
      <c r="J51" s="247">
        <v>879</v>
      </c>
      <c r="K51" s="246" t="s">
        <v>2303</v>
      </c>
      <c r="L51" s="246" t="s">
        <v>2296</v>
      </c>
      <c r="M51" s="246">
        <v>19</v>
      </c>
      <c r="N51" s="246"/>
      <c r="O51" s="246" t="s">
        <v>4081</v>
      </c>
      <c r="P51" s="246" t="s">
        <v>6426</v>
      </c>
      <c r="Q51" s="246" t="s">
        <v>4079</v>
      </c>
      <c r="R51" s="248"/>
    </row>
    <row r="52" spans="1:18" x14ac:dyDescent="0.7">
      <c r="A52" s="246" t="s">
        <v>4156</v>
      </c>
      <c r="B52" s="246" t="s">
        <v>4157</v>
      </c>
      <c r="C52" s="246" t="s">
        <v>1663</v>
      </c>
      <c r="D52" s="246" t="s">
        <v>1231</v>
      </c>
      <c r="E52" s="246">
        <v>7</v>
      </c>
      <c r="F52" s="246" t="s">
        <v>2301</v>
      </c>
      <c r="G52" s="246" t="s">
        <v>2302</v>
      </c>
      <c r="H52" s="247">
        <v>46</v>
      </c>
      <c r="I52" s="246" t="s">
        <v>1231</v>
      </c>
      <c r="J52" s="247">
        <v>535</v>
      </c>
      <c r="K52" s="246" t="s">
        <v>2303</v>
      </c>
      <c r="L52" s="246" t="s">
        <v>2295</v>
      </c>
      <c r="M52" s="246">
        <v>17</v>
      </c>
      <c r="N52" s="246"/>
      <c r="O52" s="246" t="s">
        <v>4158</v>
      </c>
      <c r="P52" s="246" t="s">
        <v>6428</v>
      </c>
      <c r="Q52" s="246" t="s">
        <v>4156</v>
      </c>
      <c r="R52" s="248"/>
    </row>
    <row r="53" spans="1:18" x14ac:dyDescent="0.7">
      <c r="A53" s="246" t="s">
        <v>4451</v>
      </c>
      <c r="B53" s="246" t="s">
        <v>4452</v>
      </c>
      <c r="C53" s="246" t="s">
        <v>1760</v>
      </c>
      <c r="D53" s="246" t="s">
        <v>1238</v>
      </c>
      <c r="E53" s="246">
        <v>8</v>
      </c>
      <c r="F53" s="246" t="s">
        <v>2293</v>
      </c>
      <c r="G53" s="246" t="s">
        <v>2294</v>
      </c>
      <c r="H53" s="247">
        <v>47</v>
      </c>
      <c r="I53" s="246" t="s">
        <v>1238</v>
      </c>
      <c r="J53" s="247">
        <v>909</v>
      </c>
      <c r="K53" s="246" t="s">
        <v>2295</v>
      </c>
      <c r="L53" s="246" t="s">
        <v>2296</v>
      </c>
      <c r="M53" s="246">
        <v>19</v>
      </c>
      <c r="N53" s="246"/>
      <c r="O53" s="246" t="s">
        <v>4453</v>
      </c>
      <c r="P53" s="246" t="s">
        <v>6426</v>
      </c>
      <c r="Q53" s="246" t="s">
        <v>4451</v>
      </c>
      <c r="R53" s="248"/>
    </row>
    <row r="54" spans="1:18" x14ac:dyDescent="0.7">
      <c r="A54" s="246" t="s">
        <v>4522</v>
      </c>
      <c r="B54" s="246" t="s">
        <v>4523</v>
      </c>
      <c r="C54" s="246" t="s">
        <v>1728</v>
      </c>
      <c r="D54" s="246" t="s">
        <v>1235</v>
      </c>
      <c r="E54" s="246">
        <v>8</v>
      </c>
      <c r="F54" s="246" t="s">
        <v>2301</v>
      </c>
      <c r="G54" s="246" t="s">
        <v>2302</v>
      </c>
      <c r="H54" s="247">
        <v>48</v>
      </c>
      <c r="I54" s="246" t="s">
        <v>1235</v>
      </c>
      <c r="J54" s="247">
        <v>372</v>
      </c>
      <c r="K54" s="246" t="s">
        <v>2303</v>
      </c>
      <c r="L54" s="246" t="s">
        <v>2295</v>
      </c>
      <c r="M54" s="246">
        <v>16</v>
      </c>
      <c r="N54" s="246"/>
      <c r="O54" s="246" t="s">
        <v>4524</v>
      </c>
      <c r="P54" s="246" t="s">
        <v>6430</v>
      </c>
      <c r="Q54" s="246" t="s">
        <v>4522</v>
      </c>
      <c r="R54" s="248"/>
    </row>
    <row r="55" spans="1:18" x14ac:dyDescent="0.7">
      <c r="A55" s="246" t="s">
        <v>5161</v>
      </c>
      <c r="B55" s="246" t="s">
        <v>5162</v>
      </c>
      <c r="C55" s="246" t="s">
        <v>1891</v>
      </c>
      <c r="D55" s="246" t="s">
        <v>1246</v>
      </c>
      <c r="E55" s="246">
        <v>10</v>
      </c>
      <c r="F55" s="246" t="s">
        <v>2301</v>
      </c>
      <c r="G55" s="246" t="s">
        <v>2302</v>
      </c>
      <c r="H55" s="247">
        <v>49</v>
      </c>
      <c r="I55" s="246" t="s">
        <v>1246</v>
      </c>
      <c r="J55" s="247">
        <v>422</v>
      </c>
      <c r="K55" s="246" t="s">
        <v>2303</v>
      </c>
      <c r="L55" s="246" t="s">
        <v>2295</v>
      </c>
      <c r="M55" s="246">
        <v>17</v>
      </c>
      <c r="N55" s="246"/>
      <c r="O55" s="246" t="s">
        <v>5163</v>
      </c>
      <c r="P55" s="246" t="s">
        <v>6428</v>
      </c>
      <c r="Q55" s="246" t="s">
        <v>5161</v>
      </c>
      <c r="R55" s="248"/>
    </row>
    <row r="56" spans="1:18" x14ac:dyDescent="0.7">
      <c r="A56" s="246" t="s">
        <v>2290</v>
      </c>
      <c r="B56" s="246" t="s">
        <v>2291</v>
      </c>
      <c r="C56" s="246" t="s">
        <v>1285</v>
      </c>
      <c r="D56" s="246" t="s">
        <v>2292</v>
      </c>
      <c r="E56" s="246">
        <v>1</v>
      </c>
      <c r="F56" s="246" t="s">
        <v>2293</v>
      </c>
      <c r="G56" s="246" t="s">
        <v>2294</v>
      </c>
      <c r="H56" s="247">
        <v>50</v>
      </c>
      <c r="I56" s="246" t="s">
        <v>1190</v>
      </c>
      <c r="J56" s="247">
        <v>742</v>
      </c>
      <c r="K56" s="246" t="s">
        <v>2295</v>
      </c>
      <c r="L56" s="246" t="s">
        <v>2296</v>
      </c>
      <c r="M56" s="246">
        <v>19</v>
      </c>
      <c r="N56" s="246"/>
      <c r="O56" s="246" t="s">
        <v>2297</v>
      </c>
      <c r="P56" s="246" t="s">
        <v>6426</v>
      </c>
      <c r="Q56" s="246" t="s">
        <v>2290</v>
      </c>
      <c r="R56" s="248"/>
    </row>
    <row r="57" spans="1:18" x14ac:dyDescent="0.7">
      <c r="A57" s="246" t="s">
        <v>2400</v>
      </c>
      <c r="B57" s="246" t="s">
        <v>2401</v>
      </c>
      <c r="C57" s="246" t="s">
        <v>1356</v>
      </c>
      <c r="D57" s="246" t="s">
        <v>1196</v>
      </c>
      <c r="E57" s="246">
        <v>1</v>
      </c>
      <c r="F57" s="246" t="s">
        <v>2301</v>
      </c>
      <c r="G57" s="246" t="s">
        <v>2302</v>
      </c>
      <c r="H57" s="247">
        <v>51</v>
      </c>
      <c r="I57" s="246" t="s">
        <v>1196</v>
      </c>
      <c r="J57" s="247">
        <v>411</v>
      </c>
      <c r="K57" s="246" t="s">
        <v>2295</v>
      </c>
      <c r="L57" s="246" t="s">
        <v>2295</v>
      </c>
      <c r="M57" s="246">
        <v>17</v>
      </c>
      <c r="N57" s="246"/>
      <c r="O57" s="246" t="s">
        <v>2402</v>
      </c>
      <c r="P57" s="246" t="s">
        <v>6428</v>
      </c>
      <c r="Q57" s="246" t="s">
        <v>2400</v>
      </c>
      <c r="R57" s="248"/>
    </row>
    <row r="58" spans="1:18" x14ac:dyDescent="0.7">
      <c r="A58" s="246" t="s">
        <v>2482</v>
      </c>
      <c r="B58" s="246" t="s">
        <v>2483</v>
      </c>
      <c r="C58" s="246" t="s">
        <v>1328</v>
      </c>
      <c r="D58" s="246" t="s">
        <v>1193</v>
      </c>
      <c r="E58" s="246">
        <v>1</v>
      </c>
      <c r="F58" s="246" t="s">
        <v>2301</v>
      </c>
      <c r="G58" s="246" t="s">
        <v>2302</v>
      </c>
      <c r="H58" s="247">
        <v>54</v>
      </c>
      <c r="I58" s="246" t="s">
        <v>1193</v>
      </c>
      <c r="J58" s="247">
        <v>502</v>
      </c>
      <c r="K58" s="246" t="s">
        <v>2303</v>
      </c>
      <c r="L58" s="246" t="s">
        <v>2295</v>
      </c>
      <c r="M58" s="246">
        <v>17</v>
      </c>
      <c r="N58" s="246"/>
      <c r="O58" s="246" t="s">
        <v>2484</v>
      </c>
      <c r="P58" s="246" t="s">
        <v>6428</v>
      </c>
      <c r="Q58" s="246" t="s">
        <v>2482</v>
      </c>
      <c r="R58" s="248"/>
    </row>
    <row r="59" spans="1:18" x14ac:dyDescent="0.7">
      <c r="A59" s="246" t="s">
        <v>2513</v>
      </c>
      <c r="B59" s="246" t="s">
        <v>2514</v>
      </c>
      <c r="C59" s="246" t="s">
        <v>1306</v>
      </c>
      <c r="D59" s="246" t="s">
        <v>1191</v>
      </c>
      <c r="E59" s="246">
        <v>1</v>
      </c>
      <c r="F59" s="246" t="s">
        <v>2301</v>
      </c>
      <c r="G59" s="246" t="s">
        <v>2302</v>
      </c>
      <c r="H59" s="247">
        <v>55</v>
      </c>
      <c r="I59" s="246" t="s">
        <v>1191</v>
      </c>
      <c r="J59" s="247">
        <v>502</v>
      </c>
      <c r="K59" s="246" t="s">
        <v>2303</v>
      </c>
      <c r="L59" s="246" t="s">
        <v>2295</v>
      </c>
      <c r="M59" s="246">
        <v>17</v>
      </c>
      <c r="N59" s="246"/>
      <c r="O59" s="246" t="s">
        <v>2515</v>
      </c>
      <c r="P59" s="246" t="s">
        <v>6428</v>
      </c>
      <c r="Q59" s="246" t="s">
        <v>2513</v>
      </c>
      <c r="R59" s="248"/>
    </row>
    <row r="60" spans="1:18" x14ac:dyDescent="0.7">
      <c r="A60" s="246" t="s">
        <v>2571</v>
      </c>
      <c r="B60" s="246" t="s">
        <v>2572</v>
      </c>
      <c r="C60" s="246" t="s">
        <v>1321</v>
      </c>
      <c r="D60" s="246" t="s">
        <v>1192</v>
      </c>
      <c r="E60" s="246">
        <v>1</v>
      </c>
      <c r="F60" s="246" t="s">
        <v>2301</v>
      </c>
      <c r="G60" s="246" t="s">
        <v>2302</v>
      </c>
      <c r="H60" s="247">
        <v>56</v>
      </c>
      <c r="I60" s="246" t="s">
        <v>1192</v>
      </c>
      <c r="J60" s="247">
        <v>400</v>
      </c>
      <c r="K60" s="246" t="s">
        <v>2295</v>
      </c>
      <c r="L60" s="246" t="s">
        <v>2295</v>
      </c>
      <c r="M60" s="246">
        <v>16</v>
      </c>
      <c r="N60" s="246"/>
      <c r="O60" s="246" t="s">
        <v>2573</v>
      </c>
      <c r="P60" s="246" t="s">
        <v>6430</v>
      </c>
      <c r="Q60" s="246" t="s">
        <v>2571</v>
      </c>
      <c r="R60" s="248"/>
    </row>
    <row r="61" spans="1:18" x14ac:dyDescent="0.7">
      <c r="A61" s="246" t="s">
        <v>2574</v>
      </c>
      <c r="B61" s="246" t="s">
        <v>2575</v>
      </c>
      <c r="C61" s="246" t="s">
        <v>1322</v>
      </c>
      <c r="D61" s="246" t="s">
        <v>2576</v>
      </c>
      <c r="E61" s="246">
        <v>1</v>
      </c>
      <c r="F61" s="246" t="s">
        <v>2301</v>
      </c>
      <c r="G61" s="246" t="s">
        <v>2302</v>
      </c>
      <c r="H61" s="247">
        <v>56</v>
      </c>
      <c r="I61" s="246" t="s">
        <v>1192</v>
      </c>
      <c r="J61" s="247">
        <v>241</v>
      </c>
      <c r="K61" s="246" t="s">
        <v>2295</v>
      </c>
      <c r="L61" s="246" t="s">
        <v>2304</v>
      </c>
      <c r="M61" s="246">
        <v>15</v>
      </c>
      <c r="N61" s="246"/>
      <c r="O61" s="246" t="s">
        <v>2577</v>
      </c>
      <c r="P61" s="246" t="s">
        <v>6429</v>
      </c>
      <c r="Q61" s="246" t="s">
        <v>2574</v>
      </c>
      <c r="R61" s="248"/>
    </row>
    <row r="62" spans="1:18" x14ac:dyDescent="0.7">
      <c r="A62" s="246" t="s">
        <v>2678</v>
      </c>
      <c r="B62" s="246" t="s">
        <v>2679</v>
      </c>
      <c r="C62" s="246" t="s">
        <v>1336</v>
      </c>
      <c r="D62" s="246" t="s">
        <v>2680</v>
      </c>
      <c r="E62" s="246">
        <v>1</v>
      </c>
      <c r="F62" s="246" t="s">
        <v>2301</v>
      </c>
      <c r="G62" s="246" t="s">
        <v>2302</v>
      </c>
      <c r="H62" s="247">
        <v>58</v>
      </c>
      <c r="I62" s="246" t="s">
        <v>1194</v>
      </c>
      <c r="J62" s="247">
        <v>170</v>
      </c>
      <c r="K62" s="246" t="s">
        <v>2295</v>
      </c>
      <c r="L62" s="246" t="s">
        <v>2295</v>
      </c>
      <c r="M62" s="246">
        <v>16</v>
      </c>
      <c r="N62" s="246"/>
      <c r="O62" s="246" t="s">
        <v>2681</v>
      </c>
      <c r="P62" s="246" t="s">
        <v>6430</v>
      </c>
      <c r="Q62" s="246" t="s">
        <v>2678</v>
      </c>
      <c r="R62" s="248"/>
    </row>
    <row r="63" spans="1:18" x14ac:dyDescent="0.7">
      <c r="A63" s="246" t="s">
        <v>2977</v>
      </c>
      <c r="B63" s="246" t="s">
        <v>2978</v>
      </c>
      <c r="C63" s="246" t="s">
        <v>1456</v>
      </c>
      <c r="D63" s="246" t="s">
        <v>1206</v>
      </c>
      <c r="E63" s="246">
        <v>3</v>
      </c>
      <c r="F63" s="246" t="s">
        <v>2301</v>
      </c>
      <c r="G63" s="246" t="s">
        <v>2302</v>
      </c>
      <c r="H63" s="247">
        <v>61</v>
      </c>
      <c r="I63" s="246" t="s">
        <v>1206</v>
      </c>
      <c r="J63" s="247">
        <v>328</v>
      </c>
      <c r="K63" s="246" t="s">
        <v>2295</v>
      </c>
      <c r="L63" s="246" t="s">
        <v>2295</v>
      </c>
      <c r="M63" s="246">
        <v>16</v>
      </c>
      <c r="N63" s="246"/>
      <c r="O63" s="246" t="s">
        <v>2979</v>
      </c>
      <c r="P63" s="246" t="s">
        <v>6430</v>
      </c>
      <c r="Q63" s="246" t="s">
        <v>2977</v>
      </c>
      <c r="R63" s="248"/>
    </row>
    <row r="64" spans="1:18" x14ac:dyDescent="0.7">
      <c r="A64" s="246" t="s">
        <v>3008</v>
      </c>
      <c r="B64" s="246" t="s">
        <v>3009</v>
      </c>
      <c r="C64" s="246" t="s">
        <v>1411</v>
      </c>
      <c r="D64" s="246" t="s">
        <v>1202</v>
      </c>
      <c r="E64" s="246">
        <v>3</v>
      </c>
      <c r="F64" s="246" t="s">
        <v>2301</v>
      </c>
      <c r="G64" s="246" t="s">
        <v>2302</v>
      </c>
      <c r="H64" s="247">
        <v>62</v>
      </c>
      <c r="I64" s="246" t="s">
        <v>1202</v>
      </c>
      <c r="J64" s="247">
        <v>486</v>
      </c>
      <c r="K64" s="246" t="s">
        <v>2303</v>
      </c>
      <c r="L64" s="246" t="s">
        <v>2295</v>
      </c>
      <c r="M64" s="246">
        <v>17</v>
      </c>
      <c r="N64" s="246"/>
      <c r="O64" s="246" t="s">
        <v>3010</v>
      </c>
      <c r="P64" s="246" t="s">
        <v>6428</v>
      </c>
      <c r="Q64" s="246" t="s">
        <v>3008</v>
      </c>
      <c r="R64" s="248"/>
    </row>
    <row r="65" spans="1:18" x14ac:dyDescent="0.7">
      <c r="A65" s="246" t="s">
        <v>2741</v>
      </c>
      <c r="B65" s="246" t="s">
        <v>2742</v>
      </c>
      <c r="C65" s="246" t="s">
        <v>1364</v>
      </c>
      <c r="D65" s="246" t="s">
        <v>2743</v>
      </c>
      <c r="E65" s="246">
        <v>2</v>
      </c>
      <c r="F65" s="246" t="s">
        <v>2301</v>
      </c>
      <c r="G65" s="246" t="s">
        <v>2302</v>
      </c>
      <c r="H65" s="247">
        <v>63</v>
      </c>
      <c r="I65" s="246" t="s">
        <v>1197</v>
      </c>
      <c r="J65" s="247">
        <v>319</v>
      </c>
      <c r="K65" s="246" t="s">
        <v>2303</v>
      </c>
      <c r="L65" s="246" t="s">
        <v>2295</v>
      </c>
      <c r="M65" s="246">
        <v>16</v>
      </c>
      <c r="N65" s="246"/>
      <c r="O65" s="246" t="s">
        <v>2744</v>
      </c>
      <c r="P65" s="246" t="s">
        <v>6430</v>
      </c>
      <c r="Q65" s="246" t="s">
        <v>2741</v>
      </c>
      <c r="R65" s="248"/>
    </row>
    <row r="66" spans="1:18" x14ac:dyDescent="0.7">
      <c r="A66" s="246" t="s">
        <v>2745</v>
      </c>
      <c r="B66" s="246" t="s">
        <v>2746</v>
      </c>
      <c r="C66" s="246" t="s">
        <v>1365</v>
      </c>
      <c r="D66" s="246" t="s">
        <v>2747</v>
      </c>
      <c r="E66" s="246">
        <v>2</v>
      </c>
      <c r="F66" s="246" t="s">
        <v>2301</v>
      </c>
      <c r="G66" s="246" t="s">
        <v>2302</v>
      </c>
      <c r="H66" s="247">
        <v>63</v>
      </c>
      <c r="I66" s="246" t="s">
        <v>1197</v>
      </c>
      <c r="J66" s="247">
        <v>420</v>
      </c>
      <c r="K66" s="246" t="s">
        <v>2303</v>
      </c>
      <c r="L66" s="246" t="s">
        <v>2295</v>
      </c>
      <c r="M66" s="246">
        <v>17</v>
      </c>
      <c r="N66" s="246"/>
      <c r="O66" s="246" t="s">
        <v>2748</v>
      </c>
      <c r="P66" s="246" t="s">
        <v>6428</v>
      </c>
      <c r="Q66" s="246" t="s">
        <v>2745</v>
      </c>
      <c r="R66" s="248"/>
    </row>
    <row r="67" spans="1:18" x14ac:dyDescent="0.7">
      <c r="A67" s="246" t="s">
        <v>2777</v>
      </c>
      <c r="B67" s="246" t="s">
        <v>2778</v>
      </c>
      <c r="C67" s="246" t="s">
        <v>1393</v>
      </c>
      <c r="D67" s="246" t="s">
        <v>1200</v>
      </c>
      <c r="E67" s="246">
        <v>2</v>
      </c>
      <c r="F67" s="246" t="s">
        <v>2301</v>
      </c>
      <c r="G67" s="246" t="s">
        <v>2302</v>
      </c>
      <c r="H67" s="247">
        <v>64</v>
      </c>
      <c r="I67" s="246" t="s">
        <v>1200</v>
      </c>
      <c r="J67" s="247">
        <v>323</v>
      </c>
      <c r="K67" s="246" t="s">
        <v>2303</v>
      </c>
      <c r="L67" s="246" t="s">
        <v>2295</v>
      </c>
      <c r="M67" s="246">
        <v>16</v>
      </c>
      <c r="N67" s="246"/>
      <c r="O67" s="246" t="s">
        <v>2779</v>
      </c>
      <c r="P67" s="246" t="s">
        <v>6430</v>
      </c>
      <c r="Q67" s="246" t="s">
        <v>2777</v>
      </c>
      <c r="R67" s="248"/>
    </row>
    <row r="68" spans="1:18" x14ac:dyDescent="0.7">
      <c r="A68" s="246" t="s">
        <v>2780</v>
      </c>
      <c r="B68" s="246" t="s">
        <v>2781</v>
      </c>
      <c r="C68" s="246" t="s">
        <v>1394</v>
      </c>
      <c r="D68" s="246" t="s">
        <v>2782</v>
      </c>
      <c r="E68" s="246">
        <v>2</v>
      </c>
      <c r="F68" s="246" t="s">
        <v>2301</v>
      </c>
      <c r="G68" s="246" t="s">
        <v>2302</v>
      </c>
      <c r="H68" s="247">
        <v>64</v>
      </c>
      <c r="I68" s="246" t="s">
        <v>1200</v>
      </c>
      <c r="J68" s="247">
        <v>307</v>
      </c>
      <c r="K68" s="246" t="s">
        <v>2303</v>
      </c>
      <c r="L68" s="246" t="s">
        <v>2304</v>
      </c>
      <c r="M68" s="246">
        <v>15</v>
      </c>
      <c r="N68" s="246"/>
      <c r="O68" s="246" t="s">
        <v>2783</v>
      </c>
      <c r="P68" s="246" t="s">
        <v>6429</v>
      </c>
      <c r="Q68" s="246" t="s">
        <v>2780</v>
      </c>
      <c r="R68" s="248"/>
    </row>
    <row r="69" spans="1:18" x14ac:dyDescent="0.7">
      <c r="A69" s="246" t="s">
        <v>3054</v>
      </c>
      <c r="B69" s="246" t="s">
        <v>3055</v>
      </c>
      <c r="C69" s="246" t="s">
        <v>1444</v>
      </c>
      <c r="D69" s="246" t="s">
        <v>1205</v>
      </c>
      <c r="E69" s="246">
        <v>3</v>
      </c>
      <c r="F69" s="246" t="s">
        <v>2301</v>
      </c>
      <c r="G69" s="246" t="s">
        <v>2302</v>
      </c>
      <c r="H69" s="247">
        <v>66</v>
      </c>
      <c r="I69" s="246" t="s">
        <v>1205</v>
      </c>
      <c r="J69" s="247">
        <v>450</v>
      </c>
      <c r="K69" s="246" t="s">
        <v>2303</v>
      </c>
      <c r="L69" s="246" t="s">
        <v>2295</v>
      </c>
      <c r="M69" s="246">
        <v>17</v>
      </c>
      <c r="N69" s="246"/>
      <c r="O69" s="246" t="s">
        <v>3056</v>
      </c>
      <c r="P69" s="246" t="s">
        <v>6428</v>
      </c>
      <c r="Q69" s="246" t="s">
        <v>3054</v>
      </c>
      <c r="R69" s="248"/>
    </row>
    <row r="70" spans="1:18" x14ac:dyDescent="0.7">
      <c r="A70" s="246" t="s">
        <v>2848</v>
      </c>
      <c r="B70" s="246" t="s">
        <v>2849</v>
      </c>
      <c r="C70" s="246" t="s">
        <v>1382</v>
      </c>
      <c r="D70" s="246" t="s">
        <v>1199</v>
      </c>
      <c r="E70" s="246">
        <v>2</v>
      </c>
      <c r="F70" s="246" t="s">
        <v>2301</v>
      </c>
      <c r="G70" s="246" t="s">
        <v>2302</v>
      </c>
      <c r="H70" s="247">
        <v>67</v>
      </c>
      <c r="I70" s="246" t="s">
        <v>1199</v>
      </c>
      <c r="J70" s="247">
        <v>510</v>
      </c>
      <c r="K70" s="246" t="s">
        <v>2303</v>
      </c>
      <c r="L70" s="246" t="s">
        <v>2295</v>
      </c>
      <c r="M70" s="246">
        <v>17</v>
      </c>
      <c r="N70" s="246"/>
      <c r="O70" s="246" t="s">
        <v>2850</v>
      </c>
      <c r="P70" s="246" t="s">
        <v>6428</v>
      </c>
      <c r="Q70" s="246" t="s">
        <v>2848</v>
      </c>
      <c r="R70" s="248"/>
    </row>
    <row r="71" spans="1:18" x14ac:dyDescent="0.7">
      <c r="A71" s="246" t="s">
        <v>3382</v>
      </c>
      <c r="B71" s="246" t="s">
        <v>3383</v>
      </c>
      <c r="C71" s="246" t="s">
        <v>1575</v>
      </c>
      <c r="D71" s="246" t="s">
        <v>3384</v>
      </c>
      <c r="E71" s="246">
        <v>5</v>
      </c>
      <c r="F71" s="246" t="s">
        <v>2301</v>
      </c>
      <c r="G71" s="246" t="s">
        <v>2302</v>
      </c>
      <c r="H71" s="247">
        <v>70</v>
      </c>
      <c r="I71" s="246" t="s">
        <v>1219</v>
      </c>
      <c r="J71" s="247">
        <v>272</v>
      </c>
      <c r="K71" s="246" t="s">
        <v>2303</v>
      </c>
      <c r="L71" s="246" t="s">
        <v>2304</v>
      </c>
      <c r="M71" s="246">
        <v>15</v>
      </c>
      <c r="N71" s="246"/>
      <c r="O71" s="246" t="s">
        <v>3385</v>
      </c>
      <c r="P71" s="246" t="s">
        <v>6429</v>
      </c>
      <c r="Q71" s="246" t="s">
        <v>3382</v>
      </c>
      <c r="R71" s="248"/>
    </row>
    <row r="72" spans="1:18" x14ac:dyDescent="0.7">
      <c r="A72" s="246" t="s">
        <v>3386</v>
      </c>
      <c r="B72" s="246" t="s">
        <v>3387</v>
      </c>
      <c r="C72" s="246" t="s">
        <v>1576</v>
      </c>
      <c r="D72" s="246" t="s">
        <v>3388</v>
      </c>
      <c r="E72" s="246">
        <v>5</v>
      </c>
      <c r="F72" s="246" t="s">
        <v>2301</v>
      </c>
      <c r="G72" s="246" t="s">
        <v>2302</v>
      </c>
      <c r="H72" s="247">
        <v>70</v>
      </c>
      <c r="I72" s="246" t="s">
        <v>1219</v>
      </c>
      <c r="J72" s="247">
        <v>340</v>
      </c>
      <c r="K72" s="246" t="s">
        <v>2303</v>
      </c>
      <c r="L72" s="246" t="s">
        <v>2295</v>
      </c>
      <c r="M72" s="246">
        <v>16</v>
      </c>
      <c r="N72" s="246"/>
      <c r="O72" s="246" t="s">
        <v>3389</v>
      </c>
      <c r="P72" s="246" t="s">
        <v>6430</v>
      </c>
      <c r="Q72" s="246" t="s">
        <v>3386</v>
      </c>
      <c r="R72" s="248"/>
    </row>
    <row r="73" spans="1:18" x14ac:dyDescent="0.7">
      <c r="A73" s="246" t="s">
        <v>3390</v>
      </c>
      <c r="B73" s="246" t="s">
        <v>3391</v>
      </c>
      <c r="C73" s="246" t="s">
        <v>1577</v>
      </c>
      <c r="D73" s="246" t="s">
        <v>3392</v>
      </c>
      <c r="E73" s="246">
        <v>5</v>
      </c>
      <c r="F73" s="246" t="s">
        <v>2301</v>
      </c>
      <c r="G73" s="246" t="s">
        <v>2302</v>
      </c>
      <c r="H73" s="247">
        <v>70</v>
      </c>
      <c r="I73" s="246" t="s">
        <v>1219</v>
      </c>
      <c r="J73" s="247">
        <v>340</v>
      </c>
      <c r="K73" s="246" t="s">
        <v>2303</v>
      </c>
      <c r="L73" s="246" t="s">
        <v>2304</v>
      </c>
      <c r="M73" s="246">
        <v>15</v>
      </c>
      <c r="N73" s="246"/>
      <c r="O73" s="246" t="s">
        <v>3393</v>
      </c>
      <c r="P73" s="246" t="s">
        <v>6429</v>
      </c>
      <c r="Q73" s="246" t="s">
        <v>3390</v>
      </c>
      <c r="R73" s="248"/>
    </row>
    <row r="74" spans="1:18" x14ac:dyDescent="0.7">
      <c r="A74" s="246" t="s">
        <v>3422</v>
      </c>
      <c r="B74" s="246" t="s">
        <v>3423</v>
      </c>
      <c r="C74" s="246" t="s">
        <v>1534</v>
      </c>
      <c r="D74" s="246" t="s">
        <v>3424</v>
      </c>
      <c r="E74" s="246">
        <v>5</v>
      </c>
      <c r="F74" s="246" t="s">
        <v>2301</v>
      </c>
      <c r="G74" s="246" t="s">
        <v>2302</v>
      </c>
      <c r="H74" s="247">
        <v>71</v>
      </c>
      <c r="I74" s="246" t="s">
        <v>1215</v>
      </c>
      <c r="J74" s="247">
        <v>562</v>
      </c>
      <c r="K74" s="246" t="s">
        <v>2295</v>
      </c>
      <c r="L74" s="246" t="s">
        <v>2295</v>
      </c>
      <c r="M74" s="246">
        <v>17</v>
      </c>
      <c r="N74" s="246"/>
      <c r="O74" s="246" t="s">
        <v>3425</v>
      </c>
      <c r="P74" s="246" t="s">
        <v>6428</v>
      </c>
      <c r="Q74" s="246" t="s">
        <v>3422</v>
      </c>
      <c r="R74" s="248"/>
    </row>
    <row r="75" spans="1:18" x14ac:dyDescent="0.7">
      <c r="A75" s="246" t="s">
        <v>3426</v>
      </c>
      <c r="B75" s="246" t="s">
        <v>3427</v>
      </c>
      <c r="C75" s="246" t="s">
        <v>1535</v>
      </c>
      <c r="D75" s="246" t="s">
        <v>3428</v>
      </c>
      <c r="E75" s="246">
        <v>5</v>
      </c>
      <c r="F75" s="246" t="s">
        <v>2301</v>
      </c>
      <c r="G75" s="246" t="s">
        <v>2302</v>
      </c>
      <c r="H75" s="247">
        <v>71</v>
      </c>
      <c r="I75" s="246" t="s">
        <v>1215</v>
      </c>
      <c r="J75" s="247">
        <v>298</v>
      </c>
      <c r="K75" s="246" t="s">
        <v>2295</v>
      </c>
      <c r="L75" s="246" t="s">
        <v>2304</v>
      </c>
      <c r="M75" s="246">
        <v>15</v>
      </c>
      <c r="N75" s="246"/>
      <c r="O75" s="246" t="s">
        <v>3429</v>
      </c>
      <c r="P75" s="246" t="s">
        <v>6429</v>
      </c>
      <c r="Q75" s="246" t="s">
        <v>3426</v>
      </c>
      <c r="R75" s="248"/>
    </row>
    <row r="76" spans="1:18" x14ac:dyDescent="0.7">
      <c r="A76" s="246" t="s">
        <v>3486</v>
      </c>
      <c r="B76" s="246" t="s">
        <v>3487</v>
      </c>
      <c r="C76" s="246" t="s">
        <v>1590</v>
      </c>
      <c r="D76" s="246" t="s">
        <v>3488</v>
      </c>
      <c r="E76" s="246">
        <v>5</v>
      </c>
      <c r="F76" s="246" t="s">
        <v>2301</v>
      </c>
      <c r="G76" s="246" t="s">
        <v>2302</v>
      </c>
      <c r="H76" s="247">
        <v>72</v>
      </c>
      <c r="I76" s="246" t="s">
        <v>1222</v>
      </c>
      <c r="J76" s="247">
        <v>262</v>
      </c>
      <c r="K76" s="246" t="s">
        <v>2303</v>
      </c>
      <c r="L76" s="246" t="s">
        <v>2304</v>
      </c>
      <c r="M76" s="246">
        <v>15</v>
      </c>
      <c r="N76" s="246"/>
      <c r="O76" s="246" t="s">
        <v>3489</v>
      </c>
      <c r="P76" s="246" t="s">
        <v>6429</v>
      </c>
      <c r="Q76" s="246" t="s">
        <v>3486</v>
      </c>
      <c r="R76" s="248"/>
    </row>
    <row r="77" spans="1:18" x14ac:dyDescent="0.7">
      <c r="A77" s="246" t="s">
        <v>3557</v>
      </c>
      <c r="B77" s="246" t="s">
        <v>3558</v>
      </c>
      <c r="C77" s="246" t="s">
        <v>6325</v>
      </c>
      <c r="D77" s="246" t="s">
        <v>1221</v>
      </c>
      <c r="E77" s="246">
        <v>5</v>
      </c>
      <c r="F77" s="246" t="s">
        <v>2293</v>
      </c>
      <c r="G77" s="246" t="s">
        <v>2294</v>
      </c>
      <c r="H77" s="247">
        <v>74</v>
      </c>
      <c r="I77" s="246" t="s">
        <v>1221</v>
      </c>
      <c r="J77" s="247">
        <v>626</v>
      </c>
      <c r="K77" s="246" t="s">
        <v>2295</v>
      </c>
      <c r="L77" s="246" t="s">
        <v>2296</v>
      </c>
      <c r="M77" s="246">
        <v>18</v>
      </c>
      <c r="N77" s="246"/>
      <c r="O77" s="246" t="s">
        <v>3559</v>
      </c>
      <c r="P77" s="246" t="s">
        <v>6425</v>
      </c>
      <c r="Q77" s="246" t="s">
        <v>3557</v>
      </c>
      <c r="R77" s="248"/>
    </row>
    <row r="78" spans="1:18" x14ac:dyDescent="0.7">
      <c r="A78" s="246" t="s">
        <v>3564</v>
      </c>
      <c r="B78" s="246" t="s">
        <v>3565</v>
      </c>
      <c r="C78" s="246" t="s">
        <v>1584</v>
      </c>
      <c r="D78" s="246" t="s">
        <v>3566</v>
      </c>
      <c r="E78" s="246">
        <v>5</v>
      </c>
      <c r="F78" s="246" t="s">
        <v>2301</v>
      </c>
      <c r="G78" s="246" t="s">
        <v>2302</v>
      </c>
      <c r="H78" s="247">
        <v>75</v>
      </c>
      <c r="I78" s="246" t="s">
        <v>1220</v>
      </c>
      <c r="J78" s="247">
        <v>284</v>
      </c>
      <c r="K78" s="246" t="s">
        <v>2303</v>
      </c>
      <c r="L78" s="246" t="s">
        <v>2295</v>
      </c>
      <c r="M78" s="246">
        <v>16</v>
      </c>
      <c r="N78" s="246"/>
      <c r="O78" s="246" t="s">
        <v>3567</v>
      </c>
      <c r="P78" s="246" t="s">
        <v>6430</v>
      </c>
      <c r="Q78" s="246" t="s">
        <v>3564</v>
      </c>
      <c r="R78" s="248"/>
    </row>
    <row r="79" spans="1:18" x14ac:dyDescent="0.7">
      <c r="A79" s="246" t="s">
        <v>3576</v>
      </c>
      <c r="B79" s="246" t="s">
        <v>3577</v>
      </c>
      <c r="C79" s="246" t="s">
        <v>1566</v>
      </c>
      <c r="D79" s="246" t="s">
        <v>3578</v>
      </c>
      <c r="E79" s="246">
        <v>5</v>
      </c>
      <c r="F79" s="246" t="s">
        <v>2301</v>
      </c>
      <c r="G79" s="246" t="s">
        <v>2302</v>
      </c>
      <c r="H79" s="247">
        <v>76</v>
      </c>
      <c r="I79" s="246" t="s">
        <v>1218</v>
      </c>
      <c r="J79" s="247">
        <v>447</v>
      </c>
      <c r="K79" s="246" t="s">
        <v>2295</v>
      </c>
      <c r="L79" s="246" t="s">
        <v>2295</v>
      </c>
      <c r="M79" s="246">
        <v>17</v>
      </c>
      <c r="N79" s="246"/>
      <c r="O79" s="246" t="s">
        <v>3579</v>
      </c>
      <c r="P79" s="246" t="s">
        <v>6428</v>
      </c>
      <c r="Q79" s="246" t="s">
        <v>3576</v>
      </c>
      <c r="R79" s="248"/>
    </row>
    <row r="80" spans="1:18" x14ac:dyDescent="0.7">
      <c r="A80" s="246" t="s">
        <v>3608</v>
      </c>
      <c r="B80" s="246" t="s">
        <v>3609</v>
      </c>
      <c r="C80" s="246" t="s">
        <v>1558</v>
      </c>
      <c r="D80" s="246" t="s">
        <v>1217</v>
      </c>
      <c r="E80" s="246">
        <v>5</v>
      </c>
      <c r="F80" s="246" t="s">
        <v>2301</v>
      </c>
      <c r="G80" s="246" t="s">
        <v>2302</v>
      </c>
      <c r="H80" s="247">
        <v>77</v>
      </c>
      <c r="I80" s="246" t="s">
        <v>1217</v>
      </c>
      <c r="J80" s="247">
        <v>278</v>
      </c>
      <c r="K80" s="246" t="s">
        <v>2303</v>
      </c>
      <c r="L80" s="246" t="s">
        <v>2295</v>
      </c>
      <c r="M80" s="246">
        <v>16</v>
      </c>
      <c r="N80" s="246"/>
      <c r="O80" s="246" t="s">
        <v>3610</v>
      </c>
      <c r="P80" s="246" t="s">
        <v>6430</v>
      </c>
      <c r="Q80" s="246" t="s">
        <v>3608</v>
      </c>
      <c r="R80" s="248"/>
    </row>
    <row r="81" spans="1:18" x14ac:dyDescent="0.7">
      <c r="A81" s="246" t="s">
        <v>5278</v>
      </c>
      <c r="B81" s="246" t="s">
        <v>5279</v>
      </c>
      <c r="C81" s="246" t="s">
        <v>1956</v>
      </c>
      <c r="D81" s="246" t="s">
        <v>1251</v>
      </c>
      <c r="E81" s="246">
        <v>11</v>
      </c>
      <c r="F81" s="246" t="s">
        <v>2301</v>
      </c>
      <c r="G81" s="246" t="s">
        <v>2302</v>
      </c>
      <c r="H81" s="247">
        <v>81</v>
      </c>
      <c r="I81" s="246" t="s">
        <v>1251</v>
      </c>
      <c r="J81" s="247">
        <v>474</v>
      </c>
      <c r="K81" s="246" t="s">
        <v>2303</v>
      </c>
      <c r="L81" s="246" t="s">
        <v>2295</v>
      </c>
      <c r="M81" s="246">
        <v>17</v>
      </c>
      <c r="N81" s="246"/>
      <c r="O81" s="246" t="s">
        <v>5280</v>
      </c>
      <c r="P81" s="246" t="s">
        <v>6428</v>
      </c>
      <c r="Q81" s="246" t="s">
        <v>5278</v>
      </c>
      <c r="R81" s="248"/>
    </row>
    <row r="82" spans="1:18" x14ac:dyDescent="0.7">
      <c r="A82" s="246" t="s">
        <v>5313</v>
      </c>
      <c r="B82" s="246" t="s">
        <v>5314</v>
      </c>
      <c r="C82" s="246" t="s">
        <v>1992</v>
      </c>
      <c r="D82" s="246" t="s">
        <v>1254</v>
      </c>
      <c r="E82" s="246">
        <v>11</v>
      </c>
      <c r="F82" s="246" t="s">
        <v>2301</v>
      </c>
      <c r="G82" s="246" t="s">
        <v>2302</v>
      </c>
      <c r="H82" s="247">
        <v>82</v>
      </c>
      <c r="I82" s="246" t="s">
        <v>1254</v>
      </c>
      <c r="J82" s="247">
        <v>215</v>
      </c>
      <c r="K82" s="246" t="s">
        <v>2303</v>
      </c>
      <c r="L82" s="246" t="s">
        <v>2295</v>
      </c>
      <c r="M82" s="246">
        <v>16</v>
      </c>
      <c r="N82" s="246"/>
      <c r="O82" s="246" t="s">
        <v>5315</v>
      </c>
      <c r="P82" s="246" t="s">
        <v>6430</v>
      </c>
      <c r="Q82" s="246" t="s">
        <v>5313</v>
      </c>
      <c r="R82" s="248"/>
    </row>
    <row r="83" spans="1:18" x14ac:dyDescent="0.7">
      <c r="A83" s="246" t="s">
        <v>5316</v>
      </c>
      <c r="B83" s="246" t="s">
        <v>5317</v>
      </c>
      <c r="C83" s="246" t="s">
        <v>1993</v>
      </c>
      <c r="D83" s="246" t="s">
        <v>5318</v>
      </c>
      <c r="E83" s="246">
        <v>11</v>
      </c>
      <c r="F83" s="246" t="s">
        <v>2301</v>
      </c>
      <c r="G83" s="246" t="s">
        <v>2302</v>
      </c>
      <c r="H83" s="247">
        <v>82</v>
      </c>
      <c r="I83" s="246" t="s">
        <v>1254</v>
      </c>
      <c r="J83" s="247">
        <v>209</v>
      </c>
      <c r="K83" s="246" t="s">
        <v>2303</v>
      </c>
      <c r="L83" s="246" t="s">
        <v>2304</v>
      </c>
      <c r="M83" s="246">
        <v>15</v>
      </c>
      <c r="N83" s="246"/>
      <c r="O83" s="246" t="s">
        <v>5319</v>
      </c>
      <c r="P83" s="246" t="s">
        <v>6429</v>
      </c>
      <c r="Q83" s="246" t="s">
        <v>5316</v>
      </c>
      <c r="R83" s="248"/>
    </row>
    <row r="84" spans="1:18" x14ac:dyDescent="0.7">
      <c r="A84" s="246" t="s">
        <v>5346</v>
      </c>
      <c r="B84" s="246" t="s">
        <v>5347</v>
      </c>
      <c r="C84" s="246" t="s">
        <v>2000</v>
      </c>
      <c r="D84" s="246" t="s">
        <v>5348</v>
      </c>
      <c r="E84" s="246">
        <v>11</v>
      </c>
      <c r="F84" s="246" t="s">
        <v>2293</v>
      </c>
      <c r="G84" s="246" t="s">
        <v>2294</v>
      </c>
      <c r="H84" s="247">
        <v>83</v>
      </c>
      <c r="I84" s="246" t="s">
        <v>1255</v>
      </c>
      <c r="J84" s="247">
        <v>550</v>
      </c>
      <c r="K84" s="246" t="s">
        <v>2303</v>
      </c>
      <c r="L84" s="246" t="s">
        <v>2296</v>
      </c>
      <c r="M84" s="246">
        <v>18</v>
      </c>
      <c r="N84" s="246"/>
      <c r="O84" s="246" t="s">
        <v>5349</v>
      </c>
      <c r="P84" s="246" t="s">
        <v>6425</v>
      </c>
      <c r="Q84" s="246" t="s">
        <v>5346</v>
      </c>
      <c r="R84" s="248"/>
    </row>
    <row r="85" spans="1:18" x14ac:dyDescent="0.7">
      <c r="A85" s="246" t="s">
        <v>5361</v>
      </c>
      <c r="B85" s="246" t="s">
        <v>5362</v>
      </c>
      <c r="C85" s="246" t="s">
        <v>2009</v>
      </c>
      <c r="D85" s="246" t="s">
        <v>5363</v>
      </c>
      <c r="E85" s="246">
        <v>11</v>
      </c>
      <c r="F85" s="246" t="s">
        <v>2301</v>
      </c>
      <c r="G85" s="246" t="s">
        <v>2302</v>
      </c>
      <c r="H85" s="247">
        <v>84</v>
      </c>
      <c r="I85" s="246" t="s">
        <v>1257</v>
      </c>
      <c r="J85" s="247">
        <v>160</v>
      </c>
      <c r="K85" s="246" t="s">
        <v>2295</v>
      </c>
      <c r="L85" s="246" t="s">
        <v>2304</v>
      </c>
      <c r="M85" s="246">
        <v>14</v>
      </c>
      <c r="N85" s="246"/>
      <c r="O85" s="246" t="s">
        <v>5364</v>
      </c>
      <c r="P85" s="246" t="s">
        <v>6431</v>
      </c>
      <c r="Q85" s="246" t="s">
        <v>5361</v>
      </c>
      <c r="R85" s="248"/>
    </row>
    <row r="86" spans="1:18" x14ac:dyDescent="0.7">
      <c r="A86" s="246" t="s">
        <v>5437</v>
      </c>
      <c r="B86" s="246" t="s">
        <v>5438</v>
      </c>
      <c r="C86" s="246" t="s">
        <v>2003</v>
      </c>
      <c r="D86" s="246" t="s">
        <v>1256</v>
      </c>
      <c r="E86" s="246">
        <v>11</v>
      </c>
      <c r="F86" s="246" t="s">
        <v>2301</v>
      </c>
      <c r="G86" s="246" t="s">
        <v>2302</v>
      </c>
      <c r="H86" s="247">
        <v>85</v>
      </c>
      <c r="I86" s="246" t="s">
        <v>1256</v>
      </c>
      <c r="J86" s="247">
        <v>283</v>
      </c>
      <c r="K86" s="246" t="s">
        <v>2295</v>
      </c>
      <c r="L86" s="246" t="s">
        <v>2295</v>
      </c>
      <c r="M86" s="246">
        <v>16</v>
      </c>
      <c r="N86" s="246"/>
      <c r="O86" s="246" t="s">
        <v>5439</v>
      </c>
      <c r="P86" s="246" t="s">
        <v>6430</v>
      </c>
      <c r="Q86" s="246" t="s">
        <v>5437</v>
      </c>
      <c r="R86" s="248"/>
    </row>
    <row r="87" spans="1:18" x14ac:dyDescent="0.7">
      <c r="A87" s="246" t="s">
        <v>5456</v>
      </c>
      <c r="B87" s="246" t="s">
        <v>5457</v>
      </c>
      <c r="C87" s="246" t="s">
        <v>1964</v>
      </c>
      <c r="D87" s="246" t="s">
        <v>5458</v>
      </c>
      <c r="E87" s="246">
        <v>11</v>
      </c>
      <c r="F87" s="246" t="s">
        <v>2301</v>
      </c>
      <c r="G87" s="246" t="s">
        <v>2302</v>
      </c>
      <c r="H87" s="247">
        <v>86</v>
      </c>
      <c r="I87" s="246" t="s">
        <v>1252</v>
      </c>
      <c r="J87" s="247">
        <v>509</v>
      </c>
      <c r="K87" s="246" t="s">
        <v>2303</v>
      </c>
      <c r="L87" s="246" t="s">
        <v>2295</v>
      </c>
      <c r="M87" s="246">
        <v>17</v>
      </c>
      <c r="N87" s="246"/>
      <c r="O87" s="246" t="s">
        <v>5459</v>
      </c>
      <c r="P87" s="246" t="s">
        <v>6428</v>
      </c>
      <c r="Q87" s="246" t="s">
        <v>5456</v>
      </c>
      <c r="R87" s="248"/>
    </row>
    <row r="88" spans="1:18" x14ac:dyDescent="0.7">
      <c r="A88" s="246" t="s">
        <v>5504</v>
      </c>
      <c r="B88" s="246" t="s">
        <v>5505</v>
      </c>
      <c r="C88" s="246" t="s">
        <v>2083</v>
      </c>
      <c r="D88" s="246" t="s">
        <v>1263</v>
      </c>
      <c r="E88" s="246">
        <v>12</v>
      </c>
      <c r="F88" s="246" t="s">
        <v>2301</v>
      </c>
      <c r="G88" s="246" t="s">
        <v>2302</v>
      </c>
      <c r="H88" s="247">
        <v>90</v>
      </c>
      <c r="I88" s="246" t="s">
        <v>1263</v>
      </c>
      <c r="J88" s="247">
        <v>508</v>
      </c>
      <c r="K88" s="246" t="s">
        <v>2295</v>
      </c>
      <c r="L88" s="246" t="s">
        <v>2295</v>
      </c>
      <c r="M88" s="246">
        <v>17</v>
      </c>
      <c r="N88" s="246"/>
      <c r="O88" s="246" t="s">
        <v>5506</v>
      </c>
      <c r="P88" s="246" t="s">
        <v>6428</v>
      </c>
      <c r="Q88" s="246" t="s">
        <v>5504</v>
      </c>
      <c r="R88" s="248"/>
    </row>
    <row r="89" spans="1:18" x14ac:dyDescent="0.7">
      <c r="A89" s="246" t="s">
        <v>5567</v>
      </c>
      <c r="B89" s="246" t="s">
        <v>5568</v>
      </c>
      <c r="C89" s="246" t="s">
        <v>2099</v>
      </c>
      <c r="D89" s="246" t="s">
        <v>1264</v>
      </c>
      <c r="E89" s="246">
        <v>12</v>
      </c>
      <c r="F89" s="246" t="s">
        <v>2301</v>
      </c>
      <c r="G89" s="246" t="s">
        <v>2302</v>
      </c>
      <c r="H89" s="247">
        <v>91</v>
      </c>
      <c r="I89" s="246" t="s">
        <v>1264</v>
      </c>
      <c r="J89" s="247">
        <v>240</v>
      </c>
      <c r="K89" s="246" t="s">
        <v>2303</v>
      </c>
      <c r="L89" s="246" t="s">
        <v>2295</v>
      </c>
      <c r="M89" s="246">
        <v>16</v>
      </c>
      <c r="N89" s="246"/>
      <c r="O89" s="246" t="s">
        <v>5569</v>
      </c>
      <c r="P89" s="246" t="s">
        <v>6430</v>
      </c>
      <c r="Q89" s="246" t="s">
        <v>5567</v>
      </c>
      <c r="R89" s="248"/>
    </row>
    <row r="90" spans="1:18" x14ac:dyDescent="0.7">
      <c r="A90" s="246" t="s">
        <v>5633</v>
      </c>
      <c r="B90" s="246" t="s">
        <v>5634</v>
      </c>
      <c r="C90" s="246" t="s">
        <v>2063</v>
      </c>
      <c r="D90" s="246" t="s">
        <v>1261</v>
      </c>
      <c r="E90" s="246">
        <v>12</v>
      </c>
      <c r="F90" s="246" t="s">
        <v>2301</v>
      </c>
      <c r="G90" s="246" t="s">
        <v>2302</v>
      </c>
      <c r="H90" s="247">
        <v>93</v>
      </c>
      <c r="I90" s="246" t="s">
        <v>1261</v>
      </c>
      <c r="J90" s="247">
        <v>450</v>
      </c>
      <c r="K90" s="246" t="s">
        <v>2303</v>
      </c>
      <c r="L90" s="246" t="s">
        <v>2295</v>
      </c>
      <c r="M90" s="246">
        <v>17</v>
      </c>
      <c r="N90" s="246"/>
      <c r="O90" s="246" t="s">
        <v>5635</v>
      </c>
      <c r="P90" s="246" t="s">
        <v>6428</v>
      </c>
      <c r="Q90" s="246" t="s">
        <v>5633</v>
      </c>
      <c r="R90" s="248"/>
    </row>
    <row r="91" spans="1:18" x14ac:dyDescent="0.7">
      <c r="A91" s="246" t="s">
        <v>5676</v>
      </c>
      <c r="B91" s="246" t="s">
        <v>5677</v>
      </c>
      <c r="C91" s="246" t="s">
        <v>2051</v>
      </c>
      <c r="D91" s="246" t="s">
        <v>1260</v>
      </c>
      <c r="E91" s="246">
        <v>12</v>
      </c>
      <c r="F91" s="246" t="s">
        <v>2301</v>
      </c>
      <c r="G91" s="246" t="s">
        <v>2302</v>
      </c>
      <c r="H91" s="247">
        <v>94</v>
      </c>
      <c r="I91" s="246" t="s">
        <v>1260</v>
      </c>
      <c r="J91" s="247">
        <v>504</v>
      </c>
      <c r="K91" s="246" t="s">
        <v>2295</v>
      </c>
      <c r="L91" s="246" t="s">
        <v>2295</v>
      </c>
      <c r="M91" s="246">
        <v>17</v>
      </c>
      <c r="N91" s="246"/>
      <c r="O91" s="246" t="s">
        <v>5678</v>
      </c>
      <c r="P91" s="246" t="s">
        <v>6428</v>
      </c>
      <c r="Q91" s="246" t="s">
        <v>5676</v>
      </c>
      <c r="R91" s="248"/>
    </row>
    <row r="92" spans="1:18" x14ac:dyDescent="0.7">
      <c r="A92" s="246" t="s">
        <v>5726</v>
      </c>
      <c r="B92" s="246" t="s">
        <v>5727</v>
      </c>
      <c r="C92" s="246" t="s">
        <v>2075</v>
      </c>
      <c r="D92" s="246" t="s">
        <v>5728</v>
      </c>
      <c r="E92" s="246">
        <v>12</v>
      </c>
      <c r="F92" s="246" t="s">
        <v>2301</v>
      </c>
      <c r="G92" s="246" t="s">
        <v>2302</v>
      </c>
      <c r="H92" s="247">
        <v>95</v>
      </c>
      <c r="I92" s="246" t="s">
        <v>1262</v>
      </c>
      <c r="J92" s="247">
        <v>170</v>
      </c>
      <c r="K92" s="246" t="s">
        <v>2295</v>
      </c>
      <c r="L92" s="246" t="s">
        <v>2304</v>
      </c>
      <c r="M92" s="246">
        <v>14</v>
      </c>
      <c r="N92" s="246"/>
      <c r="O92" s="246" t="s">
        <v>5729</v>
      </c>
      <c r="P92" s="246" t="s">
        <v>6431</v>
      </c>
      <c r="Q92" s="246" t="s">
        <v>5726</v>
      </c>
      <c r="R92" s="248"/>
    </row>
    <row r="93" spans="1:18" x14ac:dyDescent="0.7">
      <c r="A93" s="246" t="s">
        <v>5754</v>
      </c>
      <c r="B93" s="246" t="s">
        <v>5755</v>
      </c>
      <c r="C93" s="246" t="s">
        <v>2038</v>
      </c>
      <c r="D93" s="246" t="s">
        <v>5756</v>
      </c>
      <c r="E93" s="246">
        <v>12</v>
      </c>
      <c r="F93" s="246" t="s">
        <v>2301</v>
      </c>
      <c r="G93" s="246" t="s">
        <v>2302</v>
      </c>
      <c r="H93" s="247">
        <v>96</v>
      </c>
      <c r="I93" s="246" t="s">
        <v>1259</v>
      </c>
      <c r="J93" s="247">
        <v>407</v>
      </c>
      <c r="K93" s="246" t="s">
        <v>2303</v>
      </c>
      <c r="L93" s="246" t="s">
        <v>2295</v>
      </c>
      <c r="M93" s="246">
        <v>17</v>
      </c>
      <c r="N93" s="246"/>
      <c r="O93" s="246" t="s">
        <v>5757</v>
      </c>
      <c r="P93" s="246" t="s">
        <v>6428</v>
      </c>
      <c r="Q93" s="246" t="s">
        <v>5754</v>
      </c>
      <c r="R93" s="248"/>
    </row>
    <row r="94" spans="1:18" x14ac:dyDescent="0.7">
      <c r="A94" s="246" t="s">
        <v>5758</v>
      </c>
      <c r="B94" s="246" t="s">
        <v>5759</v>
      </c>
      <c r="C94" s="246" t="s">
        <v>2039</v>
      </c>
      <c r="D94" s="246" t="s">
        <v>5760</v>
      </c>
      <c r="E94" s="246">
        <v>12</v>
      </c>
      <c r="F94" s="246" t="s">
        <v>2301</v>
      </c>
      <c r="G94" s="246" t="s">
        <v>2302</v>
      </c>
      <c r="H94" s="247">
        <v>96</v>
      </c>
      <c r="I94" s="246" t="s">
        <v>1259</v>
      </c>
      <c r="J94" s="247">
        <v>212</v>
      </c>
      <c r="K94" s="246" t="s">
        <v>2303</v>
      </c>
      <c r="L94" s="246" t="s">
        <v>2304</v>
      </c>
      <c r="M94" s="246">
        <v>15</v>
      </c>
      <c r="N94" s="246"/>
      <c r="O94" s="246" t="s">
        <v>5761</v>
      </c>
      <c r="P94" s="246" t="s">
        <v>6429</v>
      </c>
      <c r="Q94" s="246" t="s">
        <v>5758</v>
      </c>
      <c r="R94" s="248"/>
    </row>
    <row r="95" spans="1:18" x14ac:dyDescent="0.7">
      <c r="A95" s="246" t="s">
        <v>3642</v>
      </c>
      <c r="B95" s="246" t="s">
        <v>3643</v>
      </c>
      <c r="C95" s="246" t="s">
        <v>1653</v>
      </c>
      <c r="D95" s="246" t="s">
        <v>3644</v>
      </c>
      <c r="E95" s="246">
        <v>6</v>
      </c>
      <c r="F95" s="246" t="s">
        <v>2309</v>
      </c>
      <c r="G95" s="246" t="s">
        <v>2310</v>
      </c>
      <c r="H95" s="247">
        <v>11</v>
      </c>
      <c r="I95" s="246" t="s">
        <v>1229</v>
      </c>
      <c r="J95" s="247">
        <v>159</v>
      </c>
      <c r="K95" s="246" t="s">
        <v>2295</v>
      </c>
      <c r="L95" s="246" t="s">
        <v>2345</v>
      </c>
      <c r="M95" s="246">
        <v>13</v>
      </c>
      <c r="N95" s="246"/>
      <c r="O95" s="246" t="s">
        <v>3645</v>
      </c>
      <c r="P95" s="246" t="s">
        <v>6432</v>
      </c>
      <c r="Q95" s="246" t="s">
        <v>3642</v>
      </c>
      <c r="R95" s="248"/>
    </row>
    <row r="96" spans="1:18" x14ac:dyDescent="0.7">
      <c r="A96" s="246" t="s">
        <v>3646</v>
      </c>
      <c r="B96" s="246" t="s">
        <v>3647</v>
      </c>
      <c r="C96" s="246" t="s">
        <v>2125</v>
      </c>
      <c r="D96" s="246" t="s">
        <v>3648</v>
      </c>
      <c r="E96" s="246">
        <v>6</v>
      </c>
      <c r="F96" s="246" t="s">
        <v>2301</v>
      </c>
      <c r="G96" s="246" t="s">
        <v>2302</v>
      </c>
      <c r="H96" s="247">
        <v>11</v>
      </c>
      <c r="I96" s="246" t="s">
        <v>1229</v>
      </c>
      <c r="J96" s="247">
        <v>306</v>
      </c>
      <c r="K96" s="246" t="s">
        <v>2303</v>
      </c>
      <c r="L96" s="246" t="s">
        <v>2304</v>
      </c>
      <c r="M96" s="246">
        <v>15</v>
      </c>
      <c r="N96" s="246"/>
      <c r="O96" s="246" t="s">
        <v>3649</v>
      </c>
      <c r="P96" s="246" t="s">
        <v>6429</v>
      </c>
      <c r="Q96" s="246" t="s">
        <v>3646</v>
      </c>
      <c r="R96" s="248"/>
    </row>
    <row r="97" spans="1:18" x14ac:dyDescent="0.7">
      <c r="A97" s="246" t="s">
        <v>3650</v>
      </c>
      <c r="B97" s="246" t="s">
        <v>3651</v>
      </c>
      <c r="C97" s="246" t="s">
        <v>1654</v>
      </c>
      <c r="D97" s="246" t="s">
        <v>3652</v>
      </c>
      <c r="E97" s="246">
        <v>6</v>
      </c>
      <c r="F97" s="246" t="s">
        <v>2309</v>
      </c>
      <c r="G97" s="246" t="s">
        <v>2310</v>
      </c>
      <c r="H97" s="247">
        <v>11</v>
      </c>
      <c r="I97" s="246" t="s">
        <v>1229</v>
      </c>
      <c r="J97" s="247">
        <v>108</v>
      </c>
      <c r="K97" s="246" t="s">
        <v>2303</v>
      </c>
      <c r="L97" s="246" t="s">
        <v>2316</v>
      </c>
      <c r="M97" s="246">
        <v>10</v>
      </c>
      <c r="N97" s="246"/>
      <c r="O97" s="246" t="s">
        <v>3653</v>
      </c>
      <c r="P97" s="246" t="s">
        <v>6433</v>
      </c>
      <c r="Q97" s="246" t="s">
        <v>3650</v>
      </c>
      <c r="R97" s="248"/>
    </row>
    <row r="98" spans="1:18" x14ac:dyDescent="0.7">
      <c r="A98" s="246" t="s">
        <v>3654</v>
      </c>
      <c r="B98" s="246" t="s">
        <v>3655</v>
      </c>
      <c r="C98" s="246" t="s">
        <v>1655</v>
      </c>
      <c r="D98" s="246" t="s">
        <v>3656</v>
      </c>
      <c r="E98" s="246">
        <v>6</v>
      </c>
      <c r="F98" s="246" t="s">
        <v>2309</v>
      </c>
      <c r="G98" s="246" t="s">
        <v>2310</v>
      </c>
      <c r="H98" s="247">
        <v>11</v>
      </c>
      <c r="I98" s="246" t="s">
        <v>1229</v>
      </c>
      <c r="J98" s="247">
        <v>51</v>
      </c>
      <c r="K98" s="246" t="s">
        <v>2303</v>
      </c>
      <c r="L98" s="246" t="s">
        <v>2311</v>
      </c>
      <c r="M98" s="246">
        <v>7</v>
      </c>
      <c r="N98" s="246"/>
      <c r="O98" s="246" t="s">
        <v>3657</v>
      </c>
      <c r="P98" s="246" t="s">
        <v>6434</v>
      </c>
      <c r="Q98" s="246" t="s">
        <v>3654</v>
      </c>
      <c r="R98" s="248"/>
    </row>
    <row r="99" spans="1:18" x14ac:dyDescent="0.7">
      <c r="A99" s="246" t="s">
        <v>3105</v>
      </c>
      <c r="B99" s="246" t="s">
        <v>3106</v>
      </c>
      <c r="C99" s="246" t="s">
        <v>1469</v>
      </c>
      <c r="D99" s="246" t="s">
        <v>3107</v>
      </c>
      <c r="E99" s="246">
        <v>4</v>
      </c>
      <c r="F99" s="246" t="s">
        <v>2309</v>
      </c>
      <c r="G99" s="246" t="s">
        <v>2310</v>
      </c>
      <c r="H99" s="247">
        <v>12</v>
      </c>
      <c r="I99" s="246" t="s">
        <v>1208</v>
      </c>
      <c r="J99" s="247">
        <v>60</v>
      </c>
      <c r="K99" s="246" t="s">
        <v>2295</v>
      </c>
      <c r="L99" s="246" t="s">
        <v>2316</v>
      </c>
      <c r="M99" s="246">
        <v>9</v>
      </c>
      <c r="N99" s="246"/>
      <c r="O99" s="246" t="s">
        <v>3108</v>
      </c>
      <c r="P99" s="246" t="s">
        <v>6435</v>
      </c>
      <c r="Q99" s="246" t="s">
        <v>3105</v>
      </c>
      <c r="R99" s="248"/>
    </row>
    <row r="100" spans="1:18" x14ac:dyDescent="0.7">
      <c r="A100" s="246" t="s">
        <v>3109</v>
      </c>
      <c r="B100" s="246" t="s">
        <v>3110</v>
      </c>
      <c r="C100" s="246" t="s">
        <v>1470</v>
      </c>
      <c r="D100" s="246" t="s">
        <v>3111</v>
      </c>
      <c r="E100" s="246">
        <v>4</v>
      </c>
      <c r="F100" s="246" t="s">
        <v>2309</v>
      </c>
      <c r="G100" s="246" t="s">
        <v>2310</v>
      </c>
      <c r="H100" s="247">
        <v>12</v>
      </c>
      <c r="I100" s="246" t="s">
        <v>1208</v>
      </c>
      <c r="J100" s="247">
        <v>144</v>
      </c>
      <c r="K100" s="246" t="s">
        <v>2295</v>
      </c>
      <c r="L100" s="246" t="s">
        <v>2345</v>
      </c>
      <c r="M100" s="246">
        <v>13</v>
      </c>
      <c r="N100" s="246"/>
      <c r="O100" s="246" t="s">
        <v>3112</v>
      </c>
      <c r="P100" s="246" t="s">
        <v>6432</v>
      </c>
      <c r="Q100" s="246" t="s">
        <v>3109</v>
      </c>
      <c r="R100" s="248"/>
    </row>
    <row r="101" spans="1:18" x14ac:dyDescent="0.7">
      <c r="A101" s="246" t="s">
        <v>3113</v>
      </c>
      <c r="B101" s="246" t="s">
        <v>3114</v>
      </c>
      <c r="C101" s="246" t="s">
        <v>1471</v>
      </c>
      <c r="D101" s="246" t="s">
        <v>3115</v>
      </c>
      <c r="E101" s="246">
        <v>4</v>
      </c>
      <c r="F101" s="246" t="s">
        <v>2309</v>
      </c>
      <c r="G101" s="246" t="s">
        <v>2310</v>
      </c>
      <c r="H101" s="247">
        <v>12</v>
      </c>
      <c r="I101" s="246" t="s">
        <v>1208</v>
      </c>
      <c r="J101" s="247">
        <v>220</v>
      </c>
      <c r="K101" s="246" t="s">
        <v>2295</v>
      </c>
      <c r="L101" s="246" t="s">
        <v>2345</v>
      </c>
      <c r="M101" s="246">
        <v>13</v>
      </c>
      <c r="N101" s="246"/>
      <c r="O101" s="246" t="s">
        <v>3116</v>
      </c>
      <c r="P101" s="246" t="s">
        <v>6432</v>
      </c>
      <c r="Q101" s="246" t="s">
        <v>3113</v>
      </c>
      <c r="R101" s="248"/>
    </row>
    <row r="102" spans="1:18" x14ac:dyDescent="0.7">
      <c r="A102" s="246" t="s">
        <v>3117</v>
      </c>
      <c r="B102" s="246" t="s">
        <v>3118</v>
      </c>
      <c r="C102" s="246" t="s">
        <v>1472</v>
      </c>
      <c r="D102" s="246" t="s">
        <v>3119</v>
      </c>
      <c r="E102" s="246">
        <v>4</v>
      </c>
      <c r="F102" s="246" t="s">
        <v>2309</v>
      </c>
      <c r="G102" s="246" t="s">
        <v>2310</v>
      </c>
      <c r="H102" s="247">
        <v>12</v>
      </c>
      <c r="I102" s="246" t="s">
        <v>1208</v>
      </c>
      <c r="J102" s="247">
        <v>58</v>
      </c>
      <c r="K102" s="246" t="s">
        <v>2295</v>
      </c>
      <c r="L102" s="246" t="s">
        <v>2311</v>
      </c>
      <c r="M102" s="246">
        <v>6</v>
      </c>
      <c r="N102" s="246"/>
      <c r="O102" s="246" t="s">
        <v>3120</v>
      </c>
      <c r="P102" s="246" t="s">
        <v>6436</v>
      </c>
      <c r="Q102" s="246" t="s">
        <v>3117</v>
      </c>
      <c r="R102" s="248"/>
    </row>
    <row r="103" spans="1:18" x14ac:dyDescent="0.7">
      <c r="A103" s="246" t="s">
        <v>3121</v>
      </c>
      <c r="B103" s="246" t="s">
        <v>3122</v>
      </c>
      <c r="C103" s="246" t="s">
        <v>1473</v>
      </c>
      <c r="D103" s="246" t="s">
        <v>3123</v>
      </c>
      <c r="E103" s="246">
        <v>4</v>
      </c>
      <c r="F103" s="246" t="s">
        <v>2309</v>
      </c>
      <c r="G103" s="246" t="s">
        <v>2310</v>
      </c>
      <c r="H103" s="247">
        <v>12</v>
      </c>
      <c r="I103" s="246" t="s">
        <v>1208</v>
      </c>
      <c r="J103" s="247">
        <v>76</v>
      </c>
      <c r="K103" s="246" t="s">
        <v>2295</v>
      </c>
      <c r="L103" s="246" t="s">
        <v>2316</v>
      </c>
      <c r="M103" s="246">
        <v>10</v>
      </c>
      <c r="N103" s="246"/>
      <c r="O103" s="246" t="s">
        <v>3124</v>
      </c>
      <c r="P103" s="246" t="s">
        <v>6433</v>
      </c>
      <c r="Q103" s="246" t="s">
        <v>3121</v>
      </c>
      <c r="R103" s="248"/>
    </row>
    <row r="104" spans="1:18" x14ac:dyDescent="0.7">
      <c r="A104" s="246" t="s">
        <v>3132</v>
      </c>
      <c r="B104" s="246" t="s">
        <v>3133</v>
      </c>
      <c r="C104" s="246" t="s">
        <v>1475</v>
      </c>
      <c r="D104" s="246" t="s">
        <v>3134</v>
      </c>
      <c r="E104" s="246">
        <v>4</v>
      </c>
      <c r="F104" s="246" t="s">
        <v>2309</v>
      </c>
      <c r="G104" s="246" t="s">
        <v>2310</v>
      </c>
      <c r="H104" s="247">
        <v>13</v>
      </c>
      <c r="I104" s="246" t="s">
        <v>1209</v>
      </c>
      <c r="J104" s="247">
        <v>94</v>
      </c>
      <c r="K104" s="246" t="s">
        <v>2303</v>
      </c>
      <c r="L104" s="246" t="s">
        <v>2311</v>
      </c>
      <c r="M104" s="246">
        <v>7</v>
      </c>
      <c r="N104" s="246"/>
      <c r="O104" s="246" t="s">
        <v>3135</v>
      </c>
      <c r="P104" s="246" t="s">
        <v>6434</v>
      </c>
      <c r="Q104" s="246" t="s">
        <v>3132</v>
      </c>
      <c r="R104" s="248"/>
    </row>
    <row r="105" spans="1:18" x14ac:dyDescent="0.7">
      <c r="A105" s="246" t="s">
        <v>3136</v>
      </c>
      <c r="B105" s="246" t="s">
        <v>3137</v>
      </c>
      <c r="C105" s="246" t="s">
        <v>1476</v>
      </c>
      <c r="D105" s="246" t="s">
        <v>3138</v>
      </c>
      <c r="E105" s="246">
        <v>4</v>
      </c>
      <c r="F105" s="246" t="s">
        <v>2309</v>
      </c>
      <c r="G105" s="246" t="s">
        <v>2310</v>
      </c>
      <c r="H105" s="247">
        <v>13</v>
      </c>
      <c r="I105" s="246" t="s">
        <v>1209</v>
      </c>
      <c r="J105" s="247">
        <v>120</v>
      </c>
      <c r="K105" s="246" t="s">
        <v>2303</v>
      </c>
      <c r="L105" s="246" t="s">
        <v>2345</v>
      </c>
      <c r="M105" s="246">
        <v>13</v>
      </c>
      <c r="N105" s="246"/>
      <c r="O105" s="246" t="s">
        <v>3139</v>
      </c>
      <c r="P105" s="246" t="s">
        <v>6432</v>
      </c>
      <c r="Q105" s="246" t="s">
        <v>3136</v>
      </c>
      <c r="R105" s="248"/>
    </row>
    <row r="106" spans="1:18" x14ac:dyDescent="0.7">
      <c r="A106" s="246" t="s">
        <v>3140</v>
      </c>
      <c r="B106" s="246" t="s">
        <v>3141</v>
      </c>
      <c r="C106" s="246" t="s">
        <v>1477</v>
      </c>
      <c r="D106" s="246" t="s">
        <v>3142</v>
      </c>
      <c r="E106" s="246">
        <v>4</v>
      </c>
      <c r="F106" s="246" t="s">
        <v>2309</v>
      </c>
      <c r="G106" s="246" t="s">
        <v>2310</v>
      </c>
      <c r="H106" s="247">
        <v>13</v>
      </c>
      <c r="I106" s="246" t="s">
        <v>1209</v>
      </c>
      <c r="J106" s="247">
        <v>67</v>
      </c>
      <c r="K106" s="246" t="s">
        <v>2303</v>
      </c>
      <c r="L106" s="246" t="s">
        <v>2311</v>
      </c>
      <c r="M106" s="246">
        <v>6</v>
      </c>
      <c r="N106" s="246"/>
      <c r="O106" s="246" t="s">
        <v>3143</v>
      </c>
      <c r="P106" s="246" t="s">
        <v>6436</v>
      </c>
      <c r="Q106" s="246" t="s">
        <v>3140</v>
      </c>
      <c r="R106" s="248"/>
    </row>
    <row r="107" spans="1:18" x14ac:dyDescent="0.7">
      <c r="A107" s="246" t="s">
        <v>3144</v>
      </c>
      <c r="B107" s="246" t="s">
        <v>3145</v>
      </c>
      <c r="C107" s="246" t="s">
        <v>1478</v>
      </c>
      <c r="D107" s="246" t="s">
        <v>3146</v>
      </c>
      <c r="E107" s="246">
        <v>4</v>
      </c>
      <c r="F107" s="246" t="s">
        <v>2309</v>
      </c>
      <c r="G107" s="246" t="s">
        <v>2310</v>
      </c>
      <c r="H107" s="247">
        <v>13</v>
      </c>
      <c r="I107" s="246" t="s">
        <v>1209</v>
      </c>
      <c r="J107" s="247">
        <v>37</v>
      </c>
      <c r="K107" s="246" t="s">
        <v>2303</v>
      </c>
      <c r="L107" s="246" t="s">
        <v>2311</v>
      </c>
      <c r="M107" s="246">
        <v>6</v>
      </c>
      <c r="N107" s="246"/>
      <c r="O107" s="246" t="s">
        <v>3147</v>
      </c>
      <c r="P107" s="246" t="s">
        <v>6436</v>
      </c>
      <c r="Q107" s="246" t="s">
        <v>3144</v>
      </c>
      <c r="R107" s="248"/>
    </row>
    <row r="108" spans="1:18" x14ac:dyDescent="0.7">
      <c r="A108" s="246" t="s">
        <v>3148</v>
      </c>
      <c r="B108" s="246" t="s">
        <v>3149</v>
      </c>
      <c r="C108" s="246" t="s">
        <v>1479</v>
      </c>
      <c r="D108" s="246" t="s">
        <v>3150</v>
      </c>
      <c r="E108" s="246">
        <v>4</v>
      </c>
      <c r="F108" s="246" t="s">
        <v>2309</v>
      </c>
      <c r="G108" s="246" t="s">
        <v>2310</v>
      </c>
      <c r="H108" s="247">
        <v>13</v>
      </c>
      <c r="I108" s="246" t="s">
        <v>1209</v>
      </c>
      <c r="J108" s="247">
        <v>34</v>
      </c>
      <c r="K108" s="246" t="s">
        <v>2303</v>
      </c>
      <c r="L108" s="246" t="s">
        <v>2311</v>
      </c>
      <c r="M108" s="246">
        <v>5</v>
      </c>
      <c r="N108" s="246"/>
      <c r="O108" s="246" t="s">
        <v>3151</v>
      </c>
      <c r="P108" s="246" t="s">
        <v>6437</v>
      </c>
      <c r="Q108" s="246" t="s">
        <v>3148</v>
      </c>
      <c r="R108" s="248"/>
    </row>
    <row r="109" spans="1:18" x14ac:dyDescent="0.7">
      <c r="A109" s="246" t="s">
        <v>3152</v>
      </c>
      <c r="B109" s="246" t="s">
        <v>3153</v>
      </c>
      <c r="C109" s="246" t="s">
        <v>1480</v>
      </c>
      <c r="D109" s="246" t="s">
        <v>3154</v>
      </c>
      <c r="E109" s="246">
        <v>4</v>
      </c>
      <c r="F109" s="246" t="s">
        <v>2309</v>
      </c>
      <c r="G109" s="246" t="s">
        <v>2310</v>
      </c>
      <c r="H109" s="247">
        <v>13</v>
      </c>
      <c r="I109" s="246" t="s">
        <v>1209</v>
      </c>
      <c r="J109" s="247">
        <v>55</v>
      </c>
      <c r="K109" s="246" t="s">
        <v>2303</v>
      </c>
      <c r="L109" s="246" t="s">
        <v>2311</v>
      </c>
      <c r="M109" s="246">
        <v>6</v>
      </c>
      <c r="N109" s="246"/>
      <c r="O109" s="246" t="s">
        <v>3155</v>
      </c>
      <c r="P109" s="246" t="s">
        <v>6436</v>
      </c>
      <c r="Q109" s="246" t="s">
        <v>3152</v>
      </c>
      <c r="R109" s="248"/>
    </row>
    <row r="110" spans="1:18" x14ac:dyDescent="0.7">
      <c r="A110" s="246" t="s">
        <v>3156</v>
      </c>
      <c r="B110" s="246" t="s">
        <v>3157</v>
      </c>
      <c r="C110" s="246" t="s">
        <v>1481</v>
      </c>
      <c r="D110" s="246" t="s">
        <v>3158</v>
      </c>
      <c r="E110" s="246">
        <v>4</v>
      </c>
      <c r="F110" s="246" t="s">
        <v>2309</v>
      </c>
      <c r="G110" s="246" t="s">
        <v>2310</v>
      </c>
      <c r="H110" s="247">
        <v>13</v>
      </c>
      <c r="I110" s="246" t="s">
        <v>1209</v>
      </c>
      <c r="J110" s="247">
        <v>37</v>
      </c>
      <c r="K110" s="246" t="s">
        <v>2303</v>
      </c>
      <c r="L110" s="246" t="s">
        <v>2311</v>
      </c>
      <c r="M110" s="246">
        <v>5</v>
      </c>
      <c r="N110" s="246"/>
      <c r="O110" s="246" t="s">
        <v>3159</v>
      </c>
      <c r="P110" s="246" t="s">
        <v>6437</v>
      </c>
      <c r="Q110" s="246" t="s">
        <v>3156</v>
      </c>
      <c r="R110" s="248"/>
    </row>
    <row r="111" spans="1:18" x14ac:dyDescent="0.7">
      <c r="A111" s="246" t="s">
        <v>3167</v>
      </c>
      <c r="B111" s="246" t="s">
        <v>3168</v>
      </c>
      <c r="C111" s="246" t="s">
        <v>1484</v>
      </c>
      <c r="D111" s="246" t="s">
        <v>3169</v>
      </c>
      <c r="E111" s="246">
        <v>4</v>
      </c>
      <c r="F111" s="246" t="s">
        <v>2309</v>
      </c>
      <c r="G111" s="246" t="s">
        <v>2310</v>
      </c>
      <c r="H111" s="247">
        <v>14</v>
      </c>
      <c r="I111" s="246" t="s">
        <v>1210</v>
      </c>
      <c r="J111" s="247">
        <v>30</v>
      </c>
      <c r="K111" s="246" t="s">
        <v>2295</v>
      </c>
      <c r="L111" s="246" t="s">
        <v>2311</v>
      </c>
      <c r="M111" s="246">
        <v>5</v>
      </c>
      <c r="N111" s="246"/>
      <c r="O111" s="246" t="s">
        <v>3170</v>
      </c>
      <c r="P111" s="246" t="s">
        <v>6437</v>
      </c>
      <c r="Q111" s="246" t="s">
        <v>3167</v>
      </c>
      <c r="R111" s="248"/>
    </row>
    <row r="112" spans="1:18" x14ac:dyDescent="0.7">
      <c r="A112" s="246" t="s">
        <v>3171</v>
      </c>
      <c r="B112" s="246" t="s">
        <v>3172</v>
      </c>
      <c r="C112" s="246" t="s">
        <v>1485</v>
      </c>
      <c r="D112" s="246" t="s">
        <v>3173</v>
      </c>
      <c r="E112" s="246">
        <v>4</v>
      </c>
      <c r="F112" s="246" t="s">
        <v>2309</v>
      </c>
      <c r="G112" s="246" t="s">
        <v>2310</v>
      </c>
      <c r="H112" s="247">
        <v>14</v>
      </c>
      <c r="I112" s="246" t="s">
        <v>1210</v>
      </c>
      <c r="J112" s="247">
        <v>60</v>
      </c>
      <c r="K112" s="246" t="s">
        <v>2303</v>
      </c>
      <c r="L112" s="246" t="s">
        <v>2311</v>
      </c>
      <c r="M112" s="246">
        <v>5</v>
      </c>
      <c r="N112" s="246"/>
      <c r="O112" s="246" t="s">
        <v>3174</v>
      </c>
      <c r="P112" s="246" t="s">
        <v>6437</v>
      </c>
      <c r="Q112" s="246" t="s">
        <v>3171</v>
      </c>
      <c r="R112" s="248"/>
    </row>
    <row r="113" spans="1:18" x14ac:dyDescent="0.7">
      <c r="A113" s="246" t="s">
        <v>3175</v>
      </c>
      <c r="B113" s="246" t="s">
        <v>3176</v>
      </c>
      <c r="C113" s="246" t="s">
        <v>1486</v>
      </c>
      <c r="D113" s="246" t="s">
        <v>3177</v>
      </c>
      <c r="E113" s="246">
        <v>4</v>
      </c>
      <c r="F113" s="246" t="s">
        <v>2309</v>
      </c>
      <c r="G113" s="246" t="s">
        <v>2310</v>
      </c>
      <c r="H113" s="247">
        <v>14</v>
      </c>
      <c r="I113" s="246" t="s">
        <v>1210</v>
      </c>
      <c r="J113" s="247">
        <v>40</v>
      </c>
      <c r="K113" s="246" t="s">
        <v>2303</v>
      </c>
      <c r="L113" s="246" t="s">
        <v>2311</v>
      </c>
      <c r="M113" s="246">
        <v>5</v>
      </c>
      <c r="N113" s="246"/>
      <c r="O113" s="246" t="s">
        <v>3178</v>
      </c>
      <c r="P113" s="246" t="s">
        <v>6437</v>
      </c>
      <c r="Q113" s="246" t="s">
        <v>3175</v>
      </c>
      <c r="R113" s="248"/>
    </row>
    <row r="114" spans="1:18" x14ac:dyDescent="0.7">
      <c r="A114" s="246" t="s">
        <v>3179</v>
      </c>
      <c r="B114" s="246" t="s">
        <v>3180</v>
      </c>
      <c r="C114" s="246" t="s">
        <v>1487</v>
      </c>
      <c r="D114" s="246" t="s">
        <v>3181</v>
      </c>
      <c r="E114" s="246">
        <v>4</v>
      </c>
      <c r="F114" s="246" t="s">
        <v>2309</v>
      </c>
      <c r="G114" s="246" t="s">
        <v>2310</v>
      </c>
      <c r="H114" s="247">
        <v>14</v>
      </c>
      <c r="I114" s="246" t="s">
        <v>1210</v>
      </c>
      <c r="J114" s="247">
        <v>26</v>
      </c>
      <c r="K114" s="246" t="s">
        <v>2303</v>
      </c>
      <c r="L114" s="246" t="s">
        <v>2311</v>
      </c>
      <c r="M114" s="246">
        <v>5</v>
      </c>
      <c r="N114" s="246"/>
      <c r="O114" s="246" t="s">
        <v>3182</v>
      </c>
      <c r="P114" s="246" t="s">
        <v>6437</v>
      </c>
      <c r="Q114" s="246" t="s">
        <v>3179</v>
      </c>
      <c r="R114" s="248"/>
    </row>
    <row r="115" spans="1:18" x14ac:dyDescent="0.7">
      <c r="A115" s="246" t="s">
        <v>3183</v>
      </c>
      <c r="B115" s="246" t="s">
        <v>3184</v>
      </c>
      <c r="C115" s="246" t="s">
        <v>1488</v>
      </c>
      <c r="D115" s="246" t="s">
        <v>3185</v>
      </c>
      <c r="E115" s="246">
        <v>4</v>
      </c>
      <c r="F115" s="246" t="s">
        <v>2309</v>
      </c>
      <c r="G115" s="246" t="s">
        <v>2310</v>
      </c>
      <c r="H115" s="247">
        <v>14</v>
      </c>
      <c r="I115" s="246" t="s">
        <v>1210</v>
      </c>
      <c r="J115" s="247">
        <v>90</v>
      </c>
      <c r="K115" s="246" t="s">
        <v>2303</v>
      </c>
      <c r="L115" s="246" t="s">
        <v>2345</v>
      </c>
      <c r="M115" s="246">
        <v>12</v>
      </c>
      <c r="N115" s="246"/>
      <c r="O115" s="246" t="s">
        <v>3186</v>
      </c>
      <c r="P115" s="246" t="s">
        <v>6438</v>
      </c>
      <c r="Q115" s="246" t="s">
        <v>3183</v>
      </c>
      <c r="R115" s="248"/>
    </row>
    <row r="116" spans="1:18" x14ac:dyDescent="0.7">
      <c r="A116" s="246" t="s">
        <v>3187</v>
      </c>
      <c r="B116" s="246" t="s">
        <v>3188</v>
      </c>
      <c r="C116" s="246" t="s">
        <v>1489</v>
      </c>
      <c r="D116" s="246" t="s">
        <v>3189</v>
      </c>
      <c r="E116" s="246">
        <v>4</v>
      </c>
      <c r="F116" s="246" t="s">
        <v>2309</v>
      </c>
      <c r="G116" s="246" t="s">
        <v>2310</v>
      </c>
      <c r="H116" s="247">
        <v>14</v>
      </c>
      <c r="I116" s="246" t="s">
        <v>1210</v>
      </c>
      <c r="J116" s="247">
        <v>30</v>
      </c>
      <c r="K116" s="246" t="s">
        <v>2295</v>
      </c>
      <c r="L116" s="246" t="s">
        <v>2311</v>
      </c>
      <c r="M116" s="246">
        <v>5</v>
      </c>
      <c r="N116" s="246"/>
      <c r="O116" s="246" t="s">
        <v>3190</v>
      </c>
      <c r="P116" s="246" t="s">
        <v>6437</v>
      </c>
      <c r="Q116" s="246" t="s">
        <v>3187</v>
      </c>
      <c r="R116" s="248"/>
    </row>
    <row r="117" spans="1:18" x14ac:dyDescent="0.7">
      <c r="A117" s="246" t="s">
        <v>3191</v>
      </c>
      <c r="B117" s="246" t="s">
        <v>3192</v>
      </c>
      <c r="C117" s="246" t="s">
        <v>1490</v>
      </c>
      <c r="D117" s="246" t="s">
        <v>3193</v>
      </c>
      <c r="E117" s="246">
        <v>4</v>
      </c>
      <c r="F117" s="246" t="s">
        <v>2309</v>
      </c>
      <c r="G117" s="246" t="s">
        <v>2310</v>
      </c>
      <c r="H117" s="247">
        <v>14</v>
      </c>
      <c r="I117" s="246" t="s">
        <v>1210</v>
      </c>
      <c r="J117" s="247">
        <v>31</v>
      </c>
      <c r="K117" s="246" t="s">
        <v>2303</v>
      </c>
      <c r="L117" s="246" t="s">
        <v>2311</v>
      </c>
      <c r="M117" s="246">
        <v>5</v>
      </c>
      <c r="N117" s="246"/>
      <c r="O117" s="246" t="s">
        <v>3194</v>
      </c>
      <c r="P117" s="246" t="s">
        <v>6437</v>
      </c>
      <c r="Q117" s="246" t="s">
        <v>3191</v>
      </c>
      <c r="R117" s="248"/>
    </row>
    <row r="118" spans="1:18" x14ac:dyDescent="0.7">
      <c r="A118" s="246" t="s">
        <v>3195</v>
      </c>
      <c r="B118" s="246" t="s">
        <v>3196</v>
      </c>
      <c r="C118" s="246" t="s">
        <v>1491</v>
      </c>
      <c r="D118" s="246" t="s">
        <v>3197</v>
      </c>
      <c r="E118" s="246">
        <v>4</v>
      </c>
      <c r="F118" s="246" t="s">
        <v>2309</v>
      </c>
      <c r="G118" s="246" t="s">
        <v>2310</v>
      </c>
      <c r="H118" s="247">
        <v>14</v>
      </c>
      <c r="I118" s="246" t="s">
        <v>1210</v>
      </c>
      <c r="J118" s="247">
        <v>46</v>
      </c>
      <c r="K118" s="246" t="s">
        <v>2303</v>
      </c>
      <c r="L118" s="246" t="s">
        <v>2311</v>
      </c>
      <c r="M118" s="246">
        <v>5</v>
      </c>
      <c r="N118" s="246"/>
      <c r="O118" s="246" t="s">
        <v>3198</v>
      </c>
      <c r="P118" s="246" t="s">
        <v>6437</v>
      </c>
      <c r="Q118" s="246" t="s">
        <v>3195</v>
      </c>
      <c r="R118" s="248"/>
    </row>
    <row r="119" spans="1:18" x14ac:dyDescent="0.7">
      <c r="A119" s="246" t="s">
        <v>3199</v>
      </c>
      <c r="B119" s="246" t="s">
        <v>3200</v>
      </c>
      <c r="C119" s="246" t="s">
        <v>1492</v>
      </c>
      <c r="D119" s="246" t="s">
        <v>3201</v>
      </c>
      <c r="E119" s="246">
        <v>4</v>
      </c>
      <c r="F119" s="246" t="s">
        <v>2309</v>
      </c>
      <c r="G119" s="246" t="s">
        <v>2310</v>
      </c>
      <c r="H119" s="247">
        <v>14</v>
      </c>
      <c r="I119" s="246" t="s">
        <v>1210</v>
      </c>
      <c r="J119" s="247">
        <v>40</v>
      </c>
      <c r="K119" s="246" t="s">
        <v>2295</v>
      </c>
      <c r="L119" s="246" t="s">
        <v>2311</v>
      </c>
      <c r="M119" s="246">
        <v>5</v>
      </c>
      <c r="N119" s="246"/>
      <c r="O119" s="246" t="s">
        <v>3202</v>
      </c>
      <c r="P119" s="246" t="s">
        <v>6437</v>
      </c>
      <c r="Q119" s="246" t="s">
        <v>3199</v>
      </c>
      <c r="R119" s="248"/>
    </row>
    <row r="120" spans="1:18" x14ac:dyDescent="0.7">
      <c r="A120" s="246" t="s">
        <v>3203</v>
      </c>
      <c r="B120" s="246" t="s">
        <v>3204</v>
      </c>
      <c r="C120" s="246" t="s">
        <v>1493</v>
      </c>
      <c r="D120" s="246" t="s">
        <v>3205</v>
      </c>
      <c r="E120" s="246">
        <v>4</v>
      </c>
      <c r="F120" s="246" t="s">
        <v>2309</v>
      </c>
      <c r="G120" s="246" t="s">
        <v>2310</v>
      </c>
      <c r="H120" s="247">
        <v>14</v>
      </c>
      <c r="I120" s="246" t="s">
        <v>1210</v>
      </c>
      <c r="J120" s="247">
        <v>90</v>
      </c>
      <c r="K120" s="246" t="s">
        <v>2295</v>
      </c>
      <c r="L120" s="246" t="s">
        <v>2316</v>
      </c>
      <c r="M120" s="246">
        <v>9</v>
      </c>
      <c r="N120" s="246"/>
      <c r="O120" s="246" t="s">
        <v>3206</v>
      </c>
      <c r="P120" s="246" t="s">
        <v>6435</v>
      </c>
      <c r="Q120" s="246" t="s">
        <v>3203</v>
      </c>
      <c r="R120" s="248"/>
    </row>
    <row r="121" spans="1:18" x14ac:dyDescent="0.7">
      <c r="A121" s="246" t="s">
        <v>3207</v>
      </c>
      <c r="B121" s="246" t="s">
        <v>3208</v>
      </c>
      <c r="C121" s="246" t="s">
        <v>1494</v>
      </c>
      <c r="D121" s="246" t="s">
        <v>3209</v>
      </c>
      <c r="E121" s="246">
        <v>4</v>
      </c>
      <c r="F121" s="246" t="s">
        <v>2309</v>
      </c>
      <c r="G121" s="246" t="s">
        <v>2310</v>
      </c>
      <c r="H121" s="247">
        <v>14</v>
      </c>
      <c r="I121" s="246" t="s">
        <v>1210</v>
      </c>
      <c r="J121" s="247">
        <v>10</v>
      </c>
      <c r="K121" s="246" t="s">
        <v>2303</v>
      </c>
      <c r="L121" s="246" t="s">
        <v>2398</v>
      </c>
      <c r="M121" s="246">
        <v>2</v>
      </c>
      <c r="N121" s="246"/>
      <c r="O121" s="246" t="s">
        <v>3210</v>
      </c>
      <c r="P121" s="246" t="s">
        <v>6424</v>
      </c>
      <c r="Q121" s="246" t="s">
        <v>3207</v>
      </c>
      <c r="R121" s="248"/>
    </row>
    <row r="122" spans="1:18" x14ac:dyDescent="0.7">
      <c r="A122" s="246" t="s">
        <v>3211</v>
      </c>
      <c r="B122" s="246" t="s">
        <v>3212</v>
      </c>
      <c r="C122" s="246" t="s">
        <v>1495</v>
      </c>
      <c r="D122" s="246" t="s">
        <v>3213</v>
      </c>
      <c r="E122" s="246">
        <v>4</v>
      </c>
      <c r="F122" s="246" t="s">
        <v>2309</v>
      </c>
      <c r="G122" s="246" t="s">
        <v>2310</v>
      </c>
      <c r="H122" s="247">
        <v>14</v>
      </c>
      <c r="I122" s="246" t="s">
        <v>1210</v>
      </c>
      <c r="J122" s="247">
        <v>30</v>
      </c>
      <c r="K122" s="246" t="s">
        <v>2303</v>
      </c>
      <c r="L122" s="246" t="s">
        <v>2311</v>
      </c>
      <c r="M122" s="246">
        <v>6</v>
      </c>
      <c r="N122" s="246"/>
      <c r="O122" s="246" t="s">
        <v>3214</v>
      </c>
      <c r="P122" s="246" t="s">
        <v>6436</v>
      </c>
      <c r="Q122" s="246" t="s">
        <v>3211</v>
      </c>
      <c r="R122" s="248"/>
    </row>
    <row r="123" spans="1:18" x14ac:dyDescent="0.7">
      <c r="A123" s="246" t="s">
        <v>3215</v>
      </c>
      <c r="B123" s="246" t="s">
        <v>3216</v>
      </c>
      <c r="C123" s="246" t="s">
        <v>1496</v>
      </c>
      <c r="D123" s="246" t="s">
        <v>3217</v>
      </c>
      <c r="E123" s="246">
        <v>4</v>
      </c>
      <c r="F123" s="246" t="s">
        <v>2309</v>
      </c>
      <c r="G123" s="246" t="s">
        <v>2310</v>
      </c>
      <c r="H123" s="247">
        <v>14</v>
      </c>
      <c r="I123" s="246" t="s">
        <v>1210</v>
      </c>
      <c r="J123" s="247">
        <v>24</v>
      </c>
      <c r="K123" s="246" t="s">
        <v>2303</v>
      </c>
      <c r="L123" s="246" t="s">
        <v>2398</v>
      </c>
      <c r="M123" s="246">
        <v>2</v>
      </c>
      <c r="N123" s="246"/>
      <c r="O123" s="246" t="s">
        <v>3218</v>
      </c>
      <c r="P123" s="246" t="s">
        <v>6424</v>
      </c>
      <c r="Q123" s="246" t="s">
        <v>3215</v>
      </c>
      <c r="R123" s="248"/>
    </row>
    <row r="124" spans="1:18" x14ac:dyDescent="0.7">
      <c r="A124" s="246" t="s">
        <v>3219</v>
      </c>
      <c r="B124" s="246" t="s">
        <v>3220</v>
      </c>
      <c r="C124" s="246" t="s">
        <v>1497</v>
      </c>
      <c r="D124" s="246" t="s">
        <v>3221</v>
      </c>
      <c r="E124" s="246">
        <v>4</v>
      </c>
      <c r="F124" s="246" t="s">
        <v>2309</v>
      </c>
      <c r="G124" s="246" t="s">
        <v>2310</v>
      </c>
      <c r="H124" s="247">
        <v>14</v>
      </c>
      <c r="I124" s="246" t="s">
        <v>1210</v>
      </c>
      <c r="J124" s="247">
        <v>22</v>
      </c>
      <c r="K124" s="246" t="s">
        <v>2303</v>
      </c>
      <c r="L124" s="246" t="s">
        <v>2398</v>
      </c>
      <c r="M124" s="246">
        <v>2</v>
      </c>
      <c r="N124" s="246"/>
      <c r="O124" s="246" t="s">
        <v>3222</v>
      </c>
      <c r="P124" s="246" t="s">
        <v>6424</v>
      </c>
      <c r="Q124" s="246" t="s">
        <v>3219</v>
      </c>
      <c r="R124" s="248"/>
    </row>
    <row r="125" spans="1:18" x14ac:dyDescent="0.7">
      <c r="A125" s="246" t="s">
        <v>3226</v>
      </c>
      <c r="B125" s="246" t="s">
        <v>3227</v>
      </c>
      <c r="C125" s="246" t="s">
        <v>1528</v>
      </c>
      <c r="D125" s="246" t="s">
        <v>3228</v>
      </c>
      <c r="E125" s="246">
        <v>4</v>
      </c>
      <c r="F125" s="246" t="s">
        <v>2309</v>
      </c>
      <c r="G125" s="246" t="s">
        <v>2310</v>
      </c>
      <c r="H125" s="247">
        <v>15</v>
      </c>
      <c r="I125" s="246" t="s">
        <v>1214</v>
      </c>
      <c r="J125" s="247">
        <v>36</v>
      </c>
      <c r="K125" s="246" t="s">
        <v>2303</v>
      </c>
      <c r="L125" s="246" t="s">
        <v>2311</v>
      </c>
      <c r="M125" s="246">
        <v>5</v>
      </c>
      <c r="N125" s="246"/>
      <c r="O125" s="246" t="s">
        <v>3229</v>
      </c>
      <c r="P125" s="246" t="s">
        <v>6437</v>
      </c>
      <c r="Q125" s="246" t="s">
        <v>3226</v>
      </c>
      <c r="R125" s="248"/>
    </row>
    <row r="126" spans="1:18" x14ac:dyDescent="0.7">
      <c r="A126" s="246" t="s">
        <v>3230</v>
      </c>
      <c r="B126" s="246" t="s">
        <v>3231</v>
      </c>
      <c r="C126" s="246" t="s">
        <v>1529</v>
      </c>
      <c r="D126" s="246" t="s">
        <v>3232</v>
      </c>
      <c r="E126" s="246">
        <v>4</v>
      </c>
      <c r="F126" s="246" t="s">
        <v>2309</v>
      </c>
      <c r="G126" s="246" t="s">
        <v>2310</v>
      </c>
      <c r="H126" s="247">
        <v>15</v>
      </c>
      <c r="I126" s="246" t="s">
        <v>1214</v>
      </c>
      <c r="J126" s="247">
        <v>54</v>
      </c>
      <c r="K126" s="246" t="s">
        <v>2303</v>
      </c>
      <c r="L126" s="246" t="s">
        <v>2311</v>
      </c>
      <c r="M126" s="246">
        <v>5</v>
      </c>
      <c r="N126" s="246"/>
      <c r="O126" s="246" t="s">
        <v>3233</v>
      </c>
      <c r="P126" s="246" t="s">
        <v>6437</v>
      </c>
      <c r="Q126" s="246" t="s">
        <v>3230</v>
      </c>
      <c r="R126" s="248"/>
    </row>
    <row r="127" spans="1:18" x14ac:dyDescent="0.7">
      <c r="A127" s="246" t="s">
        <v>3234</v>
      </c>
      <c r="B127" s="246" t="s">
        <v>3235</v>
      </c>
      <c r="C127" s="246" t="s">
        <v>1530</v>
      </c>
      <c r="D127" s="246" t="s">
        <v>3236</v>
      </c>
      <c r="E127" s="246">
        <v>4</v>
      </c>
      <c r="F127" s="246" t="s">
        <v>2309</v>
      </c>
      <c r="G127" s="246" t="s">
        <v>2310</v>
      </c>
      <c r="H127" s="247">
        <v>15</v>
      </c>
      <c r="I127" s="246" t="s">
        <v>1214</v>
      </c>
      <c r="J127" s="247">
        <v>81</v>
      </c>
      <c r="K127" s="246" t="s">
        <v>2303</v>
      </c>
      <c r="L127" s="246" t="s">
        <v>2311</v>
      </c>
      <c r="M127" s="246">
        <v>6</v>
      </c>
      <c r="N127" s="246"/>
      <c r="O127" s="246" t="s">
        <v>3237</v>
      </c>
      <c r="P127" s="246" t="s">
        <v>6436</v>
      </c>
      <c r="Q127" s="246" t="s">
        <v>3234</v>
      </c>
      <c r="R127" s="248"/>
    </row>
    <row r="128" spans="1:18" x14ac:dyDescent="0.7">
      <c r="A128" s="246" t="s">
        <v>3238</v>
      </c>
      <c r="B128" s="246" t="s">
        <v>3239</v>
      </c>
      <c r="C128" s="246" t="s">
        <v>1531</v>
      </c>
      <c r="D128" s="246" t="s">
        <v>3240</v>
      </c>
      <c r="E128" s="246">
        <v>4</v>
      </c>
      <c r="F128" s="246" t="s">
        <v>2309</v>
      </c>
      <c r="G128" s="246" t="s">
        <v>2310</v>
      </c>
      <c r="H128" s="247">
        <v>15</v>
      </c>
      <c r="I128" s="246" t="s">
        <v>1214</v>
      </c>
      <c r="J128" s="247">
        <v>48</v>
      </c>
      <c r="K128" s="246" t="s">
        <v>2303</v>
      </c>
      <c r="L128" s="246" t="s">
        <v>2311</v>
      </c>
      <c r="M128" s="246">
        <v>5</v>
      </c>
      <c r="N128" s="246"/>
      <c r="O128" s="246" t="s">
        <v>3241</v>
      </c>
      <c r="P128" s="246" t="s">
        <v>6437</v>
      </c>
      <c r="Q128" s="246" t="s">
        <v>3238</v>
      </c>
      <c r="R128" s="248"/>
    </row>
    <row r="129" spans="1:18" x14ac:dyDescent="0.7">
      <c r="A129" s="246" t="s">
        <v>3242</v>
      </c>
      <c r="B129" s="246" t="s">
        <v>3243</v>
      </c>
      <c r="C129" s="246" t="s">
        <v>1532</v>
      </c>
      <c r="D129" s="246" t="s">
        <v>3244</v>
      </c>
      <c r="E129" s="246">
        <v>4</v>
      </c>
      <c r="F129" s="246" t="s">
        <v>2309</v>
      </c>
      <c r="G129" s="246" t="s">
        <v>2310</v>
      </c>
      <c r="H129" s="247">
        <v>15</v>
      </c>
      <c r="I129" s="246" t="s">
        <v>1214</v>
      </c>
      <c r="J129" s="247">
        <v>95</v>
      </c>
      <c r="K129" s="246" t="s">
        <v>2303</v>
      </c>
      <c r="L129" s="246" t="s">
        <v>2316</v>
      </c>
      <c r="M129" s="246">
        <v>9</v>
      </c>
      <c r="N129" s="246"/>
      <c r="O129" s="246" t="s">
        <v>3245</v>
      </c>
      <c r="P129" s="246" t="s">
        <v>6435</v>
      </c>
      <c r="Q129" s="246" t="s">
        <v>3242</v>
      </c>
      <c r="R129" s="248"/>
    </row>
    <row r="130" spans="1:18" x14ac:dyDescent="0.7">
      <c r="A130" s="246" t="s">
        <v>3246</v>
      </c>
      <c r="B130" s="246" t="s">
        <v>3247</v>
      </c>
      <c r="C130" s="246" t="s">
        <v>1533</v>
      </c>
      <c r="D130" s="246" t="s">
        <v>3248</v>
      </c>
      <c r="E130" s="246">
        <v>4</v>
      </c>
      <c r="F130" s="246" t="s">
        <v>2309</v>
      </c>
      <c r="G130" s="246" t="s">
        <v>2310</v>
      </c>
      <c r="H130" s="247">
        <v>15</v>
      </c>
      <c r="I130" s="246" t="s">
        <v>1214</v>
      </c>
      <c r="J130" s="247">
        <v>33</v>
      </c>
      <c r="K130" s="246" t="s">
        <v>2303</v>
      </c>
      <c r="L130" s="246" t="s">
        <v>2398</v>
      </c>
      <c r="M130" s="246">
        <v>2</v>
      </c>
      <c r="N130" s="246"/>
      <c r="O130" s="246" t="s">
        <v>3249</v>
      </c>
      <c r="P130" s="246" t="s">
        <v>6424</v>
      </c>
      <c r="Q130" s="246" t="s">
        <v>3246</v>
      </c>
      <c r="R130" s="248"/>
    </row>
    <row r="131" spans="1:18" x14ac:dyDescent="0.7">
      <c r="A131" s="246" t="s">
        <v>3258</v>
      </c>
      <c r="B131" s="246" t="s">
        <v>3259</v>
      </c>
      <c r="C131" s="246" t="s">
        <v>1500</v>
      </c>
      <c r="D131" s="246" t="s">
        <v>3260</v>
      </c>
      <c r="E131" s="246">
        <v>4</v>
      </c>
      <c r="F131" s="246" t="s">
        <v>2309</v>
      </c>
      <c r="G131" s="246" t="s">
        <v>2310</v>
      </c>
      <c r="H131" s="247">
        <v>16</v>
      </c>
      <c r="I131" s="246" t="s">
        <v>1211</v>
      </c>
      <c r="J131" s="247">
        <v>78</v>
      </c>
      <c r="K131" s="246" t="s">
        <v>2295</v>
      </c>
      <c r="L131" s="246" t="s">
        <v>2316</v>
      </c>
      <c r="M131" s="246">
        <v>9</v>
      </c>
      <c r="N131" s="246"/>
      <c r="O131" s="246" t="s">
        <v>3261</v>
      </c>
      <c r="P131" s="246" t="s">
        <v>6435</v>
      </c>
      <c r="Q131" s="246" t="s">
        <v>3258</v>
      </c>
      <c r="R131" s="248"/>
    </row>
    <row r="132" spans="1:18" x14ac:dyDescent="0.7">
      <c r="A132" s="246" t="s">
        <v>3262</v>
      </c>
      <c r="B132" s="246" t="s">
        <v>3263</v>
      </c>
      <c r="C132" s="246" t="s">
        <v>1501</v>
      </c>
      <c r="D132" s="246" t="s">
        <v>3264</v>
      </c>
      <c r="E132" s="246">
        <v>4</v>
      </c>
      <c r="F132" s="246" t="s">
        <v>2309</v>
      </c>
      <c r="G132" s="246" t="s">
        <v>2310</v>
      </c>
      <c r="H132" s="247">
        <v>16</v>
      </c>
      <c r="I132" s="246" t="s">
        <v>1211</v>
      </c>
      <c r="J132" s="247">
        <v>123</v>
      </c>
      <c r="K132" s="246" t="s">
        <v>2295</v>
      </c>
      <c r="L132" s="246" t="s">
        <v>2345</v>
      </c>
      <c r="M132" s="246">
        <v>13</v>
      </c>
      <c r="N132" s="246"/>
      <c r="O132" s="246" t="s">
        <v>3265</v>
      </c>
      <c r="P132" s="246" t="s">
        <v>6432</v>
      </c>
      <c r="Q132" s="246" t="s">
        <v>3262</v>
      </c>
      <c r="R132" s="248"/>
    </row>
    <row r="133" spans="1:18" x14ac:dyDescent="0.7">
      <c r="A133" s="246" t="s">
        <v>3266</v>
      </c>
      <c r="B133" s="246" t="s">
        <v>3267</v>
      </c>
      <c r="C133" s="246" t="s">
        <v>1502</v>
      </c>
      <c r="D133" s="246" t="s">
        <v>3268</v>
      </c>
      <c r="E133" s="246">
        <v>4</v>
      </c>
      <c r="F133" s="246" t="s">
        <v>2309</v>
      </c>
      <c r="G133" s="246" t="s">
        <v>2310</v>
      </c>
      <c r="H133" s="247">
        <v>16</v>
      </c>
      <c r="I133" s="246" t="s">
        <v>1211</v>
      </c>
      <c r="J133" s="247">
        <v>137</v>
      </c>
      <c r="K133" s="246" t="s">
        <v>2295</v>
      </c>
      <c r="L133" s="246" t="s">
        <v>2345</v>
      </c>
      <c r="M133" s="246">
        <v>13</v>
      </c>
      <c r="N133" s="246"/>
      <c r="O133" s="246" t="s">
        <v>3269</v>
      </c>
      <c r="P133" s="246" t="s">
        <v>6432</v>
      </c>
      <c r="Q133" s="246" t="s">
        <v>3266</v>
      </c>
      <c r="R133" s="248"/>
    </row>
    <row r="134" spans="1:18" x14ac:dyDescent="0.7">
      <c r="A134" s="246" t="s">
        <v>3270</v>
      </c>
      <c r="B134" s="246" t="s">
        <v>3271</v>
      </c>
      <c r="C134" s="246" t="s">
        <v>1503</v>
      </c>
      <c r="D134" s="246" t="s">
        <v>3272</v>
      </c>
      <c r="E134" s="246">
        <v>4</v>
      </c>
      <c r="F134" s="246" t="s">
        <v>2309</v>
      </c>
      <c r="G134" s="246" t="s">
        <v>2310</v>
      </c>
      <c r="H134" s="247">
        <v>16</v>
      </c>
      <c r="I134" s="246" t="s">
        <v>1211</v>
      </c>
      <c r="J134" s="247">
        <v>48</v>
      </c>
      <c r="K134" s="246" t="s">
        <v>2295</v>
      </c>
      <c r="L134" s="246" t="s">
        <v>2311</v>
      </c>
      <c r="M134" s="246">
        <v>6</v>
      </c>
      <c r="N134" s="246"/>
      <c r="O134" s="246" t="s">
        <v>3273</v>
      </c>
      <c r="P134" s="246" t="s">
        <v>6436</v>
      </c>
      <c r="Q134" s="246" t="s">
        <v>3270</v>
      </c>
      <c r="R134" s="248"/>
    </row>
    <row r="135" spans="1:18" x14ac:dyDescent="0.7">
      <c r="A135" s="246" t="s">
        <v>3274</v>
      </c>
      <c r="B135" s="246" t="s">
        <v>3275</v>
      </c>
      <c r="C135" s="246" t="s">
        <v>1504</v>
      </c>
      <c r="D135" s="246" t="s">
        <v>3276</v>
      </c>
      <c r="E135" s="246">
        <v>4</v>
      </c>
      <c r="F135" s="246" t="s">
        <v>2309</v>
      </c>
      <c r="G135" s="246" t="s">
        <v>2310</v>
      </c>
      <c r="H135" s="247">
        <v>16</v>
      </c>
      <c r="I135" s="246" t="s">
        <v>1211</v>
      </c>
      <c r="J135" s="247">
        <v>56</v>
      </c>
      <c r="K135" s="246" t="s">
        <v>2295</v>
      </c>
      <c r="L135" s="246" t="s">
        <v>2311</v>
      </c>
      <c r="M135" s="246">
        <v>5</v>
      </c>
      <c r="N135" s="246"/>
      <c r="O135" s="246" t="s">
        <v>3277</v>
      </c>
      <c r="P135" s="246" t="s">
        <v>6437</v>
      </c>
      <c r="Q135" s="246" t="s">
        <v>3274</v>
      </c>
      <c r="R135" s="248"/>
    </row>
    <row r="136" spans="1:18" x14ac:dyDescent="0.7">
      <c r="A136" s="246" t="s">
        <v>3278</v>
      </c>
      <c r="B136" s="246" t="s">
        <v>3279</v>
      </c>
      <c r="C136" s="246" t="s">
        <v>1505</v>
      </c>
      <c r="D136" s="246" t="s">
        <v>3280</v>
      </c>
      <c r="E136" s="246">
        <v>4</v>
      </c>
      <c r="F136" s="246" t="s">
        <v>2309</v>
      </c>
      <c r="G136" s="246" t="s">
        <v>2310</v>
      </c>
      <c r="H136" s="247">
        <v>16</v>
      </c>
      <c r="I136" s="246" t="s">
        <v>1211</v>
      </c>
      <c r="J136" s="247">
        <v>30</v>
      </c>
      <c r="K136" s="246" t="s">
        <v>2295</v>
      </c>
      <c r="L136" s="246" t="s">
        <v>2398</v>
      </c>
      <c r="M136" s="246">
        <v>2</v>
      </c>
      <c r="N136" s="246"/>
      <c r="O136" s="246" t="s">
        <v>3281</v>
      </c>
      <c r="P136" s="246" t="s">
        <v>6424</v>
      </c>
      <c r="Q136" s="246" t="s">
        <v>3278</v>
      </c>
      <c r="R136" s="248"/>
    </row>
    <row r="137" spans="1:18" x14ac:dyDescent="0.7">
      <c r="A137" s="246" t="s">
        <v>3282</v>
      </c>
      <c r="B137" s="246" t="s">
        <v>3283</v>
      </c>
      <c r="C137" s="246" t="s">
        <v>1506</v>
      </c>
      <c r="D137" s="246" t="s">
        <v>3284</v>
      </c>
      <c r="E137" s="246">
        <v>4</v>
      </c>
      <c r="F137" s="246" t="s">
        <v>2309</v>
      </c>
      <c r="G137" s="246" t="s">
        <v>2310</v>
      </c>
      <c r="H137" s="247">
        <v>16</v>
      </c>
      <c r="I137" s="246" t="s">
        <v>1211</v>
      </c>
      <c r="J137" s="247">
        <v>41</v>
      </c>
      <c r="K137" s="246" t="s">
        <v>2295</v>
      </c>
      <c r="L137" s="246" t="s">
        <v>2311</v>
      </c>
      <c r="M137" s="246">
        <v>5</v>
      </c>
      <c r="N137" s="246"/>
      <c r="O137" s="246" t="s">
        <v>3285</v>
      </c>
      <c r="P137" s="246" t="s">
        <v>6437</v>
      </c>
      <c r="Q137" s="246" t="s">
        <v>3282</v>
      </c>
      <c r="R137" s="248"/>
    </row>
    <row r="138" spans="1:18" x14ac:dyDescent="0.7">
      <c r="A138" s="246" t="s">
        <v>3286</v>
      </c>
      <c r="B138" s="246" t="s">
        <v>3287</v>
      </c>
      <c r="C138" s="246" t="s">
        <v>1507</v>
      </c>
      <c r="D138" s="246" t="s">
        <v>3288</v>
      </c>
      <c r="E138" s="246">
        <v>4</v>
      </c>
      <c r="F138" s="246" t="s">
        <v>2309</v>
      </c>
      <c r="G138" s="246" t="s">
        <v>2310</v>
      </c>
      <c r="H138" s="247">
        <v>16</v>
      </c>
      <c r="I138" s="246" t="s">
        <v>1211</v>
      </c>
      <c r="J138" s="247">
        <v>41</v>
      </c>
      <c r="K138" s="246" t="s">
        <v>2295</v>
      </c>
      <c r="L138" s="246" t="s">
        <v>2311</v>
      </c>
      <c r="M138" s="246">
        <v>5</v>
      </c>
      <c r="N138" s="246"/>
      <c r="O138" s="246" t="s">
        <v>3289</v>
      </c>
      <c r="P138" s="246" t="s">
        <v>6437</v>
      </c>
      <c r="Q138" s="246" t="s">
        <v>3286</v>
      </c>
      <c r="R138" s="248"/>
    </row>
    <row r="139" spans="1:18" x14ac:dyDescent="0.7">
      <c r="A139" s="246" t="s">
        <v>3290</v>
      </c>
      <c r="B139" s="246" t="s">
        <v>3291</v>
      </c>
      <c r="C139" s="246" t="s">
        <v>1508</v>
      </c>
      <c r="D139" s="246" t="s">
        <v>3292</v>
      </c>
      <c r="E139" s="246">
        <v>4</v>
      </c>
      <c r="F139" s="246" t="s">
        <v>2309</v>
      </c>
      <c r="G139" s="246" t="s">
        <v>2310</v>
      </c>
      <c r="H139" s="247">
        <v>16</v>
      </c>
      <c r="I139" s="246" t="s">
        <v>1211</v>
      </c>
      <c r="J139" s="247">
        <v>32</v>
      </c>
      <c r="K139" s="246" t="s">
        <v>2295</v>
      </c>
      <c r="L139" s="246" t="s">
        <v>2311</v>
      </c>
      <c r="M139" s="246">
        <v>5</v>
      </c>
      <c r="N139" s="246"/>
      <c r="O139" s="246" t="s">
        <v>3293</v>
      </c>
      <c r="P139" s="246" t="s">
        <v>6437</v>
      </c>
      <c r="Q139" s="246" t="s">
        <v>3290</v>
      </c>
      <c r="R139" s="248"/>
    </row>
    <row r="140" spans="1:18" x14ac:dyDescent="0.7">
      <c r="A140" s="246" t="s">
        <v>3301</v>
      </c>
      <c r="B140" s="246" t="s">
        <v>3302</v>
      </c>
      <c r="C140" s="246" t="s">
        <v>1523</v>
      </c>
      <c r="D140" s="246" t="s">
        <v>3303</v>
      </c>
      <c r="E140" s="246">
        <v>4</v>
      </c>
      <c r="F140" s="246" t="s">
        <v>2309</v>
      </c>
      <c r="G140" s="246" t="s">
        <v>2310</v>
      </c>
      <c r="H140" s="247">
        <v>17</v>
      </c>
      <c r="I140" s="246" t="s">
        <v>1213</v>
      </c>
      <c r="J140" s="247">
        <v>30</v>
      </c>
      <c r="K140" s="246" t="s">
        <v>2295</v>
      </c>
      <c r="L140" s="246" t="s">
        <v>2311</v>
      </c>
      <c r="M140" s="246">
        <v>5</v>
      </c>
      <c r="N140" s="246"/>
      <c r="O140" s="246" t="s">
        <v>3304</v>
      </c>
      <c r="P140" s="246" t="s">
        <v>6437</v>
      </c>
      <c r="Q140" s="246" t="s">
        <v>3301</v>
      </c>
      <c r="R140" s="248"/>
    </row>
    <row r="141" spans="1:18" x14ac:dyDescent="0.7">
      <c r="A141" s="246" t="s">
        <v>3305</v>
      </c>
      <c r="B141" s="246" t="s">
        <v>3306</v>
      </c>
      <c r="C141" s="246" t="s">
        <v>1524</v>
      </c>
      <c r="D141" s="246" t="s">
        <v>3307</v>
      </c>
      <c r="E141" s="246">
        <v>4</v>
      </c>
      <c r="F141" s="246" t="s">
        <v>2309</v>
      </c>
      <c r="G141" s="246" t="s">
        <v>2310</v>
      </c>
      <c r="H141" s="247">
        <v>17</v>
      </c>
      <c r="I141" s="246" t="s">
        <v>1213</v>
      </c>
      <c r="J141" s="247">
        <v>30</v>
      </c>
      <c r="K141" s="246" t="s">
        <v>2295</v>
      </c>
      <c r="L141" s="246" t="s">
        <v>2311</v>
      </c>
      <c r="M141" s="246">
        <v>5</v>
      </c>
      <c r="N141" s="246"/>
      <c r="O141" s="246" t="s">
        <v>3308</v>
      </c>
      <c r="P141" s="246" t="s">
        <v>6437</v>
      </c>
      <c r="Q141" s="246" t="s">
        <v>3305</v>
      </c>
      <c r="R141" s="248"/>
    </row>
    <row r="142" spans="1:18" x14ac:dyDescent="0.7">
      <c r="A142" s="246" t="s">
        <v>3309</v>
      </c>
      <c r="B142" s="246" t="s">
        <v>3310</v>
      </c>
      <c r="C142" s="246" t="s">
        <v>1525</v>
      </c>
      <c r="D142" s="246" t="s">
        <v>3311</v>
      </c>
      <c r="E142" s="246">
        <v>4</v>
      </c>
      <c r="F142" s="246" t="s">
        <v>2309</v>
      </c>
      <c r="G142" s="246" t="s">
        <v>2310</v>
      </c>
      <c r="H142" s="247">
        <v>17</v>
      </c>
      <c r="I142" s="246" t="s">
        <v>1213</v>
      </c>
      <c r="J142" s="247">
        <v>28</v>
      </c>
      <c r="K142" s="246" t="s">
        <v>2295</v>
      </c>
      <c r="L142" s="246" t="s">
        <v>2398</v>
      </c>
      <c r="M142" s="246">
        <v>2</v>
      </c>
      <c r="N142" s="246"/>
      <c r="O142" s="246" t="s">
        <v>3312</v>
      </c>
      <c r="P142" s="246" t="s">
        <v>6424</v>
      </c>
      <c r="Q142" s="246" t="s">
        <v>3309</v>
      </c>
      <c r="R142" s="248"/>
    </row>
    <row r="143" spans="1:18" x14ac:dyDescent="0.7">
      <c r="A143" s="246" t="s">
        <v>3313</v>
      </c>
      <c r="B143" s="246" t="s">
        <v>3314</v>
      </c>
      <c r="C143" s="246" t="s">
        <v>1526</v>
      </c>
      <c r="D143" s="246" t="s">
        <v>3315</v>
      </c>
      <c r="E143" s="246">
        <v>4</v>
      </c>
      <c r="F143" s="246" t="s">
        <v>2309</v>
      </c>
      <c r="G143" s="246" t="s">
        <v>2310</v>
      </c>
      <c r="H143" s="247">
        <v>17</v>
      </c>
      <c r="I143" s="246" t="s">
        <v>1213</v>
      </c>
      <c r="J143" s="247">
        <v>36</v>
      </c>
      <c r="K143" s="246" t="s">
        <v>2295</v>
      </c>
      <c r="L143" s="246" t="s">
        <v>2311</v>
      </c>
      <c r="M143" s="246">
        <v>5</v>
      </c>
      <c r="N143" s="246"/>
      <c r="O143" s="246" t="s">
        <v>3316</v>
      </c>
      <c r="P143" s="246" t="s">
        <v>6437</v>
      </c>
      <c r="Q143" s="246" t="s">
        <v>3313</v>
      </c>
      <c r="R143" s="248"/>
    </row>
    <row r="144" spans="1:18" x14ac:dyDescent="0.7">
      <c r="A144" s="246" t="s">
        <v>2895</v>
      </c>
      <c r="B144" s="246" t="s">
        <v>2896</v>
      </c>
      <c r="C144" s="246" t="s">
        <v>1424</v>
      </c>
      <c r="D144" s="246" t="s">
        <v>2897</v>
      </c>
      <c r="E144" s="246">
        <v>3</v>
      </c>
      <c r="F144" s="246" t="s">
        <v>2309</v>
      </c>
      <c r="G144" s="246" t="s">
        <v>2310</v>
      </c>
      <c r="H144" s="247">
        <v>18</v>
      </c>
      <c r="I144" s="246" t="s">
        <v>1203</v>
      </c>
      <c r="J144" s="247">
        <v>30</v>
      </c>
      <c r="K144" s="246" t="s">
        <v>2303</v>
      </c>
      <c r="L144" s="246" t="s">
        <v>2311</v>
      </c>
      <c r="M144" s="246">
        <v>5</v>
      </c>
      <c r="N144" s="246"/>
      <c r="O144" s="246" t="s">
        <v>2898</v>
      </c>
      <c r="P144" s="246" t="s">
        <v>6437</v>
      </c>
      <c r="Q144" s="246" t="s">
        <v>2895</v>
      </c>
      <c r="R144" s="248"/>
    </row>
    <row r="145" spans="1:18" x14ac:dyDescent="0.7">
      <c r="A145" s="246" t="s">
        <v>2899</v>
      </c>
      <c r="B145" s="246" t="s">
        <v>2900</v>
      </c>
      <c r="C145" s="246" t="s">
        <v>1425</v>
      </c>
      <c r="D145" s="246" t="s">
        <v>2901</v>
      </c>
      <c r="E145" s="246">
        <v>3</v>
      </c>
      <c r="F145" s="246" t="s">
        <v>2309</v>
      </c>
      <c r="G145" s="246" t="s">
        <v>2310</v>
      </c>
      <c r="H145" s="247">
        <v>18</v>
      </c>
      <c r="I145" s="246" t="s">
        <v>1203</v>
      </c>
      <c r="J145" s="247">
        <v>30</v>
      </c>
      <c r="K145" s="246" t="s">
        <v>2303</v>
      </c>
      <c r="L145" s="246" t="s">
        <v>2311</v>
      </c>
      <c r="M145" s="246">
        <v>5</v>
      </c>
      <c r="N145" s="246"/>
      <c r="O145" s="246" t="s">
        <v>2902</v>
      </c>
      <c r="P145" s="246" t="s">
        <v>6437</v>
      </c>
      <c r="Q145" s="246" t="s">
        <v>2899</v>
      </c>
      <c r="R145" s="248"/>
    </row>
    <row r="146" spans="1:18" x14ac:dyDescent="0.7">
      <c r="A146" s="246" t="s">
        <v>2903</v>
      </c>
      <c r="B146" s="246" t="s">
        <v>2904</v>
      </c>
      <c r="C146" s="246" t="s">
        <v>1426</v>
      </c>
      <c r="D146" s="246" t="s">
        <v>2905</v>
      </c>
      <c r="E146" s="246">
        <v>3</v>
      </c>
      <c r="F146" s="246" t="s">
        <v>2309</v>
      </c>
      <c r="G146" s="246" t="s">
        <v>2310</v>
      </c>
      <c r="H146" s="247">
        <v>18</v>
      </c>
      <c r="I146" s="246" t="s">
        <v>1203</v>
      </c>
      <c r="J146" s="247">
        <v>30</v>
      </c>
      <c r="K146" s="246" t="s">
        <v>2303</v>
      </c>
      <c r="L146" s="246" t="s">
        <v>2311</v>
      </c>
      <c r="M146" s="246">
        <v>5</v>
      </c>
      <c r="N146" s="246"/>
      <c r="O146" s="246" t="s">
        <v>2906</v>
      </c>
      <c r="P146" s="246" t="s">
        <v>6437</v>
      </c>
      <c r="Q146" s="246" t="s">
        <v>2903</v>
      </c>
      <c r="R146" s="248"/>
    </row>
    <row r="147" spans="1:18" x14ac:dyDescent="0.7">
      <c r="A147" s="246" t="s">
        <v>2907</v>
      </c>
      <c r="B147" s="246" t="s">
        <v>2908</v>
      </c>
      <c r="C147" s="246" t="s">
        <v>1427</v>
      </c>
      <c r="D147" s="246" t="s">
        <v>2909</v>
      </c>
      <c r="E147" s="246">
        <v>3</v>
      </c>
      <c r="F147" s="246" t="s">
        <v>2309</v>
      </c>
      <c r="G147" s="246" t="s">
        <v>2310</v>
      </c>
      <c r="H147" s="247">
        <v>18</v>
      </c>
      <c r="I147" s="246" t="s">
        <v>1203</v>
      </c>
      <c r="J147" s="247">
        <v>60</v>
      </c>
      <c r="K147" s="246" t="s">
        <v>2303</v>
      </c>
      <c r="L147" s="246" t="s">
        <v>2316</v>
      </c>
      <c r="M147" s="246">
        <v>9</v>
      </c>
      <c r="N147" s="246"/>
      <c r="O147" s="246" t="s">
        <v>2910</v>
      </c>
      <c r="P147" s="246" t="s">
        <v>6435</v>
      </c>
      <c r="Q147" s="246" t="s">
        <v>2907</v>
      </c>
      <c r="R147" s="248"/>
    </row>
    <row r="148" spans="1:18" x14ac:dyDescent="0.7">
      <c r="A148" s="246" t="s">
        <v>2911</v>
      </c>
      <c r="B148" s="246" t="s">
        <v>2912</v>
      </c>
      <c r="C148" s="246" t="s">
        <v>1428</v>
      </c>
      <c r="D148" s="246" t="s">
        <v>2913</v>
      </c>
      <c r="E148" s="246">
        <v>3</v>
      </c>
      <c r="F148" s="246" t="s">
        <v>2309</v>
      </c>
      <c r="G148" s="246" t="s">
        <v>2310</v>
      </c>
      <c r="H148" s="247">
        <v>18</v>
      </c>
      <c r="I148" s="246" t="s">
        <v>1203</v>
      </c>
      <c r="J148" s="247">
        <v>30</v>
      </c>
      <c r="K148" s="246" t="s">
        <v>2303</v>
      </c>
      <c r="L148" s="246" t="s">
        <v>2311</v>
      </c>
      <c r="M148" s="246">
        <v>6</v>
      </c>
      <c r="N148" s="246"/>
      <c r="O148" s="246" t="s">
        <v>2914</v>
      </c>
      <c r="P148" s="246" t="s">
        <v>6436</v>
      </c>
      <c r="Q148" s="246" t="s">
        <v>2911</v>
      </c>
      <c r="R148" s="248"/>
    </row>
    <row r="149" spans="1:18" x14ac:dyDescent="0.7">
      <c r="A149" s="246" t="s">
        <v>3324</v>
      </c>
      <c r="B149" s="246" t="s">
        <v>3325</v>
      </c>
      <c r="C149" s="246" t="s">
        <v>1511</v>
      </c>
      <c r="D149" s="246" t="s">
        <v>3326</v>
      </c>
      <c r="E149" s="246">
        <v>4</v>
      </c>
      <c r="F149" s="246" t="s">
        <v>2309</v>
      </c>
      <c r="G149" s="246" t="s">
        <v>2310</v>
      </c>
      <c r="H149" s="247">
        <v>19</v>
      </c>
      <c r="I149" s="246" t="s">
        <v>1212</v>
      </c>
      <c r="J149" s="247">
        <v>76</v>
      </c>
      <c r="K149" s="246" t="s">
        <v>2303</v>
      </c>
      <c r="L149" s="246" t="s">
        <v>2316</v>
      </c>
      <c r="M149" s="246">
        <v>10</v>
      </c>
      <c r="N149" s="246"/>
      <c r="O149" s="246" t="s">
        <v>3327</v>
      </c>
      <c r="P149" s="246" t="s">
        <v>6433</v>
      </c>
      <c r="Q149" s="246" t="s">
        <v>3324</v>
      </c>
      <c r="R149" s="248"/>
    </row>
    <row r="150" spans="1:18" x14ac:dyDescent="0.7">
      <c r="A150" s="246" t="s">
        <v>3328</v>
      </c>
      <c r="B150" s="246" t="s">
        <v>3329</v>
      </c>
      <c r="C150" s="246" t="s">
        <v>1512</v>
      </c>
      <c r="D150" s="246" t="s">
        <v>3330</v>
      </c>
      <c r="E150" s="246">
        <v>4</v>
      </c>
      <c r="F150" s="246" t="s">
        <v>2309</v>
      </c>
      <c r="G150" s="246" t="s">
        <v>2310</v>
      </c>
      <c r="H150" s="247">
        <v>19</v>
      </c>
      <c r="I150" s="246" t="s">
        <v>1212</v>
      </c>
      <c r="J150" s="247">
        <v>74</v>
      </c>
      <c r="K150" s="246" t="s">
        <v>2303</v>
      </c>
      <c r="L150" s="246" t="s">
        <v>2311</v>
      </c>
      <c r="M150" s="246">
        <v>6</v>
      </c>
      <c r="N150" s="246"/>
      <c r="O150" s="246" t="s">
        <v>3331</v>
      </c>
      <c r="P150" s="246" t="s">
        <v>6436</v>
      </c>
      <c r="Q150" s="246" t="s">
        <v>3328</v>
      </c>
      <c r="R150" s="248"/>
    </row>
    <row r="151" spans="1:18" x14ac:dyDescent="0.7">
      <c r="A151" s="246" t="s">
        <v>3332</v>
      </c>
      <c r="B151" s="246" t="s">
        <v>3333</v>
      </c>
      <c r="C151" s="246" t="s">
        <v>1513</v>
      </c>
      <c r="D151" s="246" t="s">
        <v>3334</v>
      </c>
      <c r="E151" s="246">
        <v>4</v>
      </c>
      <c r="F151" s="246" t="s">
        <v>2309</v>
      </c>
      <c r="G151" s="246" t="s">
        <v>2310</v>
      </c>
      <c r="H151" s="247">
        <v>19</v>
      </c>
      <c r="I151" s="246" t="s">
        <v>1212</v>
      </c>
      <c r="J151" s="247">
        <v>48</v>
      </c>
      <c r="K151" s="246" t="s">
        <v>2303</v>
      </c>
      <c r="L151" s="246" t="s">
        <v>2311</v>
      </c>
      <c r="M151" s="246">
        <v>5</v>
      </c>
      <c r="N151" s="246"/>
      <c r="O151" s="246" t="s">
        <v>3335</v>
      </c>
      <c r="P151" s="246" t="s">
        <v>6437</v>
      </c>
      <c r="Q151" s="246" t="s">
        <v>3332</v>
      </c>
      <c r="R151" s="248"/>
    </row>
    <row r="152" spans="1:18" x14ac:dyDescent="0.7">
      <c r="A152" s="246" t="s">
        <v>3336</v>
      </c>
      <c r="B152" s="246" t="s">
        <v>3337</v>
      </c>
      <c r="C152" s="246" t="s">
        <v>1514</v>
      </c>
      <c r="D152" s="246" t="s">
        <v>3338</v>
      </c>
      <c r="E152" s="246">
        <v>4</v>
      </c>
      <c r="F152" s="246" t="s">
        <v>2309</v>
      </c>
      <c r="G152" s="246" t="s">
        <v>2310</v>
      </c>
      <c r="H152" s="247">
        <v>19</v>
      </c>
      <c r="I152" s="246" t="s">
        <v>1212</v>
      </c>
      <c r="J152" s="247">
        <v>17</v>
      </c>
      <c r="K152" s="246" t="s">
        <v>2303</v>
      </c>
      <c r="L152" s="246" t="s">
        <v>2311</v>
      </c>
      <c r="M152" s="246">
        <v>5</v>
      </c>
      <c r="N152" s="246"/>
      <c r="O152" s="246" t="s">
        <v>3339</v>
      </c>
      <c r="P152" s="246" t="s">
        <v>6437</v>
      </c>
      <c r="Q152" s="246" t="s">
        <v>3336</v>
      </c>
      <c r="R152" s="248"/>
    </row>
    <row r="153" spans="1:18" x14ac:dyDescent="0.7">
      <c r="A153" s="246" t="s">
        <v>3340</v>
      </c>
      <c r="B153" s="246" t="s">
        <v>3341</v>
      </c>
      <c r="C153" s="246" t="s">
        <v>1515</v>
      </c>
      <c r="D153" s="246" t="s">
        <v>3342</v>
      </c>
      <c r="E153" s="246">
        <v>4</v>
      </c>
      <c r="F153" s="246" t="s">
        <v>2309</v>
      </c>
      <c r="G153" s="246" t="s">
        <v>2310</v>
      </c>
      <c r="H153" s="247">
        <v>19</v>
      </c>
      <c r="I153" s="246" t="s">
        <v>1212</v>
      </c>
      <c r="J153" s="247">
        <v>32</v>
      </c>
      <c r="K153" s="246" t="s">
        <v>2303</v>
      </c>
      <c r="L153" s="246" t="s">
        <v>2311</v>
      </c>
      <c r="M153" s="246">
        <v>5</v>
      </c>
      <c r="N153" s="246"/>
      <c r="O153" s="246" t="s">
        <v>3343</v>
      </c>
      <c r="P153" s="246" t="s">
        <v>6437</v>
      </c>
      <c r="Q153" s="246" t="s">
        <v>3340</v>
      </c>
      <c r="R153" s="248"/>
    </row>
    <row r="154" spans="1:18" x14ac:dyDescent="0.7">
      <c r="A154" s="246" t="s">
        <v>3344</v>
      </c>
      <c r="B154" s="246" t="s">
        <v>3345</v>
      </c>
      <c r="C154" s="246" t="s">
        <v>1516</v>
      </c>
      <c r="D154" s="246" t="s">
        <v>3346</v>
      </c>
      <c r="E154" s="246">
        <v>4</v>
      </c>
      <c r="F154" s="246" t="s">
        <v>2309</v>
      </c>
      <c r="G154" s="246" t="s">
        <v>2310</v>
      </c>
      <c r="H154" s="247">
        <v>19</v>
      </c>
      <c r="I154" s="246" t="s">
        <v>1212</v>
      </c>
      <c r="J154" s="247">
        <v>15</v>
      </c>
      <c r="K154" s="246" t="s">
        <v>2303</v>
      </c>
      <c r="L154" s="246" t="s">
        <v>2398</v>
      </c>
      <c r="M154" s="246">
        <v>2</v>
      </c>
      <c r="N154" s="246"/>
      <c r="O154" s="246" t="s">
        <v>3347</v>
      </c>
      <c r="P154" s="246" t="s">
        <v>6424</v>
      </c>
      <c r="Q154" s="246" t="s">
        <v>3344</v>
      </c>
      <c r="R154" s="248"/>
    </row>
    <row r="155" spans="1:18" x14ac:dyDescent="0.7">
      <c r="A155" s="246" t="s">
        <v>3348</v>
      </c>
      <c r="B155" s="246" t="s">
        <v>3349</v>
      </c>
      <c r="C155" s="246" t="s">
        <v>1517</v>
      </c>
      <c r="D155" s="246" t="s">
        <v>3350</v>
      </c>
      <c r="E155" s="246">
        <v>4</v>
      </c>
      <c r="F155" s="246" t="s">
        <v>2309</v>
      </c>
      <c r="G155" s="246" t="s">
        <v>2310</v>
      </c>
      <c r="H155" s="247">
        <v>19</v>
      </c>
      <c r="I155" s="246" t="s">
        <v>1212</v>
      </c>
      <c r="J155" s="247">
        <v>20</v>
      </c>
      <c r="K155" s="246" t="s">
        <v>2303</v>
      </c>
      <c r="L155" s="246" t="s">
        <v>2398</v>
      </c>
      <c r="M155" s="246">
        <v>2</v>
      </c>
      <c r="N155" s="246"/>
      <c r="O155" s="246" t="s">
        <v>3351</v>
      </c>
      <c r="P155" s="246" t="s">
        <v>6424</v>
      </c>
      <c r="Q155" s="246" t="s">
        <v>3348</v>
      </c>
      <c r="R155" s="248"/>
    </row>
    <row r="156" spans="1:18" x14ac:dyDescent="0.7">
      <c r="A156" s="246" t="s">
        <v>3352</v>
      </c>
      <c r="B156" s="246" t="s">
        <v>3353</v>
      </c>
      <c r="C156" s="246" t="s">
        <v>1518</v>
      </c>
      <c r="D156" s="246" t="s">
        <v>3354</v>
      </c>
      <c r="E156" s="246">
        <v>4</v>
      </c>
      <c r="F156" s="246" t="s">
        <v>2309</v>
      </c>
      <c r="G156" s="246" t="s">
        <v>2310</v>
      </c>
      <c r="H156" s="247">
        <v>19</v>
      </c>
      <c r="I156" s="246" t="s">
        <v>1212</v>
      </c>
      <c r="J156" s="247">
        <v>30</v>
      </c>
      <c r="K156" s="246" t="s">
        <v>2303</v>
      </c>
      <c r="L156" s="246" t="s">
        <v>2311</v>
      </c>
      <c r="M156" s="246">
        <v>5</v>
      </c>
      <c r="N156" s="246"/>
      <c r="O156" s="246" t="s">
        <v>3355</v>
      </c>
      <c r="P156" s="246" t="s">
        <v>6437</v>
      </c>
      <c r="Q156" s="246" t="s">
        <v>3352</v>
      </c>
      <c r="R156" s="248"/>
    </row>
    <row r="157" spans="1:18" x14ac:dyDescent="0.7">
      <c r="A157" s="246" t="s">
        <v>3356</v>
      </c>
      <c r="B157" s="246" t="s">
        <v>3357</v>
      </c>
      <c r="C157" s="246" t="s">
        <v>1519</v>
      </c>
      <c r="D157" s="246" t="s">
        <v>3358</v>
      </c>
      <c r="E157" s="246">
        <v>4</v>
      </c>
      <c r="F157" s="246" t="s">
        <v>2309</v>
      </c>
      <c r="G157" s="246" t="s">
        <v>2310</v>
      </c>
      <c r="H157" s="247">
        <v>19</v>
      </c>
      <c r="I157" s="246" t="s">
        <v>1212</v>
      </c>
      <c r="J157" s="247">
        <v>35</v>
      </c>
      <c r="K157" s="246" t="s">
        <v>2303</v>
      </c>
      <c r="L157" s="246" t="s">
        <v>2311</v>
      </c>
      <c r="M157" s="246">
        <v>6</v>
      </c>
      <c r="N157" s="246"/>
      <c r="O157" s="246" t="s">
        <v>3359</v>
      </c>
      <c r="P157" s="246" t="s">
        <v>6436</v>
      </c>
      <c r="Q157" s="246" t="s">
        <v>3356</v>
      </c>
      <c r="R157" s="248"/>
    </row>
    <row r="158" spans="1:18" x14ac:dyDescent="0.7">
      <c r="A158" s="246" t="s">
        <v>3360</v>
      </c>
      <c r="B158" s="246" t="s">
        <v>3361</v>
      </c>
      <c r="C158" s="246" t="s">
        <v>1520</v>
      </c>
      <c r="D158" s="246" t="s">
        <v>3362</v>
      </c>
      <c r="E158" s="246">
        <v>4</v>
      </c>
      <c r="F158" s="246" t="s">
        <v>2309</v>
      </c>
      <c r="G158" s="246" t="s">
        <v>2310</v>
      </c>
      <c r="H158" s="247">
        <v>19</v>
      </c>
      <c r="I158" s="246" t="s">
        <v>1212</v>
      </c>
      <c r="J158" s="247">
        <v>34</v>
      </c>
      <c r="K158" s="246" t="s">
        <v>2303</v>
      </c>
      <c r="L158" s="246" t="s">
        <v>2311</v>
      </c>
      <c r="M158" s="246">
        <v>5</v>
      </c>
      <c r="N158" s="246"/>
      <c r="O158" s="246" t="s">
        <v>3363</v>
      </c>
      <c r="P158" s="246" t="s">
        <v>6437</v>
      </c>
      <c r="Q158" s="246" t="s">
        <v>3360</v>
      </c>
      <c r="R158" s="248"/>
    </row>
    <row r="159" spans="1:18" x14ac:dyDescent="0.7">
      <c r="A159" s="246" t="s">
        <v>3664</v>
      </c>
      <c r="B159" s="246" t="s">
        <v>3665</v>
      </c>
      <c r="C159" s="246" t="s">
        <v>1622</v>
      </c>
      <c r="D159" s="246" t="s">
        <v>3666</v>
      </c>
      <c r="E159" s="246">
        <v>6</v>
      </c>
      <c r="F159" s="246" t="s">
        <v>2309</v>
      </c>
      <c r="G159" s="246" t="s">
        <v>2310</v>
      </c>
      <c r="H159" s="247">
        <v>20</v>
      </c>
      <c r="I159" s="246" t="s">
        <v>1225</v>
      </c>
      <c r="J159" s="247">
        <v>140</v>
      </c>
      <c r="K159" s="246" t="s">
        <v>2303</v>
      </c>
      <c r="L159" s="246" t="s">
        <v>2345</v>
      </c>
      <c r="M159" s="246">
        <v>13</v>
      </c>
      <c r="N159" s="246"/>
      <c r="O159" s="246" t="s">
        <v>3667</v>
      </c>
      <c r="P159" s="246" t="s">
        <v>6432</v>
      </c>
      <c r="Q159" s="246" t="s">
        <v>3664</v>
      </c>
      <c r="R159" s="248"/>
    </row>
    <row r="160" spans="1:18" x14ac:dyDescent="0.7">
      <c r="A160" s="246" t="s">
        <v>3668</v>
      </c>
      <c r="B160" s="246" t="s">
        <v>3669</v>
      </c>
      <c r="C160" s="246" t="s">
        <v>1623</v>
      </c>
      <c r="D160" s="246" t="s">
        <v>3670</v>
      </c>
      <c r="E160" s="246">
        <v>6</v>
      </c>
      <c r="F160" s="246" t="s">
        <v>2309</v>
      </c>
      <c r="G160" s="246" t="s">
        <v>2310</v>
      </c>
      <c r="H160" s="247">
        <v>20</v>
      </c>
      <c r="I160" s="246" t="s">
        <v>1225</v>
      </c>
      <c r="J160" s="247">
        <v>35</v>
      </c>
      <c r="K160" s="246" t="s">
        <v>2303</v>
      </c>
      <c r="L160" s="246" t="s">
        <v>2311</v>
      </c>
      <c r="M160" s="246">
        <v>5</v>
      </c>
      <c r="N160" s="246"/>
      <c r="O160" s="246" t="s">
        <v>3671</v>
      </c>
      <c r="P160" s="246" t="s">
        <v>6437</v>
      </c>
      <c r="Q160" s="246" t="s">
        <v>3668</v>
      </c>
      <c r="R160" s="248"/>
    </row>
    <row r="161" spans="1:18" x14ac:dyDescent="0.7">
      <c r="A161" s="246" t="s">
        <v>3672</v>
      </c>
      <c r="B161" s="246" t="s">
        <v>3673</v>
      </c>
      <c r="C161" s="246" t="s">
        <v>2120</v>
      </c>
      <c r="D161" s="246" t="s">
        <v>3674</v>
      </c>
      <c r="E161" s="246">
        <v>6</v>
      </c>
      <c r="F161" s="246" t="s">
        <v>2301</v>
      </c>
      <c r="G161" s="246" t="s">
        <v>2302</v>
      </c>
      <c r="H161" s="247">
        <v>20</v>
      </c>
      <c r="I161" s="246" t="s">
        <v>1225</v>
      </c>
      <c r="J161" s="247">
        <v>324</v>
      </c>
      <c r="K161" s="246" t="s">
        <v>2303</v>
      </c>
      <c r="L161" s="246" t="s">
        <v>2295</v>
      </c>
      <c r="M161" s="246">
        <v>16</v>
      </c>
      <c r="N161" s="246"/>
      <c r="O161" s="246" t="s">
        <v>3675</v>
      </c>
      <c r="P161" s="246" t="s">
        <v>6430</v>
      </c>
      <c r="Q161" s="246" t="s">
        <v>3672</v>
      </c>
      <c r="R161" s="248"/>
    </row>
    <row r="162" spans="1:18" x14ac:dyDescent="0.7">
      <c r="A162" s="246" t="s">
        <v>3676</v>
      </c>
      <c r="B162" s="246" t="s">
        <v>3677</v>
      </c>
      <c r="C162" s="246" t="s">
        <v>1624</v>
      </c>
      <c r="D162" s="246" t="s">
        <v>3678</v>
      </c>
      <c r="E162" s="246">
        <v>6</v>
      </c>
      <c r="F162" s="246" t="s">
        <v>2309</v>
      </c>
      <c r="G162" s="246" t="s">
        <v>2310</v>
      </c>
      <c r="H162" s="247">
        <v>20</v>
      </c>
      <c r="I162" s="246" t="s">
        <v>1225</v>
      </c>
      <c r="J162" s="247">
        <v>31</v>
      </c>
      <c r="K162" s="246" t="s">
        <v>2303</v>
      </c>
      <c r="L162" s="246" t="s">
        <v>2311</v>
      </c>
      <c r="M162" s="246">
        <v>5</v>
      </c>
      <c r="N162" s="246"/>
      <c r="O162" s="246" t="s">
        <v>3679</v>
      </c>
      <c r="P162" s="246" t="s">
        <v>6437</v>
      </c>
      <c r="Q162" s="246" t="s">
        <v>3676</v>
      </c>
      <c r="R162" s="248"/>
    </row>
    <row r="163" spans="1:18" x14ac:dyDescent="0.7">
      <c r="A163" s="246" t="s">
        <v>3680</v>
      </c>
      <c r="B163" s="246" t="s">
        <v>3681</v>
      </c>
      <c r="C163" s="246" t="s">
        <v>1625</v>
      </c>
      <c r="D163" s="246" t="s">
        <v>3682</v>
      </c>
      <c r="E163" s="246">
        <v>6</v>
      </c>
      <c r="F163" s="246" t="s">
        <v>2309</v>
      </c>
      <c r="G163" s="246" t="s">
        <v>2310</v>
      </c>
      <c r="H163" s="247">
        <v>20</v>
      </c>
      <c r="I163" s="246" t="s">
        <v>1225</v>
      </c>
      <c r="J163" s="247">
        <v>90</v>
      </c>
      <c r="K163" s="246" t="s">
        <v>2303</v>
      </c>
      <c r="L163" s="246" t="s">
        <v>2316</v>
      </c>
      <c r="M163" s="246">
        <v>9</v>
      </c>
      <c r="N163" s="246"/>
      <c r="O163" s="246" t="s">
        <v>3683</v>
      </c>
      <c r="P163" s="246" t="s">
        <v>6435</v>
      </c>
      <c r="Q163" s="246" t="s">
        <v>3680</v>
      </c>
      <c r="R163" s="248"/>
    </row>
    <row r="164" spans="1:18" x14ac:dyDescent="0.7">
      <c r="A164" s="246" t="s">
        <v>3684</v>
      </c>
      <c r="B164" s="246" t="s">
        <v>3685</v>
      </c>
      <c r="C164" s="246" t="s">
        <v>1626</v>
      </c>
      <c r="D164" s="246" t="s">
        <v>3686</v>
      </c>
      <c r="E164" s="246">
        <v>6</v>
      </c>
      <c r="F164" s="246" t="s">
        <v>2309</v>
      </c>
      <c r="G164" s="246" t="s">
        <v>2302</v>
      </c>
      <c r="H164" s="247">
        <v>20</v>
      </c>
      <c r="I164" s="246" t="s">
        <v>1225</v>
      </c>
      <c r="J164" s="247">
        <v>220</v>
      </c>
      <c r="K164" s="246" t="s">
        <v>2303</v>
      </c>
      <c r="L164" s="246" t="s">
        <v>2304</v>
      </c>
      <c r="M164" s="246">
        <v>15</v>
      </c>
      <c r="N164" s="246"/>
      <c r="O164" s="246" t="s">
        <v>3687</v>
      </c>
      <c r="P164" s="246" t="s">
        <v>6429</v>
      </c>
      <c r="Q164" s="246" t="s">
        <v>3684</v>
      </c>
      <c r="R164" s="248"/>
    </row>
    <row r="165" spans="1:18" x14ac:dyDescent="0.7">
      <c r="A165" s="246" t="s">
        <v>3688</v>
      </c>
      <c r="B165" s="246" t="s">
        <v>3689</v>
      </c>
      <c r="C165" s="246" t="s">
        <v>1627</v>
      </c>
      <c r="D165" s="246" t="s">
        <v>3690</v>
      </c>
      <c r="E165" s="246">
        <v>6</v>
      </c>
      <c r="F165" s="246" t="s">
        <v>2309</v>
      </c>
      <c r="G165" s="246" t="s">
        <v>2310</v>
      </c>
      <c r="H165" s="247">
        <v>20</v>
      </c>
      <c r="I165" s="246" t="s">
        <v>1225</v>
      </c>
      <c r="J165" s="247">
        <v>174</v>
      </c>
      <c r="K165" s="246" t="s">
        <v>2295</v>
      </c>
      <c r="L165" s="246" t="s">
        <v>2345</v>
      </c>
      <c r="M165" s="246">
        <v>13</v>
      </c>
      <c r="N165" s="246"/>
      <c r="O165" s="246" t="s">
        <v>3691</v>
      </c>
      <c r="P165" s="246" t="s">
        <v>6432</v>
      </c>
      <c r="Q165" s="246" t="s">
        <v>3688</v>
      </c>
      <c r="R165" s="248"/>
    </row>
    <row r="166" spans="1:18" x14ac:dyDescent="0.7">
      <c r="A166" s="246" t="s">
        <v>3692</v>
      </c>
      <c r="B166" s="246" t="s">
        <v>3693</v>
      </c>
      <c r="C166" s="246" t="s">
        <v>1628</v>
      </c>
      <c r="D166" s="246" t="s">
        <v>3694</v>
      </c>
      <c r="E166" s="246">
        <v>6</v>
      </c>
      <c r="F166" s="246" t="s">
        <v>2309</v>
      </c>
      <c r="G166" s="246" t="s">
        <v>2310</v>
      </c>
      <c r="H166" s="247">
        <v>20</v>
      </c>
      <c r="I166" s="246" t="s">
        <v>1225</v>
      </c>
      <c r="J166" s="247">
        <v>30</v>
      </c>
      <c r="K166" s="246" t="s">
        <v>2303</v>
      </c>
      <c r="L166" s="246" t="s">
        <v>2311</v>
      </c>
      <c r="M166" s="246">
        <v>5</v>
      </c>
      <c r="N166" s="246"/>
      <c r="O166" s="246" t="s">
        <v>3695</v>
      </c>
      <c r="P166" s="246" t="s">
        <v>6437</v>
      </c>
      <c r="Q166" s="246" t="s">
        <v>3692</v>
      </c>
      <c r="R166" s="248"/>
    </row>
    <row r="167" spans="1:18" x14ac:dyDescent="0.7">
      <c r="A167" s="246" t="s">
        <v>3696</v>
      </c>
      <c r="B167" s="246" t="s">
        <v>3697</v>
      </c>
      <c r="C167" s="246" t="s">
        <v>1629</v>
      </c>
      <c r="D167" s="246" t="s">
        <v>3698</v>
      </c>
      <c r="E167" s="246">
        <v>6</v>
      </c>
      <c r="F167" s="246" t="s">
        <v>2309</v>
      </c>
      <c r="G167" s="246" t="s">
        <v>2310</v>
      </c>
      <c r="H167" s="247">
        <v>20</v>
      </c>
      <c r="I167" s="246" t="s">
        <v>1225</v>
      </c>
      <c r="J167" s="247">
        <v>60</v>
      </c>
      <c r="K167" s="246" t="s">
        <v>2303</v>
      </c>
      <c r="L167" s="246" t="s">
        <v>2316</v>
      </c>
      <c r="M167" s="246">
        <v>10</v>
      </c>
      <c r="N167" s="246"/>
      <c r="O167" s="246" t="s">
        <v>3699</v>
      </c>
      <c r="P167" s="246" t="s">
        <v>6433</v>
      </c>
      <c r="Q167" s="246" t="s">
        <v>3696</v>
      </c>
      <c r="R167" s="248"/>
    </row>
    <row r="168" spans="1:18" x14ac:dyDescent="0.7">
      <c r="A168" s="246" t="s">
        <v>3700</v>
      </c>
      <c r="B168" s="246" t="s">
        <v>3701</v>
      </c>
      <c r="C168" s="246" t="s">
        <v>1630</v>
      </c>
      <c r="D168" s="246" t="s">
        <v>3702</v>
      </c>
      <c r="E168" s="246">
        <v>6</v>
      </c>
      <c r="F168" s="246" t="s">
        <v>2309</v>
      </c>
      <c r="G168" s="246" t="s">
        <v>2310</v>
      </c>
      <c r="H168" s="247">
        <v>20</v>
      </c>
      <c r="I168" s="246" t="s">
        <v>1225</v>
      </c>
      <c r="J168" s="247">
        <v>60</v>
      </c>
      <c r="K168" s="246" t="s">
        <v>2303</v>
      </c>
      <c r="L168" s="246" t="s">
        <v>2311</v>
      </c>
      <c r="M168" s="246">
        <v>6</v>
      </c>
      <c r="N168" s="246"/>
      <c r="O168" s="246" t="s">
        <v>3703</v>
      </c>
      <c r="P168" s="246" t="s">
        <v>6436</v>
      </c>
      <c r="Q168" s="246" t="s">
        <v>3700</v>
      </c>
      <c r="R168" s="248"/>
    </row>
    <row r="169" spans="1:18" x14ac:dyDescent="0.7">
      <c r="A169" s="246" t="s">
        <v>3710</v>
      </c>
      <c r="B169" s="246" t="s">
        <v>3711</v>
      </c>
      <c r="C169" s="246" t="s">
        <v>6327</v>
      </c>
      <c r="D169" s="246" t="s">
        <v>3712</v>
      </c>
      <c r="E169" s="246">
        <v>6</v>
      </c>
      <c r="F169" s="246" t="s">
        <v>2301</v>
      </c>
      <c r="G169" s="246" t="s">
        <v>2302</v>
      </c>
      <c r="H169" s="247">
        <v>21</v>
      </c>
      <c r="I169" s="246" t="s">
        <v>1228</v>
      </c>
      <c r="J169" s="247">
        <v>162</v>
      </c>
      <c r="K169" s="246" t="s">
        <v>2295</v>
      </c>
      <c r="L169" s="246" t="s">
        <v>2304</v>
      </c>
      <c r="M169" s="246">
        <v>14</v>
      </c>
      <c r="N169" s="246"/>
      <c r="O169" s="246" t="s">
        <v>3713</v>
      </c>
      <c r="P169" s="246" t="s">
        <v>6431</v>
      </c>
      <c r="Q169" s="246" t="s">
        <v>3710</v>
      </c>
      <c r="R169" s="248"/>
    </row>
    <row r="170" spans="1:18" x14ac:dyDescent="0.7">
      <c r="A170" s="246" t="s">
        <v>3714</v>
      </c>
      <c r="B170" s="246" t="s">
        <v>3715</v>
      </c>
      <c r="C170" s="246" t="s">
        <v>1646</v>
      </c>
      <c r="D170" s="246" t="s">
        <v>3716</v>
      </c>
      <c r="E170" s="246">
        <v>6</v>
      </c>
      <c r="F170" s="246" t="s">
        <v>2309</v>
      </c>
      <c r="G170" s="246" t="s">
        <v>2310</v>
      </c>
      <c r="H170" s="247">
        <v>21</v>
      </c>
      <c r="I170" s="246" t="s">
        <v>1228</v>
      </c>
      <c r="J170" s="247">
        <v>70</v>
      </c>
      <c r="K170" s="246" t="s">
        <v>2295</v>
      </c>
      <c r="L170" s="246" t="s">
        <v>2316</v>
      </c>
      <c r="M170" s="246">
        <v>9</v>
      </c>
      <c r="N170" s="246"/>
      <c r="O170" s="246" t="s">
        <v>3717</v>
      </c>
      <c r="P170" s="246" t="s">
        <v>6435</v>
      </c>
      <c r="Q170" s="246" t="s">
        <v>3714</v>
      </c>
      <c r="R170" s="248"/>
    </row>
    <row r="171" spans="1:18" x14ac:dyDescent="0.7">
      <c r="A171" s="246" t="s">
        <v>3718</v>
      </c>
      <c r="B171" s="246" t="s">
        <v>3719</v>
      </c>
      <c r="C171" s="246" t="s">
        <v>2124</v>
      </c>
      <c r="D171" s="246" t="s">
        <v>3720</v>
      </c>
      <c r="E171" s="246">
        <v>6</v>
      </c>
      <c r="F171" s="246" t="s">
        <v>2301</v>
      </c>
      <c r="G171" s="246" t="s">
        <v>2302</v>
      </c>
      <c r="H171" s="247">
        <v>21</v>
      </c>
      <c r="I171" s="246" t="s">
        <v>1228</v>
      </c>
      <c r="J171" s="247">
        <v>226</v>
      </c>
      <c r="K171" s="246" t="s">
        <v>2295</v>
      </c>
      <c r="L171" s="246" t="s">
        <v>2304</v>
      </c>
      <c r="M171" s="246">
        <v>15</v>
      </c>
      <c r="N171" s="246"/>
      <c r="O171" s="246" t="s">
        <v>3721</v>
      </c>
      <c r="P171" s="246" t="s">
        <v>6429</v>
      </c>
      <c r="Q171" s="246" t="s">
        <v>3718</v>
      </c>
      <c r="R171" s="248"/>
    </row>
    <row r="172" spans="1:18" x14ac:dyDescent="0.7">
      <c r="A172" s="246" t="s">
        <v>3722</v>
      </c>
      <c r="B172" s="246" t="s">
        <v>3723</v>
      </c>
      <c r="C172" s="246" t="s">
        <v>1647</v>
      </c>
      <c r="D172" s="246" t="s">
        <v>3724</v>
      </c>
      <c r="E172" s="246">
        <v>6</v>
      </c>
      <c r="F172" s="246" t="s">
        <v>2309</v>
      </c>
      <c r="G172" s="246" t="s">
        <v>2310</v>
      </c>
      <c r="H172" s="247">
        <v>21</v>
      </c>
      <c r="I172" s="246" t="s">
        <v>1228</v>
      </c>
      <c r="J172" s="247">
        <v>43</v>
      </c>
      <c r="K172" s="246" t="s">
        <v>2295</v>
      </c>
      <c r="L172" s="246" t="s">
        <v>2311</v>
      </c>
      <c r="M172" s="246">
        <v>5</v>
      </c>
      <c r="N172" s="246"/>
      <c r="O172" s="246" t="s">
        <v>3725</v>
      </c>
      <c r="P172" s="246" t="s">
        <v>6437</v>
      </c>
      <c r="Q172" s="246" t="s">
        <v>3722</v>
      </c>
      <c r="R172" s="248"/>
    </row>
    <row r="173" spans="1:18" x14ac:dyDescent="0.7">
      <c r="A173" s="246" t="s">
        <v>3726</v>
      </c>
      <c r="B173" s="246" t="s">
        <v>3727</v>
      </c>
      <c r="C173" s="246" t="s">
        <v>1648</v>
      </c>
      <c r="D173" s="246" t="s">
        <v>3728</v>
      </c>
      <c r="E173" s="246">
        <v>6</v>
      </c>
      <c r="F173" s="246" t="s">
        <v>2309</v>
      </c>
      <c r="G173" s="246" t="s">
        <v>2310</v>
      </c>
      <c r="H173" s="247">
        <v>21</v>
      </c>
      <c r="I173" s="246" t="s">
        <v>1228</v>
      </c>
      <c r="J173" s="247">
        <v>48</v>
      </c>
      <c r="K173" s="246" t="s">
        <v>2295</v>
      </c>
      <c r="L173" s="246" t="s">
        <v>2311</v>
      </c>
      <c r="M173" s="246">
        <v>6</v>
      </c>
      <c r="N173" s="246"/>
      <c r="O173" s="246" t="s">
        <v>3729</v>
      </c>
      <c r="P173" s="246" t="s">
        <v>6436</v>
      </c>
      <c r="Q173" s="246" t="s">
        <v>3726</v>
      </c>
      <c r="R173" s="248"/>
    </row>
    <row r="174" spans="1:18" x14ac:dyDescent="0.7">
      <c r="A174" s="246" t="s">
        <v>3730</v>
      </c>
      <c r="B174" s="246" t="s">
        <v>3731</v>
      </c>
      <c r="C174" s="246" t="s">
        <v>1651</v>
      </c>
      <c r="D174" s="246" t="s">
        <v>3732</v>
      </c>
      <c r="E174" s="246">
        <v>6</v>
      </c>
      <c r="F174" s="246" t="s">
        <v>2309</v>
      </c>
      <c r="G174" s="246" t="s">
        <v>2310</v>
      </c>
      <c r="H174" s="247">
        <v>21</v>
      </c>
      <c r="I174" s="246" t="s">
        <v>1228</v>
      </c>
      <c r="J174" s="247">
        <v>113</v>
      </c>
      <c r="K174" s="246" t="s">
        <v>2295</v>
      </c>
      <c r="L174" s="246" t="s">
        <v>2316</v>
      </c>
      <c r="M174" s="246">
        <v>9</v>
      </c>
      <c r="N174" s="246"/>
      <c r="O174" s="246" t="s">
        <v>3733</v>
      </c>
      <c r="P174" s="246" t="s">
        <v>6435</v>
      </c>
      <c r="Q174" s="246" t="s">
        <v>3730</v>
      </c>
      <c r="R174" s="248"/>
    </row>
    <row r="175" spans="1:18" x14ac:dyDescent="0.7">
      <c r="A175" s="246" t="s">
        <v>3821</v>
      </c>
      <c r="B175" s="246" t="s">
        <v>3822</v>
      </c>
      <c r="C175" s="246" t="s">
        <v>1612</v>
      </c>
      <c r="D175" s="246" t="s">
        <v>3823</v>
      </c>
      <c r="E175" s="246">
        <v>6</v>
      </c>
      <c r="F175" s="246" t="s">
        <v>2309</v>
      </c>
      <c r="G175" s="246" t="s">
        <v>2310</v>
      </c>
      <c r="H175" s="247">
        <v>24</v>
      </c>
      <c r="I175" s="246" t="s">
        <v>1224</v>
      </c>
      <c r="J175" s="247">
        <v>40</v>
      </c>
      <c r="K175" s="246" t="s">
        <v>2295</v>
      </c>
      <c r="L175" s="246" t="s">
        <v>2311</v>
      </c>
      <c r="M175" s="246">
        <v>6</v>
      </c>
      <c r="N175" s="246"/>
      <c r="O175" s="246" t="s">
        <v>3824</v>
      </c>
      <c r="P175" s="246" t="s">
        <v>6436</v>
      </c>
      <c r="Q175" s="246" t="s">
        <v>3821</v>
      </c>
      <c r="R175" s="248"/>
    </row>
    <row r="176" spans="1:18" x14ac:dyDescent="0.7">
      <c r="A176" s="246" t="s">
        <v>3746</v>
      </c>
      <c r="B176" s="246" t="s">
        <v>3747</v>
      </c>
      <c r="C176" s="246" t="s">
        <v>1600</v>
      </c>
      <c r="D176" s="246" t="s">
        <v>3748</v>
      </c>
      <c r="E176" s="246">
        <v>6</v>
      </c>
      <c r="F176" s="246" t="s">
        <v>2309</v>
      </c>
      <c r="G176" s="246" t="s">
        <v>2310</v>
      </c>
      <c r="H176" s="247">
        <v>22</v>
      </c>
      <c r="I176" s="246" t="s">
        <v>1223</v>
      </c>
      <c r="J176" s="247">
        <v>38</v>
      </c>
      <c r="K176" s="246" t="s">
        <v>2295</v>
      </c>
      <c r="L176" s="246" t="s">
        <v>2316</v>
      </c>
      <c r="M176" s="246">
        <v>9</v>
      </c>
      <c r="N176" s="246"/>
      <c r="O176" s="246" t="s">
        <v>3749</v>
      </c>
      <c r="P176" s="246" t="s">
        <v>6435</v>
      </c>
      <c r="Q176" s="246" t="s">
        <v>3746</v>
      </c>
      <c r="R176" s="248"/>
    </row>
    <row r="177" spans="1:18" x14ac:dyDescent="0.7">
      <c r="A177" s="246" t="s">
        <v>3750</v>
      </c>
      <c r="B177" s="246" t="s">
        <v>3751</v>
      </c>
      <c r="C177" s="246" t="s">
        <v>1601</v>
      </c>
      <c r="D177" s="246" t="s">
        <v>3752</v>
      </c>
      <c r="E177" s="246">
        <v>6</v>
      </c>
      <c r="F177" s="246" t="s">
        <v>2309</v>
      </c>
      <c r="G177" s="246" t="s">
        <v>2310</v>
      </c>
      <c r="H177" s="247">
        <v>22</v>
      </c>
      <c r="I177" s="246" t="s">
        <v>1223</v>
      </c>
      <c r="J177" s="247">
        <v>33</v>
      </c>
      <c r="K177" s="246" t="s">
        <v>2295</v>
      </c>
      <c r="L177" s="246" t="s">
        <v>2311</v>
      </c>
      <c r="M177" s="246">
        <v>5</v>
      </c>
      <c r="N177" s="246"/>
      <c r="O177" s="246" t="s">
        <v>3753</v>
      </c>
      <c r="P177" s="246" t="s">
        <v>6437</v>
      </c>
      <c r="Q177" s="246" t="s">
        <v>3750</v>
      </c>
      <c r="R177" s="248"/>
    </row>
    <row r="178" spans="1:18" x14ac:dyDescent="0.7">
      <c r="A178" s="246" t="s">
        <v>3754</v>
      </c>
      <c r="B178" s="246" t="s">
        <v>3755</v>
      </c>
      <c r="C178" s="246" t="s">
        <v>1602</v>
      </c>
      <c r="D178" s="246" t="s">
        <v>3756</v>
      </c>
      <c r="E178" s="246">
        <v>6</v>
      </c>
      <c r="F178" s="246" t="s">
        <v>2309</v>
      </c>
      <c r="G178" s="246" t="s">
        <v>2310</v>
      </c>
      <c r="H178" s="247">
        <v>22</v>
      </c>
      <c r="I178" s="246" t="s">
        <v>1223</v>
      </c>
      <c r="J178" s="247">
        <v>40</v>
      </c>
      <c r="K178" s="246" t="s">
        <v>2295</v>
      </c>
      <c r="L178" s="246" t="s">
        <v>2311</v>
      </c>
      <c r="M178" s="246">
        <v>5</v>
      </c>
      <c r="N178" s="246"/>
      <c r="O178" s="246" t="s">
        <v>3757</v>
      </c>
      <c r="P178" s="246" t="s">
        <v>6437</v>
      </c>
      <c r="Q178" s="246" t="s">
        <v>3754</v>
      </c>
      <c r="R178" s="248"/>
    </row>
    <row r="179" spans="1:18" x14ac:dyDescent="0.7">
      <c r="A179" s="246" t="s">
        <v>3758</v>
      </c>
      <c r="B179" s="246" t="s">
        <v>3759</v>
      </c>
      <c r="C179" s="246" t="s">
        <v>1603</v>
      </c>
      <c r="D179" s="246" t="s">
        <v>3760</v>
      </c>
      <c r="E179" s="246">
        <v>6</v>
      </c>
      <c r="F179" s="246" t="s">
        <v>2309</v>
      </c>
      <c r="G179" s="246" t="s">
        <v>2310</v>
      </c>
      <c r="H179" s="247">
        <v>22</v>
      </c>
      <c r="I179" s="246" t="s">
        <v>1223</v>
      </c>
      <c r="J179" s="247">
        <v>33</v>
      </c>
      <c r="K179" s="246" t="s">
        <v>2295</v>
      </c>
      <c r="L179" s="246" t="s">
        <v>2311</v>
      </c>
      <c r="M179" s="246">
        <v>5</v>
      </c>
      <c r="N179" s="246"/>
      <c r="O179" s="246" t="s">
        <v>3761</v>
      </c>
      <c r="P179" s="246" t="s">
        <v>6437</v>
      </c>
      <c r="Q179" s="246" t="s">
        <v>3758</v>
      </c>
      <c r="R179" s="248"/>
    </row>
    <row r="180" spans="1:18" x14ac:dyDescent="0.7">
      <c r="A180" s="246" t="s">
        <v>3762</v>
      </c>
      <c r="B180" s="246" t="s">
        <v>3763</v>
      </c>
      <c r="C180" s="246" t="s">
        <v>1604</v>
      </c>
      <c r="D180" s="246" t="s">
        <v>3764</v>
      </c>
      <c r="E180" s="246">
        <v>6</v>
      </c>
      <c r="F180" s="246" t="s">
        <v>2309</v>
      </c>
      <c r="G180" s="246" t="s">
        <v>2310</v>
      </c>
      <c r="H180" s="247">
        <v>22</v>
      </c>
      <c r="I180" s="246" t="s">
        <v>1223</v>
      </c>
      <c r="J180" s="247">
        <v>69</v>
      </c>
      <c r="K180" s="246" t="s">
        <v>2303</v>
      </c>
      <c r="L180" s="246" t="s">
        <v>2311</v>
      </c>
      <c r="M180" s="246">
        <v>6</v>
      </c>
      <c r="N180" s="246"/>
      <c r="O180" s="246" t="s">
        <v>3765</v>
      </c>
      <c r="P180" s="246" t="s">
        <v>6436</v>
      </c>
      <c r="Q180" s="246" t="s">
        <v>3762</v>
      </c>
      <c r="R180" s="248"/>
    </row>
    <row r="181" spans="1:18" x14ac:dyDescent="0.7">
      <c r="A181" s="246" t="s">
        <v>3766</v>
      </c>
      <c r="B181" s="246" t="s">
        <v>3767</v>
      </c>
      <c r="C181" s="246" t="s">
        <v>1605</v>
      </c>
      <c r="D181" s="246" t="s">
        <v>3768</v>
      </c>
      <c r="E181" s="246">
        <v>6</v>
      </c>
      <c r="F181" s="246" t="s">
        <v>2309</v>
      </c>
      <c r="G181" s="246" t="s">
        <v>2310</v>
      </c>
      <c r="H181" s="247">
        <v>22</v>
      </c>
      <c r="I181" s="246" t="s">
        <v>1223</v>
      </c>
      <c r="J181" s="247">
        <v>42</v>
      </c>
      <c r="K181" s="246" t="s">
        <v>2303</v>
      </c>
      <c r="L181" s="246" t="s">
        <v>2316</v>
      </c>
      <c r="M181" s="246">
        <v>9</v>
      </c>
      <c r="N181" s="246"/>
      <c r="O181" s="246" t="s">
        <v>3769</v>
      </c>
      <c r="P181" s="246" t="s">
        <v>6435</v>
      </c>
      <c r="Q181" s="246" t="s">
        <v>3766</v>
      </c>
      <c r="R181" s="248"/>
    </row>
    <row r="182" spans="1:18" x14ac:dyDescent="0.7">
      <c r="A182" s="246" t="s">
        <v>3770</v>
      </c>
      <c r="B182" s="246" t="s">
        <v>3771</v>
      </c>
      <c r="C182" s="246" t="s">
        <v>1606</v>
      </c>
      <c r="D182" s="246" t="s">
        <v>3772</v>
      </c>
      <c r="E182" s="246">
        <v>6</v>
      </c>
      <c r="F182" s="246" t="s">
        <v>2309</v>
      </c>
      <c r="G182" s="246" t="s">
        <v>2310</v>
      </c>
      <c r="H182" s="247">
        <v>22</v>
      </c>
      <c r="I182" s="246" t="s">
        <v>1223</v>
      </c>
      <c r="J182" s="247">
        <v>35</v>
      </c>
      <c r="K182" s="246" t="s">
        <v>2303</v>
      </c>
      <c r="L182" s="246" t="s">
        <v>2311</v>
      </c>
      <c r="M182" s="246">
        <v>5</v>
      </c>
      <c r="N182" s="246"/>
      <c r="O182" s="246" t="s">
        <v>3773</v>
      </c>
      <c r="P182" s="246" t="s">
        <v>6437</v>
      </c>
      <c r="Q182" s="246" t="s">
        <v>3770</v>
      </c>
      <c r="R182" s="248"/>
    </row>
    <row r="183" spans="1:18" x14ac:dyDescent="0.7">
      <c r="A183" s="246" t="s">
        <v>3774</v>
      </c>
      <c r="B183" s="246" t="s">
        <v>3775</v>
      </c>
      <c r="C183" s="246" t="s">
        <v>1607</v>
      </c>
      <c r="D183" s="246" t="s">
        <v>3776</v>
      </c>
      <c r="E183" s="246">
        <v>6</v>
      </c>
      <c r="F183" s="246" t="s">
        <v>2309</v>
      </c>
      <c r="G183" s="246" t="s">
        <v>2310</v>
      </c>
      <c r="H183" s="247">
        <v>22</v>
      </c>
      <c r="I183" s="246" t="s">
        <v>1223</v>
      </c>
      <c r="J183" s="247">
        <v>62</v>
      </c>
      <c r="K183" s="246" t="s">
        <v>2303</v>
      </c>
      <c r="L183" s="246" t="s">
        <v>2316</v>
      </c>
      <c r="M183" s="246">
        <v>10</v>
      </c>
      <c r="N183" s="246"/>
      <c r="O183" s="246" t="s">
        <v>3777</v>
      </c>
      <c r="P183" s="246" t="s">
        <v>6433</v>
      </c>
      <c r="Q183" s="246" t="s">
        <v>3774</v>
      </c>
      <c r="R183" s="248"/>
    </row>
    <row r="184" spans="1:18" x14ac:dyDescent="0.7">
      <c r="A184" s="246" t="s">
        <v>3778</v>
      </c>
      <c r="B184" s="246" t="s">
        <v>3779</v>
      </c>
      <c r="C184" s="246" t="s">
        <v>1608</v>
      </c>
      <c r="D184" s="246" t="s">
        <v>3780</v>
      </c>
      <c r="E184" s="246">
        <v>6</v>
      </c>
      <c r="F184" s="246" t="s">
        <v>2309</v>
      </c>
      <c r="G184" s="246" t="s">
        <v>2310</v>
      </c>
      <c r="H184" s="247">
        <v>22</v>
      </c>
      <c r="I184" s="246" t="s">
        <v>1223</v>
      </c>
      <c r="J184" s="247">
        <v>34</v>
      </c>
      <c r="K184" s="246" t="s">
        <v>2303</v>
      </c>
      <c r="L184" s="246" t="s">
        <v>2311</v>
      </c>
      <c r="M184" s="246">
        <v>6</v>
      </c>
      <c r="N184" s="246"/>
      <c r="O184" s="246" t="s">
        <v>3781</v>
      </c>
      <c r="P184" s="246" t="s">
        <v>6436</v>
      </c>
      <c r="Q184" s="246" t="s">
        <v>3778</v>
      </c>
      <c r="R184" s="248"/>
    </row>
    <row r="185" spans="1:18" x14ac:dyDescent="0.7">
      <c r="A185" s="246" t="s">
        <v>3782</v>
      </c>
      <c r="B185" s="246" t="s">
        <v>3783</v>
      </c>
      <c r="C185" s="246" t="s">
        <v>1609</v>
      </c>
      <c r="D185" s="246" t="s">
        <v>3784</v>
      </c>
      <c r="E185" s="246">
        <v>6</v>
      </c>
      <c r="F185" s="246" t="s">
        <v>2309</v>
      </c>
      <c r="G185" s="246" t="s">
        <v>2310</v>
      </c>
      <c r="H185" s="247">
        <v>22</v>
      </c>
      <c r="I185" s="246" t="s">
        <v>1223</v>
      </c>
      <c r="J185" s="247">
        <v>37</v>
      </c>
      <c r="K185" s="246" t="s">
        <v>2303</v>
      </c>
      <c r="L185" s="246" t="s">
        <v>2316</v>
      </c>
      <c r="M185" s="246">
        <v>9</v>
      </c>
      <c r="N185" s="246"/>
      <c r="O185" s="246" t="s">
        <v>3785</v>
      </c>
      <c r="P185" s="246" t="s">
        <v>6435</v>
      </c>
      <c r="Q185" s="246" t="s">
        <v>3782</v>
      </c>
      <c r="R185" s="248"/>
    </row>
    <row r="186" spans="1:18" x14ac:dyDescent="0.7">
      <c r="A186" s="246" t="s">
        <v>3786</v>
      </c>
      <c r="B186" s="246" t="s">
        <v>3787</v>
      </c>
      <c r="C186" s="246" t="s">
        <v>1610</v>
      </c>
      <c r="D186" s="246" t="s">
        <v>3788</v>
      </c>
      <c r="E186" s="246">
        <v>6</v>
      </c>
      <c r="F186" s="246" t="s">
        <v>2309</v>
      </c>
      <c r="G186" s="246" t="s">
        <v>2310</v>
      </c>
      <c r="H186" s="247">
        <v>22</v>
      </c>
      <c r="I186" s="246" t="s">
        <v>1223</v>
      </c>
      <c r="J186" s="247">
        <v>35</v>
      </c>
      <c r="K186" s="246" t="s">
        <v>2295</v>
      </c>
      <c r="L186" s="246" t="s">
        <v>2311</v>
      </c>
      <c r="M186" s="246">
        <v>5</v>
      </c>
      <c r="N186" s="246"/>
      <c r="O186" s="246" t="s">
        <v>3789</v>
      </c>
      <c r="P186" s="246" t="s">
        <v>6437</v>
      </c>
      <c r="Q186" s="246" t="s">
        <v>3786</v>
      </c>
      <c r="R186" s="248"/>
    </row>
    <row r="187" spans="1:18" x14ac:dyDescent="0.7">
      <c r="A187" s="246" t="s">
        <v>3793</v>
      </c>
      <c r="B187" s="246" t="s">
        <v>3794</v>
      </c>
      <c r="C187" s="246" t="s">
        <v>1633</v>
      </c>
      <c r="D187" s="246" t="s">
        <v>3795</v>
      </c>
      <c r="E187" s="246">
        <v>6</v>
      </c>
      <c r="F187" s="246" t="s">
        <v>2309</v>
      </c>
      <c r="G187" s="246" t="s">
        <v>2310</v>
      </c>
      <c r="H187" s="247">
        <v>23</v>
      </c>
      <c r="I187" s="246" t="s">
        <v>1226</v>
      </c>
      <c r="J187" s="247">
        <v>37</v>
      </c>
      <c r="K187" s="246" t="s">
        <v>2295</v>
      </c>
      <c r="L187" s="246" t="s">
        <v>2311</v>
      </c>
      <c r="M187" s="246">
        <v>5</v>
      </c>
      <c r="N187" s="246"/>
      <c r="O187" s="246" t="s">
        <v>3796</v>
      </c>
      <c r="P187" s="246" t="s">
        <v>6437</v>
      </c>
      <c r="Q187" s="246" t="s">
        <v>3793</v>
      </c>
      <c r="R187" s="248"/>
    </row>
    <row r="188" spans="1:18" x14ac:dyDescent="0.7">
      <c r="A188" s="246" t="s">
        <v>3797</v>
      </c>
      <c r="B188" s="246" t="s">
        <v>3798</v>
      </c>
      <c r="C188" s="246" t="s">
        <v>1634</v>
      </c>
      <c r="D188" s="246" t="s">
        <v>3799</v>
      </c>
      <c r="E188" s="246">
        <v>6</v>
      </c>
      <c r="F188" s="246" t="s">
        <v>2309</v>
      </c>
      <c r="G188" s="246" t="s">
        <v>2310</v>
      </c>
      <c r="H188" s="247">
        <v>23</v>
      </c>
      <c r="I188" s="246" t="s">
        <v>1226</v>
      </c>
      <c r="J188" s="247">
        <v>36</v>
      </c>
      <c r="K188" s="246" t="s">
        <v>2295</v>
      </c>
      <c r="L188" s="246" t="s">
        <v>2311</v>
      </c>
      <c r="M188" s="246">
        <v>6</v>
      </c>
      <c r="N188" s="246"/>
      <c r="O188" s="246" t="s">
        <v>3800</v>
      </c>
      <c r="P188" s="246" t="s">
        <v>6436</v>
      </c>
      <c r="Q188" s="246" t="s">
        <v>3797</v>
      </c>
      <c r="R188" s="248"/>
    </row>
    <row r="189" spans="1:18" x14ac:dyDescent="0.7">
      <c r="A189" s="246" t="s">
        <v>3801</v>
      </c>
      <c r="B189" s="246" t="s">
        <v>3802</v>
      </c>
      <c r="C189" s="246" t="s">
        <v>1635</v>
      </c>
      <c r="D189" s="246" t="s">
        <v>3803</v>
      </c>
      <c r="E189" s="246">
        <v>6</v>
      </c>
      <c r="F189" s="246" t="s">
        <v>2309</v>
      </c>
      <c r="G189" s="246" t="s">
        <v>2310</v>
      </c>
      <c r="H189" s="247">
        <v>23</v>
      </c>
      <c r="I189" s="246" t="s">
        <v>1226</v>
      </c>
      <c r="J189" s="247">
        <v>38</v>
      </c>
      <c r="K189" s="246" t="s">
        <v>2295</v>
      </c>
      <c r="L189" s="246" t="s">
        <v>2311</v>
      </c>
      <c r="M189" s="246">
        <v>5</v>
      </c>
      <c r="N189" s="246"/>
      <c r="O189" s="246" t="s">
        <v>3804</v>
      </c>
      <c r="P189" s="246" t="s">
        <v>6437</v>
      </c>
      <c r="Q189" s="246" t="s">
        <v>3801</v>
      </c>
      <c r="R189" s="248"/>
    </row>
    <row r="190" spans="1:18" x14ac:dyDescent="0.7">
      <c r="A190" s="246" t="s">
        <v>3805</v>
      </c>
      <c r="B190" s="246" t="s">
        <v>3806</v>
      </c>
      <c r="C190" s="246" t="s">
        <v>1636</v>
      </c>
      <c r="D190" s="246" t="s">
        <v>3807</v>
      </c>
      <c r="E190" s="246">
        <v>6</v>
      </c>
      <c r="F190" s="246" t="s">
        <v>2309</v>
      </c>
      <c r="G190" s="246" t="s">
        <v>2310</v>
      </c>
      <c r="H190" s="247">
        <v>23</v>
      </c>
      <c r="I190" s="246" t="s">
        <v>1226</v>
      </c>
      <c r="J190" s="247">
        <v>30</v>
      </c>
      <c r="K190" s="246" t="s">
        <v>2295</v>
      </c>
      <c r="L190" s="246" t="s">
        <v>2311</v>
      </c>
      <c r="M190" s="246">
        <v>5</v>
      </c>
      <c r="N190" s="246"/>
      <c r="O190" s="246" t="s">
        <v>3808</v>
      </c>
      <c r="P190" s="246" t="s">
        <v>6437</v>
      </c>
      <c r="Q190" s="246" t="s">
        <v>3805</v>
      </c>
      <c r="R190" s="248"/>
    </row>
    <row r="191" spans="1:18" x14ac:dyDescent="0.7">
      <c r="A191" s="246" t="s">
        <v>3809</v>
      </c>
      <c r="B191" s="246" t="s">
        <v>3810</v>
      </c>
      <c r="C191" s="246" t="s">
        <v>1637</v>
      </c>
      <c r="D191" s="246" t="s">
        <v>3811</v>
      </c>
      <c r="E191" s="246">
        <v>6</v>
      </c>
      <c r="F191" s="246" t="s">
        <v>2309</v>
      </c>
      <c r="G191" s="246" t="s">
        <v>2310</v>
      </c>
      <c r="H191" s="247">
        <v>23</v>
      </c>
      <c r="I191" s="246" t="s">
        <v>1226</v>
      </c>
      <c r="J191" s="247">
        <v>7</v>
      </c>
      <c r="K191" s="246" t="s">
        <v>2295</v>
      </c>
      <c r="L191" s="246" t="s">
        <v>2398</v>
      </c>
      <c r="M191" s="246">
        <v>2</v>
      </c>
      <c r="N191" s="246"/>
      <c r="O191" s="246" t="s">
        <v>3812</v>
      </c>
      <c r="P191" s="246" t="s">
        <v>6424</v>
      </c>
      <c r="Q191" s="246" t="s">
        <v>3809</v>
      </c>
      <c r="R191" s="248"/>
    </row>
    <row r="192" spans="1:18" x14ac:dyDescent="0.7">
      <c r="A192" s="246" t="s">
        <v>3825</v>
      </c>
      <c r="B192" s="246" t="s">
        <v>3826</v>
      </c>
      <c r="C192" s="246" t="s">
        <v>1613</v>
      </c>
      <c r="D192" s="246" t="s">
        <v>3827</v>
      </c>
      <c r="E192" s="246">
        <v>6</v>
      </c>
      <c r="F192" s="246" t="s">
        <v>2309</v>
      </c>
      <c r="G192" s="246" t="s">
        <v>2310</v>
      </c>
      <c r="H192" s="247">
        <v>24</v>
      </c>
      <c r="I192" s="246" t="s">
        <v>1224</v>
      </c>
      <c r="J192" s="247">
        <v>50</v>
      </c>
      <c r="K192" s="246" t="s">
        <v>2295</v>
      </c>
      <c r="L192" s="246" t="s">
        <v>2311</v>
      </c>
      <c r="M192" s="246">
        <v>5</v>
      </c>
      <c r="N192" s="246"/>
      <c r="O192" s="246" t="s">
        <v>3828</v>
      </c>
      <c r="P192" s="246" t="s">
        <v>6437</v>
      </c>
      <c r="Q192" s="246" t="s">
        <v>3825</v>
      </c>
      <c r="R192" s="248"/>
    </row>
    <row r="193" spans="1:18" x14ac:dyDescent="0.7">
      <c r="A193" s="246" t="s">
        <v>3829</v>
      </c>
      <c r="B193" s="246" t="s">
        <v>3830</v>
      </c>
      <c r="C193" s="246" t="s">
        <v>1614</v>
      </c>
      <c r="D193" s="246" t="s">
        <v>3831</v>
      </c>
      <c r="E193" s="246">
        <v>6</v>
      </c>
      <c r="F193" s="246" t="s">
        <v>2309</v>
      </c>
      <c r="G193" s="246" t="s">
        <v>2310</v>
      </c>
      <c r="H193" s="247">
        <v>24</v>
      </c>
      <c r="I193" s="246" t="s">
        <v>1224</v>
      </c>
      <c r="J193" s="247">
        <v>63</v>
      </c>
      <c r="K193" s="246" t="s">
        <v>2295</v>
      </c>
      <c r="L193" s="246" t="s">
        <v>2316</v>
      </c>
      <c r="M193" s="246">
        <v>10</v>
      </c>
      <c r="N193" s="246"/>
      <c r="O193" s="246" t="s">
        <v>3832</v>
      </c>
      <c r="P193" s="246" t="s">
        <v>6433</v>
      </c>
      <c r="Q193" s="246" t="s">
        <v>3829</v>
      </c>
      <c r="R193" s="248"/>
    </row>
    <row r="194" spans="1:18" x14ac:dyDescent="0.7">
      <c r="A194" s="246" t="s">
        <v>3833</v>
      </c>
      <c r="B194" s="246" t="s">
        <v>3834</v>
      </c>
      <c r="C194" s="246" t="s">
        <v>1615</v>
      </c>
      <c r="D194" s="246" t="s">
        <v>3835</v>
      </c>
      <c r="E194" s="246">
        <v>6</v>
      </c>
      <c r="F194" s="246" t="s">
        <v>2309</v>
      </c>
      <c r="G194" s="246" t="s">
        <v>2310</v>
      </c>
      <c r="H194" s="247">
        <v>24</v>
      </c>
      <c r="I194" s="246" t="s">
        <v>1224</v>
      </c>
      <c r="J194" s="247">
        <v>90</v>
      </c>
      <c r="K194" s="246" t="s">
        <v>2295</v>
      </c>
      <c r="L194" s="246" t="s">
        <v>2316</v>
      </c>
      <c r="M194" s="246">
        <v>10</v>
      </c>
      <c r="N194" s="246"/>
      <c r="O194" s="246" t="s">
        <v>3836</v>
      </c>
      <c r="P194" s="246" t="s">
        <v>6433</v>
      </c>
      <c r="Q194" s="246" t="s">
        <v>3833</v>
      </c>
      <c r="R194" s="248"/>
    </row>
    <row r="195" spans="1:18" x14ac:dyDescent="0.7">
      <c r="A195" s="246" t="s">
        <v>3837</v>
      </c>
      <c r="B195" s="246" t="s">
        <v>3838</v>
      </c>
      <c r="C195" s="246" t="s">
        <v>1616</v>
      </c>
      <c r="D195" s="246" t="s">
        <v>3839</v>
      </c>
      <c r="E195" s="246">
        <v>6</v>
      </c>
      <c r="F195" s="246" t="s">
        <v>2309</v>
      </c>
      <c r="G195" s="246" t="s">
        <v>2310</v>
      </c>
      <c r="H195" s="247">
        <v>24</v>
      </c>
      <c r="I195" s="246" t="s">
        <v>1224</v>
      </c>
      <c r="J195" s="247">
        <v>52</v>
      </c>
      <c r="K195" s="246" t="s">
        <v>2295</v>
      </c>
      <c r="L195" s="246" t="s">
        <v>2311</v>
      </c>
      <c r="M195" s="246">
        <v>6</v>
      </c>
      <c r="N195" s="246"/>
      <c r="O195" s="246" t="s">
        <v>3840</v>
      </c>
      <c r="P195" s="246" t="s">
        <v>6436</v>
      </c>
      <c r="Q195" s="246" t="s">
        <v>3837</v>
      </c>
      <c r="R195" s="248"/>
    </row>
    <row r="196" spans="1:18" x14ac:dyDescent="0.7">
      <c r="A196" s="246" t="s">
        <v>3841</v>
      </c>
      <c r="B196" s="246" t="s">
        <v>3842</v>
      </c>
      <c r="C196" s="246" t="s">
        <v>1617</v>
      </c>
      <c r="D196" s="246" t="s">
        <v>3843</v>
      </c>
      <c r="E196" s="246">
        <v>6</v>
      </c>
      <c r="F196" s="246" t="s">
        <v>2309</v>
      </c>
      <c r="G196" s="246" t="s">
        <v>2310</v>
      </c>
      <c r="H196" s="247">
        <v>24</v>
      </c>
      <c r="I196" s="246" t="s">
        <v>1224</v>
      </c>
      <c r="J196" s="247">
        <v>155</v>
      </c>
      <c r="K196" s="246" t="s">
        <v>2295</v>
      </c>
      <c r="L196" s="246" t="s">
        <v>2345</v>
      </c>
      <c r="M196" s="246">
        <v>13</v>
      </c>
      <c r="N196" s="246"/>
      <c r="O196" s="246" t="s">
        <v>3844</v>
      </c>
      <c r="P196" s="246" t="s">
        <v>6432</v>
      </c>
      <c r="Q196" s="246" t="s">
        <v>3841</v>
      </c>
      <c r="R196" s="248"/>
    </row>
    <row r="197" spans="1:18" x14ac:dyDescent="0.7">
      <c r="A197" s="246" t="s">
        <v>3845</v>
      </c>
      <c r="B197" s="246" t="s">
        <v>3846</v>
      </c>
      <c r="C197" s="246" t="s">
        <v>1618</v>
      </c>
      <c r="D197" s="246" t="s">
        <v>3847</v>
      </c>
      <c r="E197" s="246">
        <v>6</v>
      </c>
      <c r="F197" s="246" t="s">
        <v>2309</v>
      </c>
      <c r="G197" s="246" t="s">
        <v>2310</v>
      </c>
      <c r="H197" s="247">
        <v>24</v>
      </c>
      <c r="I197" s="246" t="s">
        <v>1224</v>
      </c>
      <c r="J197" s="247">
        <v>150</v>
      </c>
      <c r="K197" s="246" t="s">
        <v>2295</v>
      </c>
      <c r="L197" s="246" t="s">
        <v>2345</v>
      </c>
      <c r="M197" s="246">
        <v>13</v>
      </c>
      <c r="N197" s="246"/>
      <c r="O197" s="246" t="s">
        <v>3848</v>
      </c>
      <c r="P197" s="246" t="s">
        <v>6432</v>
      </c>
      <c r="Q197" s="246" t="s">
        <v>3845</v>
      </c>
      <c r="R197" s="248"/>
    </row>
    <row r="198" spans="1:18" x14ac:dyDescent="0.7">
      <c r="A198" s="246" t="s">
        <v>3849</v>
      </c>
      <c r="B198" s="246" t="s">
        <v>3850</v>
      </c>
      <c r="C198" s="246" t="s">
        <v>1619</v>
      </c>
      <c r="D198" s="246" t="s">
        <v>3851</v>
      </c>
      <c r="E198" s="246">
        <v>6</v>
      </c>
      <c r="F198" s="246" t="s">
        <v>2309</v>
      </c>
      <c r="G198" s="246" t="s">
        <v>2310</v>
      </c>
      <c r="H198" s="247">
        <v>24</v>
      </c>
      <c r="I198" s="246" t="s">
        <v>1224</v>
      </c>
      <c r="J198" s="247">
        <v>73</v>
      </c>
      <c r="K198" s="246" t="s">
        <v>2295</v>
      </c>
      <c r="L198" s="246" t="s">
        <v>2311</v>
      </c>
      <c r="M198" s="246">
        <v>5</v>
      </c>
      <c r="N198" s="246"/>
      <c r="O198" s="246" t="s">
        <v>3852</v>
      </c>
      <c r="P198" s="246" t="s">
        <v>6437</v>
      </c>
      <c r="Q198" s="246" t="s">
        <v>3849</v>
      </c>
      <c r="R198" s="248"/>
    </row>
    <row r="199" spans="1:18" x14ac:dyDescent="0.7">
      <c r="A199" s="246" t="s">
        <v>3865</v>
      </c>
      <c r="B199" s="246" t="s">
        <v>3866</v>
      </c>
      <c r="C199" s="246" t="s">
        <v>2122</v>
      </c>
      <c r="D199" s="246" t="s">
        <v>3867</v>
      </c>
      <c r="E199" s="246">
        <v>6</v>
      </c>
      <c r="F199" s="246" t="s">
        <v>2301</v>
      </c>
      <c r="G199" s="246" t="s">
        <v>2302</v>
      </c>
      <c r="H199" s="247">
        <v>25</v>
      </c>
      <c r="I199" s="246" t="s">
        <v>1227</v>
      </c>
      <c r="J199" s="247">
        <v>230</v>
      </c>
      <c r="K199" s="246" t="s">
        <v>2303</v>
      </c>
      <c r="L199" s="246" t="s">
        <v>2304</v>
      </c>
      <c r="M199" s="246">
        <v>15</v>
      </c>
      <c r="N199" s="246"/>
      <c r="O199" s="246" t="s">
        <v>3868</v>
      </c>
      <c r="P199" s="246" t="s">
        <v>6429</v>
      </c>
      <c r="Q199" s="246" t="s">
        <v>3865</v>
      </c>
      <c r="R199" s="248"/>
    </row>
    <row r="200" spans="1:18" x14ac:dyDescent="0.7">
      <c r="A200" s="246" t="s">
        <v>3869</v>
      </c>
      <c r="B200" s="246" t="s">
        <v>3870</v>
      </c>
      <c r="C200" s="246" t="s">
        <v>1640</v>
      </c>
      <c r="D200" s="246" t="s">
        <v>3871</v>
      </c>
      <c r="E200" s="246">
        <v>6</v>
      </c>
      <c r="F200" s="246" t="s">
        <v>2309</v>
      </c>
      <c r="G200" s="246" t="s">
        <v>2310</v>
      </c>
      <c r="H200" s="247">
        <v>25</v>
      </c>
      <c r="I200" s="246" t="s">
        <v>1227</v>
      </c>
      <c r="J200" s="247">
        <v>60</v>
      </c>
      <c r="K200" s="246" t="s">
        <v>2303</v>
      </c>
      <c r="L200" s="246" t="s">
        <v>2311</v>
      </c>
      <c r="M200" s="246">
        <v>6</v>
      </c>
      <c r="N200" s="246"/>
      <c r="O200" s="246" t="s">
        <v>3872</v>
      </c>
      <c r="P200" s="246" t="s">
        <v>6436</v>
      </c>
      <c r="Q200" s="246" t="s">
        <v>3869</v>
      </c>
      <c r="R200" s="248"/>
    </row>
    <row r="201" spans="1:18" x14ac:dyDescent="0.7">
      <c r="A201" s="246" t="s">
        <v>3873</v>
      </c>
      <c r="B201" s="246" t="s">
        <v>3874</v>
      </c>
      <c r="C201" s="246" t="s">
        <v>1641</v>
      </c>
      <c r="D201" s="246" t="s">
        <v>3875</v>
      </c>
      <c r="E201" s="246">
        <v>6</v>
      </c>
      <c r="F201" s="246" t="s">
        <v>2309</v>
      </c>
      <c r="G201" s="246" t="s">
        <v>2310</v>
      </c>
      <c r="H201" s="247">
        <v>25</v>
      </c>
      <c r="I201" s="246" t="s">
        <v>1227</v>
      </c>
      <c r="J201" s="247">
        <v>33</v>
      </c>
      <c r="K201" s="246" t="s">
        <v>2303</v>
      </c>
      <c r="L201" s="246" t="s">
        <v>2311</v>
      </c>
      <c r="M201" s="246">
        <v>5</v>
      </c>
      <c r="N201" s="246"/>
      <c r="O201" s="246" t="s">
        <v>3876</v>
      </c>
      <c r="P201" s="246" t="s">
        <v>6437</v>
      </c>
      <c r="Q201" s="246" t="s">
        <v>3873</v>
      </c>
      <c r="R201" s="248"/>
    </row>
    <row r="202" spans="1:18" x14ac:dyDescent="0.7">
      <c r="A202" s="246" t="s">
        <v>3877</v>
      </c>
      <c r="B202" s="246" t="s">
        <v>3878</v>
      </c>
      <c r="C202" s="246" t="s">
        <v>1642</v>
      </c>
      <c r="D202" s="246" t="s">
        <v>3879</v>
      </c>
      <c r="E202" s="246">
        <v>6</v>
      </c>
      <c r="F202" s="246" t="s">
        <v>2309</v>
      </c>
      <c r="G202" s="246" t="s">
        <v>2310</v>
      </c>
      <c r="H202" s="247">
        <v>25</v>
      </c>
      <c r="I202" s="246" t="s">
        <v>1227</v>
      </c>
      <c r="J202" s="247">
        <v>33</v>
      </c>
      <c r="K202" s="246" t="s">
        <v>2303</v>
      </c>
      <c r="L202" s="246" t="s">
        <v>2311</v>
      </c>
      <c r="M202" s="246">
        <v>6</v>
      </c>
      <c r="N202" s="246"/>
      <c r="O202" s="246" t="s">
        <v>3880</v>
      </c>
      <c r="P202" s="246" t="s">
        <v>6436</v>
      </c>
      <c r="Q202" s="246" t="s">
        <v>3877</v>
      </c>
      <c r="R202" s="248"/>
    </row>
    <row r="203" spans="1:18" x14ac:dyDescent="0.7">
      <c r="A203" s="246" t="s">
        <v>3881</v>
      </c>
      <c r="B203" s="246" t="s">
        <v>3882</v>
      </c>
      <c r="C203" s="246" t="s">
        <v>1643</v>
      </c>
      <c r="D203" s="246" t="s">
        <v>3883</v>
      </c>
      <c r="E203" s="246">
        <v>6</v>
      </c>
      <c r="F203" s="246" t="s">
        <v>2309</v>
      </c>
      <c r="G203" s="246" t="s">
        <v>2310</v>
      </c>
      <c r="H203" s="247">
        <v>25</v>
      </c>
      <c r="I203" s="246" t="s">
        <v>1227</v>
      </c>
      <c r="J203" s="247">
        <v>66</v>
      </c>
      <c r="K203" s="246" t="s">
        <v>2303</v>
      </c>
      <c r="L203" s="246" t="s">
        <v>2311</v>
      </c>
      <c r="M203" s="246">
        <v>6</v>
      </c>
      <c r="N203" s="246"/>
      <c r="O203" s="246" t="s">
        <v>3884</v>
      </c>
      <c r="P203" s="246" t="s">
        <v>6436</v>
      </c>
      <c r="Q203" s="246" t="s">
        <v>3881</v>
      </c>
      <c r="R203" s="248"/>
    </row>
    <row r="204" spans="1:18" x14ac:dyDescent="0.7">
      <c r="A204" s="246" t="s">
        <v>3885</v>
      </c>
      <c r="B204" s="246" t="s">
        <v>3886</v>
      </c>
      <c r="C204" s="246" t="s">
        <v>1644</v>
      </c>
      <c r="D204" s="246" t="s">
        <v>3887</v>
      </c>
      <c r="E204" s="246">
        <v>6</v>
      </c>
      <c r="F204" s="246" t="s">
        <v>2309</v>
      </c>
      <c r="G204" s="246" t="s">
        <v>2310</v>
      </c>
      <c r="H204" s="247">
        <v>25</v>
      </c>
      <c r="I204" s="246" t="s">
        <v>1227</v>
      </c>
      <c r="J204" s="247">
        <v>30</v>
      </c>
      <c r="K204" s="246" t="s">
        <v>2303</v>
      </c>
      <c r="L204" s="246" t="s">
        <v>2311</v>
      </c>
      <c r="M204" s="246">
        <v>5</v>
      </c>
      <c r="N204" s="246"/>
      <c r="O204" s="246" t="s">
        <v>3888</v>
      </c>
      <c r="P204" s="246" t="s">
        <v>6437</v>
      </c>
      <c r="Q204" s="246" t="s">
        <v>3885</v>
      </c>
      <c r="R204" s="248"/>
    </row>
    <row r="205" spans="1:18" x14ac:dyDescent="0.7">
      <c r="A205" s="246" t="s">
        <v>3367</v>
      </c>
      <c r="B205" s="246" t="s">
        <v>3368</v>
      </c>
      <c r="C205" s="246" t="s">
        <v>1465</v>
      </c>
      <c r="D205" s="246" t="s">
        <v>3369</v>
      </c>
      <c r="E205" s="246">
        <v>4</v>
      </c>
      <c r="F205" s="246" t="s">
        <v>2309</v>
      </c>
      <c r="G205" s="246" t="s">
        <v>2310</v>
      </c>
      <c r="H205" s="247">
        <v>26</v>
      </c>
      <c r="I205" s="246" t="s">
        <v>1207</v>
      </c>
      <c r="J205" s="247">
        <v>10</v>
      </c>
      <c r="K205" s="246" t="s">
        <v>2303</v>
      </c>
      <c r="L205" s="246" t="s">
        <v>2398</v>
      </c>
      <c r="M205" s="246">
        <v>2</v>
      </c>
      <c r="N205" s="246"/>
      <c r="O205" s="246" t="s">
        <v>3370</v>
      </c>
      <c r="P205" s="246" t="s">
        <v>6424</v>
      </c>
      <c r="Q205" s="246" t="s">
        <v>3367</v>
      </c>
      <c r="R205" s="248"/>
    </row>
    <row r="206" spans="1:18" x14ac:dyDescent="0.7">
      <c r="A206" s="246" t="s">
        <v>3371</v>
      </c>
      <c r="B206" s="246" t="s">
        <v>3372</v>
      </c>
      <c r="C206" s="246" t="s">
        <v>1466</v>
      </c>
      <c r="D206" s="246" t="s">
        <v>3373</v>
      </c>
      <c r="E206" s="246">
        <v>4</v>
      </c>
      <c r="F206" s="246" t="s">
        <v>2309</v>
      </c>
      <c r="G206" s="246" t="s">
        <v>2310</v>
      </c>
      <c r="H206" s="247">
        <v>26</v>
      </c>
      <c r="I206" s="246" t="s">
        <v>1207</v>
      </c>
      <c r="J206" s="247">
        <v>70</v>
      </c>
      <c r="K206" s="246" t="s">
        <v>2303</v>
      </c>
      <c r="L206" s="246" t="s">
        <v>2311</v>
      </c>
      <c r="M206" s="246">
        <v>6</v>
      </c>
      <c r="N206" s="246"/>
      <c r="O206" s="246" t="s">
        <v>3374</v>
      </c>
      <c r="P206" s="246" t="s">
        <v>6436</v>
      </c>
      <c r="Q206" s="246" t="s">
        <v>3371</v>
      </c>
      <c r="R206" s="248"/>
    </row>
    <row r="207" spans="1:18" x14ac:dyDescent="0.7">
      <c r="A207" s="246" t="s">
        <v>3375</v>
      </c>
      <c r="B207" s="246" t="s">
        <v>3376</v>
      </c>
      <c r="C207" s="246" t="s">
        <v>1467</v>
      </c>
      <c r="D207" s="246" t="s">
        <v>3377</v>
      </c>
      <c r="E207" s="246">
        <v>4</v>
      </c>
      <c r="F207" s="246" t="s">
        <v>2309</v>
      </c>
      <c r="G207" s="246" t="s">
        <v>2310</v>
      </c>
      <c r="H207" s="247">
        <v>26</v>
      </c>
      <c r="I207" s="246" t="s">
        <v>1207</v>
      </c>
      <c r="J207" s="247">
        <v>33</v>
      </c>
      <c r="K207" s="246" t="s">
        <v>2303</v>
      </c>
      <c r="L207" s="246" t="s">
        <v>2311</v>
      </c>
      <c r="M207" s="246">
        <v>6</v>
      </c>
      <c r="N207" s="246"/>
      <c r="O207" s="246" t="s">
        <v>3378</v>
      </c>
      <c r="P207" s="246" t="s">
        <v>6436</v>
      </c>
      <c r="Q207" s="246" t="s">
        <v>3375</v>
      </c>
      <c r="R207" s="248"/>
    </row>
    <row r="208" spans="1:18" x14ac:dyDescent="0.7">
      <c r="A208" s="246" t="s">
        <v>3893</v>
      </c>
      <c r="B208" s="246" t="s">
        <v>3894</v>
      </c>
      <c r="C208" s="246" t="s">
        <v>1658</v>
      </c>
      <c r="D208" s="246" t="s">
        <v>3895</v>
      </c>
      <c r="E208" s="246">
        <v>6</v>
      </c>
      <c r="F208" s="246" t="s">
        <v>2309</v>
      </c>
      <c r="G208" s="246" t="s">
        <v>2310</v>
      </c>
      <c r="H208" s="247">
        <v>27</v>
      </c>
      <c r="I208" s="246" t="s">
        <v>1230</v>
      </c>
      <c r="J208" s="247">
        <v>36</v>
      </c>
      <c r="K208" s="246" t="s">
        <v>2303</v>
      </c>
      <c r="L208" s="246" t="s">
        <v>2311</v>
      </c>
      <c r="M208" s="246">
        <v>5</v>
      </c>
      <c r="N208" s="246"/>
      <c r="O208" s="246" t="s">
        <v>3896</v>
      </c>
      <c r="P208" s="246" t="s">
        <v>6437</v>
      </c>
      <c r="Q208" s="246" t="s">
        <v>3893</v>
      </c>
      <c r="R208" s="248"/>
    </row>
    <row r="209" spans="1:18" x14ac:dyDescent="0.7">
      <c r="A209" s="246" t="s">
        <v>3897</v>
      </c>
      <c r="B209" s="246" t="s">
        <v>3898</v>
      </c>
      <c r="C209" s="246" t="s">
        <v>1659</v>
      </c>
      <c r="D209" s="246" t="s">
        <v>3899</v>
      </c>
      <c r="E209" s="246">
        <v>6</v>
      </c>
      <c r="F209" s="246" t="s">
        <v>2309</v>
      </c>
      <c r="G209" s="246" t="s">
        <v>2310</v>
      </c>
      <c r="H209" s="247">
        <v>27</v>
      </c>
      <c r="I209" s="246" t="s">
        <v>1230</v>
      </c>
      <c r="J209" s="247">
        <v>52</v>
      </c>
      <c r="K209" s="246" t="s">
        <v>2303</v>
      </c>
      <c r="L209" s="246" t="s">
        <v>2311</v>
      </c>
      <c r="M209" s="246">
        <v>6</v>
      </c>
      <c r="N209" s="246"/>
      <c r="O209" s="246" t="s">
        <v>3900</v>
      </c>
      <c r="P209" s="246" t="s">
        <v>6436</v>
      </c>
      <c r="Q209" s="246" t="s">
        <v>3897</v>
      </c>
      <c r="R209" s="248"/>
    </row>
    <row r="210" spans="1:18" x14ac:dyDescent="0.7">
      <c r="A210" s="246" t="s">
        <v>3901</v>
      </c>
      <c r="B210" s="246" t="s">
        <v>3902</v>
      </c>
      <c r="C210" s="246" t="s">
        <v>1660</v>
      </c>
      <c r="D210" s="246" t="s">
        <v>3903</v>
      </c>
      <c r="E210" s="246">
        <v>6</v>
      </c>
      <c r="F210" s="246" t="s">
        <v>2309</v>
      </c>
      <c r="G210" s="246" t="s">
        <v>2310</v>
      </c>
      <c r="H210" s="247">
        <v>27</v>
      </c>
      <c r="I210" s="246" t="s">
        <v>1230</v>
      </c>
      <c r="J210" s="247">
        <v>76</v>
      </c>
      <c r="K210" s="246" t="s">
        <v>2303</v>
      </c>
      <c r="L210" s="246" t="s">
        <v>2316</v>
      </c>
      <c r="M210" s="246">
        <v>9</v>
      </c>
      <c r="N210" s="246"/>
      <c r="O210" s="246" t="s">
        <v>3904</v>
      </c>
      <c r="P210" s="246" t="s">
        <v>6435</v>
      </c>
      <c r="Q210" s="246" t="s">
        <v>3901</v>
      </c>
      <c r="R210" s="248"/>
    </row>
    <row r="211" spans="1:18" x14ac:dyDescent="0.7">
      <c r="A211" s="246" t="s">
        <v>3905</v>
      </c>
      <c r="B211" s="246" t="s">
        <v>3906</v>
      </c>
      <c r="C211" s="246" t="s">
        <v>1661</v>
      </c>
      <c r="D211" s="246" t="s">
        <v>3907</v>
      </c>
      <c r="E211" s="246">
        <v>6</v>
      </c>
      <c r="F211" s="246" t="s">
        <v>2309</v>
      </c>
      <c r="G211" s="246" t="s">
        <v>2310</v>
      </c>
      <c r="H211" s="247">
        <v>27</v>
      </c>
      <c r="I211" s="246" t="s">
        <v>1230</v>
      </c>
      <c r="J211" s="247">
        <v>86</v>
      </c>
      <c r="K211" s="246" t="s">
        <v>2303</v>
      </c>
      <c r="L211" s="246" t="s">
        <v>2311</v>
      </c>
      <c r="M211" s="246">
        <v>6</v>
      </c>
      <c r="N211" s="246"/>
      <c r="O211" s="246" t="s">
        <v>3908</v>
      </c>
      <c r="P211" s="246" t="s">
        <v>6436</v>
      </c>
      <c r="Q211" s="246" t="s">
        <v>3905</v>
      </c>
      <c r="R211" s="248"/>
    </row>
    <row r="212" spans="1:18" x14ac:dyDescent="0.7">
      <c r="A212" s="246" t="s">
        <v>3909</v>
      </c>
      <c r="B212" s="246" t="s">
        <v>3910</v>
      </c>
      <c r="C212" s="246" t="s">
        <v>2127</v>
      </c>
      <c r="D212" s="246" t="s">
        <v>3911</v>
      </c>
      <c r="E212" s="246">
        <v>6</v>
      </c>
      <c r="F212" s="246" t="s">
        <v>2301</v>
      </c>
      <c r="G212" s="246" t="s">
        <v>2302</v>
      </c>
      <c r="H212" s="247">
        <v>27</v>
      </c>
      <c r="I212" s="246" t="s">
        <v>1230</v>
      </c>
      <c r="J212" s="247">
        <v>297</v>
      </c>
      <c r="K212" s="246" t="s">
        <v>2303</v>
      </c>
      <c r="L212" s="246" t="s">
        <v>2304</v>
      </c>
      <c r="M212" s="246">
        <v>15</v>
      </c>
      <c r="N212" s="246"/>
      <c r="O212" s="246" t="s">
        <v>3912</v>
      </c>
      <c r="P212" s="246" t="s">
        <v>6429</v>
      </c>
      <c r="Q212" s="246" t="s">
        <v>3909</v>
      </c>
      <c r="R212" s="248"/>
    </row>
    <row r="213" spans="1:18" x14ac:dyDescent="0.7">
      <c r="A213" s="246" t="s">
        <v>4573</v>
      </c>
      <c r="B213" s="246" t="s">
        <v>4574</v>
      </c>
      <c r="C213" s="246" t="s">
        <v>1825</v>
      </c>
      <c r="D213" s="246" t="s">
        <v>4575</v>
      </c>
      <c r="E213" s="246">
        <v>9</v>
      </c>
      <c r="F213" s="246" t="s">
        <v>2309</v>
      </c>
      <c r="G213" s="246" t="s">
        <v>2310</v>
      </c>
      <c r="H213" s="247">
        <v>30</v>
      </c>
      <c r="I213" s="246" t="s">
        <v>1243</v>
      </c>
      <c r="J213" s="247">
        <v>120</v>
      </c>
      <c r="K213" s="246" t="s">
        <v>2303</v>
      </c>
      <c r="L213" s="246" t="s">
        <v>2345</v>
      </c>
      <c r="M213" s="246">
        <v>13</v>
      </c>
      <c r="N213" s="246"/>
      <c r="O213" s="246" t="s">
        <v>4576</v>
      </c>
      <c r="P213" s="246" t="s">
        <v>6432</v>
      </c>
      <c r="Q213" s="246" t="s">
        <v>4573</v>
      </c>
      <c r="R213" s="248"/>
    </row>
    <row r="214" spans="1:18" x14ac:dyDescent="0.7">
      <c r="A214" s="246" t="s">
        <v>4577</v>
      </c>
      <c r="B214" s="246" t="s">
        <v>4578</v>
      </c>
      <c r="C214" s="246" t="s">
        <v>1826</v>
      </c>
      <c r="D214" s="246" t="s">
        <v>4579</v>
      </c>
      <c r="E214" s="246">
        <v>9</v>
      </c>
      <c r="F214" s="246" t="s">
        <v>2309</v>
      </c>
      <c r="G214" s="246" t="s">
        <v>2310</v>
      </c>
      <c r="H214" s="247">
        <v>30</v>
      </c>
      <c r="I214" s="246" t="s">
        <v>1243</v>
      </c>
      <c r="J214" s="247">
        <v>80</v>
      </c>
      <c r="K214" s="246" t="s">
        <v>2303</v>
      </c>
      <c r="L214" s="246" t="s">
        <v>2311</v>
      </c>
      <c r="M214" s="246">
        <v>6</v>
      </c>
      <c r="N214" s="246"/>
      <c r="O214" s="246" t="s">
        <v>4580</v>
      </c>
      <c r="P214" s="246" t="s">
        <v>6436</v>
      </c>
      <c r="Q214" s="246" t="s">
        <v>4577</v>
      </c>
      <c r="R214" s="248"/>
    </row>
    <row r="215" spans="1:18" x14ac:dyDescent="0.7">
      <c r="A215" s="246" t="s">
        <v>4581</v>
      </c>
      <c r="B215" s="246" t="s">
        <v>4582</v>
      </c>
      <c r="C215" s="246" t="s">
        <v>1827</v>
      </c>
      <c r="D215" s="246" t="s">
        <v>4583</v>
      </c>
      <c r="E215" s="246">
        <v>9</v>
      </c>
      <c r="F215" s="246" t="s">
        <v>2309</v>
      </c>
      <c r="G215" s="246" t="s">
        <v>2310</v>
      </c>
      <c r="H215" s="247">
        <v>30</v>
      </c>
      <c r="I215" s="246" t="s">
        <v>1243</v>
      </c>
      <c r="J215" s="247">
        <v>60</v>
      </c>
      <c r="K215" s="246" t="s">
        <v>2303</v>
      </c>
      <c r="L215" s="246" t="s">
        <v>2311</v>
      </c>
      <c r="M215" s="246">
        <v>6</v>
      </c>
      <c r="N215" s="246"/>
      <c r="O215" s="246" t="s">
        <v>4584</v>
      </c>
      <c r="P215" s="246" t="s">
        <v>6436</v>
      </c>
      <c r="Q215" s="246" t="s">
        <v>4581</v>
      </c>
      <c r="R215" s="248"/>
    </row>
    <row r="216" spans="1:18" x14ac:dyDescent="0.7">
      <c r="A216" s="246" t="s">
        <v>4585</v>
      </c>
      <c r="B216" s="246" t="s">
        <v>4586</v>
      </c>
      <c r="C216" s="246" t="s">
        <v>1828</v>
      </c>
      <c r="D216" s="246" t="s">
        <v>4587</v>
      </c>
      <c r="E216" s="246">
        <v>9</v>
      </c>
      <c r="F216" s="246" t="s">
        <v>2309</v>
      </c>
      <c r="G216" s="246" t="s">
        <v>2310</v>
      </c>
      <c r="H216" s="247">
        <v>30</v>
      </c>
      <c r="I216" s="246" t="s">
        <v>1243</v>
      </c>
      <c r="J216" s="247">
        <v>35</v>
      </c>
      <c r="K216" s="246" t="s">
        <v>2303</v>
      </c>
      <c r="L216" s="246" t="s">
        <v>2311</v>
      </c>
      <c r="M216" s="246">
        <v>5</v>
      </c>
      <c r="N216" s="246"/>
      <c r="O216" s="246" t="s">
        <v>4588</v>
      </c>
      <c r="P216" s="246" t="s">
        <v>6437</v>
      </c>
      <c r="Q216" s="246" t="s">
        <v>4585</v>
      </c>
      <c r="R216" s="248"/>
    </row>
    <row r="217" spans="1:18" x14ac:dyDescent="0.7">
      <c r="A217" s="246" t="s">
        <v>4589</v>
      </c>
      <c r="B217" s="246" t="s">
        <v>4590</v>
      </c>
      <c r="C217" s="246" t="s">
        <v>1829</v>
      </c>
      <c r="D217" s="246" t="s">
        <v>4591</v>
      </c>
      <c r="E217" s="246">
        <v>9</v>
      </c>
      <c r="F217" s="246" t="s">
        <v>2309</v>
      </c>
      <c r="G217" s="246" t="s">
        <v>2310</v>
      </c>
      <c r="H217" s="247">
        <v>30</v>
      </c>
      <c r="I217" s="246" t="s">
        <v>1243</v>
      </c>
      <c r="J217" s="247">
        <v>95</v>
      </c>
      <c r="K217" s="246" t="s">
        <v>2303</v>
      </c>
      <c r="L217" s="246" t="s">
        <v>2316</v>
      </c>
      <c r="M217" s="246">
        <v>10</v>
      </c>
      <c r="N217" s="246"/>
      <c r="O217" s="246" t="s">
        <v>4592</v>
      </c>
      <c r="P217" s="246" t="s">
        <v>6433</v>
      </c>
      <c r="Q217" s="246" t="s">
        <v>4589</v>
      </c>
      <c r="R217" s="248"/>
    </row>
    <row r="218" spans="1:18" x14ac:dyDescent="0.7">
      <c r="A218" s="246" t="s">
        <v>4593</v>
      </c>
      <c r="B218" s="246" t="s">
        <v>4594</v>
      </c>
      <c r="C218" s="246" t="s">
        <v>1830</v>
      </c>
      <c r="D218" s="246" t="s">
        <v>4595</v>
      </c>
      <c r="E218" s="246">
        <v>9</v>
      </c>
      <c r="F218" s="246" t="s">
        <v>2309</v>
      </c>
      <c r="G218" s="246" t="s">
        <v>2310</v>
      </c>
      <c r="H218" s="247">
        <v>30</v>
      </c>
      <c r="I218" s="246" t="s">
        <v>1243</v>
      </c>
      <c r="J218" s="247">
        <v>91</v>
      </c>
      <c r="K218" s="246" t="s">
        <v>2303</v>
      </c>
      <c r="L218" s="246" t="s">
        <v>2345</v>
      </c>
      <c r="M218" s="246">
        <v>12</v>
      </c>
      <c r="N218" s="246"/>
      <c r="O218" s="246" t="s">
        <v>4596</v>
      </c>
      <c r="P218" s="246" t="s">
        <v>6438</v>
      </c>
      <c r="Q218" s="246" t="s">
        <v>4593</v>
      </c>
      <c r="R218" s="248"/>
    </row>
    <row r="219" spans="1:18" x14ac:dyDescent="0.7">
      <c r="A219" s="246" t="s">
        <v>4597</v>
      </c>
      <c r="B219" s="246" t="s">
        <v>4598</v>
      </c>
      <c r="C219" s="246" t="s">
        <v>1831</v>
      </c>
      <c r="D219" s="246" t="s">
        <v>4599</v>
      </c>
      <c r="E219" s="246">
        <v>9</v>
      </c>
      <c r="F219" s="246" t="s">
        <v>2309</v>
      </c>
      <c r="G219" s="246" t="s">
        <v>2310</v>
      </c>
      <c r="H219" s="247">
        <v>30</v>
      </c>
      <c r="I219" s="246" t="s">
        <v>1243</v>
      </c>
      <c r="J219" s="247">
        <v>126</v>
      </c>
      <c r="K219" s="246" t="s">
        <v>2303</v>
      </c>
      <c r="L219" s="246" t="s">
        <v>2345</v>
      </c>
      <c r="M219" s="246">
        <v>13</v>
      </c>
      <c r="N219" s="246"/>
      <c r="O219" s="246" t="s">
        <v>4600</v>
      </c>
      <c r="P219" s="246" t="s">
        <v>6432</v>
      </c>
      <c r="Q219" s="246" t="s">
        <v>4597</v>
      </c>
      <c r="R219" s="248"/>
    </row>
    <row r="220" spans="1:18" x14ac:dyDescent="0.7">
      <c r="A220" s="246" t="s">
        <v>4601</v>
      </c>
      <c r="B220" s="246" t="s">
        <v>4602</v>
      </c>
      <c r="C220" s="246" t="s">
        <v>1832</v>
      </c>
      <c r="D220" s="246" t="s">
        <v>4603</v>
      </c>
      <c r="E220" s="246">
        <v>9</v>
      </c>
      <c r="F220" s="246" t="s">
        <v>2309</v>
      </c>
      <c r="G220" s="246" t="s">
        <v>2310</v>
      </c>
      <c r="H220" s="247">
        <v>30</v>
      </c>
      <c r="I220" s="246" t="s">
        <v>1243</v>
      </c>
      <c r="J220" s="247">
        <v>87</v>
      </c>
      <c r="K220" s="246" t="s">
        <v>2303</v>
      </c>
      <c r="L220" s="246" t="s">
        <v>2316</v>
      </c>
      <c r="M220" s="246">
        <v>10</v>
      </c>
      <c r="N220" s="246"/>
      <c r="O220" s="246" t="s">
        <v>4604</v>
      </c>
      <c r="P220" s="246" t="s">
        <v>6433</v>
      </c>
      <c r="Q220" s="246" t="s">
        <v>4601</v>
      </c>
      <c r="R220" s="248"/>
    </row>
    <row r="221" spans="1:18" x14ac:dyDescent="0.7">
      <c r="A221" s="246" t="s">
        <v>4605</v>
      </c>
      <c r="B221" s="246" t="s">
        <v>4606</v>
      </c>
      <c r="C221" s="246" t="s">
        <v>1833</v>
      </c>
      <c r="D221" s="246" t="s">
        <v>4607</v>
      </c>
      <c r="E221" s="246">
        <v>9</v>
      </c>
      <c r="F221" s="246" t="s">
        <v>2309</v>
      </c>
      <c r="G221" s="246" t="s">
        <v>2310</v>
      </c>
      <c r="H221" s="247">
        <v>30</v>
      </c>
      <c r="I221" s="246" t="s">
        <v>1243</v>
      </c>
      <c r="J221" s="247">
        <v>86</v>
      </c>
      <c r="K221" s="246" t="s">
        <v>2303</v>
      </c>
      <c r="L221" s="246" t="s">
        <v>2316</v>
      </c>
      <c r="M221" s="246">
        <v>10</v>
      </c>
      <c r="N221" s="246"/>
      <c r="O221" s="246" t="s">
        <v>4608</v>
      </c>
      <c r="P221" s="246" t="s">
        <v>6433</v>
      </c>
      <c r="Q221" s="246" t="s">
        <v>4605</v>
      </c>
      <c r="R221" s="248"/>
    </row>
    <row r="222" spans="1:18" x14ac:dyDescent="0.7">
      <c r="A222" s="246" t="s">
        <v>4609</v>
      </c>
      <c r="B222" s="246" t="s">
        <v>4610</v>
      </c>
      <c r="C222" s="246" t="s">
        <v>1834</v>
      </c>
      <c r="D222" s="246" t="s">
        <v>4611</v>
      </c>
      <c r="E222" s="246">
        <v>9</v>
      </c>
      <c r="F222" s="246" t="s">
        <v>2309</v>
      </c>
      <c r="G222" s="246" t="s">
        <v>2310</v>
      </c>
      <c r="H222" s="247">
        <v>30</v>
      </c>
      <c r="I222" s="246" t="s">
        <v>1243</v>
      </c>
      <c r="J222" s="247">
        <v>54</v>
      </c>
      <c r="K222" s="246" t="s">
        <v>2303</v>
      </c>
      <c r="L222" s="246" t="s">
        <v>2311</v>
      </c>
      <c r="M222" s="246">
        <v>6</v>
      </c>
      <c r="N222" s="246"/>
      <c r="O222" s="246" t="s">
        <v>4612</v>
      </c>
      <c r="P222" s="246" t="s">
        <v>6436</v>
      </c>
      <c r="Q222" s="246" t="s">
        <v>4609</v>
      </c>
      <c r="R222" s="248"/>
    </row>
    <row r="223" spans="1:18" x14ac:dyDescent="0.7">
      <c r="A223" s="246" t="s">
        <v>4613</v>
      </c>
      <c r="B223" s="246" t="s">
        <v>4614</v>
      </c>
      <c r="C223" s="246" t="s">
        <v>1835</v>
      </c>
      <c r="D223" s="246" t="s">
        <v>4615</v>
      </c>
      <c r="E223" s="246">
        <v>9</v>
      </c>
      <c r="F223" s="246" t="s">
        <v>2309</v>
      </c>
      <c r="G223" s="246" t="s">
        <v>2310</v>
      </c>
      <c r="H223" s="247">
        <v>30</v>
      </c>
      <c r="I223" s="246" t="s">
        <v>1243</v>
      </c>
      <c r="J223" s="247">
        <v>173</v>
      </c>
      <c r="K223" s="246" t="s">
        <v>2303</v>
      </c>
      <c r="L223" s="246" t="s">
        <v>2345</v>
      </c>
      <c r="M223" s="246">
        <v>13</v>
      </c>
      <c r="N223" s="246"/>
      <c r="O223" s="246" t="s">
        <v>4616</v>
      </c>
      <c r="P223" s="246" t="s">
        <v>6432</v>
      </c>
      <c r="Q223" s="246" t="s">
        <v>4613</v>
      </c>
      <c r="R223" s="248"/>
    </row>
    <row r="224" spans="1:18" x14ac:dyDescent="0.7">
      <c r="A224" s="246" t="s">
        <v>4617</v>
      </c>
      <c r="B224" s="246" t="s">
        <v>4618</v>
      </c>
      <c r="C224" s="246" t="s">
        <v>1836</v>
      </c>
      <c r="D224" s="246" t="s">
        <v>4619</v>
      </c>
      <c r="E224" s="246">
        <v>9</v>
      </c>
      <c r="F224" s="246" t="s">
        <v>2309</v>
      </c>
      <c r="G224" s="246" t="s">
        <v>2310</v>
      </c>
      <c r="H224" s="247">
        <v>30</v>
      </c>
      <c r="I224" s="246" t="s">
        <v>1243</v>
      </c>
      <c r="J224" s="247">
        <v>83</v>
      </c>
      <c r="K224" s="246" t="s">
        <v>2303</v>
      </c>
      <c r="L224" s="246" t="s">
        <v>2316</v>
      </c>
      <c r="M224" s="246">
        <v>10</v>
      </c>
      <c r="N224" s="246"/>
      <c r="O224" s="246" t="s">
        <v>4620</v>
      </c>
      <c r="P224" s="246" t="s">
        <v>6433</v>
      </c>
      <c r="Q224" s="246" t="s">
        <v>4617</v>
      </c>
      <c r="R224" s="248"/>
    </row>
    <row r="225" spans="1:18" x14ac:dyDescent="0.7">
      <c r="A225" s="246" t="s">
        <v>4621</v>
      </c>
      <c r="B225" s="246" t="s">
        <v>4622</v>
      </c>
      <c r="C225" s="246" t="s">
        <v>1837</v>
      </c>
      <c r="D225" s="246" t="s">
        <v>4623</v>
      </c>
      <c r="E225" s="246">
        <v>9</v>
      </c>
      <c r="F225" s="246" t="s">
        <v>2309</v>
      </c>
      <c r="G225" s="246" t="s">
        <v>2310</v>
      </c>
      <c r="H225" s="247">
        <v>30</v>
      </c>
      <c r="I225" s="246" t="s">
        <v>1243</v>
      </c>
      <c r="J225" s="247">
        <v>100</v>
      </c>
      <c r="K225" s="246" t="s">
        <v>2303</v>
      </c>
      <c r="L225" s="246" t="s">
        <v>2316</v>
      </c>
      <c r="M225" s="246">
        <v>10</v>
      </c>
      <c r="N225" s="246"/>
      <c r="O225" s="246" t="s">
        <v>4624</v>
      </c>
      <c r="P225" s="246" t="s">
        <v>6433</v>
      </c>
      <c r="Q225" s="246" t="s">
        <v>4621</v>
      </c>
      <c r="R225" s="248"/>
    </row>
    <row r="226" spans="1:18" x14ac:dyDescent="0.7">
      <c r="A226" s="246" t="s">
        <v>4625</v>
      </c>
      <c r="B226" s="246" t="s">
        <v>4626</v>
      </c>
      <c r="C226" s="246" t="s">
        <v>1838</v>
      </c>
      <c r="D226" s="246" t="s">
        <v>4627</v>
      </c>
      <c r="E226" s="246">
        <v>9</v>
      </c>
      <c r="F226" s="246" t="s">
        <v>2309</v>
      </c>
      <c r="G226" s="246" t="s">
        <v>2302</v>
      </c>
      <c r="H226" s="247">
        <v>30</v>
      </c>
      <c r="I226" s="246" t="s">
        <v>1243</v>
      </c>
      <c r="J226" s="247">
        <v>217</v>
      </c>
      <c r="K226" s="246" t="s">
        <v>2303</v>
      </c>
      <c r="L226" s="246" t="s">
        <v>2304</v>
      </c>
      <c r="M226" s="246">
        <v>15</v>
      </c>
      <c r="N226" s="246"/>
      <c r="O226" s="246" t="s">
        <v>4628</v>
      </c>
      <c r="P226" s="246" t="s">
        <v>6429</v>
      </c>
      <c r="Q226" s="246" t="s">
        <v>4625</v>
      </c>
      <c r="R226" s="248"/>
    </row>
    <row r="227" spans="1:18" x14ac:dyDescent="0.7">
      <c r="A227" s="246" t="s">
        <v>4629</v>
      </c>
      <c r="B227" s="246" t="s">
        <v>4630</v>
      </c>
      <c r="C227" s="246" t="s">
        <v>1839</v>
      </c>
      <c r="D227" s="246" t="s">
        <v>4631</v>
      </c>
      <c r="E227" s="246">
        <v>9</v>
      </c>
      <c r="F227" s="246" t="s">
        <v>2309</v>
      </c>
      <c r="G227" s="246" t="s">
        <v>2310</v>
      </c>
      <c r="H227" s="247">
        <v>30</v>
      </c>
      <c r="I227" s="246" t="s">
        <v>1243</v>
      </c>
      <c r="J227" s="247">
        <v>60</v>
      </c>
      <c r="K227" s="246" t="s">
        <v>2303</v>
      </c>
      <c r="L227" s="246" t="s">
        <v>2311</v>
      </c>
      <c r="M227" s="246">
        <v>6</v>
      </c>
      <c r="N227" s="246"/>
      <c r="O227" s="246" t="s">
        <v>4632</v>
      </c>
      <c r="P227" s="246" t="s">
        <v>6436</v>
      </c>
      <c r="Q227" s="246" t="s">
        <v>4629</v>
      </c>
      <c r="R227" s="248"/>
    </row>
    <row r="228" spans="1:18" x14ac:dyDescent="0.7">
      <c r="A228" s="246" t="s">
        <v>4633</v>
      </c>
      <c r="B228" s="246" t="s">
        <v>4634</v>
      </c>
      <c r="C228" s="246" t="s">
        <v>1840</v>
      </c>
      <c r="D228" s="246" t="s">
        <v>4635</v>
      </c>
      <c r="E228" s="246">
        <v>9</v>
      </c>
      <c r="F228" s="246" t="s">
        <v>2309</v>
      </c>
      <c r="G228" s="246" t="s">
        <v>2310</v>
      </c>
      <c r="H228" s="247">
        <v>30</v>
      </c>
      <c r="I228" s="246" t="s">
        <v>1243</v>
      </c>
      <c r="J228" s="247">
        <v>75</v>
      </c>
      <c r="K228" s="246" t="s">
        <v>2303</v>
      </c>
      <c r="L228" s="246" t="s">
        <v>2316</v>
      </c>
      <c r="M228" s="246">
        <v>10</v>
      </c>
      <c r="N228" s="246"/>
      <c r="O228" s="246" t="s">
        <v>4636</v>
      </c>
      <c r="P228" s="246" t="s">
        <v>6433</v>
      </c>
      <c r="Q228" s="246" t="s">
        <v>4633</v>
      </c>
      <c r="R228" s="248"/>
    </row>
    <row r="229" spans="1:18" x14ac:dyDescent="0.7">
      <c r="A229" s="246" t="s">
        <v>4637</v>
      </c>
      <c r="B229" s="246" t="s">
        <v>4638</v>
      </c>
      <c r="C229" s="246" t="s">
        <v>1841</v>
      </c>
      <c r="D229" s="246" t="s">
        <v>4639</v>
      </c>
      <c r="E229" s="246">
        <v>9</v>
      </c>
      <c r="F229" s="246" t="s">
        <v>2309</v>
      </c>
      <c r="G229" s="246" t="s">
        <v>2310</v>
      </c>
      <c r="H229" s="247">
        <v>30</v>
      </c>
      <c r="I229" s="246" t="s">
        <v>1243</v>
      </c>
      <c r="J229" s="247">
        <v>120</v>
      </c>
      <c r="K229" s="246" t="s">
        <v>2303</v>
      </c>
      <c r="L229" s="246" t="s">
        <v>2316</v>
      </c>
      <c r="M229" s="246">
        <v>10</v>
      </c>
      <c r="N229" s="246"/>
      <c r="O229" s="246" t="s">
        <v>4640</v>
      </c>
      <c r="P229" s="246" t="s">
        <v>6433</v>
      </c>
      <c r="Q229" s="246" t="s">
        <v>4637</v>
      </c>
      <c r="R229" s="248"/>
    </row>
    <row r="230" spans="1:18" x14ac:dyDescent="0.7">
      <c r="A230" s="246" t="s">
        <v>4641</v>
      </c>
      <c r="B230" s="246" t="s">
        <v>4642</v>
      </c>
      <c r="C230" s="246" t="s">
        <v>1842</v>
      </c>
      <c r="D230" s="246" t="s">
        <v>4643</v>
      </c>
      <c r="E230" s="246">
        <v>9</v>
      </c>
      <c r="F230" s="246" t="s">
        <v>2309</v>
      </c>
      <c r="G230" s="246" t="s">
        <v>2310</v>
      </c>
      <c r="H230" s="247">
        <v>30</v>
      </c>
      <c r="I230" s="246" t="s">
        <v>1243</v>
      </c>
      <c r="J230" s="247">
        <v>36</v>
      </c>
      <c r="K230" s="246" t="s">
        <v>2303</v>
      </c>
      <c r="L230" s="246" t="s">
        <v>2311</v>
      </c>
      <c r="M230" s="246">
        <v>5</v>
      </c>
      <c r="N230" s="246"/>
      <c r="O230" s="246" t="s">
        <v>4644</v>
      </c>
      <c r="P230" s="246" t="s">
        <v>6437</v>
      </c>
      <c r="Q230" s="246" t="s">
        <v>4641</v>
      </c>
      <c r="R230" s="248"/>
    </row>
    <row r="231" spans="1:18" x14ac:dyDescent="0.7">
      <c r="A231" s="246" t="s">
        <v>4645</v>
      </c>
      <c r="B231" s="246" t="s">
        <v>4646</v>
      </c>
      <c r="C231" s="246" t="s">
        <v>1843</v>
      </c>
      <c r="D231" s="246" t="s">
        <v>4647</v>
      </c>
      <c r="E231" s="246">
        <v>9</v>
      </c>
      <c r="F231" s="246" t="s">
        <v>2309</v>
      </c>
      <c r="G231" s="246" t="s">
        <v>2310</v>
      </c>
      <c r="H231" s="247">
        <v>30</v>
      </c>
      <c r="I231" s="246" t="s">
        <v>1243</v>
      </c>
      <c r="J231" s="247">
        <v>124</v>
      </c>
      <c r="K231" s="246" t="s">
        <v>2303</v>
      </c>
      <c r="L231" s="246" t="s">
        <v>2316</v>
      </c>
      <c r="M231" s="246">
        <v>10</v>
      </c>
      <c r="N231" s="246"/>
      <c r="O231" s="246" t="s">
        <v>4648</v>
      </c>
      <c r="P231" s="246" t="s">
        <v>6433</v>
      </c>
      <c r="Q231" s="246" t="s">
        <v>4645</v>
      </c>
      <c r="R231" s="248"/>
    </row>
    <row r="232" spans="1:18" x14ac:dyDescent="0.7">
      <c r="A232" s="246" t="s">
        <v>4649</v>
      </c>
      <c r="B232" s="246" t="s">
        <v>4650</v>
      </c>
      <c r="C232" s="246" t="s">
        <v>2156</v>
      </c>
      <c r="D232" s="246" t="s">
        <v>4651</v>
      </c>
      <c r="E232" s="246">
        <v>9</v>
      </c>
      <c r="F232" s="246" t="s">
        <v>2301</v>
      </c>
      <c r="G232" s="246" t="s">
        <v>2302</v>
      </c>
      <c r="H232" s="247">
        <v>30</v>
      </c>
      <c r="I232" s="246" t="s">
        <v>1243</v>
      </c>
      <c r="J232" s="247">
        <v>306</v>
      </c>
      <c r="K232" s="246" t="s">
        <v>2303</v>
      </c>
      <c r="L232" s="246" t="s">
        <v>2295</v>
      </c>
      <c r="M232" s="246">
        <v>16</v>
      </c>
      <c r="N232" s="246"/>
      <c r="O232" s="246" t="s">
        <v>4652</v>
      </c>
      <c r="P232" s="246" t="s">
        <v>6430</v>
      </c>
      <c r="Q232" s="246" t="s">
        <v>4649</v>
      </c>
      <c r="R232" s="248"/>
    </row>
    <row r="233" spans="1:18" x14ac:dyDescent="0.7">
      <c r="A233" s="246" t="s">
        <v>4653</v>
      </c>
      <c r="B233" s="246" t="s">
        <v>4654</v>
      </c>
      <c r="C233" s="246" t="s">
        <v>2157</v>
      </c>
      <c r="D233" s="246" t="s">
        <v>4655</v>
      </c>
      <c r="E233" s="246">
        <v>9</v>
      </c>
      <c r="F233" s="246" t="s">
        <v>2309</v>
      </c>
      <c r="G233" s="246" t="s">
        <v>2310</v>
      </c>
      <c r="H233" s="247">
        <v>30</v>
      </c>
      <c r="I233" s="246" t="s">
        <v>1243</v>
      </c>
      <c r="J233" s="247">
        <v>63</v>
      </c>
      <c r="K233" s="246" t="s">
        <v>2303</v>
      </c>
      <c r="L233" s="246" t="s">
        <v>2311</v>
      </c>
      <c r="M233" s="246">
        <v>6</v>
      </c>
      <c r="N233" s="246"/>
      <c r="O233" s="246" t="s">
        <v>4656</v>
      </c>
      <c r="P233" s="246" t="s">
        <v>6436</v>
      </c>
      <c r="Q233" s="246" t="s">
        <v>4653</v>
      </c>
      <c r="R233" s="248"/>
    </row>
    <row r="234" spans="1:18" x14ac:dyDescent="0.7">
      <c r="A234" s="246" t="s">
        <v>4657</v>
      </c>
      <c r="B234" s="246" t="s">
        <v>4658</v>
      </c>
      <c r="C234" s="246" t="s">
        <v>1844</v>
      </c>
      <c r="D234" s="246" t="s">
        <v>4659</v>
      </c>
      <c r="E234" s="246">
        <v>9</v>
      </c>
      <c r="F234" s="246" t="s">
        <v>2309</v>
      </c>
      <c r="G234" s="246" t="s">
        <v>2310</v>
      </c>
      <c r="H234" s="247">
        <v>30</v>
      </c>
      <c r="I234" s="246" t="s">
        <v>1243</v>
      </c>
      <c r="J234" s="247">
        <v>35</v>
      </c>
      <c r="K234" s="246" t="s">
        <v>2303</v>
      </c>
      <c r="L234" s="246" t="s">
        <v>2311</v>
      </c>
      <c r="M234" s="246">
        <v>5</v>
      </c>
      <c r="N234" s="246"/>
      <c r="O234" s="246" t="s">
        <v>4660</v>
      </c>
      <c r="P234" s="246" t="s">
        <v>6437</v>
      </c>
      <c r="Q234" s="246" t="s">
        <v>4657</v>
      </c>
      <c r="R234" s="248"/>
    </row>
    <row r="235" spans="1:18" x14ac:dyDescent="0.7">
      <c r="A235" s="246" t="s">
        <v>4661</v>
      </c>
      <c r="B235" s="246" t="s">
        <v>4662</v>
      </c>
      <c r="C235" s="246" t="s">
        <v>1845</v>
      </c>
      <c r="D235" s="246" t="s">
        <v>4663</v>
      </c>
      <c r="E235" s="246">
        <v>9</v>
      </c>
      <c r="F235" s="246" t="s">
        <v>2309</v>
      </c>
      <c r="G235" s="246" t="s">
        <v>2310</v>
      </c>
      <c r="H235" s="247">
        <v>30</v>
      </c>
      <c r="I235" s="246" t="s">
        <v>1243</v>
      </c>
      <c r="J235" s="247">
        <v>33</v>
      </c>
      <c r="K235" s="246" t="s">
        <v>2303</v>
      </c>
      <c r="L235" s="246" t="s">
        <v>2311</v>
      </c>
      <c r="M235" s="246">
        <v>5</v>
      </c>
      <c r="N235" s="246"/>
      <c r="O235" s="246" t="s">
        <v>4664</v>
      </c>
      <c r="P235" s="246" t="s">
        <v>6437</v>
      </c>
      <c r="Q235" s="246" t="s">
        <v>4661</v>
      </c>
      <c r="R235" s="248"/>
    </row>
    <row r="236" spans="1:18" x14ac:dyDescent="0.7">
      <c r="A236" s="246" t="s">
        <v>4665</v>
      </c>
      <c r="B236" s="246" t="s">
        <v>4666</v>
      </c>
      <c r="C236" s="246" t="s">
        <v>1846</v>
      </c>
      <c r="D236" s="246" t="s">
        <v>4667</v>
      </c>
      <c r="E236" s="246">
        <v>9</v>
      </c>
      <c r="F236" s="246" t="s">
        <v>2309</v>
      </c>
      <c r="G236" s="246" t="s">
        <v>2310</v>
      </c>
      <c r="H236" s="247">
        <v>30</v>
      </c>
      <c r="I236" s="246" t="s">
        <v>1243</v>
      </c>
      <c r="J236" s="247">
        <v>40</v>
      </c>
      <c r="K236" s="246" t="s">
        <v>2303</v>
      </c>
      <c r="L236" s="246" t="s">
        <v>2311</v>
      </c>
      <c r="M236" s="246">
        <v>6</v>
      </c>
      <c r="N236" s="246"/>
      <c r="O236" s="246" t="s">
        <v>4668</v>
      </c>
      <c r="P236" s="246" t="s">
        <v>6436</v>
      </c>
      <c r="Q236" s="246" t="s">
        <v>4665</v>
      </c>
      <c r="R236" s="248"/>
    </row>
    <row r="237" spans="1:18" x14ac:dyDescent="0.7">
      <c r="A237" s="246" t="s">
        <v>4700</v>
      </c>
      <c r="B237" s="246" t="s">
        <v>4701</v>
      </c>
      <c r="C237" s="246" t="s">
        <v>1855</v>
      </c>
      <c r="D237" s="246" t="s">
        <v>4702</v>
      </c>
      <c r="E237" s="246">
        <v>9</v>
      </c>
      <c r="F237" s="246" t="s">
        <v>2309</v>
      </c>
      <c r="G237" s="246" t="s">
        <v>2310</v>
      </c>
      <c r="H237" s="247">
        <v>31</v>
      </c>
      <c r="I237" s="246" t="s">
        <v>1244</v>
      </c>
      <c r="J237" s="247">
        <v>112</v>
      </c>
      <c r="K237" s="246" t="s">
        <v>2303</v>
      </c>
      <c r="L237" s="246" t="s">
        <v>2316</v>
      </c>
      <c r="M237" s="246">
        <v>9</v>
      </c>
      <c r="N237" s="246"/>
      <c r="O237" s="246" t="s">
        <v>4703</v>
      </c>
      <c r="P237" s="246" t="s">
        <v>6435</v>
      </c>
      <c r="Q237" s="246" t="s">
        <v>4700</v>
      </c>
      <c r="R237" s="248"/>
    </row>
    <row r="238" spans="1:18" x14ac:dyDescent="0.7">
      <c r="A238" s="246" t="s">
        <v>4704</v>
      </c>
      <c r="B238" s="246" t="s">
        <v>4705</v>
      </c>
      <c r="C238" s="246" t="s">
        <v>1856</v>
      </c>
      <c r="D238" s="246" t="s">
        <v>4706</v>
      </c>
      <c r="E238" s="246">
        <v>9</v>
      </c>
      <c r="F238" s="246" t="s">
        <v>2309</v>
      </c>
      <c r="G238" s="246" t="s">
        <v>2310</v>
      </c>
      <c r="H238" s="247">
        <v>31</v>
      </c>
      <c r="I238" s="246" t="s">
        <v>1244</v>
      </c>
      <c r="J238" s="247">
        <v>88</v>
      </c>
      <c r="K238" s="246" t="s">
        <v>2303</v>
      </c>
      <c r="L238" s="246" t="s">
        <v>2316</v>
      </c>
      <c r="M238" s="246">
        <v>10</v>
      </c>
      <c r="N238" s="246"/>
      <c r="O238" s="246" t="s">
        <v>4707</v>
      </c>
      <c r="P238" s="246" t="s">
        <v>6433</v>
      </c>
      <c r="Q238" s="246" t="s">
        <v>4704</v>
      </c>
      <c r="R238" s="248"/>
    </row>
    <row r="239" spans="1:18" x14ac:dyDescent="0.7">
      <c r="A239" s="246" t="s">
        <v>4708</v>
      </c>
      <c r="B239" s="246" t="s">
        <v>4709</v>
      </c>
      <c r="C239" s="246" t="s">
        <v>2162</v>
      </c>
      <c r="D239" s="246" t="s">
        <v>4710</v>
      </c>
      <c r="E239" s="246">
        <v>9</v>
      </c>
      <c r="F239" s="246" t="s">
        <v>2301</v>
      </c>
      <c r="G239" s="246" t="s">
        <v>2302</v>
      </c>
      <c r="H239" s="247">
        <v>31</v>
      </c>
      <c r="I239" s="246" t="s">
        <v>1244</v>
      </c>
      <c r="J239" s="247">
        <v>371</v>
      </c>
      <c r="K239" s="246" t="s">
        <v>2295</v>
      </c>
      <c r="L239" s="246" t="s">
        <v>2295</v>
      </c>
      <c r="M239" s="246">
        <v>16</v>
      </c>
      <c r="N239" s="246"/>
      <c r="O239" s="246" t="s">
        <v>4711</v>
      </c>
      <c r="P239" s="246" t="s">
        <v>6430</v>
      </c>
      <c r="Q239" s="246" t="s">
        <v>4708</v>
      </c>
      <c r="R239" s="248"/>
    </row>
    <row r="240" spans="1:18" x14ac:dyDescent="0.7">
      <c r="A240" s="246" t="s">
        <v>4712</v>
      </c>
      <c r="B240" s="246" t="s">
        <v>4713</v>
      </c>
      <c r="C240" s="246" t="s">
        <v>1857</v>
      </c>
      <c r="D240" s="246" t="s">
        <v>4714</v>
      </c>
      <c r="E240" s="246">
        <v>9</v>
      </c>
      <c r="F240" s="246" t="s">
        <v>2309</v>
      </c>
      <c r="G240" s="246" t="s">
        <v>2310</v>
      </c>
      <c r="H240" s="247">
        <v>31</v>
      </c>
      <c r="I240" s="246" t="s">
        <v>1244</v>
      </c>
      <c r="J240" s="247">
        <v>71</v>
      </c>
      <c r="K240" s="246" t="s">
        <v>2303</v>
      </c>
      <c r="L240" s="246" t="s">
        <v>2311</v>
      </c>
      <c r="M240" s="246">
        <v>6</v>
      </c>
      <c r="N240" s="246"/>
      <c r="O240" s="246" t="s">
        <v>4715</v>
      </c>
      <c r="P240" s="246" t="s">
        <v>6436</v>
      </c>
      <c r="Q240" s="246" t="s">
        <v>4712</v>
      </c>
      <c r="R240" s="248"/>
    </row>
    <row r="241" spans="1:18" x14ac:dyDescent="0.7">
      <c r="A241" s="246" t="s">
        <v>4716</v>
      </c>
      <c r="B241" s="246" t="s">
        <v>4717</v>
      </c>
      <c r="C241" s="246" t="s">
        <v>1858</v>
      </c>
      <c r="D241" s="246" t="s">
        <v>4718</v>
      </c>
      <c r="E241" s="246">
        <v>9</v>
      </c>
      <c r="F241" s="246" t="s">
        <v>2309</v>
      </c>
      <c r="G241" s="246" t="s">
        <v>2310</v>
      </c>
      <c r="H241" s="247">
        <v>31</v>
      </c>
      <c r="I241" s="246" t="s">
        <v>1244</v>
      </c>
      <c r="J241" s="247">
        <v>115</v>
      </c>
      <c r="K241" s="246" t="s">
        <v>2303</v>
      </c>
      <c r="L241" s="246" t="s">
        <v>2316</v>
      </c>
      <c r="M241" s="246">
        <v>10</v>
      </c>
      <c r="N241" s="246"/>
      <c r="O241" s="246" t="s">
        <v>4719</v>
      </c>
      <c r="P241" s="246" t="s">
        <v>6433</v>
      </c>
      <c r="Q241" s="246" t="s">
        <v>4716</v>
      </c>
      <c r="R241" s="248"/>
    </row>
    <row r="242" spans="1:18" x14ac:dyDescent="0.7">
      <c r="A242" s="246" t="s">
        <v>4720</v>
      </c>
      <c r="B242" s="246" t="s">
        <v>4721</v>
      </c>
      <c r="C242" s="246" t="s">
        <v>1859</v>
      </c>
      <c r="D242" s="246" t="s">
        <v>4722</v>
      </c>
      <c r="E242" s="246">
        <v>9</v>
      </c>
      <c r="F242" s="246" t="s">
        <v>2309</v>
      </c>
      <c r="G242" s="246" t="s">
        <v>2310</v>
      </c>
      <c r="H242" s="247">
        <v>31</v>
      </c>
      <c r="I242" s="246" t="s">
        <v>1244</v>
      </c>
      <c r="J242" s="247">
        <v>196</v>
      </c>
      <c r="K242" s="246" t="s">
        <v>2303</v>
      </c>
      <c r="L242" s="246" t="s">
        <v>2345</v>
      </c>
      <c r="M242" s="246">
        <v>13</v>
      </c>
      <c r="N242" s="246"/>
      <c r="O242" s="246" t="s">
        <v>4723</v>
      </c>
      <c r="P242" s="246" t="s">
        <v>6432</v>
      </c>
      <c r="Q242" s="246" t="s">
        <v>4720</v>
      </c>
      <c r="R242" s="248"/>
    </row>
    <row r="243" spans="1:18" x14ac:dyDescent="0.7">
      <c r="A243" s="246" t="s">
        <v>4724</v>
      </c>
      <c r="B243" s="246" t="s">
        <v>4725</v>
      </c>
      <c r="C243" s="246" t="s">
        <v>1860</v>
      </c>
      <c r="D243" s="246" t="s">
        <v>4726</v>
      </c>
      <c r="E243" s="246">
        <v>9</v>
      </c>
      <c r="F243" s="246" t="s">
        <v>2309</v>
      </c>
      <c r="G243" s="246" t="s">
        <v>2310</v>
      </c>
      <c r="H243" s="247">
        <v>31</v>
      </c>
      <c r="I243" s="246" t="s">
        <v>1244</v>
      </c>
      <c r="J243" s="247">
        <v>108</v>
      </c>
      <c r="K243" s="246" t="s">
        <v>2303</v>
      </c>
      <c r="L243" s="246" t="s">
        <v>2316</v>
      </c>
      <c r="M243" s="246">
        <v>10</v>
      </c>
      <c r="N243" s="246"/>
      <c r="O243" s="246" t="s">
        <v>4727</v>
      </c>
      <c r="P243" s="246" t="s">
        <v>6433</v>
      </c>
      <c r="Q243" s="246" t="s">
        <v>4724</v>
      </c>
      <c r="R243" s="248"/>
    </row>
    <row r="244" spans="1:18" x14ac:dyDescent="0.7">
      <c r="A244" s="246" t="s">
        <v>4728</v>
      </c>
      <c r="B244" s="246" t="s">
        <v>4729</v>
      </c>
      <c r="C244" s="246" t="s">
        <v>1861</v>
      </c>
      <c r="D244" s="246" t="s">
        <v>4730</v>
      </c>
      <c r="E244" s="246">
        <v>9</v>
      </c>
      <c r="F244" s="246" t="s">
        <v>2309</v>
      </c>
      <c r="G244" s="246" t="s">
        <v>2310</v>
      </c>
      <c r="H244" s="247">
        <v>31</v>
      </c>
      <c r="I244" s="246" t="s">
        <v>1244</v>
      </c>
      <c r="J244" s="247">
        <v>67</v>
      </c>
      <c r="K244" s="246" t="s">
        <v>2303</v>
      </c>
      <c r="L244" s="246" t="s">
        <v>2316</v>
      </c>
      <c r="M244" s="246">
        <v>9</v>
      </c>
      <c r="N244" s="246"/>
      <c r="O244" s="246" t="s">
        <v>4731</v>
      </c>
      <c r="P244" s="246" t="s">
        <v>6435</v>
      </c>
      <c r="Q244" s="246" t="s">
        <v>4728</v>
      </c>
      <c r="R244" s="248"/>
    </row>
    <row r="245" spans="1:18" x14ac:dyDescent="0.7">
      <c r="A245" s="246" t="s">
        <v>4732</v>
      </c>
      <c r="B245" s="246" t="s">
        <v>4733</v>
      </c>
      <c r="C245" s="246" t="s">
        <v>1862</v>
      </c>
      <c r="D245" s="246" t="s">
        <v>4734</v>
      </c>
      <c r="E245" s="246">
        <v>9</v>
      </c>
      <c r="F245" s="246" t="s">
        <v>2309</v>
      </c>
      <c r="G245" s="246" t="s">
        <v>2310</v>
      </c>
      <c r="H245" s="247">
        <v>31</v>
      </c>
      <c r="I245" s="246" t="s">
        <v>1244</v>
      </c>
      <c r="J245" s="247">
        <v>175</v>
      </c>
      <c r="K245" s="246" t="s">
        <v>2303</v>
      </c>
      <c r="L245" s="246" t="s">
        <v>2345</v>
      </c>
      <c r="M245" s="246">
        <v>13</v>
      </c>
      <c r="N245" s="246"/>
      <c r="O245" s="246" t="s">
        <v>4735</v>
      </c>
      <c r="P245" s="246" t="s">
        <v>6432</v>
      </c>
      <c r="Q245" s="246" t="s">
        <v>4732</v>
      </c>
      <c r="R245" s="248"/>
    </row>
    <row r="246" spans="1:18" x14ac:dyDescent="0.7">
      <c r="A246" s="246" t="s">
        <v>4736</v>
      </c>
      <c r="B246" s="246" t="s">
        <v>4737</v>
      </c>
      <c r="C246" s="246" t="s">
        <v>1863</v>
      </c>
      <c r="D246" s="246" t="s">
        <v>4738</v>
      </c>
      <c r="E246" s="246">
        <v>9</v>
      </c>
      <c r="F246" s="246" t="s">
        <v>2309</v>
      </c>
      <c r="G246" s="246" t="s">
        <v>2310</v>
      </c>
      <c r="H246" s="247">
        <v>31</v>
      </c>
      <c r="I246" s="246" t="s">
        <v>1244</v>
      </c>
      <c r="J246" s="247">
        <v>135</v>
      </c>
      <c r="K246" s="246" t="s">
        <v>2303</v>
      </c>
      <c r="L246" s="246" t="s">
        <v>2345</v>
      </c>
      <c r="M246" s="246">
        <v>13</v>
      </c>
      <c r="N246" s="246"/>
      <c r="O246" s="246" t="s">
        <v>4739</v>
      </c>
      <c r="P246" s="246" t="s">
        <v>6432</v>
      </c>
      <c r="Q246" s="246" t="s">
        <v>4736</v>
      </c>
      <c r="R246" s="248"/>
    </row>
    <row r="247" spans="1:18" x14ac:dyDescent="0.7">
      <c r="A247" s="246" t="s">
        <v>4740</v>
      </c>
      <c r="B247" s="246" t="s">
        <v>4741</v>
      </c>
      <c r="C247" s="246" t="s">
        <v>1864</v>
      </c>
      <c r="D247" s="246" t="s">
        <v>4742</v>
      </c>
      <c r="E247" s="246">
        <v>9</v>
      </c>
      <c r="F247" s="246" t="s">
        <v>2309</v>
      </c>
      <c r="G247" s="246" t="s">
        <v>2310</v>
      </c>
      <c r="H247" s="247">
        <v>31</v>
      </c>
      <c r="I247" s="246" t="s">
        <v>1244</v>
      </c>
      <c r="J247" s="247">
        <v>48</v>
      </c>
      <c r="K247" s="246" t="s">
        <v>2303</v>
      </c>
      <c r="L247" s="246" t="s">
        <v>2311</v>
      </c>
      <c r="M247" s="246">
        <v>6</v>
      </c>
      <c r="N247" s="246"/>
      <c r="O247" s="246" t="s">
        <v>4743</v>
      </c>
      <c r="P247" s="246" t="s">
        <v>6436</v>
      </c>
      <c r="Q247" s="246" t="s">
        <v>4740</v>
      </c>
      <c r="R247" s="248"/>
    </row>
    <row r="248" spans="1:18" x14ac:dyDescent="0.7">
      <c r="A248" s="246" t="s">
        <v>4744</v>
      </c>
      <c r="B248" s="246" t="s">
        <v>4745</v>
      </c>
      <c r="C248" s="246" t="s">
        <v>1865</v>
      </c>
      <c r="D248" s="246" t="s">
        <v>4746</v>
      </c>
      <c r="E248" s="246">
        <v>9</v>
      </c>
      <c r="F248" s="246" t="s">
        <v>2309</v>
      </c>
      <c r="G248" s="246" t="s">
        <v>2310</v>
      </c>
      <c r="H248" s="247">
        <v>31</v>
      </c>
      <c r="I248" s="246" t="s">
        <v>1244</v>
      </c>
      <c r="J248" s="247">
        <v>35</v>
      </c>
      <c r="K248" s="246" t="s">
        <v>2303</v>
      </c>
      <c r="L248" s="246" t="s">
        <v>2311</v>
      </c>
      <c r="M248" s="246">
        <v>5</v>
      </c>
      <c r="N248" s="246"/>
      <c r="O248" s="246" t="s">
        <v>4747</v>
      </c>
      <c r="P248" s="246" t="s">
        <v>6437</v>
      </c>
      <c r="Q248" s="246" t="s">
        <v>4744</v>
      </c>
      <c r="R248" s="248"/>
    </row>
    <row r="249" spans="1:18" x14ac:dyDescent="0.7">
      <c r="A249" s="246" t="s">
        <v>4748</v>
      </c>
      <c r="B249" s="246" t="s">
        <v>4749</v>
      </c>
      <c r="C249" s="246" t="s">
        <v>1866</v>
      </c>
      <c r="D249" s="246" t="s">
        <v>4750</v>
      </c>
      <c r="E249" s="246">
        <v>9</v>
      </c>
      <c r="F249" s="246" t="s">
        <v>2309</v>
      </c>
      <c r="G249" s="246" t="s">
        <v>2310</v>
      </c>
      <c r="H249" s="247">
        <v>31</v>
      </c>
      <c r="I249" s="246" t="s">
        <v>1244</v>
      </c>
      <c r="J249" s="247">
        <v>80</v>
      </c>
      <c r="K249" s="246" t="s">
        <v>2303</v>
      </c>
      <c r="L249" s="246" t="s">
        <v>2311</v>
      </c>
      <c r="M249" s="246">
        <v>6</v>
      </c>
      <c r="N249" s="246"/>
      <c r="O249" s="246" t="s">
        <v>4751</v>
      </c>
      <c r="P249" s="246" t="s">
        <v>6436</v>
      </c>
      <c r="Q249" s="246" t="s">
        <v>4748</v>
      </c>
      <c r="R249" s="248"/>
    </row>
    <row r="250" spans="1:18" x14ac:dyDescent="0.7">
      <c r="A250" s="246" t="s">
        <v>4752</v>
      </c>
      <c r="B250" s="246" t="s">
        <v>4753</v>
      </c>
      <c r="C250" s="246" t="s">
        <v>1867</v>
      </c>
      <c r="D250" s="246" t="s">
        <v>4754</v>
      </c>
      <c r="E250" s="246">
        <v>9</v>
      </c>
      <c r="F250" s="246" t="s">
        <v>2309</v>
      </c>
      <c r="G250" s="246" t="s">
        <v>2310</v>
      </c>
      <c r="H250" s="247">
        <v>31</v>
      </c>
      <c r="I250" s="246" t="s">
        <v>1244</v>
      </c>
      <c r="J250" s="247">
        <v>54</v>
      </c>
      <c r="K250" s="246" t="s">
        <v>2303</v>
      </c>
      <c r="L250" s="246" t="s">
        <v>2311</v>
      </c>
      <c r="M250" s="246">
        <v>6</v>
      </c>
      <c r="N250" s="246"/>
      <c r="O250" s="246" t="s">
        <v>4755</v>
      </c>
      <c r="P250" s="246" t="s">
        <v>6436</v>
      </c>
      <c r="Q250" s="246" t="s">
        <v>4752</v>
      </c>
      <c r="R250" s="248"/>
    </row>
    <row r="251" spans="1:18" x14ac:dyDescent="0.7">
      <c r="A251" s="246" t="s">
        <v>4756</v>
      </c>
      <c r="B251" s="246" t="s">
        <v>4757</v>
      </c>
      <c r="C251" s="246" t="s">
        <v>1868</v>
      </c>
      <c r="D251" s="246" t="s">
        <v>4758</v>
      </c>
      <c r="E251" s="246">
        <v>9</v>
      </c>
      <c r="F251" s="246" t="s">
        <v>2309</v>
      </c>
      <c r="G251" s="246" t="s">
        <v>2310</v>
      </c>
      <c r="H251" s="247">
        <v>31</v>
      </c>
      <c r="I251" s="246" t="s">
        <v>1244</v>
      </c>
      <c r="J251" s="247">
        <v>44</v>
      </c>
      <c r="K251" s="246" t="s">
        <v>2303</v>
      </c>
      <c r="L251" s="246" t="s">
        <v>2311</v>
      </c>
      <c r="M251" s="246">
        <v>5</v>
      </c>
      <c r="N251" s="246"/>
      <c r="O251" s="246" t="s">
        <v>4759</v>
      </c>
      <c r="P251" s="246" t="s">
        <v>6437</v>
      </c>
      <c r="Q251" s="246" t="s">
        <v>4756</v>
      </c>
      <c r="R251" s="248"/>
    </row>
    <row r="252" spans="1:18" x14ac:dyDescent="0.7">
      <c r="A252" s="246" t="s">
        <v>4760</v>
      </c>
      <c r="B252" s="246" t="s">
        <v>4761</v>
      </c>
      <c r="C252" s="246" t="s">
        <v>1869</v>
      </c>
      <c r="D252" s="246" t="s">
        <v>4762</v>
      </c>
      <c r="E252" s="246">
        <v>9</v>
      </c>
      <c r="F252" s="246" t="s">
        <v>2309</v>
      </c>
      <c r="G252" s="246" t="s">
        <v>2310</v>
      </c>
      <c r="H252" s="247">
        <v>31</v>
      </c>
      <c r="I252" s="246" t="s">
        <v>1244</v>
      </c>
      <c r="J252" s="247">
        <v>30</v>
      </c>
      <c r="K252" s="246" t="s">
        <v>2303</v>
      </c>
      <c r="L252" s="246" t="s">
        <v>2311</v>
      </c>
      <c r="M252" s="246">
        <v>5</v>
      </c>
      <c r="N252" s="246"/>
      <c r="O252" s="246" t="s">
        <v>4763</v>
      </c>
      <c r="P252" s="246" t="s">
        <v>6437</v>
      </c>
      <c r="Q252" s="246" t="s">
        <v>4760</v>
      </c>
      <c r="R252" s="248"/>
    </row>
    <row r="253" spans="1:18" x14ac:dyDescent="0.7">
      <c r="A253" s="246" t="s">
        <v>4764</v>
      </c>
      <c r="B253" s="246" t="s">
        <v>4765</v>
      </c>
      <c r="C253" s="246" t="s">
        <v>1870</v>
      </c>
      <c r="D253" s="246" t="s">
        <v>4766</v>
      </c>
      <c r="E253" s="246">
        <v>9</v>
      </c>
      <c r="F253" s="246" t="s">
        <v>2309</v>
      </c>
      <c r="G253" s="246" t="s">
        <v>2310</v>
      </c>
      <c r="H253" s="247">
        <v>31</v>
      </c>
      <c r="I253" s="246" t="s">
        <v>1244</v>
      </c>
      <c r="J253" s="247">
        <v>38</v>
      </c>
      <c r="K253" s="246" t="s">
        <v>2303</v>
      </c>
      <c r="L253" s="246" t="s">
        <v>2311</v>
      </c>
      <c r="M253" s="246">
        <v>5</v>
      </c>
      <c r="N253" s="246"/>
      <c r="O253" s="246" t="s">
        <v>4767</v>
      </c>
      <c r="P253" s="246" t="s">
        <v>6437</v>
      </c>
      <c r="Q253" s="246" t="s">
        <v>4764</v>
      </c>
      <c r="R253" s="248"/>
    </row>
    <row r="254" spans="1:18" x14ac:dyDescent="0.7">
      <c r="A254" s="246" t="s">
        <v>4768</v>
      </c>
      <c r="B254" s="246" t="s">
        <v>4769</v>
      </c>
      <c r="C254" s="246" t="s">
        <v>1871</v>
      </c>
      <c r="D254" s="246" t="s">
        <v>4770</v>
      </c>
      <c r="E254" s="246">
        <v>9</v>
      </c>
      <c r="F254" s="246" t="s">
        <v>2309</v>
      </c>
      <c r="G254" s="246" t="s">
        <v>2310</v>
      </c>
      <c r="H254" s="247">
        <v>31</v>
      </c>
      <c r="I254" s="246" t="s">
        <v>1244</v>
      </c>
      <c r="J254" s="247">
        <v>32</v>
      </c>
      <c r="K254" s="246" t="s">
        <v>2303</v>
      </c>
      <c r="L254" s="246" t="s">
        <v>2311</v>
      </c>
      <c r="M254" s="246">
        <v>5</v>
      </c>
      <c r="N254" s="246"/>
      <c r="O254" s="246" t="s">
        <v>4771</v>
      </c>
      <c r="P254" s="246" t="s">
        <v>6437</v>
      </c>
      <c r="Q254" s="246" t="s">
        <v>4768</v>
      </c>
      <c r="R254" s="248"/>
    </row>
    <row r="255" spans="1:18" x14ac:dyDescent="0.7">
      <c r="A255" s="246" t="s">
        <v>4772</v>
      </c>
      <c r="B255" s="246" t="s">
        <v>4773</v>
      </c>
      <c r="C255" s="246" t="s">
        <v>1872</v>
      </c>
      <c r="D255" s="246" t="s">
        <v>4774</v>
      </c>
      <c r="E255" s="246">
        <v>9</v>
      </c>
      <c r="F255" s="246" t="s">
        <v>2309</v>
      </c>
      <c r="G255" s="246" t="s">
        <v>2310</v>
      </c>
      <c r="H255" s="247">
        <v>31</v>
      </c>
      <c r="I255" s="246" t="s">
        <v>1244</v>
      </c>
      <c r="J255" s="247">
        <v>34</v>
      </c>
      <c r="K255" s="246" t="s">
        <v>2303</v>
      </c>
      <c r="L255" s="246" t="s">
        <v>2311</v>
      </c>
      <c r="M255" s="246">
        <v>5</v>
      </c>
      <c r="N255" s="246"/>
      <c r="O255" s="246" t="s">
        <v>4775</v>
      </c>
      <c r="P255" s="246" t="s">
        <v>6437</v>
      </c>
      <c r="Q255" s="246" t="s">
        <v>4772</v>
      </c>
      <c r="R255" s="248"/>
    </row>
    <row r="256" spans="1:18" x14ac:dyDescent="0.7">
      <c r="A256" s="246" t="s">
        <v>4789</v>
      </c>
      <c r="B256" s="246" t="s">
        <v>4790</v>
      </c>
      <c r="C256" s="246" t="s">
        <v>1876</v>
      </c>
      <c r="D256" s="246" t="s">
        <v>4791</v>
      </c>
      <c r="E256" s="246">
        <v>9</v>
      </c>
      <c r="F256" s="246" t="s">
        <v>2309</v>
      </c>
      <c r="G256" s="246" t="s">
        <v>2310</v>
      </c>
      <c r="H256" s="247">
        <v>32</v>
      </c>
      <c r="I256" s="246" t="s">
        <v>1245</v>
      </c>
      <c r="J256" s="247">
        <v>60</v>
      </c>
      <c r="K256" s="246" t="s">
        <v>2295</v>
      </c>
      <c r="L256" s="246" t="s">
        <v>2311</v>
      </c>
      <c r="M256" s="246">
        <v>6</v>
      </c>
      <c r="N256" s="246"/>
      <c r="O256" s="246" t="s">
        <v>4792</v>
      </c>
      <c r="P256" s="246" t="s">
        <v>6436</v>
      </c>
      <c r="Q256" s="246" t="s">
        <v>4789</v>
      </c>
      <c r="R256" s="248"/>
    </row>
    <row r="257" spans="1:18" x14ac:dyDescent="0.7">
      <c r="A257" s="246" t="s">
        <v>4793</v>
      </c>
      <c r="B257" s="246" t="s">
        <v>4794</v>
      </c>
      <c r="C257" s="246" t="s">
        <v>1877</v>
      </c>
      <c r="D257" s="246" t="s">
        <v>4795</v>
      </c>
      <c r="E257" s="246">
        <v>9</v>
      </c>
      <c r="F257" s="246" t="s">
        <v>2309</v>
      </c>
      <c r="G257" s="246" t="s">
        <v>2310</v>
      </c>
      <c r="H257" s="247">
        <v>32</v>
      </c>
      <c r="I257" s="246" t="s">
        <v>1245</v>
      </c>
      <c r="J257" s="247">
        <v>140</v>
      </c>
      <c r="K257" s="246" t="s">
        <v>2295</v>
      </c>
      <c r="L257" s="246" t="s">
        <v>2345</v>
      </c>
      <c r="M257" s="246">
        <v>13</v>
      </c>
      <c r="N257" s="246"/>
      <c r="O257" s="246" t="s">
        <v>4796</v>
      </c>
      <c r="P257" s="246" t="s">
        <v>6432</v>
      </c>
      <c r="Q257" s="246" t="s">
        <v>4793</v>
      </c>
      <c r="R257" s="248"/>
    </row>
    <row r="258" spans="1:18" x14ac:dyDescent="0.7">
      <c r="A258" s="246" t="s">
        <v>4797</v>
      </c>
      <c r="B258" s="246" t="s">
        <v>4798</v>
      </c>
      <c r="C258" s="246" t="s">
        <v>1878</v>
      </c>
      <c r="D258" s="246" t="s">
        <v>4799</v>
      </c>
      <c r="E258" s="246">
        <v>9</v>
      </c>
      <c r="F258" s="246" t="s">
        <v>2309</v>
      </c>
      <c r="G258" s="246" t="s">
        <v>2310</v>
      </c>
      <c r="H258" s="247">
        <v>32</v>
      </c>
      <c r="I258" s="246" t="s">
        <v>1245</v>
      </c>
      <c r="J258" s="247">
        <v>60</v>
      </c>
      <c r="K258" s="246" t="s">
        <v>2303</v>
      </c>
      <c r="L258" s="246" t="s">
        <v>2311</v>
      </c>
      <c r="M258" s="246">
        <v>6</v>
      </c>
      <c r="N258" s="246"/>
      <c r="O258" s="246" t="s">
        <v>4800</v>
      </c>
      <c r="P258" s="246" t="s">
        <v>6436</v>
      </c>
      <c r="Q258" s="246" t="s">
        <v>4797</v>
      </c>
      <c r="R258" s="248"/>
    </row>
    <row r="259" spans="1:18" x14ac:dyDescent="0.7">
      <c r="A259" s="246" t="s">
        <v>4801</v>
      </c>
      <c r="B259" s="246" t="s">
        <v>4802</v>
      </c>
      <c r="C259" s="246" t="s">
        <v>2165</v>
      </c>
      <c r="D259" s="246" t="s">
        <v>4803</v>
      </c>
      <c r="E259" s="246">
        <v>9</v>
      </c>
      <c r="F259" s="246" t="s">
        <v>2301</v>
      </c>
      <c r="G259" s="246" t="s">
        <v>2302</v>
      </c>
      <c r="H259" s="247">
        <v>32</v>
      </c>
      <c r="I259" s="246" t="s">
        <v>1245</v>
      </c>
      <c r="J259" s="247">
        <v>265</v>
      </c>
      <c r="K259" s="246" t="s">
        <v>2303</v>
      </c>
      <c r="L259" s="246" t="s">
        <v>2304</v>
      </c>
      <c r="M259" s="246">
        <v>15</v>
      </c>
      <c r="N259" s="246"/>
      <c r="O259" s="246" t="s">
        <v>4804</v>
      </c>
      <c r="P259" s="246" t="s">
        <v>6429</v>
      </c>
      <c r="Q259" s="246" t="s">
        <v>4801</v>
      </c>
      <c r="R259" s="248"/>
    </row>
    <row r="260" spans="1:18" x14ac:dyDescent="0.7">
      <c r="A260" s="246" t="s">
        <v>4805</v>
      </c>
      <c r="B260" s="246" t="s">
        <v>4806</v>
      </c>
      <c r="C260" s="246" t="s">
        <v>1879</v>
      </c>
      <c r="D260" s="246" t="s">
        <v>4807</v>
      </c>
      <c r="E260" s="246">
        <v>9</v>
      </c>
      <c r="F260" s="246" t="s">
        <v>2309</v>
      </c>
      <c r="G260" s="246" t="s">
        <v>2310</v>
      </c>
      <c r="H260" s="247">
        <v>32</v>
      </c>
      <c r="I260" s="246" t="s">
        <v>1245</v>
      </c>
      <c r="J260" s="247">
        <v>109</v>
      </c>
      <c r="K260" s="246" t="s">
        <v>2303</v>
      </c>
      <c r="L260" s="246" t="s">
        <v>2311</v>
      </c>
      <c r="M260" s="246">
        <v>6</v>
      </c>
      <c r="N260" s="246"/>
      <c r="O260" s="246" t="s">
        <v>4808</v>
      </c>
      <c r="P260" s="246" t="s">
        <v>6436</v>
      </c>
      <c r="Q260" s="246" t="s">
        <v>4805</v>
      </c>
      <c r="R260" s="248"/>
    </row>
    <row r="261" spans="1:18" x14ac:dyDescent="0.7">
      <c r="A261" s="246" t="s">
        <v>4809</v>
      </c>
      <c r="B261" s="246" t="s">
        <v>4810</v>
      </c>
      <c r="C261" s="246" t="s">
        <v>1880</v>
      </c>
      <c r="D261" s="246" t="s">
        <v>4811</v>
      </c>
      <c r="E261" s="246">
        <v>9</v>
      </c>
      <c r="F261" s="246" t="s">
        <v>2309</v>
      </c>
      <c r="G261" s="246" t="s">
        <v>2310</v>
      </c>
      <c r="H261" s="247">
        <v>32</v>
      </c>
      <c r="I261" s="246" t="s">
        <v>1245</v>
      </c>
      <c r="J261" s="247">
        <v>129</v>
      </c>
      <c r="K261" s="246" t="s">
        <v>2303</v>
      </c>
      <c r="L261" s="246" t="s">
        <v>2345</v>
      </c>
      <c r="M261" s="246">
        <v>13</v>
      </c>
      <c r="N261" s="246"/>
      <c r="O261" s="246" t="s">
        <v>4812</v>
      </c>
      <c r="P261" s="246" t="s">
        <v>6432</v>
      </c>
      <c r="Q261" s="246" t="s">
        <v>4809</v>
      </c>
      <c r="R261" s="248"/>
    </row>
    <row r="262" spans="1:18" x14ac:dyDescent="0.7">
      <c r="A262" s="246" t="s">
        <v>4813</v>
      </c>
      <c r="B262" s="246" t="s">
        <v>4814</v>
      </c>
      <c r="C262" s="246" t="s">
        <v>1881</v>
      </c>
      <c r="D262" s="246" t="s">
        <v>4815</v>
      </c>
      <c r="E262" s="246">
        <v>9</v>
      </c>
      <c r="F262" s="246" t="s">
        <v>2309</v>
      </c>
      <c r="G262" s="246" t="s">
        <v>2310</v>
      </c>
      <c r="H262" s="247">
        <v>32</v>
      </c>
      <c r="I262" s="246" t="s">
        <v>1245</v>
      </c>
      <c r="J262" s="247">
        <v>46</v>
      </c>
      <c r="K262" s="246" t="s">
        <v>2303</v>
      </c>
      <c r="L262" s="246" t="s">
        <v>2311</v>
      </c>
      <c r="M262" s="246">
        <v>5</v>
      </c>
      <c r="N262" s="246"/>
      <c r="O262" s="246" t="s">
        <v>4816</v>
      </c>
      <c r="P262" s="246" t="s">
        <v>6437</v>
      </c>
      <c r="Q262" s="246" t="s">
        <v>4813</v>
      </c>
      <c r="R262" s="248"/>
    </row>
    <row r="263" spans="1:18" x14ac:dyDescent="0.7">
      <c r="A263" s="246" t="s">
        <v>4817</v>
      </c>
      <c r="B263" s="246" t="s">
        <v>4818</v>
      </c>
      <c r="C263" s="246" t="s">
        <v>1882</v>
      </c>
      <c r="D263" s="246" t="s">
        <v>4819</v>
      </c>
      <c r="E263" s="246">
        <v>9</v>
      </c>
      <c r="F263" s="246" t="s">
        <v>2309</v>
      </c>
      <c r="G263" s="246" t="s">
        <v>2302</v>
      </c>
      <c r="H263" s="247">
        <v>32</v>
      </c>
      <c r="I263" s="246" t="s">
        <v>1245</v>
      </c>
      <c r="J263" s="247">
        <v>227</v>
      </c>
      <c r="K263" s="246" t="s">
        <v>2303</v>
      </c>
      <c r="L263" s="246" t="s">
        <v>2304</v>
      </c>
      <c r="M263" s="246">
        <v>15</v>
      </c>
      <c r="N263" s="246"/>
      <c r="O263" s="246" t="s">
        <v>4820</v>
      </c>
      <c r="P263" s="246" t="s">
        <v>6429</v>
      </c>
      <c r="Q263" s="246" t="s">
        <v>4817</v>
      </c>
      <c r="R263" s="248"/>
    </row>
    <row r="264" spans="1:18" x14ac:dyDescent="0.7">
      <c r="A264" s="246" t="s">
        <v>4821</v>
      </c>
      <c r="B264" s="246" t="s">
        <v>4822</v>
      </c>
      <c r="C264" s="246" t="s">
        <v>1883</v>
      </c>
      <c r="D264" s="246" t="s">
        <v>4823</v>
      </c>
      <c r="E264" s="246">
        <v>9</v>
      </c>
      <c r="F264" s="246" t="s">
        <v>2309</v>
      </c>
      <c r="G264" s="246" t="s">
        <v>2310</v>
      </c>
      <c r="H264" s="247">
        <v>32</v>
      </c>
      <c r="I264" s="246" t="s">
        <v>1245</v>
      </c>
      <c r="J264" s="247">
        <v>195</v>
      </c>
      <c r="K264" s="246" t="s">
        <v>2303</v>
      </c>
      <c r="L264" s="246" t="s">
        <v>2345</v>
      </c>
      <c r="M264" s="246">
        <v>13</v>
      </c>
      <c r="N264" s="246"/>
      <c r="O264" s="246" t="s">
        <v>4824</v>
      </c>
      <c r="P264" s="246" t="s">
        <v>6432</v>
      </c>
      <c r="Q264" s="246" t="s">
        <v>4821</v>
      </c>
      <c r="R264" s="248"/>
    </row>
    <row r="265" spans="1:18" x14ac:dyDescent="0.7">
      <c r="A265" s="246" t="s">
        <v>4825</v>
      </c>
      <c r="B265" s="246" t="s">
        <v>4826</v>
      </c>
      <c r="C265" s="246" t="s">
        <v>1884</v>
      </c>
      <c r="D265" s="246" t="s">
        <v>4827</v>
      </c>
      <c r="E265" s="246">
        <v>9</v>
      </c>
      <c r="F265" s="246" t="s">
        <v>2309</v>
      </c>
      <c r="G265" s="246" t="s">
        <v>2310</v>
      </c>
      <c r="H265" s="247">
        <v>32</v>
      </c>
      <c r="I265" s="246" t="s">
        <v>1245</v>
      </c>
      <c r="J265" s="247">
        <v>145</v>
      </c>
      <c r="K265" s="246" t="s">
        <v>2303</v>
      </c>
      <c r="L265" s="246" t="s">
        <v>2311</v>
      </c>
      <c r="M265" s="246">
        <v>6</v>
      </c>
      <c r="N265" s="246"/>
      <c r="O265" s="246" t="s">
        <v>4828</v>
      </c>
      <c r="P265" s="246" t="s">
        <v>6436</v>
      </c>
      <c r="Q265" s="246" t="s">
        <v>4825</v>
      </c>
      <c r="R265" s="248"/>
    </row>
    <row r="266" spans="1:18" x14ac:dyDescent="0.7">
      <c r="A266" s="246" t="s">
        <v>4829</v>
      </c>
      <c r="B266" s="246" t="s">
        <v>4830</v>
      </c>
      <c r="C266" s="246" t="s">
        <v>1885</v>
      </c>
      <c r="D266" s="246" t="s">
        <v>4831</v>
      </c>
      <c r="E266" s="246">
        <v>9</v>
      </c>
      <c r="F266" s="246" t="s">
        <v>2309</v>
      </c>
      <c r="G266" s="246" t="s">
        <v>2310</v>
      </c>
      <c r="H266" s="247">
        <v>32</v>
      </c>
      <c r="I266" s="246" t="s">
        <v>1245</v>
      </c>
      <c r="J266" s="247">
        <v>48</v>
      </c>
      <c r="K266" s="246" t="s">
        <v>2303</v>
      </c>
      <c r="L266" s="246" t="s">
        <v>2311</v>
      </c>
      <c r="M266" s="246">
        <v>6</v>
      </c>
      <c r="N266" s="246"/>
      <c r="O266" s="246" t="s">
        <v>4832</v>
      </c>
      <c r="P266" s="246" t="s">
        <v>6436</v>
      </c>
      <c r="Q266" s="246" t="s">
        <v>4829</v>
      </c>
      <c r="R266" s="248"/>
    </row>
    <row r="267" spans="1:18" x14ac:dyDescent="0.7">
      <c r="A267" s="246" t="s">
        <v>4833</v>
      </c>
      <c r="B267" s="246" t="s">
        <v>4834</v>
      </c>
      <c r="C267" s="246" t="s">
        <v>1886</v>
      </c>
      <c r="D267" s="246" t="s">
        <v>4835</v>
      </c>
      <c r="E267" s="246">
        <v>9</v>
      </c>
      <c r="F267" s="246" t="s">
        <v>2309</v>
      </c>
      <c r="G267" s="246" t="s">
        <v>2310</v>
      </c>
      <c r="H267" s="247">
        <v>32</v>
      </c>
      <c r="I267" s="246" t="s">
        <v>1245</v>
      </c>
      <c r="J267" s="247">
        <v>64</v>
      </c>
      <c r="K267" s="246" t="s">
        <v>2303</v>
      </c>
      <c r="L267" s="246" t="s">
        <v>2311</v>
      </c>
      <c r="M267" s="246">
        <v>6</v>
      </c>
      <c r="N267" s="246"/>
      <c r="O267" s="246" t="s">
        <v>4836</v>
      </c>
      <c r="P267" s="246" t="s">
        <v>6436</v>
      </c>
      <c r="Q267" s="246" t="s">
        <v>4833</v>
      </c>
      <c r="R267" s="248"/>
    </row>
    <row r="268" spans="1:18" x14ac:dyDescent="0.7">
      <c r="A268" s="246" t="s">
        <v>4915</v>
      </c>
      <c r="B268" s="246" t="s">
        <v>4916</v>
      </c>
      <c r="C268" s="246" t="s">
        <v>1908</v>
      </c>
      <c r="D268" s="246" t="s">
        <v>4917</v>
      </c>
      <c r="E268" s="246">
        <v>10</v>
      </c>
      <c r="F268" s="246" t="s">
        <v>2309</v>
      </c>
      <c r="G268" s="246" t="s">
        <v>2310</v>
      </c>
      <c r="H268" s="247">
        <v>33</v>
      </c>
      <c r="I268" s="246" t="s">
        <v>1248</v>
      </c>
      <c r="J268" s="247">
        <v>37</v>
      </c>
      <c r="K268" s="246" t="s">
        <v>2295</v>
      </c>
      <c r="L268" s="246" t="s">
        <v>2311</v>
      </c>
      <c r="M268" s="246">
        <v>5</v>
      </c>
      <c r="N268" s="246"/>
      <c r="O268" s="246" t="s">
        <v>4918</v>
      </c>
      <c r="P268" s="246" t="s">
        <v>6437</v>
      </c>
      <c r="Q268" s="246" t="s">
        <v>4915</v>
      </c>
      <c r="R268" s="248"/>
    </row>
    <row r="269" spans="1:18" x14ac:dyDescent="0.7">
      <c r="A269" s="246" t="s">
        <v>4919</v>
      </c>
      <c r="B269" s="246" t="s">
        <v>4920</v>
      </c>
      <c r="C269" s="246" t="s">
        <v>1909</v>
      </c>
      <c r="D269" s="246" t="s">
        <v>4921</v>
      </c>
      <c r="E269" s="246">
        <v>10</v>
      </c>
      <c r="F269" s="246" t="s">
        <v>2309</v>
      </c>
      <c r="G269" s="246" t="s">
        <v>2310</v>
      </c>
      <c r="H269" s="247">
        <v>33</v>
      </c>
      <c r="I269" s="246" t="s">
        <v>1248</v>
      </c>
      <c r="J269" s="247">
        <v>135</v>
      </c>
      <c r="K269" s="246" t="s">
        <v>2295</v>
      </c>
      <c r="L269" s="246" t="s">
        <v>2316</v>
      </c>
      <c r="M269" s="246">
        <v>10</v>
      </c>
      <c r="N269" s="246"/>
      <c r="O269" s="246" t="s">
        <v>4922</v>
      </c>
      <c r="P269" s="246" t="s">
        <v>6433</v>
      </c>
      <c r="Q269" s="246" t="s">
        <v>4919</v>
      </c>
      <c r="R269" s="248"/>
    </row>
    <row r="270" spans="1:18" x14ac:dyDescent="0.7">
      <c r="A270" s="246" t="s">
        <v>4923</v>
      </c>
      <c r="B270" s="246" t="s">
        <v>4924</v>
      </c>
      <c r="C270" s="246" t="s">
        <v>1910</v>
      </c>
      <c r="D270" s="246" t="s">
        <v>4925</v>
      </c>
      <c r="E270" s="246">
        <v>10</v>
      </c>
      <c r="F270" s="246" t="s">
        <v>2309</v>
      </c>
      <c r="G270" s="246" t="s">
        <v>2302</v>
      </c>
      <c r="H270" s="247">
        <v>33</v>
      </c>
      <c r="I270" s="246" t="s">
        <v>1248</v>
      </c>
      <c r="J270" s="247">
        <v>216</v>
      </c>
      <c r="K270" s="246" t="s">
        <v>2295</v>
      </c>
      <c r="L270" s="246" t="s">
        <v>2304</v>
      </c>
      <c r="M270" s="246">
        <v>15</v>
      </c>
      <c r="N270" s="246"/>
      <c r="O270" s="246" t="s">
        <v>4926</v>
      </c>
      <c r="P270" s="246" t="s">
        <v>6429</v>
      </c>
      <c r="Q270" s="246" t="s">
        <v>4923</v>
      </c>
      <c r="R270" s="248"/>
    </row>
    <row r="271" spans="1:18" x14ac:dyDescent="0.7">
      <c r="A271" s="246" t="s">
        <v>4927</v>
      </c>
      <c r="B271" s="246" t="s">
        <v>4928</v>
      </c>
      <c r="C271" s="246" t="s">
        <v>1911</v>
      </c>
      <c r="D271" s="246" t="s">
        <v>4929</v>
      </c>
      <c r="E271" s="246">
        <v>10</v>
      </c>
      <c r="F271" s="246" t="s">
        <v>2309</v>
      </c>
      <c r="G271" s="246" t="s">
        <v>2310</v>
      </c>
      <c r="H271" s="247">
        <v>33</v>
      </c>
      <c r="I271" s="246" t="s">
        <v>1248</v>
      </c>
      <c r="J271" s="247">
        <v>135</v>
      </c>
      <c r="K271" s="246" t="s">
        <v>2295</v>
      </c>
      <c r="L271" s="246" t="s">
        <v>2345</v>
      </c>
      <c r="M271" s="246">
        <v>13</v>
      </c>
      <c r="N271" s="246"/>
      <c r="O271" s="246" t="s">
        <v>4930</v>
      </c>
      <c r="P271" s="246" t="s">
        <v>6432</v>
      </c>
      <c r="Q271" s="246" t="s">
        <v>4927</v>
      </c>
      <c r="R271" s="248"/>
    </row>
    <row r="272" spans="1:18" x14ac:dyDescent="0.7">
      <c r="A272" s="246" t="s">
        <v>4931</v>
      </c>
      <c r="B272" s="246" t="s">
        <v>4932</v>
      </c>
      <c r="C272" s="246" t="s">
        <v>1912</v>
      </c>
      <c r="D272" s="246" t="s">
        <v>4933</v>
      </c>
      <c r="E272" s="246">
        <v>10</v>
      </c>
      <c r="F272" s="246" t="s">
        <v>2309</v>
      </c>
      <c r="G272" s="246" t="s">
        <v>2310</v>
      </c>
      <c r="H272" s="247">
        <v>33</v>
      </c>
      <c r="I272" s="246" t="s">
        <v>1248</v>
      </c>
      <c r="J272" s="247">
        <v>34</v>
      </c>
      <c r="K272" s="246" t="s">
        <v>2295</v>
      </c>
      <c r="L272" s="246" t="s">
        <v>2311</v>
      </c>
      <c r="M272" s="246">
        <v>6</v>
      </c>
      <c r="N272" s="246"/>
      <c r="O272" s="246" t="s">
        <v>4934</v>
      </c>
      <c r="P272" s="246" t="s">
        <v>6436</v>
      </c>
      <c r="Q272" s="246" t="s">
        <v>4931</v>
      </c>
      <c r="R272" s="248"/>
    </row>
    <row r="273" spans="1:18" x14ac:dyDescent="0.7">
      <c r="A273" s="246" t="s">
        <v>4935</v>
      </c>
      <c r="B273" s="246" t="s">
        <v>4936</v>
      </c>
      <c r="C273" s="246" t="s">
        <v>1913</v>
      </c>
      <c r="D273" s="246" t="s">
        <v>4937</v>
      </c>
      <c r="E273" s="246">
        <v>10</v>
      </c>
      <c r="F273" s="246" t="s">
        <v>2309</v>
      </c>
      <c r="G273" s="246" t="s">
        <v>2310</v>
      </c>
      <c r="H273" s="247">
        <v>33</v>
      </c>
      <c r="I273" s="246" t="s">
        <v>1248</v>
      </c>
      <c r="J273" s="247">
        <v>60</v>
      </c>
      <c r="K273" s="246" t="s">
        <v>2295</v>
      </c>
      <c r="L273" s="246" t="s">
        <v>2311</v>
      </c>
      <c r="M273" s="246">
        <v>6</v>
      </c>
      <c r="N273" s="246"/>
      <c r="O273" s="246" t="s">
        <v>4938</v>
      </c>
      <c r="P273" s="246" t="s">
        <v>6436</v>
      </c>
      <c r="Q273" s="246" t="s">
        <v>4935</v>
      </c>
      <c r="R273" s="248"/>
    </row>
    <row r="274" spans="1:18" x14ac:dyDescent="0.7">
      <c r="A274" s="246" t="s">
        <v>4939</v>
      </c>
      <c r="B274" s="246" t="s">
        <v>4940</v>
      </c>
      <c r="C274" s="246" t="s">
        <v>1914</v>
      </c>
      <c r="D274" s="246" t="s">
        <v>4941</v>
      </c>
      <c r="E274" s="246">
        <v>10</v>
      </c>
      <c r="F274" s="246" t="s">
        <v>2309</v>
      </c>
      <c r="G274" s="246" t="s">
        <v>2310</v>
      </c>
      <c r="H274" s="247">
        <v>33</v>
      </c>
      <c r="I274" s="246" t="s">
        <v>1248</v>
      </c>
      <c r="J274" s="247">
        <v>94</v>
      </c>
      <c r="K274" s="246" t="s">
        <v>2295</v>
      </c>
      <c r="L274" s="246" t="s">
        <v>2316</v>
      </c>
      <c r="M274" s="246">
        <v>10</v>
      </c>
      <c r="N274" s="246"/>
      <c r="O274" s="246" t="s">
        <v>4942</v>
      </c>
      <c r="P274" s="246" t="s">
        <v>6433</v>
      </c>
      <c r="Q274" s="246" t="s">
        <v>4939</v>
      </c>
      <c r="R274" s="248"/>
    </row>
    <row r="275" spans="1:18" x14ac:dyDescent="0.7">
      <c r="A275" s="246" t="s">
        <v>4943</v>
      </c>
      <c r="B275" s="246" t="s">
        <v>4944</v>
      </c>
      <c r="C275" s="246" t="s">
        <v>1915</v>
      </c>
      <c r="D275" s="246" t="s">
        <v>4945</v>
      </c>
      <c r="E275" s="246">
        <v>10</v>
      </c>
      <c r="F275" s="246" t="s">
        <v>2309</v>
      </c>
      <c r="G275" s="246" t="s">
        <v>2310</v>
      </c>
      <c r="H275" s="247">
        <v>33</v>
      </c>
      <c r="I275" s="246" t="s">
        <v>1248</v>
      </c>
      <c r="J275" s="247">
        <v>90</v>
      </c>
      <c r="K275" s="246" t="s">
        <v>2295</v>
      </c>
      <c r="L275" s="246" t="s">
        <v>2345</v>
      </c>
      <c r="M275" s="246">
        <v>12</v>
      </c>
      <c r="N275" s="246"/>
      <c r="O275" s="246" t="s">
        <v>4946</v>
      </c>
      <c r="P275" s="246" t="s">
        <v>6438</v>
      </c>
      <c r="Q275" s="246" t="s">
        <v>4943</v>
      </c>
      <c r="R275" s="248"/>
    </row>
    <row r="276" spans="1:18" x14ac:dyDescent="0.7">
      <c r="A276" s="246" t="s">
        <v>4947</v>
      </c>
      <c r="B276" s="246" t="s">
        <v>4948</v>
      </c>
      <c r="C276" s="246" t="s">
        <v>1916</v>
      </c>
      <c r="D276" s="246" t="s">
        <v>4949</v>
      </c>
      <c r="E276" s="246">
        <v>10</v>
      </c>
      <c r="F276" s="246" t="s">
        <v>2309</v>
      </c>
      <c r="G276" s="246" t="s">
        <v>2310</v>
      </c>
      <c r="H276" s="247">
        <v>33</v>
      </c>
      <c r="I276" s="246" t="s">
        <v>1248</v>
      </c>
      <c r="J276" s="247">
        <v>176</v>
      </c>
      <c r="K276" s="246" t="s">
        <v>2295</v>
      </c>
      <c r="L276" s="246" t="s">
        <v>2345</v>
      </c>
      <c r="M276" s="246">
        <v>13</v>
      </c>
      <c r="N276" s="246"/>
      <c r="O276" s="246" t="s">
        <v>4950</v>
      </c>
      <c r="P276" s="246" t="s">
        <v>6432</v>
      </c>
      <c r="Q276" s="246" t="s">
        <v>4947</v>
      </c>
      <c r="R276" s="248"/>
    </row>
    <row r="277" spans="1:18" x14ac:dyDescent="0.7">
      <c r="A277" s="246" t="s">
        <v>4951</v>
      </c>
      <c r="B277" s="246" t="s">
        <v>4952</v>
      </c>
      <c r="C277" s="246" t="s">
        <v>1917</v>
      </c>
      <c r="D277" s="246" t="s">
        <v>4953</v>
      </c>
      <c r="E277" s="246">
        <v>10</v>
      </c>
      <c r="F277" s="246" t="s">
        <v>2309</v>
      </c>
      <c r="G277" s="246" t="s">
        <v>2310</v>
      </c>
      <c r="H277" s="247">
        <v>33</v>
      </c>
      <c r="I277" s="246" t="s">
        <v>1248</v>
      </c>
      <c r="J277" s="247">
        <v>30</v>
      </c>
      <c r="K277" s="246" t="s">
        <v>2295</v>
      </c>
      <c r="L277" s="246" t="s">
        <v>2311</v>
      </c>
      <c r="M277" s="246">
        <v>5</v>
      </c>
      <c r="N277" s="246"/>
      <c r="O277" s="246" t="s">
        <v>4954</v>
      </c>
      <c r="P277" s="246" t="s">
        <v>6437</v>
      </c>
      <c r="Q277" s="246" t="s">
        <v>4951</v>
      </c>
      <c r="R277" s="248"/>
    </row>
    <row r="278" spans="1:18" x14ac:dyDescent="0.7">
      <c r="A278" s="246" t="s">
        <v>4955</v>
      </c>
      <c r="B278" s="246" t="s">
        <v>4956</v>
      </c>
      <c r="C278" s="246" t="s">
        <v>1918</v>
      </c>
      <c r="D278" s="246" t="s">
        <v>4957</v>
      </c>
      <c r="E278" s="246">
        <v>10</v>
      </c>
      <c r="F278" s="246" t="s">
        <v>2309</v>
      </c>
      <c r="G278" s="246" t="s">
        <v>2310</v>
      </c>
      <c r="H278" s="247">
        <v>33</v>
      </c>
      <c r="I278" s="246" t="s">
        <v>1248</v>
      </c>
      <c r="J278" s="247">
        <v>33</v>
      </c>
      <c r="K278" s="246" t="s">
        <v>2295</v>
      </c>
      <c r="L278" s="246" t="s">
        <v>2311</v>
      </c>
      <c r="M278" s="246">
        <v>6</v>
      </c>
      <c r="N278" s="246"/>
      <c r="O278" s="246" t="s">
        <v>4958</v>
      </c>
      <c r="P278" s="246" t="s">
        <v>6436</v>
      </c>
      <c r="Q278" s="246" t="s">
        <v>4955</v>
      </c>
      <c r="R278" s="248"/>
    </row>
    <row r="279" spans="1:18" x14ac:dyDescent="0.7">
      <c r="A279" s="246" t="s">
        <v>4959</v>
      </c>
      <c r="B279" s="246" t="s">
        <v>4960</v>
      </c>
      <c r="C279" s="246" t="s">
        <v>1919</v>
      </c>
      <c r="D279" s="246" t="s">
        <v>4961</v>
      </c>
      <c r="E279" s="246">
        <v>10</v>
      </c>
      <c r="F279" s="246" t="s">
        <v>2309</v>
      </c>
      <c r="G279" s="246" t="s">
        <v>2310</v>
      </c>
      <c r="H279" s="247">
        <v>33</v>
      </c>
      <c r="I279" s="246" t="s">
        <v>1248</v>
      </c>
      <c r="J279" s="247">
        <v>33</v>
      </c>
      <c r="K279" s="246" t="s">
        <v>2295</v>
      </c>
      <c r="L279" s="246" t="s">
        <v>2311</v>
      </c>
      <c r="M279" s="246">
        <v>5</v>
      </c>
      <c r="N279" s="246"/>
      <c r="O279" s="246" t="s">
        <v>4962</v>
      </c>
      <c r="P279" s="246" t="s">
        <v>6437</v>
      </c>
      <c r="Q279" s="246" t="s">
        <v>4959</v>
      </c>
      <c r="R279" s="248"/>
    </row>
    <row r="280" spans="1:18" x14ac:dyDescent="0.7">
      <c r="A280" s="246" t="s">
        <v>4963</v>
      </c>
      <c r="B280" s="246" t="s">
        <v>4964</v>
      </c>
      <c r="C280" s="246" t="s">
        <v>1920</v>
      </c>
      <c r="D280" s="246" t="s">
        <v>4965</v>
      </c>
      <c r="E280" s="246">
        <v>10</v>
      </c>
      <c r="F280" s="246" t="s">
        <v>2309</v>
      </c>
      <c r="G280" s="246" t="s">
        <v>2310</v>
      </c>
      <c r="H280" s="247">
        <v>33</v>
      </c>
      <c r="I280" s="246" t="s">
        <v>1248</v>
      </c>
      <c r="J280" s="247">
        <v>40</v>
      </c>
      <c r="K280" s="246" t="s">
        <v>2295</v>
      </c>
      <c r="L280" s="246" t="s">
        <v>2311</v>
      </c>
      <c r="M280" s="246">
        <v>6</v>
      </c>
      <c r="N280" s="246"/>
      <c r="O280" s="246" t="s">
        <v>4966</v>
      </c>
      <c r="P280" s="246" t="s">
        <v>6436</v>
      </c>
      <c r="Q280" s="246" t="s">
        <v>4963</v>
      </c>
      <c r="R280" s="248"/>
    </row>
    <row r="281" spans="1:18" x14ac:dyDescent="0.7">
      <c r="A281" s="246" t="s">
        <v>4967</v>
      </c>
      <c r="B281" s="246" t="s">
        <v>4968</v>
      </c>
      <c r="C281" s="246" t="s">
        <v>1921</v>
      </c>
      <c r="D281" s="246" t="s">
        <v>4969</v>
      </c>
      <c r="E281" s="246">
        <v>10</v>
      </c>
      <c r="F281" s="246" t="s">
        <v>2309</v>
      </c>
      <c r="G281" s="246" t="s">
        <v>2310</v>
      </c>
      <c r="H281" s="247">
        <v>33</v>
      </c>
      <c r="I281" s="246" t="s">
        <v>1248</v>
      </c>
      <c r="J281" s="247">
        <v>34</v>
      </c>
      <c r="K281" s="246" t="s">
        <v>2295</v>
      </c>
      <c r="L281" s="246" t="s">
        <v>2311</v>
      </c>
      <c r="M281" s="246">
        <v>6</v>
      </c>
      <c r="N281" s="246"/>
      <c r="O281" s="246" t="s">
        <v>4970</v>
      </c>
      <c r="P281" s="246" t="s">
        <v>6436</v>
      </c>
      <c r="Q281" s="246" t="s">
        <v>4967</v>
      </c>
      <c r="R281" s="248"/>
    </row>
    <row r="282" spans="1:18" x14ac:dyDescent="0.7">
      <c r="A282" s="246" t="s">
        <v>4971</v>
      </c>
      <c r="B282" s="246" t="s">
        <v>4972</v>
      </c>
      <c r="C282" s="246" t="s">
        <v>1922</v>
      </c>
      <c r="D282" s="246" t="s">
        <v>4973</v>
      </c>
      <c r="E282" s="246">
        <v>10</v>
      </c>
      <c r="F282" s="246" t="s">
        <v>2309</v>
      </c>
      <c r="G282" s="246" t="s">
        <v>2310</v>
      </c>
      <c r="H282" s="247">
        <v>33</v>
      </c>
      <c r="I282" s="246" t="s">
        <v>1248</v>
      </c>
      <c r="J282" s="247">
        <v>32</v>
      </c>
      <c r="K282" s="246" t="s">
        <v>2295</v>
      </c>
      <c r="L282" s="246" t="s">
        <v>2311</v>
      </c>
      <c r="M282" s="246">
        <v>6</v>
      </c>
      <c r="N282" s="246"/>
      <c r="O282" s="246" t="s">
        <v>4974</v>
      </c>
      <c r="P282" s="246" t="s">
        <v>6436</v>
      </c>
      <c r="Q282" s="246" t="s">
        <v>4971</v>
      </c>
      <c r="R282" s="248"/>
    </row>
    <row r="283" spans="1:18" x14ac:dyDescent="0.7">
      <c r="A283" s="246" t="s">
        <v>4975</v>
      </c>
      <c r="B283" s="246" t="s">
        <v>4976</v>
      </c>
      <c r="C283" s="246" t="s">
        <v>1923</v>
      </c>
      <c r="D283" s="246" t="s">
        <v>4977</v>
      </c>
      <c r="E283" s="246">
        <v>10</v>
      </c>
      <c r="F283" s="246" t="s">
        <v>2309</v>
      </c>
      <c r="G283" s="246" t="s">
        <v>2310</v>
      </c>
      <c r="H283" s="247">
        <v>33</v>
      </c>
      <c r="I283" s="246" t="s">
        <v>1248</v>
      </c>
      <c r="J283" s="247">
        <v>43</v>
      </c>
      <c r="K283" s="246" t="s">
        <v>2295</v>
      </c>
      <c r="L283" s="246" t="s">
        <v>2311</v>
      </c>
      <c r="M283" s="246">
        <v>6</v>
      </c>
      <c r="N283" s="246"/>
      <c r="O283" s="246" t="s">
        <v>4978</v>
      </c>
      <c r="P283" s="246" t="s">
        <v>6436</v>
      </c>
      <c r="Q283" s="246" t="s">
        <v>4975</v>
      </c>
      <c r="R283" s="248"/>
    </row>
    <row r="284" spans="1:18" x14ac:dyDescent="0.7">
      <c r="A284" s="246" t="s">
        <v>4979</v>
      </c>
      <c r="B284" s="246" t="s">
        <v>4980</v>
      </c>
      <c r="C284" s="246" t="s">
        <v>1924</v>
      </c>
      <c r="D284" s="246" t="s">
        <v>4981</v>
      </c>
      <c r="E284" s="246">
        <v>10</v>
      </c>
      <c r="F284" s="246" t="s">
        <v>2309</v>
      </c>
      <c r="G284" s="246" t="s">
        <v>2310</v>
      </c>
      <c r="H284" s="247">
        <v>33</v>
      </c>
      <c r="I284" s="246" t="s">
        <v>1248</v>
      </c>
      <c r="J284" s="247">
        <v>30</v>
      </c>
      <c r="K284" s="246" t="s">
        <v>2295</v>
      </c>
      <c r="L284" s="246" t="s">
        <v>2311</v>
      </c>
      <c r="M284" s="246">
        <v>5</v>
      </c>
      <c r="N284" s="246"/>
      <c r="O284" s="246" t="s">
        <v>4982</v>
      </c>
      <c r="P284" s="246" t="s">
        <v>6437</v>
      </c>
      <c r="Q284" s="246" t="s">
        <v>4979</v>
      </c>
      <c r="R284" s="248"/>
    </row>
    <row r="285" spans="1:18" x14ac:dyDescent="0.7">
      <c r="A285" s="246" t="s">
        <v>5002</v>
      </c>
      <c r="B285" s="246" t="s">
        <v>5003</v>
      </c>
      <c r="C285" s="246" t="s">
        <v>1935</v>
      </c>
      <c r="D285" s="246" t="s">
        <v>5004</v>
      </c>
      <c r="E285" s="246">
        <v>10</v>
      </c>
      <c r="F285" s="246" t="s">
        <v>2309</v>
      </c>
      <c r="G285" s="246" t="s">
        <v>2310</v>
      </c>
      <c r="H285" s="247">
        <v>34</v>
      </c>
      <c r="I285" s="246" t="s">
        <v>1250</v>
      </c>
      <c r="J285" s="247">
        <v>64</v>
      </c>
      <c r="K285" s="246" t="s">
        <v>2303</v>
      </c>
      <c r="L285" s="246" t="s">
        <v>2311</v>
      </c>
      <c r="M285" s="246">
        <v>6</v>
      </c>
      <c r="N285" s="246"/>
      <c r="O285" s="246" t="s">
        <v>5005</v>
      </c>
      <c r="P285" s="246" t="s">
        <v>6436</v>
      </c>
      <c r="Q285" s="246" t="s">
        <v>5002</v>
      </c>
      <c r="R285" s="248"/>
    </row>
    <row r="286" spans="1:18" x14ac:dyDescent="0.7">
      <c r="A286" s="246" t="s">
        <v>5006</v>
      </c>
      <c r="B286" s="246" t="s">
        <v>5007</v>
      </c>
      <c r="C286" s="246" t="s">
        <v>1936</v>
      </c>
      <c r="D286" s="246" t="s">
        <v>5008</v>
      </c>
      <c r="E286" s="246">
        <v>10</v>
      </c>
      <c r="F286" s="246" t="s">
        <v>2309</v>
      </c>
      <c r="G286" s="246" t="s">
        <v>2310</v>
      </c>
      <c r="H286" s="247">
        <v>34</v>
      </c>
      <c r="I286" s="246" t="s">
        <v>1250</v>
      </c>
      <c r="J286" s="247">
        <v>35</v>
      </c>
      <c r="K286" s="246" t="s">
        <v>2303</v>
      </c>
      <c r="L286" s="246" t="s">
        <v>2311</v>
      </c>
      <c r="M286" s="246">
        <v>5</v>
      </c>
      <c r="N286" s="246"/>
      <c r="O286" s="246" t="s">
        <v>5009</v>
      </c>
      <c r="P286" s="246" t="s">
        <v>6437</v>
      </c>
      <c r="Q286" s="246" t="s">
        <v>5006</v>
      </c>
      <c r="R286" s="248"/>
    </row>
    <row r="287" spans="1:18" x14ac:dyDescent="0.7">
      <c r="A287" s="246" t="s">
        <v>5010</v>
      </c>
      <c r="B287" s="246" t="s">
        <v>5011</v>
      </c>
      <c r="C287" s="246" t="s">
        <v>1937</v>
      </c>
      <c r="D287" s="246" t="s">
        <v>5012</v>
      </c>
      <c r="E287" s="246">
        <v>10</v>
      </c>
      <c r="F287" s="246" t="s">
        <v>2309</v>
      </c>
      <c r="G287" s="246" t="s">
        <v>2310</v>
      </c>
      <c r="H287" s="247">
        <v>34</v>
      </c>
      <c r="I287" s="246" t="s">
        <v>1250</v>
      </c>
      <c r="J287" s="247">
        <v>113</v>
      </c>
      <c r="K287" s="246" t="s">
        <v>2303</v>
      </c>
      <c r="L287" s="246" t="s">
        <v>2316</v>
      </c>
      <c r="M287" s="246">
        <v>10</v>
      </c>
      <c r="N287" s="246"/>
      <c r="O287" s="246" t="s">
        <v>5013</v>
      </c>
      <c r="P287" s="246" t="s">
        <v>6433</v>
      </c>
      <c r="Q287" s="246" t="s">
        <v>5010</v>
      </c>
      <c r="R287" s="248"/>
    </row>
    <row r="288" spans="1:18" x14ac:dyDescent="0.7">
      <c r="A288" s="246" t="s">
        <v>5014</v>
      </c>
      <c r="B288" s="246" t="s">
        <v>5015</v>
      </c>
      <c r="C288" s="246" t="s">
        <v>1938</v>
      </c>
      <c r="D288" s="246" t="s">
        <v>5016</v>
      </c>
      <c r="E288" s="246">
        <v>10</v>
      </c>
      <c r="F288" s="246" t="s">
        <v>2309</v>
      </c>
      <c r="G288" s="246" t="s">
        <v>2310</v>
      </c>
      <c r="H288" s="247">
        <v>34</v>
      </c>
      <c r="I288" s="246" t="s">
        <v>1250</v>
      </c>
      <c r="J288" s="247">
        <v>60</v>
      </c>
      <c r="K288" s="246" t="s">
        <v>2303</v>
      </c>
      <c r="L288" s="246" t="s">
        <v>2311</v>
      </c>
      <c r="M288" s="246">
        <v>7</v>
      </c>
      <c r="N288" s="246"/>
      <c r="O288" s="246" t="s">
        <v>5017</v>
      </c>
      <c r="P288" s="246" t="s">
        <v>6434</v>
      </c>
      <c r="Q288" s="246" t="s">
        <v>5014</v>
      </c>
      <c r="R288" s="248"/>
    </row>
    <row r="289" spans="1:18" x14ac:dyDescent="0.7">
      <c r="A289" s="246" t="s">
        <v>5018</v>
      </c>
      <c r="B289" s="246" t="s">
        <v>5019</v>
      </c>
      <c r="C289" s="246" t="s">
        <v>1939</v>
      </c>
      <c r="D289" s="246" t="s">
        <v>5020</v>
      </c>
      <c r="E289" s="246">
        <v>10</v>
      </c>
      <c r="F289" s="246" t="s">
        <v>2309</v>
      </c>
      <c r="G289" s="246" t="s">
        <v>2310</v>
      </c>
      <c r="H289" s="247">
        <v>34</v>
      </c>
      <c r="I289" s="246" t="s">
        <v>1250</v>
      </c>
      <c r="J289" s="247">
        <v>46</v>
      </c>
      <c r="K289" s="246" t="s">
        <v>2303</v>
      </c>
      <c r="L289" s="246" t="s">
        <v>2311</v>
      </c>
      <c r="M289" s="246">
        <v>6</v>
      </c>
      <c r="N289" s="246"/>
      <c r="O289" s="246" t="s">
        <v>5021</v>
      </c>
      <c r="P289" s="246" t="s">
        <v>6436</v>
      </c>
      <c r="Q289" s="246" t="s">
        <v>5018</v>
      </c>
      <c r="R289" s="248"/>
    </row>
    <row r="290" spans="1:18" x14ac:dyDescent="0.7">
      <c r="A290" s="246" t="s">
        <v>5022</v>
      </c>
      <c r="B290" s="246" t="s">
        <v>5023</v>
      </c>
      <c r="C290" s="246" t="s">
        <v>1940</v>
      </c>
      <c r="D290" s="246" t="s">
        <v>5024</v>
      </c>
      <c r="E290" s="246">
        <v>10</v>
      </c>
      <c r="F290" s="246" t="s">
        <v>2309</v>
      </c>
      <c r="G290" s="246" t="s">
        <v>2310</v>
      </c>
      <c r="H290" s="247">
        <v>34</v>
      </c>
      <c r="I290" s="246" t="s">
        <v>1250</v>
      </c>
      <c r="J290" s="247">
        <v>60</v>
      </c>
      <c r="K290" s="246" t="s">
        <v>2303</v>
      </c>
      <c r="L290" s="246" t="s">
        <v>2311</v>
      </c>
      <c r="M290" s="246">
        <v>6</v>
      </c>
      <c r="N290" s="246"/>
      <c r="O290" s="246" t="s">
        <v>5025</v>
      </c>
      <c r="P290" s="246" t="s">
        <v>6436</v>
      </c>
      <c r="Q290" s="246" t="s">
        <v>5022</v>
      </c>
      <c r="R290" s="248"/>
    </row>
    <row r="291" spans="1:18" x14ac:dyDescent="0.7">
      <c r="A291" s="246" t="s">
        <v>5026</v>
      </c>
      <c r="B291" s="246" t="s">
        <v>5027</v>
      </c>
      <c r="C291" s="246" t="s">
        <v>1941</v>
      </c>
      <c r="D291" s="246" t="s">
        <v>5028</v>
      </c>
      <c r="E291" s="246">
        <v>10</v>
      </c>
      <c r="F291" s="246" t="s">
        <v>2309</v>
      </c>
      <c r="G291" s="246" t="s">
        <v>2310</v>
      </c>
      <c r="H291" s="247">
        <v>34</v>
      </c>
      <c r="I291" s="246" t="s">
        <v>1250</v>
      </c>
      <c r="J291" s="247">
        <v>75</v>
      </c>
      <c r="K291" s="246" t="s">
        <v>2303</v>
      </c>
      <c r="L291" s="246" t="s">
        <v>2311</v>
      </c>
      <c r="M291" s="246">
        <v>7</v>
      </c>
      <c r="N291" s="246"/>
      <c r="O291" s="246" t="s">
        <v>5029</v>
      </c>
      <c r="P291" s="246" t="s">
        <v>6434</v>
      </c>
      <c r="Q291" s="246" t="s">
        <v>5026</v>
      </c>
      <c r="R291" s="248"/>
    </row>
    <row r="292" spans="1:18" x14ac:dyDescent="0.7">
      <c r="A292" s="246" t="s">
        <v>5030</v>
      </c>
      <c r="B292" s="246" t="s">
        <v>5031</v>
      </c>
      <c r="C292" s="246" t="s">
        <v>1942</v>
      </c>
      <c r="D292" s="246" t="s">
        <v>5032</v>
      </c>
      <c r="E292" s="246">
        <v>10</v>
      </c>
      <c r="F292" s="246" t="s">
        <v>2309</v>
      </c>
      <c r="G292" s="246" t="s">
        <v>2310</v>
      </c>
      <c r="H292" s="247">
        <v>34</v>
      </c>
      <c r="I292" s="246" t="s">
        <v>1250</v>
      </c>
      <c r="J292" s="247">
        <v>183</v>
      </c>
      <c r="K292" s="246" t="s">
        <v>2303</v>
      </c>
      <c r="L292" s="246" t="s">
        <v>2345</v>
      </c>
      <c r="M292" s="246">
        <v>13</v>
      </c>
      <c r="N292" s="246"/>
      <c r="O292" s="246" t="s">
        <v>5033</v>
      </c>
      <c r="P292" s="246" t="s">
        <v>6432</v>
      </c>
      <c r="Q292" s="246" t="s">
        <v>5030</v>
      </c>
      <c r="R292" s="248"/>
    </row>
    <row r="293" spans="1:18" x14ac:dyDescent="0.7">
      <c r="A293" s="246" t="s">
        <v>5034</v>
      </c>
      <c r="B293" s="246" t="s">
        <v>5035</v>
      </c>
      <c r="C293" s="246" t="s">
        <v>1943</v>
      </c>
      <c r="D293" s="246" t="s">
        <v>5036</v>
      </c>
      <c r="E293" s="246">
        <v>10</v>
      </c>
      <c r="F293" s="246" t="s">
        <v>2309</v>
      </c>
      <c r="G293" s="246" t="s">
        <v>2310</v>
      </c>
      <c r="H293" s="247">
        <v>34</v>
      </c>
      <c r="I293" s="246" t="s">
        <v>1250</v>
      </c>
      <c r="J293" s="247">
        <v>46</v>
      </c>
      <c r="K293" s="246" t="s">
        <v>2303</v>
      </c>
      <c r="L293" s="246" t="s">
        <v>2311</v>
      </c>
      <c r="M293" s="246">
        <v>6</v>
      </c>
      <c r="N293" s="246"/>
      <c r="O293" s="246" t="s">
        <v>5037</v>
      </c>
      <c r="P293" s="246" t="s">
        <v>6436</v>
      </c>
      <c r="Q293" s="246" t="s">
        <v>5034</v>
      </c>
      <c r="R293" s="248"/>
    </row>
    <row r="294" spans="1:18" x14ac:dyDescent="0.7">
      <c r="A294" s="246" t="s">
        <v>5038</v>
      </c>
      <c r="B294" s="246" t="s">
        <v>5039</v>
      </c>
      <c r="C294" s="246" t="s">
        <v>1944</v>
      </c>
      <c r="D294" s="246" t="s">
        <v>5040</v>
      </c>
      <c r="E294" s="246">
        <v>10</v>
      </c>
      <c r="F294" s="246" t="s">
        <v>2309</v>
      </c>
      <c r="G294" s="246" t="s">
        <v>2310</v>
      </c>
      <c r="H294" s="247">
        <v>34</v>
      </c>
      <c r="I294" s="246" t="s">
        <v>1250</v>
      </c>
      <c r="J294" s="247">
        <v>98</v>
      </c>
      <c r="K294" s="246" t="s">
        <v>2303</v>
      </c>
      <c r="L294" s="246" t="s">
        <v>2311</v>
      </c>
      <c r="M294" s="246">
        <v>7</v>
      </c>
      <c r="N294" s="246"/>
      <c r="O294" s="246" t="s">
        <v>5041</v>
      </c>
      <c r="P294" s="246" t="s">
        <v>6434</v>
      </c>
      <c r="Q294" s="246" t="s">
        <v>5038</v>
      </c>
      <c r="R294" s="248"/>
    </row>
    <row r="295" spans="1:18" x14ac:dyDescent="0.7">
      <c r="A295" s="246" t="s">
        <v>5042</v>
      </c>
      <c r="B295" s="246" t="s">
        <v>5043</v>
      </c>
      <c r="C295" s="246" t="s">
        <v>2172</v>
      </c>
      <c r="D295" s="246" t="s">
        <v>5044</v>
      </c>
      <c r="E295" s="246">
        <v>10</v>
      </c>
      <c r="F295" s="246" t="s">
        <v>2301</v>
      </c>
      <c r="G295" s="246" t="s">
        <v>2302</v>
      </c>
      <c r="H295" s="247">
        <v>34</v>
      </c>
      <c r="I295" s="246" t="s">
        <v>1250</v>
      </c>
      <c r="J295" s="247">
        <v>298</v>
      </c>
      <c r="K295" s="246" t="s">
        <v>2303</v>
      </c>
      <c r="L295" s="246" t="s">
        <v>2304</v>
      </c>
      <c r="M295" s="246">
        <v>15</v>
      </c>
      <c r="N295" s="246"/>
      <c r="O295" s="246" t="s">
        <v>5045</v>
      </c>
      <c r="P295" s="246" t="s">
        <v>6429</v>
      </c>
      <c r="Q295" s="246" t="s">
        <v>5042</v>
      </c>
      <c r="R295" s="248"/>
    </row>
    <row r="296" spans="1:18" x14ac:dyDescent="0.7">
      <c r="A296" s="246" t="s">
        <v>5046</v>
      </c>
      <c r="B296" s="246" t="s">
        <v>5047</v>
      </c>
      <c r="C296" s="246" t="s">
        <v>1945</v>
      </c>
      <c r="D296" s="246" t="s">
        <v>5048</v>
      </c>
      <c r="E296" s="246">
        <v>10</v>
      </c>
      <c r="F296" s="246" t="s">
        <v>2309</v>
      </c>
      <c r="G296" s="246" t="s">
        <v>2310</v>
      </c>
      <c r="H296" s="247">
        <v>34</v>
      </c>
      <c r="I296" s="246" t="s">
        <v>1250</v>
      </c>
      <c r="J296" s="247">
        <v>140</v>
      </c>
      <c r="K296" s="246" t="s">
        <v>2303</v>
      </c>
      <c r="L296" s="246" t="s">
        <v>2345</v>
      </c>
      <c r="M296" s="246">
        <v>13</v>
      </c>
      <c r="N296" s="246"/>
      <c r="O296" s="246" t="s">
        <v>5049</v>
      </c>
      <c r="P296" s="246" t="s">
        <v>6432</v>
      </c>
      <c r="Q296" s="246" t="s">
        <v>5046</v>
      </c>
      <c r="R296" s="248"/>
    </row>
    <row r="297" spans="1:18" x14ac:dyDescent="0.7">
      <c r="A297" s="246" t="s">
        <v>5050</v>
      </c>
      <c r="B297" s="246" t="s">
        <v>5051</v>
      </c>
      <c r="C297" s="246" t="s">
        <v>1946</v>
      </c>
      <c r="D297" s="246" t="s">
        <v>5052</v>
      </c>
      <c r="E297" s="246">
        <v>10</v>
      </c>
      <c r="F297" s="246" t="s">
        <v>2309</v>
      </c>
      <c r="G297" s="246" t="s">
        <v>2310</v>
      </c>
      <c r="H297" s="247">
        <v>34</v>
      </c>
      <c r="I297" s="246" t="s">
        <v>1250</v>
      </c>
      <c r="J297" s="247">
        <v>33</v>
      </c>
      <c r="K297" s="246" t="s">
        <v>2303</v>
      </c>
      <c r="L297" s="246" t="s">
        <v>2311</v>
      </c>
      <c r="M297" s="246">
        <v>5</v>
      </c>
      <c r="N297" s="246"/>
      <c r="O297" s="246" t="s">
        <v>5053</v>
      </c>
      <c r="P297" s="246" t="s">
        <v>6437</v>
      </c>
      <c r="Q297" s="246" t="s">
        <v>5050</v>
      </c>
      <c r="R297" s="248"/>
    </row>
    <row r="298" spans="1:18" x14ac:dyDescent="0.7">
      <c r="A298" s="246" t="s">
        <v>5054</v>
      </c>
      <c r="B298" s="246" t="s">
        <v>5055</v>
      </c>
      <c r="C298" s="246" t="s">
        <v>1947</v>
      </c>
      <c r="D298" s="246" t="s">
        <v>5056</v>
      </c>
      <c r="E298" s="246">
        <v>10</v>
      </c>
      <c r="F298" s="246" t="s">
        <v>2309</v>
      </c>
      <c r="G298" s="246" t="s">
        <v>2310</v>
      </c>
      <c r="H298" s="247">
        <v>34</v>
      </c>
      <c r="I298" s="246" t="s">
        <v>1250</v>
      </c>
      <c r="J298" s="247">
        <v>69</v>
      </c>
      <c r="K298" s="246" t="s">
        <v>2303</v>
      </c>
      <c r="L298" s="246" t="s">
        <v>2311</v>
      </c>
      <c r="M298" s="246">
        <v>6</v>
      </c>
      <c r="N298" s="246"/>
      <c r="O298" s="246" t="s">
        <v>5057</v>
      </c>
      <c r="P298" s="246" t="s">
        <v>6436</v>
      </c>
      <c r="Q298" s="246" t="s">
        <v>5054</v>
      </c>
      <c r="R298" s="248"/>
    </row>
    <row r="299" spans="1:18" x14ac:dyDescent="0.7">
      <c r="A299" s="246" t="s">
        <v>5058</v>
      </c>
      <c r="B299" s="246" t="s">
        <v>5059</v>
      </c>
      <c r="C299" s="246" t="s">
        <v>1948</v>
      </c>
      <c r="D299" s="246" t="s">
        <v>5060</v>
      </c>
      <c r="E299" s="246">
        <v>10</v>
      </c>
      <c r="F299" s="246" t="s">
        <v>2309</v>
      </c>
      <c r="G299" s="246" t="s">
        <v>2310</v>
      </c>
      <c r="H299" s="247">
        <v>34</v>
      </c>
      <c r="I299" s="246" t="s">
        <v>1250</v>
      </c>
      <c r="J299" s="247">
        <v>36</v>
      </c>
      <c r="K299" s="246" t="s">
        <v>2303</v>
      </c>
      <c r="L299" s="246" t="s">
        <v>2311</v>
      </c>
      <c r="M299" s="246">
        <v>6</v>
      </c>
      <c r="N299" s="246"/>
      <c r="O299" s="246" t="s">
        <v>5061</v>
      </c>
      <c r="P299" s="246" t="s">
        <v>6436</v>
      </c>
      <c r="Q299" s="246" t="s">
        <v>5058</v>
      </c>
      <c r="R299" s="248"/>
    </row>
    <row r="300" spans="1:18" x14ac:dyDescent="0.7">
      <c r="A300" s="246" t="s">
        <v>5062</v>
      </c>
      <c r="B300" s="246" t="s">
        <v>5063</v>
      </c>
      <c r="C300" s="246" t="s">
        <v>1949</v>
      </c>
      <c r="D300" s="246" t="s">
        <v>5064</v>
      </c>
      <c r="E300" s="246">
        <v>10</v>
      </c>
      <c r="F300" s="246" t="s">
        <v>2309</v>
      </c>
      <c r="G300" s="246" t="s">
        <v>2310</v>
      </c>
      <c r="H300" s="247">
        <v>34</v>
      </c>
      <c r="I300" s="246" t="s">
        <v>1250</v>
      </c>
      <c r="J300" s="247">
        <v>32</v>
      </c>
      <c r="K300" s="246" t="s">
        <v>2303</v>
      </c>
      <c r="L300" s="246" t="s">
        <v>2311</v>
      </c>
      <c r="M300" s="246">
        <v>5</v>
      </c>
      <c r="N300" s="246"/>
      <c r="O300" s="246" t="s">
        <v>5065</v>
      </c>
      <c r="P300" s="246" t="s">
        <v>6437</v>
      </c>
      <c r="Q300" s="246" t="s">
        <v>5062</v>
      </c>
      <c r="R300" s="248"/>
    </row>
    <row r="301" spans="1:18" x14ac:dyDescent="0.7">
      <c r="A301" s="246" t="s">
        <v>5066</v>
      </c>
      <c r="B301" s="246" t="s">
        <v>5067</v>
      </c>
      <c r="C301" s="246" t="s">
        <v>1950</v>
      </c>
      <c r="D301" s="246" t="s">
        <v>5068</v>
      </c>
      <c r="E301" s="246">
        <v>10</v>
      </c>
      <c r="F301" s="246" t="s">
        <v>2309</v>
      </c>
      <c r="G301" s="246" t="s">
        <v>2310</v>
      </c>
      <c r="H301" s="247">
        <v>34</v>
      </c>
      <c r="I301" s="246" t="s">
        <v>1250</v>
      </c>
      <c r="J301" s="247">
        <v>38</v>
      </c>
      <c r="K301" s="246" t="s">
        <v>2303</v>
      </c>
      <c r="L301" s="246" t="s">
        <v>2311</v>
      </c>
      <c r="M301" s="246">
        <v>6</v>
      </c>
      <c r="N301" s="246"/>
      <c r="O301" s="246" t="s">
        <v>5069</v>
      </c>
      <c r="P301" s="246" t="s">
        <v>6436</v>
      </c>
      <c r="Q301" s="246" t="s">
        <v>5066</v>
      </c>
      <c r="R301" s="248"/>
    </row>
    <row r="302" spans="1:18" x14ac:dyDescent="0.7">
      <c r="A302" s="246" t="s">
        <v>5070</v>
      </c>
      <c r="B302" s="246" t="s">
        <v>5071</v>
      </c>
      <c r="C302" s="246" t="s">
        <v>1951</v>
      </c>
      <c r="D302" s="246" t="s">
        <v>5072</v>
      </c>
      <c r="E302" s="246">
        <v>10</v>
      </c>
      <c r="F302" s="246" t="s">
        <v>2309</v>
      </c>
      <c r="G302" s="246" t="s">
        <v>2310</v>
      </c>
      <c r="H302" s="247">
        <v>34</v>
      </c>
      <c r="I302" s="246" t="s">
        <v>1250</v>
      </c>
      <c r="J302" s="247">
        <v>30</v>
      </c>
      <c r="K302" s="246" t="s">
        <v>2303</v>
      </c>
      <c r="L302" s="246" t="s">
        <v>2311</v>
      </c>
      <c r="M302" s="246">
        <v>5</v>
      </c>
      <c r="N302" s="246"/>
      <c r="O302" s="246" t="s">
        <v>5073</v>
      </c>
      <c r="P302" s="246" t="s">
        <v>6437</v>
      </c>
      <c r="Q302" s="246" t="s">
        <v>5070</v>
      </c>
      <c r="R302" s="248"/>
    </row>
    <row r="303" spans="1:18" x14ac:dyDescent="0.7">
      <c r="A303" s="246" t="s">
        <v>5102</v>
      </c>
      <c r="B303" s="246" t="s">
        <v>5103</v>
      </c>
      <c r="C303" s="246" t="s">
        <v>1899</v>
      </c>
      <c r="D303" s="246" t="s">
        <v>5104</v>
      </c>
      <c r="E303" s="246">
        <v>10</v>
      </c>
      <c r="F303" s="246" t="s">
        <v>2309</v>
      </c>
      <c r="G303" s="246" t="s">
        <v>2310</v>
      </c>
      <c r="H303" s="247">
        <v>35</v>
      </c>
      <c r="I303" s="246" t="s">
        <v>1247</v>
      </c>
      <c r="J303" s="247">
        <v>30</v>
      </c>
      <c r="K303" s="246" t="s">
        <v>2303</v>
      </c>
      <c r="L303" s="246" t="s">
        <v>2311</v>
      </c>
      <c r="M303" s="246">
        <v>5</v>
      </c>
      <c r="N303" s="246"/>
      <c r="O303" s="246" t="s">
        <v>5105</v>
      </c>
      <c r="P303" s="246" t="s">
        <v>6437</v>
      </c>
      <c r="Q303" s="246" t="s">
        <v>5102</v>
      </c>
      <c r="R303" s="248"/>
    </row>
    <row r="304" spans="1:18" x14ac:dyDescent="0.7">
      <c r="A304" s="246" t="s">
        <v>5106</v>
      </c>
      <c r="B304" s="246" t="s">
        <v>5107</v>
      </c>
      <c r="C304" s="246" t="s">
        <v>1900</v>
      </c>
      <c r="D304" s="246" t="s">
        <v>5108</v>
      </c>
      <c r="E304" s="246">
        <v>10</v>
      </c>
      <c r="F304" s="246" t="s">
        <v>2309</v>
      </c>
      <c r="G304" s="246" t="s">
        <v>2310</v>
      </c>
      <c r="H304" s="247">
        <v>35</v>
      </c>
      <c r="I304" s="246" t="s">
        <v>1247</v>
      </c>
      <c r="J304" s="247">
        <v>40</v>
      </c>
      <c r="K304" s="246" t="s">
        <v>2303</v>
      </c>
      <c r="L304" s="246" t="s">
        <v>2311</v>
      </c>
      <c r="M304" s="246">
        <v>6</v>
      </c>
      <c r="N304" s="246"/>
      <c r="O304" s="246" t="s">
        <v>5109</v>
      </c>
      <c r="P304" s="246" t="s">
        <v>6436</v>
      </c>
      <c r="Q304" s="246" t="s">
        <v>5106</v>
      </c>
      <c r="R304" s="248"/>
    </row>
    <row r="305" spans="1:18" x14ac:dyDescent="0.7">
      <c r="A305" s="246" t="s">
        <v>5110</v>
      </c>
      <c r="B305" s="246" t="s">
        <v>5111</v>
      </c>
      <c r="C305" s="246" t="s">
        <v>1901</v>
      </c>
      <c r="D305" s="246" t="s">
        <v>5112</v>
      </c>
      <c r="E305" s="246">
        <v>10</v>
      </c>
      <c r="F305" s="246" t="s">
        <v>2309</v>
      </c>
      <c r="G305" s="246" t="s">
        <v>2310</v>
      </c>
      <c r="H305" s="247">
        <v>35</v>
      </c>
      <c r="I305" s="246" t="s">
        <v>1247</v>
      </c>
      <c r="J305" s="247">
        <v>63</v>
      </c>
      <c r="K305" s="246" t="s">
        <v>2303</v>
      </c>
      <c r="L305" s="246" t="s">
        <v>2311</v>
      </c>
      <c r="M305" s="246">
        <v>6</v>
      </c>
      <c r="N305" s="246"/>
      <c r="O305" s="246" t="s">
        <v>5113</v>
      </c>
      <c r="P305" s="246" t="s">
        <v>6436</v>
      </c>
      <c r="Q305" s="246" t="s">
        <v>5110</v>
      </c>
      <c r="R305" s="248"/>
    </row>
    <row r="306" spans="1:18" x14ac:dyDescent="0.7">
      <c r="A306" s="246" t="s">
        <v>5114</v>
      </c>
      <c r="B306" s="246" t="s">
        <v>5115</v>
      </c>
      <c r="C306" s="246" t="s">
        <v>1902</v>
      </c>
      <c r="D306" s="246" t="s">
        <v>5116</v>
      </c>
      <c r="E306" s="246">
        <v>10</v>
      </c>
      <c r="F306" s="246" t="s">
        <v>2309</v>
      </c>
      <c r="G306" s="246" t="s">
        <v>2310</v>
      </c>
      <c r="H306" s="247">
        <v>35</v>
      </c>
      <c r="I306" s="246" t="s">
        <v>1247</v>
      </c>
      <c r="J306" s="247">
        <v>30</v>
      </c>
      <c r="K306" s="246" t="s">
        <v>2303</v>
      </c>
      <c r="L306" s="246" t="s">
        <v>2311</v>
      </c>
      <c r="M306" s="246">
        <v>5</v>
      </c>
      <c r="N306" s="246"/>
      <c r="O306" s="246" t="s">
        <v>5117</v>
      </c>
      <c r="P306" s="246" t="s">
        <v>6437</v>
      </c>
      <c r="Q306" s="246" t="s">
        <v>5114</v>
      </c>
      <c r="R306" s="248"/>
    </row>
    <row r="307" spans="1:18" x14ac:dyDescent="0.7">
      <c r="A307" s="246" t="s">
        <v>5118</v>
      </c>
      <c r="B307" s="246" t="s">
        <v>5119</v>
      </c>
      <c r="C307" s="246" t="s">
        <v>1903</v>
      </c>
      <c r="D307" s="246" t="s">
        <v>5120</v>
      </c>
      <c r="E307" s="246">
        <v>10</v>
      </c>
      <c r="F307" s="246" t="s">
        <v>2309</v>
      </c>
      <c r="G307" s="246" t="s">
        <v>2310</v>
      </c>
      <c r="H307" s="247">
        <v>35</v>
      </c>
      <c r="I307" s="246" t="s">
        <v>1247</v>
      </c>
      <c r="J307" s="247">
        <v>30</v>
      </c>
      <c r="K307" s="246" t="s">
        <v>2303</v>
      </c>
      <c r="L307" s="246" t="s">
        <v>2311</v>
      </c>
      <c r="M307" s="246">
        <v>6</v>
      </c>
      <c r="N307" s="246"/>
      <c r="O307" s="246" t="s">
        <v>5121</v>
      </c>
      <c r="P307" s="246" t="s">
        <v>6436</v>
      </c>
      <c r="Q307" s="246" t="s">
        <v>5118</v>
      </c>
      <c r="R307" s="248"/>
    </row>
    <row r="308" spans="1:18" x14ac:dyDescent="0.7">
      <c r="A308" s="246" t="s">
        <v>5122</v>
      </c>
      <c r="B308" s="246" t="s">
        <v>5123</v>
      </c>
      <c r="C308" s="246" t="s">
        <v>1904</v>
      </c>
      <c r="D308" s="246" t="s">
        <v>5124</v>
      </c>
      <c r="E308" s="246">
        <v>10</v>
      </c>
      <c r="F308" s="246" t="s">
        <v>2309</v>
      </c>
      <c r="G308" s="246" t="s">
        <v>2310</v>
      </c>
      <c r="H308" s="247">
        <v>35</v>
      </c>
      <c r="I308" s="246" t="s">
        <v>1247</v>
      </c>
      <c r="J308" s="247">
        <v>48</v>
      </c>
      <c r="K308" s="246" t="s">
        <v>2303</v>
      </c>
      <c r="L308" s="246" t="s">
        <v>2311</v>
      </c>
      <c r="M308" s="246">
        <v>5</v>
      </c>
      <c r="N308" s="246"/>
      <c r="O308" s="246" t="s">
        <v>5125</v>
      </c>
      <c r="P308" s="246" t="s">
        <v>6437</v>
      </c>
      <c r="Q308" s="246" t="s">
        <v>5122</v>
      </c>
      <c r="R308" s="248"/>
    </row>
    <row r="309" spans="1:18" x14ac:dyDescent="0.7">
      <c r="A309" s="246" t="s">
        <v>5126</v>
      </c>
      <c r="B309" s="246" t="s">
        <v>5127</v>
      </c>
      <c r="C309" s="246" t="s">
        <v>1905</v>
      </c>
      <c r="D309" s="246" t="s">
        <v>5128</v>
      </c>
      <c r="E309" s="246">
        <v>10</v>
      </c>
      <c r="F309" s="246" t="s">
        <v>2309</v>
      </c>
      <c r="G309" s="246" t="s">
        <v>2310</v>
      </c>
      <c r="H309" s="247">
        <v>35</v>
      </c>
      <c r="I309" s="246" t="s">
        <v>1247</v>
      </c>
      <c r="J309" s="247">
        <v>30</v>
      </c>
      <c r="K309" s="246" t="s">
        <v>2303</v>
      </c>
      <c r="L309" s="246" t="s">
        <v>2311</v>
      </c>
      <c r="M309" s="246">
        <v>5</v>
      </c>
      <c r="N309" s="246"/>
      <c r="O309" s="246" t="s">
        <v>5129</v>
      </c>
      <c r="P309" s="246" t="s">
        <v>6437</v>
      </c>
      <c r="Q309" s="246" t="s">
        <v>5126</v>
      </c>
      <c r="R309" s="248"/>
    </row>
    <row r="310" spans="1:18" x14ac:dyDescent="0.7">
      <c r="A310" s="246" t="s">
        <v>4856</v>
      </c>
      <c r="B310" s="246" t="s">
        <v>4857</v>
      </c>
      <c r="C310" s="246" t="s">
        <v>1811</v>
      </c>
      <c r="D310" s="246" t="s">
        <v>4858</v>
      </c>
      <c r="E310" s="246">
        <v>9</v>
      </c>
      <c r="F310" s="246" t="s">
        <v>2309</v>
      </c>
      <c r="G310" s="246" t="s">
        <v>2310</v>
      </c>
      <c r="H310" s="247">
        <v>36</v>
      </c>
      <c r="I310" s="246" t="s">
        <v>1242</v>
      </c>
      <c r="J310" s="247">
        <v>63</v>
      </c>
      <c r="K310" s="246" t="s">
        <v>2303</v>
      </c>
      <c r="L310" s="246" t="s">
        <v>2311</v>
      </c>
      <c r="M310" s="246">
        <v>6</v>
      </c>
      <c r="N310" s="246"/>
      <c r="O310" s="246" t="s">
        <v>4859</v>
      </c>
      <c r="P310" s="246" t="s">
        <v>6436</v>
      </c>
      <c r="Q310" s="246" t="s">
        <v>4856</v>
      </c>
      <c r="R310" s="248"/>
    </row>
    <row r="311" spans="1:18" x14ac:dyDescent="0.7">
      <c r="A311" s="246" t="s">
        <v>4860</v>
      </c>
      <c r="B311" s="246" t="s">
        <v>4861</v>
      </c>
      <c r="C311" s="246" t="s">
        <v>1812</v>
      </c>
      <c r="D311" s="246" t="s">
        <v>4862</v>
      </c>
      <c r="E311" s="246">
        <v>9</v>
      </c>
      <c r="F311" s="246" t="s">
        <v>2309</v>
      </c>
      <c r="G311" s="246" t="s">
        <v>2310</v>
      </c>
      <c r="H311" s="247">
        <v>36</v>
      </c>
      <c r="I311" s="246" t="s">
        <v>1242</v>
      </c>
      <c r="J311" s="247">
        <v>45</v>
      </c>
      <c r="K311" s="246" t="s">
        <v>2303</v>
      </c>
      <c r="L311" s="246" t="s">
        <v>2311</v>
      </c>
      <c r="M311" s="246">
        <v>6</v>
      </c>
      <c r="N311" s="246"/>
      <c r="O311" s="246" t="s">
        <v>4863</v>
      </c>
      <c r="P311" s="246" t="s">
        <v>6436</v>
      </c>
      <c r="Q311" s="246" t="s">
        <v>4860</v>
      </c>
      <c r="R311" s="248"/>
    </row>
    <row r="312" spans="1:18" x14ac:dyDescent="0.7">
      <c r="A312" s="246" t="s">
        <v>4864</v>
      </c>
      <c r="B312" s="246" t="s">
        <v>4865</v>
      </c>
      <c r="C312" s="246" t="s">
        <v>1813</v>
      </c>
      <c r="D312" s="246" t="s">
        <v>4866</v>
      </c>
      <c r="E312" s="246">
        <v>9</v>
      </c>
      <c r="F312" s="246" t="s">
        <v>2309</v>
      </c>
      <c r="G312" s="246" t="s">
        <v>2310</v>
      </c>
      <c r="H312" s="247">
        <v>36</v>
      </c>
      <c r="I312" s="246" t="s">
        <v>1242</v>
      </c>
      <c r="J312" s="247">
        <v>67</v>
      </c>
      <c r="K312" s="246" t="s">
        <v>2303</v>
      </c>
      <c r="L312" s="246" t="s">
        <v>2311</v>
      </c>
      <c r="M312" s="246">
        <v>7</v>
      </c>
      <c r="N312" s="246"/>
      <c r="O312" s="246" t="s">
        <v>4867</v>
      </c>
      <c r="P312" s="246" t="s">
        <v>6434</v>
      </c>
      <c r="Q312" s="246" t="s">
        <v>4864</v>
      </c>
      <c r="R312" s="248"/>
    </row>
    <row r="313" spans="1:18" x14ac:dyDescent="0.7">
      <c r="A313" s="246" t="s">
        <v>4868</v>
      </c>
      <c r="B313" s="246" t="s">
        <v>4869</v>
      </c>
      <c r="C313" s="246" t="s">
        <v>1814</v>
      </c>
      <c r="D313" s="246" t="s">
        <v>4870</v>
      </c>
      <c r="E313" s="246">
        <v>9</v>
      </c>
      <c r="F313" s="246" t="s">
        <v>2309</v>
      </c>
      <c r="G313" s="246" t="s">
        <v>2310</v>
      </c>
      <c r="H313" s="247">
        <v>36</v>
      </c>
      <c r="I313" s="246" t="s">
        <v>1242</v>
      </c>
      <c r="J313" s="247">
        <v>206</v>
      </c>
      <c r="K313" s="246" t="s">
        <v>2303</v>
      </c>
      <c r="L313" s="246" t="s">
        <v>2345</v>
      </c>
      <c r="M313" s="246">
        <v>13</v>
      </c>
      <c r="N313" s="246"/>
      <c r="O313" s="246" t="s">
        <v>4871</v>
      </c>
      <c r="P313" s="246" t="s">
        <v>6432</v>
      </c>
      <c r="Q313" s="246" t="s">
        <v>4868</v>
      </c>
      <c r="R313" s="248"/>
    </row>
    <row r="314" spans="1:18" x14ac:dyDescent="0.7">
      <c r="A314" s="246" t="s">
        <v>4872</v>
      </c>
      <c r="B314" s="246" t="s">
        <v>4873</v>
      </c>
      <c r="C314" s="246" t="s">
        <v>1815</v>
      </c>
      <c r="D314" s="246" t="s">
        <v>4874</v>
      </c>
      <c r="E314" s="246">
        <v>9</v>
      </c>
      <c r="F314" s="246" t="s">
        <v>2309</v>
      </c>
      <c r="G314" s="246" t="s">
        <v>2310</v>
      </c>
      <c r="H314" s="247">
        <v>36</v>
      </c>
      <c r="I314" s="246" t="s">
        <v>1242</v>
      </c>
      <c r="J314" s="247">
        <v>122</v>
      </c>
      <c r="K314" s="246" t="s">
        <v>2303</v>
      </c>
      <c r="L314" s="246" t="s">
        <v>2345</v>
      </c>
      <c r="M314" s="246">
        <v>13</v>
      </c>
      <c r="N314" s="246"/>
      <c r="O314" s="246" t="s">
        <v>4875</v>
      </c>
      <c r="P314" s="246" t="s">
        <v>6432</v>
      </c>
      <c r="Q314" s="246" t="s">
        <v>4872</v>
      </c>
      <c r="R314" s="248"/>
    </row>
    <row r="315" spans="1:18" x14ac:dyDescent="0.7">
      <c r="A315" s="246" t="s">
        <v>4876</v>
      </c>
      <c r="B315" s="246" t="s">
        <v>4877</v>
      </c>
      <c r="C315" s="246" t="s">
        <v>1816</v>
      </c>
      <c r="D315" s="246" t="s">
        <v>4878</v>
      </c>
      <c r="E315" s="246">
        <v>9</v>
      </c>
      <c r="F315" s="246" t="s">
        <v>2309</v>
      </c>
      <c r="G315" s="246" t="s">
        <v>2310</v>
      </c>
      <c r="H315" s="247">
        <v>36</v>
      </c>
      <c r="I315" s="246" t="s">
        <v>1242</v>
      </c>
      <c r="J315" s="247">
        <v>97</v>
      </c>
      <c r="K315" s="246" t="s">
        <v>2303</v>
      </c>
      <c r="L315" s="246" t="s">
        <v>2316</v>
      </c>
      <c r="M315" s="246">
        <v>9</v>
      </c>
      <c r="N315" s="246"/>
      <c r="O315" s="246" t="s">
        <v>4879</v>
      </c>
      <c r="P315" s="246" t="s">
        <v>6435</v>
      </c>
      <c r="Q315" s="246" t="s">
        <v>4876</v>
      </c>
      <c r="R315" s="248"/>
    </row>
    <row r="316" spans="1:18" x14ac:dyDescent="0.7">
      <c r="A316" s="246" t="s">
        <v>4880</v>
      </c>
      <c r="B316" s="246" t="s">
        <v>4881</v>
      </c>
      <c r="C316" s="246" t="s">
        <v>1817</v>
      </c>
      <c r="D316" s="246" t="s">
        <v>4882</v>
      </c>
      <c r="E316" s="246">
        <v>9</v>
      </c>
      <c r="F316" s="246" t="s">
        <v>2309</v>
      </c>
      <c r="G316" s="246" t="s">
        <v>2310</v>
      </c>
      <c r="H316" s="247">
        <v>36</v>
      </c>
      <c r="I316" s="246" t="s">
        <v>1242</v>
      </c>
      <c r="J316" s="247">
        <v>40</v>
      </c>
      <c r="K316" s="246" t="s">
        <v>2303</v>
      </c>
      <c r="L316" s="246" t="s">
        <v>2311</v>
      </c>
      <c r="M316" s="246">
        <v>5</v>
      </c>
      <c r="N316" s="246"/>
      <c r="O316" s="246" t="s">
        <v>4883</v>
      </c>
      <c r="P316" s="246" t="s">
        <v>6437</v>
      </c>
      <c r="Q316" s="246" t="s">
        <v>4880</v>
      </c>
      <c r="R316" s="248"/>
    </row>
    <row r="317" spans="1:18" x14ac:dyDescent="0.7">
      <c r="A317" s="246" t="s">
        <v>4884</v>
      </c>
      <c r="B317" s="246" t="s">
        <v>4885</v>
      </c>
      <c r="C317" s="246" t="s">
        <v>1818</v>
      </c>
      <c r="D317" s="246" t="s">
        <v>4886</v>
      </c>
      <c r="E317" s="246">
        <v>9</v>
      </c>
      <c r="F317" s="246" t="s">
        <v>2309</v>
      </c>
      <c r="G317" s="246" t="s">
        <v>2310</v>
      </c>
      <c r="H317" s="247">
        <v>36</v>
      </c>
      <c r="I317" s="246" t="s">
        <v>1242</v>
      </c>
      <c r="J317" s="247">
        <v>41</v>
      </c>
      <c r="K317" s="246" t="s">
        <v>2303</v>
      </c>
      <c r="L317" s="246" t="s">
        <v>2311</v>
      </c>
      <c r="M317" s="246">
        <v>6</v>
      </c>
      <c r="N317" s="246"/>
      <c r="O317" s="246" t="s">
        <v>4887</v>
      </c>
      <c r="P317" s="246" t="s">
        <v>6436</v>
      </c>
      <c r="Q317" s="246" t="s">
        <v>4884</v>
      </c>
      <c r="R317" s="248"/>
    </row>
    <row r="318" spans="1:18" x14ac:dyDescent="0.7">
      <c r="A318" s="246" t="s">
        <v>4888</v>
      </c>
      <c r="B318" s="246" t="s">
        <v>4889</v>
      </c>
      <c r="C318" s="246" t="s">
        <v>2155</v>
      </c>
      <c r="D318" s="246" t="s">
        <v>4890</v>
      </c>
      <c r="E318" s="246">
        <v>9</v>
      </c>
      <c r="F318" s="246" t="s">
        <v>2309</v>
      </c>
      <c r="G318" s="246" t="s">
        <v>2302</v>
      </c>
      <c r="H318" s="247">
        <v>36</v>
      </c>
      <c r="I318" s="246" t="s">
        <v>1242</v>
      </c>
      <c r="J318" s="247">
        <v>290</v>
      </c>
      <c r="K318" s="246" t="s">
        <v>2303</v>
      </c>
      <c r="L318" s="246" t="s">
        <v>2304</v>
      </c>
      <c r="M318" s="246">
        <v>15</v>
      </c>
      <c r="N318" s="246"/>
      <c r="O318" s="246" t="s">
        <v>4891</v>
      </c>
      <c r="P318" s="246" t="s">
        <v>6429</v>
      </c>
      <c r="Q318" s="246" t="s">
        <v>4888</v>
      </c>
      <c r="R318" s="248"/>
    </row>
    <row r="319" spans="1:18" x14ac:dyDescent="0.7">
      <c r="A319" s="246" t="s">
        <v>4892</v>
      </c>
      <c r="B319" s="246" t="s">
        <v>4893</v>
      </c>
      <c r="C319" s="246" t="s">
        <v>1819</v>
      </c>
      <c r="D319" s="246" t="s">
        <v>4894</v>
      </c>
      <c r="E319" s="246">
        <v>9</v>
      </c>
      <c r="F319" s="246" t="s">
        <v>2309</v>
      </c>
      <c r="G319" s="246" t="s">
        <v>2310</v>
      </c>
      <c r="H319" s="247">
        <v>36</v>
      </c>
      <c r="I319" s="246" t="s">
        <v>1242</v>
      </c>
      <c r="J319" s="247">
        <v>36</v>
      </c>
      <c r="K319" s="246" t="s">
        <v>2303</v>
      </c>
      <c r="L319" s="246" t="s">
        <v>2311</v>
      </c>
      <c r="M319" s="246">
        <v>6</v>
      </c>
      <c r="N319" s="246"/>
      <c r="O319" s="246" t="s">
        <v>4895</v>
      </c>
      <c r="P319" s="246" t="s">
        <v>6436</v>
      </c>
      <c r="Q319" s="246" t="s">
        <v>4892</v>
      </c>
      <c r="R319" s="248"/>
    </row>
    <row r="320" spans="1:18" x14ac:dyDescent="0.7">
      <c r="A320" s="246" t="s">
        <v>4896</v>
      </c>
      <c r="B320" s="246" t="s">
        <v>4897</v>
      </c>
      <c r="C320" s="246" t="s">
        <v>1820</v>
      </c>
      <c r="D320" s="246" t="s">
        <v>4898</v>
      </c>
      <c r="E320" s="246">
        <v>9</v>
      </c>
      <c r="F320" s="246" t="s">
        <v>2309</v>
      </c>
      <c r="G320" s="246" t="s">
        <v>2310</v>
      </c>
      <c r="H320" s="247">
        <v>36</v>
      </c>
      <c r="I320" s="246" t="s">
        <v>1242</v>
      </c>
      <c r="J320" s="247">
        <v>120</v>
      </c>
      <c r="K320" s="246" t="s">
        <v>2303</v>
      </c>
      <c r="L320" s="246" t="s">
        <v>2345</v>
      </c>
      <c r="M320" s="246">
        <v>13</v>
      </c>
      <c r="N320" s="246"/>
      <c r="O320" s="246" t="s">
        <v>4899</v>
      </c>
      <c r="P320" s="246" t="s">
        <v>6432</v>
      </c>
      <c r="Q320" s="246" t="s">
        <v>4896</v>
      </c>
      <c r="R320" s="248"/>
    </row>
    <row r="321" spans="1:18" x14ac:dyDescent="0.7">
      <c r="A321" s="246" t="s">
        <v>4900</v>
      </c>
      <c r="B321" s="246" t="s">
        <v>4901</v>
      </c>
      <c r="C321" s="246" t="s">
        <v>1821</v>
      </c>
      <c r="D321" s="246" t="s">
        <v>4902</v>
      </c>
      <c r="E321" s="246">
        <v>9</v>
      </c>
      <c r="F321" s="246" t="s">
        <v>2309</v>
      </c>
      <c r="G321" s="246" t="s">
        <v>2310</v>
      </c>
      <c r="H321" s="247">
        <v>36</v>
      </c>
      <c r="I321" s="246" t="s">
        <v>1242</v>
      </c>
      <c r="J321" s="247">
        <v>62</v>
      </c>
      <c r="K321" s="246" t="s">
        <v>2303</v>
      </c>
      <c r="L321" s="246" t="s">
        <v>2311</v>
      </c>
      <c r="M321" s="246">
        <v>6</v>
      </c>
      <c r="N321" s="246"/>
      <c r="O321" s="246" t="s">
        <v>4903</v>
      </c>
      <c r="P321" s="246" t="s">
        <v>6436</v>
      </c>
      <c r="Q321" s="246" t="s">
        <v>4900</v>
      </c>
      <c r="R321" s="248"/>
    </row>
    <row r="322" spans="1:18" x14ac:dyDescent="0.7">
      <c r="A322" s="246" t="s">
        <v>4904</v>
      </c>
      <c r="B322" s="246" t="s">
        <v>4905</v>
      </c>
      <c r="C322" s="246" t="s">
        <v>1822</v>
      </c>
      <c r="D322" s="246" t="s">
        <v>4906</v>
      </c>
      <c r="E322" s="246">
        <v>9</v>
      </c>
      <c r="F322" s="246" t="s">
        <v>2309</v>
      </c>
      <c r="G322" s="246" t="s">
        <v>2310</v>
      </c>
      <c r="H322" s="247">
        <v>36</v>
      </c>
      <c r="I322" s="246" t="s">
        <v>1242</v>
      </c>
      <c r="J322" s="247">
        <v>42</v>
      </c>
      <c r="K322" s="246" t="s">
        <v>2303</v>
      </c>
      <c r="L322" s="246" t="s">
        <v>2311</v>
      </c>
      <c r="M322" s="246">
        <v>5</v>
      </c>
      <c r="N322" s="246"/>
      <c r="O322" s="246" t="s">
        <v>4907</v>
      </c>
      <c r="P322" s="246" t="s">
        <v>6437</v>
      </c>
      <c r="Q322" s="246" t="s">
        <v>4904</v>
      </c>
      <c r="R322" s="248"/>
    </row>
    <row r="323" spans="1:18" x14ac:dyDescent="0.7">
      <c r="A323" s="246" t="s">
        <v>4908</v>
      </c>
      <c r="B323" s="246" t="s">
        <v>4909</v>
      </c>
      <c r="C323" s="246" t="s">
        <v>1823</v>
      </c>
      <c r="D323" s="246" t="s">
        <v>4910</v>
      </c>
      <c r="E323" s="246">
        <v>9</v>
      </c>
      <c r="F323" s="246" t="s">
        <v>2309</v>
      </c>
      <c r="G323" s="246" t="s">
        <v>2310</v>
      </c>
      <c r="H323" s="247">
        <v>36</v>
      </c>
      <c r="I323" s="246" t="s">
        <v>1242</v>
      </c>
      <c r="J323" s="247">
        <v>40</v>
      </c>
      <c r="K323" s="246" t="s">
        <v>2303</v>
      </c>
      <c r="L323" s="246" t="s">
        <v>2311</v>
      </c>
      <c r="M323" s="246">
        <v>5</v>
      </c>
      <c r="N323" s="246"/>
      <c r="O323" s="246" t="s">
        <v>4911</v>
      </c>
      <c r="P323" s="246" t="s">
        <v>6437</v>
      </c>
      <c r="Q323" s="246" t="s">
        <v>4908</v>
      </c>
      <c r="R323" s="248"/>
    </row>
    <row r="324" spans="1:18" x14ac:dyDescent="0.7">
      <c r="A324" s="246" t="s">
        <v>5137</v>
      </c>
      <c r="B324" s="246" t="s">
        <v>5138</v>
      </c>
      <c r="C324" s="246" t="s">
        <v>1928</v>
      </c>
      <c r="D324" s="246" t="s">
        <v>5139</v>
      </c>
      <c r="E324" s="246">
        <v>10</v>
      </c>
      <c r="F324" s="246" t="s">
        <v>2309</v>
      </c>
      <c r="G324" s="246" t="s">
        <v>2310</v>
      </c>
      <c r="H324" s="247">
        <v>37</v>
      </c>
      <c r="I324" s="246" t="s">
        <v>1249</v>
      </c>
      <c r="J324" s="247">
        <v>38</v>
      </c>
      <c r="K324" s="246" t="s">
        <v>2303</v>
      </c>
      <c r="L324" s="246" t="s">
        <v>2311</v>
      </c>
      <c r="M324" s="246">
        <v>6</v>
      </c>
      <c r="N324" s="246"/>
      <c r="O324" s="246" t="s">
        <v>5140</v>
      </c>
      <c r="P324" s="246" t="s">
        <v>6436</v>
      </c>
      <c r="Q324" s="246" t="s">
        <v>5137</v>
      </c>
      <c r="R324" s="248"/>
    </row>
    <row r="325" spans="1:18" x14ac:dyDescent="0.7">
      <c r="A325" s="246" t="s">
        <v>5141</v>
      </c>
      <c r="B325" s="246" t="s">
        <v>5142</v>
      </c>
      <c r="C325" s="246" t="s">
        <v>1929</v>
      </c>
      <c r="D325" s="246" t="s">
        <v>5143</v>
      </c>
      <c r="E325" s="246">
        <v>10</v>
      </c>
      <c r="F325" s="246" t="s">
        <v>2309</v>
      </c>
      <c r="G325" s="246" t="s">
        <v>2310</v>
      </c>
      <c r="H325" s="247">
        <v>37</v>
      </c>
      <c r="I325" s="246" t="s">
        <v>1249</v>
      </c>
      <c r="J325" s="247">
        <v>75</v>
      </c>
      <c r="K325" s="246" t="s">
        <v>2303</v>
      </c>
      <c r="L325" s="246" t="s">
        <v>2311</v>
      </c>
      <c r="M325" s="246">
        <v>6</v>
      </c>
      <c r="N325" s="246"/>
      <c r="O325" s="246" t="s">
        <v>5144</v>
      </c>
      <c r="P325" s="246" t="s">
        <v>6436</v>
      </c>
      <c r="Q325" s="246" t="s">
        <v>5141</v>
      </c>
      <c r="R325" s="248"/>
    </row>
    <row r="326" spans="1:18" x14ac:dyDescent="0.7">
      <c r="A326" s="246" t="s">
        <v>5145</v>
      </c>
      <c r="B326" s="246" t="s">
        <v>5146</v>
      </c>
      <c r="C326" s="246" t="s">
        <v>1930</v>
      </c>
      <c r="D326" s="246" t="s">
        <v>5147</v>
      </c>
      <c r="E326" s="246">
        <v>10</v>
      </c>
      <c r="F326" s="246" t="s">
        <v>2309</v>
      </c>
      <c r="G326" s="246" t="s">
        <v>2310</v>
      </c>
      <c r="H326" s="247">
        <v>37</v>
      </c>
      <c r="I326" s="246" t="s">
        <v>1249</v>
      </c>
      <c r="J326" s="247">
        <v>42</v>
      </c>
      <c r="K326" s="246" t="s">
        <v>2303</v>
      </c>
      <c r="L326" s="246" t="s">
        <v>2311</v>
      </c>
      <c r="M326" s="246">
        <v>5</v>
      </c>
      <c r="N326" s="246"/>
      <c r="O326" s="246" t="s">
        <v>5148</v>
      </c>
      <c r="P326" s="246" t="s">
        <v>6437</v>
      </c>
      <c r="Q326" s="246" t="s">
        <v>5145</v>
      </c>
      <c r="R326" s="248"/>
    </row>
    <row r="327" spans="1:18" x14ac:dyDescent="0.7">
      <c r="A327" s="246" t="s">
        <v>5149</v>
      </c>
      <c r="B327" s="246" t="s">
        <v>5150</v>
      </c>
      <c r="C327" s="246" t="s">
        <v>1931</v>
      </c>
      <c r="D327" s="246" t="s">
        <v>5151</v>
      </c>
      <c r="E327" s="246">
        <v>10</v>
      </c>
      <c r="F327" s="246" t="s">
        <v>2309</v>
      </c>
      <c r="G327" s="246" t="s">
        <v>2310</v>
      </c>
      <c r="H327" s="247">
        <v>37</v>
      </c>
      <c r="I327" s="246" t="s">
        <v>1249</v>
      </c>
      <c r="J327" s="247">
        <v>30</v>
      </c>
      <c r="K327" s="246" t="s">
        <v>2303</v>
      </c>
      <c r="L327" s="246" t="s">
        <v>2311</v>
      </c>
      <c r="M327" s="246">
        <v>5</v>
      </c>
      <c r="N327" s="246"/>
      <c r="O327" s="246" t="s">
        <v>5152</v>
      </c>
      <c r="P327" s="246" t="s">
        <v>6437</v>
      </c>
      <c r="Q327" s="246" t="s">
        <v>5149</v>
      </c>
      <c r="R327" s="248"/>
    </row>
    <row r="328" spans="1:18" x14ac:dyDescent="0.7">
      <c r="A328" s="246" t="s">
        <v>5153</v>
      </c>
      <c r="B328" s="246" t="s">
        <v>5154</v>
      </c>
      <c r="C328" s="246" t="s">
        <v>1932</v>
      </c>
      <c r="D328" s="246" t="s">
        <v>5155</v>
      </c>
      <c r="E328" s="246">
        <v>10</v>
      </c>
      <c r="F328" s="246" t="s">
        <v>2309</v>
      </c>
      <c r="G328" s="246" t="s">
        <v>2310</v>
      </c>
      <c r="H328" s="247">
        <v>37</v>
      </c>
      <c r="I328" s="246" t="s">
        <v>1249</v>
      </c>
      <c r="J328" s="247">
        <v>64</v>
      </c>
      <c r="K328" s="246" t="s">
        <v>2303</v>
      </c>
      <c r="L328" s="246" t="s">
        <v>2311</v>
      </c>
      <c r="M328" s="246">
        <v>6</v>
      </c>
      <c r="N328" s="246"/>
      <c r="O328" s="246" t="s">
        <v>5156</v>
      </c>
      <c r="P328" s="246" t="s">
        <v>6436</v>
      </c>
      <c r="Q328" s="246" t="s">
        <v>5153</v>
      </c>
      <c r="R328" s="248"/>
    </row>
    <row r="329" spans="1:18" x14ac:dyDescent="0.7">
      <c r="A329" s="246" t="s">
        <v>5157</v>
      </c>
      <c r="B329" s="246" t="s">
        <v>5158</v>
      </c>
      <c r="C329" s="246" t="s">
        <v>1933</v>
      </c>
      <c r="D329" s="246" t="s">
        <v>5159</v>
      </c>
      <c r="E329" s="246">
        <v>10</v>
      </c>
      <c r="F329" s="246" t="s">
        <v>2309</v>
      </c>
      <c r="G329" s="246" t="s">
        <v>2310</v>
      </c>
      <c r="H329" s="247">
        <v>37</v>
      </c>
      <c r="I329" s="246" t="s">
        <v>1249</v>
      </c>
      <c r="J329" s="247">
        <v>32</v>
      </c>
      <c r="K329" s="246" t="s">
        <v>2303</v>
      </c>
      <c r="L329" s="246" t="s">
        <v>2311</v>
      </c>
      <c r="M329" s="246">
        <v>5</v>
      </c>
      <c r="N329" s="246"/>
      <c r="O329" s="246" t="s">
        <v>5160</v>
      </c>
      <c r="P329" s="246" t="s">
        <v>6437</v>
      </c>
      <c r="Q329" s="246" t="s">
        <v>5157</v>
      </c>
      <c r="R329" s="248"/>
    </row>
    <row r="330" spans="1:18" x14ac:dyDescent="0.7">
      <c r="A330" s="246" t="s">
        <v>4260</v>
      </c>
      <c r="B330" s="246" t="s">
        <v>4261</v>
      </c>
      <c r="C330" s="246" t="s">
        <v>1784</v>
      </c>
      <c r="D330" s="246" t="s">
        <v>4262</v>
      </c>
      <c r="E330" s="246">
        <v>8</v>
      </c>
      <c r="F330" s="246" t="s">
        <v>2309</v>
      </c>
      <c r="G330" s="246" t="s">
        <v>2310</v>
      </c>
      <c r="H330" s="247">
        <v>39</v>
      </c>
      <c r="I330" s="246" t="s">
        <v>1240</v>
      </c>
      <c r="J330" s="247">
        <v>78</v>
      </c>
      <c r="K330" s="246" t="s">
        <v>2303</v>
      </c>
      <c r="L330" s="246" t="s">
        <v>2316</v>
      </c>
      <c r="M330" s="246">
        <v>10</v>
      </c>
      <c r="N330" s="246"/>
      <c r="O330" s="246" t="s">
        <v>4263</v>
      </c>
      <c r="P330" s="246" t="s">
        <v>6433</v>
      </c>
      <c r="Q330" s="246" t="s">
        <v>4260</v>
      </c>
      <c r="R330" s="248"/>
    </row>
    <row r="331" spans="1:18" x14ac:dyDescent="0.7">
      <c r="A331" s="246" t="s">
        <v>4264</v>
      </c>
      <c r="B331" s="246" t="s">
        <v>4265</v>
      </c>
      <c r="C331" s="246" t="s">
        <v>1785</v>
      </c>
      <c r="D331" s="246" t="s">
        <v>4266</v>
      </c>
      <c r="E331" s="246">
        <v>8</v>
      </c>
      <c r="F331" s="246" t="s">
        <v>2309</v>
      </c>
      <c r="G331" s="246" t="s">
        <v>2310</v>
      </c>
      <c r="H331" s="247">
        <v>39</v>
      </c>
      <c r="I331" s="246" t="s">
        <v>1240</v>
      </c>
      <c r="J331" s="247">
        <v>40</v>
      </c>
      <c r="K331" s="246" t="s">
        <v>2303</v>
      </c>
      <c r="L331" s="246" t="s">
        <v>2311</v>
      </c>
      <c r="M331" s="246">
        <v>6</v>
      </c>
      <c r="N331" s="246"/>
      <c r="O331" s="246" t="s">
        <v>4267</v>
      </c>
      <c r="P331" s="246" t="s">
        <v>6436</v>
      </c>
      <c r="Q331" s="246" t="s">
        <v>4264</v>
      </c>
      <c r="R331" s="248"/>
    </row>
    <row r="332" spans="1:18" x14ac:dyDescent="0.7">
      <c r="A332" s="246" t="s">
        <v>4268</v>
      </c>
      <c r="B332" s="246" t="s">
        <v>4269</v>
      </c>
      <c r="C332" s="246" t="s">
        <v>1786</v>
      </c>
      <c r="D332" s="246" t="s">
        <v>4270</v>
      </c>
      <c r="E332" s="246">
        <v>8</v>
      </c>
      <c r="F332" s="246" t="s">
        <v>2309</v>
      </c>
      <c r="G332" s="246" t="s">
        <v>2310</v>
      </c>
      <c r="H332" s="247">
        <v>39</v>
      </c>
      <c r="I332" s="246" t="s">
        <v>1240</v>
      </c>
      <c r="J332" s="247">
        <v>90</v>
      </c>
      <c r="K332" s="246" t="s">
        <v>2303</v>
      </c>
      <c r="L332" s="246" t="s">
        <v>2316</v>
      </c>
      <c r="M332" s="246">
        <v>10</v>
      </c>
      <c r="N332" s="246"/>
      <c r="O332" s="246" t="s">
        <v>4271</v>
      </c>
      <c r="P332" s="246" t="s">
        <v>6433</v>
      </c>
      <c r="Q332" s="246" t="s">
        <v>4268</v>
      </c>
      <c r="R332" s="248"/>
    </row>
    <row r="333" spans="1:18" x14ac:dyDescent="0.7">
      <c r="A333" s="246" t="s">
        <v>4272</v>
      </c>
      <c r="B333" s="246" t="s">
        <v>4273</v>
      </c>
      <c r="C333" s="246" t="s">
        <v>1787</v>
      </c>
      <c r="D333" s="246" t="s">
        <v>4274</v>
      </c>
      <c r="E333" s="246">
        <v>8</v>
      </c>
      <c r="F333" s="246" t="s">
        <v>2309</v>
      </c>
      <c r="G333" s="246" t="s">
        <v>2310</v>
      </c>
      <c r="H333" s="247">
        <v>39</v>
      </c>
      <c r="I333" s="246" t="s">
        <v>1240</v>
      </c>
      <c r="J333" s="247">
        <v>40</v>
      </c>
      <c r="K333" s="246" t="s">
        <v>2303</v>
      </c>
      <c r="L333" s="246" t="s">
        <v>2311</v>
      </c>
      <c r="M333" s="246">
        <v>6</v>
      </c>
      <c r="N333" s="246"/>
      <c r="O333" s="246" t="s">
        <v>4275</v>
      </c>
      <c r="P333" s="246" t="s">
        <v>6436</v>
      </c>
      <c r="Q333" s="246" t="s">
        <v>4272</v>
      </c>
      <c r="R333" s="248"/>
    </row>
    <row r="334" spans="1:18" x14ac:dyDescent="0.7">
      <c r="A334" s="246" t="s">
        <v>3928</v>
      </c>
      <c r="B334" s="246" t="s">
        <v>3929</v>
      </c>
      <c r="C334" s="246" t="s">
        <v>1678</v>
      </c>
      <c r="D334" s="246" t="s">
        <v>3930</v>
      </c>
      <c r="E334" s="246">
        <v>7</v>
      </c>
      <c r="F334" s="246" t="s">
        <v>2309</v>
      </c>
      <c r="G334" s="246" t="s">
        <v>2310</v>
      </c>
      <c r="H334" s="247">
        <v>40</v>
      </c>
      <c r="I334" s="246" t="s">
        <v>1232</v>
      </c>
      <c r="J334" s="247">
        <v>44</v>
      </c>
      <c r="K334" s="246" t="s">
        <v>2295</v>
      </c>
      <c r="L334" s="246" t="s">
        <v>2311</v>
      </c>
      <c r="M334" s="246">
        <v>6</v>
      </c>
      <c r="N334" s="246"/>
      <c r="O334" s="246" t="s">
        <v>3931</v>
      </c>
      <c r="P334" s="246" t="s">
        <v>6436</v>
      </c>
      <c r="Q334" s="246" t="s">
        <v>3928</v>
      </c>
      <c r="R334" s="248"/>
    </row>
    <row r="335" spans="1:18" x14ac:dyDescent="0.7">
      <c r="A335" s="246" t="s">
        <v>3932</v>
      </c>
      <c r="B335" s="246" t="s">
        <v>3933</v>
      </c>
      <c r="C335" s="246" t="s">
        <v>1679</v>
      </c>
      <c r="D335" s="246" t="s">
        <v>3934</v>
      </c>
      <c r="E335" s="246">
        <v>7</v>
      </c>
      <c r="F335" s="246" t="s">
        <v>2309</v>
      </c>
      <c r="G335" s="246" t="s">
        <v>2310</v>
      </c>
      <c r="H335" s="247">
        <v>40</v>
      </c>
      <c r="I335" s="246" t="s">
        <v>1232</v>
      </c>
      <c r="J335" s="247">
        <v>34</v>
      </c>
      <c r="K335" s="246" t="s">
        <v>2295</v>
      </c>
      <c r="L335" s="246" t="s">
        <v>2311</v>
      </c>
      <c r="M335" s="246">
        <v>5</v>
      </c>
      <c r="N335" s="246"/>
      <c r="O335" s="246" t="s">
        <v>3935</v>
      </c>
      <c r="P335" s="246" t="s">
        <v>6437</v>
      </c>
      <c r="Q335" s="246" t="s">
        <v>3932</v>
      </c>
      <c r="R335" s="248"/>
    </row>
    <row r="336" spans="1:18" x14ac:dyDescent="0.7">
      <c r="A336" s="246" t="s">
        <v>3936</v>
      </c>
      <c r="B336" s="246" t="s">
        <v>3937</v>
      </c>
      <c r="C336" s="246" t="s">
        <v>1680</v>
      </c>
      <c r="D336" s="246" t="s">
        <v>3938</v>
      </c>
      <c r="E336" s="246">
        <v>7</v>
      </c>
      <c r="F336" s="246" t="s">
        <v>2309</v>
      </c>
      <c r="G336" s="246" t="s">
        <v>2310</v>
      </c>
      <c r="H336" s="247">
        <v>40</v>
      </c>
      <c r="I336" s="246" t="s">
        <v>1232</v>
      </c>
      <c r="J336" s="247">
        <v>100</v>
      </c>
      <c r="K336" s="246" t="s">
        <v>2295</v>
      </c>
      <c r="L336" s="246" t="s">
        <v>2316</v>
      </c>
      <c r="M336" s="246">
        <v>10</v>
      </c>
      <c r="N336" s="246"/>
      <c r="O336" s="246" t="s">
        <v>3939</v>
      </c>
      <c r="P336" s="246" t="s">
        <v>6433</v>
      </c>
      <c r="Q336" s="246" t="s">
        <v>3936</v>
      </c>
      <c r="R336" s="248"/>
    </row>
    <row r="337" spans="1:18" x14ac:dyDescent="0.7">
      <c r="A337" s="246" t="s">
        <v>3940</v>
      </c>
      <c r="B337" s="246" t="s">
        <v>3941</v>
      </c>
      <c r="C337" s="246" t="s">
        <v>2135</v>
      </c>
      <c r="D337" s="246" t="s">
        <v>3942</v>
      </c>
      <c r="E337" s="246">
        <v>7</v>
      </c>
      <c r="F337" s="246" t="s">
        <v>2301</v>
      </c>
      <c r="G337" s="246" t="s">
        <v>2302</v>
      </c>
      <c r="H337" s="247">
        <v>40</v>
      </c>
      <c r="I337" s="246" t="s">
        <v>1232</v>
      </c>
      <c r="J337" s="247">
        <v>350</v>
      </c>
      <c r="K337" s="246" t="s">
        <v>2295</v>
      </c>
      <c r="L337" s="246" t="s">
        <v>2304</v>
      </c>
      <c r="M337" s="246">
        <v>15</v>
      </c>
      <c r="N337" s="246"/>
      <c r="O337" s="246" t="s">
        <v>3943</v>
      </c>
      <c r="P337" s="246" t="s">
        <v>6429</v>
      </c>
      <c r="Q337" s="246" t="s">
        <v>3940</v>
      </c>
      <c r="R337" s="248"/>
    </row>
    <row r="338" spans="1:18" x14ac:dyDescent="0.7">
      <c r="A338" s="246" t="s">
        <v>3944</v>
      </c>
      <c r="B338" s="246" t="s">
        <v>3945</v>
      </c>
      <c r="C338" s="246" t="s">
        <v>1681</v>
      </c>
      <c r="D338" s="246" t="s">
        <v>3946</v>
      </c>
      <c r="E338" s="246">
        <v>7</v>
      </c>
      <c r="F338" s="246" t="s">
        <v>2309</v>
      </c>
      <c r="G338" s="246" t="s">
        <v>2310</v>
      </c>
      <c r="H338" s="247">
        <v>40</v>
      </c>
      <c r="I338" s="246" t="s">
        <v>1232</v>
      </c>
      <c r="J338" s="247">
        <v>82</v>
      </c>
      <c r="K338" s="246" t="s">
        <v>2295</v>
      </c>
      <c r="L338" s="246" t="s">
        <v>2311</v>
      </c>
      <c r="M338" s="246">
        <v>6</v>
      </c>
      <c r="N338" s="246"/>
      <c r="O338" s="246" t="s">
        <v>3947</v>
      </c>
      <c r="P338" s="246" t="s">
        <v>6436</v>
      </c>
      <c r="Q338" s="246" t="s">
        <v>3944</v>
      </c>
      <c r="R338" s="248"/>
    </row>
    <row r="339" spans="1:18" x14ac:dyDescent="0.7">
      <c r="A339" s="246" t="s">
        <v>3948</v>
      </c>
      <c r="B339" s="246" t="s">
        <v>3949</v>
      </c>
      <c r="C339" s="246" t="s">
        <v>1682</v>
      </c>
      <c r="D339" s="246" t="s">
        <v>3950</v>
      </c>
      <c r="E339" s="246">
        <v>7</v>
      </c>
      <c r="F339" s="246" t="s">
        <v>2309</v>
      </c>
      <c r="G339" s="246" t="s">
        <v>2310</v>
      </c>
      <c r="H339" s="247">
        <v>40</v>
      </c>
      <c r="I339" s="246" t="s">
        <v>1232</v>
      </c>
      <c r="J339" s="247">
        <v>200</v>
      </c>
      <c r="K339" s="246" t="s">
        <v>2295</v>
      </c>
      <c r="L339" s="246" t="s">
        <v>2345</v>
      </c>
      <c r="M339" s="246">
        <v>13</v>
      </c>
      <c r="N339" s="246"/>
      <c r="O339" s="246" t="s">
        <v>3951</v>
      </c>
      <c r="P339" s="246" t="s">
        <v>6432</v>
      </c>
      <c r="Q339" s="246" t="s">
        <v>3948</v>
      </c>
      <c r="R339" s="248"/>
    </row>
    <row r="340" spans="1:18" x14ac:dyDescent="0.7">
      <c r="A340" s="246" t="s">
        <v>3952</v>
      </c>
      <c r="B340" s="246" t="s">
        <v>3953</v>
      </c>
      <c r="C340" s="246" t="s">
        <v>1683</v>
      </c>
      <c r="D340" s="246" t="s">
        <v>3954</v>
      </c>
      <c r="E340" s="246">
        <v>7</v>
      </c>
      <c r="F340" s="246" t="s">
        <v>2309</v>
      </c>
      <c r="G340" s="246" t="s">
        <v>2310</v>
      </c>
      <c r="H340" s="247">
        <v>40</v>
      </c>
      <c r="I340" s="246" t="s">
        <v>1232</v>
      </c>
      <c r="J340" s="247">
        <v>70</v>
      </c>
      <c r="K340" s="246" t="s">
        <v>2295</v>
      </c>
      <c r="L340" s="246" t="s">
        <v>2311</v>
      </c>
      <c r="M340" s="246">
        <v>6</v>
      </c>
      <c r="N340" s="246"/>
      <c r="O340" s="246" t="s">
        <v>3955</v>
      </c>
      <c r="P340" s="246" t="s">
        <v>6436</v>
      </c>
      <c r="Q340" s="246" t="s">
        <v>3952</v>
      </c>
      <c r="R340" s="248"/>
    </row>
    <row r="341" spans="1:18" x14ac:dyDescent="0.7">
      <c r="A341" s="246" t="s">
        <v>3956</v>
      </c>
      <c r="B341" s="246" t="s">
        <v>3957</v>
      </c>
      <c r="C341" s="246" t="s">
        <v>1684</v>
      </c>
      <c r="D341" s="246" t="s">
        <v>3958</v>
      </c>
      <c r="E341" s="246">
        <v>7</v>
      </c>
      <c r="F341" s="246" t="s">
        <v>2309</v>
      </c>
      <c r="G341" s="246" t="s">
        <v>2310</v>
      </c>
      <c r="H341" s="247">
        <v>40</v>
      </c>
      <c r="I341" s="246" t="s">
        <v>1232</v>
      </c>
      <c r="J341" s="247">
        <v>110</v>
      </c>
      <c r="K341" s="246" t="s">
        <v>2295</v>
      </c>
      <c r="L341" s="246" t="s">
        <v>2345</v>
      </c>
      <c r="M341" s="246">
        <v>13</v>
      </c>
      <c r="N341" s="246"/>
      <c r="O341" s="246" t="s">
        <v>3959</v>
      </c>
      <c r="P341" s="246" t="s">
        <v>6432</v>
      </c>
      <c r="Q341" s="246" t="s">
        <v>3956</v>
      </c>
      <c r="R341" s="248"/>
    </row>
    <row r="342" spans="1:18" x14ac:dyDescent="0.7">
      <c r="A342" s="246" t="s">
        <v>3960</v>
      </c>
      <c r="B342" s="246" t="s">
        <v>3961</v>
      </c>
      <c r="C342" s="246" t="s">
        <v>1685</v>
      </c>
      <c r="D342" s="246" t="s">
        <v>3962</v>
      </c>
      <c r="E342" s="246">
        <v>7</v>
      </c>
      <c r="F342" s="246" t="s">
        <v>2309</v>
      </c>
      <c r="G342" s="246" t="s">
        <v>2310</v>
      </c>
      <c r="H342" s="247">
        <v>40</v>
      </c>
      <c r="I342" s="246" t="s">
        <v>1232</v>
      </c>
      <c r="J342" s="247">
        <v>39</v>
      </c>
      <c r="K342" s="246" t="s">
        <v>2295</v>
      </c>
      <c r="L342" s="246" t="s">
        <v>2311</v>
      </c>
      <c r="M342" s="246">
        <v>5</v>
      </c>
      <c r="N342" s="246"/>
      <c r="O342" s="246" t="s">
        <v>3963</v>
      </c>
      <c r="P342" s="246" t="s">
        <v>6437</v>
      </c>
      <c r="Q342" s="246" t="s">
        <v>3960</v>
      </c>
      <c r="R342" s="248"/>
    </row>
    <row r="343" spans="1:18" x14ac:dyDescent="0.7">
      <c r="A343" s="246" t="s">
        <v>3964</v>
      </c>
      <c r="B343" s="246" t="s">
        <v>3965</v>
      </c>
      <c r="C343" s="246" t="s">
        <v>1686</v>
      </c>
      <c r="D343" s="246" t="s">
        <v>3966</v>
      </c>
      <c r="E343" s="246">
        <v>7</v>
      </c>
      <c r="F343" s="246" t="s">
        <v>2309</v>
      </c>
      <c r="G343" s="246" t="s">
        <v>2310</v>
      </c>
      <c r="H343" s="247">
        <v>40</v>
      </c>
      <c r="I343" s="246" t="s">
        <v>1232</v>
      </c>
      <c r="J343" s="247">
        <v>109</v>
      </c>
      <c r="K343" s="246" t="s">
        <v>2295</v>
      </c>
      <c r="L343" s="246" t="s">
        <v>2345</v>
      </c>
      <c r="M343" s="246">
        <v>13</v>
      </c>
      <c r="N343" s="246"/>
      <c r="O343" s="246" t="s">
        <v>3967</v>
      </c>
      <c r="P343" s="246" t="s">
        <v>6432</v>
      </c>
      <c r="Q343" s="246" t="s">
        <v>3964</v>
      </c>
      <c r="R343" s="248"/>
    </row>
    <row r="344" spans="1:18" x14ac:dyDescent="0.7">
      <c r="A344" s="246" t="s">
        <v>3968</v>
      </c>
      <c r="B344" s="246" t="s">
        <v>3969</v>
      </c>
      <c r="C344" s="246" t="s">
        <v>1687</v>
      </c>
      <c r="D344" s="246" t="s">
        <v>3970</v>
      </c>
      <c r="E344" s="246">
        <v>7</v>
      </c>
      <c r="F344" s="246" t="s">
        <v>2309</v>
      </c>
      <c r="G344" s="246" t="s">
        <v>2310</v>
      </c>
      <c r="H344" s="247">
        <v>40</v>
      </c>
      <c r="I344" s="246" t="s">
        <v>1232</v>
      </c>
      <c r="J344" s="247">
        <v>36</v>
      </c>
      <c r="K344" s="246" t="s">
        <v>2295</v>
      </c>
      <c r="L344" s="246" t="s">
        <v>2311</v>
      </c>
      <c r="M344" s="246">
        <v>5</v>
      </c>
      <c r="N344" s="246"/>
      <c r="O344" s="246" t="s">
        <v>3971</v>
      </c>
      <c r="P344" s="246" t="s">
        <v>6437</v>
      </c>
      <c r="Q344" s="246" t="s">
        <v>3968</v>
      </c>
      <c r="R344" s="248"/>
    </row>
    <row r="345" spans="1:18" x14ac:dyDescent="0.7">
      <c r="A345" s="246" t="s">
        <v>3972</v>
      </c>
      <c r="B345" s="246" t="s">
        <v>3973</v>
      </c>
      <c r="C345" s="246" t="s">
        <v>1688</v>
      </c>
      <c r="D345" s="246" t="s">
        <v>3974</v>
      </c>
      <c r="E345" s="246">
        <v>7</v>
      </c>
      <c r="F345" s="246" t="s">
        <v>2309</v>
      </c>
      <c r="G345" s="246" t="s">
        <v>2310</v>
      </c>
      <c r="H345" s="247">
        <v>40</v>
      </c>
      <c r="I345" s="246" t="s">
        <v>1232</v>
      </c>
      <c r="J345" s="247">
        <v>34</v>
      </c>
      <c r="K345" s="246" t="s">
        <v>2295</v>
      </c>
      <c r="L345" s="246" t="s">
        <v>2311</v>
      </c>
      <c r="M345" s="246">
        <v>5</v>
      </c>
      <c r="N345" s="246"/>
      <c r="O345" s="246" t="s">
        <v>3975</v>
      </c>
      <c r="P345" s="246" t="s">
        <v>6437</v>
      </c>
      <c r="Q345" s="246" t="s">
        <v>3972</v>
      </c>
      <c r="R345" s="248"/>
    </row>
    <row r="346" spans="1:18" x14ac:dyDescent="0.7">
      <c r="A346" s="246" t="s">
        <v>3976</v>
      </c>
      <c r="B346" s="246" t="s">
        <v>3977</v>
      </c>
      <c r="C346" s="246" t="s">
        <v>1689</v>
      </c>
      <c r="D346" s="246" t="s">
        <v>3978</v>
      </c>
      <c r="E346" s="246">
        <v>7</v>
      </c>
      <c r="F346" s="246" t="s">
        <v>2309</v>
      </c>
      <c r="G346" s="246" t="s">
        <v>2310</v>
      </c>
      <c r="H346" s="247">
        <v>40</v>
      </c>
      <c r="I346" s="246" t="s">
        <v>1232</v>
      </c>
      <c r="J346" s="247">
        <v>69</v>
      </c>
      <c r="K346" s="246" t="s">
        <v>2295</v>
      </c>
      <c r="L346" s="246" t="s">
        <v>2316</v>
      </c>
      <c r="M346" s="246">
        <v>10</v>
      </c>
      <c r="N346" s="246"/>
      <c r="O346" s="246" t="s">
        <v>3979</v>
      </c>
      <c r="P346" s="246" t="s">
        <v>6433</v>
      </c>
      <c r="Q346" s="246" t="s">
        <v>3976</v>
      </c>
      <c r="R346" s="248"/>
    </row>
    <row r="347" spans="1:18" x14ac:dyDescent="0.7">
      <c r="A347" s="246" t="s">
        <v>3980</v>
      </c>
      <c r="B347" s="246" t="s">
        <v>3981</v>
      </c>
      <c r="C347" s="246" t="s">
        <v>1690</v>
      </c>
      <c r="D347" s="246" t="s">
        <v>3982</v>
      </c>
      <c r="E347" s="246">
        <v>7</v>
      </c>
      <c r="F347" s="246" t="s">
        <v>2309</v>
      </c>
      <c r="G347" s="246" t="s">
        <v>2310</v>
      </c>
      <c r="H347" s="247">
        <v>40</v>
      </c>
      <c r="I347" s="246" t="s">
        <v>1232</v>
      </c>
      <c r="J347" s="247">
        <v>70</v>
      </c>
      <c r="K347" s="246" t="s">
        <v>2295</v>
      </c>
      <c r="L347" s="246" t="s">
        <v>2316</v>
      </c>
      <c r="M347" s="246">
        <v>10</v>
      </c>
      <c r="N347" s="246"/>
      <c r="O347" s="246" t="s">
        <v>3983</v>
      </c>
      <c r="P347" s="246" t="s">
        <v>6433</v>
      </c>
      <c r="Q347" s="246" t="s">
        <v>3980</v>
      </c>
      <c r="R347" s="248"/>
    </row>
    <row r="348" spans="1:18" x14ac:dyDescent="0.7">
      <c r="A348" s="246" t="s">
        <v>3984</v>
      </c>
      <c r="B348" s="246" t="s">
        <v>3985</v>
      </c>
      <c r="C348" s="246" t="s">
        <v>1691</v>
      </c>
      <c r="D348" s="246" t="s">
        <v>3986</v>
      </c>
      <c r="E348" s="246">
        <v>7</v>
      </c>
      <c r="F348" s="246" t="s">
        <v>2309</v>
      </c>
      <c r="G348" s="246" t="s">
        <v>2310</v>
      </c>
      <c r="H348" s="247">
        <v>40</v>
      </c>
      <c r="I348" s="246" t="s">
        <v>1232</v>
      </c>
      <c r="J348" s="247">
        <v>85</v>
      </c>
      <c r="K348" s="246" t="s">
        <v>2295</v>
      </c>
      <c r="L348" s="246" t="s">
        <v>2316</v>
      </c>
      <c r="M348" s="246">
        <v>10</v>
      </c>
      <c r="N348" s="246"/>
      <c r="O348" s="246" t="s">
        <v>3987</v>
      </c>
      <c r="P348" s="246" t="s">
        <v>6433</v>
      </c>
      <c r="Q348" s="246" t="s">
        <v>3984</v>
      </c>
      <c r="R348" s="248"/>
    </row>
    <row r="349" spans="1:18" x14ac:dyDescent="0.7">
      <c r="A349" s="246" t="s">
        <v>3988</v>
      </c>
      <c r="B349" s="246" t="s">
        <v>3989</v>
      </c>
      <c r="C349" s="246" t="s">
        <v>1692</v>
      </c>
      <c r="D349" s="246" t="s">
        <v>3990</v>
      </c>
      <c r="E349" s="246">
        <v>7</v>
      </c>
      <c r="F349" s="246" t="s">
        <v>2309</v>
      </c>
      <c r="G349" s="246" t="s">
        <v>2310</v>
      </c>
      <c r="H349" s="247">
        <v>40</v>
      </c>
      <c r="I349" s="246" t="s">
        <v>1232</v>
      </c>
      <c r="J349" s="247">
        <v>35</v>
      </c>
      <c r="K349" s="246" t="s">
        <v>2295</v>
      </c>
      <c r="L349" s="246" t="s">
        <v>2311</v>
      </c>
      <c r="M349" s="246">
        <v>6</v>
      </c>
      <c r="N349" s="246"/>
      <c r="O349" s="246" t="s">
        <v>3991</v>
      </c>
      <c r="P349" s="246" t="s">
        <v>6436</v>
      </c>
      <c r="Q349" s="246" t="s">
        <v>3988</v>
      </c>
      <c r="R349" s="248"/>
    </row>
    <row r="350" spans="1:18" x14ac:dyDescent="0.7">
      <c r="A350" s="246" t="s">
        <v>3992</v>
      </c>
      <c r="B350" s="246" t="s">
        <v>3993</v>
      </c>
      <c r="C350" s="246" t="s">
        <v>1693</v>
      </c>
      <c r="D350" s="246" t="s">
        <v>3994</v>
      </c>
      <c r="E350" s="246">
        <v>7</v>
      </c>
      <c r="F350" s="246" t="s">
        <v>2309</v>
      </c>
      <c r="G350" s="246" t="s">
        <v>2310</v>
      </c>
      <c r="H350" s="247">
        <v>40</v>
      </c>
      <c r="I350" s="246" t="s">
        <v>1232</v>
      </c>
      <c r="J350" s="247">
        <v>45</v>
      </c>
      <c r="K350" s="246" t="s">
        <v>2295</v>
      </c>
      <c r="L350" s="246" t="s">
        <v>2311</v>
      </c>
      <c r="M350" s="246">
        <v>5</v>
      </c>
      <c r="N350" s="246"/>
      <c r="O350" s="246" t="s">
        <v>3995</v>
      </c>
      <c r="P350" s="246" t="s">
        <v>6437</v>
      </c>
      <c r="Q350" s="246" t="s">
        <v>3992</v>
      </c>
      <c r="R350" s="248"/>
    </row>
    <row r="351" spans="1:18" x14ac:dyDescent="0.7">
      <c r="A351" s="246" t="s">
        <v>3996</v>
      </c>
      <c r="B351" s="246" t="s">
        <v>3997</v>
      </c>
      <c r="C351" s="246" t="s">
        <v>1694</v>
      </c>
      <c r="D351" s="246" t="s">
        <v>3998</v>
      </c>
      <c r="E351" s="246">
        <v>7</v>
      </c>
      <c r="F351" s="246" t="s">
        <v>2309</v>
      </c>
      <c r="G351" s="246" t="s">
        <v>2310</v>
      </c>
      <c r="H351" s="247">
        <v>40</v>
      </c>
      <c r="I351" s="246" t="s">
        <v>1232</v>
      </c>
      <c r="J351" s="247">
        <v>33</v>
      </c>
      <c r="K351" s="246" t="s">
        <v>2295</v>
      </c>
      <c r="L351" s="246" t="s">
        <v>2311</v>
      </c>
      <c r="M351" s="246">
        <v>5</v>
      </c>
      <c r="N351" s="246"/>
      <c r="O351" s="246" t="s">
        <v>3999</v>
      </c>
      <c r="P351" s="246" t="s">
        <v>6437</v>
      </c>
      <c r="Q351" s="246" t="s">
        <v>3996</v>
      </c>
      <c r="R351" s="248"/>
    </row>
    <row r="352" spans="1:18" x14ac:dyDescent="0.7">
      <c r="A352" s="246" t="s">
        <v>4283</v>
      </c>
      <c r="B352" s="246" t="s">
        <v>4284</v>
      </c>
      <c r="C352" s="246" t="s">
        <v>1790</v>
      </c>
      <c r="D352" s="246" t="s">
        <v>4285</v>
      </c>
      <c r="E352" s="246">
        <v>8</v>
      </c>
      <c r="F352" s="246" t="s">
        <v>2309</v>
      </c>
      <c r="G352" s="246" t="s">
        <v>2310</v>
      </c>
      <c r="H352" s="247">
        <v>41</v>
      </c>
      <c r="I352" s="246" t="s">
        <v>1241</v>
      </c>
      <c r="J352" s="247">
        <v>52</v>
      </c>
      <c r="K352" s="246" t="s">
        <v>2303</v>
      </c>
      <c r="L352" s="246" t="s">
        <v>2311</v>
      </c>
      <c r="M352" s="246">
        <v>6</v>
      </c>
      <c r="N352" s="246"/>
      <c r="O352" s="246" t="s">
        <v>4286</v>
      </c>
      <c r="P352" s="246" t="s">
        <v>6436</v>
      </c>
      <c r="Q352" s="246" t="s">
        <v>4283</v>
      </c>
      <c r="R352" s="248"/>
    </row>
    <row r="353" spans="1:18" x14ac:dyDescent="0.7">
      <c r="A353" s="246" t="s">
        <v>4287</v>
      </c>
      <c r="B353" s="246" t="s">
        <v>4288</v>
      </c>
      <c r="C353" s="246" t="s">
        <v>1791</v>
      </c>
      <c r="D353" s="246" t="s">
        <v>4289</v>
      </c>
      <c r="E353" s="246">
        <v>8</v>
      </c>
      <c r="F353" s="246" t="s">
        <v>2309</v>
      </c>
      <c r="G353" s="246" t="s">
        <v>2310</v>
      </c>
      <c r="H353" s="247">
        <v>41</v>
      </c>
      <c r="I353" s="246" t="s">
        <v>1241</v>
      </c>
      <c r="J353" s="247">
        <v>60</v>
      </c>
      <c r="K353" s="246" t="s">
        <v>2303</v>
      </c>
      <c r="L353" s="246" t="s">
        <v>2311</v>
      </c>
      <c r="M353" s="246">
        <v>6</v>
      </c>
      <c r="N353" s="246"/>
      <c r="O353" s="246" t="s">
        <v>4290</v>
      </c>
      <c r="P353" s="246" t="s">
        <v>6436</v>
      </c>
      <c r="Q353" s="246" t="s">
        <v>4287</v>
      </c>
      <c r="R353" s="248"/>
    </row>
    <row r="354" spans="1:18" x14ac:dyDescent="0.7">
      <c r="A354" s="246" t="s">
        <v>4291</v>
      </c>
      <c r="B354" s="246" t="s">
        <v>4292</v>
      </c>
      <c r="C354" s="246" t="s">
        <v>2151</v>
      </c>
      <c r="D354" s="246" t="s">
        <v>4293</v>
      </c>
      <c r="E354" s="246">
        <v>8</v>
      </c>
      <c r="F354" s="246" t="s">
        <v>2301</v>
      </c>
      <c r="G354" s="246" t="s">
        <v>2302</v>
      </c>
      <c r="H354" s="247">
        <v>41</v>
      </c>
      <c r="I354" s="246" t="s">
        <v>1241</v>
      </c>
      <c r="J354" s="247">
        <v>234</v>
      </c>
      <c r="K354" s="246" t="s">
        <v>2303</v>
      </c>
      <c r="L354" s="246" t="s">
        <v>2304</v>
      </c>
      <c r="M354" s="246">
        <v>15</v>
      </c>
      <c r="N354" s="246"/>
      <c r="O354" s="246" t="s">
        <v>4294</v>
      </c>
      <c r="P354" s="246" t="s">
        <v>6429</v>
      </c>
      <c r="Q354" s="246" t="s">
        <v>4291</v>
      </c>
      <c r="R354" s="248"/>
    </row>
    <row r="355" spans="1:18" x14ac:dyDescent="0.7">
      <c r="A355" s="246" t="s">
        <v>4295</v>
      </c>
      <c r="B355" s="246" t="s">
        <v>4296</v>
      </c>
      <c r="C355" s="246" t="s">
        <v>1792</v>
      </c>
      <c r="D355" s="246" t="s">
        <v>4297</v>
      </c>
      <c r="E355" s="246">
        <v>8</v>
      </c>
      <c r="F355" s="246" t="s">
        <v>2309</v>
      </c>
      <c r="G355" s="246" t="s">
        <v>2310</v>
      </c>
      <c r="H355" s="247">
        <v>41</v>
      </c>
      <c r="I355" s="246" t="s">
        <v>1241</v>
      </c>
      <c r="J355" s="247">
        <v>8</v>
      </c>
      <c r="K355" s="246" t="s">
        <v>2303</v>
      </c>
      <c r="L355" s="246" t="s">
        <v>2398</v>
      </c>
      <c r="M355" s="246">
        <v>2</v>
      </c>
      <c r="N355" s="246"/>
      <c r="O355" s="246" t="s">
        <v>4298</v>
      </c>
      <c r="P355" s="246" t="s">
        <v>6424</v>
      </c>
      <c r="Q355" s="246" t="s">
        <v>4295</v>
      </c>
      <c r="R355" s="248"/>
    </row>
    <row r="356" spans="1:18" x14ac:dyDescent="0.7">
      <c r="A356" s="246" t="s">
        <v>4299</v>
      </c>
      <c r="B356" s="246" t="s">
        <v>4300</v>
      </c>
      <c r="C356" s="246" t="s">
        <v>1793</v>
      </c>
      <c r="D356" s="246" t="s">
        <v>4301</v>
      </c>
      <c r="E356" s="246">
        <v>8</v>
      </c>
      <c r="F356" s="246" t="s">
        <v>2309</v>
      </c>
      <c r="G356" s="246" t="s">
        <v>2310</v>
      </c>
      <c r="H356" s="247">
        <v>41</v>
      </c>
      <c r="I356" s="246" t="s">
        <v>1241</v>
      </c>
      <c r="J356" s="247">
        <v>40</v>
      </c>
      <c r="K356" s="246" t="s">
        <v>2303</v>
      </c>
      <c r="L356" s="246" t="s">
        <v>2311</v>
      </c>
      <c r="M356" s="246">
        <v>6</v>
      </c>
      <c r="N356" s="246"/>
      <c r="O356" s="246" t="s">
        <v>4302</v>
      </c>
      <c r="P356" s="246" t="s">
        <v>6436</v>
      </c>
      <c r="Q356" s="246" t="s">
        <v>4299</v>
      </c>
      <c r="R356" s="248"/>
    </row>
    <row r="357" spans="1:18" x14ac:dyDescent="0.7">
      <c r="A357" s="246" t="s">
        <v>4303</v>
      </c>
      <c r="B357" s="246" t="s">
        <v>4304</v>
      </c>
      <c r="C357" s="246" t="s">
        <v>1794</v>
      </c>
      <c r="D357" s="246" t="s">
        <v>4305</v>
      </c>
      <c r="E357" s="246">
        <v>8</v>
      </c>
      <c r="F357" s="246" t="s">
        <v>2309</v>
      </c>
      <c r="G357" s="246" t="s">
        <v>2310</v>
      </c>
      <c r="H357" s="247">
        <v>41</v>
      </c>
      <c r="I357" s="246" t="s">
        <v>1241</v>
      </c>
      <c r="J357" s="247">
        <v>173</v>
      </c>
      <c r="K357" s="246" t="s">
        <v>2303</v>
      </c>
      <c r="L357" s="246" t="s">
        <v>2345</v>
      </c>
      <c r="M357" s="246">
        <v>13</v>
      </c>
      <c r="N357" s="246"/>
      <c r="O357" s="246" t="s">
        <v>4306</v>
      </c>
      <c r="P357" s="246" t="s">
        <v>6432</v>
      </c>
      <c r="Q357" s="246" t="s">
        <v>4303</v>
      </c>
      <c r="R357" s="248"/>
    </row>
    <row r="358" spans="1:18" x14ac:dyDescent="0.7">
      <c r="A358" s="246" t="s">
        <v>4307</v>
      </c>
      <c r="B358" s="246" t="s">
        <v>4308</v>
      </c>
      <c r="C358" s="246" t="s">
        <v>1795</v>
      </c>
      <c r="D358" s="246" t="s">
        <v>4309</v>
      </c>
      <c r="E358" s="246">
        <v>8</v>
      </c>
      <c r="F358" s="246" t="s">
        <v>2309</v>
      </c>
      <c r="G358" s="246" t="s">
        <v>2310</v>
      </c>
      <c r="H358" s="247">
        <v>41</v>
      </c>
      <c r="I358" s="246" t="s">
        <v>1241</v>
      </c>
      <c r="J358" s="247">
        <v>30</v>
      </c>
      <c r="K358" s="246" t="s">
        <v>2303</v>
      </c>
      <c r="L358" s="246" t="s">
        <v>2311</v>
      </c>
      <c r="M358" s="246">
        <v>5</v>
      </c>
      <c r="N358" s="246"/>
      <c r="O358" s="246" t="s">
        <v>4310</v>
      </c>
      <c r="P358" s="246" t="s">
        <v>6437</v>
      </c>
      <c r="Q358" s="246" t="s">
        <v>4307</v>
      </c>
      <c r="R358" s="248"/>
    </row>
    <row r="359" spans="1:18" x14ac:dyDescent="0.7">
      <c r="A359" s="246" t="s">
        <v>4311</v>
      </c>
      <c r="B359" s="246" t="s">
        <v>4312</v>
      </c>
      <c r="C359" s="246" t="s">
        <v>1796</v>
      </c>
      <c r="D359" s="246" t="s">
        <v>4313</v>
      </c>
      <c r="E359" s="246">
        <v>8</v>
      </c>
      <c r="F359" s="246" t="s">
        <v>2309</v>
      </c>
      <c r="G359" s="246" t="s">
        <v>2310</v>
      </c>
      <c r="H359" s="247">
        <v>41</v>
      </c>
      <c r="I359" s="246" t="s">
        <v>1241</v>
      </c>
      <c r="J359" s="247">
        <v>30</v>
      </c>
      <c r="K359" s="246" t="s">
        <v>2303</v>
      </c>
      <c r="L359" s="246" t="s">
        <v>2311</v>
      </c>
      <c r="M359" s="246">
        <v>5</v>
      </c>
      <c r="N359" s="246"/>
      <c r="O359" s="246" t="s">
        <v>4314</v>
      </c>
      <c r="P359" s="246" t="s">
        <v>6437</v>
      </c>
      <c r="Q359" s="246" t="s">
        <v>4311</v>
      </c>
      <c r="R359" s="248"/>
    </row>
    <row r="360" spans="1:18" x14ac:dyDescent="0.7">
      <c r="A360" s="246" t="s">
        <v>4315</v>
      </c>
      <c r="B360" s="246" t="s">
        <v>4316</v>
      </c>
      <c r="C360" s="246" t="s">
        <v>1797</v>
      </c>
      <c r="D360" s="246" t="s">
        <v>4317</v>
      </c>
      <c r="E360" s="246">
        <v>8</v>
      </c>
      <c r="F360" s="246" t="s">
        <v>2309</v>
      </c>
      <c r="G360" s="246" t="s">
        <v>2310</v>
      </c>
      <c r="H360" s="247">
        <v>41</v>
      </c>
      <c r="I360" s="246" t="s">
        <v>1241</v>
      </c>
      <c r="J360" s="247">
        <v>36</v>
      </c>
      <c r="K360" s="246" t="s">
        <v>2303</v>
      </c>
      <c r="L360" s="246" t="s">
        <v>2311</v>
      </c>
      <c r="M360" s="246">
        <v>6</v>
      </c>
      <c r="N360" s="246"/>
      <c r="O360" s="246" t="s">
        <v>4318</v>
      </c>
      <c r="P360" s="246" t="s">
        <v>6436</v>
      </c>
      <c r="Q360" s="246" t="s">
        <v>4315</v>
      </c>
      <c r="R360" s="248"/>
    </row>
    <row r="361" spans="1:18" x14ac:dyDescent="0.7">
      <c r="A361" s="246" t="s">
        <v>4319</v>
      </c>
      <c r="B361" s="246" t="s">
        <v>4320</v>
      </c>
      <c r="C361" s="246" t="s">
        <v>1798</v>
      </c>
      <c r="D361" s="246" t="s">
        <v>4321</v>
      </c>
      <c r="E361" s="246">
        <v>8</v>
      </c>
      <c r="F361" s="246" t="s">
        <v>2309</v>
      </c>
      <c r="G361" s="246" t="s">
        <v>2310</v>
      </c>
      <c r="H361" s="247">
        <v>41</v>
      </c>
      <c r="I361" s="246" t="s">
        <v>1241</v>
      </c>
      <c r="J361" s="247">
        <v>55</v>
      </c>
      <c r="K361" s="246" t="s">
        <v>2303</v>
      </c>
      <c r="L361" s="246" t="s">
        <v>2311</v>
      </c>
      <c r="M361" s="246">
        <v>6</v>
      </c>
      <c r="N361" s="246"/>
      <c r="O361" s="246" t="s">
        <v>4322</v>
      </c>
      <c r="P361" s="246" t="s">
        <v>6436</v>
      </c>
      <c r="Q361" s="246" t="s">
        <v>4319</v>
      </c>
      <c r="R361" s="248"/>
    </row>
    <row r="362" spans="1:18" x14ac:dyDescent="0.7">
      <c r="A362" s="246" t="s">
        <v>4323</v>
      </c>
      <c r="B362" s="246" t="s">
        <v>4324</v>
      </c>
      <c r="C362" s="246" t="s">
        <v>1799</v>
      </c>
      <c r="D362" s="246" t="s">
        <v>4325</v>
      </c>
      <c r="E362" s="246">
        <v>8</v>
      </c>
      <c r="F362" s="246" t="s">
        <v>2309</v>
      </c>
      <c r="G362" s="246" t="s">
        <v>2310</v>
      </c>
      <c r="H362" s="247">
        <v>41</v>
      </c>
      <c r="I362" s="246" t="s">
        <v>1241</v>
      </c>
      <c r="J362" s="247">
        <v>114</v>
      </c>
      <c r="K362" s="246" t="s">
        <v>2303</v>
      </c>
      <c r="L362" s="246" t="s">
        <v>2345</v>
      </c>
      <c r="M362" s="246">
        <v>13</v>
      </c>
      <c r="N362" s="246"/>
      <c r="O362" s="246" t="s">
        <v>4326</v>
      </c>
      <c r="P362" s="246" t="s">
        <v>6432</v>
      </c>
      <c r="Q362" s="246" t="s">
        <v>4323</v>
      </c>
      <c r="R362" s="248"/>
    </row>
    <row r="363" spans="1:18" x14ac:dyDescent="0.7">
      <c r="A363" s="246" t="s">
        <v>4327</v>
      </c>
      <c r="B363" s="246" t="s">
        <v>4328</v>
      </c>
      <c r="C363" s="246" t="s">
        <v>1800</v>
      </c>
      <c r="D363" s="246" t="s">
        <v>4329</v>
      </c>
      <c r="E363" s="246">
        <v>8</v>
      </c>
      <c r="F363" s="246" t="s">
        <v>2309</v>
      </c>
      <c r="G363" s="246" t="s">
        <v>2310</v>
      </c>
      <c r="H363" s="247">
        <v>41</v>
      </c>
      <c r="I363" s="246" t="s">
        <v>1241</v>
      </c>
      <c r="J363" s="247">
        <v>88</v>
      </c>
      <c r="K363" s="246" t="s">
        <v>2303</v>
      </c>
      <c r="L363" s="246" t="s">
        <v>2311</v>
      </c>
      <c r="M363" s="246">
        <v>6</v>
      </c>
      <c r="N363" s="246"/>
      <c r="O363" s="246" t="s">
        <v>4330</v>
      </c>
      <c r="P363" s="246" t="s">
        <v>6436</v>
      </c>
      <c r="Q363" s="246" t="s">
        <v>4327</v>
      </c>
      <c r="R363" s="248"/>
    </row>
    <row r="364" spans="1:18" x14ac:dyDescent="0.7">
      <c r="A364" s="246" t="s">
        <v>4331</v>
      </c>
      <c r="B364" s="246" t="s">
        <v>4332</v>
      </c>
      <c r="C364" s="246" t="s">
        <v>1801</v>
      </c>
      <c r="D364" s="246" t="s">
        <v>4333</v>
      </c>
      <c r="E364" s="246">
        <v>8</v>
      </c>
      <c r="F364" s="246" t="s">
        <v>2309</v>
      </c>
      <c r="G364" s="246" t="s">
        <v>2310</v>
      </c>
      <c r="H364" s="247">
        <v>41</v>
      </c>
      <c r="I364" s="246" t="s">
        <v>1241</v>
      </c>
      <c r="J364" s="247">
        <v>114</v>
      </c>
      <c r="K364" s="246" t="s">
        <v>2303</v>
      </c>
      <c r="L364" s="246" t="s">
        <v>2345</v>
      </c>
      <c r="M364" s="246">
        <v>13</v>
      </c>
      <c r="N364" s="246"/>
      <c r="O364" s="246" t="s">
        <v>4334</v>
      </c>
      <c r="P364" s="246" t="s">
        <v>6432</v>
      </c>
      <c r="Q364" s="246" t="s">
        <v>4331</v>
      </c>
      <c r="R364" s="248"/>
    </row>
    <row r="365" spans="1:18" x14ac:dyDescent="0.7">
      <c r="A365" s="246" t="s">
        <v>4335</v>
      </c>
      <c r="B365" s="246" t="s">
        <v>4336</v>
      </c>
      <c r="C365" s="246" t="s">
        <v>1802</v>
      </c>
      <c r="D365" s="246" t="s">
        <v>4337</v>
      </c>
      <c r="E365" s="246">
        <v>8</v>
      </c>
      <c r="F365" s="246" t="s">
        <v>2309</v>
      </c>
      <c r="G365" s="246" t="s">
        <v>2310</v>
      </c>
      <c r="H365" s="247">
        <v>41</v>
      </c>
      <c r="I365" s="246" t="s">
        <v>1241</v>
      </c>
      <c r="J365" s="247">
        <v>30</v>
      </c>
      <c r="K365" s="246" t="s">
        <v>2303</v>
      </c>
      <c r="L365" s="246" t="s">
        <v>2311</v>
      </c>
      <c r="M365" s="246">
        <v>5</v>
      </c>
      <c r="N365" s="246"/>
      <c r="O365" s="246" t="s">
        <v>4338</v>
      </c>
      <c r="P365" s="246" t="s">
        <v>6437</v>
      </c>
      <c r="Q365" s="246" t="s">
        <v>4335</v>
      </c>
      <c r="R365" s="248"/>
    </row>
    <row r="366" spans="1:18" x14ac:dyDescent="0.7">
      <c r="A366" s="246" t="s">
        <v>4339</v>
      </c>
      <c r="B366" s="246" t="s">
        <v>4340</v>
      </c>
      <c r="C366" s="246" t="s">
        <v>1803</v>
      </c>
      <c r="D366" s="246" t="s">
        <v>4341</v>
      </c>
      <c r="E366" s="246">
        <v>8</v>
      </c>
      <c r="F366" s="246" t="s">
        <v>2309</v>
      </c>
      <c r="G366" s="246" t="s">
        <v>2310</v>
      </c>
      <c r="H366" s="247">
        <v>41</v>
      </c>
      <c r="I366" s="246" t="s">
        <v>1241</v>
      </c>
      <c r="J366" s="247">
        <v>30</v>
      </c>
      <c r="K366" s="246" t="s">
        <v>2303</v>
      </c>
      <c r="L366" s="246" t="s">
        <v>2311</v>
      </c>
      <c r="M366" s="246">
        <v>5</v>
      </c>
      <c r="N366" s="246"/>
      <c r="O366" s="246" t="s">
        <v>4342</v>
      </c>
      <c r="P366" s="246" t="s">
        <v>6437</v>
      </c>
      <c r="Q366" s="246" t="s">
        <v>4339</v>
      </c>
      <c r="R366" s="248"/>
    </row>
    <row r="367" spans="1:18" x14ac:dyDescent="0.7">
      <c r="A367" s="246" t="s">
        <v>4343</v>
      </c>
      <c r="B367" s="246" t="s">
        <v>4344</v>
      </c>
      <c r="C367" s="246" t="s">
        <v>1804</v>
      </c>
      <c r="D367" s="246" t="s">
        <v>4345</v>
      </c>
      <c r="E367" s="246">
        <v>8</v>
      </c>
      <c r="F367" s="246" t="s">
        <v>2309</v>
      </c>
      <c r="G367" s="246" t="s">
        <v>2310</v>
      </c>
      <c r="H367" s="247">
        <v>41</v>
      </c>
      <c r="I367" s="246" t="s">
        <v>1241</v>
      </c>
      <c r="J367" s="247">
        <v>36</v>
      </c>
      <c r="K367" s="246" t="s">
        <v>2303</v>
      </c>
      <c r="L367" s="246" t="s">
        <v>2311</v>
      </c>
      <c r="M367" s="246">
        <v>5</v>
      </c>
      <c r="N367" s="246"/>
      <c r="O367" s="246" t="s">
        <v>4346</v>
      </c>
      <c r="P367" s="246" t="s">
        <v>6437</v>
      </c>
      <c r="Q367" s="246" t="s">
        <v>4343</v>
      </c>
      <c r="R367" s="248"/>
    </row>
    <row r="368" spans="1:18" x14ac:dyDescent="0.7">
      <c r="A368" s="246" t="s">
        <v>4347</v>
      </c>
      <c r="B368" s="246" t="s">
        <v>4348</v>
      </c>
      <c r="C368" s="246" t="s">
        <v>1805</v>
      </c>
      <c r="D368" s="246" t="s">
        <v>4349</v>
      </c>
      <c r="E368" s="246">
        <v>8</v>
      </c>
      <c r="F368" s="246" t="s">
        <v>2309</v>
      </c>
      <c r="G368" s="246" t="s">
        <v>2310</v>
      </c>
      <c r="H368" s="247">
        <v>41</v>
      </c>
      <c r="I368" s="246" t="s">
        <v>1241</v>
      </c>
      <c r="J368" s="247">
        <v>30</v>
      </c>
      <c r="K368" s="246" t="s">
        <v>2303</v>
      </c>
      <c r="L368" s="246" t="s">
        <v>2311</v>
      </c>
      <c r="M368" s="246">
        <v>5</v>
      </c>
      <c r="N368" s="246"/>
      <c r="O368" s="246" t="s">
        <v>4350</v>
      </c>
      <c r="P368" s="246" t="s">
        <v>6437</v>
      </c>
      <c r="Q368" s="246" t="s">
        <v>4347</v>
      </c>
      <c r="R368" s="248"/>
    </row>
    <row r="369" spans="1:18" x14ac:dyDescent="0.7">
      <c r="A369" s="246" t="s">
        <v>4364</v>
      </c>
      <c r="B369" s="246" t="s">
        <v>4365</v>
      </c>
      <c r="C369" s="246" t="s">
        <v>1748</v>
      </c>
      <c r="D369" s="246" t="s">
        <v>4366</v>
      </c>
      <c r="E369" s="246">
        <v>8</v>
      </c>
      <c r="F369" s="246" t="s">
        <v>2309</v>
      </c>
      <c r="G369" s="246" t="s">
        <v>2310</v>
      </c>
      <c r="H369" s="247">
        <v>42</v>
      </c>
      <c r="I369" s="246" t="s">
        <v>1237</v>
      </c>
      <c r="J369" s="247">
        <v>40</v>
      </c>
      <c r="K369" s="246" t="s">
        <v>2295</v>
      </c>
      <c r="L369" s="246" t="s">
        <v>2311</v>
      </c>
      <c r="M369" s="246">
        <v>5</v>
      </c>
      <c r="N369" s="246"/>
      <c r="O369" s="246" t="s">
        <v>4367</v>
      </c>
      <c r="P369" s="246" t="s">
        <v>6437</v>
      </c>
      <c r="Q369" s="246" t="s">
        <v>4364</v>
      </c>
      <c r="R369" s="248"/>
    </row>
    <row r="370" spans="1:18" x14ac:dyDescent="0.7">
      <c r="A370" s="246" t="s">
        <v>4368</v>
      </c>
      <c r="B370" s="246" t="s">
        <v>4369</v>
      </c>
      <c r="C370" s="246" t="s">
        <v>1749</v>
      </c>
      <c r="D370" s="246" t="s">
        <v>4370</v>
      </c>
      <c r="E370" s="246">
        <v>8</v>
      </c>
      <c r="F370" s="246" t="s">
        <v>2309</v>
      </c>
      <c r="G370" s="246" t="s">
        <v>2310</v>
      </c>
      <c r="H370" s="247">
        <v>42</v>
      </c>
      <c r="I370" s="246" t="s">
        <v>1237</v>
      </c>
      <c r="J370" s="247">
        <v>59</v>
      </c>
      <c r="K370" s="246" t="s">
        <v>2295</v>
      </c>
      <c r="L370" s="246" t="s">
        <v>2311</v>
      </c>
      <c r="M370" s="246">
        <v>6</v>
      </c>
      <c r="N370" s="246"/>
      <c r="O370" s="246" t="s">
        <v>4371</v>
      </c>
      <c r="P370" s="246" t="s">
        <v>6436</v>
      </c>
      <c r="Q370" s="246" t="s">
        <v>4368</v>
      </c>
      <c r="R370" s="248"/>
    </row>
    <row r="371" spans="1:18" x14ac:dyDescent="0.7">
      <c r="A371" s="246" t="s">
        <v>4372</v>
      </c>
      <c r="B371" s="246" t="s">
        <v>4373</v>
      </c>
      <c r="C371" s="246" t="s">
        <v>1750</v>
      </c>
      <c r="D371" s="246" t="s">
        <v>4374</v>
      </c>
      <c r="E371" s="246">
        <v>8</v>
      </c>
      <c r="F371" s="246" t="s">
        <v>2309</v>
      </c>
      <c r="G371" s="246" t="s">
        <v>2310</v>
      </c>
      <c r="H371" s="247">
        <v>42</v>
      </c>
      <c r="I371" s="246" t="s">
        <v>1237</v>
      </c>
      <c r="J371" s="247">
        <v>34</v>
      </c>
      <c r="K371" s="246" t="s">
        <v>2295</v>
      </c>
      <c r="L371" s="246" t="s">
        <v>2311</v>
      </c>
      <c r="M371" s="246">
        <v>6</v>
      </c>
      <c r="N371" s="246"/>
      <c r="O371" s="246" t="s">
        <v>4375</v>
      </c>
      <c r="P371" s="246" t="s">
        <v>6436</v>
      </c>
      <c r="Q371" s="246" t="s">
        <v>4372</v>
      </c>
      <c r="R371" s="248"/>
    </row>
    <row r="372" spans="1:18" x14ac:dyDescent="0.7">
      <c r="A372" s="246" t="s">
        <v>4376</v>
      </c>
      <c r="B372" s="246" t="s">
        <v>4377</v>
      </c>
      <c r="C372" s="246" t="s">
        <v>1751</v>
      </c>
      <c r="D372" s="246" t="s">
        <v>4378</v>
      </c>
      <c r="E372" s="246">
        <v>8</v>
      </c>
      <c r="F372" s="246" t="s">
        <v>2309</v>
      </c>
      <c r="G372" s="246" t="s">
        <v>2310</v>
      </c>
      <c r="H372" s="247">
        <v>42</v>
      </c>
      <c r="I372" s="246" t="s">
        <v>1237</v>
      </c>
      <c r="J372" s="247">
        <v>30</v>
      </c>
      <c r="K372" s="246" t="s">
        <v>2295</v>
      </c>
      <c r="L372" s="246" t="s">
        <v>2398</v>
      </c>
      <c r="M372" s="246">
        <v>2</v>
      </c>
      <c r="N372" s="246"/>
      <c r="O372" s="246" t="s">
        <v>4379</v>
      </c>
      <c r="P372" s="246" t="s">
        <v>6424</v>
      </c>
      <c r="Q372" s="246" t="s">
        <v>4376</v>
      </c>
      <c r="R372" s="248"/>
    </row>
    <row r="373" spans="1:18" x14ac:dyDescent="0.7">
      <c r="A373" s="246" t="s">
        <v>4380</v>
      </c>
      <c r="B373" s="246" t="s">
        <v>4381</v>
      </c>
      <c r="C373" s="246" t="s">
        <v>1752</v>
      </c>
      <c r="D373" s="246" t="s">
        <v>4382</v>
      </c>
      <c r="E373" s="246">
        <v>8</v>
      </c>
      <c r="F373" s="246" t="s">
        <v>2309</v>
      </c>
      <c r="G373" s="246" t="s">
        <v>2310</v>
      </c>
      <c r="H373" s="247">
        <v>42</v>
      </c>
      <c r="I373" s="246" t="s">
        <v>1237</v>
      </c>
      <c r="J373" s="247">
        <v>32</v>
      </c>
      <c r="K373" s="246" t="s">
        <v>2295</v>
      </c>
      <c r="L373" s="246" t="s">
        <v>2311</v>
      </c>
      <c r="M373" s="246">
        <v>5</v>
      </c>
      <c r="N373" s="246"/>
      <c r="O373" s="246" t="s">
        <v>4383</v>
      </c>
      <c r="P373" s="246" t="s">
        <v>6437</v>
      </c>
      <c r="Q373" s="246" t="s">
        <v>4380</v>
      </c>
      <c r="R373" s="248"/>
    </row>
    <row r="374" spans="1:18" x14ac:dyDescent="0.7">
      <c r="A374" s="246" t="s">
        <v>4384</v>
      </c>
      <c r="B374" s="246" t="s">
        <v>4385</v>
      </c>
      <c r="C374" s="246" t="s">
        <v>1753</v>
      </c>
      <c r="D374" s="246" t="s">
        <v>4386</v>
      </c>
      <c r="E374" s="246">
        <v>8</v>
      </c>
      <c r="F374" s="246" t="s">
        <v>2309</v>
      </c>
      <c r="G374" s="246" t="s">
        <v>2310</v>
      </c>
      <c r="H374" s="247">
        <v>42</v>
      </c>
      <c r="I374" s="246" t="s">
        <v>1237</v>
      </c>
      <c r="J374" s="247">
        <v>45</v>
      </c>
      <c r="K374" s="246" t="s">
        <v>2295</v>
      </c>
      <c r="L374" s="246" t="s">
        <v>2311</v>
      </c>
      <c r="M374" s="246">
        <v>5</v>
      </c>
      <c r="N374" s="246"/>
      <c r="O374" s="246" t="s">
        <v>4387</v>
      </c>
      <c r="P374" s="246" t="s">
        <v>6437</v>
      </c>
      <c r="Q374" s="246" t="s">
        <v>4384</v>
      </c>
      <c r="R374" s="248"/>
    </row>
    <row r="375" spans="1:18" x14ac:dyDescent="0.7">
      <c r="A375" s="246" t="s">
        <v>4388</v>
      </c>
      <c r="B375" s="246" t="s">
        <v>4389</v>
      </c>
      <c r="C375" s="246" t="s">
        <v>1754</v>
      </c>
      <c r="D375" s="246" t="s">
        <v>4390</v>
      </c>
      <c r="E375" s="246">
        <v>8</v>
      </c>
      <c r="F375" s="246" t="s">
        <v>2309</v>
      </c>
      <c r="G375" s="246" t="s">
        <v>2310</v>
      </c>
      <c r="H375" s="247">
        <v>42</v>
      </c>
      <c r="I375" s="246" t="s">
        <v>1237</v>
      </c>
      <c r="J375" s="247">
        <v>113</v>
      </c>
      <c r="K375" s="246" t="s">
        <v>2295</v>
      </c>
      <c r="L375" s="246" t="s">
        <v>2345</v>
      </c>
      <c r="M375" s="246">
        <v>13</v>
      </c>
      <c r="N375" s="246"/>
      <c r="O375" s="246" t="s">
        <v>4391</v>
      </c>
      <c r="P375" s="246" t="s">
        <v>6432</v>
      </c>
      <c r="Q375" s="246" t="s">
        <v>4388</v>
      </c>
      <c r="R375" s="248"/>
    </row>
    <row r="376" spans="1:18" x14ac:dyDescent="0.7">
      <c r="A376" s="246" t="s">
        <v>4392</v>
      </c>
      <c r="B376" s="246" t="s">
        <v>4393</v>
      </c>
      <c r="C376" s="246" t="s">
        <v>1755</v>
      </c>
      <c r="D376" s="246" t="s">
        <v>4394</v>
      </c>
      <c r="E376" s="246">
        <v>8</v>
      </c>
      <c r="F376" s="246" t="s">
        <v>2309</v>
      </c>
      <c r="G376" s="246" t="s">
        <v>2310</v>
      </c>
      <c r="H376" s="247">
        <v>42</v>
      </c>
      <c r="I376" s="246" t="s">
        <v>1237</v>
      </c>
      <c r="J376" s="247">
        <v>42</v>
      </c>
      <c r="K376" s="246" t="s">
        <v>2295</v>
      </c>
      <c r="L376" s="246" t="s">
        <v>2311</v>
      </c>
      <c r="M376" s="246">
        <v>5</v>
      </c>
      <c r="N376" s="246"/>
      <c r="O376" s="246" t="s">
        <v>4395</v>
      </c>
      <c r="P376" s="246" t="s">
        <v>6437</v>
      </c>
      <c r="Q376" s="246" t="s">
        <v>4392</v>
      </c>
      <c r="R376" s="248"/>
    </row>
    <row r="377" spans="1:18" x14ac:dyDescent="0.7">
      <c r="A377" s="246" t="s">
        <v>4396</v>
      </c>
      <c r="B377" s="246" t="s">
        <v>4397</v>
      </c>
      <c r="C377" s="246" t="s">
        <v>1756</v>
      </c>
      <c r="D377" s="246" t="s">
        <v>4398</v>
      </c>
      <c r="E377" s="246">
        <v>8</v>
      </c>
      <c r="F377" s="246" t="s">
        <v>2309</v>
      </c>
      <c r="G377" s="246" t="s">
        <v>2310</v>
      </c>
      <c r="H377" s="247">
        <v>42</v>
      </c>
      <c r="I377" s="246" t="s">
        <v>1237</v>
      </c>
      <c r="J377" s="247">
        <v>36</v>
      </c>
      <c r="K377" s="246" t="s">
        <v>2295</v>
      </c>
      <c r="L377" s="246" t="s">
        <v>2311</v>
      </c>
      <c r="M377" s="246">
        <v>5</v>
      </c>
      <c r="N377" s="246"/>
      <c r="O377" s="246" t="s">
        <v>4399</v>
      </c>
      <c r="P377" s="246" t="s">
        <v>6437</v>
      </c>
      <c r="Q377" s="246" t="s">
        <v>4396</v>
      </c>
      <c r="R377" s="248"/>
    </row>
    <row r="378" spans="1:18" x14ac:dyDescent="0.7">
      <c r="A378" s="246" t="s">
        <v>4400</v>
      </c>
      <c r="B378" s="246" t="s">
        <v>4401</v>
      </c>
      <c r="C378" s="246" t="s">
        <v>1757</v>
      </c>
      <c r="D378" s="246" t="s">
        <v>4402</v>
      </c>
      <c r="E378" s="246">
        <v>8</v>
      </c>
      <c r="F378" s="246" t="s">
        <v>2309</v>
      </c>
      <c r="G378" s="246" t="s">
        <v>2310</v>
      </c>
      <c r="H378" s="247">
        <v>42</v>
      </c>
      <c r="I378" s="246" t="s">
        <v>1237</v>
      </c>
      <c r="J378" s="247">
        <v>40</v>
      </c>
      <c r="K378" s="246" t="s">
        <v>2303</v>
      </c>
      <c r="L378" s="246" t="s">
        <v>2311</v>
      </c>
      <c r="M378" s="246">
        <v>6</v>
      </c>
      <c r="N378" s="246"/>
      <c r="O378" s="246" t="s">
        <v>4403</v>
      </c>
      <c r="P378" s="246" t="s">
        <v>6436</v>
      </c>
      <c r="Q378" s="246" t="s">
        <v>4400</v>
      </c>
      <c r="R378" s="248"/>
    </row>
    <row r="379" spans="1:18" x14ac:dyDescent="0.7">
      <c r="A379" s="246" t="s">
        <v>4226</v>
      </c>
      <c r="B379" s="246" t="s">
        <v>4227</v>
      </c>
      <c r="C379" s="246" t="s">
        <v>1739</v>
      </c>
      <c r="D379" s="246" t="s">
        <v>1236</v>
      </c>
      <c r="E379" s="246">
        <v>8</v>
      </c>
      <c r="F379" s="246" t="s">
        <v>2301</v>
      </c>
      <c r="G379" s="246" t="s">
        <v>2302</v>
      </c>
      <c r="H379" s="247">
        <v>38</v>
      </c>
      <c r="I379" s="246" t="s">
        <v>1236</v>
      </c>
      <c r="J379" s="247">
        <v>274</v>
      </c>
      <c r="K379" s="246" t="s">
        <v>2295</v>
      </c>
      <c r="L379" s="246" t="s">
        <v>2295</v>
      </c>
      <c r="M379" s="246">
        <v>16</v>
      </c>
      <c r="N379" s="246"/>
      <c r="O379" s="246" t="s">
        <v>4228</v>
      </c>
      <c r="P379" s="246" t="s">
        <v>6430</v>
      </c>
      <c r="Q379" s="246" t="s">
        <v>4226</v>
      </c>
      <c r="R379" s="248"/>
    </row>
    <row r="380" spans="1:18" x14ac:dyDescent="0.7">
      <c r="A380" s="246" t="s">
        <v>4229</v>
      </c>
      <c r="B380" s="246" t="s">
        <v>4230</v>
      </c>
      <c r="C380" s="246" t="s">
        <v>1740</v>
      </c>
      <c r="D380" s="246" t="s">
        <v>4231</v>
      </c>
      <c r="E380" s="246">
        <v>8</v>
      </c>
      <c r="F380" s="246" t="s">
        <v>2309</v>
      </c>
      <c r="G380" s="246" t="s">
        <v>2310</v>
      </c>
      <c r="H380" s="247">
        <v>38</v>
      </c>
      <c r="I380" s="246" t="s">
        <v>1236</v>
      </c>
      <c r="J380" s="247">
        <v>45</v>
      </c>
      <c r="K380" s="246" t="s">
        <v>2295</v>
      </c>
      <c r="L380" s="246" t="s">
        <v>2311</v>
      </c>
      <c r="M380" s="246">
        <v>6</v>
      </c>
      <c r="N380" s="246"/>
      <c r="O380" s="246" t="s">
        <v>4232</v>
      </c>
      <c r="P380" s="246" t="s">
        <v>6436</v>
      </c>
      <c r="Q380" s="246" t="s">
        <v>4229</v>
      </c>
      <c r="R380" s="248"/>
    </row>
    <row r="381" spans="1:18" x14ac:dyDescent="0.7">
      <c r="A381" s="246" t="s">
        <v>4419</v>
      </c>
      <c r="B381" s="246" t="s">
        <v>4420</v>
      </c>
      <c r="C381" s="246" t="s">
        <v>1778</v>
      </c>
      <c r="D381" s="246" t="s">
        <v>4421</v>
      </c>
      <c r="E381" s="246">
        <v>8</v>
      </c>
      <c r="F381" s="246" t="s">
        <v>2309</v>
      </c>
      <c r="G381" s="246" t="s">
        <v>2310</v>
      </c>
      <c r="H381" s="247">
        <v>43</v>
      </c>
      <c r="I381" s="246" t="s">
        <v>1239</v>
      </c>
      <c r="J381" s="247">
        <v>113</v>
      </c>
      <c r="K381" s="246" t="s">
        <v>2295</v>
      </c>
      <c r="L381" s="246" t="s">
        <v>2345</v>
      </c>
      <c r="M381" s="246">
        <v>13</v>
      </c>
      <c r="N381" s="246"/>
      <c r="O381" s="246" t="s">
        <v>4422</v>
      </c>
      <c r="P381" s="246" t="s">
        <v>6432</v>
      </c>
      <c r="Q381" s="246" t="s">
        <v>4419</v>
      </c>
      <c r="R381" s="248"/>
    </row>
    <row r="382" spans="1:18" x14ac:dyDescent="0.7">
      <c r="A382" s="246" t="s">
        <v>4233</v>
      </c>
      <c r="B382" s="246" t="s">
        <v>4234</v>
      </c>
      <c r="C382" s="246" t="s">
        <v>1741</v>
      </c>
      <c r="D382" s="246" t="s">
        <v>4235</v>
      </c>
      <c r="E382" s="246">
        <v>8</v>
      </c>
      <c r="F382" s="246" t="s">
        <v>2309</v>
      </c>
      <c r="G382" s="246" t="s">
        <v>2310</v>
      </c>
      <c r="H382" s="247">
        <v>38</v>
      </c>
      <c r="I382" s="246" t="s">
        <v>1236</v>
      </c>
      <c r="J382" s="247">
        <v>74</v>
      </c>
      <c r="K382" s="246" t="s">
        <v>2295</v>
      </c>
      <c r="L382" s="246" t="s">
        <v>2311</v>
      </c>
      <c r="M382" s="246">
        <v>6</v>
      </c>
      <c r="N382" s="246"/>
      <c r="O382" s="246" t="s">
        <v>4236</v>
      </c>
      <c r="P382" s="246" t="s">
        <v>6436</v>
      </c>
      <c r="Q382" s="246" t="s">
        <v>4233</v>
      </c>
      <c r="R382" s="248"/>
    </row>
    <row r="383" spans="1:18" x14ac:dyDescent="0.7">
      <c r="A383" s="246" t="s">
        <v>4423</v>
      </c>
      <c r="B383" s="246" t="s">
        <v>4424</v>
      </c>
      <c r="C383" s="246" t="s">
        <v>1779</v>
      </c>
      <c r="D383" s="246" t="s">
        <v>4425</v>
      </c>
      <c r="E383" s="246">
        <v>8</v>
      </c>
      <c r="F383" s="246" t="s">
        <v>2309</v>
      </c>
      <c r="G383" s="246" t="s">
        <v>2310</v>
      </c>
      <c r="H383" s="247">
        <v>43</v>
      </c>
      <c r="I383" s="246" t="s">
        <v>1239</v>
      </c>
      <c r="J383" s="247">
        <v>36</v>
      </c>
      <c r="K383" s="246" t="s">
        <v>2295</v>
      </c>
      <c r="L383" s="246" t="s">
        <v>2311</v>
      </c>
      <c r="M383" s="246">
        <v>5</v>
      </c>
      <c r="N383" s="246"/>
      <c r="O383" s="246" t="s">
        <v>4426</v>
      </c>
      <c r="P383" s="246" t="s">
        <v>6437</v>
      </c>
      <c r="Q383" s="246" t="s">
        <v>4423</v>
      </c>
      <c r="R383" s="248"/>
    </row>
    <row r="384" spans="1:18" x14ac:dyDescent="0.7">
      <c r="A384" s="246" t="s">
        <v>4427</v>
      </c>
      <c r="B384" s="246" t="s">
        <v>4428</v>
      </c>
      <c r="C384" s="246" t="s">
        <v>1780</v>
      </c>
      <c r="D384" s="246" t="s">
        <v>4429</v>
      </c>
      <c r="E384" s="246">
        <v>8</v>
      </c>
      <c r="F384" s="246" t="s">
        <v>2309</v>
      </c>
      <c r="G384" s="246" t="s">
        <v>2310</v>
      </c>
      <c r="H384" s="247">
        <v>43</v>
      </c>
      <c r="I384" s="246" t="s">
        <v>1239</v>
      </c>
      <c r="J384" s="247">
        <v>47</v>
      </c>
      <c r="K384" s="246" t="s">
        <v>2295</v>
      </c>
      <c r="L384" s="246" t="s">
        <v>2311</v>
      </c>
      <c r="M384" s="246">
        <v>5</v>
      </c>
      <c r="N384" s="246"/>
      <c r="O384" s="246" t="s">
        <v>4430</v>
      </c>
      <c r="P384" s="246" t="s">
        <v>6437</v>
      </c>
      <c r="Q384" s="246" t="s">
        <v>4427</v>
      </c>
      <c r="R384" s="248"/>
    </row>
    <row r="385" spans="1:18" x14ac:dyDescent="0.7">
      <c r="A385" s="246" t="s">
        <v>4237</v>
      </c>
      <c r="B385" s="246" t="s">
        <v>4238</v>
      </c>
      <c r="C385" s="246" t="s">
        <v>1742</v>
      </c>
      <c r="D385" s="246" t="s">
        <v>4239</v>
      </c>
      <c r="E385" s="246">
        <v>8</v>
      </c>
      <c r="F385" s="246" t="s">
        <v>2309</v>
      </c>
      <c r="G385" s="246" t="s">
        <v>2310</v>
      </c>
      <c r="H385" s="247">
        <v>38</v>
      </c>
      <c r="I385" s="246" t="s">
        <v>1236</v>
      </c>
      <c r="J385" s="247">
        <v>116</v>
      </c>
      <c r="K385" s="246" t="s">
        <v>2295</v>
      </c>
      <c r="L385" s="246" t="s">
        <v>2345</v>
      </c>
      <c r="M385" s="246">
        <v>13</v>
      </c>
      <c r="N385" s="246"/>
      <c r="O385" s="246" t="s">
        <v>4240</v>
      </c>
      <c r="P385" s="246" t="s">
        <v>6432</v>
      </c>
      <c r="Q385" s="246" t="s">
        <v>4237</v>
      </c>
      <c r="R385" s="248"/>
    </row>
    <row r="386" spans="1:18" x14ac:dyDescent="0.7">
      <c r="A386" s="246" t="s">
        <v>4241</v>
      </c>
      <c r="B386" s="246" t="s">
        <v>4242</v>
      </c>
      <c r="C386" s="246" t="s">
        <v>1743</v>
      </c>
      <c r="D386" s="246" t="s">
        <v>4243</v>
      </c>
      <c r="E386" s="246">
        <v>8</v>
      </c>
      <c r="F386" s="246" t="s">
        <v>2309</v>
      </c>
      <c r="G386" s="246" t="s">
        <v>2310</v>
      </c>
      <c r="H386" s="247">
        <v>38</v>
      </c>
      <c r="I386" s="246" t="s">
        <v>1236</v>
      </c>
      <c r="J386" s="247">
        <v>37</v>
      </c>
      <c r="K386" s="246" t="s">
        <v>2295</v>
      </c>
      <c r="L386" s="246" t="s">
        <v>2311</v>
      </c>
      <c r="M386" s="246">
        <v>6</v>
      </c>
      <c r="N386" s="246"/>
      <c r="O386" s="246" t="s">
        <v>4244</v>
      </c>
      <c r="P386" s="246" t="s">
        <v>6436</v>
      </c>
      <c r="Q386" s="246" t="s">
        <v>4241</v>
      </c>
      <c r="R386" s="248"/>
    </row>
    <row r="387" spans="1:18" x14ac:dyDescent="0.7">
      <c r="A387" s="246" t="s">
        <v>4245</v>
      </c>
      <c r="B387" s="246" t="s">
        <v>4246</v>
      </c>
      <c r="C387" s="246" t="s">
        <v>1744</v>
      </c>
      <c r="D387" s="246" t="s">
        <v>4247</v>
      </c>
      <c r="E387" s="246">
        <v>8</v>
      </c>
      <c r="F387" s="246" t="s">
        <v>2309</v>
      </c>
      <c r="G387" s="246" t="s">
        <v>2310</v>
      </c>
      <c r="H387" s="247">
        <v>38</v>
      </c>
      <c r="I387" s="246" t="s">
        <v>1236</v>
      </c>
      <c r="J387" s="247">
        <v>58</v>
      </c>
      <c r="K387" s="246" t="s">
        <v>2295</v>
      </c>
      <c r="L387" s="246" t="s">
        <v>2311</v>
      </c>
      <c r="M387" s="246">
        <v>6</v>
      </c>
      <c r="N387" s="246"/>
      <c r="O387" s="246" t="s">
        <v>4248</v>
      </c>
      <c r="P387" s="246" t="s">
        <v>6436</v>
      </c>
      <c r="Q387" s="246" t="s">
        <v>4245</v>
      </c>
      <c r="R387" s="248"/>
    </row>
    <row r="388" spans="1:18" x14ac:dyDescent="0.7">
      <c r="A388" s="246" t="s">
        <v>4249</v>
      </c>
      <c r="B388" s="246" t="s">
        <v>4250</v>
      </c>
      <c r="C388" s="246" t="s">
        <v>1745</v>
      </c>
      <c r="D388" s="246" t="s">
        <v>4251</v>
      </c>
      <c r="E388" s="246">
        <v>8</v>
      </c>
      <c r="F388" s="246" t="s">
        <v>2309</v>
      </c>
      <c r="G388" s="246" t="s">
        <v>2310</v>
      </c>
      <c r="H388" s="247">
        <v>38</v>
      </c>
      <c r="I388" s="246" t="s">
        <v>1236</v>
      </c>
      <c r="J388" s="247">
        <v>38</v>
      </c>
      <c r="K388" s="246" t="s">
        <v>2295</v>
      </c>
      <c r="L388" s="246" t="s">
        <v>2311</v>
      </c>
      <c r="M388" s="246">
        <v>6</v>
      </c>
      <c r="N388" s="246"/>
      <c r="O388" s="246" t="s">
        <v>4252</v>
      </c>
      <c r="P388" s="246" t="s">
        <v>6436</v>
      </c>
      <c r="Q388" s="246" t="s">
        <v>4249</v>
      </c>
      <c r="R388" s="248"/>
    </row>
    <row r="389" spans="1:18" x14ac:dyDescent="0.7">
      <c r="A389" s="246" t="s">
        <v>4253</v>
      </c>
      <c r="B389" s="246" t="s">
        <v>4254</v>
      </c>
      <c r="C389" s="246" t="s">
        <v>1746</v>
      </c>
      <c r="D389" s="246" t="s">
        <v>4255</v>
      </c>
      <c r="E389" s="246">
        <v>8</v>
      </c>
      <c r="F389" s="246" t="s">
        <v>2309</v>
      </c>
      <c r="G389" s="246" t="s">
        <v>2310</v>
      </c>
      <c r="H389" s="247">
        <v>38</v>
      </c>
      <c r="I389" s="246" t="s">
        <v>1236</v>
      </c>
      <c r="J389" s="247">
        <v>32</v>
      </c>
      <c r="K389" s="246" t="s">
        <v>2295</v>
      </c>
      <c r="L389" s="246" t="s">
        <v>2398</v>
      </c>
      <c r="M389" s="246">
        <v>2</v>
      </c>
      <c r="N389" s="246"/>
      <c r="O389" s="246" t="s">
        <v>4256</v>
      </c>
      <c r="P389" s="246" t="s">
        <v>6424</v>
      </c>
      <c r="Q389" s="246" t="s">
        <v>4253</v>
      </c>
      <c r="R389" s="248"/>
    </row>
    <row r="390" spans="1:18" x14ac:dyDescent="0.7">
      <c r="A390" s="246" t="s">
        <v>4031</v>
      </c>
      <c r="B390" s="246" t="s">
        <v>4032</v>
      </c>
      <c r="C390" s="246" t="s">
        <v>1699</v>
      </c>
      <c r="D390" s="246" t="s">
        <v>4033</v>
      </c>
      <c r="E390" s="246">
        <v>7</v>
      </c>
      <c r="F390" s="246" t="s">
        <v>2309</v>
      </c>
      <c r="G390" s="246" t="s">
        <v>2310</v>
      </c>
      <c r="H390" s="247">
        <v>44</v>
      </c>
      <c r="I390" s="246" t="s">
        <v>1233</v>
      </c>
      <c r="J390" s="247">
        <v>30</v>
      </c>
      <c r="K390" s="246" t="s">
        <v>2303</v>
      </c>
      <c r="L390" s="246" t="s">
        <v>2311</v>
      </c>
      <c r="M390" s="246">
        <v>5</v>
      </c>
      <c r="N390" s="246"/>
      <c r="O390" s="246" t="s">
        <v>4034</v>
      </c>
      <c r="P390" s="246" t="s">
        <v>6437</v>
      </c>
      <c r="Q390" s="246" t="s">
        <v>4031</v>
      </c>
      <c r="R390" s="248"/>
    </row>
    <row r="391" spans="1:18" x14ac:dyDescent="0.7">
      <c r="A391" s="246" t="s">
        <v>4035</v>
      </c>
      <c r="B391" s="246" t="s">
        <v>4036</v>
      </c>
      <c r="C391" s="246" t="s">
        <v>1700</v>
      </c>
      <c r="D391" s="246" t="s">
        <v>4037</v>
      </c>
      <c r="E391" s="246">
        <v>7</v>
      </c>
      <c r="F391" s="246" t="s">
        <v>2309</v>
      </c>
      <c r="G391" s="246" t="s">
        <v>2310</v>
      </c>
      <c r="H391" s="247">
        <v>44</v>
      </c>
      <c r="I391" s="246" t="s">
        <v>1233</v>
      </c>
      <c r="J391" s="247">
        <v>120</v>
      </c>
      <c r="K391" s="246" t="s">
        <v>2303</v>
      </c>
      <c r="L391" s="246" t="s">
        <v>2345</v>
      </c>
      <c r="M391" s="246">
        <v>13</v>
      </c>
      <c r="N391" s="246"/>
      <c r="O391" s="246" t="s">
        <v>4038</v>
      </c>
      <c r="P391" s="246" t="s">
        <v>6432</v>
      </c>
      <c r="Q391" s="246" t="s">
        <v>4035</v>
      </c>
      <c r="R391" s="248"/>
    </row>
    <row r="392" spans="1:18" x14ac:dyDescent="0.7">
      <c r="A392" s="246" t="s">
        <v>4039</v>
      </c>
      <c r="B392" s="246" t="s">
        <v>4040</v>
      </c>
      <c r="C392" s="246" t="s">
        <v>1701</v>
      </c>
      <c r="D392" s="246" t="s">
        <v>4041</v>
      </c>
      <c r="E392" s="246">
        <v>7</v>
      </c>
      <c r="F392" s="246" t="s">
        <v>2309</v>
      </c>
      <c r="G392" s="246" t="s">
        <v>2310</v>
      </c>
      <c r="H392" s="247">
        <v>44</v>
      </c>
      <c r="I392" s="246" t="s">
        <v>1233</v>
      </c>
      <c r="J392" s="247">
        <v>60</v>
      </c>
      <c r="K392" s="246" t="s">
        <v>2303</v>
      </c>
      <c r="L392" s="246" t="s">
        <v>2311</v>
      </c>
      <c r="M392" s="246">
        <v>6</v>
      </c>
      <c r="N392" s="246"/>
      <c r="O392" s="246" t="s">
        <v>4042</v>
      </c>
      <c r="P392" s="246" t="s">
        <v>6436</v>
      </c>
      <c r="Q392" s="246" t="s">
        <v>4039</v>
      </c>
      <c r="R392" s="248"/>
    </row>
    <row r="393" spans="1:18" x14ac:dyDescent="0.7">
      <c r="A393" s="246" t="s">
        <v>4043</v>
      </c>
      <c r="B393" s="246" t="s">
        <v>4044</v>
      </c>
      <c r="C393" s="246" t="s">
        <v>1702</v>
      </c>
      <c r="D393" s="246" t="s">
        <v>4045</v>
      </c>
      <c r="E393" s="246">
        <v>7</v>
      </c>
      <c r="F393" s="246" t="s">
        <v>2309</v>
      </c>
      <c r="G393" s="246" t="s">
        <v>2310</v>
      </c>
      <c r="H393" s="247">
        <v>44</v>
      </c>
      <c r="I393" s="246" t="s">
        <v>1233</v>
      </c>
      <c r="J393" s="247">
        <v>60</v>
      </c>
      <c r="K393" s="246" t="s">
        <v>2303</v>
      </c>
      <c r="L393" s="246" t="s">
        <v>2311</v>
      </c>
      <c r="M393" s="246">
        <v>6</v>
      </c>
      <c r="N393" s="246"/>
      <c r="O393" s="246" t="s">
        <v>4046</v>
      </c>
      <c r="P393" s="246" t="s">
        <v>6436</v>
      </c>
      <c r="Q393" s="246" t="s">
        <v>4043</v>
      </c>
      <c r="R393" s="248"/>
    </row>
    <row r="394" spans="1:18" x14ac:dyDescent="0.7">
      <c r="A394" s="246" t="s">
        <v>4047</v>
      </c>
      <c r="B394" s="246" t="s">
        <v>4048</v>
      </c>
      <c r="C394" s="246" t="s">
        <v>1703</v>
      </c>
      <c r="D394" s="246" t="s">
        <v>4049</v>
      </c>
      <c r="E394" s="246">
        <v>7</v>
      </c>
      <c r="F394" s="246" t="s">
        <v>2309</v>
      </c>
      <c r="G394" s="246" t="s">
        <v>2310</v>
      </c>
      <c r="H394" s="247">
        <v>44</v>
      </c>
      <c r="I394" s="246" t="s">
        <v>1233</v>
      </c>
      <c r="J394" s="247">
        <v>184</v>
      </c>
      <c r="K394" s="246" t="s">
        <v>2303</v>
      </c>
      <c r="L394" s="246" t="s">
        <v>2345</v>
      </c>
      <c r="M394" s="246">
        <v>13</v>
      </c>
      <c r="N394" s="246"/>
      <c r="O394" s="246" t="s">
        <v>4050</v>
      </c>
      <c r="P394" s="246" t="s">
        <v>6432</v>
      </c>
      <c r="Q394" s="246" t="s">
        <v>4047</v>
      </c>
      <c r="R394" s="248"/>
    </row>
    <row r="395" spans="1:18" x14ac:dyDescent="0.7">
      <c r="A395" s="246" t="s">
        <v>4051</v>
      </c>
      <c r="B395" s="246" t="s">
        <v>4052</v>
      </c>
      <c r="C395" s="246" t="s">
        <v>1704</v>
      </c>
      <c r="D395" s="246" t="s">
        <v>4053</v>
      </c>
      <c r="E395" s="246">
        <v>7</v>
      </c>
      <c r="F395" s="246" t="s">
        <v>2309</v>
      </c>
      <c r="G395" s="246" t="s">
        <v>2310</v>
      </c>
      <c r="H395" s="247">
        <v>44</v>
      </c>
      <c r="I395" s="246" t="s">
        <v>1233</v>
      </c>
      <c r="J395" s="247">
        <v>60</v>
      </c>
      <c r="K395" s="246" t="s">
        <v>2303</v>
      </c>
      <c r="L395" s="246" t="s">
        <v>2311</v>
      </c>
      <c r="M395" s="246">
        <v>6</v>
      </c>
      <c r="N395" s="246"/>
      <c r="O395" s="246" t="s">
        <v>4054</v>
      </c>
      <c r="P395" s="246" t="s">
        <v>6436</v>
      </c>
      <c r="Q395" s="246" t="s">
        <v>4051</v>
      </c>
      <c r="R395" s="248"/>
    </row>
    <row r="396" spans="1:18" x14ac:dyDescent="0.7">
      <c r="A396" s="246" t="s">
        <v>4055</v>
      </c>
      <c r="B396" s="246" t="s">
        <v>4056</v>
      </c>
      <c r="C396" s="246" t="s">
        <v>1705</v>
      </c>
      <c r="D396" s="246" t="s">
        <v>4057</v>
      </c>
      <c r="E396" s="246">
        <v>7</v>
      </c>
      <c r="F396" s="246" t="s">
        <v>2309</v>
      </c>
      <c r="G396" s="246" t="s">
        <v>2310</v>
      </c>
      <c r="H396" s="247">
        <v>44</v>
      </c>
      <c r="I396" s="246" t="s">
        <v>1233</v>
      </c>
      <c r="J396" s="247">
        <v>111</v>
      </c>
      <c r="K396" s="246" t="s">
        <v>2303</v>
      </c>
      <c r="L396" s="246" t="s">
        <v>2345</v>
      </c>
      <c r="M396" s="246">
        <v>13</v>
      </c>
      <c r="N396" s="246"/>
      <c r="O396" s="246" t="s">
        <v>4058</v>
      </c>
      <c r="P396" s="246" t="s">
        <v>6432</v>
      </c>
      <c r="Q396" s="246" t="s">
        <v>4055</v>
      </c>
      <c r="R396" s="248"/>
    </row>
    <row r="397" spans="1:18" x14ac:dyDescent="0.7">
      <c r="A397" s="246" t="s">
        <v>4059</v>
      </c>
      <c r="B397" s="246" t="s">
        <v>4060</v>
      </c>
      <c r="C397" s="246" t="s">
        <v>1706</v>
      </c>
      <c r="D397" s="246" t="s">
        <v>4061</v>
      </c>
      <c r="E397" s="246">
        <v>7</v>
      </c>
      <c r="F397" s="246" t="s">
        <v>2309</v>
      </c>
      <c r="G397" s="246" t="s">
        <v>2310</v>
      </c>
      <c r="H397" s="247">
        <v>44</v>
      </c>
      <c r="I397" s="246" t="s">
        <v>1233</v>
      </c>
      <c r="J397" s="247">
        <v>161</v>
      </c>
      <c r="K397" s="246" t="s">
        <v>2303</v>
      </c>
      <c r="L397" s="246" t="s">
        <v>2345</v>
      </c>
      <c r="M397" s="246">
        <v>13</v>
      </c>
      <c r="N397" s="246"/>
      <c r="O397" s="246" t="s">
        <v>4062</v>
      </c>
      <c r="P397" s="246" t="s">
        <v>6432</v>
      </c>
      <c r="Q397" s="246" t="s">
        <v>4059</v>
      </c>
      <c r="R397" s="248"/>
    </row>
    <row r="398" spans="1:18" x14ac:dyDescent="0.7">
      <c r="A398" s="246" t="s">
        <v>4063</v>
      </c>
      <c r="B398" s="246" t="s">
        <v>4064</v>
      </c>
      <c r="C398" s="246" t="s">
        <v>1707</v>
      </c>
      <c r="D398" s="246" t="s">
        <v>4065</v>
      </c>
      <c r="E398" s="246">
        <v>7</v>
      </c>
      <c r="F398" s="246" t="s">
        <v>2309</v>
      </c>
      <c r="G398" s="246" t="s">
        <v>2310</v>
      </c>
      <c r="H398" s="247">
        <v>44</v>
      </c>
      <c r="I398" s="246" t="s">
        <v>1233</v>
      </c>
      <c r="J398" s="247">
        <v>37</v>
      </c>
      <c r="K398" s="246" t="s">
        <v>2303</v>
      </c>
      <c r="L398" s="246" t="s">
        <v>2311</v>
      </c>
      <c r="M398" s="246">
        <v>5</v>
      </c>
      <c r="N398" s="246"/>
      <c r="O398" s="246" t="s">
        <v>4066</v>
      </c>
      <c r="P398" s="246" t="s">
        <v>6437</v>
      </c>
      <c r="Q398" s="246" t="s">
        <v>4063</v>
      </c>
      <c r="R398" s="248"/>
    </row>
    <row r="399" spans="1:18" x14ac:dyDescent="0.7">
      <c r="A399" s="246" t="s">
        <v>4067</v>
      </c>
      <c r="B399" s="246" t="s">
        <v>4068</v>
      </c>
      <c r="C399" s="246" t="s">
        <v>1708</v>
      </c>
      <c r="D399" s="246" t="s">
        <v>4069</v>
      </c>
      <c r="E399" s="246">
        <v>7</v>
      </c>
      <c r="F399" s="246" t="s">
        <v>2309</v>
      </c>
      <c r="G399" s="246" t="s">
        <v>2310</v>
      </c>
      <c r="H399" s="247">
        <v>44</v>
      </c>
      <c r="I399" s="246" t="s">
        <v>1233</v>
      </c>
      <c r="J399" s="247">
        <v>30</v>
      </c>
      <c r="K399" s="246" t="s">
        <v>2303</v>
      </c>
      <c r="L399" s="246" t="s">
        <v>2311</v>
      </c>
      <c r="M399" s="246">
        <v>5</v>
      </c>
      <c r="N399" s="246"/>
      <c r="O399" s="246" t="s">
        <v>4070</v>
      </c>
      <c r="P399" s="246" t="s">
        <v>6437</v>
      </c>
      <c r="Q399" s="246" t="s">
        <v>4067</v>
      </c>
      <c r="R399" s="248"/>
    </row>
    <row r="400" spans="1:18" x14ac:dyDescent="0.7">
      <c r="A400" s="246" t="s">
        <v>4082</v>
      </c>
      <c r="B400" s="246" t="s">
        <v>4083</v>
      </c>
      <c r="C400" s="246" t="s">
        <v>1710</v>
      </c>
      <c r="D400" s="246" t="s">
        <v>4084</v>
      </c>
      <c r="E400" s="246">
        <v>7</v>
      </c>
      <c r="F400" s="246" t="s">
        <v>2309</v>
      </c>
      <c r="G400" s="246" t="s">
        <v>2310</v>
      </c>
      <c r="H400" s="247">
        <v>45</v>
      </c>
      <c r="I400" s="246" t="s">
        <v>1234</v>
      </c>
      <c r="J400" s="247">
        <v>96</v>
      </c>
      <c r="K400" s="246" t="s">
        <v>2303</v>
      </c>
      <c r="L400" s="246" t="s">
        <v>2345</v>
      </c>
      <c r="M400" s="246">
        <v>12</v>
      </c>
      <c r="N400" s="246"/>
      <c r="O400" s="246" t="s">
        <v>4085</v>
      </c>
      <c r="P400" s="246" t="s">
        <v>6438</v>
      </c>
      <c r="Q400" s="246" t="s">
        <v>4082</v>
      </c>
      <c r="R400" s="248"/>
    </row>
    <row r="401" spans="1:18" x14ac:dyDescent="0.7">
      <c r="A401" s="246" t="s">
        <v>4086</v>
      </c>
      <c r="B401" s="246" t="s">
        <v>4087</v>
      </c>
      <c r="C401" s="246" t="s">
        <v>1711</v>
      </c>
      <c r="D401" s="246" t="s">
        <v>4088</v>
      </c>
      <c r="E401" s="246">
        <v>7</v>
      </c>
      <c r="F401" s="246" t="s">
        <v>2309</v>
      </c>
      <c r="G401" s="246" t="s">
        <v>2310</v>
      </c>
      <c r="H401" s="247">
        <v>45</v>
      </c>
      <c r="I401" s="246" t="s">
        <v>1234</v>
      </c>
      <c r="J401" s="247">
        <v>36</v>
      </c>
      <c r="K401" s="246" t="s">
        <v>2303</v>
      </c>
      <c r="L401" s="246" t="s">
        <v>2311</v>
      </c>
      <c r="M401" s="246">
        <v>6</v>
      </c>
      <c r="N401" s="246"/>
      <c r="O401" s="246" t="s">
        <v>4089</v>
      </c>
      <c r="P401" s="246" t="s">
        <v>6436</v>
      </c>
      <c r="Q401" s="246" t="s">
        <v>4086</v>
      </c>
      <c r="R401" s="248"/>
    </row>
    <row r="402" spans="1:18" x14ac:dyDescent="0.7">
      <c r="A402" s="246" t="s">
        <v>4090</v>
      </c>
      <c r="B402" s="246" t="s">
        <v>4091</v>
      </c>
      <c r="C402" s="246" t="s">
        <v>1712</v>
      </c>
      <c r="D402" s="246" t="s">
        <v>4092</v>
      </c>
      <c r="E402" s="246">
        <v>7</v>
      </c>
      <c r="F402" s="246" t="s">
        <v>2309</v>
      </c>
      <c r="G402" s="246" t="s">
        <v>2310</v>
      </c>
      <c r="H402" s="247">
        <v>45</v>
      </c>
      <c r="I402" s="246" t="s">
        <v>1234</v>
      </c>
      <c r="J402" s="247">
        <v>60</v>
      </c>
      <c r="K402" s="246" t="s">
        <v>2303</v>
      </c>
      <c r="L402" s="246" t="s">
        <v>2311</v>
      </c>
      <c r="M402" s="246">
        <v>6</v>
      </c>
      <c r="N402" s="246"/>
      <c r="O402" s="246" t="s">
        <v>4093</v>
      </c>
      <c r="P402" s="246" t="s">
        <v>6436</v>
      </c>
      <c r="Q402" s="246" t="s">
        <v>4090</v>
      </c>
      <c r="R402" s="248"/>
    </row>
    <row r="403" spans="1:18" x14ac:dyDescent="0.7">
      <c r="A403" s="246" t="s">
        <v>4094</v>
      </c>
      <c r="B403" s="246" t="s">
        <v>4095</v>
      </c>
      <c r="C403" s="246" t="s">
        <v>1713</v>
      </c>
      <c r="D403" s="246" t="s">
        <v>4096</v>
      </c>
      <c r="E403" s="246">
        <v>7</v>
      </c>
      <c r="F403" s="246" t="s">
        <v>2309</v>
      </c>
      <c r="G403" s="246" t="s">
        <v>2310</v>
      </c>
      <c r="H403" s="247">
        <v>45</v>
      </c>
      <c r="I403" s="246" t="s">
        <v>1234</v>
      </c>
      <c r="J403" s="247">
        <v>51</v>
      </c>
      <c r="K403" s="246" t="s">
        <v>2303</v>
      </c>
      <c r="L403" s="246" t="s">
        <v>2311</v>
      </c>
      <c r="M403" s="246">
        <v>6</v>
      </c>
      <c r="N403" s="246"/>
      <c r="O403" s="246" t="s">
        <v>4097</v>
      </c>
      <c r="P403" s="246" t="s">
        <v>6436</v>
      </c>
      <c r="Q403" s="246" t="s">
        <v>4094</v>
      </c>
      <c r="R403" s="248"/>
    </row>
    <row r="404" spans="1:18" x14ac:dyDescent="0.7">
      <c r="A404" s="246" t="s">
        <v>4098</v>
      </c>
      <c r="B404" s="246" t="s">
        <v>4099</v>
      </c>
      <c r="C404" s="246" t="s">
        <v>1714</v>
      </c>
      <c r="D404" s="246" t="s">
        <v>4100</v>
      </c>
      <c r="E404" s="246">
        <v>7</v>
      </c>
      <c r="F404" s="246" t="s">
        <v>2309</v>
      </c>
      <c r="G404" s="246" t="s">
        <v>2310</v>
      </c>
      <c r="H404" s="247">
        <v>45</v>
      </c>
      <c r="I404" s="246" t="s">
        <v>1234</v>
      </c>
      <c r="J404" s="247">
        <v>42</v>
      </c>
      <c r="K404" s="246" t="s">
        <v>2303</v>
      </c>
      <c r="L404" s="246" t="s">
        <v>2316</v>
      </c>
      <c r="M404" s="246">
        <v>9</v>
      </c>
      <c r="N404" s="246"/>
      <c r="O404" s="246" t="s">
        <v>4101</v>
      </c>
      <c r="P404" s="246" t="s">
        <v>6435</v>
      </c>
      <c r="Q404" s="246" t="s">
        <v>4098</v>
      </c>
      <c r="R404" s="248"/>
    </row>
    <row r="405" spans="1:18" x14ac:dyDescent="0.7">
      <c r="A405" s="246" t="s">
        <v>4102</v>
      </c>
      <c r="B405" s="246" t="s">
        <v>4103</v>
      </c>
      <c r="C405" s="246" t="s">
        <v>1715</v>
      </c>
      <c r="D405" s="246" t="s">
        <v>4104</v>
      </c>
      <c r="E405" s="246">
        <v>7</v>
      </c>
      <c r="F405" s="246" t="s">
        <v>2309</v>
      </c>
      <c r="G405" s="246" t="s">
        <v>2310</v>
      </c>
      <c r="H405" s="247">
        <v>45</v>
      </c>
      <c r="I405" s="246" t="s">
        <v>1234</v>
      </c>
      <c r="J405" s="247">
        <v>154</v>
      </c>
      <c r="K405" s="246" t="s">
        <v>2303</v>
      </c>
      <c r="L405" s="246" t="s">
        <v>2345</v>
      </c>
      <c r="M405" s="246">
        <v>13</v>
      </c>
      <c r="N405" s="246"/>
      <c r="O405" s="246" t="s">
        <v>4105</v>
      </c>
      <c r="P405" s="246" t="s">
        <v>6432</v>
      </c>
      <c r="Q405" s="246" t="s">
        <v>4102</v>
      </c>
      <c r="R405" s="248"/>
    </row>
    <row r="406" spans="1:18" x14ac:dyDescent="0.7">
      <c r="A406" s="246" t="s">
        <v>4106</v>
      </c>
      <c r="B406" s="246" t="s">
        <v>4107</v>
      </c>
      <c r="C406" s="246" t="s">
        <v>1716</v>
      </c>
      <c r="D406" s="246" t="s">
        <v>4108</v>
      </c>
      <c r="E406" s="246">
        <v>7</v>
      </c>
      <c r="F406" s="246" t="s">
        <v>2309</v>
      </c>
      <c r="G406" s="246" t="s">
        <v>2310</v>
      </c>
      <c r="H406" s="247">
        <v>45</v>
      </c>
      <c r="I406" s="246" t="s">
        <v>1234</v>
      </c>
      <c r="J406" s="247">
        <v>30</v>
      </c>
      <c r="K406" s="246" t="s">
        <v>2303</v>
      </c>
      <c r="L406" s="246" t="s">
        <v>2311</v>
      </c>
      <c r="M406" s="246">
        <v>6</v>
      </c>
      <c r="N406" s="246"/>
      <c r="O406" s="246" t="s">
        <v>4109</v>
      </c>
      <c r="P406" s="246" t="s">
        <v>6436</v>
      </c>
      <c r="Q406" s="246" t="s">
        <v>4106</v>
      </c>
      <c r="R406" s="248"/>
    </row>
    <row r="407" spans="1:18" x14ac:dyDescent="0.7">
      <c r="A407" s="246" t="s">
        <v>4110</v>
      </c>
      <c r="B407" s="246" t="s">
        <v>4111</v>
      </c>
      <c r="C407" s="246" t="s">
        <v>1717</v>
      </c>
      <c r="D407" s="246" t="s">
        <v>4112</v>
      </c>
      <c r="E407" s="246">
        <v>7</v>
      </c>
      <c r="F407" s="246" t="s">
        <v>2309</v>
      </c>
      <c r="G407" s="246" t="s">
        <v>2310</v>
      </c>
      <c r="H407" s="247">
        <v>45</v>
      </c>
      <c r="I407" s="246" t="s">
        <v>1234</v>
      </c>
      <c r="J407" s="247">
        <v>56</v>
      </c>
      <c r="K407" s="246" t="s">
        <v>2303</v>
      </c>
      <c r="L407" s="246" t="s">
        <v>2311</v>
      </c>
      <c r="M407" s="246">
        <v>6</v>
      </c>
      <c r="N407" s="246"/>
      <c r="O407" s="246" t="s">
        <v>4113</v>
      </c>
      <c r="P407" s="246" t="s">
        <v>6436</v>
      </c>
      <c r="Q407" s="246" t="s">
        <v>4110</v>
      </c>
      <c r="R407" s="248"/>
    </row>
    <row r="408" spans="1:18" x14ac:dyDescent="0.7">
      <c r="A408" s="246" t="s">
        <v>4114</v>
      </c>
      <c r="B408" s="246" t="s">
        <v>4115</v>
      </c>
      <c r="C408" s="246" t="s">
        <v>1718</v>
      </c>
      <c r="D408" s="246" t="s">
        <v>4116</v>
      </c>
      <c r="E408" s="246">
        <v>7</v>
      </c>
      <c r="F408" s="246" t="s">
        <v>2309</v>
      </c>
      <c r="G408" s="246" t="s">
        <v>2310</v>
      </c>
      <c r="H408" s="247">
        <v>45</v>
      </c>
      <c r="I408" s="246" t="s">
        <v>1234</v>
      </c>
      <c r="J408" s="247">
        <v>124</v>
      </c>
      <c r="K408" s="246" t="s">
        <v>2303</v>
      </c>
      <c r="L408" s="246" t="s">
        <v>2345</v>
      </c>
      <c r="M408" s="246">
        <v>13</v>
      </c>
      <c r="N408" s="246"/>
      <c r="O408" s="246" t="s">
        <v>4117</v>
      </c>
      <c r="P408" s="246" t="s">
        <v>6432</v>
      </c>
      <c r="Q408" s="246" t="s">
        <v>4114</v>
      </c>
      <c r="R408" s="248"/>
    </row>
    <row r="409" spans="1:18" x14ac:dyDescent="0.7">
      <c r="A409" s="246" t="s">
        <v>4118</v>
      </c>
      <c r="B409" s="246" t="s">
        <v>4119</v>
      </c>
      <c r="C409" s="246" t="s">
        <v>1719</v>
      </c>
      <c r="D409" s="246" t="s">
        <v>4120</v>
      </c>
      <c r="E409" s="246">
        <v>7</v>
      </c>
      <c r="F409" s="246" t="s">
        <v>2309</v>
      </c>
      <c r="G409" s="246" t="s">
        <v>2310</v>
      </c>
      <c r="H409" s="247">
        <v>45</v>
      </c>
      <c r="I409" s="246" t="s">
        <v>1234</v>
      </c>
      <c r="J409" s="247">
        <v>156</v>
      </c>
      <c r="K409" s="246" t="s">
        <v>2303</v>
      </c>
      <c r="L409" s="246" t="s">
        <v>2345</v>
      </c>
      <c r="M409" s="246">
        <v>13</v>
      </c>
      <c r="N409" s="246"/>
      <c r="O409" s="246" t="s">
        <v>4121</v>
      </c>
      <c r="P409" s="246" t="s">
        <v>6432</v>
      </c>
      <c r="Q409" s="246" t="s">
        <v>4118</v>
      </c>
      <c r="R409" s="248"/>
    </row>
    <row r="410" spans="1:18" x14ac:dyDescent="0.7">
      <c r="A410" s="246" t="s">
        <v>4122</v>
      </c>
      <c r="B410" s="246" t="s">
        <v>4123</v>
      </c>
      <c r="C410" s="246" t="s">
        <v>1720</v>
      </c>
      <c r="D410" s="246" t="s">
        <v>4124</v>
      </c>
      <c r="E410" s="246">
        <v>7</v>
      </c>
      <c r="F410" s="246" t="s">
        <v>2309</v>
      </c>
      <c r="G410" s="246" t="s">
        <v>2310</v>
      </c>
      <c r="H410" s="247">
        <v>45</v>
      </c>
      <c r="I410" s="246" t="s">
        <v>1234</v>
      </c>
      <c r="J410" s="247">
        <v>30</v>
      </c>
      <c r="K410" s="246" t="s">
        <v>2303</v>
      </c>
      <c r="L410" s="246" t="s">
        <v>2311</v>
      </c>
      <c r="M410" s="246">
        <v>5</v>
      </c>
      <c r="N410" s="246"/>
      <c r="O410" s="246" t="s">
        <v>4125</v>
      </c>
      <c r="P410" s="246" t="s">
        <v>6437</v>
      </c>
      <c r="Q410" s="246" t="s">
        <v>4122</v>
      </c>
      <c r="R410" s="248"/>
    </row>
    <row r="411" spans="1:18" x14ac:dyDescent="0.7">
      <c r="A411" s="246" t="s">
        <v>4126</v>
      </c>
      <c r="B411" s="246" t="s">
        <v>4127</v>
      </c>
      <c r="C411" s="246" t="s">
        <v>1721</v>
      </c>
      <c r="D411" s="246" t="s">
        <v>4128</v>
      </c>
      <c r="E411" s="246">
        <v>7</v>
      </c>
      <c r="F411" s="246" t="s">
        <v>2309</v>
      </c>
      <c r="G411" s="246" t="s">
        <v>2310</v>
      </c>
      <c r="H411" s="247">
        <v>45</v>
      </c>
      <c r="I411" s="246" t="s">
        <v>1234</v>
      </c>
      <c r="J411" s="247">
        <v>31</v>
      </c>
      <c r="K411" s="246" t="s">
        <v>2303</v>
      </c>
      <c r="L411" s="246" t="s">
        <v>2311</v>
      </c>
      <c r="M411" s="246">
        <v>5</v>
      </c>
      <c r="N411" s="246"/>
      <c r="O411" s="246" t="s">
        <v>4129</v>
      </c>
      <c r="P411" s="246" t="s">
        <v>6437</v>
      </c>
      <c r="Q411" s="246" t="s">
        <v>4126</v>
      </c>
      <c r="R411" s="248"/>
    </row>
    <row r="412" spans="1:18" x14ac:dyDescent="0.7">
      <c r="A412" s="246" t="s">
        <v>4130</v>
      </c>
      <c r="B412" s="246" t="s">
        <v>4131</v>
      </c>
      <c r="C412" s="246" t="s">
        <v>1722</v>
      </c>
      <c r="D412" s="246" t="s">
        <v>4132</v>
      </c>
      <c r="E412" s="246">
        <v>7</v>
      </c>
      <c r="F412" s="246" t="s">
        <v>2309</v>
      </c>
      <c r="G412" s="246" t="s">
        <v>2310</v>
      </c>
      <c r="H412" s="247">
        <v>45</v>
      </c>
      <c r="I412" s="246" t="s">
        <v>1234</v>
      </c>
      <c r="J412" s="247">
        <v>38</v>
      </c>
      <c r="K412" s="246" t="s">
        <v>2303</v>
      </c>
      <c r="L412" s="246" t="s">
        <v>2311</v>
      </c>
      <c r="M412" s="246">
        <v>6</v>
      </c>
      <c r="N412" s="246"/>
      <c r="O412" s="246" t="s">
        <v>4133</v>
      </c>
      <c r="P412" s="246" t="s">
        <v>6436</v>
      </c>
      <c r="Q412" s="246" t="s">
        <v>4130</v>
      </c>
      <c r="R412" s="248"/>
    </row>
    <row r="413" spans="1:18" x14ac:dyDescent="0.7">
      <c r="A413" s="246" t="s">
        <v>4134</v>
      </c>
      <c r="B413" s="246" t="s">
        <v>4135</v>
      </c>
      <c r="C413" s="246" t="s">
        <v>1723</v>
      </c>
      <c r="D413" s="246" t="s">
        <v>4136</v>
      </c>
      <c r="E413" s="246">
        <v>7</v>
      </c>
      <c r="F413" s="246" t="s">
        <v>2309</v>
      </c>
      <c r="G413" s="246" t="s">
        <v>2310</v>
      </c>
      <c r="H413" s="247">
        <v>45</v>
      </c>
      <c r="I413" s="246" t="s">
        <v>1234</v>
      </c>
      <c r="J413" s="247">
        <v>33</v>
      </c>
      <c r="K413" s="246" t="s">
        <v>2303</v>
      </c>
      <c r="L413" s="246" t="s">
        <v>2311</v>
      </c>
      <c r="M413" s="246">
        <v>5</v>
      </c>
      <c r="N413" s="246"/>
      <c r="O413" s="246" t="s">
        <v>4137</v>
      </c>
      <c r="P413" s="246" t="s">
        <v>6437</v>
      </c>
      <c r="Q413" s="246" t="s">
        <v>4134</v>
      </c>
      <c r="R413" s="248"/>
    </row>
    <row r="414" spans="1:18" x14ac:dyDescent="0.7">
      <c r="A414" s="246" t="s">
        <v>4138</v>
      </c>
      <c r="B414" s="246" t="s">
        <v>4139</v>
      </c>
      <c r="C414" s="246" t="s">
        <v>1724</v>
      </c>
      <c r="D414" s="246" t="s">
        <v>4140</v>
      </c>
      <c r="E414" s="246">
        <v>7</v>
      </c>
      <c r="F414" s="246" t="s">
        <v>2309</v>
      </c>
      <c r="G414" s="246" t="s">
        <v>2310</v>
      </c>
      <c r="H414" s="247">
        <v>45</v>
      </c>
      <c r="I414" s="246" t="s">
        <v>1234</v>
      </c>
      <c r="J414" s="247">
        <v>38</v>
      </c>
      <c r="K414" s="246" t="s">
        <v>2303</v>
      </c>
      <c r="L414" s="246" t="s">
        <v>2311</v>
      </c>
      <c r="M414" s="246">
        <v>5</v>
      </c>
      <c r="N414" s="246"/>
      <c r="O414" s="246" t="s">
        <v>4141</v>
      </c>
      <c r="P414" s="246" t="s">
        <v>6437</v>
      </c>
      <c r="Q414" s="246" t="s">
        <v>4138</v>
      </c>
      <c r="R414" s="248"/>
    </row>
    <row r="415" spans="1:18" x14ac:dyDescent="0.7">
      <c r="A415" s="246" t="s">
        <v>4142</v>
      </c>
      <c r="B415" s="246" t="s">
        <v>4143</v>
      </c>
      <c r="C415" s="246" t="s">
        <v>1725</v>
      </c>
      <c r="D415" s="246" t="s">
        <v>4144</v>
      </c>
      <c r="E415" s="246">
        <v>7</v>
      </c>
      <c r="F415" s="246" t="s">
        <v>2309</v>
      </c>
      <c r="G415" s="246" t="s">
        <v>2310</v>
      </c>
      <c r="H415" s="247">
        <v>45</v>
      </c>
      <c r="I415" s="246" t="s">
        <v>1234</v>
      </c>
      <c r="J415" s="247">
        <v>37</v>
      </c>
      <c r="K415" s="246" t="s">
        <v>2303</v>
      </c>
      <c r="L415" s="246" t="s">
        <v>2311</v>
      </c>
      <c r="M415" s="246">
        <v>6</v>
      </c>
      <c r="N415" s="246"/>
      <c r="O415" s="246" t="s">
        <v>4145</v>
      </c>
      <c r="P415" s="246" t="s">
        <v>6436</v>
      </c>
      <c r="Q415" s="246" t="s">
        <v>4142</v>
      </c>
      <c r="R415" s="248"/>
    </row>
    <row r="416" spans="1:18" x14ac:dyDescent="0.7">
      <c r="A416" s="246" t="s">
        <v>4159</v>
      </c>
      <c r="B416" s="246" t="s">
        <v>4160</v>
      </c>
      <c r="C416" s="246" t="s">
        <v>1664</v>
      </c>
      <c r="D416" s="246" t="s">
        <v>4161</v>
      </c>
      <c r="E416" s="246">
        <v>7</v>
      </c>
      <c r="F416" s="246" t="s">
        <v>2309</v>
      </c>
      <c r="G416" s="246" t="s">
        <v>2310</v>
      </c>
      <c r="H416" s="247">
        <v>46</v>
      </c>
      <c r="I416" s="246" t="s">
        <v>1231</v>
      </c>
      <c r="J416" s="247">
        <v>37</v>
      </c>
      <c r="K416" s="246" t="s">
        <v>2303</v>
      </c>
      <c r="L416" s="246" t="s">
        <v>2311</v>
      </c>
      <c r="M416" s="246">
        <v>5</v>
      </c>
      <c r="N416" s="246"/>
      <c r="O416" s="246" t="s">
        <v>4162</v>
      </c>
      <c r="P416" s="246" t="s">
        <v>6437</v>
      </c>
      <c r="Q416" s="246" t="s">
        <v>4159</v>
      </c>
      <c r="R416" s="248"/>
    </row>
    <row r="417" spans="1:18" x14ac:dyDescent="0.7">
      <c r="A417" s="246" t="s">
        <v>4163</v>
      </c>
      <c r="B417" s="246" t="s">
        <v>4164</v>
      </c>
      <c r="C417" s="246" t="s">
        <v>2130</v>
      </c>
      <c r="D417" s="246" t="s">
        <v>1665</v>
      </c>
      <c r="E417" s="246">
        <v>7</v>
      </c>
      <c r="F417" s="246" t="s">
        <v>2309</v>
      </c>
      <c r="G417" s="246" t="s">
        <v>2310</v>
      </c>
      <c r="H417" s="247">
        <v>46</v>
      </c>
      <c r="I417" s="246" t="s">
        <v>1231</v>
      </c>
      <c r="J417" s="247">
        <v>146</v>
      </c>
      <c r="K417" s="246" t="s">
        <v>2303</v>
      </c>
      <c r="L417" s="246" t="s">
        <v>2316</v>
      </c>
      <c r="M417" s="246">
        <v>9</v>
      </c>
      <c r="N417" s="246"/>
      <c r="O417" s="246" t="s">
        <v>4165</v>
      </c>
      <c r="P417" s="246" t="s">
        <v>6435</v>
      </c>
      <c r="Q417" s="246" t="s">
        <v>4163</v>
      </c>
      <c r="R417" s="248"/>
    </row>
    <row r="418" spans="1:18" x14ac:dyDescent="0.7">
      <c r="A418" s="246" t="s">
        <v>4166</v>
      </c>
      <c r="B418" s="246" t="s">
        <v>4167</v>
      </c>
      <c r="C418" s="246" t="s">
        <v>1666</v>
      </c>
      <c r="D418" s="246" t="s">
        <v>4168</v>
      </c>
      <c r="E418" s="246">
        <v>7</v>
      </c>
      <c r="F418" s="246" t="s">
        <v>2309</v>
      </c>
      <c r="G418" s="246" t="s">
        <v>2310</v>
      </c>
      <c r="H418" s="247">
        <v>46</v>
      </c>
      <c r="I418" s="246" t="s">
        <v>1231</v>
      </c>
      <c r="J418" s="247">
        <v>30</v>
      </c>
      <c r="K418" s="246" t="s">
        <v>2303</v>
      </c>
      <c r="L418" s="246" t="s">
        <v>2311</v>
      </c>
      <c r="M418" s="246">
        <v>5</v>
      </c>
      <c r="N418" s="246"/>
      <c r="O418" s="246" t="s">
        <v>4169</v>
      </c>
      <c r="P418" s="246" t="s">
        <v>6437</v>
      </c>
      <c r="Q418" s="246" t="s">
        <v>4166</v>
      </c>
      <c r="R418" s="248"/>
    </row>
    <row r="419" spans="1:18" x14ac:dyDescent="0.7">
      <c r="A419" s="246" t="s">
        <v>4170</v>
      </c>
      <c r="B419" s="246" t="s">
        <v>4171</v>
      </c>
      <c r="C419" s="246" t="s">
        <v>1667</v>
      </c>
      <c r="D419" s="246" t="s">
        <v>4172</v>
      </c>
      <c r="E419" s="246">
        <v>7</v>
      </c>
      <c r="F419" s="246" t="s">
        <v>2309</v>
      </c>
      <c r="G419" s="246" t="s">
        <v>2310</v>
      </c>
      <c r="H419" s="247">
        <v>46</v>
      </c>
      <c r="I419" s="246" t="s">
        <v>1231</v>
      </c>
      <c r="J419" s="247">
        <v>88</v>
      </c>
      <c r="K419" s="246" t="s">
        <v>2303</v>
      </c>
      <c r="L419" s="246" t="s">
        <v>2311</v>
      </c>
      <c r="M419" s="246">
        <v>5</v>
      </c>
      <c r="N419" s="246"/>
      <c r="O419" s="246" t="s">
        <v>4173</v>
      </c>
      <c r="P419" s="246" t="s">
        <v>6437</v>
      </c>
      <c r="Q419" s="246" t="s">
        <v>4170</v>
      </c>
      <c r="R419" s="248"/>
    </row>
    <row r="420" spans="1:18" x14ac:dyDescent="0.7">
      <c r="A420" s="246" t="s">
        <v>4174</v>
      </c>
      <c r="B420" s="246" t="s">
        <v>4175</v>
      </c>
      <c r="C420" s="246" t="s">
        <v>1668</v>
      </c>
      <c r="D420" s="246" t="s">
        <v>4176</v>
      </c>
      <c r="E420" s="246">
        <v>7</v>
      </c>
      <c r="F420" s="246" t="s">
        <v>2309</v>
      </c>
      <c r="G420" s="246" t="s">
        <v>2310</v>
      </c>
      <c r="H420" s="247">
        <v>46</v>
      </c>
      <c r="I420" s="246" t="s">
        <v>1231</v>
      </c>
      <c r="J420" s="247">
        <v>154</v>
      </c>
      <c r="K420" s="246" t="s">
        <v>2303</v>
      </c>
      <c r="L420" s="246" t="s">
        <v>2345</v>
      </c>
      <c r="M420" s="246">
        <v>13</v>
      </c>
      <c r="N420" s="246"/>
      <c r="O420" s="246" t="s">
        <v>4177</v>
      </c>
      <c r="P420" s="246" t="s">
        <v>6432</v>
      </c>
      <c r="Q420" s="246" t="s">
        <v>4174</v>
      </c>
      <c r="R420" s="248"/>
    </row>
    <row r="421" spans="1:18" x14ac:dyDescent="0.7">
      <c r="A421" s="246" t="s">
        <v>4178</v>
      </c>
      <c r="B421" s="246" t="s">
        <v>4179</v>
      </c>
      <c r="C421" s="246" t="s">
        <v>1669</v>
      </c>
      <c r="D421" s="246" t="s">
        <v>4180</v>
      </c>
      <c r="E421" s="246">
        <v>7</v>
      </c>
      <c r="F421" s="246" t="s">
        <v>2309</v>
      </c>
      <c r="G421" s="246" t="s">
        <v>2310</v>
      </c>
      <c r="H421" s="247">
        <v>46</v>
      </c>
      <c r="I421" s="246" t="s">
        <v>1231</v>
      </c>
      <c r="J421" s="247">
        <v>58</v>
      </c>
      <c r="K421" s="246" t="s">
        <v>2303</v>
      </c>
      <c r="L421" s="246" t="s">
        <v>2311</v>
      </c>
      <c r="M421" s="246">
        <v>6</v>
      </c>
      <c r="N421" s="246"/>
      <c r="O421" s="246" t="s">
        <v>4181</v>
      </c>
      <c r="P421" s="246" t="s">
        <v>6436</v>
      </c>
      <c r="Q421" s="246" t="s">
        <v>4178</v>
      </c>
      <c r="R421" s="248"/>
    </row>
    <row r="422" spans="1:18" x14ac:dyDescent="0.7">
      <c r="A422" s="246" t="s">
        <v>4182</v>
      </c>
      <c r="B422" s="246" t="s">
        <v>4183</v>
      </c>
      <c r="C422" s="246" t="s">
        <v>1670</v>
      </c>
      <c r="D422" s="246" t="s">
        <v>4184</v>
      </c>
      <c r="E422" s="246">
        <v>7</v>
      </c>
      <c r="F422" s="246" t="s">
        <v>2309</v>
      </c>
      <c r="G422" s="246" t="s">
        <v>2310</v>
      </c>
      <c r="H422" s="247">
        <v>46</v>
      </c>
      <c r="I422" s="246" t="s">
        <v>1231</v>
      </c>
      <c r="J422" s="247">
        <v>44</v>
      </c>
      <c r="K422" s="246" t="s">
        <v>2303</v>
      </c>
      <c r="L422" s="246" t="s">
        <v>2311</v>
      </c>
      <c r="M422" s="246">
        <v>5</v>
      </c>
      <c r="N422" s="246"/>
      <c r="O422" s="246" t="s">
        <v>4185</v>
      </c>
      <c r="P422" s="246" t="s">
        <v>6437</v>
      </c>
      <c r="Q422" s="246" t="s">
        <v>4182</v>
      </c>
      <c r="R422" s="248"/>
    </row>
    <row r="423" spans="1:18" x14ac:dyDescent="0.7">
      <c r="A423" s="246" t="s">
        <v>4186</v>
      </c>
      <c r="B423" s="246" t="s">
        <v>4187</v>
      </c>
      <c r="C423" s="246" t="s">
        <v>1671</v>
      </c>
      <c r="D423" s="246" t="s">
        <v>4188</v>
      </c>
      <c r="E423" s="246">
        <v>7</v>
      </c>
      <c r="F423" s="246" t="s">
        <v>2309</v>
      </c>
      <c r="G423" s="246" t="s">
        <v>2310</v>
      </c>
      <c r="H423" s="247">
        <v>46</v>
      </c>
      <c r="I423" s="246" t="s">
        <v>1231</v>
      </c>
      <c r="J423" s="247">
        <v>71</v>
      </c>
      <c r="K423" s="246" t="s">
        <v>2303</v>
      </c>
      <c r="L423" s="246" t="s">
        <v>2311</v>
      </c>
      <c r="M423" s="246">
        <v>6</v>
      </c>
      <c r="N423" s="246"/>
      <c r="O423" s="246" t="s">
        <v>4189</v>
      </c>
      <c r="P423" s="246" t="s">
        <v>6436</v>
      </c>
      <c r="Q423" s="246" t="s">
        <v>4186</v>
      </c>
      <c r="R423" s="248"/>
    </row>
    <row r="424" spans="1:18" x14ac:dyDescent="0.7">
      <c r="A424" s="246" t="s">
        <v>4190</v>
      </c>
      <c r="B424" s="246" t="s">
        <v>4191</v>
      </c>
      <c r="C424" s="246" t="s">
        <v>1672</v>
      </c>
      <c r="D424" s="246" t="s">
        <v>4192</v>
      </c>
      <c r="E424" s="246">
        <v>7</v>
      </c>
      <c r="F424" s="246" t="s">
        <v>2309</v>
      </c>
      <c r="G424" s="246" t="s">
        <v>2310</v>
      </c>
      <c r="H424" s="247">
        <v>46</v>
      </c>
      <c r="I424" s="246" t="s">
        <v>1231</v>
      </c>
      <c r="J424" s="247">
        <v>47</v>
      </c>
      <c r="K424" s="246" t="s">
        <v>2303</v>
      </c>
      <c r="L424" s="246" t="s">
        <v>2311</v>
      </c>
      <c r="M424" s="246">
        <v>5</v>
      </c>
      <c r="N424" s="246"/>
      <c r="O424" s="246" t="s">
        <v>4193</v>
      </c>
      <c r="P424" s="246" t="s">
        <v>6437</v>
      </c>
      <c r="Q424" s="246" t="s">
        <v>4190</v>
      </c>
      <c r="R424" s="248"/>
    </row>
    <row r="425" spans="1:18" x14ac:dyDescent="0.7">
      <c r="A425" s="246" t="s">
        <v>4194</v>
      </c>
      <c r="B425" s="246" t="s">
        <v>4195</v>
      </c>
      <c r="C425" s="246" t="s">
        <v>1673</v>
      </c>
      <c r="D425" s="246" t="s">
        <v>4196</v>
      </c>
      <c r="E425" s="246">
        <v>7</v>
      </c>
      <c r="F425" s="246" t="s">
        <v>2309</v>
      </c>
      <c r="G425" s="246" t="s">
        <v>2310</v>
      </c>
      <c r="H425" s="247">
        <v>46</v>
      </c>
      <c r="I425" s="246" t="s">
        <v>1231</v>
      </c>
      <c r="J425" s="247">
        <v>67</v>
      </c>
      <c r="K425" s="246" t="s">
        <v>2303</v>
      </c>
      <c r="L425" s="246" t="s">
        <v>2311</v>
      </c>
      <c r="M425" s="246">
        <v>6</v>
      </c>
      <c r="N425" s="246"/>
      <c r="O425" s="246" t="s">
        <v>4197</v>
      </c>
      <c r="P425" s="246" t="s">
        <v>6436</v>
      </c>
      <c r="Q425" s="246" t="s">
        <v>4194</v>
      </c>
      <c r="R425" s="248"/>
    </row>
    <row r="426" spans="1:18" x14ac:dyDescent="0.7">
      <c r="A426" s="246" t="s">
        <v>4198</v>
      </c>
      <c r="B426" s="246" t="s">
        <v>4199</v>
      </c>
      <c r="C426" s="246" t="s">
        <v>1674</v>
      </c>
      <c r="D426" s="246" t="s">
        <v>4200</v>
      </c>
      <c r="E426" s="246">
        <v>7</v>
      </c>
      <c r="F426" s="246" t="s">
        <v>2309</v>
      </c>
      <c r="G426" s="246" t="s">
        <v>2310</v>
      </c>
      <c r="H426" s="247">
        <v>46</v>
      </c>
      <c r="I426" s="246" t="s">
        <v>1231</v>
      </c>
      <c r="J426" s="247">
        <v>134</v>
      </c>
      <c r="K426" s="246" t="s">
        <v>2303</v>
      </c>
      <c r="L426" s="246" t="s">
        <v>2345</v>
      </c>
      <c r="M426" s="246">
        <v>13</v>
      </c>
      <c r="N426" s="246"/>
      <c r="O426" s="246" t="s">
        <v>4201</v>
      </c>
      <c r="P426" s="246" t="s">
        <v>6432</v>
      </c>
      <c r="Q426" s="246" t="s">
        <v>4198</v>
      </c>
      <c r="R426" s="248"/>
    </row>
    <row r="427" spans="1:18" x14ac:dyDescent="0.7">
      <c r="A427" s="246" t="s">
        <v>4202</v>
      </c>
      <c r="B427" s="246" t="s">
        <v>4203</v>
      </c>
      <c r="C427" s="246" t="s">
        <v>1675</v>
      </c>
      <c r="D427" s="246" t="s">
        <v>4204</v>
      </c>
      <c r="E427" s="246">
        <v>7</v>
      </c>
      <c r="F427" s="246" t="s">
        <v>2309</v>
      </c>
      <c r="G427" s="246" t="s">
        <v>2310</v>
      </c>
      <c r="H427" s="247">
        <v>46</v>
      </c>
      <c r="I427" s="246" t="s">
        <v>1231</v>
      </c>
      <c r="J427" s="247">
        <v>38</v>
      </c>
      <c r="K427" s="246" t="s">
        <v>2303</v>
      </c>
      <c r="L427" s="246" t="s">
        <v>2311</v>
      </c>
      <c r="M427" s="246">
        <v>5</v>
      </c>
      <c r="N427" s="246"/>
      <c r="O427" s="246" t="s">
        <v>4205</v>
      </c>
      <c r="P427" s="246" t="s">
        <v>6437</v>
      </c>
      <c r="Q427" s="246" t="s">
        <v>4202</v>
      </c>
      <c r="R427" s="248"/>
    </row>
    <row r="428" spans="1:18" x14ac:dyDescent="0.7">
      <c r="A428" s="246" t="s">
        <v>4454</v>
      </c>
      <c r="B428" s="246" t="s">
        <v>4455</v>
      </c>
      <c r="C428" s="246" t="s">
        <v>1761</v>
      </c>
      <c r="D428" s="246" t="s">
        <v>4456</v>
      </c>
      <c r="E428" s="246">
        <v>8</v>
      </c>
      <c r="F428" s="246" t="s">
        <v>2309</v>
      </c>
      <c r="G428" s="246" t="s">
        <v>2310</v>
      </c>
      <c r="H428" s="247">
        <v>47</v>
      </c>
      <c r="I428" s="246" t="s">
        <v>1238</v>
      </c>
      <c r="J428" s="247">
        <v>40</v>
      </c>
      <c r="K428" s="246" t="s">
        <v>2295</v>
      </c>
      <c r="L428" s="246" t="s">
        <v>2311</v>
      </c>
      <c r="M428" s="246">
        <v>6</v>
      </c>
      <c r="N428" s="246"/>
      <c r="O428" s="246" t="s">
        <v>4457</v>
      </c>
      <c r="P428" s="246" t="s">
        <v>6436</v>
      </c>
      <c r="Q428" s="246" t="s">
        <v>4454</v>
      </c>
      <c r="R428" s="248"/>
    </row>
    <row r="429" spans="1:18" x14ac:dyDescent="0.7">
      <c r="A429" s="246" t="s">
        <v>4458</v>
      </c>
      <c r="B429" s="246" t="s">
        <v>4459</v>
      </c>
      <c r="C429" s="246" t="s">
        <v>1762</v>
      </c>
      <c r="D429" s="246" t="s">
        <v>4460</v>
      </c>
      <c r="E429" s="246">
        <v>8</v>
      </c>
      <c r="F429" s="246" t="s">
        <v>2309</v>
      </c>
      <c r="G429" s="246" t="s">
        <v>2310</v>
      </c>
      <c r="H429" s="247">
        <v>47</v>
      </c>
      <c r="I429" s="246" t="s">
        <v>1238</v>
      </c>
      <c r="J429" s="247">
        <v>39</v>
      </c>
      <c r="K429" s="246" t="s">
        <v>2295</v>
      </c>
      <c r="L429" s="246" t="s">
        <v>2311</v>
      </c>
      <c r="M429" s="246">
        <v>5</v>
      </c>
      <c r="N429" s="246"/>
      <c r="O429" s="246" t="s">
        <v>4461</v>
      </c>
      <c r="P429" s="246" t="s">
        <v>6437</v>
      </c>
      <c r="Q429" s="246" t="s">
        <v>4458</v>
      </c>
      <c r="R429" s="248"/>
    </row>
    <row r="430" spans="1:18" x14ac:dyDescent="0.7">
      <c r="A430" s="246" t="s">
        <v>4462</v>
      </c>
      <c r="B430" s="246" t="s">
        <v>4463</v>
      </c>
      <c r="C430" s="246" t="s">
        <v>1763</v>
      </c>
      <c r="D430" s="246" t="s">
        <v>4464</v>
      </c>
      <c r="E430" s="246">
        <v>8</v>
      </c>
      <c r="F430" s="246" t="s">
        <v>2309</v>
      </c>
      <c r="G430" s="246" t="s">
        <v>2310</v>
      </c>
      <c r="H430" s="247">
        <v>47</v>
      </c>
      <c r="I430" s="246" t="s">
        <v>1238</v>
      </c>
      <c r="J430" s="247">
        <v>90</v>
      </c>
      <c r="K430" s="246" t="s">
        <v>2295</v>
      </c>
      <c r="L430" s="246" t="s">
        <v>2311</v>
      </c>
      <c r="M430" s="246">
        <v>6</v>
      </c>
      <c r="N430" s="246"/>
      <c r="O430" s="246" t="s">
        <v>4465</v>
      </c>
      <c r="P430" s="246" t="s">
        <v>6436</v>
      </c>
      <c r="Q430" s="246" t="s">
        <v>4462</v>
      </c>
      <c r="R430" s="248"/>
    </row>
    <row r="431" spans="1:18" x14ac:dyDescent="0.7">
      <c r="A431" s="246" t="s">
        <v>4466</v>
      </c>
      <c r="B431" s="246" t="s">
        <v>4467</v>
      </c>
      <c r="C431" s="246" t="s">
        <v>1764</v>
      </c>
      <c r="D431" s="246" t="s">
        <v>4468</v>
      </c>
      <c r="E431" s="246">
        <v>8</v>
      </c>
      <c r="F431" s="246" t="s">
        <v>2309</v>
      </c>
      <c r="G431" s="246" t="s">
        <v>2310</v>
      </c>
      <c r="H431" s="247">
        <v>47</v>
      </c>
      <c r="I431" s="246" t="s">
        <v>1238</v>
      </c>
      <c r="J431" s="247">
        <v>103</v>
      </c>
      <c r="K431" s="246" t="s">
        <v>2295</v>
      </c>
      <c r="L431" s="246" t="s">
        <v>2316</v>
      </c>
      <c r="M431" s="246">
        <v>9</v>
      </c>
      <c r="N431" s="246"/>
      <c r="O431" s="246" t="s">
        <v>4469</v>
      </c>
      <c r="P431" s="246" t="s">
        <v>6435</v>
      </c>
      <c r="Q431" s="246" t="s">
        <v>4466</v>
      </c>
      <c r="R431" s="248"/>
    </row>
    <row r="432" spans="1:18" x14ac:dyDescent="0.7">
      <c r="A432" s="246" t="s">
        <v>4470</v>
      </c>
      <c r="B432" s="246" t="s">
        <v>4471</v>
      </c>
      <c r="C432" s="246" t="s">
        <v>1765</v>
      </c>
      <c r="D432" s="246" t="s">
        <v>4472</v>
      </c>
      <c r="E432" s="246">
        <v>8</v>
      </c>
      <c r="F432" s="246" t="s">
        <v>2309</v>
      </c>
      <c r="G432" s="246" t="s">
        <v>2310</v>
      </c>
      <c r="H432" s="247">
        <v>47</v>
      </c>
      <c r="I432" s="246" t="s">
        <v>1238</v>
      </c>
      <c r="J432" s="247">
        <v>38</v>
      </c>
      <c r="K432" s="246" t="s">
        <v>2295</v>
      </c>
      <c r="L432" s="246" t="s">
        <v>2311</v>
      </c>
      <c r="M432" s="246">
        <v>6</v>
      </c>
      <c r="N432" s="246"/>
      <c r="O432" s="246" t="s">
        <v>4473</v>
      </c>
      <c r="P432" s="246" t="s">
        <v>6436</v>
      </c>
      <c r="Q432" s="246" t="s">
        <v>4470</v>
      </c>
      <c r="R432" s="248"/>
    </row>
    <row r="433" spans="1:18" x14ac:dyDescent="0.7">
      <c r="A433" s="246" t="s">
        <v>4474</v>
      </c>
      <c r="B433" s="246" t="s">
        <v>4475</v>
      </c>
      <c r="C433" s="246" t="s">
        <v>1766</v>
      </c>
      <c r="D433" s="246" t="s">
        <v>4476</v>
      </c>
      <c r="E433" s="246">
        <v>8</v>
      </c>
      <c r="F433" s="246" t="s">
        <v>2309</v>
      </c>
      <c r="G433" s="246" t="s">
        <v>2310</v>
      </c>
      <c r="H433" s="247">
        <v>47</v>
      </c>
      <c r="I433" s="246" t="s">
        <v>1238</v>
      </c>
      <c r="J433" s="247">
        <v>15</v>
      </c>
      <c r="K433" s="246" t="s">
        <v>2295</v>
      </c>
      <c r="L433" s="246" t="s">
        <v>2398</v>
      </c>
      <c r="M433" s="246">
        <v>2</v>
      </c>
      <c r="N433" s="246"/>
      <c r="O433" s="246" t="s">
        <v>4477</v>
      </c>
      <c r="P433" s="246" t="s">
        <v>6424</v>
      </c>
      <c r="Q433" s="246" t="s">
        <v>4474</v>
      </c>
      <c r="R433" s="248"/>
    </row>
    <row r="434" spans="1:18" x14ac:dyDescent="0.7">
      <c r="A434" s="246" t="s">
        <v>4478</v>
      </c>
      <c r="B434" s="246" t="s">
        <v>4479</v>
      </c>
      <c r="C434" s="246" t="s">
        <v>1767</v>
      </c>
      <c r="D434" s="246" t="s">
        <v>4480</v>
      </c>
      <c r="E434" s="246">
        <v>8</v>
      </c>
      <c r="F434" s="246" t="s">
        <v>2309</v>
      </c>
      <c r="G434" s="246" t="s">
        <v>2302</v>
      </c>
      <c r="H434" s="247">
        <v>47</v>
      </c>
      <c r="I434" s="246" t="s">
        <v>1238</v>
      </c>
      <c r="J434" s="247">
        <v>246</v>
      </c>
      <c r="K434" s="246" t="s">
        <v>2295</v>
      </c>
      <c r="L434" s="246" t="s">
        <v>2304</v>
      </c>
      <c r="M434" s="246">
        <v>15</v>
      </c>
      <c r="N434" s="246"/>
      <c r="O434" s="246" t="s">
        <v>4481</v>
      </c>
      <c r="P434" s="246" t="s">
        <v>6429</v>
      </c>
      <c r="Q434" s="246" t="s">
        <v>4478</v>
      </c>
      <c r="R434" s="248"/>
    </row>
    <row r="435" spans="1:18" x14ac:dyDescent="0.7">
      <c r="A435" s="246" t="s">
        <v>4482</v>
      </c>
      <c r="B435" s="246" t="s">
        <v>4483</v>
      </c>
      <c r="C435" s="246" t="s">
        <v>1768</v>
      </c>
      <c r="D435" s="246" t="s">
        <v>4484</v>
      </c>
      <c r="E435" s="246">
        <v>8</v>
      </c>
      <c r="F435" s="246" t="s">
        <v>2309</v>
      </c>
      <c r="G435" s="246" t="s">
        <v>2310</v>
      </c>
      <c r="H435" s="247">
        <v>47</v>
      </c>
      <c r="I435" s="246" t="s">
        <v>1238</v>
      </c>
      <c r="J435" s="247">
        <v>40</v>
      </c>
      <c r="K435" s="246" t="s">
        <v>2295</v>
      </c>
      <c r="L435" s="246" t="s">
        <v>2311</v>
      </c>
      <c r="M435" s="246">
        <v>6</v>
      </c>
      <c r="N435" s="246"/>
      <c r="O435" s="246" t="s">
        <v>4485</v>
      </c>
      <c r="P435" s="246" t="s">
        <v>6436</v>
      </c>
      <c r="Q435" s="246" t="s">
        <v>4482</v>
      </c>
      <c r="R435" s="248"/>
    </row>
    <row r="436" spans="1:18" x14ac:dyDescent="0.7">
      <c r="A436" s="246" t="s">
        <v>4486</v>
      </c>
      <c r="B436" s="246" t="s">
        <v>4487</v>
      </c>
      <c r="C436" s="246" t="s">
        <v>1769</v>
      </c>
      <c r="D436" s="246" t="s">
        <v>4488</v>
      </c>
      <c r="E436" s="246">
        <v>8</v>
      </c>
      <c r="F436" s="246" t="s">
        <v>2309</v>
      </c>
      <c r="G436" s="246" t="s">
        <v>2310</v>
      </c>
      <c r="H436" s="247">
        <v>47</v>
      </c>
      <c r="I436" s="246" t="s">
        <v>1238</v>
      </c>
      <c r="J436" s="247">
        <v>78</v>
      </c>
      <c r="K436" s="246" t="s">
        <v>2295</v>
      </c>
      <c r="L436" s="246" t="s">
        <v>2316</v>
      </c>
      <c r="M436" s="246">
        <v>10</v>
      </c>
      <c r="N436" s="246"/>
      <c r="O436" s="246" t="s">
        <v>4489</v>
      </c>
      <c r="P436" s="246" t="s">
        <v>6433</v>
      </c>
      <c r="Q436" s="246" t="s">
        <v>4486</v>
      </c>
      <c r="R436" s="248"/>
    </row>
    <row r="437" spans="1:18" x14ac:dyDescent="0.7">
      <c r="A437" s="246" t="s">
        <v>4490</v>
      </c>
      <c r="B437" s="246" t="s">
        <v>4491</v>
      </c>
      <c r="C437" s="246" t="s">
        <v>1770</v>
      </c>
      <c r="D437" s="246" t="s">
        <v>4492</v>
      </c>
      <c r="E437" s="246">
        <v>8</v>
      </c>
      <c r="F437" s="246" t="s">
        <v>2309</v>
      </c>
      <c r="G437" s="246" t="s">
        <v>2310</v>
      </c>
      <c r="H437" s="247">
        <v>47</v>
      </c>
      <c r="I437" s="246" t="s">
        <v>1238</v>
      </c>
      <c r="J437" s="247">
        <v>123</v>
      </c>
      <c r="K437" s="246" t="s">
        <v>2295</v>
      </c>
      <c r="L437" s="246" t="s">
        <v>2316</v>
      </c>
      <c r="M437" s="246">
        <v>10</v>
      </c>
      <c r="N437" s="246"/>
      <c r="O437" s="246" t="s">
        <v>4493</v>
      </c>
      <c r="P437" s="246" t="s">
        <v>6433</v>
      </c>
      <c r="Q437" s="246" t="s">
        <v>4490</v>
      </c>
      <c r="R437" s="248"/>
    </row>
    <row r="438" spans="1:18" x14ac:dyDescent="0.7">
      <c r="A438" s="246" t="s">
        <v>4494</v>
      </c>
      <c r="B438" s="246" t="s">
        <v>4495</v>
      </c>
      <c r="C438" s="246" t="s">
        <v>1771</v>
      </c>
      <c r="D438" s="246" t="s">
        <v>4496</v>
      </c>
      <c r="E438" s="246">
        <v>8</v>
      </c>
      <c r="F438" s="246" t="s">
        <v>2309</v>
      </c>
      <c r="G438" s="246" t="s">
        <v>2310</v>
      </c>
      <c r="H438" s="247">
        <v>47</v>
      </c>
      <c r="I438" s="246" t="s">
        <v>1238</v>
      </c>
      <c r="J438" s="247">
        <v>42</v>
      </c>
      <c r="K438" s="246" t="s">
        <v>2303</v>
      </c>
      <c r="L438" s="246" t="s">
        <v>2311</v>
      </c>
      <c r="M438" s="246">
        <v>5</v>
      </c>
      <c r="N438" s="246"/>
      <c r="O438" s="246" t="s">
        <v>4497</v>
      </c>
      <c r="P438" s="246" t="s">
        <v>6437</v>
      </c>
      <c r="Q438" s="246" t="s">
        <v>4494</v>
      </c>
      <c r="R438" s="248"/>
    </row>
    <row r="439" spans="1:18" x14ac:dyDescent="0.7">
      <c r="A439" s="246" t="s">
        <v>4498</v>
      </c>
      <c r="B439" s="246" t="s">
        <v>4499</v>
      </c>
      <c r="C439" s="246" t="s">
        <v>1772</v>
      </c>
      <c r="D439" s="246" t="s">
        <v>4500</v>
      </c>
      <c r="E439" s="246">
        <v>8</v>
      </c>
      <c r="F439" s="246" t="s">
        <v>2309</v>
      </c>
      <c r="G439" s="246" t="s">
        <v>2310</v>
      </c>
      <c r="H439" s="247">
        <v>47</v>
      </c>
      <c r="I439" s="246" t="s">
        <v>1238</v>
      </c>
      <c r="J439" s="247">
        <v>38</v>
      </c>
      <c r="K439" s="246" t="s">
        <v>2295</v>
      </c>
      <c r="L439" s="246" t="s">
        <v>2311</v>
      </c>
      <c r="M439" s="246">
        <v>5</v>
      </c>
      <c r="N439" s="246"/>
      <c r="O439" s="246" t="s">
        <v>4501</v>
      </c>
      <c r="P439" s="246" t="s">
        <v>6437</v>
      </c>
      <c r="Q439" s="246" t="s">
        <v>4498</v>
      </c>
      <c r="R439" s="248"/>
    </row>
    <row r="440" spans="1:18" x14ac:dyDescent="0.7">
      <c r="A440" s="246" t="s">
        <v>4502</v>
      </c>
      <c r="B440" s="246" t="s">
        <v>4503</v>
      </c>
      <c r="C440" s="246" t="s">
        <v>1773</v>
      </c>
      <c r="D440" s="246" t="s">
        <v>4504</v>
      </c>
      <c r="E440" s="246">
        <v>8</v>
      </c>
      <c r="F440" s="246" t="s">
        <v>2309</v>
      </c>
      <c r="G440" s="246" t="s">
        <v>2310</v>
      </c>
      <c r="H440" s="247">
        <v>47</v>
      </c>
      <c r="I440" s="246" t="s">
        <v>1238</v>
      </c>
      <c r="J440" s="247">
        <v>42</v>
      </c>
      <c r="K440" s="246" t="s">
        <v>2303</v>
      </c>
      <c r="L440" s="246" t="s">
        <v>2311</v>
      </c>
      <c r="M440" s="246">
        <v>5</v>
      </c>
      <c r="N440" s="246"/>
      <c r="O440" s="246" t="s">
        <v>4505</v>
      </c>
      <c r="P440" s="246" t="s">
        <v>6437</v>
      </c>
      <c r="Q440" s="246" t="s">
        <v>4502</v>
      </c>
      <c r="R440" s="248"/>
    </row>
    <row r="441" spans="1:18" x14ac:dyDescent="0.7">
      <c r="A441" s="246" t="s">
        <v>4506</v>
      </c>
      <c r="B441" s="246" t="s">
        <v>4507</v>
      </c>
      <c r="C441" s="246" t="s">
        <v>1774</v>
      </c>
      <c r="D441" s="246" t="s">
        <v>4508</v>
      </c>
      <c r="E441" s="246">
        <v>8</v>
      </c>
      <c r="F441" s="246" t="s">
        <v>2309</v>
      </c>
      <c r="G441" s="246" t="s">
        <v>2310</v>
      </c>
      <c r="H441" s="247">
        <v>47</v>
      </c>
      <c r="I441" s="246" t="s">
        <v>1238</v>
      </c>
      <c r="J441" s="247">
        <v>40</v>
      </c>
      <c r="K441" s="246" t="s">
        <v>2295</v>
      </c>
      <c r="L441" s="246" t="s">
        <v>2311</v>
      </c>
      <c r="M441" s="246">
        <v>6</v>
      </c>
      <c r="N441" s="246"/>
      <c r="O441" s="246" t="s">
        <v>4509</v>
      </c>
      <c r="P441" s="246" t="s">
        <v>6436</v>
      </c>
      <c r="Q441" s="246" t="s">
        <v>4506</v>
      </c>
      <c r="R441" s="248"/>
    </row>
    <row r="442" spans="1:18" x14ac:dyDescent="0.7">
      <c r="A442" s="246" t="s">
        <v>4510</v>
      </c>
      <c r="B442" s="246" t="s">
        <v>4511</v>
      </c>
      <c r="C442" s="246" t="s">
        <v>1775</v>
      </c>
      <c r="D442" s="246" t="s">
        <v>4512</v>
      </c>
      <c r="E442" s="246">
        <v>8</v>
      </c>
      <c r="F442" s="246" t="s">
        <v>2309</v>
      </c>
      <c r="G442" s="246" t="s">
        <v>2310</v>
      </c>
      <c r="H442" s="247">
        <v>47</v>
      </c>
      <c r="I442" s="246" t="s">
        <v>1238</v>
      </c>
      <c r="J442" s="247">
        <v>35</v>
      </c>
      <c r="K442" s="246" t="s">
        <v>2295</v>
      </c>
      <c r="L442" s="246" t="s">
        <v>2311</v>
      </c>
      <c r="M442" s="246">
        <v>5</v>
      </c>
      <c r="N442" s="246"/>
      <c r="O442" s="246" t="s">
        <v>4513</v>
      </c>
      <c r="P442" s="246" t="s">
        <v>6437</v>
      </c>
      <c r="Q442" s="246" t="s">
        <v>4510</v>
      </c>
      <c r="R442" s="248"/>
    </row>
    <row r="443" spans="1:18" x14ac:dyDescent="0.7">
      <c r="A443" s="246" t="s">
        <v>4525</v>
      </c>
      <c r="B443" s="246" t="s">
        <v>4526</v>
      </c>
      <c r="C443" s="246" t="s">
        <v>1729</v>
      </c>
      <c r="D443" s="246" t="s">
        <v>4527</v>
      </c>
      <c r="E443" s="246">
        <v>8</v>
      </c>
      <c r="F443" s="246" t="s">
        <v>2309</v>
      </c>
      <c r="G443" s="246" t="s">
        <v>2310</v>
      </c>
      <c r="H443" s="247">
        <v>48</v>
      </c>
      <c r="I443" s="246" t="s">
        <v>1235</v>
      </c>
      <c r="J443" s="247">
        <v>40</v>
      </c>
      <c r="K443" s="246" t="s">
        <v>2303</v>
      </c>
      <c r="L443" s="246" t="s">
        <v>2311</v>
      </c>
      <c r="M443" s="246">
        <v>6</v>
      </c>
      <c r="N443" s="246"/>
      <c r="O443" s="246" t="s">
        <v>4528</v>
      </c>
      <c r="P443" s="246" t="s">
        <v>6436</v>
      </c>
      <c r="Q443" s="246" t="s">
        <v>4525</v>
      </c>
      <c r="R443" s="248"/>
    </row>
    <row r="444" spans="1:18" x14ac:dyDescent="0.7">
      <c r="A444" s="246" t="s">
        <v>4529</v>
      </c>
      <c r="B444" s="246" t="s">
        <v>4530</v>
      </c>
      <c r="C444" s="246" t="s">
        <v>1730</v>
      </c>
      <c r="D444" s="246" t="s">
        <v>4531</v>
      </c>
      <c r="E444" s="246">
        <v>8</v>
      </c>
      <c r="F444" s="246" t="s">
        <v>2309</v>
      </c>
      <c r="G444" s="246" t="s">
        <v>2310</v>
      </c>
      <c r="H444" s="247">
        <v>48</v>
      </c>
      <c r="I444" s="246" t="s">
        <v>1235</v>
      </c>
      <c r="J444" s="247">
        <v>47</v>
      </c>
      <c r="K444" s="246" t="s">
        <v>2303</v>
      </c>
      <c r="L444" s="246" t="s">
        <v>2311</v>
      </c>
      <c r="M444" s="246">
        <v>6</v>
      </c>
      <c r="N444" s="246"/>
      <c r="O444" s="246" t="s">
        <v>4532</v>
      </c>
      <c r="P444" s="246" t="s">
        <v>6436</v>
      </c>
      <c r="Q444" s="246" t="s">
        <v>4529</v>
      </c>
      <c r="R444" s="248"/>
    </row>
    <row r="445" spans="1:18" x14ac:dyDescent="0.7">
      <c r="A445" s="246" t="s">
        <v>4533</v>
      </c>
      <c r="B445" s="246" t="s">
        <v>4534</v>
      </c>
      <c r="C445" s="246" t="s">
        <v>1731</v>
      </c>
      <c r="D445" s="246" t="s">
        <v>4535</v>
      </c>
      <c r="E445" s="246">
        <v>8</v>
      </c>
      <c r="F445" s="246" t="s">
        <v>2309</v>
      </c>
      <c r="G445" s="246" t="s">
        <v>2310</v>
      </c>
      <c r="H445" s="247">
        <v>48</v>
      </c>
      <c r="I445" s="246" t="s">
        <v>1235</v>
      </c>
      <c r="J445" s="247">
        <v>43</v>
      </c>
      <c r="K445" s="246" t="s">
        <v>2303</v>
      </c>
      <c r="L445" s="246" t="s">
        <v>2311</v>
      </c>
      <c r="M445" s="246">
        <v>5</v>
      </c>
      <c r="N445" s="246"/>
      <c r="O445" s="246" t="s">
        <v>4536</v>
      </c>
      <c r="P445" s="246" t="s">
        <v>6437</v>
      </c>
      <c r="Q445" s="246" t="s">
        <v>4533</v>
      </c>
      <c r="R445" s="248"/>
    </row>
    <row r="446" spans="1:18" x14ac:dyDescent="0.7">
      <c r="A446" s="246" t="s">
        <v>4537</v>
      </c>
      <c r="B446" s="246" t="s">
        <v>4538</v>
      </c>
      <c r="C446" s="246" t="s">
        <v>1732</v>
      </c>
      <c r="D446" s="246" t="s">
        <v>4539</v>
      </c>
      <c r="E446" s="246">
        <v>8</v>
      </c>
      <c r="F446" s="246" t="s">
        <v>2309</v>
      </c>
      <c r="G446" s="246" t="s">
        <v>2310</v>
      </c>
      <c r="H446" s="247">
        <v>48</v>
      </c>
      <c r="I446" s="246" t="s">
        <v>1235</v>
      </c>
      <c r="J446" s="247">
        <v>43</v>
      </c>
      <c r="K446" s="246" t="s">
        <v>2303</v>
      </c>
      <c r="L446" s="246" t="s">
        <v>2311</v>
      </c>
      <c r="M446" s="246">
        <v>5</v>
      </c>
      <c r="N446" s="246"/>
      <c r="O446" s="246" t="s">
        <v>4540</v>
      </c>
      <c r="P446" s="246" t="s">
        <v>6437</v>
      </c>
      <c r="Q446" s="246" t="s">
        <v>4537</v>
      </c>
      <c r="R446" s="248"/>
    </row>
    <row r="447" spans="1:18" x14ac:dyDescent="0.7">
      <c r="A447" s="246" t="s">
        <v>4541</v>
      </c>
      <c r="B447" s="246" t="s">
        <v>4542</v>
      </c>
      <c r="C447" s="246" t="s">
        <v>1733</v>
      </c>
      <c r="D447" s="246" t="s">
        <v>4543</v>
      </c>
      <c r="E447" s="246">
        <v>8</v>
      </c>
      <c r="F447" s="246" t="s">
        <v>2309</v>
      </c>
      <c r="G447" s="246" t="s">
        <v>2310</v>
      </c>
      <c r="H447" s="247">
        <v>48</v>
      </c>
      <c r="I447" s="246" t="s">
        <v>1235</v>
      </c>
      <c r="J447" s="247">
        <v>59</v>
      </c>
      <c r="K447" s="246" t="s">
        <v>2303</v>
      </c>
      <c r="L447" s="246" t="s">
        <v>2311</v>
      </c>
      <c r="M447" s="246">
        <v>6</v>
      </c>
      <c r="N447" s="246"/>
      <c r="O447" s="246" t="s">
        <v>4544</v>
      </c>
      <c r="P447" s="246" t="s">
        <v>6436</v>
      </c>
      <c r="Q447" s="246" t="s">
        <v>4541</v>
      </c>
      <c r="R447" s="248"/>
    </row>
    <row r="448" spans="1:18" x14ac:dyDescent="0.7">
      <c r="A448" s="246" t="s">
        <v>4545</v>
      </c>
      <c r="B448" s="246" t="s">
        <v>4546</v>
      </c>
      <c r="C448" s="246" t="s">
        <v>1734</v>
      </c>
      <c r="D448" s="246" t="s">
        <v>4547</v>
      </c>
      <c r="E448" s="246">
        <v>8</v>
      </c>
      <c r="F448" s="246" t="s">
        <v>2309</v>
      </c>
      <c r="G448" s="246" t="s">
        <v>2310</v>
      </c>
      <c r="H448" s="247">
        <v>48</v>
      </c>
      <c r="I448" s="246" t="s">
        <v>1235</v>
      </c>
      <c r="J448" s="247">
        <v>60</v>
      </c>
      <c r="K448" s="246" t="s">
        <v>2303</v>
      </c>
      <c r="L448" s="246" t="s">
        <v>2311</v>
      </c>
      <c r="M448" s="246">
        <v>6</v>
      </c>
      <c r="N448" s="246"/>
      <c r="O448" s="246" t="s">
        <v>4548</v>
      </c>
      <c r="P448" s="246" t="s">
        <v>6436</v>
      </c>
      <c r="Q448" s="246" t="s">
        <v>4545</v>
      </c>
      <c r="R448" s="248"/>
    </row>
    <row r="449" spans="1:18" x14ac:dyDescent="0.7">
      <c r="A449" s="246" t="s">
        <v>4549</v>
      </c>
      <c r="B449" s="246" t="s">
        <v>4550</v>
      </c>
      <c r="C449" s="246" t="s">
        <v>1735</v>
      </c>
      <c r="D449" s="246" t="s">
        <v>4551</v>
      </c>
      <c r="E449" s="246">
        <v>8</v>
      </c>
      <c r="F449" s="246" t="s">
        <v>2309</v>
      </c>
      <c r="G449" s="246" t="s">
        <v>2310</v>
      </c>
      <c r="H449" s="247">
        <v>48</v>
      </c>
      <c r="I449" s="246" t="s">
        <v>1235</v>
      </c>
      <c r="J449" s="247">
        <v>90</v>
      </c>
      <c r="K449" s="246" t="s">
        <v>2303</v>
      </c>
      <c r="L449" s="246" t="s">
        <v>2316</v>
      </c>
      <c r="M449" s="246">
        <v>10</v>
      </c>
      <c r="N449" s="246"/>
      <c r="O449" s="246" t="s">
        <v>4552</v>
      </c>
      <c r="P449" s="246" t="s">
        <v>6433</v>
      </c>
      <c r="Q449" s="246" t="s">
        <v>4549</v>
      </c>
      <c r="R449" s="248"/>
    </row>
    <row r="450" spans="1:18" x14ac:dyDescent="0.7">
      <c r="A450" s="246" t="s">
        <v>4553</v>
      </c>
      <c r="B450" s="246" t="s">
        <v>4554</v>
      </c>
      <c r="C450" s="246" t="s">
        <v>1736</v>
      </c>
      <c r="D450" s="246" t="s">
        <v>4555</v>
      </c>
      <c r="E450" s="246">
        <v>8</v>
      </c>
      <c r="F450" s="246" t="s">
        <v>2309</v>
      </c>
      <c r="G450" s="246" t="s">
        <v>2310</v>
      </c>
      <c r="H450" s="247">
        <v>48</v>
      </c>
      <c r="I450" s="246" t="s">
        <v>1235</v>
      </c>
      <c r="J450" s="247">
        <v>36</v>
      </c>
      <c r="K450" s="246" t="s">
        <v>2303</v>
      </c>
      <c r="L450" s="246" t="s">
        <v>2311</v>
      </c>
      <c r="M450" s="246">
        <v>6</v>
      </c>
      <c r="N450" s="246"/>
      <c r="O450" s="246" t="s">
        <v>4556</v>
      </c>
      <c r="P450" s="246" t="s">
        <v>6436</v>
      </c>
      <c r="Q450" s="246" t="s">
        <v>4553</v>
      </c>
      <c r="R450" s="248"/>
    </row>
    <row r="451" spans="1:18" x14ac:dyDescent="0.7">
      <c r="A451" s="246" t="s">
        <v>4557</v>
      </c>
      <c r="B451" s="246" t="s">
        <v>4558</v>
      </c>
      <c r="C451" s="246" t="s">
        <v>1737</v>
      </c>
      <c r="D451" s="246" t="s">
        <v>4559</v>
      </c>
      <c r="E451" s="246">
        <v>8</v>
      </c>
      <c r="F451" s="246" t="s">
        <v>2309</v>
      </c>
      <c r="G451" s="246" t="s">
        <v>2310</v>
      </c>
      <c r="H451" s="247">
        <v>48</v>
      </c>
      <c r="I451" s="246" t="s">
        <v>1235</v>
      </c>
      <c r="J451" s="247">
        <v>40</v>
      </c>
      <c r="K451" s="246" t="s">
        <v>2303</v>
      </c>
      <c r="L451" s="246" t="s">
        <v>2311</v>
      </c>
      <c r="M451" s="246">
        <v>6</v>
      </c>
      <c r="N451" s="246"/>
      <c r="O451" s="246" t="s">
        <v>4560</v>
      </c>
      <c r="P451" s="246" t="s">
        <v>6436</v>
      </c>
      <c r="Q451" s="246" t="s">
        <v>4557</v>
      </c>
      <c r="R451" s="248"/>
    </row>
    <row r="452" spans="1:18" x14ac:dyDescent="0.7">
      <c r="A452" s="246" t="s">
        <v>5164</v>
      </c>
      <c r="B452" s="246" t="s">
        <v>5165</v>
      </c>
      <c r="C452" s="246" t="s">
        <v>1892</v>
      </c>
      <c r="D452" s="246" t="s">
        <v>5166</v>
      </c>
      <c r="E452" s="246">
        <v>10</v>
      </c>
      <c r="F452" s="246" t="s">
        <v>2309</v>
      </c>
      <c r="G452" s="246" t="s">
        <v>2310</v>
      </c>
      <c r="H452" s="247">
        <v>49</v>
      </c>
      <c r="I452" s="246" t="s">
        <v>1246</v>
      </c>
      <c r="J452" s="247">
        <v>30</v>
      </c>
      <c r="K452" s="246" t="s">
        <v>2303</v>
      </c>
      <c r="L452" s="246" t="s">
        <v>2311</v>
      </c>
      <c r="M452" s="246">
        <v>6</v>
      </c>
      <c r="N452" s="246"/>
      <c r="O452" s="246" t="s">
        <v>5167</v>
      </c>
      <c r="P452" s="246" t="s">
        <v>6436</v>
      </c>
      <c r="Q452" s="246" t="s">
        <v>5164</v>
      </c>
      <c r="R452" s="248"/>
    </row>
    <row r="453" spans="1:18" x14ac:dyDescent="0.7">
      <c r="A453" s="246" t="s">
        <v>5168</v>
      </c>
      <c r="B453" s="246" t="s">
        <v>5169</v>
      </c>
      <c r="C453" s="246" t="s">
        <v>1893</v>
      </c>
      <c r="D453" s="246" t="s">
        <v>5170</v>
      </c>
      <c r="E453" s="246">
        <v>10</v>
      </c>
      <c r="F453" s="246" t="s">
        <v>2309</v>
      </c>
      <c r="G453" s="246" t="s">
        <v>2310</v>
      </c>
      <c r="H453" s="247">
        <v>49</v>
      </c>
      <c r="I453" s="246" t="s">
        <v>1246</v>
      </c>
      <c r="J453" s="247">
        <v>51</v>
      </c>
      <c r="K453" s="246" t="s">
        <v>2303</v>
      </c>
      <c r="L453" s="246" t="s">
        <v>2311</v>
      </c>
      <c r="M453" s="246">
        <v>6</v>
      </c>
      <c r="N453" s="246"/>
      <c r="O453" s="246" t="s">
        <v>5171</v>
      </c>
      <c r="P453" s="246" t="s">
        <v>6436</v>
      </c>
      <c r="Q453" s="246" t="s">
        <v>5168</v>
      </c>
      <c r="R453" s="248"/>
    </row>
    <row r="454" spans="1:18" x14ac:dyDescent="0.7">
      <c r="A454" s="246" t="s">
        <v>5172</v>
      </c>
      <c r="B454" s="246" t="s">
        <v>5173</v>
      </c>
      <c r="C454" s="246" t="s">
        <v>1894</v>
      </c>
      <c r="D454" s="246" t="s">
        <v>5174</v>
      </c>
      <c r="E454" s="246">
        <v>10</v>
      </c>
      <c r="F454" s="246" t="s">
        <v>2309</v>
      </c>
      <c r="G454" s="246" t="s">
        <v>2310</v>
      </c>
      <c r="H454" s="247">
        <v>49</v>
      </c>
      <c r="I454" s="246" t="s">
        <v>1246</v>
      </c>
      <c r="J454" s="247">
        <v>41</v>
      </c>
      <c r="K454" s="246" t="s">
        <v>2303</v>
      </c>
      <c r="L454" s="246" t="s">
        <v>2311</v>
      </c>
      <c r="M454" s="246">
        <v>6</v>
      </c>
      <c r="N454" s="246"/>
      <c r="O454" s="246" t="s">
        <v>5175</v>
      </c>
      <c r="P454" s="246" t="s">
        <v>6436</v>
      </c>
      <c r="Q454" s="246" t="s">
        <v>5172</v>
      </c>
      <c r="R454" s="248"/>
    </row>
    <row r="455" spans="1:18" x14ac:dyDescent="0.7">
      <c r="A455" s="246" t="s">
        <v>5176</v>
      </c>
      <c r="B455" s="246" t="s">
        <v>5177</v>
      </c>
      <c r="C455" s="246" t="s">
        <v>1895</v>
      </c>
      <c r="D455" s="246" t="s">
        <v>5178</v>
      </c>
      <c r="E455" s="246">
        <v>10</v>
      </c>
      <c r="F455" s="246" t="s">
        <v>2309</v>
      </c>
      <c r="G455" s="246" t="s">
        <v>2310</v>
      </c>
      <c r="H455" s="247">
        <v>49</v>
      </c>
      <c r="I455" s="246" t="s">
        <v>1246</v>
      </c>
      <c r="J455" s="247">
        <v>46</v>
      </c>
      <c r="K455" s="246" t="s">
        <v>2303</v>
      </c>
      <c r="L455" s="246" t="s">
        <v>2311</v>
      </c>
      <c r="M455" s="246">
        <v>6</v>
      </c>
      <c r="N455" s="246"/>
      <c r="O455" s="246" t="s">
        <v>5179</v>
      </c>
      <c r="P455" s="246" t="s">
        <v>6436</v>
      </c>
      <c r="Q455" s="246" t="s">
        <v>5176</v>
      </c>
      <c r="R455" s="248"/>
    </row>
    <row r="456" spans="1:18" x14ac:dyDescent="0.7">
      <c r="A456" s="246" t="s">
        <v>5180</v>
      </c>
      <c r="B456" s="246" t="s">
        <v>5181</v>
      </c>
      <c r="C456" s="246" t="s">
        <v>1896</v>
      </c>
      <c r="D456" s="246" t="s">
        <v>5182</v>
      </c>
      <c r="E456" s="246">
        <v>10</v>
      </c>
      <c r="F456" s="246" t="s">
        <v>2309</v>
      </c>
      <c r="G456" s="246" t="s">
        <v>2310</v>
      </c>
      <c r="H456" s="247">
        <v>49</v>
      </c>
      <c r="I456" s="246" t="s">
        <v>1246</v>
      </c>
      <c r="J456" s="247">
        <v>30</v>
      </c>
      <c r="K456" s="246" t="s">
        <v>2303</v>
      </c>
      <c r="L456" s="246" t="s">
        <v>2311</v>
      </c>
      <c r="M456" s="246">
        <v>5</v>
      </c>
      <c r="N456" s="246"/>
      <c r="O456" s="246" t="s">
        <v>5183</v>
      </c>
      <c r="P456" s="246" t="s">
        <v>6437</v>
      </c>
      <c r="Q456" s="246" t="s">
        <v>5180</v>
      </c>
      <c r="R456" s="248"/>
    </row>
    <row r="457" spans="1:18" x14ac:dyDescent="0.7">
      <c r="A457" s="246" t="s">
        <v>5184</v>
      </c>
      <c r="B457" s="246" t="s">
        <v>5185</v>
      </c>
      <c r="C457" s="246" t="s">
        <v>1897</v>
      </c>
      <c r="D457" s="246" t="s">
        <v>5186</v>
      </c>
      <c r="E457" s="246">
        <v>10</v>
      </c>
      <c r="F457" s="246" t="s">
        <v>2309</v>
      </c>
      <c r="G457" s="246" t="s">
        <v>2310</v>
      </c>
      <c r="H457" s="247">
        <v>49</v>
      </c>
      <c r="I457" s="246" t="s">
        <v>1246</v>
      </c>
      <c r="J457" s="247">
        <v>30</v>
      </c>
      <c r="K457" s="246" t="s">
        <v>2303</v>
      </c>
      <c r="L457" s="246" t="s">
        <v>2311</v>
      </c>
      <c r="M457" s="246">
        <v>5</v>
      </c>
      <c r="N457" s="246"/>
      <c r="O457" s="246" t="s">
        <v>5187</v>
      </c>
      <c r="P457" s="246" t="s">
        <v>6437</v>
      </c>
      <c r="Q457" s="246" t="s">
        <v>5184</v>
      </c>
      <c r="R457" s="248"/>
    </row>
    <row r="458" spans="1:18" x14ac:dyDescent="0.7">
      <c r="A458" s="246" t="s">
        <v>2298</v>
      </c>
      <c r="B458" s="246" t="s">
        <v>2299</v>
      </c>
      <c r="C458" s="246" t="s">
        <v>2107</v>
      </c>
      <c r="D458" s="246" t="s">
        <v>2300</v>
      </c>
      <c r="E458" s="246">
        <v>1</v>
      </c>
      <c r="F458" s="246" t="s">
        <v>2301</v>
      </c>
      <c r="G458" s="246" t="s">
        <v>2302</v>
      </c>
      <c r="H458" s="247">
        <v>50</v>
      </c>
      <c r="I458" s="246" t="s">
        <v>1190</v>
      </c>
      <c r="J458" s="247">
        <v>258</v>
      </c>
      <c r="K458" s="246" t="s">
        <v>2303</v>
      </c>
      <c r="L458" s="246" t="s">
        <v>2304</v>
      </c>
      <c r="M458" s="246">
        <v>15</v>
      </c>
      <c r="N458" s="246"/>
      <c r="O458" s="246" t="s">
        <v>2305</v>
      </c>
      <c r="P458" s="246" t="s">
        <v>6429</v>
      </c>
      <c r="Q458" s="246" t="s">
        <v>2298</v>
      </c>
      <c r="R458" s="248"/>
    </row>
    <row r="459" spans="1:18" x14ac:dyDescent="0.7">
      <c r="A459" s="246" t="s">
        <v>2306</v>
      </c>
      <c r="B459" s="246" t="s">
        <v>2307</v>
      </c>
      <c r="C459" s="246" t="s">
        <v>2108</v>
      </c>
      <c r="D459" s="246" t="s">
        <v>2308</v>
      </c>
      <c r="E459" s="246">
        <v>1</v>
      </c>
      <c r="F459" s="246" t="s">
        <v>2309</v>
      </c>
      <c r="G459" s="246" t="s">
        <v>2310</v>
      </c>
      <c r="H459" s="247">
        <v>50</v>
      </c>
      <c r="I459" s="246" t="s">
        <v>1190</v>
      </c>
      <c r="J459" s="247">
        <v>60</v>
      </c>
      <c r="K459" s="246" t="s">
        <v>2303</v>
      </c>
      <c r="L459" s="246" t="s">
        <v>2311</v>
      </c>
      <c r="M459" s="246">
        <v>6</v>
      </c>
      <c r="N459" s="246"/>
      <c r="O459" s="246" t="s">
        <v>2312</v>
      </c>
      <c r="P459" s="246" t="s">
        <v>6436</v>
      </c>
      <c r="Q459" s="246" t="s">
        <v>2306</v>
      </c>
      <c r="R459" s="248"/>
    </row>
    <row r="460" spans="1:18" x14ac:dyDescent="0.7">
      <c r="A460" s="246" t="s">
        <v>2313</v>
      </c>
      <c r="B460" s="246" t="s">
        <v>2314</v>
      </c>
      <c r="C460" s="246" t="s">
        <v>1286</v>
      </c>
      <c r="D460" s="246" t="s">
        <v>2315</v>
      </c>
      <c r="E460" s="246">
        <v>1</v>
      </c>
      <c r="F460" s="246" t="s">
        <v>2309</v>
      </c>
      <c r="G460" s="246" t="s">
        <v>2310</v>
      </c>
      <c r="H460" s="247">
        <v>50</v>
      </c>
      <c r="I460" s="246" t="s">
        <v>1190</v>
      </c>
      <c r="J460" s="247">
        <v>120</v>
      </c>
      <c r="K460" s="246" t="s">
        <v>2303</v>
      </c>
      <c r="L460" s="246" t="s">
        <v>2316</v>
      </c>
      <c r="M460" s="246">
        <v>10</v>
      </c>
      <c r="N460" s="246"/>
      <c r="O460" s="246" t="s">
        <v>2317</v>
      </c>
      <c r="P460" s="246" t="s">
        <v>6433</v>
      </c>
      <c r="Q460" s="246" t="s">
        <v>2313</v>
      </c>
      <c r="R460" s="248"/>
    </row>
    <row r="461" spans="1:18" x14ac:dyDescent="0.7">
      <c r="A461" s="246" t="s">
        <v>2318</v>
      </c>
      <c r="B461" s="246" t="s">
        <v>2319</v>
      </c>
      <c r="C461" s="246" t="s">
        <v>1287</v>
      </c>
      <c r="D461" s="246" t="s">
        <v>2320</v>
      </c>
      <c r="E461" s="246">
        <v>1</v>
      </c>
      <c r="F461" s="246" t="s">
        <v>2309</v>
      </c>
      <c r="G461" s="246" t="s">
        <v>2310</v>
      </c>
      <c r="H461" s="247">
        <v>50</v>
      </c>
      <c r="I461" s="246" t="s">
        <v>1190</v>
      </c>
      <c r="J461" s="247">
        <v>60</v>
      </c>
      <c r="K461" s="246" t="s">
        <v>2303</v>
      </c>
      <c r="L461" s="246" t="s">
        <v>2311</v>
      </c>
      <c r="M461" s="246">
        <v>6</v>
      </c>
      <c r="N461" s="246"/>
      <c r="O461" s="246" t="s">
        <v>2321</v>
      </c>
      <c r="P461" s="246" t="s">
        <v>6436</v>
      </c>
      <c r="Q461" s="246" t="s">
        <v>2318</v>
      </c>
      <c r="R461" s="248"/>
    </row>
    <row r="462" spans="1:18" x14ac:dyDescent="0.7">
      <c r="A462" s="246" t="s">
        <v>2322</v>
      </c>
      <c r="B462" s="246" t="s">
        <v>2323</v>
      </c>
      <c r="C462" s="246" t="s">
        <v>1288</v>
      </c>
      <c r="D462" s="246" t="s">
        <v>2324</v>
      </c>
      <c r="E462" s="246">
        <v>1</v>
      </c>
      <c r="F462" s="246" t="s">
        <v>2309</v>
      </c>
      <c r="G462" s="246" t="s">
        <v>2310</v>
      </c>
      <c r="H462" s="247">
        <v>50</v>
      </c>
      <c r="I462" s="246" t="s">
        <v>1190</v>
      </c>
      <c r="J462" s="247">
        <v>60</v>
      </c>
      <c r="K462" s="246" t="s">
        <v>2303</v>
      </c>
      <c r="L462" s="246" t="s">
        <v>2311</v>
      </c>
      <c r="M462" s="246">
        <v>6</v>
      </c>
      <c r="N462" s="246"/>
      <c r="O462" s="246" t="s">
        <v>2325</v>
      </c>
      <c r="P462" s="246" t="s">
        <v>6436</v>
      </c>
      <c r="Q462" s="246" t="s">
        <v>2322</v>
      </c>
      <c r="R462" s="248"/>
    </row>
    <row r="463" spans="1:18" x14ac:dyDescent="0.7">
      <c r="A463" s="246" t="s">
        <v>2326</v>
      </c>
      <c r="B463" s="246" t="s">
        <v>2327</v>
      </c>
      <c r="C463" s="246" t="s">
        <v>1289</v>
      </c>
      <c r="D463" s="246" t="s">
        <v>2328</v>
      </c>
      <c r="E463" s="246">
        <v>1</v>
      </c>
      <c r="F463" s="246" t="s">
        <v>2309</v>
      </c>
      <c r="G463" s="246" t="s">
        <v>2310</v>
      </c>
      <c r="H463" s="247">
        <v>50</v>
      </c>
      <c r="I463" s="246" t="s">
        <v>1190</v>
      </c>
      <c r="J463" s="247">
        <v>32</v>
      </c>
      <c r="K463" s="246" t="s">
        <v>2303</v>
      </c>
      <c r="L463" s="246" t="s">
        <v>2311</v>
      </c>
      <c r="M463" s="246">
        <v>5</v>
      </c>
      <c r="N463" s="246"/>
      <c r="O463" s="246" t="s">
        <v>2329</v>
      </c>
      <c r="P463" s="246" t="s">
        <v>6437</v>
      </c>
      <c r="Q463" s="246" t="s">
        <v>2326</v>
      </c>
      <c r="R463" s="248"/>
    </row>
    <row r="464" spans="1:18" x14ac:dyDescent="0.7">
      <c r="A464" s="246" t="s">
        <v>2330</v>
      </c>
      <c r="B464" s="246" t="s">
        <v>2331</v>
      </c>
      <c r="C464" s="246" t="s">
        <v>2109</v>
      </c>
      <c r="D464" s="246" t="s">
        <v>2332</v>
      </c>
      <c r="E464" s="246">
        <v>1</v>
      </c>
      <c r="F464" s="246" t="s">
        <v>2301</v>
      </c>
      <c r="G464" s="246" t="s">
        <v>2302</v>
      </c>
      <c r="H464" s="247">
        <v>50</v>
      </c>
      <c r="I464" s="246" t="s">
        <v>1190</v>
      </c>
      <c r="J464" s="247">
        <v>232</v>
      </c>
      <c r="K464" s="246" t="s">
        <v>2303</v>
      </c>
      <c r="L464" s="246" t="s">
        <v>2304</v>
      </c>
      <c r="M464" s="246">
        <v>15</v>
      </c>
      <c r="N464" s="246"/>
      <c r="O464" s="246" t="s">
        <v>2333</v>
      </c>
      <c r="P464" s="246" t="s">
        <v>6429</v>
      </c>
      <c r="Q464" s="246" t="s">
        <v>2330</v>
      </c>
      <c r="R464" s="248"/>
    </row>
    <row r="465" spans="1:18" x14ac:dyDescent="0.7">
      <c r="A465" s="246" t="s">
        <v>2334</v>
      </c>
      <c r="B465" s="246" t="s">
        <v>2335</v>
      </c>
      <c r="C465" s="246" t="s">
        <v>1290</v>
      </c>
      <c r="D465" s="246" t="s">
        <v>2336</v>
      </c>
      <c r="E465" s="246">
        <v>1</v>
      </c>
      <c r="F465" s="246" t="s">
        <v>2309</v>
      </c>
      <c r="G465" s="246" t="s">
        <v>2310</v>
      </c>
      <c r="H465" s="247">
        <v>50</v>
      </c>
      <c r="I465" s="246" t="s">
        <v>1190</v>
      </c>
      <c r="J465" s="247">
        <v>84</v>
      </c>
      <c r="K465" s="246" t="s">
        <v>2303</v>
      </c>
      <c r="L465" s="246" t="s">
        <v>2311</v>
      </c>
      <c r="M465" s="246">
        <v>6</v>
      </c>
      <c r="N465" s="246"/>
      <c r="O465" s="246" t="s">
        <v>2337</v>
      </c>
      <c r="P465" s="246" t="s">
        <v>6436</v>
      </c>
      <c r="Q465" s="246" t="s">
        <v>2334</v>
      </c>
      <c r="R465" s="248"/>
    </row>
    <row r="466" spans="1:18" x14ac:dyDescent="0.7">
      <c r="A466" s="246" t="s">
        <v>2338</v>
      </c>
      <c r="B466" s="246" t="s">
        <v>2339</v>
      </c>
      <c r="C466" s="246" t="s">
        <v>1291</v>
      </c>
      <c r="D466" s="246" t="s">
        <v>2340</v>
      </c>
      <c r="E466" s="246">
        <v>1</v>
      </c>
      <c r="F466" s="246" t="s">
        <v>2309</v>
      </c>
      <c r="G466" s="246" t="s">
        <v>2310</v>
      </c>
      <c r="H466" s="247">
        <v>50</v>
      </c>
      <c r="I466" s="246" t="s">
        <v>1190</v>
      </c>
      <c r="J466" s="247">
        <v>67</v>
      </c>
      <c r="K466" s="246" t="s">
        <v>2303</v>
      </c>
      <c r="L466" s="246" t="s">
        <v>2311</v>
      </c>
      <c r="M466" s="246">
        <v>6</v>
      </c>
      <c r="N466" s="246"/>
      <c r="O466" s="246" t="s">
        <v>2341</v>
      </c>
      <c r="P466" s="246" t="s">
        <v>6436</v>
      </c>
      <c r="Q466" s="246" t="s">
        <v>2338</v>
      </c>
      <c r="R466" s="248"/>
    </row>
    <row r="467" spans="1:18" x14ac:dyDescent="0.7">
      <c r="A467" s="246" t="s">
        <v>2342</v>
      </c>
      <c r="B467" s="246" t="s">
        <v>2343</v>
      </c>
      <c r="C467" s="246" t="s">
        <v>1292</v>
      </c>
      <c r="D467" s="246" t="s">
        <v>2344</v>
      </c>
      <c r="E467" s="246">
        <v>1</v>
      </c>
      <c r="F467" s="246" t="s">
        <v>2309</v>
      </c>
      <c r="G467" s="246" t="s">
        <v>2310</v>
      </c>
      <c r="H467" s="247">
        <v>50</v>
      </c>
      <c r="I467" s="246" t="s">
        <v>1190</v>
      </c>
      <c r="J467" s="247">
        <v>172</v>
      </c>
      <c r="K467" s="246" t="s">
        <v>2303</v>
      </c>
      <c r="L467" s="246" t="s">
        <v>2345</v>
      </c>
      <c r="M467" s="246">
        <v>13</v>
      </c>
      <c r="N467" s="246"/>
      <c r="O467" s="246" t="s">
        <v>2346</v>
      </c>
      <c r="P467" s="246" t="s">
        <v>6432</v>
      </c>
      <c r="Q467" s="246" t="s">
        <v>2342</v>
      </c>
      <c r="R467" s="248"/>
    </row>
    <row r="468" spans="1:18" x14ac:dyDescent="0.7">
      <c r="A468" s="246" t="s">
        <v>2347</v>
      </c>
      <c r="B468" s="246" t="s">
        <v>2348</v>
      </c>
      <c r="C468" s="246" t="s">
        <v>1293</v>
      </c>
      <c r="D468" s="246" t="s">
        <v>2349</v>
      </c>
      <c r="E468" s="246">
        <v>1</v>
      </c>
      <c r="F468" s="246" t="s">
        <v>2309</v>
      </c>
      <c r="G468" s="246" t="s">
        <v>2310</v>
      </c>
      <c r="H468" s="247">
        <v>50</v>
      </c>
      <c r="I468" s="246" t="s">
        <v>1190</v>
      </c>
      <c r="J468" s="247">
        <v>54</v>
      </c>
      <c r="K468" s="246" t="s">
        <v>2303</v>
      </c>
      <c r="L468" s="246" t="s">
        <v>2311</v>
      </c>
      <c r="M468" s="246">
        <v>6</v>
      </c>
      <c r="N468" s="246"/>
      <c r="O468" s="246" t="s">
        <v>2350</v>
      </c>
      <c r="P468" s="246" t="s">
        <v>6436</v>
      </c>
      <c r="Q468" s="246" t="s">
        <v>2347</v>
      </c>
      <c r="R468" s="248"/>
    </row>
    <row r="469" spans="1:18" x14ac:dyDescent="0.7">
      <c r="A469" s="246" t="s">
        <v>2351</v>
      </c>
      <c r="B469" s="246" t="s">
        <v>2352</v>
      </c>
      <c r="C469" s="246" t="s">
        <v>1294</v>
      </c>
      <c r="D469" s="246" t="s">
        <v>2353</v>
      </c>
      <c r="E469" s="246">
        <v>1</v>
      </c>
      <c r="F469" s="246" t="s">
        <v>2309</v>
      </c>
      <c r="G469" s="246" t="s">
        <v>2302</v>
      </c>
      <c r="H469" s="247">
        <v>50</v>
      </c>
      <c r="I469" s="246" t="s">
        <v>1190</v>
      </c>
      <c r="J469" s="247">
        <v>232</v>
      </c>
      <c r="K469" s="246" t="s">
        <v>2303</v>
      </c>
      <c r="L469" s="246" t="s">
        <v>2304</v>
      </c>
      <c r="M469" s="246">
        <v>15</v>
      </c>
      <c r="N469" s="246"/>
      <c r="O469" s="246" t="s">
        <v>2354</v>
      </c>
      <c r="P469" s="246" t="s">
        <v>6429</v>
      </c>
      <c r="Q469" s="246" t="s">
        <v>2351</v>
      </c>
      <c r="R469" s="248"/>
    </row>
    <row r="470" spans="1:18" x14ac:dyDescent="0.7">
      <c r="A470" s="246" t="s">
        <v>2355</v>
      </c>
      <c r="B470" s="246" t="s">
        <v>2356</v>
      </c>
      <c r="C470" s="246" t="s">
        <v>1295</v>
      </c>
      <c r="D470" s="246" t="s">
        <v>2357</v>
      </c>
      <c r="E470" s="246">
        <v>1</v>
      </c>
      <c r="F470" s="246" t="s">
        <v>2309</v>
      </c>
      <c r="G470" s="246" t="s">
        <v>2310</v>
      </c>
      <c r="H470" s="247">
        <v>50</v>
      </c>
      <c r="I470" s="246" t="s">
        <v>1190</v>
      </c>
      <c r="J470" s="247">
        <v>97</v>
      </c>
      <c r="K470" s="246" t="s">
        <v>2303</v>
      </c>
      <c r="L470" s="246" t="s">
        <v>2316</v>
      </c>
      <c r="M470" s="246">
        <v>9</v>
      </c>
      <c r="N470" s="246"/>
      <c r="O470" s="246" t="s">
        <v>2358</v>
      </c>
      <c r="P470" s="246" t="s">
        <v>6435</v>
      </c>
      <c r="Q470" s="246" t="s">
        <v>2355</v>
      </c>
      <c r="R470" s="248"/>
    </row>
    <row r="471" spans="1:18" x14ac:dyDescent="0.7">
      <c r="A471" s="246" t="s">
        <v>2359</v>
      </c>
      <c r="B471" s="246" t="s">
        <v>2360</v>
      </c>
      <c r="C471" s="246" t="s">
        <v>1296</v>
      </c>
      <c r="D471" s="246" t="s">
        <v>2361</v>
      </c>
      <c r="E471" s="246">
        <v>1</v>
      </c>
      <c r="F471" s="246" t="s">
        <v>2309</v>
      </c>
      <c r="G471" s="246" t="s">
        <v>2310</v>
      </c>
      <c r="H471" s="247">
        <v>50</v>
      </c>
      <c r="I471" s="246" t="s">
        <v>1190</v>
      </c>
      <c r="J471" s="247">
        <v>81</v>
      </c>
      <c r="K471" s="246" t="s">
        <v>2303</v>
      </c>
      <c r="L471" s="246" t="s">
        <v>2311</v>
      </c>
      <c r="M471" s="246">
        <v>6</v>
      </c>
      <c r="N471" s="246"/>
      <c r="O471" s="246" t="s">
        <v>2362</v>
      </c>
      <c r="P471" s="246" t="s">
        <v>6436</v>
      </c>
      <c r="Q471" s="246" t="s">
        <v>2359</v>
      </c>
      <c r="R471" s="248"/>
    </row>
    <row r="472" spans="1:18" x14ac:dyDescent="0.7">
      <c r="A472" s="246" t="s">
        <v>2363</v>
      </c>
      <c r="B472" s="246" t="s">
        <v>2364</v>
      </c>
      <c r="C472" s="246" t="s">
        <v>1297</v>
      </c>
      <c r="D472" s="246" t="s">
        <v>2365</v>
      </c>
      <c r="E472" s="246">
        <v>1</v>
      </c>
      <c r="F472" s="246" t="s">
        <v>2309</v>
      </c>
      <c r="G472" s="246" t="s">
        <v>2310</v>
      </c>
      <c r="H472" s="247">
        <v>50</v>
      </c>
      <c r="I472" s="246" t="s">
        <v>1190</v>
      </c>
      <c r="J472" s="247">
        <v>37</v>
      </c>
      <c r="K472" s="246" t="s">
        <v>2295</v>
      </c>
      <c r="L472" s="246" t="s">
        <v>2311</v>
      </c>
      <c r="M472" s="246">
        <v>5</v>
      </c>
      <c r="N472" s="246"/>
      <c r="O472" s="246" t="s">
        <v>2366</v>
      </c>
      <c r="P472" s="246" t="s">
        <v>6437</v>
      </c>
      <c r="Q472" s="246" t="s">
        <v>2363</v>
      </c>
      <c r="R472" s="248"/>
    </row>
    <row r="473" spans="1:18" x14ac:dyDescent="0.7">
      <c r="A473" s="246" t="s">
        <v>2367</v>
      </c>
      <c r="B473" s="246" t="s">
        <v>2368</v>
      </c>
      <c r="C473" s="246" t="s">
        <v>1298</v>
      </c>
      <c r="D473" s="246" t="s">
        <v>2369</v>
      </c>
      <c r="E473" s="246">
        <v>1</v>
      </c>
      <c r="F473" s="246" t="s">
        <v>2309</v>
      </c>
      <c r="G473" s="246" t="s">
        <v>2310</v>
      </c>
      <c r="H473" s="247">
        <v>50</v>
      </c>
      <c r="I473" s="246" t="s">
        <v>1190</v>
      </c>
      <c r="J473" s="247">
        <v>64</v>
      </c>
      <c r="K473" s="246" t="s">
        <v>2303</v>
      </c>
      <c r="L473" s="246" t="s">
        <v>2311</v>
      </c>
      <c r="M473" s="246">
        <v>6</v>
      </c>
      <c r="N473" s="246"/>
      <c r="O473" s="246" t="s">
        <v>2370</v>
      </c>
      <c r="P473" s="246" t="s">
        <v>6436</v>
      </c>
      <c r="Q473" s="246" t="s">
        <v>2367</v>
      </c>
      <c r="R473" s="248"/>
    </row>
    <row r="474" spans="1:18" x14ac:dyDescent="0.7">
      <c r="A474" s="246" t="s">
        <v>2371</v>
      </c>
      <c r="B474" s="246" t="s">
        <v>2372</v>
      </c>
      <c r="C474" s="246" t="s">
        <v>1299</v>
      </c>
      <c r="D474" s="246" t="s">
        <v>2373</v>
      </c>
      <c r="E474" s="246">
        <v>1</v>
      </c>
      <c r="F474" s="246" t="s">
        <v>2309</v>
      </c>
      <c r="G474" s="246" t="s">
        <v>2310</v>
      </c>
      <c r="H474" s="247">
        <v>50</v>
      </c>
      <c r="I474" s="246" t="s">
        <v>1190</v>
      </c>
      <c r="J474" s="247">
        <v>60</v>
      </c>
      <c r="K474" s="246" t="s">
        <v>2303</v>
      </c>
      <c r="L474" s="246" t="s">
        <v>2311</v>
      </c>
      <c r="M474" s="246">
        <v>6</v>
      </c>
      <c r="N474" s="246"/>
      <c r="O474" s="246" t="s">
        <v>2374</v>
      </c>
      <c r="P474" s="246" t="s">
        <v>6436</v>
      </c>
      <c r="Q474" s="246" t="s">
        <v>2371</v>
      </c>
      <c r="R474" s="248"/>
    </row>
    <row r="475" spans="1:18" x14ac:dyDescent="0.7">
      <c r="A475" s="246" t="s">
        <v>2375</v>
      </c>
      <c r="B475" s="246" t="s">
        <v>2376</v>
      </c>
      <c r="C475" s="246" t="s">
        <v>1300</v>
      </c>
      <c r="D475" s="246" t="s">
        <v>2377</v>
      </c>
      <c r="E475" s="246">
        <v>1</v>
      </c>
      <c r="F475" s="246" t="s">
        <v>2309</v>
      </c>
      <c r="G475" s="246" t="s">
        <v>2310</v>
      </c>
      <c r="H475" s="247">
        <v>50</v>
      </c>
      <c r="I475" s="246" t="s">
        <v>1190</v>
      </c>
      <c r="J475" s="247">
        <v>36</v>
      </c>
      <c r="K475" s="246" t="s">
        <v>2303</v>
      </c>
      <c r="L475" s="246" t="s">
        <v>2311</v>
      </c>
      <c r="M475" s="246">
        <v>5</v>
      </c>
      <c r="N475" s="246"/>
      <c r="O475" s="246" t="s">
        <v>2378</v>
      </c>
      <c r="P475" s="246" t="s">
        <v>6437</v>
      </c>
      <c r="Q475" s="246" t="s">
        <v>2375</v>
      </c>
      <c r="R475" s="248"/>
    </row>
    <row r="476" spans="1:18" x14ac:dyDescent="0.7">
      <c r="A476" s="246" t="s">
        <v>2379</v>
      </c>
      <c r="B476" s="246" t="s">
        <v>2380</v>
      </c>
      <c r="C476" s="246" t="s">
        <v>1301</v>
      </c>
      <c r="D476" s="246" t="s">
        <v>2381</v>
      </c>
      <c r="E476" s="246">
        <v>1</v>
      </c>
      <c r="F476" s="246" t="s">
        <v>2309</v>
      </c>
      <c r="G476" s="246" t="s">
        <v>2310</v>
      </c>
      <c r="H476" s="247">
        <v>50</v>
      </c>
      <c r="I476" s="246" t="s">
        <v>1190</v>
      </c>
      <c r="J476" s="247">
        <v>45</v>
      </c>
      <c r="K476" s="246" t="s">
        <v>2303</v>
      </c>
      <c r="L476" s="246" t="s">
        <v>2311</v>
      </c>
      <c r="M476" s="246">
        <v>6</v>
      </c>
      <c r="N476" s="246"/>
      <c r="O476" s="246" t="s">
        <v>2382</v>
      </c>
      <c r="P476" s="246" t="s">
        <v>6436</v>
      </c>
      <c r="Q476" s="246" t="s">
        <v>2379</v>
      </c>
      <c r="R476" s="248"/>
    </row>
    <row r="477" spans="1:18" x14ac:dyDescent="0.7">
      <c r="A477" s="246" t="s">
        <v>2383</v>
      </c>
      <c r="B477" s="246" t="s">
        <v>2384</v>
      </c>
      <c r="C477" s="246" t="s">
        <v>1302</v>
      </c>
      <c r="D477" s="246" t="s">
        <v>2385</v>
      </c>
      <c r="E477" s="246">
        <v>1</v>
      </c>
      <c r="F477" s="246" t="s">
        <v>2309</v>
      </c>
      <c r="G477" s="246" t="s">
        <v>2310</v>
      </c>
      <c r="H477" s="247">
        <v>50</v>
      </c>
      <c r="I477" s="246" t="s">
        <v>1190</v>
      </c>
      <c r="J477" s="247">
        <v>38</v>
      </c>
      <c r="K477" s="246" t="s">
        <v>2303</v>
      </c>
      <c r="L477" s="246" t="s">
        <v>2311</v>
      </c>
      <c r="M477" s="246">
        <v>5</v>
      </c>
      <c r="N477" s="246"/>
      <c r="O477" s="246" t="s">
        <v>2386</v>
      </c>
      <c r="P477" s="246" t="s">
        <v>6437</v>
      </c>
      <c r="Q477" s="246" t="s">
        <v>2383</v>
      </c>
      <c r="R477" s="248"/>
    </row>
    <row r="478" spans="1:18" x14ac:dyDescent="0.7">
      <c r="A478" s="246" t="s">
        <v>2387</v>
      </c>
      <c r="B478" s="246" t="s">
        <v>2388</v>
      </c>
      <c r="C478" s="246" t="s">
        <v>1303</v>
      </c>
      <c r="D478" s="246" t="s">
        <v>2389</v>
      </c>
      <c r="E478" s="246">
        <v>1</v>
      </c>
      <c r="F478" s="246" t="s">
        <v>2309</v>
      </c>
      <c r="G478" s="246" t="s">
        <v>2310</v>
      </c>
      <c r="H478" s="247">
        <v>50</v>
      </c>
      <c r="I478" s="246" t="s">
        <v>1190</v>
      </c>
      <c r="J478" s="247">
        <v>31</v>
      </c>
      <c r="K478" s="246" t="s">
        <v>2303</v>
      </c>
      <c r="L478" s="246" t="s">
        <v>2311</v>
      </c>
      <c r="M478" s="246">
        <v>5</v>
      </c>
      <c r="N478" s="246"/>
      <c r="O478" s="246" t="s">
        <v>2390</v>
      </c>
      <c r="P478" s="246" t="s">
        <v>6437</v>
      </c>
      <c r="Q478" s="246" t="s">
        <v>2387</v>
      </c>
      <c r="R478" s="248"/>
    </row>
    <row r="479" spans="1:18" x14ac:dyDescent="0.7">
      <c r="A479" s="246" t="s">
        <v>2403</v>
      </c>
      <c r="B479" s="246" t="s">
        <v>2404</v>
      </c>
      <c r="C479" s="246" t="s">
        <v>1357</v>
      </c>
      <c r="D479" s="246" t="s">
        <v>2405</v>
      </c>
      <c r="E479" s="246">
        <v>1</v>
      </c>
      <c r="F479" s="246" t="s">
        <v>2309</v>
      </c>
      <c r="G479" s="246" t="s">
        <v>2310</v>
      </c>
      <c r="H479" s="247">
        <v>51</v>
      </c>
      <c r="I479" s="246" t="s">
        <v>1196</v>
      </c>
      <c r="J479" s="247">
        <v>31</v>
      </c>
      <c r="K479" s="246" t="s">
        <v>2303</v>
      </c>
      <c r="L479" s="246" t="s">
        <v>2311</v>
      </c>
      <c r="M479" s="246">
        <v>5</v>
      </c>
      <c r="N479" s="246"/>
      <c r="O479" s="246" t="s">
        <v>2406</v>
      </c>
      <c r="P479" s="246" t="s">
        <v>6437</v>
      </c>
      <c r="Q479" s="246" t="s">
        <v>2403</v>
      </c>
      <c r="R479" s="248"/>
    </row>
    <row r="480" spans="1:18" x14ac:dyDescent="0.7">
      <c r="A480" s="246" t="s">
        <v>2407</v>
      </c>
      <c r="B480" s="246" t="s">
        <v>2408</v>
      </c>
      <c r="C480" s="246" t="s">
        <v>1358</v>
      </c>
      <c r="D480" s="246" t="s">
        <v>2409</v>
      </c>
      <c r="E480" s="246">
        <v>1</v>
      </c>
      <c r="F480" s="246" t="s">
        <v>2309</v>
      </c>
      <c r="G480" s="246" t="s">
        <v>2310</v>
      </c>
      <c r="H480" s="247">
        <v>51</v>
      </c>
      <c r="I480" s="246" t="s">
        <v>1196</v>
      </c>
      <c r="J480" s="247">
        <v>30</v>
      </c>
      <c r="K480" s="246" t="s">
        <v>2303</v>
      </c>
      <c r="L480" s="246" t="s">
        <v>2311</v>
      </c>
      <c r="M480" s="246">
        <v>5</v>
      </c>
      <c r="N480" s="246"/>
      <c r="O480" s="246" t="s">
        <v>2410</v>
      </c>
      <c r="P480" s="246" t="s">
        <v>6437</v>
      </c>
      <c r="Q480" s="246" t="s">
        <v>2407</v>
      </c>
      <c r="R480" s="248"/>
    </row>
    <row r="481" spans="1:18" x14ac:dyDescent="0.7">
      <c r="A481" s="246" t="s">
        <v>2411</v>
      </c>
      <c r="B481" s="246" t="s">
        <v>2412</v>
      </c>
      <c r="C481" s="246" t="s">
        <v>1359</v>
      </c>
      <c r="D481" s="246" t="s">
        <v>2413</v>
      </c>
      <c r="E481" s="246">
        <v>1</v>
      </c>
      <c r="F481" s="246" t="s">
        <v>2309</v>
      </c>
      <c r="G481" s="246" t="s">
        <v>2310</v>
      </c>
      <c r="H481" s="247">
        <v>51</v>
      </c>
      <c r="I481" s="246" t="s">
        <v>1196</v>
      </c>
      <c r="J481" s="247">
        <v>66</v>
      </c>
      <c r="K481" s="246" t="s">
        <v>2303</v>
      </c>
      <c r="L481" s="246" t="s">
        <v>2316</v>
      </c>
      <c r="M481" s="246">
        <v>10</v>
      </c>
      <c r="N481" s="246"/>
      <c r="O481" s="246" t="s">
        <v>2414</v>
      </c>
      <c r="P481" s="246" t="s">
        <v>6433</v>
      </c>
      <c r="Q481" s="246" t="s">
        <v>2411</v>
      </c>
      <c r="R481" s="248"/>
    </row>
    <row r="482" spans="1:18" x14ac:dyDescent="0.7">
      <c r="A482" s="246" t="s">
        <v>2415</v>
      </c>
      <c r="B482" s="246" t="s">
        <v>2416</v>
      </c>
      <c r="C482" s="246" t="s">
        <v>1360</v>
      </c>
      <c r="D482" s="246" t="s">
        <v>2417</v>
      </c>
      <c r="E482" s="246">
        <v>1</v>
      </c>
      <c r="F482" s="246" t="s">
        <v>2309</v>
      </c>
      <c r="G482" s="246" t="s">
        <v>2310</v>
      </c>
      <c r="H482" s="247">
        <v>51</v>
      </c>
      <c r="I482" s="246" t="s">
        <v>1196</v>
      </c>
      <c r="J482" s="247">
        <v>30</v>
      </c>
      <c r="K482" s="246" t="s">
        <v>2303</v>
      </c>
      <c r="L482" s="246" t="s">
        <v>2311</v>
      </c>
      <c r="M482" s="246">
        <v>5</v>
      </c>
      <c r="N482" s="246"/>
      <c r="O482" s="246" t="s">
        <v>2418</v>
      </c>
      <c r="P482" s="246" t="s">
        <v>6437</v>
      </c>
      <c r="Q482" s="246" t="s">
        <v>2415</v>
      </c>
      <c r="R482" s="248"/>
    </row>
    <row r="483" spans="1:18" x14ac:dyDescent="0.7">
      <c r="A483" s="246" t="s">
        <v>2419</v>
      </c>
      <c r="B483" s="246" t="s">
        <v>2420</v>
      </c>
      <c r="C483" s="246" t="s">
        <v>1361</v>
      </c>
      <c r="D483" s="246" t="s">
        <v>2421</v>
      </c>
      <c r="E483" s="246">
        <v>1</v>
      </c>
      <c r="F483" s="246" t="s">
        <v>2309</v>
      </c>
      <c r="G483" s="246" t="s">
        <v>2310</v>
      </c>
      <c r="H483" s="247">
        <v>51</v>
      </c>
      <c r="I483" s="246" t="s">
        <v>1196</v>
      </c>
      <c r="J483" s="247">
        <v>75</v>
      </c>
      <c r="K483" s="246" t="s">
        <v>2303</v>
      </c>
      <c r="L483" s="246" t="s">
        <v>2316</v>
      </c>
      <c r="M483" s="246">
        <v>9</v>
      </c>
      <c r="N483" s="246"/>
      <c r="O483" s="246" t="s">
        <v>2422</v>
      </c>
      <c r="P483" s="246" t="s">
        <v>6435</v>
      </c>
      <c r="Q483" s="246" t="s">
        <v>2419</v>
      </c>
      <c r="R483" s="248"/>
    </row>
    <row r="484" spans="1:18" x14ac:dyDescent="0.7">
      <c r="A484" s="246" t="s">
        <v>2423</v>
      </c>
      <c r="B484" s="246" t="s">
        <v>2424</v>
      </c>
      <c r="C484" s="246" t="s">
        <v>1362</v>
      </c>
      <c r="D484" s="246" t="s">
        <v>2425</v>
      </c>
      <c r="E484" s="246">
        <v>1</v>
      </c>
      <c r="F484" s="246" t="s">
        <v>2309</v>
      </c>
      <c r="G484" s="246" t="s">
        <v>2310</v>
      </c>
      <c r="H484" s="247">
        <v>51</v>
      </c>
      <c r="I484" s="246" t="s">
        <v>1196</v>
      </c>
      <c r="J484" s="247">
        <v>30</v>
      </c>
      <c r="K484" s="246" t="s">
        <v>2303</v>
      </c>
      <c r="L484" s="246" t="s">
        <v>2311</v>
      </c>
      <c r="M484" s="246">
        <v>5</v>
      </c>
      <c r="N484" s="246"/>
      <c r="O484" s="246" t="s">
        <v>2426</v>
      </c>
      <c r="P484" s="246" t="s">
        <v>6437</v>
      </c>
      <c r="Q484" s="246" t="s">
        <v>2423</v>
      </c>
      <c r="R484" s="248"/>
    </row>
    <row r="485" spans="1:18" x14ac:dyDescent="0.7">
      <c r="A485" s="246" t="s">
        <v>2434</v>
      </c>
      <c r="B485" s="246" t="s">
        <v>2435</v>
      </c>
      <c r="C485" s="246" t="s">
        <v>1344</v>
      </c>
      <c r="D485" s="246" t="s">
        <v>2436</v>
      </c>
      <c r="E485" s="246">
        <v>1</v>
      </c>
      <c r="F485" s="246" t="s">
        <v>2309</v>
      </c>
      <c r="G485" s="246" t="s">
        <v>2310</v>
      </c>
      <c r="H485" s="247">
        <v>52</v>
      </c>
      <c r="I485" s="246" t="s">
        <v>1195</v>
      </c>
      <c r="J485" s="247">
        <v>30</v>
      </c>
      <c r="K485" s="246" t="s">
        <v>2303</v>
      </c>
      <c r="L485" s="246" t="s">
        <v>2311</v>
      </c>
      <c r="M485" s="246">
        <v>5</v>
      </c>
      <c r="N485" s="246"/>
      <c r="O485" s="246" t="s">
        <v>2437</v>
      </c>
      <c r="P485" s="246" t="s">
        <v>6437</v>
      </c>
      <c r="Q485" s="246" t="s">
        <v>2434</v>
      </c>
      <c r="R485" s="248"/>
    </row>
    <row r="486" spans="1:18" x14ac:dyDescent="0.7">
      <c r="A486" s="246" t="s">
        <v>2438</v>
      </c>
      <c r="B486" s="246" t="s">
        <v>2439</v>
      </c>
      <c r="C486" s="246" t="s">
        <v>1345</v>
      </c>
      <c r="D486" s="246" t="s">
        <v>2440</v>
      </c>
      <c r="E486" s="246">
        <v>1</v>
      </c>
      <c r="F486" s="246" t="s">
        <v>2309</v>
      </c>
      <c r="G486" s="246" t="s">
        <v>2310</v>
      </c>
      <c r="H486" s="247">
        <v>52</v>
      </c>
      <c r="I486" s="246" t="s">
        <v>1195</v>
      </c>
      <c r="J486" s="247">
        <v>152</v>
      </c>
      <c r="K486" s="246" t="s">
        <v>2303</v>
      </c>
      <c r="L486" s="246" t="s">
        <v>2345</v>
      </c>
      <c r="M486" s="246">
        <v>13</v>
      </c>
      <c r="N486" s="246"/>
      <c r="O486" s="246" t="s">
        <v>2441</v>
      </c>
      <c r="P486" s="246" t="s">
        <v>6432</v>
      </c>
      <c r="Q486" s="246" t="s">
        <v>2438</v>
      </c>
      <c r="R486" s="248"/>
    </row>
    <row r="487" spans="1:18" x14ac:dyDescent="0.7">
      <c r="A487" s="246" t="s">
        <v>2442</v>
      </c>
      <c r="B487" s="246" t="s">
        <v>2443</v>
      </c>
      <c r="C487" s="246" t="s">
        <v>1346</v>
      </c>
      <c r="D487" s="246" t="s">
        <v>2444</v>
      </c>
      <c r="E487" s="246">
        <v>1</v>
      </c>
      <c r="F487" s="246" t="s">
        <v>2309</v>
      </c>
      <c r="G487" s="246" t="s">
        <v>2310</v>
      </c>
      <c r="H487" s="247">
        <v>52</v>
      </c>
      <c r="I487" s="246" t="s">
        <v>1195</v>
      </c>
      <c r="J487" s="247">
        <v>30</v>
      </c>
      <c r="K487" s="246" t="s">
        <v>2303</v>
      </c>
      <c r="L487" s="246" t="s">
        <v>2311</v>
      </c>
      <c r="M487" s="246">
        <v>5</v>
      </c>
      <c r="N487" s="246"/>
      <c r="O487" s="246" t="s">
        <v>2445</v>
      </c>
      <c r="P487" s="246" t="s">
        <v>6437</v>
      </c>
      <c r="Q487" s="246" t="s">
        <v>2442</v>
      </c>
      <c r="R487" s="248"/>
    </row>
    <row r="488" spans="1:18" x14ac:dyDescent="0.7">
      <c r="A488" s="246" t="s">
        <v>2446</v>
      </c>
      <c r="B488" s="246" t="s">
        <v>2447</v>
      </c>
      <c r="C488" s="246" t="s">
        <v>1347</v>
      </c>
      <c r="D488" s="246" t="s">
        <v>2448</v>
      </c>
      <c r="E488" s="246">
        <v>1</v>
      </c>
      <c r="F488" s="246" t="s">
        <v>2309</v>
      </c>
      <c r="G488" s="246" t="s">
        <v>2310</v>
      </c>
      <c r="H488" s="247">
        <v>52</v>
      </c>
      <c r="I488" s="246" t="s">
        <v>1195</v>
      </c>
      <c r="J488" s="247">
        <v>40</v>
      </c>
      <c r="K488" s="246" t="s">
        <v>2303</v>
      </c>
      <c r="L488" s="246" t="s">
        <v>2311</v>
      </c>
      <c r="M488" s="246">
        <v>6</v>
      </c>
      <c r="N488" s="246"/>
      <c r="O488" s="246" t="s">
        <v>2449</v>
      </c>
      <c r="P488" s="246" t="s">
        <v>6436</v>
      </c>
      <c r="Q488" s="246" t="s">
        <v>2446</v>
      </c>
      <c r="R488" s="248"/>
    </row>
    <row r="489" spans="1:18" x14ac:dyDescent="0.7">
      <c r="A489" s="246" t="s">
        <v>2450</v>
      </c>
      <c r="B489" s="246" t="s">
        <v>2451</v>
      </c>
      <c r="C489" s="246" t="s">
        <v>1348</v>
      </c>
      <c r="D489" s="246" t="s">
        <v>2452</v>
      </c>
      <c r="E489" s="246">
        <v>1</v>
      </c>
      <c r="F489" s="246" t="s">
        <v>2309</v>
      </c>
      <c r="G489" s="246" t="s">
        <v>2310</v>
      </c>
      <c r="H489" s="247">
        <v>52</v>
      </c>
      <c r="I489" s="246" t="s">
        <v>1195</v>
      </c>
      <c r="J489" s="247">
        <v>30</v>
      </c>
      <c r="K489" s="246" t="s">
        <v>2303</v>
      </c>
      <c r="L489" s="246" t="s">
        <v>2311</v>
      </c>
      <c r="M489" s="246">
        <v>5</v>
      </c>
      <c r="N489" s="246"/>
      <c r="O489" s="246" t="s">
        <v>2453</v>
      </c>
      <c r="P489" s="246" t="s">
        <v>6437</v>
      </c>
      <c r="Q489" s="246" t="s">
        <v>2450</v>
      </c>
      <c r="R489" s="248"/>
    </row>
    <row r="490" spans="1:18" x14ac:dyDescent="0.7">
      <c r="A490" s="246" t="s">
        <v>2454</v>
      </c>
      <c r="B490" s="246" t="s">
        <v>2455</v>
      </c>
      <c r="C490" s="246" t="s">
        <v>1349</v>
      </c>
      <c r="D490" s="246" t="s">
        <v>2456</v>
      </c>
      <c r="E490" s="246">
        <v>1</v>
      </c>
      <c r="F490" s="246" t="s">
        <v>2309</v>
      </c>
      <c r="G490" s="246" t="s">
        <v>2310</v>
      </c>
      <c r="H490" s="247">
        <v>52</v>
      </c>
      <c r="I490" s="246" t="s">
        <v>1195</v>
      </c>
      <c r="J490" s="247">
        <v>30</v>
      </c>
      <c r="K490" s="246" t="s">
        <v>2303</v>
      </c>
      <c r="L490" s="246" t="s">
        <v>2311</v>
      </c>
      <c r="M490" s="246">
        <v>6</v>
      </c>
      <c r="N490" s="246"/>
      <c r="O490" s="246" t="s">
        <v>2457</v>
      </c>
      <c r="P490" s="246" t="s">
        <v>6436</v>
      </c>
      <c r="Q490" s="246" t="s">
        <v>2454</v>
      </c>
      <c r="R490" s="248"/>
    </row>
    <row r="491" spans="1:18" x14ac:dyDescent="0.7">
      <c r="A491" s="246" t="s">
        <v>2458</v>
      </c>
      <c r="B491" s="246" t="s">
        <v>2459</v>
      </c>
      <c r="C491" s="246" t="s">
        <v>1350</v>
      </c>
      <c r="D491" s="246" t="s">
        <v>2460</v>
      </c>
      <c r="E491" s="246">
        <v>1</v>
      </c>
      <c r="F491" s="246" t="s">
        <v>2309</v>
      </c>
      <c r="G491" s="246" t="s">
        <v>2310</v>
      </c>
      <c r="H491" s="247">
        <v>52</v>
      </c>
      <c r="I491" s="246" t="s">
        <v>1195</v>
      </c>
      <c r="J491" s="247">
        <v>69</v>
      </c>
      <c r="K491" s="246" t="s">
        <v>2303</v>
      </c>
      <c r="L491" s="246" t="s">
        <v>2345</v>
      </c>
      <c r="M491" s="246">
        <v>12</v>
      </c>
      <c r="N491" s="246"/>
      <c r="O491" s="246" t="s">
        <v>2461</v>
      </c>
      <c r="P491" s="246" t="s">
        <v>6438</v>
      </c>
      <c r="Q491" s="246" t="s">
        <v>2458</v>
      </c>
      <c r="R491" s="248"/>
    </row>
    <row r="492" spans="1:18" x14ac:dyDescent="0.7">
      <c r="A492" s="246" t="s">
        <v>2462</v>
      </c>
      <c r="B492" s="246" t="s">
        <v>2463</v>
      </c>
      <c r="C492" s="246" t="s">
        <v>1351</v>
      </c>
      <c r="D492" s="246" t="s">
        <v>2464</v>
      </c>
      <c r="E492" s="246">
        <v>1</v>
      </c>
      <c r="F492" s="246" t="s">
        <v>2309</v>
      </c>
      <c r="G492" s="246" t="s">
        <v>2310</v>
      </c>
      <c r="H492" s="247">
        <v>52</v>
      </c>
      <c r="I492" s="246" t="s">
        <v>1195</v>
      </c>
      <c r="J492" s="247">
        <v>8</v>
      </c>
      <c r="K492" s="246" t="s">
        <v>2303</v>
      </c>
      <c r="L492" s="246" t="s">
        <v>2311</v>
      </c>
      <c r="M492" s="246">
        <v>5</v>
      </c>
      <c r="N492" s="246"/>
      <c r="O492" s="246" t="s">
        <v>2465</v>
      </c>
      <c r="P492" s="246" t="s">
        <v>6437</v>
      </c>
      <c r="Q492" s="246" t="s">
        <v>2462</v>
      </c>
      <c r="R492" s="248"/>
    </row>
    <row r="493" spans="1:18" x14ac:dyDescent="0.7">
      <c r="A493" s="246" t="s">
        <v>2466</v>
      </c>
      <c r="B493" s="246" t="s">
        <v>2467</v>
      </c>
      <c r="C493" s="246" t="s">
        <v>1352</v>
      </c>
      <c r="D493" s="246" t="s">
        <v>2468</v>
      </c>
      <c r="E493" s="246">
        <v>1</v>
      </c>
      <c r="F493" s="246" t="s">
        <v>2309</v>
      </c>
      <c r="G493" s="246" t="s">
        <v>2310</v>
      </c>
      <c r="H493" s="247">
        <v>52</v>
      </c>
      <c r="I493" s="246" t="s">
        <v>1195</v>
      </c>
      <c r="J493" s="247">
        <v>30</v>
      </c>
      <c r="K493" s="246" t="s">
        <v>2303</v>
      </c>
      <c r="L493" s="246" t="s">
        <v>2311</v>
      </c>
      <c r="M493" s="246">
        <v>6</v>
      </c>
      <c r="N493" s="246"/>
      <c r="O493" s="246" t="s">
        <v>2469</v>
      </c>
      <c r="P493" s="246" t="s">
        <v>6436</v>
      </c>
      <c r="Q493" s="246" t="s">
        <v>2466</v>
      </c>
      <c r="R493" s="248"/>
    </row>
    <row r="494" spans="1:18" x14ac:dyDescent="0.7">
      <c r="A494" s="246" t="s">
        <v>2470</v>
      </c>
      <c r="B494" s="246" t="s">
        <v>2471</v>
      </c>
      <c r="C494" s="246" t="s">
        <v>1353</v>
      </c>
      <c r="D494" s="246" t="s">
        <v>2472</v>
      </c>
      <c r="E494" s="246">
        <v>1</v>
      </c>
      <c r="F494" s="246" t="s">
        <v>2309</v>
      </c>
      <c r="G494" s="246" t="s">
        <v>2310</v>
      </c>
      <c r="H494" s="247">
        <v>52</v>
      </c>
      <c r="I494" s="246" t="s">
        <v>1195</v>
      </c>
      <c r="J494" s="247">
        <v>30</v>
      </c>
      <c r="K494" s="246" t="s">
        <v>2303</v>
      </c>
      <c r="L494" s="246" t="s">
        <v>2311</v>
      </c>
      <c r="M494" s="246">
        <v>5</v>
      </c>
      <c r="N494" s="246"/>
      <c r="O494" s="246" t="s">
        <v>2473</v>
      </c>
      <c r="P494" s="246" t="s">
        <v>6437</v>
      </c>
      <c r="Q494" s="246" t="s">
        <v>2470</v>
      </c>
      <c r="R494" s="248"/>
    </row>
    <row r="495" spans="1:18" x14ac:dyDescent="0.7">
      <c r="A495" s="246" t="s">
        <v>2474</v>
      </c>
      <c r="B495" s="246" t="s">
        <v>2475</v>
      </c>
      <c r="C495" s="246" t="s">
        <v>1354</v>
      </c>
      <c r="D495" s="246" t="s">
        <v>2476</v>
      </c>
      <c r="E495" s="246">
        <v>1</v>
      </c>
      <c r="F495" s="246" t="s">
        <v>2309</v>
      </c>
      <c r="G495" s="246" t="s">
        <v>2310</v>
      </c>
      <c r="H495" s="247">
        <v>52</v>
      </c>
      <c r="I495" s="246" t="s">
        <v>1195</v>
      </c>
      <c r="J495" s="247">
        <v>30</v>
      </c>
      <c r="K495" s="246" t="s">
        <v>2303</v>
      </c>
      <c r="L495" s="246" t="s">
        <v>2311</v>
      </c>
      <c r="M495" s="246">
        <v>6</v>
      </c>
      <c r="N495" s="246"/>
      <c r="O495" s="246" t="s">
        <v>2477</v>
      </c>
      <c r="P495" s="246" t="s">
        <v>6436</v>
      </c>
      <c r="Q495" s="246" t="s">
        <v>2474</v>
      </c>
      <c r="R495" s="248"/>
    </row>
    <row r="496" spans="1:18" x14ac:dyDescent="0.7">
      <c r="A496" s="246" t="s">
        <v>2478</v>
      </c>
      <c r="B496" s="246" t="s">
        <v>2479</v>
      </c>
      <c r="C496" s="246" t="s">
        <v>1355</v>
      </c>
      <c r="D496" s="246" t="s">
        <v>2480</v>
      </c>
      <c r="E496" s="246">
        <v>1</v>
      </c>
      <c r="F496" s="246" t="s">
        <v>2309</v>
      </c>
      <c r="G496" s="246" t="s">
        <v>2310</v>
      </c>
      <c r="H496" s="247">
        <v>52</v>
      </c>
      <c r="I496" s="246" t="s">
        <v>1195</v>
      </c>
      <c r="J496" s="247">
        <v>30</v>
      </c>
      <c r="K496" s="246" t="s">
        <v>2303</v>
      </c>
      <c r="L496" s="246" t="s">
        <v>2311</v>
      </c>
      <c r="M496" s="246">
        <v>5</v>
      </c>
      <c r="N496" s="246"/>
      <c r="O496" s="246" t="s">
        <v>2481</v>
      </c>
      <c r="P496" s="246" t="s">
        <v>6437</v>
      </c>
      <c r="Q496" s="246" t="s">
        <v>2478</v>
      </c>
      <c r="R496" s="248"/>
    </row>
    <row r="497" spans="1:18" x14ac:dyDescent="0.7">
      <c r="A497" s="246" t="s">
        <v>2709</v>
      </c>
      <c r="B497" s="246" t="s">
        <v>2710</v>
      </c>
      <c r="C497" s="246" t="s">
        <v>1403</v>
      </c>
      <c r="D497" s="246" t="s">
        <v>2711</v>
      </c>
      <c r="E497" s="246">
        <v>2</v>
      </c>
      <c r="F497" s="246" t="s">
        <v>2309</v>
      </c>
      <c r="G497" s="246" t="s">
        <v>2310</v>
      </c>
      <c r="H497" s="247">
        <v>53</v>
      </c>
      <c r="I497" s="246" t="s">
        <v>1201</v>
      </c>
      <c r="J497" s="247">
        <v>35</v>
      </c>
      <c r="K497" s="246" t="s">
        <v>2303</v>
      </c>
      <c r="L497" s="246" t="s">
        <v>2311</v>
      </c>
      <c r="M497" s="246">
        <v>5</v>
      </c>
      <c r="N497" s="246"/>
      <c r="O497" s="246" t="s">
        <v>2712</v>
      </c>
      <c r="P497" s="246" t="s">
        <v>6437</v>
      </c>
      <c r="Q497" s="246" t="s">
        <v>2709</v>
      </c>
      <c r="R497" s="248"/>
    </row>
    <row r="498" spans="1:18" x14ac:dyDescent="0.7">
      <c r="A498" s="246" t="s">
        <v>2713</v>
      </c>
      <c r="B498" s="246" t="s">
        <v>2714</v>
      </c>
      <c r="C498" s="246" t="s">
        <v>1404</v>
      </c>
      <c r="D498" s="246" t="s">
        <v>2715</v>
      </c>
      <c r="E498" s="246">
        <v>2</v>
      </c>
      <c r="F498" s="246" t="s">
        <v>2309</v>
      </c>
      <c r="G498" s="246" t="s">
        <v>2310</v>
      </c>
      <c r="H498" s="247">
        <v>53</v>
      </c>
      <c r="I498" s="246" t="s">
        <v>1201</v>
      </c>
      <c r="J498" s="247">
        <v>37</v>
      </c>
      <c r="K498" s="246" t="s">
        <v>2303</v>
      </c>
      <c r="L498" s="246" t="s">
        <v>2311</v>
      </c>
      <c r="M498" s="246">
        <v>5</v>
      </c>
      <c r="N498" s="246"/>
      <c r="O498" s="246" t="s">
        <v>2716</v>
      </c>
      <c r="P498" s="246" t="s">
        <v>6437</v>
      </c>
      <c r="Q498" s="246" t="s">
        <v>2713</v>
      </c>
      <c r="R498" s="248"/>
    </row>
    <row r="499" spans="1:18" x14ac:dyDescent="0.7">
      <c r="A499" s="246" t="s">
        <v>2717</v>
      </c>
      <c r="B499" s="246" t="s">
        <v>2718</v>
      </c>
      <c r="C499" s="246" t="s">
        <v>1405</v>
      </c>
      <c r="D499" s="246" t="s">
        <v>2719</v>
      </c>
      <c r="E499" s="246">
        <v>2</v>
      </c>
      <c r="F499" s="246" t="s">
        <v>2309</v>
      </c>
      <c r="G499" s="246" t="s">
        <v>2310</v>
      </c>
      <c r="H499" s="247">
        <v>53</v>
      </c>
      <c r="I499" s="246" t="s">
        <v>1201</v>
      </c>
      <c r="J499" s="247">
        <v>39</v>
      </c>
      <c r="K499" s="246" t="s">
        <v>2303</v>
      </c>
      <c r="L499" s="246" t="s">
        <v>2316</v>
      </c>
      <c r="M499" s="246">
        <v>9</v>
      </c>
      <c r="N499" s="246"/>
      <c r="O499" s="246" t="s">
        <v>2720</v>
      </c>
      <c r="P499" s="246" t="s">
        <v>6435</v>
      </c>
      <c r="Q499" s="246" t="s">
        <v>2717</v>
      </c>
      <c r="R499" s="248"/>
    </row>
    <row r="500" spans="1:18" x14ac:dyDescent="0.7">
      <c r="A500" s="246" t="s">
        <v>2721</v>
      </c>
      <c r="B500" s="246" t="s">
        <v>2722</v>
      </c>
      <c r="C500" s="246" t="s">
        <v>1406</v>
      </c>
      <c r="D500" s="246" t="s">
        <v>2723</v>
      </c>
      <c r="E500" s="246">
        <v>2</v>
      </c>
      <c r="F500" s="246" t="s">
        <v>2309</v>
      </c>
      <c r="G500" s="246" t="s">
        <v>2310</v>
      </c>
      <c r="H500" s="247">
        <v>53</v>
      </c>
      <c r="I500" s="246" t="s">
        <v>1201</v>
      </c>
      <c r="J500" s="247">
        <v>30</v>
      </c>
      <c r="K500" s="246" t="s">
        <v>2303</v>
      </c>
      <c r="L500" s="246" t="s">
        <v>2311</v>
      </c>
      <c r="M500" s="246">
        <v>5</v>
      </c>
      <c r="N500" s="246"/>
      <c r="O500" s="246" t="s">
        <v>2724</v>
      </c>
      <c r="P500" s="246" t="s">
        <v>6437</v>
      </c>
      <c r="Q500" s="246" t="s">
        <v>2721</v>
      </c>
      <c r="R500" s="248"/>
    </row>
    <row r="501" spans="1:18" x14ac:dyDescent="0.7">
      <c r="A501" s="246" t="s">
        <v>2725</v>
      </c>
      <c r="B501" s="246" t="s">
        <v>2726</v>
      </c>
      <c r="C501" s="246" t="s">
        <v>1407</v>
      </c>
      <c r="D501" s="246" t="s">
        <v>2727</v>
      </c>
      <c r="E501" s="246">
        <v>2</v>
      </c>
      <c r="F501" s="246" t="s">
        <v>2309</v>
      </c>
      <c r="G501" s="246" t="s">
        <v>2310</v>
      </c>
      <c r="H501" s="247">
        <v>53</v>
      </c>
      <c r="I501" s="246" t="s">
        <v>1201</v>
      </c>
      <c r="J501" s="247">
        <v>30</v>
      </c>
      <c r="K501" s="246" t="s">
        <v>2303</v>
      </c>
      <c r="L501" s="246" t="s">
        <v>2311</v>
      </c>
      <c r="M501" s="246">
        <v>5</v>
      </c>
      <c r="N501" s="246"/>
      <c r="O501" s="246" t="s">
        <v>2728</v>
      </c>
      <c r="P501" s="246" t="s">
        <v>6437</v>
      </c>
      <c r="Q501" s="246" t="s">
        <v>2725</v>
      </c>
      <c r="R501" s="248"/>
    </row>
    <row r="502" spans="1:18" x14ac:dyDescent="0.7">
      <c r="A502" s="246" t="s">
        <v>2729</v>
      </c>
      <c r="B502" s="246" t="s">
        <v>2730</v>
      </c>
      <c r="C502" s="246" t="s">
        <v>1408</v>
      </c>
      <c r="D502" s="246" t="s">
        <v>2731</v>
      </c>
      <c r="E502" s="246">
        <v>2</v>
      </c>
      <c r="F502" s="246" t="s">
        <v>2309</v>
      </c>
      <c r="G502" s="246" t="s">
        <v>2310</v>
      </c>
      <c r="H502" s="247">
        <v>53</v>
      </c>
      <c r="I502" s="246" t="s">
        <v>1201</v>
      </c>
      <c r="J502" s="247">
        <v>60</v>
      </c>
      <c r="K502" s="246" t="s">
        <v>2303</v>
      </c>
      <c r="L502" s="246" t="s">
        <v>2311</v>
      </c>
      <c r="M502" s="246">
        <v>6</v>
      </c>
      <c r="N502" s="246"/>
      <c r="O502" s="246" t="s">
        <v>2732</v>
      </c>
      <c r="P502" s="246" t="s">
        <v>6436</v>
      </c>
      <c r="Q502" s="246" t="s">
        <v>2729</v>
      </c>
      <c r="R502" s="248"/>
    </row>
    <row r="503" spans="1:18" x14ac:dyDescent="0.7">
      <c r="A503" s="246" t="s">
        <v>2733</v>
      </c>
      <c r="B503" s="246" t="s">
        <v>2734</v>
      </c>
      <c r="C503" s="246" t="s">
        <v>1409</v>
      </c>
      <c r="D503" s="246" t="s">
        <v>2735</v>
      </c>
      <c r="E503" s="246">
        <v>2</v>
      </c>
      <c r="F503" s="246" t="s">
        <v>2309</v>
      </c>
      <c r="G503" s="246" t="s">
        <v>2310</v>
      </c>
      <c r="H503" s="247">
        <v>53</v>
      </c>
      <c r="I503" s="246" t="s">
        <v>1201</v>
      </c>
      <c r="J503" s="247">
        <v>30</v>
      </c>
      <c r="K503" s="246" t="s">
        <v>2303</v>
      </c>
      <c r="L503" s="246" t="s">
        <v>2311</v>
      </c>
      <c r="M503" s="246">
        <v>6</v>
      </c>
      <c r="N503" s="246"/>
      <c r="O503" s="246" t="s">
        <v>2736</v>
      </c>
      <c r="P503" s="246" t="s">
        <v>6436</v>
      </c>
      <c r="Q503" s="246" t="s">
        <v>2733</v>
      </c>
      <c r="R503" s="248"/>
    </row>
    <row r="504" spans="1:18" x14ac:dyDescent="0.7">
      <c r="A504" s="246" t="s">
        <v>2737</v>
      </c>
      <c r="B504" s="246" t="s">
        <v>2738</v>
      </c>
      <c r="C504" s="246" t="s">
        <v>1410</v>
      </c>
      <c r="D504" s="246" t="s">
        <v>2739</v>
      </c>
      <c r="E504" s="246">
        <v>2</v>
      </c>
      <c r="F504" s="246" t="s">
        <v>2309</v>
      </c>
      <c r="G504" s="246" t="s">
        <v>2310</v>
      </c>
      <c r="H504" s="247">
        <v>53</v>
      </c>
      <c r="I504" s="246" t="s">
        <v>1201</v>
      </c>
      <c r="J504" s="247">
        <v>36</v>
      </c>
      <c r="K504" s="246" t="s">
        <v>2303</v>
      </c>
      <c r="L504" s="246" t="s">
        <v>2311</v>
      </c>
      <c r="M504" s="246">
        <v>5</v>
      </c>
      <c r="N504" s="246"/>
      <c r="O504" s="246" t="s">
        <v>2740</v>
      </c>
      <c r="P504" s="246" t="s">
        <v>6437</v>
      </c>
      <c r="Q504" s="246" t="s">
        <v>2737</v>
      </c>
      <c r="R504" s="248"/>
    </row>
    <row r="505" spans="1:18" x14ac:dyDescent="0.7">
      <c r="A505" s="246" t="s">
        <v>2485</v>
      </c>
      <c r="B505" s="246" t="s">
        <v>2486</v>
      </c>
      <c r="C505" s="246" t="s">
        <v>1329</v>
      </c>
      <c r="D505" s="246" t="s">
        <v>2487</v>
      </c>
      <c r="E505" s="246">
        <v>1</v>
      </c>
      <c r="F505" s="246" t="s">
        <v>2309</v>
      </c>
      <c r="G505" s="246" t="s">
        <v>2310</v>
      </c>
      <c r="H505" s="247">
        <v>54</v>
      </c>
      <c r="I505" s="246" t="s">
        <v>1193</v>
      </c>
      <c r="J505" s="247">
        <v>39</v>
      </c>
      <c r="K505" s="246" t="s">
        <v>2303</v>
      </c>
      <c r="L505" s="246" t="s">
        <v>2311</v>
      </c>
      <c r="M505" s="246">
        <v>6</v>
      </c>
      <c r="N505" s="246"/>
      <c r="O505" s="246" t="s">
        <v>2488</v>
      </c>
      <c r="P505" s="246" t="s">
        <v>6436</v>
      </c>
      <c r="Q505" s="246" t="s">
        <v>2485</v>
      </c>
      <c r="R505" s="248"/>
    </row>
    <row r="506" spans="1:18" x14ac:dyDescent="0.7">
      <c r="A506" s="246" t="s">
        <v>2489</v>
      </c>
      <c r="B506" s="246" t="s">
        <v>2490</v>
      </c>
      <c r="C506" s="246" t="s">
        <v>1330</v>
      </c>
      <c r="D506" s="246" t="s">
        <v>2491</v>
      </c>
      <c r="E506" s="246">
        <v>1</v>
      </c>
      <c r="F506" s="246" t="s">
        <v>2309</v>
      </c>
      <c r="G506" s="246" t="s">
        <v>2310</v>
      </c>
      <c r="H506" s="247">
        <v>54</v>
      </c>
      <c r="I506" s="246" t="s">
        <v>1193</v>
      </c>
      <c r="J506" s="247">
        <v>60</v>
      </c>
      <c r="K506" s="246" t="s">
        <v>2303</v>
      </c>
      <c r="L506" s="246" t="s">
        <v>2311</v>
      </c>
      <c r="M506" s="246">
        <v>6</v>
      </c>
      <c r="N506" s="246"/>
      <c r="O506" s="246" t="s">
        <v>2492</v>
      </c>
      <c r="P506" s="246" t="s">
        <v>6436</v>
      </c>
      <c r="Q506" s="246" t="s">
        <v>2489</v>
      </c>
      <c r="R506" s="248"/>
    </row>
    <row r="507" spans="1:18" x14ac:dyDescent="0.7">
      <c r="A507" s="246" t="s">
        <v>2493</v>
      </c>
      <c r="B507" s="246" t="s">
        <v>2494</v>
      </c>
      <c r="C507" s="246" t="s">
        <v>1331</v>
      </c>
      <c r="D507" s="246" t="s">
        <v>2495</v>
      </c>
      <c r="E507" s="246">
        <v>1</v>
      </c>
      <c r="F507" s="246" t="s">
        <v>2309</v>
      </c>
      <c r="G507" s="246" t="s">
        <v>2310</v>
      </c>
      <c r="H507" s="247">
        <v>54</v>
      </c>
      <c r="I507" s="246" t="s">
        <v>1193</v>
      </c>
      <c r="J507" s="247">
        <v>39</v>
      </c>
      <c r="K507" s="246" t="s">
        <v>2303</v>
      </c>
      <c r="L507" s="246" t="s">
        <v>2311</v>
      </c>
      <c r="M507" s="246">
        <v>6</v>
      </c>
      <c r="N507" s="246"/>
      <c r="O507" s="246" t="s">
        <v>2496</v>
      </c>
      <c r="P507" s="246" t="s">
        <v>6436</v>
      </c>
      <c r="Q507" s="246" t="s">
        <v>2493</v>
      </c>
      <c r="R507" s="248"/>
    </row>
    <row r="508" spans="1:18" x14ac:dyDescent="0.7">
      <c r="A508" s="246" t="s">
        <v>2497</v>
      </c>
      <c r="B508" s="246" t="s">
        <v>2498</v>
      </c>
      <c r="C508" s="246" t="s">
        <v>1332</v>
      </c>
      <c r="D508" s="246" t="s">
        <v>2499</v>
      </c>
      <c r="E508" s="246">
        <v>1</v>
      </c>
      <c r="F508" s="246" t="s">
        <v>2309</v>
      </c>
      <c r="G508" s="246" t="s">
        <v>2310</v>
      </c>
      <c r="H508" s="247">
        <v>54</v>
      </c>
      <c r="I508" s="246" t="s">
        <v>1193</v>
      </c>
      <c r="J508" s="247">
        <v>34</v>
      </c>
      <c r="K508" s="246" t="s">
        <v>2303</v>
      </c>
      <c r="L508" s="246" t="s">
        <v>2311</v>
      </c>
      <c r="M508" s="246">
        <v>6</v>
      </c>
      <c r="N508" s="246"/>
      <c r="O508" s="246" t="s">
        <v>2500</v>
      </c>
      <c r="P508" s="246" t="s">
        <v>6436</v>
      </c>
      <c r="Q508" s="246" t="s">
        <v>2497</v>
      </c>
      <c r="R508" s="248"/>
    </row>
    <row r="509" spans="1:18" x14ac:dyDescent="0.7">
      <c r="A509" s="246" t="s">
        <v>2501</v>
      </c>
      <c r="B509" s="246" t="s">
        <v>2502</v>
      </c>
      <c r="C509" s="246" t="s">
        <v>1333</v>
      </c>
      <c r="D509" s="246" t="s">
        <v>2503</v>
      </c>
      <c r="E509" s="246">
        <v>1</v>
      </c>
      <c r="F509" s="246" t="s">
        <v>2309</v>
      </c>
      <c r="G509" s="246" t="s">
        <v>2310</v>
      </c>
      <c r="H509" s="247">
        <v>54</v>
      </c>
      <c r="I509" s="246" t="s">
        <v>1193</v>
      </c>
      <c r="J509" s="247">
        <v>41</v>
      </c>
      <c r="K509" s="246" t="s">
        <v>2303</v>
      </c>
      <c r="L509" s="246" t="s">
        <v>2311</v>
      </c>
      <c r="M509" s="246">
        <v>6</v>
      </c>
      <c r="N509" s="246"/>
      <c r="O509" s="246" t="s">
        <v>2504</v>
      </c>
      <c r="P509" s="246" t="s">
        <v>6436</v>
      </c>
      <c r="Q509" s="246" t="s">
        <v>2501</v>
      </c>
      <c r="R509" s="248"/>
    </row>
    <row r="510" spans="1:18" x14ac:dyDescent="0.7">
      <c r="A510" s="246" t="s">
        <v>2505</v>
      </c>
      <c r="B510" s="246" t="s">
        <v>2506</v>
      </c>
      <c r="C510" s="246" t="s">
        <v>1334</v>
      </c>
      <c r="D510" s="246" t="s">
        <v>2507</v>
      </c>
      <c r="E510" s="246">
        <v>1</v>
      </c>
      <c r="F510" s="246" t="s">
        <v>2309</v>
      </c>
      <c r="G510" s="246" t="s">
        <v>2310</v>
      </c>
      <c r="H510" s="247">
        <v>54</v>
      </c>
      <c r="I510" s="246" t="s">
        <v>1193</v>
      </c>
      <c r="J510" s="247">
        <v>34</v>
      </c>
      <c r="K510" s="246" t="s">
        <v>2303</v>
      </c>
      <c r="L510" s="246" t="s">
        <v>2311</v>
      </c>
      <c r="M510" s="246">
        <v>5</v>
      </c>
      <c r="N510" s="246"/>
      <c r="O510" s="246" t="s">
        <v>2508</v>
      </c>
      <c r="P510" s="246" t="s">
        <v>6437</v>
      </c>
      <c r="Q510" s="246" t="s">
        <v>2505</v>
      </c>
      <c r="R510" s="248"/>
    </row>
    <row r="511" spans="1:18" x14ac:dyDescent="0.7">
      <c r="A511" s="246" t="s">
        <v>2516</v>
      </c>
      <c r="B511" s="246" t="s">
        <v>2517</v>
      </c>
      <c r="C511" s="246" t="s">
        <v>1307</v>
      </c>
      <c r="D511" s="246" t="s">
        <v>2518</v>
      </c>
      <c r="E511" s="246">
        <v>1</v>
      </c>
      <c r="F511" s="246" t="s">
        <v>2309</v>
      </c>
      <c r="G511" s="246" t="s">
        <v>2310</v>
      </c>
      <c r="H511" s="247">
        <v>55</v>
      </c>
      <c r="I511" s="246" t="s">
        <v>1191</v>
      </c>
      <c r="J511" s="247">
        <v>34</v>
      </c>
      <c r="K511" s="246" t="s">
        <v>2303</v>
      </c>
      <c r="L511" s="246" t="s">
        <v>2311</v>
      </c>
      <c r="M511" s="246">
        <v>5</v>
      </c>
      <c r="N511" s="246"/>
      <c r="O511" s="246" t="s">
        <v>2519</v>
      </c>
      <c r="P511" s="246" t="s">
        <v>6437</v>
      </c>
      <c r="Q511" s="246" t="s">
        <v>2516</v>
      </c>
      <c r="R511" s="248"/>
    </row>
    <row r="512" spans="1:18" x14ac:dyDescent="0.7">
      <c r="A512" s="246" t="s">
        <v>2520</v>
      </c>
      <c r="B512" s="246" t="s">
        <v>2521</v>
      </c>
      <c r="C512" s="246" t="s">
        <v>1308</v>
      </c>
      <c r="D512" s="246" t="s">
        <v>2522</v>
      </c>
      <c r="E512" s="246">
        <v>1</v>
      </c>
      <c r="F512" s="246" t="s">
        <v>2309</v>
      </c>
      <c r="G512" s="246" t="s">
        <v>2310</v>
      </c>
      <c r="H512" s="247">
        <v>55</v>
      </c>
      <c r="I512" s="246" t="s">
        <v>1191</v>
      </c>
      <c r="J512" s="247">
        <v>33</v>
      </c>
      <c r="K512" s="246" t="s">
        <v>2303</v>
      </c>
      <c r="L512" s="246" t="s">
        <v>2311</v>
      </c>
      <c r="M512" s="246">
        <v>5</v>
      </c>
      <c r="N512" s="246"/>
      <c r="O512" s="246" t="s">
        <v>2523</v>
      </c>
      <c r="P512" s="246" t="s">
        <v>6437</v>
      </c>
      <c r="Q512" s="246" t="s">
        <v>2520</v>
      </c>
      <c r="R512" s="248"/>
    </row>
    <row r="513" spans="1:18" x14ac:dyDescent="0.7">
      <c r="A513" s="246" t="s">
        <v>2524</v>
      </c>
      <c r="B513" s="246" t="s">
        <v>2525</v>
      </c>
      <c r="C513" s="246" t="s">
        <v>1309</v>
      </c>
      <c r="D513" s="246" t="s">
        <v>2526</v>
      </c>
      <c r="E513" s="246">
        <v>1</v>
      </c>
      <c r="F513" s="246" t="s">
        <v>2309</v>
      </c>
      <c r="G513" s="246" t="s">
        <v>2310</v>
      </c>
      <c r="H513" s="247">
        <v>55</v>
      </c>
      <c r="I513" s="246" t="s">
        <v>1191</v>
      </c>
      <c r="J513" s="247">
        <v>50</v>
      </c>
      <c r="K513" s="246" t="s">
        <v>2303</v>
      </c>
      <c r="L513" s="246" t="s">
        <v>2311</v>
      </c>
      <c r="M513" s="246">
        <v>5</v>
      </c>
      <c r="N513" s="246"/>
      <c r="O513" s="246" t="s">
        <v>2527</v>
      </c>
      <c r="P513" s="246" t="s">
        <v>6437</v>
      </c>
      <c r="Q513" s="246" t="s">
        <v>2524</v>
      </c>
      <c r="R513" s="248"/>
    </row>
    <row r="514" spans="1:18" x14ac:dyDescent="0.7">
      <c r="A514" s="246" t="s">
        <v>2528</v>
      </c>
      <c r="B514" s="246" t="s">
        <v>2529</v>
      </c>
      <c r="C514" s="246" t="s">
        <v>1310</v>
      </c>
      <c r="D514" s="246" t="s">
        <v>2530</v>
      </c>
      <c r="E514" s="246">
        <v>1</v>
      </c>
      <c r="F514" s="246" t="s">
        <v>2309</v>
      </c>
      <c r="G514" s="246" t="s">
        <v>2310</v>
      </c>
      <c r="H514" s="247">
        <v>55</v>
      </c>
      <c r="I514" s="246" t="s">
        <v>1191</v>
      </c>
      <c r="J514" s="247">
        <v>45</v>
      </c>
      <c r="K514" s="246" t="s">
        <v>2303</v>
      </c>
      <c r="L514" s="246" t="s">
        <v>2311</v>
      </c>
      <c r="M514" s="246">
        <v>6</v>
      </c>
      <c r="N514" s="246"/>
      <c r="O514" s="246" t="s">
        <v>2531</v>
      </c>
      <c r="P514" s="246" t="s">
        <v>6436</v>
      </c>
      <c r="Q514" s="246" t="s">
        <v>2528</v>
      </c>
      <c r="R514" s="248"/>
    </row>
    <row r="515" spans="1:18" x14ac:dyDescent="0.7">
      <c r="A515" s="246" t="s">
        <v>2532</v>
      </c>
      <c r="B515" s="246" t="s">
        <v>2533</v>
      </c>
      <c r="C515" s="246" t="s">
        <v>1311</v>
      </c>
      <c r="D515" s="246" t="s">
        <v>2534</v>
      </c>
      <c r="E515" s="246">
        <v>1</v>
      </c>
      <c r="F515" s="246" t="s">
        <v>2309</v>
      </c>
      <c r="G515" s="246" t="s">
        <v>2310</v>
      </c>
      <c r="H515" s="247">
        <v>55</v>
      </c>
      <c r="I515" s="246" t="s">
        <v>1191</v>
      </c>
      <c r="J515" s="247">
        <v>71</v>
      </c>
      <c r="K515" s="246" t="s">
        <v>2303</v>
      </c>
      <c r="L515" s="246" t="s">
        <v>2316</v>
      </c>
      <c r="M515" s="246">
        <v>9</v>
      </c>
      <c r="N515" s="246"/>
      <c r="O515" s="246" t="s">
        <v>2535</v>
      </c>
      <c r="P515" s="246" t="s">
        <v>6435</v>
      </c>
      <c r="Q515" s="246" t="s">
        <v>2532</v>
      </c>
      <c r="R515" s="248"/>
    </row>
    <row r="516" spans="1:18" x14ac:dyDescent="0.7">
      <c r="A516" s="246" t="s">
        <v>2536</v>
      </c>
      <c r="B516" s="246" t="s">
        <v>2537</v>
      </c>
      <c r="C516" s="246" t="s">
        <v>1312</v>
      </c>
      <c r="D516" s="246" t="s">
        <v>2538</v>
      </c>
      <c r="E516" s="246">
        <v>1</v>
      </c>
      <c r="F516" s="246" t="s">
        <v>2309</v>
      </c>
      <c r="G516" s="246" t="s">
        <v>2310</v>
      </c>
      <c r="H516" s="247">
        <v>55</v>
      </c>
      <c r="I516" s="246" t="s">
        <v>1191</v>
      </c>
      <c r="J516" s="247">
        <v>37</v>
      </c>
      <c r="K516" s="246" t="s">
        <v>2303</v>
      </c>
      <c r="L516" s="246" t="s">
        <v>2311</v>
      </c>
      <c r="M516" s="246">
        <v>5</v>
      </c>
      <c r="N516" s="246"/>
      <c r="O516" s="246" t="s">
        <v>2539</v>
      </c>
      <c r="P516" s="246" t="s">
        <v>6437</v>
      </c>
      <c r="Q516" s="246" t="s">
        <v>2536</v>
      </c>
      <c r="R516" s="248"/>
    </row>
    <row r="517" spans="1:18" x14ac:dyDescent="0.7">
      <c r="A517" s="246" t="s">
        <v>2540</v>
      </c>
      <c r="B517" s="246" t="s">
        <v>2541</v>
      </c>
      <c r="C517" s="246" t="s">
        <v>1313</v>
      </c>
      <c r="D517" s="246" t="s">
        <v>2542</v>
      </c>
      <c r="E517" s="246">
        <v>1</v>
      </c>
      <c r="F517" s="246" t="s">
        <v>2309</v>
      </c>
      <c r="G517" s="246" t="s">
        <v>2310</v>
      </c>
      <c r="H517" s="247">
        <v>55</v>
      </c>
      <c r="I517" s="246" t="s">
        <v>1191</v>
      </c>
      <c r="J517" s="247">
        <v>33</v>
      </c>
      <c r="K517" s="246" t="s">
        <v>2303</v>
      </c>
      <c r="L517" s="246" t="s">
        <v>2311</v>
      </c>
      <c r="M517" s="246">
        <v>5</v>
      </c>
      <c r="N517" s="246"/>
      <c r="O517" s="246" t="s">
        <v>2543</v>
      </c>
      <c r="P517" s="246" t="s">
        <v>6437</v>
      </c>
      <c r="Q517" s="246" t="s">
        <v>2540</v>
      </c>
      <c r="R517" s="248"/>
    </row>
    <row r="518" spans="1:18" x14ac:dyDescent="0.7">
      <c r="A518" s="246" t="s">
        <v>2544</v>
      </c>
      <c r="B518" s="246" t="s">
        <v>2545</v>
      </c>
      <c r="C518" s="246" t="s">
        <v>1314</v>
      </c>
      <c r="D518" s="246" t="s">
        <v>2546</v>
      </c>
      <c r="E518" s="246">
        <v>1</v>
      </c>
      <c r="F518" s="246" t="s">
        <v>2309</v>
      </c>
      <c r="G518" s="246" t="s">
        <v>2310</v>
      </c>
      <c r="H518" s="247">
        <v>55</v>
      </c>
      <c r="I518" s="246" t="s">
        <v>1191</v>
      </c>
      <c r="J518" s="247">
        <v>0</v>
      </c>
      <c r="K518" s="246" t="s">
        <v>2303</v>
      </c>
      <c r="L518" s="246" t="s">
        <v>2311</v>
      </c>
      <c r="M518" s="246">
        <v>5</v>
      </c>
      <c r="N518" s="246"/>
      <c r="O518" s="246" t="s">
        <v>2547</v>
      </c>
      <c r="P518" s="246" t="s">
        <v>6437</v>
      </c>
      <c r="Q518" s="246" t="s">
        <v>2544</v>
      </c>
      <c r="R518" s="248"/>
    </row>
    <row r="519" spans="1:18" x14ac:dyDescent="0.7">
      <c r="A519" s="246" t="s">
        <v>2548</v>
      </c>
      <c r="B519" s="246" t="s">
        <v>2549</v>
      </c>
      <c r="C519" s="246" t="s">
        <v>1315</v>
      </c>
      <c r="D519" s="246" t="s">
        <v>2550</v>
      </c>
      <c r="E519" s="246">
        <v>1</v>
      </c>
      <c r="F519" s="246" t="s">
        <v>2309</v>
      </c>
      <c r="G519" s="246" t="s">
        <v>2310</v>
      </c>
      <c r="H519" s="247">
        <v>55</v>
      </c>
      <c r="I519" s="246" t="s">
        <v>1191</v>
      </c>
      <c r="J519" s="247">
        <v>30</v>
      </c>
      <c r="K519" s="246" t="s">
        <v>2303</v>
      </c>
      <c r="L519" s="246" t="s">
        <v>2311</v>
      </c>
      <c r="M519" s="246">
        <v>5</v>
      </c>
      <c r="N519" s="246"/>
      <c r="O519" s="246" t="s">
        <v>2551</v>
      </c>
      <c r="P519" s="246" t="s">
        <v>6437</v>
      </c>
      <c r="Q519" s="246" t="s">
        <v>2548</v>
      </c>
      <c r="R519" s="248"/>
    </row>
    <row r="520" spans="1:18" x14ac:dyDescent="0.7">
      <c r="A520" s="246" t="s">
        <v>2552</v>
      </c>
      <c r="B520" s="246" t="s">
        <v>2553</v>
      </c>
      <c r="C520" s="246" t="s">
        <v>1316</v>
      </c>
      <c r="D520" s="246" t="s">
        <v>2554</v>
      </c>
      <c r="E520" s="246">
        <v>1</v>
      </c>
      <c r="F520" s="246" t="s">
        <v>2309</v>
      </c>
      <c r="G520" s="246" t="s">
        <v>2310</v>
      </c>
      <c r="H520" s="247">
        <v>55</v>
      </c>
      <c r="I520" s="246" t="s">
        <v>1191</v>
      </c>
      <c r="J520" s="247">
        <v>20</v>
      </c>
      <c r="K520" s="246" t="s">
        <v>2303</v>
      </c>
      <c r="L520" s="246" t="s">
        <v>2311</v>
      </c>
      <c r="M520" s="246">
        <v>5</v>
      </c>
      <c r="N520" s="246"/>
      <c r="O520" s="246" t="s">
        <v>2555</v>
      </c>
      <c r="P520" s="246" t="s">
        <v>6437</v>
      </c>
      <c r="Q520" s="246" t="s">
        <v>2552</v>
      </c>
      <c r="R520" s="248"/>
    </row>
    <row r="521" spans="1:18" x14ac:dyDescent="0.7">
      <c r="A521" s="246" t="s">
        <v>2556</v>
      </c>
      <c r="B521" s="246" t="s">
        <v>2557</v>
      </c>
      <c r="C521" s="246" t="s">
        <v>1317</v>
      </c>
      <c r="D521" s="246" t="s">
        <v>2558</v>
      </c>
      <c r="E521" s="246">
        <v>1</v>
      </c>
      <c r="F521" s="246" t="s">
        <v>2309</v>
      </c>
      <c r="G521" s="246" t="s">
        <v>2310</v>
      </c>
      <c r="H521" s="247">
        <v>55</v>
      </c>
      <c r="I521" s="246" t="s">
        <v>1191</v>
      </c>
      <c r="J521" s="247">
        <v>0</v>
      </c>
      <c r="K521" s="246" t="s">
        <v>2303</v>
      </c>
      <c r="L521" s="246" t="s">
        <v>2311</v>
      </c>
      <c r="M521" s="246">
        <v>5</v>
      </c>
      <c r="N521" s="246"/>
      <c r="O521" s="246" t="s">
        <v>2559</v>
      </c>
      <c r="P521" s="246" t="s">
        <v>6437</v>
      </c>
      <c r="Q521" s="246" t="s">
        <v>2556</v>
      </c>
      <c r="R521" s="248"/>
    </row>
    <row r="522" spans="1:18" x14ac:dyDescent="0.7">
      <c r="A522" s="246" t="s">
        <v>2578</v>
      </c>
      <c r="B522" s="246" t="s">
        <v>2579</v>
      </c>
      <c r="C522" s="246" t="s">
        <v>1323</v>
      </c>
      <c r="D522" s="246" t="s">
        <v>2580</v>
      </c>
      <c r="E522" s="246">
        <v>1</v>
      </c>
      <c r="F522" s="246" t="s">
        <v>2309</v>
      </c>
      <c r="G522" s="246" t="s">
        <v>2310</v>
      </c>
      <c r="H522" s="247">
        <v>56</v>
      </c>
      <c r="I522" s="246" t="s">
        <v>1192</v>
      </c>
      <c r="J522" s="247">
        <v>52</v>
      </c>
      <c r="K522" s="246" t="s">
        <v>2295</v>
      </c>
      <c r="L522" s="246" t="s">
        <v>2311</v>
      </c>
      <c r="M522" s="246">
        <v>6</v>
      </c>
      <c r="N522" s="246"/>
      <c r="O522" s="246" t="s">
        <v>2581</v>
      </c>
      <c r="P522" s="246" t="s">
        <v>6436</v>
      </c>
      <c r="Q522" s="246" t="s">
        <v>2578</v>
      </c>
      <c r="R522" s="248"/>
    </row>
    <row r="523" spans="1:18" x14ac:dyDescent="0.7">
      <c r="A523" s="246" t="s">
        <v>2582</v>
      </c>
      <c r="B523" s="246" t="s">
        <v>2583</v>
      </c>
      <c r="C523" s="246" t="s">
        <v>1324</v>
      </c>
      <c r="D523" s="246" t="s">
        <v>2584</v>
      </c>
      <c r="E523" s="246">
        <v>1</v>
      </c>
      <c r="F523" s="246" t="s">
        <v>2309</v>
      </c>
      <c r="G523" s="246" t="s">
        <v>2310</v>
      </c>
      <c r="H523" s="247">
        <v>56</v>
      </c>
      <c r="I523" s="246" t="s">
        <v>1192</v>
      </c>
      <c r="J523" s="247">
        <v>30</v>
      </c>
      <c r="K523" s="246" t="s">
        <v>2295</v>
      </c>
      <c r="L523" s="246" t="s">
        <v>2311</v>
      </c>
      <c r="M523" s="246">
        <v>5</v>
      </c>
      <c r="N523" s="246"/>
      <c r="O523" s="246" t="s">
        <v>2585</v>
      </c>
      <c r="P523" s="246" t="s">
        <v>6437</v>
      </c>
      <c r="Q523" s="246" t="s">
        <v>2582</v>
      </c>
      <c r="R523" s="248"/>
    </row>
    <row r="524" spans="1:18" x14ac:dyDescent="0.7">
      <c r="A524" s="246" t="s">
        <v>2586</v>
      </c>
      <c r="B524" s="246" t="s">
        <v>2587</v>
      </c>
      <c r="C524" s="246" t="s">
        <v>1325</v>
      </c>
      <c r="D524" s="246" t="s">
        <v>2588</v>
      </c>
      <c r="E524" s="246">
        <v>1</v>
      </c>
      <c r="F524" s="246" t="s">
        <v>2309</v>
      </c>
      <c r="G524" s="246" t="s">
        <v>2310</v>
      </c>
      <c r="H524" s="247">
        <v>56</v>
      </c>
      <c r="I524" s="246" t="s">
        <v>1192</v>
      </c>
      <c r="J524" s="247">
        <v>60</v>
      </c>
      <c r="K524" s="246" t="s">
        <v>2295</v>
      </c>
      <c r="L524" s="246" t="s">
        <v>2311</v>
      </c>
      <c r="M524" s="246">
        <v>6</v>
      </c>
      <c r="N524" s="246"/>
      <c r="O524" s="246" t="s">
        <v>2589</v>
      </c>
      <c r="P524" s="246" t="s">
        <v>6436</v>
      </c>
      <c r="Q524" s="246" t="s">
        <v>2586</v>
      </c>
      <c r="R524" s="248"/>
    </row>
    <row r="525" spans="1:18" x14ac:dyDescent="0.7">
      <c r="A525" s="246" t="s">
        <v>2590</v>
      </c>
      <c r="B525" s="246" t="s">
        <v>2591</v>
      </c>
      <c r="C525" s="246" t="s">
        <v>1326</v>
      </c>
      <c r="D525" s="246" t="s">
        <v>2592</v>
      </c>
      <c r="E525" s="246">
        <v>1</v>
      </c>
      <c r="F525" s="246" t="s">
        <v>2309</v>
      </c>
      <c r="G525" s="246" t="s">
        <v>2310</v>
      </c>
      <c r="H525" s="247">
        <v>56</v>
      </c>
      <c r="I525" s="246" t="s">
        <v>1192</v>
      </c>
      <c r="J525" s="247">
        <v>59</v>
      </c>
      <c r="K525" s="246" t="s">
        <v>2295</v>
      </c>
      <c r="L525" s="246" t="s">
        <v>2311</v>
      </c>
      <c r="M525" s="246">
        <v>6</v>
      </c>
      <c r="N525" s="246"/>
      <c r="O525" s="246" t="s">
        <v>2593</v>
      </c>
      <c r="P525" s="246" t="s">
        <v>6436</v>
      </c>
      <c r="Q525" s="246" t="s">
        <v>2590</v>
      </c>
      <c r="R525" s="248"/>
    </row>
    <row r="526" spans="1:18" x14ac:dyDescent="0.7">
      <c r="A526" s="246" t="s">
        <v>2594</v>
      </c>
      <c r="B526" s="246" t="s">
        <v>2595</v>
      </c>
      <c r="C526" s="246" t="s">
        <v>1327</v>
      </c>
      <c r="D526" s="246" t="s">
        <v>2596</v>
      </c>
      <c r="E526" s="246">
        <v>1</v>
      </c>
      <c r="F526" s="246" t="s">
        <v>2309</v>
      </c>
      <c r="G526" s="246" t="s">
        <v>2310</v>
      </c>
      <c r="H526" s="247">
        <v>56</v>
      </c>
      <c r="I526" s="246" t="s">
        <v>1192</v>
      </c>
      <c r="J526" s="247">
        <v>32</v>
      </c>
      <c r="K526" s="246" t="s">
        <v>2295</v>
      </c>
      <c r="L526" s="246" t="s">
        <v>2311</v>
      </c>
      <c r="M526" s="246">
        <v>5</v>
      </c>
      <c r="N526" s="246"/>
      <c r="O526" s="246" t="s">
        <v>2597</v>
      </c>
      <c r="P526" s="246" t="s">
        <v>6437</v>
      </c>
      <c r="Q526" s="246" t="s">
        <v>2594</v>
      </c>
      <c r="R526" s="248"/>
    </row>
    <row r="527" spans="1:18" x14ac:dyDescent="0.7">
      <c r="A527" s="246" t="s">
        <v>2610</v>
      </c>
      <c r="B527" s="246" t="s">
        <v>2611</v>
      </c>
      <c r="C527" s="246" t="s">
        <v>1268</v>
      </c>
      <c r="D527" s="246" t="s">
        <v>2612</v>
      </c>
      <c r="E527" s="246">
        <v>1</v>
      </c>
      <c r="F527" s="246" t="s">
        <v>2309</v>
      </c>
      <c r="G527" s="246" t="s">
        <v>2310</v>
      </c>
      <c r="H527" s="247">
        <v>57</v>
      </c>
      <c r="I527" s="246" t="s">
        <v>1189</v>
      </c>
      <c r="J527" s="247">
        <v>61</v>
      </c>
      <c r="K527" s="246" t="s">
        <v>2303</v>
      </c>
      <c r="L527" s="246" t="s">
        <v>2316</v>
      </c>
      <c r="M527" s="246">
        <v>10</v>
      </c>
      <c r="N527" s="246"/>
      <c r="O527" s="246" t="s">
        <v>2613</v>
      </c>
      <c r="P527" s="246" t="s">
        <v>6433</v>
      </c>
      <c r="Q527" s="246" t="s">
        <v>2610</v>
      </c>
      <c r="R527" s="248"/>
    </row>
    <row r="528" spans="1:18" x14ac:dyDescent="0.7">
      <c r="A528" s="246" t="s">
        <v>2614</v>
      </c>
      <c r="B528" s="246" t="s">
        <v>2615</v>
      </c>
      <c r="C528" s="246" t="s">
        <v>1269</v>
      </c>
      <c r="D528" s="246" t="s">
        <v>2616</v>
      </c>
      <c r="E528" s="246">
        <v>1</v>
      </c>
      <c r="F528" s="246" t="s">
        <v>2309</v>
      </c>
      <c r="G528" s="246" t="s">
        <v>2310</v>
      </c>
      <c r="H528" s="247">
        <v>57</v>
      </c>
      <c r="I528" s="246" t="s">
        <v>1189</v>
      </c>
      <c r="J528" s="247">
        <v>125</v>
      </c>
      <c r="K528" s="246" t="s">
        <v>2295</v>
      </c>
      <c r="L528" s="246" t="s">
        <v>2345</v>
      </c>
      <c r="M528" s="246">
        <v>13</v>
      </c>
      <c r="N528" s="246"/>
      <c r="O528" s="246" t="s">
        <v>2617</v>
      </c>
      <c r="P528" s="246" t="s">
        <v>6432</v>
      </c>
      <c r="Q528" s="246" t="s">
        <v>2614</v>
      </c>
      <c r="R528" s="248"/>
    </row>
    <row r="529" spans="1:18" x14ac:dyDescent="0.7">
      <c r="A529" s="246" t="s">
        <v>2618</v>
      </c>
      <c r="B529" s="246" t="s">
        <v>2619</v>
      </c>
      <c r="C529" s="246" t="s">
        <v>1270</v>
      </c>
      <c r="D529" s="246" t="s">
        <v>2620</v>
      </c>
      <c r="E529" s="246">
        <v>1</v>
      </c>
      <c r="F529" s="246" t="s">
        <v>2309</v>
      </c>
      <c r="G529" s="246" t="s">
        <v>2310</v>
      </c>
      <c r="H529" s="247">
        <v>57</v>
      </c>
      <c r="I529" s="246" t="s">
        <v>1189</v>
      </c>
      <c r="J529" s="247">
        <v>30</v>
      </c>
      <c r="K529" s="246" t="s">
        <v>2295</v>
      </c>
      <c r="L529" s="246" t="s">
        <v>2311</v>
      </c>
      <c r="M529" s="246">
        <v>5</v>
      </c>
      <c r="N529" s="246"/>
      <c r="O529" s="246" t="s">
        <v>2621</v>
      </c>
      <c r="P529" s="246" t="s">
        <v>6437</v>
      </c>
      <c r="Q529" s="246" t="s">
        <v>2618</v>
      </c>
      <c r="R529" s="248"/>
    </row>
    <row r="530" spans="1:18" x14ac:dyDescent="0.7">
      <c r="A530" s="246" t="s">
        <v>2622</v>
      </c>
      <c r="B530" s="246" t="s">
        <v>2623</v>
      </c>
      <c r="C530" s="246" t="s">
        <v>1271</v>
      </c>
      <c r="D530" s="246" t="s">
        <v>2624</v>
      </c>
      <c r="E530" s="246">
        <v>1</v>
      </c>
      <c r="F530" s="246" t="s">
        <v>2309</v>
      </c>
      <c r="G530" s="246" t="s">
        <v>2310</v>
      </c>
      <c r="H530" s="247">
        <v>57</v>
      </c>
      <c r="I530" s="246" t="s">
        <v>1189</v>
      </c>
      <c r="J530" s="247">
        <v>152</v>
      </c>
      <c r="K530" s="246" t="s">
        <v>2295</v>
      </c>
      <c r="L530" s="246" t="s">
        <v>2345</v>
      </c>
      <c r="M530" s="246">
        <v>13</v>
      </c>
      <c r="N530" s="246"/>
      <c r="O530" s="246" t="s">
        <v>2625</v>
      </c>
      <c r="P530" s="246" t="s">
        <v>6432</v>
      </c>
      <c r="Q530" s="246" t="s">
        <v>2622</v>
      </c>
      <c r="R530" s="248"/>
    </row>
    <row r="531" spans="1:18" x14ac:dyDescent="0.7">
      <c r="A531" s="246" t="s">
        <v>2626</v>
      </c>
      <c r="B531" s="246" t="s">
        <v>2627</v>
      </c>
      <c r="C531" s="246" t="s">
        <v>1272</v>
      </c>
      <c r="D531" s="246" t="s">
        <v>2628</v>
      </c>
      <c r="E531" s="246">
        <v>1</v>
      </c>
      <c r="F531" s="246" t="s">
        <v>2309</v>
      </c>
      <c r="G531" s="246" t="s">
        <v>2310</v>
      </c>
      <c r="H531" s="247">
        <v>57</v>
      </c>
      <c r="I531" s="246" t="s">
        <v>1189</v>
      </c>
      <c r="J531" s="247">
        <v>53</v>
      </c>
      <c r="K531" s="246" t="s">
        <v>2295</v>
      </c>
      <c r="L531" s="246" t="s">
        <v>2311</v>
      </c>
      <c r="M531" s="246">
        <v>6</v>
      </c>
      <c r="N531" s="246"/>
      <c r="O531" s="246" t="s">
        <v>2629</v>
      </c>
      <c r="P531" s="246" t="s">
        <v>6436</v>
      </c>
      <c r="Q531" s="246" t="s">
        <v>2626</v>
      </c>
      <c r="R531" s="248"/>
    </row>
    <row r="532" spans="1:18" x14ac:dyDescent="0.7">
      <c r="A532" s="246" t="s">
        <v>2630</v>
      </c>
      <c r="B532" s="246" t="s">
        <v>2631</v>
      </c>
      <c r="C532" s="246" t="s">
        <v>1273</v>
      </c>
      <c r="D532" s="246" t="s">
        <v>2632</v>
      </c>
      <c r="E532" s="246">
        <v>1</v>
      </c>
      <c r="F532" s="246" t="s">
        <v>2309</v>
      </c>
      <c r="G532" s="246" t="s">
        <v>2310</v>
      </c>
      <c r="H532" s="247">
        <v>57</v>
      </c>
      <c r="I532" s="246" t="s">
        <v>1189</v>
      </c>
      <c r="J532" s="247">
        <v>118</v>
      </c>
      <c r="K532" s="246" t="s">
        <v>2295</v>
      </c>
      <c r="L532" s="246" t="s">
        <v>2345</v>
      </c>
      <c r="M532" s="246">
        <v>13</v>
      </c>
      <c r="N532" s="246"/>
      <c r="O532" s="246" t="s">
        <v>2633</v>
      </c>
      <c r="P532" s="246" t="s">
        <v>6432</v>
      </c>
      <c r="Q532" s="246" t="s">
        <v>2630</v>
      </c>
      <c r="R532" s="248"/>
    </row>
    <row r="533" spans="1:18" x14ac:dyDescent="0.7">
      <c r="A533" s="246" t="s">
        <v>2634</v>
      </c>
      <c r="B533" s="246" t="s">
        <v>2635</v>
      </c>
      <c r="C533" s="246" t="s">
        <v>1274</v>
      </c>
      <c r="D533" s="246" t="s">
        <v>2636</v>
      </c>
      <c r="E533" s="246">
        <v>1</v>
      </c>
      <c r="F533" s="246" t="s">
        <v>2309</v>
      </c>
      <c r="G533" s="246" t="s">
        <v>2310</v>
      </c>
      <c r="H533" s="247">
        <v>57</v>
      </c>
      <c r="I533" s="246" t="s">
        <v>1189</v>
      </c>
      <c r="J533" s="247">
        <v>60</v>
      </c>
      <c r="K533" s="246" t="s">
        <v>2295</v>
      </c>
      <c r="L533" s="246" t="s">
        <v>2311</v>
      </c>
      <c r="M533" s="246">
        <v>7</v>
      </c>
      <c r="N533" s="246"/>
      <c r="O533" s="246" t="s">
        <v>2637</v>
      </c>
      <c r="P533" s="246" t="s">
        <v>6434</v>
      </c>
      <c r="Q533" s="246" t="s">
        <v>2634</v>
      </c>
      <c r="R533" s="248"/>
    </row>
    <row r="534" spans="1:18" x14ac:dyDescent="0.7">
      <c r="A534" s="246" t="s">
        <v>2638</v>
      </c>
      <c r="B534" s="246" t="s">
        <v>2639</v>
      </c>
      <c r="C534" s="246" t="s">
        <v>1275</v>
      </c>
      <c r="D534" s="246" t="s">
        <v>2640</v>
      </c>
      <c r="E534" s="246">
        <v>1</v>
      </c>
      <c r="F534" s="246" t="s">
        <v>2309</v>
      </c>
      <c r="G534" s="246" t="s">
        <v>2310</v>
      </c>
      <c r="H534" s="247">
        <v>57</v>
      </c>
      <c r="I534" s="246" t="s">
        <v>1189</v>
      </c>
      <c r="J534" s="247">
        <v>67</v>
      </c>
      <c r="K534" s="246" t="s">
        <v>2295</v>
      </c>
      <c r="L534" s="246" t="s">
        <v>2316</v>
      </c>
      <c r="M534" s="246">
        <v>10</v>
      </c>
      <c r="N534" s="246"/>
      <c r="O534" s="246" t="s">
        <v>2641</v>
      </c>
      <c r="P534" s="246" t="s">
        <v>6433</v>
      </c>
      <c r="Q534" s="246" t="s">
        <v>2638</v>
      </c>
      <c r="R534" s="248"/>
    </row>
    <row r="535" spans="1:18" x14ac:dyDescent="0.7">
      <c r="A535" s="246" t="s">
        <v>2642</v>
      </c>
      <c r="B535" s="246" t="s">
        <v>2643</v>
      </c>
      <c r="C535" s="246" t="s">
        <v>1276</v>
      </c>
      <c r="D535" s="246" t="s">
        <v>2644</v>
      </c>
      <c r="E535" s="246">
        <v>1</v>
      </c>
      <c r="F535" s="246" t="s">
        <v>2309</v>
      </c>
      <c r="G535" s="246" t="s">
        <v>2310</v>
      </c>
      <c r="H535" s="247">
        <v>57</v>
      </c>
      <c r="I535" s="246" t="s">
        <v>1189</v>
      </c>
      <c r="J535" s="247">
        <v>60</v>
      </c>
      <c r="K535" s="246" t="s">
        <v>2295</v>
      </c>
      <c r="L535" s="246" t="s">
        <v>2311</v>
      </c>
      <c r="M535" s="246">
        <v>6</v>
      </c>
      <c r="N535" s="246"/>
      <c r="O535" s="246" t="s">
        <v>2645</v>
      </c>
      <c r="P535" s="246" t="s">
        <v>6436</v>
      </c>
      <c r="Q535" s="246" t="s">
        <v>2642</v>
      </c>
      <c r="R535" s="248"/>
    </row>
    <row r="536" spans="1:18" x14ac:dyDescent="0.7">
      <c r="A536" s="246" t="s">
        <v>2646</v>
      </c>
      <c r="B536" s="246" t="s">
        <v>2647</v>
      </c>
      <c r="C536" s="246" t="s">
        <v>1277</v>
      </c>
      <c r="D536" s="246" t="s">
        <v>2648</v>
      </c>
      <c r="E536" s="246">
        <v>1</v>
      </c>
      <c r="F536" s="246" t="s">
        <v>2309</v>
      </c>
      <c r="G536" s="246" t="s">
        <v>2310</v>
      </c>
      <c r="H536" s="247">
        <v>57</v>
      </c>
      <c r="I536" s="246" t="s">
        <v>1189</v>
      </c>
      <c r="J536" s="247">
        <v>35</v>
      </c>
      <c r="K536" s="246" t="s">
        <v>2295</v>
      </c>
      <c r="L536" s="246" t="s">
        <v>2311</v>
      </c>
      <c r="M536" s="246">
        <v>5</v>
      </c>
      <c r="N536" s="246"/>
      <c r="O536" s="246" t="s">
        <v>2649</v>
      </c>
      <c r="P536" s="246" t="s">
        <v>6437</v>
      </c>
      <c r="Q536" s="246" t="s">
        <v>2646</v>
      </c>
      <c r="R536" s="248"/>
    </row>
    <row r="537" spans="1:18" x14ac:dyDescent="0.7">
      <c r="A537" s="246" t="s">
        <v>2650</v>
      </c>
      <c r="B537" s="246" t="s">
        <v>2651</v>
      </c>
      <c r="C537" s="246" t="s">
        <v>1278</v>
      </c>
      <c r="D537" s="246" t="s">
        <v>2652</v>
      </c>
      <c r="E537" s="246">
        <v>1</v>
      </c>
      <c r="F537" s="246" t="s">
        <v>2309</v>
      </c>
      <c r="G537" s="246" t="s">
        <v>2310</v>
      </c>
      <c r="H537" s="247">
        <v>57</v>
      </c>
      <c r="I537" s="246" t="s">
        <v>1189</v>
      </c>
      <c r="J537" s="247">
        <v>30</v>
      </c>
      <c r="K537" s="246" t="s">
        <v>2295</v>
      </c>
      <c r="L537" s="246" t="s">
        <v>2311</v>
      </c>
      <c r="M537" s="246">
        <v>5</v>
      </c>
      <c r="N537" s="246"/>
      <c r="O537" s="246" t="s">
        <v>2653</v>
      </c>
      <c r="P537" s="246" t="s">
        <v>6437</v>
      </c>
      <c r="Q537" s="246" t="s">
        <v>2650</v>
      </c>
      <c r="R537" s="248"/>
    </row>
    <row r="538" spans="1:18" x14ac:dyDescent="0.7">
      <c r="A538" s="246" t="s">
        <v>2654</v>
      </c>
      <c r="B538" s="246" t="s">
        <v>2655</v>
      </c>
      <c r="C538" s="246" t="s">
        <v>1279</v>
      </c>
      <c r="D538" s="246" t="s">
        <v>2656</v>
      </c>
      <c r="E538" s="246">
        <v>1</v>
      </c>
      <c r="F538" s="246" t="s">
        <v>2309</v>
      </c>
      <c r="G538" s="246" t="s">
        <v>2310</v>
      </c>
      <c r="H538" s="247">
        <v>57</v>
      </c>
      <c r="I538" s="246" t="s">
        <v>1189</v>
      </c>
      <c r="J538" s="247">
        <v>30</v>
      </c>
      <c r="K538" s="246" t="s">
        <v>2295</v>
      </c>
      <c r="L538" s="246" t="s">
        <v>2311</v>
      </c>
      <c r="M538" s="246">
        <v>6</v>
      </c>
      <c r="N538" s="246"/>
      <c r="O538" s="246" t="s">
        <v>2657</v>
      </c>
      <c r="P538" s="246" t="s">
        <v>6436</v>
      </c>
      <c r="Q538" s="246" t="s">
        <v>2654</v>
      </c>
      <c r="R538" s="248"/>
    </row>
    <row r="539" spans="1:18" x14ac:dyDescent="0.7">
      <c r="A539" s="246" t="s">
        <v>2658</v>
      </c>
      <c r="B539" s="246" t="s">
        <v>2659</v>
      </c>
      <c r="C539" s="246" t="s">
        <v>1280</v>
      </c>
      <c r="D539" s="246" t="s">
        <v>2660</v>
      </c>
      <c r="E539" s="246">
        <v>1</v>
      </c>
      <c r="F539" s="246" t="s">
        <v>2309</v>
      </c>
      <c r="G539" s="246" t="s">
        <v>2310</v>
      </c>
      <c r="H539" s="247">
        <v>57</v>
      </c>
      <c r="I539" s="246" t="s">
        <v>1189</v>
      </c>
      <c r="J539" s="247">
        <v>30</v>
      </c>
      <c r="K539" s="246" t="s">
        <v>2295</v>
      </c>
      <c r="L539" s="246" t="s">
        <v>2311</v>
      </c>
      <c r="M539" s="246">
        <v>5</v>
      </c>
      <c r="N539" s="246"/>
      <c r="O539" s="246" t="s">
        <v>2661</v>
      </c>
      <c r="P539" s="246" t="s">
        <v>6437</v>
      </c>
      <c r="Q539" s="246" t="s">
        <v>2658</v>
      </c>
      <c r="R539" s="248"/>
    </row>
    <row r="540" spans="1:18" x14ac:dyDescent="0.7">
      <c r="A540" s="246" t="s">
        <v>2662</v>
      </c>
      <c r="B540" s="246" t="s">
        <v>2663</v>
      </c>
      <c r="C540" s="246" t="s">
        <v>1281</v>
      </c>
      <c r="D540" s="246" t="s">
        <v>2664</v>
      </c>
      <c r="E540" s="246">
        <v>1</v>
      </c>
      <c r="F540" s="246" t="s">
        <v>2309</v>
      </c>
      <c r="G540" s="246" t="s">
        <v>2310</v>
      </c>
      <c r="H540" s="247">
        <v>57</v>
      </c>
      <c r="I540" s="246" t="s">
        <v>1189</v>
      </c>
      <c r="J540" s="247">
        <v>30</v>
      </c>
      <c r="K540" s="246" t="s">
        <v>2295</v>
      </c>
      <c r="L540" s="246" t="s">
        <v>2311</v>
      </c>
      <c r="M540" s="246">
        <v>5</v>
      </c>
      <c r="N540" s="246"/>
      <c r="O540" s="246" t="s">
        <v>2665</v>
      </c>
      <c r="P540" s="246" t="s">
        <v>6437</v>
      </c>
      <c r="Q540" s="246" t="s">
        <v>2662</v>
      </c>
      <c r="R540" s="248"/>
    </row>
    <row r="541" spans="1:18" x14ac:dyDescent="0.7">
      <c r="A541" s="246" t="s">
        <v>2682</v>
      </c>
      <c r="B541" s="246" t="s">
        <v>2683</v>
      </c>
      <c r="C541" s="246" t="s">
        <v>1337</v>
      </c>
      <c r="D541" s="246" t="s">
        <v>2684</v>
      </c>
      <c r="E541" s="246">
        <v>1</v>
      </c>
      <c r="F541" s="246" t="s">
        <v>2309</v>
      </c>
      <c r="G541" s="246" t="s">
        <v>2310</v>
      </c>
      <c r="H541" s="247">
        <v>58</v>
      </c>
      <c r="I541" s="246" t="s">
        <v>1194</v>
      </c>
      <c r="J541" s="247">
        <v>33</v>
      </c>
      <c r="K541" s="246" t="s">
        <v>2295</v>
      </c>
      <c r="L541" s="246" t="s">
        <v>2311</v>
      </c>
      <c r="M541" s="246">
        <v>5</v>
      </c>
      <c r="N541" s="246"/>
      <c r="O541" s="246" t="s">
        <v>2685</v>
      </c>
      <c r="P541" s="246" t="s">
        <v>6437</v>
      </c>
      <c r="Q541" s="246" t="s">
        <v>2682</v>
      </c>
      <c r="R541" s="248"/>
    </row>
    <row r="542" spans="1:18" x14ac:dyDescent="0.7">
      <c r="A542" s="246" t="s">
        <v>2686</v>
      </c>
      <c r="B542" s="246" t="s">
        <v>2687</v>
      </c>
      <c r="C542" s="246" t="s">
        <v>1338</v>
      </c>
      <c r="D542" s="246" t="s">
        <v>2688</v>
      </c>
      <c r="E542" s="246">
        <v>1</v>
      </c>
      <c r="F542" s="246" t="s">
        <v>2309</v>
      </c>
      <c r="G542" s="246" t="s">
        <v>2310</v>
      </c>
      <c r="H542" s="247">
        <v>58</v>
      </c>
      <c r="I542" s="246" t="s">
        <v>1194</v>
      </c>
      <c r="J542" s="247">
        <v>58</v>
      </c>
      <c r="K542" s="246" t="s">
        <v>2303</v>
      </c>
      <c r="L542" s="246" t="s">
        <v>2316</v>
      </c>
      <c r="M542" s="246">
        <v>9</v>
      </c>
      <c r="N542" s="246"/>
      <c r="O542" s="246" t="s">
        <v>2689</v>
      </c>
      <c r="P542" s="246" t="s">
        <v>6435</v>
      </c>
      <c r="Q542" s="246" t="s">
        <v>2686</v>
      </c>
      <c r="R542" s="248"/>
    </row>
    <row r="543" spans="1:18" x14ac:dyDescent="0.7">
      <c r="A543" s="246" t="s">
        <v>2690</v>
      </c>
      <c r="B543" s="246" t="s">
        <v>2691</v>
      </c>
      <c r="C543" s="246" t="s">
        <v>1339</v>
      </c>
      <c r="D543" s="246" t="s">
        <v>2692</v>
      </c>
      <c r="E543" s="246">
        <v>1</v>
      </c>
      <c r="F543" s="246" t="s">
        <v>2309</v>
      </c>
      <c r="G543" s="246" t="s">
        <v>2310</v>
      </c>
      <c r="H543" s="247">
        <v>58</v>
      </c>
      <c r="I543" s="246" t="s">
        <v>1194</v>
      </c>
      <c r="J543" s="247">
        <v>107</v>
      </c>
      <c r="K543" s="246" t="s">
        <v>2303</v>
      </c>
      <c r="L543" s="246" t="s">
        <v>2345</v>
      </c>
      <c r="M543" s="246">
        <v>13</v>
      </c>
      <c r="N543" s="246"/>
      <c r="O543" s="246" t="s">
        <v>2693</v>
      </c>
      <c r="P543" s="246" t="s">
        <v>6432</v>
      </c>
      <c r="Q543" s="246" t="s">
        <v>2690</v>
      </c>
      <c r="R543" s="248"/>
    </row>
    <row r="544" spans="1:18" x14ac:dyDescent="0.7">
      <c r="A544" s="246" t="s">
        <v>2694</v>
      </c>
      <c r="B544" s="246" t="s">
        <v>2695</v>
      </c>
      <c r="C544" s="246" t="s">
        <v>1340</v>
      </c>
      <c r="D544" s="246" t="s">
        <v>2696</v>
      </c>
      <c r="E544" s="246">
        <v>1</v>
      </c>
      <c r="F544" s="246" t="s">
        <v>2309</v>
      </c>
      <c r="G544" s="246" t="s">
        <v>2310</v>
      </c>
      <c r="H544" s="247">
        <v>58</v>
      </c>
      <c r="I544" s="246" t="s">
        <v>1194</v>
      </c>
      <c r="J544" s="247">
        <v>33</v>
      </c>
      <c r="K544" s="246" t="s">
        <v>2303</v>
      </c>
      <c r="L544" s="246" t="s">
        <v>2311</v>
      </c>
      <c r="M544" s="246">
        <v>5</v>
      </c>
      <c r="N544" s="246"/>
      <c r="O544" s="246" t="s">
        <v>2697</v>
      </c>
      <c r="P544" s="246" t="s">
        <v>6437</v>
      </c>
      <c r="Q544" s="246" t="s">
        <v>2694</v>
      </c>
      <c r="R544" s="248"/>
    </row>
    <row r="545" spans="1:18" x14ac:dyDescent="0.7">
      <c r="A545" s="246" t="s">
        <v>2698</v>
      </c>
      <c r="B545" s="246" t="s">
        <v>2699</v>
      </c>
      <c r="C545" s="246" t="s">
        <v>1341</v>
      </c>
      <c r="D545" s="246" t="s">
        <v>2700</v>
      </c>
      <c r="E545" s="246">
        <v>1</v>
      </c>
      <c r="F545" s="246" t="s">
        <v>2309</v>
      </c>
      <c r="G545" s="246" t="s">
        <v>2310</v>
      </c>
      <c r="H545" s="247">
        <v>58</v>
      </c>
      <c r="I545" s="246" t="s">
        <v>1194</v>
      </c>
      <c r="J545" s="247">
        <v>32</v>
      </c>
      <c r="K545" s="246" t="s">
        <v>2303</v>
      </c>
      <c r="L545" s="246" t="s">
        <v>2311</v>
      </c>
      <c r="M545" s="246">
        <v>6</v>
      </c>
      <c r="N545" s="246"/>
      <c r="O545" s="246" t="s">
        <v>2701</v>
      </c>
      <c r="P545" s="246" t="s">
        <v>6436</v>
      </c>
      <c r="Q545" s="246" t="s">
        <v>2698</v>
      </c>
      <c r="R545" s="248"/>
    </row>
    <row r="546" spans="1:18" x14ac:dyDescent="0.7">
      <c r="A546" s="246" t="s">
        <v>2702</v>
      </c>
      <c r="B546" s="246" t="s">
        <v>2703</v>
      </c>
      <c r="C546" s="246" t="s">
        <v>1342</v>
      </c>
      <c r="D546" s="246" t="s">
        <v>2704</v>
      </c>
      <c r="E546" s="246">
        <v>1</v>
      </c>
      <c r="F546" s="246" t="s">
        <v>2309</v>
      </c>
      <c r="G546" s="246" t="s">
        <v>2310</v>
      </c>
      <c r="H546" s="247">
        <v>58</v>
      </c>
      <c r="I546" s="246" t="s">
        <v>1194</v>
      </c>
      <c r="J546" s="247">
        <v>36</v>
      </c>
      <c r="K546" s="246" t="s">
        <v>2303</v>
      </c>
      <c r="L546" s="246" t="s">
        <v>2311</v>
      </c>
      <c r="M546" s="246">
        <v>5</v>
      </c>
      <c r="N546" s="246"/>
      <c r="O546" s="246" t="s">
        <v>2705</v>
      </c>
      <c r="P546" s="246" t="s">
        <v>6437</v>
      </c>
      <c r="Q546" s="246" t="s">
        <v>2702</v>
      </c>
      <c r="R546" s="248"/>
    </row>
    <row r="547" spans="1:18" x14ac:dyDescent="0.7">
      <c r="A547" s="246" t="s">
        <v>2925</v>
      </c>
      <c r="B547" s="246" t="s">
        <v>2926</v>
      </c>
      <c r="C547" s="246" t="s">
        <v>1432</v>
      </c>
      <c r="D547" s="246" t="s">
        <v>2927</v>
      </c>
      <c r="E547" s="246">
        <v>3</v>
      </c>
      <c r="F547" s="246" t="s">
        <v>2309</v>
      </c>
      <c r="G547" s="246" t="s">
        <v>2310</v>
      </c>
      <c r="H547" s="247">
        <v>60</v>
      </c>
      <c r="I547" s="246" t="s">
        <v>1204</v>
      </c>
      <c r="J547" s="247">
        <v>30</v>
      </c>
      <c r="K547" s="246" t="s">
        <v>2303</v>
      </c>
      <c r="L547" s="246" t="s">
        <v>2311</v>
      </c>
      <c r="M547" s="246">
        <v>5</v>
      </c>
      <c r="N547" s="246"/>
      <c r="O547" s="246" t="s">
        <v>2928</v>
      </c>
      <c r="P547" s="246" t="s">
        <v>6437</v>
      </c>
      <c r="Q547" s="246" t="s">
        <v>2925</v>
      </c>
      <c r="R547" s="248"/>
    </row>
    <row r="548" spans="1:18" x14ac:dyDescent="0.7">
      <c r="A548" s="246" t="s">
        <v>2929</v>
      </c>
      <c r="B548" s="246" t="s">
        <v>2930</v>
      </c>
      <c r="C548" s="246" t="s">
        <v>1433</v>
      </c>
      <c r="D548" s="246" t="s">
        <v>2931</v>
      </c>
      <c r="E548" s="246">
        <v>3</v>
      </c>
      <c r="F548" s="246" t="s">
        <v>2309</v>
      </c>
      <c r="G548" s="246" t="s">
        <v>2310</v>
      </c>
      <c r="H548" s="247">
        <v>60</v>
      </c>
      <c r="I548" s="246" t="s">
        <v>1204</v>
      </c>
      <c r="J548" s="247">
        <v>60</v>
      </c>
      <c r="K548" s="246" t="s">
        <v>2303</v>
      </c>
      <c r="L548" s="246" t="s">
        <v>2316</v>
      </c>
      <c r="M548" s="246">
        <v>9</v>
      </c>
      <c r="N548" s="246"/>
      <c r="O548" s="246" t="s">
        <v>2932</v>
      </c>
      <c r="P548" s="246" t="s">
        <v>6435</v>
      </c>
      <c r="Q548" s="246" t="s">
        <v>2929</v>
      </c>
      <c r="R548" s="248"/>
    </row>
    <row r="549" spans="1:18" x14ac:dyDescent="0.7">
      <c r="A549" s="246" t="s">
        <v>2933</v>
      </c>
      <c r="B549" s="246" t="s">
        <v>2934</v>
      </c>
      <c r="C549" s="246" t="s">
        <v>1434</v>
      </c>
      <c r="D549" s="246" t="s">
        <v>2935</v>
      </c>
      <c r="E549" s="246">
        <v>3</v>
      </c>
      <c r="F549" s="246" t="s">
        <v>2309</v>
      </c>
      <c r="G549" s="246" t="s">
        <v>2310</v>
      </c>
      <c r="H549" s="247">
        <v>60</v>
      </c>
      <c r="I549" s="246" t="s">
        <v>1204</v>
      </c>
      <c r="J549" s="247">
        <v>60</v>
      </c>
      <c r="K549" s="246" t="s">
        <v>2303</v>
      </c>
      <c r="L549" s="246" t="s">
        <v>2311</v>
      </c>
      <c r="M549" s="246">
        <v>6</v>
      </c>
      <c r="N549" s="246"/>
      <c r="O549" s="246" t="s">
        <v>2936</v>
      </c>
      <c r="P549" s="246" t="s">
        <v>6436</v>
      </c>
      <c r="Q549" s="246" t="s">
        <v>2933</v>
      </c>
      <c r="R549" s="248"/>
    </row>
    <row r="550" spans="1:18" x14ac:dyDescent="0.7">
      <c r="A550" s="246" t="s">
        <v>2937</v>
      </c>
      <c r="B550" s="246" t="s">
        <v>2938</v>
      </c>
      <c r="C550" s="246" t="s">
        <v>1435</v>
      </c>
      <c r="D550" s="246" t="s">
        <v>2939</v>
      </c>
      <c r="E550" s="246">
        <v>3</v>
      </c>
      <c r="F550" s="246" t="s">
        <v>2309</v>
      </c>
      <c r="G550" s="246" t="s">
        <v>2310</v>
      </c>
      <c r="H550" s="247">
        <v>60</v>
      </c>
      <c r="I550" s="246" t="s">
        <v>1204</v>
      </c>
      <c r="J550" s="247">
        <v>90</v>
      </c>
      <c r="K550" s="246" t="s">
        <v>2303</v>
      </c>
      <c r="L550" s="246" t="s">
        <v>2316</v>
      </c>
      <c r="M550" s="246">
        <v>10</v>
      </c>
      <c r="N550" s="246"/>
      <c r="O550" s="246" t="s">
        <v>2940</v>
      </c>
      <c r="P550" s="246" t="s">
        <v>6433</v>
      </c>
      <c r="Q550" s="246" t="s">
        <v>2937</v>
      </c>
      <c r="R550" s="248"/>
    </row>
    <row r="551" spans="1:18" x14ac:dyDescent="0.7">
      <c r="A551" s="246" t="s">
        <v>2941</v>
      </c>
      <c r="B551" s="246" t="s">
        <v>2942</v>
      </c>
      <c r="C551" s="246" t="s">
        <v>1436</v>
      </c>
      <c r="D551" s="246" t="s">
        <v>2943</v>
      </c>
      <c r="E551" s="246">
        <v>3</v>
      </c>
      <c r="F551" s="246" t="s">
        <v>2309</v>
      </c>
      <c r="G551" s="246" t="s">
        <v>2310</v>
      </c>
      <c r="H551" s="247">
        <v>60</v>
      </c>
      <c r="I551" s="246" t="s">
        <v>1204</v>
      </c>
      <c r="J551" s="247">
        <v>34</v>
      </c>
      <c r="K551" s="246" t="s">
        <v>2303</v>
      </c>
      <c r="L551" s="246" t="s">
        <v>2311</v>
      </c>
      <c r="M551" s="246">
        <v>5</v>
      </c>
      <c r="N551" s="246"/>
      <c r="O551" s="246" t="s">
        <v>2944</v>
      </c>
      <c r="P551" s="246" t="s">
        <v>6437</v>
      </c>
      <c r="Q551" s="246" t="s">
        <v>2941</v>
      </c>
      <c r="R551" s="248"/>
    </row>
    <row r="552" spans="1:18" x14ac:dyDescent="0.7">
      <c r="A552" s="246" t="s">
        <v>2945</v>
      </c>
      <c r="B552" s="246" t="s">
        <v>2946</v>
      </c>
      <c r="C552" s="246" t="s">
        <v>1437</v>
      </c>
      <c r="D552" s="246" t="s">
        <v>2947</v>
      </c>
      <c r="E552" s="246">
        <v>3</v>
      </c>
      <c r="F552" s="246" t="s">
        <v>2309</v>
      </c>
      <c r="G552" s="246" t="s">
        <v>2310</v>
      </c>
      <c r="H552" s="247">
        <v>60</v>
      </c>
      <c r="I552" s="246" t="s">
        <v>1204</v>
      </c>
      <c r="J552" s="247">
        <v>120</v>
      </c>
      <c r="K552" s="246" t="s">
        <v>2303</v>
      </c>
      <c r="L552" s="246" t="s">
        <v>2345</v>
      </c>
      <c r="M552" s="246">
        <v>13</v>
      </c>
      <c r="N552" s="246"/>
      <c r="O552" s="246" t="s">
        <v>2948</v>
      </c>
      <c r="P552" s="246" t="s">
        <v>6432</v>
      </c>
      <c r="Q552" s="246" t="s">
        <v>2945</v>
      </c>
      <c r="R552" s="248"/>
    </row>
    <row r="553" spans="1:18" x14ac:dyDescent="0.7">
      <c r="A553" s="246" t="s">
        <v>2949</v>
      </c>
      <c r="B553" s="246" t="s">
        <v>2950</v>
      </c>
      <c r="C553" s="246" t="s">
        <v>1438</v>
      </c>
      <c r="D553" s="246" t="s">
        <v>2951</v>
      </c>
      <c r="E553" s="246">
        <v>3</v>
      </c>
      <c r="F553" s="246" t="s">
        <v>2309</v>
      </c>
      <c r="G553" s="246" t="s">
        <v>2310</v>
      </c>
      <c r="H553" s="247">
        <v>60</v>
      </c>
      <c r="I553" s="246" t="s">
        <v>1204</v>
      </c>
      <c r="J553" s="247">
        <v>79</v>
      </c>
      <c r="K553" s="246" t="s">
        <v>2303</v>
      </c>
      <c r="L553" s="246" t="s">
        <v>2316</v>
      </c>
      <c r="M553" s="246">
        <v>9</v>
      </c>
      <c r="N553" s="246"/>
      <c r="O553" s="246" t="s">
        <v>2952</v>
      </c>
      <c r="P553" s="246" t="s">
        <v>6435</v>
      </c>
      <c r="Q553" s="246" t="s">
        <v>2949</v>
      </c>
      <c r="R553" s="248"/>
    </row>
    <row r="554" spans="1:18" x14ac:dyDescent="0.7">
      <c r="A554" s="246" t="s">
        <v>2953</v>
      </c>
      <c r="B554" s="246" t="s">
        <v>2954</v>
      </c>
      <c r="C554" s="246" t="s">
        <v>1439</v>
      </c>
      <c r="D554" s="246" t="s">
        <v>2955</v>
      </c>
      <c r="E554" s="246">
        <v>3</v>
      </c>
      <c r="F554" s="246" t="s">
        <v>2309</v>
      </c>
      <c r="G554" s="246" t="s">
        <v>2310</v>
      </c>
      <c r="H554" s="247">
        <v>60</v>
      </c>
      <c r="I554" s="246" t="s">
        <v>1204</v>
      </c>
      <c r="J554" s="247">
        <v>60</v>
      </c>
      <c r="K554" s="246" t="s">
        <v>2303</v>
      </c>
      <c r="L554" s="246" t="s">
        <v>2311</v>
      </c>
      <c r="M554" s="246">
        <v>6</v>
      </c>
      <c r="N554" s="246"/>
      <c r="O554" s="246" t="s">
        <v>2956</v>
      </c>
      <c r="P554" s="246" t="s">
        <v>6436</v>
      </c>
      <c r="Q554" s="246" t="s">
        <v>2953</v>
      </c>
      <c r="R554" s="248"/>
    </row>
    <row r="555" spans="1:18" x14ac:dyDescent="0.7">
      <c r="A555" s="246" t="s">
        <v>2957</v>
      </c>
      <c r="B555" s="246" t="s">
        <v>2958</v>
      </c>
      <c r="C555" s="246" t="s">
        <v>1440</v>
      </c>
      <c r="D555" s="246" t="s">
        <v>2959</v>
      </c>
      <c r="E555" s="246">
        <v>3</v>
      </c>
      <c r="F555" s="246" t="s">
        <v>2309</v>
      </c>
      <c r="G555" s="246" t="s">
        <v>2310</v>
      </c>
      <c r="H555" s="247">
        <v>60</v>
      </c>
      <c r="I555" s="246" t="s">
        <v>1204</v>
      </c>
      <c r="J555" s="247">
        <v>43</v>
      </c>
      <c r="K555" s="246" t="s">
        <v>2303</v>
      </c>
      <c r="L555" s="246" t="s">
        <v>2311</v>
      </c>
      <c r="M555" s="246">
        <v>6</v>
      </c>
      <c r="N555" s="246"/>
      <c r="O555" s="246" t="s">
        <v>2960</v>
      </c>
      <c r="P555" s="246" t="s">
        <v>6436</v>
      </c>
      <c r="Q555" s="246" t="s">
        <v>2957</v>
      </c>
      <c r="R555" s="248"/>
    </row>
    <row r="556" spans="1:18" x14ac:dyDescent="0.7">
      <c r="A556" s="246" t="s">
        <v>2961</v>
      </c>
      <c r="B556" s="246" t="s">
        <v>2962</v>
      </c>
      <c r="C556" s="246" t="s">
        <v>1441</v>
      </c>
      <c r="D556" s="246" t="s">
        <v>2963</v>
      </c>
      <c r="E556" s="246">
        <v>3</v>
      </c>
      <c r="F556" s="246" t="s">
        <v>2309</v>
      </c>
      <c r="G556" s="246" t="s">
        <v>2310</v>
      </c>
      <c r="H556" s="247">
        <v>60</v>
      </c>
      <c r="I556" s="246" t="s">
        <v>1204</v>
      </c>
      <c r="J556" s="247">
        <v>90</v>
      </c>
      <c r="K556" s="246" t="s">
        <v>2303</v>
      </c>
      <c r="L556" s="246" t="s">
        <v>2345</v>
      </c>
      <c r="M556" s="246">
        <v>12</v>
      </c>
      <c r="N556" s="246"/>
      <c r="O556" s="246" t="s">
        <v>2964</v>
      </c>
      <c r="P556" s="246" t="s">
        <v>6438</v>
      </c>
      <c r="Q556" s="246" t="s">
        <v>2961</v>
      </c>
      <c r="R556" s="248"/>
    </row>
    <row r="557" spans="1:18" x14ac:dyDescent="0.7">
      <c r="A557" s="246" t="s">
        <v>2965</v>
      </c>
      <c r="B557" s="246" t="s">
        <v>2966</v>
      </c>
      <c r="C557" s="246" t="s">
        <v>1442</v>
      </c>
      <c r="D557" s="246" t="s">
        <v>2967</v>
      </c>
      <c r="E557" s="246">
        <v>3</v>
      </c>
      <c r="F557" s="246" t="s">
        <v>2309</v>
      </c>
      <c r="G557" s="246" t="s">
        <v>2310</v>
      </c>
      <c r="H557" s="247">
        <v>60</v>
      </c>
      <c r="I557" s="246" t="s">
        <v>1204</v>
      </c>
      <c r="J557" s="247">
        <v>39</v>
      </c>
      <c r="K557" s="246" t="s">
        <v>2303</v>
      </c>
      <c r="L557" s="246" t="s">
        <v>2311</v>
      </c>
      <c r="M557" s="246">
        <v>5</v>
      </c>
      <c r="N557" s="246"/>
      <c r="O557" s="246" t="s">
        <v>2968</v>
      </c>
      <c r="P557" s="246" t="s">
        <v>6437</v>
      </c>
      <c r="Q557" s="246" t="s">
        <v>2965</v>
      </c>
      <c r="R557" s="248"/>
    </row>
    <row r="558" spans="1:18" x14ac:dyDescent="0.7">
      <c r="A558" s="246" t="s">
        <v>2969</v>
      </c>
      <c r="B558" s="246" t="s">
        <v>2970</v>
      </c>
      <c r="C558" s="246" t="s">
        <v>1443</v>
      </c>
      <c r="D558" s="246" t="s">
        <v>2971</v>
      </c>
      <c r="E558" s="246">
        <v>3</v>
      </c>
      <c r="F558" s="246" t="s">
        <v>2309</v>
      </c>
      <c r="G558" s="246" t="s">
        <v>2310</v>
      </c>
      <c r="H558" s="247">
        <v>60</v>
      </c>
      <c r="I558" s="246" t="s">
        <v>1204</v>
      </c>
      <c r="J558" s="247">
        <v>30</v>
      </c>
      <c r="K558" s="246" t="s">
        <v>2303</v>
      </c>
      <c r="L558" s="246" t="s">
        <v>2311</v>
      </c>
      <c r="M558" s="246">
        <v>6</v>
      </c>
      <c r="N558" s="246"/>
      <c r="O558" s="246" t="s">
        <v>2972</v>
      </c>
      <c r="P558" s="246" t="s">
        <v>6436</v>
      </c>
      <c r="Q558" s="246" t="s">
        <v>2969</v>
      </c>
      <c r="R558" s="248"/>
    </row>
    <row r="559" spans="1:18" x14ac:dyDescent="0.7">
      <c r="A559" s="246" t="s">
        <v>2980</v>
      </c>
      <c r="B559" s="246" t="s">
        <v>2981</v>
      </c>
      <c r="C559" s="246" t="s">
        <v>1457</v>
      </c>
      <c r="D559" s="246" t="s">
        <v>2982</v>
      </c>
      <c r="E559" s="246">
        <v>3</v>
      </c>
      <c r="F559" s="246" t="s">
        <v>2309</v>
      </c>
      <c r="G559" s="246" t="s">
        <v>2310</v>
      </c>
      <c r="H559" s="247">
        <v>61</v>
      </c>
      <c r="I559" s="246" t="s">
        <v>1206</v>
      </c>
      <c r="J559" s="247">
        <v>90</v>
      </c>
      <c r="K559" s="246" t="s">
        <v>2295</v>
      </c>
      <c r="L559" s="246" t="s">
        <v>2311</v>
      </c>
      <c r="M559" s="246">
        <v>6</v>
      </c>
      <c r="N559" s="246"/>
      <c r="O559" s="246" t="s">
        <v>2983</v>
      </c>
      <c r="P559" s="246" t="s">
        <v>6436</v>
      </c>
      <c r="Q559" s="246" t="s">
        <v>2980</v>
      </c>
      <c r="R559" s="248"/>
    </row>
    <row r="560" spans="1:18" x14ac:dyDescent="0.7">
      <c r="A560" s="246" t="s">
        <v>2984</v>
      </c>
      <c r="B560" s="246" t="s">
        <v>2985</v>
      </c>
      <c r="C560" s="246" t="s">
        <v>1458</v>
      </c>
      <c r="D560" s="246" t="s">
        <v>2986</v>
      </c>
      <c r="E560" s="246">
        <v>3</v>
      </c>
      <c r="F560" s="246" t="s">
        <v>2309</v>
      </c>
      <c r="G560" s="246" t="s">
        <v>2310</v>
      </c>
      <c r="H560" s="247">
        <v>61</v>
      </c>
      <c r="I560" s="246" t="s">
        <v>1206</v>
      </c>
      <c r="J560" s="247">
        <v>35</v>
      </c>
      <c r="K560" s="246" t="s">
        <v>2295</v>
      </c>
      <c r="L560" s="246" t="s">
        <v>2311</v>
      </c>
      <c r="M560" s="246">
        <v>5</v>
      </c>
      <c r="N560" s="246"/>
      <c r="O560" s="246" t="s">
        <v>2987</v>
      </c>
      <c r="P560" s="246" t="s">
        <v>6437</v>
      </c>
      <c r="Q560" s="246" t="s">
        <v>2984</v>
      </c>
      <c r="R560" s="248"/>
    </row>
    <row r="561" spans="1:18" x14ac:dyDescent="0.7">
      <c r="A561" s="246" t="s">
        <v>2988</v>
      </c>
      <c r="B561" s="246" t="s">
        <v>2989</v>
      </c>
      <c r="C561" s="246" t="s">
        <v>1459</v>
      </c>
      <c r="D561" s="246" t="s">
        <v>2990</v>
      </c>
      <c r="E561" s="246">
        <v>3</v>
      </c>
      <c r="F561" s="246" t="s">
        <v>2309</v>
      </c>
      <c r="G561" s="246" t="s">
        <v>2310</v>
      </c>
      <c r="H561" s="247">
        <v>61</v>
      </c>
      <c r="I561" s="246" t="s">
        <v>1206</v>
      </c>
      <c r="J561" s="247">
        <v>90</v>
      </c>
      <c r="K561" s="246" t="s">
        <v>2295</v>
      </c>
      <c r="L561" s="246" t="s">
        <v>2316</v>
      </c>
      <c r="M561" s="246">
        <v>9</v>
      </c>
      <c r="N561" s="246"/>
      <c r="O561" s="246" t="s">
        <v>2991</v>
      </c>
      <c r="P561" s="246" t="s">
        <v>6435</v>
      </c>
      <c r="Q561" s="246" t="s">
        <v>2988</v>
      </c>
      <c r="R561" s="248"/>
    </row>
    <row r="562" spans="1:18" x14ac:dyDescent="0.7">
      <c r="A562" s="246" t="s">
        <v>2992</v>
      </c>
      <c r="B562" s="246" t="s">
        <v>2993</v>
      </c>
      <c r="C562" s="246" t="s">
        <v>1460</v>
      </c>
      <c r="D562" s="246" t="s">
        <v>2994</v>
      </c>
      <c r="E562" s="246">
        <v>3</v>
      </c>
      <c r="F562" s="246" t="s">
        <v>2309</v>
      </c>
      <c r="G562" s="246" t="s">
        <v>2310</v>
      </c>
      <c r="H562" s="247">
        <v>61</v>
      </c>
      <c r="I562" s="246" t="s">
        <v>1206</v>
      </c>
      <c r="J562" s="247">
        <v>10</v>
      </c>
      <c r="K562" s="246" t="s">
        <v>2295</v>
      </c>
      <c r="L562" s="246" t="s">
        <v>2398</v>
      </c>
      <c r="M562" s="246">
        <v>2</v>
      </c>
      <c r="N562" s="246"/>
      <c r="O562" s="246" t="s">
        <v>2995</v>
      </c>
      <c r="P562" s="246" t="s">
        <v>6424</v>
      </c>
      <c r="Q562" s="246" t="s">
        <v>2992</v>
      </c>
      <c r="R562" s="248"/>
    </row>
    <row r="563" spans="1:18" x14ac:dyDescent="0.7">
      <c r="A563" s="246" t="s">
        <v>2996</v>
      </c>
      <c r="B563" s="246" t="s">
        <v>2997</v>
      </c>
      <c r="C563" s="246" t="s">
        <v>1461</v>
      </c>
      <c r="D563" s="246" t="s">
        <v>2998</v>
      </c>
      <c r="E563" s="246">
        <v>3</v>
      </c>
      <c r="F563" s="246" t="s">
        <v>2309</v>
      </c>
      <c r="G563" s="246" t="s">
        <v>2310</v>
      </c>
      <c r="H563" s="247">
        <v>61</v>
      </c>
      <c r="I563" s="246" t="s">
        <v>1206</v>
      </c>
      <c r="J563" s="247">
        <v>60</v>
      </c>
      <c r="K563" s="246" t="s">
        <v>2295</v>
      </c>
      <c r="L563" s="246" t="s">
        <v>2311</v>
      </c>
      <c r="M563" s="246">
        <v>6</v>
      </c>
      <c r="N563" s="246"/>
      <c r="O563" s="246" t="s">
        <v>2999</v>
      </c>
      <c r="P563" s="246" t="s">
        <v>6436</v>
      </c>
      <c r="Q563" s="246" t="s">
        <v>2996</v>
      </c>
      <c r="R563" s="248"/>
    </row>
    <row r="564" spans="1:18" x14ac:dyDescent="0.7">
      <c r="A564" s="246" t="s">
        <v>3000</v>
      </c>
      <c r="B564" s="246" t="s">
        <v>3001</v>
      </c>
      <c r="C564" s="246" t="s">
        <v>1462</v>
      </c>
      <c r="D564" s="246" t="s">
        <v>3002</v>
      </c>
      <c r="E564" s="246">
        <v>3</v>
      </c>
      <c r="F564" s="246" t="s">
        <v>2309</v>
      </c>
      <c r="G564" s="246" t="s">
        <v>2310</v>
      </c>
      <c r="H564" s="247">
        <v>61</v>
      </c>
      <c r="I564" s="246" t="s">
        <v>1206</v>
      </c>
      <c r="J564" s="247">
        <v>60</v>
      </c>
      <c r="K564" s="246" t="s">
        <v>2295</v>
      </c>
      <c r="L564" s="246" t="s">
        <v>2311</v>
      </c>
      <c r="M564" s="246">
        <v>6</v>
      </c>
      <c r="N564" s="246"/>
      <c r="O564" s="246" t="s">
        <v>3003</v>
      </c>
      <c r="P564" s="246" t="s">
        <v>6436</v>
      </c>
      <c r="Q564" s="246" t="s">
        <v>3000</v>
      </c>
      <c r="R564" s="248"/>
    </row>
    <row r="565" spans="1:18" x14ac:dyDescent="0.7">
      <c r="A565" s="246" t="s">
        <v>3004</v>
      </c>
      <c r="B565" s="246" t="s">
        <v>3005</v>
      </c>
      <c r="C565" s="246" t="s">
        <v>1463</v>
      </c>
      <c r="D565" s="246" t="s">
        <v>3006</v>
      </c>
      <c r="E565" s="246">
        <v>3</v>
      </c>
      <c r="F565" s="246" t="s">
        <v>2309</v>
      </c>
      <c r="G565" s="246" t="s">
        <v>2310</v>
      </c>
      <c r="H565" s="247">
        <v>61</v>
      </c>
      <c r="I565" s="246" t="s">
        <v>1206</v>
      </c>
      <c r="J565" s="247">
        <v>33</v>
      </c>
      <c r="K565" s="246" t="s">
        <v>2295</v>
      </c>
      <c r="L565" s="246" t="s">
        <v>2311</v>
      </c>
      <c r="M565" s="246">
        <v>5</v>
      </c>
      <c r="N565" s="246"/>
      <c r="O565" s="246" t="s">
        <v>3007</v>
      </c>
      <c r="P565" s="246" t="s">
        <v>6437</v>
      </c>
      <c r="Q565" s="246" t="s">
        <v>3004</v>
      </c>
      <c r="R565" s="248"/>
    </row>
    <row r="566" spans="1:18" x14ac:dyDescent="0.7">
      <c r="A566" s="246" t="s">
        <v>3011</v>
      </c>
      <c r="B566" s="246" t="s">
        <v>3012</v>
      </c>
      <c r="C566" s="246" t="s">
        <v>1412</v>
      </c>
      <c r="D566" s="246" t="s">
        <v>3013</v>
      </c>
      <c r="E566" s="246">
        <v>3</v>
      </c>
      <c r="F566" s="246" t="s">
        <v>2309</v>
      </c>
      <c r="G566" s="246" t="s">
        <v>2310</v>
      </c>
      <c r="H566" s="247">
        <v>62</v>
      </c>
      <c r="I566" s="246" t="s">
        <v>1202</v>
      </c>
      <c r="J566" s="247">
        <v>10</v>
      </c>
      <c r="K566" s="246" t="s">
        <v>2303</v>
      </c>
      <c r="L566" s="246" t="s">
        <v>2398</v>
      </c>
      <c r="M566" s="246">
        <v>2</v>
      </c>
      <c r="N566" s="246"/>
      <c r="O566" s="246" t="s">
        <v>3014</v>
      </c>
      <c r="P566" s="246" t="s">
        <v>6424</v>
      </c>
      <c r="Q566" s="246" t="s">
        <v>3011</v>
      </c>
      <c r="R566" s="248"/>
    </row>
    <row r="567" spans="1:18" x14ac:dyDescent="0.7">
      <c r="A567" s="246" t="s">
        <v>3015</v>
      </c>
      <c r="B567" s="246" t="s">
        <v>3016</v>
      </c>
      <c r="C567" s="246" t="s">
        <v>1413</v>
      </c>
      <c r="D567" s="246" t="s">
        <v>3017</v>
      </c>
      <c r="E567" s="246">
        <v>3</v>
      </c>
      <c r="F567" s="246" t="s">
        <v>2309</v>
      </c>
      <c r="G567" s="246" t="s">
        <v>2310</v>
      </c>
      <c r="H567" s="247">
        <v>62</v>
      </c>
      <c r="I567" s="246" t="s">
        <v>1202</v>
      </c>
      <c r="J567" s="247">
        <v>30</v>
      </c>
      <c r="K567" s="246" t="s">
        <v>2303</v>
      </c>
      <c r="L567" s="246" t="s">
        <v>2311</v>
      </c>
      <c r="M567" s="246">
        <v>6</v>
      </c>
      <c r="N567" s="246"/>
      <c r="O567" s="246" t="s">
        <v>3018</v>
      </c>
      <c r="P567" s="246" t="s">
        <v>6436</v>
      </c>
      <c r="Q567" s="246" t="s">
        <v>3015</v>
      </c>
      <c r="R567" s="248"/>
    </row>
    <row r="568" spans="1:18" x14ac:dyDescent="0.7">
      <c r="A568" s="246" t="s">
        <v>3019</v>
      </c>
      <c r="B568" s="246" t="s">
        <v>3020</v>
      </c>
      <c r="C568" s="246" t="s">
        <v>1414</v>
      </c>
      <c r="D568" s="246" t="s">
        <v>3021</v>
      </c>
      <c r="E568" s="246">
        <v>3</v>
      </c>
      <c r="F568" s="246" t="s">
        <v>2309</v>
      </c>
      <c r="G568" s="246" t="s">
        <v>2310</v>
      </c>
      <c r="H568" s="247">
        <v>62</v>
      </c>
      <c r="I568" s="246" t="s">
        <v>1202</v>
      </c>
      <c r="J568" s="247">
        <v>60</v>
      </c>
      <c r="K568" s="246" t="s">
        <v>2303</v>
      </c>
      <c r="L568" s="246" t="s">
        <v>2311</v>
      </c>
      <c r="M568" s="246">
        <v>6</v>
      </c>
      <c r="N568" s="246"/>
      <c r="O568" s="246" t="s">
        <v>3022</v>
      </c>
      <c r="P568" s="246" t="s">
        <v>6436</v>
      </c>
      <c r="Q568" s="246" t="s">
        <v>3019</v>
      </c>
      <c r="R568" s="248"/>
    </row>
    <row r="569" spans="1:18" x14ac:dyDescent="0.7">
      <c r="A569" s="246" t="s">
        <v>3023</v>
      </c>
      <c r="B569" s="246" t="s">
        <v>3024</v>
      </c>
      <c r="C569" s="246" t="s">
        <v>1415</v>
      </c>
      <c r="D569" s="246" t="s">
        <v>3025</v>
      </c>
      <c r="E569" s="246">
        <v>3</v>
      </c>
      <c r="F569" s="246" t="s">
        <v>2309</v>
      </c>
      <c r="G569" s="246" t="s">
        <v>2310</v>
      </c>
      <c r="H569" s="247">
        <v>62</v>
      </c>
      <c r="I569" s="246" t="s">
        <v>1202</v>
      </c>
      <c r="J569" s="247">
        <v>90</v>
      </c>
      <c r="K569" s="246" t="s">
        <v>2303</v>
      </c>
      <c r="L569" s="246" t="s">
        <v>2345</v>
      </c>
      <c r="M569" s="246">
        <v>12</v>
      </c>
      <c r="N569" s="246"/>
      <c r="O569" s="246" t="s">
        <v>3026</v>
      </c>
      <c r="P569" s="246" t="s">
        <v>6438</v>
      </c>
      <c r="Q569" s="246" t="s">
        <v>3023</v>
      </c>
      <c r="R569" s="248"/>
    </row>
    <row r="570" spans="1:18" x14ac:dyDescent="0.7">
      <c r="A570" s="246" t="s">
        <v>3027</v>
      </c>
      <c r="B570" s="246" t="s">
        <v>3028</v>
      </c>
      <c r="C570" s="246" t="s">
        <v>1416</v>
      </c>
      <c r="D570" s="246" t="s">
        <v>3029</v>
      </c>
      <c r="E570" s="246">
        <v>3</v>
      </c>
      <c r="F570" s="246" t="s">
        <v>2309</v>
      </c>
      <c r="G570" s="246" t="s">
        <v>2310</v>
      </c>
      <c r="H570" s="247">
        <v>62</v>
      </c>
      <c r="I570" s="246" t="s">
        <v>1202</v>
      </c>
      <c r="J570" s="247">
        <v>90</v>
      </c>
      <c r="K570" s="246" t="s">
        <v>2303</v>
      </c>
      <c r="L570" s="246" t="s">
        <v>2316</v>
      </c>
      <c r="M570" s="246">
        <v>10</v>
      </c>
      <c r="N570" s="246"/>
      <c r="O570" s="246" t="s">
        <v>3030</v>
      </c>
      <c r="P570" s="246" t="s">
        <v>6433</v>
      </c>
      <c r="Q570" s="246" t="s">
        <v>3027</v>
      </c>
      <c r="R570" s="248"/>
    </row>
    <row r="571" spans="1:18" x14ac:dyDescent="0.7">
      <c r="A571" s="246" t="s">
        <v>3031</v>
      </c>
      <c r="B571" s="246" t="s">
        <v>3032</v>
      </c>
      <c r="C571" s="246" t="s">
        <v>1417</v>
      </c>
      <c r="D571" s="246" t="s">
        <v>3033</v>
      </c>
      <c r="E571" s="246">
        <v>3</v>
      </c>
      <c r="F571" s="246" t="s">
        <v>2309</v>
      </c>
      <c r="G571" s="246" t="s">
        <v>2310</v>
      </c>
      <c r="H571" s="247">
        <v>62</v>
      </c>
      <c r="I571" s="246" t="s">
        <v>1202</v>
      </c>
      <c r="J571" s="247">
        <v>60</v>
      </c>
      <c r="K571" s="246" t="s">
        <v>2303</v>
      </c>
      <c r="L571" s="246" t="s">
        <v>2311</v>
      </c>
      <c r="M571" s="246">
        <v>6</v>
      </c>
      <c r="N571" s="246"/>
      <c r="O571" s="246" t="s">
        <v>3034</v>
      </c>
      <c r="P571" s="246" t="s">
        <v>6436</v>
      </c>
      <c r="Q571" s="246" t="s">
        <v>3031</v>
      </c>
      <c r="R571" s="248"/>
    </row>
    <row r="572" spans="1:18" x14ac:dyDescent="0.7">
      <c r="A572" s="246" t="s">
        <v>3035</v>
      </c>
      <c r="B572" s="246" t="s">
        <v>3036</v>
      </c>
      <c r="C572" s="246" t="s">
        <v>1418</v>
      </c>
      <c r="D572" s="246" t="s">
        <v>3037</v>
      </c>
      <c r="E572" s="246">
        <v>3</v>
      </c>
      <c r="F572" s="246" t="s">
        <v>2309</v>
      </c>
      <c r="G572" s="246" t="s">
        <v>2310</v>
      </c>
      <c r="H572" s="247">
        <v>62</v>
      </c>
      <c r="I572" s="246" t="s">
        <v>1202</v>
      </c>
      <c r="J572" s="247">
        <v>30</v>
      </c>
      <c r="K572" s="246" t="s">
        <v>2303</v>
      </c>
      <c r="L572" s="246" t="s">
        <v>2311</v>
      </c>
      <c r="M572" s="246">
        <v>5</v>
      </c>
      <c r="N572" s="246"/>
      <c r="O572" s="246" t="s">
        <v>3038</v>
      </c>
      <c r="P572" s="246" t="s">
        <v>6437</v>
      </c>
      <c r="Q572" s="246" t="s">
        <v>3035</v>
      </c>
      <c r="R572" s="248"/>
    </row>
    <row r="573" spans="1:18" x14ac:dyDescent="0.7">
      <c r="A573" s="246" t="s">
        <v>3039</v>
      </c>
      <c r="B573" s="246" t="s">
        <v>3040</v>
      </c>
      <c r="C573" s="246" t="s">
        <v>1419</v>
      </c>
      <c r="D573" s="246" t="s">
        <v>3041</v>
      </c>
      <c r="E573" s="246">
        <v>3</v>
      </c>
      <c r="F573" s="246" t="s">
        <v>2309</v>
      </c>
      <c r="G573" s="246" t="s">
        <v>2310</v>
      </c>
      <c r="H573" s="247">
        <v>62</v>
      </c>
      <c r="I573" s="246" t="s">
        <v>1202</v>
      </c>
      <c r="J573" s="247">
        <v>30</v>
      </c>
      <c r="K573" s="246" t="s">
        <v>2303</v>
      </c>
      <c r="L573" s="246" t="s">
        <v>2311</v>
      </c>
      <c r="M573" s="246">
        <v>5</v>
      </c>
      <c r="N573" s="246"/>
      <c r="O573" s="246" t="s">
        <v>3042</v>
      </c>
      <c r="P573" s="246" t="s">
        <v>6437</v>
      </c>
      <c r="Q573" s="246" t="s">
        <v>3039</v>
      </c>
      <c r="R573" s="248"/>
    </row>
    <row r="574" spans="1:18" x14ac:dyDescent="0.7">
      <c r="A574" s="246" t="s">
        <v>3043</v>
      </c>
      <c r="B574" s="246" t="s">
        <v>3044</v>
      </c>
      <c r="C574" s="246" t="s">
        <v>1420</v>
      </c>
      <c r="D574" s="246" t="s">
        <v>3045</v>
      </c>
      <c r="E574" s="246">
        <v>3</v>
      </c>
      <c r="F574" s="246" t="s">
        <v>2309</v>
      </c>
      <c r="G574" s="246" t="s">
        <v>2310</v>
      </c>
      <c r="H574" s="247">
        <v>62</v>
      </c>
      <c r="I574" s="246" t="s">
        <v>1202</v>
      </c>
      <c r="J574" s="247">
        <v>30</v>
      </c>
      <c r="K574" s="246" t="s">
        <v>2303</v>
      </c>
      <c r="L574" s="246" t="s">
        <v>2311</v>
      </c>
      <c r="M574" s="246">
        <v>5</v>
      </c>
      <c r="N574" s="246"/>
      <c r="O574" s="246" t="s">
        <v>3046</v>
      </c>
      <c r="P574" s="246" t="s">
        <v>6437</v>
      </c>
      <c r="Q574" s="246" t="s">
        <v>3043</v>
      </c>
      <c r="R574" s="248"/>
    </row>
    <row r="575" spans="1:18" x14ac:dyDescent="0.7">
      <c r="A575" s="246" t="s">
        <v>2749</v>
      </c>
      <c r="B575" s="246" t="s">
        <v>2750</v>
      </c>
      <c r="C575" s="246" t="s">
        <v>1366</v>
      </c>
      <c r="D575" s="246" t="s">
        <v>2751</v>
      </c>
      <c r="E575" s="246">
        <v>2</v>
      </c>
      <c r="F575" s="246" t="s">
        <v>2309</v>
      </c>
      <c r="G575" s="246" t="s">
        <v>2310</v>
      </c>
      <c r="H575" s="247">
        <v>63</v>
      </c>
      <c r="I575" s="246" t="s">
        <v>1197</v>
      </c>
      <c r="J575" s="247">
        <v>60</v>
      </c>
      <c r="K575" s="246" t="s">
        <v>2303</v>
      </c>
      <c r="L575" s="246" t="s">
        <v>2311</v>
      </c>
      <c r="M575" s="246">
        <v>6</v>
      </c>
      <c r="N575" s="246"/>
      <c r="O575" s="246" t="s">
        <v>2752</v>
      </c>
      <c r="P575" s="246" t="s">
        <v>6436</v>
      </c>
      <c r="Q575" s="246" t="s">
        <v>2749</v>
      </c>
      <c r="R575" s="248"/>
    </row>
    <row r="576" spans="1:18" x14ac:dyDescent="0.7">
      <c r="A576" s="246" t="s">
        <v>2753</v>
      </c>
      <c r="B576" s="246" t="s">
        <v>2754</v>
      </c>
      <c r="C576" s="246" t="s">
        <v>1367</v>
      </c>
      <c r="D576" s="246" t="s">
        <v>2755</v>
      </c>
      <c r="E576" s="246">
        <v>2</v>
      </c>
      <c r="F576" s="246" t="s">
        <v>2309</v>
      </c>
      <c r="G576" s="246" t="s">
        <v>2310</v>
      </c>
      <c r="H576" s="247">
        <v>63</v>
      </c>
      <c r="I576" s="246" t="s">
        <v>1197</v>
      </c>
      <c r="J576" s="247">
        <v>36</v>
      </c>
      <c r="K576" s="246" t="s">
        <v>2303</v>
      </c>
      <c r="L576" s="246" t="s">
        <v>2311</v>
      </c>
      <c r="M576" s="246">
        <v>5</v>
      </c>
      <c r="N576" s="246"/>
      <c r="O576" s="246" t="s">
        <v>2756</v>
      </c>
      <c r="P576" s="246" t="s">
        <v>6437</v>
      </c>
      <c r="Q576" s="246" t="s">
        <v>2753</v>
      </c>
      <c r="R576" s="248"/>
    </row>
    <row r="577" spans="1:18" x14ac:dyDescent="0.7">
      <c r="A577" s="246" t="s">
        <v>2757</v>
      </c>
      <c r="B577" s="246" t="s">
        <v>2758</v>
      </c>
      <c r="C577" s="246" t="s">
        <v>1368</v>
      </c>
      <c r="D577" s="246" t="s">
        <v>2759</v>
      </c>
      <c r="E577" s="246">
        <v>2</v>
      </c>
      <c r="F577" s="246" t="s">
        <v>2309</v>
      </c>
      <c r="G577" s="246" t="s">
        <v>2310</v>
      </c>
      <c r="H577" s="247">
        <v>63</v>
      </c>
      <c r="I577" s="246" t="s">
        <v>1197</v>
      </c>
      <c r="J577" s="247">
        <v>120</v>
      </c>
      <c r="K577" s="246" t="s">
        <v>2303</v>
      </c>
      <c r="L577" s="246" t="s">
        <v>2345</v>
      </c>
      <c r="M577" s="246">
        <v>13</v>
      </c>
      <c r="N577" s="246"/>
      <c r="O577" s="246" t="s">
        <v>2760</v>
      </c>
      <c r="P577" s="246" t="s">
        <v>6432</v>
      </c>
      <c r="Q577" s="246" t="s">
        <v>2757</v>
      </c>
      <c r="R577" s="248"/>
    </row>
    <row r="578" spans="1:18" x14ac:dyDescent="0.7">
      <c r="A578" s="246" t="s">
        <v>2761</v>
      </c>
      <c r="B578" s="246" t="s">
        <v>2762</v>
      </c>
      <c r="C578" s="246" t="s">
        <v>1369</v>
      </c>
      <c r="D578" s="246" t="s">
        <v>2763</v>
      </c>
      <c r="E578" s="246">
        <v>2</v>
      </c>
      <c r="F578" s="246" t="s">
        <v>2309</v>
      </c>
      <c r="G578" s="246" t="s">
        <v>2310</v>
      </c>
      <c r="H578" s="247">
        <v>63</v>
      </c>
      <c r="I578" s="246" t="s">
        <v>1197</v>
      </c>
      <c r="J578" s="247">
        <v>70</v>
      </c>
      <c r="K578" s="246" t="s">
        <v>2303</v>
      </c>
      <c r="L578" s="246" t="s">
        <v>2345</v>
      </c>
      <c r="M578" s="246">
        <v>12</v>
      </c>
      <c r="N578" s="246"/>
      <c r="O578" s="246" t="s">
        <v>2764</v>
      </c>
      <c r="P578" s="246" t="s">
        <v>6438</v>
      </c>
      <c r="Q578" s="246" t="s">
        <v>2761</v>
      </c>
      <c r="R578" s="248"/>
    </row>
    <row r="579" spans="1:18" x14ac:dyDescent="0.7">
      <c r="A579" s="246" t="s">
        <v>2765</v>
      </c>
      <c r="B579" s="246" t="s">
        <v>2766</v>
      </c>
      <c r="C579" s="246" t="s">
        <v>1370</v>
      </c>
      <c r="D579" s="246" t="s">
        <v>2767</v>
      </c>
      <c r="E579" s="246">
        <v>2</v>
      </c>
      <c r="F579" s="246" t="s">
        <v>2309</v>
      </c>
      <c r="G579" s="246" t="s">
        <v>2310</v>
      </c>
      <c r="H579" s="247">
        <v>63</v>
      </c>
      <c r="I579" s="246" t="s">
        <v>1197</v>
      </c>
      <c r="J579" s="247">
        <v>85</v>
      </c>
      <c r="K579" s="246" t="s">
        <v>2303</v>
      </c>
      <c r="L579" s="246" t="s">
        <v>2316</v>
      </c>
      <c r="M579" s="246">
        <v>9</v>
      </c>
      <c r="N579" s="246"/>
      <c r="O579" s="246" t="s">
        <v>2768</v>
      </c>
      <c r="P579" s="246" t="s">
        <v>6435</v>
      </c>
      <c r="Q579" s="246" t="s">
        <v>2765</v>
      </c>
      <c r="R579" s="248"/>
    </row>
    <row r="580" spans="1:18" x14ac:dyDescent="0.7">
      <c r="A580" s="246" t="s">
        <v>2769</v>
      </c>
      <c r="B580" s="246" t="s">
        <v>2770</v>
      </c>
      <c r="C580" s="246" t="s">
        <v>1371</v>
      </c>
      <c r="D580" s="246" t="s">
        <v>2771</v>
      </c>
      <c r="E580" s="246">
        <v>2</v>
      </c>
      <c r="F580" s="246" t="s">
        <v>2309</v>
      </c>
      <c r="G580" s="246" t="s">
        <v>2310</v>
      </c>
      <c r="H580" s="247">
        <v>63</v>
      </c>
      <c r="I580" s="246" t="s">
        <v>1197</v>
      </c>
      <c r="J580" s="247">
        <v>65</v>
      </c>
      <c r="K580" s="246" t="s">
        <v>2303</v>
      </c>
      <c r="L580" s="246" t="s">
        <v>2345</v>
      </c>
      <c r="M580" s="246">
        <v>12</v>
      </c>
      <c r="N580" s="246"/>
      <c r="O580" s="246" t="s">
        <v>2772</v>
      </c>
      <c r="P580" s="246" t="s">
        <v>6438</v>
      </c>
      <c r="Q580" s="246" t="s">
        <v>2769</v>
      </c>
      <c r="R580" s="248"/>
    </row>
    <row r="581" spans="1:18" x14ac:dyDescent="0.7">
      <c r="A581" s="246" t="s">
        <v>2784</v>
      </c>
      <c r="B581" s="246" t="s">
        <v>2785</v>
      </c>
      <c r="C581" s="246" t="s">
        <v>1395</v>
      </c>
      <c r="D581" s="246" t="s">
        <v>2786</v>
      </c>
      <c r="E581" s="246">
        <v>2</v>
      </c>
      <c r="F581" s="246" t="s">
        <v>2309</v>
      </c>
      <c r="G581" s="246" t="s">
        <v>2310</v>
      </c>
      <c r="H581" s="247">
        <v>64</v>
      </c>
      <c r="I581" s="246" t="s">
        <v>1200</v>
      </c>
      <c r="J581" s="247">
        <v>35</v>
      </c>
      <c r="K581" s="246" t="s">
        <v>2303</v>
      </c>
      <c r="L581" s="246" t="s">
        <v>2311</v>
      </c>
      <c r="M581" s="246">
        <v>6</v>
      </c>
      <c r="N581" s="246"/>
      <c r="O581" s="246" t="s">
        <v>2787</v>
      </c>
      <c r="P581" s="246" t="s">
        <v>6436</v>
      </c>
      <c r="Q581" s="246" t="s">
        <v>2784</v>
      </c>
      <c r="R581" s="248"/>
    </row>
    <row r="582" spans="1:18" x14ac:dyDescent="0.7">
      <c r="A582" s="246" t="s">
        <v>2788</v>
      </c>
      <c r="B582" s="246" t="s">
        <v>2789</v>
      </c>
      <c r="C582" s="246" t="s">
        <v>1396</v>
      </c>
      <c r="D582" s="246" t="s">
        <v>2790</v>
      </c>
      <c r="E582" s="246">
        <v>2</v>
      </c>
      <c r="F582" s="246" t="s">
        <v>2309</v>
      </c>
      <c r="G582" s="246" t="s">
        <v>2310</v>
      </c>
      <c r="H582" s="247">
        <v>64</v>
      </c>
      <c r="I582" s="246" t="s">
        <v>1200</v>
      </c>
      <c r="J582" s="247">
        <v>50</v>
      </c>
      <c r="K582" s="246" t="s">
        <v>2303</v>
      </c>
      <c r="L582" s="246" t="s">
        <v>2311</v>
      </c>
      <c r="M582" s="246">
        <v>6</v>
      </c>
      <c r="N582" s="246"/>
      <c r="O582" s="246" t="s">
        <v>2791</v>
      </c>
      <c r="P582" s="246" t="s">
        <v>6436</v>
      </c>
      <c r="Q582" s="246" t="s">
        <v>2788</v>
      </c>
      <c r="R582" s="248"/>
    </row>
    <row r="583" spans="1:18" x14ac:dyDescent="0.7">
      <c r="A583" s="246" t="s">
        <v>2792</v>
      </c>
      <c r="B583" s="246" t="s">
        <v>2793</v>
      </c>
      <c r="C583" s="246" t="s">
        <v>1397</v>
      </c>
      <c r="D583" s="246" t="s">
        <v>2794</v>
      </c>
      <c r="E583" s="246">
        <v>2</v>
      </c>
      <c r="F583" s="246" t="s">
        <v>2309</v>
      </c>
      <c r="G583" s="246" t="s">
        <v>2310</v>
      </c>
      <c r="H583" s="247">
        <v>64</v>
      </c>
      <c r="I583" s="246" t="s">
        <v>1200</v>
      </c>
      <c r="J583" s="247">
        <v>34</v>
      </c>
      <c r="K583" s="246" t="s">
        <v>2303</v>
      </c>
      <c r="L583" s="246" t="s">
        <v>2311</v>
      </c>
      <c r="M583" s="246">
        <v>6</v>
      </c>
      <c r="N583" s="246"/>
      <c r="O583" s="246" t="s">
        <v>2795</v>
      </c>
      <c r="P583" s="246" t="s">
        <v>6436</v>
      </c>
      <c r="Q583" s="246" t="s">
        <v>2792</v>
      </c>
      <c r="R583" s="248"/>
    </row>
    <row r="584" spans="1:18" x14ac:dyDescent="0.7">
      <c r="A584" s="246" t="s">
        <v>2796</v>
      </c>
      <c r="B584" s="246" t="s">
        <v>2797</v>
      </c>
      <c r="C584" s="246" t="s">
        <v>1398</v>
      </c>
      <c r="D584" s="246" t="s">
        <v>2798</v>
      </c>
      <c r="E584" s="246">
        <v>2</v>
      </c>
      <c r="F584" s="246" t="s">
        <v>2309</v>
      </c>
      <c r="G584" s="246" t="s">
        <v>2310</v>
      </c>
      <c r="H584" s="247">
        <v>64</v>
      </c>
      <c r="I584" s="246" t="s">
        <v>1200</v>
      </c>
      <c r="J584" s="247">
        <v>71</v>
      </c>
      <c r="K584" s="246" t="s">
        <v>2303</v>
      </c>
      <c r="L584" s="246" t="s">
        <v>2316</v>
      </c>
      <c r="M584" s="246">
        <v>10</v>
      </c>
      <c r="N584" s="246"/>
      <c r="O584" s="246" t="s">
        <v>2799</v>
      </c>
      <c r="P584" s="246" t="s">
        <v>6433</v>
      </c>
      <c r="Q584" s="246" t="s">
        <v>2796</v>
      </c>
      <c r="R584" s="248"/>
    </row>
    <row r="585" spans="1:18" x14ac:dyDescent="0.7">
      <c r="A585" s="246" t="s">
        <v>2800</v>
      </c>
      <c r="B585" s="246" t="s">
        <v>2801</v>
      </c>
      <c r="C585" s="246" t="s">
        <v>1399</v>
      </c>
      <c r="D585" s="246" t="s">
        <v>2802</v>
      </c>
      <c r="E585" s="246">
        <v>2</v>
      </c>
      <c r="F585" s="246" t="s">
        <v>2309</v>
      </c>
      <c r="G585" s="246" t="s">
        <v>2310</v>
      </c>
      <c r="H585" s="247">
        <v>64</v>
      </c>
      <c r="I585" s="246" t="s">
        <v>1200</v>
      </c>
      <c r="J585" s="247">
        <v>111</v>
      </c>
      <c r="K585" s="246" t="s">
        <v>2303</v>
      </c>
      <c r="L585" s="246" t="s">
        <v>2345</v>
      </c>
      <c r="M585" s="246">
        <v>13</v>
      </c>
      <c r="N585" s="246"/>
      <c r="O585" s="246" t="s">
        <v>2803</v>
      </c>
      <c r="P585" s="246" t="s">
        <v>6432</v>
      </c>
      <c r="Q585" s="246" t="s">
        <v>2800</v>
      </c>
      <c r="R585" s="248"/>
    </row>
    <row r="586" spans="1:18" x14ac:dyDescent="0.7">
      <c r="A586" s="246" t="s">
        <v>2804</v>
      </c>
      <c r="B586" s="246" t="s">
        <v>2805</v>
      </c>
      <c r="C586" s="246" t="s">
        <v>1400</v>
      </c>
      <c r="D586" s="246" t="s">
        <v>2806</v>
      </c>
      <c r="E586" s="246">
        <v>2</v>
      </c>
      <c r="F586" s="246" t="s">
        <v>2309</v>
      </c>
      <c r="G586" s="246" t="s">
        <v>2310</v>
      </c>
      <c r="H586" s="247">
        <v>64</v>
      </c>
      <c r="I586" s="246" t="s">
        <v>1200</v>
      </c>
      <c r="J586" s="247">
        <v>30</v>
      </c>
      <c r="K586" s="246" t="s">
        <v>2303</v>
      </c>
      <c r="L586" s="246" t="s">
        <v>2311</v>
      </c>
      <c r="M586" s="246">
        <v>5</v>
      </c>
      <c r="N586" s="246"/>
      <c r="O586" s="246" t="s">
        <v>2807</v>
      </c>
      <c r="P586" s="246" t="s">
        <v>6437</v>
      </c>
      <c r="Q586" s="246" t="s">
        <v>2804</v>
      </c>
      <c r="R586" s="248"/>
    </row>
    <row r="587" spans="1:18" x14ac:dyDescent="0.7">
      <c r="A587" s="246" t="s">
        <v>2808</v>
      </c>
      <c r="B587" s="246" t="s">
        <v>2809</v>
      </c>
      <c r="C587" s="246" t="s">
        <v>1401</v>
      </c>
      <c r="D587" s="246" t="s">
        <v>2810</v>
      </c>
      <c r="E587" s="246">
        <v>2</v>
      </c>
      <c r="F587" s="246" t="s">
        <v>2309</v>
      </c>
      <c r="G587" s="246" t="s">
        <v>2310</v>
      </c>
      <c r="H587" s="247">
        <v>64</v>
      </c>
      <c r="I587" s="246" t="s">
        <v>1200</v>
      </c>
      <c r="J587" s="247">
        <v>38</v>
      </c>
      <c r="K587" s="246" t="s">
        <v>2303</v>
      </c>
      <c r="L587" s="246" t="s">
        <v>2311</v>
      </c>
      <c r="M587" s="246">
        <v>6</v>
      </c>
      <c r="N587" s="246"/>
      <c r="O587" s="246" t="s">
        <v>2811</v>
      </c>
      <c r="P587" s="246" t="s">
        <v>6436</v>
      </c>
      <c r="Q587" s="246" t="s">
        <v>2808</v>
      </c>
      <c r="R587" s="248"/>
    </row>
    <row r="588" spans="1:18" x14ac:dyDescent="0.7">
      <c r="A588" s="246" t="s">
        <v>2816</v>
      </c>
      <c r="B588" s="246" t="s">
        <v>2817</v>
      </c>
      <c r="C588" s="246" t="s">
        <v>1374</v>
      </c>
      <c r="D588" s="246" t="s">
        <v>2818</v>
      </c>
      <c r="E588" s="246">
        <v>2</v>
      </c>
      <c r="F588" s="246" t="s">
        <v>2309</v>
      </c>
      <c r="G588" s="246" t="s">
        <v>2310</v>
      </c>
      <c r="H588" s="247">
        <v>65</v>
      </c>
      <c r="I588" s="246" t="s">
        <v>1198</v>
      </c>
      <c r="J588" s="247">
        <v>30</v>
      </c>
      <c r="K588" s="246" t="s">
        <v>2303</v>
      </c>
      <c r="L588" s="246" t="s">
        <v>2311</v>
      </c>
      <c r="M588" s="246">
        <v>6</v>
      </c>
      <c r="N588" s="246"/>
      <c r="O588" s="246" t="s">
        <v>2819</v>
      </c>
      <c r="P588" s="246" t="s">
        <v>6436</v>
      </c>
      <c r="Q588" s="246" t="s">
        <v>2816</v>
      </c>
      <c r="R588" s="248"/>
    </row>
    <row r="589" spans="1:18" x14ac:dyDescent="0.7">
      <c r="A589" s="246" t="s">
        <v>2820</v>
      </c>
      <c r="B589" s="246" t="s">
        <v>2821</v>
      </c>
      <c r="C589" s="246" t="s">
        <v>1375</v>
      </c>
      <c r="D589" s="246" t="s">
        <v>2822</v>
      </c>
      <c r="E589" s="246">
        <v>2</v>
      </c>
      <c r="F589" s="246" t="s">
        <v>2309</v>
      </c>
      <c r="G589" s="246" t="s">
        <v>2310</v>
      </c>
      <c r="H589" s="247">
        <v>65</v>
      </c>
      <c r="I589" s="246" t="s">
        <v>1198</v>
      </c>
      <c r="J589" s="247">
        <v>57</v>
      </c>
      <c r="K589" s="246" t="s">
        <v>2303</v>
      </c>
      <c r="L589" s="246" t="s">
        <v>2311</v>
      </c>
      <c r="M589" s="246">
        <v>7</v>
      </c>
      <c r="N589" s="246"/>
      <c r="O589" s="246" t="s">
        <v>2823</v>
      </c>
      <c r="P589" s="246" t="s">
        <v>6434</v>
      </c>
      <c r="Q589" s="246" t="s">
        <v>2820</v>
      </c>
      <c r="R589" s="248"/>
    </row>
    <row r="590" spans="1:18" x14ac:dyDescent="0.7">
      <c r="A590" s="246" t="s">
        <v>2824</v>
      </c>
      <c r="B590" s="246" t="s">
        <v>2825</v>
      </c>
      <c r="C590" s="246" t="s">
        <v>1376</v>
      </c>
      <c r="D590" s="246" t="s">
        <v>2826</v>
      </c>
      <c r="E590" s="246">
        <v>2</v>
      </c>
      <c r="F590" s="246" t="s">
        <v>2309</v>
      </c>
      <c r="G590" s="246" t="s">
        <v>2310</v>
      </c>
      <c r="H590" s="247">
        <v>65</v>
      </c>
      <c r="I590" s="246" t="s">
        <v>1198</v>
      </c>
      <c r="J590" s="247">
        <v>30</v>
      </c>
      <c r="K590" s="246" t="s">
        <v>2303</v>
      </c>
      <c r="L590" s="246" t="s">
        <v>2311</v>
      </c>
      <c r="M590" s="246">
        <v>6</v>
      </c>
      <c r="N590" s="246"/>
      <c r="O590" s="246" t="s">
        <v>2827</v>
      </c>
      <c r="P590" s="246" t="s">
        <v>6436</v>
      </c>
      <c r="Q590" s="246" t="s">
        <v>2824</v>
      </c>
      <c r="R590" s="248"/>
    </row>
    <row r="591" spans="1:18" x14ac:dyDescent="0.7">
      <c r="A591" s="246" t="s">
        <v>2828</v>
      </c>
      <c r="B591" s="246" t="s">
        <v>2829</v>
      </c>
      <c r="C591" s="246" t="s">
        <v>1377</v>
      </c>
      <c r="D591" s="246" t="s">
        <v>2830</v>
      </c>
      <c r="E591" s="246">
        <v>2</v>
      </c>
      <c r="F591" s="246" t="s">
        <v>2309</v>
      </c>
      <c r="G591" s="246" t="s">
        <v>2310</v>
      </c>
      <c r="H591" s="247">
        <v>65</v>
      </c>
      <c r="I591" s="246" t="s">
        <v>1198</v>
      </c>
      <c r="J591" s="247">
        <v>62</v>
      </c>
      <c r="K591" s="246" t="s">
        <v>2303</v>
      </c>
      <c r="L591" s="246" t="s">
        <v>2311</v>
      </c>
      <c r="M591" s="246">
        <v>7</v>
      </c>
      <c r="N591" s="246"/>
      <c r="O591" s="246" t="s">
        <v>2831</v>
      </c>
      <c r="P591" s="246" t="s">
        <v>6434</v>
      </c>
      <c r="Q591" s="246" t="s">
        <v>2828</v>
      </c>
      <c r="R591" s="248"/>
    </row>
    <row r="592" spans="1:18" x14ac:dyDescent="0.7">
      <c r="A592" s="246" t="s">
        <v>2832</v>
      </c>
      <c r="B592" s="246" t="s">
        <v>2833</v>
      </c>
      <c r="C592" s="246" t="s">
        <v>1378</v>
      </c>
      <c r="D592" s="246" t="s">
        <v>2834</v>
      </c>
      <c r="E592" s="246">
        <v>2</v>
      </c>
      <c r="F592" s="246" t="s">
        <v>2309</v>
      </c>
      <c r="G592" s="246" t="s">
        <v>2310</v>
      </c>
      <c r="H592" s="247">
        <v>65</v>
      </c>
      <c r="I592" s="246" t="s">
        <v>1198</v>
      </c>
      <c r="J592" s="247">
        <v>30</v>
      </c>
      <c r="K592" s="246" t="s">
        <v>2303</v>
      </c>
      <c r="L592" s="246" t="s">
        <v>2311</v>
      </c>
      <c r="M592" s="246">
        <v>5</v>
      </c>
      <c r="N592" s="246"/>
      <c r="O592" s="246" t="s">
        <v>2835</v>
      </c>
      <c r="P592" s="246" t="s">
        <v>6437</v>
      </c>
      <c r="Q592" s="246" t="s">
        <v>2832</v>
      </c>
      <c r="R592" s="248"/>
    </row>
    <row r="593" spans="1:18" x14ac:dyDescent="0.7">
      <c r="A593" s="246" t="s">
        <v>2836</v>
      </c>
      <c r="B593" s="246" t="s">
        <v>2837</v>
      </c>
      <c r="C593" s="246" t="s">
        <v>1379</v>
      </c>
      <c r="D593" s="246" t="s">
        <v>2838</v>
      </c>
      <c r="E593" s="246">
        <v>2</v>
      </c>
      <c r="F593" s="246" t="s">
        <v>2309</v>
      </c>
      <c r="G593" s="246" t="s">
        <v>2310</v>
      </c>
      <c r="H593" s="247">
        <v>65</v>
      </c>
      <c r="I593" s="246" t="s">
        <v>1198</v>
      </c>
      <c r="J593" s="247">
        <v>68</v>
      </c>
      <c r="K593" s="246" t="s">
        <v>2303</v>
      </c>
      <c r="L593" s="246" t="s">
        <v>2316</v>
      </c>
      <c r="M593" s="246">
        <v>10</v>
      </c>
      <c r="N593" s="246"/>
      <c r="O593" s="246" t="s">
        <v>2839</v>
      </c>
      <c r="P593" s="246" t="s">
        <v>6433</v>
      </c>
      <c r="Q593" s="246" t="s">
        <v>2836</v>
      </c>
      <c r="R593" s="248"/>
    </row>
    <row r="594" spans="1:18" x14ac:dyDescent="0.7">
      <c r="A594" s="246" t="s">
        <v>2840</v>
      </c>
      <c r="B594" s="246" t="s">
        <v>2841</v>
      </c>
      <c r="C594" s="246" t="s">
        <v>1380</v>
      </c>
      <c r="D594" s="246" t="s">
        <v>2842</v>
      </c>
      <c r="E594" s="246">
        <v>2</v>
      </c>
      <c r="F594" s="246" t="s">
        <v>2309</v>
      </c>
      <c r="G594" s="246" t="s">
        <v>2310</v>
      </c>
      <c r="H594" s="247">
        <v>65</v>
      </c>
      <c r="I594" s="246" t="s">
        <v>1198</v>
      </c>
      <c r="J594" s="247">
        <v>30</v>
      </c>
      <c r="K594" s="246" t="s">
        <v>2303</v>
      </c>
      <c r="L594" s="246" t="s">
        <v>2311</v>
      </c>
      <c r="M594" s="246">
        <v>6</v>
      </c>
      <c r="N594" s="246"/>
      <c r="O594" s="246" t="s">
        <v>2843</v>
      </c>
      <c r="P594" s="246" t="s">
        <v>6436</v>
      </c>
      <c r="Q594" s="246" t="s">
        <v>2840</v>
      </c>
      <c r="R594" s="248"/>
    </row>
    <row r="595" spans="1:18" x14ac:dyDescent="0.7">
      <c r="A595" s="246" t="s">
        <v>3057</v>
      </c>
      <c r="B595" s="246" t="s">
        <v>3058</v>
      </c>
      <c r="C595" s="246" t="s">
        <v>1445</v>
      </c>
      <c r="D595" s="246" t="s">
        <v>3059</v>
      </c>
      <c r="E595" s="246">
        <v>3</v>
      </c>
      <c r="F595" s="246" t="s">
        <v>2309</v>
      </c>
      <c r="G595" s="246" t="s">
        <v>2310</v>
      </c>
      <c r="H595" s="247">
        <v>66</v>
      </c>
      <c r="I595" s="246" t="s">
        <v>1205</v>
      </c>
      <c r="J595" s="247">
        <v>30</v>
      </c>
      <c r="K595" s="246" t="s">
        <v>2303</v>
      </c>
      <c r="L595" s="246" t="s">
        <v>2311</v>
      </c>
      <c r="M595" s="246">
        <v>5</v>
      </c>
      <c r="N595" s="246"/>
      <c r="O595" s="246" t="s">
        <v>3060</v>
      </c>
      <c r="P595" s="246" t="s">
        <v>6437</v>
      </c>
      <c r="Q595" s="246" t="s">
        <v>3057</v>
      </c>
      <c r="R595" s="248"/>
    </row>
    <row r="596" spans="1:18" x14ac:dyDescent="0.7">
      <c r="A596" s="246" t="s">
        <v>3061</v>
      </c>
      <c r="B596" s="246" t="s">
        <v>3062</v>
      </c>
      <c r="C596" s="246" t="s">
        <v>1446</v>
      </c>
      <c r="D596" s="246" t="s">
        <v>3063</v>
      </c>
      <c r="E596" s="246">
        <v>3</v>
      </c>
      <c r="F596" s="246" t="s">
        <v>2309</v>
      </c>
      <c r="G596" s="246" t="s">
        <v>2310</v>
      </c>
      <c r="H596" s="247">
        <v>66</v>
      </c>
      <c r="I596" s="246" t="s">
        <v>1205</v>
      </c>
      <c r="J596" s="247">
        <v>30</v>
      </c>
      <c r="K596" s="246" t="s">
        <v>2303</v>
      </c>
      <c r="L596" s="246" t="s">
        <v>2311</v>
      </c>
      <c r="M596" s="246">
        <v>6</v>
      </c>
      <c r="N596" s="246"/>
      <c r="O596" s="246" t="s">
        <v>3064</v>
      </c>
      <c r="P596" s="246" t="s">
        <v>6436</v>
      </c>
      <c r="Q596" s="246" t="s">
        <v>3061</v>
      </c>
      <c r="R596" s="248"/>
    </row>
    <row r="597" spans="1:18" x14ac:dyDescent="0.7">
      <c r="A597" s="246" t="s">
        <v>3065</v>
      </c>
      <c r="B597" s="246" t="s">
        <v>3066</v>
      </c>
      <c r="C597" s="246" t="s">
        <v>1447</v>
      </c>
      <c r="D597" s="246" t="s">
        <v>3067</v>
      </c>
      <c r="E597" s="246">
        <v>3</v>
      </c>
      <c r="F597" s="246" t="s">
        <v>2309</v>
      </c>
      <c r="G597" s="246" t="s">
        <v>2310</v>
      </c>
      <c r="H597" s="247">
        <v>66</v>
      </c>
      <c r="I597" s="246" t="s">
        <v>1205</v>
      </c>
      <c r="J597" s="247">
        <v>90</v>
      </c>
      <c r="K597" s="246" t="s">
        <v>2303</v>
      </c>
      <c r="L597" s="246" t="s">
        <v>2345</v>
      </c>
      <c r="M597" s="246">
        <v>12</v>
      </c>
      <c r="N597" s="246"/>
      <c r="O597" s="246" t="s">
        <v>3068</v>
      </c>
      <c r="P597" s="246" t="s">
        <v>6438</v>
      </c>
      <c r="Q597" s="246" t="s">
        <v>3065</v>
      </c>
      <c r="R597" s="248"/>
    </row>
    <row r="598" spans="1:18" x14ac:dyDescent="0.7">
      <c r="A598" s="246" t="s">
        <v>3069</v>
      </c>
      <c r="B598" s="246" t="s">
        <v>3070</v>
      </c>
      <c r="C598" s="246" t="s">
        <v>1448</v>
      </c>
      <c r="D598" s="246" t="s">
        <v>3071</v>
      </c>
      <c r="E598" s="246">
        <v>3</v>
      </c>
      <c r="F598" s="246" t="s">
        <v>2309</v>
      </c>
      <c r="G598" s="246" t="s">
        <v>2310</v>
      </c>
      <c r="H598" s="247">
        <v>66</v>
      </c>
      <c r="I598" s="246" t="s">
        <v>1205</v>
      </c>
      <c r="J598" s="247">
        <v>45</v>
      </c>
      <c r="K598" s="246" t="s">
        <v>2303</v>
      </c>
      <c r="L598" s="246" t="s">
        <v>2311</v>
      </c>
      <c r="M598" s="246">
        <v>6</v>
      </c>
      <c r="N598" s="246"/>
      <c r="O598" s="246" t="s">
        <v>3072</v>
      </c>
      <c r="P598" s="246" t="s">
        <v>6436</v>
      </c>
      <c r="Q598" s="246" t="s">
        <v>3069</v>
      </c>
      <c r="R598" s="248"/>
    </row>
    <row r="599" spans="1:18" x14ac:dyDescent="0.7">
      <c r="A599" s="246" t="s">
        <v>3073</v>
      </c>
      <c r="B599" s="246" t="s">
        <v>3074</v>
      </c>
      <c r="C599" s="246" t="s">
        <v>1449</v>
      </c>
      <c r="D599" s="246" t="s">
        <v>3075</v>
      </c>
      <c r="E599" s="246">
        <v>3</v>
      </c>
      <c r="F599" s="246" t="s">
        <v>2309</v>
      </c>
      <c r="G599" s="246" t="s">
        <v>2310</v>
      </c>
      <c r="H599" s="247">
        <v>66</v>
      </c>
      <c r="I599" s="246" t="s">
        <v>1205</v>
      </c>
      <c r="J599" s="247">
        <v>33</v>
      </c>
      <c r="K599" s="246" t="s">
        <v>2303</v>
      </c>
      <c r="L599" s="246" t="s">
        <v>2311</v>
      </c>
      <c r="M599" s="246">
        <v>6</v>
      </c>
      <c r="N599" s="246"/>
      <c r="O599" s="246" t="s">
        <v>3076</v>
      </c>
      <c r="P599" s="246" t="s">
        <v>6436</v>
      </c>
      <c r="Q599" s="246" t="s">
        <v>3073</v>
      </c>
      <c r="R599" s="248"/>
    </row>
    <row r="600" spans="1:18" x14ac:dyDescent="0.7">
      <c r="A600" s="246" t="s">
        <v>3077</v>
      </c>
      <c r="B600" s="246" t="s">
        <v>3078</v>
      </c>
      <c r="C600" s="246" t="s">
        <v>1450</v>
      </c>
      <c r="D600" s="246" t="s">
        <v>3079</v>
      </c>
      <c r="E600" s="246">
        <v>3</v>
      </c>
      <c r="F600" s="246" t="s">
        <v>2309</v>
      </c>
      <c r="G600" s="246" t="s">
        <v>2310</v>
      </c>
      <c r="H600" s="247">
        <v>66</v>
      </c>
      <c r="I600" s="246" t="s">
        <v>1205</v>
      </c>
      <c r="J600" s="247">
        <v>30</v>
      </c>
      <c r="K600" s="246" t="s">
        <v>2303</v>
      </c>
      <c r="L600" s="246" t="s">
        <v>2311</v>
      </c>
      <c r="M600" s="246">
        <v>5</v>
      </c>
      <c r="N600" s="246"/>
      <c r="O600" s="246" t="s">
        <v>3080</v>
      </c>
      <c r="P600" s="246" t="s">
        <v>6437</v>
      </c>
      <c r="Q600" s="246" t="s">
        <v>3077</v>
      </c>
      <c r="R600" s="248"/>
    </row>
    <row r="601" spans="1:18" x14ac:dyDescent="0.7">
      <c r="A601" s="246" t="s">
        <v>2851</v>
      </c>
      <c r="B601" s="246" t="s">
        <v>2852</v>
      </c>
      <c r="C601" s="246" t="s">
        <v>1383</v>
      </c>
      <c r="D601" s="246" t="s">
        <v>2853</v>
      </c>
      <c r="E601" s="246">
        <v>2</v>
      </c>
      <c r="F601" s="246" t="s">
        <v>2309</v>
      </c>
      <c r="G601" s="246" t="s">
        <v>2310</v>
      </c>
      <c r="H601" s="247">
        <v>67</v>
      </c>
      <c r="I601" s="246" t="s">
        <v>1199</v>
      </c>
      <c r="J601" s="247">
        <v>70</v>
      </c>
      <c r="K601" s="246" t="s">
        <v>2303</v>
      </c>
      <c r="L601" s="246" t="s">
        <v>2311</v>
      </c>
      <c r="M601" s="246">
        <v>6</v>
      </c>
      <c r="N601" s="246"/>
      <c r="O601" s="246" t="s">
        <v>2854</v>
      </c>
      <c r="P601" s="246" t="s">
        <v>6436</v>
      </c>
      <c r="Q601" s="246" t="s">
        <v>2851</v>
      </c>
      <c r="R601" s="248"/>
    </row>
    <row r="602" spans="1:18" x14ac:dyDescent="0.7">
      <c r="A602" s="246" t="s">
        <v>2855</v>
      </c>
      <c r="B602" s="246" t="s">
        <v>2856</v>
      </c>
      <c r="C602" s="246" t="s">
        <v>1384</v>
      </c>
      <c r="D602" s="246" t="s">
        <v>2857</v>
      </c>
      <c r="E602" s="246">
        <v>2</v>
      </c>
      <c r="F602" s="246" t="s">
        <v>2309</v>
      </c>
      <c r="G602" s="246" t="s">
        <v>2310</v>
      </c>
      <c r="H602" s="247">
        <v>67</v>
      </c>
      <c r="I602" s="246" t="s">
        <v>1199</v>
      </c>
      <c r="J602" s="247">
        <v>235</v>
      </c>
      <c r="K602" s="246" t="s">
        <v>2303</v>
      </c>
      <c r="L602" s="246" t="s">
        <v>2345</v>
      </c>
      <c r="M602" s="246">
        <v>13</v>
      </c>
      <c r="N602" s="246"/>
      <c r="O602" s="246" t="s">
        <v>2858</v>
      </c>
      <c r="P602" s="246" t="s">
        <v>6432</v>
      </c>
      <c r="Q602" s="246" t="s">
        <v>2855</v>
      </c>
      <c r="R602" s="248"/>
    </row>
    <row r="603" spans="1:18" x14ac:dyDescent="0.7">
      <c r="A603" s="246" t="s">
        <v>2859</v>
      </c>
      <c r="B603" s="246" t="s">
        <v>2860</v>
      </c>
      <c r="C603" s="246" t="s">
        <v>1385</v>
      </c>
      <c r="D603" s="246" t="s">
        <v>2861</v>
      </c>
      <c r="E603" s="246">
        <v>2</v>
      </c>
      <c r="F603" s="246" t="s">
        <v>2309</v>
      </c>
      <c r="G603" s="246" t="s">
        <v>2302</v>
      </c>
      <c r="H603" s="247">
        <v>67</v>
      </c>
      <c r="I603" s="246" t="s">
        <v>1199</v>
      </c>
      <c r="J603" s="247">
        <v>241</v>
      </c>
      <c r="K603" s="246" t="s">
        <v>2303</v>
      </c>
      <c r="L603" s="246" t="s">
        <v>2304</v>
      </c>
      <c r="M603" s="246">
        <v>15</v>
      </c>
      <c r="N603" s="246"/>
      <c r="O603" s="246" t="s">
        <v>2862</v>
      </c>
      <c r="P603" s="246" t="s">
        <v>6429</v>
      </c>
      <c r="Q603" s="246" t="s">
        <v>2859</v>
      </c>
      <c r="R603" s="248"/>
    </row>
    <row r="604" spans="1:18" x14ac:dyDescent="0.7">
      <c r="A604" s="246" t="s">
        <v>2863</v>
      </c>
      <c r="B604" s="246" t="s">
        <v>2864</v>
      </c>
      <c r="C604" s="246" t="s">
        <v>1386</v>
      </c>
      <c r="D604" s="246" t="s">
        <v>2865</v>
      </c>
      <c r="E604" s="246">
        <v>2</v>
      </c>
      <c r="F604" s="246" t="s">
        <v>2309</v>
      </c>
      <c r="G604" s="246" t="s">
        <v>2310</v>
      </c>
      <c r="H604" s="247">
        <v>67</v>
      </c>
      <c r="I604" s="246" t="s">
        <v>1199</v>
      </c>
      <c r="J604" s="247">
        <v>58</v>
      </c>
      <c r="K604" s="246" t="s">
        <v>2303</v>
      </c>
      <c r="L604" s="246" t="s">
        <v>2311</v>
      </c>
      <c r="M604" s="246">
        <v>6</v>
      </c>
      <c r="N604" s="246"/>
      <c r="O604" s="246" t="s">
        <v>2866</v>
      </c>
      <c r="P604" s="246" t="s">
        <v>6436</v>
      </c>
      <c r="Q604" s="246" t="s">
        <v>2863</v>
      </c>
      <c r="R604" s="248"/>
    </row>
    <row r="605" spans="1:18" x14ac:dyDescent="0.7">
      <c r="A605" s="246" t="s">
        <v>2867</v>
      </c>
      <c r="B605" s="246" t="s">
        <v>2868</v>
      </c>
      <c r="C605" s="246" t="s">
        <v>1387</v>
      </c>
      <c r="D605" s="246" t="s">
        <v>2869</v>
      </c>
      <c r="E605" s="246">
        <v>2</v>
      </c>
      <c r="F605" s="246" t="s">
        <v>2309</v>
      </c>
      <c r="G605" s="246" t="s">
        <v>2310</v>
      </c>
      <c r="H605" s="247">
        <v>67</v>
      </c>
      <c r="I605" s="246" t="s">
        <v>1199</v>
      </c>
      <c r="J605" s="247">
        <v>142</v>
      </c>
      <c r="K605" s="246" t="s">
        <v>2303</v>
      </c>
      <c r="L605" s="246" t="s">
        <v>2316</v>
      </c>
      <c r="M605" s="246">
        <v>10</v>
      </c>
      <c r="N605" s="246"/>
      <c r="O605" s="246" t="s">
        <v>2870</v>
      </c>
      <c r="P605" s="246" t="s">
        <v>6433</v>
      </c>
      <c r="Q605" s="246" t="s">
        <v>2867</v>
      </c>
      <c r="R605" s="248"/>
    </row>
    <row r="606" spans="1:18" x14ac:dyDescent="0.7">
      <c r="A606" s="246" t="s">
        <v>2871</v>
      </c>
      <c r="B606" s="246" t="s">
        <v>2872</v>
      </c>
      <c r="C606" s="246" t="s">
        <v>1388</v>
      </c>
      <c r="D606" s="246" t="s">
        <v>2873</v>
      </c>
      <c r="E606" s="246">
        <v>2</v>
      </c>
      <c r="F606" s="246" t="s">
        <v>2309</v>
      </c>
      <c r="G606" s="246" t="s">
        <v>2310</v>
      </c>
      <c r="H606" s="247">
        <v>67</v>
      </c>
      <c r="I606" s="246" t="s">
        <v>1199</v>
      </c>
      <c r="J606" s="247">
        <v>80</v>
      </c>
      <c r="K606" s="246" t="s">
        <v>2303</v>
      </c>
      <c r="L606" s="246" t="s">
        <v>2311</v>
      </c>
      <c r="M606" s="246">
        <v>6</v>
      </c>
      <c r="N606" s="246"/>
      <c r="O606" s="246" t="s">
        <v>2874</v>
      </c>
      <c r="P606" s="246" t="s">
        <v>6436</v>
      </c>
      <c r="Q606" s="246" t="s">
        <v>2871</v>
      </c>
      <c r="R606" s="248"/>
    </row>
    <row r="607" spans="1:18" x14ac:dyDescent="0.7">
      <c r="A607" s="246" t="s">
        <v>2875</v>
      </c>
      <c r="B607" s="246" t="s">
        <v>2876</v>
      </c>
      <c r="C607" s="246" t="s">
        <v>1389</v>
      </c>
      <c r="D607" s="246" t="s">
        <v>2877</v>
      </c>
      <c r="E607" s="246">
        <v>2</v>
      </c>
      <c r="F607" s="246" t="s">
        <v>2309</v>
      </c>
      <c r="G607" s="246" t="s">
        <v>2310</v>
      </c>
      <c r="H607" s="247">
        <v>67</v>
      </c>
      <c r="I607" s="246" t="s">
        <v>1199</v>
      </c>
      <c r="J607" s="247">
        <v>10</v>
      </c>
      <c r="K607" s="246" t="s">
        <v>2303</v>
      </c>
      <c r="L607" s="246" t="s">
        <v>2398</v>
      </c>
      <c r="M607" s="246">
        <v>2</v>
      </c>
      <c r="N607" s="246"/>
      <c r="O607" s="246" t="s">
        <v>2878</v>
      </c>
      <c r="P607" s="246" t="s">
        <v>6424</v>
      </c>
      <c r="Q607" s="246" t="s">
        <v>2875</v>
      </c>
      <c r="R607" s="248"/>
    </row>
    <row r="608" spans="1:18" x14ac:dyDescent="0.7">
      <c r="A608" s="246" t="s">
        <v>2879</v>
      </c>
      <c r="B608" s="246" t="s">
        <v>2880</v>
      </c>
      <c r="C608" s="246" t="s">
        <v>1390</v>
      </c>
      <c r="D608" s="246" t="s">
        <v>2881</v>
      </c>
      <c r="E608" s="246">
        <v>2</v>
      </c>
      <c r="F608" s="246" t="s">
        <v>2309</v>
      </c>
      <c r="G608" s="246" t="s">
        <v>2310</v>
      </c>
      <c r="H608" s="247">
        <v>67</v>
      </c>
      <c r="I608" s="246" t="s">
        <v>1199</v>
      </c>
      <c r="J608" s="247">
        <v>30</v>
      </c>
      <c r="K608" s="246" t="s">
        <v>2303</v>
      </c>
      <c r="L608" s="246" t="s">
        <v>2311</v>
      </c>
      <c r="M608" s="246">
        <v>5</v>
      </c>
      <c r="N608" s="246"/>
      <c r="O608" s="246" t="s">
        <v>2882</v>
      </c>
      <c r="P608" s="246" t="s">
        <v>6437</v>
      </c>
      <c r="Q608" s="246" t="s">
        <v>2879</v>
      </c>
      <c r="R608" s="248"/>
    </row>
    <row r="609" spans="1:18" x14ac:dyDescent="0.7">
      <c r="A609" s="246" t="s">
        <v>2883</v>
      </c>
      <c r="B609" s="246" t="s">
        <v>2884</v>
      </c>
      <c r="C609" s="246" t="s">
        <v>1391</v>
      </c>
      <c r="D609" s="246" t="s">
        <v>2885</v>
      </c>
      <c r="E609" s="246">
        <v>2</v>
      </c>
      <c r="F609" s="246" t="s">
        <v>2309</v>
      </c>
      <c r="G609" s="246" t="s">
        <v>2310</v>
      </c>
      <c r="H609" s="247">
        <v>67</v>
      </c>
      <c r="I609" s="246" t="s">
        <v>1199</v>
      </c>
      <c r="J609" s="247">
        <v>38</v>
      </c>
      <c r="K609" s="246" t="s">
        <v>2303</v>
      </c>
      <c r="L609" s="246" t="s">
        <v>2311</v>
      </c>
      <c r="M609" s="246">
        <v>6</v>
      </c>
      <c r="N609" s="246"/>
      <c r="O609" s="246" t="s">
        <v>2886</v>
      </c>
      <c r="P609" s="246" t="s">
        <v>6436</v>
      </c>
      <c r="Q609" s="246" t="s">
        <v>2883</v>
      </c>
      <c r="R609" s="248"/>
    </row>
    <row r="610" spans="1:18" x14ac:dyDescent="0.7">
      <c r="A610" s="246" t="s">
        <v>3394</v>
      </c>
      <c r="B610" s="246" t="s">
        <v>3395</v>
      </c>
      <c r="C610" s="246" t="s">
        <v>1578</v>
      </c>
      <c r="D610" s="246" t="s">
        <v>3396</v>
      </c>
      <c r="E610" s="246">
        <v>5</v>
      </c>
      <c r="F610" s="246" t="s">
        <v>2309</v>
      </c>
      <c r="G610" s="246" t="s">
        <v>2310</v>
      </c>
      <c r="H610" s="247">
        <v>70</v>
      </c>
      <c r="I610" s="246" t="s">
        <v>1219</v>
      </c>
      <c r="J610" s="247">
        <v>60</v>
      </c>
      <c r="K610" s="246" t="s">
        <v>2303</v>
      </c>
      <c r="L610" s="246" t="s">
        <v>2311</v>
      </c>
      <c r="M610" s="246">
        <v>5</v>
      </c>
      <c r="N610" s="246"/>
      <c r="O610" s="246" t="s">
        <v>3397</v>
      </c>
      <c r="P610" s="246" t="s">
        <v>6437</v>
      </c>
      <c r="Q610" s="246" t="s">
        <v>3394</v>
      </c>
      <c r="R610" s="248"/>
    </row>
    <row r="611" spans="1:18" x14ac:dyDescent="0.7">
      <c r="A611" s="246" t="s">
        <v>3398</v>
      </c>
      <c r="B611" s="246" t="s">
        <v>3399</v>
      </c>
      <c r="C611" s="246" t="s">
        <v>1579</v>
      </c>
      <c r="D611" s="246" t="s">
        <v>3400</v>
      </c>
      <c r="E611" s="246">
        <v>5</v>
      </c>
      <c r="F611" s="246" t="s">
        <v>2309</v>
      </c>
      <c r="G611" s="246" t="s">
        <v>2310</v>
      </c>
      <c r="H611" s="247">
        <v>70</v>
      </c>
      <c r="I611" s="246" t="s">
        <v>1219</v>
      </c>
      <c r="J611" s="247">
        <v>48</v>
      </c>
      <c r="K611" s="246" t="s">
        <v>2303</v>
      </c>
      <c r="L611" s="246" t="s">
        <v>2311</v>
      </c>
      <c r="M611" s="246">
        <v>5</v>
      </c>
      <c r="N611" s="246"/>
      <c r="O611" s="246" t="s">
        <v>3401</v>
      </c>
      <c r="P611" s="246" t="s">
        <v>6437</v>
      </c>
      <c r="Q611" s="246" t="s">
        <v>3398</v>
      </c>
      <c r="R611" s="248"/>
    </row>
    <row r="612" spans="1:18" x14ac:dyDescent="0.7">
      <c r="A612" s="246" t="s">
        <v>3402</v>
      </c>
      <c r="B612" s="246" t="s">
        <v>3403</v>
      </c>
      <c r="C612" s="246" t="s">
        <v>1580</v>
      </c>
      <c r="D612" s="246" t="s">
        <v>3404</v>
      </c>
      <c r="E612" s="246">
        <v>5</v>
      </c>
      <c r="F612" s="246" t="s">
        <v>2309</v>
      </c>
      <c r="G612" s="246" t="s">
        <v>2310</v>
      </c>
      <c r="H612" s="247">
        <v>70</v>
      </c>
      <c r="I612" s="246" t="s">
        <v>1219</v>
      </c>
      <c r="J612" s="247">
        <v>30</v>
      </c>
      <c r="K612" s="246" t="s">
        <v>2303</v>
      </c>
      <c r="L612" s="246" t="s">
        <v>2311</v>
      </c>
      <c r="M612" s="246">
        <v>5</v>
      </c>
      <c r="N612" s="246"/>
      <c r="O612" s="246" t="s">
        <v>3405</v>
      </c>
      <c r="P612" s="246" t="s">
        <v>6437</v>
      </c>
      <c r="Q612" s="246" t="s">
        <v>3402</v>
      </c>
      <c r="R612" s="248"/>
    </row>
    <row r="613" spans="1:18" x14ac:dyDescent="0.7">
      <c r="A613" s="246" t="s">
        <v>3406</v>
      </c>
      <c r="B613" s="246" t="s">
        <v>3407</v>
      </c>
      <c r="C613" s="246" t="s">
        <v>1581</v>
      </c>
      <c r="D613" s="246" t="s">
        <v>3408</v>
      </c>
      <c r="E613" s="246">
        <v>5</v>
      </c>
      <c r="F613" s="246" t="s">
        <v>2309</v>
      </c>
      <c r="G613" s="246" t="s">
        <v>2310</v>
      </c>
      <c r="H613" s="247">
        <v>70</v>
      </c>
      <c r="I613" s="246" t="s">
        <v>1219</v>
      </c>
      <c r="J613" s="247">
        <v>60</v>
      </c>
      <c r="K613" s="246" t="s">
        <v>2303</v>
      </c>
      <c r="L613" s="246" t="s">
        <v>2311</v>
      </c>
      <c r="M613" s="246">
        <v>6</v>
      </c>
      <c r="N613" s="246"/>
      <c r="O613" s="246" t="s">
        <v>3409</v>
      </c>
      <c r="P613" s="246" t="s">
        <v>6436</v>
      </c>
      <c r="Q613" s="246" t="s">
        <v>3406</v>
      </c>
      <c r="R613" s="248"/>
    </row>
    <row r="614" spans="1:18" x14ac:dyDescent="0.7">
      <c r="A614" s="246" t="s">
        <v>3410</v>
      </c>
      <c r="B614" s="246" t="s">
        <v>3411</v>
      </c>
      <c r="C614" s="246" t="s">
        <v>1582</v>
      </c>
      <c r="D614" s="246" t="s">
        <v>3412</v>
      </c>
      <c r="E614" s="246">
        <v>5</v>
      </c>
      <c r="F614" s="246" t="s">
        <v>2309</v>
      </c>
      <c r="G614" s="246" t="s">
        <v>2310</v>
      </c>
      <c r="H614" s="247">
        <v>70</v>
      </c>
      <c r="I614" s="246" t="s">
        <v>1219</v>
      </c>
      <c r="J614" s="247">
        <v>38</v>
      </c>
      <c r="K614" s="246" t="s">
        <v>2303</v>
      </c>
      <c r="L614" s="246" t="s">
        <v>2311</v>
      </c>
      <c r="M614" s="246">
        <v>5</v>
      </c>
      <c r="N614" s="246"/>
      <c r="O614" s="246" t="s">
        <v>3413</v>
      </c>
      <c r="P614" s="246" t="s">
        <v>6437</v>
      </c>
      <c r="Q614" s="246" t="s">
        <v>3410</v>
      </c>
      <c r="R614" s="248"/>
    </row>
    <row r="615" spans="1:18" x14ac:dyDescent="0.7">
      <c r="A615" s="246" t="s">
        <v>3430</v>
      </c>
      <c r="B615" s="246" t="s">
        <v>3431</v>
      </c>
      <c r="C615" s="246" t="s">
        <v>1536</v>
      </c>
      <c r="D615" s="246" t="s">
        <v>3432</v>
      </c>
      <c r="E615" s="246">
        <v>5</v>
      </c>
      <c r="F615" s="246" t="s">
        <v>2309</v>
      </c>
      <c r="G615" s="246" t="s">
        <v>2310</v>
      </c>
      <c r="H615" s="247">
        <v>71</v>
      </c>
      <c r="I615" s="246" t="s">
        <v>1215</v>
      </c>
      <c r="J615" s="247">
        <v>58</v>
      </c>
      <c r="K615" s="246" t="s">
        <v>2295</v>
      </c>
      <c r="L615" s="246" t="s">
        <v>2311</v>
      </c>
      <c r="M615" s="246">
        <v>6</v>
      </c>
      <c r="N615" s="246"/>
      <c r="O615" s="246" t="s">
        <v>3433</v>
      </c>
      <c r="P615" s="246" t="s">
        <v>6436</v>
      </c>
      <c r="Q615" s="246" t="s">
        <v>3430</v>
      </c>
      <c r="R615" s="248"/>
    </row>
    <row r="616" spans="1:18" x14ac:dyDescent="0.7">
      <c r="A616" s="246" t="s">
        <v>3434</v>
      </c>
      <c r="B616" s="246" t="s">
        <v>3435</v>
      </c>
      <c r="C616" s="246" t="s">
        <v>1537</v>
      </c>
      <c r="D616" s="246" t="s">
        <v>3436</v>
      </c>
      <c r="E616" s="246">
        <v>5</v>
      </c>
      <c r="F616" s="246" t="s">
        <v>2309</v>
      </c>
      <c r="G616" s="246" t="s">
        <v>2310</v>
      </c>
      <c r="H616" s="247">
        <v>71</v>
      </c>
      <c r="I616" s="246" t="s">
        <v>1215</v>
      </c>
      <c r="J616" s="247">
        <v>30</v>
      </c>
      <c r="K616" s="246" t="s">
        <v>2295</v>
      </c>
      <c r="L616" s="246" t="s">
        <v>2311</v>
      </c>
      <c r="M616" s="246">
        <v>5</v>
      </c>
      <c r="N616" s="246"/>
      <c r="O616" s="246" t="s">
        <v>3437</v>
      </c>
      <c r="P616" s="246" t="s">
        <v>6437</v>
      </c>
      <c r="Q616" s="246" t="s">
        <v>3434</v>
      </c>
      <c r="R616" s="248"/>
    </row>
    <row r="617" spans="1:18" x14ac:dyDescent="0.7">
      <c r="A617" s="246" t="s">
        <v>3438</v>
      </c>
      <c r="B617" s="246" t="s">
        <v>3439</v>
      </c>
      <c r="C617" s="246" t="s">
        <v>1538</v>
      </c>
      <c r="D617" s="246" t="s">
        <v>3440</v>
      </c>
      <c r="E617" s="246">
        <v>5</v>
      </c>
      <c r="F617" s="246" t="s">
        <v>2309</v>
      </c>
      <c r="G617" s="246" t="s">
        <v>2310</v>
      </c>
      <c r="H617" s="247">
        <v>71</v>
      </c>
      <c r="I617" s="246" t="s">
        <v>1215</v>
      </c>
      <c r="J617" s="247">
        <v>70</v>
      </c>
      <c r="K617" s="246" t="s">
        <v>2295</v>
      </c>
      <c r="L617" s="246" t="s">
        <v>2316</v>
      </c>
      <c r="M617" s="246">
        <v>9</v>
      </c>
      <c r="N617" s="246"/>
      <c r="O617" s="246" t="s">
        <v>3441</v>
      </c>
      <c r="P617" s="246" t="s">
        <v>6435</v>
      </c>
      <c r="Q617" s="246" t="s">
        <v>3438</v>
      </c>
      <c r="R617" s="248"/>
    </row>
    <row r="618" spans="1:18" x14ac:dyDescent="0.7">
      <c r="A618" s="246" t="s">
        <v>3442</v>
      </c>
      <c r="B618" s="246" t="s">
        <v>3443</v>
      </c>
      <c r="C618" s="246" t="s">
        <v>1539</v>
      </c>
      <c r="D618" s="246" t="s">
        <v>3444</v>
      </c>
      <c r="E618" s="246">
        <v>5</v>
      </c>
      <c r="F618" s="246" t="s">
        <v>2309</v>
      </c>
      <c r="G618" s="246" t="s">
        <v>2310</v>
      </c>
      <c r="H618" s="247">
        <v>71</v>
      </c>
      <c r="I618" s="246" t="s">
        <v>1215</v>
      </c>
      <c r="J618" s="247">
        <v>31</v>
      </c>
      <c r="K618" s="246" t="s">
        <v>2295</v>
      </c>
      <c r="L618" s="246" t="s">
        <v>2311</v>
      </c>
      <c r="M618" s="246">
        <v>5</v>
      </c>
      <c r="N618" s="246"/>
      <c r="O618" s="246" t="s">
        <v>3445</v>
      </c>
      <c r="P618" s="246" t="s">
        <v>6437</v>
      </c>
      <c r="Q618" s="246" t="s">
        <v>3442</v>
      </c>
      <c r="R618" s="248"/>
    </row>
    <row r="619" spans="1:18" x14ac:dyDescent="0.7">
      <c r="A619" s="246" t="s">
        <v>3446</v>
      </c>
      <c r="B619" s="246" t="s">
        <v>3447</v>
      </c>
      <c r="C619" s="246" t="s">
        <v>1540</v>
      </c>
      <c r="D619" s="246" t="s">
        <v>3448</v>
      </c>
      <c r="E619" s="246">
        <v>5</v>
      </c>
      <c r="F619" s="246" t="s">
        <v>2309</v>
      </c>
      <c r="G619" s="246" t="s">
        <v>2310</v>
      </c>
      <c r="H619" s="247">
        <v>71</v>
      </c>
      <c r="I619" s="246" t="s">
        <v>1215</v>
      </c>
      <c r="J619" s="247">
        <v>141</v>
      </c>
      <c r="K619" s="246" t="s">
        <v>2295</v>
      </c>
      <c r="L619" s="246" t="s">
        <v>2345</v>
      </c>
      <c r="M619" s="246">
        <v>13</v>
      </c>
      <c r="N619" s="246"/>
      <c r="O619" s="246" t="s">
        <v>3449</v>
      </c>
      <c r="P619" s="246" t="s">
        <v>6432</v>
      </c>
      <c r="Q619" s="246" t="s">
        <v>3446</v>
      </c>
      <c r="R619" s="248"/>
    </row>
    <row r="620" spans="1:18" x14ac:dyDescent="0.7">
      <c r="A620" s="246" t="s">
        <v>3450</v>
      </c>
      <c r="B620" s="246" t="s">
        <v>3451</v>
      </c>
      <c r="C620" s="246" t="s">
        <v>1541</v>
      </c>
      <c r="D620" s="246" t="s">
        <v>3452</v>
      </c>
      <c r="E620" s="246">
        <v>5</v>
      </c>
      <c r="F620" s="246" t="s">
        <v>2309</v>
      </c>
      <c r="G620" s="246" t="s">
        <v>2310</v>
      </c>
      <c r="H620" s="247">
        <v>71</v>
      </c>
      <c r="I620" s="246" t="s">
        <v>1215</v>
      </c>
      <c r="J620" s="247">
        <v>97</v>
      </c>
      <c r="K620" s="246" t="s">
        <v>2295</v>
      </c>
      <c r="L620" s="246" t="s">
        <v>2345</v>
      </c>
      <c r="M620" s="246">
        <v>12</v>
      </c>
      <c r="N620" s="246"/>
      <c r="O620" s="246" t="s">
        <v>3453</v>
      </c>
      <c r="P620" s="246" t="s">
        <v>6438</v>
      </c>
      <c r="Q620" s="246" t="s">
        <v>3450</v>
      </c>
      <c r="R620" s="248"/>
    </row>
    <row r="621" spans="1:18" x14ac:dyDescent="0.7">
      <c r="A621" s="246" t="s">
        <v>3454</v>
      </c>
      <c r="B621" s="246" t="s">
        <v>3455</v>
      </c>
      <c r="C621" s="246" t="s">
        <v>1542</v>
      </c>
      <c r="D621" s="246" t="s">
        <v>3456</v>
      </c>
      <c r="E621" s="246">
        <v>5</v>
      </c>
      <c r="F621" s="246" t="s">
        <v>2309</v>
      </c>
      <c r="G621" s="246" t="s">
        <v>2310</v>
      </c>
      <c r="H621" s="247">
        <v>71</v>
      </c>
      <c r="I621" s="246" t="s">
        <v>1215</v>
      </c>
      <c r="J621" s="247">
        <v>58</v>
      </c>
      <c r="K621" s="246" t="s">
        <v>2295</v>
      </c>
      <c r="L621" s="246" t="s">
        <v>2311</v>
      </c>
      <c r="M621" s="246">
        <v>5</v>
      </c>
      <c r="N621" s="246"/>
      <c r="O621" s="246" t="s">
        <v>3457</v>
      </c>
      <c r="P621" s="246" t="s">
        <v>6437</v>
      </c>
      <c r="Q621" s="246" t="s">
        <v>3454</v>
      </c>
      <c r="R621" s="248"/>
    </row>
    <row r="622" spans="1:18" x14ac:dyDescent="0.7">
      <c r="A622" s="246" t="s">
        <v>3458</v>
      </c>
      <c r="B622" s="246" t="s">
        <v>3459</v>
      </c>
      <c r="C622" s="246" t="s">
        <v>1543</v>
      </c>
      <c r="D622" s="246" t="s">
        <v>3460</v>
      </c>
      <c r="E622" s="246">
        <v>5</v>
      </c>
      <c r="F622" s="246" t="s">
        <v>2309</v>
      </c>
      <c r="G622" s="246" t="s">
        <v>2310</v>
      </c>
      <c r="H622" s="247">
        <v>71</v>
      </c>
      <c r="I622" s="246" t="s">
        <v>1215</v>
      </c>
      <c r="J622" s="247">
        <v>59</v>
      </c>
      <c r="K622" s="246" t="s">
        <v>2295</v>
      </c>
      <c r="L622" s="246" t="s">
        <v>2311</v>
      </c>
      <c r="M622" s="246">
        <v>6</v>
      </c>
      <c r="N622" s="246"/>
      <c r="O622" s="246" t="s">
        <v>3461</v>
      </c>
      <c r="P622" s="246" t="s">
        <v>6436</v>
      </c>
      <c r="Q622" s="246" t="s">
        <v>3458</v>
      </c>
      <c r="R622" s="248"/>
    </row>
    <row r="623" spans="1:18" x14ac:dyDescent="0.7">
      <c r="A623" s="246" t="s">
        <v>3462</v>
      </c>
      <c r="B623" s="246" t="s">
        <v>3463</v>
      </c>
      <c r="C623" s="246" t="s">
        <v>1544</v>
      </c>
      <c r="D623" s="246" t="s">
        <v>3464</v>
      </c>
      <c r="E623" s="246">
        <v>5</v>
      </c>
      <c r="F623" s="246" t="s">
        <v>2309</v>
      </c>
      <c r="G623" s="246" t="s">
        <v>2310</v>
      </c>
      <c r="H623" s="247">
        <v>71</v>
      </c>
      <c r="I623" s="246" t="s">
        <v>1215</v>
      </c>
      <c r="J623" s="247">
        <v>44</v>
      </c>
      <c r="K623" s="246" t="s">
        <v>2295</v>
      </c>
      <c r="L623" s="246" t="s">
        <v>2311</v>
      </c>
      <c r="M623" s="246">
        <v>6</v>
      </c>
      <c r="N623" s="246"/>
      <c r="O623" s="246" t="s">
        <v>3465</v>
      </c>
      <c r="P623" s="246" t="s">
        <v>6436</v>
      </c>
      <c r="Q623" s="246" t="s">
        <v>3462</v>
      </c>
      <c r="R623" s="248"/>
    </row>
    <row r="624" spans="1:18" x14ac:dyDescent="0.7">
      <c r="A624" s="246" t="s">
        <v>3466</v>
      </c>
      <c r="B624" s="246" t="s">
        <v>3467</v>
      </c>
      <c r="C624" s="246" t="s">
        <v>1545</v>
      </c>
      <c r="D624" s="246" t="s">
        <v>3468</v>
      </c>
      <c r="E624" s="246">
        <v>5</v>
      </c>
      <c r="F624" s="246" t="s">
        <v>2309</v>
      </c>
      <c r="G624" s="246" t="s">
        <v>2310</v>
      </c>
      <c r="H624" s="247">
        <v>71</v>
      </c>
      <c r="I624" s="246" t="s">
        <v>1215</v>
      </c>
      <c r="J624" s="247">
        <v>56</v>
      </c>
      <c r="K624" s="246" t="s">
        <v>2295</v>
      </c>
      <c r="L624" s="246" t="s">
        <v>2311</v>
      </c>
      <c r="M624" s="246">
        <v>5</v>
      </c>
      <c r="N624" s="246"/>
      <c r="O624" s="246" t="s">
        <v>3469</v>
      </c>
      <c r="P624" s="246" t="s">
        <v>6437</v>
      </c>
      <c r="Q624" s="246" t="s">
        <v>3466</v>
      </c>
      <c r="R624" s="248"/>
    </row>
    <row r="625" spans="1:18" x14ac:dyDescent="0.7">
      <c r="A625" s="246" t="s">
        <v>3470</v>
      </c>
      <c r="B625" s="246" t="s">
        <v>3471</v>
      </c>
      <c r="C625" s="246" t="s">
        <v>1546</v>
      </c>
      <c r="D625" s="246" t="s">
        <v>3472</v>
      </c>
      <c r="E625" s="246">
        <v>5</v>
      </c>
      <c r="F625" s="246" t="s">
        <v>2309</v>
      </c>
      <c r="G625" s="246" t="s">
        <v>2310</v>
      </c>
      <c r="H625" s="247">
        <v>71</v>
      </c>
      <c r="I625" s="246" t="s">
        <v>1215</v>
      </c>
      <c r="J625" s="247">
        <v>33</v>
      </c>
      <c r="K625" s="246" t="s">
        <v>2295</v>
      </c>
      <c r="L625" s="246" t="s">
        <v>2311</v>
      </c>
      <c r="M625" s="246">
        <v>5</v>
      </c>
      <c r="N625" s="246"/>
      <c r="O625" s="246" t="s">
        <v>3473</v>
      </c>
      <c r="P625" s="246" t="s">
        <v>6437</v>
      </c>
      <c r="Q625" s="246" t="s">
        <v>3470</v>
      </c>
      <c r="R625" s="248"/>
    </row>
    <row r="626" spans="1:18" x14ac:dyDescent="0.7">
      <c r="A626" s="246" t="s">
        <v>3490</v>
      </c>
      <c r="B626" s="246" t="s">
        <v>3491</v>
      </c>
      <c r="C626" s="246" t="s">
        <v>1591</v>
      </c>
      <c r="D626" s="246" t="s">
        <v>3492</v>
      </c>
      <c r="E626" s="246">
        <v>5</v>
      </c>
      <c r="F626" s="246" t="s">
        <v>2309</v>
      </c>
      <c r="G626" s="246" t="s">
        <v>2310</v>
      </c>
      <c r="H626" s="247">
        <v>72</v>
      </c>
      <c r="I626" s="246" t="s">
        <v>1222</v>
      </c>
      <c r="J626" s="247">
        <v>109</v>
      </c>
      <c r="K626" s="246" t="s">
        <v>2303</v>
      </c>
      <c r="L626" s="246" t="s">
        <v>2316</v>
      </c>
      <c r="M626" s="246">
        <v>10</v>
      </c>
      <c r="N626" s="246"/>
      <c r="O626" s="246" t="s">
        <v>3493</v>
      </c>
      <c r="P626" s="246" t="s">
        <v>6433</v>
      </c>
      <c r="Q626" s="246" t="s">
        <v>3490</v>
      </c>
      <c r="R626" s="248"/>
    </row>
    <row r="627" spans="1:18" x14ac:dyDescent="0.7">
      <c r="A627" s="246" t="s">
        <v>3494</v>
      </c>
      <c r="B627" s="246" t="s">
        <v>3495</v>
      </c>
      <c r="C627" s="246" t="s">
        <v>1592</v>
      </c>
      <c r="D627" s="246" t="s">
        <v>3496</v>
      </c>
      <c r="E627" s="246">
        <v>5</v>
      </c>
      <c r="F627" s="246" t="s">
        <v>2309</v>
      </c>
      <c r="G627" s="246" t="s">
        <v>2310</v>
      </c>
      <c r="H627" s="247">
        <v>72</v>
      </c>
      <c r="I627" s="246" t="s">
        <v>1222</v>
      </c>
      <c r="J627" s="247">
        <v>111</v>
      </c>
      <c r="K627" s="246" t="s">
        <v>2303</v>
      </c>
      <c r="L627" s="246" t="s">
        <v>2316</v>
      </c>
      <c r="M627" s="246">
        <v>10</v>
      </c>
      <c r="N627" s="246"/>
      <c r="O627" s="246" t="s">
        <v>3497</v>
      </c>
      <c r="P627" s="246" t="s">
        <v>6433</v>
      </c>
      <c r="Q627" s="246" t="s">
        <v>3494</v>
      </c>
      <c r="R627" s="248"/>
    </row>
    <row r="628" spans="1:18" x14ac:dyDescent="0.7">
      <c r="A628" s="246" t="s">
        <v>3498</v>
      </c>
      <c r="B628" s="246" t="s">
        <v>3499</v>
      </c>
      <c r="C628" s="246" t="s">
        <v>1593</v>
      </c>
      <c r="D628" s="246" t="s">
        <v>3500</v>
      </c>
      <c r="E628" s="246">
        <v>5</v>
      </c>
      <c r="F628" s="246" t="s">
        <v>2309</v>
      </c>
      <c r="G628" s="246" t="s">
        <v>2310</v>
      </c>
      <c r="H628" s="247">
        <v>72</v>
      </c>
      <c r="I628" s="246" t="s">
        <v>1222</v>
      </c>
      <c r="J628" s="247">
        <v>60</v>
      </c>
      <c r="K628" s="246" t="s">
        <v>2303</v>
      </c>
      <c r="L628" s="246" t="s">
        <v>2311</v>
      </c>
      <c r="M628" s="246">
        <v>6</v>
      </c>
      <c r="N628" s="246"/>
      <c r="O628" s="246" t="s">
        <v>3501</v>
      </c>
      <c r="P628" s="246" t="s">
        <v>6436</v>
      </c>
      <c r="Q628" s="246" t="s">
        <v>3498</v>
      </c>
      <c r="R628" s="248"/>
    </row>
    <row r="629" spans="1:18" x14ac:dyDescent="0.7">
      <c r="A629" s="246" t="s">
        <v>3502</v>
      </c>
      <c r="B629" s="246" t="s">
        <v>3503</v>
      </c>
      <c r="C629" s="246" t="s">
        <v>1594</v>
      </c>
      <c r="D629" s="246" t="s">
        <v>3504</v>
      </c>
      <c r="E629" s="246">
        <v>5</v>
      </c>
      <c r="F629" s="246" t="s">
        <v>2309</v>
      </c>
      <c r="G629" s="246" t="s">
        <v>2310</v>
      </c>
      <c r="H629" s="247">
        <v>72</v>
      </c>
      <c r="I629" s="246" t="s">
        <v>1222</v>
      </c>
      <c r="J629" s="247">
        <v>60</v>
      </c>
      <c r="K629" s="246" t="s">
        <v>2303</v>
      </c>
      <c r="L629" s="246" t="s">
        <v>2311</v>
      </c>
      <c r="M629" s="246">
        <v>6</v>
      </c>
      <c r="N629" s="246"/>
      <c r="O629" s="246" t="s">
        <v>3505</v>
      </c>
      <c r="P629" s="246" t="s">
        <v>6436</v>
      </c>
      <c r="Q629" s="246" t="s">
        <v>3502</v>
      </c>
      <c r="R629" s="248"/>
    </row>
    <row r="630" spans="1:18" x14ac:dyDescent="0.7">
      <c r="A630" s="246" t="s">
        <v>3506</v>
      </c>
      <c r="B630" s="246" t="s">
        <v>3507</v>
      </c>
      <c r="C630" s="246" t="s">
        <v>1595</v>
      </c>
      <c r="D630" s="246" t="s">
        <v>3508</v>
      </c>
      <c r="E630" s="246">
        <v>5</v>
      </c>
      <c r="F630" s="246" t="s">
        <v>2309</v>
      </c>
      <c r="G630" s="246" t="s">
        <v>2310</v>
      </c>
      <c r="H630" s="247">
        <v>72</v>
      </c>
      <c r="I630" s="246" t="s">
        <v>1222</v>
      </c>
      <c r="J630" s="247">
        <v>60</v>
      </c>
      <c r="K630" s="246" t="s">
        <v>2303</v>
      </c>
      <c r="L630" s="246" t="s">
        <v>2311</v>
      </c>
      <c r="M630" s="246">
        <v>6</v>
      </c>
      <c r="N630" s="246"/>
      <c r="O630" s="246" t="s">
        <v>3509</v>
      </c>
      <c r="P630" s="246" t="s">
        <v>6436</v>
      </c>
      <c r="Q630" s="246" t="s">
        <v>3506</v>
      </c>
      <c r="R630" s="248"/>
    </row>
    <row r="631" spans="1:18" x14ac:dyDescent="0.7">
      <c r="A631" s="246" t="s">
        <v>3510</v>
      </c>
      <c r="B631" s="246" t="s">
        <v>3511</v>
      </c>
      <c r="C631" s="246" t="s">
        <v>1596</v>
      </c>
      <c r="D631" s="246" t="s">
        <v>3512</v>
      </c>
      <c r="E631" s="246">
        <v>5</v>
      </c>
      <c r="F631" s="246" t="s">
        <v>2309</v>
      </c>
      <c r="G631" s="246" t="s">
        <v>2310</v>
      </c>
      <c r="H631" s="247">
        <v>72</v>
      </c>
      <c r="I631" s="246" t="s">
        <v>1222</v>
      </c>
      <c r="J631" s="247">
        <v>60</v>
      </c>
      <c r="K631" s="246" t="s">
        <v>2303</v>
      </c>
      <c r="L631" s="246" t="s">
        <v>2311</v>
      </c>
      <c r="M631" s="246">
        <v>6</v>
      </c>
      <c r="N631" s="246"/>
      <c r="O631" s="246" t="s">
        <v>3513</v>
      </c>
      <c r="P631" s="246" t="s">
        <v>6436</v>
      </c>
      <c r="Q631" s="246" t="s">
        <v>3510</v>
      </c>
      <c r="R631" s="248"/>
    </row>
    <row r="632" spans="1:18" x14ac:dyDescent="0.7">
      <c r="A632" s="246" t="s">
        <v>3514</v>
      </c>
      <c r="B632" s="246" t="s">
        <v>3515</v>
      </c>
      <c r="C632" s="246" t="s">
        <v>1597</v>
      </c>
      <c r="D632" s="246" t="s">
        <v>3516</v>
      </c>
      <c r="E632" s="246">
        <v>5</v>
      </c>
      <c r="F632" s="246" t="s">
        <v>2309</v>
      </c>
      <c r="G632" s="246" t="s">
        <v>2310</v>
      </c>
      <c r="H632" s="247">
        <v>72</v>
      </c>
      <c r="I632" s="246" t="s">
        <v>1222</v>
      </c>
      <c r="J632" s="247">
        <v>137</v>
      </c>
      <c r="K632" s="246" t="s">
        <v>2303</v>
      </c>
      <c r="L632" s="246" t="s">
        <v>2345</v>
      </c>
      <c r="M632" s="246">
        <v>13</v>
      </c>
      <c r="N632" s="246"/>
      <c r="O632" s="246" t="s">
        <v>3517</v>
      </c>
      <c r="P632" s="246" t="s">
        <v>6432</v>
      </c>
      <c r="Q632" s="246" t="s">
        <v>3514</v>
      </c>
      <c r="R632" s="248"/>
    </row>
    <row r="633" spans="1:18" x14ac:dyDescent="0.7">
      <c r="A633" s="246" t="s">
        <v>3518</v>
      </c>
      <c r="B633" s="246" t="s">
        <v>3519</v>
      </c>
      <c r="C633" s="246" t="s">
        <v>1598</v>
      </c>
      <c r="D633" s="246" t="s">
        <v>3520</v>
      </c>
      <c r="E633" s="246">
        <v>5</v>
      </c>
      <c r="F633" s="246" t="s">
        <v>2309</v>
      </c>
      <c r="G633" s="246" t="s">
        <v>2310</v>
      </c>
      <c r="H633" s="247">
        <v>72</v>
      </c>
      <c r="I633" s="246" t="s">
        <v>1222</v>
      </c>
      <c r="J633" s="247">
        <v>60</v>
      </c>
      <c r="K633" s="246" t="s">
        <v>2303</v>
      </c>
      <c r="L633" s="246" t="s">
        <v>2311</v>
      </c>
      <c r="M633" s="246">
        <v>5</v>
      </c>
      <c r="N633" s="246"/>
      <c r="O633" s="246" t="s">
        <v>3521</v>
      </c>
      <c r="P633" s="246" t="s">
        <v>6437</v>
      </c>
      <c r="Q633" s="246" t="s">
        <v>3518</v>
      </c>
      <c r="R633" s="248"/>
    </row>
    <row r="634" spans="1:18" x14ac:dyDescent="0.7">
      <c r="A634" s="246" t="s">
        <v>3525</v>
      </c>
      <c r="B634" s="246" t="s">
        <v>3526</v>
      </c>
      <c r="C634" s="246" t="s">
        <v>1550</v>
      </c>
      <c r="D634" s="246" t="s">
        <v>3527</v>
      </c>
      <c r="E634" s="246">
        <v>5</v>
      </c>
      <c r="F634" s="246" t="s">
        <v>2309</v>
      </c>
      <c r="G634" s="246" t="s">
        <v>2310</v>
      </c>
      <c r="H634" s="247">
        <v>73</v>
      </c>
      <c r="I634" s="246" t="s">
        <v>1216</v>
      </c>
      <c r="J634" s="247">
        <v>120</v>
      </c>
      <c r="K634" s="246" t="s">
        <v>2303</v>
      </c>
      <c r="L634" s="246" t="s">
        <v>2345</v>
      </c>
      <c r="M634" s="246">
        <v>13</v>
      </c>
      <c r="N634" s="246"/>
      <c r="O634" s="246" t="s">
        <v>3528</v>
      </c>
      <c r="P634" s="246" t="s">
        <v>6432</v>
      </c>
      <c r="Q634" s="246" t="s">
        <v>3525</v>
      </c>
      <c r="R634" s="248"/>
    </row>
    <row r="635" spans="1:18" x14ac:dyDescent="0.7">
      <c r="A635" s="246" t="s">
        <v>3529</v>
      </c>
      <c r="B635" s="246" t="s">
        <v>3530</v>
      </c>
      <c r="C635" s="246" t="s">
        <v>1551</v>
      </c>
      <c r="D635" s="246" t="s">
        <v>3531</v>
      </c>
      <c r="E635" s="246">
        <v>5</v>
      </c>
      <c r="F635" s="246" t="s">
        <v>2309</v>
      </c>
      <c r="G635" s="246" t="s">
        <v>2310</v>
      </c>
      <c r="H635" s="247">
        <v>73</v>
      </c>
      <c r="I635" s="246" t="s">
        <v>1216</v>
      </c>
      <c r="J635" s="247">
        <v>60</v>
      </c>
      <c r="K635" s="246" t="s">
        <v>2303</v>
      </c>
      <c r="L635" s="246" t="s">
        <v>2311</v>
      </c>
      <c r="M635" s="246">
        <v>6</v>
      </c>
      <c r="N635" s="246"/>
      <c r="O635" s="246" t="s">
        <v>3532</v>
      </c>
      <c r="P635" s="246" t="s">
        <v>6436</v>
      </c>
      <c r="Q635" s="246" t="s">
        <v>3529</v>
      </c>
      <c r="R635" s="248"/>
    </row>
    <row r="636" spans="1:18" x14ac:dyDescent="0.7">
      <c r="A636" s="246" t="s">
        <v>3533</v>
      </c>
      <c r="B636" s="246" t="s">
        <v>3534</v>
      </c>
      <c r="C636" s="246" t="s">
        <v>1552</v>
      </c>
      <c r="D636" s="246" t="s">
        <v>3535</v>
      </c>
      <c r="E636" s="246">
        <v>5</v>
      </c>
      <c r="F636" s="246" t="s">
        <v>2309</v>
      </c>
      <c r="G636" s="246" t="s">
        <v>2310</v>
      </c>
      <c r="H636" s="247">
        <v>73</v>
      </c>
      <c r="I636" s="246" t="s">
        <v>1216</v>
      </c>
      <c r="J636" s="247">
        <v>58</v>
      </c>
      <c r="K636" s="246" t="s">
        <v>2303</v>
      </c>
      <c r="L636" s="246" t="s">
        <v>2311</v>
      </c>
      <c r="M636" s="246">
        <v>6</v>
      </c>
      <c r="N636" s="246"/>
      <c r="O636" s="246" t="s">
        <v>3536</v>
      </c>
      <c r="P636" s="246" t="s">
        <v>6436</v>
      </c>
      <c r="Q636" s="246" t="s">
        <v>3533</v>
      </c>
      <c r="R636" s="248"/>
    </row>
    <row r="637" spans="1:18" x14ac:dyDescent="0.7">
      <c r="A637" s="246" t="s">
        <v>3537</v>
      </c>
      <c r="B637" s="246" t="s">
        <v>3538</v>
      </c>
      <c r="C637" s="246" t="s">
        <v>1553</v>
      </c>
      <c r="D637" s="246" t="s">
        <v>3539</v>
      </c>
      <c r="E637" s="246">
        <v>5</v>
      </c>
      <c r="F637" s="246" t="s">
        <v>2309</v>
      </c>
      <c r="G637" s="246" t="s">
        <v>2310</v>
      </c>
      <c r="H637" s="247">
        <v>73</v>
      </c>
      <c r="I637" s="246" t="s">
        <v>1216</v>
      </c>
      <c r="J637" s="247">
        <v>38</v>
      </c>
      <c r="K637" s="246" t="s">
        <v>2303</v>
      </c>
      <c r="L637" s="246" t="s">
        <v>2311</v>
      </c>
      <c r="M637" s="246">
        <v>6</v>
      </c>
      <c r="N637" s="246"/>
      <c r="O637" s="246" t="s">
        <v>3540</v>
      </c>
      <c r="P637" s="246" t="s">
        <v>6436</v>
      </c>
      <c r="Q637" s="246" t="s">
        <v>3537</v>
      </c>
      <c r="R637" s="248"/>
    </row>
    <row r="638" spans="1:18" x14ac:dyDescent="0.7">
      <c r="A638" s="246" t="s">
        <v>3541</v>
      </c>
      <c r="B638" s="246" t="s">
        <v>3542</v>
      </c>
      <c r="C638" s="246" t="s">
        <v>1554</v>
      </c>
      <c r="D638" s="246" t="s">
        <v>3543</v>
      </c>
      <c r="E638" s="246">
        <v>5</v>
      </c>
      <c r="F638" s="246" t="s">
        <v>2309</v>
      </c>
      <c r="G638" s="246" t="s">
        <v>2310</v>
      </c>
      <c r="H638" s="247">
        <v>73</v>
      </c>
      <c r="I638" s="246" t="s">
        <v>1216</v>
      </c>
      <c r="J638" s="247">
        <v>79</v>
      </c>
      <c r="K638" s="246" t="s">
        <v>2303</v>
      </c>
      <c r="L638" s="246" t="s">
        <v>2316</v>
      </c>
      <c r="M638" s="246">
        <v>9</v>
      </c>
      <c r="N638" s="246"/>
      <c r="O638" s="246" t="s">
        <v>3544</v>
      </c>
      <c r="P638" s="246" t="s">
        <v>6435</v>
      </c>
      <c r="Q638" s="246" t="s">
        <v>3541</v>
      </c>
      <c r="R638" s="248"/>
    </row>
    <row r="639" spans="1:18" x14ac:dyDescent="0.7">
      <c r="A639" s="246" t="s">
        <v>3545</v>
      </c>
      <c r="B639" s="246" t="s">
        <v>3546</v>
      </c>
      <c r="C639" s="246" t="s">
        <v>1555</v>
      </c>
      <c r="D639" s="246" t="s">
        <v>3547</v>
      </c>
      <c r="E639" s="246">
        <v>5</v>
      </c>
      <c r="F639" s="246" t="s">
        <v>2309</v>
      </c>
      <c r="G639" s="246" t="s">
        <v>2310</v>
      </c>
      <c r="H639" s="247">
        <v>73</v>
      </c>
      <c r="I639" s="246" t="s">
        <v>1216</v>
      </c>
      <c r="J639" s="247">
        <v>136</v>
      </c>
      <c r="K639" s="246" t="s">
        <v>2303</v>
      </c>
      <c r="L639" s="246" t="s">
        <v>2345</v>
      </c>
      <c r="M639" s="246">
        <v>13</v>
      </c>
      <c r="N639" s="246"/>
      <c r="O639" s="246" t="s">
        <v>3548</v>
      </c>
      <c r="P639" s="246" t="s">
        <v>6432</v>
      </c>
      <c r="Q639" s="246" t="s">
        <v>3545</v>
      </c>
      <c r="R639" s="248"/>
    </row>
    <row r="640" spans="1:18" x14ac:dyDescent="0.7">
      <c r="A640" s="246" t="s">
        <v>3549</v>
      </c>
      <c r="B640" s="246" t="s">
        <v>3550</v>
      </c>
      <c r="C640" s="246" t="s">
        <v>1556</v>
      </c>
      <c r="D640" s="246" t="s">
        <v>3551</v>
      </c>
      <c r="E640" s="246">
        <v>5</v>
      </c>
      <c r="F640" s="246" t="s">
        <v>2309</v>
      </c>
      <c r="G640" s="246" t="s">
        <v>2310</v>
      </c>
      <c r="H640" s="247">
        <v>73</v>
      </c>
      <c r="I640" s="246" t="s">
        <v>1216</v>
      </c>
      <c r="J640" s="247">
        <v>34</v>
      </c>
      <c r="K640" s="246" t="s">
        <v>2303</v>
      </c>
      <c r="L640" s="246" t="s">
        <v>2311</v>
      </c>
      <c r="M640" s="246">
        <v>5</v>
      </c>
      <c r="N640" s="246"/>
      <c r="O640" s="246" t="s">
        <v>3552</v>
      </c>
      <c r="P640" s="246" t="s">
        <v>6437</v>
      </c>
      <c r="Q640" s="246" t="s">
        <v>3549</v>
      </c>
      <c r="R640" s="248"/>
    </row>
    <row r="641" spans="1:18" x14ac:dyDescent="0.7">
      <c r="A641" s="246" t="s">
        <v>3560</v>
      </c>
      <c r="B641" s="246" t="s">
        <v>3561</v>
      </c>
      <c r="C641" s="246" t="s">
        <v>1588</v>
      </c>
      <c r="D641" s="246" t="s">
        <v>3562</v>
      </c>
      <c r="E641" s="246">
        <v>5</v>
      </c>
      <c r="F641" s="246" t="s">
        <v>2301</v>
      </c>
      <c r="G641" s="246" t="s">
        <v>2302</v>
      </c>
      <c r="H641" s="247">
        <v>74</v>
      </c>
      <c r="I641" s="246" t="s">
        <v>1221</v>
      </c>
      <c r="J641" s="247">
        <v>300</v>
      </c>
      <c r="K641" s="246" t="s">
        <v>2295</v>
      </c>
      <c r="L641" s="246" t="s">
        <v>2304</v>
      </c>
      <c r="M641" s="246">
        <v>15</v>
      </c>
      <c r="N641" s="246"/>
      <c r="O641" s="246" t="s">
        <v>3563</v>
      </c>
      <c r="P641" s="246" t="s">
        <v>6429</v>
      </c>
      <c r="Q641" s="246" t="s">
        <v>3560</v>
      </c>
      <c r="R641" s="248"/>
    </row>
    <row r="642" spans="1:18" x14ac:dyDescent="0.7">
      <c r="A642" s="246" t="s">
        <v>3568</v>
      </c>
      <c r="B642" s="246" t="s">
        <v>3569</v>
      </c>
      <c r="C642" s="246" t="s">
        <v>1585</v>
      </c>
      <c r="D642" s="246" t="s">
        <v>3570</v>
      </c>
      <c r="E642" s="246">
        <v>5</v>
      </c>
      <c r="F642" s="246" t="s">
        <v>2309</v>
      </c>
      <c r="G642" s="246" t="s">
        <v>2310</v>
      </c>
      <c r="H642" s="247">
        <v>75</v>
      </c>
      <c r="I642" s="246" t="s">
        <v>1220</v>
      </c>
      <c r="J642" s="247">
        <v>90</v>
      </c>
      <c r="K642" s="246" t="s">
        <v>2303</v>
      </c>
      <c r="L642" s="246" t="s">
        <v>2316</v>
      </c>
      <c r="M642" s="246">
        <v>9</v>
      </c>
      <c r="N642" s="246"/>
      <c r="O642" s="246" t="s">
        <v>3571</v>
      </c>
      <c r="P642" s="246" t="s">
        <v>6435</v>
      </c>
      <c r="Q642" s="246" t="s">
        <v>3568</v>
      </c>
      <c r="R642" s="248"/>
    </row>
    <row r="643" spans="1:18" x14ac:dyDescent="0.7">
      <c r="A643" s="246" t="s">
        <v>3572</v>
      </c>
      <c r="B643" s="246" t="s">
        <v>3573</v>
      </c>
      <c r="C643" s="246" t="s">
        <v>1586</v>
      </c>
      <c r="D643" s="246" t="s">
        <v>3574</v>
      </c>
      <c r="E643" s="246">
        <v>5</v>
      </c>
      <c r="F643" s="246" t="s">
        <v>2309</v>
      </c>
      <c r="G643" s="246" t="s">
        <v>2310</v>
      </c>
      <c r="H643" s="247">
        <v>75</v>
      </c>
      <c r="I643" s="246" t="s">
        <v>1220</v>
      </c>
      <c r="J643" s="247">
        <v>30</v>
      </c>
      <c r="K643" s="246" t="s">
        <v>2303</v>
      </c>
      <c r="L643" s="246" t="s">
        <v>2311</v>
      </c>
      <c r="M643" s="246">
        <v>6</v>
      </c>
      <c r="N643" s="246"/>
      <c r="O643" s="246" t="s">
        <v>3575</v>
      </c>
      <c r="P643" s="246" t="s">
        <v>6436</v>
      </c>
      <c r="Q643" s="246" t="s">
        <v>3572</v>
      </c>
      <c r="R643" s="248"/>
    </row>
    <row r="644" spans="1:18" x14ac:dyDescent="0.7">
      <c r="A644" s="246" t="s">
        <v>3580</v>
      </c>
      <c r="B644" s="246" t="s">
        <v>3581</v>
      </c>
      <c r="C644" s="246" t="s">
        <v>1567</v>
      </c>
      <c r="D644" s="246" t="s">
        <v>3582</v>
      </c>
      <c r="E644" s="246">
        <v>5</v>
      </c>
      <c r="F644" s="246" t="s">
        <v>2309</v>
      </c>
      <c r="G644" s="246" t="s">
        <v>2310</v>
      </c>
      <c r="H644" s="247">
        <v>76</v>
      </c>
      <c r="I644" s="246" t="s">
        <v>1218</v>
      </c>
      <c r="J644" s="247">
        <v>33</v>
      </c>
      <c r="K644" s="246" t="s">
        <v>2295</v>
      </c>
      <c r="L644" s="246" t="s">
        <v>2311</v>
      </c>
      <c r="M644" s="246">
        <v>5</v>
      </c>
      <c r="N644" s="246"/>
      <c r="O644" s="246" t="s">
        <v>3583</v>
      </c>
      <c r="P644" s="246" t="s">
        <v>6437</v>
      </c>
      <c r="Q644" s="246" t="s">
        <v>3580</v>
      </c>
      <c r="R644" s="248"/>
    </row>
    <row r="645" spans="1:18" x14ac:dyDescent="0.7">
      <c r="A645" s="246" t="s">
        <v>3584</v>
      </c>
      <c r="B645" s="246" t="s">
        <v>3585</v>
      </c>
      <c r="C645" s="246" t="s">
        <v>1568</v>
      </c>
      <c r="D645" s="246" t="s">
        <v>3586</v>
      </c>
      <c r="E645" s="246">
        <v>5</v>
      </c>
      <c r="F645" s="246" t="s">
        <v>2309</v>
      </c>
      <c r="G645" s="246" t="s">
        <v>2310</v>
      </c>
      <c r="H645" s="247">
        <v>76</v>
      </c>
      <c r="I645" s="246" t="s">
        <v>1218</v>
      </c>
      <c r="J645" s="247">
        <v>30</v>
      </c>
      <c r="K645" s="246" t="s">
        <v>2295</v>
      </c>
      <c r="L645" s="246" t="s">
        <v>2311</v>
      </c>
      <c r="M645" s="246">
        <v>5</v>
      </c>
      <c r="N645" s="246"/>
      <c r="O645" s="246" t="s">
        <v>3587</v>
      </c>
      <c r="P645" s="246" t="s">
        <v>6437</v>
      </c>
      <c r="Q645" s="246" t="s">
        <v>3584</v>
      </c>
      <c r="R645" s="248"/>
    </row>
    <row r="646" spans="1:18" x14ac:dyDescent="0.7">
      <c r="A646" s="246" t="s">
        <v>3588</v>
      </c>
      <c r="B646" s="246" t="s">
        <v>3589</v>
      </c>
      <c r="C646" s="246" t="s">
        <v>1569</v>
      </c>
      <c r="D646" s="246" t="s">
        <v>3590</v>
      </c>
      <c r="E646" s="246">
        <v>5</v>
      </c>
      <c r="F646" s="246" t="s">
        <v>2309</v>
      </c>
      <c r="G646" s="246" t="s">
        <v>2310</v>
      </c>
      <c r="H646" s="247">
        <v>76</v>
      </c>
      <c r="I646" s="246" t="s">
        <v>1218</v>
      </c>
      <c r="J646" s="247">
        <v>114</v>
      </c>
      <c r="K646" s="246" t="s">
        <v>2295</v>
      </c>
      <c r="L646" s="246" t="s">
        <v>2345</v>
      </c>
      <c r="M646" s="246">
        <v>13</v>
      </c>
      <c r="N646" s="246"/>
      <c r="O646" s="246" t="s">
        <v>3591</v>
      </c>
      <c r="P646" s="246" t="s">
        <v>6432</v>
      </c>
      <c r="Q646" s="246" t="s">
        <v>3588</v>
      </c>
      <c r="R646" s="248"/>
    </row>
    <row r="647" spans="1:18" x14ac:dyDescent="0.7">
      <c r="A647" s="246" t="s">
        <v>3592</v>
      </c>
      <c r="B647" s="246" t="s">
        <v>3593</v>
      </c>
      <c r="C647" s="246" t="s">
        <v>1570</v>
      </c>
      <c r="D647" s="246" t="s">
        <v>3594</v>
      </c>
      <c r="E647" s="246">
        <v>5</v>
      </c>
      <c r="F647" s="246" t="s">
        <v>2309</v>
      </c>
      <c r="G647" s="246" t="s">
        <v>2310</v>
      </c>
      <c r="H647" s="247">
        <v>76</v>
      </c>
      <c r="I647" s="246" t="s">
        <v>1218</v>
      </c>
      <c r="J647" s="247">
        <v>77</v>
      </c>
      <c r="K647" s="246" t="s">
        <v>2295</v>
      </c>
      <c r="L647" s="246" t="s">
        <v>2316</v>
      </c>
      <c r="M647" s="246">
        <v>10</v>
      </c>
      <c r="N647" s="246"/>
      <c r="O647" s="246" t="s">
        <v>3595</v>
      </c>
      <c r="P647" s="246" t="s">
        <v>6433</v>
      </c>
      <c r="Q647" s="246" t="s">
        <v>3592</v>
      </c>
      <c r="R647" s="248"/>
    </row>
    <row r="648" spans="1:18" x14ac:dyDescent="0.7">
      <c r="A648" s="246" t="s">
        <v>3596</v>
      </c>
      <c r="B648" s="246" t="s">
        <v>3597</v>
      </c>
      <c r="C648" s="246" t="s">
        <v>1571</v>
      </c>
      <c r="D648" s="246" t="s">
        <v>3598</v>
      </c>
      <c r="E648" s="246">
        <v>5</v>
      </c>
      <c r="F648" s="246" t="s">
        <v>2309</v>
      </c>
      <c r="G648" s="246" t="s">
        <v>2310</v>
      </c>
      <c r="H648" s="247">
        <v>76</v>
      </c>
      <c r="I648" s="246" t="s">
        <v>1218</v>
      </c>
      <c r="J648" s="247">
        <v>35</v>
      </c>
      <c r="K648" s="246" t="s">
        <v>2295</v>
      </c>
      <c r="L648" s="246" t="s">
        <v>2311</v>
      </c>
      <c r="M648" s="246">
        <v>6</v>
      </c>
      <c r="N648" s="246"/>
      <c r="O648" s="246" t="s">
        <v>3599</v>
      </c>
      <c r="P648" s="246" t="s">
        <v>6436</v>
      </c>
      <c r="Q648" s="246" t="s">
        <v>3596</v>
      </c>
      <c r="R648" s="248"/>
    </row>
    <row r="649" spans="1:18" x14ac:dyDescent="0.7">
      <c r="A649" s="246" t="s">
        <v>3600</v>
      </c>
      <c r="B649" s="246" t="s">
        <v>3601</v>
      </c>
      <c r="C649" s="246" t="s">
        <v>1572</v>
      </c>
      <c r="D649" s="246" t="s">
        <v>3602</v>
      </c>
      <c r="E649" s="246">
        <v>5</v>
      </c>
      <c r="F649" s="246" t="s">
        <v>2309</v>
      </c>
      <c r="G649" s="246" t="s">
        <v>2310</v>
      </c>
      <c r="H649" s="247">
        <v>76</v>
      </c>
      <c r="I649" s="246" t="s">
        <v>1218</v>
      </c>
      <c r="J649" s="247">
        <v>30</v>
      </c>
      <c r="K649" s="246" t="s">
        <v>2295</v>
      </c>
      <c r="L649" s="246" t="s">
        <v>2311</v>
      </c>
      <c r="M649" s="246">
        <v>6</v>
      </c>
      <c r="N649" s="246"/>
      <c r="O649" s="246" t="s">
        <v>3603</v>
      </c>
      <c r="P649" s="246" t="s">
        <v>6436</v>
      </c>
      <c r="Q649" s="246" t="s">
        <v>3600</v>
      </c>
      <c r="R649" s="248"/>
    </row>
    <row r="650" spans="1:18" x14ac:dyDescent="0.7">
      <c r="A650" s="246" t="s">
        <v>3604</v>
      </c>
      <c r="B650" s="246" t="s">
        <v>3605</v>
      </c>
      <c r="C650" s="246" t="s">
        <v>1573</v>
      </c>
      <c r="D650" s="246" t="s">
        <v>3606</v>
      </c>
      <c r="E650" s="246">
        <v>5</v>
      </c>
      <c r="F650" s="246" t="s">
        <v>2309</v>
      </c>
      <c r="G650" s="246" t="s">
        <v>2310</v>
      </c>
      <c r="H650" s="247">
        <v>76</v>
      </c>
      <c r="I650" s="246" t="s">
        <v>1218</v>
      </c>
      <c r="J650" s="247">
        <v>30</v>
      </c>
      <c r="K650" s="246" t="s">
        <v>2295</v>
      </c>
      <c r="L650" s="246" t="s">
        <v>2311</v>
      </c>
      <c r="M650" s="246">
        <v>5</v>
      </c>
      <c r="N650" s="246"/>
      <c r="O650" s="246" t="s">
        <v>3607</v>
      </c>
      <c r="P650" s="246" t="s">
        <v>6437</v>
      </c>
      <c r="Q650" s="246" t="s">
        <v>3604</v>
      </c>
      <c r="R650" s="248"/>
    </row>
    <row r="651" spans="1:18" x14ac:dyDescent="0.7">
      <c r="A651" s="246" t="s">
        <v>3611</v>
      </c>
      <c r="B651" s="246" t="s">
        <v>3612</v>
      </c>
      <c r="C651" s="246" t="s">
        <v>1559</v>
      </c>
      <c r="D651" s="246" t="s">
        <v>3613</v>
      </c>
      <c r="E651" s="246">
        <v>5</v>
      </c>
      <c r="F651" s="246" t="s">
        <v>2309</v>
      </c>
      <c r="G651" s="246" t="s">
        <v>2310</v>
      </c>
      <c r="H651" s="247">
        <v>77</v>
      </c>
      <c r="I651" s="246" t="s">
        <v>1217</v>
      </c>
      <c r="J651" s="247">
        <v>30</v>
      </c>
      <c r="K651" s="246" t="s">
        <v>2303</v>
      </c>
      <c r="L651" s="246" t="s">
        <v>2311</v>
      </c>
      <c r="M651" s="246">
        <v>6</v>
      </c>
      <c r="N651" s="246"/>
      <c r="O651" s="246" t="s">
        <v>3614</v>
      </c>
      <c r="P651" s="246" t="s">
        <v>6436</v>
      </c>
      <c r="Q651" s="246" t="s">
        <v>3611</v>
      </c>
      <c r="R651" s="248"/>
    </row>
    <row r="652" spans="1:18" x14ac:dyDescent="0.7">
      <c r="A652" s="246" t="s">
        <v>3615</v>
      </c>
      <c r="B652" s="246" t="s">
        <v>3616</v>
      </c>
      <c r="C652" s="246" t="s">
        <v>1560</v>
      </c>
      <c r="D652" s="246" t="s">
        <v>3617</v>
      </c>
      <c r="E652" s="246">
        <v>5</v>
      </c>
      <c r="F652" s="246" t="s">
        <v>2309</v>
      </c>
      <c r="G652" s="246" t="s">
        <v>2310</v>
      </c>
      <c r="H652" s="247">
        <v>77</v>
      </c>
      <c r="I652" s="246" t="s">
        <v>1217</v>
      </c>
      <c r="J652" s="247">
        <v>60</v>
      </c>
      <c r="K652" s="246" t="s">
        <v>2303</v>
      </c>
      <c r="L652" s="246" t="s">
        <v>2311</v>
      </c>
      <c r="M652" s="246">
        <v>6</v>
      </c>
      <c r="N652" s="246"/>
      <c r="O652" s="246" t="s">
        <v>3618</v>
      </c>
      <c r="P652" s="246" t="s">
        <v>6436</v>
      </c>
      <c r="Q652" s="246" t="s">
        <v>3615</v>
      </c>
      <c r="R652" s="248"/>
    </row>
    <row r="653" spans="1:18" x14ac:dyDescent="0.7">
      <c r="A653" s="246" t="s">
        <v>3619</v>
      </c>
      <c r="B653" s="246" t="s">
        <v>3620</v>
      </c>
      <c r="C653" s="246" t="s">
        <v>1561</v>
      </c>
      <c r="D653" s="246" t="s">
        <v>3621</v>
      </c>
      <c r="E653" s="246">
        <v>5</v>
      </c>
      <c r="F653" s="246" t="s">
        <v>2309</v>
      </c>
      <c r="G653" s="246" t="s">
        <v>2310</v>
      </c>
      <c r="H653" s="247">
        <v>77</v>
      </c>
      <c r="I653" s="246" t="s">
        <v>1217</v>
      </c>
      <c r="J653" s="247">
        <v>134</v>
      </c>
      <c r="K653" s="246" t="s">
        <v>2303</v>
      </c>
      <c r="L653" s="246" t="s">
        <v>2345</v>
      </c>
      <c r="M653" s="246">
        <v>13</v>
      </c>
      <c r="N653" s="246"/>
      <c r="O653" s="246" t="s">
        <v>3622</v>
      </c>
      <c r="P653" s="246" t="s">
        <v>6432</v>
      </c>
      <c r="Q653" s="246" t="s">
        <v>3619</v>
      </c>
      <c r="R653" s="248"/>
    </row>
    <row r="654" spans="1:18" x14ac:dyDescent="0.7">
      <c r="A654" s="246" t="s">
        <v>3623</v>
      </c>
      <c r="B654" s="246" t="s">
        <v>3624</v>
      </c>
      <c r="C654" s="246" t="s">
        <v>1562</v>
      </c>
      <c r="D654" s="246" t="s">
        <v>3625</v>
      </c>
      <c r="E654" s="246">
        <v>5</v>
      </c>
      <c r="F654" s="246" t="s">
        <v>2309</v>
      </c>
      <c r="G654" s="246" t="s">
        <v>2310</v>
      </c>
      <c r="H654" s="247">
        <v>77</v>
      </c>
      <c r="I654" s="246" t="s">
        <v>1217</v>
      </c>
      <c r="J654" s="247">
        <v>30</v>
      </c>
      <c r="K654" s="246" t="s">
        <v>2303</v>
      </c>
      <c r="L654" s="246" t="s">
        <v>2311</v>
      </c>
      <c r="M654" s="246">
        <v>5</v>
      </c>
      <c r="N654" s="246"/>
      <c r="O654" s="246" t="s">
        <v>3626</v>
      </c>
      <c r="P654" s="246" t="s">
        <v>6437</v>
      </c>
      <c r="Q654" s="246" t="s">
        <v>3623</v>
      </c>
      <c r="R654" s="248"/>
    </row>
    <row r="655" spans="1:18" x14ac:dyDescent="0.7">
      <c r="A655" s="246" t="s">
        <v>3627</v>
      </c>
      <c r="B655" s="246" t="s">
        <v>3628</v>
      </c>
      <c r="C655" s="246" t="s">
        <v>1563</v>
      </c>
      <c r="D655" s="246" t="s">
        <v>3629</v>
      </c>
      <c r="E655" s="246">
        <v>5</v>
      </c>
      <c r="F655" s="246" t="s">
        <v>2309</v>
      </c>
      <c r="G655" s="246" t="s">
        <v>2310</v>
      </c>
      <c r="H655" s="247">
        <v>77</v>
      </c>
      <c r="I655" s="246" t="s">
        <v>1217</v>
      </c>
      <c r="J655" s="247">
        <v>60</v>
      </c>
      <c r="K655" s="246" t="s">
        <v>2303</v>
      </c>
      <c r="L655" s="246" t="s">
        <v>2311</v>
      </c>
      <c r="M655" s="246">
        <v>6</v>
      </c>
      <c r="N655" s="246"/>
      <c r="O655" s="246" t="s">
        <v>3630</v>
      </c>
      <c r="P655" s="246" t="s">
        <v>6436</v>
      </c>
      <c r="Q655" s="246" t="s">
        <v>3627</v>
      </c>
      <c r="R655" s="248"/>
    </row>
    <row r="656" spans="1:18" x14ac:dyDescent="0.7">
      <c r="A656" s="246" t="s">
        <v>3631</v>
      </c>
      <c r="B656" s="246" t="s">
        <v>3632</v>
      </c>
      <c r="C656" s="246" t="s">
        <v>1564</v>
      </c>
      <c r="D656" s="246" t="s">
        <v>3633</v>
      </c>
      <c r="E656" s="246">
        <v>5</v>
      </c>
      <c r="F656" s="246" t="s">
        <v>2301</v>
      </c>
      <c r="G656" s="246" t="s">
        <v>2302</v>
      </c>
      <c r="H656" s="247">
        <v>77</v>
      </c>
      <c r="I656" s="246" t="s">
        <v>1217</v>
      </c>
      <c r="J656" s="247">
        <v>395</v>
      </c>
      <c r="K656" s="246" t="s">
        <v>2303</v>
      </c>
      <c r="L656" s="246" t="s">
        <v>2295</v>
      </c>
      <c r="M656" s="246">
        <v>16</v>
      </c>
      <c r="N656" s="246"/>
      <c r="O656" s="246" t="s">
        <v>3634</v>
      </c>
      <c r="P656" s="246" t="s">
        <v>6430</v>
      </c>
      <c r="Q656" s="246" t="s">
        <v>3631</v>
      </c>
      <c r="R656" s="248"/>
    </row>
    <row r="657" spans="1:18" x14ac:dyDescent="0.7">
      <c r="A657" s="246" t="s">
        <v>3635</v>
      </c>
      <c r="B657" s="246" t="s">
        <v>3636</v>
      </c>
      <c r="C657" s="246" t="s">
        <v>1565</v>
      </c>
      <c r="D657" s="246" t="s">
        <v>3637</v>
      </c>
      <c r="E657" s="246">
        <v>5</v>
      </c>
      <c r="F657" s="246" t="s">
        <v>2309</v>
      </c>
      <c r="G657" s="246" t="s">
        <v>2310</v>
      </c>
      <c r="H657" s="247">
        <v>77</v>
      </c>
      <c r="I657" s="246" t="s">
        <v>1217</v>
      </c>
      <c r="J657" s="247">
        <v>75</v>
      </c>
      <c r="K657" s="246" t="s">
        <v>2303</v>
      </c>
      <c r="L657" s="246" t="s">
        <v>2316</v>
      </c>
      <c r="M657" s="246">
        <v>9</v>
      </c>
      <c r="N657" s="246"/>
      <c r="O657" s="246" t="s">
        <v>3638</v>
      </c>
      <c r="P657" s="246" t="s">
        <v>6435</v>
      </c>
      <c r="Q657" s="246" t="s">
        <v>3635</v>
      </c>
      <c r="R657" s="248"/>
    </row>
    <row r="658" spans="1:18" x14ac:dyDescent="0.7">
      <c r="A658" s="246" t="s">
        <v>5192</v>
      </c>
      <c r="B658" s="246" t="s">
        <v>5193</v>
      </c>
      <c r="C658" s="246" t="s">
        <v>1976</v>
      </c>
      <c r="D658" s="246" t="s">
        <v>5194</v>
      </c>
      <c r="E658" s="246">
        <v>11</v>
      </c>
      <c r="F658" s="246" t="s">
        <v>2309</v>
      </c>
      <c r="G658" s="246" t="s">
        <v>2310</v>
      </c>
      <c r="H658" s="247">
        <v>80</v>
      </c>
      <c r="I658" s="246" t="s">
        <v>1253</v>
      </c>
      <c r="J658" s="247">
        <v>40</v>
      </c>
      <c r="K658" s="246" t="s">
        <v>2303</v>
      </c>
      <c r="L658" s="246" t="s">
        <v>2311</v>
      </c>
      <c r="M658" s="246">
        <v>6</v>
      </c>
      <c r="N658" s="246"/>
      <c r="O658" s="246" t="s">
        <v>5195</v>
      </c>
      <c r="P658" s="246" t="s">
        <v>6436</v>
      </c>
      <c r="Q658" s="246" t="s">
        <v>5192</v>
      </c>
      <c r="R658" s="248"/>
    </row>
    <row r="659" spans="1:18" x14ac:dyDescent="0.7">
      <c r="A659" s="246" t="s">
        <v>5440</v>
      </c>
      <c r="B659" s="246" t="s">
        <v>5441</v>
      </c>
      <c r="C659" s="246" t="s">
        <v>2004</v>
      </c>
      <c r="D659" s="246" t="s">
        <v>5442</v>
      </c>
      <c r="E659" s="246">
        <v>11</v>
      </c>
      <c r="F659" s="246" t="s">
        <v>2309</v>
      </c>
      <c r="G659" s="246" t="s">
        <v>2310</v>
      </c>
      <c r="H659" s="247">
        <v>85</v>
      </c>
      <c r="I659" s="246" t="s">
        <v>1256</v>
      </c>
      <c r="J659" s="247">
        <v>10</v>
      </c>
      <c r="K659" s="246" t="s">
        <v>2295</v>
      </c>
      <c r="L659" s="246" t="s">
        <v>2398</v>
      </c>
      <c r="M659" s="246">
        <v>2</v>
      </c>
      <c r="N659" s="246"/>
      <c r="O659" s="246" t="s">
        <v>5443</v>
      </c>
      <c r="P659" s="246" t="s">
        <v>6424</v>
      </c>
      <c r="Q659" s="246" t="s">
        <v>5440</v>
      </c>
      <c r="R659" s="248"/>
    </row>
    <row r="660" spans="1:18" x14ac:dyDescent="0.7">
      <c r="A660" s="246" t="s">
        <v>5196</v>
      </c>
      <c r="B660" s="246" t="s">
        <v>5197</v>
      </c>
      <c r="C660" s="246" t="s">
        <v>1977</v>
      </c>
      <c r="D660" s="246" t="s">
        <v>5198</v>
      </c>
      <c r="E660" s="246">
        <v>11</v>
      </c>
      <c r="F660" s="246" t="s">
        <v>2309</v>
      </c>
      <c r="G660" s="246" t="s">
        <v>2310</v>
      </c>
      <c r="H660" s="247">
        <v>80</v>
      </c>
      <c r="I660" s="246" t="s">
        <v>1253</v>
      </c>
      <c r="J660" s="247">
        <v>62</v>
      </c>
      <c r="K660" s="246" t="s">
        <v>2303</v>
      </c>
      <c r="L660" s="246" t="s">
        <v>2311</v>
      </c>
      <c r="M660" s="246">
        <v>6</v>
      </c>
      <c r="N660" s="246"/>
      <c r="O660" s="246" t="s">
        <v>5199</v>
      </c>
      <c r="P660" s="246" t="s">
        <v>6436</v>
      </c>
      <c r="Q660" s="246" t="s">
        <v>5196</v>
      </c>
      <c r="R660" s="248"/>
    </row>
    <row r="661" spans="1:18" x14ac:dyDescent="0.7">
      <c r="A661" s="246" t="s">
        <v>5200</v>
      </c>
      <c r="B661" s="246" t="s">
        <v>5201</v>
      </c>
      <c r="C661" s="246" t="s">
        <v>1978</v>
      </c>
      <c r="D661" s="246" t="s">
        <v>5202</v>
      </c>
      <c r="E661" s="246">
        <v>11</v>
      </c>
      <c r="F661" s="246" t="s">
        <v>2309</v>
      </c>
      <c r="G661" s="246" t="s">
        <v>2310</v>
      </c>
      <c r="H661" s="247">
        <v>80</v>
      </c>
      <c r="I661" s="246" t="s">
        <v>1253</v>
      </c>
      <c r="J661" s="247">
        <v>94</v>
      </c>
      <c r="K661" s="246" t="s">
        <v>2303</v>
      </c>
      <c r="L661" s="246" t="s">
        <v>2345</v>
      </c>
      <c r="M661" s="246">
        <v>12</v>
      </c>
      <c r="N661" s="246"/>
      <c r="O661" s="246" t="s">
        <v>5203</v>
      </c>
      <c r="P661" s="246" t="s">
        <v>6438</v>
      </c>
      <c r="Q661" s="246" t="s">
        <v>5200</v>
      </c>
      <c r="R661" s="248"/>
    </row>
    <row r="662" spans="1:18" x14ac:dyDescent="0.7">
      <c r="A662" s="246" t="s">
        <v>5204</v>
      </c>
      <c r="B662" s="246" t="s">
        <v>5205</v>
      </c>
      <c r="C662" s="246" t="s">
        <v>1979</v>
      </c>
      <c r="D662" s="246" t="s">
        <v>5206</v>
      </c>
      <c r="E662" s="246">
        <v>11</v>
      </c>
      <c r="F662" s="246" t="s">
        <v>2309</v>
      </c>
      <c r="G662" s="246" t="s">
        <v>2310</v>
      </c>
      <c r="H662" s="247">
        <v>80</v>
      </c>
      <c r="I662" s="246" t="s">
        <v>1253</v>
      </c>
      <c r="J662" s="247">
        <v>33</v>
      </c>
      <c r="K662" s="246" t="s">
        <v>2303</v>
      </c>
      <c r="L662" s="246" t="s">
        <v>2311</v>
      </c>
      <c r="M662" s="246">
        <v>5</v>
      </c>
      <c r="N662" s="246"/>
      <c r="O662" s="246" t="s">
        <v>5207</v>
      </c>
      <c r="P662" s="246" t="s">
        <v>6437</v>
      </c>
      <c r="Q662" s="246" t="s">
        <v>5204</v>
      </c>
      <c r="R662" s="248"/>
    </row>
    <row r="663" spans="1:18" x14ac:dyDescent="0.7">
      <c r="A663" s="246" t="s">
        <v>5208</v>
      </c>
      <c r="B663" s="246" t="s">
        <v>5209</v>
      </c>
      <c r="C663" s="246" t="s">
        <v>1980</v>
      </c>
      <c r="D663" s="246" t="s">
        <v>5210</v>
      </c>
      <c r="E663" s="246">
        <v>11</v>
      </c>
      <c r="F663" s="246" t="s">
        <v>2309</v>
      </c>
      <c r="G663" s="246" t="s">
        <v>2310</v>
      </c>
      <c r="H663" s="247">
        <v>80</v>
      </c>
      <c r="I663" s="246" t="s">
        <v>1253</v>
      </c>
      <c r="J663" s="247">
        <v>59</v>
      </c>
      <c r="K663" s="246" t="s">
        <v>2303</v>
      </c>
      <c r="L663" s="246" t="s">
        <v>2316</v>
      </c>
      <c r="M663" s="246">
        <v>9</v>
      </c>
      <c r="N663" s="246"/>
      <c r="O663" s="246" t="s">
        <v>5211</v>
      </c>
      <c r="P663" s="246" t="s">
        <v>6435</v>
      </c>
      <c r="Q663" s="246" t="s">
        <v>5208</v>
      </c>
      <c r="R663" s="248"/>
    </row>
    <row r="664" spans="1:18" x14ac:dyDescent="0.7">
      <c r="A664" s="246" t="s">
        <v>5212</v>
      </c>
      <c r="B664" s="246" t="s">
        <v>5213</v>
      </c>
      <c r="C664" s="246" t="s">
        <v>1981</v>
      </c>
      <c r="D664" s="246" t="s">
        <v>5214</v>
      </c>
      <c r="E664" s="246">
        <v>11</v>
      </c>
      <c r="F664" s="246" t="s">
        <v>2309</v>
      </c>
      <c r="G664" s="246" t="s">
        <v>2310</v>
      </c>
      <c r="H664" s="247">
        <v>80</v>
      </c>
      <c r="I664" s="246" t="s">
        <v>1253</v>
      </c>
      <c r="J664" s="247">
        <v>90</v>
      </c>
      <c r="K664" s="246" t="s">
        <v>2303</v>
      </c>
      <c r="L664" s="246" t="s">
        <v>2316</v>
      </c>
      <c r="M664" s="246">
        <v>10</v>
      </c>
      <c r="N664" s="246"/>
      <c r="O664" s="246" t="s">
        <v>5215</v>
      </c>
      <c r="P664" s="246" t="s">
        <v>6433</v>
      </c>
      <c r="Q664" s="246" t="s">
        <v>5212</v>
      </c>
      <c r="R664" s="248"/>
    </row>
    <row r="665" spans="1:18" x14ac:dyDescent="0.7">
      <c r="A665" s="246" t="s">
        <v>5216</v>
      </c>
      <c r="B665" s="246" t="s">
        <v>5217</v>
      </c>
      <c r="C665" s="246" t="s">
        <v>1982</v>
      </c>
      <c r="D665" s="246" t="s">
        <v>5218</v>
      </c>
      <c r="E665" s="246">
        <v>11</v>
      </c>
      <c r="F665" s="246" t="s">
        <v>2309</v>
      </c>
      <c r="G665" s="246" t="s">
        <v>2302</v>
      </c>
      <c r="H665" s="247">
        <v>80</v>
      </c>
      <c r="I665" s="246" t="s">
        <v>1253</v>
      </c>
      <c r="J665" s="247">
        <v>300</v>
      </c>
      <c r="K665" s="246" t="s">
        <v>2303</v>
      </c>
      <c r="L665" s="246" t="s">
        <v>2304</v>
      </c>
      <c r="M665" s="246">
        <v>15</v>
      </c>
      <c r="N665" s="246"/>
      <c r="O665" s="246" t="s">
        <v>5219</v>
      </c>
      <c r="P665" s="246" t="s">
        <v>6429</v>
      </c>
      <c r="Q665" s="246" t="s">
        <v>5216</v>
      </c>
      <c r="R665" s="248"/>
    </row>
    <row r="666" spans="1:18" x14ac:dyDescent="0.7">
      <c r="A666" s="246" t="s">
        <v>5220</v>
      </c>
      <c r="B666" s="246" t="s">
        <v>5221</v>
      </c>
      <c r="C666" s="246" t="s">
        <v>2180</v>
      </c>
      <c r="D666" s="246" t="s">
        <v>5222</v>
      </c>
      <c r="E666" s="246">
        <v>11</v>
      </c>
      <c r="F666" s="246" t="s">
        <v>2301</v>
      </c>
      <c r="G666" s="246" t="s">
        <v>2302</v>
      </c>
      <c r="H666" s="247">
        <v>80</v>
      </c>
      <c r="I666" s="246" t="s">
        <v>1253</v>
      </c>
      <c r="J666" s="247">
        <v>346</v>
      </c>
      <c r="K666" s="246" t="s">
        <v>2303</v>
      </c>
      <c r="L666" s="246" t="s">
        <v>2295</v>
      </c>
      <c r="M666" s="246">
        <v>16</v>
      </c>
      <c r="N666" s="246"/>
      <c r="O666" s="246" t="s">
        <v>5223</v>
      </c>
      <c r="P666" s="246" t="s">
        <v>6430</v>
      </c>
      <c r="Q666" s="246" t="s">
        <v>5220</v>
      </c>
      <c r="R666" s="248"/>
    </row>
    <row r="667" spans="1:18" x14ac:dyDescent="0.7">
      <c r="A667" s="246" t="s">
        <v>5224</v>
      </c>
      <c r="B667" s="246" t="s">
        <v>5225</v>
      </c>
      <c r="C667" s="246" t="s">
        <v>1983</v>
      </c>
      <c r="D667" s="246" t="s">
        <v>5226</v>
      </c>
      <c r="E667" s="246">
        <v>11</v>
      </c>
      <c r="F667" s="246" t="s">
        <v>2309</v>
      </c>
      <c r="G667" s="246" t="s">
        <v>2310</v>
      </c>
      <c r="H667" s="247">
        <v>80</v>
      </c>
      <c r="I667" s="246" t="s">
        <v>1253</v>
      </c>
      <c r="J667" s="247">
        <v>40</v>
      </c>
      <c r="K667" s="246" t="s">
        <v>2303</v>
      </c>
      <c r="L667" s="246" t="s">
        <v>2311</v>
      </c>
      <c r="M667" s="246">
        <v>5</v>
      </c>
      <c r="N667" s="246"/>
      <c r="O667" s="246" t="s">
        <v>5227</v>
      </c>
      <c r="P667" s="246" t="s">
        <v>6437</v>
      </c>
      <c r="Q667" s="246" t="s">
        <v>5224</v>
      </c>
      <c r="R667" s="248"/>
    </row>
    <row r="668" spans="1:18" x14ac:dyDescent="0.7">
      <c r="A668" s="246" t="s">
        <v>5228</v>
      </c>
      <c r="B668" s="246" t="s">
        <v>5229</v>
      </c>
      <c r="C668" s="246" t="s">
        <v>1984</v>
      </c>
      <c r="D668" s="246" t="s">
        <v>5230</v>
      </c>
      <c r="E668" s="246">
        <v>11</v>
      </c>
      <c r="F668" s="246" t="s">
        <v>2309</v>
      </c>
      <c r="G668" s="246" t="s">
        <v>2310</v>
      </c>
      <c r="H668" s="247">
        <v>80</v>
      </c>
      <c r="I668" s="246" t="s">
        <v>1253</v>
      </c>
      <c r="J668" s="247">
        <v>75</v>
      </c>
      <c r="K668" s="246" t="s">
        <v>2303</v>
      </c>
      <c r="L668" s="246" t="s">
        <v>2316</v>
      </c>
      <c r="M668" s="246">
        <v>10</v>
      </c>
      <c r="N668" s="246"/>
      <c r="O668" s="246" t="s">
        <v>5231</v>
      </c>
      <c r="P668" s="246" t="s">
        <v>6433</v>
      </c>
      <c r="Q668" s="246" t="s">
        <v>5228</v>
      </c>
      <c r="R668" s="248"/>
    </row>
    <row r="669" spans="1:18" x14ac:dyDescent="0.7">
      <c r="A669" s="246" t="s">
        <v>5232</v>
      </c>
      <c r="B669" s="246" t="s">
        <v>5233</v>
      </c>
      <c r="C669" s="246" t="s">
        <v>1985</v>
      </c>
      <c r="D669" s="246" t="s">
        <v>5234</v>
      </c>
      <c r="E669" s="246">
        <v>11</v>
      </c>
      <c r="F669" s="246" t="s">
        <v>2309</v>
      </c>
      <c r="G669" s="246" t="s">
        <v>2310</v>
      </c>
      <c r="H669" s="247">
        <v>80</v>
      </c>
      <c r="I669" s="246" t="s">
        <v>1253</v>
      </c>
      <c r="J669" s="247">
        <v>105</v>
      </c>
      <c r="K669" s="246" t="s">
        <v>2303</v>
      </c>
      <c r="L669" s="246" t="s">
        <v>2345</v>
      </c>
      <c r="M669" s="246">
        <v>13</v>
      </c>
      <c r="N669" s="246"/>
      <c r="O669" s="246" t="s">
        <v>5235</v>
      </c>
      <c r="P669" s="246" t="s">
        <v>6432</v>
      </c>
      <c r="Q669" s="246" t="s">
        <v>5232</v>
      </c>
      <c r="R669" s="248"/>
    </row>
    <row r="670" spans="1:18" x14ac:dyDescent="0.7">
      <c r="A670" s="246" t="s">
        <v>5236</v>
      </c>
      <c r="B670" s="246" t="s">
        <v>5237</v>
      </c>
      <c r="C670" s="246" t="s">
        <v>1986</v>
      </c>
      <c r="D670" s="246" t="s">
        <v>5238</v>
      </c>
      <c r="E670" s="246">
        <v>11</v>
      </c>
      <c r="F670" s="246" t="s">
        <v>2309</v>
      </c>
      <c r="G670" s="246" t="s">
        <v>2310</v>
      </c>
      <c r="H670" s="247">
        <v>80</v>
      </c>
      <c r="I670" s="246" t="s">
        <v>1253</v>
      </c>
      <c r="J670" s="247">
        <v>80</v>
      </c>
      <c r="K670" s="246" t="s">
        <v>2303</v>
      </c>
      <c r="L670" s="246" t="s">
        <v>2316</v>
      </c>
      <c r="M670" s="246">
        <v>10</v>
      </c>
      <c r="N670" s="246"/>
      <c r="O670" s="246" t="s">
        <v>5239</v>
      </c>
      <c r="P670" s="246" t="s">
        <v>6433</v>
      </c>
      <c r="Q670" s="246" t="s">
        <v>5236</v>
      </c>
      <c r="R670" s="248"/>
    </row>
    <row r="671" spans="1:18" x14ac:dyDescent="0.7">
      <c r="A671" s="246" t="s">
        <v>5240</v>
      </c>
      <c r="B671" s="246" t="s">
        <v>5241</v>
      </c>
      <c r="C671" s="246" t="s">
        <v>2181</v>
      </c>
      <c r="D671" s="246" t="s">
        <v>5242</v>
      </c>
      <c r="E671" s="246">
        <v>11</v>
      </c>
      <c r="F671" s="246" t="s">
        <v>2301</v>
      </c>
      <c r="G671" s="246" t="s">
        <v>2302</v>
      </c>
      <c r="H671" s="247">
        <v>80</v>
      </c>
      <c r="I671" s="246" t="s">
        <v>1253</v>
      </c>
      <c r="J671" s="247">
        <v>450</v>
      </c>
      <c r="K671" s="246" t="s">
        <v>2303</v>
      </c>
      <c r="L671" s="246" t="s">
        <v>2304</v>
      </c>
      <c r="M671" s="246">
        <v>15</v>
      </c>
      <c r="N671" s="246"/>
      <c r="O671" s="246" t="s">
        <v>5243</v>
      </c>
      <c r="P671" s="246" t="s">
        <v>6429</v>
      </c>
      <c r="Q671" s="246" t="s">
        <v>5240</v>
      </c>
      <c r="R671" s="248"/>
    </row>
    <row r="672" spans="1:18" x14ac:dyDescent="0.7">
      <c r="A672" s="246" t="s">
        <v>5244</v>
      </c>
      <c r="B672" s="246" t="s">
        <v>5245</v>
      </c>
      <c r="C672" s="246" t="s">
        <v>1987</v>
      </c>
      <c r="D672" s="246" t="s">
        <v>5246</v>
      </c>
      <c r="E672" s="246">
        <v>11</v>
      </c>
      <c r="F672" s="246" t="s">
        <v>2309</v>
      </c>
      <c r="G672" s="246" t="s">
        <v>2310</v>
      </c>
      <c r="H672" s="247">
        <v>80</v>
      </c>
      <c r="I672" s="246" t="s">
        <v>1253</v>
      </c>
      <c r="J672" s="247">
        <v>67</v>
      </c>
      <c r="K672" s="246" t="s">
        <v>2303</v>
      </c>
      <c r="L672" s="246" t="s">
        <v>2311</v>
      </c>
      <c r="M672" s="246">
        <v>5</v>
      </c>
      <c r="N672" s="246"/>
      <c r="O672" s="246" t="s">
        <v>5247</v>
      </c>
      <c r="P672" s="246" t="s">
        <v>6437</v>
      </c>
      <c r="Q672" s="246" t="s">
        <v>5244</v>
      </c>
      <c r="R672" s="248"/>
    </row>
    <row r="673" spans="1:18" x14ac:dyDescent="0.7">
      <c r="A673" s="246" t="s">
        <v>5248</v>
      </c>
      <c r="B673" s="246" t="s">
        <v>5249</v>
      </c>
      <c r="C673" s="246" t="s">
        <v>1988</v>
      </c>
      <c r="D673" s="246" t="s">
        <v>5250</v>
      </c>
      <c r="E673" s="246">
        <v>11</v>
      </c>
      <c r="F673" s="246" t="s">
        <v>2309</v>
      </c>
      <c r="G673" s="246" t="s">
        <v>2310</v>
      </c>
      <c r="H673" s="247">
        <v>80</v>
      </c>
      <c r="I673" s="246" t="s">
        <v>1253</v>
      </c>
      <c r="J673" s="247">
        <v>68</v>
      </c>
      <c r="K673" s="246" t="s">
        <v>2303</v>
      </c>
      <c r="L673" s="246" t="s">
        <v>2311</v>
      </c>
      <c r="M673" s="246">
        <v>6</v>
      </c>
      <c r="N673" s="246"/>
      <c r="O673" s="246" t="s">
        <v>5251</v>
      </c>
      <c r="P673" s="246" t="s">
        <v>6436</v>
      </c>
      <c r="Q673" s="246" t="s">
        <v>5248</v>
      </c>
      <c r="R673" s="248"/>
    </row>
    <row r="674" spans="1:18" x14ac:dyDescent="0.7">
      <c r="A674" s="246" t="s">
        <v>5252</v>
      </c>
      <c r="B674" s="246" t="s">
        <v>5253</v>
      </c>
      <c r="C674" s="246" t="s">
        <v>1989</v>
      </c>
      <c r="D674" s="246" t="s">
        <v>5254</v>
      </c>
      <c r="E674" s="246">
        <v>11</v>
      </c>
      <c r="F674" s="246" t="s">
        <v>2309</v>
      </c>
      <c r="G674" s="246" t="s">
        <v>2310</v>
      </c>
      <c r="H674" s="247">
        <v>80</v>
      </c>
      <c r="I674" s="246" t="s">
        <v>1253</v>
      </c>
      <c r="J674" s="247">
        <v>40</v>
      </c>
      <c r="K674" s="246" t="s">
        <v>2303</v>
      </c>
      <c r="L674" s="246" t="s">
        <v>2311</v>
      </c>
      <c r="M674" s="246">
        <v>6</v>
      </c>
      <c r="N674" s="246"/>
      <c r="O674" s="246" t="s">
        <v>5255</v>
      </c>
      <c r="P674" s="246" t="s">
        <v>6436</v>
      </c>
      <c r="Q674" s="246" t="s">
        <v>5252</v>
      </c>
      <c r="R674" s="248"/>
    </row>
    <row r="675" spans="1:18" x14ac:dyDescent="0.7">
      <c r="A675" s="246" t="s">
        <v>5256</v>
      </c>
      <c r="B675" s="246" t="s">
        <v>5257</v>
      </c>
      <c r="C675" s="246" t="s">
        <v>1990</v>
      </c>
      <c r="D675" s="246" t="s">
        <v>5258</v>
      </c>
      <c r="E675" s="246">
        <v>11</v>
      </c>
      <c r="F675" s="246" t="s">
        <v>2309</v>
      </c>
      <c r="G675" s="246" t="s">
        <v>2310</v>
      </c>
      <c r="H675" s="247">
        <v>80</v>
      </c>
      <c r="I675" s="246" t="s">
        <v>1253</v>
      </c>
      <c r="J675" s="247">
        <v>23</v>
      </c>
      <c r="K675" s="246" t="s">
        <v>2303</v>
      </c>
      <c r="L675" s="246" t="s">
        <v>2398</v>
      </c>
      <c r="M675" s="246">
        <v>3</v>
      </c>
      <c r="N675" s="246"/>
      <c r="O675" s="246" t="s">
        <v>5259</v>
      </c>
      <c r="P675" s="246" t="s">
        <v>6439</v>
      </c>
      <c r="Q675" s="246" t="s">
        <v>5256</v>
      </c>
      <c r="R675" s="248"/>
    </row>
    <row r="676" spans="1:18" x14ac:dyDescent="0.7">
      <c r="A676" s="246" t="s">
        <v>5281</v>
      </c>
      <c r="B676" s="246" t="s">
        <v>5282</v>
      </c>
      <c r="C676" s="246" t="s">
        <v>1957</v>
      </c>
      <c r="D676" s="246" t="s">
        <v>5283</v>
      </c>
      <c r="E676" s="246">
        <v>11</v>
      </c>
      <c r="F676" s="246" t="s">
        <v>2309</v>
      </c>
      <c r="G676" s="246" t="s">
        <v>2310</v>
      </c>
      <c r="H676" s="247">
        <v>81</v>
      </c>
      <c r="I676" s="246" t="s">
        <v>1251</v>
      </c>
      <c r="J676" s="247">
        <v>45</v>
      </c>
      <c r="K676" s="246" t="s">
        <v>2303</v>
      </c>
      <c r="L676" s="246" t="s">
        <v>2311</v>
      </c>
      <c r="M676" s="246">
        <v>6</v>
      </c>
      <c r="N676" s="246"/>
      <c r="O676" s="246" t="s">
        <v>5284</v>
      </c>
      <c r="P676" s="246" t="s">
        <v>6436</v>
      </c>
      <c r="Q676" s="246" t="s">
        <v>5281</v>
      </c>
      <c r="R676" s="248"/>
    </row>
    <row r="677" spans="1:18" x14ac:dyDescent="0.7">
      <c r="A677" s="246" t="s">
        <v>5285</v>
      </c>
      <c r="B677" s="246" t="s">
        <v>5286</v>
      </c>
      <c r="C677" s="246" t="s">
        <v>1958</v>
      </c>
      <c r="D677" s="246" t="s">
        <v>5287</v>
      </c>
      <c r="E677" s="246">
        <v>11</v>
      </c>
      <c r="F677" s="246" t="s">
        <v>2309</v>
      </c>
      <c r="G677" s="246" t="s">
        <v>2310</v>
      </c>
      <c r="H677" s="247">
        <v>81</v>
      </c>
      <c r="I677" s="246" t="s">
        <v>1251</v>
      </c>
      <c r="J677" s="247">
        <v>33</v>
      </c>
      <c r="K677" s="246" t="s">
        <v>2303</v>
      </c>
      <c r="L677" s="246" t="s">
        <v>2311</v>
      </c>
      <c r="M677" s="246">
        <v>5</v>
      </c>
      <c r="N677" s="246"/>
      <c r="O677" s="246" t="s">
        <v>5288</v>
      </c>
      <c r="P677" s="246" t="s">
        <v>6437</v>
      </c>
      <c r="Q677" s="246" t="s">
        <v>5285</v>
      </c>
      <c r="R677" s="248"/>
    </row>
    <row r="678" spans="1:18" x14ac:dyDescent="0.7">
      <c r="A678" s="246" t="s">
        <v>5289</v>
      </c>
      <c r="B678" s="246" t="s">
        <v>5290</v>
      </c>
      <c r="C678" s="246" t="s">
        <v>1959</v>
      </c>
      <c r="D678" s="246" t="s">
        <v>5291</v>
      </c>
      <c r="E678" s="246">
        <v>11</v>
      </c>
      <c r="F678" s="246" t="s">
        <v>2309</v>
      </c>
      <c r="G678" s="246" t="s">
        <v>2310</v>
      </c>
      <c r="H678" s="247">
        <v>81</v>
      </c>
      <c r="I678" s="246" t="s">
        <v>1251</v>
      </c>
      <c r="J678" s="247">
        <v>77</v>
      </c>
      <c r="K678" s="246" t="s">
        <v>2303</v>
      </c>
      <c r="L678" s="246" t="s">
        <v>2311</v>
      </c>
      <c r="M678" s="246">
        <v>7</v>
      </c>
      <c r="N678" s="246"/>
      <c r="O678" s="246" t="s">
        <v>5292</v>
      </c>
      <c r="P678" s="246" t="s">
        <v>6434</v>
      </c>
      <c r="Q678" s="246" t="s">
        <v>5289</v>
      </c>
      <c r="R678" s="248"/>
    </row>
    <row r="679" spans="1:18" x14ac:dyDescent="0.7">
      <c r="A679" s="246" t="s">
        <v>5293</v>
      </c>
      <c r="B679" s="246" t="s">
        <v>5294</v>
      </c>
      <c r="C679" s="246" t="s">
        <v>1960</v>
      </c>
      <c r="D679" s="246" t="s">
        <v>5295</v>
      </c>
      <c r="E679" s="246">
        <v>11</v>
      </c>
      <c r="F679" s="246" t="s">
        <v>2309</v>
      </c>
      <c r="G679" s="246" t="s">
        <v>2310</v>
      </c>
      <c r="H679" s="247">
        <v>81</v>
      </c>
      <c r="I679" s="246" t="s">
        <v>1251</v>
      </c>
      <c r="J679" s="247">
        <v>85</v>
      </c>
      <c r="K679" s="246" t="s">
        <v>2303</v>
      </c>
      <c r="L679" s="246" t="s">
        <v>2311</v>
      </c>
      <c r="M679" s="246">
        <v>6</v>
      </c>
      <c r="N679" s="246"/>
      <c r="O679" s="246" t="s">
        <v>5296</v>
      </c>
      <c r="P679" s="246" t="s">
        <v>6436</v>
      </c>
      <c r="Q679" s="246" t="s">
        <v>5293</v>
      </c>
      <c r="R679" s="248"/>
    </row>
    <row r="680" spans="1:18" x14ac:dyDescent="0.7">
      <c r="A680" s="246" t="s">
        <v>5297</v>
      </c>
      <c r="B680" s="246" t="s">
        <v>5298</v>
      </c>
      <c r="C680" s="246" t="s">
        <v>1961</v>
      </c>
      <c r="D680" s="246" t="s">
        <v>5299</v>
      </c>
      <c r="E680" s="246">
        <v>11</v>
      </c>
      <c r="F680" s="246" t="s">
        <v>2309</v>
      </c>
      <c r="G680" s="246" t="s">
        <v>2310</v>
      </c>
      <c r="H680" s="247">
        <v>81</v>
      </c>
      <c r="I680" s="246" t="s">
        <v>1251</v>
      </c>
      <c r="J680" s="247">
        <v>46</v>
      </c>
      <c r="K680" s="246" t="s">
        <v>2303</v>
      </c>
      <c r="L680" s="246" t="s">
        <v>2311</v>
      </c>
      <c r="M680" s="246">
        <v>5</v>
      </c>
      <c r="N680" s="246"/>
      <c r="O680" s="246" t="s">
        <v>5300</v>
      </c>
      <c r="P680" s="246" t="s">
        <v>6437</v>
      </c>
      <c r="Q680" s="246" t="s">
        <v>5297</v>
      </c>
      <c r="R680" s="248"/>
    </row>
    <row r="681" spans="1:18" x14ac:dyDescent="0.7">
      <c r="A681" s="246" t="s">
        <v>5301</v>
      </c>
      <c r="B681" s="246" t="s">
        <v>5302</v>
      </c>
      <c r="C681" s="246" t="s">
        <v>1962</v>
      </c>
      <c r="D681" s="246" t="s">
        <v>5303</v>
      </c>
      <c r="E681" s="246">
        <v>11</v>
      </c>
      <c r="F681" s="246" t="s">
        <v>2309</v>
      </c>
      <c r="G681" s="246" t="s">
        <v>2310</v>
      </c>
      <c r="H681" s="247">
        <v>81</v>
      </c>
      <c r="I681" s="246" t="s">
        <v>1251</v>
      </c>
      <c r="J681" s="247">
        <v>34</v>
      </c>
      <c r="K681" s="246" t="s">
        <v>2303</v>
      </c>
      <c r="L681" s="246" t="s">
        <v>2311</v>
      </c>
      <c r="M681" s="246">
        <v>5</v>
      </c>
      <c r="N681" s="246"/>
      <c r="O681" s="246" t="s">
        <v>5304</v>
      </c>
      <c r="P681" s="246" t="s">
        <v>6437</v>
      </c>
      <c r="Q681" s="246" t="s">
        <v>5301</v>
      </c>
      <c r="R681" s="248"/>
    </row>
    <row r="682" spans="1:18" x14ac:dyDescent="0.7">
      <c r="A682" s="246" t="s">
        <v>5305</v>
      </c>
      <c r="B682" s="246" t="s">
        <v>5306</v>
      </c>
      <c r="C682" s="246" t="s">
        <v>1963</v>
      </c>
      <c r="D682" s="246" t="s">
        <v>5307</v>
      </c>
      <c r="E682" s="246">
        <v>11</v>
      </c>
      <c r="F682" s="246" t="s">
        <v>2309</v>
      </c>
      <c r="G682" s="246" t="s">
        <v>2310</v>
      </c>
      <c r="H682" s="247">
        <v>81</v>
      </c>
      <c r="I682" s="246" t="s">
        <v>1251</v>
      </c>
      <c r="J682" s="247">
        <v>45</v>
      </c>
      <c r="K682" s="246" t="s">
        <v>2303</v>
      </c>
      <c r="L682" s="246" t="s">
        <v>2311</v>
      </c>
      <c r="M682" s="246">
        <v>6</v>
      </c>
      <c r="N682" s="246"/>
      <c r="O682" s="246" t="s">
        <v>5308</v>
      </c>
      <c r="P682" s="246" t="s">
        <v>6436</v>
      </c>
      <c r="Q682" s="246" t="s">
        <v>5305</v>
      </c>
      <c r="R682" s="248"/>
    </row>
    <row r="683" spans="1:18" x14ac:dyDescent="0.7">
      <c r="A683" s="246" t="s">
        <v>5320</v>
      </c>
      <c r="B683" s="246" t="s">
        <v>5321</v>
      </c>
      <c r="C683" s="246" t="s">
        <v>1994</v>
      </c>
      <c r="D683" s="246" t="s">
        <v>5322</v>
      </c>
      <c r="E683" s="246">
        <v>11</v>
      </c>
      <c r="F683" s="246" t="s">
        <v>2309</v>
      </c>
      <c r="G683" s="246" t="s">
        <v>2310</v>
      </c>
      <c r="H683" s="247">
        <v>82</v>
      </c>
      <c r="I683" s="246" t="s">
        <v>1254</v>
      </c>
      <c r="J683" s="247">
        <v>30</v>
      </c>
      <c r="K683" s="246" t="s">
        <v>2303</v>
      </c>
      <c r="L683" s="246" t="s">
        <v>2311</v>
      </c>
      <c r="M683" s="246">
        <v>5</v>
      </c>
      <c r="N683" s="246"/>
      <c r="O683" s="246" t="s">
        <v>5323</v>
      </c>
      <c r="P683" s="246" t="s">
        <v>6437</v>
      </c>
      <c r="Q683" s="246" t="s">
        <v>5320</v>
      </c>
      <c r="R683" s="248"/>
    </row>
    <row r="684" spans="1:18" x14ac:dyDescent="0.7">
      <c r="A684" s="246" t="s">
        <v>5324</v>
      </c>
      <c r="B684" s="246" t="s">
        <v>5325</v>
      </c>
      <c r="C684" s="246" t="s">
        <v>1995</v>
      </c>
      <c r="D684" s="246" t="s">
        <v>5326</v>
      </c>
      <c r="E684" s="246">
        <v>11</v>
      </c>
      <c r="F684" s="246" t="s">
        <v>2309</v>
      </c>
      <c r="G684" s="246" t="s">
        <v>2310</v>
      </c>
      <c r="H684" s="247">
        <v>82</v>
      </c>
      <c r="I684" s="246" t="s">
        <v>1254</v>
      </c>
      <c r="J684" s="247">
        <v>32</v>
      </c>
      <c r="K684" s="246" t="s">
        <v>2303</v>
      </c>
      <c r="L684" s="246" t="s">
        <v>2311</v>
      </c>
      <c r="M684" s="246">
        <v>5</v>
      </c>
      <c r="N684" s="246"/>
      <c r="O684" s="246" t="s">
        <v>5327</v>
      </c>
      <c r="P684" s="246" t="s">
        <v>6437</v>
      </c>
      <c r="Q684" s="246" t="s">
        <v>5324</v>
      </c>
      <c r="R684" s="248"/>
    </row>
    <row r="685" spans="1:18" x14ac:dyDescent="0.7">
      <c r="A685" s="246" t="s">
        <v>5328</v>
      </c>
      <c r="B685" s="246" t="s">
        <v>5329</v>
      </c>
      <c r="C685" s="246" t="s">
        <v>1996</v>
      </c>
      <c r="D685" s="246" t="s">
        <v>5330</v>
      </c>
      <c r="E685" s="246">
        <v>11</v>
      </c>
      <c r="F685" s="246" t="s">
        <v>2309</v>
      </c>
      <c r="G685" s="246" t="s">
        <v>2310</v>
      </c>
      <c r="H685" s="247">
        <v>82</v>
      </c>
      <c r="I685" s="246" t="s">
        <v>1254</v>
      </c>
      <c r="J685" s="247">
        <v>36</v>
      </c>
      <c r="K685" s="246" t="s">
        <v>2303</v>
      </c>
      <c r="L685" s="246" t="s">
        <v>2311</v>
      </c>
      <c r="M685" s="246">
        <v>6</v>
      </c>
      <c r="N685" s="246"/>
      <c r="O685" s="246" t="s">
        <v>5331</v>
      </c>
      <c r="P685" s="246" t="s">
        <v>6436</v>
      </c>
      <c r="Q685" s="246" t="s">
        <v>5328</v>
      </c>
      <c r="R685" s="248"/>
    </row>
    <row r="686" spans="1:18" x14ac:dyDescent="0.7">
      <c r="A686" s="246" t="s">
        <v>5332</v>
      </c>
      <c r="B686" s="246" t="s">
        <v>3176</v>
      </c>
      <c r="C686" s="246" t="s">
        <v>1486</v>
      </c>
      <c r="D686" s="246" t="s">
        <v>3177</v>
      </c>
      <c r="E686" s="246">
        <v>11</v>
      </c>
      <c r="F686" s="246" t="s">
        <v>2309</v>
      </c>
      <c r="G686" s="246" t="s">
        <v>2310</v>
      </c>
      <c r="H686" s="247">
        <v>82</v>
      </c>
      <c r="I686" s="246" t="s">
        <v>1254</v>
      </c>
      <c r="J686" s="247">
        <v>0</v>
      </c>
      <c r="K686" s="246" t="s">
        <v>2303</v>
      </c>
      <c r="L686" s="246" t="s">
        <v>2398</v>
      </c>
      <c r="M686" s="246">
        <v>2</v>
      </c>
      <c r="N686" s="246"/>
      <c r="O686" s="246" t="s">
        <v>5333</v>
      </c>
      <c r="P686" s="246" t="s">
        <v>6424</v>
      </c>
      <c r="Q686" s="246" t="s">
        <v>5332</v>
      </c>
      <c r="R686" s="248"/>
    </row>
    <row r="687" spans="1:18" x14ac:dyDescent="0.7">
      <c r="A687" s="246" t="s">
        <v>5334</v>
      </c>
      <c r="B687" s="246" t="s">
        <v>5335</v>
      </c>
      <c r="C687" s="246" t="s">
        <v>1997</v>
      </c>
      <c r="D687" s="246" t="s">
        <v>5336</v>
      </c>
      <c r="E687" s="246">
        <v>11</v>
      </c>
      <c r="F687" s="246" t="s">
        <v>2309</v>
      </c>
      <c r="G687" s="246" t="s">
        <v>2310</v>
      </c>
      <c r="H687" s="247">
        <v>82</v>
      </c>
      <c r="I687" s="246" t="s">
        <v>1254</v>
      </c>
      <c r="J687" s="247">
        <v>36</v>
      </c>
      <c r="K687" s="246" t="s">
        <v>2303</v>
      </c>
      <c r="L687" s="246" t="s">
        <v>2311</v>
      </c>
      <c r="M687" s="246">
        <v>5</v>
      </c>
      <c r="N687" s="246"/>
      <c r="O687" s="246" t="s">
        <v>5337</v>
      </c>
      <c r="P687" s="246" t="s">
        <v>6437</v>
      </c>
      <c r="Q687" s="246" t="s">
        <v>5334</v>
      </c>
      <c r="R687" s="248"/>
    </row>
    <row r="688" spans="1:18" x14ac:dyDescent="0.7">
      <c r="A688" s="246" t="s">
        <v>5338</v>
      </c>
      <c r="B688" s="246" t="s">
        <v>5339</v>
      </c>
      <c r="C688" s="246" t="s">
        <v>1998</v>
      </c>
      <c r="D688" s="246" t="s">
        <v>5340</v>
      </c>
      <c r="E688" s="246">
        <v>11</v>
      </c>
      <c r="F688" s="246" t="s">
        <v>2309</v>
      </c>
      <c r="G688" s="246" t="s">
        <v>2310</v>
      </c>
      <c r="H688" s="247">
        <v>82</v>
      </c>
      <c r="I688" s="246" t="s">
        <v>1254</v>
      </c>
      <c r="J688" s="247">
        <v>30</v>
      </c>
      <c r="K688" s="246" t="s">
        <v>2303</v>
      </c>
      <c r="L688" s="246" t="s">
        <v>2311</v>
      </c>
      <c r="M688" s="246">
        <v>5</v>
      </c>
      <c r="N688" s="246"/>
      <c r="O688" s="246" t="s">
        <v>5341</v>
      </c>
      <c r="P688" s="246" t="s">
        <v>6437</v>
      </c>
      <c r="Q688" s="246" t="s">
        <v>5338</v>
      </c>
      <c r="R688" s="248"/>
    </row>
    <row r="689" spans="1:18" x14ac:dyDescent="0.7">
      <c r="A689" s="246" t="s">
        <v>5342</v>
      </c>
      <c r="B689" s="246" t="s">
        <v>5343</v>
      </c>
      <c r="C689" s="246" t="s">
        <v>1999</v>
      </c>
      <c r="D689" s="246" t="s">
        <v>5344</v>
      </c>
      <c r="E689" s="246">
        <v>11</v>
      </c>
      <c r="F689" s="246" t="s">
        <v>2309</v>
      </c>
      <c r="G689" s="246" t="s">
        <v>2310</v>
      </c>
      <c r="H689" s="247">
        <v>82</v>
      </c>
      <c r="I689" s="246" t="s">
        <v>1254</v>
      </c>
      <c r="J689" s="247">
        <v>33</v>
      </c>
      <c r="K689" s="246" t="s">
        <v>2295</v>
      </c>
      <c r="L689" s="246" t="s">
        <v>2311</v>
      </c>
      <c r="M689" s="246">
        <v>6</v>
      </c>
      <c r="N689" s="246"/>
      <c r="O689" s="246" t="s">
        <v>5345</v>
      </c>
      <c r="P689" s="246" t="s">
        <v>6436</v>
      </c>
      <c r="Q689" s="246" t="s">
        <v>5342</v>
      </c>
      <c r="R689" s="248"/>
    </row>
    <row r="690" spans="1:18" x14ac:dyDescent="0.7">
      <c r="A690" s="246" t="s">
        <v>5350</v>
      </c>
      <c r="B690" s="246" t="s">
        <v>5351</v>
      </c>
      <c r="C690" s="246" t="s">
        <v>2001</v>
      </c>
      <c r="D690" s="246" t="s">
        <v>5352</v>
      </c>
      <c r="E690" s="246">
        <v>11</v>
      </c>
      <c r="F690" s="246" t="s">
        <v>2309</v>
      </c>
      <c r="G690" s="246" t="s">
        <v>2310</v>
      </c>
      <c r="H690" s="247">
        <v>83</v>
      </c>
      <c r="I690" s="246" t="s">
        <v>1255</v>
      </c>
      <c r="J690" s="247">
        <v>60</v>
      </c>
      <c r="K690" s="246" t="s">
        <v>2303</v>
      </c>
      <c r="L690" s="246" t="s">
        <v>2345</v>
      </c>
      <c r="M690" s="246">
        <v>12</v>
      </c>
      <c r="N690" s="246"/>
      <c r="O690" s="246" t="s">
        <v>5353</v>
      </c>
      <c r="P690" s="246" t="s">
        <v>6438</v>
      </c>
      <c r="Q690" s="246" t="s">
        <v>5350</v>
      </c>
      <c r="R690" s="248"/>
    </row>
    <row r="691" spans="1:18" x14ac:dyDescent="0.7">
      <c r="A691" s="246" t="s">
        <v>5354</v>
      </c>
      <c r="B691" s="246" t="s">
        <v>5355</v>
      </c>
      <c r="C691" s="246" t="s">
        <v>2002</v>
      </c>
      <c r="D691" s="246" t="s">
        <v>5356</v>
      </c>
      <c r="E691" s="246">
        <v>11</v>
      </c>
      <c r="F691" s="246" t="s">
        <v>2309</v>
      </c>
      <c r="G691" s="246" t="s">
        <v>2310</v>
      </c>
      <c r="H691" s="247">
        <v>83</v>
      </c>
      <c r="I691" s="246" t="s">
        <v>1255</v>
      </c>
      <c r="J691" s="247">
        <v>60</v>
      </c>
      <c r="K691" s="246" t="s">
        <v>2303</v>
      </c>
      <c r="L691" s="246" t="s">
        <v>2316</v>
      </c>
      <c r="M691" s="246">
        <v>10</v>
      </c>
      <c r="N691" s="246"/>
      <c r="O691" s="246" t="s">
        <v>5357</v>
      </c>
      <c r="P691" s="246" t="s">
        <v>6433</v>
      </c>
      <c r="Q691" s="246" t="s">
        <v>5354</v>
      </c>
      <c r="R691" s="248"/>
    </row>
    <row r="692" spans="1:18" x14ac:dyDescent="0.7">
      <c r="A692" s="246" t="s">
        <v>5365</v>
      </c>
      <c r="B692" s="246" t="s">
        <v>5366</v>
      </c>
      <c r="C692" s="246" t="s">
        <v>2010</v>
      </c>
      <c r="D692" s="246" t="s">
        <v>5367</v>
      </c>
      <c r="E692" s="246">
        <v>11</v>
      </c>
      <c r="F692" s="246" t="s">
        <v>2309</v>
      </c>
      <c r="G692" s="246" t="s">
        <v>2310</v>
      </c>
      <c r="H692" s="247">
        <v>84</v>
      </c>
      <c r="I692" s="246" t="s">
        <v>1257</v>
      </c>
      <c r="J692" s="247">
        <v>150</v>
      </c>
      <c r="K692" s="246" t="s">
        <v>2295</v>
      </c>
      <c r="L692" s="246" t="s">
        <v>2345</v>
      </c>
      <c r="M692" s="246">
        <v>13</v>
      </c>
      <c r="N692" s="246"/>
      <c r="O692" s="246" t="s">
        <v>5368</v>
      </c>
      <c r="P692" s="246" t="s">
        <v>6432</v>
      </c>
      <c r="Q692" s="246" t="s">
        <v>5365</v>
      </c>
      <c r="R692" s="248"/>
    </row>
    <row r="693" spans="1:18" x14ac:dyDescent="0.7">
      <c r="A693" s="246" t="s">
        <v>5369</v>
      </c>
      <c r="B693" s="246" t="s">
        <v>5370</v>
      </c>
      <c r="C693" s="246" t="s">
        <v>2011</v>
      </c>
      <c r="D693" s="246" t="s">
        <v>5371</v>
      </c>
      <c r="E693" s="246">
        <v>11</v>
      </c>
      <c r="F693" s="246" t="s">
        <v>2309</v>
      </c>
      <c r="G693" s="246" t="s">
        <v>2310</v>
      </c>
      <c r="H693" s="247">
        <v>84</v>
      </c>
      <c r="I693" s="246" t="s">
        <v>1257</v>
      </c>
      <c r="J693" s="247">
        <v>30</v>
      </c>
      <c r="K693" s="246" t="s">
        <v>2295</v>
      </c>
      <c r="L693" s="246" t="s">
        <v>2311</v>
      </c>
      <c r="M693" s="246">
        <v>5</v>
      </c>
      <c r="N693" s="246"/>
      <c r="O693" s="246" t="s">
        <v>5372</v>
      </c>
      <c r="P693" s="246" t="s">
        <v>6437</v>
      </c>
      <c r="Q693" s="246" t="s">
        <v>5369</v>
      </c>
      <c r="R693" s="248"/>
    </row>
    <row r="694" spans="1:18" x14ac:dyDescent="0.7">
      <c r="A694" s="246" t="s">
        <v>5373</v>
      </c>
      <c r="B694" s="246" t="s">
        <v>5374</v>
      </c>
      <c r="C694" s="246" t="s">
        <v>2027</v>
      </c>
      <c r="D694" s="246" t="s">
        <v>5375</v>
      </c>
      <c r="E694" s="246">
        <v>11</v>
      </c>
      <c r="F694" s="246" t="s">
        <v>2309</v>
      </c>
      <c r="G694" s="246" t="s">
        <v>2310</v>
      </c>
      <c r="H694" s="247">
        <v>84</v>
      </c>
      <c r="I694" s="246" t="s">
        <v>1257</v>
      </c>
      <c r="J694" s="247">
        <v>45</v>
      </c>
      <c r="K694" s="246" t="s">
        <v>2295</v>
      </c>
      <c r="L694" s="246" t="s">
        <v>2311</v>
      </c>
      <c r="M694" s="246">
        <v>5</v>
      </c>
      <c r="N694" s="246"/>
      <c r="O694" s="246" t="s">
        <v>5376</v>
      </c>
      <c r="P694" s="246" t="s">
        <v>6437</v>
      </c>
      <c r="Q694" s="246" t="s">
        <v>5373</v>
      </c>
      <c r="R694" s="248"/>
    </row>
    <row r="695" spans="1:18" x14ac:dyDescent="0.7">
      <c r="A695" s="246" t="s">
        <v>5377</v>
      </c>
      <c r="B695" s="246" t="s">
        <v>5378</v>
      </c>
      <c r="C695" s="246" t="s">
        <v>2012</v>
      </c>
      <c r="D695" s="246" t="s">
        <v>5379</v>
      </c>
      <c r="E695" s="246">
        <v>11</v>
      </c>
      <c r="F695" s="246" t="s">
        <v>2309</v>
      </c>
      <c r="G695" s="246" t="s">
        <v>2310</v>
      </c>
      <c r="H695" s="247">
        <v>84</v>
      </c>
      <c r="I695" s="246" t="s">
        <v>1257</v>
      </c>
      <c r="J695" s="247">
        <v>60</v>
      </c>
      <c r="K695" s="246" t="s">
        <v>2295</v>
      </c>
      <c r="L695" s="246" t="s">
        <v>2345</v>
      </c>
      <c r="M695" s="246">
        <v>12</v>
      </c>
      <c r="N695" s="246"/>
      <c r="O695" s="246" t="s">
        <v>5380</v>
      </c>
      <c r="P695" s="246" t="s">
        <v>6438</v>
      </c>
      <c r="Q695" s="246" t="s">
        <v>5377</v>
      </c>
      <c r="R695" s="248"/>
    </row>
    <row r="696" spans="1:18" x14ac:dyDescent="0.7">
      <c r="A696" s="246" t="s">
        <v>5381</v>
      </c>
      <c r="B696" s="246" t="s">
        <v>5382</v>
      </c>
      <c r="C696" s="246" t="s">
        <v>2013</v>
      </c>
      <c r="D696" s="246" t="s">
        <v>5383</v>
      </c>
      <c r="E696" s="246">
        <v>11</v>
      </c>
      <c r="F696" s="246" t="s">
        <v>2309</v>
      </c>
      <c r="G696" s="246" t="s">
        <v>2310</v>
      </c>
      <c r="H696" s="247">
        <v>84</v>
      </c>
      <c r="I696" s="246" t="s">
        <v>1257</v>
      </c>
      <c r="J696" s="247">
        <v>45</v>
      </c>
      <c r="K696" s="246" t="s">
        <v>2295</v>
      </c>
      <c r="L696" s="246" t="s">
        <v>2311</v>
      </c>
      <c r="M696" s="246">
        <v>6</v>
      </c>
      <c r="N696" s="246"/>
      <c r="O696" s="246" t="s">
        <v>5384</v>
      </c>
      <c r="P696" s="246" t="s">
        <v>6436</v>
      </c>
      <c r="Q696" s="246" t="s">
        <v>5381</v>
      </c>
      <c r="R696" s="248"/>
    </row>
    <row r="697" spans="1:18" x14ac:dyDescent="0.7">
      <c r="A697" s="246" t="s">
        <v>5385</v>
      </c>
      <c r="B697" s="246" t="s">
        <v>5386</v>
      </c>
      <c r="C697" s="246" t="s">
        <v>2014</v>
      </c>
      <c r="D697" s="246" t="s">
        <v>5387</v>
      </c>
      <c r="E697" s="246">
        <v>11</v>
      </c>
      <c r="F697" s="246" t="s">
        <v>2309</v>
      </c>
      <c r="G697" s="246" t="s">
        <v>2310</v>
      </c>
      <c r="H697" s="247">
        <v>84</v>
      </c>
      <c r="I697" s="246" t="s">
        <v>1257</v>
      </c>
      <c r="J697" s="247">
        <v>35</v>
      </c>
      <c r="K697" s="246" t="s">
        <v>2295</v>
      </c>
      <c r="L697" s="246" t="s">
        <v>2311</v>
      </c>
      <c r="M697" s="246">
        <v>6</v>
      </c>
      <c r="N697" s="246"/>
      <c r="O697" s="246" t="s">
        <v>5388</v>
      </c>
      <c r="P697" s="246" t="s">
        <v>6436</v>
      </c>
      <c r="Q697" s="246" t="s">
        <v>5385</v>
      </c>
      <c r="R697" s="248"/>
    </row>
    <row r="698" spans="1:18" x14ac:dyDescent="0.7">
      <c r="A698" s="246" t="s">
        <v>5389</v>
      </c>
      <c r="B698" s="246" t="s">
        <v>5390</v>
      </c>
      <c r="C698" s="246" t="s">
        <v>2015</v>
      </c>
      <c r="D698" s="246" t="s">
        <v>5391</v>
      </c>
      <c r="E698" s="246">
        <v>11</v>
      </c>
      <c r="F698" s="246" t="s">
        <v>2309</v>
      </c>
      <c r="G698" s="246" t="s">
        <v>2310</v>
      </c>
      <c r="H698" s="247">
        <v>84</v>
      </c>
      <c r="I698" s="246" t="s">
        <v>1257</v>
      </c>
      <c r="J698" s="247">
        <v>30</v>
      </c>
      <c r="K698" s="246" t="s">
        <v>2295</v>
      </c>
      <c r="L698" s="246" t="s">
        <v>2311</v>
      </c>
      <c r="M698" s="246">
        <v>5</v>
      </c>
      <c r="N698" s="246"/>
      <c r="O698" s="246" t="s">
        <v>5392</v>
      </c>
      <c r="P698" s="246" t="s">
        <v>6437</v>
      </c>
      <c r="Q698" s="246" t="s">
        <v>5389</v>
      </c>
      <c r="R698" s="248"/>
    </row>
    <row r="699" spans="1:18" x14ac:dyDescent="0.7">
      <c r="A699" s="246" t="s">
        <v>5393</v>
      </c>
      <c r="B699" s="246" t="s">
        <v>5394</v>
      </c>
      <c r="C699" s="246" t="s">
        <v>2016</v>
      </c>
      <c r="D699" s="246" t="s">
        <v>5395</v>
      </c>
      <c r="E699" s="246">
        <v>11</v>
      </c>
      <c r="F699" s="246" t="s">
        <v>2309</v>
      </c>
      <c r="G699" s="246" t="s">
        <v>2310</v>
      </c>
      <c r="H699" s="247">
        <v>84</v>
      </c>
      <c r="I699" s="246" t="s">
        <v>1257</v>
      </c>
      <c r="J699" s="247">
        <v>41</v>
      </c>
      <c r="K699" s="246" t="s">
        <v>2295</v>
      </c>
      <c r="L699" s="246" t="s">
        <v>2311</v>
      </c>
      <c r="M699" s="246">
        <v>6</v>
      </c>
      <c r="N699" s="246"/>
      <c r="O699" s="246" t="s">
        <v>5396</v>
      </c>
      <c r="P699" s="246" t="s">
        <v>6436</v>
      </c>
      <c r="Q699" s="246" t="s">
        <v>5393</v>
      </c>
      <c r="R699" s="248"/>
    </row>
    <row r="700" spans="1:18" x14ac:dyDescent="0.7">
      <c r="A700" s="246" t="s">
        <v>5397</v>
      </c>
      <c r="B700" s="246" t="s">
        <v>5398</v>
      </c>
      <c r="C700" s="246" t="s">
        <v>2017</v>
      </c>
      <c r="D700" s="246" t="s">
        <v>5399</v>
      </c>
      <c r="E700" s="246">
        <v>11</v>
      </c>
      <c r="F700" s="246" t="s">
        <v>2309</v>
      </c>
      <c r="G700" s="246" t="s">
        <v>2310</v>
      </c>
      <c r="H700" s="247">
        <v>84</v>
      </c>
      <c r="I700" s="246" t="s">
        <v>1257</v>
      </c>
      <c r="J700" s="247">
        <v>30</v>
      </c>
      <c r="K700" s="246" t="s">
        <v>2295</v>
      </c>
      <c r="L700" s="246" t="s">
        <v>2311</v>
      </c>
      <c r="M700" s="246">
        <v>5</v>
      </c>
      <c r="N700" s="246"/>
      <c r="O700" s="246" t="s">
        <v>5400</v>
      </c>
      <c r="P700" s="246" t="s">
        <v>6437</v>
      </c>
      <c r="Q700" s="246" t="s">
        <v>5397</v>
      </c>
      <c r="R700" s="248"/>
    </row>
    <row r="701" spans="1:18" x14ac:dyDescent="0.7">
      <c r="A701" s="246" t="s">
        <v>5401</v>
      </c>
      <c r="B701" s="246" t="s">
        <v>5402</v>
      </c>
      <c r="C701" s="246" t="s">
        <v>2018</v>
      </c>
      <c r="D701" s="246" t="s">
        <v>5403</v>
      </c>
      <c r="E701" s="246">
        <v>11</v>
      </c>
      <c r="F701" s="246" t="s">
        <v>2309</v>
      </c>
      <c r="G701" s="246" t="s">
        <v>2310</v>
      </c>
      <c r="H701" s="247">
        <v>84</v>
      </c>
      <c r="I701" s="246" t="s">
        <v>1257</v>
      </c>
      <c r="J701" s="247">
        <v>65</v>
      </c>
      <c r="K701" s="246" t="s">
        <v>2295</v>
      </c>
      <c r="L701" s="246" t="s">
        <v>2345</v>
      </c>
      <c r="M701" s="246">
        <v>12</v>
      </c>
      <c r="N701" s="246"/>
      <c r="O701" s="246" t="s">
        <v>5404</v>
      </c>
      <c r="P701" s="246" t="s">
        <v>6438</v>
      </c>
      <c r="Q701" s="246" t="s">
        <v>5401</v>
      </c>
      <c r="R701" s="248"/>
    </row>
    <row r="702" spans="1:18" x14ac:dyDescent="0.7">
      <c r="A702" s="246" t="s">
        <v>5405</v>
      </c>
      <c r="B702" s="246" t="s">
        <v>5406</v>
      </c>
      <c r="C702" s="246" t="s">
        <v>2019</v>
      </c>
      <c r="D702" s="246" t="s">
        <v>5407</v>
      </c>
      <c r="E702" s="246">
        <v>11</v>
      </c>
      <c r="F702" s="246" t="s">
        <v>2309</v>
      </c>
      <c r="G702" s="246" t="s">
        <v>2310</v>
      </c>
      <c r="H702" s="247">
        <v>84</v>
      </c>
      <c r="I702" s="246" t="s">
        <v>1257</v>
      </c>
      <c r="J702" s="247">
        <v>30</v>
      </c>
      <c r="K702" s="246" t="s">
        <v>2303</v>
      </c>
      <c r="L702" s="246" t="s">
        <v>2311</v>
      </c>
      <c r="M702" s="246">
        <v>5</v>
      </c>
      <c r="N702" s="246"/>
      <c r="O702" s="246" t="s">
        <v>5408</v>
      </c>
      <c r="P702" s="246" t="s">
        <v>6437</v>
      </c>
      <c r="Q702" s="246" t="s">
        <v>5405</v>
      </c>
      <c r="R702" s="248"/>
    </row>
    <row r="703" spans="1:18" x14ac:dyDescent="0.7">
      <c r="A703" s="246" t="s">
        <v>5409</v>
      </c>
      <c r="B703" s="246" t="s">
        <v>5410</v>
      </c>
      <c r="C703" s="246" t="s">
        <v>2020</v>
      </c>
      <c r="D703" s="246" t="s">
        <v>5411</v>
      </c>
      <c r="E703" s="246">
        <v>11</v>
      </c>
      <c r="F703" s="246" t="s">
        <v>2309</v>
      </c>
      <c r="G703" s="246" t="s">
        <v>2310</v>
      </c>
      <c r="H703" s="247">
        <v>84</v>
      </c>
      <c r="I703" s="246" t="s">
        <v>1257</v>
      </c>
      <c r="J703" s="247">
        <v>30</v>
      </c>
      <c r="K703" s="246" t="s">
        <v>2295</v>
      </c>
      <c r="L703" s="246" t="s">
        <v>2311</v>
      </c>
      <c r="M703" s="246">
        <v>6</v>
      </c>
      <c r="N703" s="246"/>
      <c r="O703" s="246" t="s">
        <v>5412</v>
      </c>
      <c r="P703" s="246" t="s">
        <v>6436</v>
      </c>
      <c r="Q703" s="246" t="s">
        <v>5409</v>
      </c>
      <c r="R703" s="248"/>
    </row>
    <row r="704" spans="1:18" x14ac:dyDescent="0.7">
      <c r="A704" s="246" t="s">
        <v>5413</v>
      </c>
      <c r="B704" s="246" t="s">
        <v>5414</v>
      </c>
      <c r="C704" s="246" t="s">
        <v>2021</v>
      </c>
      <c r="D704" s="246" t="s">
        <v>5415</v>
      </c>
      <c r="E704" s="246">
        <v>11</v>
      </c>
      <c r="F704" s="246" t="s">
        <v>2309</v>
      </c>
      <c r="G704" s="246" t="s">
        <v>2310</v>
      </c>
      <c r="H704" s="247">
        <v>84</v>
      </c>
      <c r="I704" s="246" t="s">
        <v>1257</v>
      </c>
      <c r="J704" s="247">
        <v>60</v>
      </c>
      <c r="K704" s="246" t="s">
        <v>2295</v>
      </c>
      <c r="L704" s="246" t="s">
        <v>2311</v>
      </c>
      <c r="M704" s="246">
        <v>6</v>
      </c>
      <c r="N704" s="246"/>
      <c r="O704" s="246" t="s">
        <v>5416</v>
      </c>
      <c r="P704" s="246" t="s">
        <v>6436</v>
      </c>
      <c r="Q704" s="246" t="s">
        <v>5413</v>
      </c>
      <c r="R704" s="248"/>
    </row>
    <row r="705" spans="1:18" x14ac:dyDescent="0.7">
      <c r="A705" s="246" t="s">
        <v>5417</v>
      </c>
      <c r="B705" s="246" t="s">
        <v>5418</v>
      </c>
      <c r="C705" s="246" t="s">
        <v>2022</v>
      </c>
      <c r="D705" s="246" t="s">
        <v>5419</v>
      </c>
      <c r="E705" s="246">
        <v>11</v>
      </c>
      <c r="F705" s="246" t="s">
        <v>2309</v>
      </c>
      <c r="G705" s="246" t="s">
        <v>2310</v>
      </c>
      <c r="H705" s="247">
        <v>84</v>
      </c>
      <c r="I705" s="246" t="s">
        <v>1257</v>
      </c>
      <c r="J705" s="247">
        <v>60</v>
      </c>
      <c r="K705" s="246" t="s">
        <v>2295</v>
      </c>
      <c r="L705" s="246" t="s">
        <v>2311</v>
      </c>
      <c r="M705" s="246">
        <v>6</v>
      </c>
      <c r="N705" s="246"/>
      <c r="O705" s="246" t="s">
        <v>5420</v>
      </c>
      <c r="P705" s="246" t="s">
        <v>6436</v>
      </c>
      <c r="Q705" s="246" t="s">
        <v>5417</v>
      </c>
      <c r="R705" s="248"/>
    </row>
    <row r="706" spans="1:18" x14ac:dyDescent="0.7">
      <c r="A706" s="246" t="s">
        <v>5421</v>
      </c>
      <c r="B706" s="246" t="s">
        <v>5422</v>
      </c>
      <c r="C706" s="246" t="s">
        <v>2023</v>
      </c>
      <c r="D706" s="246" t="s">
        <v>5423</v>
      </c>
      <c r="E706" s="246">
        <v>11</v>
      </c>
      <c r="F706" s="246" t="s">
        <v>2309</v>
      </c>
      <c r="G706" s="246" t="s">
        <v>2310</v>
      </c>
      <c r="H706" s="247">
        <v>84</v>
      </c>
      <c r="I706" s="246" t="s">
        <v>1257</v>
      </c>
      <c r="J706" s="247">
        <v>30</v>
      </c>
      <c r="K706" s="246" t="s">
        <v>2295</v>
      </c>
      <c r="L706" s="246" t="s">
        <v>2311</v>
      </c>
      <c r="M706" s="246">
        <v>5</v>
      </c>
      <c r="N706" s="246"/>
      <c r="O706" s="246" t="s">
        <v>5424</v>
      </c>
      <c r="P706" s="246" t="s">
        <v>6437</v>
      </c>
      <c r="Q706" s="246" t="s">
        <v>5421</v>
      </c>
      <c r="R706" s="248"/>
    </row>
    <row r="707" spans="1:18" x14ac:dyDescent="0.7">
      <c r="A707" s="246" t="s">
        <v>5444</v>
      </c>
      <c r="B707" s="246" t="s">
        <v>5445</v>
      </c>
      <c r="C707" s="246" t="s">
        <v>2005</v>
      </c>
      <c r="D707" s="246" t="s">
        <v>5446</v>
      </c>
      <c r="E707" s="246">
        <v>11</v>
      </c>
      <c r="F707" s="246" t="s">
        <v>2309</v>
      </c>
      <c r="G707" s="246" t="s">
        <v>2310</v>
      </c>
      <c r="H707" s="247">
        <v>85</v>
      </c>
      <c r="I707" s="246" t="s">
        <v>1256</v>
      </c>
      <c r="J707" s="247">
        <v>37</v>
      </c>
      <c r="K707" s="246" t="s">
        <v>2295</v>
      </c>
      <c r="L707" s="246" t="s">
        <v>2311</v>
      </c>
      <c r="M707" s="246">
        <v>5</v>
      </c>
      <c r="N707" s="246"/>
      <c r="O707" s="246" t="s">
        <v>5447</v>
      </c>
      <c r="P707" s="246" t="s">
        <v>6437</v>
      </c>
      <c r="Q707" s="246" t="s">
        <v>5444</v>
      </c>
      <c r="R707" s="248"/>
    </row>
    <row r="708" spans="1:18" x14ac:dyDescent="0.7">
      <c r="A708" s="246" t="s">
        <v>5448</v>
      </c>
      <c r="B708" s="246" t="s">
        <v>5449</v>
      </c>
      <c r="C708" s="246" t="s">
        <v>2006</v>
      </c>
      <c r="D708" s="246" t="s">
        <v>5450</v>
      </c>
      <c r="E708" s="246">
        <v>11</v>
      </c>
      <c r="F708" s="246" t="s">
        <v>2309</v>
      </c>
      <c r="G708" s="246" t="s">
        <v>2310</v>
      </c>
      <c r="H708" s="247">
        <v>85</v>
      </c>
      <c r="I708" s="246" t="s">
        <v>1256</v>
      </c>
      <c r="J708" s="247">
        <v>52</v>
      </c>
      <c r="K708" s="246" t="s">
        <v>2295</v>
      </c>
      <c r="L708" s="246" t="s">
        <v>2311</v>
      </c>
      <c r="M708" s="246">
        <v>6</v>
      </c>
      <c r="N708" s="246"/>
      <c r="O708" s="246" t="s">
        <v>5451</v>
      </c>
      <c r="P708" s="246" t="s">
        <v>6436</v>
      </c>
      <c r="Q708" s="246" t="s">
        <v>5448</v>
      </c>
      <c r="R708" s="248"/>
    </row>
    <row r="709" spans="1:18" x14ac:dyDescent="0.7">
      <c r="A709" s="246" t="s">
        <v>5452</v>
      </c>
      <c r="B709" s="246" t="s">
        <v>5453</v>
      </c>
      <c r="C709" s="246" t="s">
        <v>2007</v>
      </c>
      <c r="D709" s="246" t="s">
        <v>5454</v>
      </c>
      <c r="E709" s="246">
        <v>11</v>
      </c>
      <c r="F709" s="246" t="s">
        <v>2309</v>
      </c>
      <c r="G709" s="246" t="s">
        <v>2310</v>
      </c>
      <c r="H709" s="247">
        <v>85</v>
      </c>
      <c r="I709" s="246" t="s">
        <v>1256</v>
      </c>
      <c r="J709" s="247">
        <v>10</v>
      </c>
      <c r="K709" s="246" t="s">
        <v>2295</v>
      </c>
      <c r="L709" s="246" t="s">
        <v>2398</v>
      </c>
      <c r="M709" s="246">
        <v>2</v>
      </c>
      <c r="N709" s="246"/>
      <c r="O709" s="246" t="s">
        <v>5455</v>
      </c>
      <c r="P709" s="246" t="s">
        <v>6424</v>
      </c>
      <c r="Q709" s="246" t="s">
        <v>5452</v>
      </c>
      <c r="R709" s="248"/>
    </row>
    <row r="710" spans="1:18" x14ac:dyDescent="0.7">
      <c r="A710" s="246" t="s">
        <v>5460</v>
      </c>
      <c r="B710" s="246" t="s">
        <v>5461</v>
      </c>
      <c r="C710" s="246" t="s">
        <v>1965</v>
      </c>
      <c r="D710" s="246" t="s">
        <v>5462</v>
      </c>
      <c r="E710" s="246">
        <v>11</v>
      </c>
      <c r="F710" s="246" t="s">
        <v>2309</v>
      </c>
      <c r="G710" s="246" t="s">
        <v>2310</v>
      </c>
      <c r="H710" s="247">
        <v>86</v>
      </c>
      <c r="I710" s="246" t="s">
        <v>1252</v>
      </c>
      <c r="J710" s="247">
        <v>14</v>
      </c>
      <c r="K710" s="246" t="s">
        <v>2303</v>
      </c>
      <c r="L710" s="246" t="s">
        <v>2398</v>
      </c>
      <c r="M710" s="246">
        <v>2</v>
      </c>
      <c r="N710" s="246"/>
      <c r="O710" s="246" t="s">
        <v>5463</v>
      </c>
      <c r="P710" s="246" t="s">
        <v>6424</v>
      </c>
      <c r="Q710" s="246" t="s">
        <v>5460</v>
      </c>
      <c r="R710" s="248"/>
    </row>
    <row r="711" spans="1:18" x14ac:dyDescent="0.7">
      <c r="A711" s="246" t="s">
        <v>5464</v>
      </c>
      <c r="B711" s="246" t="s">
        <v>5465</v>
      </c>
      <c r="C711" s="246" t="s">
        <v>1966</v>
      </c>
      <c r="D711" s="246" t="s">
        <v>5466</v>
      </c>
      <c r="E711" s="246">
        <v>11</v>
      </c>
      <c r="F711" s="246" t="s">
        <v>2309</v>
      </c>
      <c r="G711" s="246" t="s">
        <v>2310</v>
      </c>
      <c r="H711" s="247">
        <v>86</v>
      </c>
      <c r="I711" s="246" t="s">
        <v>1252</v>
      </c>
      <c r="J711" s="247">
        <v>75</v>
      </c>
      <c r="K711" s="246" t="s">
        <v>2303</v>
      </c>
      <c r="L711" s="246" t="s">
        <v>2316</v>
      </c>
      <c r="M711" s="246">
        <v>10</v>
      </c>
      <c r="N711" s="246"/>
      <c r="O711" s="246" t="s">
        <v>5467</v>
      </c>
      <c r="P711" s="246" t="s">
        <v>6433</v>
      </c>
      <c r="Q711" s="246" t="s">
        <v>5464</v>
      </c>
      <c r="R711" s="248"/>
    </row>
    <row r="712" spans="1:18" x14ac:dyDescent="0.7">
      <c r="A712" s="246" t="s">
        <v>5468</v>
      </c>
      <c r="B712" s="246" t="s">
        <v>5469</v>
      </c>
      <c r="C712" s="246" t="s">
        <v>1967</v>
      </c>
      <c r="D712" s="246" t="s">
        <v>5470</v>
      </c>
      <c r="E712" s="246">
        <v>11</v>
      </c>
      <c r="F712" s="246" t="s">
        <v>2309</v>
      </c>
      <c r="G712" s="246" t="s">
        <v>2310</v>
      </c>
      <c r="H712" s="247">
        <v>86</v>
      </c>
      <c r="I712" s="246" t="s">
        <v>1252</v>
      </c>
      <c r="J712" s="247">
        <v>24</v>
      </c>
      <c r="K712" s="246" t="s">
        <v>2303</v>
      </c>
      <c r="L712" s="246" t="s">
        <v>2311</v>
      </c>
      <c r="M712" s="246">
        <v>5</v>
      </c>
      <c r="N712" s="246"/>
      <c r="O712" s="246" t="s">
        <v>5471</v>
      </c>
      <c r="P712" s="246" t="s">
        <v>6437</v>
      </c>
      <c r="Q712" s="246" t="s">
        <v>5468</v>
      </c>
      <c r="R712" s="248"/>
    </row>
    <row r="713" spans="1:18" x14ac:dyDescent="0.7">
      <c r="A713" s="246" t="s">
        <v>5472</v>
      </c>
      <c r="B713" s="246" t="s">
        <v>5473</v>
      </c>
      <c r="C713" s="246" t="s">
        <v>1968</v>
      </c>
      <c r="D713" s="246" t="s">
        <v>5474</v>
      </c>
      <c r="E713" s="246">
        <v>11</v>
      </c>
      <c r="F713" s="246" t="s">
        <v>2309</v>
      </c>
      <c r="G713" s="246" t="s">
        <v>2310</v>
      </c>
      <c r="H713" s="247">
        <v>86</v>
      </c>
      <c r="I713" s="246" t="s">
        <v>1252</v>
      </c>
      <c r="J713" s="247">
        <v>30</v>
      </c>
      <c r="K713" s="246" t="s">
        <v>2303</v>
      </c>
      <c r="L713" s="246" t="s">
        <v>2311</v>
      </c>
      <c r="M713" s="246">
        <v>5</v>
      </c>
      <c r="N713" s="246"/>
      <c r="O713" s="246" t="s">
        <v>5475</v>
      </c>
      <c r="P713" s="246" t="s">
        <v>6437</v>
      </c>
      <c r="Q713" s="246" t="s">
        <v>5472</v>
      </c>
      <c r="R713" s="248"/>
    </row>
    <row r="714" spans="1:18" x14ac:dyDescent="0.7">
      <c r="A714" s="246" t="s">
        <v>5476</v>
      </c>
      <c r="B714" s="246" t="s">
        <v>5477</v>
      </c>
      <c r="C714" s="246" t="s">
        <v>1969</v>
      </c>
      <c r="D714" s="246" t="s">
        <v>5478</v>
      </c>
      <c r="E714" s="246">
        <v>11</v>
      </c>
      <c r="F714" s="246" t="s">
        <v>2309</v>
      </c>
      <c r="G714" s="246" t="s">
        <v>2310</v>
      </c>
      <c r="H714" s="247">
        <v>86</v>
      </c>
      <c r="I714" s="246" t="s">
        <v>1252</v>
      </c>
      <c r="J714" s="247">
        <v>154</v>
      </c>
      <c r="K714" s="246" t="s">
        <v>2303</v>
      </c>
      <c r="L714" s="246" t="s">
        <v>2345</v>
      </c>
      <c r="M714" s="246">
        <v>13</v>
      </c>
      <c r="N714" s="246"/>
      <c r="O714" s="246" t="s">
        <v>5479</v>
      </c>
      <c r="P714" s="246" t="s">
        <v>6432</v>
      </c>
      <c r="Q714" s="246" t="s">
        <v>5476</v>
      </c>
      <c r="R714" s="248"/>
    </row>
    <row r="715" spans="1:18" x14ac:dyDescent="0.7">
      <c r="A715" s="246" t="s">
        <v>5480</v>
      </c>
      <c r="B715" s="246" t="s">
        <v>5481</v>
      </c>
      <c r="C715" s="246" t="s">
        <v>1970</v>
      </c>
      <c r="D715" s="246" t="s">
        <v>5482</v>
      </c>
      <c r="E715" s="246">
        <v>11</v>
      </c>
      <c r="F715" s="246" t="s">
        <v>2309</v>
      </c>
      <c r="G715" s="246" t="s">
        <v>2310</v>
      </c>
      <c r="H715" s="247">
        <v>86</v>
      </c>
      <c r="I715" s="246" t="s">
        <v>1252</v>
      </c>
      <c r="J715" s="247">
        <v>16</v>
      </c>
      <c r="K715" s="246" t="s">
        <v>2303</v>
      </c>
      <c r="L715" s="246" t="s">
        <v>2398</v>
      </c>
      <c r="M715" s="246">
        <v>3</v>
      </c>
      <c r="N715" s="246"/>
      <c r="O715" s="246" t="s">
        <v>5483</v>
      </c>
      <c r="P715" s="246" t="s">
        <v>6439</v>
      </c>
      <c r="Q715" s="246" t="s">
        <v>5480</v>
      </c>
      <c r="R715" s="248"/>
    </row>
    <row r="716" spans="1:18" x14ac:dyDescent="0.7">
      <c r="A716" s="246" t="s">
        <v>5484</v>
      </c>
      <c r="B716" s="246" t="s">
        <v>5485</v>
      </c>
      <c r="C716" s="246" t="s">
        <v>1971</v>
      </c>
      <c r="D716" s="246" t="s">
        <v>5486</v>
      </c>
      <c r="E716" s="246">
        <v>11</v>
      </c>
      <c r="F716" s="246" t="s">
        <v>2309</v>
      </c>
      <c r="G716" s="246" t="s">
        <v>2310</v>
      </c>
      <c r="H716" s="247">
        <v>86</v>
      </c>
      <c r="I716" s="246" t="s">
        <v>1252</v>
      </c>
      <c r="J716" s="247">
        <v>36</v>
      </c>
      <c r="K716" s="246" t="s">
        <v>2303</v>
      </c>
      <c r="L716" s="246" t="s">
        <v>2311</v>
      </c>
      <c r="M716" s="246">
        <v>5</v>
      </c>
      <c r="N716" s="246"/>
      <c r="O716" s="246" t="s">
        <v>5487</v>
      </c>
      <c r="P716" s="246" t="s">
        <v>6437</v>
      </c>
      <c r="Q716" s="246" t="s">
        <v>5484</v>
      </c>
      <c r="R716" s="248"/>
    </row>
    <row r="717" spans="1:18" x14ac:dyDescent="0.7">
      <c r="A717" s="246" t="s">
        <v>5488</v>
      </c>
      <c r="B717" s="246" t="s">
        <v>5489</v>
      </c>
      <c r="C717" s="246" t="s">
        <v>1972</v>
      </c>
      <c r="D717" s="246" t="s">
        <v>5490</v>
      </c>
      <c r="E717" s="246">
        <v>11</v>
      </c>
      <c r="F717" s="246" t="s">
        <v>2309</v>
      </c>
      <c r="G717" s="246" t="s">
        <v>2310</v>
      </c>
      <c r="H717" s="247">
        <v>86</v>
      </c>
      <c r="I717" s="246" t="s">
        <v>1252</v>
      </c>
      <c r="J717" s="247">
        <v>30</v>
      </c>
      <c r="K717" s="246" t="s">
        <v>2303</v>
      </c>
      <c r="L717" s="246" t="s">
        <v>2311</v>
      </c>
      <c r="M717" s="246">
        <v>5</v>
      </c>
      <c r="N717" s="246"/>
      <c r="O717" s="246" t="s">
        <v>5491</v>
      </c>
      <c r="P717" s="246" t="s">
        <v>6437</v>
      </c>
      <c r="Q717" s="246" t="s">
        <v>5488</v>
      </c>
      <c r="R717" s="248"/>
    </row>
    <row r="718" spans="1:18" x14ac:dyDescent="0.7">
      <c r="A718" s="246" t="s">
        <v>5492</v>
      </c>
      <c r="B718" s="246" t="s">
        <v>5493</v>
      </c>
      <c r="C718" s="246" t="s">
        <v>1973</v>
      </c>
      <c r="D718" s="246" t="s">
        <v>5494</v>
      </c>
      <c r="E718" s="246">
        <v>11</v>
      </c>
      <c r="F718" s="246" t="s">
        <v>2309</v>
      </c>
      <c r="G718" s="246" t="s">
        <v>2310</v>
      </c>
      <c r="H718" s="247">
        <v>86</v>
      </c>
      <c r="I718" s="246" t="s">
        <v>1252</v>
      </c>
      <c r="J718" s="247">
        <v>69</v>
      </c>
      <c r="K718" s="246" t="s">
        <v>2303</v>
      </c>
      <c r="L718" s="246" t="s">
        <v>2316</v>
      </c>
      <c r="M718" s="246">
        <v>10</v>
      </c>
      <c r="N718" s="246"/>
      <c r="O718" s="246" t="s">
        <v>5495</v>
      </c>
      <c r="P718" s="246" t="s">
        <v>6433</v>
      </c>
      <c r="Q718" s="246" t="s">
        <v>5492</v>
      </c>
      <c r="R718" s="248"/>
    </row>
    <row r="719" spans="1:18" x14ac:dyDescent="0.7">
      <c r="A719" s="246" t="s">
        <v>5496</v>
      </c>
      <c r="B719" s="246" t="s">
        <v>5497</v>
      </c>
      <c r="C719" s="246" t="s">
        <v>1974</v>
      </c>
      <c r="D719" s="246" t="s">
        <v>5498</v>
      </c>
      <c r="E719" s="246">
        <v>11</v>
      </c>
      <c r="F719" s="246" t="s">
        <v>2309</v>
      </c>
      <c r="G719" s="246" t="s">
        <v>2310</v>
      </c>
      <c r="H719" s="247">
        <v>86</v>
      </c>
      <c r="I719" s="246" t="s">
        <v>1252</v>
      </c>
      <c r="J719" s="247">
        <v>32</v>
      </c>
      <c r="K719" s="246" t="s">
        <v>2303</v>
      </c>
      <c r="L719" s="246" t="s">
        <v>2311</v>
      </c>
      <c r="M719" s="246">
        <v>5</v>
      </c>
      <c r="N719" s="246"/>
      <c r="O719" s="246" t="s">
        <v>5499</v>
      </c>
      <c r="P719" s="246" t="s">
        <v>6437</v>
      </c>
      <c r="Q719" s="246" t="s">
        <v>5496</v>
      </c>
      <c r="R719" s="248"/>
    </row>
    <row r="720" spans="1:18" x14ac:dyDescent="0.7">
      <c r="A720" s="246" t="s">
        <v>5507</v>
      </c>
      <c r="B720" s="246" t="s">
        <v>5508</v>
      </c>
      <c r="C720" s="246" t="s">
        <v>2084</v>
      </c>
      <c r="D720" s="246" t="s">
        <v>5509</v>
      </c>
      <c r="E720" s="246">
        <v>12</v>
      </c>
      <c r="F720" s="246" t="s">
        <v>2309</v>
      </c>
      <c r="G720" s="246" t="s">
        <v>2310</v>
      </c>
      <c r="H720" s="247">
        <v>90</v>
      </c>
      <c r="I720" s="246" t="s">
        <v>1263</v>
      </c>
      <c r="J720" s="247">
        <v>42</v>
      </c>
      <c r="K720" s="246" t="s">
        <v>2303</v>
      </c>
      <c r="L720" s="246" t="s">
        <v>2311</v>
      </c>
      <c r="M720" s="246">
        <v>6</v>
      </c>
      <c r="N720" s="246"/>
      <c r="O720" s="246" t="s">
        <v>5510</v>
      </c>
      <c r="P720" s="246" t="s">
        <v>6436</v>
      </c>
      <c r="Q720" s="246" t="s">
        <v>5507</v>
      </c>
      <c r="R720" s="248"/>
    </row>
    <row r="721" spans="1:18" x14ac:dyDescent="0.7">
      <c r="A721" s="246" t="s">
        <v>5511</v>
      </c>
      <c r="B721" s="246" t="s">
        <v>5512</v>
      </c>
      <c r="C721" s="246" t="s">
        <v>2085</v>
      </c>
      <c r="D721" s="246" t="s">
        <v>5513</v>
      </c>
      <c r="E721" s="246">
        <v>12</v>
      </c>
      <c r="F721" s="246" t="s">
        <v>2309</v>
      </c>
      <c r="G721" s="246" t="s">
        <v>2310</v>
      </c>
      <c r="H721" s="247">
        <v>90</v>
      </c>
      <c r="I721" s="246" t="s">
        <v>1263</v>
      </c>
      <c r="J721" s="247">
        <v>64</v>
      </c>
      <c r="K721" s="246" t="s">
        <v>2295</v>
      </c>
      <c r="L721" s="246" t="s">
        <v>2311</v>
      </c>
      <c r="M721" s="246">
        <v>7</v>
      </c>
      <c r="N721" s="246"/>
      <c r="O721" s="246" t="s">
        <v>5514</v>
      </c>
      <c r="P721" s="246" t="s">
        <v>6434</v>
      </c>
      <c r="Q721" s="246" t="s">
        <v>5511</v>
      </c>
      <c r="R721" s="248"/>
    </row>
    <row r="722" spans="1:18" x14ac:dyDescent="0.7">
      <c r="A722" s="246" t="s">
        <v>5515</v>
      </c>
      <c r="B722" s="246" t="s">
        <v>5516</v>
      </c>
      <c r="C722" s="246" t="s">
        <v>2086</v>
      </c>
      <c r="D722" s="246" t="s">
        <v>5517</v>
      </c>
      <c r="E722" s="246">
        <v>12</v>
      </c>
      <c r="F722" s="246" t="s">
        <v>2309</v>
      </c>
      <c r="G722" s="246" t="s">
        <v>2310</v>
      </c>
      <c r="H722" s="247">
        <v>90</v>
      </c>
      <c r="I722" s="246" t="s">
        <v>1263</v>
      </c>
      <c r="J722" s="247">
        <v>144</v>
      </c>
      <c r="K722" s="246" t="s">
        <v>2295</v>
      </c>
      <c r="L722" s="246" t="s">
        <v>2345</v>
      </c>
      <c r="M722" s="246">
        <v>13</v>
      </c>
      <c r="N722" s="246"/>
      <c r="O722" s="246" t="s">
        <v>5518</v>
      </c>
      <c r="P722" s="246" t="s">
        <v>6432</v>
      </c>
      <c r="Q722" s="246" t="s">
        <v>5515</v>
      </c>
      <c r="R722" s="248"/>
    </row>
    <row r="723" spans="1:18" x14ac:dyDescent="0.7">
      <c r="A723" s="246" t="s">
        <v>5519</v>
      </c>
      <c r="B723" s="246" t="s">
        <v>5520</v>
      </c>
      <c r="C723" s="246" t="s">
        <v>2087</v>
      </c>
      <c r="D723" s="246" t="s">
        <v>5521</v>
      </c>
      <c r="E723" s="246">
        <v>12</v>
      </c>
      <c r="F723" s="246" t="s">
        <v>2309</v>
      </c>
      <c r="G723" s="246" t="s">
        <v>2310</v>
      </c>
      <c r="H723" s="247">
        <v>90</v>
      </c>
      <c r="I723" s="246" t="s">
        <v>1263</v>
      </c>
      <c r="J723" s="247">
        <v>70</v>
      </c>
      <c r="K723" s="246" t="s">
        <v>2295</v>
      </c>
      <c r="L723" s="246" t="s">
        <v>2311</v>
      </c>
      <c r="M723" s="246">
        <v>7</v>
      </c>
      <c r="N723" s="246"/>
      <c r="O723" s="246" t="s">
        <v>5522</v>
      </c>
      <c r="P723" s="246" t="s">
        <v>6434</v>
      </c>
      <c r="Q723" s="246" t="s">
        <v>5519</v>
      </c>
      <c r="R723" s="248"/>
    </row>
    <row r="724" spans="1:18" x14ac:dyDescent="0.7">
      <c r="A724" s="246" t="s">
        <v>5523</v>
      </c>
      <c r="B724" s="246" t="s">
        <v>5524</v>
      </c>
      <c r="C724" s="246" t="s">
        <v>2088</v>
      </c>
      <c r="D724" s="246" t="s">
        <v>5525</v>
      </c>
      <c r="E724" s="246">
        <v>12</v>
      </c>
      <c r="F724" s="246" t="s">
        <v>2309</v>
      </c>
      <c r="G724" s="246" t="s">
        <v>2310</v>
      </c>
      <c r="H724" s="247">
        <v>90</v>
      </c>
      <c r="I724" s="246" t="s">
        <v>1263</v>
      </c>
      <c r="J724" s="247">
        <v>45</v>
      </c>
      <c r="K724" s="246" t="s">
        <v>2295</v>
      </c>
      <c r="L724" s="246" t="s">
        <v>2311</v>
      </c>
      <c r="M724" s="246">
        <v>7</v>
      </c>
      <c r="N724" s="246"/>
      <c r="O724" s="246" t="s">
        <v>5526</v>
      </c>
      <c r="P724" s="246" t="s">
        <v>6434</v>
      </c>
      <c r="Q724" s="246" t="s">
        <v>5523</v>
      </c>
      <c r="R724" s="248"/>
    </row>
    <row r="725" spans="1:18" x14ac:dyDescent="0.7">
      <c r="A725" s="246" t="s">
        <v>5527</v>
      </c>
      <c r="B725" s="246" t="s">
        <v>5528</v>
      </c>
      <c r="C725" s="246" t="s">
        <v>2089</v>
      </c>
      <c r="D725" s="246" t="s">
        <v>5529</v>
      </c>
      <c r="E725" s="246">
        <v>12</v>
      </c>
      <c r="F725" s="246" t="s">
        <v>2309</v>
      </c>
      <c r="G725" s="246" t="s">
        <v>2310</v>
      </c>
      <c r="H725" s="247">
        <v>90</v>
      </c>
      <c r="I725" s="246" t="s">
        <v>1263</v>
      </c>
      <c r="J725" s="247">
        <v>62</v>
      </c>
      <c r="K725" s="246" t="s">
        <v>2295</v>
      </c>
      <c r="L725" s="246" t="s">
        <v>2316</v>
      </c>
      <c r="M725" s="246">
        <v>9</v>
      </c>
      <c r="N725" s="246"/>
      <c r="O725" s="246" t="s">
        <v>5530</v>
      </c>
      <c r="P725" s="246" t="s">
        <v>6435</v>
      </c>
      <c r="Q725" s="246" t="s">
        <v>5527</v>
      </c>
      <c r="R725" s="248"/>
    </row>
    <row r="726" spans="1:18" x14ac:dyDescent="0.7">
      <c r="A726" s="246" t="s">
        <v>5531</v>
      </c>
      <c r="B726" s="246" t="s">
        <v>5532</v>
      </c>
      <c r="C726" s="246" t="s">
        <v>2090</v>
      </c>
      <c r="D726" s="246" t="s">
        <v>5533</v>
      </c>
      <c r="E726" s="246">
        <v>12</v>
      </c>
      <c r="F726" s="246" t="s">
        <v>2309</v>
      </c>
      <c r="G726" s="246" t="s">
        <v>2310</v>
      </c>
      <c r="H726" s="247">
        <v>90</v>
      </c>
      <c r="I726" s="246" t="s">
        <v>1263</v>
      </c>
      <c r="J726" s="247">
        <v>30</v>
      </c>
      <c r="K726" s="246" t="s">
        <v>2295</v>
      </c>
      <c r="L726" s="246" t="s">
        <v>2311</v>
      </c>
      <c r="M726" s="246">
        <v>5</v>
      </c>
      <c r="N726" s="246"/>
      <c r="O726" s="246" t="s">
        <v>5534</v>
      </c>
      <c r="P726" s="246" t="s">
        <v>6437</v>
      </c>
      <c r="Q726" s="246" t="s">
        <v>5531</v>
      </c>
      <c r="R726" s="248"/>
    </row>
    <row r="727" spans="1:18" x14ac:dyDescent="0.7">
      <c r="A727" s="246" t="s">
        <v>5535</v>
      </c>
      <c r="B727" s="246" t="s">
        <v>5536</v>
      </c>
      <c r="C727" s="246" t="s">
        <v>2091</v>
      </c>
      <c r="D727" s="246" t="s">
        <v>5537</v>
      </c>
      <c r="E727" s="246">
        <v>12</v>
      </c>
      <c r="F727" s="246" t="s">
        <v>2309</v>
      </c>
      <c r="G727" s="246" t="s">
        <v>2310</v>
      </c>
      <c r="H727" s="247">
        <v>90</v>
      </c>
      <c r="I727" s="246" t="s">
        <v>1263</v>
      </c>
      <c r="J727" s="247">
        <v>73</v>
      </c>
      <c r="K727" s="246" t="s">
        <v>2295</v>
      </c>
      <c r="L727" s="246" t="s">
        <v>2311</v>
      </c>
      <c r="M727" s="246">
        <v>6</v>
      </c>
      <c r="N727" s="246"/>
      <c r="O727" s="246" t="s">
        <v>5538</v>
      </c>
      <c r="P727" s="246" t="s">
        <v>6436</v>
      </c>
      <c r="Q727" s="246" t="s">
        <v>5535</v>
      </c>
      <c r="R727" s="248"/>
    </row>
    <row r="728" spans="1:18" x14ac:dyDescent="0.7">
      <c r="A728" s="246" t="s">
        <v>5539</v>
      </c>
      <c r="B728" s="246" t="s">
        <v>5540</v>
      </c>
      <c r="C728" s="246" t="s">
        <v>2092</v>
      </c>
      <c r="D728" s="246" t="s">
        <v>5541</v>
      </c>
      <c r="E728" s="246">
        <v>12</v>
      </c>
      <c r="F728" s="246" t="s">
        <v>2309</v>
      </c>
      <c r="G728" s="246" t="s">
        <v>2310</v>
      </c>
      <c r="H728" s="247">
        <v>90</v>
      </c>
      <c r="I728" s="246" t="s">
        <v>1263</v>
      </c>
      <c r="J728" s="247">
        <v>56</v>
      </c>
      <c r="K728" s="246" t="s">
        <v>2295</v>
      </c>
      <c r="L728" s="246" t="s">
        <v>2311</v>
      </c>
      <c r="M728" s="246">
        <v>6</v>
      </c>
      <c r="N728" s="246"/>
      <c r="O728" s="246" t="s">
        <v>5542</v>
      </c>
      <c r="P728" s="246" t="s">
        <v>6436</v>
      </c>
      <c r="Q728" s="246" t="s">
        <v>5539</v>
      </c>
      <c r="R728" s="248"/>
    </row>
    <row r="729" spans="1:18" x14ac:dyDescent="0.7">
      <c r="A729" s="246" t="s">
        <v>5543</v>
      </c>
      <c r="B729" s="246" t="s">
        <v>5544</v>
      </c>
      <c r="C729" s="246" t="s">
        <v>2093</v>
      </c>
      <c r="D729" s="246" t="s">
        <v>5545</v>
      </c>
      <c r="E729" s="246">
        <v>12</v>
      </c>
      <c r="F729" s="246" t="s">
        <v>2309</v>
      </c>
      <c r="G729" s="246" t="s">
        <v>2310</v>
      </c>
      <c r="H729" s="247">
        <v>90</v>
      </c>
      <c r="I729" s="246" t="s">
        <v>1263</v>
      </c>
      <c r="J729" s="247">
        <v>34</v>
      </c>
      <c r="K729" s="246" t="s">
        <v>2295</v>
      </c>
      <c r="L729" s="246" t="s">
        <v>2311</v>
      </c>
      <c r="M729" s="246">
        <v>5</v>
      </c>
      <c r="N729" s="246"/>
      <c r="O729" s="246" t="s">
        <v>5546</v>
      </c>
      <c r="P729" s="246" t="s">
        <v>6437</v>
      </c>
      <c r="Q729" s="246" t="s">
        <v>5543</v>
      </c>
      <c r="R729" s="248"/>
    </row>
    <row r="730" spans="1:18" x14ac:dyDescent="0.7">
      <c r="A730" s="246" t="s">
        <v>5547</v>
      </c>
      <c r="B730" s="246" t="s">
        <v>5548</v>
      </c>
      <c r="C730" s="246" t="s">
        <v>2094</v>
      </c>
      <c r="D730" s="246" t="s">
        <v>5549</v>
      </c>
      <c r="E730" s="246">
        <v>12</v>
      </c>
      <c r="F730" s="246" t="s">
        <v>2309</v>
      </c>
      <c r="G730" s="246" t="s">
        <v>2310</v>
      </c>
      <c r="H730" s="247">
        <v>90</v>
      </c>
      <c r="I730" s="246" t="s">
        <v>1263</v>
      </c>
      <c r="J730" s="247">
        <v>34</v>
      </c>
      <c r="K730" s="246" t="s">
        <v>2295</v>
      </c>
      <c r="L730" s="246" t="s">
        <v>2311</v>
      </c>
      <c r="M730" s="246">
        <v>5</v>
      </c>
      <c r="N730" s="246"/>
      <c r="O730" s="246" t="s">
        <v>5550</v>
      </c>
      <c r="P730" s="246" t="s">
        <v>6437</v>
      </c>
      <c r="Q730" s="246" t="s">
        <v>5547</v>
      </c>
      <c r="R730" s="248"/>
    </row>
    <row r="731" spans="1:18" x14ac:dyDescent="0.7">
      <c r="A731" s="246" t="s">
        <v>5551</v>
      </c>
      <c r="B731" s="246" t="s">
        <v>5552</v>
      </c>
      <c r="C731" s="246" t="s">
        <v>2095</v>
      </c>
      <c r="D731" s="246" t="s">
        <v>5553</v>
      </c>
      <c r="E731" s="246">
        <v>12</v>
      </c>
      <c r="F731" s="246" t="s">
        <v>2309</v>
      </c>
      <c r="G731" s="246" t="s">
        <v>2310</v>
      </c>
      <c r="H731" s="247">
        <v>90</v>
      </c>
      <c r="I731" s="246" t="s">
        <v>1263</v>
      </c>
      <c r="J731" s="247">
        <v>30</v>
      </c>
      <c r="K731" s="246" t="s">
        <v>2295</v>
      </c>
      <c r="L731" s="246" t="s">
        <v>2311</v>
      </c>
      <c r="M731" s="246">
        <v>6</v>
      </c>
      <c r="N731" s="246"/>
      <c r="O731" s="246" t="s">
        <v>5554</v>
      </c>
      <c r="P731" s="246" t="s">
        <v>6436</v>
      </c>
      <c r="Q731" s="246" t="s">
        <v>5551</v>
      </c>
      <c r="R731" s="248"/>
    </row>
    <row r="732" spans="1:18" x14ac:dyDescent="0.7">
      <c r="A732" s="246" t="s">
        <v>5555</v>
      </c>
      <c r="B732" s="246" t="s">
        <v>5556</v>
      </c>
      <c r="C732" s="246" t="s">
        <v>2096</v>
      </c>
      <c r="D732" s="246" t="s">
        <v>5557</v>
      </c>
      <c r="E732" s="246">
        <v>12</v>
      </c>
      <c r="F732" s="246" t="s">
        <v>2309</v>
      </c>
      <c r="G732" s="246" t="s">
        <v>2310</v>
      </c>
      <c r="H732" s="247">
        <v>90</v>
      </c>
      <c r="I732" s="246" t="s">
        <v>1263</v>
      </c>
      <c r="J732" s="247">
        <v>44</v>
      </c>
      <c r="K732" s="246" t="s">
        <v>2295</v>
      </c>
      <c r="L732" s="246" t="s">
        <v>2311</v>
      </c>
      <c r="M732" s="246">
        <v>5</v>
      </c>
      <c r="N732" s="246"/>
      <c r="O732" s="246" t="s">
        <v>5558</v>
      </c>
      <c r="P732" s="246" t="s">
        <v>6437</v>
      </c>
      <c r="Q732" s="246" t="s">
        <v>5555</v>
      </c>
      <c r="R732" s="248"/>
    </row>
    <row r="733" spans="1:18" x14ac:dyDescent="0.7">
      <c r="A733" s="246" t="s">
        <v>5559</v>
      </c>
      <c r="B733" s="246" t="s">
        <v>5560</v>
      </c>
      <c r="C733" s="246" t="s">
        <v>2097</v>
      </c>
      <c r="D733" s="246" t="s">
        <v>5561</v>
      </c>
      <c r="E733" s="246">
        <v>12</v>
      </c>
      <c r="F733" s="246" t="s">
        <v>2309</v>
      </c>
      <c r="G733" s="246" t="s">
        <v>2310</v>
      </c>
      <c r="H733" s="247">
        <v>90</v>
      </c>
      <c r="I733" s="246" t="s">
        <v>1263</v>
      </c>
      <c r="J733" s="247">
        <v>30</v>
      </c>
      <c r="K733" s="246" t="s">
        <v>2295</v>
      </c>
      <c r="L733" s="246" t="s">
        <v>2311</v>
      </c>
      <c r="M733" s="246">
        <v>6</v>
      </c>
      <c r="N733" s="246"/>
      <c r="O733" s="246" t="s">
        <v>5562</v>
      </c>
      <c r="P733" s="246" t="s">
        <v>6436</v>
      </c>
      <c r="Q733" s="246" t="s">
        <v>5559</v>
      </c>
      <c r="R733" s="248"/>
    </row>
    <row r="734" spans="1:18" x14ac:dyDescent="0.7">
      <c r="A734" s="246" t="s">
        <v>5563</v>
      </c>
      <c r="B734" s="246" t="s">
        <v>5564</v>
      </c>
      <c r="C734" s="246" t="s">
        <v>2098</v>
      </c>
      <c r="D734" s="246" t="s">
        <v>5565</v>
      </c>
      <c r="E734" s="246">
        <v>12</v>
      </c>
      <c r="F734" s="246" t="s">
        <v>2309</v>
      </c>
      <c r="G734" s="246" t="s">
        <v>2310</v>
      </c>
      <c r="H734" s="247">
        <v>90</v>
      </c>
      <c r="I734" s="246" t="s">
        <v>1263</v>
      </c>
      <c r="J734" s="247">
        <v>30</v>
      </c>
      <c r="K734" s="246" t="s">
        <v>2295</v>
      </c>
      <c r="L734" s="246" t="s">
        <v>2311</v>
      </c>
      <c r="M734" s="246">
        <v>5</v>
      </c>
      <c r="N734" s="246"/>
      <c r="O734" s="246" t="s">
        <v>5566</v>
      </c>
      <c r="P734" s="246" t="s">
        <v>6437</v>
      </c>
      <c r="Q734" s="246" t="s">
        <v>5563</v>
      </c>
      <c r="R734" s="248"/>
    </row>
    <row r="735" spans="1:18" x14ac:dyDescent="0.7">
      <c r="A735" s="246" t="s">
        <v>5570</v>
      </c>
      <c r="B735" s="246" t="s">
        <v>5571</v>
      </c>
      <c r="C735" s="246" t="s">
        <v>2100</v>
      </c>
      <c r="D735" s="246" t="s">
        <v>5572</v>
      </c>
      <c r="E735" s="246">
        <v>12</v>
      </c>
      <c r="F735" s="246" t="s">
        <v>2309</v>
      </c>
      <c r="G735" s="246" t="s">
        <v>2310</v>
      </c>
      <c r="H735" s="247">
        <v>91</v>
      </c>
      <c r="I735" s="246" t="s">
        <v>1264</v>
      </c>
      <c r="J735" s="247">
        <v>31</v>
      </c>
      <c r="K735" s="246" t="s">
        <v>2303</v>
      </c>
      <c r="L735" s="246" t="s">
        <v>2311</v>
      </c>
      <c r="M735" s="246">
        <v>5</v>
      </c>
      <c r="N735" s="246"/>
      <c r="O735" s="246" t="s">
        <v>5573</v>
      </c>
      <c r="P735" s="246" t="s">
        <v>6437</v>
      </c>
      <c r="Q735" s="246" t="s">
        <v>5570</v>
      </c>
      <c r="R735" s="248"/>
    </row>
    <row r="736" spans="1:18" x14ac:dyDescent="0.7">
      <c r="A736" s="246" t="s">
        <v>5574</v>
      </c>
      <c r="B736" s="246" t="s">
        <v>5575</v>
      </c>
      <c r="C736" s="246" t="s">
        <v>2101</v>
      </c>
      <c r="D736" s="246" t="s">
        <v>5576</v>
      </c>
      <c r="E736" s="246">
        <v>12</v>
      </c>
      <c r="F736" s="246" t="s">
        <v>2309</v>
      </c>
      <c r="G736" s="246" t="s">
        <v>2310</v>
      </c>
      <c r="H736" s="247">
        <v>91</v>
      </c>
      <c r="I736" s="246" t="s">
        <v>1264</v>
      </c>
      <c r="J736" s="247">
        <v>37</v>
      </c>
      <c r="K736" s="246" t="s">
        <v>2303</v>
      </c>
      <c r="L736" s="246" t="s">
        <v>2311</v>
      </c>
      <c r="M736" s="246">
        <v>5</v>
      </c>
      <c r="N736" s="246"/>
      <c r="O736" s="246" t="s">
        <v>5577</v>
      </c>
      <c r="P736" s="246" t="s">
        <v>6437</v>
      </c>
      <c r="Q736" s="246" t="s">
        <v>5574</v>
      </c>
      <c r="R736" s="248"/>
    </row>
    <row r="737" spans="1:18" x14ac:dyDescent="0.7">
      <c r="A737" s="246" t="s">
        <v>5578</v>
      </c>
      <c r="B737" s="246" t="s">
        <v>5579</v>
      </c>
      <c r="C737" s="246" t="s">
        <v>2102</v>
      </c>
      <c r="D737" s="246" t="s">
        <v>5580</v>
      </c>
      <c r="E737" s="246">
        <v>12</v>
      </c>
      <c r="F737" s="246" t="s">
        <v>2309</v>
      </c>
      <c r="G737" s="246" t="s">
        <v>2310</v>
      </c>
      <c r="H737" s="247">
        <v>91</v>
      </c>
      <c r="I737" s="246" t="s">
        <v>1264</v>
      </c>
      <c r="J737" s="247">
        <v>30</v>
      </c>
      <c r="K737" s="246" t="s">
        <v>2303</v>
      </c>
      <c r="L737" s="246" t="s">
        <v>2311</v>
      </c>
      <c r="M737" s="246">
        <v>5</v>
      </c>
      <c r="N737" s="246"/>
      <c r="O737" s="246" t="s">
        <v>5581</v>
      </c>
      <c r="P737" s="246" t="s">
        <v>6437</v>
      </c>
      <c r="Q737" s="246" t="s">
        <v>5578</v>
      </c>
      <c r="R737" s="248"/>
    </row>
    <row r="738" spans="1:18" x14ac:dyDescent="0.7">
      <c r="A738" s="246" t="s">
        <v>5582</v>
      </c>
      <c r="B738" s="246" t="s">
        <v>5583</v>
      </c>
      <c r="C738" s="246" t="s">
        <v>2103</v>
      </c>
      <c r="D738" s="246" t="s">
        <v>5584</v>
      </c>
      <c r="E738" s="246">
        <v>12</v>
      </c>
      <c r="F738" s="246" t="s">
        <v>2309</v>
      </c>
      <c r="G738" s="246" t="s">
        <v>2310</v>
      </c>
      <c r="H738" s="247">
        <v>91</v>
      </c>
      <c r="I738" s="246" t="s">
        <v>1264</v>
      </c>
      <c r="J738" s="247">
        <v>93</v>
      </c>
      <c r="K738" s="246" t="s">
        <v>2303</v>
      </c>
      <c r="L738" s="246" t="s">
        <v>2316</v>
      </c>
      <c r="M738" s="246">
        <v>10</v>
      </c>
      <c r="N738" s="246"/>
      <c r="O738" s="246" t="s">
        <v>5585</v>
      </c>
      <c r="P738" s="246" t="s">
        <v>6433</v>
      </c>
      <c r="Q738" s="246" t="s">
        <v>5582</v>
      </c>
      <c r="R738" s="248"/>
    </row>
    <row r="739" spans="1:18" x14ac:dyDescent="0.7">
      <c r="A739" s="246" t="s">
        <v>5586</v>
      </c>
      <c r="B739" s="246" t="s">
        <v>5587</v>
      </c>
      <c r="C739" s="246" t="s">
        <v>2104</v>
      </c>
      <c r="D739" s="246" t="s">
        <v>5588</v>
      </c>
      <c r="E739" s="246">
        <v>12</v>
      </c>
      <c r="F739" s="246" t="s">
        <v>2309</v>
      </c>
      <c r="G739" s="246" t="s">
        <v>2310</v>
      </c>
      <c r="H739" s="247">
        <v>91</v>
      </c>
      <c r="I739" s="246" t="s">
        <v>1264</v>
      </c>
      <c r="J739" s="247">
        <v>33</v>
      </c>
      <c r="K739" s="246" t="s">
        <v>2303</v>
      </c>
      <c r="L739" s="246" t="s">
        <v>2311</v>
      </c>
      <c r="M739" s="246">
        <v>5</v>
      </c>
      <c r="N739" s="246"/>
      <c r="O739" s="246" t="s">
        <v>5589</v>
      </c>
      <c r="P739" s="246" t="s">
        <v>6437</v>
      </c>
      <c r="Q739" s="246" t="s">
        <v>5586</v>
      </c>
      <c r="R739" s="248"/>
    </row>
    <row r="740" spans="1:18" x14ac:dyDescent="0.7">
      <c r="A740" s="246" t="s">
        <v>5597</v>
      </c>
      <c r="B740" s="246" t="s">
        <v>5598</v>
      </c>
      <c r="C740" s="246" t="s">
        <v>2029</v>
      </c>
      <c r="D740" s="246" t="s">
        <v>5599</v>
      </c>
      <c r="E740" s="246">
        <v>12</v>
      </c>
      <c r="F740" s="246" t="s">
        <v>2309</v>
      </c>
      <c r="G740" s="246" t="s">
        <v>2310</v>
      </c>
      <c r="H740" s="247">
        <v>92</v>
      </c>
      <c r="I740" s="246" t="s">
        <v>1258</v>
      </c>
      <c r="J740" s="247">
        <v>95</v>
      </c>
      <c r="K740" s="246" t="s">
        <v>2295</v>
      </c>
      <c r="L740" s="246" t="s">
        <v>2316</v>
      </c>
      <c r="M740" s="246">
        <v>10</v>
      </c>
      <c r="N740" s="246"/>
      <c r="O740" s="246" t="s">
        <v>5600</v>
      </c>
      <c r="P740" s="246" t="s">
        <v>6433</v>
      </c>
      <c r="Q740" s="246" t="s">
        <v>5597</v>
      </c>
      <c r="R740" s="248"/>
    </row>
    <row r="741" spans="1:18" x14ac:dyDescent="0.7">
      <c r="A741" s="246" t="s">
        <v>5601</v>
      </c>
      <c r="B741" s="246" t="s">
        <v>5602</v>
      </c>
      <c r="C741" s="246" t="s">
        <v>2030</v>
      </c>
      <c r="D741" s="246" t="s">
        <v>5603</v>
      </c>
      <c r="E741" s="246">
        <v>12</v>
      </c>
      <c r="F741" s="246" t="s">
        <v>2309</v>
      </c>
      <c r="G741" s="246" t="s">
        <v>2310</v>
      </c>
      <c r="H741" s="247">
        <v>92</v>
      </c>
      <c r="I741" s="246" t="s">
        <v>1258</v>
      </c>
      <c r="J741" s="247">
        <v>91</v>
      </c>
      <c r="K741" s="246" t="s">
        <v>2295</v>
      </c>
      <c r="L741" s="246" t="s">
        <v>2316</v>
      </c>
      <c r="M741" s="246">
        <v>9</v>
      </c>
      <c r="N741" s="246"/>
      <c r="O741" s="246" t="s">
        <v>5604</v>
      </c>
      <c r="P741" s="246" t="s">
        <v>6435</v>
      </c>
      <c r="Q741" s="246" t="s">
        <v>5601</v>
      </c>
      <c r="R741" s="248"/>
    </row>
    <row r="742" spans="1:18" x14ac:dyDescent="0.7">
      <c r="A742" s="246" t="s">
        <v>5605</v>
      </c>
      <c r="B742" s="246" t="s">
        <v>5606</v>
      </c>
      <c r="C742" s="246" t="s">
        <v>2031</v>
      </c>
      <c r="D742" s="246" t="s">
        <v>5607</v>
      </c>
      <c r="E742" s="246">
        <v>12</v>
      </c>
      <c r="F742" s="246" t="s">
        <v>2309</v>
      </c>
      <c r="G742" s="246" t="s">
        <v>2310</v>
      </c>
      <c r="H742" s="247">
        <v>92</v>
      </c>
      <c r="I742" s="246" t="s">
        <v>1258</v>
      </c>
      <c r="J742" s="247">
        <v>46</v>
      </c>
      <c r="K742" s="246" t="s">
        <v>2295</v>
      </c>
      <c r="L742" s="246" t="s">
        <v>2311</v>
      </c>
      <c r="M742" s="246">
        <v>6</v>
      </c>
      <c r="N742" s="246"/>
      <c r="O742" s="246" t="s">
        <v>5608</v>
      </c>
      <c r="P742" s="246" t="s">
        <v>6436</v>
      </c>
      <c r="Q742" s="246" t="s">
        <v>5605</v>
      </c>
      <c r="R742" s="248"/>
    </row>
    <row r="743" spans="1:18" x14ac:dyDescent="0.7">
      <c r="A743" s="246" t="s">
        <v>5609</v>
      </c>
      <c r="B743" s="246" t="s">
        <v>5610</v>
      </c>
      <c r="C743" s="246" t="s">
        <v>2032</v>
      </c>
      <c r="D743" s="246" t="s">
        <v>5611</v>
      </c>
      <c r="E743" s="246">
        <v>12</v>
      </c>
      <c r="F743" s="246" t="s">
        <v>2309</v>
      </c>
      <c r="G743" s="246" t="s">
        <v>2310</v>
      </c>
      <c r="H743" s="247">
        <v>92</v>
      </c>
      <c r="I743" s="246" t="s">
        <v>1258</v>
      </c>
      <c r="J743" s="247">
        <v>60</v>
      </c>
      <c r="K743" s="246" t="s">
        <v>2295</v>
      </c>
      <c r="L743" s="246" t="s">
        <v>2311</v>
      </c>
      <c r="M743" s="246">
        <v>6</v>
      </c>
      <c r="N743" s="246"/>
      <c r="O743" s="246" t="s">
        <v>5612</v>
      </c>
      <c r="P743" s="246" t="s">
        <v>6436</v>
      </c>
      <c r="Q743" s="246" t="s">
        <v>5609</v>
      </c>
      <c r="R743" s="248"/>
    </row>
    <row r="744" spans="1:18" x14ac:dyDescent="0.7">
      <c r="A744" s="246" t="s">
        <v>5613</v>
      </c>
      <c r="B744" s="246" t="s">
        <v>5614</v>
      </c>
      <c r="C744" s="246" t="s">
        <v>2033</v>
      </c>
      <c r="D744" s="246" t="s">
        <v>5615</v>
      </c>
      <c r="E744" s="246">
        <v>12</v>
      </c>
      <c r="F744" s="246" t="s">
        <v>2309</v>
      </c>
      <c r="G744" s="246" t="s">
        <v>2310</v>
      </c>
      <c r="H744" s="247">
        <v>92</v>
      </c>
      <c r="I744" s="246" t="s">
        <v>1258</v>
      </c>
      <c r="J744" s="247">
        <v>100</v>
      </c>
      <c r="K744" s="246" t="s">
        <v>2295</v>
      </c>
      <c r="L744" s="246" t="s">
        <v>2345</v>
      </c>
      <c r="M744" s="246">
        <v>12</v>
      </c>
      <c r="N744" s="246"/>
      <c r="O744" s="246" t="s">
        <v>5616</v>
      </c>
      <c r="P744" s="246" t="s">
        <v>6438</v>
      </c>
      <c r="Q744" s="246" t="s">
        <v>5613</v>
      </c>
      <c r="R744" s="248"/>
    </row>
    <row r="745" spans="1:18" x14ac:dyDescent="0.7">
      <c r="A745" s="246" t="s">
        <v>5617</v>
      </c>
      <c r="B745" s="246" t="s">
        <v>5618</v>
      </c>
      <c r="C745" s="246" t="s">
        <v>2034</v>
      </c>
      <c r="D745" s="246" t="s">
        <v>5619</v>
      </c>
      <c r="E745" s="246">
        <v>12</v>
      </c>
      <c r="F745" s="246" t="s">
        <v>2309</v>
      </c>
      <c r="G745" s="246" t="s">
        <v>2310</v>
      </c>
      <c r="H745" s="247">
        <v>92</v>
      </c>
      <c r="I745" s="246" t="s">
        <v>1258</v>
      </c>
      <c r="J745" s="247">
        <v>30</v>
      </c>
      <c r="K745" s="246" t="s">
        <v>2295</v>
      </c>
      <c r="L745" s="246" t="s">
        <v>2311</v>
      </c>
      <c r="M745" s="246">
        <v>6</v>
      </c>
      <c r="N745" s="246"/>
      <c r="O745" s="246" t="s">
        <v>5620</v>
      </c>
      <c r="P745" s="246" t="s">
        <v>6436</v>
      </c>
      <c r="Q745" s="246" t="s">
        <v>5617</v>
      </c>
      <c r="R745" s="248"/>
    </row>
    <row r="746" spans="1:18" x14ac:dyDescent="0.7">
      <c r="A746" s="246" t="s">
        <v>5621</v>
      </c>
      <c r="B746" s="246" t="s">
        <v>5622</v>
      </c>
      <c r="C746" s="246" t="s">
        <v>2035</v>
      </c>
      <c r="D746" s="246" t="s">
        <v>5623</v>
      </c>
      <c r="E746" s="246">
        <v>12</v>
      </c>
      <c r="F746" s="246" t="s">
        <v>2309</v>
      </c>
      <c r="G746" s="246" t="s">
        <v>2310</v>
      </c>
      <c r="H746" s="247">
        <v>92</v>
      </c>
      <c r="I746" s="246" t="s">
        <v>1258</v>
      </c>
      <c r="J746" s="247">
        <v>63</v>
      </c>
      <c r="K746" s="246" t="s">
        <v>2295</v>
      </c>
      <c r="L746" s="246" t="s">
        <v>2311</v>
      </c>
      <c r="M746" s="246">
        <v>6</v>
      </c>
      <c r="N746" s="246"/>
      <c r="O746" s="246" t="s">
        <v>5624</v>
      </c>
      <c r="P746" s="246" t="s">
        <v>6436</v>
      </c>
      <c r="Q746" s="246" t="s">
        <v>5621</v>
      </c>
      <c r="R746" s="248"/>
    </row>
    <row r="747" spans="1:18" x14ac:dyDescent="0.7">
      <c r="A747" s="246" t="s">
        <v>5636</v>
      </c>
      <c r="B747" s="246" t="s">
        <v>5637</v>
      </c>
      <c r="C747" s="246" t="s">
        <v>2064</v>
      </c>
      <c r="D747" s="246" t="s">
        <v>5638</v>
      </c>
      <c r="E747" s="246">
        <v>12</v>
      </c>
      <c r="F747" s="246" t="s">
        <v>2309</v>
      </c>
      <c r="G747" s="246" t="s">
        <v>2310</v>
      </c>
      <c r="H747" s="247">
        <v>93</v>
      </c>
      <c r="I747" s="246" t="s">
        <v>1261</v>
      </c>
      <c r="J747" s="247">
        <v>30</v>
      </c>
      <c r="K747" s="246" t="s">
        <v>2295</v>
      </c>
      <c r="L747" s="246" t="s">
        <v>2311</v>
      </c>
      <c r="M747" s="246">
        <v>5</v>
      </c>
      <c r="N747" s="246"/>
      <c r="O747" s="246" t="s">
        <v>5639</v>
      </c>
      <c r="P747" s="246" t="s">
        <v>6437</v>
      </c>
      <c r="Q747" s="246" t="s">
        <v>5636</v>
      </c>
      <c r="R747" s="248"/>
    </row>
    <row r="748" spans="1:18" x14ac:dyDescent="0.7">
      <c r="A748" s="246" t="s">
        <v>5640</v>
      </c>
      <c r="B748" s="246" t="s">
        <v>5641</v>
      </c>
      <c r="C748" s="246" t="s">
        <v>2065</v>
      </c>
      <c r="D748" s="246" t="s">
        <v>5642</v>
      </c>
      <c r="E748" s="246">
        <v>12</v>
      </c>
      <c r="F748" s="246" t="s">
        <v>2309</v>
      </c>
      <c r="G748" s="246" t="s">
        <v>2310</v>
      </c>
      <c r="H748" s="247">
        <v>93</v>
      </c>
      <c r="I748" s="246" t="s">
        <v>1261</v>
      </c>
      <c r="J748" s="247">
        <v>44</v>
      </c>
      <c r="K748" s="246" t="s">
        <v>2295</v>
      </c>
      <c r="L748" s="246" t="s">
        <v>2311</v>
      </c>
      <c r="M748" s="246">
        <v>6</v>
      </c>
      <c r="N748" s="246"/>
      <c r="O748" s="246" t="s">
        <v>5643</v>
      </c>
      <c r="P748" s="246" t="s">
        <v>6436</v>
      </c>
      <c r="Q748" s="246" t="s">
        <v>5640</v>
      </c>
      <c r="R748" s="248"/>
    </row>
    <row r="749" spans="1:18" x14ac:dyDescent="0.7">
      <c r="A749" s="246" t="s">
        <v>5644</v>
      </c>
      <c r="B749" s="246" t="s">
        <v>5645</v>
      </c>
      <c r="C749" s="246" t="s">
        <v>2066</v>
      </c>
      <c r="D749" s="246" t="s">
        <v>5646</v>
      </c>
      <c r="E749" s="246">
        <v>12</v>
      </c>
      <c r="F749" s="246" t="s">
        <v>2309</v>
      </c>
      <c r="G749" s="246" t="s">
        <v>2310</v>
      </c>
      <c r="H749" s="247">
        <v>93</v>
      </c>
      <c r="I749" s="246" t="s">
        <v>1261</v>
      </c>
      <c r="J749" s="247">
        <v>32</v>
      </c>
      <c r="K749" s="246" t="s">
        <v>2295</v>
      </c>
      <c r="L749" s="246" t="s">
        <v>2316</v>
      </c>
      <c r="M749" s="246">
        <v>9</v>
      </c>
      <c r="N749" s="246"/>
      <c r="O749" s="246" t="s">
        <v>5647</v>
      </c>
      <c r="P749" s="246" t="s">
        <v>6435</v>
      </c>
      <c r="Q749" s="246" t="s">
        <v>5644</v>
      </c>
      <c r="R749" s="248"/>
    </row>
    <row r="750" spans="1:18" x14ac:dyDescent="0.7">
      <c r="A750" s="246" t="s">
        <v>5648</v>
      </c>
      <c r="B750" s="246" t="s">
        <v>5649</v>
      </c>
      <c r="C750" s="246" t="s">
        <v>2067</v>
      </c>
      <c r="D750" s="246" t="s">
        <v>5650</v>
      </c>
      <c r="E750" s="246">
        <v>12</v>
      </c>
      <c r="F750" s="246" t="s">
        <v>2309</v>
      </c>
      <c r="G750" s="246" t="s">
        <v>2310</v>
      </c>
      <c r="H750" s="247">
        <v>93</v>
      </c>
      <c r="I750" s="246" t="s">
        <v>1261</v>
      </c>
      <c r="J750" s="247">
        <v>90</v>
      </c>
      <c r="K750" s="246" t="s">
        <v>2295</v>
      </c>
      <c r="L750" s="246" t="s">
        <v>2345</v>
      </c>
      <c r="M750" s="246">
        <v>12</v>
      </c>
      <c r="N750" s="246"/>
      <c r="O750" s="246" t="s">
        <v>5651</v>
      </c>
      <c r="P750" s="246" t="s">
        <v>6438</v>
      </c>
      <c r="Q750" s="246" t="s">
        <v>5648</v>
      </c>
      <c r="R750" s="248"/>
    </row>
    <row r="751" spans="1:18" x14ac:dyDescent="0.7">
      <c r="A751" s="246" t="s">
        <v>5652</v>
      </c>
      <c r="B751" s="246" t="s">
        <v>5653</v>
      </c>
      <c r="C751" s="246" t="s">
        <v>2068</v>
      </c>
      <c r="D751" s="246" t="s">
        <v>5654</v>
      </c>
      <c r="E751" s="246">
        <v>12</v>
      </c>
      <c r="F751" s="246" t="s">
        <v>2309</v>
      </c>
      <c r="G751" s="246" t="s">
        <v>2310</v>
      </c>
      <c r="H751" s="247">
        <v>93</v>
      </c>
      <c r="I751" s="246" t="s">
        <v>1261</v>
      </c>
      <c r="J751" s="247">
        <v>30</v>
      </c>
      <c r="K751" s="246" t="s">
        <v>2295</v>
      </c>
      <c r="L751" s="246" t="s">
        <v>2311</v>
      </c>
      <c r="M751" s="246">
        <v>6</v>
      </c>
      <c r="N751" s="246"/>
      <c r="O751" s="246" t="s">
        <v>5655</v>
      </c>
      <c r="P751" s="246" t="s">
        <v>6436</v>
      </c>
      <c r="Q751" s="246" t="s">
        <v>5652</v>
      </c>
      <c r="R751" s="248"/>
    </row>
    <row r="752" spans="1:18" x14ac:dyDescent="0.7">
      <c r="A752" s="246" t="s">
        <v>5656</v>
      </c>
      <c r="B752" s="246" t="s">
        <v>5657</v>
      </c>
      <c r="C752" s="246" t="s">
        <v>2069</v>
      </c>
      <c r="D752" s="246" t="s">
        <v>5658</v>
      </c>
      <c r="E752" s="246">
        <v>12</v>
      </c>
      <c r="F752" s="246" t="s">
        <v>2309</v>
      </c>
      <c r="G752" s="246" t="s">
        <v>2310</v>
      </c>
      <c r="H752" s="247">
        <v>93</v>
      </c>
      <c r="I752" s="246" t="s">
        <v>1261</v>
      </c>
      <c r="J752" s="247">
        <v>30</v>
      </c>
      <c r="K752" s="246" t="s">
        <v>2295</v>
      </c>
      <c r="L752" s="246" t="s">
        <v>2311</v>
      </c>
      <c r="M752" s="246">
        <v>5</v>
      </c>
      <c r="N752" s="246"/>
      <c r="O752" s="246" t="s">
        <v>5659</v>
      </c>
      <c r="P752" s="246" t="s">
        <v>6437</v>
      </c>
      <c r="Q752" s="246" t="s">
        <v>5656</v>
      </c>
      <c r="R752" s="248"/>
    </row>
    <row r="753" spans="1:18" x14ac:dyDescent="0.7">
      <c r="A753" s="246" t="s">
        <v>5660</v>
      </c>
      <c r="B753" s="246" t="s">
        <v>5661</v>
      </c>
      <c r="C753" s="246" t="s">
        <v>2070</v>
      </c>
      <c r="D753" s="246" t="s">
        <v>5662</v>
      </c>
      <c r="E753" s="246">
        <v>12</v>
      </c>
      <c r="F753" s="246" t="s">
        <v>2309</v>
      </c>
      <c r="G753" s="246" t="s">
        <v>2310</v>
      </c>
      <c r="H753" s="247">
        <v>93</v>
      </c>
      <c r="I753" s="246" t="s">
        <v>1261</v>
      </c>
      <c r="J753" s="247">
        <v>31</v>
      </c>
      <c r="K753" s="246" t="s">
        <v>2295</v>
      </c>
      <c r="L753" s="246" t="s">
        <v>2311</v>
      </c>
      <c r="M753" s="246">
        <v>6</v>
      </c>
      <c r="N753" s="246"/>
      <c r="O753" s="246" t="s">
        <v>5663</v>
      </c>
      <c r="P753" s="246" t="s">
        <v>6436</v>
      </c>
      <c r="Q753" s="246" t="s">
        <v>5660</v>
      </c>
      <c r="R753" s="248"/>
    </row>
    <row r="754" spans="1:18" x14ac:dyDescent="0.7">
      <c r="A754" s="246" t="s">
        <v>5664</v>
      </c>
      <c r="B754" s="246" t="s">
        <v>5665</v>
      </c>
      <c r="C754" s="246" t="s">
        <v>2071</v>
      </c>
      <c r="D754" s="246" t="s">
        <v>5666</v>
      </c>
      <c r="E754" s="246">
        <v>12</v>
      </c>
      <c r="F754" s="246" t="s">
        <v>2309</v>
      </c>
      <c r="G754" s="246" t="s">
        <v>2310</v>
      </c>
      <c r="H754" s="247">
        <v>93</v>
      </c>
      <c r="I754" s="246" t="s">
        <v>1261</v>
      </c>
      <c r="J754" s="247">
        <v>30</v>
      </c>
      <c r="K754" s="246" t="s">
        <v>2295</v>
      </c>
      <c r="L754" s="246" t="s">
        <v>2311</v>
      </c>
      <c r="M754" s="246">
        <v>5</v>
      </c>
      <c r="N754" s="246"/>
      <c r="O754" s="246" t="s">
        <v>5667</v>
      </c>
      <c r="P754" s="246" t="s">
        <v>6437</v>
      </c>
      <c r="Q754" s="246" t="s">
        <v>5664</v>
      </c>
      <c r="R754" s="248"/>
    </row>
    <row r="755" spans="1:18" x14ac:dyDescent="0.7">
      <c r="A755" s="246" t="s">
        <v>5668</v>
      </c>
      <c r="B755" s="246" t="s">
        <v>5669</v>
      </c>
      <c r="C755" s="246" t="s">
        <v>2072</v>
      </c>
      <c r="D755" s="246" t="s">
        <v>5670</v>
      </c>
      <c r="E755" s="246">
        <v>12</v>
      </c>
      <c r="F755" s="246" t="s">
        <v>2309</v>
      </c>
      <c r="G755" s="246" t="s">
        <v>2310</v>
      </c>
      <c r="H755" s="247">
        <v>93</v>
      </c>
      <c r="I755" s="246" t="s">
        <v>1261</v>
      </c>
      <c r="J755" s="247">
        <v>30</v>
      </c>
      <c r="K755" s="246" t="s">
        <v>2295</v>
      </c>
      <c r="L755" s="246" t="s">
        <v>2311</v>
      </c>
      <c r="M755" s="246">
        <v>5</v>
      </c>
      <c r="N755" s="246"/>
      <c r="O755" s="246" t="s">
        <v>5671</v>
      </c>
      <c r="P755" s="246" t="s">
        <v>6437</v>
      </c>
      <c r="Q755" s="246" t="s">
        <v>5668</v>
      </c>
      <c r="R755" s="248"/>
    </row>
    <row r="756" spans="1:18" x14ac:dyDescent="0.7">
      <c r="A756" s="246" t="s">
        <v>5679</v>
      </c>
      <c r="B756" s="246" t="s">
        <v>5680</v>
      </c>
      <c r="C756" s="246" t="s">
        <v>2052</v>
      </c>
      <c r="D756" s="246" t="s">
        <v>5681</v>
      </c>
      <c r="E756" s="246">
        <v>12</v>
      </c>
      <c r="F756" s="246" t="s">
        <v>2309</v>
      </c>
      <c r="G756" s="246" t="s">
        <v>2310</v>
      </c>
      <c r="H756" s="247">
        <v>94</v>
      </c>
      <c r="I756" s="246" t="s">
        <v>1260</v>
      </c>
      <c r="J756" s="247">
        <v>104</v>
      </c>
      <c r="K756" s="246" t="s">
        <v>2295</v>
      </c>
      <c r="L756" s="246" t="s">
        <v>2316</v>
      </c>
      <c r="M756" s="246">
        <v>10</v>
      </c>
      <c r="N756" s="246"/>
      <c r="O756" s="246" t="s">
        <v>5682</v>
      </c>
      <c r="P756" s="246" t="s">
        <v>6433</v>
      </c>
      <c r="Q756" s="246" t="s">
        <v>5679</v>
      </c>
      <c r="R756" s="248"/>
    </row>
    <row r="757" spans="1:18" x14ac:dyDescent="0.7">
      <c r="A757" s="246" t="s">
        <v>5683</v>
      </c>
      <c r="B757" s="246" t="s">
        <v>5684</v>
      </c>
      <c r="C757" s="246" t="s">
        <v>2053</v>
      </c>
      <c r="D757" s="246" t="s">
        <v>5685</v>
      </c>
      <c r="E757" s="246">
        <v>12</v>
      </c>
      <c r="F757" s="246" t="s">
        <v>2309</v>
      </c>
      <c r="G757" s="246" t="s">
        <v>2310</v>
      </c>
      <c r="H757" s="247">
        <v>94</v>
      </c>
      <c r="I757" s="246" t="s">
        <v>1260</v>
      </c>
      <c r="J757" s="247">
        <v>46</v>
      </c>
      <c r="K757" s="246" t="s">
        <v>2295</v>
      </c>
      <c r="L757" s="246" t="s">
        <v>2311</v>
      </c>
      <c r="M757" s="246">
        <v>7</v>
      </c>
      <c r="N757" s="246"/>
      <c r="O757" s="246" t="s">
        <v>5686</v>
      </c>
      <c r="P757" s="246" t="s">
        <v>6434</v>
      </c>
      <c r="Q757" s="246" t="s">
        <v>5683</v>
      </c>
      <c r="R757" s="248"/>
    </row>
    <row r="758" spans="1:18" x14ac:dyDescent="0.7">
      <c r="A758" s="246" t="s">
        <v>5687</v>
      </c>
      <c r="B758" s="246" t="s">
        <v>5688</v>
      </c>
      <c r="C758" s="246" t="s">
        <v>2054</v>
      </c>
      <c r="D758" s="246" t="s">
        <v>5689</v>
      </c>
      <c r="E758" s="246">
        <v>12</v>
      </c>
      <c r="F758" s="246" t="s">
        <v>2309</v>
      </c>
      <c r="G758" s="246" t="s">
        <v>2310</v>
      </c>
      <c r="H758" s="247">
        <v>94</v>
      </c>
      <c r="I758" s="246" t="s">
        <v>1260</v>
      </c>
      <c r="J758" s="247">
        <v>39</v>
      </c>
      <c r="K758" s="246" t="s">
        <v>2303</v>
      </c>
      <c r="L758" s="246" t="s">
        <v>2311</v>
      </c>
      <c r="M758" s="246">
        <v>6</v>
      </c>
      <c r="N758" s="246"/>
      <c r="O758" s="246" t="s">
        <v>5690</v>
      </c>
      <c r="P758" s="246" t="s">
        <v>6436</v>
      </c>
      <c r="Q758" s="246" t="s">
        <v>5687</v>
      </c>
      <c r="R758" s="248"/>
    </row>
    <row r="759" spans="1:18" x14ac:dyDescent="0.7">
      <c r="A759" s="246" t="s">
        <v>5691</v>
      </c>
      <c r="B759" s="246" t="s">
        <v>5692</v>
      </c>
      <c r="C759" s="246" t="s">
        <v>2055</v>
      </c>
      <c r="D759" s="246" t="s">
        <v>5693</v>
      </c>
      <c r="E759" s="246">
        <v>12</v>
      </c>
      <c r="F759" s="246" t="s">
        <v>2309</v>
      </c>
      <c r="G759" s="246" t="s">
        <v>2310</v>
      </c>
      <c r="H759" s="247">
        <v>94</v>
      </c>
      <c r="I759" s="246" t="s">
        <v>1260</v>
      </c>
      <c r="J759" s="247">
        <v>42</v>
      </c>
      <c r="K759" s="246" t="s">
        <v>2295</v>
      </c>
      <c r="L759" s="246" t="s">
        <v>2311</v>
      </c>
      <c r="M759" s="246">
        <v>6</v>
      </c>
      <c r="N759" s="246"/>
      <c r="O759" s="246" t="s">
        <v>5694</v>
      </c>
      <c r="P759" s="246" t="s">
        <v>6436</v>
      </c>
      <c r="Q759" s="246" t="s">
        <v>5691</v>
      </c>
      <c r="R759" s="248"/>
    </row>
    <row r="760" spans="1:18" x14ac:dyDescent="0.7">
      <c r="A760" s="246" t="s">
        <v>5695</v>
      </c>
      <c r="B760" s="246" t="s">
        <v>5696</v>
      </c>
      <c r="C760" s="246" t="s">
        <v>2056</v>
      </c>
      <c r="D760" s="246" t="s">
        <v>5697</v>
      </c>
      <c r="E760" s="246">
        <v>12</v>
      </c>
      <c r="F760" s="246" t="s">
        <v>2309</v>
      </c>
      <c r="G760" s="246" t="s">
        <v>2310</v>
      </c>
      <c r="H760" s="247">
        <v>94</v>
      </c>
      <c r="I760" s="246" t="s">
        <v>1260</v>
      </c>
      <c r="J760" s="247">
        <v>36</v>
      </c>
      <c r="K760" s="246" t="s">
        <v>2295</v>
      </c>
      <c r="L760" s="246" t="s">
        <v>2311</v>
      </c>
      <c r="M760" s="246">
        <v>5</v>
      </c>
      <c r="N760" s="246"/>
      <c r="O760" s="246" t="s">
        <v>5698</v>
      </c>
      <c r="P760" s="246" t="s">
        <v>6437</v>
      </c>
      <c r="Q760" s="246" t="s">
        <v>5695</v>
      </c>
      <c r="R760" s="248"/>
    </row>
    <row r="761" spans="1:18" x14ac:dyDescent="0.7">
      <c r="A761" s="246" t="s">
        <v>5699</v>
      </c>
      <c r="B761" s="246" t="s">
        <v>5700</v>
      </c>
      <c r="C761" s="246" t="s">
        <v>2057</v>
      </c>
      <c r="D761" s="246" t="s">
        <v>5701</v>
      </c>
      <c r="E761" s="246">
        <v>12</v>
      </c>
      <c r="F761" s="246" t="s">
        <v>2309</v>
      </c>
      <c r="G761" s="246" t="s">
        <v>2310</v>
      </c>
      <c r="H761" s="247">
        <v>94</v>
      </c>
      <c r="I761" s="246" t="s">
        <v>1260</v>
      </c>
      <c r="J761" s="247">
        <v>34</v>
      </c>
      <c r="K761" s="246" t="s">
        <v>2295</v>
      </c>
      <c r="L761" s="246" t="s">
        <v>2311</v>
      </c>
      <c r="M761" s="246">
        <v>5</v>
      </c>
      <c r="N761" s="246"/>
      <c r="O761" s="246" t="s">
        <v>5702</v>
      </c>
      <c r="P761" s="246" t="s">
        <v>6437</v>
      </c>
      <c r="Q761" s="246" t="s">
        <v>5699</v>
      </c>
      <c r="R761" s="248"/>
    </row>
    <row r="762" spans="1:18" x14ac:dyDescent="0.7">
      <c r="A762" s="246" t="s">
        <v>5703</v>
      </c>
      <c r="B762" s="246" t="s">
        <v>5704</v>
      </c>
      <c r="C762" s="246" t="s">
        <v>2058</v>
      </c>
      <c r="D762" s="246" t="s">
        <v>5705</v>
      </c>
      <c r="E762" s="246">
        <v>12</v>
      </c>
      <c r="F762" s="246" t="s">
        <v>2309</v>
      </c>
      <c r="G762" s="246" t="s">
        <v>2310</v>
      </c>
      <c r="H762" s="247">
        <v>94</v>
      </c>
      <c r="I762" s="246" t="s">
        <v>1260</v>
      </c>
      <c r="J762" s="247">
        <v>72</v>
      </c>
      <c r="K762" s="246" t="s">
        <v>2295</v>
      </c>
      <c r="L762" s="246" t="s">
        <v>2311</v>
      </c>
      <c r="M762" s="246">
        <v>7</v>
      </c>
      <c r="N762" s="246"/>
      <c r="O762" s="246" t="s">
        <v>5706</v>
      </c>
      <c r="P762" s="246" t="s">
        <v>6434</v>
      </c>
      <c r="Q762" s="246" t="s">
        <v>5703</v>
      </c>
      <c r="R762" s="248"/>
    </row>
    <row r="763" spans="1:18" x14ac:dyDescent="0.7">
      <c r="A763" s="246" t="s">
        <v>5707</v>
      </c>
      <c r="B763" s="246" t="s">
        <v>5708</v>
      </c>
      <c r="C763" s="246" t="s">
        <v>2059</v>
      </c>
      <c r="D763" s="246" t="s">
        <v>5709</v>
      </c>
      <c r="E763" s="246">
        <v>12</v>
      </c>
      <c r="F763" s="246" t="s">
        <v>2309</v>
      </c>
      <c r="G763" s="246" t="s">
        <v>2310</v>
      </c>
      <c r="H763" s="247">
        <v>94</v>
      </c>
      <c r="I763" s="246" t="s">
        <v>1260</v>
      </c>
      <c r="J763" s="247">
        <v>73</v>
      </c>
      <c r="K763" s="246" t="s">
        <v>2303</v>
      </c>
      <c r="L763" s="246" t="s">
        <v>2311</v>
      </c>
      <c r="M763" s="246">
        <v>7</v>
      </c>
      <c r="N763" s="246"/>
      <c r="O763" s="246" t="s">
        <v>5710</v>
      </c>
      <c r="P763" s="246" t="s">
        <v>6434</v>
      </c>
      <c r="Q763" s="246" t="s">
        <v>5707</v>
      </c>
      <c r="R763" s="248"/>
    </row>
    <row r="764" spans="1:18" x14ac:dyDescent="0.7">
      <c r="A764" s="246" t="s">
        <v>5711</v>
      </c>
      <c r="B764" s="246" t="s">
        <v>5712</v>
      </c>
      <c r="C764" s="246" t="s">
        <v>2060</v>
      </c>
      <c r="D764" s="246" t="s">
        <v>5713</v>
      </c>
      <c r="E764" s="246">
        <v>12</v>
      </c>
      <c r="F764" s="246" t="s">
        <v>2309</v>
      </c>
      <c r="G764" s="246" t="s">
        <v>2310</v>
      </c>
      <c r="H764" s="247">
        <v>94</v>
      </c>
      <c r="I764" s="246" t="s">
        <v>1260</v>
      </c>
      <c r="J764" s="247">
        <v>34</v>
      </c>
      <c r="K764" s="246" t="s">
        <v>2295</v>
      </c>
      <c r="L764" s="246" t="s">
        <v>2311</v>
      </c>
      <c r="M764" s="246">
        <v>5</v>
      </c>
      <c r="N764" s="246"/>
      <c r="O764" s="246" t="s">
        <v>5714</v>
      </c>
      <c r="P764" s="246" t="s">
        <v>6437</v>
      </c>
      <c r="Q764" s="246" t="s">
        <v>5711</v>
      </c>
      <c r="R764" s="248"/>
    </row>
    <row r="765" spans="1:18" x14ac:dyDescent="0.7">
      <c r="A765" s="246" t="s">
        <v>5730</v>
      </c>
      <c r="B765" s="246" t="s">
        <v>5731</v>
      </c>
      <c r="C765" s="246" t="s">
        <v>2076</v>
      </c>
      <c r="D765" s="246" t="s">
        <v>5732</v>
      </c>
      <c r="E765" s="246">
        <v>12</v>
      </c>
      <c r="F765" s="246" t="s">
        <v>2309</v>
      </c>
      <c r="G765" s="246" t="s">
        <v>2310</v>
      </c>
      <c r="H765" s="247">
        <v>95</v>
      </c>
      <c r="I765" s="246" t="s">
        <v>1262</v>
      </c>
      <c r="J765" s="247">
        <v>60</v>
      </c>
      <c r="K765" s="246" t="s">
        <v>2295</v>
      </c>
      <c r="L765" s="246" t="s">
        <v>2311</v>
      </c>
      <c r="M765" s="246">
        <v>6</v>
      </c>
      <c r="N765" s="246"/>
      <c r="O765" s="246" t="s">
        <v>5733</v>
      </c>
      <c r="P765" s="246" t="s">
        <v>6436</v>
      </c>
      <c r="Q765" s="246" t="s">
        <v>5730</v>
      </c>
      <c r="R765" s="248"/>
    </row>
    <row r="766" spans="1:18" x14ac:dyDescent="0.7">
      <c r="A766" s="246" t="s">
        <v>5734</v>
      </c>
      <c r="B766" s="246" t="s">
        <v>5735</v>
      </c>
      <c r="C766" s="246" t="s">
        <v>2077</v>
      </c>
      <c r="D766" s="246" t="s">
        <v>5736</v>
      </c>
      <c r="E766" s="246">
        <v>12</v>
      </c>
      <c r="F766" s="246" t="s">
        <v>2309</v>
      </c>
      <c r="G766" s="246" t="s">
        <v>2310</v>
      </c>
      <c r="H766" s="247">
        <v>95</v>
      </c>
      <c r="I766" s="246" t="s">
        <v>1262</v>
      </c>
      <c r="J766" s="247">
        <v>36</v>
      </c>
      <c r="K766" s="246" t="s">
        <v>2295</v>
      </c>
      <c r="L766" s="246" t="s">
        <v>2311</v>
      </c>
      <c r="M766" s="246">
        <v>5</v>
      </c>
      <c r="N766" s="246"/>
      <c r="O766" s="246" t="s">
        <v>5737</v>
      </c>
      <c r="P766" s="246" t="s">
        <v>6437</v>
      </c>
      <c r="Q766" s="246" t="s">
        <v>5734</v>
      </c>
      <c r="R766" s="248"/>
    </row>
    <row r="767" spans="1:18" x14ac:dyDescent="0.7">
      <c r="A767" s="246" t="s">
        <v>5738</v>
      </c>
      <c r="B767" s="246" t="s">
        <v>5739</v>
      </c>
      <c r="C767" s="246" t="s">
        <v>2078</v>
      </c>
      <c r="D767" s="246" t="s">
        <v>5740</v>
      </c>
      <c r="E767" s="246">
        <v>12</v>
      </c>
      <c r="F767" s="246" t="s">
        <v>2309</v>
      </c>
      <c r="G767" s="246" t="s">
        <v>2310</v>
      </c>
      <c r="H767" s="247">
        <v>95</v>
      </c>
      <c r="I767" s="246" t="s">
        <v>1262</v>
      </c>
      <c r="J767" s="247">
        <v>80</v>
      </c>
      <c r="K767" s="246" t="s">
        <v>2295</v>
      </c>
      <c r="L767" s="246" t="s">
        <v>2316</v>
      </c>
      <c r="M767" s="246">
        <v>10</v>
      </c>
      <c r="N767" s="246"/>
      <c r="O767" s="246" t="s">
        <v>5741</v>
      </c>
      <c r="P767" s="246" t="s">
        <v>6433</v>
      </c>
      <c r="Q767" s="246" t="s">
        <v>5738</v>
      </c>
      <c r="R767" s="248"/>
    </row>
    <row r="768" spans="1:18" x14ac:dyDescent="0.7">
      <c r="A768" s="246" t="s">
        <v>5762</v>
      </c>
      <c r="B768" s="246" t="s">
        <v>5763</v>
      </c>
      <c r="C768" s="246" t="s">
        <v>2040</v>
      </c>
      <c r="D768" s="246" t="s">
        <v>5764</v>
      </c>
      <c r="E768" s="246">
        <v>12</v>
      </c>
      <c r="F768" s="246" t="s">
        <v>2309</v>
      </c>
      <c r="G768" s="246" t="s">
        <v>2310</v>
      </c>
      <c r="H768" s="247">
        <v>96</v>
      </c>
      <c r="I768" s="246" t="s">
        <v>1259</v>
      </c>
      <c r="J768" s="247">
        <v>107</v>
      </c>
      <c r="K768" s="246" t="s">
        <v>2303</v>
      </c>
      <c r="L768" s="246" t="s">
        <v>2316</v>
      </c>
      <c r="M768" s="246">
        <v>10</v>
      </c>
      <c r="N768" s="246"/>
      <c r="O768" s="246" t="s">
        <v>5765</v>
      </c>
      <c r="P768" s="246" t="s">
        <v>6433</v>
      </c>
      <c r="Q768" s="246" t="s">
        <v>5762</v>
      </c>
      <c r="R768" s="248"/>
    </row>
    <row r="769" spans="1:18" x14ac:dyDescent="0.7">
      <c r="A769" s="246" t="s">
        <v>5766</v>
      </c>
      <c r="B769" s="246" t="s">
        <v>5767</v>
      </c>
      <c r="C769" s="246" t="s">
        <v>2041</v>
      </c>
      <c r="D769" s="246" t="s">
        <v>5768</v>
      </c>
      <c r="E769" s="246">
        <v>12</v>
      </c>
      <c r="F769" s="246" t="s">
        <v>2309</v>
      </c>
      <c r="G769" s="246" t="s">
        <v>2310</v>
      </c>
      <c r="H769" s="247">
        <v>96</v>
      </c>
      <c r="I769" s="246" t="s">
        <v>1259</v>
      </c>
      <c r="J769" s="247">
        <v>68</v>
      </c>
      <c r="K769" s="246" t="s">
        <v>2303</v>
      </c>
      <c r="L769" s="246" t="s">
        <v>2311</v>
      </c>
      <c r="M769" s="246">
        <v>6</v>
      </c>
      <c r="N769" s="246"/>
      <c r="O769" s="246" t="s">
        <v>5769</v>
      </c>
      <c r="P769" s="246" t="s">
        <v>6436</v>
      </c>
      <c r="Q769" s="246" t="s">
        <v>5766</v>
      </c>
      <c r="R769" s="248"/>
    </row>
    <row r="770" spans="1:18" x14ac:dyDescent="0.7">
      <c r="A770" s="246" t="s">
        <v>5770</v>
      </c>
      <c r="B770" s="246" t="s">
        <v>5771</v>
      </c>
      <c r="C770" s="246" t="s">
        <v>2042</v>
      </c>
      <c r="D770" s="246" t="s">
        <v>5772</v>
      </c>
      <c r="E770" s="246">
        <v>12</v>
      </c>
      <c r="F770" s="246" t="s">
        <v>2309</v>
      </c>
      <c r="G770" s="246" t="s">
        <v>2310</v>
      </c>
      <c r="H770" s="247">
        <v>96</v>
      </c>
      <c r="I770" s="246" t="s">
        <v>1259</v>
      </c>
      <c r="J770" s="247">
        <v>120</v>
      </c>
      <c r="K770" s="246" t="s">
        <v>2303</v>
      </c>
      <c r="L770" s="246" t="s">
        <v>2316</v>
      </c>
      <c r="M770" s="246">
        <v>10</v>
      </c>
      <c r="N770" s="246"/>
      <c r="O770" s="246" t="s">
        <v>5773</v>
      </c>
      <c r="P770" s="246" t="s">
        <v>6433</v>
      </c>
      <c r="Q770" s="246" t="s">
        <v>5770</v>
      </c>
      <c r="R770" s="248"/>
    </row>
    <row r="771" spans="1:18" x14ac:dyDescent="0.7">
      <c r="A771" s="246" t="s">
        <v>5774</v>
      </c>
      <c r="B771" s="246" t="s">
        <v>5775</v>
      </c>
      <c r="C771" s="246" t="s">
        <v>2043</v>
      </c>
      <c r="D771" s="246" t="s">
        <v>5776</v>
      </c>
      <c r="E771" s="246">
        <v>12</v>
      </c>
      <c r="F771" s="246" t="s">
        <v>2309</v>
      </c>
      <c r="G771" s="246" t="s">
        <v>2310</v>
      </c>
      <c r="H771" s="247">
        <v>96</v>
      </c>
      <c r="I771" s="246" t="s">
        <v>1259</v>
      </c>
      <c r="J771" s="247">
        <v>82</v>
      </c>
      <c r="K771" s="246" t="s">
        <v>2303</v>
      </c>
      <c r="L771" s="246" t="s">
        <v>2311</v>
      </c>
      <c r="M771" s="246">
        <v>7</v>
      </c>
      <c r="N771" s="246"/>
      <c r="O771" s="246" t="s">
        <v>5777</v>
      </c>
      <c r="P771" s="246" t="s">
        <v>6434</v>
      </c>
      <c r="Q771" s="246" t="s">
        <v>5774</v>
      </c>
      <c r="R771" s="248"/>
    </row>
    <row r="772" spans="1:18" x14ac:dyDescent="0.7">
      <c r="A772" s="246" t="s">
        <v>5778</v>
      </c>
      <c r="B772" s="246" t="s">
        <v>5779</v>
      </c>
      <c r="C772" s="246" t="s">
        <v>2044</v>
      </c>
      <c r="D772" s="246" t="s">
        <v>5780</v>
      </c>
      <c r="E772" s="246">
        <v>12</v>
      </c>
      <c r="F772" s="246" t="s">
        <v>2309</v>
      </c>
      <c r="G772" s="246" t="s">
        <v>2310</v>
      </c>
      <c r="H772" s="247">
        <v>96</v>
      </c>
      <c r="I772" s="246" t="s">
        <v>1259</v>
      </c>
      <c r="J772" s="247">
        <v>42</v>
      </c>
      <c r="K772" s="246" t="s">
        <v>2303</v>
      </c>
      <c r="L772" s="246" t="s">
        <v>2311</v>
      </c>
      <c r="M772" s="246">
        <v>6</v>
      </c>
      <c r="N772" s="246"/>
      <c r="O772" s="246" t="s">
        <v>5781</v>
      </c>
      <c r="P772" s="246" t="s">
        <v>6436</v>
      </c>
      <c r="Q772" s="246" t="s">
        <v>5778</v>
      </c>
      <c r="R772" s="248"/>
    </row>
    <row r="773" spans="1:18" x14ac:dyDescent="0.7">
      <c r="A773" s="246" t="s">
        <v>5782</v>
      </c>
      <c r="B773" s="246" t="s">
        <v>5783</v>
      </c>
      <c r="C773" s="246" t="s">
        <v>2045</v>
      </c>
      <c r="D773" s="246" t="s">
        <v>5784</v>
      </c>
      <c r="E773" s="246">
        <v>12</v>
      </c>
      <c r="F773" s="246" t="s">
        <v>2309</v>
      </c>
      <c r="G773" s="246" t="s">
        <v>2310</v>
      </c>
      <c r="H773" s="247">
        <v>96</v>
      </c>
      <c r="I773" s="246" t="s">
        <v>1259</v>
      </c>
      <c r="J773" s="247">
        <v>60</v>
      </c>
      <c r="K773" s="246" t="s">
        <v>2303</v>
      </c>
      <c r="L773" s="246" t="s">
        <v>2311</v>
      </c>
      <c r="M773" s="246">
        <v>6</v>
      </c>
      <c r="N773" s="246"/>
      <c r="O773" s="246" t="s">
        <v>5785</v>
      </c>
      <c r="P773" s="246" t="s">
        <v>6436</v>
      </c>
      <c r="Q773" s="246" t="s">
        <v>5782</v>
      </c>
      <c r="R773" s="248"/>
    </row>
    <row r="774" spans="1:18" x14ac:dyDescent="0.7">
      <c r="A774" s="246" t="s">
        <v>5786</v>
      </c>
      <c r="B774" s="246" t="s">
        <v>5787</v>
      </c>
      <c r="C774" s="246" t="s">
        <v>2046</v>
      </c>
      <c r="D774" s="246" t="s">
        <v>5788</v>
      </c>
      <c r="E774" s="246">
        <v>12</v>
      </c>
      <c r="F774" s="246" t="s">
        <v>2309</v>
      </c>
      <c r="G774" s="246" t="s">
        <v>2310</v>
      </c>
      <c r="H774" s="247">
        <v>96</v>
      </c>
      <c r="I774" s="246" t="s">
        <v>1259</v>
      </c>
      <c r="J774" s="247">
        <v>35</v>
      </c>
      <c r="K774" s="246" t="s">
        <v>2303</v>
      </c>
      <c r="L774" s="246" t="s">
        <v>2311</v>
      </c>
      <c r="M774" s="246">
        <v>5</v>
      </c>
      <c r="N774" s="246"/>
      <c r="O774" s="246" t="s">
        <v>5789</v>
      </c>
      <c r="P774" s="246" t="s">
        <v>6437</v>
      </c>
      <c r="Q774" s="246" t="s">
        <v>5786</v>
      </c>
      <c r="R774" s="248"/>
    </row>
    <row r="775" spans="1:18" x14ac:dyDescent="0.7">
      <c r="A775" s="246" t="s">
        <v>5790</v>
      </c>
      <c r="B775" s="246" t="s">
        <v>5791</v>
      </c>
      <c r="C775" s="246" t="s">
        <v>2047</v>
      </c>
      <c r="D775" s="246" t="s">
        <v>5792</v>
      </c>
      <c r="E775" s="246">
        <v>12</v>
      </c>
      <c r="F775" s="246" t="s">
        <v>2309</v>
      </c>
      <c r="G775" s="246" t="s">
        <v>2310</v>
      </c>
      <c r="H775" s="247">
        <v>96</v>
      </c>
      <c r="I775" s="246" t="s">
        <v>1259</v>
      </c>
      <c r="J775" s="247">
        <v>42</v>
      </c>
      <c r="K775" s="246" t="s">
        <v>2303</v>
      </c>
      <c r="L775" s="246" t="s">
        <v>2311</v>
      </c>
      <c r="M775" s="246">
        <v>6</v>
      </c>
      <c r="N775" s="246"/>
      <c r="O775" s="246" t="s">
        <v>5793</v>
      </c>
      <c r="P775" s="246" t="s">
        <v>6436</v>
      </c>
      <c r="Q775" s="246" t="s">
        <v>5790</v>
      </c>
      <c r="R775" s="248"/>
    </row>
    <row r="776" spans="1:18" x14ac:dyDescent="0.7">
      <c r="A776" s="246" t="s">
        <v>5074</v>
      </c>
      <c r="B776" s="246" t="s">
        <v>5075</v>
      </c>
      <c r="C776" s="246" t="s">
        <v>2173</v>
      </c>
      <c r="D776" s="246" t="s">
        <v>5076</v>
      </c>
      <c r="E776" s="246">
        <v>10</v>
      </c>
      <c r="F776" s="246" t="s">
        <v>2301</v>
      </c>
      <c r="G776" s="246" t="s">
        <v>2302</v>
      </c>
      <c r="H776" s="247">
        <v>34</v>
      </c>
      <c r="I776" s="246" t="s">
        <v>1250</v>
      </c>
      <c r="J776" s="247">
        <v>437</v>
      </c>
      <c r="K776" s="246" t="s">
        <v>2303</v>
      </c>
      <c r="L776" s="246" t="s">
        <v>2295</v>
      </c>
      <c r="M776" s="246">
        <v>17</v>
      </c>
      <c r="N776" s="246"/>
      <c r="O776" s="246" t="s">
        <v>5077</v>
      </c>
      <c r="P776" s="246" t="s">
        <v>6428</v>
      </c>
      <c r="Q776" s="246" t="s">
        <v>5074</v>
      </c>
      <c r="R776" s="248"/>
    </row>
    <row r="777" spans="1:18" x14ac:dyDescent="0.7">
      <c r="A777" s="246" t="s">
        <v>5130</v>
      </c>
      <c r="B777" s="246" t="s">
        <v>5131</v>
      </c>
      <c r="C777" s="246" t="s">
        <v>1906</v>
      </c>
      <c r="D777" s="246" t="s">
        <v>5132</v>
      </c>
      <c r="E777" s="246">
        <v>10</v>
      </c>
      <c r="F777" s="246" t="s">
        <v>2309</v>
      </c>
      <c r="G777" s="246" t="s">
        <v>2310</v>
      </c>
      <c r="H777" s="247">
        <v>35</v>
      </c>
      <c r="I777" s="246" t="s">
        <v>1247</v>
      </c>
      <c r="J777" s="247">
        <v>120</v>
      </c>
      <c r="K777" s="246" t="s">
        <v>2303</v>
      </c>
      <c r="L777" s="246" t="s">
        <v>2345</v>
      </c>
      <c r="M777" s="246">
        <v>13</v>
      </c>
      <c r="N777" s="246"/>
      <c r="O777" s="246" t="s">
        <v>5133</v>
      </c>
      <c r="P777" s="246" t="s">
        <v>6432</v>
      </c>
      <c r="Q777" s="246" t="s">
        <v>5130</v>
      </c>
      <c r="R777" s="248"/>
    </row>
    <row r="778" spans="1:18" x14ac:dyDescent="0.7">
      <c r="A778" s="246" t="s">
        <v>4000</v>
      </c>
      <c r="B778" s="246" t="s">
        <v>4001</v>
      </c>
      <c r="C778" s="246" t="s">
        <v>1695</v>
      </c>
      <c r="D778" s="246" t="s">
        <v>4002</v>
      </c>
      <c r="E778" s="246">
        <v>7</v>
      </c>
      <c r="F778" s="246" t="s">
        <v>2309</v>
      </c>
      <c r="G778" s="246" t="s">
        <v>2310</v>
      </c>
      <c r="H778" s="247">
        <v>40</v>
      </c>
      <c r="I778" s="246" t="s">
        <v>1232</v>
      </c>
      <c r="J778" s="247">
        <v>122</v>
      </c>
      <c r="K778" s="246" t="s">
        <v>2295</v>
      </c>
      <c r="L778" s="246" t="s">
        <v>2345</v>
      </c>
      <c r="M778" s="246">
        <v>13</v>
      </c>
      <c r="N778" s="246"/>
      <c r="O778" s="246" t="s">
        <v>4003</v>
      </c>
      <c r="P778" s="246" t="s">
        <v>6432</v>
      </c>
      <c r="Q778" s="246" t="s">
        <v>4000</v>
      </c>
      <c r="R778" s="248"/>
    </row>
    <row r="779" spans="1:18" x14ac:dyDescent="0.7">
      <c r="A779" s="246" t="s">
        <v>4351</v>
      </c>
      <c r="B779" s="246" t="s">
        <v>4352</v>
      </c>
      <c r="C779" s="246" t="s">
        <v>1806</v>
      </c>
      <c r="D779" s="246" t="s">
        <v>4353</v>
      </c>
      <c r="E779" s="246">
        <v>8</v>
      </c>
      <c r="F779" s="246" t="s">
        <v>2309</v>
      </c>
      <c r="G779" s="246" t="s">
        <v>2310</v>
      </c>
      <c r="H779" s="247">
        <v>41</v>
      </c>
      <c r="I779" s="246" t="s">
        <v>1241</v>
      </c>
      <c r="J779" s="247">
        <v>139</v>
      </c>
      <c r="K779" s="246" t="s">
        <v>2303</v>
      </c>
      <c r="L779" s="246" t="s">
        <v>2345</v>
      </c>
      <c r="M779" s="246">
        <v>13</v>
      </c>
      <c r="N779" s="246"/>
      <c r="O779" s="246" t="s">
        <v>4354</v>
      </c>
      <c r="P779" s="246" t="s">
        <v>6432</v>
      </c>
      <c r="Q779" s="246" t="s">
        <v>4351</v>
      </c>
      <c r="R779" s="248"/>
    </row>
    <row r="780" spans="1:18" x14ac:dyDescent="0.7">
      <c r="A780" s="246" t="s">
        <v>4404</v>
      </c>
      <c r="B780" s="246" t="s">
        <v>4405</v>
      </c>
      <c r="C780" s="246" t="s">
        <v>1758</v>
      </c>
      <c r="D780" s="246" t="s">
        <v>4406</v>
      </c>
      <c r="E780" s="246">
        <v>8</v>
      </c>
      <c r="F780" s="246" t="s">
        <v>2309</v>
      </c>
      <c r="G780" s="246" t="s">
        <v>2310</v>
      </c>
      <c r="H780" s="247">
        <v>42</v>
      </c>
      <c r="I780" s="246" t="s">
        <v>1237</v>
      </c>
      <c r="J780" s="247">
        <v>60</v>
      </c>
      <c r="K780" s="246" t="s">
        <v>2295</v>
      </c>
      <c r="L780" s="246" t="s">
        <v>2345</v>
      </c>
      <c r="M780" s="246">
        <v>12</v>
      </c>
      <c r="N780" s="246"/>
      <c r="O780" s="246" t="s">
        <v>4407</v>
      </c>
      <c r="P780" s="246" t="s">
        <v>6438</v>
      </c>
      <c r="Q780" s="246" t="s">
        <v>4404</v>
      </c>
      <c r="R780" s="248"/>
    </row>
    <row r="781" spans="1:18" x14ac:dyDescent="0.7">
      <c r="A781" s="246" t="s">
        <v>4431</v>
      </c>
      <c r="B781" s="246" t="s">
        <v>4432</v>
      </c>
      <c r="C781" s="246" t="s">
        <v>1781</v>
      </c>
      <c r="D781" s="246" t="s">
        <v>4433</v>
      </c>
      <c r="E781" s="246">
        <v>8</v>
      </c>
      <c r="F781" s="246" t="s">
        <v>2309</v>
      </c>
      <c r="G781" s="246" t="s">
        <v>2302</v>
      </c>
      <c r="H781" s="247">
        <v>43</v>
      </c>
      <c r="I781" s="246" t="s">
        <v>1239</v>
      </c>
      <c r="J781" s="247">
        <v>266</v>
      </c>
      <c r="K781" s="246" t="s">
        <v>2295</v>
      </c>
      <c r="L781" s="246" t="s">
        <v>2304</v>
      </c>
      <c r="M781" s="246">
        <v>15</v>
      </c>
      <c r="N781" s="246"/>
      <c r="O781" s="246" t="s">
        <v>4434</v>
      </c>
      <c r="P781" s="246" t="s">
        <v>6429</v>
      </c>
      <c r="Q781" s="246" t="s">
        <v>4431</v>
      </c>
      <c r="R781" s="248"/>
    </row>
    <row r="782" spans="1:18" x14ac:dyDescent="0.7">
      <c r="A782" s="246" t="s">
        <v>4206</v>
      </c>
      <c r="B782" s="246" t="s">
        <v>4207</v>
      </c>
      <c r="C782" s="246" t="s">
        <v>1676</v>
      </c>
      <c r="D782" s="246" t="s">
        <v>4208</v>
      </c>
      <c r="E782" s="246">
        <v>7</v>
      </c>
      <c r="F782" s="246" t="s">
        <v>2309</v>
      </c>
      <c r="G782" s="246" t="s">
        <v>2310</v>
      </c>
      <c r="H782" s="247">
        <v>46</v>
      </c>
      <c r="I782" s="246" t="s">
        <v>1231</v>
      </c>
      <c r="J782" s="247">
        <v>152</v>
      </c>
      <c r="K782" s="246" t="s">
        <v>2303</v>
      </c>
      <c r="L782" s="246" t="s">
        <v>2345</v>
      </c>
      <c r="M782" s="246">
        <v>13</v>
      </c>
      <c r="N782" s="246"/>
      <c r="O782" s="246" t="s">
        <v>4209</v>
      </c>
      <c r="P782" s="246" t="s">
        <v>6432</v>
      </c>
      <c r="Q782" s="246" t="s">
        <v>4206</v>
      </c>
      <c r="R782" s="248"/>
    </row>
    <row r="783" spans="1:18" x14ac:dyDescent="0.7">
      <c r="A783" s="246" t="s">
        <v>4514</v>
      </c>
      <c r="B783" s="246" t="s">
        <v>4515</v>
      </c>
      <c r="C783" s="246" t="s">
        <v>2147</v>
      </c>
      <c r="D783" s="246" t="s">
        <v>4516</v>
      </c>
      <c r="E783" s="246">
        <v>8</v>
      </c>
      <c r="F783" s="246" t="s">
        <v>2301</v>
      </c>
      <c r="G783" s="246" t="s">
        <v>2302</v>
      </c>
      <c r="H783" s="247">
        <v>47</v>
      </c>
      <c r="I783" s="246" t="s">
        <v>1238</v>
      </c>
      <c r="J783" s="247">
        <v>301</v>
      </c>
      <c r="K783" s="246" t="s">
        <v>2295</v>
      </c>
      <c r="L783" s="246" t="s">
        <v>2304</v>
      </c>
      <c r="M783" s="246">
        <v>15</v>
      </c>
      <c r="N783" s="246"/>
      <c r="O783" s="246" t="s">
        <v>4517</v>
      </c>
      <c r="P783" s="246" t="s">
        <v>6429</v>
      </c>
      <c r="Q783" s="246" t="s">
        <v>4514</v>
      </c>
      <c r="R783" s="248"/>
    </row>
    <row r="784" spans="1:18" x14ac:dyDescent="0.7">
      <c r="A784" s="246" t="s">
        <v>4561</v>
      </c>
      <c r="B784" s="246" t="s">
        <v>4562</v>
      </c>
      <c r="C784" s="246" t="s">
        <v>1738</v>
      </c>
      <c r="D784" s="246" t="s">
        <v>4563</v>
      </c>
      <c r="E784" s="246">
        <v>8</v>
      </c>
      <c r="F784" s="246" t="s">
        <v>2309</v>
      </c>
      <c r="G784" s="246" t="s">
        <v>2310</v>
      </c>
      <c r="H784" s="247">
        <v>48</v>
      </c>
      <c r="I784" s="246" t="s">
        <v>1235</v>
      </c>
      <c r="J784" s="247">
        <v>120</v>
      </c>
      <c r="K784" s="246" t="s">
        <v>2303</v>
      </c>
      <c r="L784" s="246" t="s">
        <v>2345</v>
      </c>
      <c r="M784" s="246">
        <v>13</v>
      </c>
      <c r="N784" s="246"/>
      <c r="O784" s="246" t="s">
        <v>4564</v>
      </c>
      <c r="P784" s="246" t="s">
        <v>6432</v>
      </c>
      <c r="Q784" s="246" t="s">
        <v>4561</v>
      </c>
      <c r="R784" s="248"/>
    </row>
    <row r="785" spans="1:18" x14ac:dyDescent="0.7">
      <c r="A785" s="246" t="s">
        <v>2509</v>
      </c>
      <c r="B785" s="246" t="s">
        <v>2510</v>
      </c>
      <c r="C785" s="246" t="s">
        <v>1335</v>
      </c>
      <c r="D785" s="246" t="s">
        <v>2511</v>
      </c>
      <c r="E785" s="246">
        <v>1</v>
      </c>
      <c r="F785" s="246" t="s">
        <v>2309</v>
      </c>
      <c r="G785" s="246" t="s">
        <v>2310</v>
      </c>
      <c r="H785" s="247">
        <v>54</v>
      </c>
      <c r="I785" s="246" t="s">
        <v>1193</v>
      </c>
      <c r="J785" s="247">
        <v>41</v>
      </c>
      <c r="K785" s="246" t="s">
        <v>2303</v>
      </c>
      <c r="L785" s="246" t="s">
        <v>2316</v>
      </c>
      <c r="M785" s="246">
        <v>9</v>
      </c>
      <c r="N785" s="246"/>
      <c r="O785" s="246" t="s">
        <v>2512</v>
      </c>
      <c r="P785" s="246" t="s">
        <v>6435</v>
      </c>
      <c r="Q785" s="246" t="s">
        <v>2509</v>
      </c>
      <c r="R785" s="248"/>
    </row>
    <row r="786" spans="1:18" x14ac:dyDescent="0.7">
      <c r="A786" s="246" t="s">
        <v>2560</v>
      </c>
      <c r="B786" s="246" t="s">
        <v>2561</v>
      </c>
      <c r="C786" s="246" t="s">
        <v>1318</v>
      </c>
      <c r="D786" s="246" t="s">
        <v>2562</v>
      </c>
      <c r="E786" s="246">
        <v>1</v>
      </c>
      <c r="F786" s="246" t="s">
        <v>2309</v>
      </c>
      <c r="G786" s="246" t="s">
        <v>2310</v>
      </c>
      <c r="H786" s="247">
        <v>55</v>
      </c>
      <c r="I786" s="246" t="s">
        <v>1191</v>
      </c>
      <c r="J786" s="247">
        <v>125</v>
      </c>
      <c r="K786" s="246" t="s">
        <v>2303</v>
      </c>
      <c r="L786" s="246" t="s">
        <v>2345</v>
      </c>
      <c r="M786" s="246">
        <v>13</v>
      </c>
      <c r="N786" s="246"/>
      <c r="O786" s="246" t="s">
        <v>2563</v>
      </c>
      <c r="P786" s="246" t="s">
        <v>6432</v>
      </c>
      <c r="Q786" s="246" t="s">
        <v>2560</v>
      </c>
      <c r="R786" s="248"/>
    </row>
    <row r="787" spans="1:18" x14ac:dyDescent="0.7">
      <c r="A787" s="246" t="s">
        <v>2666</v>
      </c>
      <c r="B787" s="246" t="s">
        <v>2667</v>
      </c>
      <c r="C787" s="246" t="s">
        <v>1282</v>
      </c>
      <c r="D787" s="246" t="s">
        <v>2668</v>
      </c>
      <c r="E787" s="246">
        <v>1</v>
      </c>
      <c r="F787" s="246" t="s">
        <v>2309</v>
      </c>
      <c r="G787" s="246" t="s">
        <v>2310</v>
      </c>
      <c r="H787" s="247">
        <v>57</v>
      </c>
      <c r="I787" s="246" t="s">
        <v>1189</v>
      </c>
      <c r="J787" s="247">
        <v>68</v>
      </c>
      <c r="K787" s="246" t="s">
        <v>2295</v>
      </c>
      <c r="L787" s="246" t="s">
        <v>2316</v>
      </c>
      <c r="M787" s="246">
        <v>9</v>
      </c>
      <c r="N787" s="246"/>
      <c r="O787" s="246" t="s">
        <v>2669</v>
      </c>
      <c r="P787" s="246" t="s">
        <v>6435</v>
      </c>
      <c r="Q787" s="246" t="s">
        <v>2666</v>
      </c>
      <c r="R787" s="248"/>
    </row>
    <row r="788" spans="1:18" x14ac:dyDescent="0.7">
      <c r="A788" s="246" t="s">
        <v>2844</v>
      </c>
      <c r="B788" s="246" t="s">
        <v>2845</v>
      </c>
      <c r="C788" s="246" t="s">
        <v>1381</v>
      </c>
      <c r="D788" s="246" t="s">
        <v>2846</v>
      </c>
      <c r="E788" s="246">
        <v>2</v>
      </c>
      <c r="F788" s="246" t="s">
        <v>2309</v>
      </c>
      <c r="G788" s="246" t="s">
        <v>2310</v>
      </c>
      <c r="H788" s="247">
        <v>65</v>
      </c>
      <c r="I788" s="246" t="s">
        <v>1198</v>
      </c>
      <c r="J788" s="247">
        <v>73</v>
      </c>
      <c r="K788" s="246" t="s">
        <v>2295</v>
      </c>
      <c r="L788" s="246" t="s">
        <v>2345</v>
      </c>
      <c r="M788" s="246">
        <v>12</v>
      </c>
      <c r="N788" s="246"/>
      <c r="O788" s="246" t="s">
        <v>2847</v>
      </c>
      <c r="P788" s="246" t="s">
        <v>6438</v>
      </c>
      <c r="Q788" s="246" t="s">
        <v>2844</v>
      </c>
      <c r="R788" s="248"/>
    </row>
    <row r="789" spans="1:18" x14ac:dyDescent="0.7">
      <c r="A789" s="246" t="s">
        <v>3081</v>
      </c>
      <c r="B789" s="246" t="s">
        <v>3082</v>
      </c>
      <c r="C789" s="246" t="s">
        <v>1451</v>
      </c>
      <c r="D789" s="246" t="s">
        <v>3083</v>
      </c>
      <c r="E789" s="246">
        <v>3</v>
      </c>
      <c r="F789" s="246" t="s">
        <v>2309</v>
      </c>
      <c r="G789" s="246" t="s">
        <v>2310</v>
      </c>
      <c r="H789" s="247">
        <v>66</v>
      </c>
      <c r="I789" s="246" t="s">
        <v>1205</v>
      </c>
      <c r="J789" s="247">
        <v>90</v>
      </c>
      <c r="K789" s="246" t="s">
        <v>2303</v>
      </c>
      <c r="L789" s="246" t="s">
        <v>2345</v>
      </c>
      <c r="M789" s="246">
        <v>12</v>
      </c>
      <c r="N789" s="246"/>
      <c r="O789" s="246" t="s">
        <v>3084</v>
      </c>
      <c r="P789" s="246" t="s">
        <v>6438</v>
      </c>
      <c r="Q789" s="246" t="s">
        <v>3081</v>
      </c>
      <c r="R789" s="248"/>
    </row>
    <row r="790" spans="1:18" x14ac:dyDescent="0.7">
      <c r="A790" s="246" t="s">
        <v>2887</v>
      </c>
      <c r="B790" s="246" t="s">
        <v>2888</v>
      </c>
      <c r="C790" s="246" t="s">
        <v>1392</v>
      </c>
      <c r="D790" s="246" t="s">
        <v>2889</v>
      </c>
      <c r="E790" s="246">
        <v>2</v>
      </c>
      <c r="F790" s="246" t="s">
        <v>2309</v>
      </c>
      <c r="G790" s="246" t="s">
        <v>2310</v>
      </c>
      <c r="H790" s="247">
        <v>67</v>
      </c>
      <c r="I790" s="246" t="s">
        <v>1199</v>
      </c>
      <c r="J790" s="247">
        <v>110</v>
      </c>
      <c r="K790" s="246" t="s">
        <v>2303</v>
      </c>
      <c r="L790" s="246" t="s">
        <v>2316</v>
      </c>
      <c r="M790" s="246">
        <v>9</v>
      </c>
      <c r="N790" s="246"/>
      <c r="O790" s="246" t="s">
        <v>2890</v>
      </c>
      <c r="P790" s="246" t="s">
        <v>6435</v>
      </c>
      <c r="Q790" s="246" t="s">
        <v>2887</v>
      </c>
      <c r="R790" s="248"/>
    </row>
    <row r="791" spans="1:18" x14ac:dyDescent="0.7">
      <c r="A791" s="246" t="s">
        <v>3414</v>
      </c>
      <c r="B791" s="246" t="s">
        <v>3415</v>
      </c>
      <c r="C791" s="246" t="s">
        <v>1583</v>
      </c>
      <c r="D791" s="246" t="s">
        <v>3416</v>
      </c>
      <c r="E791" s="246">
        <v>5</v>
      </c>
      <c r="F791" s="246" t="s">
        <v>2309</v>
      </c>
      <c r="G791" s="246" t="s">
        <v>2310</v>
      </c>
      <c r="H791" s="247">
        <v>70</v>
      </c>
      <c r="I791" s="246" t="s">
        <v>1219</v>
      </c>
      <c r="J791" s="247">
        <v>60</v>
      </c>
      <c r="K791" s="246" t="s">
        <v>2303</v>
      </c>
      <c r="L791" s="246" t="s">
        <v>2316</v>
      </c>
      <c r="M791" s="246">
        <v>9</v>
      </c>
      <c r="N791" s="246"/>
      <c r="O791" s="246" t="s">
        <v>3417</v>
      </c>
      <c r="P791" s="246" t="s">
        <v>6435</v>
      </c>
      <c r="Q791" s="246" t="s">
        <v>3414</v>
      </c>
      <c r="R791" s="248"/>
    </row>
    <row r="792" spans="1:18" x14ac:dyDescent="0.7">
      <c r="A792" s="246" t="s">
        <v>5425</v>
      </c>
      <c r="B792" s="246" t="s">
        <v>5426</v>
      </c>
      <c r="C792" s="246" t="s">
        <v>2024</v>
      </c>
      <c r="D792" s="246" t="s">
        <v>5427</v>
      </c>
      <c r="E792" s="246">
        <v>11</v>
      </c>
      <c r="F792" s="246" t="s">
        <v>2309</v>
      </c>
      <c r="G792" s="246" t="s">
        <v>2310</v>
      </c>
      <c r="H792" s="247">
        <v>84</v>
      </c>
      <c r="I792" s="246" t="s">
        <v>1257</v>
      </c>
      <c r="J792" s="247">
        <v>120</v>
      </c>
      <c r="K792" s="246" t="s">
        <v>2295</v>
      </c>
      <c r="L792" s="246" t="s">
        <v>2345</v>
      </c>
      <c r="M792" s="246">
        <v>13</v>
      </c>
      <c r="N792" s="246"/>
      <c r="O792" s="246" t="s">
        <v>5428</v>
      </c>
      <c r="P792" s="246" t="s">
        <v>6432</v>
      </c>
      <c r="Q792" s="246" t="s">
        <v>5425</v>
      </c>
      <c r="R792" s="248"/>
    </row>
    <row r="793" spans="1:18" x14ac:dyDescent="0.7">
      <c r="A793" s="246" t="s">
        <v>5715</v>
      </c>
      <c r="B793" s="246" t="s">
        <v>5716</v>
      </c>
      <c r="C793" s="246" t="s">
        <v>2061</v>
      </c>
      <c r="D793" s="246" t="s">
        <v>5717</v>
      </c>
      <c r="E793" s="246">
        <v>12</v>
      </c>
      <c r="F793" s="246" t="s">
        <v>2309</v>
      </c>
      <c r="G793" s="246" t="s">
        <v>2310</v>
      </c>
      <c r="H793" s="247">
        <v>94</v>
      </c>
      <c r="I793" s="246" t="s">
        <v>1260</v>
      </c>
      <c r="J793" s="247">
        <v>114</v>
      </c>
      <c r="K793" s="246" t="s">
        <v>2303</v>
      </c>
      <c r="L793" s="246" t="s">
        <v>2345</v>
      </c>
      <c r="M793" s="246">
        <v>13</v>
      </c>
      <c r="N793" s="246"/>
      <c r="O793" s="246" t="s">
        <v>5718</v>
      </c>
      <c r="P793" s="246" t="s">
        <v>6432</v>
      </c>
      <c r="Q793" s="246" t="s">
        <v>5715</v>
      </c>
      <c r="R793" s="248"/>
    </row>
    <row r="794" spans="1:18" x14ac:dyDescent="0.7">
      <c r="A794" s="246" t="s">
        <v>5742</v>
      </c>
      <c r="B794" s="246" t="s">
        <v>5743</v>
      </c>
      <c r="C794" s="246" t="s">
        <v>2079</v>
      </c>
      <c r="D794" s="246" t="s">
        <v>5744</v>
      </c>
      <c r="E794" s="246">
        <v>12</v>
      </c>
      <c r="F794" s="246" t="s">
        <v>2309</v>
      </c>
      <c r="G794" s="246" t="s">
        <v>2310</v>
      </c>
      <c r="H794" s="247">
        <v>95</v>
      </c>
      <c r="I794" s="246" t="s">
        <v>1262</v>
      </c>
      <c r="J794" s="247">
        <v>91</v>
      </c>
      <c r="K794" s="246" t="s">
        <v>2295</v>
      </c>
      <c r="L794" s="246" t="s">
        <v>2316</v>
      </c>
      <c r="M794" s="246">
        <v>10</v>
      </c>
      <c r="N794" s="246"/>
      <c r="O794" s="246" t="s">
        <v>5745</v>
      </c>
      <c r="P794" s="246" t="s">
        <v>6433</v>
      </c>
      <c r="Q794" s="246" t="s">
        <v>5742</v>
      </c>
      <c r="R794" s="248"/>
    </row>
    <row r="795" spans="1:18" x14ac:dyDescent="0.7">
      <c r="A795" s="246" t="s">
        <v>5719</v>
      </c>
      <c r="B795" s="246" t="s">
        <v>5720</v>
      </c>
      <c r="C795" s="246" t="s">
        <v>2062</v>
      </c>
      <c r="D795" s="246" t="s">
        <v>5721</v>
      </c>
      <c r="E795" s="246">
        <v>12</v>
      </c>
      <c r="F795" s="246" t="s">
        <v>2309</v>
      </c>
      <c r="G795" s="246" t="s">
        <v>2310</v>
      </c>
      <c r="H795" s="247">
        <v>94</v>
      </c>
      <c r="I795" s="246" t="s">
        <v>1260</v>
      </c>
      <c r="J795" s="247">
        <v>37</v>
      </c>
      <c r="K795" s="246" t="s">
        <v>2295</v>
      </c>
      <c r="L795" s="246" t="s">
        <v>2311</v>
      </c>
      <c r="M795" s="246">
        <v>5</v>
      </c>
      <c r="N795" s="246"/>
      <c r="O795" s="246" t="s">
        <v>5722</v>
      </c>
      <c r="P795" s="246" t="s">
        <v>6437</v>
      </c>
      <c r="Q795" s="246" t="s">
        <v>5719</v>
      </c>
      <c r="R795" s="248"/>
    </row>
    <row r="796" spans="1:18" x14ac:dyDescent="0.7">
      <c r="A796" s="246" t="s">
        <v>4669</v>
      </c>
      <c r="B796" s="246" t="s">
        <v>4670</v>
      </c>
      <c r="C796" s="246" t="s">
        <v>2158</v>
      </c>
      <c r="D796" s="246" t="s">
        <v>4671</v>
      </c>
      <c r="E796" s="246">
        <v>9</v>
      </c>
      <c r="F796" s="246" t="s">
        <v>2309</v>
      </c>
      <c r="G796" s="246" t="s">
        <v>2310</v>
      </c>
      <c r="H796" s="247">
        <v>30</v>
      </c>
      <c r="I796" s="246" t="s">
        <v>1243</v>
      </c>
      <c r="J796" s="247">
        <v>30</v>
      </c>
      <c r="K796" s="246" t="s">
        <v>2303</v>
      </c>
      <c r="L796" s="246" t="s">
        <v>2311</v>
      </c>
      <c r="M796" s="246">
        <v>5</v>
      </c>
      <c r="N796" s="246"/>
      <c r="O796" s="246" t="s">
        <v>4672</v>
      </c>
      <c r="P796" s="246" t="s">
        <v>6437</v>
      </c>
      <c r="Q796" s="246" t="s">
        <v>4669</v>
      </c>
      <c r="R796" s="248"/>
    </row>
    <row r="797" spans="1:18" x14ac:dyDescent="0.7">
      <c r="A797" s="246" t="s">
        <v>4673</v>
      </c>
      <c r="B797" s="246" t="s">
        <v>4674</v>
      </c>
      <c r="C797" s="246" t="s">
        <v>1847</v>
      </c>
      <c r="D797" s="246" t="s">
        <v>4675</v>
      </c>
      <c r="E797" s="246">
        <v>9</v>
      </c>
      <c r="F797" s="246" t="s">
        <v>2309</v>
      </c>
      <c r="G797" s="246" t="s">
        <v>2310</v>
      </c>
      <c r="H797" s="247">
        <v>30</v>
      </c>
      <c r="I797" s="246" t="s">
        <v>1243</v>
      </c>
      <c r="J797" s="247">
        <v>30</v>
      </c>
      <c r="K797" s="246" t="s">
        <v>2303</v>
      </c>
      <c r="L797" s="246" t="s">
        <v>2311</v>
      </c>
      <c r="M797" s="246">
        <v>5</v>
      </c>
      <c r="N797" s="246"/>
      <c r="O797" s="246" t="s">
        <v>4676</v>
      </c>
      <c r="P797" s="246" t="s">
        <v>6437</v>
      </c>
      <c r="Q797" s="246" t="s">
        <v>4673</v>
      </c>
      <c r="R797" s="248"/>
    </row>
    <row r="798" spans="1:18" x14ac:dyDescent="0.7">
      <c r="A798" s="246" t="s">
        <v>4776</v>
      </c>
      <c r="B798" s="246" t="s">
        <v>2565</v>
      </c>
      <c r="C798" s="246" t="s">
        <v>1873</v>
      </c>
      <c r="D798" s="246" t="s">
        <v>4777</v>
      </c>
      <c r="E798" s="246">
        <v>9</v>
      </c>
      <c r="F798" s="246" t="s">
        <v>2309</v>
      </c>
      <c r="G798" s="246" t="s">
        <v>2310</v>
      </c>
      <c r="H798" s="247">
        <v>31</v>
      </c>
      <c r="I798" s="246" t="s">
        <v>1244</v>
      </c>
      <c r="J798" s="247">
        <v>38</v>
      </c>
      <c r="K798" s="246" t="s">
        <v>2303</v>
      </c>
      <c r="L798" s="246" t="s">
        <v>2311</v>
      </c>
      <c r="M798" s="246">
        <v>5</v>
      </c>
      <c r="N798" s="246"/>
      <c r="O798" s="246" t="s">
        <v>4778</v>
      </c>
      <c r="P798" s="246" t="s">
        <v>6437</v>
      </c>
      <c r="Q798" s="246" t="s">
        <v>4776</v>
      </c>
      <c r="R798" s="248"/>
    </row>
    <row r="799" spans="1:18" x14ac:dyDescent="0.7">
      <c r="A799" s="246" t="s">
        <v>2564</v>
      </c>
      <c r="B799" s="246" t="s">
        <v>2565</v>
      </c>
      <c r="C799" s="246" t="s">
        <v>1319</v>
      </c>
      <c r="D799" s="246" t="s">
        <v>2566</v>
      </c>
      <c r="E799" s="246">
        <v>1</v>
      </c>
      <c r="F799" s="246" t="s">
        <v>2309</v>
      </c>
      <c r="G799" s="246" t="s">
        <v>2310</v>
      </c>
      <c r="H799" s="247">
        <v>55</v>
      </c>
      <c r="I799" s="246" t="s">
        <v>1191</v>
      </c>
      <c r="J799" s="247">
        <v>34</v>
      </c>
      <c r="K799" s="246" t="s">
        <v>2303</v>
      </c>
      <c r="L799" s="246" t="s">
        <v>2311</v>
      </c>
      <c r="M799" s="246">
        <v>5</v>
      </c>
      <c r="N799" s="246"/>
      <c r="O799" s="246" t="s">
        <v>2567</v>
      </c>
      <c r="P799" s="246" t="s">
        <v>6437</v>
      </c>
      <c r="Q799" s="246" t="s">
        <v>2564</v>
      </c>
      <c r="R799" s="248"/>
    </row>
    <row r="800" spans="1:18" x14ac:dyDescent="0.7">
      <c r="A800" s="246" t="s">
        <v>3085</v>
      </c>
      <c r="B800" s="246" t="s">
        <v>3086</v>
      </c>
      <c r="C800" s="246" t="s">
        <v>1452</v>
      </c>
      <c r="D800" s="246" t="s">
        <v>3087</v>
      </c>
      <c r="E800" s="246">
        <v>3</v>
      </c>
      <c r="F800" s="246" t="s">
        <v>2309</v>
      </c>
      <c r="G800" s="246" t="s">
        <v>2310</v>
      </c>
      <c r="H800" s="247">
        <v>66</v>
      </c>
      <c r="I800" s="246" t="s">
        <v>1205</v>
      </c>
      <c r="J800" s="247">
        <v>30</v>
      </c>
      <c r="K800" s="246" t="s">
        <v>2303</v>
      </c>
      <c r="L800" s="246" t="s">
        <v>2311</v>
      </c>
      <c r="M800" s="246">
        <v>5</v>
      </c>
      <c r="N800" s="246"/>
      <c r="O800" s="246" t="s">
        <v>3088</v>
      </c>
      <c r="P800" s="246" t="s">
        <v>6437</v>
      </c>
      <c r="Q800" s="246" t="s">
        <v>3085</v>
      </c>
      <c r="R800" s="248"/>
    </row>
    <row r="801" spans="1:18" x14ac:dyDescent="0.7">
      <c r="A801" s="246" t="s">
        <v>2391</v>
      </c>
      <c r="B801" s="246" t="s">
        <v>2392</v>
      </c>
      <c r="C801" s="246" t="s">
        <v>1304</v>
      </c>
      <c r="D801" s="246" t="s">
        <v>2393</v>
      </c>
      <c r="E801" s="246">
        <v>1</v>
      </c>
      <c r="F801" s="246" t="s">
        <v>2309</v>
      </c>
      <c r="G801" s="246" t="s">
        <v>2310</v>
      </c>
      <c r="H801" s="247">
        <v>50</v>
      </c>
      <c r="I801" s="246" t="s">
        <v>1190</v>
      </c>
      <c r="J801" s="247">
        <v>37</v>
      </c>
      <c r="K801" s="246" t="s">
        <v>2303</v>
      </c>
      <c r="L801" s="246" t="s">
        <v>2311</v>
      </c>
      <c r="M801" s="246">
        <v>5</v>
      </c>
      <c r="N801" s="246"/>
      <c r="O801" s="246" t="s">
        <v>2394</v>
      </c>
      <c r="P801" s="246" t="s">
        <v>6437</v>
      </c>
      <c r="Q801" s="246" t="s">
        <v>2391</v>
      </c>
      <c r="R801" s="248"/>
    </row>
    <row r="802" spans="1:18" x14ac:dyDescent="0.7">
      <c r="A802" s="246" t="s">
        <v>5429</v>
      </c>
      <c r="B802" s="246" t="s">
        <v>5430</v>
      </c>
      <c r="C802" s="246" t="s">
        <v>2025</v>
      </c>
      <c r="D802" s="246" t="s">
        <v>5431</v>
      </c>
      <c r="E802" s="246">
        <v>11</v>
      </c>
      <c r="F802" s="246" t="s">
        <v>2309</v>
      </c>
      <c r="G802" s="246" t="s">
        <v>2310</v>
      </c>
      <c r="H802" s="247">
        <v>84</v>
      </c>
      <c r="I802" s="246" t="s">
        <v>1257</v>
      </c>
      <c r="J802" s="247">
        <v>30</v>
      </c>
      <c r="K802" s="246" t="s">
        <v>2295</v>
      </c>
      <c r="L802" s="246" t="s">
        <v>2311</v>
      </c>
      <c r="M802" s="246">
        <v>5</v>
      </c>
      <c r="N802" s="246"/>
      <c r="O802" s="246" t="s">
        <v>5432</v>
      </c>
      <c r="P802" s="246" t="s">
        <v>6437</v>
      </c>
      <c r="Q802" s="246" t="s">
        <v>5429</v>
      </c>
      <c r="R802" s="248"/>
    </row>
    <row r="803" spans="1:18" x14ac:dyDescent="0.7">
      <c r="A803" s="246" t="s">
        <v>5260</v>
      </c>
      <c r="B803" s="246" t="s">
        <v>5261</v>
      </c>
      <c r="C803" s="246" t="s">
        <v>1991</v>
      </c>
      <c r="D803" s="246" t="s">
        <v>5262</v>
      </c>
      <c r="E803" s="246">
        <v>11</v>
      </c>
      <c r="F803" s="246" t="s">
        <v>2309</v>
      </c>
      <c r="G803" s="246" t="s">
        <v>2310</v>
      </c>
      <c r="H803" s="247">
        <v>80</v>
      </c>
      <c r="I803" s="246" t="s">
        <v>1253</v>
      </c>
      <c r="J803" s="247">
        <v>35</v>
      </c>
      <c r="K803" s="246" t="s">
        <v>2303</v>
      </c>
      <c r="L803" s="246" t="s">
        <v>2311</v>
      </c>
      <c r="M803" s="246">
        <v>5</v>
      </c>
      <c r="N803" s="246"/>
      <c r="O803" s="246" t="s">
        <v>5263</v>
      </c>
      <c r="P803" s="246" t="s">
        <v>6437</v>
      </c>
      <c r="Q803" s="246" t="s">
        <v>5260</v>
      </c>
      <c r="R803" s="248"/>
    </row>
    <row r="804" spans="1:18" x14ac:dyDescent="0.7">
      <c r="A804" s="246" t="s">
        <v>4004</v>
      </c>
      <c r="B804" s="246" t="s">
        <v>4005</v>
      </c>
      <c r="C804" s="246" t="s">
        <v>1696</v>
      </c>
      <c r="D804" s="246" t="s">
        <v>4006</v>
      </c>
      <c r="E804" s="246">
        <v>7</v>
      </c>
      <c r="F804" s="246" t="s">
        <v>2301</v>
      </c>
      <c r="G804" s="246" t="s">
        <v>2302</v>
      </c>
      <c r="H804" s="247">
        <v>40</v>
      </c>
      <c r="I804" s="246" t="s">
        <v>1232</v>
      </c>
      <c r="J804" s="247">
        <v>150</v>
      </c>
      <c r="K804" s="246" t="s">
        <v>2295</v>
      </c>
      <c r="L804" s="246" t="s">
        <v>2304</v>
      </c>
      <c r="M804" s="246">
        <v>14</v>
      </c>
      <c r="N804" s="246"/>
      <c r="O804" s="246" t="s">
        <v>4007</v>
      </c>
      <c r="P804" s="246" t="s">
        <v>6431</v>
      </c>
      <c r="Q804" s="246" t="s">
        <v>4004</v>
      </c>
      <c r="R804" s="248"/>
    </row>
    <row r="805" spans="1:18" x14ac:dyDescent="0.7">
      <c r="A805" s="246" t="s">
        <v>3853</v>
      </c>
      <c r="B805" s="246" t="s">
        <v>3854</v>
      </c>
      <c r="C805" s="246" t="s">
        <v>1620</v>
      </c>
      <c r="D805" s="246" t="s">
        <v>3855</v>
      </c>
      <c r="E805" s="246">
        <v>6</v>
      </c>
      <c r="F805" s="246" t="s">
        <v>2309</v>
      </c>
      <c r="G805" s="246" t="s">
        <v>2310</v>
      </c>
      <c r="H805" s="247">
        <v>24</v>
      </c>
      <c r="I805" s="246" t="s">
        <v>1224</v>
      </c>
      <c r="J805" s="247">
        <v>13</v>
      </c>
      <c r="K805" s="246" t="s">
        <v>2295</v>
      </c>
      <c r="L805" s="246" t="s">
        <v>2311</v>
      </c>
      <c r="M805" s="246">
        <v>5</v>
      </c>
      <c r="N805" s="246"/>
      <c r="O805" s="246" t="s">
        <v>3856</v>
      </c>
      <c r="P805" s="246" t="s">
        <v>6437</v>
      </c>
      <c r="Q805" s="246" t="s">
        <v>3853</v>
      </c>
      <c r="R805" s="248"/>
    </row>
    <row r="806" spans="1:18" x14ac:dyDescent="0.7">
      <c r="A806" s="246" t="s">
        <v>5746</v>
      </c>
      <c r="B806" s="246" t="s">
        <v>5747</v>
      </c>
      <c r="C806" s="246" t="s">
        <v>2080</v>
      </c>
      <c r="D806" s="246" t="s">
        <v>5748</v>
      </c>
      <c r="E806" s="246">
        <v>12</v>
      </c>
      <c r="F806" s="246" t="s">
        <v>2309</v>
      </c>
      <c r="G806" s="246" t="s">
        <v>2310</v>
      </c>
      <c r="H806" s="247">
        <v>95</v>
      </c>
      <c r="I806" s="246" t="s">
        <v>1262</v>
      </c>
      <c r="J806" s="247">
        <v>30</v>
      </c>
      <c r="K806" s="246" t="s">
        <v>2303</v>
      </c>
      <c r="L806" s="246" t="s">
        <v>2311</v>
      </c>
      <c r="M806" s="246">
        <v>5</v>
      </c>
      <c r="N806" s="246"/>
      <c r="O806" s="246" t="s">
        <v>5749</v>
      </c>
      <c r="P806" s="246" t="s">
        <v>6437</v>
      </c>
      <c r="Q806" s="246" t="s">
        <v>5746</v>
      </c>
      <c r="R806" s="248"/>
    </row>
    <row r="807" spans="1:18" x14ac:dyDescent="0.7">
      <c r="A807" s="246" t="s">
        <v>3813</v>
      </c>
      <c r="B807" s="246" t="s">
        <v>3814</v>
      </c>
      <c r="C807" s="246" t="s">
        <v>1638</v>
      </c>
      <c r="D807" s="246" t="s">
        <v>3815</v>
      </c>
      <c r="E807" s="246">
        <v>6</v>
      </c>
      <c r="F807" s="246" t="s">
        <v>2309</v>
      </c>
      <c r="G807" s="246" t="s">
        <v>2310</v>
      </c>
      <c r="H807" s="247">
        <v>23</v>
      </c>
      <c r="I807" s="246" t="s">
        <v>1226</v>
      </c>
      <c r="J807" s="247">
        <v>28</v>
      </c>
      <c r="K807" s="246" t="s">
        <v>2295</v>
      </c>
      <c r="L807" s="246" t="s">
        <v>2311</v>
      </c>
      <c r="M807" s="246">
        <v>5</v>
      </c>
      <c r="N807" s="246"/>
      <c r="O807" s="246" t="s">
        <v>3816</v>
      </c>
      <c r="P807" s="246" t="s">
        <v>6437</v>
      </c>
      <c r="Q807" s="246" t="s">
        <v>3813</v>
      </c>
      <c r="R807" s="248"/>
    </row>
    <row r="808" spans="1:18" x14ac:dyDescent="0.7">
      <c r="A808" s="246" t="s">
        <v>3913</v>
      </c>
      <c r="B808" s="246" t="s">
        <v>3914</v>
      </c>
      <c r="C808" s="246" t="s">
        <v>1662</v>
      </c>
      <c r="D808" s="246" t="s">
        <v>3915</v>
      </c>
      <c r="E808" s="246">
        <v>6</v>
      </c>
      <c r="F808" s="246" t="s">
        <v>2309</v>
      </c>
      <c r="G808" s="246" t="s">
        <v>2310</v>
      </c>
      <c r="H808" s="247">
        <v>27</v>
      </c>
      <c r="I808" s="246" t="s">
        <v>1230</v>
      </c>
      <c r="J808" s="247">
        <v>51</v>
      </c>
      <c r="K808" s="246" t="s">
        <v>2303</v>
      </c>
      <c r="L808" s="246" t="s">
        <v>2311</v>
      </c>
      <c r="M808" s="246">
        <v>6</v>
      </c>
      <c r="N808" s="246"/>
      <c r="O808" s="246" t="s">
        <v>3916</v>
      </c>
      <c r="P808" s="246" t="s">
        <v>6436</v>
      </c>
      <c r="Q808" s="246" t="s">
        <v>3913</v>
      </c>
      <c r="R808" s="248"/>
    </row>
    <row r="809" spans="1:18" x14ac:dyDescent="0.7">
      <c r="A809" s="246" t="s">
        <v>5794</v>
      </c>
      <c r="B809" s="246" t="s">
        <v>5795</v>
      </c>
      <c r="C809" s="246" t="s">
        <v>2048</v>
      </c>
      <c r="D809" s="246" t="s">
        <v>5796</v>
      </c>
      <c r="E809" s="246">
        <v>12</v>
      </c>
      <c r="F809" s="246" t="s">
        <v>2309</v>
      </c>
      <c r="G809" s="246" t="s">
        <v>2310</v>
      </c>
      <c r="H809" s="247">
        <v>96</v>
      </c>
      <c r="I809" s="246" t="s">
        <v>1259</v>
      </c>
      <c r="J809" s="247">
        <v>72</v>
      </c>
      <c r="K809" s="246" t="s">
        <v>2303</v>
      </c>
      <c r="L809" s="246" t="s">
        <v>2311</v>
      </c>
      <c r="M809" s="246">
        <v>6</v>
      </c>
      <c r="N809" s="246"/>
      <c r="O809" s="246" t="s">
        <v>5797</v>
      </c>
      <c r="P809" s="246" t="s">
        <v>6436</v>
      </c>
      <c r="Q809" s="246" t="s">
        <v>5794</v>
      </c>
      <c r="R809" s="248"/>
    </row>
    <row r="810" spans="1:18" x14ac:dyDescent="0.7">
      <c r="A810" s="246" t="s">
        <v>3553</v>
      </c>
      <c r="B810" s="246" t="s">
        <v>3554</v>
      </c>
      <c r="C810" s="246" t="s">
        <v>1557</v>
      </c>
      <c r="D810" s="246" t="s">
        <v>3555</v>
      </c>
      <c r="E810" s="246">
        <v>5</v>
      </c>
      <c r="F810" s="246" t="s">
        <v>2309</v>
      </c>
      <c r="G810" s="246" t="s">
        <v>2310</v>
      </c>
      <c r="H810" s="247">
        <v>73</v>
      </c>
      <c r="I810" s="246" t="s">
        <v>1216</v>
      </c>
      <c r="J810" s="247">
        <v>30</v>
      </c>
      <c r="K810" s="246" t="s">
        <v>2303</v>
      </c>
      <c r="L810" s="246" t="s">
        <v>2311</v>
      </c>
      <c r="M810" s="246">
        <v>5</v>
      </c>
      <c r="N810" s="246"/>
      <c r="O810" s="246" t="s">
        <v>3556</v>
      </c>
      <c r="P810" s="246" t="s">
        <v>6437</v>
      </c>
      <c r="Q810" s="246" t="s">
        <v>3553</v>
      </c>
      <c r="R810" s="248"/>
    </row>
    <row r="811" spans="1:18" x14ac:dyDescent="0.7">
      <c r="A811" s="246" t="s">
        <v>4008</v>
      </c>
      <c r="B811" s="246" t="s">
        <v>4009</v>
      </c>
      <c r="C811" s="246" t="s">
        <v>1697</v>
      </c>
      <c r="D811" s="246" t="s">
        <v>4010</v>
      </c>
      <c r="E811" s="246">
        <v>7</v>
      </c>
      <c r="F811" s="246" t="s">
        <v>2309</v>
      </c>
      <c r="G811" s="246" t="s">
        <v>2310</v>
      </c>
      <c r="H811" s="247">
        <v>40</v>
      </c>
      <c r="I811" s="246" t="s">
        <v>1232</v>
      </c>
      <c r="J811" s="247">
        <v>38</v>
      </c>
      <c r="K811" s="246" t="s">
        <v>2295</v>
      </c>
      <c r="L811" s="246" t="s">
        <v>2311</v>
      </c>
      <c r="M811" s="246">
        <v>5</v>
      </c>
      <c r="N811" s="246"/>
      <c r="O811" s="246" t="s">
        <v>4011</v>
      </c>
      <c r="P811" s="246" t="s">
        <v>6437</v>
      </c>
      <c r="Q811" s="246" t="s">
        <v>4008</v>
      </c>
      <c r="R811" s="248"/>
    </row>
    <row r="812" spans="1:18" x14ac:dyDescent="0.7">
      <c r="A812" s="246" t="s">
        <v>4408</v>
      </c>
      <c r="B812" s="246" t="s">
        <v>4409</v>
      </c>
      <c r="C812" s="246" t="s">
        <v>1759</v>
      </c>
      <c r="D812" s="246" t="s">
        <v>4410</v>
      </c>
      <c r="E812" s="246">
        <v>8</v>
      </c>
      <c r="F812" s="246" t="s">
        <v>2309</v>
      </c>
      <c r="G812" s="246" t="s">
        <v>2310</v>
      </c>
      <c r="H812" s="247">
        <v>42</v>
      </c>
      <c r="I812" s="246" t="s">
        <v>1237</v>
      </c>
      <c r="J812" s="247">
        <v>38</v>
      </c>
      <c r="K812" s="246" t="s">
        <v>2295</v>
      </c>
      <c r="L812" s="246" t="s">
        <v>2311</v>
      </c>
      <c r="M812" s="246">
        <v>6</v>
      </c>
      <c r="N812" s="246"/>
      <c r="O812" s="246" t="s">
        <v>4411</v>
      </c>
      <c r="P812" s="246" t="s">
        <v>6436</v>
      </c>
      <c r="Q812" s="246" t="s">
        <v>4408</v>
      </c>
      <c r="R812" s="248"/>
    </row>
    <row r="813" spans="1:18" x14ac:dyDescent="0.7">
      <c r="A813" s="246" t="s">
        <v>3047</v>
      </c>
      <c r="B813" s="246" t="s">
        <v>3048</v>
      </c>
      <c r="C813" s="246" t="s">
        <v>1421</v>
      </c>
      <c r="D813" s="246" t="s">
        <v>3049</v>
      </c>
      <c r="E813" s="246">
        <v>3</v>
      </c>
      <c r="F813" s="246" t="s">
        <v>2309</v>
      </c>
      <c r="G813" s="246" t="s">
        <v>2310</v>
      </c>
      <c r="H813" s="247">
        <v>62</v>
      </c>
      <c r="I813" s="246" t="s">
        <v>1202</v>
      </c>
      <c r="J813" s="247">
        <v>30</v>
      </c>
      <c r="K813" s="246" t="s">
        <v>2303</v>
      </c>
      <c r="L813" s="246" t="s">
        <v>2311</v>
      </c>
      <c r="M813" s="246">
        <v>5</v>
      </c>
      <c r="N813" s="246"/>
      <c r="O813" s="246" t="s">
        <v>3050</v>
      </c>
      <c r="P813" s="246" t="s">
        <v>6437</v>
      </c>
      <c r="Q813" s="246" t="s">
        <v>3047</v>
      </c>
      <c r="R813" s="248"/>
    </row>
    <row r="814" spans="1:18" x14ac:dyDescent="0.7">
      <c r="A814" s="246" t="s">
        <v>3474</v>
      </c>
      <c r="B814" s="246" t="s">
        <v>3475</v>
      </c>
      <c r="C814" s="246" t="s">
        <v>1547</v>
      </c>
      <c r="D814" s="246" t="s">
        <v>3476</v>
      </c>
      <c r="E814" s="246">
        <v>5</v>
      </c>
      <c r="F814" s="246" t="s">
        <v>2309</v>
      </c>
      <c r="G814" s="246" t="s">
        <v>2310</v>
      </c>
      <c r="H814" s="247">
        <v>71</v>
      </c>
      <c r="I814" s="246" t="s">
        <v>1215</v>
      </c>
      <c r="J814" s="247">
        <v>10</v>
      </c>
      <c r="K814" s="246" t="s">
        <v>2295</v>
      </c>
      <c r="L814" s="246" t="s">
        <v>2398</v>
      </c>
      <c r="M814" s="246">
        <v>2</v>
      </c>
      <c r="N814" s="246"/>
      <c r="O814" s="246" t="s">
        <v>3477</v>
      </c>
      <c r="P814" s="246" t="s">
        <v>6424</v>
      </c>
      <c r="Q814" s="246" t="s">
        <v>3474</v>
      </c>
      <c r="R814" s="248"/>
    </row>
    <row r="815" spans="1:18" x14ac:dyDescent="0.7">
      <c r="A815" s="246" t="s">
        <v>5433</v>
      </c>
      <c r="B815" s="246" t="s">
        <v>5434</v>
      </c>
      <c r="C815" s="246" t="s">
        <v>2026</v>
      </c>
      <c r="D815" s="246" t="s">
        <v>5435</v>
      </c>
      <c r="E815" s="246">
        <v>11</v>
      </c>
      <c r="F815" s="246" t="s">
        <v>2309</v>
      </c>
      <c r="G815" s="246" t="s">
        <v>2310</v>
      </c>
      <c r="H815" s="247">
        <v>84</v>
      </c>
      <c r="I815" s="246" t="s">
        <v>1257</v>
      </c>
      <c r="J815" s="247">
        <v>120</v>
      </c>
      <c r="K815" s="246" t="s">
        <v>2295</v>
      </c>
      <c r="L815" s="246" t="s">
        <v>2345</v>
      </c>
      <c r="M815" s="246">
        <v>13</v>
      </c>
      <c r="N815" s="246"/>
      <c r="O815" s="246" t="s">
        <v>5436</v>
      </c>
      <c r="P815" s="246" t="s">
        <v>6432</v>
      </c>
      <c r="Q815" s="246" t="s">
        <v>5433</v>
      </c>
      <c r="R815" s="248"/>
    </row>
    <row r="816" spans="1:18" x14ac:dyDescent="0.7">
      <c r="A816" s="246" t="s">
        <v>5625</v>
      </c>
      <c r="B816" s="246" t="s">
        <v>5626</v>
      </c>
      <c r="C816" s="246" t="s">
        <v>2036</v>
      </c>
      <c r="D816" s="246" t="s">
        <v>5627</v>
      </c>
      <c r="E816" s="246">
        <v>12</v>
      </c>
      <c r="F816" s="246" t="s">
        <v>2309</v>
      </c>
      <c r="G816" s="246" t="s">
        <v>2310</v>
      </c>
      <c r="H816" s="247">
        <v>92</v>
      </c>
      <c r="I816" s="246" t="s">
        <v>1258</v>
      </c>
      <c r="J816" s="247">
        <v>49</v>
      </c>
      <c r="K816" s="246" t="s">
        <v>2295</v>
      </c>
      <c r="L816" s="246" t="s">
        <v>2311</v>
      </c>
      <c r="M816" s="246">
        <v>5</v>
      </c>
      <c r="N816" s="246"/>
      <c r="O816" s="246" t="s">
        <v>5628</v>
      </c>
      <c r="P816" s="246" t="s">
        <v>6437</v>
      </c>
      <c r="Q816" s="246" t="s">
        <v>5625</v>
      </c>
      <c r="R816" s="248"/>
    </row>
    <row r="817" spans="1:18" x14ac:dyDescent="0.7">
      <c r="A817" s="246" t="s">
        <v>5798</v>
      </c>
      <c r="B817" s="246" t="s">
        <v>5799</v>
      </c>
      <c r="C817" s="246" t="s">
        <v>2049</v>
      </c>
      <c r="D817" s="246" t="s">
        <v>5800</v>
      </c>
      <c r="E817" s="246">
        <v>12</v>
      </c>
      <c r="F817" s="246" t="s">
        <v>2309</v>
      </c>
      <c r="G817" s="246" t="s">
        <v>2310</v>
      </c>
      <c r="H817" s="247">
        <v>96</v>
      </c>
      <c r="I817" s="246" t="s">
        <v>1259</v>
      </c>
      <c r="J817" s="247">
        <v>34</v>
      </c>
      <c r="K817" s="246" t="s">
        <v>2303</v>
      </c>
      <c r="L817" s="246" t="s">
        <v>2311</v>
      </c>
      <c r="M817" s="246">
        <v>6</v>
      </c>
      <c r="N817" s="246"/>
      <c r="O817" s="246" t="s">
        <v>5801</v>
      </c>
      <c r="P817" s="246" t="s">
        <v>6436</v>
      </c>
      <c r="Q817" s="246" t="s">
        <v>5798</v>
      </c>
      <c r="R817" s="248"/>
    </row>
    <row r="818" spans="1:18" x14ac:dyDescent="0.7">
      <c r="A818" s="246" t="s">
        <v>2670</v>
      </c>
      <c r="B818" s="246" t="s">
        <v>2671</v>
      </c>
      <c r="C818" s="246" t="s">
        <v>1283</v>
      </c>
      <c r="D818" s="246" t="s">
        <v>2672</v>
      </c>
      <c r="E818" s="246">
        <v>1</v>
      </c>
      <c r="F818" s="246" t="s">
        <v>2309</v>
      </c>
      <c r="G818" s="246" t="s">
        <v>2310</v>
      </c>
      <c r="H818" s="247">
        <v>57</v>
      </c>
      <c r="I818" s="246" t="s">
        <v>1189</v>
      </c>
      <c r="J818" s="247">
        <v>30</v>
      </c>
      <c r="K818" s="246" t="s">
        <v>2295</v>
      </c>
      <c r="L818" s="246" t="s">
        <v>2311</v>
      </c>
      <c r="M818" s="246">
        <v>6</v>
      </c>
      <c r="N818" s="246"/>
      <c r="O818" s="246" t="s">
        <v>2673</v>
      </c>
      <c r="P818" s="246" t="s">
        <v>6436</v>
      </c>
      <c r="Q818" s="246" t="s">
        <v>2670</v>
      </c>
      <c r="R818" s="248"/>
    </row>
    <row r="819" spans="1:18" x14ac:dyDescent="0.7">
      <c r="A819" s="246" t="s">
        <v>4518</v>
      </c>
      <c r="B819" s="246" t="s">
        <v>4519</v>
      </c>
      <c r="C819" s="246" t="s">
        <v>1776</v>
      </c>
      <c r="D819" s="246" t="s">
        <v>4520</v>
      </c>
      <c r="E819" s="246">
        <v>8</v>
      </c>
      <c r="F819" s="246" t="s">
        <v>2309</v>
      </c>
      <c r="G819" s="246" t="s">
        <v>2310</v>
      </c>
      <c r="H819" s="247">
        <v>47</v>
      </c>
      <c r="I819" s="246" t="s">
        <v>1238</v>
      </c>
      <c r="J819" s="247">
        <v>40</v>
      </c>
      <c r="K819" s="246" t="s">
        <v>2295</v>
      </c>
      <c r="L819" s="246" t="s">
        <v>2311</v>
      </c>
      <c r="M819" s="246">
        <v>5</v>
      </c>
      <c r="N819" s="246"/>
      <c r="O819" s="246" t="s">
        <v>4521</v>
      </c>
      <c r="P819" s="246" t="s">
        <v>6437</v>
      </c>
      <c r="Q819" s="246" t="s">
        <v>4518</v>
      </c>
      <c r="R819" s="248"/>
    </row>
    <row r="820" spans="1:18" x14ac:dyDescent="0.7">
      <c r="A820" s="246" t="s">
        <v>4435</v>
      </c>
      <c r="B820" s="246" t="s">
        <v>4436</v>
      </c>
      <c r="C820" s="246" t="s">
        <v>1782</v>
      </c>
      <c r="D820" s="246" t="s">
        <v>4437</v>
      </c>
      <c r="E820" s="246">
        <v>8</v>
      </c>
      <c r="F820" s="246" t="s">
        <v>2309</v>
      </c>
      <c r="G820" s="246" t="s">
        <v>2310</v>
      </c>
      <c r="H820" s="247">
        <v>43</v>
      </c>
      <c r="I820" s="246" t="s">
        <v>1239</v>
      </c>
      <c r="J820" s="247">
        <v>34</v>
      </c>
      <c r="K820" s="246" t="s">
        <v>2295</v>
      </c>
      <c r="L820" s="246" t="s">
        <v>2398</v>
      </c>
      <c r="M820" s="246">
        <v>3</v>
      </c>
      <c r="N820" s="246"/>
      <c r="O820" s="246" t="s">
        <v>4438</v>
      </c>
      <c r="P820" s="246" t="s">
        <v>6439</v>
      </c>
      <c r="Q820" s="246" t="s">
        <v>4435</v>
      </c>
      <c r="R820" s="248"/>
    </row>
    <row r="821" spans="1:18" x14ac:dyDescent="0.7">
      <c r="A821" s="246" t="s">
        <v>3478</v>
      </c>
      <c r="B821" s="246" t="s">
        <v>3479</v>
      </c>
      <c r="C821" s="246" t="s">
        <v>1548</v>
      </c>
      <c r="D821" s="246" t="s">
        <v>3480</v>
      </c>
      <c r="E821" s="246">
        <v>5</v>
      </c>
      <c r="F821" s="246" t="s">
        <v>2309</v>
      </c>
      <c r="G821" s="246" t="s">
        <v>2310</v>
      </c>
      <c r="H821" s="247">
        <v>71</v>
      </c>
      <c r="I821" s="246" t="s">
        <v>1215</v>
      </c>
      <c r="J821" s="247">
        <v>44</v>
      </c>
      <c r="K821" s="246" t="s">
        <v>2295</v>
      </c>
      <c r="L821" s="246" t="s">
        <v>2311</v>
      </c>
      <c r="M821" s="246">
        <v>5</v>
      </c>
      <c r="N821" s="246"/>
      <c r="O821" s="246" t="s">
        <v>3481</v>
      </c>
      <c r="P821" s="246" t="s">
        <v>6437</v>
      </c>
      <c r="Q821" s="246" t="s">
        <v>3478</v>
      </c>
      <c r="R821" s="248"/>
    </row>
    <row r="822" spans="1:18" x14ac:dyDescent="0.7">
      <c r="A822" s="246" t="s">
        <v>5078</v>
      </c>
      <c r="B822" s="246" t="s">
        <v>5079</v>
      </c>
      <c r="C822" s="246" t="s">
        <v>2174</v>
      </c>
      <c r="D822" s="246" t="s">
        <v>5080</v>
      </c>
      <c r="E822" s="246">
        <v>10</v>
      </c>
      <c r="F822" s="246" t="s">
        <v>2301</v>
      </c>
      <c r="G822" s="246" t="s">
        <v>2302</v>
      </c>
      <c r="H822" s="247">
        <v>34</v>
      </c>
      <c r="I822" s="246" t="s">
        <v>1250</v>
      </c>
      <c r="J822" s="247">
        <v>225</v>
      </c>
      <c r="K822" s="246" t="s">
        <v>2303</v>
      </c>
      <c r="L822" s="246" t="s">
        <v>2295</v>
      </c>
      <c r="M822" s="246">
        <v>16</v>
      </c>
      <c r="N822" s="246"/>
      <c r="O822" s="246" t="s">
        <v>5081</v>
      </c>
      <c r="P822" s="246" t="s">
        <v>6430</v>
      </c>
      <c r="Q822" s="246" t="s">
        <v>5078</v>
      </c>
      <c r="R822" s="248"/>
    </row>
    <row r="823" spans="1:18" x14ac:dyDescent="0.7">
      <c r="A823" s="246" t="s">
        <v>4837</v>
      </c>
      <c r="B823" s="246" t="s">
        <v>4838</v>
      </c>
      <c r="C823" s="246" t="s">
        <v>1887</v>
      </c>
      <c r="D823" s="246" t="s">
        <v>4839</v>
      </c>
      <c r="E823" s="246">
        <v>9</v>
      </c>
      <c r="F823" s="246" t="s">
        <v>2309</v>
      </c>
      <c r="G823" s="246" t="s">
        <v>2310</v>
      </c>
      <c r="H823" s="247">
        <v>32</v>
      </c>
      <c r="I823" s="246" t="s">
        <v>1245</v>
      </c>
      <c r="J823" s="247">
        <v>37</v>
      </c>
      <c r="K823" s="246" t="s">
        <v>2303</v>
      </c>
      <c r="L823" s="246" t="s">
        <v>2311</v>
      </c>
      <c r="M823" s="246">
        <v>5</v>
      </c>
      <c r="N823" s="246"/>
      <c r="O823" s="246" t="s">
        <v>4840</v>
      </c>
      <c r="P823" s="246" t="s">
        <v>6437</v>
      </c>
      <c r="Q823" s="246" t="s">
        <v>4837</v>
      </c>
      <c r="R823" s="248"/>
    </row>
    <row r="824" spans="1:18" x14ac:dyDescent="0.7">
      <c r="A824" s="246" t="s">
        <v>4677</v>
      </c>
      <c r="B824" s="246" t="s">
        <v>4678</v>
      </c>
      <c r="C824" s="246" t="s">
        <v>1848</v>
      </c>
      <c r="D824" s="246" t="s">
        <v>4679</v>
      </c>
      <c r="E824" s="246">
        <v>9</v>
      </c>
      <c r="F824" s="246" t="s">
        <v>2309</v>
      </c>
      <c r="G824" s="246" t="s">
        <v>2310</v>
      </c>
      <c r="H824" s="247">
        <v>30</v>
      </c>
      <c r="I824" s="246" t="s">
        <v>1243</v>
      </c>
      <c r="J824" s="247">
        <v>30</v>
      </c>
      <c r="K824" s="246" t="s">
        <v>2303</v>
      </c>
      <c r="L824" s="246" t="s">
        <v>2311</v>
      </c>
      <c r="M824" s="246">
        <v>6</v>
      </c>
      <c r="N824" s="246"/>
      <c r="O824" s="246" t="s">
        <v>4680</v>
      </c>
      <c r="P824" s="246" t="s">
        <v>6436</v>
      </c>
      <c r="Q824" s="246" t="s">
        <v>4677</v>
      </c>
      <c r="R824" s="248"/>
    </row>
    <row r="825" spans="1:18" x14ac:dyDescent="0.7">
      <c r="A825" s="246" t="s">
        <v>3734</v>
      </c>
      <c r="B825" s="246" t="s">
        <v>3735</v>
      </c>
      <c r="C825" s="246" t="s">
        <v>1649</v>
      </c>
      <c r="D825" s="246" t="s">
        <v>3736</v>
      </c>
      <c r="E825" s="246">
        <v>6</v>
      </c>
      <c r="F825" s="246" t="s">
        <v>2309</v>
      </c>
      <c r="G825" s="246" t="s">
        <v>2310</v>
      </c>
      <c r="H825" s="247">
        <v>21</v>
      </c>
      <c r="I825" s="246" t="s">
        <v>1228</v>
      </c>
      <c r="J825" s="247">
        <v>38</v>
      </c>
      <c r="K825" s="246" t="s">
        <v>2303</v>
      </c>
      <c r="L825" s="246" t="s">
        <v>2311</v>
      </c>
      <c r="M825" s="246">
        <v>5</v>
      </c>
      <c r="N825" s="246"/>
      <c r="O825" s="246" t="s">
        <v>3737</v>
      </c>
      <c r="P825" s="246" t="s">
        <v>6437</v>
      </c>
      <c r="Q825" s="246" t="s">
        <v>3734</v>
      </c>
      <c r="R825" s="248"/>
    </row>
    <row r="826" spans="1:18" x14ac:dyDescent="0.7">
      <c r="A826" s="246" t="s">
        <v>4983</v>
      </c>
      <c r="B826" s="246" t="s">
        <v>4984</v>
      </c>
      <c r="C826" s="246" t="s">
        <v>1925</v>
      </c>
      <c r="D826" s="246" t="s">
        <v>4985</v>
      </c>
      <c r="E826" s="246">
        <v>10</v>
      </c>
      <c r="F826" s="246" t="s">
        <v>2309</v>
      </c>
      <c r="G826" s="246" t="s">
        <v>2310</v>
      </c>
      <c r="H826" s="247">
        <v>33</v>
      </c>
      <c r="I826" s="246" t="s">
        <v>1248</v>
      </c>
      <c r="J826" s="247">
        <v>30</v>
      </c>
      <c r="K826" s="246" t="s">
        <v>2303</v>
      </c>
      <c r="L826" s="246" t="s">
        <v>2311</v>
      </c>
      <c r="M826" s="246">
        <v>5</v>
      </c>
      <c r="N826" s="246"/>
      <c r="O826" s="246" t="s">
        <v>4986</v>
      </c>
      <c r="P826" s="246" t="s">
        <v>6437</v>
      </c>
      <c r="Q826" s="246" t="s">
        <v>4983</v>
      </c>
      <c r="R826" s="248"/>
    </row>
    <row r="827" spans="1:18" x14ac:dyDescent="0.7">
      <c r="A827" s="246" t="s">
        <v>4276</v>
      </c>
      <c r="B827" s="246" t="s">
        <v>4277</v>
      </c>
      <c r="C827" s="246" t="s">
        <v>1788</v>
      </c>
      <c r="D827" s="246" t="s">
        <v>4278</v>
      </c>
      <c r="E827" s="246">
        <v>8</v>
      </c>
      <c r="F827" s="246" t="s">
        <v>2309</v>
      </c>
      <c r="G827" s="246" t="s">
        <v>2310</v>
      </c>
      <c r="H827" s="247">
        <v>39</v>
      </c>
      <c r="I827" s="246" t="s">
        <v>1240</v>
      </c>
      <c r="J827" s="247">
        <v>46</v>
      </c>
      <c r="K827" s="246" t="s">
        <v>2303</v>
      </c>
      <c r="L827" s="246" t="s">
        <v>2311</v>
      </c>
      <c r="M827" s="246">
        <v>5</v>
      </c>
      <c r="N827" s="246"/>
      <c r="O827" s="246" t="s">
        <v>4279</v>
      </c>
      <c r="P827" s="246" t="s">
        <v>6437</v>
      </c>
      <c r="Q827" s="246" t="s">
        <v>4276</v>
      </c>
      <c r="R827" s="248"/>
    </row>
    <row r="828" spans="1:18" x14ac:dyDescent="0.7">
      <c r="A828" s="246" t="s">
        <v>4779</v>
      </c>
      <c r="B828" s="246" t="s">
        <v>4780</v>
      </c>
      <c r="C828" s="246" t="s">
        <v>2163</v>
      </c>
      <c r="D828" s="246" t="s">
        <v>4781</v>
      </c>
      <c r="E828" s="246">
        <v>9</v>
      </c>
      <c r="F828" s="246" t="s">
        <v>2309</v>
      </c>
      <c r="G828" s="246" t="s">
        <v>2310</v>
      </c>
      <c r="H828" s="247">
        <v>31</v>
      </c>
      <c r="I828" s="246" t="s">
        <v>1244</v>
      </c>
      <c r="J828" s="247">
        <v>31</v>
      </c>
      <c r="K828" s="246" t="s">
        <v>2303</v>
      </c>
      <c r="L828" s="246" t="s">
        <v>2398</v>
      </c>
      <c r="M828" s="246">
        <v>3</v>
      </c>
      <c r="N828" s="246"/>
      <c r="O828" s="246" t="s">
        <v>4782</v>
      </c>
      <c r="P828" s="246" t="s">
        <v>6439</v>
      </c>
      <c r="Q828" s="246" t="s">
        <v>4779</v>
      </c>
      <c r="R828" s="248"/>
    </row>
    <row r="829" spans="1:18" x14ac:dyDescent="0.7">
      <c r="A829" s="246" t="s">
        <v>2395</v>
      </c>
      <c r="B829" s="246" t="s">
        <v>2396</v>
      </c>
      <c r="C829" s="246" t="s">
        <v>1305</v>
      </c>
      <c r="D829" s="246" t="s">
        <v>2397</v>
      </c>
      <c r="E829" s="246">
        <v>1</v>
      </c>
      <c r="F829" s="246" t="s">
        <v>2309</v>
      </c>
      <c r="G829" s="246" t="s">
        <v>2310</v>
      </c>
      <c r="H829" s="247">
        <v>50</v>
      </c>
      <c r="I829" s="246" t="s">
        <v>1190</v>
      </c>
      <c r="J829" s="247">
        <v>26</v>
      </c>
      <c r="K829" s="246" t="s">
        <v>2295</v>
      </c>
      <c r="L829" s="246" t="s">
        <v>2398</v>
      </c>
      <c r="M829" s="246">
        <v>2</v>
      </c>
      <c r="N829" s="246"/>
      <c r="O829" s="246" t="s">
        <v>2399</v>
      </c>
      <c r="P829" s="246" t="s">
        <v>6424</v>
      </c>
      <c r="Q829" s="246" t="s">
        <v>2395</v>
      </c>
      <c r="R829" s="248"/>
    </row>
    <row r="830" spans="1:18" x14ac:dyDescent="0.7">
      <c r="A830" s="246" t="s">
        <v>5802</v>
      </c>
      <c r="B830" s="246" t="s">
        <v>5803</v>
      </c>
      <c r="C830" s="246" t="s">
        <v>2050</v>
      </c>
      <c r="D830" s="246" t="s">
        <v>5804</v>
      </c>
      <c r="E830" s="246">
        <v>12</v>
      </c>
      <c r="F830" s="246" t="s">
        <v>2309</v>
      </c>
      <c r="G830" s="246" t="s">
        <v>2310</v>
      </c>
      <c r="H830" s="247">
        <v>96</v>
      </c>
      <c r="I830" s="246" t="s">
        <v>1259</v>
      </c>
      <c r="J830" s="247">
        <v>60</v>
      </c>
      <c r="K830" s="246" t="s">
        <v>2303</v>
      </c>
      <c r="L830" s="246" t="s">
        <v>2311</v>
      </c>
      <c r="M830" s="246">
        <v>6</v>
      </c>
      <c r="N830" s="246"/>
      <c r="O830" s="246" t="s">
        <v>5805</v>
      </c>
      <c r="P830" s="246" t="s">
        <v>6436</v>
      </c>
      <c r="Q830" s="246" t="s">
        <v>5802</v>
      </c>
      <c r="R830" s="248"/>
    </row>
    <row r="831" spans="1:18" x14ac:dyDescent="0.7">
      <c r="A831" s="246" t="s">
        <v>4681</v>
      </c>
      <c r="B831" s="246" t="s">
        <v>4682</v>
      </c>
      <c r="C831" s="246" t="s">
        <v>1849</v>
      </c>
      <c r="D831" s="246" t="s">
        <v>4683</v>
      </c>
      <c r="E831" s="246">
        <v>9</v>
      </c>
      <c r="F831" s="246" t="s">
        <v>2301</v>
      </c>
      <c r="G831" s="246" t="s">
        <v>2302</v>
      </c>
      <c r="H831" s="247">
        <v>30</v>
      </c>
      <c r="I831" s="246" t="s">
        <v>1243</v>
      </c>
      <c r="J831" s="247">
        <v>340</v>
      </c>
      <c r="K831" s="246" t="s">
        <v>2295</v>
      </c>
      <c r="L831" s="246" t="s">
        <v>2304</v>
      </c>
      <c r="M831" s="246">
        <v>15</v>
      </c>
      <c r="N831" s="246"/>
      <c r="O831" s="246" t="s">
        <v>4684</v>
      </c>
      <c r="P831" s="246" t="s">
        <v>6429</v>
      </c>
      <c r="Q831" s="246" t="s">
        <v>4681</v>
      </c>
      <c r="R831" s="248"/>
    </row>
    <row r="832" spans="1:18" x14ac:dyDescent="0.7">
      <c r="A832" s="246" t="s">
        <v>3738</v>
      </c>
      <c r="B832" s="246" t="s">
        <v>3739</v>
      </c>
      <c r="C832" s="246" t="s">
        <v>1650</v>
      </c>
      <c r="D832" s="246" t="s">
        <v>3740</v>
      </c>
      <c r="E832" s="246">
        <v>6</v>
      </c>
      <c r="F832" s="246" t="s">
        <v>2309</v>
      </c>
      <c r="G832" s="246" t="s">
        <v>2310</v>
      </c>
      <c r="H832" s="247">
        <v>21</v>
      </c>
      <c r="I832" s="246" t="s">
        <v>1228</v>
      </c>
      <c r="J832" s="247">
        <v>30</v>
      </c>
      <c r="K832" s="246" t="s">
        <v>2295</v>
      </c>
      <c r="L832" s="246" t="s">
        <v>2311</v>
      </c>
      <c r="M832" s="246">
        <v>5</v>
      </c>
      <c r="N832" s="246"/>
      <c r="O832" s="246" t="s">
        <v>3741</v>
      </c>
      <c r="P832" s="246" t="s">
        <v>6437</v>
      </c>
      <c r="Q832" s="246" t="s">
        <v>3738</v>
      </c>
      <c r="R832" s="248"/>
    </row>
    <row r="833" spans="1:18" x14ac:dyDescent="0.7">
      <c r="A833" s="246" t="s">
        <v>5082</v>
      </c>
      <c r="B833" s="246" t="s">
        <v>5083</v>
      </c>
      <c r="C833" s="246" t="s">
        <v>1952</v>
      </c>
      <c r="D833" s="246" t="s">
        <v>5084</v>
      </c>
      <c r="E833" s="246">
        <v>10</v>
      </c>
      <c r="F833" s="246" t="s">
        <v>2309</v>
      </c>
      <c r="G833" s="246" t="s">
        <v>2310</v>
      </c>
      <c r="H833" s="247">
        <v>34</v>
      </c>
      <c r="I833" s="246" t="s">
        <v>1250</v>
      </c>
      <c r="J833" s="247">
        <v>30</v>
      </c>
      <c r="K833" s="246" t="s">
        <v>2295</v>
      </c>
      <c r="L833" s="246" t="s">
        <v>2311</v>
      </c>
      <c r="M833" s="246">
        <v>5</v>
      </c>
      <c r="N833" s="246"/>
      <c r="O833" s="246" t="s">
        <v>5085</v>
      </c>
      <c r="P833" s="246" t="s">
        <v>6437</v>
      </c>
      <c r="Q833" s="246" t="s">
        <v>5082</v>
      </c>
      <c r="R833" s="248"/>
    </row>
    <row r="834" spans="1:18" x14ac:dyDescent="0.7">
      <c r="A834" s="246" t="s">
        <v>5672</v>
      </c>
      <c r="B834" s="246" t="s">
        <v>5673</v>
      </c>
      <c r="C834" s="246" t="s">
        <v>2073</v>
      </c>
      <c r="D834" s="246" t="s">
        <v>5674</v>
      </c>
      <c r="E834" s="246">
        <v>12</v>
      </c>
      <c r="F834" s="246" t="s">
        <v>2309</v>
      </c>
      <c r="G834" s="246" t="s">
        <v>2310</v>
      </c>
      <c r="H834" s="247">
        <v>93</v>
      </c>
      <c r="I834" s="246" t="s">
        <v>1261</v>
      </c>
      <c r="J834" s="247">
        <v>36</v>
      </c>
      <c r="K834" s="246" t="s">
        <v>2295</v>
      </c>
      <c r="L834" s="246" t="s">
        <v>2398</v>
      </c>
      <c r="M834" s="246">
        <v>3</v>
      </c>
      <c r="N834" s="246"/>
      <c r="O834" s="246" t="s">
        <v>5675</v>
      </c>
      <c r="P834" s="246" t="s">
        <v>6439</v>
      </c>
      <c r="Q834" s="246" t="s">
        <v>5672</v>
      </c>
      <c r="R834" s="248"/>
    </row>
    <row r="835" spans="1:18" x14ac:dyDescent="0.7">
      <c r="A835" s="246" t="s">
        <v>5750</v>
      </c>
      <c r="B835" s="246" t="s">
        <v>5751</v>
      </c>
      <c r="C835" s="246" t="s">
        <v>2081</v>
      </c>
      <c r="D835" s="246" t="s">
        <v>5752</v>
      </c>
      <c r="E835" s="246">
        <v>12</v>
      </c>
      <c r="F835" s="246" t="s">
        <v>2309</v>
      </c>
      <c r="G835" s="246" t="s">
        <v>2310</v>
      </c>
      <c r="H835" s="247">
        <v>95</v>
      </c>
      <c r="I835" s="246" t="s">
        <v>1262</v>
      </c>
      <c r="J835" s="247">
        <v>51</v>
      </c>
      <c r="K835" s="246" t="s">
        <v>2295</v>
      </c>
      <c r="L835" s="246" t="s">
        <v>2311</v>
      </c>
      <c r="M835" s="246">
        <v>5</v>
      </c>
      <c r="N835" s="246"/>
      <c r="O835" s="246" t="s">
        <v>5753</v>
      </c>
      <c r="P835" s="246" t="s">
        <v>6437</v>
      </c>
      <c r="Q835" s="246" t="s">
        <v>5750</v>
      </c>
      <c r="R835" s="248"/>
    </row>
    <row r="836" spans="1:18" x14ac:dyDescent="0.7">
      <c r="A836" s="246" t="s">
        <v>4685</v>
      </c>
      <c r="B836" s="246" t="s">
        <v>2565</v>
      </c>
      <c r="C836" s="246" t="s">
        <v>1850</v>
      </c>
      <c r="D836" s="246" t="s">
        <v>4686</v>
      </c>
      <c r="E836" s="246">
        <v>9</v>
      </c>
      <c r="F836" s="246" t="s">
        <v>2309</v>
      </c>
      <c r="G836" s="246" t="s">
        <v>2310</v>
      </c>
      <c r="H836" s="247">
        <v>30</v>
      </c>
      <c r="I836" s="246" t="s">
        <v>1243</v>
      </c>
      <c r="J836" s="247">
        <v>36</v>
      </c>
      <c r="K836" s="246" t="s">
        <v>2295</v>
      </c>
      <c r="L836" s="246" t="s">
        <v>2311</v>
      </c>
      <c r="M836" s="246">
        <v>5</v>
      </c>
      <c r="N836" s="246"/>
      <c r="O836" s="246" t="s">
        <v>4687</v>
      </c>
      <c r="P836" s="246" t="s">
        <v>6437</v>
      </c>
      <c r="Q836" s="246" t="s">
        <v>4685</v>
      </c>
      <c r="R836" s="248"/>
    </row>
    <row r="837" spans="1:18" x14ac:dyDescent="0.7">
      <c r="A837" s="246" t="s">
        <v>4071</v>
      </c>
      <c r="B837" s="246" t="s">
        <v>4072</v>
      </c>
      <c r="C837" s="246" t="s">
        <v>2140</v>
      </c>
      <c r="D837" s="246" t="s">
        <v>4073</v>
      </c>
      <c r="E837" s="246">
        <v>7</v>
      </c>
      <c r="F837" s="246" t="s">
        <v>2309</v>
      </c>
      <c r="G837" s="246" t="s">
        <v>2310</v>
      </c>
      <c r="H837" s="247">
        <v>44</v>
      </c>
      <c r="I837" s="246" t="s">
        <v>1233</v>
      </c>
      <c r="J837" s="247">
        <v>30</v>
      </c>
      <c r="K837" s="246" t="s">
        <v>2295</v>
      </c>
      <c r="L837" s="246" t="s">
        <v>2398</v>
      </c>
      <c r="M837" s="246">
        <v>4</v>
      </c>
      <c r="N837" s="246"/>
      <c r="O837" s="246" t="s">
        <v>4074</v>
      </c>
      <c r="P837" s="246" t="s">
        <v>6440</v>
      </c>
      <c r="Q837" s="246" t="s">
        <v>4071</v>
      </c>
      <c r="R837" s="248"/>
    </row>
    <row r="838" spans="1:18" x14ac:dyDescent="0.7">
      <c r="A838" s="246" t="s">
        <v>5086</v>
      </c>
      <c r="B838" s="246" t="s">
        <v>5087</v>
      </c>
      <c r="C838" s="246" t="s">
        <v>2175</v>
      </c>
      <c r="D838" s="246" t="s">
        <v>5088</v>
      </c>
      <c r="E838" s="246">
        <v>10</v>
      </c>
      <c r="F838" s="246" t="s">
        <v>2309</v>
      </c>
      <c r="G838" s="246" t="s">
        <v>2310</v>
      </c>
      <c r="H838" s="247">
        <v>34</v>
      </c>
      <c r="I838" s="246" t="s">
        <v>1250</v>
      </c>
      <c r="J838" s="247">
        <v>35</v>
      </c>
      <c r="K838" s="246" t="s">
        <v>2295</v>
      </c>
      <c r="L838" s="246" t="s">
        <v>2398</v>
      </c>
      <c r="M838" s="246">
        <v>3</v>
      </c>
      <c r="N838" s="246"/>
      <c r="O838" s="246" t="s">
        <v>5089</v>
      </c>
      <c r="P838" s="246" t="s">
        <v>6439</v>
      </c>
      <c r="Q838" s="246" t="s">
        <v>5086</v>
      </c>
      <c r="R838" s="248"/>
    </row>
    <row r="839" spans="1:18" x14ac:dyDescent="0.7">
      <c r="A839" s="246" t="s">
        <v>2427</v>
      </c>
      <c r="B839" s="246" t="s">
        <v>2428</v>
      </c>
      <c r="C839" s="246" t="s">
        <v>1363</v>
      </c>
      <c r="D839" s="246" t="s">
        <v>2429</v>
      </c>
      <c r="E839" s="246">
        <v>1</v>
      </c>
      <c r="F839" s="246" t="s">
        <v>2309</v>
      </c>
      <c r="G839" s="246" t="s">
        <v>2310</v>
      </c>
      <c r="H839" s="247">
        <v>51</v>
      </c>
      <c r="I839" s="246" t="s">
        <v>1196</v>
      </c>
      <c r="J839" s="247">
        <v>16</v>
      </c>
      <c r="K839" s="246" t="s">
        <v>2295</v>
      </c>
      <c r="L839" s="246" t="s">
        <v>2398</v>
      </c>
      <c r="M839" s="246">
        <v>2</v>
      </c>
      <c r="N839" s="246"/>
      <c r="O839" s="246" t="s">
        <v>2430</v>
      </c>
      <c r="P839" s="246" t="s">
        <v>6424</v>
      </c>
      <c r="Q839" s="246" t="s">
        <v>2427</v>
      </c>
      <c r="R839" s="248"/>
    </row>
    <row r="840" spans="1:18" x14ac:dyDescent="0.7">
      <c r="A840" s="246" t="s">
        <v>2568</v>
      </c>
      <c r="B840" s="246" t="s">
        <v>2569</v>
      </c>
      <c r="C840" s="246" t="s">
        <v>2110</v>
      </c>
      <c r="D840" s="246" t="s">
        <v>1320</v>
      </c>
      <c r="E840" s="246">
        <v>1</v>
      </c>
      <c r="F840" s="246" t="s">
        <v>2309</v>
      </c>
      <c r="G840" s="246" t="s">
        <v>2310</v>
      </c>
      <c r="H840" s="247">
        <v>55</v>
      </c>
      <c r="I840" s="246" t="s">
        <v>1191</v>
      </c>
      <c r="J840" s="247">
        <v>0</v>
      </c>
      <c r="K840" s="246" t="s">
        <v>2295</v>
      </c>
      <c r="L840" s="246" t="s">
        <v>2398</v>
      </c>
      <c r="M840" s="246">
        <v>3</v>
      </c>
      <c r="N840" s="246"/>
      <c r="O840" s="246" t="s">
        <v>2570</v>
      </c>
      <c r="P840" s="246" t="s">
        <v>6439</v>
      </c>
      <c r="Q840" s="246" t="s">
        <v>2568</v>
      </c>
      <c r="R840" s="248"/>
    </row>
    <row r="841" spans="1:18" x14ac:dyDescent="0.7">
      <c r="A841" s="246" t="s">
        <v>4355</v>
      </c>
      <c r="B841" s="246" t="s">
        <v>4356</v>
      </c>
      <c r="C841" s="246" t="s">
        <v>2152</v>
      </c>
      <c r="D841" s="246" t="s">
        <v>1807</v>
      </c>
      <c r="E841" s="246">
        <v>8</v>
      </c>
      <c r="F841" s="246" t="s">
        <v>2309</v>
      </c>
      <c r="G841" s="246" t="s">
        <v>2310</v>
      </c>
      <c r="H841" s="247">
        <v>41</v>
      </c>
      <c r="I841" s="246" t="s">
        <v>1241</v>
      </c>
      <c r="J841" s="247">
        <v>30</v>
      </c>
      <c r="K841" s="246" t="s">
        <v>2295</v>
      </c>
      <c r="L841" s="246" t="s">
        <v>2398</v>
      </c>
      <c r="M841" s="246">
        <v>3</v>
      </c>
      <c r="N841" s="246"/>
      <c r="O841" s="246" t="s">
        <v>4357</v>
      </c>
      <c r="P841" s="246" t="s">
        <v>6439</v>
      </c>
      <c r="Q841" s="246" t="s">
        <v>4355</v>
      </c>
      <c r="R841" s="248"/>
    </row>
    <row r="842" spans="1:18" x14ac:dyDescent="0.7">
      <c r="A842" s="246" t="s">
        <v>4358</v>
      </c>
      <c r="B842" s="246" t="s">
        <v>4359</v>
      </c>
      <c r="C842" s="246" t="s">
        <v>2153</v>
      </c>
      <c r="D842" s="246" t="s">
        <v>1808</v>
      </c>
      <c r="E842" s="246">
        <v>8</v>
      </c>
      <c r="F842" s="246" t="s">
        <v>2309</v>
      </c>
      <c r="G842" s="246" t="s">
        <v>2310</v>
      </c>
      <c r="H842" s="247">
        <v>41</v>
      </c>
      <c r="I842" s="246" t="s">
        <v>1241</v>
      </c>
      <c r="J842" s="247">
        <v>30</v>
      </c>
      <c r="K842" s="246" t="s">
        <v>2295</v>
      </c>
      <c r="L842" s="246" t="s">
        <v>2398</v>
      </c>
      <c r="M842" s="246">
        <v>3</v>
      </c>
      <c r="N842" s="246"/>
      <c r="O842" s="246" t="s">
        <v>4360</v>
      </c>
      <c r="P842" s="246" t="s">
        <v>6439</v>
      </c>
      <c r="Q842" s="246" t="s">
        <v>4358</v>
      </c>
      <c r="R842" s="248"/>
    </row>
    <row r="843" spans="1:18" x14ac:dyDescent="0.7">
      <c r="A843" s="246" t="s">
        <v>2773</v>
      </c>
      <c r="B843" s="246" t="s">
        <v>2774</v>
      </c>
      <c r="C843" s="246" t="s">
        <v>1372</v>
      </c>
      <c r="D843" s="246" t="s">
        <v>2775</v>
      </c>
      <c r="E843" s="246">
        <v>2</v>
      </c>
      <c r="F843" s="246" t="s">
        <v>2309</v>
      </c>
      <c r="G843" s="246" t="s">
        <v>2310</v>
      </c>
      <c r="H843" s="247">
        <v>63</v>
      </c>
      <c r="I843" s="246" t="s">
        <v>1197</v>
      </c>
      <c r="J843" s="247">
        <v>16</v>
      </c>
      <c r="K843" s="246" t="s">
        <v>2295</v>
      </c>
      <c r="L843" s="246" t="s">
        <v>2398</v>
      </c>
      <c r="M843" s="246">
        <v>4</v>
      </c>
      <c r="N843" s="246"/>
      <c r="O843" s="246" t="s">
        <v>2776</v>
      </c>
      <c r="P843" s="246" t="s">
        <v>6440</v>
      </c>
      <c r="Q843" s="246" t="s">
        <v>2773</v>
      </c>
      <c r="R843" s="248"/>
    </row>
    <row r="844" spans="1:18" x14ac:dyDescent="0.7">
      <c r="A844" s="246" t="s">
        <v>4688</v>
      </c>
      <c r="B844" s="246" t="s">
        <v>4689</v>
      </c>
      <c r="C844" s="246" t="s">
        <v>2159</v>
      </c>
      <c r="D844" s="246" t="s">
        <v>1851</v>
      </c>
      <c r="E844" s="246">
        <v>9</v>
      </c>
      <c r="F844" s="246" t="s">
        <v>2309</v>
      </c>
      <c r="G844" s="246" t="s">
        <v>2310</v>
      </c>
      <c r="H844" s="247">
        <v>30</v>
      </c>
      <c r="I844" s="246" t="s">
        <v>1243</v>
      </c>
      <c r="J844" s="247">
        <v>15</v>
      </c>
      <c r="K844" s="246" t="s">
        <v>2295</v>
      </c>
      <c r="L844" s="246" t="s">
        <v>2398</v>
      </c>
      <c r="M844" s="246">
        <v>3</v>
      </c>
      <c r="N844" s="246"/>
      <c r="O844" s="246" t="s">
        <v>4690</v>
      </c>
      <c r="P844" s="246" t="s">
        <v>6439</v>
      </c>
      <c r="Q844" s="246" t="s">
        <v>4688</v>
      </c>
      <c r="R844" s="248"/>
    </row>
    <row r="845" spans="1:18" x14ac:dyDescent="0.7">
      <c r="A845" s="246" t="s">
        <v>4691</v>
      </c>
      <c r="B845" s="246" t="s">
        <v>4692</v>
      </c>
      <c r="C845" s="246" t="s">
        <v>2160</v>
      </c>
      <c r="D845" s="246" t="s">
        <v>1852</v>
      </c>
      <c r="E845" s="246">
        <v>9</v>
      </c>
      <c r="F845" s="246" t="s">
        <v>2309</v>
      </c>
      <c r="G845" s="246" t="s">
        <v>2310</v>
      </c>
      <c r="H845" s="247">
        <v>30</v>
      </c>
      <c r="I845" s="246" t="s">
        <v>1243</v>
      </c>
      <c r="J845" s="247">
        <v>24</v>
      </c>
      <c r="K845" s="246" t="s">
        <v>2295</v>
      </c>
      <c r="L845" s="246" t="s">
        <v>2398</v>
      </c>
      <c r="M845" s="246">
        <v>3</v>
      </c>
      <c r="N845" s="246"/>
      <c r="O845" s="246" t="s">
        <v>4693</v>
      </c>
      <c r="P845" s="246" t="s">
        <v>6439</v>
      </c>
      <c r="Q845" s="246" t="s">
        <v>4691</v>
      </c>
      <c r="R845" s="248"/>
    </row>
    <row r="846" spans="1:18" x14ac:dyDescent="0.7">
      <c r="A846" s="246" t="s">
        <v>4694</v>
      </c>
      <c r="B846" s="246" t="s">
        <v>4695</v>
      </c>
      <c r="C846" s="246" t="s">
        <v>2161</v>
      </c>
      <c r="D846" s="246" t="s">
        <v>1853</v>
      </c>
      <c r="E846" s="246">
        <v>9</v>
      </c>
      <c r="F846" s="246" t="s">
        <v>2309</v>
      </c>
      <c r="G846" s="246" t="s">
        <v>2310</v>
      </c>
      <c r="H846" s="247">
        <v>30</v>
      </c>
      <c r="I846" s="246" t="s">
        <v>1243</v>
      </c>
      <c r="J846" s="247">
        <v>30</v>
      </c>
      <c r="K846" s="246" t="s">
        <v>2295</v>
      </c>
      <c r="L846" s="246" t="s">
        <v>2398</v>
      </c>
      <c r="M846" s="246">
        <v>3</v>
      </c>
      <c r="N846" s="246"/>
      <c r="O846" s="246" t="s">
        <v>4696</v>
      </c>
      <c r="P846" s="246" t="s">
        <v>6439</v>
      </c>
      <c r="Q846" s="246" t="s">
        <v>4694</v>
      </c>
      <c r="R846" s="248"/>
    </row>
    <row r="847" spans="1:18" x14ac:dyDescent="0.7">
      <c r="A847" s="246" t="s">
        <v>4841</v>
      </c>
      <c r="B847" s="246" t="s">
        <v>4842</v>
      </c>
      <c r="C847" s="246" t="s">
        <v>2166</v>
      </c>
      <c r="D847" s="246" t="s">
        <v>1888</v>
      </c>
      <c r="E847" s="246">
        <v>9</v>
      </c>
      <c r="F847" s="246" t="s">
        <v>2309</v>
      </c>
      <c r="G847" s="246" t="s">
        <v>2310</v>
      </c>
      <c r="H847" s="247">
        <v>32</v>
      </c>
      <c r="I847" s="246" t="s">
        <v>1245</v>
      </c>
      <c r="J847" s="247">
        <v>22</v>
      </c>
      <c r="K847" s="246" t="s">
        <v>2295</v>
      </c>
      <c r="L847" s="246" t="s">
        <v>2398</v>
      </c>
      <c r="M847" s="246">
        <v>3</v>
      </c>
      <c r="N847" s="246"/>
      <c r="O847" s="246" t="s">
        <v>4843</v>
      </c>
      <c r="P847" s="246" t="s">
        <v>6439</v>
      </c>
      <c r="Q847" s="246" t="s">
        <v>4841</v>
      </c>
      <c r="R847" s="248"/>
    </row>
    <row r="848" spans="1:18" x14ac:dyDescent="0.7">
      <c r="A848" s="246" t="s">
        <v>4844</v>
      </c>
      <c r="B848" s="246" t="s">
        <v>4845</v>
      </c>
      <c r="C848" s="246" t="s">
        <v>2167</v>
      </c>
      <c r="D848" s="246" t="s">
        <v>1889</v>
      </c>
      <c r="E848" s="246">
        <v>9</v>
      </c>
      <c r="F848" s="246" t="s">
        <v>2309</v>
      </c>
      <c r="G848" s="246" t="s">
        <v>2310</v>
      </c>
      <c r="H848" s="247">
        <v>32</v>
      </c>
      <c r="I848" s="246" t="s">
        <v>1245</v>
      </c>
      <c r="J848" s="247">
        <v>36</v>
      </c>
      <c r="K848" s="246" t="s">
        <v>2303</v>
      </c>
      <c r="L848" s="246" t="s">
        <v>2311</v>
      </c>
      <c r="M848" s="246">
        <v>6</v>
      </c>
      <c r="N848" s="246"/>
      <c r="O848" s="246" t="s">
        <v>4846</v>
      </c>
      <c r="P848" s="246" t="s">
        <v>6436</v>
      </c>
      <c r="Q848" s="246" t="s">
        <v>4844</v>
      </c>
      <c r="R848" s="248"/>
    </row>
    <row r="849" spans="1:18" x14ac:dyDescent="0.7">
      <c r="A849" s="246" t="s">
        <v>4847</v>
      </c>
      <c r="B849" s="246" t="s">
        <v>4848</v>
      </c>
      <c r="C849" s="246" t="s">
        <v>2168</v>
      </c>
      <c r="D849" s="246" t="s">
        <v>1890</v>
      </c>
      <c r="E849" s="246">
        <v>9</v>
      </c>
      <c r="F849" s="246" t="s">
        <v>2309</v>
      </c>
      <c r="G849" s="246" t="s">
        <v>2310</v>
      </c>
      <c r="H849" s="247">
        <v>32</v>
      </c>
      <c r="I849" s="246" t="s">
        <v>1245</v>
      </c>
      <c r="J849" s="247">
        <v>30</v>
      </c>
      <c r="K849" s="246" t="s">
        <v>2295</v>
      </c>
      <c r="L849" s="246" t="s">
        <v>2398</v>
      </c>
      <c r="M849" s="246">
        <v>3</v>
      </c>
      <c r="N849" s="246"/>
      <c r="O849" s="246" t="s">
        <v>4849</v>
      </c>
      <c r="P849" s="246" t="s">
        <v>6439</v>
      </c>
      <c r="Q849" s="246" t="s">
        <v>4847</v>
      </c>
      <c r="R849" s="248"/>
    </row>
    <row r="850" spans="1:18" x14ac:dyDescent="0.7">
      <c r="A850" s="246" t="s">
        <v>5090</v>
      </c>
      <c r="B850" s="246" t="s">
        <v>5091</v>
      </c>
      <c r="C850" s="246" t="s">
        <v>2176</v>
      </c>
      <c r="D850" s="246" t="s">
        <v>1953</v>
      </c>
      <c r="E850" s="246">
        <v>10</v>
      </c>
      <c r="F850" s="246" t="s">
        <v>2309</v>
      </c>
      <c r="G850" s="246" t="s">
        <v>2310</v>
      </c>
      <c r="H850" s="247">
        <v>34</v>
      </c>
      <c r="I850" s="246" t="s">
        <v>1250</v>
      </c>
      <c r="J850" s="247">
        <v>30</v>
      </c>
      <c r="K850" s="246" t="s">
        <v>2295</v>
      </c>
      <c r="L850" s="246" t="s">
        <v>2398</v>
      </c>
      <c r="M850" s="246">
        <v>3</v>
      </c>
      <c r="N850" s="246"/>
      <c r="O850" s="246" t="s">
        <v>5092</v>
      </c>
      <c r="P850" s="246" t="s">
        <v>6439</v>
      </c>
      <c r="Q850" s="246" t="s">
        <v>5090</v>
      </c>
      <c r="R850" s="248"/>
    </row>
    <row r="851" spans="1:18" x14ac:dyDescent="0.7">
      <c r="A851" s="246" t="s">
        <v>5093</v>
      </c>
      <c r="B851" s="246" t="s">
        <v>5094</v>
      </c>
      <c r="C851" s="246" t="s">
        <v>2177</v>
      </c>
      <c r="D851" s="246" t="s">
        <v>1954</v>
      </c>
      <c r="E851" s="246">
        <v>10</v>
      </c>
      <c r="F851" s="246" t="s">
        <v>2309</v>
      </c>
      <c r="G851" s="246" t="s">
        <v>2310</v>
      </c>
      <c r="H851" s="247">
        <v>34</v>
      </c>
      <c r="I851" s="246" t="s">
        <v>1250</v>
      </c>
      <c r="J851" s="247">
        <v>35</v>
      </c>
      <c r="K851" s="246" t="s">
        <v>2295</v>
      </c>
      <c r="L851" s="246" t="s">
        <v>2398</v>
      </c>
      <c r="M851" s="246">
        <v>3</v>
      </c>
      <c r="N851" s="246"/>
      <c r="O851" s="246" t="s">
        <v>5095</v>
      </c>
      <c r="P851" s="246" t="s">
        <v>6439</v>
      </c>
      <c r="Q851" s="246" t="s">
        <v>5093</v>
      </c>
      <c r="R851" s="248"/>
    </row>
    <row r="852" spans="1:18" x14ac:dyDescent="0.7">
      <c r="A852" s="246" t="s">
        <v>2915</v>
      </c>
      <c r="B852" s="246" t="s">
        <v>2916</v>
      </c>
      <c r="C852" s="246" t="s">
        <v>2114</v>
      </c>
      <c r="D852" s="246" t="s">
        <v>1429</v>
      </c>
      <c r="E852" s="246">
        <v>3</v>
      </c>
      <c r="F852" s="246" t="s">
        <v>2309</v>
      </c>
      <c r="G852" s="246" t="s">
        <v>2310</v>
      </c>
      <c r="H852" s="247">
        <v>18</v>
      </c>
      <c r="I852" s="246" t="s">
        <v>1203</v>
      </c>
      <c r="J852" s="247">
        <v>10</v>
      </c>
      <c r="K852" s="246" t="s">
        <v>2295</v>
      </c>
      <c r="L852" s="246" t="s">
        <v>2398</v>
      </c>
      <c r="M852" s="246">
        <v>2</v>
      </c>
      <c r="N852" s="246"/>
      <c r="O852" s="246" t="s">
        <v>2917</v>
      </c>
      <c r="P852" s="246" t="s">
        <v>6424</v>
      </c>
      <c r="Q852" s="246" t="s">
        <v>2915</v>
      </c>
      <c r="R852" s="248"/>
    </row>
    <row r="853" spans="1:18" x14ac:dyDescent="0.7">
      <c r="A853" s="246" t="s">
        <v>2918</v>
      </c>
      <c r="B853" s="246" t="s">
        <v>1430</v>
      </c>
      <c r="C853" s="246" t="s">
        <v>2115</v>
      </c>
      <c r="D853" s="246" t="s">
        <v>2919</v>
      </c>
      <c r="E853" s="246">
        <v>3</v>
      </c>
      <c r="F853" s="246" t="s">
        <v>2309</v>
      </c>
      <c r="G853" s="246" t="s">
        <v>2310</v>
      </c>
      <c r="H853" s="247">
        <v>18</v>
      </c>
      <c r="I853" s="246" t="s">
        <v>1203</v>
      </c>
      <c r="J853" s="247">
        <v>0</v>
      </c>
      <c r="K853" s="246" t="s">
        <v>2303</v>
      </c>
      <c r="L853" s="246" t="s">
        <v>2398</v>
      </c>
      <c r="M853" s="246">
        <v>2</v>
      </c>
      <c r="N853" s="246"/>
      <c r="O853" s="246" t="s">
        <v>2920</v>
      </c>
      <c r="P853" s="246" t="s">
        <v>6424</v>
      </c>
      <c r="Q853" s="246" t="s">
        <v>2918</v>
      </c>
      <c r="R853" s="248"/>
    </row>
    <row r="854" spans="1:18" x14ac:dyDescent="0.7">
      <c r="A854" s="246" t="s">
        <v>5096</v>
      </c>
      <c r="B854" s="246" t="s">
        <v>5097</v>
      </c>
      <c r="C854" s="246" t="s">
        <v>2178</v>
      </c>
      <c r="D854" s="246" t="s">
        <v>1955</v>
      </c>
      <c r="E854" s="246">
        <v>10</v>
      </c>
      <c r="F854" s="246" t="s">
        <v>2309</v>
      </c>
      <c r="G854" s="246" t="s">
        <v>2310</v>
      </c>
      <c r="H854" s="247">
        <v>34</v>
      </c>
      <c r="I854" s="246" t="s">
        <v>1250</v>
      </c>
      <c r="J854" s="247">
        <v>30</v>
      </c>
      <c r="K854" s="246" t="s">
        <v>2295</v>
      </c>
      <c r="L854" s="246" t="s">
        <v>2398</v>
      </c>
      <c r="M854" s="246">
        <v>3</v>
      </c>
      <c r="N854" s="246"/>
      <c r="O854" s="246" t="s">
        <v>5098</v>
      </c>
      <c r="P854" s="246" t="s">
        <v>6439</v>
      </c>
      <c r="Q854" s="246" t="s">
        <v>5096</v>
      </c>
      <c r="R854" s="248"/>
    </row>
    <row r="855" spans="1:18" x14ac:dyDescent="0.7">
      <c r="A855" s="246" t="s">
        <v>3089</v>
      </c>
      <c r="B855" s="246" t="s">
        <v>3090</v>
      </c>
      <c r="C855" s="246" t="s">
        <v>1453</v>
      </c>
      <c r="D855" s="246" t="s">
        <v>3091</v>
      </c>
      <c r="E855" s="246">
        <v>3</v>
      </c>
      <c r="F855" s="246" t="s">
        <v>2309</v>
      </c>
      <c r="G855" s="246" t="s">
        <v>2310</v>
      </c>
      <c r="H855" s="247">
        <v>66</v>
      </c>
      <c r="I855" s="246" t="s">
        <v>1205</v>
      </c>
      <c r="J855" s="247">
        <v>10</v>
      </c>
      <c r="K855" s="246" t="s">
        <v>2295</v>
      </c>
      <c r="L855" s="246" t="s">
        <v>2398</v>
      </c>
      <c r="M855" s="246">
        <v>3</v>
      </c>
      <c r="N855" s="246"/>
      <c r="O855" s="246" t="s">
        <v>3092</v>
      </c>
      <c r="P855" s="246" t="s">
        <v>6439</v>
      </c>
      <c r="Q855" s="246" t="s">
        <v>3089</v>
      </c>
      <c r="R855" s="248"/>
    </row>
    <row r="856" spans="1:18" x14ac:dyDescent="0.7">
      <c r="A856" s="246" t="s">
        <v>3093</v>
      </c>
      <c r="B856" s="246" t="s">
        <v>3094</v>
      </c>
      <c r="C856" s="246" t="s">
        <v>1454</v>
      </c>
      <c r="D856" s="246" t="s">
        <v>3095</v>
      </c>
      <c r="E856" s="246">
        <v>3</v>
      </c>
      <c r="F856" s="246" t="s">
        <v>2309</v>
      </c>
      <c r="G856" s="246" t="s">
        <v>2310</v>
      </c>
      <c r="H856" s="247">
        <v>66</v>
      </c>
      <c r="I856" s="246" t="s">
        <v>1205</v>
      </c>
      <c r="J856" s="247">
        <v>10</v>
      </c>
      <c r="K856" s="246" t="s">
        <v>2303</v>
      </c>
      <c r="L856" s="246" t="s">
        <v>2398</v>
      </c>
      <c r="M856" s="246">
        <v>2</v>
      </c>
      <c r="N856" s="246"/>
      <c r="O856" s="246" t="s">
        <v>3096</v>
      </c>
      <c r="P856" s="246" t="s">
        <v>6424</v>
      </c>
      <c r="Q856" s="246" t="s">
        <v>3093</v>
      </c>
      <c r="R856" s="248"/>
    </row>
    <row r="857" spans="1:18" x14ac:dyDescent="0.7">
      <c r="A857" s="246" t="s">
        <v>3097</v>
      </c>
      <c r="B857" s="246" t="s">
        <v>3098</v>
      </c>
      <c r="C857" s="246" t="s">
        <v>1455</v>
      </c>
      <c r="D857" s="246" t="s">
        <v>3099</v>
      </c>
      <c r="E857" s="246">
        <v>3</v>
      </c>
      <c r="F857" s="246" t="s">
        <v>2309</v>
      </c>
      <c r="G857" s="246" t="s">
        <v>2310</v>
      </c>
      <c r="H857" s="247">
        <v>66</v>
      </c>
      <c r="I857" s="246" t="s">
        <v>1205</v>
      </c>
      <c r="J857" s="247">
        <v>10</v>
      </c>
      <c r="K857" s="246" t="s">
        <v>2295</v>
      </c>
      <c r="L857" s="246" t="s">
        <v>2398</v>
      </c>
      <c r="M857" s="246">
        <v>2</v>
      </c>
      <c r="N857" s="246"/>
      <c r="O857" s="246" t="s">
        <v>3100</v>
      </c>
      <c r="P857" s="246" t="s">
        <v>6424</v>
      </c>
      <c r="Q857" s="246" t="s">
        <v>3097</v>
      </c>
      <c r="R857" s="248"/>
    </row>
    <row r="858" spans="1:18" x14ac:dyDescent="0.7">
      <c r="A858" s="246" t="s">
        <v>4146</v>
      </c>
      <c r="B858" s="246" t="s">
        <v>4147</v>
      </c>
      <c r="C858" s="246" t="s">
        <v>2142</v>
      </c>
      <c r="D858" s="246" t="s">
        <v>1726</v>
      </c>
      <c r="E858" s="246">
        <v>7</v>
      </c>
      <c r="F858" s="246" t="s">
        <v>2309</v>
      </c>
      <c r="G858" s="246" t="s">
        <v>2310</v>
      </c>
      <c r="H858" s="247">
        <v>45</v>
      </c>
      <c r="I858" s="246" t="s">
        <v>1234</v>
      </c>
      <c r="J858" s="247">
        <v>37</v>
      </c>
      <c r="K858" s="246" t="s">
        <v>2295</v>
      </c>
      <c r="L858" s="246" t="s">
        <v>2398</v>
      </c>
      <c r="M858" s="246">
        <v>3</v>
      </c>
      <c r="N858" s="246"/>
      <c r="O858" s="246" t="s">
        <v>4148</v>
      </c>
      <c r="P858" s="246" t="s">
        <v>6439</v>
      </c>
      <c r="Q858" s="246" t="s">
        <v>4146</v>
      </c>
      <c r="R858" s="248"/>
    </row>
    <row r="859" spans="1:18" x14ac:dyDescent="0.7">
      <c r="A859" s="246" t="s">
        <v>4149</v>
      </c>
      <c r="B859" s="246" t="s">
        <v>4150</v>
      </c>
      <c r="C859" s="246" t="s">
        <v>2143</v>
      </c>
      <c r="D859" s="246" t="s">
        <v>4151</v>
      </c>
      <c r="E859" s="246">
        <v>7</v>
      </c>
      <c r="F859" s="246" t="s">
        <v>2309</v>
      </c>
      <c r="G859" s="246" t="s">
        <v>2310</v>
      </c>
      <c r="H859" s="247">
        <v>45</v>
      </c>
      <c r="I859" s="246" t="s">
        <v>1234</v>
      </c>
      <c r="J859" s="247">
        <v>0</v>
      </c>
      <c r="K859" s="246" t="s">
        <v>2295</v>
      </c>
      <c r="L859" s="246" t="s">
        <v>2398</v>
      </c>
      <c r="M859" s="246">
        <v>3</v>
      </c>
      <c r="N859" s="246"/>
      <c r="O859" s="246" t="s">
        <v>4152</v>
      </c>
      <c r="P859" s="246" t="s">
        <v>6439</v>
      </c>
      <c r="Q859" s="246" t="s">
        <v>4149</v>
      </c>
      <c r="R859" s="248"/>
    </row>
    <row r="860" spans="1:18" x14ac:dyDescent="0.7">
      <c r="A860" s="246" t="s">
        <v>4153</v>
      </c>
      <c r="B860" s="246" t="s">
        <v>4154</v>
      </c>
      <c r="C860" s="246" t="s">
        <v>2144</v>
      </c>
      <c r="D860" s="246" t="s">
        <v>1727</v>
      </c>
      <c r="E860" s="246">
        <v>7</v>
      </c>
      <c r="F860" s="246" t="s">
        <v>2309</v>
      </c>
      <c r="G860" s="246" t="s">
        <v>2310</v>
      </c>
      <c r="H860" s="247">
        <v>45</v>
      </c>
      <c r="I860" s="246" t="s">
        <v>1234</v>
      </c>
      <c r="J860" s="247">
        <v>15</v>
      </c>
      <c r="K860" s="246" t="s">
        <v>2295</v>
      </c>
      <c r="L860" s="246" t="s">
        <v>2398</v>
      </c>
      <c r="M860" s="246">
        <v>3</v>
      </c>
      <c r="N860" s="246"/>
      <c r="O860" s="246" t="s">
        <v>4155</v>
      </c>
      <c r="P860" s="246" t="s">
        <v>6439</v>
      </c>
      <c r="Q860" s="246" t="s">
        <v>4153</v>
      </c>
      <c r="R860" s="248"/>
    </row>
    <row r="861" spans="1:18" x14ac:dyDescent="0.7">
      <c r="A861" s="246" t="s">
        <v>3704</v>
      </c>
      <c r="B861" s="246" t="s">
        <v>3705</v>
      </c>
      <c r="C861" s="246" t="s">
        <v>2121</v>
      </c>
      <c r="D861" s="246" t="s">
        <v>1631</v>
      </c>
      <c r="E861" s="246">
        <v>6</v>
      </c>
      <c r="F861" s="246" t="s">
        <v>2309</v>
      </c>
      <c r="G861" s="246" t="s">
        <v>2310</v>
      </c>
      <c r="H861" s="247">
        <v>20</v>
      </c>
      <c r="I861" s="246" t="s">
        <v>1225</v>
      </c>
      <c r="J861" s="247">
        <v>30</v>
      </c>
      <c r="K861" s="246" t="s">
        <v>2295</v>
      </c>
      <c r="L861" s="246" t="s">
        <v>2311</v>
      </c>
      <c r="M861" s="246">
        <v>5</v>
      </c>
      <c r="N861" s="246"/>
      <c r="O861" s="246" t="s">
        <v>3706</v>
      </c>
      <c r="P861" s="246" t="s">
        <v>6437</v>
      </c>
      <c r="Q861" s="246" t="s">
        <v>3704</v>
      </c>
      <c r="R861" s="248"/>
    </row>
    <row r="862" spans="1:18" x14ac:dyDescent="0.7">
      <c r="A862" s="246" t="s">
        <v>3051</v>
      </c>
      <c r="B862" s="246" t="s">
        <v>3052</v>
      </c>
      <c r="C862" s="246" t="s">
        <v>2113</v>
      </c>
      <c r="D862" s="246" t="s">
        <v>1422</v>
      </c>
      <c r="E862" s="246">
        <v>3</v>
      </c>
      <c r="F862" s="246" t="s">
        <v>2309</v>
      </c>
      <c r="G862" s="246" t="s">
        <v>2310</v>
      </c>
      <c r="H862" s="247">
        <v>62</v>
      </c>
      <c r="I862" s="246" t="s">
        <v>1202</v>
      </c>
      <c r="J862" s="247">
        <v>30</v>
      </c>
      <c r="K862" s="246" t="s">
        <v>2295</v>
      </c>
      <c r="L862" s="246" t="s">
        <v>2398</v>
      </c>
      <c r="M862" s="246">
        <v>3</v>
      </c>
      <c r="N862" s="246"/>
      <c r="O862" s="246" t="s">
        <v>3053</v>
      </c>
      <c r="P862" s="246" t="s">
        <v>6439</v>
      </c>
      <c r="Q862" s="246" t="s">
        <v>3051</v>
      </c>
      <c r="R862" s="248"/>
    </row>
    <row r="863" spans="1:18" x14ac:dyDescent="0.7">
      <c r="A863" s="246" t="s">
        <v>4987</v>
      </c>
      <c r="B863" s="246" t="s">
        <v>4988</v>
      </c>
      <c r="C863" s="246" t="s">
        <v>2169</v>
      </c>
      <c r="D863" s="246" t="s">
        <v>4989</v>
      </c>
      <c r="E863" s="246">
        <v>10</v>
      </c>
      <c r="F863" s="246" t="s">
        <v>2309</v>
      </c>
      <c r="G863" s="246" t="s">
        <v>2310</v>
      </c>
      <c r="H863" s="247">
        <v>33</v>
      </c>
      <c r="I863" s="246" t="s">
        <v>1248</v>
      </c>
      <c r="J863" s="247">
        <v>30</v>
      </c>
      <c r="K863" s="246" t="s">
        <v>2295</v>
      </c>
      <c r="L863" s="246" t="s">
        <v>2311</v>
      </c>
      <c r="M863" s="246">
        <v>5</v>
      </c>
      <c r="N863" s="246"/>
      <c r="O863" s="246" t="s">
        <v>4990</v>
      </c>
      <c r="P863" s="246" t="s">
        <v>6437</v>
      </c>
      <c r="Q863" s="246" t="s">
        <v>4987</v>
      </c>
      <c r="R863" s="248"/>
    </row>
    <row r="864" spans="1:18" x14ac:dyDescent="0.7">
      <c r="A864" s="246" t="s">
        <v>4991</v>
      </c>
      <c r="B864" s="246" t="s">
        <v>4992</v>
      </c>
      <c r="C864" s="246" t="s">
        <v>2170</v>
      </c>
      <c r="D864" s="246" t="s">
        <v>1926</v>
      </c>
      <c r="E864" s="246">
        <v>10</v>
      </c>
      <c r="F864" s="246" t="s">
        <v>2309</v>
      </c>
      <c r="G864" s="246" t="s">
        <v>2310</v>
      </c>
      <c r="H864" s="247">
        <v>33</v>
      </c>
      <c r="I864" s="246" t="s">
        <v>1248</v>
      </c>
      <c r="J864" s="247">
        <v>30</v>
      </c>
      <c r="K864" s="246" t="s">
        <v>2295</v>
      </c>
      <c r="L864" s="246" t="s">
        <v>2311</v>
      </c>
      <c r="M864" s="246">
        <v>5</v>
      </c>
      <c r="N864" s="246"/>
      <c r="O864" s="246" t="s">
        <v>4993</v>
      </c>
      <c r="P864" s="246" t="s">
        <v>6437</v>
      </c>
      <c r="Q864" s="246" t="s">
        <v>4991</v>
      </c>
      <c r="R864" s="248"/>
    </row>
    <row r="865" spans="1:18" x14ac:dyDescent="0.7">
      <c r="A865" s="246" t="s">
        <v>4994</v>
      </c>
      <c r="B865" s="246" t="s">
        <v>4995</v>
      </c>
      <c r="C865" s="246" t="s">
        <v>2171</v>
      </c>
      <c r="D865" s="246" t="s">
        <v>4996</v>
      </c>
      <c r="E865" s="246">
        <v>10</v>
      </c>
      <c r="F865" s="246" t="s">
        <v>2309</v>
      </c>
      <c r="G865" s="246" t="s">
        <v>2310</v>
      </c>
      <c r="H865" s="247">
        <v>33</v>
      </c>
      <c r="I865" s="246" t="s">
        <v>1248</v>
      </c>
      <c r="J865" s="247">
        <v>30</v>
      </c>
      <c r="K865" s="246" t="s">
        <v>2295</v>
      </c>
      <c r="L865" s="246" t="s">
        <v>2398</v>
      </c>
      <c r="M865" s="246">
        <v>2</v>
      </c>
      <c r="N865" s="246"/>
      <c r="O865" s="246" t="s">
        <v>4997</v>
      </c>
      <c r="P865" s="246" t="s">
        <v>6424</v>
      </c>
      <c r="Q865" s="246" t="s">
        <v>4994</v>
      </c>
      <c r="R865" s="248"/>
    </row>
    <row r="866" spans="1:18" x14ac:dyDescent="0.7">
      <c r="A866" s="246" t="s">
        <v>4210</v>
      </c>
      <c r="B866" s="246" t="s">
        <v>4211</v>
      </c>
      <c r="C866" s="246" t="s">
        <v>2131</v>
      </c>
      <c r="D866" s="246" t="s">
        <v>4212</v>
      </c>
      <c r="E866" s="246">
        <v>7</v>
      </c>
      <c r="F866" s="246" t="s">
        <v>2309</v>
      </c>
      <c r="G866" s="246" t="s">
        <v>2310</v>
      </c>
      <c r="H866" s="247">
        <v>46</v>
      </c>
      <c r="I866" s="246" t="s">
        <v>1231</v>
      </c>
      <c r="J866" s="247">
        <v>41</v>
      </c>
      <c r="K866" s="246" t="s">
        <v>2295</v>
      </c>
      <c r="L866" s="246" t="s">
        <v>2311</v>
      </c>
      <c r="M866" s="246">
        <v>5</v>
      </c>
      <c r="N866" s="246"/>
      <c r="O866" s="246" t="s">
        <v>4213</v>
      </c>
      <c r="P866" s="246" t="s">
        <v>6437</v>
      </c>
      <c r="Q866" s="246" t="s">
        <v>4210</v>
      </c>
      <c r="R866" s="248"/>
    </row>
    <row r="867" spans="1:18" x14ac:dyDescent="0.7">
      <c r="A867" s="246" t="s">
        <v>4783</v>
      </c>
      <c r="B867" s="246" t="s">
        <v>4784</v>
      </c>
      <c r="C867" s="246" t="s">
        <v>2164</v>
      </c>
      <c r="D867" s="246" t="s">
        <v>1874</v>
      </c>
      <c r="E867" s="246">
        <v>9</v>
      </c>
      <c r="F867" s="246" t="s">
        <v>2309</v>
      </c>
      <c r="G867" s="246" t="s">
        <v>2310</v>
      </c>
      <c r="H867" s="247">
        <v>31</v>
      </c>
      <c r="I867" s="246" t="s">
        <v>1244</v>
      </c>
      <c r="J867" s="247">
        <v>68</v>
      </c>
      <c r="K867" s="246" t="s">
        <v>2295</v>
      </c>
      <c r="L867" s="246" t="s">
        <v>2311</v>
      </c>
      <c r="M867" s="246">
        <v>5</v>
      </c>
      <c r="N867" s="246"/>
      <c r="O867" s="246" t="s">
        <v>4785</v>
      </c>
      <c r="P867" s="246" t="s">
        <v>6437</v>
      </c>
      <c r="Q867" s="246" t="s">
        <v>4783</v>
      </c>
      <c r="R867" s="248"/>
    </row>
    <row r="868" spans="1:18" x14ac:dyDescent="0.7">
      <c r="A868" s="246" t="s">
        <v>4439</v>
      </c>
      <c r="B868" s="246" t="s">
        <v>4440</v>
      </c>
      <c r="C868" s="246" t="s">
        <v>2148</v>
      </c>
      <c r="D868" s="246" t="s">
        <v>4441</v>
      </c>
      <c r="E868" s="246">
        <v>8</v>
      </c>
      <c r="F868" s="246" t="s">
        <v>2309</v>
      </c>
      <c r="G868" s="246" t="s">
        <v>2310</v>
      </c>
      <c r="H868" s="247">
        <v>43</v>
      </c>
      <c r="I868" s="246" t="s">
        <v>1239</v>
      </c>
      <c r="J868" s="247">
        <v>24</v>
      </c>
      <c r="K868" s="246" t="s">
        <v>2295</v>
      </c>
      <c r="L868" s="246" t="s">
        <v>2398</v>
      </c>
      <c r="M868" s="246">
        <v>2</v>
      </c>
      <c r="N868" s="246"/>
      <c r="O868" s="246" t="s">
        <v>4442</v>
      </c>
      <c r="P868" s="246" t="s">
        <v>6424</v>
      </c>
      <c r="Q868" s="246" t="s">
        <v>4439</v>
      </c>
      <c r="R868" s="248"/>
    </row>
    <row r="869" spans="1:18" x14ac:dyDescent="0.7">
      <c r="A869" s="246" t="s">
        <v>3658</v>
      </c>
      <c r="B869" s="246" t="s">
        <v>3659</v>
      </c>
      <c r="C869" s="246" t="s">
        <v>2126</v>
      </c>
      <c r="D869" s="246" t="s">
        <v>1656</v>
      </c>
      <c r="E869" s="246">
        <v>6</v>
      </c>
      <c r="F869" s="246" t="s">
        <v>2309</v>
      </c>
      <c r="G869" s="246" t="s">
        <v>2310</v>
      </c>
      <c r="H869" s="247">
        <v>11</v>
      </c>
      <c r="I869" s="246" t="s">
        <v>1229</v>
      </c>
      <c r="J869" s="247">
        <v>50</v>
      </c>
      <c r="K869" s="246" t="s">
        <v>2295</v>
      </c>
      <c r="L869" s="246" t="s">
        <v>2398</v>
      </c>
      <c r="M869" s="246">
        <v>4</v>
      </c>
      <c r="N869" s="246"/>
      <c r="O869" s="246" t="s">
        <v>3660</v>
      </c>
      <c r="P869" s="246" t="s">
        <v>6440</v>
      </c>
      <c r="Q869" s="246" t="s">
        <v>3658</v>
      </c>
      <c r="R869" s="248"/>
    </row>
    <row r="870" spans="1:18" x14ac:dyDescent="0.7">
      <c r="A870" s="246" t="s">
        <v>5590</v>
      </c>
      <c r="B870" s="246" t="s">
        <v>5591</v>
      </c>
      <c r="C870" s="246" t="s">
        <v>2105</v>
      </c>
      <c r="D870" s="246" t="s">
        <v>5592</v>
      </c>
      <c r="E870" s="246">
        <v>12</v>
      </c>
      <c r="F870" s="246" t="s">
        <v>2309</v>
      </c>
      <c r="G870" s="246" t="s">
        <v>2310</v>
      </c>
      <c r="H870" s="247">
        <v>91</v>
      </c>
      <c r="I870" s="246" t="s">
        <v>1264</v>
      </c>
      <c r="J870" s="247">
        <v>30</v>
      </c>
      <c r="K870" s="246" t="s">
        <v>2295</v>
      </c>
      <c r="L870" s="246" t="s">
        <v>2398</v>
      </c>
      <c r="M870" s="246">
        <v>3</v>
      </c>
      <c r="N870" s="246"/>
      <c r="O870" s="246" t="s">
        <v>5593</v>
      </c>
      <c r="P870" s="246" t="s">
        <v>6439</v>
      </c>
      <c r="Q870" s="246" t="s">
        <v>5590</v>
      </c>
      <c r="R870" s="248"/>
    </row>
    <row r="871" spans="1:18" x14ac:dyDescent="0.7">
      <c r="A871" s="246" t="s">
        <v>4214</v>
      </c>
      <c r="B871" s="246" t="s">
        <v>4215</v>
      </c>
      <c r="C871" s="246" t="s">
        <v>2132</v>
      </c>
      <c r="D871" s="246" t="s">
        <v>4216</v>
      </c>
      <c r="E871" s="246">
        <v>7</v>
      </c>
      <c r="F871" s="246" t="s">
        <v>2309</v>
      </c>
      <c r="G871" s="246" t="s">
        <v>2310</v>
      </c>
      <c r="H871" s="247">
        <v>46</v>
      </c>
      <c r="I871" s="246" t="s">
        <v>1231</v>
      </c>
      <c r="J871" s="247">
        <v>30</v>
      </c>
      <c r="K871" s="246" t="s">
        <v>2295</v>
      </c>
      <c r="L871" s="246" t="s">
        <v>2398</v>
      </c>
      <c r="M871" s="246">
        <v>3</v>
      </c>
      <c r="N871" s="246"/>
      <c r="O871" s="246" t="s">
        <v>4217</v>
      </c>
      <c r="P871" s="246" t="s">
        <v>6439</v>
      </c>
      <c r="Q871" s="246" t="s">
        <v>4214</v>
      </c>
      <c r="R871" s="248"/>
    </row>
    <row r="872" spans="1:18" x14ac:dyDescent="0.7">
      <c r="A872" s="246" t="s">
        <v>4218</v>
      </c>
      <c r="B872" s="246" t="s">
        <v>4219</v>
      </c>
      <c r="C872" s="246" t="s">
        <v>2133</v>
      </c>
      <c r="D872" s="246" t="s">
        <v>4220</v>
      </c>
      <c r="E872" s="246">
        <v>7</v>
      </c>
      <c r="F872" s="246" t="s">
        <v>2309</v>
      </c>
      <c r="G872" s="246" t="s">
        <v>2310</v>
      </c>
      <c r="H872" s="247">
        <v>46</v>
      </c>
      <c r="I872" s="246" t="s">
        <v>1231</v>
      </c>
      <c r="J872" s="247">
        <v>0</v>
      </c>
      <c r="K872" s="246" t="s">
        <v>2295</v>
      </c>
      <c r="L872" s="246" t="s">
        <v>2398</v>
      </c>
      <c r="M872" s="246">
        <v>3</v>
      </c>
      <c r="N872" s="246"/>
      <c r="O872" s="246" t="s">
        <v>4221</v>
      </c>
      <c r="P872" s="246" t="s">
        <v>6439</v>
      </c>
      <c r="Q872" s="246" t="s">
        <v>4218</v>
      </c>
      <c r="R872" s="248"/>
    </row>
    <row r="873" spans="1:18" x14ac:dyDescent="0.7">
      <c r="A873" s="246" t="s">
        <v>4222</v>
      </c>
      <c r="B873" s="246" t="s">
        <v>4223</v>
      </c>
      <c r="C873" s="246" t="s">
        <v>2134</v>
      </c>
      <c r="D873" s="246" t="s">
        <v>4224</v>
      </c>
      <c r="E873" s="246">
        <v>7</v>
      </c>
      <c r="F873" s="246" t="s">
        <v>2309</v>
      </c>
      <c r="G873" s="246" t="s">
        <v>2310</v>
      </c>
      <c r="H873" s="247">
        <v>46</v>
      </c>
      <c r="I873" s="246" t="s">
        <v>1231</v>
      </c>
      <c r="J873" s="247">
        <v>30</v>
      </c>
      <c r="K873" s="246" t="s">
        <v>2295</v>
      </c>
      <c r="L873" s="246" t="s">
        <v>2311</v>
      </c>
      <c r="M873" s="246">
        <v>5</v>
      </c>
      <c r="N873" s="246"/>
      <c r="O873" s="246" t="s">
        <v>4225</v>
      </c>
      <c r="P873" s="246" t="s">
        <v>6437</v>
      </c>
      <c r="Q873" s="246" t="s">
        <v>4222</v>
      </c>
      <c r="R873" s="248"/>
    </row>
    <row r="874" spans="1:18" x14ac:dyDescent="0.7">
      <c r="A874" s="246" t="s">
        <v>4443</v>
      </c>
      <c r="B874" s="246" t="s">
        <v>4444</v>
      </c>
      <c r="C874" s="246" t="s">
        <v>2149</v>
      </c>
      <c r="D874" s="246" t="s">
        <v>4445</v>
      </c>
      <c r="E874" s="246">
        <v>8</v>
      </c>
      <c r="F874" s="246" t="s">
        <v>2309</v>
      </c>
      <c r="G874" s="246" t="s">
        <v>2310</v>
      </c>
      <c r="H874" s="247">
        <v>43</v>
      </c>
      <c r="I874" s="246" t="s">
        <v>1239</v>
      </c>
      <c r="J874" s="247">
        <v>30</v>
      </c>
      <c r="K874" s="246" t="s">
        <v>2295</v>
      </c>
      <c r="L874" s="246" t="s">
        <v>2311</v>
      </c>
      <c r="M874" s="246">
        <v>6</v>
      </c>
      <c r="N874" s="246"/>
      <c r="O874" s="246" t="s">
        <v>4446</v>
      </c>
      <c r="P874" s="246" t="s">
        <v>6436</v>
      </c>
      <c r="Q874" s="246" t="s">
        <v>4443</v>
      </c>
      <c r="R874" s="248"/>
    </row>
    <row r="875" spans="1:18" x14ac:dyDescent="0.7">
      <c r="A875" s="246" t="s">
        <v>4447</v>
      </c>
      <c r="B875" s="246" t="s">
        <v>4448</v>
      </c>
      <c r="C875" s="246" t="s">
        <v>2150</v>
      </c>
      <c r="D875" s="246" t="s">
        <v>4449</v>
      </c>
      <c r="E875" s="246">
        <v>8</v>
      </c>
      <c r="F875" s="246" t="s">
        <v>2309</v>
      </c>
      <c r="G875" s="246" t="s">
        <v>2310</v>
      </c>
      <c r="H875" s="247">
        <v>43</v>
      </c>
      <c r="I875" s="246" t="s">
        <v>1239</v>
      </c>
      <c r="J875" s="247">
        <v>30</v>
      </c>
      <c r="K875" s="246" t="s">
        <v>2295</v>
      </c>
      <c r="L875" s="246" t="s">
        <v>2398</v>
      </c>
      <c r="M875" s="246">
        <v>4</v>
      </c>
      <c r="N875" s="246"/>
      <c r="O875" s="246" t="s">
        <v>4450</v>
      </c>
      <c r="P875" s="246" t="s">
        <v>6440</v>
      </c>
      <c r="Q875" s="246" t="s">
        <v>4447</v>
      </c>
      <c r="R875" s="248"/>
    </row>
    <row r="876" spans="1:18" x14ac:dyDescent="0.7">
      <c r="A876" s="246" t="s">
        <v>5629</v>
      </c>
      <c r="B876" s="246" t="s">
        <v>5630</v>
      </c>
      <c r="C876" s="246" t="s">
        <v>2037</v>
      </c>
      <c r="D876" s="246" t="s">
        <v>5631</v>
      </c>
      <c r="E876" s="246">
        <v>12</v>
      </c>
      <c r="F876" s="246" t="s">
        <v>2309</v>
      </c>
      <c r="G876" s="246" t="s">
        <v>2310</v>
      </c>
      <c r="H876" s="247">
        <v>92</v>
      </c>
      <c r="I876" s="246" t="s">
        <v>1258</v>
      </c>
      <c r="J876" s="247">
        <v>34</v>
      </c>
      <c r="K876" s="246" t="s">
        <v>2295</v>
      </c>
      <c r="L876" s="246" t="s">
        <v>2311</v>
      </c>
      <c r="M876" s="246">
        <v>5</v>
      </c>
      <c r="N876" s="246"/>
      <c r="O876" s="246" t="s">
        <v>5632</v>
      </c>
      <c r="P876" s="246" t="s">
        <v>6437</v>
      </c>
      <c r="Q876" s="246" t="s">
        <v>5629</v>
      </c>
      <c r="R876" s="248"/>
    </row>
    <row r="877" spans="1:18" x14ac:dyDescent="0.7">
      <c r="A877" s="246" t="s">
        <v>2674</v>
      </c>
      <c r="B877" s="246" t="s">
        <v>2675</v>
      </c>
      <c r="C877" s="246" t="s">
        <v>1284</v>
      </c>
      <c r="D877" s="246" t="s">
        <v>2676</v>
      </c>
      <c r="E877" s="246">
        <v>1</v>
      </c>
      <c r="F877" s="246" t="s">
        <v>2309</v>
      </c>
      <c r="G877" s="246" t="s">
        <v>2310</v>
      </c>
      <c r="H877" s="247">
        <v>57</v>
      </c>
      <c r="I877" s="246" t="s">
        <v>1189</v>
      </c>
      <c r="J877" s="247">
        <v>0</v>
      </c>
      <c r="K877" s="246" t="s">
        <v>2295</v>
      </c>
      <c r="L877" s="246" t="s">
        <v>2398</v>
      </c>
      <c r="M877" s="246">
        <v>2</v>
      </c>
      <c r="N877" s="246"/>
      <c r="O877" s="246" t="s">
        <v>2677</v>
      </c>
      <c r="P877" s="246" t="s">
        <v>6424</v>
      </c>
      <c r="Q877" s="246" t="s">
        <v>2674</v>
      </c>
      <c r="R877" s="248"/>
    </row>
    <row r="878" spans="1:18" x14ac:dyDescent="0.7">
      <c r="A878" s="246" t="s">
        <v>4075</v>
      </c>
      <c r="B878" s="246" t="s">
        <v>4076</v>
      </c>
      <c r="C878" s="246" t="s">
        <v>2141</v>
      </c>
      <c r="D878" s="246" t="s">
        <v>4077</v>
      </c>
      <c r="E878" s="246">
        <v>7</v>
      </c>
      <c r="F878" s="246" t="s">
        <v>2309</v>
      </c>
      <c r="G878" s="246" t="s">
        <v>2310</v>
      </c>
      <c r="H878" s="247">
        <v>44</v>
      </c>
      <c r="I878" s="246" t="s">
        <v>1233</v>
      </c>
      <c r="J878" s="247">
        <v>30</v>
      </c>
      <c r="K878" s="246" t="s">
        <v>2295</v>
      </c>
      <c r="L878" s="246" t="s">
        <v>2398</v>
      </c>
      <c r="M878" s="246">
        <v>3</v>
      </c>
      <c r="N878" s="246"/>
      <c r="O878" s="246" t="s">
        <v>4078</v>
      </c>
      <c r="P878" s="246" t="s">
        <v>6439</v>
      </c>
      <c r="Q878" s="246" t="s">
        <v>4075</v>
      </c>
      <c r="R878" s="248"/>
    </row>
    <row r="879" spans="1:18" x14ac:dyDescent="0.7">
      <c r="A879" s="246" t="s">
        <v>3917</v>
      </c>
      <c r="B879" s="246" t="s">
        <v>3918</v>
      </c>
      <c r="C879" s="246" t="s">
        <v>2128</v>
      </c>
      <c r="D879" s="246" t="s">
        <v>3919</v>
      </c>
      <c r="E879" s="246">
        <v>6</v>
      </c>
      <c r="F879" s="246" t="s">
        <v>2309</v>
      </c>
      <c r="G879" s="246" t="s">
        <v>2310</v>
      </c>
      <c r="H879" s="247">
        <v>27</v>
      </c>
      <c r="I879" s="246" t="s">
        <v>1230</v>
      </c>
      <c r="J879" s="247">
        <v>40</v>
      </c>
      <c r="K879" s="246" t="s">
        <v>2295</v>
      </c>
      <c r="L879" s="246" t="s">
        <v>2398</v>
      </c>
      <c r="M879" s="246">
        <v>4</v>
      </c>
      <c r="N879" s="246"/>
      <c r="O879" s="246" t="s">
        <v>3920</v>
      </c>
      <c r="P879" s="246" t="s">
        <v>6440</v>
      </c>
      <c r="Q879" s="246" t="s">
        <v>3917</v>
      </c>
      <c r="R879" s="248"/>
    </row>
    <row r="880" spans="1:18" x14ac:dyDescent="0.7">
      <c r="A880" s="246" t="s">
        <v>3921</v>
      </c>
      <c r="B880" s="246" t="s">
        <v>3922</v>
      </c>
      <c r="C880" s="246" t="s">
        <v>2129</v>
      </c>
      <c r="D880" s="246" t="s">
        <v>3923</v>
      </c>
      <c r="E880" s="246">
        <v>6</v>
      </c>
      <c r="F880" s="246" t="s">
        <v>2309</v>
      </c>
      <c r="G880" s="246" t="s">
        <v>2310</v>
      </c>
      <c r="H880" s="247">
        <v>27</v>
      </c>
      <c r="I880" s="246" t="s">
        <v>1230</v>
      </c>
      <c r="J880" s="247">
        <v>30</v>
      </c>
      <c r="K880" s="246" t="s">
        <v>2295</v>
      </c>
      <c r="L880" s="246" t="s">
        <v>2398</v>
      </c>
      <c r="M880" s="246">
        <v>3</v>
      </c>
      <c r="N880" s="246"/>
      <c r="O880" s="246" t="s">
        <v>3924</v>
      </c>
      <c r="P880" s="246" t="s">
        <v>6439</v>
      </c>
      <c r="Q880" s="246" t="s">
        <v>3921</v>
      </c>
      <c r="R880" s="248"/>
    </row>
    <row r="881" spans="1:18" x14ac:dyDescent="0.7">
      <c r="A881" s="246" t="s">
        <v>3418</v>
      </c>
      <c r="B881" s="246" t="s">
        <v>3419</v>
      </c>
      <c r="C881" s="246" t="s">
        <v>2118</v>
      </c>
      <c r="D881" s="246" t="s">
        <v>3420</v>
      </c>
      <c r="E881" s="246">
        <v>5</v>
      </c>
      <c r="F881" s="246" t="s">
        <v>2309</v>
      </c>
      <c r="G881" s="246" t="s">
        <v>2310</v>
      </c>
      <c r="H881" s="247">
        <v>70</v>
      </c>
      <c r="I881" s="246" t="s">
        <v>1219</v>
      </c>
      <c r="J881" s="247">
        <v>30</v>
      </c>
      <c r="K881" s="246" t="s">
        <v>2295</v>
      </c>
      <c r="L881" s="246" t="s">
        <v>2398</v>
      </c>
      <c r="M881" s="246">
        <v>3</v>
      </c>
      <c r="N881" s="246"/>
      <c r="O881" s="246" t="s">
        <v>3421</v>
      </c>
      <c r="P881" s="246" t="s">
        <v>6439</v>
      </c>
      <c r="Q881" s="246" t="s">
        <v>3418</v>
      </c>
      <c r="R881" s="248"/>
    </row>
    <row r="882" spans="1:18" x14ac:dyDescent="0.7">
      <c r="A882" s="246" t="s">
        <v>4412</v>
      </c>
      <c r="B882" s="246" t="s">
        <v>4413</v>
      </c>
      <c r="C882" s="246" t="s">
        <v>2146</v>
      </c>
      <c r="D882" s="246" t="s">
        <v>4414</v>
      </c>
      <c r="E882" s="246">
        <v>8</v>
      </c>
      <c r="F882" s="246" t="s">
        <v>2309</v>
      </c>
      <c r="G882" s="246" t="s">
        <v>2310</v>
      </c>
      <c r="H882" s="247">
        <v>42</v>
      </c>
      <c r="I882" s="246" t="s">
        <v>1237</v>
      </c>
      <c r="J882" s="247">
        <v>33</v>
      </c>
      <c r="K882" s="246" t="s">
        <v>2295</v>
      </c>
      <c r="L882" s="246" t="s">
        <v>2311</v>
      </c>
      <c r="M882" s="246">
        <v>5</v>
      </c>
      <c r="N882" s="246"/>
      <c r="O882" s="246" t="s">
        <v>4415</v>
      </c>
      <c r="P882" s="246" t="s">
        <v>6437</v>
      </c>
      <c r="Q882" s="246" t="s">
        <v>4412</v>
      </c>
      <c r="R882" s="248"/>
    </row>
    <row r="883" spans="1:18" x14ac:dyDescent="0.7">
      <c r="A883" s="246" t="s">
        <v>3125</v>
      </c>
      <c r="B883" s="246" t="s">
        <v>3126</v>
      </c>
      <c r="C883" s="246" t="s">
        <v>2117</v>
      </c>
      <c r="D883" s="246" t="s">
        <v>3127</v>
      </c>
      <c r="E883" s="246">
        <v>4</v>
      </c>
      <c r="F883" s="246" t="s">
        <v>2309</v>
      </c>
      <c r="G883" s="246" t="s">
        <v>2310</v>
      </c>
      <c r="H883" s="247">
        <v>12</v>
      </c>
      <c r="I883" s="246" t="s">
        <v>1208</v>
      </c>
      <c r="J883" s="247">
        <v>33</v>
      </c>
      <c r="K883" s="246" t="s">
        <v>2295</v>
      </c>
      <c r="L883" s="246" t="s">
        <v>2311</v>
      </c>
      <c r="M883" s="246">
        <v>5</v>
      </c>
      <c r="N883" s="246"/>
      <c r="O883" s="246" t="s">
        <v>3128</v>
      </c>
      <c r="P883" s="246" t="s">
        <v>6437</v>
      </c>
      <c r="Q883" s="246" t="s">
        <v>3125</v>
      </c>
      <c r="R883" s="248"/>
    </row>
    <row r="884" spans="1:18" x14ac:dyDescent="0.7">
      <c r="A884" s="246" t="s">
        <v>3857</v>
      </c>
      <c r="B884" s="246" t="s">
        <v>3858</v>
      </c>
      <c r="C884" s="246" t="s">
        <v>2119</v>
      </c>
      <c r="D884" s="246" t="s">
        <v>3859</v>
      </c>
      <c r="E884" s="246">
        <v>6</v>
      </c>
      <c r="F884" s="246" t="s">
        <v>2309</v>
      </c>
      <c r="G884" s="246" t="s">
        <v>2310</v>
      </c>
      <c r="H884" s="247">
        <v>24</v>
      </c>
      <c r="I884" s="246" t="s">
        <v>1224</v>
      </c>
      <c r="J884" s="247">
        <v>10</v>
      </c>
      <c r="K884" s="246" t="s">
        <v>2295</v>
      </c>
      <c r="L884" s="246" t="s">
        <v>2398</v>
      </c>
      <c r="M884" s="246">
        <v>2</v>
      </c>
      <c r="N884" s="246"/>
      <c r="O884" s="246" t="s">
        <v>3860</v>
      </c>
      <c r="P884" s="246" t="s">
        <v>6424</v>
      </c>
      <c r="Q884" s="246" t="s">
        <v>3857</v>
      </c>
      <c r="R884" s="248"/>
    </row>
    <row r="885" spans="1:18" x14ac:dyDescent="0.7">
      <c r="A885" s="246" t="s">
        <v>5264</v>
      </c>
      <c r="B885" s="246" t="s">
        <v>2565</v>
      </c>
      <c r="C885" s="246" t="s">
        <v>1850</v>
      </c>
      <c r="D885" s="246" t="s">
        <v>4686</v>
      </c>
      <c r="E885" s="246">
        <v>11</v>
      </c>
      <c r="F885" s="246" t="s">
        <v>2309</v>
      </c>
      <c r="G885" s="246" t="s">
        <v>2310</v>
      </c>
      <c r="H885" s="247">
        <v>80</v>
      </c>
      <c r="I885" s="246" t="s">
        <v>1253</v>
      </c>
      <c r="J885" s="247">
        <v>32</v>
      </c>
      <c r="K885" s="246" t="s">
        <v>2295</v>
      </c>
      <c r="L885" s="246" t="s">
        <v>2311</v>
      </c>
      <c r="M885" s="246">
        <v>5</v>
      </c>
      <c r="N885" s="246"/>
      <c r="O885" s="246" t="s">
        <v>5265</v>
      </c>
      <c r="P885" s="246" t="s">
        <v>6437</v>
      </c>
      <c r="Q885" s="246" t="s">
        <v>5264</v>
      </c>
      <c r="R885" s="248"/>
    </row>
    <row r="886" spans="1:18" x14ac:dyDescent="0.7">
      <c r="A886" s="246" t="s">
        <v>5266</v>
      </c>
      <c r="B886" s="246" t="s">
        <v>5267</v>
      </c>
      <c r="C886" s="246" t="s">
        <v>2182</v>
      </c>
      <c r="D886" s="246" t="s">
        <v>5268</v>
      </c>
      <c r="E886" s="246">
        <v>11</v>
      </c>
      <c r="F886" s="246" t="s">
        <v>2309</v>
      </c>
      <c r="G886" s="246" t="s">
        <v>2310</v>
      </c>
      <c r="H886" s="247">
        <v>80</v>
      </c>
      <c r="I886" s="246" t="s">
        <v>1253</v>
      </c>
      <c r="J886" s="247">
        <v>30</v>
      </c>
      <c r="K886" s="246" t="s">
        <v>2303</v>
      </c>
      <c r="L886" s="246" t="s">
        <v>2311</v>
      </c>
      <c r="M886" s="246">
        <v>5</v>
      </c>
      <c r="N886" s="246"/>
      <c r="O886" s="246" t="s">
        <v>5269</v>
      </c>
      <c r="P886" s="246" t="s">
        <v>6437</v>
      </c>
      <c r="Q886" s="246" t="s">
        <v>5266</v>
      </c>
      <c r="R886" s="248"/>
    </row>
    <row r="887" spans="1:18" x14ac:dyDescent="0.7">
      <c r="A887" s="246" t="s">
        <v>5270</v>
      </c>
      <c r="B887" s="246" t="s">
        <v>5271</v>
      </c>
      <c r="C887" s="246" t="s">
        <v>2183</v>
      </c>
      <c r="D887" s="246" t="s">
        <v>5272</v>
      </c>
      <c r="E887" s="246">
        <v>11</v>
      </c>
      <c r="F887" s="246" t="s">
        <v>2309</v>
      </c>
      <c r="G887" s="246" t="s">
        <v>2310</v>
      </c>
      <c r="H887" s="247">
        <v>80</v>
      </c>
      <c r="I887" s="246" t="s">
        <v>1253</v>
      </c>
      <c r="J887" s="247">
        <v>0</v>
      </c>
      <c r="K887" s="246" t="s">
        <v>2295</v>
      </c>
      <c r="L887" s="246" t="s">
        <v>2398</v>
      </c>
      <c r="M887" s="246">
        <v>3</v>
      </c>
      <c r="N887" s="246"/>
      <c r="O887" s="246" t="s">
        <v>5273</v>
      </c>
      <c r="P887" s="246" t="s">
        <v>6439</v>
      </c>
      <c r="Q887" s="246" t="s">
        <v>5270</v>
      </c>
      <c r="R887" s="248"/>
    </row>
    <row r="888" spans="1:18" x14ac:dyDescent="0.7">
      <c r="A888" s="246" t="s">
        <v>5274</v>
      </c>
      <c r="B888" s="246" t="s">
        <v>5275</v>
      </c>
      <c r="C888" s="246" t="s">
        <v>2184</v>
      </c>
      <c r="D888" s="246" t="s">
        <v>5276</v>
      </c>
      <c r="E888" s="246">
        <v>11</v>
      </c>
      <c r="F888" s="246" t="s">
        <v>2309</v>
      </c>
      <c r="G888" s="246" t="s">
        <v>2310</v>
      </c>
      <c r="H888" s="247">
        <v>80</v>
      </c>
      <c r="I888" s="246" t="s">
        <v>1253</v>
      </c>
      <c r="J888" s="247">
        <v>60</v>
      </c>
      <c r="K888" s="246" t="s">
        <v>2295</v>
      </c>
      <c r="L888" s="246" t="s">
        <v>2311</v>
      </c>
      <c r="M888" s="246">
        <v>6</v>
      </c>
      <c r="N888" s="246"/>
      <c r="O888" s="246" t="s">
        <v>5277</v>
      </c>
      <c r="P888" s="246" t="s">
        <v>6436</v>
      </c>
      <c r="Q888" s="246" t="s">
        <v>5274</v>
      </c>
      <c r="R888" s="248"/>
    </row>
    <row r="889" spans="1:18" x14ac:dyDescent="0.7">
      <c r="A889" s="246" t="s">
        <v>2598</v>
      </c>
      <c r="B889" s="246" t="s">
        <v>2599</v>
      </c>
      <c r="C889" s="246" t="s">
        <v>2111</v>
      </c>
      <c r="D889" s="246" t="s">
        <v>2600</v>
      </c>
      <c r="E889" s="246">
        <v>1</v>
      </c>
      <c r="F889" s="246" t="s">
        <v>2309</v>
      </c>
      <c r="G889" s="246" t="s">
        <v>2310</v>
      </c>
      <c r="H889" s="247">
        <v>56</v>
      </c>
      <c r="I889" s="246" t="s">
        <v>1192</v>
      </c>
      <c r="J889" s="247">
        <v>0</v>
      </c>
      <c r="K889" s="246" t="s">
        <v>2295</v>
      </c>
      <c r="L889" s="246" t="s">
        <v>2398</v>
      </c>
      <c r="M889" s="246">
        <v>3</v>
      </c>
      <c r="N889" s="246"/>
      <c r="O889" s="246" t="s">
        <v>2601</v>
      </c>
      <c r="P889" s="246" t="s">
        <v>6439</v>
      </c>
      <c r="Q889" s="246" t="s">
        <v>2598</v>
      </c>
      <c r="R889" s="248"/>
    </row>
    <row r="890" spans="1:18" x14ac:dyDescent="0.7">
      <c r="A890" s="246" t="s">
        <v>2602</v>
      </c>
      <c r="B890" s="246" t="s">
        <v>2603</v>
      </c>
      <c r="C890" s="246" t="s">
        <v>2112</v>
      </c>
      <c r="D890" s="246" t="s">
        <v>2604</v>
      </c>
      <c r="E890" s="246">
        <v>1</v>
      </c>
      <c r="F890" s="246" t="s">
        <v>2309</v>
      </c>
      <c r="G890" s="246" t="s">
        <v>2310</v>
      </c>
      <c r="H890" s="247">
        <v>56</v>
      </c>
      <c r="I890" s="246" t="s">
        <v>1192</v>
      </c>
      <c r="J890" s="247">
        <v>0</v>
      </c>
      <c r="K890" s="246" t="s">
        <v>2295</v>
      </c>
      <c r="L890" s="246" t="s">
        <v>2398</v>
      </c>
      <c r="M890" s="246">
        <v>3</v>
      </c>
      <c r="N890" s="246"/>
      <c r="O890" s="246" t="s">
        <v>2605</v>
      </c>
      <c r="P890" s="246" t="s">
        <v>6439</v>
      </c>
      <c r="Q890" s="246" t="s">
        <v>2602</v>
      </c>
      <c r="R890" s="248"/>
    </row>
    <row r="891" spans="1:18" x14ac:dyDescent="0.7">
      <c r="A891" s="246" t="s">
        <v>2973</v>
      </c>
      <c r="B891" s="246" t="s">
        <v>2974</v>
      </c>
      <c r="C891" s="246" t="s">
        <v>2116</v>
      </c>
      <c r="D891" s="246" t="s">
        <v>2975</v>
      </c>
      <c r="E891" s="246">
        <v>3</v>
      </c>
      <c r="F891" s="246" t="s">
        <v>2309</v>
      </c>
      <c r="G891" s="246" t="s">
        <v>2310</v>
      </c>
      <c r="H891" s="247">
        <v>60</v>
      </c>
      <c r="I891" s="246" t="s">
        <v>1204</v>
      </c>
      <c r="J891" s="247">
        <v>5</v>
      </c>
      <c r="K891" s="246" t="s">
        <v>2295</v>
      </c>
      <c r="L891" s="246" t="s">
        <v>2398</v>
      </c>
      <c r="M891" s="246">
        <v>4</v>
      </c>
      <c r="N891" s="246"/>
      <c r="O891" s="246" t="s">
        <v>2976</v>
      </c>
      <c r="P891" s="246" t="s">
        <v>6440</v>
      </c>
      <c r="Q891" s="246" t="s">
        <v>2973</v>
      </c>
      <c r="R891" s="248"/>
    </row>
    <row r="892" spans="1:18" x14ac:dyDescent="0.7">
      <c r="A892" s="246" t="s">
        <v>4565</v>
      </c>
      <c r="B892" s="246" t="s">
        <v>4566</v>
      </c>
      <c r="C892" s="246" t="s">
        <v>2145</v>
      </c>
      <c r="D892" s="246" t="s">
        <v>4567</v>
      </c>
      <c r="E892" s="246">
        <v>8</v>
      </c>
      <c r="F892" s="246" t="s">
        <v>2309</v>
      </c>
      <c r="G892" s="246" t="s">
        <v>2310</v>
      </c>
      <c r="H892" s="247">
        <v>48</v>
      </c>
      <c r="I892" s="246" t="s">
        <v>1235</v>
      </c>
      <c r="J892" s="247">
        <v>35</v>
      </c>
      <c r="K892" s="246" t="s">
        <v>2295</v>
      </c>
      <c r="L892" s="246" t="s">
        <v>2398</v>
      </c>
      <c r="M892" s="246">
        <v>2</v>
      </c>
      <c r="N892" s="246"/>
      <c r="O892" s="246" t="s">
        <v>4568</v>
      </c>
      <c r="P892" s="246" t="s">
        <v>6424</v>
      </c>
      <c r="Q892" s="246" t="s">
        <v>4565</v>
      </c>
      <c r="R892" s="248"/>
    </row>
    <row r="893" spans="1:18" x14ac:dyDescent="0.7">
      <c r="A893" s="246" t="s">
        <v>5913</v>
      </c>
      <c r="B893" s="246" t="s">
        <v>5914</v>
      </c>
      <c r="C893" s="246" t="s">
        <v>5915</v>
      </c>
      <c r="D893" s="246" t="s">
        <v>5916</v>
      </c>
      <c r="E893" s="246">
        <v>11</v>
      </c>
      <c r="F893" s="246" t="s">
        <v>2309</v>
      </c>
      <c r="G893" s="246" t="s">
        <v>2310</v>
      </c>
      <c r="H893" s="247">
        <v>83</v>
      </c>
      <c r="I893" s="246" t="s">
        <v>1255</v>
      </c>
      <c r="J893" s="247">
        <v>30</v>
      </c>
      <c r="K893" s="246" t="s">
        <v>2303</v>
      </c>
      <c r="L893" s="246" t="s">
        <v>2311</v>
      </c>
      <c r="M893" s="246">
        <v>6</v>
      </c>
      <c r="N893" s="246"/>
      <c r="O893" s="246" t="s">
        <v>5917</v>
      </c>
      <c r="P893" s="246" t="s">
        <v>6436</v>
      </c>
      <c r="Q893" s="246" t="s">
        <v>5913</v>
      </c>
      <c r="R893" s="248"/>
    </row>
    <row r="894" spans="1:18" x14ac:dyDescent="0.7">
      <c r="A894" s="246" t="s">
        <v>5918</v>
      </c>
      <c r="B894" s="246" t="s">
        <v>5919</v>
      </c>
      <c r="C894" s="246" t="s">
        <v>5920</v>
      </c>
      <c r="D894" s="246" t="s">
        <v>5921</v>
      </c>
      <c r="E894" s="246">
        <v>5</v>
      </c>
      <c r="F894" s="246" t="s">
        <v>2309</v>
      </c>
      <c r="G894" s="246" t="s">
        <v>2310</v>
      </c>
      <c r="H894" s="247">
        <v>71</v>
      </c>
      <c r="I894" s="246" t="s">
        <v>1215</v>
      </c>
      <c r="J894" s="247">
        <v>33</v>
      </c>
      <c r="K894" s="246" t="s">
        <v>2303</v>
      </c>
      <c r="L894" s="246" t="s">
        <v>2398</v>
      </c>
      <c r="M894" s="246">
        <v>2</v>
      </c>
      <c r="N894" s="246"/>
      <c r="O894" s="246" t="s">
        <v>5922</v>
      </c>
      <c r="P894" s="246" t="s">
        <v>6424</v>
      </c>
      <c r="Q894" s="246" t="s">
        <v>5918</v>
      </c>
      <c r="R894" s="248"/>
    </row>
    <row r="895" spans="1:18" x14ac:dyDescent="0.7">
      <c r="A895" s="246" t="s">
        <v>4012</v>
      </c>
      <c r="B895" s="246" t="s">
        <v>4013</v>
      </c>
      <c r="C895" s="246" t="s">
        <v>2136</v>
      </c>
      <c r="D895" s="246" t="s">
        <v>4014</v>
      </c>
      <c r="E895" s="246">
        <v>7</v>
      </c>
      <c r="F895" s="246" t="s">
        <v>2309</v>
      </c>
      <c r="G895" s="246" t="s">
        <v>2310</v>
      </c>
      <c r="H895" s="247">
        <v>40</v>
      </c>
      <c r="I895" s="246" t="s">
        <v>1232</v>
      </c>
      <c r="J895" s="247">
        <v>10</v>
      </c>
      <c r="K895" s="246" t="s">
        <v>2295</v>
      </c>
      <c r="L895" s="246" t="s">
        <v>2398</v>
      </c>
      <c r="M895" s="246">
        <v>3</v>
      </c>
      <c r="N895" s="246"/>
      <c r="O895" s="246" t="s">
        <v>4015</v>
      </c>
      <c r="P895" s="246" t="s">
        <v>6439</v>
      </c>
      <c r="Q895" s="246" t="s">
        <v>4012</v>
      </c>
      <c r="R895" s="248"/>
    </row>
    <row r="896" spans="1:18" x14ac:dyDescent="0.7">
      <c r="A896" s="246" t="s">
        <v>4016</v>
      </c>
      <c r="B896" s="246" t="s">
        <v>4017</v>
      </c>
      <c r="C896" s="246" t="s">
        <v>2137</v>
      </c>
      <c r="D896" s="246" t="s">
        <v>4018</v>
      </c>
      <c r="E896" s="246">
        <v>7</v>
      </c>
      <c r="F896" s="246" t="s">
        <v>2309</v>
      </c>
      <c r="G896" s="246" t="s">
        <v>2310</v>
      </c>
      <c r="H896" s="247">
        <v>40</v>
      </c>
      <c r="I896" s="246" t="s">
        <v>1232</v>
      </c>
      <c r="J896" s="247">
        <v>0</v>
      </c>
      <c r="K896" s="246" t="s">
        <v>2295</v>
      </c>
      <c r="L896" s="246" t="s">
        <v>2398</v>
      </c>
      <c r="M896" s="246">
        <v>2</v>
      </c>
      <c r="N896" s="246"/>
      <c r="O896" s="246" t="s">
        <v>4019</v>
      </c>
      <c r="P896" s="246" t="s">
        <v>6424</v>
      </c>
      <c r="Q896" s="246" t="s">
        <v>4016</v>
      </c>
      <c r="R896" s="248"/>
    </row>
    <row r="897" spans="1:18" x14ac:dyDescent="0.7">
      <c r="A897" s="246" t="s">
        <v>4020</v>
      </c>
      <c r="B897" s="246" t="s">
        <v>4021</v>
      </c>
      <c r="C897" s="246" t="s">
        <v>2138</v>
      </c>
      <c r="D897" s="246" t="s">
        <v>4022</v>
      </c>
      <c r="E897" s="246">
        <v>7</v>
      </c>
      <c r="F897" s="246" t="s">
        <v>2309</v>
      </c>
      <c r="G897" s="246" t="s">
        <v>2310</v>
      </c>
      <c r="H897" s="247">
        <v>40</v>
      </c>
      <c r="I897" s="246" t="s">
        <v>1232</v>
      </c>
      <c r="J897" s="247">
        <v>0</v>
      </c>
      <c r="K897" s="246" t="s">
        <v>2295</v>
      </c>
      <c r="L897" s="246" t="s">
        <v>2398</v>
      </c>
      <c r="M897" s="246">
        <v>3</v>
      </c>
      <c r="N897" s="246"/>
      <c r="O897" s="246" t="s">
        <v>4023</v>
      </c>
      <c r="P897" s="246" t="s">
        <v>6439</v>
      </c>
      <c r="Q897" s="246" t="s">
        <v>4020</v>
      </c>
      <c r="R897" s="248"/>
    </row>
    <row r="898" spans="1:18" ht="27" x14ac:dyDescent="0.75">
      <c r="A898" s="316" t="s">
        <v>4024</v>
      </c>
      <c r="B898" s="316" t="s">
        <v>4025</v>
      </c>
      <c r="C898" s="316" t="s">
        <v>2139</v>
      </c>
      <c r="D898" s="316" t="s">
        <v>4026</v>
      </c>
      <c r="E898" s="317">
        <v>7</v>
      </c>
      <c r="F898" s="316" t="s">
        <v>2309</v>
      </c>
      <c r="G898" s="316" t="s">
        <v>2310</v>
      </c>
      <c r="H898" s="317">
        <v>40</v>
      </c>
      <c r="I898" s="316" t="s">
        <v>1232</v>
      </c>
      <c r="J898" s="318">
        <v>0</v>
      </c>
      <c r="K898" s="316" t="s">
        <v>2295</v>
      </c>
      <c r="L898" s="316" t="s">
        <v>2398</v>
      </c>
      <c r="M898" s="317">
        <v>3</v>
      </c>
      <c r="N898" s="319"/>
      <c r="O898" s="316" t="s">
        <v>4027</v>
      </c>
      <c r="P898" s="316" t="s">
        <v>6439</v>
      </c>
      <c r="Q898" s="316" t="s">
        <v>4024</v>
      </c>
    </row>
    <row r="899" spans="1:18" ht="27" x14ac:dyDescent="0.75">
      <c r="A899" s="320" t="s">
        <v>5309</v>
      </c>
      <c r="B899" s="320" t="s">
        <v>5310</v>
      </c>
      <c r="C899" s="320" t="s">
        <v>2179</v>
      </c>
      <c r="D899" s="320" t="s">
        <v>5311</v>
      </c>
      <c r="E899" s="321">
        <v>11</v>
      </c>
      <c r="F899" s="320" t="s">
        <v>2309</v>
      </c>
      <c r="G899" s="320" t="s">
        <v>2310</v>
      </c>
      <c r="H899" s="321">
        <v>81</v>
      </c>
      <c r="I899" s="320" t="s">
        <v>1251</v>
      </c>
      <c r="J899" s="322">
        <v>7</v>
      </c>
      <c r="K899" s="320" t="s">
        <v>2295</v>
      </c>
      <c r="L899" s="320" t="s">
        <v>2398</v>
      </c>
      <c r="M899" s="321">
        <v>2</v>
      </c>
      <c r="N899" s="323"/>
      <c r="O899" s="320" t="s">
        <v>5312</v>
      </c>
      <c r="P899" s="320" t="s">
        <v>6424</v>
      </c>
      <c r="Q899" s="320" t="s">
        <v>5309</v>
      </c>
    </row>
    <row r="900" spans="1:18" x14ac:dyDescent="0.7">
      <c r="A900" s="6" t="s">
        <v>5924</v>
      </c>
      <c r="B900" s="6" t="s">
        <v>6441</v>
      </c>
      <c r="C900" s="6" t="s">
        <v>5927</v>
      </c>
      <c r="D900" s="6" t="s">
        <v>6331</v>
      </c>
      <c r="E900" s="6">
        <v>11</v>
      </c>
      <c r="F900" s="6" t="s">
        <v>2309</v>
      </c>
      <c r="G900" s="6" t="s">
        <v>2310</v>
      </c>
      <c r="H900" s="6">
        <v>84</v>
      </c>
      <c r="I900" s="6" t="s">
        <v>1257</v>
      </c>
      <c r="J900" s="6">
        <v>10</v>
      </c>
      <c r="L900" s="6" t="s">
        <v>2398</v>
      </c>
      <c r="M900" s="6">
        <v>2</v>
      </c>
      <c r="O900" s="6" t="s">
        <v>6442</v>
      </c>
      <c r="P900" s="6" t="s">
        <v>6424</v>
      </c>
      <c r="Q900" s="6" t="s">
        <v>5924</v>
      </c>
    </row>
    <row r="901" spans="1:18" x14ac:dyDescent="0.7">
      <c r="A901" s="6" t="s">
        <v>6382</v>
      </c>
      <c r="B901" s="6" t="s">
        <v>6443</v>
      </c>
      <c r="C901" s="6" t="s">
        <v>6332</v>
      </c>
      <c r="D901" s="6" t="s">
        <v>6383</v>
      </c>
      <c r="E901" s="6">
        <v>4</v>
      </c>
      <c r="F901" s="6" t="s">
        <v>2309</v>
      </c>
      <c r="G901" s="6" t="s">
        <v>2310</v>
      </c>
      <c r="H901" s="6">
        <v>12</v>
      </c>
      <c r="I901" s="6" t="s">
        <v>1208</v>
      </c>
      <c r="J901" s="6">
        <v>30</v>
      </c>
      <c r="L901" s="6" t="s">
        <v>2398</v>
      </c>
      <c r="M901" s="6">
        <v>2</v>
      </c>
      <c r="O901" s="6" t="s">
        <v>6444</v>
      </c>
      <c r="P901" s="6" t="s">
        <v>6424</v>
      </c>
      <c r="Q901" s="6" t="s">
        <v>6382</v>
      </c>
    </row>
  </sheetData>
  <autoFilter ref="A1:R897" xr:uid="{00000000-0009-0000-0000-000002000000}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392B-377A-4777-B96B-E553D73443F8}">
  <sheetPr>
    <tabColor rgb="FF0070C0"/>
    <pageSetUpPr fitToPage="1"/>
  </sheetPr>
  <dimension ref="A1:R50"/>
  <sheetViews>
    <sheetView view="pageBreakPreview" zoomScaleSheetLayoutView="100" workbookViewId="0">
      <selection activeCell="A17" sqref="A17"/>
    </sheetView>
  </sheetViews>
  <sheetFormatPr defaultColWidth="9" defaultRowHeight="24.6" x14ac:dyDescent="0.7"/>
  <cols>
    <col min="1" max="1" width="9.19921875" style="997" customWidth="1"/>
    <col min="2" max="2" width="28.69921875" style="997" customWidth="1"/>
    <col min="3" max="3" width="19.69921875" style="1012" customWidth="1"/>
    <col min="4" max="4" width="15.5" style="997" customWidth="1"/>
    <col min="5" max="5" width="16.5" style="997" customWidth="1"/>
    <col min="6" max="16384" width="9" style="997"/>
  </cols>
  <sheetData>
    <row r="1" spans="1:18" x14ac:dyDescent="0.7">
      <c r="A1" s="1105" t="s">
        <v>7595</v>
      </c>
      <c r="B1" s="1105"/>
      <c r="C1" s="1105"/>
      <c r="D1" s="1105"/>
      <c r="E1" s="1105"/>
      <c r="F1" s="1002"/>
      <c r="G1" s="1002"/>
      <c r="H1" s="1002"/>
      <c r="I1" s="1002"/>
      <c r="J1" s="1002"/>
      <c r="K1" s="1002"/>
      <c r="L1" s="1002"/>
      <c r="M1" s="1002"/>
      <c r="N1" s="1002"/>
      <c r="O1" s="1002"/>
      <c r="P1" s="1002"/>
      <c r="Q1" s="1002"/>
      <c r="R1" s="1002"/>
    </row>
    <row r="2" spans="1:18" x14ac:dyDescent="0.7">
      <c r="A2" s="996" t="s">
        <v>7596</v>
      </c>
      <c r="B2" s="996"/>
      <c r="C2" s="996"/>
      <c r="D2" s="996"/>
      <c r="E2" s="996"/>
      <c r="F2" s="1002"/>
      <c r="G2" s="1002"/>
      <c r="H2" s="1002"/>
      <c r="I2" s="1002"/>
      <c r="J2" s="1002"/>
      <c r="K2" s="1002"/>
      <c r="L2" s="1002"/>
      <c r="M2" s="1002"/>
      <c r="N2" s="1002"/>
      <c r="O2" s="1002"/>
      <c r="P2" s="1002"/>
      <c r="Q2" s="1002"/>
      <c r="R2" s="1002"/>
    </row>
    <row r="3" spans="1:18" x14ac:dyDescent="0.7">
      <c r="A3" s="996" t="s">
        <v>7493</v>
      </c>
      <c r="B3" s="996"/>
      <c r="C3" s="996"/>
      <c r="D3" s="996"/>
      <c r="E3" s="996"/>
      <c r="F3" s="1002"/>
      <c r="G3" s="1002"/>
      <c r="H3" s="1002"/>
      <c r="I3" s="1002"/>
      <c r="J3" s="1002"/>
      <c r="K3" s="1002"/>
      <c r="L3" s="1002"/>
      <c r="M3" s="1002"/>
      <c r="N3" s="1002"/>
      <c r="O3" s="1002"/>
      <c r="P3" s="1002"/>
      <c r="Q3" s="1002"/>
      <c r="R3" s="1002"/>
    </row>
    <row r="5" spans="1:18" x14ac:dyDescent="0.7">
      <c r="A5" s="1001" t="s">
        <v>6537</v>
      </c>
      <c r="B5" s="1001" t="s">
        <v>7597</v>
      </c>
      <c r="C5" s="1001" t="s">
        <v>7473</v>
      </c>
      <c r="D5" s="1001" t="s">
        <v>7598</v>
      </c>
      <c r="E5" s="1001" t="s">
        <v>7599</v>
      </c>
    </row>
    <row r="6" spans="1:18" x14ac:dyDescent="0.7">
      <c r="A6" s="1054">
        <v>1</v>
      </c>
      <c r="B6" s="1077" t="s">
        <v>7481</v>
      </c>
      <c r="C6" s="1106" t="s">
        <v>7511</v>
      </c>
      <c r="D6" s="1107">
        <v>5000</v>
      </c>
      <c r="E6" s="1099">
        <f t="shared" ref="E6:E14" si="0">D6*12</f>
        <v>60000</v>
      </c>
    </row>
    <row r="7" spans="1:18" x14ac:dyDescent="0.7">
      <c r="A7" s="1054">
        <v>2</v>
      </c>
      <c r="B7" s="1078" t="s">
        <v>7483</v>
      </c>
      <c r="C7" s="1106" t="s">
        <v>7511</v>
      </c>
      <c r="D7" s="1107">
        <v>5000</v>
      </c>
      <c r="E7" s="1099">
        <f t="shared" si="0"/>
        <v>60000</v>
      </c>
    </row>
    <row r="8" spans="1:18" x14ac:dyDescent="0.7">
      <c r="A8" s="1054">
        <v>3</v>
      </c>
      <c r="B8" s="1108" t="s">
        <v>7437</v>
      </c>
      <c r="C8" s="1109" t="s">
        <v>7489</v>
      </c>
      <c r="D8" s="1107">
        <v>1500</v>
      </c>
      <c r="E8" s="1099">
        <f t="shared" si="0"/>
        <v>18000</v>
      </c>
    </row>
    <row r="9" spans="1:18" x14ac:dyDescent="0.7">
      <c r="A9" s="1054">
        <v>4</v>
      </c>
      <c r="B9" s="1108" t="s">
        <v>7600</v>
      </c>
      <c r="C9" s="1109" t="s">
        <v>7561</v>
      </c>
      <c r="D9" s="1107">
        <v>1500</v>
      </c>
      <c r="E9" s="1099">
        <f t="shared" si="0"/>
        <v>18000</v>
      </c>
    </row>
    <row r="10" spans="1:18" x14ac:dyDescent="0.7">
      <c r="A10" s="1054">
        <v>5</v>
      </c>
      <c r="B10" s="1075" t="s">
        <v>7601</v>
      </c>
      <c r="C10" s="1109" t="s">
        <v>7561</v>
      </c>
      <c r="D10" s="1110">
        <v>1500</v>
      </c>
      <c r="E10" s="1099">
        <f t="shared" si="0"/>
        <v>18000</v>
      </c>
    </row>
    <row r="11" spans="1:18" x14ac:dyDescent="0.7">
      <c r="A11" s="1054">
        <v>6</v>
      </c>
      <c r="B11" s="1075" t="s">
        <v>7443</v>
      </c>
      <c r="C11" s="1109" t="s">
        <v>7561</v>
      </c>
      <c r="D11" s="1110">
        <v>1000</v>
      </c>
      <c r="E11" s="1099">
        <f t="shared" si="0"/>
        <v>12000</v>
      </c>
    </row>
    <row r="12" spans="1:18" x14ac:dyDescent="0.7">
      <c r="A12" s="1054">
        <v>7</v>
      </c>
      <c r="B12" s="1086" t="s">
        <v>7447</v>
      </c>
      <c r="C12" s="1109" t="s">
        <v>7561</v>
      </c>
      <c r="D12" s="1110">
        <v>1500</v>
      </c>
      <c r="E12" s="1099">
        <f t="shared" si="0"/>
        <v>18000</v>
      </c>
    </row>
    <row r="13" spans="1:18" x14ac:dyDescent="0.7">
      <c r="A13" s="1054">
        <v>8</v>
      </c>
      <c r="B13" s="1086" t="s">
        <v>7573</v>
      </c>
      <c r="C13" s="1109" t="s">
        <v>7561</v>
      </c>
      <c r="D13" s="1110">
        <v>1500</v>
      </c>
      <c r="E13" s="1099">
        <f t="shared" si="0"/>
        <v>18000</v>
      </c>
    </row>
    <row r="14" spans="1:18" x14ac:dyDescent="0.7">
      <c r="A14" s="1054">
        <v>9</v>
      </c>
      <c r="B14" s="1086" t="s">
        <v>7445</v>
      </c>
      <c r="C14" s="1109" t="s">
        <v>7561</v>
      </c>
      <c r="D14" s="1110">
        <v>1500</v>
      </c>
      <c r="E14" s="1099">
        <f t="shared" si="0"/>
        <v>18000</v>
      </c>
    </row>
    <row r="15" spans="1:18" s="1002" customFormat="1" x14ac:dyDescent="0.7">
      <c r="A15" s="1088" t="s">
        <v>7433</v>
      </c>
      <c r="B15" s="1090"/>
      <c r="C15" s="1111"/>
      <c r="D15" s="1112">
        <f>SUM(D6:D14)</f>
        <v>20000</v>
      </c>
      <c r="E15" s="1112">
        <f>SUM(E6:E14)</f>
        <v>240000</v>
      </c>
    </row>
    <row r="17" spans="4:8" ht="23.25" customHeight="1" x14ac:dyDescent="0.7">
      <c r="D17" s="1113"/>
      <c r="E17" s="1114"/>
    </row>
    <row r="18" spans="4:8" x14ac:dyDescent="0.7">
      <c r="D18" s="1020"/>
      <c r="E18" s="1020"/>
    </row>
    <row r="19" spans="4:8" x14ac:dyDescent="0.7">
      <c r="D19" s="1021"/>
      <c r="E19" s="1021"/>
    </row>
    <row r="20" spans="4:8" x14ac:dyDescent="0.7">
      <c r="D20" s="1020"/>
      <c r="E20" s="1020"/>
      <c r="H20" s="997" t="s">
        <v>7380</v>
      </c>
    </row>
    <row r="50" spans="6:6" x14ac:dyDescent="0.7">
      <c r="F50" s="997" t="s">
        <v>7380</v>
      </c>
    </row>
  </sheetData>
  <mergeCells count="7">
    <mergeCell ref="D20:E20"/>
    <mergeCell ref="A1:E1"/>
    <mergeCell ref="A2:E2"/>
    <mergeCell ref="A3:E3"/>
    <mergeCell ref="A15:B15"/>
    <mergeCell ref="D18:E18"/>
    <mergeCell ref="D19:E19"/>
  </mergeCells>
  <pageMargins left="2.1653543307086616" right="0.9055118110236221" top="0.94488188976377963" bottom="0.98425196850393704" header="0.31496062992125984" footer="0.31496062992125984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4F0CF-CC9D-4C3E-8FE7-F4939189251D}">
  <sheetPr>
    <tabColor rgb="FF0070C0"/>
    <pageSetUpPr fitToPage="1"/>
  </sheetPr>
  <dimension ref="A1:P35"/>
  <sheetViews>
    <sheetView view="pageBreakPreview" zoomScale="90" zoomScaleNormal="90" zoomScaleSheetLayoutView="90" workbookViewId="0">
      <pane xSplit="2" ySplit="1" topLeftCell="E14" activePane="bottomRight" state="frozen"/>
      <selection activeCell="A17" sqref="A17"/>
      <selection pane="topRight" activeCell="A17" sqref="A17"/>
      <selection pane="bottomLeft" activeCell="A17" sqref="A17"/>
      <selection pane="bottomRight" activeCell="A17" sqref="A17"/>
    </sheetView>
  </sheetViews>
  <sheetFormatPr defaultColWidth="9" defaultRowHeight="24.6" x14ac:dyDescent="0.7"/>
  <cols>
    <col min="1" max="1" width="7.59765625" style="1012" customWidth="1"/>
    <col min="2" max="2" width="15.5" style="997" customWidth="1"/>
    <col min="3" max="3" width="12.09765625" style="1124" customWidth="1"/>
    <col min="4" max="4" width="12.5" style="1124" customWidth="1"/>
    <col min="5" max="5" width="12.3984375" style="1124" customWidth="1"/>
    <col min="6" max="6" width="13.19921875" style="1124" customWidth="1"/>
    <col min="7" max="7" width="13.59765625" style="1124" customWidth="1"/>
    <col min="8" max="8" width="13.09765625" style="1124" customWidth="1"/>
    <col min="9" max="9" width="12.09765625" style="1124" customWidth="1"/>
    <col min="10" max="10" width="12.59765625" style="1124" customWidth="1"/>
    <col min="11" max="12" width="12.69921875" style="1124" customWidth="1"/>
    <col min="13" max="13" width="11.8984375" style="1124" customWidth="1"/>
    <col min="14" max="14" width="12.19921875" style="1124" customWidth="1"/>
    <col min="15" max="15" width="14.3984375" style="1124" customWidth="1"/>
    <col min="16" max="16" width="12.19921875" style="997" bestFit="1" customWidth="1"/>
    <col min="17" max="16384" width="9" style="997"/>
  </cols>
  <sheetData>
    <row r="1" spans="1:16" s="1002" customFormat="1" x14ac:dyDescent="0.7">
      <c r="A1" s="998" t="s">
        <v>7602</v>
      </c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  <c r="M1" s="998"/>
      <c r="N1" s="998"/>
      <c r="O1" s="998"/>
    </row>
    <row r="2" spans="1:16" s="1116" customFormat="1" x14ac:dyDescent="0.7">
      <c r="A2" s="999" t="s">
        <v>6537</v>
      </c>
      <c r="B2" s="999" t="s">
        <v>682</v>
      </c>
      <c r="C2" s="1115" t="s">
        <v>7496</v>
      </c>
      <c r="D2" s="1115" t="s">
        <v>7497</v>
      </c>
      <c r="E2" s="1115" t="s">
        <v>7498</v>
      </c>
      <c r="F2" s="1115" t="s">
        <v>7499</v>
      </c>
      <c r="G2" s="1115" t="s">
        <v>7500</v>
      </c>
      <c r="H2" s="1115" t="s">
        <v>7501</v>
      </c>
      <c r="I2" s="1115" t="s">
        <v>7502</v>
      </c>
      <c r="J2" s="1115" t="s">
        <v>7503</v>
      </c>
      <c r="K2" s="1115" t="s">
        <v>7504</v>
      </c>
      <c r="L2" s="1115" t="s">
        <v>7505</v>
      </c>
      <c r="M2" s="1115" t="s">
        <v>7506</v>
      </c>
      <c r="N2" s="1115" t="s">
        <v>7507</v>
      </c>
      <c r="O2" s="1115" t="s">
        <v>622</v>
      </c>
    </row>
    <row r="3" spans="1:16" s="1120" customFormat="1" x14ac:dyDescent="0.7">
      <c r="A3" s="1117">
        <v>1</v>
      </c>
      <c r="B3" s="1118" t="s">
        <v>30</v>
      </c>
      <c r="C3" s="1119">
        <v>621640</v>
      </c>
      <c r="D3" s="1119">
        <v>779480</v>
      </c>
      <c r="E3" s="1119">
        <v>779480</v>
      </c>
      <c r="F3" s="1119">
        <v>779480</v>
      </c>
      <c r="G3" s="1119">
        <v>779480</v>
      </c>
      <c r="H3" s="1119">
        <v>779480</v>
      </c>
      <c r="I3" s="1119">
        <v>779480</v>
      </c>
      <c r="J3" s="1119">
        <v>779480</v>
      </c>
      <c r="K3" s="1119">
        <v>779480</v>
      </c>
      <c r="L3" s="1119">
        <v>779480</v>
      </c>
      <c r="M3" s="1119">
        <v>779480</v>
      </c>
      <c r="N3" s="1119">
        <v>779480</v>
      </c>
      <c r="O3" s="1119">
        <f t="shared" ref="O3:O17" si="0">SUM(C3:N3)</f>
        <v>9195920</v>
      </c>
    </row>
    <row r="4" spans="1:16" x14ac:dyDescent="0.7">
      <c r="A4" s="1003">
        <v>2</v>
      </c>
      <c r="B4" s="1075" t="s">
        <v>7482</v>
      </c>
      <c r="C4" s="1121">
        <v>151400</v>
      </c>
      <c r="D4" s="1121">
        <v>198180</v>
      </c>
      <c r="E4" s="1121">
        <v>198180</v>
      </c>
      <c r="F4" s="1121">
        <v>198180</v>
      </c>
      <c r="G4" s="1121">
        <v>198180</v>
      </c>
      <c r="H4" s="1121">
        <v>198180</v>
      </c>
      <c r="I4" s="1121">
        <v>198180</v>
      </c>
      <c r="J4" s="1121">
        <v>198180</v>
      </c>
      <c r="K4" s="1121">
        <v>198180</v>
      </c>
      <c r="L4" s="1121">
        <v>198180</v>
      </c>
      <c r="M4" s="1121">
        <v>198180</v>
      </c>
      <c r="N4" s="1121">
        <v>198180</v>
      </c>
      <c r="O4" s="1121">
        <f t="shared" si="0"/>
        <v>2331380</v>
      </c>
    </row>
    <row r="5" spans="1:16" x14ac:dyDescent="0.7">
      <c r="A5" s="1003">
        <v>3</v>
      </c>
      <c r="B5" s="1075" t="s">
        <v>6526</v>
      </c>
      <c r="C5" s="1121">
        <v>40160</v>
      </c>
      <c r="D5" s="1121">
        <v>48200</v>
      </c>
      <c r="E5" s="1121">
        <v>48200</v>
      </c>
      <c r="F5" s="1121">
        <v>48200</v>
      </c>
      <c r="G5" s="1121">
        <v>48200</v>
      </c>
      <c r="H5" s="1121">
        <v>48200</v>
      </c>
      <c r="I5" s="1121">
        <v>48200</v>
      </c>
      <c r="J5" s="1121">
        <v>48200</v>
      </c>
      <c r="K5" s="1121">
        <v>48200</v>
      </c>
      <c r="L5" s="1121">
        <v>48200</v>
      </c>
      <c r="M5" s="1121">
        <v>48200</v>
      </c>
      <c r="N5" s="1121">
        <v>48200</v>
      </c>
      <c r="O5" s="1121">
        <f t="shared" si="0"/>
        <v>570360</v>
      </c>
    </row>
    <row r="6" spans="1:16" x14ac:dyDescent="0.7">
      <c r="A6" s="1003">
        <v>4</v>
      </c>
      <c r="B6" s="1122" t="s">
        <v>7603</v>
      </c>
      <c r="C6" s="1121">
        <v>54480</v>
      </c>
      <c r="D6" s="1121">
        <v>65400</v>
      </c>
      <c r="E6" s="1121">
        <v>65400</v>
      </c>
      <c r="F6" s="1121">
        <v>65400</v>
      </c>
      <c r="G6" s="1121">
        <v>65400</v>
      </c>
      <c r="H6" s="1121">
        <v>65400</v>
      </c>
      <c r="I6" s="1121">
        <v>65400</v>
      </c>
      <c r="J6" s="1121">
        <v>65400</v>
      </c>
      <c r="K6" s="1121">
        <v>65400</v>
      </c>
      <c r="L6" s="1121">
        <v>65400</v>
      </c>
      <c r="M6" s="1121">
        <v>65400</v>
      </c>
      <c r="N6" s="1121">
        <v>65400</v>
      </c>
      <c r="O6" s="1121">
        <f t="shared" si="0"/>
        <v>773880</v>
      </c>
    </row>
    <row r="7" spans="1:16" x14ac:dyDescent="0.7">
      <c r="A7" s="1003">
        <v>5</v>
      </c>
      <c r="B7" s="1122" t="s">
        <v>7604</v>
      </c>
      <c r="C7" s="1121">
        <v>104000</v>
      </c>
      <c r="D7" s="1121">
        <v>125000</v>
      </c>
      <c r="E7" s="1121">
        <v>125000</v>
      </c>
      <c r="F7" s="1121">
        <v>125000</v>
      </c>
      <c r="G7" s="1121">
        <v>125000</v>
      </c>
      <c r="H7" s="1121">
        <v>125000</v>
      </c>
      <c r="I7" s="1121">
        <v>125000</v>
      </c>
      <c r="J7" s="1121">
        <v>125000</v>
      </c>
      <c r="K7" s="1121">
        <v>125000</v>
      </c>
      <c r="L7" s="1121">
        <v>125000</v>
      </c>
      <c r="M7" s="1121">
        <v>125000</v>
      </c>
      <c r="N7" s="1121">
        <v>125000</v>
      </c>
      <c r="O7" s="1121">
        <f t="shared" si="0"/>
        <v>1479000</v>
      </c>
    </row>
    <row r="8" spans="1:16" x14ac:dyDescent="0.7">
      <c r="A8" s="1003">
        <v>6</v>
      </c>
      <c r="B8" s="1122" t="s">
        <v>7605</v>
      </c>
      <c r="C8" s="1121">
        <v>87600</v>
      </c>
      <c r="D8" s="1121">
        <v>105200</v>
      </c>
      <c r="E8" s="1121">
        <v>105200</v>
      </c>
      <c r="F8" s="1121">
        <v>105200</v>
      </c>
      <c r="G8" s="1121">
        <v>105200</v>
      </c>
      <c r="H8" s="1121">
        <v>105200</v>
      </c>
      <c r="I8" s="1121">
        <v>105200</v>
      </c>
      <c r="J8" s="1121">
        <v>105200</v>
      </c>
      <c r="K8" s="1121">
        <v>105200</v>
      </c>
      <c r="L8" s="1121">
        <v>105200</v>
      </c>
      <c r="M8" s="1121">
        <v>105200</v>
      </c>
      <c r="N8" s="1121">
        <v>105200</v>
      </c>
      <c r="O8" s="1121">
        <f t="shared" si="0"/>
        <v>1244800</v>
      </c>
      <c r="P8" s="1104">
        <f>SUM(O6:O8)</f>
        <v>3497680</v>
      </c>
    </row>
    <row r="9" spans="1:16" x14ac:dyDescent="0.7">
      <c r="A9" s="1003">
        <v>7</v>
      </c>
      <c r="B9" s="1075" t="s">
        <v>7606</v>
      </c>
      <c r="C9" s="1121">
        <v>10800</v>
      </c>
      <c r="D9" s="1121">
        <v>13000</v>
      </c>
      <c r="E9" s="1121">
        <v>13000</v>
      </c>
      <c r="F9" s="1121">
        <v>13000</v>
      </c>
      <c r="G9" s="1121">
        <v>13000</v>
      </c>
      <c r="H9" s="1121">
        <v>13000</v>
      </c>
      <c r="I9" s="1121">
        <v>13000</v>
      </c>
      <c r="J9" s="1121">
        <v>13000</v>
      </c>
      <c r="K9" s="1121">
        <v>13000</v>
      </c>
      <c r="L9" s="1121">
        <v>13000</v>
      </c>
      <c r="M9" s="1121">
        <v>13000</v>
      </c>
      <c r="N9" s="1121">
        <v>13000</v>
      </c>
      <c r="O9" s="1121">
        <f t="shared" si="0"/>
        <v>153800</v>
      </c>
    </row>
    <row r="10" spans="1:16" x14ac:dyDescent="0.7">
      <c r="A10" s="1003">
        <v>8</v>
      </c>
      <c r="B10" s="1075" t="s">
        <v>7607</v>
      </c>
      <c r="C10" s="1121">
        <v>29400</v>
      </c>
      <c r="D10" s="1121">
        <v>35500</v>
      </c>
      <c r="E10" s="1121">
        <v>35500</v>
      </c>
      <c r="F10" s="1121">
        <v>35500</v>
      </c>
      <c r="G10" s="1121">
        <v>35500</v>
      </c>
      <c r="H10" s="1121">
        <v>35500</v>
      </c>
      <c r="I10" s="1121">
        <v>35500</v>
      </c>
      <c r="J10" s="1121">
        <v>35500</v>
      </c>
      <c r="K10" s="1121">
        <v>35500</v>
      </c>
      <c r="L10" s="1121">
        <v>35500</v>
      </c>
      <c r="M10" s="1121">
        <v>35500</v>
      </c>
      <c r="N10" s="1121">
        <v>35500</v>
      </c>
      <c r="O10" s="1121">
        <f t="shared" si="0"/>
        <v>419900</v>
      </c>
    </row>
    <row r="11" spans="1:16" x14ac:dyDescent="0.7">
      <c r="A11" s="1003">
        <v>9</v>
      </c>
      <c r="B11" s="1075" t="s">
        <v>7608</v>
      </c>
      <c r="C11" s="1121">
        <v>26000</v>
      </c>
      <c r="D11" s="1121">
        <v>31500</v>
      </c>
      <c r="E11" s="1121">
        <v>31500</v>
      </c>
      <c r="F11" s="1121">
        <v>31500</v>
      </c>
      <c r="G11" s="1121">
        <v>31500</v>
      </c>
      <c r="H11" s="1121">
        <v>31500</v>
      </c>
      <c r="I11" s="1121">
        <v>31500</v>
      </c>
      <c r="J11" s="1121">
        <v>31500</v>
      </c>
      <c r="K11" s="1121">
        <v>31500</v>
      </c>
      <c r="L11" s="1121">
        <v>31500</v>
      </c>
      <c r="M11" s="1121">
        <v>31500</v>
      </c>
      <c r="N11" s="1121">
        <v>31500</v>
      </c>
      <c r="O11" s="1121">
        <f t="shared" si="0"/>
        <v>372500</v>
      </c>
    </row>
    <row r="12" spans="1:16" x14ac:dyDescent="0.7">
      <c r="A12" s="1003">
        <v>10</v>
      </c>
      <c r="B12" s="1075" t="s">
        <v>7609</v>
      </c>
      <c r="C12" s="1121">
        <v>34500</v>
      </c>
      <c r="D12" s="1121">
        <v>41500</v>
      </c>
      <c r="E12" s="1121">
        <v>41500</v>
      </c>
      <c r="F12" s="1121">
        <v>41500</v>
      </c>
      <c r="G12" s="1121">
        <v>41500</v>
      </c>
      <c r="H12" s="1121">
        <v>41500</v>
      </c>
      <c r="I12" s="1121">
        <v>41500</v>
      </c>
      <c r="J12" s="1121">
        <v>41500</v>
      </c>
      <c r="K12" s="1121">
        <v>41500</v>
      </c>
      <c r="L12" s="1121">
        <v>41500</v>
      </c>
      <c r="M12" s="1121">
        <v>41500</v>
      </c>
      <c r="N12" s="1121">
        <v>41500</v>
      </c>
      <c r="O12" s="1121">
        <f t="shared" si="0"/>
        <v>491000</v>
      </c>
    </row>
    <row r="13" spans="1:16" x14ac:dyDescent="0.7">
      <c r="A13" s="1003">
        <v>11</v>
      </c>
      <c r="B13" s="1075" t="s">
        <v>7610</v>
      </c>
      <c r="C13" s="1121">
        <v>9500</v>
      </c>
      <c r="D13" s="1121">
        <v>16500</v>
      </c>
      <c r="E13" s="1121">
        <v>16500</v>
      </c>
      <c r="F13" s="1121">
        <v>16500</v>
      </c>
      <c r="G13" s="1121">
        <v>16500</v>
      </c>
      <c r="H13" s="1121">
        <v>16500</v>
      </c>
      <c r="I13" s="1121">
        <v>16500</v>
      </c>
      <c r="J13" s="1121">
        <v>16500</v>
      </c>
      <c r="K13" s="1121">
        <v>16500</v>
      </c>
      <c r="L13" s="1121">
        <v>16500</v>
      </c>
      <c r="M13" s="1121">
        <v>16500</v>
      </c>
      <c r="N13" s="1121">
        <v>16500</v>
      </c>
      <c r="O13" s="1121">
        <f t="shared" si="0"/>
        <v>191000</v>
      </c>
    </row>
    <row r="14" spans="1:16" x14ac:dyDescent="0.7">
      <c r="A14" s="1003">
        <v>12</v>
      </c>
      <c r="B14" s="1075" t="s">
        <v>6531</v>
      </c>
      <c r="C14" s="1121">
        <v>33000</v>
      </c>
      <c r="D14" s="1121">
        <v>45000</v>
      </c>
      <c r="E14" s="1121">
        <v>45000</v>
      </c>
      <c r="F14" s="1121">
        <v>45000</v>
      </c>
      <c r="G14" s="1121">
        <v>45000</v>
      </c>
      <c r="H14" s="1121">
        <v>45000</v>
      </c>
      <c r="I14" s="1121">
        <v>45000</v>
      </c>
      <c r="J14" s="1121">
        <v>45000</v>
      </c>
      <c r="K14" s="1121">
        <v>45000</v>
      </c>
      <c r="L14" s="1121">
        <v>45000</v>
      </c>
      <c r="M14" s="1121">
        <v>45000</v>
      </c>
      <c r="N14" s="1121">
        <v>45000</v>
      </c>
      <c r="O14" s="1121">
        <f t="shared" si="0"/>
        <v>528000</v>
      </c>
    </row>
    <row r="15" spans="1:16" x14ac:dyDescent="0.7">
      <c r="A15" s="1003">
        <v>13</v>
      </c>
      <c r="B15" s="1075" t="s">
        <v>7588</v>
      </c>
      <c r="C15" s="1121">
        <v>33000</v>
      </c>
      <c r="D15" s="1121">
        <v>40000</v>
      </c>
      <c r="E15" s="1121">
        <v>40000</v>
      </c>
      <c r="F15" s="1121">
        <v>40000</v>
      </c>
      <c r="G15" s="1121">
        <v>40000</v>
      </c>
      <c r="H15" s="1121">
        <v>40000</v>
      </c>
      <c r="I15" s="1121">
        <v>40000</v>
      </c>
      <c r="J15" s="1121">
        <v>40000</v>
      </c>
      <c r="K15" s="1121">
        <v>40000</v>
      </c>
      <c r="L15" s="1121">
        <v>40000</v>
      </c>
      <c r="M15" s="1121">
        <v>40000</v>
      </c>
      <c r="N15" s="1121">
        <v>40000</v>
      </c>
      <c r="O15" s="1121">
        <f t="shared" si="0"/>
        <v>473000</v>
      </c>
    </row>
    <row r="16" spans="1:16" x14ac:dyDescent="0.7">
      <c r="A16" s="1003">
        <v>14</v>
      </c>
      <c r="B16" s="1075" t="s">
        <v>7611</v>
      </c>
      <c r="C16" s="1121">
        <v>4500</v>
      </c>
      <c r="D16" s="1121">
        <v>6000</v>
      </c>
      <c r="E16" s="1121">
        <v>6000</v>
      </c>
      <c r="F16" s="1121">
        <v>6000</v>
      </c>
      <c r="G16" s="1121">
        <v>6000</v>
      </c>
      <c r="H16" s="1121">
        <v>6000</v>
      </c>
      <c r="I16" s="1121">
        <v>6000</v>
      </c>
      <c r="J16" s="1121">
        <v>6000</v>
      </c>
      <c r="K16" s="1121">
        <v>6000</v>
      </c>
      <c r="L16" s="1121">
        <v>6000</v>
      </c>
      <c r="M16" s="1121">
        <v>6000</v>
      </c>
      <c r="N16" s="1121">
        <v>6000</v>
      </c>
      <c r="O16" s="1121">
        <f t="shared" si="0"/>
        <v>70500</v>
      </c>
    </row>
    <row r="17" spans="1:15" x14ac:dyDescent="0.7">
      <c r="A17" s="1003">
        <v>15</v>
      </c>
      <c r="B17" s="1075" t="s">
        <v>7612</v>
      </c>
      <c r="C17" s="1121">
        <v>3300</v>
      </c>
      <c r="D17" s="1121">
        <v>8500</v>
      </c>
      <c r="E17" s="1121">
        <v>8500</v>
      </c>
      <c r="F17" s="1121">
        <v>8500</v>
      </c>
      <c r="G17" s="1121">
        <v>8500</v>
      </c>
      <c r="H17" s="1121">
        <v>8500</v>
      </c>
      <c r="I17" s="1121">
        <v>8500</v>
      </c>
      <c r="J17" s="1121">
        <v>8500</v>
      </c>
      <c r="K17" s="1121">
        <v>8500</v>
      </c>
      <c r="L17" s="1121">
        <v>8500</v>
      </c>
      <c r="M17" s="1121">
        <v>8500</v>
      </c>
      <c r="N17" s="1121">
        <v>8500</v>
      </c>
      <c r="O17" s="1121">
        <f t="shared" si="0"/>
        <v>96800</v>
      </c>
    </row>
    <row r="18" spans="1:15" s="1002" customFormat="1" x14ac:dyDescent="0.7">
      <c r="A18" s="1088" t="s">
        <v>7433</v>
      </c>
      <c r="B18" s="1090"/>
      <c r="C18" s="1123">
        <f t="shared" ref="C18:O18" si="1">SUM(C4:C17)</f>
        <v>621640</v>
      </c>
      <c r="D18" s="1123">
        <f t="shared" si="1"/>
        <v>779480</v>
      </c>
      <c r="E18" s="1123">
        <f t="shared" si="1"/>
        <v>779480</v>
      </c>
      <c r="F18" s="1123">
        <f t="shared" si="1"/>
        <v>779480</v>
      </c>
      <c r="G18" s="1123">
        <f t="shared" si="1"/>
        <v>779480</v>
      </c>
      <c r="H18" s="1123">
        <f t="shared" si="1"/>
        <v>779480</v>
      </c>
      <c r="I18" s="1123">
        <f t="shared" si="1"/>
        <v>779480</v>
      </c>
      <c r="J18" s="1123">
        <f t="shared" si="1"/>
        <v>779480</v>
      </c>
      <c r="K18" s="1123">
        <f t="shared" si="1"/>
        <v>779480</v>
      </c>
      <c r="L18" s="1123">
        <f t="shared" si="1"/>
        <v>779480</v>
      </c>
      <c r="M18" s="1123">
        <f t="shared" si="1"/>
        <v>779480</v>
      </c>
      <c r="N18" s="1123">
        <f t="shared" si="1"/>
        <v>779480</v>
      </c>
      <c r="O18" s="1123">
        <f t="shared" si="1"/>
        <v>9195920</v>
      </c>
    </row>
    <row r="20" spans="1:15" x14ac:dyDescent="0.7">
      <c r="B20" s="997" t="s">
        <v>7613</v>
      </c>
      <c r="F20" s="1124">
        <f>SUM(O4,O5,O6,O7,O8,O11,O16)</f>
        <v>6842420</v>
      </c>
    </row>
    <row r="21" spans="1:15" x14ac:dyDescent="0.7">
      <c r="B21" s="997" t="s">
        <v>7614</v>
      </c>
      <c r="F21" s="1124">
        <f>SUM(O9,O10,O12,O13,O14,O15,O17)</f>
        <v>2353500</v>
      </c>
    </row>
    <row r="22" spans="1:15" x14ac:dyDescent="0.7">
      <c r="M22" s="1020"/>
      <c r="N22" s="1020"/>
    </row>
    <row r="23" spans="1:15" x14ac:dyDescent="0.7">
      <c r="M23" s="1021"/>
      <c r="N23" s="1021"/>
    </row>
    <row r="24" spans="1:15" x14ac:dyDescent="0.7">
      <c r="M24" s="1020"/>
      <c r="N24" s="1020"/>
    </row>
    <row r="31" spans="1:15" x14ac:dyDescent="0.7">
      <c r="B31" s="997" t="s">
        <v>6531</v>
      </c>
      <c r="C31" s="1121">
        <v>43000</v>
      </c>
    </row>
    <row r="32" spans="1:15" x14ac:dyDescent="0.7">
      <c r="B32" s="1075" t="s">
        <v>7615</v>
      </c>
      <c r="C32" s="1121">
        <v>9980</v>
      </c>
    </row>
    <row r="33" spans="2:3" s="997" customFormat="1" x14ac:dyDescent="0.7">
      <c r="B33" s="1075" t="s">
        <v>7616</v>
      </c>
      <c r="C33" s="1121">
        <v>5040</v>
      </c>
    </row>
    <row r="34" spans="2:3" s="997" customFormat="1" x14ac:dyDescent="0.7">
      <c r="B34" s="1075" t="s">
        <v>7617</v>
      </c>
      <c r="C34" s="1121">
        <v>4200</v>
      </c>
    </row>
    <row r="35" spans="2:3" s="997" customFormat="1" x14ac:dyDescent="0.7">
      <c r="B35" s="1075" t="s">
        <v>7618</v>
      </c>
      <c r="C35" s="1121">
        <v>23780</v>
      </c>
    </row>
  </sheetData>
  <mergeCells count="5">
    <mergeCell ref="A1:O1"/>
    <mergeCell ref="A18:B18"/>
    <mergeCell ref="M22:N22"/>
    <mergeCell ref="M23:N23"/>
    <mergeCell ref="M24:N24"/>
  </mergeCells>
  <pageMargins left="0.23622047244094491" right="0.23622047244094491" top="0.94488188976377963" bottom="0.94488188976377963" header="0.31496062992125984" footer="0.31496062992125984"/>
  <pageSetup paperSize="9" scale="71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FC53-6010-46A0-ACB7-D4FB4AA2F4BC}">
  <sheetPr>
    <tabColor rgb="FFFF66CC"/>
    <pageSetUpPr fitToPage="1"/>
  </sheetPr>
  <dimension ref="A1:W84"/>
  <sheetViews>
    <sheetView zoomScaleNormal="100" zoomScaleSheetLayoutView="100" workbookViewId="0">
      <pane ySplit="4" topLeftCell="A92" activePane="bottomLeft" state="frozen"/>
      <selection activeCell="A17" sqref="A17"/>
      <selection pane="bottomLeft" activeCell="A17" sqref="A17"/>
    </sheetView>
  </sheetViews>
  <sheetFormatPr defaultColWidth="9" defaultRowHeight="24.6" x14ac:dyDescent="0.25"/>
  <cols>
    <col min="1" max="1" width="5.69921875" style="1218" customWidth="1"/>
    <col min="2" max="2" width="56.8984375" style="1152" customWidth="1"/>
    <col min="3" max="3" width="8" style="1216" customWidth="1"/>
    <col min="4" max="4" width="14.3984375" style="1217" customWidth="1"/>
    <col min="5" max="5" width="9" style="1152" customWidth="1"/>
    <col min="6" max="6" width="7.3984375" style="1218" bestFit="1" customWidth="1"/>
    <col min="7" max="7" width="5.5" style="1152" bestFit="1" customWidth="1"/>
    <col min="8" max="8" width="6" style="1152" bestFit="1" customWidth="1"/>
    <col min="9" max="9" width="5.69921875" style="1218" customWidth="1"/>
    <col min="10" max="10" width="6.09765625" style="1152" customWidth="1"/>
    <col min="11" max="12" width="8.09765625" style="1152" bestFit="1" customWidth="1"/>
    <col min="13" max="13" width="10.3984375" style="1152" customWidth="1"/>
    <col min="14" max="14" width="10.09765625" style="1152" customWidth="1"/>
    <col min="15" max="15" width="10" style="1152" customWidth="1"/>
    <col min="16" max="16" width="12.69921875" style="1219" customWidth="1"/>
    <col min="17" max="17" width="14.5" style="1219" customWidth="1"/>
    <col min="18" max="18" width="18.3984375" style="1152" hidden="1" customWidth="1"/>
    <col min="19" max="19" width="17" style="1152" hidden="1" customWidth="1"/>
    <col min="20" max="20" width="9.69921875" style="1152" hidden="1" customWidth="1"/>
    <col min="21" max="21" width="21.3984375" style="1152" customWidth="1"/>
    <col min="22" max="22" width="9" style="1152"/>
    <col min="23" max="23" width="11.3984375" style="1152" bestFit="1" customWidth="1"/>
    <col min="24" max="16384" width="9" style="1152"/>
  </cols>
  <sheetData>
    <row r="1" spans="1:20" s="1125" customFormat="1" x14ac:dyDescent="0.25">
      <c r="A1" s="1125" t="s">
        <v>7619</v>
      </c>
    </row>
    <row r="2" spans="1:20" s="1125" customFormat="1" x14ac:dyDescent="0.25">
      <c r="A2" s="1125" t="s">
        <v>7620</v>
      </c>
    </row>
    <row r="3" spans="1:20" s="1125" customFormat="1" x14ac:dyDescent="0.25">
      <c r="A3" s="1126" t="s">
        <v>6537</v>
      </c>
      <c r="B3" s="1127" t="s">
        <v>7621</v>
      </c>
      <c r="C3" s="1128"/>
      <c r="D3" s="1129"/>
      <c r="E3" s="1130" t="s">
        <v>7622</v>
      </c>
      <c r="F3" s="1131"/>
      <c r="G3" s="1132" t="s">
        <v>7623</v>
      </c>
      <c r="H3" s="1132"/>
      <c r="I3" s="1132"/>
      <c r="J3" s="1132"/>
      <c r="K3" s="1132"/>
      <c r="L3" s="1132"/>
      <c r="M3" s="1130" t="s">
        <v>7624</v>
      </c>
      <c r="N3" s="1133"/>
      <c r="O3" s="1131"/>
      <c r="P3" s="1132" t="s">
        <v>7625</v>
      </c>
      <c r="Q3" s="1132"/>
      <c r="R3" s="1134"/>
      <c r="T3" s="1134"/>
    </row>
    <row r="4" spans="1:20" s="1142" customFormat="1" ht="117" customHeight="1" x14ac:dyDescent="0.25">
      <c r="A4" s="1135"/>
      <c r="B4" s="1127" t="s">
        <v>7626</v>
      </c>
      <c r="C4" s="1136" t="s">
        <v>7627</v>
      </c>
      <c r="D4" s="1137" t="s">
        <v>7628</v>
      </c>
      <c r="E4" s="1138" t="s">
        <v>7629</v>
      </c>
      <c r="F4" s="1139" t="s">
        <v>7630</v>
      </c>
      <c r="G4" s="1139" t="s">
        <v>7631</v>
      </c>
      <c r="H4" s="1139" t="s">
        <v>7632</v>
      </c>
      <c r="I4" s="1139" t="s">
        <v>7633</v>
      </c>
      <c r="J4" s="1139" t="s">
        <v>7634</v>
      </c>
      <c r="K4" s="1139" t="s">
        <v>7635</v>
      </c>
      <c r="L4" s="1139" t="s">
        <v>7636</v>
      </c>
      <c r="M4" s="1139" t="s">
        <v>7637</v>
      </c>
      <c r="N4" s="1139" t="s">
        <v>7638</v>
      </c>
      <c r="O4" s="1139" t="s">
        <v>7639</v>
      </c>
      <c r="P4" s="1140" t="s">
        <v>7640</v>
      </c>
      <c r="Q4" s="1140" t="s">
        <v>7641</v>
      </c>
      <c r="R4" s="1127" t="s">
        <v>7642</v>
      </c>
      <c r="S4" s="1141" t="s">
        <v>690</v>
      </c>
      <c r="T4" s="1127" t="s">
        <v>691</v>
      </c>
    </row>
    <row r="5" spans="1:20" x14ac:dyDescent="0.25">
      <c r="A5" s="1143" t="s">
        <v>7643</v>
      </c>
      <c r="B5" s="1144"/>
      <c r="C5" s="1145"/>
      <c r="D5" s="1146"/>
      <c r="E5" s="1147"/>
      <c r="F5" s="1148"/>
      <c r="G5" s="1147"/>
      <c r="H5" s="1147"/>
      <c r="I5" s="1148"/>
      <c r="J5" s="1147"/>
      <c r="K5" s="1147"/>
      <c r="L5" s="1147"/>
      <c r="M5" s="1149"/>
      <c r="N5" s="1149"/>
      <c r="O5" s="1149"/>
      <c r="P5" s="1150"/>
      <c r="Q5" s="1145"/>
      <c r="R5" s="1151"/>
      <c r="S5" s="1148"/>
      <c r="T5" s="1148"/>
    </row>
    <row r="6" spans="1:20" x14ac:dyDescent="0.25">
      <c r="A6" s="1153">
        <v>1</v>
      </c>
      <c r="B6" s="1154" t="s">
        <v>7644</v>
      </c>
      <c r="C6" s="1155">
        <v>5</v>
      </c>
      <c r="D6" s="1156">
        <v>6500</v>
      </c>
      <c r="E6" s="1147"/>
      <c r="F6" s="1148" t="s">
        <v>7645</v>
      </c>
      <c r="G6" s="1147"/>
      <c r="H6" s="1147"/>
      <c r="I6" s="1148" t="s">
        <v>7645</v>
      </c>
      <c r="J6" s="1147"/>
      <c r="K6" s="1147"/>
      <c r="L6" s="1147"/>
      <c r="M6" s="1149">
        <v>243285</v>
      </c>
      <c r="N6" s="1149">
        <v>24167</v>
      </c>
      <c r="O6" s="1149">
        <v>24167</v>
      </c>
      <c r="P6" s="1157"/>
      <c r="Q6" s="1158">
        <f>C6*D6</f>
        <v>32500</v>
      </c>
      <c r="R6" s="1148" t="s">
        <v>7646</v>
      </c>
      <c r="S6" s="1148"/>
      <c r="T6" s="1148"/>
    </row>
    <row r="7" spans="1:20" x14ac:dyDescent="0.25">
      <c r="A7" s="1153">
        <v>2</v>
      </c>
      <c r="B7" s="1154" t="s">
        <v>7647</v>
      </c>
      <c r="C7" s="1155">
        <v>2</v>
      </c>
      <c r="D7" s="1156">
        <v>5000</v>
      </c>
      <c r="E7" s="1159"/>
      <c r="F7" s="1148" t="s">
        <v>7645</v>
      </c>
      <c r="G7" s="1159"/>
      <c r="H7" s="1159"/>
      <c r="I7" s="1148" t="s">
        <v>7645</v>
      </c>
      <c r="J7" s="1159"/>
      <c r="K7" s="1159"/>
      <c r="L7" s="1159"/>
      <c r="M7" s="1149">
        <v>243285</v>
      </c>
      <c r="N7" s="1149">
        <v>24167</v>
      </c>
      <c r="O7" s="1149">
        <v>24167</v>
      </c>
      <c r="P7" s="1157"/>
      <c r="Q7" s="1158">
        <f t="shared" ref="Q7:Q30" si="0">C7*D7</f>
        <v>10000</v>
      </c>
      <c r="R7" s="1148" t="s">
        <v>7646</v>
      </c>
      <c r="S7" s="1148"/>
      <c r="T7" s="1148"/>
    </row>
    <row r="8" spans="1:20" x14ac:dyDescent="0.25">
      <c r="A8" s="1153">
        <v>3</v>
      </c>
      <c r="B8" s="1160" t="s">
        <v>7648</v>
      </c>
      <c r="C8" s="1155">
        <v>10</v>
      </c>
      <c r="D8" s="1161">
        <v>3500</v>
      </c>
      <c r="E8" s="1147"/>
      <c r="F8" s="1148" t="s">
        <v>7645</v>
      </c>
      <c r="G8" s="1147"/>
      <c r="H8" s="1147"/>
      <c r="I8" s="1148" t="s">
        <v>7645</v>
      </c>
      <c r="J8" s="1147"/>
      <c r="K8" s="1147"/>
      <c r="L8" s="1147"/>
      <c r="M8" s="1149">
        <v>243285</v>
      </c>
      <c r="N8" s="1149">
        <v>24167</v>
      </c>
      <c r="O8" s="1149">
        <v>24167</v>
      </c>
      <c r="P8" s="1157"/>
      <c r="Q8" s="1158">
        <f t="shared" si="0"/>
        <v>35000</v>
      </c>
      <c r="R8" s="1162" t="s">
        <v>7649</v>
      </c>
      <c r="S8" s="1148"/>
      <c r="T8" s="1148"/>
    </row>
    <row r="9" spans="1:20" x14ac:dyDescent="0.25">
      <c r="A9" s="1153">
        <v>4</v>
      </c>
      <c r="B9" s="1160" t="s">
        <v>7650</v>
      </c>
      <c r="C9" s="1155">
        <v>5</v>
      </c>
      <c r="D9" s="1161">
        <v>4500</v>
      </c>
      <c r="E9" s="1147"/>
      <c r="F9" s="1148" t="s">
        <v>7645</v>
      </c>
      <c r="G9" s="1147"/>
      <c r="H9" s="1147"/>
      <c r="I9" s="1148" t="s">
        <v>7645</v>
      </c>
      <c r="J9" s="1147"/>
      <c r="K9" s="1147"/>
      <c r="L9" s="1147"/>
      <c r="M9" s="1149">
        <v>243285</v>
      </c>
      <c r="N9" s="1149">
        <v>24167</v>
      </c>
      <c r="O9" s="1149">
        <v>24167</v>
      </c>
      <c r="P9" s="1157"/>
      <c r="Q9" s="1158">
        <f t="shared" si="0"/>
        <v>22500</v>
      </c>
      <c r="R9" s="1162"/>
      <c r="S9" s="1148"/>
      <c r="T9" s="1148"/>
    </row>
    <row r="10" spans="1:20" x14ac:dyDescent="0.25">
      <c r="A10" s="1153">
        <v>5</v>
      </c>
      <c r="B10" s="1160" t="s">
        <v>7651</v>
      </c>
      <c r="C10" s="1155">
        <v>10</v>
      </c>
      <c r="D10" s="1161">
        <v>3500</v>
      </c>
      <c r="E10" s="1147"/>
      <c r="F10" s="1148" t="s">
        <v>7645</v>
      </c>
      <c r="G10" s="1147"/>
      <c r="H10" s="1147"/>
      <c r="I10" s="1148" t="s">
        <v>7645</v>
      </c>
      <c r="J10" s="1147"/>
      <c r="K10" s="1147"/>
      <c r="L10" s="1147"/>
      <c r="M10" s="1149">
        <v>243285</v>
      </c>
      <c r="N10" s="1149">
        <v>24167</v>
      </c>
      <c r="O10" s="1149">
        <v>24167</v>
      </c>
      <c r="P10" s="1157"/>
      <c r="Q10" s="1158">
        <f t="shared" si="0"/>
        <v>35000</v>
      </c>
      <c r="R10" s="1162"/>
      <c r="S10" s="1148"/>
      <c r="T10" s="1148"/>
    </row>
    <row r="11" spans="1:20" x14ac:dyDescent="0.25">
      <c r="A11" s="1153">
        <v>6</v>
      </c>
      <c r="B11" s="1163" t="s">
        <v>7652</v>
      </c>
      <c r="C11" s="1155">
        <v>1</v>
      </c>
      <c r="D11" s="1164">
        <v>35000</v>
      </c>
      <c r="E11" s="1147"/>
      <c r="F11" s="1148" t="s">
        <v>7645</v>
      </c>
      <c r="G11" s="1147"/>
      <c r="H11" s="1147"/>
      <c r="I11" s="1148" t="s">
        <v>7645</v>
      </c>
      <c r="J11" s="1147"/>
      <c r="K11" s="1147"/>
      <c r="L11" s="1147"/>
      <c r="M11" s="1149">
        <v>243285</v>
      </c>
      <c r="N11" s="1149">
        <v>24167</v>
      </c>
      <c r="O11" s="1149">
        <v>24167</v>
      </c>
      <c r="P11" s="1157"/>
      <c r="Q11" s="1158">
        <f t="shared" si="0"/>
        <v>35000</v>
      </c>
      <c r="R11" s="1162"/>
      <c r="S11" s="1148"/>
      <c r="T11" s="1148"/>
    </row>
    <row r="12" spans="1:20" x14ac:dyDescent="0.25">
      <c r="A12" s="1153">
        <v>7</v>
      </c>
      <c r="B12" s="1163" t="s">
        <v>7653</v>
      </c>
      <c r="C12" s="1155">
        <v>1</v>
      </c>
      <c r="D12" s="1164">
        <v>40000</v>
      </c>
      <c r="E12" s="1147"/>
      <c r="F12" s="1148" t="s">
        <v>7645</v>
      </c>
      <c r="G12" s="1147"/>
      <c r="H12" s="1147"/>
      <c r="I12" s="1148" t="s">
        <v>7645</v>
      </c>
      <c r="J12" s="1147"/>
      <c r="K12" s="1147"/>
      <c r="L12" s="1147"/>
      <c r="M12" s="1149">
        <v>243285</v>
      </c>
      <c r="N12" s="1149">
        <v>24167</v>
      </c>
      <c r="O12" s="1149">
        <v>24167</v>
      </c>
      <c r="P12" s="1157"/>
      <c r="Q12" s="1158">
        <f t="shared" si="0"/>
        <v>40000</v>
      </c>
      <c r="R12" s="1162"/>
      <c r="S12" s="1148"/>
      <c r="T12" s="1148"/>
    </row>
    <row r="13" spans="1:20" x14ac:dyDescent="0.25">
      <c r="A13" s="1153">
        <v>8</v>
      </c>
      <c r="B13" s="1165" t="s">
        <v>7654</v>
      </c>
      <c r="C13" s="1155">
        <v>1</v>
      </c>
      <c r="D13" s="1161">
        <v>35000</v>
      </c>
      <c r="E13" s="1147"/>
      <c r="F13" s="1148" t="s">
        <v>7645</v>
      </c>
      <c r="G13" s="1147"/>
      <c r="H13" s="1147"/>
      <c r="I13" s="1148" t="s">
        <v>7645</v>
      </c>
      <c r="J13" s="1147"/>
      <c r="K13" s="1147"/>
      <c r="L13" s="1147"/>
      <c r="M13" s="1149">
        <v>243285</v>
      </c>
      <c r="N13" s="1149">
        <v>24167</v>
      </c>
      <c r="O13" s="1149">
        <v>24167</v>
      </c>
      <c r="P13" s="1157"/>
      <c r="Q13" s="1158">
        <f t="shared" si="0"/>
        <v>35000</v>
      </c>
      <c r="R13" s="1162"/>
      <c r="S13" s="1148"/>
      <c r="T13" s="1148"/>
    </row>
    <row r="14" spans="1:20" x14ac:dyDescent="0.25">
      <c r="A14" s="1153">
        <v>9</v>
      </c>
      <c r="B14" s="1163" t="s">
        <v>7655</v>
      </c>
      <c r="C14" s="1166">
        <v>1</v>
      </c>
      <c r="D14" s="1161">
        <v>45000</v>
      </c>
      <c r="E14" s="1147"/>
      <c r="F14" s="1148" t="s">
        <v>7645</v>
      </c>
      <c r="G14" s="1147"/>
      <c r="H14" s="1147"/>
      <c r="I14" s="1148" t="s">
        <v>7645</v>
      </c>
      <c r="J14" s="1147"/>
      <c r="K14" s="1147"/>
      <c r="L14" s="1147"/>
      <c r="M14" s="1149">
        <v>243285</v>
      </c>
      <c r="N14" s="1149">
        <v>24167</v>
      </c>
      <c r="O14" s="1149">
        <v>24167</v>
      </c>
      <c r="P14" s="1157"/>
      <c r="Q14" s="1158">
        <f t="shared" si="0"/>
        <v>45000</v>
      </c>
      <c r="R14" s="1162"/>
      <c r="S14" s="1148"/>
      <c r="T14" s="1148"/>
    </row>
    <row r="15" spans="1:20" x14ac:dyDescent="0.25">
      <c r="A15" s="1153">
        <v>10</v>
      </c>
      <c r="B15" s="1163" t="s">
        <v>7656</v>
      </c>
      <c r="C15" s="1155">
        <v>2</v>
      </c>
      <c r="D15" s="1161">
        <v>15000</v>
      </c>
      <c r="E15" s="1147"/>
      <c r="F15" s="1148" t="s">
        <v>7645</v>
      </c>
      <c r="G15" s="1147"/>
      <c r="H15" s="1147"/>
      <c r="I15" s="1148" t="s">
        <v>7645</v>
      </c>
      <c r="J15" s="1147"/>
      <c r="K15" s="1147"/>
      <c r="L15" s="1147"/>
      <c r="M15" s="1149">
        <v>243285</v>
      </c>
      <c r="N15" s="1149">
        <v>24167</v>
      </c>
      <c r="O15" s="1149">
        <v>24167</v>
      </c>
      <c r="P15" s="1157"/>
      <c r="Q15" s="1158">
        <f t="shared" si="0"/>
        <v>30000</v>
      </c>
      <c r="R15" s="1162"/>
      <c r="S15" s="1148"/>
      <c r="T15" s="1148"/>
    </row>
    <row r="16" spans="1:20" x14ac:dyDescent="0.25">
      <c r="A16" s="1153">
        <v>11</v>
      </c>
      <c r="B16" s="1167" t="s">
        <v>7657</v>
      </c>
      <c r="C16" s="1155">
        <v>2</v>
      </c>
      <c r="D16" s="1168">
        <v>15000</v>
      </c>
      <c r="E16" s="1147"/>
      <c r="F16" s="1148" t="s">
        <v>7645</v>
      </c>
      <c r="G16" s="1147"/>
      <c r="H16" s="1147"/>
      <c r="I16" s="1148" t="s">
        <v>7645</v>
      </c>
      <c r="J16" s="1147"/>
      <c r="K16" s="1147"/>
      <c r="L16" s="1147"/>
      <c r="M16" s="1149">
        <v>243285</v>
      </c>
      <c r="N16" s="1149">
        <v>24167</v>
      </c>
      <c r="O16" s="1149">
        <v>24167</v>
      </c>
      <c r="P16" s="1157"/>
      <c r="Q16" s="1158">
        <f t="shared" si="0"/>
        <v>30000</v>
      </c>
      <c r="R16" s="1162"/>
      <c r="S16" s="1148"/>
      <c r="T16" s="1148"/>
    </row>
    <row r="17" spans="1:22" x14ac:dyDescent="0.25">
      <c r="A17" s="1153">
        <v>12</v>
      </c>
      <c r="B17" s="1167" t="s">
        <v>7658</v>
      </c>
      <c r="C17" s="1155">
        <v>1</v>
      </c>
      <c r="D17" s="1168">
        <v>15000</v>
      </c>
      <c r="E17" s="1147"/>
      <c r="F17" s="1148" t="s">
        <v>7645</v>
      </c>
      <c r="G17" s="1147"/>
      <c r="H17" s="1147"/>
      <c r="I17" s="1148" t="s">
        <v>7645</v>
      </c>
      <c r="J17" s="1147"/>
      <c r="K17" s="1147"/>
      <c r="L17" s="1147"/>
      <c r="M17" s="1149">
        <v>243285</v>
      </c>
      <c r="N17" s="1149">
        <v>24167</v>
      </c>
      <c r="O17" s="1149">
        <v>24167</v>
      </c>
      <c r="P17" s="1157"/>
      <c r="Q17" s="1158">
        <f t="shared" si="0"/>
        <v>15000</v>
      </c>
      <c r="R17" s="1162"/>
      <c r="S17" s="1148"/>
      <c r="T17" s="1148"/>
    </row>
    <row r="18" spans="1:22" x14ac:dyDescent="0.25">
      <c r="A18" s="1153">
        <v>13</v>
      </c>
      <c r="B18" s="1169" t="s">
        <v>7659</v>
      </c>
      <c r="C18" s="1170">
        <v>12</v>
      </c>
      <c r="D18" s="1171">
        <v>4000</v>
      </c>
      <c r="E18" s="1147"/>
      <c r="F18" s="1148" t="s">
        <v>7645</v>
      </c>
      <c r="G18" s="1147"/>
      <c r="H18" s="1147"/>
      <c r="I18" s="1148" t="s">
        <v>7645</v>
      </c>
      <c r="J18" s="1147"/>
      <c r="K18" s="1147"/>
      <c r="L18" s="1147"/>
      <c r="M18" s="1149">
        <v>243285</v>
      </c>
      <c r="N18" s="1149">
        <v>24167</v>
      </c>
      <c r="O18" s="1149">
        <v>24167</v>
      </c>
      <c r="P18" s="1157"/>
      <c r="Q18" s="1158">
        <f t="shared" si="0"/>
        <v>48000</v>
      </c>
      <c r="R18" s="1162"/>
      <c r="S18" s="1148"/>
      <c r="T18" s="1148"/>
    </row>
    <row r="19" spans="1:22" x14ac:dyDescent="0.25">
      <c r="A19" s="1153">
        <v>14</v>
      </c>
      <c r="B19" s="1167" t="s">
        <v>7660</v>
      </c>
      <c r="C19" s="1155">
        <v>1</v>
      </c>
      <c r="D19" s="1156">
        <v>110000</v>
      </c>
      <c r="E19" s="1147"/>
      <c r="F19" s="1148" t="s">
        <v>7645</v>
      </c>
      <c r="G19" s="1147"/>
      <c r="H19" s="1147"/>
      <c r="I19" s="1148" t="s">
        <v>7645</v>
      </c>
      <c r="J19" s="1147"/>
      <c r="K19" s="1147"/>
      <c r="L19" s="1147"/>
      <c r="M19" s="1149">
        <v>243285</v>
      </c>
      <c r="N19" s="1149">
        <v>24167</v>
      </c>
      <c r="O19" s="1149">
        <v>24167</v>
      </c>
      <c r="P19" s="1157"/>
      <c r="Q19" s="1158">
        <f t="shared" si="0"/>
        <v>110000</v>
      </c>
      <c r="R19" s="1162"/>
      <c r="S19" s="1148"/>
      <c r="T19" s="1148"/>
    </row>
    <row r="20" spans="1:22" x14ac:dyDescent="0.25">
      <c r="A20" s="1153">
        <v>15</v>
      </c>
      <c r="B20" s="1167" t="s">
        <v>7661</v>
      </c>
      <c r="C20" s="1155">
        <v>2</v>
      </c>
      <c r="D20" s="1164">
        <v>4000</v>
      </c>
      <c r="E20" s="1147"/>
      <c r="F20" s="1148" t="s">
        <v>7645</v>
      </c>
      <c r="G20" s="1147"/>
      <c r="H20" s="1147"/>
      <c r="I20" s="1148" t="s">
        <v>7645</v>
      </c>
      <c r="J20" s="1147"/>
      <c r="K20" s="1147"/>
      <c r="L20" s="1147"/>
      <c r="M20" s="1149">
        <v>243285</v>
      </c>
      <c r="N20" s="1149">
        <v>24167</v>
      </c>
      <c r="O20" s="1149">
        <v>24167</v>
      </c>
      <c r="P20" s="1157"/>
      <c r="Q20" s="1158">
        <f t="shared" si="0"/>
        <v>8000</v>
      </c>
      <c r="R20" s="1162"/>
      <c r="S20" s="1148"/>
      <c r="T20" s="1148"/>
    </row>
    <row r="21" spans="1:22" x14ac:dyDescent="0.25">
      <c r="A21" s="1153">
        <v>16</v>
      </c>
      <c r="B21" s="1167" t="s">
        <v>7662</v>
      </c>
      <c r="C21" s="1155">
        <v>2</v>
      </c>
      <c r="D21" s="1164">
        <v>300</v>
      </c>
      <c r="E21" s="1147"/>
      <c r="F21" s="1148" t="s">
        <v>7645</v>
      </c>
      <c r="G21" s="1147"/>
      <c r="H21" s="1147"/>
      <c r="I21" s="1148" t="s">
        <v>7645</v>
      </c>
      <c r="J21" s="1147"/>
      <c r="K21" s="1147"/>
      <c r="L21" s="1147"/>
      <c r="M21" s="1149">
        <v>243285</v>
      </c>
      <c r="N21" s="1149">
        <v>24167</v>
      </c>
      <c r="O21" s="1149">
        <v>24167</v>
      </c>
      <c r="P21" s="1157"/>
      <c r="Q21" s="1158">
        <f t="shared" si="0"/>
        <v>600</v>
      </c>
      <c r="R21" s="1162"/>
      <c r="S21" s="1148"/>
      <c r="T21" s="1148"/>
    </row>
    <row r="22" spans="1:22" x14ac:dyDescent="0.25">
      <c r="A22" s="1153">
        <v>17</v>
      </c>
      <c r="B22" s="1167" t="s">
        <v>7663</v>
      </c>
      <c r="C22" s="1155">
        <v>14</v>
      </c>
      <c r="D22" s="1156">
        <v>4800</v>
      </c>
      <c r="E22" s="1147"/>
      <c r="F22" s="1148" t="s">
        <v>7645</v>
      </c>
      <c r="G22" s="1147"/>
      <c r="H22" s="1147"/>
      <c r="I22" s="1148" t="s">
        <v>7645</v>
      </c>
      <c r="J22" s="1147"/>
      <c r="K22" s="1147"/>
      <c r="L22" s="1147"/>
      <c r="M22" s="1149">
        <v>243285</v>
      </c>
      <c r="N22" s="1149">
        <v>24167</v>
      </c>
      <c r="O22" s="1149">
        <v>24167</v>
      </c>
      <c r="P22" s="1157"/>
      <c r="Q22" s="1158">
        <f t="shared" si="0"/>
        <v>67200</v>
      </c>
      <c r="R22" s="1162"/>
      <c r="S22" s="1148"/>
      <c r="T22" s="1148"/>
    </row>
    <row r="23" spans="1:22" x14ac:dyDescent="0.25">
      <c r="A23" s="1153">
        <v>18</v>
      </c>
      <c r="B23" s="1167" t="s">
        <v>7664</v>
      </c>
      <c r="C23" s="1155">
        <v>1</v>
      </c>
      <c r="D23" s="1164">
        <v>97000</v>
      </c>
      <c r="E23" s="1147"/>
      <c r="F23" s="1148" t="s">
        <v>7645</v>
      </c>
      <c r="G23" s="1147"/>
      <c r="H23" s="1147"/>
      <c r="I23" s="1148" t="s">
        <v>7645</v>
      </c>
      <c r="J23" s="1147"/>
      <c r="K23" s="1147"/>
      <c r="L23" s="1147"/>
      <c r="M23" s="1149">
        <v>243285</v>
      </c>
      <c r="N23" s="1149">
        <v>24167</v>
      </c>
      <c r="O23" s="1149">
        <v>24167</v>
      </c>
      <c r="P23" s="1157"/>
      <c r="Q23" s="1158">
        <f t="shared" si="0"/>
        <v>97000</v>
      </c>
      <c r="R23" s="1162"/>
      <c r="S23" s="1148"/>
      <c r="T23" s="1148"/>
    </row>
    <row r="24" spans="1:22" x14ac:dyDescent="0.25">
      <c r="A24" s="1153">
        <v>19</v>
      </c>
      <c r="B24" s="1167" t="s">
        <v>7665</v>
      </c>
      <c r="C24" s="1155">
        <v>1</v>
      </c>
      <c r="D24" s="1164">
        <v>16000</v>
      </c>
      <c r="E24" s="1147"/>
      <c r="F24" s="1148" t="s">
        <v>7645</v>
      </c>
      <c r="G24" s="1147"/>
      <c r="H24" s="1147"/>
      <c r="I24" s="1148" t="s">
        <v>7645</v>
      </c>
      <c r="J24" s="1147"/>
      <c r="K24" s="1147"/>
      <c r="L24" s="1147"/>
      <c r="M24" s="1149">
        <v>243285</v>
      </c>
      <c r="N24" s="1149">
        <v>24167</v>
      </c>
      <c r="O24" s="1149">
        <v>24167</v>
      </c>
      <c r="P24" s="1157"/>
      <c r="Q24" s="1158">
        <f t="shared" si="0"/>
        <v>16000</v>
      </c>
      <c r="R24" s="1162"/>
      <c r="S24" s="1148"/>
      <c r="T24" s="1148"/>
    </row>
    <row r="25" spans="1:22" x14ac:dyDescent="0.25">
      <c r="A25" s="1153">
        <v>20</v>
      </c>
      <c r="B25" s="1167" t="s">
        <v>7666</v>
      </c>
      <c r="C25" s="1155">
        <v>2</v>
      </c>
      <c r="D25" s="1164">
        <v>6000</v>
      </c>
      <c r="E25" s="1147"/>
      <c r="F25" s="1148" t="s">
        <v>7645</v>
      </c>
      <c r="G25" s="1147"/>
      <c r="H25" s="1147"/>
      <c r="I25" s="1148" t="s">
        <v>7645</v>
      </c>
      <c r="J25" s="1147"/>
      <c r="K25" s="1147"/>
      <c r="L25" s="1147"/>
      <c r="M25" s="1149">
        <v>243285</v>
      </c>
      <c r="N25" s="1149">
        <v>24167</v>
      </c>
      <c r="O25" s="1149">
        <v>24167</v>
      </c>
      <c r="P25" s="1157"/>
      <c r="Q25" s="1158">
        <f t="shared" si="0"/>
        <v>12000</v>
      </c>
      <c r="R25" s="1162"/>
      <c r="S25" s="1148"/>
      <c r="T25" s="1148"/>
    </row>
    <row r="26" spans="1:22" x14ac:dyDescent="0.25">
      <c r="A26" s="1153">
        <v>21</v>
      </c>
      <c r="B26" s="1167" t="s">
        <v>7667</v>
      </c>
      <c r="C26" s="1155">
        <v>2</v>
      </c>
      <c r="D26" s="1164">
        <v>4000</v>
      </c>
      <c r="E26" s="1147"/>
      <c r="F26" s="1148" t="s">
        <v>7645</v>
      </c>
      <c r="G26" s="1147"/>
      <c r="H26" s="1147"/>
      <c r="I26" s="1148" t="s">
        <v>7645</v>
      </c>
      <c r="J26" s="1147"/>
      <c r="K26" s="1147"/>
      <c r="L26" s="1147"/>
      <c r="M26" s="1149">
        <v>243285</v>
      </c>
      <c r="N26" s="1149">
        <v>24167</v>
      </c>
      <c r="O26" s="1149">
        <v>24167</v>
      </c>
      <c r="P26" s="1157"/>
      <c r="Q26" s="1158">
        <f t="shared" si="0"/>
        <v>8000</v>
      </c>
      <c r="R26" s="1162"/>
      <c r="S26" s="1148"/>
      <c r="T26" s="1148"/>
    </row>
    <row r="27" spans="1:22" x14ac:dyDescent="0.25">
      <c r="A27" s="1153">
        <v>22</v>
      </c>
      <c r="B27" s="1172" t="s">
        <v>7668</v>
      </c>
      <c r="C27" s="1173">
        <v>2</v>
      </c>
      <c r="D27" s="1174">
        <v>3000</v>
      </c>
      <c r="E27" s="1147"/>
      <c r="F27" s="1148" t="s">
        <v>7645</v>
      </c>
      <c r="G27" s="1147"/>
      <c r="H27" s="1147"/>
      <c r="I27" s="1148" t="s">
        <v>7645</v>
      </c>
      <c r="J27" s="1147"/>
      <c r="K27" s="1147"/>
      <c r="L27" s="1147"/>
      <c r="M27" s="1149">
        <v>243285</v>
      </c>
      <c r="N27" s="1149">
        <v>24167</v>
      </c>
      <c r="O27" s="1149">
        <v>24167</v>
      </c>
      <c r="P27" s="1157"/>
      <c r="Q27" s="1158">
        <f t="shared" si="0"/>
        <v>6000</v>
      </c>
      <c r="R27" s="1162"/>
      <c r="S27" s="1148"/>
      <c r="T27" s="1148"/>
    </row>
    <row r="28" spans="1:22" x14ac:dyDescent="0.25">
      <c r="A28" s="1153">
        <v>23</v>
      </c>
      <c r="B28" s="1172" t="s">
        <v>7669</v>
      </c>
      <c r="C28" s="1173">
        <v>2</v>
      </c>
      <c r="D28" s="1174">
        <v>7900</v>
      </c>
      <c r="E28" s="1147"/>
      <c r="F28" s="1148" t="s">
        <v>7645</v>
      </c>
      <c r="G28" s="1147"/>
      <c r="H28" s="1147"/>
      <c r="I28" s="1148" t="s">
        <v>7645</v>
      </c>
      <c r="J28" s="1147"/>
      <c r="K28" s="1147"/>
      <c r="L28" s="1147"/>
      <c r="M28" s="1149">
        <v>243285</v>
      </c>
      <c r="N28" s="1149">
        <v>24167</v>
      </c>
      <c r="O28" s="1149">
        <v>24167</v>
      </c>
      <c r="P28" s="1157"/>
      <c r="Q28" s="1158">
        <f t="shared" si="0"/>
        <v>15800</v>
      </c>
      <c r="R28" s="1162"/>
      <c r="S28" s="1148"/>
      <c r="T28" s="1148"/>
      <c r="U28" s="1152" t="s">
        <v>7380</v>
      </c>
    </row>
    <row r="29" spans="1:22" x14ac:dyDescent="0.25">
      <c r="A29" s="1153">
        <v>24</v>
      </c>
      <c r="B29" s="1163" t="s">
        <v>7670</v>
      </c>
      <c r="C29" s="1173">
        <v>1</v>
      </c>
      <c r="D29" s="1174">
        <v>14000</v>
      </c>
      <c r="E29" s="1147"/>
      <c r="F29" s="1148" t="s">
        <v>7645</v>
      </c>
      <c r="G29" s="1147"/>
      <c r="H29" s="1147"/>
      <c r="I29" s="1148" t="s">
        <v>7645</v>
      </c>
      <c r="J29" s="1147"/>
      <c r="K29" s="1147"/>
      <c r="L29" s="1147"/>
      <c r="M29" s="1149">
        <v>243285</v>
      </c>
      <c r="N29" s="1149">
        <v>24167</v>
      </c>
      <c r="O29" s="1149">
        <v>24167</v>
      </c>
      <c r="P29" s="1157"/>
      <c r="Q29" s="1158">
        <f t="shared" si="0"/>
        <v>14000</v>
      </c>
      <c r="R29" s="1162"/>
      <c r="S29" s="1148"/>
      <c r="T29" s="1148"/>
    </row>
    <row r="30" spans="1:22" x14ac:dyDescent="0.25">
      <c r="A30" s="1175">
        <v>25</v>
      </c>
      <c r="B30" s="1176" t="s">
        <v>7671</v>
      </c>
      <c r="C30" s="1173">
        <v>1</v>
      </c>
      <c r="D30" s="1174">
        <v>500000</v>
      </c>
      <c r="E30" s="1147"/>
      <c r="F30" s="1148" t="s">
        <v>7645</v>
      </c>
      <c r="G30" s="1147"/>
      <c r="H30" s="1147"/>
      <c r="I30" s="1148"/>
      <c r="J30" s="1147"/>
      <c r="K30" s="1147"/>
      <c r="L30" s="1148" t="s">
        <v>7645</v>
      </c>
      <c r="M30" s="1149">
        <v>243285</v>
      </c>
      <c r="N30" s="1149">
        <v>24167</v>
      </c>
      <c r="O30" s="1149">
        <v>24167</v>
      </c>
      <c r="P30" s="1157"/>
      <c r="Q30" s="1158">
        <f t="shared" si="0"/>
        <v>500000</v>
      </c>
      <c r="R30" s="1162"/>
      <c r="S30" s="1148"/>
      <c r="T30" s="1148"/>
    </row>
    <row r="31" spans="1:22" s="1125" customFormat="1" x14ac:dyDescent="0.25">
      <c r="A31" s="1177" t="s">
        <v>622</v>
      </c>
      <c r="B31" s="1178"/>
      <c r="C31" s="1128">
        <f>SUM(C6:C30)</f>
        <v>84</v>
      </c>
      <c r="D31" s="1128">
        <f>SUM(D6:D30)</f>
        <v>994000</v>
      </c>
      <c r="E31" s="1134"/>
      <c r="F31" s="1134"/>
      <c r="G31" s="1134"/>
      <c r="H31" s="1134"/>
      <c r="I31" s="1134"/>
      <c r="J31" s="1134"/>
      <c r="K31" s="1134"/>
      <c r="L31" s="1134"/>
      <c r="M31" s="1134"/>
      <c r="N31" s="1134"/>
      <c r="O31" s="1134"/>
      <c r="P31" s="1134"/>
      <c r="Q31" s="1128">
        <f>SUM(Q6:Q30)</f>
        <v>1267600</v>
      </c>
      <c r="R31" s="1127"/>
      <c r="S31" s="1127"/>
      <c r="T31" s="1139"/>
      <c r="V31" s="1125" t="s">
        <v>7380</v>
      </c>
    </row>
    <row r="32" spans="1:22" s="1125" customFormat="1" x14ac:dyDescent="0.25">
      <c r="A32" s="1130" t="s">
        <v>7173</v>
      </c>
      <c r="B32" s="1131"/>
      <c r="C32" s="1128"/>
      <c r="D32" s="1128"/>
      <c r="E32" s="1134"/>
      <c r="F32" s="1134"/>
      <c r="G32" s="1134"/>
      <c r="H32" s="1134"/>
      <c r="I32" s="1134"/>
      <c r="J32" s="1134"/>
      <c r="K32" s="1134"/>
      <c r="L32" s="1134"/>
      <c r="M32" s="1134"/>
      <c r="N32" s="1134"/>
      <c r="O32" s="1134"/>
      <c r="P32" s="1134"/>
      <c r="Q32" s="1150"/>
      <c r="R32" s="1127"/>
      <c r="S32" s="1127"/>
      <c r="T32" s="1139"/>
    </row>
    <row r="33" spans="1:23" s="1125" customFormat="1" x14ac:dyDescent="0.25">
      <c r="A33" s="1179">
        <v>1</v>
      </c>
      <c r="B33" s="1180" t="s">
        <v>7672</v>
      </c>
      <c r="C33" s="1181">
        <v>2</v>
      </c>
      <c r="D33" s="1182">
        <v>8900</v>
      </c>
      <c r="E33" s="1134"/>
      <c r="F33" s="1148" t="s">
        <v>7645</v>
      </c>
      <c r="G33" s="1147"/>
      <c r="H33" s="1147"/>
      <c r="I33" s="1148" t="s">
        <v>7645</v>
      </c>
      <c r="J33" s="1134"/>
      <c r="K33" s="1134"/>
      <c r="L33" s="1134"/>
      <c r="M33" s="1149">
        <v>243285</v>
      </c>
      <c r="N33" s="1149">
        <v>24167</v>
      </c>
      <c r="O33" s="1149">
        <v>24167</v>
      </c>
      <c r="P33" s="1134"/>
      <c r="Q33" s="1158">
        <v>17800</v>
      </c>
      <c r="R33" s="1127"/>
      <c r="S33" s="1127"/>
      <c r="T33" s="1139"/>
    </row>
    <row r="34" spans="1:23" s="1125" customFormat="1" x14ac:dyDescent="0.25">
      <c r="A34" s="1179">
        <v>2</v>
      </c>
      <c r="B34" s="1180" t="s">
        <v>7673</v>
      </c>
      <c r="C34" s="1181">
        <v>11</v>
      </c>
      <c r="D34" s="1182">
        <v>2500</v>
      </c>
      <c r="E34" s="1134"/>
      <c r="F34" s="1148" t="s">
        <v>7645</v>
      </c>
      <c r="G34" s="1147"/>
      <c r="H34" s="1147"/>
      <c r="I34" s="1148" t="s">
        <v>7645</v>
      </c>
      <c r="J34" s="1134"/>
      <c r="K34" s="1134"/>
      <c r="L34" s="1134"/>
      <c r="M34" s="1149">
        <v>243285</v>
      </c>
      <c r="N34" s="1149">
        <v>24167</v>
      </c>
      <c r="O34" s="1149">
        <v>24167</v>
      </c>
      <c r="P34" s="1134"/>
      <c r="Q34" s="1158">
        <v>27500</v>
      </c>
      <c r="R34" s="1127"/>
      <c r="S34" s="1127"/>
      <c r="T34" s="1139"/>
    </row>
    <row r="35" spans="1:23" s="1125" customFormat="1" x14ac:dyDescent="0.25">
      <c r="A35" s="1179">
        <v>3</v>
      </c>
      <c r="B35" s="1180" t="s">
        <v>7674</v>
      </c>
      <c r="C35" s="1181">
        <v>1</v>
      </c>
      <c r="D35" s="1182">
        <v>10000</v>
      </c>
      <c r="E35" s="1134"/>
      <c r="F35" s="1148" t="s">
        <v>7645</v>
      </c>
      <c r="G35" s="1147"/>
      <c r="H35" s="1147"/>
      <c r="I35" s="1148" t="s">
        <v>7645</v>
      </c>
      <c r="J35" s="1134"/>
      <c r="K35" s="1134"/>
      <c r="L35" s="1134"/>
      <c r="M35" s="1149">
        <v>243285</v>
      </c>
      <c r="N35" s="1149">
        <v>24167</v>
      </c>
      <c r="O35" s="1149">
        <v>24167</v>
      </c>
      <c r="P35" s="1134"/>
      <c r="Q35" s="1158">
        <v>10000</v>
      </c>
      <c r="R35" s="1127"/>
      <c r="S35" s="1127"/>
      <c r="T35" s="1139"/>
    </row>
    <row r="36" spans="1:23" s="1125" customFormat="1" x14ac:dyDescent="0.25">
      <c r="A36" s="1179">
        <v>4</v>
      </c>
      <c r="B36" s="1180" t="s">
        <v>7675</v>
      </c>
      <c r="C36" s="1181">
        <v>2</v>
      </c>
      <c r="D36" s="1183">
        <v>13000</v>
      </c>
      <c r="E36" s="1134"/>
      <c r="F36" s="1148" t="s">
        <v>7645</v>
      </c>
      <c r="G36" s="1147"/>
      <c r="H36" s="1147"/>
      <c r="I36" s="1148" t="s">
        <v>7645</v>
      </c>
      <c r="J36" s="1134"/>
      <c r="K36" s="1134"/>
      <c r="L36" s="1134"/>
      <c r="M36" s="1149">
        <v>243285</v>
      </c>
      <c r="N36" s="1149">
        <v>24167</v>
      </c>
      <c r="O36" s="1149">
        <v>24167</v>
      </c>
      <c r="P36" s="1134"/>
      <c r="Q36" s="1158">
        <v>26000</v>
      </c>
      <c r="R36" s="1127"/>
      <c r="S36" s="1127"/>
      <c r="T36" s="1139"/>
    </row>
    <row r="37" spans="1:23" s="1125" customFormat="1" x14ac:dyDescent="0.25">
      <c r="A37" s="1179">
        <v>5</v>
      </c>
      <c r="B37" s="1180" t="s">
        <v>7676</v>
      </c>
      <c r="C37" s="1181">
        <v>1</v>
      </c>
      <c r="D37" s="1183">
        <v>16000</v>
      </c>
      <c r="E37" s="1134"/>
      <c r="F37" s="1148" t="s">
        <v>7645</v>
      </c>
      <c r="G37" s="1147"/>
      <c r="H37" s="1147"/>
      <c r="I37" s="1148" t="s">
        <v>7645</v>
      </c>
      <c r="J37" s="1134"/>
      <c r="K37" s="1134"/>
      <c r="L37" s="1134"/>
      <c r="M37" s="1149">
        <v>243285</v>
      </c>
      <c r="N37" s="1149">
        <v>24167</v>
      </c>
      <c r="O37" s="1149">
        <v>24167</v>
      </c>
      <c r="P37" s="1134"/>
      <c r="Q37" s="1158">
        <v>16000</v>
      </c>
      <c r="R37" s="1127"/>
      <c r="S37" s="1127"/>
      <c r="T37" s="1139"/>
    </row>
    <row r="38" spans="1:23" s="1125" customFormat="1" x14ac:dyDescent="0.25">
      <c r="A38" s="1179">
        <v>6</v>
      </c>
      <c r="B38" s="1180" t="s">
        <v>7677</v>
      </c>
      <c r="C38" s="1181">
        <v>2</v>
      </c>
      <c r="D38" s="1182">
        <v>22000</v>
      </c>
      <c r="E38" s="1134"/>
      <c r="F38" s="1148" t="s">
        <v>7645</v>
      </c>
      <c r="G38" s="1147"/>
      <c r="H38" s="1147"/>
      <c r="I38" s="1148" t="s">
        <v>7645</v>
      </c>
      <c r="J38" s="1134"/>
      <c r="K38" s="1134"/>
      <c r="L38" s="1134"/>
      <c r="M38" s="1149">
        <v>243285</v>
      </c>
      <c r="N38" s="1149">
        <v>24167</v>
      </c>
      <c r="O38" s="1149">
        <v>24167</v>
      </c>
      <c r="P38" s="1134"/>
      <c r="Q38" s="1158">
        <v>44000</v>
      </c>
      <c r="R38" s="1127"/>
      <c r="S38" s="1127"/>
      <c r="T38" s="1139"/>
    </row>
    <row r="39" spans="1:23" s="1125" customFormat="1" x14ac:dyDescent="0.25">
      <c r="A39" s="1177" t="s">
        <v>622</v>
      </c>
      <c r="B39" s="1178"/>
      <c r="C39" s="1184">
        <f>SUM(C33:C38)</f>
        <v>19</v>
      </c>
      <c r="D39" s="1184">
        <f>SUM(D33:D38)</f>
        <v>72400</v>
      </c>
      <c r="E39" s="1134"/>
      <c r="F39" s="1134"/>
      <c r="G39" s="1134"/>
      <c r="H39" s="1134"/>
      <c r="I39" s="1127"/>
      <c r="J39" s="1134"/>
      <c r="K39" s="1134"/>
      <c r="L39" s="1134"/>
      <c r="M39" s="1185"/>
      <c r="N39" s="1185"/>
      <c r="O39" s="1185"/>
      <c r="P39" s="1134"/>
      <c r="Q39" s="1128">
        <f>SUM(Q33:Q38)</f>
        <v>141300</v>
      </c>
      <c r="R39" s="1127"/>
      <c r="S39" s="1127"/>
      <c r="T39" s="1139"/>
    </row>
    <row r="40" spans="1:23" ht="24" customHeight="1" x14ac:dyDescent="0.25">
      <c r="A40" s="1143" t="s">
        <v>7125</v>
      </c>
      <c r="B40" s="1144"/>
      <c r="C40" s="1186"/>
      <c r="D40" s="1186"/>
      <c r="E40" s="1147"/>
      <c r="F40" s="1148"/>
      <c r="G40" s="1147"/>
      <c r="H40" s="1147"/>
      <c r="I40" s="1148"/>
      <c r="J40" s="1159"/>
      <c r="K40" s="1159"/>
      <c r="L40" s="1159"/>
      <c r="M40" s="1187"/>
      <c r="N40" s="1187"/>
      <c r="O40" s="1187"/>
      <c r="P40" s="1157"/>
      <c r="Q40" s="1150"/>
      <c r="R40" s="1148"/>
      <c r="S40" s="1148"/>
      <c r="T40" s="1148"/>
    </row>
    <row r="41" spans="1:23" ht="30" customHeight="1" x14ac:dyDescent="0.25">
      <c r="A41" s="1188">
        <v>1</v>
      </c>
      <c r="B41" s="1167" t="s">
        <v>7678</v>
      </c>
      <c r="C41" s="1155">
        <v>11</v>
      </c>
      <c r="D41" s="1156">
        <v>2500</v>
      </c>
      <c r="E41" s="1147"/>
      <c r="F41" s="1148" t="s">
        <v>7645</v>
      </c>
      <c r="G41" s="1147"/>
      <c r="H41" s="1147"/>
      <c r="I41" s="1148" t="s">
        <v>7645</v>
      </c>
      <c r="J41" s="1159"/>
      <c r="K41" s="1159"/>
      <c r="L41" s="1159"/>
      <c r="M41" s="1149">
        <v>243285</v>
      </c>
      <c r="N41" s="1149">
        <v>24167</v>
      </c>
      <c r="O41" s="1149">
        <v>24167</v>
      </c>
      <c r="P41" s="1157"/>
      <c r="Q41" s="1189">
        <f t="shared" ref="Q41:Q52" si="1">C41*D41</f>
        <v>27500</v>
      </c>
      <c r="R41" s="1190" t="s">
        <v>7679</v>
      </c>
      <c r="S41" s="1148"/>
      <c r="T41" s="1148"/>
    </row>
    <row r="42" spans="1:23" ht="36" customHeight="1" x14ac:dyDescent="0.25">
      <c r="A42" s="1190">
        <v>2</v>
      </c>
      <c r="B42" s="1167" t="s">
        <v>7680</v>
      </c>
      <c r="C42" s="1191">
        <v>2</v>
      </c>
      <c r="D42" s="1164">
        <v>5500</v>
      </c>
      <c r="E42" s="1147"/>
      <c r="F42" s="1148" t="s">
        <v>7645</v>
      </c>
      <c r="G42" s="1147"/>
      <c r="H42" s="1147"/>
      <c r="I42" s="1148" t="s">
        <v>7645</v>
      </c>
      <c r="J42" s="1159"/>
      <c r="K42" s="1159"/>
      <c r="L42" s="1159"/>
      <c r="M42" s="1149">
        <v>243285</v>
      </c>
      <c r="N42" s="1149">
        <v>24167</v>
      </c>
      <c r="O42" s="1149">
        <v>24167</v>
      </c>
      <c r="P42" s="1157"/>
      <c r="Q42" s="1189">
        <f t="shared" si="1"/>
        <v>11000</v>
      </c>
      <c r="R42" s="1190" t="s">
        <v>7681</v>
      </c>
      <c r="S42" s="1148"/>
      <c r="T42" s="1148"/>
      <c r="W42" s="1152" t="s">
        <v>7380</v>
      </c>
    </row>
    <row r="43" spans="1:23" x14ac:dyDescent="0.25">
      <c r="A43" s="1188">
        <v>3</v>
      </c>
      <c r="B43" s="1167" t="s">
        <v>7682</v>
      </c>
      <c r="C43" s="1191">
        <v>1</v>
      </c>
      <c r="D43" s="1164">
        <v>2000</v>
      </c>
      <c r="E43" s="1147"/>
      <c r="F43" s="1148" t="s">
        <v>7645</v>
      </c>
      <c r="G43" s="1147"/>
      <c r="H43" s="1147"/>
      <c r="I43" s="1148" t="s">
        <v>7645</v>
      </c>
      <c r="J43" s="1159"/>
      <c r="K43" s="1159"/>
      <c r="L43" s="1159"/>
      <c r="M43" s="1149">
        <v>243285</v>
      </c>
      <c r="N43" s="1149">
        <v>24167</v>
      </c>
      <c r="O43" s="1149">
        <v>24167</v>
      </c>
      <c r="P43" s="1157"/>
      <c r="Q43" s="1189">
        <f t="shared" si="1"/>
        <v>2000</v>
      </c>
      <c r="R43" s="1192" t="s">
        <v>7683</v>
      </c>
      <c r="S43" s="1148"/>
      <c r="T43" s="1148"/>
    </row>
    <row r="44" spans="1:23" x14ac:dyDescent="0.25">
      <c r="A44" s="1190">
        <v>4</v>
      </c>
      <c r="B44" s="1167" t="s">
        <v>7684</v>
      </c>
      <c r="C44" s="1191">
        <v>3</v>
      </c>
      <c r="D44" s="1164">
        <v>5800</v>
      </c>
      <c r="E44" s="1147"/>
      <c r="F44" s="1148" t="s">
        <v>7645</v>
      </c>
      <c r="G44" s="1147"/>
      <c r="H44" s="1147"/>
      <c r="I44" s="1148" t="s">
        <v>7645</v>
      </c>
      <c r="J44" s="1159"/>
      <c r="K44" s="1159"/>
      <c r="L44" s="1159"/>
      <c r="M44" s="1149">
        <v>243285</v>
      </c>
      <c r="N44" s="1149">
        <v>24167</v>
      </c>
      <c r="O44" s="1149">
        <v>24167</v>
      </c>
      <c r="P44" s="1157"/>
      <c r="Q44" s="1189">
        <f t="shared" si="1"/>
        <v>17400</v>
      </c>
      <c r="R44" s="1192" t="s">
        <v>7685</v>
      </c>
      <c r="S44" s="1148"/>
      <c r="T44" s="1148"/>
    </row>
    <row r="45" spans="1:23" s="1125" customFormat="1" x14ac:dyDescent="0.25">
      <c r="A45" s="1188">
        <v>5</v>
      </c>
      <c r="B45" s="1167" t="s">
        <v>7686</v>
      </c>
      <c r="C45" s="1191">
        <v>3</v>
      </c>
      <c r="D45" s="1164">
        <v>2450</v>
      </c>
      <c r="E45" s="1134"/>
      <c r="F45" s="1148" t="s">
        <v>7645</v>
      </c>
      <c r="G45" s="1134"/>
      <c r="H45" s="1134"/>
      <c r="I45" s="1148" t="s">
        <v>7645</v>
      </c>
      <c r="J45" s="1193"/>
      <c r="K45" s="1193"/>
      <c r="L45" s="1193"/>
      <c r="M45" s="1149">
        <v>243285</v>
      </c>
      <c r="N45" s="1149">
        <v>24167</v>
      </c>
      <c r="O45" s="1149">
        <v>24167</v>
      </c>
      <c r="P45" s="1134"/>
      <c r="Q45" s="1189">
        <f t="shared" si="1"/>
        <v>7350</v>
      </c>
      <c r="R45" s="1127"/>
      <c r="S45" s="1127"/>
      <c r="T45" s="1127"/>
      <c r="U45" s="1152"/>
    </row>
    <row r="46" spans="1:23" x14ac:dyDescent="0.25">
      <c r="A46" s="1190">
        <v>6</v>
      </c>
      <c r="B46" s="1167" t="s">
        <v>7687</v>
      </c>
      <c r="C46" s="1191">
        <v>2</v>
      </c>
      <c r="D46" s="1164">
        <v>26000</v>
      </c>
      <c r="E46" s="1147"/>
      <c r="F46" s="1148" t="s">
        <v>7645</v>
      </c>
      <c r="G46" s="1147"/>
      <c r="H46" s="1147"/>
      <c r="I46" s="1148" t="s">
        <v>7645</v>
      </c>
      <c r="J46" s="1159"/>
      <c r="K46" s="1159"/>
      <c r="L46" s="1159"/>
      <c r="M46" s="1149">
        <v>243285</v>
      </c>
      <c r="N46" s="1149">
        <v>24167</v>
      </c>
      <c r="O46" s="1149">
        <v>24167</v>
      </c>
      <c r="P46" s="1157"/>
      <c r="Q46" s="1189">
        <f t="shared" si="1"/>
        <v>52000</v>
      </c>
      <c r="R46" s="1148"/>
      <c r="S46" s="1148"/>
      <c r="T46" s="1148"/>
    </row>
    <row r="47" spans="1:23" x14ac:dyDescent="0.25">
      <c r="A47" s="1188">
        <v>7</v>
      </c>
      <c r="B47" s="1167" t="s">
        <v>7688</v>
      </c>
      <c r="C47" s="1191">
        <v>2</v>
      </c>
      <c r="D47" s="1164">
        <v>2000</v>
      </c>
      <c r="E47" s="1147"/>
      <c r="F47" s="1148" t="s">
        <v>7645</v>
      </c>
      <c r="G47" s="1147"/>
      <c r="H47" s="1147"/>
      <c r="I47" s="1148" t="s">
        <v>7645</v>
      </c>
      <c r="J47" s="1159"/>
      <c r="K47" s="1159"/>
      <c r="L47" s="1159"/>
      <c r="M47" s="1149">
        <v>243285</v>
      </c>
      <c r="N47" s="1149">
        <v>24167</v>
      </c>
      <c r="O47" s="1149">
        <v>24167</v>
      </c>
      <c r="P47" s="1157"/>
      <c r="Q47" s="1189">
        <f t="shared" si="1"/>
        <v>4000</v>
      </c>
      <c r="R47" s="1192" t="s">
        <v>7689</v>
      </c>
      <c r="S47" s="1148"/>
      <c r="T47" s="1148"/>
    </row>
    <row r="48" spans="1:23" x14ac:dyDescent="0.25">
      <c r="A48" s="1190">
        <v>8</v>
      </c>
      <c r="B48" s="1167" t="s">
        <v>7690</v>
      </c>
      <c r="C48" s="1194">
        <v>4</v>
      </c>
      <c r="D48" s="1195">
        <v>2000</v>
      </c>
      <c r="E48" s="1147"/>
      <c r="F48" s="1148" t="s">
        <v>7645</v>
      </c>
      <c r="G48" s="1147"/>
      <c r="H48" s="1147"/>
      <c r="I48" s="1148" t="s">
        <v>7645</v>
      </c>
      <c r="J48" s="1159"/>
      <c r="K48" s="1159"/>
      <c r="L48" s="1159"/>
      <c r="M48" s="1149">
        <v>243285</v>
      </c>
      <c r="N48" s="1149">
        <v>24167</v>
      </c>
      <c r="O48" s="1149">
        <v>24167</v>
      </c>
      <c r="P48" s="1157"/>
      <c r="Q48" s="1189">
        <f t="shared" si="1"/>
        <v>8000</v>
      </c>
      <c r="R48" s="1192" t="s">
        <v>7689</v>
      </c>
      <c r="S48" s="1148"/>
      <c r="T48" s="1148"/>
    </row>
    <row r="49" spans="1:23" x14ac:dyDescent="0.25">
      <c r="A49" s="1188">
        <v>9</v>
      </c>
      <c r="B49" s="1167" t="s">
        <v>7691</v>
      </c>
      <c r="C49" s="1194">
        <v>6</v>
      </c>
      <c r="D49" s="1195">
        <v>4000</v>
      </c>
      <c r="E49" s="1147"/>
      <c r="F49" s="1148" t="s">
        <v>7645</v>
      </c>
      <c r="G49" s="1147"/>
      <c r="H49" s="1147"/>
      <c r="I49" s="1148" t="s">
        <v>7645</v>
      </c>
      <c r="J49" s="1159"/>
      <c r="K49" s="1159"/>
      <c r="L49" s="1159"/>
      <c r="M49" s="1149">
        <v>243285</v>
      </c>
      <c r="N49" s="1149">
        <v>24167</v>
      </c>
      <c r="O49" s="1149">
        <v>24167</v>
      </c>
      <c r="P49" s="1157"/>
      <c r="Q49" s="1189">
        <f t="shared" si="1"/>
        <v>24000</v>
      </c>
      <c r="R49" s="1192"/>
      <c r="S49" s="1148"/>
      <c r="T49" s="1148"/>
    </row>
    <row r="50" spans="1:23" x14ac:dyDescent="0.25">
      <c r="A50" s="1190">
        <v>10</v>
      </c>
      <c r="B50" s="1167" t="s">
        <v>7692</v>
      </c>
      <c r="C50" s="1194">
        <v>1</v>
      </c>
      <c r="D50" s="1195">
        <v>10000</v>
      </c>
      <c r="E50" s="1147"/>
      <c r="F50" s="1148" t="s">
        <v>7645</v>
      </c>
      <c r="G50" s="1147"/>
      <c r="H50" s="1147"/>
      <c r="I50" s="1148" t="s">
        <v>7645</v>
      </c>
      <c r="J50" s="1159"/>
      <c r="K50" s="1159"/>
      <c r="L50" s="1159"/>
      <c r="M50" s="1149">
        <v>243285</v>
      </c>
      <c r="N50" s="1149">
        <v>24167</v>
      </c>
      <c r="O50" s="1149">
        <v>24167</v>
      </c>
      <c r="P50" s="1157"/>
      <c r="Q50" s="1189">
        <f t="shared" si="1"/>
        <v>10000</v>
      </c>
      <c r="R50" s="1192"/>
      <c r="S50" s="1148"/>
      <c r="T50" s="1148"/>
    </row>
    <row r="51" spans="1:23" x14ac:dyDescent="0.25">
      <c r="A51" s="1188">
        <v>11</v>
      </c>
      <c r="B51" s="1167" t="s">
        <v>7693</v>
      </c>
      <c r="C51" s="1155">
        <v>1</v>
      </c>
      <c r="D51" s="1156">
        <v>5000</v>
      </c>
      <c r="E51" s="1147"/>
      <c r="F51" s="1148" t="s">
        <v>7645</v>
      </c>
      <c r="G51" s="1147"/>
      <c r="H51" s="1147"/>
      <c r="I51" s="1148" t="s">
        <v>7645</v>
      </c>
      <c r="J51" s="1159"/>
      <c r="K51" s="1159"/>
      <c r="L51" s="1159"/>
      <c r="M51" s="1149">
        <v>243285</v>
      </c>
      <c r="N51" s="1149">
        <v>24167</v>
      </c>
      <c r="O51" s="1149">
        <v>24167</v>
      </c>
      <c r="P51" s="1157"/>
      <c r="Q51" s="1189">
        <f t="shared" si="1"/>
        <v>5000</v>
      </c>
      <c r="R51" s="1192"/>
      <c r="S51" s="1148"/>
      <c r="T51" s="1148"/>
    </row>
    <row r="52" spans="1:23" x14ac:dyDescent="0.25">
      <c r="A52" s="1190">
        <v>12</v>
      </c>
      <c r="B52" s="1167" t="s">
        <v>7694</v>
      </c>
      <c r="C52" s="1155">
        <v>1</v>
      </c>
      <c r="D52" s="1156">
        <v>5500</v>
      </c>
      <c r="E52" s="1147"/>
      <c r="F52" s="1148" t="s">
        <v>7645</v>
      </c>
      <c r="G52" s="1147"/>
      <c r="H52" s="1147"/>
      <c r="I52" s="1148" t="s">
        <v>7645</v>
      </c>
      <c r="J52" s="1159"/>
      <c r="K52" s="1159"/>
      <c r="L52" s="1159"/>
      <c r="M52" s="1149">
        <v>243285</v>
      </c>
      <c r="N52" s="1149">
        <v>24167</v>
      </c>
      <c r="O52" s="1149">
        <v>24167</v>
      </c>
      <c r="P52" s="1157"/>
      <c r="Q52" s="1189">
        <f t="shared" si="1"/>
        <v>5500</v>
      </c>
      <c r="R52" s="1192"/>
      <c r="S52" s="1148"/>
      <c r="T52" s="1148"/>
    </row>
    <row r="53" spans="1:23" s="1125" customFormat="1" x14ac:dyDescent="0.25">
      <c r="A53" s="1177" t="s">
        <v>622</v>
      </c>
      <c r="B53" s="1178"/>
      <c r="C53" s="1128">
        <f>SUM(C41:C52)</f>
        <v>37</v>
      </c>
      <c r="D53" s="1128">
        <f>SUM(D41:D52)</f>
        <v>72750</v>
      </c>
      <c r="E53" s="1134"/>
      <c r="F53" s="1127"/>
      <c r="G53" s="1134"/>
      <c r="H53" s="1134"/>
      <c r="I53" s="1127"/>
      <c r="J53" s="1193"/>
      <c r="K53" s="1193"/>
      <c r="L53" s="1193"/>
      <c r="M53" s="1196"/>
      <c r="N53" s="1196"/>
      <c r="O53" s="1196"/>
      <c r="P53" s="1134"/>
      <c r="Q53" s="1128">
        <f>SUM(Q41:Q52)</f>
        <v>173750</v>
      </c>
      <c r="R53" s="1139"/>
      <c r="S53" s="1127"/>
      <c r="T53" s="1127"/>
    </row>
    <row r="54" spans="1:23" ht="24" customHeight="1" x14ac:dyDescent="0.25">
      <c r="A54" s="1143" t="s">
        <v>7137</v>
      </c>
      <c r="B54" s="1144"/>
      <c r="C54" s="1150"/>
      <c r="D54" s="1186"/>
      <c r="E54" s="1147"/>
      <c r="F54" s="1148"/>
      <c r="G54" s="1147"/>
      <c r="H54" s="1147"/>
      <c r="I54" s="1148"/>
      <c r="J54" s="1159"/>
      <c r="K54" s="1159"/>
      <c r="L54" s="1159"/>
      <c r="M54" s="1187"/>
      <c r="N54" s="1187"/>
      <c r="O54" s="1187"/>
      <c r="P54" s="1157"/>
      <c r="Q54" s="1150"/>
      <c r="R54" s="1151"/>
      <c r="S54" s="1148"/>
      <c r="T54" s="1148"/>
    </row>
    <row r="55" spans="1:23" x14ac:dyDescent="0.25">
      <c r="A55" s="1190">
        <v>1</v>
      </c>
      <c r="B55" s="1167" t="s">
        <v>7695</v>
      </c>
      <c r="C55" s="1155">
        <v>3</v>
      </c>
      <c r="D55" s="1164">
        <v>1500</v>
      </c>
      <c r="E55" s="1147"/>
      <c r="F55" s="1148" t="s">
        <v>7645</v>
      </c>
      <c r="G55" s="1147"/>
      <c r="H55" s="1147"/>
      <c r="I55" s="1148" t="s">
        <v>7645</v>
      </c>
      <c r="J55" s="1159"/>
      <c r="K55" s="1159"/>
      <c r="L55" s="1159"/>
      <c r="M55" s="1149">
        <v>243285</v>
      </c>
      <c r="N55" s="1149">
        <v>24167</v>
      </c>
      <c r="O55" s="1149">
        <v>24167</v>
      </c>
      <c r="P55" s="1157"/>
      <c r="Q55" s="1189">
        <f>C55*D55</f>
        <v>4500</v>
      </c>
      <c r="R55" s="1192"/>
      <c r="S55" s="1148"/>
      <c r="T55" s="1148"/>
    </row>
    <row r="56" spans="1:23" s="1125" customFormat="1" x14ac:dyDescent="0.25">
      <c r="A56" s="1177" t="s">
        <v>622</v>
      </c>
      <c r="B56" s="1178"/>
      <c r="C56" s="1128">
        <f>SUM(C55:C55)</f>
        <v>3</v>
      </c>
      <c r="D56" s="1197">
        <f>SUM(D55:D55)</f>
        <v>1500</v>
      </c>
      <c r="E56" s="1134"/>
      <c r="F56" s="1127"/>
      <c r="G56" s="1134"/>
      <c r="H56" s="1134"/>
      <c r="I56" s="1127"/>
      <c r="J56" s="1193"/>
      <c r="K56" s="1193"/>
      <c r="L56" s="1193"/>
      <c r="M56" s="1196"/>
      <c r="N56" s="1196"/>
      <c r="O56" s="1196"/>
      <c r="P56" s="1134"/>
      <c r="Q56" s="1128">
        <f>SUM(Q55:Q55)</f>
        <v>4500</v>
      </c>
      <c r="R56" s="1139"/>
      <c r="S56" s="1127"/>
      <c r="T56" s="1127"/>
    </row>
    <row r="57" spans="1:23" s="1125" customFormat="1" x14ac:dyDescent="0.25">
      <c r="A57" s="1130" t="s">
        <v>7185</v>
      </c>
      <c r="B57" s="1131"/>
      <c r="C57" s="1129"/>
      <c r="D57" s="1129"/>
      <c r="E57" s="1134"/>
      <c r="F57" s="1127"/>
      <c r="G57" s="1134"/>
      <c r="H57" s="1134"/>
      <c r="I57" s="1127"/>
      <c r="J57" s="1193"/>
      <c r="K57" s="1193"/>
      <c r="L57" s="1193"/>
      <c r="M57" s="1196"/>
      <c r="N57" s="1196"/>
      <c r="O57" s="1196"/>
      <c r="P57" s="1134"/>
      <c r="Q57" s="1150"/>
      <c r="R57" s="1139"/>
      <c r="S57" s="1127"/>
      <c r="T57" s="1127"/>
      <c r="W57" s="1125" t="s">
        <v>7380</v>
      </c>
    </row>
    <row r="58" spans="1:23" s="1125" customFormat="1" x14ac:dyDescent="0.25">
      <c r="A58" s="1198">
        <v>1</v>
      </c>
      <c r="B58" s="1167" t="s">
        <v>7696</v>
      </c>
      <c r="C58" s="1155">
        <v>1</v>
      </c>
      <c r="D58" s="1156">
        <v>29000</v>
      </c>
      <c r="E58" s="1134"/>
      <c r="F58" s="1148" t="s">
        <v>7645</v>
      </c>
      <c r="G58" s="1147"/>
      <c r="H58" s="1147"/>
      <c r="I58" s="1148" t="s">
        <v>7645</v>
      </c>
      <c r="J58" s="1193"/>
      <c r="K58" s="1193"/>
      <c r="L58" s="1193"/>
      <c r="M58" s="1149">
        <v>243285</v>
      </c>
      <c r="N58" s="1149">
        <v>24167</v>
      </c>
      <c r="O58" s="1149">
        <v>24167</v>
      </c>
      <c r="P58" s="1134"/>
      <c r="Q58" s="1189">
        <f t="shared" ref="Q58:Q63" si="2">C58*D58</f>
        <v>29000</v>
      </c>
      <c r="R58" s="1199"/>
      <c r="S58" s="1127"/>
      <c r="T58" s="1127"/>
    </row>
    <row r="59" spans="1:23" s="1125" customFormat="1" x14ac:dyDescent="0.25">
      <c r="A59" s="1198">
        <v>2</v>
      </c>
      <c r="B59" s="1167" t="s">
        <v>7697</v>
      </c>
      <c r="C59" s="1155">
        <v>1</v>
      </c>
      <c r="D59" s="1156">
        <v>6000</v>
      </c>
      <c r="E59" s="1134"/>
      <c r="F59" s="1148" t="s">
        <v>7645</v>
      </c>
      <c r="G59" s="1147"/>
      <c r="H59" s="1147"/>
      <c r="I59" s="1148" t="s">
        <v>7645</v>
      </c>
      <c r="J59" s="1193"/>
      <c r="K59" s="1193"/>
      <c r="L59" s="1193"/>
      <c r="M59" s="1149">
        <v>243285</v>
      </c>
      <c r="N59" s="1149">
        <v>24167</v>
      </c>
      <c r="O59" s="1149">
        <v>24167</v>
      </c>
      <c r="P59" s="1134"/>
      <c r="Q59" s="1189">
        <f t="shared" si="2"/>
        <v>6000</v>
      </c>
      <c r="R59" s="1199"/>
      <c r="S59" s="1127"/>
      <c r="T59" s="1127"/>
    </row>
    <row r="60" spans="1:23" s="1125" customFormat="1" x14ac:dyDescent="0.25">
      <c r="A60" s="1198">
        <v>3</v>
      </c>
      <c r="B60" s="1167" t="s">
        <v>7698</v>
      </c>
      <c r="C60" s="1155">
        <v>4</v>
      </c>
      <c r="D60" s="1156">
        <v>2900</v>
      </c>
      <c r="E60" s="1134"/>
      <c r="F60" s="1148" t="s">
        <v>7645</v>
      </c>
      <c r="G60" s="1147"/>
      <c r="H60" s="1147"/>
      <c r="I60" s="1148" t="s">
        <v>7645</v>
      </c>
      <c r="J60" s="1193"/>
      <c r="K60" s="1193"/>
      <c r="L60" s="1193"/>
      <c r="M60" s="1149">
        <v>243285</v>
      </c>
      <c r="N60" s="1149">
        <v>24167</v>
      </c>
      <c r="O60" s="1149">
        <v>24167</v>
      </c>
      <c r="P60" s="1134"/>
      <c r="Q60" s="1189">
        <f t="shared" si="2"/>
        <v>11600</v>
      </c>
      <c r="R60" s="1199"/>
      <c r="S60" s="1127"/>
      <c r="T60" s="1127"/>
    </row>
    <row r="61" spans="1:23" s="1125" customFormat="1" x14ac:dyDescent="0.25">
      <c r="A61" s="1198">
        <v>4</v>
      </c>
      <c r="B61" s="1200" t="s">
        <v>7699</v>
      </c>
      <c r="C61" s="1155">
        <v>1</v>
      </c>
      <c r="D61" s="1156">
        <v>400000</v>
      </c>
      <c r="E61" s="1134"/>
      <c r="F61" s="1148" t="s">
        <v>7645</v>
      </c>
      <c r="G61" s="1134"/>
      <c r="H61" s="1134"/>
      <c r="I61" s="1148" t="s">
        <v>7645</v>
      </c>
      <c r="J61" s="1193"/>
      <c r="K61" s="1193"/>
      <c r="L61" s="1193"/>
      <c r="M61" s="1149">
        <v>243285</v>
      </c>
      <c r="N61" s="1149">
        <v>24167</v>
      </c>
      <c r="O61" s="1149">
        <v>24167</v>
      </c>
      <c r="P61" s="1134"/>
      <c r="Q61" s="1189">
        <f t="shared" si="2"/>
        <v>400000</v>
      </c>
      <c r="R61" s="1188" t="s">
        <v>7689</v>
      </c>
      <c r="S61" s="1127"/>
      <c r="T61" s="1127"/>
    </row>
    <row r="62" spans="1:23" s="1125" customFormat="1" x14ac:dyDescent="0.25">
      <c r="A62" s="1198">
        <v>5</v>
      </c>
      <c r="B62" s="1167" t="s">
        <v>7700</v>
      </c>
      <c r="C62" s="1155">
        <v>2</v>
      </c>
      <c r="D62" s="1156">
        <v>4000</v>
      </c>
      <c r="E62" s="1134"/>
      <c r="F62" s="1148" t="s">
        <v>7645</v>
      </c>
      <c r="G62" s="1134"/>
      <c r="H62" s="1134"/>
      <c r="I62" s="1148" t="s">
        <v>7645</v>
      </c>
      <c r="J62" s="1193"/>
      <c r="K62" s="1193"/>
      <c r="L62" s="1193"/>
      <c r="M62" s="1149">
        <v>243285</v>
      </c>
      <c r="N62" s="1149">
        <v>24167</v>
      </c>
      <c r="O62" s="1149">
        <v>24167</v>
      </c>
      <c r="P62" s="1134"/>
      <c r="Q62" s="1189">
        <f t="shared" si="2"/>
        <v>8000</v>
      </c>
      <c r="R62" s="1188"/>
      <c r="S62" s="1127"/>
      <c r="T62" s="1127"/>
      <c r="V62" s="1125" t="s">
        <v>7380</v>
      </c>
    </row>
    <row r="63" spans="1:23" s="1125" customFormat="1" x14ac:dyDescent="0.25">
      <c r="A63" s="1198">
        <v>6</v>
      </c>
      <c r="B63" s="1163" t="s">
        <v>7701</v>
      </c>
      <c r="C63" s="1155">
        <v>1</v>
      </c>
      <c r="D63" s="1156">
        <v>6000</v>
      </c>
      <c r="E63" s="1134"/>
      <c r="F63" s="1148" t="s">
        <v>7645</v>
      </c>
      <c r="G63" s="1134"/>
      <c r="H63" s="1134"/>
      <c r="I63" s="1148" t="s">
        <v>7645</v>
      </c>
      <c r="J63" s="1193"/>
      <c r="K63" s="1193"/>
      <c r="L63" s="1193"/>
      <c r="M63" s="1149">
        <v>243285</v>
      </c>
      <c r="N63" s="1149">
        <v>24167</v>
      </c>
      <c r="O63" s="1149">
        <v>24167</v>
      </c>
      <c r="P63" s="1134"/>
      <c r="Q63" s="1189">
        <f t="shared" si="2"/>
        <v>6000</v>
      </c>
      <c r="R63" s="1188"/>
      <c r="S63" s="1127"/>
      <c r="T63" s="1127"/>
    </row>
    <row r="64" spans="1:23" s="1125" customFormat="1" x14ac:dyDescent="0.25">
      <c r="A64" s="1177" t="s">
        <v>622</v>
      </c>
      <c r="B64" s="1178"/>
      <c r="C64" s="1128">
        <f>SUM(C58:C63)</f>
        <v>10</v>
      </c>
      <c r="D64" s="1128">
        <f>SUM(D58:D63)</f>
        <v>447900</v>
      </c>
      <c r="E64" s="1134"/>
      <c r="F64" s="1127"/>
      <c r="G64" s="1134"/>
      <c r="H64" s="1134"/>
      <c r="I64" s="1127"/>
      <c r="J64" s="1193"/>
      <c r="K64" s="1193"/>
      <c r="L64" s="1193"/>
      <c r="M64" s="1196"/>
      <c r="N64" s="1196"/>
      <c r="O64" s="1196"/>
      <c r="P64" s="1134"/>
      <c r="Q64" s="1128">
        <f>SUM(Q58:Q63)</f>
        <v>460600</v>
      </c>
      <c r="R64" s="1139"/>
      <c r="S64" s="1127"/>
      <c r="T64" s="1127"/>
    </row>
    <row r="65" spans="1:20" ht="24" customHeight="1" x14ac:dyDescent="0.25">
      <c r="A65" s="1143" t="s">
        <v>7161</v>
      </c>
      <c r="B65" s="1144"/>
      <c r="C65" s="1150"/>
      <c r="D65" s="1186"/>
      <c r="E65" s="1147"/>
      <c r="F65" s="1148"/>
      <c r="G65" s="1147"/>
      <c r="H65" s="1147"/>
      <c r="I65" s="1148"/>
      <c r="J65" s="1159"/>
      <c r="K65" s="1159"/>
      <c r="L65" s="1159"/>
      <c r="M65" s="1187"/>
      <c r="N65" s="1187"/>
      <c r="O65" s="1187"/>
      <c r="P65" s="1157"/>
      <c r="Q65" s="1150"/>
      <c r="R65" s="1151"/>
      <c r="S65" s="1148"/>
      <c r="T65" s="1148"/>
    </row>
    <row r="66" spans="1:20" x14ac:dyDescent="0.25">
      <c r="A66" s="1190">
        <v>1</v>
      </c>
      <c r="B66" s="1167" t="s">
        <v>7702</v>
      </c>
      <c r="C66" s="1155">
        <v>1</v>
      </c>
      <c r="D66" s="1156">
        <v>4500</v>
      </c>
      <c r="E66" s="1147"/>
      <c r="F66" s="1148" t="s">
        <v>7645</v>
      </c>
      <c r="G66" s="1147"/>
      <c r="H66" s="1147"/>
      <c r="I66" s="1148" t="s">
        <v>7645</v>
      </c>
      <c r="J66" s="1159"/>
      <c r="K66" s="1159"/>
      <c r="L66" s="1159"/>
      <c r="M66" s="1149">
        <v>243285</v>
      </c>
      <c r="N66" s="1149">
        <v>24167</v>
      </c>
      <c r="O66" s="1149">
        <v>24167</v>
      </c>
      <c r="P66" s="1157"/>
      <c r="Q66" s="1189">
        <f>C66*D66</f>
        <v>4500</v>
      </c>
      <c r="R66" s="1192"/>
      <c r="S66" s="1148"/>
      <c r="T66" s="1148"/>
    </row>
    <row r="67" spans="1:20" s="1125" customFormat="1" x14ac:dyDescent="0.25">
      <c r="A67" s="1177" t="s">
        <v>622</v>
      </c>
      <c r="B67" s="1178"/>
      <c r="C67" s="1128">
        <f>SUM(C66:C66)</f>
        <v>1</v>
      </c>
      <c r="D67" s="1197">
        <f>SUM(D66:D66)</f>
        <v>4500</v>
      </c>
      <c r="E67" s="1134"/>
      <c r="F67" s="1127"/>
      <c r="G67" s="1134"/>
      <c r="H67" s="1134"/>
      <c r="I67" s="1127"/>
      <c r="J67" s="1193"/>
      <c r="K67" s="1193"/>
      <c r="L67" s="1193"/>
      <c r="M67" s="1196"/>
      <c r="N67" s="1196"/>
      <c r="O67" s="1196"/>
      <c r="P67" s="1134"/>
      <c r="Q67" s="1128">
        <f>SUM(Q66:Q66)</f>
        <v>4500</v>
      </c>
      <c r="R67" s="1139"/>
      <c r="S67" s="1127"/>
      <c r="T67" s="1127"/>
    </row>
    <row r="68" spans="1:20" s="1125" customFormat="1" x14ac:dyDescent="0.25">
      <c r="A68" s="1130" t="s">
        <v>7388</v>
      </c>
      <c r="B68" s="1131"/>
      <c r="C68" s="1128"/>
      <c r="D68" s="1128"/>
      <c r="E68" s="1134"/>
      <c r="F68" s="1127"/>
      <c r="G68" s="1134"/>
      <c r="H68" s="1134"/>
      <c r="I68" s="1127"/>
      <c r="J68" s="1193"/>
      <c r="K68" s="1193"/>
      <c r="L68" s="1193"/>
      <c r="M68" s="1196"/>
      <c r="N68" s="1196"/>
      <c r="O68" s="1196"/>
      <c r="P68" s="1134"/>
      <c r="Q68" s="1128"/>
      <c r="R68" s="1201"/>
      <c r="S68" s="1142"/>
      <c r="T68" s="1142"/>
    </row>
    <row r="69" spans="1:20" s="1125" customFormat="1" x14ac:dyDescent="0.6">
      <c r="A69" s="1202">
        <v>1</v>
      </c>
      <c r="B69" s="1203" t="s">
        <v>7703</v>
      </c>
      <c r="C69" s="1204">
        <v>1</v>
      </c>
      <c r="D69" s="1205">
        <v>1311000</v>
      </c>
      <c r="E69" s="1206"/>
      <c r="F69" s="1207"/>
      <c r="G69" s="1206"/>
      <c r="H69" s="1206"/>
      <c r="I69" s="1206"/>
      <c r="J69" s="1208"/>
      <c r="K69" s="1208"/>
      <c r="L69" s="1162" t="s">
        <v>7645</v>
      </c>
      <c r="M69" s="1209">
        <v>243285</v>
      </c>
      <c r="N69" s="1209">
        <v>24167</v>
      </c>
      <c r="O69" s="1209">
        <v>24167</v>
      </c>
      <c r="P69" s="1206"/>
      <c r="Q69" s="1189">
        <f>C69*D69</f>
        <v>1311000</v>
      </c>
      <c r="R69" s="1201"/>
      <c r="S69" s="1142"/>
      <c r="T69" s="1142"/>
    </row>
    <row r="70" spans="1:20" s="1125" customFormat="1" x14ac:dyDescent="0.6">
      <c r="A70" s="1198">
        <v>2</v>
      </c>
      <c r="B70" s="1203" t="s">
        <v>7704</v>
      </c>
      <c r="C70" s="1204">
        <v>1</v>
      </c>
      <c r="D70" s="1205">
        <v>1500000</v>
      </c>
      <c r="E70" s="1134"/>
      <c r="F70" s="1127"/>
      <c r="G70" s="1134"/>
      <c r="H70" s="1134"/>
      <c r="I70" s="1134"/>
      <c r="J70" s="1193"/>
      <c r="K70" s="1193"/>
      <c r="L70" s="1148" t="s">
        <v>7645</v>
      </c>
      <c r="M70" s="1149">
        <v>243285</v>
      </c>
      <c r="N70" s="1149">
        <v>24167</v>
      </c>
      <c r="O70" s="1149">
        <v>24167</v>
      </c>
      <c r="P70" s="1134"/>
      <c r="Q70" s="1189">
        <f t="shared" ref="Q70:Q78" si="3">C70*D70</f>
        <v>1500000</v>
      </c>
      <c r="R70" s="1201"/>
      <c r="S70" s="1142"/>
      <c r="T70" s="1142"/>
    </row>
    <row r="71" spans="1:20" s="1125" customFormat="1" x14ac:dyDescent="0.6">
      <c r="A71" s="1198">
        <v>3</v>
      </c>
      <c r="B71" s="1210" t="s">
        <v>7705</v>
      </c>
      <c r="C71" s="1204">
        <v>1</v>
      </c>
      <c r="D71" s="1205">
        <v>1500000</v>
      </c>
      <c r="E71" s="1134"/>
      <c r="F71" s="1127"/>
      <c r="G71" s="1134"/>
      <c r="H71" s="1134"/>
      <c r="I71" s="1134"/>
      <c r="J71" s="1193"/>
      <c r="K71" s="1193"/>
      <c r="L71" s="1148" t="s">
        <v>7645</v>
      </c>
      <c r="M71" s="1149">
        <v>243285</v>
      </c>
      <c r="N71" s="1149">
        <v>24167</v>
      </c>
      <c r="O71" s="1149">
        <v>24167</v>
      </c>
      <c r="P71" s="1134"/>
      <c r="Q71" s="1189">
        <f t="shared" si="3"/>
        <v>1500000</v>
      </c>
      <c r="R71" s="1201"/>
      <c r="S71" s="1142"/>
      <c r="T71" s="1142"/>
    </row>
    <row r="72" spans="1:20" s="1125" customFormat="1" x14ac:dyDescent="0.25">
      <c r="A72" s="1198">
        <v>4</v>
      </c>
      <c r="B72" s="1211" t="s">
        <v>7706</v>
      </c>
      <c r="C72" s="1204">
        <v>1</v>
      </c>
      <c r="D72" s="1205">
        <v>1500000</v>
      </c>
      <c r="E72" s="1134"/>
      <c r="F72" s="1127"/>
      <c r="G72" s="1134"/>
      <c r="H72" s="1134"/>
      <c r="I72" s="1134"/>
      <c r="J72" s="1193"/>
      <c r="K72" s="1193"/>
      <c r="L72" s="1148" t="s">
        <v>7645</v>
      </c>
      <c r="M72" s="1149">
        <v>243285</v>
      </c>
      <c r="N72" s="1149">
        <v>24167</v>
      </c>
      <c r="O72" s="1149">
        <v>24167</v>
      </c>
      <c r="P72" s="1134"/>
      <c r="Q72" s="1189">
        <f t="shared" si="3"/>
        <v>1500000</v>
      </c>
      <c r="R72" s="1201"/>
      <c r="S72" s="1142"/>
      <c r="T72" s="1142"/>
    </row>
    <row r="73" spans="1:20" s="1125" customFormat="1" x14ac:dyDescent="0.25">
      <c r="A73" s="1198">
        <v>5</v>
      </c>
      <c r="B73" s="1211" t="s">
        <v>7707</v>
      </c>
      <c r="C73" s="1204">
        <v>1</v>
      </c>
      <c r="D73" s="1205">
        <v>1500000</v>
      </c>
      <c r="E73" s="1134"/>
      <c r="F73" s="1127"/>
      <c r="G73" s="1134"/>
      <c r="H73" s="1134"/>
      <c r="I73" s="1134"/>
      <c r="J73" s="1193"/>
      <c r="K73" s="1193"/>
      <c r="L73" s="1148" t="s">
        <v>7645</v>
      </c>
      <c r="M73" s="1149">
        <v>243285</v>
      </c>
      <c r="N73" s="1149">
        <v>24167</v>
      </c>
      <c r="O73" s="1149">
        <v>24167</v>
      </c>
      <c r="P73" s="1134"/>
      <c r="Q73" s="1189">
        <f t="shared" si="3"/>
        <v>1500000</v>
      </c>
      <c r="R73" s="1201"/>
      <c r="S73" s="1142"/>
      <c r="T73" s="1142"/>
    </row>
    <row r="74" spans="1:20" s="1125" customFormat="1" x14ac:dyDescent="0.25">
      <c r="A74" s="1198">
        <v>6</v>
      </c>
      <c r="B74" s="1211" t="s">
        <v>7708</v>
      </c>
      <c r="C74" s="1204">
        <v>1</v>
      </c>
      <c r="D74" s="1205">
        <v>1500000</v>
      </c>
      <c r="E74" s="1134"/>
      <c r="F74" s="1127"/>
      <c r="G74" s="1134"/>
      <c r="H74" s="1134"/>
      <c r="I74" s="1148"/>
      <c r="J74" s="1193"/>
      <c r="K74" s="1193"/>
      <c r="L74" s="1148" t="s">
        <v>7645</v>
      </c>
      <c r="M74" s="1149">
        <v>243285</v>
      </c>
      <c r="N74" s="1149">
        <v>24167</v>
      </c>
      <c r="O74" s="1149">
        <v>24167</v>
      </c>
      <c r="P74" s="1134"/>
      <c r="Q74" s="1189">
        <f t="shared" si="3"/>
        <v>1500000</v>
      </c>
      <c r="R74" s="1201"/>
      <c r="S74" s="1142"/>
      <c r="T74" s="1142"/>
    </row>
    <row r="75" spans="1:20" s="1125" customFormat="1" x14ac:dyDescent="0.25">
      <c r="A75" s="1127">
        <v>7</v>
      </c>
      <c r="B75" s="1211" t="s">
        <v>7709</v>
      </c>
      <c r="C75" s="1204">
        <v>1</v>
      </c>
      <c r="D75" s="1205">
        <v>500000</v>
      </c>
      <c r="E75" s="1134"/>
      <c r="F75" s="1127"/>
      <c r="G75" s="1134"/>
      <c r="H75" s="1134"/>
      <c r="I75" s="1148"/>
      <c r="J75" s="1193"/>
      <c r="K75" s="1193"/>
      <c r="L75" s="1148" t="s">
        <v>7645</v>
      </c>
      <c r="M75" s="1149">
        <v>243285</v>
      </c>
      <c r="N75" s="1149">
        <v>24167</v>
      </c>
      <c r="O75" s="1149">
        <v>24167</v>
      </c>
      <c r="P75" s="1134"/>
      <c r="Q75" s="1189">
        <f t="shared" si="3"/>
        <v>500000</v>
      </c>
      <c r="R75" s="1201"/>
      <c r="S75" s="1142"/>
      <c r="T75" s="1142"/>
    </row>
    <row r="76" spans="1:20" s="1125" customFormat="1" x14ac:dyDescent="0.25">
      <c r="A76" s="1127">
        <v>8</v>
      </c>
      <c r="B76" s="1211" t="s">
        <v>7710</v>
      </c>
      <c r="C76" s="1204">
        <v>1</v>
      </c>
      <c r="D76" s="1205">
        <v>800000</v>
      </c>
      <c r="E76" s="1134"/>
      <c r="F76" s="1127"/>
      <c r="G76" s="1134"/>
      <c r="H76" s="1134"/>
      <c r="I76" s="1148" t="s">
        <v>7645</v>
      </c>
      <c r="J76" s="1193"/>
      <c r="K76" s="1193"/>
      <c r="L76" s="1148"/>
      <c r="M76" s="1149">
        <v>243285</v>
      </c>
      <c r="N76" s="1149">
        <v>24167</v>
      </c>
      <c r="O76" s="1149">
        <v>24167</v>
      </c>
      <c r="P76" s="1134"/>
      <c r="Q76" s="1189">
        <f t="shared" si="3"/>
        <v>800000</v>
      </c>
      <c r="R76" s="1201"/>
      <c r="S76" s="1142"/>
      <c r="T76" s="1142"/>
    </row>
    <row r="77" spans="1:20" s="1125" customFormat="1" x14ac:dyDescent="0.25">
      <c r="A77" s="1127">
        <v>9</v>
      </c>
      <c r="B77" s="1211" t="s">
        <v>7711</v>
      </c>
      <c r="C77" s="1204">
        <v>1</v>
      </c>
      <c r="D77" s="1205">
        <v>499000</v>
      </c>
      <c r="E77" s="1134"/>
      <c r="F77" s="1127"/>
      <c r="G77" s="1134"/>
      <c r="H77" s="1134"/>
      <c r="I77" s="1148" t="s">
        <v>7645</v>
      </c>
      <c r="J77" s="1193"/>
      <c r="K77" s="1193"/>
      <c r="L77" s="1148"/>
      <c r="M77" s="1149">
        <v>243285</v>
      </c>
      <c r="N77" s="1149">
        <v>24167</v>
      </c>
      <c r="O77" s="1149">
        <v>24167</v>
      </c>
      <c r="P77" s="1134"/>
      <c r="Q77" s="1189">
        <f t="shared" si="3"/>
        <v>499000</v>
      </c>
      <c r="R77" s="1201"/>
      <c r="S77" s="1142"/>
      <c r="T77" s="1142"/>
    </row>
    <row r="78" spans="1:20" s="1125" customFormat="1" x14ac:dyDescent="0.25">
      <c r="A78" s="1198">
        <v>10</v>
      </c>
      <c r="B78" s="1211" t="s">
        <v>7712</v>
      </c>
      <c r="C78" s="1204">
        <v>1</v>
      </c>
      <c r="D78" s="1205">
        <v>350000</v>
      </c>
      <c r="E78" s="1134"/>
      <c r="F78" s="1127"/>
      <c r="G78" s="1134"/>
      <c r="H78" s="1134"/>
      <c r="I78" s="1148"/>
      <c r="J78" s="1193"/>
      <c r="K78" s="1193"/>
      <c r="L78" s="1148"/>
      <c r="M78" s="1149"/>
      <c r="N78" s="1149"/>
      <c r="O78" s="1149"/>
      <c r="P78" s="1134"/>
      <c r="Q78" s="1189">
        <f t="shared" si="3"/>
        <v>350000</v>
      </c>
      <c r="R78" s="1201"/>
      <c r="S78" s="1142"/>
      <c r="T78" s="1142"/>
    </row>
    <row r="79" spans="1:20" s="1125" customFormat="1" x14ac:dyDescent="0.6">
      <c r="A79" s="1198"/>
      <c r="B79" s="1212" t="s">
        <v>622</v>
      </c>
      <c r="C79" s="1213">
        <f>SUM(C69:C78)</f>
        <v>10</v>
      </c>
      <c r="D79" s="1214">
        <f>SUM(D69:D78)</f>
        <v>10960000</v>
      </c>
      <c r="E79" s="1134"/>
      <c r="F79" s="1127"/>
      <c r="G79" s="1134"/>
      <c r="H79" s="1134"/>
      <c r="I79" s="1127"/>
      <c r="J79" s="1193"/>
      <c r="K79" s="1193"/>
      <c r="L79" s="1127"/>
      <c r="M79" s="1185"/>
      <c r="N79" s="1185"/>
      <c r="O79" s="1185"/>
      <c r="P79" s="1134"/>
      <c r="Q79" s="1214">
        <f>SUM(Q69:Q78)</f>
        <v>10960000</v>
      </c>
      <c r="R79" s="1201"/>
      <c r="S79" s="1142"/>
      <c r="T79" s="1142"/>
    </row>
    <row r="80" spans="1:20" s="1215" customFormat="1" x14ac:dyDescent="0.25">
      <c r="A80" s="1177" t="s">
        <v>7433</v>
      </c>
      <c r="B80" s="1178"/>
      <c r="C80" s="1128">
        <f>C31+C39+C53+C56+C64+C67+C79</f>
        <v>164</v>
      </c>
      <c r="D80" s="1128">
        <f>D31+D39+D53+D56+D64+D67+D79</f>
        <v>12553050</v>
      </c>
      <c r="E80" s="1129"/>
      <c r="F80" s="1129"/>
      <c r="G80" s="1129"/>
      <c r="H80" s="1129"/>
      <c r="I80" s="1129"/>
      <c r="J80" s="1129"/>
      <c r="K80" s="1129"/>
      <c r="L80" s="1129"/>
      <c r="M80" s="1129"/>
      <c r="N80" s="1129"/>
      <c r="O80" s="1129"/>
      <c r="P80" s="1128"/>
      <c r="Q80" s="1128">
        <f>Q31+Q39+Q53+Q56+Q64+Q67+Q79</f>
        <v>13012250</v>
      </c>
    </row>
    <row r="82" spans="2:16" x14ac:dyDescent="0.25">
      <c r="O82" s="1152" t="s">
        <v>1168</v>
      </c>
      <c r="P82" s="1219">
        <f>Q31+Q39+Q53+Q56+Q64+Q67</f>
        <v>2052250</v>
      </c>
    </row>
    <row r="83" spans="2:16" x14ac:dyDescent="0.25">
      <c r="O83" s="1152" t="s">
        <v>7388</v>
      </c>
      <c r="P83" s="1219">
        <f>Q79</f>
        <v>10960000</v>
      </c>
    </row>
    <row r="84" spans="2:16" x14ac:dyDescent="0.25">
      <c r="B84" s="1152" t="s">
        <v>7380</v>
      </c>
      <c r="O84" s="1152" t="s">
        <v>622</v>
      </c>
      <c r="P84" s="1219">
        <f>SUM(P82:P83)</f>
        <v>13012250</v>
      </c>
    </row>
  </sheetData>
  <protectedRanges>
    <protectedRange password="CC6F" sqref="B55" name="ช่วง1_5_1_5_1_1_4_2_1"/>
    <protectedRange password="CC6F" sqref="B58" name="ช่วง1_5_1_5_1_1_1_8"/>
    <protectedRange password="CC6F" sqref="B59:B60" name="ช่วง1_5_1_5_1_1_1_1_1_1"/>
    <protectedRange password="CC6F" sqref="B62" name="ช่วง1_5_1_5_1_1_1_1_6"/>
    <protectedRange password="CC6F" sqref="B66" name="ช่วง1_5_1_5_1_1_1_10"/>
    <protectedRange password="CC6F" sqref="B6 B8:B10" name="ช่วง1_5_1_5_1_1_5_1_2_2"/>
    <protectedRange password="CC6F" sqref="B11:B17" name="ช่วง1_5_1_5_1_1_5_4_2_2"/>
    <protectedRange password="CC6F" sqref="B19:B20" name="ช่วง1_5_1_5_1_1_1_3"/>
    <protectedRange password="CC6F" sqref="B21" name="ช่วง1_5_1_5_1_1_5_4"/>
    <protectedRange password="CC6F" sqref="B22:B23" name="ช่วง1_5_1_5_1_1_1_1_3"/>
    <protectedRange password="CC6F" sqref="B25" name="ช่วง1_5_1_5_1_1_4_2"/>
    <protectedRange password="CC6F" sqref="B24" name="ช่วง1_5_1_5_1_1_5_1_1"/>
    <protectedRange password="CC6F" sqref="B26" name="ช่วง1_5_1_5_1_1_5_2_1"/>
    <protectedRange password="CC6F" sqref="B27:B28" name="ช่วง1_5_1_5_1_1_1_1_1_3"/>
    <protectedRange password="CC6F" sqref="B29:B30" name="ช่วง1_5_1_5_1_1_1_1_2_3"/>
    <protectedRange password="CC6F" sqref="B7" name="ช่วง1_5_1_5_1_1_5_1_2_1_2"/>
    <protectedRange password="CC6F" sqref="B41" name="ช่วง1_5_1_5_1_1_1_2_2"/>
    <protectedRange password="CC6F" sqref="B42:B46" name="ช่วง1_5_1_5_1_1_1_5_1"/>
    <protectedRange password="CC6F" sqref="B47" name="ช่วง1_5_1_5_1_1_1_1_5_2"/>
    <protectedRange password="CC6F" sqref="B48:B50" name="ช่วง1_5_1_5_1_1_1_1_3_3_2"/>
    <protectedRange password="CC6F" sqref="B51:B52" name="ช่วง1_5_1_5_1_1_1_6"/>
    <protectedRange password="CC6F" sqref="B63" name="ช่วง1_5_1_5_1_1_1_1_2_4"/>
    <protectedRange password="CC6F" sqref="B61" name="ช่วง1_5_1_5_1_1_1_1_1"/>
    <protectedRange password="CC6F" sqref="B76:B78" name="ช่วง1_5_1_5_1_1_1"/>
    <protectedRange password="CC6F" sqref="B72:B75" name="ช่วง1_5_1_5_1_1_1_2"/>
    <protectedRange password="CC6F" sqref="B69:B70" name="ช่วง1_5_1_5_1_1_1_1_2"/>
    <protectedRange password="CC6F" sqref="B71" name="ช่วง1_5_1_5_1_1_5_2"/>
    <protectedRange password="CC6F" sqref="B34:B35" name="ช่วง1_5_1_5_1_1_1_2_4"/>
    <protectedRange password="CC6F" sqref="B36:B37" name="ช่วง1_5_1_5_1_1_5_2_4"/>
    <protectedRange password="CC6F" sqref="B33" name="ช่วง1_5_1_5_1_1_1_2_2_2"/>
    <protectedRange password="CC6F" sqref="B38" name="ช่วง1_5_1_5_1_1_1_3_3"/>
  </protectedRanges>
  <mergeCells count="19">
    <mergeCell ref="A80:B80"/>
    <mergeCell ref="A56:B56"/>
    <mergeCell ref="A57:B57"/>
    <mergeCell ref="A64:B64"/>
    <mergeCell ref="A65:B65"/>
    <mergeCell ref="A67:B67"/>
    <mergeCell ref="A68:B68"/>
    <mergeCell ref="A31:B31"/>
    <mergeCell ref="A32:B32"/>
    <mergeCell ref="A39:B39"/>
    <mergeCell ref="A40:B40"/>
    <mergeCell ref="A53:B53"/>
    <mergeCell ref="A54:B54"/>
    <mergeCell ref="A3:A4"/>
    <mergeCell ref="E3:F3"/>
    <mergeCell ref="G3:L3"/>
    <mergeCell ref="M3:O3"/>
    <mergeCell ref="P3:Q3"/>
    <mergeCell ref="A5:B5"/>
  </mergeCells>
  <pageMargins left="0.23622047244094491" right="0.23622047244094491" top="0.94488188976377963" bottom="1.3779527559055118" header="0.31496062992125984" footer="0.31496062992125984"/>
  <pageSetup paperSize="9" scale="68" fitToHeight="0" orientation="landscape" verticalDpi="1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67D0C-6F6E-42C0-8815-9F94B5D6F6CF}">
  <sheetPr>
    <tabColor theme="9" tint="-0.249977111117893"/>
    <pageSetUpPr fitToPage="1"/>
  </sheetPr>
  <dimension ref="A1:F14"/>
  <sheetViews>
    <sheetView zoomScaleNormal="100" zoomScaleSheetLayoutView="90" workbookViewId="0">
      <selection activeCell="A17" sqref="A17"/>
    </sheetView>
  </sheetViews>
  <sheetFormatPr defaultColWidth="9" defaultRowHeight="21" x14ac:dyDescent="0.6"/>
  <cols>
    <col min="1" max="1" width="4.59765625" style="1224" bestFit="1" customWidth="1"/>
    <col min="2" max="2" width="36.69921875" style="1221" customWidth="1"/>
    <col min="3" max="3" width="14.8984375" style="1221" customWidth="1"/>
    <col min="4" max="4" width="12" style="1221" customWidth="1"/>
    <col min="5" max="5" width="16.09765625" style="1221" customWidth="1"/>
    <col min="6" max="6" width="19.09765625" style="1221" customWidth="1"/>
    <col min="7" max="16384" width="9" style="1221"/>
  </cols>
  <sheetData>
    <row r="1" spans="1:6" x14ac:dyDescent="0.6">
      <c r="A1" s="1220" t="s">
        <v>7713</v>
      </c>
      <c r="B1" s="1220"/>
      <c r="C1" s="1220"/>
      <c r="D1" s="1220"/>
      <c r="E1" s="1220"/>
      <c r="F1" s="1220"/>
    </row>
    <row r="2" spans="1:6" s="1224" customFormat="1" x14ac:dyDescent="0.6">
      <c r="A2" s="1222" t="s">
        <v>2185</v>
      </c>
      <c r="B2" s="1222" t="s">
        <v>682</v>
      </c>
      <c r="C2" s="1222" t="s">
        <v>6370</v>
      </c>
      <c r="D2" s="1223" t="s">
        <v>7714</v>
      </c>
      <c r="E2" s="1223" t="s">
        <v>7715</v>
      </c>
      <c r="F2" s="1222" t="s">
        <v>691</v>
      </c>
    </row>
    <row r="3" spans="1:6" ht="21.75" customHeight="1" x14ac:dyDescent="0.6">
      <c r="A3" s="1225">
        <v>1</v>
      </c>
      <c r="B3" s="1226" t="s">
        <v>7716</v>
      </c>
      <c r="C3" s="1226">
        <v>90000</v>
      </c>
      <c r="D3" s="1226">
        <v>90000</v>
      </c>
      <c r="E3" s="1227" t="s">
        <v>7633</v>
      </c>
      <c r="F3" s="1228"/>
    </row>
    <row r="4" spans="1:6" x14ac:dyDescent="0.6">
      <c r="A4" s="1225">
        <v>2</v>
      </c>
      <c r="B4" s="1226" t="s">
        <v>7717</v>
      </c>
      <c r="C4" s="1226">
        <v>90000</v>
      </c>
      <c r="D4" s="1226">
        <v>90000</v>
      </c>
      <c r="E4" s="1227" t="s">
        <v>7633</v>
      </c>
      <c r="F4" s="1228"/>
    </row>
    <row r="5" spans="1:6" x14ac:dyDescent="0.6">
      <c r="A5" s="1225">
        <v>3</v>
      </c>
      <c r="B5" s="1226" t="s">
        <v>7718</v>
      </c>
      <c r="C5" s="1226">
        <v>90000</v>
      </c>
      <c r="D5" s="1226">
        <v>90000</v>
      </c>
      <c r="E5" s="1227" t="s">
        <v>7633</v>
      </c>
      <c r="F5" s="1228"/>
    </row>
    <row r="6" spans="1:6" x14ac:dyDescent="0.6">
      <c r="A6" s="1225">
        <v>4</v>
      </c>
      <c r="B6" s="1226" t="s">
        <v>7719</v>
      </c>
      <c r="C6" s="1226">
        <v>90000</v>
      </c>
      <c r="D6" s="1226">
        <v>90000</v>
      </c>
      <c r="E6" s="1227" t="s">
        <v>7633</v>
      </c>
      <c r="F6" s="1228"/>
    </row>
    <row r="7" spans="1:6" s="1233" customFormat="1" x14ac:dyDescent="0.6">
      <c r="A7" s="1229" t="s">
        <v>7433</v>
      </c>
      <c r="B7" s="1229"/>
      <c r="C7" s="1230">
        <f>SUM(C3:C6)</f>
        <v>360000</v>
      </c>
      <c r="D7" s="1231">
        <f>SUM(D3:D6)</f>
        <v>360000</v>
      </c>
      <c r="E7" s="1232"/>
      <c r="F7" s="1232"/>
    </row>
    <row r="9" spans="1:6" ht="24.6" x14ac:dyDescent="0.6">
      <c r="D9" s="1020"/>
      <c r="E9" s="1020"/>
    </row>
    <row r="10" spans="1:6" ht="24.6" x14ac:dyDescent="0.6">
      <c r="D10" s="1021"/>
      <c r="E10" s="1021"/>
    </row>
    <row r="11" spans="1:6" ht="24.6" x14ac:dyDescent="0.6">
      <c r="D11" s="1020"/>
      <c r="E11" s="1020"/>
    </row>
    <row r="12" spans="1:6" ht="24.6" x14ac:dyDescent="0.6">
      <c r="D12" s="1020"/>
      <c r="E12" s="1020"/>
    </row>
    <row r="14" spans="1:6" x14ac:dyDescent="0.6">
      <c r="E14" s="1221" t="s">
        <v>7380</v>
      </c>
    </row>
  </sheetData>
  <mergeCells count="6">
    <mergeCell ref="A1:F1"/>
    <mergeCell ref="A7:B7"/>
    <mergeCell ref="D9:E9"/>
    <mergeCell ref="D10:E10"/>
    <mergeCell ref="D11:E11"/>
    <mergeCell ref="D12:E12"/>
  </mergeCells>
  <pageMargins left="0.82677165354330717" right="0.23622047244094491" top="0.94488188976377963" bottom="0.98425196850393704" header="0.31496062992125984" footer="0.15748031496062992"/>
  <pageSetup paperSize="9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FD67E-F110-4DA0-AE63-46921701BE67}">
  <sheetPr>
    <tabColor theme="9" tint="-0.249977111117893"/>
    <pageSetUpPr fitToPage="1"/>
  </sheetPr>
  <dimension ref="A1:F16"/>
  <sheetViews>
    <sheetView zoomScaleNormal="100" zoomScaleSheetLayoutView="100" workbookViewId="0">
      <selection activeCell="A17" sqref="A17"/>
    </sheetView>
  </sheetViews>
  <sheetFormatPr defaultColWidth="9" defaultRowHeight="21" x14ac:dyDescent="0.6"/>
  <cols>
    <col min="1" max="1" width="4.59765625" style="1224" bestFit="1" customWidth="1"/>
    <col min="2" max="2" width="42" style="1221" customWidth="1"/>
    <col min="3" max="3" width="14.3984375" style="1221" customWidth="1"/>
    <col min="4" max="4" width="12" style="1237" customWidth="1"/>
    <col min="5" max="5" width="14.5" style="1238" customWidth="1"/>
    <col min="6" max="6" width="32" style="1221" customWidth="1"/>
    <col min="7" max="16384" width="9" style="1221"/>
  </cols>
  <sheetData>
    <row r="1" spans="1:6" x14ac:dyDescent="0.6">
      <c r="A1" s="1220" t="s">
        <v>7720</v>
      </c>
      <c r="B1" s="1220"/>
      <c r="C1" s="1220"/>
      <c r="D1" s="1220"/>
      <c r="E1" s="1220"/>
      <c r="F1" s="1220"/>
    </row>
    <row r="2" spans="1:6" x14ac:dyDescent="0.6">
      <c r="A2" s="1223" t="s">
        <v>2185</v>
      </c>
      <c r="B2" s="1222" t="s">
        <v>682</v>
      </c>
      <c r="C2" s="1222" t="s">
        <v>6370</v>
      </c>
      <c r="D2" s="1223" t="s">
        <v>7714</v>
      </c>
      <c r="E2" s="1223" t="s">
        <v>7715</v>
      </c>
      <c r="F2" s="1223" t="s">
        <v>691</v>
      </c>
    </row>
    <row r="3" spans="1:6" ht="21.75" customHeight="1" x14ac:dyDescent="0.6">
      <c r="A3" s="1225">
        <v>1</v>
      </c>
      <c r="B3" s="1226" t="s">
        <v>7721</v>
      </c>
      <c r="C3" s="1226">
        <v>150000</v>
      </c>
      <c r="D3" s="1226">
        <v>150000</v>
      </c>
      <c r="E3" s="1227" t="s">
        <v>7633</v>
      </c>
      <c r="F3" s="1234" t="s">
        <v>7722</v>
      </c>
    </row>
    <row r="4" spans="1:6" x14ac:dyDescent="0.6">
      <c r="A4" s="1225">
        <v>2</v>
      </c>
      <c r="B4" s="1226" t="s">
        <v>7723</v>
      </c>
      <c r="C4" s="1226">
        <v>150000</v>
      </c>
      <c r="D4" s="1226">
        <v>150000</v>
      </c>
      <c r="E4" s="1227" t="s">
        <v>7633</v>
      </c>
      <c r="F4" s="1234"/>
    </row>
    <row r="5" spans="1:6" x14ac:dyDescent="0.6">
      <c r="A5" s="1225">
        <v>3</v>
      </c>
      <c r="B5" s="1226" t="s">
        <v>7724</v>
      </c>
      <c r="C5" s="1226">
        <v>150000</v>
      </c>
      <c r="D5" s="1226">
        <v>150000</v>
      </c>
      <c r="E5" s="1227" t="s">
        <v>7633</v>
      </c>
      <c r="F5" s="1234"/>
    </row>
    <row r="6" spans="1:6" x14ac:dyDescent="0.6">
      <c r="A6" s="1225">
        <v>4</v>
      </c>
      <c r="B6" s="1226" t="s">
        <v>7725</v>
      </c>
      <c r="C6" s="1226">
        <v>150000</v>
      </c>
      <c r="D6" s="1226">
        <v>150000</v>
      </c>
      <c r="E6" s="1227" t="s">
        <v>7633</v>
      </c>
      <c r="F6" s="1234"/>
    </row>
    <row r="7" spans="1:6" x14ac:dyDescent="0.6">
      <c r="A7" s="1235" t="s">
        <v>7433</v>
      </c>
      <c r="B7" s="1235"/>
      <c r="C7" s="1236">
        <f>SUM(C3:C6)</f>
        <v>600000</v>
      </c>
      <c r="D7" s="1236">
        <f>SUM(D3:D6)</f>
        <v>600000</v>
      </c>
      <c r="E7" s="1227"/>
      <c r="F7" s="1234"/>
    </row>
    <row r="10" spans="1:6" ht="24.6" x14ac:dyDescent="0.6">
      <c r="E10" s="1020"/>
      <c r="F10" s="1020"/>
    </row>
    <row r="11" spans="1:6" ht="24.6" x14ac:dyDescent="0.6">
      <c r="E11" s="1021"/>
      <c r="F11" s="1021"/>
    </row>
    <row r="12" spans="1:6" ht="24.6" x14ac:dyDescent="0.6">
      <c r="E12" s="1020"/>
      <c r="F12" s="1020"/>
    </row>
    <row r="13" spans="1:6" x14ac:dyDescent="0.6">
      <c r="C13" s="1221" t="s">
        <v>7380</v>
      </c>
    </row>
    <row r="16" spans="1:6" x14ac:dyDescent="0.6">
      <c r="D16" s="1237" t="s">
        <v>7380</v>
      </c>
    </row>
  </sheetData>
  <mergeCells count="6">
    <mergeCell ref="A1:F1"/>
    <mergeCell ref="F3:F7"/>
    <mergeCell ref="A7:B7"/>
    <mergeCell ref="E10:F10"/>
    <mergeCell ref="E11:F11"/>
    <mergeCell ref="E12:F12"/>
  </mergeCells>
  <pageMargins left="0.62992125984251968" right="0.23622047244094491" top="0.94488188976377963" bottom="0.98425196850393704" header="0.31496062992125984" footer="0.31496062992125984"/>
  <pageSetup paperSize="9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C770D-9F35-4CE2-97F3-01E1534267CD}">
  <sheetPr>
    <tabColor theme="9" tint="-0.249977111117893"/>
    <pageSetUpPr fitToPage="1"/>
  </sheetPr>
  <dimension ref="A1:F12"/>
  <sheetViews>
    <sheetView zoomScaleNormal="100" zoomScaleSheetLayoutView="90" workbookViewId="0">
      <selection activeCell="A17" sqref="A17"/>
    </sheetView>
  </sheetViews>
  <sheetFormatPr defaultColWidth="9" defaultRowHeight="21" x14ac:dyDescent="0.6"/>
  <cols>
    <col min="1" max="1" width="4.59765625" style="1224" bestFit="1" customWidth="1"/>
    <col min="2" max="2" width="35.8984375" style="1221" customWidth="1"/>
    <col min="3" max="3" width="14.8984375" style="1221" customWidth="1"/>
    <col min="4" max="4" width="14" style="1237" customWidth="1"/>
    <col min="5" max="5" width="16.59765625" style="1238" customWidth="1"/>
    <col min="6" max="6" width="34" style="1221" customWidth="1"/>
    <col min="7" max="16384" width="9" style="1221"/>
  </cols>
  <sheetData>
    <row r="1" spans="1:6" x14ac:dyDescent="0.6">
      <c r="A1" s="1220" t="s">
        <v>7726</v>
      </c>
      <c r="B1" s="1220"/>
      <c r="C1" s="1220"/>
      <c r="D1" s="1220"/>
      <c r="E1" s="1220"/>
      <c r="F1" s="1220"/>
    </row>
    <row r="2" spans="1:6" x14ac:dyDescent="0.6">
      <c r="A2" s="1223" t="s">
        <v>2185</v>
      </c>
      <c r="B2" s="1222" t="s">
        <v>682</v>
      </c>
      <c r="C2" s="1222" t="s">
        <v>6600</v>
      </c>
      <c r="D2" s="1223" t="s">
        <v>7714</v>
      </c>
      <c r="E2" s="1223" t="s">
        <v>7715</v>
      </c>
      <c r="F2" s="1223" t="s">
        <v>691</v>
      </c>
    </row>
    <row r="3" spans="1:6" ht="21.75" customHeight="1" x14ac:dyDescent="0.6">
      <c r="A3" s="1225">
        <v>1</v>
      </c>
      <c r="B3" s="1226" t="s">
        <v>7727</v>
      </c>
      <c r="C3" s="1226">
        <v>306250</v>
      </c>
      <c r="D3" s="1226">
        <v>306250</v>
      </c>
      <c r="E3" s="1227" t="s">
        <v>7633</v>
      </c>
      <c r="F3" s="1239" t="s">
        <v>7728</v>
      </c>
    </row>
    <row r="4" spans="1:6" x14ac:dyDescent="0.6">
      <c r="A4" s="1225">
        <v>2</v>
      </c>
      <c r="B4" s="1226" t="s">
        <v>7729</v>
      </c>
      <c r="C4" s="1226">
        <v>306250</v>
      </c>
      <c r="D4" s="1226">
        <v>306250</v>
      </c>
      <c r="E4" s="1227" t="s">
        <v>7633</v>
      </c>
      <c r="F4" s="1240"/>
    </row>
    <row r="5" spans="1:6" x14ac:dyDescent="0.6">
      <c r="A5" s="1225">
        <v>3</v>
      </c>
      <c r="B5" s="1226" t="s">
        <v>7730</v>
      </c>
      <c r="C5" s="1226">
        <v>306250</v>
      </c>
      <c r="D5" s="1226">
        <v>306250</v>
      </c>
      <c r="E5" s="1227" t="s">
        <v>7633</v>
      </c>
      <c r="F5" s="1240"/>
    </row>
    <row r="6" spans="1:6" x14ac:dyDescent="0.6">
      <c r="A6" s="1225">
        <v>4</v>
      </c>
      <c r="B6" s="1226" t="s">
        <v>7731</v>
      </c>
      <c r="C6" s="1226">
        <v>306250</v>
      </c>
      <c r="D6" s="1226">
        <v>306250</v>
      </c>
      <c r="E6" s="1227" t="s">
        <v>7633</v>
      </c>
      <c r="F6" s="1240"/>
    </row>
    <row r="7" spans="1:6" x14ac:dyDescent="0.6">
      <c r="A7" s="1241" t="s">
        <v>7433</v>
      </c>
      <c r="B7" s="1242"/>
      <c r="C7" s="1243">
        <f>SUM(C3:C6)</f>
        <v>1225000</v>
      </c>
      <c r="D7" s="1243">
        <f>SUM(D3:D6)</f>
        <v>1225000</v>
      </c>
      <c r="E7" s="1227"/>
      <c r="F7" s="1244"/>
    </row>
    <row r="10" spans="1:6" ht="24.6" x14ac:dyDescent="0.6">
      <c r="E10" s="1020"/>
      <c r="F10" s="1020"/>
    </row>
    <row r="11" spans="1:6" ht="24.6" x14ac:dyDescent="0.6">
      <c r="E11" s="1021"/>
      <c r="F11" s="1021"/>
    </row>
    <row r="12" spans="1:6" ht="24.6" x14ac:dyDescent="0.6">
      <c r="E12" s="1020"/>
      <c r="F12" s="1020"/>
    </row>
  </sheetData>
  <mergeCells count="6">
    <mergeCell ref="A1:F1"/>
    <mergeCell ref="F3:F7"/>
    <mergeCell ref="A7:B7"/>
    <mergeCell ref="E10:F10"/>
    <mergeCell ref="E11:F11"/>
    <mergeCell ref="E12:F12"/>
  </mergeCells>
  <pageMargins left="0.82677165354330717" right="0.23622047244094491" top="0.94488188976377963" bottom="0.98425196850393704" header="0.31496062992125984" footer="0.31496062992125984"/>
  <pageSetup paperSize="9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8A82-0BA6-4B98-989C-C6F7ACF805D7}">
  <sheetPr>
    <tabColor rgb="FF7030A0"/>
    <pageSetUpPr fitToPage="1"/>
  </sheetPr>
  <dimension ref="A1:Q730"/>
  <sheetViews>
    <sheetView zoomScale="130" zoomScaleNormal="130" zoomScaleSheetLayoutView="110" workbookViewId="0">
      <pane ySplit="6" topLeftCell="A22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09765625" style="1292" customWidth="1"/>
    <col min="2" max="2" width="23.5" style="1286" customWidth="1"/>
    <col min="3" max="3" width="11.19921875" style="1270" customWidth="1"/>
    <col min="4" max="5" width="11.19921875" style="1290" customWidth="1"/>
    <col min="6" max="6" width="11.19921875" style="1270" customWidth="1"/>
    <col min="7" max="7" width="11.19921875" style="1291" customWidth="1"/>
    <col min="8" max="11" width="11.19921875" style="1287" customWidth="1"/>
    <col min="12" max="12" width="11.19921875" style="1270" customWidth="1"/>
    <col min="13" max="13" width="7.59765625" style="258" hidden="1" customWidth="1"/>
    <col min="14" max="14" width="15.5" style="258" hidden="1" customWidth="1"/>
    <col min="15" max="15" width="11.8984375" style="1246" customWidth="1"/>
    <col min="16" max="16" width="12.09765625" style="258" customWidth="1"/>
    <col min="17" max="17" width="10.8984375" style="1247" customWidth="1"/>
    <col min="18" max="16384" width="9" style="258"/>
  </cols>
  <sheetData>
    <row r="1" spans="1:17" x14ac:dyDescent="0.6">
      <c r="A1" s="1245" t="s">
        <v>7732</v>
      </c>
      <c r="B1" s="1245"/>
      <c r="C1" s="1245"/>
      <c r="D1" s="1245"/>
      <c r="E1" s="1245"/>
      <c r="F1" s="1245"/>
      <c r="G1" s="1245"/>
      <c r="H1" s="1245"/>
      <c r="I1" s="1245"/>
      <c r="J1" s="1245"/>
      <c r="K1" s="1245"/>
      <c r="L1" s="1245"/>
    </row>
    <row r="2" spans="1:17" x14ac:dyDescent="0.6">
      <c r="A2" s="1248" t="s">
        <v>7733</v>
      </c>
      <c r="B2" s="1248"/>
      <c r="C2" s="1248"/>
      <c r="D2" s="1248"/>
      <c r="E2" s="1248"/>
      <c r="F2" s="1248"/>
      <c r="G2" s="1248"/>
      <c r="H2" s="1248"/>
      <c r="I2" s="1248"/>
      <c r="J2" s="1248"/>
      <c r="K2" s="1248"/>
      <c r="L2" s="1248"/>
    </row>
    <row r="3" spans="1:17" x14ac:dyDescent="0.6">
      <c r="A3" s="1249" t="s">
        <v>2185</v>
      </c>
      <c r="B3" s="1249" t="s">
        <v>7734</v>
      </c>
      <c r="C3" s="1250" t="s">
        <v>7735</v>
      </c>
      <c r="D3" s="1250"/>
      <c r="E3" s="1250"/>
      <c r="F3" s="1251" t="s">
        <v>621</v>
      </c>
      <c r="G3" s="1252" t="s">
        <v>7736</v>
      </c>
      <c r="H3" s="1253" t="s">
        <v>621</v>
      </c>
      <c r="I3" s="1253" t="s">
        <v>621</v>
      </c>
      <c r="J3" s="1253" t="s">
        <v>621</v>
      </c>
      <c r="K3" s="1253" t="s">
        <v>621</v>
      </c>
      <c r="L3" s="1254" t="s">
        <v>7737</v>
      </c>
      <c r="O3" s="1255" t="s">
        <v>7738</v>
      </c>
      <c r="P3" s="1256" t="s">
        <v>7739</v>
      </c>
      <c r="Q3" s="1257" t="s">
        <v>7740</v>
      </c>
    </row>
    <row r="4" spans="1:17" x14ac:dyDescent="0.6">
      <c r="A4" s="1258"/>
      <c r="B4" s="1258"/>
      <c r="C4" s="1250" t="s">
        <v>7741</v>
      </c>
      <c r="D4" s="1250"/>
      <c r="E4" s="1250"/>
      <c r="F4" s="1251" t="s">
        <v>7742</v>
      </c>
      <c r="G4" s="1252" t="s">
        <v>7743</v>
      </c>
      <c r="H4" s="1251" t="s">
        <v>7744</v>
      </c>
      <c r="I4" s="1251" t="s">
        <v>7745</v>
      </c>
      <c r="J4" s="1251" t="s">
        <v>7746</v>
      </c>
      <c r="K4" s="1251" t="s">
        <v>7747</v>
      </c>
      <c r="L4" s="1259"/>
      <c r="O4" s="1260"/>
      <c r="P4" s="1256"/>
      <c r="Q4" s="1261"/>
    </row>
    <row r="5" spans="1:17" x14ac:dyDescent="0.6">
      <c r="A5" s="1258"/>
      <c r="B5" s="1258"/>
      <c r="C5" s="1262" t="s">
        <v>7748</v>
      </c>
      <c r="D5" s="1262" t="s">
        <v>7749</v>
      </c>
      <c r="E5" s="1262" t="s">
        <v>7750</v>
      </c>
      <c r="F5" s="1251" t="s">
        <v>7751</v>
      </c>
      <c r="G5" s="1252" t="s">
        <v>1150</v>
      </c>
      <c r="H5" s="1251" t="s">
        <v>7752</v>
      </c>
      <c r="I5" s="1251" t="s">
        <v>7753</v>
      </c>
      <c r="J5" s="1251" t="s">
        <v>7754</v>
      </c>
      <c r="K5" s="1251" t="s">
        <v>7755</v>
      </c>
      <c r="L5" s="1253" t="s">
        <v>621</v>
      </c>
      <c r="O5" s="1260"/>
      <c r="P5" s="1256"/>
      <c r="Q5" s="1261"/>
    </row>
    <row r="6" spans="1:17" x14ac:dyDescent="0.6">
      <c r="A6" s="1263"/>
      <c r="B6" s="1263"/>
      <c r="C6" s="1252" t="s">
        <v>7756</v>
      </c>
      <c r="D6" s="1252" t="s">
        <v>7756</v>
      </c>
      <c r="E6" s="1252" t="s">
        <v>7756</v>
      </c>
      <c r="F6" s="1252" t="s">
        <v>7756</v>
      </c>
      <c r="G6" s="1252" t="s">
        <v>7756</v>
      </c>
      <c r="H6" s="1252" t="s">
        <v>7756</v>
      </c>
      <c r="I6" s="1252" t="s">
        <v>7756</v>
      </c>
      <c r="J6" s="1252" t="s">
        <v>7756</v>
      </c>
      <c r="K6" s="1252" t="s">
        <v>7756</v>
      </c>
      <c r="L6" s="1253" t="s">
        <v>7756</v>
      </c>
      <c r="O6" s="1264"/>
      <c r="P6" s="1256"/>
      <c r="Q6" s="1265"/>
    </row>
    <row r="7" spans="1:17" x14ac:dyDescent="0.6">
      <c r="A7" s="1266">
        <v>1</v>
      </c>
      <c r="B7" s="1267" t="s">
        <v>582</v>
      </c>
      <c r="C7" s="1268">
        <f>'1วัสดุสำนักงาน'!E105</f>
        <v>286458.70999999996</v>
      </c>
      <c r="D7" s="1268">
        <f>'1วัสดุสำนักงาน'!G105</f>
        <v>410788</v>
      </c>
      <c r="E7" s="1268">
        <f>'1วัสดุสำนักงาน'!I105</f>
        <v>605350</v>
      </c>
      <c r="F7" s="1268">
        <f>'1วัสดุสำนักงาน'!L105</f>
        <v>88364</v>
      </c>
      <c r="G7" s="1268">
        <f>'1วัสดุสำนักงาน'!O105</f>
        <v>596234</v>
      </c>
      <c r="H7" s="1268">
        <f>'1วัสดุสำนักงาน'!Q105</f>
        <v>324935</v>
      </c>
      <c r="I7" s="1268">
        <f>'1วัสดุสำนักงาน'!S105</f>
        <v>92799</v>
      </c>
      <c r="J7" s="1268">
        <f>'1วัสดุสำนักงาน'!U105</f>
        <v>86421</v>
      </c>
      <c r="K7" s="1268">
        <f>'1วัสดุสำนักงาน'!W105</f>
        <v>92079</v>
      </c>
      <c r="L7" s="1268">
        <f>'1วัสดุสำนักงาน'!Y105</f>
        <v>596234</v>
      </c>
      <c r="M7" s="1269" t="str">
        <f t="shared" ref="M7:M36" si="0">IF(G7=L7,"ok")</f>
        <v>ok</v>
      </c>
      <c r="N7" s="1270">
        <f t="shared" ref="N7:N37" si="1">C7+D7+E7</f>
        <v>1302596.71</v>
      </c>
      <c r="O7" s="1271">
        <f>N7/3</f>
        <v>434198.90333333332</v>
      </c>
      <c r="P7" s="1272">
        <f t="shared" ref="P7:P37" si="2">O7-L7</f>
        <v>-162035.09666666668</v>
      </c>
      <c r="Q7" s="1273">
        <f>P7*100/O7</f>
        <v>-37.318172713640593</v>
      </c>
    </row>
    <row r="8" spans="1:17" x14ac:dyDescent="0.6">
      <c r="A8" s="1266">
        <v>2</v>
      </c>
      <c r="B8" s="1267" t="s">
        <v>587</v>
      </c>
      <c r="C8" s="1268">
        <f>'2วัสดุคอมพิวเตอร์'!E49</f>
        <v>143030</v>
      </c>
      <c r="D8" s="1268">
        <f>'2วัสดุคอมพิวเตอร์'!G49</f>
        <v>148940</v>
      </c>
      <c r="E8" s="1268">
        <f>'2วัสดุคอมพิวเตอร์'!I49</f>
        <v>171880</v>
      </c>
      <c r="F8" s="1268">
        <f>'2วัสดุคอมพิวเตอร์'!L49</f>
        <v>52800</v>
      </c>
      <c r="G8" s="1268">
        <f>'2วัสดุคอมพิวเตอร์'!O49</f>
        <v>180975</v>
      </c>
      <c r="H8" s="1268">
        <f>'2วัสดุคอมพิวเตอร์'!Q49</f>
        <v>21640</v>
      </c>
      <c r="I8" s="1268">
        <f>'2วัสดุคอมพิวเตอร์'!S49</f>
        <v>109945</v>
      </c>
      <c r="J8" s="1268">
        <f>'2วัสดุคอมพิวเตอร์'!U49</f>
        <v>30020</v>
      </c>
      <c r="K8" s="1268">
        <f>'2วัสดุคอมพิวเตอร์'!W49</f>
        <v>10510</v>
      </c>
      <c r="L8" s="1268">
        <f>'2วัสดุคอมพิวเตอร์'!Y49</f>
        <v>180975</v>
      </c>
      <c r="M8" s="1269" t="str">
        <f t="shared" si="0"/>
        <v>ok</v>
      </c>
      <c r="N8" s="1270">
        <f t="shared" si="1"/>
        <v>463850</v>
      </c>
      <c r="O8" s="1271">
        <f t="shared" ref="O8:O37" si="3">N8/3</f>
        <v>154616.66666666666</v>
      </c>
      <c r="P8" s="1272">
        <f t="shared" si="2"/>
        <v>-26358.333333333343</v>
      </c>
      <c r="Q8" s="1273">
        <f t="shared" ref="Q8:Q37" si="4">P8*100/O8</f>
        <v>-17.047536919262701</v>
      </c>
    </row>
    <row r="9" spans="1:17" x14ac:dyDescent="0.6">
      <c r="A9" s="1266">
        <v>3</v>
      </c>
      <c r="B9" s="1267" t="s">
        <v>7757</v>
      </c>
      <c r="C9" s="1268">
        <f>'3วัสดุวิทยาศาสตร์'!E83</f>
        <v>711628</v>
      </c>
      <c r="D9" s="1268">
        <f>'3วัสดุวิทยาศาสตร์'!G83</f>
        <v>933033</v>
      </c>
      <c r="E9" s="1268">
        <f>'3วัสดุวิทยาศาสตร์'!I83</f>
        <v>1920599.5</v>
      </c>
      <c r="F9" s="1268">
        <f>'3วัสดุวิทยาศาสตร์'!L83</f>
        <v>149010</v>
      </c>
      <c r="G9" s="1268">
        <f>'3วัสดุวิทยาศาสตร์'!O83</f>
        <v>3195935</v>
      </c>
      <c r="H9" s="1268">
        <f>'3วัสดุวิทยาศาสตร์'!Q83</f>
        <v>1692935</v>
      </c>
      <c r="I9" s="1268">
        <f>'3วัสดุวิทยาศาสตร์'!S83</f>
        <v>622963</v>
      </c>
      <c r="J9" s="1268">
        <f>'3วัสดุวิทยาศาสตร์'!U83</f>
        <v>436665</v>
      </c>
      <c r="K9" s="1268">
        <f>'3วัสดุวิทยาศาสตร์'!W83</f>
        <v>443372</v>
      </c>
      <c r="L9" s="1268">
        <f>'3วัสดุวิทยาศาสตร์'!Y83</f>
        <v>3195935</v>
      </c>
      <c r="M9" s="1269" t="str">
        <f t="shared" si="0"/>
        <v>ok</v>
      </c>
      <c r="N9" s="1270">
        <f t="shared" si="1"/>
        <v>3565260.5</v>
      </c>
      <c r="O9" s="1271">
        <f t="shared" si="3"/>
        <v>1188420.1666666667</v>
      </c>
      <c r="P9" s="1272">
        <f t="shared" si="2"/>
        <v>-2007514.8333333333</v>
      </c>
      <c r="Q9" s="1273">
        <f t="shared" si="4"/>
        <v>-168.92298613242986</v>
      </c>
    </row>
    <row r="10" spans="1:17" x14ac:dyDescent="0.6">
      <c r="A10" s="1266">
        <v>4</v>
      </c>
      <c r="B10" s="1267" t="s">
        <v>6995</v>
      </c>
      <c r="C10" s="1268">
        <f>+'4วัสดุการแพทย์ทั่วไป'!E233</f>
        <v>1558759.3</v>
      </c>
      <c r="D10" s="1268">
        <f>+'4วัสดุการแพทย์ทั่วไป'!G233</f>
        <v>1634724.3</v>
      </c>
      <c r="E10" s="1268">
        <f>+'4วัสดุการแพทย์ทั่วไป'!I233</f>
        <v>3145082.87</v>
      </c>
      <c r="F10" s="1268">
        <f>+'4วัสดุการแพทย์ทั่วไป'!L233</f>
        <v>574819.44999999995</v>
      </c>
      <c r="G10" s="1268">
        <f>+'4วัสดุการแพทย์ทั่วไป'!O233</f>
        <v>3230729.49</v>
      </c>
      <c r="H10" s="1268">
        <f>+'4วัสดุการแพทย์ทั่วไป'!Q233</f>
        <v>605892.16</v>
      </c>
      <c r="I10" s="1268">
        <f>+'4วัสดุการแพทย์ทั่วไป'!S233</f>
        <v>1048080.4199999999</v>
      </c>
      <c r="J10" s="1268">
        <f>+'4วัสดุการแพทย์ทั่วไป'!U233</f>
        <v>1081485.26</v>
      </c>
      <c r="K10" s="1268">
        <f>+'4วัสดุการแพทย์ทั่วไป'!W233</f>
        <v>494131.65</v>
      </c>
      <c r="L10" s="1268">
        <f>+'4วัสดุการแพทย์ทั่วไป'!Y233</f>
        <v>3230729.49</v>
      </c>
      <c r="M10" s="1269" t="str">
        <f t="shared" si="0"/>
        <v>ok</v>
      </c>
      <c r="N10" s="1270">
        <f t="shared" si="1"/>
        <v>6338566.4700000007</v>
      </c>
      <c r="O10" s="1271">
        <f t="shared" si="3"/>
        <v>2112855.4900000002</v>
      </c>
      <c r="P10" s="1272">
        <f t="shared" si="2"/>
        <v>-1117874</v>
      </c>
      <c r="Q10" s="1273">
        <f t="shared" si="4"/>
        <v>-52.90820907018113</v>
      </c>
    </row>
    <row r="11" spans="1:17" x14ac:dyDescent="0.6">
      <c r="A11" s="1266">
        <v>5</v>
      </c>
      <c r="B11" s="1267" t="s">
        <v>7758</v>
      </c>
      <c r="C11" s="1268">
        <f>+'5เวชภัณฑ์ยา'!E299</f>
        <v>6188606.6259999983</v>
      </c>
      <c r="D11" s="1268">
        <f>+'5เวชภัณฑ์ยา'!G299</f>
        <v>6748991.5720000006</v>
      </c>
      <c r="E11" s="1268">
        <f>+'5เวชภัณฑ์ยา'!I299</f>
        <v>7429495.3349999972</v>
      </c>
      <c r="F11" s="1268">
        <f>+'5เวชภัณฑ์ยา'!L299</f>
        <v>1572290.763</v>
      </c>
      <c r="G11" s="1268">
        <f>+'5เวชภัณฑ์ยา'!O299</f>
        <v>7223030.7469999986</v>
      </c>
      <c r="H11" s="1268">
        <f>+'5เวชภัณฑ์ยา'!Q299</f>
        <v>1975476.22175</v>
      </c>
      <c r="I11" s="1268">
        <f>+'5เวชภัณฑ์ยา'!S299</f>
        <v>1872776.3767499996</v>
      </c>
      <c r="J11" s="1268">
        <f>+'5เวชภัณฑ์ยา'!U299</f>
        <v>1732149.9297499999</v>
      </c>
      <c r="K11" s="1268">
        <f>+'5เวชภัณฑ์ยา'!W299</f>
        <v>1642522.21875</v>
      </c>
      <c r="L11" s="1268">
        <f>+'5เวชภัณฑ์ยา'!Y299</f>
        <v>7223030.7469999986</v>
      </c>
      <c r="M11" s="1269" t="str">
        <f t="shared" si="0"/>
        <v>ok</v>
      </c>
      <c r="N11" s="1270">
        <f t="shared" si="1"/>
        <v>20367093.532999996</v>
      </c>
      <c r="O11" s="1271">
        <f t="shared" si="3"/>
        <v>6789031.1776666651</v>
      </c>
      <c r="P11" s="1272">
        <f t="shared" si="2"/>
        <v>-433999.56933333352</v>
      </c>
      <c r="Q11" s="1273">
        <f t="shared" si="4"/>
        <v>-6.3926583628165874</v>
      </c>
    </row>
    <row r="12" spans="1:17" x14ac:dyDescent="0.6">
      <c r="A12" s="1266">
        <v>6</v>
      </c>
      <c r="B12" s="1274" t="s">
        <v>7759</v>
      </c>
      <c r="C12" s="1268">
        <f>+'6เวชภัณฑ์มิใช่ยา'!E10</f>
        <v>2800</v>
      </c>
      <c r="D12" s="1268">
        <f>+'6เวชภัณฑ์มิใช่ยา'!G10</f>
        <v>1200</v>
      </c>
      <c r="E12" s="1268">
        <f>+'6เวชภัณฑ์มิใช่ยา'!I10</f>
        <v>20000</v>
      </c>
      <c r="F12" s="1268">
        <f>+'6เวชภัณฑ์มิใช่ยา'!L10</f>
        <v>400</v>
      </c>
      <c r="G12" s="1268">
        <f>+'6เวชภัณฑ์มิใช่ยา'!O10</f>
        <v>26000</v>
      </c>
      <c r="H12" s="1268">
        <f>+'6เวชภัณฑ์มิใช่ยา'!Q10</f>
        <v>25600</v>
      </c>
      <c r="I12" s="1268">
        <f>+'6เวชภัณฑ์มิใช่ยา'!S10</f>
        <v>0</v>
      </c>
      <c r="J12" s="1268">
        <f>+'6เวชภัณฑ์มิใช่ยา'!U10</f>
        <v>0</v>
      </c>
      <c r="K12" s="1268">
        <f>+'6เวชภัณฑ์มิใช่ยา'!W10</f>
        <v>0</v>
      </c>
      <c r="L12" s="1268">
        <f>+'6เวชภัณฑ์มิใช่ยา'!Y10</f>
        <v>26000</v>
      </c>
      <c r="M12" s="1269" t="str">
        <f t="shared" si="0"/>
        <v>ok</v>
      </c>
      <c r="N12" s="1270">
        <f t="shared" si="1"/>
        <v>24000</v>
      </c>
      <c r="O12" s="1271">
        <f t="shared" si="3"/>
        <v>8000</v>
      </c>
      <c r="P12" s="1272">
        <f t="shared" si="2"/>
        <v>-18000</v>
      </c>
      <c r="Q12" s="1273">
        <f t="shared" si="4"/>
        <v>-225</v>
      </c>
    </row>
    <row r="13" spans="1:17" s="1275" customFormat="1" x14ac:dyDescent="0.6">
      <c r="A13" s="1266">
        <v>7</v>
      </c>
      <c r="B13" s="1274" t="s">
        <v>7760</v>
      </c>
      <c r="C13" s="1268">
        <f>+'7ยาสมุนไพร'!E47</f>
        <v>159027</v>
      </c>
      <c r="D13" s="1268">
        <f>+'7ยาสมุนไพร'!G47</f>
        <v>210023</v>
      </c>
      <c r="E13" s="1268">
        <f>+'7ยาสมุนไพร'!I47</f>
        <v>273021</v>
      </c>
      <c r="F13" s="1268">
        <f>+'7ยาสมุนไพร'!L47</f>
        <v>69722.5</v>
      </c>
      <c r="G13" s="1268">
        <f>+'7ยาสมุนไพร'!O47</f>
        <v>366507.5</v>
      </c>
      <c r="H13" s="1268">
        <f>+'7ยาสมุนไพร'!Q47</f>
        <v>92051.5</v>
      </c>
      <c r="I13" s="1268">
        <f>+'7ยาสมุนไพร'!S47</f>
        <v>91366.5</v>
      </c>
      <c r="J13" s="1268">
        <f>+'7ยาสมุนไพร'!U47</f>
        <v>91380</v>
      </c>
      <c r="K13" s="1268">
        <f>+'7ยาสมุนไพร'!W47</f>
        <v>91709.5</v>
      </c>
      <c r="L13" s="1268">
        <f>+'7ยาสมุนไพร'!Y47</f>
        <v>366507.5</v>
      </c>
      <c r="M13" s="1269" t="str">
        <f t="shared" si="0"/>
        <v>ok</v>
      </c>
      <c r="N13" s="1270">
        <f t="shared" si="1"/>
        <v>642071</v>
      </c>
      <c r="O13" s="1271">
        <f t="shared" si="3"/>
        <v>214023.66666666666</v>
      </c>
      <c r="P13" s="1272">
        <f t="shared" si="2"/>
        <v>-152483.83333333334</v>
      </c>
      <c r="Q13" s="1273">
        <f t="shared" si="4"/>
        <v>-71.246248467848574</v>
      </c>
    </row>
    <row r="14" spans="1:17" x14ac:dyDescent="0.6">
      <c r="A14" s="1266">
        <v>8</v>
      </c>
      <c r="B14" s="1276" t="s">
        <v>6290</v>
      </c>
      <c r="C14" s="1268">
        <f>'8วัสดุทันตกรรม '!E229</f>
        <v>345153.69</v>
      </c>
      <c r="D14" s="1268">
        <f>'8วัสดุทันตกรรม '!G229</f>
        <v>366439.2</v>
      </c>
      <c r="E14" s="1268">
        <f>'8วัสดุทันตกรรม '!I229</f>
        <v>256689.88</v>
      </c>
      <c r="F14" s="1268">
        <f>'8วัสดุทันตกรรม '!L229</f>
        <v>245855.92000000004</v>
      </c>
      <c r="G14" s="1268">
        <f>'8วัสดุทันตกรรม '!O229</f>
        <v>500067.41</v>
      </c>
      <c r="H14" s="1268">
        <f>'8วัสดุทันตกรรม '!Q229</f>
        <v>173798.58000000002</v>
      </c>
      <c r="I14" s="1268">
        <f>'8วัสดุทันตกรรม '!S229</f>
        <v>122324.21</v>
      </c>
      <c r="J14" s="1268">
        <f>'8วัสดุทันตกรรม '!U229</f>
        <v>122189.07</v>
      </c>
      <c r="K14" s="1268">
        <f>'8วัสดุทันตกรรม '!W229</f>
        <v>81755.55</v>
      </c>
      <c r="L14" s="1268">
        <f>'8วัสดุทันตกรรม '!Y229</f>
        <v>500067.41</v>
      </c>
      <c r="M14" s="1269" t="str">
        <f t="shared" si="0"/>
        <v>ok</v>
      </c>
      <c r="N14" s="1270">
        <f t="shared" si="1"/>
        <v>968282.77</v>
      </c>
      <c r="O14" s="1271">
        <f t="shared" si="3"/>
        <v>322760.92333333334</v>
      </c>
      <c r="P14" s="1272">
        <f t="shared" si="2"/>
        <v>-177306.48666666663</v>
      </c>
      <c r="Q14" s="1273">
        <f t="shared" si="4"/>
        <v>-54.934310149916222</v>
      </c>
    </row>
    <row r="15" spans="1:17" x14ac:dyDescent="0.6">
      <c r="A15" s="1266">
        <v>9</v>
      </c>
      <c r="B15" s="1277" t="s">
        <v>583</v>
      </c>
      <c r="C15" s="1268">
        <f>+'9วัสดุยานพาหนะ'!E14</f>
        <v>98480</v>
      </c>
      <c r="D15" s="1268">
        <f>+'9วัสดุยานพาหนะ'!G14</f>
        <v>111520</v>
      </c>
      <c r="E15" s="1268">
        <f>+'9วัสดุยานพาหนะ'!I14</f>
        <v>63860</v>
      </c>
      <c r="F15" s="1268">
        <f>+'9วัสดุยานพาหนะ'!L14</f>
        <v>0</v>
      </c>
      <c r="G15" s="1268">
        <f>+'9วัสดุยานพาหนะ'!O14</f>
        <v>128000</v>
      </c>
      <c r="H15" s="1268">
        <f>+'9วัสดุยานพาหนะ'!Q14</f>
        <v>36140</v>
      </c>
      <c r="I15" s="1268">
        <f>+'9วัสดุยานพาหนะ'!S14</f>
        <v>55840</v>
      </c>
      <c r="J15" s="1268">
        <f>+'9วัสดุยานพาหนะ'!U14</f>
        <v>14120</v>
      </c>
      <c r="K15" s="1268">
        <f>+'9วัสดุยานพาหนะ'!W14</f>
        <v>21900</v>
      </c>
      <c r="L15" s="1268">
        <f>+'9วัสดุยานพาหนะ'!Y14</f>
        <v>128000</v>
      </c>
      <c r="M15" s="1269" t="str">
        <f t="shared" si="0"/>
        <v>ok</v>
      </c>
      <c r="N15" s="1270">
        <f t="shared" si="1"/>
        <v>273860</v>
      </c>
      <c r="O15" s="1271">
        <f t="shared" si="3"/>
        <v>91286.666666666672</v>
      </c>
      <c r="P15" s="1272">
        <f t="shared" si="2"/>
        <v>-36713.333333333328</v>
      </c>
      <c r="Q15" s="1273">
        <f t="shared" si="4"/>
        <v>-40.21762944570218</v>
      </c>
    </row>
    <row r="16" spans="1:17" x14ac:dyDescent="0.6">
      <c r="A16" s="1266">
        <v>10</v>
      </c>
      <c r="B16" s="1277" t="s">
        <v>586</v>
      </c>
      <c r="C16" s="1268">
        <v>0</v>
      </c>
      <c r="D16" s="1268">
        <v>0</v>
      </c>
      <c r="E16" s="1268">
        <v>0</v>
      </c>
      <c r="F16" s="1268">
        <v>0</v>
      </c>
      <c r="G16" s="1268">
        <v>0</v>
      </c>
      <c r="H16" s="1268">
        <v>0</v>
      </c>
      <c r="I16" s="1268">
        <v>0</v>
      </c>
      <c r="J16" s="1268">
        <v>0</v>
      </c>
      <c r="K16" s="1268">
        <v>0</v>
      </c>
      <c r="L16" s="1268">
        <v>0</v>
      </c>
      <c r="M16" s="1269" t="str">
        <f t="shared" si="0"/>
        <v>ok</v>
      </c>
      <c r="N16" s="1270">
        <f t="shared" si="1"/>
        <v>0</v>
      </c>
      <c r="O16" s="1271">
        <f t="shared" si="3"/>
        <v>0</v>
      </c>
      <c r="P16" s="1272">
        <f t="shared" si="2"/>
        <v>0</v>
      </c>
      <c r="Q16" s="1273"/>
    </row>
    <row r="17" spans="1:17" x14ac:dyDescent="0.6">
      <c r="A17" s="1266">
        <v>11</v>
      </c>
      <c r="B17" s="1277" t="s">
        <v>7761</v>
      </c>
      <c r="C17" s="1268">
        <f>+'11วัสดุการเกษตร'!E15</f>
        <v>7500</v>
      </c>
      <c r="D17" s="1268">
        <f>+'11วัสดุการเกษตร'!G15</f>
        <v>49750</v>
      </c>
      <c r="E17" s="1268">
        <f>+'11วัสดุการเกษตร'!I15</f>
        <v>13200</v>
      </c>
      <c r="F17" s="1268">
        <f>+'11วัสดุการเกษตร'!L15</f>
        <v>2730</v>
      </c>
      <c r="G17" s="1268">
        <f>+'11วัสดุการเกษตร'!O15</f>
        <v>133950</v>
      </c>
      <c r="H17" s="1268">
        <f>+'11วัสดุการเกษตร'!Q15</f>
        <v>54100</v>
      </c>
      <c r="I17" s="1268">
        <f>+'11วัสดุการเกษตร'!S15</f>
        <v>10200</v>
      </c>
      <c r="J17" s="1268">
        <f>+'11วัสดุการเกษตร'!U15</f>
        <v>58000</v>
      </c>
      <c r="K17" s="1268">
        <f>+'11วัสดุการเกษตร'!W15</f>
        <v>11650</v>
      </c>
      <c r="L17" s="1268">
        <f>+'11วัสดุการเกษตร'!Y15</f>
        <v>133950</v>
      </c>
      <c r="M17" s="1269" t="str">
        <f t="shared" si="0"/>
        <v>ok</v>
      </c>
      <c r="N17" s="1270">
        <f t="shared" si="1"/>
        <v>70450</v>
      </c>
      <c r="O17" s="1271">
        <f t="shared" si="3"/>
        <v>23483.333333333332</v>
      </c>
      <c r="P17" s="1272">
        <f t="shared" si="2"/>
        <v>-110466.66666666667</v>
      </c>
      <c r="Q17" s="1273">
        <f t="shared" si="4"/>
        <v>-470.40454222853094</v>
      </c>
    </row>
    <row r="18" spans="1:17" x14ac:dyDescent="0.6">
      <c r="A18" s="1266">
        <v>12</v>
      </c>
      <c r="B18" s="1277" t="s">
        <v>590</v>
      </c>
      <c r="C18" s="1268">
        <f>+'12วัสดุเครื่องแต่งกาย'!E25</f>
        <v>0</v>
      </c>
      <c r="D18" s="1268">
        <f>+'12วัสดุเครื่องแต่งกาย'!G25</f>
        <v>90702</v>
      </c>
      <c r="E18" s="1268">
        <f>+'12วัสดุเครื่องแต่งกาย'!I25</f>
        <v>156600</v>
      </c>
      <c r="F18" s="1268">
        <f>+'12วัสดุเครื่องแต่งกาย'!L25</f>
        <v>0</v>
      </c>
      <c r="G18" s="1268">
        <f>+'12วัสดุเครื่องแต่งกาย'!O25</f>
        <v>143860</v>
      </c>
      <c r="H18" s="1268">
        <f>+'12วัสดุเครื่องแต่งกาย'!Q25</f>
        <v>0</v>
      </c>
      <c r="I18" s="1268">
        <f>+'12วัสดุเครื่องแต่งกาย'!S25</f>
        <v>5600</v>
      </c>
      <c r="J18" s="1268">
        <f>+'12วัสดุเครื่องแต่งกาย'!U25</f>
        <v>138260</v>
      </c>
      <c r="K18" s="1268">
        <f>+'12วัสดุเครื่องแต่งกาย'!W25</f>
        <v>0</v>
      </c>
      <c r="L18" s="1268">
        <f>+'12วัสดุเครื่องแต่งกาย'!Y25</f>
        <v>143860</v>
      </c>
      <c r="M18" s="1269" t="str">
        <f t="shared" si="0"/>
        <v>ok</v>
      </c>
      <c r="N18" s="1270">
        <f t="shared" si="1"/>
        <v>247302</v>
      </c>
      <c r="O18" s="1271">
        <f t="shared" si="3"/>
        <v>82434</v>
      </c>
      <c r="P18" s="1272">
        <f t="shared" si="2"/>
        <v>-61426</v>
      </c>
      <c r="Q18" s="1273">
        <f t="shared" si="4"/>
        <v>-74.515369871654897</v>
      </c>
    </row>
    <row r="19" spans="1:17" x14ac:dyDescent="0.6">
      <c r="A19" s="1266">
        <v>13</v>
      </c>
      <c r="B19" s="1277" t="s">
        <v>588</v>
      </c>
      <c r="C19" s="1268">
        <f>+'13วัสดุงานบ้านงานครัว'!E87</f>
        <v>555440.10000000009</v>
      </c>
      <c r="D19" s="1268">
        <f>+'13วัสดุงานบ้านงานครัว'!G87</f>
        <v>976369.60000000009</v>
      </c>
      <c r="E19" s="1268">
        <f>+'13วัสดุงานบ้านงานครัว'!I87</f>
        <v>913333</v>
      </c>
      <c r="F19" s="1268">
        <f>+'13วัสดุงานบ้านงานครัว'!L87</f>
        <v>226703.9</v>
      </c>
      <c r="G19" s="1268">
        <f>+'13วัสดุงานบ้านงานครัว'!O87</f>
        <v>739081.8</v>
      </c>
      <c r="H19" s="1268">
        <f>+'13วัสดุงานบ้านงานครัว'!Q87</f>
        <v>140547</v>
      </c>
      <c r="I19" s="1268">
        <f>+'13วัสดุงานบ้านงานครัว'!S87</f>
        <v>200356.40000000002</v>
      </c>
      <c r="J19" s="1268">
        <f>+'13วัสดุงานบ้านงานครัว'!U87</f>
        <v>197819</v>
      </c>
      <c r="K19" s="1268">
        <f>+'13วัสดุงานบ้านงานครัว'!W87</f>
        <v>200359.40000000002</v>
      </c>
      <c r="L19" s="1268">
        <f>+'13วัสดุงานบ้านงานครัว'!Y87</f>
        <v>739081.8</v>
      </c>
      <c r="M19" s="1269" t="str">
        <f t="shared" si="0"/>
        <v>ok</v>
      </c>
      <c r="N19" s="1270">
        <f t="shared" si="1"/>
        <v>2445142.7000000002</v>
      </c>
      <c r="O19" s="1271">
        <f t="shared" si="3"/>
        <v>815047.56666666677</v>
      </c>
      <c r="P19" s="1278">
        <f t="shared" si="2"/>
        <v>75965.766666666721</v>
      </c>
      <c r="Q19" s="1273">
        <f t="shared" si="4"/>
        <v>9.3204089888087154</v>
      </c>
    </row>
    <row r="20" spans="1:17" x14ac:dyDescent="0.6">
      <c r="A20" s="1266">
        <v>14</v>
      </c>
      <c r="B20" s="1277" t="s">
        <v>589</v>
      </c>
      <c r="C20" s="1268">
        <f>+'14วัสดุบริโภค'!E9</f>
        <v>25000</v>
      </c>
      <c r="D20" s="1268">
        <f>+'14วัสดุบริโภค'!G9</f>
        <v>19640</v>
      </c>
      <c r="E20" s="1268">
        <f>+'14วัสดุบริโภค'!I9</f>
        <v>45600</v>
      </c>
      <c r="F20" s="1268">
        <f>+'14วัสดุบริโภค'!L9</f>
        <v>0</v>
      </c>
      <c r="G20" s="1268">
        <f>+'14วัสดุบริโภค'!O9</f>
        <v>60000</v>
      </c>
      <c r="H20" s="1268">
        <f>+'14วัสดุบริโภค'!Q9</f>
        <v>15000</v>
      </c>
      <c r="I20" s="1268">
        <f>+'14วัสดุบริโภค'!S9</f>
        <v>15000</v>
      </c>
      <c r="J20" s="1268">
        <f>+'14วัสดุบริโภค'!U9</f>
        <v>15000</v>
      </c>
      <c r="K20" s="1268">
        <f>+'14วัสดุบริโภค'!W9</f>
        <v>15000</v>
      </c>
      <c r="L20" s="1268">
        <f>+'14วัสดุบริโภค'!Y9</f>
        <v>60000</v>
      </c>
      <c r="M20" s="1269" t="str">
        <f t="shared" si="0"/>
        <v>ok</v>
      </c>
      <c r="N20" s="1270">
        <f t="shared" si="1"/>
        <v>90240</v>
      </c>
      <c r="O20" s="1271">
        <f t="shared" si="3"/>
        <v>30080</v>
      </c>
      <c r="P20" s="1272">
        <f t="shared" si="2"/>
        <v>-29920</v>
      </c>
      <c r="Q20" s="1273">
        <f t="shared" si="4"/>
        <v>-99.468085106382972</v>
      </c>
    </row>
    <row r="21" spans="1:17" x14ac:dyDescent="0.6">
      <c r="A21" s="1266">
        <v>15</v>
      </c>
      <c r="B21" s="1277" t="s">
        <v>591</v>
      </c>
      <c r="C21" s="1268">
        <f>+'15วัสดุก่อสร้าง'!E42</f>
        <v>27283.25</v>
      </c>
      <c r="D21" s="1268">
        <f>+'15วัสดุก่อสร้าง'!G42</f>
        <v>26190</v>
      </c>
      <c r="E21" s="1268">
        <f>+'15วัสดุก่อสร้าง'!I42</f>
        <v>25450</v>
      </c>
      <c r="F21" s="1268">
        <f>+'15วัสดุก่อสร้าง'!L42</f>
        <v>3765</v>
      </c>
      <c r="G21" s="1268">
        <f>+'15วัสดุก่อสร้าง'!O42</f>
        <v>44425</v>
      </c>
      <c r="H21" s="1268">
        <f>+'15วัสดุก่อสร้าง'!Q42</f>
        <v>18630</v>
      </c>
      <c r="I21" s="1268">
        <f>+'15วัสดุก่อสร้าง'!S42</f>
        <v>6160</v>
      </c>
      <c r="J21" s="1268">
        <f>+'15วัสดุก่อสร้าง'!U42</f>
        <v>15675</v>
      </c>
      <c r="K21" s="1268">
        <f>+'15วัสดุก่อสร้าง'!W42</f>
        <v>3960</v>
      </c>
      <c r="L21" s="1268">
        <f>+'15วัสดุก่อสร้าง'!Y42</f>
        <v>44425</v>
      </c>
      <c r="M21" s="1269" t="str">
        <f t="shared" si="0"/>
        <v>ok</v>
      </c>
      <c r="N21" s="1270">
        <f t="shared" si="1"/>
        <v>78923.25</v>
      </c>
      <c r="O21" s="1271">
        <f t="shared" si="3"/>
        <v>26307.75</v>
      </c>
      <c r="P21" s="1272">
        <f t="shared" si="2"/>
        <v>-18117.25</v>
      </c>
      <c r="Q21" s="1273">
        <f t="shared" si="4"/>
        <v>-68.866588742860941</v>
      </c>
    </row>
    <row r="22" spans="1:17" x14ac:dyDescent="0.6">
      <c r="A22" s="1266">
        <v>16</v>
      </c>
      <c r="B22" s="1277" t="s">
        <v>585</v>
      </c>
      <c r="C22" s="1268">
        <f>'16วัสดุไฟฟ้าและวิทยุ'!E29</f>
        <v>35223.1</v>
      </c>
      <c r="D22" s="1268">
        <f>'16วัสดุไฟฟ้าและวิทยุ'!G29</f>
        <v>44070</v>
      </c>
      <c r="E22" s="1268">
        <f>'16วัสดุไฟฟ้าและวิทยุ'!I29</f>
        <v>53258</v>
      </c>
      <c r="F22" s="1268">
        <f>'16วัสดุไฟฟ้าและวิทยุ'!L29</f>
        <v>9510</v>
      </c>
      <c r="G22" s="1268">
        <f>'16วัสดุไฟฟ้าและวิทยุ'!O29</f>
        <v>50410</v>
      </c>
      <c r="H22" s="1268">
        <f>'16วัสดุไฟฟ้าและวิทยุ'!Q29</f>
        <v>18310</v>
      </c>
      <c r="I22" s="1268">
        <f>'16วัสดุไฟฟ้าและวิทยุ'!S29</f>
        <v>6200</v>
      </c>
      <c r="J22" s="1268">
        <f>'16วัสดุไฟฟ้าและวิทยุ'!U29</f>
        <v>12710</v>
      </c>
      <c r="K22" s="1268">
        <f>'16วัสดุไฟฟ้าและวิทยุ'!W29</f>
        <v>13190</v>
      </c>
      <c r="L22" s="1268">
        <f>'16วัสดุไฟฟ้าและวิทยุ'!Y29</f>
        <v>50410</v>
      </c>
      <c r="M22" s="1269" t="str">
        <f t="shared" si="0"/>
        <v>ok</v>
      </c>
      <c r="N22" s="1270">
        <f t="shared" si="1"/>
        <v>132551.1</v>
      </c>
      <c r="O22" s="1271">
        <f t="shared" si="3"/>
        <v>44183.700000000004</v>
      </c>
      <c r="P22" s="1272">
        <f t="shared" si="2"/>
        <v>-6226.2999999999956</v>
      </c>
      <c r="Q22" s="1273">
        <f t="shared" si="4"/>
        <v>-14.091848351315067</v>
      </c>
    </row>
    <row r="23" spans="1:17" x14ac:dyDescent="0.6">
      <c r="A23" s="1266">
        <v>17</v>
      </c>
      <c r="B23" s="1277" t="s">
        <v>584</v>
      </c>
      <c r="C23" s="1268">
        <f>'17วัสดุเชื้อเพลิงและหล่อลื่น'!E9</f>
        <v>598102</v>
      </c>
      <c r="D23" s="1268">
        <f>'17วัสดุเชื้อเพลิงและหล่อลื่น'!G9</f>
        <v>654554</v>
      </c>
      <c r="E23" s="1268">
        <f>'17วัสดุเชื้อเพลิงและหล่อลื่น'!I9</f>
        <v>746177</v>
      </c>
      <c r="F23" s="1268">
        <f>'17วัสดุเชื้อเพลิงและหล่อลื่น'!L9</f>
        <v>0</v>
      </c>
      <c r="G23" s="1268">
        <f>'17วัสดุเชื้อเพลิงและหล่อลื่น'!O9</f>
        <v>792000</v>
      </c>
      <c r="H23" s="1268">
        <f>'17วัสดุเชื้อเพลิงและหล่อลื่น'!Q9</f>
        <v>198000</v>
      </c>
      <c r="I23" s="1268">
        <f>'17วัสดุเชื้อเพลิงและหล่อลื่น'!S9</f>
        <v>198000</v>
      </c>
      <c r="J23" s="1268">
        <f>'17วัสดุเชื้อเพลิงและหล่อลื่น'!U9</f>
        <v>198000</v>
      </c>
      <c r="K23" s="1268">
        <f>'17วัสดุเชื้อเพลิงและหล่อลื่น'!W9</f>
        <v>198000</v>
      </c>
      <c r="L23" s="1268">
        <f>'17วัสดุเชื้อเพลิงและหล่อลื่น'!Y9</f>
        <v>792000</v>
      </c>
      <c r="M23" s="1269" t="str">
        <f t="shared" si="0"/>
        <v>ok</v>
      </c>
      <c r="N23" s="1270">
        <f t="shared" si="1"/>
        <v>1998833</v>
      </c>
      <c r="O23" s="1271">
        <f t="shared" si="3"/>
        <v>666277.66666666663</v>
      </c>
      <c r="P23" s="1272">
        <f t="shared" si="2"/>
        <v>-125722.33333333337</v>
      </c>
      <c r="Q23" s="1273">
        <f t="shared" si="4"/>
        <v>-18.869360271718556</v>
      </c>
    </row>
    <row r="24" spans="1:17" s="1280" customFormat="1" x14ac:dyDescent="0.6">
      <c r="A24" s="1279">
        <v>18</v>
      </c>
      <c r="B24" s="1277" t="s">
        <v>604</v>
      </c>
      <c r="C24" s="1268">
        <f>'18ค่าสาธารณูปโภค'!E12</f>
        <v>1297456.2</v>
      </c>
      <c r="D24" s="1268">
        <f>'18ค่าสาธารณูปโภค'!G12</f>
        <v>1380466.69</v>
      </c>
      <c r="E24" s="1268">
        <f>'18ค่าสาธารณูปโภค'!I12</f>
        <v>1363993.98</v>
      </c>
      <c r="F24" s="1268">
        <f>'18ค่าสาธารณูปโภค'!L12</f>
        <v>0</v>
      </c>
      <c r="G24" s="1268">
        <f>'18ค่าสาธารณูปโภค'!O12</f>
        <v>1434000</v>
      </c>
      <c r="H24" s="1268">
        <f>'18ค่าสาธารณูปโภค'!Q12</f>
        <v>358500</v>
      </c>
      <c r="I24" s="1268">
        <f>'18ค่าสาธารณูปโภค'!S12</f>
        <v>358500</v>
      </c>
      <c r="J24" s="1268">
        <f>'18ค่าสาธารณูปโภค'!U12</f>
        <v>358500</v>
      </c>
      <c r="K24" s="1268">
        <f>'18ค่าสาธารณูปโภค'!W12</f>
        <v>358500</v>
      </c>
      <c r="L24" s="1268">
        <f>'18ค่าสาธารณูปโภค'!Y12</f>
        <v>1434000</v>
      </c>
      <c r="M24" s="1269" t="str">
        <f t="shared" si="0"/>
        <v>ok</v>
      </c>
      <c r="N24" s="1270">
        <f t="shared" si="1"/>
        <v>4041916.8699999996</v>
      </c>
      <c r="O24" s="1271">
        <f t="shared" si="3"/>
        <v>1347305.6233333333</v>
      </c>
      <c r="P24" s="1278">
        <f t="shared" si="2"/>
        <v>-86694.376666666707</v>
      </c>
      <c r="Q24" s="1273">
        <f t="shared" si="4"/>
        <v>-6.4346481722668418</v>
      </c>
    </row>
    <row r="25" spans="1:17" x14ac:dyDescent="0.6">
      <c r="A25" s="1266">
        <v>19</v>
      </c>
      <c r="B25" s="1277" t="s">
        <v>34</v>
      </c>
      <c r="C25" s="1268">
        <f>'19ค่าใช้สอย'!E45</f>
        <v>2912622.06</v>
      </c>
      <c r="D25" s="1268">
        <f>'19ค่าใช้สอย'!G45</f>
        <v>3648991.14</v>
      </c>
      <c r="E25" s="1268">
        <f>'19ค่าใช้สอย'!I45</f>
        <v>5094341.7319999998</v>
      </c>
      <c r="F25" s="1268">
        <f>'19ค่าใช้สอย'!L45</f>
        <v>0</v>
      </c>
      <c r="G25" s="1268">
        <f>'19ค่าใช้สอย'!O45</f>
        <v>6443516.1519999998</v>
      </c>
      <c r="H25" s="1268">
        <f>'19ค่าใช้สอย'!Q45</f>
        <v>1987929.0379999999</v>
      </c>
      <c r="I25" s="1268">
        <f>'19ค่าใช้สอย'!S45</f>
        <v>1566029.0379999999</v>
      </c>
      <c r="J25" s="1268">
        <f>'19ค่าใช้สอย'!U45</f>
        <v>1466029.0379999999</v>
      </c>
      <c r="K25" s="1268">
        <f>'19ค่าใช้สอย'!W45</f>
        <v>1423529.0379999999</v>
      </c>
      <c r="L25" s="1268">
        <f>'19ค่าใช้สอย'!Y45</f>
        <v>6443516.1519999998</v>
      </c>
      <c r="M25" s="1269" t="str">
        <f t="shared" si="0"/>
        <v>ok</v>
      </c>
      <c r="N25" s="1270">
        <f t="shared" si="1"/>
        <v>11655954.932</v>
      </c>
      <c r="O25" s="1271">
        <f t="shared" si="3"/>
        <v>3885318.3106666668</v>
      </c>
      <c r="P25" s="1272">
        <f t="shared" si="2"/>
        <v>-2558197.8413333329</v>
      </c>
      <c r="Q25" s="1273">
        <f t="shared" si="4"/>
        <v>-65.842683579106335</v>
      </c>
    </row>
    <row r="26" spans="1:17" x14ac:dyDescent="0.6">
      <c r="A26" s="1266">
        <v>20</v>
      </c>
      <c r="B26" s="1277" t="s">
        <v>7388</v>
      </c>
      <c r="C26" s="1268">
        <f>'20สิ่งก่อสร้าง'!E18</f>
        <v>0</v>
      </c>
      <c r="D26" s="1268">
        <f>'20สิ่งก่อสร้าง'!G18</f>
        <v>0</v>
      </c>
      <c r="E26" s="1268">
        <f>'20สิ่งก่อสร้าง'!I18</f>
        <v>0</v>
      </c>
      <c r="F26" s="1268">
        <f>'20สิ่งก่อสร้าง'!L18</f>
        <v>0</v>
      </c>
      <c r="G26" s="1268">
        <f>'20สิ่งก่อสร้าง'!O18</f>
        <v>10960000</v>
      </c>
      <c r="H26" s="1268">
        <f>'20สิ่งก่อสร้าง'!Q18</f>
        <v>10960000</v>
      </c>
      <c r="I26" s="1268">
        <f>'20สิ่งก่อสร้าง'!S18</f>
        <v>0</v>
      </c>
      <c r="J26" s="1268">
        <f>'20สิ่งก่อสร้าง'!U18</f>
        <v>0</v>
      </c>
      <c r="K26" s="1268">
        <f>'20สิ่งก่อสร้าง'!W18</f>
        <v>0</v>
      </c>
      <c r="L26" s="1268">
        <f>'20สิ่งก่อสร้าง'!Y18</f>
        <v>10960000</v>
      </c>
      <c r="M26" s="1269" t="str">
        <f t="shared" si="0"/>
        <v>ok</v>
      </c>
      <c r="N26" s="1270">
        <f t="shared" si="1"/>
        <v>0</v>
      </c>
      <c r="O26" s="1271">
        <f t="shared" si="3"/>
        <v>0</v>
      </c>
      <c r="P26" s="1272">
        <f t="shared" si="2"/>
        <v>-10960000</v>
      </c>
      <c r="Q26" s="1273"/>
    </row>
    <row r="27" spans="1:17" ht="21" customHeight="1" x14ac:dyDescent="0.6">
      <c r="A27" s="1266">
        <v>21</v>
      </c>
      <c r="B27" s="1281" t="s">
        <v>7762</v>
      </c>
      <c r="C27" s="1268">
        <f>'21โครงการ'!D15</f>
        <v>0</v>
      </c>
      <c r="D27" s="1268">
        <f>'21โครงการ'!G15</f>
        <v>0</v>
      </c>
      <c r="E27" s="1268">
        <f>'21โครงการ'!I15</f>
        <v>0</v>
      </c>
      <c r="F27" s="1268">
        <f>'21โครงการ'!L15</f>
        <v>0</v>
      </c>
      <c r="G27" s="1268">
        <f>'21โครงการ'!O15</f>
        <v>0</v>
      </c>
      <c r="H27" s="1268">
        <f>'21โครงการ'!Q15</f>
        <v>0</v>
      </c>
      <c r="I27" s="1268">
        <f>'21โครงการ'!S15</f>
        <v>0</v>
      </c>
      <c r="J27" s="1268">
        <f>'21โครงการ'!U15</f>
        <v>0</v>
      </c>
      <c r="K27" s="1268">
        <f>'21โครงการ'!W15</f>
        <v>0</v>
      </c>
      <c r="L27" s="1268">
        <f>'21โครงการ'!Y15</f>
        <v>0</v>
      </c>
      <c r="M27" s="1269" t="str">
        <f t="shared" si="0"/>
        <v>ok</v>
      </c>
      <c r="N27" s="1270">
        <f t="shared" si="1"/>
        <v>0</v>
      </c>
      <c r="O27" s="1271">
        <f t="shared" si="3"/>
        <v>0</v>
      </c>
      <c r="P27" s="1272">
        <f t="shared" si="2"/>
        <v>0</v>
      </c>
      <c r="Q27" s="1273"/>
    </row>
    <row r="28" spans="1:17" x14ac:dyDescent="0.6">
      <c r="A28" s="1266">
        <v>22</v>
      </c>
      <c r="B28" s="1277" t="s">
        <v>7125</v>
      </c>
      <c r="C28" s="1268">
        <f>'22ครุภัณฑ์สำนักงาน'!E20</f>
        <v>184000</v>
      </c>
      <c r="D28" s="1268">
        <f>'22ครุภัณฑ์สำนักงาน'!G20</f>
        <v>421200</v>
      </c>
      <c r="E28" s="1268">
        <f>'22ครุภัณฑ์สำนักงาน'!I20</f>
        <v>218400</v>
      </c>
      <c r="F28" s="1268">
        <f>'22ครุภัณฑ์สำนักงาน'!L20</f>
        <v>0</v>
      </c>
      <c r="G28" s="1268">
        <f>'22ครุภัณฑ์สำนักงาน'!O20</f>
        <v>173750</v>
      </c>
      <c r="H28" s="1268">
        <f>'22ครุภัณฑ์สำนักงาน'!Q20</f>
        <v>146250</v>
      </c>
      <c r="I28" s="1268">
        <f>'22ครุภัณฑ์สำนักงาน'!S20</f>
        <v>27500</v>
      </c>
      <c r="J28" s="1268">
        <f>'22ครุภัณฑ์สำนักงาน'!U20</f>
        <v>0</v>
      </c>
      <c r="K28" s="1268">
        <f>'22ครุภัณฑ์สำนักงาน'!W20</f>
        <v>0</v>
      </c>
      <c r="L28" s="1268">
        <f>'22ครุภัณฑ์สำนักงาน'!Y20</f>
        <v>173750</v>
      </c>
      <c r="M28" s="1269" t="str">
        <f t="shared" si="0"/>
        <v>ok</v>
      </c>
      <c r="N28" s="1270">
        <f t="shared" si="1"/>
        <v>823600</v>
      </c>
      <c r="O28" s="1271">
        <f t="shared" si="3"/>
        <v>274533.33333333331</v>
      </c>
      <c r="P28" s="1272">
        <f t="shared" si="2"/>
        <v>100783.33333333331</v>
      </c>
      <c r="Q28" s="1273">
        <f t="shared" si="4"/>
        <v>36.71078193297717</v>
      </c>
    </row>
    <row r="29" spans="1:17" x14ac:dyDescent="0.6">
      <c r="A29" s="1266">
        <v>23</v>
      </c>
      <c r="B29" s="1277" t="s">
        <v>7173</v>
      </c>
      <c r="C29" s="1268">
        <f>'23ครุภัณฑ์คอมพิวเตอร์'!D14</f>
        <v>17</v>
      </c>
      <c r="D29" s="1268">
        <f>'23ครุภัณฑ์คอมพิวเตอร์'!G14</f>
        <v>205700</v>
      </c>
      <c r="E29" s="1268">
        <f>'23ครุภัณฑ์คอมพิวเตอร์'!I14</f>
        <v>319700</v>
      </c>
      <c r="F29" s="1268">
        <f>'23ครุภัณฑ์คอมพิวเตอร์'!L14</f>
        <v>0</v>
      </c>
      <c r="G29" s="1268">
        <f>'23ครุภัณฑ์คอมพิวเตอร์'!O14</f>
        <v>141300</v>
      </c>
      <c r="H29" s="1268">
        <f>'23ครุภัณฑ์คอมพิวเตอร์'!Q14</f>
        <v>96000</v>
      </c>
      <c r="I29" s="1268">
        <f>'23ครุภัณฑ์คอมพิวเตอร์'!S14</f>
        <v>45300</v>
      </c>
      <c r="J29" s="1268">
        <f>'23ครุภัณฑ์คอมพิวเตอร์'!U14</f>
        <v>0</v>
      </c>
      <c r="K29" s="1268">
        <f>'23ครุภัณฑ์คอมพิวเตอร์'!W14</f>
        <v>0</v>
      </c>
      <c r="L29" s="1268">
        <f>'23ครุภัณฑ์คอมพิวเตอร์'!Y14</f>
        <v>141300</v>
      </c>
      <c r="M29" s="1269" t="str">
        <f t="shared" si="0"/>
        <v>ok</v>
      </c>
      <c r="N29" s="1270">
        <f t="shared" si="1"/>
        <v>525417</v>
      </c>
      <c r="O29" s="1271">
        <f t="shared" si="3"/>
        <v>175139</v>
      </c>
      <c r="P29" s="1272">
        <f t="shared" si="2"/>
        <v>33839</v>
      </c>
      <c r="Q29" s="1273">
        <f t="shared" si="4"/>
        <v>19.321224855686054</v>
      </c>
    </row>
    <row r="30" spans="1:17" x14ac:dyDescent="0.6">
      <c r="A30" s="1266">
        <v>24</v>
      </c>
      <c r="B30" s="1277" t="s">
        <v>7643</v>
      </c>
      <c r="C30" s="1268">
        <f>'24ครุภัณฑ์วิทยาศาสตร์'!E33</f>
        <v>406500</v>
      </c>
      <c r="D30" s="1268">
        <f>'24ครุภัณฑ์วิทยาศาสตร์'!G33</f>
        <v>221000</v>
      </c>
      <c r="E30" s="1268">
        <f>'24ครุภัณฑ์วิทยาศาสตร์'!I33</f>
        <v>243500</v>
      </c>
      <c r="F30" s="1268">
        <f>'24ครุภัณฑ์วิทยาศาสตร์'!L33</f>
        <v>1431500</v>
      </c>
      <c r="G30" s="1268">
        <f>'24ครุภัณฑ์วิทยาศาสตร์'!O33</f>
        <v>1267600</v>
      </c>
      <c r="H30" s="1268">
        <f>'24ครุภัณฑ์วิทยาศาสตร์'!Q33</f>
        <v>292600</v>
      </c>
      <c r="I30" s="1268">
        <f>'24ครุภัณฑ์วิทยาศาสตร์'!S33</f>
        <v>975000</v>
      </c>
      <c r="J30" s="1268">
        <f>'24ครุภัณฑ์วิทยาศาสตร์'!U33</f>
        <v>0</v>
      </c>
      <c r="K30" s="1268">
        <f>'24ครุภัณฑ์วิทยาศาสตร์'!W33</f>
        <v>0</v>
      </c>
      <c r="L30" s="1268">
        <f>'24ครุภัณฑ์วิทยาศาสตร์'!Y33</f>
        <v>1267600</v>
      </c>
      <c r="M30" s="1269" t="str">
        <f t="shared" si="0"/>
        <v>ok</v>
      </c>
      <c r="N30" s="1270">
        <f t="shared" si="1"/>
        <v>871000</v>
      </c>
      <c r="O30" s="1271">
        <f t="shared" si="3"/>
        <v>290333.33333333331</v>
      </c>
      <c r="P30" s="1272">
        <f t="shared" si="2"/>
        <v>-977266.66666666674</v>
      </c>
      <c r="Q30" s="1273">
        <f t="shared" si="4"/>
        <v>-336.60160734787604</v>
      </c>
    </row>
    <row r="31" spans="1:17" x14ac:dyDescent="0.6">
      <c r="A31" s="1266">
        <v>25</v>
      </c>
      <c r="B31" s="1277" t="s">
        <v>7143</v>
      </c>
      <c r="C31" s="1268">
        <f>'25ครุภัณฑ์โฆษณาและเผยแพร่'!E18</f>
        <v>0</v>
      </c>
      <c r="D31" s="1268">
        <f>'25ครุภัณฑ์โฆษณาและเผยแพร่'!G18</f>
        <v>0</v>
      </c>
      <c r="E31" s="1268">
        <f>'25ครุภัณฑ์โฆษณาและเผยแพร่'!I18</f>
        <v>0</v>
      </c>
      <c r="F31" s="1268">
        <f>'25ครุภัณฑ์โฆษณาและเผยแพร่'!L18</f>
        <v>0</v>
      </c>
      <c r="G31" s="1268">
        <f>'25ครุภัณฑ์โฆษณาและเผยแพร่'!O18</f>
        <v>0</v>
      </c>
      <c r="H31" s="1268">
        <f>'25ครุภัณฑ์โฆษณาและเผยแพร่'!Q18</f>
        <v>0</v>
      </c>
      <c r="I31" s="1268">
        <f>'25ครุภัณฑ์โฆษณาและเผยแพร่'!S18</f>
        <v>0</v>
      </c>
      <c r="J31" s="1268">
        <f>'25ครุภัณฑ์โฆษณาและเผยแพร่'!U18</f>
        <v>0</v>
      </c>
      <c r="K31" s="1268">
        <f>'25ครุภัณฑ์โฆษณาและเผยแพร่'!W18</f>
        <v>0</v>
      </c>
      <c r="L31" s="1268">
        <f>'25ครุภัณฑ์โฆษณาและเผยแพร่'!Y18</f>
        <v>0</v>
      </c>
      <c r="M31" s="1269" t="str">
        <f t="shared" si="0"/>
        <v>ok</v>
      </c>
      <c r="N31" s="1270">
        <f t="shared" si="1"/>
        <v>0</v>
      </c>
      <c r="O31" s="1271">
        <f t="shared" si="3"/>
        <v>0</v>
      </c>
      <c r="P31" s="1272">
        <f t="shared" si="2"/>
        <v>0</v>
      </c>
      <c r="Q31" s="1273"/>
    </row>
    <row r="32" spans="1:17" x14ac:dyDescent="0.6">
      <c r="A32" s="1266">
        <v>26</v>
      </c>
      <c r="B32" s="1277" t="s">
        <v>7137</v>
      </c>
      <c r="C32" s="1268">
        <f>'26ครุภัณฑ์ไฟฟ้าและวิทยุ'!E9</f>
        <v>0</v>
      </c>
      <c r="D32" s="1268">
        <f>'26ครุภัณฑ์ไฟฟ้าและวิทยุ'!G9</f>
        <v>0</v>
      </c>
      <c r="E32" s="1268">
        <f>'26ครุภัณฑ์ไฟฟ้าและวิทยุ'!I9</f>
        <v>0</v>
      </c>
      <c r="F32" s="1268">
        <f>'26ครุภัณฑ์ไฟฟ้าและวิทยุ'!L9</f>
        <v>0</v>
      </c>
      <c r="G32" s="1268">
        <f>'26ครุภัณฑ์ไฟฟ้าและวิทยุ'!O9</f>
        <v>4500</v>
      </c>
      <c r="H32" s="1268">
        <f>'26ครุภัณฑ์ไฟฟ้าและวิทยุ'!Q9</f>
        <v>4500</v>
      </c>
      <c r="I32" s="1268">
        <f>'26ครุภัณฑ์ไฟฟ้าและวิทยุ'!S9</f>
        <v>0</v>
      </c>
      <c r="J32" s="1268">
        <f>'26ครุภัณฑ์ไฟฟ้าและวิทยุ'!U9</f>
        <v>0</v>
      </c>
      <c r="K32" s="1268">
        <f>'26ครุภัณฑ์ไฟฟ้าและวิทยุ'!W9</f>
        <v>0</v>
      </c>
      <c r="L32" s="1268">
        <f>'26ครุภัณฑ์ไฟฟ้าและวิทยุ'!Y9</f>
        <v>4500</v>
      </c>
      <c r="M32" s="1269" t="str">
        <f t="shared" si="0"/>
        <v>ok</v>
      </c>
      <c r="N32" s="1270">
        <f t="shared" si="1"/>
        <v>0</v>
      </c>
      <c r="O32" s="1271">
        <f t="shared" si="3"/>
        <v>0</v>
      </c>
      <c r="P32" s="1272">
        <f t="shared" si="2"/>
        <v>-4500</v>
      </c>
      <c r="Q32" s="1273"/>
    </row>
    <row r="33" spans="1:17" x14ac:dyDescent="0.6">
      <c r="A33" s="1266">
        <v>27</v>
      </c>
      <c r="B33" s="1277" t="s">
        <v>7185</v>
      </c>
      <c r="C33" s="1268">
        <f>'27ครุภัณฑ์งานบ้านงานครัว'!E14</f>
        <v>0</v>
      </c>
      <c r="D33" s="1268">
        <f>'27ครุภัณฑ์งานบ้านงานครัว'!G14</f>
        <v>0</v>
      </c>
      <c r="E33" s="1268">
        <f>'27ครุภัณฑ์งานบ้านงานครัว'!I14</f>
        <v>0</v>
      </c>
      <c r="F33" s="1268">
        <f>'27ครุภัณฑ์งานบ้านงานครัว'!L14</f>
        <v>0</v>
      </c>
      <c r="G33" s="1268">
        <f>'27ครุภัณฑ์งานบ้านงานครัว'!O14</f>
        <v>460600</v>
      </c>
      <c r="H33" s="1268">
        <f>'27ครุภัณฑ์งานบ้านงานครัว'!Q14</f>
        <v>447000</v>
      </c>
      <c r="I33" s="1268">
        <f>'27ครุภัณฑ์งานบ้านงานครัว'!S14</f>
        <v>0</v>
      </c>
      <c r="J33" s="1268">
        <f>'27ครุภัณฑ์งานบ้านงานครัว'!U14</f>
        <v>8000</v>
      </c>
      <c r="K33" s="1268">
        <f>'27ครุภัณฑ์งานบ้านงานครัว'!W14</f>
        <v>0</v>
      </c>
      <c r="L33" s="1268">
        <f>'27ครุภัณฑ์งานบ้านงานครัว'!Y14</f>
        <v>460600</v>
      </c>
      <c r="M33" s="1269" t="str">
        <f t="shared" si="0"/>
        <v>ok</v>
      </c>
      <c r="N33" s="1270">
        <f t="shared" si="1"/>
        <v>0</v>
      </c>
      <c r="O33" s="1271">
        <f t="shared" si="3"/>
        <v>0</v>
      </c>
      <c r="P33" s="1272">
        <f t="shared" si="2"/>
        <v>-460600</v>
      </c>
      <c r="Q33" s="1273"/>
    </row>
    <row r="34" spans="1:17" x14ac:dyDescent="0.6">
      <c r="A34" s="1266">
        <v>28</v>
      </c>
      <c r="B34" s="1277" t="s">
        <v>7149</v>
      </c>
      <c r="C34" s="1268">
        <f>'28ครุภัณฑ์การเกษตร'!E18</f>
        <v>0</v>
      </c>
      <c r="D34" s="1268">
        <f>'28ครุภัณฑ์การเกษตร'!G18</f>
        <v>0</v>
      </c>
      <c r="E34" s="1268">
        <f>'28ครุภัณฑ์การเกษตร'!I18</f>
        <v>0</v>
      </c>
      <c r="F34" s="1268">
        <f>'28ครุภัณฑ์การเกษตร'!L18</f>
        <v>0</v>
      </c>
      <c r="G34" s="1268">
        <f>'28ครุภัณฑ์การเกษตร'!O18</f>
        <v>0</v>
      </c>
      <c r="H34" s="1268">
        <f>'28ครุภัณฑ์การเกษตร'!Q18</f>
        <v>0</v>
      </c>
      <c r="I34" s="1268">
        <f>'28ครุภัณฑ์การเกษตร'!S18</f>
        <v>0</v>
      </c>
      <c r="J34" s="1268">
        <f>'28ครุภัณฑ์การเกษตร'!U18</f>
        <v>0</v>
      </c>
      <c r="K34" s="1268">
        <f>'28ครุภัณฑ์การเกษตร'!W18</f>
        <v>0</v>
      </c>
      <c r="L34" s="1268">
        <f>'28ครุภัณฑ์การเกษตร'!Y18</f>
        <v>0</v>
      </c>
      <c r="M34" s="1269" t="str">
        <f t="shared" si="0"/>
        <v>ok</v>
      </c>
      <c r="N34" s="1270">
        <f t="shared" si="1"/>
        <v>0</v>
      </c>
      <c r="O34" s="1271">
        <f t="shared" si="3"/>
        <v>0</v>
      </c>
      <c r="P34" s="1272">
        <f t="shared" si="2"/>
        <v>0</v>
      </c>
      <c r="Q34" s="1273"/>
    </row>
    <row r="35" spans="1:17" x14ac:dyDescent="0.6">
      <c r="A35" s="1266">
        <v>29</v>
      </c>
      <c r="B35" s="1277" t="s">
        <v>7161</v>
      </c>
      <c r="C35" s="1268">
        <f>'29ครุภัณฑ์ก่อสร้าง'!E9</f>
        <v>0</v>
      </c>
      <c r="D35" s="1268">
        <f>'29ครุภัณฑ์ก่อสร้าง'!G9</f>
        <v>0</v>
      </c>
      <c r="E35" s="1268">
        <f>'29ครุภัณฑ์ก่อสร้าง'!I9</f>
        <v>0</v>
      </c>
      <c r="F35" s="1268">
        <f>'29ครุภัณฑ์ก่อสร้าง'!L9</f>
        <v>0</v>
      </c>
      <c r="G35" s="1268">
        <f>'29ครุภัณฑ์ก่อสร้าง'!O9</f>
        <v>4500</v>
      </c>
      <c r="H35" s="1268">
        <f>'29ครุภัณฑ์ก่อสร้าง'!Q9</f>
        <v>4500</v>
      </c>
      <c r="I35" s="1268">
        <f>'29ครุภัณฑ์ก่อสร้าง'!S9</f>
        <v>0</v>
      </c>
      <c r="J35" s="1268">
        <f>'29ครุภัณฑ์ก่อสร้าง'!U9</f>
        <v>0</v>
      </c>
      <c r="K35" s="1268">
        <f>'29ครุภัณฑ์ก่อสร้าง'!W9</f>
        <v>0</v>
      </c>
      <c r="L35" s="1268">
        <f>'29ครุภัณฑ์ก่อสร้าง'!Y9</f>
        <v>4500</v>
      </c>
      <c r="M35" s="1269" t="str">
        <f t="shared" si="0"/>
        <v>ok</v>
      </c>
      <c r="N35" s="1270">
        <f t="shared" si="1"/>
        <v>0</v>
      </c>
      <c r="O35" s="1271">
        <f t="shared" si="3"/>
        <v>0</v>
      </c>
      <c r="P35" s="1272">
        <f t="shared" si="2"/>
        <v>-4500</v>
      </c>
      <c r="Q35" s="1273"/>
    </row>
    <row r="36" spans="1:17" x14ac:dyDescent="0.6">
      <c r="A36" s="1266">
        <v>30</v>
      </c>
      <c r="B36" s="1277" t="s">
        <v>7131</v>
      </c>
      <c r="C36" s="1268">
        <f>'30ครุภัณฑ์ยานพาหนะและขนส่ง'!E18</f>
        <v>0</v>
      </c>
      <c r="D36" s="1268">
        <f>'30ครุภัณฑ์ยานพาหนะและขนส่ง'!F18</f>
        <v>0</v>
      </c>
      <c r="E36" s="1268">
        <f>'30ครุภัณฑ์ยานพาหนะและขนส่ง'!G18</f>
        <v>0</v>
      </c>
      <c r="F36" s="1268">
        <f>'30ครุภัณฑ์ยานพาหนะและขนส่ง'!H18</f>
        <v>0</v>
      </c>
      <c r="G36" s="1268">
        <f>'30ครุภัณฑ์ยานพาหนะและขนส่ง'!I18</f>
        <v>0</v>
      </c>
      <c r="H36" s="1268">
        <f>'30ครุภัณฑ์ยานพาหนะและขนส่ง'!J18</f>
        <v>0</v>
      </c>
      <c r="I36" s="1268">
        <f>'30ครุภัณฑ์ยานพาหนะและขนส่ง'!K18</f>
        <v>0</v>
      </c>
      <c r="J36" s="1268">
        <f>'30ครุภัณฑ์ยานพาหนะและขนส่ง'!L18</f>
        <v>0</v>
      </c>
      <c r="K36" s="1268">
        <f>'30ครุภัณฑ์ยานพาหนะและขนส่ง'!M18</f>
        <v>0</v>
      </c>
      <c r="L36" s="1268">
        <f>'30ครุภัณฑ์ยานพาหนะและขนส่ง'!N18</f>
        <v>0</v>
      </c>
      <c r="M36" s="1269" t="str">
        <f t="shared" si="0"/>
        <v>ok</v>
      </c>
      <c r="N36" s="1270">
        <f t="shared" si="1"/>
        <v>0</v>
      </c>
      <c r="O36" s="1271">
        <f t="shared" si="3"/>
        <v>0</v>
      </c>
      <c r="P36" s="1278">
        <f t="shared" si="2"/>
        <v>0</v>
      </c>
      <c r="Q36" s="1273"/>
    </row>
    <row r="37" spans="1:17" s="1284" customFormat="1" ht="20.25" customHeight="1" x14ac:dyDescent="0.6">
      <c r="A37" s="1282" t="s">
        <v>7433</v>
      </c>
      <c r="B37" s="1282"/>
      <c r="C37" s="1283">
        <f>SUM(C7:C36)</f>
        <v>15543087.035999997</v>
      </c>
      <c r="D37" s="1283">
        <f t="shared" ref="D37:L37" si="5">SUM(D7:D36)</f>
        <v>18304292.502</v>
      </c>
      <c r="E37" s="1283">
        <f t="shared" si="5"/>
        <v>23079532.296999998</v>
      </c>
      <c r="F37" s="1283">
        <f t="shared" si="5"/>
        <v>4427471.5329999998</v>
      </c>
      <c r="G37" s="1283">
        <f t="shared" si="5"/>
        <v>38300972.098999999</v>
      </c>
      <c r="H37" s="1283">
        <f t="shared" si="5"/>
        <v>19690334.499749999</v>
      </c>
      <c r="I37" s="1283">
        <f t="shared" si="5"/>
        <v>7429939.9447499998</v>
      </c>
      <c r="J37" s="1283">
        <f t="shared" si="5"/>
        <v>6062423.297749999</v>
      </c>
      <c r="K37" s="1283">
        <f t="shared" si="5"/>
        <v>5102168.3567499993</v>
      </c>
      <c r="L37" s="1283">
        <f t="shared" si="5"/>
        <v>38300972.098999999</v>
      </c>
      <c r="N37" s="1270">
        <f t="shared" si="1"/>
        <v>56926911.834999993</v>
      </c>
      <c r="O37" s="1271">
        <f t="shared" si="3"/>
        <v>18975637.278333332</v>
      </c>
      <c r="P37" s="1278">
        <f t="shared" si="2"/>
        <v>-19325334.820666667</v>
      </c>
      <c r="Q37" s="1273">
        <f t="shared" si="4"/>
        <v>-101.84287640622549</v>
      </c>
    </row>
    <row r="38" spans="1:17" ht="20.25" customHeight="1" x14ac:dyDescent="0.6">
      <c r="A38" s="1285"/>
      <c r="C38" s="1287"/>
      <c r="D38" s="1288"/>
      <c r="E38" s="1288"/>
      <c r="F38" s="1287"/>
      <c r="G38" s="1289"/>
      <c r="H38" s="1289"/>
      <c r="I38" s="1289"/>
      <c r="J38" s="1289"/>
      <c r="K38" s="1289"/>
      <c r="L38" s="1287"/>
    </row>
    <row r="39" spans="1:17" ht="20.25" customHeight="1" x14ac:dyDescent="0.6">
      <c r="A39" s="1285"/>
    </row>
    <row r="40" spans="1:17" ht="20.25" customHeight="1" x14ac:dyDescent="0.6">
      <c r="B40" s="1293" t="s">
        <v>7763</v>
      </c>
      <c r="C40" s="1293"/>
      <c r="D40" s="1293"/>
      <c r="E40" s="1294" t="s">
        <v>7764</v>
      </c>
      <c r="F40" s="1294"/>
      <c r="G40" s="1294"/>
      <c r="H40" s="1270"/>
      <c r="I40" s="1294" t="s">
        <v>7765</v>
      </c>
      <c r="J40" s="1294"/>
      <c r="K40" s="1294"/>
      <c r="L40" s="1294"/>
    </row>
    <row r="41" spans="1:17" ht="20.25" customHeight="1" x14ac:dyDescent="0.6">
      <c r="B41" s="1295" t="s">
        <v>7766</v>
      </c>
      <c r="C41" s="1295"/>
      <c r="D41" s="1295"/>
      <c r="E41" s="1296" t="s">
        <v>7767</v>
      </c>
      <c r="F41" s="1296"/>
      <c r="G41" s="1296"/>
      <c r="H41" s="1270"/>
      <c r="I41" s="1296" t="s">
        <v>7768</v>
      </c>
      <c r="J41" s="1296"/>
      <c r="K41" s="1296"/>
      <c r="L41" s="1296"/>
    </row>
    <row r="42" spans="1:17" ht="20.25" customHeight="1" x14ac:dyDescent="0.6">
      <c r="B42" s="1295" t="s">
        <v>7769</v>
      </c>
      <c r="C42" s="1295"/>
      <c r="D42" s="1295"/>
      <c r="E42" s="1296" t="s">
        <v>7770</v>
      </c>
      <c r="F42" s="1296"/>
      <c r="G42" s="1296"/>
      <c r="H42" s="1270"/>
      <c r="I42" s="1296" t="s">
        <v>7771</v>
      </c>
      <c r="J42" s="1296"/>
      <c r="K42" s="1296"/>
      <c r="L42" s="1296"/>
    </row>
    <row r="43" spans="1:17" ht="20.25" customHeight="1" x14ac:dyDescent="0.6">
      <c r="B43" s="1295" t="s">
        <v>7772</v>
      </c>
      <c r="C43" s="1295"/>
      <c r="D43" s="1295"/>
      <c r="E43" s="1296" t="s">
        <v>7773</v>
      </c>
      <c r="F43" s="1296"/>
      <c r="G43" s="1296"/>
      <c r="H43" s="1270"/>
      <c r="I43" s="1270"/>
    </row>
    <row r="44" spans="1:17" ht="20.25" customHeight="1" x14ac:dyDescent="0.6"/>
    <row r="45" spans="1:17" ht="20.25" customHeight="1" x14ac:dyDescent="0.6"/>
    <row r="46" spans="1:17" ht="20.25" customHeight="1" x14ac:dyDescent="0.6"/>
    <row r="52" spans="1:7" x14ac:dyDescent="0.6">
      <c r="A52" s="258"/>
      <c r="D52" s="1270"/>
      <c r="E52" s="1270"/>
      <c r="G52" s="1270"/>
    </row>
    <row r="53" spans="1:7" x14ac:dyDescent="0.6">
      <c r="A53" s="258"/>
      <c r="D53" s="1270"/>
      <c r="E53" s="1270"/>
      <c r="G53" s="1270"/>
    </row>
    <row r="54" spans="1:7" x14ac:dyDescent="0.6">
      <c r="A54" s="258"/>
      <c r="D54" s="1270"/>
      <c r="E54" s="1270"/>
      <c r="G54" s="1270"/>
    </row>
    <row r="55" spans="1:7" x14ac:dyDescent="0.6">
      <c r="A55" s="258"/>
      <c r="D55" s="1270"/>
      <c r="E55" s="1270"/>
      <c r="G55" s="1270"/>
    </row>
    <row r="56" spans="1:7" x14ac:dyDescent="0.6">
      <c r="A56" s="258"/>
      <c r="D56" s="1270"/>
      <c r="E56" s="1270"/>
      <c r="G56" s="1270"/>
    </row>
    <row r="57" spans="1:7" x14ac:dyDescent="0.6">
      <c r="A57" s="258"/>
      <c r="D57" s="1270"/>
      <c r="E57" s="1270"/>
      <c r="G57" s="1270"/>
    </row>
    <row r="58" spans="1:7" x14ac:dyDescent="0.6">
      <c r="A58" s="258"/>
      <c r="D58" s="1270"/>
      <c r="E58" s="1270"/>
      <c r="G58" s="1270"/>
    </row>
    <row r="59" spans="1:7" x14ac:dyDescent="0.6">
      <c r="A59" s="258"/>
      <c r="D59" s="1270"/>
      <c r="E59" s="1270"/>
      <c r="G59" s="1270"/>
    </row>
    <row r="60" spans="1:7" x14ac:dyDescent="0.6">
      <c r="A60" s="258"/>
      <c r="D60" s="1270"/>
      <c r="E60" s="1270"/>
      <c r="G60" s="1270"/>
    </row>
    <row r="61" spans="1:7" x14ac:dyDescent="0.6">
      <c r="A61" s="258"/>
      <c r="D61" s="1270"/>
      <c r="E61" s="1270"/>
      <c r="G61" s="1270"/>
    </row>
    <row r="62" spans="1:7" x14ac:dyDescent="0.6">
      <c r="A62" s="258"/>
      <c r="D62" s="1270"/>
      <c r="E62" s="1270"/>
      <c r="G62" s="1270"/>
    </row>
    <row r="63" spans="1:7" x14ac:dyDescent="0.6">
      <c r="A63" s="258"/>
      <c r="D63" s="1270"/>
      <c r="E63" s="1270"/>
      <c r="G63" s="1270"/>
    </row>
    <row r="64" spans="1:7" x14ac:dyDescent="0.6">
      <c r="A64" s="258"/>
      <c r="D64" s="1270"/>
      <c r="E64" s="1270"/>
      <c r="G64" s="1270"/>
    </row>
    <row r="65" spans="1:7" x14ac:dyDescent="0.6">
      <c r="A65" s="258"/>
      <c r="D65" s="1270"/>
      <c r="E65" s="1270"/>
      <c r="G65" s="1270"/>
    </row>
    <row r="66" spans="1:7" x14ac:dyDescent="0.6">
      <c r="A66" s="258"/>
      <c r="D66" s="1270"/>
      <c r="E66" s="1270"/>
      <c r="G66" s="1270"/>
    </row>
    <row r="67" spans="1:7" x14ac:dyDescent="0.6">
      <c r="A67" s="258"/>
      <c r="D67" s="1270"/>
      <c r="E67" s="1270"/>
      <c r="G67" s="1270"/>
    </row>
    <row r="68" spans="1:7" x14ac:dyDescent="0.6">
      <c r="A68" s="258"/>
      <c r="D68" s="1270"/>
      <c r="E68" s="1270"/>
      <c r="G68" s="1270"/>
    </row>
    <row r="69" spans="1:7" x14ac:dyDescent="0.6">
      <c r="A69" s="258"/>
      <c r="D69" s="1270"/>
      <c r="E69" s="1270"/>
      <c r="G69" s="1270"/>
    </row>
    <row r="70" spans="1:7" x14ac:dyDescent="0.6">
      <c r="A70" s="258"/>
      <c r="D70" s="1270"/>
      <c r="E70" s="1270"/>
      <c r="G70" s="1270"/>
    </row>
    <row r="71" spans="1:7" x14ac:dyDescent="0.6">
      <c r="A71" s="258"/>
      <c r="D71" s="1270"/>
      <c r="E71" s="1270"/>
      <c r="G71" s="1270"/>
    </row>
    <row r="72" spans="1:7" x14ac:dyDescent="0.6">
      <c r="A72" s="258"/>
      <c r="D72" s="1270"/>
      <c r="E72" s="1270"/>
      <c r="G72" s="1270"/>
    </row>
    <row r="73" spans="1:7" x14ac:dyDescent="0.6">
      <c r="A73" s="258"/>
      <c r="D73" s="1270"/>
      <c r="E73" s="1270"/>
      <c r="G73" s="1270"/>
    </row>
    <row r="74" spans="1:7" x14ac:dyDescent="0.6">
      <c r="A74" s="258"/>
      <c r="D74" s="1270"/>
      <c r="E74" s="1270"/>
      <c r="G74" s="1270"/>
    </row>
    <row r="75" spans="1:7" x14ac:dyDescent="0.6">
      <c r="A75" s="258"/>
      <c r="D75" s="1270"/>
      <c r="E75" s="1270"/>
      <c r="G75" s="1270"/>
    </row>
    <row r="76" spans="1:7" x14ac:dyDescent="0.6">
      <c r="A76" s="258"/>
      <c r="D76" s="1270"/>
      <c r="E76" s="1270"/>
      <c r="G76" s="1270"/>
    </row>
    <row r="77" spans="1:7" x14ac:dyDescent="0.6">
      <c r="A77" s="258"/>
      <c r="D77" s="1270"/>
      <c r="E77" s="1270"/>
      <c r="G77" s="1270"/>
    </row>
    <row r="78" spans="1:7" x14ac:dyDescent="0.6">
      <c r="A78" s="258"/>
      <c r="D78" s="1270"/>
      <c r="E78" s="1270"/>
      <c r="G78" s="1270"/>
    </row>
    <row r="79" spans="1:7" x14ac:dyDescent="0.6">
      <c r="A79" s="258"/>
      <c r="D79" s="1270"/>
      <c r="E79" s="1270"/>
      <c r="G79" s="1270"/>
    </row>
    <row r="80" spans="1:7" x14ac:dyDescent="0.6">
      <c r="A80" s="258"/>
      <c r="D80" s="1270"/>
      <c r="E80" s="1270"/>
      <c r="G80" s="1270"/>
    </row>
    <row r="81" spans="1:7" x14ac:dyDescent="0.6">
      <c r="A81" s="258"/>
      <c r="D81" s="1270"/>
      <c r="E81" s="1270"/>
      <c r="G81" s="1270"/>
    </row>
    <row r="82" spans="1:7" x14ac:dyDescent="0.6">
      <c r="A82" s="258"/>
      <c r="D82" s="1270"/>
      <c r="E82" s="1270"/>
      <c r="G82" s="1270"/>
    </row>
    <row r="83" spans="1:7" x14ac:dyDescent="0.6">
      <c r="A83" s="258"/>
      <c r="D83" s="1270"/>
      <c r="E83" s="1270"/>
      <c r="G83" s="1270"/>
    </row>
    <row r="84" spans="1:7" x14ac:dyDescent="0.6">
      <c r="A84" s="258"/>
      <c r="D84" s="1270"/>
      <c r="E84" s="1270"/>
      <c r="G84" s="1270"/>
    </row>
    <row r="85" spans="1:7" x14ac:dyDescent="0.6">
      <c r="A85" s="258"/>
      <c r="D85" s="1270"/>
      <c r="E85" s="1270"/>
      <c r="G85" s="1270"/>
    </row>
    <row r="86" spans="1:7" x14ac:dyDescent="0.6">
      <c r="A86" s="258"/>
      <c r="D86" s="1270"/>
      <c r="E86" s="1270"/>
      <c r="G86" s="1270"/>
    </row>
    <row r="87" spans="1:7" x14ac:dyDescent="0.6">
      <c r="A87" s="258"/>
      <c r="D87" s="1270"/>
      <c r="E87" s="1270"/>
      <c r="G87" s="1270"/>
    </row>
    <row r="88" spans="1:7" x14ac:dyDescent="0.6">
      <c r="A88" s="258"/>
      <c r="D88" s="1270"/>
      <c r="E88" s="1270"/>
      <c r="G88" s="1270"/>
    </row>
    <row r="89" spans="1:7" x14ac:dyDescent="0.6">
      <c r="A89" s="258"/>
      <c r="D89" s="1270"/>
      <c r="E89" s="1270"/>
      <c r="G89" s="1270"/>
    </row>
    <row r="90" spans="1:7" x14ac:dyDescent="0.6">
      <c r="A90" s="258"/>
      <c r="D90" s="1270"/>
      <c r="E90" s="1270"/>
      <c r="G90" s="1270"/>
    </row>
    <row r="91" spans="1:7" x14ac:dyDescent="0.6">
      <c r="A91" s="258"/>
      <c r="D91" s="1270"/>
      <c r="E91" s="1270"/>
      <c r="G91" s="1270"/>
    </row>
    <row r="92" spans="1:7" x14ac:dyDescent="0.6">
      <c r="A92" s="258"/>
      <c r="D92" s="1270"/>
      <c r="E92" s="1270"/>
      <c r="G92" s="1270"/>
    </row>
    <row r="93" spans="1:7" x14ac:dyDescent="0.6">
      <c r="A93" s="258"/>
      <c r="D93" s="1270"/>
      <c r="E93" s="1270"/>
      <c r="G93" s="1270"/>
    </row>
    <row r="94" spans="1:7" x14ac:dyDescent="0.6">
      <c r="A94" s="258"/>
      <c r="D94" s="1270"/>
      <c r="E94" s="1270"/>
      <c r="G94" s="1270"/>
    </row>
    <row r="95" spans="1:7" x14ac:dyDescent="0.6">
      <c r="A95" s="258"/>
      <c r="D95" s="1270"/>
      <c r="E95" s="1270"/>
      <c r="G95" s="1270"/>
    </row>
    <row r="96" spans="1:7" x14ac:dyDescent="0.6">
      <c r="A96" s="258"/>
      <c r="D96" s="1270"/>
      <c r="E96" s="1270"/>
      <c r="G96" s="1270"/>
    </row>
    <row r="97" spans="1:7" x14ac:dyDescent="0.6">
      <c r="A97" s="258"/>
      <c r="D97" s="1270"/>
      <c r="E97" s="1270"/>
      <c r="G97" s="1270"/>
    </row>
    <row r="98" spans="1:7" x14ac:dyDescent="0.6">
      <c r="A98" s="258"/>
      <c r="D98" s="1270"/>
      <c r="E98" s="1270"/>
      <c r="G98" s="1270"/>
    </row>
    <row r="99" spans="1:7" x14ac:dyDescent="0.6">
      <c r="A99" s="258"/>
      <c r="D99" s="1270"/>
      <c r="E99" s="1270"/>
      <c r="G99" s="1270"/>
    </row>
    <row r="100" spans="1:7" x14ac:dyDescent="0.6">
      <c r="A100" s="258"/>
      <c r="D100" s="1270"/>
      <c r="E100" s="1270"/>
      <c r="G100" s="1270"/>
    </row>
    <row r="101" spans="1:7" x14ac:dyDescent="0.6">
      <c r="A101" s="258"/>
      <c r="D101" s="1270"/>
      <c r="E101" s="1270"/>
      <c r="G101" s="1270"/>
    </row>
    <row r="102" spans="1:7" x14ac:dyDescent="0.6">
      <c r="A102" s="258"/>
      <c r="D102" s="1270"/>
      <c r="E102" s="1270"/>
      <c r="G102" s="1270"/>
    </row>
    <row r="103" spans="1:7" x14ac:dyDescent="0.6">
      <c r="A103" s="258"/>
      <c r="D103" s="1270"/>
      <c r="E103" s="1270"/>
      <c r="G103" s="1270"/>
    </row>
    <row r="104" spans="1:7" x14ac:dyDescent="0.6">
      <c r="A104" s="258"/>
      <c r="D104" s="1270"/>
      <c r="E104" s="1270"/>
      <c r="G104" s="1270"/>
    </row>
    <row r="105" spans="1:7" x14ac:dyDescent="0.6">
      <c r="A105" s="258"/>
      <c r="D105" s="1270"/>
      <c r="E105" s="1270"/>
      <c r="G105" s="1270"/>
    </row>
    <row r="106" spans="1:7" x14ac:dyDescent="0.6">
      <c r="A106" s="258"/>
      <c r="D106" s="1270"/>
      <c r="E106" s="1270"/>
      <c r="G106" s="1270"/>
    </row>
    <row r="107" spans="1:7" x14ac:dyDescent="0.6">
      <c r="A107" s="258"/>
      <c r="D107" s="1270"/>
      <c r="E107" s="1270"/>
      <c r="G107" s="1270"/>
    </row>
    <row r="108" spans="1:7" x14ac:dyDescent="0.6">
      <c r="A108" s="258"/>
      <c r="D108" s="1270"/>
      <c r="E108" s="1270"/>
      <c r="G108" s="1270"/>
    </row>
    <row r="109" spans="1:7" x14ac:dyDescent="0.6">
      <c r="A109" s="258"/>
      <c r="D109" s="1270"/>
      <c r="E109" s="1270"/>
      <c r="G109" s="1270"/>
    </row>
    <row r="110" spans="1:7" x14ac:dyDescent="0.6">
      <c r="A110" s="258"/>
      <c r="D110" s="1270"/>
      <c r="E110" s="1270"/>
      <c r="G110" s="1270"/>
    </row>
    <row r="111" spans="1:7" x14ac:dyDescent="0.6">
      <c r="A111" s="258"/>
      <c r="D111" s="1270"/>
      <c r="E111" s="1270"/>
      <c r="G111" s="1270"/>
    </row>
    <row r="112" spans="1:7" x14ac:dyDescent="0.6">
      <c r="A112" s="258"/>
      <c r="D112" s="1270"/>
      <c r="E112" s="1270"/>
      <c r="G112" s="1270"/>
    </row>
    <row r="113" spans="1:7" x14ac:dyDescent="0.6">
      <c r="A113" s="258"/>
      <c r="D113" s="1270"/>
      <c r="E113" s="1270"/>
      <c r="G113" s="1270"/>
    </row>
    <row r="114" spans="1:7" x14ac:dyDescent="0.6">
      <c r="A114" s="258"/>
      <c r="D114" s="1270"/>
      <c r="E114" s="1270"/>
      <c r="G114" s="1270"/>
    </row>
    <row r="115" spans="1:7" x14ac:dyDescent="0.6">
      <c r="A115" s="258"/>
      <c r="D115" s="1270"/>
      <c r="E115" s="1270"/>
      <c r="G115" s="1270"/>
    </row>
    <row r="116" spans="1:7" x14ac:dyDescent="0.6">
      <c r="A116" s="258"/>
      <c r="D116" s="1270"/>
      <c r="E116" s="1270"/>
      <c r="G116" s="1270"/>
    </row>
    <row r="117" spans="1:7" x14ac:dyDescent="0.6">
      <c r="A117" s="258"/>
      <c r="D117" s="1270"/>
      <c r="E117" s="1270"/>
      <c r="G117" s="1270"/>
    </row>
    <row r="118" spans="1:7" x14ac:dyDescent="0.6">
      <c r="A118" s="258"/>
      <c r="D118" s="1270"/>
      <c r="E118" s="1270"/>
      <c r="G118" s="1270"/>
    </row>
    <row r="119" spans="1:7" x14ac:dyDescent="0.6">
      <c r="A119" s="258"/>
      <c r="D119" s="1270"/>
      <c r="E119" s="1270"/>
      <c r="G119" s="1270"/>
    </row>
    <row r="120" spans="1:7" x14ac:dyDescent="0.6">
      <c r="A120" s="258"/>
      <c r="D120" s="1270"/>
      <c r="E120" s="1270"/>
      <c r="G120" s="1270"/>
    </row>
    <row r="121" spans="1:7" x14ac:dyDescent="0.6">
      <c r="A121" s="258"/>
      <c r="D121" s="1270"/>
      <c r="E121" s="1270"/>
      <c r="G121" s="1270"/>
    </row>
    <row r="122" spans="1:7" x14ac:dyDescent="0.6">
      <c r="A122" s="258"/>
      <c r="D122" s="1270"/>
      <c r="E122" s="1270"/>
      <c r="G122" s="1270"/>
    </row>
    <row r="123" spans="1:7" x14ac:dyDescent="0.6">
      <c r="A123" s="258"/>
      <c r="D123" s="1270"/>
      <c r="E123" s="1270"/>
      <c r="G123" s="1270"/>
    </row>
    <row r="124" spans="1:7" x14ac:dyDescent="0.6">
      <c r="A124" s="258"/>
      <c r="D124" s="1270"/>
      <c r="E124" s="1270"/>
      <c r="G124" s="1270"/>
    </row>
    <row r="125" spans="1:7" x14ac:dyDescent="0.6">
      <c r="A125" s="258"/>
      <c r="D125" s="1270"/>
      <c r="E125" s="1270"/>
      <c r="G125" s="1270"/>
    </row>
    <row r="126" spans="1:7" x14ac:dyDescent="0.6">
      <c r="A126" s="258"/>
      <c r="D126" s="1270"/>
      <c r="E126" s="1270"/>
      <c r="G126" s="1270"/>
    </row>
    <row r="127" spans="1:7" x14ac:dyDescent="0.6">
      <c r="A127" s="258"/>
      <c r="D127" s="1270"/>
      <c r="E127" s="1270"/>
      <c r="G127" s="1270"/>
    </row>
    <row r="128" spans="1:7" x14ac:dyDescent="0.6">
      <c r="A128" s="258"/>
      <c r="D128" s="1270"/>
      <c r="E128" s="1270"/>
      <c r="G128" s="1270"/>
    </row>
    <row r="129" spans="1:7" x14ac:dyDescent="0.6">
      <c r="A129" s="258"/>
      <c r="D129" s="1270"/>
      <c r="E129" s="1270"/>
      <c r="G129" s="1270"/>
    </row>
    <row r="130" spans="1:7" x14ac:dyDescent="0.6">
      <c r="A130" s="258"/>
      <c r="D130" s="1270"/>
      <c r="E130" s="1270"/>
      <c r="G130" s="1270"/>
    </row>
    <row r="131" spans="1:7" x14ac:dyDescent="0.6">
      <c r="A131" s="258"/>
      <c r="D131" s="1270"/>
      <c r="E131" s="1270"/>
      <c r="G131" s="1270"/>
    </row>
    <row r="132" spans="1:7" x14ac:dyDescent="0.6">
      <c r="A132" s="258"/>
      <c r="D132" s="1270"/>
      <c r="E132" s="1270"/>
      <c r="G132" s="1270"/>
    </row>
    <row r="133" spans="1:7" x14ac:dyDescent="0.6">
      <c r="A133" s="258"/>
      <c r="D133" s="1270"/>
      <c r="E133" s="1270"/>
      <c r="G133" s="1270"/>
    </row>
    <row r="134" spans="1:7" x14ac:dyDescent="0.6">
      <c r="A134" s="258"/>
      <c r="D134" s="1270"/>
      <c r="E134" s="1270"/>
      <c r="G134" s="1270"/>
    </row>
    <row r="135" spans="1:7" x14ac:dyDescent="0.6">
      <c r="A135" s="258"/>
      <c r="D135" s="1270"/>
      <c r="E135" s="1270"/>
      <c r="G135" s="1270"/>
    </row>
    <row r="136" spans="1:7" x14ac:dyDescent="0.6">
      <c r="A136" s="258"/>
      <c r="D136" s="1270"/>
      <c r="E136" s="1270"/>
      <c r="G136" s="1270"/>
    </row>
    <row r="137" spans="1:7" x14ac:dyDescent="0.6">
      <c r="A137" s="258"/>
      <c r="D137" s="1270"/>
      <c r="E137" s="1270"/>
      <c r="G137" s="1270"/>
    </row>
    <row r="138" spans="1:7" x14ac:dyDescent="0.6">
      <c r="A138" s="258"/>
      <c r="D138" s="1270"/>
      <c r="E138" s="1270"/>
      <c r="G138" s="1270"/>
    </row>
    <row r="139" spans="1:7" x14ac:dyDescent="0.6">
      <c r="A139" s="258"/>
      <c r="D139" s="1270"/>
      <c r="E139" s="1270"/>
      <c r="G139" s="1270"/>
    </row>
    <row r="140" spans="1:7" x14ac:dyDescent="0.6">
      <c r="A140" s="258"/>
      <c r="D140" s="1270"/>
      <c r="E140" s="1270"/>
      <c r="G140" s="1270"/>
    </row>
    <row r="141" spans="1:7" x14ac:dyDescent="0.6">
      <c r="A141" s="258"/>
      <c r="D141" s="1270"/>
      <c r="E141" s="1270"/>
      <c r="G141" s="1270"/>
    </row>
    <row r="142" spans="1:7" x14ac:dyDescent="0.6">
      <c r="A142" s="258"/>
      <c r="D142" s="1270"/>
      <c r="E142" s="1270"/>
      <c r="G142" s="1270"/>
    </row>
    <row r="143" spans="1:7" x14ac:dyDescent="0.6">
      <c r="A143" s="258"/>
      <c r="D143" s="1270"/>
      <c r="E143" s="1270"/>
      <c r="G143" s="1270"/>
    </row>
    <row r="144" spans="1:7" x14ac:dyDescent="0.6">
      <c r="A144" s="258"/>
      <c r="D144" s="1270"/>
      <c r="E144" s="1270"/>
      <c r="G144" s="1270"/>
    </row>
    <row r="145" spans="1:7" x14ac:dyDescent="0.6">
      <c r="A145" s="258"/>
      <c r="D145" s="1270"/>
      <c r="E145" s="1270"/>
      <c r="G145" s="1270"/>
    </row>
    <row r="146" spans="1:7" x14ac:dyDescent="0.6">
      <c r="A146" s="258"/>
      <c r="D146" s="1270"/>
      <c r="E146" s="1270"/>
      <c r="G146" s="1270"/>
    </row>
    <row r="147" spans="1:7" x14ac:dyDescent="0.6">
      <c r="A147" s="258"/>
      <c r="D147" s="1270"/>
      <c r="E147" s="1270"/>
      <c r="G147" s="1270"/>
    </row>
    <row r="148" spans="1:7" x14ac:dyDescent="0.6">
      <c r="A148" s="258"/>
      <c r="D148" s="1270"/>
      <c r="E148" s="1270"/>
      <c r="G148" s="1270"/>
    </row>
    <row r="149" spans="1:7" x14ac:dyDescent="0.6">
      <c r="A149" s="258"/>
      <c r="D149" s="1270"/>
      <c r="E149" s="1270"/>
      <c r="G149" s="1270"/>
    </row>
    <row r="150" spans="1:7" x14ac:dyDescent="0.6">
      <c r="A150" s="258"/>
      <c r="D150" s="1270"/>
      <c r="E150" s="1270"/>
      <c r="G150" s="1270"/>
    </row>
    <row r="151" spans="1:7" x14ac:dyDescent="0.6">
      <c r="A151" s="258"/>
      <c r="D151" s="1270"/>
      <c r="E151" s="1270"/>
      <c r="G151" s="1270"/>
    </row>
    <row r="152" spans="1:7" x14ac:dyDescent="0.6">
      <c r="A152" s="258"/>
      <c r="D152" s="1270"/>
      <c r="E152" s="1270"/>
      <c r="G152" s="1270"/>
    </row>
    <row r="153" spans="1:7" x14ac:dyDescent="0.6">
      <c r="A153" s="258"/>
      <c r="D153" s="1270"/>
      <c r="E153" s="1270"/>
      <c r="G153" s="1270"/>
    </row>
    <row r="154" spans="1:7" x14ac:dyDescent="0.6">
      <c r="A154" s="258"/>
      <c r="D154" s="1270"/>
      <c r="E154" s="1270"/>
      <c r="G154" s="1270"/>
    </row>
    <row r="155" spans="1:7" x14ac:dyDescent="0.6">
      <c r="A155" s="258"/>
      <c r="D155" s="1270"/>
      <c r="E155" s="1270"/>
      <c r="G155" s="1270"/>
    </row>
    <row r="156" spans="1:7" x14ac:dyDescent="0.6">
      <c r="A156" s="258"/>
      <c r="D156" s="1270"/>
      <c r="E156" s="1270"/>
      <c r="G156" s="1270"/>
    </row>
    <row r="157" spans="1:7" x14ac:dyDescent="0.6">
      <c r="A157" s="258"/>
      <c r="D157" s="1270"/>
      <c r="E157" s="1270"/>
      <c r="G157" s="1270"/>
    </row>
    <row r="158" spans="1:7" x14ac:dyDescent="0.6">
      <c r="A158" s="258"/>
      <c r="D158" s="1270"/>
      <c r="E158" s="1270"/>
      <c r="G158" s="1270"/>
    </row>
    <row r="159" spans="1:7" x14ac:dyDescent="0.6">
      <c r="A159" s="258"/>
      <c r="D159" s="1270"/>
      <c r="E159" s="1270"/>
      <c r="G159" s="1270"/>
    </row>
    <row r="160" spans="1:7" x14ac:dyDescent="0.6">
      <c r="A160" s="258"/>
      <c r="D160" s="1270"/>
      <c r="E160" s="1270"/>
      <c r="G160" s="1270"/>
    </row>
    <row r="161" spans="1:7" x14ac:dyDescent="0.6">
      <c r="A161" s="258"/>
      <c r="D161" s="1270"/>
      <c r="E161" s="1270"/>
      <c r="G161" s="1270"/>
    </row>
    <row r="162" spans="1:7" x14ac:dyDescent="0.6">
      <c r="A162" s="258"/>
      <c r="D162" s="1270"/>
      <c r="E162" s="1270"/>
      <c r="G162" s="1270"/>
    </row>
    <row r="163" spans="1:7" x14ac:dyDescent="0.6">
      <c r="A163" s="258"/>
      <c r="D163" s="1270"/>
      <c r="E163" s="1270"/>
      <c r="G163" s="1270"/>
    </row>
    <row r="164" spans="1:7" x14ac:dyDescent="0.6">
      <c r="A164" s="258"/>
      <c r="D164" s="1270"/>
      <c r="E164" s="1270"/>
      <c r="G164" s="1270"/>
    </row>
    <row r="165" spans="1:7" x14ac:dyDescent="0.6">
      <c r="A165" s="258"/>
      <c r="D165" s="1270"/>
      <c r="E165" s="1270"/>
      <c r="G165" s="1270"/>
    </row>
    <row r="166" spans="1:7" x14ac:dyDescent="0.6">
      <c r="A166" s="258"/>
      <c r="D166" s="1270"/>
      <c r="E166" s="1270"/>
      <c r="G166" s="1270"/>
    </row>
    <row r="167" spans="1:7" x14ac:dyDescent="0.6">
      <c r="A167" s="258"/>
      <c r="D167" s="1270"/>
      <c r="E167" s="1270"/>
      <c r="G167" s="1270"/>
    </row>
    <row r="168" spans="1:7" x14ac:dyDescent="0.6">
      <c r="A168" s="258"/>
      <c r="D168" s="1270"/>
      <c r="E168" s="1270"/>
      <c r="G168" s="1270"/>
    </row>
    <row r="169" spans="1:7" x14ac:dyDescent="0.6">
      <c r="A169" s="258"/>
      <c r="D169" s="1270"/>
      <c r="E169" s="1270"/>
      <c r="G169" s="1270"/>
    </row>
    <row r="170" spans="1:7" x14ac:dyDescent="0.6">
      <c r="A170" s="258"/>
      <c r="D170" s="1270"/>
      <c r="E170" s="1270"/>
      <c r="G170" s="1270"/>
    </row>
    <row r="171" spans="1:7" x14ac:dyDescent="0.6">
      <c r="A171" s="258"/>
      <c r="D171" s="1270"/>
      <c r="E171" s="1270"/>
      <c r="G171" s="1270"/>
    </row>
    <row r="172" spans="1:7" x14ac:dyDescent="0.6">
      <c r="A172" s="258"/>
      <c r="D172" s="1270"/>
      <c r="E172" s="1270"/>
      <c r="G172" s="1270"/>
    </row>
    <row r="173" spans="1:7" x14ac:dyDescent="0.6">
      <c r="A173" s="258"/>
      <c r="D173" s="1270"/>
      <c r="E173" s="1270"/>
      <c r="G173" s="1270"/>
    </row>
    <row r="174" spans="1:7" x14ac:dyDescent="0.6">
      <c r="A174" s="258"/>
      <c r="D174" s="1270"/>
      <c r="E174" s="1270"/>
      <c r="G174" s="1270"/>
    </row>
    <row r="175" spans="1:7" x14ac:dyDescent="0.6">
      <c r="A175" s="258"/>
      <c r="D175" s="1270"/>
      <c r="E175" s="1270"/>
      <c r="G175" s="1270"/>
    </row>
    <row r="176" spans="1:7" x14ac:dyDescent="0.6">
      <c r="A176" s="258"/>
      <c r="D176" s="1270"/>
      <c r="E176" s="1270"/>
      <c r="G176" s="1270"/>
    </row>
    <row r="177" spans="1:7" x14ac:dyDescent="0.6">
      <c r="A177" s="258"/>
      <c r="D177" s="1270"/>
      <c r="E177" s="1270"/>
      <c r="G177" s="1270"/>
    </row>
    <row r="178" spans="1:7" x14ac:dyDescent="0.6">
      <c r="A178" s="258"/>
      <c r="D178" s="1270"/>
      <c r="E178" s="1270"/>
      <c r="G178" s="1270"/>
    </row>
    <row r="179" spans="1:7" x14ac:dyDescent="0.6">
      <c r="A179" s="258"/>
      <c r="D179" s="1270"/>
      <c r="E179" s="1270"/>
      <c r="G179" s="1270"/>
    </row>
    <row r="180" spans="1:7" x14ac:dyDescent="0.6">
      <c r="A180" s="258"/>
      <c r="D180" s="1270"/>
      <c r="E180" s="1270"/>
      <c r="G180" s="1270"/>
    </row>
    <row r="181" spans="1:7" x14ac:dyDescent="0.6">
      <c r="A181" s="258"/>
      <c r="D181" s="1270"/>
      <c r="E181" s="1270"/>
      <c r="G181" s="1270"/>
    </row>
    <row r="182" spans="1:7" x14ac:dyDescent="0.6">
      <c r="A182" s="258"/>
      <c r="D182" s="1270"/>
      <c r="E182" s="1270"/>
      <c r="G182" s="1270"/>
    </row>
    <row r="183" spans="1:7" x14ac:dyDescent="0.6">
      <c r="A183" s="258"/>
      <c r="D183" s="1270"/>
      <c r="E183" s="1270"/>
      <c r="G183" s="1270"/>
    </row>
    <row r="184" spans="1:7" x14ac:dyDescent="0.6">
      <c r="A184" s="258"/>
      <c r="D184" s="1270"/>
      <c r="E184" s="1270"/>
      <c r="G184" s="1270"/>
    </row>
    <row r="185" spans="1:7" x14ac:dyDescent="0.6">
      <c r="A185" s="258"/>
      <c r="D185" s="1270"/>
      <c r="E185" s="1270"/>
      <c r="G185" s="1270"/>
    </row>
    <row r="186" spans="1:7" x14ac:dyDescent="0.6">
      <c r="A186" s="258"/>
      <c r="D186" s="1270"/>
      <c r="E186" s="1270"/>
      <c r="G186" s="1270"/>
    </row>
    <row r="187" spans="1:7" x14ac:dyDescent="0.6">
      <c r="A187" s="258"/>
      <c r="D187" s="1270"/>
      <c r="E187" s="1270"/>
      <c r="G187" s="1270"/>
    </row>
    <row r="188" spans="1:7" x14ac:dyDescent="0.6">
      <c r="A188" s="258"/>
      <c r="D188" s="1270"/>
      <c r="E188" s="1270"/>
      <c r="G188" s="1270"/>
    </row>
    <row r="189" spans="1:7" x14ac:dyDescent="0.6">
      <c r="A189" s="258"/>
      <c r="D189" s="1270"/>
      <c r="E189" s="1270"/>
      <c r="G189" s="1270"/>
    </row>
    <row r="190" spans="1:7" x14ac:dyDescent="0.6">
      <c r="A190" s="258"/>
      <c r="D190" s="1270"/>
      <c r="E190" s="1270"/>
      <c r="G190" s="1270"/>
    </row>
    <row r="191" spans="1:7" x14ac:dyDescent="0.6">
      <c r="A191" s="258"/>
      <c r="D191" s="1270"/>
      <c r="E191" s="1270"/>
      <c r="G191" s="1270"/>
    </row>
    <row r="192" spans="1:7" x14ac:dyDescent="0.6">
      <c r="A192" s="258"/>
      <c r="D192" s="1270"/>
      <c r="E192" s="1270"/>
      <c r="G192" s="1270"/>
    </row>
    <row r="193" spans="1:7" x14ac:dyDescent="0.6">
      <c r="A193" s="258"/>
      <c r="D193" s="1270"/>
      <c r="E193" s="1270"/>
      <c r="G193" s="1270"/>
    </row>
    <row r="194" spans="1:7" x14ac:dyDescent="0.6">
      <c r="A194" s="258"/>
      <c r="D194" s="1270"/>
      <c r="E194" s="1270"/>
      <c r="G194" s="1270"/>
    </row>
    <row r="195" spans="1:7" x14ac:dyDescent="0.6">
      <c r="A195" s="258"/>
      <c r="D195" s="1270"/>
      <c r="E195" s="1270"/>
      <c r="G195" s="1270"/>
    </row>
    <row r="196" spans="1:7" x14ac:dyDescent="0.6">
      <c r="A196" s="258"/>
      <c r="D196" s="1270"/>
      <c r="E196" s="1270"/>
      <c r="G196" s="1270"/>
    </row>
    <row r="197" spans="1:7" x14ac:dyDescent="0.6">
      <c r="A197" s="258"/>
      <c r="D197" s="1270"/>
      <c r="E197" s="1270"/>
      <c r="G197" s="1270"/>
    </row>
    <row r="198" spans="1:7" x14ac:dyDescent="0.6">
      <c r="A198" s="258"/>
      <c r="D198" s="1270"/>
      <c r="E198" s="1270"/>
      <c r="G198" s="1270"/>
    </row>
    <row r="199" spans="1:7" x14ac:dyDescent="0.6">
      <c r="A199" s="258"/>
      <c r="D199" s="1270"/>
      <c r="E199" s="1270"/>
      <c r="G199" s="1270"/>
    </row>
    <row r="200" spans="1:7" x14ac:dyDescent="0.6">
      <c r="A200" s="258"/>
      <c r="D200" s="1270"/>
      <c r="E200" s="1270"/>
      <c r="G200" s="1270"/>
    </row>
    <row r="201" spans="1:7" x14ac:dyDescent="0.6">
      <c r="A201" s="258"/>
      <c r="D201" s="1270"/>
      <c r="E201" s="1270"/>
      <c r="G201" s="1270"/>
    </row>
    <row r="202" spans="1:7" x14ac:dyDescent="0.6">
      <c r="A202" s="258"/>
      <c r="D202" s="1270"/>
      <c r="E202" s="1270"/>
      <c r="G202" s="1270"/>
    </row>
    <row r="203" spans="1:7" x14ac:dyDescent="0.6">
      <c r="A203" s="258"/>
      <c r="D203" s="1270"/>
      <c r="E203" s="1270"/>
      <c r="G203" s="1270"/>
    </row>
    <row r="204" spans="1:7" x14ac:dyDescent="0.6">
      <c r="A204" s="258"/>
      <c r="D204" s="1270"/>
      <c r="E204" s="1270"/>
      <c r="G204" s="1270"/>
    </row>
    <row r="205" spans="1:7" x14ac:dyDescent="0.6">
      <c r="A205" s="258"/>
      <c r="D205" s="1270"/>
      <c r="E205" s="1270"/>
      <c r="G205" s="1270"/>
    </row>
    <row r="206" spans="1:7" x14ac:dyDescent="0.6">
      <c r="A206" s="258"/>
      <c r="D206" s="1270"/>
      <c r="E206" s="1270"/>
      <c r="G206" s="1270"/>
    </row>
    <row r="207" spans="1:7" x14ac:dyDescent="0.6">
      <c r="A207" s="258"/>
      <c r="D207" s="1270"/>
      <c r="E207" s="1270"/>
      <c r="G207" s="1270"/>
    </row>
    <row r="208" spans="1:7" x14ac:dyDescent="0.6">
      <c r="A208" s="258"/>
      <c r="D208" s="1270"/>
      <c r="E208" s="1270"/>
      <c r="G208" s="1270"/>
    </row>
    <row r="209" spans="1:7" x14ac:dyDescent="0.6">
      <c r="A209" s="258"/>
      <c r="D209" s="1270"/>
      <c r="E209" s="1270"/>
      <c r="G209" s="1270"/>
    </row>
    <row r="210" spans="1:7" x14ac:dyDescent="0.6">
      <c r="A210" s="258"/>
      <c r="D210" s="1270"/>
      <c r="E210" s="1270"/>
      <c r="G210" s="1270"/>
    </row>
    <row r="211" spans="1:7" x14ac:dyDescent="0.6">
      <c r="A211" s="258"/>
      <c r="D211" s="1270"/>
      <c r="E211" s="1270"/>
      <c r="G211" s="1270"/>
    </row>
    <row r="212" spans="1:7" x14ac:dyDescent="0.6">
      <c r="A212" s="258"/>
      <c r="D212" s="1270"/>
      <c r="E212" s="1270"/>
      <c r="G212" s="1270"/>
    </row>
    <row r="213" spans="1:7" x14ac:dyDescent="0.6">
      <c r="A213" s="258"/>
      <c r="D213" s="1270"/>
      <c r="E213" s="1270"/>
      <c r="G213" s="1270"/>
    </row>
    <row r="214" spans="1:7" x14ac:dyDescent="0.6">
      <c r="A214" s="258"/>
      <c r="D214" s="1270"/>
      <c r="E214" s="1270"/>
      <c r="G214" s="1270"/>
    </row>
    <row r="215" spans="1:7" x14ac:dyDescent="0.6">
      <c r="A215" s="258"/>
      <c r="D215" s="1270"/>
      <c r="E215" s="1270"/>
      <c r="G215" s="1270"/>
    </row>
    <row r="216" spans="1:7" x14ac:dyDescent="0.6">
      <c r="A216" s="258"/>
      <c r="D216" s="1270"/>
      <c r="E216" s="1270"/>
      <c r="G216" s="1270"/>
    </row>
    <row r="217" spans="1:7" x14ac:dyDescent="0.6">
      <c r="A217" s="258"/>
      <c r="D217" s="1270"/>
      <c r="E217" s="1270"/>
      <c r="G217" s="1270"/>
    </row>
    <row r="218" spans="1:7" x14ac:dyDescent="0.6">
      <c r="A218" s="258"/>
      <c r="D218" s="1270"/>
      <c r="E218" s="1270"/>
      <c r="G218" s="1270"/>
    </row>
    <row r="219" spans="1:7" x14ac:dyDescent="0.6">
      <c r="A219" s="258"/>
      <c r="D219" s="1270"/>
      <c r="E219" s="1270"/>
      <c r="G219" s="1270"/>
    </row>
    <row r="220" spans="1:7" x14ac:dyDescent="0.6">
      <c r="A220" s="258"/>
      <c r="D220" s="1270"/>
      <c r="E220" s="1270"/>
      <c r="G220" s="1270"/>
    </row>
    <row r="221" spans="1:7" x14ac:dyDescent="0.6">
      <c r="A221" s="258"/>
      <c r="D221" s="1270"/>
      <c r="E221" s="1270"/>
      <c r="G221" s="1270"/>
    </row>
    <row r="222" spans="1:7" x14ac:dyDescent="0.6">
      <c r="A222" s="258"/>
      <c r="D222" s="1270"/>
      <c r="E222" s="1270"/>
      <c r="G222" s="1270"/>
    </row>
    <row r="223" spans="1:7" x14ac:dyDescent="0.6">
      <c r="A223" s="258"/>
      <c r="D223" s="1270"/>
      <c r="E223" s="1270"/>
      <c r="G223" s="1270"/>
    </row>
    <row r="224" spans="1:7" x14ac:dyDescent="0.6">
      <c r="A224" s="258"/>
      <c r="D224" s="1270"/>
      <c r="E224" s="1270"/>
      <c r="G224" s="1270"/>
    </row>
    <row r="225" spans="1:7" x14ac:dyDescent="0.6">
      <c r="A225" s="258"/>
      <c r="D225" s="1270"/>
      <c r="E225" s="1270"/>
      <c r="G225" s="1270"/>
    </row>
    <row r="226" spans="1:7" x14ac:dyDescent="0.6">
      <c r="A226" s="258"/>
      <c r="D226" s="1270"/>
      <c r="E226" s="1270"/>
      <c r="G226" s="1270"/>
    </row>
    <row r="227" spans="1:7" x14ac:dyDescent="0.6">
      <c r="A227" s="258"/>
      <c r="D227" s="1270"/>
      <c r="E227" s="1270"/>
      <c r="G227" s="1270"/>
    </row>
    <row r="228" spans="1:7" x14ac:dyDescent="0.6">
      <c r="A228" s="258"/>
      <c r="D228" s="1270"/>
      <c r="E228" s="1270"/>
      <c r="G228" s="1270"/>
    </row>
    <row r="229" spans="1:7" x14ac:dyDescent="0.6">
      <c r="A229" s="258"/>
      <c r="D229" s="1270"/>
      <c r="E229" s="1270"/>
      <c r="G229" s="1270"/>
    </row>
    <row r="230" spans="1:7" x14ac:dyDescent="0.6">
      <c r="A230" s="258"/>
      <c r="D230" s="1270"/>
      <c r="E230" s="1270"/>
      <c r="G230" s="1270"/>
    </row>
    <row r="231" spans="1:7" x14ac:dyDescent="0.6">
      <c r="A231" s="258"/>
      <c r="D231" s="1270"/>
      <c r="E231" s="1270"/>
      <c r="G231" s="1270"/>
    </row>
    <row r="232" spans="1:7" x14ac:dyDescent="0.6">
      <c r="A232" s="258"/>
      <c r="D232" s="1270"/>
      <c r="E232" s="1270"/>
      <c r="G232" s="1270"/>
    </row>
    <row r="233" spans="1:7" x14ac:dyDescent="0.6">
      <c r="A233" s="258"/>
      <c r="D233" s="1270"/>
      <c r="E233" s="1270"/>
      <c r="G233" s="1270"/>
    </row>
    <row r="234" spans="1:7" x14ac:dyDescent="0.6">
      <c r="A234" s="258"/>
      <c r="D234" s="1270"/>
      <c r="E234" s="1270"/>
      <c r="G234" s="1270"/>
    </row>
    <row r="235" spans="1:7" x14ac:dyDescent="0.6">
      <c r="A235" s="258"/>
      <c r="D235" s="1270"/>
      <c r="E235" s="1270"/>
      <c r="G235" s="1270"/>
    </row>
    <row r="236" spans="1:7" x14ac:dyDescent="0.6">
      <c r="A236" s="258"/>
      <c r="D236" s="1270"/>
      <c r="E236" s="1270"/>
      <c r="G236" s="1270"/>
    </row>
    <row r="237" spans="1:7" x14ac:dyDescent="0.6">
      <c r="A237" s="258"/>
      <c r="D237" s="1270"/>
      <c r="E237" s="1270"/>
      <c r="G237" s="1270"/>
    </row>
    <row r="238" spans="1:7" x14ac:dyDescent="0.6">
      <c r="A238" s="258"/>
      <c r="D238" s="1270"/>
      <c r="E238" s="1270"/>
      <c r="G238" s="1270"/>
    </row>
    <row r="239" spans="1:7" x14ac:dyDescent="0.6">
      <c r="A239" s="258"/>
      <c r="D239" s="1270"/>
      <c r="E239" s="1270"/>
      <c r="G239" s="1270"/>
    </row>
    <row r="240" spans="1:7" x14ac:dyDescent="0.6">
      <c r="A240" s="258"/>
      <c r="D240" s="1270"/>
      <c r="E240" s="1270"/>
      <c r="G240" s="1270"/>
    </row>
    <row r="241" spans="1:7" x14ac:dyDescent="0.6">
      <c r="A241" s="258"/>
      <c r="D241" s="1270"/>
      <c r="E241" s="1270"/>
      <c r="G241" s="1270"/>
    </row>
    <row r="242" spans="1:7" x14ac:dyDescent="0.6">
      <c r="A242" s="258"/>
      <c r="D242" s="1270"/>
      <c r="E242" s="1270"/>
      <c r="G242" s="1270"/>
    </row>
    <row r="243" spans="1:7" x14ac:dyDescent="0.6">
      <c r="A243" s="258"/>
      <c r="D243" s="1270"/>
      <c r="E243" s="1270"/>
      <c r="G243" s="1270"/>
    </row>
    <row r="244" spans="1:7" x14ac:dyDescent="0.6">
      <c r="A244" s="258"/>
      <c r="D244" s="1270"/>
      <c r="E244" s="1270"/>
      <c r="G244" s="1270"/>
    </row>
    <row r="245" spans="1:7" x14ac:dyDescent="0.6">
      <c r="A245" s="258"/>
      <c r="D245" s="1270"/>
      <c r="E245" s="1270"/>
      <c r="G245" s="1270"/>
    </row>
    <row r="246" spans="1:7" x14ac:dyDescent="0.6">
      <c r="A246" s="258"/>
      <c r="D246" s="1270"/>
      <c r="E246" s="1270"/>
      <c r="G246" s="1270"/>
    </row>
    <row r="247" spans="1:7" x14ac:dyDescent="0.6">
      <c r="A247" s="258"/>
      <c r="D247" s="1270"/>
      <c r="E247" s="1270"/>
      <c r="G247" s="1270"/>
    </row>
    <row r="248" spans="1:7" x14ac:dyDescent="0.6">
      <c r="A248" s="258"/>
      <c r="D248" s="1270"/>
      <c r="E248" s="1270"/>
      <c r="G248" s="1270"/>
    </row>
    <row r="249" spans="1:7" x14ac:dyDescent="0.6">
      <c r="A249" s="258"/>
      <c r="D249" s="1270"/>
      <c r="E249" s="1270"/>
      <c r="G249" s="1270"/>
    </row>
    <row r="250" spans="1:7" x14ac:dyDescent="0.6">
      <c r="A250" s="258"/>
      <c r="D250" s="1270"/>
      <c r="E250" s="1270"/>
      <c r="G250" s="1270"/>
    </row>
    <row r="251" spans="1:7" x14ac:dyDescent="0.6">
      <c r="A251" s="258"/>
      <c r="D251" s="1270"/>
      <c r="E251" s="1270"/>
      <c r="G251" s="1270"/>
    </row>
    <row r="252" spans="1:7" x14ac:dyDescent="0.6">
      <c r="A252" s="258"/>
      <c r="D252" s="1270"/>
      <c r="E252" s="1270"/>
      <c r="G252" s="1270"/>
    </row>
    <row r="253" spans="1:7" x14ac:dyDescent="0.6">
      <c r="A253" s="258"/>
      <c r="D253" s="1270"/>
      <c r="E253" s="1270"/>
      <c r="G253" s="1270"/>
    </row>
    <row r="254" spans="1:7" x14ac:dyDescent="0.6">
      <c r="A254" s="258"/>
      <c r="D254" s="1270"/>
      <c r="E254" s="1270"/>
      <c r="G254" s="1270"/>
    </row>
    <row r="255" spans="1:7" x14ac:dyDescent="0.6">
      <c r="A255" s="258"/>
      <c r="D255" s="1270"/>
      <c r="E255" s="1270"/>
      <c r="G255" s="1270"/>
    </row>
    <row r="256" spans="1:7" x14ac:dyDescent="0.6">
      <c r="A256" s="258"/>
      <c r="D256" s="1270"/>
      <c r="E256" s="1270"/>
      <c r="G256" s="1270"/>
    </row>
    <row r="257" spans="1:7" x14ac:dyDescent="0.6">
      <c r="A257" s="258"/>
      <c r="D257" s="1270"/>
      <c r="E257" s="1270"/>
      <c r="G257" s="1270"/>
    </row>
    <row r="258" spans="1:7" x14ac:dyDescent="0.6">
      <c r="A258" s="258"/>
      <c r="D258" s="1270"/>
      <c r="E258" s="1270"/>
      <c r="G258" s="1270"/>
    </row>
    <row r="259" spans="1:7" x14ac:dyDescent="0.6">
      <c r="A259" s="258"/>
      <c r="D259" s="1270"/>
      <c r="E259" s="1270"/>
      <c r="G259" s="1270"/>
    </row>
    <row r="260" spans="1:7" x14ac:dyDescent="0.6">
      <c r="A260" s="258"/>
      <c r="D260" s="1270"/>
      <c r="E260" s="1270"/>
      <c r="G260" s="1270"/>
    </row>
    <row r="261" spans="1:7" x14ac:dyDescent="0.6">
      <c r="A261" s="258"/>
      <c r="D261" s="1270"/>
      <c r="E261" s="1270"/>
      <c r="G261" s="1270"/>
    </row>
    <row r="262" spans="1:7" x14ac:dyDescent="0.6">
      <c r="A262" s="258"/>
      <c r="D262" s="1270"/>
      <c r="E262" s="1270"/>
      <c r="G262" s="1270"/>
    </row>
    <row r="263" spans="1:7" x14ac:dyDescent="0.6">
      <c r="A263" s="258"/>
      <c r="D263" s="1270"/>
      <c r="E263" s="1270"/>
      <c r="G263" s="1270"/>
    </row>
    <row r="264" spans="1:7" x14ac:dyDescent="0.6">
      <c r="A264" s="258"/>
      <c r="D264" s="1270"/>
      <c r="E264" s="1270"/>
      <c r="G264" s="1270"/>
    </row>
    <row r="265" spans="1:7" x14ac:dyDescent="0.6">
      <c r="A265" s="258"/>
      <c r="D265" s="1270"/>
      <c r="E265" s="1270"/>
      <c r="G265" s="1270"/>
    </row>
    <row r="266" spans="1:7" x14ac:dyDescent="0.6">
      <c r="A266" s="258"/>
      <c r="D266" s="1270"/>
      <c r="E266" s="1270"/>
      <c r="G266" s="1270"/>
    </row>
    <row r="267" spans="1:7" x14ac:dyDescent="0.6">
      <c r="A267" s="258"/>
      <c r="D267" s="1270"/>
      <c r="E267" s="1270"/>
      <c r="G267" s="1270"/>
    </row>
    <row r="268" spans="1:7" x14ac:dyDescent="0.6">
      <c r="A268" s="258"/>
      <c r="D268" s="1270"/>
      <c r="E268" s="1270"/>
      <c r="G268" s="1270"/>
    </row>
    <row r="269" spans="1:7" x14ac:dyDescent="0.6">
      <c r="A269" s="258"/>
      <c r="D269" s="1270"/>
      <c r="E269" s="1270"/>
      <c r="G269" s="1270"/>
    </row>
    <row r="270" spans="1:7" x14ac:dyDescent="0.6">
      <c r="A270" s="258"/>
      <c r="D270" s="1270"/>
      <c r="E270" s="1270"/>
      <c r="G270" s="1270"/>
    </row>
    <row r="271" spans="1:7" x14ac:dyDescent="0.6">
      <c r="A271" s="258"/>
      <c r="D271" s="1270"/>
      <c r="E271" s="1270"/>
      <c r="G271" s="1270"/>
    </row>
    <row r="272" spans="1:7" x14ac:dyDescent="0.6">
      <c r="A272" s="258"/>
      <c r="D272" s="1270"/>
      <c r="E272" s="1270"/>
      <c r="G272" s="1270"/>
    </row>
    <row r="273" spans="1:7" x14ac:dyDescent="0.6">
      <c r="A273" s="258"/>
      <c r="D273" s="1270"/>
      <c r="E273" s="1270"/>
      <c r="G273" s="1270"/>
    </row>
    <row r="274" spans="1:7" x14ac:dyDescent="0.6">
      <c r="A274" s="258"/>
      <c r="D274" s="1270"/>
      <c r="E274" s="1270"/>
      <c r="G274" s="1270"/>
    </row>
    <row r="275" spans="1:7" x14ac:dyDescent="0.6">
      <c r="A275" s="258"/>
      <c r="D275" s="1270"/>
      <c r="E275" s="1270"/>
      <c r="G275" s="1270"/>
    </row>
    <row r="276" spans="1:7" x14ac:dyDescent="0.6">
      <c r="A276" s="258"/>
      <c r="D276" s="1270"/>
      <c r="E276" s="1270"/>
      <c r="G276" s="1270"/>
    </row>
    <row r="277" spans="1:7" x14ac:dyDescent="0.6">
      <c r="A277" s="258"/>
      <c r="D277" s="1270"/>
      <c r="E277" s="1270"/>
      <c r="G277" s="1270"/>
    </row>
    <row r="278" spans="1:7" x14ac:dyDescent="0.6">
      <c r="A278" s="258"/>
      <c r="D278" s="1270"/>
      <c r="E278" s="1270"/>
      <c r="G278" s="1270"/>
    </row>
    <row r="279" spans="1:7" x14ac:dyDescent="0.6">
      <c r="A279" s="258"/>
      <c r="D279" s="1270"/>
      <c r="E279" s="1270"/>
      <c r="G279" s="1270"/>
    </row>
    <row r="280" spans="1:7" x14ac:dyDescent="0.6">
      <c r="A280" s="258"/>
      <c r="D280" s="1270"/>
      <c r="E280" s="1270"/>
      <c r="G280" s="1270"/>
    </row>
    <row r="281" spans="1:7" x14ac:dyDescent="0.6">
      <c r="A281" s="258"/>
      <c r="D281" s="1270"/>
      <c r="E281" s="1270"/>
      <c r="G281" s="1270"/>
    </row>
    <row r="282" spans="1:7" x14ac:dyDescent="0.6">
      <c r="A282" s="258"/>
      <c r="D282" s="1270"/>
      <c r="E282" s="1270"/>
      <c r="G282" s="1270"/>
    </row>
    <row r="283" spans="1:7" x14ac:dyDescent="0.6">
      <c r="A283" s="258"/>
      <c r="D283" s="1270"/>
      <c r="E283" s="1270"/>
      <c r="G283" s="1270"/>
    </row>
    <row r="284" spans="1:7" x14ac:dyDescent="0.6">
      <c r="A284" s="258"/>
      <c r="D284" s="1270"/>
      <c r="E284" s="1270"/>
      <c r="G284" s="1270"/>
    </row>
    <row r="285" spans="1:7" x14ac:dyDescent="0.6">
      <c r="A285" s="258"/>
      <c r="D285" s="1270"/>
      <c r="E285" s="1270"/>
      <c r="G285" s="1270"/>
    </row>
    <row r="286" spans="1:7" x14ac:dyDescent="0.6">
      <c r="A286" s="258"/>
      <c r="D286" s="1270"/>
      <c r="E286" s="1270"/>
      <c r="G286" s="1270"/>
    </row>
    <row r="287" spans="1:7" x14ac:dyDescent="0.6">
      <c r="A287" s="258"/>
      <c r="D287" s="1270"/>
      <c r="E287" s="1270"/>
      <c r="G287" s="1270"/>
    </row>
    <row r="288" spans="1:7" x14ac:dyDescent="0.6">
      <c r="A288" s="258"/>
      <c r="D288" s="1270"/>
      <c r="E288" s="1270"/>
      <c r="G288" s="1270"/>
    </row>
    <row r="289" spans="1:7" x14ac:dyDescent="0.6">
      <c r="A289" s="258"/>
      <c r="D289" s="1270"/>
      <c r="E289" s="1270"/>
      <c r="G289" s="1270"/>
    </row>
    <row r="290" spans="1:7" x14ac:dyDescent="0.6">
      <c r="A290" s="258"/>
      <c r="D290" s="1270"/>
      <c r="E290" s="1270"/>
      <c r="G290" s="1270"/>
    </row>
    <row r="291" spans="1:7" x14ac:dyDescent="0.6">
      <c r="A291" s="258"/>
      <c r="D291" s="1270"/>
      <c r="E291" s="1270"/>
      <c r="G291" s="1270"/>
    </row>
    <row r="292" spans="1:7" x14ac:dyDescent="0.6">
      <c r="A292" s="258"/>
      <c r="D292" s="1270"/>
      <c r="E292" s="1270"/>
      <c r="G292" s="1270"/>
    </row>
    <row r="293" spans="1:7" x14ac:dyDescent="0.6">
      <c r="A293" s="258"/>
      <c r="D293" s="1270"/>
      <c r="E293" s="1270"/>
      <c r="G293" s="1270"/>
    </row>
    <row r="294" spans="1:7" x14ac:dyDescent="0.6">
      <c r="A294" s="258"/>
      <c r="D294" s="1270"/>
      <c r="E294" s="1270"/>
      <c r="G294" s="1270"/>
    </row>
    <row r="295" spans="1:7" x14ac:dyDescent="0.6">
      <c r="A295" s="258"/>
      <c r="D295" s="1270"/>
      <c r="E295" s="1270"/>
      <c r="G295" s="1270"/>
    </row>
    <row r="296" spans="1:7" x14ac:dyDescent="0.6">
      <c r="A296" s="258"/>
      <c r="D296" s="1270"/>
      <c r="E296" s="1270"/>
      <c r="G296" s="1270"/>
    </row>
    <row r="297" spans="1:7" x14ac:dyDescent="0.6">
      <c r="A297" s="258"/>
      <c r="D297" s="1270"/>
      <c r="E297" s="1270"/>
      <c r="G297" s="1270"/>
    </row>
    <row r="298" spans="1:7" x14ac:dyDescent="0.6">
      <c r="A298" s="258"/>
      <c r="D298" s="1270"/>
      <c r="E298" s="1270"/>
      <c r="G298" s="1270"/>
    </row>
    <row r="299" spans="1:7" x14ac:dyDescent="0.6">
      <c r="A299" s="258"/>
      <c r="D299" s="1270"/>
      <c r="E299" s="1270"/>
      <c r="G299" s="1270"/>
    </row>
    <row r="300" spans="1:7" x14ac:dyDescent="0.6">
      <c r="A300" s="258"/>
      <c r="D300" s="1270"/>
      <c r="E300" s="1270"/>
      <c r="G300" s="1270"/>
    </row>
    <row r="301" spans="1:7" x14ac:dyDescent="0.6">
      <c r="A301" s="258"/>
      <c r="D301" s="1270"/>
      <c r="E301" s="1270"/>
      <c r="G301" s="1270"/>
    </row>
    <row r="302" spans="1:7" x14ac:dyDescent="0.6">
      <c r="A302" s="258"/>
      <c r="D302" s="1270"/>
      <c r="E302" s="1270"/>
      <c r="G302" s="1270"/>
    </row>
    <row r="303" spans="1:7" x14ac:dyDescent="0.6">
      <c r="A303" s="258"/>
      <c r="D303" s="1270"/>
      <c r="E303" s="1270"/>
      <c r="G303" s="1270"/>
    </row>
    <row r="304" spans="1:7" x14ac:dyDescent="0.6">
      <c r="A304" s="258"/>
      <c r="D304" s="1270"/>
      <c r="E304" s="1270"/>
      <c r="G304" s="1270"/>
    </row>
    <row r="305" spans="1:7" x14ac:dyDescent="0.6">
      <c r="A305" s="258"/>
      <c r="D305" s="1270"/>
      <c r="E305" s="1270"/>
      <c r="G305" s="1270"/>
    </row>
    <row r="306" spans="1:7" x14ac:dyDescent="0.6">
      <c r="A306" s="258"/>
      <c r="D306" s="1270"/>
      <c r="E306" s="1270"/>
      <c r="G306" s="1270"/>
    </row>
    <row r="307" spans="1:7" x14ac:dyDescent="0.6">
      <c r="A307" s="258"/>
      <c r="D307" s="1270"/>
      <c r="E307" s="1270"/>
      <c r="G307" s="1270"/>
    </row>
    <row r="308" spans="1:7" x14ac:dyDescent="0.6">
      <c r="A308" s="258"/>
      <c r="D308" s="1270"/>
      <c r="E308" s="1270"/>
      <c r="G308" s="1270"/>
    </row>
    <row r="309" spans="1:7" x14ac:dyDescent="0.6">
      <c r="A309" s="258"/>
      <c r="D309" s="1270"/>
      <c r="E309" s="1270"/>
      <c r="G309" s="1270"/>
    </row>
    <row r="310" spans="1:7" x14ac:dyDescent="0.6">
      <c r="A310" s="258"/>
      <c r="D310" s="1270"/>
      <c r="E310" s="1270"/>
      <c r="G310" s="1270"/>
    </row>
    <row r="311" spans="1:7" x14ac:dyDescent="0.6">
      <c r="A311" s="258"/>
      <c r="D311" s="1270"/>
      <c r="E311" s="1270"/>
      <c r="G311" s="1270"/>
    </row>
    <row r="312" spans="1:7" x14ac:dyDescent="0.6">
      <c r="A312" s="258"/>
      <c r="D312" s="1270"/>
      <c r="E312" s="1270"/>
      <c r="G312" s="1270"/>
    </row>
    <row r="313" spans="1:7" x14ac:dyDescent="0.6">
      <c r="A313" s="258"/>
      <c r="D313" s="1270"/>
      <c r="E313" s="1270"/>
      <c r="G313" s="1270"/>
    </row>
    <row r="314" spans="1:7" x14ac:dyDescent="0.6">
      <c r="A314" s="258"/>
      <c r="D314" s="1270"/>
      <c r="E314" s="1270"/>
      <c r="G314" s="1270"/>
    </row>
    <row r="315" spans="1:7" x14ac:dyDescent="0.6">
      <c r="A315" s="258"/>
      <c r="D315" s="1270"/>
      <c r="E315" s="1270"/>
      <c r="G315" s="1270"/>
    </row>
    <row r="316" spans="1:7" x14ac:dyDescent="0.6">
      <c r="A316" s="258"/>
      <c r="D316" s="1270"/>
      <c r="E316" s="1270"/>
      <c r="G316" s="1270"/>
    </row>
    <row r="317" spans="1:7" x14ac:dyDescent="0.6">
      <c r="A317" s="258"/>
      <c r="D317" s="1270"/>
      <c r="E317" s="1270"/>
      <c r="G317" s="1270"/>
    </row>
    <row r="318" spans="1:7" x14ac:dyDescent="0.6">
      <c r="A318" s="258"/>
      <c r="D318" s="1270"/>
      <c r="E318" s="1270"/>
      <c r="G318" s="1270"/>
    </row>
    <row r="319" spans="1:7" x14ac:dyDescent="0.6">
      <c r="A319" s="258"/>
      <c r="D319" s="1270"/>
      <c r="E319" s="1270"/>
      <c r="G319" s="1270"/>
    </row>
    <row r="320" spans="1:7" x14ac:dyDescent="0.6">
      <c r="A320" s="258"/>
      <c r="D320" s="1270"/>
      <c r="E320" s="1270"/>
      <c r="G320" s="1270"/>
    </row>
    <row r="321" spans="1:7" x14ac:dyDescent="0.6">
      <c r="A321" s="258"/>
      <c r="D321" s="1270"/>
      <c r="E321" s="1270"/>
      <c r="G321" s="1270"/>
    </row>
    <row r="322" spans="1:7" x14ac:dyDescent="0.6">
      <c r="A322" s="258"/>
      <c r="D322" s="1270"/>
      <c r="E322" s="1270"/>
      <c r="G322" s="1270"/>
    </row>
    <row r="323" spans="1:7" x14ac:dyDescent="0.6">
      <c r="A323" s="258"/>
      <c r="D323" s="1270"/>
      <c r="E323" s="1270"/>
      <c r="G323" s="1270"/>
    </row>
    <row r="324" spans="1:7" x14ac:dyDescent="0.6">
      <c r="A324" s="258"/>
      <c r="D324" s="1270"/>
      <c r="E324" s="1270"/>
      <c r="G324" s="1270"/>
    </row>
    <row r="325" spans="1:7" x14ac:dyDescent="0.6">
      <c r="A325" s="258"/>
      <c r="D325" s="1270"/>
      <c r="E325" s="1270"/>
      <c r="G325" s="1270"/>
    </row>
    <row r="326" spans="1:7" x14ac:dyDescent="0.6">
      <c r="A326" s="258"/>
      <c r="D326" s="1270"/>
      <c r="E326" s="1270"/>
      <c r="G326" s="1270"/>
    </row>
    <row r="327" spans="1:7" x14ac:dyDescent="0.6">
      <c r="A327" s="258"/>
      <c r="D327" s="1270"/>
      <c r="E327" s="1270"/>
      <c r="G327" s="1270"/>
    </row>
    <row r="328" spans="1:7" x14ac:dyDescent="0.6">
      <c r="A328" s="258"/>
      <c r="D328" s="1270"/>
      <c r="E328" s="1270"/>
      <c r="G328" s="1270"/>
    </row>
    <row r="329" spans="1:7" x14ac:dyDescent="0.6">
      <c r="A329" s="258"/>
      <c r="D329" s="1270"/>
      <c r="E329" s="1270"/>
      <c r="G329" s="1270"/>
    </row>
    <row r="330" spans="1:7" x14ac:dyDescent="0.6">
      <c r="A330" s="258"/>
      <c r="D330" s="1270"/>
      <c r="E330" s="1270"/>
      <c r="G330" s="1270"/>
    </row>
    <row r="331" spans="1:7" x14ac:dyDescent="0.6">
      <c r="A331" s="258"/>
      <c r="D331" s="1270"/>
      <c r="E331" s="1270"/>
      <c r="G331" s="1270"/>
    </row>
    <row r="332" spans="1:7" x14ac:dyDescent="0.6">
      <c r="A332" s="258"/>
      <c r="D332" s="1270"/>
      <c r="E332" s="1270"/>
      <c r="G332" s="1270"/>
    </row>
    <row r="333" spans="1:7" x14ac:dyDescent="0.6">
      <c r="A333" s="258"/>
      <c r="D333" s="1270"/>
      <c r="E333" s="1270"/>
      <c r="G333" s="1270"/>
    </row>
    <row r="334" spans="1:7" x14ac:dyDescent="0.6">
      <c r="A334" s="258"/>
      <c r="D334" s="1270"/>
      <c r="E334" s="1270"/>
      <c r="G334" s="1270"/>
    </row>
    <row r="335" spans="1:7" x14ac:dyDescent="0.6">
      <c r="A335" s="258"/>
      <c r="D335" s="1270"/>
      <c r="E335" s="1270"/>
      <c r="G335" s="1270"/>
    </row>
    <row r="336" spans="1:7" x14ac:dyDescent="0.6">
      <c r="A336" s="258"/>
      <c r="D336" s="1270"/>
      <c r="E336" s="1270"/>
      <c r="G336" s="1270"/>
    </row>
    <row r="337" spans="1:7" x14ac:dyDescent="0.6">
      <c r="A337" s="258"/>
      <c r="D337" s="1270"/>
      <c r="E337" s="1270"/>
      <c r="G337" s="1270"/>
    </row>
    <row r="338" spans="1:7" x14ac:dyDescent="0.6">
      <c r="A338" s="258"/>
      <c r="D338" s="1270"/>
      <c r="E338" s="1270"/>
      <c r="G338" s="1270"/>
    </row>
    <row r="339" spans="1:7" x14ac:dyDescent="0.6">
      <c r="A339" s="258"/>
      <c r="D339" s="1270"/>
      <c r="E339" s="1270"/>
      <c r="G339" s="1270"/>
    </row>
    <row r="340" spans="1:7" x14ac:dyDescent="0.6">
      <c r="A340" s="258"/>
      <c r="D340" s="1270"/>
      <c r="E340" s="1270"/>
      <c r="G340" s="1270"/>
    </row>
    <row r="341" spans="1:7" x14ac:dyDescent="0.6">
      <c r="A341" s="258"/>
      <c r="D341" s="1270"/>
      <c r="E341" s="1270"/>
      <c r="G341" s="1270"/>
    </row>
    <row r="342" spans="1:7" x14ac:dyDescent="0.6">
      <c r="A342" s="258"/>
      <c r="D342" s="1270"/>
      <c r="E342" s="1270"/>
      <c r="G342" s="1270"/>
    </row>
    <row r="343" spans="1:7" x14ac:dyDescent="0.6">
      <c r="A343" s="258"/>
      <c r="D343" s="1270"/>
      <c r="E343" s="1270"/>
      <c r="G343" s="1270"/>
    </row>
    <row r="344" spans="1:7" x14ac:dyDescent="0.6">
      <c r="A344" s="258"/>
      <c r="D344" s="1270"/>
      <c r="E344" s="1270"/>
      <c r="G344" s="1270"/>
    </row>
    <row r="345" spans="1:7" x14ac:dyDescent="0.6">
      <c r="A345" s="258"/>
      <c r="D345" s="1270"/>
      <c r="E345" s="1270"/>
      <c r="G345" s="1270"/>
    </row>
    <row r="346" spans="1:7" x14ac:dyDescent="0.6">
      <c r="A346" s="258"/>
      <c r="D346" s="1270"/>
      <c r="E346" s="1270"/>
      <c r="G346" s="1270"/>
    </row>
    <row r="347" spans="1:7" x14ac:dyDescent="0.6">
      <c r="A347" s="258"/>
      <c r="D347" s="1270"/>
      <c r="E347" s="1270"/>
      <c r="G347" s="1270"/>
    </row>
    <row r="348" spans="1:7" x14ac:dyDescent="0.6">
      <c r="A348" s="258"/>
      <c r="D348" s="1270"/>
      <c r="E348" s="1270"/>
      <c r="G348" s="1270"/>
    </row>
    <row r="349" spans="1:7" x14ac:dyDescent="0.6">
      <c r="A349" s="258"/>
      <c r="D349" s="1270"/>
      <c r="E349" s="1270"/>
      <c r="G349" s="1270"/>
    </row>
    <row r="350" spans="1:7" x14ac:dyDescent="0.6">
      <c r="A350" s="258"/>
      <c r="D350" s="1270"/>
      <c r="E350" s="1270"/>
      <c r="G350" s="1270"/>
    </row>
    <row r="351" spans="1:7" x14ac:dyDescent="0.6">
      <c r="A351" s="258"/>
      <c r="D351" s="1270"/>
      <c r="E351" s="1270"/>
      <c r="G351" s="1270"/>
    </row>
    <row r="352" spans="1:7" x14ac:dyDescent="0.6">
      <c r="A352" s="258"/>
      <c r="D352" s="1270"/>
      <c r="E352" s="1270"/>
      <c r="G352" s="1270"/>
    </row>
    <row r="353" spans="1:7" x14ac:dyDescent="0.6">
      <c r="A353" s="258"/>
      <c r="D353" s="1270"/>
      <c r="E353" s="1270"/>
      <c r="G353" s="1270"/>
    </row>
    <row r="354" spans="1:7" x14ac:dyDescent="0.6">
      <c r="A354" s="258"/>
      <c r="D354" s="1270"/>
      <c r="E354" s="1270"/>
      <c r="G354" s="1270"/>
    </row>
    <row r="355" spans="1:7" x14ac:dyDescent="0.6">
      <c r="A355" s="258"/>
      <c r="D355" s="1270"/>
      <c r="E355" s="1270"/>
      <c r="G355" s="1270"/>
    </row>
    <row r="356" spans="1:7" x14ac:dyDescent="0.6">
      <c r="A356" s="258"/>
      <c r="D356" s="1270"/>
      <c r="E356" s="1270"/>
      <c r="G356" s="1270"/>
    </row>
    <row r="357" spans="1:7" x14ac:dyDescent="0.6">
      <c r="A357" s="258"/>
      <c r="D357" s="1270"/>
      <c r="E357" s="1270"/>
      <c r="G357" s="1270"/>
    </row>
    <row r="358" spans="1:7" x14ac:dyDescent="0.6">
      <c r="A358" s="258"/>
      <c r="D358" s="1270"/>
      <c r="E358" s="1270"/>
      <c r="G358" s="1270"/>
    </row>
    <row r="359" spans="1:7" x14ac:dyDescent="0.6">
      <c r="A359" s="258"/>
      <c r="D359" s="1270"/>
      <c r="E359" s="1270"/>
      <c r="G359" s="1270"/>
    </row>
    <row r="360" spans="1:7" x14ac:dyDescent="0.6">
      <c r="A360" s="258"/>
      <c r="D360" s="1270"/>
      <c r="E360" s="1270"/>
      <c r="G360" s="1270"/>
    </row>
    <row r="361" spans="1:7" x14ac:dyDescent="0.6">
      <c r="A361" s="258"/>
      <c r="D361" s="1270"/>
      <c r="E361" s="1270"/>
      <c r="G361" s="1270"/>
    </row>
    <row r="362" spans="1:7" x14ac:dyDescent="0.6">
      <c r="A362" s="258"/>
      <c r="D362" s="1270"/>
      <c r="E362" s="1270"/>
      <c r="G362" s="1270"/>
    </row>
    <row r="363" spans="1:7" x14ac:dyDescent="0.6">
      <c r="A363" s="258"/>
      <c r="D363" s="1270"/>
      <c r="E363" s="1270"/>
      <c r="G363" s="1270"/>
    </row>
    <row r="364" spans="1:7" x14ac:dyDescent="0.6">
      <c r="A364" s="258"/>
      <c r="D364" s="1270"/>
      <c r="E364" s="1270"/>
      <c r="G364" s="1270"/>
    </row>
    <row r="365" spans="1:7" x14ac:dyDescent="0.6">
      <c r="A365" s="258"/>
      <c r="D365" s="1270"/>
      <c r="E365" s="1270"/>
      <c r="G365" s="1270"/>
    </row>
    <row r="366" spans="1:7" x14ac:dyDescent="0.6">
      <c r="A366" s="258"/>
      <c r="D366" s="1270"/>
      <c r="E366" s="1270"/>
      <c r="G366" s="1270"/>
    </row>
    <row r="367" spans="1:7" x14ac:dyDescent="0.6">
      <c r="A367" s="258"/>
      <c r="D367" s="1270"/>
      <c r="E367" s="1270"/>
      <c r="G367" s="1270"/>
    </row>
    <row r="368" spans="1:7" x14ac:dyDescent="0.6">
      <c r="A368" s="258"/>
      <c r="D368" s="1270"/>
      <c r="E368" s="1270"/>
      <c r="G368" s="1270"/>
    </row>
    <row r="369" spans="1:7" x14ac:dyDescent="0.6">
      <c r="A369" s="258"/>
      <c r="D369" s="1270"/>
      <c r="E369" s="1270"/>
      <c r="G369" s="1270"/>
    </row>
    <row r="370" spans="1:7" x14ac:dyDescent="0.6">
      <c r="A370" s="258"/>
      <c r="D370" s="1270"/>
      <c r="E370" s="1270"/>
      <c r="G370" s="1270"/>
    </row>
    <row r="371" spans="1:7" x14ac:dyDescent="0.6">
      <c r="A371" s="258"/>
      <c r="D371" s="1270"/>
      <c r="E371" s="1270"/>
      <c r="G371" s="1270"/>
    </row>
    <row r="372" spans="1:7" x14ac:dyDescent="0.6">
      <c r="A372" s="258"/>
      <c r="D372" s="1270"/>
      <c r="E372" s="1270"/>
      <c r="G372" s="1270"/>
    </row>
    <row r="373" spans="1:7" x14ac:dyDescent="0.6">
      <c r="A373" s="258"/>
      <c r="D373" s="1270"/>
      <c r="E373" s="1270"/>
      <c r="G373" s="1270"/>
    </row>
    <row r="374" spans="1:7" x14ac:dyDescent="0.6">
      <c r="A374" s="258"/>
      <c r="D374" s="1270"/>
      <c r="E374" s="1270"/>
      <c r="G374" s="1270"/>
    </row>
    <row r="375" spans="1:7" x14ac:dyDescent="0.6">
      <c r="A375" s="258"/>
      <c r="D375" s="1270"/>
      <c r="E375" s="1270"/>
      <c r="G375" s="1270"/>
    </row>
    <row r="376" spans="1:7" x14ac:dyDescent="0.6">
      <c r="A376" s="258"/>
      <c r="D376" s="1270"/>
      <c r="E376" s="1270"/>
      <c r="G376" s="1270"/>
    </row>
    <row r="377" spans="1:7" x14ac:dyDescent="0.6">
      <c r="A377" s="258"/>
      <c r="D377" s="1270"/>
      <c r="E377" s="1270"/>
      <c r="G377" s="1270"/>
    </row>
    <row r="378" spans="1:7" x14ac:dyDescent="0.6">
      <c r="A378" s="258"/>
      <c r="D378" s="1270"/>
      <c r="E378" s="1270"/>
      <c r="G378" s="1270"/>
    </row>
    <row r="379" spans="1:7" x14ac:dyDescent="0.6">
      <c r="A379" s="258"/>
      <c r="D379" s="1270"/>
      <c r="E379" s="1270"/>
      <c r="G379" s="1270"/>
    </row>
    <row r="380" spans="1:7" x14ac:dyDescent="0.6">
      <c r="A380" s="258"/>
      <c r="D380" s="1270"/>
      <c r="E380" s="1270"/>
      <c r="G380" s="1270"/>
    </row>
    <row r="381" spans="1:7" x14ac:dyDescent="0.6">
      <c r="A381" s="258"/>
      <c r="D381" s="1270"/>
      <c r="E381" s="1270"/>
      <c r="G381" s="1270"/>
    </row>
    <row r="382" spans="1:7" x14ac:dyDescent="0.6">
      <c r="A382" s="258"/>
      <c r="D382" s="1270"/>
      <c r="E382" s="1270"/>
      <c r="G382" s="1270"/>
    </row>
    <row r="383" spans="1:7" x14ac:dyDescent="0.6">
      <c r="A383" s="258"/>
      <c r="D383" s="1270"/>
      <c r="E383" s="1270"/>
      <c r="G383" s="1270"/>
    </row>
    <row r="384" spans="1:7" x14ac:dyDescent="0.6">
      <c r="A384" s="258"/>
      <c r="D384" s="1270"/>
      <c r="E384" s="1270"/>
      <c r="G384" s="1270"/>
    </row>
    <row r="385" spans="1:7" x14ac:dyDescent="0.6">
      <c r="A385" s="258"/>
      <c r="D385" s="1270"/>
      <c r="E385" s="1270"/>
      <c r="G385" s="1270"/>
    </row>
    <row r="386" spans="1:7" x14ac:dyDescent="0.6">
      <c r="A386" s="258"/>
      <c r="D386" s="1270"/>
      <c r="E386" s="1270"/>
      <c r="G386" s="1270"/>
    </row>
    <row r="387" spans="1:7" x14ac:dyDescent="0.6">
      <c r="A387" s="258"/>
      <c r="D387" s="1270"/>
      <c r="E387" s="1270"/>
      <c r="G387" s="1270"/>
    </row>
    <row r="388" spans="1:7" x14ac:dyDescent="0.6">
      <c r="A388" s="258"/>
      <c r="D388" s="1270"/>
      <c r="E388" s="1270"/>
      <c r="G388" s="1270"/>
    </row>
    <row r="389" spans="1:7" x14ac:dyDescent="0.6">
      <c r="A389" s="258"/>
      <c r="D389" s="1270"/>
      <c r="E389" s="1270"/>
      <c r="G389" s="1270"/>
    </row>
    <row r="390" spans="1:7" x14ac:dyDescent="0.6">
      <c r="A390" s="258"/>
      <c r="D390" s="1270"/>
      <c r="E390" s="1270"/>
      <c r="G390" s="1270"/>
    </row>
    <row r="391" spans="1:7" x14ac:dyDescent="0.6">
      <c r="A391" s="258"/>
      <c r="D391" s="1270"/>
      <c r="E391" s="1270"/>
      <c r="G391" s="1270"/>
    </row>
    <row r="392" spans="1:7" x14ac:dyDescent="0.6">
      <c r="A392" s="258"/>
      <c r="D392" s="1270"/>
      <c r="E392" s="1270"/>
      <c r="G392" s="1270"/>
    </row>
    <row r="393" spans="1:7" x14ac:dyDescent="0.6">
      <c r="A393" s="258"/>
      <c r="D393" s="1270"/>
      <c r="E393" s="1270"/>
      <c r="G393" s="1270"/>
    </row>
    <row r="394" spans="1:7" x14ac:dyDescent="0.6">
      <c r="A394" s="258"/>
      <c r="D394" s="1270"/>
      <c r="E394" s="1270"/>
      <c r="G394" s="1270"/>
    </row>
    <row r="395" spans="1:7" x14ac:dyDescent="0.6">
      <c r="A395" s="258"/>
      <c r="D395" s="1270"/>
      <c r="E395" s="1270"/>
      <c r="G395" s="1270"/>
    </row>
    <row r="396" spans="1:7" x14ac:dyDescent="0.6">
      <c r="A396" s="258"/>
      <c r="D396" s="1270"/>
      <c r="E396" s="1270"/>
      <c r="G396" s="1270"/>
    </row>
    <row r="397" spans="1:7" x14ac:dyDescent="0.6">
      <c r="A397" s="258"/>
      <c r="D397" s="1270"/>
      <c r="E397" s="1270"/>
      <c r="G397" s="1270"/>
    </row>
    <row r="398" spans="1:7" x14ac:dyDescent="0.6">
      <c r="A398" s="258"/>
      <c r="D398" s="1270"/>
      <c r="E398" s="1270"/>
      <c r="G398" s="1270"/>
    </row>
    <row r="399" spans="1:7" x14ac:dyDescent="0.6">
      <c r="A399" s="258"/>
      <c r="D399" s="1270"/>
      <c r="E399" s="1270"/>
      <c r="G399" s="1270"/>
    </row>
    <row r="400" spans="1:7" x14ac:dyDescent="0.6">
      <c r="A400" s="258"/>
      <c r="D400" s="1270"/>
      <c r="E400" s="1270"/>
      <c r="G400" s="1270"/>
    </row>
    <row r="401" spans="1:7" x14ac:dyDescent="0.6">
      <c r="A401" s="258"/>
      <c r="D401" s="1270"/>
      <c r="E401" s="1270"/>
      <c r="G401" s="1270"/>
    </row>
    <row r="402" spans="1:7" x14ac:dyDescent="0.6">
      <c r="A402" s="258"/>
      <c r="D402" s="1270"/>
      <c r="E402" s="1270"/>
      <c r="G402" s="1270"/>
    </row>
    <row r="403" spans="1:7" x14ac:dyDescent="0.6">
      <c r="A403" s="258"/>
      <c r="D403" s="1270"/>
      <c r="E403" s="1270"/>
      <c r="G403" s="1270"/>
    </row>
    <row r="404" spans="1:7" x14ac:dyDescent="0.6">
      <c r="A404" s="258"/>
      <c r="D404" s="1270"/>
      <c r="E404" s="1270"/>
      <c r="G404" s="1270"/>
    </row>
    <row r="405" spans="1:7" x14ac:dyDescent="0.6">
      <c r="A405" s="258"/>
      <c r="D405" s="1270"/>
      <c r="E405" s="1270"/>
      <c r="G405" s="1270"/>
    </row>
    <row r="406" spans="1:7" x14ac:dyDescent="0.6">
      <c r="A406" s="258"/>
      <c r="D406" s="1270"/>
      <c r="E406" s="1270"/>
      <c r="G406" s="1270"/>
    </row>
    <row r="407" spans="1:7" x14ac:dyDescent="0.6">
      <c r="A407" s="258"/>
      <c r="D407" s="1270"/>
      <c r="E407" s="1270"/>
      <c r="G407" s="1270"/>
    </row>
    <row r="408" spans="1:7" x14ac:dyDescent="0.6">
      <c r="A408" s="258"/>
      <c r="D408" s="1270"/>
      <c r="E408" s="1270"/>
      <c r="G408" s="1270"/>
    </row>
    <row r="409" spans="1:7" x14ac:dyDescent="0.6">
      <c r="A409" s="258"/>
      <c r="D409" s="1270"/>
      <c r="E409" s="1270"/>
      <c r="G409" s="1270"/>
    </row>
    <row r="410" spans="1:7" x14ac:dyDescent="0.6">
      <c r="A410" s="258"/>
      <c r="D410" s="1270"/>
      <c r="E410" s="1270"/>
      <c r="G410" s="1270"/>
    </row>
    <row r="411" spans="1:7" x14ac:dyDescent="0.6">
      <c r="A411" s="258"/>
      <c r="D411" s="1270"/>
      <c r="E411" s="1270"/>
      <c r="G411" s="1270"/>
    </row>
    <row r="412" spans="1:7" x14ac:dyDescent="0.6">
      <c r="A412" s="258"/>
      <c r="D412" s="1270"/>
      <c r="E412" s="1270"/>
      <c r="G412" s="1270"/>
    </row>
    <row r="413" spans="1:7" x14ac:dyDescent="0.6">
      <c r="A413" s="258"/>
      <c r="D413" s="1270"/>
      <c r="E413" s="1270"/>
      <c r="G413" s="1270"/>
    </row>
    <row r="414" spans="1:7" x14ac:dyDescent="0.6">
      <c r="A414" s="258"/>
      <c r="D414" s="1270"/>
      <c r="E414" s="1270"/>
      <c r="G414" s="1270"/>
    </row>
    <row r="415" spans="1:7" x14ac:dyDescent="0.6">
      <c r="A415" s="258"/>
      <c r="D415" s="1270"/>
      <c r="E415" s="1270"/>
      <c r="G415" s="1270"/>
    </row>
    <row r="416" spans="1:7" x14ac:dyDescent="0.6">
      <c r="A416" s="258"/>
      <c r="D416" s="1270"/>
      <c r="E416" s="1270"/>
      <c r="G416" s="1270"/>
    </row>
    <row r="417" spans="1:7" x14ac:dyDescent="0.6">
      <c r="A417" s="258"/>
      <c r="D417" s="1270"/>
      <c r="E417" s="1270"/>
      <c r="G417" s="1270"/>
    </row>
    <row r="418" spans="1:7" x14ac:dyDescent="0.6">
      <c r="A418" s="258"/>
      <c r="D418" s="1270"/>
      <c r="E418" s="1270"/>
      <c r="G418" s="1270"/>
    </row>
    <row r="419" spans="1:7" x14ac:dyDescent="0.6">
      <c r="A419" s="258"/>
      <c r="D419" s="1270"/>
      <c r="E419" s="1270"/>
      <c r="G419" s="1270"/>
    </row>
    <row r="420" spans="1:7" x14ac:dyDescent="0.6">
      <c r="A420" s="258"/>
      <c r="D420" s="1270"/>
      <c r="E420" s="1270"/>
      <c r="G420" s="1270"/>
    </row>
    <row r="421" spans="1:7" x14ac:dyDescent="0.6">
      <c r="A421" s="258"/>
      <c r="D421" s="1270"/>
      <c r="E421" s="1270"/>
      <c r="G421" s="1270"/>
    </row>
    <row r="422" spans="1:7" x14ac:dyDescent="0.6">
      <c r="A422" s="258"/>
      <c r="D422" s="1270"/>
      <c r="E422" s="1270"/>
      <c r="G422" s="1270"/>
    </row>
    <row r="423" spans="1:7" x14ac:dyDescent="0.6">
      <c r="A423" s="258"/>
      <c r="D423" s="1270"/>
      <c r="E423" s="1270"/>
      <c r="G423" s="1270"/>
    </row>
    <row r="424" spans="1:7" x14ac:dyDescent="0.6">
      <c r="A424" s="258"/>
      <c r="D424" s="1270"/>
      <c r="E424" s="1270"/>
      <c r="G424" s="1270"/>
    </row>
    <row r="425" spans="1:7" x14ac:dyDescent="0.6">
      <c r="A425" s="258"/>
      <c r="D425" s="1270"/>
      <c r="E425" s="1270"/>
      <c r="G425" s="1270"/>
    </row>
    <row r="426" spans="1:7" x14ac:dyDescent="0.6">
      <c r="A426" s="258"/>
      <c r="D426" s="1270"/>
      <c r="E426" s="1270"/>
      <c r="G426" s="1270"/>
    </row>
    <row r="427" spans="1:7" x14ac:dyDescent="0.6">
      <c r="A427" s="258"/>
      <c r="D427" s="1270"/>
      <c r="E427" s="1270"/>
      <c r="G427" s="1270"/>
    </row>
    <row r="428" spans="1:7" x14ac:dyDescent="0.6">
      <c r="A428" s="258"/>
      <c r="D428" s="1270"/>
      <c r="E428" s="1270"/>
      <c r="G428" s="1270"/>
    </row>
    <row r="429" spans="1:7" x14ac:dyDescent="0.6">
      <c r="A429" s="258"/>
      <c r="D429" s="1270"/>
      <c r="E429" s="1270"/>
      <c r="G429" s="1270"/>
    </row>
    <row r="430" spans="1:7" x14ac:dyDescent="0.6">
      <c r="A430" s="258"/>
      <c r="D430" s="1270"/>
      <c r="E430" s="1270"/>
      <c r="G430" s="1270"/>
    </row>
    <row r="431" spans="1:7" x14ac:dyDescent="0.6">
      <c r="A431" s="258"/>
      <c r="D431" s="1270"/>
      <c r="E431" s="1270"/>
      <c r="G431" s="1270"/>
    </row>
    <row r="432" spans="1:7" x14ac:dyDescent="0.6">
      <c r="A432" s="258"/>
      <c r="D432" s="1270"/>
      <c r="E432" s="1270"/>
      <c r="G432" s="1270"/>
    </row>
    <row r="433" spans="1:7" x14ac:dyDescent="0.6">
      <c r="A433" s="258"/>
      <c r="D433" s="1270"/>
      <c r="E433" s="1270"/>
      <c r="G433" s="1270"/>
    </row>
    <row r="434" spans="1:7" x14ac:dyDescent="0.6">
      <c r="A434" s="258"/>
      <c r="D434" s="1270"/>
      <c r="E434" s="1270"/>
      <c r="G434" s="1270"/>
    </row>
    <row r="435" spans="1:7" x14ac:dyDescent="0.6">
      <c r="A435" s="258"/>
      <c r="D435" s="1270"/>
      <c r="E435" s="1270"/>
      <c r="G435" s="1270"/>
    </row>
    <row r="436" spans="1:7" x14ac:dyDescent="0.6">
      <c r="A436" s="258"/>
      <c r="D436" s="1270"/>
      <c r="E436" s="1270"/>
      <c r="G436" s="1270"/>
    </row>
    <row r="437" spans="1:7" x14ac:dyDescent="0.6">
      <c r="A437" s="258"/>
      <c r="D437" s="1270"/>
      <c r="E437" s="1270"/>
      <c r="G437" s="1270"/>
    </row>
    <row r="438" spans="1:7" x14ac:dyDescent="0.6">
      <c r="A438" s="258"/>
      <c r="D438" s="1270"/>
      <c r="E438" s="1270"/>
      <c r="G438" s="1270"/>
    </row>
    <row r="439" spans="1:7" x14ac:dyDescent="0.6">
      <c r="A439" s="258"/>
      <c r="D439" s="1270"/>
      <c r="E439" s="1270"/>
      <c r="G439" s="1270"/>
    </row>
    <row r="440" spans="1:7" x14ac:dyDescent="0.6">
      <c r="A440" s="258"/>
      <c r="D440" s="1270"/>
      <c r="E440" s="1270"/>
      <c r="G440" s="1270"/>
    </row>
    <row r="441" spans="1:7" x14ac:dyDescent="0.6">
      <c r="A441" s="258"/>
      <c r="D441" s="1270"/>
      <c r="E441" s="1270"/>
      <c r="G441" s="1270"/>
    </row>
    <row r="442" spans="1:7" x14ac:dyDescent="0.6">
      <c r="A442" s="258"/>
      <c r="D442" s="1270"/>
      <c r="E442" s="1270"/>
      <c r="G442" s="1270"/>
    </row>
    <row r="443" spans="1:7" x14ac:dyDescent="0.6">
      <c r="A443" s="258"/>
      <c r="D443" s="1270"/>
      <c r="E443" s="1270"/>
      <c r="G443" s="1270"/>
    </row>
    <row r="444" spans="1:7" x14ac:dyDescent="0.6">
      <c r="A444" s="258"/>
      <c r="D444" s="1270"/>
      <c r="E444" s="1270"/>
      <c r="G444" s="1270"/>
    </row>
    <row r="445" spans="1:7" x14ac:dyDescent="0.6">
      <c r="A445" s="258"/>
      <c r="D445" s="1270"/>
      <c r="E445" s="1270"/>
      <c r="G445" s="1270"/>
    </row>
    <row r="446" spans="1:7" x14ac:dyDescent="0.6">
      <c r="A446" s="258"/>
      <c r="D446" s="1270"/>
      <c r="E446" s="1270"/>
      <c r="G446" s="1270"/>
    </row>
    <row r="447" spans="1:7" x14ac:dyDescent="0.6">
      <c r="A447" s="258"/>
      <c r="D447" s="1270"/>
      <c r="E447" s="1270"/>
      <c r="G447" s="1270"/>
    </row>
    <row r="448" spans="1:7" x14ac:dyDescent="0.6">
      <c r="A448" s="258"/>
      <c r="D448" s="1270"/>
      <c r="E448" s="1270"/>
      <c r="G448" s="1270"/>
    </row>
    <row r="449" spans="1:7" x14ac:dyDescent="0.6">
      <c r="A449" s="258"/>
      <c r="D449" s="1270"/>
      <c r="E449" s="1270"/>
      <c r="G449" s="1270"/>
    </row>
    <row r="450" spans="1:7" x14ac:dyDescent="0.6">
      <c r="A450" s="258"/>
      <c r="D450" s="1270"/>
      <c r="E450" s="1270"/>
      <c r="G450" s="1270"/>
    </row>
    <row r="451" spans="1:7" x14ac:dyDescent="0.6">
      <c r="A451" s="258"/>
      <c r="D451" s="1270"/>
      <c r="E451" s="1270"/>
      <c r="G451" s="1270"/>
    </row>
    <row r="452" spans="1:7" x14ac:dyDescent="0.6">
      <c r="A452" s="258"/>
      <c r="D452" s="1270"/>
      <c r="E452" s="1270"/>
      <c r="G452" s="1270"/>
    </row>
    <row r="453" spans="1:7" x14ac:dyDescent="0.6">
      <c r="A453" s="258"/>
      <c r="D453" s="1270"/>
      <c r="E453" s="1270"/>
      <c r="G453" s="1270"/>
    </row>
    <row r="454" spans="1:7" x14ac:dyDescent="0.6">
      <c r="A454" s="258"/>
      <c r="D454" s="1270"/>
      <c r="E454" s="1270"/>
      <c r="G454" s="1270"/>
    </row>
    <row r="455" spans="1:7" x14ac:dyDescent="0.6">
      <c r="A455" s="258"/>
      <c r="D455" s="1270"/>
      <c r="E455" s="1270"/>
      <c r="G455" s="1270"/>
    </row>
    <row r="456" spans="1:7" x14ac:dyDescent="0.6">
      <c r="A456" s="258"/>
      <c r="D456" s="1270"/>
      <c r="E456" s="1270"/>
      <c r="G456" s="1270"/>
    </row>
    <row r="457" spans="1:7" x14ac:dyDescent="0.6">
      <c r="A457" s="258"/>
      <c r="D457" s="1270"/>
      <c r="E457" s="1270"/>
      <c r="G457" s="1270"/>
    </row>
    <row r="458" spans="1:7" x14ac:dyDescent="0.6">
      <c r="A458" s="258"/>
      <c r="D458" s="1270"/>
      <c r="E458" s="1270"/>
      <c r="G458" s="1270"/>
    </row>
    <row r="459" spans="1:7" x14ac:dyDescent="0.6">
      <c r="A459" s="258"/>
      <c r="D459" s="1270"/>
      <c r="E459" s="1270"/>
      <c r="G459" s="1270"/>
    </row>
    <row r="460" spans="1:7" x14ac:dyDescent="0.6">
      <c r="A460" s="258"/>
      <c r="D460" s="1270"/>
      <c r="E460" s="1270"/>
      <c r="G460" s="1270"/>
    </row>
    <row r="461" spans="1:7" x14ac:dyDescent="0.6">
      <c r="A461" s="258"/>
      <c r="D461" s="1270"/>
      <c r="E461" s="1270"/>
      <c r="G461" s="1270"/>
    </row>
    <row r="462" spans="1:7" x14ac:dyDescent="0.6">
      <c r="A462" s="258"/>
      <c r="D462" s="1270"/>
      <c r="E462" s="1270"/>
      <c r="G462" s="1270"/>
    </row>
    <row r="463" spans="1:7" x14ac:dyDescent="0.6">
      <c r="A463" s="258"/>
      <c r="D463" s="1270"/>
      <c r="E463" s="1270"/>
      <c r="G463" s="1270"/>
    </row>
    <row r="464" spans="1:7" x14ac:dyDescent="0.6">
      <c r="A464" s="258"/>
      <c r="D464" s="1270"/>
      <c r="E464" s="1270"/>
      <c r="G464" s="1270"/>
    </row>
    <row r="465" spans="1:7" x14ac:dyDescent="0.6">
      <c r="A465" s="258"/>
      <c r="D465" s="1270"/>
      <c r="E465" s="1270"/>
      <c r="G465" s="1270"/>
    </row>
    <row r="466" spans="1:7" x14ac:dyDescent="0.6">
      <c r="A466" s="258"/>
      <c r="D466" s="1270"/>
      <c r="E466" s="1270"/>
      <c r="G466" s="1270"/>
    </row>
    <row r="467" spans="1:7" x14ac:dyDescent="0.6">
      <c r="A467" s="258"/>
      <c r="D467" s="1270"/>
      <c r="E467" s="1270"/>
      <c r="G467" s="1270"/>
    </row>
    <row r="468" spans="1:7" x14ac:dyDescent="0.6">
      <c r="A468" s="258"/>
      <c r="D468" s="1270"/>
      <c r="E468" s="1270"/>
      <c r="G468" s="1270"/>
    </row>
    <row r="469" spans="1:7" x14ac:dyDescent="0.6">
      <c r="A469" s="258"/>
      <c r="D469" s="1270"/>
      <c r="E469" s="1270"/>
      <c r="G469" s="1270"/>
    </row>
    <row r="470" spans="1:7" x14ac:dyDescent="0.6">
      <c r="A470" s="258"/>
      <c r="D470" s="1270"/>
      <c r="E470" s="1270"/>
      <c r="G470" s="1270"/>
    </row>
    <row r="471" spans="1:7" x14ac:dyDescent="0.6">
      <c r="A471" s="258"/>
      <c r="D471" s="1270"/>
      <c r="E471" s="1270"/>
      <c r="G471" s="1270"/>
    </row>
    <row r="472" spans="1:7" x14ac:dyDescent="0.6">
      <c r="A472" s="258"/>
      <c r="D472" s="1270"/>
      <c r="E472" s="1270"/>
      <c r="G472" s="1270"/>
    </row>
    <row r="473" spans="1:7" x14ac:dyDescent="0.6">
      <c r="A473" s="258"/>
      <c r="D473" s="1270"/>
      <c r="E473" s="1270"/>
      <c r="G473" s="1270"/>
    </row>
    <row r="474" spans="1:7" x14ac:dyDescent="0.6">
      <c r="A474" s="258"/>
      <c r="D474" s="1270"/>
      <c r="E474" s="1270"/>
      <c r="G474" s="1270"/>
    </row>
    <row r="475" spans="1:7" x14ac:dyDescent="0.6">
      <c r="A475" s="258"/>
      <c r="D475" s="1270"/>
      <c r="E475" s="1270"/>
      <c r="G475" s="1270"/>
    </row>
    <row r="476" spans="1:7" x14ac:dyDescent="0.6">
      <c r="A476" s="258"/>
      <c r="D476" s="1270"/>
      <c r="E476" s="1270"/>
      <c r="G476" s="1270"/>
    </row>
    <row r="477" spans="1:7" x14ac:dyDescent="0.6">
      <c r="A477" s="258"/>
      <c r="D477" s="1270"/>
      <c r="E477" s="1270"/>
      <c r="G477" s="1270"/>
    </row>
    <row r="478" spans="1:7" x14ac:dyDescent="0.6">
      <c r="A478" s="258"/>
      <c r="D478" s="1270"/>
      <c r="E478" s="1270"/>
      <c r="G478" s="1270"/>
    </row>
    <row r="479" spans="1:7" x14ac:dyDescent="0.6">
      <c r="A479" s="258"/>
      <c r="D479" s="1270"/>
      <c r="E479" s="1270"/>
      <c r="G479" s="1270"/>
    </row>
    <row r="480" spans="1:7" x14ac:dyDescent="0.6">
      <c r="A480" s="258"/>
      <c r="D480" s="1270"/>
      <c r="E480" s="1270"/>
      <c r="G480" s="1270"/>
    </row>
    <row r="481" spans="1:7" x14ac:dyDescent="0.6">
      <c r="A481" s="258"/>
      <c r="D481" s="1270"/>
      <c r="E481" s="1270"/>
      <c r="G481" s="1270"/>
    </row>
    <row r="482" spans="1:7" x14ac:dyDescent="0.6">
      <c r="A482" s="258"/>
      <c r="D482" s="1270"/>
      <c r="E482" s="1270"/>
      <c r="G482" s="1270"/>
    </row>
    <row r="483" spans="1:7" x14ac:dyDescent="0.6">
      <c r="A483" s="258"/>
      <c r="D483" s="1270"/>
      <c r="E483" s="1270"/>
      <c r="G483" s="1270"/>
    </row>
    <row r="484" spans="1:7" x14ac:dyDescent="0.6">
      <c r="A484" s="258"/>
      <c r="D484" s="1270"/>
      <c r="E484" s="1270"/>
      <c r="G484" s="1270"/>
    </row>
    <row r="485" spans="1:7" x14ac:dyDescent="0.6">
      <c r="A485" s="258"/>
      <c r="D485" s="1270"/>
      <c r="E485" s="1270"/>
      <c r="G485" s="1270"/>
    </row>
    <row r="486" spans="1:7" x14ac:dyDescent="0.6">
      <c r="A486" s="258"/>
      <c r="D486" s="1270"/>
      <c r="E486" s="1270"/>
      <c r="G486" s="1270"/>
    </row>
    <row r="487" spans="1:7" x14ac:dyDescent="0.6">
      <c r="A487" s="258"/>
      <c r="D487" s="1270"/>
      <c r="E487" s="1270"/>
      <c r="G487" s="1270"/>
    </row>
    <row r="488" spans="1:7" x14ac:dyDescent="0.6">
      <c r="A488" s="258"/>
      <c r="D488" s="1270"/>
      <c r="E488" s="1270"/>
      <c r="G488" s="1270"/>
    </row>
    <row r="489" spans="1:7" x14ac:dyDescent="0.6">
      <c r="A489" s="258"/>
      <c r="D489" s="1270"/>
      <c r="E489" s="1270"/>
      <c r="G489" s="1270"/>
    </row>
    <row r="490" spans="1:7" x14ac:dyDescent="0.6">
      <c r="A490" s="258"/>
      <c r="D490" s="1270"/>
      <c r="E490" s="1270"/>
      <c r="G490" s="1270"/>
    </row>
    <row r="491" spans="1:7" x14ac:dyDescent="0.6">
      <c r="A491" s="258"/>
      <c r="D491" s="1270"/>
      <c r="E491" s="1270"/>
      <c r="G491" s="1270"/>
    </row>
    <row r="492" spans="1:7" x14ac:dyDescent="0.6">
      <c r="A492" s="258"/>
      <c r="D492" s="1270"/>
      <c r="E492" s="1270"/>
      <c r="G492" s="1270"/>
    </row>
    <row r="493" spans="1:7" x14ac:dyDescent="0.6">
      <c r="A493" s="258"/>
      <c r="D493" s="1270"/>
      <c r="E493" s="1270"/>
      <c r="G493" s="1270"/>
    </row>
    <row r="494" spans="1:7" x14ac:dyDescent="0.6">
      <c r="A494" s="258"/>
      <c r="D494" s="1270"/>
      <c r="E494" s="1270"/>
      <c r="G494" s="1270"/>
    </row>
    <row r="495" spans="1:7" x14ac:dyDescent="0.6">
      <c r="A495" s="258"/>
      <c r="D495" s="1270"/>
      <c r="E495" s="1270"/>
      <c r="G495" s="1270"/>
    </row>
    <row r="496" spans="1:7" x14ac:dyDescent="0.6">
      <c r="A496" s="258"/>
      <c r="D496" s="1270"/>
      <c r="E496" s="1270"/>
      <c r="G496" s="1270"/>
    </row>
    <row r="497" spans="1:7" x14ac:dyDescent="0.6">
      <c r="A497" s="258"/>
      <c r="D497" s="1270"/>
      <c r="E497" s="1270"/>
      <c r="G497" s="1270"/>
    </row>
    <row r="498" spans="1:7" x14ac:dyDescent="0.6">
      <c r="A498" s="258"/>
      <c r="D498" s="1270"/>
      <c r="E498" s="1270"/>
      <c r="G498" s="1270"/>
    </row>
    <row r="499" spans="1:7" x14ac:dyDescent="0.6">
      <c r="A499" s="258"/>
      <c r="D499" s="1270"/>
      <c r="E499" s="1270"/>
      <c r="G499" s="1270"/>
    </row>
    <row r="500" spans="1:7" x14ac:dyDescent="0.6">
      <c r="A500" s="258"/>
      <c r="D500" s="1270"/>
      <c r="E500" s="1270"/>
      <c r="G500" s="1270"/>
    </row>
    <row r="501" spans="1:7" x14ac:dyDescent="0.6">
      <c r="A501" s="258"/>
      <c r="D501" s="1270"/>
      <c r="E501" s="1270"/>
      <c r="G501" s="1270"/>
    </row>
    <row r="502" spans="1:7" x14ac:dyDescent="0.6">
      <c r="A502" s="258"/>
      <c r="D502" s="1270"/>
      <c r="E502" s="1270"/>
      <c r="G502" s="1270"/>
    </row>
    <row r="503" spans="1:7" x14ac:dyDescent="0.6">
      <c r="A503" s="258"/>
      <c r="D503" s="1270"/>
      <c r="E503" s="1270"/>
      <c r="G503" s="1270"/>
    </row>
    <row r="504" spans="1:7" x14ac:dyDescent="0.6">
      <c r="A504" s="258"/>
      <c r="D504" s="1270"/>
      <c r="E504" s="1270"/>
      <c r="G504" s="1270"/>
    </row>
    <row r="505" spans="1:7" x14ac:dyDescent="0.6">
      <c r="A505" s="258"/>
      <c r="D505" s="1270"/>
      <c r="E505" s="1270"/>
      <c r="G505" s="1270"/>
    </row>
    <row r="506" spans="1:7" x14ac:dyDescent="0.6">
      <c r="A506" s="258"/>
      <c r="D506" s="1270"/>
      <c r="E506" s="1270"/>
      <c r="G506" s="1270"/>
    </row>
    <row r="507" spans="1:7" x14ac:dyDescent="0.6">
      <c r="A507" s="258"/>
      <c r="D507" s="1270"/>
      <c r="E507" s="1270"/>
      <c r="G507" s="1270"/>
    </row>
    <row r="508" spans="1:7" x14ac:dyDescent="0.6">
      <c r="A508" s="258"/>
      <c r="D508" s="1270"/>
      <c r="E508" s="1270"/>
      <c r="G508" s="1270"/>
    </row>
    <row r="509" spans="1:7" x14ac:dyDescent="0.6">
      <c r="A509" s="258"/>
      <c r="D509" s="1270"/>
      <c r="E509" s="1270"/>
      <c r="G509" s="1270"/>
    </row>
    <row r="510" spans="1:7" x14ac:dyDescent="0.6">
      <c r="A510" s="258"/>
      <c r="D510" s="1270"/>
      <c r="E510" s="1270"/>
      <c r="G510" s="1270"/>
    </row>
    <row r="511" spans="1:7" x14ac:dyDescent="0.6">
      <c r="A511" s="258"/>
      <c r="D511" s="1270"/>
      <c r="E511" s="1270"/>
      <c r="G511" s="1270"/>
    </row>
    <row r="512" spans="1:7" x14ac:dyDescent="0.6">
      <c r="A512" s="258"/>
      <c r="D512" s="1270"/>
      <c r="E512" s="1270"/>
      <c r="G512" s="1270"/>
    </row>
    <row r="513" spans="1:7" x14ac:dyDescent="0.6">
      <c r="A513" s="258"/>
      <c r="D513" s="1270"/>
      <c r="E513" s="1270"/>
      <c r="G513" s="1270"/>
    </row>
    <row r="514" spans="1:7" x14ac:dyDescent="0.6">
      <c r="A514" s="258"/>
      <c r="D514" s="1270"/>
      <c r="E514" s="1270"/>
      <c r="G514" s="1270"/>
    </row>
    <row r="515" spans="1:7" x14ac:dyDescent="0.6">
      <c r="A515" s="258"/>
      <c r="D515" s="1270"/>
      <c r="E515" s="1270"/>
      <c r="G515" s="1270"/>
    </row>
    <row r="516" spans="1:7" x14ac:dyDescent="0.6">
      <c r="A516" s="258"/>
      <c r="D516" s="1270"/>
      <c r="E516" s="1270"/>
      <c r="G516" s="1270"/>
    </row>
    <row r="517" spans="1:7" x14ac:dyDescent="0.6">
      <c r="A517" s="258"/>
      <c r="D517" s="1270"/>
      <c r="E517" s="1270"/>
      <c r="G517" s="1270"/>
    </row>
    <row r="518" spans="1:7" x14ac:dyDescent="0.6">
      <c r="A518" s="258"/>
      <c r="D518" s="1270"/>
      <c r="E518" s="1270"/>
      <c r="G518" s="1270"/>
    </row>
    <row r="519" spans="1:7" x14ac:dyDescent="0.6">
      <c r="A519" s="258"/>
      <c r="D519" s="1270"/>
      <c r="E519" s="1270"/>
      <c r="G519" s="1270"/>
    </row>
    <row r="520" spans="1:7" x14ac:dyDescent="0.6">
      <c r="A520" s="258"/>
      <c r="D520" s="1270"/>
      <c r="E520" s="1270"/>
      <c r="G520" s="1270"/>
    </row>
    <row r="521" spans="1:7" x14ac:dyDescent="0.6">
      <c r="A521" s="258"/>
      <c r="D521" s="1270"/>
      <c r="E521" s="1270"/>
      <c r="G521" s="1270"/>
    </row>
    <row r="522" spans="1:7" x14ac:dyDescent="0.6">
      <c r="A522" s="258"/>
      <c r="D522" s="1270"/>
      <c r="E522" s="1270"/>
      <c r="G522" s="1270"/>
    </row>
    <row r="523" spans="1:7" x14ac:dyDescent="0.6">
      <c r="A523" s="258"/>
      <c r="D523" s="1270"/>
      <c r="E523" s="1270"/>
      <c r="G523" s="1270"/>
    </row>
    <row r="524" spans="1:7" x14ac:dyDescent="0.6">
      <c r="A524" s="258"/>
      <c r="D524" s="1270"/>
      <c r="E524" s="1270"/>
      <c r="G524" s="1270"/>
    </row>
    <row r="525" spans="1:7" x14ac:dyDescent="0.6">
      <c r="A525" s="258"/>
      <c r="D525" s="1270"/>
      <c r="E525" s="1270"/>
      <c r="G525" s="1270"/>
    </row>
    <row r="526" spans="1:7" x14ac:dyDescent="0.6">
      <c r="A526" s="258"/>
      <c r="D526" s="1270"/>
      <c r="E526" s="1270"/>
      <c r="G526" s="1270"/>
    </row>
    <row r="527" spans="1:7" x14ac:dyDescent="0.6">
      <c r="A527" s="258"/>
      <c r="D527" s="1270"/>
      <c r="E527" s="1270"/>
      <c r="G527" s="1270"/>
    </row>
    <row r="528" spans="1:7" x14ac:dyDescent="0.6">
      <c r="A528" s="258"/>
      <c r="D528" s="1270"/>
      <c r="E528" s="1270"/>
      <c r="G528" s="1270"/>
    </row>
    <row r="529" spans="1:7" x14ac:dyDescent="0.6">
      <c r="A529" s="258"/>
      <c r="D529" s="1270"/>
      <c r="E529" s="1270"/>
      <c r="G529" s="1270"/>
    </row>
    <row r="530" spans="1:7" x14ac:dyDescent="0.6">
      <c r="A530" s="258"/>
      <c r="D530" s="1270"/>
      <c r="E530" s="1270"/>
      <c r="G530" s="1270"/>
    </row>
    <row r="531" spans="1:7" x14ac:dyDescent="0.6">
      <c r="A531" s="258"/>
      <c r="D531" s="1270"/>
      <c r="E531" s="1270"/>
      <c r="G531" s="1270"/>
    </row>
    <row r="532" spans="1:7" x14ac:dyDescent="0.6">
      <c r="A532" s="258"/>
      <c r="D532" s="1270"/>
      <c r="E532" s="1270"/>
      <c r="G532" s="1270"/>
    </row>
    <row r="533" spans="1:7" x14ac:dyDescent="0.6">
      <c r="A533" s="258"/>
      <c r="D533" s="1270"/>
      <c r="E533" s="1270"/>
      <c r="G533" s="1270"/>
    </row>
    <row r="534" spans="1:7" x14ac:dyDescent="0.6">
      <c r="A534" s="258"/>
      <c r="D534" s="1270"/>
      <c r="E534" s="1270"/>
      <c r="G534" s="1270"/>
    </row>
    <row r="535" spans="1:7" x14ac:dyDescent="0.6">
      <c r="A535" s="258"/>
      <c r="D535" s="1270"/>
      <c r="E535" s="1270"/>
      <c r="G535" s="1270"/>
    </row>
    <row r="536" spans="1:7" x14ac:dyDescent="0.6">
      <c r="A536" s="258"/>
      <c r="D536" s="1270"/>
      <c r="E536" s="1270"/>
      <c r="G536" s="1270"/>
    </row>
    <row r="537" spans="1:7" x14ac:dyDescent="0.6">
      <c r="A537" s="258"/>
      <c r="D537" s="1270"/>
      <c r="E537" s="1270"/>
      <c r="G537" s="1270"/>
    </row>
    <row r="538" spans="1:7" x14ac:dyDescent="0.6">
      <c r="A538" s="258"/>
      <c r="D538" s="1270"/>
      <c r="E538" s="1270"/>
      <c r="G538" s="1270"/>
    </row>
    <row r="539" spans="1:7" x14ac:dyDescent="0.6">
      <c r="A539" s="258"/>
      <c r="D539" s="1270"/>
      <c r="E539" s="1270"/>
      <c r="G539" s="1270"/>
    </row>
    <row r="540" spans="1:7" x14ac:dyDescent="0.6">
      <c r="A540" s="258"/>
      <c r="D540" s="1270"/>
      <c r="E540" s="1270"/>
      <c r="G540" s="1270"/>
    </row>
    <row r="541" spans="1:7" x14ac:dyDescent="0.6">
      <c r="A541" s="258"/>
      <c r="D541" s="1270"/>
      <c r="E541" s="1270"/>
      <c r="G541" s="1270"/>
    </row>
    <row r="542" spans="1:7" x14ac:dyDescent="0.6">
      <c r="A542" s="258"/>
      <c r="D542" s="1270"/>
      <c r="E542" s="1270"/>
      <c r="G542" s="1270"/>
    </row>
    <row r="543" spans="1:7" x14ac:dyDescent="0.6">
      <c r="A543" s="258"/>
      <c r="D543" s="1270"/>
      <c r="E543" s="1270"/>
      <c r="G543" s="1270"/>
    </row>
    <row r="544" spans="1:7" x14ac:dyDescent="0.6">
      <c r="A544" s="258"/>
      <c r="D544" s="1270"/>
      <c r="E544" s="1270"/>
      <c r="G544" s="1270"/>
    </row>
    <row r="545" spans="1:7" x14ac:dyDescent="0.6">
      <c r="A545" s="258"/>
      <c r="D545" s="1270"/>
      <c r="E545" s="1270"/>
      <c r="G545" s="1270"/>
    </row>
    <row r="546" spans="1:7" x14ac:dyDescent="0.6">
      <c r="A546" s="258"/>
      <c r="D546" s="1270"/>
      <c r="E546" s="1270"/>
      <c r="G546" s="1270"/>
    </row>
    <row r="547" spans="1:7" x14ac:dyDescent="0.6">
      <c r="A547" s="258"/>
      <c r="D547" s="1270"/>
      <c r="E547" s="1270"/>
      <c r="G547" s="1270"/>
    </row>
    <row r="548" spans="1:7" x14ac:dyDescent="0.6">
      <c r="A548" s="258"/>
      <c r="D548" s="1270"/>
      <c r="E548" s="1270"/>
      <c r="G548" s="1270"/>
    </row>
    <row r="549" spans="1:7" x14ac:dyDescent="0.6">
      <c r="A549" s="258"/>
      <c r="D549" s="1270"/>
      <c r="E549" s="1270"/>
      <c r="G549" s="1270"/>
    </row>
    <row r="550" spans="1:7" x14ac:dyDescent="0.6">
      <c r="A550" s="258"/>
      <c r="D550" s="1270"/>
      <c r="E550" s="1270"/>
      <c r="G550" s="1270"/>
    </row>
    <row r="551" spans="1:7" x14ac:dyDescent="0.6">
      <c r="A551" s="258"/>
      <c r="D551" s="1270"/>
      <c r="E551" s="1270"/>
      <c r="G551" s="1270"/>
    </row>
    <row r="552" spans="1:7" x14ac:dyDescent="0.6">
      <c r="A552" s="258"/>
      <c r="D552" s="1270"/>
      <c r="E552" s="1270"/>
      <c r="G552" s="1270"/>
    </row>
    <row r="553" spans="1:7" x14ac:dyDescent="0.6">
      <c r="A553" s="258"/>
      <c r="D553" s="1270"/>
      <c r="E553" s="1270"/>
      <c r="G553" s="1270"/>
    </row>
    <row r="554" spans="1:7" x14ac:dyDescent="0.6">
      <c r="A554" s="258"/>
      <c r="D554" s="1270"/>
      <c r="E554" s="1270"/>
      <c r="G554" s="1270"/>
    </row>
    <row r="555" spans="1:7" x14ac:dyDescent="0.6">
      <c r="A555" s="258"/>
      <c r="D555" s="1270"/>
      <c r="E555" s="1270"/>
      <c r="G555" s="1270"/>
    </row>
    <row r="556" spans="1:7" x14ac:dyDescent="0.6">
      <c r="A556" s="258"/>
      <c r="D556" s="1270"/>
      <c r="E556" s="1270"/>
      <c r="G556" s="1270"/>
    </row>
    <row r="557" spans="1:7" x14ac:dyDescent="0.6">
      <c r="A557" s="258"/>
      <c r="D557" s="1270"/>
      <c r="E557" s="1270"/>
      <c r="G557" s="1270"/>
    </row>
    <row r="558" spans="1:7" x14ac:dyDescent="0.6">
      <c r="A558" s="258"/>
      <c r="D558" s="1270"/>
      <c r="E558" s="1270"/>
      <c r="G558" s="1270"/>
    </row>
    <row r="559" spans="1:7" x14ac:dyDescent="0.6">
      <c r="A559" s="258"/>
      <c r="D559" s="1270"/>
      <c r="E559" s="1270"/>
      <c r="G559" s="1270"/>
    </row>
    <row r="560" spans="1:7" x14ac:dyDescent="0.6">
      <c r="A560" s="258"/>
      <c r="D560" s="1270"/>
      <c r="E560" s="1270"/>
      <c r="G560" s="1270"/>
    </row>
    <row r="561" spans="1:7" x14ac:dyDescent="0.6">
      <c r="A561" s="258"/>
      <c r="D561" s="1270"/>
      <c r="E561" s="1270"/>
      <c r="G561" s="1270"/>
    </row>
    <row r="562" spans="1:7" x14ac:dyDescent="0.6">
      <c r="A562" s="258"/>
      <c r="D562" s="1270"/>
      <c r="E562" s="1270"/>
      <c r="G562" s="1270"/>
    </row>
    <row r="563" spans="1:7" x14ac:dyDescent="0.6">
      <c r="A563" s="258"/>
      <c r="D563" s="1270"/>
      <c r="E563" s="1270"/>
      <c r="G563" s="1270"/>
    </row>
    <row r="564" spans="1:7" x14ac:dyDescent="0.6">
      <c r="A564" s="258"/>
      <c r="D564" s="1270"/>
      <c r="E564" s="1270"/>
      <c r="G564" s="1270"/>
    </row>
    <row r="565" spans="1:7" x14ac:dyDescent="0.6">
      <c r="A565" s="258"/>
      <c r="D565" s="1270"/>
      <c r="E565" s="1270"/>
      <c r="G565" s="1270"/>
    </row>
    <row r="566" spans="1:7" x14ac:dyDescent="0.6">
      <c r="A566" s="258"/>
      <c r="D566" s="1270"/>
      <c r="E566" s="1270"/>
      <c r="G566" s="1270"/>
    </row>
    <row r="567" spans="1:7" x14ac:dyDescent="0.6">
      <c r="A567" s="258"/>
      <c r="D567" s="1270"/>
      <c r="E567" s="1270"/>
      <c r="G567" s="1270"/>
    </row>
    <row r="568" spans="1:7" x14ac:dyDescent="0.6">
      <c r="A568" s="258"/>
      <c r="D568" s="1270"/>
      <c r="E568" s="1270"/>
      <c r="G568" s="1270"/>
    </row>
    <row r="569" spans="1:7" x14ac:dyDescent="0.6">
      <c r="A569" s="258"/>
      <c r="D569" s="1270"/>
      <c r="E569" s="1270"/>
      <c r="G569" s="1270"/>
    </row>
    <row r="570" spans="1:7" x14ac:dyDescent="0.6">
      <c r="A570" s="258"/>
      <c r="D570" s="1270"/>
      <c r="E570" s="1270"/>
      <c r="G570" s="1270"/>
    </row>
    <row r="571" spans="1:7" x14ac:dyDescent="0.6">
      <c r="A571" s="258"/>
      <c r="D571" s="1270"/>
      <c r="E571" s="1270"/>
      <c r="G571" s="1270"/>
    </row>
    <row r="572" spans="1:7" x14ac:dyDescent="0.6">
      <c r="A572" s="258"/>
      <c r="D572" s="1270"/>
      <c r="E572" s="1270"/>
      <c r="G572" s="1270"/>
    </row>
    <row r="573" spans="1:7" x14ac:dyDescent="0.6">
      <c r="A573" s="258"/>
      <c r="D573" s="1270"/>
      <c r="E573" s="1270"/>
      <c r="G573" s="1270"/>
    </row>
    <row r="574" spans="1:7" x14ac:dyDescent="0.6">
      <c r="A574" s="258"/>
      <c r="D574" s="1270"/>
      <c r="E574" s="1270"/>
      <c r="G574" s="1270"/>
    </row>
    <row r="575" spans="1:7" x14ac:dyDescent="0.6">
      <c r="A575" s="258"/>
      <c r="D575" s="1270"/>
      <c r="E575" s="1270"/>
      <c r="G575" s="1270"/>
    </row>
    <row r="576" spans="1:7" x14ac:dyDescent="0.6">
      <c r="A576" s="258"/>
      <c r="D576" s="1270"/>
      <c r="E576" s="1270"/>
      <c r="G576" s="1270"/>
    </row>
    <row r="577" spans="1:7" x14ac:dyDescent="0.6">
      <c r="A577" s="258"/>
      <c r="D577" s="1270"/>
      <c r="E577" s="1270"/>
      <c r="G577" s="1270"/>
    </row>
    <row r="578" spans="1:7" x14ac:dyDescent="0.6">
      <c r="A578" s="258"/>
      <c r="D578" s="1270"/>
      <c r="E578" s="1270"/>
      <c r="G578" s="1270"/>
    </row>
    <row r="579" spans="1:7" x14ac:dyDescent="0.6">
      <c r="A579" s="258"/>
      <c r="D579" s="1270"/>
      <c r="E579" s="1270"/>
      <c r="G579" s="1270"/>
    </row>
    <row r="580" spans="1:7" x14ac:dyDescent="0.6">
      <c r="A580" s="258"/>
      <c r="D580" s="1270"/>
      <c r="E580" s="1270"/>
      <c r="G580" s="1270"/>
    </row>
    <row r="581" spans="1:7" x14ac:dyDescent="0.6">
      <c r="A581" s="258"/>
      <c r="D581" s="1270"/>
      <c r="E581" s="1270"/>
      <c r="G581" s="1270"/>
    </row>
    <row r="582" spans="1:7" x14ac:dyDescent="0.6">
      <c r="A582" s="258"/>
      <c r="D582" s="1270"/>
      <c r="E582" s="1270"/>
      <c r="G582" s="1270"/>
    </row>
    <row r="583" spans="1:7" x14ac:dyDescent="0.6">
      <c r="A583" s="258"/>
      <c r="D583" s="1270"/>
      <c r="E583" s="1270"/>
      <c r="G583" s="1270"/>
    </row>
    <row r="584" spans="1:7" x14ac:dyDescent="0.6">
      <c r="A584" s="258"/>
      <c r="D584" s="1270"/>
      <c r="E584" s="1270"/>
      <c r="G584" s="1270"/>
    </row>
    <row r="585" spans="1:7" x14ac:dyDescent="0.6">
      <c r="A585" s="258"/>
      <c r="D585" s="1270"/>
      <c r="E585" s="1270"/>
      <c r="G585" s="1270"/>
    </row>
    <row r="586" spans="1:7" x14ac:dyDescent="0.6">
      <c r="A586" s="258"/>
      <c r="D586" s="1270"/>
      <c r="E586" s="1270"/>
      <c r="G586" s="1270"/>
    </row>
    <row r="587" spans="1:7" x14ac:dyDescent="0.6">
      <c r="A587" s="258"/>
      <c r="D587" s="1270"/>
      <c r="E587" s="1270"/>
      <c r="G587" s="1270"/>
    </row>
    <row r="588" spans="1:7" x14ac:dyDescent="0.6">
      <c r="A588" s="258"/>
      <c r="D588" s="1270"/>
      <c r="E588" s="1270"/>
      <c r="G588" s="1270"/>
    </row>
    <row r="589" spans="1:7" x14ac:dyDescent="0.6">
      <c r="A589" s="258"/>
      <c r="D589" s="1270"/>
      <c r="E589" s="1270"/>
      <c r="G589" s="1270"/>
    </row>
    <row r="590" spans="1:7" x14ac:dyDescent="0.6">
      <c r="A590" s="258"/>
      <c r="D590" s="1270"/>
      <c r="E590" s="1270"/>
      <c r="G590" s="1270"/>
    </row>
    <row r="591" spans="1:7" x14ac:dyDescent="0.6">
      <c r="A591" s="258"/>
      <c r="D591" s="1270"/>
      <c r="E591" s="1270"/>
      <c r="G591" s="1270"/>
    </row>
    <row r="592" spans="1:7" x14ac:dyDescent="0.6">
      <c r="A592" s="258"/>
      <c r="D592" s="1270"/>
      <c r="E592" s="1270"/>
      <c r="G592" s="1270"/>
    </row>
    <row r="593" spans="1:7" x14ac:dyDescent="0.6">
      <c r="A593" s="258"/>
      <c r="D593" s="1270"/>
      <c r="E593" s="1270"/>
      <c r="G593" s="1270"/>
    </row>
    <row r="594" spans="1:7" x14ac:dyDescent="0.6">
      <c r="A594" s="258"/>
      <c r="D594" s="1270"/>
      <c r="E594" s="1270"/>
      <c r="G594" s="1270"/>
    </row>
    <row r="595" spans="1:7" x14ac:dyDescent="0.6">
      <c r="A595" s="258"/>
      <c r="D595" s="1270"/>
      <c r="E595" s="1270"/>
      <c r="G595" s="1270"/>
    </row>
    <row r="596" spans="1:7" x14ac:dyDescent="0.6">
      <c r="A596" s="258"/>
      <c r="D596" s="1270"/>
      <c r="E596" s="1270"/>
      <c r="G596" s="1270"/>
    </row>
    <row r="597" spans="1:7" x14ac:dyDescent="0.6">
      <c r="A597" s="258"/>
      <c r="D597" s="1270"/>
      <c r="E597" s="1270"/>
      <c r="G597" s="1270"/>
    </row>
    <row r="598" spans="1:7" x14ac:dyDescent="0.6">
      <c r="A598" s="258"/>
      <c r="D598" s="1270"/>
      <c r="E598" s="1270"/>
      <c r="G598" s="1270"/>
    </row>
    <row r="599" spans="1:7" x14ac:dyDescent="0.6">
      <c r="A599" s="258"/>
      <c r="D599" s="1270"/>
      <c r="E599" s="1270"/>
      <c r="G599" s="1270"/>
    </row>
    <row r="600" spans="1:7" x14ac:dyDescent="0.6">
      <c r="A600" s="258"/>
      <c r="D600" s="1270"/>
      <c r="E600" s="1270"/>
      <c r="G600" s="1270"/>
    </row>
    <row r="601" spans="1:7" x14ac:dyDescent="0.6">
      <c r="A601" s="258"/>
      <c r="D601" s="1270"/>
      <c r="E601" s="1270"/>
      <c r="G601" s="1270"/>
    </row>
    <row r="602" spans="1:7" x14ac:dyDescent="0.6">
      <c r="A602" s="258"/>
      <c r="D602" s="1270"/>
      <c r="E602" s="1270"/>
      <c r="G602" s="1270"/>
    </row>
    <row r="603" spans="1:7" x14ac:dyDescent="0.6">
      <c r="A603" s="258"/>
      <c r="D603" s="1270"/>
      <c r="E603" s="1270"/>
      <c r="G603" s="1270"/>
    </row>
    <row r="604" spans="1:7" x14ac:dyDescent="0.6">
      <c r="A604" s="258"/>
      <c r="D604" s="1270"/>
      <c r="E604" s="1270"/>
      <c r="G604" s="1270"/>
    </row>
    <row r="605" spans="1:7" x14ac:dyDescent="0.6">
      <c r="A605" s="258"/>
      <c r="D605" s="1270"/>
      <c r="E605" s="1270"/>
      <c r="G605" s="1270"/>
    </row>
    <row r="606" spans="1:7" x14ac:dyDescent="0.6">
      <c r="A606" s="258"/>
      <c r="D606" s="1270"/>
      <c r="E606" s="1270"/>
      <c r="G606" s="1270"/>
    </row>
    <row r="607" spans="1:7" x14ac:dyDescent="0.6">
      <c r="A607" s="258"/>
      <c r="D607" s="1270"/>
      <c r="E607" s="1270"/>
      <c r="G607" s="1270"/>
    </row>
    <row r="608" spans="1:7" x14ac:dyDescent="0.6">
      <c r="A608" s="258"/>
      <c r="D608" s="1270"/>
      <c r="E608" s="1270"/>
      <c r="G608" s="1270"/>
    </row>
    <row r="609" spans="1:7" x14ac:dyDescent="0.6">
      <c r="A609" s="258"/>
      <c r="D609" s="1270"/>
      <c r="E609" s="1270"/>
      <c r="G609" s="1270"/>
    </row>
    <row r="610" spans="1:7" x14ac:dyDescent="0.6">
      <c r="A610" s="258"/>
      <c r="D610" s="1270"/>
      <c r="E610" s="1270"/>
      <c r="G610" s="1270"/>
    </row>
    <row r="611" spans="1:7" x14ac:dyDescent="0.6">
      <c r="A611" s="258"/>
      <c r="D611" s="1270"/>
      <c r="E611" s="1270"/>
      <c r="G611" s="1270"/>
    </row>
    <row r="612" spans="1:7" x14ac:dyDescent="0.6">
      <c r="A612" s="258"/>
      <c r="D612" s="1270"/>
      <c r="E612" s="1270"/>
      <c r="G612" s="1270"/>
    </row>
    <row r="613" spans="1:7" x14ac:dyDescent="0.6">
      <c r="A613" s="258"/>
      <c r="D613" s="1270"/>
      <c r="E613" s="1270"/>
      <c r="G613" s="1270"/>
    </row>
    <row r="614" spans="1:7" x14ac:dyDescent="0.6">
      <c r="A614" s="258"/>
      <c r="D614" s="1270"/>
      <c r="E614" s="1270"/>
      <c r="G614" s="1270"/>
    </row>
    <row r="615" spans="1:7" x14ac:dyDescent="0.6">
      <c r="A615" s="258"/>
      <c r="D615" s="1270"/>
      <c r="E615" s="1270"/>
      <c r="G615" s="1270"/>
    </row>
    <row r="616" spans="1:7" x14ac:dyDescent="0.6">
      <c r="A616" s="258"/>
      <c r="D616" s="1270"/>
      <c r="E616" s="1270"/>
      <c r="G616" s="1270"/>
    </row>
    <row r="617" spans="1:7" x14ac:dyDescent="0.6">
      <c r="A617" s="258"/>
      <c r="D617" s="1270"/>
      <c r="E617" s="1270"/>
      <c r="G617" s="1270"/>
    </row>
    <row r="618" spans="1:7" x14ac:dyDescent="0.6">
      <c r="A618" s="258"/>
      <c r="D618" s="1270"/>
      <c r="E618" s="1270"/>
      <c r="G618" s="1270"/>
    </row>
    <row r="619" spans="1:7" x14ac:dyDescent="0.6">
      <c r="A619" s="258"/>
      <c r="D619" s="1270"/>
      <c r="E619" s="1270"/>
      <c r="G619" s="1270"/>
    </row>
    <row r="620" spans="1:7" x14ac:dyDescent="0.6">
      <c r="A620" s="258"/>
      <c r="D620" s="1270"/>
      <c r="E620" s="1270"/>
      <c r="G620" s="1270"/>
    </row>
    <row r="621" spans="1:7" x14ac:dyDescent="0.6">
      <c r="A621" s="258"/>
      <c r="D621" s="1270"/>
      <c r="E621" s="1270"/>
      <c r="G621" s="1270"/>
    </row>
    <row r="622" spans="1:7" x14ac:dyDescent="0.6">
      <c r="A622" s="258"/>
      <c r="D622" s="1270"/>
      <c r="E622" s="1270"/>
      <c r="G622" s="1270"/>
    </row>
    <row r="623" spans="1:7" x14ac:dyDescent="0.6">
      <c r="A623" s="258"/>
      <c r="D623" s="1270"/>
      <c r="E623" s="1270"/>
      <c r="G623" s="1270"/>
    </row>
    <row r="624" spans="1:7" x14ac:dyDescent="0.6">
      <c r="A624" s="258"/>
      <c r="D624" s="1270"/>
      <c r="E624" s="1270"/>
      <c r="G624" s="1270"/>
    </row>
    <row r="625" spans="1:7" x14ac:dyDescent="0.6">
      <c r="A625" s="258"/>
      <c r="D625" s="1270"/>
      <c r="E625" s="1270"/>
      <c r="G625" s="1270"/>
    </row>
    <row r="626" spans="1:7" x14ac:dyDescent="0.6">
      <c r="A626" s="258"/>
      <c r="D626" s="1270"/>
      <c r="E626" s="1270"/>
      <c r="G626" s="1270"/>
    </row>
    <row r="627" spans="1:7" x14ac:dyDescent="0.6">
      <c r="A627" s="258"/>
      <c r="D627" s="1270"/>
      <c r="E627" s="1270"/>
      <c r="G627" s="1270"/>
    </row>
    <row r="628" spans="1:7" x14ac:dyDescent="0.6">
      <c r="A628" s="258"/>
      <c r="D628" s="1270"/>
      <c r="E628" s="1270"/>
      <c r="G628" s="1270"/>
    </row>
    <row r="629" spans="1:7" x14ac:dyDescent="0.6">
      <c r="A629" s="258"/>
      <c r="D629" s="1270"/>
      <c r="E629" s="1270"/>
      <c r="G629" s="1270"/>
    </row>
    <row r="630" spans="1:7" x14ac:dyDescent="0.6">
      <c r="A630" s="258"/>
      <c r="D630" s="1270"/>
      <c r="E630" s="1270"/>
      <c r="G630" s="1270"/>
    </row>
    <row r="631" spans="1:7" x14ac:dyDescent="0.6">
      <c r="A631" s="258"/>
      <c r="D631" s="1270"/>
      <c r="E631" s="1270"/>
      <c r="G631" s="1270"/>
    </row>
    <row r="632" spans="1:7" x14ac:dyDescent="0.6">
      <c r="A632" s="258"/>
      <c r="D632" s="1270"/>
      <c r="E632" s="1270"/>
      <c r="G632" s="1270"/>
    </row>
    <row r="633" spans="1:7" x14ac:dyDescent="0.6">
      <c r="A633" s="258"/>
      <c r="D633" s="1270"/>
      <c r="E633" s="1270"/>
      <c r="G633" s="1270"/>
    </row>
    <row r="634" spans="1:7" x14ac:dyDescent="0.6">
      <c r="A634" s="258"/>
      <c r="D634" s="1270"/>
      <c r="E634" s="1270"/>
      <c r="G634" s="1270"/>
    </row>
    <row r="635" spans="1:7" x14ac:dyDescent="0.6">
      <c r="A635" s="258"/>
      <c r="D635" s="1270"/>
      <c r="E635" s="1270"/>
      <c r="G635" s="1270"/>
    </row>
    <row r="636" spans="1:7" x14ac:dyDescent="0.6">
      <c r="A636" s="258"/>
      <c r="D636" s="1270"/>
      <c r="E636" s="1270"/>
      <c r="G636" s="1270"/>
    </row>
    <row r="637" spans="1:7" x14ac:dyDescent="0.6">
      <c r="A637" s="258"/>
      <c r="D637" s="1270"/>
      <c r="E637" s="1270"/>
      <c r="G637" s="1270"/>
    </row>
    <row r="638" spans="1:7" x14ac:dyDescent="0.6">
      <c r="A638" s="258"/>
      <c r="D638" s="1270"/>
      <c r="E638" s="1270"/>
      <c r="G638" s="1270"/>
    </row>
    <row r="639" spans="1:7" x14ac:dyDescent="0.6">
      <c r="A639" s="258"/>
      <c r="D639" s="1270"/>
      <c r="E639" s="1270"/>
      <c r="G639" s="1270"/>
    </row>
    <row r="640" spans="1:7" x14ac:dyDescent="0.6">
      <c r="A640" s="258"/>
      <c r="D640" s="1270"/>
      <c r="E640" s="1270"/>
      <c r="G640" s="1270"/>
    </row>
    <row r="641" spans="1:7" x14ac:dyDescent="0.6">
      <c r="A641" s="258"/>
      <c r="D641" s="1270"/>
      <c r="E641" s="1270"/>
      <c r="G641" s="1270"/>
    </row>
    <row r="642" spans="1:7" x14ac:dyDescent="0.6">
      <c r="A642" s="258"/>
      <c r="D642" s="1270"/>
      <c r="E642" s="1270"/>
      <c r="G642" s="1270"/>
    </row>
    <row r="643" spans="1:7" x14ac:dyDescent="0.6">
      <c r="A643" s="258"/>
      <c r="D643" s="1270"/>
      <c r="E643" s="1270"/>
      <c r="G643" s="1270"/>
    </row>
    <row r="644" spans="1:7" x14ac:dyDescent="0.6">
      <c r="A644" s="258"/>
      <c r="D644" s="1270"/>
      <c r="E644" s="1270"/>
      <c r="G644" s="1270"/>
    </row>
    <row r="645" spans="1:7" x14ac:dyDescent="0.6">
      <c r="A645" s="258"/>
      <c r="D645" s="1270"/>
      <c r="E645" s="1270"/>
      <c r="G645" s="1270"/>
    </row>
    <row r="646" spans="1:7" x14ac:dyDescent="0.6">
      <c r="A646" s="258"/>
      <c r="D646" s="1270"/>
      <c r="E646" s="1270"/>
      <c r="G646" s="1270"/>
    </row>
    <row r="647" spans="1:7" x14ac:dyDescent="0.6">
      <c r="A647" s="258"/>
      <c r="D647" s="1270"/>
      <c r="E647" s="1270"/>
      <c r="G647" s="1270"/>
    </row>
    <row r="648" spans="1:7" x14ac:dyDescent="0.6">
      <c r="A648" s="258"/>
      <c r="D648" s="1270"/>
      <c r="E648" s="1270"/>
      <c r="G648" s="1270"/>
    </row>
    <row r="649" spans="1:7" x14ac:dyDescent="0.6">
      <c r="A649" s="258"/>
      <c r="D649" s="1270"/>
      <c r="E649" s="1270"/>
      <c r="G649" s="1270"/>
    </row>
    <row r="650" spans="1:7" x14ac:dyDescent="0.6">
      <c r="A650" s="258"/>
      <c r="D650" s="1270"/>
      <c r="E650" s="1270"/>
      <c r="G650" s="1270"/>
    </row>
    <row r="651" spans="1:7" x14ac:dyDescent="0.6">
      <c r="A651" s="258"/>
      <c r="D651" s="1270"/>
      <c r="E651" s="1270"/>
      <c r="G651" s="1270"/>
    </row>
    <row r="652" spans="1:7" x14ac:dyDescent="0.6">
      <c r="A652" s="258"/>
      <c r="D652" s="1270"/>
      <c r="E652" s="1270"/>
      <c r="G652" s="1270"/>
    </row>
    <row r="653" spans="1:7" x14ac:dyDescent="0.6">
      <c r="A653" s="258"/>
      <c r="D653" s="1270"/>
      <c r="E653" s="1270"/>
      <c r="G653" s="1270"/>
    </row>
    <row r="654" spans="1:7" x14ac:dyDescent="0.6">
      <c r="A654" s="258"/>
      <c r="D654" s="1270"/>
      <c r="E654" s="1270"/>
      <c r="G654" s="1270"/>
    </row>
    <row r="655" spans="1:7" x14ac:dyDescent="0.6">
      <c r="A655" s="258"/>
      <c r="D655" s="1270"/>
      <c r="E655" s="1270"/>
      <c r="G655" s="1270"/>
    </row>
    <row r="656" spans="1:7" x14ac:dyDescent="0.6">
      <c r="A656" s="258"/>
      <c r="D656" s="1270"/>
      <c r="E656" s="1270"/>
      <c r="G656" s="1270"/>
    </row>
    <row r="657" spans="1:7" x14ac:dyDescent="0.6">
      <c r="A657" s="258"/>
      <c r="D657" s="1270"/>
      <c r="E657" s="1270"/>
      <c r="G657" s="1270"/>
    </row>
    <row r="658" spans="1:7" x14ac:dyDescent="0.6">
      <c r="A658" s="258"/>
      <c r="D658" s="1270"/>
      <c r="E658" s="1270"/>
      <c r="G658" s="1270"/>
    </row>
    <row r="659" spans="1:7" x14ac:dyDescent="0.6">
      <c r="A659" s="258"/>
      <c r="D659" s="1270"/>
      <c r="E659" s="1270"/>
      <c r="G659" s="1270"/>
    </row>
    <row r="660" spans="1:7" x14ac:dyDescent="0.6">
      <c r="A660" s="258"/>
      <c r="D660" s="1270"/>
      <c r="E660" s="1270"/>
      <c r="G660" s="1270"/>
    </row>
    <row r="661" spans="1:7" x14ac:dyDescent="0.6">
      <c r="A661" s="258"/>
      <c r="D661" s="1270"/>
      <c r="E661" s="1270"/>
      <c r="G661" s="1270"/>
    </row>
    <row r="662" spans="1:7" x14ac:dyDescent="0.6">
      <c r="A662" s="258"/>
      <c r="D662" s="1270"/>
      <c r="E662" s="1270"/>
      <c r="G662" s="1270"/>
    </row>
    <row r="663" spans="1:7" x14ac:dyDescent="0.6">
      <c r="A663" s="258"/>
      <c r="D663" s="1270"/>
      <c r="E663" s="1270"/>
      <c r="G663" s="1270"/>
    </row>
    <row r="664" spans="1:7" x14ac:dyDescent="0.6">
      <c r="A664" s="258"/>
      <c r="D664" s="1270"/>
      <c r="E664" s="1270"/>
      <c r="G664" s="1270"/>
    </row>
    <row r="665" spans="1:7" x14ac:dyDescent="0.6">
      <c r="A665" s="258"/>
      <c r="D665" s="1270"/>
      <c r="E665" s="1270"/>
      <c r="G665" s="1270"/>
    </row>
    <row r="666" spans="1:7" x14ac:dyDescent="0.6">
      <c r="A666" s="258"/>
      <c r="D666" s="1270"/>
      <c r="E666" s="1270"/>
      <c r="G666" s="1270"/>
    </row>
    <row r="667" spans="1:7" x14ac:dyDescent="0.6">
      <c r="A667" s="258"/>
      <c r="D667" s="1270"/>
      <c r="E667" s="1270"/>
      <c r="G667" s="1270"/>
    </row>
    <row r="668" spans="1:7" x14ac:dyDescent="0.6">
      <c r="A668" s="258"/>
      <c r="D668" s="1270"/>
      <c r="E668" s="1270"/>
      <c r="G668" s="1270"/>
    </row>
    <row r="669" spans="1:7" x14ac:dyDescent="0.6">
      <c r="A669" s="258"/>
      <c r="D669" s="1270"/>
      <c r="E669" s="1270"/>
      <c r="G669" s="1270"/>
    </row>
    <row r="670" spans="1:7" x14ac:dyDescent="0.6">
      <c r="A670" s="258"/>
      <c r="D670" s="1270"/>
      <c r="E670" s="1270"/>
      <c r="G670" s="1270"/>
    </row>
    <row r="671" spans="1:7" x14ac:dyDescent="0.6">
      <c r="A671" s="258"/>
      <c r="D671" s="1270"/>
      <c r="E671" s="1270"/>
      <c r="G671" s="1270"/>
    </row>
    <row r="672" spans="1:7" x14ac:dyDescent="0.6">
      <c r="A672" s="258"/>
      <c r="D672" s="1270"/>
      <c r="E672" s="1270"/>
      <c r="G672" s="1270"/>
    </row>
    <row r="673" spans="1:7" x14ac:dyDescent="0.6">
      <c r="A673" s="258"/>
      <c r="D673" s="1270"/>
      <c r="E673" s="1270"/>
      <c r="G673" s="1270"/>
    </row>
    <row r="674" spans="1:7" x14ac:dyDescent="0.6">
      <c r="A674" s="258"/>
      <c r="D674" s="1270"/>
      <c r="E674" s="1270"/>
      <c r="G674" s="1270"/>
    </row>
    <row r="675" spans="1:7" x14ac:dyDescent="0.6">
      <c r="A675" s="258"/>
      <c r="D675" s="1270"/>
      <c r="E675" s="1270"/>
      <c r="G675" s="1270"/>
    </row>
    <row r="676" spans="1:7" x14ac:dyDescent="0.6">
      <c r="A676" s="258"/>
      <c r="D676" s="1270"/>
      <c r="E676" s="1270"/>
      <c r="G676" s="1270"/>
    </row>
    <row r="677" spans="1:7" x14ac:dyDescent="0.6">
      <c r="A677" s="258"/>
      <c r="D677" s="1270"/>
      <c r="E677" s="1270"/>
      <c r="G677" s="1270"/>
    </row>
    <row r="678" spans="1:7" x14ac:dyDescent="0.6">
      <c r="A678" s="258"/>
      <c r="D678" s="1270"/>
      <c r="E678" s="1270"/>
      <c r="G678" s="1270"/>
    </row>
    <row r="679" spans="1:7" x14ac:dyDescent="0.6">
      <c r="A679" s="258"/>
      <c r="D679" s="1270"/>
      <c r="E679" s="1270"/>
      <c r="G679" s="1270"/>
    </row>
    <row r="680" spans="1:7" x14ac:dyDescent="0.6">
      <c r="A680" s="258"/>
      <c r="D680" s="1270"/>
      <c r="E680" s="1270"/>
      <c r="G680" s="1270"/>
    </row>
    <row r="681" spans="1:7" x14ac:dyDescent="0.6">
      <c r="A681" s="258"/>
      <c r="D681" s="1270"/>
      <c r="E681" s="1270"/>
      <c r="G681" s="1270"/>
    </row>
    <row r="682" spans="1:7" x14ac:dyDescent="0.6">
      <c r="A682" s="258"/>
      <c r="D682" s="1270"/>
      <c r="E682" s="1270"/>
      <c r="G682" s="1270"/>
    </row>
    <row r="683" spans="1:7" x14ac:dyDescent="0.6">
      <c r="A683" s="258"/>
      <c r="D683" s="1270"/>
      <c r="E683" s="1270"/>
      <c r="G683" s="1270"/>
    </row>
    <row r="684" spans="1:7" x14ac:dyDescent="0.6">
      <c r="A684" s="258"/>
      <c r="D684" s="1270"/>
      <c r="E684" s="1270"/>
      <c r="G684" s="1270"/>
    </row>
    <row r="685" spans="1:7" x14ac:dyDescent="0.6">
      <c r="A685" s="258"/>
      <c r="D685" s="1270"/>
      <c r="E685" s="1270"/>
      <c r="G685" s="1270"/>
    </row>
    <row r="686" spans="1:7" x14ac:dyDescent="0.6">
      <c r="A686" s="258"/>
      <c r="D686" s="1270"/>
      <c r="E686" s="1270"/>
      <c r="G686" s="1270"/>
    </row>
    <row r="687" spans="1:7" x14ac:dyDescent="0.6">
      <c r="A687" s="258"/>
      <c r="D687" s="1270"/>
      <c r="E687" s="1270"/>
      <c r="G687" s="1270"/>
    </row>
    <row r="688" spans="1:7" x14ac:dyDescent="0.6">
      <c r="A688" s="258"/>
      <c r="D688" s="1270"/>
      <c r="E688" s="1270"/>
      <c r="G688" s="1270"/>
    </row>
    <row r="689" spans="1:7" x14ac:dyDescent="0.6">
      <c r="A689" s="258"/>
      <c r="D689" s="1270"/>
      <c r="E689" s="1270"/>
      <c r="G689" s="1270"/>
    </row>
    <row r="690" spans="1:7" x14ac:dyDescent="0.6">
      <c r="A690" s="258"/>
      <c r="D690" s="1270"/>
      <c r="E690" s="1270"/>
      <c r="G690" s="1270"/>
    </row>
    <row r="691" spans="1:7" x14ac:dyDescent="0.6">
      <c r="A691" s="258"/>
      <c r="D691" s="1270"/>
      <c r="E691" s="1270"/>
      <c r="G691" s="1270"/>
    </row>
    <row r="692" spans="1:7" x14ac:dyDescent="0.6">
      <c r="A692" s="258"/>
      <c r="D692" s="1270"/>
      <c r="E692" s="1270"/>
      <c r="G692" s="1270"/>
    </row>
    <row r="693" spans="1:7" x14ac:dyDescent="0.6">
      <c r="A693" s="258"/>
      <c r="D693" s="1270"/>
      <c r="E693" s="1270"/>
      <c r="G693" s="1270"/>
    </row>
    <row r="694" spans="1:7" x14ac:dyDescent="0.6">
      <c r="A694" s="258"/>
      <c r="D694" s="1270"/>
      <c r="E694" s="1270"/>
      <c r="G694" s="1270"/>
    </row>
    <row r="695" spans="1:7" x14ac:dyDescent="0.6">
      <c r="A695" s="258"/>
      <c r="D695" s="1270"/>
      <c r="E695" s="1270"/>
      <c r="G695" s="1270"/>
    </row>
    <row r="696" spans="1:7" x14ac:dyDescent="0.6">
      <c r="A696" s="258"/>
      <c r="D696" s="1270"/>
      <c r="E696" s="1270"/>
      <c r="G696" s="1270"/>
    </row>
    <row r="697" spans="1:7" x14ac:dyDescent="0.6">
      <c r="A697" s="258"/>
      <c r="D697" s="1270"/>
      <c r="E697" s="1270"/>
      <c r="G697" s="1270"/>
    </row>
    <row r="698" spans="1:7" x14ac:dyDescent="0.6">
      <c r="A698" s="258"/>
      <c r="D698" s="1270"/>
      <c r="E698" s="1270"/>
      <c r="G698" s="1270"/>
    </row>
    <row r="699" spans="1:7" x14ac:dyDescent="0.6">
      <c r="A699" s="258"/>
      <c r="D699" s="1270"/>
      <c r="E699" s="1270"/>
      <c r="G699" s="1270"/>
    </row>
    <row r="700" spans="1:7" x14ac:dyDescent="0.6">
      <c r="A700" s="258"/>
      <c r="D700" s="1270"/>
      <c r="E700" s="1270"/>
      <c r="G700" s="1270"/>
    </row>
    <row r="701" spans="1:7" x14ac:dyDescent="0.6">
      <c r="A701" s="258"/>
      <c r="D701" s="1270"/>
      <c r="E701" s="1270"/>
      <c r="G701" s="1270"/>
    </row>
    <row r="702" spans="1:7" x14ac:dyDescent="0.6">
      <c r="A702" s="258"/>
      <c r="D702" s="1270"/>
      <c r="E702" s="1270"/>
      <c r="G702" s="1270"/>
    </row>
    <row r="703" spans="1:7" x14ac:dyDescent="0.6">
      <c r="A703" s="258"/>
      <c r="D703" s="1270"/>
      <c r="E703" s="1270"/>
      <c r="G703" s="1270"/>
    </row>
    <row r="704" spans="1:7" x14ac:dyDescent="0.6">
      <c r="A704" s="258"/>
      <c r="D704" s="1270"/>
      <c r="E704" s="1270"/>
      <c r="G704" s="1270"/>
    </row>
    <row r="705" spans="1:7" x14ac:dyDescent="0.6">
      <c r="A705" s="258"/>
      <c r="D705" s="1270"/>
      <c r="E705" s="1270"/>
      <c r="G705" s="1270"/>
    </row>
    <row r="706" spans="1:7" x14ac:dyDescent="0.6">
      <c r="A706" s="258"/>
      <c r="D706" s="1270"/>
      <c r="E706" s="1270"/>
      <c r="G706" s="1270"/>
    </row>
    <row r="707" spans="1:7" x14ac:dyDescent="0.6">
      <c r="A707" s="258"/>
      <c r="D707" s="1270"/>
      <c r="E707" s="1270"/>
      <c r="G707" s="1270"/>
    </row>
    <row r="708" spans="1:7" x14ac:dyDescent="0.6">
      <c r="A708" s="258"/>
      <c r="D708" s="1270"/>
      <c r="E708" s="1270"/>
      <c r="G708" s="1270"/>
    </row>
    <row r="709" spans="1:7" x14ac:dyDescent="0.6">
      <c r="A709" s="258"/>
      <c r="D709" s="1270"/>
      <c r="E709" s="1270"/>
      <c r="G709" s="1270"/>
    </row>
    <row r="710" spans="1:7" x14ac:dyDescent="0.6">
      <c r="A710" s="258"/>
      <c r="D710" s="1270"/>
      <c r="E710" s="1270"/>
      <c r="G710" s="1270"/>
    </row>
    <row r="711" spans="1:7" x14ac:dyDescent="0.6">
      <c r="A711" s="258"/>
      <c r="D711" s="1270"/>
      <c r="E711" s="1270"/>
      <c r="G711" s="1270"/>
    </row>
    <row r="712" spans="1:7" x14ac:dyDescent="0.6">
      <c r="A712" s="258"/>
      <c r="D712" s="1270"/>
      <c r="E712" s="1270"/>
      <c r="G712" s="1270"/>
    </row>
    <row r="713" spans="1:7" x14ac:dyDescent="0.6">
      <c r="A713" s="258"/>
      <c r="D713" s="1270"/>
      <c r="E713" s="1270"/>
      <c r="G713" s="1270"/>
    </row>
    <row r="714" spans="1:7" x14ac:dyDescent="0.6">
      <c r="A714" s="258"/>
      <c r="D714" s="1270"/>
      <c r="E714" s="1270"/>
      <c r="G714" s="1270"/>
    </row>
    <row r="715" spans="1:7" x14ac:dyDescent="0.6">
      <c r="A715" s="258"/>
      <c r="D715" s="1270"/>
      <c r="E715" s="1270"/>
      <c r="G715" s="1270"/>
    </row>
    <row r="716" spans="1:7" x14ac:dyDescent="0.6">
      <c r="A716" s="258"/>
      <c r="D716" s="1270"/>
      <c r="E716" s="1270"/>
      <c r="G716" s="1270"/>
    </row>
    <row r="717" spans="1:7" x14ac:dyDescent="0.6">
      <c r="A717" s="258"/>
      <c r="D717" s="1270"/>
      <c r="E717" s="1270"/>
      <c r="G717" s="1270"/>
    </row>
    <row r="718" spans="1:7" x14ac:dyDescent="0.6">
      <c r="A718" s="258"/>
      <c r="D718" s="1270"/>
      <c r="E718" s="1270"/>
      <c r="G718" s="1270"/>
    </row>
    <row r="719" spans="1:7" x14ac:dyDescent="0.6">
      <c r="A719" s="258"/>
      <c r="D719" s="1270"/>
      <c r="E719" s="1270"/>
      <c r="G719" s="1270"/>
    </row>
    <row r="720" spans="1:7" x14ac:dyDescent="0.6">
      <c r="A720" s="258"/>
      <c r="D720" s="1270"/>
      <c r="E720" s="1270"/>
      <c r="G720" s="1270"/>
    </row>
    <row r="721" spans="1:7" x14ac:dyDescent="0.6">
      <c r="A721" s="258"/>
      <c r="D721" s="1270"/>
      <c r="E721" s="1270"/>
      <c r="G721" s="1270"/>
    </row>
    <row r="722" spans="1:7" x14ac:dyDescent="0.6">
      <c r="A722" s="258"/>
      <c r="D722" s="1270"/>
      <c r="E722" s="1270"/>
      <c r="G722" s="1270"/>
    </row>
    <row r="723" spans="1:7" x14ac:dyDescent="0.6">
      <c r="A723" s="258"/>
      <c r="D723" s="1270"/>
      <c r="E723" s="1270"/>
      <c r="G723" s="1270"/>
    </row>
    <row r="724" spans="1:7" x14ac:dyDescent="0.6">
      <c r="A724" s="258"/>
      <c r="D724" s="1270"/>
      <c r="E724" s="1270"/>
      <c r="G724" s="1270"/>
    </row>
    <row r="725" spans="1:7" x14ac:dyDescent="0.6">
      <c r="A725" s="258"/>
      <c r="D725" s="1270"/>
      <c r="E725" s="1270"/>
      <c r="G725" s="1270"/>
    </row>
    <row r="726" spans="1:7" x14ac:dyDescent="0.6">
      <c r="A726" s="258"/>
      <c r="D726" s="1270"/>
      <c r="E726" s="1270"/>
      <c r="G726" s="1270"/>
    </row>
    <row r="727" spans="1:7" x14ac:dyDescent="0.6">
      <c r="A727" s="258"/>
      <c r="D727" s="1270"/>
      <c r="E727" s="1270"/>
      <c r="G727" s="1270"/>
    </row>
    <row r="728" spans="1:7" x14ac:dyDescent="0.6">
      <c r="A728" s="258"/>
      <c r="D728" s="1270"/>
      <c r="E728" s="1270"/>
      <c r="G728" s="1270"/>
    </row>
    <row r="729" spans="1:7" x14ac:dyDescent="0.6">
      <c r="A729" s="258"/>
      <c r="D729" s="1270"/>
      <c r="E729" s="1270"/>
      <c r="G729" s="1270"/>
    </row>
    <row r="730" spans="1:7" x14ac:dyDescent="0.6">
      <c r="A730" s="258"/>
      <c r="D730" s="1270"/>
      <c r="E730" s="1270"/>
      <c r="G730" s="1270"/>
    </row>
  </sheetData>
  <protectedRanges>
    <protectedRange password="CC6F" sqref="B7:B36" name="ช่วง1_5_1_5_1"/>
  </protectedRanges>
  <mergeCells count="22">
    <mergeCell ref="B43:D43"/>
    <mergeCell ref="E43:G43"/>
    <mergeCell ref="B41:D41"/>
    <mergeCell ref="E41:G41"/>
    <mergeCell ref="I41:L41"/>
    <mergeCell ref="B42:D42"/>
    <mergeCell ref="E42:G42"/>
    <mergeCell ref="I42:L42"/>
    <mergeCell ref="O3:O6"/>
    <mergeCell ref="P3:P6"/>
    <mergeCell ref="Q3:Q6"/>
    <mergeCell ref="C4:E4"/>
    <mergeCell ref="A37:B37"/>
    <mergeCell ref="B40:D40"/>
    <mergeCell ref="E40:G40"/>
    <mergeCell ref="I40:L40"/>
    <mergeCell ref="A1:L1"/>
    <mergeCell ref="A2:L2"/>
    <mergeCell ref="A3:A6"/>
    <mergeCell ref="B3:B6"/>
    <mergeCell ref="C3:E3"/>
    <mergeCell ref="L3:L4"/>
  </mergeCells>
  <pageMargins left="0.39370078740157483" right="0.27559055118110237" top="0.74803149606299213" bottom="0.74803149606299213" header="0.31496062992125984" footer="0.31496062992125984"/>
  <pageSetup paperSize="9" scale="94" fitToHeight="0" orientation="landscape" useFirstPageNumber="1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7AA25-9EDF-478C-B705-D6DECE704A34}">
  <dimension ref="A1:AE799"/>
  <sheetViews>
    <sheetView zoomScaleNormal="100" zoomScaleSheetLayoutView="90" workbookViewId="0">
      <pane ySplit="7" topLeftCell="A101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09765625" style="1399" customWidth="1"/>
    <col min="2" max="2" width="24" style="1398" customWidth="1"/>
    <col min="3" max="3" width="6.3984375" style="1280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07" customWidth="1"/>
    <col min="16" max="16" width="11.09765625" style="1288" hidden="1" customWidth="1"/>
    <col min="17" max="17" width="11.09765625" style="1288" customWidth="1"/>
    <col min="18" max="18" width="11.09765625" style="1288" hidden="1" customWidth="1"/>
    <col min="19" max="19" width="11.09765625" style="1288" customWidth="1"/>
    <col min="20" max="20" width="11.09765625" style="1288" hidden="1" customWidth="1"/>
    <col min="21" max="21" width="11.09765625" style="1288" customWidth="1"/>
    <col min="22" max="22" width="11.09765625" style="1288" hidden="1" customWidth="1"/>
    <col min="23" max="23" width="11.09765625" style="1288" customWidth="1"/>
    <col min="24" max="25" width="11.0976562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1" x14ac:dyDescent="0.6">
      <c r="A1" s="1297" t="s">
        <v>7774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1" x14ac:dyDescent="0.6">
      <c r="A4" s="1299" t="s">
        <v>2185</v>
      </c>
      <c r="B4" s="1300" t="s">
        <v>7734</v>
      </c>
      <c r="C4" s="1301" t="s">
        <v>7776</v>
      </c>
      <c r="D4" s="1302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306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31" x14ac:dyDescent="0.6">
      <c r="A5" s="1313"/>
      <c r="B5" s="1314"/>
      <c r="C5" s="1315" t="s">
        <v>7783</v>
      </c>
      <c r="D5" s="1302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31" x14ac:dyDescent="0.6">
      <c r="A6" s="1313"/>
      <c r="B6" s="1314"/>
      <c r="C6" s="1315" t="s">
        <v>7786</v>
      </c>
      <c r="D6" s="1323" t="s">
        <v>7787</v>
      </c>
      <c r="E6" s="1324" t="s">
        <v>7788</v>
      </c>
      <c r="F6" s="1325" t="s">
        <v>7789</v>
      </c>
      <c r="G6" s="1324" t="s">
        <v>7790</v>
      </c>
      <c r="H6" s="1325" t="s">
        <v>7791</v>
      </c>
      <c r="I6" s="1324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31" x14ac:dyDescent="0.6">
      <c r="A7" s="1328"/>
      <c r="B7" s="1329"/>
      <c r="C7" s="1330" t="s">
        <v>7796</v>
      </c>
      <c r="D7" s="1323"/>
      <c r="E7" s="1331"/>
      <c r="F7" s="1325"/>
      <c r="G7" s="1331"/>
      <c r="H7" s="1325"/>
      <c r="I7" s="1331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31" s="1359" customFormat="1" ht="23.25" customHeight="1" x14ac:dyDescent="0.25">
      <c r="A8" s="1279">
        <v>1</v>
      </c>
      <c r="B8" s="1341" t="s">
        <v>7797</v>
      </c>
      <c r="C8" s="1342" t="s">
        <v>7798</v>
      </c>
      <c r="D8" s="1343">
        <v>29</v>
      </c>
      <c r="E8" s="1344">
        <v>2465</v>
      </c>
      <c r="F8" s="1345">
        <v>47</v>
      </c>
      <c r="G8" s="1343">
        <v>4700</v>
      </c>
      <c r="H8" s="1346">
        <v>50</v>
      </c>
      <c r="I8" s="1347">
        <v>3600</v>
      </c>
      <c r="J8" s="1348">
        <v>54</v>
      </c>
      <c r="K8" s="1349">
        <v>6</v>
      </c>
      <c r="L8" s="1350">
        <f>K8*N8</f>
        <v>510</v>
      </c>
      <c r="M8" s="1351">
        <f>J8-K8</f>
        <v>48</v>
      </c>
      <c r="N8" s="1352">
        <v>85</v>
      </c>
      <c r="O8" s="1353">
        <f>M8*N8</f>
        <v>4080</v>
      </c>
      <c r="P8" s="1354">
        <v>12</v>
      </c>
      <c r="Q8" s="1354">
        <f>P8*N8</f>
        <v>1020</v>
      </c>
      <c r="R8" s="1354">
        <v>12</v>
      </c>
      <c r="S8" s="1355">
        <f>R8*N8</f>
        <v>1020</v>
      </c>
      <c r="T8" s="1354">
        <v>12</v>
      </c>
      <c r="U8" s="1355">
        <f>T8*N8</f>
        <v>1020</v>
      </c>
      <c r="V8" s="1354">
        <v>12</v>
      </c>
      <c r="W8" s="1355">
        <f>V8*N8</f>
        <v>1020</v>
      </c>
      <c r="X8" s="1356">
        <f>P8+R8+T8+V8</f>
        <v>48</v>
      </c>
      <c r="Y8" s="1356">
        <f>X8*N8</f>
        <v>4080</v>
      </c>
      <c r="Z8" s="1357" t="s">
        <v>7799</v>
      </c>
      <c r="AA8" s="1358" t="s">
        <v>6531</v>
      </c>
      <c r="AB8" s="1359" t="str">
        <f t="shared" ref="AB8:AB71" si="0">IF(O8=Y8,"yes")</f>
        <v>yes</v>
      </c>
      <c r="AC8" s="1359" t="str">
        <f>IF(O8=Y8,"ok")</f>
        <v>ok</v>
      </c>
    </row>
    <row r="9" spans="1:31" s="1359" customFormat="1" ht="20.25" customHeight="1" x14ac:dyDescent="0.25">
      <c r="A9" s="1279">
        <v>2</v>
      </c>
      <c r="B9" s="1341" t="s">
        <v>7800</v>
      </c>
      <c r="C9" s="1360" t="s">
        <v>7801</v>
      </c>
      <c r="D9" s="1345">
        <v>434</v>
      </c>
      <c r="E9" s="1344">
        <v>56420</v>
      </c>
      <c r="F9" s="1345">
        <v>438</v>
      </c>
      <c r="G9" s="1345">
        <v>56940</v>
      </c>
      <c r="H9" s="1346">
        <v>460</v>
      </c>
      <c r="I9" s="1347">
        <v>57500</v>
      </c>
      <c r="J9" s="1361">
        <v>525</v>
      </c>
      <c r="K9" s="1362">
        <v>25</v>
      </c>
      <c r="L9" s="1350">
        <f t="shared" ref="L9:L72" si="1">K9*N9</f>
        <v>3125</v>
      </c>
      <c r="M9" s="1351">
        <f t="shared" ref="M9:M72" si="2">J9-K9</f>
        <v>500</v>
      </c>
      <c r="N9" s="1363">
        <v>125</v>
      </c>
      <c r="O9" s="1353">
        <f t="shared" ref="O9:O17" si="3">M9*N9</f>
        <v>62500</v>
      </c>
      <c r="P9" s="1350">
        <v>125</v>
      </c>
      <c r="Q9" s="1354">
        <f t="shared" ref="Q9:Q17" si="4">P9*N9</f>
        <v>15625</v>
      </c>
      <c r="R9" s="1350">
        <v>125</v>
      </c>
      <c r="S9" s="1355">
        <f t="shared" ref="S9:S17" si="5">R9*N9</f>
        <v>15625</v>
      </c>
      <c r="T9" s="1356">
        <v>125</v>
      </c>
      <c r="U9" s="1355">
        <f t="shared" ref="U9:U17" si="6">T9*N9</f>
        <v>15625</v>
      </c>
      <c r="V9" s="1356">
        <v>125</v>
      </c>
      <c r="W9" s="1355">
        <f t="shared" ref="W9:W17" si="7">V9*N9</f>
        <v>15625</v>
      </c>
      <c r="X9" s="1356">
        <f>P9+R9+T9+V9</f>
        <v>500</v>
      </c>
      <c r="Y9" s="1356">
        <f t="shared" ref="Y9:Y17" si="8">X9*N9</f>
        <v>62500</v>
      </c>
      <c r="Z9" s="1357" t="s">
        <v>7799</v>
      </c>
      <c r="AA9" s="1358" t="s">
        <v>6531</v>
      </c>
      <c r="AB9" s="1359" t="str">
        <f t="shared" si="0"/>
        <v>yes</v>
      </c>
      <c r="AC9" s="1359" t="str">
        <f t="shared" ref="AC9:AC72" si="9">IF(O9=Y9,"ok")</f>
        <v>ok</v>
      </c>
    </row>
    <row r="10" spans="1:31" s="1359" customFormat="1" ht="20.25" customHeight="1" x14ac:dyDescent="0.25">
      <c r="A10" s="1279">
        <v>3</v>
      </c>
      <c r="B10" s="1341" t="s">
        <v>7802</v>
      </c>
      <c r="C10" s="1360" t="s">
        <v>7801</v>
      </c>
      <c r="D10" s="1345">
        <v>135</v>
      </c>
      <c r="E10" s="1344">
        <v>13500</v>
      </c>
      <c r="F10" s="1345">
        <v>198</v>
      </c>
      <c r="G10" s="1345">
        <v>19800</v>
      </c>
      <c r="H10" s="1346">
        <v>117</v>
      </c>
      <c r="I10" s="1347">
        <v>11700</v>
      </c>
      <c r="J10" s="1361">
        <v>230</v>
      </c>
      <c r="K10" s="1362">
        <v>30</v>
      </c>
      <c r="L10" s="1350">
        <f t="shared" si="1"/>
        <v>1950</v>
      </c>
      <c r="M10" s="1351">
        <f t="shared" si="2"/>
        <v>200</v>
      </c>
      <c r="N10" s="1363">
        <v>65</v>
      </c>
      <c r="O10" s="1353">
        <f t="shared" si="3"/>
        <v>13000</v>
      </c>
      <c r="P10" s="1350">
        <v>50</v>
      </c>
      <c r="Q10" s="1354">
        <f t="shared" si="4"/>
        <v>3250</v>
      </c>
      <c r="R10" s="1356">
        <v>50</v>
      </c>
      <c r="S10" s="1355">
        <f t="shared" si="5"/>
        <v>3250</v>
      </c>
      <c r="T10" s="1350">
        <v>50</v>
      </c>
      <c r="U10" s="1355">
        <f t="shared" si="6"/>
        <v>3250</v>
      </c>
      <c r="V10" s="1356">
        <v>50</v>
      </c>
      <c r="W10" s="1355">
        <f t="shared" si="7"/>
        <v>3250</v>
      </c>
      <c r="X10" s="1356">
        <f t="shared" ref="X10:X73" si="10">P10+R10+T10+V10</f>
        <v>200</v>
      </c>
      <c r="Y10" s="1356">
        <f t="shared" si="8"/>
        <v>13000</v>
      </c>
      <c r="Z10" s="1357" t="s">
        <v>7799</v>
      </c>
      <c r="AA10" s="1358" t="s">
        <v>6531</v>
      </c>
      <c r="AB10" s="1359" t="str">
        <f t="shared" si="0"/>
        <v>yes</v>
      </c>
      <c r="AC10" s="1359" t="str">
        <f t="shared" si="9"/>
        <v>ok</v>
      </c>
    </row>
    <row r="11" spans="1:31" s="1359" customFormat="1" ht="20.25" customHeight="1" x14ac:dyDescent="0.25">
      <c r="A11" s="1279">
        <v>4</v>
      </c>
      <c r="B11" s="1341" t="s">
        <v>7803</v>
      </c>
      <c r="C11" s="1360" t="s">
        <v>7801</v>
      </c>
      <c r="D11" s="1345">
        <v>20</v>
      </c>
      <c r="E11" s="1344">
        <v>2800</v>
      </c>
      <c r="F11" s="1345">
        <v>15</v>
      </c>
      <c r="G11" s="1345">
        <v>2100</v>
      </c>
      <c r="H11" s="1346">
        <v>15</v>
      </c>
      <c r="I11" s="1347">
        <v>1950</v>
      </c>
      <c r="J11" s="1361">
        <v>15</v>
      </c>
      <c r="K11" s="1362">
        <v>5</v>
      </c>
      <c r="L11" s="1350">
        <f t="shared" si="1"/>
        <v>650</v>
      </c>
      <c r="M11" s="1351">
        <f t="shared" si="2"/>
        <v>10</v>
      </c>
      <c r="N11" s="1363">
        <v>130</v>
      </c>
      <c r="O11" s="1353">
        <f t="shared" si="3"/>
        <v>1300</v>
      </c>
      <c r="P11" s="1350">
        <v>0</v>
      </c>
      <c r="Q11" s="1354">
        <f t="shared" si="4"/>
        <v>0</v>
      </c>
      <c r="R11" s="1350">
        <v>5</v>
      </c>
      <c r="S11" s="1355">
        <f t="shared" si="5"/>
        <v>650</v>
      </c>
      <c r="T11" s="1356">
        <v>0</v>
      </c>
      <c r="U11" s="1355">
        <f t="shared" si="6"/>
        <v>0</v>
      </c>
      <c r="V11" s="1356">
        <v>5</v>
      </c>
      <c r="W11" s="1355">
        <f t="shared" si="7"/>
        <v>650</v>
      </c>
      <c r="X11" s="1356">
        <f t="shared" si="10"/>
        <v>10</v>
      </c>
      <c r="Y11" s="1356">
        <f t="shared" si="8"/>
        <v>1300</v>
      </c>
      <c r="Z11" s="1357" t="s">
        <v>7799</v>
      </c>
      <c r="AA11" s="1358" t="s">
        <v>6531</v>
      </c>
      <c r="AB11" s="1359" t="str">
        <f t="shared" si="0"/>
        <v>yes</v>
      </c>
      <c r="AC11" s="1359" t="str">
        <f t="shared" si="9"/>
        <v>ok</v>
      </c>
    </row>
    <row r="12" spans="1:31" s="1359" customFormat="1" ht="20.25" customHeight="1" x14ac:dyDescent="0.25">
      <c r="A12" s="1279">
        <v>5</v>
      </c>
      <c r="B12" s="1341" t="s">
        <v>7804</v>
      </c>
      <c r="C12" s="1360" t="s">
        <v>7801</v>
      </c>
      <c r="D12" s="1345">
        <v>7</v>
      </c>
      <c r="E12" s="1344">
        <v>980</v>
      </c>
      <c r="F12" s="1345">
        <v>7</v>
      </c>
      <c r="G12" s="1345">
        <v>1060</v>
      </c>
      <c r="H12" s="1346">
        <v>5</v>
      </c>
      <c r="I12" s="1347">
        <v>700</v>
      </c>
      <c r="J12" s="1361">
        <v>8</v>
      </c>
      <c r="K12" s="1362">
        <v>3</v>
      </c>
      <c r="L12" s="1350">
        <f t="shared" si="1"/>
        <v>390</v>
      </c>
      <c r="M12" s="1351">
        <f t="shared" si="2"/>
        <v>5</v>
      </c>
      <c r="N12" s="1363">
        <v>130</v>
      </c>
      <c r="O12" s="1353">
        <f t="shared" si="3"/>
        <v>650</v>
      </c>
      <c r="P12" s="1350">
        <v>0</v>
      </c>
      <c r="Q12" s="1354">
        <f t="shared" si="4"/>
        <v>0</v>
      </c>
      <c r="R12" s="1350">
        <v>2</v>
      </c>
      <c r="S12" s="1355">
        <f t="shared" si="5"/>
        <v>260</v>
      </c>
      <c r="T12" s="1356">
        <v>0</v>
      </c>
      <c r="U12" s="1355">
        <f t="shared" si="6"/>
        <v>0</v>
      </c>
      <c r="V12" s="1356">
        <v>3</v>
      </c>
      <c r="W12" s="1355">
        <f t="shared" si="7"/>
        <v>390</v>
      </c>
      <c r="X12" s="1356">
        <f t="shared" si="10"/>
        <v>5</v>
      </c>
      <c r="Y12" s="1356">
        <f t="shared" si="8"/>
        <v>650</v>
      </c>
      <c r="Z12" s="1357" t="s">
        <v>7799</v>
      </c>
      <c r="AA12" s="1358" t="s">
        <v>6531</v>
      </c>
      <c r="AB12" s="1359" t="str">
        <f t="shared" si="0"/>
        <v>yes</v>
      </c>
      <c r="AC12" s="1359" t="str">
        <f t="shared" si="9"/>
        <v>ok</v>
      </c>
    </row>
    <row r="13" spans="1:31" s="1359" customFormat="1" ht="20.25" customHeight="1" x14ac:dyDescent="0.25">
      <c r="A13" s="1279">
        <v>6</v>
      </c>
      <c r="B13" s="1341" t="s">
        <v>7805</v>
      </c>
      <c r="C13" s="1360" t="s">
        <v>7801</v>
      </c>
      <c r="D13" s="1345">
        <v>7</v>
      </c>
      <c r="E13" s="1344">
        <v>980</v>
      </c>
      <c r="F13" s="1345">
        <v>5</v>
      </c>
      <c r="G13" s="1345">
        <v>700</v>
      </c>
      <c r="H13" s="1346">
        <v>3</v>
      </c>
      <c r="I13" s="1347">
        <v>420</v>
      </c>
      <c r="J13" s="1361">
        <v>7</v>
      </c>
      <c r="K13" s="1362">
        <v>2</v>
      </c>
      <c r="L13" s="1350">
        <f t="shared" si="1"/>
        <v>260</v>
      </c>
      <c r="M13" s="1351">
        <f t="shared" si="2"/>
        <v>5</v>
      </c>
      <c r="N13" s="1363">
        <v>130</v>
      </c>
      <c r="O13" s="1353">
        <f t="shared" si="3"/>
        <v>650</v>
      </c>
      <c r="P13" s="1350">
        <v>0</v>
      </c>
      <c r="Q13" s="1354">
        <f t="shared" si="4"/>
        <v>0</v>
      </c>
      <c r="R13" s="1350">
        <v>2</v>
      </c>
      <c r="S13" s="1355">
        <f t="shared" si="5"/>
        <v>260</v>
      </c>
      <c r="T13" s="1356">
        <v>0</v>
      </c>
      <c r="U13" s="1355">
        <f t="shared" si="6"/>
        <v>0</v>
      </c>
      <c r="V13" s="1356">
        <v>3</v>
      </c>
      <c r="W13" s="1355">
        <f t="shared" si="7"/>
        <v>390</v>
      </c>
      <c r="X13" s="1356">
        <f t="shared" si="10"/>
        <v>5</v>
      </c>
      <c r="Y13" s="1356">
        <f t="shared" si="8"/>
        <v>650</v>
      </c>
      <c r="Z13" s="1357" t="s">
        <v>7799</v>
      </c>
      <c r="AA13" s="1358" t="s">
        <v>6531</v>
      </c>
      <c r="AB13" s="1359" t="str">
        <f t="shared" si="0"/>
        <v>yes</v>
      </c>
      <c r="AC13" s="1359" t="str">
        <f t="shared" si="9"/>
        <v>ok</v>
      </c>
    </row>
    <row r="14" spans="1:31" s="1359" customFormat="1" ht="20.25" customHeight="1" x14ac:dyDescent="0.25">
      <c r="A14" s="1279">
        <v>7</v>
      </c>
      <c r="B14" s="1341" t="s">
        <v>7806</v>
      </c>
      <c r="C14" s="1360" t="s">
        <v>7801</v>
      </c>
      <c r="D14" s="1345">
        <v>25</v>
      </c>
      <c r="E14" s="1344">
        <v>3500</v>
      </c>
      <c r="F14" s="1345">
        <v>18</v>
      </c>
      <c r="G14" s="1345">
        <v>2520</v>
      </c>
      <c r="H14" s="1346">
        <v>15</v>
      </c>
      <c r="I14" s="1347">
        <v>1950</v>
      </c>
      <c r="J14" s="1361">
        <v>15</v>
      </c>
      <c r="K14" s="1362">
        <v>5</v>
      </c>
      <c r="L14" s="1350">
        <f t="shared" si="1"/>
        <v>650</v>
      </c>
      <c r="M14" s="1351">
        <f t="shared" si="2"/>
        <v>10</v>
      </c>
      <c r="N14" s="1363">
        <v>130</v>
      </c>
      <c r="O14" s="1353">
        <f t="shared" si="3"/>
        <v>1300</v>
      </c>
      <c r="P14" s="1350">
        <v>0</v>
      </c>
      <c r="Q14" s="1354">
        <f t="shared" si="4"/>
        <v>0</v>
      </c>
      <c r="R14" s="1350">
        <v>5</v>
      </c>
      <c r="S14" s="1355">
        <f t="shared" si="5"/>
        <v>650</v>
      </c>
      <c r="T14" s="1356">
        <v>0</v>
      </c>
      <c r="U14" s="1355">
        <f t="shared" si="6"/>
        <v>0</v>
      </c>
      <c r="V14" s="1356">
        <v>5</v>
      </c>
      <c r="W14" s="1355">
        <f t="shared" si="7"/>
        <v>650</v>
      </c>
      <c r="X14" s="1356">
        <f t="shared" si="10"/>
        <v>10</v>
      </c>
      <c r="Y14" s="1356">
        <f t="shared" si="8"/>
        <v>1300</v>
      </c>
      <c r="Z14" s="1357" t="s">
        <v>7799</v>
      </c>
      <c r="AA14" s="1358" t="s">
        <v>6531</v>
      </c>
      <c r="AB14" s="1359" t="str">
        <f t="shared" si="0"/>
        <v>yes</v>
      </c>
      <c r="AC14" s="1359" t="str">
        <f t="shared" si="9"/>
        <v>ok</v>
      </c>
    </row>
    <row r="15" spans="1:31" s="1359" customFormat="1" ht="20.25" customHeight="1" x14ac:dyDescent="0.25">
      <c r="A15" s="1279">
        <v>8</v>
      </c>
      <c r="B15" s="1341" t="s">
        <v>7807</v>
      </c>
      <c r="C15" s="1360" t="s">
        <v>7808</v>
      </c>
      <c r="D15" s="1345">
        <v>150</v>
      </c>
      <c r="E15" s="1344">
        <v>4500</v>
      </c>
      <c r="F15" s="1345">
        <v>158</v>
      </c>
      <c r="G15" s="1345">
        <v>5530</v>
      </c>
      <c r="H15" s="1346">
        <v>97</v>
      </c>
      <c r="I15" s="1347">
        <v>2425</v>
      </c>
      <c r="J15" s="1361">
        <v>140</v>
      </c>
      <c r="K15" s="1362">
        <v>40</v>
      </c>
      <c r="L15" s="1350">
        <f t="shared" si="1"/>
        <v>1400</v>
      </c>
      <c r="M15" s="1351">
        <f t="shared" si="2"/>
        <v>100</v>
      </c>
      <c r="N15" s="1363">
        <v>35</v>
      </c>
      <c r="O15" s="1353">
        <f t="shared" si="3"/>
        <v>3500</v>
      </c>
      <c r="P15" s="1356">
        <v>0</v>
      </c>
      <c r="Q15" s="1354">
        <f t="shared" si="4"/>
        <v>0</v>
      </c>
      <c r="R15" s="1350">
        <v>0</v>
      </c>
      <c r="S15" s="1355">
        <f t="shared" si="5"/>
        <v>0</v>
      </c>
      <c r="T15" s="1356">
        <v>100</v>
      </c>
      <c r="U15" s="1355">
        <f t="shared" si="6"/>
        <v>3500</v>
      </c>
      <c r="V15" s="1350">
        <v>0</v>
      </c>
      <c r="W15" s="1355">
        <f t="shared" si="7"/>
        <v>0</v>
      </c>
      <c r="X15" s="1356">
        <f t="shared" si="10"/>
        <v>100</v>
      </c>
      <c r="Y15" s="1356">
        <f t="shared" si="8"/>
        <v>3500</v>
      </c>
      <c r="Z15" s="1357" t="s">
        <v>7799</v>
      </c>
      <c r="AA15" s="1358" t="s">
        <v>6531</v>
      </c>
      <c r="AB15" s="1359" t="str">
        <f t="shared" si="0"/>
        <v>yes</v>
      </c>
      <c r="AC15" s="1359" t="str">
        <f t="shared" si="9"/>
        <v>ok</v>
      </c>
      <c r="AE15" s="1364"/>
    </row>
    <row r="16" spans="1:31" s="1359" customFormat="1" ht="20.25" customHeight="1" x14ac:dyDescent="0.25">
      <c r="A16" s="1279">
        <v>9</v>
      </c>
      <c r="B16" s="1341" t="s">
        <v>7809</v>
      </c>
      <c r="C16" s="1360" t="s">
        <v>7801</v>
      </c>
      <c r="D16" s="1343">
        <v>3</v>
      </c>
      <c r="E16" s="1344">
        <v>600</v>
      </c>
      <c r="F16" s="1345">
        <v>0</v>
      </c>
      <c r="G16" s="1343">
        <v>0</v>
      </c>
      <c r="H16" s="1346">
        <v>3</v>
      </c>
      <c r="I16" s="1347">
        <v>600</v>
      </c>
      <c r="J16" s="1365">
        <v>3</v>
      </c>
      <c r="K16" s="1366">
        <v>0</v>
      </c>
      <c r="L16" s="1350">
        <f t="shared" si="1"/>
        <v>0</v>
      </c>
      <c r="M16" s="1351">
        <f t="shared" si="2"/>
        <v>3</v>
      </c>
      <c r="N16" s="1367">
        <v>200</v>
      </c>
      <c r="O16" s="1353">
        <f t="shared" si="3"/>
        <v>600</v>
      </c>
      <c r="P16" s="1350">
        <v>0</v>
      </c>
      <c r="Q16" s="1354">
        <f t="shared" si="4"/>
        <v>0</v>
      </c>
      <c r="R16" s="1350">
        <v>3</v>
      </c>
      <c r="S16" s="1355">
        <f t="shared" si="5"/>
        <v>600</v>
      </c>
      <c r="T16" s="1350">
        <v>0</v>
      </c>
      <c r="U16" s="1355">
        <f t="shared" si="6"/>
        <v>0</v>
      </c>
      <c r="V16" s="1350">
        <v>0</v>
      </c>
      <c r="W16" s="1355">
        <f t="shared" si="7"/>
        <v>0</v>
      </c>
      <c r="X16" s="1356">
        <f t="shared" si="10"/>
        <v>3</v>
      </c>
      <c r="Y16" s="1356">
        <f t="shared" si="8"/>
        <v>600</v>
      </c>
      <c r="Z16" s="1357" t="s">
        <v>7799</v>
      </c>
      <c r="AA16" s="1358" t="s">
        <v>6531</v>
      </c>
      <c r="AB16" s="1359" t="str">
        <f t="shared" si="0"/>
        <v>yes</v>
      </c>
      <c r="AC16" s="1359" t="str">
        <f t="shared" si="9"/>
        <v>ok</v>
      </c>
      <c r="AE16" s="1368"/>
    </row>
    <row r="17" spans="1:31" s="1359" customFormat="1" ht="20.25" customHeight="1" x14ac:dyDescent="0.25">
      <c r="A17" s="1279">
        <v>10</v>
      </c>
      <c r="B17" s="1341" t="s">
        <v>7810</v>
      </c>
      <c r="C17" s="1360" t="s">
        <v>7808</v>
      </c>
      <c r="D17" s="1343">
        <v>0</v>
      </c>
      <c r="E17" s="1344">
        <v>0</v>
      </c>
      <c r="F17" s="1345">
        <v>0</v>
      </c>
      <c r="G17" s="1343">
        <v>0</v>
      </c>
      <c r="H17" s="1346">
        <v>78</v>
      </c>
      <c r="I17" s="1347">
        <v>24960</v>
      </c>
      <c r="J17" s="1365">
        <v>219</v>
      </c>
      <c r="K17" s="1366">
        <v>19</v>
      </c>
      <c r="L17" s="1350">
        <f t="shared" si="1"/>
        <v>6080</v>
      </c>
      <c r="M17" s="1351">
        <f t="shared" si="2"/>
        <v>200</v>
      </c>
      <c r="N17" s="1367">
        <v>320</v>
      </c>
      <c r="O17" s="1353">
        <f t="shared" si="3"/>
        <v>64000</v>
      </c>
      <c r="P17" s="1350">
        <v>200</v>
      </c>
      <c r="Q17" s="1354">
        <f t="shared" si="4"/>
        <v>64000</v>
      </c>
      <c r="R17" s="1350">
        <v>0</v>
      </c>
      <c r="S17" s="1355">
        <f t="shared" si="5"/>
        <v>0</v>
      </c>
      <c r="T17" s="1350">
        <v>0</v>
      </c>
      <c r="U17" s="1355">
        <f t="shared" si="6"/>
        <v>0</v>
      </c>
      <c r="V17" s="1350">
        <v>0</v>
      </c>
      <c r="W17" s="1355">
        <f t="shared" si="7"/>
        <v>0</v>
      </c>
      <c r="X17" s="1356">
        <f t="shared" si="10"/>
        <v>200</v>
      </c>
      <c r="Y17" s="1356">
        <f t="shared" si="8"/>
        <v>64000</v>
      </c>
      <c r="Z17" s="1357" t="s">
        <v>7799</v>
      </c>
      <c r="AA17" s="1358" t="s">
        <v>6531</v>
      </c>
      <c r="AB17" s="1359" t="str">
        <f t="shared" si="0"/>
        <v>yes</v>
      </c>
      <c r="AC17" s="1359" t="str">
        <f t="shared" si="9"/>
        <v>ok</v>
      </c>
      <c r="AE17" s="1368"/>
    </row>
    <row r="18" spans="1:31" s="1359" customFormat="1" ht="23.25" customHeight="1" x14ac:dyDescent="0.25">
      <c r="A18" s="1279">
        <v>11</v>
      </c>
      <c r="B18" s="1341" t="s">
        <v>7811</v>
      </c>
      <c r="C18" s="1360" t="s">
        <v>7801</v>
      </c>
      <c r="D18" s="1345">
        <v>5</v>
      </c>
      <c r="E18" s="1344">
        <v>1450</v>
      </c>
      <c r="F18" s="1345">
        <v>5</v>
      </c>
      <c r="G18" s="1345">
        <v>1450</v>
      </c>
      <c r="H18" s="1346">
        <v>8</v>
      </c>
      <c r="I18" s="1347">
        <v>2000</v>
      </c>
      <c r="J18" s="1348">
        <v>12</v>
      </c>
      <c r="K18" s="1349">
        <v>2</v>
      </c>
      <c r="L18" s="1350">
        <f t="shared" si="1"/>
        <v>300</v>
      </c>
      <c r="M18" s="1351">
        <f t="shared" si="2"/>
        <v>10</v>
      </c>
      <c r="N18" s="1352">
        <v>150</v>
      </c>
      <c r="O18" s="1353">
        <f>M18*N18</f>
        <v>1500</v>
      </c>
      <c r="P18" s="1354">
        <v>0</v>
      </c>
      <c r="Q18" s="1354">
        <f>P18*N18</f>
        <v>0</v>
      </c>
      <c r="R18" s="1354">
        <v>5</v>
      </c>
      <c r="S18" s="1355">
        <f>R18*N18</f>
        <v>750</v>
      </c>
      <c r="T18" s="1354">
        <v>0</v>
      </c>
      <c r="U18" s="1355">
        <f>T18*N18</f>
        <v>0</v>
      </c>
      <c r="V18" s="1354">
        <v>5</v>
      </c>
      <c r="W18" s="1355">
        <f>V18*N18</f>
        <v>750</v>
      </c>
      <c r="X18" s="1356">
        <f t="shared" si="10"/>
        <v>10</v>
      </c>
      <c r="Y18" s="1356">
        <f>X18*N18</f>
        <v>1500</v>
      </c>
      <c r="Z18" s="1357" t="s">
        <v>7799</v>
      </c>
      <c r="AA18" s="1358" t="s">
        <v>6531</v>
      </c>
      <c r="AB18" s="1359" t="str">
        <f t="shared" si="0"/>
        <v>yes</v>
      </c>
      <c r="AC18" s="1359" t="str">
        <f t="shared" si="9"/>
        <v>ok</v>
      </c>
    </row>
    <row r="19" spans="1:31" s="1359" customFormat="1" ht="20.25" customHeight="1" x14ac:dyDescent="0.25">
      <c r="A19" s="1279">
        <v>12</v>
      </c>
      <c r="B19" s="1341" t="s">
        <v>7812</v>
      </c>
      <c r="C19" s="1360" t="s">
        <v>7798</v>
      </c>
      <c r="D19" s="1345">
        <v>12</v>
      </c>
      <c r="E19" s="1344">
        <v>360</v>
      </c>
      <c r="F19" s="1345">
        <v>16</v>
      </c>
      <c r="G19" s="1345">
        <v>448</v>
      </c>
      <c r="H19" s="1346">
        <v>23</v>
      </c>
      <c r="I19" s="1347">
        <v>690</v>
      </c>
      <c r="J19" s="1361">
        <v>33</v>
      </c>
      <c r="K19" s="1362">
        <v>21</v>
      </c>
      <c r="L19" s="1350">
        <f t="shared" si="1"/>
        <v>630</v>
      </c>
      <c r="M19" s="1351">
        <f t="shared" si="2"/>
        <v>12</v>
      </c>
      <c r="N19" s="1363">
        <v>30</v>
      </c>
      <c r="O19" s="1353">
        <f t="shared" ref="O19:O27" si="11">M19*N19</f>
        <v>360</v>
      </c>
      <c r="P19" s="1350">
        <v>0</v>
      </c>
      <c r="Q19" s="1354">
        <f t="shared" ref="Q19:Q27" si="12">P19*N19</f>
        <v>0</v>
      </c>
      <c r="R19" s="1350">
        <v>0</v>
      </c>
      <c r="S19" s="1355">
        <f t="shared" ref="S19:S27" si="13">R19*N19</f>
        <v>0</v>
      </c>
      <c r="T19" s="1356">
        <v>12</v>
      </c>
      <c r="U19" s="1355">
        <f t="shared" ref="U19:U27" si="14">T19*N19</f>
        <v>360</v>
      </c>
      <c r="V19" s="1356">
        <v>0</v>
      </c>
      <c r="W19" s="1355">
        <f t="shared" ref="W19:W27" si="15">V19*N19</f>
        <v>0</v>
      </c>
      <c r="X19" s="1356">
        <f t="shared" si="10"/>
        <v>12</v>
      </c>
      <c r="Y19" s="1356">
        <f t="shared" ref="Y19:Y27" si="16">X19*N19</f>
        <v>360</v>
      </c>
      <c r="Z19" s="1357" t="s">
        <v>7799</v>
      </c>
      <c r="AA19" s="1358" t="s">
        <v>6531</v>
      </c>
      <c r="AB19" s="1359" t="str">
        <f t="shared" si="0"/>
        <v>yes</v>
      </c>
      <c r="AC19" s="1359" t="str">
        <f t="shared" si="9"/>
        <v>ok</v>
      </c>
    </row>
    <row r="20" spans="1:31" s="1359" customFormat="1" ht="20.25" customHeight="1" x14ac:dyDescent="0.25">
      <c r="A20" s="1279">
        <v>13</v>
      </c>
      <c r="B20" s="1341" t="s">
        <v>7813</v>
      </c>
      <c r="C20" s="1360" t="s">
        <v>7808</v>
      </c>
      <c r="D20" s="1345">
        <v>31</v>
      </c>
      <c r="E20" s="1344">
        <v>775</v>
      </c>
      <c r="F20" s="1345">
        <v>26</v>
      </c>
      <c r="G20" s="1345">
        <v>780</v>
      </c>
      <c r="H20" s="1346">
        <v>31</v>
      </c>
      <c r="I20" s="1347">
        <v>930</v>
      </c>
      <c r="J20" s="1361">
        <v>48</v>
      </c>
      <c r="K20" s="1362">
        <v>24</v>
      </c>
      <c r="L20" s="1350">
        <f t="shared" si="1"/>
        <v>720</v>
      </c>
      <c r="M20" s="1351">
        <f t="shared" si="2"/>
        <v>24</v>
      </c>
      <c r="N20" s="1363">
        <v>30</v>
      </c>
      <c r="O20" s="1353">
        <f t="shared" si="11"/>
        <v>720</v>
      </c>
      <c r="P20" s="1350">
        <v>0</v>
      </c>
      <c r="Q20" s="1354">
        <f t="shared" si="12"/>
        <v>0</v>
      </c>
      <c r="R20" s="1356">
        <v>12</v>
      </c>
      <c r="S20" s="1355">
        <f t="shared" si="13"/>
        <v>360</v>
      </c>
      <c r="T20" s="1350">
        <v>0</v>
      </c>
      <c r="U20" s="1355">
        <f t="shared" si="14"/>
        <v>0</v>
      </c>
      <c r="V20" s="1356">
        <v>12</v>
      </c>
      <c r="W20" s="1355">
        <f t="shared" si="15"/>
        <v>360</v>
      </c>
      <c r="X20" s="1356">
        <f t="shared" si="10"/>
        <v>24</v>
      </c>
      <c r="Y20" s="1356">
        <f t="shared" si="16"/>
        <v>720</v>
      </c>
      <c r="Z20" s="1357" t="s">
        <v>7799</v>
      </c>
      <c r="AA20" s="1358" t="s">
        <v>6531</v>
      </c>
      <c r="AB20" s="1359" t="str">
        <f t="shared" si="0"/>
        <v>yes</v>
      </c>
      <c r="AC20" s="1359" t="str">
        <f t="shared" si="9"/>
        <v>ok</v>
      </c>
    </row>
    <row r="21" spans="1:31" s="1359" customFormat="1" ht="20.25" customHeight="1" x14ac:dyDescent="0.25">
      <c r="A21" s="1279">
        <v>14</v>
      </c>
      <c r="B21" s="1341" t="s">
        <v>7814</v>
      </c>
      <c r="C21" s="1360" t="s">
        <v>7808</v>
      </c>
      <c r="D21" s="1345">
        <v>56</v>
      </c>
      <c r="E21" s="1344">
        <v>2800</v>
      </c>
      <c r="F21" s="1345">
        <v>50</v>
      </c>
      <c r="G21" s="1345">
        <v>10500</v>
      </c>
      <c r="H21" s="1346">
        <v>42</v>
      </c>
      <c r="I21" s="1347">
        <v>9660</v>
      </c>
      <c r="J21" s="1361">
        <v>54</v>
      </c>
      <c r="K21" s="1362">
        <v>30</v>
      </c>
      <c r="L21" s="1350">
        <f t="shared" si="1"/>
        <v>6900</v>
      </c>
      <c r="M21" s="1351">
        <f t="shared" si="2"/>
        <v>24</v>
      </c>
      <c r="N21" s="1363">
        <v>230</v>
      </c>
      <c r="O21" s="1353">
        <f t="shared" si="11"/>
        <v>5520</v>
      </c>
      <c r="P21" s="1356">
        <v>0</v>
      </c>
      <c r="Q21" s="1354">
        <f t="shared" si="12"/>
        <v>0</v>
      </c>
      <c r="R21" s="1350">
        <v>12</v>
      </c>
      <c r="S21" s="1355">
        <f t="shared" si="13"/>
        <v>2760</v>
      </c>
      <c r="T21" s="1356">
        <v>0</v>
      </c>
      <c r="U21" s="1355">
        <f t="shared" si="14"/>
        <v>0</v>
      </c>
      <c r="V21" s="1350">
        <v>12</v>
      </c>
      <c r="W21" s="1355">
        <f t="shared" si="15"/>
        <v>2760</v>
      </c>
      <c r="X21" s="1356">
        <f t="shared" si="10"/>
        <v>24</v>
      </c>
      <c r="Y21" s="1356">
        <f t="shared" si="16"/>
        <v>5520</v>
      </c>
      <c r="Z21" s="1357" t="s">
        <v>7799</v>
      </c>
      <c r="AA21" s="1358" t="s">
        <v>6531</v>
      </c>
      <c r="AB21" s="1359" t="str">
        <f t="shared" si="0"/>
        <v>yes</v>
      </c>
      <c r="AC21" s="1359" t="str">
        <f t="shared" si="9"/>
        <v>ok</v>
      </c>
    </row>
    <row r="22" spans="1:31" s="1359" customFormat="1" ht="20.25" customHeight="1" x14ac:dyDescent="0.25">
      <c r="A22" s="1279">
        <v>15</v>
      </c>
      <c r="B22" s="1341" t="s">
        <v>7815</v>
      </c>
      <c r="C22" s="1360" t="s">
        <v>7816</v>
      </c>
      <c r="D22" s="1345">
        <v>7</v>
      </c>
      <c r="E22" s="1344">
        <v>455</v>
      </c>
      <c r="F22" s="1345">
        <v>15</v>
      </c>
      <c r="G22" s="1345">
        <v>825</v>
      </c>
      <c r="H22" s="1346">
        <v>15</v>
      </c>
      <c r="I22" s="1347">
        <v>1125</v>
      </c>
      <c r="J22" s="1361">
        <v>24</v>
      </c>
      <c r="K22" s="1362">
        <v>4</v>
      </c>
      <c r="L22" s="1350">
        <f t="shared" si="1"/>
        <v>300</v>
      </c>
      <c r="M22" s="1351">
        <f t="shared" si="2"/>
        <v>20</v>
      </c>
      <c r="N22" s="1363">
        <v>75</v>
      </c>
      <c r="O22" s="1353">
        <f t="shared" si="11"/>
        <v>1500</v>
      </c>
      <c r="P22" s="1350">
        <v>0</v>
      </c>
      <c r="Q22" s="1354">
        <f t="shared" si="12"/>
        <v>0</v>
      </c>
      <c r="R22" s="1350">
        <v>10</v>
      </c>
      <c r="S22" s="1355">
        <f t="shared" si="13"/>
        <v>750</v>
      </c>
      <c r="T22" s="1356">
        <v>0</v>
      </c>
      <c r="U22" s="1355">
        <f t="shared" si="14"/>
        <v>0</v>
      </c>
      <c r="V22" s="1356">
        <v>10</v>
      </c>
      <c r="W22" s="1355">
        <f t="shared" si="15"/>
        <v>750</v>
      </c>
      <c r="X22" s="1356">
        <f t="shared" si="10"/>
        <v>20</v>
      </c>
      <c r="Y22" s="1356">
        <f t="shared" si="16"/>
        <v>1500</v>
      </c>
      <c r="Z22" s="1357" t="s">
        <v>7799</v>
      </c>
      <c r="AA22" s="1358" t="s">
        <v>6531</v>
      </c>
      <c r="AB22" s="1359" t="str">
        <f t="shared" si="0"/>
        <v>yes</v>
      </c>
      <c r="AC22" s="1359" t="str">
        <f t="shared" si="9"/>
        <v>ok</v>
      </c>
    </row>
    <row r="23" spans="1:31" s="1359" customFormat="1" ht="20.25" customHeight="1" x14ac:dyDescent="0.25">
      <c r="A23" s="1279">
        <v>16</v>
      </c>
      <c r="B23" s="1341" t="s">
        <v>7817</v>
      </c>
      <c r="C23" s="1360" t="s">
        <v>7816</v>
      </c>
      <c r="D23" s="1345">
        <v>17</v>
      </c>
      <c r="E23" s="1344">
        <v>510</v>
      </c>
      <c r="F23" s="1345">
        <v>40</v>
      </c>
      <c r="G23" s="1345">
        <v>1200</v>
      </c>
      <c r="H23" s="1346">
        <v>30</v>
      </c>
      <c r="I23" s="1347">
        <v>1500</v>
      </c>
      <c r="J23" s="1361">
        <v>60</v>
      </c>
      <c r="K23" s="1362">
        <v>10</v>
      </c>
      <c r="L23" s="1350">
        <f t="shared" si="1"/>
        <v>350</v>
      </c>
      <c r="M23" s="1351">
        <f t="shared" si="2"/>
        <v>50</v>
      </c>
      <c r="N23" s="1363">
        <v>35</v>
      </c>
      <c r="O23" s="1353">
        <f t="shared" si="11"/>
        <v>1750</v>
      </c>
      <c r="P23" s="1350">
        <v>10</v>
      </c>
      <c r="Q23" s="1354">
        <f t="shared" si="12"/>
        <v>350</v>
      </c>
      <c r="R23" s="1350">
        <v>15</v>
      </c>
      <c r="S23" s="1355">
        <f t="shared" si="13"/>
        <v>525</v>
      </c>
      <c r="T23" s="1356">
        <v>10</v>
      </c>
      <c r="U23" s="1355">
        <f t="shared" si="14"/>
        <v>350</v>
      </c>
      <c r="V23" s="1356">
        <v>15</v>
      </c>
      <c r="W23" s="1355">
        <f t="shared" si="15"/>
        <v>525</v>
      </c>
      <c r="X23" s="1356">
        <f t="shared" si="10"/>
        <v>50</v>
      </c>
      <c r="Y23" s="1356">
        <f t="shared" si="16"/>
        <v>1750</v>
      </c>
      <c r="Z23" s="1357" t="s">
        <v>7799</v>
      </c>
      <c r="AA23" s="1358" t="s">
        <v>6531</v>
      </c>
      <c r="AB23" s="1359" t="str">
        <f t="shared" si="0"/>
        <v>yes</v>
      </c>
      <c r="AC23" s="1359" t="str">
        <f t="shared" si="9"/>
        <v>ok</v>
      </c>
    </row>
    <row r="24" spans="1:31" s="1359" customFormat="1" ht="20.25" customHeight="1" x14ac:dyDescent="0.25">
      <c r="A24" s="1279">
        <v>17</v>
      </c>
      <c r="B24" s="1341" t="s">
        <v>7818</v>
      </c>
      <c r="C24" s="1360" t="s">
        <v>7816</v>
      </c>
      <c r="D24" s="1345">
        <v>18</v>
      </c>
      <c r="E24" s="1344">
        <v>360</v>
      </c>
      <c r="F24" s="1345">
        <v>24</v>
      </c>
      <c r="G24" s="1345">
        <v>480</v>
      </c>
      <c r="H24" s="1346">
        <v>24</v>
      </c>
      <c r="I24" s="1347">
        <v>480</v>
      </c>
      <c r="J24" s="1361">
        <v>30</v>
      </c>
      <c r="K24" s="1362">
        <v>10</v>
      </c>
      <c r="L24" s="1350">
        <f t="shared" si="1"/>
        <v>200</v>
      </c>
      <c r="M24" s="1351">
        <f t="shared" si="2"/>
        <v>20</v>
      </c>
      <c r="N24" s="1363">
        <v>20</v>
      </c>
      <c r="O24" s="1353">
        <f t="shared" si="11"/>
        <v>400</v>
      </c>
      <c r="P24" s="1350">
        <v>0</v>
      </c>
      <c r="Q24" s="1354">
        <f t="shared" si="12"/>
        <v>0</v>
      </c>
      <c r="R24" s="1350">
        <v>10</v>
      </c>
      <c r="S24" s="1355">
        <f t="shared" si="13"/>
        <v>200</v>
      </c>
      <c r="T24" s="1356">
        <v>0</v>
      </c>
      <c r="U24" s="1355">
        <f t="shared" si="14"/>
        <v>0</v>
      </c>
      <c r="V24" s="1356">
        <v>10</v>
      </c>
      <c r="W24" s="1355">
        <f t="shared" si="15"/>
        <v>200</v>
      </c>
      <c r="X24" s="1356">
        <f t="shared" si="10"/>
        <v>20</v>
      </c>
      <c r="Y24" s="1356">
        <f t="shared" si="16"/>
        <v>400</v>
      </c>
      <c r="Z24" s="1357" t="s">
        <v>7799</v>
      </c>
      <c r="AA24" s="1358" t="s">
        <v>6531</v>
      </c>
      <c r="AB24" s="1359" t="str">
        <f t="shared" si="0"/>
        <v>yes</v>
      </c>
      <c r="AC24" s="1359" t="str">
        <f t="shared" si="9"/>
        <v>ok</v>
      </c>
    </row>
    <row r="25" spans="1:31" s="1359" customFormat="1" ht="20.25" customHeight="1" x14ac:dyDescent="0.25">
      <c r="A25" s="1279">
        <v>18</v>
      </c>
      <c r="B25" s="1341" t="s">
        <v>7819</v>
      </c>
      <c r="C25" s="1360" t="s">
        <v>7798</v>
      </c>
      <c r="D25" s="1343">
        <v>11</v>
      </c>
      <c r="E25" s="1344">
        <v>440</v>
      </c>
      <c r="F25" s="1345">
        <v>40</v>
      </c>
      <c r="G25" s="1343">
        <v>1600</v>
      </c>
      <c r="H25" s="1346">
        <v>24</v>
      </c>
      <c r="I25" s="1347">
        <v>960</v>
      </c>
      <c r="J25" s="1361">
        <v>48</v>
      </c>
      <c r="K25" s="1362">
        <v>0</v>
      </c>
      <c r="L25" s="1350">
        <f t="shared" si="1"/>
        <v>0</v>
      </c>
      <c r="M25" s="1351">
        <f t="shared" si="2"/>
        <v>48</v>
      </c>
      <c r="N25" s="1363">
        <v>40</v>
      </c>
      <c r="O25" s="1353">
        <f t="shared" si="11"/>
        <v>1920</v>
      </c>
      <c r="P25" s="1350">
        <v>12</v>
      </c>
      <c r="Q25" s="1354">
        <f t="shared" si="12"/>
        <v>480</v>
      </c>
      <c r="R25" s="1350">
        <v>12</v>
      </c>
      <c r="S25" s="1355">
        <f t="shared" si="13"/>
        <v>480</v>
      </c>
      <c r="T25" s="1356">
        <v>12</v>
      </c>
      <c r="U25" s="1355">
        <f t="shared" si="14"/>
        <v>480</v>
      </c>
      <c r="V25" s="1356">
        <v>12</v>
      </c>
      <c r="W25" s="1355">
        <f t="shared" si="15"/>
        <v>480</v>
      </c>
      <c r="X25" s="1356">
        <f t="shared" si="10"/>
        <v>48</v>
      </c>
      <c r="Y25" s="1356">
        <f t="shared" si="16"/>
        <v>1920</v>
      </c>
      <c r="Z25" s="1357" t="s">
        <v>7799</v>
      </c>
      <c r="AA25" s="1358" t="s">
        <v>6531</v>
      </c>
      <c r="AB25" s="1359" t="str">
        <f t="shared" si="0"/>
        <v>yes</v>
      </c>
      <c r="AC25" s="1359" t="str">
        <f t="shared" si="9"/>
        <v>ok</v>
      </c>
    </row>
    <row r="26" spans="1:31" s="1359" customFormat="1" ht="20.25" customHeight="1" x14ac:dyDescent="0.25">
      <c r="A26" s="1279">
        <v>19</v>
      </c>
      <c r="B26" s="1341" t="s">
        <v>7820</v>
      </c>
      <c r="C26" s="1360" t="s">
        <v>7821</v>
      </c>
      <c r="D26" s="1345">
        <v>12</v>
      </c>
      <c r="E26" s="1344">
        <v>420</v>
      </c>
      <c r="F26" s="1345">
        <v>23</v>
      </c>
      <c r="G26" s="1345">
        <v>805</v>
      </c>
      <c r="H26" s="1346">
        <v>15</v>
      </c>
      <c r="I26" s="1347">
        <v>525</v>
      </c>
      <c r="J26" s="1361">
        <v>21</v>
      </c>
      <c r="K26" s="1362">
        <v>11</v>
      </c>
      <c r="L26" s="1350">
        <f t="shared" si="1"/>
        <v>385</v>
      </c>
      <c r="M26" s="1351">
        <f t="shared" si="2"/>
        <v>10</v>
      </c>
      <c r="N26" s="1363">
        <v>35</v>
      </c>
      <c r="O26" s="1353">
        <f t="shared" si="11"/>
        <v>350</v>
      </c>
      <c r="P26" s="1356">
        <v>0</v>
      </c>
      <c r="Q26" s="1354">
        <f t="shared" si="12"/>
        <v>0</v>
      </c>
      <c r="R26" s="1350">
        <v>0</v>
      </c>
      <c r="S26" s="1355">
        <f t="shared" si="13"/>
        <v>0</v>
      </c>
      <c r="T26" s="1356">
        <v>10</v>
      </c>
      <c r="U26" s="1355">
        <f t="shared" si="14"/>
        <v>350</v>
      </c>
      <c r="V26" s="1350">
        <v>0</v>
      </c>
      <c r="W26" s="1355">
        <f t="shared" si="15"/>
        <v>0</v>
      </c>
      <c r="X26" s="1356">
        <f t="shared" si="10"/>
        <v>10</v>
      </c>
      <c r="Y26" s="1356">
        <f t="shared" si="16"/>
        <v>350</v>
      </c>
      <c r="Z26" s="1357" t="s">
        <v>7799</v>
      </c>
      <c r="AA26" s="1358" t="s">
        <v>6531</v>
      </c>
      <c r="AB26" s="1359" t="str">
        <f t="shared" si="0"/>
        <v>yes</v>
      </c>
      <c r="AC26" s="1359" t="str">
        <f t="shared" si="9"/>
        <v>ok</v>
      </c>
      <c r="AE26" s="1364"/>
    </row>
    <row r="27" spans="1:31" s="1359" customFormat="1" ht="20.25" customHeight="1" x14ac:dyDescent="0.25">
      <c r="A27" s="1279">
        <v>20</v>
      </c>
      <c r="B27" s="1341" t="s">
        <v>7822</v>
      </c>
      <c r="C27" s="1360" t="s">
        <v>7823</v>
      </c>
      <c r="D27" s="1345">
        <v>22</v>
      </c>
      <c r="E27" s="1344">
        <v>2420</v>
      </c>
      <c r="F27" s="1345">
        <v>31</v>
      </c>
      <c r="G27" s="1345">
        <v>3410</v>
      </c>
      <c r="H27" s="1346">
        <v>26</v>
      </c>
      <c r="I27" s="1347">
        <v>2860</v>
      </c>
      <c r="J27" s="1365">
        <v>36</v>
      </c>
      <c r="K27" s="1366">
        <v>6</v>
      </c>
      <c r="L27" s="1350">
        <f t="shared" si="1"/>
        <v>660</v>
      </c>
      <c r="M27" s="1351">
        <f t="shared" si="2"/>
        <v>30</v>
      </c>
      <c r="N27" s="1367">
        <v>110</v>
      </c>
      <c r="O27" s="1353">
        <f t="shared" si="11"/>
        <v>3300</v>
      </c>
      <c r="P27" s="1350">
        <v>10</v>
      </c>
      <c r="Q27" s="1354">
        <f t="shared" si="12"/>
        <v>1100</v>
      </c>
      <c r="R27" s="1350">
        <v>0</v>
      </c>
      <c r="S27" s="1355">
        <f t="shared" si="13"/>
        <v>0</v>
      </c>
      <c r="T27" s="1350">
        <v>10</v>
      </c>
      <c r="U27" s="1355">
        <f t="shared" si="14"/>
        <v>1100</v>
      </c>
      <c r="V27" s="1350">
        <v>10</v>
      </c>
      <c r="W27" s="1355">
        <f t="shared" si="15"/>
        <v>1100</v>
      </c>
      <c r="X27" s="1356">
        <f t="shared" si="10"/>
        <v>30</v>
      </c>
      <c r="Y27" s="1356">
        <f t="shared" si="16"/>
        <v>3300</v>
      </c>
      <c r="Z27" s="1357" t="s">
        <v>7799</v>
      </c>
      <c r="AA27" s="1358" t="s">
        <v>6531</v>
      </c>
      <c r="AB27" s="1359" t="str">
        <f t="shared" si="0"/>
        <v>yes</v>
      </c>
      <c r="AC27" s="1359" t="str">
        <f t="shared" si="9"/>
        <v>ok</v>
      </c>
      <c r="AE27" s="1368"/>
    </row>
    <row r="28" spans="1:31" s="1359" customFormat="1" ht="23.25" customHeight="1" x14ac:dyDescent="0.25">
      <c r="A28" s="1279">
        <v>21</v>
      </c>
      <c r="B28" s="1341" t="s">
        <v>7824</v>
      </c>
      <c r="C28" s="1360" t="s">
        <v>7823</v>
      </c>
      <c r="D28" s="1345">
        <v>4</v>
      </c>
      <c r="E28" s="1344">
        <v>400</v>
      </c>
      <c r="F28" s="1345">
        <v>16</v>
      </c>
      <c r="G28" s="1345">
        <v>2160</v>
      </c>
      <c r="H28" s="1346">
        <v>33</v>
      </c>
      <c r="I28" s="1347">
        <v>4455</v>
      </c>
      <c r="J28" s="1348">
        <v>23</v>
      </c>
      <c r="K28" s="1349">
        <v>13</v>
      </c>
      <c r="L28" s="1350">
        <f t="shared" si="1"/>
        <v>1755</v>
      </c>
      <c r="M28" s="1351">
        <f t="shared" si="2"/>
        <v>10</v>
      </c>
      <c r="N28" s="1352">
        <v>135</v>
      </c>
      <c r="O28" s="1353">
        <f>M28*N28</f>
        <v>1350</v>
      </c>
      <c r="P28" s="1354">
        <v>0</v>
      </c>
      <c r="Q28" s="1354">
        <f>P28*N28</f>
        <v>0</v>
      </c>
      <c r="R28" s="1354">
        <v>5</v>
      </c>
      <c r="S28" s="1355">
        <f>R28*N28</f>
        <v>675</v>
      </c>
      <c r="T28" s="1354">
        <v>0</v>
      </c>
      <c r="U28" s="1355">
        <f>T28*N28</f>
        <v>0</v>
      </c>
      <c r="V28" s="1354">
        <v>5</v>
      </c>
      <c r="W28" s="1355">
        <f>V28*N28</f>
        <v>675</v>
      </c>
      <c r="X28" s="1356">
        <f t="shared" si="10"/>
        <v>10</v>
      </c>
      <c r="Y28" s="1356">
        <f>X28*N28</f>
        <v>1350</v>
      </c>
      <c r="Z28" s="1357" t="s">
        <v>7799</v>
      </c>
      <c r="AA28" s="1358" t="s">
        <v>6531</v>
      </c>
      <c r="AB28" s="1359" t="str">
        <f t="shared" si="0"/>
        <v>yes</v>
      </c>
      <c r="AC28" s="1359" t="str">
        <f t="shared" si="9"/>
        <v>ok</v>
      </c>
    </row>
    <row r="29" spans="1:31" s="1359" customFormat="1" ht="20.25" customHeight="1" x14ac:dyDescent="0.25">
      <c r="A29" s="1279">
        <v>22</v>
      </c>
      <c r="B29" s="1341" t="s">
        <v>7825</v>
      </c>
      <c r="C29" s="1360" t="s">
        <v>7823</v>
      </c>
      <c r="D29" s="1345">
        <v>20</v>
      </c>
      <c r="E29" s="1344">
        <v>2800</v>
      </c>
      <c r="F29" s="1345">
        <v>32</v>
      </c>
      <c r="G29" s="1345">
        <v>4480</v>
      </c>
      <c r="H29" s="1346">
        <v>53</v>
      </c>
      <c r="I29" s="1347">
        <v>13250</v>
      </c>
      <c r="J29" s="1361">
        <v>60</v>
      </c>
      <c r="K29" s="1362">
        <v>20</v>
      </c>
      <c r="L29" s="1350">
        <f t="shared" si="1"/>
        <v>5000</v>
      </c>
      <c r="M29" s="1351">
        <f t="shared" si="2"/>
        <v>40</v>
      </c>
      <c r="N29" s="1363">
        <v>250</v>
      </c>
      <c r="O29" s="1353">
        <f t="shared" ref="O29:O36" si="17">M29*N29</f>
        <v>10000</v>
      </c>
      <c r="P29" s="1350">
        <v>0</v>
      </c>
      <c r="Q29" s="1354">
        <f t="shared" ref="Q29:Q36" si="18">P29*N29</f>
        <v>0</v>
      </c>
      <c r="R29" s="1350">
        <v>10</v>
      </c>
      <c r="S29" s="1355">
        <f t="shared" ref="S29:S36" si="19">R29*N29</f>
        <v>2500</v>
      </c>
      <c r="T29" s="1356">
        <v>10</v>
      </c>
      <c r="U29" s="1355">
        <f t="shared" ref="U29:U36" si="20">T29*N29</f>
        <v>2500</v>
      </c>
      <c r="V29" s="1356">
        <v>20</v>
      </c>
      <c r="W29" s="1355">
        <f t="shared" ref="W29:W36" si="21">V29*N29</f>
        <v>5000</v>
      </c>
      <c r="X29" s="1356">
        <f t="shared" si="10"/>
        <v>40</v>
      </c>
      <c r="Y29" s="1356">
        <f t="shared" ref="Y29:Y36" si="22">X29*N29</f>
        <v>10000</v>
      </c>
      <c r="Z29" s="1357" t="s">
        <v>7799</v>
      </c>
      <c r="AA29" s="1358" t="s">
        <v>6531</v>
      </c>
      <c r="AB29" s="1359" t="str">
        <f t="shared" si="0"/>
        <v>yes</v>
      </c>
      <c r="AC29" s="1359" t="str">
        <f t="shared" si="9"/>
        <v>ok</v>
      </c>
    </row>
    <row r="30" spans="1:31" s="1359" customFormat="1" ht="20.25" customHeight="1" x14ac:dyDescent="0.25">
      <c r="A30" s="1279">
        <v>23</v>
      </c>
      <c r="B30" s="1341" t="s">
        <v>7826</v>
      </c>
      <c r="C30" s="1360" t="s">
        <v>7827</v>
      </c>
      <c r="D30" s="1345">
        <v>39</v>
      </c>
      <c r="E30" s="1344">
        <v>195</v>
      </c>
      <c r="F30" s="1345">
        <v>12</v>
      </c>
      <c r="G30" s="1345">
        <v>60</v>
      </c>
      <c r="H30" s="1346">
        <v>43</v>
      </c>
      <c r="I30" s="1347">
        <v>172</v>
      </c>
      <c r="J30" s="1361">
        <v>41</v>
      </c>
      <c r="K30" s="1362">
        <v>17</v>
      </c>
      <c r="L30" s="1350">
        <f t="shared" si="1"/>
        <v>68</v>
      </c>
      <c r="M30" s="1351">
        <f t="shared" si="2"/>
        <v>24</v>
      </c>
      <c r="N30" s="1363">
        <v>4</v>
      </c>
      <c r="O30" s="1353">
        <f t="shared" si="17"/>
        <v>96</v>
      </c>
      <c r="P30" s="1350">
        <v>0</v>
      </c>
      <c r="Q30" s="1354">
        <f t="shared" si="18"/>
        <v>0</v>
      </c>
      <c r="R30" s="1356">
        <v>12</v>
      </c>
      <c r="S30" s="1355">
        <f t="shared" si="19"/>
        <v>48</v>
      </c>
      <c r="T30" s="1350">
        <v>0</v>
      </c>
      <c r="U30" s="1355">
        <f t="shared" si="20"/>
        <v>0</v>
      </c>
      <c r="V30" s="1356">
        <v>12</v>
      </c>
      <c r="W30" s="1355">
        <f t="shared" si="21"/>
        <v>48</v>
      </c>
      <c r="X30" s="1356">
        <f t="shared" si="10"/>
        <v>24</v>
      </c>
      <c r="Y30" s="1356">
        <f t="shared" si="22"/>
        <v>96</v>
      </c>
      <c r="Z30" s="1357" t="s">
        <v>7799</v>
      </c>
      <c r="AA30" s="1358" t="s">
        <v>6531</v>
      </c>
      <c r="AB30" s="1359" t="str">
        <f t="shared" si="0"/>
        <v>yes</v>
      </c>
      <c r="AC30" s="1359" t="str">
        <f t="shared" si="9"/>
        <v>ok</v>
      </c>
    </row>
    <row r="31" spans="1:31" s="1359" customFormat="1" ht="20.25" customHeight="1" x14ac:dyDescent="0.25">
      <c r="A31" s="1279">
        <v>24</v>
      </c>
      <c r="B31" s="1341" t="s">
        <v>7828</v>
      </c>
      <c r="C31" s="1360" t="s">
        <v>7798</v>
      </c>
      <c r="D31" s="1345">
        <v>4</v>
      </c>
      <c r="E31" s="1344">
        <v>320</v>
      </c>
      <c r="F31" s="1345">
        <v>1</v>
      </c>
      <c r="G31" s="1345">
        <v>80</v>
      </c>
      <c r="H31" s="1346">
        <v>2</v>
      </c>
      <c r="I31" s="1347">
        <v>120</v>
      </c>
      <c r="J31" s="1361">
        <v>3</v>
      </c>
      <c r="K31" s="1362">
        <v>1</v>
      </c>
      <c r="L31" s="1350">
        <f t="shared" si="1"/>
        <v>60</v>
      </c>
      <c r="M31" s="1351">
        <f t="shared" si="2"/>
        <v>2</v>
      </c>
      <c r="N31" s="1363">
        <v>60</v>
      </c>
      <c r="O31" s="1353">
        <f t="shared" si="17"/>
        <v>120</v>
      </c>
      <c r="P31" s="1356">
        <v>0</v>
      </c>
      <c r="Q31" s="1354">
        <f t="shared" si="18"/>
        <v>0</v>
      </c>
      <c r="R31" s="1350">
        <v>2</v>
      </c>
      <c r="S31" s="1355">
        <f t="shared" si="19"/>
        <v>120</v>
      </c>
      <c r="T31" s="1356">
        <v>0</v>
      </c>
      <c r="U31" s="1355">
        <f t="shared" si="20"/>
        <v>0</v>
      </c>
      <c r="V31" s="1350">
        <v>0</v>
      </c>
      <c r="W31" s="1355">
        <f t="shared" si="21"/>
        <v>0</v>
      </c>
      <c r="X31" s="1356">
        <f t="shared" si="10"/>
        <v>2</v>
      </c>
      <c r="Y31" s="1356">
        <f t="shared" si="22"/>
        <v>120</v>
      </c>
      <c r="Z31" s="1357" t="s">
        <v>7799</v>
      </c>
      <c r="AA31" s="1358" t="s">
        <v>6531</v>
      </c>
      <c r="AB31" s="1359" t="str">
        <f t="shared" si="0"/>
        <v>yes</v>
      </c>
      <c r="AC31" s="1359" t="str">
        <f t="shared" si="9"/>
        <v>ok</v>
      </c>
    </row>
    <row r="32" spans="1:31" s="1359" customFormat="1" ht="20.25" customHeight="1" x14ac:dyDescent="0.25">
      <c r="A32" s="1279">
        <v>25</v>
      </c>
      <c r="B32" s="1341" t="s">
        <v>7829</v>
      </c>
      <c r="C32" s="1360" t="s">
        <v>7823</v>
      </c>
      <c r="D32" s="1345">
        <v>167</v>
      </c>
      <c r="E32" s="1344">
        <v>6680</v>
      </c>
      <c r="F32" s="1345">
        <v>287</v>
      </c>
      <c r="G32" s="1345">
        <v>11480</v>
      </c>
      <c r="H32" s="1346">
        <v>291</v>
      </c>
      <c r="I32" s="1347">
        <v>11640</v>
      </c>
      <c r="J32" s="1361">
        <v>195</v>
      </c>
      <c r="K32" s="1362">
        <v>45</v>
      </c>
      <c r="L32" s="1350">
        <f t="shared" si="1"/>
        <v>1800</v>
      </c>
      <c r="M32" s="1351">
        <f t="shared" si="2"/>
        <v>150</v>
      </c>
      <c r="N32" s="1363">
        <v>40</v>
      </c>
      <c r="O32" s="1353">
        <f t="shared" si="17"/>
        <v>6000</v>
      </c>
      <c r="P32" s="1350">
        <v>0</v>
      </c>
      <c r="Q32" s="1354">
        <f t="shared" si="18"/>
        <v>0</v>
      </c>
      <c r="R32" s="1350">
        <v>45</v>
      </c>
      <c r="S32" s="1355">
        <f t="shared" si="19"/>
        <v>1800</v>
      </c>
      <c r="T32" s="1356">
        <v>45</v>
      </c>
      <c r="U32" s="1355">
        <f t="shared" si="20"/>
        <v>1800</v>
      </c>
      <c r="V32" s="1356">
        <v>60</v>
      </c>
      <c r="W32" s="1355">
        <f t="shared" si="21"/>
        <v>2400</v>
      </c>
      <c r="X32" s="1356">
        <f t="shared" si="10"/>
        <v>150</v>
      </c>
      <c r="Y32" s="1356">
        <f t="shared" si="22"/>
        <v>6000</v>
      </c>
      <c r="Z32" s="1357" t="s">
        <v>7799</v>
      </c>
      <c r="AA32" s="1358" t="s">
        <v>6531</v>
      </c>
      <c r="AB32" s="1359" t="str">
        <f t="shared" si="0"/>
        <v>yes</v>
      </c>
      <c r="AC32" s="1359" t="str">
        <f t="shared" si="9"/>
        <v>ok</v>
      </c>
    </row>
    <row r="33" spans="1:31" s="1359" customFormat="1" ht="20.25" customHeight="1" x14ac:dyDescent="0.25">
      <c r="A33" s="1279">
        <v>26</v>
      </c>
      <c r="B33" s="1341" t="s">
        <v>7830</v>
      </c>
      <c r="C33" s="1360" t="s">
        <v>7823</v>
      </c>
      <c r="D33" s="1343">
        <v>56</v>
      </c>
      <c r="E33" s="1344">
        <v>2240</v>
      </c>
      <c r="F33" s="1345">
        <v>163</v>
      </c>
      <c r="G33" s="1343">
        <v>6520</v>
      </c>
      <c r="H33" s="1346">
        <v>467</v>
      </c>
      <c r="I33" s="1347">
        <v>18680</v>
      </c>
      <c r="J33" s="1361">
        <v>150</v>
      </c>
      <c r="K33" s="1362">
        <v>30</v>
      </c>
      <c r="L33" s="1350">
        <f t="shared" si="1"/>
        <v>1200</v>
      </c>
      <c r="M33" s="1351">
        <f t="shared" si="2"/>
        <v>120</v>
      </c>
      <c r="N33" s="1363">
        <v>40</v>
      </c>
      <c r="O33" s="1353">
        <f t="shared" si="17"/>
        <v>4800</v>
      </c>
      <c r="P33" s="1350">
        <v>0</v>
      </c>
      <c r="Q33" s="1354">
        <f t="shared" si="18"/>
        <v>0</v>
      </c>
      <c r="R33" s="1350">
        <v>0</v>
      </c>
      <c r="S33" s="1355">
        <f t="shared" si="19"/>
        <v>0</v>
      </c>
      <c r="T33" s="1356">
        <v>60</v>
      </c>
      <c r="U33" s="1355">
        <f t="shared" si="20"/>
        <v>2400</v>
      </c>
      <c r="V33" s="1356">
        <v>60</v>
      </c>
      <c r="W33" s="1355">
        <f t="shared" si="21"/>
        <v>2400</v>
      </c>
      <c r="X33" s="1356">
        <f t="shared" si="10"/>
        <v>120</v>
      </c>
      <c r="Y33" s="1356">
        <f t="shared" si="22"/>
        <v>4800</v>
      </c>
      <c r="Z33" s="1357" t="s">
        <v>7799</v>
      </c>
      <c r="AA33" s="1358" t="s">
        <v>6531</v>
      </c>
      <c r="AB33" s="1359" t="str">
        <f t="shared" si="0"/>
        <v>yes</v>
      </c>
      <c r="AC33" s="1359" t="str">
        <f t="shared" si="9"/>
        <v>ok</v>
      </c>
    </row>
    <row r="34" spans="1:31" s="1359" customFormat="1" ht="20.25" customHeight="1" x14ac:dyDescent="0.25">
      <c r="A34" s="1279">
        <v>27</v>
      </c>
      <c r="B34" s="1341" t="s">
        <v>7831</v>
      </c>
      <c r="C34" s="1360" t="s">
        <v>7832</v>
      </c>
      <c r="D34" s="1345">
        <v>7</v>
      </c>
      <c r="E34" s="1344">
        <v>350</v>
      </c>
      <c r="F34" s="1345">
        <v>12</v>
      </c>
      <c r="G34" s="1345">
        <v>2820</v>
      </c>
      <c r="H34" s="1346">
        <v>2</v>
      </c>
      <c r="I34" s="1347">
        <v>100</v>
      </c>
      <c r="J34" s="1361">
        <v>10</v>
      </c>
      <c r="K34" s="1362">
        <v>6</v>
      </c>
      <c r="L34" s="1350">
        <f t="shared" si="1"/>
        <v>300</v>
      </c>
      <c r="M34" s="1351">
        <f t="shared" si="2"/>
        <v>4</v>
      </c>
      <c r="N34" s="1363">
        <v>50</v>
      </c>
      <c r="O34" s="1353">
        <f t="shared" si="17"/>
        <v>200</v>
      </c>
      <c r="P34" s="1350">
        <v>0</v>
      </c>
      <c r="Q34" s="1354">
        <f t="shared" si="18"/>
        <v>0</v>
      </c>
      <c r="R34" s="1350">
        <v>0</v>
      </c>
      <c r="S34" s="1355">
        <f t="shared" si="19"/>
        <v>0</v>
      </c>
      <c r="T34" s="1356">
        <v>0</v>
      </c>
      <c r="U34" s="1355">
        <f t="shared" si="20"/>
        <v>0</v>
      </c>
      <c r="V34" s="1356">
        <v>4</v>
      </c>
      <c r="W34" s="1355">
        <f t="shared" si="21"/>
        <v>200</v>
      </c>
      <c r="X34" s="1356">
        <f t="shared" si="10"/>
        <v>4</v>
      </c>
      <c r="Y34" s="1356">
        <f t="shared" si="22"/>
        <v>200</v>
      </c>
      <c r="Z34" s="1357" t="s">
        <v>7799</v>
      </c>
      <c r="AA34" s="1358" t="s">
        <v>6531</v>
      </c>
      <c r="AB34" s="1359" t="str">
        <f t="shared" si="0"/>
        <v>yes</v>
      </c>
      <c r="AC34" s="1359" t="str">
        <f t="shared" si="9"/>
        <v>ok</v>
      </c>
    </row>
    <row r="35" spans="1:31" s="1359" customFormat="1" ht="20.25" customHeight="1" x14ac:dyDescent="0.25">
      <c r="A35" s="1279">
        <v>28</v>
      </c>
      <c r="B35" s="1341" t="s">
        <v>7833</v>
      </c>
      <c r="C35" s="1360" t="s">
        <v>7798</v>
      </c>
      <c r="D35" s="1345">
        <v>4</v>
      </c>
      <c r="E35" s="1344">
        <v>480</v>
      </c>
      <c r="F35" s="1345">
        <v>0</v>
      </c>
      <c r="G35" s="1345">
        <v>0</v>
      </c>
      <c r="H35" s="1346">
        <v>0</v>
      </c>
      <c r="I35" s="1347">
        <v>0</v>
      </c>
      <c r="J35" s="1361">
        <v>5</v>
      </c>
      <c r="K35" s="1362">
        <v>0</v>
      </c>
      <c r="L35" s="1350">
        <f t="shared" si="1"/>
        <v>0</v>
      </c>
      <c r="M35" s="1351">
        <f t="shared" si="2"/>
        <v>5</v>
      </c>
      <c r="N35" s="1363">
        <v>85</v>
      </c>
      <c r="O35" s="1353">
        <f t="shared" si="17"/>
        <v>425</v>
      </c>
      <c r="P35" s="1356">
        <v>5</v>
      </c>
      <c r="Q35" s="1354">
        <f t="shared" si="18"/>
        <v>425</v>
      </c>
      <c r="R35" s="1350">
        <v>0</v>
      </c>
      <c r="S35" s="1355">
        <f t="shared" si="19"/>
        <v>0</v>
      </c>
      <c r="T35" s="1356">
        <v>0</v>
      </c>
      <c r="U35" s="1355">
        <f t="shared" si="20"/>
        <v>0</v>
      </c>
      <c r="V35" s="1350">
        <v>0</v>
      </c>
      <c r="W35" s="1355">
        <f t="shared" si="21"/>
        <v>0</v>
      </c>
      <c r="X35" s="1356">
        <f t="shared" si="10"/>
        <v>5</v>
      </c>
      <c r="Y35" s="1356">
        <f t="shared" si="22"/>
        <v>425</v>
      </c>
      <c r="Z35" s="1357" t="s">
        <v>7799</v>
      </c>
      <c r="AA35" s="1358" t="s">
        <v>6531</v>
      </c>
      <c r="AB35" s="1359" t="str">
        <f t="shared" si="0"/>
        <v>yes</v>
      </c>
      <c r="AC35" s="1359" t="str">
        <f t="shared" si="9"/>
        <v>ok</v>
      </c>
      <c r="AE35" s="1364"/>
    </row>
    <row r="36" spans="1:31" s="1359" customFormat="1" ht="20.25" customHeight="1" x14ac:dyDescent="0.25">
      <c r="A36" s="1279">
        <v>29</v>
      </c>
      <c r="B36" s="1341" t="s">
        <v>7834</v>
      </c>
      <c r="C36" s="1360" t="s">
        <v>7808</v>
      </c>
      <c r="D36" s="1345">
        <v>5</v>
      </c>
      <c r="E36" s="1344">
        <v>275</v>
      </c>
      <c r="F36" s="1345">
        <v>4</v>
      </c>
      <c r="G36" s="1345">
        <v>220</v>
      </c>
      <c r="H36" s="1346">
        <v>0</v>
      </c>
      <c r="I36" s="1347">
        <f t="shared" ref="I36" si="23">H36*N36</f>
        <v>0</v>
      </c>
      <c r="J36" s="1365">
        <v>24</v>
      </c>
      <c r="K36" s="1366">
        <v>0</v>
      </c>
      <c r="L36" s="1350">
        <f t="shared" si="1"/>
        <v>0</v>
      </c>
      <c r="M36" s="1351">
        <f t="shared" si="2"/>
        <v>24</v>
      </c>
      <c r="N36" s="1367">
        <v>55</v>
      </c>
      <c r="O36" s="1353">
        <f t="shared" si="17"/>
        <v>1320</v>
      </c>
      <c r="P36" s="1350">
        <v>12</v>
      </c>
      <c r="Q36" s="1354">
        <f t="shared" si="18"/>
        <v>660</v>
      </c>
      <c r="R36" s="1350">
        <v>0</v>
      </c>
      <c r="S36" s="1355">
        <f t="shared" si="19"/>
        <v>0</v>
      </c>
      <c r="T36" s="1350">
        <v>12</v>
      </c>
      <c r="U36" s="1355">
        <f t="shared" si="20"/>
        <v>660</v>
      </c>
      <c r="V36" s="1350">
        <v>0</v>
      </c>
      <c r="W36" s="1355">
        <f t="shared" si="21"/>
        <v>0</v>
      </c>
      <c r="X36" s="1356">
        <f t="shared" si="10"/>
        <v>24</v>
      </c>
      <c r="Y36" s="1356">
        <f t="shared" si="22"/>
        <v>1320</v>
      </c>
      <c r="Z36" s="1357" t="s">
        <v>7799</v>
      </c>
      <c r="AA36" s="1358" t="s">
        <v>6531</v>
      </c>
      <c r="AB36" s="1359" t="str">
        <f t="shared" si="0"/>
        <v>yes</v>
      </c>
      <c r="AC36" s="1359" t="str">
        <f t="shared" si="9"/>
        <v>ok</v>
      </c>
      <c r="AE36" s="1368"/>
    </row>
    <row r="37" spans="1:31" s="1359" customFormat="1" ht="23.25" customHeight="1" x14ac:dyDescent="0.25">
      <c r="A37" s="1279">
        <v>30</v>
      </c>
      <c r="B37" s="1341" t="s">
        <v>7835</v>
      </c>
      <c r="C37" s="1360" t="s">
        <v>7808</v>
      </c>
      <c r="D37" s="1345">
        <v>66</v>
      </c>
      <c r="E37" s="1344">
        <v>2970</v>
      </c>
      <c r="F37" s="1345">
        <v>326</v>
      </c>
      <c r="G37" s="1345">
        <v>14670</v>
      </c>
      <c r="H37" s="1346">
        <v>357</v>
      </c>
      <c r="I37" s="1347">
        <v>16065</v>
      </c>
      <c r="J37" s="1348">
        <v>326</v>
      </c>
      <c r="K37" s="1349">
        <v>26</v>
      </c>
      <c r="L37" s="1350">
        <f t="shared" si="1"/>
        <v>1170</v>
      </c>
      <c r="M37" s="1351">
        <f t="shared" si="2"/>
        <v>300</v>
      </c>
      <c r="N37" s="1352">
        <v>45</v>
      </c>
      <c r="O37" s="1353">
        <f>M37*N37</f>
        <v>13500</v>
      </c>
      <c r="P37" s="1354">
        <v>50</v>
      </c>
      <c r="Q37" s="1354">
        <f>P37*N37</f>
        <v>2250</v>
      </c>
      <c r="R37" s="1354">
        <v>100</v>
      </c>
      <c r="S37" s="1355">
        <f>R37*N37</f>
        <v>4500</v>
      </c>
      <c r="T37" s="1354">
        <v>50</v>
      </c>
      <c r="U37" s="1355">
        <f>T37*N37</f>
        <v>2250</v>
      </c>
      <c r="V37" s="1354">
        <v>100</v>
      </c>
      <c r="W37" s="1355">
        <f>V37*N37</f>
        <v>4500</v>
      </c>
      <c r="X37" s="1356">
        <f t="shared" si="10"/>
        <v>300</v>
      </c>
      <c r="Y37" s="1356">
        <f>X37*N37</f>
        <v>13500</v>
      </c>
      <c r="Z37" s="1357" t="s">
        <v>7799</v>
      </c>
      <c r="AA37" s="1358" t="s">
        <v>6531</v>
      </c>
      <c r="AB37" s="1359" t="str">
        <f t="shared" si="0"/>
        <v>yes</v>
      </c>
      <c r="AC37" s="1359" t="str">
        <f t="shared" si="9"/>
        <v>ok</v>
      </c>
    </row>
    <row r="38" spans="1:31" s="1359" customFormat="1" ht="20.25" customHeight="1" x14ac:dyDescent="0.25">
      <c r="A38" s="1279">
        <v>31</v>
      </c>
      <c r="B38" s="1341" t="s">
        <v>7836</v>
      </c>
      <c r="C38" s="1360" t="s">
        <v>7808</v>
      </c>
      <c r="D38" s="1345">
        <v>50</v>
      </c>
      <c r="E38" s="1344">
        <v>1750</v>
      </c>
      <c r="F38" s="1345">
        <v>88</v>
      </c>
      <c r="G38" s="1345">
        <v>3080</v>
      </c>
      <c r="H38" s="1346">
        <v>104</v>
      </c>
      <c r="I38" s="1347">
        <v>4160</v>
      </c>
      <c r="J38" s="1361">
        <v>96</v>
      </c>
      <c r="K38" s="1362">
        <v>24</v>
      </c>
      <c r="L38" s="1350">
        <f t="shared" si="1"/>
        <v>960</v>
      </c>
      <c r="M38" s="1351">
        <f t="shared" si="2"/>
        <v>72</v>
      </c>
      <c r="N38" s="1363">
        <v>40</v>
      </c>
      <c r="O38" s="1353">
        <f t="shared" ref="O38:O45" si="24">M38*N38</f>
        <v>2880</v>
      </c>
      <c r="P38" s="1350">
        <v>0</v>
      </c>
      <c r="Q38" s="1354">
        <f t="shared" ref="Q38:Q45" si="25">P38*N38</f>
        <v>0</v>
      </c>
      <c r="R38" s="1350">
        <v>24</v>
      </c>
      <c r="S38" s="1355">
        <f t="shared" ref="S38:S45" si="26">R38*N38</f>
        <v>960</v>
      </c>
      <c r="T38" s="1356">
        <v>24</v>
      </c>
      <c r="U38" s="1355">
        <f t="shared" ref="U38:U45" si="27">T38*N38</f>
        <v>960</v>
      </c>
      <c r="V38" s="1356">
        <v>24</v>
      </c>
      <c r="W38" s="1355">
        <f t="shared" ref="W38:W45" si="28">V38*N38</f>
        <v>960</v>
      </c>
      <c r="X38" s="1356">
        <f t="shared" si="10"/>
        <v>72</v>
      </c>
      <c r="Y38" s="1356">
        <f t="shared" ref="Y38:Y45" si="29">X38*N38</f>
        <v>2880</v>
      </c>
      <c r="Z38" s="1357" t="s">
        <v>7799</v>
      </c>
      <c r="AA38" s="1358" t="s">
        <v>6531</v>
      </c>
      <c r="AB38" s="1359" t="str">
        <f t="shared" si="0"/>
        <v>yes</v>
      </c>
      <c r="AC38" s="1359" t="str">
        <f t="shared" si="9"/>
        <v>ok</v>
      </c>
    </row>
    <row r="39" spans="1:31" s="1359" customFormat="1" ht="20.25" customHeight="1" x14ac:dyDescent="0.25">
      <c r="A39" s="1279">
        <v>32</v>
      </c>
      <c r="B39" s="1341" t="s">
        <v>7837</v>
      </c>
      <c r="C39" s="1360" t="s">
        <v>7808</v>
      </c>
      <c r="D39" s="1345">
        <v>23</v>
      </c>
      <c r="E39" s="1344">
        <v>805</v>
      </c>
      <c r="F39" s="1345">
        <v>61</v>
      </c>
      <c r="G39" s="1345">
        <v>2135</v>
      </c>
      <c r="H39" s="1346">
        <v>46</v>
      </c>
      <c r="I39" s="1347">
        <v>1840</v>
      </c>
      <c r="J39" s="1361">
        <v>62</v>
      </c>
      <c r="K39" s="1362">
        <v>26</v>
      </c>
      <c r="L39" s="1350">
        <f t="shared" si="1"/>
        <v>1040</v>
      </c>
      <c r="M39" s="1351">
        <f t="shared" si="2"/>
        <v>36</v>
      </c>
      <c r="N39" s="1363">
        <v>40</v>
      </c>
      <c r="O39" s="1353">
        <f t="shared" si="24"/>
        <v>1440</v>
      </c>
      <c r="P39" s="1350">
        <v>0</v>
      </c>
      <c r="Q39" s="1354">
        <f t="shared" si="25"/>
        <v>0</v>
      </c>
      <c r="R39" s="1356">
        <v>12</v>
      </c>
      <c r="S39" s="1355">
        <f t="shared" si="26"/>
        <v>480</v>
      </c>
      <c r="T39" s="1350">
        <v>12</v>
      </c>
      <c r="U39" s="1355">
        <f t="shared" si="27"/>
        <v>480</v>
      </c>
      <c r="V39" s="1356">
        <v>12</v>
      </c>
      <c r="W39" s="1355">
        <f t="shared" si="28"/>
        <v>480</v>
      </c>
      <c r="X39" s="1356">
        <f t="shared" si="10"/>
        <v>36</v>
      </c>
      <c r="Y39" s="1356">
        <f t="shared" si="29"/>
        <v>1440</v>
      </c>
      <c r="Z39" s="1357" t="s">
        <v>7799</v>
      </c>
      <c r="AA39" s="1358" t="s">
        <v>6531</v>
      </c>
      <c r="AB39" s="1359" t="str">
        <f t="shared" si="0"/>
        <v>yes</v>
      </c>
      <c r="AC39" s="1359" t="str">
        <f t="shared" si="9"/>
        <v>ok</v>
      </c>
    </row>
    <row r="40" spans="1:31" s="1359" customFormat="1" ht="20.25" customHeight="1" x14ac:dyDescent="0.25">
      <c r="A40" s="1279">
        <v>33</v>
      </c>
      <c r="B40" s="1341" t="s">
        <v>7838</v>
      </c>
      <c r="C40" s="1360" t="s">
        <v>7839</v>
      </c>
      <c r="D40" s="1345">
        <v>5</v>
      </c>
      <c r="E40" s="1344">
        <v>4250</v>
      </c>
      <c r="F40" s="1345">
        <v>7</v>
      </c>
      <c r="G40" s="1345">
        <v>5950</v>
      </c>
      <c r="H40" s="1346">
        <v>8</v>
      </c>
      <c r="I40" s="1347">
        <v>6800</v>
      </c>
      <c r="J40" s="1361">
        <v>12</v>
      </c>
      <c r="K40" s="1362">
        <v>0</v>
      </c>
      <c r="L40" s="1350">
        <f t="shared" si="1"/>
        <v>0</v>
      </c>
      <c r="M40" s="1351">
        <f t="shared" si="2"/>
        <v>12</v>
      </c>
      <c r="N40" s="1363">
        <v>850</v>
      </c>
      <c r="O40" s="1353">
        <f t="shared" si="24"/>
        <v>10200</v>
      </c>
      <c r="P40" s="1350">
        <v>3</v>
      </c>
      <c r="Q40" s="1354">
        <f t="shared" si="25"/>
        <v>2550</v>
      </c>
      <c r="R40" s="1350">
        <v>3</v>
      </c>
      <c r="S40" s="1355">
        <f t="shared" si="26"/>
        <v>2550</v>
      </c>
      <c r="T40" s="1356">
        <v>3</v>
      </c>
      <c r="U40" s="1355">
        <f t="shared" si="27"/>
        <v>2550</v>
      </c>
      <c r="V40" s="1356">
        <v>3</v>
      </c>
      <c r="W40" s="1355">
        <f t="shared" si="28"/>
        <v>2550</v>
      </c>
      <c r="X40" s="1356">
        <f t="shared" si="10"/>
        <v>12</v>
      </c>
      <c r="Y40" s="1356">
        <f t="shared" si="29"/>
        <v>10200</v>
      </c>
      <c r="Z40" s="1357" t="s">
        <v>7799</v>
      </c>
      <c r="AA40" s="1358" t="s">
        <v>6531</v>
      </c>
      <c r="AB40" s="1359" t="str">
        <f t="shared" si="0"/>
        <v>yes</v>
      </c>
      <c r="AC40" s="1359" t="str">
        <f t="shared" si="9"/>
        <v>ok</v>
      </c>
    </row>
    <row r="41" spans="1:31" s="1359" customFormat="1" ht="20.25" customHeight="1" x14ac:dyDescent="0.25">
      <c r="A41" s="1279">
        <v>34</v>
      </c>
      <c r="B41" s="1341" t="s">
        <v>7840</v>
      </c>
      <c r="C41" s="1360" t="s">
        <v>7841</v>
      </c>
      <c r="D41" s="1345">
        <v>5</v>
      </c>
      <c r="E41" s="1344">
        <v>150</v>
      </c>
      <c r="F41" s="1345">
        <v>3</v>
      </c>
      <c r="G41" s="1345">
        <v>300</v>
      </c>
      <c r="H41" s="1346">
        <v>8</v>
      </c>
      <c r="I41" s="1347">
        <v>240</v>
      </c>
      <c r="J41" s="1361">
        <v>11</v>
      </c>
      <c r="K41" s="1362">
        <v>1</v>
      </c>
      <c r="L41" s="1350">
        <f t="shared" si="1"/>
        <v>30</v>
      </c>
      <c r="M41" s="1351">
        <f t="shared" si="2"/>
        <v>10</v>
      </c>
      <c r="N41" s="1363">
        <v>30</v>
      </c>
      <c r="O41" s="1353">
        <f t="shared" si="24"/>
        <v>300</v>
      </c>
      <c r="P41" s="1350">
        <v>0</v>
      </c>
      <c r="Q41" s="1354">
        <f t="shared" si="25"/>
        <v>0</v>
      </c>
      <c r="R41" s="1350">
        <v>5</v>
      </c>
      <c r="S41" s="1355">
        <f t="shared" si="26"/>
        <v>150</v>
      </c>
      <c r="T41" s="1356">
        <v>0</v>
      </c>
      <c r="U41" s="1355">
        <f t="shared" si="27"/>
        <v>0</v>
      </c>
      <c r="V41" s="1356">
        <v>5</v>
      </c>
      <c r="W41" s="1355">
        <f t="shared" si="28"/>
        <v>150</v>
      </c>
      <c r="X41" s="1356">
        <f t="shared" si="10"/>
        <v>10</v>
      </c>
      <c r="Y41" s="1356">
        <f t="shared" si="29"/>
        <v>300</v>
      </c>
      <c r="Z41" s="1357" t="s">
        <v>7799</v>
      </c>
      <c r="AA41" s="1358" t="s">
        <v>6531</v>
      </c>
      <c r="AB41" s="1359" t="str">
        <f t="shared" si="0"/>
        <v>yes</v>
      </c>
      <c r="AC41" s="1359" t="str">
        <f t="shared" si="9"/>
        <v>ok</v>
      </c>
    </row>
    <row r="42" spans="1:31" s="1359" customFormat="1" ht="20.25" customHeight="1" x14ac:dyDescent="0.25">
      <c r="A42" s="1279">
        <v>35</v>
      </c>
      <c r="B42" s="1341" t="s">
        <v>7842</v>
      </c>
      <c r="C42" s="1360" t="s">
        <v>7798</v>
      </c>
      <c r="D42" s="1345">
        <v>5</v>
      </c>
      <c r="E42" s="1344">
        <v>125</v>
      </c>
      <c r="F42" s="1345">
        <v>6</v>
      </c>
      <c r="G42" s="1345">
        <v>240</v>
      </c>
      <c r="H42" s="1346">
        <v>18</v>
      </c>
      <c r="I42" s="1347">
        <v>360</v>
      </c>
      <c r="J42" s="1361">
        <v>25</v>
      </c>
      <c r="K42" s="1362">
        <v>13</v>
      </c>
      <c r="L42" s="1350">
        <f t="shared" si="1"/>
        <v>260</v>
      </c>
      <c r="M42" s="1351">
        <f t="shared" si="2"/>
        <v>12</v>
      </c>
      <c r="N42" s="1363">
        <v>20</v>
      </c>
      <c r="O42" s="1353">
        <f t="shared" si="24"/>
        <v>240</v>
      </c>
      <c r="P42" s="1350">
        <v>0</v>
      </c>
      <c r="Q42" s="1354">
        <f t="shared" si="25"/>
        <v>0</v>
      </c>
      <c r="R42" s="1350">
        <v>0</v>
      </c>
      <c r="S42" s="1355">
        <f t="shared" si="26"/>
        <v>0</v>
      </c>
      <c r="T42" s="1356">
        <v>12</v>
      </c>
      <c r="U42" s="1355">
        <f t="shared" si="27"/>
        <v>240</v>
      </c>
      <c r="V42" s="1356">
        <v>0</v>
      </c>
      <c r="W42" s="1355">
        <f t="shared" si="28"/>
        <v>0</v>
      </c>
      <c r="X42" s="1356">
        <f t="shared" si="10"/>
        <v>12</v>
      </c>
      <c r="Y42" s="1356">
        <f t="shared" si="29"/>
        <v>240</v>
      </c>
      <c r="Z42" s="1357" t="s">
        <v>7799</v>
      </c>
      <c r="AA42" s="1358" t="s">
        <v>6531</v>
      </c>
      <c r="AB42" s="1359" t="str">
        <f t="shared" si="0"/>
        <v>yes</v>
      </c>
      <c r="AC42" s="1359" t="str">
        <f t="shared" si="9"/>
        <v>ok</v>
      </c>
    </row>
    <row r="43" spans="1:31" s="1359" customFormat="1" ht="20.25" customHeight="1" x14ac:dyDescent="0.25">
      <c r="A43" s="1279">
        <v>36</v>
      </c>
      <c r="B43" s="1341" t="s">
        <v>7843</v>
      </c>
      <c r="C43" s="1360" t="s">
        <v>7827</v>
      </c>
      <c r="D43" s="1343">
        <v>62</v>
      </c>
      <c r="E43" s="1344">
        <v>1240</v>
      </c>
      <c r="F43" s="1345">
        <v>89</v>
      </c>
      <c r="G43" s="1343">
        <v>1780</v>
      </c>
      <c r="H43" s="1346">
        <v>71</v>
      </c>
      <c r="I43" s="1347">
        <v>1420</v>
      </c>
      <c r="J43" s="1361">
        <v>65</v>
      </c>
      <c r="K43" s="1362">
        <v>17</v>
      </c>
      <c r="L43" s="1350">
        <f t="shared" si="1"/>
        <v>340</v>
      </c>
      <c r="M43" s="1351">
        <f t="shared" si="2"/>
        <v>48</v>
      </c>
      <c r="N43" s="1363">
        <v>20</v>
      </c>
      <c r="O43" s="1353">
        <f t="shared" si="24"/>
        <v>960</v>
      </c>
      <c r="P43" s="1350">
        <v>0</v>
      </c>
      <c r="Q43" s="1354">
        <f t="shared" si="25"/>
        <v>0</v>
      </c>
      <c r="R43" s="1350">
        <v>12</v>
      </c>
      <c r="S43" s="1355">
        <f t="shared" si="26"/>
        <v>240</v>
      </c>
      <c r="T43" s="1356">
        <v>12</v>
      </c>
      <c r="U43" s="1355">
        <f t="shared" si="27"/>
        <v>240</v>
      </c>
      <c r="V43" s="1356">
        <v>24</v>
      </c>
      <c r="W43" s="1355">
        <f t="shared" si="28"/>
        <v>480</v>
      </c>
      <c r="X43" s="1356">
        <f t="shared" si="10"/>
        <v>48</v>
      </c>
      <c r="Y43" s="1356">
        <f t="shared" si="29"/>
        <v>960</v>
      </c>
      <c r="Z43" s="1357" t="s">
        <v>7799</v>
      </c>
      <c r="AA43" s="1358" t="s">
        <v>6531</v>
      </c>
      <c r="AB43" s="1359" t="str">
        <f t="shared" si="0"/>
        <v>yes</v>
      </c>
      <c r="AC43" s="1359" t="str">
        <f t="shared" si="9"/>
        <v>ok</v>
      </c>
    </row>
    <row r="44" spans="1:31" s="1359" customFormat="1" ht="20.25" customHeight="1" x14ac:dyDescent="0.25">
      <c r="A44" s="1279">
        <v>37</v>
      </c>
      <c r="B44" s="1341" t="s">
        <v>7844</v>
      </c>
      <c r="C44" s="1360" t="s">
        <v>7845</v>
      </c>
      <c r="D44" s="1345">
        <v>58</v>
      </c>
      <c r="E44" s="1344">
        <v>290</v>
      </c>
      <c r="F44" s="1345">
        <v>129</v>
      </c>
      <c r="G44" s="1345">
        <v>645</v>
      </c>
      <c r="H44" s="1346">
        <v>160</v>
      </c>
      <c r="I44" s="1347">
        <v>800</v>
      </c>
      <c r="J44" s="1361">
        <v>178</v>
      </c>
      <c r="K44" s="1362">
        <v>28</v>
      </c>
      <c r="L44" s="1350">
        <f t="shared" si="1"/>
        <v>140</v>
      </c>
      <c r="M44" s="1351">
        <f t="shared" si="2"/>
        <v>150</v>
      </c>
      <c r="N44" s="1363">
        <v>5</v>
      </c>
      <c r="O44" s="1353">
        <f t="shared" si="24"/>
        <v>750</v>
      </c>
      <c r="P44" s="1356">
        <v>50</v>
      </c>
      <c r="Q44" s="1354">
        <f t="shared" si="25"/>
        <v>250</v>
      </c>
      <c r="R44" s="1350">
        <v>0</v>
      </c>
      <c r="S44" s="1355">
        <f t="shared" si="26"/>
        <v>0</v>
      </c>
      <c r="T44" s="1356">
        <v>50</v>
      </c>
      <c r="U44" s="1355">
        <f t="shared" si="27"/>
        <v>250</v>
      </c>
      <c r="V44" s="1350">
        <v>50</v>
      </c>
      <c r="W44" s="1355">
        <f t="shared" si="28"/>
        <v>250</v>
      </c>
      <c r="X44" s="1356">
        <f t="shared" si="10"/>
        <v>150</v>
      </c>
      <c r="Y44" s="1356">
        <f t="shared" si="29"/>
        <v>750</v>
      </c>
      <c r="Z44" s="1357" t="s">
        <v>7799</v>
      </c>
      <c r="AA44" s="1358" t="s">
        <v>6531</v>
      </c>
      <c r="AB44" s="1359" t="str">
        <f t="shared" si="0"/>
        <v>yes</v>
      </c>
      <c r="AC44" s="1359" t="str">
        <f t="shared" si="9"/>
        <v>ok</v>
      </c>
      <c r="AE44" s="1364"/>
    </row>
    <row r="45" spans="1:31" s="1359" customFormat="1" ht="20.25" customHeight="1" x14ac:dyDescent="0.25">
      <c r="A45" s="1279">
        <v>38</v>
      </c>
      <c r="B45" s="1341" t="s">
        <v>7846</v>
      </c>
      <c r="C45" s="1360" t="s">
        <v>7845</v>
      </c>
      <c r="D45" s="1345">
        <v>418</v>
      </c>
      <c r="E45" s="1344">
        <v>2090</v>
      </c>
      <c r="F45" s="1345">
        <v>668</v>
      </c>
      <c r="G45" s="1345">
        <v>3340</v>
      </c>
      <c r="H45" s="1346">
        <v>661</v>
      </c>
      <c r="I45" s="1347">
        <v>2644</v>
      </c>
      <c r="J45" s="1365">
        <v>782</v>
      </c>
      <c r="K45" s="1366">
        <v>82</v>
      </c>
      <c r="L45" s="1350">
        <f t="shared" si="1"/>
        <v>410</v>
      </c>
      <c r="M45" s="1351">
        <f t="shared" si="2"/>
        <v>700</v>
      </c>
      <c r="N45" s="1367">
        <v>5</v>
      </c>
      <c r="O45" s="1353">
        <f t="shared" si="24"/>
        <v>3500</v>
      </c>
      <c r="P45" s="1350">
        <v>100</v>
      </c>
      <c r="Q45" s="1354">
        <f t="shared" si="25"/>
        <v>500</v>
      </c>
      <c r="R45" s="1350">
        <v>200</v>
      </c>
      <c r="S45" s="1355">
        <f t="shared" si="26"/>
        <v>1000</v>
      </c>
      <c r="T45" s="1350">
        <v>200</v>
      </c>
      <c r="U45" s="1355">
        <f t="shared" si="27"/>
        <v>1000</v>
      </c>
      <c r="V45" s="1350">
        <v>200</v>
      </c>
      <c r="W45" s="1355">
        <f t="shared" si="28"/>
        <v>1000</v>
      </c>
      <c r="X45" s="1356">
        <f t="shared" si="10"/>
        <v>700</v>
      </c>
      <c r="Y45" s="1356">
        <f t="shared" si="29"/>
        <v>3500</v>
      </c>
      <c r="Z45" s="1357" t="s">
        <v>7799</v>
      </c>
      <c r="AA45" s="1358" t="s">
        <v>6531</v>
      </c>
      <c r="AB45" s="1359" t="str">
        <f t="shared" si="0"/>
        <v>yes</v>
      </c>
      <c r="AC45" s="1359" t="str">
        <f t="shared" si="9"/>
        <v>ok</v>
      </c>
      <c r="AE45" s="1368"/>
    </row>
    <row r="46" spans="1:31" s="1359" customFormat="1" ht="23.25" customHeight="1" x14ac:dyDescent="0.25">
      <c r="A46" s="1279">
        <v>39</v>
      </c>
      <c r="B46" s="1341" t="s">
        <v>7847</v>
      </c>
      <c r="C46" s="1360" t="s">
        <v>7798</v>
      </c>
      <c r="D46" s="1345">
        <v>36</v>
      </c>
      <c r="E46" s="1344">
        <v>720</v>
      </c>
      <c r="F46" s="1345">
        <v>58</v>
      </c>
      <c r="G46" s="1345">
        <v>1450</v>
      </c>
      <c r="H46" s="1346">
        <v>21</v>
      </c>
      <c r="I46" s="1347">
        <v>525</v>
      </c>
      <c r="J46" s="1348">
        <v>40</v>
      </c>
      <c r="K46" s="1349">
        <v>28</v>
      </c>
      <c r="L46" s="1350">
        <f t="shared" si="1"/>
        <v>700</v>
      </c>
      <c r="M46" s="1351">
        <f t="shared" si="2"/>
        <v>12</v>
      </c>
      <c r="N46" s="1352">
        <v>25</v>
      </c>
      <c r="O46" s="1353">
        <f>M46*N46</f>
        <v>300</v>
      </c>
      <c r="P46" s="1354">
        <v>0</v>
      </c>
      <c r="Q46" s="1354">
        <f>P46*N46</f>
        <v>0</v>
      </c>
      <c r="R46" s="1354">
        <v>0</v>
      </c>
      <c r="S46" s="1355">
        <f>R46*N46</f>
        <v>0</v>
      </c>
      <c r="T46" s="1354">
        <v>12</v>
      </c>
      <c r="U46" s="1355">
        <f>T46*N46</f>
        <v>300</v>
      </c>
      <c r="V46" s="1354">
        <v>0</v>
      </c>
      <c r="W46" s="1355">
        <f>V46*N46</f>
        <v>0</v>
      </c>
      <c r="X46" s="1356">
        <f t="shared" si="10"/>
        <v>12</v>
      </c>
      <c r="Y46" s="1356">
        <f>X46*N46</f>
        <v>300</v>
      </c>
      <c r="Z46" s="1357" t="s">
        <v>7799</v>
      </c>
      <c r="AA46" s="1358" t="s">
        <v>6531</v>
      </c>
      <c r="AB46" s="1359" t="str">
        <f t="shared" si="0"/>
        <v>yes</v>
      </c>
      <c r="AC46" s="1359" t="str">
        <f t="shared" si="9"/>
        <v>ok</v>
      </c>
    </row>
    <row r="47" spans="1:31" s="1359" customFormat="1" ht="20.25" customHeight="1" x14ac:dyDescent="0.25">
      <c r="A47" s="1279">
        <v>40</v>
      </c>
      <c r="B47" s="1341" t="s">
        <v>7848</v>
      </c>
      <c r="C47" s="1360" t="s">
        <v>7845</v>
      </c>
      <c r="D47" s="1345">
        <v>10</v>
      </c>
      <c r="E47" s="1344">
        <v>200</v>
      </c>
      <c r="F47" s="1345">
        <v>6</v>
      </c>
      <c r="G47" s="1345">
        <v>120</v>
      </c>
      <c r="H47" s="1346">
        <v>12</v>
      </c>
      <c r="I47" s="1347">
        <v>300</v>
      </c>
      <c r="J47" s="1361">
        <v>15</v>
      </c>
      <c r="K47" s="1362">
        <v>3</v>
      </c>
      <c r="L47" s="1350">
        <f t="shared" si="1"/>
        <v>75</v>
      </c>
      <c r="M47" s="1351">
        <f t="shared" si="2"/>
        <v>12</v>
      </c>
      <c r="N47" s="1363">
        <v>25</v>
      </c>
      <c r="O47" s="1353">
        <f t="shared" ref="O47:O55" si="30">M47*N47</f>
        <v>300</v>
      </c>
      <c r="P47" s="1350">
        <v>0</v>
      </c>
      <c r="Q47" s="1354">
        <f t="shared" ref="Q47:Q55" si="31">P47*N47</f>
        <v>0</v>
      </c>
      <c r="R47" s="1350">
        <v>0</v>
      </c>
      <c r="S47" s="1355">
        <f t="shared" ref="S47:S55" si="32">R47*N47</f>
        <v>0</v>
      </c>
      <c r="T47" s="1356">
        <v>12</v>
      </c>
      <c r="U47" s="1355">
        <f t="shared" ref="U47:U55" si="33">T47*N47</f>
        <v>300</v>
      </c>
      <c r="V47" s="1356">
        <v>0</v>
      </c>
      <c r="W47" s="1355">
        <f t="shared" ref="W47:W55" si="34">V47*N47</f>
        <v>0</v>
      </c>
      <c r="X47" s="1356">
        <f t="shared" si="10"/>
        <v>12</v>
      </c>
      <c r="Y47" s="1356">
        <f t="shared" ref="Y47:Y55" si="35">X47*N47</f>
        <v>300</v>
      </c>
      <c r="Z47" s="1357" t="s">
        <v>7799</v>
      </c>
      <c r="AA47" s="1358" t="s">
        <v>6531</v>
      </c>
      <c r="AB47" s="1359" t="str">
        <f t="shared" si="0"/>
        <v>yes</v>
      </c>
      <c r="AC47" s="1359" t="str">
        <f t="shared" si="9"/>
        <v>ok</v>
      </c>
    </row>
    <row r="48" spans="1:31" s="1359" customFormat="1" ht="20.25" customHeight="1" x14ac:dyDescent="0.25">
      <c r="A48" s="1279">
        <v>41</v>
      </c>
      <c r="B48" s="1341" t="s">
        <v>7849</v>
      </c>
      <c r="C48" s="1360" t="s">
        <v>7798</v>
      </c>
      <c r="D48" s="1345">
        <v>3</v>
      </c>
      <c r="E48" s="1344">
        <v>135</v>
      </c>
      <c r="F48" s="1345">
        <v>5</v>
      </c>
      <c r="G48" s="1345">
        <v>225</v>
      </c>
      <c r="H48" s="1346">
        <v>0</v>
      </c>
      <c r="I48" s="1347">
        <f t="shared" ref="I48:I75" si="36">H48*N48</f>
        <v>0</v>
      </c>
      <c r="J48" s="1361">
        <v>5</v>
      </c>
      <c r="K48" s="1362">
        <v>2</v>
      </c>
      <c r="L48" s="1350">
        <f t="shared" si="1"/>
        <v>90</v>
      </c>
      <c r="M48" s="1351">
        <f t="shared" si="2"/>
        <v>3</v>
      </c>
      <c r="N48" s="1363">
        <v>45</v>
      </c>
      <c r="O48" s="1353">
        <f t="shared" si="30"/>
        <v>135</v>
      </c>
      <c r="P48" s="1350">
        <v>0</v>
      </c>
      <c r="Q48" s="1354">
        <f t="shared" si="31"/>
        <v>0</v>
      </c>
      <c r="R48" s="1356">
        <v>0</v>
      </c>
      <c r="S48" s="1355">
        <f t="shared" si="32"/>
        <v>0</v>
      </c>
      <c r="T48" s="1350">
        <v>3</v>
      </c>
      <c r="U48" s="1355">
        <f t="shared" si="33"/>
        <v>135</v>
      </c>
      <c r="V48" s="1356">
        <v>0</v>
      </c>
      <c r="W48" s="1355">
        <f t="shared" si="34"/>
        <v>0</v>
      </c>
      <c r="X48" s="1356">
        <f t="shared" si="10"/>
        <v>3</v>
      </c>
      <c r="Y48" s="1356">
        <f t="shared" si="35"/>
        <v>135</v>
      </c>
      <c r="Z48" s="1357" t="s">
        <v>7799</v>
      </c>
      <c r="AA48" s="1358" t="s">
        <v>6531</v>
      </c>
      <c r="AB48" s="1359" t="str">
        <f t="shared" si="0"/>
        <v>yes</v>
      </c>
      <c r="AC48" s="1359" t="str">
        <f t="shared" si="9"/>
        <v>ok</v>
      </c>
    </row>
    <row r="49" spans="1:31" s="1359" customFormat="1" ht="20.25" customHeight="1" x14ac:dyDescent="0.25">
      <c r="A49" s="1279">
        <v>42</v>
      </c>
      <c r="B49" s="1341" t="s">
        <v>7850</v>
      </c>
      <c r="C49" s="1360" t="s">
        <v>7798</v>
      </c>
      <c r="D49" s="1345">
        <v>4</v>
      </c>
      <c r="E49" s="1344">
        <v>180</v>
      </c>
      <c r="F49" s="1345">
        <v>5</v>
      </c>
      <c r="G49" s="1345">
        <v>225</v>
      </c>
      <c r="H49" s="1346">
        <v>5</v>
      </c>
      <c r="I49" s="1347">
        <v>225</v>
      </c>
      <c r="J49" s="1361">
        <v>5</v>
      </c>
      <c r="K49" s="1362">
        <v>1</v>
      </c>
      <c r="L49" s="1350">
        <f t="shared" si="1"/>
        <v>50</v>
      </c>
      <c r="M49" s="1351">
        <f t="shared" si="2"/>
        <v>4</v>
      </c>
      <c r="N49" s="1363">
        <v>50</v>
      </c>
      <c r="O49" s="1353">
        <f t="shared" si="30"/>
        <v>200</v>
      </c>
      <c r="P49" s="1356">
        <v>0</v>
      </c>
      <c r="Q49" s="1354">
        <f t="shared" si="31"/>
        <v>0</v>
      </c>
      <c r="R49" s="1350">
        <v>2</v>
      </c>
      <c r="S49" s="1355">
        <f t="shared" si="32"/>
        <v>100</v>
      </c>
      <c r="T49" s="1356">
        <v>2</v>
      </c>
      <c r="U49" s="1355">
        <f t="shared" si="33"/>
        <v>100</v>
      </c>
      <c r="V49" s="1350">
        <v>0</v>
      </c>
      <c r="W49" s="1355">
        <f t="shared" si="34"/>
        <v>0</v>
      </c>
      <c r="X49" s="1356">
        <f t="shared" si="10"/>
        <v>4</v>
      </c>
      <c r="Y49" s="1356">
        <f t="shared" si="35"/>
        <v>200</v>
      </c>
      <c r="Z49" s="1357" t="s">
        <v>7799</v>
      </c>
      <c r="AA49" s="1358" t="s">
        <v>6531</v>
      </c>
      <c r="AB49" s="1359" t="str">
        <f t="shared" si="0"/>
        <v>yes</v>
      </c>
      <c r="AC49" s="1359" t="str">
        <f t="shared" si="9"/>
        <v>ok</v>
      </c>
    </row>
    <row r="50" spans="1:31" s="1359" customFormat="1" ht="20.25" customHeight="1" x14ac:dyDescent="0.25">
      <c r="A50" s="1279">
        <v>43</v>
      </c>
      <c r="B50" s="1341" t="s">
        <v>7851</v>
      </c>
      <c r="C50" s="1360" t="s">
        <v>7823</v>
      </c>
      <c r="D50" s="1345">
        <v>5</v>
      </c>
      <c r="E50" s="1344">
        <v>2400</v>
      </c>
      <c r="F50" s="1345">
        <v>3</v>
      </c>
      <c r="G50" s="1345">
        <v>1440</v>
      </c>
      <c r="H50" s="1346">
        <v>4</v>
      </c>
      <c r="I50" s="1347">
        <v>1920</v>
      </c>
      <c r="J50" s="1361">
        <v>5</v>
      </c>
      <c r="K50" s="1362">
        <v>3</v>
      </c>
      <c r="L50" s="1350">
        <f t="shared" si="1"/>
        <v>1260</v>
      </c>
      <c r="M50" s="1351">
        <f t="shared" si="2"/>
        <v>2</v>
      </c>
      <c r="N50" s="1363">
        <v>420</v>
      </c>
      <c r="O50" s="1353">
        <f t="shared" si="30"/>
        <v>840</v>
      </c>
      <c r="P50" s="1350">
        <v>0</v>
      </c>
      <c r="Q50" s="1354">
        <f t="shared" si="31"/>
        <v>0</v>
      </c>
      <c r="R50" s="1350">
        <v>2</v>
      </c>
      <c r="S50" s="1355">
        <f t="shared" si="32"/>
        <v>840</v>
      </c>
      <c r="T50" s="1356">
        <v>0</v>
      </c>
      <c r="U50" s="1355">
        <f t="shared" si="33"/>
        <v>0</v>
      </c>
      <c r="V50" s="1356">
        <v>0</v>
      </c>
      <c r="W50" s="1355">
        <f t="shared" si="34"/>
        <v>0</v>
      </c>
      <c r="X50" s="1356">
        <f t="shared" si="10"/>
        <v>2</v>
      </c>
      <c r="Y50" s="1356">
        <f t="shared" si="35"/>
        <v>840</v>
      </c>
      <c r="Z50" s="1357" t="s">
        <v>7799</v>
      </c>
      <c r="AA50" s="1358" t="s">
        <v>6531</v>
      </c>
      <c r="AB50" s="1359" t="str">
        <f t="shared" si="0"/>
        <v>yes</v>
      </c>
      <c r="AC50" s="1359" t="str">
        <f t="shared" si="9"/>
        <v>ok</v>
      </c>
    </row>
    <row r="51" spans="1:31" s="1359" customFormat="1" ht="20.25" customHeight="1" x14ac:dyDescent="0.25">
      <c r="A51" s="1279">
        <v>44</v>
      </c>
      <c r="B51" s="1341" t="s">
        <v>7852</v>
      </c>
      <c r="C51" s="1360" t="s">
        <v>7801</v>
      </c>
      <c r="D51" s="1345">
        <v>7</v>
      </c>
      <c r="E51" s="1344">
        <v>1330</v>
      </c>
      <c r="F51" s="1345">
        <v>8</v>
      </c>
      <c r="G51" s="1345">
        <v>1520</v>
      </c>
      <c r="H51" s="1346">
        <v>5</v>
      </c>
      <c r="I51" s="1347">
        <v>900</v>
      </c>
      <c r="J51" s="1361">
        <v>5</v>
      </c>
      <c r="K51" s="1362">
        <v>0</v>
      </c>
      <c r="L51" s="1350">
        <f t="shared" si="1"/>
        <v>0</v>
      </c>
      <c r="M51" s="1351">
        <f t="shared" si="2"/>
        <v>5</v>
      </c>
      <c r="N51" s="1363">
        <v>180</v>
      </c>
      <c r="O51" s="1353">
        <f t="shared" si="30"/>
        <v>900</v>
      </c>
      <c r="P51" s="1350">
        <v>2</v>
      </c>
      <c r="Q51" s="1354">
        <f t="shared" si="31"/>
        <v>360</v>
      </c>
      <c r="R51" s="1350">
        <v>0</v>
      </c>
      <c r="S51" s="1355">
        <f t="shared" si="32"/>
        <v>0</v>
      </c>
      <c r="T51" s="1356">
        <v>3</v>
      </c>
      <c r="U51" s="1355">
        <f t="shared" si="33"/>
        <v>540</v>
      </c>
      <c r="V51" s="1356">
        <v>0</v>
      </c>
      <c r="W51" s="1355">
        <f t="shared" si="34"/>
        <v>0</v>
      </c>
      <c r="X51" s="1356">
        <f t="shared" si="10"/>
        <v>5</v>
      </c>
      <c r="Y51" s="1356">
        <f t="shared" si="35"/>
        <v>900</v>
      </c>
      <c r="Z51" s="1357" t="s">
        <v>7799</v>
      </c>
      <c r="AA51" s="1358" t="s">
        <v>6531</v>
      </c>
      <c r="AB51" s="1359" t="str">
        <f t="shared" si="0"/>
        <v>yes</v>
      </c>
      <c r="AC51" s="1359" t="str">
        <f t="shared" si="9"/>
        <v>ok</v>
      </c>
    </row>
    <row r="52" spans="1:31" s="1359" customFormat="1" ht="20.25" customHeight="1" x14ac:dyDescent="0.25">
      <c r="A52" s="1279">
        <v>45</v>
      </c>
      <c r="B52" s="1341" t="s">
        <v>7853</v>
      </c>
      <c r="C52" s="1360" t="s">
        <v>7798</v>
      </c>
      <c r="D52" s="1345">
        <v>36</v>
      </c>
      <c r="E52" s="1344">
        <v>4320</v>
      </c>
      <c r="F52" s="1345">
        <v>23</v>
      </c>
      <c r="G52" s="1345">
        <v>2760</v>
      </c>
      <c r="H52" s="1346">
        <v>38</v>
      </c>
      <c r="I52" s="1347">
        <v>4560</v>
      </c>
      <c r="J52" s="1361">
        <v>47</v>
      </c>
      <c r="K52" s="1362">
        <v>11</v>
      </c>
      <c r="L52" s="1350">
        <f t="shared" si="1"/>
        <v>1320</v>
      </c>
      <c r="M52" s="1351">
        <f t="shared" si="2"/>
        <v>36</v>
      </c>
      <c r="N52" s="1363">
        <v>120</v>
      </c>
      <c r="O52" s="1353">
        <f t="shared" si="30"/>
        <v>4320</v>
      </c>
      <c r="P52" s="1350">
        <v>0</v>
      </c>
      <c r="Q52" s="1354">
        <f t="shared" si="31"/>
        <v>0</v>
      </c>
      <c r="R52" s="1350">
        <v>12</v>
      </c>
      <c r="S52" s="1355">
        <f t="shared" si="32"/>
        <v>1440</v>
      </c>
      <c r="T52" s="1356">
        <v>12</v>
      </c>
      <c r="U52" s="1355">
        <f t="shared" si="33"/>
        <v>1440</v>
      </c>
      <c r="V52" s="1356">
        <v>12</v>
      </c>
      <c r="W52" s="1355">
        <f t="shared" si="34"/>
        <v>1440</v>
      </c>
      <c r="X52" s="1356">
        <f t="shared" si="10"/>
        <v>36</v>
      </c>
      <c r="Y52" s="1356">
        <f t="shared" si="35"/>
        <v>4320</v>
      </c>
      <c r="Z52" s="1357" t="s">
        <v>7799</v>
      </c>
      <c r="AA52" s="1358" t="s">
        <v>6531</v>
      </c>
      <c r="AB52" s="1359" t="str">
        <f t="shared" si="0"/>
        <v>yes</v>
      </c>
      <c r="AC52" s="1359" t="str">
        <f t="shared" si="9"/>
        <v>ok</v>
      </c>
    </row>
    <row r="53" spans="1:31" s="1359" customFormat="1" ht="20.25" customHeight="1" x14ac:dyDescent="0.25">
      <c r="A53" s="1279">
        <v>46</v>
      </c>
      <c r="B53" s="1341" t="s">
        <v>7854</v>
      </c>
      <c r="C53" s="1360" t="s">
        <v>7798</v>
      </c>
      <c r="D53" s="1345">
        <v>12</v>
      </c>
      <c r="E53" s="1344">
        <v>240</v>
      </c>
      <c r="F53" s="1345">
        <v>5</v>
      </c>
      <c r="G53" s="1345">
        <v>100</v>
      </c>
      <c r="H53" s="1346">
        <v>5</v>
      </c>
      <c r="I53" s="1347">
        <v>175</v>
      </c>
      <c r="J53" s="1361">
        <v>15</v>
      </c>
      <c r="K53" s="1362">
        <v>5</v>
      </c>
      <c r="L53" s="1350">
        <f t="shared" si="1"/>
        <v>175</v>
      </c>
      <c r="M53" s="1351">
        <f t="shared" si="2"/>
        <v>10</v>
      </c>
      <c r="N53" s="1363">
        <v>35</v>
      </c>
      <c r="O53" s="1353">
        <f t="shared" si="30"/>
        <v>350</v>
      </c>
      <c r="P53" s="1350">
        <v>0</v>
      </c>
      <c r="Q53" s="1354">
        <f t="shared" si="31"/>
        <v>0</v>
      </c>
      <c r="R53" s="1350">
        <v>5</v>
      </c>
      <c r="S53" s="1355">
        <f t="shared" si="32"/>
        <v>175</v>
      </c>
      <c r="T53" s="1356">
        <v>0</v>
      </c>
      <c r="U53" s="1355">
        <f t="shared" si="33"/>
        <v>0</v>
      </c>
      <c r="V53" s="1356">
        <v>5</v>
      </c>
      <c r="W53" s="1355">
        <f t="shared" si="34"/>
        <v>175</v>
      </c>
      <c r="X53" s="1356">
        <f t="shared" si="10"/>
        <v>10</v>
      </c>
      <c r="Y53" s="1356">
        <f t="shared" si="35"/>
        <v>350</v>
      </c>
      <c r="Z53" s="1357" t="s">
        <v>7799</v>
      </c>
      <c r="AA53" s="1358" t="s">
        <v>6531</v>
      </c>
      <c r="AB53" s="1359" t="str">
        <f t="shared" si="0"/>
        <v>yes</v>
      </c>
      <c r="AC53" s="1359" t="str">
        <f t="shared" si="9"/>
        <v>ok</v>
      </c>
    </row>
    <row r="54" spans="1:31" s="1359" customFormat="1" ht="20.25" customHeight="1" x14ac:dyDescent="0.25">
      <c r="A54" s="1279">
        <v>47</v>
      </c>
      <c r="B54" s="1341" t="s">
        <v>7855</v>
      </c>
      <c r="C54" s="1360" t="s">
        <v>7798</v>
      </c>
      <c r="D54" s="1345">
        <v>13</v>
      </c>
      <c r="E54" s="1344">
        <v>650</v>
      </c>
      <c r="F54" s="1345">
        <v>10</v>
      </c>
      <c r="G54" s="1345">
        <v>600</v>
      </c>
      <c r="H54" s="1346">
        <v>8</v>
      </c>
      <c r="I54" s="1347">
        <v>520</v>
      </c>
      <c r="J54" s="1361">
        <v>17</v>
      </c>
      <c r="K54" s="1362">
        <v>2</v>
      </c>
      <c r="L54" s="1350">
        <f t="shared" si="1"/>
        <v>110</v>
      </c>
      <c r="M54" s="1351">
        <f t="shared" si="2"/>
        <v>15</v>
      </c>
      <c r="N54" s="1363">
        <v>55</v>
      </c>
      <c r="O54" s="1353">
        <f t="shared" si="30"/>
        <v>825</v>
      </c>
      <c r="P54" s="1356">
        <v>0</v>
      </c>
      <c r="Q54" s="1354">
        <f t="shared" si="31"/>
        <v>0</v>
      </c>
      <c r="R54" s="1350">
        <v>5</v>
      </c>
      <c r="S54" s="1355">
        <f t="shared" si="32"/>
        <v>275</v>
      </c>
      <c r="T54" s="1356">
        <v>5</v>
      </c>
      <c r="U54" s="1355">
        <f t="shared" si="33"/>
        <v>275</v>
      </c>
      <c r="V54" s="1350">
        <v>5</v>
      </c>
      <c r="W54" s="1355">
        <f t="shared" si="34"/>
        <v>275</v>
      </c>
      <c r="X54" s="1356">
        <f t="shared" si="10"/>
        <v>15</v>
      </c>
      <c r="Y54" s="1356">
        <f t="shared" si="35"/>
        <v>825</v>
      </c>
      <c r="Z54" s="1357" t="s">
        <v>7799</v>
      </c>
      <c r="AA54" s="1358" t="s">
        <v>6531</v>
      </c>
      <c r="AB54" s="1359" t="str">
        <f t="shared" si="0"/>
        <v>yes</v>
      </c>
      <c r="AC54" s="1359" t="str">
        <f t="shared" si="9"/>
        <v>ok</v>
      </c>
      <c r="AE54" s="1364"/>
    </row>
    <row r="55" spans="1:31" s="1359" customFormat="1" ht="20.25" customHeight="1" x14ac:dyDescent="0.25">
      <c r="A55" s="1279">
        <v>48</v>
      </c>
      <c r="B55" s="1341" t="s">
        <v>7856</v>
      </c>
      <c r="C55" s="1360" t="s">
        <v>7798</v>
      </c>
      <c r="D55" s="1345">
        <v>6</v>
      </c>
      <c r="E55" s="1344">
        <v>2880</v>
      </c>
      <c r="F55" s="1345">
        <v>5</v>
      </c>
      <c r="G55" s="1345">
        <v>2400</v>
      </c>
      <c r="H55" s="1346">
        <v>6</v>
      </c>
      <c r="I55" s="1347">
        <v>1560</v>
      </c>
      <c r="J55" s="1365">
        <v>10</v>
      </c>
      <c r="K55" s="1366">
        <v>5</v>
      </c>
      <c r="L55" s="1350">
        <f t="shared" si="1"/>
        <v>1300</v>
      </c>
      <c r="M55" s="1351">
        <f t="shared" si="2"/>
        <v>5</v>
      </c>
      <c r="N55" s="1367">
        <v>260</v>
      </c>
      <c r="O55" s="1353">
        <f t="shared" si="30"/>
        <v>1300</v>
      </c>
      <c r="P55" s="1350">
        <v>0</v>
      </c>
      <c r="Q55" s="1354">
        <f t="shared" si="31"/>
        <v>0</v>
      </c>
      <c r="R55" s="1350">
        <v>5</v>
      </c>
      <c r="S55" s="1355">
        <f t="shared" si="32"/>
        <v>1300</v>
      </c>
      <c r="T55" s="1350">
        <v>0</v>
      </c>
      <c r="U55" s="1355">
        <f t="shared" si="33"/>
        <v>0</v>
      </c>
      <c r="V55" s="1350">
        <v>0</v>
      </c>
      <c r="W55" s="1355">
        <f t="shared" si="34"/>
        <v>0</v>
      </c>
      <c r="X55" s="1356">
        <f t="shared" si="10"/>
        <v>5</v>
      </c>
      <c r="Y55" s="1356">
        <f t="shared" si="35"/>
        <v>1300</v>
      </c>
      <c r="Z55" s="1357" t="s">
        <v>7799</v>
      </c>
      <c r="AA55" s="1358" t="s">
        <v>6531</v>
      </c>
      <c r="AB55" s="1359" t="str">
        <f t="shared" si="0"/>
        <v>yes</v>
      </c>
      <c r="AC55" s="1359" t="str">
        <f t="shared" si="9"/>
        <v>ok</v>
      </c>
      <c r="AE55" s="1368"/>
    </row>
    <row r="56" spans="1:31" s="1359" customFormat="1" ht="23.25" customHeight="1" x14ac:dyDescent="0.25">
      <c r="A56" s="1279">
        <v>49</v>
      </c>
      <c r="B56" s="1341" t="s">
        <v>7857</v>
      </c>
      <c r="C56" s="1360" t="s">
        <v>7798</v>
      </c>
      <c r="D56" s="1345">
        <v>15</v>
      </c>
      <c r="E56" s="1344">
        <v>1425</v>
      </c>
      <c r="F56" s="1345">
        <v>10</v>
      </c>
      <c r="G56" s="1345">
        <v>950</v>
      </c>
      <c r="H56" s="1346">
        <v>26</v>
      </c>
      <c r="I56" s="1347">
        <v>2470</v>
      </c>
      <c r="J56" s="1348">
        <v>20</v>
      </c>
      <c r="K56" s="1349">
        <v>4</v>
      </c>
      <c r="L56" s="1350">
        <f t="shared" si="1"/>
        <v>380</v>
      </c>
      <c r="M56" s="1351">
        <f t="shared" si="2"/>
        <v>16</v>
      </c>
      <c r="N56" s="1352">
        <v>95</v>
      </c>
      <c r="O56" s="1353">
        <f>M56*N56</f>
        <v>1520</v>
      </c>
      <c r="P56" s="1354">
        <v>0</v>
      </c>
      <c r="Q56" s="1354">
        <f>P56*N56</f>
        <v>0</v>
      </c>
      <c r="R56" s="1354">
        <v>6</v>
      </c>
      <c r="S56" s="1355">
        <f>R56*N56</f>
        <v>570</v>
      </c>
      <c r="T56" s="1354">
        <v>5</v>
      </c>
      <c r="U56" s="1355">
        <f>T56*N56</f>
        <v>475</v>
      </c>
      <c r="V56" s="1354">
        <v>5</v>
      </c>
      <c r="W56" s="1355">
        <f>V56*N56</f>
        <v>475</v>
      </c>
      <c r="X56" s="1356">
        <f t="shared" si="10"/>
        <v>16</v>
      </c>
      <c r="Y56" s="1356">
        <f>X56*N56</f>
        <v>1520</v>
      </c>
      <c r="Z56" s="1357" t="s">
        <v>7799</v>
      </c>
      <c r="AA56" s="1358" t="s">
        <v>6531</v>
      </c>
      <c r="AB56" s="1359" t="str">
        <f t="shared" si="0"/>
        <v>yes</v>
      </c>
      <c r="AC56" s="1359" t="str">
        <f t="shared" si="9"/>
        <v>ok</v>
      </c>
    </row>
    <row r="57" spans="1:31" s="1359" customFormat="1" ht="20.25" customHeight="1" x14ac:dyDescent="0.25">
      <c r="A57" s="1279">
        <v>50</v>
      </c>
      <c r="B57" s="1341" t="s">
        <v>7858</v>
      </c>
      <c r="C57" s="1360" t="s">
        <v>7832</v>
      </c>
      <c r="D57" s="1345">
        <v>24</v>
      </c>
      <c r="E57" s="1344">
        <v>120</v>
      </c>
      <c r="F57" s="1345">
        <v>12</v>
      </c>
      <c r="G57" s="1345">
        <v>60</v>
      </c>
      <c r="H57" s="1346">
        <v>15</v>
      </c>
      <c r="I57" s="1347">
        <v>75</v>
      </c>
      <c r="J57" s="1361">
        <v>25</v>
      </c>
      <c r="K57" s="1362">
        <v>5</v>
      </c>
      <c r="L57" s="1350">
        <f t="shared" si="1"/>
        <v>25</v>
      </c>
      <c r="M57" s="1351">
        <f t="shared" si="2"/>
        <v>20</v>
      </c>
      <c r="N57" s="1363">
        <v>5</v>
      </c>
      <c r="O57" s="1353">
        <f t="shared" ref="O57:O65" si="37">M57*N57</f>
        <v>100</v>
      </c>
      <c r="P57" s="1350">
        <v>0</v>
      </c>
      <c r="Q57" s="1354">
        <f t="shared" ref="Q57:Q65" si="38">P57*N57</f>
        <v>0</v>
      </c>
      <c r="R57" s="1350">
        <v>10</v>
      </c>
      <c r="S57" s="1355">
        <f t="shared" ref="S57:S65" si="39">R57*N57</f>
        <v>50</v>
      </c>
      <c r="T57" s="1356">
        <v>10</v>
      </c>
      <c r="U57" s="1355">
        <f t="shared" ref="U57:U65" si="40">T57*N57</f>
        <v>50</v>
      </c>
      <c r="V57" s="1356">
        <v>0</v>
      </c>
      <c r="W57" s="1355">
        <f t="shared" ref="W57:W65" si="41">V57*N57</f>
        <v>0</v>
      </c>
      <c r="X57" s="1356">
        <f t="shared" si="10"/>
        <v>20</v>
      </c>
      <c r="Y57" s="1356">
        <f t="shared" ref="Y57:Y65" si="42">X57*N57</f>
        <v>100</v>
      </c>
      <c r="Z57" s="1357" t="s">
        <v>7799</v>
      </c>
      <c r="AA57" s="1358" t="s">
        <v>6531</v>
      </c>
      <c r="AB57" s="1359" t="str">
        <f t="shared" si="0"/>
        <v>yes</v>
      </c>
      <c r="AC57" s="1359" t="str">
        <f t="shared" si="9"/>
        <v>ok</v>
      </c>
    </row>
    <row r="58" spans="1:31" s="1359" customFormat="1" ht="20.25" customHeight="1" x14ac:dyDescent="0.25">
      <c r="A58" s="1279">
        <v>51</v>
      </c>
      <c r="B58" s="1341" t="s">
        <v>7859</v>
      </c>
      <c r="C58" s="1360" t="s">
        <v>7816</v>
      </c>
      <c r="D58" s="1345">
        <v>273</v>
      </c>
      <c r="E58" s="1344">
        <v>3549</v>
      </c>
      <c r="F58" s="1345">
        <v>360</v>
      </c>
      <c r="G58" s="1345">
        <v>4680</v>
      </c>
      <c r="H58" s="1346">
        <v>213</v>
      </c>
      <c r="I58" s="1347">
        <v>2769</v>
      </c>
      <c r="J58" s="1361">
        <v>239</v>
      </c>
      <c r="K58" s="1362">
        <v>89</v>
      </c>
      <c r="L58" s="1350">
        <f t="shared" si="1"/>
        <v>890</v>
      </c>
      <c r="M58" s="1351">
        <f t="shared" si="2"/>
        <v>150</v>
      </c>
      <c r="N58" s="1363">
        <v>10</v>
      </c>
      <c r="O58" s="1353">
        <f t="shared" si="37"/>
        <v>1500</v>
      </c>
      <c r="P58" s="1350">
        <v>0</v>
      </c>
      <c r="Q58" s="1354">
        <f t="shared" si="38"/>
        <v>0</v>
      </c>
      <c r="R58" s="1356">
        <v>50</v>
      </c>
      <c r="S58" s="1355">
        <f t="shared" si="39"/>
        <v>500</v>
      </c>
      <c r="T58" s="1350">
        <v>50</v>
      </c>
      <c r="U58" s="1355">
        <f t="shared" si="40"/>
        <v>500</v>
      </c>
      <c r="V58" s="1356">
        <v>50</v>
      </c>
      <c r="W58" s="1355">
        <f t="shared" si="41"/>
        <v>500</v>
      </c>
      <c r="X58" s="1356">
        <f t="shared" si="10"/>
        <v>150</v>
      </c>
      <c r="Y58" s="1356">
        <f t="shared" si="42"/>
        <v>1500</v>
      </c>
      <c r="Z58" s="1357" t="s">
        <v>7799</v>
      </c>
      <c r="AA58" s="1358" t="s">
        <v>6531</v>
      </c>
      <c r="AB58" s="1359" t="str">
        <f t="shared" si="0"/>
        <v>yes</v>
      </c>
      <c r="AC58" s="1359" t="str">
        <f t="shared" si="9"/>
        <v>ok</v>
      </c>
    </row>
    <row r="59" spans="1:31" s="1359" customFormat="1" ht="20.25" customHeight="1" x14ac:dyDescent="0.25">
      <c r="A59" s="1279">
        <v>52</v>
      </c>
      <c r="B59" s="1341" t="s">
        <v>7860</v>
      </c>
      <c r="C59" s="1360" t="s">
        <v>7816</v>
      </c>
      <c r="D59" s="1345">
        <v>117</v>
      </c>
      <c r="E59" s="1344">
        <v>1068.21</v>
      </c>
      <c r="F59" s="1345">
        <v>217</v>
      </c>
      <c r="G59" s="1345">
        <v>2170</v>
      </c>
      <c r="H59" s="1346">
        <v>143</v>
      </c>
      <c r="I59" s="1347">
        <v>1430</v>
      </c>
      <c r="J59" s="1361">
        <v>144</v>
      </c>
      <c r="K59" s="1362">
        <v>48</v>
      </c>
      <c r="L59" s="1350">
        <f t="shared" si="1"/>
        <v>576</v>
      </c>
      <c r="M59" s="1351">
        <f t="shared" si="2"/>
        <v>96</v>
      </c>
      <c r="N59" s="1363">
        <v>12</v>
      </c>
      <c r="O59" s="1353">
        <f t="shared" si="37"/>
        <v>1152</v>
      </c>
      <c r="P59" s="1356">
        <v>0</v>
      </c>
      <c r="Q59" s="1354">
        <f t="shared" si="38"/>
        <v>0</v>
      </c>
      <c r="R59" s="1350">
        <v>24</v>
      </c>
      <c r="S59" s="1355">
        <f t="shared" si="39"/>
        <v>288</v>
      </c>
      <c r="T59" s="1356">
        <v>48</v>
      </c>
      <c r="U59" s="1355">
        <f t="shared" si="40"/>
        <v>576</v>
      </c>
      <c r="V59" s="1350">
        <v>24</v>
      </c>
      <c r="W59" s="1355">
        <f t="shared" si="41"/>
        <v>288</v>
      </c>
      <c r="X59" s="1356">
        <f t="shared" si="10"/>
        <v>96</v>
      </c>
      <c r="Y59" s="1356">
        <f t="shared" si="42"/>
        <v>1152</v>
      </c>
      <c r="Z59" s="1357" t="s">
        <v>7799</v>
      </c>
      <c r="AA59" s="1358" t="s">
        <v>6531</v>
      </c>
      <c r="AB59" s="1359" t="str">
        <f t="shared" si="0"/>
        <v>yes</v>
      </c>
      <c r="AC59" s="1359" t="str">
        <f t="shared" si="9"/>
        <v>ok</v>
      </c>
    </row>
    <row r="60" spans="1:31" s="1359" customFormat="1" ht="20.25" customHeight="1" x14ac:dyDescent="0.25">
      <c r="A60" s="1279">
        <v>53</v>
      </c>
      <c r="B60" s="1341" t="s">
        <v>7861</v>
      </c>
      <c r="C60" s="1360" t="s">
        <v>7816</v>
      </c>
      <c r="D60" s="1345">
        <v>31</v>
      </c>
      <c r="E60" s="1344">
        <v>387.5</v>
      </c>
      <c r="F60" s="1345">
        <v>41</v>
      </c>
      <c r="G60" s="1345">
        <v>568</v>
      </c>
      <c r="H60" s="1346">
        <v>34</v>
      </c>
      <c r="I60" s="1347">
        <v>408</v>
      </c>
      <c r="J60" s="1361">
        <v>73</v>
      </c>
      <c r="K60" s="1362">
        <v>25</v>
      </c>
      <c r="L60" s="1350">
        <f t="shared" si="1"/>
        <v>300</v>
      </c>
      <c r="M60" s="1351">
        <f t="shared" si="2"/>
        <v>48</v>
      </c>
      <c r="N60" s="1363">
        <v>12</v>
      </c>
      <c r="O60" s="1353">
        <f t="shared" si="37"/>
        <v>576</v>
      </c>
      <c r="P60" s="1350">
        <v>0</v>
      </c>
      <c r="Q60" s="1354">
        <f t="shared" si="38"/>
        <v>0</v>
      </c>
      <c r="R60" s="1350">
        <v>24</v>
      </c>
      <c r="S60" s="1355">
        <f t="shared" si="39"/>
        <v>288</v>
      </c>
      <c r="T60" s="1356">
        <v>0</v>
      </c>
      <c r="U60" s="1355">
        <f t="shared" si="40"/>
        <v>0</v>
      </c>
      <c r="V60" s="1356">
        <v>24</v>
      </c>
      <c r="W60" s="1355">
        <f t="shared" si="41"/>
        <v>288</v>
      </c>
      <c r="X60" s="1356">
        <f t="shared" si="10"/>
        <v>48</v>
      </c>
      <c r="Y60" s="1356">
        <f t="shared" si="42"/>
        <v>576</v>
      </c>
      <c r="Z60" s="1357" t="s">
        <v>7799</v>
      </c>
      <c r="AA60" s="1358" t="s">
        <v>6531</v>
      </c>
      <c r="AB60" s="1359" t="str">
        <f t="shared" si="0"/>
        <v>yes</v>
      </c>
      <c r="AC60" s="1359" t="str">
        <f t="shared" si="9"/>
        <v>ok</v>
      </c>
    </row>
    <row r="61" spans="1:31" s="1359" customFormat="1" ht="20.25" customHeight="1" x14ac:dyDescent="0.25">
      <c r="A61" s="1279">
        <v>54</v>
      </c>
      <c r="B61" s="1341" t="s">
        <v>7862</v>
      </c>
      <c r="C61" s="1360" t="s">
        <v>7863</v>
      </c>
      <c r="D61" s="1345">
        <v>4</v>
      </c>
      <c r="E61" s="1344">
        <v>380</v>
      </c>
      <c r="F61" s="1345">
        <v>6</v>
      </c>
      <c r="G61" s="1345">
        <v>450</v>
      </c>
      <c r="H61" s="1346">
        <v>14</v>
      </c>
      <c r="I61" s="1347">
        <v>1680</v>
      </c>
      <c r="J61" s="1361">
        <v>20</v>
      </c>
      <c r="K61" s="1362">
        <v>10</v>
      </c>
      <c r="L61" s="1350">
        <f t="shared" si="1"/>
        <v>950</v>
      </c>
      <c r="M61" s="1351">
        <f t="shared" si="2"/>
        <v>10</v>
      </c>
      <c r="N61" s="1363">
        <v>95</v>
      </c>
      <c r="O61" s="1353">
        <f t="shared" si="37"/>
        <v>950</v>
      </c>
      <c r="P61" s="1350">
        <v>0</v>
      </c>
      <c r="Q61" s="1354">
        <f t="shared" si="38"/>
        <v>0</v>
      </c>
      <c r="R61" s="1350">
        <v>0</v>
      </c>
      <c r="S61" s="1355">
        <f t="shared" si="39"/>
        <v>0</v>
      </c>
      <c r="T61" s="1356">
        <v>10</v>
      </c>
      <c r="U61" s="1355">
        <f t="shared" si="40"/>
        <v>950</v>
      </c>
      <c r="V61" s="1356">
        <v>0</v>
      </c>
      <c r="W61" s="1355">
        <f t="shared" si="41"/>
        <v>0</v>
      </c>
      <c r="X61" s="1356">
        <f t="shared" si="10"/>
        <v>10</v>
      </c>
      <c r="Y61" s="1356">
        <f t="shared" si="42"/>
        <v>950</v>
      </c>
      <c r="Z61" s="1357" t="s">
        <v>7799</v>
      </c>
      <c r="AA61" s="1358" t="s">
        <v>6531</v>
      </c>
      <c r="AB61" s="1359" t="str">
        <f t="shared" si="0"/>
        <v>yes</v>
      </c>
      <c r="AC61" s="1359" t="str">
        <f t="shared" si="9"/>
        <v>ok</v>
      </c>
    </row>
    <row r="62" spans="1:31" s="1359" customFormat="1" ht="20.25" customHeight="1" x14ac:dyDescent="0.25">
      <c r="A62" s="1279">
        <v>55</v>
      </c>
      <c r="B62" s="1341" t="s">
        <v>7864</v>
      </c>
      <c r="C62" s="1360" t="s">
        <v>7863</v>
      </c>
      <c r="D62" s="1345">
        <v>36</v>
      </c>
      <c r="E62" s="1344">
        <v>1800</v>
      </c>
      <c r="F62" s="1345">
        <v>21</v>
      </c>
      <c r="G62" s="1345">
        <v>1500</v>
      </c>
      <c r="H62" s="1346">
        <v>21</v>
      </c>
      <c r="I62" s="1347">
        <v>1050</v>
      </c>
      <c r="J62" s="1361">
        <v>21</v>
      </c>
      <c r="K62" s="1362">
        <v>11</v>
      </c>
      <c r="L62" s="1350">
        <f t="shared" si="1"/>
        <v>550</v>
      </c>
      <c r="M62" s="1351">
        <f t="shared" si="2"/>
        <v>10</v>
      </c>
      <c r="N62" s="1363">
        <v>50</v>
      </c>
      <c r="O62" s="1353">
        <f t="shared" si="37"/>
        <v>500</v>
      </c>
      <c r="P62" s="1350">
        <v>0</v>
      </c>
      <c r="Q62" s="1354">
        <f t="shared" si="38"/>
        <v>0</v>
      </c>
      <c r="R62" s="1350">
        <v>5</v>
      </c>
      <c r="S62" s="1355">
        <f t="shared" si="39"/>
        <v>250</v>
      </c>
      <c r="T62" s="1356">
        <v>0</v>
      </c>
      <c r="U62" s="1355">
        <f t="shared" si="40"/>
        <v>0</v>
      </c>
      <c r="V62" s="1356">
        <v>5</v>
      </c>
      <c r="W62" s="1355">
        <f t="shared" si="41"/>
        <v>250</v>
      </c>
      <c r="X62" s="1356">
        <f t="shared" si="10"/>
        <v>10</v>
      </c>
      <c r="Y62" s="1356">
        <f t="shared" si="42"/>
        <v>500</v>
      </c>
      <c r="Z62" s="1357" t="s">
        <v>7799</v>
      </c>
      <c r="AA62" s="1358" t="s">
        <v>6531</v>
      </c>
      <c r="AB62" s="1359" t="str">
        <f t="shared" si="0"/>
        <v>yes</v>
      </c>
      <c r="AC62" s="1359" t="str">
        <f t="shared" si="9"/>
        <v>ok</v>
      </c>
    </row>
    <row r="63" spans="1:31" s="1359" customFormat="1" ht="20.25" customHeight="1" x14ac:dyDescent="0.25">
      <c r="A63" s="1279">
        <v>56</v>
      </c>
      <c r="B63" s="1341" t="s">
        <v>7865</v>
      </c>
      <c r="C63" s="1360" t="s">
        <v>7823</v>
      </c>
      <c r="D63" s="1345">
        <v>5</v>
      </c>
      <c r="E63" s="1344">
        <v>475</v>
      </c>
      <c r="F63" s="1345">
        <v>5</v>
      </c>
      <c r="G63" s="1345">
        <v>475</v>
      </c>
      <c r="H63" s="1346">
        <v>2</v>
      </c>
      <c r="I63" s="1347">
        <v>190</v>
      </c>
      <c r="J63" s="1361">
        <v>9</v>
      </c>
      <c r="K63" s="1362">
        <v>4</v>
      </c>
      <c r="L63" s="1350">
        <f t="shared" si="1"/>
        <v>380</v>
      </c>
      <c r="M63" s="1351">
        <f t="shared" si="2"/>
        <v>5</v>
      </c>
      <c r="N63" s="1363">
        <v>95</v>
      </c>
      <c r="O63" s="1353">
        <f t="shared" si="37"/>
        <v>475</v>
      </c>
      <c r="P63" s="1350">
        <v>0</v>
      </c>
      <c r="Q63" s="1354">
        <f t="shared" si="38"/>
        <v>0</v>
      </c>
      <c r="R63" s="1350">
        <v>0</v>
      </c>
      <c r="S63" s="1355">
        <f t="shared" si="39"/>
        <v>0</v>
      </c>
      <c r="T63" s="1356">
        <v>5</v>
      </c>
      <c r="U63" s="1355">
        <f t="shared" si="40"/>
        <v>475</v>
      </c>
      <c r="V63" s="1356">
        <v>0</v>
      </c>
      <c r="W63" s="1355">
        <f t="shared" si="41"/>
        <v>0</v>
      </c>
      <c r="X63" s="1356">
        <f t="shared" si="10"/>
        <v>5</v>
      </c>
      <c r="Y63" s="1356">
        <f t="shared" si="42"/>
        <v>475</v>
      </c>
      <c r="Z63" s="1357" t="s">
        <v>7799</v>
      </c>
      <c r="AA63" s="1358" t="s">
        <v>6531</v>
      </c>
      <c r="AB63" s="1359" t="str">
        <f t="shared" si="0"/>
        <v>yes</v>
      </c>
      <c r="AC63" s="1359" t="str">
        <f t="shared" si="9"/>
        <v>ok</v>
      </c>
    </row>
    <row r="64" spans="1:31" s="1359" customFormat="1" ht="20.25" customHeight="1" x14ac:dyDescent="0.25">
      <c r="A64" s="1279">
        <v>57</v>
      </c>
      <c r="B64" s="1341" t="s">
        <v>7866</v>
      </c>
      <c r="C64" s="1360" t="s">
        <v>7823</v>
      </c>
      <c r="D64" s="1345">
        <v>5</v>
      </c>
      <c r="E64" s="1344">
        <v>1000</v>
      </c>
      <c r="F64" s="1345">
        <v>2</v>
      </c>
      <c r="G64" s="1345">
        <v>400</v>
      </c>
      <c r="H64" s="1346">
        <v>1</v>
      </c>
      <c r="I64" s="1347">
        <v>200</v>
      </c>
      <c r="J64" s="1361">
        <v>5</v>
      </c>
      <c r="K64" s="1362">
        <v>4</v>
      </c>
      <c r="L64" s="1350">
        <f t="shared" si="1"/>
        <v>800</v>
      </c>
      <c r="M64" s="1351">
        <f t="shared" si="2"/>
        <v>1</v>
      </c>
      <c r="N64" s="1363">
        <v>200</v>
      </c>
      <c r="O64" s="1353">
        <f t="shared" si="37"/>
        <v>200</v>
      </c>
      <c r="P64" s="1356">
        <v>0</v>
      </c>
      <c r="Q64" s="1354">
        <f t="shared" si="38"/>
        <v>0</v>
      </c>
      <c r="R64" s="1350">
        <v>0</v>
      </c>
      <c r="S64" s="1355">
        <f t="shared" si="39"/>
        <v>0</v>
      </c>
      <c r="T64" s="1356">
        <v>0</v>
      </c>
      <c r="U64" s="1355">
        <f t="shared" si="40"/>
        <v>0</v>
      </c>
      <c r="V64" s="1350">
        <v>1</v>
      </c>
      <c r="W64" s="1355">
        <f t="shared" si="41"/>
        <v>200</v>
      </c>
      <c r="X64" s="1356">
        <f t="shared" si="10"/>
        <v>1</v>
      </c>
      <c r="Y64" s="1356">
        <f t="shared" si="42"/>
        <v>200</v>
      </c>
      <c r="Z64" s="1357" t="s">
        <v>7799</v>
      </c>
      <c r="AA64" s="1358" t="s">
        <v>6531</v>
      </c>
      <c r="AB64" s="1359" t="str">
        <f t="shared" si="0"/>
        <v>yes</v>
      </c>
      <c r="AC64" s="1359" t="str">
        <f t="shared" si="9"/>
        <v>ok</v>
      </c>
      <c r="AE64" s="1364"/>
    </row>
    <row r="65" spans="1:31" s="1359" customFormat="1" ht="20.25" customHeight="1" x14ac:dyDescent="0.25">
      <c r="A65" s="1279">
        <v>58</v>
      </c>
      <c r="B65" s="1341" t="s">
        <v>7867</v>
      </c>
      <c r="C65" s="1360" t="s">
        <v>7823</v>
      </c>
      <c r="D65" s="1345">
        <v>9</v>
      </c>
      <c r="E65" s="1344">
        <v>405</v>
      </c>
      <c r="F65" s="1345">
        <v>5</v>
      </c>
      <c r="G65" s="1345">
        <v>225</v>
      </c>
      <c r="H65" s="1346">
        <v>5</v>
      </c>
      <c r="I65" s="1347">
        <v>225</v>
      </c>
      <c r="J65" s="1365">
        <v>6</v>
      </c>
      <c r="K65" s="1366">
        <v>1</v>
      </c>
      <c r="L65" s="1350">
        <f t="shared" si="1"/>
        <v>45</v>
      </c>
      <c r="M65" s="1351">
        <f t="shared" si="2"/>
        <v>5</v>
      </c>
      <c r="N65" s="1367">
        <v>45</v>
      </c>
      <c r="O65" s="1353">
        <f t="shared" si="37"/>
        <v>225</v>
      </c>
      <c r="P65" s="1350">
        <v>5</v>
      </c>
      <c r="Q65" s="1354">
        <f t="shared" si="38"/>
        <v>225</v>
      </c>
      <c r="R65" s="1350">
        <v>0</v>
      </c>
      <c r="S65" s="1355">
        <f t="shared" si="39"/>
        <v>0</v>
      </c>
      <c r="T65" s="1350">
        <v>0</v>
      </c>
      <c r="U65" s="1355">
        <f t="shared" si="40"/>
        <v>0</v>
      </c>
      <c r="V65" s="1350">
        <v>0</v>
      </c>
      <c r="W65" s="1355">
        <f t="shared" si="41"/>
        <v>0</v>
      </c>
      <c r="X65" s="1356">
        <f t="shared" si="10"/>
        <v>5</v>
      </c>
      <c r="Y65" s="1356">
        <f t="shared" si="42"/>
        <v>225</v>
      </c>
      <c r="Z65" s="1357" t="s">
        <v>7799</v>
      </c>
      <c r="AA65" s="1358" t="s">
        <v>6531</v>
      </c>
      <c r="AB65" s="1359" t="str">
        <f t="shared" si="0"/>
        <v>yes</v>
      </c>
      <c r="AC65" s="1359" t="str">
        <f t="shared" si="9"/>
        <v>ok</v>
      </c>
      <c r="AE65" s="1368"/>
    </row>
    <row r="66" spans="1:31" s="1359" customFormat="1" ht="23.25" customHeight="1" x14ac:dyDescent="0.25">
      <c r="A66" s="1279">
        <v>59</v>
      </c>
      <c r="B66" s="1341" t="s">
        <v>7868</v>
      </c>
      <c r="C66" s="1360" t="s">
        <v>7869</v>
      </c>
      <c r="D66" s="1345">
        <v>1</v>
      </c>
      <c r="E66" s="1344">
        <v>35</v>
      </c>
      <c r="F66" s="1345">
        <v>0</v>
      </c>
      <c r="G66" s="1345">
        <v>0</v>
      </c>
      <c r="H66" s="1346">
        <v>3</v>
      </c>
      <c r="I66" s="1347">
        <f t="shared" si="36"/>
        <v>60</v>
      </c>
      <c r="J66" s="1348">
        <v>5</v>
      </c>
      <c r="K66" s="1349">
        <v>2</v>
      </c>
      <c r="L66" s="1350">
        <f t="shared" si="1"/>
        <v>40</v>
      </c>
      <c r="M66" s="1351">
        <f t="shared" si="2"/>
        <v>3</v>
      </c>
      <c r="N66" s="1352">
        <v>20</v>
      </c>
      <c r="O66" s="1353">
        <f>M66*N66</f>
        <v>60</v>
      </c>
      <c r="P66" s="1354">
        <v>0</v>
      </c>
      <c r="Q66" s="1354">
        <f>P66*N66</f>
        <v>0</v>
      </c>
      <c r="R66" s="1354">
        <v>3</v>
      </c>
      <c r="S66" s="1355">
        <f>R66*N66</f>
        <v>60</v>
      </c>
      <c r="T66" s="1354">
        <v>0</v>
      </c>
      <c r="U66" s="1355">
        <f>T66*N66</f>
        <v>0</v>
      </c>
      <c r="V66" s="1354">
        <v>0</v>
      </c>
      <c r="W66" s="1355">
        <f>V66*N66</f>
        <v>0</v>
      </c>
      <c r="X66" s="1356">
        <f t="shared" si="10"/>
        <v>3</v>
      </c>
      <c r="Y66" s="1356">
        <f>X66*N66</f>
        <v>60</v>
      </c>
      <c r="Z66" s="1357" t="s">
        <v>7799</v>
      </c>
      <c r="AA66" s="1358" t="s">
        <v>6531</v>
      </c>
      <c r="AB66" s="1359" t="str">
        <f t="shared" si="0"/>
        <v>yes</v>
      </c>
      <c r="AC66" s="1359" t="str">
        <f t="shared" si="9"/>
        <v>ok</v>
      </c>
    </row>
    <row r="67" spans="1:31" s="1359" customFormat="1" ht="20.25" customHeight="1" x14ac:dyDescent="0.25">
      <c r="A67" s="1279">
        <v>60</v>
      </c>
      <c r="B67" s="1341" t="s">
        <v>7870</v>
      </c>
      <c r="C67" s="1360" t="s">
        <v>7869</v>
      </c>
      <c r="D67" s="1345">
        <v>6</v>
      </c>
      <c r="E67" s="1344">
        <v>210</v>
      </c>
      <c r="F67" s="1345">
        <v>7</v>
      </c>
      <c r="G67" s="1345">
        <v>140</v>
      </c>
      <c r="H67" s="1346">
        <v>5</v>
      </c>
      <c r="I67" s="1347">
        <v>100</v>
      </c>
      <c r="J67" s="1361">
        <v>8</v>
      </c>
      <c r="K67" s="1362">
        <v>3</v>
      </c>
      <c r="L67" s="1350">
        <f t="shared" si="1"/>
        <v>60</v>
      </c>
      <c r="M67" s="1351">
        <f t="shared" si="2"/>
        <v>5</v>
      </c>
      <c r="N67" s="1363">
        <v>20</v>
      </c>
      <c r="O67" s="1353">
        <f t="shared" ref="O67:O103" si="43">M67*N67</f>
        <v>100</v>
      </c>
      <c r="P67" s="1350">
        <v>0</v>
      </c>
      <c r="Q67" s="1354">
        <f t="shared" ref="Q67:Q90" si="44">P67*N67</f>
        <v>0</v>
      </c>
      <c r="R67" s="1350">
        <v>2</v>
      </c>
      <c r="S67" s="1355">
        <f t="shared" ref="S67:S103" si="45">R67*N67</f>
        <v>40</v>
      </c>
      <c r="T67" s="1356">
        <v>0</v>
      </c>
      <c r="U67" s="1355">
        <f t="shared" ref="U67:U103" si="46">T67*N67</f>
        <v>0</v>
      </c>
      <c r="V67" s="1356">
        <v>3</v>
      </c>
      <c r="W67" s="1355">
        <f t="shared" ref="W67:W103" si="47">V67*N67</f>
        <v>60</v>
      </c>
      <c r="X67" s="1356">
        <f t="shared" si="10"/>
        <v>5</v>
      </c>
      <c r="Y67" s="1356">
        <f t="shared" ref="Y67:Y103" si="48">X67*N67</f>
        <v>100</v>
      </c>
      <c r="Z67" s="1357" t="s">
        <v>7799</v>
      </c>
      <c r="AA67" s="1358" t="s">
        <v>6531</v>
      </c>
      <c r="AB67" s="1359" t="str">
        <f t="shared" si="0"/>
        <v>yes</v>
      </c>
      <c r="AC67" s="1359" t="str">
        <f t="shared" si="9"/>
        <v>ok</v>
      </c>
    </row>
    <row r="68" spans="1:31" s="1359" customFormat="1" ht="20.25" customHeight="1" x14ac:dyDescent="0.25">
      <c r="A68" s="1279">
        <v>61</v>
      </c>
      <c r="B68" s="1341" t="s">
        <v>7871</v>
      </c>
      <c r="C68" s="1360" t="s">
        <v>7869</v>
      </c>
      <c r="D68" s="1345">
        <v>1</v>
      </c>
      <c r="E68" s="1344">
        <v>20</v>
      </c>
      <c r="F68" s="1345">
        <v>3</v>
      </c>
      <c r="G68" s="1345">
        <v>60</v>
      </c>
      <c r="H68" s="1346">
        <v>1</v>
      </c>
      <c r="I68" s="1347">
        <v>20</v>
      </c>
      <c r="J68" s="1361">
        <v>3</v>
      </c>
      <c r="K68" s="1362">
        <v>1</v>
      </c>
      <c r="L68" s="1350">
        <f t="shared" si="1"/>
        <v>20</v>
      </c>
      <c r="M68" s="1351">
        <f t="shared" si="2"/>
        <v>2</v>
      </c>
      <c r="N68" s="1363">
        <v>20</v>
      </c>
      <c r="O68" s="1353">
        <f t="shared" si="43"/>
        <v>40</v>
      </c>
      <c r="P68" s="1350">
        <v>0</v>
      </c>
      <c r="Q68" s="1354">
        <f t="shared" si="44"/>
        <v>0</v>
      </c>
      <c r="R68" s="1356">
        <v>0</v>
      </c>
      <c r="S68" s="1355">
        <f t="shared" si="45"/>
        <v>0</v>
      </c>
      <c r="T68" s="1350">
        <v>2</v>
      </c>
      <c r="U68" s="1355">
        <f t="shared" si="46"/>
        <v>40</v>
      </c>
      <c r="V68" s="1356">
        <v>0</v>
      </c>
      <c r="W68" s="1355">
        <f t="shared" si="47"/>
        <v>0</v>
      </c>
      <c r="X68" s="1356">
        <f t="shared" si="10"/>
        <v>2</v>
      </c>
      <c r="Y68" s="1356">
        <f t="shared" si="48"/>
        <v>40</v>
      </c>
      <c r="Z68" s="1357" t="s">
        <v>7799</v>
      </c>
      <c r="AA68" s="1358" t="s">
        <v>6531</v>
      </c>
      <c r="AB68" s="1359" t="str">
        <f t="shared" si="0"/>
        <v>yes</v>
      </c>
      <c r="AC68" s="1359" t="str">
        <f t="shared" si="9"/>
        <v>ok</v>
      </c>
    </row>
    <row r="69" spans="1:31" s="1359" customFormat="1" ht="20.25" customHeight="1" x14ac:dyDescent="0.25">
      <c r="A69" s="1279">
        <v>62</v>
      </c>
      <c r="B69" s="1341" t="s">
        <v>7872</v>
      </c>
      <c r="C69" s="1360" t="s">
        <v>7823</v>
      </c>
      <c r="D69" s="1345">
        <v>7</v>
      </c>
      <c r="E69" s="1344">
        <v>504</v>
      </c>
      <c r="F69" s="1345">
        <v>21</v>
      </c>
      <c r="G69" s="1345">
        <v>1512</v>
      </c>
      <c r="H69" s="1346">
        <v>16</v>
      </c>
      <c r="I69" s="1347">
        <v>1152</v>
      </c>
      <c r="J69" s="1361">
        <v>21</v>
      </c>
      <c r="K69" s="1362">
        <v>16</v>
      </c>
      <c r="L69" s="1350">
        <f t="shared" si="1"/>
        <v>960</v>
      </c>
      <c r="M69" s="1351">
        <f t="shared" si="2"/>
        <v>5</v>
      </c>
      <c r="N69" s="1363">
        <v>60</v>
      </c>
      <c r="O69" s="1353">
        <f t="shared" si="43"/>
        <v>300</v>
      </c>
      <c r="P69" s="1356">
        <v>0</v>
      </c>
      <c r="Q69" s="1354">
        <f t="shared" si="44"/>
        <v>0</v>
      </c>
      <c r="R69" s="1350">
        <v>0</v>
      </c>
      <c r="S69" s="1355">
        <f t="shared" si="45"/>
        <v>0</v>
      </c>
      <c r="T69" s="1356">
        <v>5</v>
      </c>
      <c r="U69" s="1355">
        <f t="shared" si="46"/>
        <v>300</v>
      </c>
      <c r="V69" s="1350">
        <v>0</v>
      </c>
      <c r="W69" s="1355">
        <f t="shared" si="47"/>
        <v>0</v>
      </c>
      <c r="X69" s="1356">
        <f t="shared" si="10"/>
        <v>5</v>
      </c>
      <c r="Y69" s="1356">
        <f t="shared" si="48"/>
        <v>300</v>
      </c>
      <c r="Z69" s="1357" t="s">
        <v>7799</v>
      </c>
      <c r="AA69" s="1358" t="s">
        <v>6531</v>
      </c>
      <c r="AB69" s="1359" t="str">
        <f t="shared" si="0"/>
        <v>yes</v>
      </c>
      <c r="AC69" s="1359" t="str">
        <f t="shared" si="9"/>
        <v>ok</v>
      </c>
    </row>
    <row r="70" spans="1:31" s="1359" customFormat="1" ht="20.25" customHeight="1" x14ac:dyDescent="0.25">
      <c r="A70" s="1279">
        <v>63</v>
      </c>
      <c r="B70" s="1341" t="s">
        <v>7873</v>
      </c>
      <c r="C70" s="1360" t="s">
        <v>7874</v>
      </c>
      <c r="D70" s="1345">
        <v>99</v>
      </c>
      <c r="E70" s="1344">
        <v>2970</v>
      </c>
      <c r="F70" s="1345">
        <v>68</v>
      </c>
      <c r="G70" s="1345">
        <v>1700</v>
      </c>
      <c r="H70" s="1346">
        <v>25</v>
      </c>
      <c r="I70" s="1347">
        <v>625</v>
      </c>
      <c r="J70" s="1361">
        <v>101</v>
      </c>
      <c r="K70" s="1362">
        <v>51</v>
      </c>
      <c r="L70" s="1350">
        <f t="shared" si="1"/>
        <v>1275</v>
      </c>
      <c r="M70" s="1351">
        <f t="shared" si="2"/>
        <v>50</v>
      </c>
      <c r="N70" s="1363">
        <v>25</v>
      </c>
      <c r="O70" s="1353">
        <f t="shared" si="43"/>
        <v>1250</v>
      </c>
      <c r="P70" s="1350">
        <v>0</v>
      </c>
      <c r="Q70" s="1354">
        <f t="shared" si="44"/>
        <v>0</v>
      </c>
      <c r="R70" s="1350">
        <v>0</v>
      </c>
      <c r="S70" s="1355">
        <f t="shared" si="45"/>
        <v>0</v>
      </c>
      <c r="T70" s="1356">
        <v>50</v>
      </c>
      <c r="U70" s="1355">
        <f t="shared" si="46"/>
        <v>1250</v>
      </c>
      <c r="V70" s="1356">
        <v>0</v>
      </c>
      <c r="W70" s="1355">
        <f t="shared" si="47"/>
        <v>0</v>
      </c>
      <c r="X70" s="1356">
        <f t="shared" si="10"/>
        <v>50</v>
      </c>
      <c r="Y70" s="1356">
        <f t="shared" si="48"/>
        <v>1250</v>
      </c>
      <c r="Z70" s="1357" t="s">
        <v>7799</v>
      </c>
      <c r="AA70" s="1358" t="s">
        <v>6531</v>
      </c>
      <c r="AB70" s="1359" t="str">
        <f t="shared" si="0"/>
        <v>yes</v>
      </c>
      <c r="AC70" s="1359" t="str">
        <f t="shared" si="9"/>
        <v>ok</v>
      </c>
    </row>
    <row r="71" spans="1:31" s="1359" customFormat="1" ht="20.25" customHeight="1" x14ac:dyDescent="0.25">
      <c r="A71" s="1279">
        <v>64</v>
      </c>
      <c r="B71" s="1341" t="s">
        <v>7875</v>
      </c>
      <c r="C71" s="1360" t="s">
        <v>7798</v>
      </c>
      <c r="D71" s="1345">
        <v>5</v>
      </c>
      <c r="E71" s="1344">
        <v>625</v>
      </c>
      <c r="F71" s="1345">
        <v>5</v>
      </c>
      <c r="G71" s="1345">
        <v>625</v>
      </c>
      <c r="H71" s="1346">
        <v>5</v>
      </c>
      <c r="I71" s="1347">
        <v>625</v>
      </c>
      <c r="J71" s="1361">
        <v>12</v>
      </c>
      <c r="K71" s="1362">
        <v>2</v>
      </c>
      <c r="L71" s="1350">
        <f t="shared" si="1"/>
        <v>190</v>
      </c>
      <c r="M71" s="1351">
        <f t="shared" si="2"/>
        <v>10</v>
      </c>
      <c r="N71" s="1363">
        <v>95</v>
      </c>
      <c r="O71" s="1353">
        <f t="shared" si="43"/>
        <v>950</v>
      </c>
      <c r="P71" s="1350">
        <v>5</v>
      </c>
      <c r="Q71" s="1354">
        <f t="shared" si="44"/>
        <v>475</v>
      </c>
      <c r="R71" s="1350">
        <v>0</v>
      </c>
      <c r="S71" s="1355">
        <f t="shared" si="45"/>
        <v>0</v>
      </c>
      <c r="T71" s="1356">
        <v>0</v>
      </c>
      <c r="U71" s="1355">
        <f t="shared" si="46"/>
        <v>0</v>
      </c>
      <c r="V71" s="1356">
        <v>5</v>
      </c>
      <c r="W71" s="1355">
        <f t="shared" si="47"/>
        <v>475</v>
      </c>
      <c r="X71" s="1356">
        <f t="shared" si="10"/>
        <v>10</v>
      </c>
      <c r="Y71" s="1356">
        <f t="shared" si="48"/>
        <v>950</v>
      </c>
      <c r="Z71" s="1357" t="s">
        <v>7799</v>
      </c>
      <c r="AA71" s="1358" t="s">
        <v>6531</v>
      </c>
      <c r="AB71" s="1359" t="str">
        <f t="shared" si="0"/>
        <v>yes</v>
      </c>
      <c r="AC71" s="1359" t="str">
        <f t="shared" si="9"/>
        <v>ok</v>
      </c>
    </row>
    <row r="72" spans="1:31" s="1359" customFormat="1" ht="20.25" customHeight="1" x14ac:dyDescent="0.25">
      <c r="A72" s="1279">
        <v>65</v>
      </c>
      <c r="B72" s="1341" t="s">
        <v>7876</v>
      </c>
      <c r="C72" s="1360" t="s">
        <v>7823</v>
      </c>
      <c r="D72" s="1345">
        <v>4</v>
      </c>
      <c r="E72" s="1344">
        <v>1560</v>
      </c>
      <c r="F72" s="1345">
        <v>3</v>
      </c>
      <c r="G72" s="1345">
        <v>540</v>
      </c>
      <c r="H72" s="1346">
        <v>4</v>
      </c>
      <c r="I72" s="1347">
        <v>720</v>
      </c>
      <c r="J72" s="1361">
        <v>5</v>
      </c>
      <c r="K72" s="1362">
        <v>2</v>
      </c>
      <c r="L72" s="1350">
        <f t="shared" si="1"/>
        <v>360</v>
      </c>
      <c r="M72" s="1351">
        <f t="shared" si="2"/>
        <v>3</v>
      </c>
      <c r="N72" s="1363">
        <v>180</v>
      </c>
      <c r="O72" s="1353">
        <f t="shared" si="43"/>
        <v>540</v>
      </c>
      <c r="P72" s="1350">
        <v>0</v>
      </c>
      <c r="Q72" s="1354">
        <f t="shared" si="44"/>
        <v>0</v>
      </c>
      <c r="R72" s="1350">
        <v>0</v>
      </c>
      <c r="S72" s="1355">
        <f t="shared" si="45"/>
        <v>0</v>
      </c>
      <c r="T72" s="1356">
        <v>3</v>
      </c>
      <c r="U72" s="1355">
        <f t="shared" si="46"/>
        <v>540</v>
      </c>
      <c r="V72" s="1356">
        <v>0</v>
      </c>
      <c r="W72" s="1355">
        <f t="shared" si="47"/>
        <v>0</v>
      </c>
      <c r="X72" s="1356">
        <f t="shared" si="10"/>
        <v>3</v>
      </c>
      <c r="Y72" s="1356">
        <f t="shared" si="48"/>
        <v>540</v>
      </c>
      <c r="Z72" s="1357" t="s">
        <v>7799</v>
      </c>
      <c r="AA72" s="1358" t="s">
        <v>6531</v>
      </c>
      <c r="AB72" s="1359" t="str">
        <f t="shared" ref="AB72:AB105" si="49">IF(O72=Y72,"yes")</f>
        <v>yes</v>
      </c>
      <c r="AC72" s="1359" t="str">
        <f t="shared" si="9"/>
        <v>ok</v>
      </c>
    </row>
    <row r="73" spans="1:31" s="1359" customFormat="1" ht="20.25" customHeight="1" x14ac:dyDescent="0.25">
      <c r="A73" s="1279">
        <v>66</v>
      </c>
      <c r="B73" s="1341" t="s">
        <v>7877</v>
      </c>
      <c r="C73" s="1360" t="s">
        <v>7874</v>
      </c>
      <c r="D73" s="1345">
        <v>60</v>
      </c>
      <c r="E73" s="1344">
        <v>3900</v>
      </c>
      <c r="F73" s="1345">
        <v>10</v>
      </c>
      <c r="G73" s="1345">
        <v>600</v>
      </c>
      <c r="H73" s="1346">
        <v>11</v>
      </c>
      <c r="I73" s="1347">
        <v>660</v>
      </c>
      <c r="J73" s="1361">
        <v>20</v>
      </c>
      <c r="K73" s="1362">
        <v>8</v>
      </c>
      <c r="L73" s="1350">
        <f t="shared" ref="L73:L90" si="50">K73*N73</f>
        <v>480</v>
      </c>
      <c r="M73" s="1351">
        <f t="shared" ref="M73:M90" si="51">J73-K73</f>
        <v>12</v>
      </c>
      <c r="N73" s="1363">
        <v>60</v>
      </c>
      <c r="O73" s="1353">
        <f t="shared" si="43"/>
        <v>720</v>
      </c>
      <c r="P73" s="1350">
        <v>0</v>
      </c>
      <c r="Q73" s="1354">
        <f t="shared" si="44"/>
        <v>0</v>
      </c>
      <c r="R73" s="1350">
        <v>6</v>
      </c>
      <c r="S73" s="1355">
        <f t="shared" si="45"/>
        <v>360</v>
      </c>
      <c r="T73" s="1356">
        <v>0</v>
      </c>
      <c r="U73" s="1355">
        <f t="shared" si="46"/>
        <v>0</v>
      </c>
      <c r="V73" s="1356">
        <v>6</v>
      </c>
      <c r="W73" s="1355">
        <f t="shared" si="47"/>
        <v>360</v>
      </c>
      <c r="X73" s="1356">
        <f t="shared" si="10"/>
        <v>12</v>
      </c>
      <c r="Y73" s="1356">
        <f t="shared" si="48"/>
        <v>720</v>
      </c>
      <c r="Z73" s="1357" t="s">
        <v>7799</v>
      </c>
      <c r="AA73" s="1358" t="s">
        <v>6531</v>
      </c>
      <c r="AB73" s="1359" t="str">
        <f t="shared" si="49"/>
        <v>yes</v>
      </c>
      <c r="AC73" s="1359" t="str">
        <f t="shared" ref="AC73:AC105" si="52">IF(O73=Y73,"ok")</f>
        <v>ok</v>
      </c>
    </row>
    <row r="74" spans="1:31" s="1359" customFormat="1" ht="20.25" customHeight="1" x14ac:dyDescent="0.25">
      <c r="A74" s="1279">
        <v>67</v>
      </c>
      <c r="B74" s="1341" t="s">
        <v>7878</v>
      </c>
      <c r="C74" s="1360" t="s">
        <v>7874</v>
      </c>
      <c r="D74" s="1345">
        <v>29</v>
      </c>
      <c r="E74" s="1344">
        <v>1885</v>
      </c>
      <c r="F74" s="1345">
        <v>10</v>
      </c>
      <c r="G74" s="1345">
        <v>600</v>
      </c>
      <c r="H74" s="1346">
        <v>1</v>
      </c>
      <c r="I74" s="1347">
        <v>60</v>
      </c>
      <c r="J74" s="1361">
        <v>15</v>
      </c>
      <c r="K74" s="1362">
        <v>5</v>
      </c>
      <c r="L74" s="1350">
        <f t="shared" si="50"/>
        <v>300</v>
      </c>
      <c r="M74" s="1351">
        <f t="shared" si="51"/>
        <v>10</v>
      </c>
      <c r="N74" s="1363">
        <v>60</v>
      </c>
      <c r="O74" s="1353">
        <f t="shared" si="43"/>
        <v>600</v>
      </c>
      <c r="P74" s="1356">
        <v>0</v>
      </c>
      <c r="Q74" s="1354">
        <f t="shared" si="44"/>
        <v>0</v>
      </c>
      <c r="R74" s="1350">
        <v>5</v>
      </c>
      <c r="S74" s="1355">
        <f t="shared" si="45"/>
        <v>300</v>
      </c>
      <c r="T74" s="1356">
        <v>0</v>
      </c>
      <c r="U74" s="1355">
        <f t="shared" si="46"/>
        <v>0</v>
      </c>
      <c r="V74" s="1350">
        <v>5</v>
      </c>
      <c r="W74" s="1355">
        <f t="shared" si="47"/>
        <v>300</v>
      </c>
      <c r="X74" s="1356">
        <f t="shared" ref="X74:X103" si="53">P74+R74+T74+V74</f>
        <v>10</v>
      </c>
      <c r="Y74" s="1356">
        <f t="shared" si="48"/>
        <v>600</v>
      </c>
      <c r="Z74" s="1357" t="s">
        <v>7799</v>
      </c>
      <c r="AA74" s="1358" t="s">
        <v>6531</v>
      </c>
      <c r="AB74" s="1359" t="str">
        <f t="shared" si="49"/>
        <v>yes</v>
      </c>
      <c r="AC74" s="1359" t="str">
        <f t="shared" si="52"/>
        <v>ok</v>
      </c>
      <c r="AE74" s="1364"/>
    </row>
    <row r="75" spans="1:31" s="1359" customFormat="1" ht="20.25" customHeight="1" x14ac:dyDescent="0.25">
      <c r="A75" s="1279">
        <v>68</v>
      </c>
      <c r="B75" s="1341" t="s">
        <v>7879</v>
      </c>
      <c r="C75" s="1360" t="s">
        <v>7798</v>
      </c>
      <c r="D75" s="1345">
        <v>5</v>
      </c>
      <c r="E75" s="1344">
        <v>700</v>
      </c>
      <c r="F75" s="1345">
        <v>6</v>
      </c>
      <c r="G75" s="1345">
        <v>840</v>
      </c>
      <c r="H75" s="1346">
        <v>0</v>
      </c>
      <c r="I75" s="1347">
        <f t="shared" si="36"/>
        <v>0</v>
      </c>
      <c r="J75" s="1365">
        <v>10</v>
      </c>
      <c r="K75" s="1366">
        <v>0</v>
      </c>
      <c r="L75" s="1350">
        <f t="shared" si="50"/>
        <v>0</v>
      </c>
      <c r="M75" s="1351">
        <f t="shared" si="51"/>
        <v>10</v>
      </c>
      <c r="N75" s="1367">
        <v>140</v>
      </c>
      <c r="O75" s="1353">
        <f t="shared" si="43"/>
        <v>1400</v>
      </c>
      <c r="P75" s="1350">
        <v>10</v>
      </c>
      <c r="Q75" s="1354">
        <f t="shared" si="44"/>
        <v>1400</v>
      </c>
      <c r="R75" s="1350">
        <v>0</v>
      </c>
      <c r="S75" s="1355">
        <f t="shared" si="45"/>
        <v>0</v>
      </c>
      <c r="T75" s="1350">
        <v>0</v>
      </c>
      <c r="U75" s="1355">
        <f t="shared" si="46"/>
        <v>0</v>
      </c>
      <c r="V75" s="1350">
        <v>0</v>
      </c>
      <c r="W75" s="1355">
        <f t="shared" si="47"/>
        <v>0</v>
      </c>
      <c r="X75" s="1356">
        <f t="shared" si="53"/>
        <v>10</v>
      </c>
      <c r="Y75" s="1356">
        <f t="shared" si="48"/>
        <v>1400</v>
      </c>
      <c r="Z75" s="1357" t="s">
        <v>7799</v>
      </c>
      <c r="AA75" s="1358" t="s">
        <v>6531</v>
      </c>
      <c r="AB75" s="1359" t="str">
        <f t="shared" si="49"/>
        <v>yes</v>
      </c>
      <c r="AC75" s="1359" t="str">
        <f t="shared" si="52"/>
        <v>ok</v>
      </c>
      <c r="AE75" s="1368"/>
    </row>
    <row r="76" spans="1:31" s="1359" customFormat="1" ht="20.25" customHeight="1" x14ac:dyDescent="0.25">
      <c r="A76" s="1279">
        <v>69</v>
      </c>
      <c r="B76" s="1341" t="s">
        <v>7880</v>
      </c>
      <c r="C76" s="1360" t="s">
        <v>7839</v>
      </c>
      <c r="D76" s="1343">
        <v>300</v>
      </c>
      <c r="E76" s="1344">
        <v>13500</v>
      </c>
      <c r="F76" s="1345">
        <v>300</v>
      </c>
      <c r="G76" s="1343">
        <v>13500</v>
      </c>
      <c r="H76" s="1346">
        <v>300</v>
      </c>
      <c r="I76" s="1347">
        <v>13500</v>
      </c>
      <c r="J76" s="1361">
        <v>300</v>
      </c>
      <c r="K76" s="1362">
        <v>0</v>
      </c>
      <c r="L76" s="1350">
        <f t="shared" si="50"/>
        <v>0</v>
      </c>
      <c r="M76" s="1351">
        <f t="shared" si="51"/>
        <v>300</v>
      </c>
      <c r="N76" s="1363">
        <v>45</v>
      </c>
      <c r="O76" s="1353">
        <f t="shared" si="43"/>
        <v>13500</v>
      </c>
      <c r="P76" s="1350">
        <v>50</v>
      </c>
      <c r="Q76" s="1354">
        <f t="shared" si="44"/>
        <v>2250</v>
      </c>
      <c r="R76" s="1350">
        <v>100</v>
      </c>
      <c r="S76" s="1355">
        <f t="shared" si="45"/>
        <v>4500</v>
      </c>
      <c r="T76" s="1356">
        <v>100</v>
      </c>
      <c r="U76" s="1355">
        <f t="shared" si="46"/>
        <v>4500</v>
      </c>
      <c r="V76" s="1356">
        <v>50</v>
      </c>
      <c r="W76" s="1355">
        <f t="shared" si="47"/>
        <v>2250</v>
      </c>
      <c r="X76" s="1356">
        <f t="shared" si="53"/>
        <v>300</v>
      </c>
      <c r="Y76" s="1356">
        <f t="shared" si="48"/>
        <v>13500</v>
      </c>
      <c r="Z76" s="1357" t="s">
        <v>7799</v>
      </c>
      <c r="AA76" s="1358" t="s">
        <v>6531</v>
      </c>
      <c r="AB76" s="1359" t="str">
        <f t="shared" si="49"/>
        <v>yes</v>
      </c>
      <c r="AC76" s="1359" t="str">
        <f t="shared" si="52"/>
        <v>ok</v>
      </c>
    </row>
    <row r="77" spans="1:31" s="1359" customFormat="1" ht="20.25" customHeight="1" x14ac:dyDescent="0.25">
      <c r="A77" s="1279">
        <v>70</v>
      </c>
      <c r="B77" s="1341" t="s">
        <v>7881</v>
      </c>
      <c r="C77" s="1360" t="s">
        <v>7798</v>
      </c>
      <c r="D77" s="1345">
        <v>21</v>
      </c>
      <c r="E77" s="1344">
        <v>3150</v>
      </c>
      <c r="F77" s="1345">
        <v>37</v>
      </c>
      <c r="G77" s="1345">
        <v>6510</v>
      </c>
      <c r="H77" s="1346">
        <v>25</v>
      </c>
      <c r="I77" s="1347">
        <v>6250</v>
      </c>
      <c r="J77" s="1361">
        <v>40</v>
      </c>
      <c r="K77" s="1362">
        <v>0</v>
      </c>
      <c r="L77" s="1350">
        <f t="shared" si="50"/>
        <v>0</v>
      </c>
      <c r="M77" s="1351">
        <f t="shared" si="51"/>
        <v>40</v>
      </c>
      <c r="N77" s="1363">
        <v>250</v>
      </c>
      <c r="O77" s="1353">
        <f t="shared" si="43"/>
        <v>10000</v>
      </c>
      <c r="P77" s="1350">
        <v>20</v>
      </c>
      <c r="Q77" s="1354">
        <f t="shared" si="44"/>
        <v>5000</v>
      </c>
      <c r="R77" s="1356">
        <v>0</v>
      </c>
      <c r="S77" s="1355">
        <f t="shared" si="45"/>
        <v>0</v>
      </c>
      <c r="T77" s="1350">
        <v>20</v>
      </c>
      <c r="U77" s="1355">
        <f t="shared" si="46"/>
        <v>5000</v>
      </c>
      <c r="V77" s="1356">
        <v>0</v>
      </c>
      <c r="W77" s="1355">
        <f t="shared" si="47"/>
        <v>0</v>
      </c>
      <c r="X77" s="1356">
        <f t="shared" si="53"/>
        <v>40</v>
      </c>
      <c r="Y77" s="1356">
        <f t="shared" si="48"/>
        <v>10000</v>
      </c>
      <c r="Z77" s="1357" t="s">
        <v>7799</v>
      </c>
      <c r="AA77" s="1358" t="s">
        <v>6531</v>
      </c>
      <c r="AB77" s="1359" t="str">
        <f t="shared" si="49"/>
        <v>yes</v>
      </c>
      <c r="AC77" s="1359" t="str">
        <f t="shared" si="52"/>
        <v>ok</v>
      </c>
    </row>
    <row r="78" spans="1:31" s="1359" customFormat="1" ht="20.25" customHeight="1" x14ac:dyDescent="0.25">
      <c r="A78" s="1279">
        <v>71</v>
      </c>
      <c r="B78" s="1341" t="s">
        <v>7882</v>
      </c>
      <c r="C78" s="1360" t="s">
        <v>7798</v>
      </c>
      <c r="D78" s="1345">
        <v>0</v>
      </c>
      <c r="E78" s="1344">
        <v>0</v>
      </c>
      <c r="F78" s="1345">
        <v>0</v>
      </c>
      <c r="G78" s="1345">
        <v>0</v>
      </c>
      <c r="H78" s="1346">
        <v>2</v>
      </c>
      <c r="I78" s="1347">
        <v>160</v>
      </c>
      <c r="J78" s="1361">
        <v>5</v>
      </c>
      <c r="K78" s="1362">
        <v>1</v>
      </c>
      <c r="L78" s="1350">
        <f t="shared" si="50"/>
        <v>80</v>
      </c>
      <c r="M78" s="1351">
        <f t="shared" si="51"/>
        <v>4</v>
      </c>
      <c r="N78" s="1363">
        <v>80</v>
      </c>
      <c r="O78" s="1353">
        <f t="shared" si="43"/>
        <v>320</v>
      </c>
      <c r="P78" s="1356">
        <v>4</v>
      </c>
      <c r="Q78" s="1354">
        <f t="shared" si="44"/>
        <v>320</v>
      </c>
      <c r="R78" s="1350">
        <v>0</v>
      </c>
      <c r="S78" s="1355">
        <f t="shared" si="45"/>
        <v>0</v>
      </c>
      <c r="T78" s="1356">
        <v>0</v>
      </c>
      <c r="U78" s="1355">
        <f t="shared" si="46"/>
        <v>0</v>
      </c>
      <c r="V78" s="1350">
        <v>0</v>
      </c>
      <c r="W78" s="1355">
        <f t="shared" si="47"/>
        <v>0</v>
      </c>
      <c r="X78" s="1356">
        <f t="shared" si="53"/>
        <v>4</v>
      </c>
      <c r="Y78" s="1356">
        <f t="shared" si="48"/>
        <v>320</v>
      </c>
      <c r="Z78" s="1357" t="s">
        <v>7799</v>
      </c>
      <c r="AA78" s="1358" t="s">
        <v>6531</v>
      </c>
      <c r="AB78" s="1359" t="str">
        <f t="shared" si="49"/>
        <v>yes</v>
      </c>
      <c r="AC78" s="1359" t="str">
        <f t="shared" si="52"/>
        <v>ok</v>
      </c>
    </row>
    <row r="79" spans="1:31" s="1359" customFormat="1" ht="20.25" customHeight="1" x14ac:dyDescent="0.25">
      <c r="A79" s="1279">
        <v>72</v>
      </c>
      <c r="B79" s="1341" t="s">
        <v>7883</v>
      </c>
      <c r="C79" s="1360" t="s">
        <v>7798</v>
      </c>
      <c r="D79" s="1345">
        <v>0</v>
      </c>
      <c r="E79" s="1344">
        <v>0</v>
      </c>
      <c r="F79" s="1345">
        <v>0</v>
      </c>
      <c r="G79" s="1345">
        <v>0</v>
      </c>
      <c r="H79" s="1346">
        <v>2</v>
      </c>
      <c r="I79" s="1347">
        <v>320</v>
      </c>
      <c r="J79" s="1361">
        <v>5</v>
      </c>
      <c r="K79" s="1362">
        <v>0</v>
      </c>
      <c r="L79" s="1350">
        <f t="shared" si="50"/>
        <v>0</v>
      </c>
      <c r="M79" s="1351">
        <f t="shared" si="51"/>
        <v>5</v>
      </c>
      <c r="N79" s="1363">
        <v>160</v>
      </c>
      <c r="O79" s="1353">
        <f t="shared" si="43"/>
        <v>800</v>
      </c>
      <c r="P79" s="1350">
        <v>5</v>
      </c>
      <c r="Q79" s="1354">
        <f t="shared" si="44"/>
        <v>800</v>
      </c>
      <c r="R79" s="1350">
        <v>0</v>
      </c>
      <c r="S79" s="1355">
        <f t="shared" si="45"/>
        <v>0</v>
      </c>
      <c r="T79" s="1356">
        <v>0</v>
      </c>
      <c r="U79" s="1355">
        <f t="shared" si="46"/>
        <v>0</v>
      </c>
      <c r="V79" s="1356">
        <v>0</v>
      </c>
      <c r="W79" s="1355">
        <f t="shared" si="47"/>
        <v>0</v>
      </c>
      <c r="X79" s="1356">
        <f t="shared" si="53"/>
        <v>5</v>
      </c>
      <c r="Y79" s="1356">
        <f t="shared" si="48"/>
        <v>800</v>
      </c>
      <c r="Z79" s="1357" t="s">
        <v>7799</v>
      </c>
      <c r="AA79" s="1358" t="s">
        <v>6531</v>
      </c>
      <c r="AB79" s="1359" t="str">
        <f t="shared" si="49"/>
        <v>yes</v>
      </c>
      <c r="AC79" s="1359" t="str">
        <f t="shared" si="52"/>
        <v>ok</v>
      </c>
    </row>
    <row r="80" spans="1:31" s="1359" customFormat="1" ht="20.25" customHeight="1" x14ac:dyDescent="0.25">
      <c r="A80" s="1279">
        <v>73</v>
      </c>
      <c r="B80" s="1341" t="s">
        <v>7884</v>
      </c>
      <c r="C80" s="1360" t="s">
        <v>7823</v>
      </c>
      <c r="D80" s="1345">
        <v>580</v>
      </c>
      <c r="E80" s="1344">
        <v>23200</v>
      </c>
      <c r="F80" s="1345">
        <v>1727</v>
      </c>
      <c r="G80" s="1345">
        <v>69080</v>
      </c>
      <c r="H80" s="1346">
        <v>2110</v>
      </c>
      <c r="I80" s="1347">
        <v>84400</v>
      </c>
      <c r="J80" s="1361">
        <v>1000</v>
      </c>
      <c r="K80" s="1362">
        <v>0</v>
      </c>
      <c r="L80" s="1350">
        <f t="shared" si="50"/>
        <v>0</v>
      </c>
      <c r="M80" s="1351">
        <f t="shared" si="51"/>
        <v>1000</v>
      </c>
      <c r="N80" s="1363">
        <v>40</v>
      </c>
      <c r="O80" s="1353">
        <f t="shared" si="43"/>
        <v>40000</v>
      </c>
      <c r="P80" s="1350">
        <v>250</v>
      </c>
      <c r="Q80" s="1354">
        <f t="shared" si="44"/>
        <v>10000</v>
      </c>
      <c r="R80" s="1350">
        <v>250</v>
      </c>
      <c r="S80" s="1355">
        <f t="shared" si="45"/>
        <v>10000</v>
      </c>
      <c r="T80" s="1356">
        <v>250</v>
      </c>
      <c r="U80" s="1355">
        <f t="shared" si="46"/>
        <v>10000</v>
      </c>
      <c r="V80" s="1356">
        <v>250</v>
      </c>
      <c r="W80" s="1355">
        <f t="shared" si="47"/>
        <v>10000</v>
      </c>
      <c r="X80" s="1356">
        <f t="shared" si="53"/>
        <v>1000</v>
      </c>
      <c r="Y80" s="1356">
        <f t="shared" si="48"/>
        <v>40000</v>
      </c>
      <c r="Z80" s="1357" t="s">
        <v>7799</v>
      </c>
      <c r="AA80" s="1358" t="s">
        <v>6531</v>
      </c>
      <c r="AB80" s="1359" t="str">
        <f t="shared" si="49"/>
        <v>yes</v>
      </c>
      <c r="AC80" s="1359" t="str">
        <f t="shared" si="52"/>
        <v>ok</v>
      </c>
    </row>
    <row r="81" spans="1:31" s="1359" customFormat="1" ht="20.25" customHeight="1" x14ac:dyDescent="0.25">
      <c r="A81" s="1279">
        <v>74</v>
      </c>
      <c r="B81" s="1341" t="s">
        <v>7885</v>
      </c>
      <c r="C81" s="1360" t="s">
        <v>7886</v>
      </c>
      <c r="D81" s="1345">
        <v>1800</v>
      </c>
      <c r="E81" s="1344">
        <v>27000</v>
      </c>
      <c r="F81" s="1345">
        <v>1840</v>
      </c>
      <c r="G81" s="1345">
        <v>27600</v>
      </c>
      <c r="H81" s="1346">
        <v>1326</v>
      </c>
      <c r="I81" s="1347">
        <v>19890</v>
      </c>
      <c r="J81" s="1361">
        <v>2200</v>
      </c>
      <c r="K81" s="1362">
        <v>0</v>
      </c>
      <c r="L81" s="1350">
        <f t="shared" si="50"/>
        <v>0</v>
      </c>
      <c r="M81" s="1351">
        <f t="shared" si="51"/>
        <v>2200</v>
      </c>
      <c r="N81" s="1363">
        <v>15</v>
      </c>
      <c r="O81" s="1353">
        <f t="shared" si="43"/>
        <v>33000</v>
      </c>
      <c r="P81" s="1350">
        <v>550</v>
      </c>
      <c r="Q81" s="1354">
        <f t="shared" si="44"/>
        <v>8250</v>
      </c>
      <c r="R81" s="1350">
        <v>550</v>
      </c>
      <c r="S81" s="1355">
        <f t="shared" si="45"/>
        <v>8250</v>
      </c>
      <c r="T81" s="1356">
        <v>550</v>
      </c>
      <c r="U81" s="1355">
        <f t="shared" si="46"/>
        <v>8250</v>
      </c>
      <c r="V81" s="1356">
        <v>550</v>
      </c>
      <c r="W81" s="1355">
        <f t="shared" si="47"/>
        <v>8250</v>
      </c>
      <c r="X81" s="1356">
        <f t="shared" si="53"/>
        <v>2200</v>
      </c>
      <c r="Y81" s="1356">
        <f t="shared" si="48"/>
        <v>33000</v>
      </c>
      <c r="Z81" s="1357" t="s">
        <v>7799</v>
      </c>
      <c r="AA81" s="1358" t="s">
        <v>6531</v>
      </c>
      <c r="AB81" s="1359" t="str">
        <f t="shared" si="49"/>
        <v>yes</v>
      </c>
      <c r="AC81" s="1359" t="str">
        <f t="shared" si="52"/>
        <v>ok</v>
      </c>
    </row>
    <row r="82" spans="1:31" s="1359" customFormat="1" ht="20.25" customHeight="1" x14ac:dyDescent="0.25">
      <c r="A82" s="1279">
        <v>75</v>
      </c>
      <c r="B82" s="1341" t="s">
        <v>7887</v>
      </c>
      <c r="C82" s="1360" t="s">
        <v>7823</v>
      </c>
      <c r="D82" s="1345">
        <v>0</v>
      </c>
      <c r="E82" s="1344">
        <f t="shared" ref="E82:E86" si="54">D82*L82</f>
        <v>0</v>
      </c>
      <c r="F82" s="1345">
        <v>800</v>
      </c>
      <c r="G82" s="1345">
        <v>36000</v>
      </c>
      <c r="H82" s="1346">
        <v>2861</v>
      </c>
      <c r="I82" s="1347">
        <v>128745</v>
      </c>
      <c r="J82" s="1361">
        <v>500</v>
      </c>
      <c r="K82" s="1362">
        <v>0</v>
      </c>
      <c r="L82" s="1350">
        <f t="shared" si="50"/>
        <v>0</v>
      </c>
      <c r="M82" s="1351">
        <f t="shared" si="51"/>
        <v>500</v>
      </c>
      <c r="N82" s="1363">
        <v>45</v>
      </c>
      <c r="O82" s="1353">
        <f t="shared" si="43"/>
        <v>22500</v>
      </c>
      <c r="P82" s="1356">
        <v>100</v>
      </c>
      <c r="Q82" s="1354">
        <f t="shared" si="44"/>
        <v>4500</v>
      </c>
      <c r="R82" s="1350">
        <v>200</v>
      </c>
      <c r="S82" s="1355">
        <f t="shared" si="45"/>
        <v>9000</v>
      </c>
      <c r="T82" s="1356">
        <v>100</v>
      </c>
      <c r="U82" s="1355">
        <f t="shared" si="46"/>
        <v>4500</v>
      </c>
      <c r="V82" s="1350">
        <v>100</v>
      </c>
      <c r="W82" s="1355">
        <f t="shared" si="47"/>
        <v>4500</v>
      </c>
      <c r="X82" s="1356">
        <f t="shared" si="53"/>
        <v>500</v>
      </c>
      <c r="Y82" s="1356">
        <f t="shared" si="48"/>
        <v>22500</v>
      </c>
      <c r="Z82" s="1357" t="s">
        <v>7799</v>
      </c>
      <c r="AA82" s="1358" t="s">
        <v>6531</v>
      </c>
      <c r="AB82" s="1359" t="str">
        <f t="shared" si="49"/>
        <v>yes</v>
      </c>
      <c r="AC82" s="1359" t="str">
        <f t="shared" si="52"/>
        <v>ok</v>
      </c>
      <c r="AE82" s="1364"/>
    </row>
    <row r="83" spans="1:31" s="1359" customFormat="1" ht="20.25" customHeight="1" x14ac:dyDescent="0.25">
      <c r="A83" s="1279">
        <v>76</v>
      </c>
      <c r="B83" s="1341" t="s">
        <v>7888</v>
      </c>
      <c r="C83" s="1360" t="s">
        <v>7823</v>
      </c>
      <c r="D83" s="1345">
        <v>0</v>
      </c>
      <c r="E83" s="1344">
        <f t="shared" si="54"/>
        <v>0</v>
      </c>
      <c r="F83" s="1345">
        <v>0</v>
      </c>
      <c r="G83" s="1345">
        <f t="shared" ref="G83" si="55">F83*L83</f>
        <v>0</v>
      </c>
      <c r="H83" s="1346">
        <v>3</v>
      </c>
      <c r="I83" s="1347">
        <v>750</v>
      </c>
      <c r="J83" s="1365">
        <v>5</v>
      </c>
      <c r="K83" s="1366">
        <v>2</v>
      </c>
      <c r="L83" s="1350">
        <f t="shared" si="50"/>
        <v>500</v>
      </c>
      <c r="M83" s="1351">
        <f t="shared" si="51"/>
        <v>3</v>
      </c>
      <c r="N83" s="1367">
        <v>250</v>
      </c>
      <c r="O83" s="1353">
        <f t="shared" si="43"/>
        <v>750</v>
      </c>
      <c r="P83" s="1350">
        <v>0</v>
      </c>
      <c r="Q83" s="1354">
        <f t="shared" si="44"/>
        <v>0</v>
      </c>
      <c r="R83" s="1350">
        <v>3</v>
      </c>
      <c r="S83" s="1355">
        <f t="shared" si="45"/>
        <v>750</v>
      </c>
      <c r="T83" s="1350">
        <v>0</v>
      </c>
      <c r="U83" s="1355">
        <f t="shared" si="46"/>
        <v>0</v>
      </c>
      <c r="V83" s="1350">
        <v>0</v>
      </c>
      <c r="W83" s="1355">
        <f t="shared" si="47"/>
        <v>0</v>
      </c>
      <c r="X83" s="1356">
        <f t="shared" si="53"/>
        <v>3</v>
      </c>
      <c r="Y83" s="1356">
        <f t="shared" si="48"/>
        <v>750</v>
      </c>
      <c r="Z83" s="1357" t="s">
        <v>7799</v>
      </c>
      <c r="AA83" s="1358" t="s">
        <v>6531</v>
      </c>
      <c r="AB83" s="1359" t="str">
        <f t="shared" si="49"/>
        <v>yes</v>
      </c>
      <c r="AC83" s="1359" t="str">
        <f t="shared" si="52"/>
        <v>ok</v>
      </c>
      <c r="AE83" s="1368"/>
    </row>
    <row r="84" spans="1:31" s="1359" customFormat="1" ht="20.25" customHeight="1" x14ac:dyDescent="0.25">
      <c r="A84" s="1279">
        <v>77</v>
      </c>
      <c r="B84" s="1341" t="s">
        <v>7889</v>
      </c>
      <c r="C84" s="1360" t="s">
        <v>7808</v>
      </c>
      <c r="D84" s="1345">
        <v>0</v>
      </c>
      <c r="E84" s="1344">
        <f t="shared" si="54"/>
        <v>0</v>
      </c>
      <c r="F84" s="1345">
        <v>25</v>
      </c>
      <c r="G84" s="1345">
        <v>6500</v>
      </c>
      <c r="H84" s="1346">
        <v>53</v>
      </c>
      <c r="I84" s="1347">
        <v>20670</v>
      </c>
      <c r="J84" s="1361">
        <v>60</v>
      </c>
      <c r="K84" s="1362">
        <v>20</v>
      </c>
      <c r="L84" s="1350">
        <f t="shared" si="50"/>
        <v>7800</v>
      </c>
      <c r="M84" s="1351">
        <f t="shared" si="51"/>
        <v>40</v>
      </c>
      <c r="N84" s="1363">
        <v>390</v>
      </c>
      <c r="O84" s="1353">
        <f t="shared" si="43"/>
        <v>15600</v>
      </c>
      <c r="P84" s="1350">
        <v>0</v>
      </c>
      <c r="Q84" s="1354">
        <f t="shared" si="44"/>
        <v>0</v>
      </c>
      <c r="R84" s="1350">
        <v>20</v>
      </c>
      <c r="S84" s="1355">
        <f t="shared" si="45"/>
        <v>7800</v>
      </c>
      <c r="T84" s="1356">
        <v>0</v>
      </c>
      <c r="U84" s="1355">
        <f t="shared" si="46"/>
        <v>0</v>
      </c>
      <c r="V84" s="1356">
        <v>20</v>
      </c>
      <c r="W84" s="1355">
        <f t="shared" si="47"/>
        <v>7800</v>
      </c>
      <c r="X84" s="1356">
        <f t="shared" si="53"/>
        <v>40</v>
      </c>
      <c r="Y84" s="1356">
        <f t="shared" si="48"/>
        <v>15600</v>
      </c>
      <c r="Z84" s="1357" t="s">
        <v>7799</v>
      </c>
      <c r="AA84" s="1358" t="s">
        <v>6531</v>
      </c>
      <c r="AB84" s="1359" t="str">
        <f t="shared" si="49"/>
        <v>yes</v>
      </c>
      <c r="AC84" s="1359" t="str">
        <f t="shared" si="52"/>
        <v>ok</v>
      </c>
    </row>
    <row r="85" spans="1:31" s="1359" customFormat="1" ht="20.25" customHeight="1" x14ac:dyDescent="0.25">
      <c r="A85" s="1279">
        <v>78</v>
      </c>
      <c r="B85" s="1341" t="s">
        <v>7890</v>
      </c>
      <c r="C85" s="1369" t="s">
        <v>7798</v>
      </c>
      <c r="D85" s="1370">
        <v>0</v>
      </c>
      <c r="E85" s="1344">
        <f t="shared" si="54"/>
        <v>0</v>
      </c>
      <c r="F85" s="1370">
        <v>0</v>
      </c>
      <c r="G85" s="1345">
        <f t="shared" ref="G85:G86" si="56">F85*L85</f>
        <v>0</v>
      </c>
      <c r="H85" s="1371">
        <v>3</v>
      </c>
      <c r="I85" s="1347">
        <v>2655</v>
      </c>
      <c r="J85" s="1361">
        <v>5</v>
      </c>
      <c r="K85" s="1362">
        <v>0</v>
      </c>
      <c r="L85" s="1350">
        <f t="shared" si="50"/>
        <v>0</v>
      </c>
      <c r="M85" s="1351">
        <f t="shared" si="51"/>
        <v>5</v>
      </c>
      <c r="N85" s="1363">
        <v>885</v>
      </c>
      <c r="O85" s="1353">
        <f t="shared" si="43"/>
        <v>4425</v>
      </c>
      <c r="P85" s="1350">
        <v>5</v>
      </c>
      <c r="Q85" s="1354">
        <f t="shared" si="44"/>
        <v>4425</v>
      </c>
      <c r="R85" s="1350">
        <v>0</v>
      </c>
      <c r="S85" s="1355">
        <f t="shared" si="45"/>
        <v>0</v>
      </c>
      <c r="T85" s="1356">
        <v>0</v>
      </c>
      <c r="U85" s="1355">
        <f t="shared" si="46"/>
        <v>0</v>
      </c>
      <c r="V85" s="1356">
        <v>0</v>
      </c>
      <c r="W85" s="1355">
        <f t="shared" si="47"/>
        <v>0</v>
      </c>
      <c r="X85" s="1356">
        <f t="shared" si="53"/>
        <v>5</v>
      </c>
      <c r="Y85" s="1356">
        <f t="shared" si="48"/>
        <v>4425</v>
      </c>
      <c r="Z85" s="1357" t="s">
        <v>7799</v>
      </c>
      <c r="AA85" s="1358" t="s">
        <v>6531</v>
      </c>
      <c r="AB85" s="1359" t="str">
        <f t="shared" si="49"/>
        <v>yes</v>
      </c>
      <c r="AC85" s="1359" t="str">
        <f t="shared" si="52"/>
        <v>ok</v>
      </c>
    </row>
    <row r="86" spans="1:31" s="1359" customFormat="1" ht="20.25" customHeight="1" x14ac:dyDescent="0.25">
      <c r="A86" s="1279">
        <v>79</v>
      </c>
      <c r="B86" s="1341" t="s">
        <v>7891</v>
      </c>
      <c r="C86" s="1369" t="s">
        <v>7798</v>
      </c>
      <c r="D86" s="1370">
        <v>0</v>
      </c>
      <c r="E86" s="1344">
        <f t="shared" si="54"/>
        <v>0</v>
      </c>
      <c r="F86" s="1370">
        <v>0</v>
      </c>
      <c r="G86" s="1345">
        <f t="shared" si="56"/>
        <v>0</v>
      </c>
      <c r="H86" s="1371">
        <v>24</v>
      </c>
      <c r="I86" s="1347">
        <v>720</v>
      </c>
      <c r="J86" s="1361">
        <v>24</v>
      </c>
      <c r="K86" s="1362">
        <v>0</v>
      </c>
      <c r="L86" s="1350">
        <f t="shared" si="50"/>
        <v>0</v>
      </c>
      <c r="M86" s="1351">
        <f t="shared" si="51"/>
        <v>24</v>
      </c>
      <c r="N86" s="1363">
        <v>30</v>
      </c>
      <c r="O86" s="1353">
        <f t="shared" si="43"/>
        <v>720</v>
      </c>
      <c r="P86" s="1356">
        <v>12</v>
      </c>
      <c r="Q86" s="1354">
        <f t="shared" si="44"/>
        <v>360</v>
      </c>
      <c r="R86" s="1350">
        <v>0</v>
      </c>
      <c r="S86" s="1355">
        <f t="shared" si="45"/>
        <v>0</v>
      </c>
      <c r="T86" s="1356">
        <v>12</v>
      </c>
      <c r="U86" s="1355">
        <f t="shared" si="46"/>
        <v>360</v>
      </c>
      <c r="V86" s="1350">
        <v>0</v>
      </c>
      <c r="W86" s="1355">
        <f t="shared" si="47"/>
        <v>0</v>
      </c>
      <c r="X86" s="1356">
        <f t="shared" si="53"/>
        <v>24</v>
      </c>
      <c r="Y86" s="1356">
        <f t="shared" si="48"/>
        <v>720</v>
      </c>
      <c r="Z86" s="1357" t="s">
        <v>7799</v>
      </c>
      <c r="AA86" s="1358" t="s">
        <v>6531</v>
      </c>
      <c r="AB86" s="1359" t="str">
        <f t="shared" si="49"/>
        <v>yes</v>
      </c>
      <c r="AC86" s="1359" t="str">
        <f t="shared" si="52"/>
        <v>ok</v>
      </c>
      <c r="AE86" s="1364"/>
    </row>
    <row r="87" spans="1:31" s="1359" customFormat="1" ht="20.25" customHeight="1" x14ac:dyDescent="0.25">
      <c r="A87" s="1279">
        <v>80</v>
      </c>
      <c r="B87" s="1372" t="s">
        <v>7892</v>
      </c>
      <c r="C87" s="1373" t="s">
        <v>7893</v>
      </c>
      <c r="D87" s="1350">
        <v>0</v>
      </c>
      <c r="E87" s="1374">
        <f t="shared" ref="E87:E90" si="57">D87*N87</f>
        <v>0</v>
      </c>
      <c r="F87" s="1375">
        <v>0</v>
      </c>
      <c r="G87" s="1374">
        <f t="shared" ref="G87:G90" si="58">F87*N87</f>
        <v>0</v>
      </c>
      <c r="H87" s="1375">
        <v>3</v>
      </c>
      <c r="I87" s="1347">
        <v>1950</v>
      </c>
      <c r="J87" s="1365">
        <v>5</v>
      </c>
      <c r="K87" s="1366">
        <v>0</v>
      </c>
      <c r="L87" s="1350">
        <f t="shared" si="50"/>
        <v>0</v>
      </c>
      <c r="M87" s="1351">
        <f t="shared" si="51"/>
        <v>5</v>
      </c>
      <c r="N87" s="1367">
        <v>650</v>
      </c>
      <c r="O87" s="1353">
        <f t="shared" si="43"/>
        <v>3250</v>
      </c>
      <c r="P87" s="1350">
        <v>5</v>
      </c>
      <c r="Q87" s="1354">
        <f t="shared" si="44"/>
        <v>3250</v>
      </c>
      <c r="R87" s="1350">
        <v>0</v>
      </c>
      <c r="S87" s="1355">
        <f t="shared" si="45"/>
        <v>0</v>
      </c>
      <c r="T87" s="1350">
        <v>0</v>
      </c>
      <c r="U87" s="1355">
        <f t="shared" si="46"/>
        <v>0</v>
      </c>
      <c r="V87" s="1350">
        <v>0</v>
      </c>
      <c r="W87" s="1355">
        <f t="shared" si="47"/>
        <v>0</v>
      </c>
      <c r="X87" s="1356">
        <f t="shared" si="53"/>
        <v>5</v>
      </c>
      <c r="Y87" s="1356">
        <f t="shared" si="48"/>
        <v>3250</v>
      </c>
      <c r="Z87" s="1357" t="s">
        <v>7799</v>
      </c>
      <c r="AA87" s="1358" t="s">
        <v>6531</v>
      </c>
      <c r="AB87" s="1359" t="str">
        <f t="shared" si="49"/>
        <v>yes</v>
      </c>
      <c r="AC87" s="1359" t="str">
        <f t="shared" si="52"/>
        <v>ok</v>
      </c>
      <c r="AE87" s="1368"/>
    </row>
    <row r="88" spans="1:31" s="1359" customFormat="1" ht="20.25" customHeight="1" x14ac:dyDescent="0.25">
      <c r="A88" s="1279">
        <v>81</v>
      </c>
      <c r="B88" s="1372" t="s">
        <v>7894</v>
      </c>
      <c r="C88" s="1373" t="s">
        <v>7895</v>
      </c>
      <c r="D88" s="1350">
        <v>0</v>
      </c>
      <c r="E88" s="1374">
        <f t="shared" si="57"/>
        <v>0</v>
      </c>
      <c r="F88" s="1375">
        <v>0</v>
      </c>
      <c r="G88" s="1374">
        <f t="shared" si="58"/>
        <v>0</v>
      </c>
      <c r="H88" s="1375">
        <v>0</v>
      </c>
      <c r="I88" s="1347">
        <v>0</v>
      </c>
      <c r="J88" s="1365">
        <v>1</v>
      </c>
      <c r="K88" s="1366">
        <v>0</v>
      </c>
      <c r="L88" s="1350">
        <f t="shared" si="50"/>
        <v>0</v>
      </c>
      <c r="M88" s="1351">
        <f t="shared" si="51"/>
        <v>1</v>
      </c>
      <c r="N88" s="1367">
        <v>2500</v>
      </c>
      <c r="O88" s="1353">
        <f t="shared" si="43"/>
        <v>2500</v>
      </c>
      <c r="P88" s="1350">
        <v>1</v>
      </c>
      <c r="Q88" s="1354">
        <f t="shared" si="44"/>
        <v>2500</v>
      </c>
      <c r="R88" s="1350">
        <v>0</v>
      </c>
      <c r="S88" s="1355">
        <f t="shared" si="45"/>
        <v>0</v>
      </c>
      <c r="T88" s="1350">
        <v>0</v>
      </c>
      <c r="U88" s="1355">
        <f t="shared" si="46"/>
        <v>0</v>
      </c>
      <c r="V88" s="1350">
        <v>0</v>
      </c>
      <c r="W88" s="1355">
        <f t="shared" si="47"/>
        <v>0</v>
      </c>
      <c r="X88" s="1356">
        <f t="shared" si="53"/>
        <v>1</v>
      </c>
      <c r="Y88" s="1356">
        <f t="shared" si="48"/>
        <v>2500</v>
      </c>
      <c r="Z88" s="1357" t="s">
        <v>7799</v>
      </c>
      <c r="AA88" s="1358" t="s">
        <v>6531</v>
      </c>
      <c r="AB88" s="1359" t="str">
        <f t="shared" si="49"/>
        <v>yes</v>
      </c>
      <c r="AC88" s="1359" t="str">
        <f t="shared" si="52"/>
        <v>ok</v>
      </c>
      <c r="AE88" s="1368"/>
    </row>
    <row r="89" spans="1:31" s="1359" customFormat="1" ht="20.25" customHeight="1" x14ac:dyDescent="0.25">
      <c r="A89" s="1279">
        <v>82</v>
      </c>
      <c r="B89" s="1372" t="s">
        <v>7896</v>
      </c>
      <c r="C89" s="1373" t="s">
        <v>7897</v>
      </c>
      <c r="D89" s="1350">
        <v>0</v>
      </c>
      <c r="E89" s="1374">
        <f t="shared" si="57"/>
        <v>0</v>
      </c>
      <c r="F89" s="1375">
        <v>13</v>
      </c>
      <c r="G89" s="1374">
        <f t="shared" si="58"/>
        <v>2210</v>
      </c>
      <c r="H89" s="1375">
        <v>5</v>
      </c>
      <c r="I89" s="1347">
        <v>850</v>
      </c>
      <c r="J89" s="1365">
        <v>32</v>
      </c>
      <c r="K89" s="1366">
        <v>2</v>
      </c>
      <c r="L89" s="1350">
        <f t="shared" si="50"/>
        <v>340</v>
      </c>
      <c r="M89" s="1351">
        <f t="shared" si="51"/>
        <v>30</v>
      </c>
      <c r="N89" s="1367">
        <v>170</v>
      </c>
      <c r="O89" s="1353">
        <f t="shared" si="43"/>
        <v>5100</v>
      </c>
      <c r="P89" s="1350">
        <v>10</v>
      </c>
      <c r="Q89" s="1354">
        <f t="shared" si="44"/>
        <v>1700</v>
      </c>
      <c r="R89" s="1350">
        <v>0</v>
      </c>
      <c r="S89" s="1355">
        <f t="shared" si="45"/>
        <v>0</v>
      </c>
      <c r="T89" s="1350">
        <v>10</v>
      </c>
      <c r="U89" s="1355">
        <f t="shared" si="46"/>
        <v>1700</v>
      </c>
      <c r="V89" s="1350">
        <v>10</v>
      </c>
      <c r="W89" s="1355">
        <f t="shared" si="47"/>
        <v>1700</v>
      </c>
      <c r="X89" s="1356">
        <f t="shared" si="53"/>
        <v>30</v>
      </c>
      <c r="Y89" s="1356">
        <f t="shared" si="48"/>
        <v>5100</v>
      </c>
      <c r="Z89" s="1357" t="s">
        <v>7799</v>
      </c>
      <c r="AA89" s="1358" t="s">
        <v>6531</v>
      </c>
      <c r="AB89" s="1359" t="str">
        <f t="shared" si="49"/>
        <v>yes</v>
      </c>
      <c r="AC89" s="1359" t="str">
        <f t="shared" si="52"/>
        <v>ok</v>
      </c>
      <c r="AE89" s="1368"/>
    </row>
    <row r="90" spans="1:31" s="1359" customFormat="1" ht="20.25" customHeight="1" x14ac:dyDescent="0.25">
      <c r="A90" s="1279">
        <v>83</v>
      </c>
      <c r="B90" s="1372" t="s">
        <v>7898</v>
      </c>
      <c r="C90" s="1373" t="s">
        <v>7863</v>
      </c>
      <c r="D90" s="1350">
        <v>0</v>
      </c>
      <c r="E90" s="1374">
        <f t="shared" si="57"/>
        <v>0</v>
      </c>
      <c r="F90" s="1375">
        <v>0</v>
      </c>
      <c r="G90" s="1374">
        <f t="shared" si="58"/>
        <v>0</v>
      </c>
      <c r="H90" s="1375">
        <v>0</v>
      </c>
      <c r="I90" s="1347">
        <v>0</v>
      </c>
      <c r="J90" s="1365">
        <v>50</v>
      </c>
      <c r="K90" s="1366">
        <v>0</v>
      </c>
      <c r="L90" s="1350">
        <f t="shared" si="50"/>
        <v>0</v>
      </c>
      <c r="M90" s="1351">
        <f t="shared" si="51"/>
        <v>50</v>
      </c>
      <c r="N90" s="1367">
        <v>1500</v>
      </c>
      <c r="O90" s="1353">
        <f t="shared" si="43"/>
        <v>75000</v>
      </c>
      <c r="P90" s="1350">
        <v>50</v>
      </c>
      <c r="Q90" s="1354">
        <f t="shared" si="44"/>
        <v>75000</v>
      </c>
      <c r="R90" s="1350">
        <v>0</v>
      </c>
      <c r="S90" s="1355">
        <f t="shared" si="45"/>
        <v>0</v>
      </c>
      <c r="T90" s="1350">
        <v>0</v>
      </c>
      <c r="U90" s="1355">
        <f t="shared" si="46"/>
        <v>0</v>
      </c>
      <c r="V90" s="1350">
        <v>0</v>
      </c>
      <c r="W90" s="1355">
        <f t="shared" si="47"/>
        <v>0</v>
      </c>
      <c r="X90" s="1356">
        <f t="shared" si="53"/>
        <v>50</v>
      </c>
      <c r="Y90" s="1356">
        <f t="shared" si="48"/>
        <v>75000</v>
      </c>
      <c r="Z90" s="1357" t="s">
        <v>7799</v>
      </c>
      <c r="AA90" s="1358" t="s">
        <v>6531</v>
      </c>
      <c r="AB90" s="1359" t="str">
        <f t="shared" si="49"/>
        <v>yes</v>
      </c>
      <c r="AC90" s="1359" t="str">
        <f t="shared" si="52"/>
        <v>ok</v>
      </c>
      <c r="AE90" s="1368"/>
    </row>
    <row r="91" spans="1:31" s="1359" customFormat="1" ht="34.5" customHeight="1" x14ac:dyDescent="0.25">
      <c r="A91" s="1279">
        <v>84</v>
      </c>
      <c r="B91" s="1376" t="s">
        <v>7899</v>
      </c>
      <c r="C91" s="1369" t="s">
        <v>7900</v>
      </c>
      <c r="D91" s="1377">
        <v>800</v>
      </c>
      <c r="E91" s="1378">
        <v>240</v>
      </c>
      <c r="F91" s="1344">
        <v>800</v>
      </c>
      <c r="G91" s="1345">
        <v>240</v>
      </c>
      <c r="H91" s="1345">
        <v>2000</v>
      </c>
      <c r="I91" s="1347">
        <v>600</v>
      </c>
      <c r="J91" s="1361">
        <v>2000</v>
      </c>
      <c r="K91" s="1362">
        <v>200</v>
      </c>
      <c r="L91" s="1350">
        <v>60</v>
      </c>
      <c r="M91" s="1351">
        <v>1800</v>
      </c>
      <c r="N91" s="1363">
        <v>0.3</v>
      </c>
      <c r="O91" s="1353">
        <f t="shared" si="43"/>
        <v>540</v>
      </c>
      <c r="P91" s="1350">
        <v>1800</v>
      </c>
      <c r="Q91" s="1354">
        <v>540</v>
      </c>
      <c r="R91" s="1350">
        <v>0</v>
      </c>
      <c r="S91" s="1355">
        <f t="shared" si="45"/>
        <v>0</v>
      </c>
      <c r="T91" s="1356">
        <v>0</v>
      </c>
      <c r="U91" s="1355">
        <f t="shared" si="46"/>
        <v>0</v>
      </c>
      <c r="V91" s="1350">
        <v>0</v>
      </c>
      <c r="W91" s="1355">
        <f t="shared" si="47"/>
        <v>0</v>
      </c>
      <c r="X91" s="1356">
        <f t="shared" si="53"/>
        <v>1800</v>
      </c>
      <c r="Y91" s="1356">
        <f t="shared" si="48"/>
        <v>540</v>
      </c>
      <c r="Z91" s="1357" t="s">
        <v>7799</v>
      </c>
      <c r="AA91" s="1379" t="s">
        <v>6526</v>
      </c>
      <c r="AB91" s="1359" t="str">
        <f t="shared" si="49"/>
        <v>yes</v>
      </c>
      <c r="AC91" s="1359" t="str">
        <f t="shared" si="52"/>
        <v>ok</v>
      </c>
    </row>
    <row r="92" spans="1:31" s="1359" customFormat="1" ht="21.75" customHeight="1" x14ac:dyDescent="0.25">
      <c r="A92" s="1279">
        <v>85</v>
      </c>
      <c r="B92" s="1376" t="s">
        <v>7901</v>
      </c>
      <c r="C92" s="1369" t="s">
        <v>7900</v>
      </c>
      <c r="D92" s="1377">
        <v>500</v>
      </c>
      <c r="E92" s="1378">
        <v>150</v>
      </c>
      <c r="F92" s="1344">
        <v>2500</v>
      </c>
      <c r="G92" s="1345">
        <v>750</v>
      </c>
      <c r="H92" s="1345">
        <v>13000</v>
      </c>
      <c r="I92" s="1347">
        <v>3900</v>
      </c>
      <c r="J92" s="1361">
        <v>15000</v>
      </c>
      <c r="K92" s="1362">
        <v>1000</v>
      </c>
      <c r="L92" s="1350">
        <v>300</v>
      </c>
      <c r="M92" s="1351">
        <v>14000</v>
      </c>
      <c r="N92" s="1363">
        <v>0.3</v>
      </c>
      <c r="O92" s="1353">
        <f t="shared" si="43"/>
        <v>4200</v>
      </c>
      <c r="P92" s="1350">
        <v>14000</v>
      </c>
      <c r="Q92" s="1354">
        <v>4200</v>
      </c>
      <c r="R92" s="1350">
        <v>0</v>
      </c>
      <c r="S92" s="1355">
        <f t="shared" si="45"/>
        <v>0</v>
      </c>
      <c r="T92" s="1356">
        <v>0</v>
      </c>
      <c r="U92" s="1355">
        <f t="shared" si="46"/>
        <v>0</v>
      </c>
      <c r="V92" s="1350">
        <v>0</v>
      </c>
      <c r="W92" s="1355">
        <f t="shared" si="47"/>
        <v>0</v>
      </c>
      <c r="X92" s="1356">
        <f t="shared" si="53"/>
        <v>14000</v>
      </c>
      <c r="Y92" s="1356">
        <f t="shared" si="48"/>
        <v>4200</v>
      </c>
      <c r="Z92" s="1357" t="s">
        <v>7799</v>
      </c>
      <c r="AA92" s="1379" t="s">
        <v>6526</v>
      </c>
      <c r="AB92" s="1359" t="str">
        <f t="shared" si="49"/>
        <v>yes</v>
      </c>
      <c r="AC92" s="1359" t="str">
        <f t="shared" si="52"/>
        <v>ok</v>
      </c>
    </row>
    <row r="93" spans="1:31" s="1359" customFormat="1" ht="20.25" customHeight="1" x14ac:dyDescent="0.25">
      <c r="A93" s="1279">
        <v>86</v>
      </c>
      <c r="B93" s="1376" t="s">
        <v>7902</v>
      </c>
      <c r="C93" s="1369" t="s">
        <v>7900</v>
      </c>
      <c r="D93" s="1380">
        <v>175000</v>
      </c>
      <c r="E93" s="1378">
        <v>33250</v>
      </c>
      <c r="F93" s="1344">
        <v>75000</v>
      </c>
      <c r="G93" s="1345">
        <v>14250</v>
      </c>
      <c r="H93" s="1345">
        <v>180000</v>
      </c>
      <c r="I93" s="1347">
        <v>34200</v>
      </c>
      <c r="J93" s="1361">
        <v>200000</v>
      </c>
      <c r="K93" s="1362">
        <v>50000</v>
      </c>
      <c r="L93" s="1350">
        <v>9500</v>
      </c>
      <c r="M93" s="1351">
        <v>150000</v>
      </c>
      <c r="N93" s="1363">
        <v>0.19</v>
      </c>
      <c r="O93" s="1353">
        <f t="shared" si="43"/>
        <v>28500</v>
      </c>
      <c r="P93" s="1356">
        <v>150000</v>
      </c>
      <c r="Q93" s="1354">
        <v>28500</v>
      </c>
      <c r="R93" s="1350">
        <v>0</v>
      </c>
      <c r="S93" s="1355">
        <f t="shared" si="45"/>
        <v>0</v>
      </c>
      <c r="T93" s="1356">
        <v>0</v>
      </c>
      <c r="U93" s="1355">
        <f t="shared" si="46"/>
        <v>0</v>
      </c>
      <c r="V93" s="1350">
        <v>0</v>
      </c>
      <c r="W93" s="1355">
        <f t="shared" si="47"/>
        <v>0</v>
      </c>
      <c r="X93" s="1356">
        <f t="shared" si="53"/>
        <v>150000</v>
      </c>
      <c r="Y93" s="1356">
        <f t="shared" si="48"/>
        <v>28500</v>
      </c>
      <c r="Z93" s="1357" t="s">
        <v>7799</v>
      </c>
      <c r="AA93" s="1379" t="s">
        <v>6526</v>
      </c>
      <c r="AB93" s="1359" t="str">
        <f t="shared" si="49"/>
        <v>yes</v>
      </c>
      <c r="AC93" s="1359" t="str">
        <f t="shared" si="52"/>
        <v>ok</v>
      </c>
      <c r="AE93" s="1364"/>
    </row>
    <row r="94" spans="1:31" s="1359" customFormat="1" ht="38.25" customHeight="1" x14ac:dyDescent="0.25">
      <c r="A94" s="1279">
        <v>87</v>
      </c>
      <c r="B94" s="1376" t="s">
        <v>7903</v>
      </c>
      <c r="C94" s="1369" t="s">
        <v>7900</v>
      </c>
      <c r="D94" s="1381">
        <v>0</v>
      </c>
      <c r="E94" s="1378">
        <v>0</v>
      </c>
      <c r="F94" s="1344">
        <v>300</v>
      </c>
      <c r="G94" s="1345">
        <v>90</v>
      </c>
      <c r="H94" s="1345">
        <v>0</v>
      </c>
      <c r="I94" s="1347">
        <v>0</v>
      </c>
      <c r="J94" s="1365">
        <v>500</v>
      </c>
      <c r="K94" s="1366">
        <v>100</v>
      </c>
      <c r="L94" s="1350">
        <v>30</v>
      </c>
      <c r="M94" s="1351">
        <v>400</v>
      </c>
      <c r="N94" s="1367">
        <v>0.3</v>
      </c>
      <c r="O94" s="1353">
        <f t="shared" si="43"/>
        <v>120</v>
      </c>
      <c r="P94" s="1350">
        <v>400</v>
      </c>
      <c r="Q94" s="1354">
        <v>120</v>
      </c>
      <c r="R94" s="1350">
        <v>0</v>
      </c>
      <c r="S94" s="1355">
        <f t="shared" si="45"/>
        <v>0</v>
      </c>
      <c r="T94" s="1350">
        <v>0</v>
      </c>
      <c r="U94" s="1355">
        <f t="shared" si="46"/>
        <v>0</v>
      </c>
      <c r="V94" s="1350">
        <v>0</v>
      </c>
      <c r="W94" s="1355">
        <f t="shared" si="47"/>
        <v>0</v>
      </c>
      <c r="X94" s="1356">
        <f t="shared" si="53"/>
        <v>400</v>
      </c>
      <c r="Y94" s="1356">
        <f t="shared" si="48"/>
        <v>120</v>
      </c>
      <c r="Z94" s="1357" t="s">
        <v>7799</v>
      </c>
      <c r="AA94" s="1379" t="s">
        <v>6526</v>
      </c>
      <c r="AB94" s="1359" t="str">
        <f t="shared" si="49"/>
        <v>yes</v>
      </c>
      <c r="AC94" s="1359" t="str">
        <f t="shared" si="52"/>
        <v>ok</v>
      </c>
      <c r="AE94" s="1368"/>
    </row>
    <row r="95" spans="1:31" s="1359" customFormat="1" ht="20.25" customHeight="1" x14ac:dyDescent="0.25">
      <c r="A95" s="1279">
        <v>88</v>
      </c>
      <c r="B95" s="1376" t="s">
        <v>7904</v>
      </c>
      <c r="C95" s="1369" t="s">
        <v>7900</v>
      </c>
      <c r="D95" s="1381">
        <v>80000</v>
      </c>
      <c r="E95" s="1378">
        <v>15200</v>
      </c>
      <c r="F95" s="1344">
        <v>76000</v>
      </c>
      <c r="G95" s="1345">
        <v>14440</v>
      </c>
      <c r="H95" s="1345">
        <v>50000</v>
      </c>
      <c r="I95" s="1347">
        <v>9500</v>
      </c>
      <c r="J95" s="1361">
        <v>90000</v>
      </c>
      <c r="K95" s="1362">
        <v>20000</v>
      </c>
      <c r="L95" s="1350">
        <v>3800</v>
      </c>
      <c r="M95" s="1351">
        <v>70000</v>
      </c>
      <c r="N95" s="1363">
        <v>0.19</v>
      </c>
      <c r="O95" s="1353">
        <f t="shared" si="43"/>
        <v>13300</v>
      </c>
      <c r="P95" s="1350">
        <v>70000</v>
      </c>
      <c r="Q95" s="1354">
        <v>13300</v>
      </c>
      <c r="R95" s="1350">
        <v>0</v>
      </c>
      <c r="S95" s="1355">
        <f t="shared" si="45"/>
        <v>0</v>
      </c>
      <c r="T95" s="1356">
        <v>0</v>
      </c>
      <c r="U95" s="1355">
        <f t="shared" si="46"/>
        <v>0</v>
      </c>
      <c r="V95" s="1350">
        <v>0</v>
      </c>
      <c r="W95" s="1355">
        <f t="shared" si="47"/>
        <v>0</v>
      </c>
      <c r="X95" s="1356">
        <f t="shared" si="53"/>
        <v>70000</v>
      </c>
      <c r="Y95" s="1356">
        <f t="shared" si="48"/>
        <v>13300</v>
      </c>
      <c r="Z95" s="1357" t="s">
        <v>7799</v>
      </c>
      <c r="AA95" s="1379" t="s">
        <v>6526</v>
      </c>
      <c r="AB95" s="1359" t="str">
        <f t="shared" si="49"/>
        <v>yes</v>
      </c>
      <c r="AC95" s="1359" t="str">
        <f t="shared" si="52"/>
        <v>ok</v>
      </c>
    </row>
    <row r="96" spans="1:31" s="1359" customFormat="1" ht="20.25" customHeight="1" x14ac:dyDescent="0.25">
      <c r="A96" s="1279">
        <v>89</v>
      </c>
      <c r="B96" s="1376" t="s">
        <v>7905</v>
      </c>
      <c r="C96" s="1369" t="s">
        <v>7808</v>
      </c>
      <c r="D96" s="1377">
        <v>60</v>
      </c>
      <c r="E96" s="1378">
        <v>3000</v>
      </c>
      <c r="F96" s="1344">
        <v>100</v>
      </c>
      <c r="G96" s="1345">
        <v>5000</v>
      </c>
      <c r="H96" s="1345">
        <v>70</v>
      </c>
      <c r="I96" s="1347">
        <v>3500</v>
      </c>
      <c r="J96" s="1361">
        <v>100</v>
      </c>
      <c r="K96" s="1362">
        <v>100</v>
      </c>
      <c r="L96" s="1350">
        <v>5000</v>
      </c>
      <c r="M96" s="1351">
        <v>0</v>
      </c>
      <c r="N96" s="1363">
        <v>50</v>
      </c>
      <c r="O96" s="1353">
        <f t="shared" si="43"/>
        <v>0</v>
      </c>
      <c r="P96" s="1350">
        <v>0</v>
      </c>
      <c r="Q96" s="1354">
        <v>0</v>
      </c>
      <c r="R96" s="1350">
        <v>0</v>
      </c>
      <c r="S96" s="1355">
        <f t="shared" si="45"/>
        <v>0</v>
      </c>
      <c r="T96" s="1356">
        <v>0</v>
      </c>
      <c r="U96" s="1355">
        <f t="shared" si="46"/>
        <v>0</v>
      </c>
      <c r="V96" s="1350">
        <v>0</v>
      </c>
      <c r="W96" s="1355">
        <f t="shared" si="47"/>
        <v>0</v>
      </c>
      <c r="X96" s="1356">
        <f t="shared" si="53"/>
        <v>0</v>
      </c>
      <c r="Y96" s="1356">
        <f t="shared" si="48"/>
        <v>0</v>
      </c>
      <c r="Z96" s="1357" t="s">
        <v>7799</v>
      </c>
      <c r="AA96" s="1379" t="s">
        <v>6526</v>
      </c>
      <c r="AB96" s="1359" t="str">
        <f t="shared" si="49"/>
        <v>yes</v>
      </c>
      <c r="AC96" s="1359" t="str">
        <f t="shared" si="52"/>
        <v>ok</v>
      </c>
    </row>
    <row r="97" spans="1:31" s="1359" customFormat="1" ht="20.25" customHeight="1" x14ac:dyDescent="0.25">
      <c r="A97" s="1279">
        <v>90</v>
      </c>
      <c r="B97" s="1341" t="s">
        <v>7906</v>
      </c>
      <c r="C97" s="1369" t="s">
        <v>7900</v>
      </c>
      <c r="D97" s="1377">
        <v>3000</v>
      </c>
      <c r="E97" s="1378">
        <v>1050</v>
      </c>
      <c r="F97" s="1344">
        <v>2500</v>
      </c>
      <c r="G97" s="1345">
        <v>875</v>
      </c>
      <c r="H97" s="1345">
        <v>2300</v>
      </c>
      <c r="I97" s="1347">
        <v>805</v>
      </c>
      <c r="J97" s="1361">
        <v>3000</v>
      </c>
      <c r="K97" s="1362">
        <v>3000</v>
      </c>
      <c r="L97" s="1350">
        <v>1050</v>
      </c>
      <c r="M97" s="1351">
        <v>0</v>
      </c>
      <c r="N97" s="1363">
        <v>0.35</v>
      </c>
      <c r="O97" s="1353">
        <f t="shared" si="43"/>
        <v>0</v>
      </c>
      <c r="P97" s="1356">
        <v>0</v>
      </c>
      <c r="Q97" s="1354">
        <v>0</v>
      </c>
      <c r="R97" s="1350">
        <v>0</v>
      </c>
      <c r="S97" s="1355">
        <f t="shared" si="45"/>
        <v>0</v>
      </c>
      <c r="T97" s="1356">
        <v>0</v>
      </c>
      <c r="U97" s="1355">
        <f t="shared" si="46"/>
        <v>0</v>
      </c>
      <c r="V97" s="1350">
        <v>0</v>
      </c>
      <c r="W97" s="1355">
        <f t="shared" si="47"/>
        <v>0</v>
      </c>
      <c r="X97" s="1356">
        <f t="shared" si="53"/>
        <v>0</v>
      </c>
      <c r="Y97" s="1356">
        <f t="shared" si="48"/>
        <v>0</v>
      </c>
      <c r="Z97" s="1357" t="s">
        <v>7799</v>
      </c>
      <c r="AA97" s="1379" t="s">
        <v>6526</v>
      </c>
      <c r="AB97" s="1359" t="str">
        <f t="shared" si="49"/>
        <v>yes</v>
      </c>
      <c r="AC97" s="1359" t="str">
        <f t="shared" si="52"/>
        <v>ok</v>
      </c>
      <c r="AE97" s="1364"/>
    </row>
    <row r="98" spans="1:31" s="1359" customFormat="1" ht="34.5" customHeight="1" x14ac:dyDescent="0.25">
      <c r="A98" s="1279">
        <v>91</v>
      </c>
      <c r="B98" s="1341" t="s">
        <v>7907</v>
      </c>
      <c r="C98" s="1369" t="s">
        <v>7900</v>
      </c>
      <c r="D98" s="1381">
        <v>0</v>
      </c>
      <c r="E98" s="1381">
        <v>0</v>
      </c>
      <c r="F98" s="1344">
        <v>0</v>
      </c>
      <c r="G98" s="1374">
        <v>0</v>
      </c>
      <c r="H98" s="1345"/>
      <c r="I98" s="1347">
        <v>0</v>
      </c>
      <c r="J98" s="1365">
        <v>10000</v>
      </c>
      <c r="K98" s="1366">
        <v>0</v>
      </c>
      <c r="L98" s="1350">
        <v>0</v>
      </c>
      <c r="M98" s="1351">
        <v>10000</v>
      </c>
      <c r="N98" s="1367">
        <v>0.35</v>
      </c>
      <c r="O98" s="1353">
        <f t="shared" si="43"/>
        <v>3500</v>
      </c>
      <c r="P98" s="1350">
        <v>10000</v>
      </c>
      <c r="Q98" s="1354">
        <v>3500</v>
      </c>
      <c r="R98" s="1350">
        <v>0</v>
      </c>
      <c r="S98" s="1355">
        <f t="shared" si="45"/>
        <v>0</v>
      </c>
      <c r="T98" s="1350">
        <v>0</v>
      </c>
      <c r="U98" s="1355">
        <f t="shared" si="46"/>
        <v>0</v>
      </c>
      <c r="V98" s="1350">
        <v>0</v>
      </c>
      <c r="W98" s="1355">
        <f t="shared" si="47"/>
        <v>0</v>
      </c>
      <c r="X98" s="1356">
        <f t="shared" si="53"/>
        <v>10000</v>
      </c>
      <c r="Y98" s="1356">
        <f t="shared" si="48"/>
        <v>3500</v>
      </c>
      <c r="Z98" s="1357" t="s">
        <v>7799</v>
      </c>
      <c r="AA98" s="1379" t="s">
        <v>6526</v>
      </c>
      <c r="AB98" s="1359" t="str">
        <f t="shared" si="49"/>
        <v>yes</v>
      </c>
      <c r="AC98" s="1359" t="str">
        <f t="shared" si="52"/>
        <v>ok</v>
      </c>
      <c r="AE98" s="1368"/>
    </row>
    <row r="99" spans="1:31" s="1359" customFormat="1" ht="35.25" customHeight="1" x14ac:dyDescent="0.25">
      <c r="A99" s="1279">
        <v>92</v>
      </c>
      <c r="B99" s="1341" t="s">
        <v>7908</v>
      </c>
      <c r="C99" s="1369" t="s">
        <v>7900</v>
      </c>
      <c r="D99" s="1381">
        <v>0</v>
      </c>
      <c r="E99" s="1381">
        <v>0</v>
      </c>
      <c r="F99" s="1344">
        <v>0</v>
      </c>
      <c r="G99" s="1374">
        <v>0</v>
      </c>
      <c r="H99" s="1345"/>
      <c r="I99" s="1347">
        <v>0</v>
      </c>
      <c r="J99" s="1365">
        <v>10000</v>
      </c>
      <c r="K99" s="1366">
        <v>0</v>
      </c>
      <c r="L99" s="1350">
        <v>0</v>
      </c>
      <c r="M99" s="1351">
        <v>10000</v>
      </c>
      <c r="N99" s="1367">
        <v>0.35</v>
      </c>
      <c r="O99" s="1353">
        <f t="shared" si="43"/>
        <v>3500</v>
      </c>
      <c r="P99" s="1350">
        <v>10000</v>
      </c>
      <c r="Q99" s="1354">
        <v>3500</v>
      </c>
      <c r="R99" s="1350">
        <v>0</v>
      </c>
      <c r="S99" s="1355">
        <f t="shared" si="45"/>
        <v>0</v>
      </c>
      <c r="T99" s="1350">
        <v>0</v>
      </c>
      <c r="U99" s="1355">
        <f t="shared" si="46"/>
        <v>0</v>
      </c>
      <c r="V99" s="1350">
        <v>0</v>
      </c>
      <c r="W99" s="1355">
        <f t="shared" si="47"/>
        <v>0</v>
      </c>
      <c r="X99" s="1356">
        <f t="shared" si="53"/>
        <v>10000</v>
      </c>
      <c r="Y99" s="1356">
        <f t="shared" si="48"/>
        <v>3500</v>
      </c>
      <c r="Z99" s="1357" t="s">
        <v>7799</v>
      </c>
      <c r="AA99" s="1379" t="s">
        <v>6526</v>
      </c>
      <c r="AB99" s="1359" t="str">
        <f t="shared" si="49"/>
        <v>yes</v>
      </c>
      <c r="AC99" s="1359" t="str">
        <f t="shared" si="52"/>
        <v>ok</v>
      </c>
      <c r="AE99" s="1368"/>
    </row>
    <row r="100" spans="1:31" s="1359" customFormat="1" ht="36" customHeight="1" x14ac:dyDescent="0.25">
      <c r="A100" s="1279">
        <v>93</v>
      </c>
      <c r="B100" s="1341" t="s">
        <v>7909</v>
      </c>
      <c r="C100" s="1369" t="s">
        <v>7900</v>
      </c>
      <c r="D100" s="1381">
        <v>0</v>
      </c>
      <c r="E100" s="1381">
        <v>0</v>
      </c>
      <c r="F100" s="1344">
        <v>0</v>
      </c>
      <c r="G100" s="1374">
        <v>0</v>
      </c>
      <c r="H100" s="1345"/>
      <c r="I100" s="1347">
        <v>0</v>
      </c>
      <c r="J100" s="1365">
        <v>10000</v>
      </c>
      <c r="K100" s="1366">
        <v>0</v>
      </c>
      <c r="L100" s="1350">
        <v>0</v>
      </c>
      <c r="M100" s="1351">
        <v>10000</v>
      </c>
      <c r="N100" s="1367">
        <v>0.35</v>
      </c>
      <c r="O100" s="1353">
        <f t="shared" si="43"/>
        <v>3500</v>
      </c>
      <c r="P100" s="1350">
        <v>10000</v>
      </c>
      <c r="Q100" s="1354">
        <v>3500</v>
      </c>
      <c r="R100" s="1350">
        <v>0</v>
      </c>
      <c r="S100" s="1355">
        <f t="shared" si="45"/>
        <v>0</v>
      </c>
      <c r="T100" s="1350">
        <v>0</v>
      </c>
      <c r="U100" s="1355">
        <f t="shared" si="46"/>
        <v>0</v>
      </c>
      <c r="V100" s="1350">
        <v>0</v>
      </c>
      <c r="W100" s="1355">
        <f t="shared" si="47"/>
        <v>0</v>
      </c>
      <c r="X100" s="1356">
        <f t="shared" si="53"/>
        <v>10000</v>
      </c>
      <c r="Y100" s="1356">
        <f t="shared" si="48"/>
        <v>3500</v>
      </c>
      <c r="Z100" s="1357" t="s">
        <v>7799</v>
      </c>
      <c r="AA100" s="1379" t="s">
        <v>6526</v>
      </c>
      <c r="AB100" s="1359" t="str">
        <f t="shared" si="49"/>
        <v>yes</v>
      </c>
      <c r="AC100" s="1359" t="str">
        <f t="shared" si="52"/>
        <v>ok</v>
      </c>
      <c r="AE100" s="1368"/>
    </row>
    <row r="101" spans="1:31" s="1359" customFormat="1" ht="37.5" customHeight="1" x14ac:dyDescent="0.25">
      <c r="A101" s="1279">
        <v>94</v>
      </c>
      <c r="B101" s="1341" t="s">
        <v>7910</v>
      </c>
      <c r="C101" s="1369" t="s">
        <v>7900</v>
      </c>
      <c r="D101" s="1381">
        <v>0</v>
      </c>
      <c r="E101" s="1381">
        <v>0</v>
      </c>
      <c r="F101" s="1344">
        <v>0</v>
      </c>
      <c r="G101" s="1345">
        <v>0</v>
      </c>
      <c r="H101" s="1345"/>
      <c r="I101" s="1347">
        <v>0</v>
      </c>
      <c r="J101" s="1361">
        <v>10000</v>
      </c>
      <c r="K101" s="1362">
        <v>0</v>
      </c>
      <c r="L101" s="1350">
        <v>0</v>
      </c>
      <c r="M101" s="1351">
        <v>10000</v>
      </c>
      <c r="N101" s="1363">
        <v>0.35</v>
      </c>
      <c r="O101" s="1353">
        <f t="shared" si="43"/>
        <v>3500</v>
      </c>
      <c r="P101" s="1350">
        <v>10000</v>
      </c>
      <c r="Q101" s="1354">
        <v>3500</v>
      </c>
      <c r="R101" s="1350">
        <v>0</v>
      </c>
      <c r="S101" s="1355">
        <f t="shared" si="45"/>
        <v>0</v>
      </c>
      <c r="T101" s="1356">
        <v>0</v>
      </c>
      <c r="U101" s="1355">
        <f t="shared" si="46"/>
        <v>0</v>
      </c>
      <c r="V101" s="1350">
        <v>0</v>
      </c>
      <c r="W101" s="1355">
        <f t="shared" si="47"/>
        <v>0</v>
      </c>
      <c r="X101" s="1356">
        <f t="shared" si="53"/>
        <v>10000</v>
      </c>
      <c r="Y101" s="1356">
        <f t="shared" si="48"/>
        <v>3500</v>
      </c>
      <c r="Z101" s="1357" t="s">
        <v>7799</v>
      </c>
      <c r="AA101" s="1379" t="s">
        <v>6526</v>
      </c>
      <c r="AB101" s="1359" t="str">
        <f t="shared" si="49"/>
        <v>yes</v>
      </c>
      <c r="AC101" s="1359" t="str">
        <f t="shared" si="52"/>
        <v>ok</v>
      </c>
    </row>
    <row r="102" spans="1:31" s="1359" customFormat="1" ht="40.5" customHeight="1" x14ac:dyDescent="0.25">
      <c r="A102" s="1279">
        <v>95</v>
      </c>
      <c r="B102" s="1341" t="s">
        <v>7911</v>
      </c>
      <c r="C102" s="1369" t="s">
        <v>7900</v>
      </c>
      <c r="D102" s="1381">
        <v>0</v>
      </c>
      <c r="E102" s="1381">
        <v>0</v>
      </c>
      <c r="F102" s="1345">
        <v>0</v>
      </c>
      <c r="G102" s="1345">
        <v>0</v>
      </c>
      <c r="H102" s="1345"/>
      <c r="I102" s="1347">
        <v>0</v>
      </c>
      <c r="J102" s="1361">
        <v>10000</v>
      </c>
      <c r="K102" s="1362">
        <v>0</v>
      </c>
      <c r="L102" s="1350">
        <v>0</v>
      </c>
      <c r="M102" s="1351">
        <v>10000</v>
      </c>
      <c r="N102" s="1363">
        <v>0.35</v>
      </c>
      <c r="O102" s="1353">
        <f t="shared" si="43"/>
        <v>3500</v>
      </c>
      <c r="P102" s="1350">
        <v>10000</v>
      </c>
      <c r="Q102" s="1354">
        <v>3500</v>
      </c>
      <c r="R102" s="1350">
        <v>0</v>
      </c>
      <c r="S102" s="1355">
        <f t="shared" si="45"/>
        <v>0</v>
      </c>
      <c r="T102" s="1356">
        <v>0</v>
      </c>
      <c r="U102" s="1355">
        <f t="shared" si="46"/>
        <v>0</v>
      </c>
      <c r="V102" s="1350">
        <v>0</v>
      </c>
      <c r="W102" s="1355">
        <f t="shared" si="47"/>
        <v>0</v>
      </c>
      <c r="X102" s="1356">
        <f t="shared" si="53"/>
        <v>10000</v>
      </c>
      <c r="Y102" s="1356">
        <f t="shared" si="48"/>
        <v>3500</v>
      </c>
      <c r="Z102" s="1357" t="s">
        <v>7799</v>
      </c>
      <c r="AA102" s="1379" t="s">
        <v>6526</v>
      </c>
      <c r="AB102" s="1359" t="str">
        <f t="shared" si="49"/>
        <v>yes</v>
      </c>
      <c r="AC102" s="1359" t="str">
        <f t="shared" si="52"/>
        <v>ok</v>
      </c>
    </row>
    <row r="103" spans="1:31" s="1359" customFormat="1" ht="20.25" customHeight="1" x14ac:dyDescent="0.25">
      <c r="A103" s="1279">
        <v>96</v>
      </c>
      <c r="B103" s="1341" t="s">
        <v>7912</v>
      </c>
      <c r="C103" s="1369" t="s">
        <v>7900</v>
      </c>
      <c r="D103" s="1381">
        <v>0</v>
      </c>
      <c r="E103" s="1378">
        <v>0</v>
      </c>
      <c r="F103" s="1381">
        <v>0</v>
      </c>
      <c r="G103" s="1345">
        <v>0</v>
      </c>
      <c r="H103" s="1345">
        <v>55000</v>
      </c>
      <c r="I103" s="1356">
        <v>27500</v>
      </c>
      <c r="J103" s="1361">
        <v>100000</v>
      </c>
      <c r="K103" s="1362">
        <v>10000</v>
      </c>
      <c r="L103" s="1350">
        <v>5000</v>
      </c>
      <c r="M103" s="1351">
        <v>90000</v>
      </c>
      <c r="N103" s="1363">
        <v>0.5</v>
      </c>
      <c r="O103" s="1353">
        <f t="shared" si="43"/>
        <v>45000</v>
      </c>
      <c r="P103" s="1356">
        <v>90000</v>
      </c>
      <c r="Q103" s="1354">
        <v>45000</v>
      </c>
      <c r="R103" s="1350">
        <v>0</v>
      </c>
      <c r="S103" s="1355">
        <f t="shared" si="45"/>
        <v>0</v>
      </c>
      <c r="T103" s="1356">
        <v>0</v>
      </c>
      <c r="U103" s="1355">
        <f t="shared" si="46"/>
        <v>0</v>
      </c>
      <c r="V103" s="1350">
        <v>0</v>
      </c>
      <c r="W103" s="1355">
        <f t="shared" si="47"/>
        <v>0</v>
      </c>
      <c r="X103" s="1356">
        <f t="shared" si="53"/>
        <v>90000</v>
      </c>
      <c r="Y103" s="1356">
        <f t="shared" si="48"/>
        <v>45000</v>
      </c>
      <c r="Z103" s="1357" t="s">
        <v>7799</v>
      </c>
      <c r="AA103" s="1379" t="s">
        <v>6526</v>
      </c>
      <c r="AB103" s="1359" t="str">
        <f t="shared" si="49"/>
        <v>yes</v>
      </c>
      <c r="AC103" s="1359" t="str">
        <f t="shared" si="52"/>
        <v>ok</v>
      </c>
      <c r="AE103" s="1382"/>
    </row>
    <row r="104" spans="1:31" s="1388" customFormat="1" ht="23.25" customHeight="1" x14ac:dyDescent="0.25">
      <c r="A104" s="1279">
        <v>97</v>
      </c>
      <c r="B104" s="1211" t="s">
        <v>7913</v>
      </c>
      <c r="C104" s="1383" t="s">
        <v>7808</v>
      </c>
      <c r="D104" s="1384">
        <v>30</v>
      </c>
      <c r="E104" s="1385">
        <f t="shared" ref="E104" si="59">D104*N104</f>
        <v>7500</v>
      </c>
      <c r="F104" s="1386">
        <v>40</v>
      </c>
      <c r="G104" s="1385">
        <f t="shared" ref="G104" si="60">F104*N104</f>
        <v>10000</v>
      </c>
      <c r="H104" s="1386">
        <v>40</v>
      </c>
      <c r="I104" s="1356">
        <f t="shared" ref="I104" si="61">H104*N104</f>
        <v>10000</v>
      </c>
      <c r="J104" s="1348">
        <v>45</v>
      </c>
      <c r="K104" s="1349">
        <v>5</v>
      </c>
      <c r="L104" s="1350">
        <f>K104*N104</f>
        <v>1250</v>
      </c>
      <c r="M104" s="1351">
        <f>J104-K104</f>
        <v>40</v>
      </c>
      <c r="N104" s="1352">
        <v>250</v>
      </c>
      <c r="O104" s="1353">
        <f>M104*N104</f>
        <v>10000</v>
      </c>
      <c r="P104" s="1354">
        <v>10</v>
      </c>
      <c r="Q104" s="1354">
        <f>P104*N104</f>
        <v>2500</v>
      </c>
      <c r="R104" s="1354">
        <v>10</v>
      </c>
      <c r="S104" s="1355">
        <f>R104*N104</f>
        <v>2500</v>
      </c>
      <c r="T104" s="1354">
        <v>10</v>
      </c>
      <c r="U104" s="1355">
        <f>T104*N104</f>
        <v>2500</v>
      </c>
      <c r="V104" s="1354">
        <v>10</v>
      </c>
      <c r="W104" s="1355">
        <f>V104*N104</f>
        <v>2500</v>
      </c>
      <c r="X104" s="1356">
        <f>V104+T104+R104+P104</f>
        <v>40</v>
      </c>
      <c r="Y104" s="1356">
        <f>X104*N104</f>
        <v>10000</v>
      </c>
      <c r="Z104" s="1387" t="s">
        <v>7799</v>
      </c>
      <c r="AA104" s="1358" t="s">
        <v>7685</v>
      </c>
      <c r="AB104" s="1359" t="str">
        <f t="shared" si="49"/>
        <v>yes</v>
      </c>
      <c r="AC104" s="1359" t="str">
        <f t="shared" si="52"/>
        <v>ok</v>
      </c>
    </row>
    <row r="105" spans="1:31" s="1393" customFormat="1" ht="20.25" customHeight="1" x14ac:dyDescent="0.6">
      <c r="A105" s="1389" t="s">
        <v>7433</v>
      </c>
      <c r="B105" s="1389"/>
      <c r="C105" s="1389"/>
      <c r="D105" s="1390">
        <f>SUM(D8:D104)</f>
        <v>264958</v>
      </c>
      <c r="E105" s="1390">
        <f t="shared" ref="E105:Y105" si="62">SUM(E8:E104)</f>
        <v>286458.70999999996</v>
      </c>
      <c r="F105" s="1390">
        <f t="shared" si="62"/>
        <v>165982</v>
      </c>
      <c r="G105" s="1390">
        <f t="shared" si="62"/>
        <v>410788</v>
      </c>
      <c r="H105" s="1390">
        <f t="shared" si="62"/>
        <v>313181</v>
      </c>
      <c r="I105" s="1390">
        <f t="shared" si="62"/>
        <v>605350</v>
      </c>
      <c r="J105" s="1390">
        <f t="shared" si="62"/>
        <v>469453</v>
      </c>
      <c r="K105" s="1390">
        <f t="shared" si="62"/>
        <v>85383</v>
      </c>
      <c r="L105" s="1390">
        <f t="shared" si="62"/>
        <v>88364</v>
      </c>
      <c r="M105" s="1390">
        <f t="shared" si="62"/>
        <v>384070</v>
      </c>
      <c r="N105" s="1390">
        <f t="shared" si="62"/>
        <v>13706.880000000001</v>
      </c>
      <c r="O105" s="1390">
        <f t="shared" si="62"/>
        <v>596234</v>
      </c>
      <c r="P105" s="1390">
        <f t="shared" si="62"/>
        <v>377933</v>
      </c>
      <c r="Q105" s="1390">
        <f t="shared" si="62"/>
        <v>324935</v>
      </c>
      <c r="R105" s="1390">
        <f t="shared" si="62"/>
        <v>2009</v>
      </c>
      <c r="S105" s="1390">
        <f t="shared" si="62"/>
        <v>92799</v>
      </c>
      <c r="T105" s="1390">
        <f t="shared" si="62"/>
        <v>2120</v>
      </c>
      <c r="U105" s="1390">
        <f t="shared" si="62"/>
        <v>86421</v>
      </c>
      <c r="V105" s="1390">
        <f t="shared" si="62"/>
        <v>2008</v>
      </c>
      <c r="W105" s="1390">
        <f t="shared" si="62"/>
        <v>92079</v>
      </c>
      <c r="X105" s="1390">
        <f t="shared" si="62"/>
        <v>384070</v>
      </c>
      <c r="Y105" s="1390">
        <f t="shared" si="62"/>
        <v>596234</v>
      </c>
      <c r="Z105" s="1391"/>
      <c r="AA105" s="1392"/>
      <c r="AB105" s="1393" t="str">
        <f t="shared" si="49"/>
        <v>yes</v>
      </c>
      <c r="AC105" s="1246" t="str">
        <f t="shared" si="52"/>
        <v>ok</v>
      </c>
    </row>
    <row r="106" spans="1:31" s="1393" customFormat="1" ht="20.25" customHeight="1" x14ac:dyDescent="0.6">
      <c r="A106" s="1394"/>
      <c r="B106" s="1394"/>
      <c r="C106" s="1394"/>
      <c r="D106" s="1395"/>
      <c r="E106" s="1395"/>
      <c r="F106" s="1395"/>
      <c r="G106" s="1395"/>
      <c r="H106" s="1395"/>
      <c r="I106" s="1395"/>
      <c r="J106" s="1395"/>
      <c r="K106" s="1395"/>
      <c r="L106" s="1395"/>
      <c r="M106" s="1395"/>
      <c r="N106" s="1395"/>
      <c r="O106" s="1395"/>
      <c r="P106" s="1395"/>
      <c r="Q106" s="1395"/>
      <c r="R106" s="1395"/>
      <c r="S106" s="1395"/>
      <c r="T106" s="1395"/>
      <c r="U106" s="1395"/>
      <c r="V106" s="1395"/>
      <c r="W106" s="1395"/>
      <c r="X106" s="1395"/>
      <c r="Y106" s="1395"/>
      <c r="Z106" s="1396"/>
      <c r="AC106" s="1246"/>
    </row>
    <row r="107" spans="1:31" ht="20.25" customHeight="1" x14ac:dyDescent="0.6">
      <c r="A107" s="1397"/>
      <c r="C107" s="1399"/>
      <c r="D107" s="1288"/>
      <c r="E107" s="1288"/>
      <c r="F107" s="1288"/>
      <c r="G107" s="1288"/>
      <c r="H107" s="1288"/>
      <c r="I107" s="1288"/>
      <c r="J107" s="1288"/>
      <c r="K107" s="1288"/>
      <c r="L107" s="1288"/>
      <c r="M107" s="1288"/>
      <c r="N107" s="1400"/>
      <c r="O107" s="1400"/>
      <c r="P107" s="1400"/>
      <c r="Q107" s="1400"/>
      <c r="R107" s="1400"/>
      <c r="S107" s="1400"/>
      <c r="T107" s="1400"/>
      <c r="U107" s="1400"/>
      <c r="V107" s="1400"/>
      <c r="W107" s="1400"/>
      <c r="X107" s="1288"/>
      <c r="Y107" s="1288"/>
      <c r="AA107" s="1402"/>
    </row>
    <row r="108" spans="1:31" s="1290" customFormat="1" ht="20.25" customHeight="1" x14ac:dyDescent="0.6">
      <c r="A108" s="1403"/>
      <c r="G108" s="1288"/>
      <c r="H108" s="1290" t="s">
        <v>7914</v>
      </c>
      <c r="R108" s="1290" t="s">
        <v>7915</v>
      </c>
    </row>
    <row r="109" spans="1:31" s="1290" customFormat="1" ht="20.25" customHeight="1" x14ac:dyDescent="0.6">
      <c r="A109" s="1403"/>
      <c r="G109" s="1288"/>
      <c r="H109" s="1290" t="s">
        <v>7916</v>
      </c>
      <c r="R109" s="1290" t="s">
        <v>7917</v>
      </c>
    </row>
    <row r="110" spans="1:31" s="1290" customFormat="1" ht="20.25" customHeight="1" x14ac:dyDescent="0.6">
      <c r="A110" s="1403"/>
      <c r="G110" s="1288"/>
      <c r="H110" s="1290" t="s">
        <v>7918</v>
      </c>
      <c r="R110" s="1290" t="s">
        <v>7771</v>
      </c>
    </row>
    <row r="111" spans="1:31" s="1290" customFormat="1" ht="20.25" customHeight="1" x14ac:dyDescent="0.6">
      <c r="A111" s="1403"/>
      <c r="G111" s="1288"/>
      <c r="H111" s="1290" t="s">
        <v>7919</v>
      </c>
      <c r="T111" s="1288"/>
      <c r="U111" s="1288"/>
      <c r="V111" s="1288"/>
      <c r="W111" s="1288"/>
      <c r="Z111" s="1404"/>
    </row>
    <row r="112" spans="1:31" ht="20.25" customHeight="1" x14ac:dyDescent="0.6">
      <c r="B112" s="1280"/>
      <c r="G112" s="1288"/>
      <c r="H112" s="1290" t="s">
        <v>7919</v>
      </c>
      <c r="N112" s="1290"/>
      <c r="O112" s="1290"/>
      <c r="P112" s="1290"/>
      <c r="Q112" s="1290"/>
      <c r="R112" s="1290"/>
      <c r="S112" s="1290"/>
      <c r="Z112" s="1405"/>
    </row>
    <row r="113" spans="1:27" ht="20.25" customHeight="1" x14ac:dyDescent="0.6">
      <c r="P113" s="1288" t="s">
        <v>7380</v>
      </c>
    </row>
    <row r="114" spans="1:27" ht="20.25" customHeight="1" x14ac:dyDescent="0.6"/>
    <row r="115" spans="1:27" ht="20.25" customHeight="1" x14ac:dyDescent="0.6">
      <c r="AA115" s="1401"/>
    </row>
    <row r="121" spans="1:27" x14ac:dyDescent="0.6">
      <c r="A121" s="1280"/>
      <c r="N121" s="1288"/>
      <c r="O121" s="1290"/>
      <c r="Z121" s="1280"/>
    </row>
    <row r="122" spans="1:27" x14ac:dyDescent="0.6">
      <c r="A122" s="1280"/>
      <c r="N122" s="1288"/>
      <c r="O122" s="1290"/>
      <c r="Z122" s="1280"/>
    </row>
    <row r="123" spans="1:27" x14ac:dyDescent="0.6">
      <c r="A123" s="1280"/>
      <c r="N123" s="1288"/>
      <c r="O123" s="1290"/>
      <c r="Z123" s="1280"/>
    </row>
    <row r="124" spans="1:27" x14ac:dyDescent="0.6">
      <c r="A124" s="1280"/>
      <c r="N124" s="1288"/>
      <c r="O124" s="1290"/>
      <c r="Z124" s="1280"/>
    </row>
    <row r="125" spans="1:27" x14ac:dyDescent="0.6">
      <c r="A125" s="1280"/>
      <c r="N125" s="1288"/>
      <c r="O125" s="1290"/>
      <c r="Z125" s="1280"/>
    </row>
    <row r="126" spans="1:27" x14ac:dyDescent="0.6">
      <c r="A126" s="1280"/>
      <c r="N126" s="1288"/>
      <c r="O126" s="1290"/>
      <c r="Z126" s="1280"/>
    </row>
    <row r="127" spans="1:27" x14ac:dyDescent="0.6">
      <c r="A127" s="1280"/>
      <c r="N127" s="1288"/>
      <c r="O127" s="1290"/>
      <c r="Z127" s="1280"/>
    </row>
    <row r="128" spans="1:27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  <row r="707" spans="1:26" x14ac:dyDescent="0.6">
      <c r="A707" s="1280"/>
      <c r="N707" s="1288"/>
      <c r="O707" s="1290"/>
      <c r="Z707" s="1280"/>
    </row>
    <row r="708" spans="1:26" x14ac:dyDescent="0.6">
      <c r="A708" s="1280"/>
      <c r="N708" s="1288"/>
      <c r="O708" s="1290"/>
      <c r="Z708" s="1280"/>
    </row>
    <row r="709" spans="1:26" x14ac:dyDescent="0.6">
      <c r="A709" s="1280"/>
      <c r="N709" s="1288"/>
      <c r="O709" s="1290"/>
      <c r="Z709" s="1280"/>
    </row>
    <row r="710" spans="1:26" x14ac:dyDescent="0.6">
      <c r="A710" s="1280"/>
      <c r="N710" s="1288"/>
      <c r="O710" s="1290"/>
      <c r="Z710" s="1280"/>
    </row>
    <row r="711" spans="1:26" x14ac:dyDescent="0.6">
      <c r="A711" s="1280"/>
      <c r="N711" s="1288"/>
      <c r="O711" s="1290"/>
      <c r="Z711" s="1280"/>
    </row>
    <row r="712" spans="1:26" x14ac:dyDescent="0.6">
      <c r="A712" s="1280"/>
      <c r="N712" s="1288"/>
      <c r="O712" s="1290"/>
      <c r="Z712" s="1280"/>
    </row>
    <row r="713" spans="1:26" x14ac:dyDescent="0.6">
      <c r="A713" s="1280"/>
      <c r="N713" s="1288"/>
      <c r="O713" s="1290"/>
      <c r="Z713" s="1280"/>
    </row>
    <row r="714" spans="1:26" x14ac:dyDescent="0.6">
      <c r="A714" s="1280"/>
      <c r="N714" s="1288"/>
      <c r="O714" s="1290"/>
      <c r="Z714" s="1280"/>
    </row>
    <row r="715" spans="1:26" x14ac:dyDescent="0.6">
      <c r="A715" s="1280"/>
      <c r="N715" s="1288"/>
      <c r="O715" s="1290"/>
      <c r="Z715" s="1280"/>
    </row>
    <row r="716" spans="1:26" x14ac:dyDescent="0.6">
      <c r="A716" s="1280"/>
      <c r="N716" s="1288"/>
      <c r="O716" s="1290"/>
      <c r="Z716" s="1280"/>
    </row>
    <row r="717" spans="1:26" x14ac:dyDescent="0.6">
      <c r="A717" s="1280"/>
      <c r="N717" s="1288"/>
      <c r="O717" s="1290"/>
      <c r="Z717" s="1280"/>
    </row>
    <row r="718" spans="1:26" x14ac:dyDescent="0.6">
      <c r="A718" s="1280"/>
      <c r="N718" s="1288"/>
      <c r="O718" s="1290"/>
      <c r="Z718" s="1280"/>
    </row>
    <row r="719" spans="1:26" x14ac:dyDescent="0.6">
      <c r="A719" s="1280"/>
      <c r="N719" s="1288"/>
      <c r="O719" s="1290"/>
      <c r="Z719" s="1280"/>
    </row>
    <row r="720" spans="1:26" x14ac:dyDescent="0.6">
      <c r="A720" s="1280"/>
      <c r="N720" s="1288"/>
      <c r="O720" s="1290"/>
      <c r="Z720" s="1280"/>
    </row>
    <row r="721" spans="1:26" x14ac:dyDescent="0.6">
      <c r="A721" s="1280"/>
      <c r="N721" s="1288"/>
      <c r="O721" s="1290"/>
      <c r="Z721" s="1280"/>
    </row>
    <row r="722" spans="1:26" x14ac:dyDescent="0.6">
      <c r="A722" s="1280"/>
      <c r="N722" s="1288"/>
      <c r="O722" s="1290"/>
      <c r="Z722" s="1280"/>
    </row>
    <row r="723" spans="1:26" x14ac:dyDescent="0.6">
      <c r="A723" s="1280"/>
      <c r="N723" s="1288"/>
      <c r="O723" s="1290"/>
      <c r="Z723" s="1280"/>
    </row>
    <row r="724" spans="1:26" x14ac:dyDescent="0.6">
      <c r="A724" s="1280"/>
      <c r="N724" s="1288"/>
      <c r="O724" s="1290"/>
      <c r="Z724" s="1280"/>
    </row>
    <row r="725" spans="1:26" x14ac:dyDescent="0.6">
      <c r="A725" s="1280"/>
      <c r="N725" s="1288"/>
      <c r="O725" s="1290"/>
      <c r="Z725" s="1280"/>
    </row>
    <row r="726" spans="1:26" x14ac:dyDescent="0.6">
      <c r="A726" s="1280"/>
      <c r="N726" s="1288"/>
      <c r="O726" s="1290"/>
      <c r="Z726" s="1280"/>
    </row>
    <row r="727" spans="1:26" x14ac:dyDescent="0.6">
      <c r="A727" s="1280"/>
      <c r="N727" s="1288"/>
      <c r="O727" s="1290"/>
      <c r="Z727" s="1280"/>
    </row>
    <row r="728" spans="1:26" x14ac:dyDescent="0.6">
      <c r="A728" s="1280"/>
      <c r="N728" s="1288"/>
      <c r="O728" s="1290"/>
      <c r="Z728" s="1280"/>
    </row>
    <row r="729" spans="1:26" x14ac:dyDescent="0.6">
      <c r="A729" s="1280"/>
      <c r="N729" s="1288"/>
      <c r="O729" s="1290"/>
      <c r="Z729" s="1280"/>
    </row>
    <row r="730" spans="1:26" x14ac:dyDescent="0.6">
      <c r="A730" s="1280"/>
      <c r="N730" s="1288"/>
      <c r="O730" s="1290"/>
      <c r="Z730" s="1280"/>
    </row>
    <row r="731" spans="1:26" x14ac:dyDescent="0.6">
      <c r="A731" s="1280"/>
      <c r="N731" s="1288"/>
      <c r="O731" s="1290"/>
      <c r="Z731" s="1280"/>
    </row>
    <row r="732" spans="1:26" x14ac:dyDescent="0.6">
      <c r="A732" s="1280"/>
      <c r="N732" s="1288"/>
      <c r="O732" s="1290"/>
      <c r="Z732" s="1280"/>
    </row>
    <row r="733" spans="1:26" x14ac:dyDescent="0.6">
      <c r="A733" s="1280"/>
      <c r="N733" s="1288"/>
      <c r="O733" s="1290"/>
      <c r="Z733" s="1280"/>
    </row>
    <row r="734" spans="1:26" x14ac:dyDescent="0.6">
      <c r="A734" s="1280"/>
      <c r="N734" s="1288"/>
      <c r="O734" s="1290"/>
      <c r="Z734" s="1280"/>
    </row>
    <row r="735" spans="1:26" x14ac:dyDescent="0.6">
      <c r="A735" s="1280"/>
      <c r="N735" s="1288"/>
      <c r="O735" s="1290"/>
      <c r="Z735" s="1280"/>
    </row>
    <row r="736" spans="1:26" x14ac:dyDescent="0.6">
      <c r="A736" s="1280"/>
      <c r="N736" s="1288"/>
      <c r="O736" s="1290"/>
      <c r="Z736" s="1280"/>
    </row>
    <row r="737" spans="1:26" x14ac:dyDescent="0.6">
      <c r="A737" s="1280"/>
      <c r="N737" s="1288"/>
      <c r="O737" s="1290"/>
      <c r="Z737" s="1280"/>
    </row>
    <row r="738" spans="1:26" x14ac:dyDescent="0.6">
      <c r="A738" s="1280"/>
      <c r="N738" s="1288"/>
      <c r="O738" s="1290"/>
      <c r="Z738" s="1280"/>
    </row>
    <row r="739" spans="1:26" x14ac:dyDescent="0.6">
      <c r="A739" s="1280"/>
      <c r="N739" s="1288"/>
      <c r="O739" s="1290"/>
      <c r="Z739" s="1280"/>
    </row>
    <row r="740" spans="1:26" x14ac:dyDescent="0.6">
      <c r="A740" s="1280"/>
      <c r="N740" s="1288"/>
      <c r="O740" s="1290"/>
      <c r="Z740" s="1280"/>
    </row>
    <row r="741" spans="1:26" x14ac:dyDescent="0.6">
      <c r="A741" s="1280"/>
      <c r="N741" s="1288"/>
      <c r="O741" s="1290"/>
      <c r="Z741" s="1280"/>
    </row>
    <row r="742" spans="1:26" x14ac:dyDescent="0.6">
      <c r="A742" s="1280"/>
      <c r="N742" s="1288"/>
      <c r="O742" s="1290"/>
      <c r="Z742" s="1280"/>
    </row>
    <row r="743" spans="1:26" x14ac:dyDescent="0.6">
      <c r="A743" s="1280"/>
      <c r="N743" s="1288"/>
      <c r="O743" s="1290"/>
      <c r="Z743" s="1280"/>
    </row>
    <row r="744" spans="1:26" x14ac:dyDescent="0.6">
      <c r="A744" s="1280"/>
      <c r="N744" s="1288"/>
      <c r="O744" s="1290"/>
      <c r="Z744" s="1280"/>
    </row>
    <row r="745" spans="1:26" x14ac:dyDescent="0.6">
      <c r="A745" s="1280"/>
      <c r="N745" s="1288"/>
      <c r="O745" s="1290"/>
      <c r="Z745" s="1280"/>
    </row>
    <row r="746" spans="1:26" x14ac:dyDescent="0.6">
      <c r="A746" s="1280"/>
      <c r="N746" s="1288"/>
      <c r="O746" s="1290"/>
      <c r="Z746" s="1280"/>
    </row>
    <row r="747" spans="1:26" x14ac:dyDescent="0.6">
      <c r="A747" s="1280"/>
      <c r="N747" s="1288"/>
      <c r="O747" s="1290"/>
      <c r="Z747" s="1280"/>
    </row>
    <row r="748" spans="1:26" x14ac:dyDescent="0.6">
      <c r="A748" s="1280"/>
      <c r="N748" s="1288"/>
      <c r="O748" s="1290"/>
      <c r="Z748" s="1280"/>
    </row>
    <row r="749" spans="1:26" x14ac:dyDescent="0.6">
      <c r="A749" s="1280"/>
      <c r="N749" s="1288"/>
      <c r="O749" s="1290"/>
      <c r="Z749" s="1280"/>
    </row>
    <row r="750" spans="1:26" x14ac:dyDescent="0.6">
      <c r="A750" s="1280"/>
      <c r="N750" s="1288"/>
      <c r="O750" s="1290"/>
      <c r="Z750" s="1280"/>
    </row>
    <row r="751" spans="1:26" x14ac:dyDescent="0.6">
      <c r="A751" s="1280"/>
      <c r="N751" s="1288"/>
      <c r="O751" s="1290"/>
      <c r="Z751" s="1280"/>
    </row>
    <row r="752" spans="1:26" x14ac:dyDescent="0.6">
      <c r="A752" s="1280"/>
      <c r="N752" s="1288"/>
      <c r="O752" s="1290"/>
      <c r="Z752" s="1280"/>
    </row>
    <row r="753" spans="1:26" x14ac:dyDescent="0.6">
      <c r="A753" s="1280"/>
      <c r="N753" s="1288"/>
      <c r="O753" s="1290"/>
      <c r="Z753" s="1280"/>
    </row>
    <row r="754" spans="1:26" x14ac:dyDescent="0.6">
      <c r="A754" s="1280"/>
      <c r="N754" s="1288"/>
      <c r="O754" s="1290"/>
      <c r="Z754" s="1280"/>
    </row>
    <row r="755" spans="1:26" x14ac:dyDescent="0.6">
      <c r="A755" s="1280"/>
      <c r="N755" s="1288"/>
      <c r="O755" s="1290"/>
      <c r="Z755" s="1280"/>
    </row>
    <row r="756" spans="1:26" x14ac:dyDescent="0.6">
      <c r="A756" s="1280"/>
      <c r="N756" s="1288"/>
      <c r="O756" s="1290"/>
      <c r="Z756" s="1280"/>
    </row>
    <row r="757" spans="1:26" x14ac:dyDescent="0.6">
      <c r="A757" s="1280"/>
      <c r="N757" s="1288"/>
      <c r="O757" s="1290"/>
      <c r="Z757" s="1280"/>
    </row>
    <row r="758" spans="1:26" x14ac:dyDescent="0.6">
      <c r="A758" s="1280"/>
      <c r="N758" s="1288"/>
      <c r="O758" s="1290"/>
      <c r="Z758" s="1280"/>
    </row>
    <row r="759" spans="1:26" x14ac:dyDescent="0.6">
      <c r="A759" s="1280"/>
      <c r="N759" s="1288"/>
      <c r="O759" s="1290"/>
      <c r="Z759" s="1280"/>
    </row>
    <row r="760" spans="1:26" x14ac:dyDescent="0.6">
      <c r="A760" s="1280"/>
      <c r="N760" s="1288"/>
      <c r="O760" s="1290"/>
      <c r="Z760" s="1280"/>
    </row>
    <row r="761" spans="1:26" x14ac:dyDescent="0.6">
      <c r="A761" s="1280"/>
      <c r="N761" s="1288"/>
      <c r="O761" s="1290"/>
      <c r="Z761" s="1280"/>
    </row>
    <row r="762" spans="1:26" x14ac:dyDescent="0.6">
      <c r="A762" s="1280"/>
      <c r="N762" s="1288"/>
      <c r="O762" s="1290"/>
      <c r="Z762" s="1280"/>
    </row>
    <row r="763" spans="1:26" x14ac:dyDescent="0.6">
      <c r="A763" s="1280"/>
      <c r="N763" s="1288"/>
      <c r="O763" s="1290"/>
      <c r="Z763" s="1280"/>
    </row>
    <row r="764" spans="1:26" x14ac:dyDescent="0.6">
      <c r="A764" s="1280"/>
      <c r="N764" s="1288"/>
      <c r="O764" s="1290"/>
      <c r="Z764" s="1280"/>
    </row>
    <row r="765" spans="1:26" x14ac:dyDescent="0.6">
      <c r="A765" s="1280"/>
      <c r="N765" s="1288"/>
      <c r="O765" s="1290"/>
      <c r="Z765" s="1280"/>
    </row>
    <row r="766" spans="1:26" x14ac:dyDescent="0.6">
      <c r="A766" s="1280"/>
      <c r="N766" s="1288"/>
      <c r="O766" s="1290"/>
      <c r="Z766" s="1280"/>
    </row>
    <row r="767" spans="1:26" x14ac:dyDescent="0.6">
      <c r="A767" s="1280"/>
      <c r="N767" s="1288"/>
      <c r="O767" s="1290"/>
      <c r="Z767" s="1280"/>
    </row>
    <row r="768" spans="1:26" x14ac:dyDescent="0.6">
      <c r="A768" s="1280"/>
      <c r="N768" s="1288"/>
      <c r="O768" s="1290"/>
      <c r="Z768" s="1280"/>
    </row>
    <row r="769" spans="1:26" x14ac:dyDescent="0.6">
      <c r="A769" s="1280"/>
      <c r="N769" s="1288"/>
      <c r="O769" s="1290"/>
      <c r="Z769" s="1280"/>
    </row>
    <row r="770" spans="1:26" x14ac:dyDescent="0.6">
      <c r="A770" s="1280"/>
      <c r="N770" s="1288"/>
      <c r="O770" s="1290"/>
      <c r="Z770" s="1280"/>
    </row>
    <row r="771" spans="1:26" x14ac:dyDescent="0.6">
      <c r="A771" s="1280"/>
      <c r="N771" s="1288"/>
      <c r="O771" s="1290"/>
      <c r="Z771" s="1280"/>
    </row>
    <row r="772" spans="1:26" x14ac:dyDescent="0.6">
      <c r="A772" s="1280"/>
      <c r="N772" s="1288"/>
      <c r="O772" s="1290"/>
      <c r="Z772" s="1280"/>
    </row>
    <row r="773" spans="1:26" x14ac:dyDescent="0.6">
      <c r="A773" s="1280"/>
      <c r="N773" s="1288"/>
      <c r="O773" s="1290"/>
      <c r="Z773" s="1280"/>
    </row>
    <row r="774" spans="1:26" x14ac:dyDescent="0.6">
      <c r="A774" s="1280"/>
      <c r="N774" s="1288"/>
      <c r="O774" s="1290"/>
      <c r="Z774" s="1280"/>
    </row>
    <row r="775" spans="1:26" x14ac:dyDescent="0.6">
      <c r="A775" s="1280"/>
      <c r="N775" s="1288"/>
      <c r="O775" s="1290"/>
      <c r="Z775" s="1280"/>
    </row>
    <row r="776" spans="1:26" x14ac:dyDescent="0.6">
      <c r="A776" s="1280"/>
      <c r="N776" s="1288"/>
      <c r="O776" s="1290"/>
      <c r="Z776" s="1280"/>
    </row>
    <row r="777" spans="1:26" x14ac:dyDescent="0.6">
      <c r="A777" s="1280"/>
      <c r="N777" s="1288"/>
      <c r="O777" s="1290"/>
      <c r="Z777" s="1280"/>
    </row>
    <row r="778" spans="1:26" x14ac:dyDescent="0.6">
      <c r="A778" s="1280"/>
      <c r="N778" s="1288"/>
      <c r="O778" s="1290"/>
      <c r="Z778" s="1280"/>
    </row>
    <row r="779" spans="1:26" x14ac:dyDescent="0.6">
      <c r="A779" s="1280"/>
      <c r="N779" s="1288"/>
      <c r="O779" s="1290"/>
      <c r="Z779" s="1280"/>
    </row>
    <row r="780" spans="1:26" x14ac:dyDescent="0.6">
      <c r="A780" s="1280"/>
      <c r="N780" s="1288"/>
      <c r="O780" s="1290"/>
      <c r="Z780" s="1280"/>
    </row>
    <row r="781" spans="1:26" x14ac:dyDescent="0.6">
      <c r="A781" s="1280"/>
      <c r="N781" s="1288"/>
      <c r="O781" s="1290"/>
      <c r="Z781" s="1280"/>
    </row>
    <row r="782" spans="1:26" x14ac:dyDescent="0.6">
      <c r="A782" s="1280"/>
      <c r="N782" s="1288"/>
      <c r="O782" s="1290"/>
      <c r="Z782" s="1280"/>
    </row>
    <row r="783" spans="1:26" x14ac:dyDescent="0.6">
      <c r="A783" s="1280"/>
      <c r="N783" s="1288"/>
      <c r="O783" s="1290"/>
      <c r="Z783" s="1280"/>
    </row>
    <row r="784" spans="1:26" x14ac:dyDescent="0.6">
      <c r="A784" s="1280"/>
      <c r="N784" s="1288"/>
      <c r="O784" s="1290"/>
      <c r="Z784" s="1280"/>
    </row>
    <row r="785" spans="1:26" x14ac:dyDescent="0.6">
      <c r="A785" s="1280"/>
      <c r="N785" s="1288"/>
      <c r="O785" s="1290"/>
      <c r="Z785" s="1280"/>
    </row>
    <row r="786" spans="1:26" x14ac:dyDescent="0.6">
      <c r="A786" s="1280"/>
      <c r="N786" s="1288"/>
      <c r="O786" s="1290"/>
      <c r="Z786" s="1280"/>
    </row>
    <row r="787" spans="1:26" x14ac:dyDescent="0.6">
      <c r="A787" s="1280"/>
      <c r="N787" s="1288"/>
      <c r="O787" s="1290"/>
      <c r="Z787" s="1280"/>
    </row>
    <row r="788" spans="1:26" x14ac:dyDescent="0.6">
      <c r="A788" s="1280"/>
      <c r="N788" s="1288"/>
      <c r="O788" s="1290"/>
      <c r="Z788" s="1280"/>
    </row>
    <row r="789" spans="1:26" x14ac:dyDescent="0.6">
      <c r="A789" s="1280"/>
      <c r="N789" s="1288"/>
      <c r="O789" s="1290"/>
      <c r="Z789" s="1280"/>
    </row>
    <row r="790" spans="1:26" x14ac:dyDescent="0.6">
      <c r="A790" s="1280"/>
      <c r="N790" s="1288"/>
      <c r="O790" s="1290"/>
      <c r="Z790" s="1280"/>
    </row>
    <row r="791" spans="1:26" x14ac:dyDescent="0.6">
      <c r="A791" s="1280"/>
      <c r="N791" s="1288"/>
      <c r="O791" s="1290"/>
      <c r="Z791" s="1280"/>
    </row>
    <row r="792" spans="1:26" x14ac:dyDescent="0.6">
      <c r="A792" s="1280"/>
      <c r="N792" s="1288"/>
      <c r="O792" s="1290"/>
      <c r="Z792" s="1280"/>
    </row>
    <row r="793" spans="1:26" x14ac:dyDescent="0.6">
      <c r="A793" s="1280"/>
      <c r="N793" s="1288"/>
      <c r="O793" s="1290"/>
      <c r="Z793" s="1280"/>
    </row>
    <row r="794" spans="1:26" x14ac:dyDescent="0.6">
      <c r="A794" s="1280"/>
      <c r="N794" s="1288"/>
      <c r="O794" s="1290"/>
      <c r="Z794" s="1280"/>
    </row>
    <row r="795" spans="1:26" x14ac:dyDescent="0.6">
      <c r="A795" s="1280"/>
      <c r="N795" s="1288"/>
      <c r="O795" s="1290"/>
      <c r="Z795" s="1280"/>
    </row>
    <row r="796" spans="1:26" x14ac:dyDescent="0.6">
      <c r="A796" s="1280"/>
      <c r="N796" s="1288"/>
      <c r="O796" s="1290"/>
      <c r="Z796" s="1280"/>
    </row>
    <row r="797" spans="1:26" x14ac:dyDescent="0.6">
      <c r="A797" s="1280"/>
      <c r="N797" s="1288"/>
      <c r="O797" s="1290"/>
      <c r="Z797" s="1280"/>
    </row>
    <row r="798" spans="1:26" x14ac:dyDescent="0.6">
      <c r="A798" s="1280"/>
      <c r="N798" s="1288"/>
      <c r="O798" s="1290"/>
      <c r="Z798" s="1280"/>
    </row>
    <row r="799" spans="1:26" x14ac:dyDescent="0.6">
      <c r="A799" s="1280"/>
      <c r="N799" s="1288"/>
      <c r="O799" s="1290"/>
      <c r="Z799" s="1280"/>
    </row>
  </sheetData>
  <protectedRanges>
    <protectedRange password="CC6F" sqref="B87:B90" name="ช่วง1_5_1_5_1_1_1"/>
    <protectedRange password="CC6F" sqref="B85:B86" name="ช่วง1_5_1_5_1_1_2_2_1"/>
    <protectedRange password="CC6F" sqref="B8:B9 B11:B14 B20:B23 B43:B44 B65:B71 B40:B41 B28:B31 B78:B82 B35:B37 B53:B54 B57:B60 B62 B47:B51 B25 B16:B18 B33 B74:B76" name="ช่วง1_5_1_5_1_1_1_1_2_1"/>
    <protectedRange password="CC6F" sqref="B15 B72:B73 B19 B42 B24 B46 B61 B52 B77 B32 B27 B83:B84 B38:B39 B64 B55:B56" name="ช่วง1_5_1_5_1_1_4_1_2_1"/>
    <protectedRange password="CC6F" sqref="B10 B34 B45 B63 B26" name="ช่วง1_5_1_5_1_1_5_3_1"/>
    <protectedRange password="CC6F" sqref="B103" name="ช่วง1_5_1_5_1_1_3"/>
    <protectedRange password="CC6F" sqref="B91:B97" name="ช่วง1_5_1_5_1_1_1_2_1_2"/>
    <protectedRange password="CC6F" sqref="B104" name="ช่วง1_5_1_5_1_1_1_1"/>
  </protectedRanges>
  <mergeCells count="18">
    <mergeCell ref="X6:X7"/>
    <mergeCell ref="A105:C105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19685039370078741" right="0.19685039370078741" top="1.1417322834645669" bottom="0.98425196850393704" header="0.31496062992125984" footer="0.31496062992125984"/>
  <pageSetup paperSize="9" scale="59" firstPageNumber="3" fitToHeight="0" orientation="landscape" useFirstPageNumber="1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CD98-0D20-4275-80AB-80470A7B4E85}">
  <sheetPr>
    <pageSetUpPr fitToPage="1"/>
  </sheetPr>
  <dimension ref="A1:AE742"/>
  <sheetViews>
    <sheetView zoomScaleNormal="100" zoomScaleSheetLayoutView="100" workbookViewId="0">
      <pane ySplit="7" topLeftCell="A44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69921875" style="1399" customWidth="1"/>
    <col min="2" max="2" width="24.5" style="1461" customWidth="1"/>
    <col min="3" max="3" width="4.5" style="1280" bestFit="1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6" customWidth="1"/>
    <col min="15" max="15" width="11.09765625" style="1460" customWidth="1"/>
    <col min="16" max="16" width="11.09765625" style="1399" hidden="1" customWidth="1"/>
    <col min="17" max="17" width="11.09765625" style="1399" customWidth="1"/>
    <col min="18" max="18" width="6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1" x14ac:dyDescent="0.6">
      <c r="A1" s="1297" t="s">
        <v>7920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1" ht="18.75" customHeight="1" x14ac:dyDescent="0.6">
      <c r="A4" s="1408" t="s">
        <v>2185</v>
      </c>
      <c r="B4" s="1408" t="s">
        <v>7921</v>
      </c>
      <c r="C4" s="1301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412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31" x14ac:dyDescent="0.6">
      <c r="A5" s="1417"/>
      <c r="B5" s="1417"/>
      <c r="C5" s="1315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31" ht="18.75" customHeight="1" x14ac:dyDescent="0.6">
      <c r="A6" s="1417"/>
      <c r="B6" s="1417"/>
      <c r="C6" s="1315" t="s">
        <v>7786</v>
      </c>
      <c r="D6" s="1423" t="s">
        <v>7787</v>
      </c>
      <c r="E6" s="1412" t="s">
        <v>7788</v>
      </c>
      <c r="F6" s="1423" t="s">
        <v>7789</v>
      </c>
      <c r="G6" s="1412" t="s">
        <v>7790</v>
      </c>
      <c r="H6" s="1423" t="s">
        <v>7791</v>
      </c>
      <c r="I6" s="1412" t="s">
        <v>7792</v>
      </c>
      <c r="J6" s="1418" t="s">
        <v>1150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31" x14ac:dyDescent="0.6">
      <c r="A7" s="1425"/>
      <c r="B7" s="1425"/>
      <c r="C7" s="1330" t="s">
        <v>7796</v>
      </c>
      <c r="D7" s="1426"/>
      <c r="E7" s="1427"/>
      <c r="F7" s="1426"/>
      <c r="G7" s="1427"/>
      <c r="H7" s="1426"/>
      <c r="I7" s="1427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31" s="1246" customFormat="1" ht="18.75" customHeight="1" x14ac:dyDescent="0.25">
      <c r="A8" s="1432">
        <v>1</v>
      </c>
      <c r="B8" s="1433" t="s">
        <v>7922</v>
      </c>
      <c r="C8" s="1434" t="s">
        <v>7798</v>
      </c>
      <c r="D8" s="1435">
        <v>3</v>
      </c>
      <c r="E8" s="1436">
        <v>750</v>
      </c>
      <c r="F8" s="1435">
        <v>8</v>
      </c>
      <c r="G8" s="1437">
        <v>2000</v>
      </c>
      <c r="H8" s="1438">
        <v>6</v>
      </c>
      <c r="I8" s="1439">
        <v>3500</v>
      </c>
      <c r="J8" s="1440">
        <v>10</v>
      </c>
      <c r="K8" s="1441">
        <v>1</v>
      </c>
      <c r="L8" s="1442">
        <v>250</v>
      </c>
      <c r="M8" s="1443">
        <f>J8-K8</f>
        <v>9</v>
      </c>
      <c r="N8" s="1439">
        <v>350</v>
      </c>
      <c r="O8" s="1444">
        <f>M8*N8</f>
        <v>3150</v>
      </c>
      <c r="P8" s="1445">
        <v>0</v>
      </c>
      <c r="Q8" s="1445">
        <v>0</v>
      </c>
      <c r="R8" s="1443">
        <f>M8</f>
        <v>9</v>
      </c>
      <c r="S8" s="1445">
        <f>R8*N8</f>
        <v>3150</v>
      </c>
      <c r="T8" s="1445">
        <v>0</v>
      </c>
      <c r="U8" s="1445">
        <v>0</v>
      </c>
      <c r="V8" s="1445">
        <v>0</v>
      </c>
      <c r="W8" s="1445">
        <v>0</v>
      </c>
      <c r="X8" s="1446">
        <f>M8</f>
        <v>9</v>
      </c>
      <c r="Y8" s="1447">
        <f>X8*N8</f>
        <v>3150</v>
      </c>
      <c r="Z8" s="1448" t="s">
        <v>7799</v>
      </c>
      <c r="AA8" s="1434" t="s">
        <v>7923</v>
      </c>
      <c r="AB8" s="1246" t="e">
        <f>IF(#REF!=#REF!,"yes")</f>
        <v>#REF!</v>
      </c>
      <c r="AC8" s="1246" t="str">
        <f t="shared" ref="AC8:AC49" si="0">IF(O8=Y8,"ok")</f>
        <v>ok</v>
      </c>
    </row>
    <row r="9" spans="1:31" s="1246" customFormat="1" ht="18.75" customHeight="1" x14ac:dyDescent="0.25">
      <c r="A9" s="1432">
        <v>2</v>
      </c>
      <c r="B9" s="1433" t="s">
        <v>7924</v>
      </c>
      <c r="C9" s="1434" t="s">
        <v>7798</v>
      </c>
      <c r="D9" s="1449">
        <v>12</v>
      </c>
      <c r="E9" s="1436">
        <v>2160</v>
      </c>
      <c r="F9" s="1437">
        <v>9</v>
      </c>
      <c r="G9" s="1437">
        <v>1620</v>
      </c>
      <c r="H9" s="1438">
        <v>4</v>
      </c>
      <c r="I9" s="1439">
        <v>1000</v>
      </c>
      <c r="J9" s="1440">
        <v>10</v>
      </c>
      <c r="K9" s="1441">
        <v>1</v>
      </c>
      <c r="L9" s="1442">
        <v>180</v>
      </c>
      <c r="M9" s="1443">
        <f t="shared" ref="M9:M45" si="1">J9-K9</f>
        <v>9</v>
      </c>
      <c r="N9" s="1439">
        <v>250</v>
      </c>
      <c r="O9" s="1444">
        <f t="shared" ref="O9:O48" si="2">M9*N9</f>
        <v>2250</v>
      </c>
      <c r="P9" s="1445">
        <v>0</v>
      </c>
      <c r="Q9" s="1445">
        <v>0</v>
      </c>
      <c r="R9" s="1443">
        <f t="shared" ref="R9:R12" si="3">M9</f>
        <v>9</v>
      </c>
      <c r="S9" s="1445">
        <f t="shared" ref="S9:S48" si="4">R9*N9</f>
        <v>2250</v>
      </c>
      <c r="T9" s="1445">
        <v>0</v>
      </c>
      <c r="U9" s="1445">
        <v>0</v>
      </c>
      <c r="V9" s="1445">
        <v>0</v>
      </c>
      <c r="W9" s="1445">
        <v>0</v>
      </c>
      <c r="X9" s="1446">
        <f t="shared" ref="X9:X46" si="5">M9</f>
        <v>9</v>
      </c>
      <c r="Y9" s="1447">
        <f t="shared" ref="Y9:Y48" si="6">X9*N9</f>
        <v>2250</v>
      </c>
      <c r="Z9" s="1448" t="s">
        <v>7799</v>
      </c>
      <c r="AA9" s="1434" t="s">
        <v>7923</v>
      </c>
      <c r="AB9" s="1246" t="e">
        <f>IF(#REF!=#REF!,"yes")</f>
        <v>#REF!</v>
      </c>
      <c r="AC9" s="1246" t="str">
        <f t="shared" si="0"/>
        <v>ok</v>
      </c>
    </row>
    <row r="10" spans="1:31" s="1246" customFormat="1" ht="18.75" customHeight="1" x14ac:dyDescent="0.25">
      <c r="A10" s="1432">
        <v>3</v>
      </c>
      <c r="B10" s="1433" t="s">
        <v>7925</v>
      </c>
      <c r="C10" s="1434" t="s">
        <v>7823</v>
      </c>
      <c r="D10" s="1449">
        <v>0</v>
      </c>
      <c r="E10" s="1436">
        <v>0</v>
      </c>
      <c r="F10" s="1436">
        <v>0</v>
      </c>
      <c r="G10" s="1436">
        <v>0</v>
      </c>
      <c r="H10" s="1438">
        <v>5</v>
      </c>
      <c r="I10" s="1439">
        <v>280</v>
      </c>
      <c r="J10" s="1440">
        <v>10</v>
      </c>
      <c r="K10" s="1441">
        <v>3</v>
      </c>
      <c r="L10" s="1442">
        <v>420</v>
      </c>
      <c r="M10" s="1443">
        <f t="shared" si="1"/>
        <v>7</v>
      </c>
      <c r="N10" s="1439">
        <v>140</v>
      </c>
      <c r="O10" s="1444">
        <f t="shared" si="2"/>
        <v>980</v>
      </c>
      <c r="P10" s="1445">
        <v>0</v>
      </c>
      <c r="Q10" s="1445">
        <v>0</v>
      </c>
      <c r="R10" s="1443">
        <f t="shared" si="3"/>
        <v>7</v>
      </c>
      <c r="S10" s="1445">
        <f t="shared" si="4"/>
        <v>980</v>
      </c>
      <c r="T10" s="1445">
        <v>0</v>
      </c>
      <c r="U10" s="1445">
        <v>0</v>
      </c>
      <c r="V10" s="1445">
        <v>0</v>
      </c>
      <c r="W10" s="1445">
        <v>0</v>
      </c>
      <c r="X10" s="1446">
        <f t="shared" si="5"/>
        <v>7</v>
      </c>
      <c r="Y10" s="1447">
        <f t="shared" si="6"/>
        <v>980</v>
      </c>
      <c r="Z10" s="1448" t="s">
        <v>7799</v>
      </c>
      <c r="AA10" s="1434" t="s">
        <v>7923</v>
      </c>
      <c r="AC10" s="1246" t="str">
        <f t="shared" si="0"/>
        <v>ok</v>
      </c>
    </row>
    <row r="11" spans="1:31" s="1359" customFormat="1" ht="18.75" customHeight="1" x14ac:dyDescent="0.25">
      <c r="A11" s="1432">
        <v>4</v>
      </c>
      <c r="B11" s="1450" t="s">
        <v>7926</v>
      </c>
      <c r="C11" s="1451" t="s">
        <v>7823</v>
      </c>
      <c r="D11" s="1449">
        <v>28</v>
      </c>
      <c r="E11" s="1436">
        <v>9240</v>
      </c>
      <c r="F11" s="1437">
        <v>32</v>
      </c>
      <c r="G11" s="1437">
        <v>10560</v>
      </c>
      <c r="H11" s="1438">
        <v>24</v>
      </c>
      <c r="I11" s="1439">
        <v>7920</v>
      </c>
      <c r="J11" s="1440">
        <v>30</v>
      </c>
      <c r="K11" s="1441">
        <v>10</v>
      </c>
      <c r="L11" s="1442">
        <v>3300</v>
      </c>
      <c r="M11" s="1443">
        <f t="shared" si="1"/>
        <v>20</v>
      </c>
      <c r="N11" s="1439">
        <v>490</v>
      </c>
      <c r="O11" s="1444">
        <f t="shared" si="2"/>
        <v>9800</v>
      </c>
      <c r="P11" s="1445">
        <v>10</v>
      </c>
      <c r="Q11" s="1445">
        <f>N11</f>
        <v>490</v>
      </c>
      <c r="R11" s="1443"/>
      <c r="S11" s="1445"/>
      <c r="T11" s="1445">
        <v>0</v>
      </c>
      <c r="U11" s="1445">
        <v>0</v>
      </c>
      <c r="V11" s="1445">
        <v>10</v>
      </c>
      <c r="W11" s="1445">
        <f>V11*N11</f>
        <v>4900</v>
      </c>
      <c r="X11" s="1446">
        <f t="shared" si="5"/>
        <v>20</v>
      </c>
      <c r="Y11" s="1447">
        <f t="shared" si="6"/>
        <v>9800</v>
      </c>
      <c r="Z11" s="1448" t="s">
        <v>7799</v>
      </c>
      <c r="AA11" s="1434" t="s">
        <v>7923</v>
      </c>
      <c r="AB11" s="1359" t="e">
        <f>IF(#REF!=#REF!,"yes")</f>
        <v>#REF!</v>
      </c>
      <c r="AC11" s="1246" t="str">
        <f t="shared" si="0"/>
        <v>ok</v>
      </c>
      <c r="AE11" s="1364"/>
    </row>
    <row r="12" spans="1:31" ht="18.75" customHeight="1" x14ac:dyDescent="0.6">
      <c r="A12" s="1432">
        <v>5</v>
      </c>
      <c r="B12" s="1211" t="s">
        <v>7927</v>
      </c>
      <c r="C12" s="1360" t="s">
        <v>7798</v>
      </c>
      <c r="D12" s="1437">
        <v>0</v>
      </c>
      <c r="E12" s="1436">
        <v>0</v>
      </c>
      <c r="F12" s="1437">
        <v>3</v>
      </c>
      <c r="G12" s="1437">
        <v>570</v>
      </c>
      <c r="H12" s="1438">
        <v>0</v>
      </c>
      <c r="I12" s="1439">
        <v>0</v>
      </c>
      <c r="J12" s="1440">
        <v>5</v>
      </c>
      <c r="K12" s="1441">
        <v>0</v>
      </c>
      <c r="L12" s="1442">
        <v>0</v>
      </c>
      <c r="M12" s="1443">
        <f t="shared" si="1"/>
        <v>5</v>
      </c>
      <c r="N12" s="1439">
        <v>780</v>
      </c>
      <c r="O12" s="1444">
        <f t="shared" si="2"/>
        <v>3900</v>
      </c>
      <c r="P12" s="1445">
        <v>0</v>
      </c>
      <c r="Q12" s="1445">
        <v>0</v>
      </c>
      <c r="R12" s="1443">
        <f t="shared" si="3"/>
        <v>5</v>
      </c>
      <c r="S12" s="1445">
        <f t="shared" si="4"/>
        <v>3900</v>
      </c>
      <c r="T12" s="1445">
        <v>0</v>
      </c>
      <c r="U12" s="1445">
        <v>0</v>
      </c>
      <c r="V12" s="1445">
        <v>0</v>
      </c>
      <c r="W12" s="1445">
        <v>0</v>
      </c>
      <c r="X12" s="1446">
        <f t="shared" si="5"/>
        <v>5</v>
      </c>
      <c r="Y12" s="1447">
        <f t="shared" si="6"/>
        <v>3900</v>
      </c>
      <c r="Z12" s="1448" t="s">
        <v>7799</v>
      </c>
      <c r="AA12" s="1434" t="s">
        <v>7923</v>
      </c>
      <c r="AC12" s="1246" t="str">
        <f t="shared" si="0"/>
        <v>ok</v>
      </c>
    </row>
    <row r="13" spans="1:31" ht="18.75" customHeight="1" x14ac:dyDescent="0.6">
      <c r="A13" s="1432">
        <v>6</v>
      </c>
      <c r="B13" s="1211" t="s">
        <v>7928</v>
      </c>
      <c r="C13" s="1451" t="s">
        <v>7816</v>
      </c>
      <c r="D13" s="1437">
        <v>0</v>
      </c>
      <c r="E13" s="1436">
        <v>0</v>
      </c>
      <c r="F13" s="1437">
        <v>0</v>
      </c>
      <c r="G13" s="1437">
        <v>0</v>
      </c>
      <c r="H13" s="1438">
        <v>1</v>
      </c>
      <c r="I13" s="1439">
        <v>1750</v>
      </c>
      <c r="J13" s="1440">
        <v>3</v>
      </c>
      <c r="K13" s="1441">
        <v>1</v>
      </c>
      <c r="L13" s="1442">
        <v>0</v>
      </c>
      <c r="M13" s="1443">
        <f t="shared" si="1"/>
        <v>2</v>
      </c>
      <c r="N13" s="1439">
        <v>1750</v>
      </c>
      <c r="O13" s="1444">
        <f t="shared" si="2"/>
        <v>3500</v>
      </c>
      <c r="P13" s="1445"/>
      <c r="Q13" s="1445"/>
      <c r="R13" s="1443">
        <f>M13</f>
        <v>2</v>
      </c>
      <c r="S13" s="1445">
        <f t="shared" si="4"/>
        <v>3500</v>
      </c>
      <c r="T13" s="1445"/>
      <c r="U13" s="1445"/>
      <c r="V13" s="1445"/>
      <c r="W13" s="1445"/>
      <c r="X13" s="1446">
        <f t="shared" si="5"/>
        <v>2</v>
      </c>
      <c r="Y13" s="1447">
        <f t="shared" si="6"/>
        <v>3500</v>
      </c>
      <c r="Z13" s="1448" t="s">
        <v>7799</v>
      </c>
      <c r="AA13" s="1434" t="s">
        <v>7923</v>
      </c>
      <c r="AC13" s="1246" t="str">
        <f t="shared" si="0"/>
        <v>ok</v>
      </c>
    </row>
    <row r="14" spans="1:31" ht="18.75" customHeight="1" x14ac:dyDescent="0.6">
      <c r="A14" s="1432">
        <v>7</v>
      </c>
      <c r="B14" s="1450" t="s">
        <v>7929</v>
      </c>
      <c r="C14" s="1451" t="s">
        <v>7816</v>
      </c>
      <c r="D14" s="1449">
        <v>33</v>
      </c>
      <c r="E14" s="1436">
        <v>26400</v>
      </c>
      <c r="F14" s="1437">
        <v>27</v>
      </c>
      <c r="G14" s="1437">
        <v>21600</v>
      </c>
      <c r="H14" s="1438">
        <v>31</v>
      </c>
      <c r="I14" s="1439">
        <v>24800</v>
      </c>
      <c r="J14" s="1440">
        <v>30</v>
      </c>
      <c r="K14" s="1441">
        <v>5</v>
      </c>
      <c r="L14" s="1442">
        <v>2600</v>
      </c>
      <c r="M14" s="1443">
        <f t="shared" si="1"/>
        <v>25</v>
      </c>
      <c r="N14" s="1439">
        <v>450</v>
      </c>
      <c r="O14" s="1444">
        <f t="shared" si="2"/>
        <v>11250</v>
      </c>
      <c r="P14" s="1445">
        <v>10</v>
      </c>
      <c r="Q14" s="1445">
        <f>P14*N14</f>
        <v>4500</v>
      </c>
      <c r="R14" s="1443"/>
      <c r="S14" s="1445"/>
      <c r="T14" s="1445">
        <v>15</v>
      </c>
      <c r="U14" s="1445">
        <f>T14*N14</f>
        <v>6750</v>
      </c>
      <c r="V14" s="1445">
        <v>0</v>
      </c>
      <c r="W14" s="1445">
        <v>0</v>
      </c>
      <c r="X14" s="1446">
        <f t="shared" si="5"/>
        <v>25</v>
      </c>
      <c r="Y14" s="1447">
        <f t="shared" si="6"/>
        <v>11250</v>
      </c>
      <c r="Z14" s="1448" t="s">
        <v>7799</v>
      </c>
      <c r="AA14" s="1434" t="s">
        <v>7923</v>
      </c>
      <c r="AC14" s="1246" t="str">
        <f t="shared" si="0"/>
        <v>ok</v>
      </c>
    </row>
    <row r="15" spans="1:31" s="1359" customFormat="1" ht="18.75" customHeight="1" x14ac:dyDescent="0.25">
      <c r="A15" s="1432">
        <v>8</v>
      </c>
      <c r="B15" s="1450" t="s">
        <v>7930</v>
      </c>
      <c r="C15" s="1451" t="s">
        <v>7816</v>
      </c>
      <c r="D15" s="1449">
        <v>13</v>
      </c>
      <c r="E15" s="1436">
        <v>10400</v>
      </c>
      <c r="F15" s="1437">
        <v>50</v>
      </c>
      <c r="G15" s="1437">
        <v>40000</v>
      </c>
      <c r="H15" s="1438">
        <v>28</v>
      </c>
      <c r="I15" s="1439">
        <v>22400</v>
      </c>
      <c r="J15" s="1440">
        <v>30</v>
      </c>
      <c r="K15" s="1441">
        <v>6</v>
      </c>
      <c r="L15" s="1442">
        <v>2700</v>
      </c>
      <c r="M15" s="1443">
        <f t="shared" si="1"/>
        <v>24</v>
      </c>
      <c r="N15" s="1439">
        <v>450</v>
      </c>
      <c r="O15" s="1444">
        <f t="shared" si="2"/>
        <v>10800</v>
      </c>
      <c r="P15" s="1445">
        <v>10</v>
      </c>
      <c r="Q15" s="1445">
        <f t="shared" ref="Q15:Q16" si="7">P15*N15</f>
        <v>4500</v>
      </c>
      <c r="R15" s="1443"/>
      <c r="S15" s="1445"/>
      <c r="T15" s="1445">
        <v>14</v>
      </c>
      <c r="U15" s="1445">
        <f t="shared" ref="U15:U16" si="8">T15*N15</f>
        <v>6300</v>
      </c>
      <c r="V15" s="1445">
        <v>0</v>
      </c>
      <c r="W15" s="1445">
        <v>0</v>
      </c>
      <c r="X15" s="1446">
        <f t="shared" si="5"/>
        <v>24</v>
      </c>
      <c r="Y15" s="1447">
        <f t="shared" si="6"/>
        <v>10800</v>
      </c>
      <c r="Z15" s="1448" t="s">
        <v>7799</v>
      </c>
      <c r="AA15" s="1434" t="s">
        <v>7923</v>
      </c>
      <c r="AB15" s="1359" t="e">
        <f>IF(#REF!=#REF!,"yes")</f>
        <v>#REF!</v>
      </c>
      <c r="AC15" s="1246" t="str">
        <f t="shared" si="0"/>
        <v>ok</v>
      </c>
    </row>
    <row r="16" spans="1:31" s="1359" customFormat="1" ht="18.75" customHeight="1" x14ac:dyDescent="0.25">
      <c r="A16" s="1432">
        <v>9</v>
      </c>
      <c r="B16" s="1450" t="s">
        <v>7931</v>
      </c>
      <c r="C16" s="1451" t="s">
        <v>7816</v>
      </c>
      <c r="D16" s="1449">
        <v>30</v>
      </c>
      <c r="E16" s="1436">
        <v>24000</v>
      </c>
      <c r="F16" s="1437">
        <v>13</v>
      </c>
      <c r="G16" s="1437">
        <v>10400</v>
      </c>
      <c r="H16" s="1438">
        <v>24</v>
      </c>
      <c r="I16" s="1439">
        <v>19200</v>
      </c>
      <c r="J16" s="1440">
        <v>30</v>
      </c>
      <c r="K16" s="1441">
        <v>4</v>
      </c>
      <c r="L16" s="1442">
        <v>1800</v>
      </c>
      <c r="M16" s="1443">
        <f t="shared" si="1"/>
        <v>26</v>
      </c>
      <c r="N16" s="1439">
        <v>450</v>
      </c>
      <c r="O16" s="1444">
        <f t="shared" si="2"/>
        <v>11700</v>
      </c>
      <c r="P16" s="1445">
        <v>10</v>
      </c>
      <c r="Q16" s="1445">
        <f t="shared" si="7"/>
        <v>4500</v>
      </c>
      <c r="R16" s="1443"/>
      <c r="S16" s="1445"/>
      <c r="T16" s="1445">
        <v>16</v>
      </c>
      <c r="U16" s="1445">
        <f t="shared" si="8"/>
        <v>7200</v>
      </c>
      <c r="V16" s="1445">
        <v>0</v>
      </c>
      <c r="W16" s="1445">
        <v>0</v>
      </c>
      <c r="X16" s="1446">
        <f t="shared" si="5"/>
        <v>26</v>
      </c>
      <c r="Y16" s="1447">
        <f t="shared" si="6"/>
        <v>11700</v>
      </c>
      <c r="Z16" s="1448" t="s">
        <v>7799</v>
      </c>
      <c r="AA16" s="1434" t="s">
        <v>7923</v>
      </c>
      <c r="AB16" s="1359" t="e">
        <f>IF(#REF!=#REF!,"yes")</f>
        <v>#REF!</v>
      </c>
      <c r="AC16" s="1246" t="str">
        <f t="shared" si="0"/>
        <v>ok</v>
      </c>
    </row>
    <row r="17" spans="1:31" s="1359" customFormat="1" ht="24.6" x14ac:dyDescent="0.25">
      <c r="A17" s="1432">
        <v>10</v>
      </c>
      <c r="B17" s="1450" t="s">
        <v>7932</v>
      </c>
      <c r="C17" s="1451" t="s">
        <v>7816</v>
      </c>
      <c r="D17" s="1449">
        <v>0</v>
      </c>
      <c r="E17" s="1449">
        <v>0</v>
      </c>
      <c r="F17" s="1437">
        <v>6</v>
      </c>
      <c r="G17" s="1437">
        <v>4800</v>
      </c>
      <c r="H17" s="1438">
        <v>8</v>
      </c>
      <c r="I17" s="1439">
        <v>6400</v>
      </c>
      <c r="J17" s="1440">
        <v>15</v>
      </c>
      <c r="K17" s="1441">
        <v>5</v>
      </c>
      <c r="L17" s="1442">
        <v>1360</v>
      </c>
      <c r="M17" s="1443">
        <f t="shared" si="1"/>
        <v>10</v>
      </c>
      <c r="N17" s="1439">
        <v>340</v>
      </c>
      <c r="O17" s="1444">
        <f t="shared" si="2"/>
        <v>3400</v>
      </c>
      <c r="P17" s="1445">
        <v>0</v>
      </c>
      <c r="Q17" s="1445">
        <v>0</v>
      </c>
      <c r="R17" s="1443">
        <v>5</v>
      </c>
      <c r="S17" s="1445">
        <f t="shared" si="4"/>
        <v>1700</v>
      </c>
      <c r="T17" s="1445">
        <v>0</v>
      </c>
      <c r="U17" s="1445">
        <v>0</v>
      </c>
      <c r="V17" s="1445">
        <v>5</v>
      </c>
      <c r="W17" s="1445">
        <f>V17*N17</f>
        <v>1700</v>
      </c>
      <c r="X17" s="1446">
        <f t="shared" si="5"/>
        <v>10</v>
      </c>
      <c r="Y17" s="1447">
        <f t="shared" si="6"/>
        <v>3400</v>
      </c>
      <c r="Z17" s="1448" t="s">
        <v>7799</v>
      </c>
      <c r="AA17" s="1434" t="s">
        <v>7923</v>
      </c>
      <c r="AC17" s="1246" t="str">
        <f t="shared" si="0"/>
        <v>ok</v>
      </c>
      <c r="AE17" s="1368"/>
    </row>
    <row r="18" spans="1:31" s="1359" customFormat="1" ht="24.6" x14ac:dyDescent="0.25">
      <c r="A18" s="1432">
        <v>11</v>
      </c>
      <c r="B18" s="1450" t="s">
        <v>7933</v>
      </c>
      <c r="C18" s="1451" t="s">
        <v>7816</v>
      </c>
      <c r="D18" s="1449">
        <v>6</v>
      </c>
      <c r="E18" s="1436">
        <v>5820</v>
      </c>
      <c r="F18" s="1437">
        <v>4</v>
      </c>
      <c r="G18" s="1437">
        <v>3880</v>
      </c>
      <c r="H18" s="1438">
        <v>6</v>
      </c>
      <c r="I18" s="1439">
        <v>5820</v>
      </c>
      <c r="J18" s="1440">
        <v>10</v>
      </c>
      <c r="K18" s="1441">
        <v>5</v>
      </c>
      <c r="L18" s="1442">
        <v>3410</v>
      </c>
      <c r="M18" s="1443">
        <f t="shared" si="1"/>
        <v>5</v>
      </c>
      <c r="N18" s="1439">
        <v>490</v>
      </c>
      <c r="O18" s="1444">
        <f t="shared" si="2"/>
        <v>2450</v>
      </c>
      <c r="P18" s="1445">
        <v>0</v>
      </c>
      <c r="Q18" s="1445">
        <v>0</v>
      </c>
      <c r="R18" s="1443">
        <f t="shared" ref="R18:R48" si="9">M18</f>
        <v>5</v>
      </c>
      <c r="S18" s="1445">
        <f t="shared" si="4"/>
        <v>2450</v>
      </c>
      <c r="T18" s="1445">
        <v>0</v>
      </c>
      <c r="U18" s="1445">
        <v>0</v>
      </c>
      <c r="V18" s="1445">
        <v>0</v>
      </c>
      <c r="W18" s="1445">
        <v>0</v>
      </c>
      <c r="X18" s="1446">
        <f t="shared" si="5"/>
        <v>5</v>
      </c>
      <c r="Y18" s="1447">
        <f t="shared" si="6"/>
        <v>2450</v>
      </c>
      <c r="Z18" s="1448" t="s">
        <v>7799</v>
      </c>
      <c r="AA18" s="1434" t="s">
        <v>7923</v>
      </c>
      <c r="AB18" s="1359" t="e">
        <f>IF(#REF!=#REF!,"yes")</f>
        <v>#REF!</v>
      </c>
      <c r="AC18" s="1246" t="str">
        <f t="shared" si="0"/>
        <v>ok</v>
      </c>
      <c r="AE18" s="1368"/>
    </row>
    <row r="19" spans="1:31" s="1359" customFormat="1" ht="24.6" x14ac:dyDescent="0.25">
      <c r="A19" s="1432">
        <v>12</v>
      </c>
      <c r="B19" s="1450" t="s">
        <v>7934</v>
      </c>
      <c r="C19" s="1451" t="s">
        <v>7816</v>
      </c>
      <c r="D19" s="1449">
        <v>0</v>
      </c>
      <c r="E19" s="1449">
        <v>0</v>
      </c>
      <c r="F19" s="1449">
        <v>0</v>
      </c>
      <c r="G19" s="1449">
        <v>0</v>
      </c>
      <c r="H19" s="1438">
        <v>2</v>
      </c>
      <c r="I19" s="1439">
        <v>1080</v>
      </c>
      <c r="J19" s="1440">
        <v>5</v>
      </c>
      <c r="K19" s="1441">
        <v>4</v>
      </c>
      <c r="L19" s="1442">
        <v>2160</v>
      </c>
      <c r="M19" s="1443">
        <f t="shared" si="1"/>
        <v>1</v>
      </c>
      <c r="N19" s="1439">
        <v>540</v>
      </c>
      <c r="O19" s="1444">
        <f t="shared" si="2"/>
        <v>540</v>
      </c>
      <c r="P19" s="1445">
        <v>0</v>
      </c>
      <c r="Q19" s="1445">
        <v>0</v>
      </c>
      <c r="R19" s="1443">
        <f t="shared" si="9"/>
        <v>1</v>
      </c>
      <c r="S19" s="1445">
        <f t="shared" si="4"/>
        <v>540</v>
      </c>
      <c r="T19" s="1445">
        <v>0</v>
      </c>
      <c r="U19" s="1445">
        <v>0</v>
      </c>
      <c r="V19" s="1445">
        <v>0</v>
      </c>
      <c r="W19" s="1445">
        <v>0</v>
      </c>
      <c r="X19" s="1446">
        <f t="shared" si="5"/>
        <v>1</v>
      </c>
      <c r="Y19" s="1447">
        <f t="shared" si="6"/>
        <v>540</v>
      </c>
      <c r="Z19" s="1448" t="s">
        <v>7799</v>
      </c>
      <c r="AA19" s="1434" t="s">
        <v>7923</v>
      </c>
      <c r="AC19" s="1246" t="str">
        <f t="shared" si="0"/>
        <v>ok</v>
      </c>
      <c r="AE19" s="1368"/>
    </row>
    <row r="20" spans="1:31" s="1393" customFormat="1" ht="42" x14ac:dyDescent="0.6">
      <c r="A20" s="1432">
        <v>13</v>
      </c>
      <c r="B20" s="1450" t="s">
        <v>7935</v>
      </c>
      <c r="C20" s="1451" t="s">
        <v>7816</v>
      </c>
      <c r="D20" s="1449">
        <v>15</v>
      </c>
      <c r="E20" s="1436">
        <v>13500</v>
      </c>
      <c r="F20" s="1437">
        <v>15</v>
      </c>
      <c r="G20" s="1437">
        <v>13500</v>
      </c>
      <c r="H20" s="1438">
        <v>8</v>
      </c>
      <c r="I20" s="1439">
        <v>9000</v>
      </c>
      <c r="J20" s="1440">
        <v>10</v>
      </c>
      <c r="K20" s="1441">
        <v>2</v>
      </c>
      <c r="L20" s="1442">
        <v>1800</v>
      </c>
      <c r="M20" s="1443">
        <f t="shared" si="1"/>
        <v>8</v>
      </c>
      <c r="N20" s="1439">
        <v>490</v>
      </c>
      <c r="O20" s="1444">
        <f t="shared" si="2"/>
        <v>3920</v>
      </c>
      <c r="P20" s="1445">
        <v>0</v>
      </c>
      <c r="Q20" s="1445">
        <v>0</v>
      </c>
      <c r="R20" s="1443">
        <f t="shared" si="9"/>
        <v>8</v>
      </c>
      <c r="S20" s="1445">
        <f t="shared" si="4"/>
        <v>3920</v>
      </c>
      <c r="T20" s="1445">
        <v>0</v>
      </c>
      <c r="U20" s="1445">
        <v>0</v>
      </c>
      <c r="V20" s="1445">
        <v>0</v>
      </c>
      <c r="W20" s="1445">
        <v>0</v>
      </c>
      <c r="X20" s="1446">
        <f t="shared" si="5"/>
        <v>8</v>
      </c>
      <c r="Y20" s="1447">
        <f t="shared" si="6"/>
        <v>3920</v>
      </c>
      <c r="Z20" s="1448" t="s">
        <v>7799</v>
      </c>
      <c r="AA20" s="1434" t="s">
        <v>7923</v>
      </c>
      <c r="AB20" s="1393" t="e">
        <f>IF(#REF!=#REF!,"yes")</f>
        <v>#REF!</v>
      </c>
      <c r="AC20" s="1246" t="str">
        <f t="shared" si="0"/>
        <v>ok</v>
      </c>
    </row>
    <row r="21" spans="1:31" x14ac:dyDescent="0.6">
      <c r="A21" s="1432">
        <v>14</v>
      </c>
      <c r="B21" s="1450" t="s">
        <v>7936</v>
      </c>
      <c r="C21" s="1451" t="s">
        <v>7816</v>
      </c>
      <c r="D21" s="1449">
        <v>9</v>
      </c>
      <c r="E21" s="1436">
        <v>8100</v>
      </c>
      <c r="F21" s="1437">
        <v>5</v>
      </c>
      <c r="G21" s="1437">
        <v>4500</v>
      </c>
      <c r="H21" s="1438">
        <v>6</v>
      </c>
      <c r="I21" s="1439">
        <v>5400</v>
      </c>
      <c r="J21" s="1440">
        <v>10</v>
      </c>
      <c r="K21" s="1441">
        <v>4</v>
      </c>
      <c r="L21" s="1442">
        <v>2160</v>
      </c>
      <c r="M21" s="1443">
        <f t="shared" si="1"/>
        <v>6</v>
      </c>
      <c r="N21" s="1439">
        <v>540</v>
      </c>
      <c r="O21" s="1444">
        <f t="shared" si="2"/>
        <v>3240</v>
      </c>
      <c r="P21" s="1445">
        <v>0</v>
      </c>
      <c r="Q21" s="1445">
        <v>0</v>
      </c>
      <c r="R21" s="1443">
        <f t="shared" si="9"/>
        <v>6</v>
      </c>
      <c r="S21" s="1445">
        <f t="shared" si="4"/>
        <v>3240</v>
      </c>
      <c r="T21" s="1445">
        <v>0</v>
      </c>
      <c r="U21" s="1445">
        <v>0</v>
      </c>
      <c r="V21" s="1445">
        <v>0</v>
      </c>
      <c r="W21" s="1445">
        <v>0</v>
      </c>
      <c r="X21" s="1446">
        <f t="shared" si="5"/>
        <v>6</v>
      </c>
      <c r="Y21" s="1447">
        <f t="shared" si="6"/>
        <v>3240</v>
      </c>
      <c r="Z21" s="1448" t="s">
        <v>7799</v>
      </c>
      <c r="AA21" s="1434" t="s">
        <v>7923</v>
      </c>
      <c r="AC21" s="1246" t="str">
        <f t="shared" si="0"/>
        <v>ok</v>
      </c>
    </row>
    <row r="22" spans="1:31" x14ac:dyDescent="0.6">
      <c r="A22" s="1432">
        <v>15</v>
      </c>
      <c r="B22" s="1450" t="s">
        <v>7937</v>
      </c>
      <c r="C22" s="1451" t="s">
        <v>7816</v>
      </c>
      <c r="D22" s="1449">
        <v>10</v>
      </c>
      <c r="E22" s="1436">
        <v>9000</v>
      </c>
      <c r="F22" s="1437">
        <v>3</v>
      </c>
      <c r="G22" s="1437">
        <v>2700</v>
      </c>
      <c r="H22" s="1438">
        <v>6</v>
      </c>
      <c r="I22" s="1439">
        <v>5400</v>
      </c>
      <c r="J22" s="1440">
        <v>10</v>
      </c>
      <c r="K22" s="1441">
        <v>4</v>
      </c>
      <c r="L22" s="1442">
        <v>2160</v>
      </c>
      <c r="M22" s="1443">
        <f t="shared" si="1"/>
        <v>6</v>
      </c>
      <c r="N22" s="1439">
        <v>540</v>
      </c>
      <c r="O22" s="1444">
        <f t="shared" si="2"/>
        <v>3240</v>
      </c>
      <c r="P22" s="1445">
        <v>0</v>
      </c>
      <c r="Q22" s="1445">
        <v>0</v>
      </c>
      <c r="R22" s="1443">
        <f t="shared" si="9"/>
        <v>6</v>
      </c>
      <c r="S22" s="1445">
        <f t="shared" si="4"/>
        <v>3240</v>
      </c>
      <c r="T22" s="1445">
        <v>0</v>
      </c>
      <c r="U22" s="1445">
        <v>0</v>
      </c>
      <c r="V22" s="1445">
        <v>0</v>
      </c>
      <c r="W22" s="1445">
        <v>0</v>
      </c>
      <c r="X22" s="1446">
        <f t="shared" si="5"/>
        <v>6</v>
      </c>
      <c r="Y22" s="1447">
        <f t="shared" si="6"/>
        <v>3240</v>
      </c>
      <c r="Z22" s="1448" t="s">
        <v>7799</v>
      </c>
      <c r="AA22" s="1434" t="s">
        <v>7923</v>
      </c>
      <c r="AC22" s="1246" t="str">
        <f t="shared" si="0"/>
        <v>ok</v>
      </c>
    </row>
    <row r="23" spans="1:31" x14ac:dyDescent="0.6">
      <c r="A23" s="1432">
        <v>16</v>
      </c>
      <c r="B23" s="1450" t="s">
        <v>7938</v>
      </c>
      <c r="C23" s="1451" t="s">
        <v>7816</v>
      </c>
      <c r="D23" s="1449">
        <v>9</v>
      </c>
      <c r="E23" s="1436">
        <v>8100</v>
      </c>
      <c r="F23" s="1437">
        <v>5</v>
      </c>
      <c r="G23" s="1437">
        <v>4500</v>
      </c>
      <c r="H23" s="1438">
        <v>13</v>
      </c>
      <c r="I23" s="1439">
        <v>11700</v>
      </c>
      <c r="J23" s="1440">
        <v>15</v>
      </c>
      <c r="K23" s="1441">
        <v>3</v>
      </c>
      <c r="L23" s="1442">
        <v>1620</v>
      </c>
      <c r="M23" s="1443">
        <f t="shared" si="1"/>
        <v>12</v>
      </c>
      <c r="N23" s="1439">
        <v>540</v>
      </c>
      <c r="O23" s="1444">
        <f t="shared" si="2"/>
        <v>6480</v>
      </c>
      <c r="P23" s="1445">
        <v>0</v>
      </c>
      <c r="Q23" s="1445">
        <v>0</v>
      </c>
      <c r="R23" s="1443">
        <v>3</v>
      </c>
      <c r="S23" s="1445">
        <f t="shared" si="4"/>
        <v>1620</v>
      </c>
      <c r="T23" s="1445">
        <v>0</v>
      </c>
      <c r="U23" s="1445">
        <v>0</v>
      </c>
      <c r="V23" s="1445">
        <v>4</v>
      </c>
      <c r="W23" s="1445">
        <f>V23*N23</f>
        <v>2160</v>
      </c>
      <c r="X23" s="1446">
        <f t="shared" si="5"/>
        <v>12</v>
      </c>
      <c r="Y23" s="1447">
        <f t="shared" si="6"/>
        <v>6480</v>
      </c>
      <c r="Z23" s="1448" t="s">
        <v>7799</v>
      </c>
      <c r="AA23" s="1434" t="s">
        <v>7923</v>
      </c>
      <c r="AC23" s="1246" t="str">
        <f t="shared" si="0"/>
        <v>ok</v>
      </c>
    </row>
    <row r="24" spans="1:31" ht="42" x14ac:dyDescent="0.6">
      <c r="A24" s="1432">
        <v>17</v>
      </c>
      <c r="B24" s="1452" t="s">
        <v>7939</v>
      </c>
      <c r="C24" s="1451" t="s">
        <v>7816</v>
      </c>
      <c r="D24" s="1449">
        <v>0</v>
      </c>
      <c r="E24" s="1449">
        <v>0</v>
      </c>
      <c r="F24" s="1449">
        <v>0</v>
      </c>
      <c r="G24" s="1449">
        <v>0</v>
      </c>
      <c r="H24" s="1438"/>
      <c r="I24" s="1439">
        <v>0</v>
      </c>
      <c r="J24" s="1440">
        <v>5</v>
      </c>
      <c r="K24" s="1441">
        <v>0</v>
      </c>
      <c r="L24" s="1442">
        <v>0</v>
      </c>
      <c r="M24" s="1443">
        <f t="shared" si="1"/>
        <v>5</v>
      </c>
      <c r="N24" s="1439">
        <v>2100</v>
      </c>
      <c r="O24" s="1444">
        <f t="shared" si="2"/>
        <v>10500</v>
      </c>
      <c r="P24" s="1445"/>
      <c r="Q24" s="1445"/>
      <c r="R24" s="1443">
        <f>M24</f>
        <v>5</v>
      </c>
      <c r="S24" s="1445">
        <f t="shared" si="4"/>
        <v>10500</v>
      </c>
      <c r="T24" s="1443"/>
      <c r="U24" s="1445"/>
      <c r="V24" s="1445"/>
      <c r="W24" s="1445"/>
      <c r="X24" s="1446">
        <f t="shared" si="5"/>
        <v>5</v>
      </c>
      <c r="Y24" s="1447">
        <f t="shared" si="6"/>
        <v>10500</v>
      </c>
      <c r="Z24" s="1448" t="s">
        <v>7799</v>
      </c>
      <c r="AA24" s="1434" t="s">
        <v>7923</v>
      </c>
      <c r="AC24" s="1246" t="str">
        <f t="shared" si="0"/>
        <v>ok</v>
      </c>
    </row>
    <row r="25" spans="1:31" ht="42" x14ac:dyDescent="0.6">
      <c r="A25" s="1432">
        <v>18</v>
      </c>
      <c r="B25" s="1452" t="s">
        <v>7940</v>
      </c>
      <c r="C25" s="1451" t="s">
        <v>7816</v>
      </c>
      <c r="D25" s="1449">
        <v>0</v>
      </c>
      <c r="E25" s="1449">
        <v>0</v>
      </c>
      <c r="F25" s="1449">
        <v>0</v>
      </c>
      <c r="G25" s="1449">
        <v>0</v>
      </c>
      <c r="H25" s="1438"/>
      <c r="I25" s="1439">
        <v>0</v>
      </c>
      <c r="J25" s="1440">
        <v>5</v>
      </c>
      <c r="K25" s="1441">
        <v>0</v>
      </c>
      <c r="L25" s="1442">
        <v>0</v>
      </c>
      <c r="M25" s="1443">
        <f t="shared" si="1"/>
        <v>5</v>
      </c>
      <c r="N25" s="1439">
        <v>2480</v>
      </c>
      <c r="O25" s="1444">
        <f t="shared" si="2"/>
        <v>12400</v>
      </c>
      <c r="P25" s="1445"/>
      <c r="Q25" s="1445"/>
      <c r="R25" s="1443">
        <f t="shared" si="9"/>
        <v>5</v>
      </c>
      <c r="S25" s="1445">
        <f t="shared" si="4"/>
        <v>12400</v>
      </c>
      <c r="T25" s="1443"/>
      <c r="U25" s="1445"/>
      <c r="V25" s="1445"/>
      <c r="W25" s="1445"/>
      <c r="X25" s="1446">
        <f t="shared" si="5"/>
        <v>5</v>
      </c>
      <c r="Y25" s="1447">
        <f t="shared" si="6"/>
        <v>12400</v>
      </c>
      <c r="Z25" s="1448" t="s">
        <v>7799</v>
      </c>
      <c r="AA25" s="1434" t="s">
        <v>7923</v>
      </c>
      <c r="AC25" s="1246" t="str">
        <f t="shared" si="0"/>
        <v>ok</v>
      </c>
    </row>
    <row r="26" spans="1:31" ht="42" x14ac:dyDescent="0.6">
      <c r="A26" s="1432">
        <v>19</v>
      </c>
      <c r="B26" s="1452" t="s">
        <v>7941</v>
      </c>
      <c r="C26" s="1451" t="s">
        <v>7816</v>
      </c>
      <c r="D26" s="1449">
        <v>0</v>
      </c>
      <c r="E26" s="1449">
        <v>0</v>
      </c>
      <c r="F26" s="1449">
        <v>0</v>
      </c>
      <c r="G26" s="1449">
        <v>0</v>
      </c>
      <c r="H26" s="1438"/>
      <c r="I26" s="1439">
        <v>0</v>
      </c>
      <c r="J26" s="1440">
        <v>5</v>
      </c>
      <c r="K26" s="1441">
        <v>0</v>
      </c>
      <c r="L26" s="1442">
        <v>0</v>
      </c>
      <c r="M26" s="1443">
        <f t="shared" si="1"/>
        <v>5</v>
      </c>
      <c r="N26" s="1439">
        <v>2480</v>
      </c>
      <c r="O26" s="1444">
        <f t="shared" si="2"/>
        <v>12400</v>
      </c>
      <c r="P26" s="1445"/>
      <c r="Q26" s="1445"/>
      <c r="R26" s="1443">
        <f t="shared" si="9"/>
        <v>5</v>
      </c>
      <c r="S26" s="1445">
        <f t="shared" si="4"/>
        <v>12400</v>
      </c>
      <c r="T26" s="1443"/>
      <c r="U26" s="1445"/>
      <c r="V26" s="1445"/>
      <c r="W26" s="1445"/>
      <c r="X26" s="1446">
        <f t="shared" si="5"/>
        <v>5</v>
      </c>
      <c r="Y26" s="1447">
        <f t="shared" si="6"/>
        <v>12400</v>
      </c>
      <c r="Z26" s="1448" t="s">
        <v>7799</v>
      </c>
      <c r="AA26" s="1434" t="s">
        <v>7923</v>
      </c>
      <c r="AC26" s="1246" t="str">
        <f t="shared" si="0"/>
        <v>ok</v>
      </c>
    </row>
    <row r="27" spans="1:31" ht="42" x14ac:dyDescent="0.6">
      <c r="A27" s="1432">
        <v>20</v>
      </c>
      <c r="B27" s="1452" t="s">
        <v>7942</v>
      </c>
      <c r="C27" s="1451" t="s">
        <v>7816</v>
      </c>
      <c r="D27" s="1449">
        <v>0</v>
      </c>
      <c r="E27" s="1449">
        <v>0</v>
      </c>
      <c r="F27" s="1449">
        <v>0</v>
      </c>
      <c r="G27" s="1449">
        <v>0</v>
      </c>
      <c r="H27" s="1438"/>
      <c r="I27" s="1439">
        <v>0</v>
      </c>
      <c r="J27" s="1440">
        <v>5</v>
      </c>
      <c r="K27" s="1441">
        <v>0</v>
      </c>
      <c r="L27" s="1442">
        <v>0</v>
      </c>
      <c r="M27" s="1443">
        <f t="shared" si="1"/>
        <v>5</v>
      </c>
      <c r="N27" s="1439">
        <v>2480</v>
      </c>
      <c r="O27" s="1444">
        <f t="shared" si="2"/>
        <v>12400</v>
      </c>
      <c r="P27" s="1445"/>
      <c r="Q27" s="1445"/>
      <c r="R27" s="1443">
        <f t="shared" si="9"/>
        <v>5</v>
      </c>
      <c r="S27" s="1445">
        <f t="shared" si="4"/>
        <v>12400</v>
      </c>
      <c r="T27" s="1443"/>
      <c r="U27" s="1445"/>
      <c r="V27" s="1445"/>
      <c r="W27" s="1445"/>
      <c r="X27" s="1446">
        <f t="shared" si="5"/>
        <v>5</v>
      </c>
      <c r="Y27" s="1447">
        <f t="shared" si="6"/>
        <v>12400</v>
      </c>
      <c r="Z27" s="1448" t="s">
        <v>7799</v>
      </c>
      <c r="AA27" s="1434" t="s">
        <v>7923</v>
      </c>
      <c r="AC27" s="1246" t="str">
        <f t="shared" si="0"/>
        <v>ok</v>
      </c>
    </row>
    <row r="28" spans="1:31" ht="18.75" customHeight="1" x14ac:dyDescent="0.6">
      <c r="A28" s="1432">
        <v>21</v>
      </c>
      <c r="B28" s="1450" t="s">
        <v>7943</v>
      </c>
      <c r="C28" s="1451" t="s">
        <v>7816</v>
      </c>
      <c r="D28" s="1449">
        <v>23</v>
      </c>
      <c r="E28" s="1436">
        <v>22310</v>
      </c>
      <c r="F28" s="1437">
        <v>23</v>
      </c>
      <c r="G28" s="1437">
        <v>22310</v>
      </c>
      <c r="H28" s="1438">
        <v>25</v>
      </c>
      <c r="I28" s="1439">
        <v>27180</v>
      </c>
      <c r="J28" s="1440">
        <v>30</v>
      </c>
      <c r="K28" s="1441">
        <v>7</v>
      </c>
      <c r="L28" s="1442">
        <v>4130</v>
      </c>
      <c r="M28" s="1443">
        <f t="shared" si="1"/>
        <v>23</v>
      </c>
      <c r="N28" s="1439">
        <v>590</v>
      </c>
      <c r="O28" s="1444">
        <f t="shared" si="2"/>
        <v>13570</v>
      </c>
      <c r="P28" s="1445">
        <v>10</v>
      </c>
      <c r="Q28" s="1445">
        <f>P28*N28</f>
        <v>5900</v>
      </c>
      <c r="R28" s="1443"/>
      <c r="S28" s="1445"/>
      <c r="T28" s="1445">
        <v>13</v>
      </c>
      <c r="U28" s="1445">
        <f>T28*N28</f>
        <v>7670</v>
      </c>
      <c r="V28" s="1445">
        <v>0</v>
      </c>
      <c r="W28" s="1445">
        <v>0</v>
      </c>
      <c r="X28" s="1446">
        <f t="shared" si="5"/>
        <v>23</v>
      </c>
      <c r="Y28" s="1447">
        <f t="shared" si="6"/>
        <v>13570</v>
      </c>
      <c r="Z28" s="1448" t="s">
        <v>7799</v>
      </c>
      <c r="AA28" s="1434" t="s">
        <v>7923</v>
      </c>
      <c r="AC28" s="1246" t="str">
        <f t="shared" si="0"/>
        <v>ok</v>
      </c>
    </row>
    <row r="29" spans="1:31" ht="42" x14ac:dyDescent="0.6">
      <c r="A29" s="1432">
        <v>22</v>
      </c>
      <c r="B29" s="1450" t="s">
        <v>7944</v>
      </c>
      <c r="C29" s="1451" t="s">
        <v>7816</v>
      </c>
      <c r="D29" s="1449">
        <v>0</v>
      </c>
      <c r="E29" s="1436">
        <v>0</v>
      </c>
      <c r="F29" s="1449">
        <v>0</v>
      </c>
      <c r="G29" s="1436">
        <v>0</v>
      </c>
      <c r="H29" s="1438">
        <v>0</v>
      </c>
      <c r="I29" s="1439">
        <v>0</v>
      </c>
      <c r="J29" s="1440">
        <v>1</v>
      </c>
      <c r="K29" s="1441">
        <v>1</v>
      </c>
      <c r="L29" s="1442">
        <v>1300</v>
      </c>
      <c r="M29" s="1443">
        <f t="shared" si="1"/>
        <v>0</v>
      </c>
      <c r="N29" s="1439">
        <v>0</v>
      </c>
      <c r="O29" s="1444">
        <f t="shared" si="2"/>
        <v>0</v>
      </c>
      <c r="P29" s="1445">
        <v>0</v>
      </c>
      <c r="Q29" s="1445">
        <v>0</v>
      </c>
      <c r="R29" s="1443">
        <f t="shared" si="9"/>
        <v>0</v>
      </c>
      <c r="S29" s="1445">
        <f t="shared" si="4"/>
        <v>0</v>
      </c>
      <c r="T29" s="1445">
        <v>0</v>
      </c>
      <c r="U29" s="1445">
        <v>0</v>
      </c>
      <c r="V29" s="1445">
        <v>0</v>
      </c>
      <c r="W29" s="1445">
        <v>0</v>
      </c>
      <c r="X29" s="1446">
        <f t="shared" si="5"/>
        <v>0</v>
      </c>
      <c r="Y29" s="1447">
        <f t="shared" si="6"/>
        <v>0</v>
      </c>
      <c r="Z29" s="1448" t="s">
        <v>7799</v>
      </c>
      <c r="AA29" s="1434" t="s">
        <v>7923</v>
      </c>
      <c r="AC29" s="1246" t="str">
        <f t="shared" si="0"/>
        <v>ok</v>
      </c>
    </row>
    <row r="30" spans="1:31" ht="42" x14ac:dyDescent="0.6">
      <c r="A30" s="1432">
        <v>23</v>
      </c>
      <c r="B30" s="1453" t="s">
        <v>7945</v>
      </c>
      <c r="C30" s="1451"/>
      <c r="D30" s="1449">
        <v>0</v>
      </c>
      <c r="E30" s="1436">
        <v>0</v>
      </c>
      <c r="F30" s="1449">
        <v>0</v>
      </c>
      <c r="G30" s="1436">
        <v>0</v>
      </c>
      <c r="H30" s="1438">
        <v>0</v>
      </c>
      <c r="I30" s="1439">
        <v>0</v>
      </c>
      <c r="J30" s="1440">
        <v>1</v>
      </c>
      <c r="K30" s="1441">
        <v>0</v>
      </c>
      <c r="L30" s="1442"/>
      <c r="M30" s="1443">
        <f t="shared" si="1"/>
        <v>1</v>
      </c>
      <c r="N30" s="1439">
        <v>9400</v>
      </c>
      <c r="O30" s="1444">
        <f t="shared" si="2"/>
        <v>9400</v>
      </c>
      <c r="P30" s="1445"/>
      <c r="Q30" s="1445"/>
      <c r="R30" s="1443">
        <f t="shared" si="9"/>
        <v>1</v>
      </c>
      <c r="S30" s="1445">
        <f t="shared" si="4"/>
        <v>9400</v>
      </c>
      <c r="T30" s="1445"/>
      <c r="U30" s="1445"/>
      <c r="V30" s="1445"/>
      <c r="W30" s="1445"/>
      <c r="X30" s="1446">
        <f t="shared" si="5"/>
        <v>1</v>
      </c>
      <c r="Y30" s="1447">
        <f t="shared" si="6"/>
        <v>9400</v>
      </c>
      <c r="Z30" s="1448" t="s">
        <v>7799</v>
      </c>
      <c r="AA30" s="1434" t="s">
        <v>7923</v>
      </c>
      <c r="AC30" s="1246" t="str">
        <f t="shared" si="0"/>
        <v>ok</v>
      </c>
    </row>
    <row r="31" spans="1:31" ht="42" x14ac:dyDescent="0.6">
      <c r="A31" s="1432">
        <v>24</v>
      </c>
      <c r="B31" s="1211" t="s">
        <v>7946</v>
      </c>
      <c r="C31" s="1451" t="s">
        <v>7816</v>
      </c>
      <c r="D31" s="1449">
        <v>0</v>
      </c>
      <c r="E31" s="1449">
        <v>0</v>
      </c>
      <c r="F31" s="1449">
        <v>0</v>
      </c>
      <c r="G31" s="1449">
        <v>0</v>
      </c>
      <c r="H31" s="1438">
        <v>0</v>
      </c>
      <c r="I31" s="1439">
        <v>0</v>
      </c>
      <c r="J31" s="1440">
        <v>1</v>
      </c>
      <c r="K31" s="1441">
        <v>0</v>
      </c>
      <c r="L31" s="1454">
        <v>0</v>
      </c>
      <c r="M31" s="1443">
        <f t="shared" si="1"/>
        <v>1</v>
      </c>
      <c r="N31" s="1439">
        <v>4850</v>
      </c>
      <c r="O31" s="1444">
        <f t="shared" si="2"/>
        <v>4850</v>
      </c>
      <c r="P31" s="1445">
        <v>0</v>
      </c>
      <c r="Q31" s="1445">
        <v>0</v>
      </c>
      <c r="R31" s="1443">
        <f t="shared" si="9"/>
        <v>1</v>
      </c>
      <c r="S31" s="1445">
        <f t="shared" si="4"/>
        <v>4850</v>
      </c>
      <c r="T31" s="1445">
        <v>0</v>
      </c>
      <c r="U31" s="1445">
        <v>0</v>
      </c>
      <c r="V31" s="1445">
        <v>0</v>
      </c>
      <c r="W31" s="1445">
        <v>0</v>
      </c>
      <c r="X31" s="1446">
        <f t="shared" si="5"/>
        <v>1</v>
      </c>
      <c r="Y31" s="1447">
        <f t="shared" si="6"/>
        <v>4850</v>
      </c>
      <c r="Z31" s="1448" t="s">
        <v>7799</v>
      </c>
      <c r="AA31" s="1434" t="s">
        <v>7923</v>
      </c>
      <c r="AC31" s="1246" t="str">
        <f t="shared" si="0"/>
        <v>ok</v>
      </c>
    </row>
    <row r="32" spans="1:31" ht="42" x14ac:dyDescent="0.6">
      <c r="A32" s="1432">
        <v>25</v>
      </c>
      <c r="B32" s="1211" t="s">
        <v>7947</v>
      </c>
      <c r="C32" s="1451" t="s">
        <v>7816</v>
      </c>
      <c r="D32" s="1449">
        <v>0</v>
      </c>
      <c r="E32" s="1449">
        <v>0</v>
      </c>
      <c r="F32" s="1449">
        <v>0</v>
      </c>
      <c r="G32" s="1449">
        <v>0</v>
      </c>
      <c r="H32" s="1438">
        <v>0</v>
      </c>
      <c r="I32" s="1439">
        <v>0</v>
      </c>
      <c r="J32" s="1440">
        <v>1</v>
      </c>
      <c r="K32" s="1441">
        <v>0</v>
      </c>
      <c r="L32" s="1454">
        <v>0</v>
      </c>
      <c r="M32" s="1443">
        <f t="shared" si="1"/>
        <v>1</v>
      </c>
      <c r="N32" s="1439">
        <v>4850</v>
      </c>
      <c r="O32" s="1444">
        <f>M32*N32</f>
        <v>4850</v>
      </c>
      <c r="P32" s="1445">
        <v>0</v>
      </c>
      <c r="Q32" s="1445">
        <v>0</v>
      </c>
      <c r="R32" s="1443">
        <f t="shared" si="9"/>
        <v>1</v>
      </c>
      <c r="S32" s="1445">
        <f>R32*N32</f>
        <v>4850</v>
      </c>
      <c r="T32" s="1445">
        <v>0</v>
      </c>
      <c r="U32" s="1445">
        <v>0</v>
      </c>
      <c r="V32" s="1445">
        <v>0</v>
      </c>
      <c r="W32" s="1445">
        <v>0</v>
      </c>
      <c r="X32" s="1446">
        <f t="shared" si="5"/>
        <v>1</v>
      </c>
      <c r="Y32" s="1447">
        <f t="shared" si="6"/>
        <v>4850</v>
      </c>
      <c r="Z32" s="1448" t="s">
        <v>7799</v>
      </c>
      <c r="AA32" s="1434" t="s">
        <v>7923</v>
      </c>
      <c r="AC32" s="1246" t="str">
        <f t="shared" si="0"/>
        <v>ok</v>
      </c>
    </row>
    <row r="33" spans="1:29" x14ac:dyDescent="0.6">
      <c r="A33" s="1432">
        <v>26</v>
      </c>
      <c r="B33" s="1211" t="s">
        <v>7948</v>
      </c>
      <c r="C33" s="1451" t="s">
        <v>7816</v>
      </c>
      <c r="D33" s="1449">
        <v>0</v>
      </c>
      <c r="E33" s="1449">
        <v>0</v>
      </c>
      <c r="F33" s="1449">
        <v>0</v>
      </c>
      <c r="G33" s="1449">
        <v>0</v>
      </c>
      <c r="H33" s="1438">
        <v>0</v>
      </c>
      <c r="I33" s="1439">
        <v>0</v>
      </c>
      <c r="J33" s="1440">
        <v>1</v>
      </c>
      <c r="K33" s="1441">
        <v>1</v>
      </c>
      <c r="L33" s="1454">
        <v>1500</v>
      </c>
      <c r="M33" s="1443">
        <f t="shared" si="1"/>
        <v>0</v>
      </c>
      <c r="N33" s="1439">
        <v>0</v>
      </c>
      <c r="O33" s="1444">
        <f>M33*N33</f>
        <v>0</v>
      </c>
      <c r="P33" s="1445">
        <v>0</v>
      </c>
      <c r="Q33" s="1445">
        <v>0</v>
      </c>
      <c r="R33" s="1443">
        <f t="shared" si="9"/>
        <v>0</v>
      </c>
      <c r="S33" s="1445">
        <f>R33*N33</f>
        <v>0</v>
      </c>
      <c r="T33" s="1445">
        <v>0</v>
      </c>
      <c r="U33" s="1445">
        <v>0</v>
      </c>
      <c r="V33" s="1445">
        <v>0</v>
      </c>
      <c r="W33" s="1445">
        <v>0</v>
      </c>
      <c r="X33" s="1446">
        <f t="shared" si="5"/>
        <v>0</v>
      </c>
      <c r="Y33" s="1447">
        <f t="shared" si="6"/>
        <v>0</v>
      </c>
      <c r="Z33" s="1445">
        <v>0</v>
      </c>
      <c r="AA33" s="1446">
        <v>0</v>
      </c>
      <c r="AC33" s="1246" t="str">
        <f t="shared" si="0"/>
        <v>ok</v>
      </c>
    </row>
    <row r="34" spans="1:29" s="1359" customFormat="1" ht="18.75" customHeight="1" x14ac:dyDescent="0.25">
      <c r="A34" s="1432">
        <v>27</v>
      </c>
      <c r="B34" s="1450" t="s">
        <v>7949</v>
      </c>
      <c r="C34" s="1451" t="s">
        <v>7869</v>
      </c>
      <c r="D34" s="1449">
        <v>6</v>
      </c>
      <c r="E34" s="1436">
        <v>1500</v>
      </c>
      <c r="F34" s="1437">
        <v>11</v>
      </c>
      <c r="G34" s="1437">
        <v>2750</v>
      </c>
      <c r="H34" s="1438">
        <v>13</v>
      </c>
      <c r="I34" s="1439">
        <v>4550</v>
      </c>
      <c r="J34" s="1440">
        <v>15</v>
      </c>
      <c r="K34" s="1441">
        <v>6</v>
      </c>
      <c r="L34" s="1442">
        <v>2100</v>
      </c>
      <c r="M34" s="1443">
        <f t="shared" si="1"/>
        <v>9</v>
      </c>
      <c r="N34" s="1439">
        <v>350</v>
      </c>
      <c r="O34" s="1444">
        <f t="shared" si="2"/>
        <v>3150</v>
      </c>
      <c r="P34" s="1445">
        <v>0</v>
      </c>
      <c r="Q34" s="1445">
        <v>0</v>
      </c>
      <c r="R34" s="1443">
        <v>4</v>
      </c>
      <c r="S34" s="1445">
        <f t="shared" si="4"/>
        <v>1400</v>
      </c>
      <c r="T34" s="1445">
        <v>0</v>
      </c>
      <c r="U34" s="1445">
        <v>0</v>
      </c>
      <c r="V34" s="1445">
        <v>5</v>
      </c>
      <c r="W34" s="1445">
        <f>V34*N34</f>
        <v>1750</v>
      </c>
      <c r="X34" s="1446">
        <f t="shared" si="5"/>
        <v>9</v>
      </c>
      <c r="Y34" s="1447">
        <f t="shared" si="6"/>
        <v>3150</v>
      </c>
      <c r="Z34" s="1448" t="s">
        <v>7799</v>
      </c>
      <c r="AA34" s="1434" t="s">
        <v>7923</v>
      </c>
      <c r="AB34" s="1359" t="e">
        <f>IF(#REF!=#REF!,"yes")</f>
        <v>#REF!</v>
      </c>
      <c r="AC34" s="1246" t="str">
        <f t="shared" si="0"/>
        <v>ok</v>
      </c>
    </row>
    <row r="35" spans="1:29" s="1359" customFormat="1" ht="18.75" customHeight="1" x14ac:dyDescent="0.25">
      <c r="A35" s="1432">
        <v>28</v>
      </c>
      <c r="B35" s="1450" t="s">
        <v>7950</v>
      </c>
      <c r="C35" s="1451" t="s">
        <v>7869</v>
      </c>
      <c r="D35" s="1449">
        <v>4</v>
      </c>
      <c r="E35" s="1436">
        <v>1000</v>
      </c>
      <c r="F35" s="1437">
        <v>3</v>
      </c>
      <c r="G35" s="1437">
        <v>750</v>
      </c>
      <c r="H35" s="1438">
        <v>7</v>
      </c>
      <c r="I35" s="1439">
        <v>2450</v>
      </c>
      <c r="J35" s="1440">
        <v>10</v>
      </c>
      <c r="K35" s="1441">
        <v>5</v>
      </c>
      <c r="L35" s="1442">
        <v>1750</v>
      </c>
      <c r="M35" s="1443">
        <f t="shared" si="1"/>
        <v>5</v>
      </c>
      <c r="N35" s="1455">
        <v>350</v>
      </c>
      <c r="O35" s="1444">
        <f t="shared" si="2"/>
        <v>1750</v>
      </c>
      <c r="P35" s="1445">
        <v>0</v>
      </c>
      <c r="Q35" s="1445">
        <v>0</v>
      </c>
      <c r="R35" s="1443">
        <f t="shared" si="9"/>
        <v>5</v>
      </c>
      <c r="S35" s="1445">
        <f t="shared" si="4"/>
        <v>1750</v>
      </c>
      <c r="T35" s="1445">
        <v>0</v>
      </c>
      <c r="U35" s="1445">
        <v>0</v>
      </c>
      <c r="V35" s="1445">
        <v>0</v>
      </c>
      <c r="W35" s="1445">
        <v>0</v>
      </c>
      <c r="X35" s="1446">
        <f t="shared" si="5"/>
        <v>5</v>
      </c>
      <c r="Y35" s="1447">
        <f t="shared" si="6"/>
        <v>1750</v>
      </c>
      <c r="Z35" s="1448" t="s">
        <v>7799</v>
      </c>
      <c r="AA35" s="1434" t="s">
        <v>7923</v>
      </c>
      <c r="AB35" s="1359" t="e">
        <f>IF(#REF!=#REF!,"yes")</f>
        <v>#REF!</v>
      </c>
      <c r="AC35" s="1246" t="str">
        <f t="shared" si="0"/>
        <v>ok</v>
      </c>
    </row>
    <row r="36" spans="1:29" s="1359" customFormat="1" ht="18.75" customHeight="1" x14ac:dyDescent="0.25">
      <c r="A36" s="1432">
        <v>29</v>
      </c>
      <c r="B36" s="1450" t="s">
        <v>7951</v>
      </c>
      <c r="C36" s="1451" t="s">
        <v>7869</v>
      </c>
      <c r="D36" s="1449">
        <v>0</v>
      </c>
      <c r="E36" s="1449">
        <v>0</v>
      </c>
      <c r="F36" s="1449">
        <v>5</v>
      </c>
      <c r="G36" s="1449">
        <v>1750</v>
      </c>
      <c r="H36" s="1438">
        <v>4</v>
      </c>
      <c r="I36" s="1439">
        <v>1400</v>
      </c>
      <c r="J36" s="1440">
        <v>10</v>
      </c>
      <c r="K36" s="1441">
        <v>5</v>
      </c>
      <c r="L36" s="1442">
        <v>1550</v>
      </c>
      <c r="M36" s="1443">
        <f t="shared" si="1"/>
        <v>5</v>
      </c>
      <c r="N36" s="1455">
        <v>350</v>
      </c>
      <c r="O36" s="1444">
        <f t="shared" si="2"/>
        <v>1750</v>
      </c>
      <c r="P36" s="1445">
        <v>0</v>
      </c>
      <c r="Q36" s="1445">
        <v>0</v>
      </c>
      <c r="R36" s="1443">
        <f t="shared" si="9"/>
        <v>5</v>
      </c>
      <c r="S36" s="1445">
        <f t="shared" si="4"/>
        <v>1750</v>
      </c>
      <c r="T36" s="1445">
        <v>0</v>
      </c>
      <c r="U36" s="1445">
        <v>0</v>
      </c>
      <c r="V36" s="1445">
        <v>0</v>
      </c>
      <c r="W36" s="1445">
        <v>0</v>
      </c>
      <c r="X36" s="1446">
        <f t="shared" si="5"/>
        <v>5</v>
      </c>
      <c r="Y36" s="1447">
        <f t="shared" si="6"/>
        <v>1750</v>
      </c>
      <c r="Z36" s="1448" t="s">
        <v>7799</v>
      </c>
      <c r="AA36" s="1434" t="s">
        <v>7923</v>
      </c>
      <c r="AC36" s="1246" t="str">
        <f t="shared" si="0"/>
        <v>ok</v>
      </c>
    </row>
    <row r="37" spans="1:29" s="1359" customFormat="1" ht="18.75" customHeight="1" x14ac:dyDescent="0.25">
      <c r="A37" s="1432">
        <v>30</v>
      </c>
      <c r="B37" s="1450" t="s">
        <v>7952</v>
      </c>
      <c r="C37" s="1451" t="s">
        <v>7869</v>
      </c>
      <c r="D37" s="1449">
        <v>3</v>
      </c>
      <c r="E37" s="1436">
        <v>750</v>
      </c>
      <c r="F37" s="1437">
        <v>3</v>
      </c>
      <c r="G37" s="1437">
        <v>750</v>
      </c>
      <c r="H37" s="1438">
        <v>2</v>
      </c>
      <c r="I37" s="1439">
        <v>700</v>
      </c>
      <c r="J37" s="1440">
        <v>10</v>
      </c>
      <c r="K37" s="1441">
        <v>5</v>
      </c>
      <c r="L37" s="1442">
        <v>1750</v>
      </c>
      <c r="M37" s="1443">
        <f t="shared" si="1"/>
        <v>5</v>
      </c>
      <c r="N37" s="1455">
        <v>350</v>
      </c>
      <c r="O37" s="1444">
        <f t="shared" si="2"/>
        <v>1750</v>
      </c>
      <c r="P37" s="1445">
        <v>0</v>
      </c>
      <c r="Q37" s="1445">
        <v>0</v>
      </c>
      <c r="R37" s="1443">
        <f t="shared" si="9"/>
        <v>5</v>
      </c>
      <c r="S37" s="1445">
        <v>0</v>
      </c>
      <c r="T37" s="1445">
        <v>0</v>
      </c>
      <c r="U37" s="1445">
        <v>0</v>
      </c>
      <c r="V37" s="1445">
        <v>0</v>
      </c>
      <c r="W37" s="1445">
        <v>0</v>
      </c>
      <c r="X37" s="1446">
        <f t="shared" si="5"/>
        <v>5</v>
      </c>
      <c r="Y37" s="1447">
        <f t="shared" si="6"/>
        <v>1750</v>
      </c>
      <c r="Z37" s="1448" t="s">
        <v>7799</v>
      </c>
      <c r="AA37" s="1434" t="s">
        <v>7923</v>
      </c>
      <c r="AB37" s="1359" t="e">
        <f>IF(#REF!=#REF!,"yes")</f>
        <v>#REF!</v>
      </c>
      <c r="AC37" s="1246" t="str">
        <f t="shared" si="0"/>
        <v>ok</v>
      </c>
    </row>
    <row r="38" spans="1:29" ht="18.75" customHeight="1" x14ac:dyDescent="0.6">
      <c r="A38" s="1432">
        <v>31</v>
      </c>
      <c r="B38" s="1450" t="s">
        <v>7953</v>
      </c>
      <c r="C38" s="1451" t="s">
        <v>7869</v>
      </c>
      <c r="D38" s="1437">
        <v>0</v>
      </c>
      <c r="E38" s="1436">
        <v>0</v>
      </c>
      <c r="F38" s="1436">
        <v>0</v>
      </c>
      <c r="G38" s="1436">
        <v>0</v>
      </c>
      <c r="H38" s="1438">
        <v>3</v>
      </c>
      <c r="I38" s="1439">
        <v>1440</v>
      </c>
      <c r="J38" s="1440">
        <v>10</v>
      </c>
      <c r="K38" s="1441">
        <v>10</v>
      </c>
      <c r="L38" s="1442">
        <v>4800</v>
      </c>
      <c r="M38" s="1443">
        <f t="shared" si="1"/>
        <v>0</v>
      </c>
      <c r="N38" s="1455">
        <v>0</v>
      </c>
      <c r="O38" s="1444">
        <f t="shared" si="2"/>
        <v>0</v>
      </c>
      <c r="P38" s="1445">
        <v>0</v>
      </c>
      <c r="Q38" s="1445">
        <v>0</v>
      </c>
      <c r="R38" s="1443">
        <f t="shared" si="9"/>
        <v>0</v>
      </c>
      <c r="S38" s="1445">
        <v>0</v>
      </c>
      <c r="T38" s="1445">
        <v>0</v>
      </c>
      <c r="U38" s="1445">
        <v>0</v>
      </c>
      <c r="V38" s="1445">
        <v>0</v>
      </c>
      <c r="W38" s="1445">
        <v>0</v>
      </c>
      <c r="X38" s="1446">
        <f t="shared" si="5"/>
        <v>0</v>
      </c>
      <c r="Y38" s="1447">
        <f t="shared" si="6"/>
        <v>0</v>
      </c>
      <c r="Z38" s="1445">
        <v>0</v>
      </c>
      <c r="AA38" s="1446">
        <v>0</v>
      </c>
      <c r="AC38" s="1246" t="str">
        <f t="shared" si="0"/>
        <v>ok</v>
      </c>
    </row>
    <row r="39" spans="1:29" ht="18.75" customHeight="1" x14ac:dyDescent="0.6">
      <c r="A39" s="1432">
        <v>32</v>
      </c>
      <c r="B39" s="1450" t="s">
        <v>7954</v>
      </c>
      <c r="C39" s="1451" t="s">
        <v>7869</v>
      </c>
      <c r="D39" s="1437">
        <v>0</v>
      </c>
      <c r="E39" s="1436">
        <v>0</v>
      </c>
      <c r="F39" s="1436">
        <v>0</v>
      </c>
      <c r="G39" s="1436">
        <v>0</v>
      </c>
      <c r="H39" s="1438">
        <v>6</v>
      </c>
      <c r="I39" s="1439">
        <v>2220</v>
      </c>
      <c r="J39" s="1440">
        <v>10</v>
      </c>
      <c r="K39" s="1441">
        <v>4</v>
      </c>
      <c r="L39" s="1442">
        <v>1480</v>
      </c>
      <c r="M39" s="1443">
        <f t="shared" si="1"/>
        <v>6</v>
      </c>
      <c r="N39" s="1455">
        <v>350</v>
      </c>
      <c r="O39" s="1444">
        <f t="shared" si="2"/>
        <v>2100</v>
      </c>
      <c r="P39" s="1445">
        <v>0</v>
      </c>
      <c r="Q39" s="1445">
        <v>0</v>
      </c>
      <c r="R39" s="1443">
        <f t="shared" si="9"/>
        <v>6</v>
      </c>
      <c r="S39" s="1445">
        <f t="shared" si="4"/>
        <v>2100</v>
      </c>
      <c r="T39" s="1445">
        <v>0</v>
      </c>
      <c r="U39" s="1445">
        <v>0</v>
      </c>
      <c r="V39" s="1445">
        <v>0</v>
      </c>
      <c r="W39" s="1445">
        <v>0</v>
      </c>
      <c r="X39" s="1446">
        <f t="shared" si="5"/>
        <v>6</v>
      </c>
      <c r="Y39" s="1447">
        <f t="shared" si="6"/>
        <v>2100</v>
      </c>
      <c r="Z39" s="1448" t="s">
        <v>7799</v>
      </c>
      <c r="AA39" s="1434" t="s">
        <v>7923</v>
      </c>
      <c r="AC39" s="1246" t="str">
        <f t="shared" si="0"/>
        <v>ok</v>
      </c>
    </row>
    <row r="40" spans="1:29" ht="18.75" customHeight="1" x14ac:dyDescent="0.6">
      <c r="A40" s="1432">
        <v>33</v>
      </c>
      <c r="B40" s="1450" t="s">
        <v>7955</v>
      </c>
      <c r="C40" s="1451" t="s">
        <v>7869</v>
      </c>
      <c r="D40" s="1437">
        <v>0</v>
      </c>
      <c r="E40" s="1436">
        <v>0</v>
      </c>
      <c r="F40" s="1436">
        <v>0</v>
      </c>
      <c r="G40" s="1436">
        <v>0</v>
      </c>
      <c r="H40" s="1438">
        <v>6</v>
      </c>
      <c r="I40" s="1439">
        <v>2220</v>
      </c>
      <c r="J40" s="1440">
        <v>10</v>
      </c>
      <c r="K40" s="1441">
        <v>4</v>
      </c>
      <c r="L40" s="1442">
        <v>1480</v>
      </c>
      <c r="M40" s="1443">
        <f t="shared" si="1"/>
        <v>6</v>
      </c>
      <c r="N40" s="1455">
        <v>350</v>
      </c>
      <c r="O40" s="1444">
        <f t="shared" si="2"/>
        <v>2100</v>
      </c>
      <c r="P40" s="1445">
        <v>0</v>
      </c>
      <c r="Q40" s="1445">
        <v>0</v>
      </c>
      <c r="R40" s="1443">
        <f t="shared" si="9"/>
        <v>6</v>
      </c>
      <c r="S40" s="1445">
        <f t="shared" si="4"/>
        <v>2100</v>
      </c>
      <c r="T40" s="1445">
        <v>0</v>
      </c>
      <c r="U40" s="1445">
        <v>0</v>
      </c>
      <c r="V40" s="1445">
        <v>0</v>
      </c>
      <c r="W40" s="1445">
        <v>0</v>
      </c>
      <c r="X40" s="1446">
        <f t="shared" si="5"/>
        <v>6</v>
      </c>
      <c r="Y40" s="1447">
        <f t="shared" si="6"/>
        <v>2100</v>
      </c>
      <c r="Z40" s="1448" t="s">
        <v>7799</v>
      </c>
      <c r="AA40" s="1434" t="s">
        <v>7923</v>
      </c>
      <c r="AC40" s="1246" t="str">
        <f t="shared" si="0"/>
        <v>ok</v>
      </c>
    </row>
    <row r="41" spans="1:29" ht="18.75" customHeight="1" x14ac:dyDescent="0.6">
      <c r="A41" s="1432">
        <v>34</v>
      </c>
      <c r="B41" s="1450" t="s">
        <v>7956</v>
      </c>
      <c r="C41" s="1451" t="s">
        <v>7869</v>
      </c>
      <c r="D41" s="1437">
        <v>0</v>
      </c>
      <c r="E41" s="1436">
        <v>0</v>
      </c>
      <c r="F41" s="1436">
        <v>0</v>
      </c>
      <c r="G41" s="1436">
        <v>0</v>
      </c>
      <c r="H41" s="1438">
        <v>11</v>
      </c>
      <c r="I41" s="1439">
        <v>4070</v>
      </c>
      <c r="J41" s="1440">
        <v>15</v>
      </c>
      <c r="K41" s="1441">
        <v>4</v>
      </c>
      <c r="L41" s="1442">
        <v>1480</v>
      </c>
      <c r="M41" s="1443">
        <f t="shared" si="1"/>
        <v>11</v>
      </c>
      <c r="N41" s="1455">
        <v>350</v>
      </c>
      <c r="O41" s="1444">
        <f t="shared" si="2"/>
        <v>3850</v>
      </c>
      <c r="P41" s="1445">
        <v>5</v>
      </c>
      <c r="Q41" s="1445">
        <f>P41*N41</f>
        <v>1750</v>
      </c>
      <c r="R41" s="1443"/>
      <c r="S41" s="1445"/>
      <c r="T41" s="1445">
        <v>6</v>
      </c>
      <c r="U41" s="1445">
        <f>T41*N41</f>
        <v>2100</v>
      </c>
      <c r="V41" s="1445">
        <v>0</v>
      </c>
      <c r="W41" s="1445">
        <v>0</v>
      </c>
      <c r="X41" s="1446">
        <f t="shared" si="5"/>
        <v>11</v>
      </c>
      <c r="Y41" s="1447">
        <f t="shared" si="6"/>
        <v>3850</v>
      </c>
      <c r="Z41" s="1448" t="s">
        <v>7799</v>
      </c>
      <c r="AA41" s="1434" t="s">
        <v>7923</v>
      </c>
      <c r="AC41" s="1246" t="str">
        <f t="shared" si="0"/>
        <v>ok</v>
      </c>
    </row>
    <row r="42" spans="1:29" ht="18.75" customHeight="1" x14ac:dyDescent="0.6">
      <c r="A42" s="1432">
        <v>35</v>
      </c>
      <c r="B42" s="1456" t="s">
        <v>7957</v>
      </c>
      <c r="C42" s="1451" t="s">
        <v>7895</v>
      </c>
      <c r="D42" s="1437">
        <v>0</v>
      </c>
      <c r="E42" s="1437">
        <v>0</v>
      </c>
      <c r="F42" s="1437">
        <v>0</v>
      </c>
      <c r="G42" s="1437">
        <v>0</v>
      </c>
      <c r="H42" s="1438">
        <v>0</v>
      </c>
      <c r="I42" s="1439">
        <v>0</v>
      </c>
      <c r="J42" s="1440">
        <v>5</v>
      </c>
      <c r="K42" s="1441">
        <v>4</v>
      </c>
      <c r="L42" s="1442">
        <v>3060</v>
      </c>
      <c r="M42" s="1443">
        <f t="shared" si="1"/>
        <v>1</v>
      </c>
      <c r="N42" s="1455">
        <v>765</v>
      </c>
      <c r="O42" s="1444">
        <f t="shared" si="2"/>
        <v>765</v>
      </c>
      <c r="P42" s="1445">
        <v>0</v>
      </c>
      <c r="Q42" s="1445">
        <v>0</v>
      </c>
      <c r="R42" s="1443">
        <f t="shared" si="9"/>
        <v>1</v>
      </c>
      <c r="S42" s="1445">
        <f t="shared" si="4"/>
        <v>765</v>
      </c>
      <c r="T42" s="1445">
        <v>0</v>
      </c>
      <c r="U42" s="1445">
        <v>0</v>
      </c>
      <c r="V42" s="1445">
        <v>0</v>
      </c>
      <c r="W42" s="1445">
        <v>0</v>
      </c>
      <c r="X42" s="1446">
        <f t="shared" si="5"/>
        <v>1</v>
      </c>
      <c r="Y42" s="1447">
        <f t="shared" si="6"/>
        <v>765</v>
      </c>
      <c r="Z42" s="1448" t="s">
        <v>7799</v>
      </c>
      <c r="AA42" s="1434" t="s">
        <v>7923</v>
      </c>
      <c r="AC42" s="1246" t="str">
        <f t="shared" si="0"/>
        <v>ok</v>
      </c>
    </row>
    <row r="43" spans="1:29" ht="18.75" customHeight="1" x14ac:dyDescent="0.6">
      <c r="A43" s="1432">
        <v>36</v>
      </c>
      <c r="B43" s="1456" t="s">
        <v>7958</v>
      </c>
      <c r="C43" s="1451" t="s">
        <v>7895</v>
      </c>
      <c r="D43" s="1437">
        <v>0</v>
      </c>
      <c r="E43" s="1437">
        <v>0</v>
      </c>
      <c r="F43" s="1437">
        <v>0</v>
      </c>
      <c r="G43" s="1437">
        <v>0</v>
      </c>
      <c r="H43" s="1438">
        <v>0</v>
      </c>
      <c r="I43" s="1439">
        <v>0</v>
      </c>
      <c r="J43" s="1440">
        <v>1</v>
      </c>
      <c r="K43" s="1441">
        <v>0</v>
      </c>
      <c r="L43" s="1442">
        <v>0</v>
      </c>
      <c r="M43" s="1443">
        <f t="shared" si="1"/>
        <v>1</v>
      </c>
      <c r="N43" s="1439">
        <v>450</v>
      </c>
      <c r="O43" s="1444">
        <f t="shared" si="2"/>
        <v>450</v>
      </c>
      <c r="P43" s="1445">
        <v>0</v>
      </c>
      <c r="Q43" s="1445">
        <v>0</v>
      </c>
      <c r="R43" s="1443">
        <f t="shared" si="9"/>
        <v>1</v>
      </c>
      <c r="S43" s="1445">
        <f t="shared" si="4"/>
        <v>450</v>
      </c>
      <c r="T43" s="1445">
        <v>0</v>
      </c>
      <c r="U43" s="1445">
        <v>0</v>
      </c>
      <c r="V43" s="1445">
        <v>0</v>
      </c>
      <c r="W43" s="1445">
        <v>0</v>
      </c>
      <c r="X43" s="1446">
        <f t="shared" si="5"/>
        <v>1</v>
      </c>
      <c r="Y43" s="1447">
        <f t="shared" si="6"/>
        <v>450</v>
      </c>
      <c r="Z43" s="1448" t="s">
        <v>7799</v>
      </c>
      <c r="AA43" s="1434" t="s">
        <v>7923</v>
      </c>
      <c r="AC43" s="1246" t="str">
        <f t="shared" si="0"/>
        <v>ok</v>
      </c>
    </row>
    <row r="44" spans="1:29" ht="18.75" customHeight="1" x14ac:dyDescent="0.6">
      <c r="A44" s="1432">
        <v>37</v>
      </c>
      <c r="B44" s="1456" t="s">
        <v>7959</v>
      </c>
      <c r="C44" s="1451" t="s">
        <v>7960</v>
      </c>
      <c r="D44" s="1437">
        <v>0</v>
      </c>
      <c r="E44" s="1437">
        <v>0</v>
      </c>
      <c r="F44" s="1437">
        <v>0</v>
      </c>
      <c r="G44" s="1437">
        <v>0</v>
      </c>
      <c r="H44" s="1438">
        <v>0</v>
      </c>
      <c r="I44" s="1439">
        <v>0</v>
      </c>
      <c r="J44" s="1439">
        <v>1</v>
      </c>
      <c r="K44" s="1439">
        <v>0</v>
      </c>
      <c r="L44" s="1439">
        <v>0</v>
      </c>
      <c r="M44" s="1443">
        <f t="shared" si="1"/>
        <v>1</v>
      </c>
      <c r="N44" s="1439">
        <v>890</v>
      </c>
      <c r="O44" s="1444">
        <f t="shared" si="2"/>
        <v>890</v>
      </c>
      <c r="P44" s="1445">
        <v>0</v>
      </c>
      <c r="Q44" s="1445">
        <v>0</v>
      </c>
      <c r="R44" s="1443">
        <f t="shared" si="9"/>
        <v>1</v>
      </c>
      <c r="S44" s="1445">
        <f t="shared" si="4"/>
        <v>890</v>
      </c>
      <c r="T44" s="1445">
        <v>0</v>
      </c>
      <c r="U44" s="1445">
        <v>0</v>
      </c>
      <c r="V44" s="1445">
        <v>0</v>
      </c>
      <c r="W44" s="1445">
        <v>0</v>
      </c>
      <c r="X44" s="1446">
        <f t="shared" si="5"/>
        <v>1</v>
      </c>
      <c r="Y44" s="1447">
        <f t="shared" si="6"/>
        <v>890</v>
      </c>
      <c r="Z44" s="1448" t="s">
        <v>7799</v>
      </c>
      <c r="AA44" s="1434" t="s">
        <v>7923</v>
      </c>
      <c r="AC44" s="1246" t="str">
        <f t="shared" si="0"/>
        <v>ok</v>
      </c>
    </row>
    <row r="45" spans="1:29" ht="18.75" customHeight="1" x14ac:dyDescent="0.6">
      <c r="A45" s="1432">
        <v>38</v>
      </c>
      <c r="B45" s="1456" t="s">
        <v>7961</v>
      </c>
      <c r="C45" s="1451" t="s">
        <v>7798</v>
      </c>
      <c r="D45" s="1437">
        <v>0</v>
      </c>
      <c r="E45" s="1437">
        <v>0</v>
      </c>
      <c r="F45" s="1437">
        <v>0</v>
      </c>
      <c r="G45" s="1437">
        <v>0</v>
      </c>
      <c r="H45" s="1438">
        <v>0</v>
      </c>
      <c r="I45" s="1439">
        <v>0</v>
      </c>
      <c r="J45" s="1439">
        <v>5</v>
      </c>
      <c r="K45" s="1439">
        <v>2</v>
      </c>
      <c r="L45" s="1439">
        <v>500</v>
      </c>
      <c r="M45" s="1443">
        <f t="shared" si="1"/>
        <v>3</v>
      </c>
      <c r="N45" s="1439">
        <v>150</v>
      </c>
      <c r="O45" s="1444">
        <f t="shared" si="2"/>
        <v>450</v>
      </c>
      <c r="P45" s="1445">
        <v>0</v>
      </c>
      <c r="Q45" s="1445">
        <v>0</v>
      </c>
      <c r="R45" s="1443">
        <f t="shared" si="9"/>
        <v>3</v>
      </c>
      <c r="S45" s="1445">
        <f t="shared" si="4"/>
        <v>450</v>
      </c>
      <c r="T45" s="1445">
        <v>0</v>
      </c>
      <c r="U45" s="1445">
        <v>0</v>
      </c>
      <c r="V45" s="1445">
        <v>0</v>
      </c>
      <c r="W45" s="1445">
        <v>0</v>
      </c>
      <c r="X45" s="1446">
        <f t="shared" si="5"/>
        <v>3</v>
      </c>
      <c r="Y45" s="1447">
        <f t="shared" si="6"/>
        <v>450</v>
      </c>
      <c r="Z45" s="1448" t="s">
        <v>7799</v>
      </c>
      <c r="AA45" s="1434" t="s">
        <v>7923</v>
      </c>
      <c r="AC45" s="1246" t="str">
        <f t="shared" si="0"/>
        <v>ok</v>
      </c>
    </row>
    <row r="46" spans="1:29" ht="18.75" customHeight="1" x14ac:dyDescent="0.6">
      <c r="A46" s="1432">
        <v>39</v>
      </c>
      <c r="B46" s="1456" t="s">
        <v>7962</v>
      </c>
      <c r="C46" s="1451" t="s">
        <v>7960</v>
      </c>
      <c r="D46" s="1437"/>
      <c r="E46" s="1437">
        <v>0</v>
      </c>
      <c r="F46" s="1437">
        <v>0</v>
      </c>
      <c r="G46" s="1437">
        <v>0</v>
      </c>
      <c r="H46" s="1438">
        <v>0</v>
      </c>
      <c r="I46" s="1439">
        <v>0</v>
      </c>
      <c r="J46" s="1439">
        <v>4</v>
      </c>
      <c r="K46" s="1439">
        <v>0</v>
      </c>
      <c r="L46" s="1439">
        <v>0</v>
      </c>
      <c r="M46" s="1443">
        <f>J46-K46</f>
        <v>4</v>
      </c>
      <c r="N46" s="1439">
        <v>250</v>
      </c>
      <c r="O46" s="1444">
        <f t="shared" si="2"/>
        <v>1000</v>
      </c>
      <c r="P46" s="1445"/>
      <c r="Q46" s="1445">
        <v>0</v>
      </c>
      <c r="R46" s="1443">
        <f t="shared" si="9"/>
        <v>4</v>
      </c>
      <c r="S46" s="1445">
        <f t="shared" si="4"/>
        <v>1000</v>
      </c>
      <c r="T46" s="1445">
        <v>0</v>
      </c>
      <c r="U46" s="1445">
        <v>0</v>
      </c>
      <c r="V46" s="1445">
        <v>0</v>
      </c>
      <c r="W46" s="1445">
        <v>0</v>
      </c>
      <c r="X46" s="1446">
        <f t="shared" si="5"/>
        <v>4</v>
      </c>
      <c r="Y46" s="1447">
        <f t="shared" si="6"/>
        <v>1000</v>
      </c>
      <c r="Z46" s="1448" t="s">
        <v>7799</v>
      </c>
      <c r="AA46" s="1434" t="s">
        <v>7923</v>
      </c>
      <c r="AC46" s="1246" t="str">
        <f t="shared" si="0"/>
        <v>ok</v>
      </c>
    </row>
    <row r="47" spans="1:29" ht="18.75" customHeight="1" x14ac:dyDescent="0.6">
      <c r="A47" s="1432">
        <v>40</v>
      </c>
      <c r="B47" s="1456" t="s">
        <v>7963</v>
      </c>
      <c r="C47" s="1451" t="s">
        <v>7960</v>
      </c>
      <c r="D47" s="1437"/>
      <c r="E47" s="1437">
        <v>0</v>
      </c>
      <c r="F47" s="1437">
        <v>0</v>
      </c>
      <c r="G47" s="1437">
        <v>0</v>
      </c>
      <c r="H47" s="1438">
        <v>0</v>
      </c>
      <c r="I47" s="1439">
        <v>0</v>
      </c>
      <c r="J47" s="1439">
        <v>2</v>
      </c>
      <c r="K47" s="1439">
        <v>0</v>
      </c>
      <c r="L47" s="1439">
        <v>0</v>
      </c>
      <c r="M47" s="1443">
        <v>2</v>
      </c>
      <c r="N47" s="1439">
        <v>350</v>
      </c>
      <c r="O47" s="1444">
        <f t="shared" si="2"/>
        <v>700</v>
      </c>
      <c r="P47" s="1445"/>
      <c r="Q47" s="1445">
        <v>0</v>
      </c>
      <c r="R47" s="1443">
        <f t="shared" si="9"/>
        <v>2</v>
      </c>
      <c r="S47" s="1445">
        <f t="shared" si="4"/>
        <v>700</v>
      </c>
      <c r="T47" s="1445">
        <v>0</v>
      </c>
      <c r="U47" s="1445">
        <v>0</v>
      </c>
      <c r="V47" s="1445">
        <v>0</v>
      </c>
      <c r="W47" s="1445">
        <v>0</v>
      </c>
      <c r="X47" s="1446">
        <v>2</v>
      </c>
      <c r="Y47" s="1447">
        <f t="shared" si="6"/>
        <v>700</v>
      </c>
      <c r="Z47" s="1448" t="s">
        <v>7799</v>
      </c>
      <c r="AA47" s="1434" t="s">
        <v>7923</v>
      </c>
      <c r="AC47" s="1246"/>
    </row>
    <row r="48" spans="1:29" ht="18.75" customHeight="1" x14ac:dyDescent="0.6">
      <c r="A48" s="1432">
        <v>41</v>
      </c>
      <c r="B48" s="1456" t="s">
        <v>7964</v>
      </c>
      <c r="C48" s="1451" t="s">
        <v>7960</v>
      </c>
      <c r="D48" s="1437"/>
      <c r="E48" s="1437">
        <v>0</v>
      </c>
      <c r="F48" s="1437">
        <v>0</v>
      </c>
      <c r="G48" s="1437">
        <v>0</v>
      </c>
      <c r="H48" s="1438">
        <v>0</v>
      </c>
      <c r="I48" s="1439">
        <v>0</v>
      </c>
      <c r="J48" s="1439">
        <v>1</v>
      </c>
      <c r="K48" s="1439">
        <v>0</v>
      </c>
      <c r="L48" s="1439">
        <v>0</v>
      </c>
      <c r="M48" s="1443">
        <v>1</v>
      </c>
      <c r="N48" s="1439">
        <v>550</v>
      </c>
      <c r="O48" s="1444">
        <f t="shared" si="2"/>
        <v>550</v>
      </c>
      <c r="P48" s="1445"/>
      <c r="Q48" s="1445">
        <v>0</v>
      </c>
      <c r="R48" s="1443">
        <f t="shared" si="9"/>
        <v>1</v>
      </c>
      <c r="S48" s="1445">
        <f t="shared" si="4"/>
        <v>550</v>
      </c>
      <c r="T48" s="1445">
        <v>0</v>
      </c>
      <c r="U48" s="1445">
        <v>0</v>
      </c>
      <c r="V48" s="1445">
        <v>0</v>
      </c>
      <c r="W48" s="1445">
        <v>0</v>
      </c>
      <c r="X48" s="1446">
        <v>1</v>
      </c>
      <c r="Y48" s="1447">
        <f t="shared" si="6"/>
        <v>550</v>
      </c>
      <c r="Z48" s="1448" t="s">
        <v>7799</v>
      </c>
      <c r="AA48" s="1434" t="s">
        <v>7923</v>
      </c>
      <c r="AC48" s="1246"/>
    </row>
    <row r="49" spans="1:29" x14ac:dyDescent="0.6">
      <c r="A49" s="1389" t="s">
        <v>7433</v>
      </c>
      <c r="B49" s="1389"/>
      <c r="C49" s="1389"/>
      <c r="D49" s="1392">
        <f t="shared" ref="D49" si="10">SUM(D8:D45)</f>
        <v>204</v>
      </c>
      <c r="E49" s="1392">
        <f>SUM(E8:E45)</f>
        <v>143030</v>
      </c>
      <c r="F49" s="1392">
        <f>SUM(F8:F45)</f>
        <v>225</v>
      </c>
      <c r="G49" s="1392">
        <f>SUM(G8:G45)</f>
        <v>148940</v>
      </c>
      <c r="H49" s="1392">
        <f>SUM(H8:H45)</f>
        <v>249</v>
      </c>
      <c r="I49" s="1392">
        <f>SUM(I8:I45)</f>
        <v>171880</v>
      </c>
      <c r="J49" s="1392">
        <f>SUM(J8:J48)</f>
        <v>397</v>
      </c>
      <c r="K49" s="1392">
        <f>SUM(K8:K46)</f>
        <v>116</v>
      </c>
      <c r="L49" s="1392">
        <f>SUM(L8:L46)</f>
        <v>52800</v>
      </c>
      <c r="M49" s="1392">
        <f>SUM(M8:M46)</f>
        <v>278</v>
      </c>
      <c r="N49" s="1392">
        <f>SUM(N8:N48)</f>
        <v>43675</v>
      </c>
      <c r="O49" s="1392">
        <f>SUM(O8:O46)</f>
        <v>180975</v>
      </c>
      <c r="P49" s="1392">
        <f>SUM(P8:P45)</f>
        <v>55</v>
      </c>
      <c r="Q49" s="1392">
        <f>SUM(Q8:Q45)</f>
        <v>21640</v>
      </c>
      <c r="R49" s="1392">
        <f>SUM(R8:R46)</f>
        <v>130</v>
      </c>
      <c r="S49" s="1392">
        <f>SUM(S8:S46)</f>
        <v>109945</v>
      </c>
      <c r="T49" s="1392">
        <f>SUM(T8:T45)</f>
        <v>64</v>
      </c>
      <c r="U49" s="1392">
        <f>SUM(U8:U46)</f>
        <v>30020</v>
      </c>
      <c r="V49" s="1392">
        <f>SUM(V8:V45)</f>
        <v>24</v>
      </c>
      <c r="W49" s="1392">
        <f>SUM(W8:W46)</f>
        <v>10510</v>
      </c>
      <c r="X49" s="1392">
        <f>SUM(X8:X46)</f>
        <v>278</v>
      </c>
      <c r="Y49" s="1392">
        <f>SUM(Y8:Y46)</f>
        <v>180975</v>
      </c>
      <c r="Z49" s="1392"/>
      <c r="AA49" s="1392"/>
      <c r="AC49" s="1246" t="str">
        <f t="shared" si="0"/>
        <v>ok</v>
      </c>
    </row>
    <row r="50" spans="1:29" x14ac:dyDescent="0.6">
      <c r="B50" s="1280"/>
      <c r="D50" s="1280"/>
      <c r="E50" s="1280"/>
      <c r="F50" s="1280"/>
      <c r="G50" s="1399"/>
      <c r="H50" s="1397"/>
      <c r="I50" s="1397"/>
      <c r="J50" s="1397"/>
      <c r="K50" s="1397"/>
      <c r="L50" s="1397"/>
      <c r="M50" s="1457"/>
      <c r="N50" s="1400"/>
      <c r="O50" s="1400"/>
      <c r="P50" s="1458"/>
      <c r="Q50" s="1458"/>
      <c r="R50" s="1458"/>
      <c r="S50" s="1458"/>
      <c r="T50" s="1458"/>
      <c r="U50" s="1458"/>
      <c r="V50" s="1458"/>
      <c r="W50" s="1458"/>
      <c r="X50" s="1457"/>
      <c r="Y50" s="1457"/>
      <c r="AA50" s="1402"/>
    </row>
    <row r="51" spans="1:29" x14ac:dyDescent="0.6">
      <c r="B51" s="1280"/>
      <c r="D51" s="1280"/>
      <c r="E51" s="1280"/>
      <c r="F51" s="1280"/>
      <c r="G51" s="1399"/>
    </row>
    <row r="52" spans="1:29" x14ac:dyDescent="0.6">
      <c r="B52" s="1280"/>
      <c r="D52" s="1280"/>
      <c r="E52" s="1280"/>
      <c r="F52" s="1280"/>
      <c r="G52" s="1399"/>
      <c r="H52" s="1459" t="s">
        <v>7914</v>
      </c>
      <c r="M52" s="1459"/>
      <c r="N52" s="1459"/>
      <c r="O52" s="1459"/>
      <c r="P52" s="1459"/>
      <c r="Q52" s="1459"/>
      <c r="R52" s="1280" t="s">
        <v>7915</v>
      </c>
      <c r="S52" s="1280"/>
      <c r="T52" s="1280"/>
      <c r="U52" s="1280"/>
      <c r="V52" s="1280"/>
      <c r="W52" s="1280"/>
      <c r="Z52" s="1280"/>
    </row>
    <row r="53" spans="1:29" x14ac:dyDescent="0.6">
      <c r="B53" s="1280"/>
      <c r="D53" s="1280"/>
      <c r="E53" s="1280"/>
      <c r="F53" s="1280"/>
      <c r="G53" s="1399"/>
      <c r="H53" s="1459" t="s">
        <v>7916</v>
      </c>
      <c r="M53" s="1459"/>
      <c r="N53" s="1459"/>
      <c r="O53" s="1459"/>
      <c r="P53" s="1459"/>
      <c r="Q53" s="1459"/>
      <c r="R53" s="1280" t="s">
        <v>7917</v>
      </c>
      <c r="S53" s="1280"/>
      <c r="T53" s="1280"/>
      <c r="U53" s="1280"/>
      <c r="V53" s="1280"/>
      <c r="W53" s="1280"/>
      <c r="Z53" s="1280"/>
    </row>
    <row r="54" spans="1:29" x14ac:dyDescent="0.6">
      <c r="H54" s="1459" t="s">
        <v>7918</v>
      </c>
      <c r="M54" s="1459"/>
      <c r="N54" s="1459"/>
      <c r="O54" s="1459"/>
      <c r="P54" s="1459"/>
      <c r="Q54" s="1459"/>
      <c r="R54" s="1280" t="s">
        <v>7771</v>
      </c>
      <c r="S54" s="1280"/>
      <c r="T54" s="1280"/>
      <c r="U54" s="1280"/>
      <c r="V54" s="1280"/>
      <c r="W54" s="1280"/>
      <c r="Z54" s="1280"/>
    </row>
    <row r="55" spans="1:29" x14ac:dyDescent="0.6">
      <c r="H55" s="1459" t="s">
        <v>7919</v>
      </c>
      <c r="M55" s="1459"/>
      <c r="N55" s="1459"/>
      <c r="O55" s="1459"/>
      <c r="P55" s="1459"/>
      <c r="Q55" s="1459"/>
      <c r="R55" s="1459"/>
      <c r="S55" s="1459"/>
      <c r="Y55" s="1402"/>
      <c r="Z55" s="1405"/>
    </row>
    <row r="56" spans="1:29" x14ac:dyDescent="0.6">
      <c r="P56" s="1399" t="s">
        <v>7380</v>
      </c>
    </row>
    <row r="57" spans="1:29" x14ac:dyDescent="0.6">
      <c r="P57" s="1457"/>
      <c r="Q57" s="1457"/>
    </row>
    <row r="58" spans="1:29" x14ac:dyDescent="0.6">
      <c r="AA58" s="1401"/>
    </row>
    <row r="62" spans="1:29" x14ac:dyDescent="0.6">
      <c r="A62" s="1280"/>
    </row>
    <row r="63" spans="1:29" x14ac:dyDescent="0.6">
      <c r="A63" s="1280"/>
    </row>
    <row r="64" spans="1:29" x14ac:dyDescent="0.6">
      <c r="A64" s="1280"/>
      <c r="N64" s="1399"/>
      <c r="O64" s="1280"/>
      <c r="Z64" s="1280"/>
    </row>
    <row r="65" spans="1:26" x14ac:dyDescent="0.6">
      <c r="A65" s="1280"/>
      <c r="N65" s="1399"/>
      <c r="O65" s="1280"/>
      <c r="Z65" s="1280"/>
    </row>
    <row r="66" spans="1:26" x14ac:dyDescent="0.6">
      <c r="A66" s="1280"/>
      <c r="N66" s="1399"/>
      <c r="O66" s="1280"/>
      <c r="Z66" s="1280"/>
    </row>
    <row r="67" spans="1:26" x14ac:dyDescent="0.6">
      <c r="A67" s="1280"/>
      <c r="N67" s="1399"/>
      <c r="O67" s="1280"/>
      <c r="Z67" s="1280"/>
    </row>
    <row r="68" spans="1:26" x14ac:dyDescent="0.6">
      <c r="A68" s="1280"/>
      <c r="N68" s="1399"/>
      <c r="O68" s="1280"/>
      <c r="Z68" s="1280"/>
    </row>
    <row r="69" spans="1:26" x14ac:dyDescent="0.6">
      <c r="A69" s="1280"/>
      <c r="N69" s="1399"/>
      <c r="O69" s="1280"/>
      <c r="Z69" s="1280"/>
    </row>
    <row r="70" spans="1:26" x14ac:dyDescent="0.6">
      <c r="A70" s="1280"/>
      <c r="N70" s="1399"/>
      <c r="O70" s="1280"/>
      <c r="Z70" s="1280"/>
    </row>
    <row r="71" spans="1:26" x14ac:dyDescent="0.6">
      <c r="A71" s="1280"/>
      <c r="N71" s="1399"/>
      <c r="O71" s="1280"/>
      <c r="Z71" s="1280"/>
    </row>
    <row r="72" spans="1:26" x14ac:dyDescent="0.6">
      <c r="A72" s="1280"/>
      <c r="N72" s="1399"/>
      <c r="O72" s="1280"/>
      <c r="Z72" s="1280"/>
    </row>
    <row r="73" spans="1:26" x14ac:dyDescent="0.6">
      <c r="A73" s="1280"/>
      <c r="N73" s="1399"/>
      <c r="O73" s="1280"/>
      <c r="Z73" s="1280"/>
    </row>
    <row r="74" spans="1:26" x14ac:dyDescent="0.6">
      <c r="A74" s="1280"/>
      <c r="N74" s="1399"/>
      <c r="O74" s="1280"/>
      <c r="Z74" s="1280"/>
    </row>
    <row r="75" spans="1:26" x14ac:dyDescent="0.6">
      <c r="A75" s="1280"/>
      <c r="N75" s="1399"/>
      <c r="O75" s="1280"/>
      <c r="Z75" s="1280"/>
    </row>
    <row r="76" spans="1:26" x14ac:dyDescent="0.6">
      <c r="A76" s="1280"/>
      <c r="N76" s="1399"/>
      <c r="O76" s="1280"/>
      <c r="Z76" s="1280"/>
    </row>
    <row r="77" spans="1:26" x14ac:dyDescent="0.6">
      <c r="A77" s="1280"/>
      <c r="N77" s="1399"/>
      <c r="O77" s="1280"/>
      <c r="Z77" s="1280"/>
    </row>
    <row r="78" spans="1:26" x14ac:dyDescent="0.6">
      <c r="A78" s="1280"/>
      <c r="N78" s="1399"/>
      <c r="O78" s="1280"/>
      <c r="Z78" s="1280"/>
    </row>
    <row r="79" spans="1:26" x14ac:dyDescent="0.6">
      <c r="A79" s="1280"/>
      <c r="N79" s="1399"/>
      <c r="O79" s="1280"/>
      <c r="Z79" s="1280"/>
    </row>
    <row r="80" spans="1:26" x14ac:dyDescent="0.6">
      <c r="A80" s="1280"/>
      <c r="N80" s="1399"/>
      <c r="O80" s="1280"/>
      <c r="Z80" s="1280"/>
    </row>
    <row r="81" spans="1:26" x14ac:dyDescent="0.6">
      <c r="A81" s="1280"/>
      <c r="N81" s="1399"/>
      <c r="O81" s="1280"/>
      <c r="Z81" s="1280"/>
    </row>
    <row r="82" spans="1:26" x14ac:dyDescent="0.6">
      <c r="A82" s="1280"/>
      <c r="N82" s="1399"/>
      <c r="O82" s="1280"/>
      <c r="Z82" s="1280"/>
    </row>
    <row r="83" spans="1:26" x14ac:dyDescent="0.6">
      <c r="A83" s="1280"/>
      <c r="N83" s="1399"/>
      <c r="O83" s="1280"/>
      <c r="Z83" s="1280"/>
    </row>
    <row r="84" spans="1:26" x14ac:dyDescent="0.6">
      <c r="A84" s="1280"/>
      <c r="N84" s="1399"/>
      <c r="O84" s="1280"/>
      <c r="Z84" s="1280"/>
    </row>
    <row r="85" spans="1:26" x14ac:dyDescent="0.6">
      <c r="A85" s="1280"/>
      <c r="N85" s="1399"/>
      <c r="O85" s="1280"/>
      <c r="Z85" s="1280"/>
    </row>
    <row r="86" spans="1:26" x14ac:dyDescent="0.6">
      <c r="A86" s="1280"/>
      <c r="N86" s="1399"/>
      <c r="O86" s="1280"/>
      <c r="Z86" s="1280"/>
    </row>
    <row r="87" spans="1:26" x14ac:dyDescent="0.6">
      <c r="A87" s="1280"/>
      <c r="N87" s="1399"/>
      <c r="O87" s="1280"/>
      <c r="Z87" s="1280"/>
    </row>
    <row r="88" spans="1:26" x14ac:dyDescent="0.6">
      <c r="A88" s="1280"/>
      <c r="N88" s="1399"/>
      <c r="O88" s="1280"/>
      <c r="Z88" s="1280"/>
    </row>
    <row r="89" spans="1:26" x14ac:dyDescent="0.6">
      <c r="A89" s="1280"/>
      <c r="N89" s="1399"/>
      <c r="O89" s="1280"/>
      <c r="Z89" s="1280"/>
    </row>
    <row r="90" spans="1:26" x14ac:dyDescent="0.6">
      <c r="A90" s="1280"/>
      <c r="N90" s="1399"/>
      <c r="O90" s="1280"/>
      <c r="Z90" s="1280"/>
    </row>
    <row r="91" spans="1:26" x14ac:dyDescent="0.6">
      <c r="A91" s="1280"/>
      <c r="N91" s="1399"/>
      <c r="O91" s="1280"/>
      <c r="Z91" s="1280"/>
    </row>
    <row r="92" spans="1:26" x14ac:dyDescent="0.6">
      <c r="A92" s="1280"/>
      <c r="N92" s="1399"/>
      <c r="O92" s="1280"/>
      <c r="Z92" s="1280"/>
    </row>
    <row r="93" spans="1:26" x14ac:dyDescent="0.6">
      <c r="A93" s="1280"/>
      <c r="N93" s="1399"/>
      <c r="O93" s="1280"/>
      <c r="Z93" s="1280"/>
    </row>
    <row r="94" spans="1:26" x14ac:dyDescent="0.6">
      <c r="A94" s="1280"/>
      <c r="N94" s="1399"/>
      <c r="O94" s="1280"/>
      <c r="Z94" s="1280"/>
    </row>
    <row r="95" spans="1:26" x14ac:dyDescent="0.6">
      <c r="A95" s="1280"/>
      <c r="N95" s="1399"/>
      <c r="O95" s="1280"/>
      <c r="Z95" s="1280"/>
    </row>
    <row r="96" spans="1:26" x14ac:dyDescent="0.6">
      <c r="A96" s="1280"/>
      <c r="N96" s="1399"/>
      <c r="O96" s="1280"/>
      <c r="Z96" s="1280"/>
    </row>
    <row r="97" spans="1:26" x14ac:dyDescent="0.6">
      <c r="A97" s="1280"/>
      <c r="N97" s="1399"/>
      <c r="O97" s="1280"/>
      <c r="Z97" s="1280"/>
    </row>
    <row r="98" spans="1:26" x14ac:dyDescent="0.6">
      <c r="A98" s="1280"/>
      <c r="N98" s="1399"/>
      <c r="O98" s="1280"/>
      <c r="Z98" s="1280"/>
    </row>
    <row r="99" spans="1:26" x14ac:dyDescent="0.6">
      <c r="A99" s="1280"/>
      <c r="N99" s="1399"/>
      <c r="O99" s="1280"/>
      <c r="Z99" s="1280"/>
    </row>
    <row r="100" spans="1:26" x14ac:dyDescent="0.6">
      <c r="A100" s="1280"/>
      <c r="N100" s="1399"/>
      <c r="O100" s="1280"/>
      <c r="Z100" s="1280"/>
    </row>
    <row r="101" spans="1:26" x14ac:dyDescent="0.6">
      <c r="A101" s="1280"/>
      <c r="N101" s="1399"/>
      <c r="O101" s="1280"/>
      <c r="Z101" s="1280"/>
    </row>
    <row r="102" spans="1:26" x14ac:dyDescent="0.6">
      <c r="A102" s="1280"/>
      <c r="N102" s="1399"/>
      <c r="O102" s="1280"/>
      <c r="Z102" s="1280"/>
    </row>
    <row r="103" spans="1:26" x14ac:dyDescent="0.6">
      <c r="A103" s="1280"/>
      <c r="N103" s="1399"/>
      <c r="O103" s="1280"/>
      <c r="Z103" s="1280"/>
    </row>
    <row r="104" spans="1:26" x14ac:dyDescent="0.6">
      <c r="A104" s="1280"/>
      <c r="N104" s="1399"/>
      <c r="O104" s="1280"/>
      <c r="Z104" s="1280"/>
    </row>
    <row r="105" spans="1:26" x14ac:dyDescent="0.6">
      <c r="A105" s="1280"/>
      <c r="N105" s="1399"/>
      <c r="O105" s="1280"/>
      <c r="Z105" s="1280"/>
    </row>
    <row r="106" spans="1:26" x14ac:dyDescent="0.6">
      <c r="A106" s="1280"/>
      <c r="N106" s="1399"/>
      <c r="O106" s="1280"/>
      <c r="Z106" s="1280"/>
    </row>
    <row r="107" spans="1:26" x14ac:dyDescent="0.6">
      <c r="A107" s="1280"/>
      <c r="N107" s="1399"/>
      <c r="O107" s="1280"/>
      <c r="Z107" s="1280"/>
    </row>
    <row r="108" spans="1:26" x14ac:dyDescent="0.6">
      <c r="A108" s="1280"/>
      <c r="N108" s="1399"/>
      <c r="O108" s="1280"/>
      <c r="Z108" s="1280"/>
    </row>
    <row r="109" spans="1:26" x14ac:dyDescent="0.6">
      <c r="A109" s="1280"/>
      <c r="N109" s="1399"/>
      <c r="O109" s="1280"/>
      <c r="Z109" s="1280"/>
    </row>
    <row r="110" spans="1:26" x14ac:dyDescent="0.6">
      <c r="A110" s="1280"/>
      <c r="N110" s="1399"/>
      <c r="O110" s="1280"/>
      <c r="Z110" s="1280"/>
    </row>
    <row r="111" spans="1:26" x14ac:dyDescent="0.6">
      <c r="A111" s="1280"/>
      <c r="N111" s="1399"/>
      <c r="O111" s="1280"/>
      <c r="Z111" s="1280"/>
    </row>
    <row r="112" spans="1:26" x14ac:dyDescent="0.6">
      <c r="A112" s="1280"/>
      <c r="N112" s="1399"/>
      <c r="O112" s="1280"/>
      <c r="Z112" s="1280"/>
    </row>
    <row r="113" spans="1:26" x14ac:dyDescent="0.6">
      <c r="A113" s="1280"/>
      <c r="N113" s="1399"/>
      <c r="O113" s="1280"/>
      <c r="Z113" s="1280"/>
    </row>
    <row r="114" spans="1:26" x14ac:dyDescent="0.6">
      <c r="A114" s="1280"/>
      <c r="N114" s="1399"/>
      <c r="O114" s="1280"/>
      <c r="Z114" s="1280"/>
    </row>
    <row r="115" spans="1:26" x14ac:dyDescent="0.6">
      <c r="A115" s="1280"/>
      <c r="N115" s="1399"/>
      <c r="O115" s="1280"/>
      <c r="Z115" s="1280"/>
    </row>
    <row r="116" spans="1:26" x14ac:dyDescent="0.6">
      <c r="A116" s="1280"/>
      <c r="N116" s="1399"/>
      <c r="O116" s="1280"/>
      <c r="Z116" s="1280"/>
    </row>
    <row r="117" spans="1:26" x14ac:dyDescent="0.6">
      <c r="A117" s="1280"/>
      <c r="N117" s="1399"/>
      <c r="O117" s="1280"/>
      <c r="Z117" s="1280"/>
    </row>
    <row r="118" spans="1:26" x14ac:dyDescent="0.6">
      <c r="A118" s="1280"/>
      <c r="N118" s="1399"/>
      <c r="O118" s="1280"/>
      <c r="Z118" s="1280"/>
    </row>
    <row r="119" spans="1:26" x14ac:dyDescent="0.6">
      <c r="A119" s="1280"/>
      <c r="N119" s="1399"/>
      <c r="O119" s="1280"/>
      <c r="Z119" s="1280"/>
    </row>
    <row r="120" spans="1:26" x14ac:dyDescent="0.6">
      <c r="A120" s="1280"/>
      <c r="N120" s="1399"/>
      <c r="O120" s="1280"/>
      <c r="Z120" s="1280"/>
    </row>
    <row r="121" spans="1:26" x14ac:dyDescent="0.6">
      <c r="A121" s="1280"/>
      <c r="N121" s="1399"/>
      <c r="O121" s="1280"/>
      <c r="Z121" s="1280"/>
    </row>
    <row r="122" spans="1:26" x14ac:dyDescent="0.6">
      <c r="A122" s="1280"/>
      <c r="N122" s="1399"/>
      <c r="O122" s="1280"/>
      <c r="Z122" s="1280"/>
    </row>
    <row r="123" spans="1:26" x14ac:dyDescent="0.6">
      <c r="A123" s="1280"/>
      <c r="N123" s="1399"/>
      <c r="O123" s="1280"/>
      <c r="Z123" s="1280"/>
    </row>
    <row r="124" spans="1:26" x14ac:dyDescent="0.6">
      <c r="A124" s="1280"/>
      <c r="N124" s="1399"/>
      <c r="O124" s="1280"/>
      <c r="Z124" s="1280"/>
    </row>
    <row r="125" spans="1:26" x14ac:dyDescent="0.6">
      <c r="A125" s="1280"/>
      <c r="N125" s="1399"/>
      <c r="O125" s="1280"/>
      <c r="Z125" s="1280"/>
    </row>
    <row r="126" spans="1:26" x14ac:dyDescent="0.6">
      <c r="A126" s="1280"/>
      <c r="N126" s="1399"/>
      <c r="O126" s="1280"/>
      <c r="Z126" s="1280"/>
    </row>
    <row r="127" spans="1:26" x14ac:dyDescent="0.6">
      <c r="A127" s="1280"/>
      <c r="N127" s="1399"/>
      <c r="O127" s="1280"/>
      <c r="Z127" s="1280"/>
    </row>
    <row r="128" spans="1:26" x14ac:dyDescent="0.6">
      <c r="A128" s="1280"/>
      <c r="N128" s="1399"/>
      <c r="O128" s="1280"/>
      <c r="Z128" s="1280"/>
    </row>
    <row r="129" spans="1:26" x14ac:dyDescent="0.6">
      <c r="A129" s="1280"/>
      <c r="N129" s="1399"/>
      <c r="O129" s="1280"/>
      <c r="Z129" s="1280"/>
    </row>
    <row r="130" spans="1:26" x14ac:dyDescent="0.6">
      <c r="A130" s="1280"/>
      <c r="N130" s="1399"/>
      <c r="O130" s="1280"/>
      <c r="Z130" s="1280"/>
    </row>
    <row r="131" spans="1:26" x14ac:dyDescent="0.6">
      <c r="A131" s="1280"/>
      <c r="N131" s="1399"/>
      <c r="O131" s="1280"/>
      <c r="Z131" s="1280"/>
    </row>
    <row r="132" spans="1:26" x14ac:dyDescent="0.6">
      <c r="A132" s="1280"/>
      <c r="N132" s="1399"/>
      <c r="O132" s="1280"/>
      <c r="Z132" s="1280"/>
    </row>
    <row r="133" spans="1:26" x14ac:dyDescent="0.6">
      <c r="A133" s="1280"/>
      <c r="N133" s="1399"/>
      <c r="O133" s="1280"/>
      <c r="Z133" s="1280"/>
    </row>
    <row r="134" spans="1:26" x14ac:dyDescent="0.6">
      <c r="A134" s="1280"/>
      <c r="N134" s="1399"/>
      <c r="O134" s="1280"/>
      <c r="Z134" s="1280"/>
    </row>
    <row r="135" spans="1:26" x14ac:dyDescent="0.6">
      <c r="A135" s="1280"/>
      <c r="N135" s="1399"/>
      <c r="O135" s="1280"/>
      <c r="Z135" s="1280"/>
    </row>
    <row r="136" spans="1:26" x14ac:dyDescent="0.6">
      <c r="A136" s="1280"/>
      <c r="N136" s="1399"/>
      <c r="O136" s="1280"/>
      <c r="Z136" s="1280"/>
    </row>
    <row r="137" spans="1:26" x14ac:dyDescent="0.6">
      <c r="A137" s="1280"/>
      <c r="N137" s="1399"/>
      <c r="O137" s="1280"/>
      <c r="Z137" s="1280"/>
    </row>
    <row r="138" spans="1:26" x14ac:dyDescent="0.6">
      <c r="A138" s="1280"/>
      <c r="N138" s="1399"/>
      <c r="O138" s="1280"/>
      <c r="Z138" s="1280"/>
    </row>
    <row r="139" spans="1:26" x14ac:dyDescent="0.6">
      <c r="A139" s="1280"/>
      <c r="N139" s="1399"/>
      <c r="O139" s="1280"/>
      <c r="Z139" s="1280"/>
    </row>
    <row r="140" spans="1:26" x14ac:dyDescent="0.6">
      <c r="A140" s="1280"/>
      <c r="N140" s="1399"/>
      <c r="O140" s="1280"/>
      <c r="Z140" s="1280"/>
    </row>
    <row r="141" spans="1:26" x14ac:dyDescent="0.6">
      <c r="A141" s="1280"/>
      <c r="N141" s="1399"/>
      <c r="O141" s="1280"/>
      <c r="Z141" s="1280"/>
    </row>
    <row r="142" spans="1:26" x14ac:dyDescent="0.6">
      <c r="A142" s="1280"/>
      <c r="N142" s="1399"/>
      <c r="O142" s="1280"/>
      <c r="Z142" s="1280"/>
    </row>
    <row r="143" spans="1:26" x14ac:dyDescent="0.6">
      <c r="A143" s="1280"/>
      <c r="N143" s="1399"/>
      <c r="O143" s="1280"/>
      <c r="Z143" s="1280"/>
    </row>
    <row r="144" spans="1:26" x14ac:dyDescent="0.6">
      <c r="A144" s="1280"/>
      <c r="N144" s="1399"/>
      <c r="O144" s="1280"/>
      <c r="Z144" s="1280"/>
    </row>
    <row r="145" spans="1:26" x14ac:dyDescent="0.6">
      <c r="A145" s="1280"/>
      <c r="N145" s="1399"/>
      <c r="O145" s="1280"/>
      <c r="Z145" s="1280"/>
    </row>
    <row r="146" spans="1:26" x14ac:dyDescent="0.6">
      <c r="A146" s="1280"/>
      <c r="N146" s="1399"/>
      <c r="O146" s="1280"/>
      <c r="Z146" s="1280"/>
    </row>
    <row r="147" spans="1:26" x14ac:dyDescent="0.6">
      <c r="A147" s="1280"/>
      <c r="N147" s="1399"/>
      <c r="O147" s="1280"/>
      <c r="Z147" s="1280"/>
    </row>
    <row r="148" spans="1:26" x14ac:dyDescent="0.6">
      <c r="A148" s="1280"/>
      <c r="N148" s="1399"/>
      <c r="O148" s="1280"/>
      <c r="Z148" s="1280"/>
    </row>
    <row r="149" spans="1:26" x14ac:dyDescent="0.6">
      <c r="A149" s="1280"/>
      <c r="N149" s="1399"/>
      <c r="O149" s="1280"/>
      <c r="Z149" s="1280"/>
    </row>
    <row r="150" spans="1:26" x14ac:dyDescent="0.6">
      <c r="A150" s="1280"/>
      <c r="N150" s="1399"/>
      <c r="O150" s="1280"/>
      <c r="Z150" s="1280"/>
    </row>
    <row r="151" spans="1:26" x14ac:dyDescent="0.6">
      <c r="A151" s="1280"/>
      <c r="N151" s="1399"/>
      <c r="O151" s="1280"/>
      <c r="Z151" s="1280"/>
    </row>
    <row r="152" spans="1:26" x14ac:dyDescent="0.6">
      <c r="A152" s="1280"/>
      <c r="N152" s="1399"/>
      <c r="O152" s="1280"/>
      <c r="Z152" s="1280"/>
    </row>
    <row r="153" spans="1:26" x14ac:dyDescent="0.6">
      <c r="A153" s="1280"/>
      <c r="N153" s="1399"/>
      <c r="O153" s="1280"/>
      <c r="Z153" s="1280"/>
    </row>
    <row r="154" spans="1:26" x14ac:dyDescent="0.6">
      <c r="A154" s="1280"/>
      <c r="N154" s="1399"/>
      <c r="O154" s="1280"/>
      <c r="Z154" s="1280"/>
    </row>
    <row r="155" spans="1:26" x14ac:dyDescent="0.6">
      <c r="A155" s="1280"/>
      <c r="N155" s="1399"/>
      <c r="O155" s="1280"/>
      <c r="Z155" s="1280"/>
    </row>
    <row r="156" spans="1:26" x14ac:dyDescent="0.6">
      <c r="A156" s="1280"/>
      <c r="N156" s="1399"/>
      <c r="O156" s="1280"/>
      <c r="Z156" s="1280"/>
    </row>
    <row r="157" spans="1:26" x14ac:dyDescent="0.6">
      <c r="A157" s="1280"/>
      <c r="N157" s="1399"/>
      <c r="O157" s="1280"/>
      <c r="Z157" s="1280"/>
    </row>
    <row r="158" spans="1:26" x14ac:dyDescent="0.6">
      <c r="A158" s="1280"/>
      <c r="N158" s="1399"/>
      <c r="O158" s="1280"/>
      <c r="Z158" s="1280"/>
    </row>
    <row r="159" spans="1:26" x14ac:dyDescent="0.6">
      <c r="A159" s="1280"/>
      <c r="N159" s="1399"/>
      <c r="O159" s="1280"/>
      <c r="Z159" s="1280"/>
    </row>
    <row r="160" spans="1:26" x14ac:dyDescent="0.6">
      <c r="A160" s="1280"/>
      <c r="N160" s="1399"/>
      <c r="O160" s="1280"/>
      <c r="Z160" s="1280"/>
    </row>
    <row r="161" spans="1:26" x14ac:dyDescent="0.6">
      <c r="A161" s="1280"/>
      <c r="N161" s="1399"/>
      <c r="O161" s="1280"/>
      <c r="Z161" s="1280"/>
    </row>
    <row r="162" spans="1:26" x14ac:dyDescent="0.6">
      <c r="A162" s="1280"/>
      <c r="N162" s="1399"/>
      <c r="O162" s="1280"/>
      <c r="Z162" s="1280"/>
    </row>
    <row r="163" spans="1:26" x14ac:dyDescent="0.6">
      <c r="A163" s="1280"/>
      <c r="N163" s="1399"/>
      <c r="O163" s="1280"/>
      <c r="Z163" s="1280"/>
    </row>
    <row r="164" spans="1:26" x14ac:dyDescent="0.6">
      <c r="A164" s="1280"/>
      <c r="N164" s="1399"/>
      <c r="O164" s="1280"/>
      <c r="Z164" s="1280"/>
    </row>
    <row r="165" spans="1:26" x14ac:dyDescent="0.6">
      <c r="A165" s="1280"/>
      <c r="N165" s="1399"/>
      <c r="O165" s="1280"/>
      <c r="Z165" s="1280"/>
    </row>
    <row r="166" spans="1:26" x14ac:dyDescent="0.6">
      <c r="A166" s="1280"/>
      <c r="N166" s="1399"/>
      <c r="O166" s="1280"/>
      <c r="Z166" s="1280"/>
    </row>
    <row r="167" spans="1:26" x14ac:dyDescent="0.6">
      <c r="A167" s="1280"/>
      <c r="N167" s="1399"/>
      <c r="O167" s="1280"/>
      <c r="Z167" s="1280"/>
    </row>
    <row r="168" spans="1:26" x14ac:dyDescent="0.6">
      <c r="A168" s="1280"/>
      <c r="N168" s="1399"/>
      <c r="O168" s="1280"/>
      <c r="Z168" s="1280"/>
    </row>
    <row r="169" spans="1:26" x14ac:dyDescent="0.6">
      <c r="A169" s="1280"/>
      <c r="N169" s="1399"/>
      <c r="O169" s="1280"/>
      <c r="Z169" s="1280"/>
    </row>
    <row r="170" spans="1:26" x14ac:dyDescent="0.6">
      <c r="A170" s="1280"/>
      <c r="N170" s="1399"/>
      <c r="O170" s="1280"/>
      <c r="Z170" s="1280"/>
    </row>
    <row r="171" spans="1:26" x14ac:dyDescent="0.6">
      <c r="A171" s="1280"/>
      <c r="N171" s="1399"/>
      <c r="O171" s="1280"/>
      <c r="Z171" s="1280"/>
    </row>
    <row r="172" spans="1:26" x14ac:dyDescent="0.6">
      <c r="A172" s="1280"/>
      <c r="N172" s="1399"/>
      <c r="O172" s="1280"/>
      <c r="Z172" s="1280"/>
    </row>
    <row r="173" spans="1:26" x14ac:dyDescent="0.6">
      <c r="A173" s="1280"/>
      <c r="N173" s="1399"/>
      <c r="O173" s="1280"/>
      <c r="Z173" s="1280"/>
    </row>
    <row r="174" spans="1:26" x14ac:dyDescent="0.6">
      <c r="A174" s="1280"/>
      <c r="N174" s="1399"/>
      <c r="O174" s="1280"/>
      <c r="Z174" s="1280"/>
    </row>
    <row r="175" spans="1:26" x14ac:dyDescent="0.6">
      <c r="A175" s="1280"/>
      <c r="N175" s="1399"/>
      <c r="O175" s="1280"/>
      <c r="Z175" s="1280"/>
    </row>
    <row r="176" spans="1:26" x14ac:dyDescent="0.6">
      <c r="A176" s="1280"/>
      <c r="N176" s="1399"/>
      <c r="O176" s="1280"/>
      <c r="Z176" s="1280"/>
    </row>
    <row r="177" spans="1:26" x14ac:dyDescent="0.6">
      <c r="A177" s="1280"/>
      <c r="N177" s="1399"/>
      <c r="O177" s="1280"/>
      <c r="Z177" s="1280"/>
    </row>
    <row r="178" spans="1:26" x14ac:dyDescent="0.6">
      <c r="A178" s="1280"/>
      <c r="N178" s="1399"/>
      <c r="O178" s="1280"/>
      <c r="Z178" s="1280"/>
    </row>
    <row r="179" spans="1:26" x14ac:dyDescent="0.6">
      <c r="A179" s="1280"/>
      <c r="N179" s="1399"/>
      <c r="O179" s="1280"/>
      <c r="Z179" s="1280"/>
    </row>
    <row r="180" spans="1:26" x14ac:dyDescent="0.6">
      <c r="A180" s="1280"/>
      <c r="N180" s="1399"/>
      <c r="O180" s="1280"/>
      <c r="Z180" s="1280"/>
    </row>
    <row r="181" spans="1:26" x14ac:dyDescent="0.6">
      <c r="A181" s="1280"/>
      <c r="N181" s="1399"/>
      <c r="O181" s="1280"/>
      <c r="Z181" s="1280"/>
    </row>
    <row r="182" spans="1:26" x14ac:dyDescent="0.6">
      <c r="A182" s="1280"/>
      <c r="N182" s="1399"/>
      <c r="O182" s="1280"/>
      <c r="Z182" s="1280"/>
    </row>
    <row r="183" spans="1:26" x14ac:dyDescent="0.6">
      <c r="A183" s="1280"/>
      <c r="N183" s="1399"/>
      <c r="O183" s="1280"/>
      <c r="Z183" s="1280"/>
    </row>
    <row r="184" spans="1:26" x14ac:dyDescent="0.6">
      <c r="A184" s="1280"/>
      <c r="N184" s="1399"/>
      <c r="O184" s="1280"/>
      <c r="Z184" s="1280"/>
    </row>
    <row r="185" spans="1:26" x14ac:dyDescent="0.6">
      <c r="A185" s="1280"/>
      <c r="N185" s="1399"/>
      <c r="O185" s="1280"/>
      <c r="Z185" s="1280"/>
    </row>
    <row r="186" spans="1:26" x14ac:dyDescent="0.6">
      <c r="A186" s="1280"/>
      <c r="N186" s="1399"/>
      <c r="O186" s="1280"/>
      <c r="Z186" s="1280"/>
    </row>
    <row r="187" spans="1:26" x14ac:dyDescent="0.6">
      <c r="A187" s="1280"/>
      <c r="N187" s="1399"/>
      <c r="O187" s="1280"/>
      <c r="Z187" s="1280"/>
    </row>
    <row r="188" spans="1:26" x14ac:dyDescent="0.6">
      <c r="A188" s="1280"/>
      <c r="N188" s="1399"/>
      <c r="O188" s="1280"/>
      <c r="Z188" s="1280"/>
    </row>
    <row r="189" spans="1:26" x14ac:dyDescent="0.6">
      <c r="A189" s="1280"/>
      <c r="N189" s="1399"/>
      <c r="O189" s="1280"/>
      <c r="Z189" s="1280"/>
    </row>
    <row r="190" spans="1:26" x14ac:dyDescent="0.6">
      <c r="A190" s="1280"/>
      <c r="N190" s="1399"/>
      <c r="O190" s="1280"/>
      <c r="Z190" s="1280"/>
    </row>
    <row r="191" spans="1:26" x14ac:dyDescent="0.6">
      <c r="A191" s="1280"/>
      <c r="N191" s="1399"/>
      <c r="O191" s="1280"/>
      <c r="Z191" s="1280"/>
    </row>
    <row r="192" spans="1:26" x14ac:dyDescent="0.6">
      <c r="A192" s="1280"/>
      <c r="N192" s="1399"/>
      <c r="O192" s="1280"/>
      <c r="Z192" s="1280"/>
    </row>
    <row r="193" spans="1:26" x14ac:dyDescent="0.6">
      <c r="A193" s="1280"/>
      <c r="N193" s="1399"/>
      <c r="O193" s="1280"/>
      <c r="Z193" s="1280"/>
    </row>
    <row r="194" spans="1:26" x14ac:dyDescent="0.6">
      <c r="A194" s="1280"/>
      <c r="N194" s="1399"/>
      <c r="O194" s="1280"/>
      <c r="Z194" s="1280"/>
    </row>
    <row r="195" spans="1:26" x14ac:dyDescent="0.6">
      <c r="A195" s="1280"/>
      <c r="N195" s="1399"/>
      <c r="O195" s="1280"/>
      <c r="Z195" s="1280"/>
    </row>
    <row r="196" spans="1:26" x14ac:dyDescent="0.6">
      <c r="A196" s="1280"/>
      <c r="N196" s="1399"/>
      <c r="O196" s="1280"/>
      <c r="Z196" s="1280"/>
    </row>
    <row r="197" spans="1:26" x14ac:dyDescent="0.6">
      <c r="A197" s="1280"/>
      <c r="N197" s="1399"/>
      <c r="O197" s="1280"/>
      <c r="Z197" s="1280"/>
    </row>
    <row r="198" spans="1:26" x14ac:dyDescent="0.6">
      <c r="A198" s="1280"/>
      <c r="N198" s="1399"/>
      <c r="O198" s="1280"/>
      <c r="Z198" s="1280"/>
    </row>
    <row r="199" spans="1:26" x14ac:dyDescent="0.6">
      <c r="A199" s="1280"/>
      <c r="N199" s="1399"/>
      <c r="O199" s="1280"/>
      <c r="Z199" s="1280"/>
    </row>
    <row r="200" spans="1:26" x14ac:dyDescent="0.6">
      <c r="A200" s="1280"/>
      <c r="N200" s="1399"/>
      <c r="O200" s="1280"/>
      <c r="Z200" s="1280"/>
    </row>
    <row r="201" spans="1:26" x14ac:dyDescent="0.6">
      <c r="A201" s="1280"/>
      <c r="N201" s="1399"/>
      <c r="O201" s="1280"/>
      <c r="Z201" s="1280"/>
    </row>
    <row r="202" spans="1:26" x14ac:dyDescent="0.6">
      <c r="A202" s="1280"/>
      <c r="N202" s="1399"/>
      <c r="O202" s="1280"/>
      <c r="Z202" s="1280"/>
    </row>
    <row r="203" spans="1:26" x14ac:dyDescent="0.6">
      <c r="A203" s="1280"/>
      <c r="N203" s="1399"/>
      <c r="O203" s="1280"/>
      <c r="Z203" s="1280"/>
    </row>
    <row r="204" spans="1:26" x14ac:dyDescent="0.6">
      <c r="A204" s="1280"/>
      <c r="N204" s="1399"/>
      <c r="O204" s="1280"/>
      <c r="Z204" s="1280"/>
    </row>
    <row r="205" spans="1:26" x14ac:dyDescent="0.6">
      <c r="A205" s="1280"/>
      <c r="N205" s="1399"/>
      <c r="O205" s="1280"/>
      <c r="Z205" s="1280"/>
    </row>
    <row r="206" spans="1:26" x14ac:dyDescent="0.6">
      <c r="A206" s="1280"/>
      <c r="N206" s="1399"/>
      <c r="O206" s="1280"/>
      <c r="Z206" s="1280"/>
    </row>
    <row r="207" spans="1:26" x14ac:dyDescent="0.6">
      <c r="A207" s="1280"/>
      <c r="N207" s="1399"/>
      <c r="O207" s="1280"/>
      <c r="Z207" s="1280"/>
    </row>
    <row r="208" spans="1:26" x14ac:dyDescent="0.6">
      <c r="A208" s="1280"/>
      <c r="N208" s="1399"/>
      <c r="O208" s="1280"/>
      <c r="Z208" s="1280"/>
    </row>
    <row r="209" spans="1:26" x14ac:dyDescent="0.6">
      <c r="A209" s="1280"/>
      <c r="N209" s="1399"/>
      <c r="O209" s="1280"/>
      <c r="Z209" s="1280"/>
    </row>
    <row r="210" spans="1:26" x14ac:dyDescent="0.6">
      <c r="A210" s="1280"/>
      <c r="N210" s="1399"/>
      <c r="O210" s="1280"/>
      <c r="Z210" s="1280"/>
    </row>
    <row r="211" spans="1:26" x14ac:dyDescent="0.6">
      <c r="A211" s="1280"/>
      <c r="N211" s="1399"/>
      <c r="O211" s="1280"/>
      <c r="Z211" s="1280"/>
    </row>
    <row r="212" spans="1:26" x14ac:dyDescent="0.6">
      <c r="A212" s="1280"/>
      <c r="N212" s="1399"/>
      <c r="O212" s="1280"/>
      <c r="Z212" s="1280"/>
    </row>
    <row r="213" spans="1:26" x14ac:dyDescent="0.6">
      <c r="A213" s="1280"/>
      <c r="N213" s="1399"/>
      <c r="O213" s="1280"/>
      <c r="Z213" s="1280"/>
    </row>
    <row r="214" spans="1:26" x14ac:dyDescent="0.6">
      <c r="A214" s="1280"/>
      <c r="N214" s="1399"/>
      <c r="O214" s="1280"/>
      <c r="Z214" s="1280"/>
    </row>
    <row r="215" spans="1:26" x14ac:dyDescent="0.6">
      <c r="A215" s="1280"/>
      <c r="N215" s="1399"/>
      <c r="O215" s="1280"/>
      <c r="Z215" s="1280"/>
    </row>
    <row r="216" spans="1:26" x14ac:dyDescent="0.6">
      <c r="A216" s="1280"/>
      <c r="N216" s="1399"/>
      <c r="O216" s="1280"/>
      <c r="Z216" s="1280"/>
    </row>
    <row r="217" spans="1:26" x14ac:dyDescent="0.6">
      <c r="A217" s="1280"/>
      <c r="N217" s="1399"/>
      <c r="O217" s="1280"/>
      <c r="Z217" s="1280"/>
    </row>
    <row r="218" spans="1:26" x14ac:dyDescent="0.6">
      <c r="A218" s="1280"/>
      <c r="N218" s="1399"/>
      <c r="O218" s="1280"/>
      <c r="Z218" s="1280"/>
    </row>
    <row r="219" spans="1:26" x14ac:dyDescent="0.6">
      <c r="A219" s="1280"/>
      <c r="N219" s="1399"/>
      <c r="O219" s="1280"/>
      <c r="Z219" s="1280"/>
    </row>
    <row r="220" spans="1:26" x14ac:dyDescent="0.6">
      <c r="A220" s="1280"/>
      <c r="N220" s="1399"/>
      <c r="O220" s="1280"/>
      <c r="Z220" s="1280"/>
    </row>
    <row r="221" spans="1:26" x14ac:dyDescent="0.6">
      <c r="A221" s="1280"/>
      <c r="N221" s="1399"/>
      <c r="O221" s="1280"/>
      <c r="Z221" s="1280"/>
    </row>
    <row r="222" spans="1:26" x14ac:dyDescent="0.6">
      <c r="A222" s="1280"/>
      <c r="N222" s="1399"/>
      <c r="O222" s="1280"/>
      <c r="Z222" s="1280"/>
    </row>
    <row r="223" spans="1:26" x14ac:dyDescent="0.6">
      <c r="A223" s="1280"/>
      <c r="N223" s="1399"/>
      <c r="O223" s="1280"/>
      <c r="Z223" s="1280"/>
    </row>
    <row r="224" spans="1:26" x14ac:dyDescent="0.6">
      <c r="A224" s="1280"/>
      <c r="N224" s="1399"/>
      <c r="O224" s="1280"/>
      <c r="Z224" s="1280"/>
    </row>
    <row r="225" spans="1:26" x14ac:dyDescent="0.6">
      <c r="A225" s="1280"/>
      <c r="N225" s="1399"/>
      <c r="O225" s="1280"/>
      <c r="Z225" s="1280"/>
    </row>
    <row r="226" spans="1:26" x14ac:dyDescent="0.6">
      <c r="A226" s="1280"/>
      <c r="N226" s="1399"/>
      <c r="O226" s="1280"/>
      <c r="Z226" s="1280"/>
    </row>
    <row r="227" spans="1:26" x14ac:dyDescent="0.6">
      <c r="A227" s="1280"/>
      <c r="N227" s="1399"/>
      <c r="O227" s="1280"/>
      <c r="Z227" s="1280"/>
    </row>
    <row r="228" spans="1:26" x14ac:dyDescent="0.6">
      <c r="A228" s="1280"/>
      <c r="N228" s="1399"/>
      <c r="O228" s="1280"/>
      <c r="Z228" s="1280"/>
    </row>
    <row r="229" spans="1:26" x14ac:dyDescent="0.6">
      <c r="A229" s="1280"/>
      <c r="N229" s="1399"/>
      <c r="O229" s="1280"/>
      <c r="Z229" s="1280"/>
    </row>
    <row r="230" spans="1:26" x14ac:dyDescent="0.6">
      <c r="A230" s="1280"/>
      <c r="N230" s="1399"/>
      <c r="O230" s="1280"/>
      <c r="Z230" s="1280"/>
    </row>
    <row r="231" spans="1:26" x14ac:dyDescent="0.6">
      <c r="A231" s="1280"/>
      <c r="N231" s="1399"/>
      <c r="O231" s="1280"/>
      <c r="Z231" s="1280"/>
    </row>
    <row r="232" spans="1:26" x14ac:dyDescent="0.6">
      <c r="A232" s="1280"/>
      <c r="N232" s="1399"/>
      <c r="O232" s="1280"/>
      <c r="Z232" s="1280"/>
    </row>
    <row r="233" spans="1:26" x14ac:dyDescent="0.6">
      <c r="A233" s="1280"/>
      <c r="N233" s="1399"/>
      <c r="O233" s="1280"/>
      <c r="Z233" s="1280"/>
    </row>
    <row r="234" spans="1:26" x14ac:dyDescent="0.6">
      <c r="A234" s="1280"/>
      <c r="N234" s="1399"/>
      <c r="O234" s="1280"/>
      <c r="Z234" s="1280"/>
    </row>
    <row r="235" spans="1:26" x14ac:dyDescent="0.6">
      <c r="A235" s="1280"/>
      <c r="N235" s="1399"/>
      <c r="O235" s="1280"/>
      <c r="Z235" s="1280"/>
    </row>
    <row r="236" spans="1:26" x14ac:dyDescent="0.6">
      <c r="A236" s="1280"/>
      <c r="N236" s="1399"/>
      <c r="O236" s="1280"/>
      <c r="Z236" s="1280"/>
    </row>
    <row r="237" spans="1:26" x14ac:dyDescent="0.6">
      <c r="A237" s="1280"/>
      <c r="N237" s="1399"/>
      <c r="O237" s="1280"/>
      <c r="Z237" s="1280"/>
    </row>
    <row r="238" spans="1:26" x14ac:dyDescent="0.6">
      <c r="A238" s="1280"/>
      <c r="N238" s="1399"/>
      <c r="O238" s="1280"/>
      <c r="Z238" s="1280"/>
    </row>
    <row r="239" spans="1:26" x14ac:dyDescent="0.6">
      <c r="A239" s="1280"/>
      <c r="N239" s="1399"/>
      <c r="O239" s="1280"/>
      <c r="Z239" s="1280"/>
    </row>
    <row r="240" spans="1:26" x14ac:dyDescent="0.6">
      <c r="A240" s="1280"/>
      <c r="N240" s="1399"/>
      <c r="O240" s="1280"/>
      <c r="Z240" s="1280"/>
    </row>
    <row r="241" spans="1:26" x14ac:dyDescent="0.6">
      <c r="A241" s="1280"/>
      <c r="N241" s="1399"/>
      <c r="O241" s="1280"/>
      <c r="Z241" s="1280"/>
    </row>
    <row r="242" spans="1:26" x14ac:dyDescent="0.6">
      <c r="A242" s="1280"/>
      <c r="N242" s="1399"/>
      <c r="O242" s="1280"/>
      <c r="Z242" s="1280"/>
    </row>
    <row r="243" spans="1:26" x14ac:dyDescent="0.6">
      <c r="A243" s="1280"/>
      <c r="N243" s="1399"/>
      <c r="O243" s="1280"/>
      <c r="Z243" s="1280"/>
    </row>
    <row r="244" spans="1:26" x14ac:dyDescent="0.6">
      <c r="A244" s="1280"/>
      <c r="N244" s="1399"/>
      <c r="O244" s="1280"/>
      <c r="Z244" s="1280"/>
    </row>
    <row r="245" spans="1:26" x14ac:dyDescent="0.6">
      <c r="A245" s="1280"/>
      <c r="N245" s="1399"/>
      <c r="O245" s="1280"/>
      <c r="Z245" s="1280"/>
    </row>
    <row r="246" spans="1:26" x14ac:dyDescent="0.6">
      <c r="A246" s="1280"/>
      <c r="N246" s="1399"/>
      <c r="O246" s="1280"/>
      <c r="Z246" s="1280"/>
    </row>
    <row r="247" spans="1:26" x14ac:dyDescent="0.6">
      <c r="A247" s="1280"/>
      <c r="N247" s="1399"/>
      <c r="O247" s="1280"/>
      <c r="Z247" s="1280"/>
    </row>
    <row r="248" spans="1:26" x14ac:dyDescent="0.6">
      <c r="A248" s="1280"/>
      <c r="N248" s="1399"/>
      <c r="O248" s="1280"/>
      <c r="Z248" s="1280"/>
    </row>
    <row r="249" spans="1:26" x14ac:dyDescent="0.6">
      <c r="A249" s="1280"/>
      <c r="N249" s="1399"/>
      <c r="O249" s="1280"/>
      <c r="Z249" s="1280"/>
    </row>
    <row r="250" spans="1:26" x14ac:dyDescent="0.6">
      <c r="A250" s="1280"/>
      <c r="N250" s="1399"/>
      <c r="O250" s="1280"/>
      <c r="Z250" s="1280"/>
    </row>
    <row r="251" spans="1:26" x14ac:dyDescent="0.6">
      <c r="A251" s="1280"/>
      <c r="N251" s="1399"/>
      <c r="O251" s="1280"/>
      <c r="Z251" s="1280"/>
    </row>
    <row r="252" spans="1:26" x14ac:dyDescent="0.6">
      <c r="A252" s="1280"/>
      <c r="N252" s="1399"/>
      <c r="O252" s="1280"/>
      <c r="Z252" s="1280"/>
    </row>
    <row r="253" spans="1:26" x14ac:dyDescent="0.6">
      <c r="A253" s="1280"/>
      <c r="N253" s="1399"/>
      <c r="O253" s="1280"/>
      <c r="Z253" s="1280"/>
    </row>
    <row r="254" spans="1:26" x14ac:dyDescent="0.6">
      <c r="A254" s="1280"/>
      <c r="N254" s="1399"/>
      <c r="O254" s="1280"/>
      <c r="Z254" s="1280"/>
    </row>
    <row r="255" spans="1:26" x14ac:dyDescent="0.6">
      <c r="A255" s="1280"/>
      <c r="N255" s="1399"/>
      <c r="O255" s="1280"/>
      <c r="Z255" s="1280"/>
    </row>
    <row r="256" spans="1:26" x14ac:dyDescent="0.6">
      <c r="A256" s="1280"/>
      <c r="N256" s="1399"/>
      <c r="O256" s="1280"/>
      <c r="Z256" s="1280"/>
    </row>
    <row r="257" spans="1:26" x14ac:dyDescent="0.6">
      <c r="A257" s="1280"/>
      <c r="N257" s="1399"/>
      <c r="O257" s="1280"/>
      <c r="Z257" s="1280"/>
    </row>
    <row r="258" spans="1:26" x14ac:dyDescent="0.6">
      <c r="A258" s="1280"/>
      <c r="N258" s="1399"/>
      <c r="O258" s="1280"/>
      <c r="Z258" s="1280"/>
    </row>
    <row r="259" spans="1:26" x14ac:dyDescent="0.6">
      <c r="A259" s="1280"/>
      <c r="N259" s="1399"/>
      <c r="O259" s="1280"/>
      <c r="Z259" s="1280"/>
    </row>
    <row r="260" spans="1:26" x14ac:dyDescent="0.6">
      <c r="A260" s="1280"/>
      <c r="N260" s="1399"/>
      <c r="O260" s="1280"/>
      <c r="Z260" s="1280"/>
    </row>
    <row r="261" spans="1:26" x14ac:dyDescent="0.6">
      <c r="A261" s="1280"/>
      <c r="N261" s="1399"/>
      <c r="O261" s="1280"/>
      <c r="Z261" s="1280"/>
    </row>
    <row r="262" spans="1:26" x14ac:dyDescent="0.6">
      <c r="A262" s="1280"/>
      <c r="N262" s="1399"/>
      <c r="O262" s="1280"/>
      <c r="Z262" s="1280"/>
    </row>
    <row r="263" spans="1:26" x14ac:dyDescent="0.6">
      <c r="A263" s="1280"/>
      <c r="N263" s="1399"/>
      <c r="O263" s="1280"/>
      <c r="Z263" s="1280"/>
    </row>
    <row r="264" spans="1:26" x14ac:dyDescent="0.6">
      <c r="A264" s="1280"/>
      <c r="N264" s="1399"/>
      <c r="O264" s="1280"/>
      <c r="Z264" s="1280"/>
    </row>
    <row r="265" spans="1:26" x14ac:dyDescent="0.6">
      <c r="A265" s="1280"/>
      <c r="N265" s="1399"/>
      <c r="O265" s="1280"/>
      <c r="Z265" s="1280"/>
    </row>
    <row r="266" spans="1:26" x14ac:dyDescent="0.6">
      <c r="A266" s="1280"/>
      <c r="N266" s="1399"/>
      <c r="O266" s="1280"/>
      <c r="Z266" s="1280"/>
    </row>
    <row r="267" spans="1:26" x14ac:dyDescent="0.6">
      <c r="A267" s="1280"/>
      <c r="N267" s="1399"/>
      <c r="O267" s="1280"/>
      <c r="Z267" s="1280"/>
    </row>
    <row r="268" spans="1:26" x14ac:dyDescent="0.6">
      <c r="A268" s="1280"/>
      <c r="N268" s="1399"/>
      <c r="O268" s="1280"/>
      <c r="Z268" s="1280"/>
    </row>
    <row r="269" spans="1:26" x14ac:dyDescent="0.6">
      <c r="A269" s="1280"/>
      <c r="N269" s="1399"/>
      <c r="O269" s="1280"/>
      <c r="Z269" s="1280"/>
    </row>
    <row r="270" spans="1:26" x14ac:dyDescent="0.6">
      <c r="A270" s="1280"/>
      <c r="N270" s="1399"/>
      <c r="O270" s="1280"/>
      <c r="Z270" s="1280"/>
    </row>
    <row r="271" spans="1:26" x14ac:dyDescent="0.6">
      <c r="A271" s="1280"/>
      <c r="N271" s="1399"/>
      <c r="O271" s="1280"/>
      <c r="Z271" s="1280"/>
    </row>
    <row r="272" spans="1:26" x14ac:dyDescent="0.6">
      <c r="A272" s="1280"/>
      <c r="N272" s="1399"/>
      <c r="O272" s="1280"/>
      <c r="Z272" s="1280"/>
    </row>
    <row r="273" spans="1:26" x14ac:dyDescent="0.6">
      <c r="A273" s="1280"/>
      <c r="N273" s="1399"/>
      <c r="O273" s="1280"/>
      <c r="Z273" s="1280"/>
    </row>
    <row r="274" spans="1:26" x14ac:dyDescent="0.6">
      <c r="A274" s="1280"/>
      <c r="N274" s="1399"/>
      <c r="O274" s="1280"/>
      <c r="Z274" s="1280"/>
    </row>
    <row r="275" spans="1:26" x14ac:dyDescent="0.6">
      <c r="A275" s="1280"/>
      <c r="N275" s="1399"/>
      <c r="O275" s="1280"/>
      <c r="Z275" s="1280"/>
    </row>
    <row r="276" spans="1:26" x14ac:dyDescent="0.6">
      <c r="A276" s="1280"/>
      <c r="N276" s="1399"/>
      <c r="O276" s="1280"/>
      <c r="Z276" s="1280"/>
    </row>
    <row r="277" spans="1:26" x14ac:dyDescent="0.6">
      <c r="A277" s="1280"/>
      <c r="N277" s="1399"/>
      <c r="O277" s="1280"/>
      <c r="Z277" s="1280"/>
    </row>
    <row r="278" spans="1:26" x14ac:dyDescent="0.6">
      <c r="A278" s="1280"/>
      <c r="N278" s="1399"/>
      <c r="O278" s="1280"/>
      <c r="Z278" s="1280"/>
    </row>
    <row r="279" spans="1:26" x14ac:dyDescent="0.6">
      <c r="A279" s="1280"/>
      <c r="N279" s="1399"/>
      <c r="O279" s="1280"/>
      <c r="Z279" s="1280"/>
    </row>
    <row r="280" spans="1:26" x14ac:dyDescent="0.6">
      <c r="A280" s="1280"/>
      <c r="N280" s="1399"/>
      <c r="O280" s="1280"/>
      <c r="Z280" s="1280"/>
    </row>
    <row r="281" spans="1:26" x14ac:dyDescent="0.6">
      <c r="A281" s="1280"/>
      <c r="N281" s="1399"/>
      <c r="O281" s="1280"/>
      <c r="Z281" s="1280"/>
    </row>
    <row r="282" spans="1:26" x14ac:dyDescent="0.6">
      <c r="A282" s="1280"/>
      <c r="N282" s="1399"/>
      <c r="O282" s="1280"/>
      <c r="Z282" s="1280"/>
    </row>
    <row r="283" spans="1:26" x14ac:dyDescent="0.6">
      <c r="A283" s="1280"/>
      <c r="N283" s="1399"/>
      <c r="O283" s="1280"/>
      <c r="Z283" s="1280"/>
    </row>
    <row r="284" spans="1:26" x14ac:dyDescent="0.6">
      <c r="A284" s="1280"/>
      <c r="N284" s="1399"/>
      <c r="O284" s="1280"/>
      <c r="Z284" s="1280"/>
    </row>
    <row r="285" spans="1:26" x14ac:dyDescent="0.6">
      <c r="A285" s="1280"/>
      <c r="N285" s="1399"/>
      <c r="O285" s="1280"/>
      <c r="Z285" s="1280"/>
    </row>
    <row r="286" spans="1:26" x14ac:dyDescent="0.6">
      <c r="A286" s="1280"/>
      <c r="N286" s="1399"/>
      <c r="O286" s="1280"/>
      <c r="Z286" s="1280"/>
    </row>
    <row r="287" spans="1:26" x14ac:dyDescent="0.6">
      <c r="A287" s="1280"/>
      <c r="N287" s="1399"/>
      <c r="O287" s="1280"/>
      <c r="Z287" s="1280"/>
    </row>
    <row r="288" spans="1:26" x14ac:dyDescent="0.6">
      <c r="A288" s="1280"/>
      <c r="N288" s="1399"/>
      <c r="O288" s="1280"/>
      <c r="Z288" s="1280"/>
    </row>
    <row r="289" spans="1:26" x14ac:dyDescent="0.6">
      <c r="A289" s="1280"/>
      <c r="N289" s="1399"/>
      <c r="O289" s="1280"/>
      <c r="Z289" s="1280"/>
    </row>
    <row r="290" spans="1:26" x14ac:dyDescent="0.6">
      <c r="A290" s="1280"/>
      <c r="N290" s="1399"/>
      <c r="O290" s="1280"/>
      <c r="Z290" s="1280"/>
    </row>
    <row r="291" spans="1:26" x14ac:dyDescent="0.6">
      <c r="A291" s="1280"/>
      <c r="N291" s="1399"/>
      <c r="O291" s="1280"/>
      <c r="Z291" s="1280"/>
    </row>
    <row r="292" spans="1:26" x14ac:dyDescent="0.6">
      <c r="A292" s="1280"/>
      <c r="N292" s="1399"/>
      <c r="O292" s="1280"/>
      <c r="Z292" s="1280"/>
    </row>
    <row r="293" spans="1:26" x14ac:dyDescent="0.6">
      <c r="A293" s="1280"/>
      <c r="N293" s="1399"/>
      <c r="O293" s="1280"/>
      <c r="Z293" s="1280"/>
    </row>
    <row r="294" spans="1:26" x14ac:dyDescent="0.6">
      <c r="A294" s="1280"/>
      <c r="N294" s="1399"/>
      <c r="O294" s="1280"/>
      <c r="Z294" s="1280"/>
    </row>
    <row r="295" spans="1:26" x14ac:dyDescent="0.6">
      <c r="A295" s="1280"/>
      <c r="N295" s="1399"/>
      <c r="O295" s="1280"/>
      <c r="Z295" s="1280"/>
    </row>
    <row r="296" spans="1:26" x14ac:dyDescent="0.6">
      <c r="A296" s="1280"/>
      <c r="N296" s="1399"/>
      <c r="O296" s="1280"/>
      <c r="Z296" s="1280"/>
    </row>
    <row r="297" spans="1:26" x14ac:dyDescent="0.6">
      <c r="A297" s="1280"/>
      <c r="N297" s="1399"/>
      <c r="O297" s="1280"/>
      <c r="Z297" s="1280"/>
    </row>
    <row r="298" spans="1:26" x14ac:dyDescent="0.6">
      <c r="A298" s="1280"/>
      <c r="N298" s="1399"/>
      <c r="O298" s="1280"/>
      <c r="Z298" s="1280"/>
    </row>
    <row r="299" spans="1:26" x14ac:dyDescent="0.6">
      <c r="A299" s="1280"/>
      <c r="N299" s="1399"/>
      <c r="O299" s="1280"/>
      <c r="Z299" s="1280"/>
    </row>
    <row r="300" spans="1:26" x14ac:dyDescent="0.6">
      <c r="A300" s="1280"/>
      <c r="N300" s="1399"/>
      <c r="O300" s="1280"/>
      <c r="Z300" s="1280"/>
    </row>
    <row r="301" spans="1:26" x14ac:dyDescent="0.6">
      <c r="A301" s="1280"/>
      <c r="N301" s="1399"/>
      <c r="O301" s="1280"/>
      <c r="Z301" s="1280"/>
    </row>
    <row r="302" spans="1:26" x14ac:dyDescent="0.6">
      <c r="A302" s="1280"/>
      <c r="N302" s="1399"/>
      <c r="O302" s="1280"/>
      <c r="Z302" s="1280"/>
    </row>
    <row r="303" spans="1:26" x14ac:dyDescent="0.6">
      <c r="A303" s="1280"/>
      <c r="N303" s="1399"/>
      <c r="O303" s="1280"/>
      <c r="Z303" s="1280"/>
    </row>
    <row r="304" spans="1:26" x14ac:dyDescent="0.6">
      <c r="A304" s="1280"/>
      <c r="N304" s="1399"/>
      <c r="O304" s="1280"/>
      <c r="Z304" s="1280"/>
    </row>
    <row r="305" spans="1:26" x14ac:dyDescent="0.6">
      <c r="A305" s="1280"/>
      <c r="N305" s="1399"/>
      <c r="O305" s="1280"/>
      <c r="Z305" s="1280"/>
    </row>
    <row r="306" spans="1:26" x14ac:dyDescent="0.6">
      <c r="A306" s="1280"/>
      <c r="N306" s="1399"/>
      <c r="O306" s="1280"/>
      <c r="Z306" s="1280"/>
    </row>
    <row r="307" spans="1:26" x14ac:dyDescent="0.6">
      <c r="A307" s="1280"/>
      <c r="N307" s="1399"/>
      <c r="O307" s="1280"/>
      <c r="Z307" s="1280"/>
    </row>
    <row r="308" spans="1:26" x14ac:dyDescent="0.6">
      <c r="A308" s="1280"/>
      <c r="N308" s="1399"/>
      <c r="O308" s="1280"/>
      <c r="Z308" s="1280"/>
    </row>
    <row r="309" spans="1:26" x14ac:dyDescent="0.6">
      <c r="A309" s="1280"/>
      <c r="N309" s="1399"/>
      <c r="O309" s="1280"/>
      <c r="Z309" s="1280"/>
    </row>
    <row r="310" spans="1:26" x14ac:dyDescent="0.6">
      <c r="A310" s="1280"/>
      <c r="N310" s="1399"/>
      <c r="O310" s="1280"/>
      <c r="Z310" s="1280"/>
    </row>
    <row r="311" spans="1:26" x14ac:dyDescent="0.6">
      <c r="A311" s="1280"/>
      <c r="N311" s="1399"/>
      <c r="O311" s="1280"/>
      <c r="Z311" s="1280"/>
    </row>
    <row r="312" spans="1:26" x14ac:dyDescent="0.6">
      <c r="A312" s="1280"/>
      <c r="N312" s="1399"/>
      <c r="O312" s="1280"/>
      <c r="Z312" s="1280"/>
    </row>
    <row r="313" spans="1:26" x14ac:dyDescent="0.6">
      <c r="A313" s="1280"/>
      <c r="N313" s="1399"/>
      <c r="O313" s="1280"/>
      <c r="Z313" s="1280"/>
    </row>
    <row r="314" spans="1:26" x14ac:dyDescent="0.6">
      <c r="A314" s="1280"/>
      <c r="N314" s="1399"/>
      <c r="O314" s="1280"/>
      <c r="Z314" s="1280"/>
    </row>
    <row r="315" spans="1:26" x14ac:dyDescent="0.6">
      <c r="A315" s="1280"/>
      <c r="N315" s="1399"/>
      <c r="O315" s="1280"/>
      <c r="Z315" s="1280"/>
    </row>
    <row r="316" spans="1:26" x14ac:dyDescent="0.6">
      <c r="A316" s="1280"/>
      <c r="N316" s="1399"/>
      <c r="O316" s="1280"/>
      <c r="Z316" s="1280"/>
    </row>
    <row r="317" spans="1:26" x14ac:dyDescent="0.6">
      <c r="A317" s="1280"/>
      <c r="N317" s="1399"/>
      <c r="O317" s="1280"/>
      <c r="Z317" s="1280"/>
    </row>
    <row r="318" spans="1:26" x14ac:dyDescent="0.6">
      <c r="A318" s="1280"/>
      <c r="N318" s="1399"/>
      <c r="O318" s="1280"/>
      <c r="Z318" s="1280"/>
    </row>
    <row r="319" spans="1:26" x14ac:dyDescent="0.6">
      <c r="A319" s="1280"/>
      <c r="N319" s="1399"/>
      <c r="O319" s="1280"/>
      <c r="Z319" s="1280"/>
    </row>
    <row r="320" spans="1:26" x14ac:dyDescent="0.6">
      <c r="A320" s="1280"/>
      <c r="N320" s="1399"/>
      <c r="O320" s="1280"/>
      <c r="Z320" s="1280"/>
    </row>
    <row r="321" spans="1:26" x14ac:dyDescent="0.6">
      <c r="A321" s="1280"/>
      <c r="N321" s="1399"/>
      <c r="O321" s="1280"/>
      <c r="Z321" s="1280"/>
    </row>
    <row r="322" spans="1:26" x14ac:dyDescent="0.6">
      <c r="A322" s="1280"/>
      <c r="N322" s="1399"/>
      <c r="O322" s="1280"/>
      <c r="Z322" s="1280"/>
    </row>
    <row r="323" spans="1:26" x14ac:dyDescent="0.6">
      <c r="A323" s="1280"/>
      <c r="N323" s="1399"/>
      <c r="O323" s="1280"/>
      <c r="Z323" s="1280"/>
    </row>
    <row r="324" spans="1:26" x14ac:dyDescent="0.6">
      <c r="A324" s="1280"/>
      <c r="N324" s="1399"/>
      <c r="O324" s="1280"/>
      <c r="Z324" s="1280"/>
    </row>
    <row r="325" spans="1:26" x14ac:dyDescent="0.6">
      <c r="A325" s="1280"/>
      <c r="N325" s="1399"/>
      <c r="O325" s="1280"/>
      <c r="Z325" s="1280"/>
    </row>
    <row r="326" spans="1:26" x14ac:dyDescent="0.6">
      <c r="A326" s="1280"/>
      <c r="N326" s="1399"/>
      <c r="O326" s="1280"/>
      <c r="Z326" s="1280"/>
    </row>
    <row r="327" spans="1:26" x14ac:dyDescent="0.6">
      <c r="A327" s="1280"/>
      <c r="N327" s="1399"/>
      <c r="O327" s="1280"/>
      <c r="Z327" s="1280"/>
    </row>
    <row r="328" spans="1:26" x14ac:dyDescent="0.6">
      <c r="A328" s="1280"/>
      <c r="N328" s="1399"/>
      <c r="O328" s="1280"/>
      <c r="Z328" s="1280"/>
    </row>
    <row r="329" spans="1:26" x14ac:dyDescent="0.6">
      <c r="A329" s="1280"/>
      <c r="N329" s="1399"/>
      <c r="O329" s="1280"/>
      <c r="Z329" s="1280"/>
    </row>
    <row r="330" spans="1:26" x14ac:dyDescent="0.6">
      <c r="A330" s="1280"/>
      <c r="N330" s="1399"/>
      <c r="O330" s="1280"/>
      <c r="Z330" s="1280"/>
    </row>
    <row r="331" spans="1:26" x14ac:dyDescent="0.6">
      <c r="A331" s="1280"/>
      <c r="N331" s="1399"/>
      <c r="O331" s="1280"/>
      <c r="Z331" s="1280"/>
    </row>
    <row r="332" spans="1:26" x14ac:dyDescent="0.6">
      <c r="A332" s="1280"/>
      <c r="N332" s="1399"/>
      <c r="O332" s="1280"/>
      <c r="Z332" s="1280"/>
    </row>
    <row r="333" spans="1:26" x14ac:dyDescent="0.6">
      <c r="A333" s="1280"/>
      <c r="N333" s="1399"/>
      <c r="O333" s="1280"/>
      <c r="Z333" s="1280"/>
    </row>
    <row r="334" spans="1:26" x14ac:dyDescent="0.6">
      <c r="A334" s="1280"/>
      <c r="N334" s="1399"/>
      <c r="O334" s="1280"/>
      <c r="Z334" s="1280"/>
    </row>
    <row r="335" spans="1:26" x14ac:dyDescent="0.6">
      <c r="A335" s="1280"/>
      <c r="N335" s="1399"/>
      <c r="O335" s="1280"/>
      <c r="Z335" s="1280"/>
    </row>
    <row r="336" spans="1:26" x14ac:dyDescent="0.6">
      <c r="A336" s="1280"/>
      <c r="N336" s="1399"/>
      <c r="O336" s="1280"/>
      <c r="Z336" s="1280"/>
    </row>
    <row r="337" spans="1:26" x14ac:dyDescent="0.6">
      <c r="A337" s="1280"/>
      <c r="N337" s="1399"/>
      <c r="O337" s="1280"/>
      <c r="Z337" s="1280"/>
    </row>
    <row r="338" spans="1:26" x14ac:dyDescent="0.6">
      <c r="A338" s="1280"/>
      <c r="N338" s="1399"/>
      <c r="O338" s="1280"/>
      <c r="Z338" s="1280"/>
    </row>
    <row r="339" spans="1:26" x14ac:dyDescent="0.6">
      <c r="A339" s="1280"/>
      <c r="N339" s="1399"/>
      <c r="O339" s="1280"/>
      <c r="Z339" s="1280"/>
    </row>
    <row r="340" spans="1:26" x14ac:dyDescent="0.6">
      <c r="A340" s="1280"/>
      <c r="N340" s="1399"/>
      <c r="O340" s="1280"/>
      <c r="Z340" s="1280"/>
    </row>
    <row r="341" spans="1:26" x14ac:dyDescent="0.6">
      <c r="A341" s="1280"/>
      <c r="N341" s="1399"/>
      <c r="O341" s="1280"/>
      <c r="Z341" s="1280"/>
    </row>
    <row r="342" spans="1:26" x14ac:dyDescent="0.6">
      <c r="A342" s="1280"/>
      <c r="N342" s="1399"/>
      <c r="O342" s="1280"/>
      <c r="Z342" s="1280"/>
    </row>
    <row r="343" spans="1:26" x14ac:dyDescent="0.6">
      <c r="A343" s="1280"/>
      <c r="N343" s="1399"/>
      <c r="O343" s="1280"/>
      <c r="Z343" s="1280"/>
    </row>
    <row r="344" spans="1:26" x14ac:dyDescent="0.6">
      <c r="A344" s="1280"/>
      <c r="N344" s="1399"/>
      <c r="O344" s="1280"/>
      <c r="Z344" s="1280"/>
    </row>
    <row r="345" spans="1:26" x14ac:dyDescent="0.6">
      <c r="A345" s="1280"/>
      <c r="N345" s="1399"/>
      <c r="O345" s="1280"/>
      <c r="Z345" s="1280"/>
    </row>
    <row r="346" spans="1:26" x14ac:dyDescent="0.6">
      <c r="A346" s="1280"/>
      <c r="N346" s="1399"/>
      <c r="O346" s="1280"/>
      <c r="Z346" s="1280"/>
    </row>
    <row r="347" spans="1:26" x14ac:dyDescent="0.6">
      <c r="A347" s="1280"/>
      <c r="N347" s="1399"/>
      <c r="O347" s="1280"/>
      <c r="Z347" s="1280"/>
    </row>
    <row r="348" spans="1:26" x14ac:dyDescent="0.6">
      <c r="A348" s="1280"/>
      <c r="N348" s="1399"/>
      <c r="O348" s="1280"/>
      <c r="Z348" s="1280"/>
    </row>
    <row r="349" spans="1:26" x14ac:dyDescent="0.6">
      <c r="A349" s="1280"/>
      <c r="N349" s="1399"/>
      <c r="O349" s="1280"/>
      <c r="Z349" s="1280"/>
    </row>
    <row r="350" spans="1:26" x14ac:dyDescent="0.6">
      <c r="A350" s="1280"/>
      <c r="N350" s="1399"/>
      <c r="O350" s="1280"/>
      <c r="Z350" s="1280"/>
    </row>
    <row r="351" spans="1:26" x14ac:dyDescent="0.6">
      <c r="A351" s="1280"/>
      <c r="N351" s="1399"/>
      <c r="O351" s="1280"/>
      <c r="Z351" s="1280"/>
    </row>
    <row r="352" spans="1:26" x14ac:dyDescent="0.6">
      <c r="A352" s="1280"/>
      <c r="N352" s="1399"/>
      <c r="O352" s="1280"/>
      <c r="Z352" s="1280"/>
    </row>
    <row r="353" spans="1:26" x14ac:dyDescent="0.6">
      <c r="A353" s="1280"/>
      <c r="N353" s="1399"/>
      <c r="O353" s="1280"/>
      <c r="Z353" s="1280"/>
    </row>
    <row r="354" spans="1:26" x14ac:dyDescent="0.6">
      <c r="A354" s="1280"/>
      <c r="N354" s="1399"/>
      <c r="O354" s="1280"/>
      <c r="Z354" s="1280"/>
    </row>
    <row r="355" spans="1:26" x14ac:dyDescent="0.6">
      <c r="A355" s="1280"/>
      <c r="N355" s="1399"/>
      <c r="O355" s="1280"/>
      <c r="Z355" s="1280"/>
    </row>
    <row r="356" spans="1:26" x14ac:dyDescent="0.6">
      <c r="A356" s="1280"/>
      <c r="N356" s="1399"/>
      <c r="O356" s="1280"/>
      <c r="Z356" s="1280"/>
    </row>
    <row r="357" spans="1:26" x14ac:dyDescent="0.6">
      <c r="A357" s="1280"/>
      <c r="N357" s="1399"/>
      <c r="O357" s="1280"/>
      <c r="Z357" s="1280"/>
    </row>
    <row r="358" spans="1:26" x14ac:dyDescent="0.6">
      <c r="A358" s="1280"/>
      <c r="N358" s="1399"/>
      <c r="O358" s="1280"/>
      <c r="Z358" s="1280"/>
    </row>
    <row r="359" spans="1:26" x14ac:dyDescent="0.6">
      <c r="A359" s="1280"/>
      <c r="N359" s="1399"/>
      <c r="O359" s="1280"/>
      <c r="Z359" s="1280"/>
    </row>
    <row r="360" spans="1:26" x14ac:dyDescent="0.6">
      <c r="A360" s="1280"/>
      <c r="N360" s="1399"/>
      <c r="O360" s="1280"/>
      <c r="Z360" s="1280"/>
    </row>
    <row r="361" spans="1:26" x14ac:dyDescent="0.6">
      <c r="A361" s="1280"/>
      <c r="N361" s="1399"/>
      <c r="O361" s="1280"/>
      <c r="Z361" s="1280"/>
    </row>
    <row r="362" spans="1:26" x14ac:dyDescent="0.6">
      <c r="A362" s="1280"/>
      <c r="N362" s="1399"/>
      <c r="O362" s="1280"/>
      <c r="Z362" s="1280"/>
    </row>
    <row r="363" spans="1:26" x14ac:dyDescent="0.6">
      <c r="A363" s="1280"/>
      <c r="N363" s="1399"/>
      <c r="O363" s="1280"/>
      <c r="Z363" s="1280"/>
    </row>
    <row r="364" spans="1:26" x14ac:dyDescent="0.6">
      <c r="A364" s="1280"/>
      <c r="N364" s="1399"/>
      <c r="O364" s="1280"/>
      <c r="Z364" s="1280"/>
    </row>
    <row r="365" spans="1:26" x14ac:dyDescent="0.6">
      <c r="A365" s="1280"/>
      <c r="N365" s="1399"/>
      <c r="O365" s="1280"/>
      <c r="Z365" s="1280"/>
    </row>
    <row r="366" spans="1:26" x14ac:dyDescent="0.6">
      <c r="A366" s="1280"/>
      <c r="N366" s="1399"/>
      <c r="O366" s="1280"/>
      <c r="Z366" s="1280"/>
    </row>
    <row r="367" spans="1:26" x14ac:dyDescent="0.6">
      <c r="A367" s="1280"/>
      <c r="N367" s="1399"/>
      <c r="O367" s="1280"/>
      <c r="Z367" s="1280"/>
    </row>
    <row r="368" spans="1:26" x14ac:dyDescent="0.6">
      <c r="A368" s="1280"/>
      <c r="N368" s="1399"/>
      <c r="O368" s="1280"/>
      <c r="Z368" s="1280"/>
    </row>
    <row r="369" spans="1:26" x14ac:dyDescent="0.6">
      <c r="A369" s="1280"/>
      <c r="N369" s="1399"/>
      <c r="O369" s="1280"/>
      <c r="Z369" s="1280"/>
    </row>
    <row r="370" spans="1:26" x14ac:dyDescent="0.6">
      <c r="A370" s="1280"/>
      <c r="N370" s="1399"/>
      <c r="O370" s="1280"/>
      <c r="Z370" s="1280"/>
    </row>
    <row r="371" spans="1:26" x14ac:dyDescent="0.6">
      <c r="A371" s="1280"/>
      <c r="N371" s="1399"/>
      <c r="O371" s="1280"/>
      <c r="Z371" s="1280"/>
    </row>
    <row r="372" spans="1:26" x14ac:dyDescent="0.6">
      <c r="A372" s="1280"/>
      <c r="N372" s="1399"/>
      <c r="O372" s="1280"/>
      <c r="Z372" s="1280"/>
    </row>
    <row r="373" spans="1:26" x14ac:dyDescent="0.6">
      <c r="A373" s="1280"/>
      <c r="N373" s="1399"/>
      <c r="O373" s="1280"/>
      <c r="Z373" s="1280"/>
    </row>
    <row r="374" spans="1:26" x14ac:dyDescent="0.6">
      <c r="A374" s="1280"/>
      <c r="N374" s="1399"/>
      <c r="O374" s="1280"/>
      <c r="Z374" s="1280"/>
    </row>
    <row r="375" spans="1:26" x14ac:dyDescent="0.6">
      <c r="A375" s="1280"/>
      <c r="N375" s="1399"/>
      <c r="O375" s="1280"/>
      <c r="Z375" s="1280"/>
    </row>
    <row r="376" spans="1:26" x14ac:dyDescent="0.6">
      <c r="A376" s="1280"/>
      <c r="N376" s="1399"/>
      <c r="O376" s="1280"/>
      <c r="Z376" s="1280"/>
    </row>
    <row r="377" spans="1:26" x14ac:dyDescent="0.6">
      <c r="A377" s="1280"/>
      <c r="N377" s="1399"/>
      <c r="O377" s="1280"/>
      <c r="Z377" s="1280"/>
    </row>
    <row r="378" spans="1:26" x14ac:dyDescent="0.6">
      <c r="A378" s="1280"/>
      <c r="N378" s="1399"/>
      <c r="O378" s="1280"/>
      <c r="Z378" s="1280"/>
    </row>
    <row r="379" spans="1:26" x14ac:dyDescent="0.6">
      <c r="A379" s="1280"/>
      <c r="N379" s="1399"/>
      <c r="O379" s="1280"/>
      <c r="Z379" s="1280"/>
    </row>
    <row r="380" spans="1:26" x14ac:dyDescent="0.6">
      <c r="A380" s="1280"/>
      <c r="N380" s="1399"/>
      <c r="O380" s="1280"/>
      <c r="Z380" s="1280"/>
    </row>
    <row r="381" spans="1:26" x14ac:dyDescent="0.6">
      <c r="A381" s="1280"/>
      <c r="N381" s="1399"/>
      <c r="O381" s="1280"/>
      <c r="Z381" s="1280"/>
    </row>
    <row r="382" spans="1:26" x14ac:dyDescent="0.6">
      <c r="A382" s="1280"/>
      <c r="N382" s="1399"/>
      <c r="O382" s="1280"/>
      <c r="Z382" s="1280"/>
    </row>
    <row r="383" spans="1:26" x14ac:dyDescent="0.6">
      <c r="A383" s="1280"/>
      <c r="N383" s="1399"/>
      <c r="O383" s="1280"/>
      <c r="Z383" s="1280"/>
    </row>
    <row r="384" spans="1:26" x14ac:dyDescent="0.6">
      <c r="A384" s="1280"/>
      <c r="N384" s="1399"/>
      <c r="O384" s="1280"/>
      <c r="Z384" s="1280"/>
    </row>
    <row r="385" spans="1:26" x14ac:dyDescent="0.6">
      <c r="A385" s="1280"/>
      <c r="N385" s="1399"/>
      <c r="O385" s="1280"/>
      <c r="Z385" s="1280"/>
    </row>
    <row r="386" spans="1:26" x14ac:dyDescent="0.6">
      <c r="A386" s="1280"/>
      <c r="N386" s="1399"/>
      <c r="O386" s="1280"/>
      <c r="Z386" s="1280"/>
    </row>
    <row r="387" spans="1:26" x14ac:dyDescent="0.6">
      <c r="A387" s="1280"/>
      <c r="N387" s="1399"/>
      <c r="O387" s="1280"/>
      <c r="Z387" s="1280"/>
    </row>
    <row r="388" spans="1:26" x14ac:dyDescent="0.6">
      <c r="A388" s="1280"/>
      <c r="N388" s="1399"/>
      <c r="O388" s="1280"/>
      <c r="Z388" s="1280"/>
    </row>
    <row r="389" spans="1:26" x14ac:dyDescent="0.6">
      <c r="A389" s="1280"/>
      <c r="N389" s="1399"/>
      <c r="O389" s="1280"/>
      <c r="Z389" s="1280"/>
    </row>
    <row r="390" spans="1:26" x14ac:dyDescent="0.6">
      <c r="A390" s="1280"/>
      <c r="N390" s="1399"/>
      <c r="O390" s="1280"/>
      <c r="Z390" s="1280"/>
    </row>
    <row r="391" spans="1:26" x14ac:dyDescent="0.6">
      <c r="A391" s="1280"/>
      <c r="N391" s="1399"/>
      <c r="O391" s="1280"/>
      <c r="Z391" s="1280"/>
    </row>
    <row r="392" spans="1:26" x14ac:dyDescent="0.6">
      <c r="A392" s="1280"/>
      <c r="N392" s="1399"/>
      <c r="O392" s="1280"/>
      <c r="Z392" s="1280"/>
    </row>
    <row r="393" spans="1:26" x14ac:dyDescent="0.6">
      <c r="A393" s="1280"/>
      <c r="N393" s="1399"/>
      <c r="O393" s="1280"/>
      <c r="Z393" s="1280"/>
    </row>
    <row r="394" spans="1:26" x14ac:dyDescent="0.6">
      <c r="A394" s="1280"/>
      <c r="N394" s="1399"/>
      <c r="O394" s="1280"/>
      <c r="Z394" s="1280"/>
    </row>
    <row r="395" spans="1:26" x14ac:dyDescent="0.6">
      <c r="A395" s="1280"/>
      <c r="N395" s="1399"/>
      <c r="O395" s="1280"/>
      <c r="Z395" s="1280"/>
    </row>
    <row r="396" spans="1:26" x14ac:dyDescent="0.6">
      <c r="A396" s="1280"/>
      <c r="N396" s="1399"/>
      <c r="O396" s="1280"/>
      <c r="Z396" s="1280"/>
    </row>
    <row r="397" spans="1:26" x14ac:dyDescent="0.6">
      <c r="A397" s="1280"/>
      <c r="N397" s="1399"/>
      <c r="O397" s="1280"/>
      <c r="Z397" s="1280"/>
    </row>
    <row r="398" spans="1:26" x14ac:dyDescent="0.6">
      <c r="A398" s="1280"/>
      <c r="N398" s="1399"/>
      <c r="O398" s="1280"/>
      <c r="Z398" s="1280"/>
    </row>
    <row r="399" spans="1:26" x14ac:dyDescent="0.6">
      <c r="A399" s="1280"/>
      <c r="N399" s="1399"/>
      <c r="O399" s="1280"/>
      <c r="Z399" s="1280"/>
    </row>
    <row r="400" spans="1:26" x14ac:dyDescent="0.6">
      <c r="A400" s="1280"/>
      <c r="N400" s="1399"/>
      <c r="O400" s="1280"/>
      <c r="Z400" s="1280"/>
    </row>
    <row r="401" spans="1:26" x14ac:dyDescent="0.6">
      <c r="A401" s="1280"/>
      <c r="N401" s="1399"/>
      <c r="O401" s="1280"/>
      <c r="Z401" s="1280"/>
    </row>
    <row r="402" spans="1:26" x14ac:dyDescent="0.6">
      <c r="A402" s="1280"/>
      <c r="N402" s="1399"/>
      <c r="O402" s="1280"/>
      <c r="Z402" s="1280"/>
    </row>
    <row r="403" spans="1:26" x14ac:dyDescent="0.6">
      <c r="A403" s="1280"/>
      <c r="N403" s="1399"/>
      <c r="O403" s="1280"/>
      <c r="Z403" s="1280"/>
    </row>
    <row r="404" spans="1:26" x14ac:dyDescent="0.6">
      <c r="A404" s="1280"/>
      <c r="N404" s="1399"/>
      <c r="O404" s="1280"/>
      <c r="Z404" s="1280"/>
    </row>
    <row r="405" spans="1:26" x14ac:dyDescent="0.6">
      <c r="A405" s="1280"/>
      <c r="N405" s="1399"/>
      <c r="O405" s="1280"/>
      <c r="Z405" s="1280"/>
    </row>
    <row r="406" spans="1:26" x14ac:dyDescent="0.6">
      <c r="A406" s="1280"/>
      <c r="N406" s="1399"/>
      <c r="O406" s="1280"/>
      <c r="Z406" s="1280"/>
    </row>
    <row r="407" spans="1:26" x14ac:dyDescent="0.6">
      <c r="A407" s="1280"/>
      <c r="N407" s="1399"/>
      <c r="O407" s="1280"/>
      <c r="Z407" s="1280"/>
    </row>
    <row r="408" spans="1:26" x14ac:dyDescent="0.6">
      <c r="A408" s="1280"/>
      <c r="N408" s="1399"/>
      <c r="O408" s="1280"/>
      <c r="Z408" s="1280"/>
    </row>
    <row r="409" spans="1:26" x14ac:dyDescent="0.6">
      <c r="A409" s="1280"/>
      <c r="N409" s="1399"/>
      <c r="O409" s="1280"/>
      <c r="Z409" s="1280"/>
    </row>
    <row r="410" spans="1:26" x14ac:dyDescent="0.6">
      <c r="A410" s="1280"/>
      <c r="N410" s="1399"/>
      <c r="O410" s="1280"/>
      <c r="Z410" s="1280"/>
    </row>
    <row r="411" spans="1:26" x14ac:dyDescent="0.6">
      <c r="A411" s="1280"/>
      <c r="N411" s="1399"/>
      <c r="O411" s="1280"/>
      <c r="Z411" s="1280"/>
    </row>
    <row r="412" spans="1:26" x14ac:dyDescent="0.6">
      <c r="A412" s="1280"/>
      <c r="N412" s="1399"/>
      <c r="O412" s="1280"/>
      <c r="Z412" s="1280"/>
    </row>
    <row r="413" spans="1:26" x14ac:dyDescent="0.6">
      <c r="A413" s="1280"/>
      <c r="N413" s="1399"/>
      <c r="O413" s="1280"/>
      <c r="Z413" s="1280"/>
    </row>
    <row r="414" spans="1:26" x14ac:dyDescent="0.6">
      <c r="A414" s="1280"/>
      <c r="N414" s="1399"/>
      <c r="O414" s="1280"/>
      <c r="Z414" s="1280"/>
    </row>
    <row r="415" spans="1:26" x14ac:dyDescent="0.6">
      <c r="A415" s="1280"/>
      <c r="N415" s="1399"/>
      <c r="O415" s="1280"/>
      <c r="Z415" s="1280"/>
    </row>
    <row r="416" spans="1:26" x14ac:dyDescent="0.6">
      <c r="A416" s="1280"/>
      <c r="N416" s="1399"/>
      <c r="O416" s="1280"/>
      <c r="Z416" s="1280"/>
    </row>
    <row r="417" spans="1:26" x14ac:dyDescent="0.6">
      <c r="A417" s="1280"/>
      <c r="N417" s="1399"/>
      <c r="O417" s="1280"/>
      <c r="Z417" s="1280"/>
    </row>
    <row r="418" spans="1:26" x14ac:dyDescent="0.6">
      <c r="A418" s="1280"/>
      <c r="N418" s="1399"/>
      <c r="O418" s="1280"/>
      <c r="Z418" s="1280"/>
    </row>
    <row r="419" spans="1:26" x14ac:dyDescent="0.6">
      <c r="A419" s="1280"/>
      <c r="N419" s="1399"/>
      <c r="O419" s="1280"/>
      <c r="Z419" s="1280"/>
    </row>
    <row r="420" spans="1:26" x14ac:dyDescent="0.6">
      <c r="A420" s="1280"/>
      <c r="N420" s="1399"/>
      <c r="O420" s="1280"/>
      <c r="Z420" s="1280"/>
    </row>
    <row r="421" spans="1:26" x14ac:dyDescent="0.6">
      <c r="A421" s="1280"/>
      <c r="N421" s="1399"/>
      <c r="O421" s="1280"/>
      <c r="Z421" s="1280"/>
    </row>
    <row r="422" spans="1:26" x14ac:dyDescent="0.6">
      <c r="A422" s="1280"/>
      <c r="N422" s="1399"/>
      <c r="O422" s="1280"/>
      <c r="Z422" s="1280"/>
    </row>
    <row r="423" spans="1:26" x14ac:dyDescent="0.6">
      <c r="A423" s="1280"/>
      <c r="N423" s="1399"/>
      <c r="O423" s="1280"/>
      <c r="Z423" s="1280"/>
    </row>
    <row r="424" spans="1:26" x14ac:dyDescent="0.6">
      <c r="A424" s="1280"/>
      <c r="N424" s="1399"/>
      <c r="O424" s="1280"/>
      <c r="Z424" s="1280"/>
    </row>
    <row r="425" spans="1:26" x14ac:dyDescent="0.6">
      <c r="A425" s="1280"/>
      <c r="N425" s="1399"/>
      <c r="O425" s="1280"/>
      <c r="Z425" s="1280"/>
    </row>
    <row r="426" spans="1:26" x14ac:dyDescent="0.6">
      <c r="A426" s="1280"/>
      <c r="N426" s="1399"/>
      <c r="O426" s="1280"/>
      <c r="Z426" s="1280"/>
    </row>
    <row r="427" spans="1:26" x14ac:dyDescent="0.6">
      <c r="A427" s="1280"/>
      <c r="N427" s="1399"/>
      <c r="O427" s="1280"/>
      <c r="Z427" s="1280"/>
    </row>
    <row r="428" spans="1:26" x14ac:dyDescent="0.6">
      <c r="A428" s="1280"/>
      <c r="N428" s="1399"/>
      <c r="O428" s="1280"/>
      <c r="Z428" s="1280"/>
    </row>
    <row r="429" spans="1:26" x14ac:dyDescent="0.6">
      <c r="A429" s="1280"/>
      <c r="N429" s="1399"/>
      <c r="O429" s="1280"/>
      <c r="Z429" s="1280"/>
    </row>
    <row r="430" spans="1:26" x14ac:dyDescent="0.6">
      <c r="A430" s="1280"/>
      <c r="N430" s="1399"/>
      <c r="O430" s="1280"/>
      <c r="Z430" s="1280"/>
    </row>
    <row r="431" spans="1:26" x14ac:dyDescent="0.6">
      <c r="A431" s="1280"/>
      <c r="N431" s="1399"/>
      <c r="O431" s="1280"/>
      <c r="Z431" s="1280"/>
    </row>
    <row r="432" spans="1:26" x14ac:dyDescent="0.6">
      <c r="A432" s="1280"/>
      <c r="N432" s="1399"/>
      <c r="O432" s="1280"/>
      <c r="Z432" s="1280"/>
    </row>
    <row r="433" spans="1:26" x14ac:dyDescent="0.6">
      <c r="A433" s="1280"/>
      <c r="N433" s="1399"/>
      <c r="O433" s="1280"/>
      <c r="Z433" s="1280"/>
    </row>
    <row r="434" spans="1:26" x14ac:dyDescent="0.6">
      <c r="A434" s="1280"/>
      <c r="N434" s="1399"/>
      <c r="O434" s="1280"/>
      <c r="Z434" s="1280"/>
    </row>
    <row r="435" spans="1:26" x14ac:dyDescent="0.6">
      <c r="A435" s="1280"/>
      <c r="N435" s="1399"/>
      <c r="O435" s="1280"/>
      <c r="Z435" s="1280"/>
    </row>
    <row r="436" spans="1:26" x14ac:dyDescent="0.6">
      <c r="A436" s="1280"/>
      <c r="N436" s="1399"/>
      <c r="O436" s="1280"/>
      <c r="Z436" s="1280"/>
    </row>
    <row r="437" spans="1:26" x14ac:dyDescent="0.6">
      <c r="A437" s="1280"/>
      <c r="N437" s="1399"/>
      <c r="O437" s="1280"/>
      <c r="Z437" s="1280"/>
    </row>
    <row r="438" spans="1:26" x14ac:dyDescent="0.6">
      <c r="A438" s="1280"/>
      <c r="N438" s="1399"/>
      <c r="O438" s="1280"/>
      <c r="Z438" s="1280"/>
    </row>
    <row r="439" spans="1:26" x14ac:dyDescent="0.6">
      <c r="A439" s="1280"/>
      <c r="N439" s="1399"/>
      <c r="O439" s="1280"/>
      <c r="Z439" s="1280"/>
    </row>
    <row r="440" spans="1:26" x14ac:dyDescent="0.6">
      <c r="A440" s="1280"/>
      <c r="N440" s="1399"/>
      <c r="O440" s="1280"/>
      <c r="Z440" s="1280"/>
    </row>
    <row r="441" spans="1:26" x14ac:dyDescent="0.6">
      <c r="A441" s="1280"/>
      <c r="N441" s="1399"/>
      <c r="O441" s="1280"/>
      <c r="Z441" s="1280"/>
    </row>
    <row r="442" spans="1:26" x14ac:dyDescent="0.6">
      <c r="A442" s="1280"/>
      <c r="N442" s="1399"/>
      <c r="O442" s="1280"/>
      <c r="Z442" s="1280"/>
    </row>
    <row r="443" spans="1:26" x14ac:dyDescent="0.6">
      <c r="A443" s="1280"/>
      <c r="N443" s="1399"/>
      <c r="O443" s="1280"/>
      <c r="Z443" s="1280"/>
    </row>
    <row r="444" spans="1:26" x14ac:dyDescent="0.6">
      <c r="A444" s="1280"/>
      <c r="N444" s="1399"/>
      <c r="O444" s="1280"/>
      <c r="Z444" s="1280"/>
    </row>
    <row r="445" spans="1:26" x14ac:dyDescent="0.6">
      <c r="A445" s="1280"/>
      <c r="N445" s="1399"/>
      <c r="O445" s="1280"/>
      <c r="Z445" s="1280"/>
    </row>
    <row r="446" spans="1:26" x14ac:dyDescent="0.6">
      <c r="A446" s="1280"/>
      <c r="N446" s="1399"/>
      <c r="O446" s="1280"/>
      <c r="Z446" s="1280"/>
    </row>
    <row r="447" spans="1:26" x14ac:dyDescent="0.6">
      <c r="A447" s="1280"/>
      <c r="N447" s="1399"/>
      <c r="O447" s="1280"/>
      <c r="Z447" s="1280"/>
    </row>
    <row r="448" spans="1:26" x14ac:dyDescent="0.6">
      <c r="A448" s="1280"/>
      <c r="N448" s="1399"/>
      <c r="O448" s="1280"/>
      <c r="Z448" s="1280"/>
    </row>
    <row r="449" spans="1:26" x14ac:dyDescent="0.6">
      <c r="A449" s="1280"/>
      <c r="N449" s="1399"/>
      <c r="O449" s="1280"/>
      <c r="Z449" s="1280"/>
    </row>
    <row r="450" spans="1:26" x14ac:dyDescent="0.6">
      <c r="A450" s="1280"/>
      <c r="N450" s="1399"/>
      <c r="O450" s="1280"/>
      <c r="Z450" s="1280"/>
    </row>
    <row r="451" spans="1:26" x14ac:dyDescent="0.6">
      <c r="A451" s="1280"/>
      <c r="N451" s="1399"/>
      <c r="O451" s="1280"/>
      <c r="Z451" s="1280"/>
    </row>
    <row r="452" spans="1:26" x14ac:dyDescent="0.6">
      <c r="A452" s="1280"/>
      <c r="N452" s="1399"/>
      <c r="O452" s="1280"/>
      <c r="Z452" s="1280"/>
    </row>
    <row r="453" spans="1:26" x14ac:dyDescent="0.6">
      <c r="A453" s="1280"/>
      <c r="N453" s="1399"/>
      <c r="O453" s="1280"/>
      <c r="Z453" s="1280"/>
    </row>
    <row r="454" spans="1:26" x14ac:dyDescent="0.6">
      <c r="A454" s="1280"/>
      <c r="N454" s="1399"/>
      <c r="O454" s="1280"/>
      <c r="Z454" s="1280"/>
    </row>
    <row r="455" spans="1:26" x14ac:dyDescent="0.6">
      <c r="A455" s="1280"/>
      <c r="N455" s="1399"/>
      <c r="O455" s="1280"/>
      <c r="Z455" s="1280"/>
    </row>
    <row r="456" spans="1:26" x14ac:dyDescent="0.6">
      <c r="A456" s="1280"/>
      <c r="N456" s="1399"/>
      <c r="O456" s="1280"/>
      <c r="Z456" s="1280"/>
    </row>
    <row r="457" spans="1:26" x14ac:dyDescent="0.6">
      <c r="A457" s="1280"/>
      <c r="N457" s="1399"/>
      <c r="O457" s="1280"/>
      <c r="Z457" s="1280"/>
    </row>
    <row r="458" spans="1:26" x14ac:dyDescent="0.6">
      <c r="A458" s="1280"/>
      <c r="N458" s="1399"/>
      <c r="O458" s="1280"/>
      <c r="Z458" s="1280"/>
    </row>
    <row r="459" spans="1:26" x14ac:dyDescent="0.6">
      <c r="A459" s="1280"/>
      <c r="N459" s="1399"/>
      <c r="O459" s="1280"/>
      <c r="Z459" s="1280"/>
    </row>
    <row r="460" spans="1:26" x14ac:dyDescent="0.6">
      <c r="A460" s="1280"/>
      <c r="N460" s="1399"/>
      <c r="O460" s="1280"/>
      <c r="Z460" s="1280"/>
    </row>
    <row r="461" spans="1:26" x14ac:dyDescent="0.6">
      <c r="A461" s="1280"/>
      <c r="N461" s="1399"/>
      <c r="O461" s="1280"/>
      <c r="Z461" s="1280"/>
    </row>
    <row r="462" spans="1:26" x14ac:dyDescent="0.6">
      <c r="A462" s="1280"/>
      <c r="N462" s="1399"/>
      <c r="O462" s="1280"/>
      <c r="Z462" s="1280"/>
    </row>
    <row r="463" spans="1:26" x14ac:dyDescent="0.6">
      <c r="A463" s="1280"/>
      <c r="N463" s="1399"/>
      <c r="O463" s="1280"/>
      <c r="Z463" s="1280"/>
    </row>
    <row r="464" spans="1:26" x14ac:dyDescent="0.6">
      <c r="A464" s="1280"/>
      <c r="N464" s="1399"/>
      <c r="O464" s="1280"/>
      <c r="Z464" s="1280"/>
    </row>
    <row r="465" spans="1:26" x14ac:dyDescent="0.6">
      <c r="A465" s="1280"/>
      <c r="N465" s="1399"/>
      <c r="O465" s="1280"/>
      <c r="Z465" s="1280"/>
    </row>
    <row r="466" spans="1:26" x14ac:dyDescent="0.6">
      <c r="A466" s="1280"/>
      <c r="N466" s="1399"/>
      <c r="O466" s="1280"/>
      <c r="Z466" s="1280"/>
    </row>
    <row r="467" spans="1:26" x14ac:dyDescent="0.6">
      <c r="A467" s="1280"/>
      <c r="N467" s="1399"/>
      <c r="O467" s="1280"/>
      <c r="Z467" s="1280"/>
    </row>
    <row r="468" spans="1:26" x14ac:dyDescent="0.6">
      <c r="A468" s="1280"/>
      <c r="N468" s="1399"/>
      <c r="O468" s="1280"/>
      <c r="Z468" s="1280"/>
    </row>
    <row r="469" spans="1:26" x14ac:dyDescent="0.6">
      <c r="A469" s="1280"/>
      <c r="N469" s="1399"/>
      <c r="O469" s="1280"/>
      <c r="Z469" s="1280"/>
    </row>
    <row r="470" spans="1:26" x14ac:dyDescent="0.6">
      <c r="A470" s="1280"/>
      <c r="N470" s="1399"/>
      <c r="O470" s="1280"/>
      <c r="Z470" s="1280"/>
    </row>
    <row r="471" spans="1:26" x14ac:dyDescent="0.6">
      <c r="A471" s="1280"/>
      <c r="N471" s="1399"/>
      <c r="O471" s="1280"/>
      <c r="Z471" s="1280"/>
    </row>
    <row r="472" spans="1:26" x14ac:dyDescent="0.6">
      <c r="A472" s="1280"/>
      <c r="N472" s="1399"/>
      <c r="O472" s="1280"/>
      <c r="Z472" s="1280"/>
    </row>
    <row r="473" spans="1:26" x14ac:dyDescent="0.6">
      <c r="A473" s="1280"/>
      <c r="N473" s="1399"/>
      <c r="O473" s="1280"/>
      <c r="Z473" s="1280"/>
    </row>
    <row r="474" spans="1:26" x14ac:dyDescent="0.6">
      <c r="A474" s="1280"/>
      <c r="N474" s="1399"/>
      <c r="O474" s="1280"/>
      <c r="Z474" s="1280"/>
    </row>
    <row r="475" spans="1:26" x14ac:dyDescent="0.6">
      <c r="A475" s="1280"/>
      <c r="N475" s="1399"/>
      <c r="O475" s="1280"/>
      <c r="Z475" s="1280"/>
    </row>
    <row r="476" spans="1:26" x14ac:dyDescent="0.6">
      <c r="A476" s="1280"/>
      <c r="N476" s="1399"/>
      <c r="O476" s="1280"/>
      <c r="Z476" s="1280"/>
    </row>
    <row r="477" spans="1:26" x14ac:dyDescent="0.6">
      <c r="A477" s="1280"/>
      <c r="N477" s="1399"/>
      <c r="O477" s="1280"/>
      <c r="Z477" s="1280"/>
    </row>
    <row r="478" spans="1:26" x14ac:dyDescent="0.6">
      <c r="A478" s="1280"/>
      <c r="N478" s="1399"/>
      <c r="O478" s="1280"/>
      <c r="Z478" s="1280"/>
    </row>
    <row r="479" spans="1:26" x14ac:dyDescent="0.6">
      <c r="A479" s="1280"/>
      <c r="N479" s="1399"/>
      <c r="O479" s="1280"/>
      <c r="Z479" s="1280"/>
    </row>
    <row r="480" spans="1:26" x14ac:dyDescent="0.6">
      <c r="A480" s="1280"/>
      <c r="N480" s="1399"/>
      <c r="O480" s="1280"/>
      <c r="Z480" s="1280"/>
    </row>
    <row r="481" spans="1:26" x14ac:dyDescent="0.6">
      <c r="A481" s="1280"/>
      <c r="N481" s="1399"/>
      <c r="O481" s="1280"/>
      <c r="Z481" s="1280"/>
    </row>
    <row r="482" spans="1:26" x14ac:dyDescent="0.6">
      <c r="A482" s="1280"/>
      <c r="N482" s="1399"/>
      <c r="O482" s="1280"/>
      <c r="Z482" s="1280"/>
    </row>
    <row r="483" spans="1:26" x14ac:dyDescent="0.6">
      <c r="A483" s="1280"/>
      <c r="N483" s="1399"/>
      <c r="O483" s="1280"/>
      <c r="Z483" s="1280"/>
    </row>
    <row r="484" spans="1:26" x14ac:dyDescent="0.6">
      <c r="A484" s="1280"/>
      <c r="N484" s="1399"/>
      <c r="O484" s="1280"/>
      <c r="Z484" s="1280"/>
    </row>
    <row r="485" spans="1:26" x14ac:dyDescent="0.6">
      <c r="A485" s="1280"/>
      <c r="N485" s="1399"/>
      <c r="O485" s="1280"/>
      <c r="Z485" s="1280"/>
    </row>
    <row r="486" spans="1:26" x14ac:dyDescent="0.6">
      <c r="A486" s="1280"/>
      <c r="N486" s="1399"/>
      <c r="O486" s="1280"/>
      <c r="Z486" s="1280"/>
    </row>
    <row r="487" spans="1:26" x14ac:dyDescent="0.6">
      <c r="A487" s="1280"/>
      <c r="N487" s="1399"/>
      <c r="O487" s="1280"/>
      <c r="Z487" s="1280"/>
    </row>
    <row r="488" spans="1:26" x14ac:dyDescent="0.6">
      <c r="A488" s="1280"/>
      <c r="N488" s="1399"/>
      <c r="O488" s="1280"/>
      <c r="Z488" s="1280"/>
    </row>
    <row r="489" spans="1:26" x14ac:dyDescent="0.6">
      <c r="A489" s="1280"/>
      <c r="N489" s="1399"/>
      <c r="O489" s="1280"/>
      <c r="Z489" s="1280"/>
    </row>
    <row r="490" spans="1:26" x14ac:dyDescent="0.6">
      <c r="A490" s="1280"/>
      <c r="N490" s="1399"/>
      <c r="O490" s="1280"/>
      <c r="Z490" s="1280"/>
    </row>
    <row r="491" spans="1:26" x14ac:dyDescent="0.6">
      <c r="A491" s="1280"/>
      <c r="N491" s="1399"/>
      <c r="O491" s="1280"/>
      <c r="Z491" s="1280"/>
    </row>
    <row r="492" spans="1:26" x14ac:dyDescent="0.6">
      <c r="A492" s="1280"/>
      <c r="N492" s="1399"/>
      <c r="O492" s="1280"/>
      <c r="Z492" s="1280"/>
    </row>
    <row r="493" spans="1:26" x14ac:dyDescent="0.6">
      <c r="A493" s="1280"/>
      <c r="N493" s="1399"/>
      <c r="O493" s="1280"/>
      <c r="Z493" s="1280"/>
    </row>
    <row r="494" spans="1:26" x14ac:dyDescent="0.6">
      <c r="A494" s="1280"/>
      <c r="N494" s="1399"/>
      <c r="O494" s="1280"/>
      <c r="Z494" s="1280"/>
    </row>
    <row r="495" spans="1:26" x14ac:dyDescent="0.6">
      <c r="A495" s="1280"/>
      <c r="N495" s="1399"/>
      <c r="O495" s="1280"/>
      <c r="Z495" s="1280"/>
    </row>
    <row r="496" spans="1:26" x14ac:dyDescent="0.6">
      <c r="A496" s="1280"/>
      <c r="N496" s="1399"/>
      <c r="O496" s="1280"/>
      <c r="Z496" s="1280"/>
    </row>
    <row r="497" spans="1:26" x14ac:dyDescent="0.6">
      <c r="A497" s="1280"/>
      <c r="N497" s="1399"/>
      <c r="O497" s="1280"/>
      <c r="Z497" s="1280"/>
    </row>
    <row r="498" spans="1:26" x14ac:dyDescent="0.6">
      <c r="A498" s="1280"/>
      <c r="N498" s="1399"/>
      <c r="O498" s="1280"/>
      <c r="Z498" s="1280"/>
    </row>
    <row r="499" spans="1:26" x14ac:dyDescent="0.6">
      <c r="A499" s="1280"/>
      <c r="N499" s="1399"/>
      <c r="O499" s="1280"/>
      <c r="Z499" s="1280"/>
    </row>
    <row r="500" spans="1:26" x14ac:dyDescent="0.6">
      <c r="A500" s="1280"/>
      <c r="N500" s="1399"/>
      <c r="O500" s="1280"/>
      <c r="Z500" s="1280"/>
    </row>
    <row r="501" spans="1:26" x14ac:dyDescent="0.6">
      <c r="A501" s="1280"/>
      <c r="N501" s="1399"/>
      <c r="O501" s="1280"/>
      <c r="Z501" s="1280"/>
    </row>
    <row r="502" spans="1:26" x14ac:dyDescent="0.6">
      <c r="A502" s="1280"/>
      <c r="N502" s="1399"/>
      <c r="O502" s="1280"/>
      <c r="Z502" s="1280"/>
    </row>
    <row r="503" spans="1:26" x14ac:dyDescent="0.6">
      <c r="A503" s="1280"/>
      <c r="N503" s="1399"/>
      <c r="O503" s="1280"/>
      <c r="Z503" s="1280"/>
    </row>
    <row r="504" spans="1:26" x14ac:dyDescent="0.6">
      <c r="A504" s="1280"/>
      <c r="N504" s="1399"/>
      <c r="O504" s="1280"/>
      <c r="Z504" s="1280"/>
    </row>
    <row r="505" spans="1:26" x14ac:dyDescent="0.6">
      <c r="A505" s="1280"/>
      <c r="N505" s="1399"/>
      <c r="O505" s="1280"/>
      <c r="Z505" s="1280"/>
    </row>
    <row r="506" spans="1:26" x14ac:dyDescent="0.6">
      <c r="A506" s="1280"/>
      <c r="N506" s="1399"/>
      <c r="O506" s="1280"/>
      <c r="Z506" s="1280"/>
    </row>
    <row r="507" spans="1:26" x14ac:dyDescent="0.6">
      <c r="A507" s="1280"/>
      <c r="N507" s="1399"/>
      <c r="O507" s="1280"/>
      <c r="Z507" s="1280"/>
    </row>
    <row r="508" spans="1:26" x14ac:dyDescent="0.6">
      <c r="A508" s="1280"/>
      <c r="N508" s="1399"/>
      <c r="O508" s="1280"/>
      <c r="Z508" s="1280"/>
    </row>
    <row r="509" spans="1:26" x14ac:dyDescent="0.6">
      <c r="A509" s="1280"/>
      <c r="N509" s="1399"/>
      <c r="O509" s="1280"/>
      <c r="Z509" s="1280"/>
    </row>
    <row r="510" spans="1:26" x14ac:dyDescent="0.6">
      <c r="A510" s="1280"/>
      <c r="N510" s="1399"/>
      <c r="O510" s="1280"/>
      <c r="Z510" s="1280"/>
    </row>
    <row r="511" spans="1:26" x14ac:dyDescent="0.6">
      <c r="A511" s="1280"/>
      <c r="N511" s="1399"/>
      <c r="O511" s="1280"/>
      <c r="Z511" s="1280"/>
    </row>
    <row r="512" spans="1:26" x14ac:dyDescent="0.6">
      <c r="A512" s="1280"/>
      <c r="N512" s="1399"/>
      <c r="O512" s="1280"/>
      <c r="Z512" s="1280"/>
    </row>
    <row r="513" spans="1:26" x14ac:dyDescent="0.6">
      <c r="A513" s="1280"/>
      <c r="N513" s="1399"/>
      <c r="O513" s="1280"/>
      <c r="Z513" s="1280"/>
    </row>
    <row r="514" spans="1:26" x14ac:dyDescent="0.6">
      <c r="A514" s="1280"/>
      <c r="N514" s="1399"/>
      <c r="O514" s="1280"/>
      <c r="Z514" s="1280"/>
    </row>
    <row r="515" spans="1:26" x14ac:dyDescent="0.6">
      <c r="A515" s="1280"/>
      <c r="N515" s="1399"/>
      <c r="O515" s="1280"/>
      <c r="Z515" s="1280"/>
    </row>
    <row r="516" spans="1:26" x14ac:dyDescent="0.6">
      <c r="A516" s="1280"/>
      <c r="N516" s="1399"/>
      <c r="O516" s="1280"/>
      <c r="Z516" s="1280"/>
    </row>
    <row r="517" spans="1:26" x14ac:dyDescent="0.6">
      <c r="A517" s="1280"/>
      <c r="N517" s="1399"/>
      <c r="O517" s="1280"/>
      <c r="Z517" s="1280"/>
    </row>
    <row r="518" spans="1:26" x14ac:dyDescent="0.6">
      <c r="A518" s="1280"/>
      <c r="N518" s="1399"/>
      <c r="O518" s="1280"/>
      <c r="Z518" s="1280"/>
    </row>
    <row r="519" spans="1:26" x14ac:dyDescent="0.6">
      <c r="A519" s="1280"/>
      <c r="N519" s="1399"/>
      <c r="O519" s="1280"/>
      <c r="Z519" s="1280"/>
    </row>
    <row r="520" spans="1:26" x14ac:dyDescent="0.6">
      <c r="A520" s="1280"/>
      <c r="N520" s="1399"/>
      <c r="O520" s="1280"/>
      <c r="Z520" s="1280"/>
    </row>
    <row r="521" spans="1:26" x14ac:dyDescent="0.6">
      <c r="A521" s="1280"/>
      <c r="N521" s="1399"/>
      <c r="O521" s="1280"/>
      <c r="Z521" s="1280"/>
    </row>
    <row r="522" spans="1:26" x14ac:dyDescent="0.6">
      <c r="A522" s="1280"/>
      <c r="N522" s="1399"/>
      <c r="O522" s="1280"/>
      <c r="Z522" s="1280"/>
    </row>
    <row r="523" spans="1:26" x14ac:dyDescent="0.6">
      <c r="A523" s="1280"/>
      <c r="N523" s="1399"/>
      <c r="O523" s="1280"/>
      <c r="Z523" s="1280"/>
    </row>
    <row r="524" spans="1:26" x14ac:dyDescent="0.6">
      <c r="A524" s="1280"/>
      <c r="N524" s="1399"/>
      <c r="O524" s="1280"/>
      <c r="Z524" s="1280"/>
    </row>
    <row r="525" spans="1:26" x14ac:dyDescent="0.6">
      <c r="A525" s="1280"/>
      <c r="N525" s="1399"/>
      <c r="O525" s="1280"/>
      <c r="Z525" s="1280"/>
    </row>
    <row r="526" spans="1:26" x14ac:dyDescent="0.6">
      <c r="A526" s="1280"/>
      <c r="N526" s="1399"/>
      <c r="O526" s="1280"/>
      <c r="Z526" s="1280"/>
    </row>
    <row r="527" spans="1:26" x14ac:dyDescent="0.6">
      <c r="A527" s="1280"/>
      <c r="N527" s="1399"/>
      <c r="O527" s="1280"/>
      <c r="Z527" s="1280"/>
    </row>
    <row r="528" spans="1:26" x14ac:dyDescent="0.6">
      <c r="A528" s="1280"/>
      <c r="N528" s="1399"/>
      <c r="O528" s="1280"/>
      <c r="Z528" s="1280"/>
    </row>
    <row r="529" spans="1:26" x14ac:dyDescent="0.6">
      <c r="A529" s="1280"/>
      <c r="N529" s="1399"/>
      <c r="O529" s="1280"/>
      <c r="Z529" s="1280"/>
    </row>
    <row r="530" spans="1:26" x14ac:dyDescent="0.6">
      <c r="A530" s="1280"/>
      <c r="N530" s="1399"/>
      <c r="O530" s="1280"/>
      <c r="Z530" s="1280"/>
    </row>
    <row r="531" spans="1:26" x14ac:dyDescent="0.6">
      <c r="A531" s="1280"/>
      <c r="N531" s="1399"/>
      <c r="O531" s="1280"/>
      <c r="Z531" s="1280"/>
    </row>
    <row r="532" spans="1:26" x14ac:dyDescent="0.6">
      <c r="A532" s="1280"/>
      <c r="N532" s="1399"/>
      <c r="O532" s="1280"/>
      <c r="Z532" s="1280"/>
    </row>
    <row r="533" spans="1:26" x14ac:dyDescent="0.6">
      <c r="A533" s="1280"/>
      <c r="N533" s="1399"/>
      <c r="O533" s="1280"/>
      <c r="Z533" s="1280"/>
    </row>
    <row r="534" spans="1:26" x14ac:dyDescent="0.6">
      <c r="A534" s="1280"/>
      <c r="N534" s="1399"/>
      <c r="O534" s="1280"/>
      <c r="Z534" s="1280"/>
    </row>
    <row r="535" spans="1:26" x14ac:dyDescent="0.6">
      <c r="A535" s="1280"/>
      <c r="N535" s="1399"/>
      <c r="O535" s="1280"/>
      <c r="Z535" s="1280"/>
    </row>
    <row r="536" spans="1:26" x14ac:dyDescent="0.6">
      <c r="A536" s="1280"/>
      <c r="N536" s="1399"/>
      <c r="O536" s="1280"/>
      <c r="Z536" s="1280"/>
    </row>
    <row r="537" spans="1:26" x14ac:dyDescent="0.6">
      <c r="A537" s="1280"/>
      <c r="N537" s="1399"/>
      <c r="O537" s="1280"/>
      <c r="Z537" s="1280"/>
    </row>
    <row r="538" spans="1:26" x14ac:dyDescent="0.6">
      <c r="A538" s="1280"/>
      <c r="N538" s="1399"/>
      <c r="O538" s="1280"/>
      <c r="Z538" s="1280"/>
    </row>
    <row r="539" spans="1:26" x14ac:dyDescent="0.6">
      <c r="A539" s="1280"/>
      <c r="N539" s="1399"/>
      <c r="O539" s="1280"/>
      <c r="Z539" s="1280"/>
    </row>
    <row r="540" spans="1:26" x14ac:dyDescent="0.6">
      <c r="A540" s="1280"/>
      <c r="N540" s="1399"/>
      <c r="O540" s="1280"/>
      <c r="Z540" s="1280"/>
    </row>
    <row r="541" spans="1:26" x14ac:dyDescent="0.6">
      <c r="A541" s="1280"/>
      <c r="N541" s="1399"/>
      <c r="O541" s="1280"/>
      <c r="Z541" s="1280"/>
    </row>
    <row r="542" spans="1:26" x14ac:dyDescent="0.6">
      <c r="A542" s="1280"/>
      <c r="N542" s="1399"/>
      <c r="O542" s="1280"/>
      <c r="Z542" s="1280"/>
    </row>
    <row r="543" spans="1:26" x14ac:dyDescent="0.6">
      <c r="A543" s="1280"/>
      <c r="N543" s="1399"/>
      <c r="O543" s="1280"/>
      <c r="Z543" s="1280"/>
    </row>
    <row r="544" spans="1:26" x14ac:dyDescent="0.6">
      <c r="A544" s="1280"/>
      <c r="N544" s="1399"/>
      <c r="O544" s="1280"/>
      <c r="Z544" s="1280"/>
    </row>
    <row r="545" spans="1:26" x14ac:dyDescent="0.6">
      <c r="A545" s="1280"/>
      <c r="N545" s="1399"/>
      <c r="O545" s="1280"/>
      <c r="Z545" s="1280"/>
    </row>
    <row r="546" spans="1:26" x14ac:dyDescent="0.6">
      <c r="A546" s="1280"/>
      <c r="N546" s="1399"/>
      <c r="O546" s="1280"/>
      <c r="Z546" s="1280"/>
    </row>
    <row r="547" spans="1:26" x14ac:dyDescent="0.6">
      <c r="A547" s="1280"/>
      <c r="N547" s="1399"/>
      <c r="O547" s="1280"/>
      <c r="Z547" s="1280"/>
    </row>
    <row r="548" spans="1:26" x14ac:dyDescent="0.6">
      <c r="A548" s="1280"/>
      <c r="N548" s="1399"/>
      <c r="O548" s="1280"/>
      <c r="Z548" s="1280"/>
    </row>
    <row r="549" spans="1:26" x14ac:dyDescent="0.6">
      <c r="A549" s="1280"/>
      <c r="N549" s="1399"/>
      <c r="O549" s="1280"/>
      <c r="Z549" s="1280"/>
    </row>
    <row r="550" spans="1:26" x14ac:dyDescent="0.6">
      <c r="A550" s="1280"/>
      <c r="N550" s="1399"/>
      <c r="O550" s="1280"/>
      <c r="Z550" s="1280"/>
    </row>
    <row r="551" spans="1:26" x14ac:dyDescent="0.6">
      <c r="A551" s="1280"/>
      <c r="N551" s="1399"/>
      <c r="O551" s="1280"/>
      <c r="Z551" s="1280"/>
    </row>
    <row r="552" spans="1:26" x14ac:dyDescent="0.6">
      <c r="A552" s="1280"/>
      <c r="N552" s="1399"/>
      <c r="O552" s="1280"/>
      <c r="Z552" s="1280"/>
    </row>
    <row r="553" spans="1:26" x14ac:dyDescent="0.6">
      <c r="A553" s="1280"/>
      <c r="N553" s="1399"/>
      <c r="O553" s="1280"/>
      <c r="Z553" s="1280"/>
    </row>
    <row r="554" spans="1:26" x14ac:dyDescent="0.6">
      <c r="A554" s="1280"/>
      <c r="N554" s="1399"/>
      <c r="O554" s="1280"/>
      <c r="Z554" s="1280"/>
    </row>
    <row r="555" spans="1:26" x14ac:dyDescent="0.6">
      <c r="A555" s="1280"/>
      <c r="N555" s="1399"/>
      <c r="O555" s="1280"/>
      <c r="Z555" s="1280"/>
    </row>
    <row r="556" spans="1:26" x14ac:dyDescent="0.6">
      <c r="A556" s="1280"/>
      <c r="N556" s="1399"/>
      <c r="O556" s="1280"/>
      <c r="Z556" s="1280"/>
    </row>
    <row r="557" spans="1:26" x14ac:dyDescent="0.6">
      <c r="A557" s="1280"/>
      <c r="N557" s="1399"/>
      <c r="O557" s="1280"/>
      <c r="Z557" s="1280"/>
    </row>
    <row r="558" spans="1:26" x14ac:dyDescent="0.6">
      <c r="A558" s="1280"/>
      <c r="N558" s="1399"/>
      <c r="O558" s="1280"/>
      <c r="Z558" s="1280"/>
    </row>
    <row r="559" spans="1:26" x14ac:dyDescent="0.6">
      <c r="A559" s="1280"/>
      <c r="N559" s="1399"/>
      <c r="O559" s="1280"/>
      <c r="Z559" s="1280"/>
    </row>
    <row r="560" spans="1:26" x14ac:dyDescent="0.6">
      <c r="A560" s="1280"/>
      <c r="N560" s="1399"/>
      <c r="O560" s="1280"/>
      <c r="Z560" s="1280"/>
    </row>
    <row r="561" spans="1:26" x14ac:dyDescent="0.6">
      <c r="A561" s="1280"/>
      <c r="N561" s="1399"/>
      <c r="O561" s="1280"/>
      <c r="Z561" s="1280"/>
    </row>
    <row r="562" spans="1:26" x14ac:dyDescent="0.6">
      <c r="A562" s="1280"/>
      <c r="N562" s="1399"/>
      <c r="O562" s="1280"/>
      <c r="Z562" s="1280"/>
    </row>
    <row r="563" spans="1:26" x14ac:dyDescent="0.6">
      <c r="A563" s="1280"/>
      <c r="N563" s="1399"/>
      <c r="O563" s="1280"/>
      <c r="Z563" s="1280"/>
    </row>
    <row r="564" spans="1:26" x14ac:dyDescent="0.6">
      <c r="A564" s="1280"/>
      <c r="N564" s="1399"/>
      <c r="O564" s="1280"/>
      <c r="Z564" s="1280"/>
    </row>
    <row r="565" spans="1:26" x14ac:dyDescent="0.6">
      <c r="A565" s="1280"/>
      <c r="N565" s="1399"/>
      <c r="O565" s="1280"/>
      <c r="Z565" s="1280"/>
    </row>
    <row r="566" spans="1:26" x14ac:dyDescent="0.6">
      <c r="A566" s="1280"/>
      <c r="N566" s="1399"/>
      <c r="O566" s="1280"/>
      <c r="Z566" s="1280"/>
    </row>
    <row r="567" spans="1:26" x14ac:dyDescent="0.6">
      <c r="A567" s="1280"/>
      <c r="N567" s="1399"/>
      <c r="O567" s="1280"/>
      <c r="Z567" s="1280"/>
    </row>
    <row r="568" spans="1:26" x14ac:dyDescent="0.6">
      <c r="A568" s="1280"/>
      <c r="N568" s="1399"/>
      <c r="O568" s="1280"/>
      <c r="Z568" s="1280"/>
    </row>
    <row r="569" spans="1:26" x14ac:dyDescent="0.6">
      <c r="A569" s="1280"/>
      <c r="N569" s="1399"/>
      <c r="O569" s="1280"/>
      <c r="Z569" s="1280"/>
    </row>
    <row r="570" spans="1:26" x14ac:dyDescent="0.6">
      <c r="A570" s="1280"/>
      <c r="N570" s="1399"/>
      <c r="O570" s="1280"/>
      <c r="Z570" s="1280"/>
    </row>
    <row r="571" spans="1:26" x14ac:dyDescent="0.6">
      <c r="A571" s="1280"/>
      <c r="N571" s="1399"/>
      <c r="O571" s="1280"/>
      <c r="Z571" s="1280"/>
    </row>
    <row r="572" spans="1:26" x14ac:dyDescent="0.6">
      <c r="A572" s="1280"/>
      <c r="N572" s="1399"/>
      <c r="O572" s="1280"/>
      <c r="Z572" s="1280"/>
    </row>
    <row r="573" spans="1:26" x14ac:dyDescent="0.6">
      <c r="A573" s="1280"/>
      <c r="N573" s="1399"/>
      <c r="O573" s="1280"/>
      <c r="Z573" s="1280"/>
    </row>
    <row r="574" spans="1:26" x14ac:dyDescent="0.6">
      <c r="A574" s="1280"/>
      <c r="N574" s="1399"/>
      <c r="O574" s="1280"/>
      <c r="Z574" s="1280"/>
    </row>
    <row r="575" spans="1:26" x14ac:dyDescent="0.6">
      <c r="A575" s="1280"/>
      <c r="N575" s="1399"/>
      <c r="O575" s="1280"/>
      <c r="Z575" s="1280"/>
    </row>
    <row r="576" spans="1:26" x14ac:dyDescent="0.6">
      <c r="A576" s="1280"/>
      <c r="N576" s="1399"/>
      <c r="O576" s="1280"/>
      <c r="Z576" s="1280"/>
    </row>
    <row r="577" spans="1:26" x14ac:dyDescent="0.6">
      <c r="A577" s="1280"/>
      <c r="N577" s="1399"/>
      <c r="O577" s="1280"/>
      <c r="Z577" s="1280"/>
    </row>
    <row r="578" spans="1:26" x14ac:dyDescent="0.6">
      <c r="A578" s="1280"/>
      <c r="N578" s="1399"/>
      <c r="O578" s="1280"/>
      <c r="Z578" s="1280"/>
    </row>
    <row r="579" spans="1:26" x14ac:dyDescent="0.6">
      <c r="A579" s="1280"/>
      <c r="N579" s="1399"/>
      <c r="O579" s="1280"/>
      <c r="Z579" s="1280"/>
    </row>
    <row r="580" spans="1:26" x14ac:dyDescent="0.6">
      <c r="A580" s="1280"/>
      <c r="N580" s="1399"/>
      <c r="O580" s="1280"/>
      <c r="Z580" s="1280"/>
    </row>
    <row r="581" spans="1:26" x14ac:dyDescent="0.6">
      <c r="A581" s="1280"/>
      <c r="N581" s="1399"/>
      <c r="O581" s="1280"/>
      <c r="Z581" s="1280"/>
    </row>
    <row r="582" spans="1:26" x14ac:dyDescent="0.6">
      <c r="A582" s="1280"/>
      <c r="N582" s="1399"/>
      <c r="O582" s="1280"/>
      <c r="Z582" s="1280"/>
    </row>
    <row r="583" spans="1:26" x14ac:dyDescent="0.6">
      <c r="A583" s="1280"/>
      <c r="N583" s="1399"/>
      <c r="O583" s="1280"/>
      <c r="Z583" s="1280"/>
    </row>
    <row r="584" spans="1:26" x14ac:dyDescent="0.6">
      <c r="A584" s="1280"/>
      <c r="N584" s="1399"/>
      <c r="O584" s="1280"/>
      <c r="Z584" s="1280"/>
    </row>
    <row r="585" spans="1:26" x14ac:dyDescent="0.6">
      <c r="A585" s="1280"/>
      <c r="N585" s="1399"/>
      <c r="O585" s="1280"/>
      <c r="Z585" s="1280"/>
    </row>
    <row r="586" spans="1:26" x14ac:dyDescent="0.6">
      <c r="A586" s="1280"/>
      <c r="N586" s="1399"/>
      <c r="O586" s="1280"/>
      <c r="Z586" s="1280"/>
    </row>
    <row r="587" spans="1:26" x14ac:dyDescent="0.6">
      <c r="A587" s="1280"/>
      <c r="N587" s="1399"/>
      <c r="O587" s="1280"/>
      <c r="Z587" s="1280"/>
    </row>
    <row r="588" spans="1:26" x14ac:dyDescent="0.6">
      <c r="A588" s="1280"/>
      <c r="N588" s="1399"/>
      <c r="O588" s="1280"/>
      <c r="Z588" s="1280"/>
    </row>
    <row r="589" spans="1:26" x14ac:dyDescent="0.6">
      <c r="A589" s="1280"/>
      <c r="N589" s="1399"/>
      <c r="O589" s="1280"/>
      <c r="Z589" s="1280"/>
    </row>
    <row r="590" spans="1:26" x14ac:dyDescent="0.6">
      <c r="A590" s="1280"/>
      <c r="N590" s="1399"/>
      <c r="O590" s="1280"/>
      <c r="Z590" s="1280"/>
    </row>
    <row r="591" spans="1:26" x14ac:dyDescent="0.6">
      <c r="A591" s="1280"/>
      <c r="N591" s="1399"/>
      <c r="O591" s="1280"/>
      <c r="Z591" s="1280"/>
    </row>
    <row r="592" spans="1:26" x14ac:dyDescent="0.6">
      <c r="A592" s="1280"/>
      <c r="N592" s="1399"/>
      <c r="O592" s="1280"/>
      <c r="Z592" s="1280"/>
    </row>
    <row r="593" spans="1:26" x14ac:dyDescent="0.6">
      <c r="A593" s="1280"/>
      <c r="N593" s="1399"/>
      <c r="O593" s="1280"/>
      <c r="Z593" s="1280"/>
    </row>
    <row r="594" spans="1:26" x14ac:dyDescent="0.6">
      <c r="A594" s="1280"/>
      <c r="N594" s="1399"/>
      <c r="O594" s="1280"/>
      <c r="Z594" s="1280"/>
    </row>
    <row r="595" spans="1:26" x14ac:dyDescent="0.6">
      <c r="A595" s="1280"/>
      <c r="N595" s="1399"/>
      <c r="O595" s="1280"/>
      <c r="Z595" s="1280"/>
    </row>
    <row r="596" spans="1:26" x14ac:dyDescent="0.6">
      <c r="A596" s="1280"/>
      <c r="N596" s="1399"/>
      <c r="O596" s="1280"/>
      <c r="Z596" s="1280"/>
    </row>
    <row r="597" spans="1:26" x14ac:dyDescent="0.6">
      <c r="A597" s="1280"/>
      <c r="N597" s="1399"/>
      <c r="O597" s="1280"/>
      <c r="Z597" s="1280"/>
    </row>
    <row r="598" spans="1:26" x14ac:dyDescent="0.6">
      <c r="A598" s="1280"/>
      <c r="N598" s="1399"/>
      <c r="O598" s="1280"/>
      <c r="Z598" s="1280"/>
    </row>
    <row r="599" spans="1:26" x14ac:dyDescent="0.6">
      <c r="A599" s="1280"/>
      <c r="N599" s="1399"/>
      <c r="O599" s="1280"/>
      <c r="Z599" s="1280"/>
    </row>
    <row r="600" spans="1:26" x14ac:dyDescent="0.6">
      <c r="A600" s="1280"/>
      <c r="N600" s="1399"/>
      <c r="O600" s="1280"/>
      <c r="Z600" s="1280"/>
    </row>
    <row r="601" spans="1:26" x14ac:dyDescent="0.6">
      <c r="A601" s="1280"/>
      <c r="N601" s="1399"/>
      <c r="O601" s="1280"/>
      <c r="Z601" s="1280"/>
    </row>
    <row r="602" spans="1:26" x14ac:dyDescent="0.6">
      <c r="A602" s="1280"/>
      <c r="N602" s="1399"/>
      <c r="O602" s="1280"/>
      <c r="Z602" s="1280"/>
    </row>
    <row r="603" spans="1:26" x14ac:dyDescent="0.6">
      <c r="A603" s="1280"/>
      <c r="N603" s="1399"/>
      <c r="O603" s="1280"/>
      <c r="Z603" s="1280"/>
    </row>
    <row r="604" spans="1:26" x14ac:dyDescent="0.6">
      <c r="A604" s="1280"/>
      <c r="N604" s="1399"/>
      <c r="O604" s="1280"/>
      <c r="Z604" s="1280"/>
    </row>
    <row r="605" spans="1:26" x14ac:dyDescent="0.6">
      <c r="A605" s="1280"/>
      <c r="N605" s="1399"/>
      <c r="O605" s="1280"/>
      <c r="Z605" s="1280"/>
    </row>
    <row r="606" spans="1:26" x14ac:dyDescent="0.6">
      <c r="A606" s="1280"/>
      <c r="N606" s="1399"/>
      <c r="O606" s="1280"/>
      <c r="Z606" s="1280"/>
    </row>
    <row r="607" spans="1:26" x14ac:dyDescent="0.6">
      <c r="A607" s="1280"/>
      <c r="N607" s="1399"/>
      <c r="O607" s="1280"/>
      <c r="Z607" s="1280"/>
    </row>
    <row r="608" spans="1:26" x14ac:dyDescent="0.6">
      <c r="A608" s="1280"/>
      <c r="N608" s="1399"/>
      <c r="O608" s="1280"/>
      <c r="Z608" s="1280"/>
    </row>
    <row r="609" spans="1:26" x14ac:dyDescent="0.6">
      <c r="A609" s="1280"/>
      <c r="N609" s="1399"/>
      <c r="O609" s="1280"/>
      <c r="Z609" s="1280"/>
    </row>
    <row r="610" spans="1:26" x14ac:dyDescent="0.6">
      <c r="A610" s="1280"/>
      <c r="N610" s="1399"/>
      <c r="O610" s="1280"/>
      <c r="Z610" s="1280"/>
    </row>
    <row r="611" spans="1:26" x14ac:dyDescent="0.6">
      <c r="A611" s="1280"/>
      <c r="N611" s="1399"/>
      <c r="O611" s="1280"/>
      <c r="Z611" s="1280"/>
    </row>
    <row r="612" spans="1:26" x14ac:dyDescent="0.6">
      <c r="A612" s="1280"/>
      <c r="N612" s="1399"/>
      <c r="O612" s="1280"/>
      <c r="Z612" s="1280"/>
    </row>
    <row r="613" spans="1:26" x14ac:dyDescent="0.6">
      <c r="A613" s="1280"/>
      <c r="N613" s="1399"/>
      <c r="O613" s="1280"/>
      <c r="Z613" s="1280"/>
    </row>
    <row r="614" spans="1:26" x14ac:dyDescent="0.6">
      <c r="A614" s="1280"/>
      <c r="N614" s="1399"/>
      <c r="O614" s="1280"/>
      <c r="Z614" s="1280"/>
    </row>
    <row r="615" spans="1:26" x14ac:dyDescent="0.6">
      <c r="A615" s="1280"/>
      <c r="N615" s="1399"/>
      <c r="O615" s="1280"/>
      <c r="Z615" s="1280"/>
    </row>
    <row r="616" spans="1:26" x14ac:dyDescent="0.6">
      <c r="A616" s="1280"/>
      <c r="N616" s="1399"/>
      <c r="O616" s="1280"/>
      <c r="Z616" s="1280"/>
    </row>
    <row r="617" spans="1:26" x14ac:dyDescent="0.6">
      <c r="A617" s="1280"/>
      <c r="N617" s="1399"/>
      <c r="O617" s="1280"/>
      <c r="Z617" s="1280"/>
    </row>
    <row r="618" spans="1:26" x14ac:dyDescent="0.6">
      <c r="A618" s="1280"/>
      <c r="N618" s="1399"/>
      <c r="O618" s="1280"/>
      <c r="Z618" s="1280"/>
    </row>
    <row r="619" spans="1:26" x14ac:dyDescent="0.6">
      <c r="A619" s="1280"/>
      <c r="N619" s="1399"/>
      <c r="O619" s="1280"/>
      <c r="Z619" s="1280"/>
    </row>
    <row r="620" spans="1:26" x14ac:dyDescent="0.6">
      <c r="A620" s="1280"/>
      <c r="N620" s="1399"/>
      <c r="O620" s="1280"/>
      <c r="Z620" s="1280"/>
    </row>
    <row r="621" spans="1:26" x14ac:dyDescent="0.6">
      <c r="A621" s="1280"/>
      <c r="N621" s="1399"/>
      <c r="O621" s="1280"/>
      <c r="Z621" s="1280"/>
    </row>
    <row r="622" spans="1:26" x14ac:dyDescent="0.6">
      <c r="A622" s="1280"/>
      <c r="N622" s="1399"/>
      <c r="O622" s="1280"/>
      <c r="Z622" s="1280"/>
    </row>
    <row r="623" spans="1:26" x14ac:dyDescent="0.6">
      <c r="A623" s="1280"/>
      <c r="N623" s="1399"/>
      <c r="O623" s="1280"/>
      <c r="Z623" s="1280"/>
    </row>
    <row r="624" spans="1:26" x14ac:dyDescent="0.6">
      <c r="A624" s="1280"/>
      <c r="N624" s="1399"/>
      <c r="O624" s="1280"/>
      <c r="Z624" s="1280"/>
    </row>
    <row r="625" spans="1:26" x14ac:dyDescent="0.6">
      <c r="A625" s="1280"/>
      <c r="N625" s="1399"/>
      <c r="O625" s="1280"/>
      <c r="Z625" s="1280"/>
    </row>
    <row r="626" spans="1:26" x14ac:dyDescent="0.6">
      <c r="A626" s="1280"/>
      <c r="N626" s="1399"/>
      <c r="O626" s="1280"/>
      <c r="Z626" s="1280"/>
    </row>
    <row r="627" spans="1:26" x14ac:dyDescent="0.6">
      <c r="A627" s="1280"/>
      <c r="N627" s="1399"/>
      <c r="O627" s="1280"/>
      <c r="Z627" s="1280"/>
    </row>
    <row r="628" spans="1:26" x14ac:dyDescent="0.6">
      <c r="A628" s="1280"/>
      <c r="N628" s="1399"/>
      <c r="O628" s="1280"/>
      <c r="Z628" s="1280"/>
    </row>
    <row r="629" spans="1:26" x14ac:dyDescent="0.6">
      <c r="A629" s="1280"/>
      <c r="N629" s="1399"/>
      <c r="O629" s="1280"/>
      <c r="Z629" s="1280"/>
    </row>
    <row r="630" spans="1:26" x14ac:dyDescent="0.6">
      <c r="A630" s="1280"/>
      <c r="N630" s="1399"/>
      <c r="O630" s="1280"/>
      <c r="Z630" s="1280"/>
    </row>
    <row r="631" spans="1:26" x14ac:dyDescent="0.6">
      <c r="A631" s="1280"/>
      <c r="N631" s="1399"/>
      <c r="O631" s="1280"/>
      <c r="Z631" s="1280"/>
    </row>
    <row r="632" spans="1:26" x14ac:dyDescent="0.6">
      <c r="A632" s="1280"/>
      <c r="N632" s="1399"/>
      <c r="O632" s="1280"/>
      <c r="Z632" s="1280"/>
    </row>
    <row r="633" spans="1:26" x14ac:dyDescent="0.6">
      <c r="A633" s="1280"/>
      <c r="N633" s="1399"/>
      <c r="O633" s="1280"/>
      <c r="Z633" s="1280"/>
    </row>
    <row r="634" spans="1:26" x14ac:dyDescent="0.6">
      <c r="A634" s="1280"/>
      <c r="N634" s="1399"/>
      <c r="O634" s="1280"/>
      <c r="Z634" s="1280"/>
    </row>
    <row r="635" spans="1:26" x14ac:dyDescent="0.6">
      <c r="A635" s="1280"/>
      <c r="N635" s="1399"/>
      <c r="O635" s="1280"/>
      <c r="Z635" s="1280"/>
    </row>
    <row r="636" spans="1:26" x14ac:dyDescent="0.6">
      <c r="A636" s="1280"/>
      <c r="N636" s="1399"/>
      <c r="O636" s="1280"/>
      <c r="Z636" s="1280"/>
    </row>
    <row r="637" spans="1:26" x14ac:dyDescent="0.6">
      <c r="A637" s="1280"/>
      <c r="N637" s="1399"/>
      <c r="O637" s="1280"/>
      <c r="Z637" s="1280"/>
    </row>
    <row r="638" spans="1:26" x14ac:dyDescent="0.6">
      <c r="A638" s="1280"/>
      <c r="N638" s="1399"/>
      <c r="O638" s="1280"/>
      <c r="Z638" s="1280"/>
    </row>
    <row r="639" spans="1:26" x14ac:dyDescent="0.6">
      <c r="A639" s="1280"/>
      <c r="N639" s="1399"/>
      <c r="O639" s="1280"/>
      <c r="Z639" s="1280"/>
    </row>
    <row r="640" spans="1:26" x14ac:dyDescent="0.6">
      <c r="A640" s="1280"/>
      <c r="N640" s="1399"/>
      <c r="O640" s="1280"/>
      <c r="Z640" s="1280"/>
    </row>
    <row r="641" spans="1:26" x14ac:dyDescent="0.6">
      <c r="A641" s="1280"/>
      <c r="N641" s="1399"/>
      <c r="O641" s="1280"/>
      <c r="Z641" s="1280"/>
    </row>
    <row r="642" spans="1:26" x14ac:dyDescent="0.6">
      <c r="A642" s="1280"/>
      <c r="N642" s="1399"/>
      <c r="O642" s="1280"/>
      <c r="Z642" s="1280"/>
    </row>
    <row r="643" spans="1:26" x14ac:dyDescent="0.6">
      <c r="A643" s="1280"/>
      <c r="N643" s="1399"/>
      <c r="O643" s="1280"/>
      <c r="Z643" s="1280"/>
    </row>
    <row r="644" spans="1:26" x14ac:dyDescent="0.6">
      <c r="A644" s="1280"/>
      <c r="N644" s="1399"/>
      <c r="O644" s="1280"/>
      <c r="Z644" s="1280"/>
    </row>
    <row r="645" spans="1:26" x14ac:dyDescent="0.6">
      <c r="A645" s="1280"/>
      <c r="N645" s="1399"/>
      <c r="O645" s="1280"/>
      <c r="Z645" s="1280"/>
    </row>
    <row r="646" spans="1:26" x14ac:dyDescent="0.6">
      <c r="A646" s="1280"/>
      <c r="N646" s="1399"/>
      <c r="O646" s="1280"/>
      <c r="Z646" s="1280"/>
    </row>
    <row r="647" spans="1:26" x14ac:dyDescent="0.6">
      <c r="A647" s="1280"/>
      <c r="N647" s="1399"/>
      <c r="O647" s="1280"/>
      <c r="Z647" s="1280"/>
    </row>
    <row r="648" spans="1:26" x14ac:dyDescent="0.6">
      <c r="A648" s="1280"/>
      <c r="N648" s="1399"/>
      <c r="O648" s="1280"/>
      <c r="Z648" s="1280"/>
    </row>
    <row r="649" spans="1:26" x14ac:dyDescent="0.6">
      <c r="A649" s="1280"/>
      <c r="N649" s="1399"/>
      <c r="O649" s="1280"/>
      <c r="Z649" s="1280"/>
    </row>
    <row r="650" spans="1:26" x14ac:dyDescent="0.6">
      <c r="A650" s="1280"/>
      <c r="N650" s="1399"/>
      <c r="O650" s="1280"/>
      <c r="Z650" s="1280"/>
    </row>
    <row r="651" spans="1:26" x14ac:dyDescent="0.6">
      <c r="A651" s="1280"/>
      <c r="N651" s="1399"/>
      <c r="O651" s="1280"/>
      <c r="Z651" s="1280"/>
    </row>
    <row r="652" spans="1:26" x14ac:dyDescent="0.6">
      <c r="A652" s="1280"/>
      <c r="N652" s="1399"/>
      <c r="O652" s="1280"/>
      <c r="Z652" s="1280"/>
    </row>
    <row r="653" spans="1:26" x14ac:dyDescent="0.6">
      <c r="A653" s="1280"/>
      <c r="N653" s="1399"/>
      <c r="O653" s="1280"/>
      <c r="Z653" s="1280"/>
    </row>
    <row r="654" spans="1:26" x14ac:dyDescent="0.6">
      <c r="A654" s="1280"/>
      <c r="N654" s="1399"/>
      <c r="O654" s="1280"/>
      <c r="Z654" s="1280"/>
    </row>
    <row r="655" spans="1:26" x14ac:dyDescent="0.6">
      <c r="A655" s="1280"/>
      <c r="N655" s="1399"/>
      <c r="O655" s="1280"/>
      <c r="Z655" s="1280"/>
    </row>
    <row r="656" spans="1:26" x14ac:dyDescent="0.6">
      <c r="A656" s="1280"/>
      <c r="N656" s="1399"/>
      <c r="O656" s="1280"/>
      <c r="Z656" s="1280"/>
    </row>
    <row r="657" spans="1:26" x14ac:dyDescent="0.6">
      <c r="A657" s="1280"/>
      <c r="N657" s="1399"/>
      <c r="O657" s="1280"/>
      <c r="Z657" s="1280"/>
    </row>
    <row r="658" spans="1:26" x14ac:dyDescent="0.6">
      <c r="A658" s="1280"/>
      <c r="N658" s="1399"/>
      <c r="O658" s="1280"/>
      <c r="Z658" s="1280"/>
    </row>
    <row r="659" spans="1:26" x14ac:dyDescent="0.6">
      <c r="A659" s="1280"/>
      <c r="N659" s="1399"/>
      <c r="O659" s="1280"/>
      <c r="Z659" s="1280"/>
    </row>
    <row r="660" spans="1:26" x14ac:dyDescent="0.6">
      <c r="A660" s="1280"/>
      <c r="N660" s="1399"/>
      <c r="O660" s="1280"/>
      <c r="Z660" s="1280"/>
    </row>
    <row r="661" spans="1:26" x14ac:dyDescent="0.6">
      <c r="A661" s="1280"/>
      <c r="N661" s="1399"/>
      <c r="O661" s="1280"/>
      <c r="Z661" s="1280"/>
    </row>
    <row r="662" spans="1:26" x14ac:dyDescent="0.6">
      <c r="A662" s="1280"/>
      <c r="N662" s="1399"/>
      <c r="O662" s="1280"/>
      <c r="Z662" s="1280"/>
    </row>
    <row r="663" spans="1:26" x14ac:dyDescent="0.6">
      <c r="A663" s="1280"/>
      <c r="N663" s="1399"/>
      <c r="O663" s="1280"/>
      <c r="Z663" s="1280"/>
    </row>
    <row r="664" spans="1:26" x14ac:dyDescent="0.6">
      <c r="A664" s="1280"/>
      <c r="N664" s="1399"/>
      <c r="O664" s="1280"/>
      <c r="Z664" s="1280"/>
    </row>
    <row r="665" spans="1:26" x14ac:dyDescent="0.6">
      <c r="A665" s="1280"/>
      <c r="N665" s="1399"/>
      <c r="O665" s="1280"/>
      <c r="Z665" s="1280"/>
    </row>
    <row r="666" spans="1:26" x14ac:dyDescent="0.6">
      <c r="A666" s="1280"/>
      <c r="N666" s="1399"/>
      <c r="O666" s="1280"/>
      <c r="Z666" s="1280"/>
    </row>
    <row r="667" spans="1:26" x14ac:dyDescent="0.6">
      <c r="A667" s="1280"/>
      <c r="N667" s="1399"/>
      <c r="O667" s="1280"/>
      <c r="Z667" s="1280"/>
    </row>
    <row r="668" spans="1:26" x14ac:dyDescent="0.6">
      <c r="A668" s="1280"/>
      <c r="N668" s="1399"/>
      <c r="O668" s="1280"/>
      <c r="Z668" s="1280"/>
    </row>
    <row r="669" spans="1:26" x14ac:dyDescent="0.6">
      <c r="A669" s="1280"/>
      <c r="N669" s="1399"/>
      <c r="O669" s="1280"/>
      <c r="Z669" s="1280"/>
    </row>
    <row r="670" spans="1:26" x14ac:dyDescent="0.6">
      <c r="A670" s="1280"/>
      <c r="N670" s="1399"/>
      <c r="O670" s="1280"/>
      <c r="Z670" s="1280"/>
    </row>
    <row r="671" spans="1:26" x14ac:dyDescent="0.6">
      <c r="A671" s="1280"/>
      <c r="N671" s="1399"/>
      <c r="O671" s="1280"/>
      <c r="Z671" s="1280"/>
    </row>
    <row r="672" spans="1:26" x14ac:dyDescent="0.6">
      <c r="A672" s="1280"/>
      <c r="N672" s="1399"/>
      <c r="O672" s="1280"/>
      <c r="Z672" s="1280"/>
    </row>
    <row r="673" spans="1:26" x14ac:dyDescent="0.6">
      <c r="A673" s="1280"/>
      <c r="N673" s="1399"/>
      <c r="O673" s="1280"/>
      <c r="Z673" s="1280"/>
    </row>
    <row r="674" spans="1:26" x14ac:dyDescent="0.6">
      <c r="A674" s="1280"/>
      <c r="N674" s="1399"/>
      <c r="O674" s="1280"/>
      <c r="Z674" s="1280"/>
    </row>
    <row r="675" spans="1:26" x14ac:dyDescent="0.6">
      <c r="A675" s="1280"/>
      <c r="N675" s="1399"/>
      <c r="O675" s="1280"/>
      <c r="Z675" s="1280"/>
    </row>
    <row r="676" spans="1:26" x14ac:dyDescent="0.6">
      <c r="A676" s="1280"/>
      <c r="N676" s="1399"/>
      <c r="O676" s="1280"/>
      <c r="Z676" s="1280"/>
    </row>
    <row r="677" spans="1:26" x14ac:dyDescent="0.6">
      <c r="A677" s="1280"/>
      <c r="N677" s="1399"/>
      <c r="O677" s="1280"/>
      <c r="Z677" s="1280"/>
    </row>
    <row r="678" spans="1:26" x14ac:dyDescent="0.6">
      <c r="A678" s="1280"/>
      <c r="N678" s="1399"/>
      <c r="O678" s="1280"/>
      <c r="Z678" s="1280"/>
    </row>
    <row r="679" spans="1:26" x14ac:dyDescent="0.6">
      <c r="A679" s="1280"/>
      <c r="N679" s="1399"/>
      <c r="O679" s="1280"/>
      <c r="Z679" s="1280"/>
    </row>
    <row r="680" spans="1:26" x14ac:dyDescent="0.6">
      <c r="A680" s="1280"/>
      <c r="N680" s="1399"/>
      <c r="O680" s="1280"/>
      <c r="Z680" s="1280"/>
    </row>
    <row r="681" spans="1:26" x14ac:dyDescent="0.6">
      <c r="A681" s="1280"/>
      <c r="N681" s="1399"/>
      <c r="O681" s="1280"/>
      <c r="Z681" s="1280"/>
    </row>
    <row r="682" spans="1:26" x14ac:dyDescent="0.6">
      <c r="A682" s="1280"/>
      <c r="N682" s="1399"/>
      <c r="O682" s="1280"/>
      <c r="Z682" s="1280"/>
    </row>
    <row r="683" spans="1:26" x14ac:dyDescent="0.6">
      <c r="A683" s="1280"/>
      <c r="N683" s="1399"/>
      <c r="O683" s="1280"/>
      <c r="Z683" s="1280"/>
    </row>
    <row r="684" spans="1:26" x14ac:dyDescent="0.6">
      <c r="A684" s="1280"/>
      <c r="N684" s="1399"/>
      <c r="O684" s="1280"/>
      <c r="Z684" s="1280"/>
    </row>
    <row r="685" spans="1:26" x14ac:dyDescent="0.6">
      <c r="A685" s="1280"/>
      <c r="N685" s="1399"/>
      <c r="O685" s="1280"/>
      <c r="Z685" s="1280"/>
    </row>
    <row r="686" spans="1:26" x14ac:dyDescent="0.6">
      <c r="A686" s="1280"/>
      <c r="N686" s="1399"/>
      <c r="O686" s="1280"/>
      <c r="Z686" s="1280"/>
    </row>
    <row r="687" spans="1:26" x14ac:dyDescent="0.6">
      <c r="A687" s="1280"/>
      <c r="N687" s="1399"/>
      <c r="O687" s="1280"/>
      <c r="Z687" s="1280"/>
    </row>
    <row r="688" spans="1:26" x14ac:dyDescent="0.6">
      <c r="A688" s="1280"/>
      <c r="N688" s="1399"/>
      <c r="O688" s="1280"/>
      <c r="Z688" s="1280"/>
    </row>
    <row r="689" spans="1:26" x14ac:dyDescent="0.6">
      <c r="A689" s="1280"/>
      <c r="N689" s="1399"/>
      <c r="O689" s="1280"/>
      <c r="Z689" s="1280"/>
    </row>
    <row r="690" spans="1:26" x14ac:dyDescent="0.6">
      <c r="A690" s="1280"/>
      <c r="N690" s="1399"/>
      <c r="O690" s="1280"/>
      <c r="Z690" s="1280"/>
    </row>
    <row r="691" spans="1:26" x14ac:dyDescent="0.6">
      <c r="A691" s="1280"/>
      <c r="N691" s="1399"/>
      <c r="O691" s="1280"/>
      <c r="Z691" s="1280"/>
    </row>
    <row r="692" spans="1:26" x14ac:dyDescent="0.6">
      <c r="A692" s="1280"/>
      <c r="N692" s="1399"/>
      <c r="O692" s="1280"/>
      <c r="Z692" s="1280"/>
    </row>
    <row r="693" spans="1:26" x14ac:dyDescent="0.6">
      <c r="A693" s="1280"/>
      <c r="N693" s="1399"/>
      <c r="O693" s="1280"/>
      <c r="Z693" s="1280"/>
    </row>
    <row r="694" spans="1:26" x14ac:dyDescent="0.6">
      <c r="A694" s="1280"/>
      <c r="N694" s="1399"/>
      <c r="O694" s="1280"/>
      <c r="Z694" s="1280"/>
    </row>
    <row r="695" spans="1:26" x14ac:dyDescent="0.6">
      <c r="A695" s="1280"/>
      <c r="N695" s="1399"/>
      <c r="O695" s="1280"/>
      <c r="Z695" s="1280"/>
    </row>
    <row r="696" spans="1:26" x14ac:dyDescent="0.6">
      <c r="A696" s="1280"/>
      <c r="N696" s="1399"/>
      <c r="O696" s="1280"/>
      <c r="Z696" s="1280"/>
    </row>
    <row r="697" spans="1:26" x14ac:dyDescent="0.6">
      <c r="A697" s="1280"/>
      <c r="N697" s="1399"/>
      <c r="O697" s="1280"/>
      <c r="Z697" s="1280"/>
    </row>
    <row r="698" spans="1:26" x14ac:dyDescent="0.6">
      <c r="A698" s="1280"/>
      <c r="N698" s="1399"/>
      <c r="O698" s="1280"/>
      <c r="Z698" s="1280"/>
    </row>
    <row r="699" spans="1:26" x14ac:dyDescent="0.6">
      <c r="A699" s="1280"/>
      <c r="N699" s="1399"/>
      <c r="O699" s="1280"/>
      <c r="Z699" s="1280"/>
    </row>
    <row r="700" spans="1:26" x14ac:dyDescent="0.6">
      <c r="A700" s="1280"/>
      <c r="N700" s="1399"/>
      <c r="O700" s="1280"/>
      <c r="Z700" s="1280"/>
    </row>
    <row r="701" spans="1:26" x14ac:dyDescent="0.6">
      <c r="A701" s="1280"/>
      <c r="N701" s="1399"/>
      <c r="O701" s="1280"/>
      <c r="Z701" s="1280"/>
    </row>
    <row r="702" spans="1:26" x14ac:dyDescent="0.6">
      <c r="A702" s="1280"/>
      <c r="N702" s="1399"/>
      <c r="O702" s="1280"/>
      <c r="Z702" s="1280"/>
    </row>
    <row r="703" spans="1:26" x14ac:dyDescent="0.6">
      <c r="A703" s="1280"/>
      <c r="N703" s="1399"/>
      <c r="O703" s="1280"/>
      <c r="Z703" s="1280"/>
    </row>
    <row r="704" spans="1:26" x14ac:dyDescent="0.6">
      <c r="A704" s="1280"/>
      <c r="N704" s="1399"/>
      <c r="O704" s="1280"/>
      <c r="Z704" s="1280"/>
    </row>
    <row r="705" spans="1:26" x14ac:dyDescent="0.6">
      <c r="A705" s="1280"/>
      <c r="N705" s="1399"/>
      <c r="O705" s="1280"/>
      <c r="Z705" s="1280"/>
    </row>
    <row r="706" spans="1:26" x14ac:dyDescent="0.6">
      <c r="A706" s="1280"/>
      <c r="N706" s="1399"/>
      <c r="O706" s="1280"/>
      <c r="Z706" s="1280"/>
    </row>
    <row r="707" spans="1:26" x14ac:dyDescent="0.6">
      <c r="A707" s="1280"/>
      <c r="N707" s="1399"/>
      <c r="O707" s="1280"/>
      <c r="Z707" s="1280"/>
    </row>
    <row r="708" spans="1:26" x14ac:dyDescent="0.6">
      <c r="A708" s="1280"/>
      <c r="N708" s="1399"/>
      <c r="O708" s="1280"/>
      <c r="Z708" s="1280"/>
    </row>
    <row r="709" spans="1:26" x14ac:dyDescent="0.6">
      <c r="A709" s="1280"/>
      <c r="N709" s="1399"/>
      <c r="O709" s="1280"/>
      <c r="Z709" s="1280"/>
    </row>
    <row r="710" spans="1:26" x14ac:dyDescent="0.6">
      <c r="A710" s="1280"/>
      <c r="N710" s="1399"/>
      <c r="O710" s="1280"/>
      <c r="Z710" s="1280"/>
    </row>
    <row r="711" spans="1:26" x14ac:dyDescent="0.6">
      <c r="A711" s="1280"/>
      <c r="N711" s="1399"/>
      <c r="O711" s="1280"/>
      <c r="Z711" s="1280"/>
    </row>
    <row r="712" spans="1:26" x14ac:dyDescent="0.6">
      <c r="A712" s="1280"/>
      <c r="N712" s="1399"/>
      <c r="O712" s="1280"/>
      <c r="Z712" s="1280"/>
    </row>
    <row r="713" spans="1:26" x14ac:dyDescent="0.6">
      <c r="A713" s="1280"/>
      <c r="N713" s="1399"/>
      <c r="O713" s="1280"/>
      <c r="Z713" s="1280"/>
    </row>
    <row r="714" spans="1:26" x14ac:dyDescent="0.6">
      <c r="A714" s="1280"/>
      <c r="N714" s="1399"/>
      <c r="O714" s="1280"/>
      <c r="Z714" s="1280"/>
    </row>
    <row r="715" spans="1:26" x14ac:dyDescent="0.6">
      <c r="A715" s="1280"/>
      <c r="N715" s="1399"/>
      <c r="O715" s="1280"/>
      <c r="Z715" s="1280"/>
    </row>
    <row r="716" spans="1:26" x14ac:dyDescent="0.6">
      <c r="A716" s="1280"/>
      <c r="N716" s="1399"/>
      <c r="O716" s="1280"/>
      <c r="Z716" s="1280"/>
    </row>
    <row r="717" spans="1:26" x14ac:dyDescent="0.6">
      <c r="A717" s="1280"/>
      <c r="N717" s="1399"/>
      <c r="O717" s="1280"/>
      <c r="Z717" s="1280"/>
    </row>
    <row r="718" spans="1:26" x14ac:dyDescent="0.6">
      <c r="A718" s="1280"/>
      <c r="N718" s="1399"/>
      <c r="O718" s="1280"/>
      <c r="Z718" s="1280"/>
    </row>
    <row r="719" spans="1:26" x14ac:dyDescent="0.6">
      <c r="A719" s="1280"/>
      <c r="N719" s="1399"/>
      <c r="O719" s="1280"/>
      <c r="Z719" s="1280"/>
    </row>
    <row r="720" spans="1:26" x14ac:dyDescent="0.6">
      <c r="A720" s="1280"/>
      <c r="N720" s="1399"/>
      <c r="O720" s="1280"/>
      <c r="Z720" s="1280"/>
    </row>
    <row r="721" spans="1:26" x14ac:dyDescent="0.6">
      <c r="A721" s="1280"/>
      <c r="N721" s="1399"/>
      <c r="O721" s="1280"/>
      <c r="Z721" s="1280"/>
    </row>
    <row r="722" spans="1:26" x14ac:dyDescent="0.6">
      <c r="A722" s="1280"/>
      <c r="N722" s="1399"/>
      <c r="O722" s="1280"/>
      <c r="Z722" s="1280"/>
    </row>
    <row r="723" spans="1:26" x14ac:dyDescent="0.6">
      <c r="A723" s="1280"/>
      <c r="N723" s="1399"/>
      <c r="O723" s="1280"/>
      <c r="Z723" s="1280"/>
    </row>
    <row r="724" spans="1:26" x14ac:dyDescent="0.6">
      <c r="A724" s="1280"/>
      <c r="N724" s="1399"/>
      <c r="O724" s="1280"/>
      <c r="Z724" s="1280"/>
    </row>
    <row r="725" spans="1:26" x14ac:dyDescent="0.6">
      <c r="A725" s="1280"/>
      <c r="N725" s="1399"/>
      <c r="O725" s="1280"/>
      <c r="Z725" s="1280"/>
    </row>
    <row r="726" spans="1:26" x14ac:dyDescent="0.6">
      <c r="A726" s="1280"/>
      <c r="N726" s="1399"/>
      <c r="O726" s="1280"/>
      <c r="Z726" s="1280"/>
    </row>
    <row r="727" spans="1:26" x14ac:dyDescent="0.6">
      <c r="A727" s="1280"/>
      <c r="N727" s="1399"/>
      <c r="O727" s="1280"/>
      <c r="Z727" s="1280"/>
    </row>
    <row r="728" spans="1:26" x14ac:dyDescent="0.6">
      <c r="A728" s="1280"/>
      <c r="N728" s="1399"/>
      <c r="O728" s="1280"/>
      <c r="Z728" s="1280"/>
    </row>
    <row r="729" spans="1:26" x14ac:dyDescent="0.6">
      <c r="A729" s="1280"/>
      <c r="N729" s="1399"/>
      <c r="O729" s="1280"/>
      <c r="Z729" s="1280"/>
    </row>
    <row r="730" spans="1:26" x14ac:dyDescent="0.6">
      <c r="A730" s="1280"/>
      <c r="N730" s="1399"/>
      <c r="O730" s="1280"/>
      <c r="Z730" s="1280"/>
    </row>
    <row r="731" spans="1:26" x14ac:dyDescent="0.6">
      <c r="A731" s="1280"/>
      <c r="N731" s="1399"/>
      <c r="O731" s="1280"/>
      <c r="Z731" s="1280"/>
    </row>
    <row r="732" spans="1:26" x14ac:dyDescent="0.6">
      <c r="A732" s="1280"/>
      <c r="N732" s="1399"/>
      <c r="O732" s="1280"/>
      <c r="Z732" s="1280"/>
    </row>
    <row r="733" spans="1:26" x14ac:dyDescent="0.6">
      <c r="A733" s="1280"/>
      <c r="N733" s="1399"/>
      <c r="O733" s="1280"/>
      <c r="Z733" s="1280"/>
    </row>
    <row r="734" spans="1:26" x14ac:dyDescent="0.6">
      <c r="A734" s="1280"/>
      <c r="N734" s="1399"/>
      <c r="O734" s="1280"/>
      <c r="Z734" s="1280"/>
    </row>
    <row r="735" spans="1:26" x14ac:dyDescent="0.6">
      <c r="A735" s="1280"/>
      <c r="N735" s="1399"/>
      <c r="O735" s="1280"/>
      <c r="Z735" s="1280"/>
    </row>
    <row r="736" spans="1:26" x14ac:dyDescent="0.6">
      <c r="A736" s="1280"/>
      <c r="N736" s="1399"/>
      <c r="O736" s="1280"/>
      <c r="Z736" s="1280"/>
    </row>
    <row r="737" spans="1:26" x14ac:dyDescent="0.6">
      <c r="A737" s="1280"/>
      <c r="N737" s="1399"/>
      <c r="O737" s="1280"/>
      <c r="Z737" s="1280"/>
    </row>
    <row r="738" spans="1:26" x14ac:dyDescent="0.6">
      <c r="A738" s="1280"/>
      <c r="N738" s="1399"/>
      <c r="O738" s="1280"/>
      <c r="Z738" s="1280"/>
    </row>
    <row r="739" spans="1:26" x14ac:dyDescent="0.6">
      <c r="A739" s="1280"/>
      <c r="N739" s="1399"/>
      <c r="O739" s="1280"/>
      <c r="Z739" s="1280"/>
    </row>
    <row r="740" spans="1:26" x14ac:dyDescent="0.6">
      <c r="A740" s="1280"/>
      <c r="N740" s="1399"/>
      <c r="O740" s="1280"/>
      <c r="Z740" s="1280"/>
    </row>
    <row r="741" spans="1:26" x14ac:dyDescent="0.6">
      <c r="N741" s="1399"/>
      <c r="O741" s="1280"/>
      <c r="Z741" s="1280"/>
    </row>
    <row r="742" spans="1:26" x14ac:dyDescent="0.6">
      <c r="N742" s="1399"/>
      <c r="O742" s="1280"/>
      <c r="Z742" s="1280"/>
    </row>
  </sheetData>
  <protectedRanges>
    <protectedRange password="CC6F" sqref="B15 B34 B37:B38 B41 B8:B10" name="ช่วง1_5_1_5_1_1_1_1_1"/>
    <protectedRange password="CC6F" sqref="B40 B16:B33 B11:B14 B42:B48" name="ช่วง1_5_1_5_1_1_4_1_1"/>
    <protectedRange password="CC6F" sqref="B39 B35:B36" name="ช่วง1_5_1_5_1_1_5_1_1"/>
  </protectedRanges>
  <mergeCells count="18">
    <mergeCell ref="X6:X7"/>
    <mergeCell ref="A49:C49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19685039370078741" right="0.19685039370078741" top="1.1417322834645669" bottom="0.98425196850393704" header="0.31496062992125984" footer="0.31496062992125984"/>
  <pageSetup paperSize="9" scale="61" firstPageNumber="3" fitToHeight="0" orientation="landscape" useFirstPageNumber="1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76C2-7267-4FA7-9D3E-D2362BBD498A}">
  <sheetPr>
    <tabColor rgb="FFFFFF00"/>
    <pageSetUpPr fitToPage="1"/>
  </sheetPr>
  <dimension ref="A1:AE777"/>
  <sheetViews>
    <sheetView topLeftCell="M1" zoomScaleNormal="100" zoomScaleSheetLayoutView="100" workbookViewId="0">
      <pane ySplit="7" topLeftCell="A71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59765625" style="1403" customWidth="1"/>
    <col min="2" max="2" width="21.8984375" style="1511" customWidth="1"/>
    <col min="3" max="3" width="4.5" style="1512" bestFit="1" customWidth="1"/>
    <col min="4" max="10" width="11.09765625" style="1290" customWidth="1"/>
    <col min="11" max="11" width="10.3984375" style="1290" customWidth="1"/>
    <col min="12" max="13" width="11.09765625" style="1290" customWidth="1"/>
    <col min="14" max="14" width="11.09765625" style="1406" customWidth="1"/>
    <col min="15" max="15" width="11.09765625" style="1460" customWidth="1"/>
    <col min="16" max="23" width="11.09765625" style="1288" customWidth="1"/>
    <col min="24" max="24" width="10.3984375" style="1290" customWidth="1"/>
    <col min="25" max="25" width="11.09765625" style="1290" customWidth="1"/>
    <col min="26" max="26" width="11.09765625" style="1512" customWidth="1"/>
    <col min="27" max="27" width="9.5" style="1290" customWidth="1"/>
    <col min="28" max="28" width="7.59765625" style="1290" customWidth="1"/>
    <col min="29" max="29" width="9" style="1290" customWidth="1"/>
    <col min="30" max="30" width="9" style="1290"/>
    <col min="31" max="31" width="32.3984375" style="1290" customWidth="1"/>
    <col min="32" max="32" width="9" style="1290" customWidth="1"/>
    <col min="33" max="16384" width="9" style="1290"/>
  </cols>
  <sheetData>
    <row r="1" spans="1:29" x14ac:dyDescent="0.6">
      <c r="A1" s="1462" t="s">
        <v>7965</v>
      </c>
      <c r="B1" s="1462"/>
      <c r="C1" s="1462"/>
      <c r="D1" s="1462"/>
      <c r="E1" s="1462"/>
      <c r="F1" s="1462"/>
      <c r="G1" s="1462"/>
      <c r="H1" s="1462"/>
      <c r="I1" s="1462"/>
      <c r="J1" s="1462"/>
      <c r="K1" s="1462"/>
      <c r="L1" s="1462"/>
      <c r="M1" s="1462"/>
      <c r="N1" s="1462"/>
      <c r="O1" s="1462"/>
      <c r="P1" s="1462"/>
      <c r="Q1" s="1462"/>
      <c r="R1" s="1462"/>
      <c r="S1" s="1462"/>
      <c r="T1" s="1462"/>
      <c r="U1" s="1462"/>
      <c r="V1" s="1462"/>
      <c r="W1" s="1462"/>
      <c r="X1" s="1462"/>
      <c r="Y1" s="1462"/>
      <c r="Z1" s="1462"/>
      <c r="AA1" s="1462"/>
    </row>
    <row r="2" spans="1:29" x14ac:dyDescent="0.6">
      <c r="A2" s="1462" t="s">
        <v>7775</v>
      </c>
      <c r="B2" s="1462"/>
      <c r="C2" s="1462"/>
      <c r="D2" s="1462"/>
      <c r="E2" s="1462"/>
      <c r="F2" s="1462"/>
      <c r="G2" s="1462"/>
      <c r="H2" s="1462"/>
      <c r="I2" s="1462"/>
      <c r="J2" s="1462"/>
      <c r="K2" s="1462"/>
      <c r="L2" s="1462"/>
      <c r="M2" s="1462"/>
      <c r="N2" s="1462"/>
      <c r="O2" s="1462"/>
      <c r="P2" s="1462"/>
      <c r="Q2" s="1462"/>
      <c r="R2" s="1462"/>
      <c r="S2" s="1462"/>
      <c r="T2" s="1462"/>
      <c r="U2" s="1462"/>
      <c r="V2" s="1462"/>
      <c r="W2" s="1462"/>
      <c r="X2" s="1462"/>
      <c r="Y2" s="1462"/>
      <c r="Z2" s="1462"/>
      <c r="AA2" s="1462"/>
    </row>
    <row r="3" spans="1:29" x14ac:dyDescent="0.6">
      <c r="A3" s="1463" t="s">
        <v>7733</v>
      </c>
      <c r="B3" s="1463"/>
      <c r="C3" s="1462"/>
      <c r="D3" s="1462"/>
      <c r="E3" s="1462"/>
      <c r="F3" s="1462"/>
      <c r="G3" s="1462"/>
      <c r="H3" s="1462"/>
      <c r="I3" s="1462"/>
      <c r="J3" s="1462"/>
      <c r="K3" s="1462"/>
      <c r="L3" s="1462"/>
      <c r="M3" s="1462"/>
      <c r="N3" s="1462"/>
      <c r="O3" s="1462"/>
      <c r="P3" s="1462"/>
      <c r="Q3" s="1462"/>
      <c r="R3" s="1462"/>
      <c r="S3" s="1462"/>
      <c r="T3" s="1462"/>
      <c r="U3" s="1462"/>
      <c r="V3" s="1462"/>
      <c r="W3" s="1462"/>
      <c r="X3" s="1462"/>
      <c r="Y3" s="1462"/>
      <c r="Z3" s="1462"/>
      <c r="AA3" s="1462"/>
    </row>
    <row r="4" spans="1:29" x14ac:dyDescent="0.6">
      <c r="A4" s="1464" t="s">
        <v>2185</v>
      </c>
      <c r="B4" s="1324" t="s">
        <v>7966</v>
      </c>
      <c r="C4" s="1307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466"/>
      <c r="AA4" s="1467" t="s">
        <v>7782</v>
      </c>
    </row>
    <row r="5" spans="1:29" x14ac:dyDescent="0.6">
      <c r="A5" s="1468"/>
      <c r="B5" s="1469"/>
      <c r="C5" s="1319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470" t="s">
        <v>7623</v>
      </c>
      <c r="AA5" s="1471"/>
    </row>
    <row r="6" spans="1:29" x14ac:dyDescent="0.6">
      <c r="A6" s="1468"/>
      <c r="B6" s="1469"/>
      <c r="C6" s="1319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470" t="s">
        <v>7631</v>
      </c>
      <c r="AA6" s="1471"/>
    </row>
    <row r="7" spans="1:29" x14ac:dyDescent="0.6">
      <c r="A7" s="1473"/>
      <c r="B7" s="1331"/>
      <c r="C7" s="1335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475"/>
      <c r="AA7" s="1476"/>
    </row>
    <row r="8" spans="1:29" s="1488" customFormat="1" ht="23.25" customHeight="1" x14ac:dyDescent="0.25">
      <c r="A8" s="1477">
        <v>1</v>
      </c>
      <c r="B8" s="1478" t="s">
        <v>7967</v>
      </c>
      <c r="C8" s="1479" t="s">
        <v>7886</v>
      </c>
      <c r="D8" s="1166">
        <v>30</v>
      </c>
      <c r="E8" s="1378">
        <f t="shared" ref="E8:E77" si="0">D8*N8</f>
        <v>21000</v>
      </c>
      <c r="F8" s="1343">
        <v>30</v>
      </c>
      <c r="G8" s="1378">
        <f t="shared" ref="G8:G77" si="1">F8*N8</f>
        <v>21000</v>
      </c>
      <c r="H8" s="1343">
        <v>30</v>
      </c>
      <c r="I8" s="1345">
        <f t="shared" ref="I8:I77" si="2">H8*N8</f>
        <v>21000</v>
      </c>
      <c r="J8" s="1480">
        <v>30</v>
      </c>
      <c r="K8" s="1343">
        <v>0</v>
      </c>
      <c r="L8" s="1343">
        <v>0</v>
      </c>
      <c r="M8" s="1345">
        <v>30</v>
      </c>
      <c r="N8" s="1481">
        <v>700</v>
      </c>
      <c r="O8" s="1346">
        <f>M8*N8</f>
        <v>21000</v>
      </c>
      <c r="P8" s="1345">
        <v>0</v>
      </c>
      <c r="Q8" s="1345">
        <f>P8*N8</f>
        <v>0</v>
      </c>
      <c r="R8" s="1345">
        <v>10</v>
      </c>
      <c r="S8" s="1344">
        <f>R8*N8</f>
        <v>7000</v>
      </c>
      <c r="T8" s="1345">
        <v>10</v>
      </c>
      <c r="U8" s="1344">
        <f>T8*N8</f>
        <v>7000</v>
      </c>
      <c r="V8" s="1482">
        <v>10</v>
      </c>
      <c r="W8" s="1483">
        <f>V8*N8</f>
        <v>7000</v>
      </c>
      <c r="X8" s="1345">
        <f>P8+R8+T8+V8</f>
        <v>30</v>
      </c>
      <c r="Y8" s="1345">
        <f>X8*N8</f>
        <v>21000</v>
      </c>
      <c r="Z8" s="1484" t="s">
        <v>7799</v>
      </c>
      <c r="AA8" s="1485" t="s">
        <v>7968</v>
      </c>
      <c r="AB8" s="1486" t="str">
        <f t="shared" ref="AB8:AB26" si="3">IF(O8=Y8,"yes")</f>
        <v>yes</v>
      </c>
      <c r="AC8" s="1487" t="str">
        <f t="shared" ref="AC8:AC77" si="4">IF(O8=Y8,"ok")</f>
        <v>ok</v>
      </c>
    </row>
    <row r="9" spans="1:29" s="1388" customFormat="1" ht="23.25" customHeight="1" x14ac:dyDescent="0.25">
      <c r="A9" s="1279">
        <v>2</v>
      </c>
      <c r="B9" s="1211" t="s">
        <v>7969</v>
      </c>
      <c r="C9" s="1489" t="s">
        <v>7970</v>
      </c>
      <c r="D9" s="1384">
        <v>5292</v>
      </c>
      <c r="E9" s="1385">
        <f t="shared" si="0"/>
        <v>153468</v>
      </c>
      <c r="F9" s="1386">
        <v>4200</v>
      </c>
      <c r="G9" s="1385">
        <f t="shared" si="1"/>
        <v>121800</v>
      </c>
      <c r="H9" s="1386">
        <v>5200</v>
      </c>
      <c r="I9" s="1356">
        <f t="shared" si="2"/>
        <v>150800</v>
      </c>
      <c r="J9" s="1348">
        <v>7500</v>
      </c>
      <c r="K9" s="1349">
        <v>1000</v>
      </c>
      <c r="L9" s="1350">
        <f>K9*N9</f>
        <v>29000</v>
      </c>
      <c r="M9" s="1351">
        <f>J9-K9</f>
        <v>6500</v>
      </c>
      <c r="N9" s="1352">
        <v>29</v>
      </c>
      <c r="O9" s="1353">
        <f>M9*N9</f>
        <v>188500</v>
      </c>
      <c r="P9" s="1354">
        <v>1500</v>
      </c>
      <c r="Q9" s="1354">
        <f>P9*N9</f>
        <v>43500</v>
      </c>
      <c r="R9" s="1354">
        <v>1500</v>
      </c>
      <c r="S9" s="1355">
        <f>R9*N9</f>
        <v>43500</v>
      </c>
      <c r="T9" s="1354">
        <v>1500</v>
      </c>
      <c r="U9" s="1355">
        <f>T9*N9</f>
        <v>43500</v>
      </c>
      <c r="V9" s="1354">
        <v>2000</v>
      </c>
      <c r="W9" s="1355">
        <f>V9*N9</f>
        <v>58000</v>
      </c>
      <c r="X9" s="1356">
        <f>P9+R9+T9+V9</f>
        <v>6500</v>
      </c>
      <c r="Y9" s="1356">
        <f>X9*N9</f>
        <v>188500</v>
      </c>
      <c r="Z9" s="1387" t="s">
        <v>7799</v>
      </c>
      <c r="AA9" s="1358" t="s">
        <v>7685</v>
      </c>
      <c r="AB9" s="1359" t="str">
        <f t="shared" si="3"/>
        <v>yes</v>
      </c>
      <c r="AC9" s="1487" t="str">
        <f t="shared" si="4"/>
        <v>ok</v>
      </c>
    </row>
    <row r="10" spans="1:29" s="1359" customFormat="1" ht="20.25" customHeight="1" x14ac:dyDescent="0.25">
      <c r="A10" s="1279">
        <v>3</v>
      </c>
      <c r="B10" s="1211" t="s">
        <v>7971</v>
      </c>
      <c r="C10" s="1489" t="s">
        <v>7970</v>
      </c>
      <c r="D10" s="1350">
        <v>16000</v>
      </c>
      <c r="E10" s="1385">
        <f t="shared" si="0"/>
        <v>81600</v>
      </c>
      <c r="F10" s="1356">
        <v>15500</v>
      </c>
      <c r="G10" s="1385">
        <f t="shared" si="1"/>
        <v>79050</v>
      </c>
      <c r="H10" s="1356">
        <v>26550</v>
      </c>
      <c r="I10" s="1356">
        <f t="shared" si="2"/>
        <v>135405</v>
      </c>
      <c r="J10" s="1361">
        <v>30000</v>
      </c>
      <c r="K10" s="1362">
        <v>3000</v>
      </c>
      <c r="L10" s="1350">
        <f t="shared" ref="L10:L79" si="5">K10*N10</f>
        <v>15299.999999999998</v>
      </c>
      <c r="M10" s="1351">
        <f t="shared" ref="M10:M79" si="6">J10-K10</f>
        <v>27000</v>
      </c>
      <c r="N10" s="1363">
        <v>5.0999999999999996</v>
      </c>
      <c r="O10" s="1353">
        <f t="shared" ref="O10:O79" si="7">M10*N10</f>
        <v>137700</v>
      </c>
      <c r="P10" s="1350">
        <v>10000</v>
      </c>
      <c r="Q10" s="1354">
        <f t="shared" ref="Q10:Q79" si="8">P10*N10</f>
        <v>51000</v>
      </c>
      <c r="R10" s="1350">
        <v>5000</v>
      </c>
      <c r="S10" s="1355">
        <f t="shared" ref="S10:S79" si="9">R10*N10</f>
        <v>25500</v>
      </c>
      <c r="T10" s="1356">
        <v>5000</v>
      </c>
      <c r="U10" s="1355">
        <f t="shared" ref="U10:U79" si="10">T10*N10</f>
        <v>25500</v>
      </c>
      <c r="V10" s="1356">
        <v>7000</v>
      </c>
      <c r="W10" s="1355">
        <f t="shared" ref="W10:W79" si="11">V10*N10</f>
        <v>35700</v>
      </c>
      <c r="X10" s="1356">
        <f t="shared" ref="X10:X79" si="12">P10+R10+T10+V10</f>
        <v>27000</v>
      </c>
      <c r="Y10" s="1356">
        <f t="shared" ref="Y10:Y79" si="13">X10*N10</f>
        <v>137700</v>
      </c>
      <c r="Z10" s="1387" t="s">
        <v>7799</v>
      </c>
      <c r="AA10" s="1358" t="s">
        <v>7685</v>
      </c>
      <c r="AB10" s="1359" t="str">
        <f t="shared" si="3"/>
        <v>yes</v>
      </c>
      <c r="AC10" s="1487" t="str">
        <f t="shared" si="4"/>
        <v>ok</v>
      </c>
    </row>
    <row r="11" spans="1:29" s="1359" customFormat="1" ht="20.25" customHeight="1" x14ac:dyDescent="0.25">
      <c r="A11" s="1477">
        <v>4</v>
      </c>
      <c r="B11" s="1211" t="s">
        <v>7972</v>
      </c>
      <c r="C11" s="1489" t="s">
        <v>7970</v>
      </c>
      <c r="D11" s="1350">
        <v>240</v>
      </c>
      <c r="E11" s="1385">
        <f t="shared" si="0"/>
        <v>34800</v>
      </c>
      <c r="F11" s="1356">
        <v>145</v>
      </c>
      <c r="G11" s="1385">
        <f t="shared" si="1"/>
        <v>21025</v>
      </c>
      <c r="H11" s="1356">
        <v>250</v>
      </c>
      <c r="I11" s="1356">
        <f t="shared" si="2"/>
        <v>36250</v>
      </c>
      <c r="J11" s="1361">
        <v>325</v>
      </c>
      <c r="K11" s="1362">
        <v>75</v>
      </c>
      <c r="L11" s="1350">
        <f t="shared" si="5"/>
        <v>10875</v>
      </c>
      <c r="M11" s="1351">
        <f t="shared" si="6"/>
        <v>250</v>
      </c>
      <c r="N11" s="1363">
        <v>145</v>
      </c>
      <c r="O11" s="1353">
        <f t="shared" si="7"/>
        <v>36250</v>
      </c>
      <c r="P11" s="1350">
        <v>0</v>
      </c>
      <c r="Q11" s="1354">
        <f t="shared" si="8"/>
        <v>0</v>
      </c>
      <c r="R11" s="1356">
        <v>125</v>
      </c>
      <c r="S11" s="1355">
        <f t="shared" si="9"/>
        <v>18125</v>
      </c>
      <c r="T11" s="1350">
        <v>0</v>
      </c>
      <c r="U11" s="1355">
        <f t="shared" si="10"/>
        <v>0</v>
      </c>
      <c r="V11" s="1356">
        <v>125</v>
      </c>
      <c r="W11" s="1355">
        <f t="shared" si="11"/>
        <v>18125</v>
      </c>
      <c r="X11" s="1356">
        <f t="shared" si="12"/>
        <v>250</v>
      </c>
      <c r="Y11" s="1356">
        <f t="shared" si="13"/>
        <v>36250</v>
      </c>
      <c r="Z11" s="1387" t="s">
        <v>7799</v>
      </c>
      <c r="AA11" s="1358" t="s">
        <v>7685</v>
      </c>
      <c r="AB11" s="1359" t="str">
        <f t="shared" si="3"/>
        <v>yes</v>
      </c>
      <c r="AC11" s="1487" t="str">
        <f t="shared" si="4"/>
        <v>ok</v>
      </c>
    </row>
    <row r="12" spans="1:29" s="1359" customFormat="1" ht="29.25" customHeight="1" x14ac:dyDescent="0.25">
      <c r="A12" s="1279">
        <v>5</v>
      </c>
      <c r="B12" s="1211" t="s">
        <v>7973</v>
      </c>
      <c r="C12" s="1489" t="s">
        <v>7974</v>
      </c>
      <c r="D12" s="1350">
        <v>3</v>
      </c>
      <c r="E12" s="1385">
        <f t="shared" si="0"/>
        <v>360</v>
      </c>
      <c r="F12" s="1356">
        <v>3</v>
      </c>
      <c r="G12" s="1385">
        <f t="shared" si="1"/>
        <v>360</v>
      </c>
      <c r="H12" s="1356">
        <v>5</v>
      </c>
      <c r="I12" s="1356">
        <f t="shared" si="2"/>
        <v>600</v>
      </c>
      <c r="J12" s="1361">
        <v>8</v>
      </c>
      <c r="K12" s="1362">
        <v>1</v>
      </c>
      <c r="L12" s="1350">
        <f t="shared" si="5"/>
        <v>120</v>
      </c>
      <c r="M12" s="1351">
        <f t="shared" si="6"/>
        <v>7</v>
      </c>
      <c r="N12" s="1363">
        <v>120</v>
      </c>
      <c r="O12" s="1353">
        <f t="shared" si="7"/>
        <v>840</v>
      </c>
      <c r="P12" s="1356">
        <v>2</v>
      </c>
      <c r="Q12" s="1354">
        <f t="shared" si="8"/>
        <v>240</v>
      </c>
      <c r="R12" s="1350">
        <v>2</v>
      </c>
      <c r="S12" s="1355">
        <f t="shared" si="9"/>
        <v>240</v>
      </c>
      <c r="T12" s="1356">
        <v>2</v>
      </c>
      <c r="U12" s="1355">
        <f t="shared" si="10"/>
        <v>240</v>
      </c>
      <c r="V12" s="1350">
        <v>1</v>
      </c>
      <c r="W12" s="1355">
        <f t="shared" si="11"/>
        <v>120</v>
      </c>
      <c r="X12" s="1356">
        <f t="shared" si="12"/>
        <v>7</v>
      </c>
      <c r="Y12" s="1356">
        <f t="shared" si="13"/>
        <v>840</v>
      </c>
      <c r="Z12" s="1387" t="s">
        <v>7799</v>
      </c>
      <c r="AA12" s="1358" t="s">
        <v>7685</v>
      </c>
      <c r="AB12" s="1359" t="str">
        <f t="shared" si="3"/>
        <v>yes</v>
      </c>
      <c r="AC12" s="1487" t="str">
        <f t="shared" si="4"/>
        <v>ok</v>
      </c>
    </row>
    <row r="13" spans="1:29" s="1359" customFormat="1" ht="20.25" customHeight="1" x14ac:dyDescent="0.25">
      <c r="A13" s="1279">
        <v>6</v>
      </c>
      <c r="B13" s="1211" t="s">
        <v>7975</v>
      </c>
      <c r="C13" s="1489" t="s">
        <v>7974</v>
      </c>
      <c r="D13" s="1350">
        <v>4</v>
      </c>
      <c r="E13" s="1385">
        <f t="shared" si="0"/>
        <v>480</v>
      </c>
      <c r="F13" s="1356">
        <v>3</v>
      </c>
      <c r="G13" s="1385">
        <f t="shared" si="1"/>
        <v>360</v>
      </c>
      <c r="H13" s="1356">
        <v>5</v>
      </c>
      <c r="I13" s="1356">
        <f t="shared" si="2"/>
        <v>600</v>
      </c>
      <c r="J13" s="1361">
        <v>8</v>
      </c>
      <c r="K13" s="1362">
        <v>1</v>
      </c>
      <c r="L13" s="1350">
        <f t="shared" si="5"/>
        <v>120</v>
      </c>
      <c r="M13" s="1351">
        <f t="shared" si="6"/>
        <v>7</v>
      </c>
      <c r="N13" s="1363">
        <v>120</v>
      </c>
      <c r="O13" s="1353">
        <f t="shared" si="7"/>
        <v>840</v>
      </c>
      <c r="P13" s="1350">
        <v>2</v>
      </c>
      <c r="Q13" s="1354">
        <f t="shared" si="8"/>
        <v>240</v>
      </c>
      <c r="R13" s="1350">
        <v>2</v>
      </c>
      <c r="S13" s="1355">
        <f t="shared" si="9"/>
        <v>240</v>
      </c>
      <c r="T13" s="1356">
        <v>2</v>
      </c>
      <c r="U13" s="1355">
        <f t="shared" si="10"/>
        <v>240</v>
      </c>
      <c r="V13" s="1356">
        <v>1</v>
      </c>
      <c r="W13" s="1355">
        <f t="shared" si="11"/>
        <v>120</v>
      </c>
      <c r="X13" s="1356">
        <f t="shared" si="12"/>
        <v>7</v>
      </c>
      <c r="Y13" s="1356">
        <f t="shared" si="13"/>
        <v>840</v>
      </c>
      <c r="Z13" s="1387" t="s">
        <v>7799</v>
      </c>
      <c r="AA13" s="1358" t="s">
        <v>7685</v>
      </c>
      <c r="AB13" s="1359" t="str">
        <f t="shared" si="3"/>
        <v>yes</v>
      </c>
      <c r="AC13" s="1487" t="str">
        <f t="shared" si="4"/>
        <v>ok</v>
      </c>
    </row>
    <row r="14" spans="1:29" s="1359" customFormat="1" ht="20.25" customHeight="1" x14ac:dyDescent="0.25">
      <c r="A14" s="1477">
        <v>7</v>
      </c>
      <c r="B14" s="1211" t="s">
        <v>7976</v>
      </c>
      <c r="C14" s="1489" t="s">
        <v>7974</v>
      </c>
      <c r="D14" s="1350">
        <v>0</v>
      </c>
      <c r="E14" s="1385">
        <f t="shared" si="0"/>
        <v>0</v>
      </c>
      <c r="F14" s="1356">
        <v>0</v>
      </c>
      <c r="G14" s="1385">
        <f t="shared" si="1"/>
        <v>0</v>
      </c>
      <c r="H14" s="1356">
        <v>0</v>
      </c>
      <c r="I14" s="1356">
        <f t="shared" si="2"/>
        <v>0</v>
      </c>
      <c r="J14" s="1361">
        <v>3</v>
      </c>
      <c r="K14" s="1362">
        <v>0</v>
      </c>
      <c r="L14" s="1350">
        <f t="shared" si="5"/>
        <v>0</v>
      </c>
      <c r="M14" s="1351">
        <f t="shared" si="6"/>
        <v>3</v>
      </c>
      <c r="N14" s="1363">
        <v>120</v>
      </c>
      <c r="O14" s="1353">
        <f t="shared" si="7"/>
        <v>360</v>
      </c>
      <c r="P14" s="1350">
        <v>0</v>
      </c>
      <c r="Q14" s="1354">
        <f t="shared" si="8"/>
        <v>0</v>
      </c>
      <c r="R14" s="1350">
        <v>0</v>
      </c>
      <c r="S14" s="1355">
        <f t="shared" si="9"/>
        <v>0</v>
      </c>
      <c r="T14" s="1356">
        <v>2</v>
      </c>
      <c r="U14" s="1355">
        <f t="shared" si="10"/>
        <v>240</v>
      </c>
      <c r="V14" s="1356">
        <v>1</v>
      </c>
      <c r="W14" s="1355">
        <f t="shared" si="11"/>
        <v>120</v>
      </c>
      <c r="X14" s="1356">
        <f t="shared" si="12"/>
        <v>3</v>
      </c>
      <c r="Y14" s="1356">
        <f t="shared" si="13"/>
        <v>360</v>
      </c>
      <c r="Z14" s="1387" t="s">
        <v>7799</v>
      </c>
      <c r="AA14" s="1358" t="s">
        <v>7685</v>
      </c>
      <c r="AC14" s="1487" t="str">
        <f t="shared" si="4"/>
        <v>ok</v>
      </c>
    </row>
    <row r="15" spans="1:29" s="1359" customFormat="1" ht="20.25" customHeight="1" x14ac:dyDescent="0.25">
      <c r="A15" s="1279">
        <v>8</v>
      </c>
      <c r="B15" s="1211" t="s">
        <v>7977</v>
      </c>
      <c r="C15" s="1489" t="s">
        <v>7974</v>
      </c>
      <c r="D15" s="1350">
        <v>3</v>
      </c>
      <c r="E15" s="1385">
        <f t="shared" si="0"/>
        <v>900</v>
      </c>
      <c r="F15" s="1356">
        <v>3</v>
      </c>
      <c r="G15" s="1385">
        <f t="shared" si="1"/>
        <v>900</v>
      </c>
      <c r="H15" s="1356">
        <v>6</v>
      </c>
      <c r="I15" s="1356">
        <f t="shared" si="2"/>
        <v>1800</v>
      </c>
      <c r="J15" s="1361">
        <v>8</v>
      </c>
      <c r="K15" s="1362">
        <v>1</v>
      </c>
      <c r="L15" s="1350">
        <f t="shared" si="5"/>
        <v>300</v>
      </c>
      <c r="M15" s="1351">
        <f t="shared" si="6"/>
        <v>7</v>
      </c>
      <c r="N15" s="1363">
        <v>300</v>
      </c>
      <c r="O15" s="1353">
        <f t="shared" si="7"/>
        <v>2100</v>
      </c>
      <c r="P15" s="1350">
        <v>2</v>
      </c>
      <c r="Q15" s="1354">
        <f t="shared" si="8"/>
        <v>600</v>
      </c>
      <c r="R15" s="1350">
        <v>2</v>
      </c>
      <c r="S15" s="1355">
        <f t="shared" si="9"/>
        <v>600</v>
      </c>
      <c r="T15" s="1356">
        <v>2</v>
      </c>
      <c r="U15" s="1355">
        <f t="shared" si="10"/>
        <v>600</v>
      </c>
      <c r="V15" s="1356">
        <v>1</v>
      </c>
      <c r="W15" s="1355">
        <f t="shared" si="11"/>
        <v>300</v>
      </c>
      <c r="X15" s="1356">
        <f t="shared" si="12"/>
        <v>7</v>
      </c>
      <c r="Y15" s="1356">
        <f t="shared" si="13"/>
        <v>2100</v>
      </c>
      <c r="Z15" s="1387" t="s">
        <v>7799</v>
      </c>
      <c r="AA15" s="1358" t="s">
        <v>7685</v>
      </c>
      <c r="AB15" s="1359" t="str">
        <f t="shared" si="3"/>
        <v>yes</v>
      </c>
      <c r="AC15" s="1487" t="str">
        <f t="shared" si="4"/>
        <v>ok</v>
      </c>
    </row>
    <row r="16" spans="1:29" s="1359" customFormat="1" ht="20.25" customHeight="1" x14ac:dyDescent="0.25">
      <c r="A16" s="1279">
        <v>9</v>
      </c>
      <c r="B16" s="1211" t="s">
        <v>7978</v>
      </c>
      <c r="C16" s="1489" t="s">
        <v>7974</v>
      </c>
      <c r="D16" s="1350">
        <v>0</v>
      </c>
      <c r="E16" s="1385">
        <f t="shared" si="0"/>
        <v>0</v>
      </c>
      <c r="F16" s="1356">
        <v>0</v>
      </c>
      <c r="G16" s="1385">
        <f t="shared" si="1"/>
        <v>0</v>
      </c>
      <c r="H16" s="1356">
        <v>0</v>
      </c>
      <c r="I16" s="1356">
        <f t="shared" si="2"/>
        <v>0</v>
      </c>
      <c r="J16" s="1361">
        <v>2</v>
      </c>
      <c r="K16" s="1362">
        <v>0</v>
      </c>
      <c r="L16" s="1350">
        <f t="shared" si="5"/>
        <v>0</v>
      </c>
      <c r="M16" s="1351">
        <f t="shared" si="6"/>
        <v>2</v>
      </c>
      <c r="N16" s="1363">
        <v>200</v>
      </c>
      <c r="O16" s="1353">
        <f t="shared" si="7"/>
        <v>400</v>
      </c>
      <c r="P16" s="1350">
        <v>0</v>
      </c>
      <c r="Q16" s="1354">
        <f t="shared" si="8"/>
        <v>0</v>
      </c>
      <c r="R16" s="1350">
        <v>1</v>
      </c>
      <c r="S16" s="1355">
        <f t="shared" si="9"/>
        <v>200</v>
      </c>
      <c r="T16" s="1356">
        <v>0</v>
      </c>
      <c r="U16" s="1355">
        <f t="shared" si="10"/>
        <v>0</v>
      </c>
      <c r="V16" s="1356">
        <v>1</v>
      </c>
      <c r="W16" s="1355">
        <f t="shared" si="11"/>
        <v>200</v>
      </c>
      <c r="X16" s="1356">
        <f t="shared" si="12"/>
        <v>2</v>
      </c>
      <c r="Y16" s="1356">
        <f t="shared" si="13"/>
        <v>400</v>
      </c>
      <c r="Z16" s="1387" t="s">
        <v>7799</v>
      </c>
      <c r="AA16" s="1358" t="s">
        <v>7685</v>
      </c>
      <c r="AC16" s="1487" t="str">
        <f t="shared" si="4"/>
        <v>ok</v>
      </c>
    </row>
    <row r="17" spans="1:31" s="1359" customFormat="1" ht="20.25" customHeight="1" x14ac:dyDescent="0.25">
      <c r="A17" s="1477">
        <v>10</v>
      </c>
      <c r="B17" s="1211" t="s">
        <v>7979</v>
      </c>
      <c r="C17" s="1489" t="s">
        <v>7974</v>
      </c>
      <c r="D17" s="1350">
        <v>0</v>
      </c>
      <c r="E17" s="1385">
        <f t="shared" si="0"/>
        <v>0</v>
      </c>
      <c r="F17" s="1356">
        <v>0</v>
      </c>
      <c r="G17" s="1385">
        <f t="shared" si="1"/>
        <v>0</v>
      </c>
      <c r="H17" s="1356">
        <v>0</v>
      </c>
      <c r="I17" s="1356">
        <f t="shared" si="2"/>
        <v>0</v>
      </c>
      <c r="J17" s="1361">
        <v>3</v>
      </c>
      <c r="K17" s="1362">
        <v>0</v>
      </c>
      <c r="L17" s="1350">
        <f t="shared" si="5"/>
        <v>0</v>
      </c>
      <c r="M17" s="1351">
        <f t="shared" si="6"/>
        <v>3</v>
      </c>
      <c r="N17" s="1363">
        <v>380</v>
      </c>
      <c r="O17" s="1353">
        <f t="shared" si="7"/>
        <v>1140</v>
      </c>
      <c r="P17" s="1350">
        <v>0</v>
      </c>
      <c r="Q17" s="1354">
        <f t="shared" si="8"/>
        <v>0</v>
      </c>
      <c r="R17" s="1350">
        <v>1</v>
      </c>
      <c r="S17" s="1355">
        <f t="shared" si="9"/>
        <v>380</v>
      </c>
      <c r="T17" s="1356">
        <v>1</v>
      </c>
      <c r="U17" s="1355">
        <f t="shared" si="10"/>
        <v>380</v>
      </c>
      <c r="V17" s="1356">
        <v>1</v>
      </c>
      <c r="W17" s="1355">
        <f t="shared" si="11"/>
        <v>380</v>
      </c>
      <c r="X17" s="1356">
        <f t="shared" si="12"/>
        <v>3</v>
      </c>
      <c r="Y17" s="1356">
        <f t="shared" si="13"/>
        <v>1140</v>
      </c>
      <c r="Z17" s="1387" t="s">
        <v>7799</v>
      </c>
      <c r="AA17" s="1358" t="s">
        <v>7685</v>
      </c>
      <c r="AC17" s="1487" t="str">
        <f t="shared" si="4"/>
        <v>ok</v>
      </c>
    </row>
    <row r="18" spans="1:31" s="1359" customFormat="1" ht="20.25" customHeight="1" x14ac:dyDescent="0.25">
      <c r="A18" s="1279">
        <v>11</v>
      </c>
      <c r="B18" s="1211" t="s">
        <v>7980</v>
      </c>
      <c r="C18" s="1489" t="s">
        <v>7974</v>
      </c>
      <c r="D18" s="1350">
        <v>0</v>
      </c>
      <c r="E18" s="1385">
        <f t="shared" si="0"/>
        <v>0</v>
      </c>
      <c r="F18" s="1356">
        <v>0</v>
      </c>
      <c r="G18" s="1385">
        <f t="shared" si="1"/>
        <v>0</v>
      </c>
      <c r="H18" s="1356">
        <v>0</v>
      </c>
      <c r="I18" s="1356">
        <f t="shared" si="2"/>
        <v>0</v>
      </c>
      <c r="J18" s="1361">
        <v>2</v>
      </c>
      <c r="K18" s="1362">
        <v>0</v>
      </c>
      <c r="L18" s="1350">
        <f t="shared" si="5"/>
        <v>0</v>
      </c>
      <c r="M18" s="1351">
        <f t="shared" si="6"/>
        <v>2</v>
      </c>
      <c r="N18" s="1363">
        <v>80</v>
      </c>
      <c r="O18" s="1353">
        <f t="shared" si="7"/>
        <v>160</v>
      </c>
      <c r="P18" s="1350">
        <v>0</v>
      </c>
      <c r="Q18" s="1354">
        <f t="shared" si="8"/>
        <v>0</v>
      </c>
      <c r="R18" s="1350">
        <v>0</v>
      </c>
      <c r="S18" s="1355">
        <f t="shared" si="9"/>
        <v>0</v>
      </c>
      <c r="T18" s="1356">
        <v>1</v>
      </c>
      <c r="U18" s="1355">
        <f t="shared" si="10"/>
        <v>80</v>
      </c>
      <c r="V18" s="1356">
        <v>1</v>
      </c>
      <c r="W18" s="1355">
        <f t="shared" si="11"/>
        <v>80</v>
      </c>
      <c r="X18" s="1356">
        <f t="shared" si="12"/>
        <v>2</v>
      </c>
      <c r="Y18" s="1356">
        <f t="shared" si="13"/>
        <v>160</v>
      </c>
      <c r="Z18" s="1387" t="s">
        <v>7799</v>
      </c>
      <c r="AA18" s="1358" t="s">
        <v>7685</v>
      </c>
      <c r="AC18" s="1487" t="str">
        <f t="shared" si="4"/>
        <v>ok</v>
      </c>
    </row>
    <row r="19" spans="1:31" s="1359" customFormat="1" ht="20.25" customHeight="1" x14ac:dyDescent="0.25">
      <c r="A19" s="1279">
        <v>12</v>
      </c>
      <c r="B19" s="1211" t="s">
        <v>7981</v>
      </c>
      <c r="C19" s="1489" t="s">
        <v>7974</v>
      </c>
      <c r="D19" s="1350">
        <v>0</v>
      </c>
      <c r="E19" s="1385">
        <f t="shared" si="0"/>
        <v>0</v>
      </c>
      <c r="F19" s="1356">
        <v>0</v>
      </c>
      <c r="G19" s="1385">
        <f t="shared" si="1"/>
        <v>0</v>
      </c>
      <c r="H19" s="1356">
        <v>0</v>
      </c>
      <c r="I19" s="1356">
        <f t="shared" si="2"/>
        <v>0</v>
      </c>
      <c r="J19" s="1361">
        <v>2</v>
      </c>
      <c r="K19" s="1362">
        <v>0</v>
      </c>
      <c r="L19" s="1350">
        <f t="shared" si="5"/>
        <v>0</v>
      </c>
      <c r="M19" s="1351">
        <f t="shared" si="6"/>
        <v>2</v>
      </c>
      <c r="N19" s="1363">
        <v>80</v>
      </c>
      <c r="O19" s="1353">
        <f t="shared" si="7"/>
        <v>160</v>
      </c>
      <c r="P19" s="1350">
        <v>0</v>
      </c>
      <c r="Q19" s="1354">
        <f t="shared" si="8"/>
        <v>0</v>
      </c>
      <c r="R19" s="1350">
        <v>0</v>
      </c>
      <c r="S19" s="1355">
        <f t="shared" si="9"/>
        <v>0</v>
      </c>
      <c r="T19" s="1356">
        <v>1</v>
      </c>
      <c r="U19" s="1355">
        <f t="shared" si="10"/>
        <v>80</v>
      </c>
      <c r="V19" s="1356">
        <v>1</v>
      </c>
      <c r="W19" s="1355">
        <f t="shared" si="11"/>
        <v>80</v>
      </c>
      <c r="X19" s="1356">
        <f t="shared" si="12"/>
        <v>2</v>
      </c>
      <c r="Y19" s="1356">
        <f t="shared" si="13"/>
        <v>160</v>
      </c>
      <c r="Z19" s="1387" t="s">
        <v>7799</v>
      </c>
      <c r="AA19" s="1358" t="s">
        <v>7685</v>
      </c>
      <c r="AC19" s="1487" t="str">
        <f t="shared" si="4"/>
        <v>ok</v>
      </c>
    </row>
    <row r="20" spans="1:31" s="1359" customFormat="1" ht="20.25" customHeight="1" x14ac:dyDescent="0.25">
      <c r="A20" s="1477">
        <v>13</v>
      </c>
      <c r="B20" s="1211" t="s">
        <v>7982</v>
      </c>
      <c r="C20" s="1489" t="s">
        <v>7974</v>
      </c>
      <c r="D20" s="1350">
        <v>0</v>
      </c>
      <c r="E20" s="1385">
        <f t="shared" si="0"/>
        <v>0</v>
      </c>
      <c r="F20" s="1356">
        <v>0</v>
      </c>
      <c r="G20" s="1385">
        <f t="shared" si="1"/>
        <v>0</v>
      </c>
      <c r="H20" s="1356">
        <v>0</v>
      </c>
      <c r="I20" s="1356">
        <f t="shared" si="2"/>
        <v>0</v>
      </c>
      <c r="J20" s="1361">
        <v>2</v>
      </c>
      <c r="K20" s="1362">
        <v>0</v>
      </c>
      <c r="L20" s="1350">
        <f t="shared" si="5"/>
        <v>0</v>
      </c>
      <c r="M20" s="1351">
        <f t="shared" si="6"/>
        <v>2</v>
      </c>
      <c r="N20" s="1363">
        <v>80</v>
      </c>
      <c r="O20" s="1353">
        <f t="shared" si="7"/>
        <v>160</v>
      </c>
      <c r="P20" s="1350">
        <v>0</v>
      </c>
      <c r="Q20" s="1354">
        <f t="shared" si="8"/>
        <v>0</v>
      </c>
      <c r="R20" s="1350">
        <v>0</v>
      </c>
      <c r="S20" s="1355">
        <f t="shared" si="9"/>
        <v>0</v>
      </c>
      <c r="T20" s="1356">
        <v>1</v>
      </c>
      <c r="U20" s="1355">
        <f t="shared" si="10"/>
        <v>80</v>
      </c>
      <c r="V20" s="1356">
        <v>1</v>
      </c>
      <c r="W20" s="1355">
        <f t="shared" si="11"/>
        <v>80</v>
      </c>
      <c r="X20" s="1356">
        <f t="shared" si="12"/>
        <v>2</v>
      </c>
      <c r="Y20" s="1356">
        <f t="shared" si="13"/>
        <v>160</v>
      </c>
      <c r="Z20" s="1387" t="s">
        <v>7799</v>
      </c>
      <c r="AA20" s="1358" t="s">
        <v>7685</v>
      </c>
      <c r="AC20" s="1487" t="str">
        <f t="shared" si="4"/>
        <v>ok</v>
      </c>
    </row>
    <row r="21" spans="1:31" s="1359" customFormat="1" ht="20.25" customHeight="1" x14ac:dyDescent="0.25">
      <c r="A21" s="1279">
        <v>14</v>
      </c>
      <c r="B21" s="1211" t="s">
        <v>7983</v>
      </c>
      <c r="C21" s="1489" t="s">
        <v>7974</v>
      </c>
      <c r="D21" s="1350">
        <v>0</v>
      </c>
      <c r="E21" s="1385">
        <f t="shared" si="0"/>
        <v>0</v>
      </c>
      <c r="F21" s="1356">
        <v>0</v>
      </c>
      <c r="G21" s="1385">
        <f t="shared" si="1"/>
        <v>0</v>
      </c>
      <c r="H21" s="1356">
        <v>0</v>
      </c>
      <c r="I21" s="1356">
        <f t="shared" si="2"/>
        <v>0</v>
      </c>
      <c r="J21" s="1361">
        <v>2</v>
      </c>
      <c r="K21" s="1362">
        <v>0</v>
      </c>
      <c r="L21" s="1350">
        <f t="shared" si="5"/>
        <v>0</v>
      </c>
      <c r="M21" s="1351">
        <f t="shared" si="6"/>
        <v>2</v>
      </c>
      <c r="N21" s="1363">
        <v>80</v>
      </c>
      <c r="O21" s="1353">
        <f t="shared" si="7"/>
        <v>160</v>
      </c>
      <c r="P21" s="1350">
        <v>0</v>
      </c>
      <c r="Q21" s="1354">
        <f t="shared" si="8"/>
        <v>0</v>
      </c>
      <c r="R21" s="1350">
        <v>0</v>
      </c>
      <c r="S21" s="1355">
        <f t="shared" si="9"/>
        <v>0</v>
      </c>
      <c r="T21" s="1356">
        <v>1</v>
      </c>
      <c r="U21" s="1355">
        <f t="shared" si="10"/>
        <v>80</v>
      </c>
      <c r="V21" s="1356">
        <v>1</v>
      </c>
      <c r="W21" s="1355">
        <f t="shared" si="11"/>
        <v>80</v>
      </c>
      <c r="X21" s="1356">
        <f t="shared" si="12"/>
        <v>2</v>
      </c>
      <c r="Y21" s="1356">
        <f t="shared" si="13"/>
        <v>160</v>
      </c>
      <c r="Z21" s="1387" t="s">
        <v>7799</v>
      </c>
      <c r="AA21" s="1358" t="s">
        <v>7685</v>
      </c>
      <c r="AC21" s="1487" t="str">
        <f t="shared" si="4"/>
        <v>ok</v>
      </c>
    </row>
    <row r="22" spans="1:31" s="1359" customFormat="1" ht="20.25" customHeight="1" x14ac:dyDescent="0.25">
      <c r="A22" s="1279">
        <v>15</v>
      </c>
      <c r="B22" s="1211" t="s">
        <v>7984</v>
      </c>
      <c r="C22" s="1489" t="s">
        <v>7974</v>
      </c>
      <c r="D22" s="1350">
        <v>0</v>
      </c>
      <c r="E22" s="1385">
        <f t="shared" si="0"/>
        <v>0</v>
      </c>
      <c r="F22" s="1356">
        <v>0</v>
      </c>
      <c r="G22" s="1385">
        <f t="shared" si="1"/>
        <v>0</v>
      </c>
      <c r="H22" s="1356">
        <v>0</v>
      </c>
      <c r="I22" s="1356">
        <f t="shared" si="2"/>
        <v>0</v>
      </c>
      <c r="J22" s="1361">
        <v>2</v>
      </c>
      <c r="K22" s="1362">
        <v>0</v>
      </c>
      <c r="L22" s="1350">
        <f t="shared" si="5"/>
        <v>0</v>
      </c>
      <c r="M22" s="1351">
        <f t="shared" si="6"/>
        <v>2</v>
      </c>
      <c r="N22" s="1363">
        <v>150</v>
      </c>
      <c r="O22" s="1353">
        <f t="shared" si="7"/>
        <v>300</v>
      </c>
      <c r="P22" s="1350">
        <v>0</v>
      </c>
      <c r="Q22" s="1354">
        <f t="shared" si="8"/>
        <v>0</v>
      </c>
      <c r="R22" s="1350">
        <v>0</v>
      </c>
      <c r="S22" s="1355">
        <f t="shared" si="9"/>
        <v>0</v>
      </c>
      <c r="T22" s="1356">
        <v>1</v>
      </c>
      <c r="U22" s="1355">
        <f t="shared" si="10"/>
        <v>150</v>
      </c>
      <c r="V22" s="1356">
        <v>1</v>
      </c>
      <c r="W22" s="1355">
        <f t="shared" si="11"/>
        <v>150</v>
      </c>
      <c r="X22" s="1356">
        <f t="shared" si="12"/>
        <v>2</v>
      </c>
      <c r="Y22" s="1356">
        <f t="shared" si="13"/>
        <v>300</v>
      </c>
      <c r="Z22" s="1387" t="s">
        <v>7799</v>
      </c>
      <c r="AA22" s="1358" t="s">
        <v>7685</v>
      </c>
      <c r="AC22" s="1487" t="str">
        <f t="shared" si="4"/>
        <v>ok</v>
      </c>
    </row>
    <row r="23" spans="1:31" s="1359" customFormat="1" ht="20.25" customHeight="1" x14ac:dyDescent="0.25">
      <c r="A23" s="1477">
        <v>16</v>
      </c>
      <c r="B23" s="1211" t="s">
        <v>7985</v>
      </c>
      <c r="C23" s="1489" t="s">
        <v>7974</v>
      </c>
      <c r="D23" s="1350">
        <v>0</v>
      </c>
      <c r="E23" s="1385">
        <f t="shared" si="0"/>
        <v>0</v>
      </c>
      <c r="F23" s="1356">
        <v>0</v>
      </c>
      <c r="G23" s="1385">
        <f t="shared" si="1"/>
        <v>0</v>
      </c>
      <c r="H23" s="1356">
        <v>0</v>
      </c>
      <c r="I23" s="1356">
        <f t="shared" si="2"/>
        <v>0</v>
      </c>
      <c r="J23" s="1361">
        <v>1</v>
      </c>
      <c r="K23" s="1362">
        <v>0</v>
      </c>
      <c r="L23" s="1350">
        <f t="shared" si="5"/>
        <v>0</v>
      </c>
      <c r="M23" s="1351">
        <f t="shared" si="6"/>
        <v>1</v>
      </c>
      <c r="N23" s="1363">
        <v>150</v>
      </c>
      <c r="O23" s="1353">
        <f t="shared" si="7"/>
        <v>150</v>
      </c>
      <c r="P23" s="1350">
        <v>0</v>
      </c>
      <c r="Q23" s="1354">
        <f t="shared" si="8"/>
        <v>0</v>
      </c>
      <c r="R23" s="1350">
        <v>0</v>
      </c>
      <c r="S23" s="1355">
        <f t="shared" si="9"/>
        <v>0</v>
      </c>
      <c r="T23" s="1356">
        <v>1</v>
      </c>
      <c r="U23" s="1355">
        <f t="shared" si="10"/>
        <v>150</v>
      </c>
      <c r="V23" s="1356">
        <v>0</v>
      </c>
      <c r="W23" s="1355">
        <f t="shared" si="11"/>
        <v>0</v>
      </c>
      <c r="X23" s="1356">
        <f t="shared" si="12"/>
        <v>1</v>
      </c>
      <c r="Y23" s="1356">
        <f t="shared" si="13"/>
        <v>150</v>
      </c>
      <c r="Z23" s="1387" t="s">
        <v>7799</v>
      </c>
      <c r="AA23" s="1358" t="s">
        <v>7685</v>
      </c>
      <c r="AC23" s="1487" t="str">
        <f t="shared" si="4"/>
        <v>ok</v>
      </c>
    </row>
    <row r="24" spans="1:31" s="1359" customFormat="1" ht="20.25" customHeight="1" x14ac:dyDescent="0.25">
      <c r="A24" s="1279">
        <v>17</v>
      </c>
      <c r="B24" s="1211" t="s">
        <v>7986</v>
      </c>
      <c r="C24" s="1489" t="s">
        <v>7987</v>
      </c>
      <c r="D24" s="1350">
        <v>300</v>
      </c>
      <c r="E24" s="1385">
        <f t="shared" si="0"/>
        <v>4500</v>
      </c>
      <c r="F24" s="1356">
        <v>700</v>
      </c>
      <c r="G24" s="1385">
        <f t="shared" si="1"/>
        <v>10500</v>
      </c>
      <c r="H24" s="1356">
        <v>500</v>
      </c>
      <c r="I24" s="1356">
        <f t="shared" si="2"/>
        <v>7500</v>
      </c>
      <c r="J24" s="1361">
        <v>700</v>
      </c>
      <c r="K24" s="1362">
        <v>0</v>
      </c>
      <c r="L24" s="1350">
        <f t="shared" si="5"/>
        <v>0</v>
      </c>
      <c r="M24" s="1351">
        <f t="shared" si="6"/>
        <v>700</v>
      </c>
      <c r="N24" s="1363">
        <v>15</v>
      </c>
      <c r="O24" s="1353">
        <f t="shared" si="7"/>
        <v>10500</v>
      </c>
      <c r="P24" s="1350">
        <v>200</v>
      </c>
      <c r="Q24" s="1354">
        <f t="shared" si="8"/>
        <v>3000</v>
      </c>
      <c r="R24" s="1350">
        <v>200</v>
      </c>
      <c r="S24" s="1355">
        <f t="shared" si="9"/>
        <v>3000</v>
      </c>
      <c r="T24" s="1356">
        <v>200</v>
      </c>
      <c r="U24" s="1355">
        <f t="shared" si="10"/>
        <v>3000</v>
      </c>
      <c r="V24" s="1356">
        <v>100</v>
      </c>
      <c r="W24" s="1355">
        <f t="shared" si="11"/>
        <v>1500</v>
      </c>
      <c r="X24" s="1356">
        <f t="shared" si="12"/>
        <v>700</v>
      </c>
      <c r="Y24" s="1356">
        <f t="shared" si="13"/>
        <v>10500</v>
      </c>
      <c r="Z24" s="1387" t="s">
        <v>7799</v>
      </c>
      <c r="AA24" s="1358" t="s">
        <v>7685</v>
      </c>
      <c r="AB24" s="1359" t="str">
        <f t="shared" si="3"/>
        <v>yes</v>
      </c>
      <c r="AC24" s="1487" t="str">
        <f t="shared" si="4"/>
        <v>ok</v>
      </c>
    </row>
    <row r="25" spans="1:31" s="1359" customFormat="1" ht="20.25" customHeight="1" x14ac:dyDescent="0.25">
      <c r="A25" s="1279">
        <v>18</v>
      </c>
      <c r="B25" s="1211" t="s">
        <v>7988</v>
      </c>
      <c r="C25" s="1489" t="s">
        <v>7987</v>
      </c>
      <c r="D25" s="1350">
        <v>1600</v>
      </c>
      <c r="E25" s="1385">
        <f t="shared" si="0"/>
        <v>1552</v>
      </c>
      <c r="F25" s="1356">
        <v>1200</v>
      </c>
      <c r="G25" s="1385">
        <f t="shared" si="1"/>
        <v>1164</v>
      </c>
      <c r="H25" s="1356">
        <v>1600</v>
      </c>
      <c r="I25" s="1356">
        <f t="shared" si="2"/>
        <v>1552</v>
      </c>
      <c r="J25" s="1356">
        <v>2000</v>
      </c>
      <c r="K25" s="1356">
        <v>200</v>
      </c>
      <c r="L25" s="1350">
        <f t="shared" si="5"/>
        <v>194</v>
      </c>
      <c r="M25" s="1351">
        <f t="shared" si="6"/>
        <v>1800</v>
      </c>
      <c r="N25" s="1363">
        <v>0.97</v>
      </c>
      <c r="O25" s="1353">
        <f t="shared" si="7"/>
        <v>1746</v>
      </c>
      <c r="P25" s="1356">
        <v>500</v>
      </c>
      <c r="Q25" s="1354">
        <f t="shared" si="8"/>
        <v>485</v>
      </c>
      <c r="R25" s="1350">
        <v>500</v>
      </c>
      <c r="S25" s="1355">
        <f t="shared" si="9"/>
        <v>485</v>
      </c>
      <c r="T25" s="1356">
        <v>500</v>
      </c>
      <c r="U25" s="1355">
        <f t="shared" si="10"/>
        <v>485</v>
      </c>
      <c r="V25" s="1350">
        <v>300</v>
      </c>
      <c r="W25" s="1355">
        <f t="shared" si="11"/>
        <v>291</v>
      </c>
      <c r="X25" s="1356">
        <f t="shared" si="12"/>
        <v>1800</v>
      </c>
      <c r="Y25" s="1356">
        <f t="shared" si="13"/>
        <v>1746</v>
      </c>
      <c r="Z25" s="1387" t="s">
        <v>7799</v>
      </c>
      <c r="AA25" s="1358" t="s">
        <v>7685</v>
      </c>
      <c r="AB25" s="1359" t="str">
        <f t="shared" si="3"/>
        <v>yes</v>
      </c>
      <c r="AC25" s="1487" t="str">
        <f t="shared" si="4"/>
        <v>ok</v>
      </c>
      <c r="AE25" s="1382"/>
    </row>
    <row r="26" spans="1:31" s="1359" customFormat="1" ht="20.25" customHeight="1" x14ac:dyDescent="0.25">
      <c r="A26" s="1477">
        <v>19</v>
      </c>
      <c r="B26" s="1372" t="s">
        <v>7989</v>
      </c>
      <c r="C26" s="1490" t="s">
        <v>7987</v>
      </c>
      <c r="D26" s="1350">
        <v>2700</v>
      </c>
      <c r="E26" s="1385">
        <f t="shared" si="0"/>
        <v>16200</v>
      </c>
      <c r="F26" s="1375">
        <v>3000</v>
      </c>
      <c r="G26" s="1385">
        <f t="shared" si="1"/>
        <v>18000</v>
      </c>
      <c r="H26" s="1375">
        <v>3500</v>
      </c>
      <c r="I26" s="1356">
        <f t="shared" si="2"/>
        <v>21000</v>
      </c>
      <c r="J26" s="1375">
        <v>4700</v>
      </c>
      <c r="K26" s="1356">
        <v>700</v>
      </c>
      <c r="L26" s="1350">
        <f t="shared" si="5"/>
        <v>4200</v>
      </c>
      <c r="M26" s="1491">
        <f t="shared" si="6"/>
        <v>4000</v>
      </c>
      <c r="N26" s="1492">
        <v>6</v>
      </c>
      <c r="O26" s="1353">
        <f t="shared" si="7"/>
        <v>24000</v>
      </c>
      <c r="P26" s="1350">
        <v>1000</v>
      </c>
      <c r="Q26" s="1354">
        <f t="shared" si="8"/>
        <v>6000</v>
      </c>
      <c r="R26" s="1350">
        <v>1000</v>
      </c>
      <c r="S26" s="1355">
        <f t="shared" si="9"/>
        <v>6000</v>
      </c>
      <c r="T26" s="1350">
        <v>1000</v>
      </c>
      <c r="U26" s="1355">
        <f t="shared" si="10"/>
        <v>6000</v>
      </c>
      <c r="V26" s="1350">
        <v>1000</v>
      </c>
      <c r="W26" s="1355">
        <f t="shared" si="11"/>
        <v>6000</v>
      </c>
      <c r="X26" s="1356">
        <f t="shared" si="12"/>
        <v>4000</v>
      </c>
      <c r="Y26" s="1356">
        <f t="shared" si="13"/>
        <v>24000</v>
      </c>
      <c r="Z26" s="1387" t="s">
        <v>7799</v>
      </c>
      <c r="AA26" s="1358" t="s">
        <v>7685</v>
      </c>
      <c r="AB26" s="1359" t="str">
        <f t="shared" si="3"/>
        <v>yes</v>
      </c>
      <c r="AC26" s="1487" t="str">
        <f t="shared" si="4"/>
        <v>ok</v>
      </c>
      <c r="AE26" s="1246"/>
    </row>
    <row r="27" spans="1:31" s="1359" customFormat="1" ht="20.25" customHeight="1" x14ac:dyDescent="0.25">
      <c r="A27" s="1279">
        <v>20</v>
      </c>
      <c r="B27" s="1372" t="s">
        <v>7990</v>
      </c>
      <c r="C27" s="1489" t="s">
        <v>7987</v>
      </c>
      <c r="D27" s="1350">
        <v>2100</v>
      </c>
      <c r="E27" s="1385">
        <f t="shared" si="0"/>
        <v>63000</v>
      </c>
      <c r="F27" s="1375">
        <v>4000</v>
      </c>
      <c r="G27" s="1385">
        <f t="shared" si="1"/>
        <v>120000</v>
      </c>
      <c r="H27" s="1375">
        <v>4400</v>
      </c>
      <c r="I27" s="1356">
        <f t="shared" si="2"/>
        <v>132000</v>
      </c>
      <c r="J27" s="1375">
        <v>7400</v>
      </c>
      <c r="K27" s="1356">
        <v>400</v>
      </c>
      <c r="L27" s="1350">
        <f t="shared" si="5"/>
        <v>12000</v>
      </c>
      <c r="M27" s="1356">
        <f t="shared" si="6"/>
        <v>7000</v>
      </c>
      <c r="N27" s="1356">
        <v>30</v>
      </c>
      <c r="O27" s="1353">
        <f t="shared" si="7"/>
        <v>210000</v>
      </c>
      <c r="P27" s="1350">
        <v>2000</v>
      </c>
      <c r="Q27" s="1354">
        <f t="shared" si="8"/>
        <v>60000</v>
      </c>
      <c r="R27" s="1350">
        <v>2000</v>
      </c>
      <c r="S27" s="1355">
        <f t="shared" si="9"/>
        <v>60000</v>
      </c>
      <c r="T27" s="1350">
        <v>1000</v>
      </c>
      <c r="U27" s="1355">
        <f t="shared" si="10"/>
        <v>30000</v>
      </c>
      <c r="V27" s="1350">
        <v>2000</v>
      </c>
      <c r="W27" s="1355">
        <f t="shared" si="11"/>
        <v>60000</v>
      </c>
      <c r="X27" s="1356">
        <f t="shared" si="12"/>
        <v>7000</v>
      </c>
      <c r="Y27" s="1356">
        <f t="shared" si="13"/>
        <v>210000</v>
      </c>
      <c r="Z27" s="1387" t="s">
        <v>7799</v>
      </c>
      <c r="AA27" s="1358" t="s">
        <v>7685</v>
      </c>
      <c r="AC27" s="1487" t="str">
        <f t="shared" si="4"/>
        <v>ok</v>
      </c>
      <c r="AE27" s="1246"/>
    </row>
    <row r="28" spans="1:31" s="1359" customFormat="1" ht="20.25" customHeight="1" x14ac:dyDescent="0.25">
      <c r="A28" s="1279">
        <v>21</v>
      </c>
      <c r="B28" s="1372" t="s">
        <v>7991</v>
      </c>
      <c r="C28" s="1490" t="s">
        <v>7987</v>
      </c>
      <c r="D28" s="1350">
        <v>300</v>
      </c>
      <c r="E28" s="1385">
        <f t="shared" si="0"/>
        <v>2901</v>
      </c>
      <c r="F28" s="1375">
        <v>800</v>
      </c>
      <c r="G28" s="1385">
        <f t="shared" si="1"/>
        <v>7736</v>
      </c>
      <c r="H28" s="1375">
        <v>700</v>
      </c>
      <c r="I28" s="1356">
        <f t="shared" si="2"/>
        <v>6769</v>
      </c>
      <c r="J28" s="1375">
        <v>800</v>
      </c>
      <c r="K28" s="1356">
        <v>100</v>
      </c>
      <c r="L28" s="1350">
        <f t="shared" si="5"/>
        <v>967</v>
      </c>
      <c r="M28" s="1356">
        <f t="shared" si="6"/>
        <v>700</v>
      </c>
      <c r="N28" s="1356">
        <v>9.67</v>
      </c>
      <c r="O28" s="1353">
        <f t="shared" si="7"/>
        <v>6769</v>
      </c>
      <c r="P28" s="1350">
        <v>200</v>
      </c>
      <c r="Q28" s="1354">
        <f t="shared" si="8"/>
        <v>1934</v>
      </c>
      <c r="R28" s="1350">
        <v>200</v>
      </c>
      <c r="S28" s="1355">
        <f t="shared" si="9"/>
        <v>1934</v>
      </c>
      <c r="T28" s="1350">
        <v>200</v>
      </c>
      <c r="U28" s="1355">
        <f t="shared" si="10"/>
        <v>1934</v>
      </c>
      <c r="V28" s="1350">
        <v>100</v>
      </c>
      <c r="W28" s="1355">
        <f t="shared" si="11"/>
        <v>967</v>
      </c>
      <c r="X28" s="1356">
        <f t="shared" si="12"/>
        <v>700</v>
      </c>
      <c r="Y28" s="1356">
        <f t="shared" si="13"/>
        <v>6769</v>
      </c>
      <c r="Z28" s="1387" t="s">
        <v>7799</v>
      </c>
      <c r="AA28" s="1358" t="s">
        <v>7685</v>
      </c>
      <c r="AC28" s="1487" t="str">
        <f t="shared" si="4"/>
        <v>ok</v>
      </c>
      <c r="AE28" s="1246"/>
    </row>
    <row r="29" spans="1:31" s="1359" customFormat="1" ht="20.25" customHeight="1" x14ac:dyDescent="0.25">
      <c r="A29" s="1477">
        <v>22</v>
      </c>
      <c r="B29" s="1372" t="s">
        <v>7992</v>
      </c>
      <c r="C29" s="1489" t="s">
        <v>7987</v>
      </c>
      <c r="D29" s="1350">
        <v>1000</v>
      </c>
      <c r="E29" s="1385">
        <f t="shared" si="0"/>
        <v>5000</v>
      </c>
      <c r="F29" s="1375">
        <v>1400</v>
      </c>
      <c r="G29" s="1385">
        <f t="shared" si="1"/>
        <v>7000</v>
      </c>
      <c r="H29" s="1375">
        <v>800</v>
      </c>
      <c r="I29" s="1356">
        <f t="shared" si="2"/>
        <v>4000</v>
      </c>
      <c r="J29" s="1375">
        <v>1400</v>
      </c>
      <c r="K29" s="1356">
        <v>0</v>
      </c>
      <c r="L29" s="1350">
        <f t="shared" si="5"/>
        <v>0</v>
      </c>
      <c r="M29" s="1356">
        <f t="shared" si="6"/>
        <v>1400</v>
      </c>
      <c r="N29" s="1356">
        <v>5</v>
      </c>
      <c r="O29" s="1353">
        <f t="shared" si="7"/>
        <v>7000</v>
      </c>
      <c r="P29" s="1350">
        <v>400</v>
      </c>
      <c r="Q29" s="1354">
        <f t="shared" si="8"/>
        <v>2000</v>
      </c>
      <c r="R29" s="1350">
        <v>200</v>
      </c>
      <c r="S29" s="1355">
        <f t="shared" si="9"/>
        <v>1000</v>
      </c>
      <c r="T29" s="1350">
        <v>400</v>
      </c>
      <c r="U29" s="1355">
        <f t="shared" si="10"/>
        <v>2000</v>
      </c>
      <c r="V29" s="1350">
        <v>400</v>
      </c>
      <c r="W29" s="1355">
        <f t="shared" si="11"/>
        <v>2000</v>
      </c>
      <c r="X29" s="1356">
        <f t="shared" si="12"/>
        <v>1400</v>
      </c>
      <c r="Y29" s="1356">
        <f t="shared" si="13"/>
        <v>7000</v>
      </c>
      <c r="Z29" s="1387" t="s">
        <v>7799</v>
      </c>
      <c r="AA29" s="1358" t="s">
        <v>7685</v>
      </c>
      <c r="AC29" s="1487" t="str">
        <f t="shared" si="4"/>
        <v>ok</v>
      </c>
      <c r="AE29" s="1246"/>
    </row>
    <row r="30" spans="1:31" s="1359" customFormat="1" ht="20.25" customHeight="1" x14ac:dyDescent="0.25">
      <c r="A30" s="1279">
        <v>23</v>
      </c>
      <c r="B30" s="1372" t="s">
        <v>7993</v>
      </c>
      <c r="C30" s="1490" t="s">
        <v>7987</v>
      </c>
      <c r="D30" s="1350">
        <v>80</v>
      </c>
      <c r="E30" s="1385">
        <f t="shared" si="0"/>
        <v>2400</v>
      </c>
      <c r="F30" s="1375">
        <v>100</v>
      </c>
      <c r="G30" s="1385">
        <f t="shared" si="1"/>
        <v>3000</v>
      </c>
      <c r="H30" s="1375">
        <v>50</v>
      </c>
      <c r="I30" s="1356">
        <f t="shared" si="2"/>
        <v>1500</v>
      </c>
      <c r="J30" s="1375">
        <v>100</v>
      </c>
      <c r="K30" s="1356">
        <v>0</v>
      </c>
      <c r="L30" s="1350">
        <f t="shared" si="5"/>
        <v>0</v>
      </c>
      <c r="M30" s="1356">
        <f t="shared" si="6"/>
        <v>100</v>
      </c>
      <c r="N30" s="1356">
        <v>30</v>
      </c>
      <c r="O30" s="1353">
        <f t="shared" si="7"/>
        <v>3000</v>
      </c>
      <c r="P30" s="1350">
        <v>50</v>
      </c>
      <c r="Q30" s="1354">
        <f t="shared" si="8"/>
        <v>1500</v>
      </c>
      <c r="R30" s="1350">
        <v>0</v>
      </c>
      <c r="S30" s="1355">
        <f t="shared" si="9"/>
        <v>0</v>
      </c>
      <c r="T30" s="1350">
        <v>50</v>
      </c>
      <c r="U30" s="1355">
        <f t="shared" si="10"/>
        <v>1500</v>
      </c>
      <c r="V30" s="1350">
        <v>0</v>
      </c>
      <c r="W30" s="1355">
        <f t="shared" si="11"/>
        <v>0</v>
      </c>
      <c r="X30" s="1356">
        <f t="shared" si="12"/>
        <v>100</v>
      </c>
      <c r="Y30" s="1356">
        <f t="shared" si="13"/>
        <v>3000</v>
      </c>
      <c r="Z30" s="1387" t="s">
        <v>7799</v>
      </c>
      <c r="AA30" s="1358" t="s">
        <v>7685</v>
      </c>
      <c r="AC30" s="1487" t="str">
        <f t="shared" si="4"/>
        <v>ok</v>
      </c>
      <c r="AE30" s="1246"/>
    </row>
    <row r="31" spans="1:31" s="1359" customFormat="1" ht="20.25" customHeight="1" x14ac:dyDescent="0.25">
      <c r="A31" s="1279">
        <v>24</v>
      </c>
      <c r="B31" s="1372" t="s">
        <v>7994</v>
      </c>
      <c r="C31" s="1489" t="s">
        <v>7987</v>
      </c>
      <c r="D31" s="1350">
        <v>50</v>
      </c>
      <c r="E31" s="1385">
        <f t="shared" si="0"/>
        <v>1250</v>
      </c>
      <c r="F31" s="1375">
        <v>125</v>
      </c>
      <c r="G31" s="1385">
        <f t="shared" si="1"/>
        <v>3125</v>
      </c>
      <c r="H31" s="1375">
        <v>50</v>
      </c>
      <c r="I31" s="1356">
        <f t="shared" si="2"/>
        <v>1250</v>
      </c>
      <c r="J31" s="1375">
        <v>100</v>
      </c>
      <c r="K31" s="1356">
        <v>0</v>
      </c>
      <c r="L31" s="1350">
        <f t="shared" si="5"/>
        <v>0</v>
      </c>
      <c r="M31" s="1356">
        <f t="shared" si="6"/>
        <v>100</v>
      </c>
      <c r="N31" s="1356">
        <v>25</v>
      </c>
      <c r="O31" s="1353">
        <f t="shared" si="7"/>
        <v>2500</v>
      </c>
      <c r="P31" s="1350">
        <v>50</v>
      </c>
      <c r="Q31" s="1354">
        <f t="shared" si="8"/>
        <v>1250</v>
      </c>
      <c r="R31" s="1350">
        <v>0</v>
      </c>
      <c r="S31" s="1355">
        <f t="shared" si="9"/>
        <v>0</v>
      </c>
      <c r="T31" s="1350">
        <v>50</v>
      </c>
      <c r="U31" s="1355">
        <f t="shared" si="10"/>
        <v>1250</v>
      </c>
      <c r="V31" s="1350">
        <v>0</v>
      </c>
      <c r="W31" s="1355">
        <f t="shared" si="11"/>
        <v>0</v>
      </c>
      <c r="X31" s="1356">
        <f t="shared" si="12"/>
        <v>100</v>
      </c>
      <c r="Y31" s="1356">
        <f t="shared" si="13"/>
        <v>2500</v>
      </c>
      <c r="Z31" s="1387" t="s">
        <v>7799</v>
      </c>
      <c r="AA31" s="1358" t="s">
        <v>7685</v>
      </c>
      <c r="AC31" s="1487" t="str">
        <f t="shared" si="4"/>
        <v>ok</v>
      </c>
      <c r="AE31" s="1246"/>
    </row>
    <row r="32" spans="1:31" s="1359" customFormat="1" ht="20.25" customHeight="1" x14ac:dyDescent="0.25">
      <c r="A32" s="1477">
        <v>25</v>
      </c>
      <c r="B32" s="1372" t="s">
        <v>7995</v>
      </c>
      <c r="C32" s="1490" t="s">
        <v>7987</v>
      </c>
      <c r="D32" s="1350">
        <v>0</v>
      </c>
      <c r="E32" s="1385">
        <f t="shared" si="0"/>
        <v>0</v>
      </c>
      <c r="F32" s="1375">
        <v>900</v>
      </c>
      <c r="G32" s="1385">
        <f t="shared" si="1"/>
        <v>45000</v>
      </c>
      <c r="H32" s="1375">
        <v>15000</v>
      </c>
      <c r="I32" s="1356">
        <f t="shared" si="2"/>
        <v>750000</v>
      </c>
      <c r="J32" s="1375">
        <v>1500</v>
      </c>
      <c r="K32" s="1356">
        <v>0</v>
      </c>
      <c r="L32" s="1350">
        <f t="shared" si="5"/>
        <v>0</v>
      </c>
      <c r="M32" s="1356">
        <f t="shared" si="6"/>
        <v>1500</v>
      </c>
      <c r="N32" s="1356">
        <v>50</v>
      </c>
      <c r="O32" s="1353">
        <f t="shared" si="7"/>
        <v>75000</v>
      </c>
      <c r="P32" s="1350">
        <v>0</v>
      </c>
      <c r="Q32" s="1354">
        <f t="shared" si="8"/>
        <v>0</v>
      </c>
      <c r="R32" s="1350">
        <v>500</v>
      </c>
      <c r="S32" s="1355">
        <f t="shared" si="9"/>
        <v>25000</v>
      </c>
      <c r="T32" s="1350">
        <v>500</v>
      </c>
      <c r="U32" s="1355">
        <f t="shared" si="10"/>
        <v>25000</v>
      </c>
      <c r="V32" s="1350">
        <v>500</v>
      </c>
      <c r="W32" s="1355">
        <f t="shared" si="11"/>
        <v>25000</v>
      </c>
      <c r="X32" s="1356">
        <f t="shared" si="12"/>
        <v>1500</v>
      </c>
      <c r="Y32" s="1356">
        <f t="shared" si="13"/>
        <v>75000</v>
      </c>
      <c r="Z32" s="1387" t="s">
        <v>7799</v>
      </c>
      <c r="AA32" s="1358" t="s">
        <v>7685</v>
      </c>
      <c r="AC32" s="1487" t="str">
        <f t="shared" si="4"/>
        <v>ok</v>
      </c>
      <c r="AE32" s="1246"/>
    </row>
    <row r="33" spans="1:31" s="1359" customFormat="1" ht="20.25" customHeight="1" x14ac:dyDescent="0.25">
      <c r="A33" s="1279">
        <v>26</v>
      </c>
      <c r="B33" s="1372" t="s">
        <v>7996</v>
      </c>
      <c r="C33" s="1490" t="s">
        <v>7987</v>
      </c>
      <c r="D33" s="1350">
        <v>200</v>
      </c>
      <c r="E33" s="1385">
        <f t="shared" si="0"/>
        <v>52000</v>
      </c>
      <c r="F33" s="1375">
        <v>0</v>
      </c>
      <c r="G33" s="1385">
        <f t="shared" si="1"/>
        <v>0</v>
      </c>
      <c r="H33" s="1375">
        <v>75</v>
      </c>
      <c r="I33" s="1356">
        <f t="shared" si="2"/>
        <v>19500</v>
      </c>
      <c r="J33" s="1375">
        <v>130</v>
      </c>
      <c r="K33" s="1356">
        <v>30</v>
      </c>
      <c r="L33" s="1350">
        <f t="shared" si="5"/>
        <v>7800</v>
      </c>
      <c r="M33" s="1356">
        <f t="shared" si="6"/>
        <v>100</v>
      </c>
      <c r="N33" s="1356">
        <v>260</v>
      </c>
      <c r="O33" s="1353">
        <f t="shared" si="7"/>
        <v>26000</v>
      </c>
      <c r="P33" s="1350">
        <v>0</v>
      </c>
      <c r="Q33" s="1354">
        <f t="shared" si="8"/>
        <v>0</v>
      </c>
      <c r="R33" s="1350">
        <v>50</v>
      </c>
      <c r="S33" s="1355">
        <f t="shared" si="9"/>
        <v>13000</v>
      </c>
      <c r="T33" s="1350">
        <v>0</v>
      </c>
      <c r="U33" s="1355">
        <f t="shared" si="10"/>
        <v>0</v>
      </c>
      <c r="V33" s="1350">
        <v>50</v>
      </c>
      <c r="W33" s="1355">
        <f t="shared" si="11"/>
        <v>13000</v>
      </c>
      <c r="X33" s="1356">
        <f t="shared" si="12"/>
        <v>100</v>
      </c>
      <c r="Y33" s="1356">
        <f t="shared" si="13"/>
        <v>26000</v>
      </c>
      <c r="Z33" s="1387" t="s">
        <v>7799</v>
      </c>
      <c r="AA33" s="1358" t="s">
        <v>7685</v>
      </c>
      <c r="AC33" s="1487" t="str">
        <f t="shared" si="4"/>
        <v>ok</v>
      </c>
      <c r="AE33" s="1246"/>
    </row>
    <row r="34" spans="1:31" s="1359" customFormat="1" ht="20.25" customHeight="1" x14ac:dyDescent="0.25">
      <c r="A34" s="1279">
        <v>27</v>
      </c>
      <c r="B34" s="1372" t="s">
        <v>7997</v>
      </c>
      <c r="C34" s="1489" t="s">
        <v>7987</v>
      </c>
      <c r="D34" s="1350">
        <v>0</v>
      </c>
      <c r="E34" s="1385">
        <f t="shared" si="0"/>
        <v>0</v>
      </c>
      <c r="F34" s="1375">
        <v>0</v>
      </c>
      <c r="G34" s="1385">
        <f t="shared" si="1"/>
        <v>0</v>
      </c>
      <c r="H34" s="1375">
        <v>25</v>
      </c>
      <c r="I34" s="1356">
        <f t="shared" si="2"/>
        <v>1500</v>
      </c>
      <c r="J34" s="1375">
        <v>100</v>
      </c>
      <c r="K34" s="1356">
        <v>0</v>
      </c>
      <c r="L34" s="1350">
        <f t="shared" si="5"/>
        <v>0</v>
      </c>
      <c r="M34" s="1356">
        <f t="shared" si="6"/>
        <v>100</v>
      </c>
      <c r="N34" s="1356">
        <v>60</v>
      </c>
      <c r="O34" s="1353">
        <f t="shared" si="7"/>
        <v>6000</v>
      </c>
      <c r="P34" s="1350">
        <v>0</v>
      </c>
      <c r="Q34" s="1354">
        <f t="shared" si="8"/>
        <v>0</v>
      </c>
      <c r="R34" s="1350">
        <v>50</v>
      </c>
      <c r="S34" s="1355">
        <f t="shared" si="9"/>
        <v>3000</v>
      </c>
      <c r="T34" s="1350">
        <v>0</v>
      </c>
      <c r="U34" s="1355">
        <f t="shared" si="10"/>
        <v>0</v>
      </c>
      <c r="V34" s="1350">
        <v>50</v>
      </c>
      <c r="W34" s="1355">
        <f t="shared" si="11"/>
        <v>3000</v>
      </c>
      <c r="X34" s="1356">
        <f t="shared" si="12"/>
        <v>100</v>
      </c>
      <c r="Y34" s="1356">
        <f t="shared" si="13"/>
        <v>6000</v>
      </c>
      <c r="Z34" s="1387" t="s">
        <v>7799</v>
      </c>
      <c r="AA34" s="1358" t="s">
        <v>7685</v>
      </c>
      <c r="AC34" s="1487" t="str">
        <f t="shared" si="4"/>
        <v>ok</v>
      </c>
      <c r="AE34" s="1246"/>
    </row>
    <row r="35" spans="1:31" s="1359" customFormat="1" ht="20.25" customHeight="1" x14ac:dyDescent="0.25">
      <c r="A35" s="1477">
        <v>28</v>
      </c>
      <c r="B35" s="1372" t="s">
        <v>7998</v>
      </c>
      <c r="C35" s="1489" t="s">
        <v>7987</v>
      </c>
      <c r="D35" s="1350">
        <v>0</v>
      </c>
      <c r="E35" s="1385">
        <f t="shared" si="0"/>
        <v>0</v>
      </c>
      <c r="F35" s="1375">
        <v>1200</v>
      </c>
      <c r="G35" s="1385">
        <f t="shared" si="1"/>
        <v>36000</v>
      </c>
      <c r="H35" s="1375">
        <v>250</v>
      </c>
      <c r="I35" s="1356">
        <f t="shared" si="2"/>
        <v>7500</v>
      </c>
      <c r="J35" s="1375">
        <v>200</v>
      </c>
      <c r="K35" s="1356">
        <v>0</v>
      </c>
      <c r="L35" s="1350">
        <f t="shared" si="5"/>
        <v>0</v>
      </c>
      <c r="M35" s="1356">
        <f t="shared" si="6"/>
        <v>200</v>
      </c>
      <c r="N35" s="1356">
        <v>30</v>
      </c>
      <c r="O35" s="1353">
        <f t="shared" si="7"/>
        <v>6000</v>
      </c>
      <c r="P35" s="1350">
        <v>0</v>
      </c>
      <c r="Q35" s="1354">
        <f t="shared" si="8"/>
        <v>0</v>
      </c>
      <c r="R35" s="1350">
        <v>100</v>
      </c>
      <c r="S35" s="1355">
        <f t="shared" si="9"/>
        <v>3000</v>
      </c>
      <c r="T35" s="1350">
        <v>0</v>
      </c>
      <c r="U35" s="1355">
        <f t="shared" si="10"/>
        <v>0</v>
      </c>
      <c r="V35" s="1350">
        <v>100</v>
      </c>
      <c r="W35" s="1355">
        <f t="shared" si="11"/>
        <v>3000</v>
      </c>
      <c r="X35" s="1356">
        <f t="shared" si="12"/>
        <v>200</v>
      </c>
      <c r="Y35" s="1356">
        <f t="shared" si="13"/>
        <v>6000</v>
      </c>
      <c r="Z35" s="1387" t="s">
        <v>7799</v>
      </c>
      <c r="AA35" s="1358" t="s">
        <v>7685</v>
      </c>
      <c r="AC35" s="1487" t="str">
        <f t="shared" si="4"/>
        <v>ok</v>
      </c>
      <c r="AE35" s="1246"/>
    </row>
    <row r="36" spans="1:31" s="1359" customFormat="1" ht="20.25" customHeight="1" x14ac:dyDescent="0.25">
      <c r="A36" s="1279">
        <v>29</v>
      </c>
      <c r="B36" s="1372" t="s">
        <v>7999</v>
      </c>
      <c r="C36" s="1489" t="s">
        <v>7987</v>
      </c>
      <c r="D36" s="1350">
        <v>0</v>
      </c>
      <c r="E36" s="1385">
        <f t="shared" si="0"/>
        <v>0</v>
      </c>
      <c r="F36" s="1375">
        <v>1300</v>
      </c>
      <c r="G36" s="1385">
        <f t="shared" si="1"/>
        <v>152100</v>
      </c>
      <c r="H36" s="1375">
        <v>900</v>
      </c>
      <c r="I36" s="1356">
        <f t="shared" si="2"/>
        <v>105300</v>
      </c>
      <c r="J36" s="1375">
        <v>1200</v>
      </c>
      <c r="K36" s="1356">
        <v>0</v>
      </c>
      <c r="L36" s="1350">
        <f t="shared" si="5"/>
        <v>0</v>
      </c>
      <c r="M36" s="1356">
        <f t="shared" si="6"/>
        <v>1200</v>
      </c>
      <c r="N36" s="1356">
        <v>117</v>
      </c>
      <c r="O36" s="1353">
        <f t="shared" si="7"/>
        <v>140400</v>
      </c>
      <c r="P36" s="1350">
        <v>300</v>
      </c>
      <c r="Q36" s="1354">
        <f t="shared" si="8"/>
        <v>35100</v>
      </c>
      <c r="R36" s="1350">
        <v>300</v>
      </c>
      <c r="S36" s="1355">
        <f t="shared" si="9"/>
        <v>35100</v>
      </c>
      <c r="T36" s="1350">
        <v>300</v>
      </c>
      <c r="U36" s="1355">
        <f t="shared" si="10"/>
        <v>35100</v>
      </c>
      <c r="V36" s="1350">
        <v>300</v>
      </c>
      <c r="W36" s="1355">
        <f t="shared" si="11"/>
        <v>35100</v>
      </c>
      <c r="X36" s="1356">
        <f t="shared" si="12"/>
        <v>1200</v>
      </c>
      <c r="Y36" s="1356">
        <f t="shared" si="13"/>
        <v>140400</v>
      </c>
      <c r="Z36" s="1387" t="s">
        <v>7799</v>
      </c>
      <c r="AA36" s="1358" t="s">
        <v>7685</v>
      </c>
      <c r="AC36" s="1487" t="str">
        <f t="shared" si="4"/>
        <v>ok</v>
      </c>
      <c r="AE36" s="1246"/>
    </row>
    <row r="37" spans="1:31" s="1359" customFormat="1" ht="20.25" customHeight="1" x14ac:dyDescent="0.25">
      <c r="A37" s="1279">
        <v>30</v>
      </c>
      <c r="B37" s="1372" t="s">
        <v>8000</v>
      </c>
      <c r="C37" s="1489" t="s">
        <v>7987</v>
      </c>
      <c r="D37" s="1350">
        <v>330</v>
      </c>
      <c r="E37" s="1385">
        <f t="shared" si="0"/>
        <v>29700</v>
      </c>
      <c r="F37" s="1375">
        <v>300</v>
      </c>
      <c r="G37" s="1385">
        <f t="shared" si="1"/>
        <v>27000</v>
      </c>
      <c r="H37" s="1375">
        <v>75</v>
      </c>
      <c r="I37" s="1356">
        <f t="shared" si="2"/>
        <v>6750</v>
      </c>
      <c r="J37" s="1375">
        <v>100</v>
      </c>
      <c r="K37" s="1356">
        <v>25</v>
      </c>
      <c r="L37" s="1350">
        <f t="shared" si="5"/>
        <v>2250</v>
      </c>
      <c r="M37" s="1356">
        <f t="shared" si="6"/>
        <v>75</v>
      </c>
      <c r="N37" s="1356">
        <v>90</v>
      </c>
      <c r="O37" s="1353">
        <f t="shared" si="7"/>
        <v>6750</v>
      </c>
      <c r="P37" s="1350">
        <v>25</v>
      </c>
      <c r="Q37" s="1354">
        <f t="shared" si="8"/>
        <v>2250</v>
      </c>
      <c r="R37" s="1350">
        <v>25</v>
      </c>
      <c r="S37" s="1355">
        <f t="shared" si="9"/>
        <v>2250</v>
      </c>
      <c r="T37" s="1350">
        <v>25</v>
      </c>
      <c r="U37" s="1355">
        <f t="shared" si="10"/>
        <v>2250</v>
      </c>
      <c r="V37" s="1350">
        <v>0</v>
      </c>
      <c r="W37" s="1355">
        <f t="shared" si="11"/>
        <v>0</v>
      </c>
      <c r="X37" s="1356">
        <f t="shared" si="12"/>
        <v>75</v>
      </c>
      <c r="Y37" s="1356">
        <f t="shared" si="13"/>
        <v>6750</v>
      </c>
      <c r="Z37" s="1387" t="s">
        <v>7799</v>
      </c>
      <c r="AA37" s="1358" t="s">
        <v>7685</v>
      </c>
      <c r="AC37" s="1487" t="str">
        <f t="shared" si="4"/>
        <v>ok</v>
      </c>
      <c r="AE37" s="1246"/>
    </row>
    <row r="38" spans="1:31" s="1359" customFormat="1" ht="20.25" customHeight="1" x14ac:dyDescent="0.25">
      <c r="A38" s="1477">
        <v>31</v>
      </c>
      <c r="B38" s="1372" t="s">
        <v>8001</v>
      </c>
      <c r="C38" s="1489" t="s">
        <v>7987</v>
      </c>
      <c r="D38" s="1350">
        <v>1000</v>
      </c>
      <c r="E38" s="1385">
        <f t="shared" si="0"/>
        <v>14470</v>
      </c>
      <c r="F38" s="1375">
        <v>700</v>
      </c>
      <c r="G38" s="1385">
        <f t="shared" si="1"/>
        <v>10129</v>
      </c>
      <c r="H38" s="1375">
        <v>250</v>
      </c>
      <c r="I38" s="1356">
        <f t="shared" si="2"/>
        <v>3617.5</v>
      </c>
      <c r="J38" s="1375">
        <v>200</v>
      </c>
      <c r="K38" s="1356">
        <v>0</v>
      </c>
      <c r="L38" s="1350">
        <f t="shared" si="5"/>
        <v>0</v>
      </c>
      <c r="M38" s="1356">
        <f t="shared" si="6"/>
        <v>200</v>
      </c>
      <c r="N38" s="1356">
        <v>14.47</v>
      </c>
      <c r="O38" s="1353">
        <f t="shared" si="7"/>
        <v>2894</v>
      </c>
      <c r="P38" s="1350">
        <v>100</v>
      </c>
      <c r="Q38" s="1354">
        <f t="shared" si="8"/>
        <v>1447</v>
      </c>
      <c r="R38" s="1350">
        <v>0</v>
      </c>
      <c r="S38" s="1355">
        <f t="shared" si="9"/>
        <v>0</v>
      </c>
      <c r="T38" s="1350">
        <v>100</v>
      </c>
      <c r="U38" s="1355">
        <f t="shared" si="10"/>
        <v>1447</v>
      </c>
      <c r="V38" s="1350">
        <v>0</v>
      </c>
      <c r="W38" s="1355">
        <f t="shared" si="11"/>
        <v>0</v>
      </c>
      <c r="X38" s="1356">
        <f t="shared" si="12"/>
        <v>200</v>
      </c>
      <c r="Y38" s="1356">
        <f t="shared" si="13"/>
        <v>2894</v>
      </c>
      <c r="Z38" s="1387" t="s">
        <v>7799</v>
      </c>
      <c r="AA38" s="1358" t="s">
        <v>7685</v>
      </c>
      <c r="AC38" s="1487" t="str">
        <f t="shared" si="4"/>
        <v>ok</v>
      </c>
      <c r="AE38" s="1246"/>
    </row>
    <row r="39" spans="1:31" s="1359" customFormat="1" ht="20.25" customHeight="1" x14ac:dyDescent="0.25">
      <c r="A39" s="1279">
        <v>32</v>
      </c>
      <c r="B39" s="1372" t="s">
        <v>8002</v>
      </c>
      <c r="C39" s="1489" t="s">
        <v>7987</v>
      </c>
      <c r="D39" s="1350">
        <v>200</v>
      </c>
      <c r="E39" s="1385">
        <f t="shared" si="0"/>
        <v>3600</v>
      </c>
      <c r="F39" s="1375">
        <v>300</v>
      </c>
      <c r="G39" s="1385">
        <f t="shared" si="1"/>
        <v>5400</v>
      </c>
      <c r="H39" s="1375">
        <v>0</v>
      </c>
      <c r="I39" s="1356">
        <f t="shared" si="2"/>
        <v>0</v>
      </c>
      <c r="J39" s="1375">
        <v>300</v>
      </c>
      <c r="K39" s="1356">
        <v>0</v>
      </c>
      <c r="L39" s="1350">
        <f t="shared" si="5"/>
        <v>0</v>
      </c>
      <c r="M39" s="1356">
        <f t="shared" si="6"/>
        <v>300</v>
      </c>
      <c r="N39" s="1356">
        <v>18</v>
      </c>
      <c r="O39" s="1353">
        <f t="shared" si="7"/>
        <v>5400</v>
      </c>
      <c r="P39" s="1350">
        <v>100</v>
      </c>
      <c r="Q39" s="1354">
        <f t="shared" si="8"/>
        <v>1800</v>
      </c>
      <c r="R39" s="1350">
        <v>100</v>
      </c>
      <c r="S39" s="1355">
        <f t="shared" si="9"/>
        <v>1800</v>
      </c>
      <c r="T39" s="1350">
        <v>100</v>
      </c>
      <c r="U39" s="1355">
        <f t="shared" si="10"/>
        <v>1800</v>
      </c>
      <c r="V39" s="1350">
        <v>0</v>
      </c>
      <c r="W39" s="1355">
        <f t="shared" si="11"/>
        <v>0</v>
      </c>
      <c r="X39" s="1356">
        <f t="shared" si="12"/>
        <v>300</v>
      </c>
      <c r="Y39" s="1356">
        <f t="shared" si="13"/>
        <v>5400</v>
      </c>
      <c r="Z39" s="1387" t="s">
        <v>7799</v>
      </c>
      <c r="AA39" s="1358" t="s">
        <v>7685</v>
      </c>
      <c r="AC39" s="1487" t="str">
        <f t="shared" si="4"/>
        <v>ok</v>
      </c>
      <c r="AE39" s="1246"/>
    </row>
    <row r="40" spans="1:31" s="1359" customFormat="1" ht="20.25" customHeight="1" x14ac:dyDescent="0.25">
      <c r="A40" s="1279">
        <v>33</v>
      </c>
      <c r="B40" s="1372" t="s">
        <v>8003</v>
      </c>
      <c r="C40" s="1489" t="s">
        <v>7987</v>
      </c>
      <c r="D40" s="1350">
        <v>350</v>
      </c>
      <c r="E40" s="1385">
        <f t="shared" si="0"/>
        <v>14000</v>
      </c>
      <c r="F40" s="1375">
        <v>250</v>
      </c>
      <c r="G40" s="1385">
        <f t="shared" si="1"/>
        <v>10000</v>
      </c>
      <c r="H40" s="1375">
        <v>180</v>
      </c>
      <c r="I40" s="1356">
        <f t="shared" si="2"/>
        <v>7200</v>
      </c>
      <c r="J40" s="1375">
        <v>300</v>
      </c>
      <c r="K40" s="1356">
        <v>80</v>
      </c>
      <c r="L40" s="1350">
        <f t="shared" si="5"/>
        <v>3200</v>
      </c>
      <c r="M40" s="1356">
        <f t="shared" si="6"/>
        <v>220</v>
      </c>
      <c r="N40" s="1356">
        <v>40</v>
      </c>
      <c r="O40" s="1353">
        <f t="shared" si="7"/>
        <v>8800</v>
      </c>
      <c r="P40" s="1350">
        <v>0</v>
      </c>
      <c r="Q40" s="1354">
        <f t="shared" si="8"/>
        <v>0</v>
      </c>
      <c r="R40" s="1350">
        <v>120</v>
      </c>
      <c r="S40" s="1355">
        <f t="shared" si="9"/>
        <v>4800</v>
      </c>
      <c r="T40" s="1350">
        <v>0</v>
      </c>
      <c r="U40" s="1355">
        <f t="shared" si="10"/>
        <v>0</v>
      </c>
      <c r="V40" s="1350">
        <v>100</v>
      </c>
      <c r="W40" s="1355">
        <f t="shared" si="11"/>
        <v>4000</v>
      </c>
      <c r="X40" s="1356">
        <f t="shared" si="12"/>
        <v>220</v>
      </c>
      <c r="Y40" s="1356">
        <f t="shared" si="13"/>
        <v>8800</v>
      </c>
      <c r="Z40" s="1387" t="s">
        <v>7799</v>
      </c>
      <c r="AA40" s="1358" t="s">
        <v>7685</v>
      </c>
      <c r="AC40" s="1487" t="str">
        <f t="shared" si="4"/>
        <v>ok</v>
      </c>
      <c r="AE40" s="1246"/>
    </row>
    <row r="41" spans="1:31" s="1359" customFormat="1" ht="20.25" customHeight="1" x14ac:dyDescent="0.25">
      <c r="A41" s="1477">
        <v>34</v>
      </c>
      <c r="B41" s="1372" t="s">
        <v>8004</v>
      </c>
      <c r="C41" s="1489" t="s">
        <v>7987</v>
      </c>
      <c r="D41" s="1350">
        <v>560</v>
      </c>
      <c r="E41" s="1385">
        <f t="shared" si="0"/>
        <v>43680</v>
      </c>
      <c r="F41" s="1375">
        <v>620</v>
      </c>
      <c r="G41" s="1385">
        <f t="shared" si="1"/>
        <v>48360</v>
      </c>
      <c r="H41" s="1375">
        <v>1000</v>
      </c>
      <c r="I41" s="1356">
        <f t="shared" si="2"/>
        <v>78000</v>
      </c>
      <c r="J41" s="1375">
        <v>1300</v>
      </c>
      <c r="K41" s="1356">
        <v>100</v>
      </c>
      <c r="L41" s="1350">
        <f t="shared" si="5"/>
        <v>7800</v>
      </c>
      <c r="M41" s="1356">
        <f t="shared" si="6"/>
        <v>1200</v>
      </c>
      <c r="N41" s="1356">
        <v>78</v>
      </c>
      <c r="O41" s="1353">
        <f t="shared" si="7"/>
        <v>93600</v>
      </c>
      <c r="P41" s="1350">
        <v>300</v>
      </c>
      <c r="Q41" s="1354">
        <f t="shared" si="8"/>
        <v>23400</v>
      </c>
      <c r="R41" s="1350">
        <v>300</v>
      </c>
      <c r="S41" s="1355">
        <f t="shared" si="9"/>
        <v>23400</v>
      </c>
      <c r="T41" s="1350">
        <v>300</v>
      </c>
      <c r="U41" s="1355">
        <f t="shared" si="10"/>
        <v>23400</v>
      </c>
      <c r="V41" s="1350">
        <v>300</v>
      </c>
      <c r="W41" s="1355">
        <f t="shared" si="11"/>
        <v>23400</v>
      </c>
      <c r="X41" s="1356">
        <f t="shared" si="12"/>
        <v>1200</v>
      </c>
      <c r="Y41" s="1356">
        <f t="shared" si="13"/>
        <v>93600</v>
      </c>
      <c r="Z41" s="1387" t="s">
        <v>7799</v>
      </c>
      <c r="AA41" s="1358" t="s">
        <v>7685</v>
      </c>
      <c r="AC41" s="1487" t="str">
        <f t="shared" si="4"/>
        <v>ok</v>
      </c>
      <c r="AE41" s="1246"/>
    </row>
    <row r="42" spans="1:31" s="1359" customFormat="1" ht="20.25" customHeight="1" x14ac:dyDescent="0.25">
      <c r="A42" s="1279">
        <v>35</v>
      </c>
      <c r="B42" s="1372" t="s">
        <v>8005</v>
      </c>
      <c r="C42" s="1489" t="s">
        <v>7987</v>
      </c>
      <c r="D42" s="1350">
        <v>560</v>
      </c>
      <c r="E42" s="1385">
        <f t="shared" si="0"/>
        <v>43680</v>
      </c>
      <c r="F42" s="1375">
        <v>620</v>
      </c>
      <c r="G42" s="1385">
        <f t="shared" si="1"/>
        <v>48360</v>
      </c>
      <c r="H42" s="1375">
        <v>1000</v>
      </c>
      <c r="I42" s="1356">
        <f t="shared" si="2"/>
        <v>78000</v>
      </c>
      <c r="J42" s="1375">
        <v>1300</v>
      </c>
      <c r="K42" s="1356">
        <v>100</v>
      </c>
      <c r="L42" s="1350">
        <f t="shared" si="5"/>
        <v>7800</v>
      </c>
      <c r="M42" s="1356">
        <f t="shared" si="6"/>
        <v>1200</v>
      </c>
      <c r="N42" s="1356">
        <v>78</v>
      </c>
      <c r="O42" s="1353">
        <f t="shared" si="7"/>
        <v>93600</v>
      </c>
      <c r="P42" s="1350">
        <v>300</v>
      </c>
      <c r="Q42" s="1354">
        <f t="shared" si="8"/>
        <v>23400</v>
      </c>
      <c r="R42" s="1350">
        <v>300</v>
      </c>
      <c r="S42" s="1355">
        <f t="shared" si="9"/>
        <v>23400</v>
      </c>
      <c r="T42" s="1350">
        <v>300</v>
      </c>
      <c r="U42" s="1355">
        <f t="shared" si="10"/>
        <v>23400</v>
      </c>
      <c r="V42" s="1350">
        <v>300</v>
      </c>
      <c r="W42" s="1355">
        <f t="shared" si="11"/>
        <v>23400</v>
      </c>
      <c r="X42" s="1356">
        <f t="shared" si="12"/>
        <v>1200</v>
      </c>
      <c r="Y42" s="1356">
        <f t="shared" si="13"/>
        <v>93600</v>
      </c>
      <c r="Z42" s="1387" t="s">
        <v>7799</v>
      </c>
      <c r="AA42" s="1358" t="s">
        <v>7685</v>
      </c>
      <c r="AC42" s="1487" t="str">
        <f t="shared" si="4"/>
        <v>ok</v>
      </c>
      <c r="AE42" s="1246"/>
    </row>
    <row r="43" spans="1:31" s="1359" customFormat="1" ht="20.25" customHeight="1" x14ac:dyDescent="0.25">
      <c r="A43" s="1279">
        <v>36</v>
      </c>
      <c r="B43" s="1372" t="s">
        <v>8006</v>
      </c>
      <c r="C43" s="1489" t="s">
        <v>7987</v>
      </c>
      <c r="D43" s="1350">
        <v>560</v>
      </c>
      <c r="E43" s="1385">
        <f t="shared" si="0"/>
        <v>43680</v>
      </c>
      <c r="F43" s="1375">
        <v>620</v>
      </c>
      <c r="G43" s="1385">
        <f t="shared" si="1"/>
        <v>48360</v>
      </c>
      <c r="H43" s="1375">
        <v>1000</v>
      </c>
      <c r="I43" s="1356">
        <f t="shared" si="2"/>
        <v>78000</v>
      </c>
      <c r="J43" s="1375">
        <v>1300</v>
      </c>
      <c r="K43" s="1356">
        <v>100</v>
      </c>
      <c r="L43" s="1350">
        <f t="shared" si="5"/>
        <v>7800</v>
      </c>
      <c r="M43" s="1356">
        <f t="shared" si="6"/>
        <v>1200</v>
      </c>
      <c r="N43" s="1356">
        <v>78</v>
      </c>
      <c r="O43" s="1353">
        <f t="shared" si="7"/>
        <v>93600</v>
      </c>
      <c r="P43" s="1350">
        <v>300</v>
      </c>
      <c r="Q43" s="1354">
        <f t="shared" si="8"/>
        <v>23400</v>
      </c>
      <c r="R43" s="1350">
        <v>300</v>
      </c>
      <c r="S43" s="1355">
        <f t="shared" si="9"/>
        <v>23400</v>
      </c>
      <c r="T43" s="1350">
        <v>300</v>
      </c>
      <c r="U43" s="1355">
        <f t="shared" si="10"/>
        <v>23400</v>
      </c>
      <c r="V43" s="1350">
        <v>300</v>
      </c>
      <c r="W43" s="1355">
        <f t="shared" si="11"/>
        <v>23400</v>
      </c>
      <c r="X43" s="1356">
        <f t="shared" si="12"/>
        <v>1200</v>
      </c>
      <c r="Y43" s="1356">
        <f t="shared" si="13"/>
        <v>93600</v>
      </c>
      <c r="Z43" s="1387" t="s">
        <v>7799</v>
      </c>
      <c r="AA43" s="1358" t="s">
        <v>7685</v>
      </c>
      <c r="AC43" s="1487" t="str">
        <f t="shared" si="4"/>
        <v>ok</v>
      </c>
      <c r="AE43" s="1246"/>
    </row>
    <row r="44" spans="1:31" s="1359" customFormat="1" ht="20.25" customHeight="1" x14ac:dyDescent="0.25">
      <c r="A44" s="1477">
        <v>37</v>
      </c>
      <c r="B44" s="1372" t="s">
        <v>8007</v>
      </c>
      <c r="C44" s="1489" t="s">
        <v>7987</v>
      </c>
      <c r="D44" s="1350">
        <v>0</v>
      </c>
      <c r="E44" s="1385">
        <f t="shared" si="0"/>
        <v>0</v>
      </c>
      <c r="F44" s="1375">
        <v>0</v>
      </c>
      <c r="G44" s="1385">
        <f t="shared" si="1"/>
        <v>0</v>
      </c>
      <c r="H44" s="1375">
        <v>1300</v>
      </c>
      <c r="I44" s="1356">
        <f t="shared" si="2"/>
        <v>78000</v>
      </c>
      <c r="J44" s="1375">
        <v>1300</v>
      </c>
      <c r="K44" s="1356">
        <v>400</v>
      </c>
      <c r="L44" s="1350">
        <f t="shared" si="5"/>
        <v>24000</v>
      </c>
      <c r="M44" s="1356">
        <f t="shared" si="6"/>
        <v>900</v>
      </c>
      <c r="N44" s="1356">
        <v>60</v>
      </c>
      <c r="O44" s="1353">
        <f t="shared" si="7"/>
        <v>54000</v>
      </c>
      <c r="P44" s="1350">
        <v>200</v>
      </c>
      <c r="Q44" s="1354">
        <f t="shared" si="8"/>
        <v>12000</v>
      </c>
      <c r="R44" s="1350">
        <v>200</v>
      </c>
      <c r="S44" s="1355">
        <f t="shared" si="9"/>
        <v>12000</v>
      </c>
      <c r="T44" s="1350">
        <v>300</v>
      </c>
      <c r="U44" s="1355">
        <f t="shared" si="10"/>
        <v>18000</v>
      </c>
      <c r="V44" s="1350">
        <v>200</v>
      </c>
      <c r="W44" s="1355">
        <f t="shared" si="11"/>
        <v>12000</v>
      </c>
      <c r="X44" s="1356">
        <f t="shared" si="12"/>
        <v>900</v>
      </c>
      <c r="Y44" s="1356">
        <f t="shared" si="13"/>
        <v>54000</v>
      </c>
      <c r="Z44" s="1387" t="s">
        <v>7799</v>
      </c>
      <c r="AA44" s="1358" t="s">
        <v>7685</v>
      </c>
      <c r="AC44" s="1487" t="str">
        <f t="shared" si="4"/>
        <v>ok</v>
      </c>
      <c r="AE44" s="1246"/>
    </row>
    <row r="45" spans="1:31" s="1359" customFormat="1" ht="20.25" customHeight="1" x14ac:dyDescent="0.25">
      <c r="A45" s="1279">
        <v>38</v>
      </c>
      <c r="B45" s="1372" t="s">
        <v>8008</v>
      </c>
      <c r="C45" s="1489" t="s">
        <v>7987</v>
      </c>
      <c r="D45" s="1350">
        <v>0</v>
      </c>
      <c r="E45" s="1385">
        <f t="shared" si="0"/>
        <v>0</v>
      </c>
      <c r="F45" s="1375">
        <v>0</v>
      </c>
      <c r="G45" s="1385">
        <f t="shared" si="1"/>
        <v>0</v>
      </c>
      <c r="H45" s="1375">
        <v>800</v>
      </c>
      <c r="I45" s="1356">
        <f t="shared" si="2"/>
        <v>72000</v>
      </c>
      <c r="J45" s="1375">
        <v>1050</v>
      </c>
      <c r="K45" s="1356">
        <v>50</v>
      </c>
      <c r="L45" s="1350">
        <f t="shared" si="5"/>
        <v>4500</v>
      </c>
      <c r="M45" s="1356">
        <f t="shared" si="6"/>
        <v>1000</v>
      </c>
      <c r="N45" s="1356">
        <v>90</v>
      </c>
      <c r="O45" s="1353">
        <f t="shared" si="7"/>
        <v>90000</v>
      </c>
      <c r="P45" s="1350">
        <v>200</v>
      </c>
      <c r="Q45" s="1354">
        <f t="shared" si="8"/>
        <v>18000</v>
      </c>
      <c r="R45" s="1350">
        <v>300</v>
      </c>
      <c r="S45" s="1355">
        <f t="shared" si="9"/>
        <v>27000</v>
      </c>
      <c r="T45" s="1350">
        <v>200</v>
      </c>
      <c r="U45" s="1355">
        <f t="shared" si="10"/>
        <v>18000</v>
      </c>
      <c r="V45" s="1350">
        <v>300</v>
      </c>
      <c r="W45" s="1355">
        <f t="shared" si="11"/>
        <v>27000</v>
      </c>
      <c r="X45" s="1356">
        <f t="shared" si="12"/>
        <v>1000</v>
      </c>
      <c r="Y45" s="1356">
        <f t="shared" si="13"/>
        <v>90000</v>
      </c>
      <c r="Z45" s="1387" t="s">
        <v>7799</v>
      </c>
      <c r="AA45" s="1358" t="s">
        <v>7685</v>
      </c>
      <c r="AC45" s="1487" t="str">
        <f t="shared" si="4"/>
        <v>ok</v>
      </c>
      <c r="AE45" s="1246"/>
    </row>
    <row r="46" spans="1:31" s="1359" customFormat="1" ht="20.25" customHeight="1" x14ac:dyDescent="0.25">
      <c r="A46" s="1279">
        <v>39</v>
      </c>
      <c r="B46" s="1372" t="s">
        <v>8009</v>
      </c>
      <c r="C46" s="1489" t="s">
        <v>7987</v>
      </c>
      <c r="D46" s="1350">
        <v>0</v>
      </c>
      <c r="E46" s="1385">
        <f t="shared" si="0"/>
        <v>0</v>
      </c>
      <c r="F46" s="1375">
        <v>0</v>
      </c>
      <c r="G46" s="1385">
        <f t="shared" si="1"/>
        <v>0</v>
      </c>
      <c r="H46" s="1375">
        <v>400</v>
      </c>
      <c r="I46" s="1356">
        <f t="shared" si="2"/>
        <v>24000</v>
      </c>
      <c r="J46" s="1375">
        <v>500</v>
      </c>
      <c r="K46" s="1356">
        <v>0</v>
      </c>
      <c r="L46" s="1350">
        <f t="shared" si="5"/>
        <v>0</v>
      </c>
      <c r="M46" s="1356">
        <f t="shared" si="6"/>
        <v>500</v>
      </c>
      <c r="N46" s="1356">
        <v>60</v>
      </c>
      <c r="O46" s="1353">
        <f t="shared" si="7"/>
        <v>30000</v>
      </c>
      <c r="P46" s="1350">
        <v>200</v>
      </c>
      <c r="Q46" s="1354">
        <f t="shared" si="8"/>
        <v>12000</v>
      </c>
      <c r="R46" s="1350">
        <v>100</v>
      </c>
      <c r="S46" s="1355">
        <f t="shared" si="9"/>
        <v>6000</v>
      </c>
      <c r="T46" s="1350">
        <v>100</v>
      </c>
      <c r="U46" s="1355">
        <f t="shared" si="10"/>
        <v>6000</v>
      </c>
      <c r="V46" s="1350">
        <v>100</v>
      </c>
      <c r="W46" s="1355">
        <f t="shared" si="11"/>
        <v>6000</v>
      </c>
      <c r="X46" s="1356">
        <f t="shared" si="12"/>
        <v>500</v>
      </c>
      <c r="Y46" s="1356">
        <f t="shared" si="13"/>
        <v>30000</v>
      </c>
      <c r="Z46" s="1387" t="s">
        <v>7799</v>
      </c>
      <c r="AA46" s="1358" t="s">
        <v>7685</v>
      </c>
      <c r="AC46" s="1487" t="str">
        <f t="shared" si="4"/>
        <v>ok</v>
      </c>
      <c r="AE46" s="1246"/>
    </row>
    <row r="47" spans="1:31" s="1505" customFormat="1" ht="20.25" customHeight="1" x14ac:dyDescent="0.25">
      <c r="A47" s="1493">
        <v>40</v>
      </c>
      <c r="B47" s="1494" t="s">
        <v>8010</v>
      </c>
      <c r="C47" s="1495" t="s">
        <v>7987</v>
      </c>
      <c r="D47" s="1496">
        <v>0</v>
      </c>
      <c r="E47" s="1497">
        <f t="shared" si="0"/>
        <v>0</v>
      </c>
      <c r="F47" s="1498">
        <v>0</v>
      </c>
      <c r="G47" s="1497">
        <f t="shared" si="1"/>
        <v>0</v>
      </c>
      <c r="H47" s="1498">
        <v>0</v>
      </c>
      <c r="I47" s="1499">
        <f t="shared" si="2"/>
        <v>0</v>
      </c>
      <c r="J47" s="1498">
        <v>4000</v>
      </c>
      <c r="K47" s="1499">
        <v>0</v>
      </c>
      <c r="L47" s="1496">
        <v>0</v>
      </c>
      <c r="M47" s="1499">
        <f t="shared" si="6"/>
        <v>4000</v>
      </c>
      <c r="N47" s="1499">
        <v>8</v>
      </c>
      <c r="O47" s="1500">
        <f t="shared" si="7"/>
        <v>32000</v>
      </c>
      <c r="P47" s="1496">
        <v>1500</v>
      </c>
      <c r="Q47" s="1501">
        <f t="shared" si="8"/>
        <v>12000</v>
      </c>
      <c r="R47" s="1496">
        <v>1000</v>
      </c>
      <c r="S47" s="1502">
        <f t="shared" si="9"/>
        <v>8000</v>
      </c>
      <c r="T47" s="1496">
        <v>1000</v>
      </c>
      <c r="U47" s="1502">
        <f t="shared" si="10"/>
        <v>8000</v>
      </c>
      <c r="V47" s="1496">
        <v>500</v>
      </c>
      <c r="W47" s="1502">
        <f t="shared" si="11"/>
        <v>4000</v>
      </c>
      <c r="X47" s="1499">
        <f t="shared" si="12"/>
        <v>4000</v>
      </c>
      <c r="Y47" s="1499">
        <f t="shared" si="13"/>
        <v>32000</v>
      </c>
      <c r="Z47" s="1503" t="s">
        <v>7799</v>
      </c>
      <c r="AA47" s="1504" t="s">
        <v>7685</v>
      </c>
      <c r="AC47" s="1506" t="str">
        <f t="shared" si="4"/>
        <v>ok</v>
      </c>
      <c r="AE47" s="1507"/>
    </row>
    <row r="48" spans="1:31" s="1505" customFormat="1" ht="20.25" customHeight="1" x14ac:dyDescent="0.25">
      <c r="A48" s="1508">
        <v>41</v>
      </c>
      <c r="B48" s="1494" t="s">
        <v>8011</v>
      </c>
      <c r="C48" s="1495" t="s">
        <v>7987</v>
      </c>
      <c r="D48" s="1496">
        <v>0</v>
      </c>
      <c r="E48" s="1497">
        <f t="shared" si="0"/>
        <v>0</v>
      </c>
      <c r="F48" s="1498"/>
      <c r="G48" s="1497">
        <f t="shared" si="1"/>
        <v>0</v>
      </c>
      <c r="H48" s="1498">
        <v>0</v>
      </c>
      <c r="I48" s="1499">
        <f t="shared" si="2"/>
        <v>0</v>
      </c>
      <c r="J48" s="1498">
        <v>5000</v>
      </c>
      <c r="K48" s="1499">
        <v>0</v>
      </c>
      <c r="L48" s="1496">
        <v>0</v>
      </c>
      <c r="M48" s="1499">
        <f t="shared" si="6"/>
        <v>5000</v>
      </c>
      <c r="N48" s="1499">
        <v>12</v>
      </c>
      <c r="O48" s="1500">
        <f t="shared" si="7"/>
        <v>60000</v>
      </c>
      <c r="P48" s="1496">
        <v>2500</v>
      </c>
      <c r="Q48" s="1501">
        <f t="shared" si="8"/>
        <v>30000</v>
      </c>
      <c r="R48" s="1496">
        <v>0</v>
      </c>
      <c r="S48" s="1502">
        <f t="shared" si="9"/>
        <v>0</v>
      </c>
      <c r="T48" s="1496">
        <v>2500</v>
      </c>
      <c r="U48" s="1502">
        <f t="shared" si="10"/>
        <v>30000</v>
      </c>
      <c r="V48" s="1496">
        <v>0</v>
      </c>
      <c r="W48" s="1502">
        <f t="shared" si="11"/>
        <v>0</v>
      </c>
      <c r="X48" s="1499">
        <f t="shared" si="12"/>
        <v>5000</v>
      </c>
      <c r="Y48" s="1499">
        <f t="shared" si="13"/>
        <v>60000</v>
      </c>
      <c r="Z48" s="1503" t="s">
        <v>7799</v>
      </c>
      <c r="AA48" s="1504" t="s">
        <v>7685</v>
      </c>
      <c r="AC48" s="1506" t="str">
        <f t="shared" si="4"/>
        <v>ok</v>
      </c>
      <c r="AE48" s="1507"/>
    </row>
    <row r="49" spans="1:31" s="1505" customFormat="1" ht="30.75" customHeight="1" x14ac:dyDescent="0.25">
      <c r="A49" s="1508">
        <v>42</v>
      </c>
      <c r="B49" s="1494" t="s">
        <v>8012</v>
      </c>
      <c r="C49" s="1495" t="s">
        <v>7987</v>
      </c>
      <c r="D49" s="1496">
        <v>0</v>
      </c>
      <c r="E49" s="1497">
        <f t="shared" si="0"/>
        <v>0</v>
      </c>
      <c r="F49" s="1498"/>
      <c r="G49" s="1497">
        <f t="shared" si="1"/>
        <v>0</v>
      </c>
      <c r="H49" s="1498">
        <v>0</v>
      </c>
      <c r="I49" s="1499">
        <f t="shared" si="2"/>
        <v>0</v>
      </c>
      <c r="J49" s="1498">
        <v>4000</v>
      </c>
      <c r="K49" s="1499">
        <v>0</v>
      </c>
      <c r="L49" s="1496">
        <v>0</v>
      </c>
      <c r="M49" s="1499">
        <f t="shared" si="6"/>
        <v>4000</v>
      </c>
      <c r="N49" s="1499">
        <v>16.059999999999999</v>
      </c>
      <c r="O49" s="1500">
        <f t="shared" si="7"/>
        <v>64239.999999999993</v>
      </c>
      <c r="P49" s="1496">
        <v>1500</v>
      </c>
      <c r="Q49" s="1501">
        <f t="shared" si="8"/>
        <v>24089.999999999996</v>
      </c>
      <c r="R49" s="1496">
        <v>1000</v>
      </c>
      <c r="S49" s="1502">
        <f t="shared" si="9"/>
        <v>16059.999999999998</v>
      </c>
      <c r="T49" s="1496">
        <v>1000</v>
      </c>
      <c r="U49" s="1502">
        <f t="shared" si="10"/>
        <v>16059.999999999998</v>
      </c>
      <c r="V49" s="1496">
        <v>500</v>
      </c>
      <c r="W49" s="1502">
        <f t="shared" si="11"/>
        <v>8029.9999999999991</v>
      </c>
      <c r="X49" s="1499">
        <f t="shared" si="12"/>
        <v>4000</v>
      </c>
      <c r="Y49" s="1499">
        <f t="shared" si="13"/>
        <v>64239.999999999993</v>
      </c>
      <c r="Z49" s="1503" t="s">
        <v>7799</v>
      </c>
      <c r="AA49" s="1504" t="s">
        <v>7685</v>
      </c>
      <c r="AC49" s="1506" t="str">
        <f t="shared" si="4"/>
        <v>ok</v>
      </c>
      <c r="AE49" s="1507"/>
    </row>
    <row r="50" spans="1:31" s="1505" customFormat="1" ht="33.75" customHeight="1" x14ac:dyDescent="0.25">
      <c r="A50" s="1493">
        <v>43</v>
      </c>
      <c r="B50" s="1494" t="s">
        <v>8013</v>
      </c>
      <c r="C50" s="1495" t="s">
        <v>7987</v>
      </c>
      <c r="D50" s="1496">
        <v>0</v>
      </c>
      <c r="E50" s="1497">
        <f t="shared" si="0"/>
        <v>0</v>
      </c>
      <c r="F50" s="1498"/>
      <c r="G50" s="1497">
        <f t="shared" si="1"/>
        <v>0</v>
      </c>
      <c r="H50" s="1498">
        <v>0</v>
      </c>
      <c r="I50" s="1499">
        <f t="shared" si="2"/>
        <v>0</v>
      </c>
      <c r="J50" s="1498">
        <v>4000</v>
      </c>
      <c r="K50" s="1499">
        <v>0</v>
      </c>
      <c r="L50" s="1496">
        <v>0</v>
      </c>
      <c r="M50" s="1499">
        <f t="shared" si="6"/>
        <v>4000</v>
      </c>
      <c r="N50" s="1499">
        <v>9.8800000000000008</v>
      </c>
      <c r="O50" s="1500">
        <f t="shared" si="7"/>
        <v>39520</v>
      </c>
      <c r="P50" s="1496">
        <v>1500</v>
      </c>
      <c r="Q50" s="1501">
        <f t="shared" si="8"/>
        <v>14820.000000000002</v>
      </c>
      <c r="R50" s="1496">
        <v>1000</v>
      </c>
      <c r="S50" s="1502">
        <f t="shared" si="9"/>
        <v>9880</v>
      </c>
      <c r="T50" s="1496">
        <v>1000</v>
      </c>
      <c r="U50" s="1502">
        <f t="shared" si="10"/>
        <v>9880</v>
      </c>
      <c r="V50" s="1496">
        <v>500</v>
      </c>
      <c r="W50" s="1502">
        <f t="shared" si="11"/>
        <v>4940</v>
      </c>
      <c r="X50" s="1499">
        <f t="shared" si="12"/>
        <v>4000</v>
      </c>
      <c r="Y50" s="1499">
        <f t="shared" si="13"/>
        <v>39520</v>
      </c>
      <c r="Z50" s="1503" t="s">
        <v>7799</v>
      </c>
      <c r="AA50" s="1504" t="s">
        <v>7685</v>
      </c>
      <c r="AC50" s="1506" t="str">
        <f t="shared" si="4"/>
        <v>ok</v>
      </c>
      <c r="AE50" s="1507"/>
    </row>
    <row r="51" spans="1:31" s="1505" customFormat="1" ht="39.75" customHeight="1" x14ac:dyDescent="0.25">
      <c r="A51" s="1508">
        <v>44</v>
      </c>
      <c r="B51" s="1494" t="s">
        <v>8014</v>
      </c>
      <c r="C51" s="1495" t="s">
        <v>7987</v>
      </c>
      <c r="D51" s="1496">
        <v>0</v>
      </c>
      <c r="E51" s="1497">
        <f t="shared" si="0"/>
        <v>0</v>
      </c>
      <c r="F51" s="1498"/>
      <c r="G51" s="1497">
        <f t="shared" si="1"/>
        <v>0</v>
      </c>
      <c r="H51" s="1498">
        <v>0</v>
      </c>
      <c r="I51" s="1499">
        <f t="shared" si="2"/>
        <v>0</v>
      </c>
      <c r="J51" s="1498">
        <v>4000</v>
      </c>
      <c r="K51" s="1499">
        <v>0</v>
      </c>
      <c r="L51" s="1496">
        <v>0</v>
      </c>
      <c r="M51" s="1499">
        <f t="shared" si="6"/>
        <v>4000</v>
      </c>
      <c r="N51" s="1499">
        <v>11.31</v>
      </c>
      <c r="O51" s="1500">
        <f t="shared" si="7"/>
        <v>45240</v>
      </c>
      <c r="P51" s="1496">
        <v>1500</v>
      </c>
      <c r="Q51" s="1501">
        <f t="shared" si="8"/>
        <v>16965</v>
      </c>
      <c r="R51" s="1496">
        <v>1000</v>
      </c>
      <c r="S51" s="1502">
        <f t="shared" si="9"/>
        <v>11310</v>
      </c>
      <c r="T51" s="1496">
        <v>1000</v>
      </c>
      <c r="U51" s="1502">
        <f t="shared" si="10"/>
        <v>11310</v>
      </c>
      <c r="V51" s="1496">
        <v>500</v>
      </c>
      <c r="W51" s="1502">
        <f t="shared" si="11"/>
        <v>5655</v>
      </c>
      <c r="X51" s="1499">
        <f t="shared" si="12"/>
        <v>4000</v>
      </c>
      <c r="Y51" s="1499">
        <f t="shared" si="13"/>
        <v>45240</v>
      </c>
      <c r="Z51" s="1503" t="s">
        <v>7799</v>
      </c>
      <c r="AA51" s="1504" t="s">
        <v>7685</v>
      </c>
      <c r="AC51" s="1506" t="str">
        <f t="shared" si="4"/>
        <v>ok</v>
      </c>
      <c r="AE51" s="1507"/>
    </row>
    <row r="52" spans="1:31" s="1505" customFormat="1" ht="33.75" customHeight="1" x14ac:dyDescent="0.25">
      <c r="A52" s="1508">
        <v>45</v>
      </c>
      <c r="B52" s="1494" t="s">
        <v>8015</v>
      </c>
      <c r="C52" s="1495" t="s">
        <v>7987</v>
      </c>
      <c r="D52" s="1496">
        <v>0</v>
      </c>
      <c r="E52" s="1497">
        <f t="shared" si="0"/>
        <v>0</v>
      </c>
      <c r="F52" s="1498"/>
      <c r="G52" s="1497">
        <f t="shared" si="1"/>
        <v>0</v>
      </c>
      <c r="H52" s="1498">
        <v>0</v>
      </c>
      <c r="I52" s="1499">
        <f t="shared" si="2"/>
        <v>0</v>
      </c>
      <c r="J52" s="1498">
        <v>4000</v>
      </c>
      <c r="K52" s="1499">
        <v>0</v>
      </c>
      <c r="L52" s="1496">
        <v>0</v>
      </c>
      <c r="M52" s="1499">
        <f t="shared" si="6"/>
        <v>4000</v>
      </c>
      <c r="N52" s="1499">
        <v>22.15</v>
      </c>
      <c r="O52" s="1500">
        <f t="shared" si="7"/>
        <v>88600</v>
      </c>
      <c r="P52" s="1496">
        <v>1500</v>
      </c>
      <c r="Q52" s="1501">
        <f t="shared" si="8"/>
        <v>33225</v>
      </c>
      <c r="R52" s="1496">
        <v>1000</v>
      </c>
      <c r="S52" s="1502">
        <f t="shared" si="9"/>
        <v>22150</v>
      </c>
      <c r="T52" s="1496">
        <v>1000</v>
      </c>
      <c r="U52" s="1502">
        <f t="shared" si="10"/>
        <v>22150</v>
      </c>
      <c r="V52" s="1496">
        <v>500</v>
      </c>
      <c r="W52" s="1502">
        <f t="shared" si="11"/>
        <v>11075</v>
      </c>
      <c r="X52" s="1499">
        <f t="shared" si="12"/>
        <v>4000</v>
      </c>
      <c r="Y52" s="1499">
        <f t="shared" si="13"/>
        <v>88600</v>
      </c>
      <c r="Z52" s="1503" t="s">
        <v>7799</v>
      </c>
      <c r="AA52" s="1504" t="s">
        <v>7685</v>
      </c>
      <c r="AC52" s="1506" t="str">
        <f t="shared" si="4"/>
        <v>ok</v>
      </c>
      <c r="AE52" s="1507"/>
    </row>
    <row r="53" spans="1:31" s="1359" customFormat="1" ht="22.5" customHeight="1" x14ac:dyDescent="0.25">
      <c r="A53" s="1477">
        <v>46</v>
      </c>
      <c r="B53" s="1372" t="s">
        <v>8016</v>
      </c>
      <c r="C53" s="1509" t="s">
        <v>8017</v>
      </c>
      <c r="D53" s="1350">
        <v>3</v>
      </c>
      <c r="E53" s="1385">
        <f t="shared" si="0"/>
        <v>3000</v>
      </c>
      <c r="F53" s="1375">
        <v>3</v>
      </c>
      <c r="G53" s="1385">
        <f t="shared" si="1"/>
        <v>3000</v>
      </c>
      <c r="H53" s="1375">
        <v>5</v>
      </c>
      <c r="I53" s="1356">
        <f t="shared" si="2"/>
        <v>5000</v>
      </c>
      <c r="J53" s="1375">
        <v>6</v>
      </c>
      <c r="K53" s="1356">
        <v>1</v>
      </c>
      <c r="L53" s="1350">
        <f t="shared" si="5"/>
        <v>1000</v>
      </c>
      <c r="M53" s="1356">
        <f t="shared" si="6"/>
        <v>5</v>
      </c>
      <c r="N53" s="1356">
        <v>1000</v>
      </c>
      <c r="O53" s="1353">
        <f t="shared" si="7"/>
        <v>5000</v>
      </c>
      <c r="P53" s="1350">
        <v>2</v>
      </c>
      <c r="Q53" s="1354">
        <f t="shared" si="8"/>
        <v>2000</v>
      </c>
      <c r="R53" s="1350">
        <v>0</v>
      </c>
      <c r="S53" s="1355">
        <f t="shared" si="9"/>
        <v>0</v>
      </c>
      <c r="T53" s="1350">
        <v>3</v>
      </c>
      <c r="U53" s="1355">
        <f t="shared" si="10"/>
        <v>3000</v>
      </c>
      <c r="V53" s="1350">
        <v>0</v>
      </c>
      <c r="W53" s="1355">
        <f t="shared" si="11"/>
        <v>0</v>
      </c>
      <c r="X53" s="1356">
        <f t="shared" si="12"/>
        <v>5</v>
      </c>
      <c r="Y53" s="1356">
        <f t="shared" si="13"/>
        <v>5000</v>
      </c>
      <c r="Z53" s="1387" t="s">
        <v>7799</v>
      </c>
      <c r="AA53" s="1358" t="s">
        <v>7685</v>
      </c>
      <c r="AC53" s="1487" t="str">
        <f t="shared" si="4"/>
        <v>ok</v>
      </c>
      <c r="AE53" s="1246"/>
    </row>
    <row r="54" spans="1:31" s="1359" customFormat="1" ht="22.5" customHeight="1" x14ac:dyDescent="0.25">
      <c r="A54" s="1279">
        <v>47</v>
      </c>
      <c r="B54" s="1372" t="s">
        <v>8018</v>
      </c>
      <c r="C54" s="1509" t="s">
        <v>8017</v>
      </c>
      <c r="D54" s="1350">
        <v>1</v>
      </c>
      <c r="E54" s="1385">
        <f t="shared" si="0"/>
        <v>1070</v>
      </c>
      <c r="F54" s="1375">
        <v>2</v>
      </c>
      <c r="G54" s="1385">
        <f t="shared" si="1"/>
        <v>2140</v>
      </c>
      <c r="H54" s="1375">
        <v>3</v>
      </c>
      <c r="I54" s="1356">
        <f t="shared" si="2"/>
        <v>3210</v>
      </c>
      <c r="J54" s="1375">
        <v>5</v>
      </c>
      <c r="K54" s="1356">
        <v>1</v>
      </c>
      <c r="L54" s="1350">
        <f t="shared" si="5"/>
        <v>1070</v>
      </c>
      <c r="M54" s="1356">
        <f t="shared" si="6"/>
        <v>4</v>
      </c>
      <c r="N54" s="1356">
        <v>1070</v>
      </c>
      <c r="O54" s="1353">
        <f t="shared" si="7"/>
        <v>4280</v>
      </c>
      <c r="P54" s="1350">
        <v>2</v>
      </c>
      <c r="Q54" s="1354">
        <f t="shared" si="8"/>
        <v>2140</v>
      </c>
      <c r="R54" s="1350">
        <v>0</v>
      </c>
      <c r="S54" s="1355">
        <f t="shared" si="9"/>
        <v>0</v>
      </c>
      <c r="T54" s="1350">
        <v>2</v>
      </c>
      <c r="U54" s="1355">
        <f t="shared" si="10"/>
        <v>2140</v>
      </c>
      <c r="V54" s="1350">
        <v>0</v>
      </c>
      <c r="W54" s="1355">
        <f t="shared" si="11"/>
        <v>0</v>
      </c>
      <c r="X54" s="1356">
        <f t="shared" si="12"/>
        <v>4</v>
      </c>
      <c r="Y54" s="1356">
        <f t="shared" si="13"/>
        <v>4280</v>
      </c>
      <c r="Z54" s="1387" t="s">
        <v>7799</v>
      </c>
      <c r="AA54" s="1358" t="s">
        <v>7685</v>
      </c>
      <c r="AC54" s="1487" t="str">
        <f t="shared" si="4"/>
        <v>ok</v>
      </c>
      <c r="AE54" s="1246"/>
    </row>
    <row r="55" spans="1:31" s="1359" customFormat="1" ht="16.5" customHeight="1" x14ac:dyDescent="0.25">
      <c r="A55" s="1279">
        <v>48</v>
      </c>
      <c r="B55" s="1372" t="s">
        <v>8019</v>
      </c>
      <c r="C55" s="1509" t="s">
        <v>8017</v>
      </c>
      <c r="D55" s="1350">
        <v>1</v>
      </c>
      <c r="E55" s="1385">
        <f t="shared" si="0"/>
        <v>1200</v>
      </c>
      <c r="F55" s="1375">
        <v>2</v>
      </c>
      <c r="G55" s="1385">
        <f t="shared" si="1"/>
        <v>2400</v>
      </c>
      <c r="H55" s="1375">
        <v>2</v>
      </c>
      <c r="I55" s="1356">
        <f t="shared" si="2"/>
        <v>2400</v>
      </c>
      <c r="J55" s="1375">
        <v>3</v>
      </c>
      <c r="K55" s="1356">
        <v>1</v>
      </c>
      <c r="L55" s="1350">
        <f t="shared" si="5"/>
        <v>1200</v>
      </c>
      <c r="M55" s="1356">
        <f t="shared" si="6"/>
        <v>2</v>
      </c>
      <c r="N55" s="1356">
        <v>1200</v>
      </c>
      <c r="O55" s="1353">
        <f t="shared" si="7"/>
        <v>2400</v>
      </c>
      <c r="P55" s="1350">
        <v>1</v>
      </c>
      <c r="Q55" s="1354">
        <f t="shared" si="8"/>
        <v>1200</v>
      </c>
      <c r="R55" s="1350">
        <v>0</v>
      </c>
      <c r="S55" s="1355">
        <f t="shared" si="9"/>
        <v>0</v>
      </c>
      <c r="T55" s="1350">
        <v>1</v>
      </c>
      <c r="U55" s="1355">
        <f t="shared" si="10"/>
        <v>1200</v>
      </c>
      <c r="V55" s="1350">
        <v>0</v>
      </c>
      <c r="W55" s="1355">
        <f t="shared" si="11"/>
        <v>0</v>
      </c>
      <c r="X55" s="1356">
        <f t="shared" si="12"/>
        <v>2</v>
      </c>
      <c r="Y55" s="1356">
        <f t="shared" si="13"/>
        <v>2400</v>
      </c>
      <c r="Z55" s="1387" t="s">
        <v>7799</v>
      </c>
      <c r="AA55" s="1358" t="s">
        <v>7685</v>
      </c>
      <c r="AC55" s="1487" t="str">
        <f t="shared" si="4"/>
        <v>ok</v>
      </c>
      <c r="AE55" s="1246"/>
    </row>
    <row r="56" spans="1:31" s="1359" customFormat="1" ht="20.25" customHeight="1" x14ac:dyDescent="0.25">
      <c r="A56" s="1477">
        <v>49</v>
      </c>
      <c r="B56" s="1372" t="s">
        <v>8020</v>
      </c>
      <c r="C56" s="1509" t="s">
        <v>7987</v>
      </c>
      <c r="D56" s="1350">
        <v>2100</v>
      </c>
      <c r="E56" s="1385">
        <f t="shared" si="0"/>
        <v>3633</v>
      </c>
      <c r="F56" s="1375">
        <v>4800</v>
      </c>
      <c r="G56" s="1385">
        <f t="shared" si="1"/>
        <v>8304</v>
      </c>
      <c r="H56" s="1375">
        <v>4200</v>
      </c>
      <c r="I56" s="1356">
        <f t="shared" si="2"/>
        <v>7266</v>
      </c>
      <c r="J56" s="1375">
        <v>6200</v>
      </c>
      <c r="K56" s="1356">
        <v>200</v>
      </c>
      <c r="L56" s="1350">
        <f t="shared" si="5"/>
        <v>346</v>
      </c>
      <c r="M56" s="1356">
        <f t="shared" si="6"/>
        <v>6000</v>
      </c>
      <c r="N56" s="1356">
        <v>1.73</v>
      </c>
      <c r="O56" s="1353">
        <f t="shared" si="7"/>
        <v>10380</v>
      </c>
      <c r="P56" s="1350">
        <v>2000</v>
      </c>
      <c r="Q56" s="1354">
        <f t="shared" si="8"/>
        <v>3460</v>
      </c>
      <c r="R56" s="1350">
        <v>1000</v>
      </c>
      <c r="S56" s="1355">
        <f t="shared" si="9"/>
        <v>1730</v>
      </c>
      <c r="T56" s="1350">
        <v>2000</v>
      </c>
      <c r="U56" s="1355">
        <f t="shared" si="10"/>
        <v>3460</v>
      </c>
      <c r="V56" s="1350">
        <v>1000</v>
      </c>
      <c r="W56" s="1355">
        <f t="shared" si="11"/>
        <v>1730</v>
      </c>
      <c r="X56" s="1356">
        <f t="shared" si="12"/>
        <v>6000</v>
      </c>
      <c r="Y56" s="1356">
        <f t="shared" si="13"/>
        <v>10380</v>
      </c>
      <c r="Z56" s="1387" t="s">
        <v>7799</v>
      </c>
      <c r="AA56" s="1358" t="s">
        <v>7685</v>
      </c>
      <c r="AC56" s="1487" t="str">
        <f t="shared" si="4"/>
        <v>ok</v>
      </c>
      <c r="AE56" s="1246"/>
    </row>
    <row r="57" spans="1:31" s="1359" customFormat="1" ht="20.25" customHeight="1" x14ac:dyDescent="0.25">
      <c r="A57" s="1279">
        <v>50</v>
      </c>
      <c r="B57" s="1372" t="s">
        <v>8021</v>
      </c>
      <c r="C57" s="1509" t="s">
        <v>7987</v>
      </c>
      <c r="D57" s="1350">
        <v>5100</v>
      </c>
      <c r="E57" s="1385">
        <f t="shared" si="0"/>
        <v>8619</v>
      </c>
      <c r="F57" s="1375">
        <v>5000</v>
      </c>
      <c r="G57" s="1385">
        <f t="shared" si="1"/>
        <v>8450</v>
      </c>
      <c r="H57" s="1375">
        <v>4100</v>
      </c>
      <c r="I57" s="1356">
        <f t="shared" si="2"/>
        <v>6929</v>
      </c>
      <c r="J57" s="1375">
        <v>9200</v>
      </c>
      <c r="K57" s="1356">
        <v>200</v>
      </c>
      <c r="L57" s="1350">
        <f t="shared" si="5"/>
        <v>338</v>
      </c>
      <c r="M57" s="1356">
        <f t="shared" si="6"/>
        <v>9000</v>
      </c>
      <c r="N57" s="1356">
        <v>1.69</v>
      </c>
      <c r="O57" s="1353">
        <f t="shared" si="7"/>
        <v>15210</v>
      </c>
      <c r="P57" s="1350">
        <v>3000</v>
      </c>
      <c r="Q57" s="1354">
        <f t="shared" si="8"/>
        <v>5070</v>
      </c>
      <c r="R57" s="1350">
        <v>2000</v>
      </c>
      <c r="S57" s="1355">
        <f t="shared" si="9"/>
        <v>3380</v>
      </c>
      <c r="T57" s="1350">
        <v>2000</v>
      </c>
      <c r="U57" s="1355">
        <f t="shared" si="10"/>
        <v>3380</v>
      </c>
      <c r="V57" s="1350">
        <v>2000</v>
      </c>
      <c r="W57" s="1355">
        <f t="shared" si="11"/>
        <v>3380</v>
      </c>
      <c r="X57" s="1356">
        <f t="shared" si="12"/>
        <v>9000</v>
      </c>
      <c r="Y57" s="1356">
        <f t="shared" si="13"/>
        <v>15210</v>
      </c>
      <c r="Z57" s="1387" t="s">
        <v>7799</v>
      </c>
      <c r="AA57" s="1358" t="s">
        <v>7685</v>
      </c>
      <c r="AC57" s="1487" t="str">
        <f t="shared" si="4"/>
        <v>ok</v>
      </c>
      <c r="AE57" s="1246"/>
    </row>
    <row r="58" spans="1:31" s="1359" customFormat="1" ht="20.25" customHeight="1" x14ac:dyDescent="0.25">
      <c r="A58" s="1279">
        <v>51</v>
      </c>
      <c r="B58" s="1372" t="s">
        <v>8022</v>
      </c>
      <c r="C58" s="1509" t="s">
        <v>7987</v>
      </c>
      <c r="D58" s="1350">
        <v>350</v>
      </c>
      <c r="E58" s="1385">
        <f t="shared" si="0"/>
        <v>1400</v>
      </c>
      <c r="F58" s="1375">
        <v>400</v>
      </c>
      <c r="G58" s="1385">
        <f t="shared" si="1"/>
        <v>1600</v>
      </c>
      <c r="H58" s="1375">
        <v>400</v>
      </c>
      <c r="I58" s="1356">
        <f t="shared" si="2"/>
        <v>1600</v>
      </c>
      <c r="J58" s="1375">
        <v>400</v>
      </c>
      <c r="K58" s="1356">
        <v>50</v>
      </c>
      <c r="L58" s="1350">
        <f t="shared" si="5"/>
        <v>200</v>
      </c>
      <c r="M58" s="1356">
        <f t="shared" si="6"/>
        <v>350</v>
      </c>
      <c r="N58" s="1356">
        <v>4</v>
      </c>
      <c r="O58" s="1353">
        <f t="shared" si="7"/>
        <v>1400</v>
      </c>
      <c r="P58" s="1350">
        <v>100</v>
      </c>
      <c r="Q58" s="1354">
        <f t="shared" si="8"/>
        <v>400</v>
      </c>
      <c r="R58" s="1350">
        <v>100</v>
      </c>
      <c r="S58" s="1355">
        <f t="shared" si="9"/>
        <v>400</v>
      </c>
      <c r="T58" s="1350">
        <v>100</v>
      </c>
      <c r="U58" s="1355">
        <f t="shared" si="10"/>
        <v>400</v>
      </c>
      <c r="V58" s="1350">
        <v>50</v>
      </c>
      <c r="W58" s="1355">
        <f t="shared" si="11"/>
        <v>200</v>
      </c>
      <c r="X58" s="1356">
        <f t="shared" si="12"/>
        <v>350</v>
      </c>
      <c r="Y58" s="1356">
        <f t="shared" si="13"/>
        <v>1400</v>
      </c>
      <c r="Z58" s="1387" t="s">
        <v>7799</v>
      </c>
      <c r="AA58" s="1358" t="s">
        <v>7685</v>
      </c>
      <c r="AC58" s="1487" t="str">
        <f t="shared" si="4"/>
        <v>ok</v>
      </c>
      <c r="AE58" s="1246"/>
    </row>
    <row r="59" spans="1:31" s="1359" customFormat="1" ht="20.25" customHeight="1" x14ac:dyDescent="0.25">
      <c r="A59" s="1477">
        <v>52</v>
      </c>
      <c r="B59" s="1372" t="s">
        <v>8023</v>
      </c>
      <c r="C59" s="1509" t="s">
        <v>7987</v>
      </c>
      <c r="D59" s="1350">
        <v>6500</v>
      </c>
      <c r="E59" s="1385">
        <f t="shared" si="0"/>
        <v>12935</v>
      </c>
      <c r="F59" s="1375">
        <v>8000</v>
      </c>
      <c r="G59" s="1385">
        <f t="shared" si="1"/>
        <v>15920</v>
      </c>
      <c r="H59" s="1375">
        <v>8100</v>
      </c>
      <c r="I59" s="1356">
        <f t="shared" si="2"/>
        <v>16119</v>
      </c>
      <c r="J59" s="1375">
        <v>10200</v>
      </c>
      <c r="K59" s="1356">
        <v>200</v>
      </c>
      <c r="L59" s="1350">
        <f t="shared" si="5"/>
        <v>398</v>
      </c>
      <c r="M59" s="1356">
        <f t="shared" si="6"/>
        <v>10000</v>
      </c>
      <c r="N59" s="1356">
        <v>1.99</v>
      </c>
      <c r="O59" s="1353">
        <f t="shared" si="7"/>
        <v>19900</v>
      </c>
      <c r="P59" s="1350">
        <v>3000</v>
      </c>
      <c r="Q59" s="1354">
        <f t="shared" si="8"/>
        <v>5970</v>
      </c>
      <c r="R59" s="1350">
        <v>2000</v>
      </c>
      <c r="S59" s="1355">
        <f t="shared" si="9"/>
        <v>3980</v>
      </c>
      <c r="T59" s="1350">
        <v>3000</v>
      </c>
      <c r="U59" s="1355">
        <f t="shared" si="10"/>
        <v>5970</v>
      </c>
      <c r="V59" s="1350">
        <v>2000</v>
      </c>
      <c r="W59" s="1355">
        <f t="shared" si="11"/>
        <v>3980</v>
      </c>
      <c r="X59" s="1356">
        <f t="shared" si="12"/>
        <v>10000</v>
      </c>
      <c r="Y59" s="1356">
        <f t="shared" si="13"/>
        <v>19900</v>
      </c>
      <c r="Z59" s="1387" t="s">
        <v>7799</v>
      </c>
      <c r="AA59" s="1358" t="s">
        <v>7685</v>
      </c>
      <c r="AC59" s="1487" t="str">
        <f t="shared" si="4"/>
        <v>ok</v>
      </c>
      <c r="AE59" s="1246"/>
    </row>
    <row r="60" spans="1:31" s="1359" customFormat="1" ht="20.25" customHeight="1" x14ac:dyDescent="0.25">
      <c r="A60" s="1279">
        <v>53</v>
      </c>
      <c r="B60" s="1372" t="s">
        <v>8024</v>
      </c>
      <c r="C60" s="1509" t="s">
        <v>7987</v>
      </c>
      <c r="D60" s="1350">
        <v>7100</v>
      </c>
      <c r="E60" s="1385">
        <f t="shared" si="0"/>
        <v>11928</v>
      </c>
      <c r="F60" s="1375">
        <v>5600</v>
      </c>
      <c r="G60" s="1385">
        <f t="shared" si="1"/>
        <v>9408</v>
      </c>
      <c r="H60" s="1375">
        <v>5200</v>
      </c>
      <c r="I60" s="1356">
        <f t="shared" si="2"/>
        <v>8736</v>
      </c>
      <c r="J60" s="1375">
        <v>8200</v>
      </c>
      <c r="K60" s="1356">
        <v>200</v>
      </c>
      <c r="L60" s="1350">
        <f t="shared" si="5"/>
        <v>336</v>
      </c>
      <c r="M60" s="1356">
        <f t="shared" si="6"/>
        <v>8000</v>
      </c>
      <c r="N60" s="1356">
        <v>1.68</v>
      </c>
      <c r="O60" s="1353">
        <f t="shared" si="7"/>
        <v>13440</v>
      </c>
      <c r="P60" s="1350">
        <v>2000</v>
      </c>
      <c r="Q60" s="1354">
        <f t="shared" si="8"/>
        <v>3360</v>
      </c>
      <c r="R60" s="1350">
        <v>2000</v>
      </c>
      <c r="S60" s="1355">
        <f t="shared" si="9"/>
        <v>3360</v>
      </c>
      <c r="T60" s="1350">
        <v>2000</v>
      </c>
      <c r="U60" s="1355">
        <f t="shared" si="10"/>
        <v>3360</v>
      </c>
      <c r="V60" s="1350">
        <v>2000</v>
      </c>
      <c r="W60" s="1355">
        <f t="shared" si="11"/>
        <v>3360</v>
      </c>
      <c r="X60" s="1356">
        <f t="shared" si="12"/>
        <v>8000</v>
      </c>
      <c r="Y60" s="1356">
        <f t="shared" si="13"/>
        <v>13440</v>
      </c>
      <c r="Z60" s="1387" t="s">
        <v>7799</v>
      </c>
      <c r="AA60" s="1358" t="s">
        <v>7685</v>
      </c>
      <c r="AC60" s="1487" t="str">
        <f t="shared" si="4"/>
        <v>ok</v>
      </c>
      <c r="AE60" s="1246"/>
    </row>
    <row r="61" spans="1:31" s="1359" customFormat="1" ht="20.25" customHeight="1" x14ac:dyDescent="0.25">
      <c r="A61" s="1279">
        <v>54</v>
      </c>
      <c r="B61" s="1372" t="s">
        <v>8025</v>
      </c>
      <c r="C61" s="1509" t="s">
        <v>8026</v>
      </c>
      <c r="D61" s="1350">
        <v>72</v>
      </c>
      <c r="E61" s="1385">
        <f t="shared" si="0"/>
        <v>864</v>
      </c>
      <c r="F61" s="1375">
        <v>72</v>
      </c>
      <c r="G61" s="1385">
        <f t="shared" si="1"/>
        <v>864</v>
      </c>
      <c r="H61" s="1375">
        <v>0</v>
      </c>
      <c r="I61" s="1356">
        <f t="shared" si="2"/>
        <v>0</v>
      </c>
      <c r="J61" s="1375">
        <v>72</v>
      </c>
      <c r="K61" s="1356">
        <v>0</v>
      </c>
      <c r="L61" s="1350">
        <f t="shared" si="5"/>
        <v>0</v>
      </c>
      <c r="M61" s="1356">
        <f t="shared" si="6"/>
        <v>72</v>
      </c>
      <c r="N61" s="1356">
        <v>12</v>
      </c>
      <c r="O61" s="1353">
        <f t="shared" si="7"/>
        <v>864</v>
      </c>
      <c r="P61" s="1350">
        <v>18</v>
      </c>
      <c r="Q61" s="1354">
        <f t="shared" si="8"/>
        <v>216</v>
      </c>
      <c r="R61" s="1350">
        <v>18</v>
      </c>
      <c r="S61" s="1355">
        <f t="shared" si="9"/>
        <v>216</v>
      </c>
      <c r="T61" s="1350">
        <v>18</v>
      </c>
      <c r="U61" s="1355">
        <f t="shared" si="10"/>
        <v>216</v>
      </c>
      <c r="V61" s="1350">
        <v>18</v>
      </c>
      <c r="W61" s="1355">
        <f t="shared" si="11"/>
        <v>216</v>
      </c>
      <c r="X61" s="1356">
        <f t="shared" si="12"/>
        <v>72</v>
      </c>
      <c r="Y61" s="1356">
        <f t="shared" si="13"/>
        <v>864</v>
      </c>
      <c r="Z61" s="1387" t="s">
        <v>7799</v>
      </c>
      <c r="AA61" s="1358" t="s">
        <v>7685</v>
      </c>
      <c r="AC61" s="1487" t="str">
        <f t="shared" si="4"/>
        <v>ok</v>
      </c>
      <c r="AE61" s="1246"/>
    </row>
    <row r="62" spans="1:31" s="1359" customFormat="1" ht="20.25" customHeight="1" x14ac:dyDescent="0.25">
      <c r="A62" s="1477">
        <v>55</v>
      </c>
      <c r="B62" s="1372" t="s">
        <v>8027</v>
      </c>
      <c r="C62" s="1509" t="s">
        <v>8026</v>
      </c>
      <c r="D62" s="1350">
        <v>0</v>
      </c>
      <c r="E62" s="1385">
        <f t="shared" si="0"/>
        <v>0</v>
      </c>
      <c r="F62" s="1375">
        <v>0</v>
      </c>
      <c r="G62" s="1385">
        <f t="shared" si="1"/>
        <v>0</v>
      </c>
      <c r="H62" s="1375">
        <v>0</v>
      </c>
      <c r="I62" s="1356">
        <f t="shared" si="2"/>
        <v>0</v>
      </c>
      <c r="J62" s="1375">
        <v>72</v>
      </c>
      <c r="K62" s="1356">
        <v>0</v>
      </c>
      <c r="L62" s="1350">
        <f t="shared" si="5"/>
        <v>0</v>
      </c>
      <c r="M62" s="1356">
        <f t="shared" si="6"/>
        <v>72</v>
      </c>
      <c r="N62" s="1356">
        <v>11</v>
      </c>
      <c r="O62" s="1353">
        <f t="shared" si="7"/>
        <v>792</v>
      </c>
      <c r="P62" s="1350">
        <v>18</v>
      </c>
      <c r="Q62" s="1354">
        <f t="shared" si="8"/>
        <v>198</v>
      </c>
      <c r="R62" s="1350">
        <v>18</v>
      </c>
      <c r="S62" s="1355">
        <f t="shared" si="9"/>
        <v>198</v>
      </c>
      <c r="T62" s="1350">
        <v>18</v>
      </c>
      <c r="U62" s="1355">
        <f t="shared" si="10"/>
        <v>198</v>
      </c>
      <c r="V62" s="1350">
        <v>18</v>
      </c>
      <c r="W62" s="1355">
        <f t="shared" si="11"/>
        <v>198</v>
      </c>
      <c r="X62" s="1356">
        <f t="shared" si="12"/>
        <v>72</v>
      </c>
      <c r="Y62" s="1356">
        <f t="shared" si="13"/>
        <v>792</v>
      </c>
      <c r="Z62" s="1387" t="s">
        <v>7799</v>
      </c>
      <c r="AA62" s="1358" t="s">
        <v>7685</v>
      </c>
      <c r="AC62" s="1487" t="str">
        <f t="shared" si="4"/>
        <v>ok</v>
      </c>
      <c r="AE62" s="1246"/>
    </row>
    <row r="63" spans="1:31" s="1359" customFormat="1" ht="20.25" customHeight="1" x14ac:dyDescent="0.25">
      <c r="A63" s="1279">
        <v>56</v>
      </c>
      <c r="B63" s="1372" t="s">
        <v>8028</v>
      </c>
      <c r="C63" s="1509" t="s">
        <v>8026</v>
      </c>
      <c r="D63" s="1350">
        <v>8000</v>
      </c>
      <c r="E63" s="1385">
        <f t="shared" si="0"/>
        <v>4640</v>
      </c>
      <c r="F63" s="1375">
        <v>8000</v>
      </c>
      <c r="G63" s="1385">
        <f t="shared" si="1"/>
        <v>4640</v>
      </c>
      <c r="H63" s="1375">
        <v>7000</v>
      </c>
      <c r="I63" s="1356">
        <f t="shared" si="2"/>
        <v>4059.9999999999995</v>
      </c>
      <c r="J63" s="1375">
        <v>11000</v>
      </c>
      <c r="K63" s="1356">
        <v>1000</v>
      </c>
      <c r="L63" s="1350">
        <f t="shared" si="5"/>
        <v>580</v>
      </c>
      <c r="M63" s="1356">
        <f t="shared" si="6"/>
        <v>10000</v>
      </c>
      <c r="N63" s="1356">
        <v>0.57999999999999996</v>
      </c>
      <c r="O63" s="1353">
        <f t="shared" si="7"/>
        <v>5800</v>
      </c>
      <c r="P63" s="1350">
        <v>5000</v>
      </c>
      <c r="Q63" s="1354">
        <f t="shared" si="8"/>
        <v>2900</v>
      </c>
      <c r="R63" s="1350">
        <v>0</v>
      </c>
      <c r="S63" s="1355">
        <f t="shared" si="9"/>
        <v>0</v>
      </c>
      <c r="T63" s="1350">
        <v>5000</v>
      </c>
      <c r="U63" s="1355">
        <f t="shared" si="10"/>
        <v>2900</v>
      </c>
      <c r="V63" s="1350">
        <v>0</v>
      </c>
      <c r="W63" s="1355">
        <f t="shared" si="11"/>
        <v>0</v>
      </c>
      <c r="X63" s="1356">
        <f t="shared" si="12"/>
        <v>10000</v>
      </c>
      <c r="Y63" s="1356">
        <f t="shared" si="13"/>
        <v>5800</v>
      </c>
      <c r="Z63" s="1387" t="s">
        <v>7799</v>
      </c>
      <c r="AA63" s="1358" t="s">
        <v>7685</v>
      </c>
      <c r="AC63" s="1487" t="str">
        <f t="shared" si="4"/>
        <v>ok</v>
      </c>
      <c r="AE63" s="1246"/>
    </row>
    <row r="64" spans="1:31" s="1359" customFormat="1" ht="20.25" customHeight="1" x14ac:dyDescent="0.25">
      <c r="A64" s="1279">
        <v>57</v>
      </c>
      <c r="B64" s="1372" t="s">
        <v>8029</v>
      </c>
      <c r="C64" s="1509" t="s">
        <v>7816</v>
      </c>
      <c r="D64" s="1350">
        <v>62</v>
      </c>
      <c r="E64" s="1385">
        <f t="shared" si="0"/>
        <v>2108</v>
      </c>
      <c r="F64" s="1375">
        <v>42</v>
      </c>
      <c r="G64" s="1385">
        <f t="shared" si="1"/>
        <v>1428</v>
      </c>
      <c r="H64" s="1375">
        <v>59</v>
      </c>
      <c r="I64" s="1356">
        <f t="shared" si="2"/>
        <v>2006</v>
      </c>
      <c r="J64" s="1375">
        <v>69</v>
      </c>
      <c r="K64" s="1356">
        <v>9</v>
      </c>
      <c r="L64" s="1350">
        <f t="shared" si="5"/>
        <v>306</v>
      </c>
      <c r="M64" s="1356">
        <f t="shared" si="6"/>
        <v>60</v>
      </c>
      <c r="N64" s="1356">
        <v>34</v>
      </c>
      <c r="O64" s="1353">
        <f t="shared" si="7"/>
        <v>2040</v>
      </c>
      <c r="P64" s="1350">
        <v>20</v>
      </c>
      <c r="Q64" s="1354">
        <f t="shared" si="8"/>
        <v>680</v>
      </c>
      <c r="R64" s="1350">
        <v>20</v>
      </c>
      <c r="S64" s="1355">
        <f t="shared" si="9"/>
        <v>680</v>
      </c>
      <c r="T64" s="1350">
        <v>20</v>
      </c>
      <c r="U64" s="1355">
        <f t="shared" si="10"/>
        <v>680</v>
      </c>
      <c r="V64" s="1350">
        <v>0</v>
      </c>
      <c r="W64" s="1355">
        <f t="shared" si="11"/>
        <v>0</v>
      </c>
      <c r="X64" s="1356">
        <f t="shared" si="12"/>
        <v>60</v>
      </c>
      <c r="Y64" s="1356">
        <f t="shared" si="13"/>
        <v>2040</v>
      </c>
      <c r="Z64" s="1387" t="s">
        <v>7799</v>
      </c>
      <c r="AA64" s="1358" t="s">
        <v>7685</v>
      </c>
      <c r="AC64" s="1487" t="str">
        <f t="shared" si="4"/>
        <v>ok</v>
      </c>
      <c r="AE64" s="1246"/>
    </row>
    <row r="65" spans="1:31" s="1359" customFormat="1" ht="20.25" customHeight="1" x14ac:dyDescent="0.25">
      <c r="A65" s="1477">
        <v>58</v>
      </c>
      <c r="B65" s="1372" t="s">
        <v>8030</v>
      </c>
      <c r="C65" s="1509" t="s">
        <v>8026</v>
      </c>
      <c r="D65" s="1350">
        <v>300</v>
      </c>
      <c r="E65" s="1385">
        <f t="shared" si="0"/>
        <v>585</v>
      </c>
      <c r="F65" s="1375">
        <v>300</v>
      </c>
      <c r="G65" s="1385">
        <f t="shared" si="1"/>
        <v>585</v>
      </c>
      <c r="H65" s="1375">
        <v>400</v>
      </c>
      <c r="I65" s="1356">
        <f t="shared" si="2"/>
        <v>780</v>
      </c>
      <c r="J65" s="1375">
        <v>500</v>
      </c>
      <c r="K65" s="1356">
        <v>100</v>
      </c>
      <c r="L65" s="1350">
        <f t="shared" si="5"/>
        <v>195</v>
      </c>
      <c r="M65" s="1356">
        <f t="shared" si="6"/>
        <v>400</v>
      </c>
      <c r="N65" s="1356">
        <v>1.95</v>
      </c>
      <c r="O65" s="1353">
        <f t="shared" si="7"/>
        <v>780</v>
      </c>
      <c r="P65" s="1350">
        <v>0</v>
      </c>
      <c r="Q65" s="1354">
        <f t="shared" si="8"/>
        <v>0</v>
      </c>
      <c r="R65" s="1350">
        <v>200</v>
      </c>
      <c r="S65" s="1355">
        <f t="shared" si="9"/>
        <v>390</v>
      </c>
      <c r="T65" s="1350">
        <v>0</v>
      </c>
      <c r="U65" s="1355">
        <f t="shared" si="10"/>
        <v>0</v>
      </c>
      <c r="V65" s="1350">
        <v>200</v>
      </c>
      <c r="W65" s="1355">
        <f t="shared" si="11"/>
        <v>390</v>
      </c>
      <c r="X65" s="1356">
        <f t="shared" si="12"/>
        <v>400</v>
      </c>
      <c r="Y65" s="1356">
        <f t="shared" si="13"/>
        <v>780</v>
      </c>
      <c r="Z65" s="1387" t="s">
        <v>7799</v>
      </c>
      <c r="AA65" s="1358" t="s">
        <v>7685</v>
      </c>
      <c r="AC65" s="1487" t="str">
        <f t="shared" si="4"/>
        <v>ok</v>
      </c>
      <c r="AE65" s="1246"/>
    </row>
    <row r="66" spans="1:31" s="1359" customFormat="1" ht="20.25" customHeight="1" x14ac:dyDescent="0.25">
      <c r="A66" s="1279">
        <v>59</v>
      </c>
      <c r="B66" s="1372" t="s">
        <v>8031</v>
      </c>
      <c r="C66" s="1509" t="s">
        <v>7816</v>
      </c>
      <c r="D66" s="1350">
        <v>1</v>
      </c>
      <c r="E66" s="1385">
        <f t="shared" si="0"/>
        <v>720</v>
      </c>
      <c r="F66" s="1375">
        <v>0</v>
      </c>
      <c r="G66" s="1385">
        <f t="shared" si="1"/>
        <v>0</v>
      </c>
      <c r="H66" s="1375">
        <v>0</v>
      </c>
      <c r="I66" s="1356">
        <f t="shared" si="2"/>
        <v>0</v>
      </c>
      <c r="J66" s="1375">
        <v>1</v>
      </c>
      <c r="K66" s="1356">
        <v>0</v>
      </c>
      <c r="L66" s="1350">
        <f t="shared" si="5"/>
        <v>0</v>
      </c>
      <c r="M66" s="1356">
        <f t="shared" si="6"/>
        <v>1</v>
      </c>
      <c r="N66" s="1356">
        <v>720</v>
      </c>
      <c r="O66" s="1353">
        <f t="shared" si="7"/>
        <v>720</v>
      </c>
      <c r="P66" s="1350">
        <v>1</v>
      </c>
      <c r="Q66" s="1354">
        <f t="shared" si="8"/>
        <v>720</v>
      </c>
      <c r="R66" s="1350">
        <v>0</v>
      </c>
      <c r="S66" s="1355">
        <f t="shared" si="9"/>
        <v>0</v>
      </c>
      <c r="T66" s="1350">
        <v>0</v>
      </c>
      <c r="U66" s="1355">
        <f t="shared" si="10"/>
        <v>0</v>
      </c>
      <c r="V66" s="1350">
        <v>0</v>
      </c>
      <c r="W66" s="1355">
        <f t="shared" si="11"/>
        <v>0</v>
      </c>
      <c r="X66" s="1356">
        <f t="shared" si="12"/>
        <v>1</v>
      </c>
      <c r="Y66" s="1356">
        <f t="shared" si="13"/>
        <v>720</v>
      </c>
      <c r="Z66" s="1387" t="s">
        <v>7799</v>
      </c>
      <c r="AA66" s="1358" t="s">
        <v>7685</v>
      </c>
      <c r="AC66" s="1487" t="str">
        <f t="shared" si="4"/>
        <v>ok</v>
      </c>
      <c r="AE66" s="1246"/>
    </row>
    <row r="67" spans="1:31" s="1359" customFormat="1" ht="20.25" customHeight="1" x14ac:dyDescent="0.25">
      <c r="A67" s="1279">
        <v>60</v>
      </c>
      <c r="B67" s="1372" t="s">
        <v>8032</v>
      </c>
      <c r="C67" s="1509" t="s">
        <v>7798</v>
      </c>
      <c r="D67" s="1350">
        <v>70</v>
      </c>
      <c r="E67" s="1385">
        <f t="shared" si="0"/>
        <v>4830</v>
      </c>
      <c r="F67" s="1375">
        <v>60</v>
      </c>
      <c r="G67" s="1385">
        <f t="shared" si="1"/>
        <v>4140</v>
      </c>
      <c r="H67" s="1375">
        <v>50</v>
      </c>
      <c r="I67" s="1356">
        <f t="shared" si="2"/>
        <v>3450</v>
      </c>
      <c r="J67" s="1375">
        <v>60</v>
      </c>
      <c r="K67" s="1356">
        <v>10</v>
      </c>
      <c r="L67" s="1350">
        <f t="shared" si="5"/>
        <v>690</v>
      </c>
      <c r="M67" s="1356">
        <f t="shared" si="6"/>
        <v>50</v>
      </c>
      <c r="N67" s="1356">
        <v>69</v>
      </c>
      <c r="O67" s="1353">
        <f t="shared" si="7"/>
        <v>3450</v>
      </c>
      <c r="P67" s="1350">
        <v>0</v>
      </c>
      <c r="Q67" s="1354">
        <f t="shared" si="8"/>
        <v>0</v>
      </c>
      <c r="R67" s="1350">
        <v>50</v>
      </c>
      <c r="S67" s="1355">
        <f t="shared" si="9"/>
        <v>3450</v>
      </c>
      <c r="T67" s="1350">
        <v>0</v>
      </c>
      <c r="U67" s="1355">
        <f t="shared" si="10"/>
        <v>0</v>
      </c>
      <c r="V67" s="1350">
        <v>0</v>
      </c>
      <c r="W67" s="1355">
        <f t="shared" si="11"/>
        <v>0</v>
      </c>
      <c r="X67" s="1356">
        <f t="shared" si="12"/>
        <v>50</v>
      </c>
      <c r="Y67" s="1356">
        <f t="shared" si="13"/>
        <v>3450</v>
      </c>
      <c r="Z67" s="1387" t="s">
        <v>7799</v>
      </c>
      <c r="AA67" s="1358" t="s">
        <v>7685</v>
      </c>
      <c r="AC67" s="1487" t="str">
        <f t="shared" si="4"/>
        <v>ok</v>
      </c>
      <c r="AE67" s="1246"/>
    </row>
    <row r="68" spans="1:31" s="1359" customFormat="1" ht="20.25" customHeight="1" x14ac:dyDescent="0.25">
      <c r="A68" s="1477">
        <v>61</v>
      </c>
      <c r="B68" s="1372" t="s">
        <v>8033</v>
      </c>
      <c r="C68" s="1509" t="s">
        <v>8026</v>
      </c>
      <c r="D68" s="1350">
        <v>5000</v>
      </c>
      <c r="E68" s="1385">
        <f t="shared" si="0"/>
        <v>5000</v>
      </c>
      <c r="F68" s="1375">
        <v>4000</v>
      </c>
      <c r="G68" s="1385">
        <f t="shared" si="1"/>
        <v>4000</v>
      </c>
      <c r="H68" s="1375">
        <v>5000</v>
      </c>
      <c r="I68" s="1356">
        <f t="shared" si="2"/>
        <v>5000</v>
      </c>
      <c r="J68" s="1375">
        <v>4000</v>
      </c>
      <c r="K68" s="1356">
        <v>0</v>
      </c>
      <c r="L68" s="1350">
        <f t="shared" si="5"/>
        <v>0</v>
      </c>
      <c r="M68" s="1356">
        <f t="shared" si="6"/>
        <v>4000</v>
      </c>
      <c r="N68" s="1356">
        <v>1</v>
      </c>
      <c r="O68" s="1353">
        <f t="shared" si="7"/>
        <v>4000</v>
      </c>
      <c r="P68" s="1350">
        <v>1000</v>
      </c>
      <c r="Q68" s="1354">
        <f t="shared" si="8"/>
        <v>1000</v>
      </c>
      <c r="R68" s="1350">
        <v>1000</v>
      </c>
      <c r="S68" s="1355">
        <f t="shared" si="9"/>
        <v>1000</v>
      </c>
      <c r="T68" s="1350">
        <v>1000</v>
      </c>
      <c r="U68" s="1355">
        <f t="shared" si="10"/>
        <v>1000</v>
      </c>
      <c r="V68" s="1350">
        <v>1000</v>
      </c>
      <c r="W68" s="1355">
        <f t="shared" si="11"/>
        <v>1000</v>
      </c>
      <c r="X68" s="1356">
        <f t="shared" si="12"/>
        <v>4000</v>
      </c>
      <c r="Y68" s="1356">
        <f t="shared" si="13"/>
        <v>4000</v>
      </c>
      <c r="Z68" s="1387" t="s">
        <v>7799</v>
      </c>
      <c r="AA68" s="1358" t="s">
        <v>7685</v>
      </c>
      <c r="AC68" s="1487" t="str">
        <f t="shared" si="4"/>
        <v>ok</v>
      </c>
      <c r="AE68" s="1246"/>
    </row>
    <row r="69" spans="1:31" s="1359" customFormat="1" ht="20.25" customHeight="1" x14ac:dyDescent="0.25">
      <c r="A69" s="1279">
        <v>62</v>
      </c>
      <c r="B69" s="1372" t="s">
        <v>8034</v>
      </c>
      <c r="C69" s="1509" t="s">
        <v>8026</v>
      </c>
      <c r="D69" s="1350">
        <v>0</v>
      </c>
      <c r="E69" s="1385">
        <f t="shared" si="0"/>
        <v>0</v>
      </c>
      <c r="F69" s="1375">
        <v>0</v>
      </c>
      <c r="G69" s="1385">
        <f t="shared" si="1"/>
        <v>0</v>
      </c>
      <c r="H69" s="1375">
        <v>1000</v>
      </c>
      <c r="I69" s="1356">
        <f t="shared" si="2"/>
        <v>1000</v>
      </c>
      <c r="J69" s="1375">
        <v>2000</v>
      </c>
      <c r="K69" s="1356">
        <v>0</v>
      </c>
      <c r="L69" s="1350">
        <f t="shared" si="5"/>
        <v>0</v>
      </c>
      <c r="M69" s="1356">
        <f t="shared" si="6"/>
        <v>2000</v>
      </c>
      <c r="N69" s="1356">
        <v>1</v>
      </c>
      <c r="O69" s="1353">
        <f t="shared" si="7"/>
        <v>2000</v>
      </c>
      <c r="P69" s="1350">
        <v>1000</v>
      </c>
      <c r="Q69" s="1354">
        <f t="shared" si="8"/>
        <v>1000</v>
      </c>
      <c r="R69" s="1350">
        <v>0</v>
      </c>
      <c r="S69" s="1355">
        <f t="shared" si="9"/>
        <v>0</v>
      </c>
      <c r="T69" s="1350">
        <v>1000</v>
      </c>
      <c r="U69" s="1355">
        <f t="shared" si="10"/>
        <v>1000</v>
      </c>
      <c r="V69" s="1350">
        <v>0</v>
      </c>
      <c r="W69" s="1355">
        <f t="shared" si="11"/>
        <v>0</v>
      </c>
      <c r="X69" s="1356">
        <f t="shared" si="12"/>
        <v>2000</v>
      </c>
      <c r="Y69" s="1356">
        <f t="shared" si="13"/>
        <v>2000</v>
      </c>
      <c r="Z69" s="1387" t="s">
        <v>7799</v>
      </c>
      <c r="AA69" s="1358" t="s">
        <v>7685</v>
      </c>
      <c r="AC69" s="1487" t="str">
        <f t="shared" si="4"/>
        <v>ok</v>
      </c>
      <c r="AE69" s="1246"/>
    </row>
    <row r="70" spans="1:31" s="1359" customFormat="1" ht="20.25" customHeight="1" x14ac:dyDescent="0.25">
      <c r="A70" s="1279">
        <v>63</v>
      </c>
      <c r="B70" s="1372" t="s">
        <v>8035</v>
      </c>
      <c r="C70" s="1509" t="s">
        <v>8026</v>
      </c>
      <c r="D70" s="1350">
        <v>6000</v>
      </c>
      <c r="E70" s="1385">
        <f t="shared" si="0"/>
        <v>11100</v>
      </c>
      <c r="F70" s="1375">
        <v>9000</v>
      </c>
      <c r="G70" s="1385">
        <f t="shared" si="1"/>
        <v>16650</v>
      </c>
      <c r="H70" s="1375">
        <v>8000</v>
      </c>
      <c r="I70" s="1356">
        <f t="shared" si="2"/>
        <v>14800</v>
      </c>
      <c r="J70" s="1375">
        <v>10500</v>
      </c>
      <c r="K70" s="1356">
        <v>500</v>
      </c>
      <c r="L70" s="1350">
        <f t="shared" si="5"/>
        <v>925</v>
      </c>
      <c r="M70" s="1356">
        <f t="shared" si="6"/>
        <v>10000</v>
      </c>
      <c r="N70" s="1356">
        <v>1.85</v>
      </c>
      <c r="O70" s="1353">
        <f t="shared" si="7"/>
        <v>18500</v>
      </c>
      <c r="P70" s="1350">
        <v>2000</v>
      </c>
      <c r="Q70" s="1354">
        <f t="shared" si="8"/>
        <v>3700</v>
      </c>
      <c r="R70" s="1350">
        <v>3000</v>
      </c>
      <c r="S70" s="1355">
        <f t="shared" si="9"/>
        <v>5550</v>
      </c>
      <c r="T70" s="1350">
        <v>2000</v>
      </c>
      <c r="U70" s="1355">
        <f t="shared" si="10"/>
        <v>3700</v>
      </c>
      <c r="V70" s="1350">
        <v>3000</v>
      </c>
      <c r="W70" s="1355">
        <f t="shared" si="11"/>
        <v>5550</v>
      </c>
      <c r="X70" s="1356">
        <f t="shared" si="12"/>
        <v>10000</v>
      </c>
      <c r="Y70" s="1356">
        <f t="shared" si="13"/>
        <v>18500</v>
      </c>
      <c r="Z70" s="1387" t="s">
        <v>7799</v>
      </c>
      <c r="AA70" s="1358" t="s">
        <v>7685</v>
      </c>
      <c r="AC70" s="1487" t="str">
        <f t="shared" si="4"/>
        <v>ok</v>
      </c>
      <c r="AE70" s="1246"/>
    </row>
    <row r="71" spans="1:31" s="1359" customFormat="1" ht="20.25" customHeight="1" x14ac:dyDescent="0.25">
      <c r="A71" s="1477">
        <v>64</v>
      </c>
      <c r="B71" s="1372" t="s">
        <v>8036</v>
      </c>
      <c r="C71" s="1509" t="s">
        <v>8026</v>
      </c>
      <c r="D71" s="1350">
        <v>1000</v>
      </c>
      <c r="E71" s="1385">
        <f t="shared" si="0"/>
        <v>350</v>
      </c>
      <c r="F71" s="1375">
        <v>1000</v>
      </c>
      <c r="G71" s="1385">
        <f t="shared" si="1"/>
        <v>350</v>
      </c>
      <c r="H71" s="1375">
        <v>0</v>
      </c>
      <c r="I71" s="1356">
        <f t="shared" si="2"/>
        <v>0</v>
      </c>
      <c r="J71" s="1375">
        <v>1000</v>
      </c>
      <c r="K71" s="1356">
        <v>0</v>
      </c>
      <c r="L71" s="1350">
        <f t="shared" si="5"/>
        <v>0</v>
      </c>
      <c r="M71" s="1356">
        <f t="shared" si="6"/>
        <v>1000</v>
      </c>
      <c r="N71" s="1356">
        <v>0.35</v>
      </c>
      <c r="O71" s="1353">
        <f t="shared" si="7"/>
        <v>350</v>
      </c>
      <c r="P71" s="1350">
        <v>0</v>
      </c>
      <c r="Q71" s="1354">
        <f t="shared" si="8"/>
        <v>0</v>
      </c>
      <c r="R71" s="1350">
        <v>1000</v>
      </c>
      <c r="S71" s="1355">
        <f t="shared" si="9"/>
        <v>350</v>
      </c>
      <c r="T71" s="1350">
        <v>0</v>
      </c>
      <c r="U71" s="1355">
        <f t="shared" si="10"/>
        <v>0</v>
      </c>
      <c r="V71" s="1350">
        <v>0</v>
      </c>
      <c r="W71" s="1355">
        <f t="shared" si="11"/>
        <v>0</v>
      </c>
      <c r="X71" s="1356">
        <f t="shared" si="12"/>
        <v>1000</v>
      </c>
      <c r="Y71" s="1356">
        <f t="shared" si="13"/>
        <v>350</v>
      </c>
      <c r="Z71" s="1387" t="s">
        <v>7799</v>
      </c>
      <c r="AA71" s="1358" t="s">
        <v>7685</v>
      </c>
      <c r="AC71" s="1487" t="str">
        <f t="shared" si="4"/>
        <v>ok</v>
      </c>
      <c r="AE71" s="1246"/>
    </row>
    <row r="72" spans="1:31" s="1359" customFormat="1" ht="20.25" customHeight="1" x14ac:dyDescent="0.25">
      <c r="A72" s="1279">
        <v>65</v>
      </c>
      <c r="B72" s="1372" t="s">
        <v>8037</v>
      </c>
      <c r="C72" s="1509" t="s">
        <v>8026</v>
      </c>
      <c r="D72" s="1350">
        <v>500</v>
      </c>
      <c r="E72" s="1385">
        <f t="shared" si="0"/>
        <v>225</v>
      </c>
      <c r="F72" s="1375">
        <v>500</v>
      </c>
      <c r="G72" s="1385">
        <f t="shared" si="1"/>
        <v>225</v>
      </c>
      <c r="H72" s="1375">
        <v>1000</v>
      </c>
      <c r="I72" s="1356">
        <f t="shared" si="2"/>
        <v>450</v>
      </c>
      <c r="J72" s="1375">
        <v>1000</v>
      </c>
      <c r="K72" s="1356">
        <v>0</v>
      </c>
      <c r="L72" s="1350">
        <f t="shared" si="5"/>
        <v>0</v>
      </c>
      <c r="M72" s="1356">
        <f t="shared" si="6"/>
        <v>1000</v>
      </c>
      <c r="N72" s="1356">
        <v>0.45</v>
      </c>
      <c r="O72" s="1353">
        <f t="shared" si="7"/>
        <v>450</v>
      </c>
      <c r="P72" s="1350">
        <v>0</v>
      </c>
      <c r="Q72" s="1354">
        <f t="shared" si="8"/>
        <v>0</v>
      </c>
      <c r="R72" s="1350">
        <v>1000</v>
      </c>
      <c r="S72" s="1355">
        <f t="shared" si="9"/>
        <v>450</v>
      </c>
      <c r="T72" s="1350">
        <v>0</v>
      </c>
      <c r="U72" s="1355">
        <f t="shared" si="10"/>
        <v>0</v>
      </c>
      <c r="V72" s="1350">
        <v>0</v>
      </c>
      <c r="W72" s="1355">
        <f t="shared" si="11"/>
        <v>0</v>
      </c>
      <c r="X72" s="1356">
        <f t="shared" si="12"/>
        <v>1000</v>
      </c>
      <c r="Y72" s="1356">
        <f t="shared" si="13"/>
        <v>450</v>
      </c>
      <c r="Z72" s="1387" t="s">
        <v>7799</v>
      </c>
      <c r="AA72" s="1358" t="s">
        <v>7685</v>
      </c>
      <c r="AC72" s="1487" t="str">
        <f t="shared" si="4"/>
        <v>ok</v>
      </c>
      <c r="AE72" s="1246"/>
    </row>
    <row r="73" spans="1:31" s="1359" customFormat="1" ht="20.25" customHeight="1" x14ac:dyDescent="0.25">
      <c r="A73" s="1279">
        <v>66</v>
      </c>
      <c r="B73" s="1372" t="s">
        <v>8038</v>
      </c>
      <c r="C73" s="1509" t="s">
        <v>8039</v>
      </c>
      <c r="D73" s="1350">
        <v>1</v>
      </c>
      <c r="E73" s="1385">
        <f t="shared" si="0"/>
        <v>3200</v>
      </c>
      <c r="F73" s="1375">
        <v>1</v>
      </c>
      <c r="G73" s="1385">
        <f t="shared" si="1"/>
        <v>3200</v>
      </c>
      <c r="H73" s="1375">
        <v>2</v>
      </c>
      <c r="I73" s="1356">
        <f t="shared" si="2"/>
        <v>6400</v>
      </c>
      <c r="J73" s="1375">
        <v>3</v>
      </c>
      <c r="K73" s="1356">
        <v>1</v>
      </c>
      <c r="L73" s="1350">
        <f t="shared" si="5"/>
        <v>3200</v>
      </c>
      <c r="M73" s="1356">
        <f t="shared" si="6"/>
        <v>2</v>
      </c>
      <c r="N73" s="1356">
        <v>3200</v>
      </c>
      <c r="O73" s="1353">
        <f t="shared" si="7"/>
        <v>6400</v>
      </c>
      <c r="P73" s="1350">
        <v>1</v>
      </c>
      <c r="Q73" s="1354">
        <f t="shared" si="8"/>
        <v>3200</v>
      </c>
      <c r="R73" s="1350">
        <v>0</v>
      </c>
      <c r="S73" s="1355">
        <f t="shared" si="9"/>
        <v>0</v>
      </c>
      <c r="T73" s="1350">
        <v>1</v>
      </c>
      <c r="U73" s="1355">
        <f t="shared" si="10"/>
        <v>3200</v>
      </c>
      <c r="V73" s="1350">
        <v>0</v>
      </c>
      <c r="W73" s="1355">
        <f t="shared" si="11"/>
        <v>0</v>
      </c>
      <c r="X73" s="1356">
        <f t="shared" si="12"/>
        <v>2</v>
      </c>
      <c r="Y73" s="1356">
        <f t="shared" si="13"/>
        <v>6400</v>
      </c>
      <c r="Z73" s="1387" t="s">
        <v>7799</v>
      </c>
      <c r="AA73" s="1358" t="s">
        <v>7685</v>
      </c>
      <c r="AC73" s="1487" t="str">
        <f t="shared" si="4"/>
        <v>ok</v>
      </c>
      <c r="AE73" s="1246"/>
    </row>
    <row r="74" spans="1:31" s="1359" customFormat="1" ht="20.25" customHeight="1" x14ac:dyDescent="0.25">
      <c r="A74" s="1477">
        <v>67</v>
      </c>
      <c r="B74" s="1372" t="s">
        <v>8040</v>
      </c>
      <c r="C74" s="1509" t="s">
        <v>7798</v>
      </c>
      <c r="D74" s="1350">
        <v>0</v>
      </c>
      <c r="E74" s="1385">
        <f t="shared" si="0"/>
        <v>0</v>
      </c>
      <c r="F74" s="1375">
        <v>0</v>
      </c>
      <c r="G74" s="1385">
        <f t="shared" si="1"/>
        <v>0</v>
      </c>
      <c r="H74" s="1375">
        <v>0</v>
      </c>
      <c r="I74" s="1356">
        <f t="shared" si="2"/>
        <v>0</v>
      </c>
      <c r="J74" s="1375">
        <v>1</v>
      </c>
      <c r="K74" s="1356">
        <v>0</v>
      </c>
      <c r="L74" s="1350">
        <f t="shared" si="5"/>
        <v>0</v>
      </c>
      <c r="M74" s="1356">
        <f t="shared" si="6"/>
        <v>1</v>
      </c>
      <c r="N74" s="1356">
        <v>400</v>
      </c>
      <c r="O74" s="1353">
        <f t="shared" si="7"/>
        <v>400</v>
      </c>
      <c r="P74" s="1350">
        <v>0</v>
      </c>
      <c r="Q74" s="1354">
        <f t="shared" si="8"/>
        <v>0</v>
      </c>
      <c r="R74" s="1350">
        <v>0</v>
      </c>
      <c r="S74" s="1355">
        <f t="shared" si="9"/>
        <v>0</v>
      </c>
      <c r="T74" s="1350">
        <v>1</v>
      </c>
      <c r="U74" s="1355">
        <f t="shared" si="10"/>
        <v>400</v>
      </c>
      <c r="V74" s="1350">
        <v>0</v>
      </c>
      <c r="W74" s="1355">
        <f t="shared" si="11"/>
        <v>0</v>
      </c>
      <c r="X74" s="1356">
        <f t="shared" si="12"/>
        <v>1</v>
      </c>
      <c r="Y74" s="1356">
        <f t="shared" si="13"/>
        <v>400</v>
      </c>
      <c r="Z74" s="1387" t="s">
        <v>7799</v>
      </c>
      <c r="AA74" s="1358" t="s">
        <v>7685</v>
      </c>
      <c r="AC74" s="1487" t="str">
        <f t="shared" si="4"/>
        <v>ok</v>
      </c>
      <c r="AE74" s="1246"/>
    </row>
    <row r="75" spans="1:31" s="1359" customFormat="1" ht="33" customHeight="1" x14ac:dyDescent="0.25">
      <c r="A75" s="1279">
        <v>68</v>
      </c>
      <c r="B75" s="1372" t="s">
        <v>8041</v>
      </c>
      <c r="C75" s="1509" t="s">
        <v>7798</v>
      </c>
      <c r="D75" s="1350">
        <v>0</v>
      </c>
      <c r="E75" s="1385">
        <f t="shared" si="0"/>
        <v>0</v>
      </c>
      <c r="F75" s="1375">
        <v>0</v>
      </c>
      <c r="G75" s="1385">
        <f t="shared" si="1"/>
        <v>0</v>
      </c>
      <c r="H75" s="1375">
        <v>0</v>
      </c>
      <c r="I75" s="1356">
        <f t="shared" si="2"/>
        <v>0</v>
      </c>
      <c r="J75" s="1375">
        <v>1</v>
      </c>
      <c r="K75" s="1356">
        <v>0</v>
      </c>
      <c r="L75" s="1350">
        <f t="shared" si="5"/>
        <v>0</v>
      </c>
      <c r="M75" s="1356">
        <f t="shared" si="6"/>
        <v>1</v>
      </c>
      <c r="N75" s="1356">
        <v>700</v>
      </c>
      <c r="O75" s="1353">
        <f t="shared" si="7"/>
        <v>700</v>
      </c>
      <c r="P75" s="1350">
        <v>0</v>
      </c>
      <c r="Q75" s="1354">
        <f t="shared" si="8"/>
        <v>0</v>
      </c>
      <c r="R75" s="1350">
        <v>0</v>
      </c>
      <c r="S75" s="1355">
        <f t="shared" si="9"/>
        <v>0</v>
      </c>
      <c r="T75" s="1350">
        <v>1</v>
      </c>
      <c r="U75" s="1355">
        <f t="shared" si="10"/>
        <v>700</v>
      </c>
      <c r="V75" s="1350">
        <v>0</v>
      </c>
      <c r="W75" s="1355">
        <f t="shared" si="11"/>
        <v>0</v>
      </c>
      <c r="X75" s="1356">
        <f t="shared" si="12"/>
        <v>1</v>
      </c>
      <c r="Y75" s="1356">
        <f t="shared" si="13"/>
        <v>700</v>
      </c>
      <c r="Z75" s="1387" t="s">
        <v>7799</v>
      </c>
      <c r="AA75" s="1358" t="s">
        <v>7685</v>
      </c>
      <c r="AC75" s="1487" t="str">
        <f t="shared" si="4"/>
        <v>ok</v>
      </c>
      <c r="AE75" s="1246"/>
    </row>
    <row r="76" spans="1:31" s="1359" customFormat="1" ht="20.25" customHeight="1" x14ac:dyDescent="0.25">
      <c r="A76" s="1279">
        <v>69</v>
      </c>
      <c r="B76" s="1372" t="s">
        <v>8042</v>
      </c>
      <c r="C76" s="1509" t="s">
        <v>7823</v>
      </c>
      <c r="D76" s="1350">
        <v>0</v>
      </c>
      <c r="E76" s="1385">
        <f t="shared" si="0"/>
        <v>0</v>
      </c>
      <c r="F76" s="1375">
        <v>0</v>
      </c>
      <c r="G76" s="1385">
        <f t="shared" si="1"/>
        <v>0</v>
      </c>
      <c r="H76" s="1375">
        <v>0</v>
      </c>
      <c r="I76" s="1356">
        <f t="shared" si="2"/>
        <v>0</v>
      </c>
      <c r="J76" s="1375">
        <v>20</v>
      </c>
      <c r="K76" s="1356">
        <v>0</v>
      </c>
      <c r="L76" s="1350">
        <f t="shared" si="5"/>
        <v>0</v>
      </c>
      <c r="M76" s="1356">
        <f t="shared" si="6"/>
        <v>20</v>
      </c>
      <c r="N76" s="1356">
        <v>15</v>
      </c>
      <c r="O76" s="1353">
        <f t="shared" si="7"/>
        <v>300</v>
      </c>
      <c r="P76" s="1350">
        <v>5</v>
      </c>
      <c r="Q76" s="1354">
        <f t="shared" si="8"/>
        <v>75</v>
      </c>
      <c r="R76" s="1350">
        <v>5</v>
      </c>
      <c r="S76" s="1355">
        <f t="shared" si="9"/>
        <v>75</v>
      </c>
      <c r="T76" s="1350">
        <v>5</v>
      </c>
      <c r="U76" s="1355">
        <f t="shared" si="10"/>
        <v>75</v>
      </c>
      <c r="V76" s="1350">
        <v>5</v>
      </c>
      <c r="W76" s="1355">
        <f t="shared" si="11"/>
        <v>75</v>
      </c>
      <c r="X76" s="1356">
        <f t="shared" si="12"/>
        <v>20</v>
      </c>
      <c r="Y76" s="1356">
        <f t="shared" si="13"/>
        <v>300</v>
      </c>
      <c r="Z76" s="1387" t="s">
        <v>7799</v>
      </c>
      <c r="AA76" s="1358" t="s">
        <v>7685</v>
      </c>
      <c r="AC76" s="1487" t="str">
        <f t="shared" si="4"/>
        <v>ok</v>
      </c>
      <c r="AE76" s="1246"/>
    </row>
    <row r="77" spans="1:31" s="1359" customFormat="1" ht="34.5" customHeight="1" x14ac:dyDescent="0.25">
      <c r="A77" s="1477">
        <v>70</v>
      </c>
      <c r="B77" s="1372" t="s">
        <v>8043</v>
      </c>
      <c r="C77" s="1509" t="s">
        <v>8044</v>
      </c>
      <c r="D77" s="1350">
        <v>0</v>
      </c>
      <c r="E77" s="1385">
        <f t="shared" si="0"/>
        <v>0</v>
      </c>
      <c r="F77" s="1375">
        <v>0</v>
      </c>
      <c r="G77" s="1385">
        <f t="shared" si="1"/>
        <v>0</v>
      </c>
      <c r="H77" s="1375">
        <v>0</v>
      </c>
      <c r="I77" s="1356">
        <f t="shared" si="2"/>
        <v>0</v>
      </c>
      <c r="J77" s="1375">
        <v>1</v>
      </c>
      <c r="K77" s="1356">
        <v>0</v>
      </c>
      <c r="L77" s="1350">
        <f t="shared" si="5"/>
        <v>0</v>
      </c>
      <c r="M77" s="1356">
        <f t="shared" si="6"/>
        <v>1</v>
      </c>
      <c r="N77" s="1356">
        <v>42000</v>
      </c>
      <c r="O77" s="1353">
        <f t="shared" si="7"/>
        <v>42000</v>
      </c>
      <c r="P77" s="1350">
        <v>0</v>
      </c>
      <c r="Q77" s="1354">
        <f t="shared" si="8"/>
        <v>0</v>
      </c>
      <c r="R77" s="1350">
        <v>1</v>
      </c>
      <c r="S77" s="1355">
        <f t="shared" si="9"/>
        <v>42000</v>
      </c>
      <c r="T77" s="1350">
        <v>0</v>
      </c>
      <c r="U77" s="1355">
        <f t="shared" si="10"/>
        <v>0</v>
      </c>
      <c r="V77" s="1350">
        <v>0</v>
      </c>
      <c r="W77" s="1355">
        <f t="shared" si="11"/>
        <v>0</v>
      </c>
      <c r="X77" s="1356">
        <f t="shared" si="12"/>
        <v>1</v>
      </c>
      <c r="Y77" s="1356">
        <f t="shared" si="13"/>
        <v>42000</v>
      </c>
      <c r="Z77" s="1387" t="s">
        <v>7799</v>
      </c>
      <c r="AA77" s="1358" t="s">
        <v>8045</v>
      </c>
      <c r="AC77" s="1487" t="str">
        <f t="shared" si="4"/>
        <v>ok</v>
      </c>
      <c r="AE77" s="1246"/>
    </row>
    <row r="78" spans="1:31" s="1359" customFormat="1" ht="20.25" customHeight="1" x14ac:dyDescent="0.25">
      <c r="A78" s="1279">
        <v>71</v>
      </c>
      <c r="B78" s="1372" t="s">
        <v>8046</v>
      </c>
      <c r="C78" s="1509" t="s">
        <v>7874</v>
      </c>
      <c r="D78" s="1350">
        <v>0</v>
      </c>
      <c r="E78" s="1385">
        <f t="shared" ref="E78:E82" si="14">D78*N78</f>
        <v>0</v>
      </c>
      <c r="F78" s="1375">
        <v>0</v>
      </c>
      <c r="G78" s="1385">
        <f t="shared" ref="G78:G82" si="15">F78*N78</f>
        <v>0</v>
      </c>
      <c r="H78" s="1375">
        <v>0</v>
      </c>
      <c r="I78" s="1356">
        <f t="shared" ref="I78:I82" si="16">H78*N78</f>
        <v>0</v>
      </c>
      <c r="J78" s="1375">
        <v>1</v>
      </c>
      <c r="K78" s="1356">
        <v>0</v>
      </c>
      <c r="L78" s="1350">
        <f t="shared" si="5"/>
        <v>0</v>
      </c>
      <c r="M78" s="1356">
        <f t="shared" si="6"/>
        <v>1</v>
      </c>
      <c r="N78" s="1356">
        <v>50000</v>
      </c>
      <c r="O78" s="1353">
        <f t="shared" si="7"/>
        <v>50000</v>
      </c>
      <c r="P78" s="1350">
        <v>0</v>
      </c>
      <c r="Q78" s="1354">
        <f t="shared" si="8"/>
        <v>0</v>
      </c>
      <c r="R78" s="1350">
        <v>1</v>
      </c>
      <c r="S78" s="1355">
        <f t="shared" si="9"/>
        <v>50000</v>
      </c>
      <c r="T78" s="1350">
        <v>0</v>
      </c>
      <c r="U78" s="1355">
        <f t="shared" si="10"/>
        <v>0</v>
      </c>
      <c r="V78" s="1350">
        <v>0</v>
      </c>
      <c r="W78" s="1355">
        <f t="shared" si="11"/>
        <v>0</v>
      </c>
      <c r="X78" s="1356">
        <f t="shared" si="12"/>
        <v>1</v>
      </c>
      <c r="Y78" s="1356">
        <f t="shared" si="13"/>
        <v>50000</v>
      </c>
      <c r="Z78" s="1387" t="s">
        <v>7799</v>
      </c>
      <c r="AA78" s="1358" t="s">
        <v>8045</v>
      </c>
      <c r="AC78" s="1487" t="str">
        <f t="shared" ref="AC78:AC83" si="17">IF(O78=Y78,"ok")</f>
        <v>ok</v>
      </c>
      <c r="AE78" s="1246"/>
    </row>
    <row r="79" spans="1:31" s="1393" customFormat="1" ht="20.25" customHeight="1" x14ac:dyDescent="0.6">
      <c r="A79" s="1279">
        <v>72</v>
      </c>
      <c r="B79" s="1372" t="s">
        <v>8047</v>
      </c>
      <c r="C79" s="1509" t="s">
        <v>7874</v>
      </c>
      <c r="D79" s="1350">
        <v>0</v>
      </c>
      <c r="E79" s="1385">
        <f t="shared" si="14"/>
        <v>0</v>
      </c>
      <c r="F79" s="1375">
        <v>0</v>
      </c>
      <c r="G79" s="1385">
        <f t="shared" si="15"/>
        <v>0</v>
      </c>
      <c r="H79" s="1375">
        <v>0</v>
      </c>
      <c r="I79" s="1356">
        <f t="shared" si="16"/>
        <v>0</v>
      </c>
      <c r="J79" s="1375">
        <v>1</v>
      </c>
      <c r="K79" s="1356">
        <v>0</v>
      </c>
      <c r="L79" s="1350">
        <f t="shared" si="5"/>
        <v>0</v>
      </c>
      <c r="M79" s="1356">
        <f t="shared" si="6"/>
        <v>1</v>
      </c>
      <c r="N79" s="1356">
        <v>50000</v>
      </c>
      <c r="O79" s="1353">
        <f t="shared" si="7"/>
        <v>50000</v>
      </c>
      <c r="P79" s="1350">
        <v>0</v>
      </c>
      <c r="Q79" s="1354">
        <f t="shared" si="8"/>
        <v>0</v>
      </c>
      <c r="R79" s="1350">
        <v>1</v>
      </c>
      <c r="S79" s="1355">
        <f t="shared" si="9"/>
        <v>50000</v>
      </c>
      <c r="T79" s="1350">
        <v>0</v>
      </c>
      <c r="U79" s="1355">
        <f t="shared" si="10"/>
        <v>0</v>
      </c>
      <c r="V79" s="1350">
        <v>0</v>
      </c>
      <c r="W79" s="1355">
        <f t="shared" si="11"/>
        <v>0</v>
      </c>
      <c r="X79" s="1356">
        <f t="shared" si="12"/>
        <v>1</v>
      </c>
      <c r="Y79" s="1356">
        <f t="shared" si="13"/>
        <v>50000</v>
      </c>
      <c r="Z79" s="1387" t="s">
        <v>7799</v>
      </c>
      <c r="AA79" s="1358" t="s">
        <v>8045</v>
      </c>
      <c r="AB79" s="1393" t="str">
        <f>IF(O83=Y83,"yes")</f>
        <v>yes</v>
      </c>
      <c r="AC79" s="1487" t="str">
        <f t="shared" si="17"/>
        <v>ok</v>
      </c>
    </row>
    <row r="80" spans="1:31" s="1393" customFormat="1" ht="20.25" customHeight="1" x14ac:dyDescent="0.6">
      <c r="A80" s="1477">
        <v>73</v>
      </c>
      <c r="B80" s="1372" t="s">
        <v>8048</v>
      </c>
      <c r="C80" s="1509" t="s">
        <v>8049</v>
      </c>
      <c r="D80" s="1350">
        <v>0</v>
      </c>
      <c r="E80" s="1385">
        <f t="shared" si="14"/>
        <v>0</v>
      </c>
      <c r="F80" s="1375">
        <v>0</v>
      </c>
      <c r="G80" s="1385">
        <f t="shared" si="15"/>
        <v>0</v>
      </c>
      <c r="H80" s="1375">
        <v>0</v>
      </c>
      <c r="I80" s="1356">
        <f t="shared" si="16"/>
        <v>0</v>
      </c>
      <c r="J80" s="1375">
        <v>1</v>
      </c>
      <c r="K80" s="1356">
        <v>0</v>
      </c>
      <c r="L80" s="1350">
        <f t="shared" ref="L80:L81" si="18">K80*N80</f>
        <v>0</v>
      </c>
      <c r="M80" s="1356">
        <f t="shared" ref="M80:M82" si="19">J80-K80</f>
        <v>1</v>
      </c>
      <c r="N80" s="1356">
        <v>8500</v>
      </c>
      <c r="O80" s="1353">
        <f t="shared" ref="O80:O82" si="20">M80*N80</f>
        <v>8500</v>
      </c>
      <c r="P80" s="1350">
        <v>0</v>
      </c>
      <c r="Q80" s="1354">
        <f t="shared" ref="Q80:Q82" si="21">P80*N80</f>
        <v>0</v>
      </c>
      <c r="R80" s="1350">
        <v>1</v>
      </c>
      <c r="S80" s="1355">
        <f t="shared" ref="S80:S82" si="22">R80*N80</f>
        <v>8500</v>
      </c>
      <c r="T80" s="1350">
        <v>0</v>
      </c>
      <c r="U80" s="1355">
        <f t="shared" ref="U80:U82" si="23">T80*N80</f>
        <v>0</v>
      </c>
      <c r="V80" s="1350">
        <v>0</v>
      </c>
      <c r="W80" s="1355">
        <f t="shared" ref="W80:W82" si="24">V80*N80</f>
        <v>0</v>
      </c>
      <c r="X80" s="1356">
        <f t="shared" ref="X80:X82" si="25">P80+R80+T80+V80</f>
        <v>1</v>
      </c>
      <c r="Y80" s="1356">
        <f t="shared" ref="Y80:Y82" si="26">X80*N80</f>
        <v>8500</v>
      </c>
      <c r="Z80" s="1387" t="s">
        <v>7799</v>
      </c>
      <c r="AA80" s="1358" t="s">
        <v>8045</v>
      </c>
      <c r="AC80" s="1487" t="str">
        <f t="shared" si="17"/>
        <v>ok</v>
      </c>
    </row>
    <row r="81" spans="1:29" s="1280" customFormat="1" ht="20.25" customHeight="1" x14ac:dyDescent="0.6">
      <c r="A81" s="1279">
        <v>74</v>
      </c>
      <c r="B81" s="1372" t="s">
        <v>8050</v>
      </c>
      <c r="C81" s="1509" t="s">
        <v>7798</v>
      </c>
      <c r="D81" s="1350">
        <v>0</v>
      </c>
      <c r="E81" s="1385">
        <f t="shared" si="14"/>
        <v>0</v>
      </c>
      <c r="F81" s="1375">
        <v>0</v>
      </c>
      <c r="G81" s="1385">
        <f t="shared" si="15"/>
        <v>0</v>
      </c>
      <c r="H81" s="1375">
        <v>0</v>
      </c>
      <c r="I81" s="1356">
        <f t="shared" si="16"/>
        <v>0</v>
      </c>
      <c r="J81" s="1375">
        <v>1</v>
      </c>
      <c r="K81" s="1356">
        <v>0</v>
      </c>
      <c r="L81" s="1350">
        <f t="shared" si="18"/>
        <v>0</v>
      </c>
      <c r="M81" s="1356">
        <f t="shared" si="19"/>
        <v>1</v>
      </c>
      <c r="N81" s="1356">
        <v>8500</v>
      </c>
      <c r="O81" s="1353">
        <f t="shared" si="20"/>
        <v>8500</v>
      </c>
      <c r="P81" s="1350">
        <v>0</v>
      </c>
      <c r="Q81" s="1354">
        <f t="shared" si="21"/>
        <v>0</v>
      </c>
      <c r="R81" s="1350">
        <v>1</v>
      </c>
      <c r="S81" s="1355">
        <f t="shared" si="22"/>
        <v>8500</v>
      </c>
      <c r="T81" s="1350">
        <v>0</v>
      </c>
      <c r="U81" s="1355">
        <f t="shared" si="23"/>
        <v>0</v>
      </c>
      <c r="V81" s="1350">
        <v>0</v>
      </c>
      <c r="W81" s="1355">
        <f t="shared" si="24"/>
        <v>0</v>
      </c>
      <c r="X81" s="1356">
        <f t="shared" si="25"/>
        <v>1</v>
      </c>
      <c r="Y81" s="1356">
        <f t="shared" si="26"/>
        <v>8500</v>
      </c>
      <c r="Z81" s="1387" t="s">
        <v>7799</v>
      </c>
      <c r="AA81" s="1358" t="s">
        <v>8045</v>
      </c>
      <c r="AC81" s="1487" t="str">
        <f t="shared" si="17"/>
        <v>ok</v>
      </c>
    </row>
    <row r="82" spans="1:29" s="1280" customFormat="1" ht="51" customHeight="1" x14ac:dyDescent="0.6">
      <c r="A82" s="1279">
        <v>75</v>
      </c>
      <c r="B82" s="1372" t="s">
        <v>8051</v>
      </c>
      <c r="C82" s="1509" t="s">
        <v>8052</v>
      </c>
      <c r="D82" s="1350">
        <v>0</v>
      </c>
      <c r="E82" s="1385">
        <f t="shared" si="14"/>
        <v>0</v>
      </c>
      <c r="F82" s="1375">
        <v>0</v>
      </c>
      <c r="G82" s="1385">
        <f t="shared" si="15"/>
        <v>0</v>
      </c>
      <c r="H82" s="1375">
        <v>0</v>
      </c>
      <c r="I82" s="1356">
        <f t="shared" si="16"/>
        <v>0</v>
      </c>
      <c r="J82" s="1375">
        <v>1</v>
      </c>
      <c r="K82" s="1510">
        <v>0</v>
      </c>
      <c r="L82" s="1350">
        <v>0</v>
      </c>
      <c r="M82" s="1356">
        <f t="shared" si="19"/>
        <v>1</v>
      </c>
      <c r="N82" s="1356">
        <v>1200000</v>
      </c>
      <c r="O82" s="1353">
        <f t="shared" si="20"/>
        <v>1200000</v>
      </c>
      <c r="P82" s="1350">
        <v>1</v>
      </c>
      <c r="Q82" s="1354">
        <f t="shared" si="21"/>
        <v>1200000</v>
      </c>
      <c r="R82" s="1350">
        <v>0</v>
      </c>
      <c r="S82" s="1355">
        <f t="shared" si="22"/>
        <v>0</v>
      </c>
      <c r="T82" s="1350">
        <v>0</v>
      </c>
      <c r="U82" s="1355">
        <f t="shared" si="23"/>
        <v>0</v>
      </c>
      <c r="V82" s="1350">
        <v>0</v>
      </c>
      <c r="W82" s="1355">
        <f t="shared" si="24"/>
        <v>0</v>
      </c>
      <c r="X82" s="1356">
        <f t="shared" si="25"/>
        <v>1</v>
      </c>
      <c r="Y82" s="1356">
        <f t="shared" si="26"/>
        <v>1200000</v>
      </c>
      <c r="Z82" s="1387" t="s">
        <v>8053</v>
      </c>
      <c r="AA82" s="1358" t="s">
        <v>8045</v>
      </c>
      <c r="AC82" s="1487" t="str">
        <f t="shared" si="17"/>
        <v>ok</v>
      </c>
    </row>
    <row r="83" spans="1:29" s="1280" customFormat="1" ht="20.25" customHeight="1" x14ac:dyDescent="0.6">
      <c r="A83" s="1389" t="s">
        <v>7433</v>
      </c>
      <c r="B83" s="1389"/>
      <c r="C83" s="1389"/>
      <c r="D83" s="1392">
        <f>SUM(D8:D82)</f>
        <v>75623</v>
      </c>
      <c r="E83" s="1392">
        <f>SUM(E8:E82)</f>
        <v>711628</v>
      </c>
      <c r="F83" s="1392">
        <f t="shared" ref="F83:Y83" si="27">SUM(F8:F82)</f>
        <v>84801</v>
      </c>
      <c r="G83" s="1392">
        <f t="shared" si="27"/>
        <v>933033</v>
      </c>
      <c r="H83" s="1392">
        <f t="shared" si="27"/>
        <v>110422</v>
      </c>
      <c r="I83" s="1392">
        <f t="shared" si="27"/>
        <v>1920599.5</v>
      </c>
      <c r="J83" s="1392">
        <f t="shared" si="27"/>
        <v>155397</v>
      </c>
      <c r="K83" s="1392">
        <f t="shared" si="27"/>
        <v>8836</v>
      </c>
      <c r="L83" s="1392">
        <f t="shared" si="27"/>
        <v>149010</v>
      </c>
      <c r="M83" s="1392">
        <f t="shared" si="27"/>
        <v>146561</v>
      </c>
      <c r="N83" s="1392">
        <f t="shared" si="27"/>
        <v>1371512.88</v>
      </c>
      <c r="O83" s="1392">
        <f t="shared" si="27"/>
        <v>3195935</v>
      </c>
      <c r="P83" s="1392">
        <f t="shared" si="27"/>
        <v>47100</v>
      </c>
      <c r="Q83" s="1392">
        <f t="shared" si="27"/>
        <v>1692935</v>
      </c>
      <c r="R83" s="1392">
        <f t="shared" si="27"/>
        <v>31904</v>
      </c>
      <c r="S83" s="1392">
        <f t="shared" si="27"/>
        <v>622963</v>
      </c>
      <c r="T83" s="1392">
        <f t="shared" si="27"/>
        <v>38120</v>
      </c>
      <c r="U83" s="1392">
        <f t="shared" si="27"/>
        <v>436665</v>
      </c>
      <c r="V83" s="1392">
        <f t="shared" si="27"/>
        <v>29437</v>
      </c>
      <c r="W83" s="1392">
        <f t="shared" si="27"/>
        <v>443372</v>
      </c>
      <c r="X83" s="1392">
        <f t="shared" si="27"/>
        <v>146561</v>
      </c>
      <c r="Y83" s="1392">
        <f t="shared" si="27"/>
        <v>3195935</v>
      </c>
      <c r="Z83" s="1391"/>
      <c r="AA83" s="1392"/>
      <c r="AC83" s="1487" t="str">
        <f t="shared" si="17"/>
        <v>ok</v>
      </c>
    </row>
    <row r="84" spans="1:29" s="1280" customFormat="1" ht="20.25" customHeight="1" x14ac:dyDescent="0.6">
      <c r="A84" s="1394"/>
      <c r="B84" s="1394"/>
      <c r="C84" s="1394"/>
      <c r="D84" s="1393"/>
      <c r="E84" s="1393"/>
      <c r="F84" s="1393"/>
      <c r="G84" s="1393"/>
      <c r="H84" s="1393"/>
      <c r="I84" s="1393"/>
      <c r="J84" s="1393"/>
      <c r="K84" s="1393"/>
      <c r="L84" s="1393"/>
      <c r="M84" s="1393"/>
      <c r="N84" s="1393"/>
      <c r="O84" s="1393"/>
      <c r="P84" s="1393"/>
      <c r="Q84" s="1393"/>
      <c r="R84" s="1393"/>
      <c r="S84" s="1393"/>
      <c r="T84" s="1393"/>
      <c r="U84" s="1393"/>
      <c r="V84" s="1393"/>
      <c r="W84" s="1393"/>
      <c r="X84" s="1393"/>
      <c r="Y84" s="1393"/>
      <c r="Z84" s="1396"/>
      <c r="AA84" s="1393"/>
      <c r="AC84" s="1487"/>
    </row>
    <row r="85" spans="1:29" ht="20.25" customHeight="1" x14ac:dyDescent="0.6">
      <c r="C85" s="1404"/>
      <c r="D85" s="1288"/>
      <c r="E85" s="1288"/>
      <c r="F85" s="1288"/>
      <c r="G85" s="1288"/>
      <c r="H85" s="1288"/>
      <c r="I85" s="1288"/>
      <c r="J85" s="1288"/>
      <c r="K85" s="1288"/>
      <c r="L85" s="1288"/>
      <c r="M85" s="1288"/>
      <c r="N85" s="1400"/>
      <c r="O85" s="1400"/>
      <c r="P85" s="1400"/>
      <c r="Q85" s="1400"/>
      <c r="R85" s="1400"/>
      <c r="S85" s="1400"/>
      <c r="T85" s="1400"/>
      <c r="U85" s="1400"/>
      <c r="V85" s="1400"/>
      <c r="W85" s="1400"/>
      <c r="X85" s="1288"/>
      <c r="Y85" s="1288"/>
    </row>
    <row r="86" spans="1:29" ht="20.25" customHeight="1" x14ac:dyDescent="0.6">
      <c r="C86" s="1404"/>
    </row>
    <row r="87" spans="1:29" ht="20.25" customHeight="1" x14ac:dyDescent="0.6">
      <c r="B87" s="1290"/>
      <c r="G87" s="1288"/>
      <c r="N87" s="1290"/>
      <c r="O87" s="1290"/>
      <c r="P87" s="1290"/>
      <c r="Q87" s="1290"/>
      <c r="R87" s="1290"/>
      <c r="S87" s="1290"/>
      <c r="T87" s="1290"/>
      <c r="U87" s="1290"/>
      <c r="V87" s="1290"/>
      <c r="W87" s="1290"/>
      <c r="Z87" s="1290"/>
    </row>
    <row r="88" spans="1:29" ht="20.25" customHeight="1" x14ac:dyDescent="0.6">
      <c r="B88" s="1290"/>
      <c r="G88" s="1288"/>
      <c r="N88" s="1290"/>
      <c r="O88" s="1290"/>
      <c r="P88" s="1290"/>
      <c r="Q88" s="1290"/>
      <c r="R88" s="1290"/>
      <c r="S88" s="1290"/>
      <c r="T88" s="1290"/>
      <c r="U88" s="1290"/>
      <c r="V88" s="1290"/>
      <c r="W88" s="1290"/>
      <c r="Z88" s="1290"/>
    </row>
    <row r="89" spans="1:29" ht="20.25" customHeight="1" x14ac:dyDescent="0.6">
      <c r="B89" s="1290"/>
      <c r="G89" s="1288"/>
      <c r="N89" s="1290"/>
      <c r="O89" s="1290"/>
      <c r="P89" s="1290"/>
      <c r="Q89" s="1290"/>
      <c r="R89" s="1290"/>
      <c r="S89" s="1290"/>
      <c r="T89" s="1290"/>
      <c r="U89" s="1290"/>
      <c r="V89" s="1290"/>
      <c r="W89" s="1290"/>
      <c r="Z89" s="1290"/>
    </row>
    <row r="90" spans="1:29" ht="20.25" customHeight="1" x14ac:dyDescent="0.6">
      <c r="B90" s="1290"/>
      <c r="G90" s="1288"/>
      <c r="N90" s="1290"/>
      <c r="O90" s="1290"/>
      <c r="P90" s="1290"/>
      <c r="Q90" s="1290"/>
      <c r="R90" s="1290"/>
      <c r="S90" s="1290"/>
      <c r="Z90" s="1404"/>
    </row>
    <row r="91" spans="1:29" ht="20.25" customHeight="1" x14ac:dyDescent="0.6"/>
    <row r="92" spans="1:29" ht="20.25" customHeight="1" x14ac:dyDescent="0.6"/>
    <row r="93" spans="1:29" ht="20.25" customHeight="1" x14ac:dyDescent="0.6">
      <c r="AA93" s="1512"/>
    </row>
    <row r="99" spans="1:26" x14ac:dyDescent="0.6">
      <c r="A99" s="1513"/>
      <c r="N99" s="1288"/>
      <c r="O99" s="1290"/>
      <c r="Z99" s="1290"/>
    </row>
    <row r="100" spans="1:26" x14ac:dyDescent="0.6">
      <c r="A100" s="1513"/>
      <c r="N100" s="1288"/>
      <c r="O100" s="1290"/>
      <c r="Z100" s="1290"/>
    </row>
    <row r="101" spans="1:26" x14ac:dyDescent="0.6">
      <c r="A101" s="1513"/>
      <c r="N101" s="1288"/>
      <c r="O101" s="1290"/>
      <c r="Z101" s="1290"/>
    </row>
    <row r="102" spans="1:26" x14ac:dyDescent="0.6">
      <c r="A102" s="1513"/>
      <c r="N102" s="1288"/>
      <c r="O102" s="1290"/>
      <c r="Z102" s="1290"/>
    </row>
    <row r="103" spans="1:26" x14ac:dyDescent="0.6">
      <c r="A103" s="1513"/>
      <c r="N103" s="1288"/>
      <c r="O103" s="1290"/>
      <c r="Z103" s="1290"/>
    </row>
    <row r="104" spans="1:26" x14ac:dyDescent="0.6">
      <c r="A104" s="1513"/>
      <c r="N104" s="1288"/>
      <c r="O104" s="1290"/>
      <c r="Z104" s="1290"/>
    </row>
    <row r="105" spans="1:26" x14ac:dyDescent="0.6">
      <c r="A105" s="1513"/>
      <c r="N105" s="1288"/>
      <c r="O105" s="1290"/>
      <c r="Z105" s="1290"/>
    </row>
    <row r="106" spans="1:26" x14ac:dyDescent="0.6">
      <c r="A106" s="1513"/>
      <c r="N106" s="1288"/>
      <c r="O106" s="1290"/>
      <c r="Z106" s="1290"/>
    </row>
    <row r="107" spans="1:26" x14ac:dyDescent="0.6">
      <c r="A107" s="1513"/>
      <c r="N107" s="1288"/>
      <c r="O107" s="1290"/>
      <c r="Z107" s="1290"/>
    </row>
    <row r="108" spans="1:26" x14ac:dyDescent="0.6">
      <c r="A108" s="1513"/>
      <c r="N108" s="1288"/>
      <c r="O108" s="1290"/>
      <c r="Z108" s="1290"/>
    </row>
    <row r="109" spans="1:26" x14ac:dyDescent="0.6">
      <c r="A109" s="1513"/>
      <c r="N109" s="1288"/>
      <c r="O109" s="1290"/>
      <c r="Z109" s="1290"/>
    </row>
    <row r="110" spans="1:26" x14ac:dyDescent="0.6">
      <c r="A110" s="1513"/>
      <c r="N110" s="1288"/>
      <c r="O110" s="1290"/>
      <c r="Z110" s="1290"/>
    </row>
    <row r="111" spans="1:26" x14ac:dyDescent="0.6">
      <c r="A111" s="1513"/>
      <c r="N111" s="1288"/>
      <c r="O111" s="1290"/>
      <c r="Z111" s="1290"/>
    </row>
    <row r="112" spans="1:26" x14ac:dyDescent="0.6">
      <c r="A112" s="1513"/>
      <c r="N112" s="1288"/>
      <c r="O112" s="1290"/>
      <c r="Z112" s="1290"/>
    </row>
    <row r="113" spans="1:26" x14ac:dyDescent="0.6">
      <c r="A113" s="1513"/>
      <c r="N113" s="1288"/>
      <c r="O113" s="1290"/>
      <c r="Z113" s="1290"/>
    </row>
    <row r="114" spans="1:26" x14ac:dyDescent="0.6">
      <c r="A114" s="1513"/>
      <c r="N114" s="1288"/>
      <c r="O114" s="1290"/>
      <c r="Z114" s="1290"/>
    </row>
    <row r="115" spans="1:26" x14ac:dyDescent="0.6">
      <c r="A115" s="1513"/>
      <c r="N115" s="1288"/>
      <c r="O115" s="1290"/>
      <c r="Z115" s="1290"/>
    </row>
    <row r="116" spans="1:26" x14ac:dyDescent="0.6">
      <c r="A116" s="1513"/>
      <c r="N116" s="1288"/>
      <c r="O116" s="1290"/>
      <c r="Z116" s="1290"/>
    </row>
    <row r="117" spans="1:26" x14ac:dyDescent="0.6">
      <c r="A117" s="1513"/>
      <c r="N117" s="1288"/>
      <c r="O117" s="1290"/>
      <c r="Z117" s="1290"/>
    </row>
    <row r="118" spans="1:26" x14ac:dyDescent="0.6">
      <c r="A118" s="1513"/>
      <c r="N118" s="1288"/>
      <c r="O118" s="1290"/>
      <c r="Z118" s="1290"/>
    </row>
    <row r="119" spans="1:26" x14ac:dyDescent="0.6">
      <c r="A119" s="1513"/>
      <c r="N119" s="1288"/>
      <c r="O119" s="1290"/>
      <c r="Z119" s="1290"/>
    </row>
    <row r="120" spans="1:26" x14ac:dyDescent="0.6">
      <c r="A120" s="1513"/>
      <c r="N120" s="1288"/>
      <c r="O120" s="1290"/>
      <c r="Z120" s="1290"/>
    </row>
    <row r="121" spans="1:26" x14ac:dyDescent="0.6">
      <c r="A121" s="1513"/>
      <c r="N121" s="1288"/>
      <c r="O121" s="1290"/>
      <c r="Z121" s="1290"/>
    </row>
    <row r="122" spans="1:26" x14ac:dyDescent="0.6">
      <c r="A122" s="1513"/>
      <c r="N122" s="1288"/>
      <c r="O122" s="1290"/>
      <c r="Z122" s="1290"/>
    </row>
    <row r="123" spans="1:26" x14ac:dyDescent="0.6">
      <c r="A123" s="1513"/>
      <c r="N123" s="1288"/>
      <c r="O123" s="1290"/>
      <c r="Z123" s="1290"/>
    </row>
    <row r="124" spans="1:26" x14ac:dyDescent="0.6">
      <c r="A124" s="1513"/>
      <c r="N124" s="1288"/>
      <c r="O124" s="1290"/>
      <c r="Z124" s="1290"/>
    </row>
    <row r="125" spans="1:26" x14ac:dyDescent="0.6">
      <c r="A125" s="1513"/>
      <c r="N125" s="1288"/>
      <c r="O125" s="1290"/>
      <c r="Z125" s="1290"/>
    </row>
    <row r="126" spans="1:26" x14ac:dyDescent="0.6">
      <c r="A126" s="1513"/>
      <c r="N126" s="1288"/>
      <c r="O126" s="1290"/>
      <c r="Z126" s="1290"/>
    </row>
    <row r="127" spans="1:26" x14ac:dyDescent="0.6">
      <c r="A127" s="1513"/>
      <c r="N127" s="1288"/>
      <c r="O127" s="1290"/>
      <c r="Z127" s="1290"/>
    </row>
    <row r="128" spans="1:26" x14ac:dyDescent="0.6">
      <c r="A128" s="1513"/>
      <c r="N128" s="1288"/>
      <c r="O128" s="1290"/>
      <c r="Z128" s="1290"/>
    </row>
    <row r="129" spans="1:26" x14ac:dyDescent="0.6">
      <c r="A129" s="1513"/>
      <c r="N129" s="1288"/>
      <c r="O129" s="1290"/>
      <c r="Z129" s="1290"/>
    </row>
    <row r="130" spans="1:26" x14ac:dyDescent="0.6">
      <c r="A130" s="1513"/>
      <c r="N130" s="1288"/>
      <c r="O130" s="1290"/>
      <c r="Z130" s="1290"/>
    </row>
    <row r="131" spans="1:26" x14ac:dyDescent="0.6">
      <c r="A131" s="1513"/>
      <c r="N131" s="1288"/>
      <c r="O131" s="1290"/>
      <c r="Z131" s="1290"/>
    </row>
    <row r="132" spans="1:26" x14ac:dyDescent="0.6">
      <c r="A132" s="1513"/>
      <c r="N132" s="1288"/>
      <c r="O132" s="1290"/>
      <c r="Z132" s="1290"/>
    </row>
    <row r="133" spans="1:26" x14ac:dyDescent="0.6">
      <c r="A133" s="1513"/>
      <c r="N133" s="1288"/>
      <c r="O133" s="1290"/>
      <c r="Z133" s="1290"/>
    </row>
    <row r="134" spans="1:26" x14ac:dyDescent="0.6">
      <c r="A134" s="1513"/>
      <c r="N134" s="1288"/>
      <c r="O134" s="1290"/>
      <c r="Z134" s="1290"/>
    </row>
    <row r="135" spans="1:26" x14ac:dyDescent="0.6">
      <c r="A135" s="1513"/>
      <c r="N135" s="1288"/>
      <c r="O135" s="1290"/>
      <c r="Z135" s="1290"/>
    </row>
    <row r="136" spans="1:26" x14ac:dyDescent="0.6">
      <c r="A136" s="1513"/>
      <c r="N136" s="1288"/>
      <c r="O136" s="1290"/>
      <c r="Z136" s="1290"/>
    </row>
    <row r="137" spans="1:26" x14ac:dyDescent="0.6">
      <c r="A137" s="1513"/>
      <c r="N137" s="1288"/>
      <c r="O137" s="1290"/>
      <c r="Z137" s="1290"/>
    </row>
    <row r="138" spans="1:26" x14ac:dyDescent="0.6">
      <c r="A138" s="1513"/>
      <c r="N138" s="1288"/>
      <c r="O138" s="1290"/>
      <c r="Z138" s="1290"/>
    </row>
    <row r="139" spans="1:26" x14ac:dyDescent="0.6">
      <c r="A139" s="1513"/>
      <c r="N139" s="1288"/>
      <c r="O139" s="1290"/>
      <c r="Z139" s="1290"/>
    </row>
    <row r="140" spans="1:26" x14ac:dyDescent="0.6">
      <c r="A140" s="1513"/>
      <c r="N140" s="1288"/>
      <c r="O140" s="1290"/>
      <c r="Z140" s="1290"/>
    </row>
    <row r="141" spans="1:26" x14ac:dyDescent="0.6">
      <c r="A141" s="1513"/>
      <c r="N141" s="1288"/>
      <c r="O141" s="1290"/>
      <c r="Z141" s="1290"/>
    </row>
    <row r="142" spans="1:26" x14ac:dyDescent="0.6">
      <c r="A142" s="1513"/>
      <c r="N142" s="1288"/>
      <c r="O142" s="1290"/>
      <c r="Z142" s="1290"/>
    </row>
    <row r="143" spans="1:26" x14ac:dyDescent="0.6">
      <c r="A143" s="1513"/>
      <c r="N143" s="1288"/>
      <c r="O143" s="1290"/>
      <c r="Z143" s="1290"/>
    </row>
    <row r="144" spans="1:26" x14ac:dyDescent="0.6">
      <c r="A144" s="1513"/>
      <c r="N144" s="1288"/>
      <c r="O144" s="1290"/>
      <c r="Z144" s="1290"/>
    </row>
    <row r="145" spans="1:26" x14ac:dyDescent="0.6">
      <c r="A145" s="1513"/>
      <c r="N145" s="1288"/>
      <c r="O145" s="1290"/>
      <c r="Z145" s="1290"/>
    </row>
    <row r="146" spans="1:26" x14ac:dyDescent="0.6">
      <c r="A146" s="1513"/>
      <c r="N146" s="1288"/>
      <c r="O146" s="1290"/>
      <c r="Z146" s="1290"/>
    </row>
    <row r="147" spans="1:26" x14ac:dyDescent="0.6">
      <c r="A147" s="1513"/>
      <c r="N147" s="1288"/>
      <c r="O147" s="1290"/>
      <c r="Z147" s="1290"/>
    </row>
    <row r="148" spans="1:26" x14ac:dyDescent="0.6">
      <c r="A148" s="1513"/>
      <c r="N148" s="1288"/>
      <c r="O148" s="1290"/>
      <c r="Z148" s="1290"/>
    </row>
    <row r="149" spans="1:26" x14ac:dyDescent="0.6">
      <c r="A149" s="1513"/>
      <c r="N149" s="1288"/>
      <c r="O149" s="1290"/>
      <c r="Z149" s="1290"/>
    </row>
    <row r="150" spans="1:26" x14ac:dyDescent="0.6">
      <c r="A150" s="1513"/>
      <c r="N150" s="1288"/>
      <c r="O150" s="1290"/>
      <c r="Z150" s="1290"/>
    </row>
    <row r="151" spans="1:26" x14ac:dyDescent="0.6">
      <c r="A151" s="1513"/>
      <c r="N151" s="1288"/>
      <c r="O151" s="1290"/>
      <c r="Z151" s="1290"/>
    </row>
    <row r="152" spans="1:26" x14ac:dyDescent="0.6">
      <c r="A152" s="1513"/>
      <c r="N152" s="1288"/>
      <c r="O152" s="1290"/>
      <c r="Z152" s="1290"/>
    </row>
    <row r="153" spans="1:26" x14ac:dyDescent="0.6">
      <c r="A153" s="1513"/>
      <c r="N153" s="1288"/>
      <c r="O153" s="1290"/>
      <c r="Z153" s="1290"/>
    </row>
    <row r="154" spans="1:26" x14ac:dyDescent="0.6">
      <c r="A154" s="1513"/>
      <c r="N154" s="1288"/>
      <c r="O154" s="1290"/>
      <c r="Z154" s="1290"/>
    </row>
    <row r="155" spans="1:26" x14ac:dyDescent="0.6">
      <c r="A155" s="1513"/>
      <c r="N155" s="1288"/>
      <c r="O155" s="1290"/>
      <c r="Z155" s="1290"/>
    </row>
    <row r="156" spans="1:26" x14ac:dyDescent="0.6">
      <c r="A156" s="1513"/>
      <c r="N156" s="1288"/>
      <c r="O156" s="1290"/>
      <c r="Z156" s="1290"/>
    </row>
    <row r="157" spans="1:26" x14ac:dyDescent="0.6">
      <c r="A157" s="1513"/>
      <c r="N157" s="1288"/>
      <c r="O157" s="1290"/>
      <c r="Z157" s="1290"/>
    </row>
    <row r="158" spans="1:26" x14ac:dyDescent="0.6">
      <c r="A158" s="1513"/>
      <c r="N158" s="1288"/>
      <c r="O158" s="1290"/>
      <c r="Z158" s="1290"/>
    </row>
    <row r="159" spans="1:26" x14ac:dyDescent="0.6">
      <c r="A159" s="1513"/>
      <c r="N159" s="1288"/>
      <c r="O159" s="1290"/>
      <c r="Z159" s="1290"/>
    </row>
    <row r="160" spans="1:26" x14ac:dyDescent="0.6">
      <c r="A160" s="1513"/>
      <c r="N160" s="1288"/>
      <c r="O160" s="1290"/>
      <c r="Z160" s="1290"/>
    </row>
    <row r="161" spans="1:26" x14ac:dyDescent="0.6">
      <c r="A161" s="1513"/>
      <c r="N161" s="1288"/>
      <c r="O161" s="1290"/>
      <c r="Z161" s="1290"/>
    </row>
    <row r="162" spans="1:26" x14ac:dyDescent="0.6">
      <c r="A162" s="1513"/>
      <c r="N162" s="1288"/>
      <c r="O162" s="1290"/>
      <c r="Z162" s="1290"/>
    </row>
    <row r="163" spans="1:26" x14ac:dyDescent="0.6">
      <c r="A163" s="1513"/>
      <c r="N163" s="1288"/>
      <c r="O163" s="1290"/>
      <c r="Z163" s="1290"/>
    </row>
    <row r="164" spans="1:26" x14ac:dyDescent="0.6">
      <c r="A164" s="1513"/>
      <c r="N164" s="1288"/>
      <c r="O164" s="1290"/>
      <c r="Z164" s="1290"/>
    </row>
    <row r="165" spans="1:26" x14ac:dyDescent="0.6">
      <c r="A165" s="1513"/>
      <c r="N165" s="1288"/>
      <c r="O165" s="1290"/>
      <c r="Z165" s="1290"/>
    </row>
    <row r="166" spans="1:26" x14ac:dyDescent="0.6">
      <c r="A166" s="1513"/>
      <c r="N166" s="1288"/>
      <c r="O166" s="1290"/>
      <c r="Z166" s="1290"/>
    </row>
    <row r="167" spans="1:26" x14ac:dyDescent="0.6">
      <c r="A167" s="1513"/>
      <c r="N167" s="1288"/>
      <c r="O167" s="1290"/>
      <c r="Z167" s="1290"/>
    </row>
    <row r="168" spans="1:26" x14ac:dyDescent="0.6">
      <c r="A168" s="1513"/>
      <c r="N168" s="1288"/>
      <c r="O168" s="1290"/>
      <c r="Z168" s="1290"/>
    </row>
    <row r="169" spans="1:26" x14ac:dyDescent="0.6">
      <c r="A169" s="1513"/>
      <c r="N169" s="1288"/>
      <c r="O169" s="1290"/>
      <c r="Z169" s="1290"/>
    </row>
    <row r="170" spans="1:26" x14ac:dyDescent="0.6">
      <c r="A170" s="1513"/>
      <c r="N170" s="1288"/>
      <c r="O170" s="1290"/>
      <c r="Z170" s="1290"/>
    </row>
    <row r="171" spans="1:26" x14ac:dyDescent="0.6">
      <c r="A171" s="1513"/>
      <c r="N171" s="1288"/>
      <c r="O171" s="1290"/>
      <c r="Z171" s="1290"/>
    </row>
    <row r="172" spans="1:26" x14ac:dyDescent="0.6">
      <c r="A172" s="1513"/>
      <c r="N172" s="1288"/>
      <c r="O172" s="1290"/>
      <c r="Z172" s="1290"/>
    </row>
    <row r="173" spans="1:26" x14ac:dyDescent="0.6">
      <c r="A173" s="1513"/>
      <c r="N173" s="1288"/>
      <c r="O173" s="1290"/>
      <c r="Z173" s="1290"/>
    </row>
    <row r="174" spans="1:26" x14ac:dyDescent="0.6">
      <c r="A174" s="1513"/>
      <c r="N174" s="1288"/>
      <c r="O174" s="1290"/>
      <c r="Z174" s="1290"/>
    </row>
    <row r="175" spans="1:26" x14ac:dyDescent="0.6">
      <c r="A175" s="1513"/>
      <c r="N175" s="1288"/>
      <c r="O175" s="1290"/>
      <c r="Z175" s="1290"/>
    </row>
    <row r="176" spans="1:26" x14ac:dyDescent="0.6">
      <c r="A176" s="1513"/>
      <c r="N176" s="1288"/>
      <c r="O176" s="1290"/>
      <c r="Z176" s="1290"/>
    </row>
    <row r="177" spans="1:26" x14ac:dyDescent="0.6">
      <c r="A177" s="1513"/>
      <c r="N177" s="1288"/>
      <c r="O177" s="1290"/>
      <c r="Z177" s="1290"/>
    </row>
    <row r="178" spans="1:26" x14ac:dyDescent="0.6">
      <c r="A178" s="1513"/>
      <c r="N178" s="1288"/>
      <c r="O178" s="1290"/>
      <c r="Z178" s="1290"/>
    </row>
    <row r="179" spans="1:26" x14ac:dyDescent="0.6">
      <c r="A179" s="1513"/>
      <c r="N179" s="1288"/>
      <c r="O179" s="1290"/>
      <c r="Z179" s="1290"/>
    </row>
    <row r="180" spans="1:26" x14ac:dyDescent="0.6">
      <c r="A180" s="1513"/>
      <c r="N180" s="1288"/>
      <c r="O180" s="1290"/>
      <c r="Z180" s="1290"/>
    </row>
    <row r="181" spans="1:26" x14ac:dyDescent="0.6">
      <c r="A181" s="1513"/>
      <c r="N181" s="1288"/>
      <c r="O181" s="1290"/>
      <c r="Z181" s="1290"/>
    </row>
    <row r="182" spans="1:26" x14ac:dyDescent="0.6">
      <c r="A182" s="1513"/>
      <c r="N182" s="1288"/>
      <c r="O182" s="1290"/>
      <c r="Z182" s="1290"/>
    </row>
    <row r="183" spans="1:26" x14ac:dyDescent="0.6">
      <c r="A183" s="1513"/>
      <c r="N183" s="1288"/>
      <c r="O183" s="1290"/>
      <c r="Z183" s="1290"/>
    </row>
    <row r="184" spans="1:26" x14ac:dyDescent="0.6">
      <c r="A184" s="1513"/>
      <c r="N184" s="1288"/>
      <c r="O184" s="1290"/>
      <c r="Z184" s="1290"/>
    </row>
    <row r="185" spans="1:26" x14ac:dyDescent="0.6">
      <c r="A185" s="1513"/>
      <c r="N185" s="1288"/>
      <c r="O185" s="1290"/>
      <c r="Z185" s="1290"/>
    </row>
    <row r="186" spans="1:26" x14ac:dyDescent="0.6">
      <c r="A186" s="1513"/>
      <c r="N186" s="1288"/>
      <c r="O186" s="1290"/>
      <c r="Z186" s="1290"/>
    </row>
    <row r="187" spans="1:26" x14ac:dyDescent="0.6">
      <c r="A187" s="1513"/>
      <c r="N187" s="1288"/>
      <c r="O187" s="1290"/>
      <c r="Z187" s="1290"/>
    </row>
    <row r="188" spans="1:26" x14ac:dyDescent="0.6">
      <c r="A188" s="1513"/>
      <c r="N188" s="1288"/>
      <c r="O188" s="1290"/>
      <c r="Z188" s="1290"/>
    </row>
    <row r="189" spans="1:26" x14ac:dyDescent="0.6">
      <c r="A189" s="1513"/>
      <c r="N189" s="1288"/>
      <c r="O189" s="1290"/>
      <c r="Z189" s="1290"/>
    </row>
    <row r="190" spans="1:26" x14ac:dyDescent="0.6">
      <c r="A190" s="1513"/>
      <c r="N190" s="1288"/>
      <c r="O190" s="1290"/>
      <c r="Z190" s="1290"/>
    </row>
    <row r="191" spans="1:26" x14ac:dyDescent="0.6">
      <c r="A191" s="1513"/>
      <c r="N191" s="1288"/>
      <c r="O191" s="1290"/>
      <c r="Z191" s="1290"/>
    </row>
    <row r="192" spans="1:26" x14ac:dyDescent="0.6">
      <c r="A192" s="1513"/>
      <c r="N192" s="1288"/>
      <c r="O192" s="1290"/>
      <c r="Z192" s="1290"/>
    </row>
    <row r="193" spans="1:26" x14ac:dyDescent="0.6">
      <c r="A193" s="1513"/>
      <c r="N193" s="1288"/>
      <c r="O193" s="1290"/>
      <c r="Z193" s="1290"/>
    </row>
    <row r="194" spans="1:26" x14ac:dyDescent="0.6">
      <c r="A194" s="1513"/>
      <c r="N194" s="1288"/>
      <c r="O194" s="1290"/>
      <c r="Z194" s="1290"/>
    </row>
    <row r="195" spans="1:26" x14ac:dyDescent="0.6">
      <c r="A195" s="1513"/>
      <c r="N195" s="1288"/>
      <c r="O195" s="1290"/>
      <c r="Z195" s="1290"/>
    </row>
    <row r="196" spans="1:26" x14ac:dyDescent="0.6">
      <c r="A196" s="1513"/>
      <c r="N196" s="1288"/>
      <c r="O196" s="1290"/>
      <c r="Z196" s="1290"/>
    </row>
    <row r="197" spans="1:26" x14ac:dyDescent="0.6">
      <c r="A197" s="1513"/>
      <c r="N197" s="1288"/>
      <c r="O197" s="1290"/>
      <c r="Z197" s="1290"/>
    </row>
    <row r="198" spans="1:26" x14ac:dyDescent="0.6">
      <c r="A198" s="1513"/>
      <c r="N198" s="1288"/>
      <c r="O198" s="1290"/>
      <c r="Z198" s="1290"/>
    </row>
    <row r="199" spans="1:26" x14ac:dyDescent="0.6">
      <c r="A199" s="1513"/>
      <c r="N199" s="1288"/>
      <c r="O199" s="1290"/>
      <c r="Z199" s="1290"/>
    </row>
    <row r="200" spans="1:26" x14ac:dyDescent="0.6">
      <c r="A200" s="1513"/>
      <c r="N200" s="1288"/>
      <c r="O200" s="1290"/>
      <c r="Z200" s="1290"/>
    </row>
    <row r="201" spans="1:26" x14ac:dyDescent="0.6">
      <c r="A201" s="1513"/>
      <c r="N201" s="1288"/>
      <c r="O201" s="1290"/>
      <c r="Z201" s="1290"/>
    </row>
    <row r="202" spans="1:26" x14ac:dyDescent="0.6">
      <c r="A202" s="1513"/>
      <c r="N202" s="1288"/>
      <c r="O202" s="1290"/>
      <c r="Z202" s="1290"/>
    </row>
    <row r="203" spans="1:26" x14ac:dyDescent="0.6">
      <c r="A203" s="1513"/>
      <c r="N203" s="1288"/>
      <c r="O203" s="1290"/>
      <c r="Z203" s="1290"/>
    </row>
    <row r="204" spans="1:26" x14ac:dyDescent="0.6">
      <c r="A204" s="1513"/>
      <c r="N204" s="1288"/>
      <c r="O204" s="1290"/>
      <c r="Z204" s="1290"/>
    </row>
    <row r="205" spans="1:26" x14ac:dyDescent="0.6">
      <c r="A205" s="1513"/>
      <c r="N205" s="1288"/>
      <c r="O205" s="1290"/>
      <c r="Z205" s="1290"/>
    </row>
    <row r="206" spans="1:26" x14ac:dyDescent="0.6">
      <c r="A206" s="1513"/>
      <c r="N206" s="1288"/>
      <c r="O206" s="1290"/>
      <c r="Z206" s="1290"/>
    </row>
    <row r="207" spans="1:26" x14ac:dyDescent="0.6">
      <c r="A207" s="1513"/>
      <c r="N207" s="1288"/>
      <c r="O207" s="1290"/>
      <c r="Z207" s="1290"/>
    </row>
    <row r="208" spans="1:26" x14ac:dyDescent="0.6">
      <c r="A208" s="1513"/>
      <c r="N208" s="1288"/>
      <c r="O208" s="1290"/>
      <c r="Z208" s="1290"/>
    </row>
    <row r="209" spans="1:26" x14ac:dyDescent="0.6">
      <c r="A209" s="1513"/>
      <c r="N209" s="1288"/>
      <c r="O209" s="1290"/>
      <c r="Z209" s="1290"/>
    </row>
    <row r="210" spans="1:26" x14ac:dyDescent="0.6">
      <c r="A210" s="1513"/>
      <c r="N210" s="1288"/>
      <c r="O210" s="1290"/>
      <c r="Z210" s="1290"/>
    </row>
    <row r="211" spans="1:26" x14ac:dyDescent="0.6">
      <c r="A211" s="1513"/>
      <c r="N211" s="1288"/>
      <c r="O211" s="1290"/>
      <c r="Z211" s="1290"/>
    </row>
    <row r="212" spans="1:26" x14ac:dyDescent="0.6">
      <c r="A212" s="1513"/>
      <c r="N212" s="1288"/>
      <c r="O212" s="1290"/>
      <c r="Z212" s="1290"/>
    </row>
    <row r="213" spans="1:26" x14ac:dyDescent="0.6">
      <c r="A213" s="1513"/>
      <c r="N213" s="1288"/>
      <c r="O213" s="1290"/>
      <c r="Z213" s="1290"/>
    </row>
    <row r="214" spans="1:26" x14ac:dyDescent="0.6">
      <c r="A214" s="1513"/>
      <c r="N214" s="1288"/>
      <c r="O214" s="1290"/>
      <c r="Z214" s="1290"/>
    </row>
    <row r="215" spans="1:26" x14ac:dyDescent="0.6">
      <c r="A215" s="1513"/>
      <c r="N215" s="1288"/>
      <c r="O215" s="1290"/>
      <c r="Z215" s="1290"/>
    </row>
    <row r="216" spans="1:26" x14ac:dyDescent="0.6">
      <c r="A216" s="1513"/>
      <c r="N216" s="1288"/>
      <c r="O216" s="1290"/>
      <c r="Z216" s="1290"/>
    </row>
    <row r="217" spans="1:26" x14ac:dyDescent="0.6">
      <c r="A217" s="1513"/>
      <c r="N217" s="1288"/>
      <c r="O217" s="1290"/>
      <c r="Z217" s="1290"/>
    </row>
    <row r="218" spans="1:26" x14ac:dyDescent="0.6">
      <c r="A218" s="1513"/>
      <c r="N218" s="1288"/>
      <c r="O218" s="1290"/>
      <c r="Z218" s="1290"/>
    </row>
    <row r="219" spans="1:26" x14ac:dyDescent="0.6">
      <c r="A219" s="1513"/>
      <c r="N219" s="1288"/>
      <c r="O219" s="1290"/>
      <c r="Z219" s="1290"/>
    </row>
    <row r="220" spans="1:26" x14ac:dyDescent="0.6">
      <c r="A220" s="1513"/>
      <c r="N220" s="1288"/>
      <c r="O220" s="1290"/>
      <c r="Z220" s="1290"/>
    </row>
    <row r="221" spans="1:26" x14ac:dyDescent="0.6">
      <c r="A221" s="1513"/>
      <c r="N221" s="1288"/>
      <c r="O221" s="1290"/>
      <c r="Z221" s="1290"/>
    </row>
    <row r="222" spans="1:26" x14ac:dyDescent="0.6">
      <c r="A222" s="1513"/>
      <c r="N222" s="1288"/>
      <c r="O222" s="1290"/>
      <c r="Z222" s="1290"/>
    </row>
    <row r="223" spans="1:26" x14ac:dyDescent="0.6">
      <c r="A223" s="1513"/>
      <c r="N223" s="1288"/>
      <c r="O223" s="1290"/>
      <c r="Z223" s="1290"/>
    </row>
    <row r="224" spans="1:26" x14ac:dyDescent="0.6">
      <c r="A224" s="1513"/>
      <c r="N224" s="1288"/>
      <c r="O224" s="1290"/>
      <c r="Z224" s="1290"/>
    </row>
    <row r="225" spans="1:26" x14ac:dyDescent="0.6">
      <c r="A225" s="1513"/>
      <c r="N225" s="1288"/>
      <c r="O225" s="1290"/>
      <c r="Z225" s="1290"/>
    </row>
    <row r="226" spans="1:26" x14ac:dyDescent="0.6">
      <c r="A226" s="1513"/>
      <c r="N226" s="1288"/>
      <c r="O226" s="1290"/>
      <c r="Z226" s="1290"/>
    </row>
    <row r="227" spans="1:26" x14ac:dyDescent="0.6">
      <c r="A227" s="1513"/>
      <c r="N227" s="1288"/>
      <c r="O227" s="1290"/>
      <c r="Z227" s="1290"/>
    </row>
    <row r="228" spans="1:26" x14ac:dyDescent="0.6">
      <c r="A228" s="1513"/>
      <c r="N228" s="1288"/>
      <c r="O228" s="1290"/>
      <c r="Z228" s="1290"/>
    </row>
    <row r="229" spans="1:26" x14ac:dyDescent="0.6">
      <c r="A229" s="1513"/>
      <c r="N229" s="1288"/>
      <c r="O229" s="1290"/>
      <c r="Z229" s="1290"/>
    </row>
    <row r="230" spans="1:26" x14ac:dyDescent="0.6">
      <c r="A230" s="1513"/>
      <c r="N230" s="1288"/>
      <c r="O230" s="1290"/>
      <c r="Z230" s="1290"/>
    </row>
    <row r="231" spans="1:26" x14ac:dyDescent="0.6">
      <c r="A231" s="1513"/>
      <c r="N231" s="1288"/>
      <c r="O231" s="1290"/>
      <c r="Z231" s="1290"/>
    </row>
    <row r="232" spans="1:26" x14ac:dyDescent="0.6">
      <c r="A232" s="1513"/>
      <c r="N232" s="1288"/>
      <c r="O232" s="1290"/>
      <c r="Z232" s="1290"/>
    </row>
    <row r="233" spans="1:26" x14ac:dyDescent="0.6">
      <c r="A233" s="1513"/>
      <c r="N233" s="1288"/>
      <c r="O233" s="1290"/>
      <c r="Z233" s="1290"/>
    </row>
    <row r="234" spans="1:26" x14ac:dyDescent="0.6">
      <c r="A234" s="1513"/>
      <c r="N234" s="1288"/>
      <c r="O234" s="1290"/>
      <c r="Z234" s="1290"/>
    </row>
    <row r="235" spans="1:26" x14ac:dyDescent="0.6">
      <c r="A235" s="1513"/>
      <c r="N235" s="1288"/>
      <c r="O235" s="1290"/>
      <c r="Z235" s="1290"/>
    </row>
    <row r="236" spans="1:26" x14ac:dyDescent="0.6">
      <c r="A236" s="1513"/>
      <c r="N236" s="1288"/>
      <c r="O236" s="1290"/>
      <c r="Z236" s="1290"/>
    </row>
    <row r="237" spans="1:26" x14ac:dyDescent="0.6">
      <c r="A237" s="1513"/>
      <c r="N237" s="1288"/>
      <c r="O237" s="1290"/>
      <c r="Z237" s="1290"/>
    </row>
    <row r="238" spans="1:26" x14ac:dyDescent="0.6">
      <c r="A238" s="1513"/>
      <c r="N238" s="1288"/>
      <c r="O238" s="1290"/>
      <c r="Z238" s="1290"/>
    </row>
    <row r="239" spans="1:26" x14ac:dyDescent="0.6">
      <c r="A239" s="1513"/>
      <c r="N239" s="1288"/>
      <c r="O239" s="1290"/>
      <c r="Z239" s="1290"/>
    </row>
    <row r="240" spans="1:26" x14ac:dyDescent="0.6">
      <c r="A240" s="1513"/>
      <c r="N240" s="1288"/>
      <c r="O240" s="1290"/>
      <c r="Z240" s="1290"/>
    </row>
    <row r="241" spans="1:26" x14ac:dyDescent="0.6">
      <c r="A241" s="1513"/>
      <c r="N241" s="1288"/>
      <c r="O241" s="1290"/>
      <c r="Z241" s="1290"/>
    </row>
    <row r="242" spans="1:26" x14ac:dyDescent="0.6">
      <c r="A242" s="1513"/>
      <c r="N242" s="1288"/>
      <c r="O242" s="1290"/>
      <c r="Z242" s="1290"/>
    </row>
    <row r="243" spans="1:26" x14ac:dyDescent="0.6">
      <c r="A243" s="1513"/>
      <c r="N243" s="1288"/>
      <c r="O243" s="1290"/>
      <c r="Z243" s="1290"/>
    </row>
    <row r="244" spans="1:26" x14ac:dyDescent="0.6">
      <c r="A244" s="1513"/>
      <c r="N244" s="1288"/>
      <c r="O244" s="1290"/>
      <c r="Z244" s="1290"/>
    </row>
    <row r="245" spans="1:26" x14ac:dyDescent="0.6">
      <c r="A245" s="1513"/>
      <c r="N245" s="1288"/>
      <c r="O245" s="1290"/>
      <c r="Z245" s="1290"/>
    </row>
    <row r="246" spans="1:26" x14ac:dyDescent="0.6">
      <c r="A246" s="1513"/>
      <c r="N246" s="1288"/>
      <c r="O246" s="1290"/>
      <c r="Z246" s="1290"/>
    </row>
    <row r="247" spans="1:26" x14ac:dyDescent="0.6">
      <c r="A247" s="1513"/>
      <c r="N247" s="1288"/>
      <c r="O247" s="1290"/>
      <c r="Z247" s="1290"/>
    </row>
    <row r="248" spans="1:26" x14ac:dyDescent="0.6">
      <c r="A248" s="1513"/>
      <c r="N248" s="1288"/>
      <c r="O248" s="1290"/>
      <c r="Z248" s="1290"/>
    </row>
    <row r="249" spans="1:26" x14ac:dyDescent="0.6">
      <c r="A249" s="1513"/>
      <c r="N249" s="1288"/>
      <c r="O249" s="1290"/>
      <c r="Z249" s="1290"/>
    </row>
    <row r="250" spans="1:26" x14ac:dyDescent="0.6">
      <c r="A250" s="1513"/>
      <c r="N250" s="1288"/>
      <c r="O250" s="1290"/>
      <c r="Z250" s="1290"/>
    </row>
    <row r="251" spans="1:26" x14ac:dyDescent="0.6">
      <c r="A251" s="1513"/>
      <c r="N251" s="1288"/>
      <c r="O251" s="1290"/>
      <c r="Z251" s="1290"/>
    </row>
    <row r="252" spans="1:26" x14ac:dyDescent="0.6">
      <c r="A252" s="1513"/>
      <c r="N252" s="1288"/>
      <c r="O252" s="1290"/>
      <c r="Z252" s="1290"/>
    </row>
    <row r="253" spans="1:26" x14ac:dyDescent="0.6">
      <c r="A253" s="1513"/>
      <c r="N253" s="1288"/>
      <c r="O253" s="1290"/>
      <c r="Z253" s="1290"/>
    </row>
    <row r="254" spans="1:26" x14ac:dyDescent="0.6">
      <c r="A254" s="1513"/>
      <c r="N254" s="1288"/>
      <c r="O254" s="1290"/>
      <c r="Z254" s="1290"/>
    </row>
    <row r="255" spans="1:26" x14ac:dyDescent="0.6">
      <c r="A255" s="1513"/>
      <c r="N255" s="1288"/>
      <c r="O255" s="1290"/>
      <c r="Z255" s="1290"/>
    </row>
    <row r="256" spans="1:26" x14ac:dyDescent="0.6">
      <c r="A256" s="1513"/>
      <c r="N256" s="1288"/>
      <c r="O256" s="1290"/>
      <c r="Z256" s="1290"/>
    </row>
    <row r="257" spans="1:26" x14ac:dyDescent="0.6">
      <c r="A257" s="1513"/>
      <c r="N257" s="1288"/>
      <c r="O257" s="1290"/>
      <c r="Z257" s="1290"/>
    </row>
    <row r="258" spans="1:26" x14ac:dyDescent="0.6">
      <c r="A258" s="1513"/>
      <c r="N258" s="1288"/>
      <c r="O258" s="1290"/>
      <c r="Z258" s="1290"/>
    </row>
    <row r="259" spans="1:26" x14ac:dyDescent="0.6">
      <c r="A259" s="1513"/>
      <c r="N259" s="1288"/>
      <c r="O259" s="1290"/>
      <c r="Z259" s="1290"/>
    </row>
    <row r="260" spans="1:26" x14ac:dyDescent="0.6">
      <c r="A260" s="1513"/>
      <c r="N260" s="1288"/>
      <c r="O260" s="1290"/>
      <c r="Z260" s="1290"/>
    </row>
    <row r="261" spans="1:26" x14ac:dyDescent="0.6">
      <c r="A261" s="1513"/>
      <c r="N261" s="1288"/>
      <c r="O261" s="1290"/>
      <c r="Z261" s="1290"/>
    </row>
    <row r="262" spans="1:26" x14ac:dyDescent="0.6">
      <c r="A262" s="1513"/>
      <c r="N262" s="1288"/>
      <c r="O262" s="1290"/>
      <c r="Z262" s="1290"/>
    </row>
    <row r="263" spans="1:26" x14ac:dyDescent="0.6">
      <c r="A263" s="1513"/>
      <c r="N263" s="1288"/>
      <c r="O263" s="1290"/>
      <c r="Z263" s="1290"/>
    </row>
    <row r="264" spans="1:26" x14ac:dyDescent="0.6">
      <c r="A264" s="1513"/>
      <c r="N264" s="1288"/>
      <c r="O264" s="1290"/>
      <c r="Z264" s="1290"/>
    </row>
    <row r="265" spans="1:26" x14ac:dyDescent="0.6">
      <c r="A265" s="1513"/>
      <c r="N265" s="1288"/>
      <c r="O265" s="1290"/>
      <c r="Z265" s="1290"/>
    </row>
    <row r="266" spans="1:26" x14ac:dyDescent="0.6">
      <c r="A266" s="1513"/>
      <c r="N266" s="1288"/>
      <c r="O266" s="1290"/>
      <c r="Z266" s="1290"/>
    </row>
    <row r="267" spans="1:26" x14ac:dyDescent="0.6">
      <c r="A267" s="1513"/>
      <c r="N267" s="1288"/>
      <c r="O267" s="1290"/>
      <c r="Z267" s="1290"/>
    </row>
    <row r="268" spans="1:26" x14ac:dyDescent="0.6">
      <c r="A268" s="1513"/>
      <c r="N268" s="1288"/>
      <c r="O268" s="1290"/>
      <c r="Z268" s="1290"/>
    </row>
    <row r="269" spans="1:26" x14ac:dyDescent="0.6">
      <c r="A269" s="1513"/>
      <c r="N269" s="1288"/>
      <c r="O269" s="1290"/>
      <c r="Z269" s="1290"/>
    </row>
    <row r="270" spans="1:26" x14ac:dyDescent="0.6">
      <c r="A270" s="1513"/>
      <c r="N270" s="1288"/>
      <c r="O270" s="1290"/>
      <c r="Z270" s="1290"/>
    </row>
    <row r="271" spans="1:26" x14ac:dyDescent="0.6">
      <c r="A271" s="1513"/>
      <c r="N271" s="1288"/>
      <c r="O271" s="1290"/>
      <c r="Z271" s="1290"/>
    </row>
    <row r="272" spans="1:26" x14ac:dyDescent="0.6">
      <c r="A272" s="1513"/>
      <c r="N272" s="1288"/>
      <c r="O272" s="1290"/>
      <c r="Z272" s="1290"/>
    </row>
    <row r="273" spans="1:26" x14ac:dyDescent="0.6">
      <c r="A273" s="1513"/>
      <c r="N273" s="1288"/>
      <c r="O273" s="1290"/>
      <c r="Z273" s="1290"/>
    </row>
    <row r="274" spans="1:26" x14ac:dyDescent="0.6">
      <c r="A274" s="1513"/>
      <c r="N274" s="1288"/>
      <c r="O274" s="1290"/>
      <c r="Z274" s="1290"/>
    </row>
    <row r="275" spans="1:26" x14ac:dyDescent="0.6">
      <c r="A275" s="1513"/>
      <c r="N275" s="1288"/>
      <c r="O275" s="1290"/>
      <c r="Z275" s="1290"/>
    </row>
    <row r="276" spans="1:26" x14ac:dyDescent="0.6">
      <c r="A276" s="1513"/>
      <c r="N276" s="1288"/>
      <c r="O276" s="1290"/>
      <c r="Z276" s="1290"/>
    </row>
    <row r="277" spans="1:26" x14ac:dyDescent="0.6">
      <c r="A277" s="1513"/>
      <c r="N277" s="1288"/>
      <c r="O277" s="1290"/>
      <c r="Z277" s="1290"/>
    </row>
    <row r="278" spans="1:26" x14ac:dyDescent="0.6">
      <c r="A278" s="1513"/>
      <c r="N278" s="1288"/>
      <c r="O278" s="1290"/>
      <c r="Z278" s="1290"/>
    </row>
    <row r="279" spans="1:26" x14ac:dyDescent="0.6">
      <c r="A279" s="1513"/>
      <c r="N279" s="1288"/>
      <c r="O279" s="1290"/>
      <c r="Z279" s="1290"/>
    </row>
    <row r="280" spans="1:26" x14ac:dyDescent="0.6">
      <c r="A280" s="1513"/>
      <c r="N280" s="1288"/>
      <c r="O280" s="1290"/>
      <c r="Z280" s="1290"/>
    </row>
    <row r="281" spans="1:26" x14ac:dyDescent="0.6">
      <c r="A281" s="1513"/>
      <c r="N281" s="1288"/>
      <c r="O281" s="1290"/>
      <c r="Z281" s="1290"/>
    </row>
    <row r="282" spans="1:26" x14ac:dyDescent="0.6">
      <c r="A282" s="1513"/>
      <c r="N282" s="1288"/>
      <c r="O282" s="1290"/>
      <c r="Z282" s="1290"/>
    </row>
    <row r="283" spans="1:26" x14ac:dyDescent="0.6">
      <c r="A283" s="1513"/>
      <c r="N283" s="1288"/>
      <c r="O283" s="1290"/>
      <c r="Z283" s="1290"/>
    </row>
    <row r="284" spans="1:26" x14ac:dyDescent="0.6">
      <c r="A284" s="1513"/>
      <c r="N284" s="1288"/>
      <c r="O284" s="1290"/>
      <c r="Z284" s="1290"/>
    </row>
    <row r="285" spans="1:26" x14ac:dyDescent="0.6">
      <c r="A285" s="1513"/>
      <c r="N285" s="1288"/>
      <c r="O285" s="1290"/>
      <c r="Z285" s="1290"/>
    </row>
    <row r="286" spans="1:26" x14ac:dyDescent="0.6">
      <c r="A286" s="1513"/>
      <c r="N286" s="1288"/>
      <c r="O286" s="1290"/>
      <c r="Z286" s="1290"/>
    </row>
    <row r="287" spans="1:26" x14ac:dyDescent="0.6">
      <c r="A287" s="1513"/>
      <c r="N287" s="1288"/>
      <c r="O287" s="1290"/>
      <c r="Z287" s="1290"/>
    </row>
    <row r="288" spans="1:26" x14ac:dyDescent="0.6">
      <c r="A288" s="1513"/>
      <c r="N288" s="1288"/>
      <c r="O288" s="1290"/>
      <c r="Z288" s="1290"/>
    </row>
    <row r="289" spans="1:26" x14ac:dyDescent="0.6">
      <c r="A289" s="1513"/>
      <c r="N289" s="1288"/>
      <c r="O289" s="1290"/>
      <c r="Z289" s="1290"/>
    </row>
    <row r="290" spans="1:26" x14ac:dyDescent="0.6">
      <c r="A290" s="1513"/>
      <c r="N290" s="1288"/>
      <c r="O290" s="1290"/>
      <c r="Z290" s="1290"/>
    </row>
    <row r="291" spans="1:26" x14ac:dyDescent="0.6">
      <c r="A291" s="1513"/>
      <c r="N291" s="1288"/>
      <c r="O291" s="1290"/>
      <c r="Z291" s="1290"/>
    </row>
    <row r="292" spans="1:26" x14ac:dyDescent="0.6">
      <c r="A292" s="1513"/>
      <c r="N292" s="1288"/>
      <c r="O292" s="1290"/>
      <c r="Z292" s="1290"/>
    </row>
    <row r="293" spans="1:26" x14ac:dyDescent="0.6">
      <c r="A293" s="1513"/>
      <c r="N293" s="1288"/>
      <c r="O293" s="1290"/>
      <c r="Z293" s="1290"/>
    </row>
    <row r="294" spans="1:26" x14ac:dyDescent="0.6">
      <c r="A294" s="1513"/>
      <c r="N294" s="1288"/>
      <c r="O294" s="1290"/>
      <c r="Z294" s="1290"/>
    </row>
    <row r="295" spans="1:26" x14ac:dyDescent="0.6">
      <c r="A295" s="1513"/>
      <c r="N295" s="1288"/>
      <c r="O295" s="1290"/>
      <c r="Z295" s="1290"/>
    </row>
    <row r="296" spans="1:26" x14ac:dyDescent="0.6">
      <c r="A296" s="1513"/>
      <c r="N296" s="1288"/>
      <c r="O296" s="1290"/>
      <c r="Z296" s="1290"/>
    </row>
    <row r="297" spans="1:26" x14ac:dyDescent="0.6">
      <c r="A297" s="1513"/>
      <c r="N297" s="1288"/>
      <c r="O297" s="1290"/>
      <c r="Z297" s="1290"/>
    </row>
    <row r="298" spans="1:26" x14ac:dyDescent="0.6">
      <c r="A298" s="1513"/>
      <c r="N298" s="1288"/>
      <c r="O298" s="1290"/>
      <c r="Z298" s="1290"/>
    </row>
    <row r="299" spans="1:26" x14ac:dyDescent="0.6">
      <c r="A299" s="1513"/>
      <c r="N299" s="1288"/>
      <c r="O299" s="1290"/>
      <c r="Z299" s="1290"/>
    </row>
    <row r="300" spans="1:26" x14ac:dyDescent="0.6">
      <c r="A300" s="1513"/>
      <c r="N300" s="1288"/>
      <c r="O300" s="1290"/>
      <c r="Z300" s="1290"/>
    </row>
    <row r="301" spans="1:26" x14ac:dyDescent="0.6">
      <c r="A301" s="1513"/>
      <c r="N301" s="1288"/>
      <c r="O301" s="1290"/>
      <c r="Z301" s="1290"/>
    </row>
    <row r="302" spans="1:26" x14ac:dyDescent="0.6">
      <c r="A302" s="1513"/>
      <c r="N302" s="1288"/>
      <c r="O302" s="1290"/>
      <c r="Z302" s="1290"/>
    </row>
    <row r="303" spans="1:26" x14ac:dyDescent="0.6">
      <c r="A303" s="1513"/>
      <c r="N303" s="1288"/>
      <c r="O303" s="1290"/>
      <c r="Z303" s="1290"/>
    </row>
    <row r="304" spans="1:26" x14ac:dyDescent="0.6">
      <c r="A304" s="1513"/>
      <c r="N304" s="1288"/>
      <c r="O304" s="1290"/>
      <c r="Z304" s="1290"/>
    </row>
    <row r="305" spans="1:26" x14ac:dyDescent="0.6">
      <c r="A305" s="1513"/>
      <c r="N305" s="1288"/>
      <c r="O305" s="1290"/>
      <c r="Z305" s="1290"/>
    </row>
    <row r="306" spans="1:26" x14ac:dyDescent="0.6">
      <c r="A306" s="1513"/>
      <c r="N306" s="1288"/>
      <c r="O306" s="1290"/>
      <c r="Z306" s="1290"/>
    </row>
    <row r="307" spans="1:26" x14ac:dyDescent="0.6">
      <c r="A307" s="1513"/>
      <c r="N307" s="1288"/>
      <c r="O307" s="1290"/>
      <c r="Z307" s="1290"/>
    </row>
    <row r="308" spans="1:26" x14ac:dyDescent="0.6">
      <c r="A308" s="1513"/>
      <c r="N308" s="1288"/>
      <c r="O308" s="1290"/>
      <c r="Z308" s="1290"/>
    </row>
    <row r="309" spans="1:26" x14ac:dyDescent="0.6">
      <c r="A309" s="1513"/>
      <c r="N309" s="1288"/>
      <c r="O309" s="1290"/>
      <c r="Z309" s="1290"/>
    </row>
    <row r="310" spans="1:26" x14ac:dyDescent="0.6">
      <c r="A310" s="1513"/>
      <c r="N310" s="1288"/>
      <c r="O310" s="1290"/>
      <c r="Z310" s="1290"/>
    </row>
    <row r="311" spans="1:26" x14ac:dyDescent="0.6">
      <c r="A311" s="1513"/>
      <c r="N311" s="1288"/>
      <c r="O311" s="1290"/>
      <c r="Z311" s="1290"/>
    </row>
    <row r="312" spans="1:26" x14ac:dyDescent="0.6">
      <c r="A312" s="1513"/>
      <c r="N312" s="1288"/>
      <c r="O312" s="1290"/>
      <c r="Z312" s="1290"/>
    </row>
    <row r="313" spans="1:26" x14ac:dyDescent="0.6">
      <c r="A313" s="1513"/>
      <c r="N313" s="1288"/>
      <c r="O313" s="1290"/>
      <c r="Z313" s="1290"/>
    </row>
    <row r="314" spans="1:26" x14ac:dyDescent="0.6">
      <c r="A314" s="1513"/>
      <c r="N314" s="1288"/>
      <c r="O314" s="1290"/>
      <c r="Z314" s="1290"/>
    </row>
    <row r="315" spans="1:26" x14ac:dyDescent="0.6">
      <c r="A315" s="1513"/>
      <c r="N315" s="1288"/>
      <c r="O315" s="1290"/>
      <c r="Z315" s="1290"/>
    </row>
    <row r="316" spans="1:26" x14ac:dyDescent="0.6">
      <c r="A316" s="1513"/>
      <c r="N316" s="1288"/>
      <c r="O316" s="1290"/>
      <c r="Z316" s="1290"/>
    </row>
    <row r="317" spans="1:26" x14ac:dyDescent="0.6">
      <c r="A317" s="1513"/>
      <c r="N317" s="1288"/>
      <c r="O317" s="1290"/>
      <c r="Z317" s="1290"/>
    </row>
    <row r="318" spans="1:26" x14ac:dyDescent="0.6">
      <c r="A318" s="1513"/>
      <c r="N318" s="1288"/>
      <c r="O318" s="1290"/>
      <c r="Z318" s="1290"/>
    </row>
    <row r="319" spans="1:26" x14ac:dyDescent="0.6">
      <c r="A319" s="1513"/>
      <c r="N319" s="1288"/>
      <c r="O319" s="1290"/>
      <c r="Z319" s="1290"/>
    </row>
    <row r="320" spans="1:26" x14ac:dyDescent="0.6">
      <c r="A320" s="1513"/>
      <c r="N320" s="1288"/>
      <c r="O320" s="1290"/>
      <c r="Z320" s="1290"/>
    </row>
    <row r="321" spans="1:26" x14ac:dyDescent="0.6">
      <c r="A321" s="1513"/>
      <c r="N321" s="1288"/>
      <c r="O321" s="1290"/>
      <c r="Z321" s="1290"/>
    </row>
    <row r="322" spans="1:26" x14ac:dyDescent="0.6">
      <c r="A322" s="1513"/>
      <c r="N322" s="1288"/>
      <c r="O322" s="1290"/>
      <c r="Z322" s="1290"/>
    </row>
    <row r="323" spans="1:26" x14ac:dyDescent="0.6">
      <c r="A323" s="1513"/>
      <c r="N323" s="1288"/>
      <c r="O323" s="1290"/>
      <c r="Z323" s="1290"/>
    </row>
    <row r="324" spans="1:26" x14ac:dyDescent="0.6">
      <c r="A324" s="1513"/>
      <c r="N324" s="1288"/>
      <c r="O324" s="1290"/>
      <c r="Z324" s="1290"/>
    </row>
    <row r="325" spans="1:26" x14ac:dyDescent="0.6">
      <c r="A325" s="1513"/>
      <c r="N325" s="1288"/>
      <c r="O325" s="1290"/>
      <c r="Z325" s="1290"/>
    </row>
    <row r="326" spans="1:26" x14ac:dyDescent="0.6">
      <c r="A326" s="1513"/>
      <c r="N326" s="1288"/>
      <c r="O326" s="1290"/>
      <c r="Z326" s="1290"/>
    </row>
    <row r="327" spans="1:26" x14ac:dyDescent="0.6">
      <c r="A327" s="1513"/>
      <c r="N327" s="1288"/>
      <c r="O327" s="1290"/>
      <c r="Z327" s="1290"/>
    </row>
    <row r="328" spans="1:26" x14ac:dyDescent="0.6">
      <c r="A328" s="1513"/>
      <c r="N328" s="1288"/>
      <c r="O328" s="1290"/>
      <c r="Z328" s="1290"/>
    </row>
    <row r="329" spans="1:26" x14ac:dyDescent="0.6">
      <c r="A329" s="1513"/>
      <c r="N329" s="1288"/>
      <c r="O329" s="1290"/>
      <c r="Z329" s="1290"/>
    </row>
    <row r="330" spans="1:26" x14ac:dyDescent="0.6">
      <c r="A330" s="1513"/>
      <c r="N330" s="1288"/>
      <c r="O330" s="1290"/>
      <c r="Z330" s="1290"/>
    </row>
    <row r="331" spans="1:26" x14ac:dyDescent="0.6">
      <c r="A331" s="1513"/>
      <c r="N331" s="1288"/>
      <c r="O331" s="1290"/>
      <c r="Z331" s="1290"/>
    </row>
    <row r="332" spans="1:26" x14ac:dyDescent="0.6">
      <c r="A332" s="1513"/>
      <c r="N332" s="1288"/>
      <c r="O332" s="1290"/>
      <c r="Z332" s="1290"/>
    </row>
    <row r="333" spans="1:26" x14ac:dyDescent="0.6">
      <c r="A333" s="1513"/>
      <c r="N333" s="1288"/>
      <c r="O333" s="1290"/>
      <c r="Z333" s="1290"/>
    </row>
    <row r="334" spans="1:26" x14ac:dyDescent="0.6">
      <c r="A334" s="1513"/>
      <c r="N334" s="1288"/>
      <c r="O334" s="1290"/>
      <c r="Z334" s="1290"/>
    </row>
    <row r="335" spans="1:26" x14ac:dyDescent="0.6">
      <c r="A335" s="1513"/>
      <c r="N335" s="1288"/>
      <c r="O335" s="1290"/>
      <c r="Z335" s="1290"/>
    </row>
    <row r="336" spans="1:26" x14ac:dyDescent="0.6">
      <c r="A336" s="1513"/>
      <c r="N336" s="1288"/>
      <c r="O336" s="1290"/>
      <c r="Z336" s="1290"/>
    </row>
    <row r="337" spans="1:26" x14ac:dyDescent="0.6">
      <c r="A337" s="1513"/>
      <c r="N337" s="1288"/>
      <c r="O337" s="1290"/>
      <c r="Z337" s="1290"/>
    </row>
    <row r="338" spans="1:26" x14ac:dyDescent="0.6">
      <c r="A338" s="1513"/>
      <c r="N338" s="1288"/>
      <c r="O338" s="1290"/>
      <c r="Z338" s="1290"/>
    </row>
    <row r="339" spans="1:26" x14ac:dyDescent="0.6">
      <c r="A339" s="1513"/>
      <c r="N339" s="1288"/>
      <c r="O339" s="1290"/>
      <c r="Z339" s="1290"/>
    </row>
    <row r="340" spans="1:26" x14ac:dyDescent="0.6">
      <c r="A340" s="1513"/>
      <c r="N340" s="1288"/>
      <c r="O340" s="1290"/>
      <c r="Z340" s="1290"/>
    </row>
    <row r="341" spans="1:26" x14ac:dyDescent="0.6">
      <c r="A341" s="1513"/>
      <c r="N341" s="1288"/>
      <c r="O341" s="1290"/>
      <c r="Z341" s="1290"/>
    </row>
    <row r="342" spans="1:26" x14ac:dyDescent="0.6">
      <c r="A342" s="1513"/>
      <c r="N342" s="1288"/>
      <c r="O342" s="1290"/>
      <c r="Z342" s="1290"/>
    </row>
    <row r="343" spans="1:26" x14ac:dyDescent="0.6">
      <c r="A343" s="1513"/>
      <c r="N343" s="1288"/>
      <c r="O343" s="1290"/>
      <c r="Z343" s="1290"/>
    </row>
    <row r="344" spans="1:26" x14ac:dyDescent="0.6">
      <c r="A344" s="1513"/>
      <c r="N344" s="1288"/>
      <c r="O344" s="1290"/>
      <c r="Z344" s="1290"/>
    </row>
    <row r="345" spans="1:26" x14ac:dyDescent="0.6">
      <c r="A345" s="1513"/>
      <c r="N345" s="1288"/>
      <c r="O345" s="1290"/>
      <c r="Z345" s="1290"/>
    </row>
    <row r="346" spans="1:26" x14ac:dyDescent="0.6">
      <c r="A346" s="1513"/>
      <c r="N346" s="1288"/>
      <c r="O346" s="1290"/>
      <c r="Z346" s="1290"/>
    </row>
    <row r="347" spans="1:26" x14ac:dyDescent="0.6">
      <c r="A347" s="1513"/>
      <c r="N347" s="1288"/>
      <c r="O347" s="1290"/>
      <c r="Z347" s="1290"/>
    </row>
    <row r="348" spans="1:26" x14ac:dyDescent="0.6">
      <c r="A348" s="1513"/>
      <c r="N348" s="1288"/>
      <c r="O348" s="1290"/>
      <c r="Z348" s="1290"/>
    </row>
    <row r="349" spans="1:26" x14ac:dyDescent="0.6">
      <c r="A349" s="1513"/>
      <c r="N349" s="1288"/>
      <c r="O349" s="1290"/>
      <c r="Z349" s="1290"/>
    </row>
    <row r="350" spans="1:26" x14ac:dyDescent="0.6">
      <c r="A350" s="1513"/>
      <c r="N350" s="1288"/>
      <c r="O350" s="1290"/>
      <c r="Z350" s="1290"/>
    </row>
    <row r="351" spans="1:26" x14ac:dyDescent="0.6">
      <c r="A351" s="1513"/>
      <c r="N351" s="1288"/>
      <c r="O351" s="1290"/>
      <c r="Z351" s="1290"/>
    </row>
    <row r="352" spans="1:26" x14ac:dyDescent="0.6">
      <c r="A352" s="1513"/>
      <c r="N352" s="1288"/>
      <c r="O352" s="1290"/>
      <c r="Z352" s="1290"/>
    </row>
    <row r="353" spans="1:26" x14ac:dyDescent="0.6">
      <c r="A353" s="1513"/>
      <c r="N353" s="1288"/>
      <c r="O353" s="1290"/>
      <c r="Z353" s="1290"/>
    </row>
    <row r="354" spans="1:26" x14ac:dyDescent="0.6">
      <c r="A354" s="1513"/>
      <c r="N354" s="1288"/>
      <c r="O354" s="1290"/>
      <c r="Z354" s="1290"/>
    </row>
    <row r="355" spans="1:26" x14ac:dyDescent="0.6">
      <c r="A355" s="1513"/>
      <c r="N355" s="1288"/>
      <c r="O355" s="1290"/>
      <c r="Z355" s="1290"/>
    </row>
    <row r="356" spans="1:26" x14ac:dyDescent="0.6">
      <c r="A356" s="1513"/>
      <c r="N356" s="1288"/>
      <c r="O356" s="1290"/>
      <c r="Z356" s="1290"/>
    </row>
    <row r="357" spans="1:26" x14ac:dyDescent="0.6">
      <c r="A357" s="1513"/>
      <c r="N357" s="1288"/>
      <c r="O357" s="1290"/>
      <c r="Z357" s="1290"/>
    </row>
    <row r="358" spans="1:26" x14ac:dyDescent="0.6">
      <c r="A358" s="1513"/>
      <c r="N358" s="1288"/>
      <c r="O358" s="1290"/>
      <c r="Z358" s="1290"/>
    </row>
    <row r="359" spans="1:26" x14ac:dyDescent="0.6">
      <c r="A359" s="1513"/>
      <c r="N359" s="1288"/>
      <c r="O359" s="1290"/>
      <c r="Z359" s="1290"/>
    </row>
    <row r="360" spans="1:26" x14ac:dyDescent="0.6">
      <c r="A360" s="1513"/>
      <c r="N360" s="1288"/>
      <c r="O360" s="1290"/>
      <c r="Z360" s="1290"/>
    </row>
    <row r="361" spans="1:26" x14ac:dyDescent="0.6">
      <c r="A361" s="1513"/>
      <c r="N361" s="1288"/>
      <c r="O361" s="1290"/>
      <c r="Z361" s="1290"/>
    </row>
    <row r="362" spans="1:26" x14ac:dyDescent="0.6">
      <c r="A362" s="1513"/>
      <c r="N362" s="1288"/>
      <c r="O362" s="1290"/>
      <c r="Z362" s="1290"/>
    </row>
    <row r="363" spans="1:26" x14ac:dyDescent="0.6">
      <c r="A363" s="1513"/>
      <c r="N363" s="1288"/>
      <c r="O363" s="1290"/>
      <c r="Z363" s="1290"/>
    </row>
    <row r="364" spans="1:26" x14ac:dyDescent="0.6">
      <c r="A364" s="1513"/>
      <c r="N364" s="1288"/>
      <c r="O364" s="1290"/>
      <c r="Z364" s="1290"/>
    </row>
    <row r="365" spans="1:26" x14ac:dyDescent="0.6">
      <c r="A365" s="1513"/>
      <c r="N365" s="1288"/>
      <c r="O365" s="1290"/>
      <c r="Z365" s="1290"/>
    </row>
    <row r="366" spans="1:26" x14ac:dyDescent="0.6">
      <c r="A366" s="1513"/>
      <c r="N366" s="1288"/>
      <c r="O366" s="1290"/>
      <c r="Z366" s="1290"/>
    </row>
    <row r="367" spans="1:26" x14ac:dyDescent="0.6">
      <c r="A367" s="1513"/>
      <c r="N367" s="1288"/>
      <c r="O367" s="1290"/>
      <c r="Z367" s="1290"/>
    </row>
    <row r="368" spans="1:26" x14ac:dyDescent="0.6">
      <c r="A368" s="1513"/>
      <c r="N368" s="1288"/>
      <c r="O368" s="1290"/>
      <c r="Z368" s="1290"/>
    </row>
    <row r="369" spans="1:26" x14ac:dyDescent="0.6">
      <c r="A369" s="1513"/>
      <c r="N369" s="1288"/>
      <c r="O369" s="1290"/>
      <c r="Z369" s="1290"/>
    </row>
    <row r="370" spans="1:26" x14ac:dyDescent="0.6">
      <c r="A370" s="1513"/>
      <c r="N370" s="1288"/>
      <c r="O370" s="1290"/>
      <c r="Z370" s="1290"/>
    </row>
    <row r="371" spans="1:26" x14ac:dyDescent="0.6">
      <c r="A371" s="1513"/>
      <c r="N371" s="1288"/>
      <c r="O371" s="1290"/>
      <c r="Z371" s="1290"/>
    </row>
    <row r="372" spans="1:26" x14ac:dyDescent="0.6">
      <c r="A372" s="1513"/>
      <c r="N372" s="1288"/>
      <c r="O372" s="1290"/>
      <c r="Z372" s="1290"/>
    </row>
    <row r="373" spans="1:26" x14ac:dyDescent="0.6">
      <c r="A373" s="1513"/>
      <c r="N373" s="1288"/>
      <c r="O373" s="1290"/>
      <c r="Z373" s="1290"/>
    </row>
    <row r="374" spans="1:26" x14ac:dyDescent="0.6">
      <c r="A374" s="1513"/>
      <c r="N374" s="1288"/>
      <c r="O374" s="1290"/>
      <c r="Z374" s="1290"/>
    </row>
    <row r="375" spans="1:26" x14ac:dyDescent="0.6">
      <c r="A375" s="1513"/>
      <c r="N375" s="1288"/>
      <c r="O375" s="1290"/>
      <c r="Z375" s="1290"/>
    </row>
    <row r="376" spans="1:26" x14ac:dyDescent="0.6">
      <c r="A376" s="1513"/>
      <c r="N376" s="1288"/>
      <c r="O376" s="1290"/>
      <c r="Z376" s="1290"/>
    </row>
    <row r="377" spans="1:26" x14ac:dyDescent="0.6">
      <c r="A377" s="1513"/>
      <c r="N377" s="1288"/>
      <c r="O377" s="1290"/>
      <c r="Z377" s="1290"/>
    </row>
    <row r="378" spans="1:26" x14ac:dyDescent="0.6">
      <c r="A378" s="1513"/>
      <c r="N378" s="1288"/>
      <c r="O378" s="1290"/>
      <c r="Z378" s="1290"/>
    </row>
    <row r="379" spans="1:26" x14ac:dyDescent="0.6">
      <c r="A379" s="1513"/>
      <c r="N379" s="1288"/>
      <c r="O379" s="1290"/>
      <c r="Z379" s="1290"/>
    </row>
    <row r="380" spans="1:26" x14ac:dyDescent="0.6">
      <c r="A380" s="1513"/>
      <c r="N380" s="1288"/>
      <c r="O380" s="1290"/>
      <c r="Z380" s="1290"/>
    </row>
    <row r="381" spans="1:26" x14ac:dyDescent="0.6">
      <c r="A381" s="1513"/>
      <c r="N381" s="1288"/>
      <c r="O381" s="1290"/>
      <c r="Z381" s="1290"/>
    </row>
    <row r="382" spans="1:26" x14ac:dyDescent="0.6">
      <c r="A382" s="1513"/>
      <c r="N382" s="1288"/>
      <c r="O382" s="1290"/>
      <c r="Z382" s="1290"/>
    </row>
    <row r="383" spans="1:26" x14ac:dyDescent="0.6">
      <c r="A383" s="1513"/>
      <c r="N383" s="1288"/>
      <c r="O383" s="1290"/>
      <c r="Z383" s="1290"/>
    </row>
    <row r="384" spans="1:26" x14ac:dyDescent="0.6">
      <c r="A384" s="1513"/>
      <c r="N384" s="1288"/>
      <c r="O384" s="1290"/>
      <c r="Z384" s="1290"/>
    </row>
    <row r="385" spans="1:26" x14ac:dyDescent="0.6">
      <c r="A385" s="1513"/>
      <c r="N385" s="1288"/>
      <c r="O385" s="1290"/>
      <c r="Z385" s="1290"/>
    </row>
    <row r="386" spans="1:26" x14ac:dyDescent="0.6">
      <c r="A386" s="1513"/>
      <c r="N386" s="1288"/>
      <c r="O386" s="1290"/>
      <c r="Z386" s="1290"/>
    </row>
    <row r="387" spans="1:26" x14ac:dyDescent="0.6">
      <c r="A387" s="1513"/>
      <c r="N387" s="1288"/>
      <c r="O387" s="1290"/>
      <c r="Z387" s="1290"/>
    </row>
    <row r="388" spans="1:26" x14ac:dyDescent="0.6">
      <c r="A388" s="1513"/>
      <c r="N388" s="1288"/>
      <c r="O388" s="1290"/>
      <c r="Z388" s="1290"/>
    </row>
    <row r="389" spans="1:26" x14ac:dyDescent="0.6">
      <c r="A389" s="1513"/>
      <c r="N389" s="1288"/>
      <c r="O389" s="1290"/>
      <c r="Z389" s="1290"/>
    </row>
    <row r="390" spans="1:26" x14ac:dyDescent="0.6">
      <c r="A390" s="1513"/>
      <c r="N390" s="1288"/>
      <c r="O390" s="1290"/>
      <c r="Z390" s="1290"/>
    </row>
    <row r="391" spans="1:26" x14ac:dyDescent="0.6">
      <c r="A391" s="1513"/>
      <c r="N391" s="1288"/>
      <c r="O391" s="1290"/>
      <c r="Z391" s="1290"/>
    </row>
    <row r="392" spans="1:26" x14ac:dyDescent="0.6">
      <c r="A392" s="1513"/>
      <c r="N392" s="1288"/>
      <c r="O392" s="1290"/>
      <c r="Z392" s="1290"/>
    </row>
    <row r="393" spans="1:26" x14ac:dyDescent="0.6">
      <c r="A393" s="1513"/>
      <c r="N393" s="1288"/>
      <c r="O393" s="1290"/>
      <c r="Z393" s="1290"/>
    </row>
    <row r="394" spans="1:26" x14ac:dyDescent="0.6">
      <c r="A394" s="1513"/>
      <c r="N394" s="1288"/>
      <c r="O394" s="1290"/>
      <c r="Z394" s="1290"/>
    </row>
    <row r="395" spans="1:26" x14ac:dyDescent="0.6">
      <c r="A395" s="1513"/>
      <c r="N395" s="1288"/>
      <c r="O395" s="1290"/>
      <c r="Z395" s="1290"/>
    </row>
    <row r="396" spans="1:26" x14ac:dyDescent="0.6">
      <c r="A396" s="1513"/>
      <c r="N396" s="1288"/>
      <c r="O396" s="1290"/>
      <c r="Z396" s="1290"/>
    </row>
    <row r="397" spans="1:26" x14ac:dyDescent="0.6">
      <c r="A397" s="1513"/>
      <c r="N397" s="1288"/>
      <c r="O397" s="1290"/>
      <c r="Z397" s="1290"/>
    </row>
    <row r="398" spans="1:26" x14ac:dyDescent="0.6">
      <c r="A398" s="1513"/>
      <c r="N398" s="1288"/>
      <c r="O398" s="1290"/>
      <c r="Z398" s="1290"/>
    </row>
    <row r="399" spans="1:26" x14ac:dyDescent="0.6">
      <c r="A399" s="1513"/>
      <c r="N399" s="1288"/>
      <c r="O399" s="1290"/>
      <c r="Z399" s="1290"/>
    </row>
    <row r="400" spans="1:26" x14ac:dyDescent="0.6">
      <c r="A400" s="1513"/>
      <c r="N400" s="1288"/>
      <c r="O400" s="1290"/>
      <c r="Z400" s="1290"/>
    </row>
    <row r="401" spans="1:26" x14ac:dyDescent="0.6">
      <c r="A401" s="1513"/>
      <c r="N401" s="1288"/>
      <c r="O401" s="1290"/>
      <c r="Z401" s="1290"/>
    </row>
    <row r="402" spans="1:26" x14ac:dyDescent="0.6">
      <c r="A402" s="1513"/>
      <c r="N402" s="1288"/>
      <c r="O402" s="1290"/>
      <c r="Z402" s="1290"/>
    </row>
    <row r="403" spans="1:26" x14ac:dyDescent="0.6">
      <c r="A403" s="1513"/>
      <c r="N403" s="1288"/>
      <c r="O403" s="1290"/>
      <c r="Z403" s="1290"/>
    </row>
    <row r="404" spans="1:26" x14ac:dyDescent="0.6">
      <c r="A404" s="1513"/>
      <c r="N404" s="1288"/>
      <c r="O404" s="1290"/>
      <c r="Z404" s="1290"/>
    </row>
    <row r="405" spans="1:26" x14ac:dyDescent="0.6">
      <c r="A405" s="1513"/>
      <c r="N405" s="1288"/>
      <c r="O405" s="1290"/>
      <c r="Z405" s="1290"/>
    </row>
    <row r="406" spans="1:26" x14ac:dyDescent="0.6">
      <c r="A406" s="1513"/>
      <c r="N406" s="1288"/>
      <c r="O406" s="1290"/>
      <c r="Z406" s="1290"/>
    </row>
    <row r="407" spans="1:26" x14ac:dyDescent="0.6">
      <c r="A407" s="1513"/>
      <c r="N407" s="1288"/>
      <c r="O407" s="1290"/>
      <c r="Z407" s="1290"/>
    </row>
    <row r="408" spans="1:26" x14ac:dyDescent="0.6">
      <c r="A408" s="1513"/>
      <c r="N408" s="1288"/>
      <c r="O408" s="1290"/>
      <c r="Z408" s="1290"/>
    </row>
    <row r="409" spans="1:26" x14ac:dyDescent="0.6">
      <c r="A409" s="1513"/>
      <c r="N409" s="1288"/>
      <c r="O409" s="1290"/>
      <c r="Z409" s="1290"/>
    </row>
    <row r="410" spans="1:26" x14ac:dyDescent="0.6">
      <c r="A410" s="1513"/>
      <c r="N410" s="1288"/>
      <c r="O410" s="1290"/>
      <c r="Z410" s="1290"/>
    </row>
    <row r="411" spans="1:26" x14ac:dyDescent="0.6">
      <c r="A411" s="1513"/>
      <c r="N411" s="1288"/>
      <c r="O411" s="1290"/>
      <c r="Z411" s="1290"/>
    </row>
    <row r="412" spans="1:26" x14ac:dyDescent="0.6">
      <c r="A412" s="1513"/>
      <c r="N412" s="1288"/>
      <c r="O412" s="1290"/>
      <c r="Z412" s="1290"/>
    </row>
    <row r="413" spans="1:26" x14ac:dyDescent="0.6">
      <c r="A413" s="1513"/>
      <c r="N413" s="1288"/>
      <c r="O413" s="1290"/>
      <c r="Z413" s="1290"/>
    </row>
    <row r="414" spans="1:26" x14ac:dyDescent="0.6">
      <c r="A414" s="1513"/>
      <c r="N414" s="1288"/>
      <c r="O414" s="1290"/>
      <c r="Z414" s="1290"/>
    </row>
    <row r="415" spans="1:26" x14ac:dyDescent="0.6">
      <c r="A415" s="1513"/>
      <c r="N415" s="1288"/>
      <c r="O415" s="1290"/>
      <c r="Z415" s="1290"/>
    </row>
    <row r="416" spans="1:26" x14ac:dyDescent="0.6">
      <c r="A416" s="1513"/>
      <c r="N416" s="1288"/>
      <c r="O416" s="1290"/>
      <c r="Z416" s="1290"/>
    </row>
    <row r="417" spans="1:26" x14ac:dyDescent="0.6">
      <c r="A417" s="1513"/>
      <c r="N417" s="1288"/>
      <c r="O417" s="1290"/>
      <c r="Z417" s="1290"/>
    </row>
    <row r="418" spans="1:26" x14ac:dyDescent="0.6">
      <c r="A418" s="1513"/>
      <c r="N418" s="1288"/>
      <c r="O418" s="1290"/>
      <c r="Z418" s="1290"/>
    </row>
    <row r="419" spans="1:26" x14ac:dyDescent="0.6">
      <c r="A419" s="1513"/>
      <c r="N419" s="1288"/>
      <c r="O419" s="1290"/>
      <c r="Z419" s="1290"/>
    </row>
    <row r="420" spans="1:26" x14ac:dyDescent="0.6">
      <c r="A420" s="1513"/>
      <c r="N420" s="1288"/>
      <c r="O420" s="1290"/>
      <c r="Z420" s="1290"/>
    </row>
    <row r="421" spans="1:26" x14ac:dyDescent="0.6">
      <c r="A421" s="1513"/>
      <c r="N421" s="1288"/>
      <c r="O421" s="1290"/>
      <c r="Z421" s="1290"/>
    </row>
    <row r="422" spans="1:26" x14ac:dyDescent="0.6">
      <c r="A422" s="1513"/>
      <c r="N422" s="1288"/>
      <c r="O422" s="1290"/>
      <c r="Z422" s="1290"/>
    </row>
    <row r="423" spans="1:26" x14ac:dyDescent="0.6">
      <c r="A423" s="1513"/>
      <c r="N423" s="1288"/>
      <c r="O423" s="1290"/>
      <c r="Z423" s="1290"/>
    </row>
    <row r="424" spans="1:26" x14ac:dyDescent="0.6">
      <c r="A424" s="1513"/>
      <c r="N424" s="1288"/>
      <c r="O424" s="1290"/>
      <c r="Z424" s="1290"/>
    </row>
    <row r="425" spans="1:26" x14ac:dyDescent="0.6">
      <c r="A425" s="1513"/>
      <c r="N425" s="1288"/>
      <c r="O425" s="1290"/>
      <c r="Z425" s="1290"/>
    </row>
    <row r="426" spans="1:26" x14ac:dyDescent="0.6">
      <c r="A426" s="1513"/>
      <c r="N426" s="1288"/>
      <c r="O426" s="1290"/>
      <c r="Z426" s="1290"/>
    </row>
    <row r="427" spans="1:26" x14ac:dyDescent="0.6">
      <c r="A427" s="1513"/>
      <c r="N427" s="1288"/>
      <c r="O427" s="1290"/>
      <c r="Z427" s="1290"/>
    </row>
    <row r="428" spans="1:26" x14ac:dyDescent="0.6">
      <c r="A428" s="1513"/>
      <c r="N428" s="1288"/>
      <c r="O428" s="1290"/>
      <c r="Z428" s="1290"/>
    </row>
    <row r="429" spans="1:26" x14ac:dyDescent="0.6">
      <c r="A429" s="1513"/>
      <c r="N429" s="1288"/>
      <c r="O429" s="1290"/>
      <c r="Z429" s="1290"/>
    </row>
    <row r="430" spans="1:26" x14ac:dyDescent="0.6">
      <c r="A430" s="1513"/>
      <c r="N430" s="1288"/>
      <c r="O430" s="1290"/>
      <c r="Z430" s="1290"/>
    </row>
    <row r="431" spans="1:26" x14ac:dyDescent="0.6">
      <c r="A431" s="1513"/>
      <c r="N431" s="1288"/>
      <c r="O431" s="1290"/>
      <c r="Z431" s="1290"/>
    </row>
    <row r="432" spans="1:26" x14ac:dyDescent="0.6">
      <c r="A432" s="1513"/>
      <c r="N432" s="1288"/>
      <c r="O432" s="1290"/>
      <c r="Z432" s="1290"/>
    </row>
    <row r="433" spans="1:26" x14ac:dyDescent="0.6">
      <c r="A433" s="1513"/>
      <c r="N433" s="1288"/>
      <c r="O433" s="1290"/>
      <c r="Z433" s="1290"/>
    </row>
    <row r="434" spans="1:26" x14ac:dyDescent="0.6">
      <c r="A434" s="1513"/>
      <c r="N434" s="1288"/>
      <c r="O434" s="1290"/>
      <c r="Z434" s="1290"/>
    </row>
    <row r="435" spans="1:26" x14ac:dyDescent="0.6">
      <c r="A435" s="1513"/>
      <c r="N435" s="1288"/>
      <c r="O435" s="1290"/>
      <c r="Z435" s="1290"/>
    </row>
    <row r="436" spans="1:26" x14ac:dyDescent="0.6">
      <c r="A436" s="1513"/>
      <c r="N436" s="1288"/>
      <c r="O436" s="1290"/>
      <c r="Z436" s="1290"/>
    </row>
    <row r="437" spans="1:26" x14ac:dyDescent="0.6">
      <c r="A437" s="1513"/>
      <c r="N437" s="1288"/>
      <c r="O437" s="1290"/>
      <c r="Z437" s="1290"/>
    </row>
    <row r="438" spans="1:26" x14ac:dyDescent="0.6">
      <c r="A438" s="1513"/>
      <c r="N438" s="1288"/>
      <c r="O438" s="1290"/>
      <c r="Z438" s="1290"/>
    </row>
    <row r="439" spans="1:26" x14ac:dyDescent="0.6">
      <c r="A439" s="1513"/>
      <c r="N439" s="1288"/>
      <c r="O439" s="1290"/>
      <c r="Z439" s="1290"/>
    </row>
    <row r="440" spans="1:26" x14ac:dyDescent="0.6">
      <c r="A440" s="1513"/>
      <c r="N440" s="1288"/>
      <c r="O440" s="1290"/>
      <c r="Z440" s="1290"/>
    </row>
    <row r="441" spans="1:26" x14ac:dyDescent="0.6">
      <c r="A441" s="1513"/>
      <c r="N441" s="1288"/>
      <c r="O441" s="1290"/>
      <c r="Z441" s="1290"/>
    </row>
    <row r="442" spans="1:26" x14ac:dyDescent="0.6">
      <c r="A442" s="1513"/>
      <c r="N442" s="1288"/>
      <c r="O442" s="1290"/>
      <c r="Z442" s="1290"/>
    </row>
    <row r="443" spans="1:26" x14ac:dyDescent="0.6">
      <c r="A443" s="1513"/>
      <c r="N443" s="1288"/>
      <c r="O443" s="1290"/>
      <c r="Z443" s="1290"/>
    </row>
    <row r="444" spans="1:26" x14ac:dyDescent="0.6">
      <c r="A444" s="1513"/>
      <c r="N444" s="1288"/>
      <c r="O444" s="1290"/>
      <c r="Z444" s="1290"/>
    </row>
    <row r="445" spans="1:26" x14ac:dyDescent="0.6">
      <c r="A445" s="1513"/>
      <c r="N445" s="1288"/>
      <c r="O445" s="1290"/>
      <c r="Z445" s="1290"/>
    </row>
    <row r="446" spans="1:26" x14ac:dyDescent="0.6">
      <c r="A446" s="1513"/>
      <c r="N446" s="1288"/>
      <c r="O446" s="1290"/>
      <c r="Z446" s="1290"/>
    </row>
    <row r="447" spans="1:26" x14ac:dyDescent="0.6">
      <c r="A447" s="1513"/>
      <c r="N447" s="1288"/>
      <c r="O447" s="1290"/>
      <c r="Z447" s="1290"/>
    </row>
    <row r="448" spans="1:26" x14ac:dyDescent="0.6">
      <c r="A448" s="1513"/>
      <c r="N448" s="1288"/>
      <c r="O448" s="1290"/>
      <c r="Z448" s="1290"/>
    </row>
    <row r="449" spans="1:26" x14ac:dyDescent="0.6">
      <c r="A449" s="1513"/>
      <c r="N449" s="1288"/>
      <c r="O449" s="1290"/>
      <c r="Z449" s="1290"/>
    </row>
    <row r="450" spans="1:26" x14ac:dyDescent="0.6">
      <c r="A450" s="1513"/>
      <c r="N450" s="1288"/>
      <c r="O450" s="1290"/>
      <c r="Z450" s="1290"/>
    </row>
    <row r="451" spans="1:26" x14ac:dyDescent="0.6">
      <c r="A451" s="1513"/>
      <c r="N451" s="1288"/>
      <c r="O451" s="1290"/>
      <c r="Z451" s="1290"/>
    </row>
    <row r="452" spans="1:26" x14ac:dyDescent="0.6">
      <c r="A452" s="1513"/>
      <c r="N452" s="1288"/>
      <c r="O452" s="1290"/>
      <c r="Z452" s="1290"/>
    </row>
    <row r="453" spans="1:26" x14ac:dyDescent="0.6">
      <c r="A453" s="1513"/>
      <c r="N453" s="1288"/>
      <c r="O453" s="1290"/>
      <c r="Z453" s="1290"/>
    </row>
    <row r="454" spans="1:26" x14ac:dyDescent="0.6">
      <c r="A454" s="1513"/>
      <c r="N454" s="1288"/>
      <c r="O454" s="1290"/>
      <c r="Z454" s="1290"/>
    </row>
    <row r="455" spans="1:26" x14ac:dyDescent="0.6">
      <c r="A455" s="1513"/>
      <c r="N455" s="1288"/>
      <c r="O455" s="1290"/>
      <c r="Z455" s="1290"/>
    </row>
    <row r="456" spans="1:26" x14ac:dyDescent="0.6">
      <c r="A456" s="1513"/>
      <c r="N456" s="1288"/>
      <c r="O456" s="1290"/>
      <c r="Z456" s="1290"/>
    </row>
    <row r="457" spans="1:26" x14ac:dyDescent="0.6">
      <c r="A457" s="1513"/>
      <c r="N457" s="1288"/>
      <c r="O457" s="1290"/>
      <c r="Z457" s="1290"/>
    </row>
    <row r="458" spans="1:26" x14ac:dyDescent="0.6">
      <c r="A458" s="1513"/>
      <c r="N458" s="1288"/>
      <c r="O458" s="1290"/>
      <c r="Z458" s="1290"/>
    </row>
    <row r="459" spans="1:26" x14ac:dyDescent="0.6">
      <c r="A459" s="1513"/>
      <c r="N459" s="1288"/>
      <c r="O459" s="1290"/>
      <c r="Z459" s="1290"/>
    </row>
    <row r="460" spans="1:26" x14ac:dyDescent="0.6">
      <c r="A460" s="1513"/>
      <c r="N460" s="1288"/>
      <c r="O460" s="1290"/>
      <c r="Z460" s="1290"/>
    </row>
    <row r="461" spans="1:26" x14ac:dyDescent="0.6">
      <c r="A461" s="1513"/>
      <c r="N461" s="1288"/>
      <c r="O461" s="1290"/>
      <c r="Z461" s="1290"/>
    </row>
    <row r="462" spans="1:26" x14ac:dyDescent="0.6">
      <c r="A462" s="1513"/>
      <c r="N462" s="1288"/>
      <c r="O462" s="1290"/>
      <c r="Z462" s="1290"/>
    </row>
    <row r="463" spans="1:26" x14ac:dyDescent="0.6">
      <c r="A463" s="1513"/>
      <c r="N463" s="1288"/>
      <c r="O463" s="1290"/>
      <c r="Z463" s="1290"/>
    </row>
    <row r="464" spans="1:26" x14ac:dyDescent="0.6">
      <c r="A464" s="1513"/>
      <c r="N464" s="1288"/>
      <c r="O464" s="1290"/>
      <c r="Z464" s="1290"/>
    </row>
    <row r="465" spans="1:26" x14ac:dyDescent="0.6">
      <c r="A465" s="1513"/>
      <c r="N465" s="1288"/>
      <c r="O465" s="1290"/>
      <c r="Z465" s="1290"/>
    </row>
    <row r="466" spans="1:26" x14ac:dyDescent="0.6">
      <c r="A466" s="1513"/>
      <c r="N466" s="1288"/>
      <c r="O466" s="1290"/>
      <c r="Z466" s="1290"/>
    </row>
    <row r="467" spans="1:26" x14ac:dyDescent="0.6">
      <c r="A467" s="1513"/>
      <c r="N467" s="1288"/>
      <c r="O467" s="1290"/>
      <c r="Z467" s="1290"/>
    </row>
    <row r="468" spans="1:26" x14ac:dyDescent="0.6">
      <c r="A468" s="1513"/>
      <c r="N468" s="1288"/>
      <c r="O468" s="1290"/>
      <c r="Z468" s="1290"/>
    </row>
    <row r="469" spans="1:26" x14ac:dyDescent="0.6">
      <c r="A469" s="1513"/>
      <c r="N469" s="1288"/>
      <c r="O469" s="1290"/>
      <c r="Z469" s="1290"/>
    </row>
    <row r="470" spans="1:26" x14ac:dyDescent="0.6">
      <c r="A470" s="1513"/>
      <c r="N470" s="1288"/>
      <c r="O470" s="1290"/>
      <c r="Z470" s="1290"/>
    </row>
    <row r="471" spans="1:26" x14ac:dyDescent="0.6">
      <c r="A471" s="1513"/>
      <c r="N471" s="1288"/>
      <c r="O471" s="1290"/>
      <c r="Z471" s="1290"/>
    </row>
    <row r="472" spans="1:26" x14ac:dyDescent="0.6">
      <c r="A472" s="1513"/>
      <c r="N472" s="1288"/>
      <c r="O472" s="1290"/>
      <c r="Z472" s="1290"/>
    </row>
    <row r="473" spans="1:26" x14ac:dyDescent="0.6">
      <c r="A473" s="1513"/>
      <c r="N473" s="1288"/>
      <c r="O473" s="1290"/>
      <c r="Z473" s="1290"/>
    </row>
    <row r="474" spans="1:26" x14ac:dyDescent="0.6">
      <c r="A474" s="1513"/>
      <c r="N474" s="1288"/>
      <c r="O474" s="1290"/>
      <c r="Z474" s="1290"/>
    </row>
    <row r="475" spans="1:26" x14ac:dyDescent="0.6">
      <c r="A475" s="1513"/>
      <c r="N475" s="1288"/>
      <c r="O475" s="1290"/>
      <c r="Z475" s="1290"/>
    </row>
    <row r="476" spans="1:26" x14ac:dyDescent="0.6">
      <c r="A476" s="1513"/>
      <c r="N476" s="1288"/>
      <c r="O476" s="1290"/>
      <c r="Z476" s="1290"/>
    </row>
    <row r="477" spans="1:26" x14ac:dyDescent="0.6">
      <c r="A477" s="1513"/>
      <c r="N477" s="1288"/>
      <c r="O477" s="1290"/>
      <c r="Z477" s="1290"/>
    </row>
    <row r="478" spans="1:26" x14ac:dyDescent="0.6">
      <c r="A478" s="1513"/>
      <c r="N478" s="1288"/>
      <c r="O478" s="1290"/>
      <c r="Z478" s="1290"/>
    </row>
    <row r="479" spans="1:26" x14ac:dyDescent="0.6">
      <c r="A479" s="1513"/>
      <c r="N479" s="1288"/>
      <c r="O479" s="1290"/>
      <c r="Z479" s="1290"/>
    </row>
    <row r="480" spans="1:26" x14ac:dyDescent="0.6">
      <c r="A480" s="1513"/>
      <c r="N480" s="1288"/>
      <c r="O480" s="1290"/>
      <c r="Z480" s="1290"/>
    </row>
    <row r="481" spans="1:26" x14ac:dyDescent="0.6">
      <c r="A481" s="1513"/>
      <c r="N481" s="1288"/>
      <c r="O481" s="1290"/>
      <c r="Z481" s="1290"/>
    </row>
    <row r="482" spans="1:26" x14ac:dyDescent="0.6">
      <c r="A482" s="1513"/>
      <c r="N482" s="1288"/>
      <c r="O482" s="1290"/>
      <c r="Z482" s="1290"/>
    </row>
    <row r="483" spans="1:26" x14ac:dyDescent="0.6">
      <c r="A483" s="1513"/>
      <c r="N483" s="1288"/>
      <c r="O483" s="1290"/>
      <c r="Z483" s="1290"/>
    </row>
    <row r="484" spans="1:26" x14ac:dyDescent="0.6">
      <c r="A484" s="1513"/>
      <c r="N484" s="1288"/>
      <c r="O484" s="1290"/>
      <c r="Z484" s="1290"/>
    </row>
    <row r="485" spans="1:26" x14ac:dyDescent="0.6">
      <c r="A485" s="1513"/>
      <c r="N485" s="1288"/>
      <c r="O485" s="1290"/>
      <c r="Z485" s="1290"/>
    </row>
    <row r="486" spans="1:26" x14ac:dyDescent="0.6">
      <c r="A486" s="1513"/>
      <c r="N486" s="1288"/>
      <c r="O486" s="1290"/>
      <c r="Z486" s="1290"/>
    </row>
    <row r="487" spans="1:26" x14ac:dyDescent="0.6">
      <c r="A487" s="1513"/>
      <c r="N487" s="1288"/>
      <c r="O487" s="1290"/>
      <c r="Z487" s="1290"/>
    </row>
    <row r="488" spans="1:26" x14ac:dyDescent="0.6">
      <c r="A488" s="1513"/>
      <c r="N488" s="1288"/>
      <c r="O488" s="1290"/>
      <c r="Z488" s="1290"/>
    </row>
    <row r="489" spans="1:26" x14ac:dyDescent="0.6">
      <c r="A489" s="1513"/>
      <c r="N489" s="1288"/>
      <c r="O489" s="1290"/>
      <c r="Z489" s="1290"/>
    </row>
    <row r="490" spans="1:26" x14ac:dyDescent="0.6">
      <c r="A490" s="1513"/>
      <c r="N490" s="1288"/>
      <c r="O490" s="1290"/>
      <c r="Z490" s="1290"/>
    </row>
    <row r="491" spans="1:26" x14ac:dyDescent="0.6">
      <c r="A491" s="1513"/>
      <c r="N491" s="1288"/>
      <c r="O491" s="1290"/>
      <c r="Z491" s="1290"/>
    </row>
    <row r="492" spans="1:26" x14ac:dyDescent="0.6">
      <c r="A492" s="1513"/>
      <c r="N492" s="1288"/>
      <c r="O492" s="1290"/>
      <c r="Z492" s="1290"/>
    </row>
    <row r="493" spans="1:26" x14ac:dyDescent="0.6">
      <c r="A493" s="1513"/>
      <c r="N493" s="1288"/>
      <c r="O493" s="1290"/>
      <c r="Z493" s="1290"/>
    </row>
    <row r="494" spans="1:26" x14ac:dyDescent="0.6">
      <c r="A494" s="1513"/>
      <c r="N494" s="1288"/>
      <c r="O494" s="1290"/>
      <c r="Z494" s="1290"/>
    </row>
    <row r="495" spans="1:26" x14ac:dyDescent="0.6">
      <c r="A495" s="1513"/>
      <c r="N495" s="1288"/>
      <c r="O495" s="1290"/>
      <c r="Z495" s="1290"/>
    </row>
    <row r="496" spans="1:26" x14ac:dyDescent="0.6">
      <c r="A496" s="1513"/>
      <c r="N496" s="1288"/>
      <c r="O496" s="1290"/>
      <c r="Z496" s="1290"/>
    </row>
    <row r="497" spans="1:26" x14ac:dyDescent="0.6">
      <c r="A497" s="1513"/>
      <c r="N497" s="1288"/>
      <c r="O497" s="1290"/>
      <c r="Z497" s="1290"/>
    </row>
    <row r="498" spans="1:26" x14ac:dyDescent="0.6">
      <c r="A498" s="1513"/>
      <c r="N498" s="1288"/>
      <c r="O498" s="1290"/>
      <c r="Z498" s="1290"/>
    </row>
    <row r="499" spans="1:26" x14ac:dyDescent="0.6">
      <c r="A499" s="1513"/>
      <c r="N499" s="1288"/>
      <c r="O499" s="1290"/>
      <c r="Z499" s="1290"/>
    </row>
    <row r="500" spans="1:26" x14ac:dyDescent="0.6">
      <c r="A500" s="1513"/>
      <c r="N500" s="1288"/>
      <c r="O500" s="1290"/>
      <c r="Z500" s="1290"/>
    </row>
    <row r="501" spans="1:26" x14ac:dyDescent="0.6">
      <c r="A501" s="1513"/>
      <c r="N501" s="1288"/>
      <c r="O501" s="1290"/>
      <c r="Z501" s="1290"/>
    </row>
    <row r="502" spans="1:26" x14ac:dyDescent="0.6">
      <c r="A502" s="1513"/>
      <c r="N502" s="1288"/>
      <c r="O502" s="1290"/>
      <c r="Z502" s="1290"/>
    </row>
    <row r="503" spans="1:26" x14ac:dyDescent="0.6">
      <c r="A503" s="1513"/>
      <c r="N503" s="1288"/>
      <c r="O503" s="1290"/>
      <c r="Z503" s="1290"/>
    </row>
    <row r="504" spans="1:26" x14ac:dyDescent="0.6">
      <c r="A504" s="1513"/>
      <c r="N504" s="1288"/>
      <c r="O504" s="1290"/>
      <c r="Z504" s="1290"/>
    </row>
    <row r="505" spans="1:26" x14ac:dyDescent="0.6">
      <c r="A505" s="1513"/>
      <c r="N505" s="1288"/>
      <c r="O505" s="1290"/>
      <c r="Z505" s="1290"/>
    </row>
    <row r="506" spans="1:26" x14ac:dyDescent="0.6">
      <c r="A506" s="1513"/>
      <c r="N506" s="1288"/>
      <c r="O506" s="1290"/>
      <c r="Z506" s="1290"/>
    </row>
    <row r="507" spans="1:26" x14ac:dyDescent="0.6">
      <c r="A507" s="1513"/>
      <c r="N507" s="1288"/>
      <c r="O507" s="1290"/>
      <c r="Z507" s="1290"/>
    </row>
    <row r="508" spans="1:26" x14ac:dyDescent="0.6">
      <c r="A508" s="1513"/>
      <c r="N508" s="1288"/>
      <c r="O508" s="1290"/>
      <c r="Z508" s="1290"/>
    </row>
    <row r="509" spans="1:26" x14ac:dyDescent="0.6">
      <c r="A509" s="1513"/>
      <c r="N509" s="1288"/>
      <c r="O509" s="1290"/>
      <c r="Z509" s="1290"/>
    </row>
    <row r="510" spans="1:26" x14ac:dyDescent="0.6">
      <c r="A510" s="1513"/>
      <c r="N510" s="1288"/>
      <c r="O510" s="1290"/>
      <c r="Z510" s="1290"/>
    </row>
    <row r="511" spans="1:26" x14ac:dyDescent="0.6">
      <c r="A511" s="1513"/>
      <c r="N511" s="1288"/>
      <c r="O511" s="1290"/>
      <c r="Z511" s="1290"/>
    </row>
    <row r="512" spans="1:26" x14ac:dyDescent="0.6">
      <c r="A512" s="1513"/>
      <c r="N512" s="1288"/>
      <c r="O512" s="1290"/>
      <c r="Z512" s="1290"/>
    </row>
    <row r="513" spans="1:26" x14ac:dyDescent="0.6">
      <c r="A513" s="1513"/>
      <c r="N513" s="1288"/>
      <c r="O513" s="1290"/>
      <c r="Z513" s="1290"/>
    </row>
    <row r="514" spans="1:26" x14ac:dyDescent="0.6">
      <c r="A514" s="1513"/>
      <c r="N514" s="1288"/>
      <c r="O514" s="1290"/>
      <c r="Z514" s="1290"/>
    </row>
    <row r="515" spans="1:26" x14ac:dyDescent="0.6">
      <c r="A515" s="1513"/>
      <c r="N515" s="1288"/>
      <c r="O515" s="1290"/>
      <c r="Z515" s="1290"/>
    </row>
    <row r="516" spans="1:26" x14ac:dyDescent="0.6">
      <c r="A516" s="1513"/>
      <c r="N516" s="1288"/>
      <c r="O516" s="1290"/>
      <c r="Z516" s="1290"/>
    </row>
    <row r="517" spans="1:26" x14ac:dyDescent="0.6">
      <c r="A517" s="1513"/>
      <c r="N517" s="1288"/>
      <c r="O517" s="1290"/>
      <c r="Z517" s="1290"/>
    </row>
    <row r="518" spans="1:26" x14ac:dyDescent="0.6">
      <c r="A518" s="1513"/>
      <c r="N518" s="1288"/>
      <c r="O518" s="1290"/>
      <c r="Z518" s="1290"/>
    </row>
    <row r="519" spans="1:26" x14ac:dyDescent="0.6">
      <c r="A519" s="1513"/>
      <c r="N519" s="1288"/>
      <c r="O519" s="1290"/>
      <c r="Z519" s="1290"/>
    </row>
    <row r="520" spans="1:26" x14ac:dyDescent="0.6">
      <c r="A520" s="1513"/>
      <c r="N520" s="1288"/>
      <c r="O520" s="1290"/>
      <c r="Z520" s="1290"/>
    </row>
    <row r="521" spans="1:26" x14ac:dyDescent="0.6">
      <c r="A521" s="1513"/>
      <c r="N521" s="1288"/>
      <c r="O521" s="1290"/>
      <c r="Z521" s="1290"/>
    </row>
    <row r="522" spans="1:26" x14ac:dyDescent="0.6">
      <c r="A522" s="1513"/>
      <c r="N522" s="1288"/>
      <c r="O522" s="1290"/>
      <c r="Z522" s="1290"/>
    </row>
    <row r="523" spans="1:26" x14ac:dyDescent="0.6">
      <c r="A523" s="1513"/>
      <c r="N523" s="1288"/>
      <c r="O523" s="1290"/>
      <c r="Z523" s="1290"/>
    </row>
    <row r="524" spans="1:26" x14ac:dyDescent="0.6">
      <c r="A524" s="1513"/>
      <c r="N524" s="1288"/>
      <c r="O524" s="1290"/>
      <c r="Z524" s="1290"/>
    </row>
    <row r="525" spans="1:26" x14ac:dyDescent="0.6">
      <c r="A525" s="1513"/>
      <c r="N525" s="1288"/>
      <c r="O525" s="1290"/>
      <c r="Z525" s="1290"/>
    </row>
    <row r="526" spans="1:26" x14ac:dyDescent="0.6">
      <c r="A526" s="1513"/>
      <c r="N526" s="1288"/>
      <c r="O526" s="1290"/>
      <c r="Z526" s="1290"/>
    </row>
    <row r="527" spans="1:26" x14ac:dyDescent="0.6">
      <c r="A527" s="1513"/>
      <c r="N527" s="1288"/>
      <c r="O527" s="1290"/>
      <c r="Z527" s="1290"/>
    </row>
    <row r="528" spans="1:26" x14ac:dyDescent="0.6">
      <c r="A528" s="1513"/>
      <c r="N528" s="1288"/>
      <c r="O528" s="1290"/>
      <c r="Z528" s="1290"/>
    </row>
    <row r="529" spans="1:26" x14ac:dyDescent="0.6">
      <c r="A529" s="1513"/>
      <c r="N529" s="1288"/>
      <c r="O529" s="1290"/>
      <c r="Z529" s="1290"/>
    </row>
    <row r="530" spans="1:26" x14ac:dyDescent="0.6">
      <c r="A530" s="1513"/>
      <c r="N530" s="1288"/>
      <c r="O530" s="1290"/>
      <c r="Z530" s="1290"/>
    </row>
    <row r="531" spans="1:26" x14ac:dyDescent="0.6">
      <c r="A531" s="1513"/>
      <c r="N531" s="1288"/>
      <c r="O531" s="1290"/>
      <c r="Z531" s="1290"/>
    </row>
    <row r="532" spans="1:26" x14ac:dyDescent="0.6">
      <c r="A532" s="1513"/>
      <c r="N532" s="1288"/>
      <c r="O532" s="1290"/>
      <c r="Z532" s="1290"/>
    </row>
    <row r="533" spans="1:26" x14ac:dyDescent="0.6">
      <c r="A533" s="1513"/>
      <c r="N533" s="1288"/>
      <c r="O533" s="1290"/>
      <c r="Z533" s="1290"/>
    </row>
    <row r="534" spans="1:26" x14ac:dyDescent="0.6">
      <c r="A534" s="1513"/>
      <c r="N534" s="1288"/>
      <c r="O534" s="1290"/>
      <c r="Z534" s="1290"/>
    </row>
    <row r="535" spans="1:26" x14ac:dyDescent="0.6">
      <c r="A535" s="1513"/>
      <c r="N535" s="1288"/>
      <c r="O535" s="1290"/>
      <c r="Z535" s="1290"/>
    </row>
    <row r="536" spans="1:26" x14ac:dyDescent="0.6">
      <c r="A536" s="1513"/>
      <c r="N536" s="1288"/>
      <c r="O536" s="1290"/>
      <c r="Z536" s="1290"/>
    </row>
    <row r="537" spans="1:26" x14ac:dyDescent="0.6">
      <c r="A537" s="1513"/>
      <c r="N537" s="1288"/>
      <c r="O537" s="1290"/>
      <c r="Z537" s="1290"/>
    </row>
    <row r="538" spans="1:26" x14ac:dyDescent="0.6">
      <c r="A538" s="1513"/>
      <c r="N538" s="1288"/>
      <c r="O538" s="1290"/>
      <c r="Z538" s="1290"/>
    </row>
    <row r="539" spans="1:26" x14ac:dyDescent="0.6">
      <c r="A539" s="1513"/>
      <c r="N539" s="1288"/>
      <c r="O539" s="1290"/>
      <c r="Z539" s="1290"/>
    </row>
    <row r="540" spans="1:26" x14ac:dyDescent="0.6">
      <c r="A540" s="1513"/>
      <c r="N540" s="1288"/>
      <c r="O540" s="1290"/>
      <c r="Z540" s="1290"/>
    </row>
    <row r="541" spans="1:26" x14ac:dyDescent="0.6">
      <c r="A541" s="1513"/>
      <c r="N541" s="1288"/>
      <c r="O541" s="1290"/>
      <c r="Z541" s="1290"/>
    </row>
    <row r="542" spans="1:26" x14ac:dyDescent="0.6">
      <c r="A542" s="1513"/>
      <c r="N542" s="1288"/>
      <c r="O542" s="1290"/>
      <c r="Z542" s="1290"/>
    </row>
    <row r="543" spans="1:26" x14ac:dyDescent="0.6">
      <c r="A543" s="1513"/>
      <c r="N543" s="1288"/>
      <c r="O543" s="1290"/>
      <c r="Z543" s="1290"/>
    </row>
    <row r="544" spans="1:26" x14ac:dyDescent="0.6">
      <c r="A544" s="1513"/>
      <c r="N544" s="1288"/>
      <c r="O544" s="1290"/>
      <c r="Z544" s="1290"/>
    </row>
    <row r="545" spans="1:26" x14ac:dyDescent="0.6">
      <c r="A545" s="1513"/>
      <c r="N545" s="1288"/>
      <c r="O545" s="1290"/>
      <c r="Z545" s="1290"/>
    </row>
    <row r="546" spans="1:26" x14ac:dyDescent="0.6">
      <c r="A546" s="1513"/>
      <c r="N546" s="1288"/>
      <c r="O546" s="1290"/>
      <c r="Z546" s="1290"/>
    </row>
    <row r="547" spans="1:26" x14ac:dyDescent="0.6">
      <c r="A547" s="1513"/>
      <c r="N547" s="1288"/>
      <c r="O547" s="1290"/>
      <c r="Z547" s="1290"/>
    </row>
    <row r="548" spans="1:26" x14ac:dyDescent="0.6">
      <c r="A548" s="1513"/>
      <c r="N548" s="1288"/>
      <c r="O548" s="1290"/>
      <c r="Z548" s="1290"/>
    </row>
    <row r="549" spans="1:26" x14ac:dyDescent="0.6">
      <c r="A549" s="1513"/>
      <c r="N549" s="1288"/>
      <c r="O549" s="1290"/>
      <c r="Z549" s="1290"/>
    </row>
    <row r="550" spans="1:26" x14ac:dyDescent="0.6">
      <c r="A550" s="1513"/>
      <c r="N550" s="1288"/>
      <c r="O550" s="1290"/>
      <c r="Z550" s="1290"/>
    </row>
    <row r="551" spans="1:26" x14ac:dyDescent="0.6">
      <c r="A551" s="1513"/>
      <c r="N551" s="1288"/>
      <c r="O551" s="1290"/>
      <c r="Z551" s="1290"/>
    </row>
    <row r="552" spans="1:26" x14ac:dyDescent="0.6">
      <c r="A552" s="1513"/>
      <c r="N552" s="1288"/>
      <c r="O552" s="1290"/>
      <c r="Z552" s="1290"/>
    </row>
    <row r="553" spans="1:26" x14ac:dyDescent="0.6">
      <c r="A553" s="1513"/>
      <c r="N553" s="1288"/>
      <c r="O553" s="1290"/>
      <c r="Z553" s="1290"/>
    </row>
    <row r="554" spans="1:26" x14ac:dyDescent="0.6">
      <c r="A554" s="1513"/>
      <c r="N554" s="1288"/>
      <c r="O554" s="1290"/>
      <c r="Z554" s="1290"/>
    </row>
    <row r="555" spans="1:26" x14ac:dyDescent="0.6">
      <c r="A555" s="1513"/>
      <c r="N555" s="1288"/>
      <c r="O555" s="1290"/>
      <c r="Z555" s="1290"/>
    </row>
    <row r="556" spans="1:26" x14ac:dyDescent="0.6">
      <c r="A556" s="1513"/>
      <c r="N556" s="1288"/>
      <c r="O556" s="1290"/>
      <c r="Z556" s="1290"/>
    </row>
    <row r="557" spans="1:26" x14ac:dyDescent="0.6">
      <c r="A557" s="1513"/>
      <c r="N557" s="1288"/>
      <c r="O557" s="1290"/>
      <c r="Z557" s="1290"/>
    </row>
    <row r="558" spans="1:26" x14ac:dyDescent="0.6">
      <c r="A558" s="1513"/>
      <c r="N558" s="1288"/>
      <c r="O558" s="1290"/>
      <c r="Z558" s="1290"/>
    </row>
    <row r="559" spans="1:26" x14ac:dyDescent="0.6">
      <c r="A559" s="1513"/>
      <c r="N559" s="1288"/>
      <c r="O559" s="1290"/>
      <c r="Z559" s="1290"/>
    </row>
    <row r="560" spans="1:26" x14ac:dyDescent="0.6">
      <c r="A560" s="1513"/>
      <c r="N560" s="1288"/>
      <c r="O560" s="1290"/>
      <c r="Z560" s="1290"/>
    </row>
    <row r="561" spans="1:26" x14ac:dyDescent="0.6">
      <c r="A561" s="1513"/>
      <c r="N561" s="1288"/>
      <c r="O561" s="1290"/>
      <c r="Z561" s="1290"/>
    </row>
    <row r="562" spans="1:26" x14ac:dyDescent="0.6">
      <c r="A562" s="1513"/>
      <c r="N562" s="1288"/>
      <c r="O562" s="1290"/>
      <c r="Z562" s="1290"/>
    </row>
    <row r="563" spans="1:26" x14ac:dyDescent="0.6">
      <c r="A563" s="1513"/>
      <c r="N563" s="1288"/>
      <c r="O563" s="1290"/>
      <c r="Z563" s="1290"/>
    </row>
    <row r="564" spans="1:26" x14ac:dyDescent="0.6">
      <c r="A564" s="1513"/>
      <c r="N564" s="1288"/>
      <c r="O564" s="1290"/>
      <c r="Z564" s="1290"/>
    </row>
    <row r="565" spans="1:26" x14ac:dyDescent="0.6">
      <c r="A565" s="1513"/>
      <c r="N565" s="1288"/>
      <c r="O565" s="1290"/>
      <c r="Z565" s="1290"/>
    </row>
    <row r="566" spans="1:26" x14ac:dyDescent="0.6">
      <c r="A566" s="1513"/>
      <c r="N566" s="1288"/>
      <c r="O566" s="1290"/>
      <c r="Z566" s="1290"/>
    </row>
    <row r="567" spans="1:26" x14ac:dyDescent="0.6">
      <c r="A567" s="1513"/>
      <c r="N567" s="1288"/>
      <c r="O567" s="1290"/>
      <c r="Z567" s="1290"/>
    </row>
    <row r="568" spans="1:26" x14ac:dyDescent="0.6">
      <c r="A568" s="1513"/>
      <c r="N568" s="1288"/>
      <c r="O568" s="1290"/>
      <c r="Z568" s="1290"/>
    </row>
    <row r="569" spans="1:26" x14ac:dyDescent="0.6">
      <c r="A569" s="1513"/>
      <c r="N569" s="1288"/>
      <c r="O569" s="1290"/>
      <c r="Z569" s="1290"/>
    </row>
    <row r="570" spans="1:26" x14ac:dyDescent="0.6">
      <c r="A570" s="1513"/>
      <c r="N570" s="1288"/>
      <c r="O570" s="1290"/>
      <c r="Z570" s="1290"/>
    </row>
    <row r="571" spans="1:26" x14ac:dyDescent="0.6">
      <c r="A571" s="1513"/>
      <c r="N571" s="1288"/>
      <c r="O571" s="1290"/>
      <c r="Z571" s="1290"/>
    </row>
    <row r="572" spans="1:26" x14ac:dyDescent="0.6">
      <c r="A572" s="1513"/>
      <c r="N572" s="1288"/>
      <c r="O572" s="1290"/>
      <c r="Z572" s="1290"/>
    </row>
    <row r="573" spans="1:26" x14ac:dyDescent="0.6">
      <c r="A573" s="1513"/>
      <c r="N573" s="1288"/>
      <c r="O573" s="1290"/>
      <c r="Z573" s="1290"/>
    </row>
    <row r="574" spans="1:26" x14ac:dyDescent="0.6">
      <c r="A574" s="1513"/>
      <c r="N574" s="1288"/>
      <c r="O574" s="1290"/>
      <c r="Z574" s="1290"/>
    </row>
    <row r="575" spans="1:26" x14ac:dyDescent="0.6">
      <c r="A575" s="1513"/>
      <c r="N575" s="1288"/>
      <c r="O575" s="1290"/>
      <c r="Z575" s="1290"/>
    </row>
    <row r="576" spans="1:26" x14ac:dyDescent="0.6">
      <c r="A576" s="1513"/>
      <c r="N576" s="1288"/>
      <c r="O576" s="1290"/>
      <c r="Z576" s="1290"/>
    </row>
    <row r="577" spans="1:26" x14ac:dyDescent="0.6">
      <c r="A577" s="1513"/>
      <c r="N577" s="1288"/>
      <c r="O577" s="1290"/>
      <c r="Z577" s="1290"/>
    </row>
    <row r="578" spans="1:26" x14ac:dyDescent="0.6">
      <c r="A578" s="1513"/>
      <c r="N578" s="1288"/>
      <c r="O578" s="1290"/>
      <c r="Z578" s="1290"/>
    </row>
    <row r="579" spans="1:26" x14ac:dyDescent="0.6">
      <c r="A579" s="1513"/>
      <c r="N579" s="1288"/>
      <c r="O579" s="1290"/>
      <c r="Z579" s="1290"/>
    </row>
    <row r="580" spans="1:26" x14ac:dyDescent="0.6">
      <c r="A580" s="1513"/>
      <c r="N580" s="1288"/>
      <c r="O580" s="1290"/>
      <c r="Z580" s="1290"/>
    </row>
    <row r="581" spans="1:26" x14ac:dyDescent="0.6">
      <c r="A581" s="1513"/>
      <c r="N581" s="1288"/>
      <c r="O581" s="1290"/>
      <c r="Z581" s="1290"/>
    </row>
    <row r="582" spans="1:26" x14ac:dyDescent="0.6">
      <c r="A582" s="1513"/>
      <c r="N582" s="1288"/>
      <c r="O582" s="1290"/>
      <c r="Z582" s="1290"/>
    </row>
    <row r="583" spans="1:26" x14ac:dyDescent="0.6">
      <c r="A583" s="1513"/>
      <c r="N583" s="1288"/>
      <c r="O583" s="1290"/>
      <c r="Z583" s="1290"/>
    </row>
    <row r="584" spans="1:26" x14ac:dyDescent="0.6">
      <c r="A584" s="1513"/>
      <c r="N584" s="1288"/>
      <c r="O584" s="1290"/>
      <c r="Z584" s="1290"/>
    </row>
    <row r="585" spans="1:26" x14ac:dyDescent="0.6">
      <c r="A585" s="1513"/>
      <c r="N585" s="1288"/>
      <c r="O585" s="1290"/>
      <c r="Z585" s="1290"/>
    </row>
    <row r="586" spans="1:26" x14ac:dyDescent="0.6">
      <c r="A586" s="1513"/>
      <c r="N586" s="1288"/>
      <c r="O586" s="1290"/>
      <c r="Z586" s="1290"/>
    </row>
    <row r="587" spans="1:26" x14ac:dyDescent="0.6">
      <c r="A587" s="1513"/>
      <c r="N587" s="1288"/>
      <c r="O587" s="1290"/>
      <c r="Z587" s="1290"/>
    </row>
    <row r="588" spans="1:26" x14ac:dyDescent="0.6">
      <c r="A588" s="1513"/>
      <c r="N588" s="1288"/>
      <c r="O588" s="1290"/>
      <c r="Z588" s="1290"/>
    </row>
    <row r="589" spans="1:26" x14ac:dyDescent="0.6">
      <c r="A589" s="1513"/>
      <c r="N589" s="1288"/>
      <c r="O589" s="1290"/>
      <c r="Z589" s="1290"/>
    </row>
    <row r="590" spans="1:26" x14ac:dyDescent="0.6">
      <c r="A590" s="1513"/>
      <c r="N590" s="1288"/>
      <c r="O590" s="1290"/>
      <c r="Z590" s="1290"/>
    </row>
    <row r="591" spans="1:26" x14ac:dyDescent="0.6">
      <c r="A591" s="1513"/>
      <c r="N591" s="1288"/>
      <c r="O591" s="1290"/>
      <c r="Z591" s="1290"/>
    </row>
    <row r="592" spans="1:26" x14ac:dyDescent="0.6">
      <c r="A592" s="1513"/>
      <c r="N592" s="1288"/>
      <c r="O592" s="1290"/>
      <c r="Z592" s="1290"/>
    </row>
    <row r="593" spans="1:26" x14ac:dyDescent="0.6">
      <c r="A593" s="1513"/>
      <c r="N593" s="1288"/>
      <c r="O593" s="1290"/>
      <c r="Z593" s="1290"/>
    </row>
    <row r="594" spans="1:26" x14ac:dyDescent="0.6">
      <c r="A594" s="1513"/>
      <c r="N594" s="1288"/>
      <c r="O594" s="1290"/>
      <c r="Z594" s="1290"/>
    </row>
    <row r="595" spans="1:26" x14ac:dyDescent="0.6">
      <c r="A595" s="1513"/>
      <c r="N595" s="1288"/>
      <c r="O595" s="1290"/>
      <c r="Z595" s="1290"/>
    </row>
    <row r="596" spans="1:26" x14ac:dyDescent="0.6">
      <c r="A596" s="1513"/>
      <c r="N596" s="1288"/>
      <c r="O596" s="1290"/>
      <c r="Z596" s="1290"/>
    </row>
    <row r="597" spans="1:26" x14ac:dyDescent="0.6">
      <c r="A597" s="1513"/>
      <c r="N597" s="1288"/>
      <c r="O597" s="1290"/>
      <c r="Z597" s="1290"/>
    </row>
    <row r="598" spans="1:26" x14ac:dyDescent="0.6">
      <c r="A598" s="1513"/>
      <c r="N598" s="1288"/>
      <c r="O598" s="1290"/>
      <c r="Z598" s="1290"/>
    </row>
    <row r="599" spans="1:26" x14ac:dyDescent="0.6">
      <c r="A599" s="1513"/>
      <c r="N599" s="1288"/>
      <c r="O599" s="1290"/>
      <c r="Z599" s="1290"/>
    </row>
    <row r="600" spans="1:26" x14ac:dyDescent="0.6">
      <c r="A600" s="1513"/>
      <c r="N600" s="1288"/>
      <c r="O600" s="1290"/>
      <c r="Z600" s="1290"/>
    </row>
    <row r="601" spans="1:26" x14ac:dyDescent="0.6">
      <c r="A601" s="1513"/>
      <c r="N601" s="1288"/>
      <c r="O601" s="1290"/>
      <c r="Z601" s="1290"/>
    </row>
    <row r="602" spans="1:26" x14ac:dyDescent="0.6">
      <c r="A602" s="1513"/>
      <c r="N602" s="1288"/>
      <c r="O602" s="1290"/>
      <c r="Z602" s="1290"/>
    </row>
    <row r="603" spans="1:26" x14ac:dyDescent="0.6">
      <c r="A603" s="1513"/>
      <c r="N603" s="1288"/>
      <c r="O603" s="1290"/>
      <c r="Z603" s="1290"/>
    </row>
    <row r="604" spans="1:26" x14ac:dyDescent="0.6">
      <c r="A604" s="1513"/>
      <c r="N604" s="1288"/>
      <c r="O604" s="1290"/>
      <c r="Z604" s="1290"/>
    </row>
    <row r="605" spans="1:26" x14ac:dyDescent="0.6">
      <c r="A605" s="1513"/>
      <c r="N605" s="1288"/>
      <c r="O605" s="1290"/>
      <c r="Z605" s="1290"/>
    </row>
    <row r="606" spans="1:26" x14ac:dyDescent="0.6">
      <c r="A606" s="1513"/>
      <c r="N606" s="1288"/>
      <c r="O606" s="1290"/>
      <c r="Z606" s="1290"/>
    </row>
    <row r="607" spans="1:26" x14ac:dyDescent="0.6">
      <c r="A607" s="1513"/>
      <c r="N607" s="1288"/>
      <c r="O607" s="1290"/>
      <c r="Z607" s="1290"/>
    </row>
    <row r="608" spans="1:26" x14ac:dyDescent="0.6">
      <c r="A608" s="1513"/>
      <c r="N608" s="1288"/>
      <c r="O608" s="1290"/>
      <c r="Z608" s="1290"/>
    </row>
    <row r="609" spans="1:26" x14ac:dyDescent="0.6">
      <c r="A609" s="1513"/>
      <c r="N609" s="1288"/>
      <c r="O609" s="1290"/>
      <c r="Z609" s="1290"/>
    </row>
    <row r="610" spans="1:26" x14ac:dyDescent="0.6">
      <c r="A610" s="1513"/>
      <c r="N610" s="1288"/>
      <c r="O610" s="1290"/>
      <c r="Z610" s="1290"/>
    </row>
    <row r="611" spans="1:26" x14ac:dyDescent="0.6">
      <c r="A611" s="1513"/>
      <c r="N611" s="1288"/>
      <c r="O611" s="1290"/>
      <c r="Z611" s="1290"/>
    </row>
    <row r="612" spans="1:26" x14ac:dyDescent="0.6">
      <c r="A612" s="1513"/>
      <c r="N612" s="1288"/>
      <c r="O612" s="1290"/>
      <c r="Z612" s="1290"/>
    </row>
    <row r="613" spans="1:26" x14ac:dyDescent="0.6">
      <c r="A613" s="1513"/>
      <c r="N613" s="1288"/>
      <c r="O613" s="1290"/>
      <c r="Z613" s="1290"/>
    </row>
    <row r="614" spans="1:26" x14ac:dyDescent="0.6">
      <c r="A614" s="1513"/>
      <c r="N614" s="1288"/>
      <c r="O614" s="1290"/>
      <c r="Z614" s="1290"/>
    </row>
    <row r="615" spans="1:26" x14ac:dyDescent="0.6">
      <c r="A615" s="1513"/>
      <c r="N615" s="1288"/>
      <c r="O615" s="1290"/>
      <c r="Z615" s="1290"/>
    </row>
    <row r="616" spans="1:26" x14ac:dyDescent="0.6">
      <c r="A616" s="1513"/>
      <c r="N616" s="1288"/>
      <c r="O616" s="1290"/>
      <c r="Z616" s="1290"/>
    </row>
    <row r="617" spans="1:26" x14ac:dyDescent="0.6">
      <c r="A617" s="1513"/>
      <c r="N617" s="1288"/>
      <c r="O617" s="1290"/>
      <c r="Z617" s="1290"/>
    </row>
    <row r="618" spans="1:26" x14ac:dyDescent="0.6">
      <c r="A618" s="1513"/>
      <c r="N618" s="1288"/>
      <c r="O618" s="1290"/>
      <c r="Z618" s="1290"/>
    </row>
    <row r="619" spans="1:26" x14ac:dyDescent="0.6">
      <c r="A619" s="1513"/>
      <c r="N619" s="1288"/>
      <c r="O619" s="1290"/>
      <c r="Z619" s="1290"/>
    </row>
    <row r="620" spans="1:26" x14ac:dyDescent="0.6">
      <c r="A620" s="1513"/>
      <c r="N620" s="1288"/>
      <c r="O620" s="1290"/>
      <c r="Z620" s="1290"/>
    </row>
    <row r="621" spans="1:26" x14ac:dyDescent="0.6">
      <c r="A621" s="1513"/>
      <c r="N621" s="1288"/>
      <c r="O621" s="1290"/>
      <c r="Z621" s="1290"/>
    </row>
    <row r="622" spans="1:26" x14ac:dyDescent="0.6">
      <c r="A622" s="1513"/>
      <c r="N622" s="1288"/>
      <c r="O622" s="1290"/>
      <c r="Z622" s="1290"/>
    </row>
    <row r="623" spans="1:26" x14ac:dyDescent="0.6">
      <c r="A623" s="1513"/>
      <c r="N623" s="1288"/>
      <c r="O623" s="1290"/>
      <c r="Z623" s="1290"/>
    </row>
    <row r="624" spans="1:26" x14ac:dyDescent="0.6">
      <c r="A624" s="1513"/>
      <c r="N624" s="1288"/>
      <c r="O624" s="1290"/>
      <c r="Z624" s="1290"/>
    </row>
    <row r="625" spans="1:26" x14ac:dyDescent="0.6">
      <c r="A625" s="1513"/>
      <c r="N625" s="1288"/>
      <c r="O625" s="1290"/>
      <c r="Z625" s="1290"/>
    </row>
    <row r="626" spans="1:26" x14ac:dyDescent="0.6">
      <c r="A626" s="1513"/>
      <c r="N626" s="1288"/>
      <c r="O626" s="1290"/>
      <c r="Z626" s="1290"/>
    </row>
    <row r="627" spans="1:26" x14ac:dyDescent="0.6">
      <c r="A627" s="1513"/>
      <c r="N627" s="1288"/>
      <c r="O627" s="1290"/>
      <c r="Z627" s="1290"/>
    </row>
    <row r="628" spans="1:26" x14ac:dyDescent="0.6">
      <c r="A628" s="1513"/>
      <c r="N628" s="1288"/>
      <c r="O628" s="1290"/>
      <c r="Z628" s="1290"/>
    </row>
    <row r="629" spans="1:26" x14ac:dyDescent="0.6">
      <c r="A629" s="1513"/>
      <c r="N629" s="1288"/>
      <c r="O629" s="1290"/>
      <c r="Z629" s="1290"/>
    </row>
    <row r="630" spans="1:26" x14ac:dyDescent="0.6">
      <c r="A630" s="1513"/>
      <c r="N630" s="1288"/>
      <c r="O630" s="1290"/>
      <c r="Z630" s="1290"/>
    </row>
    <row r="631" spans="1:26" x14ac:dyDescent="0.6">
      <c r="A631" s="1513"/>
      <c r="N631" s="1288"/>
      <c r="O631" s="1290"/>
      <c r="Z631" s="1290"/>
    </row>
    <row r="632" spans="1:26" x14ac:dyDescent="0.6">
      <c r="A632" s="1513"/>
      <c r="N632" s="1288"/>
      <c r="O632" s="1290"/>
      <c r="Z632" s="1290"/>
    </row>
    <row r="633" spans="1:26" x14ac:dyDescent="0.6">
      <c r="A633" s="1513"/>
      <c r="N633" s="1288"/>
      <c r="O633" s="1290"/>
      <c r="Z633" s="1290"/>
    </row>
    <row r="634" spans="1:26" x14ac:dyDescent="0.6">
      <c r="A634" s="1513"/>
      <c r="N634" s="1288"/>
      <c r="O634" s="1290"/>
      <c r="Z634" s="1290"/>
    </row>
    <row r="635" spans="1:26" x14ac:dyDescent="0.6">
      <c r="A635" s="1513"/>
      <c r="N635" s="1288"/>
      <c r="O635" s="1290"/>
      <c r="Z635" s="1290"/>
    </row>
    <row r="636" spans="1:26" x14ac:dyDescent="0.6">
      <c r="A636" s="1513"/>
      <c r="N636" s="1288"/>
      <c r="O636" s="1290"/>
      <c r="Z636" s="1290"/>
    </row>
    <row r="637" spans="1:26" x14ac:dyDescent="0.6">
      <c r="A637" s="1513"/>
      <c r="N637" s="1288"/>
      <c r="O637" s="1290"/>
      <c r="Z637" s="1290"/>
    </row>
    <row r="638" spans="1:26" x14ac:dyDescent="0.6">
      <c r="A638" s="1513"/>
      <c r="N638" s="1288"/>
      <c r="O638" s="1290"/>
      <c r="Z638" s="1290"/>
    </row>
    <row r="639" spans="1:26" x14ac:dyDescent="0.6">
      <c r="A639" s="1513"/>
      <c r="N639" s="1288"/>
      <c r="O639" s="1290"/>
      <c r="Z639" s="1290"/>
    </row>
    <row r="640" spans="1:26" x14ac:dyDescent="0.6">
      <c r="A640" s="1513"/>
      <c r="N640" s="1288"/>
      <c r="O640" s="1290"/>
      <c r="Z640" s="1290"/>
    </row>
    <row r="641" spans="1:26" x14ac:dyDescent="0.6">
      <c r="A641" s="1513"/>
      <c r="N641" s="1288"/>
      <c r="O641" s="1290"/>
      <c r="Z641" s="1290"/>
    </row>
    <row r="642" spans="1:26" x14ac:dyDescent="0.6">
      <c r="A642" s="1513"/>
      <c r="N642" s="1288"/>
      <c r="O642" s="1290"/>
      <c r="Z642" s="1290"/>
    </row>
    <row r="643" spans="1:26" x14ac:dyDescent="0.6">
      <c r="A643" s="1513"/>
      <c r="N643" s="1288"/>
      <c r="O643" s="1290"/>
      <c r="Z643" s="1290"/>
    </row>
    <row r="644" spans="1:26" x14ac:dyDescent="0.6">
      <c r="A644" s="1513"/>
      <c r="N644" s="1288"/>
      <c r="O644" s="1290"/>
      <c r="Z644" s="1290"/>
    </row>
    <row r="645" spans="1:26" x14ac:dyDescent="0.6">
      <c r="A645" s="1513"/>
      <c r="N645" s="1288"/>
      <c r="O645" s="1290"/>
      <c r="Z645" s="1290"/>
    </row>
    <row r="646" spans="1:26" x14ac:dyDescent="0.6">
      <c r="A646" s="1513"/>
      <c r="N646" s="1288"/>
      <c r="O646" s="1290"/>
      <c r="Z646" s="1290"/>
    </row>
    <row r="647" spans="1:26" x14ac:dyDescent="0.6">
      <c r="A647" s="1513"/>
      <c r="N647" s="1288"/>
      <c r="O647" s="1290"/>
      <c r="Z647" s="1290"/>
    </row>
    <row r="648" spans="1:26" x14ac:dyDescent="0.6">
      <c r="A648" s="1513"/>
      <c r="N648" s="1288"/>
      <c r="O648" s="1290"/>
      <c r="Z648" s="1290"/>
    </row>
    <row r="649" spans="1:26" x14ac:dyDescent="0.6">
      <c r="A649" s="1513"/>
      <c r="N649" s="1288"/>
      <c r="O649" s="1290"/>
      <c r="Z649" s="1290"/>
    </row>
    <row r="650" spans="1:26" x14ac:dyDescent="0.6">
      <c r="A650" s="1513"/>
      <c r="N650" s="1288"/>
      <c r="O650" s="1290"/>
      <c r="Z650" s="1290"/>
    </row>
    <row r="651" spans="1:26" x14ac:dyDescent="0.6">
      <c r="A651" s="1513"/>
      <c r="N651" s="1288"/>
      <c r="O651" s="1290"/>
      <c r="Z651" s="1290"/>
    </row>
    <row r="652" spans="1:26" x14ac:dyDescent="0.6">
      <c r="A652" s="1513"/>
      <c r="N652" s="1288"/>
      <c r="O652" s="1290"/>
      <c r="Z652" s="1290"/>
    </row>
    <row r="653" spans="1:26" x14ac:dyDescent="0.6">
      <c r="A653" s="1513"/>
      <c r="N653" s="1288"/>
      <c r="O653" s="1290"/>
      <c r="Z653" s="1290"/>
    </row>
    <row r="654" spans="1:26" x14ac:dyDescent="0.6">
      <c r="A654" s="1513"/>
      <c r="N654" s="1288"/>
      <c r="O654" s="1290"/>
      <c r="Z654" s="1290"/>
    </row>
    <row r="655" spans="1:26" x14ac:dyDescent="0.6">
      <c r="A655" s="1513"/>
      <c r="N655" s="1288"/>
      <c r="O655" s="1290"/>
      <c r="Z655" s="1290"/>
    </row>
    <row r="656" spans="1:26" x14ac:dyDescent="0.6">
      <c r="A656" s="1513"/>
      <c r="N656" s="1288"/>
      <c r="O656" s="1290"/>
      <c r="Z656" s="1290"/>
    </row>
    <row r="657" spans="1:26" x14ac:dyDescent="0.6">
      <c r="A657" s="1513"/>
      <c r="N657" s="1288"/>
      <c r="O657" s="1290"/>
      <c r="Z657" s="1290"/>
    </row>
    <row r="658" spans="1:26" x14ac:dyDescent="0.6">
      <c r="A658" s="1513"/>
      <c r="N658" s="1288"/>
      <c r="O658" s="1290"/>
      <c r="Z658" s="1290"/>
    </row>
    <row r="659" spans="1:26" x14ac:dyDescent="0.6">
      <c r="A659" s="1513"/>
      <c r="N659" s="1288"/>
      <c r="O659" s="1290"/>
      <c r="Z659" s="1290"/>
    </row>
    <row r="660" spans="1:26" x14ac:dyDescent="0.6">
      <c r="A660" s="1513"/>
      <c r="N660" s="1288"/>
      <c r="O660" s="1290"/>
      <c r="Z660" s="1290"/>
    </row>
    <row r="661" spans="1:26" x14ac:dyDescent="0.6">
      <c r="A661" s="1513"/>
      <c r="N661" s="1288"/>
      <c r="O661" s="1290"/>
      <c r="Z661" s="1290"/>
    </row>
    <row r="662" spans="1:26" x14ac:dyDescent="0.6">
      <c r="A662" s="1513"/>
      <c r="N662" s="1288"/>
      <c r="O662" s="1290"/>
      <c r="Z662" s="1290"/>
    </row>
    <row r="663" spans="1:26" x14ac:dyDescent="0.6">
      <c r="A663" s="1513"/>
      <c r="N663" s="1288"/>
      <c r="O663" s="1290"/>
      <c r="Z663" s="1290"/>
    </row>
    <row r="664" spans="1:26" x14ac:dyDescent="0.6">
      <c r="A664" s="1513"/>
      <c r="N664" s="1288"/>
      <c r="O664" s="1290"/>
      <c r="Z664" s="1290"/>
    </row>
    <row r="665" spans="1:26" x14ac:dyDescent="0.6">
      <c r="A665" s="1513"/>
      <c r="N665" s="1288"/>
      <c r="O665" s="1290"/>
      <c r="Z665" s="1290"/>
    </row>
    <row r="666" spans="1:26" x14ac:dyDescent="0.6">
      <c r="A666" s="1513"/>
      <c r="N666" s="1288"/>
      <c r="O666" s="1290"/>
      <c r="Z666" s="1290"/>
    </row>
    <row r="667" spans="1:26" x14ac:dyDescent="0.6">
      <c r="A667" s="1513"/>
      <c r="N667" s="1288"/>
      <c r="O667" s="1290"/>
      <c r="Z667" s="1290"/>
    </row>
    <row r="668" spans="1:26" x14ac:dyDescent="0.6">
      <c r="A668" s="1513"/>
      <c r="N668" s="1288"/>
      <c r="O668" s="1290"/>
      <c r="Z668" s="1290"/>
    </row>
    <row r="669" spans="1:26" x14ac:dyDescent="0.6">
      <c r="A669" s="1513"/>
      <c r="N669" s="1288"/>
      <c r="O669" s="1290"/>
      <c r="Z669" s="1290"/>
    </row>
    <row r="670" spans="1:26" x14ac:dyDescent="0.6">
      <c r="A670" s="1513"/>
      <c r="N670" s="1288"/>
      <c r="O670" s="1290"/>
      <c r="Z670" s="1290"/>
    </row>
    <row r="671" spans="1:26" x14ac:dyDescent="0.6">
      <c r="A671" s="1513"/>
      <c r="N671" s="1288"/>
      <c r="O671" s="1290"/>
      <c r="Z671" s="1290"/>
    </row>
    <row r="672" spans="1:26" x14ac:dyDescent="0.6">
      <c r="A672" s="1513"/>
      <c r="N672" s="1288"/>
      <c r="O672" s="1290"/>
      <c r="Z672" s="1290"/>
    </row>
    <row r="673" spans="1:26" x14ac:dyDescent="0.6">
      <c r="A673" s="1513"/>
      <c r="N673" s="1288"/>
      <c r="O673" s="1290"/>
      <c r="Z673" s="1290"/>
    </row>
    <row r="674" spans="1:26" x14ac:dyDescent="0.6">
      <c r="A674" s="1513"/>
      <c r="N674" s="1288"/>
      <c r="O674" s="1290"/>
      <c r="Z674" s="1290"/>
    </row>
    <row r="675" spans="1:26" x14ac:dyDescent="0.6">
      <c r="A675" s="1513"/>
      <c r="N675" s="1288"/>
      <c r="O675" s="1290"/>
      <c r="Z675" s="1290"/>
    </row>
    <row r="676" spans="1:26" x14ac:dyDescent="0.6">
      <c r="A676" s="1513"/>
      <c r="N676" s="1288"/>
      <c r="O676" s="1290"/>
      <c r="Z676" s="1290"/>
    </row>
    <row r="677" spans="1:26" x14ac:dyDescent="0.6">
      <c r="A677" s="1513"/>
      <c r="N677" s="1288"/>
      <c r="O677" s="1290"/>
      <c r="Z677" s="1290"/>
    </row>
    <row r="678" spans="1:26" x14ac:dyDescent="0.6">
      <c r="A678" s="1513"/>
      <c r="N678" s="1288"/>
      <c r="O678" s="1290"/>
      <c r="Z678" s="1290"/>
    </row>
    <row r="679" spans="1:26" x14ac:dyDescent="0.6">
      <c r="A679" s="1513"/>
      <c r="N679" s="1288"/>
      <c r="O679" s="1290"/>
      <c r="Z679" s="1290"/>
    </row>
    <row r="680" spans="1:26" x14ac:dyDescent="0.6">
      <c r="A680" s="1513"/>
      <c r="N680" s="1288"/>
      <c r="O680" s="1290"/>
      <c r="Z680" s="1290"/>
    </row>
    <row r="681" spans="1:26" x14ac:dyDescent="0.6">
      <c r="A681" s="1513"/>
      <c r="N681" s="1288"/>
      <c r="O681" s="1290"/>
      <c r="Z681" s="1290"/>
    </row>
    <row r="682" spans="1:26" x14ac:dyDescent="0.6">
      <c r="A682" s="1513"/>
      <c r="N682" s="1288"/>
      <c r="O682" s="1290"/>
      <c r="Z682" s="1290"/>
    </row>
    <row r="683" spans="1:26" x14ac:dyDescent="0.6">
      <c r="A683" s="1513"/>
      <c r="N683" s="1288"/>
      <c r="O683" s="1290"/>
      <c r="Z683" s="1290"/>
    </row>
    <row r="684" spans="1:26" x14ac:dyDescent="0.6">
      <c r="A684" s="1513"/>
      <c r="N684" s="1288"/>
      <c r="O684" s="1290"/>
      <c r="Z684" s="1290"/>
    </row>
    <row r="685" spans="1:26" x14ac:dyDescent="0.6">
      <c r="A685" s="1513"/>
      <c r="N685" s="1288"/>
      <c r="O685" s="1290"/>
      <c r="Z685" s="1290"/>
    </row>
    <row r="686" spans="1:26" x14ac:dyDescent="0.6">
      <c r="A686" s="1513"/>
      <c r="N686" s="1288"/>
      <c r="O686" s="1290"/>
      <c r="Z686" s="1290"/>
    </row>
    <row r="687" spans="1:26" x14ac:dyDescent="0.6">
      <c r="A687" s="1513"/>
      <c r="N687" s="1288"/>
      <c r="O687" s="1290"/>
      <c r="Z687" s="1290"/>
    </row>
    <row r="688" spans="1:26" x14ac:dyDescent="0.6">
      <c r="A688" s="1513"/>
      <c r="N688" s="1288"/>
      <c r="O688" s="1290"/>
      <c r="Z688" s="1290"/>
    </row>
    <row r="689" spans="1:26" x14ac:dyDescent="0.6">
      <c r="A689" s="1513"/>
      <c r="N689" s="1288"/>
      <c r="O689" s="1290"/>
      <c r="Z689" s="1290"/>
    </row>
    <row r="690" spans="1:26" x14ac:dyDescent="0.6">
      <c r="A690" s="1513"/>
      <c r="N690" s="1288"/>
      <c r="O690" s="1290"/>
      <c r="Z690" s="1290"/>
    </row>
    <row r="691" spans="1:26" x14ac:dyDescent="0.6">
      <c r="A691" s="1513"/>
      <c r="N691" s="1288"/>
      <c r="O691" s="1290"/>
      <c r="Z691" s="1290"/>
    </row>
    <row r="692" spans="1:26" x14ac:dyDescent="0.6">
      <c r="A692" s="1513"/>
      <c r="N692" s="1288"/>
      <c r="O692" s="1290"/>
      <c r="Z692" s="1290"/>
    </row>
    <row r="693" spans="1:26" x14ac:dyDescent="0.6">
      <c r="A693" s="1513"/>
      <c r="N693" s="1288"/>
      <c r="O693" s="1290"/>
      <c r="Z693" s="1290"/>
    </row>
    <row r="694" spans="1:26" x14ac:dyDescent="0.6">
      <c r="A694" s="1513"/>
      <c r="N694" s="1288"/>
      <c r="O694" s="1290"/>
      <c r="Z694" s="1290"/>
    </row>
    <row r="695" spans="1:26" x14ac:dyDescent="0.6">
      <c r="A695" s="1513"/>
      <c r="N695" s="1288"/>
      <c r="O695" s="1290"/>
      <c r="Z695" s="1290"/>
    </row>
    <row r="696" spans="1:26" x14ac:dyDescent="0.6">
      <c r="A696" s="1513"/>
      <c r="N696" s="1288"/>
      <c r="O696" s="1290"/>
      <c r="Z696" s="1290"/>
    </row>
    <row r="697" spans="1:26" x14ac:dyDescent="0.6">
      <c r="A697" s="1513"/>
      <c r="N697" s="1288"/>
      <c r="O697" s="1290"/>
      <c r="Z697" s="1290"/>
    </row>
    <row r="698" spans="1:26" x14ac:dyDescent="0.6">
      <c r="A698" s="1513"/>
      <c r="N698" s="1288"/>
      <c r="O698" s="1290"/>
      <c r="Z698" s="1290"/>
    </row>
    <row r="699" spans="1:26" x14ac:dyDescent="0.6">
      <c r="A699" s="1513"/>
      <c r="N699" s="1288"/>
      <c r="O699" s="1290"/>
      <c r="Z699" s="1290"/>
    </row>
    <row r="700" spans="1:26" x14ac:dyDescent="0.6">
      <c r="A700" s="1513"/>
      <c r="N700" s="1288"/>
      <c r="O700" s="1290"/>
      <c r="Z700" s="1290"/>
    </row>
    <row r="701" spans="1:26" x14ac:dyDescent="0.6">
      <c r="A701" s="1513"/>
      <c r="N701" s="1288"/>
      <c r="O701" s="1290"/>
      <c r="Z701" s="1290"/>
    </row>
    <row r="702" spans="1:26" x14ac:dyDescent="0.6">
      <c r="A702" s="1513"/>
      <c r="N702" s="1288"/>
      <c r="O702" s="1290"/>
      <c r="Z702" s="1290"/>
    </row>
    <row r="703" spans="1:26" x14ac:dyDescent="0.6">
      <c r="A703" s="1513"/>
      <c r="N703" s="1288"/>
      <c r="O703" s="1290"/>
      <c r="Z703" s="1290"/>
    </row>
    <row r="704" spans="1:26" x14ac:dyDescent="0.6">
      <c r="A704" s="1513"/>
      <c r="N704" s="1288"/>
      <c r="O704" s="1290"/>
      <c r="Z704" s="1290"/>
    </row>
    <row r="705" spans="1:26" x14ac:dyDescent="0.6">
      <c r="A705" s="1513"/>
      <c r="N705" s="1288"/>
      <c r="O705" s="1290"/>
      <c r="Z705" s="1290"/>
    </row>
    <row r="706" spans="1:26" x14ac:dyDescent="0.6">
      <c r="A706" s="1513"/>
      <c r="N706" s="1288"/>
      <c r="O706" s="1290"/>
      <c r="Z706" s="1290"/>
    </row>
    <row r="707" spans="1:26" x14ac:dyDescent="0.6">
      <c r="A707" s="1513"/>
      <c r="N707" s="1288"/>
      <c r="O707" s="1290"/>
      <c r="Z707" s="1290"/>
    </row>
    <row r="708" spans="1:26" x14ac:dyDescent="0.6">
      <c r="A708" s="1513"/>
      <c r="N708" s="1288"/>
      <c r="O708" s="1290"/>
      <c r="Z708" s="1290"/>
    </row>
    <row r="709" spans="1:26" x14ac:dyDescent="0.6">
      <c r="A709" s="1513"/>
      <c r="N709" s="1288"/>
      <c r="O709" s="1290"/>
      <c r="Z709" s="1290"/>
    </row>
    <row r="710" spans="1:26" x14ac:dyDescent="0.6">
      <c r="A710" s="1513"/>
      <c r="N710" s="1288"/>
      <c r="O710" s="1290"/>
      <c r="Z710" s="1290"/>
    </row>
    <row r="711" spans="1:26" x14ac:dyDescent="0.6">
      <c r="A711" s="1513"/>
      <c r="N711" s="1288"/>
      <c r="O711" s="1290"/>
      <c r="Z711" s="1290"/>
    </row>
    <row r="712" spans="1:26" x14ac:dyDescent="0.6">
      <c r="A712" s="1513"/>
      <c r="N712" s="1288"/>
      <c r="O712" s="1290"/>
      <c r="Z712" s="1290"/>
    </row>
    <row r="713" spans="1:26" x14ac:dyDescent="0.6">
      <c r="A713" s="1513"/>
      <c r="N713" s="1288"/>
      <c r="O713" s="1290"/>
      <c r="Z713" s="1290"/>
    </row>
    <row r="714" spans="1:26" x14ac:dyDescent="0.6">
      <c r="A714" s="1513"/>
      <c r="N714" s="1288"/>
      <c r="O714" s="1290"/>
      <c r="Z714" s="1290"/>
    </row>
    <row r="715" spans="1:26" x14ac:dyDescent="0.6">
      <c r="A715" s="1513"/>
      <c r="N715" s="1288"/>
      <c r="O715" s="1290"/>
      <c r="Z715" s="1290"/>
    </row>
    <row r="716" spans="1:26" x14ac:dyDescent="0.6">
      <c r="A716" s="1513"/>
      <c r="N716" s="1288"/>
      <c r="O716" s="1290"/>
      <c r="Z716" s="1290"/>
    </row>
    <row r="717" spans="1:26" x14ac:dyDescent="0.6">
      <c r="A717" s="1513"/>
      <c r="N717" s="1288"/>
      <c r="O717" s="1290"/>
      <c r="Z717" s="1290"/>
    </row>
    <row r="718" spans="1:26" x14ac:dyDescent="0.6">
      <c r="A718" s="1513"/>
      <c r="N718" s="1288"/>
      <c r="O718" s="1290"/>
      <c r="Z718" s="1290"/>
    </row>
    <row r="719" spans="1:26" x14ac:dyDescent="0.6">
      <c r="A719" s="1513"/>
      <c r="N719" s="1288"/>
      <c r="O719" s="1290"/>
      <c r="Z719" s="1290"/>
    </row>
    <row r="720" spans="1:26" x14ac:dyDescent="0.6">
      <c r="A720" s="1513"/>
      <c r="N720" s="1288"/>
      <c r="O720" s="1290"/>
      <c r="Z720" s="1290"/>
    </row>
    <row r="721" spans="1:26" x14ac:dyDescent="0.6">
      <c r="A721" s="1513"/>
      <c r="N721" s="1288"/>
      <c r="O721" s="1290"/>
      <c r="Z721" s="1290"/>
    </row>
    <row r="722" spans="1:26" x14ac:dyDescent="0.6">
      <c r="A722" s="1513"/>
      <c r="N722" s="1288"/>
      <c r="O722" s="1290"/>
      <c r="Z722" s="1290"/>
    </row>
    <row r="723" spans="1:26" x14ac:dyDescent="0.6">
      <c r="A723" s="1513"/>
      <c r="N723" s="1288"/>
      <c r="O723" s="1290"/>
      <c r="Z723" s="1290"/>
    </row>
    <row r="724" spans="1:26" x14ac:dyDescent="0.6">
      <c r="A724" s="1513"/>
      <c r="N724" s="1288"/>
      <c r="O724" s="1290"/>
      <c r="Z724" s="1290"/>
    </row>
    <row r="725" spans="1:26" x14ac:dyDescent="0.6">
      <c r="A725" s="1513"/>
      <c r="N725" s="1288"/>
      <c r="O725" s="1290"/>
      <c r="Z725" s="1290"/>
    </row>
    <row r="726" spans="1:26" x14ac:dyDescent="0.6">
      <c r="A726" s="1513"/>
      <c r="N726" s="1288"/>
      <c r="O726" s="1290"/>
      <c r="Z726" s="1290"/>
    </row>
    <row r="727" spans="1:26" x14ac:dyDescent="0.6">
      <c r="A727" s="1513"/>
      <c r="N727" s="1288"/>
      <c r="O727" s="1290"/>
      <c r="Z727" s="1290"/>
    </row>
    <row r="728" spans="1:26" x14ac:dyDescent="0.6">
      <c r="A728" s="1513"/>
      <c r="N728" s="1288"/>
      <c r="O728" s="1290"/>
      <c r="Z728" s="1290"/>
    </row>
    <row r="729" spans="1:26" x14ac:dyDescent="0.6">
      <c r="A729" s="1513"/>
      <c r="N729" s="1288"/>
      <c r="O729" s="1290"/>
      <c r="Z729" s="1290"/>
    </row>
    <row r="730" spans="1:26" x14ac:dyDescent="0.6">
      <c r="A730" s="1513"/>
      <c r="N730" s="1288"/>
      <c r="O730" s="1290"/>
      <c r="Z730" s="1290"/>
    </row>
    <row r="731" spans="1:26" x14ac:dyDescent="0.6">
      <c r="A731" s="1513"/>
      <c r="N731" s="1288"/>
      <c r="O731" s="1290"/>
      <c r="Z731" s="1290"/>
    </row>
    <row r="732" spans="1:26" x14ac:dyDescent="0.6">
      <c r="A732" s="1513"/>
      <c r="N732" s="1288"/>
      <c r="O732" s="1290"/>
      <c r="Z732" s="1290"/>
    </row>
    <row r="733" spans="1:26" x14ac:dyDescent="0.6">
      <c r="A733" s="1513"/>
      <c r="N733" s="1288"/>
      <c r="O733" s="1290"/>
      <c r="Z733" s="1290"/>
    </row>
    <row r="734" spans="1:26" x14ac:dyDescent="0.6">
      <c r="A734" s="1513"/>
      <c r="N734" s="1288"/>
      <c r="O734" s="1290"/>
      <c r="Z734" s="1290"/>
    </row>
    <row r="735" spans="1:26" x14ac:dyDescent="0.6">
      <c r="A735" s="1513"/>
      <c r="N735" s="1288"/>
      <c r="O735" s="1290"/>
      <c r="Z735" s="1290"/>
    </row>
    <row r="736" spans="1:26" x14ac:dyDescent="0.6">
      <c r="A736" s="1513"/>
      <c r="N736" s="1288"/>
      <c r="O736" s="1290"/>
      <c r="Z736" s="1290"/>
    </row>
    <row r="737" spans="1:26" x14ac:dyDescent="0.6">
      <c r="A737" s="1513"/>
      <c r="N737" s="1288"/>
      <c r="O737" s="1290"/>
      <c r="Z737" s="1290"/>
    </row>
    <row r="738" spans="1:26" x14ac:dyDescent="0.6">
      <c r="A738" s="1513"/>
      <c r="N738" s="1288"/>
      <c r="O738" s="1290"/>
      <c r="Z738" s="1290"/>
    </row>
    <row r="739" spans="1:26" x14ac:dyDescent="0.6">
      <c r="A739" s="1513"/>
      <c r="N739" s="1288"/>
      <c r="O739" s="1290"/>
      <c r="Z739" s="1290"/>
    </row>
    <row r="740" spans="1:26" x14ac:dyDescent="0.6">
      <c r="A740" s="1513"/>
      <c r="N740" s="1288"/>
      <c r="O740" s="1290"/>
      <c r="Z740" s="1290"/>
    </row>
    <row r="741" spans="1:26" x14ac:dyDescent="0.6">
      <c r="A741" s="1513"/>
      <c r="N741" s="1288"/>
      <c r="O741" s="1290"/>
      <c r="Z741" s="1290"/>
    </row>
    <row r="742" spans="1:26" x14ac:dyDescent="0.6">
      <c r="A742" s="1513"/>
      <c r="N742" s="1288"/>
      <c r="O742" s="1290"/>
      <c r="Z742" s="1290"/>
    </row>
    <row r="743" spans="1:26" x14ac:dyDescent="0.6">
      <c r="A743" s="1513"/>
      <c r="N743" s="1288"/>
      <c r="O743" s="1290"/>
      <c r="Z743" s="1290"/>
    </row>
    <row r="744" spans="1:26" x14ac:dyDescent="0.6">
      <c r="A744" s="1513"/>
      <c r="N744" s="1288"/>
      <c r="O744" s="1290"/>
      <c r="Z744" s="1290"/>
    </row>
    <row r="745" spans="1:26" x14ac:dyDescent="0.6">
      <c r="A745" s="1513"/>
      <c r="N745" s="1288"/>
      <c r="O745" s="1290"/>
      <c r="Z745" s="1290"/>
    </row>
    <row r="746" spans="1:26" x14ac:dyDescent="0.6">
      <c r="A746" s="1513"/>
      <c r="N746" s="1288"/>
      <c r="O746" s="1290"/>
      <c r="Z746" s="1290"/>
    </row>
    <row r="747" spans="1:26" x14ac:dyDescent="0.6">
      <c r="A747" s="1513"/>
      <c r="N747" s="1288"/>
      <c r="O747" s="1290"/>
      <c r="Z747" s="1290"/>
    </row>
    <row r="748" spans="1:26" x14ac:dyDescent="0.6">
      <c r="A748" s="1513"/>
      <c r="N748" s="1288"/>
      <c r="O748" s="1290"/>
      <c r="Z748" s="1290"/>
    </row>
    <row r="749" spans="1:26" x14ac:dyDescent="0.6">
      <c r="A749" s="1513"/>
      <c r="N749" s="1288"/>
      <c r="O749" s="1290"/>
      <c r="Z749" s="1290"/>
    </row>
    <row r="750" spans="1:26" x14ac:dyDescent="0.6">
      <c r="A750" s="1513"/>
      <c r="N750" s="1288"/>
      <c r="O750" s="1290"/>
      <c r="Z750" s="1290"/>
    </row>
    <row r="751" spans="1:26" x14ac:dyDescent="0.6">
      <c r="A751" s="1513"/>
      <c r="N751" s="1288"/>
      <c r="O751" s="1290"/>
      <c r="Z751" s="1290"/>
    </row>
    <row r="752" spans="1:26" x14ac:dyDescent="0.6">
      <c r="A752" s="1513"/>
      <c r="N752" s="1288"/>
      <c r="O752" s="1290"/>
      <c r="Z752" s="1290"/>
    </row>
    <row r="753" spans="1:26" x14ac:dyDescent="0.6">
      <c r="A753" s="1513"/>
      <c r="N753" s="1288"/>
      <c r="O753" s="1290"/>
      <c r="Z753" s="1290"/>
    </row>
    <row r="754" spans="1:26" x14ac:dyDescent="0.6">
      <c r="A754" s="1513"/>
      <c r="N754" s="1288"/>
      <c r="O754" s="1290"/>
      <c r="Z754" s="1290"/>
    </row>
    <row r="755" spans="1:26" x14ac:dyDescent="0.6">
      <c r="A755" s="1513"/>
      <c r="N755" s="1288"/>
      <c r="O755" s="1290"/>
      <c r="Z755" s="1290"/>
    </row>
    <row r="756" spans="1:26" x14ac:dyDescent="0.6">
      <c r="A756" s="1513"/>
      <c r="N756" s="1288"/>
      <c r="O756" s="1290"/>
      <c r="Z756" s="1290"/>
    </row>
    <row r="757" spans="1:26" x14ac:dyDescent="0.6">
      <c r="A757" s="1513"/>
      <c r="N757" s="1288"/>
      <c r="O757" s="1290"/>
      <c r="Z757" s="1290"/>
    </row>
    <row r="758" spans="1:26" x14ac:dyDescent="0.6">
      <c r="A758" s="1513"/>
      <c r="N758" s="1288"/>
      <c r="O758" s="1290"/>
      <c r="Z758" s="1290"/>
    </row>
    <row r="759" spans="1:26" x14ac:dyDescent="0.6">
      <c r="A759" s="1513"/>
      <c r="N759" s="1288"/>
      <c r="O759" s="1290"/>
      <c r="Z759" s="1290"/>
    </row>
    <row r="760" spans="1:26" x14ac:dyDescent="0.6">
      <c r="A760" s="1513"/>
      <c r="N760" s="1288"/>
      <c r="O760" s="1290"/>
      <c r="Z760" s="1290"/>
    </row>
    <row r="761" spans="1:26" x14ac:dyDescent="0.6">
      <c r="A761" s="1513"/>
      <c r="N761" s="1288"/>
      <c r="O761" s="1290"/>
      <c r="Z761" s="1290"/>
    </row>
    <row r="762" spans="1:26" x14ac:dyDescent="0.6">
      <c r="A762" s="1513"/>
      <c r="N762" s="1288"/>
      <c r="O762" s="1290"/>
      <c r="Z762" s="1290"/>
    </row>
    <row r="763" spans="1:26" x14ac:dyDescent="0.6">
      <c r="A763" s="1513"/>
      <c r="N763" s="1288"/>
      <c r="O763" s="1290"/>
      <c r="Z763" s="1290"/>
    </row>
    <row r="764" spans="1:26" x14ac:dyDescent="0.6">
      <c r="A764" s="1513"/>
      <c r="N764" s="1288"/>
      <c r="O764" s="1290"/>
      <c r="Z764" s="1290"/>
    </row>
    <row r="765" spans="1:26" x14ac:dyDescent="0.6">
      <c r="A765" s="1513"/>
      <c r="N765" s="1288"/>
      <c r="O765" s="1290"/>
      <c r="Z765" s="1290"/>
    </row>
    <row r="766" spans="1:26" x14ac:dyDescent="0.6">
      <c r="A766" s="1513"/>
      <c r="N766" s="1288"/>
      <c r="O766" s="1290"/>
      <c r="Z766" s="1290"/>
    </row>
    <row r="767" spans="1:26" x14ac:dyDescent="0.6">
      <c r="A767" s="1513"/>
      <c r="N767" s="1288"/>
      <c r="O767" s="1290"/>
      <c r="Z767" s="1290"/>
    </row>
    <row r="768" spans="1:26" x14ac:dyDescent="0.6">
      <c r="A768" s="1513"/>
      <c r="N768" s="1288"/>
      <c r="O768" s="1290"/>
      <c r="Z768" s="1290"/>
    </row>
    <row r="769" spans="1:26" x14ac:dyDescent="0.6">
      <c r="A769" s="1513"/>
      <c r="N769" s="1288"/>
      <c r="O769" s="1290"/>
      <c r="Z769" s="1290"/>
    </row>
    <row r="770" spans="1:26" x14ac:dyDescent="0.6">
      <c r="A770" s="1513"/>
      <c r="N770" s="1288"/>
      <c r="O770" s="1290"/>
      <c r="Z770" s="1290"/>
    </row>
    <row r="771" spans="1:26" x14ac:dyDescent="0.6">
      <c r="A771" s="1513"/>
      <c r="N771" s="1288"/>
      <c r="O771" s="1290"/>
      <c r="Z771" s="1290"/>
    </row>
    <row r="772" spans="1:26" x14ac:dyDescent="0.6">
      <c r="A772" s="1513"/>
      <c r="N772" s="1288"/>
      <c r="O772" s="1290"/>
      <c r="Z772" s="1290"/>
    </row>
    <row r="773" spans="1:26" x14ac:dyDescent="0.6">
      <c r="A773" s="1513"/>
      <c r="N773" s="1288"/>
      <c r="O773" s="1290"/>
      <c r="Z773" s="1290"/>
    </row>
    <row r="774" spans="1:26" x14ac:dyDescent="0.6">
      <c r="A774" s="1513"/>
      <c r="N774" s="1288"/>
      <c r="O774" s="1290"/>
      <c r="Z774" s="1290"/>
    </row>
    <row r="775" spans="1:26" x14ac:dyDescent="0.6">
      <c r="A775" s="1513"/>
      <c r="N775" s="1288"/>
      <c r="O775" s="1290"/>
      <c r="Z775" s="1290"/>
    </row>
    <row r="776" spans="1:26" x14ac:dyDescent="0.6">
      <c r="A776" s="1513"/>
      <c r="N776" s="1288"/>
      <c r="O776" s="1290"/>
      <c r="Z776" s="1290"/>
    </row>
    <row r="777" spans="1:26" x14ac:dyDescent="0.6">
      <c r="A777" s="1513"/>
      <c r="N777" s="1288"/>
      <c r="O777" s="1290"/>
      <c r="Z777" s="1290"/>
    </row>
  </sheetData>
  <protectedRanges>
    <protectedRange password="CC6F" sqref="B8" name="ช่วง1_5_1_5_1_1_1_1"/>
    <protectedRange password="CC6F" sqref="B26:B46 B53:B56 B58:B82" name="ช่วง1_5_1_5_1_1_2"/>
    <protectedRange password="CC6F" sqref="B9:B10 B13:B24" name="ช่วง1_5_1_5_1_1_1_2"/>
    <protectedRange password="CC6F" sqref="B25 B12" name="ช่วง1_5_1_5_1_1_4_1"/>
    <protectedRange password="CC6F" sqref="B11" name="ช่วง1_5_1_5_1_1_5_1"/>
    <protectedRange password="CC6F" sqref="B47:B52" name="ช่วง1_5_1_5_1_1_2_1"/>
    <protectedRange password="CC6F" sqref="B57" name="ช่วง1_5_1_5_1_1_2_2"/>
  </protectedRanges>
  <mergeCells count="18">
    <mergeCell ref="X6:X7"/>
    <mergeCell ref="A83:C83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19685039370078741" right="0.19685039370078741" top="1.1417322834645669" bottom="0.98425196850393704" header="0.31496062992125984" footer="0.31496062992125984"/>
  <pageSetup paperSize="9" scale="62" firstPageNumber="3" fitToHeight="0" orientation="landscape" useFirstPageNumber="1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topLeftCell="B1" zoomScale="80" zoomScaleNormal="80" workbookViewId="0">
      <selection activeCell="I12" sqref="I12"/>
    </sheetView>
  </sheetViews>
  <sheetFormatPr defaultColWidth="16.8984375" defaultRowHeight="24.6" x14ac:dyDescent="0.7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367" customFormat="1" ht="27.6" thickBot="1" x14ac:dyDescent="0.8">
      <c r="A1" s="158"/>
      <c r="B1" s="365" t="s">
        <v>1051</v>
      </c>
      <c r="C1" s="365" t="s">
        <v>1052</v>
      </c>
      <c r="D1" s="365" t="s">
        <v>1053</v>
      </c>
      <c r="E1" s="366"/>
    </row>
    <row r="2" spans="1:7" ht="81" x14ac:dyDescent="0.7">
      <c r="A2" s="48" t="s">
        <v>1054</v>
      </c>
      <c r="B2" s="48" t="s">
        <v>1055</v>
      </c>
      <c r="C2" s="48" t="s">
        <v>1056</v>
      </c>
      <c r="D2" s="48" t="s">
        <v>1057</v>
      </c>
      <c r="E2" s="803" t="s">
        <v>1050</v>
      </c>
    </row>
    <row r="3" spans="1:7" ht="27" x14ac:dyDescent="0.7">
      <c r="A3" s="49" t="s">
        <v>1058</v>
      </c>
      <c r="B3" s="50" t="s">
        <v>1059</v>
      </c>
      <c r="C3" s="49" t="s">
        <v>1060</v>
      </c>
      <c r="D3" s="50" t="s">
        <v>1061</v>
      </c>
      <c r="E3" s="804"/>
    </row>
    <row r="4" spans="1:7" ht="27" x14ac:dyDescent="0.7">
      <c r="A4" s="51"/>
      <c r="B4" s="50" t="s">
        <v>1062</v>
      </c>
      <c r="C4" s="52" t="s">
        <v>1081</v>
      </c>
      <c r="D4" s="52" t="s">
        <v>1082</v>
      </c>
      <c r="E4" s="804"/>
    </row>
    <row r="5" spans="1:7" ht="21" customHeight="1" thickBot="1" x14ac:dyDescent="0.75">
      <c r="A5" s="53"/>
      <c r="B5" s="53"/>
      <c r="C5" s="54" t="s">
        <v>1063</v>
      </c>
      <c r="D5" s="53"/>
      <c r="E5" s="805"/>
    </row>
    <row r="6" spans="1:7" ht="29.4" customHeight="1" thickTop="1" thickBot="1" x14ac:dyDescent="0.9">
      <c r="A6" s="55">
        <v>1</v>
      </c>
      <c r="B6" s="55" t="s">
        <v>1064</v>
      </c>
      <c r="C6" s="55" t="s">
        <v>1065</v>
      </c>
      <c r="D6" s="55" t="s">
        <v>1041</v>
      </c>
      <c r="E6" s="56" t="s">
        <v>1080</v>
      </c>
      <c r="F6" s="47"/>
      <c r="G6" s="72" t="s">
        <v>1041</v>
      </c>
    </row>
    <row r="7" spans="1:7" ht="29.4" customHeight="1" thickBot="1" x14ac:dyDescent="0.9">
      <c r="A7" s="57">
        <v>2</v>
      </c>
      <c r="B7" s="57" t="s">
        <v>1064</v>
      </c>
      <c r="C7" s="57" t="s">
        <v>1065</v>
      </c>
      <c r="D7" s="58" t="s">
        <v>1042</v>
      </c>
      <c r="E7" s="59" t="s">
        <v>1067</v>
      </c>
      <c r="F7" s="69"/>
      <c r="G7" s="72" t="s">
        <v>1085</v>
      </c>
    </row>
    <row r="8" spans="1:7" ht="29.4" customHeight="1" thickBot="1" x14ac:dyDescent="0.9">
      <c r="A8" s="60">
        <v>3</v>
      </c>
      <c r="B8" s="60" t="s">
        <v>1064</v>
      </c>
      <c r="C8" s="60" t="s">
        <v>1083</v>
      </c>
      <c r="D8" s="60" t="s">
        <v>1041</v>
      </c>
      <c r="E8" s="61" t="s">
        <v>1074</v>
      </c>
      <c r="F8" s="69"/>
      <c r="G8" s="72" t="s">
        <v>1085</v>
      </c>
    </row>
    <row r="9" spans="1:7" ht="29.4" customHeight="1" thickBot="1" x14ac:dyDescent="0.9">
      <c r="A9" s="62">
        <v>4</v>
      </c>
      <c r="B9" s="62" t="s">
        <v>1064</v>
      </c>
      <c r="C9" s="62" t="s">
        <v>1083</v>
      </c>
      <c r="D9" s="63" t="s">
        <v>1042</v>
      </c>
      <c r="E9" s="64" t="s">
        <v>1079</v>
      </c>
      <c r="F9" s="70"/>
      <c r="G9" s="72" t="s">
        <v>1086</v>
      </c>
    </row>
    <row r="10" spans="1:7" ht="29.4" customHeight="1" thickBot="1" x14ac:dyDescent="0.9">
      <c r="A10" s="65">
        <v>5</v>
      </c>
      <c r="B10" s="66" t="s">
        <v>1042</v>
      </c>
      <c r="C10" s="66" t="s">
        <v>1084</v>
      </c>
      <c r="D10" s="65" t="s">
        <v>1041</v>
      </c>
      <c r="E10" s="67" t="s">
        <v>1068</v>
      </c>
      <c r="F10" s="69"/>
      <c r="G10" s="72" t="s">
        <v>1085</v>
      </c>
    </row>
    <row r="11" spans="1:7" ht="29.4" customHeight="1" thickBot="1" x14ac:dyDescent="0.9">
      <c r="A11" s="62">
        <v>6</v>
      </c>
      <c r="B11" s="63" t="s">
        <v>1042</v>
      </c>
      <c r="C11" s="63" t="s">
        <v>1084</v>
      </c>
      <c r="D11" s="63" t="s">
        <v>1069</v>
      </c>
      <c r="E11" s="64" t="s">
        <v>1077</v>
      </c>
      <c r="F11" s="70"/>
      <c r="G11" s="72" t="s">
        <v>1086</v>
      </c>
    </row>
    <row r="12" spans="1:7" ht="29.4" customHeight="1" thickBot="1" x14ac:dyDescent="0.9">
      <c r="A12" s="60">
        <v>7</v>
      </c>
      <c r="B12" s="68" t="s">
        <v>1042</v>
      </c>
      <c r="C12" s="68" t="s">
        <v>1069</v>
      </c>
      <c r="D12" s="60" t="s">
        <v>1041</v>
      </c>
      <c r="E12" s="61" t="s">
        <v>1075</v>
      </c>
      <c r="F12" s="70"/>
      <c r="G12" s="72" t="s">
        <v>1086</v>
      </c>
    </row>
    <row r="13" spans="1:7" ht="29.4" customHeight="1" x14ac:dyDescent="0.85">
      <c r="A13" s="62">
        <v>8</v>
      </c>
      <c r="B13" s="63" t="s">
        <v>1042</v>
      </c>
      <c r="C13" s="63" t="s">
        <v>1069</v>
      </c>
      <c r="D13" s="63" t="s">
        <v>1042</v>
      </c>
      <c r="E13" s="64" t="s">
        <v>1076</v>
      </c>
      <c r="F13" s="71"/>
      <c r="G13" s="72" t="s">
        <v>1087</v>
      </c>
    </row>
    <row r="14" spans="1:7" ht="60" customHeight="1" x14ac:dyDescent="0.7"/>
    <row r="15" spans="1:7" ht="20.399999999999999" customHeight="1" x14ac:dyDescent="0.7"/>
    <row r="16" spans="1:7" ht="27" customHeight="1" x14ac:dyDescent="0.7"/>
    <row r="17" ht="20.399999999999999" customHeight="1" x14ac:dyDescent="0.7"/>
    <row r="18" ht="20.399999999999999" customHeight="1" x14ac:dyDescent="0.7"/>
    <row r="19" ht="20.399999999999999" customHeight="1" x14ac:dyDescent="0.7"/>
    <row r="20" ht="20.399999999999999" customHeight="1" x14ac:dyDescent="0.7"/>
    <row r="21" ht="20.399999999999999" customHeight="1" x14ac:dyDescent="0.7"/>
    <row r="22" ht="20.399999999999999" customHeight="1" x14ac:dyDescent="0.7"/>
    <row r="23" ht="39" customHeight="1" x14ac:dyDescent="0.7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79B30-A466-43B6-B17F-080BBBD7FC48}">
  <dimension ref="A1:AD926"/>
  <sheetViews>
    <sheetView topLeftCell="K1" zoomScale="110" zoomScaleNormal="110" zoomScaleSheetLayoutView="100" workbookViewId="0">
      <pane ySplit="7" topLeftCell="A222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69921875" style="1403" customWidth="1"/>
    <col min="2" max="2" width="23.59765625" style="1570" customWidth="1"/>
    <col min="3" max="3" width="4.5" style="1290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07" customWidth="1"/>
    <col min="16" max="23" width="11.09765625" style="1288" customWidth="1"/>
    <col min="24" max="25" width="11.09765625" style="1290" customWidth="1"/>
    <col min="26" max="26" width="11.09765625" style="1512" customWidth="1"/>
    <col min="27" max="27" width="11.09765625" style="1290" customWidth="1"/>
    <col min="28" max="28" width="9" style="1290" customWidth="1"/>
    <col min="29" max="29" width="9" style="1290"/>
    <col min="30" max="30" width="32.3984375" style="1290" customWidth="1"/>
    <col min="31" max="31" width="9" style="1290" customWidth="1"/>
    <col min="32" max="16384" width="9" style="1290"/>
  </cols>
  <sheetData>
    <row r="1" spans="1:30" x14ac:dyDescent="0.6">
      <c r="A1" s="1462" t="s">
        <v>8054</v>
      </c>
      <c r="B1" s="1462"/>
      <c r="C1" s="1462"/>
      <c r="D1" s="1462"/>
      <c r="E1" s="1462"/>
      <c r="F1" s="1462"/>
      <c r="G1" s="1462"/>
      <c r="H1" s="1462"/>
      <c r="I1" s="1462"/>
      <c r="J1" s="1462"/>
      <c r="K1" s="1462"/>
      <c r="L1" s="1462"/>
      <c r="M1" s="1462"/>
      <c r="N1" s="1462"/>
      <c r="O1" s="1462"/>
      <c r="P1" s="1462"/>
      <c r="Q1" s="1462"/>
      <c r="R1" s="1462"/>
      <c r="S1" s="1462"/>
      <c r="T1" s="1462"/>
      <c r="U1" s="1462"/>
      <c r="V1" s="1462"/>
      <c r="W1" s="1462"/>
      <c r="X1" s="1462"/>
      <c r="Y1" s="1462"/>
      <c r="Z1" s="1462"/>
      <c r="AA1" s="1462"/>
    </row>
    <row r="2" spans="1:30" x14ac:dyDescent="0.6">
      <c r="A2" s="1462" t="s">
        <v>7775</v>
      </c>
      <c r="B2" s="1462"/>
      <c r="C2" s="1462"/>
      <c r="D2" s="1462"/>
      <c r="E2" s="1462"/>
      <c r="F2" s="1462"/>
      <c r="G2" s="1462"/>
      <c r="H2" s="1462"/>
      <c r="I2" s="1462"/>
      <c r="J2" s="1462"/>
      <c r="K2" s="1462"/>
      <c r="L2" s="1462"/>
      <c r="M2" s="1462"/>
      <c r="N2" s="1462"/>
      <c r="O2" s="1462"/>
      <c r="P2" s="1462"/>
      <c r="Q2" s="1462"/>
      <c r="R2" s="1462"/>
      <c r="S2" s="1462"/>
      <c r="T2" s="1462"/>
      <c r="U2" s="1462"/>
      <c r="V2" s="1462"/>
      <c r="W2" s="1462"/>
      <c r="X2" s="1462"/>
      <c r="Y2" s="1462"/>
      <c r="Z2" s="1462"/>
      <c r="AA2" s="1462"/>
    </row>
    <row r="3" spans="1:30" x14ac:dyDescent="0.6">
      <c r="A3" s="1463" t="s">
        <v>7733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3"/>
      <c r="L3" s="1463"/>
      <c r="M3" s="1463"/>
      <c r="N3" s="1463"/>
      <c r="O3" s="1463"/>
      <c r="P3" s="1463"/>
      <c r="Q3" s="1463"/>
      <c r="R3" s="1463"/>
      <c r="S3" s="1463"/>
      <c r="T3" s="1463"/>
      <c r="U3" s="1463"/>
      <c r="V3" s="1463"/>
      <c r="W3" s="1463"/>
      <c r="X3" s="1463"/>
      <c r="Y3" s="1463"/>
      <c r="Z3" s="1463"/>
      <c r="AA3" s="1463"/>
    </row>
    <row r="4" spans="1:30" x14ac:dyDescent="0.6">
      <c r="A4" s="1514" t="s">
        <v>2185</v>
      </c>
      <c r="B4" s="1467" t="s">
        <v>8055</v>
      </c>
      <c r="C4" s="1327" t="s">
        <v>7776</v>
      </c>
      <c r="D4" s="1515" t="s">
        <v>7777</v>
      </c>
      <c r="E4" s="1516"/>
      <c r="F4" s="1516"/>
      <c r="G4" s="1516"/>
      <c r="H4" s="1516"/>
      <c r="I4" s="1302"/>
      <c r="J4" s="1304" t="s">
        <v>7736</v>
      </c>
      <c r="K4" s="1305" t="s">
        <v>7778</v>
      </c>
      <c r="L4" s="1306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517" t="s">
        <v>7781</v>
      </c>
      <c r="Y4" s="1518"/>
      <c r="Z4" s="1466"/>
      <c r="AA4" s="1467" t="s">
        <v>7782</v>
      </c>
    </row>
    <row r="5" spans="1:30" x14ac:dyDescent="0.6">
      <c r="A5" s="1519"/>
      <c r="B5" s="1471"/>
      <c r="C5" s="1327" t="s">
        <v>7783</v>
      </c>
      <c r="D5" s="1515" t="s">
        <v>7741</v>
      </c>
      <c r="E5" s="1516"/>
      <c r="F5" s="1516"/>
      <c r="G5" s="1516"/>
      <c r="H5" s="1516"/>
      <c r="I5" s="1302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520"/>
      <c r="Y5" s="1521"/>
      <c r="Z5" s="1470" t="s">
        <v>7623</v>
      </c>
      <c r="AA5" s="1471"/>
    </row>
    <row r="6" spans="1:30" x14ac:dyDescent="0.6">
      <c r="A6" s="1519"/>
      <c r="B6" s="1471"/>
      <c r="C6" s="1327" t="s">
        <v>7786</v>
      </c>
      <c r="D6" s="1306" t="s">
        <v>7787</v>
      </c>
      <c r="E6" s="1324" t="s">
        <v>7788</v>
      </c>
      <c r="F6" s="1324" t="s">
        <v>7789</v>
      </c>
      <c r="G6" s="1324" t="s">
        <v>7790</v>
      </c>
      <c r="H6" s="1324" t="s">
        <v>7791</v>
      </c>
      <c r="I6" s="1324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522" t="s">
        <v>7627</v>
      </c>
      <c r="Y6" s="1327" t="s">
        <v>621</v>
      </c>
      <c r="Z6" s="1470" t="s">
        <v>7631</v>
      </c>
      <c r="AA6" s="1471"/>
    </row>
    <row r="7" spans="1:30" x14ac:dyDescent="0.6">
      <c r="A7" s="1523"/>
      <c r="B7" s="1476"/>
      <c r="C7" s="1327" t="s">
        <v>7796</v>
      </c>
      <c r="D7" s="1334"/>
      <c r="E7" s="1331"/>
      <c r="F7" s="1331"/>
      <c r="G7" s="1331"/>
      <c r="H7" s="1331"/>
      <c r="I7" s="1331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522"/>
      <c r="Y7" s="1327" t="s">
        <v>7756</v>
      </c>
      <c r="Z7" s="1475"/>
      <c r="AA7" s="1476"/>
    </row>
    <row r="8" spans="1:30" s="1487" customFormat="1" ht="23.25" customHeight="1" x14ac:dyDescent="0.25">
      <c r="A8" s="1432">
        <v>1</v>
      </c>
      <c r="B8" s="1524" t="s">
        <v>8056</v>
      </c>
      <c r="C8" s="1432" t="s">
        <v>8057</v>
      </c>
      <c r="D8" s="1525">
        <v>15</v>
      </c>
      <c r="E8" s="1525">
        <v>2000</v>
      </c>
      <c r="F8" s="1485">
        <v>15</v>
      </c>
      <c r="G8" s="1485">
        <v>2000</v>
      </c>
      <c r="H8" s="1370">
        <v>15</v>
      </c>
      <c r="I8" s="1370">
        <f t="shared" ref="I8:I28" si="0">H8*N8</f>
        <v>3000</v>
      </c>
      <c r="J8" s="1370">
        <v>15</v>
      </c>
      <c r="K8" s="1370">
        <v>10</v>
      </c>
      <c r="L8" s="1526">
        <f t="shared" ref="L8:L36" si="1">K8*N8</f>
        <v>2000</v>
      </c>
      <c r="M8" s="1370">
        <f>J8-K8</f>
        <v>5</v>
      </c>
      <c r="N8" s="1371">
        <v>200</v>
      </c>
      <c r="O8" s="1371">
        <f t="shared" ref="O8:O71" si="2">M8*N8</f>
        <v>1000</v>
      </c>
      <c r="P8" s="1526"/>
      <c r="Q8" s="1370">
        <f t="shared" ref="Q8:Q71" si="3">P8*N8</f>
        <v>0</v>
      </c>
      <c r="R8" s="1370"/>
      <c r="S8" s="1526">
        <f t="shared" ref="S8:S26" si="4">R8*N8</f>
        <v>0</v>
      </c>
      <c r="T8" s="1526"/>
      <c r="U8" s="1526">
        <f t="shared" ref="U8:U26" si="5">T8*N8</f>
        <v>0</v>
      </c>
      <c r="V8" s="1370">
        <v>5</v>
      </c>
      <c r="W8" s="1526">
        <f t="shared" ref="W8:W71" si="6">V8*N8</f>
        <v>1000</v>
      </c>
      <c r="X8" s="1370">
        <f>P8+R8+T8+V8</f>
        <v>5</v>
      </c>
      <c r="Y8" s="1370">
        <f t="shared" ref="Y8:Y71" si="7">X8*N8</f>
        <v>1000</v>
      </c>
      <c r="Z8" s="1527" t="s">
        <v>7799</v>
      </c>
      <c r="AA8" s="1379" t="s">
        <v>6525</v>
      </c>
      <c r="AB8" s="1487" t="str">
        <f t="shared" ref="AB8:AB71" si="8">IF(O8=Y8,"ok")</f>
        <v>ok</v>
      </c>
      <c r="AC8" s="1487" t="str">
        <f>IF(M8=X8,"ok")</f>
        <v>ok</v>
      </c>
    </row>
    <row r="9" spans="1:30" s="1246" customFormat="1" ht="23.25" customHeight="1" x14ac:dyDescent="0.25">
      <c r="A9" s="1432">
        <v>2</v>
      </c>
      <c r="B9" s="1524" t="s">
        <v>8058</v>
      </c>
      <c r="C9" s="1432" t="s">
        <v>8057</v>
      </c>
      <c r="D9" s="1525">
        <v>15</v>
      </c>
      <c r="E9" s="1525">
        <v>1800</v>
      </c>
      <c r="F9" s="1485">
        <v>15</v>
      </c>
      <c r="G9" s="1485">
        <v>1800</v>
      </c>
      <c r="H9" s="1370">
        <v>15</v>
      </c>
      <c r="I9" s="1370">
        <f t="shared" si="0"/>
        <v>2700</v>
      </c>
      <c r="J9" s="1370">
        <v>15</v>
      </c>
      <c r="K9" s="1370">
        <v>10</v>
      </c>
      <c r="L9" s="1526">
        <f t="shared" si="1"/>
        <v>1800</v>
      </c>
      <c r="M9" s="1370">
        <f>J9-K9</f>
        <v>5</v>
      </c>
      <c r="N9" s="1371">
        <v>180</v>
      </c>
      <c r="O9" s="1371">
        <f t="shared" si="2"/>
        <v>900</v>
      </c>
      <c r="P9" s="1370"/>
      <c r="Q9" s="1370">
        <f t="shared" si="3"/>
        <v>0</v>
      </c>
      <c r="R9" s="1526"/>
      <c r="S9" s="1526">
        <f t="shared" si="4"/>
        <v>0</v>
      </c>
      <c r="T9" s="1370"/>
      <c r="U9" s="1526">
        <f t="shared" si="5"/>
        <v>0</v>
      </c>
      <c r="V9" s="1526">
        <v>5</v>
      </c>
      <c r="W9" s="1526">
        <f t="shared" si="6"/>
        <v>900</v>
      </c>
      <c r="X9" s="1370">
        <f t="shared" ref="X9:X72" si="9">P9+R9+T9+V9</f>
        <v>5</v>
      </c>
      <c r="Y9" s="1370">
        <f t="shared" si="7"/>
        <v>900</v>
      </c>
      <c r="Z9" s="1527" t="s">
        <v>7799</v>
      </c>
      <c r="AA9" s="1379" t="s">
        <v>6525</v>
      </c>
      <c r="AB9" s="1487" t="str">
        <f t="shared" si="8"/>
        <v>ok</v>
      </c>
      <c r="AC9" s="1487" t="str">
        <f t="shared" ref="AC9:AC72" si="10">IF(M9=X9,"ok")</f>
        <v>ok</v>
      </c>
    </row>
    <row r="10" spans="1:30" s="1246" customFormat="1" ht="23.25" customHeight="1" x14ac:dyDescent="0.25">
      <c r="A10" s="1432">
        <v>3</v>
      </c>
      <c r="B10" s="1524" t="s">
        <v>8059</v>
      </c>
      <c r="C10" s="1432" t="s">
        <v>8057</v>
      </c>
      <c r="D10" s="1525">
        <v>15</v>
      </c>
      <c r="E10" s="1525">
        <v>7600</v>
      </c>
      <c r="F10" s="1485">
        <v>15</v>
      </c>
      <c r="G10" s="1485">
        <v>7600</v>
      </c>
      <c r="H10" s="1370">
        <v>15</v>
      </c>
      <c r="I10" s="1370">
        <f t="shared" si="0"/>
        <v>11400</v>
      </c>
      <c r="J10" s="1370">
        <v>15</v>
      </c>
      <c r="K10" s="1370">
        <v>10</v>
      </c>
      <c r="L10" s="1526">
        <f t="shared" si="1"/>
        <v>7600</v>
      </c>
      <c r="M10" s="1370">
        <f>J10-K10</f>
        <v>5</v>
      </c>
      <c r="N10" s="1371">
        <v>760</v>
      </c>
      <c r="O10" s="1371">
        <f t="shared" si="2"/>
        <v>3800</v>
      </c>
      <c r="P10" s="1526"/>
      <c r="Q10" s="1370">
        <f t="shared" si="3"/>
        <v>0</v>
      </c>
      <c r="R10" s="1526"/>
      <c r="S10" s="1526">
        <f t="shared" si="4"/>
        <v>0</v>
      </c>
      <c r="T10" s="1370"/>
      <c r="U10" s="1526">
        <f t="shared" si="5"/>
        <v>0</v>
      </c>
      <c r="V10" s="1370">
        <v>5</v>
      </c>
      <c r="W10" s="1526">
        <f t="shared" si="6"/>
        <v>3800</v>
      </c>
      <c r="X10" s="1370">
        <f t="shared" si="9"/>
        <v>5</v>
      </c>
      <c r="Y10" s="1370">
        <f t="shared" si="7"/>
        <v>3800</v>
      </c>
      <c r="Z10" s="1527" t="s">
        <v>7799</v>
      </c>
      <c r="AA10" s="1379" t="s">
        <v>6525</v>
      </c>
      <c r="AB10" s="1487" t="str">
        <f t="shared" si="8"/>
        <v>ok</v>
      </c>
      <c r="AC10" s="1487" t="str">
        <f t="shared" si="10"/>
        <v>ok</v>
      </c>
    </row>
    <row r="11" spans="1:30" s="1246" customFormat="1" ht="23.25" customHeight="1" x14ac:dyDescent="0.25">
      <c r="A11" s="1432">
        <v>4</v>
      </c>
      <c r="B11" s="1524" t="s">
        <v>8060</v>
      </c>
      <c r="C11" s="1432" t="s">
        <v>8057</v>
      </c>
      <c r="D11" s="1525">
        <v>10</v>
      </c>
      <c r="E11" s="1525">
        <v>7600</v>
      </c>
      <c r="F11" s="1485">
        <v>10</v>
      </c>
      <c r="G11" s="1485">
        <v>7600</v>
      </c>
      <c r="H11" s="1370">
        <v>10</v>
      </c>
      <c r="I11" s="1370">
        <f t="shared" si="0"/>
        <v>7600</v>
      </c>
      <c r="J11" s="1370">
        <v>10</v>
      </c>
      <c r="K11" s="1370">
        <v>5</v>
      </c>
      <c r="L11" s="1526">
        <f t="shared" si="1"/>
        <v>3800</v>
      </c>
      <c r="M11" s="1370">
        <f>J11-K11</f>
        <v>5</v>
      </c>
      <c r="N11" s="1371">
        <v>760</v>
      </c>
      <c r="O11" s="1371">
        <f t="shared" si="2"/>
        <v>3800</v>
      </c>
      <c r="P11" s="1526"/>
      <c r="Q11" s="1370">
        <f t="shared" si="3"/>
        <v>0</v>
      </c>
      <c r="R11" s="1526"/>
      <c r="S11" s="1526">
        <f t="shared" si="4"/>
        <v>0</v>
      </c>
      <c r="T11" s="1370"/>
      <c r="U11" s="1526">
        <f t="shared" si="5"/>
        <v>0</v>
      </c>
      <c r="V11" s="1370">
        <v>5</v>
      </c>
      <c r="W11" s="1526">
        <f t="shared" si="6"/>
        <v>3800</v>
      </c>
      <c r="X11" s="1370">
        <f t="shared" si="9"/>
        <v>5</v>
      </c>
      <c r="Y11" s="1370">
        <f t="shared" si="7"/>
        <v>3800</v>
      </c>
      <c r="Z11" s="1527" t="s">
        <v>7799</v>
      </c>
      <c r="AA11" s="1379" t="s">
        <v>6525</v>
      </c>
      <c r="AB11" s="1487" t="str">
        <f t="shared" si="8"/>
        <v>ok</v>
      </c>
      <c r="AC11" s="1487" t="str">
        <f t="shared" si="10"/>
        <v>ok</v>
      </c>
    </row>
    <row r="12" spans="1:30" s="1246" customFormat="1" ht="23.25" customHeight="1" x14ac:dyDescent="0.25">
      <c r="A12" s="1432">
        <v>5</v>
      </c>
      <c r="B12" s="1524" t="s">
        <v>8061</v>
      </c>
      <c r="C12" s="1432" t="s">
        <v>7798</v>
      </c>
      <c r="D12" s="1525">
        <v>0</v>
      </c>
      <c r="E12" s="1528">
        <v>0</v>
      </c>
      <c r="F12" s="1485">
        <f>E12*K12</f>
        <v>0</v>
      </c>
      <c r="G12" s="1529">
        <f t="shared" ref="G12:G24" si="11">F12*N12</f>
        <v>0</v>
      </c>
      <c r="H12" s="1370">
        <v>1</v>
      </c>
      <c r="I12" s="1370">
        <f t="shared" si="0"/>
        <v>400</v>
      </c>
      <c r="J12" s="1370">
        <v>1</v>
      </c>
      <c r="K12" s="1370">
        <v>0</v>
      </c>
      <c r="L12" s="1526">
        <f t="shared" si="1"/>
        <v>0</v>
      </c>
      <c r="M12" s="1370">
        <f>J12-K12</f>
        <v>1</v>
      </c>
      <c r="N12" s="1370">
        <v>400</v>
      </c>
      <c r="O12" s="1371">
        <f t="shared" si="2"/>
        <v>400</v>
      </c>
      <c r="P12" s="1370"/>
      <c r="Q12" s="1370">
        <f t="shared" si="3"/>
        <v>0</v>
      </c>
      <c r="R12" s="1526"/>
      <c r="S12" s="1526">
        <f t="shared" si="4"/>
        <v>0</v>
      </c>
      <c r="T12" s="1370"/>
      <c r="U12" s="1526">
        <f t="shared" si="5"/>
        <v>0</v>
      </c>
      <c r="V12" s="1526">
        <v>1</v>
      </c>
      <c r="W12" s="1526">
        <f t="shared" si="6"/>
        <v>400</v>
      </c>
      <c r="X12" s="1370">
        <f t="shared" si="9"/>
        <v>1</v>
      </c>
      <c r="Y12" s="1370">
        <f t="shared" si="7"/>
        <v>400</v>
      </c>
      <c r="Z12" s="1527" t="s">
        <v>7799</v>
      </c>
      <c r="AA12" s="1379" t="s">
        <v>6525</v>
      </c>
      <c r="AB12" s="1487" t="str">
        <f t="shared" si="8"/>
        <v>ok</v>
      </c>
      <c r="AC12" s="1487" t="str">
        <f t="shared" si="10"/>
        <v>ok</v>
      </c>
    </row>
    <row r="13" spans="1:30" s="1246" customFormat="1" ht="23.25" customHeight="1" x14ac:dyDescent="0.25">
      <c r="A13" s="1432">
        <v>6</v>
      </c>
      <c r="B13" s="1524" t="s">
        <v>8062</v>
      </c>
      <c r="C13" s="1432" t="s">
        <v>7798</v>
      </c>
      <c r="D13" s="1525">
        <v>2</v>
      </c>
      <c r="E13" s="1528">
        <v>3900</v>
      </c>
      <c r="F13" s="1485">
        <v>5</v>
      </c>
      <c r="G13" s="1529">
        <f t="shared" si="11"/>
        <v>3250</v>
      </c>
      <c r="H13" s="1370">
        <v>0</v>
      </c>
      <c r="I13" s="1370">
        <f t="shared" si="0"/>
        <v>0</v>
      </c>
      <c r="J13" s="1370">
        <v>5</v>
      </c>
      <c r="K13" s="1370">
        <v>10</v>
      </c>
      <c r="L13" s="1526">
        <f t="shared" si="1"/>
        <v>6500</v>
      </c>
      <c r="M13" s="1370">
        <v>5</v>
      </c>
      <c r="N13" s="1370">
        <v>650</v>
      </c>
      <c r="O13" s="1371">
        <f t="shared" si="2"/>
        <v>3250</v>
      </c>
      <c r="P13" s="1526"/>
      <c r="Q13" s="1370">
        <f t="shared" si="3"/>
        <v>0</v>
      </c>
      <c r="R13" s="1526"/>
      <c r="S13" s="1526">
        <f t="shared" si="4"/>
        <v>0</v>
      </c>
      <c r="T13" s="1370"/>
      <c r="U13" s="1526">
        <f t="shared" si="5"/>
        <v>0</v>
      </c>
      <c r="V13" s="1370">
        <v>5</v>
      </c>
      <c r="W13" s="1526">
        <f t="shared" si="6"/>
        <v>3250</v>
      </c>
      <c r="X13" s="1370">
        <f t="shared" si="9"/>
        <v>5</v>
      </c>
      <c r="Y13" s="1370">
        <f t="shared" si="7"/>
        <v>3250</v>
      </c>
      <c r="Z13" s="1527" t="s">
        <v>7799</v>
      </c>
      <c r="AA13" s="1379" t="s">
        <v>6525</v>
      </c>
      <c r="AB13" s="1487" t="str">
        <f t="shared" si="8"/>
        <v>ok</v>
      </c>
      <c r="AC13" s="1487" t="str">
        <f t="shared" si="10"/>
        <v>ok</v>
      </c>
      <c r="AD13" s="1382"/>
    </row>
    <row r="14" spans="1:30" s="1393" customFormat="1" ht="23.25" customHeight="1" x14ac:dyDescent="0.6">
      <c r="A14" s="1432">
        <v>7</v>
      </c>
      <c r="B14" s="1524" t="s">
        <v>8063</v>
      </c>
      <c r="C14" s="1432" t="s">
        <v>7798</v>
      </c>
      <c r="D14" s="1525">
        <v>5</v>
      </c>
      <c r="E14" s="1528">
        <v>1740</v>
      </c>
      <c r="F14" s="1485">
        <v>5</v>
      </c>
      <c r="G14" s="1529">
        <f t="shared" si="11"/>
        <v>4350</v>
      </c>
      <c r="H14" s="1370">
        <v>0</v>
      </c>
      <c r="I14" s="1370">
        <f t="shared" si="0"/>
        <v>0</v>
      </c>
      <c r="J14" s="1370">
        <v>5</v>
      </c>
      <c r="K14" s="1370">
        <v>3</v>
      </c>
      <c r="L14" s="1526">
        <f t="shared" si="1"/>
        <v>2610</v>
      </c>
      <c r="M14" s="1370">
        <f>J14-K14</f>
        <v>2</v>
      </c>
      <c r="N14" s="1370">
        <v>870</v>
      </c>
      <c r="O14" s="1371">
        <f t="shared" si="2"/>
        <v>1740</v>
      </c>
      <c r="P14" s="1370"/>
      <c r="Q14" s="1370">
        <f t="shared" si="3"/>
        <v>0</v>
      </c>
      <c r="R14" s="1526"/>
      <c r="S14" s="1526">
        <f t="shared" si="4"/>
        <v>0</v>
      </c>
      <c r="T14" s="1370"/>
      <c r="U14" s="1526">
        <f t="shared" si="5"/>
        <v>0</v>
      </c>
      <c r="V14" s="1526">
        <v>2</v>
      </c>
      <c r="W14" s="1526">
        <f t="shared" si="6"/>
        <v>1740</v>
      </c>
      <c r="X14" s="1370">
        <f t="shared" si="9"/>
        <v>2</v>
      </c>
      <c r="Y14" s="1370">
        <f t="shared" si="7"/>
        <v>1740</v>
      </c>
      <c r="Z14" s="1527" t="s">
        <v>7799</v>
      </c>
      <c r="AA14" s="1379" t="s">
        <v>6525</v>
      </c>
      <c r="AB14" s="1487" t="str">
        <f t="shared" si="8"/>
        <v>ok</v>
      </c>
      <c r="AC14" s="1487" t="str">
        <f t="shared" si="10"/>
        <v>ok</v>
      </c>
    </row>
    <row r="15" spans="1:30" s="1280" customFormat="1" ht="23.25" customHeight="1" x14ac:dyDescent="0.6">
      <c r="A15" s="1432">
        <v>8</v>
      </c>
      <c r="B15" s="1524" t="s">
        <v>8064</v>
      </c>
      <c r="C15" s="1432" t="s">
        <v>7798</v>
      </c>
      <c r="D15" s="1525">
        <v>0</v>
      </c>
      <c r="E15" s="1530">
        <v>0</v>
      </c>
      <c r="F15" s="1485">
        <f>E15*K15</f>
        <v>0</v>
      </c>
      <c r="G15" s="1529">
        <f t="shared" si="11"/>
        <v>0</v>
      </c>
      <c r="H15" s="1370">
        <v>0</v>
      </c>
      <c r="I15" s="1370">
        <f t="shared" si="0"/>
        <v>0</v>
      </c>
      <c r="J15" s="1370">
        <v>5</v>
      </c>
      <c r="K15" s="1370">
        <v>3</v>
      </c>
      <c r="L15" s="1526">
        <f t="shared" si="1"/>
        <v>2280</v>
      </c>
      <c r="M15" s="1370">
        <f>J15-K15</f>
        <v>2</v>
      </c>
      <c r="N15" s="1370">
        <v>760</v>
      </c>
      <c r="O15" s="1371">
        <f t="shared" si="2"/>
        <v>1520</v>
      </c>
      <c r="P15" s="1526"/>
      <c r="Q15" s="1370">
        <f t="shared" si="3"/>
        <v>0</v>
      </c>
      <c r="R15" s="1526"/>
      <c r="S15" s="1526">
        <f t="shared" si="4"/>
        <v>0</v>
      </c>
      <c r="T15" s="1370"/>
      <c r="U15" s="1526">
        <f t="shared" si="5"/>
        <v>0</v>
      </c>
      <c r="V15" s="1370">
        <v>2</v>
      </c>
      <c r="W15" s="1526">
        <f t="shared" si="6"/>
        <v>1520</v>
      </c>
      <c r="X15" s="1370">
        <f t="shared" si="9"/>
        <v>2</v>
      </c>
      <c r="Y15" s="1370">
        <f t="shared" si="7"/>
        <v>1520</v>
      </c>
      <c r="Z15" s="1527" t="s">
        <v>7799</v>
      </c>
      <c r="AA15" s="1379" t="s">
        <v>6525</v>
      </c>
      <c r="AB15" s="1487" t="str">
        <f t="shared" si="8"/>
        <v>ok</v>
      </c>
      <c r="AC15" s="1487" t="str">
        <f t="shared" si="10"/>
        <v>ok</v>
      </c>
    </row>
    <row r="16" spans="1:30" s="1280" customFormat="1" ht="23.25" customHeight="1" x14ac:dyDescent="0.6">
      <c r="A16" s="1432">
        <v>9</v>
      </c>
      <c r="B16" s="1531" t="s">
        <v>8065</v>
      </c>
      <c r="C16" s="1432" t="s">
        <v>7798</v>
      </c>
      <c r="D16" s="1525">
        <v>0</v>
      </c>
      <c r="E16" s="1447">
        <v>0</v>
      </c>
      <c r="F16" s="1485">
        <f>E16*K16</f>
        <v>0</v>
      </c>
      <c r="G16" s="1529">
        <f t="shared" si="11"/>
        <v>0</v>
      </c>
      <c r="H16" s="1532">
        <v>0</v>
      </c>
      <c r="I16" s="1370">
        <f t="shared" si="0"/>
        <v>0</v>
      </c>
      <c r="J16" s="1532">
        <v>5</v>
      </c>
      <c r="K16" s="1370">
        <v>3</v>
      </c>
      <c r="L16" s="1526">
        <f t="shared" si="1"/>
        <v>2550</v>
      </c>
      <c r="M16" s="1370">
        <f>J16-K16</f>
        <v>2</v>
      </c>
      <c r="N16" s="1370">
        <v>850</v>
      </c>
      <c r="O16" s="1371">
        <f t="shared" si="2"/>
        <v>1700</v>
      </c>
      <c r="P16" s="1370"/>
      <c r="Q16" s="1370">
        <f t="shared" si="3"/>
        <v>0</v>
      </c>
      <c r="R16" s="1370"/>
      <c r="S16" s="1526">
        <f t="shared" si="4"/>
        <v>0</v>
      </c>
      <c r="T16" s="1370"/>
      <c r="U16" s="1526">
        <f t="shared" si="5"/>
        <v>0</v>
      </c>
      <c r="V16" s="1370">
        <v>2</v>
      </c>
      <c r="W16" s="1526">
        <f t="shared" si="6"/>
        <v>1700</v>
      </c>
      <c r="X16" s="1370">
        <f t="shared" si="9"/>
        <v>2</v>
      </c>
      <c r="Y16" s="1370">
        <f t="shared" si="7"/>
        <v>1700</v>
      </c>
      <c r="Z16" s="1527" t="s">
        <v>7799</v>
      </c>
      <c r="AA16" s="1379" t="s">
        <v>6525</v>
      </c>
      <c r="AB16" s="1487" t="str">
        <f t="shared" si="8"/>
        <v>ok</v>
      </c>
      <c r="AC16" s="1487" t="str">
        <f t="shared" si="10"/>
        <v>ok</v>
      </c>
    </row>
    <row r="17" spans="1:29" s="1280" customFormat="1" ht="23.25" customHeight="1" x14ac:dyDescent="0.6">
      <c r="A17" s="1432">
        <v>10</v>
      </c>
      <c r="B17" s="1524" t="s">
        <v>8066</v>
      </c>
      <c r="C17" s="1432" t="s">
        <v>8057</v>
      </c>
      <c r="D17" s="1525">
        <v>3</v>
      </c>
      <c r="E17" s="1530">
        <v>5400</v>
      </c>
      <c r="F17" s="1485">
        <v>15</v>
      </c>
      <c r="G17" s="1529">
        <f t="shared" si="11"/>
        <v>3900</v>
      </c>
      <c r="H17" s="1370">
        <v>0</v>
      </c>
      <c r="I17" s="1370">
        <f t="shared" si="0"/>
        <v>0</v>
      </c>
      <c r="J17" s="1370">
        <v>5</v>
      </c>
      <c r="K17" s="1370">
        <v>15</v>
      </c>
      <c r="L17" s="1526">
        <f t="shared" si="1"/>
        <v>3900</v>
      </c>
      <c r="M17" s="1370">
        <v>10</v>
      </c>
      <c r="N17" s="1370">
        <v>260</v>
      </c>
      <c r="O17" s="1371">
        <f t="shared" si="2"/>
        <v>2600</v>
      </c>
      <c r="P17" s="1370"/>
      <c r="Q17" s="1370">
        <f t="shared" si="3"/>
        <v>0</v>
      </c>
      <c r="R17" s="1526"/>
      <c r="S17" s="1526">
        <f t="shared" si="4"/>
        <v>0</v>
      </c>
      <c r="T17" s="1370"/>
      <c r="U17" s="1526">
        <f t="shared" si="5"/>
        <v>0</v>
      </c>
      <c r="V17" s="1526">
        <v>10</v>
      </c>
      <c r="W17" s="1526">
        <f t="shared" si="6"/>
        <v>2600</v>
      </c>
      <c r="X17" s="1370">
        <f t="shared" si="9"/>
        <v>10</v>
      </c>
      <c r="Y17" s="1370">
        <f t="shared" si="7"/>
        <v>2600</v>
      </c>
      <c r="Z17" s="1527" t="s">
        <v>7799</v>
      </c>
      <c r="AA17" s="1379" t="s">
        <v>6525</v>
      </c>
      <c r="AB17" s="1487" t="str">
        <f t="shared" si="8"/>
        <v>ok</v>
      </c>
      <c r="AC17" s="1487" t="str">
        <f t="shared" si="10"/>
        <v>ok</v>
      </c>
    </row>
    <row r="18" spans="1:29" s="1280" customFormat="1" ht="23.25" customHeight="1" x14ac:dyDescent="0.6">
      <c r="A18" s="1432">
        <v>11</v>
      </c>
      <c r="B18" s="1524" t="s">
        <v>8067</v>
      </c>
      <c r="C18" s="1432" t="s">
        <v>8057</v>
      </c>
      <c r="D18" s="1525">
        <v>3</v>
      </c>
      <c r="E18" s="1530">
        <v>6000</v>
      </c>
      <c r="F18" s="1485">
        <v>15</v>
      </c>
      <c r="G18" s="1529">
        <f t="shared" si="11"/>
        <v>4050</v>
      </c>
      <c r="H18" s="1370">
        <v>0</v>
      </c>
      <c r="I18" s="1370">
        <f t="shared" si="0"/>
        <v>0</v>
      </c>
      <c r="J18" s="1370">
        <v>15</v>
      </c>
      <c r="K18" s="1370">
        <v>12</v>
      </c>
      <c r="L18" s="1526">
        <f t="shared" si="1"/>
        <v>3240</v>
      </c>
      <c r="M18" s="1370">
        <f t="shared" ref="M18:M81" si="12">J18-K18</f>
        <v>3</v>
      </c>
      <c r="N18" s="1370">
        <v>270</v>
      </c>
      <c r="O18" s="1371">
        <f t="shared" si="2"/>
        <v>810</v>
      </c>
      <c r="P18" s="1526"/>
      <c r="Q18" s="1370">
        <f t="shared" si="3"/>
        <v>0</v>
      </c>
      <c r="R18" s="1526"/>
      <c r="S18" s="1526">
        <f t="shared" si="4"/>
        <v>0</v>
      </c>
      <c r="T18" s="1370"/>
      <c r="U18" s="1526">
        <f t="shared" si="5"/>
        <v>0</v>
      </c>
      <c r="V18" s="1370">
        <v>3</v>
      </c>
      <c r="W18" s="1526">
        <f t="shared" si="6"/>
        <v>810</v>
      </c>
      <c r="X18" s="1370">
        <f t="shared" si="9"/>
        <v>3</v>
      </c>
      <c r="Y18" s="1370">
        <f t="shared" si="7"/>
        <v>810</v>
      </c>
      <c r="Z18" s="1527" t="s">
        <v>7799</v>
      </c>
      <c r="AA18" s="1379" t="s">
        <v>6525</v>
      </c>
      <c r="AB18" s="1487" t="str">
        <f t="shared" si="8"/>
        <v>ok</v>
      </c>
      <c r="AC18" s="1487" t="str">
        <f t="shared" si="10"/>
        <v>ok</v>
      </c>
    </row>
    <row r="19" spans="1:29" s="1280" customFormat="1" ht="23.25" customHeight="1" x14ac:dyDescent="0.6">
      <c r="A19" s="1432">
        <v>12</v>
      </c>
      <c r="B19" s="1524" t="s">
        <v>8068</v>
      </c>
      <c r="C19" s="1432" t="s">
        <v>8057</v>
      </c>
      <c r="D19" s="1525">
        <v>0</v>
      </c>
      <c r="E19" s="1533">
        <v>0</v>
      </c>
      <c r="F19" s="1485">
        <f>E19*K19</f>
        <v>0</v>
      </c>
      <c r="G19" s="1529">
        <f t="shared" si="11"/>
        <v>0</v>
      </c>
      <c r="H19" s="1370">
        <v>0</v>
      </c>
      <c r="I19" s="1370">
        <f t="shared" si="0"/>
        <v>0</v>
      </c>
      <c r="J19" s="1370">
        <v>15</v>
      </c>
      <c r="K19" s="1370">
        <v>5</v>
      </c>
      <c r="L19" s="1526">
        <f t="shared" si="1"/>
        <v>4100</v>
      </c>
      <c r="M19" s="1370">
        <f t="shared" si="12"/>
        <v>10</v>
      </c>
      <c r="N19" s="1370">
        <v>820</v>
      </c>
      <c r="O19" s="1371">
        <f t="shared" si="2"/>
        <v>8200</v>
      </c>
      <c r="P19" s="1526"/>
      <c r="Q19" s="1370">
        <f t="shared" si="3"/>
        <v>0</v>
      </c>
      <c r="R19" s="1526"/>
      <c r="S19" s="1526">
        <f t="shared" si="4"/>
        <v>0</v>
      </c>
      <c r="T19" s="1370"/>
      <c r="U19" s="1526">
        <f t="shared" si="5"/>
        <v>0</v>
      </c>
      <c r="V19" s="1370">
        <v>10</v>
      </c>
      <c r="W19" s="1526">
        <f t="shared" si="6"/>
        <v>8200</v>
      </c>
      <c r="X19" s="1370">
        <f t="shared" si="9"/>
        <v>10</v>
      </c>
      <c r="Y19" s="1370">
        <f t="shared" si="7"/>
        <v>8200</v>
      </c>
      <c r="Z19" s="1527" t="s">
        <v>7799</v>
      </c>
      <c r="AA19" s="1379" t="s">
        <v>6525</v>
      </c>
      <c r="AB19" s="1487" t="str">
        <f t="shared" si="8"/>
        <v>ok</v>
      </c>
      <c r="AC19" s="1487" t="str">
        <f t="shared" si="10"/>
        <v>ok</v>
      </c>
    </row>
    <row r="20" spans="1:29" s="1280" customFormat="1" ht="23.25" customHeight="1" x14ac:dyDescent="0.6">
      <c r="A20" s="1432">
        <v>13</v>
      </c>
      <c r="B20" s="1524" t="s">
        <v>8069</v>
      </c>
      <c r="C20" s="1432" t="s">
        <v>8057</v>
      </c>
      <c r="D20" s="1525">
        <v>0</v>
      </c>
      <c r="E20" s="1533">
        <v>0</v>
      </c>
      <c r="F20" s="1485">
        <f>E20*K20</f>
        <v>0</v>
      </c>
      <c r="G20" s="1529">
        <f t="shared" si="11"/>
        <v>0</v>
      </c>
      <c r="H20" s="1370">
        <v>0</v>
      </c>
      <c r="I20" s="1370">
        <f t="shared" si="0"/>
        <v>0</v>
      </c>
      <c r="J20" s="1370">
        <v>1</v>
      </c>
      <c r="K20" s="1370">
        <v>0</v>
      </c>
      <c r="L20" s="1526">
        <f t="shared" si="1"/>
        <v>0</v>
      </c>
      <c r="M20" s="1370">
        <f t="shared" si="12"/>
        <v>1</v>
      </c>
      <c r="N20" s="1370">
        <v>980</v>
      </c>
      <c r="O20" s="1371">
        <f t="shared" si="2"/>
        <v>980</v>
      </c>
      <c r="P20" s="1526"/>
      <c r="Q20" s="1370">
        <f t="shared" si="3"/>
        <v>0</v>
      </c>
      <c r="R20" s="1526"/>
      <c r="S20" s="1526">
        <f t="shared" si="4"/>
        <v>0</v>
      </c>
      <c r="T20" s="1370"/>
      <c r="U20" s="1526">
        <f t="shared" si="5"/>
        <v>0</v>
      </c>
      <c r="V20" s="1370">
        <v>1</v>
      </c>
      <c r="W20" s="1526">
        <f t="shared" si="6"/>
        <v>980</v>
      </c>
      <c r="X20" s="1370">
        <f t="shared" si="9"/>
        <v>1</v>
      </c>
      <c r="Y20" s="1370">
        <f t="shared" si="7"/>
        <v>980</v>
      </c>
      <c r="Z20" s="1527" t="s">
        <v>7799</v>
      </c>
      <c r="AA20" s="1379" t="s">
        <v>6525</v>
      </c>
      <c r="AB20" s="1487" t="str">
        <f t="shared" si="8"/>
        <v>ok</v>
      </c>
      <c r="AC20" s="1487" t="str">
        <f t="shared" si="10"/>
        <v>ok</v>
      </c>
    </row>
    <row r="21" spans="1:29" s="1280" customFormat="1" ht="23.25" customHeight="1" x14ac:dyDescent="0.6">
      <c r="A21" s="1432">
        <v>14</v>
      </c>
      <c r="B21" s="1524" t="s">
        <v>8070</v>
      </c>
      <c r="C21" s="1432" t="s">
        <v>8057</v>
      </c>
      <c r="D21" s="1526">
        <v>0</v>
      </c>
      <c r="E21" s="1529">
        <v>0</v>
      </c>
      <c r="F21" s="1370">
        <v>0</v>
      </c>
      <c r="G21" s="1529">
        <f t="shared" si="11"/>
        <v>0</v>
      </c>
      <c r="H21" s="1370">
        <v>0</v>
      </c>
      <c r="I21" s="1370">
        <f t="shared" si="0"/>
        <v>0</v>
      </c>
      <c r="J21" s="1370">
        <v>2</v>
      </c>
      <c r="K21" s="1370">
        <v>0</v>
      </c>
      <c r="L21" s="1526">
        <f t="shared" si="1"/>
        <v>0</v>
      </c>
      <c r="M21" s="1370">
        <f t="shared" si="12"/>
        <v>2</v>
      </c>
      <c r="N21" s="1370">
        <v>2500</v>
      </c>
      <c r="O21" s="1371">
        <f t="shared" si="2"/>
        <v>5000</v>
      </c>
      <c r="P21" s="1526">
        <v>2</v>
      </c>
      <c r="Q21" s="1370">
        <f t="shared" si="3"/>
        <v>5000</v>
      </c>
      <c r="R21" s="1370">
        <v>0</v>
      </c>
      <c r="S21" s="1526">
        <f t="shared" si="4"/>
        <v>0</v>
      </c>
      <c r="T21" s="1526"/>
      <c r="U21" s="1526">
        <f t="shared" si="5"/>
        <v>0</v>
      </c>
      <c r="V21" s="1370"/>
      <c r="W21" s="1526">
        <f t="shared" si="6"/>
        <v>0</v>
      </c>
      <c r="X21" s="1370">
        <f t="shared" si="9"/>
        <v>2</v>
      </c>
      <c r="Y21" s="1370">
        <f t="shared" si="7"/>
        <v>5000</v>
      </c>
      <c r="Z21" s="1527" t="s">
        <v>7799</v>
      </c>
      <c r="AA21" s="1379" t="s">
        <v>6525</v>
      </c>
      <c r="AB21" s="1487" t="str">
        <f t="shared" si="8"/>
        <v>ok</v>
      </c>
      <c r="AC21" s="1487" t="str">
        <f t="shared" si="10"/>
        <v>ok</v>
      </c>
    </row>
    <row r="22" spans="1:29" s="1280" customFormat="1" ht="23.25" customHeight="1" x14ac:dyDescent="0.6">
      <c r="A22" s="1432">
        <v>15</v>
      </c>
      <c r="B22" s="1534" t="s">
        <v>8071</v>
      </c>
      <c r="C22" s="1432" t="s">
        <v>8052</v>
      </c>
      <c r="D22" s="1526">
        <v>0</v>
      </c>
      <c r="E22" s="1529">
        <f>D22*N22</f>
        <v>0</v>
      </c>
      <c r="F22" s="1370">
        <v>3</v>
      </c>
      <c r="G22" s="1529">
        <f t="shared" si="11"/>
        <v>13500</v>
      </c>
      <c r="H22" s="1370">
        <v>3</v>
      </c>
      <c r="I22" s="1370">
        <f t="shared" si="0"/>
        <v>13500</v>
      </c>
      <c r="J22" s="1370">
        <v>3</v>
      </c>
      <c r="K22" s="1370">
        <v>2</v>
      </c>
      <c r="L22" s="1526">
        <f t="shared" si="1"/>
        <v>9000</v>
      </c>
      <c r="M22" s="1370">
        <f t="shared" si="12"/>
        <v>1</v>
      </c>
      <c r="N22" s="1371">
        <v>4500</v>
      </c>
      <c r="O22" s="1371">
        <f t="shared" si="2"/>
        <v>4500</v>
      </c>
      <c r="P22" s="1526"/>
      <c r="Q22" s="1370">
        <f t="shared" si="3"/>
        <v>0</v>
      </c>
      <c r="R22" s="1526">
        <v>1</v>
      </c>
      <c r="S22" s="1526">
        <f t="shared" si="4"/>
        <v>4500</v>
      </c>
      <c r="T22" s="1370"/>
      <c r="U22" s="1526">
        <f t="shared" si="5"/>
        <v>0</v>
      </c>
      <c r="V22" s="1370"/>
      <c r="W22" s="1526">
        <f t="shared" si="6"/>
        <v>0</v>
      </c>
      <c r="X22" s="1370">
        <f t="shared" si="9"/>
        <v>1</v>
      </c>
      <c r="Y22" s="1370">
        <f t="shared" si="7"/>
        <v>4500</v>
      </c>
      <c r="Z22" s="1527" t="s">
        <v>7799</v>
      </c>
      <c r="AA22" s="1379" t="s">
        <v>6525</v>
      </c>
      <c r="AB22" s="1487" t="str">
        <f t="shared" si="8"/>
        <v>ok</v>
      </c>
      <c r="AC22" s="1487" t="str">
        <f t="shared" si="10"/>
        <v>ok</v>
      </c>
    </row>
    <row r="23" spans="1:29" s="1280" customFormat="1" ht="23.25" customHeight="1" x14ac:dyDescent="0.6">
      <c r="A23" s="1432">
        <v>16</v>
      </c>
      <c r="B23" s="1534" t="s">
        <v>8072</v>
      </c>
      <c r="C23" s="1432" t="s">
        <v>8052</v>
      </c>
      <c r="D23" s="1526">
        <v>0</v>
      </c>
      <c r="E23" s="1529">
        <f>D23*N23</f>
        <v>0</v>
      </c>
      <c r="F23" s="1370">
        <v>3</v>
      </c>
      <c r="G23" s="1529">
        <f t="shared" si="11"/>
        <v>12000</v>
      </c>
      <c r="H23" s="1370">
        <v>3</v>
      </c>
      <c r="I23" s="1370">
        <f t="shared" si="0"/>
        <v>12000</v>
      </c>
      <c r="J23" s="1370">
        <v>5</v>
      </c>
      <c r="K23" s="1370">
        <v>2</v>
      </c>
      <c r="L23" s="1526">
        <f t="shared" si="1"/>
        <v>8000</v>
      </c>
      <c r="M23" s="1370">
        <f t="shared" si="12"/>
        <v>3</v>
      </c>
      <c r="N23" s="1371">
        <v>4000</v>
      </c>
      <c r="O23" s="1371">
        <f t="shared" si="2"/>
        <v>12000</v>
      </c>
      <c r="P23" s="1370"/>
      <c r="Q23" s="1370">
        <f t="shared" si="3"/>
        <v>0</v>
      </c>
      <c r="R23" s="1526">
        <v>3</v>
      </c>
      <c r="S23" s="1526">
        <f t="shared" si="4"/>
        <v>12000</v>
      </c>
      <c r="T23" s="1370"/>
      <c r="U23" s="1526">
        <f t="shared" si="5"/>
        <v>0</v>
      </c>
      <c r="V23" s="1526"/>
      <c r="W23" s="1526">
        <f t="shared" si="6"/>
        <v>0</v>
      </c>
      <c r="X23" s="1370">
        <f t="shared" si="9"/>
        <v>3</v>
      </c>
      <c r="Y23" s="1370">
        <f t="shared" si="7"/>
        <v>12000</v>
      </c>
      <c r="Z23" s="1527" t="s">
        <v>7799</v>
      </c>
      <c r="AA23" s="1379" t="s">
        <v>6525</v>
      </c>
      <c r="AB23" s="1487" t="str">
        <f t="shared" si="8"/>
        <v>ok</v>
      </c>
      <c r="AC23" s="1487" t="str">
        <f t="shared" si="10"/>
        <v>ok</v>
      </c>
    </row>
    <row r="24" spans="1:29" s="1280" customFormat="1" ht="23.25" customHeight="1" x14ac:dyDescent="0.6">
      <c r="A24" s="1432">
        <v>17</v>
      </c>
      <c r="B24" s="1535" t="s">
        <v>8073</v>
      </c>
      <c r="C24" s="1432" t="s">
        <v>8052</v>
      </c>
      <c r="D24" s="1526">
        <v>0</v>
      </c>
      <c r="E24" s="1529">
        <f>D24*N24</f>
        <v>0</v>
      </c>
      <c r="F24" s="1370">
        <v>3</v>
      </c>
      <c r="G24" s="1529">
        <f t="shared" si="11"/>
        <v>12000</v>
      </c>
      <c r="H24" s="1370">
        <v>3</v>
      </c>
      <c r="I24" s="1370">
        <f t="shared" si="0"/>
        <v>12000</v>
      </c>
      <c r="J24" s="1370">
        <v>5</v>
      </c>
      <c r="K24" s="1370">
        <v>2</v>
      </c>
      <c r="L24" s="1526">
        <f t="shared" si="1"/>
        <v>8000</v>
      </c>
      <c r="M24" s="1370">
        <f t="shared" si="12"/>
        <v>3</v>
      </c>
      <c r="N24" s="1371">
        <v>4000</v>
      </c>
      <c r="O24" s="1371">
        <f t="shared" si="2"/>
        <v>12000</v>
      </c>
      <c r="P24" s="1526"/>
      <c r="Q24" s="1370">
        <f t="shared" si="3"/>
        <v>0</v>
      </c>
      <c r="R24" s="1526">
        <v>3</v>
      </c>
      <c r="S24" s="1526">
        <f t="shared" si="4"/>
        <v>12000</v>
      </c>
      <c r="T24" s="1370"/>
      <c r="U24" s="1526">
        <f t="shared" si="5"/>
        <v>0</v>
      </c>
      <c r="V24" s="1370"/>
      <c r="W24" s="1526">
        <f t="shared" si="6"/>
        <v>0</v>
      </c>
      <c r="X24" s="1370">
        <f t="shared" si="9"/>
        <v>3</v>
      </c>
      <c r="Y24" s="1370">
        <f t="shared" si="7"/>
        <v>12000</v>
      </c>
      <c r="Z24" s="1527" t="s">
        <v>7799</v>
      </c>
      <c r="AA24" s="1379" t="s">
        <v>6525</v>
      </c>
      <c r="AB24" s="1487" t="str">
        <f t="shared" si="8"/>
        <v>ok</v>
      </c>
      <c r="AC24" s="1487" t="str">
        <f t="shared" si="10"/>
        <v>ok</v>
      </c>
    </row>
    <row r="25" spans="1:29" s="1280" customFormat="1" ht="23.25" customHeight="1" x14ac:dyDescent="0.6">
      <c r="A25" s="1432">
        <v>18</v>
      </c>
      <c r="B25" s="1535" t="s">
        <v>8074</v>
      </c>
      <c r="C25" s="1536" t="s">
        <v>7798</v>
      </c>
      <c r="D25" s="1526">
        <v>2</v>
      </c>
      <c r="E25" s="1525">
        <v>90</v>
      </c>
      <c r="F25" s="1370"/>
      <c r="G25" s="1529">
        <v>90</v>
      </c>
      <c r="H25" s="1370">
        <v>0</v>
      </c>
      <c r="I25" s="1370">
        <f t="shared" si="0"/>
        <v>0</v>
      </c>
      <c r="J25" s="1370">
        <v>2</v>
      </c>
      <c r="K25" s="1370">
        <v>0</v>
      </c>
      <c r="L25" s="1526">
        <f t="shared" si="1"/>
        <v>0</v>
      </c>
      <c r="M25" s="1370">
        <f t="shared" si="12"/>
        <v>2</v>
      </c>
      <c r="N25" s="1371">
        <v>45</v>
      </c>
      <c r="O25" s="1371">
        <f t="shared" si="2"/>
        <v>90</v>
      </c>
      <c r="P25" s="1526"/>
      <c r="Q25" s="1370">
        <f t="shared" si="3"/>
        <v>0</v>
      </c>
      <c r="R25" s="1526">
        <v>2</v>
      </c>
      <c r="S25" s="1526">
        <f t="shared" si="4"/>
        <v>90</v>
      </c>
      <c r="T25" s="1370"/>
      <c r="U25" s="1526">
        <f t="shared" si="5"/>
        <v>0</v>
      </c>
      <c r="V25" s="1370"/>
      <c r="W25" s="1526">
        <f t="shared" si="6"/>
        <v>0</v>
      </c>
      <c r="X25" s="1370">
        <f t="shared" si="9"/>
        <v>2</v>
      </c>
      <c r="Y25" s="1370">
        <f t="shared" si="7"/>
        <v>90</v>
      </c>
      <c r="Z25" s="1527" t="s">
        <v>7799</v>
      </c>
      <c r="AA25" s="1379" t="s">
        <v>6525</v>
      </c>
      <c r="AB25" s="1487" t="str">
        <f t="shared" si="8"/>
        <v>ok</v>
      </c>
      <c r="AC25" s="1487" t="str">
        <f t="shared" si="10"/>
        <v>ok</v>
      </c>
    </row>
    <row r="26" spans="1:29" s="1280" customFormat="1" ht="23.25" customHeight="1" x14ac:dyDescent="0.6">
      <c r="A26" s="1432">
        <v>19</v>
      </c>
      <c r="B26" s="1535" t="s">
        <v>8075</v>
      </c>
      <c r="C26" s="1536" t="s">
        <v>7798</v>
      </c>
      <c r="D26" s="1526">
        <v>25</v>
      </c>
      <c r="E26" s="1525">
        <v>750</v>
      </c>
      <c r="F26" s="1370"/>
      <c r="G26" s="1529">
        <v>750</v>
      </c>
      <c r="H26" s="1370">
        <v>100</v>
      </c>
      <c r="I26" s="1370">
        <f t="shared" si="0"/>
        <v>3000</v>
      </c>
      <c r="J26" s="1370">
        <v>100</v>
      </c>
      <c r="K26" s="1370">
        <v>30</v>
      </c>
      <c r="L26" s="1526">
        <f t="shared" si="1"/>
        <v>900</v>
      </c>
      <c r="M26" s="1370">
        <f t="shared" si="12"/>
        <v>70</v>
      </c>
      <c r="N26" s="1371">
        <v>30</v>
      </c>
      <c r="O26" s="1371">
        <f t="shared" si="2"/>
        <v>2100</v>
      </c>
      <c r="P26" s="1370"/>
      <c r="Q26" s="1370">
        <f t="shared" si="3"/>
        <v>0</v>
      </c>
      <c r="R26" s="1526">
        <v>40</v>
      </c>
      <c r="S26" s="1526">
        <f t="shared" si="4"/>
        <v>1200</v>
      </c>
      <c r="T26" s="1370">
        <v>30</v>
      </c>
      <c r="U26" s="1526">
        <f t="shared" si="5"/>
        <v>900</v>
      </c>
      <c r="V26" s="1526"/>
      <c r="W26" s="1526">
        <f t="shared" si="6"/>
        <v>0</v>
      </c>
      <c r="X26" s="1370">
        <f t="shared" si="9"/>
        <v>70</v>
      </c>
      <c r="Y26" s="1370">
        <f t="shared" si="7"/>
        <v>2100</v>
      </c>
      <c r="Z26" s="1527" t="s">
        <v>7799</v>
      </c>
      <c r="AA26" s="1379" t="s">
        <v>6525</v>
      </c>
      <c r="AB26" s="1487" t="str">
        <f t="shared" si="8"/>
        <v>ok</v>
      </c>
      <c r="AC26" s="1487" t="str">
        <f t="shared" si="10"/>
        <v>ok</v>
      </c>
    </row>
    <row r="27" spans="1:29" s="1280" customFormat="1" ht="23.25" customHeight="1" x14ac:dyDescent="0.6">
      <c r="A27" s="1432">
        <v>20</v>
      </c>
      <c r="B27" s="1535" t="s">
        <v>8076</v>
      </c>
      <c r="C27" s="1536" t="s">
        <v>7798</v>
      </c>
      <c r="D27" s="1537">
        <v>50</v>
      </c>
      <c r="E27" s="1525">
        <v>1500</v>
      </c>
      <c r="F27" s="1532"/>
      <c r="G27" s="1529">
        <v>1500</v>
      </c>
      <c r="H27" s="1532">
        <v>80</v>
      </c>
      <c r="I27" s="1370">
        <f t="shared" si="0"/>
        <v>2400</v>
      </c>
      <c r="J27" s="1370">
        <v>80</v>
      </c>
      <c r="K27" s="1370">
        <v>30</v>
      </c>
      <c r="L27" s="1526">
        <f t="shared" si="1"/>
        <v>900</v>
      </c>
      <c r="M27" s="1370">
        <f t="shared" si="12"/>
        <v>50</v>
      </c>
      <c r="N27" s="1538">
        <v>30</v>
      </c>
      <c r="O27" s="1371">
        <f t="shared" si="2"/>
        <v>1500</v>
      </c>
      <c r="P27" s="1370"/>
      <c r="Q27" s="1370">
        <f t="shared" si="3"/>
        <v>0</v>
      </c>
      <c r="R27" s="1370">
        <v>30</v>
      </c>
      <c r="S27" s="1526">
        <v>500</v>
      </c>
      <c r="T27" s="1370">
        <v>20</v>
      </c>
      <c r="U27" s="1526">
        <v>500</v>
      </c>
      <c r="V27" s="1370"/>
      <c r="W27" s="1526">
        <f t="shared" si="6"/>
        <v>0</v>
      </c>
      <c r="X27" s="1370">
        <f t="shared" si="9"/>
        <v>50</v>
      </c>
      <c r="Y27" s="1370">
        <f t="shared" si="7"/>
        <v>1500</v>
      </c>
      <c r="Z27" s="1527" t="s">
        <v>7799</v>
      </c>
      <c r="AA27" s="1379" t="s">
        <v>6525</v>
      </c>
      <c r="AB27" s="1487" t="str">
        <f t="shared" si="8"/>
        <v>ok</v>
      </c>
      <c r="AC27" s="1487" t="str">
        <f t="shared" si="10"/>
        <v>ok</v>
      </c>
    </row>
    <row r="28" spans="1:29" s="1280" customFormat="1" ht="23.25" customHeight="1" x14ac:dyDescent="0.6">
      <c r="A28" s="1432">
        <v>21</v>
      </c>
      <c r="B28" s="1535" t="s">
        <v>8077</v>
      </c>
      <c r="C28" s="1536" t="s">
        <v>7798</v>
      </c>
      <c r="D28" s="1526">
        <v>0</v>
      </c>
      <c r="E28" s="1525">
        <v>0</v>
      </c>
      <c r="F28" s="1370"/>
      <c r="G28" s="1529">
        <v>0</v>
      </c>
      <c r="H28" s="1370">
        <v>0</v>
      </c>
      <c r="I28" s="1370">
        <f t="shared" si="0"/>
        <v>0</v>
      </c>
      <c r="J28" s="1370">
        <v>3</v>
      </c>
      <c r="K28" s="1370">
        <v>0</v>
      </c>
      <c r="L28" s="1526">
        <f t="shared" si="1"/>
        <v>0</v>
      </c>
      <c r="M28" s="1370">
        <f t="shared" si="12"/>
        <v>3</v>
      </c>
      <c r="N28" s="1371">
        <v>35</v>
      </c>
      <c r="O28" s="1371">
        <f t="shared" si="2"/>
        <v>105</v>
      </c>
      <c r="P28" s="1526"/>
      <c r="Q28" s="1370">
        <f t="shared" si="3"/>
        <v>0</v>
      </c>
      <c r="R28" s="1526">
        <v>3</v>
      </c>
      <c r="S28" s="1526">
        <f t="shared" ref="S28:S91" si="13">R28*N28</f>
        <v>105</v>
      </c>
      <c r="T28" s="1370"/>
      <c r="U28" s="1526">
        <f t="shared" ref="U28:U91" si="14">T28*N28</f>
        <v>0</v>
      </c>
      <c r="V28" s="1370"/>
      <c r="W28" s="1526">
        <f t="shared" si="6"/>
        <v>0</v>
      </c>
      <c r="X28" s="1370">
        <f t="shared" si="9"/>
        <v>3</v>
      </c>
      <c r="Y28" s="1370">
        <f t="shared" si="7"/>
        <v>105</v>
      </c>
      <c r="Z28" s="1527" t="s">
        <v>7799</v>
      </c>
      <c r="AA28" s="1379" t="s">
        <v>6525</v>
      </c>
      <c r="AB28" s="1487" t="str">
        <f t="shared" si="8"/>
        <v>ok</v>
      </c>
      <c r="AC28" s="1487" t="str">
        <f t="shared" si="10"/>
        <v>ok</v>
      </c>
    </row>
    <row r="29" spans="1:29" s="1280" customFormat="1" ht="23.25" customHeight="1" x14ac:dyDescent="0.6">
      <c r="A29" s="1432">
        <v>22</v>
      </c>
      <c r="B29" s="1534" t="s">
        <v>8078</v>
      </c>
      <c r="C29" s="1432" t="s">
        <v>7798</v>
      </c>
      <c r="D29" s="1526">
        <v>20</v>
      </c>
      <c r="E29" s="1525">
        <v>700</v>
      </c>
      <c r="F29" s="1370"/>
      <c r="G29" s="1529">
        <v>700</v>
      </c>
      <c r="H29" s="1370">
        <v>10</v>
      </c>
      <c r="I29" s="1370">
        <f>H29*L29</f>
        <v>3500</v>
      </c>
      <c r="J29" s="1370">
        <v>30</v>
      </c>
      <c r="K29" s="1370">
        <v>10</v>
      </c>
      <c r="L29" s="1526">
        <f t="shared" si="1"/>
        <v>350</v>
      </c>
      <c r="M29" s="1370">
        <f t="shared" si="12"/>
        <v>20</v>
      </c>
      <c r="N29" s="1371">
        <v>35</v>
      </c>
      <c r="O29" s="1371">
        <f t="shared" si="2"/>
        <v>700</v>
      </c>
      <c r="P29" s="1526"/>
      <c r="Q29" s="1370">
        <f t="shared" si="3"/>
        <v>0</v>
      </c>
      <c r="R29" s="1370">
        <v>10</v>
      </c>
      <c r="S29" s="1526">
        <f t="shared" si="13"/>
        <v>350</v>
      </c>
      <c r="T29" s="1526">
        <v>10</v>
      </c>
      <c r="U29" s="1526">
        <f t="shared" si="14"/>
        <v>350</v>
      </c>
      <c r="V29" s="1370"/>
      <c r="W29" s="1526">
        <f t="shared" si="6"/>
        <v>0</v>
      </c>
      <c r="X29" s="1370">
        <f t="shared" si="9"/>
        <v>20</v>
      </c>
      <c r="Y29" s="1370">
        <f t="shared" si="7"/>
        <v>700</v>
      </c>
      <c r="Z29" s="1527" t="s">
        <v>7799</v>
      </c>
      <c r="AA29" s="1379" t="s">
        <v>6525</v>
      </c>
      <c r="AB29" s="1487" t="str">
        <f t="shared" si="8"/>
        <v>ok</v>
      </c>
      <c r="AC29" s="1487" t="str">
        <f t="shared" si="10"/>
        <v>ok</v>
      </c>
    </row>
    <row r="30" spans="1:29" s="1280" customFormat="1" ht="23.25" customHeight="1" x14ac:dyDescent="0.6">
      <c r="A30" s="1432">
        <v>23</v>
      </c>
      <c r="B30" s="1539" t="s">
        <v>8079</v>
      </c>
      <c r="C30" s="1540" t="s">
        <v>7798</v>
      </c>
      <c r="D30" s="1526">
        <v>30</v>
      </c>
      <c r="E30" s="1525">
        <v>1050</v>
      </c>
      <c r="F30" s="1370"/>
      <c r="G30" s="1529">
        <v>1050</v>
      </c>
      <c r="H30" s="1370">
        <v>20</v>
      </c>
      <c r="I30" s="1370">
        <f>H30*L30</f>
        <v>7000</v>
      </c>
      <c r="J30" s="1370">
        <v>30</v>
      </c>
      <c r="K30" s="1370">
        <v>10</v>
      </c>
      <c r="L30" s="1526">
        <f t="shared" si="1"/>
        <v>350</v>
      </c>
      <c r="M30" s="1370">
        <f t="shared" si="12"/>
        <v>20</v>
      </c>
      <c r="N30" s="1371">
        <v>35</v>
      </c>
      <c r="O30" s="1371">
        <f t="shared" si="2"/>
        <v>700</v>
      </c>
      <c r="P30" s="1370"/>
      <c r="Q30" s="1370">
        <f t="shared" si="3"/>
        <v>0</v>
      </c>
      <c r="R30" s="1526">
        <v>10</v>
      </c>
      <c r="S30" s="1526">
        <f t="shared" si="13"/>
        <v>350</v>
      </c>
      <c r="T30" s="1370">
        <v>10</v>
      </c>
      <c r="U30" s="1526">
        <f t="shared" si="14"/>
        <v>350</v>
      </c>
      <c r="V30" s="1526"/>
      <c r="W30" s="1526">
        <f t="shared" si="6"/>
        <v>0</v>
      </c>
      <c r="X30" s="1370">
        <f t="shared" si="9"/>
        <v>20</v>
      </c>
      <c r="Y30" s="1370">
        <f t="shared" si="7"/>
        <v>700</v>
      </c>
      <c r="Z30" s="1527" t="s">
        <v>7799</v>
      </c>
      <c r="AA30" s="1379" t="s">
        <v>6525</v>
      </c>
      <c r="AB30" s="1487" t="str">
        <f t="shared" si="8"/>
        <v>ok</v>
      </c>
      <c r="AC30" s="1487" t="str">
        <f t="shared" si="10"/>
        <v>ok</v>
      </c>
    </row>
    <row r="31" spans="1:29" s="1280" customFormat="1" ht="23.25" customHeight="1" x14ac:dyDescent="0.6">
      <c r="A31" s="1432">
        <v>24</v>
      </c>
      <c r="B31" s="1534" t="s">
        <v>8080</v>
      </c>
      <c r="C31" s="1432" t="s">
        <v>7798</v>
      </c>
      <c r="D31" s="1526">
        <v>20</v>
      </c>
      <c r="E31" s="1525">
        <v>700</v>
      </c>
      <c r="F31" s="1370"/>
      <c r="G31" s="1529">
        <v>700</v>
      </c>
      <c r="H31" s="1370">
        <v>10</v>
      </c>
      <c r="I31" s="1370">
        <f t="shared" ref="I31:I94" si="15">H31*N31</f>
        <v>350</v>
      </c>
      <c r="J31" s="1370">
        <v>50</v>
      </c>
      <c r="K31" s="1370">
        <v>10</v>
      </c>
      <c r="L31" s="1526">
        <f t="shared" si="1"/>
        <v>350</v>
      </c>
      <c r="M31" s="1370">
        <f t="shared" si="12"/>
        <v>40</v>
      </c>
      <c r="N31" s="1371">
        <v>35</v>
      </c>
      <c r="O31" s="1371">
        <f t="shared" si="2"/>
        <v>1400</v>
      </c>
      <c r="P31" s="1526"/>
      <c r="Q31" s="1370">
        <f t="shared" si="3"/>
        <v>0</v>
      </c>
      <c r="R31" s="1526">
        <v>20</v>
      </c>
      <c r="S31" s="1526">
        <f t="shared" si="13"/>
        <v>700</v>
      </c>
      <c r="T31" s="1370">
        <v>20</v>
      </c>
      <c r="U31" s="1526">
        <f t="shared" si="14"/>
        <v>700</v>
      </c>
      <c r="V31" s="1370"/>
      <c r="W31" s="1526">
        <f t="shared" si="6"/>
        <v>0</v>
      </c>
      <c r="X31" s="1370">
        <f t="shared" si="9"/>
        <v>40</v>
      </c>
      <c r="Y31" s="1370">
        <f t="shared" si="7"/>
        <v>1400</v>
      </c>
      <c r="Z31" s="1527" t="s">
        <v>7799</v>
      </c>
      <c r="AA31" s="1379" t="s">
        <v>6525</v>
      </c>
      <c r="AB31" s="1487" t="str">
        <f t="shared" si="8"/>
        <v>ok</v>
      </c>
      <c r="AC31" s="1487" t="str">
        <f t="shared" si="10"/>
        <v>ok</v>
      </c>
    </row>
    <row r="32" spans="1:29" s="1280" customFormat="1" ht="23.25" customHeight="1" x14ac:dyDescent="0.6">
      <c r="A32" s="1432">
        <v>25</v>
      </c>
      <c r="B32" s="1539" t="s">
        <v>8081</v>
      </c>
      <c r="C32" s="1540" t="s">
        <v>7798</v>
      </c>
      <c r="D32" s="1526"/>
      <c r="E32" s="1525">
        <v>350</v>
      </c>
      <c r="F32" s="1370"/>
      <c r="G32" s="1529">
        <v>350</v>
      </c>
      <c r="H32" s="1370">
        <v>30</v>
      </c>
      <c r="I32" s="1370">
        <f t="shared" si="15"/>
        <v>1050</v>
      </c>
      <c r="J32" s="1370">
        <v>30</v>
      </c>
      <c r="K32" s="1370">
        <v>10</v>
      </c>
      <c r="L32" s="1526">
        <f t="shared" si="1"/>
        <v>350</v>
      </c>
      <c r="M32" s="1370">
        <f t="shared" si="12"/>
        <v>20</v>
      </c>
      <c r="N32" s="1371">
        <v>35</v>
      </c>
      <c r="O32" s="1371">
        <f t="shared" si="2"/>
        <v>700</v>
      </c>
      <c r="P32" s="1526"/>
      <c r="Q32" s="1370">
        <f t="shared" si="3"/>
        <v>0</v>
      </c>
      <c r="R32" s="1526">
        <v>20</v>
      </c>
      <c r="S32" s="1526">
        <f t="shared" si="13"/>
        <v>700</v>
      </c>
      <c r="T32" s="1370"/>
      <c r="U32" s="1526">
        <f t="shared" si="14"/>
        <v>0</v>
      </c>
      <c r="V32" s="1370"/>
      <c r="W32" s="1526">
        <f t="shared" si="6"/>
        <v>0</v>
      </c>
      <c r="X32" s="1370">
        <f t="shared" si="9"/>
        <v>20</v>
      </c>
      <c r="Y32" s="1370">
        <f t="shared" si="7"/>
        <v>700</v>
      </c>
      <c r="Z32" s="1527" t="s">
        <v>7799</v>
      </c>
      <c r="AA32" s="1379" t="s">
        <v>6525</v>
      </c>
      <c r="AB32" s="1246" t="str">
        <f t="shared" si="8"/>
        <v>ok</v>
      </c>
      <c r="AC32" s="1487" t="str">
        <f t="shared" si="10"/>
        <v>ok</v>
      </c>
    </row>
    <row r="33" spans="1:29" s="1280" customFormat="1" ht="23.25" customHeight="1" x14ac:dyDescent="0.6">
      <c r="A33" s="1432">
        <v>26</v>
      </c>
      <c r="B33" s="1539" t="s">
        <v>8082</v>
      </c>
      <c r="C33" s="1540" t="s">
        <v>7798</v>
      </c>
      <c r="D33" s="1526"/>
      <c r="E33" s="1525">
        <v>380</v>
      </c>
      <c r="F33" s="1370"/>
      <c r="G33" s="1529">
        <v>380</v>
      </c>
      <c r="H33" s="1370">
        <v>10</v>
      </c>
      <c r="I33" s="1370">
        <f t="shared" si="15"/>
        <v>350</v>
      </c>
      <c r="J33" s="1370">
        <v>20</v>
      </c>
      <c r="K33" s="1370">
        <v>10</v>
      </c>
      <c r="L33" s="1526">
        <f t="shared" si="1"/>
        <v>350</v>
      </c>
      <c r="M33" s="1370">
        <f t="shared" si="12"/>
        <v>10</v>
      </c>
      <c r="N33" s="1371">
        <v>35</v>
      </c>
      <c r="O33" s="1371">
        <f t="shared" si="2"/>
        <v>350</v>
      </c>
      <c r="P33" s="1526"/>
      <c r="Q33" s="1370">
        <f t="shared" si="3"/>
        <v>0</v>
      </c>
      <c r="R33" s="1526">
        <v>10</v>
      </c>
      <c r="S33" s="1526">
        <f t="shared" si="13"/>
        <v>350</v>
      </c>
      <c r="T33" s="1370"/>
      <c r="U33" s="1526">
        <f t="shared" si="14"/>
        <v>0</v>
      </c>
      <c r="V33" s="1370"/>
      <c r="W33" s="1526">
        <f t="shared" si="6"/>
        <v>0</v>
      </c>
      <c r="X33" s="1370">
        <f t="shared" si="9"/>
        <v>10</v>
      </c>
      <c r="Y33" s="1370">
        <f t="shared" si="7"/>
        <v>350</v>
      </c>
      <c r="Z33" s="1527" t="s">
        <v>7799</v>
      </c>
      <c r="AA33" s="1379" t="s">
        <v>6525</v>
      </c>
      <c r="AB33" s="1246" t="str">
        <f t="shared" si="8"/>
        <v>ok</v>
      </c>
      <c r="AC33" s="1487" t="str">
        <f t="shared" si="10"/>
        <v>ok</v>
      </c>
    </row>
    <row r="34" spans="1:29" s="1280" customFormat="1" ht="23.25" customHeight="1" x14ac:dyDescent="0.6">
      <c r="A34" s="1432">
        <v>27</v>
      </c>
      <c r="B34" s="1539" t="s">
        <v>8083</v>
      </c>
      <c r="C34" s="1540" t="s">
        <v>7808</v>
      </c>
      <c r="D34" s="1526">
        <v>44</v>
      </c>
      <c r="E34" s="1525">
        <v>5537.25</v>
      </c>
      <c r="F34" s="1370">
        <v>44</v>
      </c>
      <c r="G34" s="1529">
        <v>5537.25</v>
      </c>
      <c r="H34" s="1370">
        <v>41</v>
      </c>
      <c r="I34" s="1370">
        <f t="shared" si="15"/>
        <v>5063.5</v>
      </c>
      <c r="J34" s="1370">
        <v>60</v>
      </c>
      <c r="K34" s="1370">
        <v>10</v>
      </c>
      <c r="L34" s="1526">
        <f t="shared" si="1"/>
        <v>1235</v>
      </c>
      <c r="M34" s="1370">
        <f t="shared" si="12"/>
        <v>50</v>
      </c>
      <c r="N34" s="1371">
        <v>123.5</v>
      </c>
      <c r="O34" s="1371">
        <f t="shared" si="2"/>
        <v>6175</v>
      </c>
      <c r="P34" s="1526"/>
      <c r="Q34" s="1370">
        <f t="shared" si="3"/>
        <v>0</v>
      </c>
      <c r="R34" s="1526">
        <v>20</v>
      </c>
      <c r="S34" s="1526">
        <f t="shared" si="13"/>
        <v>2470</v>
      </c>
      <c r="T34" s="1370">
        <v>20</v>
      </c>
      <c r="U34" s="1526">
        <f t="shared" si="14"/>
        <v>2470</v>
      </c>
      <c r="V34" s="1370">
        <v>10</v>
      </c>
      <c r="W34" s="1526">
        <f t="shared" si="6"/>
        <v>1235</v>
      </c>
      <c r="X34" s="1370">
        <f t="shared" si="9"/>
        <v>50</v>
      </c>
      <c r="Y34" s="1370">
        <f t="shared" si="7"/>
        <v>6175</v>
      </c>
      <c r="Z34" s="1527" t="s">
        <v>7799</v>
      </c>
      <c r="AA34" s="1379" t="s">
        <v>6525</v>
      </c>
      <c r="AB34" s="1487" t="str">
        <f t="shared" si="8"/>
        <v>ok</v>
      </c>
      <c r="AC34" s="1487" t="str">
        <f t="shared" si="10"/>
        <v>ok</v>
      </c>
    </row>
    <row r="35" spans="1:29" s="1280" customFormat="1" ht="23.25" customHeight="1" x14ac:dyDescent="0.6">
      <c r="A35" s="1432">
        <v>28</v>
      </c>
      <c r="B35" s="1539" t="s">
        <v>8084</v>
      </c>
      <c r="C35" s="1540" t="s">
        <v>7816</v>
      </c>
      <c r="D35" s="1526">
        <v>19</v>
      </c>
      <c r="E35" s="1525">
        <v>2775</v>
      </c>
      <c r="F35" s="1370">
        <v>15</v>
      </c>
      <c r="G35" s="1529">
        <v>2250</v>
      </c>
      <c r="H35" s="1370">
        <v>25</v>
      </c>
      <c r="I35" s="1370">
        <f t="shared" si="15"/>
        <v>3750</v>
      </c>
      <c r="J35" s="1370">
        <v>30</v>
      </c>
      <c r="K35" s="1370">
        <v>5</v>
      </c>
      <c r="L35" s="1526">
        <f t="shared" si="1"/>
        <v>750</v>
      </c>
      <c r="M35" s="1370">
        <f t="shared" si="12"/>
        <v>25</v>
      </c>
      <c r="N35" s="1371">
        <v>150</v>
      </c>
      <c r="O35" s="1371">
        <f t="shared" si="2"/>
        <v>3750</v>
      </c>
      <c r="P35" s="1526"/>
      <c r="Q35" s="1370">
        <f t="shared" si="3"/>
        <v>0</v>
      </c>
      <c r="R35" s="1526">
        <v>10</v>
      </c>
      <c r="S35" s="1526">
        <f t="shared" si="13"/>
        <v>1500</v>
      </c>
      <c r="T35" s="1370">
        <v>15</v>
      </c>
      <c r="U35" s="1526">
        <f t="shared" si="14"/>
        <v>2250</v>
      </c>
      <c r="V35" s="1370"/>
      <c r="W35" s="1526">
        <f t="shared" si="6"/>
        <v>0</v>
      </c>
      <c r="X35" s="1370">
        <f t="shared" si="9"/>
        <v>25</v>
      </c>
      <c r="Y35" s="1370">
        <f t="shared" si="7"/>
        <v>3750</v>
      </c>
      <c r="Z35" s="1527" t="s">
        <v>7799</v>
      </c>
      <c r="AA35" s="1379" t="s">
        <v>6525</v>
      </c>
      <c r="AB35" s="1487" t="str">
        <f t="shared" si="8"/>
        <v>ok</v>
      </c>
      <c r="AC35" s="1487" t="str">
        <f t="shared" si="10"/>
        <v>ok</v>
      </c>
    </row>
    <row r="36" spans="1:29" s="1280" customFormat="1" ht="23.25" customHeight="1" x14ac:dyDescent="0.6">
      <c r="A36" s="1432">
        <v>29</v>
      </c>
      <c r="B36" s="1539" t="s">
        <v>8085</v>
      </c>
      <c r="C36" s="1540" t="s">
        <v>8057</v>
      </c>
      <c r="D36" s="1526">
        <v>140</v>
      </c>
      <c r="E36" s="1525">
        <v>350</v>
      </c>
      <c r="F36" s="1370">
        <v>140</v>
      </c>
      <c r="G36" s="1529">
        <v>350</v>
      </c>
      <c r="H36" s="1370">
        <v>350</v>
      </c>
      <c r="I36" s="1370">
        <f t="shared" si="15"/>
        <v>875</v>
      </c>
      <c r="J36" s="1370">
        <v>350</v>
      </c>
      <c r="K36" s="1370">
        <v>100</v>
      </c>
      <c r="L36" s="1526">
        <f t="shared" si="1"/>
        <v>250</v>
      </c>
      <c r="M36" s="1370">
        <f t="shared" si="12"/>
        <v>250</v>
      </c>
      <c r="N36" s="1371">
        <v>2.5</v>
      </c>
      <c r="O36" s="1371">
        <f t="shared" si="2"/>
        <v>625</v>
      </c>
      <c r="P36" s="1370"/>
      <c r="Q36" s="1370">
        <f t="shared" si="3"/>
        <v>0</v>
      </c>
      <c r="R36" s="1526">
        <v>100</v>
      </c>
      <c r="S36" s="1526">
        <f t="shared" si="13"/>
        <v>250</v>
      </c>
      <c r="T36" s="1370">
        <v>100</v>
      </c>
      <c r="U36" s="1526">
        <f t="shared" si="14"/>
        <v>250</v>
      </c>
      <c r="V36" s="1526">
        <v>50</v>
      </c>
      <c r="W36" s="1526">
        <f t="shared" si="6"/>
        <v>125</v>
      </c>
      <c r="X36" s="1370">
        <f t="shared" si="9"/>
        <v>250</v>
      </c>
      <c r="Y36" s="1370">
        <f t="shared" si="7"/>
        <v>625</v>
      </c>
      <c r="Z36" s="1527" t="s">
        <v>7799</v>
      </c>
      <c r="AA36" s="1379" t="s">
        <v>6525</v>
      </c>
      <c r="AB36" s="1487" t="str">
        <f t="shared" si="8"/>
        <v>ok</v>
      </c>
      <c r="AC36" s="1487" t="str">
        <f t="shared" si="10"/>
        <v>ok</v>
      </c>
    </row>
    <row r="37" spans="1:29" s="1280" customFormat="1" ht="23.25" customHeight="1" x14ac:dyDescent="0.6">
      <c r="A37" s="1432">
        <v>30</v>
      </c>
      <c r="B37" s="1539" t="s">
        <v>8086</v>
      </c>
      <c r="C37" s="1540" t="s">
        <v>8057</v>
      </c>
      <c r="D37" s="1537">
        <v>800</v>
      </c>
      <c r="E37" s="1525">
        <v>2000</v>
      </c>
      <c r="F37" s="1532">
        <v>800</v>
      </c>
      <c r="G37" s="1529">
        <v>2000</v>
      </c>
      <c r="H37" s="1532">
        <v>1620</v>
      </c>
      <c r="I37" s="1370">
        <f t="shared" si="15"/>
        <v>4050</v>
      </c>
      <c r="J37" s="1370">
        <v>1420</v>
      </c>
      <c r="K37" s="1370">
        <v>10</v>
      </c>
      <c r="L37" s="1526">
        <v>1300</v>
      </c>
      <c r="M37" s="1370">
        <f t="shared" si="12"/>
        <v>1410</v>
      </c>
      <c r="N37" s="1538">
        <v>2.5</v>
      </c>
      <c r="O37" s="1371">
        <f t="shared" si="2"/>
        <v>3525</v>
      </c>
      <c r="P37" s="1370">
        <v>352</v>
      </c>
      <c r="Q37" s="1370">
        <f t="shared" si="3"/>
        <v>880</v>
      </c>
      <c r="R37" s="1370">
        <v>352</v>
      </c>
      <c r="S37" s="1526">
        <f t="shared" si="13"/>
        <v>880</v>
      </c>
      <c r="T37" s="1370">
        <v>352</v>
      </c>
      <c r="U37" s="1526">
        <f t="shared" si="14"/>
        <v>880</v>
      </c>
      <c r="V37" s="1370">
        <v>354</v>
      </c>
      <c r="W37" s="1526">
        <f t="shared" si="6"/>
        <v>885</v>
      </c>
      <c r="X37" s="1370">
        <f t="shared" si="9"/>
        <v>1410</v>
      </c>
      <c r="Y37" s="1370">
        <f t="shared" si="7"/>
        <v>3525</v>
      </c>
      <c r="Z37" s="1527" t="s">
        <v>7799</v>
      </c>
      <c r="AA37" s="1379" t="s">
        <v>6525</v>
      </c>
      <c r="AB37" s="1487" t="str">
        <f t="shared" si="8"/>
        <v>ok</v>
      </c>
      <c r="AC37" s="1487" t="str">
        <f t="shared" si="10"/>
        <v>ok</v>
      </c>
    </row>
    <row r="38" spans="1:29" s="1280" customFormat="1" ht="23.25" customHeight="1" x14ac:dyDescent="0.6">
      <c r="A38" s="1432">
        <v>31</v>
      </c>
      <c r="B38" s="1539" t="s">
        <v>8087</v>
      </c>
      <c r="C38" s="1540" t="s">
        <v>7816</v>
      </c>
      <c r="D38" s="1526">
        <v>1</v>
      </c>
      <c r="E38" s="1525">
        <v>250</v>
      </c>
      <c r="F38" s="1370">
        <v>1</v>
      </c>
      <c r="G38" s="1529">
        <v>250</v>
      </c>
      <c r="H38" s="1370">
        <v>3</v>
      </c>
      <c r="I38" s="1370">
        <f t="shared" si="15"/>
        <v>750</v>
      </c>
      <c r="J38" s="1370">
        <v>3</v>
      </c>
      <c r="K38" s="1370">
        <v>1</v>
      </c>
      <c r="L38" s="1526">
        <f t="shared" ref="L38:L101" si="16">K38*N38</f>
        <v>250</v>
      </c>
      <c r="M38" s="1370">
        <f t="shared" si="12"/>
        <v>2</v>
      </c>
      <c r="N38" s="1371">
        <v>250</v>
      </c>
      <c r="O38" s="1371">
        <f t="shared" si="2"/>
        <v>500</v>
      </c>
      <c r="P38" s="1526"/>
      <c r="Q38" s="1370">
        <f t="shared" si="3"/>
        <v>0</v>
      </c>
      <c r="R38" s="1370">
        <v>2</v>
      </c>
      <c r="S38" s="1526">
        <f t="shared" si="13"/>
        <v>500</v>
      </c>
      <c r="T38" s="1526"/>
      <c r="U38" s="1526">
        <f t="shared" si="14"/>
        <v>0</v>
      </c>
      <c r="V38" s="1370"/>
      <c r="W38" s="1526">
        <f t="shared" si="6"/>
        <v>0</v>
      </c>
      <c r="X38" s="1370">
        <f t="shared" si="9"/>
        <v>2</v>
      </c>
      <c r="Y38" s="1370">
        <f t="shared" si="7"/>
        <v>500</v>
      </c>
      <c r="Z38" s="1527" t="s">
        <v>7799</v>
      </c>
      <c r="AA38" s="1379" t="s">
        <v>6525</v>
      </c>
      <c r="AB38" s="1487" t="str">
        <f t="shared" si="8"/>
        <v>ok</v>
      </c>
      <c r="AC38" s="1487" t="str">
        <f t="shared" si="10"/>
        <v>ok</v>
      </c>
    </row>
    <row r="39" spans="1:29" s="1280" customFormat="1" ht="23.25" customHeight="1" x14ac:dyDescent="0.6">
      <c r="A39" s="1432">
        <v>32</v>
      </c>
      <c r="B39" s="1539" t="s">
        <v>8088</v>
      </c>
      <c r="C39" s="1540" t="s">
        <v>8052</v>
      </c>
      <c r="D39" s="1526">
        <v>30</v>
      </c>
      <c r="E39" s="1525">
        <v>720</v>
      </c>
      <c r="F39" s="1370">
        <v>30</v>
      </c>
      <c r="G39" s="1529">
        <v>720</v>
      </c>
      <c r="H39" s="1370">
        <v>120</v>
      </c>
      <c r="I39" s="1370">
        <f t="shared" si="15"/>
        <v>2880</v>
      </c>
      <c r="J39" s="1370">
        <v>120</v>
      </c>
      <c r="K39" s="1370">
        <v>30</v>
      </c>
      <c r="L39" s="1526">
        <f t="shared" si="16"/>
        <v>720</v>
      </c>
      <c r="M39" s="1370">
        <f t="shared" si="12"/>
        <v>90</v>
      </c>
      <c r="N39" s="1371">
        <v>24</v>
      </c>
      <c r="O39" s="1371">
        <f t="shared" si="2"/>
        <v>2160</v>
      </c>
      <c r="P39" s="1370"/>
      <c r="Q39" s="1370">
        <f t="shared" si="3"/>
        <v>0</v>
      </c>
      <c r="R39" s="1526">
        <v>40</v>
      </c>
      <c r="S39" s="1526">
        <f t="shared" si="13"/>
        <v>960</v>
      </c>
      <c r="T39" s="1370">
        <v>50</v>
      </c>
      <c r="U39" s="1526">
        <f t="shared" si="14"/>
        <v>1200</v>
      </c>
      <c r="V39" s="1526"/>
      <c r="W39" s="1526">
        <f t="shared" si="6"/>
        <v>0</v>
      </c>
      <c r="X39" s="1370">
        <f t="shared" si="9"/>
        <v>90</v>
      </c>
      <c r="Y39" s="1370">
        <f t="shared" si="7"/>
        <v>2160</v>
      </c>
      <c r="Z39" s="1527" t="s">
        <v>7799</v>
      </c>
      <c r="AA39" s="1379" t="s">
        <v>6525</v>
      </c>
      <c r="AB39" s="1487" t="str">
        <f t="shared" si="8"/>
        <v>ok</v>
      </c>
      <c r="AC39" s="1487" t="str">
        <f t="shared" si="10"/>
        <v>ok</v>
      </c>
    </row>
    <row r="40" spans="1:29" s="1280" customFormat="1" ht="23.25" customHeight="1" x14ac:dyDescent="0.6">
      <c r="A40" s="1432">
        <v>33</v>
      </c>
      <c r="B40" s="1541" t="s">
        <v>8089</v>
      </c>
      <c r="C40" s="1540" t="s">
        <v>7816</v>
      </c>
      <c r="D40" s="1526">
        <v>3</v>
      </c>
      <c r="E40" s="1525">
        <v>420</v>
      </c>
      <c r="F40" s="1370">
        <v>3</v>
      </c>
      <c r="G40" s="1529">
        <v>420</v>
      </c>
      <c r="H40" s="1370">
        <v>23</v>
      </c>
      <c r="I40" s="1370">
        <f t="shared" si="15"/>
        <v>3450</v>
      </c>
      <c r="J40" s="1370">
        <v>15</v>
      </c>
      <c r="K40" s="1370">
        <v>2</v>
      </c>
      <c r="L40" s="1526">
        <f t="shared" si="16"/>
        <v>300</v>
      </c>
      <c r="M40" s="1370">
        <f t="shared" si="12"/>
        <v>13</v>
      </c>
      <c r="N40" s="1371">
        <v>150</v>
      </c>
      <c r="O40" s="1371">
        <f t="shared" si="2"/>
        <v>1950</v>
      </c>
      <c r="P40" s="1526"/>
      <c r="Q40" s="1370">
        <f t="shared" si="3"/>
        <v>0</v>
      </c>
      <c r="R40" s="1526">
        <v>13</v>
      </c>
      <c r="S40" s="1526">
        <f t="shared" si="13"/>
        <v>1950</v>
      </c>
      <c r="T40" s="1370"/>
      <c r="U40" s="1526">
        <f t="shared" si="14"/>
        <v>0</v>
      </c>
      <c r="V40" s="1370"/>
      <c r="W40" s="1526">
        <f t="shared" si="6"/>
        <v>0</v>
      </c>
      <c r="X40" s="1370">
        <f t="shared" si="9"/>
        <v>13</v>
      </c>
      <c r="Y40" s="1370">
        <f t="shared" si="7"/>
        <v>1950</v>
      </c>
      <c r="Z40" s="1527" t="s">
        <v>7799</v>
      </c>
      <c r="AA40" s="1379" t="s">
        <v>6525</v>
      </c>
      <c r="AB40" s="1487" t="str">
        <f t="shared" si="8"/>
        <v>ok</v>
      </c>
      <c r="AC40" s="1487" t="str">
        <f t="shared" si="10"/>
        <v>ok</v>
      </c>
    </row>
    <row r="41" spans="1:29" s="1280" customFormat="1" ht="23.25" customHeight="1" x14ac:dyDescent="0.6">
      <c r="A41" s="1432">
        <v>34</v>
      </c>
      <c r="B41" s="1539" t="s">
        <v>8090</v>
      </c>
      <c r="C41" s="1540" t="s">
        <v>8052</v>
      </c>
      <c r="D41" s="1526">
        <v>48</v>
      </c>
      <c r="E41" s="1525">
        <v>2200</v>
      </c>
      <c r="F41" s="1370">
        <v>48</v>
      </c>
      <c r="G41" s="1529">
        <v>2200</v>
      </c>
      <c r="H41" s="1370">
        <v>30</v>
      </c>
      <c r="I41" s="1370">
        <f t="shared" si="15"/>
        <v>1350</v>
      </c>
      <c r="J41" s="1370">
        <v>50</v>
      </c>
      <c r="K41" s="1370">
        <v>0</v>
      </c>
      <c r="L41" s="1526">
        <f t="shared" si="16"/>
        <v>0</v>
      </c>
      <c r="M41" s="1370">
        <f t="shared" si="12"/>
        <v>50</v>
      </c>
      <c r="N41" s="1371">
        <v>45</v>
      </c>
      <c r="O41" s="1371">
        <f t="shared" si="2"/>
        <v>2250</v>
      </c>
      <c r="P41" s="1526"/>
      <c r="Q41" s="1370">
        <f t="shared" si="3"/>
        <v>0</v>
      </c>
      <c r="R41" s="1526">
        <v>50</v>
      </c>
      <c r="S41" s="1526">
        <f t="shared" si="13"/>
        <v>2250</v>
      </c>
      <c r="T41" s="1370"/>
      <c r="U41" s="1526">
        <f t="shared" si="14"/>
        <v>0</v>
      </c>
      <c r="V41" s="1370"/>
      <c r="W41" s="1526">
        <f t="shared" si="6"/>
        <v>0</v>
      </c>
      <c r="X41" s="1370">
        <f t="shared" si="9"/>
        <v>50</v>
      </c>
      <c r="Y41" s="1370">
        <f t="shared" si="7"/>
        <v>2250</v>
      </c>
      <c r="Z41" s="1527" t="s">
        <v>7799</v>
      </c>
      <c r="AA41" s="1379" t="s">
        <v>6525</v>
      </c>
      <c r="AB41" s="1487" t="str">
        <f t="shared" si="8"/>
        <v>ok</v>
      </c>
      <c r="AC41" s="1487" t="str">
        <f t="shared" si="10"/>
        <v>ok</v>
      </c>
    </row>
    <row r="42" spans="1:29" s="1280" customFormat="1" ht="23.25" customHeight="1" x14ac:dyDescent="0.6">
      <c r="A42" s="1432">
        <v>35</v>
      </c>
      <c r="B42" s="1539" t="s">
        <v>8091</v>
      </c>
      <c r="C42" s="1540" t="s">
        <v>8057</v>
      </c>
      <c r="D42" s="1526">
        <v>24</v>
      </c>
      <c r="E42" s="1525">
        <v>1380</v>
      </c>
      <c r="F42" s="1370">
        <v>24</v>
      </c>
      <c r="G42" s="1529">
        <v>1380</v>
      </c>
      <c r="H42" s="1370">
        <v>12</v>
      </c>
      <c r="I42" s="1370">
        <f t="shared" si="15"/>
        <v>690</v>
      </c>
      <c r="J42" s="1370">
        <v>48</v>
      </c>
      <c r="K42" s="1370">
        <v>12</v>
      </c>
      <c r="L42" s="1526">
        <f t="shared" si="16"/>
        <v>690</v>
      </c>
      <c r="M42" s="1370">
        <f t="shared" si="12"/>
        <v>36</v>
      </c>
      <c r="N42" s="1371">
        <v>57.5</v>
      </c>
      <c r="O42" s="1371">
        <f t="shared" si="2"/>
        <v>2070</v>
      </c>
      <c r="P42" s="1526"/>
      <c r="Q42" s="1370">
        <f t="shared" si="3"/>
        <v>0</v>
      </c>
      <c r="R42" s="1526">
        <v>36</v>
      </c>
      <c r="S42" s="1526">
        <f t="shared" si="13"/>
        <v>2070</v>
      </c>
      <c r="T42" s="1370"/>
      <c r="U42" s="1526">
        <f t="shared" si="14"/>
        <v>0</v>
      </c>
      <c r="V42" s="1370"/>
      <c r="W42" s="1526">
        <f t="shared" si="6"/>
        <v>0</v>
      </c>
      <c r="X42" s="1370">
        <f t="shared" si="9"/>
        <v>36</v>
      </c>
      <c r="Y42" s="1370">
        <f t="shared" si="7"/>
        <v>2070</v>
      </c>
      <c r="Z42" s="1527" t="s">
        <v>7799</v>
      </c>
      <c r="AA42" s="1379" t="s">
        <v>6525</v>
      </c>
      <c r="AB42" s="1487" t="str">
        <f t="shared" si="8"/>
        <v>ok</v>
      </c>
      <c r="AC42" s="1487" t="str">
        <f t="shared" si="10"/>
        <v>ok</v>
      </c>
    </row>
    <row r="43" spans="1:29" s="1280" customFormat="1" ht="23.25" customHeight="1" x14ac:dyDescent="0.6">
      <c r="A43" s="1432">
        <v>36</v>
      </c>
      <c r="B43" s="1539" t="s">
        <v>8092</v>
      </c>
      <c r="C43" s="1540" t="s">
        <v>8057</v>
      </c>
      <c r="D43" s="1526">
        <v>24</v>
      </c>
      <c r="E43" s="1525">
        <v>1380</v>
      </c>
      <c r="F43" s="1370">
        <v>24</v>
      </c>
      <c r="G43" s="1529">
        <v>1380</v>
      </c>
      <c r="H43" s="1370">
        <v>84</v>
      </c>
      <c r="I43" s="1370">
        <f t="shared" si="15"/>
        <v>4830</v>
      </c>
      <c r="J43" s="1370">
        <v>84</v>
      </c>
      <c r="K43" s="1370">
        <v>12</v>
      </c>
      <c r="L43" s="1526">
        <f t="shared" si="16"/>
        <v>690</v>
      </c>
      <c r="M43" s="1370">
        <f t="shared" si="12"/>
        <v>72</v>
      </c>
      <c r="N43" s="1371">
        <v>57.5</v>
      </c>
      <c r="O43" s="1371">
        <f t="shared" si="2"/>
        <v>4140</v>
      </c>
      <c r="P43" s="1526"/>
      <c r="Q43" s="1370">
        <f t="shared" si="3"/>
        <v>0</v>
      </c>
      <c r="R43" s="1526">
        <v>72</v>
      </c>
      <c r="S43" s="1526">
        <f t="shared" si="13"/>
        <v>4140</v>
      </c>
      <c r="T43" s="1370"/>
      <c r="U43" s="1526">
        <f t="shared" si="14"/>
        <v>0</v>
      </c>
      <c r="V43" s="1370"/>
      <c r="W43" s="1526">
        <f t="shared" si="6"/>
        <v>0</v>
      </c>
      <c r="X43" s="1370">
        <f t="shared" si="9"/>
        <v>72</v>
      </c>
      <c r="Y43" s="1370">
        <f t="shared" si="7"/>
        <v>4140</v>
      </c>
      <c r="Z43" s="1527" t="s">
        <v>7799</v>
      </c>
      <c r="AA43" s="1379" t="s">
        <v>6525</v>
      </c>
      <c r="AB43" s="1487" t="str">
        <f t="shared" si="8"/>
        <v>ok</v>
      </c>
      <c r="AC43" s="1487" t="str">
        <f t="shared" si="10"/>
        <v>ok</v>
      </c>
    </row>
    <row r="44" spans="1:29" s="1280" customFormat="1" ht="23.25" customHeight="1" x14ac:dyDescent="0.6">
      <c r="A44" s="1432">
        <v>37</v>
      </c>
      <c r="B44" s="1539" t="s">
        <v>8093</v>
      </c>
      <c r="C44" s="1540" t="s">
        <v>8057</v>
      </c>
      <c r="D44" s="1526">
        <v>0</v>
      </c>
      <c r="E44" s="1525">
        <v>0</v>
      </c>
      <c r="F44" s="1370">
        <v>0</v>
      </c>
      <c r="G44" s="1529">
        <v>0</v>
      </c>
      <c r="H44" s="1370">
        <v>156</v>
      </c>
      <c r="I44" s="1370">
        <f t="shared" si="15"/>
        <v>8970</v>
      </c>
      <c r="J44" s="1370">
        <v>156</v>
      </c>
      <c r="K44" s="1370">
        <v>12</v>
      </c>
      <c r="L44" s="1526">
        <f t="shared" si="16"/>
        <v>690</v>
      </c>
      <c r="M44" s="1370">
        <f t="shared" si="12"/>
        <v>144</v>
      </c>
      <c r="N44" s="1371">
        <v>57.5</v>
      </c>
      <c r="O44" s="1371">
        <f t="shared" si="2"/>
        <v>8280</v>
      </c>
      <c r="P44" s="1526">
        <v>36</v>
      </c>
      <c r="Q44" s="1370">
        <f t="shared" si="3"/>
        <v>2070</v>
      </c>
      <c r="R44" s="1526">
        <v>36</v>
      </c>
      <c r="S44" s="1526">
        <f t="shared" si="13"/>
        <v>2070</v>
      </c>
      <c r="T44" s="1370">
        <v>36</v>
      </c>
      <c r="U44" s="1526">
        <f t="shared" si="14"/>
        <v>2070</v>
      </c>
      <c r="V44" s="1370">
        <v>36</v>
      </c>
      <c r="W44" s="1526">
        <f t="shared" si="6"/>
        <v>2070</v>
      </c>
      <c r="X44" s="1370">
        <f t="shared" si="9"/>
        <v>144</v>
      </c>
      <c r="Y44" s="1370">
        <f t="shared" si="7"/>
        <v>8280</v>
      </c>
      <c r="Z44" s="1527" t="s">
        <v>7799</v>
      </c>
      <c r="AA44" s="1379" t="s">
        <v>6525</v>
      </c>
      <c r="AB44" s="1487" t="str">
        <f t="shared" si="8"/>
        <v>ok</v>
      </c>
      <c r="AC44" s="1487" t="str">
        <f t="shared" si="10"/>
        <v>ok</v>
      </c>
    </row>
    <row r="45" spans="1:29" s="1280" customFormat="1" ht="23.25" customHeight="1" x14ac:dyDescent="0.6">
      <c r="A45" s="1432">
        <v>38</v>
      </c>
      <c r="B45" s="1539" t="s">
        <v>8094</v>
      </c>
      <c r="C45" s="1540" t="s">
        <v>7798</v>
      </c>
      <c r="D45" s="1526">
        <v>0</v>
      </c>
      <c r="E45" s="1529">
        <v>0</v>
      </c>
      <c r="F45" s="1370">
        <v>0</v>
      </c>
      <c r="G45" s="1529">
        <v>0</v>
      </c>
      <c r="H45" s="1370">
        <v>0</v>
      </c>
      <c r="I45" s="1370">
        <f t="shared" si="15"/>
        <v>0</v>
      </c>
      <c r="J45" s="1370">
        <v>5</v>
      </c>
      <c r="K45" s="1370">
        <v>0</v>
      </c>
      <c r="L45" s="1526">
        <f t="shared" si="16"/>
        <v>0</v>
      </c>
      <c r="M45" s="1370">
        <f t="shared" si="12"/>
        <v>5</v>
      </c>
      <c r="N45" s="1371">
        <v>240</v>
      </c>
      <c r="O45" s="1371">
        <f t="shared" si="2"/>
        <v>1200</v>
      </c>
      <c r="P45" s="1370"/>
      <c r="Q45" s="1370">
        <f t="shared" si="3"/>
        <v>0</v>
      </c>
      <c r="R45" s="1526">
        <v>5</v>
      </c>
      <c r="S45" s="1526">
        <f t="shared" si="13"/>
        <v>1200</v>
      </c>
      <c r="T45" s="1370"/>
      <c r="U45" s="1526">
        <f t="shared" si="14"/>
        <v>0</v>
      </c>
      <c r="V45" s="1526"/>
      <c r="W45" s="1526">
        <f t="shared" si="6"/>
        <v>0</v>
      </c>
      <c r="X45" s="1370">
        <f t="shared" si="9"/>
        <v>5</v>
      </c>
      <c r="Y45" s="1370">
        <f t="shared" si="7"/>
        <v>1200</v>
      </c>
      <c r="Z45" s="1527" t="s">
        <v>7799</v>
      </c>
      <c r="AA45" s="1379" t="s">
        <v>6525</v>
      </c>
      <c r="AB45" s="1487" t="str">
        <f t="shared" si="8"/>
        <v>ok</v>
      </c>
      <c r="AC45" s="1487" t="str">
        <f t="shared" si="10"/>
        <v>ok</v>
      </c>
    </row>
    <row r="46" spans="1:29" s="1280" customFormat="1" ht="23.25" customHeight="1" x14ac:dyDescent="0.6">
      <c r="A46" s="1432">
        <v>39</v>
      </c>
      <c r="B46" s="1539" t="s">
        <v>8095</v>
      </c>
      <c r="C46" s="1540" t="s">
        <v>7808</v>
      </c>
      <c r="D46" s="1537">
        <v>59</v>
      </c>
      <c r="E46" s="1529">
        <v>4200</v>
      </c>
      <c r="F46" s="1532">
        <v>59</v>
      </c>
      <c r="G46" s="1529">
        <v>4200</v>
      </c>
      <c r="H46" s="1532">
        <v>54</v>
      </c>
      <c r="I46" s="1370">
        <f t="shared" si="15"/>
        <v>3888</v>
      </c>
      <c r="J46" s="1370">
        <v>10</v>
      </c>
      <c r="K46" s="1370">
        <v>0</v>
      </c>
      <c r="L46" s="1526">
        <f t="shared" si="16"/>
        <v>0</v>
      </c>
      <c r="M46" s="1370">
        <f t="shared" si="12"/>
        <v>10</v>
      </c>
      <c r="N46" s="1538">
        <v>72</v>
      </c>
      <c r="O46" s="1371">
        <f t="shared" si="2"/>
        <v>720</v>
      </c>
      <c r="P46" s="1370"/>
      <c r="Q46" s="1370">
        <f t="shared" si="3"/>
        <v>0</v>
      </c>
      <c r="R46" s="1370">
        <v>10</v>
      </c>
      <c r="S46" s="1526">
        <f t="shared" si="13"/>
        <v>720</v>
      </c>
      <c r="T46" s="1370"/>
      <c r="U46" s="1526">
        <f t="shared" si="14"/>
        <v>0</v>
      </c>
      <c r="V46" s="1370"/>
      <c r="W46" s="1526">
        <f t="shared" si="6"/>
        <v>0</v>
      </c>
      <c r="X46" s="1370">
        <f t="shared" si="9"/>
        <v>10</v>
      </c>
      <c r="Y46" s="1370">
        <f t="shared" si="7"/>
        <v>720</v>
      </c>
      <c r="Z46" s="1527" t="s">
        <v>7799</v>
      </c>
      <c r="AA46" s="1379" t="s">
        <v>6525</v>
      </c>
      <c r="AB46" s="1487" t="str">
        <f t="shared" si="8"/>
        <v>ok</v>
      </c>
      <c r="AC46" s="1487" t="str">
        <f t="shared" si="10"/>
        <v>ok</v>
      </c>
    </row>
    <row r="47" spans="1:29" s="1280" customFormat="1" ht="23.25" customHeight="1" x14ac:dyDescent="0.6">
      <c r="A47" s="1432">
        <v>40</v>
      </c>
      <c r="B47" s="1539" t="s">
        <v>8096</v>
      </c>
      <c r="C47" s="1540" t="s">
        <v>8097</v>
      </c>
      <c r="D47" s="1526">
        <v>59</v>
      </c>
      <c r="E47" s="1529">
        <v>4200</v>
      </c>
      <c r="F47" s="1370">
        <v>59</v>
      </c>
      <c r="G47" s="1529">
        <v>4680</v>
      </c>
      <c r="H47" s="1370">
        <v>140</v>
      </c>
      <c r="I47" s="1370">
        <f t="shared" si="15"/>
        <v>10080</v>
      </c>
      <c r="J47" s="1370">
        <v>140</v>
      </c>
      <c r="K47" s="1370">
        <v>0</v>
      </c>
      <c r="L47" s="1526">
        <f t="shared" si="16"/>
        <v>0</v>
      </c>
      <c r="M47" s="1370">
        <f t="shared" si="12"/>
        <v>140</v>
      </c>
      <c r="N47" s="1371">
        <v>72</v>
      </c>
      <c r="O47" s="1371">
        <f t="shared" si="2"/>
        <v>10080</v>
      </c>
      <c r="P47" s="1526">
        <v>0</v>
      </c>
      <c r="Q47" s="1370">
        <f t="shared" si="3"/>
        <v>0</v>
      </c>
      <c r="R47" s="1526">
        <v>50</v>
      </c>
      <c r="S47" s="1526">
        <f t="shared" si="13"/>
        <v>3600</v>
      </c>
      <c r="T47" s="1370">
        <v>50</v>
      </c>
      <c r="U47" s="1526">
        <f t="shared" si="14"/>
        <v>3600</v>
      </c>
      <c r="V47" s="1370">
        <v>40</v>
      </c>
      <c r="W47" s="1526">
        <f t="shared" si="6"/>
        <v>2880</v>
      </c>
      <c r="X47" s="1370">
        <f t="shared" si="9"/>
        <v>140</v>
      </c>
      <c r="Y47" s="1370">
        <f t="shared" si="7"/>
        <v>10080</v>
      </c>
      <c r="Z47" s="1527" t="s">
        <v>7799</v>
      </c>
      <c r="AA47" s="1379" t="s">
        <v>6525</v>
      </c>
      <c r="AB47" s="1487" t="str">
        <f t="shared" si="8"/>
        <v>ok</v>
      </c>
      <c r="AC47" s="1487" t="str">
        <f t="shared" si="10"/>
        <v>ok</v>
      </c>
    </row>
    <row r="48" spans="1:29" s="1280" customFormat="1" ht="23.25" customHeight="1" x14ac:dyDescent="0.6">
      <c r="A48" s="1432">
        <v>41</v>
      </c>
      <c r="B48" s="1539" t="s">
        <v>8098</v>
      </c>
      <c r="C48" s="1540" t="s">
        <v>7823</v>
      </c>
      <c r="D48" s="1526">
        <v>0</v>
      </c>
      <c r="E48" s="1529">
        <v>0</v>
      </c>
      <c r="F48" s="1370">
        <v>0</v>
      </c>
      <c r="G48" s="1529">
        <v>0</v>
      </c>
      <c r="H48" s="1370">
        <v>4600</v>
      </c>
      <c r="I48" s="1370">
        <f t="shared" si="15"/>
        <v>16100</v>
      </c>
      <c r="J48" s="1370">
        <v>5000</v>
      </c>
      <c r="K48" s="1370">
        <v>0</v>
      </c>
      <c r="L48" s="1526">
        <f t="shared" si="16"/>
        <v>0</v>
      </c>
      <c r="M48" s="1370">
        <f t="shared" si="12"/>
        <v>5000</v>
      </c>
      <c r="N48" s="1371">
        <v>3.5</v>
      </c>
      <c r="O48" s="1371">
        <f t="shared" si="2"/>
        <v>17500</v>
      </c>
      <c r="P48" s="1370"/>
      <c r="Q48" s="1370">
        <f t="shared" si="3"/>
        <v>0</v>
      </c>
      <c r="R48" s="1526">
        <v>2000</v>
      </c>
      <c r="S48" s="1526">
        <f t="shared" si="13"/>
        <v>7000</v>
      </c>
      <c r="T48" s="1370">
        <v>2000</v>
      </c>
      <c r="U48" s="1526">
        <f t="shared" si="14"/>
        <v>7000</v>
      </c>
      <c r="V48" s="1526">
        <v>1000</v>
      </c>
      <c r="W48" s="1526">
        <f t="shared" si="6"/>
        <v>3500</v>
      </c>
      <c r="X48" s="1370">
        <f t="shared" si="9"/>
        <v>5000</v>
      </c>
      <c r="Y48" s="1370">
        <f t="shared" si="7"/>
        <v>17500</v>
      </c>
      <c r="Z48" s="1527" t="s">
        <v>7799</v>
      </c>
      <c r="AA48" s="1379" t="s">
        <v>6525</v>
      </c>
      <c r="AB48" s="1487" t="str">
        <f t="shared" si="8"/>
        <v>ok</v>
      </c>
      <c r="AC48" s="1487" t="str">
        <f t="shared" si="10"/>
        <v>ok</v>
      </c>
    </row>
    <row r="49" spans="1:29" s="1280" customFormat="1" ht="23.25" customHeight="1" x14ac:dyDescent="0.6">
      <c r="A49" s="1432">
        <v>42</v>
      </c>
      <c r="B49" s="1539" t="s">
        <v>8099</v>
      </c>
      <c r="C49" s="1540" t="s">
        <v>8097</v>
      </c>
      <c r="D49" s="1526"/>
      <c r="E49" s="1529">
        <v>3500</v>
      </c>
      <c r="F49" s="1370"/>
      <c r="G49" s="1529">
        <v>3500</v>
      </c>
      <c r="H49" s="1370">
        <v>39</v>
      </c>
      <c r="I49" s="1370">
        <f t="shared" si="15"/>
        <v>2808</v>
      </c>
      <c r="J49" s="1370">
        <v>39</v>
      </c>
      <c r="K49" s="1370">
        <v>2</v>
      </c>
      <c r="L49" s="1526">
        <f t="shared" si="16"/>
        <v>144</v>
      </c>
      <c r="M49" s="1370">
        <f t="shared" si="12"/>
        <v>37</v>
      </c>
      <c r="N49" s="1371">
        <v>72</v>
      </c>
      <c r="O49" s="1371">
        <f t="shared" si="2"/>
        <v>2664</v>
      </c>
      <c r="P49" s="1526">
        <v>10</v>
      </c>
      <c r="Q49" s="1370">
        <f t="shared" si="3"/>
        <v>720</v>
      </c>
      <c r="R49" s="1526">
        <v>10</v>
      </c>
      <c r="S49" s="1526">
        <f t="shared" si="13"/>
        <v>720</v>
      </c>
      <c r="T49" s="1370">
        <v>10</v>
      </c>
      <c r="U49" s="1526">
        <f t="shared" si="14"/>
        <v>720</v>
      </c>
      <c r="V49" s="1370">
        <v>7</v>
      </c>
      <c r="W49" s="1526">
        <f t="shared" si="6"/>
        <v>504</v>
      </c>
      <c r="X49" s="1370">
        <f t="shared" si="9"/>
        <v>37</v>
      </c>
      <c r="Y49" s="1370">
        <f t="shared" si="7"/>
        <v>2664</v>
      </c>
      <c r="Z49" s="1527" t="s">
        <v>7799</v>
      </c>
      <c r="AA49" s="1379" t="s">
        <v>6525</v>
      </c>
      <c r="AB49" s="1487" t="str">
        <f t="shared" si="8"/>
        <v>ok</v>
      </c>
      <c r="AC49" s="1487" t="str">
        <f t="shared" si="10"/>
        <v>ok</v>
      </c>
    </row>
    <row r="50" spans="1:29" s="1280" customFormat="1" ht="23.25" customHeight="1" x14ac:dyDescent="0.6">
      <c r="A50" s="1432">
        <v>43</v>
      </c>
      <c r="B50" s="1539" t="s">
        <v>8100</v>
      </c>
      <c r="C50" s="1540" t="s">
        <v>8057</v>
      </c>
      <c r="D50" s="1526"/>
      <c r="E50" s="1529">
        <v>16250</v>
      </c>
      <c r="F50" s="1370"/>
      <c r="G50" s="1529">
        <v>16250</v>
      </c>
      <c r="H50" s="1370">
        <v>377</v>
      </c>
      <c r="I50" s="1370">
        <f t="shared" si="15"/>
        <v>20422.09</v>
      </c>
      <c r="J50" s="1370">
        <v>350</v>
      </c>
      <c r="K50" s="1370">
        <v>60</v>
      </c>
      <c r="L50" s="1526">
        <f t="shared" si="16"/>
        <v>3250.2000000000003</v>
      </c>
      <c r="M50" s="1370">
        <f t="shared" si="12"/>
        <v>290</v>
      </c>
      <c r="N50" s="1371">
        <v>54.17</v>
      </c>
      <c r="O50" s="1371">
        <f t="shared" si="2"/>
        <v>15709.300000000001</v>
      </c>
      <c r="P50" s="1526"/>
      <c r="Q50" s="1370">
        <f t="shared" si="3"/>
        <v>0</v>
      </c>
      <c r="R50" s="1526">
        <v>100</v>
      </c>
      <c r="S50" s="1526">
        <f t="shared" si="13"/>
        <v>5417</v>
      </c>
      <c r="T50" s="1370">
        <v>100</v>
      </c>
      <c r="U50" s="1526">
        <f t="shared" si="14"/>
        <v>5417</v>
      </c>
      <c r="V50" s="1370">
        <v>90</v>
      </c>
      <c r="W50" s="1526">
        <f t="shared" si="6"/>
        <v>4875.3</v>
      </c>
      <c r="X50" s="1370">
        <f t="shared" si="9"/>
        <v>290</v>
      </c>
      <c r="Y50" s="1370">
        <f t="shared" si="7"/>
        <v>15709.300000000001</v>
      </c>
      <c r="Z50" s="1527" t="s">
        <v>7799</v>
      </c>
      <c r="AA50" s="1379" t="s">
        <v>6525</v>
      </c>
      <c r="AB50" s="1487" t="str">
        <f t="shared" si="8"/>
        <v>ok</v>
      </c>
      <c r="AC50" s="1487" t="str">
        <f t="shared" si="10"/>
        <v>ok</v>
      </c>
    </row>
    <row r="51" spans="1:29" s="1280" customFormat="1" ht="23.25" customHeight="1" x14ac:dyDescent="0.6">
      <c r="A51" s="1432">
        <v>44</v>
      </c>
      <c r="B51" s="1539" t="s">
        <v>8101</v>
      </c>
      <c r="C51" s="1540" t="s">
        <v>8057</v>
      </c>
      <c r="D51" s="1526"/>
      <c r="E51" s="1529">
        <v>16250</v>
      </c>
      <c r="F51" s="1370"/>
      <c r="G51" s="1529">
        <v>16250</v>
      </c>
      <c r="H51" s="1370">
        <v>629</v>
      </c>
      <c r="I51" s="1370">
        <f t="shared" si="15"/>
        <v>34072.93</v>
      </c>
      <c r="J51" s="1370">
        <v>620</v>
      </c>
      <c r="K51" s="1370">
        <v>20</v>
      </c>
      <c r="L51" s="1526">
        <f t="shared" si="16"/>
        <v>1083.4000000000001</v>
      </c>
      <c r="M51" s="1370">
        <f t="shared" si="12"/>
        <v>600</v>
      </c>
      <c r="N51" s="1371">
        <v>54.17</v>
      </c>
      <c r="O51" s="1371">
        <f t="shared" si="2"/>
        <v>32502</v>
      </c>
      <c r="P51" s="1526">
        <v>100</v>
      </c>
      <c r="Q51" s="1370">
        <f t="shared" si="3"/>
        <v>5417</v>
      </c>
      <c r="R51" s="1526">
        <v>200</v>
      </c>
      <c r="S51" s="1526">
        <f t="shared" si="13"/>
        <v>10834</v>
      </c>
      <c r="T51" s="1370">
        <v>200</v>
      </c>
      <c r="U51" s="1526">
        <f t="shared" si="14"/>
        <v>10834</v>
      </c>
      <c r="V51" s="1370">
        <v>100</v>
      </c>
      <c r="W51" s="1526">
        <f t="shared" si="6"/>
        <v>5417</v>
      </c>
      <c r="X51" s="1370">
        <f t="shared" si="9"/>
        <v>600</v>
      </c>
      <c r="Y51" s="1370">
        <f t="shared" si="7"/>
        <v>32502</v>
      </c>
      <c r="Z51" s="1527" t="s">
        <v>7799</v>
      </c>
      <c r="AA51" s="1379" t="s">
        <v>6525</v>
      </c>
      <c r="AB51" s="1487" t="str">
        <f t="shared" si="8"/>
        <v>ok</v>
      </c>
      <c r="AC51" s="1487" t="str">
        <f t="shared" si="10"/>
        <v>ok</v>
      </c>
    </row>
    <row r="52" spans="1:29" s="1280" customFormat="1" ht="23.25" customHeight="1" x14ac:dyDescent="0.6">
      <c r="A52" s="1432">
        <v>45</v>
      </c>
      <c r="B52" s="1539" t="s">
        <v>8102</v>
      </c>
      <c r="C52" s="1540" t="s">
        <v>8057</v>
      </c>
      <c r="D52" s="1526"/>
      <c r="E52" s="1529">
        <v>9750</v>
      </c>
      <c r="F52" s="1370"/>
      <c r="G52" s="1529">
        <v>9750</v>
      </c>
      <c r="H52" s="1370">
        <v>360</v>
      </c>
      <c r="I52" s="1370">
        <f t="shared" si="15"/>
        <v>19501.2</v>
      </c>
      <c r="J52" s="1370">
        <v>360</v>
      </c>
      <c r="K52" s="1370">
        <v>60</v>
      </c>
      <c r="L52" s="1526">
        <f t="shared" si="16"/>
        <v>3250.2000000000003</v>
      </c>
      <c r="M52" s="1370">
        <f t="shared" si="12"/>
        <v>300</v>
      </c>
      <c r="N52" s="1371">
        <v>54.17</v>
      </c>
      <c r="O52" s="1371">
        <f t="shared" si="2"/>
        <v>16251</v>
      </c>
      <c r="P52" s="1526">
        <v>100</v>
      </c>
      <c r="Q52" s="1370">
        <f t="shared" si="3"/>
        <v>5417</v>
      </c>
      <c r="R52" s="1526">
        <v>100</v>
      </c>
      <c r="S52" s="1526">
        <f t="shared" si="13"/>
        <v>5417</v>
      </c>
      <c r="T52" s="1370">
        <v>100</v>
      </c>
      <c r="U52" s="1526">
        <f t="shared" si="14"/>
        <v>5417</v>
      </c>
      <c r="V52" s="1370"/>
      <c r="W52" s="1526">
        <f t="shared" si="6"/>
        <v>0</v>
      </c>
      <c r="X52" s="1370">
        <f t="shared" si="9"/>
        <v>300</v>
      </c>
      <c r="Y52" s="1370">
        <f t="shared" si="7"/>
        <v>16251</v>
      </c>
      <c r="Z52" s="1527" t="s">
        <v>7799</v>
      </c>
      <c r="AA52" s="1379" t="s">
        <v>6525</v>
      </c>
      <c r="AB52" s="1487" t="str">
        <f t="shared" si="8"/>
        <v>ok</v>
      </c>
      <c r="AC52" s="1487" t="str">
        <f t="shared" si="10"/>
        <v>ok</v>
      </c>
    </row>
    <row r="53" spans="1:29" s="1280" customFormat="1" ht="23.25" customHeight="1" x14ac:dyDescent="0.6">
      <c r="A53" s="1432">
        <v>46</v>
      </c>
      <c r="B53" s="1539" t="s">
        <v>8103</v>
      </c>
      <c r="C53" s="1540" t="s">
        <v>7816</v>
      </c>
      <c r="D53" s="1526"/>
      <c r="E53" s="1529">
        <v>9437.4</v>
      </c>
      <c r="F53" s="1370"/>
      <c r="G53" s="1529">
        <v>9437.4</v>
      </c>
      <c r="H53" s="1370">
        <v>87</v>
      </c>
      <c r="I53" s="1370">
        <f t="shared" si="15"/>
        <v>4468.32</v>
      </c>
      <c r="J53" s="1370">
        <v>87</v>
      </c>
      <c r="K53" s="1370">
        <v>0</v>
      </c>
      <c r="L53" s="1526">
        <f t="shared" si="16"/>
        <v>0</v>
      </c>
      <c r="M53" s="1370">
        <f t="shared" si="12"/>
        <v>87</v>
      </c>
      <c r="N53" s="1371">
        <v>51.36</v>
      </c>
      <c r="O53" s="1371">
        <f t="shared" si="2"/>
        <v>4468.32</v>
      </c>
      <c r="P53" s="1526"/>
      <c r="Q53" s="1370">
        <f t="shared" si="3"/>
        <v>0</v>
      </c>
      <c r="R53" s="1526">
        <v>40</v>
      </c>
      <c r="S53" s="1526">
        <f t="shared" si="13"/>
        <v>2054.4</v>
      </c>
      <c r="T53" s="1370">
        <v>47</v>
      </c>
      <c r="U53" s="1526">
        <f t="shared" si="14"/>
        <v>2413.92</v>
      </c>
      <c r="V53" s="1370"/>
      <c r="W53" s="1526">
        <f t="shared" si="6"/>
        <v>0</v>
      </c>
      <c r="X53" s="1370">
        <f t="shared" si="9"/>
        <v>87</v>
      </c>
      <c r="Y53" s="1370">
        <f t="shared" si="7"/>
        <v>4468.32</v>
      </c>
      <c r="Z53" s="1527" t="s">
        <v>7799</v>
      </c>
      <c r="AA53" s="1379" t="s">
        <v>6525</v>
      </c>
      <c r="AB53" s="1487" t="str">
        <f t="shared" si="8"/>
        <v>ok</v>
      </c>
      <c r="AC53" s="1487" t="str">
        <f t="shared" si="10"/>
        <v>ok</v>
      </c>
    </row>
    <row r="54" spans="1:29" s="1280" customFormat="1" ht="23.25" customHeight="1" x14ac:dyDescent="0.6">
      <c r="A54" s="1432">
        <v>47</v>
      </c>
      <c r="B54" s="1539" t="s">
        <v>8104</v>
      </c>
      <c r="C54" s="1540" t="s">
        <v>7816</v>
      </c>
      <c r="D54" s="1526"/>
      <c r="E54" s="1529">
        <v>2621.5</v>
      </c>
      <c r="F54" s="1370"/>
      <c r="G54" s="1529">
        <v>2621.5</v>
      </c>
      <c r="H54" s="1370">
        <v>153</v>
      </c>
      <c r="I54" s="1370">
        <f t="shared" si="15"/>
        <v>7858.08</v>
      </c>
      <c r="J54" s="1370">
        <v>153</v>
      </c>
      <c r="K54" s="1370">
        <v>50</v>
      </c>
      <c r="L54" s="1526">
        <f t="shared" si="16"/>
        <v>2568</v>
      </c>
      <c r="M54" s="1370">
        <f t="shared" si="12"/>
        <v>103</v>
      </c>
      <c r="N54" s="1371">
        <v>51.36</v>
      </c>
      <c r="O54" s="1371">
        <f t="shared" si="2"/>
        <v>5290.08</v>
      </c>
      <c r="P54" s="1370">
        <v>50</v>
      </c>
      <c r="Q54" s="1370">
        <f t="shared" si="3"/>
        <v>2568</v>
      </c>
      <c r="R54" s="1526"/>
      <c r="S54" s="1526">
        <f t="shared" si="13"/>
        <v>0</v>
      </c>
      <c r="T54" s="1370">
        <v>53</v>
      </c>
      <c r="U54" s="1526">
        <f t="shared" si="14"/>
        <v>2722.08</v>
      </c>
      <c r="V54" s="1526"/>
      <c r="W54" s="1526">
        <f t="shared" si="6"/>
        <v>0</v>
      </c>
      <c r="X54" s="1370">
        <f t="shared" si="9"/>
        <v>103</v>
      </c>
      <c r="Y54" s="1370">
        <f t="shared" si="7"/>
        <v>5290.08</v>
      </c>
      <c r="Z54" s="1527" t="s">
        <v>7799</v>
      </c>
      <c r="AA54" s="1379" t="s">
        <v>6525</v>
      </c>
      <c r="AB54" s="1487" t="str">
        <f t="shared" si="8"/>
        <v>ok</v>
      </c>
      <c r="AC54" s="1487" t="str">
        <f t="shared" si="10"/>
        <v>ok</v>
      </c>
    </row>
    <row r="55" spans="1:29" s="1280" customFormat="1" ht="23.25" customHeight="1" x14ac:dyDescent="0.6">
      <c r="A55" s="1432">
        <v>48</v>
      </c>
      <c r="B55" s="1539" t="s">
        <v>8105</v>
      </c>
      <c r="C55" s="1540" t="s">
        <v>7816</v>
      </c>
      <c r="D55" s="1526"/>
      <c r="E55" s="1529">
        <v>1310.75</v>
      </c>
      <c r="F55" s="1381"/>
      <c r="G55" s="1529">
        <v>1310.75</v>
      </c>
      <c r="H55" s="1370">
        <v>157</v>
      </c>
      <c r="I55" s="1370">
        <f t="shared" si="15"/>
        <v>8063.5199999999995</v>
      </c>
      <c r="J55" s="1370">
        <v>157</v>
      </c>
      <c r="K55" s="1370">
        <v>60</v>
      </c>
      <c r="L55" s="1526">
        <f t="shared" si="16"/>
        <v>3081.6</v>
      </c>
      <c r="M55" s="1370">
        <f t="shared" si="12"/>
        <v>97</v>
      </c>
      <c r="N55" s="1370">
        <v>51.36</v>
      </c>
      <c r="O55" s="1371">
        <f t="shared" si="2"/>
        <v>4981.92</v>
      </c>
      <c r="P55" s="1526"/>
      <c r="Q55" s="1370">
        <f t="shared" si="3"/>
        <v>0</v>
      </c>
      <c r="R55" s="1526">
        <v>50</v>
      </c>
      <c r="S55" s="1526">
        <f t="shared" si="13"/>
        <v>2568</v>
      </c>
      <c r="T55" s="1526">
        <v>47</v>
      </c>
      <c r="U55" s="1526">
        <f t="shared" si="14"/>
        <v>2413.92</v>
      </c>
      <c r="V55" s="1526"/>
      <c r="W55" s="1526">
        <f t="shared" si="6"/>
        <v>0</v>
      </c>
      <c r="X55" s="1370">
        <f t="shared" si="9"/>
        <v>97</v>
      </c>
      <c r="Y55" s="1370">
        <f t="shared" si="7"/>
        <v>4981.92</v>
      </c>
      <c r="Z55" s="1527" t="s">
        <v>7799</v>
      </c>
      <c r="AA55" s="1379" t="s">
        <v>6525</v>
      </c>
      <c r="AB55" s="1487" t="str">
        <f t="shared" si="8"/>
        <v>ok</v>
      </c>
      <c r="AC55" s="1487" t="str">
        <f t="shared" si="10"/>
        <v>ok</v>
      </c>
    </row>
    <row r="56" spans="1:29" s="1280" customFormat="1" ht="23.25" customHeight="1" x14ac:dyDescent="0.6">
      <c r="A56" s="1432">
        <v>49</v>
      </c>
      <c r="B56" s="1539" t="s">
        <v>8106</v>
      </c>
      <c r="C56" s="1540" t="s">
        <v>7816</v>
      </c>
      <c r="D56" s="1526"/>
      <c r="E56" s="1529">
        <v>2621.5</v>
      </c>
      <c r="F56" s="1370"/>
      <c r="G56" s="1529">
        <v>2621.5</v>
      </c>
      <c r="H56" s="1370">
        <v>65</v>
      </c>
      <c r="I56" s="1370">
        <f t="shared" si="15"/>
        <v>3338.4</v>
      </c>
      <c r="J56" s="1370">
        <v>65</v>
      </c>
      <c r="K56" s="1370">
        <v>25</v>
      </c>
      <c r="L56" s="1526">
        <f t="shared" si="16"/>
        <v>1284</v>
      </c>
      <c r="M56" s="1370">
        <f t="shared" si="12"/>
        <v>40</v>
      </c>
      <c r="N56" s="1371">
        <v>51.36</v>
      </c>
      <c r="O56" s="1371">
        <f t="shared" si="2"/>
        <v>2054.4</v>
      </c>
      <c r="P56" s="1526"/>
      <c r="Q56" s="1370">
        <f t="shared" si="3"/>
        <v>0</v>
      </c>
      <c r="R56" s="1526">
        <v>20</v>
      </c>
      <c r="S56" s="1526">
        <f t="shared" si="13"/>
        <v>1027.2</v>
      </c>
      <c r="T56" s="1370"/>
      <c r="U56" s="1526">
        <f t="shared" si="14"/>
        <v>0</v>
      </c>
      <c r="V56" s="1370">
        <v>20</v>
      </c>
      <c r="W56" s="1526">
        <f t="shared" si="6"/>
        <v>1027.2</v>
      </c>
      <c r="X56" s="1370">
        <f t="shared" si="9"/>
        <v>40</v>
      </c>
      <c r="Y56" s="1370">
        <f t="shared" si="7"/>
        <v>2054.4</v>
      </c>
      <c r="Z56" s="1527" t="s">
        <v>7799</v>
      </c>
      <c r="AA56" s="1379" t="s">
        <v>6525</v>
      </c>
      <c r="AB56" s="1487" t="str">
        <f t="shared" si="8"/>
        <v>ok</v>
      </c>
      <c r="AC56" s="1487" t="str">
        <f t="shared" si="10"/>
        <v>ok</v>
      </c>
    </row>
    <row r="57" spans="1:29" s="1280" customFormat="1" ht="23.25" customHeight="1" x14ac:dyDescent="0.6">
      <c r="A57" s="1432">
        <v>50</v>
      </c>
      <c r="B57" s="1539" t="s">
        <v>8107</v>
      </c>
      <c r="C57" s="1540" t="s">
        <v>7816</v>
      </c>
      <c r="D57" s="1526"/>
      <c r="E57" s="1529">
        <v>13482</v>
      </c>
      <c r="F57" s="1370"/>
      <c r="G57" s="1529">
        <v>13482</v>
      </c>
      <c r="H57" s="1370">
        <v>460</v>
      </c>
      <c r="I57" s="1370">
        <f t="shared" si="15"/>
        <v>22149</v>
      </c>
      <c r="J57" s="1370">
        <v>450</v>
      </c>
      <c r="K57" s="1370">
        <v>40</v>
      </c>
      <c r="L57" s="1526">
        <f t="shared" si="16"/>
        <v>1926</v>
      </c>
      <c r="M57" s="1370">
        <f t="shared" si="12"/>
        <v>410</v>
      </c>
      <c r="N57" s="1371">
        <v>48.15</v>
      </c>
      <c r="O57" s="1371">
        <f t="shared" si="2"/>
        <v>19741.5</v>
      </c>
      <c r="P57" s="1526">
        <v>100</v>
      </c>
      <c r="Q57" s="1370">
        <f t="shared" si="3"/>
        <v>4815</v>
      </c>
      <c r="R57" s="1370">
        <v>100</v>
      </c>
      <c r="S57" s="1526">
        <f t="shared" si="13"/>
        <v>4815</v>
      </c>
      <c r="T57" s="1526">
        <v>100</v>
      </c>
      <c r="U57" s="1526">
        <f t="shared" si="14"/>
        <v>4815</v>
      </c>
      <c r="V57" s="1370">
        <v>110</v>
      </c>
      <c r="W57" s="1526">
        <f t="shared" si="6"/>
        <v>5296.5</v>
      </c>
      <c r="X57" s="1370">
        <f t="shared" si="9"/>
        <v>410</v>
      </c>
      <c r="Y57" s="1370">
        <f t="shared" si="7"/>
        <v>19741.5</v>
      </c>
      <c r="Z57" s="1527" t="s">
        <v>7799</v>
      </c>
      <c r="AA57" s="1379" t="s">
        <v>6525</v>
      </c>
      <c r="AB57" s="1487" t="str">
        <f t="shared" si="8"/>
        <v>ok</v>
      </c>
      <c r="AC57" s="1487" t="str">
        <f t="shared" si="10"/>
        <v>ok</v>
      </c>
    </row>
    <row r="58" spans="1:29" s="1280" customFormat="1" ht="23.25" customHeight="1" x14ac:dyDescent="0.6">
      <c r="A58" s="1432">
        <v>51</v>
      </c>
      <c r="B58" s="1539" t="s">
        <v>8108</v>
      </c>
      <c r="C58" s="1540" t="s">
        <v>7816</v>
      </c>
      <c r="D58" s="1537"/>
      <c r="E58" s="1529">
        <v>192.6</v>
      </c>
      <c r="F58" s="1532"/>
      <c r="G58" s="1529">
        <v>192.6</v>
      </c>
      <c r="H58" s="1370">
        <v>56</v>
      </c>
      <c r="I58" s="1370">
        <f t="shared" si="15"/>
        <v>2696.4</v>
      </c>
      <c r="J58" s="1370">
        <v>60</v>
      </c>
      <c r="K58" s="1370">
        <v>5</v>
      </c>
      <c r="L58" s="1526">
        <f t="shared" si="16"/>
        <v>240.75</v>
      </c>
      <c r="M58" s="1370">
        <f t="shared" si="12"/>
        <v>55</v>
      </c>
      <c r="N58" s="1538">
        <v>48.15</v>
      </c>
      <c r="O58" s="1371">
        <f t="shared" si="2"/>
        <v>2648.25</v>
      </c>
      <c r="P58" s="1370"/>
      <c r="Q58" s="1370">
        <f t="shared" si="3"/>
        <v>0</v>
      </c>
      <c r="R58" s="1370">
        <v>20</v>
      </c>
      <c r="S58" s="1526">
        <f t="shared" si="13"/>
        <v>963</v>
      </c>
      <c r="T58" s="1370"/>
      <c r="U58" s="1526">
        <f t="shared" si="14"/>
        <v>0</v>
      </c>
      <c r="V58" s="1370">
        <v>35</v>
      </c>
      <c r="W58" s="1526">
        <f t="shared" si="6"/>
        <v>1685.25</v>
      </c>
      <c r="X58" s="1370">
        <f t="shared" si="9"/>
        <v>55</v>
      </c>
      <c r="Y58" s="1370">
        <f t="shared" si="7"/>
        <v>2648.25</v>
      </c>
      <c r="Z58" s="1527" t="s">
        <v>7799</v>
      </c>
      <c r="AA58" s="1379" t="s">
        <v>6525</v>
      </c>
      <c r="AB58" s="1487" t="str">
        <f t="shared" si="8"/>
        <v>ok</v>
      </c>
      <c r="AC58" s="1487" t="str">
        <f t="shared" si="10"/>
        <v>ok</v>
      </c>
    </row>
    <row r="59" spans="1:29" s="1280" customFormat="1" ht="23.25" customHeight="1" x14ac:dyDescent="0.6">
      <c r="A59" s="1432">
        <v>52</v>
      </c>
      <c r="B59" s="1539" t="s">
        <v>8109</v>
      </c>
      <c r="C59" s="1540" t="s">
        <v>7816</v>
      </c>
      <c r="D59" s="1526"/>
      <c r="E59" s="1529">
        <v>481.5</v>
      </c>
      <c r="F59" s="1370"/>
      <c r="G59" s="1529">
        <v>481.5</v>
      </c>
      <c r="H59" s="1370">
        <v>151</v>
      </c>
      <c r="I59" s="1370">
        <f t="shared" si="15"/>
        <v>7270.65</v>
      </c>
      <c r="J59" s="1370">
        <v>150</v>
      </c>
      <c r="K59" s="1370">
        <v>0</v>
      </c>
      <c r="L59" s="1526">
        <f t="shared" si="16"/>
        <v>0</v>
      </c>
      <c r="M59" s="1370">
        <f t="shared" si="12"/>
        <v>150</v>
      </c>
      <c r="N59" s="1371">
        <v>48.15</v>
      </c>
      <c r="O59" s="1371">
        <f t="shared" si="2"/>
        <v>7222.5</v>
      </c>
      <c r="P59" s="1526">
        <v>50</v>
      </c>
      <c r="Q59" s="1370">
        <f t="shared" si="3"/>
        <v>2407.5</v>
      </c>
      <c r="R59" s="1370">
        <v>50</v>
      </c>
      <c r="S59" s="1526">
        <f t="shared" si="13"/>
        <v>2407.5</v>
      </c>
      <c r="T59" s="1526">
        <v>50</v>
      </c>
      <c r="U59" s="1526">
        <f t="shared" si="14"/>
        <v>2407.5</v>
      </c>
      <c r="V59" s="1370"/>
      <c r="W59" s="1526">
        <f t="shared" si="6"/>
        <v>0</v>
      </c>
      <c r="X59" s="1370">
        <f t="shared" si="9"/>
        <v>150</v>
      </c>
      <c r="Y59" s="1370">
        <f t="shared" si="7"/>
        <v>7222.5</v>
      </c>
      <c r="Z59" s="1527" t="s">
        <v>7799</v>
      </c>
      <c r="AA59" s="1379" t="s">
        <v>6525</v>
      </c>
      <c r="AB59" s="1487" t="str">
        <f t="shared" si="8"/>
        <v>ok</v>
      </c>
      <c r="AC59" s="1487" t="str">
        <f t="shared" si="10"/>
        <v>ok</v>
      </c>
    </row>
    <row r="60" spans="1:29" s="1280" customFormat="1" ht="23.25" customHeight="1" x14ac:dyDescent="0.6">
      <c r="A60" s="1432">
        <v>53</v>
      </c>
      <c r="B60" s="1539" t="s">
        <v>8110</v>
      </c>
      <c r="C60" s="1540" t="s">
        <v>7816</v>
      </c>
      <c r="D60" s="1526"/>
      <c r="E60" s="1529">
        <v>1251.8999999999999</v>
      </c>
      <c r="F60" s="1370"/>
      <c r="G60" s="1529">
        <v>1251.8999999999999</v>
      </c>
      <c r="H60" s="1370">
        <v>90</v>
      </c>
      <c r="I60" s="1370">
        <f t="shared" si="15"/>
        <v>4333.5</v>
      </c>
      <c r="J60" s="1370">
        <v>90</v>
      </c>
      <c r="K60" s="1370">
        <v>0</v>
      </c>
      <c r="L60" s="1526">
        <f t="shared" si="16"/>
        <v>0</v>
      </c>
      <c r="M60" s="1370">
        <f t="shared" si="12"/>
        <v>90</v>
      </c>
      <c r="N60" s="1371">
        <v>48.15</v>
      </c>
      <c r="O60" s="1371">
        <f t="shared" si="2"/>
        <v>4333.5</v>
      </c>
      <c r="P60" s="1370"/>
      <c r="Q60" s="1370">
        <f t="shared" si="3"/>
        <v>0</v>
      </c>
      <c r="R60" s="1526">
        <v>40</v>
      </c>
      <c r="S60" s="1526">
        <f t="shared" si="13"/>
        <v>1926</v>
      </c>
      <c r="T60" s="1370">
        <v>50</v>
      </c>
      <c r="U60" s="1526">
        <f t="shared" si="14"/>
        <v>2407.5</v>
      </c>
      <c r="V60" s="1526"/>
      <c r="W60" s="1526">
        <f t="shared" si="6"/>
        <v>0</v>
      </c>
      <c r="X60" s="1370">
        <f t="shared" si="9"/>
        <v>90</v>
      </c>
      <c r="Y60" s="1370">
        <f t="shared" si="7"/>
        <v>4333.5</v>
      </c>
      <c r="Z60" s="1527" t="s">
        <v>7799</v>
      </c>
      <c r="AA60" s="1379" t="s">
        <v>6525</v>
      </c>
      <c r="AB60" s="1487" t="str">
        <f t="shared" si="8"/>
        <v>ok</v>
      </c>
      <c r="AC60" s="1487" t="str">
        <f t="shared" si="10"/>
        <v>ok</v>
      </c>
    </row>
    <row r="61" spans="1:29" s="1280" customFormat="1" ht="23.25" customHeight="1" x14ac:dyDescent="0.6">
      <c r="A61" s="1432">
        <v>54</v>
      </c>
      <c r="B61" s="1539" t="s">
        <v>8111</v>
      </c>
      <c r="C61" s="1540" t="s">
        <v>7816</v>
      </c>
      <c r="D61" s="1526"/>
      <c r="E61" s="1529">
        <v>674.1</v>
      </c>
      <c r="F61" s="1370"/>
      <c r="G61" s="1529">
        <v>674.1</v>
      </c>
      <c r="H61" s="1370">
        <v>80</v>
      </c>
      <c r="I61" s="1370">
        <f t="shared" si="15"/>
        <v>3852</v>
      </c>
      <c r="J61" s="1370">
        <v>80</v>
      </c>
      <c r="K61" s="1370">
        <v>10</v>
      </c>
      <c r="L61" s="1526">
        <f t="shared" si="16"/>
        <v>481.5</v>
      </c>
      <c r="M61" s="1370">
        <f t="shared" si="12"/>
        <v>70</v>
      </c>
      <c r="N61" s="1371">
        <v>48.15</v>
      </c>
      <c r="O61" s="1371">
        <f t="shared" si="2"/>
        <v>3370.5</v>
      </c>
      <c r="P61" s="1526"/>
      <c r="Q61" s="1370">
        <f t="shared" si="3"/>
        <v>0</v>
      </c>
      <c r="R61" s="1526">
        <v>30</v>
      </c>
      <c r="S61" s="1526">
        <f t="shared" si="13"/>
        <v>1444.5</v>
      </c>
      <c r="T61" s="1370">
        <v>40</v>
      </c>
      <c r="U61" s="1526">
        <f t="shared" si="14"/>
        <v>1926</v>
      </c>
      <c r="V61" s="1370"/>
      <c r="W61" s="1526">
        <f t="shared" si="6"/>
        <v>0</v>
      </c>
      <c r="X61" s="1370">
        <f t="shared" si="9"/>
        <v>70</v>
      </c>
      <c r="Y61" s="1370">
        <f t="shared" si="7"/>
        <v>3370.5</v>
      </c>
      <c r="Z61" s="1527" t="s">
        <v>7799</v>
      </c>
      <c r="AA61" s="1379" t="s">
        <v>6525</v>
      </c>
      <c r="AB61" s="1487" t="str">
        <f t="shared" si="8"/>
        <v>ok</v>
      </c>
      <c r="AC61" s="1487" t="str">
        <f t="shared" si="10"/>
        <v>ok</v>
      </c>
    </row>
    <row r="62" spans="1:29" s="1280" customFormat="1" ht="23.25" customHeight="1" x14ac:dyDescent="0.6">
      <c r="A62" s="1432">
        <v>55</v>
      </c>
      <c r="B62" s="1539" t="s">
        <v>8112</v>
      </c>
      <c r="C62" s="1540" t="s">
        <v>7816</v>
      </c>
      <c r="D62" s="1526"/>
      <c r="E62" s="1529">
        <v>1444.5</v>
      </c>
      <c r="F62" s="1370"/>
      <c r="G62" s="1529">
        <v>1444.5</v>
      </c>
      <c r="H62" s="1370">
        <v>60</v>
      </c>
      <c r="I62" s="1370">
        <f t="shared" si="15"/>
        <v>2889</v>
      </c>
      <c r="J62" s="1370">
        <v>60</v>
      </c>
      <c r="K62" s="1370">
        <v>10</v>
      </c>
      <c r="L62" s="1526">
        <f t="shared" si="16"/>
        <v>481.5</v>
      </c>
      <c r="M62" s="1370">
        <f t="shared" si="12"/>
        <v>50</v>
      </c>
      <c r="N62" s="1371">
        <v>48.15</v>
      </c>
      <c r="O62" s="1371">
        <f t="shared" si="2"/>
        <v>2407.5</v>
      </c>
      <c r="P62" s="1526"/>
      <c r="Q62" s="1370">
        <f t="shared" si="3"/>
        <v>0</v>
      </c>
      <c r="R62" s="1526">
        <v>20</v>
      </c>
      <c r="S62" s="1526">
        <f t="shared" si="13"/>
        <v>963</v>
      </c>
      <c r="T62" s="1370">
        <v>30</v>
      </c>
      <c r="U62" s="1526">
        <f t="shared" si="14"/>
        <v>1444.5</v>
      </c>
      <c r="V62" s="1370"/>
      <c r="W62" s="1526">
        <f t="shared" si="6"/>
        <v>0</v>
      </c>
      <c r="X62" s="1370">
        <f t="shared" si="9"/>
        <v>50</v>
      </c>
      <c r="Y62" s="1370">
        <f t="shared" si="7"/>
        <v>2407.5</v>
      </c>
      <c r="Z62" s="1527" t="s">
        <v>7799</v>
      </c>
      <c r="AA62" s="1379" t="s">
        <v>6525</v>
      </c>
      <c r="AB62" s="1487" t="str">
        <f t="shared" si="8"/>
        <v>ok</v>
      </c>
      <c r="AC62" s="1487" t="str">
        <f t="shared" si="10"/>
        <v>ok</v>
      </c>
    </row>
    <row r="63" spans="1:29" s="1280" customFormat="1" ht="23.25" customHeight="1" x14ac:dyDescent="0.6">
      <c r="A63" s="1432">
        <v>56</v>
      </c>
      <c r="B63" s="1539" t="s">
        <v>8113</v>
      </c>
      <c r="C63" s="1540" t="s">
        <v>7816</v>
      </c>
      <c r="D63" s="1526"/>
      <c r="E63" s="1529">
        <v>2407.5</v>
      </c>
      <c r="F63" s="1370"/>
      <c r="G63" s="1529">
        <v>2407.5</v>
      </c>
      <c r="H63" s="1370">
        <v>83</v>
      </c>
      <c r="I63" s="1370">
        <f t="shared" si="15"/>
        <v>3996.45</v>
      </c>
      <c r="J63" s="1370">
        <v>83</v>
      </c>
      <c r="K63" s="1370">
        <v>20</v>
      </c>
      <c r="L63" s="1526">
        <f t="shared" si="16"/>
        <v>963</v>
      </c>
      <c r="M63" s="1370">
        <f t="shared" si="12"/>
        <v>63</v>
      </c>
      <c r="N63" s="1371">
        <v>48.15</v>
      </c>
      <c r="O63" s="1371">
        <f t="shared" si="2"/>
        <v>3033.45</v>
      </c>
      <c r="P63" s="1526"/>
      <c r="Q63" s="1370">
        <f t="shared" si="3"/>
        <v>0</v>
      </c>
      <c r="R63" s="1526">
        <v>20</v>
      </c>
      <c r="S63" s="1526">
        <f t="shared" si="13"/>
        <v>963</v>
      </c>
      <c r="T63" s="1370">
        <v>20</v>
      </c>
      <c r="U63" s="1526">
        <f t="shared" si="14"/>
        <v>963</v>
      </c>
      <c r="V63" s="1370">
        <v>23</v>
      </c>
      <c r="W63" s="1526">
        <f t="shared" si="6"/>
        <v>1107.45</v>
      </c>
      <c r="X63" s="1370">
        <f t="shared" si="9"/>
        <v>63</v>
      </c>
      <c r="Y63" s="1370">
        <f t="shared" si="7"/>
        <v>3033.45</v>
      </c>
      <c r="Z63" s="1527" t="s">
        <v>7799</v>
      </c>
      <c r="AA63" s="1379" t="s">
        <v>6525</v>
      </c>
      <c r="AB63" s="1487" t="str">
        <f t="shared" si="8"/>
        <v>ok</v>
      </c>
      <c r="AC63" s="1487" t="str">
        <f t="shared" si="10"/>
        <v>ok</v>
      </c>
    </row>
    <row r="64" spans="1:29" s="1280" customFormat="1" ht="23.25" customHeight="1" x14ac:dyDescent="0.6">
      <c r="A64" s="1432">
        <v>57</v>
      </c>
      <c r="B64" s="1539" t="s">
        <v>8114</v>
      </c>
      <c r="C64" s="1540" t="s">
        <v>8097</v>
      </c>
      <c r="D64" s="1526"/>
      <c r="E64" s="1529">
        <v>10500</v>
      </c>
      <c r="F64" s="1370"/>
      <c r="G64" s="1529">
        <v>10500</v>
      </c>
      <c r="H64" s="1370">
        <v>5</v>
      </c>
      <c r="I64" s="1370">
        <f t="shared" si="15"/>
        <v>2100</v>
      </c>
      <c r="J64" s="1370">
        <v>6</v>
      </c>
      <c r="K64" s="1370">
        <v>0</v>
      </c>
      <c r="L64" s="1526">
        <f t="shared" si="16"/>
        <v>0</v>
      </c>
      <c r="M64" s="1370">
        <f t="shared" si="12"/>
        <v>6</v>
      </c>
      <c r="N64" s="1371">
        <v>420</v>
      </c>
      <c r="O64" s="1371">
        <f t="shared" si="2"/>
        <v>2520</v>
      </c>
      <c r="P64" s="1526"/>
      <c r="Q64" s="1370">
        <f t="shared" si="3"/>
        <v>0</v>
      </c>
      <c r="R64" s="1526">
        <v>3</v>
      </c>
      <c r="S64" s="1526">
        <f t="shared" si="13"/>
        <v>1260</v>
      </c>
      <c r="T64" s="1370">
        <v>2</v>
      </c>
      <c r="U64" s="1526">
        <f t="shared" si="14"/>
        <v>840</v>
      </c>
      <c r="V64" s="1370">
        <v>1</v>
      </c>
      <c r="W64" s="1526">
        <f t="shared" si="6"/>
        <v>420</v>
      </c>
      <c r="X64" s="1370">
        <f t="shared" si="9"/>
        <v>6</v>
      </c>
      <c r="Y64" s="1370">
        <f t="shared" si="7"/>
        <v>2520</v>
      </c>
      <c r="Z64" s="1527" t="s">
        <v>7799</v>
      </c>
      <c r="AA64" s="1379" t="s">
        <v>6525</v>
      </c>
      <c r="AB64" s="1487" t="str">
        <f t="shared" si="8"/>
        <v>ok</v>
      </c>
      <c r="AC64" s="1487" t="str">
        <f t="shared" si="10"/>
        <v>ok</v>
      </c>
    </row>
    <row r="65" spans="1:29" s="1280" customFormat="1" ht="23.25" customHeight="1" x14ac:dyDescent="0.6">
      <c r="A65" s="1432">
        <v>58</v>
      </c>
      <c r="B65" s="1539" t="s">
        <v>8115</v>
      </c>
      <c r="C65" s="1540" t="s">
        <v>8116</v>
      </c>
      <c r="D65" s="1526"/>
      <c r="E65" s="1529">
        <v>17400</v>
      </c>
      <c r="F65" s="1370"/>
      <c r="G65" s="1529">
        <v>17400</v>
      </c>
      <c r="H65" s="1370">
        <v>26</v>
      </c>
      <c r="I65" s="1370">
        <f t="shared" si="15"/>
        <v>15080</v>
      </c>
      <c r="J65" s="1370">
        <v>25</v>
      </c>
      <c r="K65" s="1370">
        <v>1</v>
      </c>
      <c r="L65" s="1526">
        <f t="shared" si="16"/>
        <v>580</v>
      </c>
      <c r="M65" s="1370">
        <f t="shared" si="12"/>
        <v>24</v>
      </c>
      <c r="N65" s="1371">
        <v>580</v>
      </c>
      <c r="O65" s="1371">
        <f t="shared" si="2"/>
        <v>13920</v>
      </c>
      <c r="P65" s="1370"/>
      <c r="Q65" s="1370">
        <f t="shared" si="3"/>
        <v>0</v>
      </c>
      <c r="R65" s="1526">
        <v>10</v>
      </c>
      <c r="S65" s="1526">
        <f t="shared" si="13"/>
        <v>5800</v>
      </c>
      <c r="T65" s="1370">
        <v>10</v>
      </c>
      <c r="U65" s="1526">
        <f t="shared" si="14"/>
        <v>5800</v>
      </c>
      <c r="V65" s="1526">
        <v>4</v>
      </c>
      <c r="W65" s="1526">
        <f t="shared" si="6"/>
        <v>2320</v>
      </c>
      <c r="X65" s="1370">
        <f t="shared" si="9"/>
        <v>24</v>
      </c>
      <c r="Y65" s="1370">
        <f t="shared" si="7"/>
        <v>13920</v>
      </c>
      <c r="Z65" s="1527" t="s">
        <v>7799</v>
      </c>
      <c r="AA65" s="1379" t="s">
        <v>6525</v>
      </c>
      <c r="AB65" s="1487" t="str">
        <f t="shared" si="8"/>
        <v>ok</v>
      </c>
      <c r="AC65" s="1487" t="str">
        <f t="shared" si="10"/>
        <v>ok</v>
      </c>
    </row>
    <row r="66" spans="1:29" s="1280" customFormat="1" ht="23.25" customHeight="1" x14ac:dyDescent="0.6">
      <c r="A66" s="1432">
        <v>59</v>
      </c>
      <c r="B66" s="1539" t="s">
        <v>8117</v>
      </c>
      <c r="C66" s="1540" t="s">
        <v>8118</v>
      </c>
      <c r="D66" s="1526"/>
      <c r="E66" s="1529">
        <v>3600</v>
      </c>
      <c r="F66" s="1370"/>
      <c r="G66" s="1529">
        <v>3600</v>
      </c>
      <c r="H66" s="1370">
        <v>12</v>
      </c>
      <c r="I66" s="1370">
        <f t="shared" si="15"/>
        <v>2520</v>
      </c>
      <c r="J66" s="1370">
        <v>12</v>
      </c>
      <c r="K66" s="1370">
        <v>2</v>
      </c>
      <c r="L66" s="1526">
        <f t="shared" si="16"/>
        <v>420</v>
      </c>
      <c r="M66" s="1370">
        <f t="shared" si="12"/>
        <v>10</v>
      </c>
      <c r="N66" s="1371">
        <v>210</v>
      </c>
      <c r="O66" s="1371">
        <f t="shared" si="2"/>
        <v>2100</v>
      </c>
      <c r="P66" s="1526"/>
      <c r="Q66" s="1370">
        <f t="shared" si="3"/>
        <v>0</v>
      </c>
      <c r="R66" s="1526">
        <v>5</v>
      </c>
      <c r="S66" s="1526">
        <f t="shared" si="13"/>
        <v>1050</v>
      </c>
      <c r="T66" s="1370">
        <v>0</v>
      </c>
      <c r="U66" s="1526">
        <f t="shared" si="14"/>
        <v>0</v>
      </c>
      <c r="V66" s="1370">
        <v>5</v>
      </c>
      <c r="W66" s="1526">
        <f t="shared" si="6"/>
        <v>1050</v>
      </c>
      <c r="X66" s="1370">
        <f t="shared" si="9"/>
        <v>10</v>
      </c>
      <c r="Y66" s="1370">
        <f t="shared" si="7"/>
        <v>2100</v>
      </c>
      <c r="Z66" s="1527" t="s">
        <v>7799</v>
      </c>
      <c r="AA66" s="1379" t="s">
        <v>6525</v>
      </c>
      <c r="AB66" s="1487" t="str">
        <f t="shared" si="8"/>
        <v>ok</v>
      </c>
      <c r="AC66" s="1487" t="str">
        <f t="shared" si="10"/>
        <v>ok</v>
      </c>
    </row>
    <row r="67" spans="1:29" s="1280" customFormat="1" ht="23.25" customHeight="1" x14ac:dyDescent="0.6">
      <c r="A67" s="1432">
        <v>60</v>
      </c>
      <c r="B67" s="1539" t="s">
        <v>8119</v>
      </c>
      <c r="C67" s="1540" t="s">
        <v>8118</v>
      </c>
      <c r="D67" s="1526"/>
      <c r="E67" s="1529">
        <v>4800</v>
      </c>
      <c r="F67" s="1370"/>
      <c r="G67" s="1529">
        <v>4800</v>
      </c>
      <c r="H67" s="1370">
        <v>24</v>
      </c>
      <c r="I67" s="1370">
        <f t="shared" si="15"/>
        <v>9000</v>
      </c>
      <c r="J67" s="1370">
        <v>25</v>
      </c>
      <c r="K67" s="1370">
        <v>3</v>
      </c>
      <c r="L67" s="1526">
        <f t="shared" si="16"/>
        <v>1125</v>
      </c>
      <c r="M67" s="1370">
        <f t="shared" si="12"/>
        <v>22</v>
      </c>
      <c r="N67" s="1371">
        <v>375</v>
      </c>
      <c r="O67" s="1371">
        <f t="shared" si="2"/>
        <v>8250</v>
      </c>
      <c r="P67" s="1526"/>
      <c r="Q67" s="1370">
        <f t="shared" si="3"/>
        <v>0</v>
      </c>
      <c r="R67" s="1370">
        <v>10</v>
      </c>
      <c r="S67" s="1526">
        <f t="shared" si="13"/>
        <v>3750</v>
      </c>
      <c r="T67" s="1526">
        <v>12</v>
      </c>
      <c r="U67" s="1526">
        <f t="shared" si="14"/>
        <v>4500</v>
      </c>
      <c r="V67" s="1370"/>
      <c r="W67" s="1526">
        <f t="shared" si="6"/>
        <v>0</v>
      </c>
      <c r="X67" s="1370">
        <f t="shared" si="9"/>
        <v>22</v>
      </c>
      <c r="Y67" s="1370">
        <f t="shared" si="7"/>
        <v>8250</v>
      </c>
      <c r="Z67" s="1527" t="s">
        <v>7799</v>
      </c>
      <c r="AA67" s="1379" t="s">
        <v>6525</v>
      </c>
      <c r="AB67" s="1487" t="str">
        <f t="shared" si="8"/>
        <v>ok</v>
      </c>
      <c r="AC67" s="1487" t="str">
        <f t="shared" si="10"/>
        <v>ok</v>
      </c>
    </row>
    <row r="68" spans="1:29" s="1280" customFormat="1" ht="23.25" customHeight="1" x14ac:dyDescent="0.6">
      <c r="A68" s="1432">
        <v>61</v>
      </c>
      <c r="B68" s="1539" t="s">
        <v>8120</v>
      </c>
      <c r="C68" s="1540" t="s">
        <v>8118</v>
      </c>
      <c r="D68" s="1526"/>
      <c r="E68" s="1529">
        <v>3600</v>
      </c>
      <c r="F68" s="1370"/>
      <c r="G68" s="1529">
        <v>3600</v>
      </c>
      <c r="H68" s="1370">
        <v>15</v>
      </c>
      <c r="I68" s="1370">
        <f t="shared" si="15"/>
        <v>5400</v>
      </c>
      <c r="J68" s="1370">
        <v>15</v>
      </c>
      <c r="K68" s="1370">
        <v>2</v>
      </c>
      <c r="L68" s="1526">
        <f t="shared" si="16"/>
        <v>720</v>
      </c>
      <c r="M68" s="1370">
        <f t="shared" si="12"/>
        <v>13</v>
      </c>
      <c r="N68" s="1371">
        <v>360</v>
      </c>
      <c r="O68" s="1371">
        <f t="shared" si="2"/>
        <v>4680</v>
      </c>
      <c r="P68" s="1526"/>
      <c r="Q68" s="1370">
        <f t="shared" si="3"/>
        <v>0</v>
      </c>
      <c r="R68" s="1526">
        <v>13</v>
      </c>
      <c r="S68" s="1526">
        <f t="shared" si="13"/>
        <v>4680</v>
      </c>
      <c r="T68" s="1370">
        <v>0</v>
      </c>
      <c r="U68" s="1526">
        <f t="shared" si="14"/>
        <v>0</v>
      </c>
      <c r="V68" s="1370"/>
      <c r="W68" s="1526">
        <f t="shared" si="6"/>
        <v>0</v>
      </c>
      <c r="X68" s="1370">
        <f t="shared" si="9"/>
        <v>13</v>
      </c>
      <c r="Y68" s="1370">
        <f t="shared" si="7"/>
        <v>4680</v>
      </c>
      <c r="Z68" s="1527" t="s">
        <v>7799</v>
      </c>
      <c r="AA68" s="1379" t="s">
        <v>6525</v>
      </c>
      <c r="AB68" s="1487" t="str">
        <f t="shared" si="8"/>
        <v>ok</v>
      </c>
      <c r="AC68" s="1487" t="str">
        <f t="shared" si="10"/>
        <v>ok</v>
      </c>
    </row>
    <row r="69" spans="1:29" s="1280" customFormat="1" ht="23.25" customHeight="1" x14ac:dyDescent="0.6">
      <c r="A69" s="1432">
        <v>62</v>
      </c>
      <c r="B69" s="1539" t="s">
        <v>8121</v>
      </c>
      <c r="C69" s="1540" t="s">
        <v>7798</v>
      </c>
      <c r="D69" s="1526"/>
      <c r="E69" s="1529">
        <v>210</v>
      </c>
      <c r="F69" s="1370"/>
      <c r="G69" s="1529">
        <v>210</v>
      </c>
      <c r="H69" s="1370">
        <v>16</v>
      </c>
      <c r="I69" s="1370">
        <f t="shared" si="15"/>
        <v>560</v>
      </c>
      <c r="J69" s="1370">
        <v>16</v>
      </c>
      <c r="K69" s="1370">
        <v>5</v>
      </c>
      <c r="L69" s="1526">
        <f t="shared" si="16"/>
        <v>175</v>
      </c>
      <c r="M69" s="1370">
        <f t="shared" si="12"/>
        <v>11</v>
      </c>
      <c r="N69" s="1371">
        <v>35</v>
      </c>
      <c r="O69" s="1371">
        <f t="shared" si="2"/>
        <v>385</v>
      </c>
      <c r="P69" s="1526"/>
      <c r="Q69" s="1370">
        <f t="shared" si="3"/>
        <v>0</v>
      </c>
      <c r="R69" s="1370">
        <v>11</v>
      </c>
      <c r="S69" s="1526">
        <f t="shared" si="13"/>
        <v>385</v>
      </c>
      <c r="T69" s="1370">
        <v>0</v>
      </c>
      <c r="U69" s="1526">
        <f t="shared" si="14"/>
        <v>0</v>
      </c>
      <c r="V69" s="1370"/>
      <c r="W69" s="1526">
        <f t="shared" si="6"/>
        <v>0</v>
      </c>
      <c r="X69" s="1370">
        <f t="shared" si="9"/>
        <v>11</v>
      </c>
      <c r="Y69" s="1370">
        <f t="shared" si="7"/>
        <v>385</v>
      </c>
      <c r="Z69" s="1527" t="s">
        <v>7799</v>
      </c>
      <c r="AA69" s="1379" t="s">
        <v>6525</v>
      </c>
      <c r="AB69" s="1487" t="str">
        <f t="shared" si="8"/>
        <v>ok</v>
      </c>
      <c r="AC69" s="1487" t="str">
        <f t="shared" si="10"/>
        <v>ok</v>
      </c>
    </row>
    <row r="70" spans="1:29" s="1280" customFormat="1" ht="23.25" customHeight="1" x14ac:dyDescent="0.6">
      <c r="A70" s="1432">
        <v>63</v>
      </c>
      <c r="B70" s="1541" t="s">
        <v>8122</v>
      </c>
      <c r="C70" s="1540" t="s">
        <v>7798</v>
      </c>
      <c r="D70" s="1526"/>
      <c r="E70" s="1529">
        <v>500</v>
      </c>
      <c r="F70" s="1381"/>
      <c r="G70" s="1529">
        <v>500</v>
      </c>
      <c r="H70" s="1370">
        <v>13</v>
      </c>
      <c r="I70" s="1370">
        <f t="shared" si="15"/>
        <v>455</v>
      </c>
      <c r="J70" s="1370">
        <v>13</v>
      </c>
      <c r="K70" s="1370">
        <v>10</v>
      </c>
      <c r="L70" s="1526">
        <f t="shared" si="16"/>
        <v>350</v>
      </c>
      <c r="M70" s="1370">
        <f t="shared" si="12"/>
        <v>3</v>
      </c>
      <c r="N70" s="1370">
        <v>35</v>
      </c>
      <c r="O70" s="1371">
        <f t="shared" si="2"/>
        <v>105</v>
      </c>
      <c r="P70" s="1526"/>
      <c r="Q70" s="1370">
        <f t="shared" si="3"/>
        <v>0</v>
      </c>
      <c r="R70" s="1526">
        <v>3</v>
      </c>
      <c r="S70" s="1526">
        <f t="shared" si="13"/>
        <v>105</v>
      </c>
      <c r="T70" s="1526"/>
      <c r="U70" s="1526">
        <f t="shared" si="14"/>
        <v>0</v>
      </c>
      <c r="V70" s="1526"/>
      <c r="W70" s="1526">
        <f t="shared" si="6"/>
        <v>0</v>
      </c>
      <c r="X70" s="1370">
        <f t="shared" si="9"/>
        <v>3</v>
      </c>
      <c r="Y70" s="1370">
        <f t="shared" si="7"/>
        <v>105</v>
      </c>
      <c r="Z70" s="1527" t="s">
        <v>7799</v>
      </c>
      <c r="AA70" s="1379" t="s">
        <v>6525</v>
      </c>
      <c r="AB70" s="1487" t="str">
        <f t="shared" si="8"/>
        <v>ok</v>
      </c>
      <c r="AC70" s="1487" t="str">
        <f t="shared" si="10"/>
        <v>ok</v>
      </c>
    </row>
    <row r="71" spans="1:29" s="1280" customFormat="1" ht="23.25" customHeight="1" x14ac:dyDescent="0.6">
      <c r="A71" s="1432">
        <v>64</v>
      </c>
      <c r="B71" s="1541" t="s">
        <v>8123</v>
      </c>
      <c r="C71" s="1540" t="s">
        <v>7798</v>
      </c>
      <c r="D71" s="1526"/>
      <c r="E71" s="1529">
        <v>210</v>
      </c>
      <c r="F71" s="1370"/>
      <c r="G71" s="1529">
        <v>210</v>
      </c>
      <c r="H71" s="1370">
        <v>15</v>
      </c>
      <c r="I71" s="1370">
        <f t="shared" si="15"/>
        <v>525</v>
      </c>
      <c r="J71" s="1370">
        <v>15</v>
      </c>
      <c r="K71" s="1370">
        <v>2</v>
      </c>
      <c r="L71" s="1526">
        <f t="shared" si="16"/>
        <v>70</v>
      </c>
      <c r="M71" s="1370">
        <f t="shared" si="12"/>
        <v>13</v>
      </c>
      <c r="N71" s="1371">
        <v>35</v>
      </c>
      <c r="O71" s="1371">
        <f t="shared" si="2"/>
        <v>455</v>
      </c>
      <c r="P71" s="1526"/>
      <c r="Q71" s="1370">
        <f t="shared" si="3"/>
        <v>0</v>
      </c>
      <c r="R71" s="1370">
        <v>10</v>
      </c>
      <c r="S71" s="1526">
        <f t="shared" si="13"/>
        <v>350</v>
      </c>
      <c r="T71" s="1370"/>
      <c r="U71" s="1526">
        <f t="shared" si="14"/>
        <v>0</v>
      </c>
      <c r="V71" s="1370">
        <v>3</v>
      </c>
      <c r="W71" s="1526">
        <f t="shared" si="6"/>
        <v>105</v>
      </c>
      <c r="X71" s="1370">
        <f t="shared" si="9"/>
        <v>13</v>
      </c>
      <c r="Y71" s="1370">
        <f t="shared" si="7"/>
        <v>455</v>
      </c>
      <c r="Z71" s="1527" t="s">
        <v>7799</v>
      </c>
      <c r="AA71" s="1379" t="s">
        <v>6525</v>
      </c>
      <c r="AB71" s="1487" t="str">
        <f t="shared" si="8"/>
        <v>ok</v>
      </c>
      <c r="AC71" s="1487" t="str">
        <f t="shared" si="10"/>
        <v>ok</v>
      </c>
    </row>
    <row r="72" spans="1:29" s="1280" customFormat="1" ht="23.25" customHeight="1" x14ac:dyDescent="0.6">
      <c r="A72" s="1432">
        <v>65</v>
      </c>
      <c r="B72" s="1541" t="s">
        <v>8124</v>
      </c>
      <c r="C72" s="1540" t="s">
        <v>7798</v>
      </c>
      <c r="D72" s="1526"/>
      <c r="E72" s="1529">
        <v>350</v>
      </c>
      <c r="F72" s="1370"/>
      <c r="G72" s="1529">
        <v>350</v>
      </c>
      <c r="H72" s="1370">
        <v>14</v>
      </c>
      <c r="I72" s="1370">
        <f t="shared" si="15"/>
        <v>700</v>
      </c>
      <c r="J72" s="1370">
        <v>14</v>
      </c>
      <c r="K72" s="1370">
        <v>2</v>
      </c>
      <c r="L72" s="1526">
        <f t="shared" si="16"/>
        <v>100</v>
      </c>
      <c r="M72" s="1370">
        <f t="shared" si="12"/>
        <v>12</v>
      </c>
      <c r="N72" s="1371">
        <v>50</v>
      </c>
      <c r="O72" s="1371">
        <f t="shared" ref="O72:O135" si="17">M72*N72</f>
        <v>600</v>
      </c>
      <c r="P72" s="1526"/>
      <c r="Q72" s="1370">
        <f t="shared" ref="Q72:Q135" si="18">P72*N72</f>
        <v>0</v>
      </c>
      <c r="R72" s="1370">
        <v>5</v>
      </c>
      <c r="S72" s="1526">
        <f t="shared" si="13"/>
        <v>250</v>
      </c>
      <c r="T72" s="1526">
        <v>2</v>
      </c>
      <c r="U72" s="1526">
        <f t="shared" si="14"/>
        <v>100</v>
      </c>
      <c r="V72" s="1370">
        <v>5</v>
      </c>
      <c r="W72" s="1526">
        <f t="shared" ref="W72:W135" si="19">V72*N72</f>
        <v>250</v>
      </c>
      <c r="X72" s="1370">
        <f t="shared" si="9"/>
        <v>12</v>
      </c>
      <c r="Y72" s="1370">
        <f t="shared" ref="Y72:Y135" si="20">X72*N72</f>
        <v>600</v>
      </c>
      <c r="Z72" s="1527" t="s">
        <v>7799</v>
      </c>
      <c r="AA72" s="1379" t="s">
        <v>6525</v>
      </c>
      <c r="AB72" s="1487" t="str">
        <f t="shared" ref="AB72:AB135" si="21">IF(O72=Y72,"ok")</f>
        <v>ok</v>
      </c>
      <c r="AC72" s="1487" t="str">
        <f t="shared" si="10"/>
        <v>ok</v>
      </c>
    </row>
    <row r="73" spans="1:29" s="1280" customFormat="1" ht="23.25" customHeight="1" x14ac:dyDescent="0.6">
      <c r="A73" s="1432">
        <v>66</v>
      </c>
      <c r="B73" s="1539" t="s">
        <v>8125</v>
      </c>
      <c r="C73" s="1540" t="s">
        <v>7798</v>
      </c>
      <c r="D73" s="1526"/>
      <c r="E73" s="1529">
        <v>975</v>
      </c>
      <c r="F73" s="1370"/>
      <c r="G73" s="1529">
        <v>975</v>
      </c>
      <c r="H73" s="1370">
        <v>13</v>
      </c>
      <c r="I73" s="1370">
        <f t="shared" si="15"/>
        <v>910</v>
      </c>
      <c r="J73" s="1370">
        <v>13</v>
      </c>
      <c r="K73" s="1370">
        <v>5</v>
      </c>
      <c r="L73" s="1526">
        <f t="shared" si="16"/>
        <v>350</v>
      </c>
      <c r="M73" s="1370">
        <f t="shared" si="12"/>
        <v>8</v>
      </c>
      <c r="N73" s="1371">
        <v>70</v>
      </c>
      <c r="O73" s="1371">
        <f t="shared" si="17"/>
        <v>560</v>
      </c>
      <c r="P73" s="1526"/>
      <c r="Q73" s="1370">
        <f t="shared" si="18"/>
        <v>0</v>
      </c>
      <c r="R73" s="1370">
        <v>8</v>
      </c>
      <c r="S73" s="1526">
        <f t="shared" si="13"/>
        <v>560</v>
      </c>
      <c r="T73" s="1526"/>
      <c r="U73" s="1526">
        <f t="shared" si="14"/>
        <v>0</v>
      </c>
      <c r="V73" s="1370"/>
      <c r="W73" s="1526">
        <f t="shared" si="19"/>
        <v>0</v>
      </c>
      <c r="X73" s="1370">
        <f t="shared" ref="X73:X136" si="22">P73+R73+T73+V73</f>
        <v>8</v>
      </c>
      <c r="Y73" s="1370">
        <f t="shared" si="20"/>
        <v>560</v>
      </c>
      <c r="Z73" s="1527" t="s">
        <v>7799</v>
      </c>
      <c r="AA73" s="1379" t="s">
        <v>6525</v>
      </c>
      <c r="AB73" s="1487" t="str">
        <f t="shared" si="21"/>
        <v>ok</v>
      </c>
      <c r="AC73" s="1487" t="str">
        <f t="shared" ref="AC73:AC136" si="23">IF(M73=X73,"ok")</f>
        <v>ok</v>
      </c>
    </row>
    <row r="74" spans="1:29" s="1280" customFormat="1" ht="23.25" customHeight="1" x14ac:dyDescent="0.6">
      <c r="A74" s="1432">
        <v>67</v>
      </c>
      <c r="B74" s="1539" t="s">
        <v>8126</v>
      </c>
      <c r="C74" s="1540" t="s">
        <v>7798</v>
      </c>
      <c r="D74" s="1526"/>
      <c r="E74" s="1529">
        <v>2600</v>
      </c>
      <c r="F74" s="1370"/>
      <c r="G74" s="1529">
        <v>2600</v>
      </c>
      <c r="H74" s="1370">
        <v>11</v>
      </c>
      <c r="I74" s="1370">
        <f t="shared" si="15"/>
        <v>825</v>
      </c>
      <c r="J74" s="1370">
        <v>11</v>
      </c>
      <c r="K74" s="1370">
        <v>5</v>
      </c>
      <c r="L74" s="1526">
        <f t="shared" si="16"/>
        <v>375</v>
      </c>
      <c r="M74" s="1370">
        <f t="shared" si="12"/>
        <v>6</v>
      </c>
      <c r="N74" s="1371">
        <v>75</v>
      </c>
      <c r="O74" s="1371">
        <f t="shared" si="17"/>
        <v>450</v>
      </c>
      <c r="P74" s="1526"/>
      <c r="Q74" s="1370">
        <f t="shared" si="18"/>
        <v>0</v>
      </c>
      <c r="R74" s="1370">
        <v>6</v>
      </c>
      <c r="S74" s="1526">
        <f t="shared" si="13"/>
        <v>450</v>
      </c>
      <c r="T74" s="1370"/>
      <c r="U74" s="1526">
        <f t="shared" si="14"/>
        <v>0</v>
      </c>
      <c r="V74" s="1370"/>
      <c r="W74" s="1526">
        <f t="shared" si="19"/>
        <v>0</v>
      </c>
      <c r="X74" s="1370">
        <f t="shared" si="22"/>
        <v>6</v>
      </c>
      <c r="Y74" s="1370">
        <f t="shared" si="20"/>
        <v>450</v>
      </c>
      <c r="Z74" s="1527" t="s">
        <v>7799</v>
      </c>
      <c r="AA74" s="1379" t="s">
        <v>6525</v>
      </c>
      <c r="AB74" s="1487" t="str">
        <f t="shared" si="21"/>
        <v>ok</v>
      </c>
      <c r="AC74" s="1487" t="str">
        <f t="shared" si="23"/>
        <v>ok</v>
      </c>
    </row>
    <row r="75" spans="1:29" s="1280" customFormat="1" ht="23.25" customHeight="1" x14ac:dyDescent="0.6">
      <c r="A75" s="1432">
        <v>68</v>
      </c>
      <c r="B75" s="1539" t="s">
        <v>8127</v>
      </c>
      <c r="C75" s="1540" t="s">
        <v>7798</v>
      </c>
      <c r="D75" s="1526"/>
      <c r="E75" s="1529">
        <v>1500</v>
      </c>
      <c r="F75" s="1370"/>
      <c r="G75" s="1529">
        <v>1500</v>
      </c>
      <c r="H75" s="1370">
        <v>105</v>
      </c>
      <c r="I75" s="1370">
        <f t="shared" si="15"/>
        <v>3675</v>
      </c>
      <c r="J75" s="1370">
        <v>120</v>
      </c>
      <c r="K75" s="1370">
        <v>25</v>
      </c>
      <c r="L75" s="1526">
        <f t="shared" si="16"/>
        <v>875</v>
      </c>
      <c r="M75" s="1370">
        <f t="shared" si="12"/>
        <v>95</v>
      </c>
      <c r="N75" s="1371">
        <v>35</v>
      </c>
      <c r="O75" s="1371">
        <f t="shared" si="17"/>
        <v>3325</v>
      </c>
      <c r="P75" s="1526"/>
      <c r="Q75" s="1370">
        <f t="shared" si="18"/>
        <v>0</v>
      </c>
      <c r="R75" s="1370">
        <v>30</v>
      </c>
      <c r="S75" s="1526">
        <f t="shared" si="13"/>
        <v>1050</v>
      </c>
      <c r="T75" s="1370">
        <v>30</v>
      </c>
      <c r="U75" s="1526">
        <f t="shared" si="14"/>
        <v>1050</v>
      </c>
      <c r="V75" s="1370">
        <v>35</v>
      </c>
      <c r="W75" s="1526">
        <f t="shared" si="19"/>
        <v>1225</v>
      </c>
      <c r="X75" s="1370">
        <f t="shared" si="22"/>
        <v>95</v>
      </c>
      <c r="Y75" s="1370">
        <f t="shared" si="20"/>
        <v>3325</v>
      </c>
      <c r="Z75" s="1527" t="s">
        <v>7799</v>
      </c>
      <c r="AA75" s="1379" t="s">
        <v>6525</v>
      </c>
      <c r="AB75" s="1487" t="str">
        <f t="shared" si="21"/>
        <v>ok</v>
      </c>
      <c r="AC75" s="1487" t="str">
        <f t="shared" si="23"/>
        <v>ok</v>
      </c>
    </row>
    <row r="76" spans="1:29" s="1280" customFormat="1" ht="23.25" customHeight="1" x14ac:dyDescent="0.6">
      <c r="A76" s="1432">
        <v>69</v>
      </c>
      <c r="B76" s="1539" t="s">
        <v>8128</v>
      </c>
      <c r="C76" s="1540" t="s">
        <v>7798</v>
      </c>
      <c r="D76" s="1526"/>
      <c r="E76" s="1529">
        <v>7500</v>
      </c>
      <c r="F76" s="1370"/>
      <c r="G76" s="1529">
        <v>7500</v>
      </c>
      <c r="H76" s="1370">
        <v>237</v>
      </c>
      <c r="I76" s="1370">
        <f t="shared" si="15"/>
        <v>8295</v>
      </c>
      <c r="J76" s="1370">
        <v>230</v>
      </c>
      <c r="K76" s="1370">
        <v>60</v>
      </c>
      <c r="L76" s="1526">
        <f t="shared" si="16"/>
        <v>2100</v>
      </c>
      <c r="M76" s="1370">
        <f t="shared" si="12"/>
        <v>170</v>
      </c>
      <c r="N76" s="1371">
        <v>35</v>
      </c>
      <c r="O76" s="1371">
        <f t="shared" si="17"/>
        <v>5950</v>
      </c>
      <c r="P76" s="1526">
        <v>20</v>
      </c>
      <c r="Q76" s="1370">
        <f t="shared" si="18"/>
        <v>700</v>
      </c>
      <c r="R76" s="1370">
        <v>50</v>
      </c>
      <c r="S76" s="1526">
        <f t="shared" si="13"/>
        <v>1750</v>
      </c>
      <c r="T76" s="1370">
        <v>50</v>
      </c>
      <c r="U76" s="1526">
        <f t="shared" si="14"/>
        <v>1750</v>
      </c>
      <c r="V76" s="1370">
        <v>50</v>
      </c>
      <c r="W76" s="1526">
        <f t="shared" si="19"/>
        <v>1750</v>
      </c>
      <c r="X76" s="1370">
        <f t="shared" si="22"/>
        <v>170</v>
      </c>
      <c r="Y76" s="1370">
        <f t="shared" si="20"/>
        <v>5950</v>
      </c>
      <c r="Z76" s="1527" t="s">
        <v>7799</v>
      </c>
      <c r="AA76" s="1379" t="s">
        <v>6525</v>
      </c>
      <c r="AB76" s="1487" t="str">
        <f t="shared" si="21"/>
        <v>ok</v>
      </c>
      <c r="AC76" s="1487" t="str">
        <f t="shared" si="23"/>
        <v>ok</v>
      </c>
    </row>
    <row r="77" spans="1:29" s="1280" customFormat="1" ht="23.25" customHeight="1" x14ac:dyDescent="0.6">
      <c r="A77" s="1432">
        <v>70</v>
      </c>
      <c r="B77" s="1539" t="s">
        <v>8129</v>
      </c>
      <c r="C77" s="1540" t="s">
        <v>7798</v>
      </c>
      <c r="D77" s="1526"/>
      <c r="E77" s="1529">
        <v>750</v>
      </c>
      <c r="F77" s="1370"/>
      <c r="G77" s="1529">
        <v>750</v>
      </c>
      <c r="H77" s="1370">
        <v>50</v>
      </c>
      <c r="I77" s="1370">
        <f t="shared" si="15"/>
        <v>1750</v>
      </c>
      <c r="J77" s="1370">
        <v>80</v>
      </c>
      <c r="K77" s="1370">
        <v>20</v>
      </c>
      <c r="L77" s="1526">
        <f t="shared" si="16"/>
        <v>700</v>
      </c>
      <c r="M77" s="1370">
        <f t="shared" si="12"/>
        <v>60</v>
      </c>
      <c r="N77" s="1371">
        <v>35</v>
      </c>
      <c r="O77" s="1371">
        <f t="shared" si="17"/>
        <v>2100</v>
      </c>
      <c r="P77" s="1370">
        <v>20</v>
      </c>
      <c r="Q77" s="1370">
        <f t="shared" si="18"/>
        <v>700</v>
      </c>
      <c r="R77" s="1526">
        <v>20</v>
      </c>
      <c r="S77" s="1526">
        <f t="shared" si="13"/>
        <v>700</v>
      </c>
      <c r="T77" s="1370"/>
      <c r="U77" s="1526">
        <f t="shared" si="14"/>
        <v>0</v>
      </c>
      <c r="V77" s="1526">
        <v>20</v>
      </c>
      <c r="W77" s="1526">
        <f t="shared" si="19"/>
        <v>700</v>
      </c>
      <c r="X77" s="1370">
        <f t="shared" si="22"/>
        <v>60</v>
      </c>
      <c r="Y77" s="1370">
        <f t="shared" si="20"/>
        <v>2100</v>
      </c>
      <c r="Z77" s="1527" t="s">
        <v>7799</v>
      </c>
      <c r="AA77" s="1379" t="s">
        <v>6525</v>
      </c>
      <c r="AB77" s="1487" t="str">
        <f t="shared" si="21"/>
        <v>ok</v>
      </c>
      <c r="AC77" s="1487" t="str">
        <f t="shared" si="23"/>
        <v>ok</v>
      </c>
    </row>
    <row r="78" spans="1:29" s="1280" customFormat="1" ht="23.25" customHeight="1" x14ac:dyDescent="0.6">
      <c r="A78" s="1432">
        <v>71</v>
      </c>
      <c r="B78" s="1539" t="s">
        <v>8130</v>
      </c>
      <c r="C78" s="1540" t="s">
        <v>7798</v>
      </c>
      <c r="D78" s="1526"/>
      <c r="E78" s="1529">
        <v>210</v>
      </c>
      <c r="F78" s="1381"/>
      <c r="G78" s="1529">
        <v>210</v>
      </c>
      <c r="H78" s="1370">
        <v>15</v>
      </c>
      <c r="I78" s="1370">
        <f t="shared" si="15"/>
        <v>525</v>
      </c>
      <c r="J78" s="1370">
        <v>15</v>
      </c>
      <c r="K78" s="1370">
        <v>8</v>
      </c>
      <c r="L78" s="1526">
        <f t="shared" si="16"/>
        <v>280</v>
      </c>
      <c r="M78" s="1370">
        <f t="shared" si="12"/>
        <v>7</v>
      </c>
      <c r="N78" s="1370">
        <v>35</v>
      </c>
      <c r="O78" s="1371">
        <f t="shared" si="17"/>
        <v>245</v>
      </c>
      <c r="P78" s="1526"/>
      <c r="Q78" s="1370">
        <f t="shared" si="18"/>
        <v>0</v>
      </c>
      <c r="R78" s="1526">
        <v>7</v>
      </c>
      <c r="S78" s="1526">
        <f t="shared" si="13"/>
        <v>245</v>
      </c>
      <c r="T78" s="1526">
        <v>0</v>
      </c>
      <c r="U78" s="1526">
        <f t="shared" si="14"/>
        <v>0</v>
      </c>
      <c r="V78" s="1526"/>
      <c r="W78" s="1526">
        <f t="shared" si="19"/>
        <v>0</v>
      </c>
      <c r="X78" s="1370">
        <f t="shared" si="22"/>
        <v>7</v>
      </c>
      <c r="Y78" s="1370">
        <f t="shared" si="20"/>
        <v>245</v>
      </c>
      <c r="Z78" s="1527" t="s">
        <v>7799</v>
      </c>
      <c r="AA78" s="1379" t="s">
        <v>6525</v>
      </c>
      <c r="AB78" s="1487" t="str">
        <f t="shared" si="21"/>
        <v>ok</v>
      </c>
      <c r="AC78" s="1487" t="str">
        <f t="shared" si="23"/>
        <v>ok</v>
      </c>
    </row>
    <row r="79" spans="1:29" s="1280" customFormat="1" ht="23.25" customHeight="1" x14ac:dyDescent="0.6">
      <c r="A79" s="1432">
        <v>72</v>
      </c>
      <c r="B79" s="1539" t="s">
        <v>8131</v>
      </c>
      <c r="C79" s="1540" t="s">
        <v>7960</v>
      </c>
      <c r="D79" s="1526"/>
      <c r="E79" s="1529">
        <v>16380</v>
      </c>
      <c r="F79" s="1370"/>
      <c r="G79" s="1529">
        <v>16380</v>
      </c>
      <c r="H79" s="1370">
        <v>2000</v>
      </c>
      <c r="I79" s="1370">
        <f t="shared" si="15"/>
        <v>8000</v>
      </c>
      <c r="J79" s="1370">
        <v>2500</v>
      </c>
      <c r="K79" s="1370">
        <v>0</v>
      </c>
      <c r="L79" s="1526">
        <f t="shared" si="16"/>
        <v>0</v>
      </c>
      <c r="M79" s="1370">
        <f t="shared" si="12"/>
        <v>2500</v>
      </c>
      <c r="N79" s="1371">
        <v>4</v>
      </c>
      <c r="O79" s="1371">
        <f t="shared" si="17"/>
        <v>10000</v>
      </c>
      <c r="P79" s="1526">
        <v>500</v>
      </c>
      <c r="Q79" s="1370">
        <f t="shared" si="18"/>
        <v>2000</v>
      </c>
      <c r="R79" s="1526">
        <v>1000</v>
      </c>
      <c r="S79" s="1526">
        <f t="shared" si="13"/>
        <v>4000</v>
      </c>
      <c r="T79" s="1370">
        <v>500</v>
      </c>
      <c r="U79" s="1526">
        <f t="shared" si="14"/>
        <v>2000</v>
      </c>
      <c r="V79" s="1370">
        <v>500</v>
      </c>
      <c r="W79" s="1526">
        <f t="shared" si="19"/>
        <v>2000</v>
      </c>
      <c r="X79" s="1370">
        <f t="shared" si="22"/>
        <v>2500</v>
      </c>
      <c r="Y79" s="1370">
        <f t="shared" si="20"/>
        <v>10000</v>
      </c>
      <c r="Z79" s="1527" t="s">
        <v>7799</v>
      </c>
      <c r="AA79" s="1379" t="s">
        <v>6525</v>
      </c>
      <c r="AB79" s="1487" t="str">
        <f t="shared" si="21"/>
        <v>ok</v>
      </c>
      <c r="AC79" s="1487" t="str">
        <f t="shared" si="23"/>
        <v>ok</v>
      </c>
    </row>
    <row r="80" spans="1:29" s="1280" customFormat="1" ht="23.25" customHeight="1" x14ac:dyDescent="0.6">
      <c r="A80" s="1432">
        <v>73</v>
      </c>
      <c r="B80" s="1539" t="s">
        <v>8132</v>
      </c>
      <c r="C80" s="1540" t="s">
        <v>7816</v>
      </c>
      <c r="D80" s="1526"/>
      <c r="E80" s="1529">
        <v>360</v>
      </c>
      <c r="F80" s="1370"/>
      <c r="G80" s="1529">
        <v>360</v>
      </c>
      <c r="H80" s="1370">
        <v>125</v>
      </c>
      <c r="I80" s="1370">
        <f t="shared" si="15"/>
        <v>800</v>
      </c>
      <c r="J80" s="1370">
        <v>125</v>
      </c>
      <c r="K80" s="1370">
        <v>75</v>
      </c>
      <c r="L80" s="1526">
        <f t="shared" si="16"/>
        <v>480</v>
      </c>
      <c r="M80" s="1370">
        <f t="shared" si="12"/>
        <v>50</v>
      </c>
      <c r="N80" s="1371">
        <v>6.4</v>
      </c>
      <c r="O80" s="1371">
        <f t="shared" si="17"/>
        <v>320</v>
      </c>
      <c r="P80" s="1526">
        <v>50</v>
      </c>
      <c r="Q80" s="1370">
        <f t="shared" si="18"/>
        <v>320</v>
      </c>
      <c r="R80" s="1370"/>
      <c r="S80" s="1526">
        <f t="shared" si="13"/>
        <v>0</v>
      </c>
      <c r="T80" s="1526"/>
      <c r="U80" s="1526">
        <f t="shared" si="14"/>
        <v>0</v>
      </c>
      <c r="V80" s="1370"/>
      <c r="W80" s="1526">
        <f t="shared" si="19"/>
        <v>0</v>
      </c>
      <c r="X80" s="1370">
        <f t="shared" si="22"/>
        <v>50</v>
      </c>
      <c r="Y80" s="1370">
        <f t="shared" si="20"/>
        <v>320</v>
      </c>
      <c r="Z80" s="1527" t="s">
        <v>7799</v>
      </c>
      <c r="AA80" s="1379" t="s">
        <v>6525</v>
      </c>
      <c r="AB80" s="1487" t="str">
        <f t="shared" si="21"/>
        <v>ok</v>
      </c>
      <c r="AC80" s="1487" t="str">
        <f t="shared" si="23"/>
        <v>ok</v>
      </c>
    </row>
    <row r="81" spans="1:29" s="1280" customFormat="1" ht="23.25" customHeight="1" x14ac:dyDescent="0.6">
      <c r="A81" s="1432">
        <v>74</v>
      </c>
      <c r="B81" s="1539" t="s">
        <v>8133</v>
      </c>
      <c r="C81" s="1540" t="s">
        <v>7960</v>
      </c>
      <c r="D81" s="1526"/>
      <c r="E81" s="1529">
        <v>740</v>
      </c>
      <c r="F81" s="1370"/>
      <c r="G81" s="1529">
        <v>740</v>
      </c>
      <c r="H81" s="1370">
        <v>30</v>
      </c>
      <c r="I81" s="1370">
        <f t="shared" si="15"/>
        <v>3300</v>
      </c>
      <c r="J81" s="1370">
        <v>30</v>
      </c>
      <c r="K81" s="1370">
        <v>10</v>
      </c>
      <c r="L81" s="1526">
        <f t="shared" si="16"/>
        <v>1100</v>
      </c>
      <c r="M81" s="1370">
        <f t="shared" si="12"/>
        <v>20</v>
      </c>
      <c r="N81" s="1371">
        <v>110</v>
      </c>
      <c r="O81" s="1371">
        <f t="shared" si="17"/>
        <v>2200</v>
      </c>
      <c r="P81" s="1526"/>
      <c r="Q81" s="1370">
        <f t="shared" si="18"/>
        <v>0</v>
      </c>
      <c r="R81" s="1526">
        <v>20</v>
      </c>
      <c r="S81" s="1526">
        <f t="shared" si="13"/>
        <v>2200</v>
      </c>
      <c r="T81" s="1370"/>
      <c r="U81" s="1526">
        <f t="shared" si="14"/>
        <v>0</v>
      </c>
      <c r="V81" s="1370"/>
      <c r="W81" s="1526">
        <f t="shared" si="19"/>
        <v>0</v>
      </c>
      <c r="X81" s="1370">
        <f t="shared" si="22"/>
        <v>20</v>
      </c>
      <c r="Y81" s="1370">
        <f t="shared" si="20"/>
        <v>2200</v>
      </c>
      <c r="Z81" s="1527" t="s">
        <v>7799</v>
      </c>
      <c r="AA81" s="1379" t="s">
        <v>6525</v>
      </c>
      <c r="AB81" s="1487" t="str">
        <f t="shared" si="21"/>
        <v>ok</v>
      </c>
      <c r="AC81" s="1487" t="str">
        <f t="shared" si="23"/>
        <v>ok</v>
      </c>
    </row>
    <row r="82" spans="1:29" s="1280" customFormat="1" ht="23.25" customHeight="1" x14ac:dyDescent="0.6">
      <c r="A82" s="1432">
        <v>75</v>
      </c>
      <c r="B82" s="1539" t="s">
        <v>8134</v>
      </c>
      <c r="C82" s="1540" t="s">
        <v>7960</v>
      </c>
      <c r="D82" s="1526"/>
      <c r="E82" s="1529">
        <v>875</v>
      </c>
      <c r="F82" s="1370"/>
      <c r="G82" s="1529">
        <v>875</v>
      </c>
      <c r="H82" s="1370">
        <v>60</v>
      </c>
      <c r="I82" s="1370">
        <f t="shared" si="15"/>
        <v>1500</v>
      </c>
      <c r="J82" s="1370">
        <v>60</v>
      </c>
      <c r="K82" s="1370">
        <v>20</v>
      </c>
      <c r="L82" s="1526">
        <f t="shared" si="16"/>
        <v>500</v>
      </c>
      <c r="M82" s="1370">
        <f t="shared" ref="M82:M145" si="24">J82-K82</f>
        <v>40</v>
      </c>
      <c r="N82" s="1371">
        <v>25</v>
      </c>
      <c r="O82" s="1371">
        <f t="shared" si="17"/>
        <v>1000</v>
      </c>
      <c r="P82" s="1526"/>
      <c r="Q82" s="1370">
        <f t="shared" si="18"/>
        <v>0</v>
      </c>
      <c r="R82" s="1526">
        <v>20</v>
      </c>
      <c r="S82" s="1526">
        <f t="shared" si="13"/>
        <v>500</v>
      </c>
      <c r="T82" s="1370">
        <v>20</v>
      </c>
      <c r="U82" s="1526">
        <f t="shared" si="14"/>
        <v>500</v>
      </c>
      <c r="V82" s="1370"/>
      <c r="W82" s="1526">
        <f t="shared" si="19"/>
        <v>0</v>
      </c>
      <c r="X82" s="1370">
        <f t="shared" si="22"/>
        <v>40</v>
      </c>
      <c r="Y82" s="1370">
        <f t="shared" si="20"/>
        <v>1000</v>
      </c>
      <c r="Z82" s="1527" t="s">
        <v>7799</v>
      </c>
      <c r="AA82" s="1379" t="s">
        <v>6525</v>
      </c>
      <c r="AB82" s="1487" t="str">
        <f t="shared" si="21"/>
        <v>ok</v>
      </c>
      <c r="AC82" s="1487" t="str">
        <f t="shared" si="23"/>
        <v>ok</v>
      </c>
    </row>
    <row r="83" spans="1:29" s="1280" customFormat="1" ht="23.25" customHeight="1" x14ac:dyDescent="0.6">
      <c r="A83" s="1432">
        <v>76</v>
      </c>
      <c r="B83" s="1539" t="s">
        <v>8135</v>
      </c>
      <c r="C83" s="1540" t="s">
        <v>7960</v>
      </c>
      <c r="D83" s="1526"/>
      <c r="E83" s="1529">
        <v>3750</v>
      </c>
      <c r="F83" s="1370"/>
      <c r="G83" s="1529">
        <v>3750</v>
      </c>
      <c r="H83" s="1370">
        <v>392</v>
      </c>
      <c r="I83" s="1370">
        <f t="shared" si="15"/>
        <v>7056</v>
      </c>
      <c r="J83" s="1370">
        <v>390</v>
      </c>
      <c r="K83" s="1370">
        <v>75</v>
      </c>
      <c r="L83" s="1526">
        <f t="shared" si="16"/>
        <v>1350</v>
      </c>
      <c r="M83" s="1370">
        <f t="shared" si="24"/>
        <v>315</v>
      </c>
      <c r="N83" s="1371">
        <v>18</v>
      </c>
      <c r="O83" s="1371">
        <f t="shared" si="17"/>
        <v>5670</v>
      </c>
      <c r="P83" s="1370"/>
      <c r="Q83" s="1370">
        <f t="shared" si="18"/>
        <v>0</v>
      </c>
      <c r="R83" s="1526">
        <v>100</v>
      </c>
      <c r="S83" s="1526">
        <f t="shared" si="13"/>
        <v>1800</v>
      </c>
      <c r="T83" s="1370">
        <v>100</v>
      </c>
      <c r="U83" s="1526">
        <f t="shared" si="14"/>
        <v>1800</v>
      </c>
      <c r="V83" s="1526">
        <v>115</v>
      </c>
      <c r="W83" s="1526">
        <f t="shared" si="19"/>
        <v>2070</v>
      </c>
      <c r="X83" s="1370">
        <f t="shared" si="22"/>
        <v>315</v>
      </c>
      <c r="Y83" s="1370">
        <f t="shared" si="20"/>
        <v>5670</v>
      </c>
      <c r="Z83" s="1527" t="s">
        <v>7799</v>
      </c>
      <c r="AA83" s="1379" t="s">
        <v>6525</v>
      </c>
      <c r="AB83" s="1487" t="str">
        <f t="shared" si="21"/>
        <v>ok</v>
      </c>
      <c r="AC83" s="1487" t="str">
        <f t="shared" si="23"/>
        <v>ok</v>
      </c>
    </row>
    <row r="84" spans="1:29" s="1280" customFormat="1" ht="23.25" customHeight="1" x14ac:dyDescent="0.6">
      <c r="A84" s="1432">
        <v>77</v>
      </c>
      <c r="B84" s="1539" t="s">
        <v>8136</v>
      </c>
      <c r="C84" s="1540" t="s">
        <v>7960</v>
      </c>
      <c r="D84" s="1526"/>
      <c r="E84" s="1529">
        <v>2125</v>
      </c>
      <c r="F84" s="1381"/>
      <c r="G84" s="1529">
        <v>2125</v>
      </c>
      <c r="H84" s="1370">
        <v>50</v>
      </c>
      <c r="I84" s="1370">
        <f t="shared" si="15"/>
        <v>900</v>
      </c>
      <c r="J84" s="1370">
        <v>30</v>
      </c>
      <c r="K84" s="1370">
        <v>0</v>
      </c>
      <c r="L84" s="1526">
        <f t="shared" si="16"/>
        <v>0</v>
      </c>
      <c r="M84" s="1370">
        <f t="shared" si="24"/>
        <v>30</v>
      </c>
      <c r="N84" s="1370">
        <v>18</v>
      </c>
      <c r="O84" s="1371">
        <f t="shared" si="17"/>
        <v>540</v>
      </c>
      <c r="P84" s="1526"/>
      <c r="Q84" s="1370">
        <f t="shared" si="18"/>
        <v>0</v>
      </c>
      <c r="R84" s="1526">
        <v>20</v>
      </c>
      <c r="S84" s="1526">
        <f t="shared" si="13"/>
        <v>360</v>
      </c>
      <c r="T84" s="1526">
        <v>10</v>
      </c>
      <c r="U84" s="1526">
        <f t="shared" si="14"/>
        <v>180</v>
      </c>
      <c r="V84" s="1526"/>
      <c r="W84" s="1526">
        <f t="shared" si="19"/>
        <v>0</v>
      </c>
      <c r="X84" s="1370">
        <f t="shared" si="22"/>
        <v>30</v>
      </c>
      <c r="Y84" s="1370">
        <f t="shared" si="20"/>
        <v>540</v>
      </c>
      <c r="Z84" s="1527" t="s">
        <v>7799</v>
      </c>
      <c r="AA84" s="1379" t="s">
        <v>6525</v>
      </c>
      <c r="AB84" s="1487" t="str">
        <f t="shared" si="21"/>
        <v>ok</v>
      </c>
      <c r="AC84" s="1487" t="str">
        <f t="shared" si="23"/>
        <v>ok</v>
      </c>
    </row>
    <row r="85" spans="1:29" s="1280" customFormat="1" ht="23.25" customHeight="1" x14ac:dyDescent="0.6">
      <c r="A85" s="1432">
        <v>78</v>
      </c>
      <c r="B85" s="1539" t="s">
        <v>8137</v>
      </c>
      <c r="C85" s="1540" t="s">
        <v>7960</v>
      </c>
      <c r="D85" s="1526"/>
      <c r="E85" s="1529">
        <v>7500</v>
      </c>
      <c r="F85" s="1370"/>
      <c r="G85" s="1529">
        <v>7500</v>
      </c>
      <c r="H85" s="1370">
        <v>510</v>
      </c>
      <c r="I85" s="1370">
        <f t="shared" si="15"/>
        <v>9180</v>
      </c>
      <c r="J85" s="1370">
        <v>510</v>
      </c>
      <c r="K85" s="1370">
        <v>60</v>
      </c>
      <c r="L85" s="1526">
        <f t="shared" si="16"/>
        <v>1080</v>
      </c>
      <c r="M85" s="1370">
        <f t="shared" si="24"/>
        <v>450</v>
      </c>
      <c r="N85" s="1371">
        <v>18</v>
      </c>
      <c r="O85" s="1371">
        <f t="shared" si="17"/>
        <v>8100</v>
      </c>
      <c r="P85" s="1526">
        <v>100</v>
      </c>
      <c r="Q85" s="1370">
        <f t="shared" si="18"/>
        <v>1800</v>
      </c>
      <c r="R85" s="1370">
        <v>100</v>
      </c>
      <c r="S85" s="1526">
        <f t="shared" si="13"/>
        <v>1800</v>
      </c>
      <c r="T85" s="1526">
        <v>100</v>
      </c>
      <c r="U85" s="1526">
        <f t="shared" si="14"/>
        <v>1800</v>
      </c>
      <c r="V85" s="1370">
        <v>150</v>
      </c>
      <c r="W85" s="1526">
        <f t="shared" si="19"/>
        <v>2700</v>
      </c>
      <c r="X85" s="1370">
        <f t="shared" si="22"/>
        <v>450</v>
      </c>
      <c r="Y85" s="1370">
        <f t="shared" si="20"/>
        <v>8100</v>
      </c>
      <c r="Z85" s="1527" t="s">
        <v>7799</v>
      </c>
      <c r="AA85" s="1379" t="s">
        <v>6525</v>
      </c>
      <c r="AB85" s="1487" t="str">
        <f t="shared" si="21"/>
        <v>ok</v>
      </c>
      <c r="AC85" s="1487" t="str">
        <f t="shared" si="23"/>
        <v>ok</v>
      </c>
    </row>
    <row r="86" spans="1:29" s="1280" customFormat="1" ht="23.25" customHeight="1" x14ac:dyDescent="0.6">
      <c r="A86" s="1432">
        <v>79</v>
      </c>
      <c r="B86" s="1539" t="s">
        <v>8138</v>
      </c>
      <c r="C86" s="1540" t="s">
        <v>7960</v>
      </c>
      <c r="D86" s="1526"/>
      <c r="E86" s="1529">
        <v>11250</v>
      </c>
      <c r="F86" s="1370"/>
      <c r="G86" s="1529">
        <v>11250</v>
      </c>
      <c r="H86" s="1370">
        <v>570</v>
      </c>
      <c r="I86" s="1370">
        <f t="shared" si="15"/>
        <v>10260</v>
      </c>
      <c r="J86" s="1370">
        <v>570</v>
      </c>
      <c r="K86" s="1370">
        <v>80</v>
      </c>
      <c r="L86" s="1526">
        <f t="shared" si="16"/>
        <v>1440</v>
      </c>
      <c r="M86" s="1370">
        <f t="shared" si="24"/>
        <v>490</v>
      </c>
      <c r="N86" s="1371">
        <v>18</v>
      </c>
      <c r="O86" s="1371">
        <f t="shared" si="17"/>
        <v>8820</v>
      </c>
      <c r="P86" s="1526">
        <v>100</v>
      </c>
      <c r="Q86" s="1370">
        <f t="shared" si="18"/>
        <v>1800</v>
      </c>
      <c r="R86" s="1370">
        <v>100</v>
      </c>
      <c r="S86" s="1526">
        <f t="shared" si="13"/>
        <v>1800</v>
      </c>
      <c r="T86" s="1526">
        <v>145</v>
      </c>
      <c r="U86" s="1526">
        <f t="shared" si="14"/>
        <v>2610</v>
      </c>
      <c r="V86" s="1370">
        <v>145</v>
      </c>
      <c r="W86" s="1526">
        <f t="shared" si="19"/>
        <v>2610</v>
      </c>
      <c r="X86" s="1370">
        <f t="shared" si="22"/>
        <v>490</v>
      </c>
      <c r="Y86" s="1370">
        <f t="shared" si="20"/>
        <v>8820</v>
      </c>
      <c r="Z86" s="1527" t="s">
        <v>7799</v>
      </c>
      <c r="AA86" s="1379" t="s">
        <v>6525</v>
      </c>
      <c r="AB86" s="1487" t="str">
        <f t="shared" si="21"/>
        <v>ok</v>
      </c>
      <c r="AC86" s="1487" t="str">
        <f t="shared" si="23"/>
        <v>ok</v>
      </c>
    </row>
    <row r="87" spans="1:29" s="1280" customFormat="1" ht="23.25" customHeight="1" x14ac:dyDescent="0.6">
      <c r="A87" s="1432">
        <v>80</v>
      </c>
      <c r="B87" s="1539" t="s">
        <v>8139</v>
      </c>
      <c r="C87" s="1540" t="s">
        <v>8140</v>
      </c>
      <c r="D87" s="1526"/>
      <c r="E87" s="1529">
        <v>12000</v>
      </c>
      <c r="F87" s="1370"/>
      <c r="G87" s="1529">
        <v>12000</v>
      </c>
      <c r="H87" s="1370">
        <v>656</v>
      </c>
      <c r="I87" s="1370">
        <f t="shared" si="15"/>
        <v>16400</v>
      </c>
      <c r="J87" s="1370">
        <v>656</v>
      </c>
      <c r="K87" s="1370">
        <v>200</v>
      </c>
      <c r="L87" s="1526">
        <f t="shared" si="16"/>
        <v>5000</v>
      </c>
      <c r="M87" s="1370">
        <f t="shared" si="24"/>
        <v>456</v>
      </c>
      <c r="N87" s="1371">
        <v>25</v>
      </c>
      <c r="O87" s="1371">
        <f t="shared" si="17"/>
        <v>11400</v>
      </c>
      <c r="P87" s="1526">
        <v>100</v>
      </c>
      <c r="Q87" s="1370">
        <f t="shared" si="18"/>
        <v>2500</v>
      </c>
      <c r="R87" s="1526">
        <v>100</v>
      </c>
      <c r="S87" s="1526">
        <f t="shared" si="13"/>
        <v>2500</v>
      </c>
      <c r="T87" s="1370">
        <v>100</v>
      </c>
      <c r="U87" s="1526">
        <f t="shared" si="14"/>
        <v>2500</v>
      </c>
      <c r="V87" s="1370">
        <v>156</v>
      </c>
      <c r="W87" s="1526">
        <f t="shared" si="19"/>
        <v>3900</v>
      </c>
      <c r="X87" s="1370">
        <f t="shared" si="22"/>
        <v>456</v>
      </c>
      <c r="Y87" s="1370">
        <f t="shared" si="20"/>
        <v>11400</v>
      </c>
      <c r="Z87" s="1527" t="s">
        <v>7799</v>
      </c>
      <c r="AA87" s="1379" t="s">
        <v>6525</v>
      </c>
      <c r="AB87" s="1487" t="str">
        <f t="shared" si="21"/>
        <v>ok</v>
      </c>
      <c r="AC87" s="1487" t="str">
        <f t="shared" si="23"/>
        <v>ok</v>
      </c>
    </row>
    <row r="88" spans="1:29" s="1280" customFormat="1" ht="23.25" customHeight="1" x14ac:dyDescent="0.6">
      <c r="A88" s="1432">
        <v>81</v>
      </c>
      <c r="B88" s="1539" t="s">
        <v>8141</v>
      </c>
      <c r="C88" s="1540" t="s">
        <v>8140</v>
      </c>
      <c r="D88" s="1526"/>
      <c r="E88" s="1529">
        <v>27730</v>
      </c>
      <c r="F88" s="1370"/>
      <c r="G88" s="1529">
        <v>27730</v>
      </c>
      <c r="H88" s="1370">
        <v>7400</v>
      </c>
      <c r="I88" s="1370">
        <f t="shared" si="15"/>
        <v>22200</v>
      </c>
      <c r="J88" s="1370">
        <v>7400</v>
      </c>
      <c r="K88" s="1370">
        <v>0</v>
      </c>
      <c r="L88" s="1526">
        <f t="shared" si="16"/>
        <v>0</v>
      </c>
      <c r="M88" s="1370">
        <f t="shared" si="24"/>
        <v>7400</v>
      </c>
      <c r="N88" s="1371">
        <v>3</v>
      </c>
      <c r="O88" s="1371">
        <f t="shared" si="17"/>
        <v>22200</v>
      </c>
      <c r="P88" s="1526">
        <v>1850</v>
      </c>
      <c r="Q88" s="1370">
        <f t="shared" si="18"/>
        <v>5550</v>
      </c>
      <c r="R88" s="1526">
        <v>1850</v>
      </c>
      <c r="S88" s="1526">
        <f t="shared" si="13"/>
        <v>5550</v>
      </c>
      <c r="T88" s="1370">
        <v>1850</v>
      </c>
      <c r="U88" s="1526">
        <f t="shared" si="14"/>
        <v>5550</v>
      </c>
      <c r="V88" s="1370">
        <v>1850</v>
      </c>
      <c r="W88" s="1526">
        <f t="shared" si="19"/>
        <v>5550</v>
      </c>
      <c r="X88" s="1370">
        <f t="shared" si="22"/>
        <v>7400</v>
      </c>
      <c r="Y88" s="1370">
        <f t="shared" si="20"/>
        <v>22200</v>
      </c>
      <c r="Z88" s="1527" t="s">
        <v>7799</v>
      </c>
      <c r="AA88" s="1379" t="s">
        <v>6525</v>
      </c>
      <c r="AB88" s="1487" t="str">
        <f t="shared" si="21"/>
        <v>ok</v>
      </c>
      <c r="AC88" s="1487" t="str">
        <f t="shared" si="23"/>
        <v>ok</v>
      </c>
    </row>
    <row r="89" spans="1:29" s="1280" customFormat="1" ht="23.25" customHeight="1" x14ac:dyDescent="0.6">
      <c r="A89" s="1432">
        <v>82</v>
      </c>
      <c r="B89" s="1539" t="s">
        <v>8142</v>
      </c>
      <c r="C89" s="1540" t="s">
        <v>8140</v>
      </c>
      <c r="D89" s="1526"/>
      <c r="E89" s="1529">
        <v>63279.999999999993</v>
      </c>
      <c r="F89" s="1370"/>
      <c r="G89" s="1529">
        <v>63279.999999999993</v>
      </c>
      <c r="H89" s="1370">
        <v>2190</v>
      </c>
      <c r="I89" s="1370">
        <f t="shared" si="15"/>
        <v>81030</v>
      </c>
      <c r="J89" s="1370">
        <v>2190</v>
      </c>
      <c r="K89" s="1370">
        <v>150</v>
      </c>
      <c r="L89" s="1526">
        <f t="shared" si="16"/>
        <v>5550</v>
      </c>
      <c r="M89" s="1370">
        <f t="shared" si="24"/>
        <v>2040</v>
      </c>
      <c r="N89" s="1371">
        <v>37</v>
      </c>
      <c r="O89" s="1371">
        <f t="shared" si="17"/>
        <v>75480</v>
      </c>
      <c r="P89" s="1526">
        <v>510</v>
      </c>
      <c r="Q89" s="1370">
        <f t="shared" si="18"/>
        <v>18870</v>
      </c>
      <c r="R89" s="1526">
        <v>510</v>
      </c>
      <c r="S89" s="1526">
        <f t="shared" si="13"/>
        <v>18870</v>
      </c>
      <c r="T89" s="1370">
        <v>510</v>
      </c>
      <c r="U89" s="1526">
        <f t="shared" si="14"/>
        <v>18870</v>
      </c>
      <c r="V89" s="1370">
        <v>510</v>
      </c>
      <c r="W89" s="1526">
        <f t="shared" si="19"/>
        <v>18870</v>
      </c>
      <c r="X89" s="1370">
        <f t="shared" si="22"/>
        <v>2040</v>
      </c>
      <c r="Y89" s="1370">
        <f t="shared" si="20"/>
        <v>75480</v>
      </c>
      <c r="Z89" s="1527" t="s">
        <v>7799</v>
      </c>
      <c r="AA89" s="1379" t="s">
        <v>6525</v>
      </c>
      <c r="AB89" s="1487" t="str">
        <f t="shared" si="21"/>
        <v>ok</v>
      </c>
      <c r="AC89" s="1487" t="str">
        <f t="shared" si="23"/>
        <v>ok</v>
      </c>
    </row>
    <row r="90" spans="1:29" s="1280" customFormat="1" ht="23.25" customHeight="1" x14ac:dyDescent="0.6">
      <c r="A90" s="1432">
        <v>83</v>
      </c>
      <c r="B90" s="1539" t="s">
        <v>8143</v>
      </c>
      <c r="C90" s="1540" t="s">
        <v>8140</v>
      </c>
      <c r="D90" s="1526"/>
      <c r="E90" s="1529">
        <v>39200</v>
      </c>
      <c r="F90" s="1370"/>
      <c r="G90" s="1529">
        <v>39200</v>
      </c>
      <c r="H90" s="1370">
        <v>5900</v>
      </c>
      <c r="I90" s="1370">
        <f t="shared" si="15"/>
        <v>41300</v>
      </c>
      <c r="J90" s="1370">
        <v>5900</v>
      </c>
      <c r="K90" s="1370">
        <v>100</v>
      </c>
      <c r="L90" s="1526">
        <f t="shared" si="16"/>
        <v>700</v>
      </c>
      <c r="M90" s="1370">
        <f t="shared" si="24"/>
        <v>5800</v>
      </c>
      <c r="N90" s="1371">
        <v>7</v>
      </c>
      <c r="O90" s="1371">
        <f t="shared" si="17"/>
        <v>40600</v>
      </c>
      <c r="P90" s="1370">
        <v>800</v>
      </c>
      <c r="Q90" s="1370">
        <f t="shared" si="18"/>
        <v>5600</v>
      </c>
      <c r="R90" s="1526">
        <v>2000</v>
      </c>
      <c r="S90" s="1526">
        <f t="shared" si="13"/>
        <v>14000</v>
      </c>
      <c r="T90" s="1370">
        <v>2000</v>
      </c>
      <c r="U90" s="1526">
        <f t="shared" si="14"/>
        <v>14000</v>
      </c>
      <c r="V90" s="1526">
        <v>1000</v>
      </c>
      <c r="W90" s="1526">
        <f t="shared" si="19"/>
        <v>7000</v>
      </c>
      <c r="X90" s="1370">
        <f t="shared" si="22"/>
        <v>5800</v>
      </c>
      <c r="Y90" s="1370">
        <f t="shared" si="20"/>
        <v>40600</v>
      </c>
      <c r="Z90" s="1527" t="s">
        <v>7799</v>
      </c>
      <c r="AA90" s="1379" t="s">
        <v>6525</v>
      </c>
      <c r="AB90" s="1487" t="str">
        <f t="shared" si="21"/>
        <v>ok</v>
      </c>
      <c r="AC90" s="1487" t="str">
        <f t="shared" si="23"/>
        <v>ok</v>
      </c>
    </row>
    <row r="91" spans="1:29" s="1280" customFormat="1" ht="23.25" customHeight="1" x14ac:dyDescent="0.6">
      <c r="A91" s="1432">
        <v>84</v>
      </c>
      <c r="B91" s="1539" t="s">
        <v>8144</v>
      </c>
      <c r="C91" s="1540" t="s">
        <v>8057</v>
      </c>
      <c r="D91" s="1526"/>
      <c r="E91" s="1529">
        <v>240</v>
      </c>
      <c r="F91" s="1381"/>
      <c r="G91" s="1529">
        <v>240</v>
      </c>
      <c r="H91" s="1370">
        <v>92</v>
      </c>
      <c r="I91" s="1370">
        <f t="shared" si="15"/>
        <v>1472</v>
      </c>
      <c r="J91" s="1370">
        <v>92</v>
      </c>
      <c r="K91" s="1370">
        <v>0</v>
      </c>
      <c r="L91" s="1526">
        <f t="shared" si="16"/>
        <v>0</v>
      </c>
      <c r="M91" s="1370">
        <f t="shared" si="24"/>
        <v>92</v>
      </c>
      <c r="N91" s="1370">
        <v>16</v>
      </c>
      <c r="O91" s="1371">
        <f t="shared" si="17"/>
        <v>1472</v>
      </c>
      <c r="P91" s="1526"/>
      <c r="Q91" s="1370">
        <f t="shared" si="18"/>
        <v>0</v>
      </c>
      <c r="R91" s="1526">
        <v>92</v>
      </c>
      <c r="S91" s="1526">
        <f t="shared" si="13"/>
        <v>1472</v>
      </c>
      <c r="T91" s="1526"/>
      <c r="U91" s="1526">
        <f t="shared" si="14"/>
        <v>0</v>
      </c>
      <c r="V91" s="1526"/>
      <c r="W91" s="1526">
        <f t="shared" si="19"/>
        <v>0</v>
      </c>
      <c r="X91" s="1370">
        <f t="shared" si="22"/>
        <v>92</v>
      </c>
      <c r="Y91" s="1370">
        <f t="shared" si="20"/>
        <v>1472</v>
      </c>
      <c r="Z91" s="1527" t="s">
        <v>7799</v>
      </c>
      <c r="AA91" s="1379" t="s">
        <v>6525</v>
      </c>
      <c r="AB91" s="1487" t="str">
        <f t="shared" si="21"/>
        <v>ok</v>
      </c>
      <c r="AC91" s="1487" t="str">
        <f t="shared" si="23"/>
        <v>ok</v>
      </c>
    </row>
    <row r="92" spans="1:29" s="1280" customFormat="1" ht="23.25" customHeight="1" x14ac:dyDescent="0.6">
      <c r="A92" s="1432">
        <v>85</v>
      </c>
      <c r="B92" s="1539" t="s">
        <v>8145</v>
      </c>
      <c r="C92" s="1540" t="s">
        <v>7808</v>
      </c>
      <c r="D92" s="1526"/>
      <c r="E92" s="1529">
        <v>25680</v>
      </c>
      <c r="F92" s="1370"/>
      <c r="G92" s="1529">
        <v>25680</v>
      </c>
      <c r="H92" s="1370">
        <v>60</v>
      </c>
      <c r="I92" s="1370">
        <f t="shared" si="15"/>
        <v>40320</v>
      </c>
      <c r="J92" s="1370">
        <v>60</v>
      </c>
      <c r="K92" s="1370">
        <v>5</v>
      </c>
      <c r="L92" s="1526">
        <f t="shared" si="16"/>
        <v>3360</v>
      </c>
      <c r="M92" s="1370">
        <f t="shared" si="24"/>
        <v>55</v>
      </c>
      <c r="N92" s="1371">
        <v>672</v>
      </c>
      <c r="O92" s="1371">
        <f t="shared" si="17"/>
        <v>36960</v>
      </c>
      <c r="P92" s="1526">
        <v>20</v>
      </c>
      <c r="Q92" s="1370">
        <f t="shared" si="18"/>
        <v>13440</v>
      </c>
      <c r="R92" s="1526">
        <v>20</v>
      </c>
      <c r="S92" s="1526">
        <f t="shared" ref="S92:S155" si="25">R92*N92</f>
        <v>13440</v>
      </c>
      <c r="T92" s="1370">
        <v>15</v>
      </c>
      <c r="U92" s="1526">
        <f t="shared" ref="U92:U155" si="26">T92*N92</f>
        <v>10080</v>
      </c>
      <c r="V92" s="1370"/>
      <c r="W92" s="1526">
        <f t="shared" si="19"/>
        <v>0</v>
      </c>
      <c r="X92" s="1370">
        <f t="shared" si="22"/>
        <v>55</v>
      </c>
      <c r="Y92" s="1370">
        <f t="shared" si="20"/>
        <v>36960</v>
      </c>
      <c r="Z92" s="1527" t="s">
        <v>7799</v>
      </c>
      <c r="AA92" s="1379" t="s">
        <v>6525</v>
      </c>
      <c r="AB92" s="1487" t="str">
        <f t="shared" si="21"/>
        <v>ok</v>
      </c>
      <c r="AC92" s="1487" t="str">
        <f t="shared" si="23"/>
        <v>ok</v>
      </c>
    </row>
    <row r="93" spans="1:29" s="1280" customFormat="1" ht="23.25" customHeight="1" x14ac:dyDescent="0.6">
      <c r="A93" s="1432">
        <v>86</v>
      </c>
      <c r="B93" s="1539" t="s">
        <v>8146</v>
      </c>
      <c r="C93" s="1540" t="s">
        <v>7798</v>
      </c>
      <c r="D93" s="1526"/>
      <c r="E93" s="1529">
        <v>2000</v>
      </c>
      <c r="F93" s="1370"/>
      <c r="G93" s="1529">
        <v>2000</v>
      </c>
      <c r="H93" s="1370">
        <v>5</v>
      </c>
      <c r="I93" s="1370">
        <f t="shared" si="15"/>
        <v>1000</v>
      </c>
      <c r="J93" s="1370">
        <v>5</v>
      </c>
      <c r="K93" s="1370">
        <v>0</v>
      </c>
      <c r="L93" s="1526">
        <f t="shared" si="16"/>
        <v>0</v>
      </c>
      <c r="M93" s="1370">
        <f t="shared" si="24"/>
        <v>5</v>
      </c>
      <c r="N93" s="1371">
        <v>200</v>
      </c>
      <c r="O93" s="1371">
        <f t="shared" si="17"/>
        <v>1000</v>
      </c>
      <c r="P93" s="1526"/>
      <c r="Q93" s="1370">
        <f t="shared" si="18"/>
        <v>0</v>
      </c>
      <c r="R93" s="1370">
        <v>5</v>
      </c>
      <c r="S93" s="1526">
        <f t="shared" si="25"/>
        <v>1000</v>
      </c>
      <c r="T93" s="1526"/>
      <c r="U93" s="1526">
        <f t="shared" si="26"/>
        <v>0</v>
      </c>
      <c r="V93" s="1370"/>
      <c r="W93" s="1526">
        <f t="shared" si="19"/>
        <v>0</v>
      </c>
      <c r="X93" s="1370">
        <f t="shared" si="22"/>
        <v>5</v>
      </c>
      <c r="Y93" s="1370">
        <f t="shared" si="20"/>
        <v>1000</v>
      </c>
      <c r="Z93" s="1527" t="s">
        <v>7799</v>
      </c>
      <c r="AA93" s="1379" t="s">
        <v>6525</v>
      </c>
      <c r="AB93" s="1487" t="str">
        <f t="shared" si="21"/>
        <v>ok</v>
      </c>
      <c r="AC93" s="1487" t="str">
        <f t="shared" si="23"/>
        <v>ok</v>
      </c>
    </row>
    <row r="94" spans="1:29" s="1280" customFormat="1" ht="23.25" customHeight="1" x14ac:dyDescent="0.6">
      <c r="A94" s="1432">
        <v>87</v>
      </c>
      <c r="B94" s="1539" t="s">
        <v>8147</v>
      </c>
      <c r="C94" s="1540" t="s">
        <v>7798</v>
      </c>
      <c r="D94" s="1526"/>
      <c r="E94" s="1529">
        <v>2000</v>
      </c>
      <c r="F94" s="1370"/>
      <c r="G94" s="1529">
        <v>2000</v>
      </c>
      <c r="H94" s="1370">
        <v>5</v>
      </c>
      <c r="I94" s="1370">
        <f t="shared" si="15"/>
        <v>1000</v>
      </c>
      <c r="J94" s="1370">
        <v>5</v>
      </c>
      <c r="K94" s="1370">
        <v>0</v>
      </c>
      <c r="L94" s="1526">
        <f t="shared" si="16"/>
        <v>0</v>
      </c>
      <c r="M94" s="1370">
        <f t="shared" si="24"/>
        <v>5</v>
      </c>
      <c r="N94" s="1371">
        <v>200</v>
      </c>
      <c r="O94" s="1371">
        <f t="shared" si="17"/>
        <v>1000</v>
      </c>
      <c r="P94" s="1526"/>
      <c r="Q94" s="1370">
        <f t="shared" si="18"/>
        <v>0</v>
      </c>
      <c r="R94" s="1370">
        <v>3</v>
      </c>
      <c r="S94" s="1526">
        <f t="shared" si="25"/>
        <v>600</v>
      </c>
      <c r="T94" s="1526"/>
      <c r="U94" s="1526">
        <f t="shared" si="26"/>
        <v>0</v>
      </c>
      <c r="V94" s="1370">
        <v>2</v>
      </c>
      <c r="W94" s="1526">
        <f t="shared" si="19"/>
        <v>400</v>
      </c>
      <c r="X94" s="1370">
        <f t="shared" si="22"/>
        <v>5</v>
      </c>
      <c r="Y94" s="1370">
        <f t="shared" si="20"/>
        <v>1000</v>
      </c>
      <c r="Z94" s="1527" t="s">
        <v>7799</v>
      </c>
      <c r="AA94" s="1379" t="s">
        <v>6525</v>
      </c>
      <c r="AB94" s="1487" t="str">
        <f t="shared" si="21"/>
        <v>ok</v>
      </c>
      <c r="AC94" s="1487" t="str">
        <f t="shared" si="23"/>
        <v>ok</v>
      </c>
    </row>
    <row r="95" spans="1:29" s="1280" customFormat="1" ht="23.25" customHeight="1" x14ac:dyDescent="0.6">
      <c r="A95" s="1432">
        <v>88</v>
      </c>
      <c r="B95" s="1539" t="s">
        <v>8148</v>
      </c>
      <c r="C95" s="1540" t="s">
        <v>7798</v>
      </c>
      <c r="D95" s="1526"/>
      <c r="E95" s="1529">
        <v>6000</v>
      </c>
      <c r="F95" s="1370"/>
      <c r="G95" s="1529">
        <v>6000</v>
      </c>
      <c r="H95" s="1370">
        <v>12</v>
      </c>
      <c r="I95" s="1370">
        <f t="shared" ref="I95:I158" si="27">H95*N95</f>
        <v>2400</v>
      </c>
      <c r="J95" s="1370">
        <v>12</v>
      </c>
      <c r="K95" s="1370">
        <v>0</v>
      </c>
      <c r="L95" s="1526">
        <f t="shared" si="16"/>
        <v>0</v>
      </c>
      <c r="M95" s="1370">
        <f t="shared" si="24"/>
        <v>12</v>
      </c>
      <c r="N95" s="1371">
        <v>200</v>
      </c>
      <c r="O95" s="1371">
        <f t="shared" si="17"/>
        <v>2400</v>
      </c>
      <c r="P95" s="1526"/>
      <c r="Q95" s="1370">
        <f t="shared" si="18"/>
        <v>0</v>
      </c>
      <c r="R95" s="1526">
        <v>12</v>
      </c>
      <c r="S95" s="1526">
        <f t="shared" si="25"/>
        <v>2400</v>
      </c>
      <c r="T95" s="1370"/>
      <c r="U95" s="1526">
        <f t="shared" si="26"/>
        <v>0</v>
      </c>
      <c r="V95" s="1370"/>
      <c r="W95" s="1526">
        <f t="shared" si="19"/>
        <v>0</v>
      </c>
      <c r="X95" s="1370">
        <f t="shared" si="22"/>
        <v>12</v>
      </c>
      <c r="Y95" s="1370">
        <f t="shared" si="20"/>
        <v>2400</v>
      </c>
      <c r="Z95" s="1527" t="s">
        <v>7799</v>
      </c>
      <c r="AA95" s="1379" t="s">
        <v>6525</v>
      </c>
      <c r="AB95" s="1487" t="str">
        <f t="shared" si="21"/>
        <v>ok</v>
      </c>
      <c r="AC95" s="1487" t="str">
        <f t="shared" si="23"/>
        <v>ok</v>
      </c>
    </row>
    <row r="96" spans="1:29" s="1280" customFormat="1" ht="23.25" customHeight="1" x14ac:dyDescent="0.6">
      <c r="A96" s="1432">
        <v>89</v>
      </c>
      <c r="B96" s="1539" t="s">
        <v>8149</v>
      </c>
      <c r="C96" s="1540" t="s">
        <v>7893</v>
      </c>
      <c r="D96" s="1526"/>
      <c r="E96" s="1529">
        <v>3204</v>
      </c>
      <c r="F96" s="1370"/>
      <c r="G96" s="1529">
        <v>3204</v>
      </c>
      <c r="H96" s="1370">
        <v>0</v>
      </c>
      <c r="I96" s="1370">
        <f t="shared" si="27"/>
        <v>0</v>
      </c>
      <c r="J96" s="1370">
        <v>12</v>
      </c>
      <c r="K96" s="1370">
        <v>0</v>
      </c>
      <c r="L96" s="1526">
        <f t="shared" si="16"/>
        <v>0</v>
      </c>
      <c r="M96" s="1370">
        <f t="shared" si="24"/>
        <v>12</v>
      </c>
      <c r="N96" s="1371">
        <v>266</v>
      </c>
      <c r="O96" s="1371">
        <f t="shared" si="17"/>
        <v>3192</v>
      </c>
      <c r="P96" s="1526"/>
      <c r="Q96" s="1370">
        <f t="shared" si="18"/>
        <v>0</v>
      </c>
      <c r="R96" s="1526">
        <v>12</v>
      </c>
      <c r="S96" s="1526">
        <f t="shared" si="25"/>
        <v>3192</v>
      </c>
      <c r="T96" s="1370"/>
      <c r="U96" s="1526">
        <f t="shared" si="26"/>
        <v>0</v>
      </c>
      <c r="V96" s="1370"/>
      <c r="W96" s="1526">
        <f t="shared" si="19"/>
        <v>0</v>
      </c>
      <c r="X96" s="1370">
        <f t="shared" si="22"/>
        <v>12</v>
      </c>
      <c r="Y96" s="1370">
        <f t="shared" si="20"/>
        <v>3192</v>
      </c>
      <c r="Z96" s="1527" t="s">
        <v>7799</v>
      </c>
      <c r="AA96" s="1379" t="s">
        <v>6525</v>
      </c>
      <c r="AB96" s="1487" t="str">
        <f t="shared" si="21"/>
        <v>ok</v>
      </c>
      <c r="AC96" s="1487" t="str">
        <f t="shared" si="23"/>
        <v>ok</v>
      </c>
    </row>
    <row r="97" spans="1:29" s="1280" customFormat="1" ht="23.25" customHeight="1" x14ac:dyDescent="0.6">
      <c r="A97" s="1432">
        <v>90</v>
      </c>
      <c r="B97" s="1539" t="s">
        <v>8150</v>
      </c>
      <c r="C97" s="1540" t="s">
        <v>7798</v>
      </c>
      <c r="D97" s="1526"/>
      <c r="E97" s="1529">
        <v>8550</v>
      </c>
      <c r="F97" s="1370"/>
      <c r="G97" s="1529">
        <v>8550</v>
      </c>
      <c r="H97" s="1370">
        <v>1000</v>
      </c>
      <c r="I97" s="1370">
        <f t="shared" si="27"/>
        <v>4500</v>
      </c>
      <c r="J97" s="1370">
        <v>1000</v>
      </c>
      <c r="K97" s="1370">
        <v>100</v>
      </c>
      <c r="L97" s="1526">
        <f t="shared" si="16"/>
        <v>450</v>
      </c>
      <c r="M97" s="1370">
        <f t="shared" si="24"/>
        <v>900</v>
      </c>
      <c r="N97" s="1371">
        <v>4.5</v>
      </c>
      <c r="O97" s="1371">
        <f t="shared" si="17"/>
        <v>4050</v>
      </c>
      <c r="P97" s="1526">
        <v>500</v>
      </c>
      <c r="Q97" s="1370">
        <f t="shared" si="18"/>
        <v>2250</v>
      </c>
      <c r="R97" s="1526">
        <v>0</v>
      </c>
      <c r="S97" s="1526">
        <f t="shared" si="25"/>
        <v>0</v>
      </c>
      <c r="T97" s="1370">
        <v>150</v>
      </c>
      <c r="U97" s="1526">
        <f t="shared" si="26"/>
        <v>675</v>
      </c>
      <c r="V97" s="1370">
        <v>250</v>
      </c>
      <c r="W97" s="1526">
        <f t="shared" si="19"/>
        <v>1125</v>
      </c>
      <c r="X97" s="1370">
        <f t="shared" si="22"/>
        <v>900</v>
      </c>
      <c r="Y97" s="1370">
        <f t="shared" si="20"/>
        <v>4050</v>
      </c>
      <c r="Z97" s="1527" t="s">
        <v>7799</v>
      </c>
      <c r="AA97" s="1379" t="s">
        <v>6525</v>
      </c>
      <c r="AB97" s="1487" t="str">
        <f t="shared" si="21"/>
        <v>ok</v>
      </c>
      <c r="AC97" s="1487" t="str">
        <f t="shared" si="23"/>
        <v>ok</v>
      </c>
    </row>
    <row r="98" spans="1:29" s="1280" customFormat="1" ht="23.25" customHeight="1" x14ac:dyDescent="0.6">
      <c r="A98" s="1432">
        <v>91</v>
      </c>
      <c r="B98" s="1539" t="s">
        <v>8151</v>
      </c>
      <c r="C98" s="1540" t="s">
        <v>8052</v>
      </c>
      <c r="D98" s="1526"/>
      <c r="E98" s="1529">
        <v>52000</v>
      </c>
      <c r="F98" s="1370"/>
      <c r="G98" s="1529">
        <v>52000</v>
      </c>
      <c r="H98" s="1370">
        <v>5920</v>
      </c>
      <c r="I98" s="1370">
        <f t="shared" si="27"/>
        <v>47360</v>
      </c>
      <c r="J98" s="1370">
        <v>5920</v>
      </c>
      <c r="K98" s="1370">
        <v>700</v>
      </c>
      <c r="L98" s="1526">
        <f t="shared" si="16"/>
        <v>5600</v>
      </c>
      <c r="M98" s="1370">
        <f t="shared" si="24"/>
        <v>5220</v>
      </c>
      <c r="N98" s="1371">
        <v>8</v>
      </c>
      <c r="O98" s="1371">
        <f t="shared" si="17"/>
        <v>41760</v>
      </c>
      <c r="P98" s="1370">
        <v>500</v>
      </c>
      <c r="Q98" s="1370">
        <f t="shared" si="18"/>
        <v>4000</v>
      </c>
      <c r="R98" s="1526">
        <v>2000</v>
      </c>
      <c r="S98" s="1526">
        <f t="shared" si="25"/>
        <v>16000</v>
      </c>
      <c r="T98" s="1370">
        <v>2220</v>
      </c>
      <c r="U98" s="1526">
        <f t="shared" si="26"/>
        <v>17760</v>
      </c>
      <c r="V98" s="1526">
        <v>500</v>
      </c>
      <c r="W98" s="1526">
        <f t="shared" si="19"/>
        <v>4000</v>
      </c>
      <c r="X98" s="1370">
        <f t="shared" si="22"/>
        <v>5220</v>
      </c>
      <c r="Y98" s="1370">
        <f t="shared" si="20"/>
        <v>41760</v>
      </c>
      <c r="Z98" s="1527" t="s">
        <v>7799</v>
      </c>
      <c r="AA98" s="1379" t="s">
        <v>6525</v>
      </c>
      <c r="AB98" s="1487" t="str">
        <f t="shared" si="21"/>
        <v>ok</v>
      </c>
      <c r="AC98" s="1487" t="str">
        <f t="shared" si="23"/>
        <v>ok</v>
      </c>
    </row>
    <row r="99" spans="1:29" s="1280" customFormat="1" ht="23.25" customHeight="1" x14ac:dyDescent="0.6">
      <c r="A99" s="1432">
        <v>92</v>
      </c>
      <c r="B99" s="1539" t="s">
        <v>8152</v>
      </c>
      <c r="C99" s="1540" t="s">
        <v>7816</v>
      </c>
      <c r="D99" s="1526"/>
      <c r="E99" s="1529">
        <v>28500</v>
      </c>
      <c r="F99" s="1381"/>
      <c r="G99" s="1529">
        <v>28500</v>
      </c>
      <c r="H99" s="1370">
        <v>1422</v>
      </c>
      <c r="I99" s="1370">
        <f t="shared" si="27"/>
        <v>7110</v>
      </c>
      <c r="J99" s="1370">
        <v>1422</v>
      </c>
      <c r="K99" s="1370"/>
      <c r="L99" s="1526">
        <f t="shared" si="16"/>
        <v>0</v>
      </c>
      <c r="M99" s="1370">
        <f t="shared" si="24"/>
        <v>1422</v>
      </c>
      <c r="N99" s="1370">
        <v>5</v>
      </c>
      <c r="O99" s="1371">
        <f t="shared" si="17"/>
        <v>7110</v>
      </c>
      <c r="P99" s="1526">
        <v>352</v>
      </c>
      <c r="Q99" s="1370">
        <f t="shared" si="18"/>
        <v>1760</v>
      </c>
      <c r="R99" s="1526">
        <v>360</v>
      </c>
      <c r="S99" s="1526">
        <f t="shared" si="25"/>
        <v>1800</v>
      </c>
      <c r="T99" s="1526">
        <v>350</v>
      </c>
      <c r="U99" s="1526">
        <f t="shared" si="26"/>
        <v>1750</v>
      </c>
      <c r="V99" s="1526">
        <v>360</v>
      </c>
      <c r="W99" s="1526">
        <f t="shared" si="19"/>
        <v>1800</v>
      </c>
      <c r="X99" s="1370">
        <f t="shared" si="22"/>
        <v>1422</v>
      </c>
      <c r="Y99" s="1370">
        <f t="shared" si="20"/>
        <v>7110</v>
      </c>
      <c r="Z99" s="1527" t="s">
        <v>7799</v>
      </c>
      <c r="AA99" s="1379" t="s">
        <v>6525</v>
      </c>
      <c r="AB99" s="1487" t="str">
        <f t="shared" si="21"/>
        <v>ok</v>
      </c>
      <c r="AC99" s="1487" t="str">
        <f t="shared" si="23"/>
        <v>ok</v>
      </c>
    </row>
    <row r="100" spans="1:29" s="1280" customFormat="1" ht="23.25" customHeight="1" x14ac:dyDescent="0.6">
      <c r="A100" s="1432">
        <v>93</v>
      </c>
      <c r="B100" s="1539" t="s">
        <v>8153</v>
      </c>
      <c r="C100" s="1540" t="s">
        <v>8057</v>
      </c>
      <c r="D100" s="1526"/>
      <c r="E100" s="1529">
        <v>0</v>
      </c>
      <c r="F100" s="1370"/>
      <c r="G100" s="1529">
        <v>0</v>
      </c>
      <c r="H100" s="1370">
        <v>5000</v>
      </c>
      <c r="I100" s="1370">
        <f t="shared" si="27"/>
        <v>265000</v>
      </c>
      <c r="J100" s="1370">
        <v>5200</v>
      </c>
      <c r="K100" s="1370">
        <v>0</v>
      </c>
      <c r="L100" s="1526">
        <f t="shared" si="16"/>
        <v>0</v>
      </c>
      <c r="M100" s="1370">
        <f t="shared" si="24"/>
        <v>5200</v>
      </c>
      <c r="N100" s="1371">
        <v>53</v>
      </c>
      <c r="O100" s="1371">
        <f t="shared" si="17"/>
        <v>275600</v>
      </c>
      <c r="P100" s="1526">
        <v>1000</v>
      </c>
      <c r="Q100" s="1370">
        <f t="shared" si="18"/>
        <v>53000</v>
      </c>
      <c r="R100" s="1526">
        <v>2000</v>
      </c>
      <c r="S100" s="1526">
        <f t="shared" si="25"/>
        <v>106000</v>
      </c>
      <c r="T100" s="1370">
        <v>2000</v>
      </c>
      <c r="U100" s="1526">
        <f t="shared" si="26"/>
        <v>106000</v>
      </c>
      <c r="V100" s="1370">
        <v>200</v>
      </c>
      <c r="W100" s="1526">
        <f t="shared" si="19"/>
        <v>10600</v>
      </c>
      <c r="X100" s="1370">
        <f t="shared" si="22"/>
        <v>5200</v>
      </c>
      <c r="Y100" s="1370">
        <f t="shared" si="20"/>
        <v>275600</v>
      </c>
      <c r="Z100" s="1527" t="s">
        <v>7799</v>
      </c>
      <c r="AA100" s="1379" t="s">
        <v>6525</v>
      </c>
      <c r="AB100" s="1487" t="str">
        <f t="shared" si="21"/>
        <v>ok</v>
      </c>
      <c r="AC100" s="1487" t="str">
        <f t="shared" si="23"/>
        <v>ok</v>
      </c>
    </row>
    <row r="101" spans="1:29" s="1280" customFormat="1" ht="23.25" customHeight="1" x14ac:dyDescent="0.6">
      <c r="A101" s="1432">
        <v>94</v>
      </c>
      <c r="B101" s="1539" t="s">
        <v>8154</v>
      </c>
      <c r="C101" s="1540" t="s">
        <v>7798</v>
      </c>
      <c r="D101" s="1526"/>
      <c r="E101" s="1529">
        <v>484.99999999999994</v>
      </c>
      <c r="F101" s="1370"/>
      <c r="G101" s="1529">
        <v>484.99999999999994</v>
      </c>
      <c r="H101" s="1370">
        <v>50</v>
      </c>
      <c r="I101" s="1370">
        <f t="shared" si="27"/>
        <v>438</v>
      </c>
      <c r="J101" s="1370">
        <v>50</v>
      </c>
      <c r="K101" s="1370">
        <v>0</v>
      </c>
      <c r="L101" s="1526">
        <f t="shared" si="16"/>
        <v>0</v>
      </c>
      <c r="M101" s="1370">
        <f t="shared" si="24"/>
        <v>50</v>
      </c>
      <c r="N101" s="1371">
        <v>8.76</v>
      </c>
      <c r="O101" s="1371">
        <f t="shared" si="17"/>
        <v>438</v>
      </c>
      <c r="P101" s="1526"/>
      <c r="Q101" s="1370">
        <f t="shared" si="18"/>
        <v>0</v>
      </c>
      <c r="R101" s="1370">
        <v>50</v>
      </c>
      <c r="S101" s="1526">
        <f t="shared" si="25"/>
        <v>438</v>
      </c>
      <c r="T101" s="1526"/>
      <c r="U101" s="1526">
        <f t="shared" si="26"/>
        <v>0</v>
      </c>
      <c r="V101" s="1370"/>
      <c r="W101" s="1526">
        <f t="shared" si="19"/>
        <v>0</v>
      </c>
      <c r="X101" s="1370">
        <f t="shared" si="22"/>
        <v>50</v>
      </c>
      <c r="Y101" s="1370">
        <f t="shared" si="20"/>
        <v>438</v>
      </c>
      <c r="Z101" s="1527" t="s">
        <v>7799</v>
      </c>
      <c r="AA101" s="1379" t="s">
        <v>6525</v>
      </c>
      <c r="AB101" s="1487" t="str">
        <f t="shared" si="21"/>
        <v>ok</v>
      </c>
      <c r="AC101" s="1487" t="str">
        <f t="shared" si="23"/>
        <v>ok</v>
      </c>
    </row>
    <row r="102" spans="1:29" s="1280" customFormat="1" ht="23.25" customHeight="1" x14ac:dyDescent="0.6">
      <c r="A102" s="1432">
        <v>95</v>
      </c>
      <c r="B102" s="1539" t="s">
        <v>8155</v>
      </c>
      <c r="C102" s="1540" t="s">
        <v>7798</v>
      </c>
      <c r="D102" s="1526"/>
      <c r="E102" s="1529">
        <v>19400</v>
      </c>
      <c r="F102" s="1370"/>
      <c r="G102" s="1529">
        <v>19400</v>
      </c>
      <c r="H102" s="1370">
        <v>1645</v>
      </c>
      <c r="I102" s="1370">
        <f t="shared" si="27"/>
        <v>14953.05</v>
      </c>
      <c r="J102" s="1370">
        <v>1645</v>
      </c>
      <c r="K102" s="1370">
        <v>500</v>
      </c>
      <c r="L102" s="1526">
        <f t="shared" ref="L102:L165" si="28">K102*N102</f>
        <v>4545</v>
      </c>
      <c r="M102" s="1370">
        <f t="shared" si="24"/>
        <v>1145</v>
      </c>
      <c r="N102" s="1371">
        <v>9.09</v>
      </c>
      <c r="O102" s="1371">
        <f t="shared" si="17"/>
        <v>10408.049999999999</v>
      </c>
      <c r="P102" s="1526"/>
      <c r="Q102" s="1370">
        <f t="shared" si="18"/>
        <v>0</v>
      </c>
      <c r="R102" s="1370">
        <v>500</v>
      </c>
      <c r="S102" s="1526">
        <f t="shared" si="25"/>
        <v>4545</v>
      </c>
      <c r="T102" s="1526">
        <v>400</v>
      </c>
      <c r="U102" s="1526">
        <f t="shared" si="26"/>
        <v>3636</v>
      </c>
      <c r="V102" s="1370">
        <v>245</v>
      </c>
      <c r="W102" s="1526">
        <f t="shared" si="19"/>
        <v>2227.0500000000002</v>
      </c>
      <c r="X102" s="1370">
        <f t="shared" si="22"/>
        <v>1145</v>
      </c>
      <c r="Y102" s="1370">
        <f t="shared" si="20"/>
        <v>10408.049999999999</v>
      </c>
      <c r="Z102" s="1527" t="s">
        <v>7799</v>
      </c>
      <c r="AA102" s="1379" t="s">
        <v>6525</v>
      </c>
      <c r="AB102" s="1487" t="str">
        <f t="shared" si="21"/>
        <v>ok</v>
      </c>
      <c r="AC102" s="1487" t="str">
        <f t="shared" si="23"/>
        <v>ok</v>
      </c>
    </row>
    <row r="103" spans="1:29" s="1280" customFormat="1" ht="23.25" customHeight="1" x14ac:dyDescent="0.6">
      <c r="A103" s="1432">
        <v>96</v>
      </c>
      <c r="B103" s="1539" t="s">
        <v>8156</v>
      </c>
      <c r="C103" s="1540" t="s">
        <v>7798</v>
      </c>
      <c r="D103" s="1526"/>
      <c r="E103" s="1529">
        <v>19982</v>
      </c>
      <c r="F103" s="1370"/>
      <c r="G103" s="1529">
        <v>19982</v>
      </c>
      <c r="H103" s="1370">
        <v>2886</v>
      </c>
      <c r="I103" s="1370">
        <f t="shared" si="27"/>
        <v>25281.360000000001</v>
      </c>
      <c r="J103" s="1370">
        <v>2886</v>
      </c>
      <c r="K103" s="1370">
        <v>520</v>
      </c>
      <c r="L103" s="1526">
        <f t="shared" si="28"/>
        <v>4555.2</v>
      </c>
      <c r="M103" s="1370">
        <f t="shared" si="24"/>
        <v>2366</v>
      </c>
      <c r="N103" s="1371">
        <v>8.76</v>
      </c>
      <c r="O103" s="1371">
        <f t="shared" si="17"/>
        <v>20726.16</v>
      </c>
      <c r="P103" s="1526">
        <v>591</v>
      </c>
      <c r="Q103" s="1370">
        <f t="shared" si="18"/>
        <v>5177.16</v>
      </c>
      <c r="R103" s="1526">
        <v>591</v>
      </c>
      <c r="S103" s="1526">
        <f t="shared" si="25"/>
        <v>5177.16</v>
      </c>
      <c r="T103" s="1370">
        <v>594</v>
      </c>
      <c r="U103" s="1526">
        <f t="shared" si="26"/>
        <v>5203.4399999999996</v>
      </c>
      <c r="V103" s="1370">
        <v>590</v>
      </c>
      <c r="W103" s="1526">
        <f t="shared" si="19"/>
        <v>5168.3999999999996</v>
      </c>
      <c r="X103" s="1370">
        <f t="shared" si="22"/>
        <v>2366</v>
      </c>
      <c r="Y103" s="1370">
        <f t="shared" si="20"/>
        <v>20726.16</v>
      </c>
      <c r="Z103" s="1527" t="s">
        <v>7799</v>
      </c>
      <c r="AA103" s="1379" t="s">
        <v>6525</v>
      </c>
      <c r="AB103" s="1487" t="str">
        <f t="shared" si="21"/>
        <v>ok</v>
      </c>
      <c r="AC103" s="1487" t="str">
        <f t="shared" si="23"/>
        <v>ok</v>
      </c>
    </row>
    <row r="104" spans="1:29" s="1280" customFormat="1" ht="23.25" customHeight="1" x14ac:dyDescent="0.6">
      <c r="A104" s="1432">
        <v>97</v>
      </c>
      <c r="B104" s="1539" t="s">
        <v>8157</v>
      </c>
      <c r="C104" s="1540" t="s">
        <v>7798</v>
      </c>
      <c r="D104" s="1526"/>
      <c r="E104" s="1529">
        <v>25704.999999999996</v>
      </c>
      <c r="F104" s="1370"/>
      <c r="G104" s="1529">
        <v>25704.999999999996</v>
      </c>
      <c r="H104" s="1370">
        <v>3585</v>
      </c>
      <c r="I104" s="1370">
        <f t="shared" si="27"/>
        <v>31404.6</v>
      </c>
      <c r="J104" s="1370">
        <v>4000</v>
      </c>
      <c r="K104" s="1370">
        <v>500</v>
      </c>
      <c r="L104" s="1526">
        <f t="shared" si="28"/>
        <v>4380</v>
      </c>
      <c r="M104" s="1370">
        <f t="shared" si="24"/>
        <v>3500</v>
      </c>
      <c r="N104" s="1371">
        <v>8.76</v>
      </c>
      <c r="O104" s="1371">
        <f t="shared" si="17"/>
        <v>30660</v>
      </c>
      <c r="P104" s="1526">
        <v>875</v>
      </c>
      <c r="Q104" s="1370">
        <f t="shared" si="18"/>
        <v>7665</v>
      </c>
      <c r="R104" s="1526">
        <v>875</v>
      </c>
      <c r="S104" s="1526">
        <f t="shared" si="25"/>
        <v>7665</v>
      </c>
      <c r="T104" s="1370">
        <v>875</v>
      </c>
      <c r="U104" s="1526">
        <f t="shared" si="26"/>
        <v>7665</v>
      </c>
      <c r="V104" s="1370">
        <v>875</v>
      </c>
      <c r="W104" s="1526">
        <f t="shared" si="19"/>
        <v>7665</v>
      </c>
      <c r="X104" s="1370">
        <f t="shared" si="22"/>
        <v>3500</v>
      </c>
      <c r="Y104" s="1370">
        <f t="shared" si="20"/>
        <v>30660</v>
      </c>
      <c r="Z104" s="1527" t="s">
        <v>7799</v>
      </c>
      <c r="AA104" s="1379" t="s">
        <v>6525</v>
      </c>
      <c r="AB104" s="1487" t="str">
        <f t="shared" si="21"/>
        <v>ok</v>
      </c>
      <c r="AC104" s="1487" t="str">
        <f t="shared" si="23"/>
        <v>ok</v>
      </c>
    </row>
    <row r="105" spans="1:29" s="1280" customFormat="1" ht="23.25" customHeight="1" x14ac:dyDescent="0.6">
      <c r="A105" s="1432">
        <v>98</v>
      </c>
      <c r="B105" s="1539" t="s">
        <v>8158</v>
      </c>
      <c r="C105" s="1540" t="s">
        <v>7798</v>
      </c>
      <c r="D105" s="1526"/>
      <c r="E105" s="1529">
        <v>43747</v>
      </c>
      <c r="F105" s="1370"/>
      <c r="G105" s="1529">
        <v>43747</v>
      </c>
      <c r="H105" s="1370">
        <v>4130</v>
      </c>
      <c r="I105" s="1370">
        <f t="shared" si="27"/>
        <v>36178.799999999996</v>
      </c>
      <c r="J105" s="1370">
        <v>4500</v>
      </c>
      <c r="K105" s="1370">
        <v>400</v>
      </c>
      <c r="L105" s="1526">
        <f t="shared" si="28"/>
        <v>3504</v>
      </c>
      <c r="M105" s="1370">
        <f t="shared" si="24"/>
        <v>4100</v>
      </c>
      <c r="N105" s="1371">
        <v>8.76</v>
      </c>
      <c r="O105" s="1371">
        <f t="shared" si="17"/>
        <v>35916</v>
      </c>
      <c r="P105" s="1526">
        <v>1000</v>
      </c>
      <c r="Q105" s="1370">
        <f t="shared" si="18"/>
        <v>8760</v>
      </c>
      <c r="R105" s="1526">
        <v>1000</v>
      </c>
      <c r="S105" s="1526">
        <f t="shared" si="25"/>
        <v>8760</v>
      </c>
      <c r="T105" s="1370">
        <v>1000</v>
      </c>
      <c r="U105" s="1526">
        <f t="shared" si="26"/>
        <v>8760</v>
      </c>
      <c r="V105" s="1370">
        <v>1100</v>
      </c>
      <c r="W105" s="1526">
        <f t="shared" si="19"/>
        <v>9636</v>
      </c>
      <c r="X105" s="1370">
        <f t="shared" si="22"/>
        <v>4100</v>
      </c>
      <c r="Y105" s="1370">
        <f t="shared" si="20"/>
        <v>35916</v>
      </c>
      <c r="Z105" s="1527" t="s">
        <v>7799</v>
      </c>
      <c r="AA105" s="1379" t="s">
        <v>6525</v>
      </c>
      <c r="AB105" s="1487" t="str">
        <f t="shared" si="21"/>
        <v>ok</v>
      </c>
      <c r="AC105" s="1487" t="str">
        <f t="shared" si="23"/>
        <v>ok</v>
      </c>
    </row>
    <row r="106" spans="1:29" s="1280" customFormat="1" ht="23.25" customHeight="1" x14ac:dyDescent="0.6">
      <c r="A106" s="1432">
        <v>99</v>
      </c>
      <c r="B106" s="1539" t="s">
        <v>8159</v>
      </c>
      <c r="C106" s="1540" t="s">
        <v>7816</v>
      </c>
      <c r="D106" s="1526"/>
      <c r="E106" s="1529">
        <v>5130</v>
      </c>
      <c r="F106" s="1370"/>
      <c r="G106" s="1529">
        <v>5130</v>
      </c>
      <c r="H106" s="1370">
        <v>43</v>
      </c>
      <c r="I106" s="1370">
        <f t="shared" si="27"/>
        <v>9890</v>
      </c>
      <c r="J106" s="1370">
        <v>40</v>
      </c>
      <c r="K106" s="1370">
        <v>3</v>
      </c>
      <c r="L106" s="1526">
        <f t="shared" si="28"/>
        <v>690</v>
      </c>
      <c r="M106" s="1370">
        <f t="shared" si="24"/>
        <v>37</v>
      </c>
      <c r="N106" s="1371">
        <v>230</v>
      </c>
      <c r="O106" s="1371">
        <f t="shared" si="17"/>
        <v>8510</v>
      </c>
      <c r="P106" s="1370">
        <v>10</v>
      </c>
      <c r="Q106" s="1370">
        <f t="shared" si="18"/>
        <v>2300</v>
      </c>
      <c r="R106" s="1526">
        <v>10</v>
      </c>
      <c r="S106" s="1526">
        <f t="shared" si="25"/>
        <v>2300</v>
      </c>
      <c r="T106" s="1370">
        <v>12</v>
      </c>
      <c r="U106" s="1526">
        <f t="shared" si="26"/>
        <v>2760</v>
      </c>
      <c r="V106" s="1526">
        <v>5</v>
      </c>
      <c r="W106" s="1526">
        <f t="shared" si="19"/>
        <v>1150</v>
      </c>
      <c r="X106" s="1370">
        <f t="shared" si="22"/>
        <v>37</v>
      </c>
      <c r="Y106" s="1370">
        <f t="shared" si="20"/>
        <v>8510</v>
      </c>
      <c r="Z106" s="1527" t="s">
        <v>7799</v>
      </c>
      <c r="AA106" s="1379" t="s">
        <v>6525</v>
      </c>
      <c r="AB106" s="1487" t="str">
        <f t="shared" si="21"/>
        <v>ok</v>
      </c>
      <c r="AC106" s="1487" t="str">
        <f t="shared" si="23"/>
        <v>ok</v>
      </c>
    </row>
    <row r="107" spans="1:29" s="1280" customFormat="1" ht="23.25" customHeight="1" x14ac:dyDescent="0.6">
      <c r="A107" s="1432">
        <v>100</v>
      </c>
      <c r="B107" s="1539" t="s">
        <v>8160</v>
      </c>
      <c r="C107" s="1540" t="s">
        <v>7808</v>
      </c>
      <c r="D107" s="1526"/>
      <c r="E107" s="1529">
        <v>0</v>
      </c>
      <c r="F107" s="1381"/>
      <c r="G107" s="1525">
        <v>3420</v>
      </c>
      <c r="H107" s="1370">
        <v>480</v>
      </c>
      <c r="I107" s="1370">
        <f t="shared" si="27"/>
        <v>8976</v>
      </c>
      <c r="J107" s="1370">
        <v>200</v>
      </c>
      <c r="K107" s="1370">
        <v>100</v>
      </c>
      <c r="L107" s="1526">
        <f t="shared" si="28"/>
        <v>1870</v>
      </c>
      <c r="M107" s="1370">
        <f t="shared" si="24"/>
        <v>100</v>
      </c>
      <c r="N107" s="1370">
        <v>18.7</v>
      </c>
      <c r="O107" s="1371">
        <f t="shared" si="17"/>
        <v>1870</v>
      </c>
      <c r="P107" s="1526">
        <v>50</v>
      </c>
      <c r="Q107" s="1370">
        <f t="shared" si="18"/>
        <v>935</v>
      </c>
      <c r="R107" s="1526">
        <v>50</v>
      </c>
      <c r="S107" s="1526">
        <f t="shared" si="25"/>
        <v>935</v>
      </c>
      <c r="T107" s="1526"/>
      <c r="U107" s="1526">
        <f t="shared" si="26"/>
        <v>0</v>
      </c>
      <c r="V107" s="1526"/>
      <c r="W107" s="1526">
        <f t="shared" si="19"/>
        <v>0</v>
      </c>
      <c r="X107" s="1370">
        <f t="shared" si="22"/>
        <v>100</v>
      </c>
      <c r="Y107" s="1370">
        <f t="shared" si="20"/>
        <v>1870</v>
      </c>
      <c r="Z107" s="1527" t="s">
        <v>7799</v>
      </c>
      <c r="AA107" s="1379" t="s">
        <v>6525</v>
      </c>
      <c r="AB107" s="1487" t="str">
        <f t="shared" si="21"/>
        <v>ok</v>
      </c>
      <c r="AC107" s="1487" t="str">
        <f t="shared" si="23"/>
        <v>ok</v>
      </c>
    </row>
    <row r="108" spans="1:29" s="1280" customFormat="1" ht="23.25" customHeight="1" x14ac:dyDescent="0.6">
      <c r="A108" s="1432">
        <v>101</v>
      </c>
      <c r="B108" s="1539" t="s">
        <v>8161</v>
      </c>
      <c r="C108" s="1540" t="s">
        <v>7960</v>
      </c>
      <c r="D108" s="1526"/>
      <c r="E108" s="1529">
        <v>500</v>
      </c>
      <c r="F108" s="1370"/>
      <c r="G108" s="1525">
        <v>500</v>
      </c>
      <c r="H108" s="1370">
        <v>80</v>
      </c>
      <c r="I108" s="1370">
        <f t="shared" si="27"/>
        <v>800</v>
      </c>
      <c r="J108" s="1370">
        <v>80</v>
      </c>
      <c r="K108" s="1370">
        <v>40</v>
      </c>
      <c r="L108" s="1526">
        <f t="shared" si="28"/>
        <v>400</v>
      </c>
      <c r="M108" s="1370">
        <f t="shared" si="24"/>
        <v>40</v>
      </c>
      <c r="N108" s="1371">
        <v>10</v>
      </c>
      <c r="O108" s="1371">
        <f t="shared" si="17"/>
        <v>400</v>
      </c>
      <c r="P108" s="1526"/>
      <c r="Q108" s="1370">
        <f t="shared" si="18"/>
        <v>0</v>
      </c>
      <c r="R108" s="1526">
        <v>40</v>
      </c>
      <c r="S108" s="1526">
        <f t="shared" si="25"/>
        <v>400</v>
      </c>
      <c r="T108" s="1370"/>
      <c r="U108" s="1526">
        <f t="shared" si="26"/>
        <v>0</v>
      </c>
      <c r="V108" s="1370"/>
      <c r="W108" s="1526">
        <f t="shared" si="19"/>
        <v>0</v>
      </c>
      <c r="X108" s="1370">
        <f t="shared" si="22"/>
        <v>40</v>
      </c>
      <c r="Y108" s="1370">
        <f t="shared" si="20"/>
        <v>400</v>
      </c>
      <c r="Z108" s="1527" t="s">
        <v>7799</v>
      </c>
      <c r="AA108" s="1379" t="s">
        <v>6525</v>
      </c>
      <c r="AB108" s="1487" t="str">
        <f t="shared" si="21"/>
        <v>ok</v>
      </c>
      <c r="AC108" s="1487" t="str">
        <f t="shared" si="23"/>
        <v>ok</v>
      </c>
    </row>
    <row r="109" spans="1:29" s="1280" customFormat="1" ht="23.25" customHeight="1" x14ac:dyDescent="0.6">
      <c r="A109" s="1432">
        <v>102</v>
      </c>
      <c r="B109" s="1539" t="s">
        <v>8162</v>
      </c>
      <c r="C109" s="1540" t="s">
        <v>7960</v>
      </c>
      <c r="D109" s="1526"/>
      <c r="E109" s="1529">
        <v>500</v>
      </c>
      <c r="F109" s="1370"/>
      <c r="G109" s="1525">
        <v>500</v>
      </c>
      <c r="H109" s="1370">
        <v>80</v>
      </c>
      <c r="I109" s="1370">
        <f t="shared" si="27"/>
        <v>800</v>
      </c>
      <c r="J109" s="1370">
        <v>80</v>
      </c>
      <c r="K109" s="1370">
        <v>0</v>
      </c>
      <c r="L109" s="1526">
        <f t="shared" si="28"/>
        <v>0</v>
      </c>
      <c r="M109" s="1370">
        <f t="shared" si="24"/>
        <v>80</v>
      </c>
      <c r="N109" s="1371">
        <v>10</v>
      </c>
      <c r="O109" s="1371">
        <f t="shared" si="17"/>
        <v>800</v>
      </c>
      <c r="P109" s="1526"/>
      <c r="Q109" s="1370">
        <f t="shared" si="18"/>
        <v>0</v>
      </c>
      <c r="R109" s="1370">
        <v>80</v>
      </c>
      <c r="S109" s="1526">
        <f t="shared" si="25"/>
        <v>800</v>
      </c>
      <c r="T109" s="1526"/>
      <c r="U109" s="1526">
        <f t="shared" si="26"/>
        <v>0</v>
      </c>
      <c r="V109" s="1370"/>
      <c r="W109" s="1526">
        <f t="shared" si="19"/>
        <v>0</v>
      </c>
      <c r="X109" s="1370">
        <f t="shared" si="22"/>
        <v>80</v>
      </c>
      <c r="Y109" s="1370">
        <f t="shared" si="20"/>
        <v>800</v>
      </c>
      <c r="Z109" s="1527" t="s">
        <v>7799</v>
      </c>
      <c r="AA109" s="1379" t="s">
        <v>6525</v>
      </c>
      <c r="AB109" s="1487" t="str">
        <f t="shared" si="21"/>
        <v>ok</v>
      </c>
      <c r="AC109" s="1487" t="str">
        <f t="shared" si="23"/>
        <v>ok</v>
      </c>
    </row>
    <row r="110" spans="1:29" s="1280" customFormat="1" ht="23.25" customHeight="1" x14ac:dyDescent="0.6">
      <c r="A110" s="1432">
        <v>103</v>
      </c>
      <c r="B110" s="1539" t="s">
        <v>8163</v>
      </c>
      <c r="C110" s="1540" t="s">
        <v>7960</v>
      </c>
      <c r="D110" s="1526"/>
      <c r="E110" s="1529">
        <v>500</v>
      </c>
      <c r="F110" s="1370"/>
      <c r="G110" s="1525">
        <v>500</v>
      </c>
      <c r="H110" s="1370">
        <v>20</v>
      </c>
      <c r="I110" s="1370">
        <f t="shared" si="27"/>
        <v>200</v>
      </c>
      <c r="J110" s="1370">
        <v>20</v>
      </c>
      <c r="K110" s="1370">
        <v>0</v>
      </c>
      <c r="L110" s="1526">
        <f t="shared" si="28"/>
        <v>0</v>
      </c>
      <c r="M110" s="1370">
        <f t="shared" si="24"/>
        <v>20</v>
      </c>
      <c r="N110" s="1371">
        <v>10</v>
      </c>
      <c r="O110" s="1371">
        <f t="shared" si="17"/>
        <v>200</v>
      </c>
      <c r="P110" s="1526"/>
      <c r="Q110" s="1370">
        <f t="shared" si="18"/>
        <v>0</v>
      </c>
      <c r="R110" s="1370">
        <v>20</v>
      </c>
      <c r="S110" s="1526">
        <f t="shared" si="25"/>
        <v>200</v>
      </c>
      <c r="T110" s="1526"/>
      <c r="U110" s="1526">
        <f t="shared" si="26"/>
        <v>0</v>
      </c>
      <c r="V110" s="1370"/>
      <c r="W110" s="1526">
        <f t="shared" si="19"/>
        <v>0</v>
      </c>
      <c r="X110" s="1370">
        <f t="shared" si="22"/>
        <v>20</v>
      </c>
      <c r="Y110" s="1370">
        <f t="shared" si="20"/>
        <v>200</v>
      </c>
      <c r="Z110" s="1527" t="s">
        <v>7799</v>
      </c>
      <c r="AA110" s="1379" t="s">
        <v>6525</v>
      </c>
      <c r="AB110" s="1487" t="str">
        <f t="shared" si="21"/>
        <v>ok</v>
      </c>
      <c r="AC110" s="1487" t="str">
        <f t="shared" si="23"/>
        <v>ok</v>
      </c>
    </row>
    <row r="111" spans="1:29" s="1280" customFormat="1" ht="23.25" customHeight="1" x14ac:dyDescent="0.6">
      <c r="A111" s="1432">
        <v>104</v>
      </c>
      <c r="B111" s="1539" t="s">
        <v>8164</v>
      </c>
      <c r="C111" s="1540" t="s">
        <v>7960</v>
      </c>
      <c r="D111" s="1526"/>
      <c r="E111" s="1529">
        <v>500</v>
      </c>
      <c r="F111" s="1370"/>
      <c r="G111" s="1525">
        <v>500</v>
      </c>
      <c r="H111" s="1370">
        <v>50</v>
      </c>
      <c r="I111" s="1370">
        <f t="shared" si="27"/>
        <v>500</v>
      </c>
      <c r="J111" s="1370">
        <v>50</v>
      </c>
      <c r="K111" s="1370">
        <v>10</v>
      </c>
      <c r="L111" s="1526">
        <f t="shared" si="28"/>
        <v>100</v>
      </c>
      <c r="M111" s="1370">
        <f t="shared" si="24"/>
        <v>40</v>
      </c>
      <c r="N111" s="1371">
        <v>10</v>
      </c>
      <c r="O111" s="1371">
        <f t="shared" si="17"/>
        <v>400</v>
      </c>
      <c r="P111" s="1526"/>
      <c r="Q111" s="1370">
        <f t="shared" si="18"/>
        <v>0</v>
      </c>
      <c r="R111" s="1526">
        <v>30</v>
      </c>
      <c r="S111" s="1526">
        <f t="shared" si="25"/>
        <v>300</v>
      </c>
      <c r="T111" s="1370">
        <v>10</v>
      </c>
      <c r="U111" s="1526">
        <f t="shared" si="26"/>
        <v>100</v>
      </c>
      <c r="V111" s="1370"/>
      <c r="W111" s="1526">
        <f t="shared" si="19"/>
        <v>0</v>
      </c>
      <c r="X111" s="1370">
        <f t="shared" si="22"/>
        <v>40</v>
      </c>
      <c r="Y111" s="1370">
        <f t="shared" si="20"/>
        <v>400</v>
      </c>
      <c r="Z111" s="1527" t="s">
        <v>7799</v>
      </c>
      <c r="AA111" s="1379" t="s">
        <v>6525</v>
      </c>
      <c r="AB111" s="1487" t="str">
        <f t="shared" si="21"/>
        <v>ok</v>
      </c>
      <c r="AC111" s="1487" t="str">
        <f t="shared" si="23"/>
        <v>ok</v>
      </c>
    </row>
    <row r="112" spans="1:29" s="1280" customFormat="1" ht="23.25" customHeight="1" x14ac:dyDescent="0.6">
      <c r="A112" s="1432">
        <v>105</v>
      </c>
      <c r="B112" s="1539" t="s">
        <v>8165</v>
      </c>
      <c r="C112" s="1540" t="s">
        <v>7960</v>
      </c>
      <c r="D112" s="1526"/>
      <c r="E112" s="1529">
        <v>3850</v>
      </c>
      <c r="F112" s="1370"/>
      <c r="G112" s="1525">
        <v>3850</v>
      </c>
      <c r="H112" s="1370">
        <v>325</v>
      </c>
      <c r="I112" s="1370">
        <f t="shared" si="27"/>
        <v>3412.5</v>
      </c>
      <c r="J112" s="1370">
        <v>325</v>
      </c>
      <c r="K112" s="1370">
        <v>0</v>
      </c>
      <c r="L112" s="1526">
        <f t="shared" si="28"/>
        <v>0</v>
      </c>
      <c r="M112" s="1370">
        <f t="shared" si="24"/>
        <v>325</v>
      </c>
      <c r="N112" s="1371">
        <v>10.5</v>
      </c>
      <c r="O112" s="1371">
        <f t="shared" si="17"/>
        <v>3412.5</v>
      </c>
      <c r="P112" s="1526"/>
      <c r="Q112" s="1370">
        <f t="shared" si="18"/>
        <v>0</v>
      </c>
      <c r="R112" s="1526">
        <v>300</v>
      </c>
      <c r="S112" s="1526">
        <f t="shared" si="25"/>
        <v>3150</v>
      </c>
      <c r="T112" s="1370">
        <v>25</v>
      </c>
      <c r="U112" s="1526">
        <f t="shared" si="26"/>
        <v>262.5</v>
      </c>
      <c r="V112" s="1370"/>
      <c r="W112" s="1526">
        <f t="shared" si="19"/>
        <v>0</v>
      </c>
      <c r="X112" s="1370">
        <f t="shared" si="22"/>
        <v>325</v>
      </c>
      <c r="Y112" s="1370">
        <f t="shared" si="20"/>
        <v>3412.5</v>
      </c>
      <c r="Z112" s="1527" t="s">
        <v>7799</v>
      </c>
      <c r="AA112" s="1379" t="s">
        <v>6525</v>
      </c>
      <c r="AB112" s="1487" t="str">
        <f t="shared" si="21"/>
        <v>ok</v>
      </c>
      <c r="AC112" s="1487" t="str">
        <f t="shared" si="23"/>
        <v>ok</v>
      </c>
    </row>
    <row r="113" spans="1:29" s="1280" customFormat="1" ht="23.25" customHeight="1" x14ac:dyDescent="0.6">
      <c r="A113" s="1432">
        <v>106</v>
      </c>
      <c r="B113" s="1539" t="s">
        <v>8166</v>
      </c>
      <c r="C113" s="1540" t="s">
        <v>7960</v>
      </c>
      <c r="D113" s="1526"/>
      <c r="E113" s="1529">
        <v>870</v>
      </c>
      <c r="F113" s="1370"/>
      <c r="G113" s="1525">
        <v>870</v>
      </c>
      <c r="H113" s="1370">
        <v>45</v>
      </c>
      <c r="I113" s="1370">
        <f t="shared" si="27"/>
        <v>472.5</v>
      </c>
      <c r="J113" s="1370">
        <v>50</v>
      </c>
      <c r="K113" s="1370">
        <v>10</v>
      </c>
      <c r="L113" s="1526">
        <f t="shared" si="28"/>
        <v>105</v>
      </c>
      <c r="M113" s="1370">
        <f t="shared" si="24"/>
        <v>40</v>
      </c>
      <c r="N113" s="1371">
        <v>10.5</v>
      </c>
      <c r="O113" s="1371">
        <f t="shared" si="17"/>
        <v>420</v>
      </c>
      <c r="P113" s="1526"/>
      <c r="Q113" s="1370">
        <f t="shared" si="18"/>
        <v>0</v>
      </c>
      <c r="R113" s="1526">
        <v>30</v>
      </c>
      <c r="S113" s="1526">
        <f t="shared" si="25"/>
        <v>315</v>
      </c>
      <c r="T113" s="1370">
        <v>10</v>
      </c>
      <c r="U113" s="1526">
        <f t="shared" si="26"/>
        <v>105</v>
      </c>
      <c r="V113" s="1370"/>
      <c r="W113" s="1526">
        <f t="shared" si="19"/>
        <v>0</v>
      </c>
      <c r="X113" s="1370">
        <f t="shared" si="22"/>
        <v>40</v>
      </c>
      <c r="Y113" s="1370">
        <f t="shared" si="20"/>
        <v>420</v>
      </c>
      <c r="Z113" s="1527" t="s">
        <v>7799</v>
      </c>
      <c r="AA113" s="1379" t="s">
        <v>6525</v>
      </c>
      <c r="AB113" s="1487" t="str">
        <f t="shared" si="21"/>
        <v>ok</v>
      </c>
      <c r="AC113" s="1487" t="str">
        <f t="shared" si="23"/>
        <v>ok</v>
      </c>
    </row>
    <row r="114" spans="1:29" s="1280" customFormat="1" ht="23.25" customHeight="1" x14ac:dyDescent="0.6">
      <c r="A114" s="1432">
        <v>107</v>
      </c>
      <c r="B114" s="1539" t="s">
        <v>8167</v>
      </c>
      <c r="C114" s="1540" t="s">
        <v>7960</v>
      </c>
      <c r="D114" s="1526"/>
      <c r="E114" s="1529">
        <v>3100</v>
      </c>
      <c r="F114" s="1370"/>
      <c r="G114" s="1525">
        <v>3100</v>
      </c>
      <c r="H114" s="1370">
        <v>218</v>
      </c>
      <c r="I114" s="1370">
        <f t="shared" si="27"/>
        <v>2180</v>
      </c>
      <c r="J114" s="1370">
        <v>218</v>
      </c>
      <c r="K114" s="1370">
        <v>30</v>
      </c>
      <c r="L114" s="1526">
        <f t="shared" si="28"/>
        <v>300</v>
      </c>
      <c r="M114" s="1370">
        <f t="shared" si="24"/>
        <v>188</v>
      </c>
      <c r="N114" s="1371">
        <v>10</v>
      </c>
      <c r="O114" s="1371">
        <f t="shared" si="17"/>
        <v>1880</v>
      </c>
      <c r="P114" s="1370"/>
      <c r="Q114" s="1370">
        <f t="shared" si="18"/>
        <v>0</v>
      </c>
      <c r="R114" s="1526">
        <v>100</v>
      </c>
      <c r="S114" s="1526">
        <f t="shared" si="25"/>
        <v>1000</v>
      </c>
      <c r="T114" s="1370">
        <v>88</v>
      </c>
      <c r="U114" s="1526">
        <f t="shared" si="26"/>
        <v>880</v>
      </c>
      <c r="V114" s="1526"/>
      <c r="W114" s="1526">
        <f t="shared" si="19"/>
        <v>0</v>
      </c>
      <c r="X114" s="1370">
        <f t="shared" si="22"/>
        <v>188</v>
      </c>
      <c r="Y114" s="1370">
        <f t="shared" si="20"/>
        <v>1880</v>
      </c>
      <c r="Z114" s="1527" t="s">
        <v>7799</v>
      </c>
      <c r="AA114" s="1379" t="s">
        <v>6525</v>
      </c>
      <c r="AB114" s="1487" t="str">
        <f t="shared" si="21"/>
        <v>ok</v>
      </c>
      <c r="AC114" s="1487" t="str">
        <f t="shared" si="23"/>
        <v>ok</v>
      </c>
    </row>
    <row r="115" spans="1:29" s="1280" customFormat="1" ht="23.25" customHeight="1" x14ac:dyDescent="0.6">
      <c r="A115" s="1432">
        <v>108</v>
      </c>
      <c r="B115" s="1539" t="s">
        <v>8168</v>
      </c>
      <c r="C115" s="1540" t="s">
        <v>8052</v>
      </c>
      <c r="D115" s="1526"/>
      <c r="E115" s="1529">
        <v>1200</v>
      </c>
      <c r="F115" s="1381"/>
      <c r="G115" s="1525">
        <v>1200</v>
      </c>
      <c r="H115" s="1370">
        <v>100</v>
      </c>
      <c r="I115" s="1370">
        <f t="shared" si="27"/>
        <v>3000</v>
      </c>
      <c r="J115" s="1370">
        <v>100</v>
      </c>
      <c r="K115" s="1370">
        <v>0</v>
      </c>
      <c r="L115" s="1526">
        <f t="shared" si="28"/>
        <v>0</v>
      </c>
      <c r="M115" s="1370">
        <f t="shared" si="24"/>
        <v>100</v>
      </c>
      <c r="N115" s="1370">
        <v>30</v>
      </c>
      <c r="O115" s="1371">
        <f t="shared" si="17"/>
        <v>3000</v>
      </c>
      <c r="P115" s="1526"/>
      <c r="Q115" s="1370">
        <f t="shared" si="18"/>
        <v>0</v>
      </c>
      <c r="R115" s="1526">
        <v>100</v>
      </c>
      <c r="S115" s="1526">
        <f t="shared" si="25"/>
        <v>3000</v>
      </c>
      <c r="T115" s="1526"/>
      <c r="U115" s="1526">
        <f t="shared" si="26"/>
        <v>0</v>
      </c>
      <c r="V115" s="1526"/>
      <c r="W115" s="1526">
        <f t="shared" si="19"/>
        <v>0</v>
      </c>
      <c r="X115" s="1370">
        <f t="shared" si="22"/>
        <v>100</v>
      </c>
      <c r="Y115" s="1370">
        <f t="shared" si="20"/>
        <v>3000</v>
      </c>
      <c r="Z115" s="1527" t="s">
        <v>7799</v>
      </c>
      <c r="AA115" s="1379" t="s">
        <v>6525</v>
      </c>
      <c r="AB115" s="1487" t="str">
        <f t="shared" si="21"/>
        <v>ok</v>
      </c>
      <c r="AC115" s="1487" t="str">
        <f t="shared" si="23"/>
        <v>ok</v>
      </c>
    </row>
    <row r="116" spans="1:29" s="1280" customFormat="1" ht="23.25" customHeight="1" x14ac:dyDescent="0.6">
      <c r="A116" s="1432">
        <v>109</v>
      </c>
      <c r="B116" s="1539" t="s">
        <v>8169</v>
      </c>
      <c r="C116" s="1540" t="s">
        <v>8052</v>
      </c>
      <c r="D116" s="1526"/>
      <c r="E116" s="1529">
        <v>1200</v>
      </c>
      <c r="F116" s="1370"/>
      <c r="G116" s="1525">
        <v>1200</v>
      </c>
      <c r="H116" s="1370">
        <v>75</v>
      </c>
      <c r="I116" s="1370">
        <f t="shared" si="27"/>
        <v>3375</v>
      </c>
      <c r="J116" s="1370">
        <v>50</v>
      </c>
      <c r="K116" s="1370">
        <v>0</v>
      </c>
      <c r="L116" s="1526">
        <f t="shared" si="28"/>
        <v>0</v>
      </c>
      <c r="M116" s="1370">
        <f t="shared" si="24"/>
        <v>50</v>
      </c>
      <c r="N116" s="1371">
        <v>45</v>
      </c>
      <c r="O116" s="1371">
        <f t="shared" si="17"/>
        <v>2250</v>
      </c>
      <c r="P116" s="1526"/>
      <c r="Q116" s="1370">
        <f t="shared" si="18"/>
        <v>0</v>
      </c>
      <c r="R116" s="1526">
        <v>50</v>
      </c>
      <c r="S116" s="1526">
        <f t="shared" si="25"/>
        <v>2250</v>
      </c>
      <c r="T116" s="1370"/>
      <c r="U116" s="1526">
        <f t="shared" si="26"/>
        <v>0</v>
      </c>
      <c r="V116" s="1370"/>
      <c r="W116" s="1526">
        <f t="shared" si="19"/>
        <v>0</v>
      </c>
      <c r="X116" s="1370">
        <f t="shared" si="22"/>
        <v>50</v>
      </c>
      <c r="Y116" s="1370">
        <f t="shared" si="20"/>
        <v>2250</v>
      </c>
      <c r="Z116" s="1527" t="s">
        <v>7799</v>
      </c>
      <c r="AA116" s="1379" t="s">
        <v>6525</v>
      </c>
      <c r="AB116" s="1487" t="str">
        <f t="shared" si="21"/>
        <v>ok</v>
      </c>
      <c r="AC116" s="1487" t="str">
        <f t="shared" si="23"/>
        <v>ok</v>
      </c>
    </row>
    <row r="117" spans="1:29" s="1280" customFormat="1" ht="23.25" customHeight="1" x14ac:dyDescent="0.6">
      <c r="A117" s="1432">
        <v>110</v>
      </c>
      <c r="B117" s="1539" t="s">
        <v>8170</v>
      </c>
      <c r="C117" s="1540" t="s">
        <v>8052</v>
      </c>
      <c r="D117" s="1526"/>
      <c r="E117" s="1529">
        <v>440</v>
      </c>
      <c r="F117" s="1370"/>
      <c r="G117" s="1525">
        <v>440</v>
      </c>
      <c r="H117" s="1370">
        <v>400</v>
      </c>
      <c r="I117" s="1370">
        <f t="shared" si="27"/>
        <v>6000</v>
      </c>
      <c r="J117" s="1370">
        <v>400</v>
      </c>
      <c r="K117" s="1370">
        <v>50</v>
      </c>
      <c r="L117" s="1526">
        <f t="shared" si="28"/>
        <v>750</v>
      </c>
      <c r="M117" s="1370">
        <f t="shared" si="24"/>
        <v>350</v>
      </c>
      <c r="N117" s="1371">
        <v>15</v>
      </c>
      <c r="O117" s="1371">
        <f t="shared" si="17"/>
        <v>5250</v>
      </c>
      <c r="P117" s="1526"/>
      <c r="Q117" s="1370">
        <f t="shared" si="18"/>
        <v>0</v>
      </c>
      <c r="R117" s="1370">
        <v>100</v>
      </c>
      <c r="S117" s="1526">
        <f t="shared" si="25"/>
        <v>1500</v>
      </c>
      <c r="T117" s="1526">
        <v>150</v>
      </c>
      <c r="U117" s="1526">
        <f t="shared" si="26"/>
        <v>2250</v>
      </c>
      <c r="V117" s="1370">
        <v>100</v>
      </c>
      <c r="W117" s="1526">
        <f t="shared" si="19"/>
        <v>1500</v>
      </c>
      <c r="X117" s="1370">
        <f t="shared" si="22"/>
        <v>350</v>
      </c>
      <c r="Y117" s="1370">
        <f t="shared" si="20"/>
        <v>5250</v>
      </c>
      <c r="Z117" s="1527" t="s">
        <v>7799</v>
      </c>
      <c r="AA117" s="1379" t="s">
        <v>6525</v>
      </c>
      <c r="AB117" s="1487" t="str">
        <f t="shared" si="21"/>
        <v>ok</v>
      </c>
      <c r="AC117" s="1487" t="str">
        <f t="shared" si="23"/>
        <v>ok</v>
      </c>
    </row>
    <row r="118" spans="1:29" s="1280" customFormat="1" ht="23.25" customHeight="1" x14ac:dyDescent="0.6">
      <c r="A118" s="1432">
        <v>111</v>
      </c>
      <c r="B118" s="1539" t="s">
        <v>8171</v>
      </c>
      <c r="C118" s="1540" t="s">
        <v>8052</v>
      </c>
      <c r="D118" s="1526"/>
      <c r="E118" s="1529">
        <v>1200</v>
      </c>
      <c r="F118" s="1370"/>
      <c r="G118" s="1525">
        <v>1200</v>
      </c>
      <c r="H118" s="1370">
        <v>170</v>
      </c>
      <c r="I118" s="1370">
        <f t="shared" si="27"/>
        <v>3366</v>
      </c>
      <c r="J118" s="1370">
        <v>170</v>
      </c>
      <c r="K118" s="1370">
        <v>70</v>
      </c>
      <c r="L118" s="1526">
        <f t="shared" si="28"/>
        <v>1386</v>
      </c>
      <c r="M118" s="1370">
        <f t="shared" si="24"/>
        <v>100</v>
      </c>
      <c r="N118" s="1371">
        <v>19.8</v>
      </c>
      <c r="O118" s="1371">
        <f t="shared" si="17"/>
        <v>1980</v>
      </c>
      <c r="P118" s="1526"/>
      <c r="Q118" s="1370">
        <f t="shared" si="18"/>
        <v>0</v>
      </c>
      <c r="R118" s="1370">
        <v>100</v>
      </c>
      <c r="S118" s="1526">
        <f t="shared" si="25"/>
        <v>1980</v>
      </c>
      <c r="T118" s="1526"/>
      <c r="U118" s="1526">
        <f t="shared" si="26"/>
        <v>0</v>
      </c>
      <c r="V118" s="1370"/>
      <c r="W118" s="1526">
        <f t="shared" si="19"/>
        <v>0</v>
      </c>
      <c r="X118" s="1370">
        <f t="shared" si="22"/>
        <v>100</v>
      </c>
      <c r="Y118" s="1370">
        <f t="shared" si="20"/>
        <v>1980</v>
      </c>
      <c r="Z118" s="1527" t="s">
        <v>7799</v>
      </c>
      <c r="AA118" s="1379" t="s">
        <v>6525</v>
      </c>
      <c r="AB118" s="1487" t="str">
        <f t="shared" si="21"/>
        <v>ok</v>
      </c>
      <c r="AC118" s="1487" t="str">
        <f t="shared" si="23"/>
        <v>ok</v>
      </c>
    </row>
    <row r="119" spans="1:29" s="1280" customFormat="1" ht="23.25" customHeight="1" x14ac:dyDescent="0.6">
      <c r="A119" s="1432">
        <v>112</v>
      </c>
      <c r="B119" s="1539" t="s">
        <v>8172</v>
      </c>
      <c r="C119" s="1540" t="s">
        <v>7808</v>
      </c>
      <c r="D119" s="1526"/>
      <c r="E119" s="1529">
        <v>3143</v>
      </c>
      <c r="F119" s="1370"/>
      <c r="G119" s="1525">
        <v>3143</v>
      </c>
      <c r="H119" s="1370">
        <v>174</v>
      </c>
      <c r="I119" s="1370">
        <f t="shared" si="27"/>
        <v>6786</v>
      </c>
      <c r="J119" s="1370">
        <v>174</v>
      </c>
      <c r="K119" s="1370">
        <v>10</v>
      </c>
      <c r="L119" s="1526">
        <f t="shared" si="28"/>
        <v>390</v>
      </c>
      <c r="M119" s="1370">
        <f t="shared" si="24"/>
        <v>164</v>
      </c>
      <c r="N119" s="1371">
        <v>39</v>
      </c>
      <c r="O119" s="1371">
        <f t="shared" si="17"/>
        <v>6396</v>
      </c>
      <c r="P119" s="1526">
        <v>40</v>
      </c>
      <c r="Q119" s="1370">
        <f t="shared" si="18"/>
        <v>1560</v>
      </c>
      <c r="R119" s="1526">
        <v>50</v>
      </c>
      <c r="S119" s="1526">
        <f t="shared" si="25"/>
        <v>1950</v>
      </c>
      <c r="T119" s="1370">
        <v>74</v>
      </c>
      <c r="U119" s="1526">
        <f t="shared" si="26"/>
        <v>2886</v>
      </c>
      <c r="V119" s="1370"/>
      <c r="W119" s="1526">
        <f t="shared" si="19"/>
        <v>0</v>
      </c>
      <c r="X119" s="1370">
        <f t="shared" si="22"/>
        <v>164</v>
      </c>
      <c r="Y119" s="1370">
        <f t="shared" si="20"/>
        <v>6396</v>
      </c>
      <c r="Z119" s="1527" t="s">
        <v>7799</v>
      </c>
      <c r="AA119" s="1379" t="s">
        <v>6525</v>
      </c>
      <c r="AB119" s="1487" t="str">
        <f t="shared" si="21"/>
        <v>ok</v>
      </c>
      <c r="AC119" s="1487" t="str">
        <f t="shared" si="23"/>
        <v>ok</v>
      </c>
    </row>
    <row r="120" spans="1:29" s="1280" customFormat="1" ht="23.25" customHeight="1" x14ac:dyDescent="0.6">
      <c r="A120" s="1432">
        <v>113</v>
      </c>
      <c r="B120" s="1539" t="s">
        <v>8173</v>
      </c>
      <c r="C120" s="1540" t="s">
        <v>7808</v>
      </c>
      <c r="D120" s="1526"/>
      <c r="E120" s="1529">
        <v>1050</v>
      </c>
      <c r="F120" s="1370"/>
      <c r="G120" s="1525">
        <v>1050</v>
      </c>
      <c r="H120" s="1370">
        <v>0</v>
      </c>
      <c r="I120" s="1370">
        <f t="shared" si="27"/>
        <v>0</v>
      </c>
      <c r="J120" s="1370">
        <v>1</v>
      </c>
      <c r="K120" s="1370">
        <v>0</v>
      </c>
      <c r="L120" s="1526">
        <f t="shared" si="28"/>
        <v>0</v>
      </c>
      <c r="M120" s="1370">
        <f t="shared" si="24"/>
        <v>1</v>
      </c>
      <c r="N120" s="1371"/>
      <c r="O120" s="1371">
        <f t="shared" si="17"/>
        <v>0</v>
      </c>
      <c r="P120" s="1526"/>
      <c r="Q120" s="1370">
        <f t="shared" si="18"/>
        <v>0</v>
      </c>
      <c r="R120" s="1526">
        <v>1</v>
      </c>
      <c r="S120" s="1526">
        <f t="shared" si="25"/>
        <v>0</v>
      </c>
      <c r="T120" s="1370"/>
      <c r="U120" s="1526">
        <f t="shared" si="26"/>
        <v>0</v>
      </c>
      <c r="V120" s="1370"/>
      <c r="W120" s="1526">
        <f t="shared" si="19"/>
        <v>0</v>
      </c>
      <c r="X120" s="1370">
        <f t="shared" si="22"/>
        <v>1</v>
      </c>
      <c r="Y120" s="1370">
        <f t="shared" si="20"/>
        <v>0</v>
      </c>
      <c r="Z120" s="1527" t="s">
        <v>7799</v>
      </c>
      <c r="AA120" s="1379" t="s">
        <v>6525</v>
      </c>
      <c r="AB120" s="1487" t="str">
        <f t="shared" si="21"/>
        <v>ok</v>
      </c>
      <c r="AC120" s="1487" t="str">
        <f t="shared" si="23"/>
        <v>ok</v>
      </c>
    </row>
    <row r="121" spans="1:29" s="1280" customFormat="1" ht="23.25" customHeight="1" x14ac:dyDescent="0.6">
      <c r="A121" s="1432">
        <v>114</v>
      </c>
      <c r="B121" s="1539" t="s">
        <v>8174</v>
      </c>
      <c r="C121" s="1540" t="s">
        <v>7808</v>
      </c>
      <c r="D121" s="1526"/>
      <c r="E121" s="1529">
        <v>750</v>
      </c>
      <c r="F121" s="1370"/>
      <c r="G121" s="1525">
        <v>750</v>
      </c>
      <c r="H121" s="1370">
        <v>0</v>
      </c>
      <c r="I121" s="1370">
        <f t="shared" si="27"/>
        <v>0</v>
      </c>
      <c r="J121" s="1370">
        <v>1</v>
      </c>
      <c r="K121" s="1370">
        <v>0</v>
      </c>
      <c r="L121" s="1526">
        <f t="shared" si="28"/>
        <v>0</v>
      </c>
      <c r="M121" s="1370">
        <f t="shared" si="24"/>
        <v>1</v>
      </c>
      <c r="N121" s="1371">
        <v>310</v>
      </c>
      <c r="O121" s="1371">
        <f t="shared" si="17"/>
        <v>310</v>
      </c>
      <c r="P121" s="1370"/>
      <c r="Q121" s="1370">
        <f t="shared" si="18"/>
        <v>0</v>
      </c>
      <c r="R121" s="1526">
        <v>1</v>
      </c>
      <c r="S121" s="1526">
        <f t="shared" si="25"/>
        <v>310</v>
      </c>
      <c r="T121" s="1370"/>
      <c r="U121" s="1526">
        <f t="shared" si="26"/>
        <v>0</v>
      </c>
      <c r="V121" s="1526"/>
      <c r="W121" s="1526">
        <f t="shared" si="19"/>
        <v>0</v>
      </c>
      <c r="X121" s="1370">
        <f t="shared" si="22"/>
        <v>1</v>
      </c>
      <c r="Y121" s="1370">
        <f t="shared" si="20"/>
        <v>310</v>
      </c>
      <c r="Z121" s="1527" t="s">
        <v>7799</v>
      </c>
      <c r="AA121" s="1379" t="s">
        <v>6525</v>
      </c>
      <c r="AB121" s="1487" t="str">
        <f t="shared" si="21"/>
        <v>ok</v>
      </c>
      <c r="AC121" s="1487" t="str">
        <f t="shared" si="23"/>
        <v>ok</v>
      </c>
    </row>
    <row r="122" spans="1:29" s="1280" customFormat="1" ht="23.25" customHeight="1" x14ac:dyDescent="0.6">
      <c r="A122" s="1432">
        <v>115</v>
      </c>
      <c r="B122" s="1539" t="s">
        <v>8175</v>
      </c>
      <c r="C122" s="1540" t="s">
        <v>7816</v>
      </c>
      <c r="D122" s="1526"/>
      <c r="E122" s="1529">
        <v>2461</v>
      </c>
      <c r="F122" s="1381"/>
      <c r="G122" s="1525">
        <v>2461</v>
      </c>
      <c r="H122" s="1370">
        <v>2</v>
      </c>
      <c r="I122" s="1370">
        <f t="shared" si="27"/>
        <v>4922</v>
      </c>
      <c r="J122" s="1370">
        <v>2</v>
      </c>
      <c r="K122" s="1370">
        <v>1</v>
      </c>
      <c r="L122" s="1526">
        <f t="shared" si="28"/>
        <v>2461</v>
      </c>
      <c r="M122" s="1370">
        <f t="shared" si="24"/>
        <v>1</v>
      </c>
      <c r="N122" s="1370">
        <v>2461</v>
      </c>
      <c r="O122" s="1371">
        <f t="shared" si="17"/>
        <v>2461</v>
      </c>
      <c r="P122" s="1526"/>
      <c r="Q122" s="1370">
        <f t="shared" si="18"/>
        <v>0</v>
      </c>
      <c r="R122" s="1526">
        <v>1</v>
      </c>
      <c r="S122" s="1526">
        <f t="shared" si="25"/>
        <v>2461</v>
      </c>
      <c r="T122" s="1526"/>
      <c r="U122" s="1526">
        <f t="shared" si="26"/>
        <v>0</v>
      </c>
      <c r="V122" s="1526"/>
      <c r="W122" s="1526">
        <f t="shared" si="19"/>
        <v>0</v>
      </c>
      <c r="X122" s="1370">
        <f t="shared" si="22"/>
        <v>1</v>
      </c>
      <c r="Y122" s="1370">
        <f t="shared" si="20"/>
        <v>2461</v>
      </c>
      <c r="Z122" s="1527" t="s">
        <v>7799</v>
      </c>
      <c r="AA122" s="1379" t="s">
        <v>6525</v>
      </c>
      <c r="AB122" s="1487" t="str">
        <f t="shared" si="21"/>
        <v>ok</v>
      </c>
      <c r="AC122" s="1487" t="str">
        <f t="shared" si="23"/>
        <v>ok</v>
      </c>
    </row>
    <row r="123" spans="1:29" s="1280" customFormat="1" ht="23.25" customHeight="1" x14ac:dyDescent="0.6">
      <c r="A123" s="1432">
        <v>116</v>
      </c>
      <c r="B123" s="1539" t="s">
        <v>8176</v>
      </c>
      <c r="C123" s="1540" t="s">
        <v>7816</v>
      </c>
      <c r="D123" s="1526"/>
      <c r="E123" s="1529">
        <v>19795</v>
      </c>
      <c r="F123" s="1370"/>
      <c r="G123" s="1525">
        <v>19795</v>
      </c>
      <c r="H123" s="1370">
        <v>5</v>
      </c>
      <c r="I123" s="1370">
        <f t="shared" si="27"/>
        <v>16710</v>
      </c>
      <c r="J123" s="1370">
        <v>5</v>
      </c>
      <c r="K123" s="1370">
        <v>0</v>
      </c>
      <c r="L123" s="1526">
        <f t="shared" si="28"/>
        <v>0</v>
      </c>
      <c r="M123" s="1370">
        <f t="shared" si="24"/>
        <v>5</v>
      </c>
      <c r="N123" s="1371">
        <v>3342</v>
      </c>
      <c r="O123" s="1371">
        <f t="shared" si="17"/>
        <v>16710</v>
      </c>
      <c r="P123" s="1526"/>
      <c r="Q123" s="1370">
        <f t="shared" si="18"/>
        <v>0</v>
      </c>
      <c r="R123" s="1526">
        <v>3</v>
      </c>
      <c r="S123" s="1526">
        <f t="shared" si="25"/>
        <v>10026</v>
      </c>
      <c r="T123" s="1370">
        <v>2</v>
      </c>
      <c r="U123" s="1526">
        <f t="shared" si="26"/>
        <v>6684</v>
      </c>
      <c r="V123" s="1370"/>
      <c r="W123" s="1526">
        <f t="shared" si="19"/>
        <v>0</v>
      </c>
      <c r="X123" s="1370">
        <f t="shared" si="22"/>
        <v>5</v>
      </c>
      <c r="Y123" s="1370">
        <f t="shared" si="20"/>
        <v>16710</v>
      </c>
      <c r="Z123" s="1527" t="s">
        <v>7799</v>
      </c>
      <c r="AA123" s="1379" t="s">
        <v>6525</v>
      </c>
      <c r="AB123" s="1487" t="str">
        <f t="shared" si="21"/>
        <v>ok</v>
      </c>
      <c r="AC123" s="1487" t="str">
        <f t="shared" si="23"/>
        <v>ok</v>
      </c>
    </row>
    <row r="124" spans="1:29" s="1280" customFormat="1" ht="23.25" customHeight="1" x14ac:dyDescent="0.6">
      <c r="A124" s="1432">
        <v>117</v>
      </c>
      <c r="B124" s="1539" t="s">
        <v>8177</v>
      </c>
      <c r="C124" s="1540" t="s">
        <v>7816</v>
      </c>
      <c r="D124" s="1526"/>
      <c r="E124" s="1529">
        <v>28890</v>
      </c>
      <c r="F124" s="1370"/>
      <c r="G124" s="1525">
        <v>28890</v>
      </c>
      <c r="H124" s="1370">
        <v>11</v>
      </c>
      <c r="I124" s="1370">
        <f t="shared" si="27"/>
        <v>47355</v>
      </c>
      <c r="J124" s="1370">
        <v>11</v>
      </c>
      <c r="K124" s="1370">
        <v>0</v>
      </c>
      <c r="L124" s="1526">
        <f t="shared" si="28"/>
        <v>0</v>
      </c>
      <c r="M124" s="1370">
        <f t="shared" si="24"/>
        <v>11</v>
      </c>
      <c r="N124" s="1371">
        <v>4305</v>
      </c>
      <c r="O124" s="1371">
        <f t="shared" si="17"/>
        <v>47355</v>
      </c>
      <c r="P124" s="1526">
        <v>2</v>
      </c>
      <c r="Q124" s="1370">
        <f t="shared" si="18"/>
        <v>8610</v>
      </c>
      <c r="R124" s="1526">
        <v>3</v>
      </c>
      <c r="S124" s="1526">
        <f t="shared" si="25"/>
        <v>12915</v>
      </c>
      <c r="T124" s="1370">
        <v>4</v>
      </c>
      <c r="U124" s="1526">
        <f t="shared" si="26"/>
        <v>17220</v>
      </c>
      <c r="V124" s="1370">
        <v>2</v>
      </c>
      <c r="W124" s="1526">
        <f t="shared" si="19"/>
        <v>8610</v>
      </c>
      <c r="X124" s="1370">
        <f t="shared" si="22"/>
        <v>11</v>
      </c>
      <c r="Y124" s="1370">
        <f t="shared" si="20"/>
        <v>47355</v>
      </c>
      <c r="Z124" s="1527" t="s">
        <v>7799</v>
      </c>
      <c r="AA124" s="1379" t="s">
        <v>6525</v>
      </c>
      <c r="AB124" s="1487" t="str">
        <f t="shared" si="21"/>
        <v>ok</v>
      </c>
      <c r="AC124" s="1487" t="str">
        <f t="shared" si="23"/>
        <v>ok</v>
      </c>
    </row>
    <row r="125" spans="1:29" s="1280" customFormat="1" ht="23.25" customHeight="1" x14ac:dyDescent="0.6">
      <c r="A125" s="1432">
        <v>118</v>
      </c>
      <c r="B125" s="1539" t="s">
        <v>8178</v>
      </c>
      <c r="C125" s="1540" t="s">
        <v>7798</v>
      </c>
      <c r="D125" s="1526"/>
      <c r="E125" s="1529">
        <v>500</v>
      </c>
      <c r="F125" s="1370"/>
      <c r="G125" s="1525">
        <v>500</v>
      </c>
      <c r="H125" s="1370">
        <v>48</v>
      </c>
      <c r="I125" s="1370">
        <f t="shared" si="27"/>
        <v>2160</v>
      </c>
      <c r="J125" s="1370">
        <v>50</v>
      </c>
      <c r="K125" s="1370">
        <v>5</v>
      </c>
      <c r="L125" s="1526">
        <f t="shared" si="28"/>
        <v>225</v>
      </c>
      <c r="M125" s="1370">
        <f t="shared" si="24"/>
        <v>45</v>
      </c>
      <c r="N125" s="1371">
        <v>45</v>
      </c>
      <c r="O125" s="1371">
        <f t="shared" si="17"/>
        <v>2025</v>
      </c>
      <c r="P125" s="1526"/>
      <c r="Q125" s="1370">
        <f t="shared" si="18"/>
        <v>0</v>
      </c>
      <c r="R125" s="1526">
        <v>15</v>
      </c>
      <c r="S125" s="1526">
        <f t="shared" si="25"/>
        <v>675</v>
      </c>
      <c r="T125" s="1370">
        <v>20</v>
      </c>
      <c r="U125" s="1526">
        <f t="shared" si="26"/>
        <v>900</v>
      </c>
      <c r="V125" s="1370">
        <v>10</v>
      </c>
      <c r="W125" s="1526">
        <f t="shared" si="19"/>
        <v>450</v>
      </c>
      <c r="X125" s="1370">
        <f t="shared" si="22"/>
        <v>45</v>
      </c>
      <c r="Y125" s="1370">
        <f t="shared" si="20"/>
        <v>2025</v>
      </c>
      <c r="Z125" s="1527" t="s">
        <v>7799</v>
      </c>
      <c r="AA125" s="1379" t="s">
        <v>6525</v>
      </c>
      <c r="AB125" s="1487" t="str">
        <f t="shared" si="21"/>
        <v>ok</v>
      </c>
      <c r="AC125" s="1487" t="str">
        <f t="shared" si="23"/>
        <v>ok</v>
      </c>
    </row>
    <row r="126" spans="1:29" s="1280" customFormat="1" ht="23.25" customHeight="1" x14ac:dyDescent="0.6">
      <c r="A126" s="1432">
        <v>119</v>
      </c>
      <c r="B126" s="1539" t="s">
        <v>8179</v>
      </c>
      <c r="C126" s="1540" t="s">
        <v>7798</v>
      </c>
      <c r="D126" s="1526"/>
      <c r="E126" s="1529">
        <v>450</v>
      </c>
      <c r="F126" s="1370"/>
      <c r="G126" s="1525">
        <v>450</v>
      </c>
      <c r="H126" s="1370">
        <v>10</v>
      </c>
      <c r="I126" s="1370">
        <f t="shared" si="27"/>
        <v>450</v>
      </c>
      <c r="J126" s="1370">
        <v>10</v>
      </c>
      <c r="K126" s="1370">
        <v>0</v>
      </c>
      <c r="L126" s="1526">
        <f t="shared" si="28"/>
        <v>0</v>
      </c>
      <c r="M126" s="1370">
        <f t="shared" si="24"/>
        <v>10</v>
      </c>
      <c r="N126" s="1371">
        <v>45</v>
      </c>
      <c r="O126" s="1371">
        <f t="shared" si="17"/>
        <v>450</v>
      </c>
      <c r="P126" s="1526"/>
      <c r="Q126" s="1370">
        <f t="shared" si="18"/>
        <v>0</v>
      </c>
      <c r="R126" s="1526">
        <v>10</v>
      </c>
      <c r="S126" s="1526">
        <f t="shared" si="25"/>
        <v>450</v>
      </c>
      <c r="T126" s="1370"/>
      <c r="U126" s="1526">
        <f t="shared" si="26"/>
        <v>0</v>
      </c>
      <c r="V126" s="1370"/>
      <c r="W126" s="1526">
        <f t="shared" si="19"/>
        <v>0</v>
      </c>
      <c r="X126" s="1370">
        <f t="shared" si="22"/>
        <v>10</v>
      </c>
      <c r="Y126" s="1370">
        <f t="shared" si="20"/>
        <v>450</v>
      </c>
      <c r="Z126" s="1527" t="s">
        <v>7799</v>
      </c>
      <c r="AA126" s="1379" t="s">
        <v>6525</v>
      </c>
      <c r="AB126" s="1487" t="str">
        <f t="shared" si="21"/>
        <v>ok</v>
      </c>
      <c r="AC126" s="1487" t="str">
        <f t="shared" si="23"/>
        <v>ok</v>
      </c>
    </row>
    <row r="127" spans="1:29" s="1280" customFormat="1" ht="23.25" customHeight="1" x14ac:dyDescent="0.6">
      <c r="A127" s="1432">
        <v>120</v>
      </c>
      <c r="B127" s="1541" t="s">
        <v>8180</v>
      </c>
      <c r="C127" s="1540" t="s">
        <v>7798</v>
      </c>
      <c r="D127" s="1526"/>
      <c r="E127" s="1529">
        <v>500</v>
      </c>
      <c r="F127" s="1370"/>
      <c r="G127" s="1525">
        <v>500</v>
      </c>
      <c r="H127" s="1370">
        <v>10</v>
      </c>
      <c r="I127" s="1370">
        <f t="shared" si="27"/>
        <v>450</v>
      </c>
      <c r="J127" s="1370">
        <v>10</v>
      </c>
      <c r="K127" s="1370">
        <v>5</v>
      </c>
      <c r="L127" s="1526">
        <f t="shared" si="28"/>
        <v>225</v>
      </c>
      <c r="M127" s="1370">
        <f t="shared" si="24"/>
        <v>5</v>
      </c>
      <c r="N127" s="1371">
        <v>45</v>
      </c>
      <c r="O127" s="1371">
        <f t="shared" si="17"/>
        <v>225</v>
      </c>
      <c r="P127" s="1526"/>
      <c r="Q127" s="1370">
        <f t="shared" si="18"/>
        <v>0</v>
      </c>
      <c r="R127" s="1526">
        <v>5</v>
      </c>
      <c r="S127" s="1526">
        <f t="shared" si="25"/>
        <v>225</v>
      </c>
      <c r="T127" s="1370"/>
      <c r="U127" s="1526">
        <f t="shared" si="26"/>
        <v>0</v>
      </c>
      <c r="V127" s="1370"/>
      <c r="W127" s="1526">
        <f t="shared" si="19"/>
        <v>0</v>
      </c>
      <c r="X127" s="1370">
        <f t="shared" si="22"/>
        <v>5</v>
      </c>
      <c r="Y127" s="1370">
        <f t="shared" si="20"/>
        <v>225</v>
      </c>
      <c r="Z127" s="1527" t="s">
        <v>7799</v>
      </c>
      <c r="AA127" s="1379" t="s">
        <v>6525</v>
      </c>
      <c r="AB127" s="1487" t="str">
        <f t="shared" si="21"/>
        <v>ok</v>
      </c>
      <c r="AC127" s="1487" t="str">
        <f t="shared" si="23"/>
        <v>ok</v>
      </c>
    </row>
    <row r="128" spans="1:29" s="1280" customFormat="1" ht="23.25" customHeight="1" x14ac:dyDescent="0.6">
      <c r="A128" s="1432">
        <v>121</v>
      </c>
      <c r="B128" s="1541" t="s">
        <v>8181</v>
      </c>
      <c r="C128" s="1540" t="s">
        <v>7808</v>
      </c>
      <c r="D128" s="1526"/>
      <c r="E128" s="1529">
        <v>740</v>
      </c>
      <c r="F128" s="1370"/>
      <c r="G128" s="1525">
        <v>740</v>
      </c>
      <c r="H128" s="1370">
        <v>0</v>
      </c>
      <c r="I128" s="1370">
        <f t="shared" si="27"/>
        <v>0</v>
      </c>
      <c r="J128" s="1370">
        <v>1</v>
      </c>
      <c r="K128" s="1370">
        <v>0</v>
      </c>
      <c r="L128" s="1526">
        <f t="shared" si="28"/>
        <v>0</v>
      </c>
      <c r="M128" s="1370">
        <f t="shared" si="24"/>
        <v>1</v>
      </c>
      <c r="N128" s="1371"/>
      <c r="O128" s="1371">
        <f t="shared" si="17"/>
        <v>0</v>
      </c>
      <c r="P128" s="1370"/>
      <c r="Q128" s="1370">
        <f t="shared" si="18"/>
        <v>0</v>
      </c>
      <c r="R128" s="1526">
        <v>1</v>
      </c>
      <c r="S128" s="1526">
        <f t="shared" si="25"/>
        <v>0</v>
      </c>
      <c r="T128" s="1370"/>
      <c r="U128" s="1526">
        <f t="shared" si="26"/>
        <v>0</v>
      </c>
      <c r="V128" s="1526"/>
      <c r="W128" s="1526">
        <f t="shared" si="19"/>
        <v>0</v>
      </c>
      <c r="X128" s="1370">
        <f t="shared" si="22"/>
        <v>1</v>
      </c>
      <c r="Y128" s="1370">
        <f t="shared" si="20"/>
        <v>0</v>
      </c>
      <c r="Z128" s="1527" t="s">
        <v>7799</v>
      </c>
      <c r="AA128" s="1379" t="s">
        <v>6525</v>
      </c>
      <c r="AB128" s="1487" t="str">
        <f t="shared" si="21"/>
        <v>ok</v>
      </c>
      <c r="AC128" s="1487" t="str">
        <f t="shared" si="23"/>
        <v>ok</v>
      </c>
    </row>
    <row r="129" spans="1:29" s="1280" customFormat="1" ht="23.25" customHeight="1" x14ac:dyDescent="0.6">
      <c r="A129" s="1432">
        <v>122</v>
      </c>
      <c r="B129" s="1541" t="s">
        <v>8182</v>
      </c>
      <c r="C129" s="1540" t="s">
        <v>7960</v>
      </c>
      <c r="D129" s="1526"/>
      <c r="E129" s="1529">
        <v>694.4</v>
      </c>
      <c r="F129" s="1381"/>
      <c r="G129" s="1525">
        <v>694.4</v>
      </c>
      <c r="H129" s="1370">
        <v>120</v>
      </c>
      <c r="I129" s="1370">
        <f t="shared" si="27"/>
        <v>297.60000000000002</v>
      </c>
      <c r="J129" s="1370">
        <v>120</v>
      </c>
      <c r="K129" s="1370">
        <v>0</v>
      </c>
      <c r="L129" s="1526">
        <f t="shared" si="28"/>
        <v>0</v>
      </c>
      <c r="M129" s="1370">
        <f t="shared" si="24"/>
        <v>120</v>
      </c>
      <c r="N129" s="1370">
        <v>2.48</v>
      </c>
      <c r="O129" s="1371">
        <f t="shared" si="17"/>
        <v>297.60000000000002</v>
      </c>
      <c r="P129" s="1526"/>
      <c r="Q129" s="1370">
        <f t="shared" si="18"/>
        <v>0</v>
      </c>
      <c r="R129" s="1526">
        <v>100</v>
      </c>
      <c r="S129" s="1526">
        <f t="shared" si="25"/>
        <v>248</v>
      </c>
      <c r="T129" s="1526">
        <v>20</v>
      </c>
      <c r="U129" s="1526">
        <f t="shared" si="26"/>
        <v>49.6</v>
      </c>
      <c r="V129" s="1526"/>
      <c r="W129" s="1526">
        <f t="shared" si="19"/>
        <v>0</v>
      </c>
      <c r="X129" s="1370">
        <f t="shared" si="22"/>
        <v>120</v>
      </c>
      <c r="Y129" s="1370">
        <f t="shared" si="20"/>
        <v>297.60000000000002</v>
      </c>
      <c r="Z129" s="1527" t="s">
        <v>7799</v>
      </c>
      <c r="AA129" s="1379" t="s">
        <v>6525</v>
      </c>
      <c r="AB129" s="1487" t="str">
        <f t="shared" si="21"/>
        <v>ok</v>
      </c>
      <c r="AC129" s="1487" t="str">
        <f t="shared" si="23"/>
        <v>ok</v>
      </c>
    </row>
    <row r="130" spans="1:29" s="1280" customFormat="1" ht="23.25" customHeight="1" x14ac:dyDescent="0.6">
      <c r="A130" s="1432">
        <v>123</v>
      </c>
      <c r="B130" s="1539" t="s">
        <v>8183</v>
      </c>
      <c r="C130" s="1540" t="s">
        <v>7960</v>
      </c>
      <c r="D130" s="1526"/>
      <c r="E130" s="1529">
        <v>124</v>
      </c>
      <c r="F130" s="1370"/>
      <c r="G130" s="1525">
        <v>124</v>
      </c>
      <c r="H130" s="1370">
        <v>170</v>
      </c>
      <c r="I130" s="1370">
        <f t="shared" si="27"/>
        <v>421.6</v>
      </c>
      <c r="J130" s="1370">
        <v>170</v>
      </c>
      <c r="K130" s="1370">
        <v>70</v>
      </c>
      <c r="L130" s="1526">
        <f t="shared" si="28"/>
        <v>173.6</v>
      </c>
      <c r="M130" s="1370">
        <f t="shared" si="24"/>
        <v>100</v>
      </c>
      <c r="N130" s="1371">
        <v>2.48</v>
      </c>
      <c r="O130" s="1371">
        <f t="shared" si="17"/>
        <v>248</v>
      </c>
      <c r="P130" s="1526"/>
      <c r="Q130" s="1370">
        <f t="shared" si="18"/>
        <v>0</v>
      </c>
      <c r="R130" s="1526">
        <v>100</v>
      </c>
      <c r="S130" s="1526">
        <f t="shared" si="25"/>
        <v>248</v>
      </c>
      <c r="T130" s="1370"/>
      <c r="U130" s="1526">
        <f t="shared" si="26"/>
        <v>0</v>
      </c>
      <c r="V130" s="1370"/>
      <c r="W130" s="1526">
        <f t="shared" si="19"/>
        <v>0</v>
      </c>
      <c r="X130" s="1370">
        <f t="shared" si="22"/>
        <v>100</v>
      </c>
      <c r="Y130" s="1370">
        <f t="shared" si="20"/>
        <v>248</v>
      </c>
      <c r="Z130" s="1527" t="s">
        <v>7799</v>
      </c>
      <c r="AA130" s="1379" t="s">
        <v>6525</v>
      </c>
      <c r="AB130" s="1487" t="str">
        <f t="shared" si="21"/>
        <v>ok</v>
      </c>
      <c r="AC130" s="1487" t="str">
        <f t="shared" si="23"/>
        <v>ok</v>
      </c>
    </row>
    <row r="131" spans="1:29" s="1280" customFormat="1" ht="23.25" customHeight="1" x14ac:dyDescent="0.6">
      <c r="A131" s="1432">
        <v>124</v>
      </c>
      <c r="B131" s="1539" t="s">
        <v>8184</v>
      </c>
      <c r="C131" s="1540" t="s">
        <v>7960</v>
      </c>
      <c r="D131" s="1526"/>
      <c r="E131" s="1529">
        <v>414.16</v>
      </c>
      <c r="F131" s="1370"/>
      <c r="G131" s="1525">
        <v>414.16</v>
      </c>
      <c r="H131" s="1370">
        <v>320</v>
      </c>
      <c r="I131" s="1370">
        <f t="shared" si="27"/>
        <v>793.6</v>
      </c>
      <c r="J131" s="1370">
        <v>320</v>
      </c>
      <c r="K131" s="1370">
        <v>50</v>
      </c>
      <c r="L131" s="1526">
        <f t="shared" si="28"/>
        <v>124</v>
      </c>
      <c r="M131" s="1370">
        <f t="shared" si="24"/>
        <v>270</v>
      </c>
      <c r="N131" s="1371">
        <v>2.48</v>
      </c>
      <c r="O131" s="1371">
        <f t="shared" si="17"/>
        <v>669.6</v>
      </c>
      <c r="P131" s="1526">
        <v>100</v>
      </c>
      <c r="Q131" s="1370">
        <f t="shared" si="18"/>
        <v>248</v>
      </c>
      <c r="R131" s="1526">
        <v>100</v>
      </c>
      <c r="S131" s="1526">
        <f t="shared" si="25"/>
        <v>248</v>
      </c>
      <c r="T131" s="1370">
        <v>50</v>
      </c>
      <c r="U131" s="1526">
        <f t="shared" si="26"/>
        <v>124</v>
      </c>
      <c r="V131" s="1370">
        <v>20</v>
      </c>
      <c r="W131" s="1526">
        <f t="shared" si="19"/>
        <v>49.6</v>
      </c>
      <c r="X131" s="1370">
        <f t="shared" si="22"/>
        <v>270</v>
      </c>
      <c r="Y131" s="1370">
        <f t="shared" si="20"/>
        <v>669.6</v>
      </c>
      <c r="Z131" s="1527" t="s">
        <v>7799</v>
      </c>
      <c r="AA131" s="1379" t="s">
        <v>6525</v>
      </c>
      <c r="AB131" s="1487" t="str">
        <f t="shared" si="21"/>
        <v>ok</v>
      </c>
      <c r="AC131" s="1487" t="str">
        <f t="shared" si="23"/>
        <v>ok</v>
      </c>
    </row>
    <row r="132" spans="1:29" s="1280" customFormat="1" ht="23.25" customHeight="1" x14ac:dyDescent="0.6">
      <c r="A132" s="1432">
        <v>125</v>
      </c>
      <c r="B132" s="1539" t="s">
        <v>8185</v>
      </c>
      <c r="C132" s="1540" t="s">
        <v>7960</v>
      </c>
      <c r="D132" s="1526"/>
      <c r="E132" s="1529">
        <v>2132.8000000000002</v>
      </c>
      <c r="F132" s="1381"/>
      <c r="G132" s="1525">
        <v>2132.8000000000002</v>
      </c>
      <c r="H132" s="1370">
        <v>570</v>
      </c>
      <c r="I132" s="1370">
        <f t="shared" si="27"/>
        <v>1413.6</v>
      </c>
      <c r="J132" s="1370">
        <v>570</v>
      </c>
      <c r="K132" s="1370">
        <v>50</v>
      </c>
      <c r="L132" s="1526">
        <f t="shared" si="28"/>
        <v>124</v>
      </c>
      <c r="M132" s="1370">
        <f t="shared" si="24"/>
        <v>520</v>
      </c>
      <c r="N132" s="1370">
        <v>2.48</v>
      </c>
      <c r="O132" s="1371">
        <f t="shared" si="17"/>
        <v>1289.5999999999999</v>
      </c>
      <c r="P132" s="1526"/>
      <c r="Q132" s="1370">
        <f t="shared" si="18"/>
        <v>0</v>
      </c>
      <c r="R132" s="1526">
        <v>260</v>
      </c>
      <c r="S132" s="1526">
        <f t="shared" si="25"/>
        <v>644.79999999999995</v>
      </c>
      <c r="T132" s="1526">
        <v>180</v>
      </c>
      <c r="U132" s="1526">
        <f t="shared" si="26"/>
        <v>446.4</v>
      </c>
      <c r="V132" s="1526">
        <v>80</v>
      </c>
      <c r="W132" s="1526">
        <f t="shared" si="19"/>
        <v>198.4</v>
      </c>
      <c r="X132" s="1370">
        <f t="shared" si="22"/>
        <v>520</v>
      </c>
      <c r="Y132" s="1370">
        <f t="shared" si="20"/>
        <v>1289.5999999999999</v>
      </c>
      <c r="Z132" s="1527" t="s">
        <v>7799</v>
      </c>
      <c r="AA132" s="1379" t="s">
        <v>6525</v>
      </c>
      <c r="AB132" s="1487" t="str">
        <f t="shared" si="21"/>
        <v>ok</v>
      </c>
      <c r="AC132" s="1487" t="str">
        <f t="shared" si="23"/>
        <v>ok</v>
      </c>
    </row>
    <row r="133" spans="1:29" s="1280" customFormat="1" ht="23.25" customHeight="1" x14ac:dyDescent="0.6">
      <c r="A133" s="1432">
        <v>126</v>
      </c>
      <c r="B133" s="1539" t="s">
        <v>8186</v>
      </c>
      <c r="C133" s="1540" t="s">
        <v>7960</v>
      </c>
      <c r="D133" s="1526"/>
      <c r="E133" s="1529">
        <v>892.8</v>
      </c>
      <c r="F133" s="1370"/>
      <c r="G133" s="1525">
        <v>892.8</v>
      </c>
      <c r="H133" s="1370">
        <v>280</v>
      </c>
      <c r="I133" s="1370">
        <f t="shared" si="27"/>
        <v>694.4</v>
      </c>
      <c r="J133" s="1370">
        <v>280</v>
      </c>
      <c r="K133" s="1370">
        <v>0</v>
      </c>
      <c r="L133" s="1526">
        <f t="shared" si="28"/>
        <v>0</v>
      </c>
      <c r="M133" s="1370">
        <f t="shared" si="24"/>
        <v>280</v>
      </c>
      <c r="N133" s="1371">
        <v>2.48</v>
      </c>
      <c r="O133" s="1371">
        <f t="shared" si="17"/>
        <v>694.4</v>
      </c>
      <c r="P133" s="1526"/>
      <c r="Q133" s="1370">
        <f t="shared" si="18"/>
        <v>0</v>
      </c>
      <c r="R133" s="1526">
        <v>280</v>
      </c>
      <c r="S133" s="1526">
        <f t="shared" si="25"/>
        <v>694.4</v>
      </c>
      <c r="T133" s="1370"/>
      <c r="U133" s="1526">
        <f t="shared" si="26"/>
        <v>0</v>
      </c>
      <c r="V133" s="1370"/>
      <c r="W133" s="1526">
        <f t="shared" si="19"/>
        <v>0</v>
      </c>
      <c r="X133" s="1370">
        <f t="shared" si="22"/>
        <v>280</v>
      </c>
      <c r="Y133" s="1370">
        <f t="shared" si="20"/>
        <v>694.4</v>
      </c>
      <c r="Z133" s="1527" t="s">
        <v>7799</v>
      </c>
      <c r="AA133" s="1379" t="s">
        <v>6525</v>
      </c>
      <c r="AB133" s="1487" t="str">
        <f t="shared" si="21"/>
        <v>ok</v>
      </c>
      <c r="AC133" s="1487" t="str">
        <f t="shared" si="23"/>
        <v>ok</v>
      </c>
    </row>
    <row r="134" spans="1:29" s="1280" customFormat="1" ht="23.25" customHeight="1" x14ac:dyDescent="0.6">
      <c r="A134" s="1432">
        <v>127</v>
      </c>
      <c r="B134" s="1539" t="s">
        <v>8187</v>
      </c>
      <c r="C134" s="1540" t="s">
        <v>7960</v>
      </c>
      <c r="D134" s="1526"/>
      <c r="E134" s="1529">
        <v>496</v>
      </c>
      <c r="F134" s="1370"/>
      <c r="G134" s="1525">
        <v>496</v>
      </c>
      <c r="H134" s="1370">
        <v>162</v>
      </c>
      <c r="I134" s="1370">
        <f t="shared" si="27"/>
        <v>401.76</v>
      </c>
      <c r="J134" s="1370">
        <v>160</v>
      </c>
      <c r="K134" s="1370">
        <v>0</v>
      </c>
      <c r="L134" s="1526">
        <f t="shared" si="28"/>
        <v>0</v>
      </c>
      <c r="M134" s="1370">
        <f t="shared" si="24"/>
        <v>160</v>
      </c>
      <c r="N134" s="1371">
        <v>2.48</v>
      </c>
      <c r="O134" s="1371">
        <f t="shared" si="17"/>
        <v>396.8</v>
      </c>
      <c r="P134" s="1526"/>
      <c r="Q134" s="1370">
        <f t="shared" si="18"/>
        <v>0</v>
      </c>
      <c r="R134" s="1526">
        <v>100</v>
      </c>
      <c r="S134" s="1526">
        <f t="shared" si="25"/>
        <v>248</v>
      </c>
      <c r="T134" s="1370">
        <v>60</v>
      </c>
      <c r="U134" s="1526">
        <f t="shared" si="26"/>
        <v>148.80000000000001</v>
      </c>
      <c r="V134" s="1370"/>
      <c r="W134" s="1526">
        <f t="shared" si="19"/>
        <v>0</v>
      </c>
      <c r="X134" s="1370">
        <f t="shared" si="22"/>
        <v>160</v>
      </c>
      <c r="Y134" s="1370">
        <f t="shared" si="20"/>
        <v>396.8</v>
      </c>
      <c r="Z134" s="1527" t="s">
        <v>7799</v>
      </c>
      <c r="AA134" s="1379" t="s">
        <v>6525</v>
      </c>
      <c r="AB134" s="1487" t="str">
        <f t="shared" si="21"/>
        <v>ok</v>
      </c>
      <c r="AC134" s="1487" t="str">
        <f t="shared" si="23"/>
        <v>ok</v>
      </c>
    </row>
    <row r="135" spans="1:29" s="1280" customFormat="1" ht="23.25" customHeight="1" x14ac:dyDescent="0.6">
      <c r="A135" s="1432">
        <v>128</v>
      </c>
      <c r="B135" s="1539" t="s">
        <v>8188</v>
      </c>
      <c r="C135" s="1540" t="s">
        <v>8118</v>
      </c>
      <c r="D135" s="1526"/>
      <c r="E135" s="1529">
        <v>1200</v>
      </c>
      <c r="F135" s="1370"/>
      <c r="G135" s="1525">
        <v>1200</v>
      </c>
      <c r="H135" s="1370">
        <v>0</v>
      </c>
      <c r="I135" s="1370">
        <f t="shared" si="27"/>
        <v>0</v>
      </c>
      <c r="J135" s="1370">
        <v>3</v>
      </c>
      <c r="K135" s="1370">
        <v>0</v>
      </c>
      <c r="L135" s="1526">
        <f t="shared" si="28"/>
        <v>0</v>
      </c>
      <c r="M135" s="1370">
        <f t="shared" si="24"/>
        <v>3</v>
      </c>
      <c r="N135" s="1371">
        <v>220</v>
      </c>
      <c r="O135" s="1371">
        <f t="shared" si="17"/>
        <v>660</v>
      </c>
      <c r="P135" s="1526"/>
      <c r="Q135" s="1370">
        <f t="shared" si="18"/>
        <v>0</v>
      </c>
      <c r="R135" s="1526">
        <v>3</v>
      </c>
      <c r="S135" s="1526">
        <f t="shared" si="25"/>
        <v>660</v>
      </c>
      <c r="T135" s="1370"/>
      <c r="U135" s="1526">
        <f t="shared" si="26"/>
        <v>0</v>
      </c>
      <c r="V135" s="1370"/>
      <c r="W135" s="1526">
        <f t="shared" si="19"/>
        <v>0</v>
      </c>
      <c r="X135" s="1370">
        <f t="shared" si="22"/>
        <v>3</v>
      </c>
      <c r="Y135" s="1370">
        <f t="shared" si="20"/>
        <v>660</v>
      </c>
      <c r="Z135" s="1527" t="s">
        <v>7799</v>
      </c>
      <c r="AA135" s="1379" t="s">
        <v>6525</v>
      </c>
      <c r="AB135" s="1487" t="str">
        <f t="shared" si="21"/>
        <v>ok</v>
      </c>
      <c r="AC135" s="1487" t="str">
        <f t="shared" si="23"/>
        <v>ok</v>
      </c>
    </row>
    <row r="136" spans="1:29" s="1280" customFormat="1" ht="23.25" customHeight="1" x14ac:dyDescent="0.6">
      <c r="A136" s="1432">
        <v>129</v>
      </c>
      <c r="B136" s="1539" t="s">
        <v>8189</v>
      </c>
      <c r="C136" s="1540" t="s">
        <v>8118</v>
      </c>
      <c r="D136" s="1526"/>
      <c r="E136" s="1529">
        <v>1960</v>
      </c>
      <c r="F136" s="1370"/>
      <c r="G136" s="1525">
        <v>1960</v>
      </c>
      <c r="H136" s="1370">
        <v>2</v>
      </c>
      <c r="I136" s="1370">
        <f t="shared" si="27"/>
        <v>440</v>
      </c>
      <c r="J136" s="1370">
        <v>3</v>
      </c>
      <c r="K136" s="1370">
        <v>0</v>
      </c>
      <c r="L136" s="1526">
        <f t="shared" si="28"/>
        <v>0</v>
      </c>
      <c r="M136" s="1370">
        <f t="shared" si="24"/>
        <v>3</v>
      </c>
      <c r="N136" s="1371">
        <v>220</v>
      </c>
      <c r="O136" s="1371">
        <f t="shared" ref="O136:O199" si="29">M136*N136</f>
        <v>660</v>
      </c>
      <c r="P136" s="1526"/>
      <c r="Q136" s="1370">
        <f t="shared" ref="Q136:Q153" si="30">P136*N136</f>
        <v>0</v>
      </c>
      <c r="R136" s="1526">
        <v>3</v>
      </c>
      <c r="S136" s="1526">
        <f t="shared" si="25"/>
        <v>660</v>
      </c>
      <c r="T136" s="1370"/>
      <c r="U136" s="1526">
        <f t="shared" si="26"/>
        <v>0</v>
      </c>
      <c r="V136" s="1370"/>
      <c r="W136" s="1526">
        <f t="shared" ref="W136:W199" si="31">V136*N136</f>
        <v>0</v>
      </c>
      <c r="X136" s="1370">
        <f t="shared" si="22"/>
        <v>3</v>
      </c>
      <c r="Y136" s="1370">
        <f t="shared" ref="Y136:Y199" si="32">X136*N136</f>
        <v>660</v>
      </c>
      <c r="Z136" s="1527" t="s">
        <v>7799</v>
      </c>
      <c r="AA136" s="1379" t="s">
        <v>6525</v>
      </c>
      <c r="AB136" s="1487" t="str">
        <f t="shared" ref="AB136:AB199" si="33">IF(O136=Y136,"ok")</f>
        <v>ok</v>
      </c>
      <c r="AC136" s="1487" t="str">
        <f t="shared" si="23"/>
        <v>ok</v>
      </c>
    </row>
    <row r="137" spans="1:29" s="1280" customFormat="1" ht="23.25" customHeight="1" x14ac:dyDescent="0.6">
      <c r="A137" s="1432">
        <v>130</v>
      </c>
      <c r="B137" s="1539" t="s">
        <v>8190</v>
      </c>
      <c r="C137" s="1540" t="s">
        <v>8118</v>
      </c>
      <c r="D137" s="1526"/>
      <c r="E137" s="1529">
        <v>750</v>
      </c>
      <c r="F137" s="1370"/>
      <c r="G137" s="1525">
        <v>750</v>
      </c>
      <c r="H137" s="1370">
        <v>0</v>
      </c>
      <c r="I137" s="1370">
        <f t="shared" si="27"/>
        <v>0</v>
      </c>
      <c r="J137" s="1370">
        <v>1</v>
      </c>
      <c r="K137" s="1370">
        <v>0</v>
      </c>
      <c r="L137" s="1526">
        <f t="shared" si="28"/>
        <v>0</v>
      </c>
      <c r="M137" s="1370">
        <f t="shared" si="24"/>
        <v>1</v>
      </c>
      <c r="N137" s="1371">
        <v>220</v>
      </c>
      <c r="O137" s="1371">
        <f t="shared" si="29"/>
        <v>220</v>
      </c>
      <c r="P137" s="1370"/>
      <c r="Q137" s="1370">
        <f t="shared" si="30"/>
        <v>0</v>
      </c>
      <c r="R137" s="1526">
        <v>1</v>
      </c>
      <c r="S137" s="1526">
        <f t="shared" si="25"/>
        <v>220</v>
      </c>
      <c r="T137" s="1370"/>
      <c r="U137" s="1526">
        <f t="shared" si="26"/>
        <v>0</v>
      </c>
      <c r="V137" s="1526"/>
      <c r="W137" s="1526">
        <f t="shared" si="31"/>
        <v>0</v>
      </c>
      <c r="X137" s="1370">
        <f t="shared" ref="X137:X200" si="34">P137+R137+T137+V137</f>
        <v>1</v>
      </c>
      <c r="Y137" s="1370">
        <f t="shared" si="32"/>
        <v>220</v>
      </c>
      <c r="Z137" s="1527" t="s">
        <v>7799</v>
      </c>
      <c r="AA137" s="1379" t="s">
        <v>6525</v>
      </c>
      <c r="AB137" s="1487" t="str">
        <f t="shared" si="33"/>
        <v>ok</v>
      </c>
      <c r="AC137" s="1487" t="str">
        <f t="shared" ref="AC137:AC200" si="35">IF(M137=X137,"ok")</f>
        <v>ok</v>
      </c>
    </row>
    <row r="138" spans="1:29" s="1280" customFormat="1" ht="23.25" customHeight="1" x14ac:dyDescent="0.6">
      <c r="A138" s="1432">
        <v>131</v>
      </c>
      <c r="B138" s="1539" t="s">
        <v>8191</v>
      </c>
      <c r="C138" s="1540" t="s">
        <v>7798</v>
      </c>
      <c r="D138" s="1526"/>
      <c r="E138" s="1529">
        <v>0</v>
      </c>
      <c r="F138" s="1370"/>
      <c r="G138" s="1525">
        <v>1080</v>
      </c>
      <c r="H138" s="1370">
        <v>12</v>
      </c>
      <c r="I138" s="1370">
        <f t="shared" si="27"/>
        <v>744</v>
      </c>
      <c r="J138" s="1370">
        <v>12</v>
      </c>
      <c r="K138" s="1370">
        <v>11</v>
      </c>
      <c r="L138" s="1526">
        <f t="shared" si="28"/>
        <v>682</v>
      </c>
      <c r="M138" s="1370">
        <f t="shared" si="24"/>
        <v>1</v>
      </c>
      <c r="N138" s="1371">
        <v>62</v>
      </c>
      <c r="O138" s="1371">
        <f t="shared" si="29"/>
        <v>62</v>
      </c>
      <c r="P138" s="1526"/>
      <c r="Q138" s="1370">
        <f t="shared" si="30"/>
        <v>0</v>
      </c>
      <c r="R138" s="1526">
        <v>1</v>
      </c>
      <c r="S138" s="1526">
        <f t="shared" si="25"/>
        <v>62</v>
      </c>
      <c r="T138" s="1370"/>
      <c r="U138" s="1526">
        <f t="shared" si="26"/>
        <v>0</v>
      </c>
      <c r="V138" s="1370"/>
      <c r="W138" s="1526">
        <f t="shared" si="31"/>
        <v>0</v>
      </c>
      <c r="X138" s="1370">
        <f t="shared" si="34"/>
        <v>1</v>
      </c>
      <c r="Y138" s="1370">
        <f t="shared" si="32"/>
        <v>62</v>
      </c>
      <c r="Z138" s="1527" t="s">
        <v>7799</v>
      </c>
      <c r="AA138" s="1379" t="s">
        <v>6525</v>
      </c>
      <c r="AB138" s="1487" t="str">
        <f t="shared" si="33"/>
        <v>ok</v>
      </c>
      <c r="AC138" s="1487" t="str">
        <f t="shared" si="35"/>
        <v>ok</v>
      </c>
    </row>
    <row r="139" spans="1:29" s="1280" customFormat="1" ht="23.25" customHeight="1" x14ac:dyDescent="0.6">
      <c r="A139" s="1432">
        <v>132</v>
      </c>
      <c r="B139" s="1539" t="s">
        <v>8192</v>
      </c>
      <c r="C139" s="1540" t="s">
        <v>7816</v>
      </c>
      <c r="D139" s="1526"/>
      <c r="E139" s="1529">
        <v>24995.52</v>
      </c>
      <c r="F139" s="1381"/>
      <c r="G139" s="1525">
        <v>24995.52</v>
      </c>
      <c r="H139" s="1370">
        <v>104</v>
      </c>
      <c r="I139" s="1370">
        <f t="shared" si="27"/>
        <v>22256</v>
      </c>
      <c r="J139" s="1370">
        <v>104</v>
      </c>
      <c r="K139" s="1370">
        <v>0</v>
      </c>
      <c r="L139" s="1526">
        <f t="shared" si="28"/>
        <v>0</v>
      </c>
      <c r="M139" s="1370">
        <f t="shared" si="24"/>
        <v>104</v>
      </c>
      <c r="N139" s="1370">
        <v>214</v>
      </c>
      <c r="O139" s="1371">
        <f t="shared" si="29"/>
        <v>22256</v>
      </c>
      <c r="P139" s="1526"/>
      <c r="Q139" s="1370">
        <f t="shared" si="30"/>
        <v>0</v>
      </c>
      <c r="R139" s="1526">
        <v>44</v>
      </c>
      <c r="S139" s="1526">
        <f t="shared" si="25"/>
        <v>9416</v>
      </c>
      <c r="T139" s="1526">
        <v>40</v>
      </c>
      <c r="U139" s="1526">
        <f t="shared" si="26"/>
        <v>8560</v>
      </c>
      <c r="V139" s="1526">
        <v>20</v>
      </c>
      <c r="W139" s="1526">
        <f t="shared" si="31"/>
        <v>4280</v>
      </c>
      <c r="X139" s="1370">
        <f t="shared" si="34"/>
        <v>104</v>
      </c>
      <c r="Y139" s="1370">
        <f t="shared" si="32"/>
        <v>22256</v>
      </c>
      <c r="Z139" s="1527" t="s">
        <v>7799</v>
      </c>
      <c r="AA139" s="1379" t="s">
        <v>6525</v>
      </c>
      <c r="AB139" s="1487" t="str">
        <f t="shared" si="33"/>
        <v>ok</v>
      </c>
      <c r="AC139" s="1487" t="str">
        <f t="shared" si="35"/>
        <v>ok</v>
      </c>
    </row>
    <row r="140" spans="1:29" s="1280" customFormat="1" ht="23.25" customHeight="1" x14ac:dyDescent="0.6">
      <c r="A140" s="1432">
        <v>133</v>
      </c>
      <c r="B140" s="1539" t="s">
        <v>8193</v>
      </c>
      <c r="C140" s="1540" t="s">
        <v>7816</v>
      </c>
      <c r="D140" s="1526"/>
      <c r="E140" s="1529">
        <v>15938.720000000001</v>
      </c>
      <c r="F140" s="1370"/>
      <c r="G140" s="1525">
        <v>15938.720000000001</v>
      </c>
      <c r="H140" s="1370">
        <v>180</v>
      </c>
      <c r="I140" s="1370">
        <f t="shared" si="27"/>
        <v>25200</v>
      </c>
      <c r="J140" s="1370">
        <v>180</v>
      </c>
      <c r="K140" s="1370">
        <v>40</v>
      </c>
      <c r="L140" s="1526">
        <f t="shared" si="28"/>
        <v>5600</v>
      </c>
      <c r="M140" s="1370">
        <f t="shared" si="24"/>
        <v>140</v>
      </c>
      <c r="N140" s="1371">
        <v>140</v>
      </c>
      <c r="O140" s="1371">
        <f t="shared" si="29"/>
        <v>19600</v>
      </c>
      <c r="P140" s="1526">
        <v>30</v>
      </c>
      <c r="Q140" s="1370">
        <f t="shared" si="30"/>
        <v>4200</v>
      </c>
      <c r="R140" s="1526">
        <v>50</v>
      </c>
      <c r="S140" s="1526">
        <f t="shared" si="25"/>
        <v>7000</v>
      </c>
      <c r="T140" s="1370">
        <v>30</v>
      </c>
      <c r="U140" s="1526">
        <f t="shared" si="26"/>
        <v>4200</v>
      </c>
      <c r="V140" s="1370">
        <v>30</v>
      </c>
      <c r="W140" s="1526">
        <f t="shared" si="31"/>
        <v>4200</v>
      </c>
      <c r="X140" s="1370">
        <f t="shared" si="34"/>
        <v>140</v>
      </c>
      <c r="Y140" s="1370">
        <f t="shared" si="32"/>
        <v>19600</v>
      </c>
      <c r="Z140" s="1527" t="s">
        <v>7799</v>
      </c>
      <c r="AA140" s="1379" t="s">
        <v>6525</v>
      </c>
      <c r="AB140" s="1487" t="str">
        <f t="shared" si="33"/>
        <v>ok</v>
      </c>
      <c r="AC140" s="1487" t="str">
        <f t="shared" si="35"/>
        <v>ok</v>
      </c>
    </row>
    <row r="141" spans="1:29" s="1280" customFormat="1" ht="23.25" customHeight="1" x14ac:dyDescent="0.6">
      <c r="A141" s="1432">
        <v>134</v>
      </c>
      <c r="B141" s="1539" t="s">
        <v>8194</v>
      </c>
      <c r="C141" s="1540" t="s">
        <v>7816</v>
      </c>
      <c r="D141" s="1526"/>
      <c r="E141" s="1529">
        <v>2551.9499999999998</v>
      </c>
      <c r="F141" s="1370"/>
      <c r="G141" s="1525">
        <v>2551.9499999999998</v>
      </c>
      <c r="H141" s="1370">
        <v>45</v>
      </c>
      <c r="I141" s="1370">
        <f t="shared" si="27"/>
        <v>9630</v>
      </c>
      <c r="J141" s="1370">
        <v>40</v>
      </c>
      <c r="K141" s="1370">
        <v>10</v>
      </c>
      <c r="L141" s="1526">
        <f t="shared" si="28"/>
        <v>2140</v>
      </c>
      <c r="M141" s="1370">
        <f t="shared" si="24"/>
        <v>30</v>
      </c>
      <c r="N141" s="1371">
        <v>214</v>
      </c>
      <c r="O141" s="1371">
        <f t="shared" si="29"/>
        <v>6420</v>
      </c>
      <c r="P141" s="1526"/>
      <c r="Q141" s="1370">
        <f t="shared" si="30"/>
        <v>0</v>
      </c>
      <c r="R141" s="1370">
        <v>10</v>
      </c>
      <c r="S141" s="1526">
        <f t="shared" si="25"/>
        <v>2140</v>
      </c>
      <c r="T141" s="1526">
        <v>10</v>
      </c>
      <c r="U141" s="1526">
        <f t="shared" si="26"/>
        <v>2140</v>
      </c>
      <c r="V141" s="1370">
        <v>10</v>
      </c>
      <c r="W141" s="1526">
        <f t="shared" si="31"/>
        <v>2140</v>
      </c>
      <c r="X141" s="1370">
        <f t="shared" si="34"/>
        <v>30</v>
      </c>
      <c r="Y141" s="1370">
        <f t="shared" si="32"/>
        <v>6420</v>
      </c>
      <c r="Z141" s="1527" t="s">
        <v>7799</v>
      </c>
      <c r="AA141" s="1379" t="s">
        <v>6525</v>
      </c>
      <c r="AB141" s="1487" t="str">
        <f t="shared" si="33"/>
        <v>ok</v>
      </c>
      <c r="AC141" s="1487" t="str">
        <f t="shared" si="35"/>
        <v>ok</v>
      </c>
    </row>
    <row r="142" spans="1:29" s="1280" customFormat="1" ht="23.25" customHeight="1" x14ac:dyDescent="0.6">
      <c r="A142" s="1432">
        <v>135</v>
      </c>
      <c r="B142" s="1539" t="s">
        <v>8195</v>
      </c>
      <c r="C142" s="1540" t="s">
        <v>7816</v>
      </c>
      <c r="D142" s="1526"/>
      <c r="E142" s="1529">
        <v>25652</v>
      </c>
      <c r="F142" s="1370"/>
      <c r="G142" s="1525">
        <v>25652</v>
      </c>
      <c r="H142" s="1370">
        <v>210</v>
      </c>
      <c r="I142" s="1370">
        <f t="shared" si="27"/>
        <v>28350</v>
      </c>
      <c r="J142" s="1370">
        <v>210</v>
      </c>
      <c r="K142" s="1370">
        <v>75</v>
      </c>
      <c r="L142" s="1526">
        <f t="shared" si="28"/>
        <v>10125</v>
      </c>
      <c r="M142" s="1370">
        <f t="shared" si="24"/>
        <v>135</v>
      </c>
      <c r="N142" s="1371">
        <v>135</v>
      </c>
      <c r="O142" s="1371">
        <f t="shared" si="29"/>
        <v>18225</v>
      </c>
      <c r="P142" s="1526">
        <v>40</v>
      </c>
      <c r="Q142" s="1370">
        <f t="shared" si="30"/>
        <v>5400</v>
      </c>
      <c r="R142" s="1370">
        <v>35</v>
      </c>
      <c r="S142" s="1526">
        <f t="shared" si="25"/>
        <v>4725</v>
      </c>
      <c r="T142" s="1526">
        <v>30</v>
      </c>
      <c r="U142" s="1526">
        <f t="shared" si="26"/>
        <v>4050</v>
      </c>
      <c r="V142" s="1370">
        <v>30</v>
      </c>
      <c r="W142" s="1526">
        <f t="shared" si="31"/>
        <v>4050</v>
      </c>
      <c r="X142" s="1370">
        <f t="shared" si="34"/>
        <v>135</v>
      </c>
      <c r="Y142" s="1370">
        <f t="shared" si="32"/>
        <v>18225</v>
      </c>
      <c r="Z142" s="1527" t="s">
        <v>7799</v>
      </c>
      <c r="AA142" s="1379" t="s">
        <v>6525</v>
      </c>
      <c r="AB142" s="1487" t="str">
        <f t="shared" si="33"/>
        <v>ok</v>
      </c>
      <c r="AC142" s="1487" t="str">
        <f t="shared" si="35"/>
        <v>ok</v>
      </c>
    </row>
    <row r="143" spans="1:29" s="1280" customFormat="1" ht="23.25" customHeight="1" x14ac:dyDescent="0.6">
      <c r="A143" s="1432">
        <v>136</v>
      </c>
      <c r="B143" s="1539" t="s">
        <v>8196</v>
      </c>
      <c r="C143" s="1540" t="s">
        <v>7816</v>
      </c>
      <c r="D143" s="1526"/>
      <c r="E143" s="1529">
        <v>6805.2</v>
      </c>
      <c r="F143" s="1370"/>
      <c r="G143" s="1525">
        <v>6805.2</v>
      </c>
      <c r="H143" s="1370">
        <v>72</v>
      </c>
      <c r="I143" s="1370">
        <f t="shared" si="27"/>
        <v>16302.960000000001</v>
      </c>
      <c r="J143" s="1370">
        <v>72</v>
      </c>
      <c r="K143" s="1370">
        <v>0</v>
      </c>
      <c r="L143" s="1526">
        <f t="shared" si="28"/>
        <v>0</v>
      </c>
      <c r="M143" s="1370">
        <f t="shared" si="24"/>
        <v>72</v>
      </c>
      <c r="N143" s="1371">
        <v>226.43</v>
      </c>
      <c r="O143" s="1371">
        <f t="shared" si="29"/>
        <v>16302.960000000001</v>
      </c>
      <c r="P143" s="1526"/>
      <c r="Q143" s="1370">
        <f t="shared" si="30"/>
        <v>0</v>
      </c>
      <c r="R143" s="1526">
        <v>72</v>
      </c>
      <c r="S143" s="1526">
        <f t="shared" si="25"/>
        <v>16302.960000000001</v>
      </c>
      <c r="T143" s="1370"/>
      <c r="U143" s="1526">
        <f t="shared" si="26"/>
        <v>0</v>
      </c>
      <c r="V143" s="1370"/>
      <c r="W143" s="1526">
        <f t="shared" si="31"/>
        <v>0</v>
      </c>
      <c r="X143" s="1370">
        <f t="shared" si="34"/>
        <v>72</v>
      </c>
      <c r="Y143" s="1370">
        <f t="shared" si="32"/>
        <v>16302.960000000001</v>
      </c>
      <c r="Z143" s="1527" t="s">
        <v>7799</v>
      </c>
      <c r="AA143" s="1379" t="s">
        <v>6525</v>
      </c>
      <c r="AB143" s="1487" t="str">
        <f t="shared" si="33"/>
        <v>ok</v>
      </c>
      <c r="AC143" s="1487" t="str">
        <f t="shared" si="35"/>
        <v>ok</v>
      </c>
    </row>
    <row r="144" spans="1:29" s="1280" customFormat="1" ht="23.25" customHeight="1" x14ac:dyDescent="0.6">
      <c r="A144" s="1432">
        <v>137</v>
      </c>
      <c r="B144" s="1539" t="s">
        <v>8197</v>
      </c>
      <c r="C144" s="1540" t="s">
        <v>7816</v>
      </c>
      <c r="D144" s="1526"/>
      <c r="E144" s="1529">
        <v>186822</v>
      </c>
      <c r="F144" s="1370"/>
      <c r="G144" s="1525">
        <v>186822</v>
      </c>
      <c r="H144" s="1370">
        <v>1358</v>
      </c>
      <c r="I144" s="1370">
        <f t="shared" si="27"/>
        <v>268816.09999999998</v>
      </c>
      <c r="J144" s="1370">
        <v>1358</v>
      </c>
      <c r="K144" s="1370">
        <v>0</v>
      </c>
      <c r="L144" s="1526">
        <f t="shared" si="28"/>
        <v>0</v>
      </c>
      <c r="M144" s="1370">
        <f t="shared" si="24"/>
        <v>1358</v>
      </c>
      <c r="N144" s="1371">
        <v>197.95</v>
      </c>
      <c r="O144" s="1371">
        <f t="shared" si="29"/>
        <v>268816.09999999998</v>
      </c>
      <c r="P144" s="1526">
        <v>300</v>
      </c>
      <c r="Q144" s="1370">
        <f t="shared" si="30"/>
        <v>59385</v>
      </c>
      <c r="R144" s="1526">
        <v>500</v>
      </c>
      <c r="S144" s="1526">
        <f t="shared" si="25"/>
        <v>98975</v>
      </c>
      <c r="T144" s="1370">
        <v>258</v>
      </c>
      <c r="U144" s="1526">
        <f t="shared" si="26"/>
        <v>51071.1</v>
      </c>
      <c r="V144" s="1370">
        <v>300</v>
      </c>
      <c r="W144" s="1526">
        <f t="shared" si="31"/>
        <v>59385</v>
      </c>
      <c r="X144" s="1370">
        <f t="shared" si="34"/>
        <v>1358</v>
      </c>
      <c r="Y144" s="1370">
        <f t="shared" si="32"/>
        <v>268816.09999999998</v>
      </c>
      <c r="Z144" s="1527" t="s">
        <v>7799</v>
      </c>
      <c r="AA144" s="1379" t="s">
        <v>6525</v>
      </c>
      <c r="AB144" s="1487" t="str">
        <f t="shared" si="33"/>
        <v>ok</v>
      </c>
      <c r="AC144" s="1487" t="str">
        <f t="shared" si="35"/>
        <v>ok</v>
      </c>
    </row>
    <row r="145" spans="1:29" s="1280" customFormat="1" ht="23.25" customHeight="1" x14ac:dyDescent="0.6">
      <c r="A145" s="1432">
        <v>138</v>
      </c>
      <c r="B145" s="1539" t="s">
        <v>8198</v>
      </c>
      <c r="C145" s="1540" t="s">
        <v>7816</v>
      </c>
      <c r="D145" s="1526"/>
      <c r="E145" s="1529">
        <v>4879.2</v>
      </c>
      <c r="F145" s="1370"/>
      <c r="G145" s="1525">
        <v>4879.2</v>
      </c>
      <c r="H145" s="1370">
        <v>314</v>
      </c>
      <c r="I145" s="1370">
        <f t="shared" si="27"/>
        <v>59660</v>
      </c>
      <c r="J145" s="1370">
        <v>1300</v>
      </c>
      <c r="K145" s="1370">
        <v>0</v>
      </c>
      <c r="L145" s="1526">
        <f t="shared" si="28"/>
        <v>0</v>
      </c>
      <c r="M145" s="1370">
        <f t="shared" si="24"/>
        <v>1300</v>
      </c>
      <c r="N145" s="1371">
        <v>190</v>
      </c>
      <c r="O145" s="1371">
        <f t="shared" si="29"/>
        <v>247000</v>
      </c>
      <c r="P145" s="1526">
        <v>300</v>
      </c>
      <c r="Q145" s="1370">
        <f t="shared" si="30"/>
        <v>57000</v>
      </c>
      <c r="R145" s="1526">
        <v>500</v>
      </c>
      <c r="S145" s="1526">
        <f t="shared" si="25"/>
        <v>95000</v>
      </c>
      <c r="T145" s="1370">
        <v>200</v>
      </c>
      <c r="U145" s="1526">
        <f t="shared" si="26"/>
        <v>38000</v>
      </c>
      <c r="V145" s="1370">
        <v>300</v>
      </c>
      <c r="W145" s="1526">
        <f t="shared" si="31"/>
        <v>57000</v>
      </c>
      <c r="X145" s="1370">
        <f t="shared" si="34"/>
        <v>1300</v>
      </c>
      <c r="Y145" s="1370">
        <f t="shared" si="32"/>
        <v>247000</v>
      </c>
      <c r="Z145" s="1527" t="s">
        <v>7799</v>
      </c>
      <c r="AA145" s="1379" t="s">
        <v>6525</v>
      </c>
      <c r="AB145" s="1487" t="str">
        <f t="shared" si="33"/>
        <v>ok</v>
      </c>
      <c r="AC145" s="1487" t="str">
        <f t="shared" si="35"/>
        <v>ok</v>
      </c>
    </row>
    <row r="146" spans="1:29" s="1280" customFormat="1" ht="23.25" customHeight="1" x14ac:dyDescent="0.6">
      <c r="A146" s="1432">
        <v>139</v>
      </c>
      <c r="B146" s="1539" t="s">
        <v>8199</v>
      </c>
      <c r="C146" s="1540" t="s">
        <v>7816</v>
      </c>
      <c r="D146" s="1526"/>
      <c r="E146" s="1529">
        <v>1120</v>
      </c>
      <c r="F146" s="1370"/>
      <c r="G146" s="1525">
        <v>1120</v>
      </c>
      <c r="H146" s="1370">
        <v>98</v>
      </c>
      <c r="I146" s="1370">
        <f t="shared" si="27"/>
        <v>13720</v>
      </c>
      <c r="J146" s="1370">
        <v>98</v>
      </c>
      <c r="K146" s="1370">
        <v>0</v>
      </c>
      <c r="L146" s="1526">
        <f t="shared" si="28"/>
        <v>0</v>
      </c>
      <c r="M146" s="1370">
        <f t="shared" ref="M146:M209" si="36">J146-K146</f>
        <v>98</v>
      </c>
      <c r="N146" s="1371">
        <v>140</v>
      </c>
      <c r="O146" s="1371">
        <f t="shared" si="29"/>
        <v>13720</v>
      </c>
      <c r="P146" s="1526"/>
      <c r="Q146" s="1370">
        <f t="shared" si="30"/>
        <v>0</v>
      </c>
      <c r="R146" s="1526">
        <v>48</v>
      </c>
      <c r="S146" s="1526">
        <f t="shared" si="25"/>
        <v>6720</v>
      </c>
      <c r="T146" s="1370">
        <v>50</v>
      </c>
      <c r="U146" s="1526">
        <f t="shared" si="26"/>
        <v>7000</v>
      </c>
      <c r="V146" s="1370"/>
      <c r="W146" s="1526">
        <f t="shared" si="31"/>
        <v>0</v>
      </c>
      <c r="X146" s="1370">
        <f t="shared" si="34"/>
        <v>98</v>
      </c>
      <c r="Y146" s="1370">
        <f t="shared" si="32"/>
        <v>13720</v>
      </c>
      <c r="Z146" s="1527" t="s">
        <v>7799</v>
      </c>
      <c r="AA146" s="1379" t="s">
        <v>6525</v>
      </c>
      <c r="AB146" s="1487" t="str">
        <f t="shared" si="33"/>
        <v>ok</v>
      </c>
      <c r="AC146" s="1487" t="str">
        <f t="shared" si="35"/>
        <v>ok</v>
      </c>
    </row>
    <row r="147" spans="1:29" s="1280" customFormat="1" ht="23.25" customHeight="1" x14ac:dyDescent="0.6">
      <c r="A147" s="1432">
        <v>140</v>
      </c>
      <c r="B147" s="1539" t="s">
        <v>8200</v>
      </c>
      <c r="C147" s="1540" t="s">
        <v>7798</v>
      </c>
      <c r="D147" s="1526"/>
      <c r="E147" s="1529">
        <v>5040</v>
      </c>
      <c r="F147" s="1370"/>
      <c r="G147" s="1525">
        <v>5040</v>
      </c>
      <c r="H147" s="1370">
        <v>3</v>
      </c>
      <c r="I147" s="1370">
        <f t="shared" si="27"/>
        <v>840</v>
      </c>
      <c r="J147" s="1370">
        <v>5</v>
      </c>
      <c r="K147" s="1370">
        <v>2</v>
      </c>
      <c r="L147" s="1526">
        <f t="shared" si="28"/>
        <v>560</v>
      </c>
      <c r="M147" s="1370">
        <f t="shared" si="36"/>
        <v>3</v>
      </c>
      <c r="N147" s="1371">
        <v>280</v>
      </c>
      <c r="O147" s="1371">
        <f t="shared" si="29"/>
        <v>840</v>
      </c>
      <c r="P147" s="1370"/>
      <c r="Q147" s="1370">
        <f t="shared" si="30"/>
        <v>0</v>
      </c>
      <c r="R147" s="1526">
        <v>3</v>
      </c>
      <c r="S147" s="1526">
        <f t="shared" si="25"/>
        <v>840</v>
      </c>
      <c r="T147" s="1370"/>
      <c r="U147" s="1526">
        <f t="shared" si="26"/>
        <v>0</v>
      </c>
      <c r="V147" s="1526"/>
      <c r="W147" s="1526">
        <f t="shared" si="31"/>
        <v>0</v>
      </c>
      <c r="X147" s="1370">
        <f t="shared" si="34"/>
        <v>3</v>
      </c>
      <c r="Y147" s="1370">
        <f t="shared" si="32"/>
        <v>840</v>
      </c>
      <c r="Z147" s="1527" t="s">
        <v>7799</v>
      </c>
      <c r="AA147" s="1379" t="s">
        <v>6525</v>
      </c>
      <c r="AB147" s="1487" t="str">
        <f t="shared" si="33"/>
        <v>ok</v>
      </c>
      <c r="AC147" s="1487" t="str">
        <f t="shared" si="35"/>
        <v>ok</v>
      </c>
    </row>
    <row r="148" spans="1:29" s="1280" customFormat="1" ht="23.25" customHeight="1" x14ac:dyDescent="0.6">
      <c r="A148" s="1432">
        <v>141</v>
      </c>
      <c r="B148" s="1539" t="s">
        <v>8201</v>
      </c>
      <c r="C148" s="1540" t="s">
        <v>7798</v>
      </c>
      <c r="D148" s="1526"/>
      <c r="E148" s="1529">
        <v>3640</v>
      </c>
      <c r="F148" s="1381"/>
      <c r="G148" s="1525">
        <v>3640</v>
      </c>
      <c r="H148" s="1370">
        <v>11</v>
      </c>
      <c r="I148" s="1370">
        <f t="shared" si="27"/>
        <v>3080</v>
      </c>
      <c r="J148" s="1370">
        <v>11</v>
      </c>
      <c r="K148" s="1370">
        <v>3</v>
      </c>
      <c r="L148" s="1526">
        <f t="shared" si="28"/>
        <v>840</v>
      </c>
      <c r="M148" s="1370">
        <f t="shared" si="36"/>
        <v>8</v>
      </c>
      <c r="N148" s="1370">
        <v>280</v>
      </c>
      <c r="O148" s="1371">
        <f t="shared" si="29"/>
        <v>2240</v>
      </c>
      <c r="P148" s="1526"/>
      <c r="Q148" s="1370">
        <f t="shared" si="30"/>
        <v>0</v>
      </c>
      <c r="R148" s="1526">
        <v>8</v>
      </c>
      <c r="S148" s="1526">
        <f t="shared" si="25"/>
        <v>2240</v>
      </c>
      <c r="T148" s="1526"/>
      <c r="U148" s="1526">
        <f t="shared" si="26"/>
        <v>0</v>
      </c>
      <c r="V148" s="1526"/>
      <c r="W148" s="1526">
        <f t="shared" si="31"/>
        <v>0</v>
      </c>
      <c r="X148" s="1370">
        <f t="shared" si="34"/>
        <v>8</v>
      </c>
      <c r="Y148" s="1370">
        <f t="shared" si="32"/>
        <v>2240</v>
      </c>
      <c r="Z148" s="1527" t="s">
        <v>7799</v>
      </c>
      <c r="AA148" s="1379" t="s">
        <v>6525</v>
      </c>
      <c r="AB148" s="1487" t="str">
        <f t="shared" si="33"/>
        <v>ok</v>
      </c>
      <c r="AC148" s="1487" t="str">
        <f t="shared" si="35"/>
        <v>ok</v>
      </c>
    </row>
    <row r="149" spans="1:29" s="1280" customFormat="1" ht="23.25" customHeight="1" x14ac:dyDescent="0.6">
      <c r="A149" s="1432">
        <v>142</v>
      </c>
      <c r="B149" s="1539" t="s">
        <v>8202</v>
      </c>
      <c r="C149" s="1540" t="s">
        <v>7798</v>
      </c>
      <c r="D149" s="1526"/>
      <c r="E149" s="1529">
        <v>35952</v>
      </c>
      <c r="F149" s="1370"/>
      <c r="G149" s="1525">
        <v>35952</v>
      </c>
      <c r="H149" s="1370">
        <v>21</v>
      </c>
      <c r="I149" s="1370">
        <f t="shared" si="27"/>
        <v>5880</v>
      </c>
      <c r="J149" s="1370">
        <v>21</v>
      </c>
      <c r="K149" s="1370">
        <v>1</v>
      </c>
      <c r="L149" s="1526">
        <f t="shared" si="28"/>
        <v>280</v>
      </c>
      <c r="M149" s="1370">
        <f t="shared" si="36"/>
        <v>20</v>
      </c>
      <c r="N149" s="1371">
        <v>280</v>
      </c>
      <c r="O149" s="1371">
        <f t="shared" si="29"/>
        <v>5600</v>
      </c>
      <c r="P149" s="1526"/>
      <c r="Q149" s="1370">
        <f t="shared" si="30"/>
        <v>0</v>
      </c>
      <c r="R149" s="1526">
        <v>10</v>
      </c>
      <c r="S149" s="1526">
        <f t="shared" si="25"/>
        <v>2800</v>
      </c>
      <c r="T149" s="1370">
        <v>10</v>
      </c>
      <c r="U149" s="1526">
        <f t="shared" si="26"/>
        <v>2800</v>
      </c>
      <c r="V149" s="1370"/>
      <c r="W149" s="1526">
        <f t="shared" si="31"/>
        <v>0</v>
      </c>
      <c r="X149" s="1370">
        <f t="shared" si="34"/>
        <v>20</v>
      </c>
      <c r="Y149" s="1370">
        <f t="shared" si="32"/>
        <v>5600</v>
      </c>
      <c r="Z149" s="1527" t="s">
        <v>7799</v>
      </c>
      <c r="AA149" s="1379" t="s">
        <v>6525</v>
      </c>
      <c r="AB149" s="1487" t="str">
        <f t="shared" si="33"/>
        <v>ok</v>
      </c>
      <c r="AC149" s="1487" t="str">
        <f t="shared" si="35"/>
        <v>ok</v>
      </c>
    </row>
    <row r="150" spans="1:29" s="1280" customFormat="1" ht="23.25" customHeight="1" x14ac:dyDescent="0.6">
      <c r="A150" s="1432">
        <v>143</v>
      </c>
      <c r="B150" s="1539" t="s">
        <v>8203</v>
      </c>
      <c r="C150" s="1540" t="s">
        <v>7808</v>
      </c>
      <c r="D150" s="1526"/>
      <c r="E150" s="1529">
        <v>17600</v>
      </c>
      <c r="F150" s="1381"/>
      <c r="G150" s="1525">
        <v>17600</v>
      </c>
      <c r="H150" s="1370">
        <v>4320</v>
      </c>
      <c r="I150" s="1370">
        <f t="shared" si="27"/>
        <v>50414.400000000001</v>
      </c>
      <c r="J150" s="1370">
        <v>4000</v>
      </c>
      <c r="K150" s="1370">
        <v>100</v>
      </c>
      <c r="L150" s="1526">
        <f t="shared" si="28"/>
        <v>1167</v>
      </c>
      <c r="M150" s="1370">
        <f t="shared" si="36"/>
        <v>3900</v>
      </c>
      <c r="N150" s="1370">
        <v>11.67</v>
      </c>
      <c r="O150" s="1371">
        <f t="shared" si="29"/>
        <v>45513</v>
      </c>
      <c r="P150" s="1526">
        <v>500</v>
      </c>
      <c r="Q150" s="1370">
        <f t="shared" si="30"/>
        <v>5835</v>
      </c>
      <c r="R150" s="1526">
        <v>1000</v>
      </c>
      <c r="S150" s="1526">
        <f t="shared" si="25"/>
        <v>11670</v>
      </c>
      <c r="T150" s="1526">
        <v>1900</v>
      </c>
      <c r="U150" s="1526">
        <f t="shared" si="26"/>
        <v>22173</v>
      </c>
      <c r="V150" s="1526">
        <v>500</v>
      </c>
      <c r="W150" s="1526">
        <f t="shared" si="31"/>
        <v>5835</v>
      </c>
      <c r="X150" s="1370">
        <f t="shared" si="34"/>
        <v>3900</v>
      </c>
      <c r="Y150" s="1370">
        <f t="shared" si="32"/>
        <v>45513</v>
      </c>
      <c r="Z150" s="1527" t="s">
        <v>7799</v>
      </c>
      <c r="AA150" s="1379" t="s">
        <v>6525</v>
      </c>
      <c r="AB150" s="1487" t="str">
        <f t="shared" si="33"/>
        <v>ok</v>
      </c>
      <c r="AC150" s="1487" t="str">
        <f t="shared" si="35"/>
        <v>ok</v>
      </c>
    </row>
    <row r="151" spans="1:29" s="1280" customFormat="1" ht="23.25" customHeight="1" x14ac:dyDescent="0.6">
      <c r="A151" s="1432">
        <v>144</v>
      </c>
      <c r="B151" s="1539" t="s">
        <v>8204</v>
      </c>
      <c r="C151" s="1540" t="s">
        <v>7798</v>
      </c>
      <c r="D151" s="1526"/>
      <c r="E151" s="1529">
        <v>3750</v>
      </c>
      <c r="F151" s="1370"/>
      <c r="G151" s="1525">
        <v>3750</v>
      </c>
      <c r="H151" s="1370">
        <v>2350</v>
      </c>
      <c r="I151" s="1370">
        <f t="shared" si="27"/>
        <v>22207.5</v>
      </c>
      <c r="J151" s="1370">
        <v>2500</v>
      </c>
      <c r="K151" s="1370">
        <v>50</v>
      </c>
      <c r="L151" s="1526">
        <f t="shared" si="28"/>
        <v>472.49999999999994</v>
      </c>
      <c r="M151" s="1370">
        <f t="shared" si="36"/>
        <v>2450</v>
      </c>
      <c r="N151" s="1371">
        <v>9.4499999999999993</v>
      </c>
      <c r="O151" s="1371">
        <f t="shared" si="29"/>
        <v>23152.5</v>
      </c>
      <c r="P151" s="1526">
        <v>500</v>
      </c>
      <c r="Q151" s="1370">
        <f t="shared" si="30"/>
        <v>4725</v>
      </c>
      <c r="R151" s="1526">
        <v>500</v>
      </c>
      <c r="S151" s="1526">
        <f t="shared" si="25"/>
        <v>4725</v>
      </c>
      <c r="T151" s="1370">
        <v>950</v>
      </c>
      <c r="U151" s="1526">
        <f t="shared" si="26"/>
        <v>8977.5</v>
      </c>
      <c r="V151" s="1370">
        <v>500</v>
      </c>
      <c r="W151" s="1526">
        <f t="shared" si="31"/>
        <v>4725</v>
      </c>
      <c r="X151" s="1370">
        <f t="shared" si="34"/>
        <v>2450</v>
      </c>
      <c r="Y151" s="1370">
        <f t="shared" si="32"/>
        <v>23152.5</v>
      </c>
      <c r="Z151" s="1527" t="s">
        <v>7799</v>
      </c>
      <c r="AA151" s="1379" t="s">
        <v>6525</v>
      </c>
      <c r="AB151" s="1487" t="str">
        <f t="shared" si="33"/>
        <v>ok</v>
      </c>
      <c r="AC151" s="1487" t="str">
        <f t="shared" si="35"/>
        <v>ok</v>
      </c>
    </row>
    <row r="152" spans="1:29" s="1280" customFormat="1" ht="23.25" customHeight="1" x14ac:dyDescent="0.6">
      <c r="A152" s="1432">
        <v>145</v>
      </c>
      <c r="B152" s="1539" t="s">
        <v>8205</v>
      </c>
      <c r="C152" s="1540" t="s">
        <v>8206</v>
      </c>
      <c r="D152" s="1526"/>
      <c r="E152" s="1529">
        <v>600</v>
      </c>
      <c r="F152" s="1370"/>
      <c r="G152" s="1525">
        <v>600</v>
      </c>
      <c r="H152" s="1370">
        <v>2</v>
      </c>
      <c r="I152" s="1370">
        <f t="shared" si="27"/>
        <v>2000</v>
      </c>
      <c r="J152" s="1370">
        <v>2</v>
      </c>
      <c r="K152" s="1370">
        <v>1</v>
      </c>
      <c r="L152" s="1526">
        <f t="shared" si="28"/>
        <v>1000</v>
      </c>
      <c r="M152" s="1370">
        <f t="shared" si="36"/>
        <v>1</v>
      </c>
      <c r="N152" s="1371">
        <v>1000</v>
      </c>
      <c r="O152" s="1371">
        <f t="shared" si="29"/>
        <v>1000</v>
      </c>
      <c r="P152" s="1526"/>
      <c r="Q152" s="1370">
        <f t="shared" si="30"/>
        <v>0</v>
      </c>
      <c r="R152" s="1370"/>
      <c r="S152" s="1526">
        <f t="shared" si="25"/>
        <v>0</v>
      </c>
      <c r="T152" s="1526">
        <v>1</v>
      </c>
      <c r="U152" s="1526">
        <f t="shared" si="26"/>
        <v>1000</v>
      </c>
      <c r="V152" s="1370"/>
      <c r="W152" s="1526">
        <f t="shared" si="31"/>
        <v>0</v>
      </c>
      <c r="X152" s="1370">
        <f t="shared" si="34"/>
        <v>1</v>
      </c>
      <c r="Y152" s="1370">
        <f t="shared" si="32"/>
        <v>1000</v>
      </c>
      <c r="Z152" s="1527" t="s">
        <v>7799</v>
      </c>
      <c r="AA152" s="1379" t="s">
        <v>6525</v>
      </c>
      <c r="AB152" s="1487" t="str">
        <f t="shared" si="33"/>
        <v>ok</v>
      </c>
      <c r="AC152" s="1487" t="str">
        <f t="shared" si="35"/>
        <v>ok</v>
      </c>
    </row>
    <row r="153" spans="1:29" s="1280" customFormat="1" ht="23.25" customHeight="1" x14ac:dyDescent="0.6">
      <c r="A153" s="1432">
        <v>146</v>
      </c>
      <c r="B153" s="1541" t="s">
        <v>8207</v>
      </c>
      <c r="C153" s="1540" t="s">
        <v>8208</v>
      </c>
      <c r="D153" s="1526"/>
      <c r="E153" s="1529">
        <v>28000</v>
      </c>
      <c r="F153" s="1370"/>
      <c r="G153" s="1525">
        <v>28000</v>
      </c>
      <c r="H153" s="1370">
        <v>0</v>
      </c>
      <c r="I153" s="1370">
        <f t="shared" si="27"/>
        <v>0</v>
      </c>
      <c r="J153" s="1370">
        <v>10</v>
      </c>
      <c r="K153" s="1370">
        <v>0</v>
      </c>
      <c r="L153" s="1526">
        <f t="shared" si="28"/>
        <v>0</v>
      </c>
      <c r="M153" s="1370">
        <f t="shared" si="36"/>
        <v>10</v>
      </c>
      <c r="N153" s="1371">
        <v>70</v>
      </c>
      <c r="O153" s="1371">
        <f t="shared" si="29"/>
        <v>700</v>
      </c>
      <c r="P153" s="1526"/>
      <c r="Q153" s="1370">
        <f t="shared" si="30"/>
        <v>0</v>
      </c>
      <c r="R153" s="1370">
        <v>10</v>
      </c>
      <c r="S153" s="1526">
        <f t="shared" si="25"/>
        <v>700</v>
      </c>
      <c r="T153" s="1526"/>
      <c r="U153" s="1526">
        <f t="shared" si="26"/>
        <v>0</v>
      </c>
      <c r="V153" s="1370"/>
      <c r="W153" s="1526">
        <f t="shared" si="31"/>
        <v>0</v>
      </c>
      <c r="X153" s="1370">
        <f t="shared" si="34"/>
        <v>10</v>
      </c>
      <c r="Y153" s="1370">
        <f t="shared" si="32"/>
        <v>700</v>
      </c>
      <c r="Z153" s="1527" t="s">
        <v>7799</v>
      </c>
      <c r="AA153" s="1379" t="s">
        <v>6525</v>
      </c>
      <c r="AB153" s="1487" t="str">
        <f t="shared" si="33"/>
        <v>ok</v>
      </c>
      <c r="AC153" s="1487" t="str">
        <f t="shared" si="35"/>
        <v>ok</v>
      </c>
    </row>
    <row r="154" spans="1:29" s="1280" customFormat="1" ht="23.25" customHeight="1" x14ac:dyDescent="0.6">
      <c r="A154" s="1432">
        <v>147</v>
      </c>
      <c r="B154" s="1541" t="s">
        <v>8209</v>
      </c>
      <c r="C154" s="1540" t="s">
        <v>8208</v>
      </c>
      <c r="D154" s="1526"/>
      <c r="E154" s="1529">
        <v>3370.5</v>
      </c>
      <c r="F154" s="1370"/>
      <c r="G154" s="1525">
        <v>3370.5</v>
      </c>
      <c r="H154" s="1370">
        <v>1600</v>
      </c>
      <c r="I154" s="1370">
        <f t="shared" si="27"/>
        <v>25600</v>
      </c>
      <c r="J154" s="1370">
        <v>1200</v>
      </c>
      <c r="K154" s="1370">
        <v>300</v>
      </c>
      <c r="L154" s="1526">
        <f t="shared" si="28"/>
        <v>4800</v>
      </c>
      <c r="M154" s="1370">
        <f t="shared" si="36"/>
        <v>900</v>
      </c>
      <c r="N154" s="1371">
        <v>16</v>
      </c>
      <c r="O154" s="1371">
        <f t="shared" si="29"/>
        <v>14400</v>
      </c>
      <c r="P154" s="1526"/>
      <c r="Q154" s="1370"/>
      <c r="R154" s="1526">
        <v>200</v>
      </c>
      <c r="S154" s="1526">
        <f t="shared" si="25"/>
        <v>3200</v>
      </c>
      <c r="T154" s="1370">
        <v>200</v>
      </c>
      <c r="U154" s="1526">
        <f t="shared" si="26"/>
        <v>3200</v>
      </c>
      <c r="V154" s="1370">
        <v>500</v>
      </c>
      <c r="W154" s="1526">
        <f t="shared" si="31"/>
        <v>8000</v>
      </c>
      <c r="X154" s="1370">
        <f t="shared" si="34"/>
        <v>900</v>
      </c>
      <c r="Y154" s="1370">
        <f t="shared" si="32"/>
        <v>14400</v>
      </c>
      <c r="Z154" s="1527" t="s">
        <v>7799</v>
      </c>
      <c r="AA154" s="1379" t="s">
        <v>6525</v>
      </c>
      <c r="AB154" s="1487" t="str">
        <f t="shared" si="33"/>
        <v>ok</v>
      </c>
      <c r="AC154" s="1487" t="str">
        <f t="shared" si="35"/>
        <v>ok</v>
      </c>
    </row>
    <row r="155" spans="1:29" s="1280" customFormat="1" ht="23.25" customHeight="1" x14ac:dyDescent="0.6">
      <c r="A155" s="1432">
        <v>148</v>
      </c>
      <c r="B155" s="1541" t="s">
        <v>8210</v>
      </c>
      <c r="C155" s="1540" t="s">
        <v>8118</v>
      </c>
      <c r="D155" s="1526"/>
      <c r="E155" s="1529">
        <v>2354</v>
      </c>
      <c r="F155" s="1370"/>
      <c r="G155" s="1525">
        <v>2354</v>
      </c>
      <c r="H155" s="1370">
        <v>5</v>
      </c>
      <c r="I155" s="1370">
        <f t="shared" si="27"/>
        <v>2140</v>
      </c>
      <c r="J155" s="1370">
        <v>5</v>
      </c>
      <c r="K155" s="1370">
        <v>3</v>
      </c>
      <c r="L155" s="1526">
        <f t="shared" si="28"/>
        <v>1284</v>
      </c>
      <c r="M155" s="1370">
        <f t="shared" si="36"/>
        <v>2</v>
      </c>
      <c r="N155" s="1371">
        <v>428</v>
      </c>
      <c r="O155" s="1371">
        <f t="shared" si="29"/>
        <v>856</v>
      </c>
      <c r="P155" s="1526"/>
      <c r="Q155" s="1370">
        <f t="shared" ref="Q155:Q202" si="37">P155*N155</f>
        <v>0</v>
      </c>
      <c r="R155" s="1526">
        <v>2</v>
      </c>
      <c r="S155" s="1526">
        <f t="shared" si="25"/>
        <v>856</v>
      </c>
      <c r="T155" s="1370"/>
      <c r="U155" s="1526">
        <f t="shared" si="26"/>
        <v>0</v>
      </c>
      <c r="V155" s="1370"/>
      <c r="W155" s="1526">
        <f t="shared" si="31"/>
        <v>0</v>
      </c>
      <c r="X155" s="1370">
        <f t="shared" si="34"/>
        <v>2</v>
      </c>
      <c r="Y155" s="1370">
        <f t="shared" si="32"/>
        <v>856</v>
      </c>
      <c r="Z155" s="1527" t="s">
        <v>7799</v>
      </c>
      <c r="AA155" s="1379" t="s">
        <v>6525</v>
      </c>
      <c r="AB155" s="1487" t="str">
        <f t="shared" si="33"/>
        <v>ok</v>
      </c>
      <c r="AC155" s="1487" t="str">
        <f t="shared" si="35"/>
        <v>ok</v>
      </c>
    </row>
    <row r="156" spans="1:29" s="1280" customFormat="1" ht="23.25" customHeight="1" x14ac:dyDescent="0.6">
      <c r="A156" s="1432">
        <v>149</v>
      </c>
      <c r="B156" s="1539" t="s">
        <v>8211</v>
      </c>
      <c r="C156" s="1540" t="s">
        <v>8118</v>
      </c>
      <c r="D156" s="1526"/>
      <c r="E156" s="1529">
        <v>374.5</v>
      </c>
      <c r="F156" s="1370"/>
      <c r="G156" s="1525">
        <v>374.5</v>
      </c>
      <c r="H156" s="1370">
        <v>2</v>
      </c>
      <c r="I156" s="1370">
        <f t="shared" si="27"/>
        <v>1070</v>
      </c>
      <c r="J156" s="1370">
        <v>2</v>
      </c>
      <c r="K156" s="1370">
        <v>0</v>
      </c>
      <c r="L156" s="1526">
        <f t="shared" si="28"/>
        <v>0</v>
      </c>
      <c r="M156" s="1370">
        <f t="shared" si="36"/>
        <v>2</v>
      </c>
      <c r="N156" s="1371">
        <v>535</v>
      </c>
      <c r="O156" s="1371">
        <f t="shared" si="29"/>
        <v>1070</v>
      </c>
      <c r="P156" s="1526"/>
      <c r="Q156" s="1370">
        <f t="shared" si="37"/>
        <v>0</v>
      </c>
      <c r="R156" s="1526">
        <v>2</v>
      </c>
      <c r="S156" s="1526">
        <f t="shared" ref="S156:S165" si="38">R156*N156</f>
        <v>1070</v>
      </c>
      <c r="T156" s="1370"/>
      <c r="U156" s="1526">
        <f t="shared" ref="U156:U219" si="39">T156*N156</f>
        <v>0</v>
      </c>
      <c r="V156" s="1370"/>
      <c r="W156" s="1526">
        <f t="shared" si="31"/>
        <v>0</v>
      </c>
      <c r="X156" s="1370">
        <f t="shared" si="34"/>
        <v>2</v>
      </c>
      <c r="Y156" s="1370">
        <f t="shared" si="32"/>
        <v>1070</v>
      </c>
      <c r="Z156" s="1527" t="s">
        <v>7799</v>
      </c>
      <c r="AA156" s="1379" t="s">
        <v>6525</v>
      </c>
      <c r="AB156" s="1487" t="str">
        <f t="shared" si="33"/>
        <v>ok</v>
      </c>
      <c r="AC156" s="1487" t="str">
        <f t="shared" si="35"/>
        <v>ok</v>
      </c>
    </row>
    <row r="157" spans="1:29" s="1280" customFormat="1" ht="23.25" customHeight="1" x14ac:dyDescent="0.6">
      <c r="A157" s="1432">
        <v>150</v>
      </c>
      <c r="B157" s="1539" t="s">
        <v>8212</v>
      </c>
      <c r="C157" s="1540" t="s">
        <v>8052</v>
      </c>
      <c r="D157" s="1526"/>
      <c r="E157" s="1529">
        <v>1050</v>
      </c>
      <c r="F157" s="1381"/>
      <c r="G157" s="1525">
        <v>1050</v>
      </c>
      <c r="H157" s="1370">
        <v>50</v>
      </c>
      <c r="I157" s="1370">
        <f t="shared" si="27"/>
        <v>3250</v>
      </c>
      <c r="J157" s="1370">
        <v>100</v>
      </c>
      <c r="K157" s="1370">
        <v>50</v>
      </c>
      <c r="L157" s="1526">
        <f t="shared" si="28"/>
        <v>3250</v>
      </c>
      <c r="M157" s="1370">
        <f t="shared" si="36"/>
        <v>50</v>
      </c>
      <c r="N157" s="1370">
        <v>65</v>
      </c>
      <c r="O157" s="1371">
        <f t="shared" si="29"/>
        <v>3250</v>
      </c>
      <c r="P157" s="1526"/>
      <c r="Q157" s="1370">
        <f t="shared" si="37"/>
        <v>0</v>
      </c>
      <c r="R157" s="1526">
        <v>50</v>
      </c>
      <c r="S157" s="1526">
        <f t="shared" si="38"/>
        <v>3250</v>
      </c>
      <c r="T157" s="1526"/>
      <c r="U157" s="1526">
        <f t="shared" si="39"/>
        <v>0</v>
      </c>
      <c r="V157" s="1526"/>
      <c r="W157" s="1526">
        <f t="shared" si="31"/>
        <v>0</v>
      </c>
      <c r="X157" s="1370">
        <f t="shared" si="34"/>
        <v>50</v>
      </c>
      <c r="Y157" s="1370">
        <f t="shared" si="32"/>
        <v>3250</v>
      </c>
      <c r="Z157" s="1527" t="s">
        <v>7799</v>
      </c>
      <c r="AA157" s="1379" t="s">
        <v>6525</v>
      </c>
      <c r="AB157" s="1487" t="str">
        <f t="shared" si="33"/>
        <v>ok</v>
      </c>
      <c r="AC157" s="1487" t="str">
        <f t="shared" si="35"/>
        <v>ok</v>
      </c>
    </row>
    <row r="158" spans="1:29" s="1280" customFormat="1" ht="23.25" customHeight="1" x14ac:dyDescent="0.6">
      <c r="A158" s="1432">
        <v>151</v>
      </c>
      <c r="B158" s="1539" t="s">
        <v>8213</v>
      </c>
      <c r="C158" s="1540" t="s">
        <v>8052</v>
      </c>
      <c r="D158" s="1526"/>
      <c r="E158" s="1529">
        <v>5520</v>
      </c>
      <c r="F158" s="1370"/>
      <c r="G158" s="1529">
        <v>5520</v>
      </c>
      <c r="H158" s="1370">
        <v>100</v>
      </c>
      <c r="I158" s="1370">
        <f t="shared" si="27"/>
        <v>6500</v>
      </c>
      <c r="J158" s="1370">
        <v>100</v>
      </c>
      <c r="K158" s="1370">
        <v>50</v>
      </c>
      <c r="L158" s="1526">
        <f t="shared" si="28"/>
        <v>3250</v>
      </c>
      <c r="M158" s="1370">
        <f t="shared" si="36"/>
        <v>50</v>
      </c>
      <c r="N158" s="1371">
        <v>65</v>
      </c>
      <c r="O158" s="1371">
        <f t="shared" si="29"/>
        <v>3250</v>
      </c>
      <c r="P158" s="1526"/>
      <c r="Q158" s="1370">
        <f t="shared" si="37"/>
        <v>0</v>
      </c>
      <c r="R158" s="1526">
        <v>50</v>
      </c>
      <c r="S158" s="1526">
        <f t="shared" si="38"/>
        <v>3250</v>
      </c>
      <c r="T158" s="1370">
        <v>0</v>
      </c>
      <c r="U158" s="1526">
        <f t="shared" si="39"/>
        <v>0</v>
      </c>
      <c r="V158" s="1370"/>
      <c r="W158" s="1526">
        <f t="shared" si="31"/>
        <v>0</v>
      </c>
      <c r="X158" s="1370">
        <f t="shared" si="34"/>
        <v>50</v>
      </c>
      <c r="Y158" s="1370">
        <f t="shared" si="32"/>
        <v>3250</v>
      </c>
      <c r="Z158" s="1527" t="s">
        <v>7799</v>
      </c>
      <c r="AA158" s="1379" t="s">
        <v>6525</v>
      </c>
      <c r="AB158" s="1487" t="str">
        <f t="shared" si="33"/>
        <v>ok</v>
      </c>
      <c r="AC158" s="1487" t="str">
        <f t="shared" si="35"/>
        <v>ok</v>
      </c>
    </row>
    <row r="159" spans="1:29" s="1280" customFormat="1" ht="23.25" customHeight="1" x14ac:dyDescent="0.6">
      <c r="A159" s="1432">
        <v>152</v>
      </c>
      <c r="B159" s="1539" t="s">
        <v>8214</v>
      </c>
      <c r="C159" s="1540" t="s">
        <v>8049</v>
      </c>
      <c r="D159" s="1526"/>
      <c r="E159" s="1529">
        <v>12000</v>
      </c>
      <c r="F159" s="1370"/>
      <c r="G159" s="1529">
        <v>12000</v>
      </c>
      <c r="H159" s="1370">
        <v>1990</v>
      </c>
      <c r="I159" s="1370">
        <f t="shared" ref="I159:I222" si="40">H159*N159</f>
        <v>29850</v>
      </c>
      <c r="J159" s="1370">
        <v>1990</v>
      </c>
      <c r="K159" s="1370">
        <v>300</v>
      </c>
      <c r="L159" s="1526">
        <f t="shared" si="28"/>
        <v>4500</v>
      </c>
      <c r="M159" s="1370">
        <f t="shared" si="36"/>
        <v>1690</v>
      </c>
      <c r="N159" s="1371">
        <v>15</v>
      </c>
      <c r="O159" s="1371">
        <f t="shared" si="29"/>
        <v>25350</v>
      </c>
      <c r="P159" s="1526">
        <v>500</v>
      </c>
      <c r="Q159" s="1370">
        <f t="shared" si="37"/>
        <v>7500</v>
      </c>
      <c r="R159" s="1526">
        <v>500</v>
      </c>
      <c r="S159" s="1526">
        <f t="shared" si="38"/>
        <v>7500</v>
      </c>
      <c r="T159" s="1370">
        <v>690</v>
      </c>
      <c r="U159" s="1526">
        <f t="shared" si="39"/>
        <v>10350</v>
      </c>
      <c r="V159" s="1370">
        <v>0</v>
      </c>
      <c r="W159" s="1526">
        <f t="shared" si="31"/>
        <v>0</v>
      </c>
      <c r="X159" s="1370">
        <f t="shared" si="34"/>
        <v>1690</v>
      </c>
      <c r="Y159" s="1370">
        <f t="shared" si="32"/>
        <v>25350</v>
      </c>
      <c r="Z159" s="1527" t="s">
        <v>7799</v>
      </c>
      <c r="AA159" s="1379" t="s">
        <v>6525</v>
      </c>
      <c r="AB159" s="1487" t="str">
        <f t="shared" si="33"/>
        <v>ok</v>
      </c>
      <c r="AC159" s="1487" t="str">
        <f t="shared" si="35"/>
        <v>ok</v>
      </c>
    </row>
    <row r="160" spans="1:29" s="1280" customFormat="1" ht="23.25" customHeight="1" x14ac:dyDescent="0.6">
      <c r="A160" s="1432">
        <v>153</v>
      </c>
      <c r="B160" s="1539" t="s">
        <v>8215</v>
      </c>
      <c r="C160" s="1540" t="s">
        <v>8049</v>
      </c>
      <c r="D160" s="1526"/>
      <c r="E160" s="1529">
        <v>13140</v>
      </c>
      <c r="F160" s="1370"/>
      <c r="G160" s="1529">
        <v>13140</v>
      </c>
      <c r="H160" s="1370">
        <v>2250</v>
      </c>
      <c r="I160" s="1370">
        <f t="shared" si="40"/>
        <v>33750</v>
      </c>
      <c r="J160" s="1370">
        <v>2250</v>
      </c>
      <c r="K160" s="1370">
        <v>100</v>
      </c>
      <c r="L160" s="1526">
        <f t="shared" si="28"/>
        <v>1500</v>
      </c>
      <c r="M160" s="1370">
        <f t="shared" si="36"/>
        <v>2150</v>
      </c>
      <c r="N160" s="1371">
        <v>15</v>
      </c>
      <c r="O160" s="1371">
        <f t="shared" si="29"/>
        <v>32250</v>
      </c>
      <c r="P160" s="1526">
        <v>600</v>
      </c>
      <c r="Q160" s="1370">
        <f t="shared" si="37"/>
        <v>9000</v>
      </c>
      <c r="R160" s="1370">
        <v>550</v>
      </c>
      <c r="S160" s="1526">
        <f t="shared" si="38"/>
        <v>8250</v>
      </c>
      <c r="T160" s="1526">
        <v>500</v>
      </c>
      <c r="U160" s="1526">
        <f t="shared" si="39"/>
        <v>7500</v>
      </c>
      <c r="V160" s="1370">
        <v>500</v>
      </c>
      <c r="W160" s="1526">
        <f t="shared" si="31"/>
        <v>7500</v>
      </c>
      <c r="X160" s="1370">
        <f t="shared" si="34"/>
        <v>2150</v>
      </c>
      <c r="Y160" s="1370">
        <f t="shared" si="32"/>
        <v>32250</v>
      </c>
      <c r="Z160" s="1527" t="s">
        <v>7799</v>
      </c>
      <c r="AA160" s="1379" t="s">
        <v>6525</v>
      </c>
      <c r="AB160" s="1487" t="str">
        <f t="shared" si="33"/>
        <v>ok</v>
      </c>
      <c r="AC160" s="1487" t="str">
        <f t="shared" si="35"/>
        <v>ok</v>
      </c>
    </row>
    <row r="161" spans="1:29" s="1280" customFormat="1" ht="23.25" customHeight="1" x14ac:dyDescent="0.6">
      <c r="A161" s="1432">
        <v>154</v>
      </c>
      <c r="B161" s="1539" t="s">
        <v>8216</v>
      </c>
      <c r="C161" s="1540" t="s">
        <v>7816</v>
      </c>
      <c r="D161" s="1526"/>
      <c r="E161" s="1529">
        <v>108000</v>
      </c>
      <c r="F161" s="1370"/>
      <c r="G161" s="1529">
        <v>108000</v>
      </c>
      <c r="H161" s="1370">
        <v>445</v>
      </c>
      <c r="I161" s="1370">
        <f t="shared" si="40"/>
        <v>53400</v>
      </c>
      <c r="J161" s="1370">
        <v>445</v>
      </c>
      <c r="K161" s="1370">
        <v>60</v>
      </c>
      <c r="L161" s="1526">
        <f t="shared" si="28"/>
        <v>7200</v>
      </c>
      <c r="M161" s="1370">
        <f t="shared" si="36"/>
        <v>385</v>
      </c>
      <c r="N161" s="1371">
        <v>120</v>
      </c>
      <c r="O161" s="1371">
        <f t="shared" si="29"/>
        <v>46200</v>
      </c>
      <c r="P161" s="1526"/>
      <c r="Q161" s="1370">
        <f t="shared" si="37"/>
        <v>0</v>
      </c>
      <c r="R161" s="1370">
        <v>100</v>
      </c>
      <c r="S161" s="1526">
        <f t="shared" si="38"/>
        <v>12000</v>
      </c>
      <c r="T161" s="1526">
        <v>100</v>
      </c>
      <c r="U161" s="1526">
        <f t="shared" si="39"/>
        <v>12000</v>
      </c>
      <c r="V161" s="1370">
        <v>185</v>
      </c>
      <c r="W161" s="1526">
        <f t="shared" si="31"/>
        <v>22200</v>
      </c>
      <c r="X161" s="1370">
        <f t="shared" si="34"/>
        <v>385</v>
      </c>
      <c r="Y161" s="1370">
        <f t="shared" si="32"/>
        <v>46200</v>
      </c>
      <c r="Z161" s="1527" t="s">
        <v>7799</v>
      </c>
      <c r="AA161" s="1379" t="s">
        <v>6525</v>
      </c>
      <c r="AB161" s="1487" t="str">
        <f t="shared" si="33"/>
        <v>ok</v>
      </c>
      <c r="AC161" s="1487" t="str">
        <f t="shared" si="35"/>
        <v>ok</v>
      </c>
    </row>
    <row r="162" spans="1:29" s="1280" customFormat="1" ht="23.25" customHeight="1" x14ac:dyDescent="0.6">
      <c r="A162" s="1432">
        <v>155</v>
      </c>
      <c r="B162" s="1539" t="s">
        <v>8217</v>
      </c>
      <c r="C162" s="1540" t="s">
        <v>7816</v>
      </c>
      <c r="D162" s="1526"/>
      <c r="E162" s="1529">
        <v>172620</v>
      </c>
      <c r="F162" s="1370"/>
      <c r="G162" s="1529">
        <v>172620</v>
      </c>
      <c r="H162" s="1370">
        <v>920</v>
      </c>
      <c r="I162" s="1370">
        <f t="shared" si="40"/>
        <v>110400</v>
      </c>
      <c r="J162" s="1370">
        <v>920</v>
      </c>
      <c r="K162" s="1370">
        <v>70</v>
      </c>
      <c r="L162" s="1526">
        <f t="shared" si="28"/>
        <v>8400</v>
      </c>
      <c r="M162" s="1370">
        <f t="shared" si="36"/>
        <v>850</v>
      </c>
      <c r="N162" s="1371">
        <v>120</v>
      </c>
      <c r="O162" s="1371">
        <f t="shared" si="29"/>
        <v>102000</v>
      </c>
      <c r="P162" s="1526">
        <v>200</v>
      </c>
      <c r="Q162" s="1370">
        <f t="shared" si="37"/>
        <v>24000</v>
      </c>
      <c r="R162" s="1526">
        <v>300</v>
      </c>
      <c r="S162" s="1526">
        <f t="shared" si="38"/>
        <v>36000</v>
      </c>
      <c r="T162" s="1370">
        <v>150</v>
      </c>
      <c r="U162" s="1526">
        <f t="shared" si="39"/>
        <v>18000</v>
      </c>
      <c r="V162" s="1370">
        <v>200</v>
      </c>
      <c r="W162" s="1526">
        <f t="shared" si="31"/>
        <v>24000</v>
      </c>
      <c r="X162" s="1370">
        <f t="shared" si="34"/>
        <v>850</v>
      </c>
      <c r="Y162" s="1370">
        <f t="shared" si="32"/>
        <v>102000</v>
      </c>
      <c r="Z162" s="1527" t="s">
        <v>7799</v>
      </c>
      <c r="AA162" s="1379" t="s">
        <v>6525</v>
      </c>
      <c r="AB162" s="1487" t="str">
        <f t="shared" si="33"/>
        <v>ok</v>
      </c>
      <c r="AC162" s="1487" t="str">
        <f t="shared" si="35"/>
        <v>ok</v>
      </c>
    </row>
    <row r="163" spans="1:29" s="1280" customFormat="1" ht="23.25" customHeight="1" x14ac:dyDescent="0.6">
      <c r="A163" s="1432">
        <v>156</v>
      </c>
      <c r="B163" s="1539" t="s">
        <v>8218</v>
      </c>
      <c r="C163" s="1540" t="s">
        <v>7816</v>
      </c>
      <c r="D163" s="1526"/>
      <c r="E163" s="1529">
        <v>18000</v>
      </c>
      <c r="F163" s="1370"/>
      <c r="G163" s="1529">
        <v>18000</v>
      </c>
      <c r="H163" s="1370">
        <v>1262</v>
      </c>
      <c r="I163" s="1370">
        <f t="shared" si="40"/>
        <v>151440</v>
      </c>
      <c r="J163" s="1370">
        <v>1500</v>
      </c>
      <c r="K163" s="1370">
        <v>100</v>
      </c>
      <c r="L163" s="1526">
        <f t="shared" si="28"/>
        <v>12000</v>
      </c>
      <c r="M163" s="1370">
        <f t="shared" si="36"/>
        <v>1400</v>
      </c>
      <c r="N163" s="1371">
        <v>120</v>
      </c>
      <c r="O163" s="1371">
        <f t="shared" si="29"/>
        <v>168000</v>
      </c>
      <c r="P163" s="1526">
        <v>220</v>
      </c>
      <c r="Q163" s="1370">
        <f t="shared" si="37"/>
        <v>26400</v>
      </c>
      <c r="R163" s="1526">
        <v>500</v>
      </c>
      <c r="S163" s="1526">
        <f t="shared" si="38"/>
        <v>60000</v>
      </c>
      <c r="T163" s="1370">
        <v>300</v>
      </c>
      <c r="U163" s="1526">
        <f t="shared" si="39"/>
        <v>36000</v>
      </c>
      <c r="V163" s="1370">
        <v>380</v>
      </c>
      <c r="W163" s="1526">
        <f t="shared" si="31"/>
        <v>45600</v>
      </c>
      <c r="X163" s="1370">
        <f t="shared" si="34"/>
        <v>1400</v>
      </c>
      <c r="Y163" s="1370">
        <f t="shared" si="32"/>
        <v>168000</v>
      </c>
      <c r="Z163" s="1527" t="s">
        <v>7799</v>
      </c>
      <c r="AA163" s="1379" t="s">
        <v>6525</v>
      </c>
      <c r="AB163" s="1487" t="str">
        <f t="shared" si="33"/>
        <v>ok</v>
      </c>
      <c r="AC163" s="1487" t="str">
        <f t="shared" si="35"/>
        <v>ok</v>
      </c>
    </row>
    <row r="164" spans="1:29" s="1280" customFormat="1" ht="23.25" customHeight="1" x14ac:dyDescent="0.6">
      <c r="A164" s="1432">
        <v>157</v>
      </c>
      <c r="B164" s="1539" t="s">
        <v>8219</v>
      </c>
      <c r="C164" s="1540" t="s">
        <v>7816</v>
      </c>
      <c r="D164" s="1526"/>
      <c r="E164" s="1529">
        <v>0</v>
      </c>
      <c r="F164" s="1370"/>
      <c r="G164" s="1529">
        <v>0</v>
      </c>
      <c r="H164" s="1370">
        <v>470</v>
      </c>
      <c r="I164" s="1370">
        <f t="shared" si="40"/>
        <v>56400</v>
      </c>
      <c r="J164" s="1370">
        <v>470</v>
      </c>
      <c r="K164" s="1370">
        <v>100</v>
      </c>
      <c r="L164" s="1526">
        <f t="shared" si="28"/>
        <v>12000</v>
      </c>
      <c r="M164" s="1370">
        <f t="shared" si="36"/>
        <v>370</v>
      </c>
      <c r="N164" s="1371">
        <v>120</v>
      </c>
      <c r="O164" s="1371">
        <f t="shared" si="29"/>
        <v>44400</v>
      </c>
      <c r="P164" s="1526">
        <v>100</v>
      </c>
      <c r="Q164" s="1370">
        <f t="shared" si="37"/>
        <v>12000</v>
      </c>
      <c r="R164" s="1526">
        <v>100</v>
      </c>
      <c r="S164" s="1526">
        <f t="shared" si="38"/>
        <v>12000</v>
      </c>
      <c r="T164" s="1370">
        <v>100</v>
      </c>
      <c r="U164" s="1526">
        <f t="shared" si="39"/>
        <v>12000</v>
      </c>
      <c r="V164" s="1370">
        <v>70</v>
      </c>
      <c r="W164" s="1526">
        <f t="shared" si="31"/>
        <v>8400</v>
      </c>
      <c r="X164" s="1370">
        <f t="shared" si="34"/>
        <v>370</v>
      </c>
      <c r="Y164" s="1370">
        <f t="shared" si="32"/>
        <v>44400</v>
      </c>
      <c r="Z164" s="1527" t="s">
        <v>7799</v>
      </c>
      <c r="AA164" s="1379" t="s">
        <v>6525</v>
      </c>
      <c r="AB164" s="1487" t="str">
        <f t="shared" si="33"/>
        <v>ok</v>
      </c>
      <c r="AC164" s="1487" t="str">
        <f t="shared" si="35"/>
        <v>ok</v>
      </c>
    </row>
    <row r="165" spans="1:29" s="1280" customFormat="1" ht="23.25" customHeight="1" x14ac:dyDescent="0.6">
      <c r="A165" s="1432">
        <v>158</v>
      </c>
      <c r="B165" s="1539" t="s">
        <v>8220</v>
      </c>
      <c r="C165" s="1540" t="s">
        <v>7798</v>
      </c>
      <c r="D165" s="1526"/>
      <c r="E165" s="1529">
        <v>2100</v>
      </c>
      <c r="F165" s="1381"/>
      <c r="G165" s="1529">
        <v>2100</v>
      </c>
      <c r="H165" s="1370">
        <v>150</v>
      </c>
      <c r="I165" s="1370">
        <f t="shared" si="40"/>
        <v>15000</v>
      </c>
      <c r="J165" s="1370">
        <v>50</v>
      </c>
      <c r="K165" s="1370">
        <v>0</v>
      </c>
      <c r="L165" s="1526">
        <f t="shared" si="28"/>
        <v>0</v>
      </c>
      <c r="M165" s="1370">
        <f t="shared" si="36"/>
        <v>50</v>
      </c>
      <c r="N165" s="1370">
        <v>100</v>
      </c>
      <c r="O165" s="1371">
        <f t="shared" si="29"/>
        <v>5000</v>
      </c>
      <c r="P165" s="1526"/>
      <c r="Q165" s="1370">
        <f t="shared" si="37"/>
        <v>0</v>
      </c>
      <c r="R165" s="1526">
        <v>50</v>
      </c>
      <c r="S165" s="1526">
        <f t="shared" si="38"/>
        <v>5000</v>
      </c>
      <c r="T165" s="1370"/>
      <c r="U165" s="1526">
        <f t="shared" si="39"/>
        <v>0</v>
      </c>
      <c r="V165" s="1526"/>
      <c r="W165" s="1526">
        <f t="shared" si="31"/>
        <v>0</v>
      </c>
      <c r="X165" s="1370">
        <f t="shared" si="34"/>
        <v>50</v>
      </c>
      <c r="Y165" s="1370">
        <f t="shared" si="32"/>
        <v>5000</v>
      </c>
      <c r="Z165" s="1527" t="s">
        <v>7799</v>
      </c>
      <c r="AA165" s="1379" t="s">
        <v>6525</v>
      </c>
      <c r="AB165" s="1487" t="str">
        <f t="shared" si="33"/>
        <v>ok</v>
      </c>
      <c r="AC165" s="1487" t="str">
        <f t="shared" si="35"/>
        <v>ok</v>
      </c>
    </row>
    <row r="166" spans="1:29" s="1280" customFormat="1" ht="23.25" customHeight="1" x14ac:dyDescent="0.6">
      <c r="A166" s="1432">
        <v>159</v>
      </c>
      <c r="B166" s="1539" t="s">
        <v>8221</v>
      </c>
      <c r="C166" s="1540" t="s">
        <v>7816</v>
      </c>
      <c r="D166" s="1526"/>
      <c r="E166" s="1529">
        <v>1750</v>
      </c>
      <c r="F166" s="1370"/>
      <c r="G166" s="1529">
        <v>1750</v>
      </c>
      <c r="H166" s="1370">
        <v>4</v>
      </c>
      <c r="I166" s="1370">
        <f t="shared" si="40"/>
        <v>1280</v>
      </c>
      <c r="J166" s="1370">
        <v>4</v>
      </c>
      <c r="K166" s="1370">
        <v>2</v>
      </c>
      <c r="L166" s="1526">
        <f t="shared" ref="L166:L229" si="41">K166*N166</f>
        <v>640</v>
      </c>
      <c r="M166" s="1370">
        <f t="shared" si="36"/>
        <v>2</v>
      </c>
      <c r="N166" s="1371">
        <v>320</v>
      </c>
      <c r="O166" s="1371">
        <f t="shared" si="29"/>
        <v>640</v>
      </c>
      <c r="P166" s="1526"/>
      <c r="Q166" s="1370">
        <f t="shared" si="37"/>
        <v>0</v>
      </c>
      <c r="R166" s="1526">
        <v>2</v>
      </c>
      <c r="S166" s="1526">
        <v>0</v>
      </c>
      <c r="T166" s="1370"/>
      <c r="U166" s="1526">
        <f t="shared" si="39"/>
        <v>0</v>
      </c>
      <c r="V166" s="1370"/>
      <c r="W166" s="1526">
        <f t="shared" si="31"/>
        <v>0</v>
      </c>
      <c r="X166" s="1370">
        <f t="shared" si="34"/>
        <v>2</v>
      </c>
      <c r="Y166" s="1370">
        <f t="shared" si="32"/>
        <v>640</v>
      </c>
      <c r="Z166" s="1527" t="s">
        <v>7799</v>
      </c>
      <c r="AA166" s="1379" t="s">
        <v>6525</v>
      </c>
      <c r="AB166" s="1487" t="str">
        <f t="shared" si="33"/>
        <v>ok</v>
      </c>
      <c r="AC166" s="1487" t="str">
        <f t="shared" si="35"/>
        <v>ok</v>
      </c>
    </row>
    <row r="167" spans="1:29" s="1280" customFormat="1" ht="23.25" customHeight="1" x14ac:dyDescent="0.6">
      <c r="A167" s="1432">
        <v>160</v>
      </c>
      <c r="B167" s="1539" t="s">
        <v>8222</v>
      </c>
      <c r="C167" s="1540" t="s">
        <v>7816</v>
      </c>
      <c r="D167" s="1526"/>
      <c r="E167" s="1529">
        <v>2450</v>
      </c>
      <c r="F167" s="1381"/>
      <c r="G167" s="1529">
        <v>2450</v>
      </c>
      <c r="H167" s="1370">
        <v>4</v>
      </c>
      <c r="I167" s="1370">
        <f t="shared" si="40"/>
        <v>1200</v>
      </c>
      <c r="J167" s="1370">
        <v>4</v>
      </c>
      <c r="K167" s="1370">
        <v>2</v>
      </c>
      <c r="L167" s="1526">
        <f t="shared" si="41"/>
        <v>600</v>
      </c>
      <c r="M167" s="1370">
        <f t="shared" si="36"/>
        <v>2</v>
      </c>
      <c r="N167" s="1370">
        <v>300</v>
      </c>
      <c r="O167" s="1371">
        <f t="shared" si="29"/>
        <v>600</v>
      </c>
      <c r="P167" s="1526"/>
      <c r="Q167" s="1370">
        <f t="shared" si="37"/>
        <v>0</v>
      </c>
      <c r="R167" s="1526">
        <v>2</v>
      </c>
      <c r="S167" s="1526">
        <f t="shared" ref="S167:S221" si="42">R167*N167</f>
        <v>600</v>
      </c>
      <c r="T167" s="1526"/>
      <c r="U167" s="1526">
        <f t="shared" si="39"/>
        <v>0</v>
      </c>
      <c r="V167" s="1526"/>
      <c r="W167" s="1526">
        <f t="shared" si="31"/>
        <v>0</v>
      </c>
      <c r="X167" s="1370">
        <f t="shared" si="34"/>
        <v>2</v>
      </c>
      <c r="Y167" s="1370">
        <f t="shared" si="32"/>
        <v>600</v>
      </c>
      <c r="Z167" s="1527" t="s">
        <v>7799</v>
      </c>
      <c r="AA167" s="1379" t="s">
        <v>6525</v>
      </c>
      <c r="AB167" s="1487" t="str">
        <f t="shared" si="33"/>
        <v>ok</v>
      </c>
      <c r="AC167" s="1487" t="str">
        <f t="shared" si="35"/>
        <v>ok</v>
      </c>
    </row>
    <row r="168" spans="1:29" s="1280" customFormat="1" ht="23.25" customHeight="1" x14ac:dyDescent="0.6">
      <c r="A168" s="1432">
        <v>161</v>
      </c>
      <c r="B168" s="1539" t="s">
        <v>8223</v>
      </c>
      <c r="C168" s="1540" t="s">
        <v>7816</v>
      </c>
      <c r="D168" s="1526"/>
      <c r="E168" s="1529">
        <v>2450</v>
      </c>
      <c r="F168" s="1370"/>
      <c r="G168" s="1529">
        <v>2450</v>
      </c>
      <c r="H168" s="1370">
        <v>9</v>
      </c>
      <c r="I168" s="1370">
        <f t="shared" si="40"/>
        <v>2700</v>
      </c>
      <c r="J168" s="1370">
        <v>9</v>
      </c>
      <c r="K168" s="1370">
        <v>4</v>
      </c>
      <c r="L168" s="1526">
        <f t="shared" si="41"/>
        <v>1200</v>
      </c>
      <c r="M168" s="1370">
        <f t="shared" si="36"/>
        <v>5</v>
      </c>
      <c r="N168" s="1371">
        <v>300</v>
      </c>
      <c r="O168" s="1371">
        <f t="shared" si="29"/>
        <v>1500</v>
      </c>
      <c r="P168" s="1526"/>
      <c r="Q168" s="1370">
        <f t="shared" si="37"/>
        <v>0</v>
      </c>
      <c r="R168" s="1526">
        <v>5</v>
      </c>
      <c r="S168" s="1526">
        <f t="shared" si="42"/>
        <v>1500</v>
      </c>
      <c r="T168" s="1370"/>
      <c r="U168" s="1526">
        <f t="shared" si="39"/>
        <v>0</v>
      </c>
      <c r="V168" s="1370"/>
      <c r="W168" s="1526">
        <f t="shared" si="31"/>
        <v>0</v>
      </c>
      <c r="X168" s="1370">
        <f t="shared" si="34"/>
        <v>5</v>
      </c>
      <c r="Y168" s="1370">
        <f t="shared" si="32"/>
        <v>1500</v>
      </c>
      <c r="Z168" s="1527" t="s">
        <v>7799</v>
      </c>
      <c r="AA168" s="1379" t="s">
        <v>6525</v>
      </c>
      <c r="AB168" s="1487" t="str">
        <f t="shared" si="33"/>
        <v>ok</v>
      </c>
      <c r="AC168" s="1487" t="str">
        <f t="shared" si="35"/>
        <v>ok</v>
      </c>
    </row>
    <row r="169" spans="1:29" s="1280" customFormat="1" ht="23.25" customHeight="1" x14ac:dyDescent="0.6">
      <c r="A169" s="1432">
        <v>162</v>
      </c>
      <c r="B169" s="1539" t="s">
        <v>8224</v>
      </c>
      <c r="C169" s="1540" t="s">
        <v>7816</v>
      </c>
      <c r="D169" s="1526"/>
      <c r="E169" s="1529">
        <v>342</v>
      </c>
      <c r="F169" s="1370"/>
      <c r="G169" s="1529">
        <v>342</v>
      </c>
      <c r="H169" s="1370">
        <v>8</v>
      </c>
      <c r="I169" s="1370">
        <f t="shared" si="40"/>
        <v>2400</v>
      </c>
      <c r="J169" s="1370">
        <v>8</v>
      </c>
      <c r="K169" s="1370">
        <v>3</v>
      </c>
      <c r="L169" s="1526">
        <f t="shared" si="41"/>
        <v>900</v>
      </c>
      <c r="M169" s="1370">
        <f t="shared" si="36"/>
        <v>5</v>
      </c>
      <c r="N169" s="1371">
        <v>300</v>
      </c>
      <c r="O169" s="1371">
        <f t="shared" si="29"/>
        <v>1500</v>
      </c>
      <c r="P169" s="1526"/>
      <c r="Q169" s="1370">
        <f t="shared" si="37"/>
        <v>0</v>
      </c>
      <c r="R169" s="1370">
        <v>5</v>
      </c>
      <c r="S169" s="1526">
        <f t="shared" si="42"/>
        <v>1500</v>
      </c>
      <c r="T169" s="1526"/>
      <c r="U169" s="1526">
        <f t="shared" si="39"/>
        <v>0</v>
      </c>
      <c r="V169" s="1370"/>
      <c r="W169" s="1526">
        <f t="shared" si="31"/>
        <v>0</v>
      </c>
      <c r="X169" s="1370">
        <f t="shared" si="34"/>
        <v>5</v>
      </c>
      <c r="Y169" s="1370">
        <f t="shared" si="32"/>
        <v>1500</v>
      </c>
      <c r="Z169" s="1527" t="s">
        <v>7799</v>
      </c>
      <c r="AA169" s="1379" t="s">
        <v>6525</v>
      </c>
      <c r="AB169" s="1487" t="str">
        <f t="shared" si="33"/>
        <v>ok</v>
      </c>
      <c r="AC169" s="1487" t="str">
        <f t="shared" si="35"/>
        <v>ok</v>
      </c>
    </row>
    <row r="170" spans="1:29" s="1280" customFormat="1" ht="23.25" customHeight="1" x14ac:dyDescent="0.6">
      <c r="A170" s="1432">
        <v>163</v>
      </c>
      <c r="B170" s="1539" t="s">
        <v>8225</v>
      </c>
      <c r="C170" s="1540" t="s">
        <v>7798</v>
      </c>
      <c r="D170" s="1526"/>
      <c r="E170" s="1529">
        <v>12450</v>
      </c>
      <c r="F170" s="1370"/>
      <c r="G170" s="1529">
        <v>12450</v>
      </c>
      <c r="H170" s="1370">
        <v>9</v>
      </c>
      <c r="I170" s="1370">
        <f t="shared" si="40"/>
        <v>7470</v>
      </c>
      <c r="J170" s="1370">
        <v>10</v>
      </c>
      <c r="K170" s="1370">
        <v>0</v>
      </c>
      <c r="L170" s="1526">
        <f t="shared" si="41"/>
        <v>0</v>
      </c>
      <c r="M170" s="1370">
        <f t="shared" si="36"/>
        <v>10</v>
      </c>
      <c r="N170" s="1371">
        <v>830</v>
      </c>
      <c r="O170" s="1371">
        <f t="shared" si="29"/>
        <v>8300</v>
      </c>
      <c r="P170" s="1526"/>
      <c r="Q170" s="1370">
        <f t="shared" si="37"/>
        <v>0</v>
      </c>
      <c r="R170" s="1526">
        <v>10</v>
      </c>
      <c r="S170" s="1526">
        <f t="shared" si="42"/>
        <v>8300</v>
      </c>
      <c r="T170" s="1370"/>
      <c r="U170" s="1526">
        <f t="shared" si="39"/>
        <v>0</v>
      </c>
      <c r="V170" s="1370"/>
      <c r="W170" s="1526">
        <f t="shared" si="31"/>
        <v>0</v>
      </c>
      <c r="X170" s="1370">
        <f t="shared" si="34"/>
        <v>10</v>
      </c>
      <c r="Y170" s="1370">
        <f t="shared" si="32"/>
        <v>8300</v>
      </c>
      <c r="Z170" s="1527" t="s">
        <v>7799</v>
      </c>
      <c r="AA170" s="1379" t="s">
        <v>6525</v>
      </c>
      <c r="AB170" s="1487" t="str">
        <f t="shared" si="33"/>
        <v>ok</v>
      </c>
      <c r="AC170" s="1487" t="str">
        <f t="shared" si="35"/>
        <v>ok</v>
      </c>
    </row>
    <row r="171" spans="1:29" s="1280" customFormat="1" ht="23.25" customHeight="1" x14ac:dyDescent="0.6">
      <c r="A171" s="1432">
        <v>164</v>
      </c>
      <c r="B171" s="1539" t="s">
        <v>8226</v>
      </c>
      <c r="C171" s="1540" t="s">
        <v>7798</v>
      </c>
      <c r="D171" s="1526"/>
      <c r="E171" s="1529">
        <v>1284</v>
      </c>
      <c r="F171" s="1370"/>
      <c r="G171" s="1529">
        <v>1284</v>
      </c>
      <c r="H171" s="1370">
        <v>55</v>
      </c>
      <c r="I171" s="1370">
        <f t="shared" si="40"/>
        <v>45650</v>
      </c>
      <c r="J171" s="1370">
        <v>60</v>
      </c>
      <c r="K171" s="1370">
        <v>10</v>
      </c>
      <c r="L171" s="1526">
        <f t="shared" si="41"/>
        <v>8300</v>
      </c>
      <c r="M171" s="1370">
        <f t="shared" si="36"/>
        <v>50</v>
      </c>
      <c r="N171" s="1371">
        <v>830</v>
      </c>
      <c r="O171" s="1371">
        <f t="shared" si="29"/>
        <v>41500</v>
      </c>
      <c r="P171" s="1526"/>
      <c r="Q171" s="1370">
        <f t="shared" si="37"/>
        <v>0</v>
      </c>
      <c r="R171" s="1526">
        <v>50</v>
      </c>
      <c r="S171" s="1526">
        <f t="shared" si="42"/>
        <v>41500</v>
      </c>
      <c r="T171" s="1370"/>
      <c r="U171" s="1526">
        <f t="shared" si="39"/>
        <v>0</v>
      </c>
      <c r="V171" s="1370"/>
      <c r="W171" s="1526">
        <f t="shared" si="31"/>
        <v>0</v>
      </c>
      <c r="X171" s="1370">
        <f t="shared" si="34"/>
        <v>50</v>
      </c>
      <c r="Y171" s="1370">
        <f t="shared" si="32"/>
        <v>41500</v>
      </c>
      <c r="Z171" s="1527" t="s">
        <v>7799</v>
      </c>
      <c r="AA171" s="1379" t="s">
        <v>6525</v>
      </c>
      <c r="AB171" s="1487" t="str">
        <f t="shared" si="33"/>
        <v>ok</v>
      </c>
      <c r="AC171" s="1487" t="str">
        <f t="shared" si="35"/>
        <v>ok</v>
      </c>
    </row>
    <row r="172" spans="1:29" s="1280" customFormat="1" ht="23.25" customHeight="1" x14ac:dyDescent="0.6">
      <c r="A172" s="1432">
        <v>165</v>
      </c>
      <c r="B172" s="1541" t="s">
        <v>8227</v>
      </c>
      <c r="C172" s="1432" t="s">
        <v>7816</v>
      </c>
      <c r="D172" s="1526"/>
      <c r="E172" s="1529">
        <v>941</v>
      </c>
      <c r="F172" s="1370"/>
      <c r="G172" s="1529">
        <v>941</v>
      </c>
      <c r="H172" s="1370">
        <v>6</v>
      </c>
      <c r="I172" s="1370">
        <f t="shared" si="40"/>
        <v>3852</v>
      </c>
      <c r="J172" s="1370">
        <v>6</v>
      </c>
      <c r="K172" s="1370">
        <v>1</v>
      </c>
      <c r="L172" s="1526">
        <f t="shared" si="41"/>
        <v>642</v>
      </c>
      <c r="M172" s="1370">
        <f t="shared" si="36"/>
        <v>5</v>
      </c>
      <c r="N172" s="1371">
        <v>642</v>
      </c>
      <c r="O172" s="1371">
        <f t="shared" si="29"/>
        <v>3210</v>
      </c>
      <c r="P172" s="1370"/>
      <c r="Q172" s="1370">
        <f t="shared" si="37"/>
        <v>0</v>
      </c>
      <c r="R172" s="1526">
        <v>2</v>
      </c>
      <c r="S172" s="1526">
        <f t="shared" si="42"/>
        <v>1284</v>
      </c>
      <c r="T172" s="1370">
        <v>2</v>
      </c>
      <c r="U172" s="1526">
        <f t="shared" si="39"/>
        <v>1284</v>
      </c>
      <c r="V172" s="1526">
        <v>1</v>
      </c>
      <c r="W172" s="1526">
        <f t="shared" si="31"/>
        <v>642</v>
      </c>
      <c r="X172" s="1370">
        <f t="shared" si="34"/>
        <v>5</v>
      </c>
      <c r="Y172" s="1370">
        <f t="shared" si="32"/>
        <v>3210</v>
      </c>
      <c r="Z172" s="1527" t="s">
        <v>7799</v>
      </c>
      <c r="AA172" s="1379" t="s">
        <v>6525</v>
      </c>
      <c r="AB172" s="1487" t="str">
        <f t="shared" si="33"/>
        <v>ok</v>
      </c>
      <c r="AC172" s="1487" t="str">
        <f t="shared" si="35"/>
        <v>ok</v>
      </c>
    </row>
    <row r="173" spans="1:29" s="1280" customFormat="1" ht="23.25" customHeight="1" x14ac:dyDescent="0.6">
      <c r="A173" s="1432">
        <v>166</v>
      </c>
      <c r="B173" s="1541" t="s">
        <v>8228</v>
      </c>
      <c r="C173" s="1432" t="s">
        <v>7816</v>
      </c>
      <c r="D173" s="1526"/>
      <c r="E173" s="1529">
        <v>7078.05</v>
      </c>
      <c r="F173" s="1381"/>
      <c r="G173" s="1529">
        <v>7078.05</v>
      </c>
      <c r="H173" s="1370">
        <v>6</v>
      </c>
      <c r="I173" s="1370">
        <f t="shared" si="40"/>
        <v>4620</v>
      </c>
      <c r="J173" s="1370">
        <v>6</v>
      </c>
      <c r="K173" s="1370">
        <v>1</v>
      </c>
      <c r="L173" s="1526">
        <f t="shared" si="41"/>
        <v>770</v>
      </c>
      <c r="M173" s="1370">
        <f t="shared" si="36"/>
        <v>5</v>
      </c>
      <c r="N173" s="1370">
        <v>770</v>
      </c>
      <c r="O173" s="1371">
        <f t="shared" si="29"/>
        <v>3850</v>
      </c>
      <c r="P173" s="1526"/>
      <c r="Q173" s="1370">
        <f t="shared" si="37"/>
        <v>0</v>
      </c>
      <c r="R173" s="1526">
        <v>1</v>
      </c>
      <c r="S173" s="1526">
        <f t="shared" si="42"/>
        <v>770</v>
      </c>
      <c r="T173" s="1526">
        <v>2</v>
      </c>
      <c r="U173" s="1526">
        <f t="shared" si="39"/>
        <v>1540</v>
      </c>
      <c r="V173" s="1526">
        <v>2</v>
      </c>
      <c r="W173" s="1526">
        <f t="shared" si="31"/>
        <v>1540</v>
      </c>
      <c r="X173" s="1370">
        <f t="shared" si="34"/>
        <v>5</v>
      </c>
      <c r="Y173" s="1370">
        <f t="shared" si="32"/>
        <v>3850</v>
      </c>
      <c r="Z173" s="1527" t="s">
        <v>7799</v>
      </c>
      <c r="AA173" s="1379" t="s">
        <v>6525</v>
      </c>
      <c r="AB173" s="1487" t="str">
        <f t="shared" si="33"/>
        <v>ok</v>
      </c>
      <c r="AC173" s="1487" t="str">
        <f t="shared" si="35"/>
        <v>ok</v>
      </c>
    </row>
    <row r="174" spans="1:29" s="1280" customFormat="1" ht="23.25" customHeight="1" x14ac:dyDescent="0.6">
      <c r="A174" s="1432">
        <v>167</v>
      </c>
      <c r="B174" s="1541" t="s">
        <v>8229</v>
      </c>
      <c r="C174" s="1540" t="s">
        <v>7816</v>
      </c>
      <c r="D174" s="1526"/>
      <c r="E174" s="1529">
        <v>1400</v>
      </c>
      <c r="F174" s="1370"/>
      <c r="G174" s="1529">
        <v>1400</v>
      </c>
      <c r="H174" s="1370">
        <v>150</v>
      </c>
      <c r="I174" s="1370">
        <f t="shared" si="40"/>
        <v>7222.5</v>
      </c>
      <c r="J174" s="1370">
        <v>200</v>
      </c>
      <c r="K174" s="1370">
        <v>0</v>
      </c>
      <c r="L174" s="1526">
        <f t="shared" si="41"/>
        <v>0</v>
      </c>
      <c r="M174" s="1370">
        <f t="shared" si="36"/>
        <v>200</v>
      </c>
      <c r="N174" s="1371">
        <v>48.15</v>
      </c>
      <c r="O174" s="1371">
        <f t="shared" si="29"/>
        <v>9630</v>
      </c>
      <c r="P174" s="1526">
        <v>50</v>
      </c>
      <c r="Q174" s="1370">
        <f t="shared" si="37"/>
        <v>2407.5</v>
      </c>
      <c r="R174" s="1526">
        <v>50</v>
      </c>
      <c r="S174" s="1526">
        <f t="shared" si="42"/>
        <v>2407.5</v>
      </c>
      <c r="T174" s="1370">
        <v>50</v>
      </c>
      <c r="U174" s="1526">
        <f t="shared" si="39"/>
        <v>2407.5</v>
      </c>
      <c r="V174" s="1370">
        <v>50</v>
      </c>
      <c r="W174" s="1526">
        <f t="shared" si="31"/>
        <v>2407.5</v>
      </c>
      <c r="X174" s="1370">
        <f t="shared" si="34"/>
        <v>200</v>
      </c>
      <c r="Y174" s="1370">
        <f t="shared" si="32"/>
        <v>9630</v>
      </c>
      <c r="Z174" s="1527" t="s">
        <v>7799</v>
      </c>
      <c r="AA174" s="1379" t="s">
        <v>6525</v>
      </c>
      <c r="AB174" s="1487" t="str">
        <f t="shared" si="33"/>
        <v>ok</v>
      </c>
      <c r="AC174" s="1487" t="str">
        <f t="shared" si="35"/>
        <v>ok</v>
      </c>
    </row>
    <row r="175" spans="1:29" s="1280" customFormat="1" ht="23.25" customHeight="1" x14ac:dyDescent="0.6">
      <c r="A175" s="1432">
        <v>168</v>
      </c>
      <c r="B175" s="1539" t="s">
        <v>8230</v>
      </c>
      <c r="C175" s="1540" t="s">
        <v>7816</v>
      </c>
      <c r="D175" s="1526"/>
      <c r="E175" s="1529">
        <v>1750</v>
      </c>
      <c r="F175" s="1370"/>
      <c r="G175" s="1529">
        <v>1750</v>
      </c>
      <c r="H175" s="1370">
        <v>14</v>
      </c>
      <c r="I175" s="1370">
        <f t="shared" si="40"/>
        <v>1400</v>
      </c>
      <c r="J175" s="1370">
        <v>14</v>
      </c>
      <c r="K175" s="1370">
        <v>5</v>
      </c>
      <c r="L175" s="1526">
        <f t="shared" si="41"/>
        <v>500</v>
      </c>
      <c r="M175" s="1370">
        <f t="shared" si="36"/>
        <v>9</v>
      </c>
      <c r="N175" s="1371">
        <v>100</v>
      </c>
      <c r="O175" s="1371">
        <f t="shared" si="29"/>
        <v>900</v>
      </c>
      <c r="P175" s="1526"/>
      <c r="Q175" s="1370">
        <f t="shared" si="37"/>
        <v>0</v>
      </c>
      <c r="R175" s="1526">
        <v>9</v>
      </c>
      <c r="S175" s="1526">
        <f t="shared" si="42"/>
        <v>900</v>
      </c>
      <c r="T175" s="1370"/>
      <c r="U175" s="1526">
        <f t="shared" si="39"/>
        <v>0</v>
      </c>
      <c r="V175" s="1370"/>
      <c r="W175" s="1526">
        <f t="shared" si="31"/>
        <v>0</v>
      </c>
      <c r="X175" s="1370">
        <f t="shared" si="34"/>
        <v>9</v>
      </c>
      <c r="Y175" s="1370">
        <f t="shared" si="32"/>
        <v>900</v>
      </c>
      <c r="Z175" s="1527" t="s">
        <v>7799</v>
      </c>
      <c r="AA175" s="1379" t="s">
        <v>6525</v>
      </c>
      <c r="AB175" s="1487" t="str">
        <f t="shared" si="33"/>
        <v>ok</v>
      </c>
      <c r="AC175" s="1487" t="str">
        <f t="shared" si="35"/>
        <v>ok</v>
      </c>
    </row>
    <row r="176" spans="1:29" s="1280" customFormat="1" ht="23.25" customHeight="1" x14ac:dyDescent="0.6">
      <c r="A176" s="1432">
        <v>169</v>
      </c>
      <c r="B176" s="1539" t="s">
        <v>8231</v>
      </c>
      <c r="C176" s="1540" t="s">
        <v>8140</v>
      </c>
      <c r="D176" s="1526"/>
      <c r="E176" s="1529">
        <v>1000</v>
      </c>
      <c r="F176" s="1370"/>
      <c r="G176" s="1529">
        <v>1000</v>
      </c>
      <c r="H176" s="1370">
        <v>1500</v>
      </c>
      <c r="I176" s="1370">
        <f t="shared" si="40"/>
        <v>36000</v>
      </c>
      <c r="J176" s="1370">
        <v>1500</v>
      </c>
      <c r="K176" s="1370">
        <v>300</v>
      </c>
      <c r="L176" s="1526">
        <f t="shared" si="41"/>
        <v>7200</v>
      </c>
      <c r="M176" s="1370">
        <f t="shared" si="36"/>
        <v>1200</v>
      </c>
      <c r="N176" s="1371">
        <v>24</v>
      </c>
      <c r="O176" s="1371">
        <f t="shared" si="29"/>
        <v>28800</v>
      </c>
      <c r="P176" s="1526">
        <v>200</v>
      </c>
      <c r="Q176" s="1370">
        <f t="shared" si="37"/>
        <v>4800</v>
      </c>
      <c r="R176" s="1526">
        <v>300</v>
      </c>
      <c r="S176" s="1526">
        <f t="shared" si="42"/>
        <v>7200</v>
      </c>
      <c r="T176" s="1370">
        <v>300</v>
      </c>
      <c r="U176" s="1526">
        <f t="shared" si="39"/>
        <v>7200</v>
      </c>
      <c r="V176" s="1370">
        <v>400</v>
      </c>
      <c r="W176" s="1526">
        <f t="shared" si="31"/>
        <v>9600</v>
      </c>
      <c r="X176" s="1370">
        <f t="shared" si="34"/>
        <v>1200</v>
      </c>
      <c r="Y176" s="1370">
        <f t="shared" si="32"/>
        <v>28800</v>
      </c>
      <c r="Z176" s="1527" t="s">
        <v>7799</v>
      </c>
      <c r="AA176" s="1379" t="s">
        <v>6525</v>
      </c>
      <c r="AB176" s="1487" t="str">
        <f t="shared" si="33"/>
        <v>ok</v>
      </c>
      <c r="AC176" s="1487" t="str">
        <f t="shared" si="35"/>
        <v>ok</v>
      </c>
    </row>
    <row r="177" spans="1:29" s="1280" customFormat="1" ht="23.25" customHeight="1" x14ac:dyDescent="0.6">
      <c r="A177" s="1432">
        <v>170</v>
      </c>
      <c r="B177" s="1541" t="s">
        <v>8232</v>
      </c>
      <c r="C177" s="1540" t="s">
        <v>7808</v>
      </c>
      <c r="D177" s="1526"/>
      <c r="E177" s="1529">
        <v>3300</v>
      </c>
      <c r="F177" s="1370"/>
      <c r="G177" s="1529">
        <v>3300</v>
      </c>
      <c r="H177" s="1370">
        <v>1</v>
      </c>
      <c r="I177" s="1370">
        <f t="shared" si="40"/>
        <v>500</v>
      </c>
      <c r="J177" s="1370">
        <v>1</v>
      </c>
      <c r="K177" s="1370">
        <v>0</v>
      </c>
      <c r="L177" s="1526">
        <f t="shared" si="41"/>
        <v>0</v>
      </c>
      <c r="M177" s="1370">
        <f t="shared" si="36"/>
        <v>1</v>
      </c>
      <c r="N177" s="1371">
        <v>500</v>
      </c>
      <c r="O177" s="1371">
        <f t="shared" si="29"/>
        <v>500</v>
      </c>
      <c r="P177" s="1526"/>
      <c r="Q177" s="1370">
        <f t="shared" si="37"/>
        <v>0</v>
      </c>
      <c r="R177" s="1526">
        <v>1</v>
      </c>
      <c r="S177" s="1526">
        <f t="shared" si="42"/>
        <v>500</v>
      </c>
      <c r="T177" s="1370"/>
      <c r="U177" s="1526">
        <f t="shared" si="39"/>
        <v>0</v>
      </c>
      <c r="V177" s="1370"/>
      <c r="W177" s="1526">
        <f t="shared" si="31"/>
        <v>0</v>
      </c>
      <c r="X177" s="1370">
        <f t="shared" si="34"/>
        <v>1</v>
      </c>
      <c r="Y177" s="1370">
        <f t="shared" si="32"/>
        <v>500</v>
      </c>
      <c r="Z177" s="1527" t="s">
        <v>7799</v>
      </c>
      <c r="AA177" s="1379" t="s">
        <v>6525</v>
      </c>
      <c r="AB177" s="1487" t="str">
        <f t="shared" si="33"/>
        <v>ok</v>
      </c>
      <c r="AC177" s="1487" t="str">
        <f t="shared" si="35"/>
        <v>ok</v>
      </c>
    </row>
    <row r="178" spans="1:29" s="1280" customFormat="1" ht="23.25" customHeight="1" x14ac:dyDescent="0.6">
      <c r="A178" s="1432">
        <v>171</v>
      </c>
      <c r="B178" s="1541" t="s">
        <v>8233</v>
      </c>
      <c r="C178" s="1540" t="s">
        <v>7808</v>
      </c>
      <c r="D178" s="1526"/>
      <c r="E178" s="1529">
        <v>4000</v>
      </c>
      <c r="F178" s="1381"/>
      <c r="G178" s="1529">
        <v>4000</v>
      </c>
      <c r="H178" s="1370">
        <v>0</v>
      </c>
      <c r="I178" s="1370">
        <f t="shared" si="40"/>
        <v>0</v>
      </c>
      <c r="J178" s="1370">
        <v>1</v>
      </c>
      <c r="K178" s="1370">
        <v>0</v>
      </c>
      <c r="L178" s="1526">
        <f t="shared" si="41"/>
        <v>0</v>
      </c>
      <c r="M178" s="1370">
        <f t="shared" si="36"/>
        <v>1</v>
      </c>
      <c r="N178" s="1370"/>
      <c r="O178" s="1371">
        <f t="shared" si="29"/>
        <v>0</v>
      </c>
      <c r="P178" s="1526"/>
      <c r="Q178" s="1370">
        <f t="shared" si="37"/>
        <v>0</v>
      </c>
      <c r="R178" s="1526">
        <v>1</v>
      </c>
      <c r="S178" s="1526">
        <f t="shared" si="42"/>
        <v>0</v>
      </c>
      <c r="T178" s="1526"/>
      <c r="U178" s="1526">
        <f t="shared" si="39"/>
        <v>0</v>
      </c>
      <c r="V178" s="1526"/>
      <c r="W178" s="1526">
        <f t="shared" si="31"/>
        <v>0</v>
      </c>
      <c r="X178" s="1370">
        <f t="shared" si="34"/>
        <v>1</v>
      </c>
      <c r="Y178" s="1370">
        <f t="shared" si="32"/>
        <v>0</v>
      </c>
      <c r="Z178" s="1527" t="s">
        <v>7799</v>
      </c>
      <c r="AA178" s="1379" t="s">
        <v>6525</v>
      </c>
      <c r="AB178" s="1487" t="str">
        <f t="shared" si="33"/>
        <v>ok</v>
      </c>
      <c r="AC178" s="1487" t="str">
        <f t="shared" si="35"/>
        <v>ok</v>
      </c>
    </row>
    <row r="179" spans="1:29" s="1280" customFormat="1" ht="23.25" customHeight="1" x14ac:dyDescent="0.6">
      <c r="A179" s="1432">
        <v>172</v>
      </c>
      <c r="B179" s="1541" t="s">
        <v>8234</v>
      </c>
      <c r="C179" s="1540" t="s">
        <v>8057</v>
      </c>
      <c r="D179" s="1526"/>
      <c r="E179" s="1529">
        <v>2520</v>
      </c>
      <c r="F179" s="1370"/>
      <c r="G179" s="1529">
        <v>2520</v>
      </c>
      <c r="H179" s="1370">
        <v>7600</v>
      </c>
      <c r="I179" s="1370">
        <f t="shared" si="40"/>
        <v>8740</v>
      </c>
      <c r="J179" s="1370">
        <v>7000</v>
      </c>
      <c r="K179" s="1370">
        <v>3000</v>
      </c>
      <c r="L179" s="1526">
        <f t="shared" si="41"/>
        <v>3449.9999999999995</v>
      </c>
      <c r="M179" s="1370">
        <f t="shared" si="36"/>
        <v>4000</v>
      </c>
      <c r="N179" s="1371">
        <v>1.1499999999999999</v>
      </c>
      <c r="O179" s="1371">
        <f t="shared" si="29"/>
        <v>4600</v>
      </c>
      <c r="P179" s="1526">
        <v>1000</v>
      </c>
      <c r="Q179" s="1370">
        <f t="shared" si="37"/>
        <v>1150</v>
      </c>
      <c r="R179" s="1526">
        <v>1000</v>
      </c>
      <c r="S179" s="1526">
        <f t="shared" si="42"/>
        <v>1150</v>
      </c>
      <c r="T179" s="1370">
        <v>1000</v>
      </c>
      <c r="U179" s="1526">
        <f t="shared" si="39"/>
        <v>1150</v>
      </c>
      <c r="V179" s="1370">
        <v>1000</v>
      </c>
      <c r="W179" s="1526">
        <f t="shared" si="31"/>
        <v>1150</v>
      </c>
      <c r="X179" s="1370">
        <f t="shared" si="34"/>
        <v>4000</v>
      </c>
      <c r="Y179" s="1370">
        <f t="shared" si="32"/>
        <v>4600</v>
      </c>
      <c r="Z179" s="1527" t="s">
        <v>7799</v>
      </c>
      <c r="AA179" s="1379" t="s">
        <v>6525</v>
      </c>
      <c r="AB179" s="1487" t="str">
        <f t="shared" si="33"/>
        <v>ok</v>
      </c>
      <c r="AC179" s="1487" t="str">
        <f t="shared" si="35"/>
        <v>ok</v>
      </c>
    </row>
    <row r="180" spans="1:29" s="1280" customFormat="1" ht="23.25" customHeight="1" x14ac:dyDescent="0.6">
      <c r="A180" s="1432">
        <v>173</v>
      </c>
      <c r="B180" s="1539" t="s">
        <v>8235</v>
      </c>
      <c r="C180" s="1540" t="s">
        <v>7808</v>
      </c>
      <c r="D180" s="1526"/>
      <c r="E180" s="1529">
        <v>4950</v>
      </c>
      <c r="F180" s="1381"/>
      <c r="G180" s="1529">
        <v>4950</v>
      </c>
      <c r="H180" s="1370">
        <v>7</v>
      </c>
      <c r="I180" s="1370">
        <f t="shared" si="40"/>
        <v>5530</v>
      </c>
      <c r="J180" s="1370">
        <v>5</v>
      </c>
      <c r="K180" s="1370">
        <v>2</v>
      </c>
      <c r="L180" s="1526">
        <f t="shared" si="41"/>
        <v>1580</v>
      </c>
      <c r="M180" s="1370">
        <f t="shared" si="36"/>
        <v>3</v>
      </c>
      <c r="N180" s="1370">
        <v>790</v>
      </c>
      <c r="O180" s="1371">
        <f t="shared" si="29"/>
        <v>2370</v>
      </c>
      <c r="P180" s="1526"/>
      <c r="Q180" s="1370">
        <f t="shared" si="37"/>
        <v>0</v>
      </c>
      <c r="R180" s="1526">
        <v>0</v>
      </c>
      <c r="S180" s="1526">
        <f t="shared" si="42"/>
        <v>0</v>
      </c>
      <c r="T180" s="1526">
        <v>3</v>
      </c>
      <c r="U180" s="1526">
        <f t="shared" si="39"/>
        <v>2370</v>
      </c>
      <c r="V180" s="1526"/>
      <c r="W180" s="1526">
        <f t="shared" si="31"/>
        <v>0</v>
      </c>
      <c r="X180" s="1370">
        <f t="shared" si="34"/>
        <v>3</v>
      </c>
      <c r="Y180" s="1370">
        <f t="shared" si="32"/>
        <v>2370</v>
      </c>
      <c r="Z180" s="1527" t="s">
        <v>7799</v>
      </c>
      <c r="AA180" s="1379" t="s">
        <v>6525</v>
      </c>
      <c r="AB180" s="1487" t="str">
        <f t="shared" si="33"/>
        <v>ok</v>
      </c>
      <c r="AC180" s="1487" t="str">
        <f t="shared" si="35"/>
        <v>ok</v>
      </c>
    </row>
    <row r="181" spans="1:29" s="1280" customFormat="1" ht="23.25" customHeight="1" x14ac:dyDescent="0.6">
      <c r="A181" s="1432">
        <v>174</v>
      </c>
      <c r="B181" s="1539" t="s">
        <v>8236</v>
      </c>
      <c r="C181" s="1540" t="s">
        <v>7808</v>
      </c>
      <c r="D181" s="1526"/>
      <c r="E181" s="1529">
        <v>5850</v>
      </c>
      <c r="F181" s="1370"/>
      <c r="G181" s="1529">
        <v>5850</v>
      </c>
      <c r="H181" s="1370">
        <v>6</v>
      </c>
      <c r="I181" s="1370">
        <f t="shared" si="40"/>
        <v>2130</v>
      </c>
      <c r="J181" s="1370">
        <v>6</v>
      </c>
      <c r="K181" s="1370">
        <v>0</v>
      </c>
      <c r="L181" s="1526">
        <f t="shared" si="41"/>
        <v>0</v>
      </c>
      <c r="M181" s="1370">
        <f t="shared" si="36"/>
        <v>6</v>
      </c>
      <c r="N181" s="1371">
        <v>355</v>
      </c>
      <c r="O181" s="1371">
        <f t="shared" si="29"/>
        <v>2130</v>
      </c>
      <c r="P181" s="1526"/>
      <c r="Q181" s="1370">
        <f t="shared" si="37"/>
        <v>0</v>
      </c>
      <c r="R181" s="1526">
        <v>3</v>
      </c>
      <c r="S181" s="1526">
        <f t="shared" si="42"/>
        <v>1065</v>
      </c>
      <c r="T181" s="1370">
        <v>3</v>
      </c>
      <c r="U181" s="1526">
        <f t="shared" si="39"/>
        <v>1065</v>
      </c>
      <c r="V181" s="1370"/>
      <c r="W181" s="1526">
        <f t="shared" si="31"/>
        <v>0</v>
      </c>
      <c r="X181" s="1370">
        <f t="shared" si="34"/>
        <v>6</v>
      </c>
      <c r="Y181" s="1370">
        <f t="shared" si="32"/>
        <v>2130</v>
      </c>
      <c r="Z181" s="1527" t="s">
        <v>7799</v>
      </c>
      <c r="AA181" s="1379" t="s">
        <v>6525</v>
      </c>
      <c r="AB181" s="1487" t="str">
        <f t="shared" si="33"/>
        <v>ok</v>
      </c>
      <c r="AC181" s="1487" t="str">
        <f t="shared" si="35"/>
        <v>ok</v>
      </c>
    </row>
    <row r="182" spans="1:29" s="1280" customFormat="1" ht="23.25" customHeight="1" x14ac:dyDescent="0.6">
      <c r="A182" s="1432">
        <v>175</v>
      </c>
      <c r="B182" s="1539" t="s">
        <v>8237</v>
      </c>
      <c r="C182" s="1540" t="s">
        <v>7808</v>
      </c>
      <c r="D182" s="1526"/>
      <c r="E182" s="1529">
        <v>10200</v>
      </c>
      <c r="F182" s="1370"/>
      <c r="G182" s="1529">
        <v>10200</v>
      </c>
      <c r="H182" s="1370">
        <v>6</v>
      </c>
      <c r="I182" s="1370">
        <f t="shared" si="40"/>
        <v>3210</v>
      </c>
      <c r="J182" s="1370">
        <v>6</v>
      </c>
      <c r="K182" s="1370">
        <v>0</v>
      </c>
      <c r="L182" s="1526">
        <f t="shared" si="41"/>
        <v>0</v>
      </c>
      <c r="M182" s="1370">
        <f t="shared" si="36"/>
        <v>6</v>
      </c>
      <c r="N182" s="1371">
        <v>535</v>
      </c>
      <c r="O182" s="1371">
        <f t="shared" si="29"/>
        <v>3210</v>
      </c>
      <c r="P182" s="1526"/>
      <c r="Q182" s="1370">
        <f t="shared" si="37"/>
        <v>0</v>
      </c>
      <c r="R182" s="1370">
        <v>3</v>
      </c>
      <c r="S182" s="1526">
        <f t="shared" si="42"/>
        <v>1605</v>
      </c>
      <c r="T182" s="1526"/>
      <c r="U182" s="1526">
        <f t="shared" si="39"/>
        <v>0</v>
      </c>
      <c r="V182" s="1370">
        <v>3</v>
      </c>
      <c r="W182" s="1526">
        <f t="shared" si="31"/>
        <v>1605</v>
      </c>
      <c r="X182" s="1370">
        <f t="shared" si="34"/>
        <v>6</v>
      </c>
      <c r="Y182" s="1370">
        <f t="shared" si="32"/>
        <v>3210</v>
      </c>
      <c r="Z182" s="1527" t="s">
        <v>7799</v>
      </c>
      <c r="AA182" s="1379" t="s">
        <v>6525</v>
      </c>
      <c r="AB182" s="1487" t="str">
        <f t="shared" si="33"/>
        <v>ok</v>
      </c>
      <c r="AC182" s="1487" t="str">
        <f t="shared" si="35"/>
        <v>ok</v>
      </c>
    </row>
    <row r="183" spans="1:29" s="1280" customFormat="1" ht="23.25" customHeight="1" x14ac:dyDescent="0.6">
      <c r="A183" s="1432">
        <v>176</v>
      </c>
      <c r="B183" s="1539" t="s">
        <v>8238</v>
      </c>
      <c r="C183" s="1540" t="s">
        <v>7808</v>
      </c>
      <c r="D183" s="1526"/>
      <c r="E183" s="1529">
        <v>12000</v>
      </c>
      <c r="F183" s="1370"/>
      <c r="G183" s="1529">
        <v>12000</v>
      </c>
      <c r="H183" s="1370">
        <v>6</v>
      </c>
      <c r="I183" s="1370">
        <f t="shared" si="40"/>
        <v>4290</v>
      </c>
      <c r="J183" s="1370">
        <v>6</v>
      </c>
      <c r="K183" s="1370">
        <v>0</v>
      </c>
      <c r="L183" s="1526">
        <f t="shared" si="41"/>
        <v>0</v>
      </c>
      <c r="M183" s="1370">
        <f t="shared" si="36"/>
        <v>6</v>
      </c>
      <c r="N183" s="1371">
        <v>715</v>
      </c>
      <c r="O183" s="1371">
        <f t="shared" si="29"/>
        <v>4290</v>
      </c>
      <c r="P183" s="1526"/>
      <c r="Q183" s="1370">
        <f t="shared" si="37"/>
        <v>0</v>
      </c>
      <c r="R183" s="1370">
        <v>3</v>
      </c>
      <c r="S183" s="1526">
        <f t="shared" si="42"/>
        <v>2145</v>
      </c>
      <c r="T183" s="1526"/>
      <c r="U183" s="1526">
        <f t="shared" si="39"/>
        <v>0</v>
      </c>
      <c r="V183" s="1370">
        <v>3</v>
      </c>
      <c r="W183" s="1526">
        <f t="shared" si="31"/>
        <v>2145</v>
      </c>
      <c r="X183" s="1370">
        <f t="shared" si="34"/>
        <v>6</v>
      </c>
      <c r="Y183" s="1370">
        <f t="shared" si="32"/>
        <v>4290</v>
      </c>
      <c r="Z183" s="1527" t="s">
        <v>7799</v>
      </c>
      <c r="AA183" s="1379" t="s">
        <v>6525</v>
      </c>
      <c r="AB183" s="1487" t="str">
        <f t="shared" si="33"/>
        <v>ok</v>
      </c>
      <c r="AC183" s="1487" t="str">
        <f t="shared" si="35"/>
        <v>ok</v>
      </c>
    </row>
    <row r="184" spans="1:29" s="1280" customFormat="1" ht="23.25" customHeight="1" x14ac:dyDescent="0.6">
      <c r="A184" s="1432">
        <v>177</v>
      </c>
      <c r="B184" s="1539" t="s">
        <v>8239</v>
      </c>
      <c r="C184" s="1540" t="s">
        <v>7808</v>
      </c>
      <c r="D184" s="1526"/>
      <c r="E184" s="1529">
        <v>8400</v>
      </c>
      <c r="F184" s="1370"/>
      <c r="G184" s="1529">
        <v>8400</v>
      </c>
      <c r="H184" s="1370">
        <v>6</v>
      </c>
      <c r="I184" s="1370">
        <f t="shared" si="40"/>
        <v>6600</v>
      </c>
      <c r="J184" s="1370">
        <v>6</v>
      </c>
      <c r="K184" s="1370">
        <v>0</v>
      </c>
      <c r="L184" s="1526">
        <f t="shared" si="41"/>
        <v>0</v>
      </c>
      <c r="M184" s="1370">
        <f t="shared" si="36"/>
        <v>6</v>
      </c>
      <c r="N184" s="1371">
        <v>1100</v>
      </c>
      <c r="O184" s="1371">
        <f t="shared" si="29"/>
        <v>6600</v>
      </c>
      <c r="P184" s="1526"/>
      <c r="Q184" s="1370">
        <f t="shared" si="37"/>
        <v>0</v>
      </c>
      <c r="R184" s="1526">
        <v>3</v>
      </c>
      <c r="S184" s="1526">
        <f t="shared" si="42"/>
        <v>3300</v>
      </c>
      <c r="T184" s="1370">
        <v>3</v>
      </c>
      <c r="U184" s="1526">
        <f t="shared" si="39"/>
        <v>3300</v>
      </c>
      <c r="V184" s="1370"/>
      <c r="W184" s="1526">
        <f t="shared" si="31"/>
        <v>0</v>
      </c>
      <c r="X184" s="1370">
        <f t="shared" si="34"/>
        <v>6</v>
      </c>
      <c r="Y184" s="1370">
        <f t="shared" si="32"/>
        <v>6600</v>
      </c>
      <c r="Z184" s="1527" t="s">
        <v>7799</v>
      </c>
      <c r="AA184" s="1379" t="s">
        <v>6525</v>
      </c>
      <c r="AB184" s="1487" t="str">
        <f t="shared" si="33"/>
        <v>ok</v>
      </c>
      <c r="AC184" s="1487" t="str">
        <f t="shared" si="35"/>
        <v>ok</v>
      </c>
    </row>
    <row r="185" spans="1:29" s="1280" customFormat="1" ht="23.25" customHeight="1" x14ac:dyDescent="0.6">
      <c r="A185" s="1432">
        <v>178</v>
      </c>
      <c r="B185" s="1539" t="s">
        <v>8240</v>
      </c>
      <c r="C185" s="1540" t="s">
        <v>7808</v>
      </c>
      <c r="D185" s="1526"/>
      <c r="E185" s="1529">
        <v>2400</v>
      </c>
      <c r="F185" s="1370"/>
      <c r="G185" s="1529">
        <v>2400</v>
      </c>
      <c r="H185" s="1370">
        <v>6</v>
      </c>
      <c r="I185" s="1370">
        <f t="shared" si="40"/>
        <v>8820</v>
      </c>
      <c r="J185" s="1370">
        <v>6</v>
      </c>
      <c r="K185" s="1370">
        <v>0</v>
      </c>
      <c r="L185" s="1526">
        <f t="shared" si="41"/>
        <v>0</v>
      </c>
      <c r="M185" s="1370">
        <f t="shared" si="36"/>
        <v>6</v>
      </c>
      <c r="N185" s="1371">
        <v>1470</v>
      </c>
      <c r="O185" s="1371">
        <f t="shared" si="29"/>
        <v>8820</v>
      </c>
      <c r="P185" s="1526"/>
      <c r="Q185" s="1370">
        <f t="shared" si="37"/>
        <v>0</v>
      </c>
      <c r="R185" s="1526">
        <v>3</v>
      </c>
      <c r="S185" s="1526">
        <f t="shared" si="42"/>
        <v>4410</v>
      </c>
      <c r="T185" s="1370">
        <v>3</v>
      </c>
      <c r="U185" s="1526">
        <f t="shared" si="39"/>
        <v>4410</v>
      </c>
      <c r="V185" s="1370"/>
      <c r="W185" s="1526">
        <f t="shared" si="31"/>
        <v>0</v>
      </c>
      <c r="X185" s="1370">
        <f t="shared" si="34"/>
        <v>6</v>
      </c>
      <c r="Y185" s="1370">
        <f t="shared" si="32"/>
        <v>8820</v>
      </c>
      <c r="Z185" s="1527" t="s">
        <v>7799</v>
      </c>
      <c r="AA185" s="1379" t="s">
        <v>6525</v>
      </c>
      <c r="AB185" s="1487" t="str">
        <f t="shared" si="33"/>
        <v>ok</v>
      </c>
      <c r="AC185" s="1487" t="str">
        <f t="shared" si="35"/>
        <v>ok</v>
      </c>
    </row>
    <row r="186" spans="1:29" s="1280" customFormat="1" ht="23.25" customHeight="1" x14ac:dyDescent="0.6">
      <c r="A186" s="1432">
        <v>179</v>
      </c>
      <c r="B186" s="1541" t="s">
        <v>8241</v>
      </c>
      <c r="C186" s="1424" t="s">
        <v>7808</v>
      </c>
      <c r="D186" s="1526"/>
      <c r="E186" s="1529">
        <v>6300</v>
      </c>
      <c r="F186" s="1381"/>
      <c r="G186" s="1529">
        <v>6300</v>
      </c>
      <c r="H186" s="1370">
        <v>2</v>
      </c>
      <c r="I186" s="1370">
        <f t="shared" si="40"/>
        <v>4800</v>
      </c>
      <c r="J186" s="1370">
        <v>2</v>
      </c>
      <c r="K186" s="1370">
        <v>0</v>
      </c>
      <c r="L186" s="1526">
        <f t="shared" si="41"/>
        <v>0</v>
      </c>
      <c r="M186" s="1370">
        <f t="shared" si="36"/>
        <v>2</v>
      </c>
      <c r="N186" s="1370">
        <v>2400</v>
      </c>
      <c r="O186" s="1371">
        <f t="shared" si="29"/>
        <v>4800</v>
      </c>
      <c r="P186" s="1526"/>
      <c r="Q186" s="1370">
        <f t="shared" si="37"/>
        <v>0</v>
      </c>
      <c r="R186" s="1526">
        <v>1</v>
      </c>
      <c r="S186" s="1526">
        <f t="shared" si="42"/>
        <v>2400</v>
      </c>
      <c r="T186" s="1526">
        <v>1</v>
      </c>
      <c r="U186" s="1526">
        <f t="shared" si="39"/>
        <v>2400</v>
      </c>
      <c r="V186" s="1526"/>
      <c r="W186" s="1526">
        <f t="shared" si="31"/>
        <v>0</v>
      </c>
      <c r="X186" s="1370">
        <f t="shared" si="34"/>
        <v>2</v>
      </c>
      <c r="Y186" s="1370">
        <f t="shared" si="32"/>
        <v>4800</v>
      </c>
      <c r="Z186" s="1527" t="s">
        <v>7799</v>
      </c>
      <c r="AA186" s="1379" t="s">
        <v>6525</v>
      </c>
      <c r="AB186" s="1487" t="str">
        <f t="shared" si="33"/>
        <v>ok</v>
      </c>
      <c r="AC186" s="1487" t="str">
        <f t="shared" si="35"/>
        <v>ok</v>
      </c>
    </row>
    <row r="187" spans="1:29" s="1280" customFormat="1" ht="23.25" customHeight="1" x14ac:dyDescent="0.6">
      <c r="A187" s="1432">
        <v>180</v>
      </c>
      <c r="B187" s="1541" t="s">
        <v>8242</v>
      </c>
      <c r="C187" s="1424" t="s">
        <v>7808</v>
      </c>
      <c r="D187" s="1526"/>
      <c r="E187" s="1529">
        <v>800</v>
      </c>
      <c r="F187" s="1381"/>
      <c r="G187" s="1529">
        <v>800</v>
      </c>
      <c r="H187" s="1370">
        <v>1</v>
      </c>
      <c r="I187" s="1370">
        <f t="shared" si="40"/>
        <v>1690</v>
      </c>
      <c r="J187" s="1370">
        <v>1</v>
      </c>
      <c r="K187" s="1370">
        <v>0</v>
      </c>
      <c r="L187" s="1526">
        <f t="shared" si="41"/>
        <v>0</v>
      </c>
      <c r="M187" s="1370">
        <f t="shared" si="36"/>
        <v>1</v>
      </c>
      <c r="N187" s="1370">
        <v>1690</v>
      </c>
      <c r="O187" s="1371">
        <f t="shared" si="29"/>
        <v>1690</v>
      </c>
      <c r="P187" s="1526"/>
      <c r="Q187" s="1370">
        <f t="shared" si="37"/>
        <v>0</v>
      </c>
      <c r="R187" s="1526">
        <v>1</v>
      </c>
      <c r="S187" s="1526">
        <f t="shared" si="42"/>
        <v>1690</v>
      </c>
      <c r="T187" s="1526"/>
      <c r="U187" s="1526">
        <f t="shared" si="39"/>
        <v>0</v>
      </c>
      <c r="V187" s="1526"/>
      <c r="W187" s="1526">
        <f t="shared" si="31"/>
        <v>0</v>
      </c>
      <c r="X187" s="1370">
        <f t="shared" si="34"/>
        <v>1</v>
      </c>
      <c r="Y187" s="1370">
        <f t="shared" si="32"/>
        <v>1690</v>
      </c>
      <c r="Z187" s="1527" t="s">
        <v>7799</v>
      </c>
      <c r="AA187" s="1379" t="s">
        <v>6525</v>
      </c>
      <c r="AB187" s="1487" t="str">
        <f t="shared" si="33"/>
        <v>ok</v>
      </c>
      <c r="AC187" s="1487" t="str">
        <f t="shared" si="35"/>
        <v>ok</v>
      </c>
    </row>
    <row r="188" spans="1:29" s="1280" customFormat="1" ht="23.25" customHeight="1" x14ac:dyDescent="0.6">
      <c r="A188" s="1432">
        <v>181</v>
      </c>
      <c r="B188" s="1541" t="s">
        <v>8243</v>
      </c>
      <c r="C188" s="1424" t="s">
        <v>7798</v>
      </c>
      <c r="D188" s="1526"/>
      <c r="E188" s="1529">
        <v>2900</v>
      </c>
      <c r="F188" s="1370"/>
      <c r="G188" s="1529">
        <v>2900</v>
      </c>
      <c r="H188" s="1370">
        <v>10</v>
      </c>
      <c r="I188" s="1370">
        <f t="shared" si="40"/>
        <v>9400</v>
      </c>
      <c r="J188" s="1370">
        <v>10</v>
      </c>
      <c r="K188" s="1370">
        <v>0</v>
      </c>
      <c r="L188" s="1526">
        <f t="shared" si="41"/>
        <v>0</v>
      </c>
      <c r="M188" s="1370">
        <f t="shared" si="36"/>
        <v>10</v>
      </c>
      <c r="N188" s="1371">
        <v>940</v>
      </c>
      <c r="O188" s="1371">
        <f t="shared" si="29"/>
        <v>9400</v>
      </c>
      <c r="P188" s="1526"/>
      <c r="Q188" s="1370">
        <f t="shared" si="37"/>
        <v>0</v>
      </c>
      <c r="R188" s="1526">
        <v>10</v>
      </c>
      <c r="S188" s="1526">
        <f t="shared" si="42"/>
        <v>9400</v>
      </c>
      <c r="T188" s="1370"/>
      <c r="U188" s="1526">
        <f t="shared" si="39"/>
        <v>0</v>
      </c>
      <c r="V188" s="1370"/>
      <c r="W188" s="1526">
        <f t="shared" si="31"/>
        <v>0</v>
      </c>
      <c r="X188" s="1370">
        <f t="shared" si="34"/>
        <v>10</v>
      </c>
      <c r="Y188" s="1370">
        <f t="shared" si="32"/>
        <v>9400</v>
      </c>
      <c r="Z188" s="1527" t="s">
        <v>7799</v>
      </c>
      <c r="AA188" s="1379" t="s">
        <v>6525</v>
      </c>
      <c r="AB188" s="1487" t="str">
        <f t="shared" si="33"/>
        <v>ok</v>
      </c>
      <c r="AC188" s="1487" t="str">
        <f t="shared" si="35"/>
        <v>ok</v>
      </c>
    </row>
    <row r="189" spans="1:29" s="1280" customFormat="1" ht="23.25" customHeight="1" x14ac:dyDescent="0.6">
      <c r="A189" s="1432">
        <v>182</v>
      </c>
      <c r="B189" s="1541" t="s">
        <v>8244</v>
      </c>
      <c r="C189" s="1424" t="s">
        <v>7841</v>
      </c>
      <c r="D189" s="1526"/>
      <c r="E189" s="1529">
        <v>0</v>
      </c>
      <c r="F189" s="1370"/>
      <c r="G189" s="1529">
        <v>0</v>
      </c>
      <c r="H189" s="1370">
        <v>4</v>
      </c>
      <c r="I189" s="1370">
        <f t="shared" si="40"/>
        <v>2320</v>
      </c>
      <c r="J189" s="1370">
        <v>4</v>
      </c>
      <c r="K189" s="1370">
        <v>2</v>
      </c>
      <c r="L189" s="1526">
        <f t="shared" si="41"/>
        <v>1160</v>
      </c>
      <c r="M189" s="1370">
        <f t="shared" si="36"/>
        <v>2</v>
      </c>
      <c r="N189" s="1371">
        <v>580</v>
      </c>
      <c r="O189" s="1371">
        <f t="shared" si="29"/>
        <v>1160</v>
      </c>
      <c r="P189" s="1526"/>
      <c r="Q189" s="1370">
        <f t="shared" si="37"/>
        <v>0</v>
      </c>
      <c r="R189" s="1526"/>
      <c r="S189" s="1526">
        <f t="shared" si="42"/>
        <v>0</v>
      </c>
      <c r="T189" s="1370">
        <v>2</v>
      </c>
      <c r="U189" s="1526">
        <f t="shared" si="39"/>
        <v>1160</v>
      </c>
      <c r="V189" s="1370"/>
      <c r="W189" s="1526">
        <f t="shared" si="31"/>
        <v>0</v>
      </c>
      <c r="X189" s="1370">
        <f t="shared" si="34"/>
        <v>2</v>
      </c>
      <c r="Y189" s="1370">
        <f t="shared" si="32"/>
        <v>1160</v>
      </c>
      <c r="Z189" s="1527" t="s">
        <v>7799</v>
      </c>
      <c r="AA189" s="1379" t="s">
        <v>6525</v>
      </c>
      <c r="AB189" s="1487" t="str">
        <f t="shared" si="33"/>
        <v>ok</v>
      </c>
      <c r="AC189" s="1487" t="str">
        <f t="shared" si="35"/>
        <v>ok</v>
      </c>
    </row>
    <row r="190" spans="1:29" s="1280" customFormat="1" ht="23.25" customHeight="1" x14ac:dyDescent="0.6">
      <c r="A190" s="1432">
        <v>183</v>
      </c>
      <c r="B190" s="1541" t="s">
        <v>8245</v>
      </c>
      <c r="C190" s="1424" t="s">
        <v>7798</v>
      </c>
      <c r="D190" s="1526"/>
      <c r="E190" s="1529">
        <v>0</v>
      </c>
      <c r="F190" s="1370"/>
      <c r="G190" s="1529">
        <v>0</v>
      </c>
      <c r="H190" s="1370">
        <v>0</v>
      </c>
      <c r="I190" s="1370">
        <f t="shared" si="40"/>
        <v>0</v>
      </c>
      <c r="J190" s="1370">
        <v>20</v>
      </c>
      <c r="K190" s="1370">
        <v>0</v>
      </c>
      <c r="L190" s="1526">
        <f t="shared" si="41"/>
        <v>0</v>
      </c>
      <c r="M190" s="1370">
        <f t="shared" si="36"/>
        <v>20</v>
      </c>
      <c r="N190" s="1371"/>
      <c r="O190" s="1371">
        <f t="shared" si="29"/>
        <v>0</v>
      </c>
      <c r="P190" s="1526"/>
      <c r="Q190" s="1370">
        <f t="shared" si="37"/>
        <v>0</v>
      </c>
      <c r="R190" s="1370">
        <v>10</v>
      </c>
      <c r="S190" s="1526">
        <f t="shared" si="42"/>
        <v>0</v>
      </c>
      <c r="T190" s="1526">
        <v>10</v>
      </c>
      <c r="U190" s="1526">
        <f t="shared" si="39"/>
        <v>0</v>
      </c>
      <c r="V190" s="1370"/>
      <c r="W190" s="1526">
        <f t="shared" si="31"/>
        <v>0</v>
      </c>
      <c r="X190" s="1370">
        <f t="shared" si="34"/>
        <v>20</v>
      </c>
      <c r="Y190" s="1370">
        <f t="shared" si="32"/>
        <v>0</v>
      </c>
      <c r="Z190" s="1527" t="s">
        <v>7799</v>
      </c>
      <c r="AA190" s="1379" t="s">
        <v>6525</v>
      </c>
      <c r="AB190" s="1487" t="str">
        <f t="shared" si="33"/>
        <v>ok</v>
      </c>
      <c r="AC190" s="1487" t="str">
        <f t="shared" si="35"/>
        <v>ok</v>
      </c>
    </row>
    <row r="191" spans="1:29" s="1280" customFormat="1" ht="23.25" customHeight="1" x14ac:dyDescent="0.6">
      <c r="A191" s="1432">
        <v>184</v>
      </c>
      <c r="B191" s="1541" t="s">
        <v>8246</v>
      </c>
      <c r="C191" s="1424" t="s">
        <v>7823</v>
      </c>
      <c r="D191" s="1526"/>
      <c r="E191" s="1529">
        <v>1000</v>
      </c>
      <c r="F191" s="1370"/>
      <c r="G191" s="1529">
        <v>1000</v>
      </c>
      <c r="H191" s="1370">
        <v>1000</v>
      </c>
      <c r="I191" s="1370">
        <f t="shared" si="40"/>
        <v>5400</v>
      </c>
      <c r="J191" s="1370">
        <v>2000</v>
      </c>
      <c r="K191" s="1370">
        <v>200</v>
      </c>
      <c r="L191" s="1526">
        <f t="shared" si="41"/>
        <v>1080</v>
      </c>
      <c r="M191" s="1370">
        <f t="shared" si="36"/>
        <v>1800</v>
      </c>
      <c r="N191" s="1371">
        <v>5.4</v>
      </c>
      <c r="O191" s="1371">
        <f t="shared" si="29"/>
        <v>9720</v>
      </c>
      <c r="P191" s="1526"/>
      <c r="Q191" s="1370">
        <f t="shared" si="37"/>
        <v>0</v>
      </c>
      <c r="R191" s="1370">
        <v>500</v>
      </c>
      <c r="S191" s="1526">
        <f t="shared" si="42"/>
        <v>2700</v>
      </c>
      <c r="T191" s="1526">
        <v>1000</v>
      </c>
      <c r="U191" s="1526">
        <f t="shared" si="39"/>
        <v>5400</v>
      </c>
      <c r="V191" s="1370">
        <v>300</v>
      </c>
      <c r="W191" s="1526">
        <f t="shared" si="31"/>
        <v>1620</v>
      </c>
      <c r="X191" s="1370">
        <f t="shared" si="34"/>
        <v>1800</v>
      </c>
      <c r="Y191" s="1370">
        <f t="shared" si="32"/>
        <v>9720</v>
      </c>
      <c r="Z191" s="1527" t="s">
        <v>7799</v>
      </c>
      <c r="AA191" s="1379" t="s">
        <v>6525</v>
      </c>
      <c r="AB191" s="1487" t="str">
        <f t="shared" si="33"/>
        <v>ok</v>
      </c>
      <c r="AC191" s="1487" t="str">
        <f t="shared" si="35"/>
        <v>ok</v>
      </c>
    </row>
    <row r="192" spans="1:29" s="1280" customFormat="1" ht="23.25" customHeight="1" x14ac:dyDescent="0.6">
      <c r="A192" s="1432">
        <v>185</v>
      </c>
      <c r="B192" s="1542" t="s">
        <v>8247</v>
      </c>
      <c r="C192" s="1543" t="s">
        <v>8206</v>
      </c>
      <c r="D192" s="1526"/>
      <c r="E192" s="1529">
        <v>0</v>
      </c>
      <c r="F192" s="1370"/>
      <c r="G192" s="1529">
        <v>0</v>
      </c>
      <c r="H192" s="1370">
        <v>60</v>
      </c>
      <c r="I192" s="1370">
        <f t="shared" si="40"/>
        <v>23280</v>
      </c>
      <c r="J192" s="1370">
        <v>60</v>
      </c>
      <c r="K192" s="1370">
        <v>10</v>
      </c>
      <c r="L192" s="1526">
        <f t="shared" si="41"/>
        <v>3880</v>
      </c>
      <c r="M192" s="1370">
        <f t="shared" si="36"/>
        <v>50</v>
      </c>
      <c r="N192" s="1371">
        <v>388</v>
      </c>
      <c r="O192" s="1371">
        <f t="shared" si="29"/>
        <v>19400</v>
      </c>
      <c r="P192" s="1526"/>
      <c r="Q192" s="1370">
        <f t="shared" si="37"/>
        <v>0</v>
      </c>
      <c r="R192" s="1526">
        <v>20</v>
      </c>
      <c r="S192" s="1526">
        <f t="shared" si="42"/>
        <v>7760</v>
      </c>
      <c r="T192" s="1370">
        <v>20</v>
      </c>
      <c r="U192" s="1526">
        <f t="shared" si="39"/>
        <v>7760</v>
      </c>
      <c r="V192" s="1370">
        <v>10</v>
      </c>
      <c r="W192" s="1526">
        <f t="shared" si="31"/>
        <v>3880</v>
      </c>
      <c r="X192" s="1370">
        <f t="shared" si="34"/>
        <v>50</v>
      </c>
      <c r="Y192" s="1370">
        <f t="shared" si="32"/>
        <v>19400</v>
      </c>
      <c r="Z192" s="1527" t="s">
        <v>7799</v>
      </c>
      <c r="AA192" s="1379" t="s">
        <v>6525</v>
      </c>
      <c r="AB192" s="1487" t="str">
        <f t="shared" si="33"/>
        <v>ok</v>
      </c>
      <c r="AC192" s="1487" t="str">
        <f t="shared" si="35"/>
        <v>ok</v>
      </c>
    </row>
    <row r="193" spans="1:29" s="1280" customFormat="1" ht="23.25" customHeight="1" x14ac:dyDescent="0.6">
      <c r="A193" s="1432">
        <v>186</v>
      </c>
      <c r="B193" s="1544" t="s">
        <v>8248</v>
      </c>
      <c r="C193" s="1536" t="s">
        <v>7798</v>
      </c>
      <c r="D193" s="1526"/>
      <c r="E193" s="1529">
        <v>12000</v>
      </c>
      <c r="F193" s="1381"/>
      <c r="G193" s="1529">
        <v>12000</v>
      </c>
      <c r="H193" s="1370">
        <v>50</v>
      </c>
      <c r="I193" s="1370">
        <f t="shared" si="40"/>
        <v>2750</v>
      </c>
      <c r="J193" s="1370">
        <v>50</v>
      </c>
      <c r="K193" s="1370">
        <v>0</v>
      </c>
      <c r="L193" s="1526">
        <f t="shared" si="41"/>
        <v>0</v>
      </c>
      <c r="M193" s="1370">
        <f t="shared" si="36"/>
        <v>50</v>
      </c>
      <c r="N193" s="1370">
        <v>55</v>
      </c>
      <c r="O193" s="1371">
        <f t="shared" si="29"/>
        <v>2750</v>
      </c>
      <c r="P193" s="1526"/>
      <c r="Q193" s="1370">
        <f t="shared" si="37"/>
        <v>0</v>
      </c>
      <c r="R193" s="1526">
        <v>20</v>
      </c>
      <c r="S193" s="1526">
        <f t="shared" si="42"/>
        <v>1100</v>
      </c>
      <c r="T193" s="1526">
        <v>20</v>
      </c>
      <c r="U193" s="1526">
        <f t="shared" si="39"/>
        <v>1100</v>
      </c>
      <c r="V193" s="1526">
        <v>10</v>
      </c>
      <c r="W193" s="1526">
        <f t="shared" si="31"/>
        <v>550</v>
      </c>
      <c r="X193" s="1370">
        <f t="shared" si="34"/>
        <v>50</v>
      </c>
      <c r="Y193" s="1370">
        <f t="shared" si="32"/>
        <v>2750</v>
      </c>
      <c r="Z193" s="1527" t="s">
        <v>7799</v>
      </c>
      <c r="AA193" s="1379" t="s">
        <v>6525</v>
      </c>
      <c r="AB193" s="1487" t="str">
        <f t="shared" si="33"/>
        <v>ok</v>
      </c>
      <c r="AC193" s="1487" t="str">
        <f t="shared" si="35"/>
        <v>ok</v>
      </c>
    </row>
    <row r="194" spans="1:29" s="1280" customFormat="1" ht="23.25" customHeight="1" x14ac:dyDescent="0.6">
      <c r="A194" s="1432">
        <v>187</v>
      </c>
      <c r="B194" s="1545" t="s">
        <v>8249</v>
      </c>
      <c r="C194" s="1546" t="s">
        <v>7808</v>
      </c>
      <c r="D194" s="1526"/>
      <c r="E194" s="1529">
        <v>10000</v>
      </c>
      <c r="F194" s="1370"/>
      <c r="G194" s="1529">
        <v>10000</v>
      </c>
      <c r="H194" s="1370">
        <v>14</v>
      </c>
      <c r="I194" s="1370">
        <f t="shared" si="40"/>
        <v>13720</v>
      </c>
      <c r="J194" s="1370">
        <v>10</v>
      </c>
      <c r="K194" s="1370">
        <v>3</v>
      </c>
      <c r="L194" s="1526">
        <f t="shared" si="41"/>
        <v>2940</v>
      </c>
      <c r="M194" s="1370">
        <f t="shared" si="36"/>
        <v>7</v>
      </c>
      <c r="N194" s="1371">
        <v>980</v>
      </c>
      <c r="O194" s="1371">
        <f t="shared" si="29"/>
        <v>6860</v>
      </c>
      <c r="P194" s="1526"/>
      <c r="Q194" s="1370">
        <f t="shared" si="37"/>
        <v>0</v>
      </c>
      <c r="R194" s="1526">
        <v>2</v>
      </c>
      <c r="S194" s="1526">
        <f t="shared" si="42"/>
        <v>1960</v>
      </c>
      <c r="T194" s="1370"/>
      <c r="U194" s="1526">
        <f t="shared" si="39"/>
        <v>0</v>
      </c>
      <c r="V194" s="1370">
        <v>5</v>
      </c>
      <c r="W194" s="1526">
        <f t="shared" si="31"/>
        <v>4900</v>
      </c>
      <c r="X194" s="1370">
        <f t="shared" si="34"/>
        <v>7</v>
      </c>
      <c r="Y194" s="1370">
        <f t="shared" si="32"/>
        <v>6860</v>
      </c>
      <c r="Z194" s="1527" t="s">
        <v>7799</v>
      </c>
      <c r="AA194" s="1379" t="s">
        <v>6525</v>
      </c>
      <c r="AB194" s="1487" t="str">
        <f t="shared" si="33"/>
        <v>ok</v>
      </c>
      <c r="AC194" s="1487" t="str">
        <f t="shared" si="35"/>
        <v>ok</v>
      </c>
    </row>
    <row r="195" spans="1:29" s="1280" customFormat="1" ht="23.25" customHeight="1" x14ac:dyDescent="0.6">
      <c r="A195" s="1432">
        <v>188</v>
      </c>
      <c r="B195" s="1547" t="s">
        <v>8250</v>
      </c>
      <c r="C195" s="1548" t="s">
        <v>8057</v>
      </c>
      <c r="D195" s="1526"/>
      <c r="E195" s="1529">
        <v>6000</v>
      </c>
      <c r="F195" s="1381"/>
      <c r="G195" s="1529">
        <v>6000</v>
      </c>
      <c r="H195" s="1370">
        <v>0</v>
      </c>
      <c r="I195" s="1370">
        <f t="shared" si="40"/>
        <v>0</v>
      </c>
      <c r="J195" s="1370">
        <v>50</v>
      </c>
      <c r="K195" s="1370">
        <v>0</v>
      </c>
      <c r="L195" s="1526">
        <f t="shared" si="41"/>
        <v>0</v>
      </c>
      <c r="M195" s="1370">
        <f t="shared" si="36"/>
        <v>50</v>
      </c>
      <c r="N195" s="1370">
        <v>100</v>
      </c>
      <c r="O195" s="1371">
        <f t="shared" si="29"/>
        <v>5000</v>
      </c>
      <c r="P195" s="1526"/>
      <c r="Q195" s="1370">
        <f t="shared" si="37"/>
        <v>0</v>
      </c>
      <c r="R195" s="1526">
        <v>30</v>
      </c>
      <c r="S195" s="1526">
        <f t="shared" si="42"/>
        <v>3000</v>
      </c>
      <c r="T195" s="1526">
        <v>20</v>
      </c>
      <c r="U195" s="1526">
        <f t="shared" si="39"/>
        <v>2000</v>
      </c>
      <c r="V195" s="1526"/>
      <c r="W195" s="1526">
        <f t="shared" si="31"/>
        <v>0</v>
      </c>
      <c r="X195" s="1370">
        <f t="shared" si="34"/>
        <v>50</v>
      </c>
      <c r="Y195" s="1370">
        <f t="shared" si="32"/>
        <v>5000</v>
      </c>
      <c r="Z195" s="1527" t="s">
        <v>7799</v>
      </c>
      <c r="AA195" s="1379" t="s">
        <v>6525</v>
      </c>
      <c r="AB195" s="1487" t="str">
        <f t="shared" si="33"/>
        <v>ok</v>
      </c>
      <c r="AC195" s="1487" t="str">
        <f t="shared" si="35"/>
        <v>ok</v>
      </c>
    </row>
    <row r="196" spans="1:29" s="1558" customFormat="1" ht="39.75" customHeight="1" x14ac:dyDescent="0.6">
      <c r="A196" s="1432">
        <v>189</v>
      </c>
      <c r="B196" s="1549" t="s">
        <v>8251</v>
      </c>
      <c r="C196" s="1550" t="s">
        <v>7839</v>
      </c>
      <c r="D196" s="1551"/>
      <c r="E196" s="1552">
        <v>3600</v>
      </c>
      <c r="F196" s="1553"/>
      <c r="G196" s="1552">
        <v>3600</v>
      </c>
      <c r="H196" s="1554">
        <v>0</v>
      </c>
      <c r="I196" s="1554">
        <f t="shared" si="40"/>
        <v>0</v>
      </c>
      <c r="J196" s="1554">
        <v>50</v>
      </c>
      <c r="K196" s="1554">
        <v>0</v>
      </c>
      <c r="L196" s="1551">
        <f t="shared" si="41"/>
        <v>0</v>
      </c>
      <c r="M196" s="1554">
        <f t="shared" si="36"/>
        <v>50</v>
      </c>
      <c r="N196" s="1554">
        <v>120</v>
      </c>
      <c r="O196" s="1555">
        <f t="shared" si="29"/>
        <v>6000</v>
      </c>
      <c r="P196" s="1551"/>
      <c r="Q196" s="1554">
        <f t="shared" si="37"/>
        <v>0</v>
      </c>
      <c r="R196" s="1551"/>
      <c r="S196" s="1551">
        <f t="shared" si="42"/>
        <v>0</v>
      </c>
      <c r="T196" s="1551">
        <v>50</v>
      </c>
      <c r="U196" s="1551">
        <f t="shared" si="39"/>
        <v>6000</v>
      </c>
      <c r="V196" s="1551"/>
      <c r="W196" s="1551">
        <f t="shared" si="31"/>
        <v>0</v>
      </c>
      <c r="X196" s="1370">
        <f t="shared" si="34"/>
        <v>50</v>
      </c>
      <c r="Y196" s="1554">
        <f t="shared" si="32"/>
        <v>6000</v>
      </c>
      <c r="Z196" s="1556" t="s">
        <v>7799</v>
      </c>
      <c r="AA196" s="1557" t="s">
        <v>6525</v>
      </c>
      <c r="AB196" s="1487" t="str">
        <f t="shared" si="33"/>
        <v>ok</v>
      </c>
      <c r="AC196" s="1487" t="str">
        <f t="shared" si="35"/>
        <v>ok</v>
      </c>
    </row>
    <row r="197" spans="1:29" s="1280" customFormat="1" ht="36.75" customHeight="1" x14ac:dyDescent="0.6">
      <c r="A197" s="1432">
        <v>190</v>
      </c>
      <c r="B197" s="1547" t="s">
        <v>8252</v>
      </c>
      <c r="C197" s="1548" t="s">
        <v>7839</v>
      </c>
      <c r="D197" s="1526"/>
      <c r="E197" s="1529">
        <v>3600</v>
      </c>
      <c r="F197" s="1370"/>
      <c r="G197" s="1529">
        <v>3600</v>
      </c>
      <c r="H197" s="1370">
        <v>0</v>
      </c>
      <c r="I197" s="1370">
        <f t="shared" si="40"/>
        <v>0</v>
      </c>
      <c r="J197" s="1370">
        <v>50</v>
      </c>
      <c r="K197" s="1370">
        <v>0</v>
      </c>
      <c r="L197" s="1526">
        <f t="shared" si="41"/>
        <v>0</v>
      </c>
      <c r="M197" s="1370">
        <f t="shared" si="36"/>
        <v>50</v>
      </c>
      <c r="N197" s="1371">
        <v>120</v>
      </c>
      <c r="O197" s="1371">
        <f t="shared" si="29"/>
        <v>6000</v>
      </c>
      <c r="P197" s="1526"/>
      <c r="Q197" s="1370">
        <f t="shared" si="37"/>
        <v>0</v>
      </c>
      <c r="R197" s="1526"/>
      <c r="S197" s="1526">
        <f t="shared" si="42"/>
        <v>0</v>
      </c>
      <c r="T197" s="1370">
        <v>50</v>
      </c>
      <c r="U197" s="1526">
        <f t="shared" si="39"/>
        <v>6000</v>
      </c>
      <c r="V197" s="1370"/>
      <c r="W197" s="1526">
        <f t="shared" si="31"/>
        <v>0</v>
      </c>
      <c r="X197" s="1370">
        <f t="shared" si="34"/>
        <v>50</v>
      </c>
      <c r="Y197" s="1370">
        <f t="shared" si="32"/>
        <v>6000</v>
      </c>
      <c r="Z197" s="1527" t="s">
        <v>7799</v>
      </c>
      <c r="AA197" s="1379" t="s">
        <v>6525</v>
      </c>
      <c r="AB197" s="1487" t="str">
        <f t="shared" si="33"/>
        <v>ok</v>
      </c>
      <c r="AC197" s="1487" t="str">
        <f t="shared" si="35"/>
        <v>ok</v>
      </c>
    </row>
    <row r="198" spans="1:29" s="1280" customFormat="1" ht="39" customHeight="1" x14ac:dyDescent="0.6">
      <c r="A198" s="1432">
        <v>191</v>
      </c>
      <c r="B198" s="1547" t="s">
        <v>8253</v>
      </c>
      <c r="C198" s="1548" t="s">
        <v>7839</v>
      </c>
      <c r="D198" s="1526"/>
      <c r="E198" s="1529">
        <v>3200</v>
      </c>
      <c r="F198" s="1370">
        <v>30</v>
      </c>
      <c r="G198" s="1529">
        <v>3200</v>
      </c>
      <c r="H198" s="1370">
        <v>0</v>
      </c>
      <c r="I198" s="1370">
        <f t="shared" si="40"/>
        <v>0</v>
      </c>
      <c r="J198" s="1370">
        <v>30</v>
      </c>
      <c r="K198" s="1370">
        <v>0</v>
      </c>
      <c r="L198" s="1526">
        <f t="shared" si="41"/>
        <v>0</v>
      </c>
      <c r="M198" s="1370">
        <f t="shared" si="36"/>
        <v>30</v>
      </c>
      <c r="N198" s="1371">
        <v>150</v>
      </c>
      <c r="O198" s="1371">
        <f t="shared" si="29"/>
        <v>4500</v>
      </c>
      <c r="P198" s="1526"/>
      <c r="Q198" s="1370">
        <f t="shared" si="37"/>
        <v>0</v>
      </c>
      <c r="R198" s="1370"/>
      <c r="S198" s="1526">
        <f t="shared" si="42"/>
        <v>0</v>
      </c>
      <c r="T198" s="1526">
        <v>30</v>
      </c>
      <c r="U198" s="1526">
        <f t="shared" si="39"/>
        <v>4500</v>
      </c>
      <c r="V198" s="1370"/>
      <c r="W198" s="1526">
        <f t="shared" si="31"/>
        <v>0</v>
      </c>
      <c r="X198" s="1370">
        <f t="shared" si="34"/>
        <v>30</v>
      </c>
      <c r="Y198" s="1370">
        <f t="shared" si="32"/>
        <v>4500</v>
      </c>
      <c r="Z198" s="1527" t="s">
        <v>7799</v>
      </c>
      <c r="AA198" s="1379" t="s">
        <v>6525</v>
      </c>
      <c r="AB198" s="1487" t="str">
        <f t="shared" si="33"/>
        <v>ok</v>
      </c>
      <c r="AC198" s="1487" t="str">
        <f t="shared" si="35"/>
        <v>ok</v>
      </c>
    </row>
    <row r="199" spans="1:29" s="1280" customFormat="1" ht="61.5" customHeight="1" x14ac:dyDescent="0.6">
      <c r="A199" s="1432">
        <v>192</v>
      </c>
      <c r="B199" s="1547" t="s">
        <v>8254</v>
      </c>
      <c r="C199" s="1548" t="s">
        <v>7839</v>
      </c>
      <c r="D199" s="1526"/>
      <c r="E199" s="1529">
        <v>0</v>
      </c>
      <c r="F199" s="1370">
        <v>30</v>
      </c>
      <c r="G199" s="1529">
        <v>0</v>
      </c>
      <c r="H199" s="1370">
        <v>0</v>
      </c>
      <c r="I199" s="1370">
        <f t="shared" si="40"/>
        <v>0</v>
      </c>
      <c r="J199" s="1370">
        <v>30</v>
      </c>
      <c r="K199" s="1370">
        <v>0</v>
      </c>
      <c r="L199" s="1526">
        <f t="shared" si="41"/>
        <v>0</v>
      </c>
      <c r="M199" s="1370">
        <f t="shared" si="36"/>
        <v>30</v>
      </c>
      <c r="N199" s="1371">
        <v>125</v>
      </c>
      <c r="O199" s="1371">
        <f t="shared" si="29"/>
        <v>3750</v>
      </c>
      <c r="P199" s="1526"/>
      <c r="Q199" s="1370">
        <f t="shared" si="37"/>
        <v>0</v>
      </c>
      <c r="R199" s="1370"/>
      <c r="S199" s="1526">
        <f t="shared" si="42"/>
        <v>0</v>
      </c>
      <c r="T199" s="1526">
        <v>30</v>
      </c>
      <c r="U199" s="1526">
        <f t="shared" si="39"/>
        <v>3750</v>
      </c>
      <c r="V199" s="1370"/>
      <c r="W199" s="1526">
        <f t="shared" si="31"/>
        <v>0</v>
      </c>
      <c r="X199" s="1370">
        <f t="shared" si="34"/>
        <v>30</v>
      </c>
      <c r="Y199" s="1370">
        <f t="shared" si="32"/>
        <v>3750</v>
      </c>
      <c r="Z199" s="1527" t="s">
        <v>7799</v>
      </c>
      <c r="AA199" s="1379" t="s">
        <v>6525</v>
      </c>
      <c r="AB199" s="1487" t="str">
        <f t="shared" si="33"/>
        <v>ok</v>
      </c>
      <c r="AC199" s="1487" t="str">
        <f t="shared" si="35"/>
        <v>ok</v>
      </c>
    </row>
    <row r="200" spans="1:29" s="1280" customFormat="1" ht="45" customHeight="1" x14ac:dyDescent="0.6">
      <c r="A200" s="1432">
        <v>193</v>
      </c>
      <c r="B200" s="1547" t="s">
        <v>8255</v>
      </c>
      <c r="C200" s="1548" t="s">
        <v>7839</v>
      </c>
      <c r="D200" s="1526"/>
      <c r="E200" s="1529"/>
      <c r="F200" s="1370">
        <v>0</v>
      </c>
      <c r="G200" s="1529"/>
      <c r="H200" s="1370">
        <v>0</v>
      </c>
      <c r="I200" s="1370">
        <f t="shared" si="40"/>
        <v>0</v>
      </c>
      <c r="J200" s="1370">
        <v>30</v>
      </c>
      <c r="K200" s="1370">
        <v>0</v>
      </c>
      <c r="L200" s="1526">
        <f t="shared" si="41"/>
        <v>0</v>
      </c>
      <c r="M200" s="1370">
        <f t="shared" si="36"/>
        <v>30</v>
      </c>
      <c r="N200" s="1371">
        <v>120</v>
      </c>
      <c r="O200" s="1371">
        <f t="shared" ref="O200:O215" si="43">M200*N200</f>
        <v>3600</v>
      </c>
      <c r="P200" s="1526"/>
      <c r="Q200" s="1370">
        <f t="shared" si="37"/>
        <v>0</v>
      </c>
      <c r="R200" s="1526"/>
      <c r="S200" s="1526">
        <f t="shared" si="42"/>
        <v>0</v>
      </c>
      <c r="T200" s="1370">
        <v>30</v>
      </c>
      <c r="U200" s="1526">
        <f t="shared" si="39"/>
        <v>3600</v>
      </c>
      <c r="V200" s="1370"/>
      <c r="W200" s="1526">
        <f t="shared" ref="W200:W221" si="44">V200*N200</f>
        <v>0</v>
      </c>
      <c r="X200" s="1370">
        <f t="shared" si="34"/>
        <v>30</v>
      </c>
      <c r="Y200" s="1370">
        <f t="shared" ref="Y200:Y232" si="45">X200*N200</f>
        <v>3600</v>
      </c>
      <c r="Z200" s="1527" t="s">
        <v>7799</v>
      </c>
      <c r="AA200" s="1379" t="s">
        <v>6525</v>
      </c>
      <c r="AB200" s="1487" t="str">
        <f t="shared" ref="AB200:AB232" si="46">IF(O200=Y200,"ok")</f>
        <v>ok</v>
      </c>
      <c r="AC200" s="1487" t="str">
        <f t="shared" si="35"/>
        <v>ok</v>
      </c>
    </row>
    <row r="201" spans="1:29" s="1558" customFormat="1" ht="61.5" customHeight="1" x14ac:dyDescent="0.6">
      <c r="A201" s="1432">
        <v>194</v>
      </c>
      <c r="B201" s="1549" t="s">
        <v>8256</v>
      </c>
      <c r="C201" s="1550" t="s">
        <v>7839</v>
      </c>
      <c r="D201" s="1551"/>
      <c r="E201" s="1552">
        <v>0</v>
      </c>
      <c r="F201" s="1554">
        <v>30</v>
      </c>
      <c r="G201" s="1552">
        <v>0</v>
      </c>
      <c r="H201" s="1554">
        <v>0</v>
      </c>
      <c r="I201" s="1554">
        <f t="shared" si="40"/>
        <v>0</v>
      </c>
      <c r="J201" s="1554">
        <v>100</v>
      </c>
      <c r="K201" s="1554">
        <v>0</v>
      </c>
      <c r="L201" s="1551">
        <f t="shared" si="41"/>
        <v>0</v>
      </c>
      <c r="M201" s="1554">
        <f t="shared" si="36"/>
        <v>100</v>
      </c>
      <c r="N201" s="1555">
        <v>125</v>
      </c>
      <c r="O201" s="1555">
        <f t="shared" si="43"/>
        <v>12500</v>
      </c>
      <c r="P201" s="1551"/>
      <c r="Q201" s="1554">
        <f t="shared" si="37"/>
        <v>0</v>
      </c>
      <c r="R201" s="1554"/>
      <c r="S201" s="1551">
        <f t="shared" si="42"/>
        <v>0</v>
      </c>
      <c r="T201" s="1551">
        <v>100</v>
      </c>
      <c r="U201" s="1551">
        <f t="shared" si="39"/>
        <v>12500</v>
      </c>
      <c r="V201" s="1554"/>
      <c r="W201" s="1551">
        <f t="shared" si="44"/>
        <v>0</v>
      </c>
      <c r="X201" s="1370">
        <f t="shared" ref="X201:X232" si="47">P201+R201+T201+V201</f>
        <v>100</v>
      </c>
      <c r="Y201" s="1554">
        <f t="shared" si="45"/>
        <v>12500</v>
      </c>
      <c r="Z201" s="1556" t="s">
        <v>7799</v>
      </c>
      <c r="AA201" s="1557" t="s">
        <v>6525</v>
      </c>
      <c r="AB201" s="1487" t="str">
        <f t="shared" si="46"/>
        <v>ok</v>
      </c>
      <c r="AC201" s="1487" t="str">
        <f t="shared" ref="AC201:AC233" si="48">IF(M201=X201,"ok")</f>
        <v>ok</v>
      </c>
    </row>
    <row r="202" spans="1:29" s="1280" customFormat="1" ht="23.25" customHeight="1" x14ac:dyDescent="0.6">
      <c r="A202" s="1432">
        <v>195</v>
      </c>
      <c r="B202" s="1559" t="s">
        <v>8257</v>
      </c>
      <c r="C202" s="1527" t="s">
        <v>8057</v>
      </c>
      <c r="D202" s="1526"/>
      <c r="E202" s="1529">
        <v>0</v>
      </c>
      <c r="F202" s="1370">
        <v>0</v>
      </c>
      <c r="G202" s="1529">
        <v>0</v>
      </c>
      <c r="H202" s="1370">
        <v>200</v>
      </c>
      <c r="I202" s="1370">
        <f t="shared" si="40"/>
        <v>37000</v>
      </c>
      <c r="J202" s="1370">
        <v>150</v>
      </c>
      <c r="K202" s="1370">
        <v>30</v>
      </c>
      <c r="L202" s="1526">
        <f t="shared" si="41"/>
        <v>5550</v>
      </c>
      <c r="M202" s="1370">
        <f t="shared" si="36"/>
        <v>120</v>
      </c>
      <c r="N202" s="1371">
        <v>185</v>
      </c>
      <c r="O202" s="1371">
        <f t="shared" si="43"/>
        <v>22200</v>
      </c>
      <c r="P202" s="1526"/>
      <c r="Q202" s="1370">
        <f t="shared" si="37"/>
        <v>0</v>
      </c>
      <c r="R202" s="1526">
        <v>0</v>
      </c>
      <c r="S202" s="1526">
        <f t="shared" si="42"/>
        <v>0</v>
      </c>
      <c r="T202" s="1370">
        <v>70</v>
      </c>
      <c r="U202" s="1526">
        <f t="shared" si="39"/>
        <v>12950</v>
      </c>
      <c r="V202" s="1370">
        <v>50</v>
      </c>
      <c r="W202" s="1526">
        <f t="shared" si="44"/>
        <v>9250</v>
      </c>
      <c r="X202" s="1370">
        <f t="shared" si="47"/>
        <v>120</v>
      </c>
      <c r="Y202" s="1370">
        <f t="shared" si="45"/>
        <v>22200</v>
      </c>
      <c r="Z202" s="1527" t="s">
        <v>7799</v>
      </c>
      <c r="AA202" s="1379" t="s">
        <v>6525</v>
      </c>
      <c r="AB202" s="1487" t="str">
        <f t="shared" si="46"/>
        <v>ok</v>
      </c>
      <c r="AC202" s="1487" t="str">
        <f t="shared" si="48"/>
        <v>ok</v>
      </c>
    </row>
    <row r="203" spans="1:29" s="1280" customFormat="1" ht="23.25" customHeight="1" x14ac:dyDescent="0.6">
      <c r="A203" s="1432">
        <v>196</v>
      </c>
      <c r="B203" s="1372" t="s">
        <v>8258</v>
      </c>
      <c r="C203" s="1527" t="s">
        <v>7823</v>
      </c>
      <c r="D203" s="1526"/>
      <c r="E203" s="1529"/>
      <c r="F203" s="1381">
        <v>0</v>
      </c>
      <c r="G203" s="1529"/>
      <c r="H203" s="1370">
        <v>800</v>
      </c>
      <c r="I203" s="1370">
        <f t="shared" si="40"/>
        <v>2400</v>
      </c>
      <c r="J203" s="1370">
        <v>1000</v>
      </c>
      <c r="K203" s="1370">
        <v>0</v>
      </c>
      <c r="L203" s="1526">
        <f t="shared" si="41"/>
        <v>0</v>
      </c>
      <c r="M203" s="1370">
        <f t="shared" si="36"/>
        <v>1000</v>
      </c>
      <c r="N203" s="1370">
        <v>3</v>
      </c>
      <c r="O203" s="1371">
        <f t="shared" si="43"/>
        <v>3000</v>
      </c>
      <c r="P203" s="1526">
        <v>350</v>
      </c>
      <c r="Q203" s="1370">
        <v>1050</v>
      </c>
      <c r="R203" s="1526">
        <v>150</v>
      </c>
      <c r="S203" s="1526">
        <f t="shared" si="42"/>
        <v>450</v>
      </c>
      <c r="T203" s="1526">
        <v>400</v>
      </c>
      <c r="U203" s="1526">
        <f t="shared" si="39"/>
        <v>1200</v>
      </c>
      <c r="V203" s="1526">
        <v>100</v>
      </c>
      <c r="W203" s="1526">
        <f t="shared" si="44"/>
        <v>300</v>
      </c>
      <c r="X203" s="1370">
        <f t="shared" si="47"/>
        <v>1000</v>
      </c>
      <c r="Y203" s="1370">
        <f t="shared" si="45"/>
        <v>3000</v>
      </c>
      <c r="Z203" s="1527" t="s">
        <v>7799</v>
      </c>
      <c r="AA203" s="1379" t="s">
        <v>6525</v>
      </c>
      <c r="AB203" s="1487" t="str">
        <f t="shared" si="46"/>
        <v>ok</v>
      </c>
      <c r="AC203" s="1487" t="str">
        <f t="shared" si="48"/>
        <v>ok</v>
      </c>
    </row>
    <row r="204" spans="1:29" s="1280" customFormat="1" ht="23.25" customHeight="1" x14ac:dyDescent="0.6">
      <c r="A204" s="1432">
        <v>197</v>
      </c>
      <c r="B204" s="1372" t="s">
        <v>8259</v>
      </c>
      <c r="C204" s="1527" t="s">
        <v>7823</v>
      </c>
      <c r="D204" s="1526"/>
      <c r="E204" s="1529">
        <f t="shared" ref="E204:E221" si="49">D204*N204</f>
        <v>0</v>
      </c>
      <c r="F204" s="1370"/>
      <c r="G204" s="1529">
        <f t="shared" ref="G204:G221" si="50">F204*N204</f>
        <v>0</v>
      </c>
      <c r="H204" s="1370">
        <v>1500</v>
      </c>
      <c r="I204" s="1370">
        <f t="shared" si="40"/>
        <v>3000</v>
      </c>
      <c r="J204" s="1370">
        <v>1500</v>
      </c>
      <c r="K204" s="1370">
        <v>500</v>
      </c>
      <c r="L204" s="1526">
        <f t="shared" si="41"/>
        <v>1000</v>
      </c>
      <c r="M204" s="1370">
        <f t="shared" si="36"/>
        <v>1000</v>
      </c>
      <c r="N204" s="1371">
        <v>2</v>
      </c>
      <c r="O204" s="1371">
        <f t="shared" si="43"/>
        <v>2000</v>
      </c>
      <c r="P204" s="1526"/>
      <c r="Q204" s="1370">
        <f t="shared" ref="Q204:Q232" si="51">P204*N204</f>
        <v>0</v>
      </c>
      <c r="R204" s="1526">
        <v>500</v>
      </c>
      <c r="S204" s="1526">
        <f t="shared" si="42"/>
        <v>1000</v>
      </c>
      <c r="T204" s="1370">
        <v>500</v>
      </c>
      <c r="U204" s="1526">
        <f t="shared" si="39"/>
        <v>1000</v>
      </c>
      <c r="V204" s="1370">
        <v>0</v>
      </c>
      <c r="W204" s="1526">
        <f t="shared" si="44"/>
        <v>0</v>
      </c>
      <c r="X204" s="1370">
        <f t="shared" si="47"/>
        <v>1000</v>
      </c>
      <c r="Y204" s="1370">
        <f t="shared" si="45"/>
        <v>2000</v>
      </c>
      <c r="Z204" s="1527" t="s">
        <v>7799</v>
      </c>
      <c r="AA204" s="1379" t="s">
        <v>6525</v>
      </c>
      <c r="AB204" s="1487" t="str">
        <f t="shared" si="46"/>
        <v>ok</v>
      </c>
      <c r="AC204" s="1487" t="str">
        <f t="shared" si="48"/>
        <v>ok</v>
      </c>
    </row>
    <row r="205" spans="1:29" s="1280" customFormat="1" ht="23.25" customHeight="1" x14ac:dyDescent="0.6">
      <c r="A205" s="1432">
        <v>198</v>
      </c>
      <c r="B205" s="1560" t="s">
        <v>8260</v>
      </c>
      <c r="C205" s="1561" t="s">
        <v>8261</v>
      </c>
      <c r="D205" s="1526">
        <v>2</v>
      </c>
      <c r="E205" s="1529">
        <f t="shared" si="49"/>
        <v>9000</v>
      </c>
      <c r="F205" s="1381">
        <v>2</v>
      </c>
      <c r="G205" s="1529">
        <f t="shared" si="50"/>
        <v>9000</v>
      </c>
      <c r="H205" s="1370">
        <v>4</v>
      </c>
      <c r="I205" s="1370">
        <f t="shared" si="40"/>
        <v>18000</v>
      </c>
      <c r="J205" s="1370">
        <v>4</v>
      </c>
      <c r="K205" s="1370">
        <v>1</v>
      </c>
      <c r="L205" s="1526">
        <f t="shared" si="41"/>
        <v>4500</v>
      </c>
      <c r="M205" s="1370">
        <f t="shared" si="36"/>
        <v>3</v>
      </c>
      <c r="N205" s="1370">
        <v>4500</v>
      </c>
      <c r="O205" s="1371">
        <f t="shared" si="43"/>
        <v>13500</v>
      </c>
      <c r="P205" s="1526"/>
      <c r="Q205" s="1370">
        <f t="shared" si="51"/>
        <v>0</v>
      </c>
      <c r="R205" s="1526"/>
      <c r="S205" s="1526">
        <f t="shared" si="42"/>
        <v>0</v>
      </c>
      <c r="T205" s="1526">
        <v>3</v>
      </c>
      <c r="U205" s="1526">
        <f t="shared" si="39"/>
        <v>13500</v>
      </c>
      <c r="V205" s="1526"/>
      <c r="W205" s="1526">
        <f t="shared" si="44"/>
        <v>0</v>
      </c>
      <c r="X205" s="1370">
        <f t="shared" si="47"/>
        <v>3</v>
      </c>
      <c r="Y205" s="1370">
        <f t="shared" si="45"/>
        <v>13500</v>
      </c>
      <c r="Z205" s="1527" t="s">
        <v>7799</v>
      </c>
      <c r="AA205" s="1379" t="s">
        <v>6525</v>
      </c>
      <c r="AB205" s="1487" t="str">
        <f t="shared" si="46"/>
        <v>ok</v>
      </c>
      <c r="AC205" s="1487" t="str">
        <f t="shared" si="48"/>
        <v>ok</v>
      </c>
    </row>
    <row r="206" spans="1:29" s="1280" customFormat="1" ht="23.25" customHeight="1" x14ac:dyDescent="0.6">
      <c r="A206" s="1432">
        <v>199</v>
      </c>
      <c r="B206" s="1560" t="s">
        <v>8262</v>
      </c>
      <c r="C206" s="1379" t="s">
        <v>8116</v>
      </c>
      <c r="D206" s="1526"/>
      <c r="E206" s="1529">
        <f t="shared" si="49"/>
        <v>0</v>
      </c>
      <c r="F206" s="1370">
        <v>10</v>
      </c>
      <c r="G206" s="1529">
        <f t="shared" si="50"/>
        <v>4000</v>
      </c>
      <c r="H206" s="1370">
        <v>8</v>
      </c>
      <c r="I206" s="1370">
        <f t="shared" si="40"/>
        <v>3200</v>
      </c>
      <c r="J206" s="1370">
        <v>10</v>
      </c>
      <c r="K206" s="1370">
        <v>2</v>
      </c>
      <c r="L206" s="1526">
        <f t="shared" si="41"/>
        <v>800</v>
      </c>
      <c r="M206" s="1370">
        <f t="shared" si="36"/>
        <v>8</v>
      </c>
      <c r="N206" s="1371">
        <v>400</v>
      </c>
      <c r="O206" s="1371">
        <f t="shared" si="43"/>
        <v>3200</v>
      </c>
      <c r="P206" s="1526"/>
      <c r="Q206" s="1370">
        <f t="shared" si="51"/>
        <v>0</v>
      </c>
      <c r="R206" s="1370"/>
      <c r="S206" s="1526">
        <f t="shared" si="42"/>
        <v>0</v>
      </c>
      <c r="T206" s="1526">
        <v>8</v>
      </c>
      <c r="U206" s="1526">
        <f t="shared" si="39"/>
        <v>3200</v>
      </c>
      <c r="V206" s="1370"/>
      <c r="W206" s="1526">
        <f t="shared" si="44"/>
        <v>0</v>
      </c>
      <c r="X206" s="1370">
        <f t="shared" si="47"/>
        <v>8</v>
      </c>
      <c r="Y206" s="1370">
        <f t="shared" si="45"/>
        <v>3200</v>
      </c>
      <c r="Z206" s="1527" t="s">
        <v>7799</v>
      </c>
      <c r="AA206" s="1379" t="s">
        <v>6525</v>
      </c>
      <c r="AB206" s="1487" t="str">
        <f t="shared" si="46"/>
        <v>ok</v>
      </c>
      <c r="AC206" s="1487" t="str">
        <f t="shared" si="48"/>
        <v>ok</v>
      </c>
    </row>
    <row r="207" spans="1:29" s="1280" customFormat="1" ht="23.25" customHeight="1" x14ac:dyDescent="0.6">
      <c r="A207" s="1432">
        <v>200</v>
      </c>
      <c r="B207" s="1560" t="s">
        <v>8263</v>
      </c>
      <c r="C207" s="1379" t="s">
        <v>7808</v>
      </c>
      <c r="D207" s="1526"/>
      <c r="E207" s="1529">
        <f t="shared" si="49"/>
        <v>0</v>
      </c>
      <c r="F207" s="1370"/>
      <c r="G207" s="1529">
        <f t="shared" si="50"/>
        <v>0</v>
      </c>
      <c r="H207" s="1370">
        <v>50</v>
      </c>
      <c r="I207" s="1370">
        <f t="shared" si="40"/>
        <v>8050</v>
      </c>
      <c r="J207" s="1370">
        <v>50</v>
      </c>
      <c r="K207" s="1370">
        <v>0</v>
      </c>
      <c r="L207" s="1526">
        <f t="shared" si="41"/>
        <v>0</v>
      </c>
      <c r="M207" s="1370">
        <f t="shared" si="36"/>
        <v>50</v>
      </c>
      <c r="N207" s="1371">
        <v>161</v>
      </c>
      <c r="O207" s="1371">
        <f t="shared" si="43"/>
        <v>8050</v>
      </c>
      <c r="P207" s="1526"/>
      <c r="Q207" s="1370">
        <f t="shared" si="51"/>
        <v>0</v>
      </c>
      <c r="R207" s="1370"/>
      <c r="S207" s="1526">
        <f t="shared" si="42"/>
        <v>0</v>
      </c>
      <c r="T207" s="1526">
        <v>50</v>
      </c>
      <c r="U207" s="1526">
        <f t="shared" si="39"/>
        <v>8050</v>
      </c>
      <c r="V207" s="1370"/>
      <c r="W207" s="1526">
        <f t="shared" si="44"/>
        <v>0</v>
      </c>
      <c r="X207" s="1370">
        <f t="shared" si="47"/>
        <v>50</v>
      </c>
      <c r="Y207" s="1370">
        <f t="shared" si="45"/>
        <v>8050</v>
      </c>
      <c r="Z207" s="1527" t="s">
        <v>7799</v>
      </c>
      <c r="AA207" s="1379" t="s">
        <v>6525</v>
      </c>
      <c r="AB207" s="1487" t="str">
        <f t="shared" si="46"/>
        <v>ok</v>
      </c>
      <c r="AC207" s="1487" t="str">
        <f t="shared" si="48"/>
        <v>ok</v>
      </c>
    </row>
    <row r="208" spans="1:29" s="1280" customFormat="1" ht="23.25" customHeight="1" x14ac:dyDescent="0.6">
      <c r="A208" s="1432">
        <v>201</v>
      </c>
      <c r="B208" s="1560" t="s">
        <v>8264</v>
      </c>
      <c r="C208" s="1379" t="s">
        <v>8057</v>
      </c>
      <c r="D208" s="1526"/>
      <c r="E208" s="1529">
        <f t="shared" si="49"/>
        <v>0</v>
      </c>
      <c r="F208" s="1370"/>
      <c r="G208" s="1529">
        <f t="shared" si="50"/>
        <v>0</v>
      </c>
      <c r="H208" s="1370">
        <v>40</v>
      </c>
      <c r="I208" s="1370">
        <f t="shared" si="40"/>
        <v>880</v>
      </c>
      <c r="J208" s="1370">
        <v>50</v>
      </c>
      <c r="K208" s="1370">
        <v>0</v>
      </c>
      <c r="L208" s="1526">
        <f t="shared" si="41"/>
        <v>0</v>
      </c>
      <c r="M208" s="1370">
        <f t="shared" si="36"/>
        <v>50</v>
      </c>
      <c r="N208" s="1371">
        <v>22</v>
      </c>
      <c r="O208" s="1371">
        <f t="shared" si="43"/>
        <v>1100</v>
      </c>
      <c r="P208" s="1526"/>
      <c r="Q208" s="1370">
        <f t="shared" si="51"/>
        <v>0</v>
      </c>
      <c r="R208" s="1370"/>
      <c r="S208" s="1526">
        <f t="shared" si="42"/>
        <v>0</v>
      </c>
      <c r="T208" s="1526">
        <v>50</v>
      </c>
      <c r="U208" s="1526">
        <f t="shared" si="39"/>
        <v>1100</v>
      </c>
      <c r="V208" s="1370"/>
      <c r="W208" s="1526">
        <f t="shared" si="44"/>
        <v>0</v>
      </c>
      <c r="X208" s="1370">
        <f t="shared" si="47"/>
        <v>50</v>
      </c>
      <c r="Y208" s="1370">
        <f t="shared" si="45"/>
        <v>1100</v>
      </c>
      <c r="Z208" s="1527" t="s">
        <v>7799</v>
      </c>
      <c r="AA208" s="1379" t="s">
        <v>6525</v>
      </c>
      <c r="AB208" s="1487" t="str">
        <f t="shared" si="46"/>
        <v>ok</v>
      </c>
      <c r="AC208" s="1487" t="str">
        <f t="shared" si="48"/>
        <v>ok</v>
      </c>
    </row>
    <row r="209" spans="1:29" s="1280" customFormat="1" ht="23.25" customHeight="1" x14ac:dyDescent="0.6">
      <c r="A209" s="1432">
        <v>202</v>
      </c>
      <c r="B209" s="1560" t="s">
        <v>8265</v>
      </c>
      <c r="C209" s="1379" t="s">
        <v>8057</v>
      </c>
      <c r="D209" s="1526"/>
      <c r="E209" s="1529">
        <f t="shared" si="49"/>
        <v>0</v>
      </c>
      <c r="F209" s="1370">
        <v>300</v>
      </c>
      <c r="G209" s="1529">
        <f t="shared" si="50"/>
        <v>4800</v>
      </c>
      <c r="H209" s="1370">
        <v>800</v>
      </c>
      <c r="I209" s="1370">
        <f t="shared" si="40"/>
        <v>12800</v>
      </c>
      <c r="J209" s="1370">
        <v>1000</v>
      </c>
      <c r="K209" s="1370">
        <v>0</v>
      </c>
      <c r="L209" s="1526">
        <f t="shared" si="41"/>
        <v>0</v>
      </c>
      <c r="M209" s="1370">
        <f t="shared" si="36"/>
        <v>1000</v>
      </c>
      <c r="N209" s="1371">
        <v>16</v>
      </c>
      <c r="O209" s="1371">
        <f t="shared" si="43"/>
        <v>16000</v>
      </c>
      <c r="P209" s="1526"/>
      <c r="Q209" s="1370">
        <f t="shared" si="51"/>
        <v>0</v>
      </c>
      <c r="R209" s="1370">
        <v>500</v>
      </c>
      <c r="S209" s="1526">
        <f t="shared" si="42"/>
        <v>8000</v>
      </c>
      <c r="T209" s="1526">
        <v>500</v>
      </c>
      <c r="U209" s="1526">
        <f t="shared" si="39"/>
        <v>8000</v>
      </c>
      <c r="V209" s="1370"/>
      <c r="W209" s="1526">
        <f t="shared" si="44"/>
        <v>0</v>
      </c>
      <c r="X209" s="1370">
        <f t="shared" si="47"/>
        <v>1000</v>
      </c>
      <c r="Y209" s="1370">
        <f t="shared" si="45"/>
        <v>16000</v>
      </c>
      <c r="Z209" s="1527" t="s">
        <v>7799</v>
      </c>
      <c r="AA209" s="1379" t="s">
        <v>6525</v>
      </c>
      <c r="AB209" s="1487" t="str">
        <f t="shared" si="46"/>
        <v>ok</v>
      </c>
      <c r="AC209" s="1487" t="str">
        <f t="shared" si="48"/>
        <v>ok</v>
      </c>
    </row>
    <row r="210" spans="1:29" s="1280" customFormat="1" ht="23.25" customHeight="1" x14ac:dyDescent="0.6">
      <c r="A210" s="1432">
        <v>203</v>
      </c>
      <c r="B210" s="1560" t="s">
        <v>8266</v>
      </c>
      <c r="C210" s="1379" t="s">
        <v>8049</v>
      </c>
      <c r="D210" s="1526"/>
      <c r="E210" s="1529">
        <f t="shared" si="49"/>
        <v>0</v>
      </c>
      <c r="F210" s="1370"/>
      <c r="G210" s="1529">
        <f t="shared" si="50"/>
        <v>0</v>
      </c>
      <c r="H210" s="1370">
        <v>1750</v>
      </c>
      <c r="I210" s="1370">
        <f t="shared" si="40"/>
        <v>43750</v>
      </c>
      <c r="J210" s="1370">
        <v>1750</v>
      </c>
      <c r="K210" s="1370">
        <v>500</v>
      </c>
      <c r="L210" s="1526">
        <f t="shared" si="41"/>
        <v>12500</v>
      </c>
      <c r="M210" s="1370">
        <f t="shared" ref="M210:M215" si="52">J210-K210</f>
        <v>1250</v>
      </c>
      <c r="N210" s="1371">
        <v>25</v>
      </c>
      <c r="O210" s="1371">
        <f t="shared" si="43"/>
        <v>31250</v>
      </c>
      <c r="P210" s="1526">
        <v>250</v>
      </c>
      <c r="Q210" s="1370">
        <f t="shared" si="51"/>
        <v>6250</v>
      </c>
      <c r="R210" s="1370">
        <v>500</v>
      </c>
      <c r="S210" s="1526">
        <f t="shared" si="42"/>
        <v>12500</v>
      </c>
      <c r="T210" s="1526">
        <v>500</v>
      </c>
      <c r="U210" s="1526">
        <f t="shared" si="39"/>
        <v>12500</v>
      </c>
      <c r="V210" s="1370"/>
      <c r="W210" s="1526">
        <f t="shared" si="44"/>
        <v>0</v>
      </c>
      <c r="X210" s="1370">
        <f t="shared" si="47"/>
        <v>1250</v>
      </c>
      <c r="Y210" s="1370">
        <f t="shared" si="45"/>
        <v>31250</v>
      </c>
      <c r="Z210" s="1527" t="s">
        <v>7799</v>
      </c>
      <c r="AA210" s="1379" t="s">
        <v>6525</v>
      </c>
      <c r="AB210" s="1487" t="str">
        <f t="shared" si="46"/>
        <v>ok</v>
      </c>
      <c r="AC210" s="1487" t="str">
        <f t="shared" si="48"/>
        <v>ok</v>
      </c>
    </row>
    <row r="211" spans="1:29" s="1280" customFormat="1" ht="23.25" customHeight="1" x14ac:dyDescent="0.6">
      <c r="A211" s="1432">
        <v>204</v>
      </c>
      <c r="B211" s="1560" t="s">
        <v>8267</v>
      </c>
      <c r="C211" s="1379" t="s">
        <v>8057</v>
      </c>
      <c r="D211" s="1526"/>
      <c r="E211" s="1529">
        <f t="shared" si="49"/>
        <v>0</v>
      </c>
      <c r="F211" s="1370"/>
      <c r="G211" s="1529">
        <f t="shared" si="50"/>
        <v>0</v>
      </c>
      <c r="H211" s="1370">
        <v>2800</v>
      </c>
      <c r="I211" s="1370">
        <f t="shared" si="40"/>
        <v>154000</v>
      </c>
      <c r="J211" s="1370">
        <v>2800</v>
      </c>
      <c r="K211" s="1370">
        <v>800</v>
      </c>
      <c r="L211" s="1526">
        <f t="shared" si="41"/>
        <v>44000</v>
      </c>
      <c r="M211" s="1370">
        <f t="shared" si="52"/>
        <v>2000</v>
      </c>
      <c r="N211" s="1371">
        <v>55</v>
      </c>
      <c r="O211" s="1371">
        <f t="shared" si="43"/>
        <v>110000</v>
      </c>
      <c r="P211" s="1526"/>
      <c r="Q211" s="1370">
        <f t="shared" si="51"/>
        <v>0</v>
      </c>
      <c r="R211" s="1526">
        <v>1000</v>
      </c>
      <c r="S211" s="1526">
        <f t="shared" si="42"/>
        <v>55000</v>
      </c>
      <c r="T211" s="1370">
        <v>500</v>
      </c>
      <c r="U211" s="1526">
        <f t="shared" si="39"/>
        <v>27500</v>
      </c>
      <c r="V211" s="1370">
        <v>500</v>
      </c>
      <c r="W211" s="1526">
        <f t="shared" si="44"/>
        <v>27500</v>
      </c>
      <c r="X211" s="1370">
        <f t="shared" si="47"/>
        <v>2000</v>
      </c>
      <c r="Y211" s="1370">
        <f t="shared" si="45"/>
        <v>110000</v>
      </c>
      <c r="Z211" s="1527" t="s">
        <v>7799</v>
      </c>
      <c r="AA211" s="1379" t="s">
        <v>6525</v>
      </c>
      <c r="AB211" s="1487" t="str">
        <f t="shared" si="46"/>
        <v>ok</v>
      </c>
      <c r="AC211" s="1487" t="str">
        <f t="shared" si="48"/>
        <v>ok</v>
      </c>
    </row>
    <row r="212" spans="1:29" s="1280" customFormat="1" ht="23.25" customHeight="1" x14ac:dyDescent="0.6">
      <c r="A212" s="1432">
        <v>205</v>
      </c>
      <c r="B212" s="1560" t="s">
        <v>8268</v>
      </c>
      <c r="C212" s="1561" t="s">
        <v>8052</v>
      </c>
      <c r="D212" s="1526"/>
      <c r="E212" s="1529">
        <f t="shared" si="49"/>
        <v>0</v>
      </c>
      <c r="F212" s="1381">
        <v>300</v>
      </c>
      <c r="G212" s="1529">
        <f t="shared" si="50"/>
        <v>3300</v>
      </c>
      <c r="H212" s="1370">
        <v>500</v>
      </c>
      <c r="I212" s="1370">
        <f t="shared" si="40"/>
        <v>5500</v>
      </c>
      <c r="J212" s="1370">
        <v>500</v>
      </c>
      <c r="K212" s="1370">
        <v>80</v>
      </c>
      <c r="L212" s="1526">
        <f t="shared" si="41"/>
        <v>880</v>
      </c>
      <c r="M212" s="1370">
        <f t="shared" si="52"/>
        <v>420</v>
      </c>
      <c r="N212" s="1370">
        <v>11</v>
      </c>
      <c r="O212" s="1371">
        <f t="shared" si="43"/>
        <v>4620</v>
      </c>
      <c r="P212" s="1526"/>
      <c r="Q212" s="1370">
        <f t="shared" si="51"/>
        <v>0</v>
      </c>
      <c r="R212" s="1526">
        <v>100</v>
      </c>
      <c r="S212" s="1526">
        <f t="shared" si="42"/>
        <v>1100</v>
      </c>
      <c r="T212" s="1526">
        <v>200</v>
      </c>
      <c r="U212" s="1526">
        <f t="shared" si="39"/>
        <v>2200</v>
      </c>
      <c r="V212" s="1526">
        <v>120</v>
      </c>
      <c r="W212" s="1526">
        <f t="shared" si="44"/>
        <v>1320</v>
      </c>
      <c r="X212" s="1370">
        <f t="shared" si="47"/>
        <v>420</v>
      </c>
      <c r="Y212" s="1370">
        <f t="shared" si="45"/>
        <v>4620</v>
      </c>
      <c r="Z212" s="1527" t="s">
        <v>7799</v>
      </c>
      <c r="AA212" s="1379" t="s">
        <v>6525</v>
      </c>
      <c r="AB212" s="1487" t="str">
        <f t="shared" si="46"/>
        <v>ok</v>
      </c>
      <c r="AC212" s="1487" t="str">
        <f t="shared" si="48"/>
        <v>ok</v>
      </c>
    </row>
    <row r="213" spans="1:29" s="1280" customFormat="1" ht="23.25" customHeight="1" x14ac:dyDescent="0.6">
      <c r="A213" s="1432">
        <v>206</v>
      </c>
      <c r="B213" s="1560" t="s">
        <v>8269</v>
      </c>
      <c r="C213" s="1379" t="s">
        <v>8052</v>
      </c>
      <c r="D213" s="1526"/>
      <c r="E213" s="1529">
        <f t="shared" si="49"/>
        <v>0</v>
      </c>
      <c r="F213" s="1370"/>
      <c r="G213" s="1529">
        <f t="shared" si="50"/>
        <v>0</v>
      </c>
      <c r="H213" s="1370">
        <v>300</v>
      </c>
      <c r="I213" s="1370">
        <f t="shared" si="40"/>
        <v>117000</v>
      </c>
      <c r="J213" s="1370">
        <v>300</v>
      </c>
      <c r="K213" s="1370">
        <v>200</v>
      </c>
      <c r="L213" s="1526">
        <f t="shared" si="41"/>
        <v>78000</v>
      </c>
      <c r="M213" s="1370">
        <f t="shared" si="52"/>
        <v>100</v>
      </c>
      <c r="N213" s="1371">
        <v>390</v>
      </c>
      <c r="O213" s="1371">
        <f t="shared" si="43"/>
        <v>39000</v>
      </c>
      <c r="P213" s="1526"/>
      <c r="Q213" s="1370">
        <f t="shared" si="51"/>
        <v>0</v>
      </c>
      <c r="R213" s="1526"/>
      <c r="S213" s="1526">
        <f t="shared" si="42"/>
        <v>0</v>
      </c>
      <c r="T213" s="1370">
        <v>100</v>
      </c>
      <c r="U213" s="1526">
        <f t="shared" si="39"/>
        <v>39000</v>
      </c>
      <c r="V213" s="1370"/>
      <c r="W213" s="1526">
        <f t="shared" si="44"/>
        <v>0</v>
      </c>
      <c r="X213" s="1370">
        <f t="shared" si="47"/>
        <v>100</v>
      </c>
      <c r="Y213" s="1370">
        <f t="shared" si="45"/>
        <v>39000</v>
      </c>
      <c r="Z213" s="1527" t="s">
        <v>7799</v>
      </c>
      <c r="AA213" s="1379" t="s">
        <v>6525</v>
      </c>
      <c r="AB213" s="1487" t="str">
        <f t="shared" si="46"/>
        <v>ok</v>
      </c>
      <c r="AC213" s="1487" t="str">
        <f t="shared" si="48"/>
        <v>ok</v>
      </c>
    </row>
    <row r="214" spans="1:29" s="1280" customFormat="1" ht="23.25" customHeight="1" x14ac:dyDescent="0.6">
      <c r="A214" s="1432">
        <v>207</v>
      </c>
      <c r="B214" s="1560" t="s">
        <v>8270</v>
      </c>
      <c r="C214" s="1379" t="s">
        <v>8052</v>
      </c>
      <c r="D214" s="1526"/>
      <c r="E214" s="1529">
        <f t="shared" si="49"/>
        <v>0</v>
      </c>
      <c r="F214" s="1370">
        <v>30</v>
      </c>
      <c r="G214" s="1529">
        <f t="shared" si="50"/>
        <v>11700</v>
      </c>
      <c r="H214" s="1370">
        <v>500</v>
      </c>
      <c r="I214" s="1370">
        <f t="shared" si="40"/>
        <v>195000</v>
      </c>
      <c r="J214" s="1370">
        <v>500</v>
      </c>
      <c r="K214" s="1370">
        <v>200</v>
      </c>
      <c r="L214" s="1526">
        <f t="shared" si="41"/>
        <v>78000</v>
      </c>
      <c r="M214" s="1370">
        <f t="shared" si="52"/>
        <v>300</v>
      </c>
      <c r="N214" s="1371">
        <v>390</v>
      </c>
      <c r="O214" s="1371">
        <f t="shared" si="43"/>
        <v>117000</v>
      </c>
      <c r="P214" s="1526"/>
      <c r="Q214" s="1370">
        <f t="shared" si="51"/>
        <v>0</v>
      </c>
      <c r="R214" s="1370"/>
      <c r="S214" s="1526">
        <f t="shared" si="42"/>
        <v>0</v>
      </c>
      <c r="T214" s="1526">
        <v>300</v>
      </c>
      <c r="U214" s="1526">
        <f t="shared" si="39"/>
        <v>117000</v>
      </c>
      <c r="V214" s="1370"/>
      <c r="W214" s="1526">
        <f t="shared" si="44"/>
        <v>0</v>
      </c>
      <c r="X214" s="1370">
        <f t="shared" si="47"/>
        <v>300</v>
      </c>
      <c r="Y214" s="1370">
        <f t="shared" si="45"/>
        <v>117000</v>
      </c>
      <c r="Z214" s="1527" t="s">
        <v>7799</v>
      </c>
      <c r="AA214" s="1379" t="s">
        <v>6525</v>
      </c>
      <c r="AB214" s="1487" t="str">
        <f t="shared" si="46"/>
        <v>ok</v>
      </c>
      <c r="AC214" s="1487" t="str">
        <f t="shared" si="48"/>
        <v>ok</v>
      </c>
    </row>
    <row r="215" spans="1:29" s="1280" customFormat="1" ht="23.25" customHeight="1" x14ac:dyDescent="0.6">
      <c r="A215" s="1432">
        <v>208</v>
      </c>
      <c r="B215" s="1560" t="s">
        <v>8271</v>
      </c>
      <c r="C215" s="1379" t="s">
        <v>8052</v>
      </c>
      <c r="D215" s="1526"/>
      <c r="E215" s="1529">
        <f t="shared" si="49"/>
        <v>0</v>
      </c>
      <c r="F215" s="1370">
        <v>30</v>
      </c>
      <c r="G215" s="1529">
        <f t="shared" si="50"/>
        <v>11700</v>
      </c>
      <c r="H215" s="1370">
        <v>400</v>
      </c>
      <c r="I215" s="1370">
        <f t="shared" si="40"/>
        <v>156000</v>
      </c>
      <c r="J215" s="1370">
        <v>500</v>
      </c>
      <c r="K215" s="1370">
        <v>200</v>
      </c>
      <c r="L215" s="1526">
        <f t="shared" si="41"/>
        <v>78000</v>
      </c>
      <c r="M215" s="1370">
        <f t="shared" si="52"/>
        <v>300</v>
      </c>
      <c r="N215" s="1371">
        <v>390</v>
      </c>
      <c r="O215" s="1371">
        <f t="shared" si="43"/>
        <v>117000</v>
      </c>
      <c r="P215" s="1526"/>
      <c r="Q215" s="1370">
        <f t="shared" si="51"/>
        <v>0</v>
      </c>
      <c r="R215" s="1370">
        <v>100</v>
      </c>
      <c r="S215" s="1526">
        <f t="shared" si="42"/>
        <v>39000</v>
      </c>
      <c r="T215" s="1526">
        <v>200</v>
      </c>
      <c r="U215" s="1526">
        <f t="shared" si="39"/>
        <v>78000</v>
      </c>
      <c r="V215" s="1370"/>
      <c r="W215" s="1526">
        <f t="shared" si="44"/>
        <v>0</v>
      </c>
      <c r="X215" s="1370">
        <f t="shared" si="47"/>
        <v>300</v>
      </c>
      <c r="Y215" s="1370">
        <f t="shared" si="45"/>
        <v>117000</v>
      </c>
      <c r="Z215" s="1527" t="s">
        <v>7799</v>
      </c>
      <c r="AA215" s="1379" t="s">
        <v>6525</v>
      </c>
      <c r="AB215" s="1487" t="str">
        <f t="shared" si="46"/>
        <v>ok</v>
      </c>
      <c r="AC215" s="1487" t="str">
        <f t="shared" si="48"/>
        <v>ok</v>
      </c>
    </row>
    <row r="216" spans="1:29" s="1388" customFormat="1" ht="23.25" customHeight="1" x14ac:dyDescent="0.25">
      <c r="A216" s="1432">
        <v>209</v>
      </c>
      <c r="B216" s="1372" t="s">
        <v>8272</v>
      </c>
      <c r="C216" s="1360" t="s">
        <v>8057</v>
      </c>
      <c r="D216" s="1166"/>
      <c r="E216" s="1378">
        <f t="shared" si="49"/>
        <v>0</v>
      </c>
      <c r="F216" s="1343"/>
      <c r="G216" s="1378">
        <f t="shared" si="50"/>
        <v>0</v>
      </c>
      <c r="H216" s="1343"/>
      <c r="I216" s="1345">
        <f t="shared" si="40"/>
        <v>0</v>
      </c>
      <c r="J216" s="1345">
        <v>40</v>
      </c>
      <c r="K216" s="1343">
        <v>0</v>
      </c>
      <c r="L216" s="1344">
        <f t="shared" si="41"/>
        <v>0</v>
      </c>
      <c r="M216" s="1345">
        <v>40</v>
      </c>
      <c r="N216" s="1481">
        <v>350</v>
      </c>
      <c r="O216" s="1346">
        <v>14000</v>
      </c>
      <c r="P216" s="1345">
        <v>20</v>
      </c>
      <c r="Q216" s="1345">
        <f t="shared" si="51"/>
        <v>7000</v>
      </c>
      <c r="R216" s="1345"/>
      <c r="S216" s="1344">
        <f t="shared" si="42"/>
        <v>0</v>
      </c>
      <c r="T216" s="1345">
        <v>20</v>
      </c>
      <c r="U216" s="1344">
        <f t="shared" si="39"/>
        <v>7000</v>
      </c>
      <c r="V216" s="1345"/>
      <c r="W216" s="1344">
        <f t="shared" si="44"/>
        <v>0</v>
      </c>
      <c r="X216" s="1370">
        <f t="shared" si="47"/>
        <v>40</v>
      </c>
      <c r="Y216" s="1345">
        <f t="shared" si="45"/>
        <v>14000</v>
      </c>
      <c r="Z216" s="1527" t="s">
        <v>7799</v>
      </c>
      <c r="AA216" s="1379" t="s">
        <v>8273</v>
      </c>
      <c r="AB216" s="1487" t="str">
        <f t="shared" si="46"/>
        <v>ok</v>
      </c>
      <c r="AC216" s="1487" t="str">
        <f t="shared" si="48"/>
        <v>ok</v>
      </c>
    </row>
    <row r="217" spans="1:29" s="1359" customFormat="1" ht="20.25" customHeight="1" x14ac:dyDescent="0.25">
      <c r="A217" s="1432">
        <v>210</v>
      </c>
      <c r="B217" s="1372" t="s">
        <v>8274</v>
      </c>
      <c r="C217" s="1360" t="s">
        <v>8057</v>
      </c>
      <c r="D217" s="1344"/>
      <c r="E217" s="1378">
        <f t="shared" si="49"/>
        <v>0</v>
      </c>
      <c r="F217" s="1345"/>
      <c r="G217" s="1378">
        <f t="shared" si="50"/>
        <v>0</v>
      </c>
      <c r="H217" s="1345"/>
      <c r="I217" s="1345">
        <f t="shared" si="40"/>
        <v>0</v>
      </c>
      <c r="J217" s="1345">
        <v>40</v>
      </c>
      <c r="K217" s="1345">
        <v>0</v>
      </c>
      <c r="L217" s="1344">
        <f t="shared" si="41"/>
        <v>0</v>
      </c>
      <c r="M217" s="1345">
        <v>40</v>
      </c>
      <c r="N217" s="1346">
        <v>700</v>
      </c>
      <c r="O217" s="1346">
        <v>28000</v>
      </c>
      <c r="P217" s="1344">
        <v>20</v>
      </c>
      <c r="Q217" s="1345">
        <f t="shared" si="51"/>
        <v>14000</v>
      </c>
      <c r="R217" s="1344"/>
      <c r="S217" s="1344">
        <f t="shared" si="42"/>
        <v>0</v>
      </c>
      <c r="T217" s="1345">
        <v>20</v>
      </c>
      <c r="U217" s="1344">
        <f t="shared" si="39"/>
        <v>14000</v>
      </c>
      <c r="V217" s="1345"/>
      <c r="W217" s="1344">
        <f t="shared" si="44"/>
        <v>0</v>
      </c>
      <c r="X217" s="1370">
        <f t="shared" si="47"/>
        <v>40</v>
      </c>
      <c r="Y217" s="1345">
        <f t="shared" si="45"/>
        <v>28000</v>
      </c>
      <c r="Z217" s="1527" t="s">
        <v>7799</v>
      </c>
      <c r="AA217" s="1379" t="s">
        <v>8273</v>
      </c>
      <c r="AB217" s="1487" t="str">
        <f t="shared" si="46"/>
        <v>ok</v>
      </c>
      <c r="AC217" s="1487" t="str">
        <f t="shared" si="48"/>
        <v>ok</v>
      </c>
    </row>
    <row r="218" spans="1:29" s="1359" customFormat="1" ht="20.25" customHeight="1" x14ac:dyDescent="0.25">
      <c r="A218" s="1432">
        <v>211</v>
      </c>
      <c r="B218" s="1372" t="s">
        <v>8275</v>
      </c>
      <c r="C218" s="1360" t="s">
        <v>8057</v>
      </c>
      <c r="D218" s="1344"/>
      <c r="E218" s="1378">
        <f t="shared" si="49"/>
        <v>0</v>
      </c>
      <c r="F218" s="1345"/>
      <c r="G218" s="1378">
        <f t="shared" si="50"/>
        <v>0</v>
      </c>
      <c r="H218" s="1345"/>
      <c r="I218" s="1345">
        <f t="shared" si="40"/>
        <v>0</v>
      </c>
      <c r="J218" s="1345">
        <v>40</v>
      </c>
      <c r="K218" s="1345">
        <v>0</v>
      </c>
      <c r="L218" s="1344">
        <f t="shared" si="41"/>
        <v>0</v>
      </c>
      <c r="M218" s="1345">
        <v>40</v>
      </c>
      <c r="N218" s="1346">
        <v>1500</v>
      </c>
      <c r="O218" s="1346">
        <v>60000</v>
      </c>
      <c r="P218" s="1344">
        <v>20</v>
      </c>
      <c r="Q218" s="1345">
        <f t="shared" si="51"/>
        <v>30000</v>
      </c>
      <c r="R218" s="1345"/>
      <c r="S218" s="1344">
        <f t="shared" si="42"/>
        <v>0</v>
      </c>
      <c r="T218" s="1344">
        <v>20</v>
      </c>
      <c r="U218" s="1344">
        <f t="shared" si="39"/>
        <v>30000</v>
      </c>
      <c r="V218" s="1345"/>
      <c r="W218" s="1344">
        <f t="shared" si="44"/>
        <v>0</v>
      </c>
      <c r="X218" s="1370">
        <f t="shared" si="47"/>
        <v>40</v>
      </c>
      <c r="Y218" s="1345">
        <f t="shared" si="45"/>
        <v>60000</v>
      </c>
      <c r="Z218" s="1527" t="s">
        <v>7799</v>
      </c>
      <c r="AA218" s="1379" t="s">
        <v>8273</v>
      </c>
      <c r="AB218" s="1487" t="str">
        <f t="shared" si="46"/>
        <v>ok</v>
      </c>
      <c r="AC218" s="1487" t="str">
        <f t="shared" si="48"/>
        <v>ok</v>
      </c>
    </row>
    <row r="219" spans="1:29" s="1359" customFormat="1" ht="20.25" customHeight="1" x14ac:dyDescent="0.25">
      <c r="A219" s="1432">
        <v>212</v>
      </c>
      <c r="B219" s="1372" t="s">
        <v>8276</v>
      </c>
      <c r="C219" s="1360" t="s">
        <v>8049</v>
      </c>
      <c r="D219" s="1344"/>
      <c r="E219" s="1378">
        <f t="shared" si="49"/>
        <v>0</v>
      </c>
      <c r="F219" s="1345"/>
      <c r="G219" s="1378">
        <f t="shared" si="50"/>
        <v>0</v>
      </c>
      <c r="H219" s="1345"/>
      <c r="I219" s="1345">
        <f t="shared" si="40"/>
        <v>0</v>
      </c>
      <c r="J219" s="1345">
        <v>50</v>
      </c>
      <c r="K219" s="1345">
        <v>0</v>
      </c>
      <c r="L219" s="1344">
        <f t="shared" si="41"/>
        <v>0</v>
      </c>
      <c r="M219" s="1345">
        <v>50</v>
      </c>
      <c r="N219" s="1346">
        <v>700</v>
      </c>
      <c r="O219" s="1346">
        <v>35000</v>
      </c>
      <c r="P219" s="1345">
        <v>25</v>
      </c>
      <c r="Q219" s="1345">
        <f t="shared" si="51"/>
        <v>17500</v>
      </c>
      <c r="R219" s="1344"/>
      <c r="S219" s="1344">
        <f t="shared" si="42"/>
        <v>0</v>
      </c>
      <c r="T219" s="1345">
        <v>25</v>
      </c>
      <c r="U219" s="1344">
        <f t="shared" si="39"/>
        <v>17500</v>
      </c>
      <c r="V219" s="1344"/>
      <c r="W219" s="1344">
        <f t="shared" si="44"/>
        <v>0</v>
      </c>
      <c r="X219" s="1370">
        <f t="shared" si="47"/>
        <v>50</v>
      </c>
      <c r="Y219" s="1345">
        <f t="shared" si="45"/>
        <v>35000</v>
      </c>
      <c r="Z219" s="1527" t="s">
        <v>7799</v>
      </c>
      <c r="AA219" s="1379" t="s">
        <v>8273</v>
      </c>
      <c r="AB219" s="1487" t="str">
        <f t="shared" si="46"/>
        <v>ok</v>
      </c>
      <c r="AC219" s="1487" t="str">
        <f t="shared" si="48"/>
        <v>ok</v>
      </c>
    </row>
    <row r="220" spans="1:29" s="1359" customFormat="1" ht="20.25" customHeight="1" x14ac:dyDescent="0.25">
      <c r="A220" s="1432">
        <v>213</v>
      </c>
      <c r="B220" s="1372" t="s">
        <v>8277</v>
      </c>
      <c r="C220" s="1360" t="s">
        <v>8049</v>
      </c>
      <c r="D220" s="1344"/>
      <c r="E220" s="1378">
        <f t="shared" si="49"/>
        <v>0</v>
      </c>
      <c r="F220" s="1345"/>
      <c r="G220" s="1378">
        <f t="shared" si="50"/>
        <v>0</v>
      </c>
      <c r="H220" s="1345"/>
      <c r="I220" s="1345">
        <f t="shared" si="40"/>
        <v>0</v>
      </c>
      <c r="J220" s="1345">
        <v>50</v>
      </c>
      <c r="K220" s="1345">
        <v>0</v>
      </c>
      <c r="L220" s="1344">
        <f t="shared" si="41"/>
        <v>0</v>
      </c>
      <c r="M220" s="1345">
        <v>50</v>
      </c>
      <c r="N220" s="1346">
        <v>400</v>
      </c>
      <c r="O220" s="1346">
        <v>20000</v>
      </c>
      <c r="P220" s="1344">
        <v>25</v>
      </c>
      <c r="Q220" s="1345">
        <f t="shared" si="51"/>
        <v>10000</v>
      </c>
      <c r="R220" s="1344"/>
      <c r="S220" s="1344">
        <f t="shared" si="42"/>
        <v>0</v>
      </c>
      <c r="T220" s="1345">
        <v>25</v>
      </c>
      <c r="U220" s="1344">
        <f t="shared" ref="U220:U221" si="53">T220*N220</f>
        <v>10000</v>
      </c>
      <c r="V220" s="1345"/>
      <c r="W220" s="1344">
        <f t="shared" si="44"/>
        <v>0</v>
      </c>
      <c r="X220" s="1370">
        <f t="shared" si="47"/>
        <v>50</v>
      </c>
      <c r="Y220" s="1345">
        <f t="shared" si="45"/>
        <v>20000</v>
      </c>
      <c r="Z220" s="1527" t="s">
        <v>7799</v>
      </c>
      <c r="AA220" s="1379" t="s">
        <v>8273</v>
      </c>
      <c r="AB220" s="1487" t="str">
        <f t="shared" si="46"/>
        <v>ok</v>
      </c>
      <c r="AC220" s="1487" t="str">
        <f t="shared" si="48"/>
        <v>ok</v>
      </c>
    </row>
    <row r="221" spans="1:29" s="1359" customFormat="1" ht="36" customHeight="1" x14ac:dyDescent="0.25">
      <c r="A221" s="1432">
        <v>214</v>
      </c>
      <c r="B221" s="1372" t="s">
        <v>8278</v>
      </c>
      <c r="C221" s="1360" t="s">
        <v>8057</v>
      </c>
      <c r="D221" s="1344"/>
      <c r="E221" s="1378">
        <f t="shared" si="49"/>
        <v>0</v>
      </c>
      <c r="F221" s="1345"/>
      <c r="G221" s="1378">
        <f t="shared" si="50"/>
        <v>0</v>
      </c>
      <c r="H221" s="1345"/>
      <c r="I221" s="1345">
        <f t="shared" si="40"/>
        <v>0</v>
      </c>
      <c r="J221" s="1345">
        <v>50</v>
      </c>
      <c r="K221" s="1345">
        <v>0</v>
      </c>
      <c r="L221" s="1344">
        <f t="shared" si="41"/>
        <v>0</v>
      </c>
      <c r="M221" s="1345">
        <v>50</v>
      </c>
      <c r="N221" s="1346">
        <v>850</v>
      </c>
      <c r="O221" s="1346">
        <f>M221*N221</f>
        <v>42500</v>
      </c>
      <c r="P221" s="1344">
        <v>25</v>
      </c>
      <c r="Q221" s="1345">
        <f t="shared" si="51"/>
        <v>21250</v>
      </c>
      <c r="R221" s="1344"/>
      <c r="S221" s="1344">
        <f t="shared" si="42"/>
        <v>0</v>
      </c>
      <c r="T221" s="1345">
        <v>25</v>
      </c>
      <c r="U221" s="1344">
        <f t="shared" si="53"/>
        <v>21250</v>
      </c>
      <c r="V221" s="1345"/>
      <c r="W221" s="1344">
        <f t="shared" si="44"/>
        <v>0</v>
      </c>
      <c r="X221" s="1370">
        <f t="shared" si="47"/>
        <v>50</v>
      </c>
      <c r="Y221" s="1345">
        <f t="shared" si="45"/>
        <v>42500</v>
      </c>
      <c r="Z221" s="1527" t="s">
        <v>7799</v>
      </c>
      <c r="AA221" s="1379" t="s">
        <v>8273</v>
      </c>
      <c r="AB221" s="1487" t="str">
        <f t="shared" si="46"/>
        <v>ok</v>
      </c>
      <c r="AC221" s="1487" t="str">
        <f t="shared" si="48"/>
        <v>ok</v>
      </c>
    </row>
    <row r="222" spans="1:29" s="1388" customFormat="1" ht="20.25" customHeight="1" x14ac:dyDescent="0.25">
      <c r="A222" s="1432">
        <v>215</v>
      </c>
      <c r="B222" s="1562" t="s">
        <v>8071</v>
      </c>
      <c r="C222" s="1563" t="s">
        <v>7798</v>
      </c>
      <c r="D222" s="1564"/>
      <c r="E222" s="1552">
        <v>0</v>
      </c>
      <c r="F222" s="1554">
        <v>30</v>
      </c>
      <c r="G222" s="1552">
        <v>0</v>
      </c>
      <c r="H222" s="1554">
        <v>0</v>
      </c>
      <c r="I222" s="1554">
        <f t="shared" si="40"/>
        <v>0</v>
      </c>
      <c r="J222" s="1565">
        <v>5</v>
      </c>
      <c r="K222" s="1565">
        <v>0</v>
      </c>
      <c r="L222" s="1564">
        <f t="shared" si="41"/>
        <v>0</v>
      </c>
      <c r="M222" s="1565">
        <v>5</v>
      </c>
      <c r="N222" s="1566">
        <v>3500</v>
      </c>
      <c r="O222" s="1566">
        <v>17500</v>
      </c>
      <c r="P222" s="1565">
        <v>5</v>
      </c>
      <c r="Q222" s="1565">
        <f t="shared" si="51"/>
        <v>17500</v>
      </c>
      <c r="R222" s="1564"/>
      <c r="S222" s="1564"/>
      <c r="T222" s="1565"/>
      <c r="U222" s="1564"/>
      <c r="V222" s="1565"/>
      <c r="W222" s="1564"/>
      <c r="X222" s="1554">
        <f t="shared" si="47"/>
        <v>5</v>
      </c>
      <c r="Y222" s="1565">
        <f t="shared" si="45"/>
        <v>17500</v>
      </c>
      <c r="Z222" s="1556" t="s">
        <v>7799</v>
      </c>
      <c r="AA222" s="1557" t="s">
        <v>6525</v>
      </c>
      <c r="AB222" s="1487" t="str">
        <f t="shared" si="46"/>
        <v>ok</v>
      </c>
      <c r="AC222" s="1487" t="str">
        <f t="shared" si="48"/>
        <v>ok</v>
      </c>
    </row>
    <row r="223" spans="1:29" s="1388" customFormat="1" ht="20.25" customHeight="1" x14ac:dyDescent="0.25">
      <c r="A223" s="1432">
        <v>216</v>
      </c>
      <c r="B223" s="1562" t="s">
        <v>8279</v>
      </c>
      <c r="C223" s="1563" t="s">
        <v>8280</v>
      </c>
      <c r="D223" s="1564"/>
      <c r="E223" s="1552">
        <v>0</v>
      </c>
      <c r="F223" s="1554">
        <v>30</v>
      </c>
      <c r="G223" s="1552">
        <v>0</v>
      </c>
      <c r="H223" s="1554">
        <v>0</v>
      </c>
      <c r="I223" s="1554">
        <f t="shared" ref="I223:I233" si="54">H223*N223</f>
        <v>0</v>
      </c>
      <c r="J223" s="1565">
        <v>5</v>
      </c>
      <c r="K223" s="1565">
        <v>0</v>
      </c>
      <c r="L223" s="1564">
        <f t="shared" si="41"/>
        <v>0</v>
      </c>
      <c r="M223" s="1565">
        <v>5</v>
      </c>
      <c r="N223" s="1566">
        <v>5500</v>
      </c>
      <c r="O223" s="1566">
        <v>27500</v>
      </c>
      <c r="P223" s="1565">
        <v>5</v>
      </c>
      <c r="Q223" s="1565">
        <f t="shared" si="51"/>
        <v>27500</v>
      </c>
      <c r="R223" s="1564"/>
      <c r="S223" s="1564"/>
      <c r="T223" s="1565"/>
      <c r="U223" s="1564"/>
      <c r="V223" s="1565"/>
      <c r="W223" s="1564"/>
      <c r="X223" s="1554">
        <f t="shared" si="47"/>
        <v>5</v>
      </c>
      <c r="Y223" s="1565">
        <f t="shared" si="45"/>
        <v>27500</v>
      </c>
      <c r="Z223" s="1556" t="s">
        <v>7799</v>
      </c>
      <c r="AA223" s="1557" t="s">
        <v>6525</v>
      </c>
      <c r="AB223" s="1487" t="str">
        <f t="shared" si="46"/>
        <v>ok</v>
      </c>
      <c r="AC223" s="1487" t="str">
        <f t="shared" si="48"/>
        <v>ok</v>
      </c>
    </row>
    <row r="224" spans="1:29" s="1388" customFormat="1" ht="20.25" customHeight="1" x14ac:dyDescent="0.25">
      <c r="A224" s="1432">
        <v>217</v>
      </c>
      <c r="B224" s="1562" t="s">
        <v>8281</v>
      </c>
      <c r="C224" s="1563" t="s">
        <v>8282</v>
      </c>
      <c r="D224" s="1564"/>
      <c r="E224" s="1552">
        <v>0</v>
      </c>
      <c r="F224" s="1554">
        <v>30</v>
      </c>
      <c r="G224" s="1552">
        <v>0</v>
      </c>
      <c r="H224" s="1554">
        <v>0</v>
      </c>
      <c r="I224" s="1554">
        <f t="shared" si="54"/>
        <v>0</v>
      </c>
      <c r="J224" s="1565">
        <v>10</v>
      </c>
      <c r="K224" s="1565">
        <v>0</v>
      </c>
      <c r="L224" s="1564">
        <f t="shared" si="41"/>
        <v>0</v>
      </c>
      <c r="M224" s="1565">
        <v>10</v>
      </c>
      <c r="N224" s="1566">
        <v>150</v>
      </c>
      <c r="O224" s="1566">
        <v>1500</v>
      </c>
      <c r="P224" s="1565">
        <v>10</v>
      </c>
      <c r="Q224" s="1565">
        <f t="shared" si="51"/>
        <v>1500</v>
      </c>
      <c r="R224" s="1564"/>
      <c r="S224" s="1564"/>
      <c r="T224" s="1565"/>
      <c r="U224" s="1564"/>
      <c r="V224" s="1565"/>
      <c r="W224" s="1564"/>
      <c r="X224" s="1554">
        <f t="shared" si="47"/>
        <v>10</v>
      </c>
      <c r="Y224" s="1565">
        <f t="shared" si="45"/>
        <v>1500</v>
      </c>
      <c r="Z224" s="1556" t="s">
        <v>7799</v>
      </c>
      <c r="AA224" s="1557" t="s">
        <v>6525</v>
      </c>
      <c r="AB224" s="1487" t="str">
        <f t="shared" si="46"/>
        <v>ok</v>
      </c>
      <c r="AC224" s="1487" t="str">
        <f t="shared" si="48"/>
        <v>ok</v>
      </c>
    </row>
    <row r="225" spans="1:29" s="1388" customFormat="1" ht="34.950000000000003" customHeight="1" x14ac:dyDescent="0.25">
      <c r="A225" s="1432">
        <v>218</v>
      </c>
      <c r="B225" s="1562" t="s">
        <v>8283</v>
      </c>
      <c r="C225" s="1563" t="s">
        <v>7798</v>
      </c>
      <c r="D225" s="1564"/>
      <c r="E225" s="1552">
        <v>0</v>
      </c>
      <c r="F225" s="1554">
        <v>30</v>
      </c>
      <c r="G225" s="1552">
        <v>0</v>
      </c>
      <c r="H225" s="1554">
        <v>0</v>
      </c>
      <c r="I225" s="1554">
        <f t="shared" si="54"/>
        <v>0</v>
      </c>
      <c r="J225" s="1565">
        <v>10</v>
      </c>
      <c r="K225" s="1565">
        <v>0</v>
      </c>
      <c r="L225" s="1564">
        <f t="shared" si="41"/>
        <v>0</v>
      </c>
      <c r="M225" s="1565">
        <v>10</v>
      </c>
      <c r="N225" s="1566">
        <v>550</v>
      </c>
      <c r="O225" s="1566">
        <v>5500</v>
      </c>
      <c r="P225" s="1565">
        <v>10</v>
      </c>
      <c r="Q225" s="1565">
        <f t="shared" si="51"/>
        <v>5500</v>
      </c>
      <c r="R225" s="1564"/>
      <c r="S225" s="1564"/>
      <c r="T225" s="1565"/>
      <c r="U225" s="1564"/>
      <c r="V225" s="1565"/>
      <c r="W225" s="1564"/>
      <c r="X225" s="1554">
        <f t="shared" si="47"/>
        <v>10</v>
      </c>
      <c r="Y225" s="1565">
        <f t="shared" si="45"/>
        <v>5500</v>
      </c>
      <c r="Z225" s="1556" t="s">
        <v>7799</v>
      </c>
      <c r="AA225" s="1557" t="s">
        <v>6525</v>
      </c>
      <c r="AB225" s="1487" t="str">
        <f t="shared" si="46"/>
        <v>ok</v>
      </c>
      <c r="AC225" s="1487" t="str">
        <f t="shared" si="48"/>
        <v>ok</v>
      </c>
    </row>
    <row r="226" spans="1:29" s="1388" customFormat="1" ht="43.2" customHeight="1" x14ac:dyDescent="0.25">
      <c r="A226" s="1432">
        <v>219</v>
      </c>
      <c r="B226" s="1567" t="s">
        <v>8284</v>
      </c>
      <c r="C226" s="1563" t="s">
        <v>8285</v>
      </c>
      <c r="D226" s="1564"/>
      <c r="E226" s="1552">
        <v>0</v>
      </c>
      <c r="F226" s="1554">
        <v>30</v>
      </c>
      <c r="G226" s="1552">
        <v>0</v>
      </c>
      <c r="H226" s="1554">
        <v>0</v>
      </c>
      <c r="I226" s="1554">
        <f t="shared" si="54"/>
        <v>0</v>
      </c>
      <c r="J226" s="1565">
        <v>1</v>
      </c>
      <c r="K226" s="1565">
        <v>0</v>
      </c>
      <c r="L226" s="1564">
        <f t="shared" si="41"/>
        <v>0</v>
      </c>
      <c r="M226" s="1565">
        <v>1</v>
      </c>
      <c r="N226" s="1566">
        <v>2000</v>
      </c>
      <c r="O226" s="1566">
        <v>2000</v>
      </c>
      <c r="P226" s="1565">
        <v>1</v>
      </c>
      <c r="Q226" s="1565">
        <f t="shared" si="51"/>
        <v>2000</v>
      </c>
      <c r="R226" s="1564"/>
      <c r="S226" s="1564"/>
      <c r="T226" s="1565"/>
      <c r="U226" s="1564"/>
      <c r="V226" s="1565"/>
      <c r="W226" s="1564"/>
      <c r="X226" s="1554">
        <f t="shared" si="47"/>
        <v>1</v>
      </c>
      <c r="Y226" s="1565">
        <f t="shared" si="45"/>
        <v>2000</v>
      </c>
      <c r="Z226" s="1556" t="s">
        <v>7799</v>
      </c>
      <c r="AA226" s="1557" t="s">
        <v>6525</v>
      </c>
      <c r="AB226" s="1487" t="str">
        <f t="shared" si="46"/>
        <v>ok</v>
      </c>
      <c r="AC226" s="1487" t="str">
        <f t="shared" si="48"/>
        <v>ok</v>
      </c>
    </row>
    <row r="227" spans="1:29" s="1388" customFormat="1" ht="33.75" customHeight="1" x14ac:dyDescent="0.25">
      <c r="A227" s="1432">
        <v>220</v>
      </c>
      <c r="B227" s="1562" t="s">
        <v>8286</v>
      </c>
      <c r="C227" s="1563" t="s">
        <v>8285</v>
      </c>
      <c r="D227" s="1564"/>
      <c r="E227" s="1552">
        <v>0</v>
      </c>
      <c r="F227" s="1554">
        <v>30</v>
      </c>
      <c r="G227" s="1552">
        <v>0</v>
      </c>
      <c r="H227" s="1554">
        <v>0</v>
      </c>
      <c r="I227" s="1554">
        <f t="shared" si="54"/>
        <v>0</v>
      </c>
      <c r="J227" s="1565">
        <v>24</v>
      </c>
      <c r="K227" s="1565">
        <v>0</v>
      </c>
      <c r="L227" s="1564">
        <f t="shared" si="41"/>
        <v>0</v>
      </c>
      <c r="M227" s="1565">
        <v>24</v>
      </c>
      <c r="N227" s="1566">
        <v>700</v>
      </c>
      <c r="O227" s="1566">
        <v>16800</v>
      </c>
      <c r="P227" s="1565">
        <v>24</v>
      </c>
      <c r="Q227" s="1565">
        <f t="shared" si="51"/>
        <v>16800</v>
      </c>
      <c r="R227" s="1564"/>
      <c r="S227" s="1564"/>
      <c r="T227" s="1565"/>
      <c r="U227" s="1564"/>
      <c r="V227" s="1565"/>
      <c r="W227" s="1564"/>
      <c r="X227" s="1554">
        <f t="shared" si="47"/>
        <v>24</v>
      </c>
      <c r="Y227" s="1565">
        <f t="shared" si="45"/>
        <v>16800</v>
      </c>
      <c r="Z227" s="1556" t="s">
        <v>7799</v>
      </c>
      <c r="AA227" s="1557" t="s">
        <v>6525</v>
      </c>
      <c r="AB227" s="1487" t="str">
        <f t="shared" si="46"/>
        <v>ok</v>
      </c>
      <c r="AC227" s="1487" t="str">
        <f t="shared" si="48"/>
        <v>ok</v>
      </c>
    </row>
    <row r="228" spans="1:29" s="1388" customFormat="1" ht="39.75" customHeight="1" x14ac:dyDescent="0.25">
      <c r="A228" s="1432">
        <v>221</v>
      </c>
      <c r="B228" s="1562" t="s">
        <v>8287</v>
      </c>
      <c r="C228" s="1563" t="s">
        <v>8285</v>
      </c>
      <c r="D228" s="1564"/>
      <c r="E228" s="1552">
        <v>0</v>
      </c>
      <c r="F228" s="1554">
        <v>30</v>
      </c>
      <c r="G228" s="1552">
        <v>0</v>
      </c>
      <c r="H228" s="1554">
        <v>0</v>
      </c>
      <c r="I228" s="1554">
        <f t="shared" si="54"/>
        <v>0</v>
      </c>
      <c r="J228" s="1565">
        <v>24</v>
      </c>
      <c r="K228" s="1565">
        <v>0</v>
      </c>
      <c r="L228" s="1564">
        <f t="shared" si="41"/>
        <v>0</v>
      </c>
      <c r="M228" s="1565">
        <v>24</v>
      </c>
      <c r="N228" s="1566">
        <v>700</v>
      </c>
      <c r="O228" s="1566">
        <v>16800</v>
      </c>
      <c r="P228" s="1565">
        <v>24</v>
      </c>
      <c r="Q228" s="1565">
        <f t="shared" si="51"/>
        <v>16800</v>
      </c>
      <c r="R228" s="1564"/>
      <c r="S228" s="1564"/>
      <c r="T228" s="1565"/>
      <c r="U228" s="1564"/>
      <c r="V228" s="1565"/>
      <c r="W228" s="1564"/>
      <c r="X228" s="1554">
        <f t="shared" si="47"/>
        <v>24</v>
      </c>
      <c r="Y228" s="1565">
        <f t="shared" si="45"/>
        <v>16800</v>
      </c>
      <c r="Z228" s="1556" t="s">
        <v>7799</v>
      </c>
      <c r="AA228" s="1557" t="s">
        <v>6525</v>
      </c>
      <c r="AB228" s="1487" t="str">
        <f t="shared" si="46"/>
        <v>ok</v>
      </c>
      <c r="AC228" s="1487" t="str">
        <f t="shared" si="48"/>
        <v>ok</v>
      </c>
    </row>
    <row r="229" spans="1:29" s="1388" customFormat="1" ht="23.25" customHeight="1" x14ac:dyDescent="0.25">
      <c r="A229" s="1432">
        <v>222</v>
      </c>
      <c r="B229" s="1562" t="s">
        <v>8288</v>
      </c>
      <c r="C229" s="1563" t="s">
        <v>8289</v>
      </c>
      <c r="D229" s="1564"/>
      <c r="E229" s="1552">
        <v>0</v>
      </c>
      <c r="F229" s="1554">
        <v>30</v>
      </c>
      <c r="G229" s="1552">
        <v>0</v>
      </c>
      <c r="H229" s="1554">
        <v>0</v>
      </c>
      <c r="I229" s="1554">
        <f t="shared" si="54"/>
        <v>0</v>
      </c>
      <c r="J229" s="1565">
        <v>1</v>
      </c>
      <c r="K229" s="1565">
        <v>0</v>
      </c>
      <c r="L229" s="1564">
        <f t="shared" si="41"/>
        <v>0</v>
      </c>
      <c r="M229" s="1565">
        <v>1</v>
      </c>
      <c r="N229" s="1566">
        <v>2500</v>
      </c>
      <c r="O229" s="1566">
        <v>2500</v>
      </c>
      <c r="P229" s="1565">
        <v>1</v>
      </c>
      <c r="Q229" s="1565">
        <f t="shared" si="51"/>
        <v>2500</v>
      </c>
      <c r="R229" s="1564"/>
      <c r="S229" s="1564"/>
      <c r="T229" s="1565"/>
      <c r="U229" s="1564"/>
      <c r="V229" s="1565"/>
      <c r="W229" s="1564"/>
      <c r="X229" s="1554">
        <f t="shared" si="47"/>
        <v>1</v>
      </c>
      <c r="Y229" s="1565">
        <f t="shared" si="45"/>
        <v>2500</v>
      </c>
      <c r="Z229" s="1556" t="s">
        <v>7799</v>
      </c>
      <c r="AA229" s="1557" t="s">
        <v>6525</v>
      </c>
      <c r="AB229" s="1487" t="str">
        <f t="shared" si="46"/>
        <v>ok</v>
      </c>
      <c r="AC229" s="1487" t="str">
        <f t="shared" si="48"/>
        <v>ok</v>
      </c>
    </row>
    <row r="230" spans="1:29" s="1388" customFormat="1" ht="21.75" customHeight="1" x14ac:dyDescent="0.25">
      <c r="A230" s="1432">
        <v>223</v>
      </c>
      <c r="B230" s="1562" t="s">
        <v>8290</v>
      </c>
      <c r="C230" s="1563" t="s">
        <v>8049</v>
      </c>
      <c r="D230" s="1564"/>
      <c r="E230" s="1552">
        <v>0</v>
      </c>
      <c r="F230" s="1554">
        <v>30</v>
      </c>
      <c r="G230" s="1552">
        <v>0</v>
      </c>
      <c r="H230" s="1554">
        <v>0</v>
      </c>
      <c r="I230" s="1554">
        <f t="shared" si="54"/>
        <v>0</v>
      </c>
      <c r="J230" s="1565">
        <v>1</v>
      </c>
      <c r="K230" s="1565">
        <v>0</v>
      </c>
      <c r="L230" s="1564">
        <f t="shared" ref="L230:L240" si="55">K230*N230</f>
        <v>0</v>
      </c>
      <c r="M230" s="1565">
        <v>1</v>
      </c>
      <c r="N230" s="1566">
        <v>1100</v>
      </c>
      <c r="O230" s="1566">
        <v>1100</v>
      </c>
      <c r="P230" s="1565">
        <v>1</v>
      </c>
      <c r="Q230" s="1565">
        <f t="shared" si="51"/>
        <v>1100</v>
      </c>
      <c r="R230" s="1564"/>
      <c r="S230" s="1564"/>
      <c r="T230" s="1565"/>
      <c r="U230" s="1564"/>
      <c r="V230" s="1565"/>
      <c r="W230" s="1564"/>
      <c r="X230" s="1554">
        <f t="shared" si="47"/>
        <v>1</v>
      </c>
      <c r="Y230" s="1565">
        <f t="shared" si="45"/>
        <v>1100</v>
      </c>
      <c r="Z230" s="1556" t="s">
        <v>7799</v>
      </c>
      <c r="AA230" s="1557" t="s">
        <v>6525</v>
      </c>
      <c r="AB230" s="1487" t="str">
        <f t="shared" si="46"/>
        <v>ok</v>
      </c>
      <c r="AC230" s="1487" t="str">
        <f t="shared" si="48"/>
        <v>ok</v>
      </c>
    </row>
    <row r="231" spans="1:29" s="1388" customFormat="1" ht="20.25" customHeight="1" x14ac:dyDescent="0.25">
      <c r="A231" s="1432">
        <v>224</v>
      </c>
      <c r="B231" s="1562" t="s">
        <v>8291</v>
      </c>
      <c r="C231" s="1563" t="s">
        <v>7798</v>
      </c>
      <c r="D231" s="1564"/>
      <c r="E231" s="1552">
        <v>0</v>
      </c>
      <c r="F231" s="1554">
        <v>30</v>
      </c>
      <c r="G231" s="1552">
        <v>0</v>
      </c>
      <c r="H231" s="1554">
        <v>0</v>
      </c>
      <c r="I231" s="1554">
        <f t="shared" si="54"/>
        <v>0</v>
      </c>
      <c r="J231" s="1565">
        <v>1</v>
      </c>
      <c r="K231" s="1565">
        <v>0</v>
      </c>
      <c r="L231" s="1564">
        <f t="shared" si="55"/>
        <v>0</v>
      </c>
      <c r="M231" s="1565">
        <v>1</v>
      </c>
      <c r="N231" s="1566">
        <v>2000</v>
      </c>
      <c r="O231" s="1566">
        <v>2000</v>
      </c>
      <c r="P231" s="1565">
        <v>1</v>
      </c>
      <c r="Q231" s="1565">
        <f t="shared" si="51"/>
        <v>2000</v>
      </c>
      <c r="R231" s="1564"/>
      <c r="S231" s="1564"/>
      <c r="T231" s="1565"/>
      <c r="U231" s="1564"/>
      <c r="V231" s="1565"/>
      <c r="W231" s="1564"/>
      <c r="X231" s="1554">
        <f t="shared" si="47"/>
        <v>1</v>
      </c>
      <c r="Y231" s="1565">
        <f t="shared" si="45"/>
        <v>2000</v>
      </c>
      <c r="Z231" s="1556" t="s">
        <v>7799</v>
      </c>
      <c r="AA231" s="1557" t="s">
        <v>6525</v>
      </c>
      <c r="AB231" s="1487" t="str">
        <f t="shared" si="46"/>
        <v>ok</v>
      </c>
      <c r="AC231" s="1487" t="str">
        <f t="shared" si="48"/>
        <v>ok</v>
      </c>
    </row>
    <row r="232" spans="1:29" s="1388" customFormat="1" ht="22.5" customHeight="1" x14ac:dyDescent="0.25">
      <c r="A232" s="1432">
        <v>225</v>
      </c>
      <c r="B232" s="1562" t="s">
        <v>8292</v>
      </c>
      <c r="C232" s="1563" t="s">
        <v>8052</v>
      </c>
      <c r="D232" s="1564"/>
      <c r="E232" s="1552">
        <v>0</v>
      </c>
      <c r="F232" s="1554">
        <v>30</v>
      </c>
      <c r="G232" s="1552">
        <v>0</v>
      </c>
      <c r="H232" s="1554">
        <v>0</v>
      </c>
      <c r="I232" s="1554">
        <f t="shared" si="54"/>
        <v>0</v>
      </c>
      <c r="J232" s="1565">
        <v>1</v>
      </c>
      <c r="K232" s="1565">
        <v>0</v>
      </c>
      <c r="L232" s="1564">
        <f t="shared" si="55"/>
        <v>0</v>
      </c>
      <c r="M232" s="1565">
        <v>1</v>
      </c>
      <c r="N232" s="1566">
        <v>3000</v>
      </c>
      <c r="O232" s="1566">
        <v>3000</v>
      </c>
      <c r="P232" s="1565">
        <v>1</v>
      </c>
      <c r="Q232" s="1565">
        <f t="shared" si="51"/>
        <v>3000</v>
      </c>
      <c r="R232" s="1564"/>
      <c r="S232" s="1564"/>
      <c r="T232" s="1565"/>
      <c r="U232" s="1564"/>
      <c r="V232" s="1565"/>
      <c r="W232" s="1564"/>
      <c r="X232" s="1554">
        <f t="shared" si="47"/>
        <v>1</v>
      </c>
      <c r="Y232" s="1565">
        <f t="shared" si="45"/>
        <v>3000</v>
      </c>
      <c r="Z232" s="1556" t="s">
        <v>7799</v>
      </c>
      <c r="AA232" s="1557" t="s">
        <v>6525</v>
      </c>
      <c r="AB232" s="1487" t="str">
        <f t="shared" si="46"/>
        <v>ok</v>
      </c>
      <c r="AC232" s="1487" t="str">
        <f t="shared" si="48"/>
        <v>ok</v>
      </c>
    </row>
    <row r="233" spans="1:29" s="1395" customFormat="1" ht="23.25" customHeight="1" x14ac:dyDescent="0.6">
      <c r="A233" s="1568" t="s">
        <v>7433</v>
      </c>
      <c r="B233" s="1568"/>
      <c r="C233" s="1568"/>
      <c r="D233" s="1390">
        <f>SUM(D8:D215)</f>
        <v>1468</v>
      </c>
      <c r="E233" s="1569">
        <f>SUM(E8:E232)</f>
        <v>1558759.3</v>
      </c>
      <c r="F233" s="1569">
        <f t="shared" ref="F233:Y233" si="56">SUM(F8:F232)</f>
        <v>2443</v>
      </c>
      <c r="G233" s="1569">
        <f t="shared" si="56"/>
        <v>1634724.3</v>
      </c>
      <c r="H233" s="1569">
        <f t="shared" si="56"/>
        <v>99206</v>
      </c>
      <c r="I233" s="1569">
        <f t="shared" si="56"/>
        <v>3145082.87</v>
      </c>
      <c r="J233" s="1569">
        <f t="shared" si="56"/>
        <v>102999</v>
      </c>
      <c r="K233" s="1569">
        <f t="shared" si="56"/>
        <v>12391</v>
      </c>
      <c r="L233" s="1569">
        <f t="shared" si="56"/>
        <v>574819.44999999995</v>
      </c>
      <c r="M233" s="1569">
        <f t="shared" si="56"/>
        <v>90638</v>
      </c>
      <c r="N233" s="1569">
        <f t="shared" si="56"/>
        <v>96947.110000000015</v>
      </c>
      <c r="O233" s="1569">
        <f t="shared" si="56"/>
        <v>3230729.49</v>
      </c>
      <c r="P233" s="1569">
        <f t="shared" si="56"/>
        <v>15248</v>
      </c>
      <c r="Q233" s="1569">
        <f t="shared" si="56"/>
        <v>605892.16</v>
      </c>
      <c r="R233" s="1569">
        <f t="shared" si="56"/>
        <v>29418</v>
      </c>
      <c r="S233" s="1569">
        <f t="shared" si="56"/>
        <v>1048080.4199999999</v>
      </c>
      <c r="T233" s="1569">
        <f t="shared" si="56"/>
        <v>29074</v>
      </c>
      <c r="U233" s="1569">
        <f t="shared" si="56"/>
        <v>1081485.26</v>
      </c>
      <c r="V233" s="1569">
        <f t="shared" si="56"/>
        <v>16898</v>
      </c>
      <c r="W233" s="1569">
        <f t="shared" si="56"/>
        <v>494131.65</v>
      </c>
      <c r="X233" s="1569">
        <f t="shared" si="56"/>
        <v>90638</v>
      </c>
      <c r="Y233" s="1569">
        <f t="shared" si="56"/>
        <v>3230729.49</v>
      </c>
      <c r="Z233" s="1569"/>
      <c r="AA233" s="1390"/>
      <c r="AB233" s="1487" t="str">
        <f>IF(O233=Y233,"ok")</f>
        <v>ok</v>
      </c>
      <c r="AC233" s="1487" t="str">
        <f t="shared" si="48"/>
        <v>ok</v>
      </c>
    </row>
    <row r="234" spans="1:29" ht="20.25" customHeight="1" x14ac:dyDescent="0.6">
      <c r="C234" s="1288"/>
      <c r="D234" s="1288"/>
      <c r="E234" s="1288"/>
      <c r="F234" s="1288"/>
      <c r="G234" s="1288"/>
      <c r="H234" s="1288"/>
      <c r="I234" s="1288"/>
      <c r="J234" s="1288"/>
      <c r="K234" s="1288"/>
      <c r="L234" s="1288"/>
      <c r="M234" s="1288"/>
      <c r="N234" s="1400"/>
      <c r="O234" s="1400"/>
      <c r="P234" s="1400"/>
      <c r="Q234" s="1400"/>
      <c r="R234" s="1400"/>
      <c r="S234" s="1400"/>
      <c r="T234" s="1400"/>
      <c r="U234" s="1400"/>
      <c r="V234" s="1400"/>
      <c r="W234" s="1400"/>
      <c r="X234" s="1288"/>
      <c r="Y234" s="1288"/>
    </row>
    <row r="235" spans="1:29" ht="20.25" customHeight="1" x14ac:dyDescent="0.6">
      <c r="C235" s="1288"/>
    </row>
    <row r="236" spans="1:29" ht="20.25" customHeight="1" x14ac:dyDescent="0.6">
      <c r="B236" s="1290"/>
      <c r="G236" s="1288"/>
      <c r="N236" s="1290"/>
      <c r="O236" s="1290"/>
      <c r="P236" s="1290"/>
      <c r="Q236" s="1290"/>
      <c r="R236" s="1290"/>
      <c r="S236" s="1290"/>
      <c r="T236" s="1290"/>
      <c r="U236" s="1290"/>
      <c r="V236" s="1290"/>
      <c r="W236" s="1290"/>
      <c r="Z236" s="1290"/>
    </row>
    <row r="237" spans="1:29" ht="20.25" customHeight="1" x14ac:dyDescent="0.6">
      <c r="B237" s="1290"/>
      <c r="G237" s="1288"/>
      <c r="N237" s="1290"/>
      <c r="O237" s="1290"/>
      <c r="P237" s="1290"/>
      <c r="Q237" s="1290"/>
      <c r="R237" s="1290"/>
      <c r="S237" s="1290"/>
      <c r="T237" s="1290"/>
      <c r="U237" s="1290"/>
      <c r="V237" s="1290"/>
      <c r="W237" s="1290"/>
      <c r="Z237" s="1290"/>
    </row>
    <row r="238" spans="1:29" ht="20.25" customHeight="1" x14ac:dyDescent="0.6">
      <c r="B238" s="1290"/>
      <c r="G238" s="1288"/>
      <c r="N238" s="1290"/>
      <c r="O238" s="1290"/>
      <c r="P238" s="1290"/>
      <c r="Q238" s="1290"/>
      <c r="R238" s="1290"/>
      <c r="S238" s="1290"/>
      <c r="T238" s="1290"/>
      <c r="U238" s="1290"/>
      <c r="V238" s="1290"/>
      <c r="W238" s="1290"/>
      <c r="Z238" s="1290"/>
    </row>
    <row r="239" spans="1:29" ht="20.25" customHeight="1" x14ac:dyDescent="0.6">
      <c r="B239" s="1290"/>
      <c r="G239" s="1288"/>
      <c r="N239" s="1290"/>
      <c r="O239" s="1290"/>
      <c r="P239" s="1290"/>
      <c r="Q239" s="1290"/>
      <c r="R239" s="1290"/>
      <c r="S239" s="1290"/>
      <c r="Z239" s="1404"/>
    </row>
    <row r="240" spans="1:29" ht="20.25" customHeight="1" x14ac:dyDescent="0.6"/>
    <row r="241" spans="1:27" ht="20.25" customHeight="1" x14ac:dyDescent="0.6"/>
    <row r="242" spans="1:27" ht="20.25" customHeight="1" x14ac:dyDescent="0.6">
      <c r="AA242" s="1512"/>
    </row>
    <row r="248" spans="1:27" x14ac:dyDescent="0.6">
      <c r="A248" s="1513"/>
      <c r="N248" s="1288"/>
      <c r="O248" s="1290"/>
      <c r="Z248" s="1290"/>
    </row>
    <row r="249" spans="1:27" x14ac:dyDescent="0.6">
      <c r="A249" s="1513"/>
      <c r="N249" s="1288"/>
      <c r="O249" s="1290"/>
      <c r="Z249" s="1290"/>
    </row>
    <row r="250" spans="1:27" x14ac:dyDescent="0.6">
      <c r="A250" s="1513"/>
      <c r="N250" s="1288"/>
      <c r="O250" s="1290"/>
      <c r="Z250" s="1290"/>
    </row>
    <row r="251" spans="1:27" x14ac:dyDescent="0.6">
      <c r="A251" s="1513"/>
      <c r="N251" s="1288"/>
      <c r="O251" s="1290"/>
      <c r="Z251" s="1290"/>
    </row>
    <row r="252" spans="1:27" x14ac:dyDescent="0.6">
      <c r="A252" s="1513"/>
      <c r="N252" s="1288"/>
      <c r="O252" s="1290"/>
      <c r="Z252" s="1290"/>
    </row>
    <row r="253" spans="1:27" x14ac:dyDescent="0.6">
      <c r="A253" s="1513"/>
      <c r="N253" s="1288"/>
      <c r="O253" s="1290"/>
      <c r="Z253" s="1290"/>
    </row>
    <row r="254" spans="1:27" x14ac:dyDescent="0.6">
      <c r="A254" s="1513"/>
      <c r="N254" s="1288"/>
      <c r="O254" s="1290"/>
      <c r="Z254" s="1290"/>
    </row>
    <row r="255" spans="1:27" x14ac:dyDescent="0.6">
      <c r="A255" s="1513"/>
      <c r="N255" s="1288"/>
      <c r="O255" s="1290"/>
      <c r="Z255" s="1290"/>
    </row>
    <row r="256" spans="1:27" x14ac:dyDescent="0.6">
      <c r="A256" s="1513"/>
      <c r="N256" s="1288"/>
      <c r="O256" s="1290"/>
      <c r="Z256" s="1290"/>
    </row>
    <row r="257" spans="1:26" x14ac:dyDescent="0.6">
      <c r="A257" s="1513"/>
      <c r="N257" s="1288"/>
      <c r="O257" s="1290"/>
      <c r="Z257" s="1290"/>
    </row>
    <row r="258" spans="1:26" x14ac:dyDescent="0.6">
      <c r="A258" s="1513"/>
      <c r="N258" s="1288"/>
      <c r="O258" s="1290"/>
      <c r="Z258" s="1290"/>
    </row>
    <row r="259" spans="1:26" x14ac:dyDescent="0.6">
      <c r="A259" s="1513"/>
      <c r="N259" s="1288"/>
      <c r="O259" s="1290"/>
      <c r="Z259" s="1290"/>
    </row>
    <row r="260" spans="1:26" x14ac:dyDescent="0.6">
      <c r="A260" s="1513"/>
      <c r="N260" s="1288"/>
      <c r="O260" s="1290"/>
      <c r="Z260" s="1290"/>
    </row>
    <row r="261" spans="1:26" x14ac:dyDescent="0.6">
      <c r="A261" s="1513"/>
      <c r="N261" s="1288"/>
      <c r="O261" s="1290"/>
      <c r="Z261" s="1290"/>
    </row>
    <row r="262" spans="1:26" x14ac:dyDescent="0.6">
      <c r="A262" s="1513"/>
      <c r="N262" s="1288"/>
      <c r="O262" s="1290"/>
      <c r="Z262" s="1290"/>
    </row>
    <row r="263" spans="1:26" x14ac:dyDescent="0.6">
      <c r="A263" s="1513"/>
      <c r="N263" s="1288"/>
      <c r="O263" s="1290"/>
      <c r="Z263" s="1290"/>
    </row>
    <row r="264" spans="1:26" x14ac:dyDescent="0.6">
      <c r="A264" s="1513"/>
      <c r="N264" s="1288"/>
      <c r="O264" s="1290"/>
      <c r="Z264" s="1290"/>
    </row>
    <row r="265" spans="1:26" x14ac:dyDescent="0.6">
      <c r="A265" s="1513"/>
      <c r="N265" s="1288"/>
      <c r="O265" s="1290"/>
      <c r="Z265" s="1290"/>
    </row>
    <row r="266" spans="1:26" x14ac:dyDescent="0.6">
      <c r="A266" s="1513"/>
      <c r="N266" s="1288"/>
      <c r="O266" s="1290"/>
      <c r="Z266" s="1290"/>
    </row>
    <row r="267" spans="1:26" x14ac:dyDescent="0.6">
      <c r="A267" s="1513"/>
      <c r="N267" s="1288"/>
      <c r="O267" s="1290"/>
      <c r="Z267" s="1290"/>
    </row>
    <row r="268" spans="1:26" x14ac:dyDescent="0.6">
      <c r="A268" s="1513"/>
      <c r="N268" s="1288"/>
      <c r="O268" s="1290"/>
      <c r="Z268" s="1290"/>
    </row>
    <row r="269" spans="1:26" x14ac:dyDescent="0.6">
      <c r="A269" s="1513"/>
      <c r="N269" s="1288"/>
      <c r="O269" s="1290"/>
      <c r="Z269" s="1290"/>
    </row>
    <row r="270" spans="1:26" x14ac:dyDescent="0.6">
      <c r="A270" s="1513"/>
      <c r="N270" s="1288"/>
      <c r="O270" s="1290"/>
      <c r="Z270" s="1290"/>
    </row>
    <row r="271" spans="1:26" x14ac:dyDescent="0.6">
      <c r="A271" s="1513"/>
      <c r="N271" s="1288"/>
      <c r="O271" s="1290"/>
      <c r="Z271" s="1290"/>
    </row>
    <row r="272" spans="1:26" x14ac:dyDescent="0.6">
      <c r="A272" s="1513"/>
      <c r="N272" s="1288"/>
      <c r="O272" s="1290"/>
      <c r="Z272" s="1290"/>
    </row>
    <row r="273" spans="1:26" x14ac:dyDescent="0.6">
      <c r="A273" s="1513"/>
      <c r="N273" s="1288"/>
      <c r="O273" s="1290"/>
      <c r="Z273" s="1290"/>
    </row>
    <row r="274" spans="1:26" x14ac:dyDescent="0.6">
      <c r="A274" s="1513"/>
      <c r="N274" s="1288"/>
      <c r="O274" s="1290"/>
      <c r="Z274" s="1290"/>
    </row>
    <row r="275" spans="1:26" x14ac:dyDescent="0.6">
      <c r="A275" s="1513"/>
      <c r="N275" s="1288"/>
      <c r="O275" s="1290"/>
      <c r="Z275" s="1290"/>
    </row>
    <row r="276" spans="1:26" x14ac:dyDescent="0.6">
      <c r="A276" s="1513"/>
      <c r="N276" s="1288"/>
      <c r="O276" s="1290"/>
      <c r="Z276" s="1290"/>
    </row>
    <row r="277" spans="1:26" x14ac:dyDescent="0.6">
      <c r="A277" s="1513"/>
      <c r="N277" s="1288"/>
      <c r="O277" s="1290"/>
      <c r="Z277" s="1290"/>
    </row>
    <row r="278" spans="1:26" x14ac:dyDescent="0.6">
      <c r="A278" s="1513"/>
      <c r="N278" s="1288"/>
      <c r="O278" s="1290"/>
      <c r="Z278" s="1290"/>
    </row>
    <row r="279" spans="1:26" x14ac:dyDescent="0.6">
      <c r="A279" s="1513"/>
      <c r="N279" s="1288"/>
      <c r="O279" s="1290"/>
      <c r="Z279" s="1290"/>
    </row>
    <row r="280" spans="1:26" x14ac:dyDescent="0.6">
      <c r="A280" s="1513"/>
      <c r="N280" s="1288"/>
      <c r="O280" s="1290"/>
      <c r="Z280" s="1290"/>
    </row>
    <row r="281" spans="1:26" x14ac:dyDescent="0.6">
      <c r="A281" s="1513"/>
      <c r="N281" s="1288"/>
      <c r="O281" s="1290"/>
      <c r="Z281" s="1290"/>
    </row>
    <row r="282" spans="1:26" x14ac:dyDescent="0.6">
      <c r="A282" s="1513"/>
      <c r="N282" s="1288"/>
      <c r="O282" s="1290"/>
      <c r="Z282" s="1290"/>
    </row>
    <row r="283" spans="1:26" x14ac:dyDescent="0.6">
      <c r="A283" s="1513"/>
      <c r="N283" s="1288"/>
      <c r="O283" s="1290"/>
      <c r="Z283" s="1290"/>
    </row>
    <row r="284" spans="1:26" x14ac:dyDescent="0.6">
      <c r="A284" s="1513"/>
      <c r="N284" s="1288"/>
      <c r="O284" s="1290"/>
      <c r="Z284" s="1290"/>
    </row>
    <row r="285" spans="1:26" x14ac:dyDescent="0.6">
      <c r="A285" s="1513"/>
      <c r="N285" s="1288"/>
      <c r="O285" s="1290"/>
      <c r="Z285" s="1290"/>
    </row>
    <row r="286" spans="1:26" x14ac:dyDescent="0.6">
      <c r="A286" s="1513"/>
      <c r="N286" s="1288"/>
      <c r="O286" s="1290"/>
      <c r="Z286" s="1290"/>
    </row>
    <row r="287" spans="1:26" x14ac:dyDescent="0.6">
      <c r="A287" s="1513"/>
      <c r="N287" s="1288"/>
      <c r="O287" s="1290"/>
      <c r="Z287" s="1290"/>
    </row>
    <row r="288" spans="1:26" x14ac:dyDescent="0.6">
      <c r="A288" s="1513"/>
      <c r="N288" s="1288"/>
      <c r="O288" s="1290"/>
      <c r="Z288" s="1290"/>
    </row>
    <row r="289" spans="1:26" x14ac:dyDescent="0.6">
      <c r="A289" s="1513"/>
      <c r="N289" s="1288"/>
      <c r="O289" s="1290"/>
      <c r="Z289" s="1290"/>
    </row>
    <row r="290" spans="1:26" x14ac:dyDescent="0.6">
      <c r="A290" s="1513"/>
      <c r="N290" s="1288"/>
      <c r="O290" s="1290"/>
      <c r="Z290" s="1290"/>
    </row>
    <row r="291" spans="1:26" x14ac:dyDescent="0.6">
      <c r="A291" s="1513"/>
      <c r="N291" s="1288"/>
      <c r="O291" s="1290"/>
      <c r="Z291" s="1290"/>
    </row>
    <row r="292" spans="1:26" x14ac:dyDescent="0.6">
      <c r="A292" s="1513"/>
      <c r="N292" s="1288"/>
      <c r="O292" s="1290"/>
      <c r="Z292" s="1290"/>
    </row>
    <row r="293" spans="1:26" x14ac:dyDescent="0.6">
      <c r="A293" s="1513"/>
      <c r="N293" s="1288"/>
      <c r="O293" s="1290"/>
      <c r="Z293" s="1290"/>
    </row>
    <row r="294" spans="1:26" x14ac:dyDescent="0.6">
      <c r="A294" s="1513"/>
      <c r="N294" s="1288"/>
      <c r="O294" s="1290"/>
      <c r="Z294" s="1290"/>
    </row>
    <row r="295" spans="1:26" x14ac:dyDescent="0.6">
      <c r="A295" s="1513"/>
      <c r="N295" s="1288"/>
      <c r="O295" s="1290"/>
      <c r="Z295" s="1290"/>
    </row>
    <row r="296" spans="1:26" x14ac:dyDescent="0.6">
      <c r="A296" s="1513"/>
      <c r="N296" s="1288"/>
      <c r="O296" s="1290"/>
      <c r="Z296" s="1290"/>
    </row>
    <row r="297" spans="1:26" x14ac:dyDescent="0.6">
      <c r="A297" s="1513"/>
      <c r="N297" s="1288"/>
      <c r="O297" s="1290"/>
      <c r="Z297" s="1290"/>
    </row>
    <row r="298" spans="1:26" x14ac:dyDescent="0.6">
      <c r="A298" s="1513"/>
      <c r="N298" s="1288"/>
      <c r="O298" s="1290"/>
      <c r="Z298" s="1290"/>
    </row>
    <row r="299" spans="1:26" x14ac:dyDescent="0.6">
      <c r="A299" s="1513"/>
      <c r="N299" s="1288"/>
      <c r="O299" s="1290"/>
      <c r="Z299" s="1290"/>
    </row>
    <row r="300" spans="1:26" x14ac:dyDescent="0.6">
      <c r="A300" s="1513"/>
      <c r="N300" s="1288"/>
      <c r="O300" s="1290"/>
      <c r="Z300" s="1290"/>
    </row>
    <row r="301" spans="1:26" x14ac:dyDescent="0.6">
      <c r="A301" s="1513"/>
      <c r="N301" s="1288"/>
      <c r="O301" s="1290"/>
      <c r="Z301" s="1290"/>
    </row>
    <row r="302" spans="1:26" x14ac:dyDescent="0.6">
      <c r="A302" s="1513"/>
      <c r="N302" s="1288"/>
      <c r="O302" s="1290"/>
      <c r="Z302" s="1290"/>
    </row>
    <row r="303" spans="1:26" x14ac:dyDescent="0.6">
      <c r="A303" s="1513"/>
      <c r="N303" s="1288"/>
      <c r="O303" s="1290"/>
      <c r="Z303" s="1290"/>
    </row>
    <row r="304" spans="1:26" x14ac:dyDescent="0.6">
      <c r="A304" s="1513"/>
      <c r="N304" s="1288"/>
      <c r="O304" s="1290"/>
      <c r="Z304" s="1290"/>
    </row>
    <row r="305" spans="1:26" x14ac:dyDescent="0.6">
      <c r="A305" s="1513"/>
      <c r="N305" s="1288"/>
      <c r="O305" s="1290"/>
      <c r="Z305" s="1290"/>
    </row>
    <row r="306" spans="1:26" x14ac:dyDescent="0.6">
      <c r="A306" s="1513"/>
      <c r="N306" s="1288"/>
      <c r="O306" s="1290"/>
      <c r="Z306" s="1290"/>
    </row>
    <row r="307" spans="1:26" x14ac:dyDescent="0.6">
      <c r="A307" s="1513"/>
      <c r="N307" s="1288"/>
      <c r="O307" s="1290"/>
      <c r="Z307" s="1290"/>
    </row>
    <row r="308" spans="1:26" x14ac:dyDescent="0.6">
      <c r="A308" s="1513"/>
      <c r="N308" s="1288"/>
      <c r="O308" s="1290"/>
      <c r="Z308" s="1290"/>
    </row>
    <row r="309" spans="1:26" x14ac:dyDescent="0.6">
      <c r="A309" s="1513"/>
      <c r="N309" s="1288"/>
      <c r="O309" s="1290"/>
      <c r="Z309" s="1290"/>
    </row>
    <row r="310" spans="1:26" x14ac:dyDescent="0.6">
      <c r="A310" s="1513"/>
      <c r="N310" s="1288"/>
      <c r="O310" s="1290"/>
      <c r="Z310" s="1290"/>
    </row>
    <row r="311" spans="1:26" x14ac:dyDescent="0.6">
      <c r="A311" s="1513"/>
      <c r="N311" s="1288"/>
      <c r="O311" s="1290"/>
      <c r="Z311" s="1290"/>
    </row>
    <row r="312" spans="1:26" x14ac:dyDescent="0.6">
      <c r="A312" s="1513"/>
      <c r="N312" s="1288"/>
      <c r="O312" s="1290"/>
      <c r="Z312" s="1290"/>
    </row>
    <row r="313" spans="1:26" x14ac:dyDescent="0.6">
      <c r="A313" s="1513"/>
      <c r="N313" s="1288"/>
      <c r="O313" s="1290"/>
      <c r="Z313" s="1290"/>
    </row>
    <row r="314" spans="1:26" x14ac:dyDescent="0.6">
      <c r="A314" s="1513"/>
      <c r="N314" s="1288"/>
      <c r="O314" s="1290"/>
      <c r="Z314" s="1290"/>
    </row>
    <row r="315" spans="1:26" x14ac:dyDescent="0.6">
      <c r="A315" s="1513"/>
      <c r="N315" s="1288"/>
      <c r="O315" s="1290"/>
      <c r="Z315" s="1290"/>
    </row>
    <row r="316" spans="1:26" x14ac:dyDescent="0.6">
      <c r="A316" s="1513"/>
      <c r="N316" s="1288"/>
      <c r="O316" s="1290"/>
      <c r="Z316" s="1290"/>
    </row>
    <row r="317" spans="1:26" x14ac:dyDescent="0.6">
      <c r="A317" s="1513"/>
      <c r="N317" s="1288"/>
      <c r="O317" s="1290"/>
      <c r="Z317" s="1290"/>
    </row>
    <row r="318" spans="1:26" x14ac:dyDescent="0.6">
      <c r="A318" s="1513"/>
      <c r="N318" s="1288"/>
      <c r="O318" s="1290"/>
      <c r="Z318" s="1290"/>
    </row>
    <row r="319" spans="1:26" x14ac:dyDescent="0.6">
      <c r="A319" s="1513"/>
      <c r="N319" s="1288"/>
      <c r="O319" s="1290"/>
      <c r="Z319" s="1290"/>
    </row>
    <row r="320" spans="1:26" x14ac:dyDescent="0.6">
      <c r="A320" s="1513"/>
      <c r="N320" s="1288"/>
      <c r="O320" s="1290"/>
      <c r="Z320" s="1290"/>
    </row>
    <row r="321" spans="1:26" x14ac:dyDescent="0.6">
      <c r="A321" s="1513"/>
      <c r="N321" s="1288"/>
      <c r="O321" s="1290"/>
      <c r="Z321" s="1290"/>
    </row>
    <row r="322" spans="1:26" x14ac:dyDescent="0.6">
      <c r="A322" s="1513"/>
      <c r="N322" s="1288"/>
      <c r="O322" s="1290"/>
      <c r="Z322" s="1290"/>
    </row>
    <row r="323" spans="1:26" x14ac:dyDescent="0.6">
      <c r="A323" s="1513"/>
      <c r="N323" s="1288"/>
      <c r="O323" s="1290"/>
      <c r="Z323" s="1290"/>
    </row>
    <row r="324" spans="1:26" x14ac:dyDescent="0.6">
      <c r="A324" s="1513"/>
      <c r="N324" s="1288"/>
      <c r="O324" s="1290"/>
      <c r="Z324" s="1290"/>
    </row>
    <row r="325" spans="1:26" x14ac:dyDescent="0.6">
      <c r="A325" s="1513"/>
      <c r="N325" s="1288"/>
      <c r="O325" s="1290"/>
      <c r="Z325" s="1290"/>
    </row>
    <row r="326" spans="1:26" x14ac:dyDescent="0.6">
      <c r="A326" s="1513"/>
      <c r="N326" s="1288"/>
      <c r="O326" s="1290"/>
      <c r="Z326" s="1290"/>
    </row>
    <row r="327" spans="1:26" x14ac:dyDescent="0.6">
      <c r="A327" s="1513"/>
      <c r="N327" s="1288"/>
      <c r="O327" s="1290"/>
      <c r="Z327" s="1290"/>
    </row>
    <row r="328" spans="1:26" x14ac:dyDescent="0.6">
      <c r="A328" s="1513"/>
      <c r="N328" s="1288"/>
      <c r="O328" s="1290"/>
      <c r="Z328" s="1290"/>
    </row>
    <row r="329" spans="1:26" x14ac:dyDescent="0.6">
      <c r="A329" s="1513"/>
      <c r="N329" s="1288"/>
      <c r="O329" s="1290"/>
      <c r="Z329" s="1290"/>
    </row>
    <row r="330" spans="1:26" x14ac:dyDescent="0.6">
      <c r="A330" s="1513"/>
      <c r="N330" s="1288"/>
      <c r="O330" s="1290"/>
      <c r="Z330" s="1290"/>
    </row>
    <row r="331" spans="1:26" x14ac:dyDescent="0.6">
      <c r="A331" s="1513"/>
      <c r="N331" s="1288"/>
      <c r="O331" s="1290"/>
      <c r="Z331" s="1290"/>
    </row>
    <row r="332" spans="1:26" x14ac:dyDescent="0.6">
      <c r="A332" s="1513"/>
      <c r="N332" s="1288"/>
      <c r="O332" s="1290"/>
      <c r="Z332" s="1290"/>
    </row>
    <row r="333" spans="1:26" x14ac:dyDescent="0.6">
      <c r="A333" s="1513"/>
      <c r="N333" s="1288"/>
      <c r="O333" s="1290"/>
      <c r="Z333" s="1290"/>
    </row>
    <row r="334" spans="1:26" x14ac:dyDescent="0.6">
      <c r="A334" s="1513"/>
      <c r="N334" s="1288"/>
      <c r="O334" s="1290"/>
      <c r="Z334" s="1290"/>
    </row>
    <row r="335" spans="1:26" x14ac:dyDescent="0.6">
      <c r="A335" s="1513"/>
      <c r="N335" s="1288"/>
      <c r="O335" s="1290"/>
      <c r="Z335" s="1290"/>
    </row>
    <row r="336" spans="1:26" x14ac:dyDescent="0.6">
      <c r="A336" s="1513"/>
      <c r="N336" s="1288"/>
      <c r="O336" s="1290"/>
      <c r="Z336" s="1290"/>
    </row>
    <row r="337" spans="1:26" x14ac:dyDescent="0.6">
      <c r="A337" s="1513"/>
      <c r="N337" s="1288"/>
      <c r="O337" s="1290"/>
      <c r="Z337" s="1290"/>
    </row>
    <row r="338" spans="1:26" x14ac:dyDescent="0.6">
      <c r="A338" s="1513"/>
      <c r="N338" s="1288"/>
      <c r="O338" s="1290"/>
      <c r="Z338" s="1290"/>
    </row>
    <row r="339" spans="1:26" x14ac:dyDescent="0.6">
      <c r="A339" s="1513"/>
      <c r="N339" s="1288"/>
      <c r="O339" s="1290"/>
      <c r="Z339" s="1290"/>
    </row>
    <row r="340" spans="1:26" x14ac:dyDescent="0.6">
      <c r="A340" s="1513"/>
      <c r="N340" s="1288"/>
      <c r="O340" s="1290"/>
      <c r="Z340" s="1290"/>
    </row>
    <row r="341" spans="1:26" x14ac:dyDescent="0.6">
      <c r="A341" s="1513"/>
      <c r="N341" s="1288"/>
      <c r="O341" s="1290"/>
      <c r="Z341" s="1290"/>
    </row>
    <row r="342" spans="1:26" x14ac:dyDescent="0.6">
      <c r="A342" s="1513"/>
      <c r="N342" s="1288"/>
      <c r="O342" s="1290"/>
      <c r="Z342" s="1290"/>
    </row>
    <row r="343" spans="1:26" x14ac:dyDescent="0.6">
      <c r="A343" s="1513"/>
      <c r="N343" s="1288"/>
      <c r="O343" s="1290"/>
      <c r="Z343" s="1290"/>
    </row>
    <row r="344" spans="1:26" x14ac:dyDescent="0.6">
      <c r="A344" s="1513"/>
      <c r="N344" s="1288"/>
      <c r="O344" s="1290"/>
      <c r="Z344" s="1290"/>
    </row>
    <row r="345" spans="1:26" x14ac:dyDescent="0.6">
      <c r="A345" s="1513"/>
      <c r="N345" s="1288"/>
      <c r="O345" s="1290"/>
      <c r="Z345" s="1290"/>
    </row>
    <row r="346" spans="1:26" x14ac:dyDescent="0.6">
      <c r="A346" s="1513"/>
      <c r="N346" s="1288"/>
      <c r="O346" s="1290"/>
      <c r="Z346" s="1290"/>
    </row>
    <row r="347" spans="1:26" x14ac:dyDescent="0.6">
      <c r="A347" s="1513"/>
      <c r="N347" s="1288"/>
      <c r="O347" s="1290"/>
      <c r="Z347" s="1290"/>
    </row>
    <row r="348" spans="1:26" x14ac:dyDescent="0.6">
      <c r="A348" s="1513"/>
      <c r="N348" s="1288"/>
      <c r="O348" s="1290"/>
      <c r="Z348" s="1290"/>
    </row>
    <row r="349" spans="1:26" x14ac:dyDescent="0.6">
      <c r="A349" s="1513"/>
      <c r="N349" s="1288"/>
      <c r="O349" s="1290"/>
      <c r="Z349" s="1290"/>
    </row>
    <row r="350" spans="1:26" x14ac:dyDescent="0.6">
      <c r="A350" s="1513"/>
      <c r="N350" s="1288"/>
      <c r="O350" s="1290"/>
      <c r="Z350" s="1290"/>
    </row>
    <row r="351" spans="1:26" x14ac:dyDescent="0.6">
      <c r="A351" s="1513"/>
      <c r="N351" s="1288"/>
      <c r="O351" s="1290"/>
      <c r="Z351" s="1290"/>
    </row>
    <row r="352" spans="1:26" x14ac:dyDescent="0.6">
      <c r="A352" s="1513"/>
      <c r="N352" s="1288"/>
      <c r="O352" s="1290"/>
      <c r="Z352" s="1290"/>
    </row>
    <row r="353" spans="1:26" x14ac:dyDescent="0.6">
      <c r="A353" s="1513"/>
      <c r="N353" s="1288"/>
      <c r="O353" s="1290"/>
      <c r="Z353" s="1290"/>
    </row>
    <row r="354" spans="1:26" x14ac:dyDescent="0.6">
      <c r="A354" s="1513"/>
      <c r="N354" s="1288"/>
      <c r="O354" s="1290"/>
      <c r="Z354" s="1290"/>
    </row>
    <row r="355" spans="1:26" x14ac:dyDescent="0.6">
      <c r="A355" s="1513"/>
      <c r="N355" s="1288"/>
      <c r="O355" s="1290"/>
      <c r="Z355" s="1290"/>
    </row>
    <row r="356" spans="1:26" x14ac:dyDescent="0.6">
      <c r="A356" s="1513"/>
      <c r="N356" s="1288"/>
      <c r="O356" s="1290"/>
      <c r="Z356" s="1290"/>
    </row>
    <row r="357" spans="1:26" x14ac:dyDescent="0.6">
      <c r="A357" s="1513"/>
      <c r="N357" s="1288"/>
      <c r="O357" s="1290"/>
      <c r="Z357" s="1290"/>
    </row>
    <row r="358" spans="1:26" x14ac:dyDescent="0.6">
      <c r="A358" s="1513"/>
      <c r="N358" s="1288"/>
      <c r="O358" s="1290"/>
      <c r="Z358" s="1290"/>
    </row>
    <row r="359" spans="1:26" x14ac:dyDescent="0.6">
      <c r="A359" s="1513"/>
      <c r="N359" s="1288"/>
      <c r="O359" s="1290"/>
      <c r="Z359" s="1290"/>
    </row>
    <row r="360" spans="1:26" x14ac:dyDescent="0.6">
      <c r="A360" s="1513"/>
      <c r="N360" s="1288"/>
      <c r="O360" s="1290"/>
      <c r="Z360" s="1290"/>
    </row>
    <row r="361" spans="1:26" x14ac:dyDescent="0.6">
      <c r="A361" s="1513"/>
      <c r="N361" s="1288"/>
      <c r="O361" s="1290"/>
      <c r="Z361" s="1290"/>
    </row>
    <row r="362" spans="1:26" x14ac:dyDescent="0.6">
      <c r="A362" s="1513"/>
      <c r="N362" s="1288"/>
      <c r="O362" s="1290"/>
      <c r="Z362" s="1290"/>
    </row>
    <row r="363" spans="1:26" x14ac:dyDescent="0.6">
      <c r="A363" s="1513"/>
      <c r="N363" s="1288"/>
      <c r="O363" s="1290"/>
      <c r="Z363" s="1290"/>
    </row>
    <row r="364" spans="1:26" x14ac:dyDescent="0.6">
      <c r="A364" s="1513"/>
      <c r="N364" s="1288"/>
      <c r="O364" s="1290"/>
      <c r="Z364" s="1290"/>
    </row>
    <row r="365" spans="1:26" x14ac:dyDescent="0.6">
      <c r="A365" s="1513"/>
      <c r="N365" s="1288"/>
      <c r="O365" s="1290"/>
      <c r="Z365" s="1290"/>
    </row>
    <row r="366" spans="1:26" x14ac:dyDescent="0.6">
      <c r="A366" s="1513"/>
      <c r="N366" s="1288"/>
      <c r="O366" s="1290"/>
      <c r="Z366" s="1290"/>
    </row>
    <row r="367" spans="1:26" x14ac:dyDescent="0.6">
      <c r="A367" s="1513"/>
      <c r="N367" s="1288"/>
      <c r="O367" s="1290"/>
      <c r="Z367" s="1290"/>
    </row>
    <row r="368" spans="1:26" x14ac:dyDescent="0.6">
      <c r="A368" s="1513"/>
      <c r="N368" s="1288"/>
      <c r="O368" s="1290"/>
      <c r="Z368" s="1290"/>
    </row>
    <row r="369" spans="1:26" x14ac:dyDescent="0.6">
      <c r="A369" s="1513"/>
      <c r="N369" s="1288"/>
      <c r="O369" s="1290"/>
      <c r="Z369" s="1290"/>
    </row>
    <row r="370" spans="1:26" x14ac:dyDescent="0.6">
      <c r="A370" s="1513"/>
      <c r="N370" s="1288"/>
      <c r="O370" s="1290"/>
      <c r="Z370" s="1290"/>
    </row>
    <row r="371" spans="1:26" x14ac:dyDescent="0.6">
      <c r="A371" s="1513"/>
      <c r="N371" s="1288"/>
      <c r="O371" s="1290"/>
      <c r="Z371" s="1290"/>
    </row>
    <row r="372" spans="1:26" x14ac:dyDescent="0.6">
      <c r="A372" s="1513"/>
      <c r="N372" s="1288"/>
      <c r="O372" s="1290"/>
      <c r="Z372" s="1290"/>
    </row>
    <row r="373" spans="1:26" x14ac:dyDescent="0.6">
      <c r="A373" s="1513"/>
      <c r="N373" s="1288"/>
      <c r="O373" s="1290"/>
      <c r="Z373" s="1290"/>
    </row>
    <row r="374" spans="1:26" x14ac:dyDescent="0.6">
      <c r="A374" s="1513"/>
      <c r="N374" s="1288"/>
      <c r="O374" s="1290"/>
      <c r="Z374" s="1290"/>
    </row>
    <row r="375" spans="1:26" x14ac:dyDescent="0.6">
      <c r="A375" s="1513"/>
      <c r="N375" s="1288"/>
      <c r="O375" s="1290"/>
      <c r="Z375" s="1290"/>
    </row>
    <row r="376" spans="1:26" x14ac:dyDescent="0.6">
      <c r="A376" s="1513"/>
      <c r="N376" s="1288"/>
      <c r="O376" s="1290"/>
      <c r="Z376" s="1290"/>
    </row>
    <row r="377" spans="1:26" x14ac:dyDescent="0.6">
      <c r="A377" s="1513"/>
      <c r="N377" s="1288"/>
      <c r="O377" s="1290"/>
      <c r="Z377" s="1290"/>
    </row>
    <row r="378" spans="1:26" x14ac:dyDescent="0.6">
      <c r="A378" s="1513"/>
      <c r="N378" s="1288"/>
      <c r="O378" s="1290"/>
      <c r="Z378" s="1290"/>
    </row>
    <row r="379" spans="1:26" x14ac:dyDescent="0.6">
      <c r="A379" s="1513"/>
      <c r="N379" s="1288"/>
      <c r="O379" s="1290"/>
      <c r="Z379" s="1290"/>
    </row>
    <row r="380" spans="1:26" x14ac:dyDescent="0.6">
      <c r="A380" s="1513"/>
      <c r="N380" s="1288"/>
      <c r="O380" s="1290"/>
      <c r="Z380" s="1290"/>
    </row>
    <row r="381" spans="1:26" x14ac:dyDescent="0.6">
      <c r="A381" s="1513"/>
      <c r="N381" s="1288"/>
      <c r="O381" s="1290"/>
      <c r="Z381" s="1290"/>
    </row>
    <row r="382" spans="1:26" x14ac:dyDescent="0.6">
      <c r="A382" s="1513"/>
      <c r="N382" s="1288"/>
      <c r="O382" s="1290"/>
      <c r="Z382" s="1290"/>
    </row>
    <row r="383" spans="1:26" x14ac:dyDescent="0.6">
      <c r="A383" s="1513"/>
      <c r="N383" s="1288"/>
      <c r="O383" s="1290"/>
      <c r="Z383" s="1290"/>
    </row>
    <row r="384" spans="1:26" x14ac:dyDescent="0.6">
      <c r="A384" s="1513"/>
      <c r="N384" s="1288"/>
      <c r="O384" s="1290"/>
      <c r="Z384" s="1290"/>
    </row>
    <row r="385" spans="1:26" x14ac:dyDescent="0.6">
      <c r="A385" s="1513"/>
      <c r="N385" s="1288"/>
      <c r="O385" s="1290"/>
      <c r="Z385" s="1290"/>
    </row>
    <row r="386" spans="1:26" x14ac:dyDescent="0.6">
      <c r="A386" s="1513"/>
      <c r="N386" s="1288"/>
      <c r="O386" s="1290"/>
      <c r="Z386" s="1290"/>
    </row>
    <row r="387" spans="1:26" x14ac:dyDescent="0.6">
      <c r="A387" s="1513"/>
      <c r="N387" s="1288"/>
      <c r="O387" s="1290"/>
      <c r="Z387" s="1290"/>
    </row>
    <row r="388" spans="1:26" x14ac:dyDescent="0.6">
      <c r="A388" s="1513"/>
      <c r="N388" s="1288"/>
      <c r="O388" s="1290"/>
      <c r="Z388" s="1290"/>
    </row>
    <row r="389" spans="1:26" x14ac:dyDescent="0.6">
      <c r="A389" s="1513"/>
      <c r="N389" s="1288"/>
      <c r="O389" s="1290"/>
      <c r="Z389" s="1290"/>
    </row>
    <row r="390" spans="1:26" x14ac:dyDescent="0.6">
      <c r="A390" s="1513"/>
      <c r="N390" s="1288"/>
      <c r="O390" s="1290"/>
      <c r="Z390" s="1290"/>
    </row>
    <row r="391" spans="1:26" x14ac:dyDescent="0.6">
      <c r="A391" s="1513"/>
      <c r="N391" s="1288"/>
      <c r="O391" s="1290"/>
      <c r="Z391" s="1290"/>
    </row>
    <row r="392" spans="1:26" x14ac:dyDescent="0.6">
      <c r="A392" s="1513"/>
      <c r="N392" s="1288"/>
      <c r="O392" s="1290"/>
      <c r="Z392" s="1290"/>
    </row>
    <row r="393" spans="1:26" x14ac:dyDescent="0.6">
      <c r="A393" s="1513"/>
      <c r="N393" s="1288"/>
      <c r="O393" s="1290"/>
      <c r="Z393" s="1290"/>
    </row>
    <row r="394" spans="1:26" x14ac:dyDescent="0.6">
      <c r="A394" s="1513"/>
      <c r="N394" s="1288"/>
      <c r="O394" s="1290"/>
      <c r="Z394" s="1290"/>
    </row>
    <row r="395" spans="1:26" x14ac:dyDescent="0.6">
      <c r="A395" s="1513"/>
      <c r="N395" s="1288"/>
      <c r="O395" s="1290"/>
      <c r="Z395" s="1290"/>
    </row>
    <row r="396" spans="1:26" x14ac:dyDescent="0.6">
      <c r="A396" s="1513"/>
      <c r="N396" s="1288"/>
      <c r="O396" s="1290"/>
      <c r="Z396" s="1290"/>
    </row>
    <row r="397" spans="1:26" x14ac:dyDescent="0.6">
      <c r="A397" s="1513"/>
      <c r="N397" s="1288"/>
      <c r="O397" s="1290"/>
      <c r="Z397" s="1290"/>
    </row>
    <row r="398" spans="1:26" x14ac:dyDescent="0.6">
      <c r="A398" s="1513"/>
      <c r="N398" s="1288"/>
      <c r="O398" s="1290"/>
      <c r="Z398" s="1290"/>
    </row>
    <row r="399" spans="1:26" x14ac:dyDescent="0.6">
      <c r="A399" s="1513"/>
      <c r="N399" s="1288"/>
      <c r="O399" s="1290"/>
      <c r="Z399" s="1290"/>
    </row>
    <row r="400" spans="1:26" x14ac:dyDescent="0.6">
      <c r="A400" s="1513"/>
      <c r="N400" s="1288"/>
      <c r="O400" s="1290"/>
      <c r="Z400" s="1290"/>
    </row>
    <row r="401" spans="1:26" x14ac:dyDescent="0.6">
      <c r="A401" s="1513"/>
      <c r="N401" s="1288"/>
      <c r="O401" s="1290"/>
      <c r="Z401" s="1290"/>
    </row>
    <row r="402" spans="1:26" x14ac:dyDescent="0.6">
      <c r="A402" s="1513"/>
      <c r="N402" s="1288"/>
      <c r="O402" s="1290"/>
      <c r="Z402" s="1290"/>
    </row>
    <row r="403" spans="1:26" x14ac:dyDescent="0.6">
      <c r="A403" s="1513"/>
      <c r="N403" s="1288"/>
      <c r="O403" s="1290"/>
      <c r="Z403" s="1290"/>
    </row>
    <row r="404" spans="1:26" x14ac:dyDescent="0.6">
      <c r="A404" s="1513"/>
      <c r="N404" s="1288"/>
      <c r="O404" s="1290"/>
      <c r="Z404" s="1290"/>
    </row>
    <row r="405" spans="1:26" x14ac:dyDescent="0.6">
      <c r="A405" s="1513"/>
      <c r="N405" s="1288"/>
      <c r="O405" s="1290"/>
      <c r="Z405" s="1290"/>
    </row>
    <row r="406" spans="1:26" x14ac:dyDescent="0.6">
      <c r="A406" s="1513"/>
      <c r="N406" s="1288"/>
      <c r="O406" s="1290"/>
      <c r="Z406" s="1290"/>
    </row>
    <row r="407" spans="1:26" x14ac:dyDescent="0.6">
      <c r="A407" s="1513"/>
      <c r="N407" s="1288"/>
      <c r="O407" s="1290"/>
      <c r="Z407" s="1290"/>
    </row>
    <row r="408" spans="1:26" x14ac:dyDescent="0.6">
      <c r="A408" s="1513"/>
      <c r="N408" s="1288"/>
      <c r="O408" s="1290"/>
      <c r="Z408" s="1290"/>
    </row>
    <row r="409" spans="1:26" x14ac:dyDescent="0.6">
      <c r="A409" s="1513"/>
      <c r="N409" s="1288"/>
      <c r="O409" s="1290"/>
      <c r="Z409" s="1290"/>
    </row>
    <row r="410" spans="1:26" x14ac:dyDescent="0.6">
      <c r="A410" s="1513"/>
      <c r="N410" s="1288"/>
      <c r="O410" s="1290"/>
      <c r="Z410" s="1290"/>
    </row>
    <row r="411" spans="1:26" x14ac:dyDescent="0.6">
      <c r="A411" s="1513"/>
      <c r="N411" s="1288"/>
      <c r="O411" s="1290"/>
      <c r="Z411" s="1290"/>
    </row>
    <row r="412" spans="1:26" x14ac:dyDescent="0.6">
      <c r="A412" s="1513"/>
      <c r="N412" s="1288"/>
      <c r="O412" s="1290"/>
      <c r="Z412" s="1290"/>
    </row>
    <row r="413" spans="1:26" x14ac:dyDescent="0.6">
      <c r="A413" s="1513"/>
      <c r="N413" s="1288"/>
      <c r="O413" s="1290"/>
      <c r="Z413" s="1290"/>
    </row>
    <row r="414" spans="1:26" x14ac:dyDescent="0.6">
      <c r="A414" s="1513"/>
      <c r="N414" s="1288"/>
      <c r="O414" s="1290"/>
      <c r="Z414" s="1290"/>
    </row>
    <row r="415" spans="1:26" x14ac:dyDescent="0.6">
      <c r="A415" s="1513"/>
      <c r="N415" s="1288"/>
      <c r="O415" s="1290"/>
      <c r="Z415" s="1290"/>
    </row>
    <row r="416" spans="1:26" x14ac:dyDescent="0.6">
      <c r="A416" s="1513"/>
      <c r="N416" s="1288"/>
      <c r="O416" s="1290"/>
      <c r="Z416" s="1290"/>
    </row>
    <row r="417" spans="1:26" x14ac:dyDescent="0.6">
      <c r="A417" s="1513"/>
      <c r="N417" s="1288"/>
      <c r="O417" s="1290"/>
      <c r="Z417" s="1290"/>
    </row>
    <row r="418" spans="1:26" x14ac:dyDescent="0.6">
      <c r="A418" s="1513"/>
      <c r="N418" s="1288"/>
      <c r="O418" s="1290"/>
      <c r="Z418" s="1290"/>
    </row>
    <row r="419" spans="1:26" x14ac:dyDescent="0.6">
      <c r="A419" s="1513"/>
      <c r="N419" s="1288"/>
      <c r="O419" s="1290"/>
      <c r="Z419" s="1290"/>
    </row>
    <row r="420" spans="1:26" x14ac:dyDescent="0.6">
      <c r="A420" s="1513"/>
      <c r="N420" s="1288"/>
      <c r="O420" s="1290"/>
      <c r="Z420" s="1290"/>
    </row>
    <row r="421" spans="1:26" x14ac:dyDescent="0.6">
      <c r="A421" s="1513"/>
      <c r="N421" s="1288"/>
      <c r="O421" s="1290"/>
      <c r="Z421" s="1290"/>
    </row>
    <row r="422" spans="1:26" x14ac:dyDescent="0.6">
      <c r="A422" s="1513"/>
      <c r="N422" s="1288"/>
      <c r="O422" s="1290"/>
      <c r="Z422" s="1290"/>
    </row>
    <row r="423" spans="1:26" x14ac:dyDescent="0.6">
      <c r="A423" s="1513"/>
      <c r="N423" s="1288"/>
      <c r="O423" s="1290"/>
      <c r="Z423" s="1290"/>
    </row>
    <row r="424" spans="1:26" x14ac:dyDescent="0.6">
      <c r="A424" s="1513"/>
      <c r="N424" s="1288"/>
      <c r="O424" s="1290"/>
      <c r="Z424" s="1290"/>
    </row>
    <row r="425" spans="1:26" x14ac:dyDescent="0.6">
      <c r="A425" s="1513"/>
      <c r="N425" s="1288"/>
      <c r="O425" s="1290"/>
      <c r="Z425" s="1290"/>
    </row>
    <row r="426" spans="1:26" x14ac:dyDescent="0.6">
      <c r="A426" s="1513"/>
      <c r="N426" s="1288"/>
      <c r="O426" s="1290"/>
      <c r="Z426" s="1290"/>
    </row>
    <row r="427" spans="1:26" x14ac:dyDescent="0.6">
      <c r="A427" s="1513"/>
      <c r="N427" s="1288"/>
      <c r="O427" s="1290"/>
      <c r="Z427" s="1290"/>
    </row>
    <row r="428" spans="1:26" x14ac:dyDescent="0.6">
      <c r="A428" s="1513"/>
      <c r="N428" s="1288"/>
      <c r="O428" s="1290"/>
      <c r="Z428" s="1290"/>
    </row>
    <row r="429" spans="1:26" x14ac:dyDescent="0.6">
      <c r="A429" s="1513"/>
      <c r="N429" s="1288"/>
      <c r="O429" s="1290"/>
      <c r="Z429" s="1290"/>
    </row>
    <row r="430" spans="1:26" x14ac:dyDescent="0.6">
      <c r="A430" s="1513"/>
      <c r="N430" s="1288"/>
      <c r="O430" s="1290"/>
      <c r="Z430" s="1290"/>
    </row>
    <row r="431" spans="1:26" x14ac:dyDescent="0.6">
      <c r="A431" s="1513"/>
      <c r="N431" s="1288"/>
      <c r="O431" s="1290"/>
      <c r="Z431" s="1290"/>
    </row>
    <row r="432" spans="1:26" x14ac:dyDescent="0.6">
      <c r="A432" s="1513"/>
      <c r="N432" s="1288"/>
      <c r="O432" s="1290"/>
      <c r="Z432" s="1290"/>
    </row>
    <row r="433" spans="1:26" x14ac:dyDescent="0.6">
      <c r="A433" s="1513"/>
      <c r="N433" s="1288"/>
      <c r="O433" s="1290"/>
      <c r="Z433" s="1290"/>
    </row>
    <row r="434" spans="1:26" x14ac:dyDescent="0.6">
      <c r="A434" s="1513"/>
      <c r="N434" s="1288"/>
      <c r="O434" s="1290"/>
      <c r="Z434" s="1290"/>
    </row>
    <row r="435" spans="1:26" x14ac:dyDescent="0.6">
      <c r="A435" s="1513"/>
      <c r="N435" s="1288"/>
      <c r="O435" s="1290"/>
      <c r="Z435" s="1290"/>
    </row>
    <row r="436" spans="1:26" x14ac:dyDescent="0.6">
      <c r="A436" s="1513"/>
      <c r="N436" s="1288"/>
      <c r="O436" s="1290"/>
      <c r="Z436" s="1290"/>
    </row>
    <row r="437" spans="1:26" x14ac:dyDescent="0.6">
      <c r="A437" s="1513"/>
      <c r="N437" s="1288"/>
      <c r="O437" s="1290"/>
      <c r="Z437" s="1290"/>
    </row>
    <row r="438" spans="1:26" x14ac:dyDescent="0.6">
      <c r="A438" s="1513"/>
      <c r="N438" s="1288"/>
      <c r="O438" s="1290"/>
      <c r="Z438" s="1290"/>
    </row>
    <row r="439" spans="1:26" x14ac:dyDescent="0.6">
      <c r="A439" s="1513"/>
      <c r="N439" s="1288"/>
      <c r="O439" s="1290"/>
      <c r="Z439" s="1290"/>
    </row>
    <row r="440" spans="1:26" x14ac:dyDescent="0.6">
      <c r="A440" s="1513"/>
      <c r="N440" s="1288"/>
      <c r="O440" s="1290"/>
      <c r="Z440" s="1290"/>
    </row>
    <row r="441" spans="1:26" x14ac:dyDescent="0.6">
      <c r="A441" s="1513"/>
      <c r="N441" s="1288"/>
      <c r="O441" s="1290"/>
      <c r="Z441" s="1290"/>
    </row>
    <row r="442" spans="1:26" x14ac:dyDescent="0.6">
      <c r="A442" s="1513"/>
      <c r="N442" s="1288"/>
      <c r="O442" s="1290"/>
      <c r="Z442" s="1290"/>
    </row>
    <row r="443" spans="1:26" x14ac:dyDescent="0.6">
      <c r="A443" s="1513"/>
      <c r="N443" s="1288"/>
      <c r="O443" s="1290"/>
      <c r="Z443" s="1290"/>
    </row>
    <row r="444" spans="1:26" x14ac:dyDescent="0.6">
      <c r="A444" s="1513"/>
      <c r="N444" s="1288"/>
      <c r="O444" s="1290"/>
      <c r="Z444" s="1290"/>
    </row>
    <row r="445" spans="1:26" x14ac:dyDescent="0.6">
      <c r="A445" s="1513"/>
      <c r="N445" s="1288"/>
      <c r="O445" s="1290"/>
      <c r="Z445" s="1290"/>
    </row>
    <row r="446" spans="1:26" x14ac:dyDescent="0.6">
      <c r="A446" s="1513"/>
      <c r="N446" s="1288"/>
      <c r="O446" s="1290"/>
      <c r="Z446" s="1290"/>
    </row>
    <row r="447" spans="1:26" x14ac:dyDescent="0.6">
      <c r="A447" s="1513"/>
      <c r="N447" s="1288"/>
      <c r="O447" s="1290"/>
      <c r="Z447" s="1290"/>
    </row>
    <row r="448" spans="1:26" x14ac:dyDescent="0.6">
      <c r="A448" s="1513"/>
      <c r="N448" s="1288"/>
      <c r="O448" s="1290"/>
      <c r="Z448" s="1290"/>
    </row>
    <row r="449" spans="1:26" x14ac:dyDescent="0.6">
      <c r="A449" s="1513"/>
      <c r="N449" s="1288"/>
      <c r="O449" s="1290"/>
      <c r="Z449" s="1290"/>
    </row>
    <row r="450" spans="1:26" x14ac:dyDescent="0.6">
      <c r="A450" s="1513"/>
      <c r="N450" s="1288"/>
      <c r="O450" s="1290"/>
      <c r="Z450" s="1290"/>
    </row>
    <row r="451" spans="1:26" x14ac:dyDescent="0.6">
      <c r="A451" s="1513"/>
      <c r="N451" s="1288"/>
      <c r="O451" s="1290"/>
      <c r="Z451" s="1290"/>
    </row>
    <row r="452" spans="1:26" x14ac:dyDescent="0.6">
      <c r="A452" s="1513"/>
      <c r="N452" s="1288"/>
      <c r="O452" s="1290"/>
      <c r="Z452" s="1290"/>
    </row>
    <row r="453" spans="1:26" x14ac:dyDescent="0.6">
      <c r="A453" s="1513"/>
      <c r="N453" s="1288"/>
      <c r="O453" s="1290"/>
      <c r="Z453" s="1290"/>
    </row>
    <row r="454" spans="1:26" x14ac:dyDescent="0.6">
      <c r="A454" s="1513"/>
      <c r="N454" s="1288"/>
      <c r="O454" s="1290"/>
      <c r="Z454" s="1290"/>
    </row>
    <row r="455" spans="1:26" x14ac:dyDescent="0.6">
      <c r="A455" s="1513"/>
      <c r="N455" s="1288"/>
      <c r="O455" s="1290"/>
      <c r="Z455" s="1290"/>
    </row>
    <row r="456" spans="1:26" x14ac:dyDescent="0.6">
      <c r="A456" s="1513"/>
      <c r="N456" s="1288"/>
      <c r="O456" s="1290"/>
      <c r="Z456" s="1290"/>
    </row>
    <row r="457" spans="1:26" x14ac:dyDescent="0.6">
      <c r="A457" s="1513"/>
      <c r="N457" s="1288"/>
      <c r="O457" s="1290"/>
      <c r="Z457" s="1290"/>
    </row>
    <row r="458" spans="1:26" x14ac:dyDescent="0.6">
      <c r="A458" s="1513"/>
      <c r="N458" s="1288"/>
      <c r="O458" s="1290"/>
      <c r="Z458" s="1290"/>
    </row>
    <row r="459" spans="1:26" x14ac:dyDescent="0.6">
      <c r="A459" s="1513"/>
      <c r="N459" s="1288"/>
      <c r="O459" s="1290"/>
      <c r="Z459" s="1290"/>
    </row>
    <row r="460" spans="1:26" x14ac:dyDescent="0.6">
      <c r="A460" s="1513"/>
      <c r="N460" s="1288"/>
      <c r="O460" s="1290"/>
      <c r="Z460" s="1290"/>
    </row>
    <row r="461" spans="1:26" x14ac:dyDescent="0.6">
      <c r="A461" s="1513"/>
      <c r="N461" s="1288"/>
      <c r="O461" s="1290"/>
      <c r="Z461" s="1290"/>
    </row>
    <row r="462" spans="1:26" x14ac:dyDescent="0.6">
      <c r="A462" s="1513"/>
      <c r="N462" s="1288"/>
      <c r="O462" s="1290"/>
      <c r="Z462" s="1290"/>
    </row>
    <row r="463" spans="1:26" x14ac:dyDescent="0.6">
      <c r="A463" s="1513"/>
      <c r="N463" s="1288"/>
      <c r="O463" s="1290"/>
      <c r="Z463" s="1290"/>
    </row>
    <row r="464" spans="1:26" x14ac:dyDescent="0.6">
      <c r="A464" s="1513"/>
      <c r="N464" s="1288"/>
      <c r="O464" s="1290"/>
      <c r="Z464" s="1290"/>
    </row>
    <row r="465" spans="1:26" x14ac:dyDescent="0.6">
      <c r="A465" s="1513"/>
      <c r="N465" s="1288"/>
      <c r="O465" s="1290"/>
      <c r="Z465" s="1290"/>
    </row>
    <row r="466" spans="1:26" x14ac:dyDescent="0.6">
      <c r="A466" s="1513"/>
      <c r="N466" s="1288"/>
      <c r="O466" s="1290"/>
      <c r="Z466" s="1290"/>
    </row>
    <row r="467" spans="1:26" x14ac:dyDescent="0.6">
      <c r="A467" s="1513"/>
      <c r="N467" s="1288"/>
      <c r="O467" s="1290"/>
      <c r="Z467" s="1290"/>
    </row>
    <row r="468" spans="1:26" x14ac:dyDescent="0.6">
      <c r="A468" s="1513"/>
      <c r="N468" s="1288"/>
      <c r="O468" s="1290"/>
      <c r="Z468" s="1290"/>
    </row>
    <row r="469" spans="1:26" x14ac:dyDescent="0.6">
      <c r="A469" s="1513"/>
      <c r="N469" s="1288"/>
      <c r="O469" s="1290"/>
      <c r="Z469" s="1290"/>
    </row>
    <row r="470" spans="1:26" x14ac:dyDescent="0.6">
      <c r="A470" s="1513"/>
      <c r="N470" s="1288"/>
      <c r="O470" s="1290"/>
      <c r="Z470" s="1290"/>
    </row>
    <row r="471" spans="1:26" x14ac:dyDescent="0.6">
      <c r="A471" s="1513"/>
      <c r="N471" s="1288"/>
      <c r="O471" s="1290"/>
      <c r="Z471" s="1290"/>
    </row>
    <row r="472" spans="1:26" x14ac:dyDescent="0.6">
      <c r="A472" s="1513"/>
      <c r="N472" s="1288"/>
      <c r="O472" s="1290"/>
      <c r="Z472" s="1290"/>
    </row>
    <row r="473" spans="1:26" x14ac:dyDescent="0.6">
      <c r="A473" s="1513"/>
      <c r="N473" s="1288"/>
      <c r="O473" s="1290"/>
      <c r="Z473" s="1290"/>
    </row>
    <row r="474" spans="1:26" x14ac:dyDescent="0.6">
      <c r="A474" s="1513"/>
      <c r="N474" s="1288"/>
      <c r="O474" s="1290"/>
      <c r="Z474" s="1290"/>
    </row>
    <row r="475" spans="1:26" x14ac:dyDescent="0.6">
      <c r="A475" s="1513"/>
      <c r="N475" s="1288"/>
      <c r="O475" s="1290"/>
      <c r="Z475" s="1290"/>
    </row>
    <row r="476" spans="1:26" x14ac:dyDescent="0.6">
      <c r="A476" s="1513"/>
      <c r="N476" s="1288"/>
      <c r="O476" s="1290"/>
      <c r="Z476" s="1290"/>
    </row>
    <row r="477" spans="1:26" x14ac:dyDescent="0.6">
      <c r="A477" s="1513"/>
      <c r="N477" s="1288"/>
      <c r="O477" s="1290"/>
      <c r="Z477" s="1290"/>
    </row>
    <row r="478" spans="1:26" x14ac:dyDescent="0.6">
      <c r="A478" s="1513"/>
      <c r="N478" s="1288"/>
      <c r="O478" s="1290"/>
      <c r="Z478" s="1290"/>
    </row>
    <row r="479" spans="1:26" x14ac:dyDescent="0.6">
      <c r="A479" s="1513"/>
      <c r="N479" s="1288"/>
      <c r="O479" s="1290"/>
      <c r="Z479" s="1290"/>
    </row>
    <row r="480" spans="1:26" x14ac:dyDescent="0.6">
      <c r="A480" s="1513"/>
      <c r="N480" s="1288"/>
      <c r="O480" s="1290"/>
      <c r="Z480" s="1290"/>
    </row>
    <row r="481" spans="1:26" x14ac:dyDescent="0.6">
      <c r="A481" s="1513"/>
      <c r="N481" s="1288"/>
      <c r="O481" s="1290"/>
      <c r="Z481" s="1290"/>
    </row>
    <row r="482" spans="1:26" x14ac:dyDescent="0.6">
      <c r="A482" s="1513"/>
      <c r="N482" s="1288"/>
      <c r="O482" s="1290"/>
      <c r="Z482" s="1290"/>
    </row>
    <row r="483" spans="1:26" x14ac:dyDescent="0.6">
      <c r="A483" s="1513"/>
      <c r="N483" s="1288"/>
      <c r="O483" s="1290"/>
      <c r="Z483" s="1290"/>
    </row>
    <row r="484" spans="1:26" x14ac:dyDescent="0.6">
      <c r="A484" s="1513"/>
      <c r="N484" s="1288"/>
      <c r="O484" s="1290"/>
      <c r="Z484" s="1290"/>
    </row>
    <row r="485" spans="1:26" x14ac:dyDescent="0.6">
      <c r="A485" s="1513"/>
      <c r="N485" s="1288"/>
      <c r="O485" s="1290"/>
      <c r="Z485" s="1290"/>
    </row>
    <row r="486" spans="1:26" x14ac:dyDescent="0.6">
      <c r="A486" s="1513"/>
      <c r="N486" s="1288"/>
      <c r="O486" s="1290"/>
      <c r="Z486" s="1290"/>
    </row>
    <row r="487" spans="1:26" x14ac:dyDescent="0.6">
      <c r="A487" s="1513"/>
      <c r="N487" s="1288"/>
      <c r="O487" s="1290"/>
      <c r="Z487" s="1290"/>
    </row>
    <row r="488" spans="1:26" x14ac:dyDescent="0.6">
      <c r="A488" s="1513"/>
      <c r="N488" s="1288"/>
      <c r="O488" s="1290"/>
      <c r="Z488" s="1290"/>
    </row>
    <row r="489" spans="1:26" x14ac:dyDescent="0.6">
      <c r="A489" s="1513"/>
      <c r="N489" s="1288"/>
      <c r="O489" s="1290"/>
      <c r="Z489" s="1290"/>
    </row>
    <row r="490" spans="1:26" x14ac:dyDescent="0.6">
      <c r="A490" s="1513"/>
      <c r="N490" s="1288"/>
      <c r="O490" s="1290"/>
      <c r="Z490" s="1290"/>
    </row>
    <row r="491" spans="1:26" x14ac:dyDescent="0.6">
      <c r="A491" s="1513"/>
      <c r="N491" s="1288"/>
      <c r="O491" s="1290"/>
      <c r="Z491" s="1290"/>
    </row>
    <row r="492" spans="1:26" x14ac:dyDescent="0.6">
      <c r="A492" s="1513"/>
      <c r="N492" s="1288"/>
      <c r="O492" s="1290"/>
      <c r="Z492" s="1290"/>
    </row>
    <row r="493" spans="1:26" x14ac:dyDescent="0.6">
      <c r="A493" s="1513"/>
      <c r="N493" s="1288"/>
      <c r="O493" s="1290"/>
      <c r="Z493" s="1290"/>
    </row>
    <row r="494" spans="1:26" x14ac:dyDescent="0.6">
      <c r="A494" s="1513"/>
      <c r="N494" s="1288"/>
      <c r="O494" s="1290"/>
      <c r="Z494" s="1290"/>
    </row>
    <row r="495" spans="1:26" x14ac:dyDescent="0.6">
      <c r="A495" s="1513"/>
      <c r="N495" s="1288"/>
      <c r="O495" s="1290"/>
      <c r="Z495" s="1290"/>
    </row>
    <row r="496" spans="1:26" x14ac:dyDescent="0.6">
      <c r="A496" s="1513"/>
      <c r="N496" s="1288"/>
      <c r="O496" s="1290"/>
      <c r="Z496" s="1290"/>
    </row>
    <row r="497" spans="1:26" x14ac:dyDescent="0.6">
      <c r="A497" s="1513"/>
      <c r="N497" s="1288"/>
      <c r="O497" s="1290"/>
      <c r="Z497" s="1290"/>
    </row>
    <row r="498" spans="1:26" x14ac:dyDescent="0.6">
      <c r="A498" s="1513"/>
      <c r="N498" s="1288"/>
      <c r="O498" s="1290"/>
      <c r="Z498" s="1290"/>
    </row>
    <row r="499" spans="1:26" x14ac:dyDescent="0.6">
      <c r="A499" s="1513"/>
      <c r="N499" s="1288"/>
      <c r="O499" s="1290"/>
      <c r="Z499" s="1290"/>
    </row>
    <row r="500" spans="1:26" x14ac:dyDescent="0.6">
      <c r="A500" s="1513"/>
      <c r="N500" s="1288"/>
      <c r="O500" s="1290"/>
      <c r="Z500" s="1290"/>
    </row>
    <row r="501" spans="1:26" x14ac:dyDescent="0.6">
      <c r="A501" s="1513"/>
      <c r="N501" s="1288"/>
      <c r="O501" s="1290"/>
      <c r="Z501" s="1290"/>
    </row>
    <row r="502" spans="1:26" x14ac:dyDescent="0.6">
      <c r="A502" s="1513"/>
      <c r="N502" s="1288"/>
      <c r="O502" s="1290"/>
      <c r="Z502" s="1290"/>
    </row>
    <row r="503" spans="1:26" x14ac:dyDescent="0.6">
      <c r="A503" s="1513"/>
      <c r="N503" s="1288"/>
      <c r="O503" s="1290"/>
      <c r="Z503" s="1290"/>
    </row>
    <row r="504" spans="1:26" x14ac:dyDescent="0.6">
      <c r="A504" s="1513"/>
      <c r="N504" s="1288"/>
      <c r="O504" s="1290"/>
      <c r="Z504" s="1290"/>
    </row>
    <row r="505" spans="1:26" x14ac:dyDescent="0.6">
      <c r="A505" s="1513"/>
      <c r="N505" s="1288"/>
      <c r="O505" s="1290"/>
      <c r="Z505" s="1290"/>
    </row>
    <row r="506" spans="1:26" x14ac:dyDescent="0.6">
      <c r="A506" s="1513"/>
      <c r="N506" s="1288"/>
      <c r="O506" s="1290"/>
      <c r="Z506" s="1290"/>
    </row>
    <row r="507" spans="1:26" x14ac:dyDescent="0.6">
      <c r="A507" s="1513"/>
      <c r="N507" s="1288"/>
      <c r="O507" s="1290"/>
      <c r="Z507" s="1290"/>
    </row>
    <row r="508" spans="1:26" x14ac:dyDescent="0.6">
      <c r="A508" s="1513"/>
      <c r="N508" s="1288"/>
      <c r="O508" s="1290"/>
      <c r="Z508" s="1290"/>
    </row>
    <row r="509" spans="1:26" x14ac:dyDescent="0.6">
      <c r="A509" s="1513"/>
      <c r="N509" s="1288"/>
      <c r="O509" s="1290"/>
      <c r="Z509" s="1290"/>
    </row>
    <row r="510" spans="1:26" x14ac:dyDescent="0.6">
      <c r="A510" s="1513"/>
      <c r="N510" s="1288"/>
      <c r="O510" s="1290"/>
      <c r="Z510" s="1290"/>
    </row>
    <row r="511" spans="1:26" x14ac:dyDescent="0.6">
      <c r="A511" s="1513"/>
      <c r="N511" s="1288"/>
      <c r="O511" s="1290"/>
      <c r="Z511" s="1290"/>
    </row>
    <row r="512" spans="1:26" x14ac:dyDescent="0.6">
      <c r="A512" s="1513"/>
      <c r="N512" s="1288"/>
      <c r="O512" s="1290"/>
      <c r="Z512" s="1290"/>
    </row>
    <row r="513" spans="1:26" x14ac:dyDescent="0.6">
      <c r="A513" s="1513"/>
      <c r="N513" s="1288"/>
      <c r="O513" s="1290"/>
      <c r="Z513" s="1290"/>
    </row>
    <row r="514" spans="1:26" x14ac:dyDescent="0.6">
      <c r="A514" s="1513"/>
      <c r="N514" s="1288"/>
      <c r="O514" s="1290"/>
      <c r="Z514" s="1290"/>
    </row>
    <row r="515" spans="1:26" x14ac:dyDescent="0.6">
      <c r="A515" s="1513"/>
      <c r="N515" s="1288"/>
      <c r="O515" s="1290"/>
      <c r="Z515" s="1290"/>
    </row>
    <row r="516" spans="1:26" x14ac:dyDescent="0.6">
      <c r="A516" s="1513"/>
      <c r="N516" s="1288"/>
      <c r="O516" s="1290"/>
      <c r="Z516" s="1290"/>
    </row>
    <row r="517" spans="1:26" x14ac:dyDescent="0.6">
      <c r="A517" s="1513"/>
      <c r="N517" s="1288"/>
      <c r="O517" s="1290"/>
      <c r="Z517" s="1290"/>
    </row>
    <row r="518" spans="1:26" x14ac:dyDescent="0.6">
      <c r="A518" s="1513"/>
      <c r="N518" s="1288"/>
      <c r="O518" s="1290"/>
      <c r="Z518" s="1290"/>
    </row>
    <row r="519" spans="1:26" x14ac:dyDescent="0.6">
      <c r="A519" s="1513"/>
      <c r="N519" s="1288"/>
      <c r="O519" s="1290"/>
      <c r="Z519" s="1290"/>
    </row>
    <row r="520" spans="1:26" x14ac:dyDescent="0.6">
      <c r="A520" s="1513"/>
      <c r="N520" s="1288"/>
      <c r="O520" s="1290"/>
      <c r="Z520" s="1290"/>
    </row>
    <row r="521" spans="1:26" x14ac:dyDescent="0.6">
      <c r="A521" s="1513"/>
      <c r="N521" s="1288"/>
      <c r="O521" s="1290"/>
      <c r="Z521" s="1290"/>
    </row>
    <row r="522" spans="1:26" x14ac:dyDescent="0.6">
      <c r="A522" s="1513"/>
      <c r="N522" s="1288"/>
      <c r="O522" s="1290"/>
      <c r="Z522" s="1290"/>
    </row>
    <row r="523" spans="1:26" x14ac:dyDescent="0.6">
      <c r="A523" s="1513"/>
      <c r="N523" s="1288"/>
      <c r="O523" s="1290"/>
      <c r="Z523" s="1290"/>
    </row>
    <row r="524" spans="1:26" x14ac:dyDescent="0.6">
      <c r="A524" s="1513"/>
      <c r="N524" s="1288"/>
      <c r="O524" s="1290"/>
      <c r="Z524" s="1290"/>
    </row>
    <row r="525" spans="1:26" x14ac:dyDescent="0.6">
      <c r="A525" s="1513"/>
      <c r="N525" s="1288"/>
      <c r="O525" s="1290"/>
      <c r="Z525" s="1290"/>
    </row>
    <row r="526" spans="1:26" x14ac:dyDescent="0.6">
      <c r="A526" s="1513"/>
      <c r="N526" s="1288"/>
      <c r="O526" s="1290"/>
      <c r="Z526" s="1290"/>
    </row>
    <row r="527" spans="1:26" x14ac:dyDescent="0.6">
      <c r="A527" s="1513"/>
      <c r="N527" s="1288"/>
      <c r="O527" s="1290"/>
      <c r="Z527" s="1290"/>
    </row>
    <row r="528" spans="1:26" x14ac:dyDescent="0.6">
      <c r="A528" s="1513"/>
      <c r="N528" s="1288"/>
      <c r="O528" s="1290"/>
      <c r="Z528" s="1290"/>
    </row>
    <row r="529" spans="1:26" x14ac:dyDescent="0.6">
      <c r="A529" s="1513"/>
      <c r="N529" s="1288"/>
      <c r="O529" s="1290"/>
      <c r="Z529" s="1290"/>
    </row>
    <row r="530" spans="1:26" x14ac:dyDescent="0.6">
      <c r="A530" s="1513"/>
      <c r="N530" s="1288"/>
      <c r="O530" s="1290"/>
      <c r="Z530" s="1290"/>
    </row>
    <row r="531" spans="1:26" x14ac:dyDescent="0.6">
      <c r="A531" s="1513"/>
      <c r="N531" s="1288"/>
      <c r="O531" s="1290"/>
      <c r="Z531" s="1290"/>
    </row>
    <row r="532" spans="1:26" x14ac:dyDescent="0.6">
      <c r="A532" s="1513"/>
      <c r="N532" s="1288"/>
      <c r="O532" s="1290"/>
      <c r="Z532" s="1290"/>
    </row>
    <row r="533" spans="1:26" x14ac:dyDescent="0.6">
      <c r="A533" s="1513"/>
      <c r="N533" s="1288"/>
      <c r="O533" s="1290"/>
      <c r="Z533" s="1290"/>
    </row>
    <row r="534" spans="1:26" x14ac:dyDescent="0.6">
      <c r="A534" s="1513"/>
      <c r="N534" s="1288"/>
      <c r="O534" s="1290"/>
      <c r="Z534" s="1290"/>
    </row>
    <row r="535" spans="1:26" x14ac:dyDescent="0.6">
      <c r="A535" s="1513"/>
      <c r="N535" s="1288"/>
      <c r="O535" s="1290"/>
      <c r="Z535" s="1290"/>
    </row>
    <row r="536" spans="1:26" x14ac:dyDescent="0.6">
      <c r="A536" s="1513"/>
      <c r="N536" s="1288"/>
      <c r="O536" s="1290"/>
      <c r="Z536" s="1290"/>
    </row>
    <row r="537" spans="1:26" x14ac:dyDescent="0.6">
      <c r="A537" s="1513"/>
      <c r="N537" s="1288"/>
      <c r="O537" s="1290"/>
      <c r="Z537" s="1290"/>
    </row>
    <row r="538" spans="1:26" x14ac:dyDescent="0.6">
      <c r="A538" s="1513"/>
      <c r="N538" s="1288"/>
      <c r="O538" s="1290"/>
      <c r="Z538" s="1290"/>
    </row>
    <row r="539" spans="1:26" x14ac:dyDescent="0.6">
      <c r="A539" s="1513"/>
      <c r="N539" s="1288"/>
      <c r="O539" s="1290"/>
      <c r="Z539" s="1290"/>
    </row>
    <row r="540" spans="1:26" x14ac:dyDescent="0.6">
      <c r="A540" s="1513"/>
      <c r="N540" s="1288"/>
      <c r="O540" s="1290"/>
      <c r="Z540" s="1290"/>
    </row>
    <row r="541" spans="1:26" x14ac:dyDescent="0.6">
      <c r="A541" s="1513"/>
      <c r="N541" s="1288"/>
      <c r="O541" s="1290"/>
      <c r="Z541" s="1290"/>
    </row>
    <row r="542" spans="1:26" x14ac:dyDescent="0.6">
      <c r="A542" s="1513"/>
      <c r="N542" s="1288"/>
      <c r="O542" s="1290"/>
      <c r="Z542" s="1290"/>
    </row>
    <row r="543" spans="1:26" x14ac:dyDescent="0.6">
      <c r="A543" s="1513"/>
      <c r="N543" s="1288"/>
      <c r="O543" s="1290"/>
      <c r="Z543" s="1290"/>
    </row>
    <row r="544" spans="1:26" x14ac:dyDescent="0.6">
      <c r="A544" s="1513"/>
      <c r="N544" s="1288"/>
      <c r="O544" s="1290"/>
      <c r="Z544" s="1290"/>
    </row>
    <row r="545" spans="1:26" x14ac:dyDescent="0.6">
      <c r="A545" s="1513"/>
      <c r="N545" s="1288"/>
      <c r="O545" s="1290"/>
      <c r="Z545" s="1290"/>
    </row>
    <row r="546" spans="1:26" x14ac:dyDescent="0.6">
      <c r="A546" s="1513"/>
      <c r="N546" s="1288"/>
      <c r="O546" s="1290"/>
      <c r="Z546" s="1290"/>
    </row>
    <row r="547" spans="1:26" x14ac:dyDescent="0.6">
      <c r="A547" s="1513"/>
      <c r="N547" s="1288"/>
      <c r="O547" s="1290"/>
      <c r="Z547" s="1290"/>
    </row>
    <row r="548" spans="1:26" x14ac:dyDescent="0.6">
      <c r="A548" s="1513"/>
      <c r="N548" s="1288"/>
      <c r="O548" s="1290"/>
      <c r="Z548" s="1290"/>
    </row>
    <row r="549" spans="1:26" x14ac:dyDescent="0.6">
      <c r="A549" s="1513"/>
      <c r="N549" s="1288"/>
      <c r="O549" s="1290"/>
      <c r="Z549" s="1290"/>
    </row>
    <row r="550" spans="1:26" x14ac:dyDescent="0.6">
      <c r="A550" s="1513"/>
      <c r="N550" s="1288"/>
      <c r="O550" s="1290"/>
      <c r="Z550" s="1290"/>
    </row>
    <row r="551" spans="1:26" x14ac:dyDescent="0.6">
      <c r="A551" s="1513"/>
      <c r="N551" s="1288"/>
      <c r="O551" s="1290"/>
      <c r="Z551" s="1290"/>
    </row>
    <row r="552" spans="1:26" x14ac:dyDescent="0.6">
      <c r="A552" s="1513"/>
      <c r="N552" s="1288"/>
      <c r="O552" s="1290"/>
      <c r="Z552" s="1290"/>
    </row>
    <row r="553" spans="1:26" x14ac:dyDescent="0.6">
      <c r="A553" s="1513"/>
      <c r="N553" s="1288"/>
      <c r="O553" s="1290"/>
      <c r="Z553" s="1290"/>
    </row>
    <row r="554" spans="1:26" x14ac:dyDescent="0.6">
      <c r="A554" s="1513"/>
      <c r="N554" s="1288"/>
      <c r="O554" s="1290"/>
      <c r="Z554" s="1290"/>
    </row>
    <row r="555" spans="1:26" x14ac:dyDescent="0.6">
      <c r="A555" s="1513"/>
      <c r="N555" s="1288"/>
      <c r="O555" s="1290"/>
      <c r="Z555" s="1290"/>
    </row>
    <row r="556" spans="1:26" x14ac:dyDescent="0.6">
      <c r="A556" s="1513"/>
      <c r="N556" s="1288"/>
      <c r="O556" s="1290"/>
      <c r="Z556" s="1290"/>
    </row>
    <row r="557" spans="1:26" x14ac:dyDescent="0.6">
      <c r="A557" s="1513"/>
      <c r="N557" s="1288"/>
      <c r="O557" s="1290"/>
      <c r="Z557" s="1290"/>
    </row>
    <row r="558" spans="1:26" x14ac:dyDescent="0.6">
      <c r="A558" s="1513"/>
      <c r="N558" s="1288"/>
      <c r="O558" s="1290"/>
      <c r="Z558" s="1290"/>
    </row>
    <row r="559" spans="1:26" x14ac:dyDescent="0.6">
      <c r="A559" s="1513"/>
      <c r="N559" s="1288"/>
      <c r="O559" s="1290"/>
      <c r="Z559" s="1290"/>
    </row>
    <row r="560" spans="1:26" x14ac:dyDescent="0.6">
      <c r="A560" s="1513"/>
      <c r="N560" s="1288"/>
      <c r="O560" s="1290"/>
      <c r="Z560" s="1290"/>
    </row>
    <row r="561" spans="1:26" x14ac:dyDescent="0.6">
      <c r="A561" s="1513"/>
      <c r="N561" s="1288"/>
      <c r="O561" s="1290"/>
      <c r="Z561" s="1290"/>
    </row>
    <row r="562" spans="1:26" x14ac:dyDescent="0.6">
      <c r="A562" s="1513"/>
      <c r="N562" s="1288"/>
      <c r="O562" s="1290"/>
      <c r="Z562" s="1290"/>
    </row>
    <row r="563" spans="1:26" x14ac:dyDescent="0.6">
      <c r="A563" s="1513"/>
      <c r="N563" s="1288"/>
      <c r="O563" s="1290"/>
      <c r="Z563" s="1290"/>
    </row>
    <row r="564" spans="1:26" x14ac:dyDescent="0.6">
      <c r="A564" s="1513"/>
      <c r="N564" s="1288"/>
      <c r="O564" s="1290"/>
      <c r="Z564" s="1290"/>
    </row>
    <row r="565" spans="1:26" x14ac:dyDescent="0.6">
      <c r="A565" s="1513"/>
      <c r="N565" s="1288"/>
      <c r="O565" s="1290"/>
      <c r="Z565" s="1290"/>
    </row>
    <row r="566" spans="1:26" x14ac:dyDescent="0.6">
      <c r="A566" s="1513"/>
      <c r="N566" s="1288"/>
      <c r="O566" s="1290"/>
      <c r="Z566" s="1290"/>
    </row>
    <row r="567" spans="1:26" x14ac:dyDescent="0.6">
      <c r="A567" s="1513"/>
      <c r="N567" s="1288"/>
      <c r="O567" s="1290"/>
      <c r="Z567" s="1290"/>
    </row>
    <row r="568" spans="1:26" x14ac:dyDescent="0.6">
      <c r="A568" s="1513"/>
      <c r="N568" s="1288"/>
      <c r="O568" s="1290"/>
      <c r="Z568" s="1290"/>
    </row>
    <row r="569" spans="1:26" x14ac:dyDescent="0.6">
      <c r="A569" s="1513"/>
      <c r="N569" s="1288"/>
      <c r="O569" s="1290"/>
      <c r="Z569" s="1290"/>
    </row>
    <row r="570" spans="1:26" x14ac:dyDescent="0.6">
      <c r="A570" s="1513"/>
      <c r="N570" s="1288"/>
      <c r="O570" s="1290"/>
      <c r="Z570" s="1290"/>
    </row>
    <row r="571" spans="1:26" x14ac:dyDescent="0.6">
      <c r="A571" s="1513"/>
      <c r="N571" s="1288"/>
      <c r="O571" s="1290"/>
      <c r="Z571" s="1290"/>
    </row>
    <row r="572" spans="1:26" x14ac:dyDescent="0.6">
      <c r="A572" s="1513"/>
      <c r="N572" s="1288"/>
      <c r="O572" s="1290"/>
      <c r="Z572" s="1290"/>
    </row>
    <row r="573" spans="1:26" x14ac:dyDescent="0.6">
      <c r="A573" s="1513"/>
      <c r="N573" s="1288"/>
      <c r="O573" s="1290"/>
      <c r="Z573" s="1290"/>
    </row>
    <row r="574" spans="1:26" x14ac:dyDescent="0.6">
      <c r="A574" s="1513"/>
      <c r="N574" s="1288"/>
      <c r="O574" s="1290"/>
      <c r="Z574" s="1290"/>
    </row>
    <row r="575" spans="1:26" x14ac:dyDescent="0.6">
      <c r="A575" s="1513"/>
      <c r="N575" s="1288"/>
      <c r="O575" s="1290"/>
      <c r="Z575" s="1290"/>
    </row>
    <row r="576" spans="1:26" x14ac:dyDescent="0.6">
      <c r="A576" s="1513"/>
      <c r="N576" s="1288"/>
      <c r="O576" s="1290"/>
      <c r="Z576" s="1290"/>
    </row>
    <row r="577" spans="1:26" x14ac:dyDescent="0.6">
      <c r="A577" s="1513"/>
      <c r="N577" s="1288"/>
      <c r="O577" s="1290"/>
      <c r="Z577" s="1290"/>
    </row>
    <row r="578" spans="1:26" x14ac:dyDescent="0.6">
      <c r="A578" s="1513"/>
      <c r="N578" s="1288"/>
      <c r="O578" s="1290"/>
      <c r="Z578" s="1290"/>
    </row>
    <row r="579" spans="1:26" x14ac:dyDescent="0.6">
      <c r="A579" s="1513"/>
      <c r="N579" s="1288"/>
      <c r="O579" s="1290"/>
      <c r="Z579" s="1290"/>
    </row>
    <row r="580" spans="1:26" x14ac:dyDescent="0.6">
      <c r="A580" s="1513"/>
      <c r="N580" s="1288"/>
      <c r="O580" s="1290"/>
      <c r="Z580" s="1290"/>
    </row>
    <row r="581" spans="1:26" x14ac:dyDescent="0.6">
      <c r="A581" s="1513"/>
      <c r="N581" s="1288"/>
      <c r="O581" s="1290"/>
      <c r="Z581" s="1290"/>
    </row>
    <row r="582" spans="1:26" x14ac:dyDescent="0.6">
      <c r="A582" s="1513"/>
      <c r="N582" s="1288"/>
      <c r="O582" s="1290"/>
      <c r="Z582" s="1290"/>
    </row>
    <row r="583" spans="1:26" x14ac:dyDescent="0.6">
      <c r="A583" s="1513"/>
      <c r="N583" s="1288"/>
      <c r="O583" s="1290"/>
      <c r="Z583" s="1290"/>
    </row>
    <row r="584" spans="1:26" x14ac:dyDescent="0.6">
      <c r="A584" s="1513"/>
      <c r="N584" s="1288"/>
      <c r="O584" s="1290"/>
      <c r="Z584" s="1290"/>
    </row>
    <row r="585" spans="1:26" x14ac:dyDescent="0.6">
      <c r="A585" s="1513"/>
      <c r="N585" s="1288"/>
      <c r="O585" s="1290"/>
      <c r="Z585" s="1290"/>
    </row>
    <row r="586" spans="1:26" x14ac:dyDescent="0.6">
      <c r="A586" s="1513"/>
      <c r="N586" s="1288"/>
      <c r="O586" s="1290"/>
      <c r="Z586" s="1290"/>
    </row>
    <row r="587" spans="1:26" x14ac:dyDescent="0.6">
      <c r="A587" s="1513"/>
      <c r="N587" s="1288"/>
      <c r="O587" s="1290"/>
      <c r="Z587" s="1290"/>
    </row>
    <row r="588" spans="1:26" x14ac:dyDescent="0.6">
      <c r="A588" s="1513"/>
      <c r="N588" s="1288"/>
      <c r="O588" s="1290"/>
      <c r="Z588" s="1290"/>
    </row>
    <row r="589" spans="1:26" x14ac:dyDescent="0.6">
      <c r="A589" s="1513"/>
      <c r="N589" s="1288"/>
      <c r="O589" s="1290"/>
      <c r="Z589" s="1290"/>
    </row>
    <row r="590" spans="1:26" x14ac:dyDescent="0.6">
      <c r="A590" s="1513"/>
      <c r="N590" s="1288"/>
      <c r="O590" s="1290"/>
      <c r="Z590" s="1290"/>
    </row>
    <row r="591" spans="1:26" x14ac:dyDescent="0.6">
      <c r="A591" s="1513"/>
      <c r="N591" s="1288"/>
      <c r="O591" s="1290"/>
      <c r="Z591" s="1290"/>
    </row>
    <row r="592" spans="1:26" x14ac:dyDescent="0.6">
      <c r="A592" s="1513"/>
      <c r="N592" s="1288"/>
      <c r="O592" s="1290"/>
      <c r="Z592" s="1290"/>
    </row>
    <row r="593" spans="1:26" x14ac:dyDescent="0.6">
      <c r="A593" s="1513"/>
      <c r="N593" s="1288"/>
      <c r="O593" s="1290"/>
      <c r="Z593" s="1290"/>
    </row>
    <row r="594" spans="1:26" x14ac:dyDescent="0.6">
      <c r="A594" s="1513"/>
      <c r="N594" s="1288"/>
      <c r="O594" s="1290"/>
      <c r="Z594" s="1290"/>
    </row>
    <row r="595" spans="1:26" x14ac:dyDescent="0.6">
      <c r="A595" s="1513"/>
      <c r="N595" s="1288"/>
      <c r="O595" s="1290"/>
      <c r="Z595" s="1290"/>
    </row>
    <row r="596" spans="1:26" x14ac:dyDescent="0.6">
      <c r="A596" s="1513"/>
      <c r="N596" s="1288"/>
      <c r="O596" s="1290"/>
      <c r="Z596" s="1290"/>
    </row>
    <row r="597" spans="1:26" x14ac:dyDescent="0.6">
      <c r="A597" s="1513"/>
      <c r="N597" s="1288"/>
      <c r="O597" s="1290"/>
      <c r="Z597" s="1290"/>
    </row>
    <row r="598" spans="1:26" x14ac:dyDescent="0.6">
      <c r="A598" s="1513"/>
      <c r="N598" s="1288"/>
      <c r="O598" s="1290"/>
      <c r="Z598" s="1290"/>
    </row>
    <row r="599" spans="1:26" x14ac:dyDescent="0.6">
      <c r="A599" s="1513"/>
      <c r="N599" s="1288"/>
      <c r="O599" s="1290"/>
      <c r="Z599" s="1290"/>
    </row>
    <row r="600" spans="1:26" x14ac:dyDescent="0.6">
      <c r="A600" s="1513"/>
      <c r="N600" s="1288"/>
      <c r="O600" s="1290"/>
      <c r="Z600" s="1290"/>
    </row>
    <row r="601" spans="1:26" x14ac:dyDescent="0.6">
      <c r="A601" s="1513"/>
      <c r="N601" s="1288"/>
      <c r="O601" s="1290"/>
      <c r="Z601" s="1290"/>
    </row>
    <row r="602" spans="1:26" x14ac:dyDescent="0.6">
      <c r="A602" s="1513"/>
      <c r="N602" s="1288"/>
      <c r="O602" s="1290"/>
      <c r="Z602" s="1290"/>
    </row>
    <row r="603" spans="1:26" x14ac:dyDescent="0.6">
      <c r="A603" s="1513"/>
      <c r="N603" s="1288"/>
      <c r="O603" s="1290"/>
      <c r="Z603" s="1290"/>
    </row>
    <row r="604" spans="1:26" x14ac:dyDescent="0.6">
      <c r="A604" s="1513"/>
      <c r="N604" s="1288"/>
      <c r="O604" s="1290"/>
      <c r="Z604" s="1290"/>
    </row>
    <row r="605" spans="1:26" x14ac:dyDescent="0.6">
      <c r="A605" s="1513"/>
      <c r="N605" s="1288"/>
      <c r="O605" s="1290"/>
      <c r="Z605" s="1290"/>
    </row>
    <row r="606" spans="1:26" x14ac:dyDescent="0.6">
      <c r="A606" s="1513"/>
      <c r="N606" s="1288"/>
      <c r="O606" s="1290"/>
      <c r="Z606" s="1290"/>
    </row>
    <row r="607" spans="1:26" x14ac:dyDescent="0.6">
      <c r="A607" s="1513"/>
      <c r="N607" s="1288"/>
      <c r="O607" s="1290"/>
      <c r="Z607" s="1290"/>
    </row>
    <row r="608" spans="1:26" x14ac:dyDescent="0.6">
      <c r="A608" s="1513"/>
      <c r="N608" s="1288"/>
      <c r="O608" s="1290"/>
      <c r="Z608" s="1290"/>
    </row>
    <row r="609" spans="1:26" x14ac:dyDescent="0.6">
      <c r="A609" s="1513"/>
      <c r="N609" s="1288"/>
      <c r="O609" s="1290"/>
      <c r="Z609" s="1290"/>
    </row>
    <row r="610" spans="1:26" x14ac:dyDescent="0.6">
      <c r="A610" s="1513"/>
      <c r="N610" s="1288"/>
      <c r="O610" s="1290"/>
      <c r="Z610" s="1290"/>
    </row>
    <row r="611" spans="1:26" x14ac:dyDescent="0.6">
      <c r="A611" s="1513"/>
      <c r="N611" s="1288"/>
      <c r="O611" s="1290"/>
      <c r="Z611" s="1290"/>
    </row>
    <row r="612" spans="1:26" x14ac:dyDescent="0.6">
      <c r="A612" s="1513"/>
      <c r="N612" s="1288"/>
      <c r="O612" s="1290"/>
      <c r="Z612" s="1290"/>
    </row>
    <row r="613" spans="1:26" x14ac:dyDescent="0.6">
      <c r="A613" s="1513"/>
      <c r="N613" s="1288"/>
      <c r="O613" s="1290"/>
      <c r="Z613" s="1290"/>
    </row>
    <row r="614" spans="1:26" x14ac:dyDescent="0.6">
      <c r="A614" s="1513"/>
      <c r="N614" s="1288"/>
      <c r="O614" s="1290"/>
      <c r="Z614" s="1290"/>
    </row>
    <row r="615" spans="1:26" x14ac:dyDescent="0.6">
      <c r="A615" s="1513"/>
      <c r="N615" s="1288"/>
      <c r="O615" s="1290"/>
      <c r="Z615" s="1290"/>
    </row>
    <row r="616" spans="1:26" x14ac:dyDescent="0.6">
      <c r="A616" s="1513"/>
      <c r="N616" s="1288"/>
      <c r="O616" s="1290"/>
      <c r="Z616" s="1290"/>
    </row>
    <row r="617" spans="1:26" x14ac:dyDescent="0.6">
      <c r="A617" s="1513"/>
      <c r="N617" s="1288"/>
      <c r="O617" s="1290"/>
      <c r="Z617" s="1290"/>
    </row>
    <row r="618" spans="1:26" x14ac:dyDescent="0.6">
      <c r="A618" s="1513"/>
      <c r="N618" s="1288"/>
      <c r="O618" s="1290"/>
      <c r="Z618" s="1290"/>
    </row>
    <row r="619" spans="1:26" x14ac:dyDescent="0.6">
      <c r="A619" s="1513"/>
      <c r="N619" s="1288"/>
      <c r="O619" s="1290"/>
      <c r="Z619" s="1290"/>
    </row>
    <row r="620" spans="1:26" x14ac:dyDescent="0.6">
      <c r="A620" s="1513"/>
      <c r="N620" s="1288"/>
      <c r="O620" s="1290"/>
      <c r="Z620" s="1290"/>
    </row>
    <row r="621" spans="1:26" x14ac:dyDescent="0.6">
      <c r="A621" s="1513"/>
      <c r="N621" s="1288"/>
      <c r="O621" s="1290"/>
      <c r="Z621" s="1290"/>
    </row>
    <row r="622" spans="1:26" x14ac:dyDescent="0.6">
      <c r="A622" s="1513"/>
      <c r="N622" s="1288"/>
      <c r="O622" s="1290"/>
      <c r="Z622" s="1290"/>
    </row>
    <row r="623" spans="1:26" x14ac:dyDescent="0.6">
      <c r="A623" s="1513"/>
      <c r="N623" s="1288"/>
      <c r="O623" s="1290"/>
      <c r="Z623" s="1290"/>
    </row>
    <row r="624" spans="1:26" x14ac:dyDescent="0.6">
      <c r="A624" s="1513"/>
      <c r="N624" s="1288"/>
      <c r="O624" s="1290"/>
      <c r="Z624" s="1290"/>
    </row>
    <row r="625" spans="1:26" x14ac:dyDescent="0.6">
      <c r="A625" s="1513"/>
      <c r="N625" s="1288"/>
      <c r="O625" s="1290"/>
      <c r="Z625" s="1290"/>
    </row>
    <row r="626" spans="1:26" x14ac:dyDescent="0.6">
      <c r="A626" s="1513"/>
      <c r="N626" s="1288"/>
      <c r="O626" s="1290"/>
      <c r="Z626" s="1290"/>
    </row>
    <row r="627" spans="1:26" x14ac:dyDescent="0.6">
      <c r="A627" s="1513"/>
      <c r="N627" s="1288"/>
      <c r="O627" s="1290"/>
      <c r="Z627" s="1290"/>
    </row>
    <row r="628" spans="1:26" x14ac:dyDescent="0.6">
      <c r="A628" s="1513"/>
      <c r="N628" s="1288"/>
      <c r="O628" s="1290"/>
      <c r="Z628" s="1290"/>
    </row>
    <row r="629" spans="1:26" x14ac:dyDescent="0.6">
      <c r="A629" s="1513"/>
      <c r="N629" s="1288"/>
      <c r="O629" s="1290"/>
      <c r="Z629" s="1290"/>
    </row>
    <row r="630" spans="1:26" x14ac:dyDescent="0.6">
      <c r="A630" s="1513"/>
      <c r="N630" s="1288"/>
      <c r="O630" s="1290"/>
      <c r="Z630" s="1290"/>
    </row>
    <row r="631" spans="1:26" x14ac:dyDescent="0.6">
      <c r="A631" s="1513"/>
      <c r="N631" s="1288"/>
      <c r="O631" s="1290"/>
      <c r="Z631" s="1290"/>
    </row>
    <row r="632" spans="1:26" x14ac:dyDescent="0.6">
      <c r="A632" s="1513"/>
      <c r="N632" s="1288"/>
      <c r="O632" s="1290"/>
      <c r="Z632" s="1290"/>
    </row>
    <row r="633" spans="1:26" x14ac:dyDescent="0.6">
      <c r="A633" s="1513"/>
      <c r="N633" s="1288"/>
      <c r="O633" s="1290"/>
      <c r="Z633" s="1290"/>
    </row>
    <row r="634" spans="1:26" x14ac:dyDescent="0.6">
      <c r="A634" s="1513"/>
      <c r="N634" s="1288"/>
      <c r="O634" s="1290"/>
      <c r="Z634" s="1290"/>
    </row>
    <row r="635" spans="1:26" x14ac:dyDescent="0.6">
      <c r="A635" s="1513"/>
      <c r="N635" s="1288"/>
      <c r="O635" s="1290"/>
      <c r="Z635" s="1290"/>
    </row>
    <row r="636" spans="1:26" x14ac:dyDescent="0.6">
      <c r="A636" s="1513"/>
      <c r="N636" s="1288"/>
      <c r="O636" s="1290"/>
      <c r="Z636" s="1290"/>
    </row>
    <row r="637" spans="1:26" x14ac:dyDescent="0.6">
      <c r="A637" s="1513"/>
      <c r="N637" s="1288"/>
      <c r="O637" s="1290"/>
      <c r="Z637" s="1290"/>
    </row>
    <row r="638" spans="1:26" x14ac:dyDescent="0.6">
      <c r="A638" s="1513"/>
      <c r="N638" s="1288"/>
      <c r="O638" s="1290"/>
      <c r="Z638" s="1290"/>
    </row>
    <row r="639" spans="1:26" x14ac:dyDescent="0.6">
      <c r="A639" s="1513"/>
      <c r="N639" s="1288"/>
      <c r="O639" s="1290"/>
      <c r="Z639" s="1290"/>
    </row>
    <row r="640" spans="1:26" x14ac:dyDescent="0.6">
      <c r="A640" s="1513"/>
      <c r="N640" s="1288"/>
      <c r="O640" s="1290"/>
      <c r="Z640" s="1290"/>
    </row>
    <row r="641" spans="1:26" x14ac:dyDescent="0.6">
      <c r="A641" s="1513"/>
      <c r="N641" s="1288"/>
      <c r="O641" s="1290"/>
      <c r="Z641" s="1290"/>
    </row>
    <row r="642" spans="1:26" x14ac:dyDescent="0.6">
      <c r="A642" s="1513"/>
      <c r="N642" s="1288"/>
      <c r="O642" s="1290"/>
      <c r="Z642" s="1290"/>
    </row>
    <row r="643" spans="1:26" x14ac:dyDescent="0.6">
      <c r="A643" s="1513"/>
      <c r="N643" s="1288"/>
      <c r="O643" s="1290"/>
      <c r="Z643" s="1290"/>
    </row>
    <row r="644" spans="1:26" x14ac:dyDescent="0.6">
      <c r="A644" s="1513"/>
      <c r="N644" s="1288"/>
      <c r="O644" s="1290"/>
      <c r="Z644" s="1290"/>
    </row>
    <row r="645" spans="1:26" x14ac:dyDescent="0.6">
      <c r="A645" s="1513"/>
      <c r="N645" s="1288"/>
      <c r="O645" s="1290"/>
      <c r="Z645" s="1290"/>
    </row>
    <row r="646" spans="1:26" x14ac:dyDescent="0.6">
      <c r="A646" s="1513"/>
      <c r="N646" s="1288"/>
      <c r="O646" s="1290"/>
      <c r="Z646" s="1290"/>
    </row>
    <row r="647" spans="1:26" x14ac:dyDescent="0.6">
      <c r="A647" s="1513"/>
      <c r="N647" s="1288"/>
      <c r="O647" s="1290"/>
      <c r="Z647" s="1290"/>
    </row>
    <row r="648" spans="1:26" x14ac:dyDescent="0.6">
      <c r="A648" s="1513"/>
      <c r="N648" s="1288"/>
      <c r="O648" s="1290"/>
      <c r="Z648" s="1290"/>
    </row>
    <row r="649" spans="1:26" x14ac:dyDescent="0.6">
      <c r="A649" s="1513"/>
      <c r="N649" s="1288"/>
      <c r="O649" s="1290"/>
      <c r="Z649" s="1290"/>
    </row>
    <row r="650" spans="1:26" x14ac:dyDescent="0.6">
      <c r="A650" s="1513"/>
      <c r="N650" s="1288"/>
      <c r="O650" s="1290"/>
      <c r="Z650" s="1290"/>
    </row>
    <row r="651" spans="1:26" x14ac:dyDescent="0.6">
      <c r="A651" s="1513"/>
      <c r="N651" s="1288"/>
      <c r="O651" s="1290"/>
      <c r="Z651" s="1290"/>
    </row>
    <row r="652" spans="1:26" x14ac:dyDescent="0.6">
      <c r="A652" s="1513"/>
      <c r="N652" s="1288"/>
      <c r="O652" s="1290"/>
      <c r="Z652" s="1290"/>
    </row>
    <row r="653" spans="1:26" x14ac:dyDescent="0.6">
      <c r="A653" s="1513"/>
      <c r="N653" s="1288"/>
      <c r="O653" s="1290"/>
      <c r="Z653" s="1290"/>
    </row>
    <row r="654" spans="1:26" x14ac:dyDescent="0.6">
      <c r="A654" s="1513"/>
      <c r="N654" s="1288"/>
      <c r="O654" s="1290"/>
      <c r="Z654" s="1290"/>
    </row>
    <row r="655" spans="1:26" x14ac:dyDescent="0.6">
      <c r="A655" s="1513"/>
      <c r="N655" s="1288"/>
      <c r="O655" s="1290"/>
      <c r="Z655" s="1290"/>
    </row>
    <row r="656" spans="1:26" x14ac:dyDescent="0.6">
      <c r="A656" s="1513"/>
      <c r="N656" s="1288"/>
      <c r="O656" s="1290"/>
      <c r="Z656" s="1290"/>
    </row>
    <row r="657" spans="1:26" x14ac:dyDescent="0.6">
      <c r="A657" s="1513"/>
      <c r="N657" s="1288"/>
      <c r="O657" s="1290"/>
      <c r="Z657" s="1290"/>
    </row>
    <row r="658" spans="1:26" x14ac:dyDescent="0.6">
      <c r="A658" s="1513"/>
      <c r="N658" s="1288"/>
      <c r="O658" s="1290"/>
      <c r="Z658" s="1290"/>
    </row>
    <row r="659" spans="1:26" x14ac:dyDescent="0.6">
      <c r="A659" s="1513"/>
      <c r="N659" s="1288"/>
      <c r="O659" s="1290"/>
      <c r="Z659" s="1290"/>
    </row>
    <row r="660" spans="1:26" x14ac:dyDescent="0.6">
      <c r="A660" s="1513"/>
      <c r="N660" s="1288"/>
      <c r="O660" s="1290"/>
      <c r="Z660" s="1290"/>
    </row>
    <row r="661" spans="1:26" x14ac:dyDescent="0.6">
      <c r="A661" s="1513"/>
      <c r="N661" s="1288"/>
      <c r="O661" s="1290"/>
      <c r="Z661" s="1290"/>
    </row>
    <row r="662" spans="1:26" x14ac:dyDescent="0.6">
      <c r="A662" s="1513"/>
      <c r="N662" s="1288"/>
      <c r="O662" s="1290"/>
      <c r="Z662" s="1290"/>
    </row>
    <row r="663" spans="1:26" x14ac:dyDescent="0.6">
      <c r="A663" s="1513"/>
      <c r="N663" s="1288"/>
      <c r="O663" s="1290"/>
      <c r="Z663" s="1290"/>
    </row>
    <row r="664" spans="1:26" x14ac:dyDescent="0.6">
      <c r="A664" s="1513"/>
      <c r="N664" s="1288"/>
      <c r="O664" s="1290"/>
      <c r="Z664" s="1290"/>
    </row>
    <row r="665" spans="1:26" x14ac:dyDescent="0.6">
      <c r="A665" s="1513"/>
      <c r="N665" s="1288"/>
      <c r="O665" s="1290"/>
      <c r="Z665" s="1290"/>
    </row>
    <row r="666" spans="1:26" x14ac:dyDescent="0.6">
      <c r="A666" s="1513"/>
      <c r="N666" s="1288"/>
      <c r="O666" s="1290"/>
      <c r="Z666" s="1290"/>
    </row>
    <row r="667" spans="1:26" x14ac:dyDescent="0.6">
      <c r="A667" s="1513"/>
      <c r="N667" s="1288"/>
      <c r="O667" s="1290"/>
      <c r="Z667" s="1290"/>
    </row>
    <row r="668" spans="1:26" x14ac:dyDescent="0.6">
      <c r="A668" s="1513"/>
      <c r="N668" s="1288"/>
      <c r="O668" s="1290"/>
      <c r="Z668" s="1290"/>
    </row>
    <row r="669" spans="1:26" x14ac:dyDescent="0.6">
      <c r="A669" s="1513"/>
      <c r="N669" s="1288"/>
      <c r="O669" s="1290"/>
      <c r="Z669" s="1290"/>
    </row>
    <row r="670" spans="1:26" x14ac:dyDescent="0.6">
      <c r="A670" s="1513"/>
      <c r="N670" s="1288"/>
      <c r="O670" s="1290"/>
      <c r="Z670" s="1290"/>
    </row>
    <row r="671" spans="1:26" x14ac:dyDescent="0.6">
      <c r="A671" s="1513"/>
      <c r="N671" s="1288"/>
      <c r="O671" s="1290"/>
      <c r="Z671" s="1290"/>
    </row>
    <row r="672" spans="1:26" x14ac:dyDescent="0.6">
      <c r="A672" s="1513"/>
      <c r="N672" s="1288"/>
      <c r="O672" s="1290"/>
      <c r="Z672" s="1290"/>
    </row>
    <row r="673" spans="1:26" x14ac:dyDescent="0.6">
      <c r="A673" s="1513"/>
      <c r="N673" s="1288"/>
      <c r="O673" s="1290"/>
      <c r="Z673" s="1290"/>
    </row>
    <row r="674" spans="1:26" x14ac:dyDescent="0.6">
      <c r="A674" s="1513"/>
      <c r="N674" s="1288"/>
      <c r="O674" s="1290"/>
      <c r="Z674" s="1290"/>
    </row>
    <row r="675" spans="1:26" x14ac:dyDescent="0.6">
      <c r="A675" s="1513"/>
      <c r="N675" s="1288"/>
      <c r="O675" s="1290"/>
      <c r="Z675" s="1290"/>
    </row>
    <row r="676" spans="1:26" x14ac:dyDescent="0.6">
      <c r="A676" s="1513"/>
      <c r="N676" s="1288"/>
      <c r="O676" s="1290"/>
      <c r="Z676" s="1290"/>
    </row>
    <row r="677" spans="1:26" x14ac:dyDescent="0.6">
      <c r="A677" s="1513"/>
      <c r="N677" s="1288"/>
      <c r="O677" s="1290"/>
      <c r="Z677" s="1290"/>
    </row>
    <row r="678" spans="1:26" x14ac:dyDescent="0.6">
      <c r="A678" s="1513"/>
      <c r="N678" s="1288"/>
      <c r="O678" s="1290"/>
      <c r="Z678" s="1290"/>
    </row>
    <row r="679" spans="1:26" x14ac:dyDescent="0.6">
      <c r="A679" s="1513"/>
      <c r="N679" s="1288"/>
      <c r="O679" s="1290"/>
      <c r="Z679" s="1290"/>
    </row>
    <row r="680" spans="1:26" x14ac:dyDescent="0.6">
      <c r="A680" s="1513"/>
      <c r="N680" s="1288"/>
      <c r="O680" s="1290"/>
      <c r="Z680" s="1290"/>
    </row>
    <row r="681" spans="1:26" x14ac:dyDescent="0.6">
      <c r="A681" s="1513"/>
      <c r="N681" s="1288"/>
      <c r="O681" s="1290"/>
      <c r="Z681" s="1290"/>
    </row>
    <row r="682" spans="1:26" x14ac:dyDescent="0.6">
      <c r="A682" s="1513"/>
      <c r="N682" s="1288"/>
      <c r="O682" s="1290"/>
      <c r="Z682" s="1290"/>
    </row>
    <row r="683" spans="1:26" x14ac:dyDescent="0.6">
      <c r="A683" s="1513"/>
      <c r="N683" s="1288"/>
      <c r="O683" s="1290"/>
      <c r="Z683" s="1290"/>
    </row>
    <row r="684" spans="1:26" x14ac:dyDescent="0.6">
      <c r="A684" s="1513"/>
      <c r="N684" s="1288"/>
      <c r="O684" s="1290"/>
      <c r="Z684" s="1290"/>
    </row>
    <row r="685" spans="1:26" x14ac:dyDescent="0.6">
      <c r="A685" s="1513"/>
      <c r="N685" s="1288"/>
      <c r="O685" s="1290"/>
      <c r="Z685" s="1290"/>
    </row>
    <row r="686" spans="1:26" x14ac:dyDescent="0.6">
      <c r="A686" s="1513"/>
      <c r="N686" s="1288"/>
      <c r="O686" s="1290"/>
      <c r="Z686" s="1290"/>
    </row>
    <row r="687" spans="1:26" x14ac:dyDescent="0.6">
      <c r="A687" s="1513"/>
      <c r="N687" s="1288"/>
      <c r="O687" s="1290"/>
      <c r="Z687" s="1290"/>
    </row>
    <row r="688" spans="1:26" x14ac:dyDescent="0.6">
      <c r="A688" s="1513"/>
      <c r="N688" s="1288"/>
      <c r="O688" s="1290"/>
      <c r="Z688" s="1290"/>
    </row>
    <row r="689" spans="1:26" x14ac:dyDescent="0.6">
      <c r="A689" s="1513"/>
      <c r="N689" s="1288"/>
      <c r="O689" s="1290"/>
      <c r="Z689" s="1290"/>
    </row>
    <row r="690" spans="1:26" x14ac:dyDescent="0.6">
      <c r="A690" s="1513"/>
      <c r="N690" s="1288"/>
      <c r="O690" s="1290"/>
      <c r="Z690" s="1290"/>
    </row>
    <row r="691" spans="1:26" x14ac:dyDescent="0.6">
      <c r="A691" s="1513"/>
      <c r="N691" s="1288"/>
      <c r="O691" s="1290"/>
      <c r="Z691" s="1290"/>
    </row>
    <row r="692" spans="1:26" x14ac:dyDescent="0.6">
      <c r="A692" s="1513"/>
      <c r="N692" s="1288"/>
      <c r="O692" s="1290"/>
      <c r="Z692" s="1290"/>
    </row>
    <row r="693" spans="1:26" x14ac:dyDescent="0.6">
      <c r="A693" s="1513"/>
      <c r="N693" s="1288"/>
      <c r="O693" s="1290"/>
      <c r="Z693" s="1290"/>
    </row>
    <row r="694" spans="1:26" x14ac:dyDescent="0.6">
      <c r="A694" s="1513"/>
      <c r="N694" s="1288"/>
      <c r="O694" s="1290"/>
      <c r="Z694" s="1290"/>
    </row>
    <row r="695" spans="1:26" x14ac:dyDescent="0.6">
      <c r="A695" s="1513"/>
      <c r="N695" s="1288"/>
      <c r="O695" s="1290"/>
      <c r="Z695" s="1290"/>
    </row>
    <row r="696" spans="1:26" x14ac:dyDescent="0.6">
      <c r="A696" s="1513"/>
      <c r="N696" s="1288"/>
      <c r="O696" s="1290"/>
      <c r="Z696" s="1290"/>
    </row>
    <row r="697" spans="1:26" x14ac:dyDescent="0.6">
      <c r="A697" s="1513"/>
      <c r="N697" s="1288"/>
      <c r="O697" s="1290"/>
      <c r="Z697" s="1290"/>
    </row>
    <row r="698" spans="1:26" x14ac:dyDescent="0.6">
      <c r="A698" s="1513"/>
      <c r="N698" s="1288"/>
      <c r="O698" s="1290"/>
      <c r="Z698" s="1290"/>
    </row>
    <row r="699" spans="1:26" x14ac:dyDescent="0.6">
      <c r="A699" s="1513"/>
      <c r="N699" s="1288"/>
      <c r="O699" s="1290"/>
      <c r="Z699" s="1290"/>
    </row>
    <row r="700" spans="1:26" x14ac:dyDescent="0.6">
      <c r="A700" s="1513"/>
      <c r="N700" s="1288"/>
      <c r="O700" s="1290"/>
      <c r="Z700" s="1290"/>
    </row>
    <row r="701" spans="1:26" x14ac:dyDescent="0.6">
      <c r="A701" s="1513"/>
      <c r="N701" s="1288"/>
      <c r="O701" s="1290"/>
      <c r="Z701" s="1290"/>
    </row>
    <row r="702" spans="1:26" x14ac:dyDescent="0.6">
      <c r="A702" s="1513"/>
      <c r="N702" s="1288"/>
      <c r="O702" s="1290"/>
      <c r="Z702" s="1290"/>
    </row>
    <row r="703" spans="1:26" x14ac:dyDescent="0.6">
      <c r="A703" s="1513"/>
      <c r="N703" s="1288"/>
      <c r="O703" s="1290"/>
      <c r="Z703" s="1290"/>
    </row>
    <row r="704" spans="1:26" x14ac:dyDescent="0.6">
      <c r="A704" s="1513"/>
      <c r="N704" s="1288"/>
      <c r="O704" s="1290"/>
      <c r="Z704" s="1290"/>
    </row>
    <row r="705" spans="1:26" x14ac:dyDescent="0.6">
      <c r="A705" s="1513"/>
      <c r="N705" s="1288"/>
      <c r="O705" s="1290"/>
      <c r="Z705" s="1290"/>
    </row>
    <row r="706" spans="1:26" x14ac:dyDescent="0.6">
      <c r="A706" s="1513"/>
      <c r="N706" s="1288"/>
      <c r="O706" s="1290"/>
      <c r="Z706" s="1290"/>
    </row>
    <row r="707" spans="1:26" x14ac:dyDescent="0.6">
      <c r="A707" s="1513"/>
      <c r="N707" s="1288"/>
      <c r="O707" s="1290"/>
      <c r="Z707" s="1290"/>
    </row>
    <row r="708" spans="1:26" x14ac:dyDescent="0.6">
      <c r="A708" s="1513"/>
      <c r="N708" s="1288"/>
      <c r="O708" s="1290"/>
      <c r="Z708" s="1290"/>
    </row>
    <row r="709" spans="1:26" x14ac:dyDescent="0.6">
      <c r="A709" s="1513"/>
      <c r="N709" s="1288"/>
      <c r="O709" s="1290"/>
      <c r="Z709" s="1290"/>
    </row>
    <row r="710" spans="1:26" x14ac:dyDescent="0.6">
      <c r="A710" s="1513"/>
      <c r="N710" s="1288"/>
      <c r="O710" s="1290"/>
      <c r="Z710" s="1290"/>
    </row>
    <row r="711" spans="1:26" x14ac:dyDescent="0.6">
      <c r="A711" s="1513"/>
      <c r="N711" s="1288"/>
      <c r="O711" s="1290"/>
      <c r="Z711" s="1290"/>
    </row>
    <row r="712" spans="1:26" x14ac:dyDescent="0.6">
      <c r="A712" s="1513"/>
      <c r="N712" s="1288"/>
      <c r="O712" s="1290"/>
      <c r="Z712" s="1290"/>
    </row>
    <row r="713" spans="1:26" x14ac:dyDescent="0.6">
      <c r="A713" s="1513"/>
      <c r="N713" s="1288"/>
      <c r="O713" s="1290"/>
      <c r="Z713" s="1290"/>
    </row>
    <row r="714" spans="1:26" x14ac:dyDescent="0.6">
      <c r="A714" s="1513"/>
      <c r="N714" s="1288"/>
      <c r="O714" s="1290"/>
      <c r="Z714" s="1290"/>
    </row>
    <row r="715" spans="1:26" x14ac:dyDescent="0.6">
      <c r="A715" s="1513"/>
      <c r="N715" s="1288"/>
      <c r="O715" s="1290"/>
      <c r="Z715" s="1290"/>
    </row>
    <row r="716" spans="1:26" x14ac:dyDescent="0.6">
      <c r="A716" s="1513"/>
      <c r="N716" s="1288"/>
      <c r="O716" s="1290"/>
      <c r="Z716" s="1290"/>
    </row>
    <row r="717" spans="1:26" x14ac:dyDescent="0.6">
      <c r="A717" s="1513"/>
      <c r="N717" s="1288"/>
      <c r="O717" s="1290"/>
      <c r="Z717" s="1290"/>
    </row>
    <row r="718" spans="1:26" x14ac:dyDescent="0.6">
      <c r="A718" s="1513"/>
      <c r="N718" s="1288"/>
      <c r="O718" s="1290"/>
      <c r="Z718" s="1290"/>
    </row>
    <row r="719" spans="1:26" x14ac:dyDescent="0.6">
      <c r="A719" s="1513"/>
      <c r="N719" s="1288"/>
      <c r="O719" s="1290"/>
      <c r="Z719" s="1290"/>
    </row>
    <row r="720" spans="1:26" x14ac:dyDescent="0.6">
      <c r="A720" s="1513"/>
      <c r="N720" s="1288"/>
      <c r="O720" s="1290"/>
      <c r="Z720" s="1290"/>
    </row>
    <row r="721" spans="1:26" x14ac:dyDescent="0.6">
      <c r="A721" s="1513"/>
      <c r="N721" s="1288"/>
      <c r="O721" s="1290"/>
      <c r="Z721" s="1290"/>
    </row>
    <row r="722" spans="1:26" x14ac:dyDescent="0.6">
      <c r="A722" s="1513"/>
      <c r="N722" s="1288"/>
      <c r="O722" s="1290"/>
      <c r="Z722" s="1290"/>
    </row>
    <row r="723" spans="1:26" x14ac:dyDescent="0.6">
      <c r="A723" s="1513"/>
      <c r="N723" s="1288"/>
      <c r="O723" s="1290"/>
      <c r="Z723" s="1290"/>
    </row>
    <row r="724" spans="1:26" x14ac:dyDescent="0.6">
      <c r="A724" s="1513"/>
      <c r="N724" s="1288"/>
      <c r="O724" s="1290"/>
      <c r="Z724" s="1290"/>
    </row>
    <row r="725" spans="1:26" x14ac:dyDescent="0.6">
      <c r="A725" s="1513"/>
      <c r="N725" s="1288"/>
      <c r="O725" s="1290"/>
      <c r="Z725" s="1290"/>
    </row>
    <row r="726" spans="1:26" x14ac:dyDescent="0.6">
      <c r="A726" s="1513"/>
      <c r="N726" s="1288"/>
      <c r="O726" s="1290"/>
      <c r="Z726" s="1290"/>
    </row>
    <row r="727" spans="1:26" x14ac:dyDescent="0.6">
      <c r="A727" s="1513"/>
      <c r="N727" s="1288"/>
      <c r="O727" s="1290"/>
      <c r="Z727" s="1290"/>
    </row>
    <row r="728" spans="1:26" x14ac:dyDescent="0.6">
      <c r="A728" s="1513"/>
      <c r="N728" s="1288"/>
      <c r="O728" s="1290"/>
      <c r="Z728" s="1290"/>
    </row>
    <row r="729" spans="1:26" x14ac:dyDescent="0.6">
      <c r="A729" s="1513"/>
      <c r="N729" s="1288"/>
      <c r="O729" s="1290"/>
      <c r="Z729" s="1290"/>
    </row>
    <row r="730" spans="1:26" x14ac:dyDescent="0.6">
      <c r="A730" s="1513"/>
      <c r="N730" s="1288"/>
      <c r="O730" s="1290"/>
      <c r="Z730" s="1290"/>
    </row>
    <row r="731" spans="1:26" x14ac:dyDescent="0.6">
      <c r="A731" s="1513"/>
      <c r="N731" s="1288"/>
      <c r="O731" s="1290"/>
      <c r="Z731" s="1290"/>
    </row>
    <row r="732" spans="1:26" x14ac:dyDescent="0.6">
      <c r="A732" s="1513"/>
      <c r="N732" s="1288"/>
      <c r="O732" s="1290"/>
      <c r="Z732" s="1290"/>
    </row>
    <row r="733" spans="1:26" x14ac:dyDescent="0.6">
      <c r="A733" s="1513"/>
      <c r="N733" s="1288"/>
      <c r="O733" s="1290"/>
      <c r="Z733" s="1290"/>
    </row>
    <row r="734" spans="1:26" x14ac:dyDescent="0.6">
      <c r="A734" s="1513"/>
      <c r="N734" s="1288"/>
      <c r="O734" s="1290"/>
      <c r="Z734" s="1290"/>
    </row>
    <row r="735" spans="1:26" x14ac:dyDescent="0.6">
      <c r="A735" s="1513"/>
      <c r="N735" s="1288"/>
      <c r="O735" s="1290"/>
      <c r="Z735" s="1290"/>
    </row>
    <row r="736" spans="1:26" x14ac:dyDescent="0.6">
      <c r="A736" s="1513"/>
      <c r="N736" s="1288"/>
      <c r="O736" s="1290"/>
      <c r="Z736" s="1290"/>
    </row>
    <row r="737" spans="1:26" x14ac:dyDescent="0.6">
      <c r="A737" s="1513"/>
      <c r="N737" s="1288"/>
      <c r="O737" s="1290"/>
      <c r="Z737" s="1290"/>
    </row>
    <row r="738" spans="1:26" x14ac:dyDescent="0.6">
      <c r="A738" s="1513"/>
      <c r="N738" s="1288"/>
      <c r="O738" s="1290"/>
      <c r="Z738" s="1290"/>
    </row>
    <row r="739" spans="1:26" x14ac:dyDescent="0.6">
      <c r="A739" s="1513"/>
      <c r="N739" s="1288"/>
      <c r="O739" s="1290"/>
      <c r="Z739" s="1290"/>
    </row>
    <row r="740" spans="1:26" x14ac:dyDescent="0.6">
      <c r="A740" s="1513"/>
      <c r="N740" s="1288"/>
      <c r="O740" s="1290"/>
      <c r="Z740" s="1290"/>
    </row>
    <row r="741" spans="1:26" x14ac:dyDescent="0.6">
      <c r="A741" s="1513"/>
      <c r="N741" s="1288"/>
      <c r="O741" s="1290"/>
      <c r="Z741" s="1290"/>
    </row>
    <row r="742" spans="1:26" x14ac:dyDescent="0.6">
      <c r="A742" s="1513"/>
      <c r="N742" s="1288"/>
      <c r="O742" s="1290"/>
      <c r="Z742" s="1290"/>
    </row>
    <row r="743" spans="1:26" x14ac:dyDescent="0.6">
      <c r="A743" s="1513"/>
      <c r="N743" s="1288"/>
      <c r="O743" s="1290"/>
      <c r="Z743" s="1290"/>
    </row>
    <row r="744" spans="1:26" x14ac:dyDescent="0.6">
      <c r="A744" s="1513"/>
      <c r="N744" s="1288"/>
      <c r="O744" s="1290"/>
      <c r="Z744" s="1290"/>
    </row>
    <row r="745" spans="1:26" x14ac:dyDescent="0.6">
      <c r="A745" s="1513"/>
      <c r="N745" s="1288"/>
      <c r="O745" s="1290"/>
      <c r="Z745" s="1290"/>
    </row>
    <row r="746" spans="1:26" x14ac:dyDescent="0.6">
      <c r="A746" s="1513"/>
      <c r="N746" s="1288"/>
      <c r="O746" s="1290"/>
      <c r="Z746" s="1290"/>
    </row>
    <row r="747" spans="1:26" x14ac:dyDescent="0.6">
      <c r="A747" s="1513"/>
      <c r="N747" s="1288"/>
      <c r="O747" s="1290"/>
      <c r="Z747" s="1290"/>
    </row>
    <row r="748" spans="1:26" x14ac:dyDescent="0.6">
      <c r="A748" s="1513"/>
      <c r="N748" s="1288"/>
      <c r="O748" s="1290"/>
      <c r="Z748" s="1290"/>
    </row>
    <row r="749" spans="1:26" x14ac:dyDescent="0.6">
      <c r="A749" s="1513"/>
      <c r="N749" s="1288"/>
      <c r="O749" s="1290"/>
      <c r="Z749" s="1290"/>
    </row>
    <row r="750" spans="1:26" x14ac:dyDescent="0.6">
      <c r="A750" s="1513"/>
      <c r="N750" s="1288"/>
      <c r="O750" s="1290"/>
      <c r="Z750" s="1290"/>
    </row>
    <row r="751" spans="1:26" x14ac:dyDescent="0.6">
      <c r="A751" s="1513"/>
      <c r="N751" s="1288"/>
      <c r="O751" s="1290"/>
      <c r="Z751" s="1290"/>
    </row>
    <row r="752" spans="1:26" x14ac:dyDescent="0.6">
      <c r="A752" s="1513"/>
      <c r="N752" s="1288"/>
      <c r="O752" s="1290"/>
      <c r="Z752" s="1290"/>
    </row>
    <row r="753" spans="1:26" x14ac:dyDescent="0.6">
      <c r="A753" s="1513"/>
      <c r="N753" s="1288"/>
      <c r="O753" s="1290"/>
      <c r="Z753" s="1290"/>
    </row>
    <row r="754" spans="1:26" x14ac:dyDescent="0.6">
      <c r="A754" s="1513"/>
      <c r="N754" s="1288"/>
      <c r="O754" s="1290"/>
      <c r="Z754" s="1290"/>
    </row>
    <row r="755" spans="1:26" x14ac:dyDescent="0.6">
      <c r="A755" s="1513"/>
      <c r="N755" s="1288"/>
      <c r="O755" s="1290"/>
      <c r="Z755" s="1290"/>
    </row>
    <row r="756" spans="1:26" x14ac:dyDescent="0.6">
      <c r="A756" s="1513"/>
      <c r="N756" s="1288"/>
      <c r="O756" s="1290"/>
      <c r="Z756" s="1290"/>
    </row>
    <row r="757" spans="1:26" x14ac:dyDescent="0.6">
      <c r="A757" s="1513"/>
      <c r="N757" s="1288"/>
      <c r="O757" s="1290"/>
      <c r="Z757" s="1290"/>
    </row>
    <row r="758" spans="1:26" x14ac:dyDescent="0.6">
      <c r="A758" s="1513"/>
      <c r="N758" s="1288"/>
      <c r="O758" s="1290"/>
      <c r="Z758" s="1290"/>
    </row>
    <row r="759" spans="1:26" x14ac:dyDescent="0.6">
      <c r="A759" s="1513"/>
      <c r="N759" s="1288"/>
      <c r="O759" s="1290"/>
      <c r="Z759" s="1290"/>
    </row>
    <row r="760" spans="1:26" x14ac:dyDescent="0.6">
      <c r="A760" s="1513"/>
      <c r="N760" s="1288"/>
      <c r="O760" s="1290"/>
      <c r="Z760" s="1290"/>
    </row>
    <row r="761" spans="1:26" x14ac:dyDescent="0.6">
      <c r="A761" s="1513"/>
      <c r="N761" s="1288"/>
      <c r="O761" s="1290"/>
      <c r="Z761" s="1290"/>
    </row>
    <row r="762" spans="1:26" x14ac:dyDescent="0.6">
      <c r="A762" s="1513"/>
      <c r="N762" s="1288"/>
      <c r="O762" s="1290"/>
      <c r="Z762" s="1290"/>
    </row>
    <row r="763" spans="1:26" x14ac:dyDescent="0.6">
      <c r="A763" s="1513"/>
      <c r="N763" s="1288"/>
      <c r="O763" s="1290"/>
      <c r="Z763" s="1290"/>
    </row>
    <row r="764" spans="1:26" x14ac:dyDescent="0.6">
      <c r="A764" s="1513"/>
      <c r="N764" s="1288"/>
      <c r="O764" s="1290"/>
      <c r="Z764" s="1290"/>
    </row>
    <row r="765" spans="1:26" x14ac:dyDescent="0.6">
      <c r="A765" s="1513"/>
      <c r="N765" s="1288"/>
      <c r="O765" s="1290"/>
      <c r="Z765" s="1290"/>
    </row>
    <row r="766" spans="1:26" x14ac:dyDescent="0.6">
      <c r="A766" s="1513"/>
      <c r="N766" s="1288"/>
      <c r="O766" s="1290"/>
      <c r="Z766" s="1290"/>
    </row>
    <row r="767" spans="1:26" x14ac:dyDescent="0.6">
      <c r="A767" s="1513"/>
      <c r="N767" s="1288"/>
      <c r="O767" s="1290"/>
      <c r="Z767" s="1290"/>
    </row>
    <row r="768" spans="1:26" x14ac:dyDescent="0.6">
      <c r="A768" s="1513"/>
      <c r="N768" s="1288"/>
      <c r="O768" s="1290"/>
      <c r="Z768" s="1290"/>
    </row>
    <row r="769" spans="1:26" x14ac:dyDescent="0.6">
      <c r="A769" s="1513"/>
      <c r="N769" s="1288"/>
      <c r="O769" s="1290"/>
      <c r="Z769" s="1290"/>
    </row>
    <row r="770" spans="1:26" x14ac:dyDescent="0.6">
      <c r="A770" s="1513"/>
      <c r="N770" s="1288"/>
      <c r="O770" s="1290"/>
      <c r="Z770" s="1290"/>
    </row>
    <row r="771" spans="1:26" x14ac:dyDescent="0.6">
      <c r="A771" s="1513"/>
      <c r="N771" s="1288"/>
      <c r="O771" s="1290"/>
      <c r="Z771" s="1290"/>
    </row>
    <row r="772" spans="1:26" x14ac:dyDescent="0.6">
      <c r="A772" s="1513"/>
      <c r="N772" s="1288"/>
      <c r="O772" s="1290"/>
      <c r="Z772" s="1290"/>
    </row>
    <row r="773" spans="1:26" x14ac:dyDescent="0.6">
      <c r="A773" s="1513"/>
      <c r="N773" s="1288"/>
      <c r="O773" s="1290"/>
      <c r="Z773" s="1290"/>
    </row>
    <row r="774" spans="1:26" x14ac:dyDescent="0.6">
      <c r="A774" s="1513"/>
      <c r="N774" s="1288"/>
      <c r="O774" s="1290"/>
      <c r="Z774" s="1290"/>
    </row>
    <row r="775" spans="1:26" x14ac:dyDescent="0.6">
      <c r="A775" s="1513"/>
      <c r="N775" s="1288"/>
      <c r="O775" s="1290"/>
      <c r="Z775" s="1290"/>
    </row>
    <row r="776" spans="1:26" x14ac:dyDescent="0.6">
      <c r="A776" s="1513"/>
      <c r="N776" s="1288"/>
      <c r="O776" s="1290"/>
      <c r="Z776" s="1290"/>
    </row>
    <row r="777" spans="1:26" x14ac:dyDescent="0.6">
      <c r="A777" s="1513"/>
      <c r="N777" s="1288"/>
      <c r="O777" s="1290"/>
      <c r="Z777" s="1290"/>
    </row>
    <row r="778" spans="1:26" x14ac:dyDescent="0.6">
      <c r="A778" s="1513"/>
      <c r="N778" s="1288"/>
      <c r="O778" s="1290"/>
      <c r="Z778" s="1290"/>
    </row>
    <row r="779" spans="1:26" x14ac:dyDescent="0.6">
      <c r="A779" s="1513"/>
      <c r="N779" s="1288"/>
      <c r="O779" s="1290"/>
      <c r="Z779" s="1290"/>
    </row>
    <row r="780" spans="1:26" x14ac:dyDescent="0.6">
      <c r="A780" s="1513"/>
      <c r="N780" s="1288"/>
      <c r="O780" s="1290"/>
      <c r="Z780" s="1290"/>
    </row>
    <row r="781" spans="1:26" x14ac:dyDescent="0.6">
      <c r="A781" s="1513"/>
      <c r="N781" s="1288"/>
      <c r="O781" s="1290"/>
      <c r="Z781" s="1290"/>
    </row>
    <row r="782" spans="1:26" x14ac:dyDescent="0.6">
      <c r="A782" s="1513"/>
      <c r="N782" s="1288"/>
      <c r="O782" s="1290"/>
      <c r="Z782" s="1290"/>
    </row>
    <row r="783" spans="1:26" x14ac:dyDescent="0.6">
      <c r="A783" s="1513"/>
      <c r="N783" s="1288"/>
      <c r="O783" s="1290"/>
      <c r="Z783" s="1290"/>
    </row>
    <row r="784" spans="1:26" x14ac:dyDescent="0.6">
      <c r="A784" s="1513"/>
      <c r="N784" s="1288"/>
      <c r="O784" s="1290"/>
      <c r="Z784" s="1290"/>
    </row>
    <row r="785" spans="1:26" x14ac:dyDescent="0.6">
      <c r="A785" s="1513"/>
      <c r="N785" s="1288"/>
      <c r="O785" s="1290"/>
      <c r="Z785" s="1290"/>
    </row>
    <row r="786" spans="1:26" x14ac:dyDescent="0.6">
      <c r="A786" s="1513"/>
      <c r="N786" s="1288"/>
      <c r="O786" s="1290"/>
      <c r="Z786" s="1290"/>
    </row>
    <row r="787" spans="1:26" x14ac:dyDescent="0.6">
      <c r="A787" s="1513"/>
      <c r="N787" s="1288"/>
      <c r="O787" s="1290"/>
      <c r="Z787" s="1290"/>
    </row>
    <row r="788" spans="1:26" x14ac:dyDescent="0.6">
      <c r="A788" s="1513"/>
      <c r="N788" s="1288"/>
      <c r="O788" s="1290"/>
      <c r="Z788" s="1290"/>
    </row>
    <row r="789" spans="1:26" x14ac:dyDescent="0.6">
      <c r="A789" s="1513"/>
      <c r="N789" s="1288"/>
      <c r="O789" s="1290"/>
      <c r="Z789" s="1290"/>
    </row>
    <row r="790" spans="1:26" x14ac:dyDescent="0.6">
      <c r="A790" s="1513"/>
      <c r="N790" s="1288"/>
      <c r="O790" s="1290"/>
      <c r="Z790" s="1290"/>
    </row>
    <row r="791" spans="1:26" x14ac:dyDescent="0.6">
      <c r="A791" s="1513"/>
      <c r="N791" s="1288"/>
      <c r="O791" s="1290"/>
      <c r="Z791" s="1290"/>
    </row>
    <row r="792" spans="1:26" x14ac:dyDescent="0.6">
      <c r="A792" s="1513"/>
      <c r="N792" s="1288"/>
      <c r="O792" s="1290"/>
      <c r="Z792" s="1290"/>
    </row>
    <row r="793" spans="1:26" x14ac:dyDescent="0.6">
      <c r="A793" s="1513"/>
      <c r="N793" s="1288"/>
      <c r="O793" s="1290"/>
      <c r="Z793" s="1290"/>
    </row>
    <row r="794" spans="1:26" x14ac:dyDescent="0.6">
      <c r="A794" s="1513"/>
      <c r="N794" s="1288"/>
      <c r="O794" s="1290"/>
      <c r="Z794" s="1290"/>
    </row>
    <row r="795" spans="1:26" x14ac:dyDescent="0.6">
      <c r="A795" s="1513"/>
      <c r="N795" s="1288"/>
      <c r="O795" s="1290"/>
      <c r="Z795" s="1290"/>
    </row>
    <row r="796" spans="1:26" x14ac:dyDescent="0.6">
      <c r="A796" s="1513"/>
      <c r="N796" s="1288"/>
      <c r="O796" s="1290"/>
      <c r="Z796" s="1290"/>
    </row>
    <row r="797" spans="1:26" x14ac:dyDescent="0.6">
      <c r="A797" s="1513"/>
      <c r="N797" s="1288"/>
      <c r="O797" s="1290"/>
      <c r="Z797" s="1290"/>
    </row>
    <row r="798" spans="1:26" x14ac:dyDescent="0.6">
      <c r="A798" s="1513"/>
      <c r="N798" s="1288"/>
      <c r="O798" s="1290"/>
      <c r="Z798" s="1290"/>
    </row>
    <row r="799" spans="1:26" x14ac:dyDescent="0.6">
      <c r="A799" s="1513"/>
      <c r="N799" s="1288"/>
      <c r="O799" s="1290"/>
      <c r="Z799" s="1290"/>
    </row>
    <row r="800" spans="1:26" x14ac:dyDescent="0.6">
      <c r="A800" s="1513"/>
      <c r="N800" s="1288"/>
      <c r="O800" s="1290"/>
      <c r="Z800" s="1290"/>
    </row>
    <row r="801" spans="1:26" x14ac:dyDescent="0.6">
      <c r="A801" s="1513"/>
      <c r="N801" s="1288"/>
      <c r="O801" s="1290"/>
      <c r="Z801" s="1290"/>
    </row>
    <row r="802" spans="1:26" x14ac:dyDescent="0.6">
      <c r="A802" s="1513"/>
      <c r="N802" s="1288"/>
      <c r="O802" s="1290"/>
      <c r="Z802" s="1290"/>
    </row>
    <row r="803" spans="1:26" x14ac:dyDescent="0.6">
      <c r="A803" s="1513"/>
      <c r="N803" s="1288"/>
      <c r="O803" s="1290"/>
      <c r="Z803" s="1290"/>
    </row>
    <row r="804" spans="1:26" x14ac:dyDescent="0.6">
      <c r="A804" s="1513"/>
      <c r="N804" s="1288"/>
      <c r="O804" s="1290"/>
      <c r="Z804" s="1290"/>
    </row>
    <row r="805" spans="1:26" x14ac:dyDescent="0.6">
      <c r="A805" s="1513"/>
      <c r="N805" s="1288"/>
      <c r="O805" s="1290"/>
      <c r="Z805" s="1290"/>
    </row>
    <row r="806" spans="1:26" x14ac:dyDescent="0.6">
      <c r="A806" s="1513"/>
      <c r="N806" s="1288"/>
      <c r="O806" s="1290"/>
      <c r="Z806" s="1290"/>
    </row>
    <row r="807" spans="1:26" x14ac:dyDescent="0.6">
      <c r="A807" s="1513"/>
      <c r="N807" s="1288"/>
      <c r="O807" s="1290"/>
      <c r="Z807" s="1290"/>
    </row>
    <row r="808" spans="1:26" x14ac:dyDescent="0.6">
      <c r="A808" s="1513"/>
      <c r="N808" s="1288"/>
      <c r="O808" s="1290"/>
      <c r="Z808" s="1290"/>
    </row>
    <row r="809" spans="1:26" x14ac:dyDescent="0.6">
      <c r="A809" s="1513"/>
      <c r="N809" s="1288"/>
      <c r="O809" s="1290"/>
      <c r="Z809" s="1290"/>
    </row>
    <row r="810" spans="1:26" x14ac:dyDescent="0.6">
      <c r="A810" s="1513"/>
      <c r="N810" s="1288"/>
      <c r="O810" s="1290"/>
      <c r="Z810" s="1290"/>
    </row>
    <row r="811" spans="1:26" x14ac:dyDescent="0.6">
      <c r="A811" s="1513"/>
      <c r="N811" s="1288"/>
      <c r="O811" s="1290"/>
      <c r="Z811" s="1290"/>
    </row>
    <row r="812" spans="1:26" x14ac:dyDescent="0.6">
      <c r="A812" s="1513"/>
      <c r="N812" s="1288"/>
      <c r="O812" s="1290"/>
      <c r="Z812" s="1290"/>
    </row>
    <row r="813" spans="1:26" x14ac:dyDescent="0.6">
      <c r="A813" s="1513"/>
      <c r="N813" s="1288"/>
      <c r="O813" s="1290"/>
      <c r="Z813" s="1290"/>
    </row>
    <row r="814" spans="1:26" x14ac:dyDescent="0.6">
      <c r="A814" s="1513"/>
      <c r="N814" s="1288"/>
      <c r="O814" s="1290"/>
      <c r="Z814" s="1290"/>
    </row>
    <row r="815" spans="1:26" x14ac:dyDescent="0.6">
      <c r="A815" s="1513"/>
      <c r="N815" s="1288"/>
      <c r="O815" s="1290"/>
      <c r="Z815" s="1290"/>
    </row>
    <row r="816" spans="1:26" x14ac:dyDescent="0.6">
      <c r="A816" s="1513"/>
      <c r="N816" s="1288"/>
      <c r="O816" s="1290"/>
      <c r="Z816" s="1290"/>
    </row>
    <row r="817" spans="1:26" x14ac:dyDescent="0.6">
      <c r="A817" s="1513"/>
      <c r="N817" s="1288"/>
      <c r="O817" s="1290"/>
      <c r="Z817" s="1290"/>
    </row>
    <row r="818" spans="1:26" x14ac:dyDescent="0.6">
      <c r="A818" s="1513"/>
      <c r="N818" s="1288"/>
      <c r="O818" s="1290"/>
      <c r="Z818" s="1290"/>
    </row>
    <row r="819" spans="1:26" x14ac:dyDescent="0.6">
      <c r="A819" s="1513"/>
      <c r="N819" s="1288"/>
      <c r="O819" s="1290"/>
      <c r="Z819" s="1290"/>
    </row>
    <row r="820" spans="1:26" x14ac:dyDescent="0.6">
      <c r="A820" s="1513"/>
      <c r="N820" s="1288"/>
      <c r="O820" s="1290"/>
      <c r="Z820" s="1290"/>
    </row>
    <row r="821" spans="1:26" x14ac:dyDescent="0.6">
      <c r="A821" s="1513"/>
      <c r="N821" s="1288"/>
      <c r="O821" s="1290"/>
      <c r="Z821" s="1290"/>
    </row>
    <row r="822" spans="1:26" x14ac:dyDescent="0.6">
      <c r="A822" s="1513"/>
      <c r="N822" s="1288"/>
      <c r="O822" s="1290"/>
      <c r="Z822" s="1290"/>
    </row>
    <row r="823" spans="1:26" x14ac:dyDescent="0.6">
      <c r="A823" s="1513"/>
      <c r="N823" s="1288"/>
      <c r="O823" s="1290"/>
      <c r="Z823" s="1290"/>
    </row>
    <row r="824" spans="1:26" x14ac:dyDescent="0.6">
      <c r="A824" s="1513"/>
      <c r="N824" s="1288"/>
      <c r="O824" s="1290"/>
      <c r="Z824" s="1290"/>
    </row>
    <row r="825" spans="1:26" x14ac:dyDescent="0.6">
      <c r="A825" s="1513"/>
      <c r="N825" s="1288"/>
      <c r="O825" s="1290"/>
      <c r="Z825" s="1290"/>
    </row>
    <row r="826" spans="1:26" x14ac:dyDescent="0.6">
      <c r="A826" s="1513"/>
      <c r="N826" s="1288"/>
      <c r="O826" s="1290"/>
      <c r="Z826" s="1290"/>
    </row>
    <row r="827" spans="1:26" x14ac:dyDescent="0.6">
      <c r="A827" s="1513"/>
      <c r="N827" s="1288"/>
      <c r="O827" s="1290"/>
      <c r="Z827" s="1290"/>
    </row>
    <row r="828" spans="1:26" x14ac:dyDescent="0.6">
      <c r="A828" s="1513"/>
      <c r="N828" s="1288"/>
      <c r="O828" s="1290"/>
      <c r="Z828" s="1290"/>
    </row>
    <row r="829" spans="1:26" x14ac:dyDescent="0.6">
      <c r="A829" s="1513"/>
      <c r="N829" s="1288"/>
      <c r="O829" s="1290"/>
      <c r="Z829" s="1290"/>
    </row>
    <row r="830" spans="1:26" x14ac:dyDescent="0.6">
      <c r="A830" s="1513"/>
      <c r="N830" s="1288"/>
      <c r="O830" s="1290"/>
      <c r="Z830" s="1290"/>
    </row>
    <row r="831" spans="1:26" x14ac:dyDescent="0.6">
      <c r="A831" s="1513"/>
      <c r="N831" s="1288"/>
      <c r="O831" s="1290"/>
      <c r="Z831" s="1290"/>
    </row>
    <row r="832" spans="1:26" x14ac:dyDescent="0.6">
      <c r="A832" s="1513"/>
      <c r="N832" s="1288"/>
      <c r="O832" s="1290"/>
      <c r="Z832" s="1290"/>
    </row>
    <row r="833" spans="1:26" x14ac:dyDescent="0.6">
      <c r="A833" s="1513"/>
      <c r="N833" s="1288"/>
      <c r="O833" s="1290"/>
      <c r="Z833" s="1290"/>
    </row>
    <row r="834" spans="1:26" x14ac:dyDescent="0.6">
      <c r="A834" s="1513"/>
      <c r="N834" s="1288"/>
      <c r="O834" s="1290"/>
      <c r="Z834" s="1290"/>
    </row>
    <row r="835" spans="1:26" x14ac:dyDescent="0.6">
      <c r="A835" s="1513"/>
      <c r="N835" s="1288"/>
      <c r="O835" s="1290"/>
      <c r="Z835" s="1290"/>
    </row>
    <row r="836" spans="1:26" x14ac:dyDescent="0.6">
      <c r="A836" s="1513"/>
      <c r="N836" s="1288"/>
      <c r="O836" s="1290"/>
      <c r="Z836" s="1290"/>
    </row>
    <row r="837" spans="1:26" x14ac:dyDescent="0.6">
      <c r="A837" s="1513"/>
      <c r="N837" s="1288"/>
      <c r="O837" s="1290"/>
      <c r="Z837" s="1290"/>
    </row>
    <row r="838" spans="1:26" x14ac:dyDescent="0.6">
      <c r="A838" s="1513"/>
      <c r="N838" s="1288"/>
      <c r="O838" s="1290"/>
      <c r="Z838" s="1290"/>
    </row>
    <row r="839" spans="1:26" x14ac:dyDescent="0.6">
      <c r="A839" s="1513"/>
      <c r="N839" s="1288"/>
      <c r="O839" s="1290"/>
      <c r="Z839" s="1290"/>
    </row>
    <row r="840" spans="1:26" x14ac:dyDescent="0.6">
      <c r="A840" s="1513"/>
      <c r="N840" s="1288"/>
      <c r="O840" s="1290"/>
      <c r="Z840" s="1290"/>
    </row>
    <row r="841" spans="1:26" x14ac:dyDescent="0.6">
      <c r="A841" s="1513"/>
      <c r="N841" s="1288"/>
      <c r="O841" s="1290"/>
      <c r="Z841" s="1290"/>
    </row>
    <row r="842" spans="1:26" x14ac:dyDescent="0.6">
      <c r="A842" s="1513"/>
      <c r="N842" s="1288"/>
      <c r="O842" s="1290"/>
      <c r="Z842" s="1290"/>
    </row>
    <row r="843" spans="1:26" x14ac:dyDescent="0.6">
      <c r="A843" s="1513"/>
      <c r="N843" s="1288"/>
      <c r="O843" s="1290"/>
      <c r="Z843" s="1290"/>
    </row>
    <row r="844" spans="1:26" x14ac:dyDescent="0.6">
      <c r="A844" s="1513"/>
      <c r="N844" s="1288"/>
      <c r="O844" s="1290"/>
      <c r="Z844" s="1290"/>
    </row>
    <row r="845" spans="1:26" x14ac:dyDescent="0.6">
      <c r="A845" s="1513"/>
      <c r="N845" s="1288"/>
      <c r="O845" s="1290"/>
      <c r="Z845" s="1290"/>
    </row>
    <row r="846" spans="1:26" x14ac:dyDescent="0.6">
      <c r="A846" s="1513"/>
      <c r="N846" s="1288"/>
      <c r="O846" s="1290"/>
      <c r="Z846" s="1290"/>
    </row>
    <row r="847" spans="1:26" x14ac:dyDescent="0.6">
      <c r="A847" s="1513"/>
      <c r="N847" s="1288"/>
      <c r="O847" s="1290"/>
      <c r="Z847" s="1290"/>
    </row>
    <row r="848" spans="1:26" x14ac:dyDescent="0.6">
      <c r="A848" s="1513"/>
      <c r="N848" s="1288"/>
      <c r="O848" s="1290"/>
      <c r="Z848" s="1290"/>
    </row>
    <row r="849" spans="1:26" x14ac:dyDescent="0.6">
      <c r="A849" s="1513"/>
      <c r="N849" s="1288"/>
      <c r="O849" s="1290"/>
      <c r="Z849" s="1290"/>
    </row>
    <row r="850" spans="1:26" x14ac:dyDescent="0.6">
      <c r="A850" s="1513"/>
      <c r="N850" s="1288"/>
      <c r="O850" s="1290"/>
      <c r="Z850" s="1290"/>
    </row>
    <row r="851" spans="1:26" x14ac:dyDescent="0.6">
      <c r="A851" s="1513"/>
      <c r="N851" s="1288"/>
      <c r="O851" s="1290"/>
      <c r="Z851" s="1290"/>
    </row>
    <row r="852" spans="1:26" x14ac:dyDescent="0.6">
      <c r="A852" s="1513"/>
      <c r="N852" s="1288"/>
      <c r="O852" s="1290"/>
      <c r="Z852" s="1290"/>
    </row>
    <row r="853" spans="1:26" x14ac:dyDescent="0.6">
      <c r="A853" s="1513"/>
      <c r="N853" s="1288"/>
      <c r="O853" s="1290"/>
      <c r="Z853" s="1290"/>
    </row>
    <row r="854" spans="1:26" x14ac:dyDescent="0.6">
      <c r="A854" s="1513"/>
      <c r="N854" s="1288"/>
      <c r="O854" s="1290"/>
      <c r="Z854" s="1290"/>
    </row>
    <row r="855" spans="1:26" x14ac:dyDescent="0.6">
      <c r="A855" s="1513"/>
      <c r="N855" s="1288"/>
      <c r="O855" s="1290"/>
      <c r="Z855" s="1290"/>
    </row>
    <row r="856" spans="1:26" x14ac:dyDescent="0.6">
      <c r="A856" s="1513"/>
      <c r="N856" s="1288"/>
      <c r="O856" s="1290"/>
      <c r="Z856" s="1290"/>
    </row>
    <row r="857" spans="1:26" x14ac:dyDescent="0.6">
      <c r="A857" s="1513"/>
      <c r="N857" s="1288"/>
      <c r="O857" s="1290"/>
      <c r="Z857" s="1290"/>
    </row>
    <row r="858" spans="1:26" x14ac:dyDescent="0.6">
      <c r="A858" s="1513"/>
      <c r="N858" s="1288"/>
      <c r="O858" s="1290"/>
      <c r="Z858" s="1290"/>
    </row>
    <row r="859" spans="1:26" x14ac:dyDescent="0.6">
      <c r="A859" s="1513"/>
      <c r="N859" s="1288"/>
      <c r="O859" s="1290"/>
      <c r="Z859" s="1290"/>
    </row>
    <row r="860" spans="1:26" x14ac:dyDescent="0.6">
      <c r="A860" s="1513"/>
      <c r="N860" s="1288"/>
      <c r="O860" s="1290"/>
      <c r="Z860" s="1290"/>
    </row>
    <row r="861" spans="1:26" x14ac:dyDescent="0.6">
      <c r="A861" s="1513"/>
      <c r="N861" s="1288"/>
      <c r="O861" s="1290"/>
      <c r="Z861" s="1290"/>
    </row>
    <row r="862" spans="1:26" x14ac:dyDescent="0.6">
      <c r="A862" s="1513"/>
      <c r="N862" s="1288"/>
      <c r="O862" s="1290"/>
      <c r="Z862" s="1290"/>
    </row>
    <row r="863" spans="1:26" x14ac:dyDescent="0.6">
      <c r="A863" s="1513"/>
      <c r="N863" s="1288"/>
      <c r="O863" s="1290"/>
      <c r="Z863" s="1290"/>
    </row>
    <row r="864" spans="1:26" x14ac:dyDescent="0.6">
      <c r="A864" s="1513"/>
      <c r="N864" s="1288"/>
      <c r="O864" s="1290"/>
      <c r="Z864" s="1290"/>
    </row>
    <row r="865" spans="1:26" x14ac:dyDescent="0.6">
      <c r="A865" s="1513"/>
      <c r="N865" s="1288"/>
      <c r="O865" s="1290"/>
      <c r="Z865" s="1290"/>
    </row>
    <row r="866" spans="1:26" x14ac:dyDescent="0.6">
      <c r="A866" s="1513"/>
      <c r="N866" s="1288"/>
      <c r="O866" s="1290"/>
      <c r="Z866" s="1290"/>
    </row>
    <row r="867" spans="1:26" x14ac:dyDescent="0.6">
      <c r="A867" s="1513"/>
      <c r="N867" s="1288"/>
      <c r="O867" s="1290"/>
      <c r="Z867" s="1290"/>
    </row>
    <row r="868" spans="1:26" x14ac:dyDescent="0.6">
      <c r="A868" s="1513"/>
      <c r="N868" s="1288"/>
      <c r="O868" s="1290"/>
      <c r="Z868" s="1290"/>
    </row>
    <row r="869" spans="1:26" x14ac:dyDescent="0.6">
      <c r="A869" s="1513"/>
      <c r="N869" s="1288"/>
      <c r="O869" s="1290"/>
      <c r="Z869" s="1290"/>
    </row>
    <row r="870" spans="1:26" x14ac:dyDescent="0.6">
      <c r="A870" s="1513"/>
      <c r="N870" s="1288"/>
      <c r="O870" s="1290"/>
      <c r="Z870" s="1290"/>
    </row>
    <row r="871" spans="1:26" x14ac:dyDescent="0.6">
      <c r="A871" s="1513"/>
      <c r="N871" s="1288"/>
      <c r="O871" s="1290"/>
      <c r="Z871" s="1290"/>
    </row>
    <row r="872" spans="1:26" x14ac:dyDescent="0.6">
      <c r="A872" s="1513"/>
      <c r="N872" s="1288"/>
      <c r="O872" s="1290"/>
      <c r="Z872" s="1290"/>
    </row>
    <row r="873" spans="1:26" x14ac:dyDescent="0.6">
      <c r="A873" s="1513"/>
      <c r="N873" s="1288"/>
      <c r="O873" s="1290"/>
      <c r="Z873" s="1290"/>
    </row>
    <row r="874" spans="1:26" x14ac:dyDescent="0.6">
      <c r="A874" s="1513"/>
      <c r="N874" s="1288"/>
      <c r="O874" s="1290"/>
      <c r="Z874" s="1290"/>
    </row>
    <row r="875" spans="1:26" x14ac:dyDescent="0.6">
      <c r="A875" s="1513"/>
      <c r="N875" s="1288"/>
      <c r="O875" s="1290"/>
      <c r="Z875" s="1290"/>
    </row>
    <row r="876" spans="1:26" x14ac:dyDescent="0.6">
      <c r="A876" s="1513"/>
      <c r="N876" s="1288"/>
      <c r="O876" s="1290"/>
      <c r="Z876" s="1290"/>
    </row>
    <row r="877" spans="1:26" x14ac:dyDescent="0.6">
      <c r="A877" s="1513"/>
      <c r="N877" s="1288"/>
      <c r="O877" s="1290"/>
      <c r="Z877" s="1290"/>
    </row>
    <row r="878" spans="1:26" x14ac:dyDescent="0.6">
      <c r="A878" s="1513"/>
      <c r="N878" s="1288"/>
      <c r="O878" s="1290"/>
      <c r="Z878" s="1290"/>
    </row>
    <row r="879" spans="1:26" x14ac:dyDescent="0.6">
      <c r="A879" s="1513"/>
      <c r="N879" s="1288"/>
      <c r="O879" s="1290"/>
      <c r="Z879" s="1290"/>
    </row>
    <row r="880" spans="1:26" x14ac:dyDescent="0.6">
      <c r="A880" s="1513"/>
      <c r="N880" s="1288"/>
      <c r="O880" s="1290"/>
      <c r="Z880" s="1290"/>
    </row>
    <row r="881" spans="1:26" x14ac:dyDescent="0.6">
      <c r="A881" s="1513"/>
      <c r="N881" s="1288"/>
      <c r="O881" s="1290"/>
      <c r="Z881" s="1290"/>
    </row>
    <row r="882" spans="1:26" x14ac:dyDescent="0.6">
      <c r="A882" s="1513"/>
      <c r="N882" s="1288"/>
      <c r="O882" s="1290"/>
      <c r="Z882" s="1290"/>
    </row>
    <row r="883" spans="1:26" x14ac:dyDescent="0.6">
      <c r="A883" s="1513"/>
      <c r="N883" s="1288"/>
      <c r="O883" s="1290"/>
      <c r="Z883" s="1290"/>
    </row>
    <row r="884" spans="1:26" x14ac:dyDescent="0.6">
      <c r="A884" s="1513"/>
      <c r="N884" s="1288"/>
      <c r="O884" s="1290"/>
      <c r="Z884" s="1290"/>
    </row>
    <row r="885" spans="1:26" x14ac:dyDescent="0.6">
      <c r="A885" s="1513"/>
      <c r="N885" s="1288"/>
      <c r="O885" s="1290"/>
      <c r="Z885" s="1290"/>
    </row>
    <row r="886" spans="1:26" x14ac:dyDescent="0.6">
      <c r="A886" s="1513"/>
      <c r="N886" s="1288"/>
      <c r="O886" s="1290"/>
      <c r="Z886" s="1290"/>
    </row>
    <row r="887" spans="1:26" x14ac:dyDescent="0.6">
      <c r="A887" s="1513"/>
      <c r="N887" s="1288"/>
      <c r="O887" s="1290"/>
      <c r="Z887" s="1290"/>
    </row>
    <row r="888" spans="1:26" x14ac:dyDescent="0.6">
      <c r="A888" s="1513"/>
      <c r="N888" s="1288"/>
      <c r="O888" s="1290"/>
      <c r="Z888" s="1290"/>
    </row>
    <row r="889" spans="1:26" x14ac:dyDescent="0.6">
      <c r="A889" s="1513"/>
      <c r="N889" s="1288"/>
      <c r="O889" s="1290"/>
      <c r="Z889" s="1290"/>
    </row>
    <row r="890" spans="1:26" x14ac:dyDescent="0.6">
      <c r="A890" s="1513"/>
      <c r="N890" s="1288"/>
      <c r="O890" s="1290"/>
      <c r="Z890" s="1290"/>
    </row>
    <row r="891" spans="1:26" x14ac:dyDescent="0.6">
      <c r="A891" s="1513"/>
      <c r="N891" s="1288"/>
      <c r="O891" s="1290"/>
      <c r="Z891" s="1290"/>
    </row>
    <row r="892" spans="1:26" x14ac:dyDescent="0.6">
      <c r="A892" s="1513"/>
      <c r="N892" s="1288"/>
      <c r="O892" s="1290"/>
      <c r="Z892" s="1290"/>
    </row>
    <row r="893" spans="1:26" x14ac:dyDescent="0.6">
      <c r="A893" s="1513"/>
      <c r="N893" s="1288"/>
      <c r="O893" s="1290"/>
      <c r="Z893" s="1290"/>
    </row>
    <row r="894" spans="1:26" x14ac:dyDescent="0.6">
      <c r="A894" s="1513"/>
      <c r="N894" s="1288"/>
      <c r="O894" s="1290"/>
      <c r="Z894" s="1290"/>
    </row>
    <row r="895" spans="1:26" x14ac:dyDescent="0.6">
      <c r="A895" s="1513"/>
      <c r="N895" s="1288"/>
      <c r="O895" s="1290"/>
      <c r="Z895" s="1290"/>
    </row>
    <row r="896" spans="1:26" x14ac:dyDescent="0.6">
      <c r="A896" s="1513"/>
      <c r="N896" s="1288"/>
      <c r="O896" s="1290"/>
      <c r="Z896" s="1290"/>
    </row>
    <row r="897" spans="1:26" x14ac:dyDescent="0.6">
      <c r="A897" s="1513"/>
      <c r="N897" s="1288"/>
      <c r="O897" s="1290"/>
      <c r="Z897" s="1290"/>
    </row>
    <row r="898" spans="1:26" x14ac:dyDescent="0.6">
      <c r="A898" s="1513"/>
      <c r="N898" s="1288"/>
      <c r="O898" s="1290"/>
      <c r="Z898" s="1290"/>
    </row>
    <row r="899" spans="1:26" x14ac:dyDescent="0.6">
      <c r="A899" s="1513"/>
      <c r="N899" s="1288"/>
      <c r="O899" s="1290"/>
      <c r="Z899" s="1290"/>
    </row>
    <row r="900" spans="1:26" x14ac:dyDescent="0.6">
      <c r="A900" s="1513"/>
      <c r="N900" s="1288"/>
      <c r="O900" s="1290"/>
      <c r="Z900" s="1290"/>
    </row>
    <row r="901" spans="1:26" x14ac:dyDescent="0.6">
      <c r="A901" s="1513"/>
      <c r="N901" s="1288"/>
      <c r="O901" s="1290"/>
      <c r="Z901" s="1290"/>
    </row>
    <row r="902" spans="1:26" x14ac:dyDescent="0.6">
      <c r="A902" s="1513"/>
      <c r="N902" s="1288"/>
      <c r="O902" s="1290"/>
      <c r="Z902" s="1290"/>
    </row>
    <row r="903" spans="1:26" x14ac:dyDescent="0.6">
      <c r="A903" s="1513"/>
      <c r="N903" s="1288"/>
      <c r="O903" s="1290"/>
      <c r="Z903" s="1290"/>
    </row>
    <row r="904" spans="1:26" x14ac:dyDescent="0.6">
      <c r="A904" s="1513"/>
      <c r="N904" s="1288"/>
      <c r="O904" s="1290"/>
      <c r="Z904" s="1290"/>
    </row>
    <row r="905" spans="1:26" x14ac:dyDescent="0.6">
      <c r="A905" s="1513"/>
      <c r="N905" s="1288"/>
      <c r="O905" s="1290"/>
      <c r="Z905" s="1290"/>
    </row>
    <row r="906" spans="1:26" x14ac:dyDescent="0.6">
      <c r="A906" s="1513"/>
      <c r="N906" s="1288"/>
      <c r="O906" s="1290"/>
      <c r="Z906" s="1290"/>
    </row>
    <row r="907" spans="1:26" x14ac:dyDescent="0.6">
      <c r="A907" s="1513"/>
      <c r="N907" s="1288"/>
      <c r="O907" s="1290"/>
      <c r="Z907" s="1290"/>
    </row>
    <row r="908" spans="1:26" x14ac:dyDescent="0.6">
      <c r="A908" s="1513"/>
      <c r="N908" s="1288"/>
      <c r="O908" s="1290"/>
      <c r="Z908" s="1290"/>
    </row>
    <row r="909" spans="1:26" x14ac:dyDescent="0.6">
      <c r="A909" s="1513"/>
      <c r="N909" s="1288"/>
      <c r="O909" s="1290"/>
      <c r="Z909" s="1290"/>
    </row>
    <row r="910" spans="1:26" x14ac:dyDescent="0.6">
      <c r="A910" s="1513"/>
      <c r="N910" s="1288"/>
      <c r="O910" s="1290"/>
      <c r="Z910" s="1290"/>
    </row>
    <row r="911" spans="1:26" x14ac:dyDescent="0.6">
      <c r="A911" s="1513"/>
      <c r="N911" s="1288"/>
      <c r="O911" s="1290"/>
      <c r="Z911" s="1290"/>
    </row>
    <row r="912" spans="1:26" x14ac:dyDescent="0.6">
      <c r="A912" s="1513"/>
      <c r="N912" s="1288"/>
      <c r="O912" s="1290"/>
      <c r="Z912" s="1290"/>
    </row>
    <row r="913" spans="1:26" x14ac:dyDescent="0.6">
      <c r="A913" s="1513"/>
      <c r="N913" s="1288"/>
      <c r="O913" s="1290"/>
      <c r="Z913" s="1290"/>
    </row>
    <row r="914" spans="1:26" x14ac:dyDescent="0.6">
      <c r="A914" s="1513"/>
      <c r="N914" s="1288"/>
      <c r="O914" s="1290"/>
      <c r="Z914" s="1290"/>
    </row>
    <row r="915" spans="1:26" x14ac:dyDescent="0.6">
      <c r="A915" s="1513"/>
      <c r="N915" s="1288"/>
      <c r="O915" s="1290"/>
      <c r="Z915" s="1290"/>
    </row>
    <row r="916" spans="1:26" x14ac:dyDescent="0.6">
      <c r="A916" s="1513"/>
      <c r="N916" s="1288"/>
      <c r="O916" s="1290"/>
      <c r="Z916" s="1290"/>
    </row>
    <row r="917" spans="1:26" x14ac:dyDescent="0.6">
      <c r="A917" s="1513"/>
      <c r="N917" s="1288"/>
      <c r="O917" s="1290"/>
      <c r="Z917" s="1290"/>
    </row>
    <row r="918" spans="1:26" x14ac:dyDescent="0.6">
      <c r="A918" s="1513"/>
      <c r="N918" s="1288"/>
      <c r="O918" s="1290"/>
      <c r="Z918" s="1290"/>
    </row>
    <row r="919" spans="1:26" x14ac:dyDescent="0.6">
      <c r="A919" s="1513"/>
      <c r="N919" s="1288"/>
      <c r="O919" s="1290"/>
      <c r="Z919" s="1290"/>
    </row>
    <row r="920" spans="1:26" x14ac:dyDescent="0.6">
      <c r="A920" s="1513"/>
      <c r="N920" s="1288"/>
      <c r="O920" s="1290"/>
      <c r="Z920" s="1290"/>
    </row>
    <row r="921" spans="1:26" x14ac:dyDescent="0.6">
      <c r="A921" s="1513"/>
      <c r="N921" s="1288"/>
      <c r="O921" s="1290"/>
      <c r="Z921" s="1290"/>
    </row>
    <row r="922" spans="1:26" x14ac:dyDescent="0.6">
      <c r="A922" s="1513"/>
      <c r="N922" s="1288"/>
      <c r="O922" s="1290"/>
      <c r="Z922" s="1290"/>
    </row>
    <row r="923" spans="1:26" x14ac:dyDescent="0.6">
      <c r="A923" s="1513"/>
      <c r="N923" s="1288"/>
      <c r="O923" s="1290"/>
      <c r="Z923" s="1290"/>
    </row>
    <row r="924" spans="1:26" x14ac:dyDescent="0.6">
      <c r="A924" s="1513"/>
      <c r="N924" s="1288"/>
      <c r="O924" s="1290"/>
      <c r="Z924" s="1290"/>
    </row>
    <row r="925" spans="1:26" x14ac:dyDescent="0.6">
      <c r="A925" s="1513"/>
      <c r="N925" s="1288"/>
      <c r="O925" s="1290"/>
      <c r="Z925" s="1290"/>
    </row>
    <row r="926" spans="1:26" x14ac:dyDescent="0.6">
      <c r="A926" s="1513"/>
      <c r="N926" s="1288"/>
      <c r="O926" s="1290"/>
      <c r="Z926" s="1290"/>
    </row>
  </sheetData>
  <protectedRanges>
    <protectedRange password="CC6F" sqref="B205 B212" name="ช่วง1_5_1_5_1_1_2_1"/>
    <protectedRange password="CC6F" sqref="B211 B213:B215" name="ช่วง1_5_1_5_1_1_1_1_1"/>
    <protectedRange password="CC6F" sqref="B206:B210" name="ช่วง1_5_1_5_1_1_5_1_1"/>
    <protectedRange password="CC6F" sqref="B202:B204" name="ช่วง1_5_1_4_1_1_1"/>
    <protectedRange password="CC6F" sqref="B216:B217 B220:B221" name="ช่วง1_5_1_5_1_1_1"/>
    <protectedRange password="CC6F" sqref="B219" name="ช่วง1_5_1_5_1_1_4"/>
    <protectedRange password="CC6F" sqref="B218" name="ช่วง1_5_1_5_1_1_5"/>
    <protectedRange password="CC6F" sqref="B222:B232" name="ช่วง1_5_1_5_1_1_1_1"/>
  </protectedRanges>
  <mergeCells count="17">
    <mergeCell ref="A233:C233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19685039370078741" right="0.19685039370078741" top="1.1417322834645669" bottom="0.98425196850393704" header="0.31496062992125984" footer="0.31496062992125984"/>
  <pageSetup paperSize="9" scale="60" firstPageNumber="3" fitToHeight="0" orientation="landscape" useFirstPageNumber="1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AE2E9-7A33-4CA1-A941-D0E28488BA06}">
  <sheetPr>
    <pageSetUpPr fitToPage="1"/>
  </sheetPr>
  <dimension ref="A1:AO992"/>
  <sheetViews>
    <sheetView zoomScaleNormal="100" zoomScaleSheetLayoutView="110" workbookViewId="0">
      <pane ySplit="7" topLeftCell="A146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398" customWidth="1"/>
    <col min="3" max="3" width="5.09765625" style="1280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6" customWidth="1"/>
    <col min="15" max="15" width="11.09765625" style="1407" customWidth="1"/>
    <col min="16" max="16" width="11.09765625" style="1399" hidden="1" customWidth="1"/>
    <col min="17" max="17" width="11.09765625" style="1399" customWidth="1"/>
    <col min="18" max="18" width="11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41" x14ac:dyDescent="0.6">
      <c r="A1" s="1297" t="s">
        <v>8293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4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4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41" x14ac:dyDescent="0.6">
      <c r="A4" s="1299" t="s">
        <v>2185</v>
      </c>
      <c r="B4" s="1299" t="s">
        <v>8294</v>
      </c>
      <c r="C4" s="1301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571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41" x14ac:dyDescent="0.6">
      <c r="A5" s="1313"/>
      <c r="B5" s="1313"/>
      <c r="C5" s="1315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41" x14ac:dyDescent="0.6">
      <c r="A6" s="1313"/>
      <c r="B6" s="1313"/>
      <c r="C6" s="1315" t="s">
        <v>7786</v>
      </c>
      <c r="D6" s="1426" t="s">
        <v>7787</v>
      </c>
      <c r="E6" s="1572" t="s">
        <v>7788</v>
      </c>
      <c r="F6" s="1573" t="s">
        <v>7789</v>
      </c>
      <c r="G6" s="1572" t="s">
        <v>7790</v>
      </c>
      <c r="H6" s="1573" t="s">
        <v>7791</v>
      </c>
      <c r="I6" s="1572" t="s">
        <v>7792</v>
      </c>
      <c r="J6" s="1418" t="s">
        <v>7793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41" x14ac:dyDescent="0.6">
      <c r="A7" s="1328"/>
      <c r="B7" s="1328"/>
      <c r="C7" s="1330" t="s">
        <v>7796</v>
      </c>
      <c r="D7" s="1426"/>
      <c r="E7" s="1574"/>
      <c r="F7" s="1573"/>
      <c r="G7" s="1574"/>
      <c r="H7" s="1573"/>
      <c r="I7" s="1574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41" s="1487" customFormat="1" x14ac:dyDescent="0.25">
      <c r="A8" s="1432">
        <v>1</v>
      </c>
      <c r="B8" s="1575" t="s">
        <v>8295</v>
      </c>
      <c r="C8" s="1576" t="s">
        <v>8296</v>
      </c>
      <c r="D8" s="1577">
        <v>3364</v>
      </c>
      <c r="E8" s="1578">
        <f t="shared" ref="E8:E71" si="0">D8*N8</f>
        <v>23379.8</v>
      </c>
      <c r="F8" s="1579">
        <v>3200</v>
      </c>
      <c r="G8" s="1485">
        <f t="shared" ref="G8:G71" si="1">F8*N8</f>
        <v>22240</v>
      </c>
      <c r="H8" s="1485">
        <v>3000</v>
      </c>
      <c r="I8" s="1485">
        <f>H8*N8</f>
        <v>20850</v>
      </c>
      <c r="J8" s="1580">
        <v>3500</v>
      </c>
      <c r="K8" s="1580">
        <v>1000</v>
      </c>
      <c r="L8" s="1525">
        <v>100</v>
      </c>
      <c r="M8" s="1485">
        <f>J8-K8</f>
        <v>2500</v>
      </c>
      <c r="N8" s="1581">
        <v>6.95</v>
      </c>
      <c r="O8" s="1582">
        <f>M8*N8</f>
        <v>17375</v>
      </c>
      <c r="P8" s="1485">
        <f>M8/4</f>
        <v>625</v>
      </c>
      <c r="Q8" s="1485">
        <f>P8*N8</f>
        <v>4343.75</v>
      </c>
      <c r="R8" s="1485">
        <f>M8/4</f>
        <v>625</v>
      </c>
      <c r="S8" s="1525">
        <f>R8*N8</f>
        <v>4343.75</v>
      </c>
      <c r="T8" s="1485">
        <f>M8/4</f>
        <v>625</v>
      </c>
      <c r="U8" s="1525">
        <f>T8*N8</f>
        <v>4343.75</v>
      </c>
      <c r="V8" s="1485">
        <f>M8/4</f>
        <v>625</v>
      </c>
      <c r="W8" s="1525">
        <f>V8*N8</f>
        <v>4343.75</v>
      </c>
      <c r="X8" s="1485">
        <f>P8+R8+T8+V8</f>
        <v>2500</v>
      </c>
      <c r="Y8" s="1485">
        <f>X8*N8</f>
        <v>17375</v>
      </c>
      <c r="Z8" s="1527" t="s">
        <v>7799</v>
      </c>
      <c r="AA8" s="1379" t="s">
        <v>6526</v>
      </c>
      <c r="AB8" s="1583" t="str">
        <f t="shared" ref="AB8:AB15" si="2">IF(O8=Y8,"yes")</f>
        <v>yes</v>
      </c>
      <c r="AC8" s="1584" t="str">
        <f>IF(M8=X8,"ok")</f>
        <v>ok</v>
      </c>
      <c r="AD8" s="1584"/>
      <c r="AE8" s="1584"/>
      <c r="AF8" s="1584"/>
      <c r="AG8" s="1584"/>
      <c r="AH8" s="1584"/>
      <c r="AI8" s="1584"/>
      <c r="AJ8" s="1584"/>
      <c r="AK8" s="1584"/>
      <c r="AL8" s="1584"/>
      <c r="AM8" s="1584"/>
      <c r="AN8" s="1584"/>
      <c r="AO8" s="1584"/>
    </row>
    <row r="9" spans="1:41" s="1246" customFormat="1" x14ac:dyDescent="0.25">
      <c r="A9" s="1432">
        <v>2</v>
      </c>
      <c r="B9" s="1575" t="s">
        <v>8297</v>
      </c>
      <c r="C9" s="1576" t="s">
        <v>8298</v>
      </c>
      <c r="D9" s="1577">
        <v>500</v>
      </c>
      <c r="E9" s="1578">
        <f t="shared" si="0"/>
        <v>120</v>
      </c>
      <c r="F9" s="1579">
        <v>0</v>
      </c>
      <c r="G9" s="1485">
        <f t="shared" si="1"/>
        <v>0</v>
      </c>
      <c r="H9" s="1485">
        <v>8000</v>
      </c>
      <c r="I9" s="1485">
        <f t="shared" ref="I9:I72" si="3">H9*N9</f>
        <v>1920</v>
      </c>
      <c r="J9" s="1582">
        <v>8000</v>
      </c>
      <c r="K9" s="1582">
        <v>2000</v>
      </c>
      <c r="L9" s="1525">
        <f t="shared" ref="L9:L72" si="4">K9*N9</f>
        <v>480</v>
      </c>
      <c r="M9" s="1485">
        <f t="shared" ref="M9:M72" si="5">J9-K9</f>
        <v>6000</v>
      </c>
      <c r="N9" s="1581">
        <v>0.24</v>
      </c>
      <c r="O9" s="1582">
        <f t="shared" ref="O9:O72" si="6">M9*N9</f>
        <v>1440</v>
      </c>
      <c r="P9" s="1485">
        <f t="shared" ref="P9:P72" si="7">M9/4</f>
        <v>1500</v>
      </c>
      <c r="Q9" s="1485">
        <f t="shared" ref="Q9:Q72" si="8">P9*N9</f>
        <v>360</v>
      </c>
      <c r="R9" s="1485">
        <f t="shared" ref="R9:R72" si="9">M9/4</f>
        <v>1500</v>
      </c>
      <c r="S9" s="1525">
        <f t="shared" ref="S9:S72" si="10">R9*N9</f>
        <v>360</v>
      </c>
      <c r="T9" s="1485">
        <f t="shared" ref="T9:T72" si="11">M9/4</f>
        <v>1500</v>
      </c>
      <c r="U9" s="1525">
        <f t="shared" ref="U9:U72" si="12">T9*N9</f>
        <v>360</v>
      </c>
      <c r="V9" s="1485">
        <f t="shared" ref="V9:V72" si="13">M9/4</f>
        <v>1500</v>
      </c>
      <c r="W9" s="1525">
        <f t="shared" ref="W9:W72" si="14">V9*N9</f>
        <v>360</v>
      </c>
      <c r="X9" s="1485">
        <f t="shared" ref="X9:X72" si="15">P9+R9+T9+V9</f>
        <v>6000</v>
      </c>
      <c r="Y9" s="1485">
        <f t="shared" ref="Y9:Y72" si="16">X9*N9</f>
        <v>1440</v>
      </c>
      <c r="Z9" s="1527" t="s">
        <v>7799</v>
      </c>
      <c r="AA9" s="1379" t="s">
        <v>6526</v>
      </c>
      <c r="AB9" s="1583" t="str">
        <f t="shared" si="2"/>
        <v>yes</v>
      </c>
      <c r="AC9" s="1584" t="str">
        <f t="shared" ref="AC9:AC72" si="17">IF(M9=X9,"ok")</f>
        <v>ok</v>
      </c>
      <c r="AD9" s="1583"/>
      <c r="AE9" s="1583"/>
      <c r="AF9" s="1583"/>
      <c r="AG9" s="1583"/>
      <c r="AH9" s="1583"/>
      <c r="AI9" s="1583"/>
      <c r="AJ9" s="1583"/>
      <c r="AK9" s="1583"/>
      <c r="AL9" s="1583"/>
      <c r="AM9" s="1583"/>
      <c r="AN9" s="1583"/>
      <c r="AO9" s="1583"/>
    </row>
    <row r="10" spans="1:41" s="1246" customFormat="1" x14ac:dyDescent="0.25">
      <c r="A10" s="1432">
        <v>3</v>
      </c>
      <c r="B10" s="1575" t="s">
        <v>8299</v>
      </c>
      <c r="C10" s="1576" t="s">
        <v>8298</v>
      </c>
      <c r="D10" s="1577">
        <f>32500+81000</f>
        <v>113500</v>
      </c>
      <c r="E10" s="1578">
        <f t="shared" si="0"/>
        <v>36320</v>
      </c>
      <c r="F10" s="1579">
        <v>100000</v>
      </c>
      <c r="G10" s="1485">
        <f t="shared" si="1"/>
        <v>32000</v>
      </c>
      <c r="H10" s="1485">
        <v>230000</v>
      </c>
      <c r="I10" s="1485">
        <f t="shared" si="3"/>
        <v>73600</v>
      </c>
      <c r="J10" s="1582">
        <v>260000</v>
      </c>
      <c r="K10" s="1582">
        <v>80000</v>
      </c>
      <c r="L10" s="1525">
        <f t="shared" si="4"/>
        <v>25600</v>
      </c>
      <c r="M10" s="1485">
        <f t="shared" si="5"/>
        <v>180000</v>
      </c>
      <c r="N10" s="1585">
        <v>0.32</v>
      </c>
      <c r="O10" s="1582">
        <f t="shared" si="6"/>
        <v>57600</v>
      </c>
      <c r="P10" s="1485">
        <f t="shared" si="7"/>
        <v>45000</v>
      </c>
      <c r="Q10" s="1485">
        <f t="shared" si="8"/>
        <v>14400</v>
      </c>
      <c r="R10" s="1485">
        <f t="shared" si="9"/>
        <v>45000</v>
      </c>
      <c r="S10" s="1525">
        <f t="shared" si="10"/>
        <v>14400</v>
      </c>
      <c r="T10" s="1485">
        <f t="shared" si="11"/>
        <v>45000</v>
      </c>
      <c r="U10" s="1525">
        <f t="shared" si="12"/>
        <v>14400</v>
      </c>
      <c r="V10" s="1485">
        <f t="shared" si="13"/>
        <v>45000</v>
      </c>
      <c r="W10" s="1525">
        <f t="shared" si="14"/>
        <v>14400</v>
      </c>
      <c r="X10" s="1485">
        <f t="shared" si="15"/>
        <v>180000</v>
      </c>
      <c r="Y10" s="1485">
        <f t="shared" si="16"/>
        <v>57600</v>
      </c>
      <c r="Z10" s="1527" t="s">
        <v>7799</v>
      </c>
      <c r="AA10" s="1379" t="s">
        <v>6526</v>
      </c>
      <c r="AB10" s="1583" t="str">
        <f t="shared" si="2"/>
        <v>yes</v>
      </c>
      <c r="AC10" s="1584" t="str">
        <f t="shared" si="17"/>
        <v>ok</v>
      </c>
      <c r="AD10" s="1583"/>
      <c r="AE10" s="1583"/>
      <c r="AF10" s="1583"/>
      <c r="AG10" s="1583"/>
      <c r="AH10" s="1583"/>
      <c r="AI10" s="1583"/>
      <c r="AJ10" s="1583"/>
      <c r="AK10" s="1583"/>
      <c r="AL10" s="1583"/>
      <c r="AM10" s="1583"/>
      <c r="AN10" s="1583"/>
      <c r="AO10" s="1583"/>
    </row>
    <row r="11" spans="1:41" s="1246" customFormat="1" x14ac:dyDescent="0.25">
      <c r="A11" s="1432">
        <v>4</v>
      </c>
      <c r="B11" s="1575" t="s">
        <v>8300</v>
      </c>
      <c r="C11" s="1576" t="s">
        <v>8301</v>
      </c>
      <c r="D11" s="1577">
        <f>11+16</f>
        <v>27</v>
      </c>
      <c r="E11" s="1578">
        <f t="shared" si="0"/>
        <v>1704.51</v>
      </c>
      <c r="F11" s="1579">
        <v>11</v>
      </c>
      <c r="G11" s="1485">
        <f t="shared" si="1"/>
        <v>694.43000000000006</v>
      </c>
      <c r="H11" s="1485">
        <v>13</v>
      </c>
      <c r="I11" s="1485">
        <f t="shared" si="3"/>
        <v>820.69</v>
      </c>
      <c r="J11" s="1582">
        <v>15</v>
      </c>
      <c r="K11" s="1582">
        <v>2</v>
      </c>
      <c r="L11" s="1525">
        <f t="shared" si="4"/>
        <v>126.26</v>
      </c>
      <c r="M11" s="1485">
        <f t="shared" si="5"/>
        <v>13</v>
      </c>
      <c r="N11" s="1581">
        <v>63.13</v>
      </c>
      <c r="O11" s="1582">
        <f t="shared" si="6"/>
        <v>820.69</v>
      </c>
      <c r="P11" s="1485">
        <v>6</v>
      </c>
      <c r="Q11" s="1485">
        <f t="shared" si="8"/>
        <v>378.78000000000003</v>
      </c>
      <c r="R11" s="1485">
        <v>7</v>
      </c>
      <c r="S11" s="1525">
        <f t="shared" si="10"/>
        <v>441.91</v>
      </c>
      <c r="T11" s="1485">
        <v>0</v>
      </c>
      <c r="U11" s="1525">
        <f t="shared" si="12"/>
        <v>0</v>
      </c>
      <c r="V11" s="1485">
        <v>0</v>
      </c>
      <c r="W11" s="1525">
        <f t="shared" si="14"/>
        <v>0</v>
      </c>
      <c r="X11" s="1485">
        <f t="shared" si="15"/>
        <v>13</v>
      </c>
      <c r="Y11" s="1485">
        <f t="shared" si="16"/>
        <v>820.69</v>
      </c>
      <c r="Z11" s="1527" t="s">
        <v>7799</v>
      </c>
      <c r="AA11" s="1379" t="s">
        <v>6526</v>
      </c>
      <c r="AB11" s="1583" t="str">
        <f t="shared" si="2"/>
        <v>yes</v>
      </c>
      <c r="AC11" s="1584" t="str">
        <f t="shared" si="17"/>
        <v>ok</v>
      </c>
      <c r="AD11" s="1583"/>
      <c r="AE11" s="1583"/>
      <c r="AF11" s="1583"/>
      <c r="AG11" s="1583"/>
      <c r="AH11" s="1583"/>
      <c r="AI11" s="1583"/>
      <c r="AJ11" s="1583"/>
      <c r="AK11" s="1583"/>
      <c r="AL11" s="1583"/>
      <c r="AM11" s="1583"/>
      <c r="AN11" s="1583"/>
      <c r="AO11" s="1583"/>
    </row>
    <row r="12" spans="1:41" s="1246" customFormat="1" x14ac:dyDescent="0.25">
      <c r="A12" s="1432">
        <v>5</v>
      </c>
      <c r="B12" s="1575" t="s">
        <v>8302</v>
      </c>
      <c r="C12" s="1576" t="s">
        <v>8298</v>
      </c>
      <c r="D12" s="1577">
        <f>500+3170</f>
        <v>3670</v>
      </c>
      <c r="E12" s="1578">
        <f t="shared" si="0"/>
        <v>9982.4000000000015</v>
      </c>
      <c r="F12" s="1579">
        <v>3800</v>
      </c>
      <c r="G12" s="1485">
        <f t="shared" si="1"/>
        <v>10336</v>
      </c>
      <c r="H12" s="1485">
        <v>2600</v>
      </c>
      <c r="I12" s="1485">
        <f t="shared" si="3"/>
        <v>7072.0000000000009</v>
      </c>
      <c r="J12" s="1582">
        <v>4000</v>
      </c>
      <c r="K12" s="1582">
        <v>1500</v>
      </c>
      <c r="L12" s="1525">
        <f t="shared" si="4"/>
        <v>4080.0000000000005</v>
      </c>
      <c r="M12" s="1485">
        <f t="shared" si="5"/>
        <v>2500</v>
      </c>
      <c r="N12" s="1581">
        <v>2.72</v>
      </c>
      <c r="O12" s="1582">
        <f t="shared" si="6"/>
        <v>6800.0000000000009</v>
      </c>
      <c r="P12" s="1485">
        <f t="shared" si="7"/>
        <v>625</v>
      </c>
      <c r="Q12" s="1485">
        <f t="shared" si="8"/>
        <v>1700.0000000000002</v>
      </c>
      <c r="R12" s="1485">
        <f t="shared" si="9"/>
        <v>625</v>
      </c>
      <c r="S12" s="1525">
        <f t="shared" si="10"/>
        <v>1700.0000000000002</v>
      </c>
      <c r="T12" s="1485">
        <f t="shared" si="11"/>
        <v>625</v>
      </c>
      <c r="U12" s="1525">
        <f t="shared" si="12"/>
        <v>1700.0000000000002</v>
      </c>
      <c r="V12" s="1485">
        <f t="shared" si="13"/>
        <v>625</v>
      </c>
      <c r="W12" s="1525">
        <f t="shared" si="14"/>
        <v>1700.0000000000002</v>
      </c>
      <c r="X12" s="1485">
        <f t="shared" si="15"/>
        <v>2500</v>
      </c>
      <c r="Y12" s="1485">
        <f t="shared" si="16"/>
        <v>6800.0000000000009</v>
      </c>
      <c r="Z12" s="1527" t="s">
        <v>7799</v>
      </c>
      <c r="AA12" s="1379" t="s">
        <v>6526</v>
      </c>
      <c r="AB12" s="1583" t="str">
        <f t="shared" si="2"/>
        <v>yes</v>
      </c>
      <c r="AC12" s="1584" t="str">
        <f t="shared" si="17"/>
        <v>ok</v>
      </c>
      <c r="AD12" s="1583"/>
      <c r="AE12" s="1583"/>
      <c r="AF12" s="1583"/>
      <c r="AG12" s="1583"/>
      <c r="AH12" s="1583"/>
      <c r="AI12" s="1583"/>
      <c r="AJ12" s="1583"/>
      <c r="AK12" s="1583"/>
      <c r="AL12" s="1583"/>
      <c r="AM12" s="1583"/>
      <c r="AN12" s="1583"/>
      <c r="AO12" s="1583"/>
    </row>
    <row r="13" spans="1:41" s="1246" customFormat="1" x14ac:dyDescent="0.25">
      <c r="A13" s="1432">
        <v>6</v>
      </c>
      <c r="B13" s="1575" t="s">
        <v>8303</v>
      </c>
      <c r="C13" s="1576" t="s">
        <v>8296</v>
      </c>
      <c r="D13" s="1586">
        <v>36</v>
      </c>
      <c r="E13" s="1578">
        <f t="shared" si="0"/>
        <v>13880.16</v>
      </c>
      <c r="F13" s="1579">
        <v>104</v>
      </c>
      <c r="G13" s="1485">
        <f t="shared" si="1"/>
        <v>40098.239999999998</v>
      </c>
      <c r="H13" s="1485">
        <v>20</v>
      </c>
      <c r="I13" s="1485">
        <f t="shared" si="3"/>
        <v>7711.2</v>
      </c>
      <c r="J13" s="1582">
        <v>50</v>
      </c>
      <c r="K13" s="1582">
        <v>10</v>
      </c>
      <c r="L13" s="1525">
        <f t="shared" si="4"/>
        <v>3855.6</v>
      </c>
      <c r="M13" s="1485">
        <f t="shared" si="5"/>
        <v>40</v>
      </c>
      <c r="N13" s="1581">
        <v>385.56</v>
      </c>
      <c r="O13" s="1582">
        <f t="shared" si="6"/>
        <v>15422.4</v>
      </c>
      <c r="P13" s="1485">
        <f t="shared" si="7"/>
        <v>10</v>
      </c>
      <c r="Q13" s="1485">
        <f t="shared" si="8"/>
        <v>3855.6</v>
      </c>
      <c r="R13" s="1485">
        <f t="shared" si="9"/>
        <v>10</v>
      </c>
      <c r="S13" s="1525">
        <f t="shared" si="10"/>
        <v>3855.6</v>
      </c>
      <c r="T13" s="1485">
        <f t="shared" si="11"/>
        <v>10</v>
      </c>
      <c r="U13" s="1525">
        <f t="shared" si="12"/>
        <v>3855.6</v>
      </c>
      <c r="V13" s="1485">
        <f t="shared" si="13"/>
        <v>10</v>
      </c>
      <c r="W13" s="1525">
        <f t="shared" si="14"/>
        <v>3855.6</v>
      </c>
      <c r="X13" s="1485">
        <f t="shared" si="15"/>
        <v>40</v>
      </c>
      <c r="Y13" s="1485">
        <f t="shared" si="16"/>
        <v>15422.4</v>
      </c>
      <c r="Z13" s="1527" t="s">
        <v>7799</v>
      </c>
      <c r="AA13" s="1379" t="s">
        <v>6526</v>
      </c>
      <c r="AB13" s="1583" t="str">
        <f t="shared" si="2"/>
        <v>yes</v>
      </c>
      <c r="AC13" s="1584" t="str">
        <f t="shared" si="17"/>
        <v>ok</v>
      </c>
      <c r="AD13" s="1583"/>
      <c r="AE13" s="1583"/>
      <c r="AF13" s="1583"/>
      <c r="AG13" s="1583"/>
      <c r="AH13" s="1583"/>
      <c r="AI13" s="1583"/>
      <c r="AJ13" s="1583"/>
      <c r="AK13" s="1583"/>
      <c r="AL13" s="1583"/>
      <c r="AM13" s="1583"/>
      <c r="AN13" s="1583"/>
      <c r="AO13" s="1583"/>
    </row>
    <row r="14" spans="1:41" s="1246" customFormat="1" ht="42" x14ac:dyDescent="0.25">
      <c r="A14" s="1432">
        <v>7</v>
      </c>
      <c r="B14" s="1587" t="s">
        <v>8304</v>
      </c>
      <c r="C14" s="1576" t="s">
        <v>8305</v>
      </c>
      <c r="D14" s="1578">
        <v>910</v>
      </c>
      <c r="E14" s="1578">
        <f t="shared" si="0"/>
        <v>5460</v>
      </c>
      <c r="F14" s="1579">
        <v>1000</v>
      </c>
      <c r="G14" s="1485">
        <f t="shared" si="1"/>
        <v>6000</v>
      </c>
      <c r="H14" s="1485">
        <v>1000</v>
      </c>
      <c r="I14" s="1485">
        <f t="shared" si="3"/>
        <v>6000</v>
      </c>
      <c r="J14" s="1582">
        <v>1500</v>
      </c>
      <c r="K14" s="1582">
        <v>100</v>
      </c>
      <c r="L14" s="1525">
        <f t="shared" si="4"/>
        <v>600</v>
      </c>
      <c r="M14" s="1485">
        <f t="shared" si="5"/>
        <v>1400</v>
      </c>
      <c r="N14" s="1581">
        <v>6</v>
      </c>
      <c r="O14" s="1582">
        <f t="shared" si="6"/>
        <v>8400</v>
      </c>
      <c r="P14" s="1485">
        <f t="shared" si="7"/>
        <v>350</v>
      </c>
      <c r="Q14" s="1485">
        <f t="shared" si="8"/>
        <v>2100</v>
      </c>
      <c r="R14" s="1485">
        <f t="shared" si="9"/>
        <v>350</v>
      </c>
      <c r="S14" s="1525">
        <f t="shared" si="10"/>
        <v>2100</v>
      </c>
      <c r="T14" s="1485">
        <f t="shared" si="11"/>
        <v>350</v>
      </c>
      <c r="U14" s="1525">
        <f t="shared" si="12"/>
        <v>2100</v>
      </c>
      <c r="V14" s="1485">
        <f t="shared" si="13"/>
        <v>350</v>
      </c>
      <c r="W14" s="1525">
        <f t="shared" si="14"/>
        <v>2100</v>
      </c>
      <c r="X14" s="1485">
        <f t="shared" si="15"/>
        <v>1400</v>
      </c>
      <c r="Y14" s="1485">
        <f t="shared" si="16"/>
        <v>8400</v>
      </c>
      <c r="Z14" s="1527" t="s">
        <v>7799</v>
      </c>
      <c r="AA14" s="1379" t="s">
        <v>6526</v>
      </c>
      <c r="AB14" s="1583" t="str">
        <f t="shared" si="2"/>
        <v>yes</v>
      </c>
      <c r="AC14" s="1584" t="str">
        <f t="shared" si="17"/>
        <v>ok</v>
      </c>
      <c r="AD14" s="1583"/>
      <c r="AE14" s="1583"/>
      <c r="AF14" s="1583"/>
      <c r="AG14" s="1583"/>
      <c r="AH14" s="1583"/>
      <c r="AI14" s="1583"/>
      <c r="AJ14" s="1583"/>
      <c r="AK14" s="1583"/>
      <c r="AL14" s="1583"/>
      <c r="AM14" s="1583"/>
      <c r="AN14" s="1583"/>
      <c r="AO14" s="1583"/>
    </row>
    <row r="15" spans="1:41" s="1246" customFormat="1" ht="42" x14ac:dyDescent="0.25">
      <c r="A15" s="1432">
        <v>9</v>
      </c>
      <c r="B15" s="1587" t="s">
        <v>8306</v>
      </c>
      <c r="C15" s="1576" t="s">
        <v>8305</v>
      </c>
      <c r="D15" s="1578">
        <v>580</v>
      </c>
      <c r="E15" s="1578">
        <f t="shared" si="0"/>
        <v>15660</v>
      </c>
      <c r="F15" s="1588">
        <v>1300</v>
      </c>
      <c r="G15" s="1485">
        <f t="shared" si="1"/>
        <v>35100</v>
      </c>
      <c r="H15" s="1485">
        <v>1600</v>
      </c>
      <c r="I15" s="1485">
        <f t="shared" si="3"/>
        <v>43200</v>
      </c>
      <c r="J15" s="1582">
        <v>1800</v>
      </c>
      <c r="K15" s="1582">
        <v>100</v>
      </c>
      <c r="L15" s="1525">
        <f t="shared" si="4"/>
        <v>2700</v>
      </c>
      <c r="M15" s="1485">
        <f t="shared" si="5"/>
        <v>1700</v>
      </c>
      <c r="N15" s="1581">
        <v>27</v>
      </c>
      <c r="O15" s="1582">
        <f t="shared" si="6"/>
        <v>45900</v>
      </c>
      <c r="P15" s="1485">
        <f t="shared" si="7"/>
        <v>425</v>
      </c>
      <c r="Q15" s="1485">
        <f t="shared" si="8"/>
        <v>11475</v>
      </c>
      <c r="R15" s="1485">
        <f t="shared" si="9"/>
        <v>425</v>
      </c>
      <c r="S15" s="1525">
        <f t="shared" si="10"/>
        <v>11475</v>
      </c>
      <c r="T15" s="1485">
        <f t="shared" si="11"/>
        <v>425</v>
      </c>
      <c r="U15" s="1525">
        <f t="shared" si="12"/>
        <v>11475</v>
      </c>
      <c r="V15" s="1485">
        <f t="shared" si="13"/>
        <v>425</v>
      </c>
      <c r="W15" s="1525">
        <f t="shared" si="14"/>
        <v>11475</v>
      </c>
      <c r="X15" s="1485">
        <f t="shared" si="15"/>
        <v>1700</v>
      </c>
      <c r="Y15" s="1485">
        <f t="shared" si="16"/>
        <v>45900</v>
      </c>
      <c r="Z15" s="1527" t="s">
        <v>7799</v>
      </c>
      <c r="AA15" s="1379" t="s">
        <v>6526</v>
      </c>
      <c r="AB15" s="1583" t="str">
        <f t="shared" si="2"/>
        <v>yes</v>
      </c>
      <c r="AC15" s="1584" t="str">
        <f t="shared" si="17"/>
        <v>ok</v>
      </c>
      <c r="AD15" s="1583"/>
      <c r="AE15" s="1589"/>
      <c r="AF15" s="1583"/>
      <c r="AG15" s="1583"/>
      <c r="AH15" s="1583"/>
      <c r="AI15" s="1583"/>
      <c r="AJ15" s="1583"/>
      <c r="AK15" s="1583"/>
      <c r="AL15" s="1583"/>
      <c r="AM15" s="1583"/>
      <c r="AN15" s="1583"/>
      <c r="AO15" s="1583"/>
    </row>
    <row r="16" spans="1:41" x14ac:dyDescent="0.6">
      <c r="A16" s="1432">
        <v>10</v>
      </c>
      <c r="B16" s="1575" t="s">
        <v>8307</v>
      </c>
      <c r="C16" s="1576" t="s">
        <v>8296</v>
      </c>
      <c r="D16" s="1577">
        <v>33</v>
      </c>
      <c r="E16" s="1578">
        <f t="shared" si="0"/>
        <v>363</v>
      </c>
      <c r="F16" s="1579">
        <v>50</v>
      </c>
      <c r="G16" s="1485">
        <f t="shared" si="1"/>
        <v>550</v>
      </c>
      <c r="H16" s="1485">
        <v>60</v>
      </c>
      <c r="I16" s="1485">
        <f t="shared" si="3"/>
        <v>660</v>
      </c>
      <c r="J16" s="1582">
        <v>100</v>
      </c>
      <c r="K16" s="1582">
        <v>10</v>
      </c>
      <c r="L16" s="1525">
        <f t="shared" si="4"/>
        <v>110</v>
      </c>
      <c r="M16" s="1485">
        <f t="shared" si="5"/>
        <v>90</v>
      </c>
      <c r="N16" s="1581">
        <v>11</v>
      </c>
      <c r="O16" s="1582">
        <f t="shared" si="6"/>
        <v>990</v>
      </c>
      <c r="P16" s="1485">
        <f t="shared" si="7"/>
        <v>22.5</v>
      </c>
      <c r="Q16" s="1485">
        <f t="shared" si="8"/>
        <v>247.5</v>
      </c>
      <c r="R16" s="1485">
        <f t="shared" si="9"/>
        <v>22.5</v>
      </c>
      <c r="S16" s="1525">
        <f t="shared" si="10"/>
        <v>247.5</v>
      </c>
      <c r="T16" s="1485">
        <f t="shared" si="11"/>
        <v>22.5</v>
      </c>
      <c r="U16" s="1525">
        <f t="shared" si="12"/>
        <v>247.5</v>
      </c>
      <c r="V16" s="1485">
        <f t="shared" si="13"/>
        <v>22.5</v>
      </c>
      <c r="W16" s="1525">
        <f t="shared" si="14"/>
        <v>247.5</v>
      </c>
      <c r="X16" s="1485">
        <f t="shared" si="15"/>
        <v>90</v>
      </c>
      <c r="Y16" s="1485">
        <f t="shared" si="16"/>
        <v>990</v>
      </c>
      <c r="Z16" s="1527" t="s">
        <v>7799</v>
      </c>
      <c r="AA16" s="1379" t="s">
        <v>6526</v>
      </c>
      <c r="AB16" s="1583"/>
      <c r="AC16" s="1584" t="str">
        <f t="shared" si="17"/>
        <v>ok</v>
      </c>
      <c r="AD16" s="1583"/>
      <c r="AE16" s="1583"/>
      <c r="AF16" s="1583"/>
      <c r="AG16" s="1583"/>
      <c r="AH16" s="1583"/>
      <c r="AI16" s="1583"/>
      <c r="AJ16" s="1583"/>
      <c r="AK16" s="1583"/>
      <c r="AL16" s="1583"/>
      <c r="AM16" s="1583"/>
      <c r="AN16" s="1583"/>
      <c r="AO16" s="1583"/>
    </row>
    <row r="17" spans="1:41" x14ac:dyDescent="0.6">
      <c r="A17" s="1432">
        <v>11</v>
      </c>
      <c r="B17" s="1575" t="s">
        <v>8308</v>
      </c>
      <c r="C17" s="1576" t="s">
        <v>8298</v>
      </c>
      <c r="D17" s="1590">
        <v>1372</v>
      </c>
      <c r="E17" s="1578">
        <f t="shared" si="0"/>
        <v>3430</v>
      </c>
      <c r="F17" s="1579">
        <v>2000</v>
      </c>
      <c r="G17" s="1485">
        <f t="shared" si="1"/>
        <v>5000</v>
      </c>
      <c r="H17" s="1485">
        <v>800</v>
      </c>
      <c r="I17" s="1485">
        <f t="shared" si="3"/>
        <v>2000</v>
      </c>
      <c r="J17" s="1582">
        <v>2000</v>
      </c>
      <c r="K17" s="1582">
        <v>1000</v>
      </c>
      <c r="L17" s="1525">
        <f t="shared" si="4"/>
        <v>2500</v>
      </c>
      <c r="M17" s="1485">
        <f t="shared" si="5"/>
        <v>1000</v>
      </c>
      <c r="N17" s="1581">
        <v>2.5</v>
      </c>
      <c r="O17" s="1582">
        <f t="shared" si="6"/>
        <v>2500</v>
      </c>
      <c r="P17" s="1485">
        <f t="shared" si="7"/>
        <v>250</v>
      </c>
      <c r="Q17" s="1485">
        <f t="shared" si="8"/>
        <v>625</v>
      </c>
      <c r="R17" s="1485">
        <f t="shared" si="9"/>
        <v>250</v>
      </c>
      <c r="S17" s="1525">
        <f t="shared" si="10"/>
        <v>625</v>
      </c>
      <c r="T17" s="1485">
        <f t="shared" si="11"/>
        <v>250</v>
      </c>
      <c r="U17" s="1525">
        <f t="shared" si="12"/>
        <v>625</v>
      </c>
      <c r="V17" s="1485">
        <f t="shared" si="13"/>
        <v>250</v>
      </c>
      <c r="W17" s="1525">
        <f t="shared" si="14"/>
        <v>625</v>
      </c>
      <c r="X17" s="1485">
        <f t="shared" si="15"/>
        <v>1000</v>
      </c>
      <c r="Y17" s="1485">
        <f t="shared" si="16"/>
        <v>2500</v>
      </c>
      <c r="Z17" s="1527" t="s">
        <v>7799</v>
      </c>
      <c r="AA17" s="1379" t="s">
        <v>6526</v>
      </c>
      <c r="AB17" s="1583"/>
      <c r="AC17" s="1584" t="str">
        <f t="shared" si="17"/>
        <v>ok</v>
      </c>
      <c r="AD17" s="1583"/>
      <c r="AE17" s="1583"/>
      <c r="AF17" s="1583"/>
      <c r="AG17" s="1583"/>
      <c r="AH17" s="1583"/>
      <c r="AI17" s="1583"/>
      <c r="AJ17" s="1583"/>
      <c r="AK17" s="1583"/>
      <c r="AL17" s="1583"/>
      <c r="AM17" s="1583"/>
      <c r="AN17" s="1583"/>
      <c r="AO17" s="1583"/>
    </row>
    <row r="18" spans="1:41" x14ac:dyDescent="0.6">
      <c r="A18" s="1432">
        <v>12</v>
      </c>
      <c r="B18" s="1575" t="s">
        <v>8309</v>
      </c>
      <c r="C18" s="1576" t="s">
        <v>8296</v>
      </c>
      <c r="D18" s="1577">
        <v>1423</v>
      </c>
      <c r="E18" s="1578">
        <f t="shared" si="0"/>
        <v>39587.86</v>
      </c>
      <c r="F18" s="1579">
        <v>1300</v>
      </c>
      <c r="G18" s="1485">
        <f t="shared" si="1"/>
        <v>36166</v>
      </c>
      <c r="H18" s="1485">
        <v>2000</v>
      </c>
      <c r="I18" s="1485">
        <f t="shared" si="3"/>
        <v>55640</v>
      </c>
      <c r="J18" s="1582">
        <v>2500</v>
      </c>
      <c r="K18" s="1582">
        <v>300</v>
      </c>
      <c r="L18" s="1525">
        <f t="shared" si="4"/>
        <v>8346</v>
      </c>
      <c r="M18" s="1485">
        <f t="shared" si="5"/>
        <v>2200</v>
      </c>
      <c r="N18" s="1581">
        <v>27.82</v>
      </c>
      <c r="O18" s="1582">
        <f t="shared" si="6"/>
        <v>61204</v>
      </c>
      <c r="P18" s="1485">
        <f t="shared" si="7"/>
        <v>550</v>
      </c>
      <c r="Q18" s="1485">
        <f t="shared" si="8"/>
        <v>15301</v>
      </c>
      <c r="R18" s="1485">
        <f t="shared" si="9"/>
        <v>550</v>
      </c>
      <c r="S18" s="1525">
        <f t="shared" si="10"/>
        <v>15301</v>
      </c>
      <c r="T18" s="1485">
        <f t="shared" si="11"/>
        <v>550</v>
      </c>
      <c r="U18" s="1525">
        <f t="shared" si="12"/>
        <v>15301</v>
      </c>
      <c r="V18" s="1485">
        <f t="shared" si="13"/>
        <v>550</v>
      </c>
      <c r="W18" s="1525">
        <f t="shared" si="14"/>
        <v>15301</v>
      </c>
      <c r="X18" s="1485">
        <f t="shared" si="15"/>
        <v>2200</v>
      </c>
      <c r="Y18" s="1485">
        <f t="shared" si="16"/>
        <v>61204</v>
      </c>
      <c r="Z18" s="1527" t="s">
        <v>7799</v>
      </c>
      <c r="AA18" s="1379" t="s">
        <v>6526</v>
      </c>
      <c r="AB18" s="1583"/>
      <c r="AC18" s="1584" t="str">
        <f t="shared" si="17"/>
        <v>ok</v>
      </c>
      <c r="AD18" s="1583"/>
      <c r="AE18" s="1583"/>
      <c r="AF18" s="1583"/>
      <c r="AG18" s="1583"/>
      <c r="AH18" s="1583"/>
      <c r="AI18" s="1583"/>
      <c r="AJ18" s="1583"/>
      <c r="AK18" s="1583"/>
      <c r="AL18" s="1583"/>
      <c r="AM18" s="1583"/>
      <c r="AN18" s="1583"/>
      <c r="AO18" s="1583"/>
    </row>
    <row r="19" spans="1:41" x14ac:dyDescent="0.6">
      <c r="A19" s="1432">
        <v>13</v>
      </c>
      <c r="B19" s="1575" t="s">
        <v>8310</v>
      </c>
      <c r="C19" s="1576" t="s">
        <v>8296</v>
      </c>
      <c r="D19" s="1577">
        <f>850+600</f>
        <v>1450</v>
      </c>
      <c r="E19" s="1578">
        <f t="shared" si="0"/>
        <v>12325</v>
      </c>
      <c r="F19" s="1579">
        <v>1500</v>
      </c>
      <c r="G19" s="1485">
        <f t="shared" si="1"/>
        <v>12750</v>
      </c>
      <c r="H19" s="1485">
        <v>1600</v>
      </c>
      <c r="I19" s="1485">
        <f t="shared" si="3"/>
        <v>13600</v>
      </c>
      <c r="J19" s="1582">
        <v>2000</v>
      </c>
      <c r="K19" s="1582">
        <v>500</v>
      </c>
      <c r="L19" s="1525">
        <f t="shared" si="4"/>
        <v>4250</v>
      </c>
      <c r="M19" s="1485">
        <f t="shared" si="5"/>
        <v>1500</v>
      </c>
      <c r="N19" s="1581">
        <v>8.5</v>
      </c>
      <c r="O19" s="1582">
        <f t="shared" si="6"/>
        <v>12750</v>
      </c>
      <c r="P19" s="1485">
        <f t="shared" si="7"/>
        <v>375</v>
      </c>
      <c r="Q19" s="1485">
        <f t="shared" si="8"/>
        <v>3187.5</v>
      </c>
      <c r="R19" s="1485">
        <f t="shared" si="9"/>
        <v>375</v>
      </c>
      <c r="S19" s="1525">
        <f t="shared" si="10"/>
        <v>3187.5</v>
      </c>
      <c r="T19" s="1485">
        <f t="shared" si="11"/>
        <v>375</v>
      </c>
      <c r="U19" s="1525">
        <f t="shared" si="12"/>
        <v>3187.5</v>
      </c>
      <c r="V19" s="1485">
        <f t="shared" si="13"/>
        <v>375</v>
      </c>
      <c r="W19" s="1525">
        <f t="shared" si="14"/>
        <v>3187.5</v>
      </c>
      <c r="X19" s="1485">
        <f t="shared" si="15"/>
        <v>1500</v>
      </c>
      <c r="Y19" s="1485">
        <f t="shared" si="16"/>
        <v>12750</v>
      </c>
      <c r="Z19" s="1527" t="s">
        <v>7799</v>
      </c>
      <c r="AA19" s="1379" t="s">
        <v>6526</v>
      </c>
      <c r="AB19" s="1583"/>
      <c r="AC19" s="1584" t="str">
        <f t="shared" si="17"/>
        <v>ok</v>
      </c>
      <c r="AD19" s="1583"/>
      <c r="AE19" s="1583"/>
      <c r="AF19" s="1583"/>
      <c r="AG19" s="1583"/>
      <c r="AH19" s="1583"/>
      <c r="AI19" s="1583"/>
      <c r="AJ19" s="1583"/>
      <c r="AK19" s="1583"/>
      <c r="AL19" s="1583"/>
      <c r="AM19" s="1583"/>
      <c r="AN19" s="1583"/>
      <c r="AO19" s="1583"/>
    </row>
    <row r="20" spans="1:41" x14ac:dyDescent="0.6">
      <c r="A20" s="1432">
        <v>14</v>
      </c>
      <c r="B20" s="1575" t="s">
        <v>8311</v>
      </c>
      <c r="C20" s="1576" t="s">
        <v>8298</v>
      </c>
      <c r="D20" s="1578">
        <f>15000+2500+35000+9500</f>
        <v>62000</v>
      </c>
      <c r="E20" s="1578">
        <f t="shared" si="0"/>
        <v>48360</v>
      </c>
      <c r="F20" s="1579">
        <v>60000</v>
      </c>
      <c r="G20" s="1485">
        <f t="shared" si="1"/>
        <v>46800</v>
      </c>
      <c r="H20" s="1485">
        <v>60000</v>
      </c>
      <c r="I20" s="1485">
        <f t="shared" si="3"/>
        <v>46800</v>
      </c>
      <c r="J20" s="1582">
        <v>70000</v>
      </c>
      <c r="K20" s="1582">
        <v>10000</v>
      </c>
      <c r="L20" s="1525">
        <f t="shared" si="4"/>
        <v>7800</v>
      </c>
      <c r="M20" s="1485">
        <f t="shared" si="5"/>
        <v>60000</v>
      </c>
      <c r="N20" s="1591">
        <v>0.78</v>
      </c>
      <c r="O20" s="1582">
        <f t="shared" si="6"/>
        <v>46800</v>
      </c>
      <c r="P20" s="1485">
        <f t="shared" si="7"/>
        <v>15000</v>
      </c>
      <c r="Q20" s="1485">
        <f t="shared" si="8"/>
        <v>11700</v>
      </c>
      <c r="R20" s="1485">
        <f t="shared" si="9"/>
        <v>15000</v>
      </c>
      <c r="S20" s="1525">
        <f t="shared" si="10"/>
        <v>11700</v>
      </c>
      <c r="T20" s="1485">
        <f t="shared" si="11"/>
        <v>15000</v>
      </c>
      <c r="U20" s="1525">
        <f t="shared" si="12"/>
        <v>11700</v>
      </c>
      <c r="V20" s="1485">
        <f t="shared" si="13"/>
        <v>15000</v>
      </c>
      <c r="W20" s="1525">
        <f t="shared" si="14"/>
        <v>11700</v>
      </c>
      <c r="X20" s="1485">
        <f t="shared" si="15"/>
        <v>60000</v>
      </c>
      <c r="Y20" s="1485">
        <f t="shared" si="16"/>
        <v>46800</v>
      </c>
      <c r="Z20" s="1527" t="s">
        <v>7799</v>
      </c>
      <c r="AA20" s="1379" t="s">
        <v>6526</v>
      </c>
      <c r="AB20" s="1583"/>
      <c r="AC20" s="1584" t="str">
        <f t="shared" si="17"/>
        <v>ok</v>
      </c>
      <c r="AD20" s="1583"/>
      <c r="AE20" s="1583"/>
      <c r="AF20" s="1583"/>
      <c r="AG20" s="1583"/>
      <c r="AH20" s="1583"/>
      <c r="AI20" s="1583"/>
      <c r="AJ20" s="1583"/>
      <c r="AK20" s="1583"/>
      <c r="AL20" s="1583"/>
      <c r="AM20" s="1583"/>
      <c r="AN20" s="1583"/>
      <c r="AO20" s="1583"/>
    </row>
    <row r="21" spans="1:41" x14ac:dyDescent="0.6">
      <c r="A21" s="1432">
        <v>15</v>
      </c>
      <c r="B21" s="1575" t="s">
        <v>8312</v>
      </c>
      <c r="C21" s="1576" t="s">
        <v>8305</v>
      </c>
      <c r="D21" s="1578">
        <v>35</v>
      </c>
      <c r="E21" s="1578">
        <f t="shared" si="0"/>
        <v>2450</v>
      </c>
      <c r="F21" s="1579">
        <v>100</v>
      </c>
      <c r="G21" s="1485">
        <f t="shared" si="1"/>
        <v>7000</v>
      </c>
      <c r="H21" s="1485">
        <v>120</v>
      </c>
      <c r="I21" s="1485">
        <f t="shared" si="3"/>
        <v>8400</v>
      </c>
      <c r="J21" s="1582">
        <v>150</v>
      </c>
      <c r="K21" s="1582">
        <v>40</v>
      </c>
      <c r="L21" s="1525">
        <f t="shared" si="4"/>
        <v>2800</v>
      </c>
      <c r="M21" s="1485">
        <f t="shared" si="5"/>
        <v>110</v>
      </c>
      <c r="N21" s="1581">
        <v>70</v>
      </c>
      <c r="O21" s="1582">
        <f t="shared" si="6"/>
        <v>7700</v>
      </c>
      <c r="P21" s="1485">
        <v>40</v>
      </c>
      <c r="Q21" s="1485">
        <f t="shared" si="8"/>
        <v>2800</v>
      </c>
      <c r="R21" s="1485">
        <v>30</v>
      </c>
      <c r="S21" s="1525">
        <f t="shared" si="10"/>
        <v>2100</v>
      </c>
      <c r="T21" s="1485">
        <v>40</v>
      </c>
      <c r="U21" s="1525">
        <f t="shared" si="12"/>
        <v>2800</v>
      </c>
      <c r="V21" s="1485">
        <v>0</v>
      </c>
      <c r="W21" s="1525">
        <f t="shared" si="14"/>
        <v>0</v>
      </c>
      <c r="X21" s="1485">
        <f t="shared" si="15"/>
        <v>110</v>
      </c>
      <c r="Y21" s="1485">
        <f t="shared" si="16"/>
        <v>7700</v>
      </c>
      <c r="Z21" s="1527" t="s">
        <v>7799</v>
      </c>
      <c r="AA21" s="1379" t="s">
        <v>6526</v>
      </c>
      <c r="AB21" s="1583"/>
      <c r="AC21" s="1584" t="str">
        <f t="shared" si="17"/>
        <v>ok</v>
      </c>
      <c r="AD21" s="1583"/>
      <c r="AE21" s="1583"/>
      <c r="AF21" s="1583"/>
      <c r="AG21" s="1583"/>
      <c r="AH21" s="1583"/>
      <c r="AI21" s="1583"/>
      <c r="AJ21" s="1583"/>
      <c r="AK21" s="1583"/>
      <c r="AL21" s="1583"/>
      <c r="AM21" s="1583"/>
      <c r="AN21" s="1583"/>
      <c r="AO21" s="1583"/>
    </row>
    <row r="22" spans="1:41" x14ac:dyDescent="0.6">
      <c r="A22" s="1432">
        <v>16</v>
      </c>
      <c r="B22" s="1575" t="s">
        <v>8313</v>
      </c>
      <c r="C22" s="1576" t="s">
        <v>8298</v>
      </c>
      <c r="D22" s="1592">
        <v>12800</v>
      </c>
      <c r="E22" s="1578">
        <f t="shared" si="0"/>
        <v>2892.8</v>
      </c>
      <c r="F22" s="1579">
        <v>18000</v>
      </c>
      <c r="G22" s="1485">
        <f t="shared" si="1"/>
        <v>4068</v>
      </c>
      <c r="H22" s="1485">
        <v>13000</v>
      </c>
      <c r="I22" s="1485">
        <f t="shared" si="3"/>
        <v>2938</v>
      </c>
      <c r="J22" s="1582">
        <v>20000</v>
      </c>
      <c r="K22" s="1582">
        <v>8000</v>
      </c>
      <c r="L22" s="1525">
        <f t="shared" si="4"/>
        <v>1808</v>
      </c>
      <c r="M22" s="1485">
        <f t="shared" si="5"/>
        <v>12000</v>
      </c>
      <c r="N22" s="1581">
        <v>0.22600000000000001</v>
      </c>
      <c r="O22" s="1582">
        <f t="shared" si="6"/>
        <v>2712</v>
      </c>
      <c r="P22" s="1485">
        <f t="shared" si="7"/>
        <v>3000</v>
      </c>
      <c r="Q22" s="1485">
        <f t="shared" si="8"/>
        <v>678</v>
      </c>
      <c r="R22" s="1485">
        <f t="shared" si="9"/>
        <v>3000</v>
      </c>
      <c r="S22" s="1525">
        <f t="shared" si="10"/>
        <v>678</v>
      </c>
      <c r="T22" s="1485">
        <f t="shared" si="11"/>
        <v>3000</v>
      </c>
      <c r="U22" s="1525">
        <f t="shared" si="12"/>
        <v>678</v>
      </c>
      <c r="V22" s="1485">
        <f t="shared" si="13"/>
        <v>3000</v>
      </c>
      <c r="W22" s="1525">
        <f t="shared" si="14"/>
        <v>678</v>
      </c>
      <c r="X22" s="1485">
        <f t="shared" si="15"/>
        <v>12000</v>
      </c>
      <c r="Y22" s="1485">
        <f t="shared" si="16"/>
        <v>2712</v>
      </c>
      <c r="Z22" s="1527" t="s">
        <v>7799</v>
      </c>
      <c r="AA22" s="1379" t="s">
        <v>6526</v>
      </c>
      <c r="AB22" s="1583"/>
      <c r="AC22" s="1584" t="str">
        <f t="shared" si="17"/>
        <v>ok</v>
      </c>
      <c r="AD22" s="1583"/>
      <c r="AE22" s="1583"/>
      <c r="AF22" s="1583"/>
      <c r="AG22" s="1583"/>
      <c r="AH22" s="1583"/>
      <c r="AI22" s="1583"/>
      <c r="AJ22" s="1583"/>
      <c r="AK22" s="1583"/>
      <c r="AL22" s="1583"/>
      <c r="AM22" s="1583"/>
      <c r="AN22" s="1583"/>
      <c r="AO22" s="1583"/>
    </row>
    <row r="23" spans="1:41" x14ac:dyDescent="0.6">
      <c r="A23" s="1432">
        <v>17</v>
      </c>
      <c r="B23" s="1575" t="s">
        <v>8314</v>
      </c>
      <c r="C23" s="1576" t="s">
        <v>8298</v>
      </c>
      <c r="D23" s="1578">
        <v>7500</v>
      </c>
      <c r="E23" s="1578">
        <f t="shared" si="0"/>
        <v>2812.5</v>
      </c>
      <c r="F23" s="1579">
        <v>8800</v>
      </c>
      <c r="G23" s="1485">
        <f t="shared" si="1"/>
        <v>3300</v>
      </c>
      <c r="H23" s="1485">
        <v>5000</v>
      </c>
      <c r="I23" s="1485">
        <f t="shared" si="3"/>
        <v>1875</v>
      </c>
      <c r="J23" s="1582">
        <v>9000</v>
      </c>
      <c r="K23" s="1582">
        <v>2000</v>
      </c>
      <c r="L23" s="1525">
        <f t="shared" si="4"/>
        <v>750</v>
      </c>
      <c r="M23" s="1485">
        <f t="shared" si="5"/>
        <v>7000</v>
      </c>
      <c r="N23" s="1581">
        <v>0.375</v>
      </c>
      <c r="O23" s="1582">
        <f t="shared" si="6"/>
        <v>2625</v>
      </c>
      <c r="P23" s="1485">
        <f t="shared" si="7"/>
        <v>1750</v>
      </c>
      <c r="Q23" s="1485">
        <f t="shared" si="8"/>
        <v>656.25</v>
      </c>
      <c r="R23" s="1485">
        <f t="shared" si="9"/>
        <v>1750</v>
      </c>
      <c r="S23" s="1525">
        <f t="shared" si="10"/>
        <v>656.25</v>
      </c>
      <c r="T23" s="1485">
        <f t="shared" si="11"/>
        <v>1750</v>
      </c>
      <c r="U23" s="1525">
        <f t="shared" si="12"/>
        <v>656.25</v>
      </c>
      <c r="V23" s="1485">
        <f t="shared" si="13"/>
        <v>1750</v>
      </c>
      <c r="W23" s="1525">
        <f t="shared" si="14"/>
        <v>656.25</v>
      </c>
      <c r="X23" s="1485">
        <f t="shared" si="15"/>
        <v>7000</v>
      </c>
      <c r="Y23" s="1485">
        <f t="shared" si="16"/>
        <v>2625</v>
      </c>
      <c r="Z23" s="1527" t="s">
        <v>7799</v>
      </c>
      <c r="AA23" s="1379" t="s">
        <v>6526</v>
      </c>
      <c r="AB23" s="1583"/>
      <c r="AC23" s="1584" t="str">
        <f t="shared" si="17"/>
        <v>ok</v>
      </c>
      <c r="AD23" s="1583"/>
      <c r="AE23" s="1583"/>
      <c r="AF23" s="1583"/>
      <c r="AG23" s="1583"/>
      <c r="AH23" s="1583"/>
      <c r="AI23" s="1583"/>
      <c r="AJ23" s="1583"/>
      <c r="AK23" s="1583"/>
      <c r="AL23" s="1583"/>
      <c r="AM23" s="1583"/>
      <c r="AN23" s="1583"/>
      <c r="AO23" s="1583"/>
    </row>
    <row r="24" spans="1:41" s="1246" customFormat="1" x14ac:dyDescent="0.25">
      <c r="A24" s="1432">
        <v>18</v>
      </c>
      <c r="B24" s="1575" t="s">
        <v>8315</v>
      </c>
      <c r="C24" s="1576" t="s">
        <v>8298</v>
      </c>
      <c r="D24" s="1578">
        <f>423300+325000+250000</f>
        <v>998300</v>
      </c>
      <c r="E24" s="1578">
        <f t="shared" si="0"/>
        <v>384345.5</v>
      </c>
      <c r="F24" s="1579">
        <v>990000</v>
      </c>
      <c r="G24" s="1485">
        <f t="shared" si="1"/>
        <v>381150</v>
      </c>
      <c r="H24" s="1485">
        <v>1500000</v>
      </c>
      <c r="I24" s="1485">
        <f t="shared" si="3"/>
        <v>577500</v>
      </c>
      <c r="J24" s="1582">
        <v>1800000</v>
      </c>
      <c r="K24" s="1582">
        <v>50000</v>
      </c>
      <c r="L24" s="1525">
        <f t="shared" si="4"/>
        <v>19250</v>
      </c>
      <c r="M24" s="1485">
        <f t="shared" si="5"/>
        <v>1750000</v>
      </c>
      <c r="N24" s="1581">
        <v>0.38500000000000001</v>
      </c>
      <c r="O24" s="1582">
        <f t="shared" si="6"/>
        <v>673750</v>
      </c>
      <c r="P24" s="1485">
        <f t="shared" si="7"/>
        <v>437500</v>
      </c>
      <c r="Q24" s="1485">
        <f t="shared" si="8"/>
        <v>168437.5</v>
      </c>
      <c r="R24" s="1485">
        <f t="shared" si="9"/>
        <v>437500</v>
      </c>
      <c r="S24" s="1525">
        <f t="shared" si="10"/>
        <v>168437.5</v>
      </c>
      <c r="T24" s="1485">
        <f t="shared" si="11"/>
        <v>437500</v>
      </c>
      <c r="U24" s="1525">
        <f t="shared" si="12"/>
        <v>168437.5</v>
      </c>
      <c r="V24" s="1485">
        <f t="shared" si="13"/>
        <v>437500</v>
      </c>
      <c r="W24" s="1525">
        <f t="shared" si="14"/>
        <v>168437.5</v>
      </c>
      <c r="X24" s="1485">
        <f t="shared" si="15"/>
        <v>1750000</v>
      </c>
      <c r="Y24" s="1485">
        <f t="shared" si="16"/>
        <v>673750</v>
      </c>
      <c r="Z24" s="1527" t="s">
        <v>7799</v>
      </c>
      <c r="AA24" s="1379" t="s">
        <v>6526</v>
      </c>
      <c r="AB24" s="1583"/>
      <c r="AC24" s="1584" t="str">
        <f t="shared" si="17"/>
        <v>ok</v>
      </c>
      <c r="AD24" s="1583"/>
      <c r="AE24" s="1583"/>
      <c r="AF24" s="1583"/>
      <c r="AG24" s="1583"/>
      <c r="AH24" s="1583"/>
      <c r="AI24" s="1583"/>
      <c r="AJ24" s="1583"/>
      <c r="AK24" s="1583"/>
      <c r="AL24" s="1583"/>
      <c r="AM24" s="1583"/>
      <c r="AN24" s="1583"/>
      <c r="AO24" s="1583"/>
    </row>
    <row r="25" spans="1:41" x14ac:dyDescent="0.6">
      <c r="A25" s="1432">
        <v>19</v>
      </c>
      <c r="B25" s="1575" t="s">
        <v>8316</v>
      </c>
      <c r="C25" s="1576" t="s">
        <v>8298</v>
      </c>
      <c r="D25" s="1578">
        <v>7085</v>
      </c>
      <c r="E25" s="1578">
        <f t="shared" si="0"/>
        <v>6093.0999999999995</v>
      </c>
      <c r="F25" s="1579">
        <v>6500</v>
      </c>
      <c r="G25" s="1485">
        <f t="shared" si="1"/>
        <v>5590</v>
      </c>
      <c r="H25" s="1485">
        <v>6500</v>
      </c>
      <c r="I25" s="1485">
        <f t="shared" si="3"/>
        <v>5590</v>
      </c>
      <c r="J25" s="1582">
        <v>7500</v>
      </c>
      <c r="K25" s="1582">
        <v>1500</v>
      </c>
      <c r="L25" s="1525">
        <f t="shared" si="4"/>
        <v>1290</v>
      </c>
      <c r="M25" s="1485">
        <f t="shared" si="5"/>
        <v>6000</v>
      </c>
      <c r="N25" s="1581">
        <v>0.86</v>
      </c>
      <c r="O25" s="1582">
        <f t="shared" si="6"/>
        <v>5160</v>
      </c>
      <c r="P25" s="1485">
        <f t="shared" si="7"/>
        <v>1500</v>
      </c>
      <c r="Q25" s="1485">
        <f t="shared" si="8"/>
        <v>1290</v>
      </c>
      <c r="R25" s="1485">
        <f t="shared" si="9"/>
        <v>1500</v>
      </c>
      <c r="S25" s="1525">
        <f t="shared" si="10"/>
        <v>1290</v>
      </c>
      <c r="T25" s="1485">
        <f t="shared" si="11"/>
        <v>1500</v>
      </c>
      <c r="U25" s="1525">
        <f t="shared" si="12"/>
        <v>1290</v>
      </c>
      <c r="V25" s="1485">
        <f t="shared" si="13"/>
        <v>1500</v>
      </c>
      <c r="W25" s="1525">
        <f t="shared" si="14"/>
        <v>1290</v>
      </c>
      <c r="X25" s="1485">
        <f t="shared" si="15"/>
        <v>6000</v>
      </c>
      <c r="Y25" s="1485">
        <f t="shared" si="16"/>
        <v>5160</v>
      </c>
      <c r="Z25" s="1527" t="s">
        <v>7799</v>
      </c>
      <c r="AA25" s="1379" t="s">
        <v>6526</v>
      </c>
      <c r="AB25" s="1583"/>
      <c r="AC25" s="1584" t="str">
        <f t="shared" si="17"/>
        <v>ok</v>
      </c>
      <c r="AD25" s="1583"/>
      <c r="AE25" s="1583"/>
      <c r="AF25" s="1583"/>
      <c r="AG25" s="1583"/>
      <c r="AH25" s="1583"/>
      <c r="AI25" s="1583"/>
      <c r="AJ25" s="1583"/>
      <c r="AK25" s="1583"/>
      <c r="AL25" s="1583"/>
      <c r="AM25" s="1583"/>
      <c r="AN25" s="1583"/>
      <c r="AO25" s="1583"/>
    </row>
    <row r="26" spans="1:41" x14ac:dyDescent="0.6">
      <c r="A26" s="1432">
        <v>20</v>
      </c>
      <c r="B26" s="1575" t="s">
        <v>8317</v>
      </c>
      <c r="C26" s="1576" t="s">
        <v>8298</v>
      </c>
      <c r="D26" s="1578">
        <v>30330</v>
      </c>
      <c r="E26" s="1578">
        <f t="shared" si="0"/>
        <v>39429</v>
      </c>
      <c r="F26" s="1579">
        <v>30000</v>
      </c>
      <c r="G26" s="1485">
        <f t="shared" si="1"/>
        <v>39000</v>
      </c>
      <c r="H26" s="1485">
        <v>24000</v>
      </c>
      <c r="I26" s="1485">
        <f t="shared" si="3"/>
        <v>31200</v>
      </c>
      <c r="J26" s="1582">
        <v>35000</v>
      </c>
      <c r="K26" s="1582">
        <v>10000</v>
      </c>
      <c r="L26" s="1525">
        <f t="shared" si="4"/>
        <v>13000</v>
      </c>
      <c r="M26" s="1485">
        <f t="shared" si="5"/>
        <v>25000</v>
      </c>
      <c r="N26" s="1581">
        <v>1.3</v>
      </c>
      <c r="O26" s="1582">
        <f t="shared" si="6"/>
        <v>32500</v>
      </c>
      <c r="P26" s="1485">
        <f t="shared" si="7"/>
        <v>6250</v>
      </c>
      <c r="Q26" s="1485">
        <f t="shared" si="8"/>
        <v>8125</v>
      </c>
      <c r="R26" s="1485">
        <f t="shared" si="9"/>
        <v>6250</v>
      </c>
      <c r="S26" s="1525">
        <f t="shared" si="10"/>
        <v>8125</v>
      </c>
      <c r="T26" s="1485">
        <f t="shared" si="11"/>
        <v>6250</v>
      </c>
      <c r="U26" s="1525">
        <f t="shared" si="12"/>
        <v>8125</v>
      </c>
      <c r="V26" s="1485">
        <f t="shared" si="13"/>
        <v>6250</v>
      </c>
      <c r="W26" s="1525">
        <f t="shared" si="14"/>
        <v>8125</v>
      </c>
      <c r="X26" s="1485">
        <f t="shared" si="15"/>
        <v>25000</v>
      </c>
      <c r="Y26" s="1485">
        <f t="shared" si="16"/>
        <v>32500</v>
      </c>
      <c r="Z26" s="1527" t="s">
        <v>7799</v>
      </c>
      <c r="AA26" s="1379" t="s">
        <v>6526</v>
      </c>
      <c r="AB26" s="1583"/>
      <c r="AC26" s="1584" t="str">
        <f t="shared" si="17"/>
        <v>ok</v>
      </c>
      <c r="AD26" s="1583"/>
      <c r="AE26" s="1583"/>
      <c r="AF26" s="1583"/>
      <c r="AG26" s="1583"/>
      <c r="AH26" s="1583"/>
      <c r="AI26" s="1583"/>
      <c r="AJ26" s="1583"/>
      <c r="AK26" s="1583"/>
      <c r="AL26" s="1583"/>
      <c r="AM26" s="1583"/>
      <c r="AN26" s="1583"/>
      <c r="AO26" s="1583"/>
    </row>
    <row r="27" spans="1:41" x14ac:dyDescent="0.6">
      <c r="A27" s="1432">
        <v>21</v>
      </c>
      <c r="B27" s="1575" t="s">
        <v>8318</v>
      </c>
      <c r="C27" s="1576" t="s">
        <v>8296</v>
      </c>
      <c r="D27" s="1578">
        <v>520</v>
      </c>
      <c r="E27" s="1578">
        <f t="shared" si="0"/>
        <v>4420</v>
      </c>
      <c r="F27" s="1579">
        <v>500</v>
      </c>
      <c r="G27" s="1485">
        <f t="shared" si="1"/>
        <v>4250</v>
      </c>
      <c r="H27" s="1485">
        <v>200</v>
      </c>
      <c r="I27" s="1485">
        <f t="shared" si="3"/>
        <v>1700</v>
      </c>
      <c r="J27" s="1582">
        <v>500</v>
      </c>
      <c r="K27" s="1582">
        <v>100</v>
      </c>
      <c r="L27" s="1525">
        <f t="shared" si="4"/>
        <v>850</v>
      </c>
      <c r="M27" s="1485">
        <f t="shared" si="5"/>
        <v>400</v>
      </c>
      <c r="N27" s="1581">
        <v>8.5</v>
      </c>
      <c r="O27" s="1582">
        <f t="shared" si="6"/>
        <v>3400</v>
      </c>
      <c r="P27" s="1485">
        <f t="shared" si="7"/>
        <v>100</v>
      </c>
      <c r="Q27" s="1485">
        <f t="shared" si="8"/>
        <v>850</v>
      </c>
      <c r="R27" s="1485">
        <f t="shared" si="9"/>
        <v>100</v>
      </c>
      <c r="S27" s="1525">
        <f t="shared" si="10"/>
        <v>850</v>
      </c>
      <c r="T27" s="1485">
        <f t="shared" si="11"/>
        <v>100</v>
      </c>
      <c r="U27" s="1525">
        <f t="shared" si="12"/>
        <v>850</v>
      </c>
      <c r="V27" s="1485">
        <f t="shared" si="13"/>
        <v>100</v>
      </c>
      <c r="W27" s="1525">
        <f t="shared" si="14"/>
        <v>850</v>
      </c>
      <c r="X27" s="1485">
        <f t="shared" si="15"/>
        <v>400</v>
      </c>
      <c r="Y27" s="1485">
        <f t="shared" si="16"/>
        <v>3400</v>
      </c>
      <c r="Z27" s="1527" t="s">
        <v>7799</v>
      </c>
      <c r="AA27" s="1379" t="s">
        <v>6526</v>
      </c>
      <c r="AB27" s="1583"/>
      <c r="AC27" s="1584" t="str">
        <f t="shared" si="17"/>
        <v>ok</v>
      </c>
      <c r="AD27" s="1583"/>
      <c r="AE27" s="1583"/>
      <c r="AF27" s="1583"/>
      <c r="AG27" s="1583"/>
      <c r="AH27" s="1583"/>
      <c r="AI27" s="1583"/>
      <c r="AJ27" s="1583"/>
      <c r="AK27" s="1583"/>
      <c r="AL27" s="1583"/>
      <c r="AM27" s="1583"/>
      <c r="AN27" s="1583"/>
      <c r="AO27" s="1583"/>
    </row>
    <row r="28" spans="1:41" ht="42" x14ac:dyDescent="0.6">
      <c r="A28" s="1432">
        <v>22</v>
      </c>
      <c r="B28" s="1593" t="s">
        <v>8319</v>
      </c>
      <c r="C28" s="1576" t="s">
        <v>8296</v>
      </c>
      <c r="D28" s="1578">
        <v>44</v>
      </c>
      <c r="E28" s="1578">
        <f t="shared" si="0"/>
        <v>4001.8</v>
      </c>
      <c r="F28" s="1579">
        <v>50</v>
      </c>
      <c r="G28" s="1485">
        <f t="shared" si="1"/>
        <v>4547.5</v>
      </c>
      <c r="H28" s="1485">
        <v>50</v>
      </c>
      <c r="I28" s="1485">
        <f t="shared" si="3"/>
        <v>4547.5</v>
      </c>
      <c r="J28" s="1582">
        <v>60</v>
      </c>
      <c r="K28" s="1582">
        <v>10</v>
      </c>
      <c r="L28" s="1525">
        <f t="shared" si="4"/>
        <v>909.5</v>
      </c>
      <c r="M28" s="1485">
        <f t="shared" si="5"/>
        <v>50</v>
      </c>
      <c r="N28" s="1581">
        <v>90.95</v>
      </c>
      <c r="O28" s="1582">
        <f t="shared" si="6"/>
        <v>4547.5</v>
      </c>
      <c r="P28" s="1485">
        <v>50</v>
      </c>
      <c r="Q28" s="1485">
        <f t="shared" si="8"/>
        <v>4547.5</v>
      </c>
      <c r="R28" s="1485">
        <v>0</v>
      </c>
      <c r="S28" s="1525">
        <f t="shared" si="10"/>
        <v>0</v>
      </c>
      <c r="T28" s="1485">
        <v>0</v>
      </c>
      <c r="U28" s="1525">
        <f t="shared" si="12"/>
        <v>0</v>
      </c>
      <c r="V28" s="1485">
        <v>0</v>
      </c>
      <c r="W28" s="1525">
        <f t="shared" si="14"/>
        <v>0</v>
      </c>
      <c r="X28" s="1485">
        <f t="shared" si="15"/>
        <v>50</v>
      </c>
      <c r="Y28" s="1485">
        <f t="shared" si="16"/>
        <v>4547.5</v>
      </c>
      <c r="Z28" s="1527" t="s">
        <v>7799</v>
      </c>
      <c r="AA28" s="1379" t="s">
        <v>6526</v>
      </c>
      <c r="AB28" s="1583"/>
      <c r="AC28" s="1584" t="str">
        <f t="shared" si="17"/>
        <v>ok</v>
      </c>
      <c r="AD28" s="1583"/>
      <c r="AE28" s="1583"/>
      <c r="AF28" s="1583"/>
      <c r="AG28" s="1583"/>
      <c r="AH28" s="1583"/>
      <c r="AI28" s="1583"/>
      <c r="AJ28" s="1583"/>
      <c r="AK28" s="1583"/>
      <c r="AL28" s="1583"/>
      <c r="AM28" s="1583"/>
      <c r="AN28" s="1583"/>
      <c r="AO28" s="1583"/>
    </row>
    <row r="29" spans="1:41" ht="63" x14ac:dyDescent="0.6">
      <c r="A29" s="1432">
        <v>23</v>
      </c>
      <c r="B29" s="1593" t="s">
        <v>8320</v>
      </c>
      <c r="C29" s="1576" t="s">
        <v>8298</v>
      </c>
      <c r="D29" s="1577">
        <f>7695+2000</f>
        <v>9695</v>
      </c>
      <c r="E29" s="1578">
        <f t="shared" si="0"/>
        <v>38780</v>
      </c>
      <c r="F29" s="1579">
        <v>9000</v>
      </c>
      <c r="G29" s="1485">
        <f t="shared" si="1"/>
        <v>36000</v>
      </c>
      <c r="H29" s="1485">
        <v>11000</v>
      </c>
      <c r="I29" s="1485">
        <f t="shared" si="3"/>
        <v>44000</v>
      </c>
      <c r="J29" s="1582">
        <v>15000</v>
      </c>
      <c r="K29" s="1582">
        <v>5000</v>
      </c>
      <c r="L29" s="1525">
        <f t="shared" si="4"/>
        <v>20000</v>
      </c>
      <c r="M29" s="1485">
        <f t="shared" si="5"/>
        <v>10000</v>
      </c>
      <c r="N29" s="1591">
        <v>4</v>
      </c>
      <c r="O29" s="1582">
        <f t="shared" si="6"/>
        <v>40000</v>
      </c>
      <c r="P29" s="1485">
        <f t="shared" si="7"/>
        <v>2500</v>
      </c>
      <c r="Q29" s="1485">
        <f t="shared" si="8"/>
        <v>10000</v>
      </c>
      <c r="R29" s="1485">
        <f t="shared" si="9"/>
        <v>2500</v>
      </c>
      <c r="S29" s="1525">
        <f t="shared" si="10"/>
        <v>10000</v>
      </c>
      <c r="T29" s="1485">
        <f t="shared" si="11"/>
        <v>2500</v>
      </c>
      <c r="U29" s="1525">
        <f t="shared" si="12"/>
        <v>10000</v>
      </c>
      <c r="V29" s="1485">
        <f t="shared" si="13"/>
        <v>2500</v>
      </c>
      <c r="W29" s="1525">
        <f t="shared" si="14"/>
        <v>10000</v>
      </c>
      <c r="X29" s="1485">
        <f t="shared" si="15"/>
        <v>10000</v>
      </c>
      <c r="Y29" s="1485">
        <f t="shared" si="16"/>
        <v>40000</v>
      </c>
      <c r="Z29" s="1379" t="s">
        <v>7799</v>
      </c>
      <c r="AA29" s="1379" t="s">
        <v>6526</v>
      </c>
      <c r="AB29" s="1583"/>
      <c r="AC29" s="1584" t="str">
        <f t="shared" si="17"/>
        <v>ok</v>
      </c>
      <c r="AD29" s="1583"/>
      <c r="AE29" s="1583"/>
      <c r="AF29" s="1583"/>
      <c r="AG29" s="1583"/>
      <c r="AH29" s="1583"/>
      <c r="AI29" s="1583"/>
      <c r="AJ29" s="1583"/>
      <c r="AK29" s="1583"/>
      <c r="AL29" s="1583"/>
      <c r="AM29" s="1583"/>
      <c r="AN29" s="1583"/>
      <c r="AO29" s="1583"/>
    </row>
    <row r="30" spans="1:41" x14ac:dyDescent="0.6">
      <c r="A30" s="1432">
        <v>24</v>
      </c>
      <c r="B30" s="1575" t="s">
        <v>8321</v>
      </c>
      <c r="C30" s="1576" t="s">
        <v>8305</v>
      </c>
      <c r="D30" s="1577">
        <f>330+50</f>
        <v>380</v>
      </c>
      <c r="E30" s="1578">
        <f t="shared" si="0"/>
        <v>4560</v>
      </c>
      <c r="F30" s="1579">
        <v>150</v>
      </c>
      <c r="G30" s="1485">
        <f t="shared" si="1"/>
        <v>1800</v>
      </c>
      <c r="H30" s="1485">
        <v>300</v>
      </c>
      <c r="I30" s="1485">
        <f t="shared" si="3"/>
        <v>3600</v>
      </c>
      <c r="J30" s="1582">
        <v>400</v>
      </c>
      <c r="K30" s="1582">
        <v>100</v>
      </c>
      <c r="L30" s="1525">
        <f t="shared" si="4"/>
        <v>1200</v>
      </c>
      <c r="M30" s="1485">
        <f t="shared" si="5"/>
        <v>300</v>
      </c>
      <c r="N30" s="1581">
        <v>12</v>
      </c>
      <c r="O30" s="1582">
        <f t="shared" si="6"/>
        <v>3600</v>
      </c>
      <c r="P30" s="1485">
        <f t="shared" si="7"/>
        <v>75</v>
      </c>
      <c r="Q30" s="1485">
        <f t="shared" si="8"/>
        <v>900</v>
      </c>
      <c r="R30" s="1485">
        <f t="shared" si="9"/>
        <v>75</v>
      </c>
      <c r="S30" s="1525">
        <f t="shared" si="10"/>
        <v>900</v>
      </c>
      <c r="T30" s="1485">
        <f t="shared" si="11"/>
        <v>75</v>
      </c>
      <c r="U30" s="1525">
        <f t="shared" si="12"/>
        <v>900</v>
      </c>
      <c r="V30" s="1485">
        <f t="shared" si="13"/>
        <v>75</v>
      </c>
      <c r="W30" s="1525">
        <f t="shared" si="14"/>
        <v>900</v>
      </c>
      <c r="X30" s="1485">
        <f t="shared" si="15"/>
        <v>300</v>
      </c>
      <c r="Y30" s="1485">
        <f t="shared" si="16"/>
        <v>3600</v>
      </c>
      <c r="Z30" s="1527" t="s">
        <v>7799</v>
      </c>
      <c r="AA30" s="1379" t="s">
        <v>6526</v>
      </c>
      <c r="AB30" s="1583"/>
      <c r="AC30" s="1584" t="str">
        <f t="shared" si="17"/>
        <v>ok</v>
      </c>
      <c r="AD30" s="1583"/>
      <c r="AE30" s="1583"/>
      <c r="AF30" s="1583"/>
      <c r="AG30" s="1583"/>
      <c r="AH30" s="1583"/>
      <c r="AI30" s="1583"/>
      <c r="AJ30" s="1583"/>
      <c r="AK30" s="1583"/>
      <c r="AL30" s="1583"/>
      <c r="AM30" s="1583"/>
      <c r="AN30" s="1583"/>
      <c r="AO30" s="1583"/>
    </row>
    <row r="31" spans="1:41" x14ac:dyDescent="0.6">
      <c r="A31" s="1432">
        <v>25</v>
      </c>
      <c r="B31" s="1575" t="s">
        <v>8322</v>
      </c>
      <c r="C31" s="1576" t="s">
        <v>8305</v>
      </c>
      <c r="D31" s="1577">
        <f>2650+4050</f>
        <v>6700</v>
      </c>
      <c r="E31" s="1578">
        <f t="shared" si="0"/>
        <v>51925</v>
      </c>
      <c r="F31" s="1579">
        <v>6300</v>
      </c>
      <c r="G31" s="1485">
        <f t="shared" si="1"/>
        <v>48825</v>
      </c>
      <c r="H31" s="1485">
        <v>6000</v>
      </c>
      <c r="I31" s="1485">
        <f t="shared" si="3"/>
        <v>46500</v>
      </c>
      <c r="J31" s="1582">
        <v>7500</v>
      </c>
      <c r="K31" s="1582">
        <v>1000</v>
      </c>
      <c r="L31" s="1525">
        <f t="shared" si="4"/>
        <v>7750</v>
      </c>
      <c r="M31" s="1485">
        <f t="shared" si="5"/>
        <v>6500</v>
      </c>
      <c r="N31" s="1591">
        <v>7.75</v>
      </c>
      <c r="O31" s="1582">
        <f t="shared" si="6"/>
        <v>50375</v>
      </c>
      <c r="P31" s="1485">
        <f t="shared" si="7"/>
        <v>1625</v>
      </c>
      <c r="Q31" s="1485">
        <f t="shared" si="8"/>
        <v>12593.75</v>
      </c>
      <c r="R31" s="1485">
        <f t="shared" si="9"/>
        <v>1625</v>
      </c>
      <c r="S31" s="1525">
        <f t="shared" si="10"/>
        <v>12593.75</v>
      </c>
      <c r="T31" s="1485">
        <f t="shared" si="11"/>
        <v>1625</v>
      </c>
      <c r="U31" s="1525">
        <f t="shared" si="12"/>
        <v>12593.75</v>
      </c>
      <c r="V31" s="1485">
        <f t="shared" si="13"/>
        <v>1625</v>
      </c>
      <c r="W31" s="1525">
        <f t="shared" si="14"/>
        <v>12593.75</v>
      </c>
      <c r="X31" s="1485">
        <f t="shared" si="15"/>
        <v>6500</v>
      </c>
      <c r="Y31" s="1485">
        <f t="shared" si="16"/>
        <v>50375</v>
      </c>
      <c r="Z31" s="1527" t="s">
        <v>7799</v>
      </c>
      <c r="AA31" s="1379" t="s">
        <v>6526</v>
      </c>
      <c r="AB31" s="1583"/>
      <c r="AC31" s="1584" t="str">
        <f t="shared" si="17"/>
        <v>ok</v>
      </c>
      <c r="AD31" s="1583"/>
      <c r="AE31" s="1583"/>
      <c r="AF31" s="1583"/>
      <c r="AG31" s="1583"/>
      <c r="AH31" s="1583"/>
      <c r="AI31" s="1583"/>
      <c r="AJ31" s="1583"/>
      <c r="AK31" s="1583"/>
      <c r="AL31" s="1583"/>
      <c r="AM31" s="1583"/>
      <c r="AN31" s="1583"/>
      <c r="AO31" s="1583"/>
    </row>
    <row r="32" spans="1:41" x14ac:dyDescent="0.6">
      <c r="A32" s="1432">
        <v>26</v>
      </c>
      <c r="B32" s="1575" t="s">
        <v>8323</v>
      </c>
      <c r="C32" s="1576" t="s">
        <v>8296</v>
      </c>
      <c r="D32" s="1594">
        <v>3439</v>
      </c>
      <c r="E32" s="1578">
        <f t="shared" si="0"/>
        <v>50553.299999999996</v>
      </c>
      <c r="F32" s="1579">
        <v>4500</v>
      </c>
      <c r="G32" s="1485">
        <f t="shared" si="1"/>
        <v>66150</v>
      </c>
      <c r="H32" s="1485">
        <v>3000</v>
      </c>
      <c r="I32" s="1485">
        <f t="shared" si="3"/>
        <v>44100</v>
      </c>
      <c r="J32" s="1582">
        <v>5000</v>
      </c>
      <c r="K32" s="1582">
        <v>1000</v>
      </c>
      <c r="L32" s="1525">
        <f t="shared" si="4"/>
        <v>14700</v>
      </c>
      <c r="M32" s="1485">
        <f t="shared" si="5"/>
        <v>4000</v>
      </c>
      <c r="N32" s="1591">
        <v>14.7</v>
      </c>
      <c r="O32" s="1582">
        <f t="shared" si="6"/>
        <v>58800</v>
      </c>
      <c r="P32" s="1485">
        <f t="shared" si="7"/>
        <v>1000</v>
      </c>
      <c r="Q32" s="1485">
        <f t="shared" si="8"/>
        <v>14700</v>
      </c>
      <c r="R32" s="1485">
        <f t="shared" si="9"/>
        <v>1000</v>
      </c>
      <c r="S32" s="1525">
        <f t="shared" si="10"/>
        <v>14700</v>
      </c>
      <c r="T32" s="1485">
        <f t="shared" si="11"/>
        <v>1000</v>
      </c>
      <c r="U32" s="1525">
        <f t="shared" si="12"/>
        <v>14700</v>
      </c>
      <c r="V32" s="1485">
        <f t="shared" si="13"/>
        <v>1000</v>
      </c>
      <c r="W32" s="1525">
        <f t="shared" si="14"/>
        <v>14700</v>
      </c>
      <c r="X32" s="1485">
        <f t="shared" si="15"/>
        <v>4000</v>
      </c>
      <c r="Y32" s="1485">
        <f t="shared" si="16"/>
        <v>58800</v>
      </c>
      <c r="Z32" s="1527" t="s">
        <v>7799</v>
      </c>
      <c r="AA32" s="1379" t="s">
        <v>6526</v>
      </c>
      <c r="AB32" s="1583"/>
      <c r="AC32" s="1584" t="str">
        <f t="shared" si="17"/>
        <v>ok</v>
      </c>
      <c r="AD32" s="1583"/>
      <c r="AE32" s="1583"/>
      <c r="AF32" s="1583"/>
      <c r="AG32" s="1583"/>
      <c r="AH32" s="1583"/>
      <c r="AI32" s="1583"/>
      <c r="AJ32" s="1583"/>
      <c r="AK32" s="1583"/>
      <c r="AL32" s="1583"/>
      <c r="AM32" s="1583"/>
      <c r="AN32" s="1583"/>
      <c r="AO32" s="1583"/>
    </row>
    <row r="33" spans="1:41" ht="42" x14ac:dyDescent="0.6">
      <c r="A33" s="1432">
        <v>27</v>
      </c>
      <c r="B33" s="1587" t="s">
        <v>8324</v>
      </c>
      <c r="C33" s="1576" t="s">
        <v>8296</v>
      </c>
      <c r="D33" s="1577">
        <v>70</v>
      </c>
      <c r="E33" s="1578">
        <f t="shared" si="0"/>
        <v>39200</v>
      </c>
      <c r="F33" s="1579">
        <v>30</v>
      </c>
      <c r="G33" s="1485">
        <f t="shared" si="1"/>
        <v>16800</v>
      </c>
      <c r="H33" s="1485">
        <v>60</v>
      </c>
      <c r="I33" s="1485">
        <f t="shared" si="3"/>
        <v>33600</v>
      </c>
      <c r="J33" s="1582">
        <v>100</v>
      </c>
      <c r="K33" s="1582">
        <v>50</v>
      </c>
      <c r="L33" s="1525">
        <f t="shared" si="4"/>
        <v>28000</v>
      </c>
      <c r="M33" s="1485">
        <f t="shared" si="5"/>
        <v>50</v>
      </c>
      <c r="N33" s="1581">
        <v>560</v>
      </c>
      <c r="O33" s="1582">
        <f t="shared" si="6"/>
        <v>28000</v>
      </c>
      <c r="P33" s="1485">
        <v>50</v>
      </c>
      <c r="Q33" s="1485">
        <f t="shared" si="8"/>
        <v>28000</v>
      </c>
      <c r="R33" s="1485">
        <v>0</v>
      </c>
      <c r="S33" s="1525">
        <f t="shared" si="10"/>
        <v>0</v>
      </c>
      <c r="T33" s="1485">
        <v>0</v>
      </c>
      <c r="U33" s="1525">
        <f t="shared" si="12"/>
        <v>0</v>
      </c>
      <c r="V33" s="1485">
        <v>0</v>
      </c>
      <c r="W33" s="1525">
        <f t="shared" si="14"/>
        <v>0</v>
      </c>
      <c r="X33" s="1485">
        <f t="shared" si="15"/>
        <v>50</v>
      </c>
      <c r="Y33" s="1485">
        <f t="shared" si="16"/>
        <v>28000</v>
      </c>
      <c r="Z33" s="1527" t="s">
        <v>7799</v>
      </c>
      <c r="AA33" s="1379" t="s">
        <v>6526</v>
      </c>
      <c r="AB33" s="1583"/>
      <c r="AC33" s="1584" t="str">
        <f t="shared" si="17"/>
        <v>ok</v>
      </c>
      <c r="AD33" s="1583"/>
      <c r="AE33" s="1583"/>
      <c r="AF33" s="1583"/>
      <c r="AG33" s="1583"/>
      <c r="AH33" s="1583"/>
      <c r="AI33" s="1583"/>
      <c r="AJ33" s="1583"/>
      <c r="AK33" s="1583"/>
      <c r="AL33" s="1583"/>
      <c r="AM33" s="1583"/>
      <c r="AN33" s="1583"/>
      <c r="AO33" s="1583"/>
    </row>
    <row r="34" spans="1:41" ht="42" x14ac:dyDescent="0.6">
      <c r="A34" s="1432">
        <v>28</v>
      </c>
      <c r="B34" s="1587" t="s">
        <v>8325</v>
      </c>
      <c r="C34" s="1576" t="s">
        <v>8296</v>
      </c>
      <c r="D34" s="1577">
        <v>16</v>
      </c>
      <c r="E34" s="1578">
        <f t="shared" si="0"/>
        <v>1232.6400000000001</v>
      </c>
      <c r="F34" s="1579">
        <v>26</v>
      </c>
      <c r="G34" s="1485">
        <f t="shared" si="1"/>
        <v>2003.0400000000002</v>
      </c>
      <c r="H34" s="1485">
        <v>20</v>
      </c>
      <c r="I34" s="1485">
        <f t="shared" si="3"/>
        <v>1540.8000000000002</v>
      </c>
      <c r="J34" s="1582">
        <v>30</v>
      </c>
      <c r="K34" s="1582">
        <v>5</v>
      </c>
      <c r="L34" s="1525">
        <f t="shared" si="4"/>
        <v>385.20000000000005</v>
      </c>
      <c r="M34" s="1485">
        <f t="shared" si="5"/>
        <v>25</v>
      </c>
      <c r="N34" s="1581">
        <v>77.040000000000006</v>
      </c>
      <c r="O34" s="1582">
        <f t="shared" si="6"/>
        <v>1926.0000000000002</v>
      </c>
      <c r="P34" s="1485">
        <v>25</v>
      </c>
      <c r="Q34" s="1485">
        <f t="shared" si="8"/>
        <v>1926.0000000000002</v>
      </c>
      <c r="R34" s="1485">
        <v>0</v>
      </c>
      <c r="S34" s="1525">
        <f t="shared" si="10"/>
        <v>0</v>
      </c>
      <c r="T34" s="1485">
        <v>0</v>
      </c>
      <c r="U34" s="1525">
        <f t="shared" si="12"/>
        <v>0</v>
      </c>
      <c r="V34" s="1485">
        <v>0</v>
      </c>
      <c r="W34" s="1525">
        <f t="shared" si="14"/>
        <v>0</v>
      </c>
      <c r="X34" s="1485">
        <f t="shared" si="15"/>
        <v>25</v>
      </c>
      <c r="Y34" s="1485">
        <f t="shared" si="16"/>
        <v>1926.0000000000002</v>
      </c>
      <c r="Z34" s="1527" t="s">
        <v>7799</v>
      </c>
      <c r="AA34" s="1379" t="s">
        <v>6526</v>
      </c>
      <c r="AB34" s="1583"/>
      <c r="AC34" s="1584" t="str">
        <f t="shared" si="17"/>
        <v>ok</v>
      </c>
      <c r="AD34" s="1583"/>
      <c r="AE34" s="1583"/>
      <c r="AF34" s="1583"/>
      <c r="AG34" s="1583"/>
      <c r="AH34" s="1583"/>
      <c r="AI34" s="1583"/>
      <c r="AJ34" s="1583"/>
      <c r="AK34" s="1583"/>
      <c r="AL34" s="1583"/>
      <c r="AM34" s="1583"/>
      <c r="AN34" s="1583"/>
      <c r="AO34" s="1583"/>
    </row>
    <row r="35" spans="1:41" x14ac:dyDescent="0.6">
      <c r="A35" s="1432">
        <v>29</v>
      </c>
      <c r="B35" s="1575" t="s">
        <v>8326</v>
      </c>
      <c r="C35" s="1576" t="s">
        <v>8298</v>
      </c>
      <c r="D35" s="1577">
        <v>500</v>
      </c>
      <c r="E35" s="1578">
        <f t="shared" si="0"/>
        <v>353</v>
      </c>
      <c r="F35" s="1579">
        <v>500</v>
      </c>
      <c r="G35" s="1485">
        <f t="shared" si="1"/>
        <v>353</v>
      </c>
      <c r="H35" s="1485">
        <v>500</v>
      </c>
      <c r="I35" s="1485">
        <f t="shared" si="3"/>
        <v>353</v>
      </c>
      <c r="J35" s="1582">
        <v>500</v>
      </c>
      <c r="K35" s="1582">
        <v>500</v>
      </c>
      <c r="L35" s="1525">
        <f t="shared" si="4"/>
        <v>353</v>
      </c>
      <c r="M35" s="1485">
        <f t="shared" si="5"/>
        <v>0</v>
      </c>
      <c r="N35" s="1581">
        <v>0.70599999999999996</v>
      </c>
      <c r="O35" s="1582">
        <f t="shared" si="6"/>
        <v>0</v>
      </c>
      <c r="P35" s="1485">
        <f t="shared" si="7"/>
        <v>0</v>
      </c>
      <c r="Q35" s="1485">
        <f t="shared" si="8"/>
        <v>0</v>
      </c>
      <c r="R35" s="1485">
        <f t="shared" si="9"/>
        <v>0</v>
      </c>
      <c r="S35" s="1525">
        <f t="shared" si="10"/>
        <v>0</v>
      </c>
      <c r="T35" s="1485">
        <f t="shared" si="11"/>
        <v>0</v>
      </c>
      <c r="U35" s="1525">
        <f t="shared" si="12"/>
        <v>0</v>
      </c>
      <c r="V35" s="1485">
        <f t="shared" si="13"/>
        <v>0</v>
      </c>
      <c r="W35" s="1525">
        <f t="shared" si="14"/>
        <v>0</v>
      </c>
      <c r="X35" s="1485">
        <f t="shared" si="15"/>
        <v>0</v>
      </c>
      <c r="Y35" s="1485">
        <f t="shared" si="16"/>
        <v>0</v>
      </c>
      <c r="Z35" s="1527" t="s">
        <v>7799</v>
      </c>
      <c r="AA35" s="1379" t="s">
        <v>6526</v>
      </c>
      <c r="AB35" s="1583"/>
      <c r="AC35" s="1584" t="str">
        <f t="shared" si="17"/>
        <v>ok</v>
      </c>
      <c r="AD35" s="1583"/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</row>
    <row r="36" spans="1:41" x14ac:dyDescent="0.6">
      <c r="A36" s="1432">
        <v>30</v>
      </c>
      <c r="B36" s="1575" t="s">
        <v>8327</v>
      </c>
      <c r="C36" s="1576" t="s">
        <v>8298</v>
      </c>
      <c r="D36" s="1577">
        <f>30000+224000+28200</f>
        <v>282200</v>
      </c>
      <c r="E36" s="1578">
        <f t="shared" si="0"/>
        <v>42330</v>
      </c>
      <c r="F36" s="1579">
        <v>270000</v>
      </c>
      <c r="G36" s="1485">
        <f t="shared" si="1"/>
        <v>40500</v>
      </c>
      <c r="H36" s="1485">
        <v>200000</v>
      </c>
      <c r="I36" s="1485">
        <f t="shared" si="3"/>
        <v>30000</v>
      </c>
      <c r="J36" s="1582">
        <v>300000</v>
      </c>
      <c r="K36" s="1582">
        <v>50000</v>
      </c>
      <c r="L36" s="1525">
        <f t="shared" si="4"/>
        <v>7500</v>
      </c>
      <c r="M36" s="1485">
        <f t="shared" si="5"/>
        <v>250000</v>
      </c>
      <c r="N36" s="1591">
        <v>0.15</v>
      </c>
      <c r="O36" s="1582">
        <f t="shared" si="6"/>
        <v>37500</v>
      </c>
      <c r="P36" s="1485">
        <f t="shared" si="7"/>
        <v>62500</v>
      </c>
      <c r="Q36" s="1485">
        <f t="shared" si="8"/>
        <v>9375</v>
      </c>
      <c r="R36" s="1485">
        <f t="shared" si="9"/>
        <v>62500</v>
      </c>
      <c r="S36" s="1525">
        <f t="shared" si="10"/>
        <v>9375</v>
      </c>
      <c r="T36" s="1485">
        <f t="shared" si="11"/>
        <v>62500</v>
      </c>
      <c r="U36" s="1525">
        <f t="shared" si="12"/>
        <v>9375</v>
      </c>
      <c r="V36" s="1485">
        <f t="shared" si="13"/>
        <v>62500</v>
      </c>
      <c r="W36" s="1525">
        <f t="shared" si="14"/>
        <v>9375</v>
      </c>
      <c r="X36" s="1485">
        <f t="shared" si="15"/>
        <v>250000</v>
      </c>
      <c r="Y36" s="1485">
        <f t="shared" si="16"/>
        <v>37500</v>
      </c>
      <c r="Z36" s="1527" t="s">
        <v>7799</v>
      </c>
      <c r="AA36" s="1379" t="s">
        <v>6526</v>
      </c>
      <c r="AB36" s="1583"/>
      <c r="AC36" s="1584" t="str">
        <f t="shared" si="17"/>
        <v>ok</v>
      </c>
      <c r="AD36" s="1583"/>
      <c r="AE36" s="1583"/>
      <c r="AF36" s="1583"/>
      <c r="AG36" s="1583"/>
      <c r="AH36" s="1583"/>
      <c r="AI36" s="1583"/>
      <c r="AJ36" s="1583"/>
      <c r="AK36" s="1583"/>
      <c r="AL36" s="1583"/>
      <c r="AM36" s="1583"/>
      <c r="AN36" s="1583"/>
      <c r="AO36" s="1583"/>
    </row>
    <row r="37" spans="1:41" x14ac:dyDescent="0.6">
      <c r="A37" s="1432">
        <v>32</v>
      </c>
      <c r="B37" s="1575" t="s">
        <v>8328</v>
      </c>
      <c r="C37" s="1576" t="s">
        <v>8298</v>
      </c>
      <c r="D37" s="1577">
        <f>31650+51500</f>
        <v>83150</v>
      </c>
      <c r="E37" s="1578">
        <f t="shared" si="0"/>
        <v>15798.5</v>
      </c>
      <c r="F37" s="1579">
        <v>85000</v>
      </c>
      <c r="G37" s="1485">
        <f t="shared" si="1"/>
        <v>16150</v>
      </c>
      <c r="H37" s="1485">
        <v>70000</v>
      </c>
      <c r="I37" s="1485">
        <f t="shared" si="3"/>
        <v>13300</v>
      </c>
      <c r="J37" s="1582">
        <v>90000</v>
      </c>
      <c r="K37" s="1582">
        <v>20000</v>
      </c>
      <c r="L37" s="1525">
        <f t="shared" si="4"/>
        <v>3800</v>
      </c>
      <c r="M37" s="1485">
        <f t="shared" si="5"/>
        <v>70000</v>
      </c>
      <c r="N37" s="1581">
        <v>0.19</v>
      </c>
      <c r="O37" s="1582">
        <f t="shared" si="6"/>
        <v>13300</v>
      </c>
      <c r="P37" s="1485">
        <f t="shared" si="7"/>
        <v>17500</v>
      </c>
      <c r="Q37" s="1485">
        <f t="shared" si="8"/>
        <v>3325</v>
      </c>
      <c r="R37" s="1485">
        <f t="shared" si="9"/>
        <v>17500</v>
      </c>
      <c r="S37" s="1525">
        <f t="shared" si="10"/>
        <v>3325</v>
      </c>
      <c r="T37" s="1485">
        <f t="shared" si="11"/>
        <v>17500</v>
      </c>
      <c r="U37" s="1525">
        <f t="shared" si="12"/>
        <v>3325</v>
      </c>
      <c r="V37" s="1485">
        <f t="shared" si="13"/>
        <v>17500</v>
      </c>
      <c r="W37" s="1525">
        <f t="shared" si="14"/>
        <v>3325</v>
      </c>
      <c r="X37" s="1485">
        <f t="shared" si="15"/>
        <v>70000</v>
      </c>
      <c r="Y37" s="1485">
        <f t="shared" si="16"/>
        <v>13300</v>
      </c>
      <c r="Z37" s="1527" t="s">
        <v>7799</v>
      </c>
      <c r="AA37" s="1379" t="s">
        <v>6526</v>
      </c>
      <c r="AB37" s="1583"/>
      <c r="AC37" s="1584" t="str">
        <f t="shared" si="17"/>
        <v>ok</v>
      </c>
      <c r="AD37" s="1583"/>
      <c r="AE37" s="1583"/>
      <c r="AF37" s="1583"/>
      <c r="AG37" s="1583"/>
      <c r="AH37" s="1583"/>
      <c r="AI37" s="1583"/>
      <c r="AJ37" s="1583"/>
      <c r="AK37" s="1583"/>
      <c r="AL37" s="1583"/>
      <c r="AM37" s="1583"/>
      <c r="AN37" s="1583"/>
      <c r="AO37" s="1583"/>
    </row>
    <row r="38" spans="1:41" ht="42" x14ac:dyDescent="0.6">
      <c r="A38" s="1432">
        <v>33</v>
      </c>
      <c r="B38" s="1587" t="s">
        <v>8329</v>
      </c>
      <c r="C38" s="1576" t="s">
        <v>8305</v>
      </c>
      <c r="D38" s="1577">
        <v>64</v>
      </c>
      <c r="E38" s="1578">
        <f t="shared" si="0"/>
        <v>342.4</v>
      </c>
      <c r="F38" s="1579">
        <v>60</v>
      </c>
      <c r="G38" s="1485">
        <f t="shared" si="1"/>
        <v>321</v>
      </c>
      <c r="H38" s="1485">
        <v>60</v>
      </c>
      <c r="I38" s="1485">
        <f t="shared" si="3"/>
        <v>321</v>
      </c>
      <c r="J38" s="1582">
        <v>80</v>
      </c>
      <c r="K38" s="1582">
        <v>10</v>
      </c>
      <c r="L38" s="1525">
        <f t="shared" si="4"/>
        <v>53.5</v>
      </c>
      <c r="M38" s="1485">
        <f t="shared" si="5"/>
        <v>70</v>
      </c>
      <c r="N38" s="1581">
        <v>5.35</v>
      </c>
      <c r="O38" s="1582">
        <f t="shared" si="6"/>
        <v>374.5</v>
      </c>
      <c r="P38" s="1485">
        <v>18</v>
      </c>
      <c r="Q38" s="1485">
        <f t="shared" si="8"/>
        <v>96.3</v>
      </c>
      <c r="R38" s="1485">
        <v>17</v>
      </c>
      <c r="S38" s="1525">
        <f t="shared" si="10"/>
        <v>90.949999999999989</v>
      </c>
      <c r="T38" s="1485">
        <v>18</v>
      </c>
      <c r="U38" s="1525">
        <f t="shared" si="12"/>
        <v>96.3</v>
      </c>
      <c r="V38" s="1485">
        <v>17</v>
      </c>
      <c r="W38" s="1525">
        <f t="shared" si="14"/>
        <v>90.949999999999989</v>
      </c>
      <c r="X38" s="1485">
        <f t="shared" si="15"/>
        <v>70</v>
      </c>
      <c r="Y38" s="1485">
        <f t="shared" si="16"/>
        <v>374.5</v>
      </c>
      <c r="Z38" s="1527" t="s">
        <v>7799</v>
      </c>
      <c r="AA38" s="1379" t="s">
        <v>6526</v>
      </c>
      <c r="AB38" s="1583"/>
      <c r="AC38" s="1584" t="str">
        <f t="shared" si="17"/>
        <v>ok</v>
      </c>
      <c r="AD38" s="1583"/>
      <c r="AE38" s="1583"/>
      <c r="AF38" s="1583"/>
      <c r="AG38" s="1583"/>
      <c r="AH38" s="1583"/>
      <c r="AI38" s="1583"/>
      <c r="AJ38" s="1583"/>
      <c r="AK38" s="1583"/>
      <c r="AL38" s="1583"/>
      <c r="AM38" s="1583"/>
      <c r="AN38" s="1583"/>
      <c r="AO38" s="1583"/>
    </row>
    <row r="39" spans="1:41" ht="42" x14ac:dyDescent="0.6">
      <c r="A39" s="1432">
        <v>34</v>
      </c>
      <c r="B39" s="1587" t="s">
        <v>8330</v>
      </c>
      <c r="C39" s="1576" t="s">
        <v>8305</v>
      </c>
      <c r="D39" s="1578">
        <f>200+1263</f>
        <v>1463</v>
      </c>
      <c r="E39" s="1578">
        <f t="shared" si="0"/>
        <v>380380</v>
      </c>
      <c r="F39" s="1579">
        <v>1500</v>
      </c>
      <c r="G39" s="1485">
        <f t="shared" si="1"/>
        <v>390000</v>
      </c>
      <c r="H39" s="1485">
        <v>2000</v>
      </c>
      <c r="I39" s="1485">
        <f t="shared" si="3"/>
        <v>520000</v>
      </c>
      <c r="J39" s="1582">
        <v>2500</v>
      </c>
      <c r="K39" s="1582">
        <v>300</v>
      </c>
      <c r="L39" s="1525">
        <f t="shared" si="4"/>
        <v>78000</v>
      </c>
      <c r="M39" s="1485">
        <v>1900</v>
      </c>
      <c r="N39" s="1581">
        <v>260</v>
      </c>
      <c r="O39" s="1582">
        <f t="shared" si="6"/>
        <v>494000</v>
      </c>
      <c r="P39" s="1485">
        <v>800</v>
      </c>
      <c r="Q39" s="1485">
        <f t="shared" si="8"/>
        <v>208000</v>
      </c>
      <c r="R39" s="1485">
        <v>800</v>
      </c>
      <c r="S39" s="1525">
        <f t="shared" si="10"/>
        <v>208000</v>
      </c>
      <c r="T39" s="1485">
        <v>300</v>
      </c>
      <c r="U39" s="1525">
        <f t="shared" si="12"/>
        <v>78000</v>
      </c>
      <c r="V39" s="1485">
        <v>0</v>
      </c>
      <c r="W39" s="1525">
        <f t="shared" si="14"/>
        <v>0</v>
      </c>
      <c r="X39" s="1485">
        <f t="shared" si="15"/>
        <v>1900</v>
      </c>
      <c r="Y39" s="1485">
        <f t="shared" si="16"/>
        <v>494000</v>
      </c>
      <c r="Z39" s="1527" t="s">
        <v>7799</v>
      </c>
      <c r="AA39" s="1379" t="s">
        <v>6526</v>
      </c>
      <c r="AB39" s="1583"/>
      <c r="AC39" s="1584" t="str">
        <f t="shared" si="17"/>
        <v>ok</v>
      </c>
      <c r="AD39" s="1583"/>
      <c r="AE39" s="1583"/>
      <c r="AF39" s="1583"/>
      <c r="AG39" s="1583"/>
      <c r="AH39" s="1583"/>
      <c r="AI39" s="1583"/>
      <c r="AJ39" s="1583"/>
      <c r="AK39" s="1583"/>
      <c r="AL39" s="1583"/>
      <c r="AM39" s="1583"/>
      <c r="AN39" s="1583"/>
      <c r="AO39" s="1583"/>
    </row>
    <row r="40" spans="1:41" ht="42" x14ac:dyDescent="0.6">
      <c r="A40" s="1432">
        <v>35</v>
      </c>
      <c r="B40" s="1587" t="s">
        <v>8331</v>
      </c>
      <c r="C40" s="1576" t="s">
        <v>8305</v>
      </c>
      <c r="D40" s="1577">
        <v>0</v>
      </c>
      <c r="E40" s="1578">
        <f t="shared" si="0"/>
        <v>0</v>
      </c>
      <c r="F40" s="1579">
        <v>5</v>
      </c>
      <c r="G40" s="1485">
        <f t="shared" si="1"/>
        <v>690.3</v>
      </c>
      <c r="H40" s="1485">
        <v>0</v>
      </c>
      <c r="I40" s="1485">
        <f t="shared" si="3"/>
        <v>0</v>
      </c>
      <c r="J40" s="1582">
        <v>10</v>
      </c>
      <c r="K40" s="1582">
        <v>3</v>
      </c>
      <c r="L40" s="1525">
        <f t="shared" si="4"/>
        <v>414.18</v>
      </c>
      <c r="M40" s="1485">
        <v>0</v>
      </c>
      <c r="N40" s="1581">
        <v>138.06</v>
      </c>
      <c r="O40" s="1582">
        <f t="shared" si="6"/>
        <v>0</v>
      </c>
      <c r="P40" s="1485">
        <v>0</v>
      </c>
      <c r="Q40" s="1485">
        <f t="shared" si="8"/>
        <v>0</v>
      </c>
      <c r="R40" s="1485">
        <v>0</v>
      </c>
      <c r="S40" s="1525">
        <f t="shared" si="10"/>
        <v>0</v>
      </c>
      <c r="T40" s="1485">
        <v>0</v>
      </c>
      <c r="U40" s="1525">
        <f t="shared" si="12"/>
        <v>0</v>
      </c>
      <c r="V40" s="1485">
        <v>0</v>
      </c>
      <c r="W40" s="1525">
        <f t="shared" si="14"/>
        <v>0</v>
      </c>
      <c r="X40" s="1485">
        <f t="shared" si="15"/>
        <v>0</v>
      </c>
      <c r="Y40" s="1485">
        <f t="shared" si="16"/>
        <v>0</v>
      </c>
      <c r="Z40" s="1527" t="s">
        <v>7799</v>
      </c>
      <c r="AA40" s="1379" t="s">
        <v>6526</v>
      </c>
      <c r="AB40" s="1583"/>
      <c r="AC40" s="1584" t="str">
        <f t="shared" si="17"/>
        <v>ok</v>
      </c>
      <c r="AD40" s="1583"/>
      <c r="AE40" s="1583"/>
      <c r="AF40" s="1583"/>
      <c r="AG40" s="1583"/>
      <c r="AH40" s="1583"/>
      <c r="AI40" s="1583"/>
      <c r="AJ40" s="1583"/>
      <c r="AK40" s="1583"/>
      <c r="AL40" s="1583"/>
      <c r="AM40" s="1583"/>
      <c r="AN40" s="1583"/>
      <c r="AO40" s="1583"/>
    </row>
    <row r="41" spans="1:41" x14ac:dyDescent="0.6">
      <c r="A41" s="1432">
        <v>36</v>
      </c>
      <c r="B41" s="1575" t="s">
        <v>8332</v>
      </c>
      <c r="C41" s="1576" t="s">
        <v>8298</v>
      </c>
      <c r="D41" s="1577">
        <f>32500+2500</f>
        <v>35000</v>
      </c>
      <c r="E41" s="1578">
        <f t="shared" si="0"/>
        <v>7350</v>
      </c>
      <c r="F41" s="1579">
        <v>42000</v>
      </c>
      <c r="G41" s="1485">
        <f t="shared" si="1"/>
        <v>8820</v>
      </c>
      <c r="H41" s="1485">
        <v>33000</v>
      </c>
      <c r="I41" s="1485">
        <f t="shared" si="3"/>
        <v>6930</v>
      </c>
      <c r="J41" s="1582">
        <v>45000</v>
      </c>
      <c r="K41" s="1582">
        <v>5000</v>
      </c>
      <c r="L41" s="1525">
        <f t="shared" si="4"/>
        <v>1050</v>
      </c>
      <c r="M41" s="1485">
        <f t="shared" si="5"/>
        <v>40000</v>
      </c>
      <c r="N41" s="1581">
        <v>0.21</v>
      </c>
      <c r="O41" s="1582">
        <f t="shared" si="6"/>
        <v>8400</v>
      </c>
      <c r="P41" s="1485">
        <f t="shared" si="7"/>
        <v>10000</v>
      </c>
      <c r="Q41" s="1485">
        <f t="shared" si="8"/>
        <v>2100</v>
      </c>
      <c r="R41" s="1485">
        <f t="shared" si="9"/>
        <v>10000</v>
      </c>
      <c r="S41" s="1525">
        <f t="shared" si="10"/>
        <v>2100</v>
      </c>
      <c r="T41" s="1485">
        <f t="shared" si="11"/>
        <v>10000</v>
      </c>
      <c r="U41" s="1525">
        <f t="shared" si="12"/>
        <v>2100</v>
      </c>
      <c r="V41" s="1485">
        <f t="shared" si="13"/>
        <v>10000</v>
      </c>
      <c r="W41" s="1525">
        <f t="shared" si="14"/>
        <v>2100</v>
      </c>
      <c r="X41" s="1485">
        <f t="shared" si="15"/>
        <v>40000</v>
      </c>
      <c r="Y41" s="1485">
        <f t="shared" si="16"/>
        <v>8400</v>
      </c>
      <c r="Z41" s="1527" t="s">
        <v>7799</v>
      </c>
      <c r="AA41" s="1379" t="s">
        <v>6526</v>
      </c>
      <c r="AB41" s="1583"/>
      <c r="AC41" s="1584" t="str">
        <f t="shared" si="17"/>
        <v>ok</v>
      </c>
      <c r="AD41" s="1583"/>
      <c r="AE41" s="1583"/>
      <c r="AF41" s="1583"/>
      <c r="AG41" s="1583"/>
      <c r="AH41" s="1583"/>
      <c r="AI41" s="1583"/>
      <c r="AJ41" s="1583"/>
      <c r="AK41" s="1583"/>
      <c r="AL41" s="1583"/>
      <c r="AM41" s="1583"/>
      <c r="AN41" s="1583"/>
      <c r="AO41" s="1583"/>
    </row>
    <row r="42" spans="1:41" x14ac:dyDescent="0.6">
      <c r="A42" s="1432">
        <v>37</v>
      </c>
      <c r="B42" s="1575" t="s">
        <v>8333</v>
      </c>
      <c r="C42" s="1576" t="s">
        <v>8298</v>
      </c>
      <c r="D42" s="1577">
        <f>13500+5000</f>
        <v>18500</v>
      </c>
      <c r="E42" s="1578">
        <f t="shared" si="0"/>
        <v>7030</v>
      </c>
      <c r="F42" s="1579">
        <v>19000</v>
      </c>
      <c r="G42" s="1485">
        <f t="shared" si="1"/>
        <v>7220</v>
      </c>
      <c r="H42" s="1485">
        <v>14000</v>
      </c>
      <c r="I42" s="1485">
        <f t="shared" si="3"/>
        <v>5320</v>
      </c>
      <c r="J42" s="1582">
        <v>22000</v>
      </c>
      <c r="K42" s="1582">
        <v>6000</v>
      </c>
      <c r="L42" s="1525">
        <f t="shared" si="4"/>
        <v>2280</v>
      </c>
      <c r="M42" s="1485">
        <f t="shared" si="5"/>
        <v>16000</v>
      </c>
      <c r="N42" s="1581">
        <v>0.38</v>
      </c>
      <c r="O42" s="1582">
        <f t="shared" si="6"/>
        <v>6080</v>
      </c>
      <c r="P42" s="1485">
        <f t="shared" si="7"/>
        <v>4000</v>
      </c>
      <c r="Q42" s="1485">
        <f t="shared" si="8"/>
        <v>1520</v>
      </c>
      <c r="R42" s="1485">
        <f t="shared" si="9"/>
        <v>4000</v>
      </c>
      <c r="S42" s="1525">
        <f t="shared" si="10"/>
        <v>1520</v>
      </c>
      <c r="T42" s="1485">
        <f t="shared" si="11"/>
        <v>4000</v>
      </c>
      <c r="U42" s="1525">
        <f t="shared" si="12"/>
        <v>1520</v>
      </c>
      <c r="V42" s="1485">
        <f t="shared" si="13"/>
        <v>4000</v>
      </c>
      <c r="W42" s="1525">
        <f t="shared" si="14"/>
        <v>1520</v>
      </c>
      <c r="X42" s="1485">
        <f t="shared" si="15"/>
        <v>16000</v>
      </c>
      <c r="Y42" s="1485">
        <f t="shared" si="16"/>
        <v>6080</v>
      </c>
      <c r="Z42" s="1527" t="s">
        <v>7799</v>
      </c>
      <c r="AA42" s="1379" t="s">
        <v>6526</v>
      </c>
      <c r="AB42" s="1583"/>
      <c r="AC42" s="1584" t="str">
        <f t="shared" si="17"/>
        <v>ok</v>
      </c>
      <c r="AD42" s="1583"/>
      <c r="AE42" s="1583"/>
      <c r="AF42" s="1583"/>
      <c r="AG42" s="1583"/>
      <c r="AH42" s="1583"/>
      <c r="AI42" s="1583"/>
      <c r="AJ42" s="1583"/>
      <c r="AK42" s="1583"/>
      <c r="AL42" s="1583"/>
      <c r="AM42" s="1583"/>
      <c r="AN42" s="1583"/>
      <c r="AO42" s="1583"/>
    </row>
    <row r="43" spans="1:41" x14ac:dyDescent="0.6">
      <c r="A43" s="1432">
        <v>38</v>
      </c>
      <c r="B43" s="1575" t="s">
        <v>8334</v>
      </c>
      <c r="C43" s="1576" t="s">
        <v>8296</v>
      </c>
      <c r="D43" s="1577">
        <v>77</v>
      </c>
      <c r="E43" s="1578">
        <f t="shared" si="0"/>
        <v>1400.63</v>
      </c>
      <c r="F43" s="1579">
        <v>20</v>
      </c>
      <c r="G43" s="1485">
        <f t="shared" si="1"/>
        <v>363.8</v>
      </c>
      <c r="H43" s="1485">
        <v>90</v>
      </c>
      <c r="I43" s="1485">
        <f t="shared" si="3"/>
        <v>1637.1000000000001</v>
      </c>
      <c r="J43" s="1582">
        <v>100</v>
      </c>
      <c r="K43" s="1582">
        <v>10</v>
      </c>
      <c r="L43" s="1525">
        <f t="shared" si="4"/>
        <v>181.9</v>
      </c>
      <c r="M43" s="1485">
        <f t="shared" si="5"/>
        <v>90</v>
      </c>
      <c r="N43" s="1581">
        <v>18.190000000000001</v>
      </c>
      <c r="O43" s="1582">
        <f t="shared" si="6"/>
        <v>1637.1000000000001</v>
      </c>
      <c r="P43" s="1485">
        <v>90</v>
      </c>
      <c r="Q43" s="1485">
        <f t="shared" si="8"/>
        <v>1637.1000000000001</v>
      </c>
      <c r="R43" s="1485">
        <v>0</v>
      </c>
      <c r="S43" s="1525">
        <f t="shared" si="10"/>
        <v>0</v>
      </c>
      <c r="T43" s="1485">
        <v>0</v>
      </c>
      <c r="U43" s="1525">
        <f t="shared" si="12"/>
        <v>0</v>
      </c>
      <c r="V43" s="1485">
        <v>0</v>
      </c>
      <c r="W43" s="1525">
        <f t="shared" si="14"/>
        <v>0</v>
      </c>
      <c r="X43" s="1485">
        <f t="shared" si="15"/>
        <v>90</v>
      </c>
      <c r="Y43" s="1485">
        <f t="shared" si="16"/>
        <v>1637.1000000000001</v>
      </c>
      <c r="Z43" s="1527" t="s">
        <v>7799</v>
      </c>
      <c r="AA43" s="1379" t="s">
        <v>6526</v>
      </c>
      <c r="AB43" s="1583"/>
      <c r="AC43" s="1584" t="str">
        <f t="shared" si="17"/>
        <v>ok</v>
      </c>
      <c r="AD43" s="1583"/>
      <c r="AE43" s="1583"/>
      <c r="AF43" s="1583"/>
      <c r="AG43" s="1583"/>
      <c r="AH43" s="1583"/>
      <c r="AI43" s="1583"/>
      <c r="AJ43" s="1583"/>
      <c r="AK43" s="1583"/>
      <c r="AL43" s="1583"/>
      <c r="AM43" s="1583"/>
      <c r="AN43" s="1583"/>
      <c r="AO43" s="1583"/>
    </row>
    <row r="44" spans="1:41" x14ac:dyDescent="0.6">
      <c r="A44" s="1432">
        <v>39</v>
      </c>
      <c r="B44" s="1575" t="s">
        <v>8335</v>
      </c>
      <c r="C44" s="1576" t="s">
        <v>8305</v>
      </c>
      <c r="D44" s="1577">
        <f>386+585</f>
        <v>971</v>
      </c>
      <c r="E44" s="1578">
        <f t="shared" si="0"/>
        <v>145455.80000000002</v>
      </c>
      <c r="F44" s="1579">
        <v>1100</v>
      </c>
      <c r="G44" s="1485">
        <f t="shared" si="1"/>
        <v>164780</v>
      </c>
      <c r="H44" s="1485">
        <v>1000</v>
      </c>
      <c r="I44" s="1485">
        <f t="shared" si="3"/>
        <v>149800</v>
      </c>
      <c r="J44" s="1582">
        <v>1200</v>
      </c>
      <c r="K44" s="1582">
        <v>200</v>
      </c>
      <c r="L44" s="1525">
        <f t="shared" si="4"/>
        <v>29960.000000000004</v>
      </c>
      <c r="M44" s="1485">
        <f t="shared" si="5"/>
        <v>1000</v>
      </c>
      <c r="N44" s="1581">
        <v>149.80000000000001</v>
      </c>
      <c r="O44" s="1582">
        <f t="shared" si="6"/>
        <v>149800</v>
      </c>
      <c r="P44" s="1485">
        <f t="shared" si="7"/>
        <v>250</v>
      </c>
      <c r="Q44" s="1485">
        <f t="shared" si="8"/>
        <v>37450</v>
      </c>
      <c r="R44" s="1485">
        <f t="shared" si="9"/>
        <v>250</v>
      </c>
      <c r="S44" s="1525">
        <f t="shared" si="10"/>
        <v>37450</v>
      </c>
      <c r="T44" s="1485">
        <f t="shared" si="11"/>
        <v>250</v>
      </c>
      <c r="U44" s="1525">
        <f t="shared" si="12"/>
        <v>37450</v>
      </c>
      <c r="V44" s="1485">
        <f t="shared" si="13"/>
        <v>250</v>
      </c>
      <c r="W44" s="1525">
        <f t="shared" si="14"/>
        <v>37450</v>
      </c>
      <c r="X44" s="1485">
        <f t="shared" si="15"/>
        <v>1000</v>
      </c>
      <c r="Y44" s="1485">
        <f t="shared" si="16"/>
        <v>149800</v>
      </c>
      <c r="Z44" s="1527" t="s">
        <v>7799</v>
      </c>
      <c r="AA44" s="1379" t="s">
        <v>6526</v>
      </c>
      <c r="AB44" s="1583"/>
      <c r="AC44" s="1584" t="str">
        <f t="shared" si="17"/>
        <v>ok</v>
      </c>
      <c r="AD44" s="1583"/>
      <c r="AE44" s="1583"/>
      <c r="AF44" s="1583"/>
      <c r="AG44" s="1583"/>
      <c r="AH44" s="1583"/>
      <c r="AI44" s="1583"/>
      <c r="AJ44" s="1583"/>
      <c r="AK44" s="1583"/>
      <c r="AL44" s="1583"/>
      <c r="AM44" s="1583"/>
      <c r="AN44" s="1583"/>
      <c r="AO44" s="1583"/>
    </row>
    <row r="45" spans="1:41" x14ac:dyDescent="0.6">
      <c r="A45" s="1432">
        <v>40</v>
      </c>
      <c r="B45" s="1575" t="s">
        <v>8336</v>
      </c>
      <c r="C45" s="1576" t="s">
        <v>8305</v>
      </c>
      <c r="D45" s="1577">
        <f>1889+2051</f>
        <v>3940</v>
      </c>
      <c r="E45" s="1578">
        <f t="shared" si="0"/>
        <v>23088.400000000001</v>
      </c>
      <c r="F45" s="1579">
        <v>4500</v>
      </c>
      <c r="G45" s="1485">
        <f t="shared" si="1"/>
        <v>26370</v>
      </c>
      <c r="H45" s="1485">
        <v>3000</v>
      </c>
      <c r="I45" s="1485">
        <f t="shared" si="3"/>
        <v>17580</v>
      </c>
      <c r="J45" s="1582">
        <v>5000</v>
      </c>
      <c r="K45" s="1582">
        <v>1000</v>
      </c>
      <c r="L45" s="1525">
        <f t="shared" si="4"/>
        <v>5860</v>
      </c>
      <c r="M45" s="1485">
        <f t="shared" si="5"/>
        <v>4000</v>
      </c>
      <c r="N45" s="1591">
        <v>5.86</v>
      </c>
      <c r="O45" s="1582">
        <f t="shared" si="6"/>
        <v>23440</v>
      </c>
      <c r="P45" s="1485">
        <f t="shared" si="7"/>
        <v>1000</v>
      </c>
      <c r="Q45" s="1485">
        <f t="shared" si="8"/>
        <v>5860</v>
      </c>
      <c r="R45" s="1485">
        <f t="shared" si="9"/>
        <v>1000</v>
      </c>
      <c r="S45" s="1525">
        <f t="shared" si="10"/>
        <v>5860</v>
      </c>
      <c r="T45" s="1485">
        <f t="shared" si="11"/>
        <v>1000</v>
      </c>
      <c r="U45" s="1525">
        <f t="shared" si="12"/>
        <v>5860</v>
      </c>
      <c r="V45" s="1485">
        <f t="shared" si="13"/>
        <v>1000</v>
      </c>
      <c r="W45" s="1525">
        <f t="shared" si="14"/>
        <v>5860</v>
      </c>
      <c r="X45" s="1485">
        <f t="shared" si="15"/>
        <v>4000</v>
      </c>
      <c r="Y45" s="1485">
        <f t="shared" si="16"/>
        <v>23440</v>
      </c>
      <c r="Z45" s="1527" t="s">
        <v>7799</v>
      </c>
      <c r="AA45" s="1379" t="s">
        <v>6526</v>
      </c>
      <c r="AB45" s="1583"/>
      <c r="AC45" s="1584" t="str">
        <f t="shared" si="17"/>
        <v>ok</v>
      </c>
      <c r="AD45" s="1583"/>
      <c r="AE45" s="1583"/>
      <c r="AF45" s="1583"/>
      <c r="AG45" s="1583"/>
      <c r="AH45" s="1583"/>
      <c r="AI45" s="1583"/>
      <c r="AJ45" s="1583"/>
      <c r="AK45" s="1583"/>
      <c r="AL45" s="1583"/>
      <c r="AM45" s="1583"/>
      <c r="AN45" s="1583"/>
      <c r="AO45" s="1583"/>
    </row>
    <row r="46" spans="1:41" x14ac:dyDescent="0.6">
      <c r="A46" s="1432">
        <v>41</v>
      </c>
      <c r="B46" s="1575" t="s">
        <v>8337</v>
      </c>
      <c r="C46" s="1576" t="s">
        <v>8298</v>
      </c>
      <c r="D46" s="1577">
        <f>7500+2300</f>
        <v>9800</v>
      </c>
      <c r="E46" s="1578">
        <f t="shared" si="0"/>
        <v>4900</v>
      </c>
      <c r="F46" s="1579">
        <v>11200</v>
      </c>
      <c r="G46" s="1485">
        <f t="shared" si="1"/>
        <v>5600</v>
      </c>
      <c r="H46" s="1485">
        <v>7000</v>
      </c>
      <c r="I46" s="1485">
        <f t="shared" si="3"/>
        <v>3500</v>
      </c>
      <c r="J46" s="1582">
        <v>12000</v>
      </c>
      <c r="K46" s="1582">
        <v>4000</v>
      </c>
      <c r="L46" s="1525">
        <f t="shared" si="4"/>
        <v>2000</v>
      </c>
      <c r="M46" s="1485">
        <f t="shared" si="5"/>
        <v>8000</v>
      </c>
      <c r="N46" s="1581">
        <v>0.5</v>
      </c>
      <c r="O46" s="1582">
        <f t="shared" si="6"/>
        <v>4000</v>
      </c>
      <c r="P46" s="1485">
        <f t="shared" si="7"/>
        <v>2000</v>
      </c>
      <c r="Q46" s="1485">
        <f t="shared" si="8"/>
        <v>1000</v>
      </c>
      <c r="R46" s="1485">
        <f t="shared" si="9"/>
        <v>2000</v>
      </c>
      <c r="S46" s="1525">
        <f t="shared" si="10"/>
        <v>1000</v>
      </c>
      <c r="T46" s="1485">
        <f t="shared" si="11"/>
        <v>2000</v>
      </c>
      <c r="U46" s="1525">
        <f t="shared" si="12"/>
        <v>1000</v>
      </c>
      <c r="V46" s="1485">
        <f t="shared" si="13"/>
        <v>2000</v>
      </c>
      <c r="W46" s="1525">
        <f t="shared" si="14"/>
        <v>1000</v>
      </c>
      <c r="X46" s="1485">
        <f t="shared" si="15"/>
        <v>8000</v>
      </c>
      <c r="Y46" s="1485">
        <f t="shared" si="16"/>
        <v>4000</v>
      </c>
      <c r="Z46" s="1527" t="s">
        <v>7799</v>
      </c>
      <c r="AA46" s="1379" t="s">
        <v>6526</v>
      </c>
      <c r="AB46" s="1583"/>
      <c r="AC46" s="1584" t="str">
        <f t="shared" si="17"/>
        <v>ok</v>
      </c>
      <c r="AD46" s="1583"/>
      <c r="AE46" s="1583"/>
      <c r="AF46" s="1583"/>
      <c r="AG46" s="1583"/>
      <c r="AH46" s="1583"/>
      <c r="AI46" s="1583"/>
      <c r="AJ46" s="1583"/>
      <c r="AK46" s="1583"/>
      <c r="AL46" s="1583"/>
      <c r="AM46" s="1583"/>
      <c r="AN46" s="1583"/>
      <c r="AO46" s="1583"/>
    </row>
    <row r="47" spans="1:41" ht="42" x14ac:dyDescent="0.6">
      <c r="A47" s="1432">
        <v>42</v>
      </c>
      <c r="B47" s="1587" t="s">
        <v>8338</v>
      </c>
      <c r="C47" s="1576" t="s">
        <v>8305</v>
      </c>
      <c r="D47" s="1577">
        <f>132+28</f>
        <v>160</v>
      </c>
      <c r="E47" s="1578">
        <f t="shared" si="0"/>
        <v>1369.6000000000001</v>
      </c>
      <c r="F47" s="1579">
        <v>180</v>
      </c>
      <c r="G47" s="1485">
        <f t="shared" si="1"/>
        <v>1540.8000000000002</v>
      </c>
      <c r="H47" s="1485">
        <v>80</v>
      </c>
      <c r="I47" s="1485">
        <f t="shared" si="3"/>
        <v>684.80000000000007</v>
      </c>
      <c r="J47" s="1582">
        <v>200</v>
      </c>
      <c r="K47" s="1582">
        <v>20</v>
      </c>
      <c r="L47" s="1525">
        <f t="shared" si="4"/>
        <v>171.20000000000002</v>
      </c>
      <c r="M47" s="1485">
        <f t="shared" si="5"/>
        <v>180</v>
      </c>
      <c r="N47" s="1581">
        <v>8.56</v>
      </c>
      <c r="O47" s="1582">
        <f t="shared" si="6"/>
        <v>1540.8000000000002</v>
      </c>
      <c r="P47" s="1485">
        <f t="shared" si="7"/>
        <v>45</v>
      </c>
      <c r="Q47" s="1485">
        <f t="shared" si="8"/>
        <v>385.20000000000005</v>
      </c>
      <c r="R47" s="1485">
        <f t="shared" si="9"/>
        <v>45</v>
      </c>
      <c r="S47" s="1525">
        <f t="shared" si="10"/>
        <v>385.20000000000005</v>
      </c>
      <c r="T47" s="1485">
        <f t="shared" si="11"/>
        <v>45</v>
      </c>
      <c r="U47" s="1525">
        <f t="shared" si="12"/>
        <v>385.20000000000005</v>
      </c>
      <c r="V47" s="1485">
        <f t="shared" si="13"/>
        <v>45</v>
      </c>
      <c r="W47" s="1525">
        <f t="shared" si="14"/>
        <v>385.20000000000005</v>
      </c>
      <c r="X47" s="1485">
        <f t="shared" si="15"/>
        <v>180</v>
      </c>
      <c r="Y47" s="1485">
        <f t="shared" si="16"/>
        <v>1540.8000000000002</v>
      </c>
      <c r="Z47" s="1527" t="s">
        <v>7799</v>
      </c>
      <c r="AA47" s="1379" t="s">
        <v>6526</v>
      </c>
      <c r="AB47" s="1583"/>
      <c r="AC47" s="1584" t="str">
        <f t="shared" si="17"/>
        <v>ok</v>
      </c>
      <c r="AD47" s="1583"/>
      <c r="AE47" s="1583"/>
      <c r="AF47" s="1583"/>
      <c r="AG47" s="1583"/>
      <c r="AH47" s="1583"/>
      <c r="AI47" s="1583"/>
      <c r="AJ47" s="1583"/>
      <c r="AK47" s="1583"/>
      <c r="AL47" s="1583"/>
      <c r="AM47" s="1583"/>
      <c r="AN47" s="1583"/>
      <c r="AO47" s="1583"/>
    </row>
    <row r="48" spans="1:41" x14ac:dyDescent="0.6">
      <c r="A48" s="1432">
        <v>43</v>
      </c>
      <c r="B48" s="1575" t="s">
        <v>8339</v>
      </c>
      <c r="C48" s="1576" t="s">
        <v>8298</v>
      </c>
      <c r="D48" s="1577">
        <v>3230</v>
      </c>
      <c r="E48" s="1578">
        <f t="shared" si="0"/>
        <v>355.3</v>
      </c>
      <c r="F48" s="1579">
        <v>6000</v>
      </c>
      <c r="G48" s="1485">
        <f t="shared" si="1"/>
        <v>660</v>
      </c>
      <c r="H48" s="1485">
        <v>6000</v>
      </c>
      <c r="I48" s="1485">
        <f t="shared" si="3"/>
        <v>660</v>
      </c>
      <c r="J48" s="1582">
        <v>7000</v>
      </c>
      <c r="K48" s="1582">
        <v>2000</v>
      </c>
      <c r="L48" s="1525">
        <f t="shared" si="4"/>
        <v>220</v>
      </c>
      <c r="M48" s="1485">
        <f t="shared" si="5"/>
        <v>5000</v>
      </c>
      <c r="N48" s="1581">
        <v>0.11</v>
      </c>
      <c r="O48" s="1582">
        <f t="shared" si="6"/>
        <v>550</v>
      </c>
      <c r="P48" s="1485">
        <f t="shared" si="7"/>
        <v>1250</v>
      </c>
      <c r="Q48" s="1485">
        <f t="shared" si="8"/>
        <v>137.5</v>
      </c>
      <c r="R48" s="1485">
        <f t="shared" si="9"/>
        <v>1250</v>
      </c>
      <c r="S48" s="1525">
        <f t="shared" si="10"/>
        <v>137.5</v>
      </c>
      <c r="T48" s="1485">
        <f t="shared" si="11"/>
        <v>1250</v>
      </c>
      <c r="U48" s="1525">
        <f t="shared" si="12"/>
        <v>137.5</v>
      </c>
      <c r="V48" s="1485">
        <f t="shared" si="13"/>
        <v>1250</v>
      </c>
      <c r="W48" s="1525">
        <f t="shared" si="14"/>
        <v>137.5</v>
      </c>
      <c r="X48" s="1485">
        <f t="shared" si="15"/>
        <v>5000</v>
      </c>
      <c r="Y48" s="1485">
        <f t="shared" si="16"/>
        <v>550</v>
      </c>
      <c r="Z48" s="1527" t="s">
        <v>7799</v>
      </c>
      <c r="AA48" s="1379" t="s">
        <v>6526</v>
      </c>
      <c r="AB48" s="1583"/>
      <c r="AC48" s="1584" t="str">
        <f t="shared" si="17"/>
        <v>ok</v>
      </c>
      <c r="AD48" s="1583"/>
      <c r="AE48" s="1583"/>
      <c r="AF48" s="1583"/>
      <c r="AG48" s="1583"/>
      <c r="AH48" s="1583"/>
      <c r="AI48" s="1583"/>
      <c r="AJ48" s="1583"/>
      <c r="AK48" s="1583"/>
      <c r="AL48" s="1583"/>
      <c r="AM48" s="1583"/>
      <c r="AN48" s="1583"/>
      <c r="AO48" s="1583"/>
    </row>
    <row r="49" spans="1:41" x14ac:dyDescent="0.6">
      <c r="A49" s="1432">
        <v>44</v>
      </c>
      <c r="B49" s="1575" t="s">
        <v>8340</v>
      </c>
      <c r="C49" s="1576" t="s">
        <v>8296</v>
      </c>
      <c r="D49" s="1577">
        <v>2400</v>
      </c>
      <c r="E49" s="1578">
        <f t="shared" si="0"/>
        <v>19200</v>
      </c>
      <c r="F49" s="1579">
        <v>2500</v>
      </c>
      <c r="G49" s="1485">
        <f t="shared" si="1"/>
        <v>20000</v>
      </c>
      <c r="H49" s="1485">
        <v>4500</v>
      </c>
      <c r="I49" s="1485">
        <f t="shared" si="3"/>
        <v>36000</v>
      </c>
      <c r="J49" s="1582">
        <v>5000</v>
      </c>
      <c r="K49" s="1582">
        <v>1000</v>
      </c>
      <c r="L49" s="1525">
        <f t="shared" si="4"/>
        <v>8000</v>
      </c>
      <c r="M49" s="1485">
        <f t="shared" si="5"/>
        <v>4000</v>
      </c>
      <c r="N49" s="1581">
        <v>8</v>
      </c>
      <c r="O49" s="1582">
        <f t="shared" si="6"/>
        <v>32000</v>
      </c>
      <c r="P49" s="1485">
        <f t="shared" si="7"/>
        <v>1000</v>
      </c>
      <c r="Q49" s="1485">
        <f t="shared" si="8"/>
        <v>8000</v>
      </c>
      <c r="R49" s="1485">
        <f t="shared" si="9"/>
        <v>1000</v>
      </c>
      <c r="S49" s="1525">
        <f t="shared" si="10"/>
        <v>8000</v>
      </c>
      <c r="T49" s="1485">
        <f t="shared" si="11"/>
        <v>1000</v>
      </c>
      <c r="U49" s="1525">
        <f t="shared" si="12"/>
        <v>8000</v>
      </c>
      <c r="V49" s="1485">
        <f t="shared" si="13"/>
        <v>1000</v>
      </c>
      <c r="W49" s="1525">
        <f t="shared" si="14"/>
        <v>8000</v>
      </c>
      <c r="X49" s="1485">
        <f t="shared" si="15"/>
        <v>4000</v>
      </c>
      <c r="Y49" s="1485">
        <f t="shared" si="16"/>
        <v>32000</v>
      </c>
      <c r="Z49" s="1527" t="s">
        <v>7799</v>
      </c>
      <c r="AA49" s="1379" t="s">
        <v>6526</v>
      </c>
      <c r="AB49" s="1583"/>
      <c r="AC49" s="1584" t="str">
        <f t="shared" si="17"/>
        <v>ok</v>
      </c>
      <c r="AD49" s="1583"/>
      <c r="AE49" s="1583"/>
      <c r="AF49" s="1583"/>
      <c r="AG49" s="1583"/>
      <c r="AH49" s="1583"/>
      <c r="AI49" s="1583"/>
      <c r="AJ49" s="1583"/>
      <c r="AK49" s="1583"/>
      <c r="AL49" s="1583"/>
      <c r="AM49" s="1583"/>
      <c r="AN49" s="1583"/>
      <c r="AO49" s="1583"/>
    </row>
    <row r="50" spans="1:41" x14ac:dyDescent="0.6">
      <c r="A50" s="1432">
        <v>45</v>
      </c>
      <c r="B50" s="1575" t="s">
        <v>8341</v>
      </c>
      <c r="C50" s="1576" t="s">
        <v>8305</v>
      </c>
      <c r="D50" s="1577">
        <v>310</v>
      </c>
      <c r="E50" s="1578">
        <f t="shared" si="0"/>
        <v>23219</v>
      </c>
      <c r="F50" s="1579">
        <v>500</v>
      </c>
      <c r="G50" s="1485">
        <f t="shared" si="1"/>
        <v>37450</v>
      </c>
      <c r="H50" s="1485">
        <v>400</v>
      </c>
      <c r="I50" s="1485">
        <f t="shared" si="3"/>
        <v>29960.000000000004</v>
      </c>
      <c r="J50" s="1582">
        <v>600</v>
      </c>
      <c r="K50" s="1582">
        <v>100</v>
      </c>
      <c r="L50" s="1525">
        <f t="shared" si="4"/>
        <v>7490.0000000000009</v>
      </c>
      <c r="M50" s="1485">
        <f t="shared" si="5"/>
        <v>500</v>
      </c>
      <c r="N50" s="1581">
        <v>74.900000000000006</v>
      </c>
      <c r="O50" s="1582">
        <f t="shared" si="6"/>
        <v>37450</v>
      </c>
      <c r="P50" s="1485">
        <f t="shared" si="7"/>
        <v>125</v>
      </c>
      <c r="Q50" s="1485">
        <f t="shared" si="8"/>
        <v>9362.5</v>
      </c>
      <c r="R50" s="1485">
        <f t="shared" si="9"/>
        <v>125</v>
      </c>
      <c r="S50" s="1525">
        <f t="shared" si="10"/>
        <v>9362.5</v>
      </c>
      <c r="T50" s="1485">
        <f t="shared" si="11"/>
        <v>125</v>
      </c>
      <c r="U50" s="1525">
        <f t="shared" si="12"/>
        <v>9362.5</v>
      </c>
      <c r="V50" s="1485">
        <f t="shared" si="13"/>
        <v>125</v>
      </c>
      <c r="W50" s="1525">
        <f t="shared" si="14"/>
        <v>9362.5</v>
      </c>
      <c r="X50" s="1485">
        <f t="shared" si="15"/>
        <v>500</v>
      </c>
      <c r="Y50" s="1485">
        <f t="shared" si="16"/>
        <v>37450</v>
      </c>
      <c r="Z50" s="1527" t="s">
        <v>7799</v>
      </c>
      <c r="AA50" s="1379" t="s">
        <v>6526</v>
      </c>
      <c r="AB50" s="1583"/>
      <c r="AC50" s="1584" t="str">
        <f t="shared" si="17"/>
        <v>ok</v>
      </c>
      <c r="AD50" s="1583"/>
      <c r="AE50" s="1583"/>
      <c r="AF50" s="1583"/>
      <c r="AG50" s="1583"/>
      <c r="AH50" s="1583"/>
      <c r="AI50" s="1583"/>
      <c r="AJ50" s="1583"/>
      <c r="AK50" s="1583"/>
      <c r="AL50" s="1583"/>
      <c r="AM50" s="1583"/>
      <c r="AN50" s="1583"/>
      <c r="AO50" s="1583"/>
    </row>
    <row r="51" spans="1:41" x14ac:dyDescent="0.6">
      <c r="A51" s="1432">
        <v>46</v>
      </c>
      <c r="B51" s="1575" t="s">
        <v>8342</v>
      </c>
      <c r="C51" s="1576" t="s">
        <v>8296</v>
      </c>
      <c r="D51" s="1594">
        <v>864</v>
      </c>
      <c r="E51" s="1578">
        <f t="shared" si="0"/>
        <v>8640</v>
      </c>
      <c r="F51" s="1579">
        <v>700</v>
      </c>
      <c r="G51" s="1485">
        <f t="shared" si="1"/>
        <v>7000</v>
      </c>
      <c r="H51" s="1485">
        <v>580</v>
      </c>
      <c r="I51" s="1485">
        <f t="shared" si="3"/>
        <v>5800</v>
      </c>
      <c r="J51" s="1582">
        <v>750</v>
      </c>
      <c r="K51" s="1582">
        <v>150</v>
      </c>
      <c r="L51" s="1525">
        <f t="shared" si="4"/>
        <v>1500</v>
      </c>
      <c r="M51" s="1485">
        <f t="shared" si="5"/>
        <v>600</v>
      </c>
      <c r="N51" s="1581">
        <v>10</v>
      </c>
      <c r="O51" s="1582">
        <f t="shared" si="6"/>
        <v>6000</v>
      </c>
      <c r="P51" s="1485">
        <f t="shared" si="7"/>
        <v>150</v>
      </c>
      <c r="Q51" s="1485">
        <f t="shared" si="8"/>
        <v>1500</v>
      </c>
      <c r="R51" s="1485">
        <f t="shared" si="9"/>
        <v>150</v>
      </c>
      <c r="S51" s="1525">
        <f t="shared" si="10"/>
        <v>1500</v>
      </c>
      <c r="T51" s="1485">
        <f t="shared" si="11"/>
        <v>150</v>
      </c>
      <c r="U51" s="1525">
        <f t="shared" si="12"/>
        <v>1500</v>
      </c>
      <c r="V51" s="1485">
        <f t="shared" si="13"/>
        <v>150</v>
      </c>
      <c r="W51" s="1525">
        <f t="shared" si="14"/>
        <v>1500</v>
      </c>
      <c r="X51" s="1485">
        <f t="shared" si="15"/>
        <v>600</v>
      </c>
      <c r="Y51" s="1485">
        <f t="shared" si="16"/>
        <v>6000</v>
      </c>
      <c r="Z51" s="1527" t="s">
        <v>7799</v>
      </c>
      <c r="AA51" s="1379" t="s">
        <v>6526</v>
      </c>
      <c r="AB51" s="1583"/>
      <c r="AC51" s="1584" t="str">
        <f t="shared" si="17"/>
        <v>ok</v>
      </c>
      <c r="AD51" s="1583"/>
      <c r="AE51" s="1583"/>
      <c r="AF51" s="1583"/>
      <c r="AG51" s="1583"/>
      <c r="AH51" s="1583"/>
      <c r="AI51" s="1583"/>
      <c r="AJ51" s="1583"/>
      <c r="AK51" s="1583"/>
      <c r="AL51" s="1583"/>
      <c r="AM51" s="1583"/>
      <c r="AN51" s="1583"/>
      <c r="AO51" s="1583"/>
    </row>
    <row r="52" spans="1:41" x14ac:dyDescent="0.6">
      <c r="A52" s="1432">
        <v>47</v>
      </c>
      <c r="B52" s="1575" t="s">
        <v>8343</v>
      </c>
      <c r="C52" s="1576" t="s">
        <v>8298</v>
      </c>
      <c r="D52" s="1577">
        <v>49000</v>
      </c>
      <c r="E52" s="1578">
        <f t="shared" si="0"/>
        <v>8428</v>
      </c>
      <c r="F52" s="1579">
        <v>54000</v>
      </c>
      <c r="G52" s="1485">
        <f t="shared" si="1"/>
        <v>9288</v>
      </c>
      <c r="H52" s="1485">
        <v>60000</v>
      </c>
      <c r="I52" s="1485">
        <f t="shared" si="3"/>
        <v>10320</v>
      </c>
      <c r="J52" s="1582">
        <v>70000</v>
      </c>
      <c r="K52" s="1582">
        <v>15000</v>
      </c>
      <c r="L52" s="1525">
        <f t="shared" si="4"/>
        <v>2580</v>
      </c>
      <c r="M52" s="1485">
        <f t="shared" si="5"/>
        <v>55000</v>
      </c>
      <c r="N52" s="1591">
        <v>0.17199999999999999</v>
      </c>
      <c r="O52" s="1582">
        <f t="shared" si="6"/>
        <v>9460</v>
      </c>
      <c r="P52" s="1485">
        <f t="shared" si="7"/>
        <v>13750</v>
      </c>
      <c r="Q52" s="1485">
        <f t="shared" si="8"/>
        <v>2365</v>
      </c>
      <c r="R52" s="1485">
        <f t="shared" si="9"/>
        <v>13750</v>
      </c>
      <c r="S52" s="1525">
        <f t="shared" si="10"/>
        <v>2365</v>
      </c>
      <c r="T52" s="1485">
        <f t="shared" si="11"/>
        <v>13750</v>
      </c>
      <c r="U52" s="1525">
        <f t="shared" si="12"/>
        <v>2365</v>
      </c>
      <c r="V52" s="1485">
        <f t="shared" si="13"/>
        <v>13750</v>
      </c>
      <c r="W52" s="1525">
        <f t="shared" si="14"/>
        <v>2365</v>
      </c>
      <c r="X52" s="1485">
        <f t="shared" si="15"/>
        <v>55000</v>
      </c>
      <c r="Y52" s="1485">
        <f t="shared" si="16"/>
        <v>9460</v>
      </c>
      <c r="Z52" s="1527" t="s">
        <v>7799</v>
      </c>
      <c r="AA52" s="1379" t="s">
        <v>6526</v>
      </c>
      <c r="AB52" s="1583"/>
      <c r="AC52" s="1584" t="str">
        <f t="shared" si="17"/>
        <v>ok</v>
      </c>
      <c r="AD52" s="1583"/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</row>
    <row r="53" spans="1:41" x14ac:dyDescent="0.6">
      <c r="A53" s="1432">
        <v>48</v>
      </c>
      <c r="B53" s="1575" t="s">
        <v>8344</v>
      </c>
      <c r="C53" s="1576" t="s">
        <v>8305</v>
      </c>
      <c r="D53" s="1577">
        <v>12</v>
      </c>
      <c r="E53" s="1578">
        <f t="shared" si="0"/>
        <v>77.039999999999992</v>
      </c>
      <c r="F53" s="1579">
        <v>15</v>
      </c>
      <c r="G53" s="1485">
        <f t="shared" si="1"/>
        <v>96.3</v>
      </c>
      <c r="H53" s="1485">
        <v>20</v>
      </c>
      <c r="I53" s="1485">
        <f t="shared" si="3"/>
        <v>128.4</v>
      </c>
      <c r="J53" s="1582">
        <v>30</v>
      </c>
      <c r="K53" s="1582">
        <v>5</v>
      </c>
      <c r="L53" s="1525">
        <f t="shared" si="4"/>
        <v>32.1</v>
      </c>
      <c r="M53" s="1485">
        <f t="shared" si="5"/>
        <v>25</v>
      </c>
      <c r="N53" s="1581">
        <v>6.42</v>
      </c>
      <c r="O53" s="1582">
        <f t="shared" si="6"/>
        <v>160.5</v>
      </c>
      <c r="P53" s="1485">
        <v>25</v>
      </c>
      <c r="Q53" s="1485">
        <f t="shared" si="8"/>
        <v>160.5</v>
      </c>
      <c r="R53" s="1485">
        <v>0</v>
      </c>
      <c r="S53" s="1525">
        <f t="shared" si="10"/>
        <v>0</v>
      </c>
      <c r="T53" s="1485">
        <v>0</v>
      </c>
      <c r="U53" s="1525">
        <f t="shared" si="12"/>
        <v>0</v>
      </c>
      <c r="V53" s="1485">
        <v>0</v>
      </c>
      <c r="W53" s="1525">
        <f t="shared" si="14"/>
        <v>0</v>
      </c>
      <c r="X53" s="1485">
        <f t="shared" si="15"/>
        <v>25</v>
      </c>
      <c r="Y53" s="1485">
        <f t="shared" si="16"/>
        <v>160.5</v>
      </c>
      <c r="Z53" s="1527" t="s">
        <v>7799</v>
      </c>
      <c r="AA53" s="1379" t="s">
        <v>6526</v>
      </c>
      <c r="AB53" s="1583"/>
      <c r="AC53" s="1584" t="str">
        <f t="shared" si="17"/>
        <v>ok</v>
      </c>
      <c r="AD53" s="1583"/>
      <c r="AE53" s="1583"/>
      <c r="AF53" s="1583"/>
      <c r="AG53" s="1583"/>
      <c r="AH53" s="1583"/>
      <c r="AI53" s="1583"/>
      <c r="AJ53" s="1583"/>
      <c r="AK53" s="1583"/>
      <c r="AL53" s="1583"/>
      <c r="AM53" s="1583"/>
      <c r="AN53" s="1583"/>
      <c r="AO53" s="1583"/>
    </row>
    <row r="54" spans="1:41" x14ac:dyDescent="0.6">
      <c r="A54" s="1432">
        <v>49</v>
      </c>
      <c r="B54" s="1575" t="s">
        <v>8345</v>
      </c>
      <c r="C54" s="1576" t="s">
        <v>8346</v>
      </c>
      <c r="D54" s="1577">
        <v>1200</v>
      </c>
      <c r="E54" s="1578">
        <f t="shared" si="0"/>
        <v>8748</v>
      </c>
      <c r="F54" s="1579">
        <v>1500</v>
      </c>
      <c r="G54" s="1485">
        <f t="shared" si="1"/>
        <v>10935</v>
      </c>
      <c r="H54" s="1485">
        <v>1200</v>
      </c>
      <c r="I54" s="1485">
        <f t="shared" si="3"/>
        <v>8748</v>
      </c>
      <c r="J54" s="1582">
        <v>2000</v>
      </c>
      <c r="K54" s="1582">
        <v>1000</v>
      </c>
      <c r="L54" s="1525">
        <f t="shared" si="4"/>
        <v>7290</v>
      </c>
      <c r="M54" s="1485">
        <f t="shared" si="5"/>
        <v>1000</v>
      </c>
      <c r="N54" s="1591">
        <v>7.29</v>
      </c>
      <c r="O54" s="1582">
        <f t="shared" si="6"/>
        <v>7290</v>
      </c>
      <c r="P54" s="1485">
        <f t="shared" si="7"/>
        <v>250</v>
      </c>
      <c r="Q54" s="1485">
        <f t="shared" si="8"/>
        <v>1822.5</v>
      </c>
      <c r="R54" s="1485">
        <f t="shared" si="9"/>
        <v>250</v>
      </c>
      <c r="S54" s="1525">
        <f t="shared" si="10"/>
        <v>1822.5</v>
      </c>
      <c r="T54" s="1485">
        <f t="shared" si="11"/>
        <v>250</v>
      </c>
      <c r="U54" s="1525">
        <f t="shared" si="12"/>
        <v>1822.5</v>
      </c>
      <c r="V54" s="1485">
        <f t="shared" si="13"/>
        <v>250</v>
      </c>
      <c r="W54" s="1525">
        <f t="shared" si="14"/>
        <v>1822.5</v>
      </c>
      <c r="X54" s="1485">
        <f t="shared" si="15"/>
        <v>1000</v>
      </c>
      <c r="Y54" s="1485">
        <f t="shared" si="16"/>
        <v>7290</v>
      </c>
      <c r="Z54" s="1527" t="s">
        <v>7799</v>
      </c>
      <c r="AA54" s="1379" t="s">
        <v>6526</v>
      </c>
      <c r="AB54" s="1583"/>
      <c r="AC54" s="1584" t="str">
        <f t="shared" si="17"/>
        <v>ok</v>
      </c>
      <c r="AD54" s="1583"/>
      <c r="AE54" s="1583"/>
      <c r="AF54" s="1583"/>
      <c r="AG54" s="1583"/>
      <c r="AH54" s="1583"/>
      <c r="AI54" s="1583"/>
      <c r="AJ54" s="1583"/>
      <c r="AK54" s="1583"/>
      <c r="AL54" s="1583"/>
      <c r="AM54" s="1583"/>
      <c r="AN54" s="1583"/>
      <c r="AO54" s="1583"/>
    </row>
    <row r="55" spans="1:41" x14ac:dyDescent="0.6">
      <c r="A55" s="1432">
        <v>50</v>
      </c>
      <c r="B55" s="1575" t="s">
        <v>8347</v>
      </c>
      <c r="C55" s="1576" t="s">
        <v>8298</v>
      </c>
      <c r="D55" s="1577">
        <v>210</v>
      </c>
      <c r="E55" s="1578">
        <f t="shared" si="0"/>
        <v>315</v>
      </c>
      <c r="F55" s="1579">
        <v>1500</v>
      </c>
      <c r="G55" s="1485">
        <f t="shared" si="1"/>
        <v>2250</v>
      </c>
      <c r="H55" s="1485">
        <v>150</v>
      </c>
      <c r="I55" s="1485">
        <f t="shared" si="3"/>
        <v>225</v>
      </c>
      <c r="J55" s="1582">
        <v>1000</v>
      </c>
      <c r="K55" s="1582">
        <v>500</v>
      </c>
      <c r="L55" s="1525">
        <f t="shared" si="4"/>
        <v>750</v>
      </c>
      <c r="M55" s="1485">
        <f t="shared" si="5"/>
        <v>500</v>
      </c>
      <c r="N55" s="1581">
        <f>750/500</f>
        <v>1.5</v>
      </c>
      <c r="O55" s="1582">
        <f t="shared" si="6"/>
        <v>750</v>
      </c>
      <c r="P55" s="1485">
        <f t="shared" si="7"/>
        <v>125</v>
      </c>
      <c r="Q55" s="1485">
        <f t="shared" si="8"/>
        <v>187.5</v>
      </c>
      <c r="R55" s="1485">
        <f t="shared" si="9"/>
        <v>125</v>
      </c>
      <c r="S55" s="1525">
        <f t="shared" si="10"/>
        <v>187.5</v>
      </c>
      <c r="T55" s="1485">
        <f t="shared" si="11"/>
        <v>125</v>
      </c>
      <c r="U55" s="1525">
        <f t="shared" si="12"/>
        <v>187.5</v>
      </c>
      <c r="V55" s="1485">
        <f t="shared" si="13"/>
        <v>125</v>
      </c>
      <c r="W55" s="1525">
        <f t="shared" si="14"/>
        <v>187.5</v>
      </c>
      <c r="X55" s="1485">
        <f t="shared" si="15"/>
        <v>500</v>
      </c>
      <c r="Y55" s="1485">
        <f t="shared" si="16"/>
        <v>750</v>
      </c>
      <c r="Z55" s="1527" t="s">
        <v>7799</v>
      </c>
      <c r="AA55" s="1379" t="s">
        <v>6526</v>
      </c>
      <c r="AB55" s="1583"/>
      <c r="AC55" s="1584" t="str">
        <f t="shared" si="17"/>
        <v>ok</v>
      </c>
      <c r="AD55" s="1583"/>
      <c r="AE55" s="1583"/>
      <c r="AF55" s="1583"/>
      <c r="AG55" s="1583"/>
      <c r="AH55" s="1583"/>
      <c r="AI55" s="1583"/>
      <c r="AJ55" s="1583"/>
      <c r="AK55" s="1583"/>
      <c r="AL55" s="1583"/>
      <c r="AM55" s="1583"/>
      <c r="AN55" s="1583"/>
      <c r="AO55" s="1583"/>
    </row>
    <row r="56" spans="1:41" x14ac:dyDescent="0.6">
      <c r="A56" s="1432">
        <v>51</v>
      </c>
      <c r="B56" s="1575" t="s">
        <v>8348</v>
      </c>
      <c r="C56" s="1576" t="s">
        <v>8298</v>
      </c>
      <c r="D56" s="1577">
        <f>4000</f>
        <v>4000</v>
      </c>
      <c r="E56" s="1578">
        <f t="shared" si="0"/>
        <v>3600</v>
      </c>
      <c r="F56" s="1579">
        <v>5000</v>
      </c>
      <c r="G56" s="1485">
        <f t="shared" si="1"/>
        <v>4500</v>
      </c>
      <c r="H56" s="1485">
        <v>1000</v>
      </c>
      <c r="I56" s="1485">
        <f t="shared" si="3"/>
        <v>900</v>
      </c>
      <c r="J56" s="1582">
        <v>3000</v>
      </c>
      <c r="K56" s="1582">
        <v>2000</v>
      </c>
      <c r="L56" s="1525">
        <f t="shared" si="4"/>
        <v>1800</v>
      </c>
      <c r="M56" s="1485">
        <f t="shared" si="5"/>
        <v>1000</v>
      </c>
      <c r="N56" s="1581">
        <f>450/500</f>
        <v>0.9</v>
      </c>
      <c r="O56" s="1582">
        <f t="shared" si="6"/>
        <v>900</v>
      </c>
      <c r="P56" s="1485">
        <f t="shared" si="7"/>
        <v>250</v>
      </c>
      <c r="Q56" s="1485">
        <f t="shared" si="8"/>
        <v>225</v>
      </c>
      <c r="R56" s="1485">
        <f t="shared" si="9"/>
        <v>250</v>
      </c>
      <c r="S56" s="1525">
        <f t="shared" si="10"/>
        <v>225</v>
      </c>
      <c r="T56" s="1485">
        <f t="shared" si="11"/>
        <v>250</v>
      </c>
      <c r="U56" s="1525">
        <f t="shared" si="12"/>
        <v>225</v>
      </c>
      <c r="V56" s="1485">
        <f t="shared" si="13"/>
        <v>250</v>
      </c>
      <c r="W56" s="1525">
        <f t="shared" si="14"/>
        <v>225</v>
      </c>
      <c r="X56" s="1485">
        <f t="shared" si="15"/>
        <v>1000</v>
      </c>
      <c r="Y56" s="1485">
        <f t="shared" si="16"/>
        <v>900</v>
      </c>
      <c r="Z56" s="1527" t="s">
        <v>7799</v>
      </c>
      <c r="AA56" s="1379" t="s">
        <v>6526</v>
      </c>
      <c r="AB56" s="1583"/>
      <c r="AC56" s="1584" t="str">
        <f t="shared" si="17"/>
        <v>ok</v>
      </c>
      <c r="AD56" s="1583"/>
      <c r="AE56" s="1583"/>
      <c r="AF56" s="1583"/>
      <c r="AG56" s="1583"/>
      <c r="AH56" s="1583"/>
      <c r="AI56" s="1583"/>
      <c r="AJ56" s="1583"/>
      <c r="AK56" s="1583"/>
      <c r="AL56" s="1583"/>
      <c r="AM56" s="1583"/>
      <c r="AN56" s="1583"/>
      <c r="AO56" s="1583"/>
    </row>
    <row r="57" spans="1:41" x14ac:dyDescent="0.6">
      <c r="A57" s="1432">
        <v>52</v>
      </c>
      <c r="B57" s="1575" t="s">
        <v>8349</v>
      </c>
      <c r="C57" s="1576" t="s">
        <v>8305</v>
      </c>
      <c r="D57" s="1577">
        <v>290</v>
      </c>
      <c r="E57" s="1578">
        <f t="shared" si="0"/>
        <v>4654.5</v>
      </c>
      <c r="F57" s="1579">
        <v>300</v>
      </c>
      <c r="G57" s="1485">
        <f t="shared" si="1"/>
        <v>4815</v>
      </c>
      <c r="H57" s="1485">
        <v>250</v>
      </c>
      <c r="I57" s="1485">
        <f t="shared" si="3"/>
        <v>4012.5</v>
      </c>
      <c r="J57" s="1582">
        <v>300</v>
      </c>
      <c r="K57" s="1582">
        <v>50</v>
      </c>
      <c r="L57" s="1525">
        <f t="shared" si="4"/>
        <v>802.5</v>
      </c>
      <c r="M57" s="1485">
        <f t="shared" si="5"/>
        <v>250</v>
      </c>
      <c r="N57" s="1581">
        <v>16.05</v>
      </c>
      <c r="O57" s="1582">
        <f t="shared" si="6"/>
        <v>4012.5</v>
      </c>
      <c r="P57" s="1485">
        <f t="shared" si="7"/>
        <v>62.5</v>
      </c>
      <c r="Q57" s="1485">
        <f t="shared" si="8"/>
        <v>1003.125</v>
      </c>
      <c r="R57" s="1485">
        <f t="shared" si="9"/>
        <v>62.5</v>
      </c>
      <c r="S57" s="1525">
        <f t="shared" si="10"/>
        <v>1003.125</v>
      </c>
      <c r="T57" s="1485">
        <f t="shared" si="11"/>
        <v>62.5</v>
      </c>
      <c r="U57" s="1525">
        <f t="shared" si="12"/>
        <v>1003.125</v>
      </c>
      <c r="V57" s="1485">
        <f t="shared" si="13"/>
        <v>62.5</v>
      </c>
      <c r="W57" s="1525">
        <f t="shared" si="14"/>
        <v>1003.125</v>
      </c>
      <c r="X57" s="1485">
        <f t="shared" si="15"/>
        <v>250</v>
      </c>
      <c r="Y57" s="1485">
        <f t="shared" si="16"/>
        <v>4012.5</v>
      </c>
      <c r="Z57" s="1527" t="s">
        <v>7799</v>
      </c>
      <c r="AA57" s="1379" t="s">
        <v>6526</v>
      </c>
      <c r="AB57" s="1583"/>
      <c r="AC57" s="1584" t="str">
        <f t="shared" si="17"/>
        <v>ok</v>
      </c>
      <c r="AD57" s="1583"/>
      <c r="AE57" s="1583"/>
      <c r="AF57" s="1583"/>
      <c r="AG57" s="1583"/>
      <c r="AH57" s="1583"/>
      <c r="AI57" s="1583"/>
      <c r="AJ57" s="1583"/>
      <c r="AK57" s="1583"/>
      <c r="AL57" s="1583"/>
      <c r="AM57" s="1583"/>
      <c r="AN57" s="1583"/>
      <c r="AO57" s="1583"/>
    </row>
    <row r="58" spans="1:41" x14ac:dyDescent="0.6">
      <c r="A58" s="1432">
        <v>53</v>
      </c>
      <c r="B58" s="1575" t="s">
        <v>8350</v>
      </c>
      <c r="C58" s="1576" t="s">
        <v>8305</v>
      </c>
      <c r="D58" s="1577">
        <v>5650</v>
      </c>
      <c r="E58" s="1578">
        <f t="shared" si="0"/>
        <v>57629.999999999993</v>
      </c>
      <c r="F58" s="1579">
        <v>5500</v>
      </c>
      <c r="G58" s="1485">
        <f t="shared" si="1"/>
        <v>56099.999999999993</v>
      </c>
      <c r="H58" s="1485">
        <v>4000</v>
      </c>
      <c r="I58" s="1485">
        <f t="shared" si="3"/>
        <v>40800</v>
      </c>
      <c r="J58" s="1582">
        <v>5500</v>
      </c>
      <c r="K58" s="1582">
        <v>500</v>
      </c>
      <c r="L58" s="1525">
        <f t="shared" si="4"/>
        <v>5100</v>
      </c>
      <c r="M58" s="1485">
        <f t="shared" si="5"/>
        <v>5000</v>
      </c>
      <c r="N58" s="1581">
        <v>10.199999999999999</v>
      </c>
      <c r="O58" s="1582">
        <f t="shared" si="6"/>
        <v>51000</v>
      </c>
      <c r="P58" s="1485">
        <f t="shared" si="7"/>
        <v>1250</v>
      </c>
      <c r="Q58" s="1485">
        <f t="shared" si="8"/>
        <v>12750</v>
      </c>
      <c r="R58" s="1485">
        <f t="shared" si="9"/>
        <v>1250</v>
      </c>
      <c r="S58" s="1525">
        <f t="shared" si="10"/>
        <v>12750</v>
      </c>
      <c r="T58" s="1485">
        <f t="shared" si="11"/>
        <v>1250</v>
      </c>
      <c r="U58" s="1525">
        <f t="shared" si="12"/>
        <v>12750</v>
      </c>
      <c r="V58" s="1485">
        <f t="shared" si="13"/>
        <v>1250</v>
      </c>
      <c r="W58" s="1525">
        <f t="shared" si="14"/>
        <v>12750</v>
      </c>
      <c r="X58" s="1485">
        <f t="shared" si="15"/>
        <v>5000</v>
      </c>
      <c r="Y58" s="1485">
        <f t="shared" si="16"/>
        <v>51000</v>
      </c>
      <c r="Z58" s="1527" t="s">
        <v>7799</v>
      </c>
      <c r="AA58" s="1379" t="s">
        <v>6526</v>
      </c>
      <c r="AB58" s="1583"/>
      <c r="AC58" s="1584" t="str">
        <f t="shared" si="17"/>
        <v>ok</v>
      </c>
      <c r="AD58" s="1583"/>
      <c r="AE58" s="1583"/>
      <c r="AF58" s="1583"/>
      <c r="AG58" s="1583"/>
      <c r="AH58" s="1583"/>
      <c r="AI58" s="1583"/>
      <c r="AJ58" s="1583"/>
      <c r="AK58" s="1583"/>
      <c r="AL58" s="1583"/>
      <c r="AM58" s="1583"/>
      <c r="AN58" s="1583"/>
      <c r="AO58" s="1583"/>
    </row>
    <row r="59" spans="1:41" x14ac:dyDescent="0.6">
      <c r="A59" s="1432">
        <v>54</v>
      </c>
      <c r="B59" s="1575" t="s">
        <v>8351</v>
      </c>
      <c r="C59" s="1576" t="s">
        <v>8305</v>
      </c>
      <c r="D59" s="1577">
        <f>900+600</f>
        <v>1500</v>
      </c>
      <c r="E59" s="1578">
        <f t="shared" si="0"/>
        <v>28500</v>
      </c>
      <c r="F59" s="1579">
        <v>2000</v>
      </c>
      <c r="G59" s="1485">
        <f t="shared" si="1"/>
        <v>38000</v>
      </c>
      <c r="H59" s="1485">
        <v>2000</v>
      </c>
      <c r="I59" s="1485">
        <f t="shared" si="3"/>
        <v>38000</v>
      </c>
      <c r="J59" s="1582">
        <v>3000</v>
      </c>
      <c r="K59" s="1582">
        <v>500</v>
      </c>
      <c r="L59" s="1525">
        <f t="shared" si="4"/>
        <v>9500</v>
      </c>
      <c r="M59" s="1485">
        <f t="shared" si="5"/>
        <v>2500</v>
      </c>
      <c r="N59" s="1581">
        <v>19</v>
      </c>
      <c r="O59" s="1582">
        <f t="shared" si="6"/>
        <v>47500</v>
      </c>
      <c r="P59" s="1485">
        <f t="shared" si="7"/>
        <v>625</v>
      </c>
      <c r="Q59" s="1485">
        <f t="shared" si="8"/>
        <v>11875</v>
      </c>
      <c r="R59" s="1485">
        <f t="shared" si="9"/>
        <v>625</v>
      </c>
      <c r="S59" s="1525">
        <f t="shared" si="10"/>
        <v>11875</v>
      </c>
      <c r="T59" s="1485">
        <f t="shared" si="11"/>
        <v>625</v>
      </c>
      <c r="U59" s="1525">
        <f t="shared" si="12"/>
        <v>11875</v>
      </c>
      <c r="V59" s="1485">
        <f t="shared" si="13"/>
        <v>625</v>
      </c>
      <c r="W59" s="1525">
        <f t="shared" si="14"/>
        <v>11875</v>
      </c>
      <c r="X59" s="1485">
        <f t="shared" si="15"/>
        <v>2500</v>
      </c>
      <c r="Y59" s="1485">
        <f t="shared" si="16"/>
        <v>47500</v>
      </c>
      <c r="Z59" s="1527" t="s">
        <v>7799</v>
      </c>
      <c r="AA59" s="1379" t="s">
        <v>6526</v>
      </c>
      <c r="AB59" s="1583"/>
      <c r="AC59" s="1584" t="str">
        <f t="shared" si="17"/>
        <v>ok</v>
      </c>
      <c r="AD59" s="1583"/>
      <c r="AE59" s="1583"/>
      <c r="AF59" s="1583"/>
      <c r="AG59" s="1583"/>
      <c r="AH59" s="1583"/>
      <c r="AI59" s="1583"/>
      <c r="AJ59" s="1583"/>
      <c r="AK59" s="1583"/>
      <c r="AL59" s="1583"/>
      <c r="AM59" s="1583"/>
      <c r="AN59" s="1583"/>
      <c r="AO59" s="1583"/>
    </row>
    <row r="60" spans="1:41" x14ac:dyDescent="0.6">
      <c r="A60" s="1432">
        <v>55</v>
      </c>
      <c r="B60" s="1575" t="s">
        <v>8352</v>
      </c>
      <c r="C60" s="1576" t="s">
        <v>8298</v>
      </c>
      <c r="D60" s="1577">
        <f>4000+7900</f>
        <v>11900</v>
      </c>
      <c r="E60" s="1578">
        <f t="shared" si="0"/>
        <v>5712</v>
      </c>
      <c r="F60" s="1579">
        <v>15000</v>
      </c>
      <c r="G60" s="1485">
        <f t="shared" si="1"/>
        <v>7200</v>
      </c>
      <c r="H60" s="1485">
        <v>12000</v>
      </c>
      <c r="I60" s="1485">
        <f t="shared" si="3"/>
        <v>5760</v>
      </c>
      <c r="J60" s="1582">
        <v>16000</v>
      </c>
      <c r="K60" s="1582">
        <v>2000</v>
      </c>
      <c r="L60" s="1525">
        <f t="shared" si="4"/>
        <v>960</v>
      </c>
      <c r="M60" s="1485">
        <f t="shared" si="5"/>
        <v>14000</v>
      </c>
      <c r="N60" s="1581">
        <v>0.48</v>
      </c>
      <c r="O60" s="1582">
        <f t="shared" si="6"/>
        <v>6720</v>
      </c>
      <c r="P60" s="1485">
        <f t="shared" si="7"/>
        <v>3500</v>
      </c>
      <c r="Q60" s="1485">
        <f t="shared" si="8"/>
        <v>1680</v>
      </c>
      <c r="R60" s="1485">
        <f t="shared" si="9"/>
        <v>3500</v>
      </c>
      <c r="S60" s="1525">
        <f t="shared" si="10"/>
        <v>1680</v>
      </c>
      <c r="T60" s="1485">
        <f t="shared" si="11"/>
        <v>3500</v>
      </c>
      <c r="U60" s="1525">
        <f t="shared" si="12"/>
        <v>1680</v>
      </c>
      <c r="V60" s="1485">
        <f t="shared" si="13"/>
        <v>3500</v>
      </c>
      <c r="W60" s="1525">
        <f t="shared" si="14"/>
        <v>1680</v>
      </c>
      <c r="X60" s="1485">
        <f t="shared" si="15"/>
        <v>14000</v>
      </c>
      <c r="Y60" s="1485">
        <f t="shared" si="16"/>
        <v>6720</v>
      </c>
      <c r="Z60" s="1527" t="s">
        <v>7799</v>
      </c>
      <c r="AA60" s="1379" t="s">
        <v>6526</v>
      </c>
      <c r="AB60" s="1583"/>
      <c r="AC60" s="1584" t="str">
        <f t="shared" si="17"/>
        <v>ok</v>
      </c>
      <c r="AD60" s="1583"/>
      <c r="AE60" s="1583"/>
      <c r="AF60" s="1583"/>
      <c r="AG60" s="1583"/>
      <c r="AH60" s="1583"/>
      <c r="AI60" s="1583"/>
      <c r="AJ60" s="1583"/>
      <c r="AK60" s="1583"/>
      <c r="AL60" s="1583"/>
      <c r="AM60" s="1583"/>
      <c r="AN60" s="1583"/>
      <c r="AO60" s="1583"/>
    </row>
    <row r="61" spans="1:41" x14ac:dyDescent="0.6">
      <c r="A61" s="1432">
        <v>56</v>
      </c>
      <c r="B61" s="1575" t="s">
        <v>8353</v>
      </c>
      <c r="C61" s="1576" t="s">
        <v>8298</v>
      </c>
      <c r="D61" s="1577">
        <v>0</v>
      </c>
      <c r="E61" s="1578">
        <f t="shared" si="0"/>
        <v>0</v>
      </c>
      <c r="F61" s="1579">
        <v>1500</v>
      </c>
      <c r="G61" s="1485">
        <f t="shared" si="1"/>
        <v>1200</v>
      </c>
      <c r="H61" s="1485">
        <v>2500</v>
      </c>
      <c r="I61" s="1485">
        <f t="shared" si="3"/>
        <v>2000</v>
      </c>
      <c r="J61" s="1582">
        <v>3000</v>
      </c>
      <c r="K61" s="1582">
        <v>500</v>
      </c>
      <c r="L61" s="1525">
        <f t="shared" si="4"/>
        <v>400</v>
      </c>
      <c r="M61" s="1485">
        <f t="shared" si="5"/>
        <v>2500</v>
      </c>
      <c r="N61" s="1581">
        <v>0.8</v>
      </c>
      <c r="O61" s="1582">
        <f t="shared" si="6"/>
        <v>2000</v>
      </c>
      <c r="P61" s="1485">
        <f t="shared" si="7"/>
        <v>625</v>
      </c>
      <c r="Q61" s="1485">
        <f t="shared" si="8"/>
        <v>500</v>
      </c>
      <c r="R61" s="1485">
        <f t="shared" si="9"/>
        <v>625</v>
      </c>
      <c r="S61" s="1525">
        <f t="shared" si="10"/>
        <v>500</v>
      </c>
      <c r="T61" s="1485">
        <f t="shared" si="11"/>
        <v>625</v>
      </c>
      <c r="U61" s="1525">
        <f t="shared" si="12"/>
        <v>500</v>
      </c>
      <c r="V61" s="1485">
        <f t="shared" si="13"/>
        <v>625</v>
      </c>
      <c r="W61" s="1525">
        <f t="shared" si="14"/>
        <v>500</v>
      </c>
      <c r="X61" s="1485">
        <f t="shared" si="15"/>
        <v>2500</v>
      </c>
      <c r="Y61" s="1485">
        <f t="shared" si="16"/>
        <v>2000</v>
      </c>
      <c r="Z61" s="1527" t="s">
        <v>7799</v>
      </c>
      <c r="AA61" s="1379" t="s">
        <v>6526</v>
      </c>
      <c r="AB61" s="1583"/>
      <c r="AC61" s="1584" t="str">
        <f t="shared" si="17"/>
        <v>ok</v>
      </c>
      <c r="AD61" s="1583"/>
      <c r="AE61" s="1583"/>
      <c r="AF61" s="1583"/>
      <c r="AG61" s="1583"/>
      <c r="AH61" s="1583"/>
      <c r="AI61" s="1583"/>
      <c r="AJ61" s="1583"/>
      <c r="AK61" s="1583"/>
      <c r="AL61" s="1583"/>
      <c r="AM61" s="1583"/>
      <c r="AN61" s="1583"/>
      <c r="AO61" s="1583"/>
    </row>
    <row r="62" spans="1:41" x14ac:dyDescent="0.6">
      <c r="A62" s="1432">
        <v>57</v>
      </c>
      <c r="B62" s="1575" t="s">
        <v>8354</v>
      </c>
      <c r="C62" s="1576" t="s">
        <v>8305</v>
      </c>
      <c r="D62" s="1577">
        <v>383</v>
      </c>
      <c r="E62" s="1578">
        <f t="shared" si="0"/>
        <v>857.92000000000007</v>
      </c>
      <c r="F62" s="1579">
        <v>400</v>
      </c>
      <c r="G62" s="1485">
        <f t="shared" si="1"/>
        <v>896.00000000000011</v>
      </c>
      <c r="H62" s="1485">
        <v>270</v>
      </c>
      <c r="I62" s="1485">
        <f t="shared" si="3"/>
        <v>604.80000000000007</v>
      </c>
      <c r="J62" s="1582">
        <v>450</v>
      </c>
      <c r="K62" s="1582">
        <v>50</v>
      </c>
      <c r="L62" s="1525">
        <f t="shared" si="4"/>
        <v>112.00000000000001</v>
      </c>
      <c r="M62" s="1485">
        <f t="shared" si="5"/>
        <v>400</v>
      </c>
      <c r="N62" s="1581">
        <v>2.2400000000000002</v>
      </c>
      <c r="O62" s="1582">
        <f t="shared" si="6"/>
        <v>896.00000000000011</v>
      </c>
      <c r="P62" s="1485">
        <f t="shared" si="7"/>
        <v>100</v>
      </c>
      <c r="Q62" s="1485">
        <f t="shared" si="8"/>
        <v>224.00000000000003</v>
      </c>
      <c r="R62" s="1485">
        <f t="shared" si="9"/>
        <v>100</v>
      </c>
      <c r="S62" s="1525">
        <f t="shared" si="10"/>
        <v>224.00000000000003</v>
      </c>
      <c r="T62" s="1485">
        <f t="shared" si="11"/>
        <v>100</v>
      </c>
      <c r="U62" s="1525">
        <f t="shared" si="12"/>
        <v>224.00000000000003</v>
      </c>
      <c r="V62" s="1485">
        <f t="shared" si="13"/>
        <v>100</v>
      </c>
      <c r="W62" s="1525">
        <f t="shared" si="14"/>
        <v>224.00000000000003</v>
      </c>
      <c r="X62" s="1485">
        <f t="shared" si="15"/>
        <v>400</v>
      </c>
      <c r="Y62" s="1485">
        <f t="shared" si="16"/>
        <v>896.00000000000011</v>
      </c>
      <c r="Z62" s="1527" t="s">
        <v>7799</v>
      </c>
      <c r="AA62" s="1379" t="s">
        <v>6526</v>
      </c>
      <c r="AB62" s="1583"/>
      <c r="AC62" s="1584" t="str">
        <f t="shared" si="17"/>
        <v>ok</v>
      </c>
      <c r="AD62" s="1583"/>
      <c r="AE62" s="1583"/>
      <c r="AF62" s="1583"/>
      <c r="AG62" s="1583"/>
      <c r="AH62" s="1583"/>
      <c r="AI62" s="1583"/>
      <c r="AJ62" s="1583"/>
      <c r="AK62" s="1583"/>
      <c r="AL62" s="1583"/>
      <c r="AM62" s="1583"/>
      <c r="AN62" s="1583"/>
      <c r="AO62" s="1583"/>
    </row>
    <row r="63" spans="1:41" x14ac:dyDescent="0.6">
      <c r="A63" s="1432">
        <v>58</v>
      </c>
      <c r="B63" s="1575" t="s">
        <v>8355</v>
      </c>
      <c r="C63" s="1576" t="s">
        <v>8296</v>
      </c>
      <c r="D63" s="1577">
        <v>1475</v>
      </c>
      <c r="E63" s="1578">
        <f t="shared" si="0"/>
        <v>7375</v>
      </c>
      <c r="F63" s="1579">
        <v>1150</v>
      </c>
      <c r="G63" s="1485">
        <f t="shared" si="1"/>
        <v>5750</v>
      </c>
      <c r="H63" s="1485">
        <v>1400</v>
      </c>
      <c r="I63" s="1485">
        <f t="shared" si="3"/>
        <v>7000</v>
      </c>
      <c r="J63" s="1582">
        <v>1700</v>
      </c>
      <c r="K63" s="1582">
        <v>200</v>
      </c>
      <c r="L63" s="1525">
        <f t="shared" si="4"/>
        <v>1000</v>
      </c>
      <c r="M63" s="1485">
        <f t="shared" si="5"/>
        <v>1500</v>
      </c>
      <c r="N63" s="1581">
        <v>5</v>
      </c>
      <c r="O63" s="1582">
        <f t="shared" si="6"/>
        <v>7500</v>
      </c>
      <c r="P63" s="1485">
        <f t="shared" si="7"/>
        <v>375</v>
      </c>
      <c r="Q63" s="1485">
        <f t="shared" si="8"/>
        <v>1875</v>
      </c>
      <c r="R63" s="1485">
        <f t="shared" si="9"/>
        <v>375</v>
      </c>
      <c r="S63" s="1525">
        <f t="shared" si="10"/>
        <v>1875</v>
      </c>
      <c r="T63" s="1485">
        <f t="shared" si="11"/>
        <v>375</v>
      </c>
      <c r="U63" s="1525">
        <f t="shared" si="12"/>
        <v>1875</v>
      </c>
      <c r="V63" s="1485">
        <f t="shared" si="13"/>
        <v>375</v>
      </c>
      <c r="W63" s="1525">
        <f t="shared" si="14"/>
        <v>1875</v>
      </c>
      <c r="X63" s="1485">
        <f t="shared" si="15"/>
        <v>1500</v>
      </c>
      <c r="Y63" s="1485">
        <f t="shared" si="16"/>
        <v>7500</v>
      </c>
      <c r="Z63" s="1527" t="s">
        <v>7799</v>
      </c>
      <c r="AA63" s="1379" t="s">
        <v>6526</v>
      </c>
      <c r="AB63" s="1583"/>
      <c r="AC63" s="1584" t="str">
        <f t="shared" si="17"/>
        <v>ok</v>
      </c>
      <c r="AD63" s="1583"/>
      <c r="AE63" s="1583"/>
      <c r="AF63" s="1583"/>
      <c r="AG63" s="1583"/>
      <c r="AH63" s="1583"/>
      <c r="AI63" s="1583"/>
      <c r="AJ63" s="1583"/>
      <c r="AK63" s="1583"/>
      <c r="AL63" s="1583"/>
      <c r="AM63" s="1583"/>
      <c r="AN63" s="1583"/>
      <c r="AO63" s="1583"/>
    </row>
    <row r="64" spans="1:41" x14ac:dyDescent="0.6">
      <c r="A64" s="1432">
        <v>59</v>
      </c>
      <c r="B64" s="1575" t="s">
        <v>8356</v>
      </c>
      <c r="C64" s="1576" t="s">
        <v>8298</v>
      </c>
      <c r="D64" s="1577">
        <v>35320</v>
      </c>
      <c r="E64" s="1578">
        <f t="shared" si="0"/>
        <v>2119.1999999999998</v>
      </c>
      <c r="F64" s="1579">
        <v>28000</v>
      </c>
      <c r="G64" s="1485">
        <f t="shared" si="1"/>
        <v>1680</v>
      </c>
      <c r="H64" s="1485">
        <v>130000</v>
      </c>
      <c r="I64" s="1485">
        <f t="shared" si="3"/>
        <v>7800</v>
      </c>
      <c r="J64" s="1582">
        <v>140000</v>
      </c>
      <c r="K64" s="1582">
        <v>40000</v>
      </c>
      <c r="L64" s="1525">
        <f t="shared" si="4"/>
        <v>2400</v>
      </c>
      <c r="M64" s="1485">
        <f t="shared" si="5"/>
        <v>100000</v>
      </c>
      <c r="N64" s="1581">
        <v>0.06</v>
      </c>
      <c r="O64" s="1582">
        <f t="shared" si="6"/>
        <v>6000</v>
      </c>
      <c r="P64" s="1485">
        <f t="shared" si="7"/>
        <v>25000</v>
      </c>
      <c r="Q64" s="1485">
        <f t="shared" si="8"/>
        <v>1500</v>
      </c>
      <c r="R64" s="1485">
        <f t="shared" si="9"/>
        <v>25000</v>
      </c>
      <c r="S64" s="1525">
        <f t="shared" si="10"/>
        <v>1500</v>
      </c>
      <c r="T64" s="1485">
        <f t="shared" si="11"/>
        <v>25000</v>
      </c>
      <c r="U64" s="1525">
        <f t="shared" si="12"/>
        <v>1500</v>
      </c>
      <c r="V64" s="1485">
        <f t="shared" si="13"/>
        <v>25000</v>
      </c>
      <c r="W64" s="1525">
        <f t="shared" si="14"/>
        <v>1500</v>
      </c>
      <c r="X64" s="1485">
        <f t="shared" si="15"/>
        <v>100000</v>
      </c>
      <c r="Y64" s="1485">
        <f t="shared" si="16"/>
        <v>6000</v>
      </c>
      <c r="Z64" s="1527" t="s">
        <v>7799</v>
      </c>
      <c r="AA64" s="1379" t="s">
        <v>6526</v>
      </c>
      <c r="AB64" s="1583"/>
      <c r="AC64" s="1584" t="str">
        <f t="shared" si="17"/>
        <v>ok</v>
      </c>
      <c r="AD64" s="1583"/>
      <c r="AE64" s="1583"/>
      <c r="AF64" s="1583"/>
      <c r="AG64" s="1583"/>
      <c r="AH64" s="1583"/>
      <c r="AI64" s="1583"/>
      <c r="AJ64" s="1583"/>
      <c r="AK64" s="1583"/>
      <c r="AL64" s="1583"/>
      <c r="AM64" s="1583"/>
      <c r="AN64" s="1583"/>
      <c r="AO64" s="1583"/>
    </row>
    <row r="65" spans="1:41" x14ac:dyDescent="0.6">
      <c r="A65" s="1432">
        <v>60</v>
      </c>
      <c r="B65" s="1575" t="s">
        <v>8357</v>
      </c>
      <c r="C65" s="1576" t="s">
        <v>8298</v>
      </c>
      <c r="D65" s="1577">
        <v>3000</v>
      </c>
      <c r="E65" s="1578">
        <f t="shared" si="0"/>
        <v>1548</v>
      </c>
      <c r="F65" s="1579">
        <v>3000</v>
      </c>
      <c r="G65" s="1485">
        <f t="shared" si="1"/>
        <v>1548</v>
      </c>
      <c r="H65" s="1485">
        <v>3000</v>
      </c>
      <c r="I65" s="1485">
        <f t="shared" si="3"/>
        <v>1548</v>
      </c>
      <c r="J65" s="1582">
        <v>4000</v>
      </c>
      <c r="K65" s="1582">
        <v>500</v>
      </c>
      <c r="L65" s="1525">
        <f t="shared" si="4"/>
        <v>258</v>
      </c>
      <c r="M65" s="1485">
        <f t="shared" si="5"/>
        <v>3500</v>
      </c>
      <c r="N65" s="1581">
        <v>0.51600000000000001</v>
      </c>
      <c r="O65" s="1582">
        <f t="shared" si="6"/>
        <v>1806</v>
      </c>
      <c r="P65" s="1485">
        <f t="shared" si="7"/>
        <v>875</v>
      </c>
      <c r="Q65" s="1485">
        <f t="shared" si="8"/>
        <v>451.5</v>
      </c>
      <c r="R65" s="1485">
        <f t="shared" si="9"/>
        <v>875</v>
      </c>
      <c r="S65" s="1525">
        <f t="shared" si="10"/>
        <v>451.5</v>
      </c>
      <c r="T65" s="1485">
        <f t="shared" si="11"/>
        <v>875</v>
      </c>
      <c r="U65" s="1525">
        <f t="shared" si="12"/>
        <v>451.5</v>
      </c>
      <c r="V65" s="1485">
        <f t="shared" si="13"/>
        <v>875</v>
      </c>
      <c r="W65" s="1525">
        <f t="shared" si="14"/>
        <v>451.5</v>
      </c>
      <c r="X65" s="1485">
        <f t="shared" si="15"/>
        <v>3500</v>
      </c>
      <c r="Y65" s="1485">
        <f t="shared" si="16"/>
        <v>1806</v>
      </c>
      <c r="Z65" s="1527" t="s">
        <v>7799</v>
      </c>
      <c r="AA65" s="1379" t="s">
        <v>6526</v>
      </c>
      <c r="AB65" s="1583"/>
      <c r="AC65" s="1584" t="str">
        <f t="shared" si="17"/>
        <v>ok</v>
      </c>
      <c r="AD65" s="1583"/>
      <c r="AE65" s="1583"/>
      <c r="AF65" s="1583"/>
      <c r="AG65" s="1583"/>
      <c r="AH65" s="1583"/>
      <c r="AI65" s="1583"/>
      <c r="AJ65" s="1583"/>
      <c r="AK65" s="1583"/>
      <c r="AL65" s="1583"/>
      <c r="AM65" s="1583"/>
      <c r="AN65" s="1583"/>
      <c r="AO65" s="1583"/>
    </row>
    <row r="66" spans="1:41" x14ac:dyDescent="0.6">
      <c r="A66" s="1432">
        <v>61</v>
      </c>
      <c r="B66" s="1575" t="s">
        <v>8358</v>
      </c>
      <c r="C66" s="1576" t="s">
        <v>8298</v>
      </c>
      <c r="D66" s="1594">
        <v>2000</v>
      </c>
      <c r="E66" s="1578">
        <f t="shared" si="0"/>
        <v>800</v>
      </c>
      <c r="F66" s="1579">
        <v>1500</v>
      </c>
      <c r="G66" s="1485">
        <f t="shared" si="1"/>
        <v>600</v>
      </c>
      <c r="H66" s="1485">
        <v>2500</v>
      </c>
      <c r="I66" s="1485">
        <f t="shared" si="3"/>
        <v>1000</v>
      </c>
      <c r="J66" s="1582">
        <v>3000</v>
      </c>
      <c r="K66" s="1582">
        <v>500</v>
      </c>
      <c r="L66" s="1525">
        <f t="shared" si="4"/>
        <v>200</v>
      </c>
      <c r="M66" s="1485">
        <f t="shared" si="5"/>
        <v>2500</v>
      </c>
      <c r="N66" s="1581">
        <v>0.4</v>
      </c>
      <c r="O66" s="1582">
        <f t="shared" si="6"/>
        <v>1000</v>
      </c>
      <c r="P66" s="1485">
        <f t="shared" si="7"/>
        <v>625</v>
      </c>
      <c r="Q66" s="1485">
        <f t="shared" si="8"/>
        <v>250</v>
      </c>
      <c r="R66" s="1485">
        <f t="shared" si="9"/>
        <v>625</v>
      </c>
      <c r="S66" s="1525">
        <f t="shared" si="10"/>
        <v>250</v>
      </c>
      <c r="T66" s="1485">
        <f t="shared" si="11"/>
        <v>625</v>
      </c>
      <c r="U66" s="1525">
        <f t="shared" si="12"/>
        <v>250</v>
      </c>
      <c r="V66" s="1485">
        <f t="shared" si="13"/>
        <v>625</v>
      </c>
      <c r="W66" s="1525">
        <f t="shared" si="14"/>
        <v>250</v>
      </c>
      <c r="X66" s="1485">
        <f t="shared" si="15"/>
        <v>2500</v>
      </c>
      <c r="Y66" s="1485">
        <f t="shared" si="16"/>
        <v>1000</v>
      </c>
      <c r="Z66" s="1527" t="s">
        <v>7799</v>
      </c>
      <c r="AA66" s="1379" t="s">
        <v>6526</v>
      </c>
      <c r="AB66" s="1583"/>
      <c r="AC66" s="1584" t="str">
        <f t="shared" si="17"/>
        <v>ok</v>
      </c>
      <c r="AD66" s="1583"/>
      <c r="AE66" s="1583"/>
      <c r="AF66" s="1583"/>
      <c r="AG66" s="1583"/>
      <c r="AH66" s="1583"/>
      <c r="AI66" s="1583"/>
      <c r="AJ66" s="1583"/>
      <c r="AK66" s="1583"/>
      <c r="AL66" s="1583"/>
      <c r="AM66" s="1583"/>
      <c r="AN66" s="1583"/>
      <c r="AO66" s="1583"/>
    </row>
    <row r="67" spans="1:41" x14ac:dyDescent="0.6">
      <c r="A67" s="1432">
        <v>62</v>
      </c>
      <c r="B67" s="1575" t="s">
        <v>8359</v>
      </c>
      <c r="C67" s="1576" t="s">
        <v>8298</v>
      </c>
      <c r="D67" s="1577">
        <v>3400</v>
      </c>
      <c r="E67" s="1578">
        <f t="shared" si="0"/>
        <v>8840</v>
      </c>
      <c r="F67" s="1579">
        <v>4000</v>
      </c>
      <c r="G67" s="1485">
        <f t="shared" si="1"/>
        <v>10400</v>
      </c>
      <c r="H67" s="1485">
        <v>1000</v>
      </c>
      <c r="I67" s="1485">
        <f t="shared" si="3"/>
        <v>2600</v>
      </c>
      <c r="J67" s="1582">
        <v>4500</v>
      </c>
      <c r="K67" s="1582">
        <v>500</v>
      </c>
      <c r="L67" s="1525">
        <f t="shared" si="4"/>
        <v>1300</v>
      </c>
      <c r="M67" s="1485">
        <f t="shared" si="5"/>
        <v>4000</v>
      </c>
      <c r="N67" s="1581">
        <v>2.6</v>
      </c>
      <c r="O67" s="1582">
        <f t="shared" si="6"/>
        <v>10400</v>
      </c>
      <c r="P67" s="1485">
        <f t="shared" si="7"/>
        <v>1000</v>
      </c>
      <c r="Q67" s="1485">
        <f t="shared" si="8"/>
        <v>2600</v>
      </c>
      <c r="R67" s="1485">
        <f t="shared" si="9"/>
        <v>1000</v>
      </c>
      <c r="S67" s="1525">
        <f t="shared" si="10"/>
        <v>2600</v>
      </c>
      <c r="T67" s="1485">
        <f t="shared" si="11"/>
        <v>1000</v>
      </c>
      <c r="U67" s="1525">
        <f t="shared" si="12"/>
        <v>2600</v>
      </c>
      <c r="V67" s="1485">
        <f t="shared" si="13"/>
        <v>1000</v>
      </c>
      <c r="W67" s="1525">
        <f t="shared" si="14"/>
        <v>2600</v>
      </c>
      <c r="X67" s="1485">
        <f t="shared" si="15"/>
        <v>4000</v>
      </c>
      <c r="Y67" s="1485">
        <f t="shared" si="16"/>
        <v>10400</v>
      </c>
      <c r="Z67" s="1527" t="s">
        <v>7799</v>
      </c>
      <c r="AA67" s="1379" t="s">
        <v>6526</v>
      </c>
      <c r="AB67" s="1583"/>
      <c r="AC67" s="1584" t="str">
        <f t="shared" si="17"/>
        <v>ok</v>
      </c>
      <c r="AD67" s="1583"/>
      <c r="AE67" s="1583"/>
      <c r="AF67" s="1583"/>
      <c r="AG67" s="1583"/>
      <c r="AH67" s="1583"/>
      <c r="AI67" s="1583"/>
      <c r="AJ67" s="1583"/>
      <c r="AK67" s="1583"/>
      <c r="AL67" s="1583"/>
      <c r="AM67" s="1583"/>
      <c r="AN67" s="1583"/>
      <c r="AO67" s="1583"/>
    </row>
    <row r="68" spans="1:41" ht="42" x14ac:dyDescent="0.6">
      <c r="A68" s="1432">
        <v>63</v>
      </c>
      <c r="B68" s="1587" t="s">
        <v>8360</v>
      </c>
      <c r="C68" s="1576" t="s">
        <v>8296</v>
      </c>
      <c r="D68" s="1577">
        <v>3400</v>
      </c>
      <c r="E68" s="1578">
        <f t="shared" si="0"/>
        <v>64600</v>
      </c>
      <c r="F68" s="1579">
        <v>3000</v>
      </c>
      <c r="G68" s="1485">
        <f t="shared" si="1"/>
        <v>57000</v>
      </c>
      <c r="H68" s="1485">
        <v>2000</v>
      </c>
      <c r="I68" s="1485">
        <f t="shared" si="3"/>
        <v>38000</v>
      </c>
      <c r="J68" s="1582">
        <v>3500</v>
      </c>
      <c r="K68" s="1582">
        <v>500</v>
      </c>
      <c r="L68" s="1525">
        <f t="shared" si="4"/>
        <v>9500</v>
      </c>
      <c r="M68" s="1485">
        <f t="shared" si="5"/>
        <v>3000</v>
      </c>
      <c r="N68" s="1581">
        <v>19</v>
      </c>
      <c r="O68" s="1582">
        <f t="shared" si="6"/>
        <v>57000</v>
      </c>
      <c r="P68" s="1485">
        <f t="shared" si="7"/>
        <v>750</v>
      </c>
      <c r="Q68" s="1485">
        <f t="shared" si="8"/>
        <v>14250</v>
      </c>
      <c r="R68" s="1485">
        <f t="shared" si="9"/>
        <v>750</v>
      </c>
      <c r="S68" s="1525">
        <f t="shared" si="10"/>
        <v>14250</v>
      </c>
      <c r="T68" s="1485">
        <f t="shared" si="11"/>
        <v>750</v>
      </c>
      <c r="U68" s="1525">
        <f t="shared" si="12"/>
        <v>14250</v>
      </c>
      <c r="V68" s="1485">
        <f t="shared" si="13"/>
        <v>750</v>
      </c>
      <c r="W68" s="1525">
        <f t="shared" si="14"/>
        <v>14250</v>
      </c>
      <c r="X68" s="1485">
        <f t="shared" si="15"/>
        <v>3000</v>
      </c>
      <c r="Y68" s="1485">
        <f t="shared" si="16"/>
        <v>57000</v>
      </c>
      <c r="Z68" s="1527" t="s">
        <v>7799</v>
      </c>
      <c r="AA68" s="1379" t="s">
        <v>6526</v>
      </c>
      <c r="AB68" s="1583"/>
      <c r="AC68" s="1584" t="str">
        <f t="shared" si="17"/>
        <v>ok</v>
      </c>
      <c r="AD68" s="1583"/>
      <c r="AE68" s="1583"/>
      <c r="AF68" s="1583"/>
      <c r="AG68" s="1583"/>
      <c r="AH68" s="1583"/>
      <c r="AI68" s="1583"/>
      <c r="AJ68" s="1583"/>
      <c r="AK68" s="1583"/>
      <c r="AL68" s="1583"/>
      <c r="AM68" s="1583"/>
      <c r="AN68" s="1583"/>
      <c r="AO68" s="1583"/>
    </row>
    <row r="69" spans="1:41" x14ac:dyDescent="0.6">
      <c r="A69" s="1432">
        <v>64</v>
      </c>
      <c r="B69" s="1575" t="s">
        <v>8361</v>
      </c>
      <c r="C69" s="1576" t="s">
        <v>8305</v>
      </c>
      <c r="D69" s="1594">
        <v>54</v>
      </c>
      <c r="E69" s="1578">
        <f t="shared" si="0"/>
        <v>540</v>
      </c>
      <c r="F69" s="1579">
        <v>20</v>
      </c>
      <c r="G69" s="1485">
        <f t="shared" si="1"/>
        <v>200</v>
      </c>
      <c r="H69" s="1485">
        <v>10</v>
      </c>
      <c r="I69" s="1485">
        <f t="shared" si="3"/>
        <v>100</v>
      </c>
      <c r="J69" s="1582">
        <v>30</v>
      </c>
      <c r="K69" s="1582">
        <v>10</v>
      </c>
      <c r="L69" s="1525">
        <f t="shared" si="4"/>
        <v>100</v>
      </c>
      <c r="M69" s="1485">
        <f t="shared" si="5"/>
        <v>20</v>
      </c>
      <c r="N69" s="1581">
        <v>10</v>
      </c>
      <c r="O69" s="1582">
        <f t="shared" si="6"/>
        <v>200</v>
      </c>
      <c r="P69" s="1485">
        <f t="shared" si="7"/>
        <v>5</v>
      </c>
      <c r="Q69" s="1485">
        <f t="shared" si="8"/>
        <v>50</v>
      </c>
      <c r="R69" s="1485">
        <f t="shared" si="9"/>
        <v>5</v>
      </c>
      <c r="S69" s="1525">
        <f t="shared" si="10"/>
        <v>50</v>
      </c>
      <c r="T69" s="1485">
        <f t="shared" si="11"/>
        <v>5</v>
      </c>
      <c r="U69" s="1525">
        <f t="shared" si="12"/>
        <v>50</v>
      </c>
      <c r="V69" s="1485">
        <f t="shared" si="13"/>
        <v>5</v>
      </c>
      <c r="W69" s="1525">
        <f t="shared" si="14"/>
        <v>50</v>
      </c>
      <c r="X69" s="1485">
        <f t="shared" si="15"/>
        <v>20</v>
      </c>
      <c r="Y69" s="1485">
        <f t="shared" si="16"/>
        <v>200</v>
      </c>
      <c r="Z69" s="1527" t="s">
        <v>7799</v>
      </c>
      <c r="AA69" s="1379" t="s">
        <v>6526</v>
      </c>
      <c r="AB69" s="1583"/>
      <c r="AC69" s="1584" t="str">
        <f t="shared" si="17"/>
        <v>ok</v>
      </c>
      <c r="AD69" s="1583"/>
      <c r="AE69" s="1583"/>
      <c r="AF69" s="1583"/>
      <c r="AG69" s="1583"/>
      <c r="AH69" s="1583"/>
      <c r="AI69" s="1583"/>
      <c r="AJ69" s="1583"/>
      <c r="AK69" s="1583"/>
      <c r="AL69" s="1583"/>
      <c r="AM69" s="1583"/>
      <c r="AN69" s="1583"/>
      <c r="AO69" s="1583"/>
    </row>
    <row r="70" spans="1:41" x14ac:dyDescent="0.6">
      <c r="A70" s="1432">
        <v>65</v>
      </c>
      <c r="B70" s="1575" t="s">
        <v>8362</v>
      </c>
      <c r="C70" s="1576" t="s">
        <v>8298</v>
      </c>
      <c r="D70" s="1577">
        <f>3500+1100</f>
        <v>4600</v>
      </c>
      <c r="E70" s="1578">
        <f t="shared" si="0"/>
        <v>41400</v>
      </c>
      <c r="F70" s="1579">
        <v>5800</v>
      </c>
      <c r="G70" s="1485">
        <f t="shared" si="1"/>
        <v>52200</v>
      </c>
      <c r="H70" s="1485">
        <v>7500</v>
      </c>
      <c r="I70" s="1485">
        <f t="shared" si="3"/>
        <v>67500</v>
      </c>
      <c r="J70" s="1582">
        <v>8500</v>
      </c>
      <c r="K70" s="1582">
        <v>2500</v>
      </c>
      <c r="L70" s="1525">
        <f t="shared" si="4"/>
        <v>22500</v>
      </c>
      <c r="M70" s="1485">
        <f t="shared" si="5"/>
        <v>6000</v>
      </c>
      <c r="N70" s="1581">
        <v>9</v>
      </c>
      <c r="O70" s="1582">
        <f t="shared" si="6"/>
        <v>54000</v>
      </c>
      <c r="P70" s="1485">
        <f t="shared" si="7"/>
        <v>1500</v>
      </c>
      <c r="Q70" s="1485">
        <f t="shared" si="8"/>
        <v>13500</v>
      </c>
      <c r="R70" s="1485">
        <f t="shared" si="9"/>
        <v>1500</v>
      </c>
      <c r="S70" s="1525">
        <f t="shared" si="10"/>
        <v>13500</v>
      </c>
      <c r="T70" s="1485">
        <f t="shared" si="11"/>
        <v>1500</v>
      </c>
      <c r="U70" s="1525">
        <f t="shared" si="12"/>
        <v>13500</v>
      </c>
      <c r="V70" s="1485">
        <f t="shared" si="13"/>
        <v>1500</v>
      </c>
      <c r="W70" s="1525">
        <f t="shared" si="14"/>
        <v>13500</v>
      </c>
      <c r="X70" s="1485">
        <f t="shared" si="15"/>
        <v>6000</v>
      </c>
      <c r="Y70" s="1485">
        <f t="shared" si="16"/>
        <v>54000</v>
      </c>
      <c r="Z70" s="1527" t="s">
        <v>7799</v>
      </c>
      <c r="AA70" s="1379" t="s">
        <v>6526</v>
      </c>
      <c r="AB70" s="1583"/>
      <c r="AC70" s="1584" t="str">
        <f t="shared" si="17"/>
        <v>ok</v>
      </c>
      <c r="AD70" s="1583"/>
      <c r="AE70" s="1583"/>
      <c r="AF70" s="1583"/>
      <c r="AG70" s="1583"/>
      <c r="AH70" s="1583"/>
      <c r="AI70" s="1583"/>
      <c r="AJ70" s="1583"/>
      <c r="AK70" s="1583"/>
      <c r="AL70" s="1583"/>
      <c r="AM70" s="1583"/>
      <c r="AN70" s="1583"/>
      <c r="AO70" s="1583"/>
    </row>
    <row r="71" spans="1:41" x14ac:dyDescent="0.6">
      <c r="A71" s="1432">
        <v>66</v>
      </c>
      <c r="B71" s="1575" t="s">
        <v>8363</v>
      </c>
      <c r="C71" s="1576" t="s">
        <v>8305</v>
      </c>
      <c r="D71" s="1577">
        <v>454</v>
      </c>
      <c r="E71" s="1578">
        <f t="shared" si="0"/>
        <v>5902</v>
      </c>
      <c r="F71" s="1579">
        <v>260</v>
      </c>
      <c r="G71" s="1485">
        <f t="shared" si="1"/>
        <v>3380</v>
      </c>
      <c r="H71" s="1485">
        <v>300</v>
      </c>
      <c r="I71" s="1485">
        <f t="shared" si="3"/>
        <v>3900</v>
      </c>
      <c r="J71" s="1582">
        <v>500</v>
      </c>
      <c r="K71" s="1582">
        <v>100</v>
      </c>
      <c r="L71" s="1525">
        <f t="shared" si="4"/>
        <v>1300</v>
      </c>
      <c r="M71" s="1485">
        <f t="shared" si="5"/>
        <v>400</v>
      </c>
      <c r="N71" s="1581">
        <v>13</v>
      </c>
      <c r="O71" s="1582">
        <f t="shared" si="6"/>
        <v>5200</v>
      </c>
      <c r="P71" s="1485">
        <f t="shared" si="7"/>
        <v>100</v>
      </c>
      <c r="Q71" s="1485">
        <f t="shared" si="8"/>
        <v>1300</v>
      </c>
      <c r="R71" s="1485">
        <f t="shared" si="9"/>
        <v>100</v>
      </c>
      <c r="S71" s="1525">
        <f t="shared" si="10"/>
        <v>1300</v>
      </c>
      <c r="T71" s="1485">
        <f t="shared" si="11"/>
        <v>100</v>
      </c>
      <c r="U71" s="1525">
        <f t="shared" si="12"/>
        <v>1300</v>
      </c>
      <c r="V71" s="1485">
        <f t="shared" si="13"/>
        <v>100</v>
      </c>
      <c r="W71" s="1525">
        <f t="shared" si="14"/>
        <v>1300</v>
      </c>
      <c r="X71" s="1485">
        <f t="shared" si="15"/>
        <v>400</v>
      </c>
      <c r="Y71" s="1485">
        <f t="shared" si="16"/>
        <v>5200</v>
      </c>
      <c r="Z71" s="1527" t="s">
        <v>7799</v>
      </c>
      <c r="AA71" s="1379" t="s">
        <v>6526</v>
      </c>
      <c r="AB71" s="1583"/>
      <c r="AC71" s="1584" t="str">
        <f t="shared" si="17"/>
        <v>ok</v>
      </c>
      <c r="AD71" s="1583"/>
      <c r="AE71" s="1583"/>
      <c r="AF71" s="1583"/>
      <c r="AG71" s="1583"/>
      <c r="AH71" s="1583"/>
      <c r="AI71" s="1583"/>
      <c r="AJ71" s="1583"/>
      <c r="AK71" s="1583"/>
      <c r="AL71" s="1583"/>
      <c r="AM71" s="1583"/>
      <c r="AN71" s="1583"/>
      <c r="AO71" s="1583"/>
    </row>
    <row r="72" spans="1:41" x14ac:dyDescent="0.6">
      <c r="A72" s="1432">
        <v>67</v>
      </c>
      <c r="B72" s="1575" t="s">
        <v>8364</v>
      </c>
      <c r="C72" s="1576" t="s">
        <v>8365</v>
      </c>
      <c r="D72" s="1577">
        <v>0</v>
      </c>
      <c r="E72" s="1578">
        <f t="shared" ref="E72:E135" si="18">D72*N72</f>
        <v>0</v>
      </c>
      <c r="F72" s="1579">
        <v>800</v>
      </c>
      <c r="G72" s="1485">
        <f t="shared" ref="G72:G135" si="19">F72*N72</f>
        <v>520</v>
      </c>
      <c r="H72" s="1485">
        <v>1500</v>
      </c>
      <c r="I72" s="1485">
        <f t="shared" si="3"/>
        <v>975</v>
      </c>
      <c r="J72" s="1582">
        <v>1700</v>
      </c>
      <c r="K72" s="1582">
        <v>200</v>
      </c>
      <c r="L72" s="1525">
        <f t="shared" si="4"/>
        <v>130</v>
      </c>
      <c r="M72" s="1485">
        <f t="shared" si="5"/>
        <v>1500</v>
      </c>
      <c r="N72" s="1581">
        <v>0.65</v>
      </c>
      <c r="O72" s="1582">
        <f t="shared" si="6"/>
        <v>975</v>
      </c>
      <c r="P72" s="1485">
        <f t="shared" si="7"/>
        <v>375</v>
      </c>
      <c r="Q72" s="1485">
        <f t="shared" si="8"/>
        <v>243.75</v>
      </c>
      <c r="R72" s="1485">
        <f t="shared" si="9"/>
        <v>375</v>
      </c>
      <c r="S72" s="1525">
        <f t="shared" si="10"/>
        <v>243.75</v>
      </c>
      <c r="T72" s="1485">
        <f t="shared" si="11"/>
        <v>375</v>
      </c>
      <c r="U72" s="1525">
        <f t="shared" si="12"/>
        <v>243.75</v>
      </c>
      <c r="V72" s="1485">
        <f t="shared" si="13"/>
        <v>375</v>
      </c>
      <c r="W72" s="1525">
        <f t="shared" si="14"/>
        <v>243.75</v>
      </c>
      <c r="X72" s="1485">
        <f t="shared" si="15"/>
        <v>1500</v>
      </c>
      <c r="Y72" s="1485">
        <f t="shared" si="16"/>
        <v>975</v>
      </c>
      <c r="Z72" s="1527" t="s">
        <v>7799</v>
      </c>
      <c r="AA72" s="1379" t="s">
        <v>6526</v>
      </c>
      <c r="AB72" s="1583"/>
      <c r="AC72" s="1584" t="str">
        <f t="shared" si="17"/>
        <v>ok</v>
      </c>
      <c r="AD72" s="1583"/>
      <c r="AE72" s="1583"/>
      <c r="AF72" s="1583"/>
      <c r="AG72" s="1583"/>
      <c r="AH72" s="1583"/>
      <c r="AI72" s="1583"/>
      <c r="AJ72" s="1583"/>
      <c r="AK72" s="1583"/>
      <c r="AL72" s="1583"/>
      <c r="AM72" s="1583"/>
      <c r="AN72" s="1583"/>
      <c r="AO72" s="1583"/>
    </row>
    <row r="73" spans="1:41" x14ac:dyDescent="0.6">
      <c r="A73" s="1432">
        <v>68</v>
      </c>
      <c r="B73" s="1575" t="s">
        <v>8366</v>
      </c>
      <c r="C73" s="1576" t="s">
        <v>8365</v>
      </c>
      <c r="D73" s="1577">
        <v>356</v>
      </c>
      <c r="E73" s="1578">
        <f t="shared" si="18"/>
        <v>415.452</v>
      </c>
      <c r="F73" s="1579">
        <v>400</v>
      </c>
      <c r="G73" s="1485">
        <f t="shared" si="19"/>
        <v>466.8</v>
      </c>
      <c r="H73" s="1485">
        <v>300</v>
      </c>
      <c r="I73" s="1485">
        <f t="shared" ref="I73:I136" si="20">H73*N73</f>
        <v>350.1</v>
      </c>
      <c r="J73" s="1582">
        <v>450</v>
      </c>
      <c r="K73" s="1582">
        <v>50</v>
      </c>
      <c r="L73" s="1525">
        <f t="shared" ref="L73:L136" si="21">K73*N73</f>
        <v>58.35</v>
      </c>
      <c r="M73" s="1485">
        <f t="shared" ref="M73:M136" si="22">J73-K73</f>
        <v>400</v>
      </c>
      <c r="N73" s="1581">
        <v>1.167</v>
      </c>
      <c r="O73" s="1582">
        <f t="shared" ref="O73:O136" si="23">M73*N73</f>
        <v>466.8</v>
      </c>
      <c r="P73" s="1485">
        <f t="shared" ref="P73:P135" si="24">M73/4</f>
        <v>100</v>
      </c>
      <c r="Q73" s="1485">
        <f t="shared" ref="Q73:Q136" si="25">P73*N73</f>
        <v>116.7</v>
      </c>
      <c r="R73" s="1485">
        <f t="shared" ref="R73:R135" si="26">M73/4</f>
        <v>100</v>
      </c>
      <c r="S73" s="1525">
        <f t="shared" ref="S73:S136" si="27">R73*N73</f>
        <v>116.7</v>
      </c>
      <c r="T73" s="1485">
        <f t="shared" ref="T73:T135" si="28">M73/4</f>
        <v>100</v>
      </c>
      <c r="U73" s="1525">
        <f t="shared" ref="U73:U136" si="29">T73*N73</f>
        <v>116.7</v>
      </c>
      <c r="V73" s="1485">
        <f t="shared" ref="V73:V135" si="30">M73/4</f>
        <v>100</v>
      </c>
      <c r="W73" s="1525">
        <f t="shared" ref="W73:W136" si="31">V73*N73</f>
        <v>116.7</v>
      </c>
      <c r="X73" s="1485">
        <f t="shared" ref="X73:X136" si="32">P73+R73+T73+V73</f>
        <v>400</v>
      </c>
      <c r="Y73" s="1485">
        <f t="shared" ref="Y73:Y136" si="33">X73*N73</f>
        <v>466.8</v>
      </c>
      <c r="Z73" s="1527" t="s">
        <v>7799</v>
      </c>
      <c r="AA73" s="1379" t="s">
        <v>6526</v>
      </c>
      <c r="AB73" s="1583"/>
      <c r="AC73" s="1584" t="str">
        <f t="shared" ref="AC73:AC136" si="34">IF(M73=X73,"ok")</f>
        <v>ok</v>
      </c>
      <c r="AD73" s="1583"/>
      <c r="AE73" s="1583"/>
      <c r="AF73" s="1583"/>
      <c r="AG73" s="1583"/>
      <c r="AH73" s="1583"/>
      <c r="AI73" s="1583"/>
      <c r="AJ73" s="1583"/>
      <c r="AK73" s="1583"/>
      <c r="AL73" s="1583"/>
      <c r="AM73" s="1583"/>
      <c r="AN73" s="1583"/>
      <c r="AO73" s="1583"/>
    </row>
    <row r="74" spans="1:41" x14ac:dyDescent="0.6">
      <c r="A74" s="1432">
        <v>69</v>
      </c>
      <c r="B74" s="1575" t="s">
        <v>8367</v>
      </c>
      <c r="C74" s="1576" t="s">
        <v>8298</v>
      </c>
      <c r="D74" s="1577">
        <v>51550</v>
      </c>
      <c r="E74" s="1578">
        <f t="shared" si="18"/>
        <v>18042.5</v>
      </c>
      <c r="F74" s="1579">
        <v>57000</v>
      </c>
      <c r="G74" s="1485">
        <f t="shared" si="19"/>
        <v>19950</v>
      </c>
      <c r="H74" s="1485">
        <v>45000</v>
      </c>
      <c r="I74" s="1485">
        <f t="shared" si="20"/>
        <v>15749.999999999998</v>
      </c>
      <c r="J74" s="1582">
        <v>65000</v>
      </c>
      <c r="K74" s="1582">
        <v>5000</v>
      </c>
      <c r="L74" s="1525">
        <f t="shared" si="21"/>
        <v>1750</v>
      </c>
      <c r="M74" s="1485">
        <f t="shared" si="22"/>
        <v>60000</v>
      </c>
      <c r="N74" s="1581">
        <v>0.35</v>
      </c>
      <c r="O74" s="1582">
        <f t="shared" si="23"/>
        <v>21000</v>
      </c>
      <c r="P74" s="1485">
        <f t="shared" si="24"/>
        <v>15000</v>
      </c>
      <c r="Q74" s="1485">
        <f t="shared" si="25"/>
        <v>5250</v>
      </c>
      <c r="R74" s="1485">
        <f t="shared" si="26"/>
        <v>15000</v>
      </c>
      <c r="S74" s="1525">
        <f t="shared" si="27"/>
        <v>5250</v>
      </c>
      <c r="T74" s="1485">
        <f t="shared" si="28"/>
        <v>15000</v>
      </c>
      <c r="U74" s="1525">
        <f t="shared" si="29"/>
        <v>5250</v>
      </c>
      <c r="V74" s="1485">
        <f t="shared" si="30"/>
        <v>15000</v>
      </c>
      <c r="W74" s="1525">
        <f t="shared" si="31"/>
        <v>5250</v>
      </c>
      <c r="X74" s="1485">
        <f t="shared" si="32"/>
        <v>60000</v>
      </c>
      <c r="Y74" s="1485">
        <f t="shared" si="33"/>
        <v>21000</v>
      </c>
      <c r="Z74" s="1527" t="s">
        <v>7799</v>
      </c>
      <c r="AA74" s="1379" t="s">
        <v>6526</v>
      </c>
      <c r="AB74" s="1583"/>
      <c r="AC74" s="1584" t="str">
        <f t="shared" si="34"/>
        <v>ok</v>
      </c>
      <c r="AD74" s="1583"/>
      <c r="AE74" s="1583"/>
      <c r="AF74" s="1583"/>
      <c r="AG74" s="1583"/>
      <c r="AH74" s="1583"/>
      <c r="AI74" s="1583"/>
      <c r="AJ74" s="1583"/>
      <c r="AK74" s="1583"/>
      <c r="AL74" s="1583"/>
      <c r="AM74" s="1583"/>
      <c r="AN74" s="1583"/>
      <c r="AO74" s="1583"/>
    </row>
    <row r="75" spans="1:41" ht="42" x14ac:dyDescent="0.6">
      <c r="A75" s="1432">
        <v>70</v>
      </c>
      <c r="B75" s="1587" t="s">
        <v>8368</v>
      </c>
      <c r="C75" s="1576" t="s">
        <v>8298</v>
      </c>
      <c r="D75" s="1577">
        <v>685</v>
      </c>
      <c r="E75" s="1578">
        <f t="shared" si="18"/>
        <v>2671.5</v>
      </c>
      <c r="F75" s="1579">
        <v>1100</v>
      </c>
      <c r="G75" s="1485">
        <f t="shared" si="19"/>
        <v>4290</v>
      </c>
      <c r="H75" s="1485">
        <v>900</v>
      </c>
      <c r="I75" s="1485">
        <f t="shared" si="20"/>
        <v>3510</v>
      </c>
      <c r="J75" s="1582">
        <v>1500</v>
      </c>
      <c r="K75" s="1582">
        <v>200</v>
      </c>
      <c r="L75" s="1525">
        <f t="shared" si="21"/>
        <v>780</v>
      </c>
      <c r="M75" s="1485">
        <f t="shared" si="22"/>
        <v>1300</v>
      </c>
      <c r="N75" s="1581">
        <f>390/100</f>
        <v>3.9</v>
      </c>
      <c r="O75" s="1582">
        <f t="shared" si="23"/>
        <v>5070</v>
      </c>
      <c r="P75" s="1485">
        <f t="shared" si="24"/>
        <v>325</v>
      </c>
      <c r="Q75" s="1485">
        <f t="shared" si="25"/>
        <v>1267.5</v>
      </c>
      <c r="R75" s="1485">
        <f t="shared" si="26"/>
        <v>325</v>
      </c>
      <c r="S75" s="1525">
        <f t="shared" si="27"/>
        <v>1267.5</v>
      </c>
      <c r="T75" s="1485">
        <f t="shared" si="28"/>
        <v>325</v>
      </c>
      <c r="U75" s="1525">
        <f t="shared" si="29"/>
        <v>1267.5</v>
      </c>
      <c r="V75" s="1485">
        <f t="shared" si="30"/>
        <v>325</v>
      </c>
      <c r="W75" s="1525">
        <f t="shared" si="31"/>
        <v>1267.5</v>
      </c>
      <c r="X75" s="1485">
        <f t="shared" si="32"/>
        <v>1300</v>
      </c>
      <c r="Y75" s="1485">
        <f t="shared" si="33"/>
        <v>5070</v>
      </c>
      <c r="Z75" s="1527" t="s">
        <v>7799</v>
      </c>
      <c r="AA75" s="1379" t="s">
        <v>6526</v>
      </c>
      <c r="AB75" s="1583"/>
      <c r="AC75" s="1584" t="str">
        <f t="shared" si="34"/>
        <v>ok</v>
      </c>
      <c r="AD75" s="1583"/>
      <c r="AE75" s="1583"/>
      <c r="AF75" s="1583"/>
      <c r="AG75" s="1583"/>
      <c r="AH75" s="1583"/>
      <c r="AI75" s="1583"/>
      <c r="AJ75" s="1583"/>
      <c r="AK75" s="1583"/>
      <c r="AL75" s="1583"/>
      <c r="AM75" s="1583"/>
      <c r="AN75" s="1583"/>
      <c r="AO75" s="1583"/>
    </row>
    <row r="76" spans="1:41" x14ac:dyDescent="0.6">
      <c r="A76" s="1432">
        <v>71</v>
      </c>
      <c r="B76" s="1595" t="s">
        <v>8369</v>
      </c>
      <c r="C76" s="1576" t="s">
        <v>8298</v>
      </c>
      <c r="D76" s="1577">
        <v>4500</v>
      </c>
      <c r="E76" s="1578">
        <f t="shared" si="18"/>
        <v>2250</v>
      </c>
      <c r="F76" s="1579">
        <v>5000</v>
      </c>
      <c r="G76" s="1485">
        <f t="shared" si="19"/>
        <v>2500</v>
      </c>
      <c r="H76" s="1485">
        <v>5500</v>
      </c>
      <c r="I76" s="1485">
        <f t="shared" si="20"/>
        <v>2750</v>
      </c>
      <c r="J76" s="1582">
        <v>6500</v>
      </c>
      <c r="K76" s="1582">
        <v>500</v>
      </c>
      <c r="L76" s="1525">
        <f t="shared" si="21"/>
        <v>250</v>
      </c>
      <c r="M76" s="1485">
        <f t="shared" si="22"/>
        <v>6000</v>
      </c>
      <c r="N76" s="1581">
        <f>250/500</f>
        <v>0.5</v>
      </c>
      <c r="O76" s="1582">
        <f t="shared" si="23"/>
        <v>3000</v>
      </c>
      <c r="P76" s="1485">
        <f t="shared" si="24"/>
        <v>1500</v>
      </c>
      <c r="Q76" s="1485">
        <f t="shared" si="25"/>
        <v>750</v>
      </c>
      <c r="R76" s="1485">
        <f t="shared" si="26"/>
        <v>1500</v>
      </c>
      <c r="S76" s="1525">
        <f t="shared" si="27"/>
        <v>750</v>
      </c>
      <c r="T76" s="1485">
        <f t="shared" si="28"/>
        <v>1500</v>
      </c>
      <c r="U76" s="1525">
        <f t="shared" si="29"/>
        <v>750</v>
      </c>
      <c r="V76" s="1485">
        <f t="shared" si="30"/>
        <v>1500</v>
      </c>
      <c r="W76" s="1525">
        <f t="shared" si="31"/>
        <v>750</v>
      </c>
      <c r="X76" s="1485">
        <f t="shared" si="32"/>
        <v>6000</v>
      </c>
      <c r="Y76" s="1485">
        <f t="shared" si="33"/>
        <v>3000</v>
      </c>
      <c r="Z76" s="1527" t="s">
        <v>7799</v>
      </c>
      <c r="AA76" s="1379" t="s">
        <v>6526</v>
      </c>
      <c r="AB76" s="1583"/>
      <c r="AC76" s="1584" t="str">
        <f t="shared" si="34"/>
        <v>ok</v>
      </c>
      <c r="AD76" s="1583"/>
      <c r="AE76" s="1583"/>
      <c r="AF76" s="1583"/>
      <c r="AG76" s="1583"/>
      <c r="AH76" s="1583"/>
      <c r="AI76" s="1583"/>
      <c r="AJ76" s="1583"/>
      <c r="AK76" s="1583"/>
      <c r="AL76" s="1583"/>
      <c r="AM76" s="1583"/>
      <c r="AN76" s="1583"/>
      <c r="AO76" s="1583"/>
    </row>
    <row r="77" spans="1:41" x14ac:dyDescent="0.6">
      <c r="A77" s="1432">
        <v>72</v>
      </c>
      <c r="B77" s="1595" t="s">
        <v>8370</v>
      </c>
      <c r="C77" s="1576" t="s">
        <v>8298</v>
      </c>
      <c r="D77" s="1577">
        <f>8000+2500</f>
        <v>10500</v>
      </c>
      <c r="E77" s="1578">
        <f t="shared" si="18"/>
        <v>11550.000000000002</v>
      </c>
      <c r="F77" s="1579">
        <v>11000</v>
      </c>
      <c r="G77" s="1485">
        <f t="shared" si="19"/>
        <v>12100.000000000002</v>
      </c>
      <c r="H77" s="1485">
        <v>7000</v>
      </c>
      <c r="I77" s="1485">
        <f t="shared" si="20"/>
        <v>7700.0000000000009</v>
      </c>
      <c r="J77" s="1582">
        <v>12000</v>
      </c>
      <c r="K77" s="1582">
        <v>1000</v>
      </c>
      <c r="L77" s="1525">
        <f t="shared" si="21"/>
        <v>1100</v>
      </c>
      <c r="M77" s="1485">
        <f t="shared" si="22"/>
        <v>11000</v>
      </c>
      <c r="N77" s="1581">
        <v>1.1000000000000001</v>
      </c>
      <c r="O77" s="1582">
        <f t="shared" si="23"/>
        <v>12100.000000000002</v>
      </c>
      <c r="P77" s="1485">
        <f t="shared" si="24"/>
        <v>2750</v>
      </c>
      <c r="Q77" s="1485">
        <f t="shared" si="25"/>
        <v>3025.0000000000005</v>
      </c>
      <c r="R77" s="1485">
        <f t="shared" si="26"/>
        <v>2750</v>
      </c>
      <c r="S77" s="1525">
        <f t="shared" si="27"/>
        <v>3025.0000000000005</v>
      </c>
      <c r="T77" s="1485">
        <f t="shared" si="28"/>
        <v>2750</v>
      </c>
      <c r="U77" s="1525">
        <f t="shared" si="29"/>
        <v>3025.0000000000005</v>
      </c>
      <c r="V77" s="1485">
        <f t="shared" si="30"/>
        <v>2750</v>
      </c>
      <c r="W77" s="1525">
        <f t="shared" si="31"/>
        <v>3025.0000000000005</v>
      </c>
      <c r="X77" s="1485">
        <f t="shared" si="32"/>
        <v>11000</v>
      </c>
      <c r="Y77" s="1485">
        <f t="shared" si="33"/>
        <v>12100.000000000002</v>
      </c>
      <c r="Z77" s="1527" t="s">
        <v>7799</v>
      </c>
      <c r="AA77" s="1379" t="s">
        <v>6526</v>
      </c>
      <c r="AB77" s="1583"/>
      <c r="AC77" s="1584" t="str">
        <f t="shared" si="34"/>
        <v>ok</v>
      </c>
      <c r="AD77" s="1583"/>
      <c r="AE77" s="1583"/>
      <c r="AF77" s="1583"/>
      <c r="AG77" s="1583"/>
      <c r="AH77" s="1583"/>
      <c r="AI77" s="1583"/>
      <c r="AJ77" s="1583"/>
      <c r="AK77" s="1583"/>
      <c r="AL77" s="1583"/>
      <c r="AM77" s="1583"/>
      <c r="AN77" s="1583"/>
      <c r="AO77" s="1583"/>
    </row>
    <row r="78" spans="1:41" x14ac:dyDescent="0.6">
      <c r="A78" s="1432">
        <v>73</v>
      </c>
      <c r="B78" s="1595" t="s">
        <v>8371</v>
      </c>
      <c r="C78" s="1576" t="s">
        <v>8298</v>
      </c>
      <c r="D78" s="1577">
        <f>5500+3000</f>
        <v>8500</v>
      </c>
      <c r="E78" s="1578">
        <f t="shared" si="18"/>
        <v>14450</v>
      </c>
      <c r="F78" s="1579">
        <v>8800</v>
      </c>
      <c r="G78" s="1485">
        <f t="shared" si="19"/>
        <v>14960</v>
      </c>
      <c r="H78" s="1485">
        <v>2000</v>
      </c>
      <c r="I78" s="1485">
        <f t="shared" si="20"/>
        <v>3400</v>
      </c>
      <c r="J78" s="1582">
        <v>5500</v>
      </c>
      <c r="K78" s="1582">
        <v>500</v>
      </c>
      <c r="L78" s="1525">
        <f t="shared" si="21"/>
        <v>850</v>
      </c>
      <c r="M78" s="1485">
        <f t="shared" si="22"/>
        <v>5000</v>
      </c>
      <c r="N78" s="1581">
        <v>1.7</v>
      </c>
      <c r="O78" s="1582">
        <f t="shared" si="23"/>
        <v>8500</v>
      </c>
      <c r="P78" s="1485">
        <f t="shared" si="24"/>
        <v>1250</v>
      </c>
      <c r="Q78" s="1485">
        <f t="shared" si="25"/>
        <v>2125</v>
      </c>
      <c r="R78" s="1485">
        <f t="shared" si="26"/>
        <v>1250</v>
      </c>
      <c r="S78" s="1525">
        <f t="shared" si="27"/>
        <v>2125</v>
      </c>
      <c r="T78" s="1485">
        <f t="shared" si="28"/>
        <v>1250</v>
      </c>
      <c r="U78" s="1525">
        <f t="shared" si="29"/>
        <v>2125</v>
      </c>
      <c r="V78" s="1485">
        <f t="shared" si="30"/>
        <v>1250</v>
      </c>
      <c r="W78" s="1525">
        <f t="shared" si="31"/>
        <v>2125</v>
      </c>
      <c r="X78" s="1485">
        <f t="shared" si="32"/>
        <v>5000</v>
      </c>
      <c r="Y78" s="1485">
        <f t="shared" si="33"/>
        <v>8500</v>
      </c>
      <c r="Z78" s="1527" t="s">
        <v>7799</v>
      </c>
      <c r="AA78" s="1379" t="s">
        <v>6526</v>
      </c>
      <c r="AB78" s="1583"/>
      <c r="AC78" s="1584" t="str">
        <f t="shared" si="34"/>
        <v>ok</v>
      </c>
      <c r="AD78" s="1583"/>
      <c r="AE78" s="1583"/>
      <c r="AF78" s="1583"/>
      <c r="AG78" s="1583"/>
      <c r="AH78" s="1583"/>
      <c r="AI78" s="1583"/>
      <c r="AJ78" s="1583"/>
      <c r="AK78" s="1583"/>
      <c r="AL78" s="1583"/>
      <c r="AM78" s="1583"/>
      <c r="AN78" s="1583"/>
      <c r="AO78" s="1583"/>
    </row>
    <row r="79" spans="1:41" x14ac:dyDescent="0.6">
      <c r="A79" s="1432">
        <v>74</v>
      </c>
      <c r="B79" s="1575" t="s">
        <v>8372</v>
      </c>
      <c r="C79" s="1576" t="s">
        <v>8296</v>
      </c>
      <c r="D79" s="1577">
        <v>55</v>
      </c>
      <c r="E79" s="1578">
        <f t="shared" si="18"/>
        <v>522.5</v>
      </c>
      <c r="F79" s="1579">
        <v>100</v>
      </c>
      <c r="G79" s="1485">
        <f t="shared" si="19"/>
        <v>950</v>
      </c>
      <c r="H79" s="1485">
        <v>70</v>
      </c>
      <c r="I79" s="1485">
        <f t="shared" si="20"/>
        <v>665</v>
      </c>
      <c r="J79" s="1582">
        <v>120</v>
      </c>
      <c r="K79" s="1582">
        <v>40</v>
      </c>
      <c r="L79" s="1525">
        <f t="shared" si="21"/>
        <v>380</v>
      </c>
      <c r="M79" s="1485">
        <f t="shared" si="22"/>
        <v>80</v>
      </c>
      <c r="N79" s="1581">
        <v>9.5</v>
      </c>
      <c r="O79" s="1582">
        <f t="shared" si="23"/>
        <v>760</v>
      </c>
      <c r="P79" s="1485">
        <f t="shared" si="24"/>
        <v>20</v>
      </c>
      <c r="Q79" s="1485">
        <f t="shared" si="25"/>
        <v>190</v>
      </c>
      <c r="R79" s="1485">
        <f t="shared" si="26"/>
        <v>20</v>
      </c>
      <c r="S79" s="1525">
        <f t="shared" si="27"/>
        <v>190</v>
      </c>
      <c r="T79" s="1485">
        <f t="shared" si="28"/>
        <v>20</v>
      </c>
      <c r="U79" s="1525">
        <f t="shared" si="29"/>
        <v>190</v>
      </c>
      <c r="V79" s="1485">
        <f t="shared" si="30"/>
        <v>20</v>
      </c>
      <c r="W79" s="1525">
        <f t="shared" si="31"/>
        <v>190</v>
      </c>
      <c r="X79" s="1485">
        <f t="shared" si="32"/>
        <v>80</v>
      </c>
      <c r="Y79" s="1485">
        <f t="shared" si="33"/>
        <v>760</v>
      </c>
      <c r="Z79" s="1527" t="s">
        <v>7799</v>
      </c>
      <c r="AA79" s="1379" t="s">
        <v>6526</v>
      </c>
      <c r="AB79" s="1583"/>
      <c r="AC79" s="1584" t="str">
        <f t="shared" si="34"/>
        <v>ok</v>
      </c>
      <c r="AD79" s="1583"/>
      <c r="AE79" s="1583"/>
      <c r="AF79" s="1583"/>
      <c r="AG79" s="1583"/>
      <c r="AH79" s="1583"/>
      <c r="AI79" s="1583"/>
      <c r="AJ79" s="1583"/>
      <c r="AK79" s="1583"/>
      <c r="AL79" s="1583"/>
      <c r="AM79" s="1583"/>
      <c r="AN79" s="1583"/>
      <c r="AO79" s="1583"/>
    </row>
    <row r="80" spans="1:41" x14ac:dyDescent="0.6">
      <c r="A80" s="1432">
        <v>75</v>
      </c>
      <c r="B80" s="1575" t="s">
        <v>8373</v>
      </c>
      <c r="C80" s="1576" t="s">
        <v>8298</v>
      </c>
      <c r="D80" s="1577">
        <v>1750</v>
      </c>
      <c r="E80" s="1578">
        <f t="shared" si="18"/>
        <v>962.50000000000011</v>
      </c>
      <c r="F80" s="1579">
        <v>2500</v>
      </c>
      <c r="G80" s="1485">
        <f t="shared" si="19"/>
        <v>1375</v>
      </c>
      <c r="H80" s="1485">
        <v>3500</v>
      </c>
      <c r="I80" s="1485">
        <f t="shared" si="20"/>
        <v>1925.0000000000002</v>
      </c>
      <c r="J80" s="1582">
        <v>4500</v>
      </c>
      <c r="K80" s="1582">
        <v>500</v>
      </c>
      <c r="L80" s="1525">
        <f t="shared" si="21"/>
        <v>275</v>
      </c>
      <c r="M80" s="1485">
        <f t="shared" si="22"/>
        <v>4000</v>
      </c>
      <c r="N80" s="1581">
        <v>0.55000000000000004</v>
      </c>
      <c r="O80" s="1582">
        <f t="shared" si="23"/>
        <v>2200</v>
      </c>
      <c r="P80" s="1485">
        <f t="shared" si="24"/>
        <v>1000</v>
      </c>
      <c r="Q80" s="1485">
        <f t="shared" si="25"/>
        <v>550</v>
      </c>
      <c r="R80" s="1485">
        <f t="shared" si="26"/>
        <v>1000</v>
      </c>
      <c r="S80" s="1525">
        <f t="shared" si="27"/>
        <v>550</v>
      </c>
      <c r="T80" s="1485">
        <f t="shared" si="28"/>
        <v>1000</v>
      </c>
      <c r="U80" s="1525">
        <f t="shared" si="29"/>
        <v>550</v>
      </c>
      <c r="V80" s="1485">
        <f t="shared" si="30"/>
        <v>1000</v>
      </c>
      <c r="W80" s="1525">
        <f t="shared" si="31"/>
        <v>550</v>
      </c>
      <c r="X80" s="1485">
        <f t="shared" si="32"/>
        <v>4000</v>
      </c>
      <c r="Y80" s="1485">
        <f t="shared" si="33"/>
        <v>2200</v>
      </c>
      <c r="Z80" s="1527" t="s">
        <v>7799</v>
      </c>
      <c r="AA80" s="1379" t="s">
        <v>6526</v>
      </c>
      <c r="AB80" s="1583"/>
      <c r="AC80" s="1584" t="str">
        <f t="shared" si="34"/>
        <v>ok</v>
      </c>
      <c r="AD80" s="1583"/>
      <c r="AE80" s="1583"/>
      <c r="AF80" s="1583"/>
      <c r="AG80" s="1583"/>
      <c r="AH80" s="1583"/>
      <c r="AI80" s="1583"/>
      <c r="AJ80" s="1583"/>
      <c r="AK80" s="1583"/>
      <c r="AL80" s="1583"/>
      <c r="AM80" s="1583"/>
      <c r="AN80" s="1583"/>
      <c r="AO80" s="1583"/>
    </row>
    <row r="81" spans="1:41" x14ac:dyDescent="0.6">
      <c r="A81" s="1432">
        <v>76</v>
      </c>
      <c r="B81" s="1575" t="s">
        <v>8374</v>
      </c>
      <c r="C81" s="1576" t="s">
        <v>8298</v>
      </c>
      <c r="D81" s="1577">
        <v>4060</v>
      </c>
      <c r="E81" s="1578">
        <f t="shared" si="18"/>
        <v>361.34</v>
      </c>
      <c r="F81" s="1579">
        <v>8000</v>
      </c>
      <c r="G81" s="1485">
        <f t="shared" si="19"/>
        <v>712</v>
      </c>
      <c r="H81" s="1485">
        <v>7500</v>
      </c>
      <c r="I81" s="1485">
        <f t="shared" si="20"/>
        <v>667.5</v>
      </c>
      <c r="J81" s="1582">
        <v>9000</v>
      </c>
      <c r="K81" s="1582">
        <v>1000</v>
      </c>
      <c r="L81" s="1525">
        <f t="shared" si="21"/>
        <v>89</v>
      </c>
      <c r="M81" s="1485">
        <f t="shared" si="22"/>
        <v>8000</v>
      </c>
      <c r="N81" s="1581">
        <v>8.8999999999999996E-2</v>
      </c>
      <c r="O81" s="1582">
        <f t="shared" si="23"/>
        <v>712</v>
      </c>
      <c r="P81" s="1485">
        <f t="shared" si="24"/>
        <v>2000</v>
      </c>
      <c r="Q81" s="1485">
        <f t="shared" si="25"/>
        <v>178</v>
      </c>
      <c r="R81" s="1485">
        <f t="shared" si="26"/>
        <v>2000</v>
      </c>
      <c r="S81" s="1525">
        <f t="shared" si="27"/>
        <v>178</v>
      </c>
      <c r="T81" s="1485">
        <f t="shared" si="28"/>
        <v>2000</v>
      </c>
      <c r="U81" s="1525">
        <f t="shared" si="29"/>
        <v>178</v>
      </c>
      <c r="V81" s="1485">
        <f t="shared" si="30"/>
        <v>2000</v>
      </c>
      <c r="W81" s="1525">
        <f t="shared" si="31"/>
        <v>178</v>
      </c>
      <c r="X81" s="1485">
        <f t="shared" si="32"/>
        <v>8000</v>
      </c>
      <c r="Y81" s="1485">
        <f t="shared" si="33"/>
        <v>712</v>
      </c>
      <c r="Z81" s="1527" t="s">
        <v>7799</v>
      </c>
      <c r="AA81" s="1379" t="s">
        <v>6526</v>
      </c>
      <c r="AB81" s="1583"/>
      <c r="AC81" s="1584" t="str">
        <f t="shared" si="34"/>
        <v>ok</v>
      </c>
      <c r="AD81" s="1583"/>
      <c r="AE81" s="1583"/>
      <c r="AF81" s="1583"/>
      <c r="AG81" s="1583"/>
      <c r="AH81" s="1583"/>
      <c r="AI81" s="1583"/>
      <c r="AJ81" s="1583"/>
      <c r="AK81" s="1583"/>
      <c r="AL81" s="1583"/>
      <c r="AM81" s="1583"/>
      <c r="AN81" s="1583"/>
      <c r="AO81" s="1583"/>
    </row>
    <row r="82" spans="1:41" x14ac:dyDescent="0.6">
      <c r="A82" s="1432">
        <v>77</v>
      </c>
      <c r="B82" s="1575" t="s">
        <v>8375</v>
      </c>
      <c r="C82" s="1576" t="s">
        <v>8296</v>
      </c>
      <c r="D82" s="1577">
        <v>10</v>
      </c>
      <c r="E82" s="1578">
        <f t="shared" si="18"/>
        <v>330</v>
      </c>
      <c r="F82" s="1579">
        <v>20</v>
      </c>
      <c r="G82" s="1485">
        <f t="shared" si="19"/>
        <v>660</v>
      </c>
      <c r="H82" s="1485">
        <v>120</v>
      </c>
      <c r="I82" s="1485">
        <f t="shared" si="20"/>
        <v>3960</v>
      </c>
      <c r="J82" s="1582">
        <v>110</v>
      </c>
      <c r="K82" s="1582">
        <v>10</v>
      </c>
      <c r="L82" s="1525">
        <f t="shared" si="21"/>
        <v>330</v>
      </c>
      <c r="M82" s="1485">
        <f t="shared" si="22"/>
        <v>100</v>
      </c>
      <c r="N82" s="1591">
        <v>33</v>
      </c>
      <c r="O82" s="1582">
        <f t="shared" si="23"/>
        <v>3300</v>
      </c>
      <c r="P82" s="1485">
        <f t="shared" si="24"/>
        <v>25</v>
      </c>
      <c r="Q82" s="1485">
        <f t="shared" si="25"/>
        <v>825</v>
      </c>
      <c r="R82" s="1485">
        <f t="shared" si="26"/>
        <v>25</v>
      </c>
      <c r="S82" s="1525">
        <f t="shared" si="27"/>
        <v>825</v>
      </c>
      <c r="T82" s="1485">
        <f t="shared" si="28"/>
        <v>25</v>
      </c>
      <c r="U82" s="1525">
        <f t="shared" si="29"/>
        <v>825</v>
      </c>
      <c r="V82" s="1485">
        <f t="shared" si="30"/>
        <v>25</v>
      </c>
      <c r="W82" s="1525">
        <f t="shared" si="31"/>
        <v>825</v>
      </c>
      <c r="X82" s="1485">
        <f t="shared" si="32"/>
        <v>100</v>
      </c>
      <c r="Y82" s="1485">
        <f t="shared" si="33"/>
        <v>3300</v>
      </c>
      <c r="Z82" s="1527" t="s">
        <v>7799</v>
      </c>
      <c r="AA82" s="1379" t="s">
        <v>6526</v>
      </c>
      <c r="AB82" s="1583"/>
      <c r="AC82" s="1584" t="str">
        <f t="shared" si="34"/>
        <v>ok</v>
      </c>
      <c r="AD82" s="1583"/>
      <c r="AE82" s="1583"/>
      <c r="AF82" s="1583"/>
      <c r="AG82" s="1583"/>
      <c r="AH82" s="1583"/>
      <c r="AI82" s="1583"/>
      <c r="AJ82" s="1583"/>
      <c r="AK82" s="1583"/>
      <c r="AL82" s="1583"/>
      <c r="AM82" s="1583"/>
      <c r="AN82" s="1583"/>
      <c r="AO82" s="1583"/>
    </row>
    <row r="83" spans="1:41" x14ac:dyDescent="0.6">
      <c r="A83" s="1432">
        <v>78</v>
      </c>
      <c r="B83" s="1575" t="s">
        <v>8376</v>
      </c>
      <c r="C83" s="1576" t="s">
        <v>8296</v>
      </c>
      <c r="D83" s="1577">
        <v>18</v>
      </c>
      <c r="E83" s="1578">
        <f t="shared" si="18"/>
        <v>531</v>
      </c>
      <c r="F83" s="1579">
        <v>20</v>
      </c>
      <c r="G83" s="1485">
        <f t="shared" si="19"/>
        <v>590</v>
      </c>
      <c r="H83" s="1485">
        <v>0</v>
      </c>
      <c r="I83" s="1485">
        <f t="shared" si="20"/>
        <v>0</v>
      </c>
      <c r="J83" s="1582">
        <v>20</v>
      </c>
      <c r="K83" s="1582">
        <v>10</v>
      </c>
      <c r="L83" s="1525">
        <f t="shared" si="21"/>
        <v>295</v>
      </c>
      <c r="M83" s="1485">
        <f t="shared" si="22"/>
        <v>10</v>
      </c>
      <c r="N83" s="1591">
        <v>29.5</v>
      </c>
      <c r="O83" s="1582">
        <f t="shared" si="23"/>
        <v>295</v>
      </c>
      <c r="P83" s="1485">
        <v>2</v>
      </c>
      <c r="Q83" s="1485">
        <f t="shared" si="25"/>
        <v>59</v>
      </c>
      <c r="R83" s="1485">
        <v>2</v>
      </c>
      <c r="S83" s="1525">
        <f t="shared" si="27"/>
        <v>59</v>
      </c>
      <c r="T83" s="1485">
        <v>3</v>
      </c>
      <c r="U83" s="1525">
        <f t="shared" si="29"/>
        <v>88.5</v>
      </c>
      <c r="V83" s="1485">
        <v>3</v>
      </c>
      <c r="W83" s="1525">
        <f t="shared" si="31"/>
        <v>88.5</v>
      </c>
      <c r="X83" s="1485">
        <f t="shared" si="32"/>
        <v>10</v>
      </c>
      <c r="Y83" s="1485">
        <f t="shared" si="33"/>
        <v>295</v>
      </c>
      <c r="Z83" s="1527" t="s">
        <v>7799</v>
      </c>
      <c r="AA83" s="1379" t="s">
        <v>6526</v>
      </c>
      <c r="AB83" s="1583"/>
      <c r="AC83" s="1584" t="str">
        <f t="shared" si="34"/>
        <v>ok</v>
      </c>
      <c r="AD83" s="1583"/>
      <c r="AE83" s="1583"/>
      <c r="AF83" s="1583"/>
      <c r="AG83" s="1583"/>
      <c r="AH83" s="1583"/>
      <c r="AI83" s="1583"/>
      <c r="AJ83" s="1583"/>
      <c r="AK83" s="1583"/>
      <c r="AL83" s="1583"/>
      <c r="AM83" s="1583"/>
      <c r="AN83" s="1583"/>
      <c r="AO83" s="1583"/>
    </row>
    <row r="84" spans="1:41" x14ac:dyDescent="0.6">
      <c r="A84" s="1432">
        <v>79</v>
      </c>
      <c r="B84" s="1575" t="s">
        <v>8377</v>
      </c>
      <c r="C84" s="1576" t="s">
        <v>8296</v>
      </c>
      <c r="D84" s="1577">
        <v>174</v>
      </c>
      <c r="E84" s="1578">
        <f t="shared" si="18"/>
        <v>5185.2</v>
      </c>
      <c r="F84" s="1579">
        <v>190</v>
      </c>
      <c r="G84" s="1485">
        <f t="shared" si="19"/>
        <v>5662</v>
      </c>
      <c r="H84" s="1485">
        <v>250</v>
      </c>
      <c r="I84" s="1485">
        <f t="shared" si="20"/>
        <v>7450</v>
      </c>
      <c r="J84" s="1582">
        <v>250</v>
      </c>
      <c r="K84" s="1582">
        <v>10</v>
      </c>
      <c r="L84" s="1525">
        <f t="shared" si="21"/>
        <v>298</v>
      </c>
      <c r="M84" s="1485">
        <f t="shared" si="22"/>
        <v>240</v>
      </c>
      <c r="N84" s="1591">
        <v>29.8</v>
      </c>
      <c r="O84" s="1582">
        <f t="shared" si="23"/>
        <v>7152</v>
      </c>
      <c r="P84" s="1485">
        <f t="shared" si="24"/>
        <v>60</v>
      </c>
      <c r="Q84" s="1485">
        <f t="shared" si="25"/>
        <v>1788</v>
      </c>
      <c r="R84" s="1485">
        <f t="shared" si="26"/>
        <v>60</v>
      </c>
      <c r="S84" s="1525">
        <f t="shared" si="27"/>
        <v>1788</v>
      </c>
      <c r="T84" s="1485">
        <f t="shared" si="28"/>
        <v>60</v>
      </c>
      <c r="U84" s="1525">
        <f t="shared" si="29"/>
        <v>1788</v>
      </c>
      <c r="V84" s="1485">
        <f t="shared" si="30"/>
        <v>60</v>
      </c>
      <c r="W84" s="1525">
        <f t="shared" si="31"/>
        <v>1788</v>
      </c>
      <c r="X84" s="1485">
        <f t="shared" si="32"/>
        <v>240</v>
      </c>
      <c r="Y84" s="1485">
        <f t="shared" si="33"/>
        <v>7152</v>
      </c>
      <c r="Z84" s="1527" t="s">
        <v>7799</v>
      </c>
      <c r="AA84" s="1379" t="s">
        <v>6526</v>
      </c>
      <c r="AB84" s="1583"/>
      <c r="AC84" s="1584" t="str">
        <f t="shared" si="34"/>
        <v>ok</v>
      </c>
      <c r="AD84" s="1583"/>
      <c r="AE84" s="1583"/>
      <c r="AF84" s="1583"/>
      <c r="AG84" s="1583"/>
      <c r="AH84" s="1583"/>
      <c r="AI84" s="1583"/>
      <c r="AJ84" s="1583"/>
      <c r="AK84" s="1583"/>
      <c r="AL84" s="1583"/>
      <c r="AM84" s="1583"/>
      <c r="AN84" s="1583"/>
      <c r="AO84" s="1583"/>
    </row>
    <row r="85" spans="1:41" x14ac:dyDescent="0.6">
      <c r="A85" s="1432">
        <v>80</v>
      </c>
      <c r="B85" s="1575" t="s">
        <v>8378</v>
      </c>
      <c r="C85" s="1576" t="s">
        <v>8296</v>
      </c>
      <c r="D85" s="1577">
        <v>380</v>
      </c>
      <c r="E85" s="1578">
        <f t="shared" si="18"/>
        <v>10032</v>
      </c>
      <c r="F85" s="1579">
        <v>500</v>
      </c>
      <c r="G85" s="1485">
        <f t="shared" si="19"/>
        <v>13200</v>
      </c>
      <c r="H85" s="1485">
        <v>100</v>
      </c>
      <c r="I85" s="1485">
        <f t="shared" si="20"/>
        <v>2640</v>
      </c>
      <c r="J85" s="1582">
        <v>500</v>
      </c>
      <c r="K85" s="1582">
        <v>100</v>
      </c>
      <c r="L85" s="1525">
        <f t="shared" si="21"/>
        <v>2640</v>
      </c>
      <c r="M85" s="1485">
        <f t="shared" si="22"/>
        <v>400</v>
      </c>
      <c r="N85" s="1591">
        <v>26.4</v>
      </c>
      <c r="O85" s="1582">
        <f t="shared" si="23"/>
        <v>10560</v>
      </c>
      <c r="P85" s="1485">
        <f t="shared" si="24"/>
        <v>100</v>
      </c>
      <c r="Q85" s="1485">
        <f t="shared" si="25"/>
        <v>2640</v>
      </c>
      <c r="R85" s="1485">
        <f t="shared" si="26"/>
        <v>100</v>
      </c>
      <c r="S85" s="1525">
        <f t="shared" si="27"/>
        <v>2640</v>
      </c>
      <c r="T85" s="1485">
        <f t="shared" si="28"/>
        <v>100</v>
      </c>
      <c r="U85" s="1525">
        <f t="shared" si="29"/>
        <v>2640</v>
      </c>
      <c r="V85" s="1485">
        <f t="shared" si="30"/>
        <v>100</v>
      </c>
      <c r="W85" s="1525">
        <f t="shared" si="31"/>
        <v>2640</v>
      </c>
      <c r="X85" s="1485">
        <f t="shared" si="32"/>
        <v>400</v>
      </c>
      <c r="Y85" s="1485">
        <f t="shared" si="33"/>
        <v>10560</v>
      </c>
      <c r="Z85" s="1527" t="s">
        <v>7799</v>
      </c>
      <c r="AA85" s="1379" t="s">
        <v>6526</v>
      </c>
      <c r="AB85" s="1583"/>
      <c r="AC85" s="1584" t="str">
        <f t="shared" si="34"/>
        <v>ok</v>
      </c>
      <c r="AD85" s="1583"/>
      <c r="AE85" s="1583"/>
      <c r="AF85" s="1583"/>
      <c r="AG85" s="1583"/>
      <c r="AH85" s="1583"/>
      <c r="AI85" s="1583"/>
      <c r="AJ85" s="1583"/>
      <c r="AK85" s="1583"/>
      <c r="AL85" s="1583"/>
      <c r="AM85" s="1583"/>
      <c r="AN85" s="1583"/>
      <c r="AO85" s="1583"/>
    </row>
    <row r="86" spans="1:41" x14ac:dyDescent="0.6">
      <c r="A86" s="1432">
        <v>81</v>
      </c>
      <c r="B86" s="1575" t="s">
        <v>8379</v>
      </c>
      <c r="C86" s="1576" t="s">
        <v>8296</v>
      </c>
      <c r="D86" s="1577">
        <v>0</v>
      </c>
      <c r="E86" s="1578">
        <f t="shared" si="18"/>
        <v>0</v>
      </c>
      <c r="F86" s="1579">
        <v>50</v>
      </c>
      <c r="G86" s="1485">
        <f t="shared" si="19"/>
        <v>1350</v>
      </c>
      <c r="H86" s="1485">
        <v>30</v>
      </c>
      <c r="I86" s="1485">
        <f t="shared" si="20"/>
        <v>810</v>
      </c>
      <c r="J86" s="1582">
        <v>50</v>
      </c>
      <c r="K86" s="1582">
        <v>10</v>
      </c>
      <c r="L86" s="1525">
        <f t="shared" si="21"/>
        <v>270</v>
      </c>
      <c r="M86" s="1485">
        <f t="shared" si="22"/>
        <v>40</v>
      </c>
      <c r="N86" s="1591">
        <v>27</v>
      </c>
      <c r="O86" s="1582">
        <f t="shared" si="23"/>
        <v>1080</v>
      </c>
      <c r="P86" s="1485">
        <f t="shared" si="24"/>
        <v>10</v>
      </c>
      <c r="Q86" s="1485">
        <f t="shared" si="25"/>
        <v>270</v>
      </c>
      <c r="R86" s="1485">
        <f t="shared" si="26"/>
        <v>10</v>
      </c>
      <c r="S86" s="1525">
        <f t="shared" si="27"/>
        <v>270</v>
      </c>
      <c r="T86" s="1485">
        <f t="shared" si="28"/>
        <v>10</v>
      </c>
      <c r="U86" s="1525">
        <f t="shared" si="29"/>
        <v>270</v>
      </c>
      <c r="V86" s="1485">
        <f t="shared" si="30"/>
        <v>10</v>
      </c>
      <c r="W86" s="1525">
        <f t="shared" si="31"/>
        <v>270</v>
      </c>
      <c r="X86" s="1485">
        <f t="shared" si="32"/>
        <v>40</v>
      </c>
      <c r="Y86" s="1485">
        <f t="shared" si="33"/>
        <v>1080</v>
      </c>
      <c r="Z86" s="1527" t="s">
        <v>7799</v>
      </c>
      <c r="AA86" s="1379" t="s">
        <v>6526</v>
      </c>
      <c r="AB86" s="1583"/>
      <c r="AC86" s="1584" t="str">
        <f t="shared" si="34"/>
        <v>ok</v>
      </c>
      <c r="AD86" s="1583"/>
      <c r="AE86" s="1583"/>
      <c r="AF86" s="1583"/>
      <c r="AG86" s="1583"/>
      <c r="AH86" s="1583"/>
      <c r="AI86" s="1583"/>
      <c r="AJ86" s="1583"/>
      <c r="AK86" s="1583"/>
      <c r="AL86" s="1583"/>
      <c r="AM86" s="1583"/>
      <c r="AN86" s="1583"/>
      <c r="AO86" s="1583"/>
    </row>
    <row r="87" spans="1:41" x14ac:dyDescent="0.6">
      <c r="A87" s="1432">
        <v>82</v>
      </c>
      <c r="B87" s="1575" t="s">
        <v>8380</v>
      </c>
      <c r="C87" s="1576" t="s">
        <v>8296</v>
      </c>
      <c r="D87" s="1577">
        <v>0</v>
      </c>
      <c r="E87" s="1578">
        <f t="shared" si="18"/>
        <v>0</v>
      </c>
      <c r="F87" s="1579">
        <v>50</v>
      </c>
      <c r="G87" s="1485">
        <f t="shared" si="19"/>
        <v>1350</v>
      </c>
      <c r="H87" s="1485">
        <v>20</v>
      </c>
      <c r="I87" s="1485">
        <f t="shared" si="20"/>
        <v>540</v>
      </c>
      <c r="J87" s="1582">
        <v>50</v>
      </c>
      <c r="K87" s="1582">
        <v>10</v>
      </c>
      <c r="L87" s="1525">
        <f t="shared" si="21"/>
        <v>270</v>
      </c>
      <c r="M87" s="1485">
        <f t="shared" si="22"/>
        <v>40</v>
      </c>
      <c r="N87" s="1591">
        <v>27</v>
      </c>
      <c r="O87" s="1582">
        <f t="shared" si="23"/>
        <v>1080</v>
      </c>
      <c r="P87" s="1485">
        <f t="shared" si="24"/>
        <v>10</v>
      </c>
      <c r="Q87" s="1485">
        <f t="shared" si="25"/>
        <v>270</v>
      </c>
      <c r="R87" s="1485">
        <f t="shared" si="26"/>
        <v>10</v>
      </c>
      <c r="S87" s="1525">
        <f t="shared" si="27"/>
        <v>270</v>
      </c>
      <c r="T87" s="1485">
        <f t="shared" si="28"/>
        <v>10</v>
      </c>
      <c r="U87" s="1525">
        <f t="shared" si="29"/>
        <v>270</v>
      </c>
      <c r="V87" s="1485">
        <f t="shared" si="30"/>
        <v>10</v>
      </c>
      <c r="W87" s="1525">
        <f t="shared" si="31"/>
        <v>270</v>
      </c>
      <c r="X87" s="1485">
        <f t="shared" si="32"/>
        <v>40</v>
      </c>
      <c r="Y87" s="1485">
        <f t="shared" si="33"/>
        <v>1080</v>
      </c>
      <c r="Z87" s="1527" t="s">
        <v>7799</v>
      </c>
      <c r="AA87" s="1379" t="s">
        <v>6526</v>
      </c>
      <c r="AB87" s="1583"/>
      <c r="AC87" s="1584" t="str">
        <f t="shared" si="34"/>
        <v>ok</v>
      </c>
      <c r="AD87" s="1583"/>
      <c r="AE87" s="1583"/>
      <c r="AF87" s="1583"/>
      <c r="AG87" s="1583"/>
      <c r="AH87" s="1583"/>
      <c r="AI87" s="1583"/>
      <c r="AJ87" s="1583"/>
      <c r="AK87" s="1583"/>
      <c r="AL87" s="1583"/>
      <c r="AM87" s="1583"/>
      <c r="AN87" s="1583"/>
      <c r="AO87" s="1583"/>
    </row>
    <row r="88" spans="1:41" x14ac:dyDescent="0.6">
      <c r="A88" s="1432">
        <v>83</v>
      </c>
      <c r="B88" s="1575" t="s">
        <v>8381</v>
      </c>
      <c r="C88" s="1576" t="s">
        <v>8296</v>
      </c>
      <c r="D88" s="1577">
        <v>210</v>
      </c>
      <c r="E88" s="1578">
        <f t="shared" si="18"/>
        <v>6258</v>
      </c>
      <c r="F88" s="1579">
        <v>400</v>
      </c>
      <c r="G88" s="1485">
        <f t="shared" si="19"/>
        <v>11920</v>
      </c>
      <c r="H88" s="1485">
        <v>50</v>
      </c>
      <c r="I88" s="1485">
        <f t="shared" si="20"/>
        <v>1490</v>
      </c>
      <c r="J88" s="1582">
        <v>450</v>
      </c>
      <c r="K88" s="1582">
        <v>50</v>
      </c>
      <c r="L88" s="1525">
        <f t="shared" si="21"/>
        <v>1490</v>
      </c>
      <c r="M88" s="1485">
        <f t="shared" si="22"/>
        <v>400</v>
      </c>
      <c r="N88" s="1591">
        <v>29.8</v>
      </c>
      <c r="O88" s="1582">
        <f t="shared" si="23"/>
        <v>11920</v>
      </c>
      <c r="P88" s="1485">
        <f t="shared" si="24"/>
        <v>100</v>
      </c>
      <c r="Q88" s="1485">
        <f t="shared" si="25"/>
        <v>2980</v>
      </c>
      <c r="R88" s="1485">
        <f t="shared" si="26"/>
        <v>100</v>
      </c>
      <c r="S88" s="1525">
        <f t="shared" si="27"/>
        <v>2980</v>
      </c>
      <c r="T88" s="1485">
        <f t="shared" si="28"/>
        <v>100</v>
      </c>
      <c r="U88" s="1525">
        <f t="shared" si="29"/>
        <v>2980</v>
      </c>
      <c r="V88" s="1485">
        <f t="shared" si="30"/>
        <v>100</v>
      </c>
      <c r="W88" s="1525">
        <f t="shared" si="31"/>
        <v>2980</v>
      </c>
      <c r="X88" s="1485">
        <f t="shared" si="32"/>
        <v>400</v>
      </c>
      <c r="Y88" s="1485">
        <f t="shared" si="33"/>
        <v>11920</v>
      </c>
      <c r="Z88" s="1527" t="s">
        <v>7799</v>
      </c>
      <c r="AA88" s="1379" t="s">
        <v>6526</v>
      </c>
      <c r="AB88" s="1583"/>
      <c r="AC88" s="1584" t="str">
        <f t="shared" si="34"/>
        <v>ok</v>
      </c>
      <c r="AD88" s="1583"/>
      <c r="AE88" s="1583"/>
      <c r="AF88" s="1583"/>
      <c r="AG88" s="1583"/>
      <c r="AH88" s="1583"/>
      <c r="AI88" s="1583"/>
      <c r="AJ88" s="1583"/>
      <c r="AK88" s="1583"/>
      <c r="AL88" s="1583"/>
      <c r="AM88" s="1583"/>
      <c r="AN88" s="1583"/>
      <c r="AO88" s="1583"/>
    </row>
    <row r="89" spans="1:41" x14ac:dyDescent="0.6">
      <c r="A89" s="1432">
        <v>84</v>
      </c>
      <c r="B89" s="1575" t="s">
        <v>8382</v>
      </c>
      <c r="C89" s="1576" t="s">
        <v>8296</v>
      </c>
      <c r="D89" s="1577">
        <v>160</v>
      </c>
      <c r="E89" s="1578">
        <f t="shared" si="18"/>
        <v>2176</v>
      </c>
      <c r="F89" s="1579">
        <v>200</v>
      </c>
      <c r="G89" s="1485">
        <f t="shared" si="19"/>
        <v>2720</v>
      </c>
      <c r="H89" s="1485">
        <v>140</v>
      </c>
      <c r="I89" s="1485">
        <f t="shared" si="20"/>
        <v>1904</v>
      </c>
      <c r="J89" s="1582">
        <v>250</v>
      </c>
      <c r="K89" s="1582">
        <v>50</v>
      </c>
      <c r="L89" s="1525">
        <f t="shared" si="21"/>
        <v>680</v>
      </c>
      <c r="M89" s="1485">
        <f t="shared" si="22"/>
        <v>200</v>
      </c>
      <c r="N89" s="1591">
        <v>13.6</v>
      </c>
      <c r="O89" s="1582">
        <f t="shared" si="23"/>
        <v>2720</v>
      </c>
      <c r="P89" s="1485">
        <f t="shared" si="24"/>
        <v>50</v>
      </c>
      <c r="Q89" s="1485">
        <f t="shared" si="25"/>
        <v>680</v>
      </c>
      <c r="R89" s="1485">
        <f t="shared" si="26"/>
        <v>50</v>
      </c>
      <c r="S89" s="1525">
        <f t="shared" si="27"/>
        <v>680</v>
      </c>
      <c r="T89" s="1485">
        <f t="shared" si="28"/>
        <v>50</v>
      </c>
      <c r="U89" s="1525">
        <f t="shared" si="29"/>
        <v>680</v>
      </c>
      <c r="V89" s="1485">
        <f t="shared" si="30"/>
        <v>50</v>
      </c>
      <c r="W89" s="1525">
        <f t="shared" si="31"/>
        <v>680</v>
      </c>
      <c r="X89" s="1485">
        <f t="shared" si="32"/>
        <v>200</v>
      </c>
      <c r="Y89" s="1485">
        <f t="shared" si="33"/>
        <v>2720</v>
      </c>
      <c r="Z89" s="1527" t="s">
        <v>7799</v>
      </c>
      <c r="AA89" s="1379" t="s">
        <v>6526</v>
      </c>
      <c r="AB89" s="1583"/>
      <c r="AC89" s="1584" t="str">
        <f t="shared" si="34"/>
        <v>ok</v>
      </c>
      <c r="AD89" s="1583"/>
      <c r="AE89" s="1583"/>
      <c r="AF89" s="1583"/>
      <c r="AG89" s="1583"/>
      <c r="AH89" s="1583"/>
      <c r="AI89" s="1583"/>
      <c r="AJ89" s="1583"/>
      <c r="AK89" s="1583"/>
      <c r="AL89" s="1583"/>
      <c r="AM89" s="1583"/>
      <c r="AN89" s="1583"/>
      <c r="AO89" s="1583"/>
    </row>
    <row r="90" spans="1:41" x14ac:dyDescent="0.6">
      <c r="A90" s="1432">
        <v>85</v>
      </c>
      <c r="B90" s="1575" t="s">
        <v>8383</v>
      </c>
      <c r="C90" s="1576" t="s">
        <v>8296</v>
      </c>
      <c r="D90" s="1577">
        <v>20</v>
      </c>
      <c r="E90" s="1578">
        <f t="shared" si="18"/>
        <v>528</v>
      </c>
      <c r="F90" s="1579">
        <v>30</v>
      </c>
      <c r="G90" s="1485">
        <f t="shared" si="19"/>
        <v>792</v>
      </c>
      <c r="H90" s="1485">
        <v>50</v>
      </c>
      <c r="I90" s="1485">
        <f t="shared" si="20"/>
        <v>1320</v>
      </c>
      <c r="J90" s="1582">
        <v>40</v>
      </c>
      <c r="K90" s="1582">
        <v>10</v>
      </c>
      <c r="L90" s="1525">
        <f t="shared" si="21"/>
        <v>264</v>
      </c>
      <c r="M90" s="1485">
        <f t="shared" si="22"/>
        <v>30</v>
      </c>
      <c r="N90" s="1591">
        <v>26.4</v>
      </c>
      <c r="O90" s="1582">
        <f t="shared" si="23"/>
        <v>792</v>
      </c>
      <c r="P90" s="1485">
        <v>7</v>
      </c>
      <c r="Q90" s="1485">
        <f t="shared" si="25"/>
        <v>184.79999999999998</v>
      </c>
      <c r="R90" s="1485">
        <v>8</v>
      </c>
      <c r="S90" s="1525">
        <f t="shared" si="27"/>
        <v>211.2</v>
      </c>
      <c r="T90" s="1485">
        <v>7</v>
      </c>
      <c r="U90" s="1525">
        <f t="shared" si="29"/>
        <v>184.79999999999998</v>
      </c>
      <c r="V90" s="1485">
        <v>8</v>
      </c>
      <c r="W90" s="1525">
        <f t="shared" si="31"/>
        <v>211.2</v>
      </c>
      <c r="X90" s="1485">
        <f t="shared" si="32"/>
        <v>30</v>
      </c>
      <c r="Y90" s="1485">
        <f t="shared" si="33"/>
        <v>792</v>
      </c>
      <c r="Z90" s="1527" t="s">
        <v>7799</v>
      </c>
      <c r="AA90" s="1379" t="s">
        <v>6526</v>
      </c>
      <c r="AB90" s="1583"/>
      <c r="AC90" s="1584" t="str">
        <f t="shared" si="34"/>
        <v>ok</v>
      </c>
      <c r="AD90" s="1583"/>
      <c r="AE90" s="1583"/>
      <c r="AF90" s="1583"/>
      <c r="AG90" s="1583"/>
      <c r="AH90" s="1583"/>
      <c r="AI90" s="1583"/>
      <c r="AJ90" s="1583"/>
      <c r="AK90" s="1583"/>
      <c r="AL90" s="1583"/>
      <c r="AM90" s="1583"/>
      <c r="AN90" s="1583"/>
      <c r="AO90" s="1583"/>
    </row>
    <row r="91" spans="1:41" x14ac:dyDescent="0.6">
      <c r="A91" s="1432">
        <v>86</v>
      </c>
      <c r="B91" s="1575" t="s">
        <v>8384</v>
      </c>
      <c r="C91" s="1576" t="s">
        <v>8296</v>
      </c>
      <c r="D91" s="1577">
        <f>38+36+24</f>
        <v>98</v>
      </c>
      <c r="E91" s="1578">
        <f t="shared" si="18"/>
        <v>2123.366</v>
      </c>
      <c r="F91" s="1579">
        <v>100</v>
      </c>
      <c r="G91" s="1485">
        <f t="shared" si="19"/>
        <v>2166.7000000000003</v>
      </c>
      <c r="H91" s="1485">
        <v>20</v>
      </c>
      <c r="I91" s="1485">
        <f t="shared" si="20"/>
        <v>433.34000000000003</v>
      </c>
      <c r="J91" s="1582">
        <v>100</v>
      </c>
      <c r="K91" s="1582">
        <v>10</v>
      </c>
      <c r="L91" s="1525">
        <f t="shared" si="21"/>
        <v>216.67000000000002</v>
      </c>
      <c r="M91" s="1485">
        <f t="shared" si="22"/>
        <v>90</v>
      </c>
      <c r="N91" s="1581">
        <v>21.667000000000002</v>
      </c>
      <c r="O91" s="1582">
        <f t="shared" si="23"/>
        <v>1950.0300000000002</v>
      </c>
      <c r="P91" s="1485">
        <v>22</v>
      </c>
      <c r="Q91" s="1485">
        <f t="shared" si="25"/>
        <v>476.67400000000004</v>
      </c>
      <c r="R91" s="1485">
        <v>23</v>
      </c>
      <c r="S91" s="1525">
        <f t="shared" si="27"/>
        <v>498.34100000000001</v>
      </c>
      <c r="T91" s="1485">
        <v>22</v>
      </c>
      <c r="U91" s="1525">
        <f t="shared" si="29"/>
        <v>476.67400000000004</v>
      </c>
      <c r="V91" s="1485">
        <v>23</v>
      </c>
      <c r="W91" s="1525">
        <f t="shared" si="31"/>
        <v>498.34100000000001</v>
      </c>
      <c r="X91" s="1485">
        <f t="shared" si="32"/>
        <v>90</v>
      </c>
      <c r="Y91" s="1485">
        <f t="shared" si="33"/>
        <v>1950.0300000000002</v>
      </c>
      <c r="Z91" s="1527" t="s">
        <v>7799</v>
      </c>
      <c r="AA91" s="1379" t="s">
        <v>6526</v>
      </c>
      <c r="AB91" s="1583"/>
      <c r="AC91" s="1584" t="str">
        <f t="shared" si="34"/>
        <v>ok</v>
      </c>
      <c r="AD91" s="1583"/>
      <c r="AE91" s="1583"/>
      <c r="AF91" s="1583"/>
      <c r="AG91" s="1583"/>
      <c r="AH91" s="1583"/>
      <c r="AI91" s="1583"/>
      <c r="AJ91" s="1583"/>
      <c r="AK91" s="1583"/>
      <c r="AL91" s="1583"/>
      <c r="AM91" s="1583"/>
      <c r="AN91" s="1583"/>
      <c r="AO91" s="1583"/>
    </row>
    <row r="92" spans="1:41" x14ac:dyDescent="0.6">
      <c r="A92" s="1432">
        <v>87</v>
      </c>
      <c r="B92" s="1575" t="s">
        <v>8385</v>
      </c>
      <c r="C92" s="1576" t="s">
        <v>8305</v>
      </c>
      <c r="D92" s="1577">
        <f>250+1068</f>
        <v>1318</v>
      </c>
      <c r="E92" s="1578">
        <f t="shared" si="18"/>
        <v>6985.4</v>
      </c>
      <c r="F92" s="1579">
        <v>2200</v>
      </c>
      <c r="G92" s="1485">
        <f t="shared" si="19"/>
        <v>11660</v>
      </c>
      <c r="H92" s="1485">
        <v>2500</v>
      </c>
      <c r="I92" s="1485">
        <f t="shared" si="20"/>
        <v>13250</v>
      </c>
      <c r="J92" s="1582">
        <v>2800</v>
      </c>
      <c r="K92" s="1582">
        <v>200</v>
      </c>
      <c r="L92" s="1525">
        <f t="shared" si="21"/>
        <v>1060</v>
      </c>
      <c r="M92" s="1485">
        <f t="shared" si="22"/>
        <v>2600</v>
      </c>
      <c r="N92" s="1581">
        <v>5.3</v>
      </c>
      <c r="O92" s="1582">
        <f t="shared" si="23"/>
        <v>13780</v>
      </c>
      <c r="P92" s="1485">
        <f t="shared" si="24"/>
        <v>650</v>
      </c>
      <c r="Q92" s="1485">
        <f t="shared" si="25"/>
        <v>3445</v>
      </c>
      <c r="R92" s="1485">
        <f t="shared" si="26"/>
        <v>650</v>
      </c>
      <c r="S92" s="1525">
        <f t="shared" si="27"/>
        <v>3445</v>
      </c>
      <c r="T92" s="1485">
        <f t="shared" si="28"/>
        <v>650</v>
      </c>
      <c r="U92" s="1525">
        <f t="shared" si="29"/>
        <v>3445</v>
      </c>
      <c r="V92" s="1485">
        <f t="shared" si="30"/>
        <v>650</v>
      </c>
      <c r="W92" s="1525">
        <f t="shared" si="31"/>
        <v>3445</v>
      </c>
      <c r="X92" s="1485">
        <f t="shared" si="32"/>
        <v>2600</v>
      </c>
      <c r="Y92" s="1485">
        <f t="shared" si="33"/>
        <v>13780</v>
      </c>
      <c r="Z92" s="1527" t="s">
        <v>7799</v>
      </c>
      <c r="AA92" s="1379" t="s">
        <v>6526</v>
      </c>
      <c r="AB92" s="1583"/>
      <c r="AC92" s="1584" t="str">
        <f t="shared" si="34"/>
        <v>ok</v>
      </c>
      <c r="AD92" s="1583"/>
      <c r="AE92" s="1583"/>
      <c r="AF92" s="1583"/>
      <c r="AG92" s="1583"/>
      <c r="AH92" s="1583"/>
      <c r="AI92" s="1583"/>
      <c r="AJ92" s="1583"/>
      <c r="AK92" s="1583"/>
      <c r="AL92" s="1583"/>
      <c r="AM92" s="1583"/>
      <c r="AN92" s="1583"/>
      <c r="AO92" s="1583"/>
    </row>
    <row r="93" spans="1:41" x14ac:dyDescent="0.6">
      <c r="A93" s="1432">
        <v>88</v>
      </c>
      <c r="B93" s="1575" t="s">
        <v>8386</v>
      </c>
      <c r="C93" s="1576" t="s">
        <v>8298</v>
      </c>
      <c r="D93" s="1590">
        <v>12650</v>
      </c>
      <c r="E93" s="1578">
        <f t="shared" si="18"/>
        <v>4680.5</v>
      </c>
      <c r="F93" s="1579">
        <v>12000</v>
      </c>
      <c r="G93" s="1485">
        <f t="shared" si="19"/>
        <v>4440</v>
      </c>
      <c r="H93" s="1485">
        <v>35000</v>
      </c>
      <c r="I93" s="1485">
        <f t="shared" si="20"/>
        <v>12950</v>
      </c>
      <c r="J93" s="1582">
        <v>45000</v>
      </c>
      <c r="K93" s="1582">
        <v>500</v>
      </c>
      <c r="L93" s="1525">
        <f t="shared" si="21"/>
        <v>185</v>
      </c>
      <c r="M93" s="1485">
        <f t="shared" si="22"/>
        <v>44500</v>
      </c>
      <c r="N93" s="1581">
        <v>0.37</v>
      </c>
      <c r="O93" s="1582">
        <f t="shared" si="23"/>
        <v>16465</v>
      </c>
      <c r="P93" s="1485">
        <f t="shared" si="24"/>
        <v>11125</v>
      </c>
      <c r="Q93" s="1485">
        <f t="shared" si="25"/>
        <v>4116.25</v>
      </c>
      <c r="R93" s="1485">
        <f t="shared" si="26"/>
        <v>11125</v>
      </c>
      <c r="S93" s="1525">
        <f t="shared" si="27"/>
        <v>4116.25</v>
      </c>
      <c r="T93" s="1485">
        <f t="shared" si="28"/>
        <v>11125</v>
      </c>
      <c r="U93" s="1525">
        <f t="shared" si="29"/>
        <v>4116.25</v>
      </c>
      <c r="V93" s="1485">
        <f t="shared" si="30"/>
        <v>11125</v>
      </c>
      <c r="W93" s="1525">
        <f t="shared" si="31"/>
        <v>4116.25</v>
      </c>
      <c r="X93" s="1485">
        <f t="shared" si="32"/>
        <v>44500</v>
      </c>
      <c r="Y93" s="1485">
        <f t="shared" si="33"/>
        <v>16465</v>
      </c>
      <c r="Z93" s="1527" t="s">
        <v>7799</v>
      </c>
      <c r="AA93" s="1379" t="s">
        <v>6526</v>
      </c>
      <c r="AB93" s="1583"/>
      <c r="AC93" s="1584" t="str">
        <f t="shared" si="34"/>
        <v>ok</v>
      </c>
      <c r="AD93" s="1583"/>
      <c r="AE93" s="1583"/>
      <c r="AF93" s="1583"/>
      <c r="AG93" s="1583"/>
      <c r="AH93" s="1583"/>
      <c r="AI93" s="1583"/>
      <c r="AJ93" s="1583"/>
      <c r="AK93" s="1583"/>
      <c r="AL93" s="1583"/>
      <c r="AM93" s="1583"/>
      <c r="AN93" s="1583"/>
      <c r="AO93" s="1583"/>
    </row>
    <row r="94" spans="1:41" x14ac:dyDescent="0.6">
      <c r="A94" s="1432">
        <v>89</v>
      </c>
      <c r="B94" s="1575" t="s">
        <v>8387</v>
      </c>
      <c r="C94" s="1576" t="s">
        <v>8296</v>
      </c>
      <c r="D94" s="1578">
        <v>122</v>
      </c>
      <c r="E94" s="1578">
        <f t="shared" si="18"/>
        <v>2074</v>
      </c>
      <c r="F94" s="1579">
        <v>160</v>
      </c>
      <c r="G94" s="1485">
        <f t="shared" si="19"/>
        <v>2720</v>
      </c>
      <c r="H94" s="1485">
        <v>140</v>
      </c>
      <c r="I94" s="1485">
        <f t="shared" si="20"/>
        <v>2380</v>
      </c>
      <c r="J94" s="1582">
        <v>200</v>
      </c>
      <c r="K94" s="1582">
        <v>20</v>
      </c>
      <c r="L94" s="1525">
        <f t="shared" si="21"/>
        <v>340</v>
      </c>
      <c r="M94" s="1485">
        <f t="shared" si="22"/>
        <v>180</v>
      </c>
      <c r="N94" s="1581">
        <v>17</v>
      </c>
      <c r="O94" s="1582">
        <f t="shared" si="23"/>
        <v>3060</v>
      </c>
      <c r="P94" s="1485">
        <f t="shared" si="24"/>
        <v>45</v>
      </c>
      <c r="Q94" s="1485">
        <f t="shared" si="25"/>
        <v>765</v>
      </c>
      <c r="R94" s="1485">
        <f t="shared" si="26"/>
        <v>45</v>
      </c>
      <c r="S94" s="1525">
        <f t="shared" si="27"/>
        <v>765</v>
      </c>
      <c r="T94" s="1485">
        <f t="shared" si="28"/>
        <v>45</v>
      </c>
      <c r="U94" s="1525">
        <f t="shared" si="29"/>
        <v>765</v>
      </c>
      <c r="V94" s="1485">
        <f t="shared" si="30"/>
        <v>45</v>
      </c>
      <c r="W94" s="1525">
        <f t="shared" si="31"/>
        <v>765</v>
      </c>
      <c r="X94" s="1485">
        <f t="shared" si="32"/>
        <v>180</v>
      </c>
      <c r="Y94" s="1485">
        <f t="shared" si="33"/>
        <v>3060</v>
      </c>
      <c r="Z94" s="1527" t="s">
        <v>7799</v>
      </c>
      <c r="AA94" s="1379" t="s">
        <v>6526</v>
      </c>
      <c r="AB94" s="1583"/>
      <c r="AC94" s="1584" t="str">
        <f t="shared" si="34"/>
        <v>ok</v>
      </c>
      <c r="AD94" s="1583"/>
      <c r="AE94" s="1583"/>
      <c r="AF94" s="1583"/>
      <c r="AG94" s="1583"/>
      <c r="AH94" s="1583"/>
      <c r="AI94" s="1583"/>
      <c r="AJ94" s="1583"/>
      <c r="AK94" s="1583"/>
      <c r="AL94" s="1583"/>
      <c r="AM94" s="1583"/>
      <c r="AN94" s="1583"/>
      <c r="AO94" s="1583"/>
    </row>
    <row r="95" spans="1:41" x14ac:dyDescent="0.6">
      <c r="A95" s="1432">
        <v>90</v>
      </c>
      <c r="B95" s="1575" t="s">
        <v>8388</v>
      </c>
      <c r="C95" s="1576" t="s">
        <v>8305</v>
      </c>
      <c r="D95" s="1578">
        <v>160</v>
      </c>
      <c r="E95" s="1578">
        <f t="shared" si="18"/>
        <v>544</v>
      </c>
      <c r="F95" s="1579">
        <v>250</v>
      </c>
      <c r="G95" s="1485">
        <f t="shared" si="19"/>
        <v>850</v>
      </c>
      <c r="H95" s="1485">
        <v>200</v>
      </c>
      <c r="I95" s="1485">
        <f t="shared" si="20"/>
        <v>680</v>
      </c>
      <c r="J95" s="1582">
        <v>300</v>
      </c>
      <c r="K95" s="1582">
        <v>50</v>
      </c>
      <c r="L95" s="1525">
        <f t="shared" si="21"/>
        <v>170</v>
      </c>
      <c r="M95" s="1485">
        <f t="shared" si="22"/>
        <v>250</v>
      </c>
      <c r="N95" s="1581">
        <v>3.4</v>
      </c>
      <c r="O95" s="1582">
        <f t="shared" si="23"/>
        <v>850</v>
      </c>
      <c r="P95" s="1485">
        <v>62</v>
      </c>
      <c r="Q95" s="1485">
        <f t="shared" si="25"/>
        <v>210.79999999999998</v>
      </c>
      <c r="R95" s="1485">
        <v>63</v>
      </c>
      <c r="S95" s="1525">
        <f t="shared" si="27"/>
        <v>214.2</v>
      </c>
      <c r="T95" s="1485">
        <v>62</v>
      </c>
      <c r="U95" s="1525">
        <f t="shared" si="29"/>
        <v>210.79999999999998</v>
      </c>
      <c r="V95" s="1485">
        <v>63</v>
      </c>
      <c r="W95" s="1525">
        <f t="shared" si="31"/>
        <v>214.2</v>
      </c>
      <c r="X95" s="1485">
        <f t="shared" si="32"/>
        <v>250</v>
      </c>
      <c r="Y95" s="1485">
        <f t="shared" si="33"/>
        <v>850</v>
      </c>
      <c r="Z95" s="1527" t="s">
        <v>7799</v>
      </c>
      <c r="AA95" s="1379" t="s">
        <v>6526</v>
      </c>
      <c r="AB95" s="1583"/>
      <c r="AC95" s="1584" t="str">
        <f t="shared" si="34"/>
        <v>ok</v>
      </c>
      <c r="AD95" s="1583"/>
      <c r="AE95" s="1583"/>
      <c r="AF95" s="1583"/>
      <c r="AG95" s="1583"/>
      <c r="AH95" s="1583"/>
      <c r="AI95" s="1583"/>
      <c r="AJ95" s="1583"/>
      <c r="AK95" s="1583"/>
      <c r="AL95" s="1583"/>
      <c r="AM95" s="1583"/>
      <c r="AN95" s="1583"/>
      <c r="AO95" s="1583"/>
    </row>
    <row r="96" spans="1:41" x14ac:dyDescent="0.6">
      <c r="A96" s="1432">
        <v>91</v>
      </c>
      <c r="B96" s="1575" t="s">
        <v>8389</v>
      </c>
      <c r="C96" s="1576" t="s">
        <v>8298</v>
      </c>
      <c r="D96" s="1578">
        <v>6000</v>
      </c>
      <c r="E96" s="1578">
        <f t="shared" si="18"/>
        <v>606</v>
      </c>
      <c r="F96" s="1579">
        <v>6000</v>
      </c>
      <c r="G96" s="1485">
        <f t="shared" si="19"/>
        <v>606</v>
      </c>
      <c r="H96" s="1485">
        <v>-3500</v>
      </c>
      <c r="I96" s="1485">
        <f t="shared" si="20"/>
        <v>-353.5</v>
      </c>
      <c r="J96" s="1582">
        <v>6500</v>
      </c>
      <c r="K96" s="1582">
        <v>500</v>
      </c>
      <c r="L96" s="1525">
        <f t="shared" si="21"/>
        <v>50.5</v>
      </c>
      <c r="M96" s="1485">
        <f t="shared" si="22"/>
        <v>6000</v>
      </c>
      <c r="N96" s="1581">
        <v>0.10100000000000001</v>
      </c>
      <c r="O96" s="1582">
        <f t="shared" si="23"/>
        <v>606</v>
      </c>
      <c r="P96" s="1485">
        <f t="shared" si="24"/>
        <v>1500</v>
      </c>
      <c r="Q96" s="1485">
        <v>500</v>
      </c>
      <c r="R96" s="1485">
        <f t="shared" si="26"/>
        <v>1500</v>
      </c>
      <c r="S96" s="1525">
        <v>0</v>
      </c>
      <c r="T96" s="1485">
        <f t="shared" si="28"/>
        <v>1500</v>
      </c>
      <c r="U96" s="1525">
        <v>0</v>
      </c>
      <c r="V96" s="1485">
        <f t="shared" si="30"/>
        <v>1500</v>
      </c>
      <c r="W96" s="1525">
        <v>0</v>
      </c>
      <c r="X96" s="1485">
        <f t="shared" si="32"/>
        <v>6000</v>
      </c>
      <c r="Y96" s="1485">
        <f t="shared" si="33"/>
        <v>606</v>
      </c>
      <c r="Z96" s="1527" t="s">
        <v>7799</v>
      </c>
      <c r="AA96" s="1379" t="s">
        <v>6526</v>
      </c>
      <c r="AB96" s="1583"/>
      <c r="AC96" s="1584" t="str">
        <f t="shared" si="34"/>
        <v>ok</v>
      </c>
      <c r="AD96" s="1583"/>
      <c r="AE96" s="1583"/>
      <c r="AF96" s="1583"/>
      <c r="AG96" s="1583"/>
      <c r="AH96" s="1583"/>
      <c r="AI96" s="1583"/>
      <c r="AJ96" s="1583"/>
      <c r="AK96" s="1583"/>
      <c r="AL96" s="1583"/>
      <c r="AM96" s="1583"/>
      <c r="AN96" s="1583"/>
      <c r="AO96" s="1583"/>
    </row>
    <row r="97" spans="1:41" x14ac:dyDescent="0.6">
      <c r="A97" s="1432">
        <v>92</v>
      </c>
      <c r="B97" s="1575" t="s">
        <v>8390</v>
      </c>
      <c r="C97" s="1576" t="s">
        <v>8298</v>
      </c>
      <c r="D97" s="1578">
        <v>21000</v>
      </c>
      <c r="E97" s="1578">
        <f t="shared" si="18"/>
        <v>2520</v>
      </c>
      <c r="F97" s="1579">
        <v>23000</v>
      </c>
      <c r="G97" s="1485">
        <f t="shared" si="19"/>
        <v>2760</v>
      </c>
      <c r="H97" s="1485">
        <v>20000</v>
      </c>
      <c r="I97" s="1485">
        <f t="shared" si="20"/>
        <v>2400</v>
      </c>
      <c r="J97" s="1582">
        <v>26000</v>
      </c>
      <c r="K97" s="1582">
        <v>3000</v>
      </c>
      <c r="L97" s="1525">
        <f t="shared" si="21"/>
        <v>360</v>
      </c>
      <c r="M97" s="1485">
        <f t="shared" si="22"/>
        <v>23000</v>
      </c>
      <c r="N97" s="1581">
        <v>0.12</v>
      </c>
      <c r="O97" s="1582">
        <f t="shared" si="23"/>
        <v>2760</v>
      </c>
      <c r="P97" s="1485">
        <f t="shared" si="24"/>
        <v>5750</v>
      </c>
      <c r="Q97" s="1485">
        <f t="shared" si="25"/>
        <v>690</v>
      </c>
      <c r="R97" s="1485">
        <f t="shared" si="26"/>
        <v>5750</v>
      </c>
      <c r="S97" s="1525">
        <f t="shared" si="27"/>
        <v>690</v>
      </c>
      <c r="T97" s="1485">
        <f t="shared" si="28"/>
        <v>5750</v>
      </c>
      <c r="U97" s="1525">
        <f t="shared" si="29"/>
        <v>690</v>
      </c>
      <c r="V97" s="1485">
        <f t="shared" si="30"/>
        <v>5750</v>
      </c>
      <c r="W97" s="1525">
        <f t="shared" si="31"/>
        <v>690</v>
      </c>
      <c r="X97" s="1485">
        <f t="shared" si="32"/>
        <v>23000</v>
      </c>
      <c r="Y97" s="1485">
        <f t="shared" si="33"/>
        <v>2760</v>
      </c>
      <c r="Z97" s="1527" t="s">
        <v>7799</v>
      </c>
      <c r="AA97" s="1379" t="s">
        <v>6526</v>
      </c>
      <c r="AB97" s="1583"/>
      <c r="AC97" s="1584" t="str">
        <f t="shared" si="34"/>
        <v>ok</v>
      </c>
      <c r="AD97" s="1583"/>
      <c r="AE97" s="1583"/>
      <c r="AF97" s="1583"/>
      <c r="AG97" s="1583"/>
      <c r="AH97" s="1583"/>
      <c r="AI97" s="1583"/>
      <c r="AJ97" s="1583"/>
      <c r="AK97" s="1583"/>
      <c r="AL97" s="1583"/>
      <c r="AM97" s="1583"/>
      <c r="AN97" s="1583"/>
      <c r="AO97" s="1583"/>
    </row>
    <row r="98" spans="1:41" x14ac:dyDescent="0.6">
      <c r="A98" s="1432">
        <v>93</v>
      </c>
      <c r="B98" s="1575" t="s">
        <v>8391</v>
      </c>
      <c r="C98" s="1576" t="s">
        <v>8298</v>
      </c>
      <c r="D98" s="1578">
        <v>35700</v>
      </c>
      <c r="E98" s="1578">
        <f t="shared" si="18"/>
        <v>37842</v>
      </c>
      <c r="F98" s="1579">
        <v>38000</v>
      </c>
      <c r="G98" s="1485">
        <f t="shared" si="19"/>
        <v>40280</v>
      </c>
      <c r="H98" s="1485">
        <v>-35000</v>
      </c>
      <c r="I98" s="1485">
        <f t="shared" si="20"/>
        <v>-37100</v>
      </c>
      <c r="J98" s="1582">
        <v>40000</v>
      </c>
      <c r="K98" s="1582">
        <v>2000</v>
      </c>
      <c r="L98" s="1525">
        <f t="shared" si="21"/>
        <v>2120</v>
      </c>
      <c r="M98" s="1485">
        <f t="shared" si="22"/>
        <v>38000</v>
      </c>
      <c r="N98" s="1581">
        <f>530/500</f>
        <v>1.06</v>
      </c>
      <c r="O98" s="1582">
        <f t="shared" si="23"/>
        <v>40280</v>
      </c>
      <c r="P98" s="1485">
        <f t="shared" si="24"/>
        <v>9500</v>
      </c>
      <c r="Q98" s="1485">
        <f t="shared" si="25"/>
        <v>10070</v>
      </c>
      <c r="R98" s="1485">
        <f t="shared" si="26"/>
        <v>9500</v>
      </c>
      <c r="S98" s="1525">
        <f t="shared" si="27"/>
        <v>10070</v>
      </c>
      <c r="T98" s="1485">
        <f t="shared" si="28"/>
        <v>9500</v>
      </c>
      <c r="U98" s="1525">
        <f t="shared" si="29"/>
        <v>10070</v>
      </c>
      <c r="V98" s="1485">
        <f t="shared" si="30"/>
        <v>9500</v>
      </c>
      <c r="W98" s="1525">
        <f t="shared" si="31"/>
        <v>10070</v>
      </c>
      <c r="X98" s="1485">
        <f t="shared" si="32"/>
        <v>38000</v>
      </c>
      <c r="Y98" s="1485">
        <f t="shared" si="33"/>
        <v>40280</v>
      </c>
      <c r="Z98" s="1527" t="s">
        <v>7799</v>
      </c>
      <c r="AA98" s="1379" t="s">
        <v>6526</v>
      </c>
      <c r="AB98" s="1583"/>
      <c r="AC98" s="1584" t="str">
        <f t="shared" si="34"/>
        <v>ok</v>
      </c>
      <c r="AD98" s="1583"/>
      <c r="AE98" s="1583"/>
      <c r="AF98" s="1583"/>
      <c r="AG98" s="1583"/>
      <c r="AH98" s="1583"/>
      <c r="AI98" s="1583"/>
      <c r="AJ98" s="1583"/>
      <c r="AK98" s="1583"/>
      <c r="AL98" s="1583"/>
      <c r="AM98" s="1583"/>
      <c r="AN98" s="1583"/>
      <c r="AO98" s="1583"/>
    </row>
    <row r="99" spans="1:41" x14ac:dyDescent="0.6">
      <c r="A99" s="1432">
        <v>94</v>
      </c>
      <c r="B99" s="1575" t="s">
        <v>8392</v>
      </c>
      <c r="C99" s="1576" t="s">
        <v>8296</v>
      </c>
      <c r="D99" s="1578">
        <v>390</v>
      </c>
      <c r="E99" s="1578">
        <f t="shared" si="18"/>
        <v>6708</v>
      </c>
      <c r="F99" s="1579">
        <v>400</v>
      </c>
      <c r="G99" s="1485">
        <f t="shared" si="19"/>
        <v>6880</v>
      </c>
      <c r="H99" s="1485">
        <v>100</v>
      </c>
      <c r="I99" s="1485">
        <f t="shared" si="20"/>
        <v>1720</v>
      </c>
      <c r="J99" s="1582">
        <v>250</v>
      </c>
      <c r="K99" s="1582">
        <v>50</v>
      </c>
      <c r="L99" s="1525">
        <f t="shared" si="21"/>
        <v>860</v>
      </c>
      <c r="M99" s="1485">
        <f t="shared" si="22"/>
        <v>200</v>
      </c>
      <c r="N99" s="1581">
        <v>17.2</v>
      </c>
      <c r="O99" s="1582">
        <f t="shared" si="23"/>
        <v>3440</v>
      </c>
      <c r="P99" s="1485">
        <f t="shared" si="24"/>
        <v>50</v>
      </c>
      <c r="Q99" s="1485">
        <f t="shared" si="25"/>
        <v>860</v>
      </c>
      <c r="R99" s="1485">
        <f t="shared" si="26"/>
        <v>50</v>
      </c>
      <c r="S99" s="1525">
        <f t="shared" si="27"/>
        <v>860</v>
      </c>
      <c r="T99" s="1485">
        <f t="shared" si="28"/>
        <v>50</v>
      </c>
      <c r="U99" s="1525">
        <f t="shared" si="29"/>
        <v>860</v>
      </c>
      <c r="V99" s="1485">
        <f t="shared" si="30"/>
        <v>50</v>
      </c>
      <c r="W99" s="1525">
        <f t="shared" si="31"/>
        <v>860</v>
      </c>
      <c r="X99" s="1485">
        <f t="shared" si="32"/>
        <v>200</v>
      </c>
      <c r="Y99" s="1485">
        <f t="shared" si="33"/>
        <v>3440</v>
      </c>
      <c r="Z99" s="1527" t="s">
        <v>7799</v>
      </c>
      <c r="AA99" s="1379" t="s">
        <v>6526</v>
      </c>
      <c r="AB99" s="1583"/>
      <c r="AC99" s="1584" t="str">
        <f t="shared" si="34"/>
        <v>ok</v>
      </c>
      <c r="AD99" s="1583"/>
      <c r="AE99" s="1583"/>
      <c r="AF99" s="1583"/>
      <c r="AG99" s="1583"/>
      <c r="AH99" s="1583"/>
      <c r="AI99" s="1583"/>
      <c r="AJ99" s="1583"/>
      <c r="AK99" s="1583"/>
      <c r="AL99" s="1583"/>
      <c r="AM99" s="1583"/>
      <c r="AN99" s="1583"/>
      <c r="AO99" s="1583"/>
    </row>
    <row r="100" spans="1:41" x14ac:dyDescent="0.6">
      <c r="A100" s="1432">
        <v>95</v>
      </c>
      <c r="B100" s="1575" t="s">
        <v>8393</v>
      </c>
      <c r="C100" s="1576" t="s">
        <v>8298</v>
      </c>
      <c r="D100" s="1578">
        <v>15000</v>
      </c>
      <c r="E100" s="1578">
        <f t="shared" si="18"/>
        <v>7350</v>
      </c>
      <c r="F100" s="1579">
        <v>16000</v>
      </c>
      <c r="G100" s="1485">
        <f t="shared" si="19"/>
        <v>7840</v>
      </c>
      <c r="H100" s="1485">
        <v>13000</v>
      </c>
      <c r="I100" s="1485">
        <f t="shared" si="20"/>
        <v>6370</v>
      </c>
      <c r="J100" s="1582">
        <v>17000</v>
      </c>
      <c r="K100" s="1582">
        <v>2000</v>
      </c>
      <c r="L100" s="1525">
        <f t="shared" si="21"/>
        <v>980</v>
      </c>
      <c r="M100" s="1485">
        <f t="shared" si="22"/>
        <v>15000</v>
      </c>
      <c r="N100" s="1581">
        <v>0.49</v>
      </c>
      <c r="O100" s="1582">
        <f t="shared" si="23"/>
        <v>7350</v>
      </c>
      <c r="P100" s="1485">
        <f t="shared" si="24"/>
        <v>3750</v>
      </c>
      <c r="Q100" s="1485">
        <f t="shared" si="25"/>
        <v>1837.5</v>
      </c>
      <c r="R100" s="1485">
        <f t="shared" si="26"/>
        <v>3750</v>
      </c>
      <c r="S100" s="1525">
        <f t="shared" si="27"/>
        <v>1837.5</v>
      </c>
      <c r="T100" s="1485">
        <f t="shared" si="28"/>
        <v>3750</v>
      </c>
      <c r="U100" s="1525">
        <f t="shared" si="29"/>
        <v>1837.5</v>
      </c>
      <c r="V100" s="1485">
        <f t="shared" si="30"/>
        <v>3750</v>
      </c>
      <c r="W100" s="1525">
        <f t="shared" si="31"/>
        <v>1837.5</v>
      </c>
      <c r="X100" s="1485">
        <f t="shared" si="32"/>
        <v>15000</v>
      </c>
      <c r="Y100" s="1485">
        <f t="shared" si="33"/>
        <v>7350</v>
      </c>
      <c r="Z100" s="1527" t="s">
        <v>7799</v>
      </c>
      <c r="AA100" s="1379" t="s">
        <v>6526</v>
      </c>
      <c r="AB100" s="1583"/>
      <c r="AC100" s="1584" t="str">
        <f t="shared" si="34"/>
        <v>ok</v>
      </c>
      <c r="AD100" s="1583"/>
      <c r="AE100" s="1583"/>
      <c r="AF100" s="1583"/>
      <c r="AG100" s="1583"/>
      <c r="AH100" s="1583"/>
      <c r="AI100" s="1583"/>
      <c r="AJ100" s="1583"/>
      <c r="AK100" s="1583"/>
      <c r="AL100" s="1583"/>
      <c r="AM100" s="1583"/>
      <c r="AN100" s="1583"/>
      <c r="AO100" s="1583"/>
    </row>
    <row r="101" spans="1:41" x14ac:dyDescent="0.6">
      <c r="A101" s="1432">
        <v>96</v>
      </c>
      <c r="B101" s="1575" t="s">
        <v>8394</v>
      </c>
      <c r="C101" s="1576" t="s">
        <v>8305</v>
      </c>
      <c r="D101" s="1578">
        <v>5</v>
      </c>
      <c r="E101" s="1578">
        <f t="shared" si="18"/>
        <v>175.48</v>
      </c>
      <c r="F101" s="1579">
        <v>7</v>
      </c>
      <c r="G101" s="1485">
        <f t="shared" si="19"/>
        <v>245.67199999999997</v>
      </c>
      <c r="H101" s="1485">
        <v>40</v>
      </c>
      <c r="I101" s="1485">
        <f t="shared" si="20"/>
        <v>1403.84</v>
      </c>
      <c r="J101" s="1582">
        <v>35</v>
      </c>
      <c r="K101" s="1582">
        <v>3</v>
      </c>
      <c r="L101" s="1525">
        <f t="shared" si="21"/>
        <v>105.28799999999998</v>
      </c>
      <c r="M101" s="1485">
        <f t="shared" si="22"/>
        <v>32</v>
      </c>
      <c r="N101" s="1581">
        <v>35.095999999999997</v>
      </c>
      <c r="O101" s="1582">
        <f t="shared" si="23"/>
        <v>1123.0719999999999</v>
      </c>
      <c r="P101" s="1485">
        <v>32</v>
      </c>
      <c r="Q101" s="1485">
        <f t="shared" si="25"/>
        <v>1123.0719999999999</v>
      </c>
      <c r="R101" s="1485">
        <v>0</v>
      </c>
      <c r="S101" s="1525">
        <f t="shared" si="27"/>
        <v>0</v>
      </c>
      <c r="T101" s="1485">
        <v>0</v>
      </c>
      <c r="U101" s="1525">
        <f t="shared" si="29"/>
        <v>0</v>
      </c>
      <c r="V101" s="1485">
        <v>0</v>
      </c>
      <c r="W101" s="1525">
        <f t="shared" si="31"/>
        <v>0</v>
      </c>
      <c r="X101" s="1485">
        <f t="shared" si="32"/>
        <v>32</v>
      </c>
      <c r="Y101" s="1485">
        <f t="shared" si="33"/>
        <v>1123.0719999999999</v>
      </c>
      <c r="Z101" s="1527" t="s">
        <v>7799</v>
      </c>
      <c r="AA101" s="1379" t="s">
        <v>6526</v>
      </c>
      <c r="AB101" s="1583"/>
      <c r="AC101" s="1584" t="str">
        <f t="shared" si="34"/>
        <v>ok</v>
      </c>
      <c r="AD101" s="1583"/>
      <c r="AE101" s="1583"/>
      <c r="AF101" s="1583"/>
      <c r="AG101" s="1583"/>
      <c r="AH101" s="1583"/>
      <c r="AI101" s="1583"/>
      <c r="AJ101" s="1583"/>
      <c r="AK101" s="1583"/>
      <c r="AL101" s="1583"/>
      <c r="AM101" s="1583"/>
      <c r="AN101" s="1583"/>
      <c r="AO101" s="1583"/>
    </row>
    <row r="102" spans="1:41" x14ac:dyDescent="0.6">
      <c r="A102" s="1432">
        <v>97</v>
      </c>
      <c r="B102" s="1575" t="s">
        <v>8395</v>
      </c>
      <c r="C102" s="1576" t="s">
        <v>8298</v>
      </c>
      <c r="D102" s="1578">
        <v>1790</v>
      </c>
      <c r="E102" s="1578">
        <f t="shared" si="18"/>
        <v>572.80000000000007</v>
      </c>
      <c r="F102" s="1579">
        <v>3000</v>
      </c>
      <c r="G102" s="1485">
        <f t="shared" si="19"/>
        <v>960</v>
      </c>
      <c r="H102" s="1485">
        <v>3500</v>
      </c>
      <c r="I102" s="1485">
        <f t="shared" si="20"/>
        <v>1120</v>
      </c>
      <c r="J102" s="1582">
        <v>4000</v>
      </c>
      <c r="K102" s="1582">
        <v>1500</v>
      </c>
      <c r="L102" s="1525">
        <f t="shared" si="21"/>
        <v>480</v>
      </c>
      <c r="M102" s="1485">
        <f t="shared" si="22"/>
        <v>2500</v>
      </c>
      <c r="N102" s="1581">
        <v>0.32</v>
      </c>
      <c r="O102" s="1582">
        <f t="shared" si="23"/>
        <v>800</v>
      </c>
      <c r="P102" s="1485">
        <f t="shared" si="24"/>
        <v>625</v>
      </c>
      <c r="Q102" s="1485">
        <f t="shared" si="25"/>
        <v>200</v>
      </c>
      <c r="R102" s="1485">
        <f t="shared" si="26"/>
        <v>625</v>
      </c>
      <c r="S102" s="1525">
        <f t="shared" si="27"/>
        <v>200</v>
      </c>
      <c r="T102" s="1485">
        <f t="shared" si="28"/>
        <v>625</v>
      </c>
      <c r="U102" s="1525">
        <f t="shared" si="29"/>
        <v>200</v>
      </c>
      <c r="V102" s="1485">
        <f t="shared" si="30"/>
        <v>625</v>
      </c>
      <c r="W102" s="1525">
        <f t="shared" si="31"/>
        <v>200</v>
      </c>
      <c r="X102" s="1485">
        <f t="shared" si="32"/>
        <v>2500</v>
      </c>
      <c r="Y102" s="1485">
        <f t="shared" si="33"/>
        <v>800</v>
      </c>
      <c r="Z102" s="1527" t="s">
        <v>7799</v>
      </c>
      <c r="AA102" s="1379" t="s">
        <v>6526</v>
      </c>
      <c r="AB102" s="1583"/>
      <c r="AC102" s="1584" t="str">
        <f t="shared" si="34"/>
        <v>ok</v>
      </c>
      <c r="AD102" s="1583"/>
      <c r="AE102" s="1583"/>
      <c r="AF102" s="1583"/>
      <c r="AG102" s="1583"/>
      <c r="AH102" s="1583"/>
      <c r="AI102" s="1583"/>
      <c r="AJ102" s="1583"/>
      <c r="AK102" s="1583"/>
      <c r="AL102" s="1583"/>
      <c r="AM102" s="1583"/>
      <c r="AN102" s="1583"/>
      <c r="AO102" s="1583"/>
    </row>
    <row r="103" spans="1:41" x14ac:dyDescent="0.6">
      <c r="A103" s="1432">
        <v>98</v>
      </c>
      <c r="B103" s="1575" t="s">
        <v>8396</v>
      </c>
      <c r="C103" s="1576" t="s">
        <v>8305</v>
      </c>
      <c r="D103" s="1578">
        <v>475</v>
      </c>
      <c r="E103" s="1578">
        <f t="shared" si="18"/>
        <v>1425</v>
      </c>
      <c r="F103" s="1579">
        <v>500</v>
      </c>
      <c r="G103" s="1485">
        <f t="shared" si="19"/>
        <v>1500</v>
      </c>
      <c r="H103" s="1485">
        <v>250</v>
      </c>
      <c r="I103" s="1485">
        <f t="shared" si="20"/>
        <v>750</v>
      </c>
      <c r="J103" s="1582">
        <v>500</v>
      </c>
      <c r="K103" s="1582">
        <v>100</v>
      </c>
      <c r="L103" s="1525">
        <f t="shared" si="21"/>
        <v>300</v>
      </c>
      <c r="M103" s="1485">
        <f t="shared" si="22"/>
        <v>400</v>
      </c>
      <c r="N103" s="1581">
        <v>3</v>
      </c>
      <c r="O103" s="1582">
        <f t="shared" si="23"/>
        <v>1200</v>
      </c>
      <c r="P103" s="1485">
        <f t="shared" si="24"/>
        <v>100</v>
      </c>
      <c r="Q103" s="1485">
        <f t="shared" si="25"/>
        <v>300</v>
      </c>
      <c r="R103" s="1485">
        <f t="shared" si="26"/>
        <v>100</v>
      </c>
      <c r="S103" s="1525">
        <f t="shared" si="27"/>
        <v>300</v>
      </c>
      <c r="T103" s="1485">
        <f t="shared" si="28"/>
        <v>100</v>
      </c>
      <c r="U103" s="1525">
        <f t="shared" si="29"/>
        <v>300</v>
      </c>
      <c r="V103" s="1485">
        <f t="shared" si="30"/>
        <v>100</v>
      </c>
      <c r="W103" s="1525">
        <f t="shared" si="31"/>
        <v>300</v>
      </c>
      <c r="X103" s="1485">
        <f t="shared" si="32"/>
        <v>400</v>
      </c>
      <c r="Y103" s="1485">
        <f t="shared" si="33"/>
        <v>1200</v>
      </c>
      <c r="Z103" s="1527" t="s">
        <v>7799</v>
      </c>
      <c r="AA103" s="1379" t="s">
        <v>6526</v>
      </c>
      <c r="AB103" s="1583"/>
      <c r="AC103" s="1584" t="str">
        <f t="shared" si="34"/>
        <v>ok</v>
      </c>
      <c r="AD103" s="1583"/>
      <c r="AE103" s="1583"/>
      <c r="AF103" s="1583"/>
      <c r="AG103" s="1583"/>
      <c r="AH103" s="1583"/>
      <c r="AI103" s="1583"/>
      <c r="AJ103" s="1583"/>
      <c r="AK103" s="1583"/>
      <c r="AL103" s="1583"/>
      <c r="AM103" s="1583"/>
      <c r="AN103" s="1583"/>
      <c r="AO103" s="1583"/>
    </row>
    <row r="104" spans="1:41" x14ac:dyDescent="0.6">
      <c r="A104" s="1432">
        <v>99</v>
      </c>
      <c r="B104" s="1575" t="s">
        <v>8397</v>
      </c>
      <c r="C104" s="1576" t="s">
        <v>8298</v>
      </c>
      <c r="D104" s="1578">
        <f>23000+2670</f>
        <v>25670</v>
      </c>
      <c r="E104" s="1578">
        <f t="shared" si="18"/>
        <v>4338.2300000000005</v>
      </c>
      <c r="F104" s="1579">
        <v>30000</v>
      </c>
      <c r="G104" s="1485">
        <f t="shared" si="19"/>
        <v>5070</v>
      </c>
      <c r="H104" s="1485">
        <v>33000</v>
      </c>
      <c r="I104" s="1485">
        <f t="shared" si="20"/>
        <v>5577</v>
      </c>
      <c r="J104" s="1582">
        <v>37000</v>
      </c>
      <c r="K104" s="1582">
        <v>4000</v>
      </c>
      <c r="L104" s="1525">
        <f t="shared" si="21"/>
        <v>676</v>
      </c>
      <c r="M104" s="1485">
        <f t="shared" si="22"/>
        <v>33000</v>
      </c>
      <c r="N104" s="1581">
        <v>0.16900000000000001</v>
      </c>
      <c r="O104" s="1582">
        <f t="shared" si="23"/>
        <v>5577</v>
      </c>
      <c r="P104" s="1485">
        <f t="shared" si="24"/>
        <v>8250</v>
      </c>
      <c r="Q104" s="1485">
        <f t="shared" si="25"/>
        <v>1394.25</v>
      </c>
      <c r="R104" s="1485">
        <f t="shared" si="26"/>
        <v>8250</v>
      </c>
      <c r="S104" s="1525">
        <f t="shared" si="27"/>
        <v>1394.25</v>
      </c>
      <c r="T104" s="1485">
        <f t="shared" si="28"/>
        <v>8250</v>
      </c>
      <c r="U104" s="1525">
        <f t="shared" si="29"/>
        <v>1394.25</v>
      </c>
      <c r="V104" s="1485">
        <f t="shared" si="30"/>
        <v>8250</v>
      </c>
      <c r="W104" s="1525">
        <f t="shared" si="31"/>
        <v>1394.25</v>
      </c>
      <c r="X104" s="1485">
        <f t="shared" si="32"/>
        <v>33000</v>
      </c>
      <c r="Y104" s="1485">
        <f t="shared" si="33"/>
        <v>5577</v>
      </c>
      <c r="Z104" s="1527" t="s">
        <v>7799</v>
      </c>
      <c r="AA104" s="1379" t="s">
        <v>6526</v>
      </c>
      <c r="AB104" s="1583"/>
      <c r="AC104" s="1584" t="str">
        <f t="shared" si="34"/>
        <v>ok</v>
      </c>
      <c r="AD104" s="1583"/>
      <c r="AE104" s="1583"/>
      <c r="AF104" s="1583"/>
      <c r="AG104" s="1583"/>
      <c r="AH104" s="1583"/>
      <c r="AI104" s="1583"/>
      <c r="AJ104" s="1583"/>
      <c r="AK104" s="1583"/>
      <c r="AL104" s="1583"/>
      <c r="AM104" s="1583"/>
      <c r="AN104" s="1583"/>
      <c r="AO104" s="1583"/>
    </row>
    <row r="105" spans="1:41" ht="42" x14ac:dyDescent="0.6">
      <c r="A105" s="1432">
        <v>100</v>
      </c>
      <c r="B105" s="1587" t="s">
        <v>8398</v>
      </c>
      <c r="C105" s="1576" t="s">
        <v>8298</v>
      </c>
      <c r="D105" s="1578">
        <v>17000</v>
      </c>
      <c r="E105" s="1578">
        <f t="shared" si="18"/>
        <v>11900</v>
      </c>
      <c r="F105" s="1579">
        <v>18000</v>
      </c>
      <c r="G105" s="1485">
        <f t="shared" si="19"/>
        <v>12600</v>
      </c>
      <c r="H105" s="1485">
        <v>21000</v>
      </c>
      <c r="I105" s="1485">
        <f t="shared" si="20"/>
        <v>14699.999999999998</v>
      </c>
      <c r="J105" s="1582">
        <v>25000</v>
      </c>
      <c r="K105" s="1582">
        <v>5000</v>
      </c>
      <c r="L105" s="1525">
        <f t="shared" si="21"/>
        <v>3500</v>
      </c>
      <c r="M105" s="1485">
        <f t="shared" si="22"/>
        <v>20000</v>
      </c>
      <c r="N105" s="1591">
        <v>0.7</v>
      </c>
      <c r="O105" s="1582">
        <f t="shared" si="23"/>
        <v>14000</v>
      </c>
      <c r="P105" s="1485">
        <f t="shared" si="24"/>
        <v>5000</v>
      </c>
      <c r="Q105" s="1485">
        <f t="shared" si="25"/>
        <v>3500</v>
      </c>
      <c r="R105" s="1485">
        <f t="shared" si="26"/>
        <v>5000</v>
      </c>
      <c r="S105" s="1525">
        <f t="shared" si="27"/>
        <v>3500</v>
      </c>
      <c r="T105" s="1485">
        <f t="shared" si="28"/>
        <v>5000</v>
      </c>
      <c r="U105" s="1525">
        <f t="shared" si="29"/>
        <v>3500</v>
      </c>
      <c r="V105" s="1485">
        <f t="shared" si="30"/>
        <v>5000</v>
      </c>
      <c r="W105" s="1525">
        <f t="shared" si="31"/>
        <v>3500</v>
      </c>
      <c r="X105" s="1485">
        <f t="shared" si="32"/>
        <v>20000</v>
      </c>
      <c r="Y105" s="1485">
        <f t="shared" si="33"/>
        <v>14000</v>
      </c>
      <c r="Z105" s="1527" t="s">
        <v>7799</v>
      </c>
      <c r="AA105" s="1379" t="s">
        <v>6526</v>
      </c>
      <c r="AB105" s="1583"/>
      <c r="AC105" s="1584" t="str">
        <f t="shared" si="34"/>
        <v>ok</v>
      </c>
      <c r="AD105" s="1583"/>
      <c r="AE105" s="1583"/>
      <c r="AF105" s="1583"/>
      <c r="AG105" s="1583"/>
      <c r="AH105" s="1583"/>
      <c r="AI105" s="1583"/>
      <c r="AJ105" s="1583"/>
      <c r="AK105" s="1583"/>
      <c r="AL105" s="1583"/>
      <c r="AM105" s="1583"/>
      <c r="AN105" s="1583"/>
      <c r="AO105" s="1583"/>
    </row>
    <row r="106" spans="1:41" x14ac:dyDescent="0.6">
      <c r="A106" s="1432">
        <v>101</v>
      </c>
      <c r="B106" s="1575" t="s">
        <v>8399</v>
      </c>
      <c r="C106" s="1596" t="s">
        <v>8296</v>
      </c>
      <c r="D106" s="1578">
        <f>100+300+211+50</f>
        <v>661</v>
      </c>
      <c r="E106" s="1578">
        <f t="shared" si="18"/>
        <v>4627</v>
      </c>
      <c r="F106" s="1579">
        <v>700</v>
      </c>
      <c r="G106" s="1485">
        <f t="shared" si="19"/>
        <v>4900</v>
      </c>
      <c r="H106" s="1485">
        <v>350</v>
      </c>
      <c r="I106" s="1485">
        <f t="shared" si="20"/>
        <v>2450</v>
      </c>
      <c r="J106" s="1582">
        <v>450</v>
      </c>
      <c r="K106" s="1582">
        <v>150</v>
      </c>
      <c r="L106" s="1525">
        <f t="shared" si="21"/>
        <v>1050</v>
      </c>
      <c r="M106" s="1485">
        <f t="shared" si="22"/>
        <v>300</v>
      </c>
      <c r="N106" s="1581">
        <v>7</v>
      </c>
      <c r="O106" s="1582">
        <f t="shared" si="23"/>
        <v>2100</v>
      </c>
      <c r="P106" s="1485">
        <v>200</v>
      </c>
      <c r="Q106" s="1485">
        <f t="shared" si="25"/>
        <v>1400</v>
      </c>
      <c r="R106" s="1485">
        <v>100</v>
      </c>
      <c r="S106" s="1525">
        <f t="shared" si="27"/>
        <v>700</v>
      </c>
      <c r="T106" s="1485">
        <v>0</v>
      </c>
      <c r="U106" s="1525">
        <f t="shared" si="29"/>
        <v>0</v>
      </c>
      <c r="V106" s="1485">
        <v>0</v>
      </c>
      <c r="W106" s="1525">
        <f t="shared" si="31"/>
        <v>0</v>
      </c>
      <c r="X106" s="1485">
        <f t="shared" si="32"/>
        <v>300</v>
      </c>
      <c r="Y106" s="1485">
        <f t="shared" si="33"/>
        <v>2100</v>
      </c>
      <c r="Z106" s="1527" t="s">
        <v>7799</v>
      </c>
      <c r="AA106" s="1379" t="s">
        <v>6526</v>
      </c>
      <c r="AB106" s="1583"/>
      <c r="AC106" s="1584" t="str">
        <f t="shared" si="34"/>
        <v>ok</v>
      </c>
      <c r="AD106" s="1583"/>
      <c r="AE106" s="1583"/>
      <c r="AF106" s="1583"/>
      <c r="AG106" s="1583"/>
      <c r="AH106" s="1583"/>
      <c r="AI106" s="1583"/>
      <c r="AJ106" s="1583"/>
      <c r="AK106" s="1583"/>
      <c r="AL106" s="1583"/>
      <c r="AM106" s="1583"/>
      <c r="AN106" s="1583"/>
      <c r="AO106" s="1583"/>
    </row>
    <row r="107" spans="1:41" x14ac:dyDescent="0.6">
      <c r="A107" s="1432">
        <v>102</v>
      </c>
      <c r="B107" s="1575" t="s">
        <v>8400</v>
      </c>
      <c r="C107" s="1576" t="s">
        <v>8298</v>
      </c>
      <c r="D107" s="1597">
        <v>24900</v>
      </c>
      <c r="E107" s="1578">
        <f t="shared" si="18"/>
        <v>4482</v>
      </c>
      <c r="F107" s="1579">
        <v>25000</v>
      </c>
      <c r="G107" s="1485">
        <f t="shared" si="19"/>
        <v>4500</v>
      </c>
      <c r="H107" s="1485">
        <v>24000</v>
      </c>
      <c r="I107" s="1485">
        <f t="shared" si="20"/>
        <v>4320</v>
      </c>
      <c r="J107" s="1582">
        <v>28000</v>
      </c>
      <c r="K107" s="1582">
        <v>2000</v>
      </c>
      <c r="L107" s="1525">
        <f t="shared" si="21"/>
        <v>360</v>
      </c>
      <c r="M107" s="1485">
        <f t="shared" si="22"/>
        <v>26000</v>
      </c>
      <c r="N107" s="1598">
        <v>0.18</v>
      </c>
      <c r="O107" s="1582">
        <f t="shared" si="23"/>
        <v>4680</v>
      </c>
      <c r="P107" s="1485">
        <f t="shared" si="24"/>
        <v>6500</v>
      </c>
      <c r="Q107" s="1485">
        <f t="shared" si="25"/>
        <v>1170</v>
      </c>
      <c r="R107" s="1485">
        <f t="shared" si="26"/>
        <v>6500</v>
      </c>
      <c r="S107" s="1525">
        <f t="shared" si="27"/>
        <v>1170</v>
      </c>
      <c r="T107" s="1485">
        <f t="shared" si="28"/>
        <v>6500</v>
      </c>
      <c r="U107" s="1525">
        <f t="shared" si="29"/>
        <v>1170</v>
      </c>
      <c r="V107" s="1485">
        <f t="shared" si="30"/>
        <v>6500</v>
      </c>
      <c r="W107" s="1525">
        <f t="shared" si="31"/>
        <v>1170</v>
      </c>
      <c r="X107" s="1485">
        <f t="shared" si="32"/>
        <v>26000</v>
      </c>
      <c r="Y107" s="1485">
        <f t="shared" si="33"/>
        <v>4680</v>
      </c>
      <c r="Z107" s="1527" t="s">
        <v>7799</v>
      </c>
      <c r="AA107" s="1379" t="s">
        <v>6526</v>
      </c>
      <c r="AB107" s="1583"/>
      <c r="AC107" s="1584" t="str">
        <f t="shared" si="34"/>
        <v>ok</v>
      </c>
      <c r="AD107" s="1583"/>
      <c r="AE107" s="1583"/>
      <c r="AF107" s="1583"/>
      <c r="AG107" s="1583"/>
      <c r="AH107" s="1583"/>
      <c r="AI107" s="1583"/>
      <c r="AJ107" s="1583"/>
      <c r="AK107" s="1583"/>
      <c r="AL107" s="1583"/>
      <c r="AM107" s="1583"/>
      <c r="AN107" s="1583"/>
      <c r="AO107" s="1583"/>
    </row>
    <row r="108" spans="1:41" x14ac:dyDescent="0.6">
      <c r="A108" s="1432">
        <v>103</v>
      </c>
      <c r="B108" s="1575" t="s">
        <v>8401</v>
      </c>
      <c r="C108" s="1576" t="s">
        <v>8305</v>
      </c>
      <c r="D108" s="1578">
        <v>50</v>
      </c>
      <c r="E108" s="1578">
        <f t="shared" si="18"/>
        <v>1070</v>
      </c>
      <c r="F108" s="1579">
        <v>80</v>
      </c>
      <c r="G108" s="1485">
        <f t="shared" si="19"/>
        <v>1712</v>
      </c>
      <c r="H108" s="1485">
        <v>240</v>
      </c>
      <c r="I108" s="1485">
        <f t="shared" si="20"/>
        <v>5136</v>
      </c>
      <c r="J108" s="1582">
        <v>200</v>
      </c>
      <c r="K108" s="1582">
        <v>50</v>
      </c>
      <c r="L108" s="1525">
        <f t="shared" si="21"/>
        <v>1070</v>
      </c>
      <c r="M108" s="1485">
        <f t="shared" si="22"/>
        <v>150</v>
      </c>
      <c r="N108" s="1581">
        <v>21.4</v>
      </c>
      <c r="O108" s="1582">
        <f t="shared" si="23"/>
        <v>3210</v>
      </c>
      <c r="P108" s="1485">
        <v>150</v>
      </c>
      <c r="Q108" s="1485">
        <f t="shared" si="25"/>
        <v>3210</v>
      </c>
      <c r="R108" s="1485">
        <v>0</v>
      </c>
      <c r="S108" s="1525">
        <f t="shared" si="27"/>
        <v>0</v>
      </c>
      <c r="T108" s="1485">
        <v>0</v>
      </c>
      <c r="U108" s="1525">
        <f t="shared" si="29"/>
        <v>0</v>
      </c>
      <c r="V108" s="1485">
        <v>0</v>
      </c>
      <c r="W108" s="1525">
        <f t="shared" si="31"/>
        <v>0</v>
      </c>
      <c r="X108" s="1485">
        <f t="shared" si="32"/>
        <v>150</v>
      </c>
      <c r="Y108" s="1485">
        <f t="shared" si="33"/>
        <v>3210</v>
      </c>
      <c r="Z108" s="1527" t="s">
        <v>7799</v>
      </c>
      <c r="AA108" s="1379" t="s">
        <v>6526</v>
      </c>
      <c r="AB108" s="1583"/>
      <c r="AC108" s="1584" t="str">
        <f t="shared" si="34"/>
        <v>ok</v>
      </c>
      <c r="AD108" s="1583"/>
      <c r="AE108" s="1583"/>
      <c r="AF108" s="1583"/>
      <c r="AG108" s="1583"/>
      <c r="AH108" s="1583"/>
      <c r="AI108" s="1583"/>
      <c r="AJ108" s="1583"/>
      <c r="AK108" s="1583"/>
      <c r="AL108" s="1583"/>
      <c r="AM108" s="1583"/>
      <c r="AN108" s="1583"/>
      <c r="AO108" s="1583"/>
    </row>
    <row r="109" spans="1:41" x14ac:dyDescent="0.6">
      <c r="A109" s="1432">
        <v>104</v>
      </c>
      <c r="B109" s="1575" t="s">
        <v>8402</v>
      </c>
      <c r="C109" s="1576" t="s">
        <v>8298</v>
      </c>
      <c r="D109" s="1578">
        <v>53090</v>
      </c>
      <c r="E109" s="1578">
        <f t="shared" si="18"/>
        <v>18262.96</v>
      </c>
      <c r="F109" s="1579">
        <v>60000</v>
      </c>
      <c r="G109" s="1485">
        <f t="shared" si="19"/>
        <v>20640</v>
      </c>
      <c r="H109" s="1485">
        <v>65000</v>
      </c>
      <c r="I109" s="1485">
        <f t="shared" si="20"/>
        <v>22360</v>
      </c>
      <c r="J109" s="1582">
        <v>70000</v>
      </c>
      <c r="K109" s="1582">
        <v>5000</v>
      </c>
      <c r="L109" s="1525">
        <f t="shared" si="21"/>
        <v>1719.9999999999998</v>
      </c>
      <c r="M109" s="1485">
        <f t="shared" si="22"/>
        <v>65000</v>
      </c>
      <c r="N109" s="1591">
        <v>0.34399999999999997</v>
      </c>
      <c r="O109" s="1582">
        <f t="shared" si="23"/>
        <v>22360</v>
      </c>
      <c r="P109" s="1485">
        <f t="shared" si="24"/>
        <v>16250</v>
      </c>
      <c r="Q109" s="1485">
        <f t="shared" si="25"/>
        <v>5590</v>
      </c>
      <c r="R109" s="1485">
        <f t="shared" si="26"/>
        <v>16250</v>
      </c>
      <c r="S109" s="1525">
        <f t="shared" si="27"/>
        <v>5590</v>
      </c>
      <c r="T109" s="1485">
        <f t="shared" si="28"/>
        <v>16250</v>
      </c>
      <c r="U109" s="1525">
        <f t="shared" si="29"/>
        <v>5590</v>
      </c>
      <c r="V109" s="1485">
        <f t="shared" si="30"/>
        <v>16250</v>
      </c>
      <c r="W109" s="1525">
        <f t="shared" si="31"/>
        <v>5590</v>
      </c>
      <c r="X109" s="1485">
        <f t="shared" si="32"/>
        <v>65000</v>
      </c>
      <c r="Y109" s="1485">
        <f t="shared" si="33"/>
        <v>22360</v>
      </c>
      <c r="Z109" s="1527" t="s">
        <v>7799</v>
      </c>
      <c r="AA109" s="1379" t="s">
        <v>6526</v>
      </c>
      <c r="AB109" s="1583"/>
      <c r="AC109" s="1584" t="str">
        <f t="shared" si="34"/>
        <v>ok</v>
      </c>
      <c r="AD109" s="1583"/>
      <c r="AE109" s="1583"/>
      <c r="AF109" s="1583"/>
      <c r="AG109" s="1583"/>
      <c r="AH109" s="1583"/>
      <c r="AI109" s="1583"/>
      <c r="AJ109" s="1583"/>
      <c r="AK109" s="1583"/>
      <c r="AL109" s="1583"/>
      <c r="AM109" s="1583"/>
      <c r="AN109" s="1583"/>
      <c r="AO109" s="1583"/>
    </row>
    <row r="110" spans="1:41" x14ac:dyDescent="0.6">
      <c r="A110" s="1432">
        <v>105</v>
      </c>
      <c r="B110" s="1575" t="s">
        <v>8403</v>
      </c>
      <c r="C110" s="1576" t="s">
        <v>8404</v>
      </c>
      <c r="D110" s="1578">
        <v>1000</v>
      </c>
      <c r="E110" s="1578">
        <f t="shared" si="18"/>
        <v>900</v>
      </c>
      <c r="F110" s="1579">
        <v>2000</v>
      </c>
      <c r="G110" s="1485">
        <f t="shared" si="19"/>
        <v>1800</v>
      </c>
      <c r="H110" s="1485">
        <v>500</v>
      </c>
      <c r="I110" s="1485">
        <f t="shared" si="20"/>
        <v>450</v>
      </c>
      <c r="J110" s="1582">
        <v>1000</v>
      </c>
      <c r="K110" s="1582">
        <v>100</v>
      </c>
      <c r="L110" s="1525">
        <f t="shared" si="21"/>
        <v>90</v>
      </c>
      <c r="M110" s="1485">
        <f t="shared" si="22"/>
        <v>900</v>
      </c>
      <c r="N110" s="1581">
        <v>0.9</v>
      </c>
      <c r="O110" s="1582">
        <f t="shared" si="23"/>
        <v>810</v>
      </c>
      <c r="P110" s="1485">
        <f t="shared" si="24"/>
        <v>225</v>
      </c>
      <c r="Q110" s="1485">
        <f t="shared" si="25"/>
        <v>202.5</v>
      </c>
      <c r="R110" s="1485">
        <f t="shared" si="26"/>
        <v>225</v>
      </c>
      <c r="S110" s="1525">
        <f t="shared" si="27"/>
        <v>202.5</v>
      </c>
      <c r="T110" s="1485">
        <f t="shared" si="28"/>
        <v>225</v>
      </c>
      <c r="U110" s="1525">
        <f t="shared" si="29"/>
        <v>202.5</v>
      </c>
      <c r="V110" s="1485">
        <f t="shared" si="30"/>
        <v>225</v>
      </c>
      <c r="W110" s="1525">
        <f t="shared" si="31"/>
        <v>202.5</v>
      </c>
      <c r="X110" s="1485">
        <f t="shared" si="32"/>
        <v>900</v>
      </c>
      <c r="Y110" s="1485">
        <f t="shared" si="33"/>
        <v>810</v>
      </c>
      <c r="Z110" s="1527" t="s">
        <v>7799</v>
      </c>
      <c r="AA110" s="1379" t="s">
        <v>6526</v>
      </c>
      <c r="AB110" s="1583"/>
      <c r="AC110" s="1584" t="str">
        <f t="shared" si="34"/>
        <v>ok</v>
      </c>
      <c r="AD110" s="1583"/>
      <c r="AE110" s="1583"/>
      <c r="AF110" s="1583"/>
      <c r="AG110" s="1583"/>
      <c r="AH110" s="1583"/>
      <c r="AI110" s="1583"/>
      <c r="AJ110" s="1583"/>
      <c r="AK110" s="1583"/>
      <c r="AL110" s="1583"/>
      <c r="AM110" s="1583"/>
      <c r="AN110" s="1583"/>
      <c r="AO110" s="1583"/>
    </row>
    <row r="111" spans="1:41" x14ac:dyDescent="0.6">
      <c r="A111" s="1432">
        <v>106</v>
      </c>
      <c r="B111" s="1575" t="s">
        <v>8405</v>
      </c>
      <c r="C111" s="1576" t="s">
        <v>8298</v>
      </c>
      <c r="D111" s="1578">
        <v>150</v>
      </c>
      <c r="E111" s="1578">
        <f t="shared" si="18"/>
        <v>900</v>
      </c>
      <c r="F111" s="1579">
        <v>100</v>
      </c>
      <c r="G111" s="1485">
        <f t="shared" si="19"/>
        <v>600</v>
      </c>
      <c r="H111" s="1485">
        <v>900</v>
      </c>
      <c r="I111" s="1485">
        <f t="shared" si="20"/>
        <v>5400</v>
      </c>
      <c r="J111" s="1582">
        <v>900</v>
      </c>
      <c r="K111" s="1582">
        <v>100</v>
      </c>
      <c r="L111" s="1525">
        <f t="shared" si="21"/>
        <v>600</v>
      </c>
      <c r="M111" s="1485">
        <f t="shared" si="22"/>
        <v>800</v>
      </c>
      <c r="N111" s="1581">
        <f>180/30</f>
        <v>6</v>
      </c>
      <c r="O111" s="1582">
        <f t="shared" si="23"/>
        <v>4800</v>
      </c>
      <c r="P111" s="1485">
        <f t="shared" si="24"/>
        <v>200</v>
      </c>
      <c r="Q111" s="1485">
        <f t="shared" si="25"/>
        <v>1200</v>
      </c>
      <c r="R111" s="1485">
        <f t="shared" si="26"/>
        <v>200</v>
      </c>
      <c r="S111" s="1525">
        <f t="shared" si="27"/>
        <v>1200</v>
      </c>
      <c r="T111" s="1485">
        <f t="shared" si="28"/>
        <v>200</v>
      </c>
      <c r="U111" s="1525">
        <f t="shared" si="29"/>
        <v>1200</v>
      </c>
      <c r="V111" s="1485">
        <f t="shared" si="30"/>
        <v>200</v>
      </c>
      <c r="W111" s="1525">
        <f t="shared" si="31"/>
        <v>1200</v>
      </c>
      <c r="X111" s="1485">
        <f t="shared" si="32"/>
        <v>800</v>
      </c>
      <c r="Y111" s="1485">
        <f t="shared" si="33"/>
        <v>4800</v>
      </c>
      <c r="Z111" s="1527" t="s">
        <v>7799</v>
      </c>
      <c r="AA111" s="1379" t="s">
        <v>6526</v>
      </c>
      <c r="AB111" s="1583"/>
      <c r="AC111" s="1584" t="str">
        <f t="shared" si="34"/>
        <v>ok</v>
      </c>
      <c r="AD111" s="1583"/>
      <c r="AE111" s="1583"/>
      <c r="AF111" s="1583"/>
      <c r="AG111" s="1583"/>
      <c r="AH111" s="1583"/>
      <c r="AI111" s="1583"/>
      <c r="AJ111" s="1583"/>
      <c r="AK111" s="1583"/>
      <c r="AL111" s="1583"/>
      <c r="AM111" s="1583"/>
      <c r="AN111" s="1583"/>
      <c r="AO111" s="1583"/>
    </row>
    <row r="112" spans="1:41" x14ac:dyDescent="0.6">
      <c r="A112" s="1432">
        <v>107</v>
      </c>
      <c r="B112" s="1575" t="s">
        <v>8406</v>
      </c>
      <c r="C112" s="1576" t="s">
        <v>8298</v>
      </c>
      <c r="D112" s="1578">
        <f>166000+20000+15300</f>
        <v>201300</v>
      </c>
      <c r="E112" s="1578">
        <f t="shared" si="18"/>
        <v>90585</v>
      </c>
      <c r="F112" s="1579">
        <v>210000</v>
      </c>
      <c r="G112" s="1485">
        <f t="shared" si="19"/>
        <v>94500</v>
      </c>
      <c r="H112" s="1485">
        <v>150000</v>
      </c>
      <c r="I112" s="1485">
        <f t="shared" si="20"/>
        <v>67500</v>
      </c>
      <c r="J112" s="1582">
        <v>220000</v>
      </c>
      <c r="K112" s="1582">
        <v>30000</v>
      </c>
      <c r="L112" s="1525">
        <f t="shared" si="21"/>
        <v>13500</v>
      </c>
      <c r="M112" s="1485">
        <f t="shared" si="22"/>
        <v>190000</v>
      </c>
      <c r="N112" s="1591">
        <v>0.45</v>
      </c>
      <c r="O112" s="1582">
        <f t="shared" si="23"/>
        <v>85500</v>
      </c>
      <c r="P112" s="1485">
        <f t="shared" si="24"/>
        <v>47500</v>
      </c>
      <c r="Q112" s="1485">
        <f t="shared" si="25"/>
        <v>21375</v>
      </c>
      <c r="R112" s="1485">
        <f t="shared" si="26"/>
        <v>47500</v>
      </c>
      <c r="S112" s="1525">
        <f t="shared" si="27"/>
        <v>21375</v>
      </c>
      <c r="T112" s="1485">
        <f t="shared" si="28"/>
        <v>47500</v>
      </c>
      <c r="U112" s="1525">
        <f t="shared" si="29"/>
        <v>21375</v>
      </c>
      <c r="V112" s="1485">
        <f t="shared" si="30"/>
        <v>47500</v>
      </c>
      <c r="W112" s="1525">
        <f t="shared" si="31"/>
        <v>21375</v>
      </c>
      <c r="X112" s="1485">
        <f t="shared" si="32"/>
        <v>190000</v>
      </c>
      <c r="Y112" s="1485">
        <f t="shared" si="33"/>
        <v>85500</v>
      </c>
      <c r="Z112" s="1527" t="s">
        <v>7799</v>
      </c>
      <c r="AA112" s="1379" t="s">
        <v>6526</v>
      </c>
      <c r="AB112" s="1583"/>
      <c r="AC112" s="1584" t="str">
        <f t="shared" si="34"/>
        <v>ok</v>
      </c>
      <c r="AD112" s="1583"/>
      <c r="AE112" s="1583"/>
      <c r="AF112" s="1583"/>
      <c r="AG112" s="1583"/>
      <c r="AH112" s="1583"/>
      <c r="AI112" s="1583"/>
      <c r="AJ112" s="1583"/>
      <c r="AK112" s="1583"/>
      <c r="AL112" s="1583"/>
      <c r="AM112" s="1583"/>
      <c r="AN112" s="1583"/>
      <c r="AO112" s="1583"/>
    </row>
    <row r="113" spans="1:41" x14ac:dyDescent="0.6">
      <c r="A113" s="1432">
        <v>108</v>
      </c>
      <c r="B113" s="1575" t="s">
        <v>8407</v>
      </c>
      <c r="C113" s="1576" t="s">
        <v>8298</v>
      </c>
      <c r="D113" s="1578">
        <f>106000+369000</f>
        <v>475000</v>
      </c>
      <c r="E113" s="1578">
        <f t="shared" si="18"/>
        <v>118750</v>
      </c>
      <c r="F113" s="1579">
        <v>490000</v>
      </c>
      <c r="G113" s="1485">
        <f t="shared" si="19"/>
        <v>122500</v>
      </c>
      <c r="H113" s="1485">
        <v>520000</v>
      </c>
      <c r="I113" s="1485">
        <f t="shared" si="20"/>
        <v>130000</v>
      </c>
      <c r="J113" s="1582">
        <v>550000</v>
      </c>
      <c r="K113" s="1582">
        <v>30000</v>
      </c>
      <c r="L113" s="1525">
        <f t="shared" si="21"/>
        <v>7500</v>
      </c>
      <c r="M113" s="1485">
        <f t="shared" si="22"/>
        <v>520000</v>
      </c>
      <c r="N113" s="1591">
        <v>0.25</v>
      </c>
      <c r="O113" s="1582">
        <f t="shared" si="23"/>
        <v>130000</v>
      </c>
      <c r="P113" s="1485">
        <f t="shared" si="24"/>
        <v>130000</v>
      </c>
      <c r="Q113" s="1485">
        <f t="shared" si="25"/>
        <v>32500</v>
      </c>
      <c r="R113" s="1485">
        <f t="shared" si="26"/>
        <v>130000</v>
      </c>
      <c r="S113" s="1525">
        <f t="shared" si="27"/>
        <v>32500</v>
      </c>
      <c r="T113" s="1485">
        <f t="shared" si="28"/>
        <v>130000</v>
      </c>
      <c r="U113" s="1525">
        <f t="shared" si="29"/>
        <v>32500</v>
      </c>
      <c r="V113" s="1485">
        <f t="shared" si="30"/>
        <v>130000</v>
      </c>
      <c r="W113" s="1525">
        <f t="shared" si="31"/>
        <v>32500</v>
      </c>
      <c r="X113" s="1485">
        <f t="shared" si="32"/>
        <v>520000</v>
      </c>
      <c r="Y113" s="1485">
        <f t="shared" si="33"/>
        <v>130000</v>
      </c>
      <c r="Z113" s="1527" t="s">
        <v>7799</v>
      </c>
      <c r="AA113" s="1379" t="s">
        <v>6526</v>
      </c>
      <c r="AB113" s="1583"/>
      <c r="AC113" s="1584" t="str">
        <f t="shared" si="34"/>
        <v>ok</v>
      </c>
      <c r="AD113" s="1583"/>
      <c r="AE113" s="1583"/>
      <c r="AF113" s="1583"/>
      <c r="AG113" s="1583"/>
      <c r="AH113" s="1583"/>
      <c r="AI113" s="1583"/>
      <c r="AJ113" s="1583"/>
      <c r="AK113" s="1583"/>
      <c r="AL113" s="1583"/>
      <c r="AM113" s="1583"/>
      <c r="AN113" s="1583"/>
      <c r="AO113" s="1583"/>
    </row>
    <row r="114" spans="1:41" ht="42" x14ac:dyDescent="0.6">
      <c r="A114" s="1432">
        <v>109</v>
      </c>
      <c r="B114" s="1587" t="s">
        <v>8408</v>
      </c>
      <c r="C114" s="1576" t="s">
        <v>8296</v>
      </c>
      <c r="D114" s="1578">
        <v>41</v>
      </c>
      <c r="E114" s="1578">
        <f t="shared" si="18"/>
        <v>1312</v>
      </c>
      <c r="F114" s="1579">
        <v>70</v>
      </c>
      <c r="G114" s="1485">
        <f t="shared" si="19"/>
        <v>2240</v>
      </c>
      <c r="H114" s="1485">
        <v>68</v>
      </c>
      <c r="I114" s="1485">
        <f t="shared" si="20"/>
        <v>2176</v>
      </c>
      <c r="J114" s="1582">
        <v>80</v>
      </c>
      <c r="K114" s="1582">
        <v>20</v>
      </c>
      <c r="L114" s="1525">
        <f t="shared" si="21"/>
        <v>640</v>
      </c>
      <c r="M114" s="1485">
        <f t="shared" si="22"/>
        <v>60</v>
      </c>
      <c r="N114" s="1581">
        <v>32</v>
      </c>
      <c r="O114" s="1582">
        <f t="shared" si="23"/>
        <v>1920</v>
      </c>
      <c r="P114" s="1485">
        <f t="shared" si="24"/>
        <v>15</v>
      </c>
      <c r="Q114" s="1485">
        <f t="shared" si="25"/>
        <v>480</v>
      </c>
      <c r="R114" s="1485">
        <f t="shared" si="26"/>
        <v>15</v>
      </c>
      <c r="S114" s="1525">
        <f t="shared" si="27"/>
        <v>480</v>
      </c>
      <c r="T114" s="1485">
        <f t="shared" si="28"/>
        <v>15</v>
      </c>
      <c r="U114" s="1525">
        <f t="shared" si="29"/>
        <v>480</v>
      </c>
      <c r="V114" s="1485">
        <f t="shared" si="30"/>
        <v>15</v>
      </c>
      <c r="W114" s="1525">
        <f t="shared" si="31"/>
        <v>480</v>
      </c>
      <c r="X114" s="1485">
        <f t="shared" si="32"/>
        <v>60</v>
      </c>
      <c r="Y114" s="1485">
        <f t="shared" si="33"/>
        <v>1920</v>
      </c>
      <c r="Z114" s="1527" t="s">
        <v>7799</v>
      </c>
      <c r="AA114" s="1379" t="s">
        <v>6526</v>
      </c>
      <c r="AB114" s="1583"/>
      <c r="AC114" s="1584" t="str">
        <f t="shared" si="34"/>
        <v>ok</v>
      </c>
      <c r="AD114" s="1583"/>
      <c r="AE114" s="1583"/>
      <c r="AF114" s="1583"/>
      <c r="AG114" s="1583"/>
      <c r="AH114" s="1583"/>
      <c r="AI114" s="1583"/>
      <c r="AJ114" s="1583"/>
      <c r="AK114" s="1583"/>
      <c r="AL114" s="1583"/>
      <c r="AM114" s="1583"/>
      <c r="AN114" s="1583"/>
      <c r="AO114" s="1583"/>
    </row>
    <row r="115" spans="1:41" ht="42" x14ac:dyDescent="0.6">
      <c r="A115" s="1432">
        <v>110</v>
      </c>
      <c r="B115" s="1587" t="s">
        <v>8409</v>
      </c>
      <c r="C115" s="1576" t="s">
        <v>8298</v>
      </c>
      <c r="D115" s="1578">
        <f>500+150</f>
        <v>650</v>
      </c>
      <c r="E115" s="1578">
        <f t="shared" si="18"/>
        <v>1170</v>
      </c>
      <c r="F115" s="1579">
        <v>700</v>
      </c>
      <c r="G115" s="1485">
        <f t="shared" si="19"/>
        <v>1260</v>
      </c>
      <c r="H115" s="1485">
        <v>650</v>
      </c>
      <c r="I115" s="1485">
        <f t="shared" si="20"/>
        <v>1170</v>
      </c>
      <c r="J115" s="1582">
        <v>800</v>
      </c>
      <c r="K115" s="1582">
        <v>200</v>
      </c>
      <c r="L115" s="1525">
        <f t="shared" si="21"/>
        <v>360</v>
      </c>
      <c r="M115" s="1485">
        <f t="shared" si="22"/>
        <v>600</v>
      </c>
      <c r="N115" s="1581">
        <v>1.8</v>
      </c>
      <c r="O115" s="1582">
        <f t="shared" si="23"/>
        <v>1080</v>
      </c>
      <c r="P115" s="1485">
        <f t="shared" si="24"/>
        <v>150</v>
      </c>
      <c r="Q115" s="1485">
        <f t="shared" si="25"/>
        <v>270</v>
      </c>
      <c r="R115" s="1485">
        <f t="shared" si="26"/>
        <v>150</v>
      </c>
      <c r="S115" s="1525">
        <f t="shared" si="27"/>
        <v>270</v>
      </c>
      <c r="T115" s="1485">
        <f t="shared" si="28"/>
        <v>150</v>
      </c>
      <c r="U115" s="1525">
        <f t="shared" si="29"/>
        <v>270</v>
      </c>
      <c r="V115" s="1485">
        <f t="shared" si="30"/>
        <v>150</v>
      </c>
      <c r="W115" s="1525">
        <f t="shared" si="31"/>
        <v>270</v>
      </c>
      <c r="X115" s="1485">
        <f t="shared" si="32"/>
        <v>600</v>
      </c>
      <c r="Y115" s="1485">
        <f t="shared" si="33"/>
        <v>1080</v>
      </c>
      <c r="Z115" s="1527" t="s">
        <v>7799</v>
      </c>
      <c r="AA115" s="1379" t="s">
        <v>6526</v>
      </c>
      <c r="AB115" s="1583"/>
      <c r="AC115" s="1584" t="str">
        <f t="shared" si="34"/>
        <v>ok</v>
      </c>
      <c r="AD115" s="1583"/>
      <c r="AE115" s="1583"/>
      <c r="AF115" s="1583"/>
      <c r="AG115" s="1583"/>
      <c r="AH115" s="1583"/>
      <c r="AI115" s="1583"/>
      <c r="AJ115" s="1583"/>
      <c r="AK115" s="1583"/>
      <c r="AL115" s="1583"/>
      <c r="AM115" s="1583"/>
      <c r="AN115" s="1583"/>
      <c r="AO115" s="1583"/>
    </row>
    <row r="116" spans="1:41" ht="42" x14ac:dyDescent="0.6">
      <c r="A116" s="1432">
        <v>111</v>
      </c>
      <c r="B116" s="1587" t="s">
        <v>8410</v>
      </c>
      <c r="C116" s="1576" t="s">
        <v>8296</v>
      </c>
      <c r="D116" s="1578">
        <v>64</v>
      </c>
      <c r="E116" s="1578">
        <f t="shared" si="18"/>
        <v>1088</v>
      </c>
      <c r="F116" s="1579">
        <v>75</v>
      </c>
      <c r="G116" s="1485">
        <f t="shared" si="19"/>
        <v>1275</v>
      </c>
      <c r="H116" s="1485">
        <v>40</v>
      </c>
      <c r="I116" s="1485">
        <f t="shared" si="20"/>
        <v>680</v>
      </c>
      <c r="J116" s="1582">
        <v>80</v>
      </c>
      <c r="K116" s="1582">
        <v>20</v>
      </c>
      <c r="L116" s="1525">
        <f t="shared" si="21"/>
        <v>340</v>
      </c>
      <c r="M116" s="1485">
        <f t="shared" si="22"/>
        <v>60</v>
      </c>
      <c r="N116" s="1581">
        <v>17</v>
      </c>
      <c r="O116" s="1582">
        <f t="shared" si="23"/>
        <v>1020</v>
      </c>
      <c r="P116" s="1485">
        <f t="shared" si="24"/>
        <v>15</v>
      </c>
      <c r="Q116" s="1485">
        <f t="shared" si="25"/>
        <v>255</v>
      </c>
      <c r="R116" s="1485">
        <f t="shared" si="26"/>
        <v>15</v>
      </c>
      <c r="S116" s="1525">
        <f t="shared" si="27"/>
        <v>255</v>
      </c>
      <c r="T116" s="1485">
        <f t="shared" si="28"/>
        <v>15</v>
      </c>
      <c r="U116" s="1525">
        <f t="shared" si="29"/>
        <v>255</v>
      </c>
      <c r="V116" s="1485">
        <f t="shared" si="30"/>
        <v>15</v>
      </c>
      <c r="W116" s="1525">
        <f t="shared" si="31"/>
        <v>255</v>
      </c>
      <c r="X116" s="1485">
        <f t="shared" si="32"/>
        <v>60</v>
      </c>
      <c r="Y116" s="1485">
        <f t="shared" si="33"/>
        <v>1020</v>
      </c>
      <c r="Z116" s="1527" t="s">
        <v>7799</v>
      </c>
      <c r="AA116" s="1379" t="s">
        <v>6526</v>
      </c>
      <c r="AB116" s="1583"/>
      <c r="AC116" s="1584" t="str">
        <f t="shared" si="34"/>
        <v>ok</v>
      </c>
      <c r="AD116" s="1583"/>
      <c r="AE116" s="1583"/>
      <c r="AF116" s="1583"/>
      <c r="AG116" s="1583"/>
      <c r="AH116" s="1583"/>
      <c r="AI116" s="1583"/>
      <c r="AJ116" s="1583"/>
      <c r="AK116" s="1583"/>
      <c r="AL116" s="1583"/>
      <c r="AM116" s="1583"/>
      <c r="AN116" s="1583"/>
      <c r="AO116" s="1583"/>
    </row>
    <row r="117" spans="1:41" ht="42" x14ac:dyDescent="0.6">
      <c r="A117" s="1432">
        <v>112</v>
      </c>
      <c r="B117" s="1587" t="s">
        <v>8411</v>
      </c>
      <c r="C117" s="1576" t="s">
        <v>8412</v>
      </c>
      <c r="D117" s="1578">
        <f>9576+43792</f>
        <v>53368</v>
      </c>
      <c r="E117" s="1578">
        <f t="shared" si="18"/>
        <v>320208</v>
      </c>
      <c r="F117" s="1579">
        <f>1964*28</f>
        <v>54992</v>
      </c>
      <c r="G117" s="1485">
        <f t="shared" si="19"/>
        <v>329952</v>
      </c>
      <c r="H117" s="1485">
        <v>25000</v>
      </c>
      <c r="I117" s="1485">
        <f t="shared" si="20"/>
        <v>150000</v>
      </c>
      <c r="J117" s="1582">
        <f>2000*28</f>
        <v>56000</v>
      </c>
      <c r="K117" s="1582">
        <f>28*200</f>
        <v>5600</v>
      </c>
      <c r="L117" s="1525">
        <f t="shared" si="21"/>
        <v>33600</v>
      </c>
      <c r="M117" s="1485">
        <f t="shared" si="22"/>
        <v>50400</v>
      </c>
      <c r="N117" s="1581">
        <v>6</v>
      </c>
      <c r="O117" s="1582">
        <f t="shared" si="23"/>
        <v>302400</v>
      </c>
      <c r="P117" s="1485">
        <f t="shared" si="24"/>
        <v>12600</v>
      </c>
      <c r="Q117" s="1485">
        <f t="shared" si="25"/>
        <v>75600</v>
      </c>
      <c r="R117" s="1485">
        <f t="shared" si="26"/>
        <v>12600</v>
      </c>
      <c r="S117" s="1525">
        <f t="shared" si="27"/>
        <v>75600</v>
      </c>
      <c r="T117" s="1485">
        <f t="shared" si="28"/>
        <v>12600</v>
      </c>
      <c r="U117" s="1525">
        <f t="shared" si="29"/>
        <v>75600</v>
      </c>
      <c r="V117" s="1485">
        <f t="shared" si="30"/>
        <v>12600</v>
      </c>
      <c r="W117" s="1525">
        <f t="shared" si="31"/>
        <v>75600</v>
      </c>
      <c r="X117" s="1485">
        <f t="shared" si="32"/>
        <v>50400</v>
      </c>
      <c r="Y117" s="1485">
        <f t="shared" si="33"/>
        <v>302400</v>
      </c>
      <c r="Z117" s="1527" t="s">
        <v>7799</v>
      </c>
      <c r="AA117" s="1379" t="s">
        <v>6526</v>
      </c>
      <c r="AB117" s="1583"/>
      <c r="AC117" s="1584" t="str">
        <f t="shared" si="34"/>
        <v>ok</v>
      </c>
      <c r="AD117" s="1583"/>
      <c r="AE117" s="1583"/>
      <c r="AF117" s="1583"/>
      <c r="AG117" s="1583"/>
      <c r="AH117" s="1583"/>
      <c r="AI117" s="1583"/>
      <c r="AJ117" s="1583"/>
      <c r="AK117" s="1583"/>
      <c r="AL117" s="1583"/>
      <c r="AM117" s="1583"/>
      <c r="AN117" s="1583"/>
      <c r="AO117" s="1583"/>
    </row>
    <row r="118" spans="1:41" x14ac:dyDescent="0.6">
      <c r="A118" s="1432">
        <v>113</v>
      </c>
      <c r="B118" s="1587" t="s">
        <v>8413</v>
      </c>
      <c r="C118" s="1576" t="s">
        <v>8298</v>
      </c>
      <c r="D118" s="1578">
        <v>100</v>
      </c>
      <c r="E118" s="1578">
        <f t="shared" si="18"/>
        <v>154</v>
      </c>
      <c r="F118" s="1579">
        <v>500</v>
      </c>
      <c r="G118" s="1485">
        <f t="shared" si="19"/>
        <v>770</v>
      </c>
      <c r="H118" s="1485">
        <v>0</v>
      </c>
      <c r="I118" s="1485">
        <f t="shared" si="20"/>
        <v>0</v>
      </c>
      <c r="J118" s="1582">
        <v>500</v>
      </c>
      <c r="K118" s="1582">
        <v>0</v>
      </c>
      <c r="L118" s="1525">
        <f t="shared" si="21"/>
        <v>0</v>
      </c>
      <c r="M118" s="1485">
        <f t="shared" si="22"/>
        <v>500</v>
      </c>
      <c r="N118" s="1581">
        <f>770/500</f>
        <v>1.54</v>
      </c>
      <c r="O118" s="1582">
        <f t="shared" si="23"/>
        <v>770</v>
      </c>
      <c r="P118" s="1485">
        <f t="shared" si="24"/>
        <v>125</v>
      </c>
      <c r="Q118" s="1485">
        <f t="shared" si="25"/>
        <v>192.5</v>
      </c>
      <c r="R118" s="1485">
        <f t="shared" si="26"/>
        <v>125</v>
      </c>
      <c r="S118" s="1525">
        <f t="shared" si="27"/>
        <v>192.5</v>
      </c>
      <c r="T118" s="1485">
        <f t="shared" si="28"/>
        <v>125</v>
      </c>
      <c r="U118" s="1525">
        <f t="shared" si="29"/>
        <v>192.5</v>
      </c>
      <c r="V118" s="1485">
        <f t="shared" si="30"/>
        <v>125</v>
      </c>
      <c r="W118" s="1525">
        <f t="shared" si="31"/>
        <v>192.5</v>
      </c>
      <c r="X118" s="1485">
        <f t="shared" si="32"/>
        <v>500</v>
      </c>
      <c r="Y118" s="1485">
        <f t="shared" si="33"/>
        <v>770</v>
      </c>
      <c r="Z118" s="1527" t="s">
        <v>7799</v>
      </c>
      <c r="AA118" s="1379" t="s">
        <v>6526</v>
      </c>
      <c r="AB118" s="1583"/>
      <c r="AC118" s="1584" t="str">
        <f t="shared" si="34"/>
        <v>ok</v>
      </c>
      <c r="AD118" s="1583"/>
      <c r="AE118" s="1583"/>
      <c r="AF118" s="1583"/>
      <c r="AG118" s="1583"/>
      <c r="AH118" s="1583"/>
      <c r="AI118" s="1583"/>
      <c r="AJ118" s="1583"/>
      <c r="AK118" s="1583"/>
      <c r="AL118" s="1583"/>
      <c r="AM118" s="1583"/>
      <c r="AN118" s="1583"/>
      <c r="AO118" s="1583"/>
    </row>
    <row r="119" spans="1:41" ht="42" x14ac:dyDescent="0.6">
      <c r="A119" s="1432">
        <v>114</v>
      </c>
      <c r="B119" s="1587" t="s">
        <v>8414</v>
      </c>
      <c r="C119" s="1576" t="s">
        <v>8296</v>
      </c>
      <c r="D119" s="1578">
        <v>112</v>
      </c>
      <c r="E119" s="1578">
        <f t="shared" si="18"/>
        <v>3407.04</v>
      </c>
      <c r="F119" s="1579">
        <v>350</v>
      </c>
      <c r="G119" s="1485">
        <f t="shared" si="19"/>
        <v>10647</v>
      </c>
      <c r="H119" s="1485">
        <v>300</v>
      </c>
      <c r="I119" s="1485">
        <f t="shared" si="20"/>
        <v>9126</v>
      </c>
      <c r="J119" s="1582">
        <v>400</v>
      </c>
      <c r="K119" s="1582">
        <v>50</v>
      </c>
      <c r="L119" s="1525">
        <f t="shared" si="21"/>
        <v>1521</v>
      </c>
      <c r="M119" s="1485">
        <f t="shared" si="22"/>
        <v>350</v>
      </c>
      <c r="N119" s="1591">
        <v>30.42</v>
      </c>
      <c r="O119" s="1582">
        <f t="shared" si="23"/>
        <v>10647</v>
      </c>
      <c r="P119" s="1485">
        <v>350</v>
      </c>
      <c r="Q119" s="1485">
        <f t="shared" si="25"/>
        <v>10647</v>
      </c>
      <c r="R119" s="1485">
        <v>0</v>
      </c>
      <c r="S119" s="1525">
        <v>0</v>
      </c>
      <c r="T119" s="1485">
        <v>0</v>
      </c>
      <c r="U119" s="1525">
        <f t="shared" si="29"/>
        <v>0</v>
      </c>
      <c r="V119" s="1485">
        <v>0</v>
      </c>
      <c r="W119" s="1525">
        <f t="shared" si="31"/>
        <v>0</v>
      </c>
      <c r="X119" s="1485">
        <f t="shared" si="32"/>
        <v>350</v>
      </c>
      <c r="Y119" s="1485">
        <f t="shared" si="33"/>
        <v>10647</v>
      </c>
      <c r="Z119" s="1527" t="s">
        <v>7799</v>
      </c>
      <c r="AA119" s="1379" t="s">
        <v>6526</v>
      </c>
      <c r="AB119" s="1583"/>
      <c r="AC119" s="1584" t="str">
        <f t="shared" si="34"/>
        <v>ok</v>
      </c>
      <c r="AD119" s="1583"/>
      <c r="AE119" s="1583"/>
      <c r="AF119" s="1583"/>
      <c r="AG119" s="1583"/>
      <c r="AH119" s="1583"/>
      <c r="AI119" s="1583"/>
      <c r="AJ119" s="1583"/>
      <c r="AK119" s="1583"/>
      <c r="AL119" s="1583"/>
      <c r="AM119" s="1583"/>
      <c r="AN119" s="1583"/>
      <c r="AO119" s="1583"/>
    </row>
    <row r="120" spans="1:41" ht="42" x14ac:dyDescent="0.6">
      <c r="A120" s="1432">
        <v>115</v>
      </c>
      <c r="B120" s="1599" t="s">
        <v>8415</v>
      </c>
      <c r="C120" s="1576" t="s">
        <v>8296</v>
      </c>
      <c r="D120" s="1578">
        <f>2380</f>
        <v>2380</v>
      </c>
      <c r="E120" s="1578">
        <f t="shared" si="18"/>
        <v>59500</v>
      </c>
      <c r="F120" s="1579">
        <v>2150</v>
      </c>
      <c r="G120" s="1485">
        <f t="shared" si="19"/>
        <v>53750</v>
      </c>
      <c r="H120" s="1485">
        <v>1800</v>
      </c>
      <c r="I120" s="1485">
        <f t="shared" si="20"/>
        <v>45000</v>
      </c>
      <c r="J120" s="1582">
        <v>2500</v>
      </c>
      <c r="K120" s="1582">
        <v>500</v>
      </c>
      <c r="L120" s="1525">
        <f t="shared" si="21"/>
        <v>12500</v>
      </c>
      <c r="M120" s="1485">
        <f t="shared" si="22"/>
        <v>2000</v>
      </c>
      <c r="N120" s="1581">
        <v>25</v>
      </c>
      <c r="O120" s="1582">
        <f t="shared" si="23"/>
        <v>50000</v>
      </c>
      <c r="P120" s="1485">
        <f t="shared" si="24"/>
        <v>500</v>
      </c>
      <c r="Q120" s="1485">
        <f t="shared" si="25"/>
        <v>12500</v>
      </c>
      <c r="R120" s="1485">
        <f t="shared" si="26"/>
        <v>500</v>
      </c>
      <c r="S120" s="1525">
        <f t="shared" si="27"/>
        <v>12500</v>
      </c>
      <c r="T120" s="1485">
        <f t="shared" si="28"/>
        <v>500</v>
      </c>
      <c r="U120" s="1525">
        <f t="shared" si="29"/>
        <v>12500</v>
      </c>
      <c r="V120" s="1485">
        <f t="shared" si="30"/>
        <v>500</v>
      </c>
      <c r="W120" s="1525">
        <f t="shared" si="31"/>
        <v>12500</v>
      </c>
      <c r="X120" s="1485">
        <f t="shared" si="32"/>
        <v>2000</v>
      </c>
      <c r="Y120" s="1485">
        <f t="shared" si="33"/>
        <v>50000</v>
      </c>
      <c r="Z120" s="1527" t="s">
        <v>7799</v>
      </c>
      <c r="AA120" s="1379" t="s">
        <v>6526</v>
      </c>
      <c r="AB120" s="1583"/>
      <c r="AC120" s="1584" t="str">
        <f t="shared" si="34"/>
        <v>ok</v>
      </c>
      <c r="AD120" s="1583"/>
      <c r="AE120" s="1583"/>
      <c r="AF120" s="1583"/>
      <c r="AG120" s="1583"/>
      <c r="AH120" s="1583"/>
      <c r="AI120" s="1583"/>
      <c r="AJ120" s="1583"/>
      <c r="AK120" s="1583"/>
      <c r="AL120" s="1583"/>
      <c r="AM120" s="1583"/>
      <c r="AN120" s="1583"/>
      <c r="AO120" s="1583"/>
    </row>
    <row r="121" spans="1:41" x14ac:dyDescent="0.6">
      <c r="A121" s="1432">
        <v>116</v>
      </c>
      <c r="B121" s="1575" t="s">
        <v>8416</v>
      </c>
      <c r="C121" s="1576" t="s">
        <v>8298</v>
      </c>
      <c r="D121" s="1578">
        <f>33000+20700</f>
        <v>53700</v>
      </c>
      <c r="E121" s="1578">
        <f t="shared" si="18"/>
        <v>11814</v>
      </c>
      <c r="F121" s="1579">
        <v>77800</v>
      </c>
      <c r="G121" s="1485">
        <f t="shared" si="19"/>
        <v>17116</v>
      </c>
      <c r="H121" s="1485">
        <v>76000</v>
      </c>
      <c r="I121" s="1485">
        <f t="shared" si="20"/>
        <v>16720</v>
      </c>
      <c r="J121" s="1582">
        <v>80000</v>
      </c>
      <c r="K121" s="1582">
        <v>10000</v>
      </c>
      <c r="L121" s="1525">
        <f t="shared" si="21"/>
        <v>2200</v>
      </c>
      <c r="M121" s="1485">
        <f t="shared" si="22"/>
        <v>70000</v>
      </c>
      <c r="N121" s="1581">
        <v>0.22</v>
      </c>
      <c r="O121" s="1582">
        <f t="shared" si="23"/>
        <v>15400</v>
      </c>
      <c r="P121" s="1485">
        <f t="shared" si="24"/>
        <v>17500</v>
      </c>
      <c r="Q121" s="1485">
        <f t="shared" si="25"/>
        <v>3850</v>
      </c>
      <c r="R121" s="1485">
        <f t="shared" si="26"/>
        <v>17500</v>
      </c>
      <c r="S121" s="1525">
        <f t="shared" si="27"/>
        <v>3850</v>
      </c>
      <c r="T121" s="1485">
        <f t="shared" si="28"/>
        <v>17500</v>
      </c>
      <c r="U121" s="1525">
        <f t="shared" si="29"/>
        <v>3850</v>
      </c>
      <c r="V121" s="1485">
        <f t="shared" si="30"/>
        <v>17500</v>
      </c>
      <c r="W121" s="1525">
        <f t="shared" si="31"/>
        <v>3850</v>
      </c>
      <c r="X121" s="1485">
        <f t="shared" si="32"/>
        <v>70000</v>
      </c>
      <c r="Y121" s="1485">
        <f t="shared" si="33"/>
        <v>15400</v>
      </c>
      <c r="Z121" s="1527" t="s">
        <v>7799</v>
      </c>
      <c r="AA121" s="1379" t="s">
        <v>6526</v>
      </c>
      <c r="AB121" s="1583"/>
      <c r="AC121" s="1584" t="str">
        <f t="shared" si="34"/>
        <v>ok</v>
      </c>
      <c r="AD121" s="1583"/>
      <c r="AE121" s="1583"/>
      <c r="AF121" s="1583"/>
      <c r="AG121" s="1583"/>
      <c r="AH121" s="1583"/>
      <c r="AI121" s="1583"/>
      <c r="AJ121" s="1583"/>
      <c r="AK121" s="1583"/>
      <c r="AL121" s="1583"/>
      <c r="AM121" s="1583"/>
      <c r="AN121" s="1583"/>
      <c r="AO121" s="1583"/>
    </row>
    <row r="122" spans="1:41" x14ac:dyDescent="0.6">
      <c r="A122" s="1432">
        <v>117</v>
      </c>
      <c r="B122" s="1587" t="s">
        <v>8417</v>
      </c>
      <c r="C122" s="1576" t="s">
        <v>8298</v>
      </c>
      <c r="D122" s="1578">
        <v>10000</v>
      </c>
      <c r="E122" s="1578">
        <f t="shared" si="18"/>
        <v>6000</v>
      </c>
      <c r="F122" s="1579">
        <v>9400</v>
      </c>
      <c r="G122" s="1485">
        <f t="shared" si="19"/>
        <v>5640</v>
      </c>
      <c r="H122" s="1485">
        <v>9500</v>
      </c>
      <c r="I122" s="1485">
        <f t="shared" si="20"/>
        <v>5700</v>
      </c>
      <c r="J122" s="1582">
        <v>12000</v>
      </c>
      <c r="K122" s="1582">
        <v>2000</v>
      </c>
      <c r="L122" s="1525">
        <f t="shared" si="21"/>
        <v>1200</v>
      </c>
      <c r="M122" s="1485">
        <f t="shared" si="22"/>
        <v>10000</v>
      </c>
      <c r="N122" s="1581">
        <v>0.6</v>
      </c>
      <c r="O122" s="1582">
        <f t="shared" si="23"/>
        <v>6000</v>
      </c>
      <c r="P122" s="1485">
        <f t="shared" si="24"/>
        <v>2500</v>
      </c>
      <c r="Q122" s="1485">
        <f t="shared" si="25"/>
        <v>1500</v>
      </c>
      <c r="R122" s="1485">
        <f t="shared" si="26"/>
        <v>2500</v>
      </c>
      <c r="S122" s="1525">
        <f t="shared" si="27"/>
        <v>1500</v>
      </c>
      <c r="T122" s="1485">
        <f t="shared" si="28"/>
        <v>2500</v>
      </c>
      <c r="U122" s="1525">
        <f t="shared" si="29"/>
        <v>1500</v>
      </c>
      <c r="V122" s="1485">
        <f t="shared" si="30"/>
        <v>2500</v>
      </c>
      <c r="W122" s="1525">
        <f t="shared" si="31"/>
        <v>1500</v>
      </c>
      <c r="X122" s="1485">
        <f t="shared" si="32"/>
        <v>10000</v>
      </c>
      <c r="Y122" s="1485">
        <f t="shared" si="33"/>
        <v>6000</v>
      </c>
      <c r="Z122" s="1527" t="s">
        <v>7799</v>
      </c>
      <c r="AA122" s="1379" t="s">
        <v>6526</v>
      </c>
      <c r="AB122" s="1583"/>
      <c r="AC122" s="1584" t="str">
        <f t="shared" si="34"/>
        <v>ok</v>
      </c>
      <c r="AD122" s="1583"/>
      <c r="AE122" s="1583"/>
      <c r="AF122" s="1583"/>
      <c r="AG122" s="1583"/>
      <c r="AH122" s="1583"/>
      <c r="AI122" s="1583"/>
      <c r="AJ122" s="1583"/>
      <c r="AK122" s="1583"/>
      <c r="AL122" s="1583"/>
      <c r="AM122" s="1583"/>
      <c r="AN122" s="1583"/>
      <c r="AO122" s="1583"/>
    </row>
    <row r="123" spans="1:41" ht="42" x14ac:dyDescent="0.6">
      <c r="A123" s="1432">
        <v>118</v>
      </c>
      <c r="B123" s="1587" t="s">
        <v>8418</v>
      </c>
      <c r="C123" s="1576" t="s">
        <v>8305</v>
      </c>
      <c r="D123" s="1578">
        <v>250</v>
      </c>
      <c r="E123" s="1578">
        <f t="shared" si="18"/>
        <v>7250</v>
      </c>
      <c r="F123" s="1579">
        <v>300</v>
      </c>
      <c r="G123" s="1485">
        <f t="shared" si="19"/>
        <v>8700</v>
      </c>
      <c r="H123" s="1485">
        <v>170</v>
      </c>
      <c r="I123" s="1485">
        <f t="shared" si="20"/>
        <v>4930</v>
      </c>
      <c r="J123" s="1582">
        <v>350</v>
      </c>
      <c r="K123" s="1582">
        <v>50</v>
      </c>
      <c r="L123" s="1525">
        <f t="shared" si="21"/>
        <v>1450</v>
      </c>
      <c r="M123" s="1485">
        <f t="shared" si="22"/>
        <v>300</v>
      </c>
      <c r="N123" s="1581">
        <v>29</v>
      </c>
      <c r="O123" s="1582">
        <f t="shared" si="23"/>
        <v>8700</v>
      </c>
      <c r="P123" s="1485">
        <f t="shared" si="24"/>
        <v>75</v>
      </c>
      <c r="Q123" s="1485">
        <f t="shared" si="25"/>
        <v>2175</v>
      </c>
      <c r="R123" s="1485">
        <f t="shared" si="26"/>
        <v>75</v>
      </c>
      <c r="S123" s="1525">
        <f t="shared" si="27"/>
        <v>2175</v>
      </c>
      <c r="T123" s="1485">
        <f t="shared" si="28"/>
        <v>75</v>
      </c>
      <c r="U123" s="1525">
        <f t="shared" si="29"/>
        <v>2175</v>
      </c>
      <c r="V123" s="1485">
        <f t="shared" si="30"/>
        <v>75</v>
      </c>
      <c r="W123" s="1525">
        <f t="shared" si="31"/>
        <v>2175</v>
      </c>
      <c r="X123" s="1485">
        <f t="shared" si="32"/>
        <v>300</v>
      </c>
      <c r="Y123" s="1485">
        <f t="shared" si="33"/>
        <v>8700</v>
      </c>
      <c r="Z123" s="1527" t="s">
        <v>7799</v>
      </c>
      <c r="AA123" s="1379" t="s">
        <v>6526</v>
      </c>
      <c r="AB123" s="1583"/>
      <c r="AC123" s="1584" t="str">
        <f t="shared" si="34"/>
        <v>ok</v>
      </c>
      <c r="AD123" s="1583"/>
      <c r="AE123" s="1583"/>
      <c r="AF123" s="1583"/>
      <c r="AG123" s="1583"/>
      <c r="AH123" s="1583"/>
      <c r="AI123" s="1583"/>
      <c r="AJ123" s="1583"/>
      <c r="AK123" s="1583"/>
      <c r="AL123" s="1583"/>
      <c r="AM123" s="1583"/>
      <c r="AN123" s="1583"/>
      <c r="AO123" s="1583"/>
    </row>
    <row r="124" spans="1:41" x14ac:dyDescent="0.6">
      <c r="A124" s="1432">
        <v>119</v>
      </c>
      <c r="B124" s="1587" t="s">
        <v>8419</v>
      </c>
      <c r="C124" s="1576" t="s">
        <v>8298</v>
      </c>
      <c r="D124" s="1578">
        <v>75470</v>
      </c>
      <c r="E124" s="1578">
        <f t="shared" si="18"/>
        <v>18112.8</v>
      </c>
      <c r="F124" s="1579">
        <v>85000</v>
      </c>
      <c r="G124" s="1485">
        <f t="shared" si="19"/>
        <v>20400</v>
      </c>
      <c r="H124" s="1485">
        <v>90000</v>
      </c>
      <c r="I124" s="1485">
        <f t="shared" si="20"/>
        <v>21600</v>
      </c>
      <c r="J124" s="1582">
        <v>110000</v>
      </c>
      <c r="K124" s="1582">
        <v>500</v>
      </c>
      <c r="L124" s="1525">
        <f t="shared" si="21"/>
        <v>120</v>
      </c>
      <c r="M124" s="1485">
        <f t="shared" si="22"/>
        <v>109500</v>
      </c>
      <c r="N124" s="1591">
        <v>0.24</v>
      </c>
      <c r="O124" s="1582">
        <f t="shared" si="23"/>
        <v>26280</v>
      </c>
      <c r="P124" s="1485">
        <f t="shared" si="24"/>
        <v>27375</v>
      </c>
      <c r="Q124" s="1485">
        <f t="shared" si="25"/>
        <v>6570</v>
      </c>
      <c r="R124" s="1485">
        <f t="shared" si="26"/>
        <v>27375</v>
      </c>
      <c r="S124" s="1525">
        <f t="shared" si="27"/>
        <v>6570</v>
      </c>
      <c r="T124" s="1485">
        <f t="shared" si="28"/>
        <v>27375</v>
      </c>
      <c r="U124" s="1525">
        <f t="shared" si="29"/>
        <v>6570</v>
      </c>
      <c r="V124" s="1485">
        <f t="shared" si="30"/>
        <v>27375</v>
      </c>
      <c r="W124" s="1525">
        <f t="shared" si="31"/>
        <v>6570</v>
      </c>
      <c r="X124" s="1485">
        <f t="shared" si="32"/>
        <v>109500</v>
      </c>
      <c r="Y124" s="1485">
        <f t="shared" si="33"/>
        <v>26280</v>
      </c>
      <c r="Z124" s="1527" t="s">
        <v>7799</v>
      </c>
      <c r="AA124" s="1379" t="s">
        <v>6526</v>
      </c>
      <c r="AB124" s="1583"/>
      <c r="AC124" s="1584" t="str">
        <f t="shared" si="34"/>
        <v>ok</v>
      </c>
      <c r="AD124" s="1583"/>
      <c r="AE124" s="1583"/>
      <c r="AF124" s="1583"/>
      <c r="AG124" s="1583"/>
      <c r="AH124" s="1583"/>
      <c r="AI124" s="1583"/>
      <c r="AJ124" s="1583"/>
      <c r="AK124" s="1583"/>
      <c r="AL124" s="1583"/>
      <c r="AM124" s="1583"/>
      <c r="AN124" s="1583"/>
      <c r="AO124" s="1583"/>
    </row>
    <row r="125" spans="1:41" x14ac:dyDescent="0.6">
      <c r="A125" s="1432">
        <v>120</v>
      </c>
      <c r="B125" s="1575" t="s">
        <v>8420</v>
      </c>
      <c r="C125" s="1576" t="s">
        <v>8296</v>
      </c>
      <c r="D125" s="1578">
        <v>3</v>
      </c>
      <c r="E125" s="1578">
        <f t="shared" si="18"/>
        <v>96.300000000000011</v>
      </c>
      <c r="F125" s="1579">
        <v>2</v>
      </c>
      <c r="G125" s="1485">
        <f t="shared" si="19"/>
        <v>64.2</v>
      </c>
      <c r="H125" s="1485">
        <v>5</v>
      </c>
      <c r="I125" s="1485">
        <f t="shared" si="20"/>
        <v>160.5</v>
      </c>
      <c r="J125" s="1582">
        <v>6</v>
      </c>
      <c r="K125" s="1582">
        <v>1</v>
      </c>
      <c r="L125" s="1525">
        <f t="shared" si="21"/>
        <v>32.1</v>
      </c>
      <c r="M125" s="1485">
        <f t="shared" si="22"/>
        <v>5</v>
      </c>
      <c r="N125" s="1581">
        <v>32.1</v>
      </c>
      <c r="O125" s="1582">
        <f t="shared" si="23"/>
        <v>160.5</v>
      </c>
      <c r="P125" s="1485">
        <v>5</v>
      </c>
      <c r="Q125" s="1485">
        <f t="shared" si="25"/>
        <v>160.5</v>
      </c>
      <c r="R125" s="1485">
        <v>0</v>
      </c>
      <c r="S125" s="1525">
        <f t="shared" si="27"/>
        <v>0</v>
      </c>
      <c r="T125" s="1485">
        <v>0</v>
      </c>
      <c r="U125" s="1525">
        <f t="shared" si="29"/>
        <v>0</v>
      </c>
      <c r="V125" s="1485">
        <v>0</v>
      </c>
      <c r="W125" s="1525">
        <f t="shared" si="31"/>
        <v>0</v>
      </c>
      <c r="X125" s="1485">
        <f t="shared" si="32"/>
        <v>5</v>
      </c>
      <c r="Y125" s="1485">
        <f t="shared" si="33"/>
        <v>160.5</v>
      </c>
      <c r="Z125" s="1527" t="s">
        <v>7799</v>
      </c>
      <c r="AA125" s="1379" t="s">
        <v>6526</v>
      </c>
      <c r="AB125" s="1583"/>
      <c r="AC125" s="1584" t="str">
        <f t="shared" si="34"/>
        <v>ok</v>
      </c>
      <c r="AD125" s="1583"/>
      <c r="AE125" s="1583"/>
      <c r="AF125" s="1583"/>
      <c r="AG125" s="1583"/>
      <c r="AH125" s="1583"/>
      <c r="AI125" s="1583"/>
      <c r="AJ125" s="1583"/>
      <c r="AK125" s="1583"/>
      <c r="AL125" s="1583"/>
      <c r="AM125" s="1583"/>
      <c r="AN125" s="1583"/>
      <c r="AO125" s="1583"/>
    </row>
    <row r="126" spans="1:41" x14ac:dyDescent="0.6">
      <c r="A126" s="1432">
        <v>121</v>
      </c>
      <c r="B126" s="1587" t="s">
        <v>8421</v>
      </c>
      <c r="C126" s="1576" t="s">
        <v>8305</v>
      </c>
      <c r="D126" s="1578">
        <v>1250</v>
      </c>
      <c r="E126" s="1578">
        <f t="shared" si="18"/>
        <v>6687.5</v>
      </c>
      <c r="F126" s="1579">
        <v>1500</v>
      </c>
      <c r="G126" s="1485">
        <f t="shared" si="19"/>
        <v>8024.9999999999991</v>
      </c>
      <c r="H126" s="1485">
        <v>1500</v>
      </c>
      <c r="I126" s="1485">
        <f t="shared" si="20"/>
        <v>8024.9999999999991</v>
      </c>
      <c r="J126" s="1582">
        <v>1700</v>
      </c>
      <c r="K126" s="1582">
        <v>200</v>
      </c>
      <c r="L126" s="1525">
        <f t="shared" si="21"/>
        <v>1070</v>
      </c>
      <c r="M126" s="1485">
        <f t="shared" si="22"/>
        <v>1500</v>
      </c>
      <c r="N126" s="1581">
        <v>5.35</v>
      </c>
      <c r="O126" s="1582">
        <f t="shared" si="23"/>
        <v>8024.9999999999991</v>
      </c>
      <c r="P126" s="1485">
        <f t="shared" si="24"/>
        <v>375</v>
      </c>
      <c r="Q126" s="1485">
        <f t="shared" si="25"/>
        <v>2006.2499999999998</v>
      </c>
      <c r="R126" s="1485">
        <f t="shared" si="26"/>
        <v>375</v>
      </c>
      <c r="S126" s="1525">
        <f t="shared" si="27"/>
        <v>2006.2499999999998</v>
      </c>
      <c r="T126" s="1485">
        <f t="shared" si="28"/>
        <v>375</v>
      </c>
      <c r="U126" s="1525">
        <f t="shared" si="29"/>
        <v>2006.2499999999998</v>
      </c>
      <c r="V126" s="1485">
        <f t="shared" si="30"/>
        <v>375</v>
      </c>
      <c r="W126" s="1525">
        <f t="shared" si="31"/>
        <v>2006.2499999999998</v>
      </c>
      <c r="X126" s="1485">
        <f t="shared" si="32"/>
        <v>1500</v>
      </c>
      <c r="Y126" s="1485">
        <f t="shared" si="33"/>
        <v>8024.9999999999991</v>
      </c>
      <c r="Z126" s="1527" t="s">
        <v>7799</v>
      </c>
      <c r="AA126" s="1379" t="s">
        <v>6526</v>
      </c>
      <c r="AB126" s="1583"/>
      <c r="AC126" s="1584" t="str">
        <f t="shared" si="34"/>
        <v>ok</v>
      </c>
      <c r="AD126" s="1583"/>
      <c r="AE126" s="1583"/>
      <c r="AF126" s="1583"/>
      <c r="AG126" s="1583"/>
      <c r="AH126" s="1583"/>
      <c r="AI126" s="1583"/>
      <c r="AJ126" s="1583"/>
      <c r="AK126" s="1583"/>
      <c r="AL126" s="1583"/>
      <c r="AM126" s="1583"/>
      <c r="AN126" s="1583"/>
      <c r="AO126" s="1583"/>
    </row>
    <row r="127" spans="1:41" x14ac:dyDescent="0.6">
      <c r="A127" s="1432">
        <v>122</v>
      </c>
      <c r="B127" s="1587" t="s">
        <v>8422</v>
      </c>
      <c r="C127" s="1576" t="s">
        <v>8305</v>
      </c>
      <c r="D127" s="1578">
        <v>30</v>
      </c>
      <c r="E127" s="1578">
        <f t="shared" si="18"/>
        <v>1200</v>
      </c>
      <c r="F127" s="1579">
        <v>65</v>
      </c>
      <c r="G127" s="1485">
        <f t="shared" si="19"/>
        <v>2600</v>
      </c>
      <c r="H127" s="1485">
        <v>110</v>
      </c>
      <c r="I127" s="1485">
        <f t="shared" si="20"/>
        <v>4400</v>
      </c>
      <c r="J127" s="1582">
        <v>130</v>
      </c>
      <c r="K127" s="1582">
        <v>20</v>
      </c>
      <c r="L127" s="1525">
        <f t="shared" si="21"/>
        <v>800</v>
      </c>
      <c r="M127" s="1485">
        <f t="shared" si="22"/>
        <v>110</v>
      </c>
      <c r="N127" s="1581">
        <v>40</v>
      </c>
      <c r="O127" s="1582">
        <f t="shared" si="23"/>
        <v>4400</v>
      </c>
      <c r="P127" s="1485">
        <v>27</v>
      </c>
      <c r="Q127" s="1485">
        <f t="shared" si="25"/>
        <v>1080</v>
      </c>
      <c r="R127" s="1485">
        <v>28</v>
      </c>
      <c r="S127" s="1525">
        <f t="shared" si="27"/>
        <v>1120</v>
      </c>
      <c r="T127" s="1485">
        <v>27</v>
      </c>
      <c r="U127" s="1525">
        <f t="shared" si="29"/>
        <v>1080</v>
      </c>
      <c r="V127" s="1485">
        <v>28</v>
      </c>
      <c r="W127" s="1525">
        <f t="shared" si="31"/>
        <v>1120</v>
      </c>
      <c r="X127" s="1485">
        <f t="shared" si="32"/>
        <v>110</v>
      </c>
      <c r="Y127" s="1485">
        <f t="shared" si="33"/>
        <v>4400</v>
      </c>
      <c r="Z127" s="1527" t="s">
        <v>7799</v>
      </c>
      <c r="AA127" s="1379" t="s">
        <v>6526</v>
      </c>
      <c r="AB127" s="1583"/>
      <c r="AC127" s="1584" t="str">
        <f t="shared" si="34"/>
        <v>ok</v>
      </c>
      <c r="AD127" s="1583"/>
      <c r="AE127" s="1583"/>
      <c r="AF127" s="1583"/>
      <c r="AG127" s="1583"/>
      <c r="AH127" s="1583"/>
      <c r="AI127" s="1583"/>
      <c r="AJ127" s="1583"/>
      <c r="AK127" s="1583"/>
      <c r="AL127" s="1583"/>
      <c r="AM127" s="1583"/>
      <c r="AN127" s="1583"/>
      <c r="AO127" s="1583"/>
    </row>
    <row r="128" spans="1:41" x14ac:dyDescent="0.6">
      <c r="A128" s="1432">
        <v>123</v>
      </c>
      <c r="B128" s="1587" t="s">
        <v>8423</v>
      </c>
      <c r="C128" s="1576" t="s">
        <v>8298</v>
      </c>
      <c r="D128" s="1578">
        <v>19930</v>
      </c>
      <c r="E128" s="1578">
        <f t="shared" si="18"/>
        <v>5779.7</v>
      </c>
      <c r="F128" s="1579">
        <v>25000</v>
      </c>
      <c r="G128" s="1485">
        <f t="shared" si="19"/>
        <v>7249.9999999999991</v>
      </c>
      <c r="H128" s="1485">
        <v>2300</v>
      </c>
      <c r="I128" s="1485">
        <f t="shared" si="20"/>
        <v>667</v>
      </c>
      <c r="J128" s="1582">
        <v>2700</v>
      </c>
      <c r="K128" s="1582">
        <v>4000</v>
      </c>
      <c r="L128" s="1525">
        <f t="shared" si="21"/>
        <v>1160</v>
      </c>
      <c r="M128" s="1485">
        <f t="shared" si="22"/>
        <v>-1300</v>
      </c>
      <c r="N128" s="1581">
        <v>0.28999999999999998</v>
      </c>
      <c r="O128" s="1582">
        <f t="shared" si="23"/>
        <v>-377</v>
      </c>
      <c r="P128" s="1485">
        <f t="shared" si="24"/>
        <v>-325</v>
      </c>
      <c r="Q128" s="1485">
        <f t="shared" si="25"/>
        <v>-94.25</v>
      </c>
      <c r="R128" s="1485">
        <f t="shared" si="26"/>
        <v>-325</v>
      </c>
      <c r="S128" s="1525">
        <f t="shared" si="27"/>
        <v>-94.25</v>
      </c>
      <c r="T128" s="1485">
        <f t="shared" si="28"/>
        <v>-325</v>
      </c>
      <c r="U128" s="1525">
        <f t="shared" si="29"/>
        <v>-94.25</v>
      </c>
      <c r="V128" s="1485">
        <f t="shared" si="30"/>
        <v>-325</v>
      </c>
      <c r="W128" s="1525">
        <f t="shared" si="31"/>
        <v>-94.25</v>
      </c>
      <c r="X128" s="1485">
        <f t="shared" si="32"/>
        <v>-1300</v>
      </c>
      <c r="Y128" s="1485">
        <f t="shared" si="33"/>
        <v>-377</v>
      </c>
      <c r="Z128" s="1527" t="s">
        <v>7799</v>
      </c>
      <c r="AA128" s="1379" t="s">
        <v>6526</v>
      </c>
      <c r="AB128" s="1583"/>
      <c r="AC128" s="1584" t="str">
        <f t="shared" si="34"/>
        <v>ok</v>
      </c>
      <c r="AD128" s="1583"/>
      <c r="AE128" s="1583"/>
      <c r="AF128" s="1583"/>
      <c r="AG128" s="1583"/>
      <c r="AH128" s="1583"/>
      <c r="AI128" s="1583"/>
      <c r="AJ128" s="1583"/>
      <c r="AK128" s="1583"/>
      <c r="AL128" s="1583"/>
      <c r="AM128" s="1583"/>
      <c r="AN128" s="1583"/>
      <c r="AO128" s="1583"/>
    </row>
    <row r="129" spans="1:41" x14ac:dyDescent="0.6">
      <c r="A129" s="1432">
        <v>124</v>
      </c>
      <c r="B129" s="1587" t="s">
        <v>8424</v>
      </c>
      <c r="C129" s="1576" t="s">
        <v>8298</v>
      </c>
      <c r="D129" s="1578">
        <f>18000+42500</f>
        <v>60500</v>
      </c>
      <c r="E129" s="1578">
        <f t="shared" si="18"/>
        <v>53058.5</v>
      </c>
      <c r="F129" s="1579">
        <v>62000</v>
      </c>
      <c r="G129" s="1485">
        <f t="shared" si="19"/>
        <v>54374</v>
      </c>
      <c r="H129" s="1485">
        <v>50000</v>
      </c>
      <c r="I129" s="1485">
        <f t="shared" si="20"/>
        <v>43850</v>
      </c>
      <c r="J129" s="1582">
        <v>64000</v>
      </c>
      <c r="K129" s="1582">
        <v>5000</v>
      </c>
      <c r="L129" s="1525">
        <f t="shared" si="21"/>
        <v>4385</v>
      </c>
      <c r="M129" s="1485">
        <f t="shared" si="22"/>
        <v>59000</v>
      </c>
      <c r="N129" s="1581">
        <v>0.877</v>
      </c>
      <c r="O129" s="1582">
        <f t="shared" si="23"/>
        <v>51743</v>
      </c>
      <c r="P129" s="1485">
        <f t="shared" si="24"/>
        <v>14750</v>
      </c>
      <c r="Q129" s="1485">
        <f t="shared" si="25"/>
        <v>12935.75</v>
      </c>
      <c r="R129" s="1485">
        <f t="shared" si="26"/>
        <v>14750</v>
      </c>
      <c r="S129" s="1525">
        <f t="shared" si="27"/>
        <v>12935.75</v>
      </c>
      <c r="T129" s="1485">
        <f t="shared" si="28"/>
        <v>14750</v>
      </c>
      <c r="U129" s="1525">
        <f t="shared" si="29"/>
        <v>12935.75</v>
      </c>
      <c r="V129" s="1485">
        <f t="shared" si="30"/>
        <v>14750</v>
      </c>
      <c r="W129" s="1525">
        <f t="shared" si="31"/>
        <v>12935.75</v>
      </c>
      <c r="X129" s="1485">
        <f t="shared" si="32"/>
        <v>59000</v>
      </c>
      <c r="Y129" s="1485">
        <f t="shared" si="33"/>
        <v>51743</v>
      </c>
      <c r="Z129" s="1527" t="s">
        <v>7799</v>
      </c>
      <c r="AA129" s="1379" t="s">
        <v>6526</v>
      </c>
      <c r="AB129" s="1583"/>
      <c r="AC129" s="1584" t="str">
        <f t="shared" si="34"/>
        <v>ok</v>
      </c>
      <c r="AD129" s="1583"/>
      <c r="AE129" s="1583"/>
      <c r="AF129" s="1583"/>
      <c r="AG129" s="1583"/>
      <c r="AH129" s="1583"/>
      <c r="AI129" s="1583"/>
      <c r="AJ129" s="1583"/>
      <c r="AK129" s="1583"/>
      <c r="AL129" s="1583"/>
      <c r="AM129" s="1583"/>
      <c r="AN129" s="1583"/>
      <c r="AO129" s="1583"/>
    </row>
    <row r="130" spans="1:41" x14ac:dyDescent="0.6">
      <c r="A130" s="1432">
        <v>125</v>
      </c>
      <c r="B130" s="1599" t="s">
        <v>8425</v>
      </c>
      <c r="C130" s="1576" t="s">
        <v>8305</v>
      </c>
      <c r="D130" s="1578">
        <v>190</v>
      </c>
      <c r="E130" s="1578">
        <f t="shared" si="18"/>
        <v>828.40000000000009</v>
      </c>
      <c r="F130" s="1579">
        <v>300</v>
      </c>
      <c r="G130" s="1485">
        <f t="shared" si="19"/>
        <v>1308</v>
      </c>
      <c r="H130" s="1485">
        <v>100</v>
      </c>
      <c r="I130" s="1485">
        <f t="shared" si="20"/>
        <v>436.00000000000006</v>
      </c>
      <c r="J130" s="1582">
        <v>350</v>
      </c>
      <c r="K130" s="1582">
        <v>70</v>
      </c>
      <c r="L130" s="1525">
        <f t="shared" si="21"/>
        <v>305.20000000000005</v>
      </c>
      <c r="M130" s="1485">
        <f t="shared" si="22"/>
        <v>280</v>
      </c>
      <c r="N130" s="1581">
        <v>4.3600000000000003</v>
      </c>
      <c r="O130" s="1582">
        <f t="shared" si="23"/>
        <v>1220.8000000000002</v>
      </c>
      <c r="P130" s="1485">
        <f t="shared" si="24"/>
        <v>70</v>
      </c>
      <c r="Q130" s="1485">
        <f t="shared" si="25"/>
        <v>305.20000000000005</v>
      </c>
      <c r="R130" s="1485">
        <f t="shared" si="26"/>
        <v>70</v>
      </c>
      <c r="S130" s="1525">
        <f t="shared" si="27"/>
        <v>305.20000000000005</v>
      </c>
      <c r="T130" s="1485">
        <f t="shared" si="28"/>
        <v>70</v>
      </c>
      <c r="U130" s="1525">
        <f t="shared" si="29"/>
        <v>305.20000000000005</v>
      </c>
      <c r="V130" s="1485">
        <f t="shared" si="30"/>
        <v>70</v>
      </c>
      <c r="W130" s="1525">
        <f t="shared" si="31"/>
        <v>305.20000000000005</v>
      </c>
      <c r="X130" s="1485">
        <f t="shared" si="32"/>
        <v>280</v>
      </c>
      <c r="Y130" s="1485">
        <f t="shared" si="33"/>
        <v>1220.8000000000002</v>
      </c>
      <c r="Z130" s="1527" t="s">
        <v>7799</v>
      </c>
      <c r="AA130" s="1379" t="s">
        <v>6526</v>
      </c>
      <c r="AB130" s="1583"/>
      <c r="AC130" s="1584" t="str">
        <f t="shared" si="34"/>
        <v>ok</v>
      </c>
      <c r="AD130" s="1583"/>
      <c r="AE130" s="1583"/>
      <c r="AF130" s="1583"/>
      <c r="AG130" s="1583"/>
      <c r="AH130" s="1583"/>
      <c r="AI130" s="1583"/>
      <c r="AJ130" s="1583"/>
      <c r="AK130" s="1583"/>
      <c r="AL130" s="1583"/>
      <c r="AM130" s="1583"/>
      <c r="AN130" s="1583"/>
      <c r="AO130" s="1583"/>
    </row>
    <row r="131" spans="1:41" x14ac:dyDescent="0.6">
      <c r="A131" s="1432">
        <v>126</v>
      </c>
      <c r="B131" s="1587" t="s">
        <v>8426</v>
      </c>
      <c r="C131" s="1576" t="s">
        <v>8298</v>
      </c>
      <c r="D131" s="1578">
        <f>299500+100000+150000+97000</f>
        <v>646500</v>
      </c>
      <c r="E131" s="1578">
        <f t="shared" si="18"/>
        <v>144816</v>
      </c>
      <c r="F131" s="1579">
        <v>675000</v>
      </c>
      <c r="G131" s="1485">
        <f t="shared" si="19"/>
        <v>151200</v>
      </c>
      <c r="H131" s="1485">
        <v>670000</v>
      </c>
      <c r="I131" s="1485">
        <f t="shared" si="20"/>
        <v>150080</v>
      </c>
      <c r="J131" s="1582">
        <v>750000</v>
      </c>
      <c r="K131" s="1582">
        <v>20000</v>
      </c>
      <c r="L131" s="1525">
        <f t="shared" si="21"/>
        <v>4480</v>
      </c>
      <c r="M131" s="1485">
        <f t="shared" si="22"/>
        <v>730000</v>
      </c>
      <c r="N131" s="1591">
        <v>0.224</v>
      </c>
      <c r="O131" s="1582">
        <f t="shared" si="23"/>
        <v>163520</v>
      </c>
      <c r="P131" s="1485">
        <f t="shared" si="24"/>
        <v>182500</v>
      </c>
      <c r="Q131" s="1485">
        <f t="shared" si="25"/>
        <v>40880</v>
      </c>
      <c r="R131" s="1485">
        <f t="shared" si="26"/>
        <v>182500</v>
      </c>
      <c r="S131" s="1525">
        <f t="shared" si="27"/>
        <v>40880</v>
      </c>
      <c r="T131" s="1485">
        <f t="shared" si="28"/>
        <v>182500</v>
      </c>
      <c r="U131" s="1525">
        <f t="shared" si="29"/>
        <v>40880</v>
      </c>
      <c r="V131" s="1485">
        <f t="shared" si="30"/>
        <v>182500</v>
      </c>
      <c r="W131" s="1525">
        <f t="shared" si="31"/>
        <v>40880</v>
      </c>
      <c r="X131" s="1485">
        <f t="shared" si="32"/>
        <v>730000</v>
      </c>
      <c r="Y131" s="1485">
        <f t="shared" si="33"/>
        <v>163520</v>
      </c>
      <c r="Z131" s="1527" t="s">
        <v>7799</v>
      </c>
      <c r="AA131" s="1379" t="s">
        <v>6526</v>
      </c>
      <c r="AB131" s="1583"/>
      <c r="AC131" s="1584" t="str">
        <f t="shared" si="34"/>
        <v>ok</v>
      </c>
      <c r="AD131" s="1583"/>
      <c r="AE131" s="1583"/>
      <c r="AF131" s="1583"/>
      <c r="AG131" s="1583"/>
      <c r="AH131" s="1583"/>
      <c r="AI131" s="1583"/>
      <c r="AJ131" s="1583"/>
      <c r="AK131" s="1583"/>
      <c r="AL131" s="1583"/>
      <c r="AM131" s="1583"/>
      <c r="AN131" s="1583"/>
      <c r="AO131" s="1583"/>
    </row>
    <row r="132" spans="1:41" x14ac:dyDescent="0.6">
      <c r="A132" s="1432">
        <v>127</v>
      </c>
      <c r="B132" s="1587" t="s">
        <v>8427</v>
      </c>
      <c r="C132" s="1576" t="s">
        <v>8298</v>
      </c>
      <c r="D132" s="1578">
        <f>31050+13000</f>
        <v>44050</v>
      </c>
      <c r="E132" s="1578">
        <f t="shared" si="18"/>
        <v>10131.5</v>
      </c>
      <c r="F132" s="1579">
        <v>46000</v>
      </c>
      <c r="G132" s="1485">
        <f t="shared" si="19"/>
        <v>10580</v>
      </c>
      <c r="H132" s="1485">
        <v>60000</v>
      </c>
      <c r="I132" s="1485">
        <f t="shared" si="20"/>
        <v>13800</v>
      </c>
      <c r="J132" s="1582">
        <v>70000</v>
      </c>
      <c r="K132" s="1582">
        <v>3000</v>
      </c>
      <c r="L132" s="1525">
        <f t="shared" si="21"/>
        <v>690</v>
      </c>
      <c r="M132" s="1485">
        <f t="shared" si="22"/>
        <v>67000</v>
      </c>
      <c r="N132" s="1581">
        <v>0.23</v>
      </c>
      <c r="O132" s="1582">
        <f t="shared" si="23"/>
        <v>15410</v>
      </c>
      <c r="P132" s="1485">
        <f t="shared" si="24"/>
        <v>16750</v>
      </c>
      <c r="Q132" s="1485">
        <f t="shared" si="25"/>
        <v>3852.5</v>
      </c>
      <c r="R132" s="1485">
        <f t="shared" si="26"/>
        <v>16750</v>
      </c>
      <c r="S132" s="1525">
        <f t="shared" si="27"/>
        <v>3852.5</v>
      </c>
      <c r="T132" s="1485">
        <f t="shared" si="28"/>
        <v>16750</v>
      </c>
      <c r="U132" s="1525">
        <f t="shared" si="29"/>
        <v>3852.5</v>
      </c>
      <c r="V132" s="1485">
        <f t="shared" si="30"/>
        <v>16750</v>
      </c>
      <c r="W132" s="1525">
        <f t="shared" si="31"/>
        <v>3852.5</v>
      </c>
      <c r="X132" s="1485">
        <f t="shared" si="32"/>
        <v>67000</v>
      </c>
      <c r="Y132" s="1485">
        <f t="shared" si="33"/>
        <v>15410</v>
      </c>
      <c r="Z132" s="1527" t="s">
        <v>7799</v>
      </c>
      <c r="AA132" s="1379" t="s">
        <v>6526</v>
      </c>
      <c r="AB132" s="1583"/>
      <c r="AC132" s="1584" t="str">
        <f t="shared" si="34"/>
        <v>ok</v>
      </c>
      <c r="AD132" s="1583"/>
      <c r="AE132" s="1583"/>
      <c r="AF132" s="1583"/>
      <c r="AG132" s="1583"/>
      <c r="AH132" s="1583"/>
      <c r="AI132" s="1583"/>
      <c r="AJ132" s="1583"/>
      <c r="AK132" s="1583"/>
      <c r="AL132" s="1583"/>
      <c r="AM132" s="1583"/>
      <c r="AN132" s="1583"/>
      <c r="AO132" s="1583"/>
    </row>
    <row r="133" spans="1:41" x14ac:dyDescent="0.6">
      <c r="A133" s="1432">
        <v>128</v>
      </c>
      <c r="B133" s="1587" t="s">
        <v>8428</v>
      </c>
      <c r="C133" s="1576" t="s">
        <v>8298</v>
      </c>
      <c r="D133" s="1597">
        <v>1900</v>
      </c>
      <c r="E133" s="1578">
        <f t="shared" si="18"/>
        <v>3800</v>
      </c>
      <c r="F133" s="1579">
        <v>2000</v>
      </c>
      <c r="G133" s="1485">
        <f t="shared" si="19"/>
        <v>4000</v>
      </c>
      <c r="H133" s="1485">
        <v>2000</v>
      </c>
      <c r="I133" s="1485">
        <f t="shared" si="20"/>
        <v>4000</v>
      </c>
      <c r="J133" s="1582">
        <v>2500</v>
      </c>
      <c r="K133" s="1582">
        <v>500</v>
      </c>
      <c r="L133" s="1525">
        <f t="shared" si="21"/>
        <v>1000</v>
      </c>
      <c r="M133" s="1485">
        <f t="shared" si="22"/>
        <v>2000</v>
      </c>
      <c r="N133" s="1598">
        <f>200/100</f>
        <v>2</v>
      </c>
      <c r="O133" s="1582">
        <f t="shared" si="23"/>
        <v>4000</v>
      </c>
      <c r="P133" s="1485">
        <f t="shared" si="24"/>
        <v>500</v>
      </c>
      <c r="Q133" s="1485">
        <f t="shared" si="25"/>
        <v>1000</v>
      </c>
      <c r="R133" s="1485">
        <f t="shared" si="26"/>
        <v>500</v>
      </c>
      <c r="S133" s="1525">
        <f t="shared" si="27"/>
        <v>1000</v>
      </c>
      <c r="T133" s="1485">
        <f t="shared" si="28"/>
        <v>500</v>
      </c>
      <c r="U133" s="1525">
        <f t="shared" si="29"/>
        <v>1000</v>
      </c>
      <c r="V133" s="1485">
        <f t="shared" si="30"/>
        <v>500</v>
      </c>
      <c r="W133" s="1525">
        <f t="shared" si="31"/>
        <v>1000</v>
      </c>
      <c r="X133" s="1485">
        <f t="shared" si="32"/>
        <v>2000</v>
      </c>
      <c r="Y133" s="1485">
        <f t="shared" si="33"/>
        <v>4000</v>
      </c>
      <c r="Z133" s="1527" t="s">
        <v>7799</v>
      </c>
      <c r="AA133" s="1379" t="s">
        <v>6526</v>
      </c>
      <c r="AB133" s="1583"/>
      <c r="AC133" s="1584" t="str">
        <f t="shared" si="34"/>
        <v>ok</v>
      </c>
      <c r="AD133" s="1583"/>
      <c r="AE133" s="1583"/>
      <c r="AF133" s="1583"/>
      <c r="AG133" s="1583"/>
      <c r="AH133" s="1583"/>
      <c r="AI133" s="1583"/>
      <c r="AJ133" s="1583"/>
      <c r="AK133" s="1583"/>
      <c r="AL133" s="1583"/>
      <c r="AM133" s="1583"/>
      <c r="AN133" s="1583"/>
      <c r="AO133" s="1583"/>
    </row>
    <row r="134" spans="1:41" ht="39" customHeight="1" x14ac:dyDescent="0.6">
      <c r="A134" s="1432">
        <v>129</v>
      </c>
      <c r="B134" s="1587" t="s">
        <v>8429</v>
      </c>
      <c r="C134" s="1576" t="s">
        <v>8296</v>
      </c>
      <c r="D134" s="1578">
        <v>1794</v>
      </c>
      <c r="E134" s="1578">
        <f t="shared" si="18"/>
        <v>16146</v>
      </c>
      <c r="F134" s="1579">
        <v>1850</v>
      </c>
      <c r="G134" s="1485">
        <f t="shared" si="19"/>
        <v>16650</v>
      </c>
      <c r="H134" s="1485">
        <v>1200</v>
      </c>
      <c r="I134" s="1485">
        <f t="shared" si="20"/>
        <v>10800</v>
      </c>
      <c r="J134" s="1582">
        <v>1900</v>
      </c>
      <c r="K134" s="1582">
        <v>400</v>
      </c>
      <c r="L134" s="1525">
        <f t="shared" si="21"/>
        <v>3600</v>
      </c>
      <c r="M134" s="1485">
        <f t="shared" si="22"/>
        <v>1500</v>
      </c>
      <c r="N134" s="1581">
        <v>9</v>
      </c>
      <c r="O134" s="1582">
        <f t="shared" si="23"/>
        <v>13500</v>
      </c>
      <c r="P134" s="1485">
        <f t="shared" si="24"/>
        <v>375</v>
      </c>
      <c r="Q134" s="1485">
        <f t="shared" si="25"/>
        <v>3375</v>
      </c>
      <c r="R134" s="1485">
        <f t="shared" si="26"/>
        <v>375</v>
      </c>
      <c r="S134" s="1525">
        <f t="shared" si="27"/>
        <v>3375</v>
      </c>
      <c r="T134" s="1485">
        <f t="shared" si="28"/>
        <v>375</v>
      </c>
      <c r="U134" s="1525">
        <f t="shared" si="29"/>
        <v>3375</v>
      </c>
      <c r="V134" s="1485">
        <f t="shared" si="30"/>
        <v>375</v>
      </c>
      <c r="W134" s="1525">
        <f t="shared" si="31"/>
        <v>3375</v>
      </c>
      <c r="X134" s="1485">
        <f t="shared" si="32"/>
        <v>1500</v>
      </c>
      <c r="Y134" s="1485">
        <f t="shared" si="33"/>
        <v>13500</v>
      </c>
      <c r="Z134" s="1527" t="s">
        <v>7799</v>
      </c>
      <c r="AA134" s="1379" t="s">
        <v>6526</v>
      </c>
      <c r="AB134" s="1583"/>
      <c r="AC134" s="1584" t="str">
        <f t="shared" si="34"/>
        <v>ok</v>
      </c>
      <c r="AD134" s="1583"/>
      <c r="AE134" s="1583"/>
      <c r="AF134" s="1583"/>
      <c r="AG134" s="1583"/>
      <c r="AH134" s="1583"/>
      <c r="AI134" s="1583"/>
      <c r="AJ134" s="1583"/>
      <c r="AK134" s="1583"/>
      <c r="AL134" s="1583"/>
      <c r="AM134" s="1583"/>
      <c r="AN134" s="1583"/>
      <c r="AO134" s="1583"/>
    </row>
    <row r="135" spans="1:41" x14ac:dyDescent="0.6">
      <c r="A135" s="1432">
        <v>130</v>
      </c>
      <c r="B135" s="1587" t="s">
        <v>8430</v>
      </c>
      <c r="C135" s="1576" t="s">
        <v>8298</v>
      </c>
      <c r="D135" s="1578">
        <v>60</v>
      </c>
      <c r="E135" s="1578">
        <f t="shared" si="18"/>
        <v>490.56</v>
      </c>
      <c r="F135" s="1579">
        <v>60</v>
      </c>
      <c r="G135" s="1485">
        <f t="shared" si="19"/>
        <v>490.56</v>
      </c>
      <c r="H135" s="1485">
        <v>0</v>
      </c>
      <c r="I135" s="1485">
        <f t="shared" si="20"/>
        <v>0</v>
      </c>
      <c r="J135" s="1582">
        <v>60</v>
      </c>
      <c r="K135" s="1582">
        <v>0</v>
      </c>
      <c r="L135" s="1525">
        <f t="shared" si="21"/>
        <v>0</v>
      </c>
      <c r="M135" s="1485">
        <f t="shared" si="22"/>
        <v>60</v>
      </c>
      <c r="N135" s="1598">
        <v>8.1760000000000002</v>
      </c>
      <c r="O135" s="1582">
        <f t="shared" si="23"/>
        <v>490.56</v>
      </c>
      <c r="P135" s="1485">
        <f t="shared" si="24"/>
        <v>15</v>
      </c>
      <c r="Q135" s="1485">
        <f t="shared" si="25"/>
        <v>122.64</v>
      </c>
      <c r="R135" s="1485">
        <f t="shared" si="26"/>
        <v>15</v>
      </c>
      <c r="S135" s="1525">
        <f t="shared" si="27"/>
        <v>122.64</v>
      </c>
      <c r="T135" s="1485">
        <f t="shared" si="28"/>
        <v>15</v>
      </c>
      <c r="U135" s="1525">
        <f t="shared" si="29"/>
        <v>122.64</v>
      </c>
      <c r="V135" s="1485">
        <f t="shared" si="30"/>
        <v>15</v>
      </c>
      <c r="W135" s="1525">
        <f t="shared" si="31"/>
        <v>122.64</v>
      </c>
      <c r="X135" s="1485">
        <f t="shared" si="32"/>
        <v>60</v>
      </c>
      <c r="Y135" s="1485">
        <f t="shared" si="33"/>
        <v>490.56</v>
      </c>
      <c r="Z135" s="1527" t="s">
        <v>7799</v>
      </c>
      <c r="AA135" s="1379" t="s">
        <v>6526</v>
      </c>
      <c r="AB135" s="1583"/>
      <c r="AC135" s="1584" t="str">
        <f t="shared" si="34"/>
        <v>ok</v>
      </c>
      <c r="AD135" s="1583"/>
      <c r="AE135" s="1583"/>
      <c r="AF135" s="1583"/>
      <c r="AG135" s="1583"/>
      <c r="AH135" s="1583"/>
      <c r="AI135" s="1583"/>
      <c r="AJ135" s="1583"/>
      <c r="AK135" s="1583"/>
      <c r="AL135" s="1583"/>
      <c r="AM135" s="1583"/>
      <c r="AN135" s="1583"/>
      <c r="AO135" s="1583"/>
    </row>
    <row r="136" spans="1:41" x14ac:dyDescent="0.6">
      <c r="A136" s="1432">
        <v>131</v>
      </c>
      <c r="B136" s="1587" t="s">
        <v>8431</v>
      </c>
      <c r="C136" s="1576" t="s">
        <v>8305</v>
      </c>
      <c r="D136" s="1578">
        <v>30</v>
      </c>
      <c r="E136" s="1578">
        <f t="shared" ref="E136:E199" si="35">D136*N136</f>
        <v>291.60000000000002</v>
      </c>
      <c r="F136" s="1579">
        <v>100</v>
      </c>
      <c r="G136" s="1485">
        <f t="shared" ref="G136:G199" si="36">F136*N136</f>
        <v>972.00000000000011</v>
      </c>
      <c r="H136" s="1485">
        <v>150</v>
      </c>
      <c r="I136" s="1485">
        <f t="shared" si="20"/>
        <v>1458</v>
      </c>
      <c r="J136" s="1582">
        <v>190</v>
      </c>
      <c r="K136" s="1582">
        <v>50</v>
      </c>
      <c r="L136" s="1525">
        <f t="shared" si="21"/>
        <v>486.00000000000006</v>
      </c>
      <c r="M136" s="1485">
        <f t="shared" si="22"/>
        <v>140</v>
      </c>
      <c r="N136" s="1581">
        <v>9.7200000000000006</v>
      </c>
      <c r="O136" s="1582">
        <f t="shared" si="23"/>
        <v>1360.8000000000002</v>
      </c>
      <c r="P136" s="1485">
        <v>140</v>
      </c>
      <c r="Q136" s="1485">
        <f t="shared" si="25"/>
        <v>1360.8000000000002</v>
      </c>
      <c r="R136" s="1485">
        <v>0</v>
      </c>
      <c r="S136" s="1525">
        <f t="shared" si="27"/>
        <v>0</v>
      </c>
      <c r="T136" s="1485">
        <v>0</v>
      </c>
      <c r="U136" s="1525">
        <f t="shared" si="29"/>
        <v>0</v>
      </c>
      <c r="V136" s="1485">
        <v>0</v>
      </c>
      <c r="W136" s="1525">
        <f t="shared" si="31"/>
        <v>0</v>
      </c>
      <c r="X136" s="1485">
        <f t="shared" si="32"/>
        <v>140</v>
      </c>
      <c r="Y136" s="1485">
        <f t="shared" si="33"/>
        <v>1360.8000000000002</v>
      </c>
      <c r="Z136" s="1527" t="s">
        <v>7799</v>
      </c>
      <c r="AA136" s="1379" t="s">
        <v>6526</v>
      </c>
      <c r="AB136" s="1583"/>
      <c r="AC136" s="1584" t="str">
        <f t="shared" si="34"/>
        <v>ok</v>
      </c>
      <c r="AD136" s="1583"/>
      <c r="AE136" s="1583"/>
      <c r="AF136" s="1583"/>
      <c r="AG136" s="1583"/>
      <c r="AH136" s="1583"/>
      <c r="AI136" s="1583"/>
      <c r="AJ136" s="1583"/>
      <c r="AK136" s="1583"/>
      <c r="AL136" s="1583"/>
      <c r="AM136" s="1583"/>
      <c r="AN136" s="1583"/>
      <c r="AO136" s="1583"/>
    </row>
    <row r="137" spans="1:41" x14ac:dyDescent="0.6">
      <c r="A137" s="1432">
        <v>132</v>
      </c>
      <c r="B137" s="1587" t="s">
        <v>8432</v>
      </c>
      <c r="C137" s="1576" t="s">
        <v>8298</v>
      </c>
      <c r="D137" s="1578">
        <v>2000</v>
      </c>
      <c r="E137" s="1578">
        <f t="shared" si="35"/>
        <v>880</v>
      </c>
      <c r="F137" s="1579">
        <v>3000</v>
      </c>
      <c r="G137" s="1485">
        <f t="shared" si="36"/>
        <v>1320</v>
      </c>
      <c r="H137" s="1485">
        <v>2000</v>
      </c>
      <c r="I137" s="1485">
        <f t="shared" ref="I137:I200" si="37">H137*N137</f>
        <v>880</v>
      </c>
      <c r="J137" s="1582">
        <v>3500</v>
      </c>
      <c r="K137" s="1582">
        <v>1000</v>
      </c>
      <c r="L137" s="1525">
        <f t="shared" ref="L137:L200" si="38">K137*N137</f>
        <v>440</v>
      </c>
      <c r="M137" s="1485">
        <f t="shared" ref="M137:M200" si="39">J137-K137</f>
        <v>2500</v>
      </c>
      <c r="N137" s="1581">
        <v>0.44</v>
      </c>
      <c r="O137" s="1582">
        <f t="shared" ref="O137:O200" si="40">M137*N137</f>
        <v>1100</v>
      </c>
      <c r="P137" s="1485">
        <f t="shared" ref="P137:P200" si="41">M137/4</f>
        <v>625</v>
      </c>
      <c r="Q137" s="1485">
        <f t="shared" ref="Q137:Q200" si="42">P137*N137</f>
        <v>275</v>
      </c>
      <c r="R137" s="1485">
        <f t="shared" ref="R137:R200" si="43">M137/4</f>
        <v>625</v>
      </c>
      <c r="S137" s="1525">
        <f t="shared" ref="S137:S200" si="44">R137*N137</f>
        <v>275</v>
      </c>
      <c r="T137" s="1485">
        <f t="shared" ref="T137:T200" si="45">M137/4</f>
        <v>625</v>
      </c>
      <c r="U137" s="1525">
        <f t="shared" ref="U137:U200" si="46">T137*N137</f>
        <v>275</v>
      </c>
      <c r="V137" s="1485">
        <f t="shared" ref="V137:V200" si="47">M137/4</f>
        <v>625</v>
      </c>
      <c r="W137" s="1525">
        <f t="shared" ref="W137:W200" si="48">V137*N137</f>
        <v>275</v>
      </c>
      <c r="X137" s="1485">
        <f t="shared" ref="X137:X200" si="49">P137+R137+T137+V137</f>
        <v>2500</v>
      </c>
      <c r="Y137" s="1485">
        <f t="shared" ref="Y137:Y200" si="50">X137*N137</f>
        <v>1100</v>
      </c>
      <c r="Z137" s="1527" t="s">
        <v>7799</v>
      </c>
      <c r="AA137" s="1379" t="s">
        <v>6526</v>
      </c>
      <c r="AB137" s="1583"/>
      <c r="AC137" s="1584" t="str">
        <f t="shared" ref="AC137:AC200" si="51">IF(M137=X137,"ok")</f>
        <v>ok</v>
      </c>
      <c r="AD137" s="1583"/>
      <c r="AE137" s="1583"/>
      <c r="AF137" s="1583"/>
      <c r="AG137" s="1583"/>
      <c r="AH137" s="1583"/>
      <c r="AI137" s="1583"/>
      <c r="AJ137" s="1583"/>
      <c r="AK137" s="1583"/>
      <c r="AL137" s="1583"/>
      <c r="AM137" s="1583"/>
      <c r="AN137" s="1583"/>
      <c r="AO137" s="1583"/>
    </row>
    <row r="138" spans="1:41" x14ac:dyDescent="0.6">
      <c r="A138" s="1432">
        <v>133</v>
      </c>
      <c r="B138" s="1587" t="s">
        <v>8433</v>
      </c>
      <c r="C138" s="1576" t="s">
        <v>8298</v>
      </c>
      <c r="D138" s="1578">
        <v>9000</v>
      </c>
      <c r="E138" s="1578">
        <f t="shared" si="35"/>
        <v>6660</v>
      </c>
      <c r="F138" s="1579">
        <v>9000</v>
      </c>
      <c r="G138" s="1485">
        <f t="shared" si="36"/>
        <v>6660</v>
      </c>
      <c r="H138" s="1485">
        <v>7500</v>
      </c>
      <c r="I138" s="1485">
        <f t="shared" si="37"/>
        <v>5550</v>
      </c>
      <c r="J138" s="1582">
        <v>9500</v>
      </c>
      <c r="K138" s="1582">
        <v>500</v>
      </c>
      <c r="L138" s="1525">
        <f t="shared" si="38"/>
        <v>370</v>
      </c>
      <c r="M138" s="1485">
        <f t="shared" si="39"/>
        <v>9000</v>
      </c>
      <c r="N138" s="1581">
        <f>740/1000</f>
        <v>0.74</v>
      </c>
      <c r="O138" s="1582">
        <f t="shared" si="40"/>
        <v>6660</v>
      </c>
      <c r="P138" s="1485">
        <f t="shared" si="41"/>
        <v>2250</v>
      </c>
      <c r="Q138" s="1485">
        <f t="shared" si="42"/>
        <v>1665</v>
      </c>
      <c r="R138" s="1485">
        <f t="shared" si="43"/>
        <v>2250</v>
      </c>
      <c r="S138" s="1525">
        <f t="shared" si="44"/>
        <v>1665</v>
      </c>
      <c r="T138" s="1485">
        <f t="shared" si="45"/>
        <v>2250</v>
      </c>
      <c r="U138" s="1525">
        <f t="shared" si="46"/>
        <v>1665</v>
      </c>
      <c r="V138" s="1485">
        <f t="shared" si="47"/>
        <v>2250</v>
      </c>
      <c r="W138" s="1525">
        <f t="shared" si="48"/>
        <v>1665</v>
      </c>
      <c r="X138" s="1485">
        <f t="shared" si="49"/>
        <v>9000</v>
      </c>
      <c r="Y138" s="1485">
        <f t="shared" si="50"/>
        <v>6660</v>
      </c>
      <c r="Z138" s="1527" t="s">
        <v>7799</v>
      </c>
      <c r="AA138" s="1379" t="s">
        <v>6526</v>
      </c>
      <c r="AB138" s="1583"/>
      <c r="AC138" s="1584" t="str">
        <f t="shared" si="51"/>
        <v>ok</v>
      </c>
      <c r="AD138" s="1583"/>
      <c r="AE138" s="1583"/>
      <c r="AF138" s="1583"/>
      <c r="AG138" s="1583"/>
      <c r="AH138" s="1583"/>
      <c r="AI138" s="1583"/>
      <c r="AJ138" s="1583"/>
      <c r="AK138" s="1583"/>
      <c r="AL138" s="1583"/>
      <c r="AM138" s="1583"/>
      <c r="AN138" s="1583"/>
      <c r="AO138" s="1583"/>
    </row>
    <row r="139" spans="1:41" ht="42" x14ac:dyDescent="0.6">
      <c r="A139" s="1432">
        <v>134</v>
      </c>
      <c r="B139" s="1600" t="s">
        <v>8434</v>
      </c>
      <c r="C139" s="1576" t="s">
        <v>8296</v>
      </c>
      <c r="D139" s="1578">
        <v>80</v>
      </c>
      <c r="E139" s="1578">
        <f t="shared" si="35"/>
        <v>16000</v>
      </c>
      <c r="F139" s="1579">
        <v>100</v>
      </c>
      <c r="G139" s="1485">
        <f t="shared" si="36"/>
        <v>20000</v>
      </c>
      <c r="H139" s="1485">
        <v>0</v>
      </c>
      <c r="I139" s="1485">
        <f t="shared" si="37"/>
        <v>0</v>
      </c>
      <c r="J139" s="1582">
        <v>120</v>
      </c>
      <c r="K139" s="1582">
        <v>40</v>
      </c>
      <c r="L139" s="1525">
        <f t="shared" si="38"/>
        <v>8000</v>
      </c>
      <c r="M139" s="1485">
        <f t="shared" si="39"/>
        <v>80</v>
      </c>
      <c r="N139" s="1581">
        <v>200</v>
      </c>
      <c r="O139" s="1582">
        <f t="shared" si="40"/>
        <v>16000</v>
      </c>
      <c r="P139" s="1485">
        <f t="shared" si="41"/>
        <v>20</v>
      </c>
      <c r="Q139" s="1485">
        <f t="shared" si="42"/>
        <v>4000</v>
      </c>
      <c r="R139" s="1485">
        <f t="shared" si="43"/>
        <v>20</v>
      </c>
      <c r="S139" s="1525">
        <f t="shared" si="44"/>
        <v>4000</v>
      </c>
      <c r="T139" s="1485">
        <f t="shared" si="45"/>
        <v>20</v>
      </c>
      <c r="U139" s="1525">
        <f t="shared" si="46"/>
        <v>4000</v>
      </c>
      <c r="V139" s="1485">
        <f t="shared" si="47"/>
        <v>20</v>
      </c>
      <c r="W139" s="1525">
        <f t="shared" si="48"/>
        <v>4000</v>
      </c>
      <c r="X139" s="1485">
        <f t="shared" si="49"/>
        <v>80</v>
      </c>
      <c r="Y139" s="1485">
        <f t="shared" si="50"/>
        <v>16000</v>
      </c>
      <c r="Z139" s="1527" t="s">
        <v>7799</v>
      </c>
      <c r="AA139" s="1379" t="s">
        <v>6526</v>
      </c>
      <c r="AB139" s="1583"/>
      <c r="AC139" s="1584" t="str">
        <f t="shared" si="51"/>
        <v>ok</v>
      </c>
      <c r="AD139" s="1583"/>
      <c r="AE139" s="1583"/>
      <c r="AF139" s="1583"/>
      <c r="AG139" s="1583"/>
      <c r="AH139" s="1583"/>
      <c r="AI139" s="1583"/>
      <c r="AJ139" s="1583"/>
      <c r="AK139" s="1583"/>
      <c r="AL139" s="1583"/>
      <c r="AM139" s="1583"/>
      <c r="AN139" s="1583"/>
      <c r="AO139" s="1583"/>
    </row>
    <row r="140" spans="1:41" ht="42" x14ac:dyDescent="0.6">
      <c r="A140" s="1432">
        <v>135</v>
      </c>
      <c r="B140" s="1587" t="s">
        <v>8435</v>
      </c>
      <c r="C140" s="1576" t="s">
        <v>8305</v>
      </c>
      <c r="D140" s="1578">
        <v>20</v>
      </c>
      <c r="E140" s="1578">
        <f t="shared" si="35"/>
        <v>989.2</v>
      </c>
      <c r="F140" s="1601">
        <v>2</v>
      </c>
      <c r="G140" s="1485">
        <f t="shared" si="36"/>
        <v>98.92</v>
      </c>
      <c r="H140" s="1485">
        <v>30</v>
      </c>
      <c r="I140" s="1485">
        <f t="shared" si="37"/>
        <v>1483.8</v>
      </c>
      <c r="J140" s="1582">
        <v>35</v>
      </c>
      <c r="K140" s="1582">
        <v>5</v>
      </c>
      <c r="L140" s="1525">
        <f t="shared" si="38"/>
        <v>247.3</v>
      </c>
      <c r="M140" s="1485">
        <f t="shared" si="39"/>
        <v>30</v>
      </c>
      <c r="N140" s="1581">
        <v>49.46</v>
      </c>
      <c r="O140" s="1582">
        <f t="shared" si="40"/>
        <v>1483.8</v>
      </c>
      <c r="P140" s="1485">
        <v>30</v>
      </c>
      <c r="Q140" s="1485">
        <f t="shared" si="42"/>
        <v>1483.8</v>
      </c>
      <c r="R140" s="1485">
        <v>0</v>
      </c>
      <c r="S140" s="1525">
        <f t="shared" si="44"/>
        <v>0</v>
      </c>
      <c r="T140" s="1485">
        <v>0</v>
      </c>
      <c r="U140" s="1525">
        <f t="shared" si="46"/>
        <v>0</v>
      </c>
      <c r="V140" s="1485">
        <v>0</v>
      </c>
      <c r="W140" s="1525">
        <f t="shared" si="48"/>
        <v>0</v>
      </c>
      <c r="X140" s="1485">
        <f t="shared" si="49"/>
        <v>30</v>
      </c>
      <c r="Y140" s="1485">
        <f t="shared" si="50"/>
        <v>1483.8</v>
      </c>
      <c r="Z140" s="1527" t="s">
        <v>7799</v>
      </c>
      <c r="AA140" s="1379" t="s">
        <v>6526</v>
      </c>
      <c r="AB140" s="1583"/>
      <c r="AC140" s="1584" t="str">
        <f t="shared" si="51"/>
        <v>ok</v>
      </c>
      <c r="AD140" s="1583"/>
      <c r="AE140" s="1583"/>
      <c r="AF140" s="1583"/>
      <c r="AG140" s="1583"/>
      <c r="AH140" s="1583"/>
      <c r="AI140" s="1583"/>
      <c r="AJ140" s="1583"/>
      <c r="AK140" s="1583"/>
      <c r="AL140" s="1583"/>
      <c r="AM140" s="1583"/>
      <c r="AN140" s="1583"/>
      <c r="AO140" s="1583"/>
    </row>
    <row r="141" spans="1:41" x14ac:dyDescent="0.6">
      <c r="A141" s="1432">
        <v>136</v>
      </c>
      <c r="B141" s="1587" t="s">
        <v>8436</v>
      </c>
      <c r="C141" s="1576" t="s">
        <v>8305</v>
      </c>
      <c r="D141" s="1578">
        <f>180+672</f>
        <v>852</v>
      </c>
      <c r="E141" s="1578">
        <f t="shared" si="35"/>
        <v>9883.1999999999989</v>
      </c>
      <c r="F141" s="1579">
        <v>450</v>
      </c>
      <c r="G141" s="1485">
        <f t="shared" si="36"/>
        <v>5220</v>
      </c>
      <c r="H141" s="1485">
        <v>700</v>
      </c>
      <c r="I141" s="1485">
        <f t="shared" si="37"/>
        <v>8120</v>
      </c>
      <c r="J141" s="1582">
        <v>800</v>
      </c>
      <c r="K141" s="1582">
        <v>60</v>
      </c>
      <c r="L141" s="1525">
        <f t="shared" si="38"/>
        <v>696</v>
      </c>
      <c r="M141" s="1485">
        <f t="shared" si="39"/>
        <v>740</v>
      </c>
      <c r="N141" s="1581">
        <v>11.6</v>
      </c>
      <c r="O141" s="1582">
        <f t="shared" si="40"/>
        <v>8584</v>
      </c>
      <c r="P141" s="1485">
        <f t="shared" si="41"/>
        <v>185</v>
      </c>
      <c r="Q141" s="1485">
        <f t="shared" si="42"/>
        <v>2146</v>
      </c>
      <c r="R141" s="1485">
        <f t="shared" si="43"/>
        <v>185</v>
      </c>
      <c r="S141" s="1525">
        <f t="shared" si="44"/>
        <v>2146</v>
      </c>
      <c r="T141" s="1485">
        <f t="shared" si="45"/>
        <v>185</v>
      </c>
      <c r="U141" s="1525">
        <f t="shared" si="46"/>
        <v>2146</v>
      </c>
      <c r="V141" s="1485">
        <f t="shared" si="47"/>
        <v>185</v>
      </c>
      <c r="W141" s="1525">
        <f t="shared" si="48"/>
        <v>2146</v>
      </c>
      <c r="X141" s="1485">
        <f t="shared" si="49"/>
        <v>740</v>
      </c>
      <c r="Y141" s="1485">
        <f t="shared" si="50"/>
        <v>8584</v>
      </c>
      <c r="Z141" s="1527" t="s">
        <v>7799</v>
      </c>
      <c r="AA141" s="1379" t="s">
        <v>6526</v>
      </c>
      <c r="AB141" s="1583"/>
      <c r="AC141" s="1584" t="str">
        <f t="shared" si="51"/>
        <v>ok</v>
      </c>
      <c r="AD141" s="1583"/>
      <c r="AE141" s="1583"/>
      <c r="AF141" s="1583"/>
      <c r="AG141" s="1583"/>
      <c r="AH141" s="1583"/>
      <c r="AI141" s="1583"/>
      <c r="AJ141" s="1583"/>
      <c r="AK141" s="1583"/>
      <c r="AL141" s="1583"/>
      <c r="AM141" s="1583"/>
      <c r="AN141" s="1583"/>
      <c r="AO141" s="1583"/>
    </row>
    <row r="142" spans="1:41" ht="42" x14ac:dyDescent="0.6">
      <c r="A142" s="1432">
        <v>137</v>
      </c>
      <c r="B142" s="1587" t="s">
        <v>8437</v>
      </c>
      <c r="C142" s="1576" t="s">
        <v>8305</v>
      </c>
      <c r="D142" s="1578">
        <v>3500</v>
      </c>
      <c r="E142" s="1578">
        <f t="shared" si="35"/>
        <v>222950</v>
      </c>
      <c r="F142" s="1579">
        <v>4700</v>
      </c>
      <c r="G142" s="1485">
        <f t="shared" si="36"/>
        <v>299390</v>
      </c>
      <c r="H142" s="1485">
        <v>5000</v>
      </c>
      <c r="I142" s="1485">
        <f t="shared" si="37"/>
        <v>318500</v>
      </c>
      <c r="J142" s="1582">
        <v>5500</v>
      </c>
      <c r="K142" s="1582">
        <v>1000</v>
      </c>
      <c r="L142" s="1525">
        <f t="shared" si="38"/>
        <v>63700</v>
      </c>
      <c r="M142" s="1485">
        <f t="shared" si="39"/>
        <v>4500</v>
      </c>
      <c r="N142" s="1581">
        <v>63.7</v>
      </c>
      <c r="O142" s="1582">
        <f t="shared" si="40"/>
        <v>286650</v>
      </c>
      <c r="P142" s="1485">
        <f t="shared" si="41"/>
        <v>1125</v>
      </c>
      <c r="Q142" s="1485">
        <f t="shared" si="42"/>
        <v>71662.5</v>
      </c>
      <c r="R142" s="1485">
        <f t="shared" si="43"/>
        <v>1125</v>
      </c>
      <c r="S142" s="1525">
        <f t="shared" si="44"/>
        <v>71662.5</v>
      </c>
      <c r="T142" s="1485">
        <f t="shared" si="45"/>
        <v>1125</v>
      </c>
      <c r="U142" s="1525">
        <f t="shared" si="46"/>
        <v>71662.5</v>
      </c>
      <c r="V142" s="1485">
        <f t="shared" si="47"/>
        <v>1125</v>
      </c>
      <c r="W142" s="1525">
        <f t="shared" si="48"/>
        <v>71662.5</v>
      </c>
      <c r="X142" s="1485">
        <f t="shared" si="49"/>
        <v>4500</v>
      </c>
      <c r="Y142" s="1485">
        <f t="shared" si="50"/>
        <v>286650</v>
      </c>
      <c r="Z142" s="1527" t="s">
        <v>7799</v>
      </c>
      <c r="AA142" s="1379" t="s">
        <v>6526</v>
      </c>
      <c r="AB142" s="1583"/>
      <c r="AC142" s="1584" t="str">
        <f t="shared" si="51"/>
        <v>ok</v>
      </c>
      <c r="AD142" s="1583"/>
      <c r="AE142" s="1583"/>
      <c r="AF142" s="1583"/>
      <c r="AG142" s="1583"/>
      <c r="AH142" s="1583"/>
      <c r="AI142" s="1583"/>
      <c r="AJ142" s="1583"/>
      <c r="AK142" s="1583"/>
      <c r="AL142" s="1583"/>
      <c r="AM142" s="1583"/>
      <c r="AN142" s="1583"/>
      <c r="AO142" s="1583"/>
    </row>
    <row r="143" spans="1:41" x14ac:dyDescent="0.6">
      <c r="A143" s="1432">
        <v>138</v>
      </c>
      <c r="B143" s="1587" t="s">
        <v>8438</v>
      </c>
      <c r="C143" s="1576" t="s">
        <v>8305</v>
      </c>
      <c r="D143" s="1578">
        <v>440</v>
      </c>
      <c r="E143" s="1578">
        <f t="shared" si="35"/>
        <v>28248</v>
      </c>
      <c r="F143" s="1579">
        <v>550</v>
      </c>
      <c r="G143" s="1485">
        <f t="shared" si="36"/>
        <v>35310</v>
      </c>
      <c r="H143" s="1485">
        <v>1400</v>
      </c>
      <c r="I143" s="1485">
        <f t="shared" si="37"/>
        <v>89880</v>
      </c>
      <c r="J143" s="1582">
        <v>1500</v>
      </c>
      <c r="K143" s="1582">
        <v>100</v>
      </c>
      <c r="L143" s="1525">
        <f t="shared" si="38"/>
        <v>6420</v>
      </c>
      <c r="M143" s="1485">
        <f t="shared" si="39"/>
        <v>1400</v>
      </c>
      <c r="N143" s="1581">
        <v>64.2</v>
      </c>
      <c r="O143" s="1582">
        <f t="shared" si="40"/>
        <v>89880</v>
      </c>
      <c r="P143" s="1485">
        <f t="shared" si="41"/>
        <v>350</v>
      </c>
      <c r="Q143" s="1485">
        <f t="shared" si="42"/>
        <v>22470</v>
      </c>
      <c r="R143" s="1485">
        <f t="shared" si="43"/>
        <v>350</v>
      </c>
      <c r="S143" s="1525">
        <f t="shared" si="44"/>
        <v>22470</v>
      </c>
      <c r="T143" s="1485">
        <f t="shared" si="45"/>
        <v>350</v>
      </c>
      <c r="U143" s="1525">
        <f t="shared" si="46"/>
        <v>22470</v>
      </c>
      <c r="V143" s="1485">
        <f t="shared" si="47"/>
        <v>350</v>
      </c>
      <c r="W143" s="1525">
        <f t="shared" si="48"/>
        <v>22470</v>
      </c>
      <c r="X143" s="1485">
        <f t="shared" si="49"/>
        <v>1400</v>
      </c>
      <c r="Y143" s="1485">
        <f t="shared" si="50"/>
        <v>89880</v>
      </c>
      <c r="Z143" s="1527" t="s">
        <v>7799</v>
      </c>
      <c r="AA143" s="1379" t="s">
        <v>6526</v>
      </c>
      <c r="AB143" s="1583"/>
      <c r="AC143" s="1584" t="str">
        <f t="shared" si="51"/>
        <v>ok</v>
      </c>
      <c r="AD143" s="1583"/>
      <c r="AE143" s="1583"/>
      <c r="AF143" s="1583"/>
      <c r="AG143" s="1583"/>
      <c r="AH143" s="1583"/>
      <c r="AI143" s="1583"/>
      <c r="AJ143" s="1583"/>
      <c r="AK143" s="1583"/>
      <c r="AL143" s="1583"/>
      <c r="AM143" s="1583"/>
      <c r="AN143" s="1583"/>
      <c r="AO143" s="1583"/>
    </row>
    <row r="144" spans="1:41" x14ac:dyDescent="0.6">
      <c r="A144" s="1432">
        <v>139</v>
      </c>
      <c r="B144" s="1587" t="s">
        <v>8439</v>
      </c>
      <c r="C144" s="1576" t="s">
        <v>8298</v>
      </c>
      <c r="D144" s="1578">
        <v>146000</v>
      </c>
      <c r="E144" s="1578">
        <f t="shared" si="35"/>
        <v>138408</v>
      </c>
      <c r="F144" s="1579">
        <v>180000</v>
      </c>
      <c r="G144" s="1485">
        <f t="shared" si="36"/>
        <v>170640</v>
      </c>
      <c r="H144" s="1485">
        <v>360000</v>
      </c>
      <c r="I144" s="1485">
        <f t="shared" si="37"/>
        <v>341280</v>
      </c>
      <c r="J144" s="1582">
        <v>440000</v>
      </c>
      <c r="K144" s="1582">
        <v>50000</v>
      </c>
      <c r="L144" s="1525">
        <f t="shared" si="38"/>
        <v>47400</v>
      </c>
      <c r="M144" s="1485">
        <f t="shared" si="39"/>
        <v>390000</v>
      </c>
      <c r="N144" s="1581">
        <v>0.94799999999999995</v>
      </c>
      <c r="O144" s="1582">
        <f t="shared" si="40"/>
        <v>369720</v>
      </c>
      <c r="P144" s="1485">
        <f t="shared" si="41"/>
        <v>97500</v>
      </c>
      <c r="Q144" s="1485">
        <f t="shared" si="42"/>
        <v>92430</v>
      </c>
      <c r="R144" s="1485">
        <f t="shared" si="43"/>
        <v>97500</v>
      </c>
      <c r="S144" s="1525">
        <f t="shared" si="44"/>
        <v>92430</v>
      </c>
      <c r="T144" s="1485">
        <f t="shared" si="45"/>
        <v>97500</v>
      </c>
      <c r="U144" s="1525">
        <f t="shared" si="46"/>
        <v>92430</v>
      </c>
      <c r="V144" s="1485">
        <f t="shared" si="47"/>
        <v>97500</v>
      </c>
      <c r="W144" s="1525">
        <f t="shared" si="48"/>
        <v>92430</v>
      </c>
      <c r="X144" s="1485">
        <f t="shared" si="49"/>
        <v>390000</v>
      </c>
      <c r="Y144" s="1485">
        <f t="shared" si="50"/>
        <v>369720</v>
      </c>
      <c r="Z144" s="1527" t="s">
        <v>7799</v>
      </c>
      <c r="AA144" s="1379" t="s">
        <v>6526</v>
      </c>
      <c r="AB144" s="1583"/>
      <c r="AC144" s="1584" t="str">
        <f t="shared" si="51"/>
        <v>ok</v>
      </c>
      <c r="AD144" s="1583"/>
      <c r="AE144" s="1583"/>
      <c r="AF144" s="1583"/>
      <c r="AG144" s="1583"/>
      <c r="AH144" s="1583"/>
      <c r="AI144" s="1583"/>
      <c r="AJ144" s="1583"/>
      <c r="AK144" s="1583"/>
      <c r="AL144" s="1583"/>
      <c r="AM144" s="1583"/>
      <c r="AN144" s="1583"/>
      <c r="AO144" s="1583"/>
    </row>
    <row r="145" spans="1:41" ht="42" x14ac:dyDescent="0.6">
      <c r="A145" s="1432">
        <v>140</v>
      </c>
      <c r="B145" s="1587" t="s">
        <v>8440</v>
      </c>
      <c r="C145" s="1576" t="s">
        <v>8298</v>
      </c>
      <c r="D145" s="1578">
        <v>134530</v>
      </c>
      <c r="E145" s="1578">
        <f t="shared" si="35"/>
        <v>24215.399999999998</v>
      </c>
      <c r="F145" s="1579">
        <v>160000</v>
      </c>
      <c r="G145" s="1485">
        <f t="shared" si="36"/>
        <v>28800</v>
      </c>
      <c r="H145" s="1485">
        <v>120000</v>
      </c>
      <c r="I145" s="1485">
        <f t="shared" si="37"/>
        <v>21600</v>
      </c>
      <c r="J145" s="1582">
        <v>175000</v>
      </c>
      <c r="K145" s="1582">
        <v>15000</v>
      </c>
      <c r="L145" s="1525">
        <f t="shared" si="38"/>
        <v>2700</v>
      </c>
      <c r="M145" s="1485">
        <f t="shared" si="39"/>
        <v>160000</v>
      </c>
      <c r="N145" s="1581">
        <v>0.18</v>
      </c>
      <c r="O145" s="1582">
        <f t="shared" si="40"/>
        <v>28800</v>
      </c>
      <c r="P145" s="1485">
        <f t="shared" si="41"/>
        <v>40000</v>
      </c>
      <c r="Q145" s="1485">
        <f t="shared" si="42"/>
        <v>7200</v>
      </c>
      <c r="R145" s="1485">
        <f t="shared" si="43"/>
        <v>40000</v>
      </c>
      <c r="S145" s="1525">
        <f t="shared" si="44"/>
        <v>7200</v>
      </c>
      <c r="T145" s="1485">
        <f t="shared" si="45"/>
        <v>40000</v>
      </c>
      <c r="U145" s="1525">
        <f t="shared" si="46"/>
        <v>7200</v>
      </c>
      <c r="V145" s="1485">
        <f t="shared" si="47"/>
        <v>40000</v>
      </c>
      <c r="W145" s="1525">
        <f t="shared" si="48"/>
        <v>7200</v>
      </c>
      <c r="X145" s="1485">
        <f t="shared" si="49"/>
        <v>160000</v>
      </c>
      <c r="Y145" s="1485">
        <f t="shared" si="50"/>
        <v>28800</v>
      </c>
      <c r="Z145" s="1527" t="s">
        <v>7799</v>
      </c>
      <c r="AA145" s="1379" t="s">
        <v>6526</v>
      </c>
      <c r="AB145" s="1583"/>
      <c r="AC145" s="1584" t="str">
        <f t="shared" si="51"/>
        <v>ok</v>
      </c>
      <c r="AD145" s="1583"/>
      <c r="AE145" s="1583"/>
      <c r="AF145" s="1583"/>
      <c r="AG145" s="1583"/>
      <c r="AH145" s="1583"/>
      <c r="AI145" s="1583"/>
      <c r="AJ145" s="1583"/>
      <c r="AK145" s="1583"/>
      <c r="AL145" s="1583"/>
      <c r="AM145" s="1583"/>
      <c r="AN145" s="1583"/>
      <c r="AO145" s="1583"/>
    </row>
    <row r="146" spans="1:41" ht="42" x14ac:dyDescent="0.6">
      <c r="A146" s="1432">
        <v>141</v>
      </c>
      <c r="B146" s="1587" t="s">
        <v>8441</v>
      </c>
      <c r="C146" s="1576" t="s">
        <v>8296</v>
      </c>
      <c r="D146" s="1578">
        <v>27</v>
      </c>
      <c r="E146" s="1578">
        <f t="shared" si="35"/>
        <v>696.06000000000006</v>
      </c>
      <c r="F146" s="1579">
        <v>25</v>
      </c>
      <c r="G146" s="1485">
        <f t="shared" si="36"/>
        <v>644.5</v>
      </c>
      <c r="H146" s="1485">
        <v>4</v>
      </c>
      <c r="I146" s="1485">
        <f t="shared" si="37"/>
        <v>103.12</v>
      </c>
      <c r="J146" s="1582">
        <v>15</v>
      </c>
      <c r="K146" s="1582">
        <v>10</v>
      </c>
      <c r="L146" s="1525">
        <f t="shared" si="38"/>
        <v>257.8</v>
      </c>
      <c r="M146" s="1485">
        <f t="shared" si="39"/>
        <v>5</v>
      </c>
      <c r="N146" s="1581">
        <v>25.78</v>
      </c>
      <c r="O146" s="1582">
        <f t="shared" si="40"/>
        <v>128.9</v>
      </c>
      <c r="P146" s="1485">
        <v>1</v>
      </c>
      <c r="Q146" s="1485">
        <f t="shared" si="42"/>
        <v>25.78</v>
      </c>
      <c r="R146" s="1485">
        <v>2</v>
      </c>
      <c r="S146" s="1525">
        <f t="shared" si="44"/>
        <v>51.56</v>
      </c>
      <c r="T146" s="1485">
        <v>1</v>
      </c>
      <c r="U146" s="1525">
        <f t="shared" si="46"/>
        <v>25.78</v>
      </c>
      <c r="V146" s="1485">
        <v>1</v>
      </c>
      <c r="W146" s="1525">
        <f t="shared" si="48"/>
        <v>25.78</v>
      </c>
      <c r="X146" s="1485">
        <f t="shared" si="49"/>
        <v>5</v>
      </c>
      <c r="Y146" s="1485">
        <f t="shared" si="50"/>
        <v>128.9</v>
      </c>
      <c r="Z146" s="1527" t="s">
        <v>7799</v>
      </c>
      <c r="AA146" s="1379" t="s">
        <v>6526</v>
      </c>
      <c r="AB146" s="1583"/>
      <c r="AC146" s="1584" t="str">
        <f t="shared" si="51"/>
        <v>ok</v>
      </c>
      <c r="AD146" s="1583"/>
      <c r="AE146" s="1583"/>
      <c r="AF146" s="1583"/>
      <c r="AG146" s="1583"/>
      <c r="AH146" s="1583"/>
      <c r="AI146" s="1583"/>
      <c r="AJ146" s="1583"/>
      <c r="AK146" s="1583"/>
      <c r="AL146" s="1583"/>
      <c r="AM146" s="1583"/>
      <c r="AN146" s="1583"/>
      <c r="AO146" s="1583"/>
    </row>
    <row r="147" spans="1:41" x14ac:dyDescent="0.6">
      <c r="A147" s="1432">
        <v>142</v>
      </c>
      <c r="B147" s="1587" t="s">
        <v>8442</v>
      </c>
      <c r="C147" s="1576" t="s">
        <v>8298</v>
      </c>
      <c r="D147" s="1578">
        <f>13040</f>
        <v>13040</v>
      </c>
      <c r="E147" s="1578">
        <f t="shared" si="35"/>
        <v>2216.8000000000002</v>
      </c>
      <c r="F147" s="1579">
        <v>14000</v>
      </c>
      <c r="G147" s="1485">
        <f t="shared" si="36"/>
        <v>2380</v>
      </c>
      <c r="H147" s="1485">
        <v>7500</v>
      </c>
      <c r="I147" s="1485">
        <f t="shared" si="37"/>
        <v>1275</v>
      </c>
      <c r="J147" s="1582">
        <v>15000</v>
      </c>
      <c r="K147" s="1582">
        <v>5000</v>
      </c>
      <c r="L147" s="1525">
        <f t="shared" si="38"/>
        <v>850.00000000000011</v>
      </c>
      <c r="M147" s="1485">
        <f t="shared" si="39"/>
        <v>10000</v>
      </c>
      <c r="N147" s="1581">
        <v>0.17</v>
      </c>
      <c r="O147" s="1582">
        <f t="shared" si="40"/>
        <v>1700.0000000000002</v>
      </c>
      <c r="P147" s="1485">
        <f t="shared" si="41"/>
        <v>2500</v>
      </c>
      <c r="Q147" s="1485">
        <f t="shared" si="42"/>
        <v>425.00000000000006</v>
      </c>
      <c r="R147" s="1485">
        <f t="shared" si="43"/>
        <v>2500</v>
      </c>
      <c r="S147" s="1525">
        <f t="shared" si="44"/>
        <v>425.00000000000006</v>
      </c>
      <c r="T147" s="1485">
        <f t="shared" si="45"/>
        <v>2500</v>
      </c>
      <c r="U147" s="1525">
        <f t="shared" si="46"/>
        <v>425.00000000000006</v>
      </c>
      <c r="V147" s="1485">
        <f t="shared" si="47"/>
        <v>2500</v>
      </c>
      <c r="W147" s="1525">
        <f t="shared" si="48"/>
        <v>425.00000000000006</v>
      </c>
      <c r="X147" s="1485">
        <f t="shared" si="49"/>
        <v>10000</v>
      </c>
      <c r="Y147" s="1485">
        <f t="shared" si="50"/>
        <v>1700.0000000000002</v>
      </c>
      <c r="Z147" s="1527" t="s">
        <v>7799</v>
      </c>
      <c r="AA147" s="1379" t="s">
        <v>6526</v>
      </c>
      <c r="AB147" s="1583"/>
      <c r="AC147" s="1584" t="str">
        <f t="shared" si="51"/>
        <v>ok</v>
      </c>
      <c r="AD147" s="1583"/>
      <c r="AE147" s="1583"/>
      <c r="AF147" s="1583"/>
      <c r="AG147" s="1583"/>
      <c r="AH147" s="1583"/>
      <c r="AI147" s="1583"/>
      <c r="AJ147" s="1583"/>
      <c r="AK147" s="1583"/>
      <c r="AL147" s="1583"/>
      <c r="AM147" s="1583"/>
      <c r="AN147" s="1583"/>
      <c r="AO147" s="1583"/>
    </row>
    <row r="148" spans="1:41" ht="63" x14ac:dyDescent="0.6">
      <c r="A148" s="1432">
        <v>143</v>
      </c>
      <c r="B148" s="1587" t="s">
        <v>8443</v>
      </c>
      <c r="C148" s="1576" t="s">
        <v>8305</v>
      </c>
      <c r="D148" s="1578">
        <v>263</v>
      </c>
      <c r="E148" s="1578">
        <f t="shared" si="35"/>
        <v>2695.75</v>
      </c>
      <c r="F148" s="1579">
        <v>270</v>
      </c>
      <c r="G148" s="1485">
        <f t="shared" si="36"/>
        <v>2767.5</v>
      </c>
      <c r="H148" s="1485">
        <v>550</v>
      </c>
      <c r="I148" s="1485">
        <f t="shared" si="37"/>
        <v>5637.5</v>
      </c>
      <c r="J148" s="1582">
        <v>600</v>
      </c>
      <c r="K148" s="1582">
        <v>20</v>
      </c>
      <c r="L148" s="1525">
        <f t="shared" si="38"/>
        <v>205</v>
      </c>
      <c r="M148" s="1485">
        <f t="shared" si="39"/>
        <v>580</v>
      </c>
      <c r="N148" s="1581">
        <v>10.25</v>
      </c>
      <c r="O148" s="1582">
        <f t="shared" si="40"/>
        <v>5945</v>
      </c>
      <c r="P148" s="1485">
        <f t="shared" si="41"/>
        <v>145</v>
      </c>
      <c r="Q148" s="1485">
        <f t="shared" si="42"/>
        <v>1486.25</v>
      </c>
      <c r="R148" s="1485">
        <f t="shared" si="43"/>
        <v>145</v>
      </c>
      <c r="S148" s="1525">
        <f t="shared" si="44"/>
        <v>1486.25</v>
      </c>
      <c r="T148" s="1485">
        <f t="shared" si="45"/>
        <v>145</v>
      </c>
      <c r="U148" s="1525">
        <f t="shared" si="46"/>
        <v>1486.25</v>
      </c>
      <c r="V148" s="1485">
        <f t="shared" si="47"/>
        <v>145</v>
      </c>
      <c r="W148" s="1525">
        <f t="shared" si="48"/>
        <v>1486.25</v>
      </c>
      <c r="X148" s="1485">
        <f t="shared" si="49"/>
        <v>580</v>
      </c>
      <c r="Y148" s="1485">
        <f t="shared" si="50"/>
        <v>5945</v>
      </c>
      <c r="Z148" s="1527" t="s">
        <v>7799</v>
      </c>
      <c r="AA148" s="1379" t="s">
        <v>6526</v>
      </c>
      <c r="AB148" s="1583"/>
      <c r="AC148" s="1584" t="str">
        <f t="shared" si="51"/>
        <v>ok</v>
      </c>
      <c r="AD148" s="1583"/>
      <c r="AE148" s="1583"/>
      <c r="AF148" s="1583"/>
      <c r="AG148" s="1583"/>
      <c r="AH148" s="1583"/>
      <c r="AI148" s="1583"/>
      <c r="AJ148" s="1583"/>
      <c r="AK148" s="1583"/>
      <c r="AL148" s="1583"/>
      <c r="AM148" s="1583"/>
      <c r="AN148" s="1583"/>
      <c r="AO148" s="1583"/>
    </row>
    <row r="149" spans="1:41" ht="42" x14ac:dyDescent="0.6">
      <c r="A149" s="1432">
        <v>144</v>
      </c>
      <c r="B149" s="1587" t="s">
        <v>8444</v>
      </c>
      <c r="C149" s="1576" t="s">
        <v>8305</v>
      </c>
      <c r="D149" s="1578">
        <f>190+70</f>
        <v>260</v>
      </c>
      <c r="E149" s="1578">
        <f t="shared" si="35"/>
        <v>4680</v>
      </c>
      <c r="F149" s="1579">
        <v>200</v>
      </c>
      <c r="G149" s="1485">
        <f t="shared" si="36"/>
        <v>3600</v>
      </c>
      <c r="H149" s="1485">
        <v>45</v>
      </c>
      <c r="I149" s="1485">
        <f t="shared" si="37"/>
        <v>810</v>
      </c>
      <c r="J149" s="1582">
        <v>200</v>
      </c>
      <c r="K149" s="1582">
        <v>60</v>
      </c>
      <c r="L149" s="1525">
        <f t="shared" si="38"/>
        <v>1080</v>
      </c>
      <c r="M149" s="1485">
        <f t="shared" si="39"/>
        <v>140</v>
      </c>
      <c r="N149" s="1581">
        <v>18</v>
      </c>
      <c r="O149" s="1582">
        <f t="shared" si="40"/>
        <v>2520</v>
      </c>
      <c r="P149" s="1485">
        <v>50</v>
      </c>
      <c r="Q149" s="1485">
        <f t="shared" si="42"/>
        <v>900</v>
      </c>
      <c r="R149" s="1485">
        <v>50</v>
      </c>
      <c r="S149" s="1525">
        <f t="shared" si="44"/>
        <v>900</v>
      </c>
      <c r="T149" s="1485">
        <v>40</v>
      </c>
      <c r="U149" s="1525">
        <f t="shared" si="46"/>
        <v>720</v>
      </c>
      <c r="V149" s="1485">
        <v>0</v>
      </c>
      <c r="W149" s="1525">
        <f t="shared" si="48"/>
        <v>0</v>
      </c>
      <c r="X149" s="1485">
        <f t="shared" si="49"/>
        <v>140</v>
      </c>
      <c r="Y149" s="1485">
        <f t="shared" si="50"/>
        <v>2520</v>
      </c>
      <c r="Z149" s="1527" t="s">
        <v>7799</v>
      </c>
      <c r="AA149" s="1379" t="s">
        <v>6526</v>
      </c>
      <c r="AB149" s="1583"/>
      <c r="AC149" s="1584" t="str">
        <f t="shared" si="51"/>
        <v>ok</v>
      </c>
      <c r="AD149" s="1583"/>
      <c r="AE149" s="1583"/>
      <c r="AF149" s="1583"/>
      <c r="AG149" s="1583"/>
      <c r="AH149" s="1583"/>
      <c r="AI149" s="1583"/>
      <c r="AJ149" s="1583"/>
      <c r="AK149" s="1583"/>
      <c r="AL149" s="1583"/>
      <c r="AM149" s="1583"/>
      <c r="AN149" s="1583"/>
      <c r="AO149" s="1583"/>
    </row>
    <row r="150" spans="1:41" x14ac:dyDescent="0.6">
      <c r="A150" s="1432">
        <v>145</v>
      </c>
      <c r="B150" s="1587" t="s">
        <v>8445</v>
      </c>
      <c r="C150" s="1576" t="s">
        <v>8296</v>
      </c>
      <c r="D150" s="1578">
        <v>70</v>
      </c>
      <c r="E150" s="1578">
        <f t="shared" si="35"/>
        <v>700</v>
      </c>
      <c r="F150" s="1579">
        <v>75</v>
      </c>
      <c r="G150" s="1485">
        <f t="shared" si="36"/>
        <v>750</v>
      </c>
      <c r="H150" s="1485">
        <v>100</v>
      </c>
      <c r="I150" s="1485">
        <f t="shared" si="37"/>
        <v>1000</v>
      </c>
      <c r="J150" s="1582">
        <v>120</v>
      </c>
      <c r="K150" s="1582">
        <v>20</v>
      </c>
      <c r="L150" s="1525">
        <f t="shared" si="38"/>
        <v>200</v>
      </c>
      <c r="M150" s="1485">
        <f t="shared" si="39"/>
        <v>100</v>
      </c>
      <c r="N150" s="1581">
        <v>10</v>
      </c>
      <c r="O150" s="1582">
        <f t="shared" si="40"/>
        <v>1000</v>
      </c>
      <c r="P150" s="1485">
        <f t="shared" si="41"/>
        <v>25</v>
      </c>
      <c r="Q150" s="1485">
        <f t="shared" si="42"/>
        <v>250</v>
      </c>
      <c r="R150" s="1485">
        <f t="shared" si="43"/>
        <v>25</v>
      </c>
      <c r="S150" s="1525">
        <f t="shared" si="44"/>
        <v>250</v>
      </c>
      <c r="T150" s="1485">
        <f t="shared" si="45"/>
        <v>25</v>
      </c>
      <c r="U150" s="1525">
        <f t="shared" si="46"/>
        <v>250</v>
      </c>
      <c r="V150" s="1485">
        <f t="shared" si="47"/>
        <v>25</v>
      </c>
      <c r="W150" s="1525">
        <f t="shared" si="48"/>
        <v>250</v>
      </c>
      <c r="X150" s="1485">
        <f t="shared" si="49"/>
        <v>100</v>
      </c>
      <c r="Y150" s="1485">
        <f t="shared" si="50"/>
        <v>1000</v>
      </c>
      <c r="Z150" s="1527" t="s">
        <v>7799</v>
      </c>
      <c r="AA150" s="1379" t="s">
        <v>6526</v>
      </c>
      <c r="AB150" s="1583"/>
      <c r="AC150" s="1584" t="str">
        <f t="shared" si="51"/>
        <v>ok</v>
      </c>
      <c r="AD150" s="1583"/>
      <c r="AE150" s="1583"/>
      <c r="AF150" s="1583"/>
      <c r="AG150" s="1583"/>
      <c r="AH150" s="1583"/>
      <c r="AI150" s="1583"/>
      <c r="AJ150" s="1583"/>
      <c r="AK150" s="1583"/>
      <c r="AL150" s="1583"/>
      <c r="AM150" s="1583"/>
      <c r="AN150" s="1583"/>
      <c r="AO150" s="1583"/>
    </row>
    <row r="151" spans="1:41" x14ac:dyDescent="0.6">
      <c r="A151" s="1432">
        <v>146</v>
      </c>
      <c r="B151" s="1587" t="s">
        <v>8446</v>
      </c>
      <c r="C151" s="1576" t="s">
        <v>8298</v>
      </c>
      <c r="D151" s="1578">
        <f>2500+5000+14550</f>
        <v>22050</v>
      </c>
      <c r="E151" s="1578">
        <f t="shared" si="35"/>
        <v>17640</v>
      </c>
      <c r="F151" s="1579">
        <v>20000</v>
      </c>
      <c r="G151" s="1485">
        <f t="shared" si="36"/>
        <v>16000</v>
      </c>
      <c r="H151" s="1485">
        <v>25000</v>
      </c>
      <c r="I151" s="1485">
        <f t="shared" si="37"/>
        <v>20000</v>
      </c>
      <c r="J151" s="1582">
        <v>30000</v>
      </c>
      <c r="K151" s="1582">
        <v>7500</v>
      </c>
      <c r="L151" s="1525">
        <f t="shared" si="38"/>
        <v>6000</v>
      </c>
      <c r="M151" s="1485">
        <f t="shared" si="39"/>
        <v>22500</v>
      </c>
      <c r="N151" s="1591">
        <v>0.8</v>
      </c>
      <c r="O151" s="1582">
        <f t="shared" si="40"/>
        <v>18000</v>
      </c>
      <c r="P151" s="1485">
        <f t="shared" si="41"/>
        <v>5625</v>
      </c>
      <c r="Q151" s="1485">
        <f t="shared" si="42"/>
        <v>4500</v>
      </c>
      <c r="R151" s="1485">
        <f t="shared" si="43"/>
        <v>5625</v>
      </c>
      <c r="S151" s="1525">
        <f t="shared" si="44"/>
        <v>4500</v>
      </c>
      <c r="T151" s="1485">
        <f t="shared" si="45"/>
        <v>5625</v>
      </c>
      <c r="U151" s="1525">
        <f t="shared" si="46"/>
        <v>4500</v>
      </c>
      <c r="V151" s="1485">
        <f t="shared" si="47"/>
        <v>5625</v>
      </c>
      <c r="W151" s="1525">
        <f t="shared" si="48"/>
        <v>4500</v>
      </c>
      <c r="X151" s="1485">
        <f t="shared" si="49"/>
        <v>22500</v>
      </c>
      <c r="Y151" s="1485">
        <f t="shared" si="50"/>
        <v>18000</v>
      </c>
      <c r="Z151" s="1527" t="s">
        <v>7799</v>
      </c>
      <c r="AA151" s="1379" t="s">
        <v>6526</v>
      </c>
      <c r="AB151" s="1583"/>
      <c r="AC151" s="1584" t="str">
        <f t="shared" si="51"/>
        <v>ok</v>
      </c>
      <c r="AD151" s="1583"/>
      <c r="AE151" s="1583"/>
      <c r="AF151" s="1583"/>
      <c r="AG151" s="1583"/>
      <c r="AH151" s="1583"/>
      <c r="AI151" s="1583"/>
      <c r="AJ151" s="1583"/>
      <c r="AK151" s="1583"/>
      <c r="AL151" s="1583"/>
      <c r="AM151" s="1583"/>
      <c r="AN151" s="1583"/>
      <c r="AO151" s="1583"/>
    </row>
    <row r="152" spans="1:41" ht="42" x14ac:dyDescent="0.6">
      <c r="A152" s="1432">
        <v>147</v>
      </c>
      <c r="B152" s="1587" t="s">
        <v>8447</v>
      </c>
      <c r="C152" s="1576" t="s">
        <v>8448</v>
      </c>
      <c r="D152" s="1578">
        <v>5</v>
      </c>
      <c r="E152" s="1578">
        <f t="shared" si="35"/>
        <v>9148.5</v>
      </c>
      <c r="F152" s="1579">
        <v>8</v>
      </c>
      <c r="G152" s="1485">
        <f t="shared" si="36"/>
        <v>14637.6</v>
      </c>
      <c r="H152" s="1485">
        <v>20</v>
      </c>
      <c r="I152" s="1485">
        <f t="shared" si="37"/>
        <v>36594</v>
      </c>
      <c r="J152" s="1582">
        <v>25</v>
      </c>
      <c r="K152" s="1582">
        <v>4</v>
      </c>
      <c r="L152" s="1525">
        <f t="shared" si="38"/>
        <v>7318.8</v>
      </c>
      <c r="M152" s="1485">
        <f t="shared" si="39"/>
        <v>21</v>
      </c>
      <c r="N152" s="1581">
        <v>1829.7</v>
      </c>
      <c r="O152" s="1582">
        <f t="shared" si="40"/>
        <v>38423.700000000004</v>
      </c>
      <c r="P152" s="1485">
        <v>5</v>
      </c>
      <c r="Q152" s="1485">
        <f t="shared" si="42"/>
        <v>9148.5</v>
      </c>
      <c r="R152" s="1485">
        <v>5</v>
      </c>
      <c r="S152" s="1525">
        <f t="shared" si="44"/>
        <v>9148.5</v>
      </c>
      <c r="T152" s="1485">
        <v>6</v>
      </c>
      <c r="U152" s="1525">
        <f t="shared" si="46"/>
        <v>10978.2</v>
      </c>
      <c r="V152" s="1485">
        <v>5</v>
      </c>
      <c r="W152" s="1525">
        <f t="shared" si="48"/>
        <v>9148.5</v>
      </c>
      <c r="X152" s="1485">
        <f t="shared" si="49"/>
        <v>21</v>
      </c>
      <c r="Y152" s="1485">
        <f t="shared" si="50"/>
        <v>38423.700000000004</v>
      </c>
      <c r="Z152" s="1527" t="s">
        <v>7799</v>
      </c>
      <c r="AA152" s="1379" t="s">
        <v>6526</v>
      </c>
      <c r="AB152" s="1583"/>
      <c r="AC152" s="1584" t="str">
        <f t="shared" si="51"/>
        <v>ok</v>
      </c>
      <c r="AD152" s="1583"/>
      <c r="AE152" s="1583"/>
      <c r="AF152" s="1583"/>
      <c r="AG152" s="1583"/>
      <c r="AH152" s="1583"/>
      <c r="AI152" s="1583"/>
      <c r="AJ152" s="1583"/>
      <c r="AK152" s="1583"/>
      <c r="AL152" s="1583"/>
      <c r="AM152" s="1583"/>
      <c r="AN152" s="1583"/>
      <c r="AO152" s="1583"/>
    </row>
    <row r="153" spans="1:41" x14ac:dyDescent="0.6">
      <c r="A153" s="1432">
        <v>148</v>
      </c>
      <c r="B153" s="1587" t="s">
        <v>8449</v>
      </c>
      <c r="C153" s="1576" t="s">
        <v>8298</v>
      </c>
      <c r="D153" s="1578">
        <v>1160</v>
      </c>
      <c r="E153" s="1578">
        <f t="shared" si="35"/>
        <v>938.44</v>
      </c>
      <c r="F153" s="1579">
        <v>1800</v>
      </c>
      <c r="G153" s="1485">
        <f t="shared" si="36"/>
        <v>1456.2</v>
      </c>
      <c r="H153" s="1485">
        <v>2900</v>
      </c>
      <c r="I153" s="1485">
        <f t="shared" si="37"/>
        <v>2346.1000000000004</v>
      </c>
      <c r="J153" s="1582">
        <v>3000</v>
      </c>
      <c r="K153" s="1582">
        <v>500</v>
      </c>
      <c r="L153" s="1525">
        <f t="shared" si="38"/>
        <v>404.5</v>
      </c>
      <c r="M153" s="1485">
        <f t="shared" si="39"/>
        <v>2500</v>
      </c>
      <c r="N153" s="1581">
        <v>0.80900000000000005</v>
      </c>
      <c r="O153" s="1582">
        <f t="shared" si="40"/>
        <v>2022.5000000000002</v>
      </c>
      <c r="P153" s="1485">
        <f t="shared" si="41"/>
        <v>625</v>
      </c>
      <c r="Q153" s="1485">
        <f t="shared" si="42"/>
        <v>505.62500000000006</v>
      </c>
      <c r="R153" s="1485">
        <f t="shared" si="43"/>
        <v>625</v>
      </c>
      <c r="S153" s="1525">
        <f t="shared" si="44"/>
        <v>505.62500000000006</v>
      </c>
      <c r="T153" s="1485">
        <f t="shared" si="45"/>
        <v>625</v>
      </c>
      <c r="U153" s="1525">
        <f t="shared" si="46"/>
        <v>505.62500000000006</v>
      </c>
      <c r="V153" s="1485">
        <f t="shared" si="47"/>
        <v>625</v>
      </c>
      <c r="W153" s="1525">
        <f t="shared" si="48"/>
        <v>505.62500000000006</v>
      </c>
      <c r="X153" s="1485">
        <f t="shared" si="49"/>
        <v>2500</v>
      </c>
      <c r="Y153" s="1485">
        <f t="shared" si="50"/>
        <v>2022.5000000000002</v>
      </c>
      <c r="Z153" s="1527" t="s">
        <v>7799</v>
      </c>
      <c r="AA153" s="1379" t="s">
        <v>6526</v>
      </c>
      <c r="AB153" s="1583"/>
      <c r="AC153" s="1584" t="str">
        <f t="shared" si="51"/>
        <v>ok</v>
      </c>
      <c r="AD153" s="1583"/>
      <c r="AE153" s="1583"/>
      <c r="AF153" s="1583"/>
      <c r="AG153" s="1583"/>
      <c r="AH153" s="1583"/>
      <c r="AI153" s="1583"/>
      <c r="AJ153" s="1583"/>
      <c r="AK153" s="1583"/>
      <c r="AL153" s="1583"/>
      <c r="AM153" s="1583"/>
      <c r="AN153" s="1583"/>
      <c r="AO153" s="1583"/>
    </row>
    <row r="154" spans="1:41" ht="42" x14ac:dyDescent="0.6">
      <c r="A154" s="1432">
        <v>149</v>
      </c>
      <c r="B154" s="1587" t="s">
        <v>8450</v>
      </c>
      <c r="C154" s="1576" t="s">
        <v>8298</v>
      </c>
      <c r="D154" s="1578">
        <v>16000</v>
      </c>
      <c r="E154" s="1578">
        <f t="shared" si="35"/>
        <v>11200</v>
      </c>
      <c r="F154" s="1579">
        <v>17000</v>
      </c>
      <c r="G154" s="1485">
        <f t="shared" si="36"/>
        <v>11900</v>
      </c>
      <c r="H154" s="1485">
        <v>18000</v>
      </c>
      <c r="I154" s="1485">
        <f t="shared" si="37"/>
        <v>12600</v>
      </c>
      <c r="J154" s="1582">
        <v>21000</v>
      </c>
      <c r="K154" s="1582">
        <v>5000</v>
      </c>
      <c r="L154" s="1525">
        <f t="shared" si="38"/>
        <v>3500</v>
      </c>
      <c r="M154" s="1485">
        <f t="shared" si="39"/>
        <v>16000</v>
      </c>
      <c r="N154" s="1581">
        <v>0.7</v>
      </c>
      <c r="O154" s="1582">
        <f t="shared" si="40"/>
        <v>11200</v>
      </c>
      <c r="P154" s="1485">
        <f t="shared" si="41"/>
        <v>4000</v>
      </c>
      <c r="Q154" s="1485">
        <f t="shared" si="42"/>
        <v>2800</v>
      </c>
      <c r="R154" s="1485">
        <f t="shared" si="43"/>
        <v>4000</v>
      </c>
      <c r="S154" s="1525">
        <f t="shared" si="44"/>
        <v>2800</v>
      </c>
      <c r="T154" s="1485">
        <f t="shared" si="45"/>
        <v>4000</v>
      </c>
      <c r="U154" s="1525">
        <f t="shared" si="46"/>
        <v>2800</v>
      </c>
      <c r="V154" s="1485">
        <f t="shared" si="47"/>
        <v>4000</v>
      </c>
      <c r="W154" s="1525">
        <f t="shared" si="48"/>
        <v>2800</v>
      </c>
      <c r="X154" s="1485">
        <f t="shared" si="49"/>
        <v>16000</v>
      </c>
      <c r="Y154" s="1485">
        <f t="shared" si="50"/>
        <v>11200</v>
      </c>
      <c r="Z154" s="1527" t="s">
        <v>7799</v>
      </c>
      <c r="AA154" s="1379" t="s">
        <v>6526</v>
      </c>
      <c r="AB154" s="1583"/>
      <c r="AC154" s="1584" t="str">
        <f t="shared" si="51"/>
        <v>ok</v>
      </c>
      <c r="AD154" s="1583"/>
      <c r="AE154" s="1583"/>
      <c r="AF154" s="1583"/>
      <c r="AG154" s="1583"/>
      <c r="AH154" s="1583"/>
      <c r="AI154" s="1583"/>
      <c r="AJ154" s="1583"/>
      <c r="AK154" s="1583"/>
      <c r="AL154" s="1583"/>
      <c r="AM154" s="1583"/>
      <c r="AN154" s="1583"/>
      <c r="AO154" s="1583"/>
    </row>
    <row r="155" spans="1:41" x14ac:dyDescent="0.6">
      <c r="A155" s="1432">
        <v>150</v>
      </c>
      <c r="B155" s="1587" t="s">
        <v>8451</v>
      </c>
      <c r="C155" s="1576" t="s">
        <v>8298</v>
      </c>
      <c r="D155" s="1578">
        <v>500</v>
      </c>
      <c r="E155" s="1578">
        <f t="shared" si="35"/>
        <v>99.5</v>
      </c>
      <c r="F155" s="1579">
        <v>500</v>
      </c>
      <c r="G155" s="1485">
        <f t="shared" si="36"/>
        <v>99.5</v>
      </c>
      <c r="H155" s="1485">
        <v>15000</v>
      </c>
      <c r="I155" s="1485">
        <f t="shared" si="37"/>
        <v>2985</v>
      </c>
      <c r="J155" s="1582">
        <v>16000</v>
      </c>
      <c r="K155" s="1582">
        <v>500</v>
      </c>
      <c r="L155" s="1525">
        <f t="shared" si="38"/>
        <v>99.5</v>
      </c>
      <c r="M155" s="1485">
        <f t="shared" si="39"/>
        <v>15500</v>
      </c>
      <c r="N155" s="1581">
        <v>0.19900000000000001</v>
      </c>
      <c r="O155" s="1582">
        <f t="shared" si="40"/>
        <v>3084.5</v>
      </c>
      <c r="P155" s="1485">
        <f t="shared" si="41"/>
        <v>3875</v>
      </c>
      <c r="Q155" s="1485">
        <f t="shared" si="42"/>
        <v>771.125</v>
      </c>
      <c r="R155" s="1485">
        <f t="shared" si="43"/>
        <v>3875</v>
      </c>
      <c r="S155" s="1525">
        <f t="shared" si="44"/>
        <v>771.125</v>
      </c>
      <c r="T155" s="1485">
        <f t="shared" si="45"/>
        <v>3875</v>
      </c>
      <c r="U155" s="1525">
        <f t="shared" si="46"/>
        <v>771.125</v>
      </c>
      <c r="V155" s="1485">
        <f t="shared" si="47"/>
        <v>3875</v>
      </c>
      <c r="W155" s="1525">
        <f t="shared" si="48"/>
        <v>771.125</v>
      </c>
      <c r="X155" s="1485">
        <f t="shared" si="49"/>
        <v>15500</v>
      </c>
      <c r="Y155" s="1485">
        <f t="shared" si="50"/>
        <v>3084.5</v>
      </c>
      <c r="Z155" s="1527" t="s">
        <v>7799</v>
      </c>
      <c r="AA155" s="1379" t="s">
        <v>6526</v>
      </c>
      <c r="AB155" s="1583"/>
      <c r="AC155" s="1584" t="str">
        <f t="shared" si="51"/>
        <v>ok</v>
      </c>
      <c r="AD155" s="1583"/>
      <c r="AE155" s="1583"/>
      <c r="AF155" s="1583"/>
      <c r="AG155" s="1583"/>
      <c r="AH155" s="1583"/>
      <c r="AI155" s="1583"/>
      <c r="AJ155" s="1583"/>
      <c r="AK155" s="1583"/>
      <c r="AL155" s="1583"/>
      <c r="AM155" s="1583"/>
      <c r="AN155" s="1583"/>
      <c r="AO155" s="1583"/>
    </row>
    <row r="156" spans="1:41" x14ac:dyDescent="0.6">
      <c r="A156" s="1432">
        <v>151</v>
      </c>
      <c r="B156" s="1587" t="s">
        <v>8452</v>
      </c>
      <c r="C156" s="1576" t="s">
        <v>8298</v>
      </c>
      <c r="D156" s="1578">
        <v>1600</v>
      </c>
      <c r="E156" s="1578">
        <f t="shared" si="35"/>
        <v>2396.8000000000002</v>
      </c>
      <c r="F156" s="1579">
        <v>500</v>
      </c>
      <c r="G156" s="1485">
        <f t="shared" si="36"/>
        <v>749.00000000000011</v>
      </c>
      <c r="H156" s="1485">
        <v>0</v>
      </c>
      <c r="I156" s="1485">
        <f t="shared" si="37"/>
        <v>0</v>
      </c>
      <c r="J156" s="1582">
        <v>500</v>
      </c>
      <c r="K156" s="1582">
        <v>0</v>
      </c>
      <c r="L156" s="1525">
        <f t="shared" si="38"/>
        <v>0</v>
      </c>
      <c r="M156" s="1485">
        <f t="shared" si="39"/>
        <v>500</v>
      </c>
      <c r="N156" s="1581">
        <f>149.8/100</f>
        <v>1.4980000000000002</v>
      </c>
      <c r="O156" s="1582">
        <f t="shared" si="40"/>
        <v>749.00000000000011</v>
      </c>
      <c r="P156" s="1485">
        <f t="shared" si="41"/>
        <v>125</v>
      </c>
      <c r="Q156" s="1485">
        <f t="shared" si="42"/>
        <v>187.25000000000003</v>
      </c>
      <c r="R156" s="1485">
        <f t="shared" si="43"/>
        <v>125</v>
      </c>
      <c r="S156" s="1525">
        <f t="shared" si="44"/>
        <v>187.25000000000003</v>
      </c>
      <c r="T156" s="1485">
        <f t="shared" si="45"/>
        <v>125</v>
      </c>
      <c r="U156" s="1525">
        <f t="shared" si="46"/>
        <v>187.25000000000003</v>
      </c>
      <c r="V156" s="1485">
        <f t="shared" si="47"/>
        <v>125</v>
      </c>
      <c r="W156" s="1525">
        <f t="shared" si="48"/>
        <v>187.25000000000003</v>
      </c>
      <c r="X156" s="1485">
        <f t="shared" si="49"/>
        <v>500</v>
      </c>
      <c r="Y156" s="1485">
        <f t="shared" si="50"/>
        <v>749.00000000000011</v>
      </c>
      <c r="Z156" s="1527" t="s">
        <v>7799</v>
      </c>
      <c r="AA156" s="1379" t="s">
        <v>6526</v>
      </c>
      <c r="AB156" s="1583"/>
      <c r="AC156" s="1584" t="str">
        <f t="shared" si="51"/>
        <v>ok</v>
      </c>
      <c r="AD156" s="1583"/>
      <c r="AE156" s="1583"/>
      <c r="AF156" s="1583"/>
      <c r="AG156" s="1583"/>
      <c r="AH156" s="1583"/>
      <c r="AI156" s="1583"/>
      <c r="AJ156" s="1583"/>
      <c r="AK156" s="1583"/>
      <c r="AL156" s="1583"/>
      <c r="AM156" s="1583"/>
      <c r="AN156" s="1583"/>
      <c r="AO156" s="1583"/>
    </row>
    <row r="157" spans="1:41" x14ac:dyDescent="0.6">
      <c r="A157" s="1432">
        <v>152</v>
      </c>
      <c r="B157" s="1587" t="s">
        <v>8453</v>
      </c>
      <c r="C157" s="1576" t="s">
        <v>8296</v>
      </c>
      <c r="D157" s="1578">
        <v>157</v>
      </c>
      <c r="E157" s="1578">
        <f t="shared" si="35"/>
        <v>7065</v>
      </c>
      <c r="F157" s="1579">
        <v>160</v>
      </c>
      <c r="G157" s="1485">
        <f t="shared" si="36"/>
        <v>7200</v>
      </c>
      <c r="H157" s="1485">
        <v>330</v>
      </c>
      <c r="I157" s="1485">
        <f t="shared" si="37"/>
        <v>14850</v>
      </c>
      <c r="J157" s="1582">
        <v>370</v>
      </c>
      <c r="K157" s="1582">
        <v>170</v>
      </c>
      <c r="L157" s="1525">
        <f t="shared" si="38"/>
        <v>7650</v>
      </c>
      <c r="M157" s="1485">
        <f t="shared" si="39"/>
        <v>200</v>
      </c>
      <c r="N157" s="1591">
        <v>45</v>
      </c>
      <c r="O157" s="1582">
        <f t="shared" si="40"/>
        <v>9000</v>
      </c>
      <c r="P157" s="1485">
        <v>100</v>
      </c>
      <c r="Q157" s="1485">
        <f t="shared" si="42"/>
        <v>4500</v>
      </c>
      <c r="R157" s="1485">
        <v>100</v>
      </c>
      <c r="S157" s="1525">
        <f t="shared" si="44"/>
        <v>4500</v>
      </c>
      <c r="T157" s="1485">
        <v>0</v>
      </c>
      <c r="U157" s="1525">
        <f t="shared" si="46"/>
        <v>0</v>
      </c>
      <c r="V157" s="1485">
        <v>0</v>
      </c>
      <c r="W157" s="1525">
        <f t="shared" si="48"/>
        <v>0</v>
      </c>
      <c r="X157" s="1485">
        <f t="shared" si="49"/>
        <v>200</v>
      </c>
      <c r="Y157" s="1485">
        <f t="shared" si="50"/>
        <v>9000</v>
      </c>
      <c r="Z157" s="1527" t="s">
        <v>7799</v>
      </c>
      <c r="AA157" s="1379" t="s">
        <v>6526</v>
      </c>
      <c r="AB157" s="1583"/>
      <c r="AC157" s="1584" t="str">
        <f t="shared" si="51"/>
        <v>ok</v>
      </c>
      <c r="AD157" s="1583"/>
      <c r="AE157" s="1583"/>
      <c r="AF157" s="1583"/>
      <c r="AG157" s="1583"/>
      <c r="AH157" s="1583"/>
      <c r="AI157" s="1583"/>
      <c r="AJ157" s="1583"/>
      <c r="AK157" s="1583"/>
      <c r="AL157" s="1583"/>
      <c r="AM157" s="1583"/>
      <c r="AN157" s="1583"/>
      <c r="AO157" s="1583"/>
    </row>
    <row r="158" spans="1:41" x14ac:dyDescent="0.6">
      <c r="A158" s="1432">
        <v>153</v>
      </c>
      <c r="B158" s="1587" t="s">
        <v>8454</v>
      </c>
      <c r="C158" s="1576" t="s">
        <v>8298</v>
      </c>
      <c r="D158" s="1578">
        <v>180</v>
      </c>
      <c r="E158" s="1578">
        <f t="shared" si="35"/>
        <v>562.14</v>
      </c>
      <c r="F158" s="1579">
        <v>180</v>
      </c>
      <c r="G158" s="1485">
        <f t="shared" si="36"/>
        <v>562.14</v>
      </c>
      <c r="H158" s="1485">
        <v>0</v>
      </c>
      <c r="I158" s="1485">
        <f t="shared" si="37"/>
        <v>0</v>
      </c>
      <c r="J158" s="1582">
        <v>180</v>
      </c>
      <c r="K158" s="1582">
        <v>2000</v>
      </c>
      <c r="L158" s="1525">
        <f t="shared" si="38"/>
        <v>6246</v>
      </c>
      <c r="M158" s="1485">
        <v>0</v>
      </c>
      <c r="N158" s="1581">
        <v>3.1230000000000002</v>
      </c>
      <c r="O158" s="1582">
        <f t="shared" si="40"/>
        <v>0</v>
      </c>
      <c r="P158" s="1485">
        <f t="shared" si="41"/>
        <v>0</v>
      </c>
      <c r="Q158" s="1485">
        <f t="shared" si="42"/>
        <v>0</v>
      </c>
      <c r="R158" s="1485">
        <f t="shared" si="43"/>
        <v>0</v>
      </c>
      <c r="S158" s="1525">
        <f t="shared" si="44"/>
        <v>0</v>
      </c>
      <c r="T158" s="1485">
        <f t="shared" si="45"/>
        <v>0</v>
      </c>
      <c r="U158" s="1525">
        <f t="shared" si="46"/>
        <v>0</v>
      </c>
      <c r="V158" s="1485">
        <f t="shared" si="47"/>
        <v>0</v>
      </c>
      <c r="W158" s="1525">
        <f t="shared" si="48"/>
        <v>0</v>
      </c>
      <c r="X158" s="1485">
        <f t="shared" si="49"/>
        <v>0</v>
      </c>
      <c r="Y158" s="1485">
        <f t="shared" si="50"/>
        <v>0</v>
      </c>
      <c r="Z158" s="1527" t="s">
        <v>7799</v>
      </c>
      <c r="AA158" s="1379" t="s">
        <v>6526</v>
      </c>
      <c r="AB158" s="1583"/>
      <c r="AC158" s="1584" t="str">
        <f t="shared" si="51"/>
        <v>ok</v>
      </c>
      <c r="AD158" s="1583"/>
      <c r="AE158" s="1583"/>
      <c r="AF158" s="1583"/>
      <c r="AG158" s="1583"/>
      <c r="AH158" s="1583"/>
      <c r="AI158" s="1583"/>
      <c r="AJ158" s="1583"/>
      <c r="AK158" s="1583"/>
      <c r="AL158" s="1583"/>
      <c r="AM158" s="1583"/>
      <c r="AN158" s="1583"/>
      <c r="AO158" s="1583"/>
    </row>
    <row r="159" spans="1:41" x14ac:dyDescent="0.6">
      <c r="A159" s="1432">
        <v>154</v>
      </c>
      <c r="B159" s="1587" t="s">
        <v>8455</v>
      </c>
      <c r="C159" s="1576" t="s">
        <v>8298</v>
      </c>
      <c r="D159" s="1578">
        <v>0</v>
      </c>
      <c r="E159" s="1578">
        <f t="shared" si="35"/>
        <v>0</v>
      </c>
      <c r="F159" s="1579">
        <v>0</v>
      </c>
      <c r="G159" s="1485">
        <f t="shared" si="36"/>
        <v>0</v>
      </c>
      <c r="H159" s="1485">
        <v>0</v>
      </c>
      <c r="I159" s="1485">
        <f t="shared" si="37"/>
        <v>0</v>
      </c>
      <c r="J159" s="1582">
        <v>30</v>
      </c>
      <c r="K159" s="1582">
        <v>90</v>
      </c>
      <c r="L159" s="1525">
        <f t="shared" si="38"/>
        <v>280.17</v>
      </c>
      <c r="M159" s="1485">
        <v>0</v>
      </c>
      <c r="N159" s="1581">
        <v>3.113</v>
      </c>
      <c r="O159" s="1582">
        <f t="shared" si="40"/>
        <v>0</v>
      </c>
      <c r="P159" s="1485">
        <v>0</v>
      </c>
      <c r="Q159" s="1485">
        <f t="shared" si="42"/>
        <v>0</v>
      </c>
      <c r="R159" s="1485">
        <v>0</v>
      </c>
      <c r="S159" s="1525">
        <f t="shared" si="44"/>
        <v>0</v>
      </c>
      <c r="T159" s="1485">
        <v>0</v>
      </c>
      <c r="U159" s="1525">
        <f t="shared" si="46"/>
        <v>0</v>
      </c>
      <c r="V159" s="1485">
        <v>0</v>
      </c>
      <c r="W159" s="1525">
        <f t="shared" si="48"/>
        <v>0</v>
      </c>
      <c r="X159" s="1485">
        <f t="shared" si="49"/>
        <v>0</v>
      </c>
      <c r="Y159" s="1485">
        <f t="shared" si="50"/>
        <v>0</v>
      </c>
      <c r="Z159" s="1527" t="s">
        <v>7799</v>
      </c>
      <c r="AA159" s="1379" t="s">
        <v>6526</v>
      </c>
      <c r="AB159" s="1583"/>
      <c r="AC159" s="1584" t="str">
        <f t="shared" si="51"/>
        <v>ok</v>
      </c>
      <c r="AD159" s="1583"/>
      <c r="AE159" s="1583"/>
      <c r="AF159" s="1583"/>
      <c r="AG159" s="1583"/>
      <c r="AH159" s="1583"/>
      <c r="AI159" s="1583"/>
      <c r="AJ159" s="1583"/>
      <c r="AK159" s="1583"/>
      <c r="AL159" s="1583"/>
      <c r="AM159" s="1583"/>
      <c r="AN159" s="1583"/>
      <c r="AO159" s="1583"/>
    </row>
    <row r="160" spans="1:41" ht="42" x14ac:dyDescent="0.6">
      <c r="A160" s="1432">
        <v>155</v>
      </c>
      <c r="B160" s="1587" t="s">
        <v>8456</v>
      </c>
      <c r="C160" s="1576" t="s">
        <v>8298</v>
      </c>
      <c r="D160" s="1578">
        <v>10300</v>
      </c>
      <c r="E160" s="1578">
        <f t="shared" si="35"/>
        <v>44084</v>
      </c>
      <c r="F160" s="1579">
        <v>12000</v>
      </c>
      <c r="G160" s="1485">
        <f t="shared" si="36"/>
        <v>51360</v>
      </c>
      <c r="H160" s="1485">
        <v>11000</v>
      </c>
      <c r="I160" s="1485">
        <f t="shared" si="37"/>
        <v>47080</v>
      </c>
      <c r="J160" s="1582">
        <v>15000</v>
      </c>
      <c r="K160" s="1582">
        <v>3000</v>
      </c>
      <c r="L160" s="1525">
        <f t="shared" si="38"/>
        <v>12840</v>
      </c>
      <c r="M160" s="1485">
        <f t="shared" si="39"/>
        <v>12000</v>
      </c>
      <c r="N160" s="1581">
        <v>4.28</v>
      </c>
      <c r="O160" s="1582">
        <f t="shared" si="40"/>
        <v>51360</v>
      </c>
      <c r="P160" s="1485">
        <f t="shared" si="41"/>
        <v>3000</v>
      </c>
      <c r="Q160" s="1485">
        <f t="shared" si="42"/>
        <v>12840</v>
      </c>
      <c r="R160" s="1485">
        <f t="shared" si="43"/>
        <v>3000</v>
      </c>
      <c r="S160" s="1525">
        <f t="shared" si="44"/>
        <v>12840</v>
      </c>
      <c r="T160" s="1485">
        <f t="shared" si="45"/>
        <v>3000</v>
      </c>
      <c r="U160" s="1525">
        <f t="shared" si="46"/>
        <v>12840</v>
      </c>
      <c r="V160" s="1485">
        <f t="shared" si="47"/>
        <v>3000</v>
      </c>
      <c r="W160" s="1525">
        <f t="shared" si="48"/>
        <v>12840</v>
      </c>
      <c r="X160" s="1485">
        <f t="shared" si="49"/>
        <v>12000</v>
      </c>
      <c r="Y160" s="1485">
        <f t="shared" si="50"/>
        <v>51360</v>
      </c>
      <c r="Z160" s="1527" t="s">
        <v>7799</v>
      </c>
      <c r="AA160" s="1379" t="s">
        <v>6526</v>
      </c>
      <c r="AB160" s="1583"/>
      <c r="AC160" s="1584" t="str">
        <f t="shared" si="51"/>
        <v>ok</v>
      </c>
      <c r="AD160" s="1583"/>
      <c r="AE160" s="1583"/>
      <c r="AF160" s="1583"/>
      <c r="AG160" s="1583"/>
      <c r="AH160" s="1583"/>
      <c r="AI160" s="1583"/>
      <c r="AJ160" s="1583"/>
      <c r="AK160" s="1583"/>
      <c r="AL160" s="1583"/>
      <c r="AM160" s="1583"/>
      <c r="AN160" s="1583"/>
      <c r="AO160" s="1583"/>
    </row>
    <row r="161" spans="1:41" x14ac:dyDescent="0.6">
      <c r="A161" s="1432">
        <v>156</v>
      </c>
      <c r="B161" s="1587" t="s">
        <v>8457</v>
      </c>
      <c r="C161" s="1576" t="s">
        <v>8458</v>
      </c>
      <c r="D161" s="1578">
        <v>18</v>
      </c>
      <c r="E161" s="1578">
        <f t="shared" si="35"/>
        <v>288</v>
      </c>
      <c r="F161" s="1579">
        <v>6</v>
      </c>
      <c r="G161" s="1485">
        <f t="shared" si="36"/>
        <v>96</v>
      </c>
      <c r="H161" s="1485">
        <v>12</v>
      </c>
      <c r="I161" s="1485">
        <f t="shared" si="37"/>
        <v>192</v>
      </c>
      <c r="J161" s="1582">
        <v>12</v>
      </c>
      <c r="K161" s="1582">
        <v>4</v>
      </c>
      <c r="L161" s="1525">
        <f t="shared" si="38"/>
        <v>64</v>
      </c>
      <c r="M161" s="1485">
        <f t="shared" si="39"/>
        <v>8</v>
      </c>
      <c r="N161" s="1581">
        <v>16</v>
      </c>
      <c r="O161" s="1582">
        <f t="shared" si="40"/>
        <v>128</v>
      </c>
      <c r="P161" s="1485">
        <f t="shared" si="41"/>
        <v>2</v>
      </c>
      <c r="Q161" s="1485">
        <f t="shared" si="42"/>
        <v>32</v>
      </c>
      <c r="R161" s="1485">
        <f t="shared" si="43"/>
        <v>2</v>
      </c>
      <c r="S161" s="1525">
        <f t="shared" si="44"/>
        <v>32</v>
      </c>
      <c r="T161" s="1485">
        <f t="shared" si="45"/>
        <v>2</v>
      </c>
      <c r="U161" s="1525">
        <f t="shared" si="46"/>
        <v>32</v>
      </c>
      <c r="V161" s="1485">
        <f t="shared" si="47"/>
        <v>2</v>
      </c>
      <c r="W161" s="1525">
        <f t="shared" si="48"/>
        <v>32</v>
      </c>
      <c r="X161" s="1485">
        <f t="shared" si="49"/>
        <v>8</v>
      </c>
      <c r="Y161" s="1485">
        <f t="shared" si="50"/>
        <v>128</v>
      </c>
      <c r="Z161" s="1527" t="s">
        <v>7799</v>
      </c>
      <c r="AA161" s="1379" t="s">
        <v>6526</v>
      </c>
      <c r="AB161" s="1583"/>
      <c r="AC161" s="1584" t="str">
        <f t="shared" si="51"/>
        <v>ok</v>
      </c>
      <c r="AD161" s="1583"/>
      <c r="AE161" s="1583"/>
      <c r="AF161" s="1583"/>
      <c r="AG161" s="1583"/>
      <c r="AH161" s="1583"/>
      <c r="AI161" s="1583"/>
      <c r="AJ161" s="1583"/>
      <c r="AK161" s="1583"/>
      <c r="AL161" s="1583"/>
      <c r="AM161" s="1583"/>
      <c r="AN161" s="1583"/>
      <c r="AO161" s="1583"/>
    </row>
    <row r="162" spans="1:41" x14ac:dyDescent="0.6">
      <c r="A162" s="1432">
        <v>157</v>
      </c>
      <c r="B162" s="1587" t="s">
        <v>8459</v>
      </c>
      <c r="C162" s="1576" t="s">
        <v>8296</v>
      </c>
      <c r="D162" s="1578">
        <v>146</v>
      </c>
      <c r="E162" s="1578">
        <f t="shared" si="35"/>
        <v>4622.3599999999997</v>
      </c>
      <c r="F162" s="1579">
        <v>180</v>
      </c>
      <c r="G162" s="1485">
        <f t="shared" si="36"/>
        <v>5698.8</v>
      </c>
      <c r="H162" s="1485">
        <v>200</v>
      </c>
      <c r="I162" s="1485">
        <f t="shared" si="37"/>
        <v>6332</v>
      </c>
      <c r="J162" s="1582">
        <v>230</v>
      </c>
      <c r="K162" s="1582">
        <v>20</v>
      </c>
      <c r="L162" s="1525">
        <f t="shared" si="38"/>
        <v>633.20000000000005</v>
      </c>
      <c r="M162" s="1485">
        <f t="shared" si="39"/>
        <v>210</v>
      </c>
      <c r="N162" s="1581">
        <v>31.66</v>
      </c>
      <c r="O162" s="1582">
        <f t="shared" si="40"/>
        <v>6648.6</v>
      </c>
      <c r="P162" s="1485">
        <v>110</v>
      </c>
      <c r="Q162" s="1485">
        <f t="shared" si="42"/>
        <v>3482.6</v>
      </c>
      <c r="R162" s="1485">
        <v>100</v>
      </c>
      <c r="S162" s="1525">
        <f t="shared" si="44"/>
        <v>3166</v>
      </c>
      <c r="T162" s="1485">
        <v>0</v>
      </c>
      <c r="U162" s="1525">
        <f t="shared" si="46"/>
        <v>0</v>
      </c>
      <c r="V162" s="1485">
        <v>0</v>
      </c>
      <c r="W162" s="1525">
        <f t="shared" si="48"/>
        <v>0</v>
      </c>
      <c r="X162" s="1485">
        <f t="shared" si="49"/>
        <v>210</v>
      </c>
      <c r="Y162" s="1485">
        <f t="shared" si="50"/>
        <v>6648.6</v>
      </c>
      <c r="Z162" s="1527" t="s">
        <v>7799</v>
      </c>
      <c r="AA162" s="1379" t="s">
        <v>6526</v>
      </c>
      <c r="AB162" s="1583"/>
      <c r="AC162" s="1584" t="str">
        <f t="shared" si="51"/>
        <v>ok</v>
      </c>
      <c r="AD162" s="1583"/>
      <c r="AE162" s="1583"/>
      <c r="AF162" s="1583"/>
      <c r="AG162" s="1583"/>
      <c r="AH162" s="1583"/>
      <c r="AI162" s="1583"/>
      <c r="AJ162" s="1583"/>
      <c r="AK162" s="1583"/>
      <c r="AL162" s="1583"/>
      <c r="AM162" s="1583"/>
      <c r="AN162" s="1583"/>
      <c r="AO162" s="1583"/>
    </row>
    <row r="163" spans="1:41" ht="42" x14ac:dyDescent="0.6">
      <c r="A163" s="1432">
        <v>158</v>
      </c>
      <c r="B163" s="1587" t="s">
        <v>8460</v>
      </c>
      <c r="C163" s="1576" t="s">
        <v>8296</v>
      </c>
      <c r="D163" s="1578">
        <v>2</v>
      </c>
      <c r="E163" s="1578">
        <f t="shared" si="35"/>
        <v>149.80000000000001</v>
      </c>
      <c r="F163" s="1579">
        <v>2</v>
      </c>
      <c r="G163" s="1485">
        <f t="shared" si="36"/>
        <v>149.80000000000001</v>
      </c>
      <c r="H163" s="1485">
        <v>0</v>
      </c>
      <c r="I163" s="1485">
        <f t="shared" si="37"/>
        <v>0</v>
      </c>
      <c r="J163" s="1582">
        <v>2</v>
      </c>
      <c r="K163" s="1582">
        <v>0</v>
      </c>
      <c r="L163" s="1525">
        <f t="shared" si="38"/>
        <v>0</v>
      </c>
      <c r="M163" s="1485">
        <f t="shared" si="39"/>
        <v>2</v>
      </c>
      <c r="N163" s="1581">
        <v>74.900000000000006</v>
      </c>
      <c r="O163" s="1582">
        <f t="shared" si="40"/>
        <v>149.80000000000001</v>
      </c>
      <c r="P163" s="1485">
        <v>2</v>
      </c>
      <c r="Q163" s="1485">
        <f t="shared" si="42"/>
        <v>149.80000000000001</v>
      </c>
      <c r="R163" s="1485">
        <v>0</v>
      </c>
      <c r="S163" s="1525">
        <f t="shared" si="44"/>
        <v>0</v>
      </c>
      <c r="T163" s="1485">
        <v>0</v>
      </c>
      <c r="U163" s="1525">
        <f t="shared" si="46"/>
        <v>0</v>
      </c>
      <c r="V163" s="1485">
        <v>0</v>
      </c>
      <c r="W163" s="1525">
        <f t="shared" si="48"/>
        <v>0</v>
      </c>
      <c r="X163" s="1485">
        <f t="shared" si="49"/>
        <v>2</v>
      </c>
      <c r="Y163" s="1485">
        <f t="shared" si="50"/>
        <v>149.80000000000001</v>
      </c>
      <c r="Z163" s="1527" t="s">
        <v>7799</v>
      </c>
      <c r="AA163" s="1379" t="s">
        <v>6526</v>
      </c>
      <c r="AB163" s="1583"/>
      <c r="AC163" s="1584" t="str">
        <f t="shared" si="51"/>
        <v>ok</v>
      </c>
      <c r="AD163" s="1583"/>
      <c r="AE163" s="1583"/>
      <c r="AF163" s="1583"/>
      <c r="AG163" s="1583"/>
      <c r="AH163" s="1583"/>
      <c r="AI163" s="1583"/>
      <c r="AJ163" s="1583"/>
      <c r="AK163" s="1583"/>
      <c r="AL163" s="1583"/>
      <c r="AM163" s="1583"/>
      <c r="AN163" s="1583"/>
      <c r="AO163" s="1583"/>
    </row>
    <row r="164" spans="1:41" ht="42" x14ac:dyDescent="0.6">
      <c r="A164" s="1432">
        <v>159</v>
      </c>
      <c r="B164" s="1587" t="s">
        <v>8461</v>
      </c>
      <c r="C164" s="1576" t="s">
        <v>8298</v>
      </c>
      <c r="D164" s="1578">
        <v>240</v>
      </c>
      <c r="E164" s="1578">
        <f t="shared" si="35"/>
        <v>3170.64</v>
      </c>
      <c r="F164" s="1579">
        <v>240</v>
      </c>
      <c r="G164" s="1485">
        <f t="shared" si="36"/>
        <v>3170.64</v>
      </c>
      <c r="H164" s="1485">
        <v>360</v>
      </c>
      <c r="I164" s="1485">
        <f t="shared" si="37"/>
        <v>4755.96</v>
      </c>
      <c r="J164" s="1582">
        <v>240</v>
      </c>
      <c r="K164" s="1582">
        <v>10000</v>
      </c>
      <c r="L164" s="1525">
        <f t="shared" si="38"/>
        <v>132110</v>
      </c>
      <c r="M164" s="1485">
        <v>0</v>
      </c>
      <c r="N164" s="1581">
        <v>13.211</v>
      </c>
      <c r="O164" s="1582">
        <f t="shared" si="40"/>
        <v>0</v>
      </c>
      <c r="P164" s="1485">
        <f t="shared" si="41"/>
        <v>0</v>
      </c>
      <c r="Q164" s="1485">
        <f t="shared" si="42"/>
        <v>0</v>
      </c>
      <c r="R164" s="1485">
        <f t="shared" si="43"/>
        <v>0</v>
      </c>
      <c r="S164" s="1525">
        <f t="shared" si="44"/>
        <v>0</v>
      </c>
      <c r="T164" s="1485">
        <f t="shared" si="45"/>
        <v>0</v>
      </c>
      <c r="U164" s="1525">
        <f t="shared" si="46"/>
        <v>0</v>
      </c>
      <c r="V164" s="1485">
        <f t="shared" si="47"/>
        <v>0</v>
      </c>
      <c r="W164" s="1525">
        <f t="shared" si="48"/>
        <v>0</v>
      </c>
      <c r="X164" s="1485">
        <f t="shared" si="49"/>
        <v>0</v>
      </c>
      <c r="Y164" s="1485">
        <f t="shared" si="50"/>
        <v>0</v>
      </c>
      <c r="Z164" s="1527" t="s">
        <v>7799</v>
      </c>
      <c r="AA164" s="1379" t="s">
        <v>6526</v>
      </c>
      <c r="AB164" s="1583"/>
      <c r="AC164" s="1584" t="str">
        <f t="shared" si="51"/>
        <v>ok</v>
      </c>
      <c r="AD164" s="1583"/>
      <c r="AE164" s="1583"/>
      <c r="AF164" s="1583"/>
      <c r="AG164" s="1583"/>
      <c r="AH164" s="1583"/>
      <c r="AI164" s="1583"/>
      <c r="AJ164" s="1583"/>
      <c r="AK164" s="1583"/>
      <c r="AL164" s="1583"/>
      <c r="AM164" s="1583"/>
      <c r="AN164" s="1583"/>
      <c r="AO164" s="1583"/>
    </row>
    <row r="165" spans="1:41" x14ac:dyDescent="0.6">
      <c r="A165" s="1432">
        <v>160</v>
      </c>
      <c r="B165" s="1587" t="s">
        <v>8462</v>
      </c>
      <c r="C165" s="1576" t="s">
        <v>8298</v>
      </c>
      <c r="D165" s="1578">
        <f>8000+25000</f>
        <v>33000</v>
      </c>
      <c r="E165" s="1578">
        <f t="shared" si="35"/>
        <v>6798</v>
      </c>
      <c r="F165" s="1579">
        <v>34000</v>
      </c>
      <c r="G165" s="1485">
        <f t="shared" si="36"/>
        <v>7004</v>
      </c>
      <c r="H165" s="1485">
        <v>35000</v>
      </c>
      <c r="I165" s="1485">
        <f t="shared" si="37"/>
        <v>7210</v>
      </c>
      <c r="J165" s="1582">
        <v>40000</v>
      </c>
      <c r="K165" s="1582">
        <v>4000</v>
      </c>
      <c r="L165" s="1525">
        <f t="shared" si="38"/>
        <v>824</v>
      </c>
      <c r="M165" s="1485">
        <f t="shared" si="39"/>
        <v>36000</v>
      </c>
      <c r="N165" s="1581">
        <v>0.20599999999999999</v>
      </c>
      <c r="O165" s="1582">
        <f t="shared" si="40"/>
        <v>7416</v>
      </c>
      <c r="P165" s="1485">
        <f t="shared" si="41"/>
        <v>9000</v>
      </c>
      <c r="Q165" s="1485">
        <f t="shared" si="42"/>
        <v>1854</v>
      </c>
      <c r="R165" s="1485">
        <f t="shared" si="43"/>
        <v>9000</v>
      </c>
      <c r="S165" s="1525">
        <f t="shared" si="44"/>
        <v>1854</v>
      </c>
      <c r="T165" s="1485">
        <f t="shared" si="45"/>
        <v>9000</v>
      </c>
      <c r="U165" s="1525">
        <f t="shared" si="46"/>
        <v>1854</v>
      </c>
      <c r="V165" s="1485">
        <f t="shared" si="47"/>
        <v>9000</v>
      </c>
      <c r="W165" s="1525">
        <f t="shared" si="48"/>
        <v>1854</v>
      </c>
      <c r="X165" s="1485">
        <f t="shared" si="49"/>
        <v>36000</v>
      </c>
      <c r="Y165" s="1485">
        <f t="shared" si="50"/>
        <v>7416</v>
      </c>
      <c r="Z165" s="1527" t="s">
        <v>7799</v>
      </c>
      <c r="AA165" s="1379" t="s">
        <v>6526</v>
      </c>
      <c r="AB165" s="1583"/>
      <c r="AC165" s="1584" t="str">
        <f t="shared" si="51"/>
        <v>ok</v>
      </c>
      <c r="AD165" s="1583"/>
      <c r="AE165" s="1583"/>
      <c r="AF165" s="1583"/>
      <c r="AG165" s="1583"/>
      <c r="AH165" s="1583"/>
      <c r="AI165" s="1583"/>
      <c r="AJ165" s="1583"/>
      <c r="AK165" s="1583"/>
      <c r="AL165" s="1583"/>
      <c r="AM165" s="1583"/>
      <c r="AN165" s="1583"/>
      <c r="AO165" s="1583"/>
    </row>
    <row r="166" spans="1:41" x14ac:dyDescent="0.6">
      <c r="A166" s="1432">
        <v>161</v>
      </c>
      <c r="B166" s="1587" t="s">
        <v>8463</v>
      </c>
      <c r="C166" s="1576" t="s">
        <v>8298</v>
      </c>
      <c r="D166" s="1578">
        <v>11000</v>
      </c>
      <c r="E166" s="1578">
        <f t="shared" si="35"/>
        <v>9900</v>
      </c>
      <c r="F166" s="1579">
        <v>11200</v>
      </c>
      <c r="G166" s="1485">
        <f t="shared" si="36"/>
        <v>10080</v>
      </c>
      <c r="H166" s="1485">
        <v>110000</v>
      </c>
      <c r="I166" s="1485">
        <f t="shared" si="37"/>
        <v>99000</v>
      </c>
      <c r="J166" s="1582">
        <v>12000</v>
      </c>
      <c r="K166" s="1582">
        <v>1000</v>
      </c>
      <c r="L166" s="1525">
        <f t="shared" si="38"/>
        <v>900</v>
      </c>
      <c r="M166" s="1485">
        <f t="shared" si="39"/>
        <v>11000</v>
      </c>
      <c r="N166" s="1581">
        <f>900/1000</f>
        <v>0.9</v>
      </c>
      <c r="O166" s="1582">
        <f t="shared" si="40"/>
        <v>9900</v>
      </c>
      <c r="P166" s="1485">
        <f t="shared" si="41"/>
        <v>2750</v>
      </c>
      <c r="Q166" s="1485">
        <f t="shared" si="42"/>
        <v>2475</v>
      </c>
      <c r="R166" s="1485">
        <f t="shared" si="43"/>
        <v>2750</v>
      </c>
      <c r="S166" s="1525">
        <f t="shared" si="44"/>
        <v>2475</v>
      </c>
      <c r="T166" s="1485">
        <f t="shared" si="45"/>
        <v>2750</v>
      </c>
      <c r="U166" s="1525">
        <f t="shared" si="46"/>
        <v>2475</v>
      </c>
      <c r="V166" s="1485">
        <f t="shared" si="47"/>
        <v>2750</v>
      </c>
      <c r="W166" s="1525">
        <f t="shared" si="48"/>
        <v>2475</v>
      </c>
      <c r="X166" s="1485">
        <f t="shared" si="49"/>
        <v>11000</v>
      </c>
      <c r="Y166" s="1485">
        <f t="shared" si="50"/>
        <v>9900</v>
      </c>
      <c r="Z166" s="1527" t="s">
        <v>7799</v>
      </c>
      <c r="AA166" s="1379" t="s">
        <v>6526</v>
      </c>
      <c r="AB166" s="1583"/>
      <c r="AC166" s="1584" t="str">
        <f t="shared" si="51"/>
        <v>ok</v>
      </c>
      <c r="AD166" s="1583"/>
      <c r="AE166" s="1583"/>
      <c r="AF166" s="1583"/>
      <c r="AG166" s="1583"/>
      <c r="AH166" s="1583"/>
      <c r="AI166" s="1583"/>
      <c r="AJ166" s="1583"/>
      <c r="AK166" s="1583"/>
      <c r="AL166" s="1583"/>
      <c r="AM166" s="1583"/>
      <c r="AN166" s="1583"/>
      <c r="AO166" s="1583"/>
    </row>
    <row r="167" spans="1:41" ht="42" x14ac:dyDescent="0.6">
      <c r="A167" s="1432">
        <v>162</v>
      </c>
      <c r="B167" s="1587" t="s">
        <v>8464</v>
      </c>
      <c r="C167" s="1576" t="s">
        <v>8298</v>
      </c>
      <c r="D167" s="1578">
        <f>87600+54000</f>
        <v>141600</v>
      </c>
      <c r="E167" s="1578">
        <f t="shared" si="35"/>
        <v>106200</v>
      </c>
      <c r="F167" s="1579">
        <v>150000</v>
      </c>
      <c r="G167" s="1485">
        <f t="shared" si="36"/>
        <v>112500</v>
      </c>
      <c r="H167" s="1485">
        <v>170000</v>
      </c>
      <c r="I167" s="1485">
        <f t="shared" si="37"/>
        <v>127500</v>
      </c>
      <c r="J167" s="1582">
        <v>200000</v>
      </c>
      <c r="K167" s="1582">
        <v>20000</v>
      </c>
      <c r="L167" s="1525">
        <f t="shared" si="38"/>
        <v>15000</v>
      </c>
      <c r="M167" s="1485">
        <f t="shared" si="39"/>
        <v>180000</v>
      </c>
      <c r="N167" s="1581">
        <v>0.75</v>
      </c>
      <c r="O167" s="1582">
        <f t="shared" si="40"/>
        <v>135000</v>
      </c>
      <c r="P167" s="1485">
        <f t="shared" si="41"/>
        <v>45000</v>
      </c>
      <c r="Q167" s="1485">
        <f t="shared" si="42"/>
        <v>33750</v>
      </c>
      <c r="R167" s="1485">
        <f t="shared" si="43"/>
        <v>45000</v>
      </c>
      <c r="S167" s="1525">
        <f t="shared" si="44"/>
        <v>33750</v>
      </c>
      <c r="T167" s="1485">
        <f t="shared" si="45"/>
        <v>45000</v>
      </c>
      <c r="U167" s="1525">
        <f t="shared" si="46"/>
        <v>33750</v>
      </c>
      <c r="V167" s="1485">
        <f t="shared" si="47"/>
        <v>45000</v>
      </c>
      <c r="W167" s="1525">
        <f t="shared" si="48"/>
        <v>33750</v>
      </c>
      <c r="X167" s="1485">
        <f t="shared" si="49"/>
        <v>180000</v>
      </c>
      <c r="Y167" s="1485">
        <f t="shared" si="50"/>
        <v>135000</v>
      </c>
      <c r="Z167" s="1527" t="s">
        <v>7799</v>
      </c>
      <c r="AA167" s="1379" t="s">
        <v>6526</v>
      </c>
      <c r="AB167" s="1583"/>
      <c r="AC167" s="1584" t="str">
        <f t="shared" si="51"/>
        <v>ok</v>
      </c>
      <c r="AD167" s="1583"/>
      <c r="AE167" s="1583"/>
      <c r="AF167" s="1583"/>
      <c r="AG167" s="1583"/>
      <c r="AH167" s="1583"/>
      <c r="AI167" s="1583"/>
      <c r="AJ167" s="1583"/>
      <c r="AK167" s="1583"/>
      <c r="AL167" s="1583"/>
      <c r="AM167" s="1583"/>
      <c r="AN167" s="1583"/>
      <c r="AO167" s="1583"/>
    </row>
    <row r="168" spans="1:41" x14ac:dyDescent="0.6">
      <c r="A168" s="1432">
        <v>163</v>
      </c>
      <c r="B168" s="1587" t="s">
        <v>8465</v>
      </c>
      <c r="C168" s="1576" t="s">
        <v>8466</v>
      </c>
      <c r="D168" s="1578">
        <v>5</v>
      </c>
      <c r="E168" s="1578">
        <f t="shared" si="35"/>
        <v>325</v>
      </c>
      <c r="F168" s="1579">
        <v>24</v>
      </c>
      <c r="G168" s="1485">
        <f t="shared" si="36"/>
        <v>1560</v>
      </c>
      <c r="H168" s="1485">
        <v>15</v>
      </c>
      <c r="I168" s="1485">
        <f t="shared" si="37"/>
        <v>975</v>
      </c>
      <c r="J168" s="1582">
        <v>24</v>
      </c>
      <c r="K168" s="1582">
        <v>60</v>
      </c>
      <c r="L168" s="1525">
        <f t="shared" si="38"/>
        <v>3900</v>
      </c>
      <c r="M168" s="1485">
        <v>0</v>
      </c>
      <c r="N168" s="1581">
        <v>65</v>
      </c>
      <c r="O168" s="1582">
        <f t="shared" si="40"/>
        <v>0</v>
      </c>
      <c r="P168" s="1485">
        <f t="shared" si="41"/>
        <v>0</v>
      </c>
      <c r="Q168" s="1485">
        <f t="shared" si="42"/>
        <v>0</v>
      </c>
      <c r="R168" s="1485">
        <f t="shared" si="43"/>
        <v>0</v>
      </c>
      <c r="S168" s="1525">
        <f t="shared" si="44"/>
        <v>0</v>
      </c>
      <c r="T168" s="1485">
        <f t="shared" si="45"/>
        <v>0</v>
      </c>
      <c r="U168" s="1525">
        <f t="shared" si="46"/>
        <v>0</v>
      </c>
      <c r="V168" s="1485">
        <f t="shared" si="47"/>
        <v>0</v>
      </c>
      <c r="W168" s="1525">
        <f t="shared" si="48"/>
        <v>0</v>
      </c>
      <c r="X168" s="1485">
        <f t="shared" si="49"/>
        <v>0</v>
      </c>
      <c r="Y168" s="1485">
        <f t="shared" si="50"/>
        <v>0</v>
      </c>
      <c r="Z168" s="1527" t="s">
        <v>7799</v>
      </c>
      <c r="AA168" s="1379" t="s">
        <v>6526</v>
      </c>
      <c r="AB168" s="1583"/>
      <c r="AC168" s="1584" t="str">
        <f t="shared" si="51"/>
        <v>ok</v>
      </c>
      <c r="AD168" s="1583"/>
      <c r="AE168" s="1583"/>
      <c r="AF168" s="1583"/>
      <c r="AG168" s="1583"/>
      <c r="AH168" s="1583"/>
      <c r="AI168" s="1583"/>
      <c r="AJ168" s="1583"/>
      <c r="AK168" s="1583"/>
      <c r="AL168" s="1583"/>
      <c r="AM168" s="1583"/>
      <c r="AN168" s="1583"/>
      <c r="AO168" s="1583"/>
    </row>
    <row r="169" spans="1:41" x14ac:dyDescent="0.6">
      <c r="A169" s="1432">
        <v>164</v>
      </c>
      <c r="B169" s="1587" t="s">
        <v>8467</v>
      </c>
      <c r="C169" s="1576" t="s">
        <v>8296</v>
      </c>
      <c r="D169" s="1578">
        <v>839</v>
      </c>
      <c r="E169" s="1578">
        <f t="shared" si="35"/>
        <v>10068</v>
      </c>
      <c r="F169" s="1579">
        <v>950</v>
      </c>
      <c r="G169" s="1485">
        <f t="shared" si="36"/>
        <v>11400</v>
      </c>
      <c r="H169" s="1485">
        <v>400</v>
      </c>
      <c r="I169" s="1485">
        <f t="shared" si="37"/>
        <v>4800</v>
      </c>
      <c r="J169" s="1582">
        <v>1200</v>
      </c>
      <c r="K169" s="1582">
        <v>100</v>
      </c>
      <c r="L169" s="1525">
        <f t="shared" si="38"/>
        <v>1200</v>
      </c>
      <c r="M169" s="1485">
        <f t="shared" si="39"/>
        <v>1100</v>
      </c>
      <c r="N169" s="1581">
        <v>12</v>
      </c>
      <c r="O169" s="1582">
        <f t="shared" si="40"/>
        <v>13200</v>
      </c>
      <c r="P169" s="1485">
        <v>550</v>
      </c>
      <c r="Q169" s="1485">
        <f t="shared" si="42"/>
        <v>6600</v>
      </c>
      <c r="R169" s="1485">
        <v>400</v>
      </c>
      <c r="S169" s="1525">
        <f t="shared" si="44"/>
        <v>4800</v>
      </c>
      <c r="T169" s="1485">
        <v>150</v>
      </c>
      <c r="U169" s="1525">
        <f t="shared" si="46"/>
        <v>1800</v>
      </c>
      <c r="V169" s="1485">
        <v>0</v>
      </c>
      <c r="W169" s="1525">
        <f t="shared" si="48"/>
        <v>0</v>
      </c>
      <c r="X169" s="1485">
        <f t="shared" si="49"/>
        <v>1100</v>
      </c>
      <c r="Y169" s="1485">
        <f t="shared" si="50"/>
        <v>13200</v>
      </c>
      <c r="Z169" s="1527" t="s">
        <v>7799</v>
      </c>
      <c r="AA169" s="1379" t="s">
        <v>6526</v>
      </c>
      <c r="AB169" s="1583"/>
      <c r="AC169" s="1584" t="str">
        <f t="shared" si="51"/>
        <v>ok</v>
      </c>
      <c r="AD169" s="1583"/>
      <c r="AE169" s="1583"/>
      <c r="AF169" s="1583"/>
      <c r="AG169" s="1583"/>
      <c r="AH169" s="1583"/>
      <c r="AI169" s="1583"/>
      <c r="AJ169" s="1583"/>
      <c r="AK169" s="1583"/>
      <c r="AL169" s="1583"/>
      <c r="AM169" s="1583"/>
      <c r="AN169" s="1583"/>
      <c r="AO169" s="1583"/>
    </row>
    <row r="170" spans="1:41" x14ac:dyDescent="0.6">
      <c r="A170" s="1432">
        <v>165</v>
      </c>
      <c r="B170" s="1587" t="s">
        <v>8468</v>
      </c>
      <c r="C170" s="1576" t="s">
        <v>8305</v>
      </c>
      <c r="D170" s="1578">
        <v>40</v>
      </c>
      <c r="E170" s="1578">
        <f t="shared" si="35"/>
        <v>400</v>
      </c>
      <c r="F170" s="1579">
        <v>150</v>
      </c>
      <c r="G170" s="1485">
        <f t="shared" si="36"/>
        <v>1500</v>
      </c>
      <c r="H170" s="1485">
        <v>200</v>
      </c>
      <c r="I170" s="1485">
        <f t="shared" si="37"/>
        <v>2000</v>
      </c>
      <c r="J170" s="1582">
        <v>250</v>
      </c>
      <c r="K170" s="1582">
        <v>50</v>
      </c>
      <c r="L170" s="1525">
        <f t="shared" si="38"/>
        <v>500</v>
      </c>
      <c r="M170" s="1485">
        <f t="shared" si="39"/>
        <v>200</v>
      </c>
      <c r="N170" s="1581">
        <v>10</v>
      </c>
      <c r="O170" s="1582">
        <f t="shared" si="40"/>
        <v>2000</v>
      </c>
      <c r="P170" s="1485">
        <f t="shared" si="41"/>
        <v>50</v>
      </c>
      <c r="Q170" s="1485">
        <f t="shared" si="42"/>
        <v>500</v>
      </c>
      <c r="R170" s="1485">
        <f t="shared" si="43"/>
        <v>50</v>
      </c>
      <c r="S170" s="1525">
        <f t="shared" si="44"/>
        <v>500</v>
      </c>
      <c r="T170" s="1485">
        <f t="shared" si="45"/>
        <v>50</v>
      </c>
      <c r="U170" s="1525">
        <f t="shared" si="46"/>
        <v>500</v>
      </c>
      <c r="V170" s="1485">
        <f t="shared" si="47"/>
        <v>50</v>
      </c>
      <c r="W170" s="1525">
        <f t="shared" si="48"/>
        <v>500</v>
      </c>
      <c r="X170" s="1485">
        <f t="shared" si="49"/>
        <v>200</v>
      </c>
      <c r="Y170" s="1485">
        <f t="shared" si="50"/>
        <v>2000</v>
      </c>
      <c r="Z170" s="1527" t="s">
        <v>7799</v>
      </c>
      <c r="AA170" s="1379" t="s">
        <v>6526</v>
      </c>
      <c r="AB170" s="1583"/>
      <c r="AC170" s="1584" t="str">
        <f t="shared" si="51"/>
        <v>ok</v>
      </c>
      <c r="AD170" s="1583"/>
      <c r="AE170" s="1583"/>
      <c r="AF170" s="1583"/>
      <c r="AG170" s="1583"/>
      <c r="AH170" s="1583"/>
      <c r="AI170" s="1583"/>
      <c r="AJ170" s="1583"/>
      <c r="AK170" s="1583"/>
      <c r="AL170" s="1583"/>
      <c r="AM170" s="1583"/>
      <c r="AN170" s="1583"/>
      <c r="AO170" s="1583"/>
    </row>
    <row r="171" spans="1:41" ht="63" x14ac:dyDescent="0.6">
      <c r="A171" s="1432">
        <v>166</v>
      </c>
      <c r="B171" s="1602" t="s">
        <v>8469</v>
      </c>
      <c r="C171" s="1576" t="s">
        <v>8305</v>
      </c>
      <c r="D171" s="1578">
        <v>867</v>
      </c>
      <c r="E171" s="1578">
        <f t="shared" si="35"/>
        <v>8496.6</v>
      </c>
      <c r="F171" s="1579">
        <v>900</v>
      </c>
      <c r="G171" s="1485">
        <f t="shared" si="36"/>
        <v>8820</v>
      </c>
      <c r="H171" s="1485">
        <v>850</v>
      </c>
      <c r="I171" s="1485">
        <f t="shared" si="37"/>
        <v>8330</v>
      </c>
      <c r="J171" s="1582">
        <v>950</v>
      </c>
      <c r="K171" s="1582">
        <v>50</v>
      </c>
      <c r="L171" s="1525">
        <f t="shared" si="38"/>
        <v>490.00000000000006</v>
      </c>
      <c r="M171" s="1485">
        <f t="shared" si="39"/>
        <v>900</v>
      </c>
      <c r="N171" s="1581">
        <v>9.8000000000000007</v>
      </c>
      <c r="O171" s="1582">
        <f t="shared" si="40"/>
        <v>8820</v>
      </c>
      <c r="P171" s="1485">
        <f t="shared" si="41"/>
        <v>225</v>
      </c>
      <c r="Q171" s="1485">
        <f t="shared" si="42"/>
        <v>2205</v>
      </c>
      <c r="R171" s="1485">
        <f t="shared" si="43"/>
        <v>225</v>
      </c>
      <c r="S171" s="1525">
        <f t="shared" si="44"/>
        <v>2205</v>
      </c>
      <c r="T171" s="1485">
        <f t="shared" si="45"/>
        <v>225</v>
      </c>
      <c r="U171" s="1525">
        <f t="shared" si="46"/>
        <v>2205</v>
      </c>
      <c r="V171" s="1485">
        <f t="shared" si="47"/>
        <v>225</v>
      </c>
      <c r="W171" s="1525">
        <f t="shared" si="48"/>
        <v>2205</v>
      </c>
      <c r="X171" s="1485">
        <f t="shared" si="49"/>
        <v>900</v>
      </c>
      <c r="Y171" s="1485">
        <f t="shared" si="50"/>
        <v>8820</v>
      </c>
      <c r="Z171" s="1527" t="s">
        <v>7799</v>
      </c>
      <c r="AA171" s="1379" t="s">
        <v>6526</v>
      </c>
      <c r="AB171" s="1583"/>
      <c r="AC171" s="1584" t="str">
        <f t="shared" si="51"/>
        <v>ok</v>
      </c>
      <c r="AD171" s="1583"/>
      <c r="AE171" s="1583"/>
      <c r="AF171" s="1583"/>
      <c r="AG171" s="1583"/>
      <c r="AH171" s="1583"/>
      <c r="AI171" s="1583"/>
      <c r="AJ171" s="1583"/>
      <c r="AK171" s="1583"/>
      <c r="AL171" s="1583"/>
      <c r="AM171" s="1583"/>
      <c r="AN171" s="1583"/>
      <c r="AO171" s="1583"/>
    </row>
    <row r="172" spans="1:41" ht="42" x14ac:dyDescent="0.6">
      <c r="A172" s="1432">
        <v>167</v>
      </c>
      <c r="B172" s="1587" t="s">
        <v>8470</v>
      </c>
      <c r="C172" s="1576" t="s">
        <v>8298</v>
      </c>
      <c r="D172" s="1578">
        <f>397500+715000</f>
        <v>1112500</v>
      </c>
      <c r="E172" s="1578">
        <f t="shared" si="35"/>
        <v>244750</v>
      </c>
      <c r="F172" s="1579">
        <v>1200000</v>
      </c>
      <c r="G172" s="1485">
        <f t="shared" si="36"/>
        <v>264000</v>
      </c>
      <c r="H172" s="1485">
        <v>1500000</v>
      </c>
      <c r="I172" s="1485">
        <f t="shared" si="37"/>
        <v>330000</v>
      </c>
      <c r="J172" s="1582">
        <v>1750000</v>
      </c>
      <c r="K172" s="1582">
        <v>200000</v>
      </c>
      <c r="L172" s="1525">
        <f t="shared" si="38"/>
        <v>44000</v>
      </c>
      <c r="M172" s="1485">
        <f t="shared" si="39"/>
        <v>1550000</v>
      </c>
      <c r="N172" s="1581">
        <v>0.22</v>
      </c>
      <c r="O172" s="1582">
        <f t="shared" si="40"/>
        <v>341000</v>
      </c>
      <c r="P172" s="1485">
        <f t="shared" si="41"/>
        <v>387500</v>
      </c>
      <c r="Q172" s="1485">
        <f t="shared" si="42"/>
        <v>85250</v>
      </c>
      <c r="R172" s="1485">
        <f t="shared" si="43"/>
        <v>387500</v>
      </c>
      <c r="S172" s="1525">
        <f t="shared" si="44"/>
        <v>85250</v>
      </c>
      <c r="T172" s="1485">
        <f t="shared" si="45"/>
        <v>387500</v>
      </c>
      <c r="U172" s="1525">
        <f t="shared" si="46"/>
        <v>85250</v>
      </c>
      <c r="V172" s="1485">
        <f t="shared" si="47"/>
        <v>387500</v>
      </c>
      <c r="W172" s="1525">
        <f t="shared" si="48"/>
        <v>85250</v>
      </c>
      <c r="X172" s="1485">
        <f t="shared" si="49"/>
        <v>1550000</v>
      </c>
      <c r="Y172" s="1485">
        <f t="shared" si="50"/>
        <v>341000</v>
      </c>
      <c r="Z172" s="1527" t="s">
        <v>7799</v>
      </c>
      <c r="AA172" s="1379" t="s">
        <v>6526</v>
      </c>
      <c r="AB172" s="1583"/>
      <c r="AC172" s="1584" t="str">
        <f t="shared" si="51"/>
        <v>ok</v>
      </c>
      <c r="AD172" s="1583"/>
      <c r="AE172" s="1583"/>
      <c r="AF172" s="1583"/>
      <c r="AG172" s="1583"/>
      <c r="AH172" s="1583"/>
      <c r="AI172" s="1583"/>
      <c r="AJ172" s="1583"/>
      <c r="AK172" s="1583"/>
      <c r="AL172" s="1583"/>
      <c r="AM172" s="1583"/>
      <c r="AN172" s="1583"/>
      <c r="AO172" s="1583"/>
    </row>
    <row r="173" spans="1:41" x14ac:dyDescent="0.6">
      <c r="A173" s="1432">
        <v>168</v>
      </c>
      <c r="B173" s="1587" t="s">
        <v>8471</v>
      </c>
      <c r="C173" s="1576" t="s">
        <v>8298</v>
      </c>
      <c r="D173" s="1582">
        <v>0</v>
      </c>
      <c r="E173" s="1578">
        <f t="shared" si="35"/>
        <v>0</v>
      </c>
      <c r="F173" s="1579">
        <v>6000</v>
      </c>
      <c r="G173" s="1485">
        <f t="shared" si="36"/>
        <v>3600</v>
      </c>
      <c r="H173" s="1485">
        <v>25000</v>
      </c>
      <c r="I173" s="1485">
        <f t="shared" si="37"/>
        <v>15000</v>
      </c>
      <c r="J173" s="1582">
        <v>27000</v>
      </c>
      <c r="K173" s="1582">
        <v>2000</v>
      </c>
      <c r="L173" s="1525">
        <f t="shared" si="38"/>
        <v>1200</v>
      </c>
      <c r="M173" s="1485">
        <f t="shared" si="39"/>
        <v>25000</v>
      </c>
      <c r="N173" s="1581">
        <v>0.6</v>
      </c>
      <c r="O173" s="1582">
        <f t="shared" si="40"/>
        <v>15000</v>
      </c>
      <c r="P173" s="1485">
        <f t="shared" si="41"/>
        <v>6250</v>
      </c>
      <c r="Q173" s="1485">
        <f t="shared" si="42"/>
        <v>3750</v>
      </c>
      <c r="R173" s="1485">
        <f t="shared" si="43"/>
        <v>6250</v>
      </c>
      <c r="S173" s="1525">
        <f t="shared" si="44"/>
        <v>3750</v>
      </c>
      <c r="T173" s="1485">
        <f t="shared" si="45"/>
        <v>6250</v>
      </c>
      <c r="U173" s="1525">
        <f t="shared" si="46"/>
        <v>3750</v>
      </c>
      <c r="V173" s="1485">
        <f t="shared" si="47"/>
        <v>6250</v>
      </c>
      <c r="W173" s="1525">
        <f t="shared" si="48"/>
        <v>3750</v>
      </c>
      <c r="X173" s="1485">
        <f t="shared" si="49"/>
        <v>25000</v>
      </c>
      <c r="Y173" s="1485">
        <f t="shared" si="50"/>
        <v>15000</v>
      </c>
      <c r="Z173" s="1527" t="s">
        <v>7799</v>
      </c>
      <c r="AA173" s="1379" t="s">
        <v>6526</v>
      </c>
      <c r="AB173" s="1583"/>
      <c r="AC173" s="1584" t="str">
        <f t="shared" si="51"/>
        <v>ok</v>
      </c>
      <c r="AD173" s="1583"/>
      <c r="AE173" s="1583"/>
      <c r="AF173" s="1583"/>
      <c r="AG173" s="1583"/>
      <c r="AH173" s="1583"/>
      <c r="AI173" s="1583"/>
      <c r="AJ173" s="1583"/>
      <c r="AK173" s="1583"/>
      <c r="AL173" s="1583"/>
      <c r="AM173" s="1583"/>
      <c r="AN173" s="1583"/>
      <c r="AO173" s="1583"/>
    </row>
    <row r="174" spans="1:41" ht="42" x14ac:dyDescent="0.6">
      <c r="A174" s="1432">
        <v>169</v>
      </c>
      <c r="B174" s="1587" t="s">
        <v>8472</v>
      </c>
      <c r="C174" s="1576" t="s">
        <v>8305</v>
      </c>
      <c r="D174" s="1578">
        <v>1330</v>
      </c>
      <c r="E174" s="1578">
        <f t="shared" si="35"/>
        <v>4269.3</v>
      </c>
      <c r="F174" s="1579">
        <v>1300</v>
      </c>
      <c r="G174" s="1485">
        <f t="shared" si="36"/>
        <v>4173</v>
      </c>
      <c r="H174" s="1485">
        <v>1200</v>
      </c>
      <c r="I174" s="1485">
        <f t="shared" si="37"/>
        <v>3852</v>
      </c>
      <c r="J174" s="1582">
        <v>1400</v>
      </c>
      <c r="K174" s="1582">
        <v>200</v>
      </c>
      <c r="L174" s="1525">
        <f t="shared" si="38"/>
        <v>642</v>
      </c>
      <c r="M174" s="1485">
        <f t="shared" si="39"/>
        <v>1200</v>
      </c>
      <c r="N174" s="1591">
        <v>3.21</v>
      </c>
      <c r="O174" s="1582">
        <f t="shared" si="40"/>
        <v>3852</v>
      </c>
      <c r="P174" s="1485">
        <f t="shared" si="41"/>
        <v>300</v>
      </c>
      <c r="Q174" s="1485">
        <f t="shared" si="42"/>
        <v>963</v>
      </c>
      <c r="R174" s="1485">
        <f t="shared" si="43"/>
        <v>300</v>
      </c>
      <c r="S174" s="1525">
        <f t="shared" si="44"/>
        <v>963</v>
      </c>
      <c r="T174" s="1485">
        <f t="shared" si="45"/>
        <v>300</v>
      </c>
      <c r="U174" s="1525">
        <f t="shared" si="46"/>
        <v>963</v>
      </c>
      <c r="V174" s="1485">
        <f t="shared" si="47"/>
        <v>300</v>
      </c>
      <c r="W174" s="1525">
        <f t="shared" si="48"/>
        <v>963</v>
      </c>
      <c r="X174" s="1485">
        <f t="shared" si="49"/>
        <v>1200</v>
      </c>
      <c r="Y174" s="1485">
        <f t="shared" si="50"/>
        <v>3852</v>
      </c>
      <c r="Z174" s="1527" t="s">
        <v>7799</v>
      </c>
      <c r="AA174" s="1379" t="s">
        <v>6526</v>
      </c>
      <c r="AB174" s="1583"/>
      <c r="AC174" s="1584" t="str">
        <f t="shared" si="51"/>
        <v>ok</v>
      </c>
      <c r="AD174" s="1583"/>
      <c r="AE174" s="1583"/>
      <c r="AF174" s="1583"/>
      <c r="AG174" s="1583"/>
      <c r="AH174" s="1583"/>
      <c r="AI174" s="1583"/>
      <c r="AJ174" s="1583"/>
      <c r="AK174" s="1583"/>
      <c r="AL174" s="1583"/>
      <c r="AM174" s="1583"/>
      <c r="AN174" s="1583"/>
      <c r="AO174" s="1583"/>
    </row>
    <row r="175" spans="1:41" x14ac:dyDescent="0.6">
      <c r="A175" s="1432">
        <v>170</v>
      </c>
      <c r="B175" s="1587" t="s">
        <v>8473</v>
      </c>
      <c r="C175" s="1576" t="s">
        <v>8298</v>
      </c>
      <c r="D175" s="1578">
        <v>4000</v>
      </c>
      <c r="E175" s="1578">
        <f t="shared" si="35"/>
        <v>1752</v>
      </c>
      <c r="F175" s="1579">
        <v>8000</v>
      </c>
      <c r="G175" s="1485">
        <f t="shared" si="36"/>
        <v>3504</v>
      </c>
      <c r="H175" s="1485">
        <v>14000</v>
      </c>
      <c r="I175" s="1485">
        <f t="shared" si="37"/>
        <v>6132</v>
      </c>
      <c r="J175" s="1582">
        <v>19000</v>
      </c>
      <c r="K175" s="1582">
        <v>2000</v>
      </c>
      <c r="L175" s="1525">
        <f t="shared" si="38"/>
        <v>876</v>
      </c>
      <c r="M175" s="1485">
        <f t="shared" si="39"/>
        <v>17000</v>
      </c>
      <c r="N175" s="1581">
        <v>0.438</v>
      </c>
      <c r="O175" s="1582">
        <f t="shared" si="40"/>
        <v>7446</v>
      </c>
      <c r="P175" s="1485">
        <f t="shared" si="41"/>
        <v>4250</v>
      </c>
      <c r="Q175" s="1485">
        <f t="shared" si="42"/>
        <v>1861.5</v>
      </c>
      <c r="R175" s="1485">
        <f t="shared" si="43"/>
        <v>4250</v>
      </c>
      <c r="S175" s="1525">
        <f t="shared" si="44"/>
        <v>1861.5</v>
      </c>
      <c r="T175" s="1485">
        <f t="shared" si="45"/>
        <v>4250</v>
      </c>
      <c r="U175" s="1525">
        <f t="shared" si="46"/>
        <v>1861.5</v>
      </c>
      <c r="V175" s="1485">
        <f t="shared" si="47"/>
        <v>4250</v>
      </c>
      <c r="W175" s="1525">
        <f t="shared" si="48"/>
        <v>1861.5</v>
      </c>
      <c r="X175" s="1485">
        <f t="shared" si="49"/>
        <v>17000</v>
      </c>
      <c r="Y175" s="1485">
        <f t="shared" si="50"/>
        <v>7446</v>
      </c>
      <c r="Z175" s="1527" t="s">
        <v>7799</v>
      </c>
      <c r="AA175" s="1379" t="s">
        <v>6526</v>
      </c>
      <c r="AB175" s="1583"/>
      <c r="AC175" s="1584" t="str">
        <f t="shared" si="51"/>
        <v>ok</v>
      </c>
      <c r="AD175" s="1583"/>
      <c r="AE175" s="1583"/>
      <c r="AF175" s="1583"/>
      <c r="AG175" s="1583"/>
      <c r="AH175" s="1583"/>
      <c r="AI175" s="1583"/>
      <c r="AJ175" s="1583"/>
      <c r="AK175" s="1583"/>
      <c r="AL175" s="1583"/>
      <c r="AM175" s="1583"/>
      <c r="AN175" s="1583"/>
      <c r="AO175" s="1583"/>
    </row>
    <row r="176" spans="1:41" ht="42" x14ac:dyDescent="0.6">
      <c r="A176" s="1432">
        <v>171</v>
      </c>
      <c r="B176" s="1587" t="s">
        <v>8474</v>
      </c>
      <c r="C176" s="1576" t="s">
        <v>8296</v>
      </c>
      <c r="D176" s="1578">
        <v>163</v>
      </c>
      <c r="E176" s="1578">
        <f t="shared" si="35"/>
        <v>2233.1</v>
      </c>
      <c r="F176" s="1579">
        <v>280</v>
      </c>
      <c r="G176" s="1485">
        <f t="shared" si="36"/>
        <v>3836</v>
      </c>
      <c r="H176" s="1485">
        <v>170</v>
      </c>
      <c r="I176" s="1485">
        <f t="shared" si="37"/>
        <v>2329</v>
      </c>
      <c r="J176" s="1582">
        <v>300</v>
      </c>
      <c r="K176" s="1582">
        <v>50</v>
      </c>
      <c r="L176" s="1525">
        <f t="shared" si="38"/>
        <v>685</v>
      </c>
      <c r="M176" s="1485">
        <f t="shared" si="39"/>
        <v>250</v>
      </c>
      <c r="N176" s="1581">
        <v>13.7</v>
      </c>
      <c r="O176" s="1582">
        <f t="shared" si="40"/>
        <v>3425</v>
      </c>
      <c r="P176" s="1485">
        <v>62</v>
      </c>
      <c r="Q176" s="1485">
        <f t="shared" si="42"/>
        <v>849.4</v>
      </c>
      <c r="R176" s="1485">
        <v>63</v>
      </c>
      <c r="S176" s="1525">
        <f t="shared" si="44"/>
        <v>863.09999999999991</v>
      </c>
      <c r="T176" s="1485">
        <v>62</v>
      </c>
      <c r="U176" s="1525">
        <f t="shared" si="46"/>
        <v>849.4</v>
      </c>
      <c r="V176" s="1485">
        <v>63</v>
      </c>
      <c r="W176" s="1525">
        <f t="shared" si="48"/>
        <v>863.09999999999991</v>
      </c>
      <c r="X176" s="1485">
        <f t="shared" si="49"/>
        <v>250</v>
      </c>
      <c r="Y176" s="1485">
        <f t="shared" si="50"/>
        <v>3425</v>
      </c>
      <c r="Z176" s="1527" t="s">
        <v>7799</v>
      </c>
      <c r="AA176" s="1379" t="s">
        <v>6526</v>
      </c>
      <c r="AB176" s="1583"/>
      <c r="AC176" s="1584" t="str">
        <f t="shared" si="51"/>
        <v>ok</v>
      </c>
      <c r="AD176" s="1583"/>
      <c r="AE176" s="1583"/>
      <c r="AF176" s="1583"/>
      <c r="AG176" s="1583"/>
      <c r="AH176" s="1583"/>
      <c r="AI176" s="1583"/>
      <c r="AJ176" s="1583"/>
      <c r="AK176" s="1583"/>
      <c r="AL176" s="1583"/>
      <c r="AM176" s="1583"/>
      <c r="AN176" s="1583"/>
      <c r="AO176" s="1583"/>
    </row>
    <row r="177" spans="1:41" x14ac:dyDescent="0.6">
      <c r="A177" s="1432">
        <v>172</v>
      </c>
      <c r="B177" s="1587" t="s">
        <v>8475</v>
      </c>
      <c r="C177" s="1576" t="s">
        <v>8298</v>
      </c>
      <c r="D177" s="1578">
        <f>3000+2350</f>
        <v>5350</v>
      </c>
      <c r="E177" s="1578">
        <f t="shared" si="35"/>
        <v>3434.7000000000003</v>
      </c>
      <c r="F177" s="1579">
        <v>6000</v>
      </c>
      <c r="G177" s="1485">
        <f t="shared" si="36"/>
        <v>3852</v>
      </c>
      <c r="H177" s="1485">
        <v>2500</v>
      </c>
      <c r="I177" s="1485">
        <f t="shared" si="37"/>
        <v>1605</v>
      </c>
      <c r="J177" s="1582">
        <v>6000</v>
      </c>
      <c r="K177" s="1582">
        <v>1500</v>
      </c>
      <c r="L177" s="1525">
        <f t="shared" si="38"/>
        <v>963</v>
      </c>
      <c r="M177" s="1485">
        <f t="shared" si="39"/>
        <v>4500</v>
      </c>
      <c r="N177" s="1591">
        <v>0.64200000000000002</v>
      </c>
      <c r="O177" s="1582">
        <f t="shared" si="40"/>
        <v>2889</v>
      </c>
      <c r="P177" s="1485">
        <f t="shared" si="41"/>
        <v>1125</v>
      </c>
      <c r="Q177" s="1485">
        <f t="shared" si="42"/>
        <v>722.25</v>
      </c>
      <c r="R177" s="1485">
        <f t="shared" si="43"/>
        <v>1125</v>
      </c>
      <c r="S177" s="1525">
        <f t="shared" si="44"/>
        <v>722.25</v>
      </c>
      <c r="T177" s="1485">
        <f t="shared" si="45"/>
        <v>1125</v>
      </c>
      <c r="U177" s="1525">
        <f t="shared" si="46"/>
        <v>722.25</v>
      </c>
      <c r="V177" s="1485">
        <f t="shared" si="47"/>
        <v>1125</v>
      </c>
      <c r="W177" s="1525">
        <f t="shared" si="48"/>
        <v>722.25</v>
      </c>
      <c r="X177" s="1485">
        <f t="shared" si="49"/>
        <v>4500</v>
      </c>
      <c r="Y177" s="1485">
        <f t="shared" si="50"/>
        <v>2889</v>
      </c>
      <c r="Z177" s="1527" t="s">
        <v>7799</v>
      </c>
      <c r="AA177" s="1379" t="s">
        <v>6526</v>
      </c>
      <c r="AB177" s="1583"/>
      <c r="AC177" s="1584" t="str">
        <f t="shared" si="51"/>
        <v>ok</v>
      </c>
      <c r="AD177" s="1583"/>
      <c r="AE177" s="1583"/>
      <c r="AF177" s="1583"/>
      <c r="AG177" s="1583"/>
      <c r="AH177" s="1583"/>
      <c r="AI177" s="1583"/>
      <c r="AJ177" s="1583"/>
      <c r="AK177" s="1583"/>
      <c r="AL177" s="1583"/>
      <c r="AM177" s="1583"/>
      <c r="AN177" s="1583"/>
      <c r="AO177" s="1583"/>
    </row>
    <row r="178" spans="1:41" x14ac:dyDescent="0.6">
      <c r="A178" s="1432">
        <v>173</v>
      </c>
      <c r="B178" s="1587" t="s">
        <v>8476</v>
      </c>
      <c r="C178" s="1576" t="s">
        <v>8296</v>
      </c>
      <c r="D178" s="1578">
        <v>257</v>
      </c>
      <c r="E178" s="1578">
        <f t="shared" si="35"/>
        <v>1924.93</v>
      </c>
      <c r="F178" s="1579">
        <v>280</v>
      </c>
      <c r="G178" s="1485">
        <f t="shared" si="36"/>
        <v>2097.2000000000003</v>
      </c>
      <c r="H178" s="1485">
        <v>240</v>
      </c>
      <c r="I178" s="1485">
        <f t="shared" si="37"/>
        <v>1797.6000000000001</v>
      </c>
      <c r="J178" s="1582">
        <v>300</v>
      </c>
      <c r="K178" s="1582">
        <v>50</v>
      </c>
      <c r="L178" s="1525">
        <f t="shared" si="38"/>
        <v>374.5</v>
      </c>
      <c r="M178" s="1485">
        <f t="shared" si="39"/>
        <v>250</v>
      </c>
      <c r="N178" s="1581">
        <v>7.49</v>
      </c>
      <c r="O178" s="1582">
        <f t="shared" si="40"/>
        <v>1872.5</v>
      </c>
      <c r="P178" s="1485">
        <v>50</v>
      </c>
      <c r="Q178" s="1485">
        <f t="shared" si="42"/>
        <v>374.5</v>
      </c>
      <c r="R178" s="1485">
        <v>100</v>
      </c>
      <c r="S178" s="1525">
        <f t="shared" si="44"/>
        <v>749</v>
      </c>
      <c r="T178" s="1485">
        <v>100</v>
      </c>
      <c r="U178" s="1525">
        <f t="shared" si="46"/>
        <v>749</v>
      </c>
      <c r="V178" s="1485">
        <v>0</v>
      </c>
      <c r="W178" s="1525">
        <f t="shared" si="48"/>
        <v>0</v>
      </c>
      <c r="X178" s="1485">
        <f t="shared" si="49"/>
        <v>250</v>
      </c>
      <c r="Y178" s="1485">
        <f t="shared" si="50"/>
        <v>1872.5</v>
      </c>
      <c r="Z178" s="1527" t="s">
        <v>7799</v>
      </c>
      <c r="AA178" s="1379" t="s">
        <v>6526</v>
      </c>
      <c r="AB178" s="1583"/>
      <c r="AC178" s="1584" t="str">
        <f t="shared" si="51"/>
        <v>ok</v>
      </c>
      <c r="AD178" s="1583"/>
      <c r="AE178" s="1583"/>
      <c r="AF178" s="1583"/>
      <c r="AG178" s="1583"/>
      <c r="AH178" s="1583"/>
      <c r="AI178" s="1583"/>
      <c r="AJ178" s="1583"/>
      <c r="AK178" s="1583"/>
      <c r="AL178" s="1583"/>
      <c r="AM178" s="1583"/>
      <c r="AN178" s="1583"/>
      <c r="AO178" s="1583"/>
    </row>
    <row r="179" spans="1:41" ht="42" x14ac:dyDescent="0.6">
      <c r="A179" s="1432">
        <v>174</v>
      </c>
      <c r="B179" s="1587" t="s">
        <v>8477</v>
      </c>
      <c r="C179" s="1576" t="s">
        <v>8305</v>
      </c>
      <c r="D179" s="1578">
        <v>150</v>
      </c>
      <c r="E179" s="1578">
        <f t="shared" si="35"/>
        <v>975</v>
      </c>
      <c r="F179" s="1579">
        <v>200</v>
      </c>
      <c r="G179" s="1485">
        <f t="shared" si="36"/>
        <v>1300</v>
      </c>
      <c r="H179" s="1485">
        <v>50</v>
      </c>
      <c r="I179" s="1485">
        <f t="shared" si="37"/>
        <v>325</v>
      </c>
      <c r="J179" s="1582">
        <v>200</v>
      </c>
      <c r="K179" s="1582">
        <v>20</v>
      </c>
      <c r="L179" s="1525">
        <f t="shared" si="38"/>
        <v>130</v>
      </c>
      <c r="M179" s="1485">
        <f t="shared" si="39"/>
        <v>180</v>
      </c>
      <c r="N179" s="1581">
        <v>6.5</v>
      </c>
      <c r="O179" s="1582">
        <f t="shared" si="40"/>
        <v>1170</v>
      </c>
      <c r="P179" s="1485">
        <f t="shared" si="41"/>
        <v>45</v>
      </c>
      <c r="Q179" s="1485">
        <f t="shared" si="42"/>
        <v>292.5</v>
      </c>
      <c r="R179" s="1485">
        <f t="shared" si="43"/>
        <v>45</v>
      </c>
      <c r="S179" s="1525">
        <f t="shared" si="44"/>
        <v>292.5</v>
      </c>
      <c r="T179" s="1485">
        <f t="shared" si="45"/>
        <v>45</v>
      </c>
      <c r="U179" s="1525">
        <f t="shared" si="46"/>
        <v>292.5</v>
      </c>
      <c r="V179" s="1485">
        <f t="shared" si="47"/>
        <v>45</v>
      </c>
      <c r="W179" s="1525">
        <f t="shared" si="48"/>
        <v>292.5</v>
      </c>
      <c r="X179" s="1485">
        <f t="shared" si="49"/>
        <v>180</v>
      </c>
      <c r="Y179" s="1485">
        <f t="shared" si="50"/>
        <v>1170</v>
      </c>
      <c r="Z179" s="1527" t="s">
        <v>7799</v>
      </c>
      <c r="AA179" s="1379" t="s">
        <v>6526</v>
      </c>
      <c r="AB179" s="1583"/>
      <c r="AC179" s="1584" t="str">
        <f t="shared" si="51"/>
        <v>ok</v>
      </c>
      <c r="AD179" s="1583"/>
      <c r="AE179" s="1583"/>
      <c r="AF179" s="1583"/>
      <c r="AG179" s="1583"/>
      <c r="AH179" s="1583"/>
      <c r="AI179" s="1583"/>
      <c r="AJ179" s="1583"/>
      <c r="AK179" s="1583"/>
      <c r="AL179" s="1583"/>
      <c r="AM179" s="1583"/>
      <c r="AN179" s="1583"/>
      <c r="AO179" s="1583"/>
    </row>
    <row r="180" spans="1:41" x14ac:dyDescent="0.6">
      <c r="A180" s="1432">
        <v>175</v>
      </c>
      <c r="B180" s="1599" t="s">
        <v>8478</v>
      </c>
      <c r="C180" s="1576" t="s">
        <v>8298</v>
      </c>
      <c r="D180" s="1578">
        <v>3300</v>
      </c>
      <c r="E180" s="1578">
        <f t="shared" si="35"/>
        <v>42900</v>
      </c>
      <c r="F180" s="1579">
        <v>600</v>
      </c>
      <c r="G180" s="1485">
        <f t="shared" si="36"/>
        <v>7800</v>
      </c>
      <c r="H180" s="1485">
        <v>700</v>
      </c>
      <c r="I180" s="1485">
        <f t="shared" si="37"/>
        <v>9100</v>
      </c>
      <c r="J180" s="1582">
        <v>800</v>
      </c>
      <c r="K180" s="1582">
        <v>200</v>
      </c>
      <c r="L180" s="1525">
        <f t="shared" si="38"/>
        <v>2600</v>
      </c>
      <c r="M180" s="1485">
        <f t="shared" si="39"/>
        <v>600</v>
      </c>
      <c r="N180" s="1581">
        <v>13</v>
      </c>
      <c r="O180" s="1582">
        <f t="shared" si="40"/>
        <v>7800</v>
      </c>
      <c r="P180" s="1485">
        <f t="shared" si="41"/>
        <v>150</v>
      </c>
      <c r="Q180" s="1485">
        <f t="shared" si="42"/>
        <v>1950</v>
      </c>
      <c r="R180" s="1485">
        <f t="shared" si="43"/>
        <v>150</v>
      </c>
      <c r="S180" s="1525">
        <f t="shared" si="44"/>
        <v>1950</v>
      </c>
      <c r="T180" s="1485">
        <f t="shared" si="45"/>
        <v>150</v>
      </c>
      <c r="U180" s="1525">
        <f t="shared" si="46"/>
        <v>1950</v>
      </c>
      <c r="V180" s="1485">
        <f t="shared" si="47"/>
        <v>150</v>
      </c>
      <c r="W180" s="1525">
        <f t="shared" si="48"/>
        <v>1950</v>
      </c>
      <c r="X180" s="1485">
        <f t="shared" si="49"/>
        <v>600</v>
      </c>
      <c r="Y180" s="1485">
        <f t="shared" si="50"/>
        <v>7800</v>
      </c>
      <c r="Z180" s="1527" t="s">
        <v>7799</v>
      </c>
      <c r="AA180" s="1379" t="s">
        <v>6526</v>
      </c>
      <c r="AB180" s="1583"/>
      <c r="AC180" s="1584" t="str">
        <f t="shared" si="51"/>
        <v>ok</v>
      </c>
      <c r="AD180" s="1583"/>
      <c r="AE180" s="1583"/>
      <c r="AF180" s="1583"/>
      <c r="AG180" s="1583"/>
      <c r="AH180" s="1583"/>
      <c r="AI180" s="1583"/>
      <c r="AJ180" s="1583"/>
      <c r="AK180" s="1583"/>
      <c r="AL180" s="1583"/>
      <c r="AM180" s="1583"/>
      <c r="AN180" s="1583"/>
      <c r="AO180" s="1583"/>
    </row>
    <row r="181" spans="1:41" x14ac:dyDescent="0.6">
      <c r="A181" s="1432">
        <v>176</v>
      </c>
      <c r="B181" s="1587" t="s">
        <v>8479</v>
      </c>
      <c r="C181" s="1576" t="s">
        <v>8296</v>
      </c>
      <c r="D181" s="1578">
        <v>0</v>
      </c>
      <c r="E181" s="1578">
        <f t="shared" si="35"/>
        <v>0</v>
      </c>
      <c r="F181" s="1579">
        <v>0</v>
      </c>
      <c r="G181" s="1485">
        <f t="shared" si="36"/>
        <v>0</v>
      </c>
      <c r="H181" s="1485">
        <v>0</v>
      </c>
      <c r="I181" s="1485">
        <f t="shared" si="37"/>
        <v>0</v>
      </c>
      <c r="J181" s="1582">
        <v>100</v>
      </c>
      <c r="K181" s="1582">
        <v>0</v>
      </c>
      <c r="L181" s="1525">
        <f t="shared" si="38"/>
        <v>0</v>
      </c>
      <c r="M181" s="1485">
        <f t="shared" si="39"/>
        <v>100</v>
      </c>
      <c r="N181" s="1581">
        <f>390/30</f>
        <v>13</v>
      </c>
      <c r="O181" s="1582">
        <f t="shared" si="40"/>
        <v>1300</v>
      </c>
      <c r="P181" s="1485">
        <f t="shared" si="41"/>
        <v>25</v>
      </c>
      <c r="Q181" s="1485">
        <f t="shared" si="42"/>
        <v>325</v>
      </c>
      <c r="R181" s="1485">
        <f t="shared" si="43"/>
        <v>25</v>
      </c>
      <c r="S181" s="1525">
        <f t="shared" si="44"/>
        <v>325</v>
      </c>
      <c r="T181" s="1485">
        <f t="shared" si="45"/>
        <v>25</v>
      </c>
      <c r="U181" s="1525">
        <f t="shared" si="46"/>
        <v>325</v>
      </c>
      <c r="V181" s="1485">
        <f t="shared" si="47"/>
        <v>25</v>
      </c>
      <c r="W181" s="1525">
        <f t="shared" si="48"/>
        <v>325</v>
      </c>
      <c r="X181" s="1485">
        <f t="shared" si="49"/>
        <v>100</v>
      </c>
      <c r="Y181" s="1485">
        <f t="shared" si="50"/>
        <v>1300</v>
      </c>
      <c r="Z181" s="1527" t="s">
        <v>7799</v>
      </c>
      <c r="AA181" s="1379" t="s">
        <v>6526</v>
      </c>
      <c r="AB181" s="1583"/>
      <c r="AC181" s="1584" t="str">
        <f t="shared" si="51"/>
        <v>ok</v>
      </c>
      <c r="AD181" s="1583"/>
      <c r="AE181" s="1583"/>
      <c r="AF181" s="1583"/>
      <c r="AG181" s="1583"/>
      <c r="AH181" s="1583"/>
      <c r="AI181" s="1583"/>
      <c r="AJ181" s="1583"/>
      <c r="AK181" s="1583"/>
      <c r="AL181" s="1583"/>
      <c r="AM181" s="1583"/>
      <c r="AN181" s="1583"/>
      <c r="AO181" s="1583"/>
    </row>
    <row r="182" spans="1:41" x14ac:dyDescent="0.6">
      <c r="A182" s="1432">
        <v>177</v>
      </c>
      <c r="B182" s="1587" t="s">
        <v>8480</v>
      </c>
      <c r="C182" s="1576" t="s">
        <v>8298</v>
      </c>
      <c r="D182" s="1578">
        <v>18500</v>
      </c>
      <c r="E182" s="1578">
        <f t="shared" si="35"/>
        <v>15725</v>
      </c>
      <c r="F182" s="1579">
        <v>55400</v>
      </c>
      <c r="G182" s="1485">
        <f t="shared" si="36"/>
        <v>47090</v>
      </c>
      <c r="H182" s="1485">
        <v>45000</v>
      </c>
      <c r="I182" s="1485">
        <f t="shared" si="37"/>
        <v>38250</v>
      </c>
      <c r="J182" s="1582">
        <v>65000</v>
      </c>
      <c r="K182" s="1582">
        <v>5000</v>
      </c>
      <c r="L182" s="1525">
        <f t="shared" si="38"/>
        <v>4250</v>
      </c>
      <c r="M182" s="1485">
        <f t="shared" si="39"/>
        <v>60000</v>
      </c>
      <c r="N182" s="1581">
        <v>0.85</v>
      </c>
      <c r="O182" s="1582">
        <f t="shared" si="40"/>
        <v>51000</v>
      </c>
      <c r="P182" s="1485">
        <f t="shared" si="41"/>
        <v>15000</v>
      </c>
      <c r="Q182" s="1485">
        <f t="shared" si="42"/>
        <v>12750</v>
      </c>
      <c r="R182" s="1485">
        <f t="shared" si="43"/>
        <v>15000</v>
      </c>
      <c r="S182" s="1525">
        <f t="shared" si="44"/>
        <v>12750</v>
      </c>
      <c r="T182" s="1485">
        <f t="shared" si="45"/>
        <v>15000</v>
      </c>
      <c r="U182" s="1525">
        <f t="shared" si="46"/>
        <v>12750</v>
      </c>
      <c r="V182" s="1485">
        <f t="shared" si="47"/>
        <v>15000</v>
      </c>
      <c r="W182" s="1525">
        <f t="shared" si="48"/>
        <v>12750</v>
      </c>
      <c r="X182" s="1485">
        <f t="shared" si="49"/>
        <v>60000</v>
      </c>
      <c r="Y182" s="1485">
        <f t="shared" si="50"/>
        <v>51000</v>
      </c>
      <c r="Z182" s="1527" t="s">
        <v>7799</v>
      </c>
      <c r="AA182" s="1379" t="s">
        <v>6526</v>
      </c>
      <c r="AB182" s="1583"/>
      <c r="AC182" s="1584" t="str">
        <f t="shared" si="51"/>
        <v>ok</v>
      </c>
      <c r="AD182" s="1583"/>
      <c r="AE182" s="1583"/>
      <c r="AF182" s="1583"/>
      <c r="AG182" s="1583"/>
      <c r="AH182" s="1583"/>
      <c r="AI182" s="1583"/>
      <c r="AJ182" s="1583"/>
      <c r="AK182" s="1583"/>
      <c r="AL182" s="1583"/>
      <c r="AM182" s="1583"/>
      <c r="AN182" s="1583"/>
      <c r="AO182" s="1583"/>
    </row>
    <row r="183" spans="1:41" x14ac:dyDescent="0.6">
      <c r="A183" s="1432">
        <v>178</v>
      </c>
      <c r="B183" s="1587" t="s">
        <v>8481</v>
      </c>
      <c r="C183" s="1576" t="s">
        <v>8296</v>
      </c>
      <c r="D183" s="1578">
        <f>276+500+200+2700</f>
        <v>3676</v>
      </c>
      <c r="E183" s="1578">
        <f t="shared" si="35"/>
        <v>99252</v>
      </c>
      <c r="F183" s="1579">
        <v>3800</v>
      </c>
      <c r="G183" s="1485">
        <f t="shared" si="36"/>
        <v>102600</v>
      </c>
      <c r="H183" s="1485">
        <v>4500</v>
      </c>
      <c r="I183" s="1485">
        <f t="shared" si="37"/>
        <v>121500</v>
      </c>
      <c r="J183" s="1582">
        <v>5000</v>
      </c>
      <c r="K183" s="1582">
        <v>500</v>
      </c>
      <c r="L183" s="1525">
        <f t="shared" si="38"/>
        <v>13500</v>
      </c>
      <c r="M183" s="1485">
        <f t="shared" si="39"/>
        <v>4500</v>
      </c>
      <c r="N183" s="1581">
        <v>27</v>
      </c>
      <c r="O183" s="1582">
        <f t="shared" si="40"/>
        <v>121500</v>
      </c>
      <c r="P183" s="1485">
        <f t="shared" si="41"/>
        <v>1125</v>
      </c>
      <c r="Q183" s="1485">
        <f t="shared" si="42"/>
        <v>30375</v>
      </c>
      <c r="R183" s="1485">
        <f t="shared" si="43"/>
        <v>1125</v>
      </c>
      <c r="S183" s="1525">
        <f t="shared" si="44"/>
        <v>30375</v>
      </c>
      <c r="T183" s="1485">
        <f t="shared" si="45"/>
        <v>1125</v>
      </c>
      <c r="U183" s="1525">
        <f t="shared" si="46"/>
        <v>30375</v>
      </c>
      <c r="V183" s="1485">
        <f t="shared" si="47"/>
        <v>1125</v>
      </c>
      <c r="W183" s="1525">
        <f t="shared" si="48"/>
        <v>30375</v>
      </c>
      <c r="X183" s="1485">
        <f t="shared" si="49"/>
        <v>4500</v>
      </c>
      <c r="Y183" s="1485">
        <f t="shared" si="50"/>
        <v>121500</v>
      </c>
      <c r="Z183" s="1527" t="s">
        <v>7799</v>
      </c>
      <c r="AA183" s="1379" t="s">
        <v>6526</v>
      </c>
      <c r="AB183" s="1583"/>
      <c r="AC183" s="1584" t="str">
        <f t="shared" si="51"/>
        <v>ok</v>
      </c>
      <c r="AD183" s="1583"/>
      <c r="AE183" s="1583"/>
      <c r="AF183" s="1583"/>
      <c r="AG183" s="1583"/>
      <c r="AH183" s="1583"/>
      <c r="AI183" s="1583"/>
      <c r="AJ183" s="1583"/>
      <c r="AK183" s="1583"/>
      <c r="AL183" s="1583"/>
      <c r="AM183" s="1583"/>
      <c r="AN183" s="1583"/>
      <c r="AO183" s="1583"/>
    </row>
    <row r="184" spans="1:41" x14ac:dyDescent="0.6">
      <c r="A184" s="1432">
        <v>179</v>
      </c>
      <c r="B184" s="1587" t="s">
        <v>8482</v>
      </c>
      <c r="C184" s="1576" t="s">
        <v>8296</v>
      </c>
      <c r="D184" s="1578">
        <v>2987</v>
      </c>
      <c r="E184" s="1578">
        <f t="shared" si="35"/>
        <v>86025.600000000006</v>
      </c>
      <c r="F184" s="1579">
        <v>3400</v>
      </c>
      <c r="G184" s="1485">
        <f t="shared" si="36"/>
        <v>97920</v>
      </c>
      <c r="H184" s="1485">
        <v>3200</v>
      </c>
      <c r="I184" s="1485">
        <f t="shared" si="37"/>
        <v>92160</v>
      </c>
      <c r="J184" s="1582">
        <v>3600</v>
      </c>
      <c r="K184" s="1582">
        <v>300</v>
      </c>
      <c r="L184" s="1525">
        <f t="shared" si="38"/>
        <v>8640</v>
      </c>
      <c r="M184" s="1485">
        <f t="shared" si="39"/>
        <v>3300</v>
      </c>
      <c r="N184" s="1581">
        <v>28.8</v>
      </c>
      <c r="O184" s="1582">
        <f t="shared" si="40"/>
        <v>95040</v>
      </c>
      <c r="P184" s="1485">
        <f t="shared" si="41"/>
        <v>825</v>
      </c>
      <c r="Q184" s="1485">
        <f t="shared" si="42"/>
        <v>23760</v>
      </c>
      <c r="R184" s="1485">
        <f t="shared" si="43"/>
        <v>825</v>
      </c>
      <c r="S184" s="1525">
        <f t="shared" si="44"/>
        <v>23760</v>
      </c>
      <c r="T184" s="1485">
        <f t="shared" si="45"/>
        <v>825</v>
      </c>
      <c r="U184" s="1525">
        <f t="shared" si="46"/>
        <v>23760</v>
      </c>
      <c r="V184" s="1485">
        <f t="shared" si="47"/>
        <v>825</v>
      </c>
      <c r="W184" s="1525">
        <f t="shared" si="48"/>
        <v>23760</v>
      </c>
      <c r="X184" s="1485">
        <f t="shared" si="49"/>
        <v>3300</v>
      </c>
      <c r="Y184" s="1485">
        <f t="shared" si="50"/>
        <v>95040</v>
      </c>
      <c r="Z184" s="1527" t="s">
        <v>7799</v>
      </c>
      <c r="AA184" s="1379" t="s">
        <v>6526</v>
      </c>
      <c r="AB184" s="1583"/>
      <c r="AC184" s="1584" t="str">
        <f t="shared" si="51"/>
        <v>ok</v>
      </c>
      <c r="AD184" s="1583"/>
      <c r="AE184" s="1583"/>
      <c r="AF184" s="1583"/>
      <c r="AG184" s="1583"/>
      <c r="AH184" s="1583"/>
      <c r="AI184" s="1583"/>
      <c r="AJ184" s="1583"/>
      <c r="AK184" s="1583"/>
      <c r="AL184" s="1583"/>
      <c r="AM184" s="1583"/>
      <c r="AN184" s="1583"/>
      <c r="AO184" s="1583"/>
    </row>
    <row r="185" spans="1:41" x14ac:dyDescent="0.6">
      <c r="A185" s="1432">
        <v>180</v>
      </c>
      <c r="B185" s="1587" t="s">
        <v>8483</v>
      </c>
      <c r="C185" s="1576" t="s">
        <v>8296</v>
      </c>
      <c r="D185" s="1578">
        <f>100+4985+2500</f>
        <v>7585</v>
      </c>
      <c r="E185" s="1578">
        <f t="shared" si="35"/>
        <v>100122</v>
      </c>
      <c r="F185" s="1579">
        <v>7600</v>
      </c>
      <c r="G185" s="1485">
        <f t="shared" si="36"/>
        <v>100320</v>
      </c>
      <c r="H185" s="1485">
        <v>6000</v>
      </c>
      <c r="I185" s="1485">
        <f t="shared" si="37"/>
        <v>79200</v>
      </c>
      <c r="J185" s="1582">
        <v>8000</v>
      </c>
      <c r="K185" s="1582">
        <v>500</v>
      </c>
      <c r="L185" s="1525">
        <f t="shared" si="38"/>
        <v>6600</v>
      </c>
      <c r="M185" s="1485">
        <f t="shared" si="39"/>
        <v>7500</v>
      </c>
      <c r="N185" s="1581">
        <v>13.2</v>
      </c>
      <c r="O185" s="1582">
        <f t="shared" si="40"/>
        <v>99000</v>
      </c>
      <c r="P185" s="1485">
        <f t="shared" si="41"/>
        <v>1875</v>
      </c>
      <c r="Q185" s="1485">
        <f t="shared" si="42"/>
        <v>24750</v>
      </c>
      <c r="R185" s="1485">
        <f t="shared" si="43"/>
        <v>1875</v>
      </c>
      <c r="S185" s="1525">
        <f t="shared" si="44"/>
        <v>24750</v>
      </c>
      <c r="T185" s="1485">
        <f t="shared" si="45"/>
        <v>1875</v>
      </c>
      <c r="U185" s="1525">
        <f t="shared" si="46"/>
        <v>24750</v>
      </c>
      <c r="V185" s="1485">
        <f t="shared" si="47"/>
        <v>1875</v>
      </c>
      <c r="W185" s="1525">
        <f t="shared" si="48"/>
        <v>24750</v>
      </c>
      <c r="X185" s="1485">
        <f t="shared" si="49"/>
        <v>7500</v>
      </c>
      <c r="Y185" s="1485">
        <f t="shared" si="50"/>
        <v>99000</v>
      </c>
      <c r="Z185" s="1527" t="s">
        <v>7799</v>
      </c>
      <c r="AA185" s="1379" t="s">
        <v>6526</v>
      </c>
      <c r="AB185" s="1583"/>
      <c r="AC185" s="1584" t="str">
        <f t="shared" si="51"/>
        <v>ok</v>
      </c>
      <c r="AD185" s="1583"/>
      <c r="AE185" s="1583"/>
      <c r="AF185" s="1583"/>
      <c r="AG185" s="1583"/>
      <c r="AH185" s="1583"/>
      <c r="AI185" s="1583"/>
      <c r="AJ185" s="1583"/>
      <c r="AK185" s="1583"/>
      <c r="AL185" s="1583"/>
      <c r="AM185" s="1583"/>
      <c r="AN185" s="1583"/>
      <c r="AO185" s="1583"/>
    </row>
    <row r="186" spans="1:41" x14ac:dyDescent="0.6">
      <c r="A186" s="1432">
        <v>181</v>
      </c>
      <c r="B186" s="1587" t="s">
        <v>8484</v>
      </c>
      <c r="C186" s="1576" t="s">
        <v>8296</v>
      </c>
      <c r="D186" s="1578">
        <v>0</v>
      </c>
      <c r="E186" s="1578">
        <f t="shared" si="35"/>
        <v>0</v>
      </c>
      <c r="F186" s="1579">
        <v>0</v>
      </c>
      <c r="G186" s="1485">
        <f t="shared" si="36"/>
        <v>0</v>
      </c>
      <c r="H186" s="1485">
        <v>0</v>
      </c>
      <c r="I186" s="1485">
        <f t="shared" si="37"/>
        <v>0</v>
      </c>
      <c r="J186" s="1582">
        <v>800</v>
      </c>
      <c r="K186" s="1582">
        <v>0</v>
      </c>
      <c r="L186" s="1525">
        <f t="shared" si="38"/>
        <v>0</v>
      </c>
      <c r="M186" s="1485">
        <f t="shared" si="39"/>
        <v>800</v>
      </c>
      <c r="N186" s="1585">
        <v>6.5</v>
      </c>
      <c r="O186" s="1582">
        <f t="shared" si="40"/>
        <v>5200</v>
      </c>
      <c r="P186" s="1485">
        <f t="shared" si="41"/>
        <v>200</v>
      </c>
      <c r="Q186" s="1485">
        <f t="shared" si="42"/>
        <v>1300</v>
      </c>
      <c r="R186" s="1485">
        <f t="shared" si="43"/>
        <v>200</v>
      </c>
      <c r="S186" s="1525">
        <f t="shared" si="44"/>
        <v>1300</v>
      </c>
      <c r="T186" s="1485">
        <f t="shared" si="45"/>
        <v>200</v>
      </c>
      <c r="U186" s="1525">
        <f t="shared" si="46"/>
        <v>1300</v>
      </c>
      <c r="V186" s="1485">
        <f t="shared" si="47"/>
        <v>200</v>
      </c>
      <c r="W186" s="1525">
        <f t="shared" si="48"/>
        <v>1300</v>
      </c>
      <c r="X186" s="1485">
        <f t="shared" si="49"/>
        <v>800</v>
      </c>
      <c r="Y186" s="1485">
        <f t="shared" si="50"/>
        <v>5200</v>
      </c>
      <c r="Z186" s="1527" t="s">
        <v>7799</v>
      </c>
      <c r="AA186" s="1379" t="s">
        <v>6526</v>
      </c>
      <c r="AB186" s="1583"/>
      <c r="AC186" s="1584" t="str">
        <f t="shared" si="51"/>
        <v>ok</v>
      </c>
      <c r="AD186" s="1583"/>
      <c r="AE186" s="1583"/>
      <c r="AF186" s="1583"/>
      <c r="AG186" s="1583"/>
      <c r="AH186" s="1583"/>
      <c r="AI186" s="1583"/>
      <c r="AJ186" s="1583"/>
      <c r="AK186" s="1583"/>
      <c r="AL186" s="1583"/>
      <c r="AM186" s="1583"/>
      <c r="AN186" s="1583"/>
      <c r="AO186" s="1583"/>
    </row>
    <row r="187" spans="1:41" x14ac:dyDescent="0.6">
      <c r="A187" s="1432">
        <v>182</v>
      </c>
      <c r="B187" s="1587" t="s">
        <v>8485</v>
      </c>
      <c r="C187" s="1576" t="s">
        <v>8305</v>
      </c>
      <c r="D187" s="1578">
        <v>30</v>
      </c>
      <c r="E187" s="1578">
        <f t="shared" si="35"/>
        <v>6090</v>
      </c>
      <c r="F187" s="1579">
        <v>14</v>
      </c>
      <c r="G187" s="1485">
        <f t="shared" si="36"/>
        <v>2842</v>
      </c>
      <c r="H187" s="1485">
        <v>20</v>
      </c>
      <c r="I187" s="1485">
        <f t="shared" si="37"/>
        <v>4060</v>
      </c>
      <c r="J187" s="1582">
        <v>20</v>
      </c>
      <c r="K187" s="1582">
        <v>0</v>
      </c>
      <c r="L187" s="1525">
        <f t="shared" si="38"/>
        <v>0</v>
      </c>
      <c r="M187" s="1485">
        <f t="shared" si="39"/>
        <v>20</v>
      </c>
      <c r="N187" s="1581">
        <v>203</v>
      </c>
      <c r="O187" s="1582">
        <f t="shared" si="40"/>
        <v>4060</v>
      </c>
      <c r="P187" s="1485">
        <f t="shared" si="41"/>
        <v>5</v>
      </c>
      <c r="Q187" s="1485">
        <f t="shared" si="42"/>
        <v>1015</v>
      </c>
      <c r="R187" s="1485">
        <f t="shared" si="43"/>
        <v>5</v>
      </c>
      <c r="S187" s="1525">
        <f t="shared" si="44"/>
        <v>1015</v>
      </c>
      <c r="T187" s="1485">
        <f t="shared" si="45"/>
        <v>5</v>
      </c>
      <c r="U187" s="1525">
        <f t="shared" si="46"/>
        <v>1015</v>
      </c>
      <c r="V187" s="1485">
        <f t="shared" si="47"/>
        <v>5</v>
      </c>
      <c r="W187" s="1525">
        <f t="shared" si="48"/>
        <v>1015</v>
      </c>
      <c r="X187" s="1485">
        <f t="shared" si="49"/>
        <v>20</v>
      </c>
      <c r="Y187" s="1485">
        <f t="shared" si="50"/>
        <v>4060</v>
      </c>
      <c r="Z187" s="1527" t="s">
        <v>7799</v>
      </c>
      <c r="AA187" s="1379" t="s">
        <v>6526</v>
      </c>
      <c r="AB187" s="1583"/>
      <c r="AC187" s="1584" t="str">
        <f t="shared" si="51"/>
        <v>ok</v>
      </c>
      <c r="AD187" s="1583"/>
      <c r="AE187" s="1583"/>
      <c r="AF187" s="1583"/>
      <c r="AG187" s="1583"/>
      <c r="AH187" s="1583"/>
      <c r="AI187" s="1583"/>
      <c r="AJ187" s="1583"/>
      <c r="AK187" s="1583"/>
      <c r="AL187" s="1583"/>
      <c r="AM187" s="1583"/>
      <c r="AN187" s="1583"/>
      <c r="AO187" s="1583"/>
    </row>
    <row r="188" spans="1:41" x14ac:dyDescent="0.6">
      <c r="A188" s="1432">
        <v>184</v>
      </c>
      <c r="B188" s="1587" t="s">
        <v>8486</v>
      </c>
      <c r="C188" s="1576" t="s">
        <v>8298</v>
      </c>
      <c r="D188" s="1578">
        <v>60</v>
      </c>
      <c r="E188" s="1578">
        <f t="shared" si="35"/>
        <v>298.5</v>
      </c>
      <c r="F188" s="1579">
        <v>60</v>
      </c>
      <c r="G188" s="1485">
        <f t="shared" si="36"/>
        <v>298.5</v>
      </c>
      <c r="H188" s="1485">
        <v>0</v>
      </c>
      <c r="I188" s="1485">
        <f t="shared" si="37"/>
        <v>0</v>
      </c>
      <c r="J188" s="1582">
        <v>60</v>
      </c>
      <c r="K188" s="1582">
        <v>0</v>
      </c>
      <c r="L188" s="1525">
        <f t="shared" si="38"/>
        <v>0</v>
      </c>
      <c r="M188" s="1485">
        <f t="shared" si="39"/>
        <v>60</v>
      </c>
      <c r="N188" s="1581">
        <v>4.9749999999999996</v>
      </c>
      <c r="O188" s="1582">
        <f t="shared" si="40"/>
        <v>298.5</v>
      </c>
      <c r="P188" s="1485">
        <f t="shared" si="41"/>
        <v>15</v>
      </c>
      <c r="Q188" s="1485">
        <f t="shared" si="42"/>
        <v>74.625</v>
      </c>
      <c r="R188" s="1485">
        <f t="shared" si="43"/>
        <v>15</v>
      </c>
      <c r="S188" s="1525">
        <f t="shared" si="44"/>
        <v>74.625</v>
      </c>
      <c r="T188" s="1485">
        <f t="shared" si="45"/>
        <v>15</v>
      </c>
      <c r="U188" s="1525">
        <f t="shared" si="46"/>
        <v>74.625</v>
      </c>
      <c r="V188" s="1485">
        <f t="shared" si="47"/>
        <v>15</v>
      </c>
      <c r="W188" s="1525">
        <f t="shared" si="48"/>
        <v>74.625</v>
      </c>
      <c r="X188" s="1485">
        <f t="shared" si="49"/>
        <v>60</v>
      </c>
      <c r="Y188" s="1485">
        <f t="shared" si="50"/>
        <v>298.5</v>
      </c>
      <c r="Z188" s="1527" t="s">
        <v>7799</v>
      </c>
      <c r="AA188" s="1379" t="s">
        <v>6526</v>
      </c>
      <c r="AB188" s="1583"/>
      <c r="AC188" s="1584" t="str">
        <f t="shared" si="51"/>
        <v>ok</v>
      </c>
      <c r="AD188" s="1583"/>
      <c r="AE188" s="1583"/>
      <c r="AF188" s="1583"/>
      <c r="AG188" s="1583"/>
      <c r="AH188" s="1583"/>
      <c r="AI188" s="1583"/>
      <c r="AJ188" s="1583"/>
      <c r="AK188" s="1583"/>
      <c r="AL188" s="1583"/>
      <c r="AM188" s="1583"/>
      <c r="AN188" s="1583"/>
      <c r="AO188" s="1583"/>
    </row>
    <row r="189" spans="1:41" x14ac:dyDescent="0.6">
      <c r="A189" s="1432"/>
      <c r="B189" s="1587" t="s">
        <v>8487</v>
      </c>
      <c r="C189" s="1576" t="s">
        <v>8298</v>
      </c>
      <c r="D189" s="1578">
        <v>0</v>
      </c>
      <c r="E189" s="1578">
        <f t="shared" si="35"/>
        <v>0</v>
      </c>
      <c r="F189" s="1579">
        <v>0</v>
      </c>
      <c r="G189" s="1485">
        <f t="shared" si="36"/>
        <v>0</v>
      </c>
      <c r="H189" s="1485">
        <v>20</v>
      </c>
      <c r="I189" s="1485">
        <f t="shared" si="37"/>
        <v>28</v>
      </c>
      <c r="J189" s="1582">
        <v>100</v>
      </c>
      <c r="K189" s="1582">
        <v>50</v>
      </c>
      <c r="L189" s="1525">
        <f t="shared" si="38"/>
        <v>70</v>
      </c>
      <c r="M189" s="1485">
        <f t="shared" si="39"/>
        <v>50</v>
      </c>
      <c r="N189" s="1581">
        <v>1.4</v>
      </c>
      <c r="O189" s="1582">
        <f t="shared" si="40"/>
        <v>70</v>
      </c>
      <c r="P189" s="1485">
        <v>12</v>
      </c>
      <c r="Q189" s="1485">
        <f t="shared" si="42"/>
        <v>16.799999999999997</v>
      </c>
      <c r="R189" s="1485">
        <v>13</v>
      </c>
      <c r="S189" s="1525">
        <f t="shared" si="44"/>
        <v>18.2</v>
      </c>
      <c r="T189" s="1485">
        <v>12</v>
      </c>
      <c r="U189" s="1525">
        <f t="shared" si="46"/>
        <v>16.799999999999997</v>
      </c>
      <c r="V189" s="1485">
        <v>13</v>
      </c>
      <c r="W189" s="1525">
        <f t="shared" si="48"/>
        <v>18.2</v>
      </c>
      <c r="X189" s="1485">
        <f t="shared" si="49"/>
        <v>50</v>
      </c>
      <c r="Y189" s="1485">
        <f t="shared" si="50"/>
        <v>70</v>
      </c>
      <c r="Z189" s="1527"/>
      <c r="AA189" s="1379"/>
      <c r="AB189" s="1583"/>
      <c r="AC189" s="1584" t="str">
        <f t="shared" si="51"/>
        <v>ok</v>
      </c>
      <c r="AD189" s="1583"/>
      <c r="AE189" s="1583"/>
      <c r="AF189" s="1583"/>
      <c r="AG189" s="1583"/>
      <c r="AH189" s="1583"/>
      <c r="AI189" s="1583"/>
      <c r="AJ189" s="1583"/>
      <c r="AK189" s="1583"/>
      <c r="AL189" s="1583"/>
      <c r="AM189" s="1583"/>
      <c r="AN189" s="1583"/>
      <c r="AO189" s="1583"/>
    </row>
    <row r="190" spans="1:41" x14ac:dyDescent="0.6">
      <c r="A190" s="1432">
        <v>185</v>
      </c>
      <c r="B190" s="1587" t="s">
        <v>8488</v>
      </c>
      <c r="C190" s="1576" t="s">
        <v>8298</v>
      </c>
      <c r="D190" s="1578">
        <v>1380</v>
      </c>
      <c r="E190" s="1578">
        <f t="shared" si="35"/>
        <v>3173.9999999999995</v>
      </c>
      <c r="F190" s="1579">
        <v>1400</v>
      </c>
      <c r="G190" s="1485">
        <f t="shared" si="36"/>
        <v>3219.9999999999995</v>
      </c>
      <c r="H190" s="1485">
        <v>300</v>
      </c>
      <c r="I190" s="1485">
        <f t="shared" si="37"/>
        <v>690</v>
      </c>
      <c r="J190" s="1582">
        <v>1400</v>
      </c>
      <c r="K190" s="1582">
        <v>400</v>
      </c>
      <c r="L190" s="1525">
        <f t="shared" si="38"/>
        <v>919.99999999999989</v>
      </c>
      <c r="M190" s="1485">
        <f t="shared" si="39"/>
        <v>1000</v>
      </c>
      <c r="N190" s="1581">
        <f>230/100</f>
        <v>2.2999999999999998</v>
      </c>
      <c r="O190" s="1582">
        <f t="shared" si="40"/>
        <v>2300</v>
      </c>
      <c r="P190" s="1485">
        <f t="shared" si="41"/>
        <v>250</v>
      </c>
      <c r="Q190" s="1485">
        <f t="shared" si="42"/>
        <v>575</v>
      </c>
      <c r="R190" s="1485">
        <f t="shared" si="43"/>
        <v>250</v>
      </c>
      <c r="S190" s="1525">
        <f t="shared" si="44"/>
        <v>575</v>
      </c>
      <c r="T190" s="1485">
        <f t="shared" si="45"/>
        <v>250</v>
      </c>
      <c r="U190" s="1525">
        <f t="shared" si="46"/>
        <v>575</v>
      </c>
      <c r="V190" s="1485">
        <f t="shared" si="47"/>
        <v>250</v>
      </c>
      <c r="W190" s="1525">
        <f t="shared" si="48"/>
        <v>575</v>
      </c>
      <c r="X190" s="1485">
        <f t="shared" si="49"/>
        <v>1000</v>
      </c>
      <c r="Y190" s="1485">
        <f t="shared" si="50"/>
        <v>2300</v>
      </c>
      <c r="Z190" s="1527" t="s">
        <v>7799</v>
      </c>
      <c r="AA190" s="1379" t="s">
        <v>6526</v>
      </c>
      <c r="AB190" s="1583"/>
      <c r="AC190" s="1584" t="str">
        <f t="shared" si="51"/>
        <v>ok</v>
      </c>
      <c r="AD190" s="1583"/>
      <c r="AE190" s="1583"/>
      <c r="AF190" s="1583"/>
      <c r="AG190" s="1583"/>
      <c r="AH190" s="1583"/>
      <c r="AI190" s="1583"/>
      <c r="AJ190" s="1583"/>
      <c r="AK190" s="1583"/>
      <c r="AL190" s="1583"/>
      <c r="AM190" s="1583"/>
      <c r="AN190" s="1583"/>
      <c r="AO190" s="1583"/>
    </row>
    <row r="191" spans="1:41" x14ac:dyDescent="0.6">
      <c r="A191" s="1432">
        <v>186</v>
      </c>
      <c r="B191" s="1587" t="s">
        <v>8489</v>
      </c>
      <c r="C191" s="1576" t="s">
        <v>8298</v>
      </c>
      <c r="D191" s="1578">
        <f>1100+1500+500</f>
        <v>3100</v>
      </c>
      <c r="E191" s="1578">
        <f t="shared" si="35"/>
        <v>2480</v>
      </c>
      <c r="F191" s="1579">
        <v>3500</v>
      </c>
      <c r="G191" s="1485">
        <f t="shared" si="36"/>
        <v>2800</v>
      </c>
      <c r="H191" s="1485">
        <v>5500</v>
      </c>
      <c r="I191" s="1485">
        <f t="shared" si="37"/>
        <v>4400</v>
      </c>
      <c r="J191" s="1582">
        <v>6000</v>
      </c>
      <c r="K191" s="1582">
        <v>1000</v>
      </c>
      <c r="L191" s="1525">
        <f t="shared" si="38"/>
        <v>800</v>
      </c>
      <c r="M191" s="1485">
        <f t="shared" si="39"/>
        <v>5000</v>
      </c>
      <c r="N191" s="1581">
        <f>400/500</f>
        <v>0.8</v>
      </c>
      <c r="O191" s="1582">
        <f t="shared" si="40"/>
        <v>4000</v>
      </c>
      <c r="P191" s="1485">
        <f t="shared" si="41"/>
        <v>1250</v>
      </c>
      <c r="Q191" s="1485">
        <f t="shared" si="42"/>
        <v>1000</v>
      </c>
      <c r="R191" s="1485">
        <f t="shared" si="43"/>
        <v>1250</v>
      </c>
      <c r="S191" s="1525">
        <f t="shared" si="44"/>
        <v>1000</v>
      </c>
      <c r="T191" s="1485">
        <f t="shared" si="45"/>
        <v>1250</v>
      </c>
      <c r="U191" s="1525">
        <f t="shared" si="46"/>
        <v>1000</v>
      </c>
      <c r="V191" s="1485">
        <f t="shared" si="47"/>
        <v>1250</v>
      </c>
      <c r="W191" s="1525">
        <f t="shared" si="48"/>
        <v>1000</v>
      </c>
      <c r="X191" s="1485">
        <f t="shared" si="49"/>
        <v>5000</v>
      </c>
      <c r="Y191" s="1485">
        <f t="shared" si="50"/>
        <v>4000</v>
      </c>
      <c r="Z191" s="1527" t="s">
        <v>7799</v>
      </c>
      <c r="AA191" s="1379" t="s">
        <v>6526</v>
      </c>
      <c r="AB191" s="1583"/>
      <c r="AC191" s="1584" t="str">
        <f t="shared" si="51"/>
        <v>ok</v>
      </c>
      <c r="AD191" s="1583"/>
      <c r="AE191" s="1583"/>
      <c r="AF191" s="1583"/>
      <c r="AG191" s="1583"/>
      <c r="AH191" s="1583"/>
      <c r="AI191" s="1583"/>
      <c r="AJ191" s="1583"/>
      <c r="AK191" s="1583"/>
      <c r="AL191" s="1583"/>
      <c r="AM191" s="1583"/>
      <c r="AN191" s="1583"/>
      <c r="AO191" s="1583"/>
    </row>
    <row r="192" spans="1:41" x14ac:dyDescent="0.6">
      <c r="A192" s="1432">
        <v>187</v>
      </c>
      <c r="B192" s="1603" t="s">
        <v>8490</v>
      </c>
      <c r="C192" s="1576" t="s">
        <v>8298</v>
      </c>
      <c r="D192" s="1578">
        <v>1000</v>
      </c>
      <c r="E192" s="1578">
        <f t="shared" si="35"/>
        <v>950</v>
      </c>
      <c r="F192" s="1579">
        <v>3500</v>
      </c>
      <c r="G192" s="1485">
        <f t="shared" si="36"/>
        <v>3325</v>
      </c>
      <c r="H192" s="1485">
        <v>3500</v>
      </c>
      <c r="I192" s="1485">
        <f t="shared" si="37"/>
        <v>3325</v>
      </c>
      <c r="J192" s="1582">
        <v>4000</v>
      </c>
      <c r="K192" s="1582">
        <v>1000</v>
      </c>
      <c r="L192" s="1525">
        <f t="shared" si="38"/>
        <v>950</v>
      </c>
      <c r="M192" s="1485">
        <f t="shared" si="39"/>
        <v>3000</v>
      </c>
      <c r="N192" s="1581">
        <f>950/1000</f>
        <v>0.95</v>
      </c>
      <c r="O192" s="1582">
        <f t="shared" si="40"/>
        <v>2850</v>
      </c>
      <c r="P192" s="1485">
        <f t="shared" si="41"/>
        <v>750</v>
      </c>
      <c r="Q192" s="1485">
        <f t="shared" si="42"/>
        <v>712.5</v>
      </c>
      <c r="R192" s="1485">
        <f t="shared" si="43"/>
        <v>750</v>
      </c>
      <c r="S192" s="1525">
        <f t="shared" si="44"/>
        <v>712.5</v>
      </c>
      <c r="T192" s="1485">
        <f t="shared" si="45"/>
        <v>750</v>
      </c>
      <c r="U192" s="1525">
        <f t="shared" si="46"/>
        <v>712.5</v>
      </c>
      <c r="V192" s="1485">
        <f t="shared" si="47"/>
        <v>750</v>
      </c>
      <c r="W192" s="1525">
        <f t="shared" si="48"/>
        <v>712.5</v>
      </c>
      <c r="X192" s="1485">
        <f t="shared" si="49"/>
        <v>3000</v>
      </c>
      <c r="Y192" s="1485">
        <f t="shared" si="50"/>
        <v>2850</v>
      </c>
      <c r="Z192" s="1527" t="s">
        <v>7799</v>
      </c>
      <c r="AA192" s="1379" t="s">
        <v>6526</v>
      </c>
      <c r="AB192" s="1583"/>
      <c r="AC192" s="1584" t="str">
        <f t="shared" si="51"/>
        <v>ok</v>
      </c>
      <c r="AD192" s="1583"/>
      <c r="AE192" s="1583"/>
      <c r="AF192" s="1583"/>
      <c r="AG192" s="1583"/>
      <c r="AH192" s="1583"/>
      <c r="AI192" s="1583"/>
      <c r="AJ192" s="1583"/>
      <c r="AK192" s="1583"/>
      <c r="AL192" s="1583"/>
      <c r="AM192" s="1583"/>
      <c r="AN192" s="1583"/>
      <c r="AO192" s="1583"/>
    </row>
    <row r="193" spans="1:41" x14ac:dyDescent="0.6">
      <c r="A193" s="1432">
        <v>188</v>
      </c>
      <c r="B193" s="1587" t="s">
        <v>8491</v>
      </c>
      <c r="C193" s="1576" t="s">
        <v>8346</v>
      </c>
      <c r="D193" s="1578">
        <v>33900</v>
      </c>
      <c r="E193" s="1578">
        <f t="shared" si="35"/>
        <v>43527.6</v>
      </c>
      <c r="F193" s="1579">
        <v>40000</v>
      </c>
      <c r="G193" s="1485">
        <f t="shared" si="36"/>
        <v>51360</v>
      </c>
      <c r="H193" s="1485">
        <v>25000</v>
      </c>
      <c r="I193" s="1485">
        <f t="shared" si="37"/>
        <v>32100</v>
      </c>
      <c r="J193" s="1582">
        <v>40000</v>
      </c>
      <c r="K193" s="1582">
        <v>3000</v>
      </c>
      <c r="L193" s="1525">
        <f t="shared" si="38"/>
        <v>3852</v>
      </c>
      <c r="M193" s="1485">
        <f t="shared" si="39"/>
        <v>37000</v>
      </c>
      <c r="N193" s="1581">
        <v>1.284</v>
      </c>
      <c r="O193" s="1582">
        <f t="shared" si="40"/>
        <v>47508</v>
      </c>
      <c r="P193" s="1485">
        <f t="shared" si="41"/>
        <v>9250</v>
      </c>
      <c r="Q193" s="1485">
        <f t="shared" si="42"/>
        <v>11877</v>
      </c>
      <c r="R193" s="1485">
        <f t="shared" si="43"/>
        <v>9250</v>
      </c>
      <c r="S193" s="1525">
        <f t="shared" si="44"/>
        <v>11877</v>
      </c>
      <c r="T193" s="1485">
        <f t="shared" si="45"/>
        <v>9250</v>
      </c>
      <c r="U193" s="1525">
        <f t="shared" si="46"/>
        <v>11877</v>
      </c>
      <c r="V193" s="1485">
        <f t="shared" si="47"/>
        <v>9250</v>
      </c>
      <c r="W193" s="1525">
        <f t="shared" si="48"/>
        <v>11877</v>
      </c>
      <c r="X193" s="1485">
        <f t="shared" si="49"/>
        <v>37000</v>
      </c>
      <c r="Y193" s="1485">
        <f t="shared" si="50"/>
        <v>47508</v>
      </c>
      <c r="Z193" s="1527" t="s">
        <v>7799</v>
      </c>
      <c r="AA193" s="1379" t="s">
        <v>6526</v>
      </c>
      <c r="AB193" s="1583"/>
      <c r="AC193" s="1584" t="str">
        <f t="shared" si="51"/>
        <v>ok</v>
      </c>
      <c r="AD193" s="1583"/>
      <c r="AE193" s="1583"/>
      <c r="AF193" s="1583"/>
      <c r="AG193" s="1583"/>
      <c r="AH193" s="1583"/>
      <c r="AI193" s="1583"/>
      <c r="AJ193" s="1583"/>
      <c r="AK193" s="1583"/>
      <c r="AL193" s="1583"/>
      <c r="AM193" s="1583"/>
      <c r="AN193" s="1583"/>
      <c r="AO193" s="1583"/>
    </row>
    <row r="194" spans="1:41" x14ac:dyDescent="0.6">
      <c r="A194" s="1432">
        <v>189</v>
      </c>
      <c r="B194" s="1587" t="s">
        <v>8492</v>
      </c>
      <c r="C194" s="1576" t="s">
        <v>8298</v>
      </c>
      <c r="D194" s="1578">
        <v>2400</v>
      </c>
      <c r="E194" s="1578">
        <f t="shared" si="35"/>
        <v>3335.9999999999995</v>
      </c>
      <c r="F194" s="1579">
        <v>2500</v>
      </c>
      <c r="G194" s="1485">
        <f t="shared" si="36"/>
        <v>3474.9999999999995</v>
      </c>
      <c r="H194" s="1485">
        <v>2500</v>
      </c>
      <c r="I194" s="1485">
        <f t="shared" si="37"/>
        <v>3474.9999999999995</v>
      </c>
      <c r="J194" s="1582">
        <v>2600</v>
      </c>
      <c r="K194" s="1582">
        <v>400</v>
      </c>
      <c r="L194" s="1525">
        <f t="shared" si="38"/>
        <v>556</v>
      </c>
      <c r="M194" s="1485">
        <f t="shared" si="39"/>
        <v>2200</v>
      </c>
      <c r="N194" s="1581">
        <v>1.39</v>
      </c>
      <c r="O194" s="1582">
        <f t="shared" si="40"/>
        <v>3058</v>
      </c>
      <c r="P194" s="1485">
        <f t="shared" si="41"/>
        <v>550</v>
      </c>
      <c r="Q194" s="1485">
        <f t="shared" si="42"/>
        <v>764.5</v>
      </c>
      <c r="R194" s="1485">
        <f t="shared" si="43"/>
        <v>550</v>
      </c>
      <c r="S194" s="1525">
        <f t="shared" si="44"/>
        <v>764.5</v>
      </c>
      <c r="T194" s="1485">
        <f t="shared" si="45"/>
        <v>550</v>
      </c>
      <c r="U194" s="1525">
        <f t="shared" si="46"/>
        <v>764.5</v>
      </c>
      <c r="V194" s="1485">
        <f t="shared" si="47"/>
        <v>550</v>
      </c>
      <c r="W194" s="1525">
        <f t="shared" si="48"/>
        <v>764.5</v>
      </c>
      <c r="X194" s="1485">
        <f t="shared" si="49"/>
        <v>2200</v>
      </c>
      <c r="Y194" s="1485">
        <f t="shared" si="50"/>
        <v>3058</v>
      </c>
      <c r="Z194" s="1527" t="s">
        <v>7799</v>
      </c>
      <c r="AA194" s="1379" t="s">
        <v>6526</v>
      </c>
      <c r="AB194" s="1583"/>
      <c r="AC194" s="1584" t="str">
        <f t="shared" si="51"/>
        <v>ok</v>
      </c>
      <c r="AD194" s="1583"/>
      <c r="AE194" s="1583"/>
      <c r="AF194" s="1583"/>
      <c r="AG194" s="1583"/>
      <c r="AH194" s="1583"/>
      <c r="AI194" s="1583"/>
      <c r="AJ194" s="1583"/>
      <c r="AK194" s="1583"/>
      <c r="AL194" s="1583"/>
      <c r="AM194" s="1583"/>
      <c r="AN194" s="1583"/>
      <c r="AO194" s="1583"/>
    </row>
    <row r="195" spans="1:41" x14ac:dyDescent="0.6">
      <c r="A195" s="1432">
        <v>190</v>
      </c>
      <c r="B195" s="1587" t="s">
        <v>8493</v>
      </c>
      <c r="C195" s="1576" t="s">
        <v>8296</v>
      </c>
      <c r="D195" s="1578">
        <v>0</v>
      </c>
      <c r="E195" s="1578">
        <f t="shared" si="35"/>
        <v>0</v>
      </c>
      <c r="F195" s="1579">
        <v>2</v>
      </c>
      <c r="G195" s="1485">
        <f t="shared" si="36"/>
        <v>385.2</v>
      </c>
      <c r="H195" s="1485">
        <v>6</v>
      </c>
      <c r="I195" s="1485">
        <f t="shared" si="37"/>
        <v>1155.5999999999999</v>
      </c>
      <c r="J195" s="1582">
        <v>5</v>
      </c>
      <c r="K195" s="1582">
        <v>0</v>
      </c>
      <c r="L195" s="1525">
        <f t="shared" si="38"/>
        <v>0</v>
      </c>
      <c r="M195" s="1485">
        <f t="shared" si="39"/>
        <v>5</v>
      </c>
      <c r="N195" s="1581">
        <v>192.6</v>
      </c>
      <c r="O195" s="1582">
        <f t="shared" si="40"/>
        <v>963</v>
      </c>
      <c r="P195" s="1485">
        <v>5</v>
      </c>
      <c r="Q195" s="1485">
        <f t="shared" si="42"/>
        <v>963</v>
      </c>
      <c r="R195" s="1485">
        <v>0</v>
      </c>
      <c r="S195" s="1525">
        <f t="shared" si="44"/>
        <v>0</v>
      </c>
      <c r="T195" s="1485">
        <v>0</v>
      </c>
      <c r="U195" s="1525">
        <f t="shared" si="46"/>
        <v>0</v>
      </c>
      <c r="V195" s="1485">
        <v>0</v>
      </c>
      <c r="W195" s="1525">
        <f t="shared" si="48"/>
        <v>0</v>
      </c>
      <c r="X195" s="1485">
        <f t="shared" si="49"/>
        <v>5</v>
      </c>
      <c r="Y195" s="1485">
        <f t="shared" si="50"/>
        <v>963</v>
      </c>
      <c r="Z195" s="1527" t="s">
        <v>7799</v>
      </c>
      <c r="AA195" s="1379" t="s">
        <v>6526</v>
      </c>
      <c r="AB195" s="1583"/>
      <c r="AC195" s="1584" t="str">
        <f t="shared" si="51"/>
        <v>ok</v>
      </c>
      <c r="AD195" s="1583"/>
      <c r="AE195" s="1583"/>
      <c r="AF195" s="1583"/>
      <c r="AG195" s="1583"/>
      <c r="AH195" s="1583"/>
      <c r="AI195" s="1583"/>
      <c r="AJ195" s="1583"/>
      <c r="AK195" s="1583"/>
      <c r="AL195" s="1583"/>
      <c r="AM195" s="1583"/>
      <c r="AN195" s="1583"/>
      <c r="AO195" s="1583"/>
    </row>
    <row r="196" spans="1:41" x14ac:dyDescent="0.6">
      <c r="A196" s="1432">
        <v>191</v>
      </c>
      <c r="B196" s="1587" t="s">
        <v>8494</v>
      </c>
      <c r="C196" s="1576" t="s">
        <v>8404</v>
      </c>
      <c r="D196" s="1578">
        <v>54100</v>
      </c>
      <c r="E196" s="1578">
        <f t="shared" si="35"/>
        <v>29755.000000000004</v>
      </c>
      <c r="F196" s="1579">
        <v>70000</v>
      </c>
      <c r="G196" s="1485">
        <f t="shared" si="36"/>
        <v>38500</v>
      </c>
      <c r="H196" s="1485">
        <v>97000</v>
      </c>
      <c r="I196" s="1485">
        <f t="shared" si="37"/>
        <v>53350.000000000007</v>
      </c>
      <c r="J196" s="1582">
        <v>110000</v>
      </c>
      <c r="K196" s="1582">
        <v>10000</v>
      </c>
      <c r="L196" s="1525">
        <f t="shared" si="38"/>
        <v>5500</v>
      </c>
      <c r="M196" s="1485">
        <f t="shared" si="39"/>
        <v>100000</v>
      </c>
      <c r="N196" s="1581">
        <f>55/100</f>
        <v>0.55000000000000004</v>
      </c>
      <c r="O196" s="1582">
        <f t="shared" si="40"/>
        <v>55000.000000000007</v>
      </c>
      <c r="P196" s="1485">
        <f t="shared" si="41"/>
        <v>25000</v>
      </c>
      <c r="Q196" s="1485">
        <f t="shared" si="42"/>
        <v>13750.000000000002</v>
      </c>
      <c r="R196" s="1485">
        <f t="shared" si="43"/>
        <v>25000</v>
      </c>
      <c r="S196" s="1525">
        <f t="shared" si="44"/>
        <v>13750.000000000002</v>
      </c>
      <c r="T196" s="1485">
        <f t="shared" si="45"/>
        <v>25000</v>
      </c>
      <c r="U196" s="1525">
        <f t="shared" si="46"/>
        <v>13750.000000000002</v>
      </c>
      <c r="V196" s="1485">
        <f t="shared" si="47"/>
        <v>25000</v>
      </c>
      <c r="W196" s="1525">
        <f t="shared" si="48"/>
        <v>13750.000000000002</v>
      </c>
      <c r="X196" s="1485">
        <f t="shared" si="49"/>
        <v>100000</v>
      </c>
      <c r="Y196" s="1485">
        <f t="shared" si="50"/>
        <v>55000.000000000007</v>
      </c>
      <c r="Z196" s="1527" t="s">
        <v>7799</v>
      </c>
      <c r="AA196" s="1379" t="s">
        <v>6526</v>
      </c>
      <c r="AB196" s="1583"/>
      <c r="AC196" s="1584" t="str">
        <f t="shared" si="51"/>
        <v>ok</v>
      </c>
      <c r="AD196" s="1583"/>
      <c r="AE196" s="1583"/>
      <c r="AF196" s="1583"/>
      <c r="AG196" s="1583"/>
      <c r="AH196" s="1583"/>
      <c r="AI196" s="1583"/>
      <c r="AJ196" s="1583"/>
      <c r="AK196" s="1583"/>
      <c r="AL196" s="1583"/>
      <c r="AM196" s="1583"/>
      <c r="AN196" s="1583"/>
      <c r="AO196" s="1583"/>
    </row>
    <row r="197" spans="1:41" x14ac:dyDescent="0.6">
      <c r="A197" s="1432">
        <v>192</v>
      </c>
      <c r="B197" s="1587" t="s">
        <v>8495</v>
      </c>
      <c r="C197" s="1576" t="s">
        <v>8305</v>
      </c>
      <c r="D197" s="1578">
        <f>675+200</f>
        <v>875</v>
      </c>
      <c r="E197" s="1578">
        <f t="shared" si="35"/>
        <v>11585</v>
      </c>
      <c r="F197" s="1579">
        <v>1000</v>
      </c>
      <c r="G197" s="1485">
        <f t="shared" si="36"/>
        <v>13240</v>
      </c>
      <c r="H197" s="1485">
        <v>1000</v>
      </c>
      <c r="I197" s="1485">
        <f t="shared" si="37"/>
        <v>13240</v>
      </c>
      <c r="J197" s="1582">
        <v>1100</v>
      </c>
      <c r="K197" s="1582">
        <v>200</v>
      </c>
      <c r="L197" s="1525">
        <f t="shared" si="38"/>
        <v>2648</v>
      </c>
      <c r="M197" s="1485">
        <f t="shared" si="39"/>
        <v>900</v>
      </c>
      <c r="N197" s="1591">
        <v>13.24</v>
      </c>
      <c r="O197" s="1582">
        <f t="shared" si="40"/>
        <v>11916</v>
      </c>
      <c r="P197" s="1485">
        <f t="shared" si="41"/>
        <v>225</v>
      </c>
      <c r="Q197" s="1485">
        <f t="shared" si="42"/>
        <v>2979</v>
      </c>
      <c r="R197" s="1485">
        <f t="shared" si="43"/>
        <v>225</v>
      </c>
      <c r="S197" s="1525">
        <f t="shared" si="44"/>
        <v>2979</v>
      </c>
      <c r="T197" s="1485">
        <f t="shared" si="45"/>
        <v>225</v>
      </c>
      <c r="U197" s="1525">
        <f t="shared" si="46"/>
        <v>2979</v>
      </c>
      <c r="V197" s="1485">
        <f t="shared" si="47"/>
        <v>225</v>
      </c>
      <c r="W197" s="1525">
        <f t="shared" si="48"/>
        <v>2979</v>
      </c>
      <c r="X197" s="1485">
        <f t="shared" si="49"/>
        <v>900</v>
      </c>
      <c r="Y197" s="1485">
        <f t="shared" si="50"/>
        <v>11916</v>
      </c>
      <c r="Z197" s="1527" t="s">
        <v>7799</v>
      </c>
      <c r="AA197" s="1379" t="s">
        <v>6526</v>
      </c>
      <c r="AB197" s="1583"/>
      <c r="AC197" s="1584" t="str">
        <f t="shared" si="51"/>
        <v>ok</v>
      </c>
      <c r="AD197" s="1583"/>
      <c r="AE197" s="1583"/>
      <c r="AF197" s="1583"/>
      <c r="AG197" s="1583"/>
      <c r="AH197" s="1583"/>
      <c r="AI197" s="1583"/>
      <c r="AJ197" s="1583"/>
      <c r="AK197" s="1583"/>
      <c r="AL197" s="1583"/>
      <c r="AM197" s="1583"/>
      <c r="AN197" s="1583"/>
      <c r="AO197" s="1583"/>
    </row>
    <row r="198" spans="1:41" x14ac:dyDescent="0.6">
      <c r="A198" s="1432">
        <v>193</v>
      </c>
      <c r="B198" s="1587" t="s">
        <v>8496</v>
      </c>
      <c r="C198" s="1576" t="s">
        <v>8404</v>
      </c>
      <c r="D198" s="1578">
        <v>90</v>
      </c>
      <c r="E198" s="1578">
        <f t="shared" si="35"/>
        <v>1080</v>
      </c>
      <c r="F198" s="1579">
        <v>90</v>
      </c>
      <c r="G198" s="1485">
        <f t="shared" si="36"/>
        <v>1080</v>
      </c>
      <c r="H198" s="1485">
        <v>60</v>
      </c>
      <c r="I198" s="1485">
        <f t="shared" si="37"/>
        <v>720</v>
      </c>
      <c r="J198" s="1582">
        <v>120</v>
      </c>
      <c r="K198" s="1582">
        <v>0</v>
      </c>
      <c r="L198" s="1525">
        <f t="shared" si="38"/>
        <v>0</v>
      </c>
      <c r="M198" s="1485">
        <f t="shared" si="39"/>
        <v>120</v>
      </c>
      <c r="N198" s="1581">
        <f>120/10</f>
        <v>12</v>
      </c>
      <c r="O198" s="1582">
        <f t="shared" si="40"/>
        <v>1440</v>
      </c>
      <c r="P198" s="1485">
        <f t="shared" si="41"/>
        <v>30</v>
      </c>
      <c r="Q198" s="1485">
        <f t="shared" si="42"/>
        <v>360</v>
      </c>
      <c r="R198" s="1485">
        <f t="shared" si="43"/>
        <v>30</v>
      </c>
      <c r="S198" s="1525">
        <f t="shared" si="44"/>
        <v>360</v>
      </c>
      <c r="T198" s="1485">
        <f t="shared" si="45"/>
        <v>30</v>
      </c>
      <c r="U198" s="1525">
        <f t="shared" si="46"/>
        <v>360</v>
      </c>
      <c r="V198" s="1485">
        <f t="shared" si="47"/>
        <v>30</v>
      </c>
      <c r="W198" s="1525">
        <f t="shared" si="48"/>
        <v>360</v>
      </c>
      <c r="X198" s="1485">
        <f t="shared" si="49"/>
        <v>120</v>
      </c>
      <c r="Y198" s="1485">
        <f t="shared" si="50"/>
        <v>1440</v>
      </c>
      <c r="Z198" s="1527" t="s">
        <v>7799</v>
      </c>
      <c r="AA198" s="1379" t="s">
        <v>6526</v>
      </c>
      <c r="AB198" s="1583"/>
      <c r="AC198" s="1584" t="str">
        <f t="shared" si="51"/>
        <v>ok</v>
      </c>
      <c r="AD198" s="1583"/>
      <c r="AE198" s="1583"/>
      <c r="AF198" s="1583"/>
      <c r="AG198" s="1583"/>
      <c r="AH198" s="1583"/>
      <c r="AI198" s="1583"/>
      <c r="AJ198" s="1583"/>
      <c r="AK198" s="1583"/>
      <c r="AL198" s="1583"/>
      <c r="AM198" s="1583"/>
      <c r="AN198" s="1583"/>
      <c r="AO198" s="1583"/>
    </row>
    <row r="199" spans="1:41" x14ac:dyDescent="0.6">
      <c r="A199" s="1432">
        <v>194</v>
      </c>
      <c r="B199" s="1587" t="s">
        <v>8497</v>
      </c>
      <c r="C199" s="1576" t="s">
        <v>8404</v>
      </c>
      <c r="D199" s="1578">
        <v>60</v>
      </c>
      <c r="E199" s="1578">
        <f t="shared" si="35"/>
        <v>900</v>
      </c>
      <c r="F199" s="1579">
        <v>30</v>
      </c>
      <c r="G199" s="1485">
        <f t="shared" si="36"/>
        <v>450</v>
      </c>
      <c r="H199" s="1485">
        <v>40</v>
      </c>
      <c r="I199" s="1485">
        <f t="shared" si="37"/>
        <v>600</v>
      </c>
      <c r="J199" s="1582">
        <v>60</v>
      </c>
      <c r="K199" s="1582">
        <v>0</v>
      </c>
      <c r="L199" s="1525">
        <f t="shared" si="38"/>
        <v>0</v>
      </c>
      <c r="M199" s="1485">
        <f t="shared" si="39"/>
        <v>60</v>
      </c>
      <c r="N199" s="1581">
        <f>150/10</f>
        <v>15</v>
      </c>
      <c r="O199" s="1582">
        <f t="shared" si="40"/>
        <v>900</v>
      </c>
      <c r="P199" s="1485">
        <f t="shared" si="41"/>
        <v>15</v>
      </c>
      <c r="Q199" s="1485">
        <f t="shared" si="42"/>
        <v>225</v>
      </c>
      <c r="R199" s="1485">
        <f t="shared" si="43"/>
        <v>15</v>
      </c>
      <c r="S199" s="1525">
        <f t="shared" si="44"/>
        <v>225</v>
      </c>
      <c r="T199" s="1485">
        <f t="shared" si="45"/>
        <v>15</v>
      </c>
      <c r="U199" s="1525">
        <f t="shared" si="46"/>
        <v>225</v>
      </c>
      <c r="V199" s="1485">
        <f t="shared" si="47"/>
        <v>15</v>
      </c>
      <c r="W199" s="1525">
        <f t="shared" si="48"/>
        <v>225</v>
      </c>
      <c r="X199" s="1485">
        <f t="shared" si="49"/>
        <v>60</v>
      </c>
      <c r="Y199" s="1485">
        <f t="shared" si="50"/>
        <v>900</v>
      </c>
      <c r="Z199" s="1527" t="s">
        <v>7799</v>
      </c>
      <c r="AA199" s="1379" t="s">
        <v>6526</v>
      </c>
      <c r="AB199" s="1583"/>
      <c r="AC199" s="1584" t="str">
        <f t="shared" si="51"/>
        <v>ok</v>
      </c>
      <c r="AD199" s="1583"/>
      <c r="AE199" s="1583"/>
      <c r="AF199" s="1583"/>
      <c r="AG199" s="1583"/>
      <c r="AH199" s="1583"/>
      <c r="AI199" s="1583"/>
      <c r="AJ199" s="1583"/>
      <c r="AK199" s="1583"/>
      <c r="AL199" s="1583"/>
      <c r="AM199" s="1583"/>
      <c r="AN199" s="1583"/>
      <c r="AO199" s="1583"/>
    </row>
    <row r="200" spans="1:41" x14ac:dyDescent="0.6">
      <c r="A200" s="1432">
        <v>195</v>
      </c>
      <c r="B200" s="1587" t="s">
        <v>8498</v>
      </c>
      <c r="C200" s="1576" t="s">
        <v>8404</v>
      </c>
      <c r="D200" s="1578">
        <v>1000</v>
      </c>
      <c r="E200" s="1578">
        <f t="shared" ref="E200:E263" si="52">D200*N200</f>
        <v>25000</v>
      </c>
      <c r="F200" s="1579">
        <v>1000</v>
      </c>
      <c r="G200" s="1485">
        <f t="shared" ref="G200:G263" si="53">F200*N200</f>
        <v>25000</v>
      </c>
      <c r="H200" s="1485">
        <v>100</v>
      </c>
      <c r="I200" s="1485">
        <f t="shared" si="37"/>
        <v>2500</v>
      </c>
      <c r="J200" s="1582">
        <v>1000</v>
      </c>
      <c r="K200" s="1582">
        <v>500</v>
      </c>
      <c r="L200" s="1525">
        <f t="shared" si="38"/>
        <v>12500</v>
      </c>
      <c r="M200" s="1485">
        <f t="shared" si="39"/>
        <v>500</v>
      </c>
      <c r="N200" s="1581">
        <f>6250/250</f>
        <v>25</v>
      </c>
      <c r="O200" s="1582">
        <f t="shared" si="40"/>
        <v>12500</v>
      </c>
      <c r="P200" s="1485">
        <f t="shared" si="41"/>
        <v>125</v>
      </c>
      <c r="Q200" s="1485">
        <f t="shared" si="42"/>
        <v>3125</v>
      </c>
      <c r="R200" s="1485">
        <f t="shared" si="43"/>
        <v>125</v>
      </c>
      <c r="S200" s="1525">
        <f t="shared" si="44"/>
        <v>3125</v>
      </c>
      <c r="T200" s="1485">
        <f t="shared" si="45"/>
        <v>125</v>
      </c>
      <c r="U200" s="1525">
        <f t="shared" si="46"/>
        <v>3125</v>
      </c>
      <c r="V200" s="1485">
        <f t="shared" si="47"/>
        <v>125</v>
      </c>
      <c r="W200" s="1525">
        <f t="shared" si="48"/>
        <v>3125</v>
      </c>
      <c r="X200" s="1485">
        <f t="shared" si="49"/>
        <v>500</v>
      </c>
      <c r="Y200" s="1485">
        <f t="shared" si="50"/>
        <v>12500</v>
      </c>
      <c r="Z200" s="1527" t="s">
        <v>7799</v>
      </c>
      <c r="AA200" s="1379" t="s">
        <v>6526</v>
      </c>
      <c r="AB200" s="1583"/>
      <c r="AC200" s="1584" t="str">
        <f t="shared" si="51"/>
        <v>ok</v>
      </c>
      <c r="AD200" s="1583"/>
      <c r="AE200" s="1583"/>
      <c r="AF200" s="1583"/>
      <c r="AG200" s="1583"/>
      <c r="AH200" s="1583"/>
      <c r="AI200" s="1583"/>
      <c r="AJ200" s="1583"/>
      <c r="AK200" s="1583"/>
      <c r="AL200" s="1583"/>
      <c r="AM200" s="1583"/>
      <c r="AN200" s="1583"/>
      <c r="AO200" s="1583"/>
    </row>
    <row r="201" spans="1:41" x14ac:dyDescent="0.6">
      <c r="A201" s="1432">
        <v>196</v>
      </c>
      <c r="B201" s="1587" t="s">
        <v>8499</v>
      </c>
      <c r="C201" s="1576" t="s">
        <v>8305</v>
      </c>
      <c r="D201" s="1578">
        <v>10</v>
      </c>
      <c r="E201" s="1578">
        <f t="shared" si="52"/>
        <v>115</v>
      </c>
      <c r="F201" s="1579">
        <v>20</v>
      </c>
      <c r="G201" s="1485">
        <f t="shared" si="53"/>
        <v>230</v>
      </c>
      <c r="H201" s="1485">
        <v>50</v>
      </c>
      <c r="I201" s="1485">
        <f t="shared" ref="I201:I264" si="54">H201*N201</f>
        <v>575</v>
      </c>
      <c r="J201" s="1582">
        <v>50</v>
      </c>
      <c r="K201" s="1582">
        <v>0</v>
      </c>
      <c r="L201" s="1525">
        <f t="shared" ref="L201:L264" si="55">K201*N201</f>
        <v>0</v>
      </c>
      <c r="M201" s="1485">
        <f t="shared" ref="M201:M264" si="56">J201-K201</f>
        <v>50</v>
      </c>
      <c r="N201" s="1581">
        <v>11.5</v>
      </c>
      <c r="O201" s="1582">
        <f t="shared" ref="O201:O264" si="57">M201*N201</f>
        <v>575</v>
      </c>
      <c r="P201" s="1485">
        <f t="shared" ref="P201:P264" si="58">M201/4</f>
        <v>12.5</v>
      </c>
      <c r="Q201" s="1485">
        <f t="shared" ref="Q201:Q264" si="59">P201*N201</f>
        <v>143.75</v>
      </c>
      <c r="R201" s="1485">
        <f t="shared" ref="R201:R264" si="60">M201/4</f>
        <v>12.5</v>
      </c>
      <c r="S201" s="1525">
        <f t="shared" ref="S201:S264" si="61">R201*N201</f>
        <v>143.75</v>
      </c>
      <c r="T201" s="1485">
        <f t="shared" ref="T201:T264" si="62">M201/4</f>
        <v>12.5</v>
      </c>
      <c r="U201" s="1525">
        <f t="shared" ref="U201:U264" si="63">T201*N201</f>
        <v>143.75</v>
      </c>
      <c r="V201" s="1485">
        <f t="shared" ref="V201:V264" si="64">M201/4</f>
        <v>12.5</v>
      </c>
      <c r="W201" s="1525">
        <f t="shared" ref="W201:W264" si="65">V201*N201</f>
        <v>143.75</v>
      </c>
      <c r="X201" s="1485">
        <f t="shared" ref="X201:X264" si="66">P201+R201+T201+V201</f>
        <v>50</v>
      </c>
      <c r="Y201" s="1485">
        <f t="shared" ref="Y201:Y264" si="67">X201*N201</f>
        <v>575</v>
      </c>
      <c r="Z201" s="1527" t="s">
        <v>7799</v>
      </c>
      <c r="AA201" s="1379" t="s">
        <v>6526</v>
      </c>
      <c r="AB201" s="1583"/>
      <c r="AC201" s="1584" t="str">
        <f t="shared" ref="AC201:AC264" si="68">IF(M201=X201,"ok")</f>
        <v>ok</v>
      </c>
      <c r="AD201" s="1583"/>
      <c r="AE201" s="1583"/>
      <c r="AF201" s="1583"/>
      <c r="AG201" s="1583"/>
      <c r="AH201" s="1583"/>
      <c r="AI201" s="1583"/>
      <c r="AJ201" s="1583"/>
      <c r="AK201" s="1583"/>
      <c r="AL201" s="1583"/>
      <c r="AM201" s="1583"/>
      <c r="AN201" s="1583"/>
      <c r="AO201" s="1583"/>
    </row>
    <row r="202" spans="1:41" x14ac:dyDescent="0.6">
      <c r="A202" s="1432">
        <v>197</v>
      </c>
      <c r="B202" s="1587" t="s">
        <v>8500</v>
      </c>
      <c r="C202" s="1576" t="s">
        <v>8298</v>
      </c>
      <c r="D202" s="1578">
        <v>1000</v>
      </c>
      <c r="E202" s="1578">
        <f t="shared" si="52"/>
        <v>679.45</v>
      </c>
      <c r="F202" s="1579">
        <v>1400</v>
      </c>
      <c r="G202" s="1485">
        <f t="shared" si="53"/>
        <v>951.23</v>
      </c>
      <c r="H202" s="1485">
        <v>1500</v>
      </c>
      <c r="I202" s="1485">
        <f t="shared" si="54"/>
        <v>1019.175</v>
      </c>
      <c r="J202" s="1582">
        <v>1600</v>
      </c>
      <c r="K202" s="1582">
        <v>100</v>
      </c>
      <c r="L202" s="1525">
        <f t="shared" si="55"/>
        <v>67.944999999999993</v>
      </c>
      <c r="M202" s="1485">
        <f t="shared" si="56"/>
        <v>1500</v>
      </c>
      <c r="N202" s="1581">
        <f>679.45/1000</f>
        <v>0.67945</v>
      </c>
      <c r="O202" s="1582">
        <f t="shared" si="57"/>
        <v>1019.175</v>
      </c>
      <c r="P202" s="1485">
        <f t="shared" si="58"/>
        <v>375</v>
      </c>
      <c r="Q202" s="1485">
        <f t="shared" si="59"/>
        <v>254.79374999999999</v>
      </c>
      <c r="R202" s="1485">
        <f t="shared" si="60"/>
        <v>375</v>
      </c>
      <c r="S202" s="1525">
        <f t="shared" si="61"/>
        <v>254.79374999999999</v>
      </c>
      <c r="T202" s="1485">
        <f t="shared" si="62"/>
        <v>375</v>
      </c>
      <c r="U202" s="1525">
        <f t="shared" si="63"/>
        <v>254.79374999999999</v>
      </c>
      <c r="V202" s="1485">
        <f t="shared" si="64"/>
        <v>375</v>
      </c>
      <c r="W202" s="1525">
        <f t="shared" si="65"/>
        <v>254.79374999999999</v>
      </c>
      <c r="X202" s="1485">
        <f t="shared" si="66"/>
        <v>1500</v>
      </c>
      <c r="Y202" s="1485">
        <f t="shared" si="67"/>
        <v>1019.175</v>
      </c>
      <c r="Z202" s="1527" t="s">
        <v>7799</v>
      </c>
      <c r="AA202" s="1379" t="s">
        <v>6526</v>
      </c>
      <c r="AB202" s="1583"/>
      <c r="AC202" s="1584" t="str">
        <f t="shared" si="68"/>
        <v>ok</v>
      </c>
      <c r="AD202" s="1583"/>
      <c r="AE202" s="1583"/>
      <c r="AF202" s="1583"/>
      <c r="AG202" s="1583"/>
      <c r="AH202" s="1583"/>
      <c r="AI202" s="1583"/>
      <c r="AJ202" s="1583"/>
      <c r="AK202" s="1583"/>
      <c r="AL202" s="1583"/>
      <c r="AM202" s="1583"/>
      <c r="AN202" s="1583"/>
      <c r="AO202" s="1583"/>
    </row>
    <row r="203" spans="1:41" x14ac:dyDescent="0.6">
      <c r="A203" s="1432">
        <v>198</v>
      </c>
      <c r="B203" s="1587" t="s">
        <v>8501</v>
      </c>
      <c r="C203" s="1576" t="s">
        <v>8298</v>
      </c>
      <c r="D203" s="1578">
        <v>3000</v>
      </c>
      <c r="E203" s="1578">
        <f t="shared" si="52"/>
        <v>872.99999999999989</v>
      </c>
      <c r="F203" s="1579">
        <v>4000</v>
      </c>
      <c r="G203" s="1485">
        <f t="shared" si="53"/>
        <v>1164</v>
      </c>
      <c r="H203" s="1485">
        <v>2000</v>
      </c>
      <c r="I203" s="1485">
        <f t="shared" si="54"/>
        <v>582</v>
      </c>
      <c r="J203" s="1582">
        <v>4000</v>
      </c>
      <c r="K203" s="1582">
        <v>0</v>
      </c>
      <c r="L203" s="1525">
        <f t="shared" si="55"/>
        <v>0</v>
      </c>
      <c r="M203" s="1485">
        <f t="shared" si="56"/>
        <v>4000</v>
      </c>
      <c r="N203" s="1581">
        <f>291/1000</f>
        <v>0.29099999999999998</v>
      </c>
      <c r="O203" s="1582">
        <f t="shared" si="57"/>
        <v>1164</v>
      </c>
      <c r="P203" s="1485">
        <f t="shared" si="58"/>
        <v>1000</v>
      </c>
      <c r="Q203" s="1485">
        <f t="shared" si="59"/>
        <v>291</v>
      </c>
      <c r="R203" s="1485">
        <f t="shared" si="60"/>
        <v>1000</v>
      </c>
      <c r="S203" s="1525">
        <f t="shared" si="61"/>
        <v>291</v>
      </c>
      <c r="T203" s="1485">
        <f t="shared" si="62"/>
        <v>1000</v>
      </c>
      <c r="U203" s="1525">
        <f t="shared" si="63"/>
        <v>291</v>
      </c>
      <c r="V203" s="1485">
        <f t="shared" si="64"/>
        <v>1000</v>
      </c>
      <c r="W203" s="1525">
        <f t="shared" si="65"/>
        <v>291</v>
      </c>
      <c r="X203" s="1485">
        <f t="shared" si="66"/>
        <v>4000</v>
      </c>
      <c r="Y203" s="1485">
        <f t="shared" si="67"/>
        <v>1164</v>
      </c>
      <c r="Z203" s="1527" t="s">
        <v>7799</v>
      </c>
      <c r="AA203" s="1379" t="s">
        <v>6526</v>
      </c>
      <c r="AB203" s="1583"/>
      <c r="AC203" s="1584" t="str">
        <f t="shared" si="68"/>
        <v>ok</v>
      </c>
      <c r="AD203" s="1583"/>
      <c r="AE203" s="1583"/>
      <c r="AF203" s="1583"/>
      <c r="AG203" s="1583"/>
      <c r="AH203" s="1583"/>
      <c r="AI203" s="1583"/>
      <c r="AJ203" s="1583"/>
      <c r="AK203" s="1583"/>
      <c r="AL203" s="1583"/>
      <c r="AM203" s="1583"/>
      <c r="AN203" s="1583"/>
      <c r="AO203" s="1583"/>
    </row>
    <row r="204" spans="1:41" x14ac:dyDescent="0.6">
      <c r="A204" s="1432">
        <v>199</v>
      </c>
      <c r="B204" s="1587" t="s">
        <v>8502</v>
      </c>
      <c r="C204" s="1576" t="s">
        <v>8298</v>
      </c>
      <c r="D204" s="1578">
        <v>14000</v>
      </c>
      <c r="E204" s="1578">
        <f t="shared" si="52"/>
        <v>6804</v>
      </c>
      <c r="F204" s="1579">
        <v>17400</v>
      </c>
      <c r="G204" s="1485">
        <f t="shared" si="53"/>
        <v>8456.4</v>
      </c>
      <c r="H204" s="1485">
        <v>14000</v>
      </c>
      <c r="I204" s="1485">
        <f t="shared" si="54"/>
        <v>6804</v>
      </c>
      <c r="J204" s="1582">
        <v>18000</v>
      </c>
      <c r="K204" s="1582">
        <v>3000</v>
      </c>
      <c r="L204" s="1525">
        <f t="shared" si="55"/>
        <v>1458</v>
      </c>
      <c r="M204" s="1485">
        <f t="shared" si="56"/>
        <v>15000</v>
      </c>
      <c r="N204" s="1581">
        <f>486/1000</f>
        <v>0.48599999999999999</v>
      </c>
      <c r="O204" s="1582">
        <f t="shared" si="57"/>
        <v>7290</v>
      </c>
      <c r="P204" s="1485">
        <f t="shared" si="58"/>
        <v>3750</v>
      </c>
      <c r="Q204" s="1485">
        <f t="shared" si="59"/>
        <v>1822.5</v>
      </c>
      <c r="R204" s="1485">
        <f t="shared" si="60"/>
        <v>3750</v>
      </c>
      <c r="S204" s="1525">
        <f t="shared" si="61"/>
        <v>1822.5</v>
      </c>
      <c r="T204" s="1485">
        <f t="shared" si="62"/>
        <v>3750</v>
      </c>
      <c r="U204" s="1525">
        <f t="shared" si="63"/>
        <v>1822.5</v>
      </c>
      <c r="V204" s="1485">
        <f t="shared" si="64"/>
        <v>3750</v>
      </c>
      <c r="W204" s="1525">
        <f t="shared" si="65"/>
        <v>1822.5</v>
      </c>
      <c r="X204" s="1485">
        <f t="shared" si="66"/>
        <v>15000</v>
      </c>
      <c r="Y204" s="1485">
        <f t="shared" si="67"/>
        <v>7290</v>
      </c>
      <c r="Z204" s="1527" t="s">
        <v>7799</v>
      </c>
      <c r="AA204" s="1379" t="s">
        <v>6526</v>
      </c>
      <c r="AB204" s="1583"/>
      <c r="AC204" s="1584" t="str">
        <f t="shared" si="68"/>
        <v>ok</v>
      </c>
      <c r="AD204" s="1583"/>
      <c r="AE204" s="1583"/>
      <c r="AF204" s="1583"/>
      <c r="AG204" s="1583"/>
      <c r="AH204" s="1583"/>
      <c r="AI204" s="1583"/>
      <c r="AJ204" s="1583"/>
      <c r="AK204" s="1583"/>
      <c r="AL204" s="1583"/>
      <c r="AM204" s="1583"/>
      <c r="AN204" s="1583"/>
      <c r="AO204" s="1583"/>
    </row>
    <row r="205" spans="1:41" x14ac:dyDescent="0.6">
      <c r="A205" s="1432">
        <v>200</v>
      </c>
      <c r="B205" s="1587" t="s">
        <v>8503</v>
      </c>
      <c r="C205" s="1576" t="s">
        <v>8305</v>
      </c>
      <c r="D205" s="1578">
        <v>40</v>
      </c>
      <c r="E205" s="1578">
        <f t="shared" si="52"/>
        <v>260</v>
      </c>
      <c r="F205" s="1579">
        <v>50</v>
      </c>
      <c r="G205" s="1485">
        <f t="shared" si="53"/>
        <v>325</v>
      </c>
      <c r="H205" s="1485">
        <v>50</v>
      </c>
      <c r="I205" s="1485">
        <f t="shared" si="54"/>
        <v>325</v>
      </c>
      <c r="J205" s="1582">
        <v>60</v>
      </c>
      <c r="K205" s="1582">
        <v>20</v>
      </c>
      <c r="L205" s="1525">
        <f t="shared" si="55"/>
        <v>130</v>
      </c>
      <c r="M205" s="1485">
        <f t="shared" si="56"/>
        <v>40</v>
      </c>
      <c r="N205" s="1581">
        <v>6.5</v>
      </c>
      <c r="O205" s="1582">
        <f t="shared" si="57"/>
        <v>260</v>
      </c>
      <c r="P205" s="1485">
        <f t="shared" si="58"/>
        <v>10</v>
      </c>
      <c r="Q205" s="1485">
        <f t="shared" si="59"/>
        <v>65</v>
      </c>
      <c r="R205" s="1485">
        <f t="shared" si="60"/>
        <v>10</v>
      </c>
      <c r="S205" s="1525">
        <f t="shared" si="61"/>
        <v>65</v>
      </c>
      <c r="T205" s="1485">
        <f t="shared" si="62"/>
        <v>10</v>
      </c>
      <c r="U205" s="1525">
        <f t="shared" si="63"/>
        <v>65</v>
      </c>
      <c r="V205" s="1485">
        <f t="shared" si="64"/>
        <v>10</v>
      </c>
      <c r="W205" s="1525">
        <f t="shared" si="65"/>
        <v>65</v>
      </c>
      <c r="X205" s="1485">
        <f t="shared" si="66"/>
        <v>40</v>
      </c>
      <c r="Y205" s="1485">
        <f t="shared" si="67"/>
        <v>260</v>
      </c>
      <c r="Z205" s="1527" t="s">
        <v>7799</v>
      </c>
      <c r="AA205" s="1379" t="s">
        <v>6526</v>
      </c>
      <c r="AB205" s="1583"/>
      <c r="AC205" s="1584" t="str">
        <f t="shared" si="68"/>
        <v>ok</v>
      </c>
      <c r="AD205" s="1583"/>
      <c r="AE205" s="1583"/>
      <c r="AF205" s="1583"/>
      <c r="AG205" s="1583"/>
      <c r="AH205" s="1583"/>
      <c r="AI205" s="1583"/>
      <c r="AJ205" s="1583"/>
      <c r="AK205" s="1583"/>
      <c r="AL205" s="1583"/>
      <c r="AM205" s="1583"/>
      <c r="AN205" s="1583"/>
      <c r="AO205" s="1583"/>
    </row>
    <row r="206" spans="1:41" ht="42" x14ac:dyDescent="0.6">
      <c r="A206" s="1432">
        <v>201</v>
      </c>
      <c r="B206" s="1587" t="s">
        <v>8504</v>
      </c>
      <c r="C206" s="1576" t="s">
        <v>8298</v>
      </c>
      <c r="D206" s="1578">
        <v>4000</v>
      </c>
      <c r="E206" s="1578">
        <f t="shared" si="52"/>
        <v>380</v>
      </c>
      <c r="F206" s="1579">
        <v>5400</v>
      </c>
      <c r="G206" s="1485">
        <f t="shared" si="53"/>
        <v>513</v>
      </c>
      <c r="H206" s="1485">
        <v>3000</v>
      </c>
      <c r="I206" s="1485">
        <f t="shared" si="54"/>
        <v>285</v>
      </c>
      <c r="J206" s="1582">
        <v>5500</v>
      </c>
      <c r="K206" s="1582">
        <v>500</v>
      </c>
      <c r="L206" s="1525">
        <f t="shared" si="55"/>
        <v>47.5</v>
      </c>
      <c r="M206" s="1485">
        <f t="shared" si="56"/>
        <v>5000</v>
      </c>
      <c r="N206" s="1581">
        <f>95/1000</f>
        <v>9.5000000000000001E-2</v>
      </c>
      <c r="O206" s="1582">
        <f t="shared" si="57"/>
        <v>475</v>
      </c>
      <c r="P206" s="1485">
        <f t="shared" si="58"/>
        <v>1250</v>
      </c>
      <c r="Q206" s="1485">
        <f t="shared" si="59"/>
        <v>118.75</v>
      </c>
      <c r="R206" s="1485">
        <f t="shared" si="60"/>
        <v>1250</v>
      </c>
      <c r="S206" s="1525">
        <f t="shared" si="61"/>
        <v>118.75</v>
      </c>
      <c r="T206" s="1485">
        <f t="shared" si="62"/>
        <v>1250</v>
      </c>
      <c r="U206" s="1525">
        <f t="shared" si="63"/>
        <v>118.75</v>
      </c>
      <c r="V206" s="1485">
        <f t="shared" si="64"/>
        <v>1250</v>
      </c>
      <c r="W206" s="1525">
        <f t="shared" si="65"/>
        <v>118.75</v>
      </c>
      <c r="X206" s="1485">
        <f t="shared" si="66"/>
        <v>5000</v>
      </c>
      <c r="Y206" s="1485">
        <f t="shared" si="67"/>
        <v>475</v>
      </c>
      <c r="Z206" s="1527" t="s">
        <v>7799</v>
      </c>
      <c r="AA206" s="1379" t="s">
        <v>6526</v>
      </c>
      <c r="AB206" s="1583"/>
      <c r="AC206" s="1584" t="str">
        <f t="shared" si="68"/>
        <v>ok</v>
      </c>
      <c r="AD206" s="1583"/>
      <c r="AE206" s="1583"/>
      <c r="AF206" s="1583"/>
      <c r="AG206" s="1583"/>
      <c r="AH206" s="1583"/>
      <c r="AI206" s="1583"/>
      <c r="AJ206" s="1583"/>
      <c r="AK206" s="1583"/>
      <c r="AL206" s="1583"/>
      <c r="AM206" s="1583"/>
      <c r="AN206" s="1583"/>
      <c r="AO206" s="1583"/>
    </row>
    <row r="207" spans="1:41" ht="42" x14ac:dyDescent="0.6">
      <c r="A207" s="1432">
        <v>202</v>
      </c>
      <c r="B207" s="1587" t="s">
        <v>8505</v>
      </c>
      <c r="C207" s="1576" t="s">
        <v>8298</v>
      </c>
      <c r="D207" s="1578">
        <v>17000</v>
      </c>
      <c r="E207" s="1578">
        <f t="shared" si="52"/>
        <v>3060</v>
      </c>
      <c r="F207" s="1579">
        <v>18000</v>
      </c>
      <c r="G207" s="1485">
        <f t="shared" si="53"/>
        <v>3240</v>
      </c>
      <c r="H207" s="1485">
        <v>18000</v>
      </c>
      <c r="I207" s="1485">
        <f t="shared" si="54"/>
        <v>3240</v>
      </c>
      <c r="J207" s="1582">
        <v>18000</v>
      </c>
      <c r="K207" s="1582">
        <v>3000</v>
      </c>
      <c r="L207" s="1525">
        <f t="shared" si="55"/>
        <v>540</v>
      </c>
      <c r="M207" s="1485">
        <f t="shared" si="56"/>
        <v>15000</v>
      </c>
      <c r="N207" s="1581">
        <v>0.18</v>
      </c>
      <c r="O207" s="1582">
        <f t="shared" si="57"/>
        <v>2700</v>
      </c>
      <c r="P207" s="1485">
        <f t="shared" si="58"/>
        <v>3750</v>
      </c>
      <c r="Q207" s="1485">
        <f t="shared" si="59"/>
        <v>675</v>
      </c>
      <c r="R207" s="1485">
        <f t="shared" si="60"/>
        <v>3750</v>
      </c>
      <c r="S207" s="1525">
        <f t="shared" si="61"/>
        <v>675</v>
      </c>
      <c r="T207" s="1485">
        <f t="shared" si="62"/>
        <v>3750</v>
      </c>
      <c r="U207" s="1525">
        <f t="shared" si="63"/>
        <v>675</v>
      </c>
      <c r="V207" s="1485">
        <f t="shared" si="64"/>
        <v>3750</v>
      </c>
      <c r="W207" s="1525">
        <f t="shared" si="65"/>
        <v>675</v>
      </c>
      <c r="X207" s="1485">
        <f t="shared" si="66"/>
        <v>15000</v>
      </c>
      <c r="Y207" s="1485">
        <f t="shared" si="67"/>
        <v>2700</v>
      </c>
      <c r="Z207" s="1527" t="s">
        <v>7799</v>
      </c>
      <c r="AA207" s="1379" t="s">
        <v>6526</v>
      </c>
      <c r="AB207" s="1583"/>
      <c r="AC207" s="1584" t="str">
        <f t="shared" si="68"/>
        <v>ok</v>
      </c>
      <c r="AD207" s="1583"/>
      <c r="AE207" s="1583"/>
      <c r="AF207" s="1583"/>
      <c r="AG207" s="1583"/>
      <c r="AH207" s="1583"/>
      <c r="AI207" s="1583"/>
      <c r="AJ207" s="1583"/>
      <c r="AK207" s="1583"/>
      <c r="AL207" s="1583"/>
      <c r="AM207" s="1583"/>
      <c r="AN207" s="1583"/>
      <c r="AO207" s="1583"/>
    </row>
    <row r="208" spans="1:41" x14ac:dyDescent="0.6">
      <c r="A208" s="1432">
        <v>203</v>
      </c>
      <c r="B208" s="1587" t="s">
        <v>8506</v>
      </c>
      <c r="C208" s="1576" t="s">
        <v>8298</v>
      </c>
      <c r="D208" s="1578">
        <v>40500</v>
      </c>
      <c r="E208" s="1578">
        <f t="shared" si="52"/>
        <v>19683</v>
      </c>
      <c r="F208" s="1579">
        <v>42000</v>
      </c>
      <c r="G208" s="1485">
        <f t="shared" si="53"/>
        <v>20412</v>
      </c>
      <c r="H208" s="1485">
        <v>35000</v>
      </c>
      <c r="I208" s="1485">
        <f t="shared" si="54"/>
        <v>17010</v>
      </c>
      <c r="J208" s="1582">
        <v>42000</v>
      </c>
      <c r="K208" s="1582">
        <v>5000</v>
      </c>
      <c r="L208" s="1525">
        <f t="shared" si="55"/>
        <v>2430</v>
      </c>
      <c r="M208" s="1485">
        <f t="shared" si="56"/>
        <v>37000</v>
      </c>
      <c r="N208" s="1581">
        <v>0.48599999999999999</v>
      </c>
      <c r="O208" s="1582">
        <f t="shared" si="57"/>
        <v>17982</v>
      </c>
      <c r="P208" s="1485">
        <f t="shared" si="58"/>
        <v>9250</v>
      </c>
      <c r="Q208" s="1485">
        <f t="shared" si="59"/>
        <v>4495.5</v>
      </c>
      <c r="R208" s="1485">
        <f t="shared" si="60"/>
        <v>9250</v>
      </c>
      <c r="S208" s="1525">
        <f t="shared" si="61"/>
        <v>4495.5</v>
      </c>
      <c r="T208" s="1485">
        <f t="shared" si="62"/>
        <v>9250</v>
      </c>
      <c r="U208" s="1525">
        <f t="shared" si="63"/>
        <v>4495.5</v>
      </c>
      <c r="V208" s="1485">
        <f t="shared" si="64"/>
        <v>9250</v>
      </c>
      <c r="W208" s="1525">
        <f t="shared" si="65"/>
        <v>4495.5</v>
      </c>
      <c r="X208" s="1485">
        <f t="shared" si="66"/>
        <v>37000</v>
      </c>
      <c r="Y208" s="1485">
        <f t="shared" si="67"/>
        <v>17982</v>
      </c>
      <c r="Z208" s="1527" t="s">
        <v>7799</v>
      </c>
      <c r="AA208" s="1379" t="s">
        <v>6526</v>
      </c>
      <c r="AB208" s="1583"/>
      <c r="AC208" s="1584" t="str">
        <f t="shared" si="68"/>
        <v>ok</v>
      </c>
      <c r="AD208" s="1583"/>
      <c r="AE208" s="1583"/>
      <c r="AF208" s="1583"/>
      <c r="AG208" s="1583"/>
      <c r="AH208" s="1583"/>
      <c r="AI208" s="1583"/>
      <c r="AJ208" s="1583"/>
      <c r="AK208" s="1583"/>
      <c r="AL208" s="1583"/>
      <c r="AM208" s="1583"/>
      <c r="AN208" s="1583"/>
      <c r="AO208" s="1583"/>
    </row>
    <row r="209" spans="1:41" x14ac:dyDescent="0.6">
      <c r="A209" s="1432">
        <v>204</v>
      </c>
      <c r="B209" s="1600" t="s">
        <v>8507</v>
      </c>
      <c r="C209" s="1604" t="s">
        <v>8305</v>
      </c>
      <c r="D209" s="1601">
        <v>0</v>
      </c>
      <c r="E209" s="1578">
        <f t="shared" si="52"/>
        <v>0</v>
      </c>
      <c r="F209" s="1579">
        <v>30</v>
      </c>
      <c r="G209" s="1485">
        <f t="shared" si="53"/>
        <v>3531</v>
      </c>
      <c r="H209" s="1485">
        <v>100</v>
      </c>
      <c r="I209" s="1485">
        <f t="shared" si="54"/>
        <v>11770</v>
      </c>
      <c r="J209" s="1582">
        <v>100</v>
      </c>
      <c r="K209" s="1582">
        <v>10</v>
      </c>
      <c r="L209" s="1525">
        <f t="shared" si="55"/>
        <v>1177</v>
      </c>
      <c r="M209" s="1485">
        <f t="shared" si="56"/>
        <v>90</v>
      </c>
      <c r="N209" s="1581">
        <v>117.7</v>
      </c>
      <c r="O209" s="1582">
        <f t="shared" si="57"/>
        <v>10593</v>
      </c>
      <c r="P209" s="1485">
        <v>90</v>
      </c>
      <c r="Q209" s="1485">
        <f t="shared" si="59"/>
        <v>10593</v>
      </c>
      <c r="R209" s="1485">
        <v>0</v>
      </c>
      <c r="S209" s="1525">
        <f t="shared" si="61"/>
        <v>0</v>
      </c>
      <c r="T209" s="1485">
        <v>0</v>
      </c>
      <c r="U209" s="1525">
        <f t="shared" si="63"/>
        <v>0</v>
      </c>
      <c r="V209" s="1485">
        <v>0</v>
      </c>
      <c r="W209" s="1525">
        <f t="shared" si="65"/>
        <v>0</v>
      </c>
      <c r="X209" s="1485">
        <f t="shared" si="66"/>
        <v>90</v>
      </c>
      <c r="Y209" s="1485">
        <f t="shared" si="67"/>
        <v>10593</v>
      </c>
      <c r="Z209" s="1527" t="s">
        <v>7799</v>
      </c>
      <c r="AA209" s="1379" t="s">
        <v>6526</v>
      </c>
      <c r="AB209" s="1583"/>
      <c r="AC209" s="1584" t="str">
        <f t="shared" si="68"/>
        <v>ok</v>
      </c>
      <c r="AD209" s="1583"/>
      <c r="AE209" s="1583"/>
      <c r="AF209" s="1583"/>
      <c r="AG209" s="1583"/>
      <c r="AH209" s="1583"/>
      <c r="AI209" s="1583"/>
      <c r="AJ209" s="1583"/>
      <c r="AK209" s="1583"/>
      <c r="AL209" s="1583"/>
      <c r="AM209" s="1583"/>
      <c r="AN209" s="1583"/>
      <c r="AO209" s="1583"/>
    </row>
    <row r="210" spans="1:41" x14ac:dyDescent="0.6">
      <c r="A210" s="1432">
        <v>205</v>
      </c>
      <c r="B210" s="1587" t="s">
        <v>8508</v>
      </c>
      <c r="C210" s="1576" t="s">
        <v>8296</v>
      </c>
      <c r="D210" s="1578">
        <v>409</v>
      </c>
      <c r="E210" s="1578">
        <f t="shared" si="52"/>
        <v>5689.1900000000005</v>
      </c>
      <c r="F210" s="1579">
        <v>430</v>
      </c>
      <c r="G210" s="1485">
        <f t="shared" si="53"/>
        <v>5981.3</v>
      </c>
      <c r="H210" s="1485">
        <v>230</v>
      </c>
      <c r="I210" s="1485">
        <f t="shared" si="54"/>
        <v>3199.3</v>
      </c>
      <c r="J210" s="1582">
        <v>450</v>
      </c>
      <c r="K210" s="1582">
        <v>24</v>
      </c>
      <c r="L210" s="1525">
        <f t="shared" si="55"/>
        <v>333.84000000000003</v>
      </c>
      <c r="M210" s="1485">
        <f t="shared" si="56"/>
        <v>426</v>
      </c>
      <c r="N210" s="1581">
        <v>13.91</v>
      </c>
      <c r="O210" s="1582">
        <f t="shared" si="57"/>
        <v>5925.66</v>
      </c>
      <c r="P210" s="1485">
        <v>106</v>
      </c>
      <c r="Q210" s="1485">
        <f t="shared" si="59"/>
        <v>1474.46</v>
      </c>
      <c r="R210" s="1485">
        <v>106</v>
      </c>
      <c r="S210" s="1525">
        <f t="shared" si="61"/>
        <v>1474.46</v>
      </c>
      <c r="T210" s="1485">
        <v>107</v>
      </c>
      <c r="U210" s="1525">
        <f t="shared" si="63"/>
        <v>1488.3700000000001</v>
      </c>
      <c r="V210" s="1485">
        <v>107</v>
      </c>
      <c r="W210" s="1525">
        <f t="shared" si="65"/>
        <v>1488.3700000000001</v>
      </c>
      <c r="X210" s="1485">
        <f t="shared" si="66"/>
        <v>426</v>
      </c>
      <c r="Y210" s="1485">
        <f t="shared" si="67"/>
        <v>5925.66</v>
      </c>
      <c r="Z210" s="1527" t="s">
        <v>7799</v>
      </c>
      <c r="AA210" s="1379" t="s">
        <v>6526</v>
      </c>
      <c r="AB210" s="1583"/>
      <c r="AC210" s="1584" t="str">
        <f t="shared" si="68"/>
        <v>ok</v>
      </c>
      <c r="AD210" s="1583"/>
      <c r="AE210" s="1583"/>
      <c r="AF210" s="1583"/>
      <c r="AG210" s="1583"/>
      <c r="AH210" s="1583"/>
      <c r="AI210" s="1583"/>
      <c r="AJ210" s="1583"/>
      <c r="AK210" s="1583"/>
      <c r="AL210" s="1583"/>
      <c r="AM210" s="1583"/>
      <c r="AN210" s="1583"/>
      <c r="AO210" s="1583"/>
    </row>
    <row r="211" spans="1:41" ht="42" x14ac:dyDescent="0.6">
      <c r="A211" s="1432">
        <v>206</v>
      </c>
      <c r="B211" s="1587" t="s">
        <v>8509</v>
      </c>
      <c r="C211" s="1576" t="s">
        <v>8296</v>
      </c>
      <c r="D211" s="1578">
        <v>245</v>
      </c>
      <c r="E211" s="1578">
        <f t="shared" si="52"/>
        <v>13893.95</v>
      </c>
      <c r="F211" s="1579">
        <v>300</v>
      </c>
      <c r="G211" s="1485">
        <f t="shared" si="53"/>
        <v>17013</v>
      </c>
      <c r="H211" s="1485">
        <v>85</v>
      </c>
      <c r="I211" s="1485">
        <f t="shared" si="54"/>
        <v>4820.3500000000004</v>
      </c>
      <c r="J211" s="1582">
        <v>300</v>
      </c>
      <c r="K211" s="1582">
        <v>50</v>
      </c>
      <c r="L211" s="1525">
        <f t="shared" si="55"/>
        <v>2835.5</v>
      </c>
      <c r="M211" s="1485">
        <f t="shared" si="56"/>
        <v>250</v>
      </c>
      <c r="N211" s="1581">
        <v>56.71</v>
      </c>
      <c r="O211" s="1582">
        <f t="shared" si="57"/>
        <v>14177.5</v>
      </c>
      <c r="P211" s="1485">
        <v>62</v>
      </c>
      <c r="Q211" s="1485">
        <f t="shared" si="59"/>
        <v>3516.02</v>
      </c>
      <c r="R211" s="1485">
        <v>62</v>
      </c>
      <c r="S211" s="1525">
        <f t="shared" si="61"/>
        <v>3516.02</v>
      </c>
      <c r="T211" s="1485">
        <v>63</v>
      </c>
      <c r="U211" s="1525">
        <f t="shared" si="63"/>
        <v>3572.73</v>
      </c>
      <c r="V211" s="1485">
        <v>63</v>
      </c>
      <c r="W211" s="1525">
        <f t="shared" si="65"/>
        <v>3572.73</v>
      </c>
      <c r="X211" s="1485">
        <f t="shared" si="66"/>
        <v>250</v>
      </c>
      <c r="Y211" s="1485">
        <f t="shared" si="67"/>
        <v>14177.5</v>
      </c>
      <c r="Z211" s="1527" t="s">
        <v>7799</v>
      </c>
      <c r="AA211" s="1379" t="s">
        <v>6526</v>
      </c>
      <c r="AB211" s="1583"/>
      <c r="AC211" s="1584" t="str">
        <f t="shared" si="68"/>
        <v>ok</v>
      </c>
      <c r="AD211" s="1583"/>
      <c r="AE211" s="1583"/>
      <c r="AF211" s="1583"/>
      <c r="AG211" s="1583"/>
      <c r="AH211" s="1583"/>
      <c r="AI211" s="1583"/>
      <c r="AJ211" s="1583"/>
      <c r="AK211" s="1583"/>
      <c r="AL211" s="1583"/>
      <c r="AM211" s="1583"/>
      <c r="AN211" s="1583"/>
      <c r="AO211" s="1583"/>
    </row>
    <row r="212" spans="1:41" ht="42" x14ac:dyDescent="0.6">
      <c r="A212" s="1432">
        <v>207</v>
      </c>
      <c r="B212" s="1587" t="s">
        <v>8510</v>
      </c>
      <c r="C212" s="1576" t="s">
        <v>8305</v>
      </c>
      <c r="D212" s="1578">
        <v>150</v>
      </c>
      <c r="E212" s="1578">
        <f t="shared" si="52"/>
        <v>1200</v>
      </c>
      <c r="F212" s="1579">
        <v>200</v>
      </c>
      <c r="G212" s="1485">
        <f t="shared" si="53"/>
        <v>1600</v>
      </c>
      <c r="H212" s="1485">
        <v>320</v>
      </c>
      <c r="I212" s="1485">
        <f t="shared" si="54"/>
        <v>2560</v>
      </c>
      <c r="J212" s="1582">
        <v>380</v>
      </c>
      <c r="K212" s="1582">
        <v>100</v>
      </c>
      <c r="L212" s="1525">
        <f t="shared" si="55"/>
        <v>800</v>
      </c>
      <c r="M212" s="1485">
        <f t="shared" si="56"/>
        <v>280</v>
      </c>
      <c r="N212" s="1581">
        <v>8</v>
      </c>
      <c r="O212" s="1582">
        <f t="shared" si="57"/>
        <v>2240</v>
      </c>
      <c r="P212" s="1485">
        <v>100</v>
      </c>
      <c r="Q212" s="1485">
        <f t="shared" si="59"/>
        <v>800</v>
      </c>
      <c r="R212" s="1485">
        <v>180</v>
      </c>
      <c r="S212" s="1525">
        <f t="shared" si="61"/>
        <v>1440</v>
      </c>
      <c r="T212" s="1485">
        <v>0</v>
      </c>
      <c r="U212" s="1525">
        <f t="shared" si="63"/>
        <v>0</v>
      </c>
      <c r="V212" s="1485">
        <v>0</v>
      </c>
      <c r="W212" s="1525">
        <f t="shared" si="65"/>
        <v>0</v>
      </c>
      <c r="X212" s="1485">
        <f t="shared" si="66"/>
        <v>280</v>
      </c>
      <c r="Y212" s="1485">
        <f t="shared" si="67"/>
        <v>2240</v>
      </c>
      <c r="Z212" s="1527" t="s">
        <v>7799</v>
      </c>
      <c r="AA212" s="1379" t="s">
        <v>6526</v>
      </c>
      <c r="AB212" s="1583"/>
      <c r="AC212" s="1584" t="str">
        <f t="shared" si="68"/>
        <v>ok</v>
      </c>
      <c r="AD212" s="1583"/>
      <c r="AE212" s="1583"/>
      <c r="AF212" s="1583"/>
      <c r="AG212" s="1583"/>
      <c r="AH212" s="1583"/>
      <c r="AI212" s="1583"/>
      <c r="AJ212" s="1583"/>
      <c r="AK212" s="1583"/>
      <c r="AL212" s="1583"/>
      <c r="AM212" s="1583"/>
      <c r="AN212" s="1583"/>
      <c r="AO212" s="1583"/>
    </row>
    <row r="213" spans="1:41" ht="42" x14ac:dyDescent="0.6">
      <c r="A213" s="1432">
        <v>208</v>
      </c>
      <c r="B213" s="1587" t="s">
        <v>8511</v>
      </c>
      <c r="C213" s="1576" t="s">
        <v>8305</v>
      </c>
      <c r="D213" s="1578">
        <v>233</v>
      </c>
      <c r="E213" s="1578">
        <f t="shared" si="52"/>
        <v>3495</v>
      </c>
      <c r="F213" s="1579">
        <v>240</v>
      </c>
      <c r="G213" s="1485">
        <f t="shared" si="53"/>
        <v>3600</v>
      </c>
      <c r="H213" s="1485">
        <v>250</v>
      </c>
      <c r="I213" s="1485">
        <f t="shared" si="54"/>
        <v>3750</v>
      </c>
      <c r="J213" s="1582">
        <v>280</v>
      </c>
      <c r="K213" s="1582">
        <v>60</v>
      </c>
      <c r="L213" s="1525">
        <f t="shared" si="55"/>
        <v>900</v>
      </c>
      <c r="M213" s="1485">
        <f t="shared" si="56"/>
        <v>220</v>
      </c>
      <c r="N213" s="1581">
        <v>15</v>
      </c>
      <c r="O213" s="1582">
        <f t="shared" si="57"/>
        <v>3300</v>
      </c>
      <c r="P213" s="1485">
        <f t="shared" si="58"/>
        <v>55</v>
      </c>
      <c r="Q213" s="1485">
        <f t="shared" si="59"/>
        <v>825</v>
      </c>
      <c r="R213" s="1485">
        <f t="shared" si="60"/>
        <v>55</v>
      </c>
      <c r="S213" s="1525">
        <f t="shared" si="61"/>
        <v>825</v>
      </c>
      <c r="T213" s="1485">
        <f t="shared" si="62"/>
        <v>55</v>
      </c>
      <c r="U213" s="1525">
        <f t="shared" si="63"/>
        <v>825</v>
      </c>
      <c r="V213" s="1485">
        <f t="shared" si="64"/>
        <v>55</v>
      </c>
      <c r="W213" s="1525">
        <f t="shared" si="65"/>
        <v>825</v>
      </c>
      <c r="X213" s="1485">
        <f t="shared" si="66"/>
        <v>220</v>
      </c>
      <c r="Y213" s="1485">
        <f t="shared" si="67"/>
        <v>3300</v>
      </c>
      <c r="Z213" s="1527" t="s">
        <v>7799</v>
      </c>
      <c r="AA213" s="1379" t="s">
        <v>6526</v>
      </c>
      <c r="AB213" s="1583"/>
      <c r="AC213" s="1584" t="str">
        <f t="shared" si="68"/>
        <v>ok</v>
      </c>
      <c r="AD213" s="1583"/>
      <c r="AE213" s="1583"/>
      <c r="AF213" s="1583"/>
      <c r="AG213" s="1583"/>
      <c r="AH213" s="1583"/>
      <c r="AI213" s="1583"/>
      <c r="AJ213" s="1583"/>
      <c r="AK213" s="1583"/>
      <c r="AL213" s="1583"/>
      <c r="AM213" s="1583"/>
      <c r="AN213" s="1583"/>
      <c r="AO213" s="1583"/>
    </row>
    <row r="214" spans="1:41" ht="42" x14ac:dyDescent="0.6">
      <c r="A214" s="1432">
        <v>209</v>
      </c>
      <c r="B214" s="1587" t="s">
        <v>8512</v>
      </c>
      <c r="C214" s="1576" t="s">
        <v>8296</v>
      </c>
      <c r="D214" s="1578">
        <v>167</v>
      </c>
      <c r="E214" s="1578">
        <f t="shared" si="52"/>
        <v>13694</v>
      </c>
      <c r="F214" s="1579">
        <v>180</v>
      </c>
      <c r="G214" s="1485">
        <f t="shared" si="53"/>
        <v>14760</v>
      </c>
      <c r="H214" s="1485">
        <v>180</v>
      </c>
      <c r="I214" s="1485">
        <f t="shared" si="54"/>
        <v>14760</v>
      </c>
      <c r="J214" s="1582">
        <v>200</v>
      </c>
      <c r="K214" s="1582">
        <v>40</v>
      </c>
      <c r="L214" s="1525">
        <f t="shared" si="55"/>
        <v>3280</v>
      </c>
      <c r="M214" s="1485">
        <f t="shared" si="56"/>
        <v>160</v>
      </c>
      <c r="N214" s="1581">
        <v>82</v>
      </c>
      <c r="O214" s="1582">
        <f t="shared" si="57"/>
        <v>13120</v>
      </c>
      <c r="P214" s="1485">
        <f t="shared" si="58"/>
        <v>40</v>
      </c>
      <c r="Q214" s="1485">
        <f t="shared" si="59"/>
        <v>3280</v>
      </c>
      <c r="R214" s="1485">
        <f t="shared" si="60"/>
        <v>40</v>
      </c>
      <c r="S214" s="1525">
        <f t="shared" si="61"/>
        <v>3280</v>
      </c>
      <c r="T214" s="1485">
        <f t="shared" si="62"/>
        <v>40</v>
      </c>
      <c r="U214" s="1525">
        <f t="shared" si="63"/>
        <v>3280</v>
      </c>
      <c r="V214" s="1485">
        <f t="shared" si="64"/>
        <v>40</v>
      </c>
      <c r="W214" s="1525">
        <f t="shared" si="65"/>
        <v>3280</v>
      </c>
      <c r="X214" s="1485">
        <f t="shared" si="66"/>
        <v>160</v>
      </c>
      <c r="Y214" s="1485">
        <f t="shared" si="67"/>
        <v>13120</v>
      </c>
      <c r="Z214" s="1527" t="s">
        <v>7799</v>
      </c>
      <c r="AA214" s="1379" t="s">
        <v>6526</v>
      </c>
      <c r="AB214" s="1583"/>
      <c r="AC214" s="1584" t="str">
        <f t="shared" si="68"/>
        <v>ok</v>
      </c>
      <c r="AD214" s="1583"/>
      <c r="AE214" s="1583"/>
      <c r="AF214" s="1583"/>
      <c r="AG214" s="1583"/>
      <c r="AH214" s="1583"/>
      <c r="AI214" s="1583"/>
      <c r="AJ214" s="1583"/>
      <c r="AK214" s="1583"/>
      <c r="AL214" s="1583"/>
      <c r="AM214" s="1583"/>
      <c r="AN214" s="1583"/>
      <c r="AO214" s="1583"/>
    </row>
    <row r="215" spans="1:41" x14ac:dyDescent="0.6">
      <c r="A215" s="1432"/>
      <c r="B215" s="1587" t="s">
        <v>8513</v>
      </c>
      <c r="C215" s="1576" t="s">
        <v>8298</v>
      </c>
      <c r="D215" s="1578">
        <v>0</v>
      </c>
      <c r="E215" s="1578">
        <f t="shared" si="52"/>
        <v>0</v>
      </c>
      <c r="F215" s="1579">
        <v>0</v>
      </c>
      <c r="G215" s="1485">
        <f t="shared" si="53"/>
        <v>0</v>
      </c>
      <c r="H215" s="1485">
        <v>1000</v>
      </c>
      <c r="I215" s="1485">
        <f t="shared" si="54"/>
        <v>640</v>
      </c>
      <c r="J215" s="1582">
        <v>5000</v>
      </c>
      <c r="K215" s="1582">
        <v>2000</v>
      </c>
      <c r="L215" s="1525">
        <f t="shared" si="55"/>
        <v>1280</v>
      </c>
      <c r="M215" s="1485">
        <f t="shared" si="56"/>
        <v>3000</v>
      </c>
      <c r="N215" s="1581">
        <v>0.64</v>
      </c>
      <c r="O215" s="1582">
        <f t="shared" si="57"/>
        <v>1920</v>
      </c>
      <c r="P215" s="1485">
        <f t="shared" si="58"/>
        <v>750</v>
      </c>
      <c r="Q215" s="1485">
        <f t="shared" si="59"/>
        <v>480</v>
      </c>
      <c r="R215" s="1485">
        <f t="shared" si="60"/>
        <v>750</v>
      </c>
      <c r="S215" s="1525">
        <f t="shared" si="61"/>
        <v>480</v>
      </c>
      <c r="T215" s="1485">
        <f t="shared" si="62"/>
        <v>750</v>
      </c>
      <c r="U215" s="1525">
        <f t="shared" si="63"/>
        <v>480</v>
      </c>
      <c r="V215" s="1485">
        <f t="shared" si="64"/>
        <v>750</v>
      </c>
      <c r="W215" s="1525">
        <f t="shared" si="65"/>
        <v>480</v>
      </c>
      <c r="X215" s="1485">
        <f t="shared" si="66"/>
        <v>3000</v>
      </c>
      <c r="Y215" s="1485">
        <f t="shared" si="67"/>
        <v>1920</v>
      </c>
      <c r="Z215" s="1527"/>
      <c r="AA215" s="1379"/>
      <c r="AB215" s="1583"/>
      <c r="AC215" s="1584" t="str">
        <f t="shared" si="68"/>
        <v>ok</v>
      </c>
      <c r="AD215" s="1583"/>
      <c r="AE215" s="1583"/>
      <c r="AF215" s="1583"/>
      <c r="AG215" s="1583"/>
      <c r="AH215" s="1583"/>
      <c r="AI215" s="1583"/>
      <c r="AJ215" s="1583"/>
      <c r="AK215" s="1583"/>
      <c r="AL215" s="1583"/>
      <c r="AM215" s="1583"/>
      <c r="AN215" s="1583"/>
      <c r="AO215" s="1583"/>
    </row>
    <row r="216" spans="1:41" x14ac:dyDescent="0.6">
      <c r="A216" s="1432">
        <v>210</v>
      </c>
      <c r="B216" s="1587" t="s">
        <v>8514</v>
      </c>
      <c r="C216" s="1576" t="s">
        <v>8298</v>
      </c>
      <c r="D216" s="1578">
        <v>13000</v>
      </c>
      <c r="E216" s="1578">
        <f t="shared" si="52"/>
        <v>4550</v>
      </c>
      <c r="F216" s="1579">
        <v>15000</v>
      </c>
      <c r="G216" s="1485">
        <f t="shared" si="53"/>
        <v>5250</v>
      </c>
      <c r="H216" s="1485">
        <v>13000</v>
      </c>
      <c r="I216" s="1485">
        <f t="shared" si="54"/>
        <v>4550</v>
      </c>
      <c r="J216" s="1582">
        <v>15000</v>
      </c>
      <c r="K216" s="1582">
        <v>3000</v>
      </c>
      <c r="L216" s="1525">
        <f t="shared" si="55"/>
        <v>1050</v>
      </c>
      <c r="M216" s="1485">
        <f t="shared" si="56"/>
        <v>12000</v>
      </c>
      <c r="N216" s="1581">
        <v>0.35</v>
      </c>
      <c r="O216" s="1582">
        <f t="shared" si="57"/>
        <v>4200</v>
      </c>
      <c r="P216" s="1485">
        <f t="shared" si="58"/>
        <v>3000</v>
      </c>
      <c r="Q216" s="1485">
        <f t="shared" si="59"/>
        <v>1050</v>
      </c>
      <c r="R216" s="1485">
        <f t="shared" si="60"/>
        <v>3000</v>
      </c>
      <c r="S216" s="1525">
        <f t="shared" si="61"/>
        <v>1050</v>
      </c>
      <c r="T216" s="1485">
        <f t="shared" si="62"/>
        <v>3000</v>
      </c>
      <c r="U216" s="1525">
        <f t="shared" si="63"/>
        <v>1050</v>
      </c>
      <c r="V216" s="1485">
        <f t="shared" si="64"/>
        <v>3000</v>
      </c>
      <c r="W216" s="1525">
        <f t="shared" si="65"/>
        <v>1050</v>
      </c>
      <c r="X216" s="1485">
        <f t="shared" si="66"/>
        <v>12000</v>
      </c>
      <c r="Y216" s="1485">
        <f t="shared" si="67"/>
        <v>4200</v>
      </c>
      <c r="Z216" s="1527" t="s">
        <v>7799</v>
      </c>
      <c r="AA216" s="1379" t="s">
        <v>6526</v>
      </c>
      <c r="AB216" s="1583"/>
      <c r="AC216" s="1584" t="str">
        <f t="shared" si="68"/>
        <v>ok</v>
      </c>
      <c r="AD216" s="1583"/>
      <c r="AE216" s="1583"/>
      <c r="AF216" s="1583"/>
      <c r="AG216" s="1583"/>
      <c r="AH216" s="1583"/>
      <c r="AI216" s="1583"/>
      <c r="AJ216" s="1583"/>
      <c r="AK216" s="1583"/>
      <c r="AL216" s="1583"/>
      <c r="AM216" s="1583"/>
      <c r="AN216" s="1583"/>
      <c r="AO216" s="1583"/>
    </row>
    <row r="217" spans="1:41" x14ac:dyDescent="0.6">
      <c r="A217" s="1432">
        <v>211</v>
      </c>
      <c r="B217" s="1587" t="s">
        <v>8515</v>
      </c>
      <c r="C217" s="1576" t="s">
        <v>8298</v>
      </c>
      <c r="D217" s="1578">
        <v>500</v>
      </c>
      <c r="E217" s="1578">
        <f t="shared" si="52"/>
        <v>350</v>
      </c>
      <c r="F217" s="1579">
        <v>250</v>
      </c>
      <c r="G217" s="1485">
        <f t="shared" si="53"/>
        <v>175</v>
      </c>
      <c r="H217" s="1485">
        <v>250</v>
      </c>
      <c r="I217" s="1485">
        <f t="shared" si="54"/>
        <v>175</v>
      </c>
      <c r="J217" s="1582">
        <v>250</v>
      </c>
      <c r="K217" s="1582">
        <v>0</v>
      </c>
      <c r="L217" s="1525">
        <f t="shared" si="55"/>
        <v>0</v>
      </c>
      <c r="M217" s="1485">
        <f t="shared" si="56"/>
        <v>250</v>
      </c>
      <c r="N217" s="1581">
        <f>175/250</f>
        <v>0.7</v>
      </c>
      <c r="O217" s="1582">
        <f t="shared" si="57"/>
        <v>175</v>
      </c>
      <c r="P217" s="1485">
        <v>62</v>
      </c>
      <c r="Q217" s="1485">
        <f t="shared" si="59"/>
        <v>43.4</v>
      </c>
      <c r="R217" s="1485">
        <v>62</v>
      </c>
      <c r="S217" s="1525">
        <f t="shared" si="61"/>
        <v>43.4</v>
      </c>
      <c r="T217" s="1485">
        <v>63</v>
      </c>
      <c r="U217" s="1525">
        <f t="shared" si="63"/>
        <v>44.099999999999994</v>
      </c>
      <c r="V217" s="1485">
        <v>63</v>
      </c>
      <c r="W217" s="1525">
        <f t="shared" si="65"/>
        <v>44.099999999999994</v>
      </c>
      <c r="X217" s="1485">
        <f t="shared" si="66"/>
        <v>250</v>
      </c>
      <c r="Y217" s="1485">
        <f t="shared" si="67"/>
        <v>175</v>
      </c>
      <c r="Z217" s="1527" t="s">
        <v>7799</v>
      </c>
      <c r="AA217" s="1379" t="s">
        <v>6526</v>
      </c>
      <c r="AB217" s="1583"/>
      <c r="AC217" s="1584" t="str">
        <f t="shared" si="68"/>
        <v>ok</v>
      </c>
      <c r="AD217" s="1583"/>
      <c r="AE217" s="1583"/>
      <c r="AF217" s="1583"/>
      <c r="AG217" s="1583"/>
      <c r="AH217" s="1583"/>
      <c r="AI217" s="1583"/>
      <c r="AJ217" s="1583"/>
      <c r="AK217" s="1583"/>
      <c r="AL217" s="1583"/>
      <c r="AM217" s="1583"/>
      <c r="AN217" s="1583"/>
      <c r="AO217" s="1583"/>
    </row>
    <row r="218" spans="1:41" x14ac:dyDescent="0.6">
      <c r="A218" s="1432">
        <v>212</v>
      </c>
      <c r="B218" s="1587" t="s">
        <v>8516</v>
      </c>
      <c r="C218" s="1576" t="s">
        <v>8365</v>
      </c>
      <c r="D218" s="1578">
        <v>120</v>
      </c>
      <c r="E218" s="1578">
        <f t="shared" si="52"/>
        <v>600</v>
      </c>
      <c r="F218" s="1579">
        <v>160</v>
      </c>
      <c r="G218" s="1485">
        <f t="shared" si="53"/>
        <v>800</v>
      </c>
      <c r="H218" s="1485">
        <v>300</v>
      </c>
      <c r="I218" s="1485">
        <f t="shared" si="54"/>
        <v>1500</v>
      </c>
      <c r="J218" s="1582">
        <v>360</v>
      </c>
      <c r="K218" s="1582">
        <v>60</v>
      </c>
      <c r="L218" s="1525">
        <f t="shared" si="55"/>
        <v>300</v>
      </c>
      <c r="M218" s="1485">
        <f t="shared" si="56"/>
        <v>300</v>
      </c>
      <c r="N218" s="1581">
        <v>5</v>
      </c>
      <c r="O218" s="1582">
        <f t="shared" si="57"/>
        <v>1500</v>
      </c>
      <c r="P218" s="1485">
        <f t="shared" si="58"/>
        <v>75</v>
      </c>
      <c r="Q218" s="1485">
        <f t="shared" si="59"/>
        <v>375</v>
      </c>
      <c r="R218" s="1485">
        <f t="shared" si="60"/>
        <v>75</v>
      </c>
      <c r="S218" s="1525">
        <f t="shared" si="61"/>
        <v>375</v>
      </c>
      <c r="T218" s="1485">
        <f t="shared" si="62"/>
        <v>75</v>
      </c>
      <c r="U218" s="1525">
        <f t="shared" si="63"/>
        <v>375</v>
      </c>
      <c r="V218" s="1485">
        <f t="shared" si="64"/>
        <v>75</v>
      </c>
      <c r="W218" s="1525">
        <f t="shared" si="65"/>
        <v>375</v>
      </c>
      <c r="X218" s="1485">
        <f t="shared" si="66"/>
        <v>300</v>
      </c>
      <c r="Y218" s="1485">
        <f t="shared" si="67"/>
        <v>1500</v>
      </c>
      <c r="Z218" s="1527" t="s">
        <v>7799</v>
      </c>
      <c r="AA218" s="1379" t="s">
        <v>6526</v>
      </c>
      <c r="AB218" s="1583"/>
      <c r="AC218" s="1584" t="str">
        <f t="shared" si="68"/>
        <v>ok</v>
      </c>
      <c r="AD218" s="1583"/>
      <c r="AE218" s="1583"/>
      <c r="AF218" s="1583"/>
      <c r="AG218" s="1583"/>
      <c r="AH218" s="1583"/>
      <c r="AI218" s="1583"/>
      <c r="AJ218" s="1583"/>
      <c r="AK218" s="1583"/>
      <c r="AL218" s="1583"/>
      <c r="AM218" s="1583"/>
      <c r="AN218" s="1583"/>
      <c r="AO218" s="1583"/>
    </row>
    <row r="219" spans="1:41" x14ac:dyDescent="0.6">
      <c r="A219" s="1432">
        <v>213</v>
      </c>
      <c r="B219" s="1587" t="s">
        <v>8517</v>
      </c>
      <c r="C219" s="1576" t="s">
        <v>8298</v>
      </c>
      <c r="D219" s="1578">
        <v>41500</v>
      </c>
      <c r="E219" s="1578">
        <f t="shared" si="52"/>
        <v>10209</v>
      </c>
      <c r="F219" s="1579">
        <v>40000</v>
      </c>
      <c r="G219" s="1485">
        <f t="shared" si="53"/>
        <v>9840</v>
      </c>
      <c r="H219" s="1485">
        <v>40000</v>
      </c>
      <c r="I219" s="1485">
        <f t="shared" si="54"/>
        <v>9840</v>
      </c>
      <c r="J219" s="1582">
        <v>45000</v>
      </c>
      <c r="K219" s="1582">
        <v>5000</v>
      </c>
      <c r="L219" s="1525">
        <f t="shared" si="55"/>
        <v>1230</v>
      </c>
      <c r="M219" s="1485">
        <f t="shared" si="56"/>
        <v>40000</v>
      </c>
      <c r="N219" s="1581">
        <f>123/500</f>
        <v>0.246</v>
      </c>
      <c r="O219" s="1582">
        <f t="shared" si="57"/>
        <v>9840</v>
      </c>
      <c r="P219" s="1485">
        <f t="shared" si="58"/>
        <v>10000</v>
      </c>
      <c r="Q219" s="1485">
        <f t="shared" si="59"/>
        <v>2460</v>
      </c>
      <c r="R219" s="1485">
        <f t="shared" si="60"/>
        <v>10000</v>
      </c>
      <c r="S219" s="1525">
        <f t="shared" si="61"/>
        <v>2460</v>
      </c>
      <c r="T219" s="1485">
        <f t="shared" si="62"/>
        <v>10000</v>
      </c>
      <c r="U219" s="1525">
        <f t="shared" si="63"/>
        <v>2460</v>
      </c>
      <c r="V219" s="1485">
        <f t="shared" si="64"/>
        <v>10000</v>
      </c>
      <c r="W219" s="1525">
        <f t="shared" si="65"/>
        <v>2460</v>
      </c>
      <c r="X219" s="1485">
        <f t="shared" si="66"/>
        <v>40000</v>
      </c>
      <c r="Y219" s="1485">
        <f t="shared" si="67"/>
        <v>9840</v>
      </c>
      <c r="Z219" s="1527" t="s">
        <v>7799</v>
      </c>
      <c r="AA219" s="1379" t="s">
        <v>6526</v>
      </c>
      <c r="AB219" s="1583"/>
      <c r="AC219" s="1584" t="str">
        <f t="shared" si="68"/>
        <v>ok</v>
      </c>
      <c r="AD219" s="1583"/>
      <c r="AE219" s="1583"/>
      <c r="AF219" s="1583"/>
      <c r="AG219" s="1583"/>
      <c r="AH219" s="1583"/>
      <c r="AI219" s="1583"/>
      <c r="AJ219" s="1583"/>
      <c r="AK219" s="1583"/>
      <c r="AL219" s="1583"/>
      <c r="AM219" s="1583"/>
      <c r="AN219" s="1583"/>
      <c r="AO219" s="1583"/>
    </row>
    <row r="220" spans="1:41" x14ac:dyDescent="0.6">
      <c r="A220" s="1432">
        <v>214</v>
      </c>
      <c r="B220" s="1587" t="s">
        <v>8518</v>
      </c>
      <c r="C220" s="1576" t="s">
        <v>8298</v>
      </c>
      <c r="D220" s="1578">
        <v>55705</v>
      </c>
      <c r="E220" s="1578">
        <f t="shared" si="52"/>
        <v>25624.300000000003</v>
      </c>
      <c r="F220" s="1579">
        <v>56000</v>
      </c>
      <c r="G220" s="1485">
        <f t="shared" si="53"/>
        <v>25760</v>
      </c>
      <c r="H220" s="1485">
        <v>13000</v>
      </c>
      <c r="I220" s="1485">
        <f t="shared" si="54"/>
        <v>5980</v>
      </c>
      <c r="J220" s="1582">
        <v>30000</v>
      </c>
      <c r="K220" s="1582">
        <v>10000</v>
      </c>
      <c r="L220" s="1525">
        <f t="shared" si="55"/>
        <v>4600</v>
      </c>
      <c r="M220" s="1485">
        <f t="shared" si="56"/>
        <v>20000</v>
      </c>
      <c r="N220" s="1581">
        <v>0.46</v>
      </c>
      <c r="O220" s="1582">
        <f t="shared" si="57"/>
        <v>9200</v>
      </c>
      <c r="P220" s="1485">
        <f t="shared" si="58"/>
        <v>5000</v>
      </c>
      <c r="Q220" s="1485">
        <f t="shared" si="59"/>
        <v>2300</v>
      </c>
      <c r="R220" s="1485">
        <f t="shared" si="60"/>
        <v>5000</v>
      </c>
      <c r="S220" s="1525">
        <f t="shared" si="61"/>
        <v>2300</v>
      </c>
      <c r="T220" s="1485">
        <f t="shared" si="62"/>
        <v>5000</v>
      </c>
      <c r="U220" s="1525">
        <f t="shared" si="63"/>
        <v>2300</v>
      </c>
      <c r="V220" s="1485">
        <f t="shared" si="64"/>
        <v>5000</v>
      </c>
      <c r="W220" s="1525">
        <f t="shared" si="65"/>
        <v>2300</v>
      </c>
      <c r="X220" s="1485">
        <f t="shared" si="66"/>
        <v>20000</v>
      </c>
      <c r="Y220" s="1485">
        <f t="shared" si="67"/>
        <v>9200</v>
      </c>
      <c r="Z220" s="1527" t="s">
        <v>7799</v>
      </c>
      <c r="AA220" s="1379" t="s">
        <v>6526</v>
      </c>
      <c r="AB220" s="1583"/>
      <c r="AC220" s="1584" t="str">
        <f t="shared" si="68"/>
        <v>ok</v>
      </c>
      <c r="AD220" s="1583"/>
      <c r="AE220" s="1583"/>
      <c r="AF220" s="1583"/>
      <c r="AG220" s="1583"/>
      <c r="AH220" s="1583"/>
      <c r="AI220" s="1583"/>
      <c r="AJ220" s="1583"/>
      <c r="AK220" s="1583"/>
      <c r="AL220" s="1583"/>
      <c r="AM220" s="1583"/>
      <c r="AN220" s="1583"/>
      <c r="AO220" s="1583"/>
    </row>
    <row r="221" spans="1:41" x14ac:dyDescent="0.6">
      <c r="A221" s="1432">
        <v>215</v>
      </c>
      <c r="B221" s="1587" t="s">
        <v>8519</v>
      </c>
      <c r="C221" s="1576" t="s">
        <v>8305</v>
      </c>
      <c r="D221" s="1578">
        <v>60</v>
      </c>
      <c r="E221" s="1578">
        <f t="shared" si="52"/>
        <v>4200</v>
      </c>
      <c r="F221" s="1579">
        <v>120</v>
      </c>
      <c r="G221" s="1485">
        <f t="shared" si="53"/>
        <v>8400</v>
      </c>
      <c r="H221" s="1485">
        <v>30</v>
      </c>
      <c r="I221" s="1485">
        <f t="shared" si="54"/>
        <v>2100</v>
      </c>
      <c r="J221" s="1582">
        <v>100</v>
      </c>
      <c r="K221" s="1582">
        <v>50</v>
      </c>
      <c r="L221" s="1525">
        <f t="shared" si="55"/>
        <v>3500</v>
      </c>
      <c r="M221" s="1485">
        <f t="shared" si="56"/>
        <v>50</v>
      </c>
      <c r="N221" s="1581">
        <v>70</v>
      </c>
      <c r="O221" s="1582">
        <f t="shared" si="57"/>
        <v>3500</v>
      </c>
      <c r="P221" s="1485">
        <v>12</v>
      </c>
      <c r="Q221" s="1485">
        <f t="shared" si="59"/>
        <v>840</v>
      </c>
      <c r="R221" s="1485">
        <v>12</v>
      </c>
      <c r="S221" s="1525">
        <f t="shared" si="61"/>
        <v>840</v>
      </c>
      <c r="T221" s="1485">
        <v>13</v>
      </c>
      <c r="U221" s="1525">
        <f t="shared" si="63"/>
        <v>910</v>
      </c>
      <c r="V221" s="1485">
        <v>13</v>
      </c>
      <c r="W221" s="1525">
        <f t="shared" si="65"/>
        <v>910</v>
      </c>
      <c r="X221" s="1485">
        <f t="shared" si="66"/>
        <v>50</v>
      </c>
      <c r="Y221" s="1485">
        <f t="shared" si="67"/>
        <v>3500</v>
      </c>
      <c r="Z221" s="1527" t="s">
        <v>7799</v>
      </c>
      <c r="AA221" s="1379" t="s">
        <v>6526</v>
      </c>
      <c r="AB221" s="1583"/>
      <c r="AC221" s="1584" t="str">
        <f t="shared" si="68"/>
        <v>ok</v>
      </c>
      <c r="AD221" s="1583"/>
      <c r="AE221" s="1583"/>
      <c r="AF221" s="1583"/>
      <c r="AG221" s="1583"/>
      <c r="AH221" s="1583"/>
      <c r="AI221" s="1583"/>
      <c r="AJ221" s="1583"/>
      <c r="AK221" s="1583"/>
      <c r="AL221" s="1583"/>
      <c r="AM221" s="1583"/>
      <c r="AN221" s="1583"/>
      <c r="AO221" s="1583"/>
    </row>
    <row r="222" spans="1:41" x14ac:dyDescent="0.6">
      <c r="A222" s="1432">
        <v>216</v>
      </c>
      <c r="B222" s="1587" t="s">
        <v>8520</v>
      </c>
      <c r="C222" s="1576" t="s">
        <v>8298</v>
      </c>
      <c r="D222" s="1578">
        <v>0</v>
      </c>
      <c r="E222" s="1578">
        <f t="shared" si="52"/>
        <v>0</v>
      </c>
      <c r="F222" s="1579">
        <v>1000</v>
      </c>
      <c r="G222" s="1485">
        <f t="shared" si="53"/>
        <v>1580</v>
      </c>
      <c r="H222" s="1485">
        <v>8000</v>
      </c>
      <c r="I222" s="1485">
        <f t="shared" si="54"/>
        <v>12640</v>
      </c>
      <c r="J222" s="1582">
        <v>8000</v>
      </c>
      <c r="K222" s="1582">
        <v>0</v>
      </c>
      <c r="L222" s="1525">
        <f t="shared" si="55"/>
        <v>0</v>
      </c>
      <c r="M222" s="1485">
        <f t="shared" si="56"/>
        <v>8000</v>
      </c>
      <c r="N222" s="1581">
        <v>1.58</v>
      </c>
      <c r="O222" s="1582">
        <f t="shared" si="57"/>
        <v>12640</v>
      </c>
      <c r="P222" s="1485">
        <f t="shared" si="58"/>
        <v>2000</v>
      </c>
      <c r="Q222" s="1485">
        <f t="shared" si="59"/>
        <v>3160</v>
      </c>
      <c r="R222" s="1485">
        <f t="shared" si="60"/>
        <v>2000</v>
      </c>
      <c r="S222" s="1525">
        <f t="shared" si="61"/>
        <v>3160</v>
      </c>
      <c r="T222" s="1485">
        <f t="shared" si="62"/>
        <v>2000</v>
      </c>
      <c r="U222" s="1525">
        <f t="shared" si="63"/>
        <v>3160</v>
      </c>
      <c r="V222" s="1485">
        <f t="shared" si="64"/>
        <v>2000</v>
      </c>
      <c r="W222" s="1525">
        <f t="shared" si="65"/>
        <v>3160</v>
      </c>
      <c r="X222" s="1485">
        <f t="shared" si="66"/>
        <v>8000</v>
      </c>
      <c r="Y222" s="1485">
        <f t="shared" si="67"/>
        <v>12640</v>
      </c>
      <c r="Z222" s="1527" t="s">
        <v>7799</v>
      </c>
      <c r="AA222" s="1379" t="s">
        <v>6526</v>
      </c>
      <c r="AB222" s="1583"/>
      <c r="AC222" s="1584" t="str">
        <f t="shared" si="68"/>
        <v>ok</v>
      </c>
      <c r="AD222" s="1583"/>
      <c r="AE222" s="1583"/>
      <c r="AF222" s="1583"/>
      <c r="AG222" s="1583"/>
      <c r="AH222" s="1583"/>
      <c r="AI222" s="1583"/>
      <c r="AJ222" s="1583"/>
      <c r="AK222" s="1583"/>
      <c r="AL222" s="1583"/>
      <c r="AM222" s="1583"/>
      <c r="AN222" s="1583"/>
      <c r="AO222" s="1583"/>
    </row>
    <row r="223" spans="1:41" x14ac:dyDescent="0.6">
      <c r="A223" s="1432">
        <v>217</v>
      </c>
      <c r="B223" s="1587" t="s">
        <v>8521</v>
      </c>
      <c r="C223" s="1576" t="s">
        <v>8296</v>
      </c>
      <c r="D223" s="1578">
        <v>29</v>
      </c>
      <c r="E223" s="1578">
        <f t="shared" si="52"/>
        <v>1856</v>
      </c>
      <c r="F223" s="1579">
        <v>30</v>
      </c>
      <c r="G223" s="1485">
        <f t="shared" si="53"/>
        <v>1920</v>
      </c>
      <c r="H223" s="1485">
        <v>45</v>
      </c>
      <c r="I223" s="1485">
        <f t="shared" si="54"/>
        <v>2880</v>
      </c>
      <c r="J223" s="1582">
        <v>53</v>
      </c>
      <c r="K223" s="1582">
        <v>5</v>
      </c>
      <c r="L223" s="1525">
        <f t="shared" si="55"/>
        <v>320</v>
      </c>
      <c r="M223" s="1485">
        <f t="shared" si="56"/>
        <v>48</v>
      </c>
      <c r="N223" s="1581">
        <v>64</v>
      </c>
      <c r="O223" s="1582">
        <f t="shared" si="57"/>
        <v>3072</v>
      </c>
      <c r="P223" s="1485">
        <v>48</v>
      </c>
      <c r="Q223" s="1485">
        <f t="shared" si="59"/>
        <v>3072</v>
      </c>
      <c r="R223" s="1485">
        <v>0</v>
      </c>
      <c r="S223" s="1525">
        <f t="shared" si="61"/>
        <v>0</v>
      </c>
      <c r="T223" s="1485">
        <v>0</v>
      </c>
      <c r="U223" s="1525">
        <f t="shared" si="63"/>
        <v>0</v>
      </c>
      <c r="V223" s="1485">
        <v>0</v>
      </c>
      <c r="W223" s="1525">
        <f t="shared" si="65"/>
        <v>0</v>
      </c>
      <c r="X223" s="1485">
        <f t="shared" si="66"/>
        <v>48</v>
      </c>
      <c r="Y223" s="1485">
        <f t="shared" si="67"/>
        <v>3072</v>
      </c>
      <c r="Z223" s="1527" t="s">
        <v>7799</v>
      </c>
      <c r="AA223" s="1379" t="s">
        <v>6526</v>
      </c>
      <c r="AB223" s="1583"/>
      <c r="AC223" s="1584" t="str">
        <f t="shared" si="68"/>
        <v>ok</v>
      </c>
      <c r="AD223" s="1583"/>
      <c r="AE223" s="1583"/>
      <c r="AF223" s="1583"/>
      <c r="AG223" s="1583"/>
      <c r="AH223" s="1583"/>
      <c r="AI223" s="1583"/>
      <c r="AJ223" s="1583"/>
      <c r="AK223" s="1583"/>
      <c r="AL223" s="1583"/>
      <c r="AM223" s="1583"/>
      <c r="AN223" s="1583"/>
      <c r="AO223" s="1583"/>
    </row>
    <row r="224" spans="1:41" x14ac:dyDescent="0.6">
      <c r="A224" s="1432">
        <v>218</v>
      </c>
      <c r="B224" s="1587" t="s">
        <v>8522</v>
      </c>
      <c r="C224" s="1576" t="s">
        <v>8298</v>
      </c>
      <c r="D224" s="1578">
        <v>200</v>
      </c>
      <c r="E224" s="1578">
        <f t="shared" si="52"/>
        <v>614</v>
      </c>
      <c r="F224" s="1579">
        <v>300</v>
      </c>
      <c r="G224" s="1485">
        <f t="shared" si="53"/>
        <v>921</v>
      </c>
      <c r="H224" s="1485">
        <v>3500</v>
      </c>
      <c r="I224" s="1485">
        <f t="shared" si="54"/>
        <v>10745</v>
      </c>
      <c r="J224" s="1582">
        <v>3000</v>
      </c>
      <c r="K224" s="1582">
        <v>0</v>
      </c>
      <c r="L224" s="1525">
        <f t="shared" si="55"/>
        <v>0</v>
      </c>
      <c r="M224" s="1485">
        <f t="shared" si="56"/>
        <v>3000</v>
      </c>
      <c r="N224" s="1581">
        <v>3.07</v>
      </c>
      <c r="O224" s="1582">
        <f t="shared" si="57"/>
        <v>9210</v>
      </c>
      <c r="P224" s="1485">
        <f t="shared" si="58"/>
        <v>750</v>
      </c>
      <c r="Q224" s="1485">
        <f t="shared" si="59"/>
        <v>2302.5</v>
      </c>
      <c r="R224" s="1485">
        <f t="shared" si="60"/>
        <v>750</v>
      </c>
      <c r="S224" s="1525">
        <f t="shared" si="61"/>
        <v>2302.5</v>
      </c>
      <c r="T224" s="1485">
        <f t="shared" si="62"/>
        <v>750</v>
      </c>
      <c r="U224" s="1525">
        <f t="shared" si="63"/>
        <v>2302.5</v>
      </c>
      <c r="V224" s="1485">
        <f t="shared" si="64"/>
        <v>750</v>
      </c>
      <c r="W224" s="1525">
        <f t="shared" si="65"/>
        <v>2302.5</v>
      </c>
      <c r="X224" s="1485">
        <f t="shared" si="66"/>
        <v>3000</v>
      </c>
      <c r="Y224" s="1485">
        <f t="shared" si="67"/>
        <v>9210</v>
      </c>
      <c r="Z224" s="1527" t="s">
        <v>7799</v>
      </c>
      <c r="AA224" s="1379" t="s">
        <v>6526</v>
      </c>
      <c r="AB224" s="1583"/>
      <c r="AC224" s="1584" t="str">
        <f t="shared" si="68"/>
        <v>ok</v>
      </c>
      <c r="AD224" s="1583"/>
      <c r="AE224" s="1583"/>
      <c r="AF224" s="1583"/>
      <c r="AG224" s="1583"/>
      <c r="AH224" s="1583"/>
      <c r="AI224" s="1583"/>
      <c r="AJ224" s="1583"/>
      <c r="AK224" s="1583"/>
      <c r="AL224" s="1583"/>
      <c r="AM224" s="1583"/>
      <c r="AN224" s="1583"/>
      <c r="AO224" s="1583"/>
    </row>
    <row r="225" spans="1:41" x14ac:dyDescent="0.6">
      <c r="A225" s="1432">
        <v>219</v>
      </c>
      <c r="B225" s="1587" t="s">
        <v>8523</v>
      </c>
      <c r="C225" s="1576" t="s">
        <v>8298</v>
      </c>
      <c r="D225" s="1578">
        <v>200</v>
      </c>
      <c r="E225" s="1578">
        <f t="shared" si="52"/>
        <v>846.00000000000011</v>
      </c>
      <c r="F225" s="1579">
        <v>270</v>
      </c>
      <c r="G225" s="1485">
        <f t="shared" si="53"/>
        <v>1142.1000000000001</v>
      </c>
      <c r="H225" s="1485">
        <v>3000</v>
      </c>
      <c r="I225" s="1485">
        <f t="shared" si="54"/>
        <v>12690.000000000002</v>
      </c>
      <c r="J225" s="1582">
        <v>2000</v>
      </c>
      <c r="K225" s="1582">
        <v>0</v>
      </c>
      <c r="L225" s="1525">
        <f t="shared" si="55"/>
        <v>0</v>
      </c>
      <c r="M225" s="1485">
        <f t="shared" si="56"/>
        <v>2000</v>
      </c>
      <c r="N225" s="1581">
        <v>4.2300000000000004</v>
      </c>
      <c r="O225" s="1582">
        <f t="shared" si="57"/>
        <v>8460</v>
      </c>
      <c r="P225" s="1485">
        <f t="shared" si="58"/>
        <v>500</v>
      </c>
      <c r="Q225" s="1485">
        <f t="shared" si="59"/>
        <v>2115</v>
      </c>
      <c r="R225" s="1485">
        <f t="shared" si="60"/>
        <v>500</v>
      </c>
      <c r="S225" s="1525">
        <f t="shared" si="61"/>
        <v>2115</v>
      </c>
      <c r="T225" s="1485">
        <f t="shared" si="62"/>
        <v>500</v>
      </c>
      <c r="U225" s="1525">
        <f t="shared" si="63"/>
        <v>2115</v>
      </c>
      <c r="V225" s="1485">
        <f t="shared" si="64"/>
        <v>500</v>
      </c>
      <c r="W225" s="1525">
        <f t="shared" si="65"/>
        <v>2115</v>
      </c>
      <c r="X225" s="1485">
        <f t="shared" si="66"/>
        <v>2000</v>
      </c>
      <c r="Y225" s="1485">
        <f t="shared" si="67"/>
        <v>8460</v>
      </c>
      <c r="Z225" s="1527" t="s">
        <v>7799</v>
      </c>
      <c r="AA225" s="1379" t="s">
        <v>6526</v>
      </c>
      <c r="AB225" s="1583"/>
      <c r="AC225" s="1584" t="str">
        <f t="shared" si="68"/>
        <v>ok</v>
      </c>
      <c r="AD225" s="1583"/>
      <c r="AE225" s="1583"/>
      <c r="AF225" s="1583"/>
      <c r="AG225" s="1583"/>
      <c r="AH225" s="1583"/>
      <c r="AI225" s="1583"/>
      <c r="AJ225" s="1583"/>
      <c r="AK225" s="1583"/>
      <c r="AL225" s="1583"/>
      <c r="AM225" s="1583"/>
      <c r="AN225" s="1583"/>
      <c r="AO225" s="1583"/>
    </row>
    <row r="226" spans="1:41" x14ac:dyDescent="0.6">
      <c r="A226" s="1432">
        <v>220</v>
      </c>
      <c r="B226" s="1587" t="s">
        <v>8524</v>
      </c>
      <c r="C226" s="1576" t="s">
        <v>8296</v>
      </c>
      <c r="D226" s="1578">
        <v>20</v>
      </c>
      <c r="E226" s="1578">
        <f t="shared" si="52"/>
        <v>780</v>
      </c>
      <c r="F226" s="1579">
        <v>40</v>
      </c>
      <c r="G226" s="1485">
        <f t="shared" si="53"/>
        <v>1560</v>
      </c>
      <c r="H226" s="1485">
        <v>60</v>
      </c>
      <c r="I226" s="1485">
        <f t="shared" si="54"/>
        <v>2340</v>
      </c>
      <c r="J226" s="1582">
        <v>70</v>
      </c>
      <c r="K226" s="1582">
        <v>10</v>
      </c>
      <c r="L226" s="1525">
        <f t="shared" si="55"/>
        <v>390</v>
      </c>
      <c r="M226" s="1485">
        <f t="shared" si="56"/>
        <v>60</v>
      </c>
      <c r="N226" s="1581">
        <v>39</v>
      </c>
      <c r="O226" s="1582">
        <f t="shared" si="57"/>
        <v>2340</v>
      </c>
      <c r="P226" s="1485">
        <f t="shared" si="58"/>
        <v>15</v>
      </c>
      <c r="Q226" s="1485">
        <f t="shared" si="59"/>
        <v>585</v>
      </c>
      <c r="R226" s="1485">
        <f t="shared" si="60"/>
        <v>15</v>
      </c>
      <c r="S226" s="1525">
        <f t="shared" si="61"/>
        <v>585</v>
      </c>
      <c r="T226" s="1485">
        <f t="shared" si="62"/>
        <v>15</v>
      </c>
      <c r="U226" s="1525">
        <f t="shared" si="63"/>
        <v>585</v>
      </c>
      <c r="V226" s="1485">
        <f t="shared" si="64"/>
        <v>15</v>
      </c>
      <c r="W226" s="1525">
        <f t="shared" si="65"/>
        <v>585</v>
      </c>
      <c r="X226" s="1485">
        <f t="shared" si="66"/>
        <v>60</v>
      </c>
      <c r="Y226" s="1485">
        <f t="shared" si="67"/>
        <v>2340</v>
      </c>
      <c r="Z226" s="1527" t="s">
        <v>7799</v>
      </c>
      <c r="AA226" s="1379" t="s">
        <v>6526</v>
      </c>
      <c r="AB226" s="1583"/>
      <c r="AC226" s="1584" t="str">
        <f t="shared" si="68"/>
        <v>ok</v>
      </c>
      <c r="AD226" s="1583"/>
      <c r="AE226" s="1583"/>
      <c r="AF226" s="1583"/>
      <c r="AG226" s="1583"/>
      <c r="AH226" s="1583"/>
      <c r="AI226" s="1583"/>
      <c r="AJ226" s="1583"/>
      <c r="AK226" s="1583"/>
      <c r="AL226" s="1583"/>
      <c r="AM226" s="1583"/>
      <c r="AN226" s="1583"/>
      <c r="AO226" s="1583"/>
    </row>
    <row r="227" spans="1:41" x14ac:dyDescent="0.6">
      <c r="A227" s="1432">
        <v>221</v>
      </c>
      <c r="B227" s="1587" t="s">
        <v>8525</v>
      </c>
      <c r="C227" s="1576" t="s">
        <v>8298</v>
      </c>
      <c r="D227" s="1597">
        <v>9480</v>
      </c>
      <c r="E227" s="1578">
        <f t="shared" si="52"/>
        <v>18960</v>
      </c>
      <c r="F227" s="1579">
        <v>10000</v>
      </c>
      <c r="G227" s="1485">
        <f t="shared" si="53"/>
        <v>20000</v>
      </c>
      <c r="H227" s="1485">
        <v>8500</v>
      </c>
      <c r="I227" s="1485">
        <f t="shared" si="54"/>
        <v>17000</v>
      </c>
      <c r="J227" s="1582">
        <v>11000</v>
      </c>
      <c r="K227" s="1582">
        <v>2000</v>
      </c>
      <c r="L227" s="1525">
        <f t="shared" si="55"/>
        <v>4000</v>
      </c>
      <c r="M227" s="1485">
        <f t="shared" si="56"/>
        <v>9000</v>
      </c>
      <c r="N227" s="1581">
        <v>2</v>
      </c>
      <c r="O227" s="1582">
        <f t="shared" si="57"/>
        <v>18000</v>
      </c>
      <c r="P227" s="1485">
        <f t="shared" si="58"/>
        <v>2250</v>
      </c>
      <c r="Q227" s="1485">
        <f t="shared" si="59"/>
        <v>4500</v>
      </c>
      <c r="R227" s="1485">
        <f t="shared" si="60"/>
        <v>2250</v>
      </c>
      <c r="S227" s="1525">
        <f t="shared" si="61"/>
        <v>4500</v>
      </c>
      <c r="T227" s="1485">
        <f t="shared" si="62"/>
        <v>2250</v>
      </c>
      <c r="U227" s="1525">
        <f t="shared" si="63"/>
        <v>4500</v>
      </c>
      <c r="V227" s="1485">
        <f t="shared" si="64"/>
        <v>2250</v>
      </c>
      <c r="W227" s="1525">
        <f t="shared" si="65"/>
        <v>4500</v>
      </c>
      <c r="X227" s="1485">
        <f t="shared" si="66"/>
        <v>9000</v>
      </c>
      <c r="Y227" s="1485">
        <f t="shared" si="67"/>
        <v>18000</v>
      </c>
      <c r="Z227" s="1527" t="s">
        <v>7799</v>
      </c>
      <c r="AA227" s="1379" t="s">
        <v>6526</v>
      </c>
      <c r="AB227" s="1583"/>
      <c r="AC227" s="1584" t="str">
        <f t="shared" si="68"/>
        <v>ok</v>
      </c>
      <c r="AD227" s="1583"/>
      <c r="AE227" s="1583"/>
      <c r="AF227" s="1583"/>
      <c r="AG227" s="1583"/>
      <c r="AH227" s="1583"/>
      <c r="AI227" s="1583"/>
      <c r="AJ227" s="1583"/>
      <c r="AK227" s="1583"/>
      <c r="AL227" s="1583"/>
      <c r="AM227" s="1583"/>
      <c r="AN227" s="1583"/>
      <c r="AO227" s="1583"/>
    </row>
    <row r="228" spans="1:41" x14ac:dyDescent="0.6">
      <c r="A228" s="1432">
        <v>222</v>
      </c>
      <c r="B228" s="1587" t="s">
        <v>8526</v>
      </c>
      <c r="C228" s="1576" t="s">
        <v>8298</v>
      </c>
      <c r="D228" s="1597">
        <v>24780</v>
      </c>
      <c r="E228" s="1578">
        <f t="shared" si="52"/>
        <v>81774</v>
      </c>
      <c r="F228" s="1579">
        <v>31500</v>
      </c>
      <c r="G228" s="1485">
        <f t="shared" si="53"/>
        <v>103950</v>
      </c>
      <c r="H228" s="1485">
        <v>35000</v>
      </c>
      <c r="I228" s="1485">
        <f t="shared" si="54"/>
        <v>115500</v>
      </c>
      <c r="J228" s="1582">
        <v>37000</v>
      </c>
      <c r="K228" s="1582">
        <v>5000</v>
      </c>
      <c r="L228" s="1525">
        <f t="shared" si="55"/>
        <v>16500</v>
      </c>
      <c r="M228" s="1485">
        <f t="shared" si="56"/>
        <v>32000</v>
      </c>
      <c r="N228" s="1581">
        <v>3.3</v>
      </c>
      <c r="O228" s="1582">
        <f t="shared" si="57"/>
        <v>105600</v>
      </c>
      <c r="P228" s="1485">
        <f t="shared" si="58"/>
        <v>8000</v>
      </c>
      <c r="Q228" s="1485">
        <f t="shared" si="59"/>
        <v>26400</v>
      </c>
      <c r="R228" s="1485">
        <f t="shared" si="60"/>
        <v>8000</v>
      </c>
      <c r="S228" s="1525">
        <f t="shared" si="61"/>
        <v>26400</v>
      </c>
      <c r="T228" s="1485">
        <f t="shared" si="62"/>
        <v>8000</v>
      </c>
      <c r="U228" s="1525">
        <f t="shared" si="63"/>
        <v>26400</v>
      </c>
      <c r="V228" s="1485">
        <f t="shared" si="64"/>
        <v>8000</v>
      </c>
      <c r="W228" s="1525">
        <f t="shared" si="65"/>
        <v>26400</v>
      </c>
      <c r="X228" s="1485">
        <f t="shared" si="66"/>
        <v>32000</v>
      </c>
      <c r="Y228" s="1485">
        <f t="shared" si="67"/>
        <v>105600</v>
      </c>
      <c r="Z228" s="1527" t="s">
        <v>7799</v>
      </c>
      <c r="AA228" s="1379" t="s">
        <v>6526</v>
      </c>
      <c r="AB228" s="1583"/>
      <c r="AC228" s="1584" t="str">
        <f t="shared" si="68"/>
        <v>ok</v>
      </c>
      <c r="AD228" s="1583"/>
      <c r="AE228" s="1583"/>
      <c r="AF228" s="1583"/>
      <c r="AG228" s="1583"/>
      <c r="AH228" s="1583"/>
      <c r="AI228" s="1583"/>
      <c r="AJ228" s="1583"/>
      <c r="AK228" s="1583"/>
      <c r="AL228" s="1583"/>
      <c r="AM228" s="1583"/>
      <c r="AN228" s="1583"/>
      <c r="AO228" s="1583"/>
    </row>
    <row r="229" spans="1:41" x14ac:dyDescent="0.6">
      <c r="A229" s="1432">
        <v>223</v>
      </c>
      <c r="B229" s="1587" t="s">
        <v>8527</v>
      </c>
      <c r="C229" s="1576" t="s">
        <v>8298</v>
      </c>
      <c r="D229" s="1578">
        <f>1270+1700</f>
        <v>2970</v>
      </c>
      <c r="E229" s="1578">
        <f t="shared" si="52"/>
        <v>2524.5</v>
      </c>
      <c r="F229" s="1579">
        <v>3300</v>
      </c>
      <c r="G229" s="1485">
        <f t="shared" si="53"/>
        <v>2805</v>
      </c>
      <c r="H229" s="1485">
        <v>1750</v>
      </c>
      <c r="I229" s="1485">
        <f t="shared" si="54"/>
        <v>1487.5</v>
      </c>
      <c r="J229" s="1582">
        <v>3500</v>
      </c>
      <c r="K229" s="1582">
        <v>500</v>
      </c>
      <c r="L229" s="1525">
        <f t="shared" si="55"/>
        <v>425</v>
      </c>
      <c r="M229" s="1485">
        <f t="shared" si="56"/>
        <v>3000</v>
      </c>
      <c r="N229" s="1581">
        <v>0.85</v>
      </c>
      <c r="O229" s="1582">
        <f t="shared" si="57"/>
        <v>2550</v>
      </c>
      <c r="P229" s="1485">
        <f t="shared" si="58"/>
        <v>750</v>
      </c>
      <c r="Q229" s="1485">
        <f t="shared" si="59"/>
        <v>637.5</v>
      </c>
      <c r="R229" s="1485">
        <f t="shared" si="60"/>
        <v>750</v>
      </c>
      <c r="S229" s="1525">
        <f t="shared" si="61"/>
        <v>637.5</v>
      </c>
      <c r="T229" s="1485">
        <f t="shared" si="62"/>
        <v>750</v>
      </c>
      <c r="U229" s="1525">
        <f t="shared" si="63"/>
        <v>637.5</v>
      </c>
      <c r="V229" s="1485">
        <f t="shared" si="64"/>
        <v>750</v>
      </c>
      <c r="W229" s="1525">
        <f t="shared" si="65"/>
        <v>637.5</v>
      </c>
      <c r="X229" s="1485">
        <f t="shared" si="66"/>
        <v>3000</v>
      </c>
      <c r="Y229" s="1485">
        <f t="shared" si="67"/>
        <v>2550</v>
      </c>
      <c r="Z229" s="1527" t="s">
        <v>7799</v>
      </c>
      <c r="AA229" s="1379" t="s">
        <v>6526</v>
      </c>
      <c r="AB229" s="1583"/>
      <c r="AC229" s="1584" t="str">
        <f t="shared" si="68"/>
        <v>ok</v>
      </c>
      <c r="AD229" s="1583"/>
      <c r="AE229" s="1583"/>
      <c r="AF229" s="1583"/>
      <c r="AG229" s="1583"/>
      <c r="AH229" s="1583"/>
      <c r="AI229" s="1583"/>
      <c r="AJ229" s="1583"/>
      <c r="AK229" s="1583"/>
      <c r="AL229" s="1583"/>
      <c r="AM229" s="1583"/>
      <c r="AN229" s="1583"/>
      <c r="AO229" s="1583"/>
    </row>
    <row r="230" spans="1:41" x14ac:dyDescent="0.6">
      <c r="A230" s="1432">
        <v>224</v>
      </c>
      <c r="B230" s="1587" t="s">
        <v>8528</v>
      </c>
      <c r="C230" s="1576" t="s">
        <v>8305</v>
      </c>
      <c r="D230" s="1578">
        <v>270</v>
      </c>
      <c r="E230" s="1578">
        <f t="shared" si="52"/>
        <v>10400.400000000001</v>
      </c>
      <c r="F230" s="1579">
        <v>350</v>
      </c>
      <c r="G230" s="1485">
        <f t="shared" si="53"/>
        <v>13482.000000000002</v>
      </c>
      <c r="H230" s="1485">
        <v>300</v>
      </c>
      <c r="I230" s="1485">
        <f t="shared" si="54"/>
        <v>11556.000000000002</v>
      </c>
      <c r="J230" s="1582">
        <v>350</v>
      </c>
      <c r="K230" s="1582">
        <v>50</v>
      </c>
      <c r="L230" s="1525">
        <f t="shared" si="55"/>
        <v>1926.0000000000002</v>
      </c>
      <c r="M230" s="1485">
        <f t="shared" si="56"/>
        <v>300</v>
      </c>
      <c r="N230" s="1581">
        <v>38.520000000000003</v>
      </c>
      <c r="O230" s="1582">
        <f t="shared" si="57"/>
        <v>11556.000000000002</v>
      </c>
      <c r="P230" s="1485">
        <v>100</v>
      </c>
      <c r="Q230" s="1485">
        <f t="shared" si="59"/>
        <v>3852.0000000000005</v>
      </c>
      <c r="R230" s="1485">
        <v>100</v>
      </c>
      <c r="S230" s="1525">
        <f t="shared" si="61"/>
        <v>3852.0000000000005</v>
      </c>
      <c r="T230" s="1485">
        <v>100</v>
      </c>
      <c r="U230" s="1525">
        <f t="shared" si="63"/>
        <v>3852.0000000000005</v>
      </c>
      <c r="V230" s="1485">
        <v>0</v>
      </c>
      <c r="W230" s="1525">
        <f t="shared" si="65"/>
        <v>0</v>
      </c>
      <c r="X230" s="1485">
        <f t="shared" si="66"/>
        <v>300</v>
      </c>
      <c r="Y230" s="1485">
        <f t="shared" si="67"/>
        <v>11556.000000000002</v>
      </c>
      <c r="Z230" s="1527" t="s">
        <v>7799</v>
      </c>
      <c r="AA230" s="1379" t="s">
        <v>6526</v>
      </c>
      <c r="AB230" s="1583"/>
      <c r="AC230" s="1584" t="str">
        <f t="shared" si="68"/>
        <v>ok</v>
      </c>
      <c r="AD230" s="1583"/>
      <c r="AE230" s="1583"/>
      <c r="AF230" s="1583"/>
      <c r="AG230" s="1583"/>
      <c r="AH230" s="1583"/>
      <c r="AI230" s="1583"/>
      <c r="AJ230" s="1583"/>
      <c r="AK230" s="1583"/>
      <c r="AL230" s="1583"/>
      <c r="AM230" s="1583"/>
      <c r="AN230" s="1583"/>
      <c r="AO230" s="1583"/>
    </row>
    <row r="231" spans="1:41" ht="42" x14ac:dyDescent="0.6">
      <c r="A231" s="1432">
        <v>225</v>
      </c>
      <c r="B231" s="1587" t="s">
        <v>8529</v>
      </c>
      <c r="C231" s="1576" t="s">
        <v>8305</v>
      </c>
      <c r="D231" s="1578">
        <f>1685+15+900</f>
        <v>2600</v>
      </c>
      <c r="E231" s="1578">
        <f t="shared" si="52"/>
        <v>12324</v>
      </c>
      <c r="F231" s="1579">
        <v>2700</v>
      </c>
      <c r="G231" s="1485">
        <f t="shared" si="53"/>
        <v>12798</v>
      </c>
      <c r="H231" s="1485">
        <v>650</v>
      </c>
      <c r="I231" s="1485">
        <f t="shared" si="54"/>
        <v>3081</v>
      </c>
      <c r="J231" s="1582">
        <v>1000</v>
      </c>
      <c r="K231" s="1582">
        <v>500</v>
      </c>
      <c r="L231" s="1525">
        <f t="shared" si="55"/>
        <v>2370</v>
      </c>
      <c r="M231" s="1485">
        <f t="shared" si="56"/>
        <v>500</v>
      </c>
      <c r="N231" s="1581">
        <v>4.74</v>
      </c>
      <c r="O231" s="1582">
        <f t="shared" si="57"/>
        <v>2370</v>
      </c>
      <c r="P231" s="1485">
        <f t="shared" si="58"/>
        <v>125</v>
      </c>
      <c r="Q231" s="1485">
        <f t="shared" si="59"/>
        <v>592.5</v>
      </c>
      <c r="R231" s="1485">
        <f t="shared" si="60"/>
        <v>125</v>
      </c>
      <c r="S231" s="1525">
        <f t="shared" si="61"/>
        <v>592.5</v>
      </c>
      <c r="T231" s="1485">
        <f t="shared" si="62"/>
        <v>125</v>
      </c>
      <c r="U231" s="1525">
        <f t="shared" si="63"/>
        <v>592.5</v>
      </c>
      <c r="V231" s="1485">
        <f t="shared" si="64"/>
        <v>125</v>
      </c>
      <c r="W231" s="1525">
        <f t="shared" si="65"/>
        <v>592.5</v>
      </c>
      <c r="X231" s="1485">
        <f t="shared" si="66"/>
        <v>500</v>
      </c>
      <c r="Y231" s="1485">
        <f t="shared" si="67"/>
        <v>2370</v>
      </c>
      <c r="Z231" s="1527" t="s">
        <v>7799</v>
      </c>
      <c r="AA231" s="1379" t="s">
        <v>6526</v>
      </c>
      <c r="AB231" s="1583"/>
      <c r="AC231" s="1584" t="str">
        <f t="shared" si="68"/>
        <v>ok</v>
      </c>
      <c r="AD231" s="1583"/>
      <c r="AE231" s="1583"/>
      <c r="AF231" s="1583"/>
      <c r="AG231" s="1583"/>
      <c r="AH231" s="1583"/>
      <c r="AI231" s="1583"/>
      <c r="AJ231" s="1583"/>
      <c r="AK231" s="1583"/>
      <c r="AL231" s="1583"/>
      <c r="AM231" s="1583"/>
      <c r="AN231" s="1583"/>
      <c r="AO231" s="1583"/>
    </row>
    <row r="232" spans="1:41" x14ac:dyDescent="0.6">
      <c r="A232" s="1432">
        <v>226</v>
      </c>
      <c r="B232" s="1587" t="s">
        <v>8530</v>
      </c>
      <c r="C232" s="1576" t="s">
        <v>8296</v>
      </c>
      <c r="D232" s="1578">
        <v>229</v>
      </c>
      <c r="E232" s="1578">
        <f t="shared" si="52"/>
        <v>1832</v>
      </c>
      <c r="F232" s="1579">
        <v>350</v>
      </c>
      <c r="G232" s="1485">
        <f t="shared" si="53"/>
        <v>2800</v>
      </c>
      <c r="H232" s="1485">
        <v>150</v>
      </c>
      <c r="I232" s="1485">
        <f t="shared" si="54"/>
        <v>1200</v>
      </c>
      <c r="J232" s="1582">
        <v>300</v>
      </c>
      <c r="K232" s="1582">
        <v>80</v>
      </c>
      <c r="L232" s="1525">
        <f t="shared" si="55"/>
        <v>640</v>
      </c>
      <c r="M232" s="1485">
        <f t="shared" si="56"/>
        <v>220</v>
      </c>
      <c r="N232" s="1581">
        <v>8</v>
      </c>
      <c r="O232" s="1582">
        <f t="shared" si="57"/>
        <v>1760</v>
      </c>
      <c r="P232" s="1485">
        <v>220</v>
      </c>
      <c r="Q232" s="1485">
        <f t="shared" si="59"/>
        <v>1760</v>
      </c>
      <c r="R232" s="1485">
        <v>0</v>
      </c>
      <c r="S232" s="1525">
        <f t="shared" si="61"/>
        <v>0</v>
      </c>
      <c r="T232" s="1485">
        <v>0</v>
      </c>
      <c r="U232" s="1525">
        <f t="shared" si="63"/>
        <v>0</v>
      </c>
      <c r="V232" s="1485">
        <v>0</v>
      </c>
      <c r="W232" s="1525">
        <f t="shared" si="65"/>
        <v>0</v>
      </c>
      <c r="X232" s="1485">
        <f t="shared" si="66"/>
        <v>220</v>
      </c>
      <c r="Y232" s="1485">
        <f t="shared" si="67"/>
        <v>1760</v>
      </c>
      <c r="Z232" s="1527" t="s">
        <v>7799</v>
      </c>
      <c r="AA232" s="1379" t="s">
        <v>6526</v>
      </c>
      <c r="AB232" s="1583"/>
      <c r="AC232" s="1584" t="str">
        <f t="shared" si="68"/>
        <v>ok</v>
      </c>
      <c r="AD232" s="1583"/>
      <c r="AE232" s="1583"/>
      <c r="AF232" s="1583"/>
      <c r="AG232" s="1583"/>
      <c r="AH232" s="1583"/>
      <c r="AI232" s="1583"/>
      <c r="AJ232" s="1583"/>
      <c r="AK232" s="1583"/>
      <c r="AL232" s="1583"/>
      <c r="AM232" s="1583"/>
      <c r="AN232" s="1583"/>
      <c r="AO232" s="1583"/>
    </row>
    <row r="233" spans="1:41" x14ac:dyDescent="0.6">
      <c r="A233" s="1432">
        <v>227</v>
      </c>
      <c r="B233" s="1587" t="s">
        <v>8531</v>
      </c>
      <c r="C233" s="1576" t="s">
        <v>8298</v>
      </c>
      <c r="D233" s="1578">
        <f>9620+13000</f>
        <v>22620</v>
      </c>
      <c r="E233" s="1578">
        <f t="shared" si="52"/>
        <v>2714.4</v>
      </c>
      <c r="F233" s="1579">
        <v>30000</v>
      </c>
      <c r="G233" s="1485">
        <f t="shared" si="53"/>
        <v>3600</v>
      </c>
      <c r="H233" s="1485">
        <v>15000</v>
      </c>
      <c r="I233" s="1485">
        <f t="shared" si="54"/>
        <v>1800</v>
      </c>
      <c r="J233" s="1582">
        <v>35000</v>
      </c>
      <c r="K233" s="1582">
        <v>5000</v>
      </c>
      <c r="L233" s="1525">
        <f t="shared" si="55"/>
        <v>600</v>
      </c>
      <c r="M233" s="1485">
        <f t="shared" si="56"/>
        <v>30000</v>
      </c>
      <c r="N233" s="1581">
        <v>0.12</v>
      </c>
      <c r="O233" s="1582">
        <f t="shared" si="57"/>
        <v>3600</v>
      </c>
      <c r="P233" s="1485">
        <f t="shared" si="58"/>
        <v>7500</v>
      </c>
      <c r="Q233" s="1485">
        <f t="shared" si="59"/>
        <v>900</v>
      </c>
      <c r="R233" s="1485">
        <f t="shared" si="60"/>
        <v>7500</v>
      </c>
      <c r="S233" s="1525">
        <f t="shared" si="61"/>
        <v>900</v>
      </c>
      <c r="T233" s="1485">
        <f t="shared" si="62"/>
        <v>7500</v>
      </c>
      <c r="U233" s="1525">
        <f t="shared" si="63"/>
        <v>900</v>
      </c>
      <c r="V233" s="1485">
        <f t="shared" si="64"/>
        <v>7500</v>
      </c>
      <c r="W233" s="1525">
        <f t="shared" si="65"/>
        <v>900</v>
      </c>
      <c r="X233" s="1485">
        <f t="shared" si="66"/>
        <v>30000</v>
      </c>
      <c r="Y233" s="1485">
        <f t="shared" si="67"/>
        <v>3600</v>
      </c>
      <c r="Z233" s="1527" t="s">
        <v>7799</v>
      </c>
      <c r="AA233" s="1379" t="s">
        <v>6526</v>
      </c>
      <c r="AB233" s="1583"/>
      <c r="AC233" s="1584" t="str">
        <f t="shared" si="68"/>
        <v>ok</v>
      </c>
      <c r="AD233" s="1583"/>
      <c r="AE233" s="1583"/>
      <c r="AF233" s="1583"/>
      <c r="AG233" s="1583"/>
      <c r="AH233" s="1583"/>
      <c r="AI233" s="1583"/>
      <c r="AJ233" s="1583"/>
      <c r="AK233" s="1583"/>
      <c r="AL233" s="1583"/>
      <c r="AM233" s="1583"/>
      <c r="AN233" s="1583"/>
      <c r="AO233" s="1583"/>
    </row>
    <row r="234" spans="1:41" ht="42" x14ac:dyDescent="0.6">
      <c r="A234" s="1432">
        <v>228</v>
      </c>
      <c r="B234" s="1587" t="s">
        <v>8532</v>
      </c>
      <c r="C234" s="1576" t="s">
        <v>8296</v>
      </c>
      <c r="D234" s="1578">
        <v>22</v>
      </c>
      <c r="E234" s="1578">
        <f t="shared" si="52"/>
        <v>1059.3</v>
      </c>
      <c r="F234" s="1579">
        <v>20</v>
      </c>
      <c r="G234" s="1485">
        <f t="shared" si="53"/>
        <v>963</v>
      </c>
      <c r="H234" s="1485">
        <v>10</v>
      </c>
      <c r="I234" s="1485">
        <f t="shared" si="54"/>
        <v>481.5</v>
      </c>
      <c r="J234" s="1582">
        <v>24</v>
      </c>
      <c r="K234" s="1582">
        <v>12</v>
      </c>
      <c r="L234" s="1525">
        <f t="shared" si="55"/>
        <v>577.79999999999995</v>
      </c>
      <c r="M234" s="1485">
        <f t="shared" si="56"/>
        <v>12</v>
      </c>
      <c r="N234" s="1581">
        <v>48.15</v>
      </c>
      <c r="O234" s="1582">
        <f t="shared" si="57"/>
        <v>577.79999999999995</v>
      </c>
      <c r="P234" s="1485">
        <v>12</v>
      </c>
      <c r="Q234" s="1485">
        <f t="shared" si="59"/>
        <v>577.79999999999995</v>
      </c>
      <c r="R234" s="1485">
        <v>0</v>
      </c>
      <c r="S234" s="1525">
        <f t="shared" si="61"/>
        <v>0</v>
      </c>
      <c r="T234" s="1485">
        <v>0</v>
      </c>
      <c r="U234" s="1525">
        <f t="shared" si="63"/>
        <v>0</v>
      </c>
      <c r="V234" s="1485">
        <v>0</v>
      </c>
      <c r="W234" s="1525">
        <f t="shared" si="65"/>
        <v>0</v>
      </c>
      <c r="X234" s="1485">
        <f t="shared" si="66"/>
        <v>12</v>
      </c>
      <c r="Y234" s="1485">
        <f t="shared" si="67"/>
        <v>577.79999999999995</v>
      </c>
      <c r="Z234" s="1527" t="s">
        <v>7799</v>
      </c>
      <c r="AA234" s="1379" t="s">
        <v>6526</v>
      </c>
      <c r="AB234" s="1583"/>
      <c r="AC234" s="1584" t="str">
        <f t="shared" si="68"/>
        <v>ok</v>
      </c>
      <c r="AD234" s="1583"/>
      <c r="AE234" s="1583"/>
      <c r="AF234" s="1583"/>
      <c r="AG234" s="1583"/>
      <c r="AH234" s="1583"/>
      <c r="AI234" s="1583"/>
      <c r="AJ234" s="1583"/>
      <c r="AK234" s="1583"/>
      <c r="AL234" s="1583"/>
      <c r="AM234" s="1583"/>
      <c r="AN234" s="1583"/>
      <c r="AO234" s="1583"/>
    </row>
    <row r="235" spans="1:41" x14ac:dyDescent="0.6">
      <c r="A235" s="1432">
        <v>229</v>
      </c>
      <c r="B235" s="1603" t="s">
        <v>8533</v>
      </c>
      <c r="C235" s="1576" t="s">
        <v>8305</v>
      </c>
      <c r="D235" s="1578">
        <f>1145</f>
        <v>1145</v>
      </c>
      <c r="E235" s="1578">
        <f t="shared" si="52"/>
        <v>257281.5</v>
      </c>
      <c r="F235" s="1579">
        <v>1200</v>
      </c>
      <c r="G235" s="1485">
        <f t="shared" si="53"/>
        <v>269640</v>
      </c>
      <c r="H235" s="1485">
        <v>1500</v>
      </c>
      <c r="I235" s="1485">
        <f t="shared" si="54"/>
        <v>337050</v>
      </c>
      <c r="J235" s="1582">
        <v>1600</v>
      </c>
      <c r="K235" s="1582">
        <v>600</v>
      </c>
      <c r="L235" s="1525">
        <f t="shared" si="55"/>
        <v>134820</v>
      </c>
      <c r="M235" s="1485">
        <f t="shared" si="56"/>
        <v>1000</v>
      </c>
      <c r="N235" s="1581">
        <v>224.7</v>
      </c>
      <c r="O235" s="1582">
        <f t="shared" si="57"/>
        <v>224700</v>
      </c>
      <c r="P235" s="1485">
        <f t="shared" si="58"/>
        <v>250</v>
      </c>
      <c r="Q235" s="1485">
        <f t="shared" si="59"/>
        <v>56175</v>
      </c>
      <c r="R235" s="1485">
        <f t="shared" si="60"/>
        <v>250</v>
      </c>
      <c r="S235" s="1525">
        <f t="shared" si="61"/>
        <v>56175</v>
      </c>
      <c r="T235" s="1485">
        <f t="shared" si="62"/>
        <v>250</v>
      </c>
      <c r="U235" s="1525">
        <f t="shared" si="63"/>
        <v>56175</v>
      </c>
      <c r="V235" s="1485">
        <f t="shared" si="64"/>
        <v>250</v>
      </c>
      <c r="W235" s="1525">
        <f t="shared" si="65"/>
        <v>56175</v>
      </c>
      <c r="X235" s="1485">
        <f t="shared" si="66"/>
        <v>1000</v>
      </c>
      <c r="Y235" s="1485">
        <f t="shared" si="67"/>
        <v>224700</v>
      </c>
      <c r="Z235" s="1527" t="s">
        <v>7799</v>
      </c>
      <c r="AA235" s="1379" t="s">
        <v>6526</v>
      </c>
      <c r="AB235" s="1583"/>
      <c r="AC235" s="1584" t="str">
        <f t="shared" si="68"/>
        <v>ok</v>
      </c>
      <c r="AD235" s="1583"/>
      <c r="AE235" s="1583"/>
      <c r="AF235" s="1583"/>
      <c r="AG235" s="1583"/>
      <c r="AH235" s="1583"/>
      <c r="AI235" s="1583"/>
      <c r="AJ235" s="1583"/>
      <c r="AK235" s="1583"/>
      <c r="AL235" s="1583"/>
      <c r="AM235" s="1583"/>
      <c r="AN235" s="1583"/>
      <c r="AO235" s="1583"/>
    </row>
    <row r="236" spans="1:41" x14ac:dyDescent="0.6">
      <c r="A236" s="1432">
        <v>230</v>
      </c>
      <c r="B236" s="1603" t="s">
        <v>8534</v>
      </c>
      <c r="C236" s="1576" t="s">
        <v>8298</v>
      </c>
      <c r="D236" s="1578">
        <v>18900</v>
      </c>
      <c r="E236" s="1578">
        <f t="shared" si="52"/>
        <v>53921.700000000004</v>
      </c>
      <c r="F236" s="1579">
        <v>20000</v>
      </c>
      <c r="G236" s="1485">
        <f t="shared" si="53"/>
        <v>57060.000000000007</v>
      </c>
      <c r="H236" s="1485">
        <v>24000</v>
      </c>
      <c r="I236" s="1485">
        <f t="shared" si="54"/>
        <v>68472</v>
      </c>
      <c r="J236" s="1582">
        <v>27000</v>
      </c>
      <c r="K236" s="1582">
        <v>4000</v>
      </c>
      <c r="L236" s="1525">
        <f t="shared" si="55"/>
        <v>11412</v>
      </c>
      <c r="M236" s="1485">
        <f t="shared" si="56"/>
        <v>23000</v>
      </c>
      <c r="N236" s="1585">
        <v>2.8530000000000002</v>
      </c>
      <c r="O236" s="1582">
        <f t="shared" si="57"/>
        <v>65619</v>
      </c>
      <c r="P236" s="1485">
        <f t="shared" si="58"/>
        <v>5750</v>
      </c>
      <c r="Q236" s="1485">
        <f t="shared" si="59"/>
        <v>16404.75</v>
      </c>
      <c r="R236" s="1485">
        <f t="shared" si="60"/>
        <v>5750</v>
      </c>
      <c r="S236" s="1525">
        <f t="shared" si="61"/>
        <v>16404.75</v>
      </c>
      <c r="T236" s="1485">
        <f t="shared" si="62"/>
        <v>5750</v>
      </c>
      <c r="U236" s="1525">
        <f t="shared" si="63"/>
        <v>16404.75</v>
      </c>
      <c r="V236" s="1485">
        <f t="shared" si="64"/>
        <v>5750</v>
      </c>
      <c r="W236" s="1525">
        <f t="shared" si="65"/>
        <v>16404.75</v>
      </c>
      <c r="X236" s="1485">
        <f t="shared" si="66"/>
        <v>23000</v>
      </c>
      <c r="Y236" s="1485">
        <f t="shared" si="67"/>
        <v>65619</v>
      </c>
      <c r="Z236" s="1527" t="s">
        <v>7799</v>
      </c>
      <c r="AA236" s="1379" t="s">
        <v>6526</v>
      </c>
      <c r="AB236" s="1583"/>
      <c r="AC236" s="1584" t="str">
        <f t="shared" si="68"/>
        <v>ok</v>
      </c>
      <c r="AD236" s="1583"/>
      <c r="AE236" s="1583"/>
      <c r="AF236" s="1583"/>
      <c r="AG236" s="1583"/>
      <c r="AH236" s="1583"/>
      <c r="AI236" s="1583"/>
      <c r="AJ236" s="1583"/>
      <c r="AK236" s="1583"/>
      <c r="AL236" s="1583"/>
      <c r="AM236" s="1583"/>
      <c r="AN236" s="1583"/>
      <c r="AO236" s="1583"/>
    </row>
    <row r="237" spans="1:41" ht="42" x14ac:dyDescent="0.6">
      <c r="A237" s="1432">
        <v>231</v>
      </c>
      <c r="B237" s="1587" t="s">
        <v>8535</v>
      </c>
      <c r="C237" s="1576" t="s">
        <v>8305</v>
      </c>
      <c r="D237" s="1578">
        <f>108+108+70</f>
        <v>286</v>
      </c>
      <c r="E237" s="1578">
        <f t="shared" si="52"/>
        <v>8568.56</v>
      </c>
      <c r="F237" s="1579">
        <v>300</v>
      </c>
      <c r="G237" s="1485">
        <f t="shared" si="53"/>
        <v>8988</v>
      </c>
      <c r="H237" s="1485">
        <v>70</v>
      </c>
      <c r="I237" s="1485">
        <f t="shared" si="54"/>
        <v>2097.2000000000003</v>
      </c>
      <c r="J237" s="1582">
        <v>200</v>
      </c>
      <c r="K237" s="1582">
        <v>50</v>
      </c>
      <c r="L237" s="1525">
        <f t="shared" si="55"/>
        <v>1498</v>
      </c>
      <c r="M237" s="1485">
        <f t="shared" si="56"/>
        <v>150</v>
      </c>
      <c r="N237" s="1585">
        <v>29.96</v>
      </c>
      <c r="O237" s="1582">
        <f t="shared" si="57"/>
        <v>4494</v>
      </c>
      <c r="P237" s="1485">
        <v>37</v>
      </c>
      <c r="Q237" s="1485">
        <f t="shared" si="59"/>
        <v>1108.52</v>
      </c>
      <c r="R237" s="1485">
        <v>37</v>
      </c>
      <c r="S237" s="1525">
        <f t="shared" si="61"/>
        <v>1108.52</v>
      </c>
      <c r="T237" s="1485">
        <v>38</v>
      </c>
      <c r="U237" s="1525">
        <f t="shared" si="63"/>
        <v>1138.48</v>
      </c>
      <c r="V237" s="1485">
        <v>38</v>
      </c>
      <c r="W237" s="1525">
        <f t="shared" si="65"/>
        <v>1138.48</v>
      </c>
      <c r="X237" s="1485">
        <f t="shared" si="66"/>
        <v>150</v>
      </c>
      <c r="Y237" s="1485">
        <f t="shared" si="67"/>
        <v>4494</v>
      </c>
      <c r="Z237" s="1527" t="s">
        <v>7799</v>
      </c>
      <c r="AA237" s="1379" t="s">
        <v>6526</v>
      </c>
      <c r="AB237" s="1583"/>
      <c r="AC237" s="1584" t="str">
        <f t="shared" si="68"/>
        <v>ok</v>
      </c>
      <c r="AD237" s="1583"/>
      <c r="AE237" s="1583"/>
      <c r="AF237" s="1583"/>
      <c r="AG237" s="1583"/>
      <c r="AH237" s="1583"/>
      <c r="AI237" s="1583"/>
      <c r="AJ237" s="1583"/>
      <c r="AK237" s="1583"/>
      <c r="AL237" s="1583"/>
      <c r="AM237" s="1583"/>
      <c r="AN237" s="1583"/>
      <c r="AO237" s="1583"/>
    </row>
    <row r="238" spans="1:41" ht="42" x14ac:dyDescent="0.6">
      <c r="A238" s="1432">
        <v>232</v>
      </c>
      <c r="B238" s="1587" t="s">
        <v>8536</v>
      </c>
      <c r="C238" s="1576" t="s">
        <v>8296</v>
      </c>
      <c r="D238" s="1578">
        <v>68</v>
      </c>
      <c r="E238" s="1578">
        <f t="shared" si="52"/>
        <v>1416.4399999999998</v>
      </c>
      <c r="F238" s="1579">
        <v>80</v>
      </c>
      <c r="G238" s="1485">
        <f t="shared" si="53"/>
        <v>1666.3999999999999</v>
      </c>
      <c r="H238" s="1485">
        <v>50</v>
      </c>
      <c r="I238" s="1485">
        <f t="shared" si="54"/>
        <v>1041.5</v>
      </c>
      <c r="J238" s="1582">
        <v>90</v>
      </c>
      <c r="K238" s="1582">
        <v>20</v>
      </c>
      <c r="L238" s="1525">
        <f t="shared" si="55"/>
        <v>416.59999999999997</v>
      </c>
      <c r="M238" s="1485">
        <f t="shared" si="56"/>
        <v>70</v>
      </c>
      <c r="N238" s="1581">
        <v>20.83</v>
      </c>
      <c r="O238" s="1582">
        <f t="shared" si="57"/>
        <v>1458.1</v>
      </c>
      <c r="P238" s="1485">
        <v>17</v>
      </c>
      <c r="Q238" s="1485">
        <f t="shared" si="59"/>
        <v>354.10999999999996</v>
      </c>
      <c r="R238" s="1485">
        <v>17</v>
      </c>
      <c r="S238" s="1525">
        <f t="shared" si="61"/>
        <v>354.10999999999996</v>
      </c>
      <c r="T238" s="1485">
        <v>18</v>
      </c>
      <c r="U238" s="1525">
        <f t="shared" si="63"/>
        <v>374.93999999999994</v>
      </c>
      <c r="V238" s="1485">
        <v>18</v>
      </c>
      <c r="W238" s="1525">
        <f t="shared" si="65"/>
        <v>374.93999999999994</v>
      </c>
      <c r="X238" s="1485">
        <f t="shared" si="66"/>
        <v>70</v>
      </c>
      <c r="Y238" s="1485">
        <f t="shared" si="67"/>
        <v>1458.1</v>
      </c>
      <c r="Z238" s="1527" t="s">
        <v>7799</v>
      </c>
      <c r="AA238" s="1379" t="s">
        <v>6526</v>
      </c>
      <c r="AB238" s="1583"/>
      <c r="AC238" s="1584" t="str">
        <f t="shared" si="68"/>
        <v>ok</v>
      </c>
      <c r="AD238" s="1583"/>
      <c r="AE238" s="1583"/>
      <c r="AF238" s="1583"/>
      <c r="AG238" s="1583"/>
      <c r="AH238" s="1583"/>
      <c r="AI238" s="1583"/>
      <c r="AJ238" s="1583"/>
      <c r="AK238" s="1583"/>
      <c r="AL238" s="1583"/>
      <c r="AM238" s="1583"/>
      <c r="AN238" s="1583"/>
      <c r="AO238" s="1583"/>
    </row>
    <row r="239" spans="1:41" x14ac:dyDescent="0.6">
      <c r="A239" s="1432">
        <v>233</v>
      </c>
      <c r="B239" s="1587" t="s">
        <v>8537</v>
      </c>
      <c r="C239" s="1576" t="s">
        <v>8298</v>
      </c>
      <c r="D239" s="1578">
        <f>10500+14000</f>
        <v>24500</v>
      </c>
      <c r="E239" s="1578">
        <f t="shared" si="52"/>
        <v>7864.5</v>
      </c>
      <c r="F239" s="1579">
        <v>25000</v>
      </c>
      <c r="G239" s="1485">
        <f t="shared" si="53"/>
        <v>8025</v>
      </c>
      <c r="H239" s="1485">
        <v>18000</v>
      </c>
      <c r="I239" s="1485">
        <f t="shared" si="54"/>
        <v>5778</v>
      </c>
      <c r="J239" s="1582">
        <v>25500</v>
      </c>
      <c r="K239" s="1582">
        <v>1500</v>
      </c>
      <c r="L239" s="1525">
        <f t="shared" si="55"/>
        <v>481.5</v>
      </c>
      <c r="M239" s="1485">
        <f t="shared" si="56"/>
        <v>24000</v>
      </c>
      <c r="N239" s="1581">
        <v>0.32100000000000001</v>
      </c>
      <c r="O239" s="1582">
        <f t="shared" si="57"/>
        <v>7704</v>
      </c>
      <c r="P239" s="1485">
        <f t="shared" si="58"/>
        <v>6000</v>
      </c>
      <c r="Q239" s="1485">
        <f t="shared" si="59"/>
        <v>1926</v>
      </c>
      <c r="R239" s="1485">
        <f t="shared" si="60"/>
        <v>6000</v>
      </c>
      <c r="S239" s="1525">
        <f t="shared" si="61"/>
        <v>1926</v>
      </c>
      <c r="T239" s="1485">
        <f t="shared" si="62"/>
        <v>6000</v>
      </c>
      <c r="U239" s="1525">
        <f t="shared" si="63"/>
        <v>1926</v>
      </c>
      <c r="V239" s="1485">
        <f t="shared" si="64"/>
        <v>6000</v>
      </c>
      <c r="W239" s="1525">
        <f t="shared" si="65"/>
        <v>1926</v>
      </c>
      <c r="X239" s="1485">
        <f t="shared" si="66"/>
        <v>24000</v>
      </c>
      <c r="Y239" s="1485">
        <f t="shared" si="67"/>
        <v>7704</v>
      </c>
      <c r="Z239" s="1527" t="s">
        <v>7799</v>
      </c>
      <c r="AA239" s="1379" t="s">
        <v>6526</v>
      </c>
      <c r="AB239" s="1583"/>
      <c r="AC239" s="1584" t="str">
        <f t="shared" si="68"/>
        <v>ok</v>
      </c>
      <c r="AD239" s="1583"/>
      <c r="AE239" s="1583"/>
      <c r="AF239" s="1583"/>
      <c r="AG239" s="1583"/>
      <c r="AH239" s="1583"/>
      <c r="AI239" s="1583"/>
      <c r="AJ239" s="1583"/>
      <c r="AK239" s="1583"/>
      <c r="AL239" s="1583"/>
      <c r="AM239" s="1583"/>
      <c r="AN239" s="1583"/>
      <c r="AO239" s="1583"/>
    </row>
    <row r="240" spans="1:41" x14ac:dyDescent="0.6">
      <c r="A240" s="1432">
        <v>234</v>
      </c>
      <c r="B240" s="1587" t="s">
        <v>8538</v>
      </c>
      <c r="C240" s="1576" t="s">
        <v>8298</v>
      </c>
      <c r="D240" s="1578">
        <v>497440</v>
      </c>
      <c r="E240" s="1578">
        <f t="shared" si="52"/>
        <v>273592</v>
      </c>
      <c r="F240" s="1579">
        <v>500000</v>
      </c>
      <c r="G240" s="1485">
        <f t="shared" si="53"/>
        <v>275000</v>
      </c>
      <c r="H240" s="1485">
        <v>1200000</v>
      </c>
      <c r="I240" s="1485">
        <f t="shared" si="54"/>
        <v>660000</v>
      </c>
      <c r="J240" s="1582">
        <v>1200000</v>
      </c>
      <c r="K240" s="1582">
        <v>100000</v>
      </c>
      <c r="L240" s="1525">
        <f t="shared" si="55"/>
        <v>55000.000000000007</v>
      </c>
      <c r="M240" s="1485">
        <f t="shared" si="56"/>
        <v>1100000</v>
      </c>
      <c r="N240" s="1581">
        <v>0.55000000000000004</v>
      </c>
      <c r="O240" s="1582">
        <f t="shared" si="57"/>
        <v>605000</v>
      </c>
      <c r="P240" s="1485">
        <f t="shared" si="58"/>
        <v>275000</v>
      </c>
      <c r="Q240" s="1485">
        <f t="shared" si="59"/>
        <v>151250</v>
      </c>
      <c r="R240" s="1485">
        <f t="shared" si="60"/>
        <v>275000</v>
      </c>
      <c r="S240" s="1525">
        <f t="shared" si="61"/>
        <v>151250</v>
      </c>
      <c r="T240" s="1485">
        <f t="shared" si="62"/>
        <v>275000</v>
      </c>
      <c r="U240" s="1525">
        <f t="shared" si="63"/>
        <v>151250</v>
      </c>
      <c r="V240" s="1485">
        <f t="shared" si="64"/>
        <v>275000</v>
      </c>
      <c r="W240" s="1525">
        <f t="shared" si="65"/>
        <v>151250</v>
      </c>
      <c r="X240" s="1485">
        <f t="shared" si="66"/>
        <v>1100000</v>
      </c>
      <c r="Y240" s="1485">
        <f t="shared" si="67"/>
        <v>605000</v>
      </c>
      <c r="Z240" s="1527" t="s">
        <v>7799</v>
      </c>
      <c r="AA240" s="1379" t="s">
        <v>6526</v>
      </c>
      <c r="AB240" s="1583"/>
      <c r="AC240" s="1584" t="str">
        <f t="shared" si="68"/>
        <v>ok</v>
      </c>
      <c r="AD240" s="1583"/>
      <c r="AE240" s="1583"/>
      <c r="AF240" s="1583"/>
      <c r="AG240" s="1583"/>
      <c r="AH240" s="1583"/>
      <c r="AI240" s="1583"/>
      <c r="AJ240" s="1583"/>
      <c r="AK240" s="1583"/>
      <c r="AL240" s="1583"/>
      <c r="AM240" s="1583"/>
      <c r="AN240" s="1583"/>
      <c r="AO240" s="1583"/>
    </row>
    <row r="241" spans="1:41" ht="42" x14ac:dyDescent="0.6">
      <c r="A241" s="1432">
        <v>235</v>
      </c>
      <c r="B241" s="1587" t="s">
        <v>8539</v>
      </c>
      <c r="C241" s="1576" t="s">
        <v>8298</v>
      </c>
      <c r="D241" s="1578">
        <v>29100</v>
      </c>
      <c r="E241" s="1578">
        <f t="shared" si="52"/>
        <v>6693</v>
      </c>
      <c r="F241" s="1579">
        <v>33000</v>
      </c>
      <c r="G241" s="1485">
        <f t="shared" si="53"/>
        <v>7590</v>
      </c>
      <c r="H241" s="1485">
        <v>35000</v>
      </c>
      <c r="I241" s="1485">
        <f t="shared" si="54"/>
        <v>8050</v>
      </c>
      <c r="J241" s="1582">
        <v>36000</v>
      </c>
      <c r="K241" s="1582">
        <v>5000</v>
      </c>
      <c r="L241" s="1525">
        <f t="shared" si="55"/>
        <v>1150</v>
      </c>
      <c r="M241" s="1485">
        <f t="shared" si="56"/>
        <v>31000</v>
      </c>
      <c r="N241" s="1581">
        <v>0.23</v>
      </c>
      <c r="O241" s="1582">
        <f t="shared" si="57"/>
        <v>7130</v>
      </c>
      <c r="P241" s="1485">
        <f t="shared" si="58"/>
        <v>7750</v>
      </c>
      <c r="Q241" s="1485">
        <f t="shared" si="59"/>
        <v>1782.5</v>
      </c>
      <c r="R241" s="1485">
        <f t="shared" si="60"/>
        <v>7750</v>
      </c>
      <c r="S241" s="1525">
        <f t="shared" si="61"/>
        <v>1782.5</v>
      </c>
      <c r="T241" s="1485">
        <f t="shared" si="62"/>
        <v>7750</v>
      </c>
      <c r="U241" s="1525">
        <f t="shared" si="63"/>
        <v>1782.5</v>
      </c>
      <c r="V241" s="1485">
        <f t="shared" si="64"/>
        <v>7750</v>
      </c>
      <c r="W241" s="1525">
        <f t="shared" si="65"/>
        <v>1782.5</v>
      </c>
      <c r="X241" s="1485">
        <f t="shared" si="66"/>
        <v>31000</v>
      </c>
      <c r="Y241" s="1485">
        <f t="shared" si="67"/>
        <v>7130</v>
      </c>
      <c r="Z241" s="1527" t="s">
        <v>7799</v>
      </c>
      <c r="AA241" s="1379" t="s">
        <v>6526</v>
      </c>
      <c r="AB241" s="1583"/>
      <c r="AC241" s="1584" t="str">
        <f t="shared" si="68"/>
        <v>ok</v>
      </c>
      <c r="AD241" s="1583"/>
      <c r="AE241" s="1583"/>
      <c r="AF241" s="1583"/>
      <c r="AG241" s="1583"/>
      <c r="AH241" s="1583"/>
      <c r="AI241" s="1583"/>
      <c r="AJ241" s="1583"/>
      <c r="AK241" s="1583"/>
      <c r="AL241" s="1583"/>
      <c r="AM241" s="1583"/>
      <c r="AN241" s="1583"/>
      <c r="AO241" s="1583"/>
    </row>
    <row r="242" spans="1:41" x14ac:dyDescent="0.6">
      <c r="A242" s="1432">
        <v>236</v>
      </c>
      <c r="B242" s="1587" t="s">
        <v>8540</v>
      </c>
      <c r="C242" s="1576" t="s">
        <v>8305</v>
      </c>
      <c r="D242" s="1578">
        <v>0</v>
      </c>
      <c r="E242" s="1578">
        <f t="shared" si="52"/>
        <v>0</v>
      </c>
      <c r="F242" s="1579">
        <v>60</v>
      </c>
      <c r="G242" s="1485">
        <f t="shared" si="53"/>
        <v>1590</v>
      </c>
      <c r="H242" s="1485">
        <v>80</v>
      </c>
      <c r="I242" s="1485">
        <f t="shared" si="54"/>
        <v>2120</v>
      </c>
      <c r="J242" s="1582">
        <v>100</v>
      </c>
      <c r="K242" s="1582">
        <v>0</v>
      </c>
      <c r="L242" s="1525">
        <f t="shared" si="55"/>
        <v>0</v>
      </c>
      <c r="M242" s="1485">
        <f t="shared" si="56"/>
        <v>100</v>
      </c>
      <c r="N242" s="1581">
        <v>26.5</v>
      </c>
      <c r="O242" s="1582">
        <f t="shared" si="57"/>
        <v>2650</v>
      </c>
      <c r="P242" s="1485">
        <f t="shared" si="58"/>
        <v>25</v>
      </c>
      <c r="Q242" s="1485">
        <f t="shared" si="59"/>
        <v>662.5</v>
      </c>
      <c r="R242" s="1485">
        <f t="shared" si="60"/>
        <v>25</v>
      </c>
      <c r="S242" s="1525">
        <f t="shared" si="61"/>
        <v>662.5</v>
      </c>
      <c r="T242" s="1485">
        <f t="shared" si="62"/>
        <v>25</v>
      </c>
      <c r="U242" s="1525">
        <f t="shared" si="63"/>
        <v>662.5</v>
      </c>
      <c r="V242" s="1485">
        <f t="shared" si="64"/>
        <v>25</v>
      </c>
      <c r="W242" s="1525">
        <f t="shared" si="65"/>
        <v>662.5</v>
      </c>
      <c r="X242" s="1485">
        <f t="shared" si="66"/>
        <v>100</v>
      </c>
      <c r="Y242" s="1485">
        <f t="shared" si="67"/>
        <v>2650</v>
      </c>
      <c r="Z242" s="1527" t="s">
        <v>7799</v>
      </c>
      <c r="AA242" s="1379" t="s">
        <v>6526</v>
      </c>
      <c r="AB242" s="1583"/>
      <c r="AC242" s="1584" t="str">
        <f t="shared" si="68"/>
        <v>ok</v>
      </c>
      <c r="AD242" s="1583"/>
      <c r="AE242" s="1583"/>
      <c r="AF242" s="1583"/>
      <c r="AG242" s="1583"/>
      <c r="AH242" s="1583"/>
      <c r="AI242" s="1583"/>
      <c r="AJ242" s="1583"/>
      <c r="AK242" s="1583"/>
      <c r="AL242" s="1583"/>
      <c r="AM242" s="1583"/>
      <c r="AN242" s="1583"/>
      <c r="AO242" s="1583"/>
    </row>
    <row r="243" spans="1:41" x14ac:dyDescent="0.6">
      <c r="A243" s="1432">
        <v>237</v>
      </c>
      <c r="B243" s="1587" t="s">
        <v>8541</v>
      </c>
      <c r="C243" s="1576" t="s">
        <v>8296</v>
      </c>
      <c r="D243" s="1578">
        <v>19</v>
      </c>
      <c r="E243" s="1578">
        <f t="shared" si="52"/>
        <v>608</v>
      </c>
      <c r="F243" s="1579">
        <v>30</v>
      </c>
      <c r="G243" s="1485">
        <f t="shared" si="53"/>
        <v>960</v>
      </c>
      <c r="H243" s="1485">
        <v>20</v>
      </c>
      <c r="I243" s="1485">
        <f t="shared" si="54"/>
        <v>640</v>
      </c>
      <c r="J243" s="1582">
        <v>30</v>
      </c>
      <c r="K243" s="1582">
        <v>0</v>
      </c>
      <c r="L243" s="1525">
        <f t="shared" si="55"/>
        <v>0</v>
      </c>
      <c r="M243" s="1485">
        <f t="shared" si="56"/>
        <v>30</v>
      </c>
      <c r="N243" s="1581">
        <v>32</v>
      </c>
      <c r="O243" s="1582">
        <f t="shared" si="57"/>
        <v>960</v>
      </c>
      <c r="P243" s="1485">
        <v>7</v>
      </c>
      <c r="Q243" s="1485">
        <f t="shared" si="59"/>
        <v>224</v>
      </c>
      <c r="R243" s="1485">
        <v>7</v>
      </c>
      <c r="S243" s="1525">
        <f t="shared" si="61"/>
        <v>224</v>
      </c>
      <c r="T243" s="1485">
        <v>8</v>
      </c>
      <c r="U243" s="1525">
        <f t="shared" si="63"/>
        <v>256</v>
      </c>
      <c r="V243" s="1485">
        <v>8</v>
      </c>
      <c r="W243" s="1525">
        <f t="shared" si="65"/>
        <v>256</v>
      </c>
      <c r="X243" s="1485">
        <f t="shared" si="66"/>
        <v>30</v>
      </c>
      <c r="Y243" s="1485">
        <f t="shared" si="67"/>
        <v>960</v>
      </c>
      <c r="Z243" s="1527" t="s">
        <v>7799</v>
      </c>
      <c r="AA243" s="1379" t="s">
        <v>6526</v>
      </c>
      <c r="AB243" s="1583"/>
      <c r="AC243" s="1584" t="str">
        <f t="shared" si="68"/>
        <v>ok</v>
      </c>
      <c r="AD243" s="1583"/>
      <c r="AE243" s="1583"/>
      <c r="AF243" s="1583"/>
      <c r="AG243" s="1583"/>
      <c r="AH243" s="1583"/>
      <c r="AI243" s="1583"/>
      <c r="AJ243" s="1583"/>
      <c r="AK243" s="1583"/>
      <c r="AL243" s="1583"/>
      <c r="AM243" s="1583"/>
      <c r="AN243" s="1583"/>
      <c r="AO243" s="1583"/>
    </row>
    <row r="244" spans="1:41" ht="42" x14ac:dyDescent="0.6">
      <c r="A244" s="1432">
        <v>238</v>
      </c>
      <c r="B244" s="1587" t="s">
        <v>8542</v>
      </c>
      <c r="C244" s="1576" t="s">
        <v>8298</v>
      </c>
      <c r="D244" s="1578">
        <v>13000</v>
      </c>
      <c r="E244" s="1578">
        <f t="shared" si="52"/>
        <v>41600</v>
      </c>
      <c r="F244" s="1579">
        <v>15000</v>
      </c>
      <c r="G244" s="1485">
        <f t="shared" si="53"/>
        <v>48000</v>
      </c>
      <c r="H244" s="1485">
        <v>13000</v>
      </c>
      <c r="I244" s="1485">
        <f t="shared" si="54"/>
        <v>41600</v>
      </c>
      <c r="J244" s="1582">
        <v>15000</v>
      </c>
      <c r="K244" s="1582">
        <v>1000</v>
      </c>
      <c r="L244" s="1525">
        <f t="shared" si="55"/>
        <v>3200</v>
      </c>
      <c r="M244" s="1485">
        <f t="shared" si="56"/>
        <v>14000</v>
      </c>
      <c r="N244" s="1585">
        <v>3.2</v>
      </c>
      <c r="O244" s="1582">
        <f t="shared" si="57"/>
        <v>44800</v>
      </c>
      <c r="P244" s="1485">
        <f t="shared" si="58"/>
        <v>3500</v>
      </c>
      <c r="Q244" s="1485">
        <f t="shared" si="59"/>
        <v>11200</v>
      </c>
      <c r="R244" s="1485">
        <f t="shared" si="60"/>
        <v>3500</v>
      </c>
      <c r="S244" s="1525">
        <f t="shared" si="61"/>
        <v>11200</v>
      </c>
      <c r="T244" s="1485">
        <f t="shared" si="62"/>
        <v>3500</v>
      </c>
      <c r="U244" s="1525">
        <f t="shared" si="63"/>
        <v>11200</v>
      </c>
      <c r="V244" s="1485">
        <f t="shared" si="64"/>
        <v>3500</v>
      </c>
      <c r="W244" s="1525">
        <f t="shared" si="65"/>
        <v>11200</v>
      </c>
      <c r="X244" s="1485">
        <f t="shared" si="66"/>
        <v>14000</v>
      </c>
      <c r="Y244" s="1485">
        <f t="shared" si="67"/>
        <v>44800</v>
      </c>
      <c r="Z244" s="1527" t="s">
        <v>7799</v>
      </c>
      <c r="AA244" s="1379" t="s">
        <v>6526</v>
      </c>
      <c r="AB244" s="1583"/>
      <c r="AC244" s="1584" t="str">
        <f t="shared" si="68"/>
        <v>ok</v>
      </c>
      <c r="AD244" s="1583"/>
      <c r="AE244" s="1583"/>
      <c r="AF244" s="1583"/>
      <c r="AG244" s="1583"/>
      <c r="AH244" s="1583"/>
      <c r="AI244" s="1583"/>
      <c r="AJ244" s="1583"/>
      <c r="AK244" s="1583"/>
      <c r="AL244" s="1583"/>
      <c r="AM244" s="1583"/>
      <c r="AN244" s="1583"/>
      <c r="AO244" s="1583"/>
    </row>
    <row r="245" spans="1:41" ht="42" x14ac:dyDescent="0.6">
      <c r="A245" s="1432">
        <v>239</v>
      </c>
      <c r="B245" s="1587" t="s">
        <v>8543</v>
      </c>
      <c r="C245" s="1576" t="s">
        <v>8298</v>
      </c>
      <c r="D245" s="1578">
        <v>10020</v>
      </c>
      <c r="E245" s="1578">
        <f t="shared" si="52"/>
        <v>100781.16</v>
      </c>
      <c r="F245" s="1579">
        <v>12000</v>
      </c>
      <c r="G245" s="1485">
        <f t="shared" si="53"/>
        <v>120696</v>
      </c>
      <c r="H245" s="1485">
        <v>13000</v>
      </c>
      <c r="I245" s="1485">
        <f t="shared" si="54"/>
        <v>130754</v>
      </c>
      <c r="J245" s="1582">
        <v>13000</v>
      </c>
      <c r="K245" s="1582">
        <v>3000</v>
      </c>
      <c r="L245" s="1525">
        <f t="shared" si="55"/>
        <v>30174</v>
      </c>
      <c r="M245" s="1485">
        <f t="shared" si="56"/>
        <v>10000</v>
      </c>
      <c r="N245" s="1585">
        <v>10.058</v>
      </c>
      <c r="O245" s="1582">
        <f t="shared" si="57"/>
        <v>100580</v>
      </c>
      <c r="P245" s="1485">
        <f t="shared" si="58"/>
        <v>2500</v>
      </c>
      <c r="Q245" s="1485">
        <f t="shared" si="59"/>
        <v>25145</v>
      </c>
      <c r="R245" s="1485">
        <f t="shared" si="60"/>
        <v>2500</v>
      </c>
      <c r="S245" s="1525">
        <f t="shared" si="61"/>
        <v>25145</v>
      </c>
      <c r="T245" s="1485">
        <f t="shared" si="62"/>
        <v>2500</v>
      </c>
      <c r="U245" s="1525">
        <f t="shared" si="63"/>
        <v>25145</v>
      </c>
      <c r="V245" s="1485">
        <f t="shared" si="64"/>
        <v>2500</v>
      </c>
      <c r="W245" s="1525">
        <f t="shared" si="65"/>
        <v>25145</v>
      </c>
      <c r="X245" s="1485">
        <f t="shared" si="66"/>
        <v>10000</v>
      </c>
      <c r="Y245" s="1485">
        <f t="shared" si="67"/>
        <v>100580</v>
      </c>
      <c r="Z245" s="1527" t="s">
        <v>7799</v>
      </c>
      <c r="AA245" s="1379" t="s">
        <v>6526</v>
      </c>
      <c r="AB245" s="1583"/>
      <c r="AC245" s="1584" t="str">
        <f t="shared" si="68"/>
        <v>ok</v>
      </c>
      <c r="AD245" s="1583"/>
      <c r="AE245" s="1583"/>
      <c r="AF245" s="1583"/>
      <c r="AG245" s="1583"/>
      <c r="AH245" s="1583"/>
      <c r="AI245" s="1583"/>
      <c r="AJ245" s="1583"/>
      <c r="AK245" s="1583"/>
      <c r="AL245" s="1583"/>
      <c r="AM245" s="1583"/>
      <c r="AN245" s="1583"/>
      <c r="AO245" s="1583"/>
    </row>
    <row r="246" spans="1:41" x14ac:dyDescent="0.6">
      <c r="A246" s="1432">
        <v>240</v>
      </c>
      <c r="B246" s="1587" t="s">
        <v>8544</v>
      </c>
      <c r="C246" s="1576" t="s">
        <v>8296</v>
      </c>
      <c r="D246" s="1578">
        <v>67</v>
      </c>
      <c r="E246" s="1578">
        <f t="shared" si="52"/>
        <v>1577.1799999999998</v>
      </c>
      <c r="F246" s="1579">
        <v>100</v>
      </c>
      <c r="G246" s="1485">
        <f t="shared" si="53"/>
        <v>2354</v>
      </c>
      <c r="H246" s="1485">
        <v>90</v>
      </c>
      <c r="I246" s="1485">
        <f t="shared" si="54"/>
        <v>2118.6</v>
      </c>
      <c r="J246" s="1582">
        <v>100</v>
      </c>
      <c r="K246" s="1582">
        <v>30</v>
      </c>
      <c r="L246" s="1525">
        <f t="shared" si="55"/>
        <v>706.19999999999993</v>
      </c>
      <c r="M246" s="1485">
        <f t="shared" si="56"/>
        <v>70</v>
      </c>
      <c r="N246" s="1581">
        <v>23.54</v>
      </c>
      <c r="O246" s="1582">
        <f t="shared" si="57"/>
        <v>1647.8</v>
      </c>
      <c r="P246" s="1485">
        <v>70</v>
      </c>
      <c r="Q246" s="1485">
        <f t="shared" si="59"/>
        <v>1647.8</v>
      </c>
      <c r="R246" s="1485">
        <v>0</v>
      </c>
      <c r="S246" s="1525">
        <f t="shared" si="61"/>
        <v>0</v>
      </c>
      <c r="T246" s="1485">
        <v>0</v>
      </c>
      <c r="U246" s="1525">
        <f t="shared" si="63"/>
        <v>0</v>
      </c>
      <c r="V246" s="1485">
        <v>0</v>
      </c>
      <c r="W246" s="1525">
        <f t="shared" si="65"/>
        <v>0</v>
      </c>
      <c r="X246" s="1485">
        <f t="shared" si="66"/>
        <v>70</v>
      </c>
      <c r="Y246" s="1485">
        <f t="shared" si="67"/>
        <v>1647.8</v>
      </c>
      <c r="Z246" s="1527" t="s">
        <v>7799</v>
      </c>
      <c r="AA246" s="1379" t="s">
        <v>6526</v>
      </c>
      <c r="AB246" s="1583"/>
      <c r="AC246" s="1584" t="str">
        <f t="shared" si="68"/>
        <v>ok</v>
      </c>
      <c r="AD246" s="1583"/>
      <c r="AE246" s="1583"/>
      <c r="AF246" s="1583"/>
      <c r="AG246" s="1583"/>
      <c r="AH246" s="1583"/>
      <c r="AI246" s="1583"/>
      <c r="AJ246" s="1583"/>
      <c r="AK246" s="1583"/>
      <c r="AL246" s="1583"/>
      <c r="AM246" s="1583"/>
      <c r="AN246" s="1583"/>
      <c r="AO246" s="1583"/>
    </row>
    <row r="247" spans="1:41" x14ac:dyDescent="0.6">
      <c r="A247" s="1432">
        <v>241</v>
      </c>
      <c r="B247" s="1587" t="s">
        <v>8545</v>
      </c>
      <c r="C247" s="1576" t="s">
        <v>8298</v>
      </c>
      <c r="D247" s="1578">
        <f>1370+4000</f>
        <v>5370</v>
      </c>
      <c r="E247" s="1578">
        <f t="shared" si="52"/>
        <v>3866.3999999999996</v>
      </c>
      <c r="F247" s="1579">
        <v>7000</v>
      </c>
      <c r="G247" s="1485">
        <f t="shared" si="53"/>
        <v>5040</v>
      </c>
      <c r="H247" s="1485">
        <v>9000</v>
      </c>
      <c r="I247" s="1485">
        <f t="shared" si="54"/>
        <v>6480</v>
      </c>
      <c r="J247" s="1582">
        <v>10000</v>
      </c>
      <c r="K247" s="1582">
        <v>3000</v>
      </c>
      <c r="L247" s="1525">
        <f t="shared" si="55"/>
        <v>2160</v>
      </c>
      <c r="M247" s="1485">
        <f t="shared" si="56"/>
        <v>7000</v>
      </c>
      <c r="N247" s="1581">
        <v>0.72</v>
      </c>
      <c r="O247" s="1582">
        <f t="shared" si="57"/>
        <v>5040</v>
      </c>
      <c r="P247" s="1485">
        <f t="shared" si="58"/>
        <v>1750</v>
      </c>
      <c r="Q247" s="1485">
        <f t="shared" si="59"/>
        <v>1260</v>
      </c>
      <c r="R247" s="1485">
        <f t="shared" si="60"/>
        <v>1750</v>
      </c>
      <c r="S247" s="1525">
        <f t="shared" si="61"/>
        <v>1260</v>
      </c>
      <c r="T247" s="1485">
        <f t="shared" si="62"/>
        <v>1750</v>
      </c>
      <c r="U247" s="1525">
        <f t="shared" si="63"/>
        <v>1260</v>
      </c>
      <c r="V247" s="1485">
        <f t="shared" si="64"/>
        <v>1750</v>
      </c>
      <c r="W247" s="1525">
        <f t="shared" si="65"/>
        <v>1260</v>
      </c>
      <c r="X247" s="1485">
        <f t="shared" si="66"/>
        <v>7000</v>
      </c>
      <c r="Y247" s="1485">
        <f t="shared" si="67"/>
        <v>5040</v>
      </c>
      <c r="Z247" s="1527" t="s">
        <v>7799</v>
      </c>
      <c r="AA247" s="1379" t="s">
        <v>6526</v>
      </c>
      <c r="AB247" s="1583"/>
      <c r="AC247" s="1584" t="str">
        <f t="shared" si="68"/>
        <v>ok</v>
      </c>
      <c r="AD247" s="1583"/>
      <c r="AE247" s="1583"/>
      <c r="AF247" s="1583"/>
      <c r="AG247" s="1583"/>
      <c r="AH247" s="1583"/>
      <c r="AI247" s="1583"/>
      <c r="AJ247" s="1583"/>
      <c r="AK247" s="1583"/>
      <c r="AL247" s="1583"/>
      <c r="AM247" s="1583"/>
      <c r="AN247" s="1583"/>
      <c r="AO247" s="1583"/>
    </row>
    <row r="248" spans="1:41" ht="42" x14ac:dyDescent="0.6">
      <c r="A248" s="1432">
        <v>243</v>
      </c>
      <c r="B248" s="1587" t="s">
        <v>8546</v>
      </c>
      <c r="C248" s="1576" t="s">
        <v>8296</v>
      </c>
      <c r="D248" s="1578">
        <v>1083</v>
      </c>
      <c r="E248" s="1578">
        <f t="shared" si="52"/>
        <v>17328</v>
      </c>
      <c r="F248" s="1579">
        <v>1100</v>
      </c>
      <c r="G248" s="1485">
        <f t="shared" si="53"/>
        <v>17600</v>
      </c>
      <c r="H248" s="1485">
        <v>1200</v>
      </c>
      <c r="I248" s="1485">
        <f t="shared" si="54"/>
        <v>19200</v>
      </c>
      <c r="J248" s="1582">
        <v>1200</v>
      </c>
      <c r="K248" s="1582">
        <v>400</v>
      </c>
      <c r="L248" s="1525">
        <f t="shared" si="55"/>
        <v>6400</v>
      </c>
      <c r="M248" s="1485">
        <f t="shared" si="56"/>
        <v>800</v>
      </c>
      <c r="N248" s="1581">
        <v>16</v>
      </c>
      <c r="O248" s="1582">
        <f t="shared" si="57"/>
        <v>12800</v>
      </c>
      <c r="P248" s="1485">
        <f t="shared" si="58"/>
        <v>200</v>
      </c>
      <c r="Q248" s="1485">
        <f t="shared" si="59"/>
        <v>3200</v>
      </c>
      <c r="R248" s="1485">
        <f t="shared" si="60"/>
        <v>200</v>
      </c>
      <c r="S248" s="1525">
        <f t="shared" si="61"/>
        <v>3200</v>
      </c>
      <c r="T248" s="1485">
        <f t="shared" si="62"/>
        <v>200</v>
      </c>
      <c r="U248" s="1525">
        <f t="shared" si="63"/>
        <v>3200</v>
      </c>
      <c r="V248" s="1485">
        <f t="shared" si="64"/>
        <v>200</v>
      </c>
      <c r="W248" s="1525">
        <f t="shared" si="65"/>
        <v>3200</v>
      </c>
      <c r="X248" s="1485">
        <f t="shared" si="66"/>
        <v>800</v>
      </c>
      <c r="Y248" s="1485">
        <f t="shared" si="67"/>
        <v>12800</v>
      </c>
      <c r="Z248" s="1527" t="s">
        <v>7799</v>
      </c>
      <c r="AA248" s="1379" t="s">
        <v>6526</v>
      </c>
      <c r="AB248" s="1583"/>
      <c r="AC248" s="1584" t="str">
        <f t="shared" si="68"/>
        <v>ok</v>
      </c>
      <c r="AD248" s="1583"/>
      <c r="AE248" s="1583"/>
      <c r="AF248" s="1583"/>
      <c r="AG248" s="1583"/>
      <c r="AH248" s="1583"/>
      <c r="AI248" s="1583"/>
      <c r="AJ248" s="1583"/>
      <c r="AK248" s="1583"/>
      <c r="AL248" s="1583"/>
      <c r="AM248" s="1583"/>
      <c r="AN248" s="1583"/>
      <c r="AO248" s="1583"/>
    </row>
    <row r="249" spans="1:41" ht="42" x14ac:dyDescent="0.6">
      <c r="A249" s="1432">
        <v>244</v>
      </c>
      <c r="B249" s="1587" t="s">
        <v>8547</v>
      </c>
      <c r="C249" s="1576" t="s">
        <v>8296</v>
      </c>
      <c r="D249" s="1578">
        <v>600</v>
      </c>
      <c r="E249" s="1578">
        <f t="shared" si="52"/>
        <v>16140</v>
      </c>
      <c r="F249" s="1579">
        <v>1000</v>
      </c>
      <c r="G249" s="1485">
        <f t="shared" si="53"/>
        <v>26900</v>
      </c>
      <c r="H249" s="1485">
        <v>650</v>
      </c>
      <c r="I249" s="1485">
        <f t="shared" si="54"/>
        <v>17485</v>
      </c>
      <c r="J249" s="1582">
        <v>1000</v>
      </c>
      <c r="K249" s="1582">
        <v>400</v>
      </c>
      <c r="L249" s="1525">
        <f t="shared" si="55"/>
        <v>10760</v>
      </c>
      <c r="M249" s="1485">
        <f t="shared" si="56"/>
        <v>600</v>
      </c>
      <c r="N249" s="1581">
        <v>26.9</v>
      </c>
      <c r="O249" s="1582">
        <f t="shared" si="57"/>
        <v>16140</v>
      </c>
      <c r="P249" s="1485">
        <f t="shared" si="58"/>
        <v>150</v>
      </c>
      <c r="Q249" s="1485">
        <f t="shared" si="59"/>
        <v>4035</v>
      </c>
      <c r="R249" s="1485">
        <f t="shared" si="60"/>
        <v>150</v>
      </c>
      <c r="S249" s="1525">
        <f t="shared" si="61"/>
        <v>4035</v>
      </c>
      <c r="T249" s="1485">
        <f t="shared" si="62"/>
        <v>150</v>
      </c>
      <c r="U249" s="1525">
        <f t="shared" si="63"/>
        <v>4035</v>
      </c>
      <c r="V249" s="1485">
        <f t="shared" si="64"/>
        <v>150</v>
      </c>
      <c r="W249" s="1525">
        <f t="shared" si="65"/>
        <v>4035</v>
      </c>
      <c r="X249" s="1485">
        <f t="shared" si="66"/>
        <v>600</v>
      </c>
      <c r="Y249" s="1485">
        <f t="shared" si="67"/>
        <v>16140</v>
      </c>
      <c r="Z249" s="1527" t="s">
        <v>7799</v>
      </c>
      <c r="AA249" s="1379" t="s">
        <v>6526</v>
      </c>
      <c r="AB249" s="1583"/>
      <c r="AC249" s="1584" t="str">
        <f t="shared" si="68"/>
        <v>ok</v>
      </c>
      <c r="AD249" s="1583"/>
      <c r="AE249" s="1583"/>
      <c r="AF249" s="1583"/>
      <c r="AG249" s="1583"/>
      <c r="AH249" s="1583"/>
      <c r="AI249" s="1583"/>
      <c r="AJ249" s="1583"/>
      <c r="AK249" s="1583"/>
      <c r="AL249" s="1583"/>
      <c r="AM249" s="1583"/>
      <c r="AN249" s="1583"/>
      <c r="AO249" s="1583"/>
    </row>
    <row r="250" spans="1:41" ht="42" x14ac:dyDescent="0.6">
      <c r="A250" s="1432">
        <v>245</v>
      </c>
      <c r="B250" s="1587" t="s">
        <v>8548</v>
      </c>
      <c r="C250" s="1576" t="s">
        <v>8305</v>
      </c>
      <c r="D250" s="1578">
        <v>4</v>
      </c>
      <c r="E250" s="1578">
        <f t="shared" si="52"/>
        <v>24000</v>
      </c>
      <c r="F250" s="1579">
        <v>5</v>
      </c>
      <c r="G250" s="1485">
        <f t="shared" si="53"/>
        <v>30000</v>
      </c>
      <c r="H250" s="1485">
        <v>5</v>
      </c>
      <c r="I250" s="1485">
        <f t="shared" si="54"/>
        <v>30000</v>
      </c>
      <c r="J250" s="1582">
        <v>4</v>
      </c>
      <c r="K250" s="1582">
        <v>2</v>
      </c>
      <c r="L250" s="1525">
        <f t="shared" si="55"/>
        <v>12000</v>
      </c>
      <c r="M250" s="1485">
        <f t="shared" si="56"/>
        <v>2</v>
      </c>
      <c r="N250" s="1581">
        <v>6000</v>
      </c>
      <c r="O250" s="1582">
        <f t="shared" si="57"/>
        <v>12000</v>
      </c>
      <c r="P250" s="1485">
        <v>2</v>
      </c>
      <c r="Q250" s="1485">
        <f t="shared" si="59"/>
        <v>12000</v>
      </c>
      <c r="R250" s="1485">
        <v>0</v>
      </c>
      <c r="S250" s="1525">
        <f t="shared" si="61"/>
        <v>0</v>
      </c>
      <c r="T250" s="1485">
        <v>0</v>
      </c>
      <c r="U250" s="1525">
        <f t="shared" si="63"/>
        <v>0</v>
      </c>
      <c r="V250" s="1485">
        <v>0</v>
      </c>
      <c r="W250" s="1525">
        <f t="shared" si="65"/>
        <v>0</v>
      </c>
      <c r="X250" s="1485">
        <f t="shared" si="66"/>
        <v>2</v>
      </c>
      <c r="Y250" s="1485">
        <f t="shared" si="67"/>
        <v>12000</v>
      </c>
      <c r="Z250" s="1527" t="s">
        <v>7799</v>
      </c>
      <c r="AA250" s="1379" t="s">
        <v>6526</v>
      </c>
      <c r="AB250" s="1583"/>
      <c r="AC250" s="1584" t="str">
        <f t="shared" si="68"/>
        <v>ok</v>
      </c>
      <c r="AD250" s="1583"/>
      <c r="AE250" s="1583"/>
      <c r="AF250" s="1583"/>
      <c r="AG250" s="1583"/>
      <c r="AH250" s="1583"/>
      <c r="AI250" s="1583"/>
      <c r="AJ250" s="1583"/>
      <c r="AK250" s="1583"/>
      <c r="AL250" s="1583"/>
      <c r="AM250" s="1583"/>
      <c r="AN250" s="1583"/>
      <c r="AO250" s="1583"/>
    </row>
    <row r="251" spans="1:41" x14ac:dyDescent="0.6">
      <c r="A251" s="1432">
        <v>246</v>
      </c>
      <c r="B251" s="1587" t="s">
        <v>8549</v>
      </c>
      <c r="C251" s="1576" t="s">
        <v>8305</v>
      </c>
      <c r="D251" s="1578">
        <v>9</v>
      </c>
      <c r="E251" s="1578">
        <f t="shared" si="52"/>
        <v>3960</v>
      </c>
      <c r="F251" s="1579">
        <v>12</v>
      </c>
      <c r="G251" s="1485">
        <f t="shared" si="53"/>
        <v>5280</v>
      </c>
      <c r="H251" s="1485">
        <v>12</v>
      </c>
      <c r="I251" s="1485">
        <f t="shared" si="54"/>
        <v>5280</v>
      </c>
      <c r="J251" s="1582">
        <v>12</v>
      </c>
      <c r="K251" s="1582">
        <v>0</v>
      </c>
      <c r="L251" s="1525">
        <f t="shared" si="55"/>
        <v>0</v>
      </c>
      <c r="M251" s="1485">
        <f t="shared" si="56"/>
        <v>12</v>
      </c>
      <c r="N251" s="1581">
        <v>440</v>
      </c>
      <c r="O251" s="1582">
        <f t="shared" si="57"/>
        <v>5280</v>
      </c>
      <c r="P251" s="1485">
        <f t="shared" si="58"/>
        <v>3</v>
      </c>
      <c r="Q251" s="1485">
        <f t="shared" si="59"/>
        <v>1320</v>
      </c>
      <c r="R251" s="1485">
        <f t="shared" si="60"/>
        <v>3</v>
      </c>
      <c r="S251" s="1525">
        <f t="shared" si="61"/>
        <v>1320</v>
      </c>
      <c r="T251" s="1485">
        <f t="shared" si="62"/>
        <v>3</v>
      </c>
      <c r="U251" s="1525">
        <f t="shared" si="63"/>
        <v>1320</v>
      </c>
      <c r="V251" s="1485">
        <f t="shared" si="64"/>
        <v>3</v>
      </c>
      <c r="W251" s="1525">
        <f t="shared" si="65"/>
        <v>1320</v>
      </c>
      <c r="X251" s="1485">
        <f t="shared" si="66"/>
        <v>12</v>
      </c>
      <c r="Y251" s="1485">
        <f t="shared" si="67"/>
        <v>5280</v>
      </c>
      <c r="Z251" s="1527" t="s">
        <v>7799</v>
      </c>
      <c r="AA251" s="1379" t="s">
        <v>6526</v>
      </c>
      <c r="AB251" s="1583"/>
      <c r="AC251" s="1584" t="str">
        <f t="shared" si="68"/>
        <v>ok</v>
      </c>
      <c r="AD251" s="1583"/>
      <c r="AE251" s="1583"/>
      <c r="AF251" s="1583"/>
      <c r="AG251" s="1583"/>
      <c r="AH251" s="1583"/>
      <c r="AI251" s="1583"/>
      <c r="AJ251" s="1583"/>
      <c r="AK251" s="1583"/>
      <c r="AL251" s="1583"/>
      <c r="AM251" s="1583"/>
      <c r="AN251" s="1583"/>
      <c r="AO251" s="1583"/>
    </row>
    <row r="252" spans="1:41" x14ac:dyDescent="0.6">
      <c r="A252" s="1432">
        <v>247</v>
      </c>
      <c r="B252" s="1587" t="s">
        <v>8550</v>
      </c>
      <c r="C252" s="1576" t="s">
        <v>8298</v>
      </c>
      <c r="D252" s="1578">
        <v>360</v>
      </c>
      <c r="E252" s="1578">
        <f t="shared" si="52"/>
        <v>4104</v>
      </c>
      <c r="F252" s="1579">
        <v>600</v>
      </c>
      <c r="G252" s="1485">
        <f t="shared" si="53"/>
        <v>6840</v>
      </c>
      <c r="H252" s="1485">
        <v>3000</v>
      </c>
      <c r="I252" s="1485">
        <f t="shared" si="54"/>
        <v>34200</v>
      </c>
      <c r="J252" s="1582">
        <v>2000</v>
      </c>
      <c r="K252" s="1582">
        <v>0</v>
      </c>
      <c r="L252" s="1525">
        <f t="shared" si="55"/>
        <v>0</v>
      </c>
      <c r="M252" s="1485">
        <f t="shared" si="56"/>
        <v>2000</v>
      </c>
      <c r="N252" s="1581">
        <v>11.4</v>
      </c>
      <c r="O252" s="1582">
        <f t="shared" si="57"/>
        <v>22800</v>
      </c>
      <c r="P252" s="1485">
        <f t="shared" si="58"/>
        <v>500</v>
      </c>
      <c r="Q252" s="1485">
        <f t="shared" si="59"/>
        <v>5700</v>
      </c>
      <c r="R252" s="1485">
        <f t="shared" si="60"/>
        <v>500</v>
      </c>
      <c r="S252" s="1525">
        <f t="shared" si="61"/>
        <v>5700</v>
      </c>
      <c r="T252" s="1485">
        <f t="shared" si="62"/>
        <v>500</v>
      </c>
      <c r="U252" s="1525">
        <f t="shared" si="63"/>
        <v>5700</v>
      </c>
      <c r="V252" s="1485">
        <f t="shared" si="64"/>
        <v>500</v>
      </c>
      <c r="W252" s="1525">
        <f t="shared" si="65"/>
        <v>5700</v>
      </c>
      <c r="X252" s="1485">
        <f t="shared" si="66"/>
        <v>2000</v>
      </c>
      <c r="Y252" s="1485">
        <f t="shared" si="67"/>
        <v>22800</v>
      </c>
      <c r="Z252" s="1527" t="s">
        <v>7799</v>
      </c>
      <c r="AA252" s="1379" t="s">
        <v>6526</v>
      </c>
      <c r="AB252" s="1583"/>
      <c r="AC252" s="1584" t="str">
        <f t="shared" si="68"/>
        <v>ok</v>
      </c>
      <c r="AD252" s="1583"/>
      <c r="AE252" s="1583"/>
      <c r="AF252" s="1583"/>
      <c r="AG252" s="1583"/>
      <c r="AH252" s="1583"/>
      <c r="AI252" s="1583"/>
      <c r="AJ252" s="1583"/>
      <c r="AK252" s="1583"/>
      <c r="AL252" s="1583"/>
      <c r="AM252" s="1583"/>
      <c r="AN252" s="1583"/>
      <c r="AO252" s="1583"/>
    </row>
    <row r="253" spans="1:41" x14ac:dyDescent="0.6">
      <c r="A253" s="1432">
        <v>248</v>
      </c>
      <c r="B253" s="1587" t="s">
        <v>8551</v>
      </c>
      <c r="C253" s="1576" t="s">
        <v>8298</v>
      </c>
      <c r="D253" s="1578">
        <f>5800+52000+1400</f>
        <v>59200</v>
      </c>
      <c r="E253" s="1578">
        <f t="shared" si="52"/>
        <v>65889.600000000006</v>
      </c>
      <c r="F253" s="1579">
        <v>59000</v>
      </c>
      <c r="G253" s="1485">
        <f t="shared" si="53"/>
        <v>65667</v>
      </c>
      <c r="H253" s="1485">
        <v>62000</v>
      </c>
      <c r="I253" s="1485">
        <f t="shared" si="54"/>
        <v>69006</v>
      </c>
      <c r="J253" s="1582">
        <v>65000</v>
      </c>
      <c r="K253" s="1582">
        <v>25000</v>
      </c>
      <c r="L253" s="1525">
        <f t="shared" si="55"/>
        <v>27825</v>
      </c>
      <c r="M253" s="1485">
        <f t="shared" si="56"/>
        <v>40000</v>
      </c>
      <c r="N253" s="1581">
        <v>1.113</v>
      </c>
      <c r="O253" s="1582">
        <f t="shared" si="57"/>
        <v>44520</v>
      </c>
      <c r="P253" s="1485">
        <f t="shared" si="58"/>
        <v>10000</v>
      </c>
      <c r="Q253" s="1485">
        <f t="shared" si="59"/>
        <v>11130</v>
      </c>
      <c r="R253" s="1485">
        <f t="shared" si="60"/>
        <v>10000</v>
      </c>
      <c r="S253" s="1525">
        <f t="shared" si="61"/>
        <v>11130</v>
      </c>
      <c r="T253" s="1485">
        <f t="shared" si="62"/>
        <v>10000</v>
      </c>
      <c r="U253" s="1525">
        <f t="shared" si="63"/>
        <v>11130</v>
      </c>
      <c r="V253" s="1485">
        <f t="shared" si="64"/>
        <v>10000</v>
      </c>
      <c r="W253" s="1525">
        <f t="shared" si="65"/>
        <v>11130</v>
      </c>
      <c r="X253" s="1485">
        <f t="shared" si="66"/>
        <v>40000</v>
      </c>
      <c r="Y253" s="1485">
        <f t="shared" si="67"/>
        <v>44520</v>
      </c>
      <c r="Z253" s="1527" t="s">
        <v>7799</v>
      </c>
      <c r="AA253" s="1379" t="s">
        <v>6526</v>
      </c>
      <c r="AB253" s="1583"/>
      <c r="AC253" s="1584" t="str">
        <f t="shared" si="68"/>
        <v>ok</v>
      </c>
      <c r="AD253" s="1583"/>
      <c r="AE253" s="1583"/>
      <c r="AF253" s="1583"/>
      <c r="AG253" s="1583"/>
      <c r="AH253" s="1583"/>
      <c r="AI253" s="1583"/>
      <c r="AJ253" s="1583"/>
      <c r="AK253" s="1583"/>
      <c r="AL253" s="1583"/>
      <c r="AM253" s="1583"/>
      <c r="AN253" s="1583"/>
      <c r="AO253" s="1583"/>
    </row>
    <row r="254" spans="1:41" x14ac:dyDescent="0.6">
      <c r="A254" s="1432">
        <v>249</v>
      </c>
      <c r="B254" s="1587" t="s">
        <v>8552</v>
      </c>
      <c r="C254" s="1576" t="s">
        <v>8298</v>
      </c>
      <c r="D254" s="1578">
        <v>9100</v>
      </c>
      <c r="E254" s="1578">
        <f t="shared" si="52"/>
        <v>2821</v>
      </c>
      <c r="F254" s="1579">
        <v>12000</v>
      </c>
      <c r="G254" s="1485">
        <f t="shared" si="53"/>
        <v>3720</v>
      </c>
      <c r="H254" s="1485">
        <v>10000</v>
      </c>
      <c r="I254" s="1485">
        <f t="shared" si="54"/>
        <v>3100</v>
      </c>
      <c r="J254" s="1582">
        <v>13000</v>
      </c>
      <c r="K254" s="1582">
        <v>4000</v>
      </c>
      <c r="L254" s="1525">
        <f t="shared" si="55"/>
        <v>1240</v>
      </c>
      <c r="M254" s="1485">
        <f t="shared" si="56"/>
        <v>9000</v>
      </c>
      <c r="N254" s="1585">
        <v>0.31</v>
      </c>
      <c r="O254" s="1582">
        <f t="shared" si="57"/>
        <v>2790</v>
      </c>
      <c r="P254" s="1485">
        <f t="shared" si="58"/>
        <v>2250</v>
      </c>
      <c r="Q254" s="1485">
        <f t="shared" si="59"/>
        <v>697.5</v>
      </c>
      <c r="R254" s="1485">
        <f t="shared" si="60"/>
        <v>2250</v>
      </c>
      <c r="S254" s="1525">
        <f t="shared" si="61"/>
        <v>697.5</v>
      </c>
      <c r="T254" s="1485">
        <f t="shared" si="62"/>
        <v>2250</v>
      </c>
      <c r="U254" s="1525">
        <f t="shared" si="63"/>
        <v>697.5</v>
      </c>
      <c r="V254" s="1485">
        <f t="shared" si="64"/>
        <v>2250</v>
      </c>
      <c r="W254" s="1525">
        <f t="shared" si="65"/>
        <v>697.5</v>
      </c>
      <c r="X254" s="1485">
        <f t="shared" si="66"/>
        <v>9000</v>
      </c>
      <c r="Y254" s="1485">
        <f t="shared" si="67"/>
        <v>2790</v>
      </c>
      <c r="Z254" s="1527" t="s">
        <v>7799</v>
      </c>
      <c r="AA254" s="1379" t="s">
        <v>6526</v>
      </c>
      <c r="AB254" s="1583"/>
      <c r="AC254" s="1584" t="str">
        <f t="shared" si="68"/>
        <v>ok</v>
      </c>
      <c r="AD254" s="1583"/>
      <c r="AE254" s="1583"/>
      <c r="AF254" s="1583"/>
      <c r="AG254" s="1583"/>
      <c r="AH254" s="1583"/>
      <c r="AI254" s="1583"/>
      <c r="AJ254" s="1583"/>
      <c r="AK254" s="1583"/>
      <c r="AL254" s="1583"/>
      <c r="AM254" s="1583"/>
      <c r="AN254" s="1583"/>
      <c r="AO254" s="1583"/>
    </row>
    <row r="255" spans="1:41" x14ac:dyDescent="0.6">
      <c r="A255" s="1432">
        <v>250</v>
      </c>
      <c r="B255" s="1587" t="s">
        <v>8553</v>
      </c>
      <c r="C255" s="1576" t="s">
        <v>8298</v>
      </c>
      <c r="D255" s="1578">
        <f>1600+11500</f>
        <v>13100</v>
      </c>
      <c r="E255" s="1578">
        <f t="shared" si="52"/>
        <v>4192</v>
      </c>
      <c r="F255" s="1579">
        <v>16000</v>
      </c>
      <c r="G255" s="1485">
        <f t="shared" si="53"/>
        <v>5120</v>
      </c>
      <c r="H255" s="1485">
        <v>28000</v>
      </c>
      <c r="I255" s="1485">
        <f t="shared" si="54"/>
        <v>8960</v>
      </c>
      <c r="J255" s="1582">
        <v>35000</v>
      </c>
      <c r="K255" s="1582">
        <v>2500</v>
      </c>
      <c r="L255" s="1525">
        <f t="shared" si="55"/>
        <v>800</v>
      </c>
      <c r="M255" s="1485">
        <f t="shared" si="56"/>
        <v>32500</v>
      </c>
      <c r="N255" s="1581">
        <v>0.32</v>
      </c>
      <c r="O255" s="1582">
        <f t="shared" si="57"/>
        <v>10400</v>
      </c>
      <c r="P255" s="1485">
        <f t="shared" si="58"/>
        <v>8125</v>
      </c>
      <c r="Q255" s="1485">
        <f t="shared" si="59"/>
        <v>2600</v>
      </c>
      <c r="R255" s="1485">
        <f t="shared" si="60"/>
        <v>8125</v>
      </c>
      <c r="S255" s="1525">
        <f t="shared" si="61"/>
        <v>2600</v>
      </c>
      <c r="T255" s="1485">
        <f t="shared" si="62"/>
        <v>8125</v>
      </c>
      <c r="U255" s="1525">
        <f t="shared" si="63"/>
        <v>2600</v>
      </c>
      <c r="V255" s="1485">
        <f t="shared" si="64"/>
        <v>8125</v>
      </c>
      <c r="W255" s="1525">
        <f t="shared" si="65"/>
        <v>2600</v>
      </c>
      <c r="X255" s="1485">
        <f t="shared" si="66"/>
        <v>32500</v>
      </c>
      <c r="Y255" s="1485">
        <f t="shared" si="67"/>
        <v>10400</v>
      </c>
      <c r="Z255" s="1527" t="s">
        <v>7799</v>
      </c>
      <c r="AA255" s="1379" t="s">
        <v>6526</v>
      </c>
      <c r="AB255" s="1583"/>
      <c r="AC255" s="1584" t="str">
        <f t="shared" si="68"/>
        <v>ok</v>
      </c>
      <c r="AD255" s="1583"/>
      <c r="AE255" s="1583"/>
      <c r="AF255" s="1583"/>
      <c r="AG255" s="1583"/>
      <c r="AH255" s="1583"/>
      <c r="AI255" s="1583"/>
      <c r="AJ255" s="1583"/>
      <c r="AK255" s="1583"/>
      <c r="AL255" s="1583"/>
      <c r="AM255" s="1583"/>
      <c r="AN255" s="1583"/>
      <c r="AO255" s="1583"/>
    </row>
    <row r="256" spans="1:41" x14ac:dyDescent="0.6">
      <c r="A256" s="1432">
        <v>251</v>
      </c>
      <c r="B256" s="1587" t="s">
        <v>8554</v>
      </c>
      <c r="C256" s="1576" t="s">
        <v>8305</v>
      </c>
      <c r="D256" s="1578">
        <v>490</v>
      </c>
      <c r="E256" s="1578">
        <f t="shared" si="52"/>
        <v>2303</v>
      </c>
      <c r="F256" s="1579">
        <v>600</v>
      </c>
      <c r="G256" s="1485">
        <f t="shared" si="53"/>
        <v>2820</v>
      </c>
      <c r="H256" s="1485">
        <v>600</v>
      </c>
      <c r="I256" s="1485">
        <f t="shared" si="54"/>
        <v>2820</v>
      </c>
      <c r="J256" s="1582">
        <v>650</v>
      </c>
      <c r="K256" s="1582">
        <v>150</v>
      </c>
      <c r="L256" s="1525">
        <f t="shared" si="55"/>
        <v>705</v>
      </c>
      <c r="M256" s="1485">
        <f t="shared" si="56"/>
        <v>500</v>
      </c>
      <c r="N256" s="1581">
        <v>4.7</v>
      </c>
      <c r="O256" s="1582">
        <f t="shared" si="57"/>
        <v>2350</v>
      </c>
      <c r="P256" s="1485">
        <f t="shared" si="58"/>
        <v>125</v>
      </c>
      <c r="Q256" s="1485">
        <f t="shared" si="59"/>
        <v>587.5</v>
      </c>
      <c r="R256" s="1485">
        <f t="shared" si="60"/>
        <v>125</v>
      </c>
      <c r="S256" s="1525">
        <f t="shared" si="61"/>
        <v>587.5</v>
      </c>
      <c r="T256" s="1485">
        <f t="shared" si="62"/>
        <v>125</v>
      </c>
      <c r="U256" s="1525">
        <f t="shared" si="63"/>
        <v>587.5</v>
      </c>
      <c r="V256" s="1485">
        <f t="shared" si="64"/>
        <v>125</v>
      </c>
      <c r="W256" s="1525">
        <f t="shared" si="65"/>
        <v>587.5</v>
      </c>
      <c r="X256" s="1485">
        <f t="shared" si="66"/>
        <v>500</v>
      </c>
      <c r="Y256" s="1485">
        <f t="shared" si="67"/>
        <v>2350</v>
      </c>
      <c r="Z256" s="1527" t="s">
        <v>7799</v>
      </c>
      <c r="AA256" s="1379" t="s">
        <v>6526</v>
      </c>
      <c r="AB256" s="1583"/>
      <c r="AC256" s="1584" t="str">
        <f t="shared" si="68"/>
        <v>ok</v>
      </c>
      <c r="AD256" s="1583"/>
      <c r="AE256" s="1583"/>
      <c r="AF256" s="1583"/>
      <c r="AG256" s="1583"/>
      <c r="AH256" s="1583"/>
      <c r="AI256" s="1583"/>
      <c r="AJ256" s="1583"/>
      <c r="AK256" s="1583"/>
      <c r="AL256" s="1583"/>
      <c r="AM256" s="1583"/>
      <c r="AN256" s="1583"/>
      <c r="AO256" s="1583"/>
    </row>
    <row r="257" spans="1:41" ht="42" x14ac:dyDescent="0.6">
      <c r="A257" s="1432">
        <v>252</v>
      </c>
      <c r="B257" s="1587" t="s">
        <v>8555</v>
      </c>
      <c r="C257" s="1576" t="s">
        <v>8305</v>
      </c>
      <c r="D257" s="1578">
        <f>180+130</f>
        <v>310</v>
      </c>
      <c r="E257" s="1578">
        <f t="shared" si="52"/>
        <v>7960.8</v>
      </c>
      <c r="F257" s="1579">
        <v>300</v>
      </c>
      <c r="G257" s="1485">
        <f t="shared" si="53"/>
        <v>7704</v>
      </c>
      <c r="H257" s="1485">
        <v>450</v>
      </c>
      <c r="I257" s="1485">
        <f t="shared" si="54"/>
        <v>11556</v>
      </c>
      <c r="J257" s="1582">
        <v>500</v>
      </c>
      <c r="K257" s="1582">
        <v>100</v>
      </c>
      <c r="L257" s="1525">
        <f t="shared" si="55"/>
        <v>2568</v>
      </c>
      <c r="M257" s="1485">
        <f t="shared" si="56"/>
        <v>400</v>
      </c>
      <c r="N257" s="1591">
        <v>25.68</v>
      </c>
      <c r="O257" s="1582">
        <f t="shared" si="57"/>
        <v>10272</v>
      </c>
      <c r="P257" s="1485">
        <f t="shared" si="58"/>
        <v>100</v>
      </c>
      <c r="Q257" s="1485">
        <f t="shared" si="59"/>
        <v>2568</v>
      </c>
      <c r="R257" s="1485">
        <f t="shared" si="60"/>
        <v>100</v>
      </c>
      <c r="S257" s="1525">
        <f t="shared" si="61"/>
        <v>2568</v>
      </c>
      <c r="T257" s="1485">
        <f t="shared" si="62"/>
        <v>100</v>
      </c>
      <c r="U257" s="1525">
        <f t="shared" si="63"/>
        <v>2568</v>
      </c>
      <c r="V257" s="1485">
        <f t="shared" si="64"/>
        <v>100</v>
      </c>
      <c r="W257" s="1525">
        <f t="shared" si="65"/>
        <v>2568</v>
      </c>
      <c r="X257" s="1485">
        <f t="shared" si="66"/>
        <v>400</v>
      </c>
      <c r="Y257" s="1485">
        <f t="shared" si="67"/>
        <v>10272</v>
      </c>
      <c r="Z257" s="1527" t="s">
        <v>7799</v>
      </c>
      <c r="AA257" s="1379" t="s">
        <v>6526</v>
      </c>
      <c r="AB257" s="1583"/>
      <c r="AC257" s="1584" t="str">
        <f t="shared" si="68"/>
        <v>ok</v>
      </c>
      <c r="AD257" s="1583"/>
      <c r="AE257" s="1583"/>
      <c r="AF257" s="1583"/>
      <c r="AG257" s="1583"/>
      <c r="AH257" s="1583"/>
      <c r="AI257" s="1583"/>
      <c r="AJ257" s="1583"/>
      <c r="AK257" s="1583"/>
      <c r="AL257" s="1583"/>
      <c r="AM257" s="1583"/>
      <c r="AN257" s="1583"/>
      <c r="AO257" s="1583"/>
    </row>
    <row r="258" spans="1:41" x14ac:dyDescent="0.6">
      <c r="A258" s="1432">
        <v>253</v>
      </c>
      <c r="B258" s="1587" t="s">
        <v>8556</v>
      </c>
      <c r="C258" s="1576" t="s">
        <v>8298</v>
      </c>
      <c r="D258" s="1578">
        <v>11500</v>
      </c>
      <c r="E258" s="1578">
        <f t="shared" si="52"/>
        <v>17250</v>
      </c>
      <c r="F258" s="1579">
        <v>15000</v>
      </c>
      <c r="G258" s="1485">
        <f t="shared" si="53"/>
        <v>22500</v>
      </c>
      <c r="H258" s="1485">
        <v>12000</v>
      </c>
      <c r="I258" s="1485">
        <f t="shared" si="54"/>
        <v>18000</v>
      </c>
      <c r="J258" s="1582">
        <v>13000</v>
      </c>
      <c r="K258" s="1582">
        <v>4000</v>
      </c>
      <c r="L258" s="1525">
        <f t="shared" si="55"/>
        <v>6000</v>
      </c>
      <c r="M258" s="1485">
        <f t="shared" si="56"/>
        <v>9000</v>
      </c>
      <c r="N258" s="1581">
        <v>1.5</v>
      </c>
      <c r="O258" s="1582">
        <f t="shared" si="57"/>
        <v>13500</v>
      </c>
      <c r="P258" s="1485">
        <f t="shared" si="58"/>
        <v>2250</v>
      </c>
      <c r="Q258" s="1485">
        <f t="shared" si="59"/>
        <v>3375</v>
      </c>
      <c r="R258" s="1485">
        <f t="shared" si="60"/>
        <v>2250</v>
      </c>
      <c r="S258" s="1525">
        <f t="shared" si="61"/>
        <v>3375</v>
      </c>
      <c r="T258" s="1485">
        <f t="shared" si="62"/>
        <v>2250</v>
      </c>
      <c r="U258" s="1525">
        <f t="shared" si="63"/>
        <v>3375</v>
      </c>
      <c r="V258" s="1485">
        <f t="shared" si="64"/>
        <v>2250</v>
      </c>
      <c r="W258" s="1525">
        <f t="shared" si="65"/>
        <v>3375</v>
      </c>
      <c r="X258" s="1485">
        <f t="shared" si="66"/>
        <v>9000</v>
      </c>
      <c r="Y258" s="1485">
        <f t="shared" si="67"/>
        <v>13500</v>
      </c>
      <c r="Z258" s="1527" t="s">
        <v>7799</v>
      </c>
      <c r="AA258" s="1379" t="s">
        <v>6526</v>
      </c>
      <c r="AB258" s="1583"/>
      <c r="AC258" s="1584" t="str">
        <f t="shared" si="68"/>
        <v>ok</v>
      </c>
      <c r="AD258" s="1583"/>
      <c r="AE258" s="1583"/>
      <c r="AF258" s="1583"/>
      <c r="AG258" s="1583"/>
      <c r="AH258" s="1583"/>
      <c r="AI258" s="1583"/>
      <c r="AJ258" s="1583"/>
      <c r="AK258" s="1583"/>
      <c r="AL258" s="1583"/>
      <c r="AM258" s="1583"/>
      <c r="AN258" s="1583"/>
      <c r="AO258" s="1583"/>
    </row>
    <row r="259" spans="1:41" ht="42" x14ac:dyDescent="0.6">
      <c r="A259" s="1432">
        <v>254</v>
      </c>
      <c r="B259" s="1587" t="s">
        <v>8557</v>
      </c>
      <c r="C259" s="1576" t="s">
        <v>8305</v>
      </c>
      <c r="D259" s="1578">
        <f>60+444+444</f>
        <v>948</v>
      </c>
      <c r="E259" s="1578">
        <f t="shared" si="52"/>
        <v>8114.88</v>
      </c>
      <c r="F259" s="1579">
        <v>1000</v>
      </c>
      <c r="G259" s="1485">
        <f t="shared" si="53"/>
        <v>8560</v>
      </c>
      <c r="H259" s="1485">
        <v>450</v>
      </c>
      <c r="I259" s="1485">
        <f t="shared" si="54"/>
        <v>3852</v>
      </c>
      <c r="J259" s="1582">
        <v>1000</v>
      </c>
      <c r="K259" s="1582">
        <v>300</v>
      </c>
      <c r="L259" s="1525">
        <f t="shared" si="55"/>
        <v>2568</v>
      </c>
      <c r="M259" s="1485">
        <f t="shared" si="56"/>
        <v>700</v>
      </c>
      <c r="N259" s="1581">
        <v>8.56</v>
      </c>
      <c r="O259" s="1582">
        <f t="shared" si="57"/>
        <v>5992</v>
      </c>
      <c r="P259" s="1485">
        <f t="shared" si="58"/>
        <v>175</v>
      </c>
      <c r="Q259" s="1485">
        <f t="shared" si="59"/>
        <v>1498</v>
      </c>
      <c r="R259" s="1485">
        <f t="shared" si="60"/>
        <v>175</v>
      </c>
      <c r="S259" s="1525">
        <f t="shared" si="61"/>
        <v>1498</v>
      </c>
      <c r="T259" s="1485">
        <f t="shared" si="62"/>
        <v>175</v>
      </c>
      <c r="U259" s="1525">
        <f t="shared" si="63"/>
        <v>1498</v>
      </c>
      <c r="V259" s="1485">
        <f t="shared" si="64"/>
        <v>175</v>
      </c>
      <c r="W259" s="1525">
        <f t="shared" si="65"/>
        <v>1498</v>
      </c>
      <c r="X259" s="1485">
        <f t="shared" si="66"/>
        <v>700</v>
      </c>
      <c r="Y259" s="1485">
        <f t="shared" si="67"/>
        <v>5992</v>
      </c>
      <c r="Z259" s="1527" t="s">
        <v>7799</v>
      </c>
      <c r="AA259" s="1379" t="s">
        <v>6526</v>
      </c>
      <c r="AB259" s="1583"/>
      <c r="AC259" s="1584" t="str">
        <f t="shared" si="68"/>
        <v>ok</v>
      </c>
      <c r="AD259" s="1583"/>
      <c r="AE259" s="1583"/>
      <c r="AF259" s="1583"/>
      <c r="AG259" s="1583"/>
      <c r="AH259" s="1583"/>
      <c r="AI259" s="1583"/>
      <c r="AJ259" s="1583"/>
      <c r="AK259" s="1583"/>
      <c r="AL259" s="1583"/>
      <c r="AM259" s="1583"/>
      <c r="AN259" s="1583"/>
      <c r="AO259" s="1583"/>
    </row>
    <row r="260" spans="1:41" ht="42" x14ac:dyDescent="0.6">
      <c r="A260" s="1432">
        <v>255</v>
      </c>
      <c r="B260" s="1587" t="s">
        <v>8558</v>
      </c>
      <c r="C260" s="1576" t="s">
        <v>8305</v>
      </c>
      <c r="D260" s="1578">
        <f>164+156</f>
        <v>320</v>
      </c>
      <c r="E260" s="1578">
        <f t="shared" si="52"/>
        <v>2739.2000000000003</v>
      </c>
      <c r="F260" s="1579">
        <v>350</v>
      </c>
      <c r="G260" s="1485">
        <f t="shared" si="53"/>
        <v>2996</v>
      </c>
      <c r="H260" s="1485">
        <v>150</v>
      </c>
      <c r="I260" s="1485">
        <f t="shared" si="54"/>
        <v>1284</v>
      </c>
      <c r="J260" s="1582">
        <v>400</v>
      </c>
      <c r="K260" s="1582">
        <v>120</v>
      </c>
      <c r="L260" s="1525">
        <f t="shared" si="55"/>
        <v>1027.2</v>
      </c>
      <c r="M260" s="1485">
        <f t="shared" si="56"/>
        <v>280</v>
      </c>
      <c r="N260" s="1581">
        <v>8.56</v>
      </c>
      <c r="O260" s="1582">
        <f t="shared" si="57"/>
        <v>2396.8000000000002</v>
      </c>
      <c r="P260" s="1485">
        <f t="shared" si="58"/>
        <v>70</v>
      </c>
      <c r="Q260" s="1485">
        <f t="shared" si="59"/>
        <v>599.20000000000005</v>
      </c>
      <c r="R260" s="1485">
        <f t="shared" si="60"/>
        <v>70</v>
      </c>
      <c r="S260" s="1525">
        <f t="shared" si="61"/>
        <v>599.20000000000005</v>
      </c>
      <c r="T260" s="1485">
        <f t="shared" si="62"/>
        <v>70</v>
      </c>
      <c r="U260" s="1525">
        <f t="shared" si="63"/>
        <v>599.20000000000005</v>
      </c>
      <c r="V260" s="1485">
        <f t="shared" si="64"/>
        <v>70</v>
      </c>
      <c r="W260" s="1525">
        <f t="shared" si="65"/>
        <v>599.20000000000005</v>
      </c>
      <c r="X260" s="1485">
        <f t="shared" si="66"/>
        <v>280</v>
      </c>
      <c r="Y260" s="1485">
        <f t="shared" si="67"/>
        <v>2396.8000000000002</v>
      </c>
      <c r="Z260" s="1527" t="s">
        <v>7799</v>
      </c>
      <c r="AA260" s="1379" t="s">
        <v>6526</v>
      </c>
      <c r="AB260" s="1583"/>
      <c r="AC260" s="1584" t="str">
        <f t="shared" si="68"/>
        <v>ok</v>
      </c>
      <c r="AD260" s="1583"/>
      <c r="AE260" s="1583"/>
      <c r="AF260" s="1583"/>
      <c r="AG260" s="1583"/>
      <c r="AH260" s="1583"/>
      <c r="AI260" s="1583"/>
      <c r="AJ260" s="1583"/>
      <c r="AK260" s="1583"/>
      <c r="AL260" s="1583"/>
      <c r="AM260" s="1583"/>
      <c r="AN260" s="1583"/>
      <c r="AO260" s="1583"/>
    </row>
    <row r="261" spans="1:41" ht="42" x14ac:dyDescent="0.6">
      <c r="A261" s="1432">
        <v>256</v>
      </c>
      <c r="B261" s="1587" t="s">
        <v>8559</v>
      </c>
      <c r="C261" s="1576" t="s">
        <v>8296</v>
      </c>
      <c r="D261" s="1578">
        <f>137+606</f>
        <v>743</v>
      </c>
      <c r="E261" s="1578">
        <f t="shared" si="52"/>
        <v>9540.1200000000008</v>
      </c>
      <c r="F261" s="1579">
        <v>760</v>
      </c>
      <c r="G261" s="1485">
        <f t="shared" si="53"/>
        <v>9758.4</v>
      </c>
      <c r="H261" s="1485">
        <v>600</v>
      </c>
      <c r="I261" s="1485">
        <f t="shared" si="54"/>
        <v>7704</v>
      </c>
      <c r="J261" s="1582">
        <v>680</v>
      </c>
      <c r="K261" s="1582">
        <v>80</v>
      </c>
      <c r="L261" s="1525">
        <f t="shared" si="55"/>
        <v>1027.2</v>
      </c>
      <c r="M261" s="1485">
        <f t="shared" si="56"/>
        <v>600</v>
      </c>
      <c r="N261" s="1581">
        <v>12.84</v>
      </c>
      <c r="O261" s="1582">
        <f t="shared" si="57"/>
        <v>7704</v>
      </c>
      <c r="P261" s="1485">
        <f t="shared" si="58"/>
        <v>150</v>
      </c>
      <c r="Q261" s="1485">
        <f t="shared" si="59"/>
        <v>1926</v>
      </c>
      <c r="R261" s="1485">
        <f t="shared" si="60"/>
        <v>150</v>
      </c>
      <c r="S261" s="1525">
        <f t="shared" si="61"/>
        <v>1926</v>
      </c>
      <c r="T261" s="1485">
        <f t="shared" si="62"/>
        <v>150</v>
      </c>
      <c r="U261" s="1525">
        <f t="shared" si="63"/>
        <v>1926</v>
      </c>
      <c r="V261" s="1485">
        <f t="shared" si="64"/>
        <v>150</v>
      </c>
      <c r="W261" s="1525">
        <f t="shared" si="65"/>
        <v>1926</v>
      </c>
      <c r="X261" s="1485">
        <f t="shared" si="66"/>
        <v>600</v>
      </c>
      <c r="Y261" s="1485">
        <f t="shared" si="67"/>
        <v>7704</v>
      </c>
      <c r="Z261" s="1527" t="s">
        <v>7799</v>
      </c>
      <c r="AA261" s="1379" t="s">
        <v>6526</v>
      </c>
      <c r="AB261" s="1583"/>
      <c r="AC261" s="1584" t="str">
        <f t="shared" si="68"/>
        <v>ok</v>
      </c>
      <c r="AD261" s="1583"/>
      <c r="AE261" s="1583"/>
      <c r="AF261" s="1583"/>
      <c r="AG261" s="1583"/>
      <c r="AH261" s="1583"/>
      <c r="AI261" s="1583"/>
      <c r="AJ261" s="1583"/>
      <c r="AK261" s="1583"/>
      <c r="AL261" s="1583"/>
      <c r="AM261" s="1583"/>
      <c r="AN261" s="1583"/>
      <c r="AO261" s="1583"/>
    </row>
    <row r="262" spans="1:41" x14ac:dyDescent="0.6">
      <c r="A262" s="1432">
        <v>257</v>
      </c>
      <c r="B262" s="1587" t="s">
        <v>8560</v>
      </c>
      <c r="C262" s="1576" t="s">
        <v>8298</v>
      </c>
      <c r="D262" s="1578">
        <v>26790</v>
      </c>
      <c r="E262" s="1578">
        <f t="shared" si="52"/>
        <v>22316.07</v>
      </c>
      <c r="F262" s="1579">
        <v>29000</v>
      </c>
      <c r="G262" s="1485">
        <f t="shared" si="53"/>
        <v>24157</v>
      </c>
      <c r="H262" s="1485">
        <v>39000</v>
      </c>
      <c r="I262" s="1485">
        <f t="shared" si="54"/>
        <v>32487</v>
      </c>
      <c r="J262" s="1582">
        <v>46000</v>
      </c>
      <c r="K262" s="1582">
        <v>24000</v>
      </c>
      <c r="L262" s="1525">
        <f t="shared" si="55"/>
        <v>19992</v>
      </c>
      <c r="M262" s="1485">
        <f t="shared" si="56"/>
        <v>22000</v>
      </c>
      <c r="N262" s="1581">
        <v>0.83299999999999996</v>
      </c>
      <c r="O262" s="1582">
        <f t="shared" si="57"/>
        <v>18326</v>
      </c>
      <c r="P262" s="1485">
        <f t="shared" si="58"/>
        <v>5500</v>
      </c>
      <c r="Q262" s="1485">
        <f t="shared" si="59"/>
        <v>4581.5</v>
      </c>
      <c r="R262" s="1485">
        <f t="shared" si="60"/>
        <v>5500</v>
      </c>
      <c r="S262" s="1525">
        <f t="shared" si="61"/>
        <v>4581.5</v>
      </c>
      <c r="T262" s="1485">
        <f t="shared" si="62"/>
        <v>5500</v>
      </c>
      <c r="U262" s="1525">
        <f t="shared" si="63"/>
        <v>4581.5</v>
      </c>
      <c r="V262" s="1485">
        <f t="shared" si="64"/>
        <v>5500</v>
      </c>
      <c r="W262" s="1525">
        <f t="shared" si="65"/>
        <v>4581.5</v>
      </c>
      <c r="X262" s="1485">
        <f t="shared" si="66"/>
        <v>22000</v>
      </c>
      <c r="Y262" s="1485">
        <f t="shared" si="67"/>
        <v>18326</v>
      </c>
      <c r="Z262" s="1527" t="s">
        <v>7799</v>
      </c>
      <c r="AA262" s="1379" t="s">
        <v>6526</v>
      </c>
      <c r="AB262" s="1583"/>
      <c r="AC262" s="1584" t="str">
        <f t="shared" si="68"/>
        <v>ok</v>
      </c>
      <c r="AD262" s="1583"/>
      <c r="AE262" s="1583"/>
      <c r="AF262" s="1583"/>
      <c r="AG262" s="1583"/>
      <c r="AH262" s="1583"/>
      <c r="AI262" s="1583"/>
      <c r="AJ262" s="1583"/>
      <c r="AK262" s="1583"/>
      <c r="AL262" s="1583"/>
      <c r="AM262" s="1583"/>
      <c r="AN262" s="1583"/>
      <c r="AO262" s="1583"/>
    </row>
    <row r="263" spans="1:41" x14ac:dyDescent="0.6">
      <c r="A263" s="1432">
        <v>258</v>
      </c>
      <c r="B263" s="1587" t="s">
        <v>8561</v>
      </c>
      <c r="C263" s="1576" t="s">
        <v>8305</v>
      </c>
      <c r="D263" s="1578">
        <v>8</v>
      </c>
      <c r="E263" s="1578">
        <f t="shared" si="52"/>
        <v>1968.8</v>
      </c>
      <c r="F263" s="1579">
        <v>8</v>
      </c>
      <c r="G263" s="1485">
        <f t="shared" si="53"/>
        <v>1968.8</v>
      </c>
      <c r="H263" s="1485">
        <v>8</v>
      </c>
      <c r="I263" s="1485">
        <f t="shared" si="54"/>
        <v>1968.8</v>
      </c>
      <c r="J263" s="1582">
        <v>12</v>
      </c>
      <c r="K263" s="1582">
        <v>12</v>
      </c>
      <c r="L263" s="1525">
        <f t="shared" si="55"/>
        <v>2953.2</v>
      </c>
      <c r="M263" s="1485">
        <f t="shared" si="56"/>
        <v>0</v>
      </c>
      <c r="N263" s="1581">
        <v>246.1</v>
      </c>
      <c r="O263" s="1582">
        <f t="shared" si="57"/>
        <v>0</v>
      </c>
      <c r="P263" s="1485">
        <f t="shared" si="58"/>
        <v>0</v>
      </c>
      <c r="Q263" s="1485">
        <f t="shared" si="59"/>
        <v>0</v>
      </c>
      <c r="R263" s="1485">
        <f t="shared" si="60"/>
        <v>0</v>
      </c>
      <c r="S263" s="1525">
        <f t="shared" si="61"/>
        <v>0</v>
      </c>
      <c r="T263" s="1485">
        <f t="shared" si="62"/>
        <v>0</v>
      </c>
      <c r="U263" s="1525">
        <f t="shared" si="63"/>
        <v>0</v>
      </c>
      <c r="V263" s="1485">
        <f t="shared" si="64"/>
        <v>0</v>
      </c>
      <c r="W263" s="1525">
        <f t="shared" si="65"/>
        <v>0</v>
      </c>
      <c r="X263" s="1485">
        <f t="shared" si="66"/>
        <v>0</v>
      </c>
      <c r="Y263" s="1485">
        <f t="shared" si="67"/>
        <v>0</v>
      </c>
      <c r="Z263" s="1527" t="s">
        <v>7799</v>
      </c>
      <c r="AA263" s="1379" t="s">
        <v>6526</v>
      </c>
      <c r="AB263" s="1583"/>
      <c r="AC263" s="1584" t="str">
        <f t="shared" si="68"/>
        <v>ok</v>
      </c>
      <c r="AD263" s="1583"/>
      <c r="AE263" s="1583"/>
      <c r="AF263" s="1583"/>
      <c r="AG263" s="1583"/>
      <c r="AH263" s="1583"/>
      <c r="AI263" s="1583"/>
      <c r="AJ263" s="1583"/>
      <c r="AK263" s="1583"/>
      <c r="AL263" s="1583"/>
      <c r="AM263" s="1583"/>
      <c r="AN263" s="1583"/>
      <c r="AO263" s="1583"/>
    </row>
    <row r="264" spans="1:41" x14ac:dyDescent="0.6">
      <c r="A264" s="1432">
        <v>259</v>
      </c>
      <c r="B264" s="1587" t="s">
        <v>8562</v>
      </c>
      <c r="C264" s="1576" t="s">
        <v>8305</v>
      </c>
      <c r="D264" s="1578">
        <v>200</v>
      </c>
      <c r="E264" s="1578">
        <f t="shared" ref="E264:E298" si="69">D264*N264</f>
        <v>8000</v>
      </c>
      <c r="F264" s="1579">
        <v>260</v>
      </c>
      <c r="G264" s="1485">
        <f t="shared" ref="G264:G298" si="70">F264*N264</f>
        <v>10400</v>
      </c>
      <c r="H264" s="1485">
        <v>190</v>
      </c>
      <c r="I264" s="1485">
        <f t="shared" si="54"/>
        <v>7600</v>
      </c>
      <c r="J264" s="1582">
        <v>300</v>
      </c>
      <c r="K264" s="1582">
        <v>60</v>
      </c>
      <c r="L264" s="1525">
        <f t="shared" si="55"/>
        <v>2400</v>
      </c>
      <c r="M264" s="1485">
        <f t="shared" si="56"/>
        <v>240</v>
      </c>
      <c r="N264" s="1581">
        <v>40</v>
      </c>
      <c r="O264" s="1582">
        <f t="shared" si="57"/>
        <v>9600</v>
      </c>
      <c r="P264" s="1485">
        <f t="shared" si="58"/>
        <v>60</v>
      </c>
      <c r="Q264" s="1485">
        <f t="shared" si="59"/>
        <v>2400</v>
      </c>
      <c r="R264" s="1485">
        <f t="shared" si="60"/>
        <v>60</v>
      </c>
      <c r="S264" s="1525">
        <f t="shared" si="61"/>
        <v>2400</v>
      </c>
      <c r="T264" s="1485">
        <f t="shared" si="62"/>
        <v>60</v>
      </c>
      <c r="U264" s="1525">
        <f t="shared" si="63"/>
        <v>2400</v>
      </c>
      <c r="V264" s="1485">
        <f t="shared" si="64"/>
        <v>60</v>
      </c>
      <c r="W264" s="1525">
        <f t="shared" si="65"/>
        <v>2400</v>
      </c>
      <c r="X264" s="1485">
        <f t="shared" si="66"/>
        <v>240</v>
      </c>
      <c r="Y264" s="1485">
        <f t="shared" si="67"/>
        <v>9600</v>
      </c>
      <c r="Z264" s="1527" t="s">
        <v>7799</v>
      </c>
      <c r="AA264" s="1379" t="s">
        <v>6526</v>
      </c>
      <c r="AB264" s="1583"/>
      <c r="AC264" s="1584" t="str">
        <f t="shared" si="68"/>
        <v>ok</v>
      </c>
      <c r="AD264" s="1583"/>
      <c r="AE264" s="1583"/>
      <c r="AF264" s="1583"/>
      <c r="AG264" s="1583"/>
      <c r="AH264" s="1583"/>
      <c r="AI264" s="1583"/>
      <c r="AJ264" s="1583"/>
      <c r="AK264" s="1583"/>
      <c r="AL264" s="1583"/>
      <c r="AM264" s="1583"/>
      <c r="AN264" s="1583"/>
      <c r="AO264" s="1583"/>
    </row>
    <row r="265" spans="1:41" x14ac:dyDescent="0.6">
      <c r="A265" s="1432">
        <v>260</v>
      </c>
      <c r="B265" s="1587" t="s">
        <v>8563</v>
      </c>
      <c r="C265" s="1576" t="s">
        <v>8298</v>
      </c>
      <c r="D265" s="1578">
        <f>176000+7000</f>
        <v>183000</v>
      </c>
      <c r="E265" s="1578">
        <f t="shared" si="69"/>
        <v>45933</v>
      </c>
      <c r="F265" s="1579">
        <v>207000</v>
      </c>
      <c r="G265" s="1485">
        <f t="shared" si="70"/>
        <v>51957</v>
      </c>
      <c r="H265" s="1485">
        <v>210000</v>
      </c>
      <c r="I265" s="1485">
        <f t="shared" ref="I265:I298" si="71">H265*N265</f>
        <v>52710</v>
      </c>
      <c r="J265" s="1582">
        <v>230000</v>
      </c>
      <c r="K265" s="1582">
        <v>50000</v>
      </c>
      <c r="L265" s="1525">
        <f t="shared" ref="L265:L298" si="72">K265*N265</f>
        <v>12550</v>
      </c>
      <c r="M265" s="1485">
        <f t="shared" ref="M265:M298" si="73">J265-K265</f>
        <v>180000</v>
      </c>
      <c r="N265" s="1581">
        <v>0.251</v>
      </c>
      <c r="O265" s="1582">
        <f t="shared" ref="O265:O298" si="74">M265*N265</f>
        <v>45180</v>
      </c>
      <c r="P265" s="1485">
        <f t="shared" ref="P265:P298" si="75">M265/4</f>
        <v>45000</v>
      </c>
      <c r="Q265" s="1485">
        <f t="shared" ref="Q265:Q298" si="76">P265*N265</f>
        <v>11295</v>
      </c>
      <c r="R265" s="1485">
        <f t="shared" ref="R265:R298" si="77">M265/4</f>
        <v>45000</v>
      </c>
      <c r="S265" s="1525">
        <f t="shared" ref="S265:S298" si="78">R265*N265</f>
        <v>11295</v>
      </c>
      <c r="T265" s="1485">
        <f t="shared" ref="T265:T298" si="79">M265/4</f>
        <v>45000</v>
      </c>
      <c r="U265" s="1525">
        <f t="shared" ref="U265:U298" si="80">T265*N265</f>
        <v>11295</v>
      </c>
      <c r="V265" s="1485">
        <f t="shared" ref="V265:V298" si="81">M265/4</f>
        <v>45000</v>
      </c>
      <c r="W265" s="1525">
        <f t="shared" ref="W265:W298" si="82">V265*N265</f>
        <v>11295</v>
      </c>
      <c r="X265" s="1485">
        <f t="shared" ref="X265:X298" si="83">P265+R265+T265+V265</f>
        <v>180000</v>
      </c>
      <c r="Y265" s="1485">
        <f t="shared" ref="Y265:Y298" si="84">X265*N265</f>
        <v>45180</v>
      </c>
      <c r="Z265" s="1527" t="s">
        <v>7799</v>
      </c>
      <c r="AA265" s="1379" t="s">
        <v>6526</v>
      </c>
      <c r="AB265" s="1583"/>
      <c r="AC265" s="1584" t="str">
        <f t="shared" ref="AC265:AC298" si="85">IF(M265=X265,"ok")</f>
        <v>ok</v>
      </c>
      <c r="AD265" s="1583"/>
      <c r="AE265" s="1583"/>
      <c r="AF265" s="1583"/>
      <c r="AG265" s="1583"/>
      <c r="AH265" s="1583"/>
      <c r="AI265" s="1583"/>
      <c r="AJ265" s="1583"/>
      <c r="AK265" s="1583"/>
      <c r="AL265" s="1583"/>
      <c r="AM265" s="1583"/>
      <c r="AN265" s="1583"/>
      <c r="AO265" s="1583"/>
    </row>
    <row r="266" spans="1:41" x14ac:dyDescent="0.6">
      <c r="A266" s="1432">
        <v>261</v>
      </c>
      <c r="B266" s="1587" t="s">
        <v>8564</v>
      </c>
      <c r="C266" s="1576" t="s">
        <v>8298</v>
      </c>
      <c r="D266" s="1578">
        <v>20000</v>
      </c>
      <c r="E266" s="1578">
        <f t="shared" si="69"/>
        <v>8800</v>
      </c>
      <c r="F266" s="1579">
        <v>26000</v>
      </c>
      <c r="G266" s="1485">
        <f t="shared" si="70"/>
        <v>11440</v>
      </c>
      <c r="H266" s="1485">
        <v>22000</v>
      </c>
      <c r="I266" s="1485">
        <f t="shared" si="71"/>
        <v>9680</v>
      </c>
      <c r="J266" s="1582">
        <v>26000</v>
      </c>
      <c r="K266" s="1582">
        <v>2000</v>
      </c>
      <c r="L266" s="1525">
        <f t="shared" si="72"/>
        <v>880</v>
      </c>
      <c r="M266" s="1485">
        <f t="shared" si="73"/>
        <v>24000</v>
      </c>
      <c r="N266" s="1581">
        <v>0.44</v>
      </c>
      <c r="O266" s="1582">
        <f t="shared" si="74"/>
        <v>10560</v>
      </c>
      <c r="P266" s="1485">
        <f t="shared" si="75"/>
        <v>6000</v>
      </c>
      <c r="Q266" s="1485">
        <f t="shared" si="76"/>
        <v>2640</v>
      </c>
      <c r="R266" s="1485">
        <f t="shared" si="77"/>
        <v>6000</v>
      </c>
      <c r="S266" s="1525">
        <f t="shared" si="78"/>
        <v>2640</v>
      </c>
      <c r="T266" s="1485">
        <f t="shared" si="79"/>
        <v>6000</v>
      </c>
      <c r="U266" s="1525">
        <f t="shared" si="80"/>
        <v>2640</v>
      </c>
      <c r="V266" s="1485">
        <f t="shared" si="81"/>
        <v>6000</v>
      </c>
      <c r="W266" s="1525">
        <f t="shared" si="82"/>
        <v>2640</v>
      </c>
      <c r="X266" s="1485">
        <f t="shared" si="83"/>
        <v>24000</v>
      </c>
      <c r="Y266" s="1485">
        <f t="shared" si="84"/>
        <v>10560</v>
      </c>
      <c r="Z266" s="1527" t="s">
        <v>7799</v>
      </c>
      <c r="AA266" s="1379" t="s">
        <v>6526</v>
      </c>
      <c r="AB266" s="1583"/>
      <c r="AC266" s="1584" t="str">
        <f t="shared" si="85"/>
        <v>ok</v>
      </c>
      <c r="AD266" s="1583"/>
      <c r="AE266" s="1583"/>
      <c r="AF266" s="1583"/>
      <c r="AG266" s="1583"/>
      <c r="AH266" s="1583"/>
      <c r="AI266" s="1583"/>
      <c r="AJ266" s="1583"/>
      <c r="AK266" s="1583"/>
      <c r="AL266" s="1583"/>
      <c r="AM266" s="1583"/>
      <c r="AN266" s="1583"/>
      <c r="AO266" s="1583"/>
    </row>
    <row r="267" spans="1:41" x14ac:dyDescent="0.6">
      <c r="A267" s="1432">
        <v>262</v>
      </c>
      <c r="B267" s="1587" t="s">
        <v>8565</v>
      </c>
      <c r="C267" s="1576" t="s">
        <v>8298</v>
      </c>
      <c r="D267" s="1578">
        <v>0</v>
      </c>
      <c r="E267" s="1578">
        <f t="shared" si="69"/>
        <v>0</v>
      </c>
      <c r="F267" s="1601">
        <v>0</v>
      </c>
      <c r="G267" s="1485">
        <f t="shared" si="70"/>
        <v>0</v>
      </c>
      <c r="H267" s="1485">
        <v>1000</v>
      </c>
      <c r="I267" s="1485">
        <f t="shared" si="71"/>
        <v>250</v>
      </c>
      <c r="J267" s="1582">
        <v>1000</v>
      </c>
      <c r="K267" s="1582">
        <v>0</v>
      </c>
      <c r="L267" s="1525">
        <f t="shared" si="72"/>
        <v>0</v>
      </c>
      <c r="M267" s="1485">
        <f t="shared" si="73"/>
        <v>1000</v>
      </c>
      <c r="N267" s="1581">
        <v>0.25</v>
      </c>
      <c r="O267" s="1582">
        <f t="shared" si="74"/>
        <v>250</v>
      </c>
      <c r="P267" s="1485">
        <f t="shared" si="75"/>
        <v>250</v>
      </c>
      <c r="Q267" s="1485">
        <f t="shared" si="76"/>
        <v>62.5</v>
      </c>
      <c r="R267" s="1485">
        <f t="shared" si="77"/>
        <v>250</v>
      </c>
      <c r="S267" s="1525">
        <f t="shared" si="78"/>
        <v>62.5</v>
      </c>
      <c r="T267" s="1485">
        <f t="shared" si="79"/>
        <v>250</v>
      </c>
      <c r="U267" s="1525">
        <f t="shared" si="80"/>
        <v>62.5</v>
      </c>
      <c r="V267" s="1485">
        <f t="shared" si="81"/>
        <v>250</v>
      </c>
      <c r="W267" s="1525">
        <f t="shared" si="82"/>
        <v>62.5</v>
      </c>
      <c r="X267" s="1485">
        <f t="shared" si="83"/>
        <v>1000</v>
      </c>
      <c r="Y267" s="1485">
        <f t="shared" si="84"/>
        <v>250</v>
      </c>
      <c r="Z267" s="1527" t="s">
        <v>7799</v>
      </c>
      <c r="AA267" s="1379" t="s">
        <v>6526</v>
      </c>
      <c r="AB267" s="1583"/>
      <c r="AC267" s="1584" t="str">
        <f t="shared" si="85"/>
        <v>ok</v>
      </c>
      <c r="AD267" s="1583"/>
      <c r="AE267" s="1583"/>
      <c r="AF267" s="1583"/>
      <c r="AG267" s="1583"/>
      <c r="AH267" s="1583"/>
      <c r="AI267" s="1583"/>
      <c r="AJ267" s="1583"/>
      <c r="AK267" s="1583"/>
      <c r="AL267" s="1583"/>
      <c r="AM267" s="1583"/>
      <c r="AN267" s="1583"/>
      <c r="AO267" s="1583"/>
    </row>
    <row r="268" spans="1:41" x14ac:dyDescent="0.6">
      <c r="A268" s="1432">
        <v>263</v>
      </c>
      <c r="B268" s="1587" t="s">
        <v>8566</v>
      </c>
      <c r="C268" s="1576" t="s">
        <v>8298</v>
      </c>
      <c r="D268" s="1578">
        <v>21000</v>
      </c>
      <c r="E268" s="1578">
        <f t="shared" si="69"/>
        <v>5250</v>
      </c>
      <c r="F268" s="1579">
        <v>25000</v>
      </c>
      <c r="G268" s="1485">
        <f t="shared" si="70"/>
        <v>6250</v>
      </c>
      <c r="H268" s="1485">
        <v>21000</v>
      </c>
      <c r="I268" s="1485">
        <f t="shared" si="71"/>
        <v>5250</v>
      </c>
      <c r="J268" s="1582">
        <v>26000</v>
      </c>
      <c r="K268" s="1582">
        <v>2000</v>
      </c>
      <c r="L268" s="1525">
        <f t="shared" si="72"/>
        <v>500</v>
      </c>
      <c r="M268" s="1485">
        <f t="shared" si="73"/>
        <v>24000</v>
      </c>
      <c r="N268" s="1581">
        <v>0.25</v>
      </c>
      <c r="O268" s="1582">
        <f t="shared" si="74"/>
        <v>6000</v>
      </c>
      <c r="P268" s="1485">
        <f t="shared" si="75"/>
        <v>6000</v>
      </c>
      <c r="Q268" s="1485">
        <f t="shared" si="76"/>
        <v>1500</v>
      </c>
      <c r="R268" s="1485">
        <f t="shared" si="77"/>
        <v>6000</v>
      </c>
      <c r="S268" s="1525">
        <f t="shared" si="78"/>
        <v>1500</v>
      </c>
      <c r="T268" s="1485">
        <f t="shared" si="79"/>
        <v>6000</v>
      </c>
      <c r="U268" s="1525">
        <f t="shared" si="80"/>
        <v>1500</v>
      </c>
      <c r="V268" s="1485">
        <f t="shared" si="81"/>
        <v>6000</v>
      </c>
      <c r="W268" s="1525">
        <f t="shared" si="82"/>
        <v>1500</v>
      </c>
      <c r="X268" s="1485">
        <f t="shared" si="83"/>
        <v>24000</v>
      </c>
      <c r="Y268" s="1485">
        <f t="shared" si="84"/>
        <v>6000</v>
      </c>
      <c r="Z268" s="1527" t="s">
        <v>7799</v>
      </c>
      <c r="AA268" s="1379" t="s">
        <v>6526</v>
      </c>
      <c r="AB268" s="1583"/>
      <c r="AC268" s="1584" t="str">
        <f t="shared" si="85"/>
        <v>ok</v>
      </c>
      <c r="AD268" s="1583"/>
      <c r="AE268" s="1583"/>
      <c r="AF268" s="1583"/>
      <c r="AG268" s="1583"/>
      <c r="AH268" s="1583"/>
      <c r="AI268" s="1583"/>
      <c r="AJ268" s="1583"/>
      <c r="AK268" s="1583"/>
      <c r="AL268" s="1583"/>
      <c r="AM268" s="1583"/>
      <c r="AN268" s="1583"/>
      <c r="AO268" s="1583"/>
    </row>
    <row r="269" spans="1:41" x14ac:dyDescent="0.6">
      <c r="A269" s="1432">
        <v>264</v>
      </c>
      <c r="B269" s="1587" t="s">
        <v>8567</v>
      </c>
      <c r="C269" s="1576" t="s">
        <v>8305</v>
      </c>
      <c r="D269" s="1578">
        <v>240</v>
      </c>
      <c r="E269" s="1578">
        <f t="shared" si="69"/>
        <v>3120</v>
      </c>
      <c r="F269" s="1579">
        <v>260</v>
      </c>
      <c r="G269" s="1485">
        <f t="shared" si="70"/>
        <v>3380</v>
      </c>
      <c r="H269" s="1485">
        <v>450</v>
      </c>
      <c r="I269" s="1485">
        <f t="shared" si="71"/>
        <v>5850</v>
      </c>
      <c r="J269" s="1582">
        <v>500</v>
      </c>
      <c r="K269" s="1582">
        <v>100</v>
      </c>
      <c r="L269" s="1525">
        <f t="shared" si="72"/>
        <v>1300</v>
      </c>
      <c r="M269" s="1485">
        <f t="shared" si="73"/>
        <v>400</v>
      </c>
      <c r="N269" s="1581">
        <v>13</v>
      </c>
      <c r="O269" s="1582">
        <f t="shared" si="74"/>
        <v>5200</v>
      </c>
      <c r="P269" s="1485">
        <f t="shared" si="75"/>
        <v>100</v>
      </c>
      <c r="Q269" s="1485">
        <f t="shared" si="76"/>
        <v>1300</v>
      </c>
      <c r="R269" s="1485">
        <f t="shared" si="77"/>
        <v>100</v>
      </c>
      <c r="S269" s="1525">
        <f t="shared" si="78"/>
        <v>1300</v>
      </c>
      <c r="T269" s="1485">
        <f t="shared" si="79"/>
        <v>100</v>
      </c>
      <c r="U269" s="1525">
        <f t="shared" si="80"/>
        <v>1300</v>
      </c>
      <c r="V269" s="1485">
        <f t="shared" si="81"/>
        <v>100</v>
      </c>
      <c r="W269" s="1525">
        <f t="shared" si="82"/>
        <v>1300</v>
      </c>
      <c r="X269" s="1485">
        <f t="shared" si="83"/>
        <v>400</v>
      </c>
      <c r="Y269" s="1485">
        <f t="shared" si="84"/>
        <v>5200</v>
      </c>
      <c r="Z269" s="1527" t="s">
        <v>7799</v>
      </c>
      <c r="AA269" s="1379" t="s">
        <v>6526</v>
      </c>
      <c r="AB269" s="1583"/>
      <c r="AC269" s="1584" t="str">
        <f t="shared" si="85"/>
        <v>ok</v>
      </c>
      <c r="AD269" s="1583"/>
      <c r="AE269" s="1583"/>
      <c r="AF269" s="1583"/>
      <c r="AG269" s="1583"/>
      <c r="AH269" s="1583"/>
      <c r="AI269" s="1583"/>
      <c r="AJ269" s="1583"/>
      <c r="AK269" s="1583"/>
      <c r="AL269" s="1583"/>
      <c r="AM269" s="1583"/>
      <c r="AN269" s="1583"/>
      <c r="AO269" s="1583"/>
    </row>
    <row r="270" spans="1:41" x14ac:dyDescent="0.6">
      <c r="A270" s="1432">
        <v>265</v>
      </c>
      <c r="B270" s="1587" t="s">
        <v>8568</v>
      </c>
      <c r="C270" s="1576" t="s">
        <v>8305</v>
      </c>
      <c r="D270" s="1601">
        <v>10</v>
      </c>
      <c r="E270" s="1578">
        <f t="shared" si="69"/>
        <v>100</v>
      </c>
      <c r="F270" s="1579">
        <v>10</v>
      </c>
      <c r="G270" s="1485">
        <f t="shared" si="70"/>
        <v>100</v>
      </c>
      <c r="H270" s="1485">
        <v>50</v>
      </c>
      <c r="I270" s="1485">
        <f t="shared" si="71"/>
        <v>500</v>
      </c>
      <c r="J270" s="1582">
        <v>60</v>
      </c>
      <c r="K270" s="1582">
        <v>60</v>
      </c>
      <c r="L270" s="1525">
        <f t="shared" si="72"/>
        <v>600</v>
      </c>
      <c r="M270" s="1485">
        <f t="shared" si="73"/>
        <v>0</v>
      </c>
      <c r="N270" s="1581">
        <v>10</v>
      </c>
      <c r="O270" s="1582">
        <f t="shared" si="74"/>
        <v>0</v>
      </c>
      <c r="P270" s="1485">
        <v>0</v>
      </c>
      <c r="Q270" s="1485">
        <f t="shared" si="76"/>
        <v>0</v>
      </c>
      <c r="R270" s="1485">
        <v>0</v>
      </c>
      <c r="S270" s="1525">
        <f t="shared" si="78"/>
        <v>0</v>
      </c>
      <c r="T270" s="1485">
        <v>0</v>
      </c>
      <c r="U270" s="1525">
        <f t="shared" si="80"/>
        <v>0</v>
      </c>
      <c r="V270" s="1485">
        <v>0</v>
      </c>
      <c r="W270" s="1525">
        <f t="shared" si="82"/>
        <v>0</v>
      </c>
      <c r="X270" s="1485">
        <f t="shared" si="83"/>
        <v>0</v>
      </c>
      <c r="Y270" s="1485">
        <f t="shared" si="84"/>
        <v>0</v>
      </c>
      <c r="Z270" s="1527" t="s">
        <v>7799</v>
      </c>
      <c r="AA270" s="1379" t="s">
        <v>6526</v>
      </c>
      <c r="AB270" s="1583"/>
      <c r="AC270" s="1584" t="str">
        <f t="shared" si="85"/>
        <v>ok</v>
      </c>
      <c r="AD270" s="1583"/>
      <c r="AE270" s="1583"/>
      <c r="AF270" s="1583"/>
      <c r="AG270" s="1583"/>
      <c r="AH270" s="1583"/>
      <c r="AI270" s="1583"/>
      <c r="AJ270" s="1583"/>
      <c r="AK270" s="1583"/>
      <c r="AL270" s="1583"/>
      <c r="AM270" s="1583"/>
      <c r="AN270" s="1583"/>
      <c r="AO270" s="1583"/>
    </row>
    <row r="271" spans="1:41" x14ac:dyDescent="0.6">
      <c r="A271" s="1432">
        <v>266</v>
      </c>
      <c r="B271" s="1587" t="s">
        <v>8569</v>
      </c>
      <c r="C271" s="1576" t="s">
        <v>8305</v>
      </c>
      <c r="D271" s="1578">
        <v>102</v>
      </c>
      <c r="E271" s="1578">
        <f t="shared" si="69"/>
        <v>510</v>
      </c>
      <c r="F271" s="1579">
        <v>80</v>
      </c>
      <c r="G271" s="1485">
        <f t="shared" si="70"/>
        <v>400</v>
      </c>
      <c r="H271" s="1485">
        <v>70</v>
      </c>
      <c r="I271" s="1485">
        <f t="shared" si="71"/>
        <v>350</v>
      </c>
      <c r="J271" s="1582">
        <v>120</v>
      </c>
      <c r="K271" s="1582">
        <v>30</v>
      </c>
      <c r="L271" s="1525">
        <f t="shared" si="72"/>
        <v>150</v>
      </c>
      <c r="M271" s="1485">
        <f t="shared" si="73"/>
        <v>90</v>
      </c>
      <c r="N271" s="1581">
        <v>5</v>
      </c>
      <c r="O271" s="1582">
        <f t="shared" si="74"/>
        <v>450</v>
      </c>
      <c r="P271" s="1485">
        <v>22</v>
      </c>
      <c r="Q271" s="1485">
        <f t="shared" si="76"/>
        <v>110</v>
      </c>
      <c r="R271" s="1485">
        <v>22</v>
      </c>
      <c r="S271" s="1525">
        <f t="shared" si="78"/>
        <v>110</v>
      </c>
      <c r="T271" s="1485">
        <v>23</v>
      </c>
      <c r="U271" s="1525">
        <f t="shared" si="80"/>
        <v>115</v>
      </c>
      <c r="V271" s="1485">
        <v>23</v>
      </c>
      <c r="W271" s="1525">
        <f t="shared" si="82"/>
        <v>115</v>
      </c>
      <c r="X271" s="1485">
        <f t="shared" si="83"/>
        <v>90</v>
      </c>
      <c r="Y271" s="1485">
        <f t="shared" si="84"/>
        <v>450</v>
      </c>
      <c r="Z271" s="1527" t="s">
        <v>7799</v>
      </c>
      <c r="AA271" s="1379" t="s">
        <v>6526</v>
      </c>
      <c r="AB271" s="1583"/>
      <c r="AC271" s="1584" t="str">
        <f t="shared" si="85"/>
        <v>ok</v>
      </c>
      <c r="AD271" s="1583"/>
      <c r="AE271" s="1583"/>
      <c r="AF271" s="1583"/>
      <c r="AG271" s="1583"/>
      <c r="AH271" s="1583"/>
      <c r="AI271" s="1583"/>
      <c r="AJ271" s="1583"/>
      <c r="AK271" s="1583"/>
      <c r="AL271" s="1583"/>
      <c r="AM271" s="1583"/>
      <c r="AN271" s="1583"/>
      <c r="AO271" s="1583"/>
    </row>
    <row r="272" spans="1:41" x14ac:dyDescent="0.6">
      <c r="A272" s="1432">
        <v>267</v>
      </c>
      <c r="B272" s="1587" t="s">
        <v>8570</v>
      </c>
      <c r="C272" s="1576" t="s">
        <v>8296</v>
      </c>
      <c r="D272" s="1578">
        <v>4</v>
      </c>
      <c r="E272" s="1578">
        <f t="shared" si="69"/>
        <v>1060</v>
      </c>
      <c r="F272" s="1579">
        <v>6</v>
      </c>
      <c r="G272" s="1485">
        <f t="shared" si="70"/>
        <v>1590</v>
      </c>
      <c r="H272" s="1485">
        <v>4</v>
      </c>
      <c r="I272" s="1485">
        <f t="shared" si="71"/>
        <v>1060</v>
      </c>
      <c r="J272" s="1582">
        <v>8</v>
      </c>
      <c r="K272" s="1582">
        <v>2</v>
      </c>
      <c r="L272" s="1525">
        <f t="shared" si="72"/>
        <v>530</v>
      </c>
      <c r="M272" s="1485">
        <f t="shared" si="73"/>
        <v>6</v>
      </c>
      <c r="N272" s="1581">
        <v>265</v>
      </c>
      <c r="O272" s="1582">
        <f t="shared" si="74"/>
        <v>1590</v>
      </c>
      <c r="P272" s="1485">
        <v>6</v>
      </c>
      <c r="Q272" s="1485">
        <f t="shared" si="76"/>
        <v>1590</v>
      </c>
      <c r="R272" s="1485">
        <v>0</v>
      </c>
      <c r="S272" s="1525">
        <f t="shared" si="78"/>
        <v>0</v>
      </c>
      <c r="T272" s="1485">
        <v>0</v>
      </c>
      <c r="U272" s="1525">
        <f t="shared" si="80"/>
        <v>0</v>
      </c>
      <c r="V272" s="1485">
        <v>0</v>
      </c>
      <c r="W272" s="1525">
        <f t="shared" si="82"/>
        <v>0</v>
      </c>
      <c r="X272" s="1485">
        <f t="shared" si="83"/>
        <v>6</v>
      </c>
      <c r="Y272" s="1485">
        <f t="shared" si="84"/>
        <v>1590</v>
      </c>
      <c r="Z272" s="1527" t="s">
        <v>7799</v>
      </c>
      <c r="AA272" s="1379" t="s">
        <v>6526</v>
      </c>
      <c r="AB272" s="1583"/>
      <c r="AC272" s="1584" t="str">
        <f t="shared" si="85"/>
        <v>ok</v>
      </c>
      <c r="AD272" s="1583"/>
      <c r="AE272" s="1583"/>
      <c r="AF272" s="1583"/>
      <c r="AG272" s="1583"/>
      <c r="AH272" s="1583"/>
      <c r="AI272" s="1583"/>
      <c r="AJ272" s="1583"/>
      <c r="AK272" s="1583"/>
      <c r="AL272" s="1583"/>
      <c r="AM272" s="1583"/>
      <c r="AN272" s="1583"/>
      <c r="AO272" s="1583"/>
    </row>
    <row r="273" spans="1:41" x14ac:dyDescent="0.6">
      <c r="A273" s="1432">
        <v>268</v>
      </c>
      <c r="B273" s="1587" t="s">
        <v>8571</v>
      </c>
      <c r="C273" s="1576" t="s">
        <v>8305</v>
      </c>
      <c r="D273" s="1578">
        <v>114</v>
      </c>
      <c r="E273" s="1578">
        <f t="shared" si="69"/>
        <v>1824</v>
      </c>
      <c r="F273" s="1579">
        <v>80</v>
      </c>
      <c r="G273" s="1485">
        <f t="shared" si="70"/>
        <v>1280</v>
      </c>
      <c r="H273" s="1485">
        <v>30</v>
      </c>
      <c r="I273" s="1485">
        <f t="shared" si="71"/>
        <v>480</v>
      </c>
      <c r="J273" s="1582">
        <v>70</v>
      </c>
      <c r="K273" s="1582">
        <v>20</v>
      </c>
      <c r="L273" s="1525">
        <f t="shared" si="72"/>
        <v>320</v>
      </c>
      <c r="M273" s="1485">
        <f t="shared" si="73"/>
        <v>50</v>
      </c>
      <c r="N273" s="1581">
        <v>16</v>
      </c>
      <c r="O273" s="1582">
        <f t="shared" si="74"/>
        <v>800</v>
      </c>
      <c r="P273" s="1485">
        <v>12</v>
      </c>
      <c r="Q273" s="1485">
        <f t="shared" si="76"/>
        <v>192</v>
      </c>
      <c r="R273" s="1485">
        <v>12</v>
      </c>
      <c r="S273" s="1525">
        <f t="shared" si="78"/>
        <v>192</v>
      </c>
      <c r="T273" s="1485">
        <v>13</v>
      </c>
      <c r="U273" s="1525">
        <f t="shared" si="80"/>
        <v>208</v>
      </c>
      <c r="V273" s="1485">
        <v>13</v>
      </c>
      <c r="W273" s="1525">
        <f t="shared" si="82"/>
        <v>208</v>
      </c>
      <c r="X273" s="1485">
        <f t="shared" si="83"/>
        <v>50</v>
      </c>
      <c r="Y273" s="1485">
        <f t="shared" si="84"/>
        <v>800</v>
      </c>
      <c r="Z273" s="1527" t="s">
        <v>7799</v>
      </c>
      <c r="AA273" s="1379" t="s">
        <v>6526</v>
      </c>
      <c r="AB273" s="1583"/>
      <c r="AC273" s="1584" t="str">
        <f t="shared" si="85"/>
        <v>ok</v>
      </c>
      <c r="AD273" s="1583"/>
      <c r="AE273" s="1583"/>
      <c r="AF273" s="1583"/>
      <c r="AG273" s="1583"/>
      <c r="AH273" s="1583"/>
      <c r="AI273" s="1583"/>
      <c r="AJ273" s="1583"/>
      <c r="AK273" s="1583"/>
      <c r="AL273" s="1583"/>
      <c r="AM273" s="1583"/>
      <c r="AN273" s="1583"/>
      <c r="AO273" s="1583"/>
    </row>
    <row r="274" spans="1:41" x14ac:dyDescent="0.6">
      <c r="A274" s="1432">
        <v>269</v>
      </c>
      <c r="B274" s="1587" t="s">
        <v>8572</v>
      </c>
      <c r="C274" s="1576" t="s">
        <v>8298</v>
      </c>
      <c r="D274" s="1578">
        <v>100</v>
      </c>
      <c r="E274" s="1578">
        <f t="shared" si="69"/>
        <v>255.10000000000002</v>
      </c>
      <c r="F274" s="1579">
        <v>150</v>
      </c>
      <c r="G274" s="1485">
        <f t="shared" si="70"/>
        <v>382.65000000000003</v>
      </c>
      <c r="H274" s="1485">
        <v>2100</v>
      </c>
      <c r="I274" s="1485">
        <f t="shared" si="71"/>
        <v>5357.1</v>
      </c>
      <c r="J274" s="1582">
        <v>2000</v>
      </c>
      <c r="K274" s="1582">
        <v>200</v>
      </c>
      <c r="L274" s="1525">
        <f t="shared" si="72"/>
        <v>510.20000000000005</v>
      </c>
      <c r="M274" s="1485">
        <f t="shared" si="73"/>
        <v>1800</v>
      </c>
      <c r="N274" s="1581">
        <v>2.5510000000000002</v>
      </c>
      <c r="O274" s="1582">
        <f t="shared" si="74"/>
        <v>4591.8</v>
      </c>
      <c r="P274" s="1485">
        <f t="shared" si="75"/>
        <v>450</v>
      </c>
      <c r="Q274" s="1485">
        <f t="shared" si="76"/>
        <v>1147.95</v>
      </c>
      <c r="R274" s="1485">
        <f t="shared" si="77"/>
        <v>450</v>
      </c>
      <c r="S274" s="1525">
        <f t="shared" si="78"/>
        <v>1147.95</v>
      </c>
      <c r="T274" s="1485">
        <f t="shared" si="79"/>
        <v>450</v>
      </c>
      <c r="U274" s="1525">
        <f t="shared" si="80"/>
        <v>1147.95</v>
      </c>
      <c r="V274" s="1485">
        <f t="shared" si="81"/>
        <v>450</v>
      </c>
      <c r="W274" s="1525">
        <f t="shared" si="82"/>
        <v>1147.95</v>
      </c>
      <c r="X274" s="1485">
        <f t="shared" si="83"/>
        <v>1800</v>
      </c>
      <c r="Y274" s="1485">
        <f t="shared" si="84"/>
        <v>4591.8</v>
      </c>
      <c r="Z274" s="1527" t="s">
        <v>7799</v>
      </c>
      <c r="AA274" s="1379" t="s">
        <v>6526</v>
      </c>
      <c r="AB274" s="1583"/>
      <c r="AC274" s="1584" t="str">
        <f t="shared" si="85"/>
        <v>ok</v>
      </c>
      <c r="AD274" s="1583"/>
      <c r="AE274" s="1583"/>
      <c r="AF274" s="1583"/>
      <c r="AG274" s="1583"/>
      <c r="AH274" s="1583"/>
      <c r="AI274" s="1583"/>
      <c r="AJ274" s="1583"/>
      <c r="AK274" s="1583"/>
      <c r="AL274" s="1583"/>
      <c r="AM274" s="1583"/>
      <c r="AN274" s="1583"/>
      <c r="AO274" s="1583"/>
    </row>
    <row r="275" spans="1:41" x14ac:dyDescent="0.6">
      <c r="A275" s="1432">
        <v>270</v>
      </c>
      <c r="B275" s="1587" t="s">
        <v>8573</v>
      </c>
      <c r="C275" s="1576" t="s">
        <v>8298</v>
      </c>
      <c r="D275" s="1578">
        <v>100</v>
      </c>
      <c r="E275" s="1578">
        <f t="shared" si="69"/>
        <v>802.10000000000014</v>
      </c>
      <c r="F275" s="1579">
        <v>0</v>
      </c>
      <c r="G275" s="1485">
        <f t="shared" si="70"/>
        <v>0</v>
      </c>
      <c r="H275" s="1485">
        <v>2100</v>
      </c>
      <c r="I275" s="1485">
        <f t="shared" si="71"/>
        <v>16844.100000000002</v>
      </c>
      <c r="J275" s="1582">
        <v>2000</v>
      </c>
      <c r="K275" s="1582">
        <v>200</v>
      </c>
      <c r="L275" s="1525">
        <f t="shared" si="72"/>
        <v>1604.2000000000003</v>
      </c>
      <c r="M275" s="1485">
        <f t="shared" si="73"/>
        <v>1800</v>
      </c>
      <c r="N275" s="1581">
        <v>8.0210000000000008</v>
      </c>
      <c r="O275" s="1582">
        <f t="shared" si="74"/>
        <v>14437.800000000001</v>
      </c>
      <c r="P275" s="1485">
        <f t="shared" si="75"/>
        <v>450</v>
      </c>
      <c r="Q275" s="1485">
        <f t="shared" si="76"/>
        <v>3609.4500000000003</v>
      </c>
      <c r="R275" s="1485">
        <f t="shared" si="77"/>
        <v>450</v>
      </c>
      <c r="S275" s="1525">
        <f t="shared" si="78"/>
        <v>3609.4500000000003</v>
      </c>
      <c r="T275" s="1485">
        <f t="shared" si="79"/>
        <v>450</v>
      </c>
      <c r="U275" s="1525">
        <f t="shared" si="80"/>
        <v>3609.4500000000003</v>
      </c>
      <c r="V275" s="1485">
        <f t="shared" si="81"/>
        <v>450</v>
      </c>
      <c r="W275" s="1525">
        <f t="shared" si="82"/>
        <v>3609.4500000000003</v>
      </c>
      <c r="X275" s="1485">
        <f t="shared" si="83"/>
        <v>1800</v>
      </c>
      <c r="Y275" s="1485">
        <f t="shared" si="84"/>
        <v>14437.800000000001</v>
      </c>
      <c r="Z275" s="1527" t="s">
        <v>7799</v>
      </c>
      <c r="AA275" s="1379" t="s">
        <v>6526</v>
      </c>
      <c r="AB275" s="1583"/>
      <c r="AC275" s="1584" t="str">
        <f t="shared" si="85"/>
        <v>ok</v>
      </c>
      <c r="AD275" s="1583"/>
      <c r="AE275" s="1583"/>
      <c r="AF275" s="1583"/>
      <c r="AG275" s="1583"/>
      <c r="AH275" s="1583"/>
      <c r="AI275" s="1583"/>
      <c r="AJ275" s="1583"/>
      <c r="AK275" s="1583"/>
      <c r="AL275" s="1583"/>
      <c r="AM275" s="1583"/>
      <c r="AN275" s="1583"/>
      <c r="AO275" s="1583"/>
    </row>
    <row r="276" spans="1:41" x14ac:dyDescent="0.6">
      <c r="A276" s="1432">
        <v>271</v>
      </c>
      <c r="B276" s="1599" t="s">
        <v>8574</v>
      </c>
      <c r="C276" s="1576" t="s">
        <v>8305</v>
      </c>
      <c r="D276" s="1578">
        <f>49+61</f>
        <v>110</v>
      </c>
      <c r="E276" s="1578">
        <f t="shared" si="69"/>
        <v>6138</v>
      </c>
      <c r="F276" s="1579">
        <v>120</v>
      </c>
      <c r="G276" s="1485">
        <f t="shared" si="70"/>
        <v>6696</v>
      </c>
      <c r="H276" s="1485">
        <v>100</v>
      </c>
      <c r="I276" s="1485">
        <f t="shared" si="71"/>
        <v>5580</v>
      </c>
      <c r="J276" s="1582">
        <v>120</v>
      </c>
      <c r="K276" s="1582">
        <v>10</v>
      </c>
      <c r="L276" s="1525">
        <f t="shared" si="72"/>
        <v>558</v>
      </c>
      <c r="M276" s="1485">
        <v>0</v>
      </c>
      <c r="N276" s="1581">
        <v>55.8</v>
      </c>
      <c r="O276" s="1582">
        <f t="shared" si="74"/>
        <v>0</v>
      </c>
      <c r="P276" s="1485">
        <f t="shared" si="75"/>
        <v>0</v>
      </c>
      <c r="Q276" s="1485">
        <f t="shared" si="76"/>
        <v>0</v>
      </c>
      <c r="R276" s="1485">
        <f t="shared" si="77"/>
        <v>0</v>
      </c>
      <c r="S276" s="1525">
        <f t="shared" si="78"/>
        <v>0</v>
      </c>
      <c r="T276" s="1485">
        <f t="shared" si="79"/>
        <v>0</v>
      </c>
      <c r="U276" s="1525">
        <f t="shared" si="80"/>
        <v>0</v>
      </c>
      <c r="V276" s="1485">
        <f t="shared" si="81"/>
        <v>0</v>
      </c>
      <c r="W276" s="1525">
        <f t="shared" si="82"/>
        <v>0</v>
      </c>
      <c r="X276" s="1485">
        <f t="shared" si="83"/>
        <v>0</v>
      </c>
      <c r="Y276" s="1485">
        <f t="shared" si="84"/>
        <v>0</v>
      </c>
      <c r="Z276" s="1527" t="s">
        <v>7799</v>
      </c>
      <c r="AA276" s="1379" t="s">
        <v>6526</v>
      </c>
      <c r="AB276" s="1583"/>
      <c r="AC276" s="1584" t="str">
        <f t="shared" si="85"/>
        <v>ok</v>
      </c>
      <c r="AD276" s="1583"/>
      <c r="AE276" s="1583"/>
      <c r="AF276" s="1583"/>
      <c r="AG276" s="1583"/>
      <c r="AH276" s="1583"/>
      <c r="AI276" s="1583"/>
      <c r="AJ276" s="1583"/>
      <c r="AK276" s="1583"/>
      <c r="AL276" s="1583"/>
      <c r="AM276" s="1583"/>
      <c r="AN276" s="1583"/>
      <c r="AO276" s="1583"/>
    </row>
    <row r="277" spans="1:41" x14ac:dyDescent="0.6">
      <c r="A277" s="1432">
        <v>272</v>
      </c>
      <c r="B277" s="1599" t="s">
        <v>8575</v>
      </c>
      <c r="C277" s="1576" t="s">
        <v>8305</v>
      </c>
      <c r="D277" s="1578">
        <v>111</v>
      </c>
      <c r="E277" s="1578">
        <f t="shared" si="69"/>
        <v>16381.380000000001</v>
      </c>
      <c r="F277" s="1579">
        <v>120</v>
      </c>
      <c r="G277" s="1485">
        <f t="shared" si="70"/>
        <v>17709.600000000002</v>
      </c>
      <c r="H277" s="1485">
        <v>40</v>
      </c>
      <c r="I277" s="1485">
        <f t="shared" si="71"/>
        <v>5903.2000000000007</v>
      </c>
      <c r="J277" s="1582">
        <v>120</v>
      </c>
      <c r="K277" s="1582">
        <v>20</v>
      </c>
      <c r="L277" s="1525">
        <f t="shared" si="72"/>
        <v>2951.6000000000004</v>
      </c>
      <c r="M277" s="1485">
        <v>0</v>
      </c>
      <c r="N277" s="1581">
        <v>147.58000000000001</v>
      </c>
      <c r="O277" s="1582">
        <f t="shared" si="74"/>
        <v>0</v>
      </c>
      <c r="P277" s="1485">
        <f t="shared" si="75"/>
        <v>0</v>
      </c>
      <c r="Q277" s="1485">
        <f t="shared" si="76"/>
        <v>0</v>
      </c>
      <c r="R277" s="1485">
        <f t="shared" si="77"/>
        <v>0</v>
      </c>
      <c r="S277" s="1525">
        <f t="shared" si="78"/>
        <v>0</v>
      </c>
      <c r="T277" s="1485">
        <f t="shared" si="79"/>
        <v>0</v>
      </c>
      <c r="U277" s="1525">
        <f t="shared" si="80"/>
        <v>0</v>
      </c>
      <c r="V277" s="1485">
        <f t="shared" si="81"/>
        <v>0</v>
      </c>
      <c r="W277" s="1525">
        <f t="shared" si="82"/>
        <v>0</v>
      </c>
      <c r="X277" s="1485">
        <f t="shared" si="83"/>
        <v>0</v>
      </c>
      <c r="Y277" s="1485">
        <f t="shared" si="84"/>
        <v>0</v>
      </c>
      <c r="Z277" s="1527" t="s">
        <v>7799</v>
      </c>
      <c r="AA277" s="1379" t="s">
        <v>6526</v>
      </c>
      <c r="AB277" s="1583"/>
      <c r="AC277" s="1584" t="str">
        <f t="shared" si="85"/>
        <v>ok</v>
      </c>
      <c r="AD277" s="1583"/>
      <c r="AE277" s="1583"/>
      <c r="AF277" s="1583"/>
      <c r="AG277" s="1583"/>
      <c r="AH277" s="1583"/>
      <c r="AI277" s="1583"/>
      <c r="AJ277" s="1583"/>
      <c r="AK277" s="1583"/>
      <c r="AL277" s="1583"/>
      <c r="AM277" s="1583"/>
      <c r="AN277" s="1583"/>
      <c r="AO277" s="1583"/>
    </row>
    <row r="278" spans="1:41" ht="42" x14ac:dyDescent="0.6">
      <c r="A278" s="1432">
        <v>273</v>
      </c>
      <c r="B278" s="1599" t="s">
        <v>8576</v>
      </c>
      <c r="C278" s="1576" t="s">
        <v>8305</v>
      </c>
      <c r="D278" s="1578">
        <f>111+18</f>
        <v>129</v>
      </c>
      <c r="E278" s="1578">
        <f t="shared" si="69"/>
        <v>35346</v>
      </c>
      <c r="F278" s="1579">
        <v>130</v>
      </c>
      <c r="G278" s="1485">
        <f t="shared" si="70"/>
        <v>35620</v>
      </c>
      <c r="H278" s="1485">
        <v>180</v>
      </c>
      <c r="I278" s="1485">
        <f t="shared" si="71"/>
        <v>49320</v>
      </c>
      <c r="J278" s="1582">
        <v>200</v>
      </c>
      <c r="K278" s="1582">
        <v>20</v>
      </c>
      <c r="L278" s="1525">
        <f t="shared" si="72"/>
        <v>5480</v>
      </c>
      <c r="M278" s="1485">
        <v>0</v>
      </c>
      <c r="N278" s="1581">
        <v>274</v>
      </c>
      <c r="O278" s="1582">
        <f t="shared" si="74"/>
        <v>0</v>
      </c>
      <c r="P278" s="1485">
        <f t="shared" si="75"/>
        <v>0</v>
      </c>
      <c r="Q278" s="1485">
        <f t="shared" si="76"/>
        <v>0</v>
      </c>
      <c r="R278" s="1485">
        <f t="shared" si="77"/>
        <v>0</v>
      </c>
      <c r="S278" s="1525">
        <f t="shared" si="78"/>
        <v>0</v>
      </c>
      <c r="T278" s="1485">
        <f t="shared" si="79"/>
        <v>0</v>
      </c>
      <c r="U278" s="1525">
        <f t="shared" si="80"/>
        <v>0</v>
      </c>
      <c r="V278" s="1485">
        <f t="shared" si="81"/>
        <v>0</v>
      </c>
      <c r="W278" s="1525">
        <f t="shared" si="82"/>
        <v>0</v>
      </c>
      <c r="X278" s="1485">
        <f t="shared" si="83"/>
        <v>0</v>
      </c>
      <c r="Y278" s="1485">
        <f t="shared" si="84"/>
        <v>0</v>
      </c>
      <c r="Z278" s="1527" t="s">
        <v>7799</v>
      </c>
      <c r="AA278" s="1379" t="s">
        <v>6526</v>
      </c>
      <c r="AB278" s="1583"/>
      <c r="AC278" s="1584" t="str">
        <f t="shared" si="85"/>
        <v>ok</v>
      </c>
      <c r="AD278" s="1583"/>
      <c r="AE278" s="1583"/>
      <c r="AF278" s="1583"/>
      <c r="AG278" s="1583"/>
      <c r="AH278" s="1583"/>
      <c r="AI278" s="1583"/>
      <c r="AJ278" s="1583"/>
      <c r="AK278" s="1583"/>
      <c r="AL278" s="1583"/>
      <c r="AM278" s="1583"/>
      <c r="AN278" s="1583"/>
      <c r="AO278" s="1583"/>
    </row>
    <row r="279" spans="1:41" ht="42" x14ac:dyDescent="0.6">
      <c r="A279" s="1432">
        <v>274</v>
      </c>
      <c r="B279" s="1599" t="s">
        <v>8577</v>
      </c>
      <c r="C279" s="1576" t="s">
        <v>8305</v>
      </c>
      <c r="D279" s="1578">
        <f>96+45</f>
        <v>141</v>
      </c>
      <c r="E279" s="1578">
        <f t="shared" si="69"/>
        <v>19861.260000000002</v>
      </c>
      <c r="F279" s="1579">
        <v>160</v>
      </c>
      <c r="G279" s="1485">
        <f t="shared" si="70"/>
        <v>22537.600000000002</v>
      </c>
      <c r="H279" s="1485">
        <v>180</v>
      </c>
      <c r="I279" s="1485">
        <f t="shared" si="71"/>
        <v>25354.800000000003</v>
      </c>
      <c r="J279" s="1582">
        <v>220</v>
      </c>
      <c r="K279" s="1582">
        <v>20</v>
      </c>
      <c r="L279" s="1525">
        <f t="shared" si="72"/>
        <v>2817.2000000000003</v>
      </c>
      <c r="M279" s="1485">
        <v>0</v>
      </c>
      <c r="N279" s="1581">
        <v>140.86000000000001</v>
      </c>
      <c r="O279" s="1582">
        <f t="shared" si="74"/>
        <v>0</v>
      </c>
      <c r="P279" s="1485">
        <f t="shared" si="75"/>
        <v>0</v>
      </c>
      <c r="Q279" s="1485">
        <f t="shared" si="76"/>
        <v>0</v>
      </c>
      <c r="R279" s="1485">
        <f t="shared" si="77"/>
        <v>0</v>
      </c>
      <c r="S279" s="1525">
        <f t="shared" si="78"/>
        <v>0</v>
      </c>
      <c r="T279" s="1485">
        <f t="shared" si="79"/>
        <v>0</v>
      </c>
      <c r="U279" s="1525">
        <f t="shared" si="80"/>
        <v>0</v>
      </c>
      <c r="V279" s="1485">
        <f t="shared" si="81"/>
        <v>0</v>
      </c>
      <c r="W279" s="1525">
        <f t="shared" si="82"/>
        <v>0</v>
      </c>
      <c r="X279" s="1485">
        <f t="shared" si="83"/>
        <v>0</v>
      </c>
      <c r="Y279" s="1485">
        <f t="shared" si="84"/>
        <v>0</v>
      </c>
      <c r="Z279" s="1527" t="s">
        <v>7799</v>
      </c>
      <c r="AA279" s="1379" t="s">
        <v>6526</v>
      </c>
      <c r="AB279" s="1583"/>
      <c r="AC279" s="1584" t="str">
        <f t="shared" si="85"/>
        <v>ok</v>
      </c>
      <c r="AD279" s="1583"/>
      <c r="AE279" s="1583"/>
      <c r="AF279" s="1583"/>
      <c r="AG279" s="1583"/>
      <c r="AH279" s="1583"/>
      <c r="AI279" s="1583"/>
      <c r="AJ279" s="1583"/>
      <c r="AK279" s="1583"/>
      <c r="AL279" s="1583"/>
      <c r="AM279" s="1583"/>
      <c r="AN279" s="1583"/>
      <c r="AO279" s="1583"/>
    </row>
    <row r="280" spans="1:41" ht="42" x14ac:dyDescent="0.6">
      <c r="A280" s="1432">
        <v>275</v>
      </c>
      <c r="B280" s="1599" t="s">
        <v>8578</v>
      </c>
      <c r="C280" s="1576" t="s">
        <v>8305</v>
      </c>
      <c r="D280" s="1578">
        <v>533</v>
      </c>
      <c r="E280" s="1578">
        <f t="shared" si="69"/>
        <v>97411.08</v>
      </c>
      <c r="F280" s="1579">
        <v>700</v>
      </c>
      <c r="G280" s="1485">
        <f t="shared" si="70"/>
        <v>127932</v>
      </c>
      <c r="H280" s="1485">
        <v>850</v>
      </c>
      <c r="I280" s="1485">
        <f t="shared" si="71"/>
        <v>155346</v>
      </c>
      <c r="J280" s="1582">
        <v>1000</v>
      </c>
      <c r="K280" s="1582">
        <v>200</v>
      </c>
      <c r="L280" s="1525">
        <f t="shared" si="72"/>
        <v>36552</v>
      </c>
      <c r="M280" s="1485">
        <v>0</v>
      </c>
      <c r="N280" s="1581">
        <v>182.76</v>
      </c>
      <c r="O280" s="1582">
        <f t="shared" si="74"/>
        <v>0</v>
      </c>
      <c r="P280" s="1485">
        <f t="shared" si="75"/>
        <v>0</v>
      </c>
      <c r="Q280" s="1485">
        <f t="shared" si="76"/>
        <v>0</v>
      </c>
      <c r="R280" s="1485">
        <f t="shared" si="77"/>
        <v>0</v>
      </c>
      <c r="S280" s="1525">
        <f t="shared" si="78"/>
        <v>0</v>
      </c>
      <c r="T280" s="1485">
        <f t="shared" si="79"/>
        <v>0</v>
      </c>
      <c r="U280" s="1525">
        <f t="shared" si="80"/>
        <v>0</v>
      </c>
      <c r="V280" s="1485">
        <f t="shared" si="81"/>
        <v>0</v>
      </c>
      <c r="W280" s="1525">
        <f t="shared" si="82"/>
        <v>0</v>
      </c>
      <c r="X280" s="1485">
        <f t="shared" si="83"/>
        <v>0</v>
      </c>
      <c r="Y280" s="1485">
        <f t="shared" si="84"/>
        <v>0</v>
      </c>
      <c r="Z280" s="1527" t="s">
        <v>7799</v>
      </c>
      <c r="AA280" s="1379" t="s">
        <v>6526</v>
      </c>
      <c r="AB280" s="1583"/>
      <c r="AC280" s="1584" t="str">
        <f t="shared" si="85"/>
        <v>ok</v>
      </c>
      <c r="AD280" s="1583"/>
      <c r="AE280" s="1583"/>
      <c r="AF280" s="1583"/>
      <c r="AG280" s="1583"/>
      <c r="AH280" s="1583"/>
      <c r="AI280" s="1583"/>
      <c r="AJ280" s="1583"/>
      <c r="AK280" s="1583"/>
      <c r="AL280" s="1583"/>
      <c r="AM280" s="1583"/>
      <c r="AN280" s="1583"/>
      <c r="AO280" s="1583"/>
    </row>
    <row r="281" spans="1:41" x14ac:dyDescent="0.6">
      <c r="A281" s="1432">
        <v>276</v>
      </c>
      <c r="B281" s="1599" t="s">
        <v>8579</v>
      </c>
      <c r="C281" s="1576" t="s">
        <v>8305</v>
      </c>
      <c r="D281" s="1578">
        <v>336</v>
      </c>
      <c r="E281" s="1578">
        <f t="shared" si="69"/>
        <v>93844.800000000003</v>
      </c>
      <c r="F281" s="1579">
        <v>370</v>
      </c>
      <c r="G281" s="1485">
        <f t="shared" si="70"/>
        <v>103341</v>
      </c>
      <c r="H281" s="1485">
        <v>70</v>
      </c>
      <c r="I281" s="1485">
        <f t="shared" si="71"/>
        <v>19551</v>
      </c>
      <c r="J281" s="1582">
        <v>370</v>
      </c>
      <c r="K281" s="1582">
        <v>120</v>
      </c>
      <c r="L281" s="1525">
        <f t="shared" si="72"/>
        <v>33516</v>
      </c>
      <c r="M281" s="1485">
        <v>0</v>
      </c>
      <c r="N281" s="1581">
        <v>279.3</v>
      </c>
      <c r="O281" s="1582">
        <f t="shared" si="74"/>
        <v>0</v>
      </c>
      <c r="P281" s="1485">
        <f t="shared" si="75"/>
        <v>0</v>
      </c>
      <c r="Q281" s="1485">
        <f t="shared" si="76"/>
        <v>0</v>
      </c>
      <c r="R281" s="1485">
        <f t="shared" si="77"/>
        <v>0</v>
      </c>
      <c r="S281" s="1525">
        <f t="shared" si="78"/>
        <v>0</v>
      </c>
      <c r="T281" s="1485">
        <f t="shared" si="79"/>
        <v>0</v>
      </c>
      <c r="U281" s="1525">
        <f t="shared" si="80"/>
        <v>0</v>
      </c>
      <c r="V281" s="1485">
        <f t="shared" si="81"/>
        <v>0</v>
      </c>
      <c r="W281" s="1525">
        <f t="shared" si="82"/>
        <v>0</v>
      </c>
      <c r="X281" s="1485">
        <f t="shared" si="83"/>
        <v>0</v>
      </c>
      <c r="Y281" s="1485">
        <f t="shared" si="84"/>
        <v>0</v>
      </c>
      <c r="Z281" s="1527" t="s">
        <v>7799</v>
      </c>
      <c r="AA281" s="1379" t="s">
        <v>6526</v>
      </c>
      <c r="AB281" s="1583"/>
      <c r="AC281" s="1584" t="str">
        <f t="shared" si="85"/>
        <v>ok</v>
      </c>
      <c r="AD281" s="1583"/>
      <c r="AE281" s="1583"/>
      <c r="AF281" s="1583"/>
      <c r="AG281" s="1583"/>
      <c r="AH281" s="1583"/>
      <c r="AI281" s="1583"/>
      <c r="AJ281" s="1583"/>
      <c r="AK281" s="1583"/>
      <c r="AL281" s="1583"/>
      <c r="AM281" s="1583"/>
      <c r="AN281" s="1583"/>
      <c r="AO281" s="1583"/>
    </row>
    <row r="282" spans="1:41" ht="42" x14ac:dyDescent="0.6">
      <c r="A282" s="1432">
        <v>277</v>
      </c>
      <c r="B282" s="1599" t="s">
        <v>8580</v>
      </c>
      <c r="C282" s="1576" t="s">
        <v>8305</v>
      </c>
      <c r="D282" s="1578">
        <f>300+726+541</f>
        <v>1567</v>
      </c>
      <c r="E282" s="1578">
        <f t="shared" si="69"/>
        <v>159285.55000000002</v>
      </c>
      <c r="F282" s="1579">
        <v>1600</v>
      </c>
      <c r="G282" s="1485">
        <f t="shared" si="70"/>
        <v>162640</v>
      </c>
      <c r="H282" s="1485">
        <v>500</v>
      </c>
      <c r="I282" s="1485">
        <f t="shared" si="71"/>
        <v>50825</v>
      </c>
      <c r="J282" s="1582">
        <v>1600</v>
      </c>
      <c r="K282" s="1582">
        <v>600</v>
      </c>
      <c r="L282" s="1525">
        <f t="shared" si="72"/>
        <v>60990</v>
      </c>
      <c r="M282" s="1485">
        <v>0</v>
      </c>
      <c r="N282" s="1581">
        <v>101.65</v>
      </c>
      <c r="O282" s="1582">
        <f t="shared" si="74"/>
        <v>0</v>
      </c>
      <c r="P282" s="1485">
        <f t="shared" si="75"/>
        <v>0</v>
      </c>
      <c r="Q282" s="1485">
        <f t="shared" si="76"/>
        <v>0</v>
      </c>
      <c r="R282" s="1485">
        <f t="shared" si="77"/>
        <v>0</v>
      </c>
      <c r="S282" s="1525">
        <f t="shared" si="78"/>
        <v>0</v>
      </c>
      <c r="T282" s="1485">
        <f t="shared" si="79"/>
        <v>0</v>
      </c>
      <c r="U282" s="1525">
        <f t="shared" si="80"/>
        <v>0</v>
      </c>
      <c r="V282" s="1485">
        <f t="shared" si="81"/>
        <v>0</v>
      </c>
      <c r="W282" s="1525">
        <f t="shared" si="82"/>
        <v>0</v>
      </c>
      <c r="X282" s="1485">
        <f t="shared" si="83"/>
        <v>0</v>
      </c>
      <c r="Y282" s="1485">
        <f t="shared" si="84"/>
        <v>0</v>
      </c>
      <c r="Z282" s="1527" t="s">
        <v>7799</v>
      </c>
      <c r="AA282" s="1379" t="s">
        <v>6526</v>
      </c>
      <c r="AB282" s="1583"/>
      <c r="AC282" s="1584" t="str">
        <f t="shared" si="85"/>
        <v>ok</v>
      </c>
      <c r="AD282" s="1583"/>
      <c r="AE282" s="1583"/>
      <c r="AF282" s="1583"/>
      <c r="AG282" s="1583"/>
      <c r="AH282" s="1583"/>
      <c r="AI282" s="1583"/>
      <c r="AJ282" s="1583"/>
      <c r="AK282" s="1583"/>
      <c r="AL282" s="1583"/>
      <c r="AM282" s="1583"/>
      <c r="AN282" s="1583"/>
      <c r="AO282" s="1583"/>
    </row>
    <row r="283" spans="1:41" ht="42" x14ac:dyDescent="0.6">
      <c r="A283" s="1432">
        <v>278</v>
      </c>
      <c r="B283" s="1599" t="s">
        <v>8581</v>
      </c>
      <c r="C283" s="1576" t="s">
        <v>8305</v>
      </c>
      <c r="D283" s="1578">
        <f>148+493</f>
        <v>641</v>
      </c>
      <c r="E283" s="1578">
        <f t="shared" si="69"/>
        <v>104835.55</v>
      </c>
      <c r="F283" s="1579">
        <v>650</v>
      </c>
      <c r="G283" s="1485">
        <f t="shared" si="70"/>
        <v>106307.50000000001</v>
      </c>
      <c r="H283" s="1485">
        <v>600</v>
      </c>
      <c r="I283" s="1485">
        <f t="shared" si="71"/>
        <v>98130</v>
      </c>
      <c r="J283" s="1582">
        <v>700</v>
      </c>
      <c r="K283" s="1582">
        <v>100</v>
      </c>
      <c r="L283" s="1525">
        <f t="shared" si="72"/>
        <v>16355.000000000002</v>
      </c>
      <c r="M283" s="1485">
        <v>0</v>
      </c>
      <c r="N283" s="1581">
        <v>163.55000000000001</v>
      </c>
      <c r="O283" s="1582">
        <f t="shared" si="74"/>
        <v>0</v>
      </c>
      <c r="P283" s="1485">
        <f t="shared" si="75"/>
        <v>0</v>
      </c>
      <c r="Q283" s="1485">
        <f t="shared" si="76"/>
        <v>0</v>
      </c>
      <c r="R283" s="1485">
        <f t="shared" si="77"/>
        <v>0</v>
      </c>
      <c r="S283" s="1525">
        <f t="shared" si="78"/>
        <v>0</v>
      </c>
      <c r="T283" s="1485">
        <f t="shared" si="79"/>
        <v>0</v>
      </c>
      <c r="U283" s="1525">
        <f t="shared" si="80"/>
        <v>0</v>
      </c>
      <c r="V283" s="1485">
        <f t="shared" si="81"/>
        <v>0</v>
      </c>
      <c r="W283" s="1525">
        <f t="shared" si="82"/>
        <v>0</v>
      </c>
      <c r="X283" s="1485">
        <f t="shared" si="83"/>
        <v>0</v>
      </c>
      <c r="Y283" s="1485">
        <f t="shared" si="84"/>
        <v>0</v>
      </c>
      <c r="Z283" s="1527" t="s">
        <v>7799</v>
      </c>
      <c r="AA283" s="1379" t="s">
        <v>6526</v>
      </c>
      <c r="AB283" s="1583"/>
      <c r="AC283" s="1584" t="str">
        <f t="shared" si="85"/>
        <v>ok</v>
      </c>
      <c r="AD283" s="1583"/>
      <c r="AE283" s="1583"/>
      <c r="AF283" s="1583"/>
      <c r="AG283" s="1583"/>
      <c r="AH283" s="1583"/>
      <c r="AI283" s="1583"/>
      <c r="AJ283" s="1583"/>
      <c r="AK283" s="1583"/>
      <c r="AL283" s="1583"/>
      <c r="AM283" s="1583"/>
      <c r="AN283" s="1583"/>
      <c r="AO283" s="1583"/>
    </row>
    <row r="284" spans="1:41" x14ac:dyDescent="0.6">
      <c r="A284" s="1432">
        <v>279</v>
      </c>
      <c r="B284" s="1593" t="s">
        <v>8582</v>
      </c>
      <c r="C284" s="1576" t="s">
        <v>8346</v>
      </c>
      <c r="D284" s="1578">
        <f>4800+12300</f>
        <v>17100</v>
      </c>
      <c r="E284" s="1578">
        <f t="shared" si="69"/>
        <v>34200</v>
      </c>
      <c r="F284" s="1579">
        <v>18000</v>
      </c>
      <c r="G284" s="1485">
        <f t="shared" si="70"/>
        <v>36000</v>
      </c>
      <c r="H284" s="1485">
        <v>32000</v>
      </c>
      <c r="I284" s="1485">
        <f t="shared" si="71"/>
        <v>64000</v>
      </c>
      <c r="J284" s="1582">
        <v>35000</v>
      </c>
      <c r="K284" s="1582">
        <v>15000</v>
      </c>
      <c r="L284" s="1525">
        <f t="shared" si="72"/>
        <v>30000</v>
      </c>
      <c r="M284" s="1485">
        <f t="shared" si="73"/>
        <v>20000</v>
      </c>
      <c r="N284" s="1581">
        <v>2</v>
      </c>
      <c r="O284" s="1582">
        <f t="shared" si="74"/>
        <v>40000</v>
      </c>
      <c r="P284" s="1485">
        <f t="shared" si="75"/>
        <v>5000</v>
      </c>
      <c r="Q284" s="1485">
        <f t="shared" si="76"/>
        <v>10000</v>
      </c>
      <c r="R284" s="1485">
        <f t="shared" si="77"/>
        <v>5000</v>
      </c>
      <c r="S284" s="1525">
        <f t="shared" si="78"/>
        <v>10000</v>
      </c>
      <c r="T284" s="1485">
        <f t="shared" si="79"/>
        <v>5000</v>
      </c>
      <c r="U284" s="1525">
        <f t="shared" si="80"/>
        <v>10000</v>
      </c>
      <c r="V284" s="1485">
        <f t="shared" si="81"/>
        <v>5000</v>
      </c>
      <c r="W284" s="1525">
        <f t="shared" si="82"/>
        <v>10000</v>
      </c>
      <c r="X284" s="1485">
        <f t="shared" si="83"/>
        <v>20000</v>
      </c>
      <c r="Y284" s="1485">
        <f t="shared" si="84"/>
        <v>40000</v>
      </c>
      <c r="Z284" s="1527" t="s">
        <v>7799</v>
      </c>
      <c r="AA284" s="1379" t="s">
        <v>6526</v>
      </c>
      <c r="AB284" s="1583"/>
      <c r="AC284" s="1584" t="str">
        <f t="shared" si="85"/>
        <v>ok</v>
      </c>
      <c r="AD284" s="1583"/>
      <c r="AE284" s="1583"/>
      <c r="AF284" s="1583"/>
      <c r="AG284" s="1583"/>
      <c r="AH284" s="1583"/>
      <c r="AI284" s="1583"/>
      <c r="AJ284" s="1583"/>
      <c r="AK284" s="1583"/>
      <c r="AL284" s="1583"/>
      <c r="AM284" s="1583"/>
      <c r="AN284" s="1583"/>
      <c r="AO284" s="1583"/>
    </row>
    <row r="285" spans="1:41" ht="42" x14ac:dyDescent="0.6">
      <c r="A285" s="1432">
        <v>280</v>
      </c>
      <c r="B285" s="1593" t="s">
        <v>8583</v>
      </c>
      <c r="C285" s="1576" t="s">
        <v>8296</v>
      </c>
      <c r="D285" s="1578">
        <v>37</v>
      </c>
      <c r="E285" s="1578">
        <f t="shared" si="69"/>
        <v>3563.1</v>
      </c>
      <c r="F285" s="1579">
        <v>35</v>
      </c>
      <c r="G285" s="1485">
        <f t="shared" si="70"/>
        <v>3370.5</v>
      </c>
      <c r="H285" s="1485">
        <v>200</v>
      </c>
      <c r="I285" s="1485">
        <f t="shared" si="71"/>
        <v>19260</v>
      </c>
      <c r="J285" s="1582">
        <v>200</v>
      </c>
      <c r="K285" s="1582">
        <v>40</v>
      </c>
      <c r="L285" s="1525">
        <f t="shared" si="72"/>
        <v>3852</v>
      </c>
      <c r="M285" s="1485">
        <f t="shared" si="73"/>
        <v>160</v>
      </c>
      <c r="N285" s="1581">
        <v>96.3</v>
      </c>
      <c r="O285" s="1582">
        <f t="shared" si="74"/>
        <v>15408</v>
      </c>
      <c r="P285" s="1485">
        <f t="shared" si="75"/>
        <v>40</v>
      </c>
      <c r="Q285" s="1485">
        <f t="shared" si="76"/>
        <v>3852</v>
      </c>
      <c r="R285" s="1485">
        <f t="shared" si="77"/>
        <v>40</v>
      </c>
      <c r="S285" s="1525">
        <f t="shared" si="78"/>
        <v>3852</v>
      </c>
      <c r="T285" s="1485">
        <f t="shared" si="79"/>
        <v>40</v>
      </c>
      <c r="U285" s="1525">
        <f t="shared" si="80"/>
        <v>3852</v>
      </c>
      <c r="V285" s="1485">
        <f t="shared" si="81"/>
        <v>40</v>
      </c>
      <c r="W285" s="1525">
        <f t="shared" si="82"/>
        <v>3852</v>
      </c>
      <c r="X285" s="1485">
        <f t="shared" si="83"/>
        <v>160</v>
      </c>
      <c r="Y285" s="1485">
        <f t="shared" si="84"/>
        <v>15408</v>
      </c>
      <c r="Z285" s="1527" t="s">
        <v>7799</v>
      </c>
      <c r="AA285" s="1379" t="s">
        <v>6526</v>
      </c>
      <c r="AB285" s="1583"/>
      <c r="AC285" s="1584" t="str">
        <f t="shared" si="85"/>
        <v>ok</v>
      </c>
      <c r="AD285" s="1583"/>
      <c r="AE285" s="1583"/>
      <c r="AF285" s="1583"/>
      <c r="AG285" s="1583"/>
      <c r="AH285" s="1583"/>
      <c r="AI285" s="1583"/>
      <c r="AJ285" s="1583"/>
      <c r="AK285" s="1583"/>
      <c r="AL285" s="1583"/>
      <c r="AM285" s="1583"/>
      <c r="AN285" s="1583"/>
      <c r="AO285" s="1583"/>
    </row>
    <row r="286" spans="1:41" ht="42" x14ac:dyDescent="0.6">
      <c r="A286" s="1432">
        <v>281</v>
      </c>
      <c r="B286" s="1593" t="s">
        <v>8584</v>
      </c>
      <c r="C286" s="1576" t="s">
        <v>8448</v>
      </c>
      <c r="D286" s="1578">
        <v>32</v>
      </c>
      <c r="E286" s="1578">
        <f t="shared" si="69"/>
        <v>1360</v>
      </c>
      <c r="F286" s="1579">
        <v>40</v>
      </c>
      <c r="G286" s="1485">
        <f t="shared" si="70"/>
        <v>1700</v>
      </c>
      <c r="H286" s="1485">
        <v>40</v>
      </c>
      <c r="I286" s="1485">
        <f t="shared" si="71"/>
        <v>1700</v>
      </c>
      <c r="J286" s="1582">
        <v>50</v>
      </c>
      <c r="K286" s="1582">
        <v>12</v>
      </c>
      <c r="L286" s="1525">
        <f t="shared" si="72"/>
        <v>510</v>
      </c>
      <c r="M286" s="1485">
        <f t="shared" si="73"/>
        <v>38</v>
      </c>
      <c r="N286" s="1581">
        <v>42.5</v>
      </c>
      <c r="O286" s="1582">
        <f t="shared" si="74"/>
        <v>1615</v>
      </c>
      <c r="P286" s="1485">
        <v>9</v>
      </c>
      <c r="Q286" s="1485">
        <f t="shared" si="76"/>
        <v>382.5</v>
      </c>
      <c r="R286" s="1485">
        <v>9</v>
      </c>
      <c r="S286" s="1525">
        <f t="shared" si="78"/>
        <v>382.5</v>
      </c>
      <c r="T286" s="1485">
        <v>10</v>
      </c>
      <c r="U286" s="1525">
        <f t="shared" si="80"/>
        <v>425</v>
      </c>
      <c r="V286" s="1485">
        <v>10</v>
      </c>
      <c r="W286" s="1525">
        <f t="shared" si="82"/>
        <v>425</v>
      </c>
      <c r="X286" s="1485">
        <f t="shared" si="83"/>
        <v>38</v>
      </c>
      <c r="Y286" s="1485">
        <f t="shared" si="84"/>
        <v>1615</v>
      </c>
      <c r="Z286" s="1527" t="s">
        <v>7799</v>
      </c>
      <c r="AA286" s="1379" t="s">
        <v>6526</v>
      </c>
      <c r="AB286" s="1583"/>
      <c r="AC286" s="1584" t="str">
        <f t="shared" si="85"/>
        <v>ok</v>
      </c>
      <c r="AD286" s="1583"/>
      <c r="AE286" s="1583"/>
      <c r="AF286" s="1583"/>
      <c r="AG286" s="1583"/>
      <c r="AH286" s="1583"/>
      <c r="AI286" s="1583"/>
      <c r="AJ286" s="1583"/>
      <c r="AK286" s="1583"/>
      <c r="AL286" s="1583"/>
      <c r="AM286" s="1583"/>
      <c r="AN286" s="1583"/>
      <c r="AO286" s="1583"/>
    </row>
    <row r="287" spans="1:41" x14ac:dyDescent="0.6">
      <c r="A287" s="1432">
        <v>282</v>
      </c>
      <c r="B287" s="1587" t="s">
        <v>8585</v>
      </c>
      <c r="C287" s="1576" t="s">
        <v>8298</v>
      </c>
      <c r="D287" s="1578">
        <v>1000</v>
      </c>
      <c r="E287" s="1578">
        <f t="shared" si="69"/>
        <v>580</v>
      </c>
      <c r="F287" s="1579">
        <v>1000</v>
      </c>
      <c r="G287" s="1485">
        <f t="shared" si="70"/>
        <v>580</v>
      </c>
      <c r="H287" s="1485">
        <v>600</v>
      </c>
      <c r="I287" s="1485">
        <f t="shared" si="71"/>
        <v>348</v>
      </c>
      <c r="J287" s="1582">
        <v>1500</v>
      </c>
      <c r="K287" s="1582">
        <v>500</v>
      </c>
      <c r="L287" s="1525">
        <f t="shared" si="72"/>
        <v>290</v>
      </c>
      <c r="M287" s="1485">
        <f t="shared" si="73"/>
        <v>1000</v>
      </c>
      <c r="N287" s="1581">
        <v>0.57999999999999996</v>
      </c>
      <c r="O287" s="1582">
        <f t="shared" si="74"/>
        <v>580</v>
      </c>
      <c r="P287" s="1485">
        <f t="shared" si="75"/>
        <v>250</v>
      </c>
      <c r="Q287" s="1485">
        <f t="shared" si="76"/>
        <v>145</v>
      </c>
      <c r="R287" s="1485">
        <f t="shared" si="77"/>
        <v>250</v>
      </c>
      <c r="S287" s="1525">
        <f t="shared" si="78"/>
        <v>145</v>
      </c>
      <c r="T287" s="1485">
        <f t="shared" si="79"/>
        <v>250</v>
      </c>
      <c r="U287" s="1525">
        <f t="shared" si="80"/>
        <v>145</v>
      </c>
      <c r="V287" s="1485">
        <f t="shared" si="81"/>
        <v>250</v>
      </c>
      <c r="W287" s="1525">
        <f t="shared" si="82"/>
        <v>145</v>
      </c>
      <c r="X287" s="1485">
        <f t="shared" si="83"/>
        <v>1000</v>
      </c>
      <c r="Y287" s="1485">
        <f t="shared" si="84"/>
        <v>580</v>
      </c>
      <c r="Z287" s="1527" t="s">
        <v>7799</v>
      </c>
      <c r="AA287" s="1379" t="s">
        <v>6526</v>
      </c>
      <c r="AB287" s="1583"/>
      <c r="AC287" s="1584" t="str">
        <f t="shared" si="85"/>
        <v>ok</v>
      </c>
      <c r="AD287" s="1583"/>
      <c r="AE287" s="1583"/>
      <c r="AF287" s="1583"/>
      <c r="AG287" s="1583"/>
      <c r="AH287" s="1583"/>
      <c r="AI287" s="1583"/>
      <c r="AJ287" s="1583"/>
      <c r="AK287" s="1583"/>
      <c r="AL287" s="1583"/>
      <c r="AM287" s="1583"/>
      <c r="AN287" s="1583"/>
      <c r="AO287" s="1583"/>
    </row>
    <row r="288" spans="1:41" x14ac:dyDescent="0.6">
      <c r="A288" s="1432">
        <v>283</v>
      </c>
      <c r="B288" s="1593" t="s">
        <v>8586</v>
      </c>
      <c r="C288" s="1576" t="s">
        <v>8587</v>
      </c>
      <c r="D288" s="1578">
        <v>11</v>
      </c>
      <c r="E288" s="1578">
        <f t="shared" si="69"/>
        <v>5346</v>
      </c>
      <c r="F288" s="1579">
        <v>12</v>
      </c>
      <c r="G288" s="1485">
        <f t="shared" si="70"/>
        <v>5832</v>
      </c>
      <c r="H288" s="1485">
        <v>6</v>
      </c>
      <c r="I288" s="1485">
        <f t="shared" si="71"/>
        <v>2916</v>
      </c>
      <c r="J288" s="1582">
        <v>12</v>
      </c>
      <c r="K288" s="1582">
        <v>4</v>
      </c>
      <c r="L288" s="1525">
        <f t="shared" si="72"/>
        <v>1944</v>
      </c>
      <c r="M288" s="1485">
        <f t="shared" si="73"/>
        <v>8</v>
      </c>
      <c r="N288" s="1581">
        <v>486</v>
      </c>
      <c r="O288" s="1582">
        <f t="shared" si="74"/>
        <v>3888</v>
      </c>
      <c r="P288" s="1485">
        <f t="shared" si="75"/>
        <v>2</v>
      </c>
      <c r="Q288" s="1485">
        <f t="shared" si="76"/>
        <v>972</v>
      </c>
      <c r="R288" s="1485">
        <f t="shared" si="77"/>
        <v>2</v>
      </c>
      <c r="S288" s="1525">
        <f t="shared" si="78"/>
        <v>972</v>
      </c>
      <c r="T288" s="1485">
        <f t="shared" si="79"/>
        <v>2</v>
      </c>
      <c r="U288" s="1525">
        <f t="shared" si="80"/>
        <v>972</v>
      </c>
      <c r="V288" s="1485">
        <f t="shared" si="81"/>
        <v>2</v>
      </c>
      <c r="W288" s="1525">
        <f t="shared" si="82"/>
        <v>972</v>
      </c>
      <c r="X288" s="1485">
        <f t="shared" si="83"/>
        <v>8</v>
      </c>
      <c r="Y288" s="1485">
        <f t="shared" si="84"/>
        <v>3888</v>
      </c>
      <c r="Z288" s="1527" t="s">
        <v>7799</v>
      </c>
      <c r="AA288" s="1379" t="s">
        <v>6526</v>
      </c>
      <c r="AB288" s="1583"/>
      <c r="AC288" s="1584" t="str">
        <f t="shared" si="85"/>
        <v>ok</v>
      </c>
      <c r="AD288" s="1583"/>
      <c r="AE288" s="1583"/>
      <c r="AF288" s="1583"/>
      <c r="AG288" s="1583"/>
      <c r="AH288" s="1583"/>
      <c r="AI288" s="1583"/>
      <c r="AJ288" s="1583"/>
      <c r="AK288" s="1583"/>
      <c r="AL288" s="1583"/>
      <c r="AM288" s="1583"/>
      <c r="AN288" s="1583"/>
      <c r="AO288" s="1583"/>
    </row>
    <row r="289" spans="1:41" x14ac:dyDescent="0.6">
      <c r="A289" s="1432">
        <v>284</v>
      </c>
      <c r="B289" s="1593" t="s">
        <v>8588</v>
      </c>
      <c r="C289" s="1576" t="s">
        <v>8298</v>
      </c>
      <c r="D289" s="1578">
        <v>299</v>
      </c>
      <c r="E289" s="1578">
        <f t="shared" si="69"/>
        <v>418.59999999999997</v>
      </c>
      <c r="F289" s="1579">
        <v>350</v>
      </c>
      <c r="G289" s="1485">
        <f t="shared" si="70"/>
        <v>489.99999999999994</v>
      </c>
      <c r="H289" s="1485">
        <v>600</v>
      </c>
      <c r="I289" s="1485">
        <f t="shared" si="71"/>
        <v>840</v>
      </c>
      <c r="J289" s="1582">
        <v>700</v>
      </c>
      <c r="K289" s="1582">
        <v>350</v>
      </c>
      <c r="L289" s="1525">
        <f t="shared" si="72"/>
        <v>489.99999999999994</v>
      </c>
      <c r="M289" s="1485">
        <f t="shared" si="73"/>
        <v>350</v>
      </c>
      <c r="N289" s="1581">
        <v>1.4</v>
      </c>
      <c r="O289" s="1582">
        <f t="shared" si="74"/>
        <v>489.99999999999994</v>
      </c>
      <c r="P289" s="1485">
        <v>87</v>
      </c>
      <c r="Q289" s="1485">
        <f t="shared" si="76"/>
        <v>121.8</v>
      </c>
      <c r="R289" s="1485">
        <v>87</v>
      </c>
      <c r="S289" s="1525">
        <f t="shared" si="78"/>
        <v>121.8</v>
      </c>
      <c r="T289" s="1485">
        <v>88</v>
      </c>
      <c r="U289" s="1525">
        <f t="shared" si="80"/>
        <v>123.19999999999999</v>
      </c>
      <c r="V289" s="1485">
        <v>88</v>
      </c>
      <c r="W289" s="1525">
        <f t="shared" si="82"/>
        <v>123.19999999999999</v>
      </c>
      <c r="X289" s="1485">
        <f t="shared" si="83"/>
        <v>350</v>
      </c>
      <c r="Y289" s="1485">
        <f t="shared" si="84"/>
        <v>489.99999999999994</v>
      </c>
      <c r="Z289" s="1527" t="s">
        <v>7799</v>
      </c>
      <c r="AA289" s="1379" t="s">
        <v>6526</v>
      </c>
      <c r="AB289" s="1583"/>
      <c r="AC289" s="1584" t="str">
        <f t="shared" si="85"/>
        <v>ok</v>
      </c>
      <c r="AD289" s="1583"/>
      <c r="AE289" s="1583"/>
      <c r="AF289" s="1583"/>
      <c r="AG289" s="1583"/>
      <c r="AH289" s="1583"/>
      <c r="AI289" s="1583"/>
      <c r="AJ289" s="1583"/>
      <c r="AK289" s="1583"/>
      <c r="AL289" s="1583"/>
      <c r="AM289" s="1583"/>
      <c r="AN289" s="1583"/>
      <c r="AO289" s="1583"/>
    </row>
    <row r="290" spans="1:41" x14ac:dyDescent="0.6">
      <c r="A290" s="1432">
        <v>285</v>
      </c>
      <c r="B290" s="1593" t="s">
        <v>8589</v>
      </c>
      <c r="C290" s="1576" t="s">
        <v>8296</v>
      </c>
      <c r="D290" s="1578">
        <v>4</v>
      </c>
      <c r="E290" s="1578">
        <f t="shared" si="69"/>
        <v>1112.8</v>
      </c>
      <c r="F290" s="1579">
        <v>4</v>
      </c>
      <c r="G290" s="1485">
        <f t="shared" si="70"/>
        <v>1112.8</v>
      </c>
      <c r="H290" s="1485">
        <v>0</v>
      </c>
      <c r="I290" s="1485">
        <f t="shared" si="71"/>
        <v>0</v>
      </c>
      <c r="J290" s="1582">
        <v>4</v>
      </c>
      <c r="K290" s="1582">
        <v>3</v>
      </c>
      <c r="L290" s="1525">
        <f t="shared" si="72"/>
        <v>834.59999999999991</v>
      </c>
      <c r="M290" s="1485">
        <f t="shared" si="73"/>
        <v>1</v>
      </c>
      <c r="N290" s="1581">
        <v>278.2</v>
      </c>
      <c r="O290" s="1582">
        <f t="shared" si="74"/>
        <v>278.2</v>
      </c>
      <c r="P290" s="1485">
        <v>1</v>
      </c>
      <c r="Q290" s="1485">
        <f t="shared" si="76"/>
        <v>278.2</v>
      </c>
      <c r="R290" s="1485">
        <v>0</v>
      </c>
      <c r="S290" s="1525">
        <f t="shared" si="78"/>
        <v>0</v>
      </c>
      <c r="T290" s="1485">
        <v>0</v>
      </c>
      <c r="U290" s="1525">
        <f t="shared" si="80"/>
        <v>0</v>
      </c>
      <c r="V290" s="1485">
        <v>0</v>
      </c>
      <c r="W290" s="1525">
        <f t="shared" si="82"/>
        <v>0</v>
      </c>
      <c r="X290" s="1485">
        <f t="shared" si="83"/>
        <v>1</v>
      </c>
      <c r="Y290" s="1485">
        <f t="shared" si="84"/>
        <v>278.2</v>
      </c>
      <c r="Z290" s="1527" t="s">
        <v>7799</v>
      </c>
      <c r="AA290" s="1379" t="s">
        <v>6526</v>
      </c>
      <c r="AB290" s="1583"/>
      <c r="AC290" s="1584" t="str">
        <f t="shared" si="85"/>
        <v>ok</v>
      </c>
      <c r="AD290" s="1583"/>
      <c r="AE290" s="1583"/>
      <c r="AF290" s="1583"/>
      <c r="AG290" s="1583"/>
      <c r="AH290" s="1583"/>
      <c r="AI290" s="1583"/>
      <c r="AJ290" s="1583"/>
      <c r="AK290" s="1583"/>
      <c r="AL290" s="1583"/>
      <c r="AM290" s="1583"/>
      <c r="AN290" s="1583"/>
      <c r="AO290" s="1583"/>
    </row>
    <row r="291" spans="1:41" ht="63" x14ac:dyDescent="0.6">
      <c r="A291" s="1432">
        <v>286</v>
      </c>
      <c r="B291" s="1593" t="s">
        <v>8590</v>
      </c>
      <c r="C291" s="1576" t="s">
        <v>8305</v>
      </c>
      <c r="D291" s="1578">
        <f>36+168</f>
        <v>204</v>
      </c>
      <c r="E291" s="1578">
        <f t="shared" si="69"/>
        <v>6111.84</v>
      </c>
      <c r="F291" s="1579">
        <v>260</v>
      </c>
      <c r="G291" s="1485">
        <f t="shared" si="70"/>
        <v>7789.6</v>
      </c>
      <c r="H291" s="1485">
        <v>200</v>
      </c>
      <c r="I291" s="1485">
        <f t="shared" si="71"/>
        <v>5992</v>
      </c>
      <c r="J291" s="1582">
        <v>360</v>
      </c>
      <c r="K291" s="1582">
        <v>48</v>
      </c>
      <c r="L291" s="1525">
        <f t="shared" si="72"/>
        <v>1438.08</v>
      </c>
      <c r="M291" s="1485">
        <f t="shared" si="73"/>
        <v>312</v>
      </c>
      <c r="N291" s="1581">
        <v>29.96</v>
      </c>
      <c r="O291" s="1582">
        <f t="shared" si="74"/>
        <v>9347.52</v>
      </c>
      <c r="P291" s="1485">
        <f t="shared" si="75"/>
        <v>78</v>
      </c>
      <c r="Q291" s="1485">
        <f t="shared" si="76"/>
        <v>2336.88</v>
      </c>
      <c r="R291" s="1485">
        <f t="shared" si="77"/>
        <v>78</v>
      </c>
      <c r="S291" s="1525">
        <f t="shared" si="78"/>
        <v>2336.88</v>
      </c>
      <c r="T291" s="1485">
        <f t="shared" si="79"/>
        <v>78</v>
      </c>
      <c r="U291" s="1525">
        <f t="shared" si="80"/>
        <v>2336.88</v>
      </c>
      <c r="V291" s="1485">
        <f t="shared" si="81"/>
        <v>78</v>
      </c>
      <c r="W291" s="1525">
        <f t="shared" si="82"/>
        <v>2336.88</v>
      </c>
      <c r="X291" s="1485">
        <f t="shared" si="83"/>
        <v>312</v>
      </c>
      <c r="Y291" s="1485">
        <f t="shared" si="84"/>
        <v>9347.52</v>
      </c>
      <c r="Z291" s="1527" t="s">
        <v>7799</v>
      </c>
      <c r="AA291" s="1379" t="s">
        <v>6526</v>
      </c>
      <c r="AB291" s="1583"/>
      <c r="AC291" s="1584" t="str">
        <f t="shared" si="85"/>
        <v>ok</v>
      </c>
      <c r="AD291" s="1583"/>
      <c r="AE291" s="1583"/>
      <c r="AF291" s="1583"/>
      <c r="AG291" s="1583"/>
      <c r="AH291" s="1583"/>
      <c r="AI291" s="1583"/>
      <c r="AJ291" s="1583"/>
      <c r="AK291" s="1583"/>
      <c r="AL291" s="1583"/>
      <c r="AM291" s="1583"/>
      <c r="AN291" s="1583"/>
      <c r="AO291" s="1583"/>
    </row>
    <row r="292" spans="1:41" ht="42" x14ac:dyDescent="0.6">
      <c r="A292" s="1432">
        <v>288</v>
      </c>
      <c r="B292" s="1593" t="s">
        <v>8591</v>
      </c>
      <c r="C292" s="1576" t="s">
        <v>8305</v>
      </c>
      <c r="D292" s="1578">
        <v>0</v>
      </c>
      <c r="E292" s="1578">
        <f t="shared" si="69"/>
        <v>0</v>
      </c>
      <c r="F292" s="1579">
        <v>0</v>
      </c>
      <c r="G292" s="1485">
        <f t="shared" si="70"/>
        <v>0</v>
      </c>
      <c r="H292" s="1485">
        <v>0</v>
      </c>
      <c r="I292" s="1485">
        <f t="shared" si="71"/>
        <v>0</v>
      </c>
      <c r="J292" s="1582">
        <v>260</v>
      </c>
      <c r="K292" s="1582">
        <v>0</v>
      </c>
      <c r="L292" s="1525">
        <f t="shared" si="72"/>
        <v>0</v>
      </c>
      <c r="M292" s="1485">
        <f t="shared" si="73"/>
        <v>260</v>
      </c>
      <c r="N292" s="1581">
        <v>50</v>
      </c>
      <c r="O292" s="1582">
        <f t="shared" si="74"/>
        <v>13000</v>
      </c>
      <c r="P292" s="1485">
        <v>260</v>
      </c>
      <c r="Q292" s="1485">
        <f t="shared" si="76"/>
        <v>13000</v>
      </c>
      <c r="R292" s="1485">
        <v>0</v>
      </c>
      <c r="S292" s="1525">
        <f t="shared" si="78"/>
        <v>0</v>
      </c>
      <c r="T292" s="1485">
        <v>0</v>
      </c>
      <c r="U292" s="1525">
        <f t="shared" si="80"/>
        <v>0</v>
      </c>
      <c r="V292" s="1485">
        <v>0</v>
      </c>
      <c r="W292" s="1525">
        <f t="shared" si="82"/>
        <v>0</v>
      </c>
      <c r="X292" s="1485">
        <f t="shared" si="83"/>
        <v>260</v>
      </c>
      <c r="Y292" s="1485">
        <f t="shared" si="84"/>
        <v>13000</v>
      </c>
      <c r="Z292" s="1527" t="s">
        <v>7799</v>
      </c>
      <c r="AA292" s="1379" t="s">
        <v>6526</v>
      </c>
      <c r="AB292" s="1583"/>
      <c r="AC292" s="1584" t="str">
        <f t="shared" si="85"/>
        <v>ok</v>
      </c>
      <c r="AD292" s="1583"/>
      <c r="AE292" s="1583"/>
      <c r="AF292" s="1583"/>
      <c r="AG292" s="1583"/>
      <c r="AH292" s="1583"/>
      <c r="AI292" s="1583"/>
      <c r="AJ292" s="1583"/>
      <c r="AK292" s="1583"/>
      <c r="AL292" s="1583"/>
      <c r="AM292" s="1583"/>
      <c r="AN292" s="1583"/>
      <c r="AO292" s="1583"/>
    </row>
    <row r="293" spans="1:41" ht="42" x14ac:dyDescent="0.6">
      <c r="A293" s="1432">
        <v>289</v>
      </c>
      <c r="B293" s="1593" t="s">
        <v>8592</v>
      </c>
      <c r="C293" s="1576" t="s">
        <v>8298</v>
      </c>
      <c r="D293" s="1578">
        <f>12000+17500</f>
        <v>29500</v>
      </c>
      <c r="E293" s="1578">
        <f t="shared" si="69"/>
        <v>6195</v>
      </c>
      <c r="F293" s="1579">
        <v>30000</v>
      </c>
      <c r="G293" s="1485">
        <f t="shared" si="70"/>
        <v>6300</v>
      </c>
      <c r="H293" s="1485">
        <v>30000</v>
      </c>
      <c r="I293" s="1485">
        <f t="shared" si="71"/>
        <v>6300</v>
      </c>
      <c r="J293" s="1582">
        <v>31000</v>
      </c>
      <c r="K293" s="1582">
        <v>10000</v>
      </c>
      <c r="L293" s="1525">
        <f t="shared" si="72"/>
        <v>2100</v>
      </c>
      <c r="M293" s="1485">
        <f t="shared" si="73"/>
        <v>21000</v>
      </c>
      <c r="N293" s="1581">
        <v>0.21</v>
      </c>
      <c r="O293" s="1582">
        <f t="shared" si="74"/>
        <v>4410</v>
      </c>
      <c r="P293" s="1485">
        <f t="shared" si="75"/>
        <v>5250</v>
      </c>
      <c r="Q293" s="1485">
        <f t="shared" si="76"/>
        <v>1102.5</v>
      </c>
      <c r="R293" s="1485">
        <f t="shared" si="77"/>
        <v>5250</v>
      </c>
      <c r="S293" s="1525">
        <f t="shared" si="78"/>
        <v>1102.5</v>
      </c>
      <c r="T293" s="1485">
        <f t="shared" si="79"/>
        <v>5250</v>
      </c>
      <c r="U293" s="1525">
        <f t="shared" si="80"/>
        <v>1102.5</v>
      </c>
      <c r="V293" s="1485">
        <f t="shared" si="81"/>
        <v>5250</v>
      </c>
      <c r="W293" s="1525">
        <f t="shared" si="82"/>
        <v>1102.5</v>
      </c>
      <c r="X293" s="1485">
        <f t="shared" si="83"/>
        <v>21000</v>
      </c>
      <c r="Y293" s="1485">
        <f t="shared" si="84"/>
        <v>4410</v>
      </c>
      <c r="Z293" s="1527" t="s">
        <v>7799</v>
      </c>
      <c r="AA293" s="1379" t="s">
        <v>6526</v>
      </c>
      <c r="AB293" s="1583"/>
      <c r="AC293" s="1584" t="str">
        <f t="shared" si="85"/>
        <v>ok</v>
      </c>
      <c r="AD293" s="1583"/>
      <c r="AE293" s="1583"/>
      <c r="AF293" s="1583"/>
      <c r="AG293" s="1583"/>
      <c r="AH293" s="1583"/>
      <c r="AI293" s="1583"/>
      <c r="AJ293" s="1583"/>
      <c r="AK293" s="1583"/>
      <c r="AL293" s="1583"/>
      <c r="AM293" s="1583"/>
      <c r="AN293" s="1583"/>
      <c r="AO293" s="1583"/>
    </row>
    <row r="294" spans="1:41" ht="42" x14ac:dyDescent="0.6">
      <c r="A294" s="1432">
        <v>290</v>
      </c>
      <c r="B294" s="1593" t="s">
        <v>8593</v>
      </c>
      <c r="C294" s="1576" t="s">
        <v>8296</v>
      </c>
      <c r="D294" s="1578">
        <v>79</v>
      </c>
      <c r="E294" s="1578">
        <f t="shared" si="69"/>
        <v>6339.75</v>
      </c>
      <c r="F294" s="1579">
        <v>85</v>
      </c>
      <c r="G294" s="1485">
        <f t="shared" si="70"/>
        <v>6821.25</v>
      </c>
      <c r="H294" s="1485">
        <v>70</v>
      </c>
      <c r="I294" s="1485">
        <f t="shared" si="71"/>
        <v>5617.5</v>
      </c>
      <c r="J294" s="1582">
        <v>90</v>
      </c>
      <c r="K294" s="1582">
        <v>20</v>
      </c>
      <c r="L294" s="1525">
        <f t="shared" si="72"/>
        <v>1605</v>
      </c>
      <c r="M294" s="1485">
        <f t="shared" si="73"/>
        <v>70</v>
      </c>
      <c r="N294" s="1581">
        <v>80.25</v>
      </c>
      <c r="O294" s="1582">
        <f t="shared" si="74"/>
        <v>5617.5</v>
      </c>
      <c r="P294" s="1485">
        <v>17</v>
      </c>
      <c r="Q294" s="1485">
        <f t="shared" si="76"/>
        <v>1364.25</v>
      </c>
      <c r="R294" s="1485">
        <v>17</v>
      </c>
      <c r="S294" s="1525">
        <f t="shared" si="78"/>
        <v>1364.25</v>
      </c>
      <c r="T294" s="1485">
        <v>18</v>
      </c>
      <c r="U294" s="1525">
        <f t="shared" si="80"/>
        <v>1444.5</v>
      </c>
      <c r="V294" s="1485">
        <v>18</v>
      </c>
      <c r="W294" s="1525">
        <f t="shared" si="82"/>
        <v>1444.5</v>
      </c>
      <c r="X294" s="1485">
        <f t="shared" si="83"/>
        <v>70</v>
      </c>
      <c r="Y294" s="1485">
        <f t="shared" si="84"/>
        <v>5617.5</v>
      </c>
      <c r="Z294" s="1527" t="s">
        <v>7799</v>
      </c>
      <c r="AA294" s="1379" t="s">
        <v>6526</v>
      </c>
      <c r="AB294" s="1583"/>
      <c r="AC294" s="1584" t="str">
        <f t="shared" si="85"/>
        <v>ok</v>
      </c>
      <c r="AD294" s="1583"/>
      <c r="AE294" s="1583"/>
      <c r="AF294" s="1583"/>
      <c r="AG294" s="1583"/>
      <c r="AH294" s="1583"/>
      <c r="AI294" s="1583"/>
      <c r="AJ294" s="1583"/>
      <c r="AK294" s="1583"/>
      <c r="AL294" s="1583"/>
      <c r="AM294" s="1583"/>
      <c r="AN294" s="1583"/>
      <c r="AO294" s="1583"/>
    </row>
    <row r="295" spans="1:41" x14ac:dyDescent="0.6">
      <c r="A295" s="1432">
        <v>291</v>
      </c>
      <c r="B295" s="1593" t="s">
        <v>8594</v>
      </c>
      <c r="C295" s="1576" t="s">
        <v>8296</v>
      </c>
      <c r="D295" s="1578">
        <v>43</v>
      </c>
      <c r="E295" s="1578">
        <f t="shared" si="69"/>
        <v>1204</v>
      </c>
      <c r="F295" s="1579">
        <v>100</v>
      </c>
      <c r="G295" s="1485">
        <f t="shared" si="70"/>
        <v>2800</v>
      </c>
      <c r="H295" s="1485">
        <v>60</v>
      </c>
      <c r="I295" s="1485">
        <f t="shared" si="71"/>
        <v>1680</v>
      </c>
      <c r="J295" s="1582">
        <v>100</v>
      </c>
      <c r="K295" s="1582">
        <v>20</v>
      </c>
      <c r="L295" s="1525">
        <f t="shared" si="72"/>
        <v>560</v>
      </c>
      <c r="M295" s="1485">
        <f t="shared" si="73"/>
        <v>80</v>
      </c>
      <c r="N295" s="1581">
        <v>28</v>
      </c>
      <c r="O295" s="1582">
        <f t="shared" si="74"/>
        <v>2240</v>
      </c>
      <c r="P295" s="1485">
        <f t="shared" si="75"/>
        <v>20</v>
      </c>
      <c r="Q295" s="1485">
        <f t="shared" si="76"/>
        <v>560</v>
      </c>
      <c r="R295" s="1485">
        <f t="shared" si="77"/>
        <v>20</v>
      </c>
      <c r="S295" s="1525">
        <f t="shared" si="78"/>
        <v>560</v>
      </c>
      <c r="T295" s="1485">
        <f t="shared" si="79"/>
        <v>20</v>
      </c>
      <c r="U295" s="1525">
        <f t="shared" si="80"/>
        <v>560</v>
      </c>
      <c r="V295" s="1485">
        <f t="shared" si="81"/>
        <v>20</v>
      </c>
      <c r="W295" s="1525">
        <f t="shared" si="82"/>
        <v>560</v>
      </c>
      <c r="X295" s="1485">
        <f t="shared" si="83"/>
        <v>80</v>
      </c>
      <c r="Y295" s="1485">
        <f t="shared" si="84"/>
        <v>2240</v>
      </c>
      <c r="Z295" s="1527" t="s">
        <v>7799</v>
      </c>
      <c r="AA295" s="1379" t="s">
        <v>6526</v>
      </c>
      <c r="AB295" s="1583"/>
      <c r="AC295" s="1584" t="str">
        <f t="shared" si="85"/>
        <v>ok</v>
      </c>
      <c r="AD295" s="1583"/>
      <c r="AE295" s="1583"/>
      <c r="AF295" s="1583"/>
      <c r="AG295" s="1583"/>
      <c r="AH295" s="1583"/>
      <c r="AI295" s="1583"/>
      <c r="AJ295" s="1583"/>
      <c r="AK295" s="1583"/>
      <c r="AL295" s="1583"/>
      <c r="AM295" s="1583"/>
      <c r="AN295" s="1583"/>
      <c r="AO295" s="1583"/>
    </row>
    <row r="296" spans="1:41" x14ac:dyDescent="0.6">
      <c r="A296" s="1432">
        <v>292</v>
      </c>
      <c r="B296" s="1593" t="s">
        <v>8595</v>
      </c>
      <c r="C296" s="1576" t="s">
        <v>8305</v>
      </c>
      <c r="D296" s="1578">
        <v>39</v>
      </c>
      <c r="E296" s="1578">
        <f t="shared" si="69"/>
        <v>849.10799999999995</v>
      </c>
      <c r="F296" s="1579">
        <v>50</v>
      </c>
      <c r="G296" s="1485">
        <f t="shared" si="70"/>
        <v>1088.5999999999999</v>
      </c>
      <c r="H296" s="1485">
        <v>55</v>
      </c>
      <c r="I296" s="1485">
        <f t="shared" si="71"/>
        <v>1197.4599999999998</v>
      </c>
      <c r="J296" s="1582">
        <v>60</v>
      </c>
      <c r="K296" s="1582">
        <v>15</v>
      </c>
      <c r="L296" s="1525">
        <f t="shared" si="72"/>
        <v>326.58</v>
      </c>
      <c r="M296" s="1485">
        <f t="shared" si="73"/>
        <v>45</v>
      </c>
      <c r="N296" s="1581">
        <v>21.771999999999998</v>
      </c>
      <c r="O296" s="1582">
        <f t="shared" si="74"/>
        <v>979.7399999999999</v>
      </c>
      <c r="P296" s="1485">
        <v>11</v>
      </c>
      <c r="Q296" s="1485">
        <f t="shared" si="76"/>
        <v>239.49199999999999</v>
      </c>
      <c r="R296" s="1485">
        <v>11</v>
      </c>
      <c r="S296" s="1525">
        <f t="shared" si="78"/>
        <v>239.49199999999999</v>
      </c>
      <c r="T296" s="1485">
        <v>11</v>
      </c>
      <c r="U296" s="1525">
        <f t="shared" si="80"/>
        <v>239.49199999999999</v>
      </c>
      <c r="V296" s="1485">
        <v>12</v>
      </c>
      <c r="W296" s="1525">
        <f t="shared" si="82"/>
        <v>261.26400000000001</v>
      </c>
      <c r="X296" s="1485">
        <f t="shared" si="83"/>
        <v>45</v>
      </c>
      <c r="Y296" s="1485">
        <f t="shared" si="84"/>
        <v>979.7399999999999</v>
      </c>
      <c r="Z296" s="1527" t="s">
        <v>7799</v>
      </c>
      <c r="AA296" s="1379" t="s">
        <v>6526</v>
      </c>
      <c r="AB296" s="1583"/>
      <c r="AC296" s="1584" t="str">
        <f t="shared" si="85"/>
        <v>ok</v>
      </c>
      <c r="AD296" s="1583"/>
      <c r="AE296" s="1583"/>
      <c r="AF296" s="1583"/>
      <c r="AG296" s="1583"/>
      <c r="AH296" s="1583"/>
      <c r="AI296" s="1583"/>
      <c r="AJ296" s="1583"/>
      <c r="AK296" s="1583"/>
      <c r="AL296" s="1583"/>
      <c r="AM296" s="1583"/>
      <c r="AN296" s="1583"/>
      <c r="AO296" s="1583"/>
    </row>
    <row r="297" spans="1:41" x14ac:dyDescent="0.6">
      <c r="A297" s="1432">
        <v>293</v>
      </c>
      <c r="B297" s="1593" t="s">
        <v>8596</v>
      </c>
      <c r="C297" s="1576" t="s">
        <v>8346</v>
      </c>
      <c r="D297" s="1578">
        <v>390</v>
      </c>
      <c r="E297" s="1578">
        <f t="shared" si="69"/>
        <v>1014</v>
      </c>
      <c r="F297" s="1579">
        <v>450</v>
      </c>
      <c r="G297" s="1485">
        <f t="shared" si="70"/>
        <v>1170</v>
      </c>
      <c r="H297" s="1485">
        <v>350</v>
      </c>
      <c r="I297" s="1485">
        <f t="shared" si="71"/>
        <v>910</v>
      </c>
      <c r="J297" s="1582">
        <v>450</v>
      </c>
      <c r="K297" s="1582">
        <v>50</v>
      </c>
      <c r="L297" s="1525">
        <f t="shared" si="72"/>
        <v>130</v>
      </c>
      <c r="M297" s="1485">
        <f t="shared" si="73"/>
        <v>400</v>
      </c>
      <c r="N297" s="1581">
        <v>2.6</v>
      </c>
      <c r="O297" s="1582">
        <f t="shared" si="74"/>
        <v>1040</v>
      </c>
      <c r="P297" s="1485">
        <f t="shared" si="75"/>
        <v>100</v>
      </c>
      <c r="Q297" s="1485">
        <f t="shared" si="76"/>
        <v>260</v>
      </c>
      <c r="R297" s="1485">
        <f t="shared" si="77"/>
        <v>100</v>
      </c>
      <c r="S297" s="1525">
        <f t="shared" si="78"/>
        <v>260</v>
      </c>
      <c r="T297" s="1485">
        <f t="shared" si="79"/>
        <v>100</v>
      </c>
      <c r="U297" s="1525">
        <f t="shared" si="80"/>
        <v>260</v>
      </c>
      <c r="V297" s="1485">
        <f t="shared" si="81"/>
        <v>100</v>
      </c>
      <c r="W297" s="1525">
        <f t="shared" si="82"/>
        <v>260</v>
      </c>
      <c r="X297" s="1485">
        <f t="shared" si="83"/>
        <v>400</v>
      </c>
      <c r="Y297" s="1485">
        <f t="shared" si="84"/>
        <v>1040</v>
      </c>
      <c r="Z297" s="1527" t="s">
        <v>7799</v>
      </c>
      <c r="AA297" s="1379" t="s">
        <v>6526</v>
      </c>
      <c r="AB297" s="1583"/>
      <c r="AC297" s="1584" t="str">
        <f t="shared" si="85"/>
        <v>ok</v>
      </c>
      <c r="AD297" s="1583"/>
      <c r="AE297" s="1583"/>
      <c r="AF297" s="1583"/>
      <c r="AG297" s="1583"/>
      <c r="AH297" s="1583"/>
      <c r="AI297" s="1583"/>
      <c r="AJ297" s="1583"/>
      <c r="AK297" s="1583"/>
      <c r="AL297" s="1583"/>
      <c r="AM297" s="1583"/>
      <c r="AN297" s="1583"/>
      <c r="AO297" s="1583"/>
    </row>
    <row r="298" spans="1:41" x14ac:dyDescent="0.6">
      <c r="A298" s="1432">
        <v>294</v>
      </c>
      <c r="B298" s="1593" t="s">
        <v>8597</v>
      </c>
      <c r="C298" s="1576" t="s">
        <v>8305</v>
      </c>
      <c r="D298" s="1578">
        <v>600</v>
      </c>
      <c r="E298" s="1578">
        <f t="shared" si="69"/>
        <v>2640</v>
      </c>
      <c r="F298" s="1579">
        <v>800</v>
      </c>
      <c r="G298" s="1485">
        <f t="shared" si="70"/>
        <v>3520.0000000000005</v>
      </c>
      <c r="H298" s="1485">
        <v>0</v>
      </c>
      <c r="I298" s="1485">
        <f t="shared" si="71"/>
        <v>0</v>
      </c>
      <c r="J298" s="1582">
        <v>400</v>
      </c>
      <c r="K298" s="1582">
        <v>200</v>
      </c>
      <c r="L298" s="1525">
        <f t="shared" si="72"/>
        <v>880.00000000000011</v>
      </c>
      <c r="M298" s="1485">
        <f t="shared" si="73"/>
        <v>200</v>
      </c>
      <c r="N298" s="1581">
        <v>4.4000000000000004</v>
      </c>
      <c r="O298" s="1582">
        <f t="shared" si="74"/>
        <v>880.00000000000011</v>
      </c>
      <c r="P298" s="1485">
        <f t="shared" si="75"/>
        <v>50</v>
      </c>
      <c r="Q298" s="1485">
        <f t="shared" si="76"/>
        <v>220.00000000000003</v>
      </c>
      <c r="R298" s="1485">
        <f t="shared" si="77"/>
        <v>50</v>
      </c>
      <c r="S298" s="1525">
        <f t="shared" si="78"/>
        <v>220.00000000000003</v>
      </c>
      <c r="T298" s="1485">
        <f t="shared" si="79"/>
        <v>50</v>
      </c>
      <c r="U298" s="1525">
        <f t="shared" si="80"/>
        <v>220.00000000000003</v>
      </c>
      <c r="V298" s="1485">
        <f t="shared" si="81"/>
        <v>50</v>
      </c>
      <c r="W298" s="1525">
        <f t="shared" si="82"/>
        <v>220.00000000000003</v>
      </c>
      <c r="X298" s="1485">
        <f t="shared" si="83"/>
        <v>200</v>
      </c>
      <c r="Y298" s="1485">
        <f t="shared" si="84"/>
        <v>880.00000000000011</v>
      </c>
      <c r="Z298" s="1527" t="s">
        <v>7799</v>
      </c>
      <c r="AA298" s="1379" t="s">
        <v>6526</v>
      </c>
      <c r="AB298" s="1583"/>
      <c r="AC298" s="1584" t="str">
        <f t="shared" si="85"/>
        <v>ok</v>
      </c>
      <c r="AD298" s="1583"/>
      <c r="AE298" s="1583"/>
      <c r="AF298" s="1583"/>
      <c r="AG298" s="1583"/>
      <c r="AH298" s="1583"/>
      <c r="AI298" s="1583"/>
      <c r="AJ298" s="1583"/>
      <c r="AK298" s="1583"/>
      <c r="AL298" s="1583"/>
      <c r="AM298" s="1583"/>
      <c r="AN298" s="1583"/>
      <c r="AO298" s="1583"/>
    </row>
    <row r="299" spans="1:41" s="1393" customFormat="1" x14ac:dyDescent="0.6">
      <c r="A299" s="1389" t="s">
        <v>7433</v>
      </c>
      <c r="B299" s="1389"/>
      <c r="C299" s="1389"/>
      <c r="D299" s="1605">
        <f>SUM(D8:D298)</f>
        <v>6849984</v>
      </c>
      <c r="E299" s="1605">
        <f t="shared" ref="E299:Y299" si="86">SUM(E8:E298)</f>
        <v>6188606.6259999983</v>
      </c>
      <c r="F299" s="1605">
        <f t="shared" si="86"/>
        <v>7288857</v>
      </c>
      <c r="G299" s="1605">
        <f t="shared" si="86"/>
        <v>6748991.5720000006</v>
      </c>
      <c r="H299" s="1605">
        <f t="shared" si="86"/>
        <v>9017078</v>
      </c>
      <c r="I299" s="1605">
        <f t="shared" si="86"/>
        <v>7429495.3349999972</v>
      </c>
      <c r="J299" s="1605">
        <f t="shared" si="86"/>
        <v>10562573</v>
      </c>
      <c r="K299" s="1605">
        <f t="shared" si="86"/>
        <v>1142491</v>
      </c>
      <c r="L299" s="1605">
        <f t="shared" si="86"/>
        <v>1572290.763</v>
      </c>
      <c r="M299" s="1605">
        <f t="shared" si="86"/>
        <v>9428211</v>
      </c>
      <c r="N299" s="1605">
        <f t="shared" si="86"/>
        <v>16664.832449999994</v>
      </c>
      <c r="O299" s="1605">
        <f t="shared" si="86"/>
        <v>7223030.7469999986</v>
      </c>
      <c r="P299" s="1605">
        <f t="shared" si="86"/>
        <v>2359195.5</v>
      </c>
      <c r="Q299" s="1605">
        <f t="shared" si="86"/>
        <v>1975476.22175</v>
      </c>
      <c r="R299" s="1605">
        <f t="shared" si="86"/>
        <v>2357399.5</v>
      </c>
      <c r="S299" s="1605">
        <f t="shared" si="86"/>
        <v>1872776.3767499996</v>
      </c>
      <c r="T299" s="1605">
        <f t="shared" si="86"/>
        <v>2356170.5</v>
      </c>
      <c r="U299" s="1605">
        <f t="shared" si="86"/>
        <v>1732149.9297499999</v>
      </c>
      <c r="V299" s="1605">
        <f t="shared" si="86"/>
        <v>2355445.5</v>
      </c>
      <c r="W299" s="1605">
        <f t="shared" si="86"/>
        <v>1642522.21875</v>
      </c>
      <c r="X299" s="1605">
        <f t="shared" si="86"/>
        <v>9428211</v>
      </c>
      <c r="Y299" s="1605">
        <f t="shared" si="86"/>
        <v>7223030.7469999986</v>
      </c>
      <c r="Z299" s="1606"/>
      <c r="AA299" s="1606"/>
      <c r="AB299" s="1607"/>
      <c r="AC299" s="1607"/>
      <c r="AD299" s="1607"/>
      <c r="AE299" s="1607"/>
      <c r="AF299" s="1607"/>
      <c r="AG299" s="1607"/>
      <c r="AH299" s="1607"/>
      <c r="AI299" s="1607"/>
      <c r="AJ299" s="1607"/>
      <c r="AK299" s="1607"/>
      <c r="AL299" s="1607"/>
      <c r="AM299" s="1607"/>
      <c r="AN299" s="1607"/>
      <c r="AO299" s="1607"/>
    </row>
    <row r="300" spans="1:41" s="1393" customFormat="1" x14ac:dyDescent="0.6">
      <c r="A300" s="1394"/>
      <c r="B300" s="1608"/>
      <c r="C300" s="1394"/>
      <c r="D300" s="1609"/>
      <c r="E300" s="1609"/>
      <c r="F300" s="1609"/>
      <c r="G300" s="1609"/>
      <c r="H300" s="1609"/>
      <c r="I300" s="1609"/>
      <c r="J300" s="1609"/>
      <c r="K300" s="1609"/>
      <c r="L300" s="1609"/>
      <c r="M300" s="1609"/>
      <c r="N300" s="1610"/>
      <c r="O300" s="1609"/>
      <c r="P300" s="1609"/>
      <c r="Q300" s="1609"/>
      <c r="R300" s="1609"/>
      <c r="S300" s="1609"/>
      <c r="T300" s="1609"/>
      <c r="U300" s="1609"/>
      <c r="V300" s="1609"/>
      <c r="W300" s="1609"/>
      <c r="X300" s="1609"/>
      <c r="Y300" s="1611"/>
      <c r="Z300" s="1607"/>
      <c r="AA300" s="1607"/>
      <c r="AB300" s="1607"/>
      <c r="AC300" s="1607"/>
      <c r="AD300" s="1607"/>
      <c r="AE300" s="1607"/>
      <c r="AF300" s="1607"/>
      <c r="AG300" s="1607"/>
      <c r="AH300" s="1607"/>
      <c r="AI300" s="1607"/>
      <c r="AJ300" s="1607"/>
      <c r="AK300" s="1607"/>
      <c r="AL300" s="1607"/>
      <c r="AM300" s="1607"/>
      <c r="AN300" s="1607"/>
      <c r="AO300" s="1607"/>
    </row>
    <row r="301" spans="1:41" x14ac:dyDescent="0.6">
      <c r="B301" s="1612"/>
      <c r="D301" s="1290"/>
      <c r="E301" s="1290"/>
      <c r="F301" s="1290"/>
      <c r="G301" s="1290"/>
      <c r="H301" s="1290"/>
      <c r="I301" s="1290"/>
      <c r="J301" s="1290"/>
      <c r="K301" s="1290"/>
      <c r="M301" s="1290"/>
      <c r="N301" s="1613"/>
      <c r="P301" s="1288"/>
      <c r="Q301" s="1288"/>
      <c r="R301" s="1288"/>
      <c r="S301" s="1288"/>
      <c r="T301" s="1288"/>
      <c r="U301" s="1288"/>
      <c r="V301" s="1288"/>
      <c r="W301" s="1288"/>
      <c r="X301" s="1290"/>
      <c r="Y301" s="1290"/>
    </row>
    <row r="302" spans="1:41" x14ac:dyDescent="0.6">
      <c r="B302" s="1614"/>
      <c r="C302" s="1614"/>
      <c r="D302" s="1614"/>
      <c r="E302" s="1614"/>
      <c r="F302" s="1288"/>
      <c r="G302" s="1288"/>
      <c r="H302" s="1288"/>
      <c r="I302" s="1288"/>
      <c r="J302" s="1288"/>
      <c r="K302" s="1288"/>
      <c r="L302" s="1615"/>
      <c r="M302" s="1615"/>
      <c r="N302" s="1615"/>
      <c r="O302" s="1615"/>
      <c r="P302" s="1459"/>
      <c r="Q302" s="1459"/>
      <c r="R302" s="1288"/>
      <c r="S302" s="1288"/>
      <c r="T302" s="1288"/>
      <c r="U302" s="1616"/>
      <c r="V302" s="1616"/>
      <c r="W302" s="1616"/>
      <c r="X302" s="1616"/>
      <c r="Y302" s="1616"/>
      <c r="AA302" s="1401"/>
    </row>
    <row r="303" spans="1:41" x14ac:dyDescent="0.6">
      <c r="B303" s="1614"/>
      <c r="C303" s="1614"/>
      <c r="D303" s="1614"/>
      <c r="E303" s="1614"/>
      <c r="F303" s="1288"/>
      <c r="G303" s="1288"/>
      <c r="H303" s="1288"/>
      <c r="I303" s="1288"/>
      <c r="J303" s="1288"/>
      <c r="K303" s="1290"/>
      <c r="L303" s="1617"/>
      <c r="M303" s="1617"/>
      <c r="N303" s="1617"/>
      <c r="O303" s="1617"/>
      <c r="P303" s="1616"/>
      <c r="Q303" s="1616"/>
      <c r="R303" s="1616"/>
      <c r="S303" s="1616"/>
      <c r="T303" s="1616"/>
      <c r="U303" s="1288"/>
      <c r="V303" s="1288"/>
      <c r="W303" s="1616"/>
      <c r="X303" s="1616"/>
      <c r="Y303" s="1616"/>
    </row>
    <row r="304" spans="1:41" x14ac:dyDescent="0.6">
      <c r="B304" s="1614"/>
      <c r="C304" s="1614"/>
      <c r="D304" s="1614"/>
      <c r="E304" s="1614"/>
      <c r="F304" s="1288"/>
      <c r="G304" s="1288"/>
      <c r="H304" s="1288"/>
      <c r="I304" s="1288"/>
      <c r="J304" s="1288"/>
      <c r="K304" s="1288"/>
      <c r="L304" s="1618"/>
      <c r="M304" s="1618"/>
      <c r="N304" s="1618"/>
      <c r="O304" s="1618"/>
      <c r="P304" s="1616"/>
      <c r="Q304" s="1616"/>
      <c r="R304" s="1616"/>
      <c r="S304" s="1616"/>
      <c r="T304" s="1616"/>
      <c r="U304" s="1288"/>
      <c r="V304" s="1288"/>
      <c r="W304" s="1616"/>
      <c r="X304" s="1616"/>
      <c r="Y304" s="1616"/>
    </row>
    <row r="305" spans="1:27" x14ac:dyDescent="0.6">
      <c r="B305" s="1614"/>
      <c r="C305" s="1614"/>
      <c r="D305" s="1614"/>
      <c r="E305" s="1614"/>
      <c r="F305" s="1288"/>
      <c r="G305" s="1288"/>
      <c r="H305" s="1288"/>
      <c r="I305" s="1288"/>
      <c r="J305" s="1288"/>
      <c r="K305" s="1288"/>
      <c r="L305" s="1617"/>
      <c r="M305" s="1617"/>
      <c r="N305" s="1617"/>
      <c r="O305" s="1617"/>
      <c r="P305" s="1288"/>
      <c r="Q305" s="1288"/>
      <c r="R305" s="1288"/>
      <c r="S305" s="1288"/>
      <c r="T305" s="1288"/>
      <c r="U305" s="1288"/>
      <c r="V305" s="1288"/>
      <c r="W305" s="1288"/>
      <c r="X305" s="1288"/>
      <c r="Y305" s="1288"/>
    </row>
    <row r="306" spans="1:27" ht="20.25" customHeight="1" x14ac:dyDescent="0.6">
      <c r="A306" s="1397"/>
      <c r="C306" s="1399"/>
      <c r="D306" s="1397"/>
      <c r="E306" s="1397"/>
      <c r="F306" s="1397"/>
      <c r="G306" s="1397"/>
      <c r="H306" s="1397"/>
      <c r="I306" s="1397"/>
      <c r="J306" s="1397"/>
      <c r="K306" s="1397"/>
      <c r="L306" s="1397"/>
      <c r="M306" s="1457"/>
      <c r="N306" s="1400"/>
      <c r="O306" s="1400"/>
      <c r="P306" s="1458"/>
      <c r="Q306" s="1458"/>
      <c r="R306" s="1458"/>
      <c r="S306" s="1458"/>
      <c r="T306" s="1458"/>
      <c r="U306" s="1458"/>
      <c r="V306" s="1458"/>
      <c r="W306" s="1458"/>
      <c r="X306" s="1457"/>
      <c r="Y306" s="1457"/>
      <c r="AA306" s="1402"/>
    </row>
    <row r="307" spans="1:27" ht="20.25" customHeight="1" x14ac:dyDescent="0.6">
      <c r="P307" s="1457"/>
      <c r="Q307" s="1457"/>
    </row>
    <row r="308" spans="1:27" ht="20.25" customHeight="1" x14ac:dyDescent="0.6">
      <c r="AA308" s="1401"/>
    </row>
    <row r="314" spans="1:27" x14ac:dyDescent="0.6">
      <c r="A314" s="1280"/>
      <c r="N314" s="1399"/>
      <c r="O314" s="1280"/>
      <c r="Z314" s="1280"/>
    </row>
    <row r="315" spans="1:27" x14ac:dyDescent="0.6">
      <c r="A315" s="1280"/>
      <c r="N315" s="1399"/>
      <c r="O315" s="1280"/>
      <c r="Z315" s="1280"/>
    </row>
    <row r="316" spans="1:27" x14ac:dyDescent="0.6">
      <c r="A316" s="1280"/>
      <c r="N316" s="1399"/>
      <c r="O316" s="1280"/>
      <c r="Z316" s="1280"/>
    </row>
    <row r="317" spans="1:27" x14ac:dyDescent="0.6">
      <c r="A317" s="1280"/>
      <c r="N317" s="1399"/>
      <c r="O317" s="1280"/>
      <c r="Z317" s="1280"/>
    </row>
    <row r="318" spans="1:27" x14ac:dyDescent="0.6">
      <c r="A318" s="1280"/>
      <c r="N318" s="1399"/>
      <c r="O318" s="1280"/>
      <c r="Z318" s="1280"/>
    </row>
    <row r="319" spans="1:27" x14ac:dyDescent="0.6">
      <c r="A319" s="1280"/>
      <c r="N319" s="1399"/>
      <c r="O319" s="1280"/>
      <c r="Z319" s="1280"/>
    </row>
    <row r="320" spans="1:27" x14ac:dyDescent="0.6">
      <c r="A320" s="1280"/>
      <c r="N320" s="1399"/>
      <c r="O320" s="1280"/>
      <c r="Z320" s="1280"/>
    </row>
    <row r="321" spans="1:26" x14ac:dyDescent="0.6">
      <c r="A321" s="1280"/>
      <c r="N321" s="1399"/>
      <c r="O321" s="1280"/>
      <c r="Z321" s="1280"/>
    </row>
    <row r="322" spans="1:26" x14ac:dyDescent="0.6">
      <c r="A322" s="1280"/>
      <c r="N322" s="1399"/>
      <c r="O322" s="1280"/>
      <c r="Z322" s="1280"/>
    </row>
    <row r="323" spans="1:26" x14ac:dyDescent="0.6">
      <c r="A323" s="1280"/>
      <c r="N323" s="1399"/>
      <c r="O323" s="1280"/>
      <c r="Z323" s="1280"/>
    </row>
    <row r="324" spans="1:26" x14ac:dyDescent="0.6">
      <c r="A324" s="1280"/>
      <c r="N324" s="1399"/>
      <c r="O324" s="1280"/>
      <c r="Z324" s="1280"/>
    </row>
    <row r="325" spans="1:26" x14ac:dyDescent="0.6">
      <c r="A325" s="1280"/>
      <c r="N325" s="1399"/>
      <c r="O325" s="1280"/>
      <c r="Z325" s="1280"/>
    </row>
    <row r="326" spans="1:26" x14ac:dyDescent="0.6">
      <c r="A326" s="1280"/>
      <c r="N326" s="1399"/>
      <c r="O326" s="1280"/>
      <c r="Z326" s="1280"/>
    </row>
    <row r="327" spans="1:26" x14ac:dyDescent="0.6">
      <c r="A327" s="1280"/>
      <c r="N327" s="1399"/>
      <c r="O327" s="1280"/>
      <c r="Z327" s="1280"/>
    </row>
    <row r="328" spans="1:26" x14ac:dyDescent="0.6">
      <c r="A328" s="1280"/>
      <c r="N328" s="1399"/>
      <c r="O328" s="1280"/>
      <c r="Z328" s="1280"/>
    </row>
    <row r="329" spans="1:26" x14ac:dyDescent="0.6">
      <c r="A329" s="1280"/>
      <c r="N329" s="1399"/>
      <c r="O329" s="1280"/>
      <c r="Z329" s="1280"/>
    </row>
    <row r="330" spans="1:26" x14ac:dyDescent="0.6">
      <c r="A330" s="1280"/>
      <c r="N330" s="1399"/>
      <c r="O330" s="1280"/>
      <c r="Z330" s="1280"/>
    </row>
    <row r="331" spans="1:26" x14ac:dyDescent="0.6">
      <c r="A331" s="1280"/>
      <c r="N331" s="1399"/>
      <c r="O331" s="1280"/>
      <c r="Z331" s="1280"/>
    </row>
    <row r="332" spans="1:26" x14ac:dyDescent="0.6">
      <c r="A332" s="1280"/>
      <c r="N332" s="1399"/>
      <c r="O332" s="1280"/>
      <c r="Z332" s="1280"/>
    </row>
    <row r="333" spans="1:26" x14ac:dyDescent="0.6">
      <c r="A333" s="1280"/>
      <c r="N333" s="1399"/>
      <c r="O333" s="1280"/>
      <c r="Z333" s="1280"/>
    </row>
    <row r="334" spans="1:26" x14ac:dyDescent="0.6">
      <c r="A334" s="1280"/>
      <c r="N334" s="1399"/>
      <c r="O334" s="1280"/>
      <c r="Z334" s="1280"/>
    </row>
    <row r="335" spans="1:26" x14ac:dyDescent="0.6">
      <c r="A335" s="1280"/>
      <c r="N335" s="1399"/>
      <c r="O335" s="1280"/>
      <c r="Z335" s="1280"/>
    </row>
    <row r="336" spans="1:26" x14ac:dyDescent="0.6">
      <c r="A336" s="1280"/>
      <c r="N336" s="1399"/>
      <c r="O336" s="1280"/>
      <c r="Z336" s="1280"/>
    </row>
    <row r="337" spans="1:26" x14ac:dyDescent="0.6">
      <c r="A337" s="1280"/>
      <c r="N337" s="1399"/>
      <c r="O337" s="1280"/>
      <c r="Z337" s="1280"/>
    </row>
    <row r="338" spans="1:26" x14ac:dyDescent="0.6">
      <c r="A338" s="1280"/>
      <c r="N338" s="1399"/>
      <c r="O338" s="1280"/>
      <c r="Z338" s="1280"/>
    </row>
    <row r="339" spans="1:26" x14ac:dyDescent="0.6">
      <c r="A339" s="1280"/>
      <c r="N339" s="1399"/>
      <c r="O339" s="1280"/>
      <c r="Z339" s="1280"/>
    </row>
    <row r="340" spans="1:26" x14ac:dyDescent="0.6">
      <c r="A340" s="1280"/>
      <c r="N340" s="1399"/>
      <c r="O340" s="1280"/>
      <c r="Z340" s="1280"/>
    </row>
    <row r="341" spans="1:26" x14ac:dyDescent="0.6">
      <c r="A341" s="1280"/>
      <c r="N341" s="1399"/>
      <c r="O341" s="1280"/>
      <c r="Z341" s="1280"/>
    </row>
    <row r="342" spans="1:26" x14ac:dyDescent="0.6">
      <c r="A342" s="1280"/>
      <c r="N342" s="1399"/>
      <c r="O342" s="1280"/>
      <c r="Z342" s="1280"/>
    </row>
    <row r="343" spans="1:26" x14ac:dyDescent="0.6">
      <c r="A343" s="1280"/>
      <c r="N343" s="1399"/>
      <c r="O343" s="1280"/>
      <c r="Z343" s="1280"/>
    </row>
    <row r="344" spans="1:26" x14ac:dyDescent="0.6">
      <c r="A344" s="1280"/>
      <c r="N344" s="1399"/>
      <c r="O344" s="1280"/>
      <c r="Z344" s="1280"/>
    </row>
    <row r="345" spans="1:26" x14ac:dyDescent="0.6">
      <c r="A345" s="1280"/>
      <c r="N345" s="1399"/>
      <c r="O345" s="1280"/>
      <c r="Z345" s="1280"/>
    </row>
    <row r="346" spans="1:26" x14ac:dyDescent="0.6">
      <c r="A346" s="1280"/>
      <c r="N346" s="1399"/>
      <c r="O346" s="1280"/>
      <c r="Z346" s="1280"/>
    </row>
    <row r="347" spans="1:26" x14ac:dyDescent="0.6">
      <c r="A347" s="1280"/>
      <c r="N347" s="1399"/>
      <c r="O347" s="1280"/>
      <c r="Z347" s="1280"/>
    </row>
    <row r="348" spans="1:26" x14ac:dyDescent="0.6">
      <c r="A348" s="1280"/>
      <c r="N348" s="1399"/>
      <c r="O348" s="1280"/>
      <c r="Z348" s="1280"/>
    </row>
    <row r="349" spans="1:26" x14ac:dyDescent="0.6">
      <c r="A349" s="1280"/>
      <c r="N349" s="1399"/>
      <c r="O349" s="1280"/>
      <c r="Z349" s="1280"/>
    </row>
    <row r="350" spans="1:26" x14ac:dyDescent="0.6">
      <c r="A350" s="1280"/>
      <c r="N350" s="1399"/>
      <c r="O350" s="1280"/>
      <c r="Z350" s="1280"/>
    </row>
    <row r="351" spans="1:26" x14ac:dyDescent="0.6">
      <c r="A351" s="1280"/>
      <c r="N351" s="1399"/>
      <c r="O351" s="1280"/>
      <c r="Z351" s="1280"/>
    </row>
    <row r="352" spans="1:26" x14ac:dyDescent="0.6">
      <c r="A352" s="1280"/>
      <c r="N352" s="1399"/>
      <c r="O352" s="1280"/>
      <c r="Z352" s="1280"/>
    </row>
    <row r="353" spans="1:26" x14ac:dyDescent="0.6">
      <c r="A353" s="1280"/>
      <c r="N353" s="1399"/>
      <c r="O353" s="1280"/>
      <c r="Z353" s="1280"/>
    </row>
    <row r="354" spans="1:26" x14ac:dyDescent="0.6">
      <c r="A354" s="1280"/>
      <c r="N354" s="1399"/>
      <c r="O354" s="1280"/>
      <c r="Z354" s="1280"/>
    </row>
    <row r="355" spans="1:26" x14ac:dyDescent="0.6">
      <c r="A355" s="1280"/>
      <c r="N355" s="1399"/>
      <c r="O355" s="1280"/>
      <c r="Z355" s="1280"/>
    </row>
    <row r="356" spans="1:26" x14ac:dyDescent="0.6">
      <c r="A356" s="1280"/>
      <c r="N356" s="1399"/>
      <c r="O356" s="1280"/>
      <c r="Z356" s="1280"/>
    </row>
    <row r="357" spans="1:26" x14ac:dyDescent="0.6">
      <c r="A357" s="1280"/>
      <c r="N357" s="1399"/>
      <c r="O357" s="1280"/>
      <c r="Z357" s="1280"/>
    </row>
    <row r="358" spans="1:26" x14ac:dyDescent="0.6">
      <c r="A358" s="1280"/>
      <c r="N358" s="1399"/>
      <c r="O358" s="1280"/>
      <c r="Z358" s="1280"/>
    </row>
    <row r="359" spans="1:26" x14ac:dyDescent="0.6">
      <c r="A359" s="1280"/>
      <c r="N359" s="1399"/>
      <c r="O359" s="1280"/>
      <c r="Z359" s="1280"/>
    </row>
    <row r="360" spans="1:26" x14ac:dyDescent="0.6">
      <c r="A360" s="1280"/>
      <c r="N360" s="1399"/>
      <c r="O360" s="1280"/>
      <c r="Z360" s="1280"/>
    </row>
    <row r="361" spans="1:26" x14ac:dyDescent="0.6">
      <c r="A361" s="1280"/>
      <c r="N361" s="1399"/>
      <c r="O361" s="1280"/>
      <c r="Z361" s="1280"/>
    </row>
    <row r="362" spans="1:26" x14ac:dyDescent="0.6">
      <c r="A362" s="1280"/>
      <c r="N362" s="1399"/>
      <c r="O362" s="1280"/>
      <c r="Z362" s="1280"/>
    </row>
    <row r="363" spans="1:26" x14ac:dyDescent="0.6">
      <c r="A363" s="1280"/>
      <c r="N363" s="1399"/>
      <c r="O363" s="1280"/>
      <c r="Z363" s="1280"/>
    </row>
    <row r="364" spans="1:26" x14ac:dyDescent="0.6">
      <c r="A364" s="1280"/>
      <c r="N364" s="1399"/>
      <c r="O364" s="1280"/>
      <c r="Z364" s="1280"/>
    </row>
    <row r="365" spans="1:26" x14ac:dyDescent="0.6">
      <c r="A365" s="1280"/>
      <c r="N365" s="1399"/>
      <c r="O365" s="1280"/>
      <c r="Z365" s="1280"/>
    </row>
    <row r="366" spans="1:26" x14ac:dyDescent="0.6">
      <c r="A366" s="1280"/>
      <c r="N366" s="1399"/>
      <c r="O366" s="1280"/>
      <c r="Z366" s="1280"/>
    </row>
    <row r="367" spans="1:26" x14ac:dyDescent="0.6">
      <c r="A367" s="1280"/>
      <c r="N367" s="1399"/>
      <c r="O367" s="1280"/>
      <c r="Z367" s="1280"/>
    </row>
    <row r="368" spans="1:26" x14ac:dyDescent="0.6">
      <c r="A368" s="1280"/>
      <c r="N368" s="1399"/>
      <c r="O368" s="1280"/>
      <c r="Z368" s="1280"/>
    </row>
    <row r="369" spans="1:26" x14ac:dyDescent="0.6">
      <c r="A369" s="1280"/>
      <c r="N369" s="1399"/>
      <c r="O369" s="1280"/>
      <c r="Z369" s="1280"/>
    </row>
    <row r="370" spans="1:26" x14ac:dyDescent="0.6">
      <c r="A370" s="1280"/>
      <c r="N370" s="1399"/>
      <c r="O370" s="1280"/>
      <c r="Z370" s="1280"/>
    </row>
    <row r="371" spans="1:26" x14ac:dyDescent="0.6">
      <c r="A371" s="1280"/>
      <c r="N371" s="1399"/>
      <c r="O371" s="1280"/>
      <c r="Z371" s="1280"/>
    </row>
    <row r="372" spans="1:26" x14ac:dyDescent="0.6">
      <c r="A372" s="1280"/>
      <c r="N372" s="1399"/>
      <c r="O372" s="1280"/>
      <c r="Z372" s="1280"/>
    </row>
    <row r="373" spans="1:26" x14ac:dyDescent="0.6">
      <c r="A373" s="1280"/>
      <c r="N373" s="1399"/>
      <c r="O373" s="1280"/>
      <c r="Z373" s="1280"/>
    </row>
    <row r="374" spans="1:26" x14ac:dyDescent="0.6">
      <c r="A374" s="1280"/>
      <c r="N374" s="1399"/>
      <c r="O374" s="1280"/>
      <c r="Z374" s="1280"/>
    </row>
    <row r="375" spans="1:26" x14ac:dyDescent="0.6">
      <c r="A375" s="1280"/>
      <c r="N375" s="1399"/>
      <c r="O375" s="1280"/>
      <c r="Z375" s="1280"/>
    </row>
    <row r="376" spans="1:26" x14ac:dyDescent="0.6">
      <c r="A376" s="1280"/>
      <c r="N376" s="1399"/>
      <c r="O376" s="1280"/>
      <c r="Z376" s="1280"/>
    </row>
    <row r="377" spans="1:26" x14ac:dyDescent="0.6">
      <c r="A377" s="1280"/>
      <c r="N377" s="1399"/>
      <c r="O377" s="1280"/>
      <c r="Z377" s="1280"/>
    </row>
    <row r="378" spans="1:26" x14ac:dyDescent="0.6">
      <c r="A378" s="1280"/>
      <c r="N378" s="1399"/>
      <c r="O378" s="1280"/>
      <c r="Z378" s="1280"/>
    </row>
    <row r="379" spans="1:26" x14ac:dyDescent="0.6">
      <c r="A379" s="1280"/>
      <c r="N379" s="1399"/>
      <c r="O379" s="1280"/>
      <c r="Z379" s="1280"/>
    </row>
    <row r="380" spans="1:26" x14ac:dyDescent="0.6">
      <c r="A380" s="1280"/>
      <c r="N380" s="1399"/>
      <c r="O380" s="1280"/>
      <c r="Z380" s="1280"/>
    </row>
    <row r="381" spans="1:26" x14ac:dyDescent="0.6">
      <c r="A381" s="1280"/>
      <c r="N381" s="1399"/>
      <c r="O381" s="1280"/>
      <c r="Z381" s="1280"/>
    </row>
    <row r="382" spans="1:26" x14ac:dyDescent="0.6">
      <c r="A382" s="1280"/>
      <c r="N382" s="1399"/>
      <c r="O382" s="1280"/>
      <c r="Z382" s="1280"/>
    </row>
    <row r="383" spans="1:26" x14ac:dyDescent="0.6">
      <c r="A383" s="1280"/>
      <c r="N383" s="1399"/>
      <c r="O383" s="1280"/>
      <c r="Z383" s="1280"/>
    </row>
    <row r="384" spans="1:26" x14ac:dyDescent="0.6">
      <c r="A384" s="1280"/>
      <c r="N384" s="1399"/>
      <c r="O384" s="1280"/>
      <c r="Z384" s="1280"/>
    </row>
    <row r="385" spans="1:26" x14ac:dyDescent="0.6">
      <c r="A385" s="1280"/>
      <c r="N385" s="1399"/>
      <c r="O385" s="1280"/>
      <c r="Z385" s="1280"/>
    </row>
    <row r="386" spans="1:26" x14ac:dyDescent="0.6">
      <c r="A386" s="1280"/>
      <c r="N386" s="1399"/>
      <c r="O386" s="1280"/>
      <c r="Z386" s="1280"/>
    </row>
    <row r="387" spans="1:26" x14ac:dyDescent="0.6">
      <c r="A387" s="1280"/>
      <c r="N387" s="1399"/>
      <c r="O387" s="1280"/>
      <c r="Z387" s="1280"/>
    </row>
    <row r="388" spans="1:26" x14ac:dyDescent="0.6">
      <c r="A388" s="1280"/>
      <c r="N388" s="1399"/>
      <c r="O388" s="1280"/>
      <c r="Z388" s="1280"/>
    </row>
    <row r="389" spans="1:26" x14ac:dyDescent="0.6">
      <c r="A389" s="1280"/>
      <c r="N389" s="1399"/>
      <c r="O389" s="1280"/>
      <c r="Z389" s="1280"/>
    </row>
    <row r="390" spans="1:26" x14ac:dyDescent="0.6">
      <c r="A390" s="1280"/>
      <c r="N390" s="1399"/>
      <c r="O390" s="1280"/>
      <c r="Z390" s="1280"/>
    </row>
    <row r="391" spans="1:26" x14ac:dyDescent="0.6">
      <c r="A391" s="1280"/>
      <c r="N391" s="1399"/>
      <c r="O391" s="1280"/>
      <c r="Z391" s="1280"/>
    </row>
    <row r="392" spans="1:26" x14ac:dyDescent="0.6">
      <c r="A392" s="1280"/>
      <c r="N392" s="1399"/>
      <c r="O392" s="1280"/>
      <c r="Z392" s="1280"/>
    </row>
    <row r="393" spans="1:26" x14ac:dyDescent="0.6">
      <c r="A393" s="1280"/>
      <c r="N393" s="1399"/>
      <c r="O393" s="1280"/>
      <c r="Z393" s="1280"/>
    </row>
    <row r="394" spans="1:26" x14ac:dyDescent="0.6">
      <c r="A394" s="1280"/>
      <c r="N394" s="1399"/>
      <c r="O394" s="1280"/>
      <c r="Z394" s="1280"/>
    </row>
    <row r="395" spans="1:26" x14ac:dyDescent="0.6">
      <c r="A395" s="1280"/>
      <c r="N395" s="1399"/>
      <c r="O395" s="1280"/>
      <c r="Z395" s="1280"/>
    </row>
    <row r="396" spans="1:26" x14ac:dyDescent="0.6">
      <c r="A396" s="1280"/>
      <c r="N396" s="1399"/>
      <c r="O396" s="1280"/>
      <c r="Z396" s="1280"/>
    </row>
    <row r="397" spans="1:26" x14ac:dyDescent="0.6">
      <c r="A397" s="1280"/>
      <c r="N397" s="1399"/>
      <c r="O397" s="1280"/>
      <c r="Z397" s="1280"/>
    </row>
    <row r="398" spans="1:26" x14ac:dyDescent="0.6">
      <c r="A398" s="1280"/>
      <c r="N398" s="1399"/>
      <c r="O398" s="1280"/>
      <c r="Z398" s="1280"/>
    </row>
    <row r="399" spans="1:26" x14ac:dyDescent="0.6">
      <c r="A399" s="1280"/>
      <c r="N399" s="1399"/>
      <c r="O399" s="1280"/>
      <c r="Z399" s="1280"/>
    </row>
    <row r="400" spans="1:26" x14ac:dyDescent="0.6">
      <c r="A400" s="1280"/>
      <c r="N400" s="1399"/>
      <c r="O400" s="1280"/>
      <c r="Z400" s="1280"/>
    </row>
    <row r="401" spans="1:26" x14ac:dyDescent="0.6">
      <c r="A401" s="1280"/>
      <c r="N401" s="1399"/>
      <c r="O401" s="1280"/>
      <c r="Z401" s="1280"/>
    </row>
    <row r="402" spans="1:26" x14ac:dyDescent="0.6">
      <c r="A402" s="1280"/>
      <c r="N402" s="1399"/>
      <c r="O402" s="1280"/>
      <c r="Z402" s="1280"/>
    </row>
    <row r="403" spans="1:26" x14ac:dyDescent="0.6">
      <c r="A403" s="1280"/>
      <c r="N403" s="1399"/>
      <c r="O403" s="1280"/>
      <c r="Z403" s="1280"/>
    </row>
    <row r="404" spans="1:26" x14ac:dyDescent="0.6">
      <c r="A404" s="1280"/>
      <c r="N404" s="1399"/>
      <c r="O404" s="1280"/>
      <c r="Z404" s="1280"/>
    </row>
    <row r="405" spans="1:26" x14ac:dyDescent="0.6">
      <c r="A405" s="1280"/>
      <c r="N405" s="1399"/>
      <c r="O405" s="1280"/>
      <c r="Z405" s="1280"/>
    </row>
    <row r="406" spans="1:26" x14ac:dyDescent="0.6">
      <c r="A406" s="1280"/>
      <c r="N406" s="1399"/>
      <c r="O406" s="1280"/>
      <c r="Z406" s="1280"/>
    </row>
    <row r="407" spans="1:26" x14ac:dyDescent="0.6">
      <c r="A407" s="1280"/>
      <c r="N407" s="1399"/>
      <c r="O407" s="1280"/>
      <c r="Z407" s="1280"/>
    </row>
    <row r="408" spans="1:26" x14ac:dyDescent="0.6">
      <c r="A408" s="1280"/>
      <c r="N408" s="1399"/>
      <c r="O408" s="1280"/>
      <c r="Z408" s="1280"/>
    </row>
    <row r="409" spans="1:26" x14ac:dyDescent="0.6">
      <c r="A409" s="1280"/>
      <c r="N409" s="1399"/>
      <c r="O409" s="1280"/>
      <c r="Z409" s="1280"/>
    </row>
    <row r="410" spans="1:26" x14ac:dyDescent="0.6">
      <c r="A410" s="1280"/>
      <c r="N410" s="1399"/>
      <c r="O410" s="1280"/>
      <c r="Z410" s="1280"/>
    </row>
    <row r="411" spans="1:26" x14ac:dyDescent="0.6">
      <c r="A411" s="1280"/>
      <c r="N411" s="1399"/>
      <c r="O411" s="1280"/>
      <c r="Z411" s="1280"/>
    </row>
    <row r="412" spans="1:26" x14ac:dyDescent="0.6">
      <c r="A412" s="1280"/>
      <c r="N412" s="1399"/>
      <c r="O412" s="1280"/>
      <c r="Z412" s="1280"/>
    </row>
    <row r="413" spans="1:26" x14ac:dyDescent="0.6">
      <c r="A413" s="1280"/>
      <c r="N413" s="1399"/>
      <c r="O413" s="1280"/>
      <c r="Z413" s="1280"/>
    </row>
    <row r="414" spans="1:26" x14ac:dyDescent="0.6">
      <c r="A414" s="1280"/>
      <c r="N414" s="1399"/>
      <c r="O414" s="1280"/>
      <c r="Z414" s="1280"/>
    </row>
    <row r="415" spans="1:26" x14ac:dyDescent="0.6">
      <c r="A415" s="1280"/>
      <c r="N415" s="1399"/>
      <c r="O415" s="1280"/>
      <c r="Z415" s="1280"/>
    </row>
    <row r="416" spans="1:26" x14ac:dyDescent="0.6">
      <c r="A416" s="1280"/>
      <c r="N416" s="1399"/>
      <c r="O416" s="1280"/>
      <c r="Z416" s="1280"/>
    </row>
    <row r="417" spans="1:26" x14ac:dyDescent="0.6">
      <c r="A417" s="1280"/>
      <c r="N417" s="1399"/>
      <c r="O417" s="1280"/>
      <c r="Z417" s="1280"/>
    </row>
    <row r="418" spans="1:26" x14ac:dyDescent="0.6">
      <c r="A418" s="1280"/>
      <c r="N418" s="1399"/>
      <c r="O418" s="1280"/>
      <c r="Z418" s="1280"/>
    </row>
    <row r="419" spans="1:26" x14ac:dyDescent="0.6">
      <c r="A419" s="1280"/>
      <c r="N419" s="1399"/>
      <c r="O419" s="1280"/>
      <c r="Z419" s="1280"/>
    </row>
    <row r="420" spans="1:26" x14ac:dyDescent="0.6">
      <c r="A420" s="1280"/>
      <c r="N420" s="1399"/>
      <c r="O420" s="1280"/>
      <c r="Z420" s="1280"/>
    </row>
    <row r="421" spans="1:26" x14ac:dyDescent="0.6">
      <c r="A421" s="1280"/>
      <c r="N421" s="1399"/>
      <c r="O421" s="1280"/>
      <c r="Z421" s="1280"/>
    </row>
    <row r="422" spans="1:26" x14ac:dyDescent="0.6">
      <c r="A422" s="1280"/>
      <c r="N422" s="1399"/>
      <c r="O422" s="1280"/>
      <c r="Z422" s="1280"/>
    </row>
    <row r="423" spans="1:26" x14ac:dyDescent="0.6">
      <c r="A423" s="1280"/>
      <c r="N423" s="1399"/>
      <c r="O423" s="1280"/>
      <c r="Z423" s="1280"/>
    </row>
    <row r="424" spans="1:26" x14ac:dyDescent="0.6">
      <c r="A424" s="1280"/>
      <c r="N424" s="1399"/>
      <c r="O424" s="1280"/>
      <c r="Z424" s="1280"/>
    </row>
    <row r="425" spans="1:26" x14ac:dyDescent="0.6">
      <c r="A425" s="1280"/>
      <c r="N425" s="1399"/>
      <c r="O425" s="1280"/>
      <c r="Z425" s="1280"/>
    </row>
    <row r="426" spans="1:26" x14ac:dyDescent="0.6">
      <c r="A426" s="1280"/>
      <c r="N426" s="1399"/>
      <c r="O426" s="1280"/>
      <c r="Z426" s="1280"/>
    </row>
    <row r="427" spans="1:26" x14ac:dyDescent="0.6">
      <c r="A427" s="1280"/>
      <c r="N427" s="1399"/>
      <c r="O427" s="1280"/>
      <c r="Z427" s="1280"/>
    </row>
    <row r="428" spans="1:26" x14ac:dyDescent="0.6">
      <c r="A428" s="1280"/>
      <c r="N428" s="1399"/>
      <c r="O428" s="1280"/>
      <c r="Z428" s="1280"/>
    </row>
    <row r="429" spans="1:26" x14ac:dyDescent="0.6">
      <c r="A429" s="1280"/>
      <c r="N429" s="1399"/>
      <c r="O429" s="1280"/>
      <c r="Z429" s="1280"/>
    </row>
    <row r="430" spans="1:26" x14ac:dyDescent="0.6">
      <c r="A430" s="1280"/>
      <c r="N430" s="1399"/>
      <c r="O430" s="1280"/>
      <c r="Z430" s="1280"/>
    </row>
    <row r="431" spans="1:26" x14ac:dyDescent="0.6">
      <c r="A431" s="1280"/>
      <c r="N431" s="1399"/>
      <c r="O431" s="1280"/>
      <c r="Z431" s="1280"/>
    </row>
    <row r="432" spans="1:26" x14ac:dyDescent="0.6">
      <c r="A432" s="1280"/>
      <c r="N432" s="1399"/>
      <c r="O432" s="1280"/>
      <c r="Z432" s="1280"/>
    </row>
    <row r="433" spans="1:26" x14ac:dyDescent="0.6">
      <c r="A433" s="1280"/>
      <c r="N433" s="1399"/>
      <c r="O433" s="1280"/>
      <c r="Z433" s="1280"/>
    </row>
    <row r="434" spans="1:26" x14ac:dyDescent="0.6">
      <c r="A434" s="1280"/>
      <c r="N434" s="1399"/>
      <c r="O434" s="1280"/>
      <c r="Z434" s="1280"/>
    </row>
    <row r="435" spans="1:26" x14ac:dyDescent="0.6">
      <c r="A435" s="1280"/>
      <c r="N435" s="1399"/>
      <c r="O435" s="1280"/>
      <c r="Z435" s="1280"/>
    </row>
    <row r="436" spans="1:26" x14ac:dyDescent="0.6">
      <c r="A436" s="1280"/>
      <c r="N436" s="1399"/>
      <c r="O436" s="1280"/>
      <c r="Z436" s="1280"/>
    </row>
    <row r="437" spans="1:26" x14ac:dyDescent="0.6">
      <c r="A437" s="1280"/>
      <c r="N437" s="1399"/>
      <c r="O437" s="1280"/>
      <c r="Z437" s="1280"/>
    </row>
    <row r="438" spans="1:26" x14ac:dyDescent="0.6">
      <c r="A438" s="1280"/>
      <c r="N438" s="1399"/>
      <c r="O438" s="1280"/>
      <c r="Z438" s="1280"/>
    </row>
    <row r="439" spans="1:26" x14ac:dyDescent="0.6">
      <c r="A439" s="1280"/>
      <c r="N439" s="1399"/>
      <c r="O439" s="1280"/>
      <c r="Z439" s="1280"/>
    </row>
    <row r="440" spans="1:26" x14ac:dyDescent="0.6">
      <c r="A440" s="1280"/>
      <c r="N440" s="1399"/>
      <c r="O440" s="1280"/>
      <c r="Z440" s="1280"/>
    </row>
    <row r="441" spans="1:26" x14ac:dyDescent="0.6">
      <c r="A441" s="1280"/>
      <c r="N441" s="1399"/>
      <c r="O441" s="1280"/>
      <c r="Z441" s="1280"/>
    </row>
    <row r="442" spans="1:26" x14ac:dyDescent="0.6">
      <c r="A442" s="1280"/>
      <c r="N442" s="1399"/>
      <c r="O442" s="1280"/>
      <c r="Z442" s="1280"/>
    </row>
    <row r="443" spans="1:26" x14ac:dyDescent="0.6">
      <c r="A443" s="1280"/>
      <c r="N443" s="1399"/>
      <c r="O443" s="1280"/>
      <c r="Z443" s="1280"/>
    </row>
    <row r="444" spans="1:26" x14ac:dyDescent="0.6">
      <c r="A444" s="1280"/>
      <c r="N444" s="1399"/>
      <c r="O444" s="1280"/>
      <c r="Z444" s="1280"/>
    </row>
    <row r="445" spans="1:26" x14ac:dyDescent="0.6">
      <c r="A445" s="1280"/>
      <c r="N445" s="1399"/>
      <c r="O445" s="1280"/>
      <c r="Z445" s="1280"/>
    </row>
    <row r="446" spans="1:26" x14ac:dyDescent="0.6">
      <c r="A446" s="1280"/>
      <c r="N446" s="1399"/>
      <c r="O446" s="1280"/>
      <c r="Z446" s="1280"/>
    </row>
    <row r="447" spans="1:26" x14ac:dyDescent="0.6">
      <c r="A447" s="1280"/>
      <c r="N447" s="1399"/>
      <c r="O447" s="1280"/>
      <c r="Z447" s="1280"/>
    </row>
    <row r="448" spans="1:26" x14ac:dyDescent="0.6">
      <c r="A448" s="1280"/>
      <c r="N448" s="1399"/>
      <c r="O448" s="1280"/>
      <c r="Z448" s="1280"/>
    </row>
    <row r="449" spans="1:26" x14ac:dyDescent="0.6">
      <c r="A449" s="1280"/>
      <c r="N449" s="1399"/>
      <c r="O449" s="1280"/>
      <c r="Z449" s="1280"/>
    </row>
    <row r="450" spans="1:26" x14ac:dyDescent="0.6">
      <c r="A450" s="1280"/>
      <c r="N450" s="1399"/>
      <c r="O450" s="1280"/>
      <c r="Z450" s="1280"/>
    </row>
    <row r="451" spans="1:26" x14ac:dyDescent="0.6">
      <c r="A451" s="1280"/>
      <c r="N451" s="1399"/>
      <c r="O451" s="1280"/>
      <c r="Z451" s="1280"/>
    </row>
    <row r="452" spans="1:26" x14ac:dyDescent="0.6">
      <c r="A452" s="1280"/>
      <c r="N452" s="1399"/>
      <c r="O452" s="1280"/>
      <c r="Z452" s="1280"/>
    </row>
    <row r="453" spans="1:26" x14ac:dyDescent="0.6">
      <c r="A453" s="1280"/>
      <c r="N453" s="1399"/>
      <c r="O453" s="1280"/>
      <c r="Z453" s="1280"/>
    </row>
    <row r="454" spans="1:26" x14ac:dyDescent="0.6">
      <c r="A454" s="1280"/>
      <c r="N454" s="1399"/>
      <c r="O454" s="1280"/>
      <c r="Z454" s="1280"/>
    </row>
    <row r="455" spans="1:26" x14ac:dyDescent="0.6">
      <c r="A455" s="1280"/>
      <c r="N455" s="1399"/>
      <c r="O455" s="1280"/>
      <c r="Z455" s="1280"/>
    </row>
    <row r="456" spans="1:26" x14ac:dyDescent="0.6">
      <c r="A456" s="1280"/>
      <c r="N456" s="1399"/>
      <c r="O456" s="1280"/>
      <c r="Z456" s="1280"/>
    </row>
    <row r="457" spans="1:26" x14ac:dyDescent="0.6">
      <c r="A457" s="1280"/>
      <c r="N457" s="1399"/>
      <c r="O457" s="1280"/>
      <c r="Z457" s="1280"/>
    </row>
    <row r="458" spans="1:26" x14ac:dyDescent="0.6">
      <c r="A458" s="1280"/>
      <c r="N458" s="1399"/>
      <c r="O458" s="1280"/>
      <c r="Z458" s="1280"/>
    </row>
    <row r="459" spans="1:26" x14ac:dyDescent="0.6">
      <c r="A459" s="1280"/>
      <c r="N459" s="1399"/>
      <c r="O459" s="1280"/>
      <c r="Z459" s="1280"/>
    </row>
    <row r="460" spans="1:26" x14ac:dyDescent="0.6">
      <c r="A460" s="1280"/>
      <c r="N460" s="1399"/>
      <c r="O460" s="1280"/>
      <c r="Z460" s="1280"/>
    </row>
    <row r="461" spans="1:26" x14ac:dyDescent="0.6">
      <c r="A461" s="1280"/>
      <c r="N461" s="1399"/>
      <c r="O461" s="1280"/>
      <c r="Z461" s="1280"/>
    </row>
    <row r="462" spans="1:26" x14ac:dyDescent="0.6">
      <c r="A462" s="1280"/>
      <c r="N462" s="1399"/>
      <c r="O462" s="1280"/>
      <c r="Z462" s="1280"/>
    </row>
    <row r="463" spans="1:26" x14ac:dyDescent="0.6">
      <c r="A463" s="1280"/>
      <c r="N463" s="1399"/>
      <c r="O463" s="1280"/>
      <c r="Z463" s="1280"/>
    </row>
    <row r="464" spans="1:26" x14ac:dyDescent="0.6">
      <c r="A464" s="1280"/>
      <c r="N464" s="1399"/>
      <c r="O464" s="1280"/>
      <c r="Z464" s="1280"/>
    </row>
    <row r="465" spans="1:26" x14ac:dyDescent="0.6">
      <c r="A465" s="1280"/>
      <c r="N465" s="1399"/>
      <c r="O465" s="1280"/>
      <c r="Z465" s="1280"/>
    </row>
    <row r="466" spans="1:26" x14ac:dyDescent="0.6">
      <c r="A466" s="1280"/>
      <c r="N466" s="1399"/>
      <c r="O466" s="1280"/>
      <c r="Z466" s="1280"/>
    </row>
    <row r="467" spans="1:26" x14ac:dyDescent="0.6">
      <c r="A467" s="1280"/>
      <c r="N467" s="1399"/>
      <c r="O467" s="1280"/>
      <c r="Z467" s="1280"/>
    </row>
    <row r="468" spans="1:26" x14ac:dyDescent="0.6">
      <c r="A468" s="1280"/>
      <c r="N468" s="1399"/>
      <c r="O468" s="1280"/>
      <c r="Z468" s="1280"/>
    </row>
    <row r="469" spans="1:26" x14ac:dyDescent="0.6">
      <c r="A469" s="1280"/>
      <c r="N469" s="1399"/>
      <c r="O469" s="1280"/>
      <c r="Z469" s="1280"/>
    </row>
    <row r="470" spans="1:26" x14ac:dyDescent="0.6">
      <c r="A470" s="1280"/>
      <c r="N470" s="1399"/>
      <c r="O470" s="1280"/>
      <c r="Z470" s="1280"/>
    </row>
    <row r="471" spans="1:26" x14ac:dyDescent="0.6">
      <c r="A471" s="1280"/>
      <c r="N471" s="1399"/>
      <c r="O471" s="1280"/>
      <c r="Z471" s="1280"/>
    </row>
    <row r="472" spans="1:26" x14ac:dyDescent="0.6">
      <c r="A472" s="1280"/>
      <c r="N472" s="1399"/>
      <c r="O472" s="1280"/>
      <c r="Z472" s="1280"/>
    </row>
    <row r="473" spans="1:26" x14ac:dyDescent="0.6">
      <c r="A473" s="1280"/>
      <c r="N473" s="1399"/>
      <c r="O473" s="1280"/>
      <c r="Z473" s="1280"/>
    </row>
    <row r="474" spans="1:26" x14ac:dyDescent="0.6">
      <c r="A474" s="1280"/>
      <c r="N474" s="1399"/>
      <c r="O474" s="1280"/>
      <c r="Z474" s="1280"/>
    </row>
    <row r="475" spans="1:26" x14ac:dyDescent="0.6">
      <c r="A475" s="1280"/>
      <c r="N475" s="1399"/>
      <c r="O475" s="1280"/>
      <c r="Z475" s="1280"/>
    </row>
    <row r="476" spans="1:26" x14ac:dyDescent="0.6">
      <c r="A476" s="1280"/>
      <c r="N476" s="1399"/>
      <c r="O476" s="1280"/>
      <c r="Z476" s="1280"/>
    </row>
    <row r="477" spans="1:26" x14ac:dyDescent="0.6">
      <c r="A477" s="1280"/>
      <c r="N477" s="1399"/>
      <c r="O477" s="1280"/>
      <c r="Z477" s="1280"/>
    </row>
    <row r="478" spans="1:26" x14ac:dyDescent="0.6">
      <c r="A478" s="1280"/>
      <c r="N478" s="1399"/>
      <c r="O478" s="1280"/>
      <c r="Z478" s="1280"/>
    </row>
    <row r="479" spans="1:26" x14ac:dyDescent="0.6">
      <c r="A479" s="1280"/>
      <c r="N479" s="1399"/>
      <c r="O479" s="1280"/>
      <c r="Z479" s="1280"/>
    </row>
    <row r="480" spans="1:26" x14ac:dyDescent="0.6">
      <c r="A480" s="1280"/>
      <c r="N480" s="1399"/>
      <c r="O480" s="1280"/>
      <c r="Z480" s="1280"/>
    </row>
    <row r="481" spans="1:26" x14ac:dyDescent="0.6">
      <c r="A481" s="1280"/>
      <c r="N481" s="1399"/>
      <c r="O481" s="1280"/>
      <c r="Z481" s="1280"/>
    </row>
    <row r="482" spans="1:26" x14ac:dyDescent="0.6">
      <c r="A482" s="1280"/>
      <c r="N482" s="1399"/>
      <c r="O482" s="1280"/>
      <c r="Z482" s="1280"/>
    </row>
    <row r="483" spans="1:26" x14ac:dyDescent="0.6">
      <c r="A483" s="1280"/>
      <c r="N483" s="1399"/>
      <c r="O483" s="1280"/>
      <c r="Z483" s="1280"/>
    </row>
    <row r="484" spans="1:26" x14ac:dyDescent="0.6">
      <c r="A484" s="1280"/>
      <c r="N484" s="1399"/>
      <c r="O484" s="1280"/>
      <c r="Z484" s="1280"/>
    </row>
    <row r="485" spans="1:26" x14ac:dyDescent="0.6">
      <c r="A485" s="1280"/>
      <c r="N485" s="1399"/>
      <c r="O485" s="1280"/>
      <c r="Z485" s="1280"/>
    </row>
    <row r="486" spans="1:26" x14ac:dyDescent="0.6">
      <c r="A486" s="1280"/>
      <c r="N486" s="1399"/>
      <c r="O486" s="1280"/>
      <c r="Z486" s="1280"/>
    </row>
    <row r="487" spans="1:26" x14ac:dyDescent="0.6">
      <c r="A487" s="1280"/>
      <c r="N487" s="1399"/>
      <c r="O487" s="1280"/>
      <c r="Z487" s="1280"/>
    </row>
    <row r="488" spans="1:26" x14ac:dyDescent="0.6">
      <c r="A488" s="1280"/>
      <c r="N488" s="1399"/>
      <c r="O488" s="1280"/>
      <c r="Z488" s="1280"/>
    </row>
    <row r="489" spans="1:26" x14ac:dyDescent="0.6">
      <c r="A489" s="1280"/>
      <c r="N489" s="1399"/>
      <c r="O489" s="1280"/>
      <c r="Z489" s="1280"/>
    </row>
    <row r="490" spans="1:26" x14ac:dyDescent="0.6">
      <c r="A490" s="1280"/>
      <c r="N490" s="1399"/>
      <c r="O490" s="1280"/>
      <c r="Z490" s="1280"/>
    </row>
    <row r="491" spans="1:26" x14ac:dyDescent="0.6">
      <c r="A491" s="1280"/>
      <c r="N491" s="1399"/>
      <c r="O491" s="1280"/>
      <c r="Z491" s="1280"/>
    </row>
    <row r="492" spans="1:26" x14ac:dyDescent="0.6">
      <c r="A492" s="1280"/>
      <c r="N492" s="1399"/>
      <c r="O492" s="1280"/>
      <c r="Z492" s="1280"/>
    </row>
    <row r="493" spans="1:26" x14ac:dyDescent="0.6">
      <c r="A493" s="1280"/>
      <c r="N493" s="1399"/>
      <c r="O493" s="1280"/>
      <c r="Z493" s="1280"/>
    </row>
    <row r="494" spans="1:26" x14ac:dyDescent="0.6">
      <c r="A494" s="1280"/>
      <c r="N494" s="1399"/>
      <c r="O494" s="1280"/>
      <c r="Z494" s="1280"/>
    </row>
    <row r="495" spans="1:26" x14ac:dyDescent="0.6">
      <c r="A495" s="1280"/>
      <c r="N495" s="1399"/>
      <c r="O495" s="1280"/>
      <c r="Z495" s="1280"/>
    </row>
    <row r="496" spans="1:26" x14ac:dyDescent="0.6">
      <c r="A496" s="1280"/>
      <c r="N496" s="1399"/>
      <c r="O496" s="1280"/>
      <c r="Z496" s="1280"/>
    </row>
    <row r="497" spans="1:26" x14ac:dyDescent="0.6">
      <c r="A497" s="1280"/>
      <c r="N497" s="1399"/>
      <c r="O497" s="1280"/>
      <c r="Z497" s="1280"/>
    </row>
    <row r="498" spans="1:26" x14ac:dyDescent="0.6">
      <c r="A498" s="1280"/>
      <c r="N498" s="1399"/>
      <c r="O498" s="1280"/>
      <c r="Z498" s="1280"/>
    </row>
    <row r="499" spans="1:26" x14ac:dyDescent="0.6">
      <c r="A499" s="1280"/>
      <c r="N499" s="1399"/>
      <c r="O499" s="1280"/>
      <c r="Z499" s="1280"/>
    </row>
    <row r="500" spans="1:26" x14ac:dyDescent="0.6">
      <c r="A500" s="1280"/>
      <c r="N500" s="1399"/>
      <c r="O500" s="1280"/>
      <c r="Z500" s="1280"/>
    </row>
    <row r="501" spans="1:26" x14ac:dyDescent="0.6">
      <c r="A501" s="1280"/>
      <c r="N501" s="1399"/>
      <c r="O501" s="1280"/>
      <c r="Z501" s="1280"/>
    </row>
    <row r="502" spans="1:26" x14ac:dyDescent="0.6">
      <c r="A502" s="1280"/>
      <c r="N502" s="1399"/>
      <c r="O502" s="1280"/>
      <c r="Z502" s="1280"/>
    </row>
    <row r="503" spans="1:26" x14ac:dyDescent="0.6">
      <c r="A503" s="1280"/>
      <c r="N503" s="1399"/>
      <c r="O503" s="1280"/>
      <c r="Z503" s="1280"/>
    </row>
    <row r="504" spans="1:26" x14ac:dyDescent="0.6">
      <c r="A504" s="1280"/>
      <c r="N504" s="1399"/>
      <c r="O504" s="1280"/>
      <c r="Z504" s="1280"/>
    </row>
    <row r="505" spans="1:26" x14ac:dyDescent="0.6">
      <c r="A505" s="1280"/>
      <c r="N505" s="1399"/>
      <c r="O505" s="1280"/>
      <c r="Z505" s="1280"/>
    </row>
    <row r="506" spans="1:26" x14ac:dyDescent="0.6">
      <c r="A506" s="1280"/>
      <c r="N506" s="1399"/>
      <c r="O506" s="1280"/>
      <c r="Z506" s="1280"/>
    </row>
    <row r="507" spans="1:26" x14ac:dyDescent="0.6">
      <c r="A507" s="1280"/>
      <c r="N507" s="1399"/>
      <c r="O507" s="1280"/>
      <c r="Z507" s="1280"/>
    </row>
    <row r="508" spans="1:26" x14ac:dyDescent="0.6">
      <c r="A508" s="1280"/>
      <c r="N508" s="1399"/>
      <c r="O508" s="1280"/>
      <c r="Z508" s="1280"/>
    </row>
    <row r="509" spans="1:26" x14ac:dyDescent="0.6">
      <c r="A509" s="1280"/>
      <c r="N509" s="1399"/>
      <c r="O509" s="1280"/>
      <c r="Z509" s="1280"/>
    </row>
    <row r="510" spans="1:26" x14ac:dyDescent="0.6">
      <c r="A510" s="1280"/>
      <c r="N510" s="1399"/>
      <c r="O510" s="1280"/>
      <c r="Z510" s="1280"/>
    </row>
    <row r="511" spans="1:26" x14ac:dyDescent="0.6">
      <c r="A511" s="1280"/>
      <c r="N511" s="1399"/>
      <c r="O511" s="1280"/>
      <c r="Z511" s="1280"/>
    </row>
    <row r="512" spans="1:26" x14ac:dyDescent="0.6">
      <c r="A512" s="1280"/>
      <c r="N512" s="1399"/>
      <c r="O512" s="1280"/>
      <c r="Z512" s="1280"/>
    </row>
    <row r="513" spans="1:26" x14ac:dyDescent="0.6">
      <c r="A513" s="1280"/>
      <c r="N513" s="1399"/>
      <c r="O513" s="1280"/>
      <c r="Z513" s="1280"/>
    </row>
    <row r="514" spans="1:26" x14ac:dyDescent="0.6">
      <c r="A514" s="1280"/>
      <c r="N514" s="1399"/>
      <c r="O514" s="1280"/>
      <c r="Z514" s="1280"/>
    </row>
    <row r="515" spans="1:26" x14ac:dyDescent="0.6">
      <c r="A515" s="1280"/>
      <c r="N515" s="1399"/>
      <c r="O515" s="1280"/>
      <c r="Z515" s="1280"/>
    </row>
    <row r="516" spans="1:26" x14ac:dyDescent="0.6">
      <c r="A516" s="1280"/>
      <c r="N516" s="1399"/>
      <c r="O516" s="1280"/>
      <c r="Z516" s="1280"/>
    </row>
    <row r="517" spans="1:26" x14ac:dyDescent="0.6">
      <c r="A517" s="1280"/>
      <c r="N517" s="1399"/>
      <c r="O517" s="1280"/>
      <c r="Z517" s="1280"/>
    </row>
    <row r="518" spans="1:26" x14ac:dyDescent="0.6">
      <c r="A518" s="1280"/>
      <c r="N518" s="1399"/>
      <c r="O518" s="1280"/>
      <c r="Z518" s="1280"/>
    </row>
    <row r="519" spans="1:26" x14ac:dyDescent="0.6">
      <c r="A519" s="1280"/>
      <c r="N519" s="1399"/>
      <c r="O519" s="1280"/>
      <c r="Z519" s="1280"/>
    </row>
    <row r="520" spans="1:26" x14ac:dyDescent="0.6">
      <c r="A520" s="1280"/>
      <c r="N520" s="1399"/>
      <c r="O520" s="1280"/>
      <c r="Z520" s="1280"/>
    </row>
    <row r="521" spans="1:26" x14ac:dyDescent="0.6">
      <c r="A521" s="1280"/>
      <c r="N521" s="1399"/>
      <c r="O521" s="1280"/>
      <c r="Z521" s="1280"/>
    </row>
    <row r="522" spans="1:26" x14ac:dyDescent="0.6">
      <c r="A522" s="1280"/>
      <c r="N522" s="1399"/>
      <c r="O522" s="1280"/>
      <c r="Z522" s="1280"/>
    </row>
    <row r="523" spans="1:26" x14ac:dyDescent="0.6">
      <c r="A523" s="1280"/>
      <c r="N523" s="1399"/>
      <c r="O523" s="1280"/>
      <c r="Z523" s="1280"/>
    </row>
    <row r="524" spans="1:26" x14ac:dyDescent="0.6">
      <c r="A524" s="1280"/>
      <c r="N524" s="1399"/>
      <c r="O524" s="1280"/>
      <c r="Z524" s="1280"/>
    </row>
    <row r="525" spans="1:26" x14ac:dyDescent="0.6">
      <c r="A525" s="1280"/>
      <c r="N525" s="1399"/>
      <c r="O525" s="1280"/>
      <c r="Z525" s="1280"/>
    </row>
    <row r="526" spans="1:26" x14ac:dyDescent="0.6">
      <c r="A526" s="1280"/>
      <c r="N526" s="1399"/>
      <c r="O526" s="1280"/>
      <c r="Z526" s="1280"/>
    </row>
    <row r="527" spans="1:26" x14ac:dyDescent="0.6">
      <c r="A527" s="1280"/>
      <c r="N527" s="1399"/>
      <c r="O527" s="1280"/>
      <c r="Z527" s="1280"/>
    </row>
    <row r="528" spans="1:26" x14ac:dyDescent="0.6">
      <c r="A528" s="1280"/>
      <c r="N528" s="1399"/>
      <c r="O528" s="1280"/>
      <c r="Z528" s="1280"/>
    </row>
    <row r="529" spans="1:26" x14ac:dyDescent="0.6">
      <c r="A529" s="1280"/>
      <c r="N529" s="1399"/>
      <c r="O529" s="1280"/>
      <c r="Z529" s="1280"/>
    </row>
    <row r="530" spans="1:26" x14ac:dyDescent="0.6">
      <c r="A530" s="1280"/>
      <c r="N530" s="1399"/>
      <c r="O530" s="1280"/>
      <c r="Z530" s="1280"/>
    </row>
    <row r="531" spans="1:26" x14ac:dyDescent="0.6">
      <c r="A531" s="1280"/>
      <c r="N531" s="1399"/>
      <c r="O531" s="1280"/>
      <c r="Z531" s="1280"/>
    </row>
    <row r="532" spans="1:26" x14ac:dyDescent="0.6">
      <c r="A532" s="1280"/>
      <c r="N532" s="1399"/>
      <c r="O532" s="1280"/>
      <c r="Z532" s="1280"/>
    </row>
    <row r="533" spans="1:26" x14ac:dyDescent="0.6">
      <c r="A533" s="1280"/>
      <c r="N533" s="1399"/>
      <c r="O533" s="1280"/>
      <c r="Z533" s="1280"/>
    </row>
    <row r="534" spans="1:26" x14ac:dyDescent="0.6">
      <c r="A534" s="1280"/>
      <c r="N534" s="1399"/>
      <c r="O534" s="1280"/>
      <c r="Z534" s="1280"/>
    </row>
    <row r="535" spans="1:26" x14ac:dyDescent="0.6">
      <c r="A535" s="1280"/>
      <c r="N535" s="1399"/>
      <c r="O535" s="1280"/>
      <c r="Z535" s="1280"/>
    </row>
    <row r="536" spans="1:26" x14ac:dyDescent="0.6">
      <c r="A536" s="1280"/>
      <c r="N536" s="1399"/>
      <c r="O536" s="1280"/>
      <c r="Z536" s="1280"/>
    </row>
    <row r="537" spans="1:26" x14ac:dyDescent="0.6">
      <c r="A537" s="1280"/>
      <c r="N537" s="1399"/>
      <c r="O537" s="1280"/>
      <c r="Z537" s="1280"/>
    </row>
    <row r="538" spans="1:26" x14ac:dyDescent="0.6">
      <c r="A538" s="1280"/>
      <c r="N538" s="1399"/>
      <c r="O538" s="1280"/>
      <c r="Z538" s="1280"/>
    </row>
    <row r="539" spans="1:26" x14ac:dyDescent="0.6">
      <c r="A539" s="1280"/>
      <c r="N539" s="1399"/>
      <c r="O539" s="1280"/>
      <c r="Z539" s="1280"/>
    </row>
    <row r="540" spans="1:26" x14ac:dyDescent="0.6">
      <c r="A540" s="1280"/>
      <c r="N540" s="1399"/>
      <c r="O540" s="1280"/>
      <c r="Z540" s="1280"/>
    </row>
    <row r="541" spans="1:26" x14ac:dyDescent="0.6">
      <c r="A541" s="1280"/>
      <c r="N541" s="1399"/>
      <c r="O541" s="1280"/>
      <c r="Z541" s="1280"/>
    </row>
    <row r="542" spans="1:26" x14ac:dyDescent="0.6">
      <c r="A542" s="1280"/>
      <c r="N542" s="1399"/>
      <c r="O542" s="1280"/>
      <c r="Z542" s="1280"/>
    </row>
    <row r="543" spans="1:26" x14ac:dyDescent="0.6">
      <c r="A543" s="1280"/>
      <c r="N543" s="1399"/>
      <c r="O543" s="1280"/>
      <c r="Z543" s="1280"/>
    </row>
    <row r="544" spans="1:26" x14ac:dyDescent="0.6">
      <c r="A544" s="1280"/>
      <c r="N544" s="1399"/>
      <c r="O544" s="1280"/>
      <c r="Z544" s="1280"/>
    </row>
    <row r="545" spans="1:26" x14ac:dyDescent="0.6">
      <c r="A545" s="1280"/>
      <c r="N545" s="1399"/>
      <c r="O545" s="1280"/>
      <c r="Z545" s="1280"/>
    </row>
    <row r="546" spans="1:26" x14ac:dyDescent="0.6">
      <c r="A546" s="1280"/>
      <c r="N546" s="1399"/>
      <c r="O546" s="1280"/>
      <c r="Z546" s="1280"/>
    </row>
    <row r="547" spans="1:26" x14ac:dyDescent="0.6">
      <c r="A547" s="1280"/>
      <c r="N547" s="1399"/>
      <c r="O547" s="1280"/>
      <c r="Z547" s="1280"/>
    </row>
    <row r="548" spans="1:26" x14ac:dyDescent="0.6">
      <c r="A548" s="1280"/>
      <c r="N548" s="1399"/>
      <c r="O548" s="1280"/>
      <c r="Z548" s="1280"/>
    </row>
    <row r="549" spans="1:26" x14ac:dyDescent="0.6">
      <c r="A549" s="1280"/>
      <c r="N549" s="1399"/>
      <c r="O549" s="1280"/>
      <c r="Z549" s="1280"/>
    </row>
    <row r="550" spans="1:26" x14ac:dyDescent="0.6">
      <c r="A550" s="1280"/>
      <c r="N550" s="1399"/>
      <c r="O550" s="1280"/>
      <c r="Z550" s="1280"/>
    </row>
    <row r="551" spans="1:26" x14ac:dyDescent="0.6">
      <c r="A551" s="1280"/>
      <c r="N551" s="1399"/>
      <c r="O551" s="1280"/>
      <c r="Z551" s="1280"/>
    </row>
    <row r="552" spans="1:26" x14ac:dyDescent="0.6">
      <c r="A552" s="1280"/>
      <c r="N552" s="1399"/>
      <c r="O552" s="1280"/>
      <c r="Z552" s="1280"/>
    </row>
    <row r="553" spans="1:26" x14ac:dyDescent="0.6">
      <c r="A553" s="1280"/>
      <c r="N553" s="1399"/>
      <c r="O553" s="1280"/>
      <c r="Z553" s="1280"/>
    </row>
    <row r="554" spans="1:26" x14ac:dyDescent="0.6">
      <c r="A554" s="1280"/>
      <c r="N554" s="1399"/>
      <c r="O554" s="1280"/>
      <c r="Z554" s="1280"/>
    </row>
    <row r="555" spans="1:26" x14ac:dyDescent="0.6">
      <c r="A555" s="1280"/>
      <c r="N555" s="1399"/>
      <c r="O555" s="1280"/>
      <c r="Z555" s="1280"/>
    </row>
    <row r="556" spans="1:26" x14ac:dyDescent="0.6">
      <c r="A556" s="1280"/>
      <c r="N556" s="1399"/>
      <c r="O556" s="1280"/>
      <c r="Z556" s="1280"/>
    </row>
    <row r="557" spans="1:26" x14ac:dyDescent="0.6">
      <c r="A557" s="1280"/>
      <c r="N557" s="1399"/>
      <c r="O557" s="1280"/>
      <c r="Z557" s="1280"/>
    </row>
    <row r="558" spans="1:26" x14ac:dyDescent="0.6">
      <c r="A558" s="1280"/>
      <c r="N558" s="1399"/>
      <c r="O558" s="1280"/>
      <c r="Z558" s="1280"/>
    </row>
    <row r="559" spans="1:26" x14ac:dyDescent="0.6">
      <c r="A559" s="1280"/>
      <c r="N559" s="1399"/>
      <c r="O559" s="1280"/>
      <c r="Z559" s="1280"/>
    </row>
    <row r="560" spans="1:26" x14ac:dyDescent="0.6">
      <c r="A560" s="1280"/>
      <c r="N560" s="1399"/>
      <c r="O560" s="1280"/>
      <c r="Z560" s="1280"/>
    </row>
    <row r="561" spans="1:26" x14ac:dyDescent="0.6">
      <c r="A561" s="1280"/>
      <c r="N561" s="1399"/>
      <c r="O561" s="1280"/>
      <c r="Z561" s="1280"/>
    </row>
    <row r="562" spans="1:26" x14ac:dyDescent="0.6">
      <c r="A562" s="1280"/>
      <c r="N562" s="1399"/>
      <c r="O562" s="1280"/>
      <c r="Z562" s="1280"/>
    </row>
    <row r="563" spans="1:26" x14ac:dyDescent="0.6">
      <c r="A563" s="1280"/>
      <c r="N563" s="1399"/>
      <c r="O563" s="1280"/>
      <c r="Z563" s="1280"/>
    </row>
    <row r="564" spans="1:26" x14ac:dyDescent="0.6">
      <c r="A564" s="1280"/>
      <c r="N564" s="1399"/>
      <c r="O564" s="1280"/>
      <c r="Z564" s="1280"/>
    </row>
    <row r="565" spans="1:26" x14ac:dyDescent="0.6">
      <c r="A565" s="1280"/>
      <c r="N565" s="1399"/>
      <c r="O565" s="1280"/>
      <c r="Z565" s="1280"/>
    </row>
    <row r="566" spans="1:26" x14ac:dyDescent="0.6">
      <c r="A566" s="1280"/>
      <c r="N566" s="1399"/>
      <c r="O566" s="1280"/>
      <c r="Z566" s="1280"/>
    </row>
    <row r="567" spans="1:26" x14ac:dyDescent="0.6">
      <c r="A567" s="1280"/>
      <c r="N567" s="1399"/>
      <c r="O567" s="1280"/>
      <c r="Z567" s="1280"/>
    </row>
    <row r="568" spans="1:26" x14ac:dyDescent="0.6">
      <c r="A568" s="1280"/>
      <c r="N568" s="1399"/>
      <c r="O568" s="1280"/>
      <c r="Z568" s="1280"/>
    </row>
    <row r="569" spans="1:26" x14ac:dyDescent="0.6">
      <c r="A569" s="1280"/>
      <c r="N569" s="1399"/>
      <c r="O569" s="1280"/>
      <c r="Z569" s="1280"/>
    </row>
    <row r="570" spans="1:26" x14ac:dyDescent="0.6">
      <c r="A570" s="1280"/>
      <c r="N570" s="1399"/>
      <c r="O570" s="1280"/>
      <c r="Z570" s="1280"/>
    </row>
    <row r="571" spans="1:26" x14ac:dyDescent="0.6">
      <c r="A571" s="1280"/>
      <c r="N571" s="1399"/>
      <c r="O571" s="1280"/>
      <c r="Z571" s="1280"/>
    </row>
    <row r="572" spans="1:26" x14ac:dyDescent="0.6">
      <c r="A572" s="1280"/>
      <c r="N572" s="1399"/>
      <c r="O572" s="1280"/>
      <c r="Z572" s="1280"/>
    </row>
    <row r="573" spans="1:26" x14ac:dyDescent="0.6">
      <c r="A573" s="1280"/>
      <c r="N573" s="1399"/>
      <c r="O573" s="1280"/>
      <c r="Z573" s="1280"/>
    </row>
    <row r="574" spans="1:26" x14ac:dyDescent="0.6">
      <c r="A574" s="1280"/>
      <c r="N574" s="1399"/>
      <c r="O574" s="1280"/>
      <c r="Z574" s="1280"/>
    </row>
    <row r="575" spans="1:26" x14ac:dyDescent="0.6">
      <c r="A575" s="1280"/>
      <c r="N575" s="1399"/>
      <c r="O575" s="1280"/>
      <c r="Z575" s="1280"/>
    </row>
    <row r="576" spans="1:26" x14ac:dyDescent="0.6">
      <c r="A576" s="1280"/>
      <c r="N576" s="1399"/>
      <c r="O576" s="1280"/>
      <c r="Z576" s="1280"/>
    </row>
    <row r="577" spans="1:26" x14ac:dyDescent="0.6">
      <c r="A577" s="1280"/>
      <c r="N577" s="1399"/>
      <c r="O577" s="1280"/>
      <c r="Z577" s="1280"/>
    </row>
    <row r="578" spans="1:26" x14ac:dyDescent="0.6">
      <c r="A578" s="1280"/>
      <c r="N578" s="1399"/>
      <c r="O578" s="1280"/>
      <c r="Z578" s="1280"/>
    </row>
    <row r="579" spans="1:26" x14ac:dyDescent="0.6">
      <c r="A579" s="1280"/>
      <c r="N579" s="1399"/>
      <c r="O579" s="1280"/>
      <c r="Z579" s="1280"/>
    </row>
    <row r="580" spans="1:26" x14ac:dyDescent="0.6">
      <c r="A580" s="1280"/>
      <c r="N580" s="1399"/>
      <c r="O580" s="1280"/>
      <c r="Z580" s="1280"/>
    </row>
    <row r="581" spans="1:26" x14ac:dyDescent="0.6">
      <c r="A581" s="1280"/>
      <c r="N581" s="1399"/>
      <c r="O581" s="1280"/>
      <c r="Z581" s="1280"/>
    </row>
    <row r="582" spans="1:26" x14ac:dyDescent="0.6">
      <c r="A582" s="1280"/>
      <c r="N582" s="1399"/>
      <c r="O582" s="1280"/>
      <c r="Z582" s="1280"/>
    </row>
    <row r="583" spans="1:26" x14ac:dyDescent="0.6">
      <c r="A583" s="1280"/>
      <c r="N583" s="1399"/>
      <c r="O583" s="1280"/>
      <c r="Z583" s="1280"/>
    </row>
    <row r="584" spans="1:26" x14ac:dyDescent="0.6">
      <c r="A584" s="1280"/>
      <c r="N584" s="1399"/>
      <c r="O584" s="1280"/>
      <c r="Z584" s="1280"/>
    </row>
    <row r="585" spans="1:26" x14ac:dyDescent="0.6">
      <c r="A585" s="1280"/>
      <c r="N585" s="1399"/>
      <c r="O585" s="1280"/>
      <c r="Z585" s="1280"/>
    </row>
    <row r="586" spans="1:26" x14ac:dyDescent="0.6">
      <c r="A586" s="1280"/>
      <c r="N586" s="1399"/>
      <c r="O586" s="1280"/>
      <c r="Z586" s="1280"/>
    </row>
    <row r="587" spans="1:26" x14ac:dyDescent="0.6">
      <c r="A587" s="1280"/>
      <c r="N587" s="1399"/>
      <c r="O587" s="1280"/>
      <c r="Z587" s="1280"/>
    </row>
    <row r="588" spans="1:26" x14ac:dyDescent="0.6">
      <c r="A588" s="1280"/>
      <c r="N588" s="1399"/>
      <c r="O588" s="1280"/>
      <c r="Z588" s="1280"/>
    </row>
    <row r="589" spans="1:26" x14ac:dyDescent="0.6">
      <c r="A589" s="1280"/>
      <c r="N589" s="1399"/>
      <c r="O589" s="1280"/>
      <c r="Z589" s="1280"/>
    </row>
    <row r="590" spans="1:26" x14ac:dyDescent="0.6">
      <c r="A590" s="1280"/>
      <c r="N590" s="1399"/>
      <c r="O590" s="1280"/>
      <c r="Z590" s="1280"/>
    </row>
    <row r="591" spans="1:26" x14ac:dyDescent="0.6">
      <c r="A591" s="1280"/>
      <c r="N591" s="1399"/>
      <c r="O591" s="1280"/>
      <c r="Z591" s="1280"/>
    </row>
    <row r="592" spans="1:26" x14ac:dyDescent="0.6">
      <c r="A592" s="1280"/>
      <c r="N592" s="1399"/>
      <c r="O592" s="1280"/>
      <c r="Z592" s="1280"/>
    </row>
    <row r="593" spans="1:26" x14ac:dyDescent="0.6">
      <c r="A593" s="1280"/>
      <c r="N593" s="1399"/>
      <c r="O593" s="1280"/>
      <c r="Z593" s="1280"/>
    </row>
    <row r="594" spans="1:26" x14ac:dyDescent="0.6">
      <c r="A594" s="1280"/>
      <c r="N594" s="1399"/>
      <c r="O594" s="1280"/>
      <c r="Z594" s="1280"/>
    </row>
    <row r="595" spans="1:26" x14ac:dyDescent="0.6">
      <c r="A595" s="1280"/>
      <c r="N595" s="1399"/>
      <c r="O595" s="1280"/>
      <c r="Z595" s="1280"/>
    </row>
    <row r="596" spans="1:26" x14ac:dyDescent="0.6">
      <c r="A596" s="1280"/>
      <c r="N596" s="1399"/>
      <c r="O596" s="1280"/>
      <c r="Z596" s="1280"/>
    </row>
    <row r="597" spans="1:26" x14ac:dyDescent="0.6">
      <c r="A597" s="1280"/>
      <c r="N597" s="1399"/>
      <c r="O597" s="1280"/>
      <c r="Z597" s="1280"/>
    </row>
    <row r="598" spans="1:26" x14ac:dyDescent="0.6">
      <c r="A598" s="1280"/>
      <c r="N598" s="1399"/>
      <c r="O598" s="1280"/>
      <c r="Z598" s="1280"/>
    </row>
    <row r="599" spans="1:26" x14ac:dyDescent="0.6">
      <c r="A599" s="1280"/>
      <c r="N599" s="1399"/>
      <c r="O599" s="1280"/>
      <c r="Z599" s="1280"/>
    </row>
    <row r="600" spans="1:26" x14ac:dyDescent="0.6">
      <c r="A600" s="1280"/>
      <c r="N600" s="1399"/>
      <c r="O600" s="1280"/>
      <c r="Z600" s="1280"/>
    </row>
    <row r="601" spans="1:26" x14ac:dyDescent="0.6">
      <c r="A601" s="1280"/>
      <c r="N601" s="1399"/>
      <c r="O601" s="1280"/>
      <c r="Z601" s="1280"/>
    </row>
    <row r="602" spans="1:26" x14ac:dyDescent="0.6">
      <c r="A602" s="1280"/>
      <c r="N602" s="1399"/>
      <c r="O602" s="1280"/>
      <c r="Z602" s="1280"/>
    </row>
    <row r="603" spans="1:26" x14ac:dyDescent="0.6">
      <c r="A603" s="1280"/>
      <c r="N603" s="1399"/>
      <c r="O603" s="1280"/>
      <c r="Z603" s="1280"/>
    </row>
    <row r="604" spans="1:26" x14ac:dyDescent="0.6">
      <c r="A604" s="1280"/>
      <c r="N604" s="1399"/>
      <c r="O604" s="1280"/>
      <c r="Z604" s="1280"/>
    </row>
    <row r="605" spans="1:26" x14ac:dyDescent="0.6">
      <c r="A605" s="1280"/>
      <c r="N605" s="1399"/>
      <c r="O605" s="1280"/>
      <c r="Z605" s="1280"/>
    </row>
    <row r="606" spans="1:26" x14ac:dyDescent="0.6">
      <c r="A606" s="1280"/>
      <c r="N606" s="1399"/>
      <c r="O606" s="1280"/>
      <c r="Z606" s="1280"/>
    </row>
    <row r="607" spans="1:26" x14ac:dyDescent="0.6">
      <c r="A607" s="1280"/>
      <c r="N607" s="1399"/>
      <c r="O607" s="1280"/>
      <c r="Z607" s="1280"/>
    </row>
    <row r="608" spans="1:26" x14ac:dyDescent="0.6">
      <c r="A608" s="1280"/>
      <c r="N608" s="1399"/>
      <c r="O608" s="1280"/>
      <c r="Z608" s="1280"/>
    </row>
    <row r="609" spans="1:26" x14ac:dyDescent="0.6">
      <c r="A609" s="1280"/>
      <c r="N609" s="1399"/>
      <c r="O609" s="1280"/>
      <c r="Z609" s="1280"/>
    </row>
    <row r="610" spans="1:26" x14ac:dyDescent="0.6">
      <c r="A610" s="1280"/>
      <c r="N610" s="1399"/>
      <c r="O610" s="1280"/>
      <c r="Z610" s="1280"/>
    </row>
    <row r="611" spans="1:26" x14ac:dyDescent="0.6">
      <c r="A611" s="1280"/>
      <c r="N611" s="1399"/>
      <c r="O611" s="1280"/>
      <c r="Z611" s="1280"/>
    </row>
    <row r="612" spans="1:26" x14ac:dyDescent="0.6">
      <c r="A612" s="1280"/>
      <c r="N612" s="1399"/>
      <c r="O612" s="1280"/>
      <c r="Z612" s="1280"/>
    </row>
    <row r="613" spans="1:26" x14ac:dyDescent="0.6">
      <c r="A613" s="1280"/>
      <c r="N613" s="1399"/>
      <c r="O613" s="1280"/>
      <c r="Z613" s="1280"/>
    </row>
    <row r="614" spans="1:26" x14ac:dyDescent="0.6">
      <c r="A614" s="1280"/>
      <c r="N614" s="1399"/>
      <c r="O614" s="1280"/>
      <c r="Z614" s="1280"/>
    </row>
    <row r="615" spans="1:26" x14ac:dyDescent="0.6">
      <c r="A615" s="1280"/>
      <c r="N615" s="1399"/>
      <c r="O615" s="1280"/>
      <c r="Z615" s="1280"/>
    </row>
    <row r="616" spans="1:26" x14ac:dyDescent="0.6">
      <c r="A616" s="1280"/>
      <c r="N616" s="1399"/>
      <c r="O616" s="1280"/>
      <c r="Z616" s="1280"/>
    </row>
    <row r="617" spans="1:26" x14ac:dyDescent="0.6">
      <c r="A617" s="1280"/>
      <c r="N617" s="1399"/>
      <c r="O617" s="1280"/>
      <c r="Z617" s="1280"/>
    </row>
    <row r="618" spans="1:26" x14ac:dyDescent="0.6">
      <c r="A618" s="1280"/>
      <c r="N618" s="1399"/>
      <c r="O618" s="1280"/>
      <c r="Z618" s="1280"/>
    </row>
    <row r="619" spans="1:26" x14ac:dyDescent="0.6">
      <c r="A619" s="1280"/>
      <c r="N619" s="1399"/>
      <c r="O619" s="1280"/>
      <c r="Z619" s="1280"/>
    </row>
    <row r="620" spans="1:26" x14ac:dyDescent="0.6">
      <c r="A620" s="1280"/>
      <c r="N620" s="1399"/>
      <c r="O620" s="1280"/>
      <c r="Z620" s="1280"/>
    </row>
    <row r="621" spans="1:26" x14ac:dyDescent="0.6">
      <c r="A621" s="1280"/>
      <c r="N621" s="1399"/>
      <c r="O621" s="1280"/>
      <c r="Z621" s="1280"/>
    </row>
    <row r="622" spans="1:26" x14ac:dyDescent="0.6">
      <c r="A622" s="1280"/>
      <c r="N622" s="1399"/>
      <c r="O622" s="1280"/>
      <c r="Z622" s="1280"/>
    </row>
    <row r="623" spans="1:26" x14ac:dyDescent="0.6">
      <c r="A623" s="1280"/>
      <c r="N623" s="1399"/>
      <c r="O623" s="1280"/>
      <c r="Z623" s="1280"/>
    </row>
    <row r="624" spans="1:26" x14ac:dyDescent="0.6">
      <c r="A624" s="1280"/>
      <c r="N624" s="1399"/>
      <c r="O624" s="1280"/>
      <c r="Z624" s="1280"/>
    </row>
    <row r="625" spans="1:26" x14ac:dyDescent="0.6">
      <c r="A625" s="1280"/>
      <c r="N625" s="1399"/>
      <c r="O625" s="1280"/>
      <c r="Z625" s="1280"/>
    </row>
    <row r="626" spans="1:26" x14ac:dyDescent="0.6">
      <c r="A626" s="1280"/>
      <c r="N626" s="1399"/>
      <c r="O626" s="1280"/>
      <c r="Z626" s="1280"/>
    </row>
    <row r="627" spans="1:26" x14ac:dyDescent="0.6">
      <c r="A627" s="1280"/>
      <c r="N627" s="1399"/>
      <c r="O627" s="1280"/>
      <c r="Z627" s="1280"/>
    </row>
    <row r="628" spans="1:26" x14ac:dyDescent="0.6">
      <c r="A628" s="1280"/>
      <c r="N628" s="1399"/>
      <c r="O628" s="1280"/>
      <c r="Z628" s="1280"/>
    </row>
    <row r="629" spans="1:26" x14ac:dyDescent="0.6">
      <c r="A629" s="1280"/>
      <c r="N629" s="1399"/>
      <c r="O629" s="1280"/>
      <c r="Z629" s="1280"/>
    </row>
    <row r="630" spans="1:26" x14ac:dyDescent="0.6">
      <c r="A630" s="1280"/>
      <c r="N630" s="1399"/>
      <c r="O630" s="1280"/>
      <c r="Z630" s="1280"/>
    </row>
    <row r="631" spans="1:26" x14ac:dyDescent="0.6">
      <c r="A631" s="1280"/>
      <c r="N631" s="1399"/>
      <c r="O631" s="1280"/>
      <c r="Z631" s="1280"/>
    </row>
    <row r="632" spans="1:26" x14ac:dyDescent="0.6">
      <c r="A632" s="1280"/>
      <c r="N632" s="1399"/>
      <c r="O632" s="1280"/>
      <c r="Z632" s="1280"/>
    </row>
    <row r="633" spans="1:26" x14ac:dyDescent="0.6">
      <c r="A633" s="1280"/>
      <c r="N633" s="1399"/>
      <c r="O633" s="1280"/>
      <c r="Z633" s="1280"/>
    </row>
    <row r="634" spans="1:26" x14ac:dyDescent="0.6">
      <c r="A634" s="1280"/>
      <c r="N634" s="1399"/>
      <c r="O634" s="1280"/>
      <c r="Z634" s="1280"/>
    </row>
    <row r="635" spans="1:26" x14ac:dyDescent="0.6">
      <c r="A635" s="1280"/>
      <c r="N635" s="1399"/>
      <c r="O635" s="1280"/>
      <c r="Z635" s="1280"/>
    </row>
    <row r="636" spans="1:26" x14ac:dyDescent="0.6">
      <c r="A636" s="1280"/>
      <c r="N636" s="1399"/>
      <c r="O636" s="1280"/>
      <c r="Z636" s="1280"/>
    </row>
    <row r="637" spans="1:26" x14ac:dyDescent="0.6">
      <c r="A637" s="1280"/>
      <c r="N637" s="1399"/>
      <c r="O637" s="1280"/>
      <c r="Z637" s="1280"/>
    </row>
    <row r="638" spans="1:26" x14ac:dyDescent="0.6">
      <c r="A638" s="1280"/>
      <c r="N638" s="1399"/>
      <c r="O638" s="1280"/>
      <c r="Z638" s="1280"/>
    </row>
    <row r="639" spans="1:26" x14ac:dyDescent="0.6">
      <c r="A639" s="1280"/>
      <c r="N639" s="1399"/>
      <c r="O639" s="1280"/>
      <c r="Z639" s="1280"/>
    </row>
    <row r="640" spans="1:26" x14ac:dyDescent="0.6">
      <c r="A640" s="1280"/>
      <c r="N640" s="1399"/>
      <c r="O640" s="1280"/>
      <c r="Z640" s="1280"/>
    </row>
    <row r="641" spans="1:26" x14ac:dyDescent="0.6">
      <c r="A641" s="1280"/>
      <c r="N641" s="1399"/>
      <c r="O641" s="1280"/>
      <c r="Z641" s="1280"/>
    </row>
    <row r="642" spans="1:26" x14ac:dyDescent="0.6">
      <c r="A642" s="1280"/>
      <c r="N642" s="1399"/>
      <c r="O642" s="1280"/>
      <c r="Z642" s="1280"/>
    </row>
    <row r="643" spans="1:26" x14ac:dyDescent="0.6">
      <c r="A643" s="1280"/>
      <c r="N643" s="1399"/>
      <c r="O643" s="1280"/>
      <c r="Z643" s="1280"/>
    </row>
    <row r="644" spans="1:26" x14ac:dyDescent="0.6">
      <c r="A644" s="1280"/>
      <c r="N644" s="1399"/>
      <c r="O644" s="1280"/>
      <c r="Z644" s="1280"/>
    </row>
    <row r="645" spans="1:26" x14ac:dyDescent="0.6">
      <c r="A645" s="1280"/>
      <c r="N645" s="1399"/>
      <c r="O645" s="1280"/>
      <c r="Z645" s="1280"/>
    </row>
    <row r="646" spans="1:26" x14ac:dyDescent="0.6">
      <c r="A646" s="1280"/>
      <c r="N646" s="1399"/>
      <c r="O646" s="1280"/>
      <c r="Z646" s="1280"/>
    </row>
    <row r="647" spans="1:26" x14ac:dyDescent="0.6">
      <c r="A647" s="1280"/>
      <c r="N647" s="1399"/>
      <c r="O647" s="1280"/>
      <c r="Z647" s="1280"/>
    </row>
    <row r="648" spans="1:26" x14ac:dyDescent="0.6">
      <c r="A648" s="1280"/>
      <c r="N648" s="1399"/>
      <c r="O648" s="1280"/>
      <c r="Z648" s="1280"/>
    </row>
    <row r="649" spans="1:26" x14ac:dyDescent="0.6">
      <c r="A649" s="1280"/>
      <c r="N649" s="1399"/>
      <c r="O649" s="1280"/>
      <c r="Z649" s="1280"/>
    </row>
    <row r="650" spans="1:26" x14ac:dyDescent="0.6">
      <c r="A650" s="1280"/>
      <c r="N650" s="1399"/>
      <c r="O650" s="1280"/>
      <c r="Z650" s="1280"/>
    </row>
    <row r="651" spans="1:26" x14ac:dyDescent="0.6">
      <c r="A651" s="1280"/>
      <c r="N651" s="1399"/>
      <c r="O651" s="1280"/>
      <c r="Z651" s="1280"/>
    </row>
    <row r="652" spans="1:26" x14ac:dyDescent="0.6">
      <c r="A652" s="1280"/>
      <c r="N652" s="1399"/>
      <c r="O652" s="1280"/>
      <c r="Z652" s="1280"/>
    </row>
    <row r="653" spans="1:26" x14ac:dyDescent="0.6">
      <c r="A653" s="1280"/>
      <c r="N653" s="1399"/>
      <c r="O653" s="1280"/>
      <c r="Z653" s="1280"/>
    </row>
    <row r="654" spans="1:26" x14ac:dyDescent="0.6">
      <c r="A654" s="1280"/>
      <c r="N654" s="1399"/>
      <c r="O654" s="1280"/>
      <c r="Z654" s="1280"/>
    </row>
    <row r="655" spans="1:26" x14ac:dyDescent="0.6">
      <c r="A655" s="1280"/>
      <c r="N655" s="1399"/>
      <c r="O655" s="1280"/>
      <c r="Z655" s="1280"/>
    </row>
    <row r="656" spans="1:26" x14ac:dyDescent="0.6">
      <c r="A656" s="1280"/>
      <c r="N656" s="1399"/>
      <c r="O656" s="1280"/>
      <c r="Z656" s="1280"/>
    </row>
    <row r="657" spans="1:26" x14ac:dyDescent="0.6">
      <c r="A657" s="1280"/>
      <c r="N657" s="1399"/>
      <c r="O657" s="1280"/>
      <c r="Z657" s="1280"/>
    </row>
    <row r="658" spans="1:26" x14ac:dyDescent="0.6">
      <c r="A658" s="1280"/>
      <c r="N658" s="1399"/>
      <c r="O658" s="1280"/>
      <c r="Z658" s="1280"/>
    </row>
    <row r="659" spans="1:26" x14ac:dyDescent="0.6">
      <c r="A659" s="1280"/>
      <c r="N659" s="1399"/>
      <c r="O659" s="1280"/>
      <c r="Z659" s="1280"/>
    </row>
    <row r="660" spans="1:26" x14ac:dyDescent="0.6">
      <c r="A660" s="1280"/>
      <c r="N660" s="1399"/>
      <c r="O660" s="1280"/>
      <c r="Z660" s="1280"/>
    </row>
    <row r="661" spans="1:26" x14ac:dyDescent="0.6">
      <c r="A661" s="1280"/>
      <c r="N661" s="1399"/>
      <c r="O661" s="1280"/>
      <c r="Z661" s="1280"/>
    </row>
    <row r="662" spans="1:26" x14ac:dyDescent="0.6">
      <c r="A662" s="1280"/>
      <c r="N662" s="1399"/>
      <c r="O662" s="1280"/>
      <c r="Z662" s="1280"/>
    </row>
    <row r="663" spans="1:26" x14ac:dyDescent="0.6">
      <c r="A663" s="1280"/>
      <c r="N663" s="1399"/>
      <c r="O663" s="1280"/>
      <c r="Z663" s="1280"/>
    </row>
    <row r="664" spans="1:26" x14ac:dyDescent="0.6">
      <c r="A664" s="1280"/>
      <c r="N664" s="1399"/>
      <c r="O664" s="1280"/>
      <c r="Z664" s="1280"/>
    </row>
    <row r="665" spans="1:26" x14ac:dyDescent="0.6">
      <c r="A665" s="1280"/>
      <c r="N665" s="1399"/>
      <c r="O665" s="1280"/>
      <c r="Z665" s="1280"/>
    </row>
    <row r="666" spans="1:26" x14ac:dyDescent="0.6">
      <c r="A666" s="1280"/>
      <c r="N666" s="1399"/>
      <c r="O666" s="1280"/>
      <c r="Z666" s="1280"/>
    </row>
    <row r="667" spans="1:26" x14ac:dyDescent="0.6">
      <c r="A667" s="1280"/>
      <c r="N667" s="1399"/>
      <c r="O667" s="1280"/>
      <c r="Z667" s="1280"/>
    </row>
    <row r="668" spans="1:26" x14ac:dyDescent="0.6">
      <c r="A668" s="1280"/>
      <c r="N668" s="1399"/>
      <c r="O668" s="1280"/>
      <c r="Z668" s="1280"/>
    </row>
    <row r="669" spans="1:26" x14ac:dyDescent="0.6">
      <c r="A669" s="1280"/>
      <c r="N669" s="1399"/>
      <c r="O669" s="1280"/>
      <c r="Z669" s="1280"/>
    </row>
    <row r="670" spans="1:26" x14ac:dyDescent="0.6">
      <c r="A670" s="1280"/>
      <c r="N670" s="1399"/>
      <c r="O670" s="1280"/>
      <c r="Z670" s="1280"/>
    </row>
    <row r="671" spans="1:26" x14ac:dyDescent="0.6">
      <c r="A671" s="1280"/>
      <c r="N671" s="1399"/>
      <c r="O671" s="1280"/>
      <c r="Z671" s="1280"/>
    </row>
    <row r="672" spans="1:26" x14ac:dyDescent="0.6">
      <c r="A672" s="1280"/>
      <c r="N672" s="1399"/>
      <c r="O672" s="1280"/>
      <c r="Z672" s="1280"/>
    </row>
    <row r="673" spans="1:26" x14ac:dyDescent="0.6">
      <c r="A673" s="1280"/>
      <c r="N673" s="1399"/>
      <c r="O673" s="1280"/>
      <c r="Z673" s="1280"/>
    </row>
    <row r="674" spans="1:26" x14ac:dyDescent="0.6">
      <c r="A674" s="1280"/>
      <c r="N674" s="1399"/>
      <c r="O674" s="1280"/>
      <c r="Z674" s="1280"/>
    </row>
    <row r="675" spans="1:26" x14ac:dyDescent="0.6">
      <c r="A675" s="1280"/>
      <c r="N675" s="1399"/>
      <c r="O675" s="1280"/>
      <c r="Z675" s="1280"/>
    </row>
    <row r="676" spans="1:26" x14ac:dyDescent="0.6">
      <c r="A676" s="1280"/>
      <c r="N676" s="1399"/>
      <c r="O676" s="1280"/>
      <c r="Z676" s="1280"/>
    </row>
    <row r="677" spans="1:26" x14ac:dyDescent="0.6">
      <c r="A677" s="1280"/>
      <c r="N677" s="1399"/>
      <c r="O677" s="1280"/>
      <c r="Z677" s="1280"/>
    </row>
    <row r="678" spans="1:26" x14ac:dyDescent="0.6">
      <c r="A678" s="1280"/>
      <c r="N678" s="1399"/>
      <c r="O678" s="1280"/>
      <c r="Z678" s="1280"/>
    </row>
    <row r="679" spans="1:26" x14ac:dyDescent="0.6">
      <c r="A679" s="1280"/>
      <c r="N679" s="1399"/>
      <c r="O679" s="1280"/>
      <c r="Z679" s="1280"/>
    </row>
    <row r="680" spans="1:26" x14ac:dyDescent="0.6">
      <c r="A680" s="1280"/>
      <c r="N680" s="1399"/>
      <c r="O680" s="1280"/>
      <c r="Z680" s="1280"/>
    </row>
    <row r="681" spans="1:26" x14ac:dyDescent="0.6">
      <c r="A681" s="1280"/>
      <c r="N681" s="1399"/>
      <c r="O681" s="1280"/>
      <c r="Z681" s="1280"/>
    </row>
    <row r="682" spans="1:26" x14ac:dyDescent="0.6">
      <c r="A682" s="1280"/>
      <c r="N682" s="1399"/>
      <c r="O682" s="1280"/>
      <c r="Z682" s="1280"/>
    </row>
    <row r="683" spans="1:26" x14ac:dyDescent="0.6">
      <c r="A683" s="1280"/>
      <c r="N683" s="1399"/>
      <c r="O683" s="1280"/>
      <c r="Z683" s="1280"/>
    </row>
    <row r="684" spans="1:26" x14ac:dyDescent="0.6">
      <c r="A684" s="1280"/>
      <c r="N684" s="1399"/>
      <c r="O684" s="1280"/>
      <c r="Z684" s="1280"/>
    </row>
    <row r="685" spans="1:26" x14ac:dyDescent="0.6">
      <c r="A685" s="1280"/>
      <c r="N685" s="1399"/>
      <c r="O685" s="1280"/>
      <c r="Z685" s="1280"/>
    </row>
    <row r="686" spans="1:26" x14ac:dyDescent="0.6">
      <c r="A686" s="1280"/>
      <c r="N686" s="1399"/>
      <c r="O686" s="1280"/>
      <c r="Z686" s="1280"/>
    </row>
    <row r="687" spans="1:26" x14ac:dyDescent="0.6">
      <c r="A687" s="1280"/>
      <c r="N687" s="1399"/>
      <c r="O687" s="1280"/>
      <c r="Z687" s="1280"/>
    </row>
    <row r="688" spans="1:26" x14ac:dyDescent="0.6">
      <c r="A688" s="1280"/>
      <c r="N688" s="1399"/>
      <c r="O688" s="1280"/>
      <c r="Z688" s="1280"/>
    </row>
    <row r="689" spans="1:26" x14ac:dyDescent="0.6">
      <c r="A689" s="1280"/>
      <c r="N689" s="1399"/>
      <c r="O689" s="1280"/>
      <c r="Z689" s="1280"/>
    </row>
    <row r="690" spans="1:26" x14ac:dyDescent="0.6">
      <c r="A690" s="1280"/>
      <c r="N690" s="1399"/>
      <c r="O690" s="1280"/>
      <c r="Z690" s="1280"/>
    </row>
    <row r="691" spans="1:26" x14ac:dyDescent="0.6">
      <c r="A691" s="1280"/>
      <c r="N691" s="1399"/>
      <c r="O691" s="1280"/>
      <c r="Z691" s="1280"/>
    </row>
    <row r="692" spans="1:26" x14ac:dyDescent="0.6">
      <c r="A692" s="1280"/>
      <c r="N692" s="1399"/>
      <c r="O692" s="1280"/>
      <c r="Z692" s="1280"/>
    </row>
    <row r="693" spans="1:26" x14ac:dyDescent="0.6">
      <c r="A693" s="1280"/>
      <c r="N693" s="1399"/>
      <c r="O693" s="1280"/>
      <c r="Z693" s="1280"/>
    </row>
    <row r="694" spans="1:26" x14ac:dyDescent="0.6">
      <c r="A694" s="1280"/>
      <c r="N694" s="1399"/>
      <c r="O694" s="1280"/>
      <c r="Z694" s="1280"/>
    </row>
    <row r="695" spans="1:26" x14ac:dyDescent="0.6">
      <c r="A695" s="1280"/>
      <c r="N695" s="1399"/>
      <c r="O695" s="1280"/>
      <c r="Z695" s="1280"/>
    </row>
    <row r="696" spans="1:26" x14ac:dyDescent="0.6">
      <c r="A696" s="1280"/>
      <c r="N696" s="1399"/>
      <c r="O696" s="1280"/>
      <c r="Z696" s="1280"/>
    </row>
    <row r="697" spans="1:26" x14ac:dyDescent="0.6">
      <c r="A697" s="1280"/>
      <c r="N697" s="1399"/>
      <c r="O697" s="1280"/>
      <c r="Z697" s="1280"/>
    </row>
    <row r="698" spans="1:26" x14ac:dyDescent="0.6">
      <c r="A698" s="1280"/>
      <c r="N698" s="1399"/>
      <c r="O698" s="1280"/>
      <c r="Z698" s="1280"/>
    </row>
    <row r="699" spans="1:26" x14ac:dyDescent="0.6">
      <c r="A699" s="1280"/>
      <c r="N699" s="1399"/>
      <c r="O699" s="1280"/>
      <c r="Z699" s="1280"/>
    </row>
    <row r="700" spans="1:26" x14ac:dyDescent="0.6">
      <c r="A700" s="1280"/>
      <c r="N700" s="1399"/>
      <c r="O700" s="1280"/>
      <c r="Z700" s="1280"/>
    </row>
    <row r="701" spans="1:26" x14ac:dyDescent="0.6">
      <c r="A701" s="1280"/>
      <c r="N701" s="1399"/>
      <c r="O701" s="1280"/>
      <c r="Z701" s="1280"/>
    </row>
    <row r="702" spans="1:26" x14ac:dyDescent="0.6">
      <c r="A702" s="1280"/>
      <c r="N702" s="1399"/>
      <c r="O702" s="1280"/>
      <c r="Z702" s="1280"/>
    </row>
    <row r="703" spans="1:26" x14ac:dyDescent="0.6">
      <c r="A703" s="1280"/>
      <c r="N703" s="1399"/>
      <c r="O703" s="1280"/>
      <c r="Z703" s="1280"/>
    </row>
    <row r="704" spans="1:26" x14ac:dyDescent="0.6">
      <c r="A704" s="1280"/>
      <c r="N704" s="1399"/>
      <c r="O704" s="1280"/>
      <c r="Z704" s="1280"/>
    </row>
    <row r="705" spans="1:26" x14ac:dyDescent="0.6">
      <c r="A705" s="1280"/>
      <c r="N705" s="1399"/>
      <c r="O705" s="1280"/>
      <c r="Z705" s="1280"/>
    </row>
    <row r="706" spans="1:26" x14ac:dyDescent="0.6">
      <c r="A706" s="1280"/>
      <c r="N706" s="1399"/>
      <c r="O706" s="1280"/>
      <c r="Z706" s="1280"/>
    </row>
    <row r="707" spans="1:26" x14ac:dyDescent="0.6">
      <c r="A707" s="1280"/>
      <c r="N707" s="1399"/>
      <c r="O707" s="1280"/>
      <c r="Z707" s="1280"/>
    </row>
    <row r="708" spans="1:26" x14ac:dyDescent="0.6">
      <c r="A708" s="1280"/>
      <c r="N708" s="1399"/>
      <c r="O708" s="1280"/>
      <c r="Z708" s="1280"/>
    </row>
    <row r="709" spans="1:26" x14ac:dyDescent="0.6">
      <c r="A709" s="1280"/>
      <c r="N709" s="1399"/>
      <c r="O709" s="1280"/>
      <c r="Z709" s="1280"/>
    </row>
    <row r="710" spans="1:26" x14ac:dyDescent="0.6">
      <c r="A710" s="1280"/>
      <c r="N710" s="1399"/>
      <c r="O710" s="1280"/>
      <c r="Z710" s="1280"/>
    </row>
    <row r="711" spans="1:26" x14ac:dyDescent="0.6">
      <c r="A711" s="1280"/>
      <c r="N711" s="1399"/>
      <c r="O711" s="1280"/>
      <c r="Z711" s="1280"/>
    </row>
    <row r="712" spans="1:26" x14ac:dyDescent="0.6">
      <c r="A712" s="1280"/>
      <c r="N712" s="1399"/>
      <c r="O712" s="1280"/>
      <c r="Z712" s="1280"/>
    </row>
    <row r="713" spans="1:26" x14ac:dyDescent="0.6">
      <c r="A713" s="1280"/>
      <c r="N713" s="1399"/>
      <c r="O713" s="1280"/>
      <c r="Z713" s="1280"/>
    </row>
    <row r="714" spans="1:26" x14ac:dyDescent="0.6">
      <c r="A714" s="1280"/>
      <c r="N714" s="1399"/>
      <c r="O714" s="1280"/>
      <c r="Z714" s="1280"/>
    </row>
    <row r="715" spans="1:26" x14ac:dyDescent="0.6">
      <c r="A715" s="1280"/>
      <c r="N715" s="1399"/>
      <c r="O715" s="1280"/>
      <c r="Z715" s="1280"/>
    </row>
    <row r="716" spans="1:26" x14ac:dyDescent="0.6">
      <c r="A716" s="1280"/>
      <c r="N716" s="1399"/>
      <c r="O716" s="1280"/>
      <c r="Z716" s="1280"/>
    </row>
    <row r="717" spans="1:26" x14ac:dyDescent="0.6">
      <c r="A717" s="1280"/>
      <c r="N717" s="1399"/>
      <c r="O717" s="1280"/>
      <c r="Z717" s="1280"/>
    </row>
    <row r="718" spans="1:26" x14ac:dyDescent="0.6">
      <c r="A718" s="1280"/>
      <c r="N718" s="1399"/>
      <c r="O718" s="1280"/>
      <c r="Z718" s="1280"/>
    </row>
    <row r="719" spans="1:26" x14ac:dyDescent="0.6">
      <c r="A719" s="1280"/>
      <c r="N719" s="1399"/>
      <c r="O719" s="1280"/>
      <c r="Z719" s="1280"/>
    </row>
    <row r="720" spans="1:26" x14ac:dyDescent="0.6">
      <c r="A720" s="1280"/>
      <c r="N720" s="1399"/>
      <c r="O720" s="1280"/>
      <c r="Z720" s="1280"/>
    </row>
    <row r="721" spans="1:26" x14ac:dyDescent="0.6">
      <c r="A721" s="1280"/>
      <c r="N721" s="1399"/>
      <c r="O721" s="1280"/>
      <c r="Z721" s="1280"/>
    </row>
    <row r="722" spans="1:26" x14ac:dyDescent="0.6">
      <c r="A722" s="1280"/>
      <c r="N722" s="1399"/>
      <c r="O722" s="1280"/>
      <c r="Z722" s="1280"/>
    </row>
    <row r="723" spans="1:26" x14ac:dyDescent="0.6">
      <c r="A723" s="1280"/>
      <c r="N723" s="1399"/>
      <c r="O723" s="1280"/>
      <c r="Z723" s="1280"/>
    </row>
    <row r="724" spans="1:26" x14ac:dyDescent="0.6">
      <c r="A724" s="1280"/>
      <c r="N724" s="1399"/>
      <c r="O724" s="1280"/>
      <c r="Z724" s="1280"/>
    </row>
    <row r="725" spans="1:26" x14ac:dyDescent="0.6">
      <c r="A725" s="1280"/>
      <c r="N725" s="1399"/>
      <c r="O725" s="1280"/>
      <c r="Z725" s="1280"/>
    </row>
    <row r="726" spans="1:26" x14ac:dyDescent="0.6">
      <c r="A726" s="1280"/>
      <c r="N726" s="1399"/>
      <c r="O726" s="1280"/>
      <c r="Z726" s="1280"/>
    </row>
    <row r="727" spans="1:26" x14ac:dyDescent="0.6">
      <c r="A727" s="1280"/>
      <c r="N727" s="1399"/>
      <c r="O727" s="1280"/>
      <c r="Z727" s="1280"/>
    </row>
    <row r="728" spans="1:26" x14ac:dyDescent="0.6">
      <c r="A728" s="1280"/>
      <c r="N728" s="1399"/>
      <c r="O728" s="1280"/>
      <c r="Z728" s="1280"/>
    </row>
    <row r="729" spans="1:26" x14ac:dyDescent="0.6">
      <c r="A729" s="1280"/>
      <c r="N729" s="1399"/>
      <c r="O729" s="1280"/>
      <c r="Z729" s="1280"/>
    </row>
    <row r="730" spans="1:26" x14ac:dyDescent="0.6">
      <c r="A730" s="1280"/>
      <c r="N730" s="1399"/>
      <c r="O730" s="1280"/>
      <c r="Z730" s="1280"/>
    </row>
    <row r="731" spans="1:26" x14ac:dyDescent="0.6">
      <c r="A731" s="1280"/>
      <c r="N731" s="1399"/>
      <c r="O731" s="1280"/>
      <c r="Z731" s="1280"/>
    </row>
    <row r="732" spans="1:26" x14ac:dyDescent="0.6">
      <c r="A732" s="1280"/>
      <c r="N732" s="1399"/>
      <c r="O732" s="1280"/>
      <c r="Z732" s="1280"/>
    </row>
    <row r="733" spans="1:26" x14ac:dyDescent="0.6">
      <c r="A733" s="1280"/>
      <c r="N733" s="1399"/>
      <c r="O733" s="1280"/>
      <c r="Z733" s="1280"/>
    </row>
    <row r="734" spans="1:26" x14ac:dyDescent="0.6">
      <c r="A734" s="1280"/>
      <c r="N734" s="1399"/>
      <c r="O734" s="1280"/>
      <c r="Z734" s="1280"/>
    </row>
    <row r="735" spans="1:26" x14ac:dyDescent="0.6">
      <c r="A735" s="1280"/>
      <c r="N735" s="1399"/>
      <c r="O735" s="1280"/>
      <c r="Z735" s="1280"/>
    </row>
    <row r="736" spans="1:26" x14ac:dyDescent="0.6">
      <c r="A736" s="1280"/>
      <c r="N736" s="1399"/>
      <c r="O736" s="1280"/>
      <c r="Z736" s="1280"/>
    </row>
    <row r="737" spans="1:26" x14ac:dyDescent="0.6">
      <c r="A737" s="1280"/>
      <c r="N737" s="1399"/>
      <c r="O737" s="1280"/>
      <c r="Z737" s="1280"/>
    </row>
    <row r="738" spans="1:26" x14ac:dyDescent="0.6">
      <c r="A738" s="1280"/>
      <c r="N738" s="1399"/>
      <c r="O738" s="1280"/>
      <c r="Z738" s="1280"/>
    </row>
    <row r="739" spans="1:26" x14ac:dyDescent="0.6">
      <c r="A739" s="1280"/>
      <c r="N739" s="1399"/>
      <c r="O739" s="1280"/>
      <c r="Z739" s="1280"/>
    </row>
    <row r="740" spans="1:26" x14ac:dyDescent="0.6">
      <c r="A740" s="1280"/>
      <c r="N740" s="1399"/>
      <c r="O740" s="1280"/>
      <c r="Z740" s="1280"/>
    </row>
    <row r="741" spans="1:26" x14ac:dyDescent="0.6">
      <c r="A741" s="1280"/>
      <c r="N741" s="1399"/>
      <c r="O741" s="1280"/>
      <c r="Z741" s="1280"/>
    </row>
    <row r="742" spans="1:26" x14ac:dyDescent="0.6">
      <c r="A742" s="1280"/>
      <c r="N742" s="1399"/>
      <c r="O742" s="1280"/>
      <c r="Z742" s="1280"/>
    </row>
    <row r="743" spans="1:26" x14ac:dyDescent="0.6">
      <c r="A743" s="1280"/>
      <c r="N743" s="1399"/>
      <c r="O743" s="1280"/>
      <c r="Z743" s="1280"/>
    </row>
    <row r="744" spans="1:26" x14ac:dyDescent="0.6">
      <c r="A744" s="1280"/>
      <c r="N744" s="1399"/>
      <c r="O744" s="1280"/>
      <c r="Z744" s="1280"/>
    </row>
    <row r="745" spans="1:26" x14ac:dyDescent="0.6">
      <c r="A745" s="1280"/>
      <c r="N745" s="1399"/>
      <c r="O745" s="1280"/>
      <c r="Z745" s="1280"/>
    </row>
    <row r="746" spans="1:26" x14ac:dyDescent="0.6">
      <c r="A746" s="1280"/>
      <c r="N746" s="1399"/>
      <c r="O746" s="1280"/>
      <c r="Z746" s="1280"/>
    </row>
    <row r="747" spans="1:26" x14ac:dyDescent="0.6">
      <c r="A747" s="1280"/>
      <c r="N747" s="1399"/>
      <c r="O747" s="1280"/>
      <c r="Z747" s="1280"/>
    </row>
    <row r="748" spans="1:26" x14ac:dyDescent="0.6">
      <c r="A748" s="1280"/>
      <c r="N748" s="1399"/>
      <c r="O748" s="1280"/>
      <c r="Z748" s="1280"/>
    </row>
    <row r="749" spans="1:26" x14ac:dyDescent="0.6">
      <c r="A749" s="1280"/>
      <c r="N749" s="1399"/>
      <c r="O749" s="1280"/>
      <c r="Z749" s="1280"/>
    </row>
    <row r="750" spans="1:26" x14ac:dyDescent="0.6">
      <c r="A750" s="1280"/>
      <c r="N750" s="1399"/>
      <c r="O750" s="1280"/>
      <c r="Z750" s="1280"/>
    </row>
    <row r="751" spans="1:26" x14ac:dyDescent="0.6">
      <c r="A751" s="1280"/>
      <c r="N751" s="1399"/>
      <c r="O751" s="1280"/>
      <c r="Z751" s="1280"/>
    </row>
    <row r="752" spans="1:26" x14ac:dyDescent="0.6">
      <c r="A752" s="1280"/>
      <c r="N752" s="1399"/>
      <c r="O752" s="1280"/>
      <c r="Z752" s="1280"/>
    </row>
    <row r="753" spans="1:26" x14ac:dyDescent="0.6">
      <c r="A753" s="1280"/>
      <c r="N753" s="1399"/>
      <c r="O753" s="1280"/>
      <c r="Z753" s="1280"/>
    </row>
    <row r="754" spans="1:26" x14ac:dyDescent="0.6">
      <c r="A754" s="1280"/>
      <c r="N754" s="1399"/>
      <c r="O754" s="1280"/>
      <c r="Z754" s="1280"/>
    </row>
    <row r="755" spans="1:26" x14ac:dyDescent="0.6">
      <c r="A755" s="1280"/>
      <c r="N755" s="1399"/>
      <c r="O755" s="1280"/>
      <c r="Z755" s="1280"/>
    </row>
    <row r="756" spans="1:26" x14ac:dyDescent="0.6">
      <c r="A756" s="1280"/>
      <c r="N756" s="1399"/>
      <c r="O756" s="1280"/>
      <c r="Z756" s="1280"/>
    </row>
    <row r="757" spans="1:26" x14ac:dyDescent="0.6">
      <c r="A757" s="1280"/>
      <c r="N757" s="1399"/>
      <c r="O757" s="1280"/>
      <c r="Z757" s="1280"/>
    </row>
    <row r="758" spans="1:26" x14ac:dyDescent="0.6">
      <c r="A758" s="1280"/>
      <c r="N758" s="1399"/>
      <c r="O758" s="1280"/>
      <c r="Z758" s="1280"/>
    </row>
    <row r="759" spans="1:26" x14ac:dyDescent="0.6">
      <c r="A759" s="1280"/>
      <c r="N759" s="1399"/>
      <c r="O759" s="1280"/>
      <c r="Z759" s="1280"/>
    </row>
    <row r="760" spans="1:26" x14ac:dyDescent="0.6">
      <c r="A760" s="1280"/>
      <c r="N760" s="1399"/>
      <c r="O760" s="1280"/>
      <c r="Z760" s="1280"/>
    </row>
    <row r="761" spans="1:26" x14ac:dyDescent="0.6">
      <c r="A761" s="1280"/>
      <c r="N761" s="1399"/>
      <c r="O761" s="1280"/>
      <c r="Z761" s="1280"/>
    </row>
    <row r="762" spans="1:26" x14ac:dyDescent="0.6">
      <c r="A762" s="1280"/>
      <c r="N762" s="1399"/>
      <c r="O762" s="1280"/>
      <c r="Z762" s="1280"/>
    </row>
    <row r="763" spans="1:26" x14ac:dyDescent="0.6">
      <c r="A763" s="1280"/>
      <c r="N763" s="1399"/>
      <c r="O763" s="1280"/>
      <c r="Z763" s="1280"/>
    </row>
    <row r="764" spans="1:26" x14ac:dyDescent="0.6">
      <c r="A764" s="1280"/>
      <c r="N764" s="1399"/>
      <c r="O764" s="1280"/>
      <c r="Z764" s="1280"/>
    </row>
    <row r="765" spans="1:26" x14ac:dyDescent="0.6">
      <c r="A765" s="1280"/>
      <c r="N765" s="1399"/>
      <c r="O765" s="1280"/>
      <c r="Z765" s="1280"/>
    </row>
    <row r="766" spans="1:26" x14ac:dyDescent="0.6">
      <c r="A766" s="1280"/>
      <c r="N766" s="1399"/>
      <c r="O766" s="1280"/>
      <c r="Z766" s="1280"/>
    </row>
    <row r="767" spans="1:26" x14ac:dyDescent="0.6">
      <c r="A767" s="1280"/>
      <c r="N767" s="1399"/>
      <c r="O767" s="1280"/>
      <c r="Z767" s="1280"/>
    </row>
    <row r="768" spans="1:26" x14ac:dyDescent="0.6">
      <c r="A768" s="1280"/>
      <c r="N768" s="1399"/>
      <c r="O768" s="1280"/>
      <c r="Z768" s="1280"/>
    </row>
    <row r="769" spans="1:26" x14ac:dyDescent="0.6">
      <c r="A769" s="1280"/>
      <c r="N769" s="1399"/>
      <c r="O769" s="1280"/>
      <c r="Z769" s="1280"/>
    </row>
    <row r="770" spans="1:26" x14ac:dyDescent="0.6">
      <c r="A770" s="1280"/>
      <c r="N770" s="1399"/>
      <c r="O770" s="1280"/>
      <c r="Z770" s="1280"/>
    </row>
    <row r="771" spans="1:26" x14ac:dyDescent="0.6">
      <c r="A771" s="1280"/>
      <c r="N771" s="1399"/>
      <c r="O771" s="1280"/>
      <c r="Z771" s="1280"/>
    </row>
    <row r="772" spans="1:26" x14ac:dyDescent="0.6">
      <c r="A772" s="1280"/>
      <c r="N772" s="1399"/>
      <c r="O772" s="1280"/>
      <c r="Z772" s="1280"/>
    </row>
    <row r="773" spans="1:26" x14ac:dyDescent="0.6">
      <c r="A773" s="1280"/>
      <c r="N773" s="1399"/>
      <c r="O773" s="1280"/>
      <c r="Z773" s="1280"/>
    </row>
    <row r="774" spans="1:26" x14ac:dyDescent="0.6">
      <c r="A774" s="1280"/>
      <c r="N774" s="1399"/>
      <c r="O774" s="1280"/>
      <c r="Z774" s="1280"/>
    </row>
    <row r="775" spans="1:26" x14ac:dyDescent="0.6">
      <c r="A775" s="1280"/>
      <c r="N775" s="1399"/>
      <c r="O775" s="1280"/>
      <c r="Z775" s="1280"/>
    </row>
    <row r="776" spans="1:26" x14ac:dyDescent="0.6">
      <c r="A776" s="1280"/>
      <c r="N776" s="1399"/>
      <c r="O776" s="1280"/>
      <c r="Z776" s="1280"/>
    </row>
    <row r="777" spans="1:26" x14ac:dyDescent="0.6">
      <c r="A777" s="1280"/>
      <c r="N777" s="1399"/>
      <c r="O777" s="1280"/>
      <c r="Z777" s="1280"/>
    </row>
    <row r="778" spans="1:26" x14ac:dyDescent="0.6">
      <c r="A778" s="1280"/>
      <c r="N778" s="1399"/>
      <c r="O778" s="1280"/>
      <c r="Z778" s="1280"/>
    </row>
    <row r="779" spans="1:26" x14ac:dyDescent="0.6">
      <c r="A779" s="1280"/>
      <c r="N779" s="1399"/>
      <c r="O779" s="1280"/>
      <c r="Z779" s="1280"/>
    </row>
    <row r="780" spans="1:26" x14ac:dyDescent="0.6">
      <c r="A780" s="1280"/>
      <c r="N780" s="1399"/>
      <c r="O780" s="1280"/>
      <c r="Z780" s="1280"/>
    </row>
    <row r="781" spans="1:26" x14ac:dyDescent="0.6">
      <c r="A781" s="1280"/>
      <c r="N781" s="1399"/>
      <c r="O781" s="1280"/>
      <c r="Z781" s="1280"/>
    </row>
    <row r="782" spans="1:26" x14ac:dyDescent="0.6">
      <c r="A782" s="1280"/>
      <c r="N782" s="1399"/>
      <c r="O782" s="1280"/>
      <c r="Z782" s="1280"/>
    </row>
    <row r="783" spans="1:26" x14ac:dyDescent="0.6">
      <c r="A783" s="1280"/>
      <c r="N783" s="1399"/>
      <c r="O783" s="1280"/>
      <c r="Z783" s="1280"/>
    </row>
    <row r="784" spans="1:26" x14ac:dyDescent="0.6">
      <c r="A784" s="1280"/>
      <c r="N784" s="1399"/>
      <c r="O784" s="1280"/>
      <c r="Z784" s="1280"/>
    </row>
    <row r="785" spans="1:26" x14ac:dyDescent="0.6">
      <c r="A785" s="1280"/>
      <c r="N785" s="1399"/>
      <c r="O785" s="1280"/>
      <c r="Z785" s="1280"/>
    </row>
    <row r="786" spans="1:26" x14ac:dyDescent="0.6">
      <c r="A786" s="1280"/>
      <c r="N786" s="1399"/>
      <c r="O786" s="1280"/>
      <c r="Z786" s="1280"/>
    </row>
    <row r="787" spans="1:26" x14ac:dyDescent="0.6">
      <c r="A787" s="1280"/>
      <c r="N787" s="1399"/>
      <c r="O787" s="1280"/>
      <c r="Z787" s="1280"/>
    </row>
    <row r="788" spans="1:26" x14ac:dyDescent="0.6">
      <c r="A788" s="1280"/>
      <c r="N788" s="1399"/>
      <c r="O788" s="1280"/>
      <c r="Z788" s="1280"/>
    </row>
    <row r="789" spans="1:26" x14ac:dyDescent="0.6">
      <c r="A789" s="1280"/>
      <c r="N789" s="1399"/>
      <c r="O789" s="1280"/>
      <c r="Z789" s="1280"/>
    </row>
    <row r="790" spans="1:26" x14ac:dyDescent="0.6">
      <c r="A790" s="1280"/>
      <c r="N790" s="1399"/>
      <c r="O790" s="1280"/>
      <c r="Z790" s="1280"/>
    </row>
    <row r="791" spans="1:26" x14ac:dyDescent="0.6">
      <c r="A791" s="1280"/>
      <c r="N791" s="1399"/>
      <c r="O791" s="1280"/>
      <c r="Z791" s="1280"/>
    </row>
    <row r="792" spans="1:26" x14ac:dyDescent="0.6">
      <c r="A792" s="1280"/>
      <c r="N792" s="1399"/>
      <c r="O792" s="1280"/>
      <c r="Z792" s="1280"/>
    </row>
    <row r="793" spans="1:26" x14ac:dyDescent="0.6">
      <c r="A793" s="1280"/>
      <c r="N793" s="1399"/>
      <c r="O793" s="1280"/>
      <c r="Z793" s="1280"/>
    </row>
    <row r="794" spans="1:26" x14ac:dyDescent="0.6">
      <c r="A794" s="1280"/>
      <c r="N794" s="1399"/>
      <c r="O794" s="1280"/>
      <c r="Z794" s="1280"/>
    </row>
    <row r="795" spans="1:26" x14ac:dyDescent="0.6">
      <c r="A795" s="1280"/>
      <c r="N795" s="1399"/>
      <c r="O795" s="1280"/>
      <c r="Z795" s="1280"/>
    </row>
    <row r="796" spans="1:26" x14ac:dyDescent="0.6">
      <c r="A796" s="1280"/>
      <c r="N796" s="1399"/>
      <c r="O796" s="1280"/>
      <c r="Z796" s="1280"/>
    </row>
    <row r="797" spans="1:26" x14ac:dyDescent="0.6">
      <c r="A797" s="1280"/>
      <c r="N797" s="1399"/>
      <c r="O797" s="1280"/>
      <c r="Z797" s="1280"/>
    </row>
    <row r="798" spans="1:26" x14ac:dyDescent="0.6">
      <c r="A798" s="1280"/>
      <c r="N798" s="1399"/>
      <c r="O798" s="1280"/>
      <c r="Z798" s="1280"/>
    </row>
    <row r="799" spans="1:26" x14ac:dyDescent="0.6">
      <c r="A799" s="1280"/>
      <c r="N799" s="1399"/>
      <c r="O799" s="1280"/>
      <c r="Z799" s="1280"/>
    </row>
    <row r="800" spans="1:26" x14ac:dyDescent="0.6">
      <c r="A800" s="1280"/>
      <c r="N800" s="1399"/>
      <c r="O800" s="1280"/>
      <c r="Z800" s="1280"/>
    </row>
    <row r="801" spans="1:26" x14ac:dyDescent="0.6">
      <c r="A801" s="1280"/>
      <c r="N801" s="1399"/>
      <c r="O801" s="1280"/>
      <c r="Z801" s="1280"/>
    </row>
    <row r="802" spans="1:26" x14ac:dyDescent="0.6">
      <c r="A802" s="1280"/>
      <c r="N802" s="1399"/>
      <c r="O802" s="1280"/>
      <c r="Z802" s="1280"/>
    </row>
    <row r="803" spans="1:26" x14ac:dyDescent="0.6">
      <c r="A803" s="1280"/>
      <c r="N803" s="1399"/>
      <c r="O803" s="1280"/>
      <c r="Z803" s="1280"/>
    </row>
    <row r="804" spans="1:26" x14ac:dyDescent="0.6">
      <c r="A804" s="1280"/>
      <c r="N804" s="1399"/>
      <c r="O804" s="1280"/>
      <c r="Z804" s="1280"/>
    </row>
    <row r="805" spans="1:26" x14ac:dyDescent="0.6">
      <c r="A805" s="1280"/>
      <c r="N805" s="1399"/>
      <c r="O805" s="1280"/>
      <c r="Z805" s="1280"/>
    </row>
    <row r="806" spans="1:26" x14ac:dyDescent="0.6">
      <c r="A806" s="1280"/>
      <c r="N806" s="1399"/>
      <c r="O806" s="1280"/>
      <c r="Z806" s="1280"/>
    </row>
    <row r="807" spans="1:26" x14ac:dyDescent="0.6">
      <c r="A807" s="1280"/>
      <c r="N807" s="1399"/>
      <c r="O807" s="1280"/>
      <c r="Z807" s="1280"/>
    </row>
    <row r="808" spans="1:26" x14ac:dyDescent="0.6">
      <c r="A808" s="1280"/>
      <c r="N808" s="1399"/>
      <c r="O808" s="1280"/>
      <c r="Z808" s="1280"/>
    </row>
    <row r="809" spans="1:26" x14ac:dyDescent="0.6">
      <c r="A809" s="1280"/>
      <c r="N809" s="1399"/>
      <c r="O809" s="1280"/>
      <c r="Z809" s="1280"/>
    </row>
    <row r="810" spans="1:26" x14ac:dyDescent="0.6">
      <c r="A810" s="1280"/>
      <c r="N810" s="1399"/>
      <c r="O810" s="1280"/>
      <c r="Z810" s="1280"/>
    </row>
    <row r="811" spans="1:26" x14ac:dyDescent="0.6">
      <c r="A811" s="1280"/>
      <c r="N811" s="1399"/>
      <c r="O811" s="1280"/>
      <c r="Z811" s="1280"/>
    </row>
    <row r="812" spans="1:26" x14ac:dyDescent="0.6">
      <c r="A812" s="1280"/>
      <c r="N812" s="1399"/>
      <c r="O812" s="1280"/>
      <c r="Z812" s="1280"/>
    </row>
    <row r="813" spans="1:26" x14ac:dyDescent="0.6">
      <c r="A813" s="1280"/>
      <c r="N813" s="1399"/>
      <c r="O813" s="1280"/>
      <c r="Z813" s="1280"/>
    </row>
    <row r="814" spans="1:26" x14ac:dyDescent="0.6">
      <c r="A814" s="1280"/>
      <c r="N814" s="1399"/>
      <c r="O814" s="1280"/>
      <c r="Z814" s="1280"/>
    </row>
    <row r="815" spans="1:26" x14ac:dyDescent="0.6">
      <c r="A815" s="1280"/>
      <c r="N815" s="1399"/>
      <c r="O815" s="1280"/>
      <c r="Z815" s="1280"/>
    </row>
    <row r="816" spans="1:26" x14ac:dyDescent="0.6">
      <c r="A816" s="1280"/>
      <c r="N816" s="1399"/>
      <c r="O816" s="1280"/>
      <c r="Z816" s="1280"/>
    </row>
    <row r="817" spans="1:26" x14ac:dyDescent="0.6">
      <c r="A817" s="1280"/>
      <c r="N817" s="1399"/>
      <c r="O817" s="1280"/>
      <c r="Z817" s="1280"/>
    </row>
    <row r="818" spans="1:26" x14ac:dyDescent="0.6">
      <c r="A818" s="1280"/>
      <c r="N818" s="1399"/>
      <c r="O818" s="1280"/>
      <c r="Z818" s="1280"/>
    </row>
    <row r="819" spans="1:26" x14ac:dyDescent="0.6">
      <c r="A819" s="1280"/>
      <c r="N819" s="1399"/>
      <c r="O819" s="1280"/>
      <c r="Z819" s="1280"/>
    </row>
    <row r="820" spans="1:26" x14ac:dyDescent="0.6">
      <c r="A820" s="1280"/>
      <c r="N820" s="1399"/>
      <c r="O820" s="1280"/>
      <c r="Z820" s="1280"/>
    </row>
    <row r="821" spans="1:26" x14ac:dyDescent="0.6">
      <c r="A821" s="1280"/>
      <c r="N821" s="1399"/>
      <c r="O821" s="1280"/>
      <c r="Z821" s="1280"/>
    </row>
    <row r="822" spans="1:26" x14ac:dyDescent="0.6">
      <c r="A822" s="1280"/>
      <c r="N822" s="1399"/>
      <c r="O822" s="1280"/>
      <c r="Z822" s="1280"/>
    </row>
    <row r="823" spans="1:26" x14ac:dyDescent="0.6">
      <c r="A823" s="1280"/>
      <c r="N823" s="1399"/>
      <c r="O823" s="1280"/>
      <c r="Z823" s="1280"/>
    </row>
    <row r="824" spans="1:26" x14ac:dyDescent="0.6">
      <c r="A824" s="1280"/>
      <c r="N824" s="1399"/>
      <c r="O824" s="1280"/>
      <c r="Z824" s="1280"/>
    </row>
    <row r="825" spans="1:26" x14ac:dyDescent="0.6">
      <c r="A825" s="1280"/>
      <c r="N825" s="1399"/>
      <c r="O825" s="1280"/>
      <c r="Z825" s="1280"/>
    </row>
    <row r="826" spans="1:26" x14ac:dyDescent="0.6">
      <c r="A826" s="1280"/>
      <c r="N826" s="1399"/>
      <c r="O826" s="1280"/>
      <c r="Z826" s="1280"/>
    </row>
    <row r="827" spans="1:26" x14ac:dyDescent="0.6">
      <c r="A827" s="1280"/>
      <c r="N827" s="1399"/>
      <c r="O827" s="1280"/>
      <c r="Z827" s="1280"/>
    </row>
    <row r="828" spans="1:26" x14ac:dyDescent="0.6">
      <c r="A828" s="1280"/>
      <c r="N828" s="1399"/>
      <c r="O828" s="1280"/>
      <c r="Z828" s="1280"/>
    </row>
    <row r="829" spans="1:26" x14ac:dyDescent="0.6">
      <c r="A829" s="1280"/>
      <c r="N829" s="1399"/>
      <c r="O829" s="1280"/>
      <c r="Z829" s="1280"/>
    </row>
    <row r="830" spans="1:26" x14ac:dyDescent="0.6">
      <c r="A830" s="1280"/>
      <c r="N830" s="1399"/>
      <c r="O830" s="1280"/>
      <c r="Z830" s="1280"/>
    </row>
    <row r="831" spans="1:26" x14ac:dyDescent="0.6">
      <c r="A831" s="1280"/>
      <c r="N831" s="1399"/>
      <c r="O831" s="1280"/>
      <c r="Z831" s="1280"/>
    </row>
    <row r="832" spans="1:26" x14ac:dyDescent="0.6">
      <c r="A832" s="1280"/>
      <c r="N832" s="1399"/>
      <c r="O832" s="1280"/>
      <c r="Z832" s="1280"/>
    </row>
    <row r="833" spans="1:26" x14ac:dyDescent="0.6">
      <c r="A833" s="1280"/>
      <c r="N833" s="1399"/>
      <c r="O833" s="1280"/>
      <c r="Z833" s="1280"/>
    </row>
    <row r="834" spans="1:26" x14ac:dyDescent="0.6">
      <c r="A834" s="1280"/>
      <c r="N834" s="1399"/>
      <c r="O834" s="1280"/>
      <c r="Z834" s="1280"/>
    </row>
    <row r="835" spans="1:26" x14ac:dyDescent="0.6">
      <c r="A835" s="1280"/>
      <c r="N835" s="1399"/>
      <c r="O835" s="1280"/>
      <c r="Z835" s="1280"/>
    </row>
    <row r="836" spans="1:26" x14ac:dyDescent="0.6">
      <c r="A836" s="1280"/>
      <c r="N836" s="1399"/>
      <c r="O836" s="1280"/>
      <c r="Z836" s="1280"/>
    </row>
    <row r="837" spans="1:26" x14ac:dyDescent="0.6">
      <c r="A837" s="1280"/>
      <c r="N837" s="1399"/>
      <c r="O837" s="1280"/>
      <c r="Z837" s="1280"/>
    </row>
    <row r="838" spans="1:26" x14ac:dyDescent="0.6">
      <c r="A838" s="1280"/>
      <c r="N838" s="1399"/>
      <c r="O838" s="1280"/>
      <c r="Z838" s="1280"/>
    </row>
    <row r="839" spans="1:26" x14ac:dyDescent="0.6">
      <c r="A839" s="1280"/>
      <c r="N839" s="1399"/>
      <c r="O839" s="1280"/>
      <c r="Z839" s="1280"/>
    </row>
    <row r="840" spans="1:26" x14ac:dyDescent="0.6">
      <c r="A840" s="1280"/>
      <c r="N840" s="1399"/>
      <c r="O840" s="1280"/>
      <c r="Z840" s="1280"/>
    </row>
    <row r="841" spans="1:26" x14ac:dyDescent="0.6">
      <c r="A841" s="1280"/>
      <c r="N841" s="1399"/>
      <c r="O841" s="1280"/>
      <c r="Z841" s="1280"/>
    </row>
    <row r="842" spans="1:26" x14ac:dyDescent="0.6">
      <c r="A842" s="1280"/>
      <c r="N842" s="1399"/>
      <c r="O842" s="1280"/>
      <c r="Z842" s="1280"/>
    </row>
    <row r="843" spans="1:26" x14ac:dyDescent="0.6">
      <c r="A843" s="1280"/>
      <c r="N843" s="1399"/>
      <c r="O843" s="1280"/>
      <c r="Z843" s="1280"/>
    </row>
    <row r="844" spans="1:26" x14ac:dyDescent="0.6">
      <c r="A844" s="1280"/>
      <c r="N844" s="1399"/>
      <c r="O844" s="1280"/>
      <c r="Z844" s="1280"/>
    </row>
    <row r="845" spans="1:26" x14ac:dyDescent="0.6">
      <c r="A845" s="1280"/>
      <c r="N845" s="1399"/>
      <c r="O845" s="1280"/>
      <c r="Z845" s="1280"/>
    </row>
    <row r="846" spans="1:26" x14ac:dyDescent="0.6">
      <c r="A846" s="1280"/>
      <c r="N846" s="1399"/>
      <c r="O846" s="1280"/>
      <c r="Z846" s="1280"/>
    </row>
    <row r="847" spans="1:26" x14ac:dyDescent="0.6">
      <c r="A847" s="1280"/>
      <c r="N847" s="1399"/>
      <c r="O847" s="1280"/>
      <c r="Z847" s="1280"/>
    </row>
    <row r="848" spans="1:26" x14ac:dyDescent="0.6">
      <c r="A848" s="1280"/>
      <c r="N848" s="1399"/>
      <c r="O848" s="1280"/>
      <c r="Z848" s="1280"/>
    </row>
    <row r="849" spans="1:26" x14ac:dyDescent="0.6">
      <c r="A849" s="1280"/>
      <c r="N849" s="1399"/>
      <c r="O849" s="1280"/>
      <c r="Z849" s="1280"/>
    </row>
    <row r="850" spans="1:26" x14ac:dyDescent="0.6">
      <c r="A850" s="1280"/>
      <c r="N850" s="1399"/>
      <c r="O850" s="1280"/>
      <c r="Z850" s="1280"/>
    </row>
    <row r="851" spans="1:26" x14ac:dyDescent="0.6">
      <c r="A851" s="1280"/>
      <c r="N851" s="1399"/>
      <c r="O851" s="1280"/>
      <c r="Z851" s="1280"/>
    </row>
    <row r="852" spans="1:26" x14ac:dyDescent="0.6">
      <c r="A852" s="1280"/>
      <c r="N852" s="1399"/>
      <c r="O852" s="1280"/>
      <c r="Z852" s="1280"/>
    </row>
    <row r="853" spans="1:26" x14ac:dyDescent="0.6">
      <c r="A853" s="1280"/>
      <c r="N853" s="1399"/>
      <c r="O853" s="1280"/>
      <c r="Z853" s="1280"/>
    </row>
    <row r="854" spans="1:26" x14ac:dyDescent="0.6">
      <c r="A854" s="1280"/>
      <c r="N854" s="1399"/>
      <c r="O854" s="1280"/>
      <c r="Z854" s="1280"/>
    </row>
    <row r="855" spans="1:26" x14ac:dyDescent="0.6">
      <c r="A855" s="1280"/>
      <c r="N855" s="1399"/>
      <c r="O855" s="1280"/>
      <c r="Z855" s="1280"/>
    </row>
    <row r="856" spans="1:26" x14ac:dyDescent="0.6">
      <c r="A856" s="1280"/>
      <c r="N856" s="1399"/>
      <c r="O856" s="1280"/>
      <c r="Z856" s="1280"/>
    </row>
    <row r="857" spans="1:26" x14ac:dyDescent="0.6">
      <c r="A857" s="1280"/>
      <c r="N857" s="1399"/>
      <c r="O857" s="1280"/>
      <c r="Z857" s="1280"/>
    </row>
    <row r="858" spans="1:26" x14ac:dyDescent="0.6">
      <c r="A858" s="1280"/>
      <c r="N858" s="1399"/>
      <c r="O858" s="1280"/>
      <c r="Z858" s="1280"/>
    </row>
    <row r="859" spans="1:26" x14ac:dyDescent="0.6">
      <c r="A859" s="1280"/>
      <c r="N859" s="1399"/>
      <c r="O859" s="1280"/>
      <c r="Z859" s="1280"/>
    </row>
    <row r="860" spans="1:26" x14ac:dyDescent="0.6">
      <c r="A860" s="1280"/>
      <c r="N860" s="1399"/>
      <c r="O860" s="1280"/>
      <c r="Z860" s="1280"/>
    </row>
    <row r="861" spans="1:26" x14ac:dyDescent="0.6">
      <c r="A861" s="1280"/>
      <c r="N861" s="1399"/>
      <c r="O861" s="1280"/>
      <c r="Z861" s="1280"/>
    </row>
    <row r="862" spans="1:26" x14ac:dyDescent="0.6">
      <c r="A862" s="1280"/>
      <c r="N862" s="1399"/>
      <c r="O862" s="1280"/>
      <c r="Z862" s="1280"/>
    </row>
    <row r="863" spans="1:26" x14ac:dyDescent="0.6">
      <c r="A863" s="1280"/>
      <c r="N863" s="1399"/>
      <c r="O863" s="1280"/>
      <c r="Z863" s="1280"/>
    </row>
    <row r="864" spans="1:26" x14ac:dyDescent="0.6">
      <c r="A864" s="1280"/>
      <c r="N864" s="1399"/>
      <c r="O864" s="1280"/>
      <c r="Z864" s="1280"/>
    </row>
    <row r="865" spans="1:26" x14ac:dyDescent="0.6">
      <c r="A865" s="1280"/>
      <c r="N865" s="1399"/>
      <c r="O865" s="1280"/>
      <c r="Z865" s="1280"/>
    </row>
    <row r="866" spans="1:26" x14ac:dyDescent="0.6">
      <c r="A866" s="1280"/>
      <c r="N866" s="1399"/>
      <c r="O866" s="1280"/>
      <c r="Z866" s="1280"/>
    </row>
    <row r="867" spans="1:26" x14ac:dyDescent="0.6">
      <c r="A867" s="1280"/>
      <c r="N867" s="1399"/>
      <c r="O867" s="1280"/>
      <c r="Z867" s="1280"/>
    </row>
    <row r="868" spans="1:26" x14ac:dyDescent="0.6">
      <c r="A868" s="1280"/>
      <c r="N868" s="1399"/>
      <c r="O868" s="1280"/>
      <c r="Z868" s="1280"/>
    </row>
    <row r="869" spans="1:26" x14ac:dyDescent="0.6">
      <c r="A869" s="1280"/>
      <c r="N869" s="1399"/>
      <c r="O869" s="1280"/>
      <c r="Z869" s="1280"/>
    </row>
    <row r="870" spans="1:26" x14ac:dyDescent="0.6">
      <c r="A870" s="1280"/>
      <c r="N870" s="1399"/>
      <c r="O870" s="1280"/>
      <c r="Z870" s="1280"/>
    </row>
    <row r="871" spans="1:26" x14ac:dyDescent="0.6">
      <c r="A871" s="1280"/>
      <c r="N871" s="1399"/>
      <c r="O871" s="1280"/>
      <c r="Z871" s="1280"/>
    </row>
    <row r="872" spans="1:26" x14ac:dyDescent="0.6">
      <c r="A872" s="1280"/>
      <c r="N872" s="1399"/>
      <c r="O872" s="1280"/>
      <c r="Z872" s="1280"/>
    </row>
    <row r="873" spans="1:26" x14ac:dyDescent="0.6">
      <c r="A873" s="1280"/>
      <c r="N873" s="1399"/>
      <c r="O873" s="1280"/>
      <c r="Z873" s="1280"/>
    </row>
    <row r="874" spans="1:26" x14ac:dyDescent="0.6">
      <c r="A874" s="1280"/>
      <c r="N874" s="1399"/>
      <c r="O874" s="1280"/>
      <c r="Z874" s="1280"/>
    </row>
    <row r="875" spans="1:26" x14ac:dyDescent="0.6">
      <c r="A875" s="1280"/>
      <c r="N875" s="1399"/>
      <c r="O875" s="1280"/>
      <c r="Z875" s="1280"/>
    </row>
    <row r="876" spans="1:26" x14ac:dyDescent="0.6">
      <c r="A876" s="1280"/>
      <c r="N876" s="1399"/>
      <c r="O876" s="1280"/>
      <c r="Z876" s="1280"/>
    </row>
    <row r="877" spans="1:26" x14ac:dyDescent="0.6">
      <c r="A877" s="1280"/>
      <c r="N877" s="1399"/>
      <c r="O877" s="1280"/>
      <c r="Z877" s="1280"/>
    </row>
    <row r="878" spans="1:26" x14ac:dyDescent="0.6">
      <c r="A878" s="1280"/>
      <c r="N878" s="1399"/>
      <c r="O878" s="1280"/>
      <c r="Z878" s="1280"/>
    </row>
    <row r="879" spans="1:26" x14ac:dyDescent="0.6">
      <c r="A879" s="1280"/>
      <c r="N879" s="1399"/>
      <c r="O879" s="1280"/>
      <c r="Z879" s="1280"/>
    </row>
    <row r="880" spans="1:26" x14ac:dyDescent="0.6">
      <c r="A880" s="1280"/>
      <c r="N880" s="1399"/>
      <c r="O880" s="1280"/>
      <c r="Z880" s="1280"/>
    </row>
    <row r="881" spans="1:26" x14ac:dyDescent="0.6">
      <c r="A881" s="1280"/>
      <c r="N881" s="1399"/>
      <c r="O881" s="1280"/>
      <c r="Z881" s="1280"/>
    </row>
    <row r="882" spans="1:26" x14ac:dyDescent="0.6">
      <c r="A882" s="1280"/>
      <c r="N882" s="1399"/>
      <c r="O882" s="1280"/>
      <c r="Z882" s="1280"/>
    </row>
    <row r="883" spans="1:26" x14ac:dyDescent="0.6">
      <c r="A883" s="1280"/>
      <c r="N883" s="1399"/>
      <c r="O883" s="1280"/>
      <c r="Z883" s="1280"/>
    </row>
    <row r="884" spans="1:26" x14ac:dyDescent="0.6">
      <c r="A884" s="1280"/>
      <c r="N884" s="1399"/>
      <c r="O884" s="1280"/>
      <c r="Z884" s="1280"/>
    </row>
    <row r="885" spans="1:26" x14ac:dyDescent="0.6">
      <c r="A885" s="1280"/>
      <c r="N885" s="1399"/>
      <c r="O885" s="1280"/>
      <c r="Z885" s="1280"/>
    </row>
    <row r="886" spans="1:26" x14ac:dyDescent="0.6">
      <c r="A886" s="1280"/>
      <c r="N886" s="1399"/>
      <c r="O886" s="1280"/>
      <c r="Z886" s="1280"/>
    </row>
    <row r="887" spans="1:26" x14ac:dyDescent="0.6">
      <c r="A887" s="1280"/>
      <c r="N887" s="1399"/>
      <c r="O887" s="1280"/>
      <c r="Z887" s="1280"/>
    </row>
    <row r="888" spans="1:26" x14ac:dyDescent="0.6">
      <c r="A888" s="1280"/>
      <c r="N888" s="1399"/>
      <c r="O888" s="1280"/>
      <c r="Z888" s="1280"/>
    </row>
    <row r="889" spans="1:26" x14ac:dyDescent="0.6">
      <c r="A889" s="1280"/>
      <c r="N889" s="1399"/>
      <c r="O889" s="1280"/>
      <c r="Z889" s="1280"/>
    </row>
    <row r="890" spans="1:26" x14ac:dyDescent="0.6">
      <c r="A890" s="1280"/>
      <c r="N890" s="1399"/>
      <c r="O890" s="1280"/>
      <c r="Z890" s="1280"/>
    </row>
    <row r="891" spans="1:26" x14ac:dyDescent="0.6">
      <c r="A891" s="1280"/>
      <c r="N891" s="1399"/>
      <c r="O891" s="1280"/>
      <c r="Z891" s="1280"/>
    </row>
    <row r="892" spans="1:26" x14ac:dyDescent="0.6">
      <c r="A892" s="1280"/>
      <c r="N892" s="1399"/>
      <c r="O892" s="1280"/>
      <c r="Z892" s="1280"/>
    </row>
    <row r="893" spans="1:26" x14ac:dyDescent="0.6">
      <c r="A893" s="1280"/>
      <c r="N893" s="1399"/>
      <c r="O893" s="1280"/>
      <c r="Z893" s="1280"/>
    </row>
    <row r="894" spans="1:26" x14ac:dyDescent="0.6">
      <c r="A894" s="1280"/>
      <c r="N894" s="1399"/>
      <c r="O894" s="1280"/>
      <c r="Z894" s="1280"/>
    </row>
    <row r="895" spans="1:26" x14ac:dyDescent="0.6">
      <c r="A895" s="1280"/>
      <c r="N895" s="1399"/>
      <c r="O895" s="1280"/>
      <c r="Z895" s="1280"/>
    </row>
    <row r="896" spans="1:26" x14ac:dyDescent="0.6">
      <c r="A896" s="1280"/>
      <c r="N896" s="1399"/>
      <c r="O896" s="1280"/>
      <c r="Z896" s="1280"/>
    </row>
    <row r="897" spans="1:26" x14ac:dyDescent="0.6">
      <c r="A897" s="1280"/>
      <c r="N897" s="1399"/>
      <c r="O897" s="1280"/>
      <c r="Z897" s="1280"/>
    </row>
    <row r="898" spans="1:26" x14ac:dyDescent="0.6">
      <c r="A898" s="1280"/>
      <c r="N898" s="1399"/>
      <c r="O898" s="1280"/>
      <c r="Z898" s="1280"/>
    </row>
    <row r="899" spans="1:26" x14ac:dyDescent="0.6">
      <c r="A899" s="1280"/>
      <c r="N899" s="1399"/>
      <c r="O899" s="1280"/>
      <c r="Z899" s="1280"/>
    </row>
    <row r="900" spans="1:26" x14ac:dyDescent="0.6">
      <c r="A900" s="1280"/>
      <c r="N900" s="1399"/>
      <c r="O900" s="1280"/>
      <c r="Z900" s="1280"/>
    </row>
    <row r="901" spans="1:26" x14ac:dyDescent="0.6">
      <c r="A901" s="1280"/>
      <c r="N901" s="1399"/>
      <c r="O901" s="1280"/>
      <c r="Z901" s="1280"/>
    </row>
    <row r="902" spans="1:26" x14ac:dyDescent="0.6">
      <c r="A902" s="1280"/>
      <c r="N902" s="1399"/>
      <c r="O902" s="1280"/>
      <c r="Z902" s="1280"/>
    </row>
    <row r="903" spans="1:26" x14ac:dyDescent="0.6">
      <c r="A903" s="1280"/>
      <c r="N903" s="1399"/>
      <c r="O903" s="1280"/>
      <c r="Z903" s="1280"/>
    </row>
    <row r="904" spans="1:26" x14ac:dyDescent="0.6">
      <c r="A904" s="1280"/>
      <c r="N904" s="1399"/>
      <c r="O904" s="1280"/>
      <c r="Z904" s="1280"/>
    </row>
    <row r="905" spans="1:26" x14ac:dyDescent="0.6">
      <c r="A905" s="1280"/>
      <c r="N905" s="1399"/>
      <c r="O905" s="1280"/>
      <c r="Z905" s="1280"/>
    </row>
    <row r="906" spans="1:26" x14ac:dyDescent="0.6">
      <c r="A906" s="1280"/>
      <c r="N906" s="1399"/>
      <c r="O906" s="1280"/>
      <c r="Z906" s="1280"/>
    </row>
    <row r="907" spans="1:26" x14ac:dyDescent="0.6">
      <c r="A907" s="1280"/>
      <c r="N907" s="1399"/>
      <c r="O907" s="1280"/>
      <c r="Z907" s="1280"/>
    </row>
    <row r="908" spans="1:26" x14ac:dyDescent="0.6">
      <c r="A908" s="1280"/>
      <c r="N908" s="1399"/>
      <c r="O908" s="1280"/>
      <c r="Z908" s="1280"/>
    </row>
    <row r="909" spans="1:26" x14ac:dyDescent="0.6">
      <c r="A909" s="1280"/>
      <c r="N909" s="1399"/>
      <c r="O909" s="1280"/>
      <c r="Z909" s="1280"/>
    </row>
    <row r="910" spans="1:26" x14ac:dyDescent="0.6">
      <c r="A910" s="1280"/>
      <c r="N910" s="1399"/>
      <c r="O910" s="1280"/>
      <c r="Z910" s="1280"/>
    </row>
    <row r="911" spans="1:26" x14ac:dyDescent="0.6">
      <c r="A911" s="1280"/>
      <c r="N911" s="1399"/>
      <c r="O911" s="1280"/>
      <c r="Z911" s="1280"/>
    </row>
    <row r="912" spans="1:26" x14ac:dyDescent="0.6">
      <c r="A912" s="1280"/>
      <c r="N912" s="1399"/>
      <c r="O912" s="1280"/>
      <c r="Z912" s="1280"/>
    </row>
    <row r="913" spans="1:26" x14ac:dyDescent="0.6">
      <c r="A913" s="1280"/>
      <c r="N913" s="1399"/>
      <c r="O913" s="1280"/>
      <c r="Z913" s="1280"/>
    </row>
    <row r="914" spans="1:26" x14ac:dyDescent="0.6">
      <c r="A914" s="1280"/>
      <c r="N914" s="1399"/>
      <c r="O914" s="1280"/>
      <c r="Z914" s="1280"/>
    </row>
    <row r="915" spans="1:26" x14ac:dyDescent="0.6">
      <c r="A915" s="1280"/>
      <c r="N915" s="1399"/>
      <c r="O915" s="1280"/>
      <c r="Z915" s="1280"/>
    </row>
    <row r="916" spans="1:26" x14ac:dyDescent="0.6">
      <c r="A916" s="1280"/>
      <c r="N916" s="1399"/>
      <c r="O916" s="1280"/>
      <c r="Z916" s="1280"/>
    </row>
    <row r="917" spans="1:26" x14ac:dyDescent="0.6">
      <c r="A917" s="1280"/>
      <c r="N917" s="1399"/>
      <c r="O917" s="1280"/>
      <c r="Z917" s="1280"/>
    </row>
    <row r="918" spans="1:26" x14ac:dyDescent="0.6">
      <c r="A918" s="1280"/>
      <c r="N918" s="1399"/>
      <c r="O918" s="1280"/>
      <c r="Z918" s="1280"/>
    </row>
    <row r="919" spans="1:26" x14ac:dyDescent="0.6">
      <c r="A919" s="1280"/>
      <c r="N919" s="1399"/>
      <c r="O919" s="1280"/>
      <c r="Z919" s="1280"/>
    </row>
    <row r="920" spans="1:26" x14ac:dyDescent="0.6">
      <c r="A920" s="1280"/>
      <c r="N920" s="1399"/>
      <c r="O920" s="1280"/>
      <c r="Z920" s="1280"/>
    </row>
    <row r="921" spans="1:26" x14ac:dyDescent="0.6">
      <c r="A921" s="1280"/>
      <c r="N921" s="1399"/>
      <c r="O921" s="1280"/>
      <c r="Z921" s="1280"/>
    </row>
    <row r="922" spans="1:26" x14ac:dyDescent="0.6">
      <c r="A922" s="1280"/>
      <c r="N922" s="1399"/>
      <c r="O922" s="1280"/>
      <c r="Z922" s="1280"/>
    </row>
    <row r="923" spans="1:26" x14ac:dyDescent="0.6">
      <c r="A923" s="1280"/>
      <c r="N923" s="1399"/>
      <c r="O923" s="1280"/>
      <c r="Z923" s="1280"/>
    </row>
    <row r="924" spans="1:26" x14ac:dyDescent="0.6">
      <c r="A924" s="1280"/>
      <c r="N924" s="1399"/>
      <c r="O924" s="1280"/>
      <c r="Z924" s="1280"/>
    </row>
    <row r="925" spans="1:26" x14ac:dyDescent="0.6">
      <c r="A925" s="1280"/>
      <c r="N925" s="1399"/>
      <c r="O925" s="1280"/>
      <c r="Z925" s="1280"/>
    </row>
    <row r="926" spans="1:26" x14ac:dyDescent="0.6">
      <c r="A926" s="1280"/>
      <c r="N926" s="1399"/>
      <c r="O926" s="1280"/>
      <c r="Z926" s="1280"/>
    </row>
    <row r="927" spans="1:26" x14ac:dyDescent="0.6">
      <c r="A927" s="1280"/>
      <c r="N927" s="1399"/>
      <c r="O927" s="1280"/>
      <c r="Z927" s="1280"/>
    </row>
    <row r="928" spans="1:26" x14ac:dyDescent="0.6">
      <c r="A928" s="1280"/>
      <c r="N928" s="1399"/>
      <c r="O928" s="1280"/>
      <c r="Z928" s="1280"/>
    </row>
    <row r="929" spans="1:26" x14ac:dyDescent="0.6">
      <c r="A929" s="1280"/>
      <c r="N929" s="1399"/>
      <c r="O929" s="1280"/>
      <c r="Z929" s="1280"/>
    </row>
    <row r="930" spans="1:26" x14ac:dyDescent="0.6">
      <c r="A930" s="1280"/>
      <c r="N930" s="1399"/>
      <c r="O930" s="1280"/>
      <c r="Z930" s="1280"/>
    </row>
    <row r="931" spans="1:26" x14ac:dyDescent="0.6">
      <c r="A931" s="1280"/>
      <c r="N931" s="1399"/>
      <c r="O931" s="1280"/>
      <c r="Z931" s="1280"/>
    </row>
    <row r="932" spans="1:26" x14ac:dyDescent="0.6">
      <c r="A932" s="1280"/>
      <c r="N932" s="1399"/>
      <c r="O932" s="1280"/>
      <c r="Z932" s="1280"/>
    </row>
    <row r="933" spans="1:26" x14ac:dyDescent="0.6">
      <c r="A933" s="1280"/>
      <c r="N933" s="1399"/>
      <c r="O933" s="1280"/>
      <c r="Z933" s="1280"/>
    </row>
    <row r="934" spans="1:26" x14ac:dyDescent="0.6">
      <c r="A934" s="1280"/>
      <c r="N934" s="1399"/>
      <c r="O934" s="1280"/>
      <c r="Z934" s="1280"/>
    </row>
    <row r="935" spans="1:26" x14ac:dyDescent="0.6">
      <c r="A935" s="1280"/>
      <c r="N935" s="1399"/>
      <c r="O935" s="1280"/>
      <c r="Z935" s="1280"/>
    </row>
    <row r="936" spans="1:26" x14ac:dyDescent="0.6">
      <c r="A936" s="1280"/>
      <c r="N936" s="1399"/>
      <c r="O936" s="1280"/>
      <c r="Z936" s="1280"/>
    </row>
    <row r="937" spans="1:26" x14ac:dyDescent="0.6">
      <c r="A937" s="1280"/>
      <c r="N937" s="1399"/>
      <c r="O937" s="1280"/>
      <c r="Z937" s="1280"/>
    </row>
    <row r="938" spans="1:26" x14ac:dyDescent="0.6">
      <c r="A938" s="1280"/>
      <c r="N938" s="1399"/>
      <c r="O938" s="1280"/>
      <c r="Z938" s="1280"/>
    </row>
    <row r="939" spans="1:26" x14ac:dyDescent="0.6">
      <c r="A939" s="1280"/>
      <c r="N939" s="1399"/>
      <c r="O939" s="1280"/>
      <c r="Z939" s="1280"/>
    </row>
    <row r="940" spans="1:26" x14ac:dyDescent="0.6">
      <c r="A940" s="1280"/>
      <c r="N940" s="1399"/>
      <c r="O940" s="1280"/>
      <c r="Z940" s="1280"/>
    </row>
    <row r="941" spans="1:26" x14ac:dyDescent="0.6">
      <c r="A941" s="1280"/>
      <c r="N941" s="1399"/>
      <c r="O941" s="1280"/>
      <c r="Z941" s="1280"/>
    </row>
    <row r="942" spans="1:26" x14ac:dyDescent="0.6">
      <c r="A942" s="1280"/>
      <c r="N942" s="1399"/>
      <c r="O942" s="1280"/>
      <c r="Z942" s="1280"/>
    </row>
    <row r="943" spans="1:26" x14ac:dyDescent="0.6">
      <c r="A943" s="1280"/>
      <c r="N943" s="1399"/>
      <c r="O943" s="1280"/>
      <c r="Z943" s="1280"/>
    </row>
    <row r="944" spans="1:26" x14ac:dyDescent="0.6">
      <c r="A944" s="1280"/>
      <c r="N944" s="1399"/>
      <c r="O944" s="1280"/>
      <c r="Z944" s="1280"/>
    </row>
    <row r="945" spans="1:26" x14ac:dyDescent="0.6">
      <c r="A945" s="1280"/>
      <c r="N945" s="1399"/>
      <c r="O945" s="1280"/>
      <c r="Z945" s="1280"/>
    </row>
    <row r="946" spans="1:26" x14ac:dyDescent="0.6">
      <c r="A946" s="1280"/>
      <c r="N946" s="1399"/>
      <c r="O946" s="1280"/>
      <c r="Z946" s="1280"/>
    </row>
    <row r="947" spans="1:26" x14ac:dyDescent="0.6">
      <c r="A947" s="1280"/>
      <c r="N947" s="1399"/>
      <c r="O947" s="1280"/>
      <c r="Z947" s="1280"/>
    </row>
    <row r="948" spans="1:26" x14ac:dyDescent="0.6">
      <c r="A948" s="1280"/>
      <c r="N948" s="1399"/>
      <c r="O948" s="1280"/>
      <c r="Z948" s="1280"/>
    </row>
    <row r="949" spans="1:26" x14ac:dyDescent="0.6">
      <c r="A949" s="1280"/>
      <c r="N949" s="1399"/>
      <c r="O949" s="1280"/>
      <c r="Z949" s="1280"/>
    </row>
    <row r="950" spans="1:26" x14ac:dyDescent="0.6">
      <c r="A950" s="1280"/>
      <c r="N950" s="1399"/>
      <c r="O950" s="1280"/>
      <c r="Z950" s="1280"/>
    </row>
    <row r="951" spans="1:26" x14ac:dyDescent="0.6">
      <c r="A951" s="1280"/>
      <c r="N951" s="1399"/>
      <c r="O951" s="1280"/>
      <c r="Z951" s="1280"/>
    </row>
    <row r="952" spans="1:26" x14ac:dyDescent="0.6">
      <c r="A952" s="1280"/>
      <c r="N952" s="1399"/>
      <c r="O952" s="1280"/>
      <c r="Z952" s="1280"/>
    </row>
    <row r="953" spans="1:26" x14ac:dyDescent="0.6">
      <c r="A953" s="1280"/>
      <c r="N953" s="1399"/>
      <c r="O953" s="1280"/>
      <c r="Z953" s="1280"/>
    </row>
    <row r="954" spans="1:26" x14ac:dyDescent="0.6">
      <c r="A954" s="1280"/>
      <c r="N954" s="1399"/>
      <c r="O954" s="1280"/>
      <c r="Z954" s="1280"/>
    </row>
    <row r="955" spans="1:26" x14ac:dyDescent="0.6">
      <c r="A955" s="1280"/>
      <c r="N955" s="1399"/>
      <c r="O955" s="1280"/>
      <c r="Z955" s="1280"/>
    </row>
    <row r="956" spans="1:26" x14ac:dyDescent="0.6">
      <c r="A956" s="1280"/>
      <c r="N956" s="1399"/>
      <c r="O956" s="1280"/>
      <c r="Z956" s="1280"/>
    </row>
    <row r="957" spans="1:26" x14ac:dyDescent="0.6">
      <c r="A957" s="1280"/>
      <c r="N957" s="1399"/>
      <c r="O957" s="1280"/>
      <c r="Z957" s="1280"/>
    </row>
    <row r="958" spans="1:26" x14ac:dyDescent="0.6">
      <c r="A958" s="1280"/>
      <c r="N958" s="1399"/>
      <c r="O958" s="1280"/>
      <c r="Z958" s="1280"/>
    </row>
    <row r="959" spans="1:26" x14ac:dyDescent="0.6">
      <c r="A959" s="1280"/>
      <c r="N959" s="1399"/>
      <c r="O959" s="1280"/>
      <c r="Z959" s="1280"/>
    </row>
    <row r="960" spans="1:26" x14ac:dyDescent="0.6">
      <c r="A960" s="1280"/>
      <c r="N960" s="1399"/>
      <c r="O960" s="1280"/>
      <c r="Z960" s="1280"/>
    </row>
    <row r="961" spans="1:26" x14ac:dyDescent="0.6">
      <c r="A961" s="1280"/>
      <c r="N961" s="1399"/>
      <c r="O961" s="1280"/>
      <c r="Z961" s="1280"/>
    </row>
    <row r="962" spans="1:26" x14ac:dyDescent="0.6">
      <c r="A962" s="1280"/>
      <c r="N962" s="1399"/>
      <c r="O962" s="1280"/>
      <c r="Z962" s="1280"/>
    </row>
    <row r="963" spans="1:26" x14ac:dyDescent="0.6">
      <c r="A963" s="1280"/>
      <c r="N963" s="1399"/>
      <c r="O963" s="1280"/>
      <c r="Z963" s="1280"/>
    </row>
    <row r="964" spans="1:26" x14ac:dyDescent="0.6">
      <c r="A964" s="1280"/>
      <c r="N964" s="1399"/>
      <c r="O964" s="1280"/>
      <c r="Z964" s="1280"/>
    </row>
    <row r="965" spans="1:26" x14ac:dyDescent="0.6">
      <c r="A965" s="1280"/>
      <c r="N965" s="1399"/>
      <c r="O965" s="1280"/>
      <c r="Z965" s="1280"/>
    </row>
    <row r="966" spans="1:26" x14ac:dyDescent="0.6">
      <c r="A966" s="1280"/>
      <c r="N966" s="1399"/>
      <c r="O966" s="1280"/>
      <c r="Z966" s="1280"/>
    </row>
    <row r="967" spans="1:26" x14ac:dyDescent="0.6">
      <c r="A967" s="1280"/>
      <c r="N967" s="1399"/>
      <c r="O967" s="1280"/>
      <c r="Z967" s="1280"/>
    </row>
    <row r="968" spans="1:26" x14ac:dyDescent="0.6">
      <c r="A968" s="1280"/>
      <c r="N968" s="1399"/>
      <c r="O968" s="1280"/>
      <c r="Z968" s="1280"/>
    </row>
    <row r="969" spans="1:26" x14ac:dyDescent="0.6">
      <c r="A969" s="1280"/>
      <c r="N969" s="1399"/>
      <c r="O969" s="1280"/>
      <c r="Z969" s="1280"/>
    </row>
    <row r="970" spans="1:26" x14ac:dyDescent="0.6">
      <c r="A970" s="1280"/>
      <c r="N970" s="1399"/>
      <c r="O970" s="1280"/>
      <c r="Z970" s="1280"/>
    </row>
    <row r="971" spans="1:26" x14ac:dyDescent="0.6">
      <c r="A971" s="1280"/>
      <c r="N971" s="1399"/>
      <c r="O971" s="1280"/>
      <c r="Z971" s="1280"/>
    </row>
    <row r="972" spans="1:26" x14ac:dyDescent="0.6">
      <c r="A972" s="1280"/>
      <c r="N972" s="1399"/>
      <c r="O972" s="1280"/>
      <c r="Z972" s="1280"/>
    </row>
    <row r="973" spans="1:26" x14ac:dyDescent="0.6">
      <c r="A973" s="1280"/>
      <c r="N973" s="1399"/>
      <c r="O973" s="1280"/>
      <c r="Z973" s="1280"/>
    </row>
    <row r="974" spans="1:26" x14ac:dyDescent="0.6">
      <c r="A974" s="1280"/>
      <c r="N974" s="1399"/>
      <c r="O974" s="1280"/>
      <c r="Z974" s="1280"/>
    </row>
    <row r="975" spans="1:26" x14ac:dyDescent="0.6">
      <c r="A975" s="1280"/>
      <c r="N975" s="1399"/>
      <c r="O975" s="1280"/>
      <c r="Z975" s="1280"/>
    </row>
    <row r="976" spans="1:26" x14ac:dyDescent="0.6">
      <c r="A976" s="1280"/>
      <c r="N976" s="1399"/>
      <c r="O976" s="1280"/>
      <c r="Z976" s="1280"/>
    </row>
    <row r="977" spans="1:26" x14ac:dyDescent="0.6">
      <c r="A977" s="1280"/>
      <c r="N977" s="1399"/>
      <c r="O977" s="1280"/>
      <c r="Z977" s="1280"/>
    </row>
    <row r="978" spans="1:26" x14ac:dyDescent="0.6">
      <c r="A978" s="1280"/>
      <c r="N978" s="1399"/>
      <c r="O978" s="1280"/>
      <c r="Z978" s="1280"/>
    </row>
    <row r="979" spans="1:26" x14ac:dyDescent="0.6">
      <c r="A979" s="1280"/>
      <c r="N979" s="1399"/>
      <c r="O979" s="1280"/>
      <c r="Z979" s="1280"/>
    </row>
    <row r="980" spans="1:26" x14ac:dyDescent="0.6">
      <c r="A980" s="1280"/>
      <c r="N980" s="1399"/>
      <c r="O980" s="1280"/>
      <c r="Z980" s="1280"/>
    </row>
    <row r="981" spans="1:26" x14ac:dyDescent="0.6">
      <c r="A981" s="1280"/>
      <c r="N981" s="1399"/>
      <c r="O981" s="1280"/>
      <c r="Z981" s="1280"/>
    </row>
    <row r="982" spans="1:26" x14ac:dyDescent="0.6">
      <c r="A982" s="1280"/>
      <c r="N982" s="1399"/>
      <c r="O982" s="1280"/>
      <c r="Z982" s="1280"/>
    </row>
    <row r="983" spans="1:26" x14ac:dyDescent="0.6">
      <c r="A983" s="1280"/>
      <c r="N983" s="1399"/>
      <c r="O983" s="1280"/>
      <c r="Z983" s="1280"/>
    </row>
    <row r="984" spans="1:26" x14ac:dyDescent="0.6">
      <c r="A984" s="1280"/>
      <c r="N984" s="1399"/>
      <c r="O984" s="1280"/>
      <c r="Z984" s="1280"/>
    </row>
    <row r="985" spans="1:26" x14ac:dyDescent="0.6">
      <c r="A985" s="1280"/>
      <c r="N985" s="1399"/>
      <c r="O985" s="1280"/>
      <c r="Z985" s="1280"/>
    </row>
    <row r="986" spans="1:26" x14ac:dyDescent="0.6">
      <c r="A986" s="1280"/>
      <c r="N986" s="1399"/>
      <c r="O986" s="1280"/>
      <c r="Z986" s="1280"/>
    </row>
    <row r="987" spans="1:26" x14ac:dyDescent="0.6">
      <c r="A987" s="1280"/>
      <c r="N987" s="1399"/>
      <c r="O987" s="1280"/>
      <c r="Z987" s="1280"/>
    </row>
    <row r="988" spans="1:26" x14ac:dyDescent="0.6">
      <c r="A988" s="1280"/>
      <c r="N988" s="1399"/>
      <c r="O988" s="1280"/>
      <c r="Z988" s="1280"/>
    </row>
    <row r="989" spans="1:26" x14ac:dyDescent="0.6">
      <c r="A989" s="1280"/>
      <c r="N989" s="1399"/>
      <c r="O989" s="1280"/>
      <c r="Z989" s="1280"/>
    </row>
    <row r="990" spans="1:26" x14ac:dyDescent="0.6">
      <c r="A990" s="1280"/>
      <c r="N990" s="1399"/>
      <c r="O990" s="1280"/>
      <c r="Z990" s="1280"/>
    </row>
    <row r="991" spans="1:26" x14ac:dyDescent="0.6">
      <c r="A991" s="1280"/>
      <c r="N991" s="1399"/>
      <c r="O991" s="1280"/>
      <c r="Z991" s="1280"/>
    </row>
    <row r="992" spans="1:26" x14ac:dyDescent="0.6">
      <c r="A992" s="1280"/>
      <c r="N992" s="1399"/>
      <c r="O992" s="1280"/>
      <c r="Z992" s="1280"/>
    </row>
  </sheetData>
  <protectedRanges>
    <protectedRange password="CC6F" sqref="B8:B9 F15 B12:B14" name="ช่วง1_5_1_5_1_1_1_1"/>
    <protectedRange password="CC6F" sqref="B15 B11" name="ช่วง1_5_1_5_1_1_4_1"/>
    <protectedRange password="CC6F" sqref="B10" name="ช่วง1_5_1_5_1_1_5_1"/>
  </protectedRanges>
  <mergeCells count="31">
    <mergeCell ref="B304:E304"/>
    <mergeCell ref="L304:O304"/>
    <mergeCell ref="P304:T304"/>
    <mergeCell ref="W304:Y304"/>
    <mergeCell ref="B305:E305"/>
    <mergeCell ref="L305:O305"/>
    <mergeCell ref="X6:X7"/>
    <mergeCell ref="A299:C299"/>
    <mergeCell ref="B302:E302"/>
    <mergeCell ref="L302:O302"/>
    <mergeCell ref="U302:Y302"/>
    <mergeCell ref="B303:E303"/>
    <mergeCell ref="L303:O303"/>
    <mergeCell ref="P303:T303"/>
    <mergeCell ref="W303:Y303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19685039370078741" right="0.27559055118110237" top="1.1417322834645669" bottom="0.98425196850393704" header="0.31496062992125984" footer="0.31496062992125984"/>
  <pageSetup paperSize="9" scale="61" firstPageNumber="3" fitToHeight="0" orientation="landscape" useFirstPageNumber="1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7DA8F-0434-4CDC-B0D7-0A50C128D435}">
  <sheetPr>
    <pageSetUpPr fitToPage="1"/>
  </sheetPr>
  <dimension ref="A1:AD703"/>
  <sheetViews>
    <sheetView zoomScaleNormal="100" zoomScaleSheetLayoutView="10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1" width="11.09765625" style="1459" customWidth="1"/>
    <col min="12" max="12" width="11.09765625" style="1644" customWidth="1"/>
    <col min="13" max="13" width="11.09765625" style="1280" customWidth="1"/>
    <col min="14" max="14" width="11.09765625" style="1406" customWidth="1"/>
    <col min="15" max="15" width="11.09765625" style="1460" customWidth="1"/>
    <col min="16" max="16" width="11.09765625" style="1399" hidden="1" customWidth="1"/>
    <col min="17" max="17" width="11.09765625" style="1645" customWidth="1"/>
    <col min="18" max="18" width="11.09765625" style="1645" hidden="1" customWidth="1"/>
    <col min="19" max="19" width="11.09765625" style="1645" customWidth="1"/>
    <col min="20" max="20" width="11.09765625" style="1645" hidden="1" customWidth="1"/>
    <col min="21" max="21" width="11.09765625" style="1645" customWidth="1"/>
    <col min="22" max="22" width="11.09765625" style="1645" hidden="1" customWidth="1"/>
    <col min="23" max="23" width="11.09765625" style="1645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0" x14ac:dyDescent="0.6">
      <c r="A1" s="1297" t="s">
        <v>8598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0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0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0" x14ac:dyDescent="0.6">
      <c r="A4" s="1619" t="s">
        <v>2185</v>
      </c>
      <c r="B4" s="1408" t="s">
        <v>8599</v>
      </c>
      <c r="C4" s="1301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620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621" t="s">
        <v>621</v>
      </c>
      <c r="R4" s="1621" t="s">
        <v>7745</v>
      </c>
      <c r="S4" s="1621" t="s">
        <v>621</v>
      </c>
      <c r="T4" s="1621" t="s">
        <v>7746</v>
      </c>
      <c r="U4" s="1621" t="s">
        <v>621</v>
      </c>
      <c r="V4" s="1621" t="s">
        <v>7747</v>
      </c>
      <c r="W4" s="1622" t="s">
        <v>621</v>
      </c>
      <c r="X4" s="1415" t="s">
        <v>7781</v>
      </c>
      <c r="Y4" s="1416"/>
      <c r="Z4" s="1312"/>
      <c r="AA4" s="1299" t="s">
        <v>7782</v>
      </c>
    </row>
    <row r="5" spans="1:30" x14ac:dyDescent="0.6">
      <c r="A5" s="1623"/>
      <c r="B5" s="1417"/>
      <c r="C5" s="1315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624"/>
      <c r="M5" s="1421" t="s">
        <v>7631</v>
      </c>
      <c r="N5" s="1320" t="s">
        <v>7785</v>
      </c>
      <c r="O5" s="1321" t="s">
        <v>7743</v>
      </c>
      <c r="P5" s="1421" t="s">
        <v>7752</v>
      </c>
      <c r="Q5" s="1625" t="s">
        <v>7744</v>
      </c>
      <c r="R5" s="1625" t="s">
        <v>7753</v>
      </c>
      <c r="S5" s="1625" t="s">
        <v>7745</v>
      </c>
      <c r="T5" s="1625" t="s">
        <v>7754</v>
      </c>
      <c r="U5" s="1625" t="s">
        <v>7746</v>
      </c>
      <c r="V5" s="1625" t="s">
        <v>7755</v>
      </c>
      <c r="W5" s="1626" t="s">
        <v>7747</v>
      </c>
      <c r="X5" s="1415"/>
      <c r="Y5" s="1416"/>
      <c r="Z5" s="1322" t="s">
        <v>7623</v>
      </c>
      <c r="AA5" s="1313"/>
    </row>
    <row r="6" spans="1:30" x14ac:dyDescent="0.6">
      <c r="A6" s="1623"/>
      <c r="B6" s="1417"/>
      <c r="C6" s="1315" t="s">
        <v>7786</v>
      </c>
      <c r="D6" s="1423" t="s">
        <v>7787</v>
      </c>
      <c r="E6" s="1620" t="s">
        <v>7788</v>
      </c>
      <c r="F6" s="1627" t="s">
        <v>7789</v>
      </c>
      <c r="G6" s="1620" t="s">
        <v>7790</v>
      </c>
      <c r="H6" s="1627" t="s">
        <v>7791</v>
      </c>
      <c r="I6" s="1620" t="s">
        <v>7792</v>
      </c>
      <c r="J6" s="1418" t="s">
        <v>7793</v>
      </c>
      <c r="K6" s="1419" t="s">
        <v>7751</v>
      </c>
      <c r="L6" s="1624"/>
      <c r="M6" s="1421" t="s">
        <v>7794</v>
      </c>
      <c r="N6" s="1320" t="s">
        <v>7786</v>
      </c>
      <c r="O6" s="1321" t="s">
        <v>1150</v>
      </c>
      <c r="P6" s="1315" t="s">
        <v>7795</v>
      </c>
      <c r="Q6" s="1625" t="s">
        <v>7756</v>
      </c>
      <c r="R6" s="1315" t="s">
        <v>7795</v>
      </c>
      <c r="S6" s="1625" t="s">
        <v>7756</v>
      </c>
      <c r="T6" s="1315" t="s">
        <v>7795</v>
      </c>
      <c r="U6" s="1625" t="s">
        <v>7756</v>
      </c>
      <c r="V6" s="1315" t="s">
        <v>7795</v>
      </c>
      <c r="W6" s="1625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30" x14ac:dyDescent="0.6">
      <c r="A7" s="1628"/>
      <c r="B7" s="1425"/>
      <c r="C7" s="1330" t="s">
        <v>7796</v>
      </c>
      <c r="D7" s="1426"/>
      <c r="E7" s="1629"/>
      <c r="F7" s="1630"/>
      <c r="G7" s="1629"/>
      <c r="H7" s="1630"/>
      <c r="I7" s="1629"/>
      <c r="J7" s="1428" t="s">
        <v>7795</v>
      </c>
      <c r="K7" s="1429"/>
      <c r="L7" s="1629"/>
      <c r="M7" s="1430" t="s">
        <v>7795</v>
      </c>
      <c r="N7" s="1336" t="s">
        <v>7756</v>
      </c>
      <c r="O7" s="1337" t="s">
        <v>7756</v>
      </c>
      <c r="P7" s="1330"/>
      <c r="Q7" s="1631"/>
      <c r="R7" s="1631"/>
      <c r="S7" s="1631"/>
      <c r="T7" s="1631"/>
      <c r="U7" s="1631"/>
      <c r="V7" s="1631"/>
      <c r="W7" s="1632"/>
      <c r="X7" s="1415"/>
      <c r="Y7" s="1424" t="s">
        <v>7756</v>
      </c>
      <c r="Z7" s="1340"/>
      <c r="AA7" s="1328"/>
    </row>
    <row r="8" spans="1:30" s="1388" customFormat="1" ht="21.75" customHeight="1" x14ac:dyDescent="0.25">
      <c r="A8" s="1279">
        <v>1</v>
      </c>
      <c r="B8" s="1211" t="s">
        <v>8600</v>
      </c>
      <c r="C8" s="1489" t="s">
        <v>8296</v>
      </c>
      <c r="D8" s="1633">
        <v>70</v>
      </c>
      <c r="E8" s="1634">
        <v>2800</v>
      </c>
      <c r="F8" s="1635">
        <v>30</v>
      </c>
      <c r="G8" s="1634">
        <v>1200</v>
      </c>
      <c r="H8" s="1635">
        <v>20</v>
      </c>
      <c r="I8" s="1636">
        <v>800</v>
      </c>
      <c r="J8" s="1348">
        <v>60</v>
      </c>
      <c r="K8" s="1349">
        <v>10</v>
      </c>
      <c r="L8" s="1637">
        <v>400</v>
      </c>
      <c r="M8" s="1351">
        <v>50</v>
      </c>
      <c r="N8" s="1352">
        <v>40</v>
      </c>
      <c r="O8" s="1353">
        <f>M8*N8</f>
        <v>2000</v>
      </c>
      <c r="P8" s="1354">
        <v>50</v>
      </c>
      <c r="Q8" s="1638">
        <v>1600</v>
      </c>
      <c r="R8" s="1638">
        <v>0</v>
      </c>
      <c r="S8" s="1639">
        <v>0</v>
      </c>
      <c r="T8" s="1638">
        <v>0</v>
      </c>
      <c r="U8" s="1639">
        <v>0</v>
      </c>
      <c r="V8" s="1638">
        <v>0</v>
      </c>
      <c r="W8" s="1639">
        <v>0</v>
      </c>
      <c r="X8" s="1356">
        <f>P8+R8+T8+V8</f>
        <v>50</v>
      </c>
      <c r="Y8" s="1356">
        <f>X8*N8</f>
        <v>2000</v>
      </c>
      <c r="Z8" s="1357" t="s">
        <v>7799</v>
      </c>
      <c r="AA8" s="1358" t="s">
        <v>6526</v>
      </c>
      <c r="AB8" s="1359"/>
    </row>
    <row r="9" spans="1:30" s="1359" customFormat="1" ht="20.25" customHeight="1" x14ac:dyDescent="0.6">
      <c r="A9" s="1279">
        <v>2</v>
      </c>
      <c r="B9" s="1640" t="s">
        <v>8601</v>
      </c>
      <c r="C9" s="1540" t="s">
        <v>8602</v>
      </c>
      <c r="D9" s="1350">
        <v>0</v>
      </c>
      <c r="E9" s="1385">
        <f t="shared" ref="E9" si="0">D9*N9</f>
        <v>0</v>
      </c>
      <c r="F9" s="1356">
        <v>0</v>
      </c>
      <c r="G9" s="1385">
        <f t="shared" ref="G9" si="1">F9*N9</f>
        <v>0</v>
      </c>
      <c r="H9" s="1356">
        <v>40</v>
      </c>
      <c r="I9" s="1356">
        <f t="shared" ref="I9" si="2">H9*N9</f>
        <v>19200</v>
      </c>
      <c r="J9" s="1356">
        <v>50</v>
      </c>
      <c r="K9" s="1356">
        <v>0</v>
      </c>
      <c r="L9" s="1350">
        <v>0</v>
      </c>
      <c r="M9" s="1356">
        <v>50</v>
      </c>
      <c r="N9" s="1353">
        <v>480</v>
      </c>
      <c r="O9" s="1353">
        <f t="shared" ref="O9" si="3">M9*N9</f>
        <v>24000</v>
      </c>
      <c r="P9" s="1356">
        <v>50</v>
      </c>
      <c r="Q9" s="1356">
        <f t="shared" ref="Q9" si="4">P9*N9</f>
        <v>24000</v>
      </c>
      <c r="R9" s="1350">
        <v>0</v>
      </c>
      <c r="S9" s="1350">
        <f t="shared" ref="S9" si="5">R9*N9</f>
        <v>0</v>
      </c>
      <c r="T9" s="1356">
        <v>0</v>
      </c>
      <c r="U9" s="1350">
        <f t="shared" ref="U9" si="6">T9*N9</f>
        <v>0</v>
      </c>
      <c r="V9" s="1350">
        <v>0</v>
      </c>
      <c r="W9" s="1350">
        <f t="shared" ref="W9" si="7">V9*N9</f>
        <v>0</v>
      </c>
      <c r="X9" s="1356">
        <f>P9+R9+T9+V9</f>
        <v>50</v>
      </c>
      <c r="Y9" s="1356">
        <f>Q9+S9+U9+W9</f>
        <v>24000</v>
      </c>
      <c r="Z9" s="1357" t="s">
        <v>7799</v>
      </c>
      <c r="AA9" s="1379" t="s">
        <v>7649</v>
      </c>
      <c r="AB9" s="1280"/>
      <c r="AC9" s="1280"/>
      <c r="AD9" s="1280"/>
    </row>
    <row r="10" spans="1:30" s="1393" customFormat="1" ht="20.25" customHeight="1" x14ac:dyDescent="0.6">
      <c r="A10" s="1389" t="s">
        <v>7433</v>
      </c>
      <c r="B10" s="1389"/>
      <c r="C10" s="1389"/>
      <c r="D10" s="1641">
        <f>SUM(D8:D9)</f>
        <v>70</v>
      </c>
      <c r="E10" s="1641">
        <f>SUM(E8:E9)</f>
        <v>2800</v>
      </c>
      <c r="F10" s="1641">
        <f t="shared" ref="F10:Y10" si="8">SUM(F8:F9)</f>
        <v>30</v>
      </c>
      <c r="G10" s="1641">
        <f t="shared" si="8"/>
        <v>1200</v>
      </c>
      <c r="H10" s="1641">
        <f t="shared" si="8"/>
        <v>60</v>
      </c>
      <c r="I10" s="1641">
        <f t="shared" si="8"/>
        <v>20000</v>
      </c>
      <c r="J10" s="1641">
        <f t="shared" si="8"/>
        <v>110</v>
      </c>
      <c r="K10" s="1641">
        <f t="shared" si="8"/>
        <v>10</v>
      </c>
      <c r="L10" s="1641">
        <f t="shared" si="8"/>
        <v>400</v>
      </c>
      <c r="M10" s="1641">
        <f t="shared" si="8"/>
        <v>100</v>
      </c>
      <c r="N10" s="1641">
        <f t="shared" si="8"/>
        <v>520</v>
      </c>
      <c r="O10" s="1641">
        <f t="shared" si="8"/>
        <v>26000</v>
      </c>
      <c r="P10" s="1641">
        <f t="shared" si="8"/>
        <v>100</v>
      </c>
      <c r="Q10" s="1641">
        <f t="shared" si="8"/>
        <v>25600</v>
      </c>
      <c r="R10" s="1641">
        <f t="shared" si="8"/>
        <v>0</v>
      </c>
      <c r="S10" s="1641">
        <f t="shared" si="8"/>
        <v>0</v>
      </c>
      <c r="T10" s="1641">
        <f t="shared" si="8"/>
        <v>0</v>
      </c>
      <c r="U10" s="1641">
        <f t="shared" si="8"/>
        <v>0</v>
      </c>
      <c r="V10" s="1641">
        <f t="shared" si="8"/>
        <v>0</v>
      </c>
      <c r="W10" s="1641">
        <f t="shared" si="8"/>
        <v>0</v>
      </c>
      <c r="X10" s="1641">
        <f t="shared" si="8"/>
        <v>100</v>
      </c>
      <c r="Y10" s="1641">
        <f t="shared" si="8"/>
        <v>26000</v>
      </c>
      <c r="Z10" s="1391"/>
      <c r="AA10" s="1392"/>
      <c r="AB10" s="1393" t="str">
        <f t="shared" ref="AB10" si="9">IF(O10=Y10,"yes")</f>
        <v>yes</v>
      </c>
    </row>
    <row r="11" spans="1:30" ht="20.25" customHeight="1" x14ac:dyDescent="0.6">
      <c r="A11" s="1397"/>
      <c r="C11" s="1399"/>
      <c r="D11" s="1397"/>
      <c r="E11" s="1397"/>
      <c r="F11" s="1397"/>
      <c r="G11" s="1397"/>
      <c r="H11" s="1397"/>
      <c r="I11" s="1397"/>
      <c r="J11" s="1397"/>
      <c r="K11" s="1397"/>
      <c r="L11" s="1642"/>
      <c r="M11" s="1457"/>
      <c r="N11" s="1400"/>
      <c r="O11" s="1400"/>
      <c r="P11" s="1458"/>
      <c r="Q11" s="1643"/>
      <c r="R11" s="1643"/>
      <c r="S11" s="1643"/>
      <c r="T11" s="1643"/>
      <c r="U11" s="1643"/>
      <c r="V11" s="1643"/>
      <c r="W11" s="1643"/>
      <c r="X11" s="1457"/>
      <c r="Y11" s="1457"/>
      <c r="AA11" s="1402"/>
    </row>
    <row r="12" spans="1:30" ht="20.25" customHeight="1" x14ac:dyDescent="0.6">
      <c r="A12" s="1397"/>
      <c r="C12" s="1399"/>
    </row>
    <row r="13" spans="1:30" ht="20.25" customHeight="1" x14ac:dyDescent="0.6">
      <c r="B13" s="1280"/>
      <c r="D13" s="1280"/>
      <c r="E13" s="1280"/>
      <c r="F13" s="1280"/>
      <c r="G13" s="1399"/>
      <c r="L13" s="1459"/>
      <c r="M13" s="1459"/>
      <c r="N13" s="1459"/>
      <c r="O13" s="1459"/>
      <c r="P13" s="1459"/>
      <c r="Q13" s="1644"/>
      <c r="R13" s="1280"/>
      <c r="S13" s="1280"/>
      <c r="T13" s="1280"/>
      <c r="U13" s="1280"/>
      <c r="V13" s="1280"/>
      <c r="W13" s="1280"/>
      <c r="Z13" s="1280"/>
    </row>
    <row r="14" spans="1:30" ht="20.25" customHeight="1" x14ac:dyDescent="0.6">
      <c r="B14" s="1280"/>
      <c r="D14" s="1280"/>
      <c r="E14" s="1280"/>
      <c r="F14" s="1280"/>
      <c r="G14" s="1399"/>
      <c r="L14" s="1459"/>
      <c r="M14" s="1459"/>
      <c r="N14" s="1459"/>
      <c r="O14" s="1459"/>
      <c r="P14" s="1459"/>
      <c r="Q14" s="1644"/>
      <c r="R14" s="1280"/>
      <c r="S14" s="1280"/>
      <c r="T14" s="1280"/>
      <c r="U14" s="1280"/>
      <c r="V14" s="1280"/>
      <c r="W14" s="1280"/>
      <c r="Z14" s="1280"/>
    </row>
    <row r="15" spans="1:30" ht="20.25" customHeight="1" x14ac:dyDescent="0.6">
      <c r="B15" s="1280"/>
      <c r="D15" s="1280"/>
      <c r="E15" s="1280"/>
      <c r="F15" s="1280"/>
      <c r="G15" s="1399"/>
      <c r="L15" s="1459"/>
      <c r="M15" s="1459"/>
      <c r="N15" s="1459"/>
      <c r="O15" s="1459"/>
      <c r="P15" s="1459"/>
      <c r="Q15" s="1644"/>
      <c r="R15" s="1280"/>
      <c r="S15" s="1280"/>
      <c r="T15" s="1280"/>
      <c r="U15" s="1280"/>
      <c r="V15" s="1280"/>
      <c r="W15" s="1280"/>
      <c r="Z15" s="1280"/>
    </row>
    <row r="16" spans="1:30" ht="20.25" customHeight="1" x14ac:dyDescent="0.6">
      <c r="B16" s="1280"/>
      <c r="D16" s="1280"/>
      <c r="E16" s="1280"/>
      <c r="F16" s="1280"/>
      <c r="G16" s="1399"/>
      <c r="L16" s="1459"/>
      <c r="M16" s="1459"/>
      <c r="N16" s="1459"/>
      <c r="O16" s="1459"/>
      <c r="P16" s="1459"/>
      <c r="Q16" s="1644"/>
      <c r="R16" s="1644"/>
      <c r="S16" s="1644"/>
      <c r="Y16" s="1402"/>
      <c r="Z16" s="1405"/>
    </row>
    <row r="17" spans="1:27" ht="20.25" customHeight="1" x14ac:dyDescent="0.6"/>
    <row r="18" spans="1:27" ht="20.25" customHeight="1" x14ac:dyDescent="0.6">
      <c r="P18" s="1457"/>
      <c r="Q18" s="1646"/>
    </row>
    <row r="19" spans="1:27" ht="20.25" customHeight="1" x14ac:dyDescent="0.6">
      <c r="AA19" s="1401"/>
    </row>
    <row r="25" spans="1:27" x14ac:dyDescent="0.6">
      <c r="A25" s="1280"/>
      <c r="N25" s="1399"/>
      <c r="O25" s="1280"/>
      <c r="Z25" s="1280"/>
    </row>
    <row r="26" spans="1:27" x14ac:dyDescent="0.6">
      <c r="A26" s="1280"/>
      <c r="N26" s="1399"/>
      <c r="O26" s="1280"/>
      <c r="Z26" s="1280"/>
    </row>
    <row r="27" spans="1:27" x14ac:dyDescent="0.6">
      <c r="A27" s="1280"/>
      <c r="N27" s="1399"/>
      <c r="O27" s="1280"/>
      <c r="Z27" s="1280"/>
    </row>
    <row r="28" spans="1:27" x14ac:dyDescent="0.6">
      <c r="A28" s="1280"/>
      <c r="N28" s="1399"/>
      <c r="O28" s="1280"/>
      <c r="Z28" s="1280"/>
    </row>
    <row r="29" spans="1:27" x14ac:dyDescent="0.6">
      <c r="A29" s="1280"/>
      <c r="N29" s="1399"/>
      <c r="O29" s="1280"/>
      <c r="Z29" s="1280"/>
    </row>
    <row r="30" spans="1:27" x14ac:dyDescent="0.6">
      <c r="A30" s="1280"/>
      <c r="N30" s="1399"/>
      <c r="O30" s="1280"/>
      <c r="Z30" s="1280"/>
    </row>
    <row r="31" spans="1:27" x14ac:dyDescent="0.6">
      <c r="A31" s="1280"/>
      <c r="N31" s="1399"/>
      <c r="O31" s="1280"/>
      <c r="Z31" s="1280"/>
    </row>
    <row r="32" spans="1:27" x14ac:dyDescent="0.6">
      <c r="A32" s="1280"/>
      <c r="N32" s="1399"/>
      <c r="O32" s="1280"/>
      <c r="Z32" s="1280"/>
    </row>
    <row r="33" spans="1:26" x14ac:dyDescent="0.6">
      <c r="A33" s="1280"/>
      <c r="N33" s="1399"/>
      <c r="O33" s="1280"/>
      <c r="Z33" s="1280"/>
    </row>
    <row r="34" spans="1:26" x14ac:dyDescent="0.6">
      <c r="A34" s="1280"/>
      <c r="N34" s="1399"/>
      <c r="O34" s="1280"/>
      <c r="Z34" s="1280"/>
    </row>
    <row r="35" spans="1:26" x14ac:dyDescent="0.6">
      <c r="A35" s="1280"/>
      <c r="N35" s="1399"/>
      <c r="O35" s="1280"/>
      <c r="Z35" s="1280"/>
    </row>
    <row r="36" spans="1:26" x14ac:dyDescent="0.6">
      <c r="A36" s="1280"/>
      <c r="N36" s="1399"/>
      <c r="O36" s="1280"/>
      <c r="Z36" s="1280"/>
    </row>
    <row r="37" spans="1:26" x14ac:dyDescent="0.6">
      <c r="A37" s="1280"/>
      <c r="N37" s="1399"/>
      <c r="O37" s="1280"/>
      <c r="Z37" s="1280"/>
    </row>
    <row r="38" spans="1:26" x14ac:dyDescent="0.6">
      <c r="A38" s="1280"/>
      <c r="N38" s="1399"/>
      <c r="O38" s="1280"/>
      <c r="Z38" s="1280"/>
    </row>
    <row r="39" spans="1:26" x14ac:dyDescent="0.6">
      <c r="A39" s="1280"/>
      <c r="N39" s="1399"/>
      <c r="O39" s="1280"/>
      <c r="Z39" s="1280"/>
    </row>
    <row r="40" spans="1:26" x14ac:dyDescent="0.6">
      <c r="A40" s="1280"/>
      <c r="N40" s="1399"/>
      <c r="O40" s="1280"/>
      <c r="Z40" s="1280"/>
    </row>
    <row r="41" spans="1:26" x14ac:dyDescent="0.6">
      <c r="A41" s="1280"/>
      <c r="N41" s="1399"/>
      <c r="O41" s="1280"/>
      <c r="Z41" s="1280"/>
    </row>
    <row r="42" spans="1:26" x14ac:dyDescent="0.6">
      <c r="A42" s="1280"/>
      <c r="N42" s="1399"/>
      <c r="O42" s="1280"/>
      <c r="Z42" s="1280"/>
    </row>
    <row r="43" spans="1:26" x14ac:dyDescent="0.6">
      <c r="A43" s="1280"/>
      <c r="N43" s="1399"/>
      <c r="O43" s="1280"/>
      <c r="Z43" s="1280"/>
    </row>
    <row r="44" spans="1:26" x14ac:dyDescent="0.6">
      <c r="A44" s="1280"/>
      <c r="N44" s="1399"/>
      <c r="O44" s="1280"/>
      <c r="Z44" s="1280"/>
    </row>
    <row r="45" spans="1:26" x14ac:dyDescent="0.6">
      <c r="A45" s="1280"/>
      <c r="N45" s="1399"/>
      <c r="O45" s="1280"/>
      <c r="Z45" s="1280"/>
    </row>
    <row r="46" spans="1:26" x14ac:dyDescent="0.6">
      <c r="A46" s="1280"/>
      <c r="N46" s="1399"/>
      <c r="O46" s="1280"/>
      <c r="Z46" s="1280"/>
    </row>
    <row r="47" spans="1:26" x14ac:dyDescent="0.6">
      <c r="A47" s="1280"/>
      <c r="N47" s="1399"/>
      <c r="O47" s="1280"/>
      <c r="Z47" s="1280"/>
    </row>
    <row r="48" spans="1:26" x14ac:dyDescent="0.6">
      <c r="A48" s="1280"/>
      <c r="N48" s="1399"/>
      <c r="O48" s="1280"/>
      <c r="Z48" s="1280"/>
    </row>
    <row r="49" spans="1:26" x14ac:dyDescent="0.6">
      <c r="A49" s="1280"/>
      <c r="N49" s="1399"/>
      <c r="O49" s="1280"/>
      <c r="Z49" s="1280"/>
    </row>
    <row r="50" spans="1:26" x14ac:dyDescent="0.6">
      <c r="A50" s="1280"/>
      <c r="N50" s="1399"/>
      <c r="O50" s="1280"/>
      <c r="Z50" s="1280"/>
    </row>
    <row r="51" spans="1:26" x14ac:dyDescent="0.6">
      <c r="A51" s="1280"/>
      <c r="N51" s="1399"/>
      <c r="O51" s="1280"/>
      <c r="Z51" s="1280"/>
    </row>
    <row r="52" spans="1:26" x14ac:dyDescent="0.6">
      <c r="A52" s="1280"/>
      <c r="N52" s="1399"/>
      <c r="O52" s="1280"/>
      <c r="Z52" s="1280"/>
    </row>
    <row r="53" spans="1:26" x14ac:dyDescent="0.6">
      <c r="A53" s="1280"/>
      <c r="N53" s="1399"/>
      <c r="O53" s="1280"/>
      <c r="Z53" s="1280"/>
    </row>
    <row r="54" spans="1:26" x14ac:dyDescent="0.6">
      <c r="A54" s="1280"/>
      <c r="N54" s="1399"/>
      <c r="O54" s="1280"/>
      <c r="Z54" s="1280"/>
    </row>
    <row r="55" spans="1:26" x14ac:dyDescent="0.6">
      <c r="A55" s="1280"/>
      <c r="N55" s="1399"/>
      <c r="O55" s="1280"/>
      <c r="Z55" s="1280"/>
    </row>
    <row r="56" spans="1:26" x14ac:dyDescent="0.6">
      <c r="A56" s="1280"/>
      <c r="N56" s="1399"/>
      <c r="O56" s="1280"/>
      <c r="Z56" s="1280"/>
    </row>
    <row r="57" spans="1:26" x14ac:dyDescent="0.6">
      <c r="A57" s="1280"/>
      <c r="N57" s="1399"/>
      <c r="O57" s="1280"/>
      <c r="Z57" s="1280"/>
    </row>
    <row r="58" spans="1:26" x14ac:dyDescent="0.6">
      <c r="A58" s="1280"/>
      <c r="N58" s="1399"/>
      <c r="O58" s="1280"/>
      <c r="Z58" s="1280"/>
    </row>
    <row r="59" spans="1:26" x14ac:dyDescent="0.6">
      <c r="A59" s="1280"/>
      <c r="N59" s="1399"/>
      <c r="O59" s="1280"/>
      <c r="Z59" s="1280"/>
    </row>
    <row r="60" spans="1:26" x14ac:dyDescent="0.6">
      <c r="A60" s="1280"/>
      <c r="N60" s="1399"/>
      <c r="O60" s="1280"/>
      <c r="Z60" s="1280"/>
    </row>
    <row r="61" spans="1:26" x14ac:dyDescent="0.6">
      <c r="A61" s="1280"/>
      <c r="N61" s="1399"/>
      <c r="O61" s="1280"/>
      <c r="Z61" s="1280"/>
    </row>
    <row r="62" spans="1:26" x14ac:dyDescent="0.6">
      <c r="A62" s="1280"/>
      <c r="N62" s="1399"/>
      <c r="O62" s="1280"/>
      <c r="Z62" s="1280"/>
    </row>
    <row r="63" spans="1:26" x14ac:dyDescent="0.6">
      <c r="A63" s="1280"/>
      <c r="N63" s="1399"/>
      <c r="O63" s="1280"/>
      <c r="Z63" s="1280"/>
    </row>
    <row r="64" spans="1:26" x14ac:dyDescent="0.6">
      <c r="A64" s="1280"/>
      <c r="N64" s="1399"/>
      <c r="O64" s="1280"/>
      <c r="Z64" s="1280"/>
    </row>
    <row r="65" spans="1:26" x14ac:dyDescent="0.6">
      <c r="A65" s="1280"/>
      <c r="N65" s="1399"/>
      <c r="O65" s="1280"/>
      <c r="Z65" s="1280"/>
    </row>
    <row r="66" spans="1:26" x14ac:dyDescent="0.6">
      <c r="A66" s="1280"/>
      <c r="N66" s="1399"/>
      <c r="O66" s="1280"/>
      <c r="Z66" s="1280"/>
    </row>
    <row r="67" spans="1:26" x14ac:dyDescent="0.6">
      <c r="A67" s="1280"/>
      <c r="N67" s="1399"/>
      <c r="O67" s="1280"/>
      <c r="Z67" s="1280"/>
    </row>
    <row r="68" spans="1:26" x14ac:dyDescent="0.6">
      <c r="A68" s="1280"/>
      <c r="N68" s="1399"/>
      <c r="O68" s="1280"/>
      <c r="Z68" s="1280"/>
    </row>
    <row r="69" spans="1:26" x14ac:dyDescent="0.6">
      <c r="A69" s="1280"/>
      <c r="N69" s="1399"/>
      <c r="O69" s="1280"/>
      <c r="Z69" s="1280"/>
    </row>
    <row r="70" spans="1:26" x14ac:dyDescent="0.6">
      <c r="A70" s="1280"/>
      <c r="N70" s="1399"/>
      <c r="O70" s="1280"/>
      <c r="Z70" s="1280"/>
    </row>
    <row r="71" spans="1:26" x14ac:dyDescent="0.6">
      <c r="A71" s="1280"/>
      <c r="N71" s="1399"/>
      <c r="O71" s="1280"/>
      <c r="Z71" s="1280"/>
    </row>
    <row r="72" spans="1:26" x14ac:dyDescent="0.6">
      <c r="A72" s="1280"/>
      <c r="N72" s="1399"/>
      <c r="O72" s="1280"/>
      <c r="Z72" s="1280"/>
    </row>
    <row r="73" spans="1:26" x14ac:dyDescent="0.6">
      <c r="A73" s="1280"/>
      <c r="N73" s="1399"/>
      <c r="O73" s="1280"/>
      <c r="Z73" s="1280"/>
    </row>
    <row r="74" spans="1:26" x14ac:dyDescent="0.6">
      <c r="A74" s="1280"/>
      <c r="N74" s="1399"/>
      <c r="O74" s="1280"/>
      <c r="Z74" s="1280"/>
    </row>
    <row r="75" spans="1:26" x14ac:dyDescent="0.6">
      <c r="A75" s="1280"/>
      <c r="N75" s="1399"/>
      <c r="O75" s="1280"/>
      <c r="Z75" s="1280"/>
    </row>
    <row r="76" spans="1:26" x14ac:dyDescent="0.6">
      <c r="A76" s="1280"/>
      <c r="N76" s="1399"/>
      <c r="O76" s="1280"/>
      <c r="Z76" s="1280"/>
    </row>
    <row r="77" spans="1:26" x14ac:dyDescent="0.6">
      <c r="A77" s="1280"/>
      <c r="N77" s="1399"/>
      <c r="O77" s="1280"/>
      <c r="Z77" s="1280"/>
    </row>
    <row r="78" spans="1:26" x14ac:dyDescent="0.6">
      <c r="A78" s="1280"/>
      <c r="N78" s="1399"/>
      <c r="O78" s="1280"/>
      <c r="Z78" s="1280"/>
    </row>
    <row r="79" spans="1:26" x14ac:dyDescent="0.6">
      <c r="A79" s="1280"/>
      <c r="N79" s="1399"/>
      <c r="O79" s="1280"/>
      <c r="Z79" s="1280"/>
    </row>
    <row r="80" spans="1:26" x14ac:dyDescent="0.6">
      <c r="A80" s="1280"/>
      <c r="N80" s="1399"/>
      <c r="O80" s="1280"/>
      <c r="Z80" s="1280"/>
    </row>
    <row r="81" spans="1:26" x14ac:dyDescent="0.6">
      <c r="A81" s="1280"/>
      <c r="N81" s="1399"/>
      <c r="O81" s="1280"/>
      <c r="Z81" s="1280"/>
    </row>
    <row r="82" spans="1:26" x14ac:dyDescent="0.6">
      <c r="A82" s="1280"/>
      <c r="N82" s="1399"/>
      <c r="O82" s="1280"/>
      <c r="Z82" s="1280"/>
    </row>
    <row r="83" spans="1:26" x14ac:dyDescent="0.6">
      <c r="A83" s="1280"/>
      <c r="N83" s="1399"/>
      <c r="O83" s="1280"/>
      <c r="Z83" s="1280"/>
    </row>
    <row r="84" spans="1:26" x14ac:dyDescent="0.6">
      <c r="A84" s="1280"/>
      <c r="N84" s="1399"/>
      <c r="O84" s="1280"/>
      <c r="Z84" s="1280"/>
    </row>
    <row r="85" spans="1:26" x14ac:dyDescent="0.6">
      <c r="A85" s="1280"/>
      <c r="N85" s="1399"/>
      <c r="O85" s="1280"/>
      <c r="Z85" s="1280"/>
    </row>
    <row r="86" spans="1:26" x14ac:dyDescent="0.6">
      <c r="A86" s="1280"/>
      <c r="N86" s="1399"/>
      <c r="O86" s="1280"/>
      <c r="Z86" s="1280"/>
    </row>
    <row r="87" spans="1:26" x14ac:dyDescent="0.6">
      <c r="A87" s="1280"/>
      <c r="N87" s="1399"/>
      <c r="O87" s="1280"/>
      <c r="Z87" s="1280"/>
    </row>
    <row r="88" spans="1:26" x14ac:dyDescent="0.6">
      <c r="A88" s="1280"/>
      <c r="N88" s="1399"/>
      <c r="O88" s="1280"/>
      <c r="Z88" s="1280"/>
    </row>
    <row r="89" spans="1:26" x14ac:dyDescent="0.6">
      <c r="A89" s="1280"/>
      <c r="N89" s="1399"/>
      <c r="O89" s="1280"/>
      <c r="Z89" s="1280"/>
    </row>
    <row r="90" spans="1:26" x14ac:dyDescent="0.6">
      <c r="A90" s="1280"/>
      <c r="N90" s="1399"/>
      <c r="O90" s="1280"/>
      <c r="Z90" s="1280"/>
    </row>
    <row r="91" spans="1:26" x14ac:dyDescent="0.6">
      <c r="A91" s="1280"/>
      <c r="N91" s="1399"/>
      <c r="O91" s="1280"/>
      <c r="Z91" s="1280"/>
    </row>
    <row r="92" spans="1:26" x14ac:dyDescent="0.6">
      <c r="A92" s="1280"/>
      <c r="N92" s="1399"/>
      <c r="O92" s="1280"/>
      <c r="Z92" s="1280"/>
    </row>
    <row r="93" spans="1:26" x14ac:dyDescent="0.6">
      <c r="A93" s="1280"/>
      <c r="N93" s="1399"/>
      <c r="O93" s="1280"/>
      <c r="Z93" s="1280"/>
    </row>
    <row r="94" spans="1:26" x14ac:dyDescent="0.6">
      <c r="A94" s="1280"/>
      <c r="N94" s="1399"/>
      <c r="O94" s="1280"/>
      <c r="Z94" s="1280"/>
    </row>
    <row r="95" spans="1:26" x14ac:dyDescent="0.6">
      <c r="A95" s="1280"/>
      <c r="N95" s="1399"/>
      <c r="O95" s="1280"/>
      <c r="Z95" s="1280"/>
    </row>
    <row r="96" spans="1:26" x14ac:dyDescent="0.6">
      <c r="A96" s="1280"/>
      <c r="N96" s="1399"/>
      <c r="O96" s="1280"/>
      <c r="Z96" s="1280"/>
    </row>
    <row r="97" spans="1:26" x14ac:dyDescent="0.6">
      <c r="A97" s="1280"/>
      <c r="N97" s="1399"/>
      <c r="O97" s="1280"/>
      <c r="Z97" s="1280"/>
    </row>
    <row r="98" spans="1:26" x14ac:dyDescent="0.6">
      <c r="A98" s="1280"/>
      <c r="N98" s="1399"/>
      <c r="O98" s="1280"/>
      <c r="Z98" s="1280"/>
    </row>
    <row r="99" spans="1:26" x14ac:dyDescent="0.6">
      <c r="A99" s="1280"/>
      <c r="N99" s="1399"/>
      <c r="O99" s="1280"/>
      <c r="Z99" s="1280"/>
    </row>
    <row r="100" spans="1:26" x14ac:dyDescent="0.6">
      <c r="A100" s="1280"/>
      <c r="N100" s="1399"/>
      <c r="O100" s="1280"/>
      <c r="Z100" s="1280"/>
    </row>
    <row r="101" spans="1:26" x14ac:dyDescent="0.6">
      <c r="A101" s="1280"/>
      <c r="N101" s="1399"/>
      <c r="O101" s="1280"/>
      <c r="Z101" s="1280"/>
    </row>
    <row r="102" spans="1:26" x14ac:dyDescent="0.6">
      <c r="A102" s="1280"/>
      <c r="N102" s="1399"/>
      <c r="O102" s="1280"/>
      <c r="Z102" s="1280"/>
    </row>
    <row r="103" spans="1:26" x14ac:dyDescent="0.6">
      <c r="A103" s="1280"/>
      <c r="N103" s="1399"/>
      <c r="O103" s="1280"/>
      <c r="Z103" s="1280"/>
    </row>
    <row r="104" spans="1:26" x14ac:dyDescent="0.6">
      <c r="A104" s="1280"/>
      <c r="N104" s="1399"/>
      <c r="O104" s="1280"/>
      <c r="Z104" s="1280"/>
    </row>
    <row r="105" spans="1:26" x14ac:dyDescent="0.6">
      <c r="A105" s="1280"/>
      <c r="N105" s="1399"/>
      <c r="O105" s="1280"/>
      <c r="Z105" s="1280"/>
    </row>
    <row r="106" spans="1:26" x14ac:dyDescent="0.6">
      <c r="A106" s="1280"/>
      <c r="N106" s="1399"/>
      <c r="O106" s="1280"/>
      <c r="Z106" s="1280"/>
    </row>
    <row r="107" spans="1:26" x14ac:dyDescent="0.6">
      <c r="A107" s="1280"/>
      <c r="N107" s="1399"/>
      <c r="O107" s="1280"/>
      <c r="Z107" s="1280"/>
    </row>
    <row r="108" spans="1:26" x14ac:dyDescent="0.6">
      <c r="A108" s="1280"/>
      <c r="N108" s="1399"/>
      <c r="O108" s="1280"/>
      <c r="Z108" s="1280"/>
    </row>
    <row r="109" spans="1:26" x14ac:dyDescent="0.6">
      <c r="A109" s="1280"/>
      <c r="N109" s="1399"/>
      <c r="O109" s="1280"/>
      <c r="Z109" s="1280"/>
    </row>
    <row r="110" spans="1:26" x14ac:dyDescent="0.6">
      <c r="A110" s="1280"/>
      <c r="N110" s="1399"/>
      <c r="O110" s="1280"/>
      <c r="Z110" s="1280"/>
    </row>
    <row r="111" spans="1:26" x14ac:dyDescent="0.6">
      <c r="A111" s="1280"/>
      <c r="N111" s="1399"/>
      <c r="O111" s="1280"/>
      <c r="Z111" s="1280"/>
    </row>
    <row r="112" spans="1:26" x14ac:dyDescent="0.6">
      <c r="A112" s="1280"/>
      <c r="N112" s="1399"/>
      <c r="O112" s="1280"/>
      <c r="Z112" s="1280"/>
    </row>
    <row r="113" spans="1:26" x14ac:dyDescent="0.6">
      <c r="A113" s="1280"/>
      <c r="N113" s="1399"/>
      <c r="O113" s="1280"/>
      <c r="Z113" s="1280"/>
    </row>
    <row r="114" spans="1:26" x14ac:dyDescent="0.6">
      <c r="A114" s="1280"/>
      <c r="N114" s="1399"/>
      <c r="O114" s="1280"/>
      <c r="Z114" s="1280"/>
    </row>
    <row r="115" spans="1:26" x14ac:dyDescent="0.6">
      <c r="A115" s="1280"/>
      <c r="N115" s="1399"/>
      <c r="O115" s="1280"/>
      <c r="Z115" s="1280"/>
    </row>
    <row r="116" spans="1:26" x14ac:dyDescent="0.6">
      <c r="A116" s="1280"/>
      <c r="N116" s="1399"/>
      <c r="O116" s="1280"/>
      <c r="Z116" s="1280"/>
    </row>
    <row r="117" spans="1:26" x14ac:dyDescent="0.6">
      <c r="A117" s="1280"/>
      <c r="N117" s="1399"/>
      <c r="O117" s="1280"/>
      <c r="Z117" s="1280"/>
    </row>
    <row r="118" spans="1:26" x14ac:dyDescent="0.6">
      <c r="A118" s="1280"/>
      <c r="N118" s="1399"/>
      <c r="O118" s="1280"/>
      <c r="Z118" s="1280"/>
    </row>
    <row r="119" spans="1:26" x14ac:dyDescent="0.6">
      <c r="A119" s="1280"/>
      <c r="N119" s="1399"/>
      <c r="O119" s="1280"/>
      <c r="Z119" s="1280"/>
    </row>
    <row r="120" spans="1:26" x14ac:dyDescent="0.6">
      <c r="A120" s="1280"/>
      <c r="N120" s="1399"/>
      <c r="O120" s="1280"/>
      <c r="Z120" s="1280"/>
    </row>
    <row r="121" spans="1:26" x14ac:dyDescent="0.6">
      <c r="A121" s="1280"/>
      <c r="N121" s="1399"/>
      <c r="O121" s="1280"/>
      <c r="Z121" s="1280"/>
    </row>
    <row r="122" spans="1:26" x14ac:dyDescent="0.6">
      <c r="A122" s="1280"/>
      <c r="N122" s="1399"/>
      <c r="O122" s="1280"/>
      <c r="Z122" s="1280"/>
    </row>
    <row r="123" spans="1:26" x14ac:dyDescent="0.6">
      <c r="A123" s="1280"/>
      <c r="N123" s="1399"/>
      <c r="O123" s="1280"/>
      <c r="Z123" s="1280"/>
    </row>
    <row r="124" spans="1:26" x14ac:dyDescent="0.6">
      <c r="A124" s="1280"/>
      <c r="N124" s="1399"/>
      <c r="O124" s="1280"/>
      <c r="Z124" s="1280"/>
    </row>
    <row r="125" spans="1:26" x14ac:dyDescent="0.6">
      <c r="A125" s="1280"/>
      <c r="N125" s="1399"/>
      <c r="O125" s="1280"/>
      <c r="Z125" s="1280"/>
    </row>
    <row r="126" spans="1:26" x14ac:dyDescent="0.6">
      <c r="A126" s="1280"/>
      <c r="N126" s="1399"/>
      <c r="O126" s="1280"/>
      <c r="Z126" s="1280"/>
    </row>
    <row r="127" spans="1:26" x14ac:dyDescent="0.6">
      <c r="A127" s="1280"/>
      <c r="N127" s="1399"/>
      <c r="O127" s="1280"/>
      <c r="Z127" s="1280"/>
    </row>
    <row r="128" spans="1:26" x14ac:dyDescent="0.6">
      <c r="A128" s="1280"/>
      <c r="N128" s="1399"/>
      <c r="O128" s="1280"/>
      <c r="Z128" s="1280"/>
    </row>
    <row r="129" spans="1:26" x14ac:dyDescent="0.6">
      <c r="A129" s="1280"/>
      <c r="N129" s="1399"/>
      <c r="O129" s="1280"/>
      <c r="Z129" s="1280"/>
    </row>
    <row r="130" spans="1:26" x14ac:dyDescent="0.6">
      <c r="A130" s="1280"/>
      <c r="N130" s="1399"/>
      <c r="O130" s="1280"/>
      <c r="Z130" s="1280"/>
    </row>
    <row r="131" spans="1:26" x14ac:dyDescent="0.6">
      <c r="A131" s="1280"/>
      <c r="N131" s="1399"/>
      <c r="O131" s="1280"/>
      <c r="Z131" s="1280"/>
    </row>
    <row r="132" spans="1:26" x14ac:dyDescent="0.6">
      <c r="A132" s="1280"/>
      <c r="N132" s="1399"/>
      <c r="O132" s="1280"/>
      <c r="Z132" s="1280"/>
    </row>
    <row r="133" spans="1:26" x14ac:dyDescent="0.6">
      <c r="A133" s="1280"/>
      <c r="N133" s="1399"/>
      <c r="O133" s="1280"/>
      <c r="Z133" s="1280"/>
    </row>
    <row r="134" spans="1:26" x14ac:dyDescent="0.6">
      <c r="A134" s="1280"/>
      <c r="N134" s="1399"/>
      <c r="O134" s="1280"/>
      <c r="Z134" s="1280"/>
    </row>
    <row r="135" spans="1:26" x14ac:dyDescent="0.6">
      <c r="A135" s="1280"/>
      <c r="N135" s="1399"/>
      <c r="O135" s="1280"/>
      <c r="Z135" s="1280"/>
    </row>
    <row r="136" spans="1:26" x14ac:dyDescent="0.6">
      <c r="A136" s="1280"/>
      <c r="N136" s="1399"/>
      <c r="O136" s="1280"/>
      <c r="Z136" s="1280"/>
    </row>
    <row r="137" spans="1:26" x14ac:dyDescent="0.6">
      <c r="A137" s="1280"/>
      <c r="N137" s="1399"/>
      <c r="O137" s="1280"/>
      <c r="Z137" s="1280"/>
    </row>
    <row r="138" spans="1:26" x14ac:dyDescent="0.6">
      <c r="A138" s="1280"/>
      <c r="N138" s="1399"/>
      <c r="O138" s="1280"/>
      <c r="Z138" s="1280"/>
    </row>
    <row r="139" spans="1:26" x14ac:dyDescent="0.6">
      <c r="A139" s="1280"/>
      <c r="N139" s="1399"/>
      <c r="O139" s="1280"/>
      <c r="Z139" s="1280"/>
    </row>
    <row r="140" spans="1:26" x14ac:dyDescent="0.6">
      <c r="A140" s="1280"/>
      <c r="N140" s="1399"/>
      <c r="O140" s="1280"/>
      <c r="Z140" s="1280"/>
    </row>
    <row r="141" spans="1:26" x14ac:dyDescent="0.6">
      <c r="A141" s="1280"/>
      <c r="N141" s="1399"/>
      <c r="O141" s="1280"/>
      <c r="Z141" s="1280"/>
    </row>
    <row r="142" spans="1:26" x14ac:dyDescent="0.6">
      <c r="A142" s="1280"/>
      <c r="N142" s="1399"/>
      <c r="O142" s="1280"/>
      <c r="Z142" s="1280"/>
    </row>
    <row r="143" spans="1:26" x14ac:dyDescent="0.6">
      <c r="A143" s="1280"/>
      <c r="N143" s="1399"/>
      <c r="O143" s="1280"/>
      <c r="Z143" s="1280"/>
    </row>
    <row r="144" spans="1:26" x14ac:dyDescent="0.6">
      <c r="A144" s="1280"/>
      <c r="N144" s="1399"/>
      <c r="O144" s="1280"/>
      <c r="Z144" s="1280"/>
    </row>
    <row r="145" spans="1:26" x14ac:dyDescent="0.6">
      <c r="A145" s="1280"/>
      <c r="N145" s="1399"/>
      <c r="O145" s="1280"/>
      <c r="Z145" s="1280"/>
    </row>
    <row r="146" spans="1:26" x14ac:dyDescent="0.6">
      <c r="A146" s="1280"/>
      <c r="N146" s="1399"/>
      <c r="O146" s="1280"/>
      <c r="Z146" s="1280"/>
    </row>
    <row r="147" spans="1:26" x14ac:dyDescent="0.6">
      <c r="A147" s="1280"/>
      <c r="N147" s="1399"/>
      <c r="O147" s="1280"/>
      <c r="Z147" s="1280"/>
    </row>
    <row r="148" spans="1:26" x14ac:dyDescent="0.6">
      <c r="A148" s="1280"/>
      <c r="N148" s="1399"/>
      <c r="O148" s="1280"/>
      <c r="Z148" s="1280"/>
    </row>
    <row r="149" spans="1:26" x14ac:dyDescent="0.6">
      <c r="A149" s="1280"/>
      <c r="N149" s="1399"/>
      <c r="O149" s="1280"/>
      <c r="Z149" s="1280"/>
    </row>
    <row r="150" spans="1:26" x14ac:dyDescent="0.6">
      <c r="A150" s="1280"/>
      <c r="N150" s="1399"/>
      <c r="O150" s="1280"/>
      <c r="Z150" s="1280"/>
    </row>
    <row r="151" spans="1:26" x14ac:dyDescent="0.6">
      <c r="A151" s="1280"/>
      <c r="N151" s="1399"/>
      <c r="O151" s="1280"/>
      <c r="Z151" s="1280"/>
    </row>
    <row r="152" spans="1:26" x14ac:dyDescent="0.6">
      <c r="A152" s="1280"/>
      <c r="N152" s="1399"/>
      <c r="O152" s="1280"/>
      <c r="Z152" s="1280"/>
    </row>
    <row r="153" spans="1:26" x14ac:dyDescent="0.6">
      <c r="A153" s="1280"/>
      <c r="N153" s="1399"/>
      <c r="O153" s="1280"/>
      <c r="Z153" s="1280"/>
    </row>
    <row r="154" spans="1:26" x14ac:dyDescent="0.6">
      <c r="A154" s="1280"/>
      <c r="N154" s="1399"/>
      <c r="O154" s="1280"/>
      <c r="Z154" s="1280"/>
    </row>
    <row r="155" spans="1:26" x14ac:dyDescent="0.6">
      <c r="A155" s="1280"/>
      <c r="N155" s="1399"/>
      <c r="O155" s="1280"/>
      <c r="Z155" s="1280"/>
    </row>
    <row r="156" spans="1:26" x14ac:dyDescent="0.6">
      <c r="A156" s="1280"/>
      <c r="N156" s="1399"/>
      <c r="O156" s="1280"/>
      <c r="Z156" s="1280"/>
    </row>
    <row r="157" spans="1:26" x14ac:dyDescent="0.6">
      <c r="A157" s="1280"/>
      <c r="N157" s="1399"/>
      <c r="O157" s="1280"/>
      <c r="Z157" s="1280"/>
    </row>
    <row r="158" spans="1:26" x14ac:dyDescent="0.6">
      <c r="A158" s="1280"/>
      <c r="N158" s="1399"/>
      <c r="O158" s="1280"/>
      <c r="Z158" s="1280"/>
    </row>
    <row r="159" spans="1:26" x14ac:dyDescent="0.6">
      <c r="A159" s="1280"/>
      <c r="N159" s="1399"/>
      <c r="O159" s="1280"/>
      <c r="Z159" s="1280"/>
    </row>
    <row r="160" spans="1:26" x14ac:dyDescent="0.6">
      <c r="A160" s="1280"/>
      <c r="N160" s="1399"/>
      <c r="O160" s="1280"/>
      <c r="Z160" s="1280"/>
    </row>
    <row r="161" spans="1:26" x14ac:dyDescent="0.6">
      <c r="A161" s="1280"/>
      <c r="N161" s="1399"/>
      <c r="O161" s="1280"/>
      <c r="Z161" s="1280"/>
    </row>
    <row r="162" spans="1:26" x14ac:dyDescent="0.6">
      <c r="A162" s="1280"/>
      <c r="N162" s="1399"/>
      <c r="O162" s="1280"/>
      <c r="Z162" s="1280"/>
    </row>
    <row r="163" spans="1:26" x14ac:dyDescent="0.6">
      <c r="A163" s="1280"/>
      <c r="N163" s="1399"/>
      <c r="O163" s="1280"/>
      <c r="Z163" s="1280"/>
    </row>
    <row r="164" spans="1:26" x14ac:dyDescent="0.6">
      <c r="A164" s="1280"/>
      <c r="N164" s="1399"/>
      <c r="O164" s="1280"/>
      <c r="Z164" s="1280"/>
    </row>
    <row r="165" spans="1:26" x14ac:dyDescent="0.6">
      <c r="A165" s="1280"/>
      <c r="N165" s="1399"/>
      <c r="O165" s="1280"/>
      <c r="Z165" s="1280"/>
    </row>
    <row r="166" spans="1:26" x14ac:dyDescent="0.6">
      <c r="A166" s="1280"/>
      <c r="N166" s="1399"/>
      <c r="O166" s="1280"/>
      <c r="Z166" s="1280"/>
    </row>
    <row r="167" spans="1:26" x14ac:dyDescent="0.6">
      <c r="A167" s="1280"/>
      <c r="N167" s="1399"/>
      <c r="O167" s="1280"/>
      <c r="Z167" s="1280"/>
    </row>
    <row r="168" spans="1:26" x14ac:dyDescent="0.6">
      <c r="A168" s="1280"/>
      <c r="N168" s="1399"/>
      <c r="O168" s="1280"/>
      <c r="Z168" s="1280"/>
    </row>
    <row r="169" spans="1:26" x14ac:dyDescent="0.6">
      <c r="A169" s="1280"/>
      <c r="N169" s="1399"/>
      <c r="O169" s="1280"/>
      <c r="Z169" s="1280"/>
    </row>
    <row r="170" spans="1:26" x14ac:dyDescent="0.6">
      <c r="A170" s="1280"/>
      <c r="N170" s="1399"/>
      <c r="O170" s="1280"/>
      <c r="Z170" s="1280"/>
    </row>
    <row r="171" spans="1:26" x14ac:dyDescent="0.6">
      <c r="A171" s="1280"/>
      <c r="N171" s="1399"/>
      <c r="O171" s="1280"/>
      <c r="Z171" s="1280"/>
    </row>
    <row r="172" spans="1:26" x14ac:dyDescent="0.6">
      <c r="A172" s="1280"/>
      <c r="N172" s="1399"/>
      <c r="O172" s="1280"/>
      <c r="Z172" s="1280"/>
    </row>
    <row r="173" spans="1:26" x14ac:dyDescent="0.6">
      <c r="A173" s="1280"/>
      <c r="N173" s="1399"/>
      <c r="O173" s="1280"/>
      <c r="Z173" s="1280"/>
    </row>
    <row r="174" spans="1:26" x14ac:dyDescent="0.6">
      <c r="A174" s="1280"/>
      <c r="N174" s="1399"/>
      <c r="O174" s="1280"/>
      <c r="Z174" s="1280"/>
    </row>
    <row r="175" spans="1:26" x14ac:dyDescent="0.6">
      <c r="A175" s="1280"/>
      <c r="N175" s="1399"/>
      <c r="O175" s="1280"/>
      <c r="Z175" s="1280"/>
    </row>
    <row r="176" spans="1:26" x14ac:dyDescent="0.6">
      <c r="A176" s="1280"/>
      <c r="N176" s="1399"/>
      <c r="O176" s="1280"/>
      <c r="Z176" s="1280"/>
    </row>
    <row r="177" spans="1:26" x14ac:dyDescent="0.6">
      <c r="A177" s="1280"/>
      <c r="N177" s="1399"/>
      <c r="O177" s="1280"/>
      <c r="Z177" s="1280"/>
    </row>
    <row r="178" spans="1:26" x14ac:dyDescent="0.6">
      <c r="A178" s="1280"/>
      <c r="N178" s="1399"/>
      <c r="O178" s="1280"/>
      <c r="Z178" s="1280"/>
    </row>
    <row r="179" spans="1:26" x14ac:dyDescent="0.6">
      <c r="A179" s="1280"/>
      <c r="N179" s="1399"/>
      <c r="O179" s="1280"/>
      <c r="Z179" s="1280"/>
    </row>
    <row r="180" spans="1:26" x14ac:dyDescent="0.6">
      <c r="A180" s="1280"/>
      <c r="N180" s="1399"/>
      <c r="O180" s="1280"/>
      <c r="Z180" s="1280"/>
    </row>
    <row r="181" spans="1:26" x14ac:dyDescent="0.6">
      <c r="A181" s="1280"/>
      <c r="N181" s="1399"/>
      <c r="O181" s="1280"/>
      <c r="Z181" s="1280"/>
    </row>
    <row r="182" spans="1:26" x14ac:dyDescent="0.6">
      <c r="A182" s="1280"/>
      <c r="N182" s="1399"/>
      <c r="O182" s="1280"/>
      <c r="Z182" s="1280"/>
    </row>
    <row r="183" spans="1:26" x14ac:dyDescent="0.6">
      <c r="A183" s="1280"/>
      <c r="N183" s="1399"/>
      <c r="O183" s="1280"/>
      <c r="Z183" s="1280"/>
    </row>
    <row r="184" spans="1:26" x14ac:dyDescent="0.6">
      <c r="A184" s="1280"/>
      <c r="N184" s="1399"/>
      <c r="O184" s="1280"/>
      <c r="Z184" s="1280"/>
    </row>
    <row r="185" spans="1:26" x14ac:dyDescent="0.6">
      <c r="A185" s="1280"/>
      <c r="N185" s="1399"/>
      <c r="O185" s="1280"/>
      <c r="Z185" s="1280"/>
    </row>
    <row r="186" spans="1:26" x14ac:dyDescent="0.6">
      <c r="A186" s="1280"/>
      <c r="N186" s="1399"/>
      <c r="O186" s="1280"/>
      <c r="Z186" s="1280"/>
    </row>
    <row r="187" spans="1:26" x14ac:dyDescent="0.6">
      <c r="A187" s="1280"/>
      <c r="N187" s="1399"/>
      <c r="O187" s="1280"/>
      <c r="Z187" s="1280"/>
    </row>
    <row r="188" spans="1:26" x14ac:dyDescent="0.6">
      <c r="A188" s="1280"/>
      <c r="N188" s="1399"/>
      <c r="O188" s="1280"/>
      <c r="Z188" s="1280"/>
    </row>
    <row r="189" spans="1:26" x14ac:dyDescent="0.6">
      <c r="A189" s="1280"/>
      <c r="N189" s="1399"/>
      <c r="O189" s="1280"/>
      <c r="Z189" s="1280"/>
    </row>
    <row r="190" spans="1:26" x14ac:dyDescent="0.6">
      <c r="A190" s="1280"/>
      <c r="N190" s="1399"/>
      <c r="O190" s="1280"/>
      <c r="Z190" s="1280"/>
    </row>
    <row r="191" spans="1:26" x14ac:dyDescent="0.6">
      <c r="A191" s="1280"/>
      <c r="N191" s="1399"/>
      <c r="O191" s="1280"/>
      <c r="Z191" s="1280"/>
    </row>
    <row r="192" spans="1:26" x14ac:dyDescent="0.6">
      <c r="A192" s="1280"/>
      <c r="N192" s="1399"/>
      <c r="O192" s="1280"/>
      <c r="Z192" s="1280"/>
    </row>
    <row r="193" spans="1:26" x14ac:dyDescent="0.6">
      <c r="A193" s="1280"/>
      <c r="N193" s="1399"/>
      <c r="O193" s="1280"/>
      <c r="Z193" s="1280"/>
    </row>
    <row r="194" spans="1:26" x14ac:dyDescent="0.6">
      <c r="A194" s="1280"/>
      <c r="N194" s="1399"/>
      <c r="O194" s="1280"/>
      <c r="Z194" s="1280"/>
    </row>
    <row r="195" spans="1:26" x14ac:dyDescent="0.6">
      <c r="A195" s="1280"/>
      <c r="N195" s="1399"/>
      <c r="O195" s="1280"/>
      <c r="Z195" s="1280"/>
    </row>
    <row r="196" spans="1:26" x14ac:dyDescent="0.6">
      <c r="A196" s="1280"/>
      <c r="N196" s="1399"/>
      <c r="O196" s="1280"/>
      <c r="Z196" s="1280"/>
    </row>
    <row r="197" spans="1:26" x14ac:dyDescent="0.6">
      <c r="A197" s="1280"/>
      <c r="N197" s="1399"/>
      <c r="O197" s="1280"/>
      <c r="Z197" s="1280"/>
    </row>
    <row r="198" spans="1:26" x14ac:dyDescent="0.6">
      <c r="A198" s="1280"/>
      <c r="N198" s="1399"/>
      <c r="O198" s="1280"/>
      <c r="Z198" s="1280"/>
    </row>
    <row r="199" spans="1:26" x14ac:dyDescent="0.6">
      <c r="A199" s="1280"/>
      <c r="N199" s="1399"/>
      <c r="O199" s="1280"/>
      <c r="Z199" s="1280"/>
    </row>
    <row r="200" spans="1:26" x14ac:dyDescent="0.6">
      <c r="A200" s="1280"/>
      <c r="N200" s="1399"/>
      <c r="O200" s="1280"/>
      <c r="Z200" s="1280"/>
    </row>
    <row r="201" spans="1:26" x14ac:dyDescent="0.6">
      <c r="A201" s="1280"/>
      <c r="N201" s="1399"/>
      <c r="O201" s="1280"/>
      <c r="Z201" s="1280"/>
    </row>
    <row r="202" spans="1:26" x14ac:dyDescent="0.6">
      <c r="A202" s="1280"/>
      <c r="N202" s="1399"/>
      <c r="O202" s="1280"/>
      <c r="Z202" s="1280"/>
    </row>
    <row r="203" spans="1:26" x14ac:dyDescent="0.6">
      <c r="A203" s="1280"/>
      <c r="N203" s="1399"/>
      <c r="O203" s="1280"/>
      <c r="Z203" s="1280"/>
    </row>
    <row r="204" spans="1:26" x14ac:dyDescent="0.6">
      <c r="A204" s="1280"/>
      <c r="N204" s="1399"/>
      <c r="O204" s="1280"/>
      <c r="Z204" s="1280"/>
    </row>
    <row r="205" spans="1:26" x14ac:dyDescent="0.6">
      <c r="A205" s="1280"/>
      <c r="N205" s="1399"/>
      <c r="O205" s="1280"/>
      <c r="Z205" s="1280"/>
    </row>
    <row r="206" spans="1:26" x14ac:dyDescent="0.6">
      <c r="A206" s="1280"/>
      <c r="N206" s="1399"/>
      <c r="O206" s="1280"/>
      <c r="Z206" s="1280"/>
    </row>
    <row r="207" spans="1:26" x14ac:dyDescent="0.6">
      <c r="A207" s="1280"/>
      <c r="N207" s="1399"/>
      <c r="O207" s="1280"/>
      <c r="Z207" s="1280"/>
    </row>
    <row r="208" spans="1:26" x14ac:dyDescent="0.6">
      <c r="A208" s="1280"/>
      <c r="N208" s="1399"/>
      <c r="O208" s="1280"/>
      <c r="Z208" s="1280"/>
    </row>
    <row r="209" spans="1:26" x14ac:dyDescent="0.6">
      <c r="A209" s="1280"/>
      <c r="N209" s="1399"/>
      <c r="O209" s="1280"/>
      <c r="Z209" s="1280"/>
    </row>
    <row r="210" spans="1:26" x14ac:dyDescent="0.6">
      <c r="A210" s="1280"/>
      <c r="N210" s="1399"/>
      <c r="O210" s="1280"/>
      <c r="Z210" s="1280"/>
    </row>
    <row r="211" spans="1:26" x14ac:dyDescent="0.6">
      <c r="A211" s="1280"/>
      <c r="N211" s="1399"/>
      <c r="O211" s="1280"/>
      <c r="Z211" s="1280"/>
    </row>
    <row r="212" spans="1:26" x14ac:dyDescent="0.6">
      <c r="A212" s="1280"/>
      <c r="N212" s="1399"/>
      <c r="O212" s="1280"/>
      <c r="Z212" s="1280"/>
    </row>
    <row r="213" spans="1:26" x14ac:dyDescent="0.6">
      <c r="A213" s="1280"/>
      <c r="N213" s="1399"/>
      <c r="O213" s="1280"/>
      <c r="Z213" s="1280"/>
    </row>
    <row r="214" spans="1:26" x14ac:dyDescent="0.6">
      <c r="A214" s="1280"/>
      <c r="N214" s="1399"/>
      <c r="O214" s="1280"/>
      <c r="Z214" s="1280"/>
    </row>
    <row r="215" spans="1:26" x14ac:dyDescent="0.6">
      <c r="A215" s="1280"/>
      <c r="N215" s="1399"/>
      <c r="O215" s="1280"/>
      <c r="Z215" s="1280"/>
    </row>
    <row r="216" spans="1:26" x14ac:dyDescent="0.6">
      <c r="A216" s="1280"/>
      <c r="N216" s="1399"/>
      <c r="O216" s="1280"/>
      <c r="Z216" s="1280"/>
    </row>
    <row r="217" spans="1:26" x14ac:dyDescent="0.6">
      <c r="A217" s="1280"/>
      <c r="N217" s="1399"/>
      <c r="O217" s="1280"/>
      <c r="Z217" s="1280"/>
    </row>
    <row r="218" spans="1:26" x14ac:dyDescent="0.6">
      <c r="A218" s="1280"/>
      <c r="N218" s="1399"/>
      <c r="O218" s="1280"/>
      <c r="Z218" s="1280"/>
    </row>
    <row r="219" spans="1:26" x14ac:dyDescent="0.6">
      <c r="A219" s="1280"/>
      <c r="N219" s="1399"/>
      <c r="O219" s="1280"/>
      <c r="Z219" s="1280"/>
    </row>
    <row r="220" spans="1:26" x14ac:dyDescent="0.6">
      <c r="A220" s="1280"/>
      <c r="N220" s="1399"/>
      <c r="O220" s="1280"/>
      <c r="Z220" s="1280"/>
    </row>
    <row r="221" spans="1:26" x14ac:dyDescent="0.6">
      <c r="A221" s="1280"/>
      <c r="N221" s="1399"/>
      <c r="O221" s="1280"/>
      <c r="Z221" s="1280"/>
    </row>
    <row r="222" spans="1:26" x14ac:dyDescent="0.6">
      <c r="A222" s="1280"/>
      <c r="N222" s="1399"/>
      <c r="O222" s="1280"/>
      <c r="Z222" s="1280"/>
    </row>
    <row r="223" spans="1:26" x14ac:dyDescent="0.6">
      <c r="A223" s="1280"/>
      <c r="N223" s="1399"/>
      <c r="O223" s="1280"/>
      <c r="Z223" s="1280"/>
    </row>
    <row r="224" spans="1:26" x14ac:dyDescent="0.6">
      <c r="A224" s="1280"/>
      <c r="N224" s="1399"/>
      <c r="O224" s="1280"/>
      <c r="Z224" s="1280"/>
    </row>
    <row r="225" spans="1:26" x14ac:dyDescent="0.6">
      <c r="A225" s="1280"/>
      <c r="N225" s="1399"/>
      <c r="O225" s="1280"/>
      <c r="Z225" s="1280"/>
    </row>
    <row r="226" spans="1:26" x14ac:dyDescent="0.6">
      <c r="A226" s="1280"/>
      <c r="N226" s="1399"/>
      <c r="O226" s="1280"/>
      <c r="Z226" s="1280"/>
    </row>
    <row r="227" spans="1:26" x14ac:dyDescent="0.6">
      <c r="A227" s="1280"/>
      <c r="N227" s="1399"/>
      <c r="O227" s="1280"/>
      <c r="Z227" s="1280"/>
    </row>
    <row r="228" spans="1:26" x14ac:dyDescent="0.6">
      <c r="A228" s="1280"/>
      <c r="N228" s="1399"/>
      <c r="O228" s="1280"/>
      <c r="Z228" s="1280"/>
    </row>
    <row r="229" spans="1:26" x14ac:dyDescent="0.6">
      <c r="A229" s="1280"/>
      <c r="N229" s="1399"/>
      <c r="O229" s="1280"/>
      <c r="Z229" s="1280"/>
    </row>
    <row r="230" spans="1:26" x14ac:dyDescent="0.6">
      <c r="A230" s="1280"/>
      <c r="N230" s="1399"/>
      <c r="O230" s="1280"/>
      <c r="Z230" s="1280"/>
    </row>
    <row r="231" spans="1:26" x14ac:dyDescent="0.6">
      <c r="A231" s="1280"/>
      <c r="N231" s="1399"/>
      <c r="O231" s="1280"/>
      <c r="Z231" s="1280"/>
    </row>
    <row r="232" spans="1:26" x14ac:dyDescent="0.6">
      <c r="A232" s="1280"/>
      <c r="N232" s="1399"/>
      <c r="O232" s="1280"/>
      <c r="Z232" s="1280"/>
    </row>
    <row r="233" spans="1:26" x14ac:dyDescent="0.6">
      <c r="A233" s="1280"/>
      <c r="N233" s="1399"/>
      <c r="O233" s="1280"/>
      <c r="Z233" s="1280"/>
    </row>
    <row r="234" spans="1:26" x14ac:dyDescent="0.6">
      <c r="A234" s="1280"/>
      <c r="N234" s="1399"/>
      <c r="O234" s="1280"/>
      <c r="Z234" s="1280"/>
    </row>
    <row r="235" spans="1:26" x14ac:dyDescent="0.6">
      <c r="A235" s="1280"/>
      <c r="N235" s="1399"/>
      <c r="O235" s="1280"/>
      <c r="Z235" s="1280"/>
    </row>
    <row r="236" spans="1:26" x14ac:dyDescent="0.6">
      <c r="A236" s="1280"/>
      <c r="N236" s="1399"/>
      <c r="O236" s="1280"/>
      <c r="Z236" s="1280"/>
    </row>
    <row r="237" spans="1:26" x14ac:dyDescent="0.6">
      <c r="A237" s="1280"/>
      <c r="N237" s="1399"/>
      <c r="O237" s="1280"/>
      <c r="Z237" s="1280"/>
    </row>
    <row r="238" spans="1:26" x14ac:dyDescent="0.6">
      <c r="A238" s="1280"/>
      <c r="N238" s="1399"/>
      <c r="O238" s="1280"/>
      <c r="Z238" s="1280"/>
    </row>
    <row r="239" spans="1:26" x14ac:dyDescent="0.6">
      <c r="A239" s="1280"/>
      <c r="N239" s="1399"/>
      <c r="O239" s="1280"/>
      <c r="Z239" s="1280"/>
    </row>
    <row r="240" spans="1:26" x14ac:dyDescent="0.6">
      <c r="A240" s="1280"/>
      <c r="N240" s="1399"/>
      <c r="O240" s="1280"/>
      <c r="Z240" s="1280"/>
    </row>
    <row r="241" spans="1:26" x14ac:dyDescent="0.6">
      <c r="A241" s="1280"/>
      <c r="N241" s="1399"/>
      <c r="O241" s="1280"/>
      <c r="Z241" s="1280"/>
    </row>
    <row r="242" spans="1:26" x14ac:dyDescent="0.6">
      <c r="A242" s="1280"/>
      <c r="N242" s="1399"/>
      <c r="O242" s="1280"/>
      <c r="Z242" s="1280"/>
    </row>
    <row r="243" spans="1:26" x14ac:dyDescent="0.6">
      <c r="A243" s="1280"/>
      <c r="N243" s="1399"/>
      <c r="O243" s="1280"/>
      <c r="Z243" s="1280"/>
    </row>
    <row r="244" spans="1:26" x14ac:dyDescent="0.6">
      <c r="A244" s="1280"/>
      <c r="N244" s="1399"/>
      <c r="O244" s="1280"/>
      <c r="Z244" s="1280"/>
    </row>
    <row r="245" spans="1:26" x14ac:dyDescent="0.6">
      <c r="A245" s="1280"/>
      <c r="N245" s="1399"/>
      <c r="O245" s="1280"/>
      <c r="Z245" s="1280"/>
    </row>
    <row r="246" spans="1:26" x14ac:dyDescent="0.6">
      <c r="A246" s="1280"/>
      <c r="N246" s="1399"/>
      <c r="O246" s="1280"/>
      <c r="Z246" s="1280"/>
    </row>
    <row r="247" spans="1:26" x14ac:dyDescent="0.6">
      <c r="A247" s="1280"/>
      <c r="N247" s="1399"/>
      <c r="O247" s="1280"/>
      <c r="Z247" s="1280"/>
    </row>
    <row r="248" spans="1:26" x14ac:dyDescent="0.6">
      <c r="A248" s="1280"/>
      <c r="N248" s="1399"/>
      <c r="O248" s="1280"/>
      <c r="Z248" s="1280"/>
    </row>
    <row r="249" spans="1:26" x14ac:dyDescent="0.6">
      <c r="A249" s="1280"/>
      <c r="N249" s="1399"/>
      <c r="O249" s="1280"/>
      <c r="Z249" s="1280"/>
    </row>
    <row r="250" spans="1:26" x14ac:dyDescent="0.6">
      <c r="A250" s="1280"/>
      <c r="N250" s="1399"/>
      <c r="O250" s="1280"/>
      <c r="Z250" s="1280"/>
    </row>
    <row r="251" spans="1:26" x14ac:dyDescent="0.6">
      <c r="A251" s="1280"/>
      <c r="N251" s="1399"/>
      <c r="O251" s="1280"/>
      <c r="Z251" s="1280"/>
    </row>
    <row r="252" spans="1:26" x14ac:dyDescent="0.6">
      <c r="A252" s="1280"/>
      <c r="N252" s="1399"/>
      <c r="O252" s="1280"/>
      <c r="Z252" s="1280"/>
    </row>
    <row r="253" spans="1:26" x14ac:dyDescent="0.6">
      <c r="A253" s="1280"/>
      <c r="N253" s="1399"/>
      <c r="O253" s="1280"/>
      <c r="Z253" s="1280"/>
    </row>
    <row r="254" spans="1:26" x14ac:dyDescent="0.6">
      <c r="A254" s="1280"/>
      <c r="N254" s="1399"/>
      <c r="O254" s="1280"/>
      <c r="Z254" s="1280"/>
    </row>
    <row r="255" spans="1:26" x14ac:dyDescent="0.6">
      <c r="A255" s="1280"/>
      <c r="N255" s="1399"/>
      <c r="O255" s="1280"/>
      <c r="Z255" s="1280"/>
    </row>
    <row r="256" spans="1:26" x14ac:dyDescent="0.6">
      <c r="A256" s="1280"/>
      <c r="N256" s="1399"/>
      <c r="O256" s="1280"/>
      <c r="Z256" s="1280"/>
    </row>
    <row r="257" spans="1:26" x14ac:dyDescent="0.6">
      <c r="A257" s="1280"/>
      <c r="N257" s="1399"/>
      <c r="O257" s="1280"/>
      <c r="Z257" s="1280"/>
    </row>
    <row r="258" spans="1:26" x14ac:dyDescent="0.6">
      <c r="A258" s="1280"/>
      <c r="N258" s="1399"/>
      <c r="O258" s="1280"/>
      <c r="Z258" s="1280"/>
    </row>
    <row r="259" spans="1:26" x14ac:dyDescent="0.6">
      <c r="A259" s="1280"/>
      <c r="N259" s="1399"/>
      <c r="O259" s="1280"/>
      <c r="Z259" s="1280"/>
    </row>
    <row r="260" spans="1:26" x14ac:dyDescent="0.6">
      <c r="A260" s="1280"/>
      <c r="N260" s="1399"/>
      <c r="O260" s="1280"/>
      <c r="Z260" s="1280"/>
    </row>
    <row r="261" spans="1:26" x14ac:dyDescent="0.6">
      <c r="A261" s="1280"/>
      <c r="N261" s="1399"/>
      <c r="O261" s="1280"/>
      <c r="Z261" s="1280"/>
    </row>
    <row r="262" spans="1:26" x14ac:dyDescent="0.6">
      <c r="A262" s="1280"/>
      <c r="N262" s="1399"/>
      <c r="O262" s="1280"/>
      <c r="Z262" s="1280"/>
    </row>
    <row r="263" spans="1:26" x14ac:dyDescent="0.6">
      <c r="A263" s="1280"/>
      <c r="N263" s="1399"/>
      <c r="O263" s="1280"/>
      <c r="Z263" s="1280"/>
    </row>
    <row r="264" spans="1:26" x14ac:dyDescent="0.6">
      <c r="A264" s="1280"/>
      <c r="N264" s="1399"/>
      <c r="O264" s="1280"/>
      <c r="Z264" s="1280"/>
    </row>
    <row r="265" spans="1:26" x14ac:dyDescent="0.6">
      <c r="A265" s="1280"/>
      <c r="N265" s="1399"/>
      <c r="O265" s="1280"/>
      <c r="Z265" s="1280"/>
    </row>
    <row r="266" spans="1:26" x14ac:dyDescent="0.6">
      <c r="A266" s="1280"/>
      <c r="N266" s="1399"/>
      <c r="O266" s="1280"/>
      <c r="Z266" s="1280"/>
    </row>
    <row r="267" spans="1:26" x14ac:dyDescent="0.6">
      <c r="A267" s="1280"/>
      <c r="N267" s="1399"/>
      <c r="O267" s="1280"/>
      <c r="Z267" s="1280"/>
    </row>
    <row r="268" spans="1:26" x14ac:dyDescent="0.6">
      <c r="A268" s="1280"/>
      <c r="N268" s="1399"/>
      <c r="O268" s="1280"/>
      <c r="Z268" s="1280"/>
    </row>
    <row r="269" spans="1:26" x14ac:dyDescent="0.6">
      <c r="A269" s="1280"/>
      <c r="N269" s="1399"/>
      <c r="O269" s="1280"/>
      <c r="Z269" s="1280"/>
    </row>
    <row r="270" spans="1:26" x14ac:dyDescent="0.6">
      <c r="A270" s="1280"/>
      <c r="N270" s="1399"/>
      <c r="O270" s="1280"/>
      <c r="Z270" s="1280"/>
    </row>
    <row r="271" spans="1:26" x14ac:dyDescent="0.6">
      <c r="A271" s="1280"/>
      <c r="N271" s="1399"/>
      <c r="O271" s="1280"/>
      <c r="Z271" s="1280"/>
    </row>
    <row r="272" spans="1:26" x14ac:dyDescent="0.6">
      <c r="A272" s="1280"/>
      <c r="N272" s="1399"/>
      <c r="O272" s="1280"/>
      <c r="Z272" s="1280"/>
    </row>
    <row r="273" spans="1:26" x14ac:dyDescent="0.6">
      <c r="A273" s="1280"/>
      <c r="N273" s="1399"/>
      <c r="O273" s="1280"/>
      <c r="Z273" s="1280"/>
    </row>
    <row r="274" spans="1:26" x14ac:dyDescent="0.6">
      <c r="A274" s="1280"/>
      <c r="N274" s="1399"/>
      <c r="O274" s="1280"/>
      <c r="Z274" s="1280"/>
    </row>
    <row r="275" spans="1:26" x14ac:dyDescent="0.6">
      <c r="A275" s="1280"/>
      <c r="N275" s="1399"/>
      <c r="O275" s="1280"/>
      <c r="Z275" s="1280"/>
    </row>
    <row r="276" spans="1:26" x14ac:dyDescent="0.6">
      <c r="A276" s="1280"/>
      <c r="N276" s="1399"/>
      <c r="O276" s="1280"/>
      <c r="Z276" s="1280"/>
    </row>
    <row r="277" spans="1:26" x14ac:dyDescent="0.6">
      <c r="A277" s="1280"/>
      <c r="N277" s="1399"/>
      <c r="O277" s="1280"/>
      <c r="Z277" s="1280"/>
    </row>
    <row r="278" spans="1:26" x14ac:dyDescent="0.6">
      <c r="A278" s="1280"/>
      <c r="N278" s="1399"/>
      <c r="O278" s="1280"/>
      <c r="Z278" s="1280"/>
    </row>
    <row r="279" spans="1:26" x14ac:dyDescent="0.6">
      <c r="A279" s="1280"/>
      <c r="N279" s="1399"/>
      <c r="O279" s="1280"/>
      <c r="Z279" s="1280"/>
    </row>
    <row r="280" spans="1:26" x14ac:dyDescent="0.6">
      <c r="A280" s="1280"/>
      <c r="N280" s="1399"/>
      <c r="O280" s="1280"/>
      <c r="Z280" s="1280"/>
    </row>
    <row r="281" spans="1:26" x14ac:dyDescent="0.6">
      <c r="A281" s="1280"/>
      <c r="N281" s="1399"/>
      <c r="O281" s="1280"/>
      <c r="Z281" s="1280"/>
    </row>
    <row r="282" spans="1:26" x14ac:dyDescent="0.6">
      <c r="A282" s="1280"/>
      <c r="N282" s="1399"/>
      <c r="O282" s="1280"/>
      <c r="Z282" s="1280"/>
    </row>
    <row r="283" spans="1:26" x14ac:dyDescent="0.6">
      <c r="A283" s="1280"/>
      <c r="N283" s="1399"/>
      <c r="O283" s="1280"/>
      <c r="Z283" s="1280"/>
    </row>
    <row r="284" spans="1:26" x14ac:dyDescent="0.6">
      <c r="A284" s="1280"/>
      <c r="N284" s="1399"/>
      <c r="O284" s="1280"/>
      <c r="Z284" s="1280"/>
    </row>
    <row r="285" spans="1:26" x14ac:dyDescent="0.6">
      <c r="A285" s="1280"/>
      <c r="N285" s="1399"/>
      <c r="O285" s="1280"/>
      <c r="Z285" s="1280"/>
    </row>
    <row r="286" spans="1:26" x14ac:dyDescent="0.6">
      <c r="A286" s="1280"/>
      <c r="N286" s="1399"/>
      <c r="O286" s="1280"/>
      <c r="Z286" s="1280"/>
    </row>
    <row r="287" spans="1:26" x14ac:dyDescent="0.6">
      <c r="A287" s="1280"/>
      <c r="N287" s="1399"/>
      <c r="O287" s="1280"/>
      <c r="Z287" s="1280"/>
    </row>
    <row r="288" spans="1:26" x14ac:dyDescent="0.6">
      <c r="A288" s="1280"/>
      <c r="N288" s="1399"/>
      <c r="O288" s="1280"/>
      <c r="Z288" s="1280"/>
    </row>
    <row r="289" spans="1:26" x14ac:dyDescent="0.6">
      <c r="A289" s="1280"/>
      <c r="N289" s="1399"/>
      <c r="O289" s="1280"/>
      <c r="Z289" s="1280"/>
    </row>
    <row r="290" spans="1:26" x14ac:dyDescent="0.6">
      <c r="A290" s="1280"/>
      <c r="N290" s="1399"/>
      <c r="O290" s="1280"/>
      <c r="Z290" s="1280"/>
    </row>
    <row r="291" spans="1:26" x14ac:dyDescent="0.6">
      <c r="A291" s="1280"/>
      <c r="N291" s="1399"/>
      <c r="O291" s="1280"/>
      <c r="Z291" s="1280"/>
    </row>
    <row r="292" spans="1:26" x14ac:dyDescent="0.6">
      <c r="A292" s="1280"/>
      <c r="N292" s="1399"/>
      <c r="O292" s="1280"/>
      <c r="Z292" s="1280"/>
    </row>
    <row r="293" spans="1:26" x14ac:dyDescent="0.6">
      <c r="A293" s="1280"/>
      <c r="N293" s="1399"/>
      <c r="O293" s="1280"/>
      <c r="Z293" s="1280"/>
    </row>
    <row r="294" spans="1:26" x14ac:dyDescent="0.6">
      <c r="A294" s="1280"/>
      <c r="N294" s="1399"/>
      <c r="O294" s="1280"/>
      <c r="Z294" s="1280"/>
    </row>
    <row r="295" spans="1:26" x14ac:dyDescent="0.6">
      <c r="A295" s="1280"/>
      <c r="N295" s="1399"/>
      <c r="O295" s="1280"/>
      <c r="Z295" s="1280"/>
    </row>
    <row r="296" spans="1:26" x14ac:dyDescent="0.6">
      <c r="A296" s="1280"/>
      <c r="N296" s="1399"/>
      <c r="O296" s="1280"/>
      <c r="Z296" s="1280"/>
    </row>
    <row r="297" spans="1:26" x14ac:dyDescent="0.6">
      <c r="A297" s="1280"/>
      <c r="N297" s="1399"/>
      <c r="O297" s="1280"/>
      <c r="Z297" s="1280"/>
    </row>
    <row r="298" spans="1:26" x14ac:dyDescent="0.6">
      <c r="A298" s="1280"/>
      <c r="N298" s="1399"/>
      <c r="O298" s="1280"/>
      <c r="Z298" s="1280"/>
    </row>
    <row r="299" spans="1:26" x14ac:dyDescent="0.6">
      <c r="A299" s="1280"/>
      <c r="N299" s="1399"/>
      <c r="O299" s="1280"/>
      <c r="Z299" s="1280"/>
    </row>
    <row r="300" spans="1:26" x14ac:dyDescent="0.6">
      <c r="A300" s="1280"/>
      <c r="N300" s="1399"/>
      <c r="O300" s="1280"/>
      <c r="Z300" s="1280"/>
    </row>
    <row r="301" spans="1:26" x14ac:dyDescent="0.6">
      <c r="A301" s="1280"/>
      <c r="N301" s="1399"/>
      <c r="O301" s="1280"/>
      <c r="Z301" s="1280"/>
    </row>
    <row r="302" spans="1:26" x14ac:dyDescent="0.6">
      <c r="A302" s="1280"/>
      <c r="N302" s="1399"/>
      <c r="O302" s="1280"/>
      <c r="Z302" s="1280"/>
    </row>
    <row r="303" spans="1:26" x14ac:dyDescent="0.6">
      <c r="A303" s="1280"/>
      <c r="N303" s="1399"/>
      <c r="O303" s="1280"/>
      <c r="Z303" s="1280"/>
    </row>
    <row r="304" spans="1:26" x14ac:dyDescent="0.6">
      <c r="A304" s="1280"/>
      <c r="N304" s="1399"/>
      <c r="O304" s="1280"/>
      <c r="Z304" s="1280"/>
    </row>
    <row r="305" spans="1:26" x14ac:dyDescent="0.6">
      <c r="A305" s="1280"/>
      <c r="N305" s="1399"/>
      <c r="O305" s="1280"/>
      <c r="Z305" s="1280"/>
    </row>
    <row r="306" spans="1:26" x14ac:dyDescent="0.6">
      <c r="A306" s="1280"/>
      <c r="N306" s="1399"/>
      <c r="O306" s="1280"/>
      <c r="Z306" s="1280"/>
    </row>
    <row r="307" spans="1:26" x14ac:dyDescent="0.6">
      <c r="A307" s="1280"/>
      <c r="N307" s="1399"/>
      <c r="O307" s="1280"/>
      <c r="Z307" s="1280"/>
    </row>
    <row r="308" spans="1:26" x14ac:dyDescent="0.6">
      <c r="A308" s="1280"/>
      <c r="N308" s="1399"/>
      <c r="O308" s="1280"/>
      <c r="Z308" s="1280"/>
    </row>
    <row r="309" spans="1:26" x14ac:dyDescent="0.6">
      <c r="A309" s="1280"/>
      <c r="N309" s="1399"/>
      <c r="O309" s="1280"/>
      <c r="Z309" s="1280"/>
    </row>
    <row r="310" spans="1:26" x14ac:dyDescent="0.6">
      <c r="A310" s="1280"/>
      <c r="N310" s="1399"/>
      <c r="O310" s="1280"/>
      <c r="Z310" s="1280"/>
    </row>
    <row r="311" spans="1:26" x14ac:dyDescent="0.6">
      <c r="A311" s="1280"/>
      <c r="N311" s="1399"/>
      <c r="O311" s="1280"/>
      <c r="Z311" s="1280"/>
    </row>
    <row r="312" spans="1:26" x14ac:dyDescent="0.6">
      <c r="A312" s="1280"/>
      <c r="N312" s="1399"/>
      <c r="O312" s="1280"/>
      <c r="Z312" s="1280"/>
    </row>
    <row r="313" spans="1:26" x14ac:dyDescent="0.6">
      <c r="A313" s="1280"/>
      <c r="N313" s="1399"/>
      <c r="O313" s="1280"/>
      <c r="Z313" s="1280"/>
    </row>
    <row r="314" spans="1:26" x14ac:dyDescent="0.6">
      <c r="A314" s="1280"/>
      <c r="N314" s="1399"/>
      <c r="O314" s="1280"/>
      <c r="Z314" s="1280"/>
    </row>
    <row r="315" spans="1:26" x14ac:dyDescent="0.6">
      <c r="A315" s="1280"/>
      <c r="N315" s="1399"/>
      <c r="O315" s="1280"/>
      <c r="Z315" s="1280"/>
    </row>
    <row r="316" spans="1:26" x14ac:dyDescent="0.6">
      <c r="A316" s="1280"/>
      <c r="N316" s="1399"/>
      <c r="O316" s="1280"/>
      <c r="Z316" s="1280"/>
    </row>
    <row r="317" spans="1:26" x14ac:dyDescent="0.6">
      <c r="A317" s="1280"/>
      <c r="N317" s="1399"/>
      <c r="O317" s="1280"/>
      <c r="Z317" s="1280"/>
    </row>
    <row r="318" spans="1:26" x14ac:dyDescent="0.6">
      <c r="A318" s="1280"/>
      <c r="N318" s="1399"/>
      <c r="O318" s="1280"/>
      <c r="Z318" s="1280"/>
    </row>
    <row r="319" spans="1:26" x14ac:dyDescent="0.6">
      <c r="A319" s="1280"/>
      <c r="N319" s="1399"/>
      <c r="O319" s="1280"/>
      <c r="Z319" s="1280"/>
    </row>
    <row r="320" spans="1:26" x14ac:dyDescent="0.6">
      <c r="A320" s="1280"/>
      <c r="N320" s="1399"/>
      <c r="O320" s="1280"/>
      <c r="Z320" s="1280"/>
    </row>
    <row r="321" spans="1:26" x14ac:dyDescent="0.6">
      <c r="A321" s="1280"/>
      <c r="N321" s="1399"/>
      <c r="O321" s="1280"/>
      <c r="Z321" s="1280"/>
    </row>
    <row r="322" spans="1:26" x14ac:dyDescent="0.6">
      <c r="A322" s="1280"/>
      <c r="N322" s="1399"/>
      <c r="O322" s="1280"/>
      <c r="Z322" s="1280"/>
    </row>
    <row r="323" spans="1:26" x14ac:dyDescent="0.6">
      <c r="A323" s="1280"/>
      <c r="N323" s="1399"/>
      <c r="O323" s="1280"/>
      <c r="Z323" s="1280"/>
    </row>
    <row r="324" spans="1:26" x14ac:dyDescent="0.6">
      <c r="A324" s="1280"/>
      <c r="N324" s="1399"/>
      <c r="O324" s="1280"/>
      <c r="Z324" s="1280"/>
    </row>
    <row r="325" spans="1:26" x14ac:dyDescent="0.6">
      <c r="A325" s="1280"/>
      <c r="N325" s="1399"/>
      <c r="O325" s="1280"/>
      <c r="Z325" s="1280"/>
    </row>
    <row r="326" spans="1:26" x14ac:dyDescent="0.6">
      <c r="A326" s="1280"/>
      <c r="N326" s="1399"/>
      <c r="O326" s="1280"/>
      <c r="Z326" s="1280"/>
    </row>
    <row r="327" spans="1:26" x14ac:dyDescent="0.6">
      <c r="A327" s="1280"/>
      <c r="N327" s="1399"/>
      <c r="O327" s="1280"/>
      <c r="Z327" s="1280"/>
    </row>
    <row r="328" spans="1:26" x14ac:dyDescent="0.6">
      <c r="A328" s="1280"/>
      <c r="N328" s="1399"/>
      <c r="O328" s="1280"/>
      <c r="Z328" s="1280"/>
    </row>
    <row r="329" spans="1:26" x14ac:dyDescent="0.6">
      <c r="A329" s="1280"/>
      <c r="N329" s="1399"/>
      <c r="O329" s="1280"/>
      <c r="Z329" s="1280"/>
    </row>
    <row r="330" spans="1:26" x14ac:dyDescent="0.6">
      <c r="A330" s="1280"/>
      <c r="N330" s="1399"/>
      <c r="O330" s="1280"/>
      <c r="Z330" s="1280"/>
    </row>
    <row r="331" spans="1:26" x14ac:dyDescent="0.6">
      <c r="A331" s="1280"/>
      <c r="N331" s="1399"/>
      <c r="O331" s="1280"/>
      <c r="Z331" s="1280"/>
    </row>
    <row r="332" spans="1:26" x14ac:dyDescent="0.6">
      <c r="A332" s="1280"/>
      <c r="N332" s="1399"/>
      <c r="O332" s="1280"/>
      <c r="Z332" s="1280"/>
    </row>
    <row r="333" spans="1:26" x14ac:dyDescent="0.6">
      <c r="A333" s="1280"/>
      <c r="N333" s="1399"/>
      <c r="O333" s="1280"/>
      <c r="Z333" s="1280"/>
    </row>
    <row r="334" spans="1:26" x14ac:dyDescent="0.6">
      <c r="A334" s="1280"/>
      <c r="N334" s="1399"/>
      <c r="O334" s="1280"/>
      <c r="Z334" s="1280"/>
    </row>
    <row r="335" spans="1:26" x14ac:dyDescent="0.6">
      <c r="A335" s="1280"/>
      <c r="N335" s="1399"/>
      <c r="O335" s="1280"/>
      <c r="Z335" s="1280"/>
    </row>
    <row r="336" spans="1:26" x14ac:dyDescent="0.6">
      <c r="A336" s="1280"/>
      <c r="N336" s="1399"/>
      <c r="O336" s="1280"/>
      <c r="Z336" s="1280"/>
    </row>
    <row r="337" spans="1:26" x14ac:dyDescent="0.6">
      <c r="A337" s="1280"/>
      <c r="N337" s="1399"/>
      <c r="O337" s="1280"/>
      <c r="Z337" s="1280"/>
    </row>
    <row r="338" spans="1:26" x14ac:dyDescent="0.6">
      <c r="A338" s="1280"/>
      <c r="N338" s="1399"/>
      <c r="O338" s="1280"/>
      <c r="Z338" s="1280"/>
    </row>
    <row r="339" spans="1:26" x14ac:dyDescent="0.6">
      <c r="A339" s="1280"/>
      <c r="N339" s="1399"/>
      <c r="O339" s="1280"/>
      <c r="Z339" s="1280"/>
    </row>
    <row r="340" spans="1:26" x14ac:dyDescent="0.6">
      <c r="A340" s="1280"/>
      <c r="N340" s="1399"/>
      <c r="O340" s="1280"/>
      <c r="Z340" s="1280"/>
    </row>
    <row r="341" spans="1:26" x14ac:dyDescent="0.6">
      <c r="A341" s="1280"/>
      <c r="N341" s="1399"/>
      <c r="O341" s="1280"/>
      <c r="Z341" s="1280"/>
    </row>
    <row r="342" spans="1:26" x14ac:dyDescent="0.6">
      <c r="A342" s="1280"/>
      <c r="N342" s="1399"/>
      <c r="O342" s="1280"/>
      <c r="Z342" s="1280"/>
    </row>
    <row r="343" spans="1:26" x14ac:dyDescent="0.6">
      <c r="A343" s="1280"/>
      <c r="N343" s="1399"/>
      <c r="O343" s="1280"/>
      <c r="Z343" s="1280"/>
    </row>
    <row r="344" spans="1:26" x14ac:dyDescent="0.6">
      <c r="A344" s="1280"/>
      <c r="N344" s="1399"/>
      <c r="O344" s="1280"/>
      <c r="Z344" s="1280"/>
    </row>
    <row r="345" spans="1:26" x14ac:dyDescent="0.6">
      <c r="A345" s="1280"/>
      <c r="N345" s="1399"/>
      <c r="O345" s="1280"/>
      <c r="Z345" s="1280"/>
    </row>
    <row r="346" spans="1:26" x14ac:dyDescent="0.6">
      <c r="A346" s="1280"/>
      <c r="N346" s="1399"/>
      <c r="O346" s="1280"/>
      <c r="Z346" s="1280"/>
    </row>
    <row r="347" spans="1:26" x14ac:dyDescent="0.6">
      <c r="A347" s="1280"/>
      <c r="N347" s="1399"/>
      <c r="O347" s="1280"/>
      <c r="Z347" s="1280"/>
    </row>
    <row r="348" spans="1:26" x14ac:dyDescent="0.6">
      <c r="A348" s="1280"/>
      <c r="N348" s="1399"/>
      <c r="O348" s="1280"/>
      <c r="Z348" s="1280"/>
    </row>
    <row r="349" spans="1:26" x14ac:dyDescent="0.6">
      <c r="A349" s="1280"/>
      <c r="N349" s="1399"/>
      <c r="O349" s="1280"/>
      <c r="Z349" s="1280"/>
    </row>
    <row r="350" spans="1:26" x14ac:dyDescent="0.6">
      <c r="A350" s="1280"/>
      <c r="N350" s="1399"/>
      <c r="O350" s="1280"/>
      <c r="Z350" s="1280"/>
    </row>
    <row r="351" spans="1:26" x14ac:dyDescent="0.6">
      <c r="A351" s="1280"/>
      <c r="N351" s="1399"/>
      <c r="O351" s="1280"/>
      <c r="Z351" s="1280"/>
    </row>
    <row r="352" spans="1:26" x14ac:dyDescent="0.6">
      <c r="A352" s="1280"/>
      <c r="N352" s="1399"/>
      <c r="O352" s="1280"/>
      <c r="Z352" s="1280"/>
    </row>
    <row r="353" spans="1:26" x14ac:dyDescent="0.6">
      <c r="A353" s="1280"/>
      <c r="N353" s="1399"/>
      <c r="O353" s="1280"/>
      <c r="Z353" s="1280"/>
    </row>
    <row r="354" spans="1:26" x14ac:dyDescent="0.6">
      <c r="A354" s="1280"/>
      <c r="N354" s="1399"/>
      <c r="O354" s="1280"/>
      <c r="Z354" s="1280"/>
    </row>
    <row r="355" spans="1:26" x14ac:dyDescent="0.6">
      <c r="A355" s="1280"/>
      <c r="N355" s="1399"/>
      <c r="O355" s="1280"/>
      <c r="Z355" s="1280"/>
    </row>
    <row r="356" spans="1:26" x14ac:dyDescent="0.6">
      <c r="A356" s="1280"/>
      <c r="N356" s="1399"/>
      <c r="O356" s="1280"/>
      <c r="Z356" s="1280"/>
    </row>
    <row r="357" spans="1:26" x14ac:dyDescent="0.6">
      <c r="A357" s="1280"/>
      <c r="N357" s="1399"/>
      <c r="O357" s="1280"/>
      <c r="Z357" s="1280"/>
    </row>
    <row r="358" spans="1:26" x14ac:dyDescent="0.6">
      <c r="A358" s="1280"/>
      <c r="N358" s="1399"/>
      <c r="O358" s="1280"/>
      <c r="Z358" s="1280"/>
    </row>
    <row r="359" spans="1:26" x14ac:dyDescent="0.6">
      <c r="A359" s="1280"/>
      <c r="N359" s="1399"/>
      <c r="O359" s="1280"/>
      <c r="Z359" s="1280"/>
    </row>
    <row r="360" spans="1:26" x14ac:dyDescent="0.6">
      <c r="A360" s="1280"/>
      <c r="N360" s="1399"/>
      <c r="O360" s="1280"/>
      <c r="Z360" s="1280"/>
    </row>
    <row r="361" spans="1:26" x14ac:dyDescent="0.6">
      <c r="A361" s="1280"/>
      <c r="N361" s="1399"/>
      <c r="O361" s="1280"/>
      <c r="Z361" s="1280"/>
    </row>
    <row r="362" spans="1:26" x14ac:dyDescent="0.6">
      <c r="A362" s="1280"/>
      <c r="N362" s="1399"/>
      <c r="O362" s="1280"/>
      <c r="Z362" s="1280"/>
    </row>
    <row r="363" spans="1:26" x14ac:dyDescent="0.6">
      <c r="A363" s="1280"/>
      <c r="N363" s="1399"/>
      <c r="O363" s="1280"/>
      <c r="Z363" s="1280"/>
    </row>
    <row r="364" spans="1:26" x14ac:dyDescent="0.6">
      <c r="A364" s="1280"/>
      <c r="N364" s="1399"/>
      <c r="O364" s="1280"/>
      <c r="Z364" s="1280"/>
    </row>
    <row r="365" spans="1:26" x14ac:dyDescent="0.6">
      <c r="A365" s="1280"/>
      <c r="N365" s="1399"/>
      <c r="O365" s="1280"/>
      <c r="Z365" s="1280"/>
    </row>
    <row r="366" spans="1:26" x14ac:dyDescent="0.6">
      <c r="A366" s="1280"/>
      <c r="N366" s="1399"/>
      <c r="O366" s="1280"/>
      <c r="Z366" s="1280"/>
    </row>
    <row r="367" spans="1:26" x14ac:dyDescent="0.6">
      <c r="A367" s="1280"/>
      <c r="N367" s="1399"/>
      <c r="O367" s="1280"/>
      <c r="Z367" s="1280"/>
    </row>
    <row r="368" spans="1:26" x14ac:dyDescent="0.6">
      <c r="A368" s="1280"/>
      <c r="N368" s="1399"/>
      <c r="O368" s="1280"/>
      <c r="Z368" s="1280"/>
    </row>
    <row r="369" spans="1:26" x14ac:dyDescent="0.6">
      <c r="A369" s="1280"/>
      <c r="N369" s="1399"/>
      <c r="O369" s="1280"/>
      <c r="Z369" s="1280"/>
    </row>
    <row r="370" spans="1:26" x14ac:dyDescent="0.6">
      <c r="A370" s="1280"/>
      <c r="N370" s="1399"/>
      <c r="O370" s="1280"/>
      <c r="Z370" s="1280"/>
    </row>
    <row r="371" spans="1:26" x14ac:dyDescent="0.6">
      <c r="A371" s="1280"/>
      <c r="N371" s="1399"/>
      <c r="O371" s="1280"/>
      <c r="Z371" s="1280"/>
    </row>
    <row r="372" spans="1:26" x14ac:dyDescent="0.6">
      <c r="A372" s="1280"/>
      <c r="N372" s="1399"/>
      <c r="O372" s="1280"/>
      <c r="Z372" s="1280"/>
    </row>
    <row r="373" spans="1:26" x14ac:dyDescent="0.6">
      <c r="A373" s="1280"/>
      <c r="N373" s="1399"/>
      <c r="O373" s="1280"/>
      <c r="Z373" s="1280"/>
    </row>
    <row r="374" spans="1:26" x14ac:dyDescent="0.6">
      <c r="A374" s="1280"/>
      <c r="N374" s="1399"/>
      <c r="O374" s="1280"/>
      <c r="Z374" s="1280"/>
    </row>
    <row r="375" spans="1:26" x14ac:dyDescent="0.6">
      <c r="A375" s="1280"/>
      <c r="N375" s="1399"/>
      <c r="O375" s="1280"/>
      <c r="Z375" s="1280"/>
    </row>
    <row r="376" spans="1:26" x14ac:dyDescent="0.6">
      <c r="A376" s="1280"/>
      <c r="N376" s="1399"/>
      <c r="O376" s="1280"/>
      <c r="Z376" s="1280"/>
    </row>
    <row r="377" spans="1:26" x14ac:dyDescent="0.6">
      <c r="A377" s="1280"/>
      <c r="N377" s="1399"/>
      <c r="O377" s="1280"/>
      <c r="Z377" s="1280"/>
    </row>
    <row r="378" spans="1:26" x14ac:dyDescent="0.6">
      <c r="A378" s="1280"/>
      <c r="N378" s="1399"/>
      <c r="O378" s="1280"/>
      <c r="Z378" s="1280"/>
    </row>
    <row r="379" spans="1:26" x14ac:dyDescent="0.6">
      <c r="A379" s="1280"/>
      <c r="N379" s="1399"/>
      <c r="O379" s="1280"/>
      <c r="Z379" s="1280"/>
    </row>
    <row r="380" spans="1:26" x14ac:dyDescent="0.6">
      <c r="A380" s="1280"/>
      <c r="N380" s="1399"/>
      <c r="O380" s="1280"/>
      <c r="Z380" s="1280"/>
    </row>
    <row r="381" spans="1:26" x14ac:dyDescent="0.6">
      <c r="A381" s="1280"/>
      <c r="N381" s="1399"/>
      <c r="O381" s="1280"/>
      <c r="Z381" s="1280"/>
    </row>
    <row r="382" spans="1:26" x14ac:dyDescent="0.6">
      <c r="A382" s="1280"/>
      <c r="N382" s="1399"/>
      <c r="O382" s="1280"/>
      <c r="Z382" s="1280"/>
    </row>
    <row r="383" spans="1:26" x14ac:dyDescent="0.6">
      <c r="A383" s="1280"/>
      <c r="N383" s="1399"/>
      <c r="O383" s="1280"/>
      <c r="Z383" s="1280"/>
    </row>
    <row r="384" spans="1:26" x14ac:dyDescent="0.6">
      <c r="A384" s="1280"/>
      <c r="N384" s="1399"/>
      <c r="O384" s="1280"/>
      <c r="Z384" s="1280"/>
    </row>
    <row r="385" spans="1:26" x14ac:dyDescent="0.6">
      <c r="A385" s="1280"/>
      <c r="N385" s="1399"/>
      <c r="O385" s="1280"/>
      <c r="Z385" s="1280"/>
    </row>
    <row r="386" spans="1:26" x14ac:dyDescent="0.6">
      <c r="A386" s="1280"/>
      <c r="N386" s="1399"/>
      <c r="O386" s="1280"/>
      <c r="Z386" s="1280"/>
    </row>
    <row r="387" spans="1:26" x14ac:dyDescent="0.6">
      <c r="A387" s="1280"/>
      <c r="N387" s="1399"/>
      <c r="O387" s="1280"/>
      <c r="Z387" s="1280"/>
    </row>
    <row r="388" spans="1:26" x14ac:dyDescent="0.6">
      <c r="A388" s="1280"/>
      <c r="N388" s="1399"/>
      <c r="O388" s="1280"/>
      <c r="Z388" s="1280"/>
    </row>
    <row r="389" spans="1:26" x14ac:dyDescent="0.6">
      <c r="A389" s="1280"/>
      <c r="N389" s="1399"/>
      <c r="O389" s="1280"/>
      <c r="Z389" s="1280"/>
    </row>
    <row r="390" spans="1:26" x14ac:dyDescent="0.6">
      <c r="A390" s="1280"/>
      <c r="N390" s="1399"/>
      <c r="O390" s="1280"/>
      <c r="Z390" s="1280"/>
    </row>
    <row r="391" spans="1:26" x14ac:dyDescent="0.6">
      <c r="A391" s="1280"/>
      <c r="N391" s="1399"/>
      <c r="O391" s="1280"/>
      <c r="Z391" s="1280"/>
    </row>
    <row r="392" spans="1:26" x14ac:dyDescent="0.6">
      <c r="A392" s="1280"/>
      <c r="N392" s="1399"/>
      <c r="O392" s="1280"/>
      <c r="Z392" s="1280"/>
    </row>
    <row r="393" spans="1:26" x14ac:dyDescent="0.6">
      <c r="A393" s="1280"/>
      <c r="N393" s="1399"/>
      <c r="O393" s="1280"/>
      <c r="Z393" s="1280"/>
    </row>
    <row r="394" spans="1:26" x14ac:dyDescent="0.6">
      <c r="A394" s="1280"/>
      <c r="N394" s="1399"/>
      <c r="O394" s="1280"/>
      <c r="Z394" s="1280"/>
    </row>
    <row r="395" spans="1:26" x14ac:dyDescent="0.6">
      <c r="A395" s="1280"/>
      <c r="N395" s="1399"/>
      <c r="O395" s="1280"/>
      <c r="Z395" s="1280"/>
    </row>
    <row r="396" spans="1:26" x14ac:dyDescent="0.6">
      <c r="A396" s="1280"/>
      <c r="N396" s="1399"/>
      <c r="O396" s="1280"/>
      <c r="Z396" s="1280"/>
    </row>
    <row r="397" spans="1:26" x14ac:dyDescent="0.6">
      <c r="A397" s="1280"/>
      <c r="N397" s="1399"/>
      <c r="O397" s="1280"/>
      <c r="Z397" s="1280"/>
    </row>
    <row r="398" spans="1:26" x14ac:dyDescent="0.6">
      <c r="A398" s="1280"/>
      <c r="N398" s="1399"/>
      <c r="O398" s="1280"/>
      <c r="Z398" s="1280"/>
    </row>
    <row r="399" spans="1:26" x14ac:dyDescent="0.6">
      <c r="A399" s="1280"/>
      <c r="N399" s="1399"/>
      <c r="O399" s="1280"/>
      <c r="Z399" s="1280"/>
    </row>
    <row r="400" spans="1:26" x14ac:dyDescent="0.6">
      <c r="A400" s="1280"/>
      <c r="N400" s="1399"/>
      <c r="O400" s="1280"/>
      <c r="Z400" s="1280"/>
    </row>
    <row r="401" spans="1:26" x14ac:dyDescent="0.6">
      <c r="A401" s="1280"/>
      <c r="N401" s="1399"/>
      <c r="O401" s="1280"/>
      <c r="Z401" s="1280"/>
    </row>
    <row r="402" spans="1:26" x14ac:dyDescent="0.6">
      <c r="A402" s="1280"/>
      <c r="N402" s="1399"/>
      <c r="O402" s="1280"/>
      <c r="Z402" s="1280"/>
    </row>
    <row r="403" spans="1:26" x14ac:dyDescent="0.6">
      <c r="A403" s="1280"/>
      <c r="N403" s="1399"/>
      <c r="O403" s="1280"/>
      <c r="Z403" s="1280"/>
    </row>
    <row r="404" spans="1:26" x14ac:dyDescent="0.6">
      <c r="A404" s="1280"/>
      <c r="N404" s="1399"/>
      <c r="O404" s="1280"/>
      <c r="Z404" s="1280"/>
    </row>
    <row r="405" spans="1:26" x14ac:dyDescent="0.6">
      <c r="A405" s="1280"/>
      <c r="N405" s="1399"/>
      <c r="O405" s="1280"/>
      <c r="Z405" s="1280"/>
    </row>
    <row r="406" spans="1:26" x14ac:dyDescent="0.6">
      <c r="A406" s="1280"/>
      <c r="N406" s="1399"/>
      <c r="O406" s="1280"/>
      <c r="Z406" s="1280"/>
    </row>
    <row r="407" spans="1:26" x14ac:dyDescent="0.6">
      <c r="A407" s="1280"/>
      <c r="N407" s="1399"/>
      <c r="O407" s="1280"/>
      <c r="Z407" s="1280"/>
    </row>
    <row r="408" spans="1:26" x14ac:dyDescent="0.6">
      <c r="A408" s="1280"/>
      <c r="N408" s="1399"/>
      <c r="O408" s="1280"/>
      <c r="Z408" s="1280"/>
    </row>
    <row r="409" spans="1:26" x14ac:dyDescent="0.6">
      <c r="A409" s="1280"/>
      <c r="N409" s="1399"/>
      <c r="O409" s="1280"/>
      <c r="Z409" s="1280"/>
    </row>
    <row r="410" spans="1:26" x14ac:dyDescent="0.6">
      <c r="A410" s="1280"/>
      <c r="N410" s="1399"/>
      <c r="O410" s="1280"/>
      <c r="Z410" s="1280"/>
    </row>
    <row r="411" spans="1:26" x14ac:dyDescent="0.6">
      <c r="A411" s="1280"/>
      <c r="N411" s="1399"/>
      <c r="O411" s="1280"/>
      <c r="Z411" s="1280"/>
    </row>
    <row r="412" spans="1:26" x14ac:dyDescent="0.6">
      <c r="A412" s="1280"/>
      <c r="N412" s="1399"/>
      <c r="O412" s="1280"/>
      <c r="Z412" s="1280"/>
    </row>
    <row r="413" spans="1:26" x14ac:dyDescent="0.6">
      <c r="A413" s="1280"/>
      <c r="N413" s="1399"/>
      <c r="O413" s="1280"/>
      <c r="Z413" s="1280"/>
    </row>
    <row r="414" spans="1:26" x14ac:dyDescent="0.6">
      <c r="A414" s="1280"/>
      <c r="N414" s="1399"/>
      <c r="O414" s="1280"/>
      <c r="Z414" s="1280"/>
    </row>
    <row r="415" spans="1:26" x14ac:dyDescent="0.6">
      <c r="A415" s="1280"/>
      <c r="N415" s="1399"/>
      <c r="O415" s="1280"/>
      <c r="Z415" s="1280"/>
    </row>
    <row r="416" spans="1:26" x14ac:dyDescent="0.6">
      <c r="A416" s="1280"/>
      <c r="N416" s="1399"/>
      <c r="O416" s="1280"/>
      <c r="Z416" s="1280"/>
    </row>
    <row r="417" spans="1:26" x14ac:dyDescent="0.6">
      <c r="A417" s="1280"/>
      <c r="N417" s="1399"/>
      <c r="O417" s="1280"/>
      <c r="Z417" s="1280"/>
    </row>
    <row r="418" spans="1:26" x14ac:dyDescent="0.6">
      <c r="A418" s="1280"/>
      <c r="N418" s="1399"/>
      <c r="O418" s="1280"/>
      <c r="Z418" s="1280"/>
    </row>
    <row r="419" spans="1:26" x14ac:dyDescent="0.6">
      <c r="A419" s="1280"/>
      <c r="N419" s="1399"/>
      <c r="O419" s="1280"/>
      <c r="Z419" s="1280"/>
    </row>
    <row r="420" spans="1:26" x14ac:dyDescent="0.6">
      <c r="A420" s="1280"/>
      <c r="N420" s="1399"/>
      <c r="O420" s="1280"/>
      <c r="Z420" s="1280"/>
    </row>
    <row r="421" spans="1:26" x14ac:dyDescent="0.6">
      <c r="A421" s="1280"/>
      <c r="N421" s="1399"/>
      <c r="O421" s="1280"/>
      <c r="Z421" s="1280"/>
    </row>
    <row r="422" spans="1:26" x14ac:dyDescent="0.6">
      <c r="A422" s="1280"/>
      <c r="N422" s="1399"/>
      <c r="O422" s="1280"/>
      <c r="Z422" s="1280"/>
    </row>
    <row r="423" spans="1:26" x14ac:dyDescent="0.6">
      <c r="A423" s="1280"/>
      <c r="N423" s="1399"/>
      <c r="O423" s="1280"/>
      <c r="Z423" s="1280"/>
    </row>
    <row r="424" spans="1:26" x14ac:dyDescent="0.6">
      <c r="A424" s="1280"/>
      <c r="N424" s="1399"/>
      <c r="O424" s="1280"/>
      <c r="Z424" s="1280"/>
    </row>
    <row r="425" spans="1:26" x14ac:dyDescent="0.6">
      <c r="A425" s="1280"/>
      <c r="N425" s="1399"/>
      <c r="O425" s="1280"/>
      <c r="Z425" s="1280"/>
    </row>
    <row r="426" spans="1:26" x14ac:dyDescent="0.6">
      <c r="A426" s="1280"/>
      <c r="N426" s="1399"/>
      <c r="O426" s="1280"/>
      <c r="Z426" s="1280"/>
    </row>
    <row r="427" spans="1:26" x14ac:dyDescent="0.6">
      <c r="A427" s="1280"/>
      <c r="N427" s="1399"/>
      <c r="O427" s="1280"/>
      <c r="Z427" s="1280"/>
    </row>
    <row r="428" spans="1:26" x14ac:dyDescent="0.6">
      <c r="A428" s="1280"/>
      <c r="N428" s="1399"/>
      <c r="O428" s="1280"/>
      <c r="Z428" s="1280"/>
    </row>
    <row r="429" spans="1:26" x14ac:dyDescent="0.6">
      <c r="A429" s="1280"/>
      <c r="N429" s="1399"/>
      <c r="O429" s="1280"/>
      <c r="Z429" s="1280"/>
    </row>
    <row r="430" spans="1:26" x14ac:dyDescent="0.6">
      <c r="A430" s="1280"/>
      <c r="N430" s="1399"/>
      <c r="O430" s="1280"/>
      <c r="Z430" s="1280"/>
    </row>
    <row r="431" spans="1:26" x14ac:dyDescent="0.6">
      <c r="A431" s="1280"/>
      <c r="N431" s="1399"/>
      <c r="O431" s="1280"/>
      <c r="Z431" s="1280"/>
    </row>
    <row r="432" spans="1:26" x14ac:dyDescent="0.6">
      <c r="A432" s="1280"/>
      <c r="N432" s="1399"/>
      <c r="O432" s="1280"/>
      <c r="Z432" s="1280"/>
    </row>
    <row r="433" spans="1:26" x14ac:dyDescent="0.6">
      <c r="A433" s="1280"/>
      <c r="N433" s="1399"/>
      <c r="O433" s="1280"/>
      <c r="Z433" s="1280"/>
    </row>
    <row r="434" spans="1:26" x14ac:dyDescent="0.6">
      <c r="A434" s="1280"/>
      <c r="N434" s="1399"/>
      <c r="O434" s="1280"/>
      <c r="Z434" s="1280"/>
    </row>
    <row r="435" spans="1:26" x14ac:dyDescent="0.6">
      <c r="A435" s="1280"/>
      <c r="N435" s="1399"/>
      <c r="O435" s="1280"/>
      <c r="Z435" s="1280"/>
    </row>
    <row r="436" spans="1:26" x14ac:dyDescent="0.6">
      <c r="A436" s="1280"/>
      <c r="N436" s="1399"/>
      <c r="O436" s="1280"/>
      <c r="Z436" s="1280"/>
    </row>
    <row r="437" spans="1:26" x14ac:dyDescent="0.6">
      <c r="A437" s="1280"/>
      <c r="N437" s="1399"/>
      <c r="O437" s="1280"/>
      <c r="Z437" s="1280"/>
    </row>
    <row r="438" spans="1:26" x14ac:dyDescent="0.6">
      <c r="A438" s="1280"/>
      <c r="N438" s="1399"/>
      <c r="O438" s="1280"/>
      <c r="Z438" s="1280"/>
    </row>
    <row r="439" spans="1:26" x14ac:dyDescent="0.6">
      <c r="A439" s="1280"/>
      <c r="N439" s="1399"/>
      <c r="O439" s="1280"/>
      <c r="Z439" s="1280"/>
    </row>
    <row r="440" spans="1:26" x14ac:dyDescent="0.6">
      <c r="A440" s="1280"/>
      <c r="N440" s="1399"/>
      <c r="O440" s="1280"/>
      <c r="Z440" s="1280"/>
    </row>
    <row r="441" spans="1:26" x14ac:dyDescent="0.6">
      <c r="A441" s="1280"/>
      <c r="N441" s="1399"/>
      <c r="O441" s="1280"/>
      <c r="Z441" s="1280"/>
    </row>
    <row r="442" spans="1:26" x14ac:dyDescent="0.6">
      <c r="A442" s="1280"/>
      <c r="N442" s="1399"/>
      <c r="O442" s="1280"/>
      <c r="Z442" s="1280"/>
    </row>
    <row r="443" spans="1:26" x14ac:dyDescent="0.6">
      <c r="A443" s="1280"/>
      <c r="N443" s="1399"/>
      <c r="O443" s="1280"/>
      <c r="Z443" s="1280"/>
    </row>
    <row r="444" spans="1:26" x14ac:dyDescent="0.6">
      <c r="A444" s="1280"/>
      <c r="N444" s="1399"/>
      <c r="O444" s="1280"/>
      <c r="Z444" s="1280"/>
    </row>
    <row r="445" spans="1:26" x14ac:dyDescent="0.6">
      <c r="A445" s="1280"/>
      <c r="N445" s="1399"/>
      <c r="O445" s="1280"/>
      <c r="Z445" s="1280"/>
    </row>
    <row r="446" spans="1:26" x14ac:dyDescent="0.6">
      <c r="A446" s="1280"/>
      <c r="N446" s="1399"/>
      <c r="O446" s="1280"/>
      <c r="Z446" s="1280"/>
    </row>
    <row r="447" spans="1:26" x14ac:dyDescent="0.6">
      <c r="A447" s="1280"/>
      <c r="N447" s="1399"/>
      <c r="O447" s="1280"/>
      <c r="Z447" s="1280"/>
    </row>
    <row r="448" spans="1:26" x14ac:dyDescent="0.6">
      <c r="A448" s="1280"/>
      <c r="N448" s="1399"/>
      <c r="O448" s="1280"/>
      <c r="Z448" s="1280"/>
    </row>
    <row r="449" spans="1:26" x14ac:dyDescent="0.6">
      <c r="A449" s="1280"/>
      <c r="N449" s="1399"/>
      <c r="O449" s="1280"/>
      <c r="Z449" s="1280"/>
    </row>
    <row r="450" spans="1:26" x14ac:dyDescent="0.6">
      <c r="A450" s="1280"/>
      <c r="N450" s="1399"/>
      <c r="O450" s="1280"/>
      <c r="Z450" s="1280"/>
    </row>
    <row r="451" spans="1:26" x14ac:dyDescent="0.6">
      <c r="A451" s="1280"/>
      <c r="N451" s="1399"/>
      <c r="O451" s="1280"/>
      <c r="Z451" s="1280"/>
    </row>
    <row r="452" spans="1:26" x14ac:dyDescent="0.6">
      <c r="A452" s="1280"/>
      <c r="N452" s="1399"/>
      <c r="O452" s="1280"/>
      <c r="Z452" s="1280"/>
    </row>
    <row r="453" spans="1:26" x14ac:dyDescent="0.6">
      <c r="A453" s="1280"/>
      <c r="N453" s="1399"/>
      <c r="O453" s="1280"/>
      <c r="Z453" s="1280"/>
    </row>
    <row r="454" spans="1:26" x14ac:dyDescent="0.6">
      <c r="A454" s="1280"/>
      <c r="N454" s="1399"/>
      <c r="O454" s="1280"/>
      <c r="Z454" s="1280"/>
    </row>
    <row r="455" spans="1:26" x14ac:dyDescent="0.6">
      <c r="A455" s="1280"/>
      <c r="N455" s="1399"/>
      <c r="O455" s="1280"/>
      <c r="Z455" s="1280"/>
    </row>
    <row r="456" spans="1:26" x14ac:dyDescent="0.6">
      <c r="A456" s="1280"/>
      <c r="N456" s="1399"/>
      <c r="O456" s="1280"/>
      <c r="Z456" s="1280"/>
    </row>
    <row r="457" spans="1:26" x14ac:dyDescent="0.6">
      <c r="A457" s="1280"/>
      <c r="N457" s="1399"/>
      <c r="O457" s="1280"/>
      <c r="Z457" s="1280"/>
    </row>
    <row r="458" spans="1:26" x14ac:dyDescent="0.6">
      <c r="A458" s="1280"/>
      <c r="N458" s="1399"/>
      <c r="O458" s="1280"/>
      <c r="Z458" s="1280"/>
    </row>
    <row r="459" spans="1:26" x14ac:dyDescent="0.6">
      <c r="A459" s="1280"/>
      <c r="N459" s="1399"/>
      <c r="O459" s="1280"/>
      <c r="Z459" s="1280"/>
    </row>
    <row r="460" spans="1:26" x14ac:dyDescent="0.6">
      <c r="A460" s="1280"/>
      <c r="N460" s="1399"/>
      <c r="O460" s="1280"/>
      <c r="Z460" s="1280"/>
    </row>
    <row r="461" spans="1:26" x14ac:dyDescent="0.6">
      <c r="A461" s="1280"/>
      <c r="N461" s="1399"/>
      <c r="O461" s="1280"/>
      <c r="Z461" s="1280"/>
    </row>
    <row r="462" spans="1:26" x14ac:dyDescent="0.6">
      <c r="A462" s="1280"/>
      <c r="N462" s="1399"/>
      <c r="O462" s="1280"/>
      <c r="Z462" s="1280"/>
    </row>
    <row r="463" spans="1:26" x14ac:dyDescent="0.6">
      <c r="A463" s="1280"/>
      <c r="N463" s="1399"/>
      <c r="O463" s="1280"/>
      <c r="Z463" s="1280"/>
    </row>
    <row r="464" spans="1:26" x14ac:dyDescent="0.6">
      <c r="A464" s="1280"/>
      <c r="N464" s="1399"/>
      <c r="O464" s="1280"/>
      <c r="Z464" s="1280"/>
    </row>
    <row r="465" spans="1:26" x14ac:dyDescent="0.6">
      <c r="A465" s="1280"/>
      <c r="N465" s="1399"/>
      <c r="O465" s="1280"/>
      <c r="Z465" s="1280"/>
    </row>
    <row r="466" spans="1:26" x14ac:dyDescent="0.6">
      <c r="A466" s="1280"/>
      <c r="N466" s="1399"/>
      <c r="O466" s="1280"/>
      <c r="Z466" s="1280"/>
    </row>
    <row r="467" spans="1:26" x14ac:dyDescent="0.6">
      <c r="A467" s="1280"/>
      <c r="N467" s="1399"/>
      <c r="O467" s="1280"/>
      <c r="Z467" s="1280"/>
    </row>
    <row r="468" spans="1:26" x14ac:dyDescent="0.6">
      <c r="A468" s="1280"/>
      <c r="N468" s="1399"/>
      <c r="O468" s="1280"/>
      <c r="Z468" s="1280"/>
    </row>
    <row r="469" spans="1:26" x14ac:dyDescent="0.6">
      <c r="A469" s="1280"/>
      <c r="N469" s="1399"/>
      <c r="O469" s="1280"/>
      <c r="Z469" s="1280"/>
    </row>
    <row r="470" spans="1:26" x14ac:dyDescent="0.6">
      <c r="A470" s="1280"/>
      <c r="N470" s="1399"/>
      <c r="O470" s="1280"/>
      <c r="Z470" s="1280"/>
    </row>
    <row r="471" spans="1:26" x14ac:dyDescent="0.6">
      <c r="A471" s="1280"/>
      <c r="N471" s="1399"/>
      <c r="O471" s="1280"/>
      <c r="Z471" s="1280"/>
    </row>
    <row r="472" spans="1:26" x14ac:dyDescent="0.6">
      <c r="A472" s="1280"/>
      <c r="N472" s="1399"/>
      <c r="O472" s="1280"/>
      <c r="Z472" s="1280"/>
    </row>
    <row r="473" spans="1:26" x14ac:dyDescent="0.6">
      <c r="A473" s="1280"/>
      <c r="N473" s="1399"/>
      <c r="O473" s="1280"/>
      <c r="Z473" s="1280"/>
    </row>
    <row r="474" spans="1:26" x14ac:dyDescent="0.6">
      <c r="A474" s="1280"/>
      <c r="N474" s="1399"/>
      <c r="O474" s="1280"/>
      <c r="Z474" s="1280"/>
    </row>
    <row r="475" spans="1:26" x14ac:dyDescent="0.6">
      <c r="A475" s="1280"/>
      <c r="N475" s="1399"/>
      <c r="O475" s="1280"/>
      <c r="Z475" s="1280"/>
    </row>
    <row r="476" spans="1:26" x14ac:dyDescent="0.6">
      <c r="A476" s="1280"/>
      <c r="N476" s="1399"/>
      <c r="O476" s="1280"/>
      <c r="Z476" s="1280"/>
    </row>
    <row r="477" spans="1:26" x14ac:dyDescent="0.6">
      <c r="A477" s="1280"/>
      <c r="N477" s="1399"/>
      <c r="O477" s="1280"/>
      <c r="Z477" s="1280"/>
    </row>
    <row r="478" spans="1:26" x14ac:dyDescent="0.6">
      <c r="A478" s="1280"/>
      <c r="N478" s="1399"/>
      <c r="O478" s="1280"/>
      <c r="Z478" s="1280"/>
    </row>
    <row r="479" spans="1:26" x14ac:dyDescent="0.6">
      <c r="A479" s="1280"/>
      <c r="N479" s="1399"/>
      <c r="O479" s="1280"/>
      <c r="Z479" s="1280"/>
    </row>
    <row r="480" spans="1:26" x14ac:dyDescent="0.6">
      <c r="A480" s="1280"/>
      <c r="N480" s="1399"/>
      <c r="O480" s="1280"/>
      <c r="Z480" s="1280"/>
    </row>
    <row r="481" spans="1:26" x14ac:dyDescent="0.6">
      <c r="A481" s="1280"/>
      <c r="N481" s="1399"/>
      <c r="O481" s="1280"/>
      <c r="Z481" s="1280"/>
    </row>
    <row r="482" spans="1:26" x14ac:dyDescent="0.6">
      <c r="A482" s="1280"/>
      <c r="N482" s="1399"/>
      <c r="O482" s="1280"/>
      <c r="Z482" s="1280"/>
    </row>
    <row r="483" spans="1:26" x14ac:dyDescent="0.6">
      <c r="A483" s="1280"/>
      <c r="N483" s="1399"/>
      <c r="O483" s="1280"/>
      <c r="Z483" s="1280"/>
    </row>
    <row r="484" spans="1:26" x14ac:dyDescent="0.6">
      <c r="A484" s="1280"/>
      <c r="N484" s="1399"/>
      <c r="O484" s="1280"/>
      <c r="Z484" s="1280"/>
    </row>
    <row r="485" spans="1:26" x14ac:dyDescent="0.6">
      <c r="A485" s="1280"/>
      <c r="N485" s="1399"/>
      <c r="O485" s="1280"/>
      <c r="Z485" s="1280"/>
    </row>
    <row r="486" spans="1:26" x14ac:dyDescent="0.6">
      <c r="A486" s="1280"/>
      <c r="N486" s="1399"/>
      <c r="O486" s="1280"/>
      <c r="Z486" s="1280"/>
    </row>
    <row r="487" spans="1:26" x14ac:dyDescent="0.6">
      <c r="A487" s="1280"/>
      <c r="N487" s="1399"/>
      <c r="O487" s="1280"/>
      <c r="Z487" s="1280"/>
    </row>
    <row r="488" spans="1:26" x14ac:dyDescent="0.6">
      <c r="A488" s="1280"/>
      <c r="N488" s="1399"/>
      <c r="O488" s="1280"/>
      <c r="Z488" s="1280"/>
    </row>
    <row r="489" spans="1:26" x14ac:dyDescent="0.6">
      <c r="A489" s="1280"/>
      <c r="N489" s="1399"/>
      <c r="O489" s="1280"/>
      <c r="Z489" s="1280"/>
    </row>
    <row r="490" spans="1:26" x14ac:dyDescent="0.6">
      <c r="A490" s="1280"/>
      <c r="N490" s="1399"/>
      <c r="O490" s="1280"/>
      <c r="Z490" s="1280"/>
    </row>
    <row r="491" spans="1:26" x14ac:dyDescent="0.6">
      <c r="A491" s="1280"/>
      <c r="N491" s="1399"/>
      <c r="O491" s="1280"/>
      <c r="Z491" s="1280"/>
    </row>
    <row r="492" spans="1:26" x14ac:dyDescent="0.6">
      <c r="A492" s="1280"/>
      <c r="N492" s="1399"/>
      <c r="O492" s="1280"/>
      <c r="Z492" s="1280"/>
    </row>
    <row r="493" spans="1:26" x14ac:dyDescent="0.6">
      <c r="A493" s="1280"/>
      <c r="N493" s="1399"/>
      <c r="O493" s="1280"/>
      <c r="Z493" s="1280"/>
    </row>
    <row r="494" spans="1:26" x14ac:dyDescent="0.6">
      <c r="A494" s="1280"/>
      <c r="N494" s="1399"/>
      <c r="O494" s="1280"/>
      <c r="Z494" s="1280"/>
    </row>
    <row r="495" spans="1:26" x14ac:dyDescent="0.6">
      <c r="A495" s="1280"/>
      <c r="N495" s="1399"/>
      <c r="O495" s="1280"/>
      <c r="Z495" s="1280"/>
    </row>
    <row r="496" spans="1:26" x14ac:dyDescent="0.6">
      <c r="A496" s="1280"/>
      <c r="N496" s="1399"/>
      <c r="O496" s="1280"/>
      <c r="Z496" s="1280"/>
    </row>
    <row r="497" spans="1:26" x14ac:dyDescent="0.6">
      <c r="A497" s="1280"/>
      <c r="N497" s="1399"/>
      <c r="O497" s="1280"/>
      <c r="Z497" s="1280"/>
    </row>
    <row r="498" spans="1:26" x14ac:dyDescent="0.6">
      <c r="A498" s="1280"/>
      <c r="N498" s="1399"/>
      <c r="O498" s="1280"/>
      <c r="Z498" s="1280"/>
    </row>
    <row r="499" spans="1:26" x14ac:dyDescent="0.6">
      <c r="A499" s="1280"/>
      <c r="N499" s="1399"/>
      <c r="O499" s="1280"/>
      <c r="Z499" s="1280"/>
    </row>
    <row r="500" spans="1:26" x14ac:dyDescent="0.6">
      <c r="A500" s="1280"/>
      <c r="N500" s="1399"/>
      <c r="O500" s="1280"/>
      <c r="Z500" s="1280"/>
    </row>
    <row r="501" spans="1:26" x14ac:dyDescent="0.6">
      <c r="A501" s="1280"/>
      <c r="N501" s="1399"/>
      <c r="O501" s="1280"/>
      <c r="Z501" s="1280"/>
    </row>
    <row r="502" spans="1:26" x14ac:dyDescent="0.6">
      <c r="A502" s="1280"/>
      <c r="N502" s="1399"/>
      <c r="O502" s="1280"/>
      <c r="Z502" s="1280"/>
    </row>
    <row r="503" spans="1:26" x14ac:dyDescent="0.6">
      <c r="A503" s="1280"/>
      <c r="N503" s="1399"/>
      <c r="O503" s="1280"/>
      <c r="Z503" s="1280"/>
    </row>
    <row r="504" spans="1:26" x14ac:dyDescent="0.6">
      <c r="A504" s="1280"/>
      <c r="N504" s="1399"/>
      <c r="O504" s="1280"/>
      <c r="Z504" s="1280"/>
    </row>
    <row r="505" spans="1:26" x14ac:dyDescent="0.6">
      <c r="A505" s="1280"/>
      <c r="N505" s="1399"/>
      <c r="O505" s="1280"/>
      <c r="Z505" s="1280"/>
    </row>
    <row r="506" spans="1:26" x14ac:dyDescent="0.6">
      <c r="A506" s="1280"/>
      <c r="N506" s="1399"/>
      <c r="O506" s="1280"/>
      <c r="Z506" s="1280"/>
    </row>
    <row r="507" spans="1:26" x14ac:dyDescent="0.6">
      <c r="A507" s="1280"/>
      <c r="N507" s="1399"/>
      <c r="O507" s="1280"/>
      <c r="Z507" s="1280"/>
    </row>
    <row r="508" spans="1:26" x14ac:dyDescent="0.6">
      <c r="A508" s="1280"/>
      <c r="N508" s="1399"/>
      <c r="O508" s="1280"/>
      <c r="Z508" s="1280"/>
    </row>
    <row r="509" spans="1:26" x14ac:dyDescent="0.6">
      <c r="A509" s="1280"/>
      <c r="N509" s="1399"/>
      <c r="O509" s="1280"/>
      <c r="Z509" s="1280"/>
    </row>
    <row r="510" spans="1:26" x14ac:dyDescent="0.6">
      <c r="A510" s="1280"/>
      <c r="N510" s="1399"/>
      <c r="O510" s="1280"/>
      <c r="Z510" s="1280"/>
    </row>
    <row r="511" spans="1:26" x14ac:dyDescent="0.6">
      <c r="A511" s="1280"/>
      <c r="N511" s="1399"/>
      <c r="O511" s="1280"/>
      <c r="Z511" s="1280"/>
    </row>
    <row r="512" spans="1:26" x14ac:dyDescent="0.6">
      <c r="A512" s="1280"/>
      <c r="N512" s="1399"/>
      <c r="O512" s="1280"/>
      <c r="Z512" s="1280"/>
    </row>
    <row r="513" spans="1:26" x14ac:dyDescent="0.6">
      <c r="A513" s="1280"/>
      <c r="N513" s="1399"/>
      <c r="O513" s="1280"/>
      <c r="Z513" s="1280"/>
    </row>
    <row r="514" spans="1:26" x14ac:dyDescent="0.6">
      <c r="A514" s="1280"/>
      <c r="N514" s="1399"/>
      <c r="O514" s="1280"/>
      <c r="Z514" s="1280"/>
    </row>
    <row r="515" spans="1:26" x14ac:dyDescent="0.6">
      <c r="A515" s="1280"/>
      <c r="N515" s="1399"/>
      <c r="O515" s="1280"/>
      <c r="Z515" s="1280"/>
    </row>
    <row r="516" spans="1:26" x14ac:dyDescent="0.6">
      <c r="A516" s="1280"/>
      <c r="N516" s="1399"/>
      <c r="O516" s="1280"/>
      <c r="Z516" s="1280"/>
    </row>
    <row r="517" spans="1:26" x14ac:dyDescent="0.6">
      <c r="A517" s="1280"/>
      <c r="N517" s="1399"/>
      <c r="O517" s="1280"/>
      <c r="Z517" s="1280"/>
    </row>
    <row r="518" spans="1:26" x14ac:dyDescent="0.6">
      <c r="A518" s="1280"/>
      <c r="N518" s="1399"/>
      <c r="O518" s="1280"/>
      <c r="Z518" s="1280"/>
    </row>
    <row r="519" spans="1:26" x14ac:dyDescent="0.6">
      <c r="A519" s="1280"/>
      <c r="N519" s="1399"/>
      <c r="O519" s="1280"/>
      <c r="Z519" s="1280"/>
    </row>
    <row r="520" spans="1:26" x14ac:dyDescent="0.6">
      <c r="A520" s="1280"/>
      <c r="N520" s="1399"/>
      <c r="O520" s="1280"/>
      <c r="Z520" s="1280"/>
    </row>
    <row r="521" spans="1:26" x14ac:dyDescent="0.6">
      <c r="A521" s="1280"/>
      <c r="N521" s="1399"/>
      <c r="O521" s="1280"/>
      <c r="Z521" s="1280"/>
    </row>
    <row r="522" spans="1:26" x14ac:dyDescent="0.6">
      <c r="A522" s="1280"/>
      <c r="N522" s="1399"/>
      <c r="O522" s="1280"/>
      <c r="Z522" s="1280"/>
    </row>
    <row r="523" spans="1:26" x14ac:dyDescent="0.6">
      <c r="A523" s="1280"/>
      <c r="N523" s="1399"/>
      <c r="O523" s="1280"/>
      <c r="Z523" s="1280"/>
    </row>
    <row r="524" spans="1:26" x14ac:dyDescent="0.6">
      <c r="A524" s="1280"/>
      <c r="N524" s="1399"/>
      <c r="O524" s="1280"/>
      <c r="Z524" s="1280"/>
    </row>
    <row r="525" spans="1:26" x14ac:dyDescent="0.6">
      <c r="A525" s="1280"/>
      <c r="N525" s="1399"/>
      <c r="O525" s="1280"/>
      <c r="Z525" s="1280"/>
    </row>
    <row r="526" spans="1:26" x14ac:dyDescent="0.6">
      <c r="A526" s="1280"/>
      <c r="N526" s="1399"/>
      <c r="O526" s="1280"/>
      <c r="Z526" s="1280"/>
    </row>
    <row r="527" spans="1:26" x14ac:dyDescent="0.6">
      <c r="A527" s="1280"/>
      <c r="N527" s="1399"/>
      <c r="O527" s="1280"/>
      <c r="Z527" s="1280"/>
    </row>
    <row r="528" spans="1:26" x14ac:dyDescent="0.6">
      <c r="A528" s="1280"/>
      <c r="N528" s="1399"/>
      <c r="O528" s="1280"/>
      <c r="Z528" s="1280"/>
    </row>
    <row r="529" spans="1:26" x14ac:dyDescent="0.6">
      <c r="A529" s="1280"/>
      <c r="N529" s="1399"/>
      <c r="O529" s="1280"/>
      <c r="Z529" s="1280"/>
    </row>
    <row r="530" spans="1:26" x14ac:dyDescent="0.6">
      <c r="A530" s="1280"/>
      <c r="N530" s="1399"/>
      <c r="O530" s="1280"/>
      <c r="Z530" s="1280"/>
    </row>
    <row r="531" spans="1:26" x14ac:dyDescent="0.6">
      <c r="A531" s="1280"/>
      <c r="N531" s="1399"/>
      <c r="O531" s="1280"/>
      <c r="Z531" s="1280"/>
    </row>
    <row r="532" spans="1:26" x14ac:dyDescent="0.6">
      <c r="A532" s="1280"/>
      <c r="N532" s="1399"/>
      <c r="O532" s="1280"/>
      <c r="Z532" s="1280"/>
    </row>
    <row r="533" spans="1:26" x14ac:dyDescent="0.6">
      <c r="A533" s="1280"/>
      <c r="N533" s="1399"/>
      <c r="O533" s="1280"/>
      <c r="Z533" s="1280"/>
    </row>
    <row r="534" spans="1:26" x14ac:dyDescent="0.6">
      <c r="A534" s="1280"/>
      <c r="N534" s="1399"/>
      <c r="O534" s="1280"/>
      <c r="Z534" s="1280"/>
    </row>
    <row r="535" spans="1:26" x14ac:dyDescent="0.6">
      <c r="A535" s="1280"/>
      <c r="N535" s="1399"/>
      <c r="O535" s="1280"/>
      <c r="Z535" s="1280"/>
    </row>
    <row r="536" spans="1:26" x14ac:dyDescent="0.6">
      <c r="A536" s="1280"/>
      <c r="N536" s="1399"/>
      <c r="O536" s="1280"/>
      <c r="Z536" s="1280"/>
    </row>
    <row r="537" spans="1:26" x14ac:dyDescent="0.6">
      <c r="A537" s="1280"/>
      <c r="N537" s="1399"/>
      <c r="O537" s="1280"/>
      <c r="Z537" s="1280"/>
    </row>
    <row r="538" spans="1:26" x14ac:dyDescent="0.6">
      <c r="A538" s="1280"/>
      <c r="N538" s="1399"/>
      <c r="O538" s="1280"/>
      <c r="Z538" s="1280"/>
    </row>
    <row r="539" spans="1:26" x14ac:dyDescent="0.6">
      <c r="A539" s="1280"/>
      <c r="N539" s="1399"/>
      <c r="O539" s="1280"/>
      <c r="Z539" s="1280"/>
    </row>
    <row r="540" spans="1:26" x14ac:dyDescent="0.6">
      <c r="A540" s="1280"/>
      <c r="N540" s="1399"/>
      <c r="O540" s="1280"/>
      <c r="Z540" s="1280"/>
    </row>
    <row r="541" spans="1:26" x14ac:dyDescent="0.6">
      <c r="A541" s="1280"/>
      <c r="N541" s="1399"/>
      <c r="O541" s="1280"/>
      <c r="Z541" s="1280"/>
    </row>
    <row r="542" spans="1:26" x14ac:dyDescent="0.6">
      <c r="A542" s="1280"/>
      <c r="N542" s="1399"/>
      <c r="O542" s="1280"/>
      <c r="Z542" s="1280"/>
    </row>
    <row r="543" spans="1:26" x14ac:dyDescent="0.6">
      <c r="A543" s="1280"/>
      <c r="N543" s="1399"/>
      <c r="O543" s="1280"/>
      <c r="Z543" s="1280"/>
    </row>
    <row r="544" spans="1:26" x14ac:dyDescent="0.6">
      <c r="A544" s="1280"/>
      <c r="N544" s="1399"/>
      <c r="O544" s="1280"/>
      <c r="Z544" s="1280"/>
    </row>
    <row r="545" spans="1:26" x14ac:dyDescent="0.6">
      <c r="A545" s="1280"/>
      <c r="N545" s="1399"/>
      <c r="O545" s="1280"/>
      <c r="Z545" s="1280"/>
    </row>
    <row r="546" spans="1:26" x14ac:dyDescent="0.6">
      <c r="A546" s="1280"/>
      <c r="N546" s="1399"/>
      <c r="O546" s="1280"/>
      <c r="Z546" s="1280"/>
    </row>
    <row r="547" spans="1:26" x14ac:dyDescent="0.6">
      <c r="A547" s="1280"/>
      <c r="N547" s="1399"/>
      <c r="O547" s="1280"/>
      <c r="Z547" s="1280"/>
    </row>
    <row r="548" spans="1:26" x14ac:dyDescent="0.6">
      <c r="A548" s="1280"/>
      <c r="N548" s="1399"/>
      <c r="O548" s="1280"/>
      <c r="Z548" s="1280"/>
    </row>
    <row r="549" spans="1:26" x14ac:dyDescent="0.6">
      <c r="A549" s="1280"/>
      <c r="N549" s="1399"/>
      <c r="O549" s="1280"/>
      <c r="Z549" s="1280"/>
    </row>
    <row r="550" spans="1:26" x14ac:dyDescent="0.6">
      <c r="A550" s="1280"/>
      <c r="N550" s="1399"/>
      <c r="O550" s="1280"/>
      <c r="Z550" s="1280"/>
    </row>
    <row r="551" spans="1:26" x14ac:dyDescent="0.6">
      <c r="A551" s="1280"/>
      <c r="N551" s="1399"/>
      <c r="O551" s="1280"/>
      <c r="Z551" s="1280"/>
    </row>
    <row r="552" spans="1:26" x14ac:dyDescent="0.6">
      <c r="A552" s="1280"/>
      <c r="N552" s="1399"/>
      <c r="O552" s="1280"/>
      <c r="Z552" s="1280"/>
    </row>
    <row r="553" spans="1:26" x14ac:dyDescent="0.6">
      <c r="A553" s="1280"/>
      <c r="N553" s="1399"/>
      <c r="O553" s="1280"/>
      <c r="Z553" s="1280"/>
    </row>
    <row r="554" spans="1:26" x14ac:dyDescent="0.6">
      <c r="A554" s="1280"/>
      <c r="N554" s="1399"/>
      <c r="O554" s="1280"/>
      <c r="Z554" s="1280"/>
    </row>
    <row r="555" spans="1:26" x14ac:dyDescent="0.6">
      <c r="A555" s="1280"/>
      <c r="N555" s="1399"/>
      <c r="O555" s="1280"/>
      <c r="Z555" s="1280"/>
    </row>
    <row r="556" spans="1:26" x14ac:dyDescent="0.6">
      <c r="A556" s="1280"/>
      <c r="N556" s="1399"/>
      <c r="O556" s="1280"/>
      <c r="Z556" s="1280"/>
    </row>
    <row r="557" spans="1:26" x14ac:dyDescent="0.6">
      <c r="A557" s="1280"/>
      <c r="N557" s="1399"/>
      <c r="O557" s="1280"/>
      <c r="Z557" s="1280"/>
    </row>
    <row r="558" spans="1:26" x14ac:dyDescent="0.6">
      <c r="A558" s="1280"/>
      <c r="N558" s="1399"/>
      <c r="O558" s="1280"/>
      <c r="Z558" s="1280"/>
    </row>
    <row r="559" spans="1:26" x14ac:dyDescent="0.6">
      <c r="A559" s="1280"/>
      <c r="N559" s="1399"/>
      <c r="O559" s="1280"/>
      <c r="Z559" s="1280"/>
    </row>
    <row r="560" spans="1:26" x14ac:dyDescent="0.6">
      <c r="A560" s="1280"/>
      <c r="N560" s="1399"/>
      <c r="O560" s="1280"/>
      <c r="Z560" s="1280"/>
    </row>
    <row r="561" spans="1:26" x14ac:dyDescent="0.6">
      <c r="A561" s="1280"/>
      <c r="N561" s="1399"/>
      <c r="O561" s="1280"/>
      <c r="Z561" s="1280"/>
    </row>
    <row r="562" spans="1:26" x14ac:dyDescent="0.6">
      <c r="A562" s="1280"/>
      <c r="N562" s="1399"/>
      <c r="O562" s="1280"/>
      <c r="Z562" s="1280"/>
    </row>
    <row r="563" spans="1:26" x14ac:dyDescent="0.6">
      <c r="A563" s="1280"/>
      <c r="N563" s="1399"/>
      <c r="O563" s="1280"/>
      <c r="Z563" s="1280"/>
    </row>
    <row r="564" spans="1:26" x14ac:dyDescent="0.6">
      <c r="A564" s="1280"/>
      <c r="N564" s="1399"/>
      <c r="O564" s="1280"/>
      <c r="Z564" s="1280"/>
    </row>
    <row r="565" spans="1:26" x14ac:dyDescent="0.6">
      <c r="A565" s="1280"/>
      <c r="N565" s="1399"/>
      <c r="O565" s="1280"/>
      <c r="Z565" s="1280"/>
    </row>
    <row r="566" spans="1:26" x14ac:dyDescent="0.6">
      <c r="A566" s="1280"/>
      <c r="N566" s="1399"/>
      <c r="O566" s="1280"/>
      <c r="Z566" s="1280"/>
    </row>
    <row r="567" spans="1:26" x14ac:dyDescent="0.6">
      <c r="A567" s="1280"/>
      <c r="N567" s="1399"/>
      <c r="O567" s="1280"/>
      <c r="Z567" s="1280"/>
    </row>
    <row r="568" spans="1:26" x14ac:dyDescent="0.6">
      <c r="A568" s="1280"/>
      <c r="N568" s="1399"/>
      <c r="O568" s="1280"/>
      <c r="Z568" s="1280"/>
    </row>
    <row r="569" spans="1:26" x14ac:dyDescent="0.6">
      <c r="A569" s="1280"/>
      <c r="N569" s="1399"/>
      <c r="O569" s="1280"/>
      <c r="Z569" s="1280"/>
    </row>
    <row r="570" spans="1:26" x14ac:dyDescent="0.6">
      <c r="A570" s="1280"/>
      <c r="N570" s="1399"/>
      <c r="O570" s="1280"/>
      <c r="Z570" s="1280"/>
    </row>
    <row r="571" spans="1:26" x14ac:dyDescent="0.6">
      <c r="A571" s="1280"/>
      <c r="N571" s="1399"/>
      <c r="O571" s="1280"/>
      <c r="Z571" s="1280"/>
    </row>
    <row r="572" spans="1:26" x14ac:dyDescent="0.6">
      <c r="A572" s="1280"/>
      <c r="N572" s="1399"/>
      <c r="O572" s="1280"/>
      <c r="Z572" s="1280"/>
    </row>
    <row r="573" spans="1:26" x14ac:dyDescent="0.6">
      <c r="A573" s="1280"/>
      <c r="N573" s="1399"/>
      <c r="O573" s="1280"/>
      <c r="Z573" s="1280"/>
    </row>
    <row r="574" spans="1:26" x14ac:dyDescent="0.6">
      <c r="A574" s="1280"/>
      <c r="N574" s="1399"/>
      <c r="O574" s="1280"/>
      <c r="Z574" s="1280"/>
    </row>
    <row r="575" spans="1:26" x14ac:dyDescent="0.6">
      <c r="A575" s="1280"/>
      <c r="N575" s="1399"/>
      <c r="O575" s="1280"/>
      <c r="Z575" s="1280"/>
    </row>
    <row r="576" spans="1:26" x14ac:dyDescent="0.6">
      <c r="A576" s="1280"/>
      <c r="N576" s="1399"/>
      <c r="O576" s="1280"/>
      <c r="Z576" s="1280"/>
    </row>
    <row r="577" spans="1:26" x14ac:dyDescent="0.6">
      <c r="A577" s="1280"/>
      <c r="N577" s="1399"/>
      <c r="O577" s="1280"/>
      <c r="Z577" s="1280"/>
    </row>
    <row r="578" spans="1:26" x14ac:dyDescent="0.6">
      <c r="A578" s="1280"/>
      <c r="N578" s="1399"/>
      <c r="O578" s="1280"/>
      <c r="Z578" s="1280"/>
    </row>
    <row r="579" spans="1:26" x14ac:dyDescent="0.6">
      <c r="A579" s="1280"/>
      <c r="N579" s="1399"/>
      <c r="O579" s="1280"/>
      <c r="Z579" s="1280"/>
    </row>
    <row r="580" spans="1:26" x14ac:dyDescent="0.6">
      <c r="A580" s="1280"/>
      <c r="N580" s="1399"/>
      <c r="O580" s="1280"/>
      <c r="Z580" s="1280"/>
    </row>
    <row r="581" spans="1:26" x14ac:dyDescent="0.6">
      <c r="A581" s="1280"/>
      <c r="N581" s="1399"/>
      <c r="O581" s="1280"/>
      <c r="Z581" s="1280"/>
    </row>
    <row r="582" spans="1:26" x14ac:dyDescent="0.6">
      <c r="A582" s="1280"/>
      <c r="N582" s="1399"/>
      <c r="O582" s="1280"/>
      <c r="Z582" s="1280"/>
    </row>
    <row r="583" spans="1:26" x14ac:dyDescent="0.6">
      <c r="A583" s="1280"/>
      <c r="N583" s="1399"/>
      <c r="O583" s="1280"/>
      <c r="Z583" s="1280"/>
    </row>
    <row r="584" spans="1:26" x14ac:dyDescent="0.6">
      <c r="A584" s="1280"/>
      <c r="N584" s="1399"/>
      <c r="O584" s="1280"/>
      <c r="Z584" s="1280"/>
    </row>
    <row r="585" spans="1:26" x14ac:dyDescent="0.6">
      <c r="A585" s="1280"/>
      <c r="N585" s="1399"/>
      <c r="O585" s="1280"/>
      <c r="Z585" s="1280"/>
    </row>
    <row r="586" spans="1:26" x14ac:dyDescent="0.6">
      <c r="A586" s="1280"/>
      <c r="N586" s="1399"/>
      <c r="O586" s="1280"/>
      <c r="Z586" s="1280"/>
    </row>
    <row r="587" spans="1:26" x14ac:dyDescent="0.6">
      <c r="A587" s="1280"/>
      <c r="N587" s="1399"/>
      <c r="O587" s="1280"/>
      <c r="Z587" s="1280"/>
    </row>
    <row r="588" spans="1:26" x14ac:dyDescent="0.6">
      <c r="A588" s="1280"/>
      <c r="N588" s="1399"/>
      <c r="O588" s="1280"/>
      <c r="Z588" s="1280"/>
    </row>
    <row r="589" spans="1:26" x14ac:dyDescent="0.6">
      <c r="A589" s="1280"/>
      <c r="N589" s="1399"/>
      <c r="O589" s="1280"/>
      <c r="Z589" s="1280"/>
    </row>
    <row r="590" spans="1:26" x14ac:dyDescent="0.6">
      <c r="A590" s="1280"/>
      <c r="N590" s="1399"/>
      <c r="O590" s="1280"/>
      <c r="Z590" s="1280"/>
    </row>
    <row r="591" spans="1:26" x14ac:dyDescent="0.6">
      <c r="A591" s="1280"/>
      <c r="N591" s="1399"/>
      <c r="O591" s="1280"/>
      <c r="Z591" s="1280"/>
    </row>
    <row r="592" spans="1:26" x14ac:dyDescent="0.6">
      <c r="A592" s="1280"/>
      <c r="N592" s="1399"/>
      <c r="O592" s="1280"/>
      <c r="Z592" s="1280"/>
    </row>
    <row r="593" spans="1:26" x14ac:dyDescent="0.6">
      <c r="A593" s="1280"/>
      <c r="N593" s="1399"/>
      <c r="O593" s="1280"/>
      <c r="Z593" s="1280"/>
    </row>
    <row r="594" spans="1:26" x14ac:dyDescent="0.6">
      <c r="A594" s="1280"/>
      <c r="N594" s="1399"/>
      <c r="O594" s="1280"/>
      <c r="Z594" s="1280"/>
    </row>
    <row r="595" spans="1:26" x14ac:dyDescent="0.6">
      <c r="A595" s="1280"/>
      <c r="N595" s="1399"/>
      <c r="O595" s="1280"/>
      <c r="Z595" s="1280"/>
    </row>
    <row r="596" spans="1:26" x14ac:dyDescent="0.6">
      <c r="A596" s="1280"/>
      <c r="N596" s="1399"/>
      <c r="O596" s="1280"/>
      <c r="Z596" s="1280"/>
    </row>
    <row r="597" spans="1:26" x14ac:dyDescent="0.6">
      <c r="A597" s="1280"/>
      <c r="N597" s="1399"/>
      <c r="O597" s="1280"/>
      <c r="Z597" s="1280"/>
    </row>
    <row r="598" spans="1:26" x14ac:dyDescent="0.6">
      <c r="A598" s="1280"/>
      <c r="N598" s="1399"/>
      <c r="O598" s="1280"/>
      <c r="Z598" s="1280"/>
    </row>
    <row r="599" spans="1:26" x14ac:dyDescent="0.6">
      <c r="A599" s="1280"/>
      <c r="N599" s="1399"/>
      <c r="O599" s="1280"/>
      <c r="Z599" s="1280"/>
    </row>
    <row r="600" spans="1:26" x14ac:dyDescent="0.6">
      <c r="A600" s="1280"/>
      <c r="N600" s="1399"/>
      <c r="O600" s="1280"/>
      <c r="Z600" s="1280"/>
    </row>
    <row r="601" spans="1:26" x14ac:dyDescent="0.6">
      <c r="A601" s="1280"/>
      <c r="N601" s="1399"/>
      <c r="O601" s="1280"/>
      <c r="Z601" s="1280"/>
    </row>
    <row r="602" spans="1:26" x14ac:dyDescent="0.6">
      <c r="A602" s="1280"/>
      <c r="N602" s="1399"/>
      <c r="O602" s="1280"/>
      <c r="Z602" s="1280"/>
    </row>
    <row r="603" spans="1:26" x14ac:dyDescent="0.6">
      <c r="A603" s="1280"/>
      <c r="N603" s="1399"/>
      <c r="O603" s="1280"/>
      <c r="Z603" s="1280"/>
    </row>
    <row r="604" spans="1:26" x14ac:dyDescent="0.6">
      <c r="A604" s="1280"/>
      <c r="N604" s="1399"/>
      <c r="O604" s="1280"/>
      <c r="Z604" s="1280"/>
    </row>
    <row r="605" spans="1:26" x14ac:dyDescent="0.6">
      <c r="A605" s="1280"/>
      <c r="N605" s="1399"/>
      <c r="O605" s="1280"/>
      <c r="Z605" s="1280"/>
    </row>
    <row r="606" spans="1:26" x14ac:dyDescent="0.6">
      <c r="A606" s="1280"/>
      <c r="N606" s="1399"/>
      <c r="O606" s="1280"/>
      <c r="Z606" s="1280"/>
    </row>
    <row r="607" spans="1:26" x14ac:dyDescent="0.6">
      <c r="A607" s="1280"/>
      <c r="N607" s="1399"/>
      <c r="O607" s="1280"/>
      <c r="Z607" s="1280"/>
    </row>
    <row r="608" spans="1:26" x14ac:dyDescent="0.6">
      <c r="A608" s="1280"/>
      <c r="N608" s="1399"/>
      <c r="O608" s="1280"/>
      <c r="Z608" s="1280"/>
    </row>
    <row r="609" spans="1:26" x14ac:dyDescent="0.6">
      <c r="A609" s="1280"/>
      <c r="N609" s="1399"/>
      <c r="O609" s="1280"/>
      <c r="Z609" s="1280"/>
    </row>
    <row r="610" spans="1:26" x14ac:dyDescent="0.6">
      <c r="A610" s="1280"/>
      <c r="N610" s="1399"/>
      <c r="O610" s="1280"/>
      <c r="Z610" s="1280"/>
    </row>
    <row r="611" spans="1:26" x14ac:dyDescent="0.6">
      <c r="A611" s="1280"/>
      <c r="N611" s="1399"/>
      <c r="O611" s="1280"/>
      <c r="Z611" s="1280"/>
    </row>
    <row r="612" spans="1:26" x14ac:dyDescent="0.6">
      <c r="A612" s="1280"/>
      <c r="N612" s="1399"/>
      <c r="O612" s="1280"/>
      <c r="Z612" s="1280"/>
    </row>
    <row r="613" spans="1:26" x14ac:dyDescent="0.6">
      <c r="A613" s="1280"/>
      <c r="N613" s="1399"/>
      <c r="O613" s="1280"/>
      <c r="Z613" s="1280"/>
    </row>
    <row r="614" spans="1:26" x14ac:dyDescent="0.6">
      <c r="A614" s="1280"/>
      <c r="N614" s="1399"/>
      <c r="O614" s="1280"/>
      <c r="Z614" s="1280"/>
    </row>
    <row r="615" spans="1:26" x14ac:dyDescent="0.6">
      <c r="A615" s="1280"/>
      <c r="N615" s="1399"/>
      <c r="O615" s="1280"/>
      <c r="Z615" s="1280"/>
    </row>
    <row r="616" spans="1:26" x14ac:dyDescent="0.6">
      <c r="A616" s="1280"/>
      <c r="N616" s="1399"/>
      <c r="O616" s="1280"/>
      <c r="Z616" s="1280"/>
    </row>
    <row r="617" spans="1:26" x14ac:dyDescent="0.6">
      <c r="A617" s="1280"/>
      <c r="N617" s="1399"/>
      <c r="O617" s="1280"/>
      <c r="Z617" s="1280"/>
    </row>
    <row r="618" spans="1:26" x14ac:dyDescent="0.6">
      <c r="A618" s="1280"/>
      <c r="N618" s="1399"/>
      <c r="O618" s="1280"/>
      <c r="Z618" s="1280"/>
    </row>
    <row r="619" spans="1:26" x14ac:dyDescent="0.6">
      <c r="A619" s="1280"/>
      <c r="N619" s="1399"/>
      <c r="O619" s="1280"/>
      <c r="Z619" s="1280"/>
    </row>
    <row r="620" spans="1:26" x14ac:dyDescent="0.6">
      <c r="A620" s="1280"/>
      <c r="N620" s="1399"/>
      <c r="O620" s="1280"/>
      <c r="Z620" s="1280"/>
    </row>
    <row r="621" spans="1:26" x14ac:dyDescent="0.6">
      <c r="A621" s="1280"/>
      <c r="N621" s="1399"/>
      <c r="O621" s="1280"/>
      <c r="Z621" s="1280"/>
    </row>
    <row r="622" spans="1:26" x14ac:dyDescent="0.6">
      <c r="A622" s="1280"/>
      <c r="N622" s="1399"/>
      <c r="O622" s="1280"/>
      <c r="Z622" s="1280"/>
    </row>
    <row r="623" spans="1:26" x14ac:dyDescent="0.6">
      <c r="A623" s="1280"/>
      <c r="N623" s="1399"/>
      <c r="O623" s="1280"/>
      <c r="Z623" s="1280"/>
    </row>
    <row r="624" spans="1:26" x14ac:dyDescent="0.6">
      <c r="A624" s="1280"/>
      <c r="N624" s="1399"/>
      <c r="O624" s="1280"/>
      <c r="Z624" s="1280"/>
    </row>
    <row r="625" spans="1:26" x14ac:dyDescent="0.6">
      <c r="A625" s="1280"/>
      <c r="N625" s="1399"/>
      <c r="O625" s="1280"/>
      <c r="Z625" s="1280"/>
    </row>
    <row r="626" spans="1:26" x14ac:dyDescent="0.6">
      <c r="A626" s="1280"/>
      <c r="N626" s="1399"/>
      <c r="O626" s="1280"/>
      <c r="Z626" s="1280"/>
    </row>
    <row r="627" spans="1:26" x14ac:dyDescent="0.6">
      <c r="A627" s="1280"/>
      <c r="N627" s="1399"/>
      <c r="O627" s="1280"/>
      <c r="Z627" s="1280"/>
    </row>
    <row r="628" spans="1:26" x14ac:dyDescent="0.6">
      <c r="A628" s="1280"/>
      <c r="N628" s="1399"/>
      <c r="O628" s="1280"/>
      <c r="Z628" s="1280"/>
    </row>
    <row r="629" spans="1:26" x14ac:dyDescent="0.6">
      <c r="A629" s="1280"/>
      <c r="N629" s="1399"/>
      <c r="O629" s="1280"/>
      <c r="Z629" s="1280"/>
    </row>
    <row r="630" spans="1:26" x14ac:dyDescent="0.6">
      <c r="A630" s="1280"/>
      <c r="N630" s="1399"/>
      <c r="O630" s="1280"/>
      <c r="Z630" s="1280"/>
    </row>
    <row r="631" spans="1:26" x14ac:dyDescent="0.6">
      <c r="A631" s="1280"/>
      <c r="N631" s="1399"/>
      <c r="O631" s="1280"/>
      <c r="Z631" s="1280"/>
    </row>
    <row r="632" spans="1:26" x14ac:dyDescent="0.6">
      <c r="A632" s="1280"/>
      <c r="N632" s="1399"/>
      <c r="O632" s="1280"/>
      <c r="Z632" s="1280"/>
    </row>
    <row r="633" spans="1:26" x14ac:dyDescent="0.6">
      <c r="A633" s="1280"/>
      <c r="N633" s="1399"/>
      <c r="O633" s="1280"/>
      <c r="Z633" s="1280"/>
    </row>
    <row r="634" spans="1:26" x14ac:dyDescent="0.6">
      <c r="A634" s="1280"/>
      <c r="N634" s="1399"/>
      <c r="O634" s="1280"/>
      <c r="Z634" s="1280"/>
    </row>
    <row r="635" spans="1:26" x14ac:dyDescent="0.6">
      <c r="A635" s="1280"/>
      <c r="N635" s="1399"/>
      <c r="O635" s="1280"/>
      <c r="Z635" s="1280"/>
    </row>
    <row r="636" spans="1:26" x14ac:dyDescent="0.6">
      <c r="A636" s="1280"/>
      <c r="N636" s="1399"/>
      <c r="O636" s="1280"/>
      <c r="Z636" s="1280"/>
    </row>
    <row r="637" spans="1:26" x14ac:dyDescent="0.6">
      <c r="A637" s="1280"/>
      <c r="N637" s="1399"/>
      <c r="O637" s="1280"/>
      <c r="Z637" s="1280"/>
    </row>
    <row r="638" spans="1:26" x14ac:dyDescent="0.6">
      <c r="A638" s="1280"/>
      <c r="N638" s="1399"/>
      <c r="O638" s="1280"/>
      <c r="Z638" s="1280"/>
    </row>
    <row r="639" spans="1:26" x14ac:dyDescent="0.6">
      <c r="A639" s="1280"/>
      <c r="N639" s="1399"/>
      <c r="O639" s="1280"/>
      <c r="Z639" s="1280"/>
    </row>
    <row r="640" spans="1:26" x14ac:dyDescent="0.6">
      <c r="A640" s="1280"/>
      <c r="N640" s="1399"/>
      <c r="O640" s="1280"/>
      <c r="Z640" s="1280"/>
    </row>
    <row r="641" spans="1:26" x14ac:dyDescent="0.6">
      <c r="A641" s="1280"/>
      <c r="N641" s="1399"/>
      <c r="O641" s="1280"/>
      <c r="Z641" s="1280"/>
    </row>
    <row r="642" spans="1:26" x14ac:dyDescent="0.6">
      <c r="A642" s="1280"/>
      <c r="N642" s="1399"/>
      <c r="O642" s="1280"/>
      <c r="Z642" s="1280"/>
    </row>
    <row r="643" spans="1:26" x14ac:dyDescent="0.6">
      <c r="A643" s="1280"/>
      <c r="N643" s="1399"/>
      <c r="O643" s="1280"/>
      <c r="Z643" s="1280"/>
    </row>
    <row r="644" spans="1:26" x14ac:dyDescent="0.6">
      <c r="A644" s="1280"/>
      <c r="N644" s="1399"/>
      <c r="O644" s="1280"/>
      <c r="Z644" s="1280"/>
    </row>
    <row r="645" spans="1:26" x14ac:dyDescent="0.6">
      <c r="A645" s="1280"/>
      <c r="N645" s="1399"/>
      <c r="O645" s="1280"/>
      <c r="Z645" s="1280"/>
    </row>
    <row r="646" spans="1:26" x14ac:dyDescent="0.6">
      <c r="A646" s="1280"/>
      <c r="N646" s="1399"/>
      <c r="O646" s="1280"/>
      <c r="Z646" s="1280"/>
    </row>
    <row r="647" spans="1:26" x14ac:dyDescent="0.6">
      <c r="A647" s="1280"/>
      <c r="N647" s="1399"/>
      <c r="O647" s="1280"/>
      <c r="Z647" s="1280"/>
    </row>
    <row r="648" spans="1:26" x14ac:dyDescent="0.6">
      <c r="A648" s="1280"/>
      <c r="N648" s="1399"/>
      <c r="O648" s="1280"/>
      <c r="Z648" s="1280"/>
    </row>
    <row r="649" spans="1:26" x14ac:dyDescent="0.6">
      <c r="A649" s="1280"/>
      <c r="N649" s="1399"/>
      <c r="O649" s="1280"/>
      <c r="Z649" s="1280"/>
    </row>
    <row r="650" spans="1:26" x14ac:dyDescent="0.6">
      <c r="A650" s="1280"/>
      <c r="N650" s="1399"/>
      <c r="O650" s="1280"/>
      <c r="Z650" s="1280"/>
    </row>
    <row r="651" spans="1:26" x14ac:dyDescent="0.6">
      <c r="A651" s="1280"/>
      <c r="N651" s="1399"/>
      <c r="O651" s="1280"/>
      <c r="Z651" s="1280"/>
    </row>
    <row r="652" spans="1:26" x14ac:dyDescent="0.6">
      <c r="A652" s="1280"/>
      <c r="N652" s="1399"/>
      <c r="O652" s="1280"/>
      <c r="Z652" s="1280"/>
    </row>
    <row r="653" spans="1:26" x14ac:dyDescent="0.6">
      <c r="A653" s="1280"/>
      <c r="N653" s="1399"/>
      <c r="O653" s="1280"/>
      <c r="Z653" s="1280"/>
    </row>
    <row r="654" spans="1:26" x14ac:dyDescent="0.6">
      <c r="A654" s="1280"/>
      <c r="N654" s="1399"/>
      <c r="O654" s="1280"/>
      <c r="Z654" s="1280"/>
    </row>
    <row r="655" spans="1:26" x14ac:dyDescent="0.6">
      <c r="A655" s="1280"/>
      <c r="N655" s="1399"/>
      <c r="O655" s="1280"/>
      <c r="Z655" s="1280"/>
    </row>
    <row r="656" spans="1:26" x14ac:dyDescent="0.6">
      <c r="A656" s="1280"/>
      <c r="N656" s="1399"/>
      <c r="O656" s="1280"/>
      <c r="Z656" s="1280"/>
    </row>
    <row r="657" spans="1:26" x14ac:dyDescent="0.6">
      <c r="A657" s="1280"/>
      <c r="N657" s="1399"/>
      <c r="O657" s="1280"/>
      <c r="Z657" s="1280"/>
    </row>
    <row r="658" spans="1:26" x14ac:dyDescent="0.6">
      <c r="A658" s="1280"/>
      <c r="N658" s="1399"/>
      <c r="O658" s="1280"/>
      <c r="Z658" s="1280"/>
    </row>
    <row r="659" spans="1:26" x14ac:dyDescent="0.6">
      <c r="A659" s="1280"/>
      <c r="N659" s="1399"/>
      <c r="O659" s="1280"/>
      <c r="Z659" s="1280"/>
    </row>
    <row r="660" spans="1:26" x14ac:dyDescent="0.6">
      <c r="A660" s="1280"/>
      <c r="N660" s="1399"/>
      <c r="O660" s="1280"/>
      <c r="Z660" s="1280"/>
    </row>
    <row r="661" spans="1:26" x14ac:dyDescent="0.6">
      <c r="A661" s="1280"/>
      <c r="N661" s="1399"/>
      <c r="O661" s="1280"/>
      <c r="Z661" s="1280"/>
    </row>
    <row r="662" spans="1:26" x14ac:dyDescent="0.6">
      <c r="A662" s="1280"/>
      <c r="N662" s="1399"/>
      <c r="O662" s="1280"/>
      <c r="Z662" s="1280"/>
    </row>
    <row r="663" spans="1:26" x14ac:dyDescent="0.6">
      <c r="A663" s="1280"/>
      <c r="N663" s="1399"/>
      <c r="O663" s="1280"/>
      <c r="Z663" s="1280"/>
    </row>
    <row r="664" spans="1:26" x14ac:dyDescent="0.6">
      <c r="A664" s="1280"/>
      <c r="N664" s="1399"/>
      <c r="O664" s="1280"/>
      <c r="Z664" s="1280"/>
    </row>
    <row r="665" spans="1:26" x14ac:dyDescent="0.6">
      <c r="A665" s="1280"/>
      <c r="N665" s="1399"/>
      <c r="O665" s="1280"/>
      <c r="Z665" s="1280"/>
    </row>
    <row r="666" spans="1:26" x14ac:dyDescent="0.6">
      <c r="A666" s="1280"/>
      <c r="N666" s="1399"/>
      <c r="O666" s="1280"/>
      <c r="Z666" s="1280"/>
    </row>
    <row r="667" spans="1:26" x14ac:dyDescent="0.6">
      <c r="A667" s="1280"/>
      <c r="N667" s="1399"/>
      <c r="O667" s="1280"/>
      <c r="Z667" s="1280"/>
    </row>
    <row r="668" spans="1:26" x14ac:dyDescent="0.6">
      <c r="A668" s="1280"/>
      <c r="N668" s="1399"/>
      <c r="O668" s="1280"/>
      <c r="Z668" s="1280"/>
    </row>
    <row r="669" spans="1:26" x14ac:dyDescent="0.6">
      <c r="A669" s="1280"/>
      <c r="N669" s="1399"/>
      <c r="O669" s="1280"/>
      <c r="Z669" s="1280"/>
    </row>
    <row r="670" spans="1:26" x14ac:dyDescent="0.6">
      <c r="A670" s="1280"/>
      <c r="N670" s="1399"/>
      <c r="O670" s="1280"/>
      <c r="Z670" s="1280"/>
    </row>
    <row r="671" spans="1:26" x14ac:dyDescent="0.6">
      <c r="A671" s="1280"/>
      <c r="N671" s="1399"/>
      <c r="O671" s="1280"/>
      <c r="Z671" s="1280"/>
    </row>
    <row r="672" spans="1:26" x14ac:dyDescent="0.6">
      <c r="A672" s="1280"/>
      <c r="N672" s="1399"/>
      <c r="O672" s="1280"/>
      <c r="Z672" s="1280"/>
    </row>
    <row r="673" spans="1:26" x14ac:dyDescent="0.6">
      <c r="A673" s="1280"/>
      <c r="N673" s="1399"/>
      <c r="O673" s="1280"/>
      <c r="Z673" s="1280"/>
    </row>
    <row r="674" spans="1:26" x14ac:dyDescent="0.6">
      <c r="A674" s="1280"/>
      <c r="N674" s="1399"/>
      <c r="O674" s="1280"/>
      <c r="Z674" s="1280"/>
    </row>
    <row r="675" spans="1:26" x14ac:dyDescent="0.6">
      <c r="A675" s="1280"/>
      <c r="N675" s="1399"/>
      <c r="O675" s="1280"/>
      <c r="Z675" s="1280"/>
    </row>
    <row r="676" spans="1:26" x14ac:dyDescent="0.6">
      <c r="A676" s="1280"/>
      <c r="N676" s="1399"/>
      <c r="O676" s="1280"/>
      <c r="Z676" s="1280"/>
    </row>
    <row r="677" spans="1:26" x14ac:dyDescent="0.6">
      <c r="A677" s="1280"/>
      <c r="N677" s="1399"/>
      <c r="O677" s="1280"/>
      <c r="Z677" s="1280"/>
    </row>
    <row r="678" spans="1:26" x14ac:dyDescent="0.6">
      <c r="A678" s="1280"/>
      <c r="N678" s="1399"/>
      <c r="O678" s="1280"/>
      <c r="Z678" s="1280"/>
    </row>
    <row r="679" spans="1:26" x14ac:dyDescent="0.6">
      <c r="A679" s="1280"/>
      <c r="N679" s="1399"/>
      <c r="O679" s="1280"/>
      <c r="Z679" s="1280"/>
    </row>
    <row r="680" spans="1:26" x14ac:dyDescent="0.6">
      <c r="A680" s="1280"/>
      <c r="N680" s="1399"/>
      <c r="O680" s="1280"/>
      <c r="Z680" s="1280"/>
    </row>
    <row r="681" spans="1:26" x14ac:dyDescent="0.6">
      <c r="A681" s="1280"/>
      <c r="N681" s="1399"/>
      <c r="O681" s="1280"/>
      <c r="Z681" s="1280"/>
    </row>
    <row r="682" spans="1:26" x14ac:dyDescent="0.6">
      <c r="A682" s="1280"/>
      <c r="N682" s="1399"/>
      <c r="O682" s="1280"/>
      <c r="Z682" s="1280"/>
    </row>
    <row r="683" spans="1:26" x14ac:dyDescent="0.6">
      <c r="A683" s="1280"/>
      <c r="N683" s="1399"/>
      <c r="O683" s="1280"/>
      <c r="Z683" s="1280"/>
    </row>
    <row r="684" spans="1:26" x14ac:dyDescent="0.6">
      <c r="A684" s="1280"/>
      <c r="N684" s="1399"/>
      <c r="O684" s="1280"/>
      <c r="Z684" s="1280"/>
    </row>
    <row r="685" spans="1:26" x14ac:dyDescent="0.6">
      <c r="A685" s="1280"/>
      <c r="N685" s="1399"/>
      <c r="O685" s="1280"/>
      <c r="Z685" s="1280"/>
    </row>
    <row r="686" spans="1:26" x14ac:dyDescent="0.6">
      <c r="A686" s="1280"/>
      <c r="N686" s="1399"/>
      <c r="O686" s="1280"/>
      <c r="Z686" s="1280"/>
    </row>
    <row r="687" spans="1:26" x14ac:dyDescent="0.6">
      <c r="A687" s="1280"/>
      <c r="N687" s="1399"/>
      <c r="O687" s="1280"/>
      <c r="Z687" s="1280"/>
    </row>
    <row r="688" spans="1:26" x14ac:dyDescent="0.6">
      <c r="A688" s="1280"/>
      <c r="N688" s="1399"/>
      <c r="O688" s="1280"/>
      <c r="Z688" s="1280"/>
    </row>
    <row r="689" spans="1:26" x14ac:dyDescent="0.6">
      <c r="A689" s="1280"/>
      <c r="N689" s="1399"/>
      <c r="O689" s="1280"/>
      <c r="Z689" s="1280"/>
    </row>
    <row r="690" spans="1:26" x14ac:dyDescent="0.6">
      <c r="A690" s="1280"/>
      <c r="N690" s="1399"/>
      <c r="O690" s="1280"/>
      <c r="Z690" s="1280"/>
    </row>
    <row r="691" spans="1:26" x14ac:dyDescent="0.6">
      <c r="A691" s="1280"/>
      <c r="N691" s="1399"/>
      <c r="O691" s="1280"/>
      <c r="Z691" s="1280"/>
    </row>
    <row r="692" spans="1:26" x14ac:dyDescent="0.6">
      <c r="A692" s="1280"/>
      <c r="N692" s="1399"/>
      <c r="O692" s="1280"/>
      <c r="Z692" s="1280"/>
    </row>
    <row r="693" spans="1:26" x14ac:dyDescent="0.6">
      <c r="A693" s="1280"/>
      <c r="N693" s="1399"/>
      <c r="O693" s="1280"/>
      <c r="Z693" s="1280"/>
    </row>
    <row r="694" spans="1:26" x14ac:dyDescent="0.6">
      <c r="A694" s="1280"/>
      <c r="N694" s="1399"/>
      <c r="O694" s="1280"/>
      <c r="Z694" s="1280"/>
    </row>
    <row r="695" spans="1:26" x14ac:dyDescent="0.6">
      <c r="A695" s="1280"/>
      <c r="N695" s="1399"/>
      <c r="O695" s="1280"/>
      <c r="Z695" s="1280"/>
    </row>
    <row r="696" spans="1:26" x14ac:dyDescent="0.6">
      <c r="A696" s="1280"/>
      <c r="N696" s="1399"/>
      <c r="O696" s="1280"/>
      <c r="Z696" s="1280"/>
    </row>
    <row r="697" spans="1:26" x14ac:dyDescent="0.6">
      <c r="A697" s="1280"/>
      <c r="N697" s="1399"/>
      <c r="O697" s="1280"/>
      <c r="Z697" s="1280"/>
    </row>
    <row r="698" spans="1:26" x14ac:dyDescent="0.6">
      <c r="A698" s="1280"/>
      <c r="N698" s="1399"/>
      <c r="O698" s="1280"/>
      <c r="Z698" s="1280"/>
    </row>
    <row r="699" spans="1:26" x14ac:dyDescent="0.6">
      <c r="A699" s="1280"/>
      <c r="N699" s="1399"/>
      <c r="O699" s="1280"/>
      <c r="Z699" s="1280"/>
    </row>
    <row r="700" spans="1:26" x14ac:dyDescent="0.6">
      <c r="A700" s="1280"/>
      <c r="N700" s="1399"/>
      <c r="O700" s="1280"/>
      <c r="Z700" s="1280"/>
    </row>
    <row r="701" spans="1:26" x14ac:dyDescent="0.6">
      <c r="A701" s="1280"/>
      <c r="N701" s="1399"/>
      <c r="O701" s="1280"/>
      <c r="Z701" s="1280"/>
    </row>
    <row r="702" spans="1:26" x14ac:dyDescent="0.6">
      <c r="A702" s="1280"/>
      <c r="N702" s="1399"/>
      <c r="O702" s="1280"/>
      <c r="Z702" s="1280"/>
    </row>
    <row r="703" spans="1:26" x14ac:dyDescent="0.6">
      <c r="A703" s="1280"/>
      <c r="N703" s="1399"/>
      <c r="O703" s="1280"/>
      <c r="Z703" s="1280"/>
    </row>
  </sheetData>
  <protectedRanges>
    <protectedRange password="CC6F" sqref="B8:B9" name="ช่วง1_5_1_5_1_1_1"/>
  </protectedRanges>
  <mergeCells count="18">
    <mergeCell ref="X6:X7"/>
    <mergeCell ref="A10:C10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19685039370078741" right="0.19685039370078741" top="1.1417322834645669" bottom="0.98425196850393704" header="0.31496062992125984" footer="0.31496062992125984"/>
  <pageSetup paperSize="9" scale="61" firstPageNumber="3" fitToHeight="0" orientation="landscape" useFirstPageNumber="1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E319A-11A8-4795-BABE-759097989F85}">
  <sheetPr>
    <pageSetUpPr fitToPage="1"/>
  </sheetPr>
  <dimension ref="A1:AE738"/>
  <sheetViews>
    <sheetView zoomScale="90" zoomScaleNormal="90" zoomScaleSheetLayoutView="100" workbookViewId="0">
      <pane ySplit="7" topLeftCell="A32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3984375" style="1399" customWidth="1"/>
    <col min="2" max="2" width="21.8984375" style="1461" customWidth="1"/>
    <col min="3" max="3" width="4.5" style="1405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16" width="11.09765625" style="1288" hidden="1" customWidth="1"/>
    <col min="17" max="17" width="11.09765625" style="1288" customWidth="1"/>
    <col min="18" max="18" width="11.09765625" style="1288" hidden="1" customWidth="1"/>
    <col min="19" max="19" width="11.09765625" style="1288" customWidth="1"/>
    <col min="20" max="20" width="11.09765625" style="1288" hidden="1" customWidth="1"/>
    <col min="21" max="21" width="11.09765625" style="1288" customWidth="1"/>
    <col min="22" max="22" width="11.09765625" style="1288" hidden="1" customWidth="1"/>
    <col min="23" max="23" width="11.09765625" style="1288" customWidth="1"/>
    <col min="24" max="25" width="11.0976562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x14ac:dyDescent="0.6">
      <c r="A1" s="1297" t="s">
        <v>8603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9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9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9" x14ac:dyDescent="0.6">
      <c r="A4" s="1408" t="s">
        <v>2185</v>
      </c>
      <c r="B4" s="1408" t="s">
        <v>8604</v>
      </c>
      <c r="C4" s="1647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9" x14ac:dyDescent="0.6">
      <c r="A5" s="1417"/>
      <c r="B5" s="1417"/>
      <c r="C5" s="1648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9" x14ac:dyDescent="0.6">
      <c r="A6" s="1417"/>
      <c r="B6" s="1417"/>
      <c r="C6" s="1648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9" x14ac:dyDescent="0.6">
      <c r="A7" s="1425"/>
      <c r="B7" s="1425"/>
      <c r="C7" s="1649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9" s="1388" customFormat="1" ht="23.25" customHeight="1" x14ac:dyDescent="0.25">
      <c r="A8" s="1279">
        <v>1</v>
      </c>
      <c r="B8" s="1650" t="s">
        <v>8605</v>
      </c>
      <c r="C8" s="1540" t="s">
        <v>8206</v>
      </c>
      <c r="D8" s="1343">
        <v>589</v>
      </c>
      <c r="E8" s="1378">
        <f t="shared" ref="E8:E14" si="0">D8*N8</f>
        <v>34162</v>
      </c>
      <c r="F8" s="1343">
        <v>639</v>
      </c>
      <c r="G8" s="1378">
        <f t="shared" ref="G8:G46" si="1">F8*N8</f>
        <v>37062</v>
      </c>
      <c r="H8" s="1343">
        <v>765</v>
      </c>
      <c r="I8" s="1345">
        <f t="shared" ref="I8:I46" si="2">H8*N8</f>
        <v>44370</v>
      </c>
      <c r="J8" s="1480">
        <v>800</v>
      </c>
      <c r="K8" s="1651">
        <v>85</v>
      </c>
      <c r="L8" s="1344">
        <f>K8*N8</f>
        <v>4930</v>
      </c>
      <c r="M8" s="1204">
        <f>J8-K8</f>
        <v>715</v>
      </c>
      <c r="N8" s="1481">
        <v>58</v>
      </c>
      <c r="O8" s="1346">
        <f>M8*N8</f>
        <v>41470</v>
      </c>
      <c r="P8" s="1482">
        <v>179</v>
      </c>
      <c r="Q8" s="1482">
        <f>P8*N8</f>
        <v>10382</v>
      </c>
      <c r="R8" s="1482">
        <v>179</v>
      </c>
      <c r="S8" s="1483">
        <f>R8*N8</f>
        <v>10382</v>
      </c>
      <c r="T8" s="1482">
        <v>178</v>
      </c>
      <c r="U8" s="1483">
        <f>T8*N8</f>
        <v>10324</v>
      </c>
      <c r="V8" s="1482">
        <v>179</v>
      </c>
      <c r="W8" s="1483">
        <f>V8*N8</f>
        <v>10382</v>
      </c>
      <c r="X8" s="1345">
        <f>P8+R8+T8+V8</f>
        <v>715</v>
      </c>
      <c r="Y8" s="1345">
        <f>X8*N8</f>
        <v>41470</v>
      </c>
      <c r="Z8" s="1357" t="s">
        <v>7799</v>
      </c>
      <c r="AA8" s="1358" t="s">
        <v>8606</v>
      </c>
      <c r="AB8" s="1359" t="str">
        <f t="shared" ref="AB8:AB47" si="3">IF(O8=Y8,"yes")</f>
        <v>yes</v>
      </c>
      <c r="AC8" s="1584" t="str">
        <f>IF(M8=X8,"ok")</f>
        <v>ok</v>
      </c>
    </row>
    <row r="9" spans="1:29" s="1359" customFormat="1" ht="20.25" customHeight="1" x14ac:dyDescent="0.25">
      <c r="A9" s="1279">
        <v>2</v>
      </c>
      <c r="B9" s="1650" t="s">
        <v>8607</v>
      </c>
      <c r="C9" s="1540" t="s">
        <v>8206</v>
      </c>
      <c r="D9" s="1345">
        <v>404</v>
      </c>
      <c r="E9" s="1378">
        <f t="shared" si="0"/>
        <v>22624</v>
      </c>
      <c r="F9" s="1345">
        <v>631</v>
      </c>
      <c r="G9" s="1378">
        <f t="shared" si="1"/>
        <v>35336</v>
      </c>
      <c r="H9" s="1345">
        <v>634</v>
      </c>
      <c r="I9" s="1345">
        <f t="shared" si="2"/>
        <v>35504</v>
      </c>
      <c r="J9" s="1652">
        <v>1000</v>
      </c>
      <c r="K9" s="1653">
        <v>215</v>
      </c>
      <c r="L9" s="1344">
        <f t="shared" ref="L9:L46" si="4">K9*N9</f>
        <v>12040</v>
      </c>
      <c r="M9" s="1204">
        <f>J9-K9</f>
        <v>785</v>
      </c>
      <c r="N9" s="1346">
        <v>56</v>
      </c>
      <c r="O9" s="1346">
        <f t="shared" ref="O9:O46" si="5">M9*N9</f>
        <v>43960</v>
      </c>
      <c r="P9" s="1482">
        <v>197</v>
      </c>
      <c r="Q9" s="1482">
        <f t="shared" ref="Q9:Q46" si="6">P9*N9</f>
        <v>11032</v>
      </c>
      <c r="R9" s="1482">
        <v>196</v>
      </c>
      <c r="S9" s="1483">
        <f t="shared" ref="S9:S46" si="7">R9*N9</f>
        <v>10976</v>
      </c>
      <c r="T9" s="1482">
        <v>197</v>
      </c>
      <c r="U9" s="1483">
        <f t="shared" ref="U9:U46" si="8">T9*N9</f>
        <v>11032</v>
      </c>
      <c r="V9" s="1482">
        <v>195</v>
      </c>
      <c r="W9" s="1483">
        <f t="shared" ref="W9:W46" si="9">V9*N9</f>
        <v>10920</v>
      </c>
      <c r="X9" s="1345">
        <f t="shared" ref="X9:X46" si="10">P9+R9+T9+V9</f>
        <v>785</v>
      </c>
      <c r="Y9" s="1345">
        <f t="shared" ref="Y9:Y46" si="11">X9*N9</f>
        <v>43960</v>
      </c>
      <c r="Z9" s="1357" t="s">
        <v>7799</v>
      </c>
      <c r="AA9" s="1358" t="s">
        <v>8606</v>
      </c>
      <c r="AB9" s="1359" t="str">
        <f t="shared" si="3"/>
        <v>yes</v>
      </c>
      <c r="AC9" s="1584" t="str">
        <f>IF(M9=X9,"ok")</f>
        <v>ok</v>
      </c>
    </row>
    <row r="10" spans="1:29" s="1359" customFormat="1" ht="20.25" customHeight="1" x14ac:dyDescent="0.25">
      <c r="A10" s="1279">
        <v>3</v>
      </c>
      <c r="B10" s="1650" t="s">
        <v>8608</v>
      </c>
      <c r="C10" s="1540" t="s">
        <v>8206</v>
      </c>
      <c r="D10" s="1345">
        <v>378</v>
      </c>
      <c r="E10" s="1378">
        <f t="shared" si="0"/>
        <v>21924</v>
      </c>
      <c r="F10" s="1345">
        <v>304</v>
      </c>
      <c r="G10" s="1378">
        <f t="shared" si="1"/>
        <v>17632</v>
      </c>
      <c r="H10" s="1345">
        <v>360</v>
      </c>
      <c r="I10" s="1345">
        <f t="shared" si="2"/>
        <v>20880</v>
      </c>
      <c r="J10" s="1652">
        <v>400</v>
      </c>
      <c r="K10" s="1653">
        <v>40</v>
      </c>
      <c r="L10" s="1344">
        <f t="shared" si="4"/>
        <v>2320</v>
      </c>
      <c r="M10" s="1204">
        <f t="shared" ref="M10:M46" si="12">J10-K10</f>
        <v>360</v>
      </c>
      <c r="N10" s="1346">
        <v>58</v>
      </c>
      <c r="O10" s="1346">
        <f t="shared" si="5"/>
        <v>20880</v>
      </c>
      <c r="P10" s="1482">
        <f t="shared" ref="P10:P46" si="13">M10/4</f>
        <v>90</v>
      </c>
      <c r="Q10" s="1482">
        <f t="shared" si="6"/>
        <v>5220</v>
      </c>
      <c r="R10" s="1482">
        <f t="shared" ref="R10:R46" si="14">M10/4</f>
        <v>90</v>
      </c>
      <c r="S10" s="1483">
        <f t="shared" si="7"/>
        <v>5220</v>
      </c>
      <c r="T10" s="1482">
        <f t="shared" ref="T10:T46" si="15">M10/4</f>
        <v>90</v>
      </c>
      <c r="U10" s="1483">
        <f t="shared" si="8"/>
        <v>5220</v>
      </c>
      <c r="V10" s="1482">
        <f t="shared" ref="V10:V46" si="16">M10/4</f>
        <v>90</v>
      </c>
      <c r="W10" s="1483">
        <f t="shared" si="9"/>
        <v>5220</v>
      </c>
      <c r="X10" s="1345">
        <f t="shared" si="10"/>
        <v>360</v>
      </c>
      <c r="Y10" s="1345">
        <f t="shared" si="11"/>
        <v>20880</v>
      </c>
      <c r="Z10" s="1357" t="s">
        <v>7799</v>
      </c>
      <c r="AA10" s="1358" t="s">
        <v>8606</v>
      </c>
      <c r="AB10" s="1359" t="str">
        <f t="shared" si="3"/>
        <v>yes</v>
      </c>
      <c r="AC10" s="1584" t="str">
        <f t="shared" ref="AC10:AC47" si="17">IF(M10=X10,"ok")</f>
        <v>ok</v>
      </c>
    </row>
    <row r="11" spans="1:29" s="1359" customFormat="1" ht="20.25" customHeight="1" x14ac:dyDescent="0.25">
      <c r="A11" s="1279">
        <v>4</v>
      </c>
      <c r="B11" s="1650" t="s">
        <v>8609</v>
      </c>
      <c r="C11" s="1540" t="s">
        <v>8206</v>
      </c>
      <c r="D11" s="1345">
        <v>218</v>
      </c>
      <c r="E11" s="1378">
        <f t="shared" si="0"/>
        <v>13516</v>
      </c>
      <c r="F11" s="1345">
        <v>235</v>
      </c>
      <c r="G11" s="1378">
        <f t="shared" si="1"/>
        <v>14570</v>
      </c>
      <c r="H11" s="1345">
        <v>310</v>
      </c>
      <c r="I11" s="1345">
        <f t="shared" si="2"/>
        <v>19220</v>
      </c>
      <c r="J11" s="1652">
        <v>400</v>
      </c>
      <c r="K11" s="1653">
        <v>140</v>
      </c>
      <c r="L11" s="1344">
        <f t="shared" si="4"/>
        <v>8680</v>
      </c>
      <c r="M11" s="1204">
        <f t="shared" si="12"/>
        <v>260</v>
      </c>
      <c r="N11" s="1346">
        <v>62</v>
      </c>
      <c r="O11" s="1346">
        <f t="shared" si="5"/>
        <v>16120</v>
      </c>
      <c r="P11" s="1482">
        <f t="shared" si="13"/>
        <v>65</v>
      </c>
      <c r="Q11" s="1482">
        <f t="shared" si="6"/>
        <v>4030</v>
      </c>
      <c r="R11" s="1482">
        <f t="shared" si="14"/>
        <v>65</v>
      </c>
      <c r="S11" s="1483">
        <f t="shared" si="7"/>
        <v>4030</v>
      </c>
      <c r="T11" s="1482">
        <f t="shared" si="15"/>
        <v>65</v>
      </c>
      <c r="U11" s="1483">
        <f t="shared" si="8"/>
        <v>4030</v>
      </c>
      <c r="V11" s="1482">
        <f t="shared" si="16"/>
        <v>65</v>
      </c>
      <c r="W11" s="1483">
        <f t="shared" si="9"/>
        <v>4030</v>
      </c>
      <c r="X11" s="1345">
        <f t="shared" si="10"/>
        <v>260</v>
      </c>
      <c r="Y11" s="1345">
        <f t="shared" si="11"/>
        <v>16120</v>
      </c>
      <c r="Z11" s="1357" t="s">
        <v>7799</v>
      </c>
      <c r="AA11" s="1358" t="s">
        <v>8606</v>
      </c>
      <c r="AB11" s="1359" t="str">
        <f t="shared" si="3"/>
        <v>yes</v>
      </c>
      <c r="AC11" s="1584" t="str">
        <f t="shared" si="17"/>
        <v>ok</v>
      </c>
    </row>
    <row r="12" spans="1:29" s="1359" customFormat="1" ht="20.25" customHeight="1" x14ac:dyDescent="0.6">
      <c r="A12" s="1279">
        <v>5</v>
      </c>
      <c r="B12" s="1654" t="s">
        <v>8610</v>
      </c>
      <c r="C12" s="1540" t="s">
        <v>8206</v>
      </c>
      <c r="D12" s="1345">
        <v>154</v>
      </c>
      <c r="E12" s="1378">
        <f t="shared" si="0"/>
        <v>10164</v>
      </c>
      <c r="F12" s="1345">
        <v>133</v>
      </c>
      <c r="G12" s="1378">
        <f t="shared" si="1"/>
        <v>8778</v>
      </c>
      <c r="H12" s="1345">
        <v>248</v>
      </c>
      <c r="I12" s="1345">
        <f t="shared" si="2"/>
        <v>16368</v>
      </c>
      <c r="J12" s="1652">
        <v>350</v>
      </c>
      <c r="K12" s="1653">
        <v>152</v>
      </c>
      <c r="L12" s="1344">
        <f t="shared" si="4"/>
        <v>10032</v>
      </c>
      <c r="M12" s="1204">
        <f t="shared" si="12"/>
        <v>198</v>
      </c>
      <c r="N12" s="1346">
        <v>66</v>
      </c>
      <c r="O12" s="1346">
        <f t="shared" si="5"/>
        <v>13068</v>
      </c>
      <c r="P12" s="1482">
        <v>50</v>
      </c>
      <c r="Q12" s="1482">
        <f t="shared" si="6"/>
        <v>3300</v>
      </c>
      <c r="R12" s="1482">
        <v>50</v>
      </c>
      <c r="S12" s="1483">
        <f t="shared" si="7"/>
        <v>3300</v>
      </c>
      <c r="T12" s="1482">
        <v>49</v>
      </c>
      <c r="U12" s="1483">
        <f t="shared" si="8"/>
        <v>3234</v>
      </c>
      <c r="V12" s="1482">
        <v>49</v>
      </c>
      <c r="W12" s="1483">
        <f t="shared" si="9"/>
        <v>3234</v>
      </c>
      <c r="X12" s="1345">
        <f t="shared" si="10"/>
        <v>198</v>
      </c>
      <c r="Y12" s="1345">
        <f t="shared" si="11"/>
        <v>13068</v>
      </c>
      <c r="Z12" s="1357" t="s">
        <v>7799</v>
      </c>
      <c r="AA12" s="1358" t="s">
        <v>8606</v>
      </c>
      <c r="AB12" s="1359" t="str">
        <f t="shared" si="3"/>
        <v>yes</v>
      </c>
      <c r="AC12" s="1584" t="str">
        <f>IF(M12=X12,"ok")</f>
        <v>ok</v>
      </c>
    </row>
    <row r="13" spans="1:29" s="1359" customFormat="1" ht="20.25" customHeight="1" x14ac:dyDescent="0.6">
      <c r="A13" s="1279">
        <v>6</v>
      </c>
      <c r="B13" s="1654" t="s">
        <v>8611</v>
      </c>
      <c r="C13" s="1540" t="s">
        <v>7869</v>
      </c>
      <c r="D13" s="1345">
        <v>135</v>
      </c>
      <c r="E13" s="1378">
        <f t="shared" si="0"/>
        <v>3375</v>
      </c>
      <c r="F13" s="1345">
        <v>357</v>
      </c>
      <c r="G13" s="1378">
        <f t="shared" si="1"/>
        <v>8925</v>
      </c>
      <c r="H13" s="1345">
        <v>1022</v>
      </c>
      <c r="I13" s="1345">
        <f t="shared" si="2"/>
        <v>25550</v>
      </c>
      <c r="J13" s="1652">
        <v>1200</v>
      </c>
      <c r="K13" s="1653">
        <v>178</v>
      </c>
      <c r="L13" s="1344">
        <f t="shared" si="4"/>
        <v>4450</v>
      </c>
      <c r="M13" s="1204">
        <f t="shared" si="12"/>
        <v>1022</v>
      </c>
      <c r="N13" s="1346">
        <v>25</v>
      </c>
      <c r="O13" s="1346">
        <f t="shared" si="5"/>
        <v>25550</v>
      </c>
      <c r="P13" s="1482">
        <v>256</v>
      </c>
      <c r="Q13" s="1482">
        <f t="shared" si="6"/>
        <v>6400</v>
      </c>
      <c r="R13" s="1482">
        <v>255</v>
      </c>
      <c r="S13" s="1483">
        <f t="shared" si="7"/>
        <v>6375</v>
      </c>
      <c r="T13" s="1482">
        <v>256</v>
      </c>
      <c r="U13" s="1483">
        <f t="shared" si="8"/>
        <v>6400</v>
      </c>
      <c r="V13" s="1482">
        <v>255</v>
      </c>
      <c r="W13" s="1483">
        <f t="shared" si="9"/>
        <v>6375</v>
      </c>
      <c r="X13" s="1345">
        <f t="shared" si="10"/>
        <v>1022</v>
      </c>
      <c r="Y13" s="1345">
        <f t="shared" si="11"/>
        <v>25550</v>
      </c>
      <c r="Z13" s="1357" t="s">
        <v>7799</v>
      </c>
      <c r="AA13" s="1358" t="s">
        <v>8606</v>
      </c>
      <c r="AB13" s="1359" t="str">
        <f t="shared" si="3"/>
        <v>yes</v>
      </c>
      <c r="AC13" s="1584" t="str">
        <f t="shared" si="17"/>
        <v>ok</v>
      </c>
    </row>
    <row r="14" spans="1:29" s="1359" customFormat="1" ht="20.25" customHeight="1" x14ac:dyDescent="0.25">
      <c r="A14" s="1279">
        <v>7</v>
      </c>
      <c r="B14" s="1650" t="s">
        <v>8612</v>
      </c>
      <c r="C14" s="1540" t="s">
        <v>8613</v>
      </c>
      <c r="D14" s="1345">
        <v>154</v>
      </c>
      <c r="E14" s="1378">
        <f t="shared" si="0"/>
        <v>4620</v>
      </c>
      <c r="F14" s="1345">
        <v>158</v>
      </c>
      <c r="G14" s="1378">
        <f t="shared" si="1"/>
        <v>4740</v>
      </c>
      <c r="H14" s="1345">
        <v>0</v>
      </c>
      <c r="I14" s="1345">
        <f t="shared" si="2"/>
        <v>0</v>
      </c>
      <c r="J14" s="1652">
        <v>200</v>
      </c>
      <c r="K14" s="1653">
        <v>0</v>
      </c>
      <c r="L14" s="1344">
        <f t="shared" si="4"/>
        <v>0</v>
      </c>
      <c r="M14" s="1204">
        <f t="shared" si="12"/>
        <v>200</v>
      </c>
      <c r="N14" s="1346">
        <v>30</v>
      </c>
      <c r="O14" s="1346">
        <f t="shared" si="5"/>
        <v>6000</v>
      </c>
      <c r="P14" s="1482">
        <f t="shared" si="13"/>
        <v>50</v>
      </c>
      <c r="Q14" s="1482">
        <f t="shared" si="6"/>
        <v>1500</v>
      </c>
      <c r="R14" s="1482">
        <f t="shared" si="14"/>
        <v>50</v>
      </c>
      <c r="S14" s="1483">
        <f t="shared" si="7"/>
        <v>1500</v>
      </c>
      <c r="T14" s="1482">
        <f t="shared" si="15"/>
        <v>50</v>
      </c>
      <c r="U14" s="1483">
        <f t="shared" si="8"/>
        <v>1500</v>
      </c>
      <c r="V14" s="1482">
        <f t="shared" si="16"/>
        <v>50</v>
      </c>
      <c r="W14" s="1483">
        <f t="shared" si="9"/>
        <v>1500</v>
      </c>
      <c r="X14" s="1345">
        <f t="shared" si="10"/>
        <v>200</v>
      </c>
      <c r="Y14" s="1345">
        <f t="shared" si="11"/>
        <v>6000</v>
      </c>
      <c r="Z14" s="1357" t="s">
        <v>7799</v>
      </c>
      <c r="AA14" s="1358" t="s">
        <v>8606</v>
      </c>
      <c r="AB14" s="1359" t="str">
        <f t="shared" si="3"/>
        <v>yes</v>
      </c>
      <c r="AC14" s="1584" t="str">
        <f t="shared" si="17"/>
        <v>ok</v>
      </c>
    </row>
    <row r="15" spans="1:29" s="1359" customFormat="1" ht="20.25" customHeight="1" x14ac:dyDescent="0.25">
      <c r="A15" s="1279">
        <v>8</v>
      </c>
      <c r="B15" s="1650" t="s">
        <v>8614</v>
      </c>
      <c r="C15" s="1540" t="s">
        <v>7869</v>
      </c>
      <c r="D15" s="1345">
        <v>590</v>
      </c>
      <c r="E15" s="1378">
        <f>D15*N15</f>
        <v>17110</v>
      </c>
      <c r="F15" s="1345">
        <v>806</v>
      </c>
      <c r="G15" s="1378">
        <f t="shared" si="1"/>
        <v>23374</v>
      </c>
      <c r="H15" s="1345">
        <v>1178</v>
      </c>
      <c r="I15" s="1345">
        <f t="shared" si="2"/>
        <v>34162</v>
      </c>
      <c r="J15" s="1652">
        <v>1500</v>
      </c>
      <c r="K15" s="1653">
        <v>172</v>
      </c>
      <c r="L15" s="1344">
        <f t="shared" si="4"/>
        <v>4988</v>
      </c>
      <c r="M15" s="1204">
        <f t="shared" si="12"/>
        <v>1328</v>
      </c>
      <c r="N15" s="1346">
        <v>29</v>
      </c>
      <c r="O15" s="1346">
        <f t="shared" si="5"/>
        <v>38512</v>
      </c>
      <c r="P15" s="1482">
        <f t="shared" si="13"/>
        <v>332</v>
      </c>
      <c r="Q15" s="1482">
        <f t="shared" si="6"/>
        <v>9628</v>
      </c>
      <c r="R15" s="1482">
        <f t="shared" si="14"/>
        <v>332</v>
      </c>
      <c r="S15" s="1483">
        <f t="shared" si="7"/>
        <v>9628</v>
      </c>
      <c r="T15" s="1482">
        <f t="shared" si="15"/>
        <v>332</v>
      </c>
      <c r="U15" s="1483">
        <f t="shared" si="8"/>
        <v>9628</v>
      </c>
      <c r="V15" s="1482">
        <f t="shared" si="16"/>
        <v>332</v>
      </c>
      <c r="W15" s="1483">
        <f t="shared" si="9"/>
        <v>9628</v>
      </c>
      <c r="X15" s="1345">
        <f t="shared" si="10"/>
        <v>1328</v>
      </c>
      <c r="Y15" s="1345">
        <f t="shared" si="11"/>
        <v>38512</v>
      </c>
      <c r="Z15" s="1357" t="s">
        <v>7799</v>
      </c>
      <c r="AA15" s="1358" t="s">
        <v>8606</v>
      </c>
      <c r="AB15" s="1359" t="str">
        <f t="shared" si="3"/>
        <v>yes</v>
      </c>
      <c r="AC15" s="1584" t="str">
        <f t="shared" si="17"/>
        <v>ok</v>
      </c>
    </row>
    <row r="16" spans="1:29" s="1359" customFormat="1" ht="20.25" customHeight="1" x14ac:dyDescent="0.25">
      <c r="A16" s="1279">
        <v>9</v>
      </c>
      <c r="B16" s="1650" t="s">
        <v>8615</v>
      </c>
      <c r="C16" s="1540" t="s">
        <v>7869</v>
      </c>
      <c r="D16" s="1345">
        <v>65</v>
      </c>
      <c r="E16" s="1378">
        <f t="shared" ref="E16:E46" si="18">D16*N16</f>
        <v>1625</v>
      </c>
      <c r="F16" s="1345">
        <v>76</v>
      </c>
      <c r="G16" s="1378">
        <f t="shared" si="1"/>
        <v>1900</v>
      </c>
      <c r="H16" s="1345">
        <v>36</v>
      </c>
      <c r="I16" s="1345">
        <f t="shared" si="2"/>
        <v>900</v>
      </c>
      <c r="J16" s="1652">
        <v>50</v>
      </c>
      <c r="K16" s="1653">
        <v>4</v>
      </c>
      <c r="L16" s="1344">
        <f t="shared" si="4"/>
        <v>100</v>
      </c>
      <c r="M16" s="1204">
        <f t="shared" si="12"/>
        <v>46</v>
      </c>
      <c r="N16" s="1346">
        <v>25</v>
      </c>
      <c r="O16" s="1346">
        <f t="shared" si="5"/>
        <v>1150</v>
      </c>
      <c r="P16" s="1482">
        <v>12</v>
      </c>
      <c r="Q16" s="1482">
        <f t="shared" si="6"/>
        <v>300</v>
      </c>
      <c r="R16" s="1482">
        <v>11</v>
      </c>
      <c r="S16" s="1483">
        <f t="shared" si="7"/>
        <v>275</v>
      </c>
      <c r="T16" s="1482">
        <v>12</v>
      </c>
      <c r="U16" s="1483">
        <f t="shared" si="8"/>
        <v>300</v>
      </c>
      <c r="V16" s="1482">
        <v>11</v>
      </c>
      <c r="W16" s="1483">
        <f t="shared" si="9"/>
        <v>275</v>
      </c>
      <c r="X16" s="1345">
        <f t="shared" si="10"/>
        <v>46</v>
      </c>
      <c r="Y16" s="1345">
        <f t="shared" si="11"/>
        <v>1150</v>
      </c>
      <c r="Z16" s="1357" t="s">
        <v>7799</v>
      </c>
      <c r="AA16" s="1358" t="s">
        <v>8606</v>
      </c>
      <c r="AC16" s="1584" t="str">
        <f t="shared" si="17"/>
        <v>ok</v>
      </c>
    </row>
    <row r="17" spans="1:29" s="1359" customFormat="1" ht="20.25" customHeight="1" x14ac:dyDescent="0.25">
      <c r="A17" s="1279">
        <v>10</v>
      </c>
      <c r="B17" s="1650" t="s">
        <v>8616</v>
      </c>
      <c r="C17" s="1655" t="s">
        <v>8617</v>
      </c>
      <c r="D17" s="1656">
        <v>152</v>
      </c>
      <c r="E17" s="1378">
        <f t="shared" si="18"/>
        <v>9424</v>
      </c>
      <c r="F17" s="1656">
        <v>268</v>
      </c>
      <c r="G17" s="1378">
        <f t="shared" si="1"/>
        <v>16616</v>
      </c>
      <c r="H17" s="1345">
        <v>168</v>
      </c>
      <c r="I17" s="1345">
        <f t="shared" si="2"/>
        <v>10416</v>
      </c>
      <c r="J17" s="1652">
        <v>250</v>
      </c>
      <c r="K17" s="1653">
        <v>30</v>
      </c>
      <c r="L17" s="1344">
        <f t="shared" si="4"/>
        <v>1860</v>
      </c>
      <c r="M17" s="1204">
        <f t="shared" si="12"/>
        <v>220</v>
      </c>
      <c r="N17" s="1345">
        <v>62</v>
      </c>
      <c r="O17" s="1346">
        <f t="shared" si="5"/>
        <v>13640</v>
      </c>
      <c r="P17" s="1482">
        <f t="shared" si="13"/>
        <v>55</v>
      </c>
      <c r="Q17" s="1482">
        <f t="shared" si="6"/>
        <v>3410</v>
      </c>
      <c r="R17" s="1482">
        <f t="shared" si="14"/>
        <v>55</v>
      </c>
      <c r="S17" s="1483">
        <f t="shared" si="7"/>
        <v>3410</v>
      </c>
      <c r="T17" s="1482">
        <f t="shared" si="15"/>
        <v>55</v>
      </c>
      <c r="U17" s="1483">
        <f t="shared" si="8"/>
        <v>3410</v>
      </c>
      <c r="V17" s="1482">
        <f t="shared" si="16"/>
        <v>55</v>
      </c>
      <c r="W17" s="1483">
        <f t="shared" si="9"/>
        <v>3410</v>
      </c>
      <c r="X17" s="1345">
        <f t="shared" si="10"/>
        <v>220</v>
      </c>
      <c r="Y17" s="1345">
        <f t="shared" si="11"/>
        <v>13640</v>
      </c>
      <c r="Z17" s="1357" t="s">
        <v>7799</v>
      </c>
      <c r="AA17" s="1358" t="s">
        <v>8606</v>
      </c>
      <c r="AC17" s="1584" t="str">
        <f>IF(M17=X17,"ok")</f>
        <v>ok</v>
      </c>
    </row>
    <row r="18" spans="1:29" s="1359" customFormat="1" ht="20.25" customHeight="1" x14ac:dyDescent="0.25">
      <c r="A18" s="1279">
        <v>11</v>
      </c>
      <c r="B18" s="1650" t="s">
        <v>8618</v>
      </c>
      <c r="C18" s="1540" t="s">
        <v>8140</v>
      </c>
      <c r="D18" s="1381">
        <v>0</v>
      </c>
      <c r="E18" s="1378">
        <f t="shared" si="18"/>
        <v>0</v>
      </c>
      <c r="F18" s="1381">
        <v>90</v>
      </c>
      <c r="G18" s="1378">
        <f t="shared" si="1"/>
        <v>6300</v>
      </c>
      <c r="H18" s="1345">
        <v>110</v>
      </c>
      <c r="I18" s="1345">
        <f t="shared" si="2"/>
        <v>7700</v>
      </c>
      <c r="J18" s="1652">
        <v>250</v>
      </c>
      <c r="K18" s="1653">
        <v>30</v>
      </c>
      <c r="L18" s="1344">
        <f t="shared" si="4"/>
        <v>2100</v>
      </c>
      <c r="M18" s="1204">
        <f t="shared" si="12"/>
        <v>220</v>
      </c>
      <c r="N18" s="1345">
        <v>70</v>
      </c>
      <c r="O18" s="1346">
        <f t="shared" si="5"/>
        <v>15400</v>
      </c>
      <c r="P18" s="1482">
        <f t="shared" si="13"/>
        <v>55</v>
      </c>
      <c r="Q18" s="1482">
        <f t="shared" si="6"/>
        <v>3850</v>
      </c>
      <c r="R18" s="1482">
        <f t="shared" si="14"/>
        <v>55</v>
      </c>
      <c r="S18" s="1483">
        <f t="shared" si="7"/>
        <v>3850</v>
      </c>
      <c r="T18" s="1482">
        <f t="shared" si="15"/>
        <v>55</v>
      </c>
      <c r="U18" s="1483">
        <f t="shared" si="8"/>
        <v>3850</v>
      </c>
      <c r="V18" s="1482">
        <f t="shared" si="16"/>
        <v>55</v>
      </c>
      <c r="W18" s="1483">
        <f t="shared" si="9"/>
        <v>3850</v>
      </c>
      <c r="X18" s="1345">
        <f t="shared" si="10"/>
        <v>220</v>
      </c>
      <c r="Y18" s="1345">
        <f t="shared" si="11"/>
        <v>15400</v>
      </c>
      <c r="Z18" s="1357" t="s">
        <v>7799</v>
      </c>
      <c r="AA18" s="1358" t="s">
        <v>8606</v>
      </c>
      <c r="AC18" s="1584" t="str">
        <f>IF(M18=X18,"ok")</f>
        <v>ok</v>
      </c>
    </row>
    <row r="19" spans="1:29" s="1359" customFormat="1" ht="20.25" customHeight="1" x14ac:dyDescent="0.25">
      <c r="A19" s="1279">
        <v>12</v>
      </c>
      <c r="B19" s="1650" t="s">
        <v>8619</v>
      </c>
      <c r="C19" s="1540" t="s">
        <v>7869</v>
      </c>
      <c r="D19" s="1381">
        <v>0</v>
      </c>
      <c r="E19" s="1378">
        <f t="shared" si="18"/>
        <v>0</v>
      </c>
      <c r="F19" s="1381">
        <v>494</v>
      </c>
      <c r="G19" s="1378">
        <f t="shared" si="1"/>
        <v>11856</v>
      </c>
      <c r="H19" s="1345">
        <v>860</v>
      </c>
      <c r="I19" s="1345">
        <f t="shared" si="2"/>
        <v>20640</v>
      </c>
      <c r="J19" s="1652">
        <v>1500</v>
      </c>
      <c r="K19" s="1653">
        <v>200</v>
      </c>
      <c r="L19" s="1344">
        <f t="shared" si="4"/>
        <v>4800</v>
      </c>
      <c r="M19" s="1204">
        <f t="shared" si="12"/>
        <v>1300</v>
      </c>
      <c r="N19" s="1345">
        <v>24</v>
      </c>
      <c r="O19" s="1346">
        <f t="shared" si="5"/>
        <v>31200</v>
      </c>
      <c r="P19" s="1482">
        <f t="shared" si="13"/>
        <v>325</v>
      </c>
      <c r="Q19" s="1482">
        <f t="shared" si="6"/>
        <v>7800</v>
      </c>
      <c r="R19" s="1482">
        <f t="shared" si="14"/>
        <v>325</v>
      </c>
      <c r="S19" s="1483">
        <f t="shared" si="7"/>
        <v>7800</v>
      </c>
      <c r="T19" s="1482">
        <f t="shared" si="15"/>
        <v>325</v>
      </c>
      <c r="U19" s="1483">
        <f t="shared" si="8"/>
        <v>7800</v>
      </c>
      <c r="V19" s="1482">
        <f t="shared" si="16"/>
        <v>325</v>
      </c>
      <c r="W19" s="1483">
        <f t="shared" si="9"/>
        <v>7800</v>
      </c>
      <c r="X19" s="1345">
        <f t="shared" si="10"/>
        <v>1300</v>
      </c>
      <c r="Y19" s="1345">
        <f t="shared" si="11"/>
        <v>31200</v>
      </c>
      <c r="Z19" s="1357" t="s">
        <v>7799</v>
      </c>
      <c r="AA19" s="1358" t="s">
        <v>8606</v>
      </c>
      <c r="AC19" s="1584" t="str">
        <f t="shared" si="17"/>
        <v>ok</v>
      </c>
    </row>
    <row r="20" spans="1:29" s="1359" customFormat="1" ht="20.25" customHeight="1" x14ac:dyDescent="0.25">
      <c r="A20" s="1279">
        <v>13</v>
      </c>
      <c r="B20" s="1650" t="s">
        <v>8620</v>
      </c>
      <c r="C20" s="1540" t="s">
        <v>8206</v>
      </c>
      <c r="D20" s="1381">
        <v>0</v>
      </c>
      <c r="E20" s="1378">
        <f t="shared" si="18"/>
        <v>0</v>
      </c>
      <c r="F20" s="1381">
        <v>80</v>
      </c>
      <c r="G20" s="1378">
        <f t="shared" si="1"/>
        <v>5040</v>
      </c>
      <c r="H20" s="1345">
        <v>89</v>
      </c>
      <c r="I20" s="1345">
        <f t="shared" si="2"/>
        <v>5607</v>
      </c>
      <c r="J20" s="1652">
        <v>300</v>
      </c>
      <c r="K20" s="1653">
        <v>100</v>
      </c>
      <c r="L20" s="1344">
        <f t="shared" si="4"/>
        <v>6300</v>
      </c>
      <c r="M20" s="1204">
        <f t="shared" si="12"/>
        <v>200</v>
      </c>
      <c r="N20" s="1345">
        <v>63</v>
      </c>
      <c r="O20" s="1346">
        <f t="shared" si="5"/>
        <v>12600</v>
      </c>
      <c r="P20" s="1482">
        <f t="shared" si="13"/>
        <v>50</v>
      </c>
      <c r="Q20" s="1482">
        <f t="shared" si="6"/>
        <v>3150</v>
      </c>
      <c r="R20" s="1482">
        <f t="shared" si="14"/>
        <v>50</v>
      </c>
      <c r="S20" s="1483">
        <f t="shared" si="7"/>
        <v>3150</v>
      </c>
      <c r="T20" s="1482">
        <f t="shared" si="15"/>
        <v>50</v>
      </c>
      <c r="U20" s="1483">
        <f t="shared" si="8"/>
        <v>3150</v>
      </c>
      <c r="V20" s="1482">
        <f t="shared" si="16"/>
        <v>50</v>
      </c>
      <c r="W20" s="1483">
        <f t="shared" si="9"/>
        <v>3150</v>
      </c>
      <c r="X20" s="1345">
        <f t="shared" si="10"/>
        <v>200</v>
      </c>
      <c r="Y20" s="1345">
        <f t="shared" si="11"/>
        <v>12600</v>
      </c>
      <c r="Z20" s="1357" t="s">
        <v>7799</v>
      </c>
      <c r="AA20" s="1358" t="s">
        <v>8606</v>
      </c>
      <c r="AC20" s="1584" t="str">
        <f t="shared" si="17"/>
        <v>ok</v>
      </c>
    </row>
    <row r="21" spans="1:29" s="1359" customFormat="1" ht="20.25" customHeight="1" x14ac:dyDescent="0.25">
      <c r="A21" s="1279">
        <v>14</v>
      </c>
      <c r="B21" s="1650" t="s">
        <v>8621</v>
      </c>
      <c r="C21" s="1540" t="s">
        <v>8613</v>
      </c>
      <c r="D21" s="1381">
        <v>0</v>
      </c>
      <c r="E21" s="1378">
        <f t="shared" si="18"/>
        <v>0</v>
      </c>
      <c r="F21" s="1381">
        <v>10</v>
      </c>
      <c r="G21" s="1378">
        <f t="shared" si="1"/>
        <v>245</v>
      </c>
      <c r="H21" s="1345">
        <v>0</v>
      </c>
      <c r="I21" s="1345">
        <f t="shared" si="2"/>
        <v>0</v>
      </c>
      <c r="J21" s="1652">
        <v>0</v>
      </c>
      <c r="K21" s="1653">
        <v>0</v>
      </c>
      <c r="L21" s="1344">
        <f t="shared" si="4"/>
        <v>0</v>
      </c>
      <c r="M21" s="1204">
        <f t="shared" si="12"/>
        <v>0</v>
      </c>
      <c r="N21" s="1345">
        <v>24.5</v>
      </c>
      <c r="O21" s="1346">
        <f t="shared" si="5"/>
        <v>0</v>
      </c>
      <c r="P21" s="1482">
        <f t="shared" si="13"/>
        <v>0</v>
      </c>
      <c r="Q21" s="1482">
        <f t="shared" si="6"/>
        <v>0</v>
      </c>
      <c r="R21" s="1482">
        <f t="shared" si="14"/>
        <v>0</v>
      </c>
      <c r="S21" s="1483">
        <f t="shared" si="7"/>
        <v>0</v>
      </c>
      <c r="T21" s="1482">
        <f t="shared" si="15"/>
        <v>0</v>
      </c>
      <c r="U21" s="1483">
        <f t="shared" si="8"/>
        <v>0</v>
      </c>
      <c r="V21" s="1482">
        <f t="shared" si="16"/>
        <v>0</v>
      </c>
      <c r="W21" s="1483">
        <f t="shared" si="9"/>
        <v>0</v>
      </c>
      <c r="X21" s="1345">
        <f t="shared" si="10"/>
        <v>0</v>
      </c>
      <c r="Y21" s="1345">
        <f t="shared" si="11"/>
        <v>0</v>
      </c>
      <c r="Z21" s="1357" t="s">
        <v>7799</v>
      </c>
      <c r="AA21" s="1358" t="s">
        <v>8606</v>
      </c>
      <c r="AC21" s="1584" t="str">
        <f t="shared" si="17"/>
        <v>ok</v>
      </c>
    </row>
    <row r="22" spans="1:29" s="1359" customFormat="1" ht="20.25" customHeight="1" x14ac:dyDescent="0.25">
      <c r="A22" s="1279">
        <v>15</v>
      </c>
      <c r="B22" s="1650" t="s">
        <v>8622</v>
      </c>
      <c r="C22" s="1540" t="s">
        <v>8613</v>
      </c>
      <c r="D22" s="1381">
        <v>0</v>
      </c>
      <c r="E22" s="1378">
        <f t="shared" si="18"/>
        <v>0</v>
      </c>
      <c r="F22" s="1381">
        <v>172</v>
      </c>
      <c r="G22" s="1378">
        <f t="shared" si="1"/>
        <v>4214</v>
      </c>
      <c r="H22" s="1345">
        <v>75</v>
      </c>
      <c r="I22" s="1345">
        <f t="shared" si="2"/>
        <v>1837.5</v>
      </c>
      <c r="J22" s="1652">
        <v>200</v>
      </c>
      <c r="K22" s="1653">
        <v>75</v>
      </c>
      <c r="L22" s="1344">
        <f t="shared" si="4"/>
        <v>1837.5</v>
      </c>
      <c r="M22" s="1204">
        <f t="shared" si="12"/>
        <v>125</v>
      </c>
      <c r="N22" s="1345">
        <v>24.5</v>
      </c>
      <c r="O22" s="1346">
        <f t="shared" si="5"/>
        <v>3062.5</v>
      </c>
      <c r="P22" s="1482">
        <v>32</v>
      </c>
      <c r="Q22" s="1482">
        <f t="shared" si="6"/>
        <v>784</v>
      </c>
      <c r="R22" s="1482">
        <v>31</v>
      </c>
      <c r="S22" s="1483">
        <f t="shared" si="7"/>
        <v>759.5</v>
      </c>
      <c r="T22" s="1482">
        <v>31</v>
      </c>
      <c r="U22" s="1483">
        <f t="shared" si="8"/>
        <v>759.5</v>
      </c>
      <c r="V22" s="1482">
        <v>31</v>
      </c>
      <c r="W22" s="1483">
        <f t="shared" si="9"/>
        <v>759.5</v>
      </c>
      <c r="X22" s="1345">
        <f t="shared" si="10"/>
        <v>125</v>
      </c>
      <c r="Y22" s="1345">
        <f t="shared" si="11"/>
        <v>3062.5</v>
      </c>
      <c r="Z22" s="1357" t="s">
        <v>7799</v>
      </c>
      <c r="AA22" s="1358" t="s">
        <v>8606</v>
      </c>
      <c r="AC22" s="1584" t="str">
        <f t="shared" si="17"/>
        <v>ok</v>
      </c>
    </row>
    <row r="23" spans="1:29" s="1359" customFormat="1" ht="20.25" customHeight="1" x14ac:dyDescent="0.25">
      <c r="A23" s="1279">
        <v>16</v>
      </c>
      <c r="B23" s="1650" t="s">
        <v>8623</v>
      </c>
      <c r="C23" s="1540" t="s">
        <v>8613</v>
      </c>
      <c r="D23" s="1381">
        <v>0</v>
      </c>
      <c r="E23" s="1378">
        <f t="shared" si="18"/>
        <v>0</v>
      </c>
      <c r="F23" s="1381">
        <v>180</v>
      </c>
      <c r="G23" s="1378">
        <f t="shared" si="1"/>
        <v>4410</v>
      </c>
      <c r="H23" s="1345">
        <v>97</v>
      </c>
      <c r="I23" s="1345">
        <f t="shared" si="2"/>
        <v>2376.5</v>
      </c>
      <c r="J23" s="1652">
        <v>200</v>
      </c>
      <c r="K23" s="1653">
        <v>70</v>
      </c>
      <c r="L23" s="1344">
        <f t="shared" si="4"/>
        <v>1715</v>
      </c>
      <c r="M23" s="1204">
        <f t="shared" si="12"/>
        <v>130</v>
      </c>
      <c r="N23" s="1345">
        <v>24.5</v>
      </c>
      <c r="O23" s="1346">
        <f t="shared" si="5"/>
        <v>3185</v>
      </c>
      <c r="P23" s="1482">
        <v>33</v>
      </c>
      <c r="Q23" s="1482">
        <f t="shared" si="6"/>
        <v>808.5</v>
      </c>
      <c r="R23" s="1482">
        <v>32</v>
      </c>
      <c r="S23" s="1483">
        <f t="shared" si="7"/>
        <v>784</v>
      </c>
      <c r="T23" s="1482">
        <v>33</v>
      </c>
      <c r="U23" s="1483">
        <f t="shared" si="8"/>
        <v>808.5</v>
      </c>
      <c r="V23" s="1482">
        <v>32</v>
      </c>
      <c r="W23" s="1483">
        <f t="shared" si="9"/>
        <v>784</v>
      </c>
      <c r="X23" s="1345">
        <f t="shared" si="10"/>
        <v>130</v>
      </c>
      <c r="Y23" s="1345">
        <f t="shared" si="11"/>
        <v>3185</v>
      </c>
      <c r="Z23" s="1357" t="s">
        <v>7799</v>
      </c>
      <c r="AA23" s="1358" t="s">
        <v>8606</v>
      </c>
      <c r="AC23" s="1584" t="str">
        <f t="shared" si="17"/>
        <v>ok</v>
      </c>
    </row>
    <row r="24" spans="1:29" s="1359" customFormat="1" ht="20.25" customHeight="1" x14ac:dyDescent="0.25">
      <c r="A24" s="1279">
        <v>17</v>
      </c>
      <c r="B24" s="1657" t="s">
        <v>8624</v>
      </c>
      <c r="C24" s="1604" t="s">
        <v>8206</v>
      </c>
      <c r="D24" s="1381">
        <v>0</v>
      </c>
      <c r="E24" s="1378">
        <f t="shared" si="18"/>
        <v>0</v>
      </c>
      <c r="F24" s="1381">
        <v>0</v>
      </c>
      <c r="G24" s="1378">
        <f t="shared" si="1"/>
        <v>0</v>
      </c>
      <c r="H24" s="1345">
        <v>318</v>
      </c>
      <c r="I24" s="1345">
        <f t="shared" si="2"/>
        <v>11130</v>
      </c>
      <c r="J24" s="1652">
        <v>450</v>
      </c>
      <c r="K24" s="1653">
        <v>40</v>
      </c>
      <c r="L24" s="1344">
        <f t="shared" si="4"/>
        <v>1400</v>
      </c>
      <c r="M24" s="1204">
        <f t="shared" si="12"/>
        <v>410</v>
      </c>
      <c r="N24" s="1345">
        <v>35</v>
      </c>
      <c r="O24" s="1346">
        <f t="shared" si="5"/>
        <v>14350</v>
      </c>
      <c r="P24" s="1482">
        <v>103</v>
      </c>
      <c r="Q24" s="1482">
        <f t="shared" si="6"/>
        <v>3605</v>
      </c>
      <c r="R24" s="1482">
        <v>102</v>
      </c>
      <c r="S24" s="1483">
        <f t="shared" si="7"/>
        <v>3570</v>
      </c>
      <c r="T24" s="1482">
        <v>103</v>
      </c>
      <c r="U24" s="1483">
        <f t="shared" si="8"/>
        <v>3605</v>
      </c>
      <c r="V24" s="1482">
        <v>102</v>
      </c>
      <c r="W24" s="1483">
        <f t="shared" si="9"/>
        <v>3570</v>
      </c>
      <c r="X24" s="1345">
        <f t="shared" si="10"/>
        <v>410</v>
      </c>
      <c r="Y24" s="1345">
        <f t="shared" si="11"/>
        <v>14350</v>
      </c>
      <c r="Z24" s="1357" t="s">
        <v>7799</v>
      </c>
      <c r="AA24" s="1358" t="s">
        <v>8606</v>
      </c>
      <c r="AC24" s="1584" t="str">
        <f t="shared" si="17"/>
        <v>ok</v>
      </c>
    </row>
    <row r="25" spans="1:29" s="1359" customFormat="1" ht="20.25" customHeight="1" x14ac:dyDescent="0.25">
      <c r="A25" s="1279">
        <v>18</v>
      </c>
      <c r="B25" s="1657" t="s">
        <v>8625</v>
      </c>
      <c r="C25" s="1509" t="s">
        <v>8613</v>
      </c>
      <c r="D25" s="1381">
        <v>0</v>
      </c>
      <c r="E25" s="1378">
        <f t="shared" si="18"/>
        <v>0</v>
      </c>
      <c r="F25" s="1381">
        <v>0</v>
      </c>
      <c r="G25" s="1378">
        <f t="shared" si="1"/>
        <v>0</v>
      </c>
      <c r="H25" s="1345">
        <v>60</v>
      </c>
      <c r="I25" s="1345">
        <f t="shared" si="2"/>
        <v>1200</v>
      </c>
      <c r="J25" s="1652">
        <v>250</v>
      </c>
      <c r="K25" s="1653">
        <v>0</v>
      </c>
      <c r="L25" s="1344">
        <f t="shared" si="4"/>
        <v>0</v>
      </c>
      <c r="M25" s="1204">
        <f t="shared" si="12"/>
        <v>250</v>
      </c>
      <c r="N25" s="1345">
        <v>20</v>
      </c>
      <c r="O25" s="1346">
        <f t="shared" si="5"/>
        <v>5000</v>
      </c>
      <c r="P25" s="1482">
        <v>63</v>
      </c>
      <c r="Q25" s="1482">
        <f t="shared" si="6"/>
        <v>1260</v>
      </c>
      <c r="R25" s="1482">
        <v>62</v>
      </c>
      <c r="S25" s="1483">
        <f t="shared" si="7"/>
        <v>1240</v>
      </c>
      <c r="T25" s="1482">
        <v>63</v>
      </c>
      <c r="U25" s="1483">
        <f t="shared" si="8"/>
        <v>1260</v>
      </c>
      <c r="V25" s="1482">
        <v>62</v>
      </c>
      <c r="W25" s="1483">
        <f t="shared" si="9"/>
        <v>1240</v>
      </c>
      <c r="X25" s="1345">
        <f t="shared" si="10"/>
        <v>250</v>
      </c>
      <c r="Y25" s="1345">
        <f t="shared" si="11"/>
        <v>5000</v>
      </c>
      <c r="Z25" s="1357" t="s">
        <v>7799</v>
      </c>
      <c r="AA25" s="1358" t="s">
        <v>8606</v>
      </c>
      <c r="AC25" s="1584" t="str">
        <f t="shared" si="17"/>
        <v>ok</v>
      </c>
    </row>
    <row r="26" spans="1:29" s="1359" customFormat="1" ht="20.25" customHeight="1" x14ac:dyDescent="0.25">
      <c r="A26" s="1279">
        <v>19</v>
      </c>
      <c r="B26" s="1657" t="s">
        <v>8626</v>
      </c>
      <c r="C26" s="1509" t="s">
        <v>7816</v>
      </c>
      <c r="D26" s="1381">
        <v>0</v>
      </c>
      <c r="E26" s="1378">
        <f t="shared" si="18"/>
        <v>0</v>
      </c>
      <c r="F26" s="1381">
        <v>0</v>
      </c>
      <c r="G26" s="1378">
        <f t="shared" si="1"/>
        <v>0</v>
      </c>
      <c r="H26" s="1345">
        <v>0</v>
      </c>
      <c r="I26" s="1345">
        <f t="shared" si="2"/>
        <v>0</v>
      </c>
      <c r="J26" s="1652">
        <v>20</v>
      </c>
      <c r="K26" s="1653">
        <v>0</v>
      </c>
      <c r="L26" s="1344">
        <f t="shared" si="4"/>
        <v>0</v>
      </c>
      <c r="M26" s="1204">
        <f t="shared" si="12"/>
        <v>20</v>
      </c>
      <c r="N26" s="1345">
        <v>85</v>
      </c>
      <c r="O26" s="1346">
        <f t="shared" si="5"/>
        <v>1700</v>
      </c>
      <c r="P26" s="1482">
        <f t="shared" si="13"/>
        <v>5</v>
      </c>
      <c r="Q26" s="1482">
        <f t="shared" si="6"/>
        <v>425</v>
      </c>
      <c r="R26" s="1482">
        <f t="shared" si="14"/>
        <v>5</v>
      </c>
      <c r="S26" s="1483">
        <f t="shared" si="7"/>
        <v>425</v>
      </c>
      <c r="T26" s="1482">
        <f t="shared" si="15"/>
        <v>5</v>
      </c>
      <c r="U26" s="1483">
        <f t="shared" si="8"/>
        <v>425</v>
      </c>
      <c r="V26" s="1482">
        <f t="shared" si="16"/>
        <v>5</v>
      </c>
      <c r="W26" s="1483">
        <f t="shared" si="9"/>
        <v>425</v>
      </c>
      <c r="X26" s="1345">
        <f t="shared" si="10"/>
        <v>20</v>
      </c>
      <c r="Y26" s="1345">
        <f t="shared" si="11"/>
        <v>1700</v>
      </c>
      <c r="Z26" s="1357" t="s">
        <v>7799</v>
      </c>
      <c r="AA26" s="1358" t="s">
        <v>8606</v>
      </c>
      <c r="AC26" s="1584" t="str">
        <f t="shared" si="17"/>
        <v>ok</v>
      </c>
    </row>
    <row r="27" spans="1:29" s="1359" customFormat="1" ht="20.25" customHeight="1" x14ac:dyDescent="0.25">
      <c r="A27" s="1279">
        <v>20</v>
      </c>
      <c r="B27" s="1657" t="s">
        <v>8627</v>
      </c>
      <c r="C27" s="1509" t="s">
        <v>7823</v>
      </c>
      <c r="D27" s="1381">
        <v>0</v>
      </c>
      <c r="E27" s="1378">
        <f t="shared" si="18"/>
        <v>0</v>
      </c>
      <c r="F27" s="1381">
        <v>0</v>
      </c>
      <c r="G27" s="1378">
        <f t="shared" si="1"/>
        <v>0</v>
      </c>
      <c r="H27" s="1345">
        <v>50</v>
      </c>
      <c r="I27" s="1345">
        <f t="shared" si="2"/>
        <v>1500</v>
      </c>
      <c r="J27" s="1652">
        <v>150</v>
      </c>
      <c r="K27" s="1653">
        <v>0</v>
      </c>
      <c r="L27" s="1344">
        <f t="shared" si="4"/>
        <v>0</v>
      </c>
      <c r="M27" s="1204">
        <f t="shared" si="12"/>
        <v>150</v>
      </c>
      <c r="N27" s="1345">
        <v>30</v>
      </c>
      <c r="O27" s="1346">
        <f t="shared" si="5"/>
        <v>4500</v>
      </c>
      <c r="P27" s="1482">
        <v>38</v>
      </c>
      <c r="Q27" s="1482">
        <f t="shared" si="6"/>
        <v>1140</v>
      </c>
      <c r="R27" s="1482">
        <v>37</v>
      </c>
      <c r="S27" s="1483">
        <f t="shared" si="7"/>
        <v>1110</v>
      </c>
      <c r="T27" s="1482">
        <v>38</v>
      </c>
      <c r="U27" s="1483">
        <f t="shared" si="8"/>
        <v>1140</v>
      </c>
      <c r="V27" s="1482">
        <v>37</v>
      </c>
      <c r="W27" s="1483">
        <f t="shared" si="9"/>
        <v>1110</v>
      </c>
      <c r="X27" s="1345">
        <f t="shared" si="10"/>
        <v>150</v>
      </c>
      <c r="Y27" s="1345">
        <f t="shared" si="11"/>
        <v>4500</v>
      </c>
      <c r="Z27" s="1357" t="s">
        <v>7799</v>
      </c>
      <c r="AA27" s="1358" t="s">
        <v>8606</v>
      </c>
      <c r="AC27" s="1584" t="str">
        <f t="shared" si="17"/>
        <v>ok</v>
      </c>
    </row>
    <row r="28" spans="1:29" s="1359" customFormat="1" ht="20.25" customHeight="1" x14ac:dyDescent="0.25">
      <c r="A28" s="1279">
        <v>21</v>
      </c>
      <c r="B28" s="1657" t="s">
        <v>8628</v>
      </c>
      <c r="C28" s="1509" t="s">
        <v>7816</v>
      </c>
      <c r="D28" s="1381">
        <v>0</v>
      </c>
      <c r="E28" s="1378">
        <f t="shared" si="18"/>
        <v>0</v>
      </c>
      <c r="F28" s="1381">
        <v>0</v>
      </c>
      <c r="G28" s="1378">
        <f t="shared" si="1"/>
        <v>0</v>
      </c>
      <c r="H28" s="1345">
        <v>28</v>
      </c>
      <c r="I28" s="1345">
        <f t="shared" si="2"/>
        <v>2240</v>
      </c>
      <c r="J28" s="1652">
        <v>50</v>
      </c>
      <c r="K28" s="1653">
        <v>20</v>
      </c>
      <c r="L28" s="1344">
        <f t="shared" si="4"/>
        <v>1600</v>
      </c>
      <c r="M28" s="1204">
        <f t="shared" si="12"/>
        <v>30</v>
      </c>
      <c r="N28" s="1345">
        <v>80</v>
      </c>
      <c r="O28" s="1346">
        <f t="shared" si="5"/>
        <v>2400</v>
      </c>
      <c r="P28" s="1482">
        <v>7</v>
      </c>
      <c r="Q28" s="1482">
        <f t="shared" si="6"/>
        <v>560</v>
      </c>
      <c r="R28" s="1482">
        <v>8</v>
      </c>
      <c r="S28" s="1483">
        <f t="shared" si="7"/>
        <v>640</v>
      </c>
      <c r="T28" s="1482">
        <v>7</v>
      </c>
      <c r="U28" s="1483">
        <f t="shared" si="8"/>
        <v>560</v>
      </c>
      <c r="V28" s="1482">
        <v>8</v>
      </c>
      <c r="W28" s="1483">
        <f t="shared" si="9"/>
        <v>640</v>
      </c>
      <c r="X28" s="1345">
        <f t="shared" si="10"/>
        <v>30</v>
      </c>
      <c r="Y28" s="1345">
        <f t="shared" si="11"/>
        <v>2400</v>
      </c>
      <c r="Z28" s="1357" t="s">
        <v>7799</v>
      </c>
      <c r="AA28" s="1358" t="s">
        <v>8606</v>
      </c>
      <c r="AC28" s="1584" t="str">
        <f t="shared" si="17"/>
        <v>ok</v>
      </c>
    </row>
    <row r="29" spans="1:29" s="1359" customFormat="1" ht="20.25" customHeight="1" x14ac:dyDescent="0.25">
      <c r="A29" s="1279">
        <v>22</v>
      </c>
      <c r="B29" s="1657" t="s">
        <v>8629</v>
      </c>
      <c r="C29" s="1509" t="s">
        <v>8206</v>
      </c>
      <c r="D29" s="1381">
        <v>0</v>
      </c>
      <c r="E29" s="1378">
        <f t="shared" si="18"/>
        <v>0</v>
      </c>
      <c r="F29" s="1381">
        <v>0</v>
      </c>
      <c r="G29" s="1378">
        <f t="shared" si="1"/>
        <v>0</v>
      </c>
      <c r="H29" s="1345">
        <v>50</v>
      </c>
      <c r="I29" s="1345">
        <f t="shared" si="2"/>
        <v>2300</v>
      </c>
      <c r="J29" s="1652">
        <v>200</v>
      </c>
      <c r="K29" s="1653">
        <v>0</v>
      </c>
      <c r="L29" s="1344">
        <f t="shared" si="4"/>
        <v>0</v>
      </c>
      <c r="M29" s="1204">
        <f t="shared" si="12"/>
        <v>200</v>
      </c>
      <c r="N29" s="1345">
        <v>46</v>
      </c>
      <c r="O29" s="1346">
        <f t="shared" si="5"/>
        <v>9200</v>
      </c>
      <c r="P29" s="1482">
        <f t="shared" si="13"/>
        <v>50</v>
      </c>
      <c r="Q29" s="1482">
        <f t="shared" si="6"/>
        <v>2300</v>
      </c>
      <c r="R29" s="1482">
        <f t="shared" si="14"/>
        <v>50</v>
      </c>
      <c r="S29" s="1483">
        <f t="shared" si="7"/>
        <v>2300</v>
      </c>
      <c r="T29" s="1482">
        <f t="shared" si="15"/>
        <v>50</v>
      </c>
      <c r="U29" s="1483">
        <f t="shared" si="8"/>
        <v>2300</v>
      </c>
      <c r="V29" s="1482">
        <f t="shared" si="16"/>
        <v>50</v>
      </c>
      <c r="W29" s="1483">
        <f t="shared" si="9"/>
        <v>2300</v>
      </c>
      <c r="X29" s="1345">
        <f t="shared" si="10"/>
        <v>200</v>
      </c>
      <c r="Y29" s="1345">
        <f t="shared" si="11"/>
        <v>9200</v>
      </c>
      <c r="Z29" s="1357" t="s">
        <v>7799</v>
      </c>
      <c r="AA29" s="1358" t="s">
        <v>8606</v>
      </c>
      <c r="AC29" s="1584" t="str">
        <f t="shared" si="17"/>
        <v>ok</v>
      </c>
    </row>
    <row r="30" spans="1:29" s="1359" customFormat="1" ht="20.25" customHeight="1" x14ac:dyDescent="0.25">
      <c r="A30" s="1279">
        <v>23</v>
      </c>
      <c r="B30" s="1657" t="s">
        <v>8630</v>
      </c>
      <c r="C30" s="1509" t="s">
        <v>8206</v>
      </c>
      <c r="D30" s="1381">
        <v>0</v>
      </c>
      <c r="E30" s="1378">
        <f t="shared" si="18"/>
        <v>0</v>
      </c>
      <c r="F30" s="1381">
        <v>0</v>
      </c>
      <c r="G30" s="1378">
        <f t="shared" si="1"/>
        <v>0</v>
      </c>
      <c r="H30" s="1345">
        <v>0</v>
      </c>
      <c r="I30" s="1345">
        <f t="shared" si="2"/>
        <v>0</v>
      </c>
      <c r="J30" s="1653">
        <v>0</v>
      </c>
      <c r="K30" s="1653">
        <v>0</v>
      </c>
      <c r="L30" s="1345">
        <v>0</v>
      </c>
      <c r="M30" s="1204">
        <v>100</v>
      </c>
      <c r="N30" s="1345">
        <v>60</v>
      </c>
      <c r="O30" s="1346">
        <f t="shared" si="5"/>
        <v>6000</v>
      </c>
      <c r="P30" s="1482">
        <v>25</v>
      </c>
      <c r="Q30" s="1482">
        <f t="shared" si="6"/>
        <v>1500</v>
      </c>
      <c r="R30" s="1482">
        <v>25</v>
      </c>
      <c r="S30" s="1483">
        <f t="shared" si="7"/>
        <v>1500</v>
      </c>
      <c r="T30" s="1482">
        <v>25</v>
      </c>
      <c r="U30" s="1483">
        <f t="shared" si="8"/>
        <v>1500</v>
      </c>
      <c r="V30" s="1482">
        <v>25</v>
      </c>
      <c r="W30" s="1483">
        <f t="shared" si="9"/>
        <v>1500</v>
      </c>
      <c r="X30" s="1345">
        <f t="shared" si="10"/>
        <v>100</v>
      </c>
      <c r="Y30" s="1345">
        <f t="shared" si="11"/>
        <v>6000</v>
      </c>
      <c r="Z30" s="1357" t="s">
        <v>7799</v>
      </c>
      <c r="AA30" s="1358" t="s">
        <v>8606</v>
      </c>
      <c r="AC30" s="1584" t="str">
        <f t="shared" si="17"/>
        <v>ok</v>
      </c>
    </row>
    <row r="31" spans="1:29" s="1359" customFormat="1" ht="20.25" customHeight="1" x14ac:dyDescent="0.25">
      <c r="A31" s="1279">
        <v>24</v>
      </c>
      <c r="B31" s="1657" t="s">
        <v>8631</v>
      </c>
      <c r="C31" s="1509" t="s">
        <v>8206</v>
      </c>
      <c r="D31" s="1381">
        <v>0</v>
      </c>
      <c r="E31" s="1381">
        <v>0</v>
      </c>
      <c r="F31" s="1381">
        <v>0</v>
      </c>
      <c r="G31" s="1381">
        <v>0</v>
      </c>
      <c r="H31" s="1381">
        <v>0</v>
      </c>
      <c r="I31" s="1381">
        <v>0</v>
      </c>
      <c r="J31" s="1381">
        <v>0</v>
      </c>
      <c r="K31" s="1381">
        <v>0</v>
      </c>
      <c r="L31" s="1381">
        <v>0</v>
      </c>
      <c r="M31" s="1204">
        <v>100</v>
      </c>
      <c r="N31" s="1345">
        <v>38</v>
      </c>
      <c r="O31" s="1346">
        <f t="shared" si="5"/>
        <v>3800</v>
      </c>
      <c r="P31" s="1482">
        <v>25</v>
      </c>
      <c r="Q31" s="1482">
        <f t="shared" si="6"/>
        <v>950</v>
      </c>
      <c r="R31" s="1482">
        <v>25</v>
      </c>
      <c r="S31" s="1483">
        <f t="shared" si="7"/>
        <v>950</v>
      </c>
      <c r="T31" s="1482">
        <v>25</v>
      </c>
      <c r="U31" s="1483">
        <f t="shared" si="8"/>
        <v>950</v>
      </c>
      <c r="V31" s="1482">
        <v>25</v>
      </c>
      <c r="W31" s="1483">
        <f t="shared" si="9"/>
        <v>950</v>
      </c>
      <c r="X31" s="1345">
        <f t="shared" si="10"/>
        <v>100</v>
      </c>
      <c r="Y31" s="1345">
        <f t="shared" si="11"/>
        <v>3800</v>
      </c>
      <c r="Z31" s="1357" t="s">
        <v>7799</v>
      </c>
      <c r="AA31" s="1358" t="s">
        <v>8606</v>
      </c>
      <c r="AC31" s="1584" t="str">
        <f t="shared" si="17"/>
        <v>ok</v>
      </c>
    </row>
    <row r="32" spans="1:29" s="1359" customFormat="1" ht="20.25" customHeight="1" x14ac:dyDescent="0.25">
      <c r="A32" s="1279">
        <v>25</v>
      </c>
      <c r="B32" s="1657" t="s">
        <v>8632</v>
      </c>
      <c r="C32" s="1509" t="s">
        <v>8206</v>
      </c>
      <c r="D32" s="1381">
        <v>90</v>
      </c>
      <c r="E32" s="1378">
        <f t="shared" si="18"/>
        <v>5040</v>
      </c>
      <c r="F32" s="1381">
        <v>0</v>
      </c>
      <c r="G32" s="1378">
        <f t="shared" si="1"/>
        <v>0</v>
      </c>
      <c r="H32" s="1345">
        <v>0</v>
      </c>
      <c r="I32" s="1345">
        <f t="shared" si="2"/>
        <v>0</v>
      </c>
      <c r="J32" s="1652">
        <v>0</v>
      </c>
      <c r="K32" s="1653">
        <v>0</v>
      </c>
      <c r="L32" s="1344">
        <f t="shared" si="4"/>
        <v>0</v>
      </c>
      <c r="M32" s="1204">
        <f t="shared" si="12"/>
        <v>0</v>
      </c>
      <c r="N32" s="1345">
        <v>56</v>
      </c>
      <c r="O32" s="1346">
        <f t="shared" si="5"/>
        <v>0</v>
      </c>
      <c r="P32" s="1482">
        <f t="shared" si="13"/>
        <v>0</v>
      </c>
      <c r="Q32" s="1482">
        <f t="shared" si="6"/>
        <v>0</v>
      </c>
      <c r="R32" s="1482">
        <f t="shared" si="14"/>
        <v>0</v>
      </c>
      <c r="S32" s="1483">
        <f t="shared" si="7"/>
        <v>0</v>
      </c>
      <c r="T32" s="1482">
        <f t="shared" si="15"/>
        <v>0</v>
      </c>
      <c r="U32" s="1483">
        <f t="shared" si="8"/>
        <v>0</v>
      </c>
      <c r="V32" s="1482">
        <f t="shared" si="16"/>
        <v>0</v>
      </c>
      <c r="W32" s="1483">
        <f t="shared" si="9"/>
        <v>0</v>
      </c>
      <c r="X32" s="1345">
        <f t="shared" si="10"/>
        <v>0</v>
      </c>
      <c r="Y32" s="1345">
        <f t="shared" si="11"/>
        <v>0</v>
      </c>
      <c r="Z32" s="1357" t="s">
        <v>7799</v>
      </c>
      <c r="AA32" s="1358" t="s">
        <v>8606</v>
      </c>
      <c r="AC32" s="1584" t="str">
        <f t="shared" si="17"/>
        <v>ok</v>
      </c>
    </row>
    <row r="33" spans="1:31" s="1359" customFormat="1" ht="20.25" customHeight="1" x14ac:dyDescent="0.25">
      <c r="A33" s="1279">
        <v>26</v>
      </c>
      <c r="B33" s="1657" t="s">
        <v>8633</v>
      </c>
      <c r="C33" s="1509" t="s">
        <v>8206</v>
      </c>
      <c r="D33" s="1381">
        <v>405</v>
      </c>
      <c r="E33" s="1378">
        <f t="shared" si="18"/>
        <v>10125</v>
      </c>
      <c r="F33" s="1381">
        <v>0</v>
      </c>
      <c r="G33" s="1378">
        <f t="shared" si="1"/>
        <v>0</v>
      </c>
      <c r="H33" s="1345">
        <v>0</v>
      </c>
      <c r="I33" s="1345">
        <f t="shared" si="2"/>
        <v>0</v>
      </c>
      <c r="J33" s="1652">
        <v>0</v>
      </c>
      <c r="K33" s="1653">
        <v>0</v>
      </c>
      <c r="L33" s="1344">
        <f t="shared" si="4"/>
        <v>0</v>
      </c>
      <c r="M33" s="1204">
        <f t="shared" si="12"/>
        <v>0</v>
      </c>
      <c r="N33" s="1345">
        <v>25</v>
      </c>
      <c r="O33" s="1346">
        <f t="shared" si="5"/>
        <v>0</v>
      </c>
      <c r="P33" s="1482">
        <f t="shared" si="13"/>
        <v>0</v>
      </c>
      <c r="Q33" s="1482">
        <f t="shared" si="6"/>
        <v>0</v>
      </c>
      <c r="R33" s="1482">
        <f t="shared" si="14"/>
        <v>0</v>
      </c>
      <c r="S33" s="1483">
        <f t="shared" si="7"/>
        <v>0</v>
      </c>
      <c r="T33" s="1482">
        <f t="shared" si="15"/>
        <v>0</v>
      </c>
      <c r="U33" s="1483">
        <f t="shared" si="8"/>
        <v>0</v>
      </c>
      <c r="V33" s="1482">
        <f t="shared" si="16"/>
        <v>0</v>
      </c>
      <c r="W33" s="1483">
        <f t="shared" si="9"/>
        <v>0</v>
      </c>
      <c r="X33" s="1345">
        <f t="shared" si="10"/>
        <v>0</v>
      </c>
      <c r="Y33" s="1345">
        <f t="shared" si="11"/>
        <v>0</v>
      </c>
      <c r="Z33" s="1357" t="s">
        <v>7799</v>
      </c>
      <c r="AA33" s="1358" t="s">
        <v>8606</v>
      </c>
      <c r="AC33" s="1584" t="str">
        <f t="shared" si="17"/>
        <v>ok</v>
      </c>
    </row>
    <row r="34" spans="1:31" s="1359" customFormat="1" ht="20.25" customHeight="1" x14ac:dyDescent="0.25">
      <c r="A34" s="1279">
        <v>27</v>
      </c>
      <c r="B34" s="1657" t="s">
        <v>8634</v>
      </c>
      <c r="C34" s="1509" t="s">
        <v>8613</v>
      </c>
      <c r="D34" s="1381">
        <v>40</v>
      </c>
      <c r="E34" s="1378">
        <f t="shared" si="18"/>
        <v>1400</v>
      </c>
      <c r="F34" s="1381">
        <v>0</v>
      </c>
      <c r="G34" s="1378">
        <f t="shared" si="1"/>
        <v>0</v>
      </c>
      <c r="H34" s="1345">
        <v>0</v>
      </c>
      <c r="I34" s="1345">
        <f t="shared" si="2"/>
        <v>0</v>
      </c>
      <c r="J34" s="1652">
        <v>0</v>
      </c>
      <c r="K34" s="1653">
        <v>0</v>
      </c>
      <c r="L34" s="1344">
        <f t="shared" si="4"/>
        <v>0</v>
      </c>
      <c r="M34" s="1204">
        <f t="shared" si="12"/>
        <v>0</v>
      </c>
      <c r="N34" s="1345">
        <v>35</v>
      </c>
      <c r="O34" s="1346">
        <f t="shared" si="5"/>
        <v>0</v>
      </c>
      <c r="P34" s="1482">
        <f t="shared" si="13"/>
        <v>0</v>
      </c>
      <c r="Q34" s="1482">
        <f t="shared" si="6"/>
        <v>0</v>
      </c>
      <c r="R34" s="1482">
        <f t="shared" si="14"/>
        <v>0</v>
      </c>
      <c r="S34" s="1483">
        <f t="shared" si="7"/>
        <v>0</v>
      </c>
      <c r="T34" s="1482">
        <f t="shared" si="15"/>
        <v>0</v>
      </c>
      <c r="U34" s="1483">
        <f t="shared" si="8"/>
        <v>0</v>
      </c>
      <c r="V34" s="1482">
        <f t="shared" si="16"/>
        <v>0</v>
      </c>
      <c r="W34" s="1483">
        <f t="shared" si="9"/>
        <v>0</v>
      </c>
      <c r="X34" s="1345">
        <f t="shared" si="10"/>
        <v>0</v>
      </c>
      <c r="Y34" s="1345">
        <f t="shared" si="11"/>
        <v>0</v>
      </c>
      <c r="Z34" s="1357" t="s">
        <v>7799</v>
      </c>
      <c r="AA34" s="1358" t="s">
        <v>8606</v>
      </c>
      <c r="AC34" s="1584" t="str">
        <f t="shared" si="17"/>
        <v>ok</v>
      </c>
    </row>
    <row r="35" spans="1:31" s="1359" customFormat="1" ht="20.25" customHeight="1" x14ac:dyDescent="0.25">
      <c r="A35" s="1279">
        <v>28</v>
      </c>
      <c r="B35" s="1657" t="s">
        <v>8635</v>
      </c>
      <c r="C35" s="1509" t="s">
        <v>8613</v>
      </c>
      <c r="D35" s="1381">
        <v>25</v>
      </c>
      <c r="E35" s="1378">
        <f t="shared" si="18"/>
        <v>1550</v>
      </c>
      <c r="F35" s="1381">
        <v>0</v>
      </c>
      <c r="G35" s="1378">
        <f t="shared" si="1"/>
        <v>0</v>
      </c>
      <c r="H35" s="1345">
        <v>0</v>
      </c>
      <c r="I35" s="1345">
        <f t="shared" si="2"/>
        <v>0</v>
      </c>
      <c r="J35" s="1652">
        <v>50</v>
      </c>
      <c r="K35" s="1653">
        <v>0</v>
      </c>
      <c r="L35" s="1344">
        <f t="shared" si="4"/>
        <v>0</v>
      </c>
      <c r="M35" s="1204">
        <f t="shared" si="12"/>
        <v>50</v>
      </c>
      <c r="N35" s="1345">
        <v>62</v>
      </c>
      <c r="O35" s="1346">
        <f t="shared" si="5"/>
        <v>3100</v>
      </c>
      <c r="P35" s="1482">
        <v>13</v>
      </c>
      <c r="Q35" s="1482">
        <f t="shared" si="6"/>
        <v>806</v>
      </c>
      <c r="R35" s="1482">
        <v>12</v>
      </c>
      <c r="S35" s="1483">
        <f t="shared" si="7"/>
        <v>744</v>
      </c>
      <c r="T35" s="1482">
        <v>13</v>
      </c>
      <c r="U35" s="1483">
        <f t="shared" si="8"/>
        <v>806</v>
      </c>
      <c r="V35" s="1482">
        <v>12</v>
      </c>
      <c r="W35" s="1483">
        <f t="shared" si="9"/>
        <v>744</v>
      </c>
      <c r="X35" s="1345">
        <f t="shared" si="10"/>
        <v>50</v>
      </c>
      <c r="Y35" s="1345">
        <f t="shared" si="11"/>
        <v>3100</v>
      </c>
      <c r="Z35" s="1357" t="s">
        <v>7799</v>
      </c>
      <c r="AA35" s="1358" t="s">
        <v>8606</v>
      </c>
      <c r="AC35" s="1584" t="str">
        <f t="shared" si="17"/>
        <v>ok</v>
      </c>
    </row>
    <row r="36" spans="1:31" s="1359" customFormat="1" ht="20.25" customHeight="1" x14ac:dyDescent="0.25">
      <c r="A36" s="1279">
        <v>29</v>
      </c>
      <c r="B36" s="1658" t="s">
        <v>8636</v>
      </c>
      <c r="C36" s="1509" t="s">
        <v>8613</v>
      </c>
      <c r="D36" s="1381">
        <v>14</v>
      </c>
      <c r="E36" s="1378">
        <f t="shared" si="18"/>
        <v>868</v>
      </c>
      <c r="F36" s="1381">
        <v>0</v>
      </c>
      <c r="G36" s="1378">
        <f t="shared" si="1"/>
        <v>0</v>
      </c>
      <c r="H36" s="1345">
        <v>0</v>
      </c>
      <c r="I36" s="1345">
        <f t="shared" si="2"/>
        <v>0</v>
      </c>
      <c r="J36" s="1652">
        <v>50</v>
      </c>
      <c r="K36" s="1653">
        <v>0</v>
      </c>
      <c r="L36" s="1344">
        <f t="shared" si="4"/>
        <v>0</v>
      </c>
      <c r="M36" s="1204">
        <f t="shared" si="12"/>
        <v>50</v>
      </c>
      <c r="N36" s="1345">
        <v>62</v>
      </c>
      <c r="O36" s="1346">
        <f t="shared" si="5"/>
        <v>3100</v>
      </c>
      <c r="P36" s="1482">
        <v>12</v>
      </c>
      <c r="Q36" s="1482">
        <f t="shared" si="6"/>
        <v>744</v>
      </c>
      <c r="R36" s="1482">
        <v>13</v>
      </c>
      <c r="S36" s="1483">
        <f t="shared" si="7"/>
        <v>806</v>
      </c>
      <c r="T36" s="1482">
        <v>13</v>
      </c>
      <c r="U36" s="1483">
        <f t="shared" si="8"/>
        <v>806</v>
      </c>
      <c r="V36" s="1482">
        <v>12</v>
      </c>
      <c r="W36" s="1483">
        <f t="shared" si="9"/>
        <v>744</v>
      </c>
      <c r="X36" s="1345">
        <f t="shared" si="10"/>
        <v>50</v>
      </c>
      <c r="Y36" s="1345">
        <f t="shared" si="11"/>
        <v>3100</v>
      </c>
      <c r="Z36" s="1357" t="s">
        <v>7799</v>
      </c>
      <c r="AA36" s="1358" t="s">
        <v>8606</v>
      </c>
      <c r="AC36" s="1584" t="str">
        <f t="shared" si="17"/>
        <v>ok</v>
      </c>
    </row>
    <row r="37" spans="1:31" s="1359" customFormat="1" ht="20.25" customHeight="1" x14ac:dyDescent="0.25">
      <c r="A37" s="1279">
        <v>30</v>
      </c>
      <c r="B37" s="1657" t="s">
        <v>8637</v>
      </c>
      <c r="C37" s="1509" t="s">
        <v>8613</v>
      </c>
      <c r="D37" s="1381">
        <v>25</v>
      </c>
      <c r="E37" s="1378">
        <f t="shared" si="18"/>
        <v>1500</v>
      </c>
      <c r="F37" s="1381">
        <v>0</v>
      </c>
      <c r="G37" s="1378">
        <f t="shared" si="1"/>
        <v>0</v>
      </c>
      <c r="H37" s="1345">
        <v>0</v>
      </c>
      <c r="I37" s="1345">
        <f t="shared" si="2"/>
        <v>0</v>
      </c>
      <c r="J37" s="1652">
        <v>50</v>
      </c>
      <c r="K37" s="1653">
        <v>0</v>
      </c>
      <c r="L37" s="1344">
        <f t="shared" si="4"/>
        <v>0</v>
      </c>
      <c r="M37" s="1204">
        <f t="shared" si="12"/>
        <v>50</v>
      </c>
      <c r="N37" s="1345">
        <v>60</v>
      </c>
      <c r="O37" s="1346">
        <f t="shared" si="5"/>
        <v>3000</v>
      </c>
      <c r="P37" s="1482">
        <v>12</v>
      </c>
      <c r="Q37" s="1482">
        <f t="shared" si="6"/>
        <v>720</v>
      </c>
      <c r="R37" s="1482">
        <v>13</v>
      </c>
      <c r="S37" s="1483">
        <f t="shared" si="7"/>
        <v>780</v>
      </c>
      <c r="T37" s="1482">
        <v>12</v>
      </c>
      <c r="U37" s="1483">
        <f t="shared" si="8"/>
        <v>720</v>
      </c>
      <c r="V37" s="1482">
        <v>13</v>
      </c>
      <c r="W37" s="1483">
        <f t="shared" si="9"/>
        <v>780</v>
      </c>
      <c r="X37" s="1345">
        <f t="shared" si="10"/>
        <v>50</v>
      </c>
      <c r="Y37" s="1345">
        <f t="shared" si="11"/>
        <v>3000</v>
      </c>
      <c r="Z37" s="1357" t="s">
        <v>7799</v>
      </c>
      <c r="AA37" s="1358" t="s">
        <v>8606</v>
      </c>
      <c r="AC37" s="1584" t="str">
        <f t="shared" si="17"/>
        <v>ok</v>
      </c>
    </row>
    <row r="38" spans="1:31" s="1359" customFormat="1" ht="20.25" customHeight="1" x14ac:dyDescent="0.25">
      <c r="A38" s="1279">
        <v>31</v>
      </c>
      <c r="B38" s="1659" t="s">
        <v>8638</v>
      </c>
      <c r="C38" s="1509" t="s">
        <v>8639</v>
      </c>
      <c r="D38" s="1381">
        <v>0</v>
      </c>
      <c r="E38" s="1378">
        <f t="shared" si="18"/>
        <v>0</v>
      </c>
      <c r="F38" s="1381">
        <v>0</v>
      </c>
      <c r="G38" s="1378">
        <f t="shared" si="1"/>
        <v>0</v>
      </c>
      <c r="H38" s="1345">
        <v>0</v>
      </c>
      <c r="I38" s="1345">
        <f t="shared" si="2"/>
        <v>0</v>
      </c>
      <c r="J38" s="1652">
        <v>10</v>
      </c>
      <c r="K38" s="1653">
        <v>0</v>
      </c>
      <c r="L38" s="1344">
        <f t="shared" si="4"/>
        <v>0</v>
      </c>
      <c r="M38" s="1204">
        <f t="shared" si="12"/>
        <v>10</v>
      </c>
      <c r="N38" s="1345">
        <v>360</v>
      </c>
      <c r="O38" s="1346">
        <f t="shared" si="5"/>
        <v>3600</v>
      </c>
      <c r="P38" s="1482">
        <v>3</v>
      </c>
      <c r="Q38" s="1482">
        <f t="shared" si="6"/>
        <v>1080</v>
      </c>
      <c r="R38" s="1482">
        <v>2</v>
      </c>
      <c r="S38" s="1483">
        <f t="shared" si="7"/>
        <v>720</v>
      </c>
      <c r="T38" s="1482">
        <v>2</v>
      </c>
      <c r="U38" s="1483">
        <f t="shared" si="8"/>
        <v>720</v>
      </c>
      <c r="V38" s="1482">
        <v>3</v>
      </c>
      <c r="W38" s="1483">
        <f t="shared" si="9"/>
        <v>1080</v>
      </c>
      <c r="X38" s="1345">
        <f t="shared" si="10"/>
        <v>10</v>
      </c>
      <c r="Y38" s="1345">
        <f t="shared" si="11"/>
        <v>3600</v>
      </c>
      <c r="Z38" s="1357" t="s">
        <v>7799</v>
      </c>
      <c r="AA38" s="1358" t="s">
        <v>8606</v>
      </c>
      <c r="AC38" s="1584" t="str">
        <f t="shared" si="17"/>
        <v>ok</v>
      </c>
    </row>
    <row r="39" spans="1:31" s="1359" customFormat="1" ht="20.25" customHeight="1" x14ac:dyDescent="0.25">
      <c r="A39" s="1279">
        <v>32</v>
      </c>
      <c r="B39" s="1659" t="s">
        <v>8640</v>
      </c>
      <c r="C39" s="1509" t="s">
        <v>8206</v>
      </c>
      <c r="D39" s="1381">
        <v>0</v>
      </c>
      <c r="E39" s="1378">
        <f t="shared" si="18"/>
        <v>0</v>
      </c>
      <c r="F39" s="1381">
        <v>0</v>
      </c>
      <c r="G39" s="1378">
        <f t="shared" si="1"/>
        <v>0</v>
      </c>
      <c r="H39" s="1345">
        <v>0</v>
      </c>
      <c r="I39" s="1345">
        <f t="shared" si="2"/>
        <v>0</v>
      </c>
      <c r="J39" s="1652">
        <v>5</v>
      </c>
      <c r="K39" s="1653">
        <v>0</v>
      </c>
      <c r="L39" s="1344">
        <f t="shared" si="4"/>
        <v>0</v>
      </c>
      <c r="M39" s="1204">
        <f t="shared" si="12"/>
        <v>5</v>
      </c>
      <c r="N39" s="1345">
        <v>92</v>
      </c>
      <c r="O39" s="1346">
        <f t="shared" si="5"/>
        <v>460</v>
      </c>
      <c r="P39" s="1482">
        <v>1</v>
      </c>
      <c r="Q39" s="1482">
        <f t="shared" si="6"/>
        <v>92</v>
      </c>
      <c r="R39" s="1482">
        <v>1</v>
      </c>
      <c r="S39" s="1483">
        <f t="shared" si="7"/>
        <v>92</v>
      </c>
      <c r="T39" s="1482">
        <v>1</v>
      </c>
      <c r="U39" s="1483">
        <f t="shared" si="8"/>
        <v>92</v>
      </c>
      <c r="V39" s="1482">
        <v>2</v>
      </c>
      <c r="W39" s="1483">
        <f t="shared" si="9"/>
        <v>184</v>
      </c>
      <c r="X39" s="1345">
        <f t="shared" si="10"/>
        <v>5</v>
      </c>
      <c r="Y39" s="1345">
        <f t="shared" si="11"/>
        <v>460</v>
      </c>
      <c r="Z39" s="1357" t="s">
        <v>7799</v>
      </c>
      <c r="AA39" s="1358" t="s">
        <v>8606</v>
      </c>
      <c r="AC39" s="1584" t="str">
        <f t="shared" si="17"/>
        <v>ok</v>
      </c>
    </row>
    <row r="40" spans="1:31" s="1359" customFormat="1" ht="20.25" customHeight="1" x14ac:dyDescent="0.25">
      <c r="A40" s="1279">
        <v>33</v>
      </c>
      <c r="B40" s="1659" t="s">
        <v>8641</v>
      </c>
      <c r="C40" s="1509" t="s">
        <v>8206</v>
      </c>
      <c r="D40" s="1381">
        <v>0</v>
      </c>
      <c r="E40" s="1378">
        <f t="shared" si="18"/>
        <v>0</v>
      </c>
      <c r="F40" s="1381">
        <v>0</v>
      </c>
      <c r="G40" s="1378">
        <f t="shared" si="1"/>
        <v>0</v>
      </c>
      <c r="H40" s="1345">
        <v>0</v>
      </c>
      <c r="I40" s="1345">
        <f t="shared" si="2"/>
        <v>0</v>
      </c>
      <c r="J40" s="1652">
        <v>5</v>
      </c>
      <c r="K40" s="1653">
        <v>0</v>
      </c>
      <c r="L40" s="1344">
        <f t="shared" si="4"/>
        <v>0</v>
      </c>
      <c r="M40" s="1204">
        <f t="shared" si="12"/>
        <v>5</v>
      </c>
      <c r="N40" s="1345">
        <v>75</v>
      </c>
      <c r="O40" s="1346">
        <f t="shared" si="5"/>
        <v>375</v>
      </c>
      <c r="P40" s="1482">
        <v>2</v>
      </c>
      <c r="Q40" s="1482">
        <f t="shared" si="6"/>
        <v>150</v>
      </c>
      <c r="R40" s="1482">
        <v>1</v>
      </c>
      <c r="S40" s="1483">
        <f t="shared" si="7"/>
        <v>75</v>
      </c>
      <c r="T40" s="1482">
        <v>1</v>
      </c>
      <c r="U40" s="1483">
        <f t="shared" si="8"/>
        <v>75</v>
      </c>
      <c r="V40" s="1482">
        <v>1</v>
      </c>
      <c r="W40" s="1483">
        <f t="shared" si="9"/>
        <v>75</v>
      </c>
      <c r="X40" s="1345">
        <f t="shared" si="10"/>
        <v>5</v>
      </c>
      <c r="Y40" s="1345">
        <f t="shared" si="11"/>
        <v>375</v>
      </c>
      <c r="Z40" s="1357" t="s">
        <v>7799</v>
      </c>
      <c r="AA40" s="1358" t="s">
        <v>8606</v>
      </c>
      <c r="AC40" s="1584" t="str">
        <f t="shared" si="17"/>
        <v>ok</v>
      </c>
    </row>
    <row r="41" spans="1:31" s="1359" customFormat="1" ht="20.25" customHeight="1" x14ac:dyDescent="0.25">
      <c r="A41" s="1279">
        <v>34</v>
      </c>
      <c r="B41" s="1659" t="s">
        <v>8642</v>
      </c>
      <c r="C41" s="1509" t="s">
        <v>8206</v>
      </c>
      <c r="D41" s="1381">
        <v>0</v>
      </c>
      <c r="E41" s="1378">
        <f t="shared" si="18"/>
        <v>0</v>
      </c>
      <c r="F41" s="1381">
        <v>0</v>
      </c>
      <c r="G41" s="1378">
        <f t="shared" si="1"/>
        <v>0</v>
      </c>
      <c r="H41" s="1345">
        <v>0</v>
      </c>
      <c r="I41" s="1345">
        <f t="shared" si="2"/>
        <v>0</v>
      </c>
      <c r="J41" s="1652">
        <v>5</v>
      </c>
      <c r="K41" s="1653">
        <v>0</v>
      </c>
      <c r="L41" s="1344">
        <f t="shared" si="4"/>
        <v>0</v>
      </c>
      <c r="M41" s="1204">
        <f t="shared" si="12"/>
        <v>5</v>
      </c>
      <c r="N41" s="1345">
        <v>75</v>
      </c>
      <c r="O41" s="1346">
        <f t="shared" si="5"/>
        <v>375</v>
      </c>
      <c r="P41" s="1482">
        <v>1</v>
      </c>
      <c r="Q41" s="1482">
        <f t="shared" si="6"/>
        <v>75</v>
      </c>
      <c r="R41" s="1482">
        <v>1</v>
      </c>
      <c r="S41" s="1483">
        <f t="shared" si="7"/>
        <v>75</v>
      </c>
      <c r="T41" s="1482">
        <v>1</v>
      </c>
      <c r="U41" s="1483">
        <f t="shared" si="8"/>
        <v>75</v>
      </c>
      <c r="V41" s="1482">
        <v>2</v>
      </c>
      <c r="W41" s="1483">
        <f t="shared" si="9"/>
        <v>150</v>
      </c>
      <c r="X41" s="1345">
        <f t="shared" si="10"/>
        <v>5</v>
      </c>
      <c r="Y41" s="1345">
        <f t="shared" si="11"/>
        <v>375</v>
      </c>
      <c r="Z41" s="1357" t="s">
        <v>7799</v>
      </c>
      <c r="AA41" s="1358" t="s">
        <v>8606</v>
      </c>
      <c r="AC41" s="1584" t="str">
        <f t="shared" si="17"/>
        <v>ok</v>
      </c>
    </row>
    <row r="42" spans="1:31" s="1359" customFormat="1" ht="20.25" customHeight="1" x14ac:dyDescent="0.25">
      <c r="A42" s="1279">
        <v>35</v>
      </c>
      <c r="B42" s="1659" t="s">
        <v>8643</v>
      </c>
      <c r="C42" s="1509" t="s">
        <v>8206</v>
      </c>
      <c r="D42" s="1381">
        <v>0</v>
      </c>
      <c r="E42" s="1378">
        <f t="shared" si="18"/>
        <v>0</v>
      </c>
      <c r="F42" s="1381">
        <v>0</v>
      </c>
      <c r="G42" s="1378">
        <f t="shared" si="1"/>
        <v>0</v>
      </c>
      <c r="H42" s="1345">
        <v>0</v>
      </c>
      <c r="I42" s="1345">
        <f t="shared" si="2"/>
        <v>0</v>
      </c>
      <c r="J42" s="1652">
        <v>5</v>
      </c>
      <c r="K42" s="1653">
        <v>0</v>
      </c>
      <c r="L42" s="1344">
        <f t="shared" si="4"/>
        <v>0</v>
      </c>
      <c r="M42" s="1204">
        <f t="shared" si="12"/>
        <v>5</v>
      </c>
      <c r="N42" s="1345">
        <v>75</v>
      </c>
      <c r="O42" s="1346">
        <f t="shared" si="5"/>
        <v>375</v>
      </c>
      <c r="P42" s="1482">
        <v>2</v>
      </c>
      <c r="Q42" s="1482">
        <f t="shared" si="6"/>
        <v>150</v>
      </c>
      <c r="R42" s="1482">
        <v>1</v>
      </c>
      <c r="S42" s="1483">
        <f t="shared" si="7"/>
        <v>75</v>
      </c>
      <c r="T42" s="1482">
        <v>1</v>
      </c>
      <c r="U42" s="1483">
        <f t="shared" si="8"/>
        <v>75</v>
      </c>
      <c r="V42" s="1482">
        <v>1</v>
      </c>
      <c r="W42" s="1483">
        <f t="shared" si="9"/>
        <v>75</v>
      </c>
      <c r="X42" s="1345">
        <f t="shared" si="10"/>
        <v>5</v>
      </c>
      <c r="Y42" s="1345">
        <f t="shared" si="11"/>
        <v>375</v>
      </c>
      <c r="Z42" s="1357" t="s">
        <v>7799</v>
      </c>
      <c r="AA42" s="1358" t="s">
        <v>8606</v>
      </c>
      <c r="AC42" s="1584" t="str">
        <f t="shared" si="17"/>
        <v>ok</v>
      </c>
    </row>
    <row r="43" spans="1:31" s="1359" customFormat="1" ht="20.25" customHeight="1" x14ac:dyDescent="0.25">
      <c r="A43" s="1279">
        <v>36</v>
      </c>
      <c r="B43" s="1659" t="s">
        <v>8644</v>
      </c>
      <c r="C43" s="1509" t="s">
        <v>8206</v>
      </c>
      <c r="D43" s="1381">
        <v>0</v>
      </c>
      <c r="E43" s="1378">
        <f t="shared" si="18"/>
        <v>0</v>
      </c>
      <c r="F43" s="1381">
        <v>0</v>
      </c>
      <c r="G43" s="1378">
        <f t="shared" si="1"/>
        <v>0</v>
      </c>
      <c r="H43" s="1345">
        <v>0</v>
      </c>
      <c r="I43" s="1345">
        <f t="shared" si="2"/>
        <v>0</v>
      </c>
      <c r="J43" s="1652">
        <v>5</v>
      </c>
      <c r="K43" s="1653">
        <v>0</v>
      </c>
      <c r="L43" s="1344">
        <f t="shared" si="4"/>
        <v>0</v>
      </c>
      <c r="M43" s="1204">
        <f t="shared" si="12"/>
        <v>5</v>
      </c>
      <c r="N43" s="1345">
        <v>75</v>
      </c>
      <c r="O43" s="1346">
        <f t="shared" si="5"/>
        <v>375</v>
      </c>
      <c r="P43" s="1482">
        <v>2</v>
      </c>
      <c r="Q43" s="1482">
        <f t="shared" si="6"/>
        <v>150</v>
      </c>
      <c r="R43" s="1482">
        <v>1</v>
      </c>
      <c r="S43" s="1483">
        <f t="shared" si="7"/>
        <v>75</v>
      </c>
      <c r="T43" s="1482">
        <v>1</v>
      </c>
      <c r="U43" s="1483">
        <f t="shared" si="8"/>
        <v>75</v>
      </c>
      <c r="V43" s="1482">
        <v>1</v>
      </c>
      <c r="W43" s="1483">
        <f t="shared" si="9"/>
        <v>75</v>
      </c>
      <c r="X43" s="1345">
        <f t="shared" si="10"/>
        <v>5</v>
      </c>
      <c r="Y43" s="1345">
        <f t="shared" si="11"/>
        <v>375</v>
      </c>
      <c r="Z43" s="1357" t="s">
        <v>7799</v>
      </c>
      <c r="AA43" s="1358" t="s">
        <v>8606</v>
      </c>
      <c r="AB43" s="1359" t="str">
        <f t="shared" si="3"/>
        <v>yes</v>
      </c>
      <c r="AC43" s="1584" t="str">
        <f t="shared" si="17"/>
        <v>ok</v>
      </c>
      <c r="AE43" s="1382"/>
    </row>
    <row r="44" spans="1:31" s="1359" customFormat="1" ht="20.25" customHeight="1" x14ac:dyDescent="0.25">
      <c r="A44" s="1279">
        <v>37</v>
      </c>
      <c r="B44" s="1659" t="s">
        <v>8645</v>
      </c>
      <c r="C44" s="1509" t="s">
        <v>7816</v>
      </c>
      <c r="D44" s="1381">
        <v>0</v>
      </c>
      <c r="E44" s="1378">
        <f t="shared" si="18"/>
        <v>0</v>
      </c>
      <c r="F44" s="1381">
        <v>10</v>
      </c>
      <c r="G44" s="1378">
        <f t="shared" si="1"/>
        <v>950</v>
      </c>
      <c r="H44" s="1345">
        <v>0</v>
      </c>
      <c r="I44" s="1345">
        <f t="shared" si="2"/>
        <v>0</v>
      </c>
      <c r="J44" s="1345">
        <v>0</v>
      </c>
      <c r="K44" s="1345">
        <v>0</v>
      </c>
      <c r="L44" s="1344">
        <f t="shared" si="4"/>
        <v>0</v>
      </c>
      <c r="M44" s="1204">
        <f t="shared" si="12"/>
        <v>0</v>
      </c>
      <c r="N44" s="1345">
        <v>95</v>
      </c>
      <c r="O44" s="1346">
        <f t="shared" si="5"/>
        <v>0</v>
      </c>
      <c r="P44" s="1482">
        <f t="shared" si="13"/>
        <v>0</v>
      </c>
      <c r="Q44" s="1482">
        <f t="shared" si="6"/>
        <v>0</v>
      </c>
      <c r="R44" s="1482">
        <f t="shared" si="14"/>
        <v>0</v>
      </c>
      <c r="S44" s="1483">
        <f t="shared" si="7"/>
        <v>0</v>
      </c>
      <c r="T44" s="1482">
        <f t="shared" si="15"/>
        <v>0</v>
      </c>
      <c r="U44" s="1483">
        <f t="shared" si="8"/>
        <v>0</v>
      </c>
      <c r="V44" s="1482">
        <f t="shared" si="16"/>
        <v>0</v>
      </c>
      <c r="W44" s="1483">
        <f t="shared" si="9"/>
        <v>0</v>
      </c>
      <c r="X44" s="1345">
        <f t="shared" si="10"/>
        <v>0</v>
      </c>
      <c r="Y44" s="1345">
        <f t="shared" si="11"/>
        <v>0</v>
      </c>
      <c r="Z44" s="1357" t="s">
        <v>7799</v>
      </c>
      <c r="AA44" s="1358" t="s">
        <v>8606</v>
      </c>
      <c r="AC44" s="1584" t="str">
        <f t="shared" si="17"/>
        <v>ok</v>
      </c>
      <c r="AE44" s="1382"/>
    </row>
    <row r="45" spans="1:31" s="1359" customFormat="1" ht="20.25" customHeight="1" x14ac:dyDescent="0.25">
      <c r="A45" s="1279">
        <v>38</v>
      </c>
      <c r="B45" s="1659" t="s">
        <v>8646</v>
      </c>
      <c r="C45" s="1509" t="s">
        <v>7816</v>
      </c>
      <c r="D45" s="1381">
        <v>0</v>
      </c>
      <c r="E45" s="1378">
        <f t="shared" si="18"/>
        <v>0</v>
      </c>
      <c r="F45" s="1381">
        <v>20</v>
      </c>
      <c r="G45" s="1378">
        <f t="shared" si="1"/>
        <v>1900</v>
      </c>
      <c r="H45" s="1345">
        <v>0</v>
      </c>
      <c r="I45" s="1345">
        <f t="shared" si="2"/>
        <v>0</v>
      </c>
      <c r="J45" s="1345">
        <v>0</v>
      </c>
      <c r="K45" s="1345">
        <v>6</v>
      </c>
      <c r="L45" s="1344">
        <f t="shared" si="4"/>
        <v>570</v>
      </c>
      <c r="M45" s="1204">
        <v>0</v>
      </c>
      <c r="N45" s="1345">
        <v>95</v>
      </c>
      <c r="O45" s="1346">
        <f t="shared" si="5"/>
        <v>0</v>
      </c>
      <c r="P45" s="1482">
        <f t="shared" si="13"/>
        <v>0</v>
      </c>
      <c r="Q45" s="1482">
        <f t="shared" si="6"/>
        <v>0</v>
      </c>
      <c r="R45" s="1482">
        <f t="shared" si="14"/>
        <v>0</v>
      </c>
      <c r="S45" s="1483">
        <f t="shared" si="7"/>
        <v>0</v>
      </c>
      <c r="T45" s="1482">
        <f t="shared" si="15"/>
        <v>0</v>
      </c>
      <c r="U45" s="1483">
        <f t="shared" si="8"/>
        <v>0</v>
      </c>
      <c r="V45" s="1482">
        <f t="shared" si="16"/>
        <v>0</v>
      </c>
      <c r="W45" s="1483">
        <f t="shared" si="9"/>
        <v>0</v>
      </c>
      <c r="X45" s="1345">
        <f t="shared" si="10"/>
        <v>0</v>
      </c>
      <c r="Y45" s="1345">
        <f t="shared" si="11"/>
        <v>0</v>
      </c>
      <c r="Z45" s="1357" t="s">
        <v>7799</v>
      </c>
      <c r="AA45" s="1358" t="s">
        <v>8606</v>
      </c>
      <c r="AC45" s="1584" t="str">
        <f t="shared" si="17"/>
        <v>ok</v>
      </c>
      <c r="AE45" s="1382"/>
    </row>
    <row r="46" spans="1:31" s="1359" customFormat="1" ht="20.25" customHeight="1" x14ac:dyDescent="0.25">
      <c r="A46" s="1279">
        <v>39</v>
      </c>
      <c r="B46" s="1659" t="s">
        <v>8647</v>
      </c>
      <c r="C46" s="1509" t="s">
        <v>7816</v>
      </c>
      <c r="D46" s="1381">
        <v>0</v>
      </c>
      <c r="E46" s="1378">
        <f t="shared" si="18"/>
        <v>0</v>
      </c>
      <c r="F46" s="1381">
        <v>65</v>
      </c>
      <c r="G46" s="1378">
        <f t="shared" si="1"/>
        <v>6175</v>
      </c>
      <c r="H46" s="1345">
        <v>96</v>
      </c>
      <c r="I46" s="1345">
        <f t="shared" si="2"/>
        <v>9120</v>
      </c>
      <c r="J46" s="1345">
        <v>200</v>
      </c>
      <c r="K46" s="1345">
        <v>0</v>
      </c>
      <c r="L46" s="1344">
        <f t="shared" si="4"/>
        <v>0</v>
      </c>
      <c r="M46" s="1204">
        <f t="shared" si="12"/>
        <v>200</v>
      </c>
      <c r="N46" s="1345">
        <v>95</v>
      </c>
      <c r="O46" s="1346">
        <f t="shared" si="5"/>
        <v>19000</v>
      </c>
      <c r="P46" s="1482">
        <f t="shared" si="13"/>
        <v>50</v>
      </c>
      <c r="Q46" s="1482">
        <f t="shared" si="6"/>
        <v>4750</v>
      </c>
      <c r="R46" s="1482">
        <f t="shared" si="14"/>
        <v>50</v>
      </c>
      <c r="S46" s="1483">
        <f t="shared" si="7"/>
        <v>4750</v>
      </c>
      <c r="T46" s="1482">
        <f t="shared" si="15"/>
        <v>50</v>
      </c>
      <c r="U46" s="1483">
        <f t="shared" si="8"/>
        <v>4750</v>
      </c>
      <c r="V46" s="1482">
        <f t="shared" si="16"/>
        <v>50</v>
      </c>
      <c r="W46" s="1483">
        <f t="shared" si="9"/>
        <v>4750</v>
      </c>
      <c r="X46" s="1345">
        <f t="shared" si="10"/>
        <v>200</v>
      </c>
      <c r="Y46" s="1345">
        <f t="shared" si="11"/>
        <v>19000</v>
      </c>
      <c r="Z46" s="1357" t="s">
        <v>7799</v>
      </c>
      <c r="AA46" s="1358" t="s">
        <v>8606</v>
      </c>
      <c r="AC46" s="1584" t="str">
        <f t="shared" si="17"/>
        <v>ok</v>
      </c>
      <c r="AE46" s="1382"/>
    </row>
    <row r="47" spans="1:31" s="1393" customFormat="1" ht="20.25" customHeight="1" x14ac:dyDescent="0.6">
      <c r="A47" s="1660" t="s">
        <v>7433</v>
      </c>
      <c r="B47" s="1661"/>
      <c r="C47" s="1662"/>
      <c r="D47" s="1390">
        <f t="shared" ref="D47:Y47" si="19">SUM(D8:D46)</f>
        <v>3438</v>
      </c>
      <c r="E47" s="1390">
        <f t="shared" si="19"/>
        <v>159027</v>
      </c>
      <c r="F47" s="1569">
        <f t="shared" si="19"/>
        <v>4728</v>
      </c>
      <c r="G47" s="1569">
        <f t="shared" si="19"/>
        <v>210023</v>
      </c>
      <c r="H47" s="1390">
        <f t="shared" si="19"/>
        <v>6554</v>
      </c>
      <c r="I47" s="1390">
        <f t="shared" si="19"/>
        <v>273021</v>
      </c>
      <c r="J47" s="1390">
        <f t="shared" si="19"/>
        <v>10105</v>
      </c>
      <c r="K47" s="1663">
        <f t="shared" si="19"/>
        <v>1557</v>
      </c>
      <c r="L47" s="1390">
        <f t="shared" si="19"/>
        <v>69722.5</v>
      </c>
      <c r="M47" s="1390">
        <f t="shared" si="19"/>
        <v>8754</v>
      </c>
      <c r="N47" s="1390">
        <f t="shared" si="19"/>
        <v>2432.5</v>
      </c>
      <c r="O47" s="1390">
        <f t="shared" si="19"/>
        <v>366507.5</v>
      </c>
      <c r="P47" s="1390">
        <f t="shared" si="19"/>
        <v>2195</v>
      </c>
      <c r="Q47" s="1390">
        <f t="shared" si="19"/>
        <v>92051.5</v>
      </c>
      <c r="R47" s="1390">
        <f t="shared" si="19"/>
        <v>2185</v>
      </c>
      <c r="S47" s="1390">
        <f t="shared" si="19"/>
        <v>91366.5</v>
      </c>
      <c r="T47" s="1390">
        <f t="shared" si="19"/>
        <v>2189</v>
      </c>
      <c r="U47" s="1390">
        <f t="shared" si="19"/>
        <v>91380</v>
      </c>
      <c r="V47" s="1390">
        <f t="shared" si="19"/>
        <v>2185</v>
      </c>
      <c r="W47" s="1390">
        <f t="shared" si="19"/>
        <v>91709.5</v>
      </c>
      <c r="X47" s="1390">
        <f t="shared" si="19"/>
        <v>8754</v>
      </c>
      <c r="Y47" s="1390">
        <f t="shared" si="19"/>
        <v>366507.5</v>
      </c>
      <c r="Z47" s="1391"/>
      <c r="AA47" s="1392"/>
      <c r="AB47" s="1393" t="str">
        <f t="shared" si="3"/>
        <v>yes</v>
      </c>
      <c r="AC47" s="1584" t="str">
        <f t="shared" si="17"/>
        <v>ok</v>
      </c>
    </row>
    <row r="48" spans="1:31" ht="20.25" customHeight="1" x14ac:dyDescent="0.6">
      <c r="B48" s="1280"/>
      <c r="G48" s="1288"/>
      <c r="N48" s="1290"/>
      <c r="O48" s="1290"/>
      <c r="P48" s="1290"/>
      <c r="Q48" s="1290"/>
      <c r="R48" s="1290"/>
      <c r="S48" s="1290"/>
      <c r="T48" s="1290"/>
      <c r="U48" s="1290"/>
      <c r="V48" s="1290"/>
      <c r="W48" s="1290"/>
      <c r="Z48" s="1280"/>
    </row>
    <row r="49" spans="1:27" ht="20.25" customHeight="1" x14ac:dyDescent="0.6">
      <c r="B49" s="1280"/>
      <c r="G49" s="1288"/>
      <c r="N49" s="1290"/>
      <c r="O49" s="1290"/>
      <c r="P49" s="1290"/>
      <c r="Q49" s="1290"/>
      <c r="R49" s="1290"/>
      <c r="S49" s="1290"/>
      <c r="T49" s="1290"/>
      <c r="U49" s="1290"/>
      <c r="V49" s="1290"/>
      <c r="W49" s="1290"/>
      <c r="Z49" s="1280"/>
    </row>
    <row r="50" spans="1:27" ht="20.25" customHeight="1" x14ac:dyDescent="0.6">
      <c r="B50" s="1280"/>
      <c r="G50" s="1288"/>
      <c r="N50" s="1290"/>
      <c r="O50" s="1290"/>
      <c r="P50" s="1290"/>
      <c r="Q50" s="1290"/>
      <c r="R50" s="1290"/>
      <c r="S50" s="1290"/>
      <c r="T50" s="1290"/>
      <c r="U50" s="1290"/>
      <c r="V50" s="1290"/>
      <c r="W50" s="1290"/>
      <c r="Z50" s="1280"/>
    </row>
    <row r="51" spans="1:27" ht="20.25" customHeight="1" x14ac:dyDescent="0.6">
      <c r="B51" s="1280"/>
      <c r="G51" s="1288"/>
      <c r="N51" s="1290"/>
      <c r="O51" s="1290"/>
      <c r="P51" s="1290"/>
      <c r="Q51" s="1290"/>
      <c r="R51" s="1290"/>
      <c r="S51" s="1290"/>
      <c r="Z51" s="1405"/>
    </row>
    <row r="52" spans="1:27" ht="20.25" customHeight="1" x14ac:dyDescent="0.6"/>
    <row r="53" spans="1:27" ht="20.25" customHeight="1" x14ac:dyDescent="0.6"/>
    <row r="54" spans="1:27" ht="20.25" customHeight="1" x14ac:dyDescent="0.6">
      <c r="AA54" s="1401"/>
    </row>
    <row r="60" spans="1:27" x14ac:dyDescent="0.6">
      <c r="A60" s="1280"/>
      <c r="N60" s="1288"/>
      <c r="O60" s="1290"/>
      <c r="Z60" s="1280"/>
    </row>
    <row r="61" spans="1:27" x14ac:dyDescent="0.6">
      <c r="A61" s="1280"/>
      <c r="N61" s="1288"/>
      <c r="O61" s="1290"/>
      <c r="Z61" s="1280"/>
    </row>
    <row r="62" spans="1:27" x14ac:dyDescent="0.6">
      <c r="A62" s="1280"/>
      <c r="N62" s="1288"/>
      <c r="O62" s="1290"/>
      <c r="Z62" s="1280"/>
    </row>
    <row r="63" spans="1:27" x14ac:dyDescent="0.6">
      <c r="A63" s="1280"/>
      <c r="N63" s="1288"/>
      <c r="O63" s="1290"/>
      <c r="Z63" s="1280"/>
    </row>
    <row r="64" spans="1:27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  <row r="707" spans="1:26" x14ac:dyDescent="0.6">
      <c r="A707" s="1280"/>
      <c r="N707" s="1288"/>
      <c r="O707" s="1290"/>
      <c r="Z707" s="1280"/>
    </row>
    <row r="708" spans="1:26" x14ac:dyDescent="0.6">
      <c r="A708" s="1280"/>
      <c r="N708" s="1288"/>
      <c r="O708" s="1290"/>
      <c r="Z708" s="1280"/>
    </row>
    <row r="709" spans="1:26" x14ac:dyDescent="0.6">
      <c r="A709" s="1280"/>
      <c r="N709" s="1288"/>
      <c r="O709" s="1290"/>
      <c r="Z709" s="1280"/>
    </row>
    <row r="710" spans="1:26" x14ac:dyDescent="0.6">
      <c r="A710" s="1280"/>
      <c r="N710" s="1288"/>
      <c r="O710" s="1290"/>
      <c r="Z710" s="1280"/>
    </row>
    <row r="711" spans="1:26" x14ac:dyDescent="0.6">
      <c r="A711" s="1280"/>
      <c r="N711" s="1288"/>
      <c r="O711" s="1290"/>
      <c r="Z711" s="1280"/>
    </row>
    <row r="712" spans="1:26" x14ac:dyDescent="0.6">
      <c r="A712" s="1280"/>
      <c r="N712" s="1288"/>
      <c r="O712" s="1290"/>
      <c r="Z712" s="1280"/>
    </row>
    <row r="713" spans="1:26" x14ac:dyDescent="0.6">
      <c r="A713" s="1280"/>
      <c r="N713" s="1288"/>
      <c r="O713" s="1290"/>
      <c r="Z713" s="1280"/>
    </row>
    <row r="714" spans="1:26" x14ac:dyDescent="0.6">
      <c r="A714" s="1280"/>
      <c r="N714" s="1288"/>
      <c r="O714" s="1290"/>
      <c r="Z714" s="1280"/>
    </row>
    <row r="715" spans="1:26" x14ac:dyDescent="0.6">
      <c r="A715" s="1280"/>
      <c r="N715" s="1288"/>
      <c r="O715" s="1290"/>
      <c r="Z715" s="1280"/>
    </row>
    <row r="716" spans="1:26" x14ac:dyDescent="0.6">
      <c r="A716" s="1280"/>
      <c r="N716" s="1288"/>
      <c r="O716" s="1290"/>
      <c r="Z716" s="1280"/>
    </row>
    <row r="717" spans="1:26" x14ac:dyDescent="0.6">
      <c r="A717" s="1280"/>
      <c r="N717" s="1288"/>
      <c r="O717" s="1290"/>
      <c r="Z717" s="1280"/>
    </row>
    <row r="718" spans="1:26" x14ac:dyDescent="0.6">
      <c r="A718" s="1280"/>
      <c r="N718" s="1288"/>
      <c r="O718" s="1290"/>
      <c r="Z718" s="1280"/>
    </row>
    <row r="719" spans="1:26" x14ac:dyDescent="0.6">
      <c r="A719" s="1280"/>
      <c r="N719" s="1288"/>
      <c r="O719" s="1290"/>
      <c r="Z719" s="1280"/>
    </row>
    <row r="720" spans="1:26" x14ac:dyDescent="0.6">
      <c r="A720" s="1280"/>
      <c r="N720" s="1288"/>
      <c r="O720" s="1290"/>
      <c r="Z720" s="1280"/>
    </row>
    <row r="721" spans="1:26" x14ac:dyDescent="0.6">
      <c r="A721" s="1280"/>
      <c r="N721" s="1288"/>
      <c r="O721" s="1290"/>
      <c r="Z721" s="1280"/>
    </row>
    <row r="722" spans="1:26" x14ac:dyDescent="0.6">
      <c r="A722" s="1280"/>
      <c r="N722" s="1288"/>
      <c r="O722" s="1290"/>
      <c r="Z722" s="1280"/>
    </row>
    <row r="723" spans="1:26" x14ac:dyDescent="0.6">
      <c r="A723" s="1280"/>
      <c r="N723" s="1288"/>
      <c r="O723" s="1290"/>
      <c r="Z723" s="1280"/>
    </row>
    <row r="724" spans="1:26" x14ac:dyDescent="0.6">
      <c r="A724" s="1280"/>
      <c r="N724" s="1288"/>
      <c r="O724" s="1290"/>
      <c r="Z724" s="1280"/>
    </row>
    <row r="725" spans="1:26" x14ac:dyDescent="0.6">
      <c r="A725" s="1280"/>
      <c r="N725" s="1288"/>
      <c r="O725" s="1290"/>
      <c r="Z725" s="1280"/>
    </row>
    <row r="726" spans="1:26" x14ac:dyDescent="0.6">
      <c r="A726" s="1280"/>
      <c r="N726" s="1288"/>
      <c r="O726" s="1290"/>
      <c r="Z726" s="1280"/>
    </row>
    <row r="727" spans="1:26" x14ac:dyDescent="0.6">
      <c r="A727" s="1280"/>
      <c r="N727" s="1288"/>
      <c r="O727" s="1290"/>
      <c r="Z727" s="1280"/>
    </row>
    <row r="728" spans="1:26" x14ac:dyDescent="0.6">
      <c r="A728" s="1280"/>
      <c r="N728" s="1288"/>
      <c r="O728" s="1290"/>
      <c r="Z728" s="1280"/>
    </row>
    <row r="729" spans="1:26" x14ac:dyDescent="0.6">
      <c r="A729" s="1280"/>
      <c r="N729" s="1288"/>
      <c r="O729" s="1290"/>
      <c r="Z729" s="1280"/>
    </row>
    <row r="730" spans="1:26" x14ac:dyDescent="0.6">
      <c r="A730" s="1280"/>
      <c r="N730" s="1288"/>
      <c r="O730" s="1290"/>
      <c r="Z730" s="1280"/>
    </row>
    <row r="731" spans="1:26" x14ac:dyDescent="0.6">
      <c r="A731" s="1280"/>
      <c r="N731" s="1288"/>
      <c r="O731" s="1290"/>
      <c r="Z731" s="1280"/>
    </row>
    <row r="732" spans="1:26" x14ac:dyDescent="0.6">
      <c r="A732" s="1280"/>
      <c r="N732" s="1288"/>
      <c r="O732" s="1290"/>
      <c r="Z732" s="1280"/>
    </row>
    <row r="733" spans="1:26" x14ac:dyDescent="0.6">
      <c r="A733" s="1280"/>
      <c r="N733" s="1288"/>
      <c r="O733" s="1290"/>
      <c r="Z733" s="1280"/>
    </row>
    <row r="734" spans="1:26" x14ac:dyDescent="0.6">
      <c r="A734" s="1280"/>
      <c r="N734" s="1288"/>
      <c r="O734" s="1290"/>
      <c r="Z734" s="1280"/>
    </row>
    <row r="735" spans="1:26" x14ac:dyDescent="0.6">
      <c r="A735" s="1280"/>
      <c r="N735" s="1288"/>
      <c r="O735" s="1290"/>
      <c r="Z735" s="1280"/>
    </row>
    <row r="736" spans="1:26" x14ac:dyDescent="0.6">
      <c r="A736" s="1280"/>
      <c r="N736" s="1288"/>
      <c r="O736" s="1290"/>
      <c r="Z736" s="1280"/>
    </row>
    <row r="737" spans="1:26" x14ac:dyDescent="0.6">
      <c r="A737" s="1280"/>
      <c r="N737" s="1288"/>
      <c r="O737" s="1290"/>
      <c r="Z737" s="1280"/>
    </row>
    <row r="738" spans="1:26" x14ac:dyDescent="0.6">
      <c r="A738" s="1280"/>
      <c r="N738" s="1288"/>
      <c r="O738" s="1290"/>
      <c r="Z738" s="1280"/>
    </row>
  </sheetData>
  <protectedRanges>
    <protectedRange password="CC6F" sqref="B8:B9 B12:B14" name="ช่วง1_5_1_5_1_1_1_1_1"/>
    <protectedRange password="CC6F" sqref="B11" name="ช่วง1_5_1_5_1_1_4_1_1"/>
    <protectedRange password="CC6F" sqref="B10" name="ช่วง1_5_1_5_1_1_5_1_1"/>
    <protectedRange password="CC6F" sqref="B17:B19" name="ช่วง1_5_1_5_1_1_2_1"/>
    <protectedRange password="CC6F" sqref="B15" name="ช่วง1_5_1_5_1_1_1_2_1"/>
    <protectedRange password="CC6F" sqref="B16" name="ช่วง1_5_1_5_1_1_4_2_1"/>
    <protectedRange password="CC6F" sqref="B20 B22:B25" name="ช่วง1_5_1_5_1_1_3_1"/>
    <protectedRange password="CC6F" sqref="B21" name="ช่วง1_5_1_5_1_1_1_3_1"/>
    <protectedRange password="CC6F" sqref="B26:B34" name="ช่วง1_5_1_5_1_1_5_2_1"/>
    <protectedRange password="CC6F" sqref="B35:B43" name="ช่วง1_5_1_5_1_1_7_1"/>
    <protectedRange password="CC6F" sqref="B44:B46" name="ช่วง1_5_1_5_1_1_10_1"/>
  </protectedRanges>
  <mergeCells count="18">
    <mergeCell ref="X6:X7"/>
    <mergeCell ref="A47:C47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19685039370078741" right="0.19685039370078741" top="1.1417322834645669" bottom="0.98425196850393704" header="0.31496062992125984" footer="0.31496062992125984"/>
  <pageSetup paperSize="9" scale="61" firstPageNumber="3" fitToHeight="0" orientation="landscape" useFirstPageNumber="1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1911D-86D8-45DC-846D-D3810285518F}">
  <sheetPr>
    <tabColor rgb="FFFF0000"/>
    <pageSetUpPr fitToPage="1"/>
  </sheetPr>
  <dimension ref="A1:AC236"/>
  <sheetViews>
    <sheetView view="pageBreakPreview" topLeftCell="C1" zoomScaleNormal="100" zoomScaleSheetLayoutView="100" workbookViewId="0">
      <pane ySplit="8" topLeftCell="A213" activePane="bottomLeft" state="frozen"/>
      <selection activeCell="A17" sqref="A17"/>
      <selection pane="bottomLeft" activeCell="A17" sqref="A17"/>
    </sheetView>
  </sheetViews>
  <sheetFormatPr defaultRowHeight="13.8" x14ac:dyDescent="0.25"/>
  <cols>
    <col min="1" max="1" width="5.5" style="1734" customWidth="1"/>
    <col min="2" max="2" width="22.8984375" customWidth="1"/>
    <col min="3" max="3" width="7.69921875" customWidth="1"/>
    <col min="4" max="4" width="9" customWidth="1"/>
    <col min="5" max="5" width="11.3984375" customWidth="1"/>
    <col min="6" max="6" width="9" customWidth="1"/>
    <col min="7" max="7" width="11.59765625" customWidth="1"/>
    <col min="8" max="8" width="9" customWidth="1"/>
    <col min="9" max="9" width="10.5" customWidth="1"/>
    <col min="12" max="12" width="12.8984375" customWidth="1"/>
    <col min="14" max="14" width="11" customWidth="1"/>
    <col min="15" max="15" width="10.59765625" customWidth="1"/>
    <col min="17" max="17" width="10.8984375" customWidth="1"/>
    <col min="19" max="19" width="11" customWidth="1"/>
    <col min="21" max="21" width="10.8984375" customWidth="1"/>
    <col min="23" max="23" width="10.69921875" customWidth="1"/>
    <col min="25" max="25" width="10.3984375" customWidth="1"/>
  </cols>
  <sheetData>
    <row r="1" spans="1:29" ht="21" x14ac:dyDescent="0.25">
      <c r="A1" s="1664" t="s">
        <v>8648</v>
      </c>
      <c r="B1" s="1664"/>
      <c r="C1" s="1664"/>
      <c r="D1" s="1664"/>
      <c r="E1" s="1664"/>
      <c r="F1" s="1664"/>
      <c r="G1" s="1664"/>
      <c r="H1" s="1664"/>
      <c r="I1" s="1664"/>
      <c r="J1" s="1664"/>
      <c r="K1" s="1664"/>
      <c r="L1" s="1664"/>
      <c r="M1" s="1664"/>
      <c r="N1" s="1664"/>
      <c r="O1" s="1664"/>
      <c r="P1" s="1664"/>
      <c r="Q1" s="1664"/>
      <c r="R1" s="1664"/>
      <c r="S1" s="1664"/>
      <c r="T1" s="1664"/>
      <c r="U1" s="1664"/>
      <c r="V1" s="1664"/>
      <c r="W1" s="1664"/>
      <c r="X1" s="1664"/>
      <c r="Y1" s="1664"/>
      <c r="Z1" s="1664"/>
      <c r="AA1" s="1664"/>
      <c r="AB1" s="1664"/>
    </row>
    <row r="2" spans="1:29" ht="21" x14ac:dyDescent="0.6">
      <c r="A2" s="1665" t="s">
        <v>8649</v>
      </c>
      <c r="B2" s="1665"/>
      <c r="C2" s="1665"/>
      <c r="D2" s="1665"/>
      <c r="E2" s="1665"/>
      <c r="F2" s="1665"/>
      <c r="G2" s="1665"/>
      <c r="H2" s="1665"/>
      <c r="I2" s="1665"/>
      <c r="J2" s="1665"/>
      <c r="K2" s="1665"/>
      <c r="L2" s="1665"/>
      <c r="M2" s="1665"/>
      <c r="N2" s="1665"/>
      <c r="O2" s="1665"/>
      <c r="P2" s="1665"/>
      <c r="Q2" s="1665"/>
      <c r="R2" s="1665"/>
      <c r="S2" s="1665"/>
      <c r="T2" s="1665"/>
      <c r="U2" s="1665"/>
      <c r="V2" s="1665"/>
      <c r="W2" s="1665"/>
      <c r="X2" s="1665"/>
      <c r="Y2" s="1665"/>
      <c r="Z2" s="1665"/>
      <c r="AA2" s="1665"/>
      <c r="AB2" s="1665"/>
    </row>
    <row r="3" spans="1:29" ht="21" x14ac:dyDescent="0.25">
      <c r="A3" s="1666" t="s">
        <v>7733</v>
      </c>
      <c r="B3" s="1666"/>
      <c r="C3" s="1666"/>
      <c r="D3" s="1666"/>
      <c r="E3" s="1666"/>
      <c r="F3" s="1666"/>
      <c r="G3" s="1666"/>
      <c r="H3" s="1666"/>
      <c r="I3" s="1666"/>
      <c r="J3" s="1666"/>
      <c r="K3" s="1666"/>
      <c r="L3" s="1666"/>
      <c r="M3" s="1666"/>
      <c r="N3" s="1666"/>
      <c r="O3" s="1666"/>
      <c r="P3" s="1666"/>
      <c r="Q3" s="1666"/>
      <c r="R3" s="1666"/>
      <c r="S3" s="1666"/>
      <c r="T3" s="1666"/>
      <c r="U3" s="1666"/>
      <c r="V3" s="1666"/>
      <c r="W3" s="1666"/>
      <c r="X3" s="1666"/>
      <c r="Y3" s="1666"/>
      <c r="Z3" s="1666"/>
      <c r="AA3" s="1666"/>
      <c r="AB3" s="1666"/>
    </row>
    <row r="4" spans="1:29" ht="21" x14ac:dyDescent="0.6">
      <c r="A4" s="1667"/>
      <c r="B4" s="1668"/>
      <c r="C4" s="1669"/>
      <c r="D4" s="1670"/>
      <c r="E4" s="1670"/>
      <c r="F4" s="1670"/>
      <c r="G4" s="1670"/>
      <c r="H4" s="1670"/>
      <c r="I4" s="1670"/>
      <c r="J4" s="1671"/>
      <c r="K4" s="1672"/>
      <c r="L4" s="1673"/>
      <c r="M4" s="1673"/>
      <c r="N4" s="1673"/>
      <c r="O4" s="1673"/>
      <c r="P4" s="1673"/>
      <c r="Q4" s="1673"/>
      <c r="R4" s="1673"/>
      <c r="S4" s="1673"/>
      <c r="T4" s="1673"/>
      <c r="U4" s="1673"/>
      <c r="V4" s="1673"/>
      <c r="W4" s="1673"/>
      <c r="X4" s="1673"/>
      <c r="Y4" s="1673"/>
      <c r="Z4" s="1674"/>
      <c r="AA4" s="1675"/>
      <c r="AB4" s="1675"/>
    </row>
    <row r="5" spans="1:29" ht="21" x14ac:dyDescent="0.6">
      <c r="A5" s="1676" t="s">
        <v>2185</v>
      </c>
      <c r="B5" s="1677" t="s">
        <v>8650</v>
      </c>
      <c r="C5" s="1301" t="s">
        <v>7776</v>
      </c>
      <c r="D5" s="1302" t="s">
        <v>7777</v>
      </c>
      <c r="E5" s="1303"/>
      <c r="F5" s="1303"/>
      <c r="G5" s="1303"/>
      <c r="H5" s="1303"/>
      <c r="I5" s="1303"/>
      <c r="J5" s="1678" t="s">
        <v>7736</v>
      </c>
      <c r="K5" s="1678" t="s">
        <v>7778</v>
      </c>
      <c r="L5" s="1679" t="s">
        <v>7779</v>
      </c>
      <c r="M5" s="1305" t="s">
        <v>6557</v>
      </c>
      <c r="N5" s="1680" t="s">
        <v>7780</v>
      </c>
      <c r="O5" s="1681" t="s">
        <v>7736</v>
      </c>
      <c r="P5" s="1682" t="s">
        <v>7744</v>
      </c>
      <c r="Q5" s="1307" t="s">
        <v>621</v>
      </c>
      <c r="R5" s="1682" t="s">
        <v>7745</v>
      </c>
      <c r="S5" s="1307" t="s">
        <v>621</v>
      </c>
      <c r="T5" s="1682" t="s">
        <v>7746</v>
      </c>
      <c r="U5" s="1307" t="s">
        <v>621</v>
      </c>
      <c r="V5" s="1682" t="s">
        <v>7747</v>
      </c>
      <c r="W5" s="1307" t="s">
        <v>621</v>
      </c>
      <c r="X5" s="1310" t="s">
        <v>7781</v>
      </c>
      <c r="Y5" s="1683"/>
      <c r="Z5" s="1312"/>
      <c r="AA5" s="1415" t="s">
        <v>7782</v>
      </c>
      <c r="AB5" s="1684" t="s">
        <v>691</v>
      </c>
    </row>
    <row r="6" spans="1:29" ht="21" x14ac:dyDescent="0.6">
      <c r="A6" s="1676"/>
      <c r="B6" s="1677"/>
      <c r="C6" s="1315" t="s">
        <v>7783</v>
      </c>
      <c r="D6" s="1302" t="s">
        <v>7741</v>
      </c>
      <c r="E6" s="1303"/>
      <c r="F6" s="1303"/>
      <c r="G6" s="1303"/>
      <c r="H6" s="1303"/>
      <c r="I6" s="1303"/>
      <c r="J6" s="1678" t="s">
        <v>7784</v>
      </c>
      <c r="K6" s="1678" t="s">
        <v>7742</v>
      </c>
      <c r="L6" s="1685"/>
      <c r="M6" s="1317" t="s">
        <v>7631</v>
      </c>
      <c r="N6" s="1686" t="s">
        <v>7785</v>
      </c>
      <c r="O6" s="1687" t="s">
        <v>7743</v>
      </c>
      <c r="P6" s="1682" t="s">
        <v>7752</v>
      </c>
      <c r="Q6" s="1319" t="s">
        <v>7744</v>
      </c>
      <c r="R6" s="1682" t="s">
        <v>7753</v>
      </c>
      <c r="S6" s="1319" t="s">
        <v>7745</v>
      </c>
      <c r="T6" s="1682" t="s">
        <v>7754</v>
      </c>
      <c r="U6" s="1319" t="s">
        <v>7746</v>
      </c>
      <c r="V6" s="1682" t="s">
        <v>7755</v>
      </c>
      <c r="W6" s="1319" t="s">
        <v>7747</v>
      </c>
      <c r="X6" s="1310"/>
      <c r="Y6" s="1683"/>
      <c r="Z6" s="1322" t="s">
        <v>7623</v>
      </c>
      <c r="AA6" s="1415"/>
      <c r="AB6" s="1684"/>
    </row>
    <row r="7" spans="1:29" ht="21.75" customHeight="1" x14ac:dyDescent="0.6">
      <c r="A7" s="1676"/>
      <c r="B7" s="1677"/>
      <c r="C7" s="1315" t="s">
        <v>7786</v>
      </c>
      <c r="D7" s="1465" t="s">
        <v>7787</v>
      </c>
      <c r="E7" s="1465" t="s">
        <v>8651</v>
      </c>
      <c r="F7" s="1472" t="s">
        <v>7789</v>
      </c>
      <c r="G7" s="1472" t="s">
        <v>8652</v>
      </c>
      <c r="H7" s="1472" t="s">
        <v>7791</v>
      </c>
      <c r="I7" s="1472" t="s">
        <v>8653</v>
      </c>
      <c r="J7" s="1678" t="s">
        <v>7793</v>
      </c>
      <c r="K7" s="1678" t="s">
        <v>7751</v>
      </c>
      <c r="L7" s="1685"/>
      <c r="M7" s="1317" t="s">
        <v>7794</v>
      </c>
      <c r="N7" s="1686" t="s">
        <v>7786</v>
      </c>
      <c r="O7" s="1687" t="s">
        <v>1150</v>
      </c>
      <c r="P7" s="1688" t="s">
        <v>7795</v>
      </c>
      <c r="Q7" s="1319" t="s">
        <v>7756</v>
      </c>
      <c r="R7" s="1688" t="s">
        <v>7795</v>
      </c>
      <c r="S7" s="1319" t="s">
        <v>7756</v>
      </c>
      <c r="T7" s="1688" t="s">
        <v>7795</v>
      </c>
      <c r="U7" s="1319" t="s">
        <v>7756</v>
      </c>
      <c r="V7" s="1688" t="s">
        <v>7795</v>
      </c>
      <c r="W7" s="1319" t="s">
        <v>7756</v>
      </c>
      <c r="X7" s="1310" t="s">
        <v>7627</v>
      </c>
      <c r="Y7" s="1689" t="s">
        <v>621</v>
      </c>
      <c r="Z7" s="1322" t="s">
        <v>7631</v>
      </c>
      <c r="AA7" s="1415"/>
      <c r="AB7" s="1684"/>
    </row>
    <row r="8" spans="1:29" ht="33.75" customHeight="1" x14ac:dyDescent="0.6">
      <c r="A8" s="1676"/>
      <c r="B8" s="1677"/>
      <c r="C8" s="1330" t="s">
        <v>7796</v>
      </c>
      <c r="D8" s="1690"/>
      <c r="E8" s="1690"/>
      <c r="F8" s="1474"/>
      <c r="G8" s="1474"/>
      <c r="H8" s="1474"/>
      <c r="I8" s="1474"/>
      <c r="J8" s="1678" t="s">
        <v>7795</v>
      </c>
      <c r="K8" s="1678"/>
      <c r="L8" s="1685"/>
      <c r="M8" s="1691" t="s">
        <v>7795</v>
      </c>
      <c r="N8" s="1692" t="s">
        <v>7756</v>
      </c>
      <c r="O8" s="1693" t="s">
        <v>7756</v>
      </c>
      <c r="P8" s="1688"/>
      <c r="Q8" s="1338"/>
      <c r="R8" s="1688"/>
      <c r="S8" s="1338"/>
      <c r="T8" s="1688"/>
      <c r="U8" s="1338"/>
      <c r="V8" s="1688"/>
      <c r="W8" s="1338"/>
      <c r="X8" s="1310"/>
      <c r="Y8" s="1689" t="s">
        <v>7756</v>
      </c>
      <c r="Z8" s="1340"/>
      <c r="AA8" s="1415"/>
      <c r="AB8" s="1684"/>
    </row>
    <row r="9" spans="1:29" ht="21" x14ac:dyDescent="0.6">
      <c r="A9" s="1694">
        <v>1</v>
      </c>
      <c r="B9" s="1695" t="s">
        <v>8654</v>
      </c>
      <c r="C9" s="1696" t="s">
        <v>7869</v>
      </c>
      <c r="D9" s="1578">
        <v>1</v>
      </c>
      <c r="E9" s="1697">
        <v>1150</v>
      </c>
      <c r="F9" s="1578">
        <v>0</v>
      </c>
      <c r="G9" s="1697">
        <v>0</v>
      </c>
      <c r="H9" s="1578">
        <v>1</v>
      </c>
      <c r="I9" s="1697">
        <v>1140</v>
      </c>
      <c r="J9" s="1578">
        <v>1</v>
      </c>
      <c r="K9" s="1578">
        <v>0</v>
      </c>
      <c r="L9" s="1697">
        <v>0</v>
      </c>
      <c r="M9" s="1578">
        <f>J9-K9</f>
        <v>1</v>
      </c>
      <c r="N9" s="1698">
        <v>1140</v>
      </c>
      <c r="O9" s="1698">
        <f t="shared" ref="O9:O72" si="0">M9*N9</f>
        <v>1140</v>
      </c>
      <c r="P9" s="1699">
        <v>0</v>
      </c>
      <c r="Q9" s="1698">
        <f t="shared" ref="Q9:Q57" si="1">N9*P9</f>
        <v>0</v>
      </c>
      <c r="R9" s="1699">
        <v>0</v>
      </c>
      <c r="S9" s="1698">
        <f t="shared" ref="S9:S72" si="2">N9*R9</f>
        <v>0</v>
      </c>
      <c r="T9" s="1699">
        <v>0</v>
      </c>
      <c r="U9" s="1698">
        <f t="shared" ref="U9:U48" si="3">N9*T9</f>
        <v>0</v>
      </c>
      <c r="V9" s="1699">
        <v>1</v>
      </c>
      <c r="W9" s="1698">
        <f t="shared" ref="W9:W57" si="4">N9*V9</f>
        <v>1140</v>
      </c>
      <c r="X9" s="1700">
        <f t="shared" ref="X9:Y48" si="5">P9+R9+T9+V9</f>
        <v>1</v>
      </c>
      <c r="Y9" s="1701">
        <f t="shared" si="5"/>
        <v>1140</v>
      </c>
      <c r="Z9" s="1702" t="s">
        <v>7799</v>
      </c>
      <c r="AA9" s="1703" t="s">
        <v>6527</v>
      </c>
      <c r="AB9" s="1704"/>
      <c r="AC9" s="1388" t="str">
        <f t="shared" ref="AC9:AC72" si="6">IF(O9=Y9,"ok")</f>
        <v>ok</v>
      </c>
    </row>
    <row r="10" spans="1:29" ht="21" x14ac:dyDescent="0.6">
      <c r="A10" s="1705">
        <v>2</v>
      </c>
      <c r="B10" s="1706" t="s">
        <v>8655</v>
      </c>
      <c r="C10" s="1707" t="s">
        <v>7798</v>
      </c>
      <c r="D10" s="1708">
        <v>0</v>
      </c>
      <c r="E10" s="1709">
        <v>0</v>
      </c>
      <c r="F10" s="1708">
        <v>0</v>
      </c>
      <c r="G10" s="1709">
        <v>0</v>
      </c>
      <c r="H10" s="1708">
        <v>0</v>
      </c>
      <c r="I10" s="1709">
        <v>0</v>
      </c>
      <c r="J10" s="1708">
        <v>14</v>
      </c>
      <c r="K10" s="1708">
        <v>5</v>
      </c>
      <c r="L10" s="1709">
        <v>13250</v>
      </c>
      <c r="M10" s="1708">
        <f>J10-K10</f>
        <v>9</v>
      </c>
      <c r="N10" s="1710">
        <v>2650</v>
      </c>
      <c r="O10" s="1710">
        <f t="shared" si="0"/>
        <v>23850</v>
      </c>
      <c r="P10" s="1711">
        <v>9</v>
      </c>
      <c r="Q10" s="1710">
        <f t="shared" si="1"/>
        <v>23850</v>
      </c>
      <c r="R10" s="1711">
        <v>0</v>
      </c>
      <c r="S10" s="1710">
        <f t="shared" si="2"/>
        <v>0</v>
      </c>
      <c r="T10" s="1711">
        <v>0</v>
      </c>
      <c r="U10" s="1710">
        <f t="shared" si="3"/>
        <v>0</v>
      </c>
      <c r="V10" s="1711">
        <v>0</v>
      </c>
      <c r="W10" s="1710">
        <f t="shared" si="4"/>
        <v>0</v>
      </c>
      <c r="X10" s="1711">
        <f t="shared" si="5"/>
        <v>9</v>
      </c>
      <c r="Y10" s="1710">
        <f t="shared" si="5"/>
        <v>23850</v>
      </c>
      <c r="Z10" s="1702" t="s">
        <v>7799</v>
      </c>
      <c r="AA10" s="1703" t="s">
        <v>6527</v>
      </c>
      <c r="AB10" s="1704"/>
      <c r="AC10" s="1388" t="str">
        <f t="shared" si="6"/>
        <v>ok</v>
      </c>
    </row>
    <row r="11" spans="1:29" ht="21" x14ac:dyDescent="0.6">
      <c r="A11" s="1705">
        <v>3</v>
      </c>
      <c r="B11" s="1706" t="s">
        <v>8656</v>
      </c>
      <c r="C11" s="1707" t="s">
        <v>7798</v>
      </c>
      <c r="D11" s="1708">
        <v>0</v>
      </c>
      <c r="E11" s="1709">
        <v>0</v>
      </c>
      <c r="F11" s="1708">
        <v>0</v>
      </c>
      <c r="G11" s="1709">
        <v>0</v>
      </c>
      <c r="H11" s="1708">
        <v>0</v>
      </c>
      <c r="I11" s="1709">
        <v>0</v>
      </c>
      <c r="J11" s="1708">
        <v>13</v>
      </c>
      <c r="K11" s="1708">
        <v>5</v>
      </c>
      <c r="L11" s="1709">
        <v>13250</v>
      </c>
      <c r="M11" s="1708">
        <f>J11-K11</f>
        <v>8</v>
      </c>
      <c r="N11" s="1710">
        <v>2650</v>
      </c>
      <c r="O11" s="1710">
        <f t="shared" si="0"/>
        <v>21200</v>
      </c>
      <c r="P11" s="1711">
        <v>8</v>
      </c>
      <c r="Q11" s="1710">
        <f t="shared" si="1"/>
        <v>21200</v>
      </c>
      <c r="R11" s="1711">
        <v>0</v>
      </c>
      <c r="S11" s="1710">
        <f t="shared" si="2"/>
        <v>0</v>
      </c>
      <c r="T11" s="1711">
        <v>0</v>
      </c>
      <c r="U11" s="1710">
        <f t="shared" si="3"/>
        <v>0</v>
      </c>
      <c r="V11" s="1711">
        <v>0</v>
      </c>
      <c r="W11" s="1710">
        <f t="shared" si="4"/>
        <v>0</v>
      </c>
      <c r="X11" s="1711">
        <f t="shared" si="5"/>
        <v>8</v>
      </c>
      <c r="Y11" s="1710">
        <f t="shared" si="5"/>
        <v>21200</v>
      </c>
      <c r="Z11" s="1702" t="s">
        <v>7799</v>
      </c>
      <c r="AA11" s="1703" t="s">
        <v>6527</v>
      </c>
      <c r="AB11" s="1704"/>
      <c r="AC11" s="1388" t="str">
        <f t="shared" si="6"/>
        <v>ok</v>
      </c>
    </row>
    <row r="12" spans="1:29" ht="21" x14ac:dyDescent="0.6">
      <c r="A12" s="1705">
        <v>4</v>
      </c>
      <c r="B12" s="1706" t="s">
        <v>8657</v>
      </c>
      <c r="C12" s="1707" t="s">
        <v>7798</v>
      </c>
      <c r="D12" s="1708">
        <v>0</v>
      </c>
      <c r="E12" s="1709">
        <v>0</v>
      </c>
      <c r="F12" s="1708">
        <v>0</v>
      </c>
      <c r="G12" s="1709">
        <v>0</v>
      </c>
      <c r="H12" s="1708">
        <v>0</v>
      </c>
      <c r="I12" s="1709">
        <v>0</v>
      </c>
      <c r="J12" s="1708">
        <v>6</v>
      </c>
      <c r="K12" s="1708">
        <v>2</v>
      </c>
      <c r="L12" s="1709">
        <v>3000</v>
      </c>
      <c r="M12" s="1708">
        <f>J12-K12</f>
        <v>4</v>
      </c>
      <c r="N12" s="1710">
        <v>1500</v>
      </c>
      <c r="O12" s="1710">
        <f t="shared" si="0"/>
        <v>6000</v>
      </c>
      <c r="P12" s="1711">
        <v>4</v>
      </c>
      <c r="Q12" s="1710">
        <f t="shared" si="1"/>
        <v>6000</v>
      </c>
      <c r="R12" s="1711">
        <v>0</v>
      </c>
      <c r="S12" s="1710">
        <f t="shared" si="2"/>
        <v>0</v>
      </c>
      <c r="T12" s="1711">
        <v>0</v>
      </c>
      <c r="U12" s="1710">
        <f t="shared" si="3"/>
        <v>0</v>
      </c>
      <c r="V12" s="1711">
        <v>0</v>
      </c>
      <c r="W12" s="1710">
        <f t="shared" si="4"/>
        <v>0</v>
      </c>
      <c r="X12" s="1711">
        <f t="shared" si="5"/>
        <v>4</v>
      </c>
      <c r="Y12" s="1710">
        <f t="shared" si="5"/>
        <v>6000</v>
      </c>
      <c r="Z12" s="1702" t="s">
        <v>7799</v>
      </c>
      <c r="AA12" s="1703" t="s">
        <v>6527</v>
      </c>
      <c r="AB12" s="1704"/>
      <c r="AC12" s="1388" t="str">
        <f t="shared" si="6"/>
        <v>ok</v>
      </c>
    </row>
    <row r="13" spans="1:29" ht="21" x14ac:dyDescent="0.6">
      <c r="A13" s="1705">
        <v>5</v>
      </c>
      <c r="B13" s="1706" t="s">
        <v>8658</v>
      </c>
      <c r="C13" s="1707" t="s">
        <v>7798</v>
      </c>
      <c r="D13" s="1708">
        <v>0</v>
      </c>
      <c r="E13" s="1709">
        <v>0</v>
      </c>
      <c r="F13" s="1708">
        <v>0</v>
      </c>
      <c r="G13" s="1709">
        <v>0</v>
      </c>
      <c r="H13" s="1708">
        <v>0</v>
      </c>
      <c r="I13" s="1709">
        <v>0</v>
      </c>
      <c r="J13" s="1708">
        <v>11</v>
      </c>
      <c r="K13" s="1708">
        <v>2</v>
      </c>
      <c r="L13" s="1709">
        <v>3000</v>
      </c>
      <c r="M13" s="1708">
        <f>J13-K13</f>
        <v>9</v>
      </c>
      <c r="N13" s="1710">
        <v>1500</v>
      </c>
      <c r="O13" s="1710">
        <f t="shared" si="0"/>
        <v>13500</v>
      </c>
      <c r="P13" s="1711">
        <v>9</v>
      </c>
      <c r="Q13" s="1710">
        <f t="shared" si="1"/>
        <v>13500</v>
      </c>
      <c r="R13" s="1711">
        <v>0</v>
      </c>
      <c r="S13" s="1710">
        <f t="shared" si="2"/>
        <v>0</v>
      </c>
      <c r="T13" s="1711">
        <v>0</v>
      </c>
      <c r="U13" s="1710">
        <f t="shared" si="3"/>
        <v>0</v>
      </c>
      <c r="V13" s="1711">
        <v>0</v>
      </c>
      <c r="W13" s="1710">
        <f t="shared" si="4"/>
        <v>0</v>
      </c>
      <c r="X13" s="1711">
        <f t="shared" si="5"/>
        <v>9</v>
      </c>
      <c r="Y13" s="1710">
        <f t="shared" si="5"/>
        <v>13500</v>
      </c>
      <c r="Z13" s="1702" t="s">
        <v>7799</v>
      </c>
      <c r="AA13" s="1703" t="s">
        <v>6527</v>
      </c>
      <c r="AB13" s="1704"/>
      <c r="AC13" s="1388" t="str">
        <f t="shared" si="6"/>
        <v>ok</v>
      </c>
    </row>
    <row r="14" spans="1:29" ht="21" x14ac:dyDescent="0.6">
      <c r="A14" s="1694">
        <v>6</v>
      </c>
      <c r="B14" s="1695" t="s">
        <v>8659</v>
      </c>
      <c r="C14" s="1696" t="s">
        <v>7798</v>
      </c>
      <c r="D14" s="1578">
        <v>0</v>
      </c>
      <c r="E14" s="1697">
        <v>0</v>
      </c>
      <c r="F14" s="1578">
        <v>0</v>
      </c>
      <c r="G14" s="1697">
        <v>0</v>
      </c>
      <c r="H14" s="1578">
        <v>0</v>
      </c>
      <c r="I14" s="1697">
        <v>0</v>
      </c>
      <c r="J14" s="1578">
        <v>0</v>
      </c>
      <c r="K14" s="1578">
        <v>2</v>
      </c>
      <c r="L14" s="1697">
        <v>2800</v>
      </c>
      <c r="M14" s="1578">
        <v>0</v>
      </c>
      <c r="N14" s="1698">
        <v>1400</v>
      </c>
      <c r="O14" s="1698">
        <f t="shared" si="0"/>
        <v>0</v>
      </c>
      <c r="P14" s="1699">
        <v>0</v>
      </c>
      <c r="Q14" s="1698">
        <f t="shared" si="1"/>
        <v>0</v>
      </c>
      <c r="R14" s="1699">
        <v>0</v>
      </c>
      <c r="S14" s="1698">
        <f t="shared" si="2"/>
        <v>0</v>
      </c>
      <c r="T14" s="1699">
        <v>0</v>
      </c>
      <c r="U14" s="1698">
        <f t="shared" si="3"/>
        <v>0</v>
      </c>
      <c r="V14" s="1699">
        <v>0</v>
      </c>
      <c r="W14" s="1698">
        <f t="shared" si="4"/>
        <v>0</v>
      </c>
      <c r="X14" s="1700">
        <f t="shared" si="5"/>
        <v>0</v>
      </c>
      <c r="Y14" s="1701">
        <f t="shared" si="5"/>
        <v>0</v>
      </c>
      <c r="Z14" s="1702" t="s">
        <v>7799</v>
      </c>
      <c r="AA14" s="1703" t="s">
        <v>6527</v>
      </c>
      <c r="AB14" s="1704"/>
      <c r="AC14" s="1388" t="str">
        <f t="shared" si="6"/>
        <v>ok</v>
      </c>
    </row>
    <row r="15" spans="1:29" ht="21" x14ac:dyDescent="0.6">
      <c r="A15" s="1705">
        <v>7</v>
      </c>
      <c r="B15" s="1706" t="s">
        <v>8660</v>
      </c>
      <c r="C15" s="1707" t="s">
        <v>7798</v>
      </c>
      <c r="D15" s="1708">
        <v>5</v>
      </c>
      <c r="E15" s="1709">
        <v>8500</v>
      </c>
      <c r="F15" s="1708">
        <v>7</v>
      </c>
      <c r="G15" s="1709">
        <v>11900</v>
      </c>
      <c r="H15" s="1708">
        <v>0</v>
      </c>
      <c r="I15" s="1709">
        <v>0</v>
      </c>
      <c r="J15" s="1708">
        <v>5</v>
      </c>
      <c r="K15" s="1708">
        <v>4</v>
      </c>
      <c r="L15" s="1709">
        <v>4800</v>
      </c>
      <c r="M15" s="1708">
        <f>J15-K15</f>
        <v>1</v>
      </c>
      <c r="N15" s="1710">
        <v>1200</v>
      </c>
      <c r="O15" s="1710">
        <f t="shared" si="0"/>
        <v>1200</v>
      </c>
      <c r="P15" s="1711">
        <v>1</v>
      </c>
      <c r="Q15" s="1710">
        <f t="shared" si="1"/>
        <v>1200</v>
      </c>
      <c r="R15" s="1711">
        <v>0</v>
      </c>
      <c r="S15" s="1710">
        <f t="shared" si="2"/>
        <v>0</v>
      </c>
      <c r="T15" s="1711">
        <v>0</v>
      </c>
      <c r="U15" s="1710">
        <f t="shared" si="3"/>
        <v>0</v>
      </c>
      <c r="V15" s="1711">
        <v>0</v>
      </c>
      <c r="W15" s="1710">
        <f t="shared" si="4"/>
        <v>0</v>
      </c>
      <c r="X15" s="1711">
        <f t="shared" si="5"/>
        <v>1</v>
      </c>
      <c r="Y15" s="1710">
        <f t="shared" si="5"/>
        <v>1200</v>
      </c>
      <c r="Z15" s="1702" t="s">
        <v>7799</v>
      </c>
      <c r="AA15" s="1703" t="s">
        <v>6527</v>
      </c>
      <c r="AB15" s="1704"/>
      <c r="AC15" s="1388" t="str">
        <f t="shared" si="6"/>
        <v>ok</v>
      </c>
    </row>
    <row r="16" spans="1:29" ht="21" x14ac:dyDescent="0.6">
      <c r="A16" s="1694">
        <v>8</v>
      </c>
      <c r="B16" s="1695" t="s">
        <v>8661</v>
      </c>
      <c r="C16" s="1696" t="s">
        <v>7816</v>
      </c>
      <c r="D16" s="1578">
        <v>1</v>
      </c>
      <c r="E16" s="1697">
        <v>1400</v>
      </c>
      <c r="F16" s="1578">
        <v>0</v>
      </c>
      <c r="G16" s="1697">
        <v>0</v>
      </c>
      <c r="H16" s="1578">
        <v>1</v>
      </c>
      <c r="I16" s="1697">
        <v>1400</v>
      </c>
      <c r="J16" s="1578">
        <v>2</v>
      </c>
      <c r="K16" s="1578">
        <v>1</v>
      </c>
      <c r="L16" s="1697">
        <v>1400</v>
      </c>
      <c r="M16" s="1578">
        <f>J16-K16</f>
        <v>1</v>
      </c>
      <c r="N16" s="1698">
        <v>1400</v>
      </c>
      <c r="O16" s="1698">
        <f t="shared" si="0"/>
        <v>1400</v>
      </c>
      <c r="P16" s="1699">
        <v>0</v>
      </c>
      <c r="Q16" s="1698">
        <f t="shared" si="1"/>
        <v>0</v>
      </c>
      <c r="R16" s="1699">
        <v>0</v>
      </c>
      <c r="S16" s="1698">
        <f t="shared" si="2"/>
        <v>0</v>
      </c>
      <c r="T16" s="1699">
        <v>0</v>
      </c>
      <c r="U16" s="1698">
        <f t="shared" si="3"/>
        <v>0</v>
      </c>
      <c r="V16" s="1699">
        <v>1</v>
      </c>
      <c r="W16" s="1698">
        <f t="shared" si="4"/>
        <v>1400</v>
      </c>
      <c r="X16" s="1700">
        <f t="shared" si="5"/>
        <v>1</v>
      </c>
      <c r="Y16" s="1701">
        <f t="shared" si="5"/>
        <v>1400</v>
      </c>
      <c r="Z16" s="1702" t="s">
        <v>7799</v>
      </c>
      <c r="AA16" s="1703" t="s">
        <v>6527</v>
      </c>
      <c r="AB16" s="1704"/>
      <c r="AC16" s="1388" t="str">
        <f t="shared" si="6"/>
        <v>ok</v>
      </c>
    </row>
    <row r="17" spans="1:29" ht="21" x14ac:dyDescent="0.6">
      <c r="A17" s="1694">
        <v>9</v>
      </c>
      <c r="B17" s="1695" t="s">
        <v>8662</v>
      </c>
      <c r="C17" s="1696" t="s">
        <v>7869</v>
      </c>
      <c r="D17" s="1578">
        <v>4</v>
      </c>
      <c r="E17" s="1697">
        <v>2700</v>
      </c>
      <c r="F17" s="1578">
        <v>1</v>
      </c>
      <c r="G17" s="1697">
        <v>675</v>
      </c>
      <c r="H17" s="1578">
        <v>2</v>
      </c>
      <c r="I17" s="1697">
        <v>250</v>
      </c>
      <c r="J17" s="1578">
        <v>10</v>
      </c>
      <c r="K17" s="1578">
        <v>2</v>
      </c>
      <c r="L17" s="1697">
        <v>1350</v>
      </c>
      <c r="M17" s="1578">
        <f>J17-K17</f>
        <v>8</v>
      </c>
      <c r="N17" s="1698">
        <v>675</v>
      </c>
      <c r="O17" s="1698">
        <f t="shared" si="0"/>
        <v>5400</v>
      </c>
      <c r="P17" s="1699">
        <v>2</v>
      </c>
      <c r="Q17" s="1698">
        <f t="shared" si="1"/>
        <v>1350</v>
      </c>
      <c r="R17" s="1699">
        <v>2</v>
      </c>
      <c r="S17" s="1698">
        <f t="shared" si="2"/>
        <v>1350</v>
      </c>
      <c r="T17" s="1699">
        <v>2</v>
      </c>
      <c r="U17" s="1698">
        <f t="shared" si="3"/>
        <v>1350</v>
      </c>
      <c r="V17" s="1699">
        <v>2</v>
      </c>
      <c r="W17" s="1698">
        <f t="shared" si="4"/>
        <v>1350</v>
      </c>
      <c r="X17" s="1700">
        <f t="shared" si="5"/>
        <v>8</v>
      </c>
      <c r="Y17" s="1701">
        <f t="shared" si="5"/>
        <v>5400</v>
      </c>
      <c r="Z17" s="1702" t="s">
        <v>7799</v>
      </c>
      <c r="AA17" s="1703" t="s">
        <v>6527</v>
      </c>
      <c r="AB17" s="1704"/>
      <c r="AC17" s="1388" t="str">
        <f t="shared" si="6"/>
        <v>ok</v>
      </c>
    </row>
    <row r="18" spans="1:29" ht="21" x14ac:dyDescent="0.6">
      <c r="A18" s="1694">
        <v>10</v>
      </c>
      <c r="B18" s="1695" t="s">
        <v>8663</v>
      </c>
      <c r="C18" s="1696" t="s">
        <v>7798</v>
      </c>
      <c r="D18" s="1578">
        <v>0</v>
      </c>
      <c r="E18" s="1697">
        <v>0</v>
      </c>
      <c r="F18" s="1578">
        <v>0</v>
      </c>
      <c r="G18" s="1697">
        <v>0</v>
      </c>
      <c r="H18" s="1578">
        <v>0</v>
      </c>
      <c r="I18" s="1697">
        <v>0</v>
      </c>
      <c r="J18" s="1578">
        <v>0</v>
      </c>
      <c r="K18" s="1578">
        <v>1</v>
      </c>
      <c r="L18" s="1697">
        <v>1700</v>
      </c>
      <c r="M18" s="1578">
        <v>0</v>
      </c>
      <c r="N18" s="1698">
        <v>1700</v>
      </c>
      <c r="O18" s="1698">
        <f t="shared" si="0"/>
        <v>0</v>
      </c>
      <c r="P18" s="1699">
        <v>0</v>
      </c>
      <c r="Q18" s="1698">
        <f t="shared" si="1"/>
        <v>0</v>
      </c>
      <c r="R18" s="1699">
        <v>0</v>
      </c>
      <c r="S18" s="1698">
        <f t="shared" si="2"/>
        <v>0</v>
      </c>
      <c r="T18" s="1699">
        <v>0</v>
      </c>
      <c r="U18" s="1698">
        <f t="shared" si="3"/>
        <v>0</v>
      </c>
      <c r="V18" s="1699">
        <v>0</v>
      </c>
      <c r="W18" s="1698">
        <f t="shared" si="4"/>
        <v>0</v>
      </c>
      <c r="X18" s="1700">
        <f t="shared" si="5"/>
        <v>0</v>
      </c>
      <c r="Y18" s="1701">
        <f t="shared" si="5"/>
        <v>0</v>
      </c>
      <c r="Z18" s="1702" t="s">
        <v>7799</v>
      </c>
      <c r="AA18" s="1703" t="s">
        <v>6527</v>
      </c>
      <c r="AB18" s="1704"/>
      <c r="AC18" s="1388" t="str">
        <f t="shared" si="6"/>
        <v>ok</v>
      </c>
    </row>
    <row r="19" spans="1:29" ht="21" x14ac:dyDescent="0.6">
      <c r="A19" s="1694">
        <v>11</v>
      </c>
      <c r="B19" s="1695" t="s">
        <v>8664</v>
      </c>
      <c r="C19" s="1696" t="s">
        <v>7798</v>
      </c>
      <c r="D19" s="1578">
        <v>1</v>
      </c>
      <c r="E19" s="1697">
        <v>1500</v>
      </c>
      <c r="F19" s="1578">
        <v>0</v>
      </c>
      <c r="G19" s="1697">
        <v>0</v>
      </c>
      <c r="H19" s="1578">
        <v>0</v>
      </c>
      <c r="I19" s="1697">
        <v>0</v>
      </c>
      <c r="J19" s="1578">
        <v>0</v>
      </c>
      <c r="K19" s="1578">
        <v>1</v>
      </c>
      <c r="L19" s="1697">
        <v>1500</v>
      </c>
      <c r="M19" s="1578">
        <v>0</v>
      </c>
      <c r="N19" s="1698">
        <v>1500</v>
      </c>
      <c r="O19" s="1698">
        <f t="shared" si="0"/>
        <v>0</v>
      </c>
      <c r="P19" s="1699">
        <v>0</v>
      </c>
      <c r="Q19" s="1698">
        <f t="shared" si="1"/>
        <v>0</v>
      </c>
      <c r="R19" s="1699">
        <v>0</v>
      </c>
      <c r="S19" s="1698">
        <f t="shared" si="2"/>
        <v>0</v>
      </c>
      <c r="T19" s="1699">
        <v>0</v>
      </c>
      <c r="U19" s="1698">
        <f t="shared" si="3"/>
        <v>0</v>
      </c>
      <c r="V19" s="1699">
        <v>0</v>
      </c>
      <c r="W19" s="1698">
        <f t="shared" si="4"/>
        <v>0</v>
      </c>
      <c r="X19" s="1700">
        <f t="shared" si="5"/>
        <v>0</v>
      </c>
      <c r="Y19" s="1701">
        <f t="shared" si="5"/>
        <v>0</v>
      </c>
      <c r="Z19" s="1702" t="s">
        <v>7799</v>
      </c>
      <c r="AA19" s="1703" t="s">
        <v>6527</v>
      </c>
      <c r="AB19" s="1704"/>
      <c r="AC19" s="1388" t="str">
        <f t="shared" si="6"/>
        <v>ok</v>
      </c>
    </row>
    <row r="20" spans="1:29" ht="21" x14ac:dyDescent="0.6">
      <c r="A20" s="1694">
        <v>12</v>
      </c>
      <c r="B20" s="1695" t="s">
        <v>8665</v>
      </c>
      <c r="C20" s="1696" t="s">
        <v>7798</v>
      </c>
      <c r="D20" s="1578">
        <v>0</v>
      </c>
      <c r="E20" s="1697">
        <v>0</v>
      </c>
      <c r="F20" s="1578">
        <v>0</v>
      </c>
      <c r="G20" s="1697">
        <v>0</v>
      </c>
      <c r="H20" s="1578">
        <v>0</v>
      </c>
      <c r="I20" s="1697">
        <v>0</v>
      </c>
      <c r="J20" s="1578">
        <v>17</v>
      </c>
      <c r="K20" s="1578">
        <v>20</v>
      </c>
      <c r="L20" s="1697">
        <v>10000</v>
      </c>
      <c r="M20" s="1578">
        <v>0</v>
      </c>
      <c r="N20" s="1698">
        <v>500</v>
      </c>
      <c r="O20" s="1698">
        <f t="shared" si="0"/>
        <v>0</v>
      </c>
      <c r="P20" s="1699">
        <v>0</v>
      </c>
      <c r="Q20" s="1698">
        <f t="shared" si="1"/>
        <v>0</v>
      </c>
      <c r="R20" s="1699">
        <v>0</v>
      </c>
      <c r="S20" s="1698">
        <f t="shared" si="2"/>
        <v>0</v>
      </c>
      <c r="T20" s="1699">
        <v>0</v>
      </c>
      <c r="U20" s="1698">
        <f t="shared" si="3"/>
        <v>0</v>
      </c>
      <c r="V20" s="1699">
        <v>0</v>
      </c>
      <c r="W20" s="1698">
        <f t="shared" si="4"/>
        <v>0</v>
      </c>
      <c r="X20" s="1700">
        <f t="shared" si="5"/>
        <v>0</v>
      </c>
      <c r="Y20" s="1701">
        <f t="shared" si="5"/>
        <v>0</v>
      </c>
      <c r="Z20" s="1702" t="s">
        <v>7799</v>
      </c>
      <c r="AA20" s="1703" t="s">
        <v>6527</v>
      </c>
      <c r="AB20" s="1704"/>
      <c r="AC20" s="1388" t="str">
        <f t="shared" si="6"/>
        <v>ok</v>
      </c>
    </row>
    <row r="21" spans="1:29" ht="21" x14ac:dyDescent="0.6">
      <c r="A21" s="1694">
        <v>13</v>
      </c>
      <c r="B21" s="1695" t="s">
        <v>8666</v>
      </c>
      <c r="C21" s="1696" t="s">
        <v>7816</v>
      </c>
      <c r="D21" s="1578">
        <v>45</v>
      </c>
      <c r="E21" s="1697">
        <v>19125</v>
      </c>
      <c r="F21" s="1578">
        <v>30</v>
      </c>
      <c r="G21" s="1697">
        <v>12750</v>
      </c>
      <c r="H21" s="1578">
        <v>24</v>
      </c>
      <c r="I21" s="1697">
        <v>10200</v>
      </c>
      <c r="J21" s="1578">
        <v>50</v>
      </c>
      <c r="K21" s="1578">
        <v>2</v>
      </c>
      <c r="L21" s="1697">
        <v>850</v>
      </c>
      <c r="M21" s="1578">
        <f t="shared" ref="M21:M26" si="7">J21-K21</f>
        <v>48</v>
      </c>
      <c r="N21" s="1698">
        <v>460</v>
      </c>
      <c r="O21" s="1698">
        <f t="shared" si="0"/>
        <v>22080</v>
      </c>
      <c r="P21" s="1699">
        <v>8</v>
      </c>
      <c r="Q21" s="1698">
        <f t="shared" si="1"/>
        <v>3680</v>
      </c>
      <c r="R21" s="1699">
        <v>20</v>
      </c>
      <c r="S21" s="1698">
        <f t="shared" si="2"/>
        <v>9200</v>
      </c>
      <c r="T21" s="1699">
        <v>10</v>
      </c>
      <c r="U21" s="1698">
        <f t="shared" si="3"/>
        <v>4600</v>
      </c>
      <c r="V21" s="1699">
        <v>10</v>
      </c>
      <c r="W21" s="1698">
        <f t="shared" si="4"/>
        <v>4600</v>
      </c>
      <c r="X21" s="1700">
        <f t="shared" si="5"/>
        <v>48</v>
      </c>
      <c r="Y21" s="1701">
        <f t="shared" si="5"/>
        <v>22080</v>
      </c>
      <c r="Z21" s="1702" t="s">
        <v>7799</v>
      </c>
      <c r="AA21" s="1703" t="s">
        <v>6527</v>
      </c>
      <c r="AB21" s="1704"/>
      <c r="AC21" s="1388" t="str">
        <f t="shared" si="6"/>
        <v>ok</v>
      </c>
    </row>
    <row r="22" spans="1:29" ht="21" x14ac:dyDescent="0.6">
      <c r="A22" s="1712">
        <v>14</v>
      </c>
      <c r="B22" s="1713" t="s">
        <v>8667</v>
      </c>
      <c r="C22" s="1714" t="s">
        <v>7816</v>
      </c>
      <c r="D22" s="1715">
        <v>2</v>
      </c>
      <c r="E22" s="1716">
        <v>1400</v>
      </c>
      <c r="F22" s="1715">
        <v>4</v>
      </c>
      <c r="G22" s="1716">
        <v>2800</v>
      </c>
      <c r="H22" s="1715">
        <v>0</v>
      </c>
      <c r="I22" s="1716">
        <v>0</v>
      </c>
      <c r="J22" s="1715">
        <v>3</v>
      </c>
      <c r="K22" s="1715">
        <v>2</v>
      </c>
      <c r="L22" s="1716">
        <v>1038</v>
      </c>
      <c r="M22" s="1715">
        <f t="shared" si="7"/>
        <v>1</v>
      </c>
      <c r="N22" s="1717">
        <v>700</v>
      </c>
      <c r="O22" s="1717">
        <f t="shared" si="0"/>
        <v>700</v>
      </c>
      <c r="P22" s="1718">
        <v>0</v>
      </c>
      <c r="Q22" s="1717">
        <f t="shared" si="1"/>
        <v>0</v>
      </c>
      <c r="R22" s="1718">
        <v>0</v>
      </c>
      <c r="S22" s="1717">
        <f t="shared" si="2"/>
        <v>0</v>
      </c>
      <c r="T22" s="1718">
        <v>1</v>
      </c>
      <c r="U22" s="1717">
        <f t="shared" si="3"/>
        <v>700</v>
      </c>
      <c r="V22" s="1718">
        <v>0</v>
      </c>
      <c r="W22" s="1717">
        <f t="shared" si="4"/>
        <v>0</v>
      </c>
      <c r="X22" s="1718">
        <f t="shared" si="5"/>
        <v>1</v>
      </c>
      <c r="Y22" s="1717">
        <f t="shared" si="5"/>
        <v>700</v>
      </c>
      <c r="Z22" s="1719" t="s">
        <v>7799</v>
      </c>
      <c r="AA22" s="1720" t="s">
        <v>6527</v>
      </c>
      <c r="AB22" s="1704"/>
      <c r="AC22" s="1388" t="str">
        <f t="shared" si="6"/>
        <v>ok</v>
      </c>
    </row>
    <row r="23" spans="1:29" ht="21" x14ac:dyDescent="0.6">
      <c r="A23" s="1705">
        <v>15</v>
      </c>
      <c r="B23" s="1706" t="s">
        <v>8668</v>
      </c>
      <c r="C23" s="1707" t="s">
        <v>7798</v>
      </c>
      <c r="D23" s="1708">
        <v>1</v>
      </c>
      <c r="E23" s="1709">
        <v>750</v>
      </c>
      <c r="F23" s="1708">
        <v>0</v>
      </c>
      <c r="G23" s="1709">
        <v>0</v>
      </c>
      <c r="H23" s="1708">
        <v>0</v>
      </c>
      <c r="I23" s="1709">
        <v>0</v>
      </c>
      <c r="J23" s="1708">
        <v>6</v>
      </c>
      <c r="K23" s="1708">
        <v>3</v>
      </c>
      <c r="L23" s="1709">
        <v>6000</v>
      </c>
      <c r="M23" s="1708">
        <f t="shared" si="7"/>
        <v>3</v>
      </c>
      <c r="N23" s="1710">
        <v>750</v>
      </c>
      <c r="O23" s="1710">
        <f t="shared" si="0"/>
        <v>2250</v>
      </c>
      <c r="P23" s="1711">
        <v>3</v>
      </c>
      <c r="Q23" s="1710">
        <f t="shared" si="1"/>
        <v>2250</v>
      </c>
      <c r="R23" s="1711">
        <v>0</v>
      </c>
      <c r="S23" s="1710">
        <f t="shared" si="2"/>
        <v>0</v>
      </c>
      <c r="T23" s="1711">
        <v>0</v>
      </c>
      <c r="U23" s="1710">
        <f t="shared" si="3"/>
        <v>0</v>
      </c>
      <c r="V23" s="1711">
        <v>0</v>
      </c>
      <c r="W23" s="1710">
        <f t="shared" si="4"/>
        <v>0</v>
      </c>
      <c r="X23" s="1711">
        <f t="shared" si="5"/>
        <v>3</v>
      </c>
      <c r="Y23" s="1710">
        <f t="shared" si="5"/>
        <v>2250</v>
      </c>
      <c r="Z23" s="1719" t="s">
        <v>7799</v>
      </c>
      <c r="AA23" s="1720" t="s">
        <v>6527</v>
      </c>
      <c r="AB23" s="1704"/>
      <c r="AC23" s="1388" t="str">
        <f t="shared" si="6"/>
        <v>ok</v>
      </c>
    </row>
    <row r="24" spans="1:29" ht="21" x14ac:dyDescent="0.6">
      <c r="A24" s="1712">
        <v>16</v>
      </c>
      <c r="B24" s="1713" t="s">
        <v>8669</v>
      </c>
      <c r="C24" s="1714" t="s">
        <v>7798</v>
      </c>
      <c r="D24" s="1715">
        <v>0</v>
      </c>
      <c r="E24" s="1716">
        <v>0</v>
      </c>
      <c r="F24" s="1715">
        <v>0</v>
      </c>
      <c r="G24" s="1716">
        <v>0</v>
      </c>
      <c r="H24" s="1715">
        <v>0</v>
      </c>
      <c r="I24" s="1716">
        <v>0</v>
      </c>
      <c r="J24" s="1715">
        <v>0</v>
      </c>
      <c r="K24" s="1715">
        <v>0</v>
      </c>
      <c r="L24" s="1716">
        <v>0</v>
      </c>
      <c r="M24" s="1715">
        <f t="shared" si="7"/>
        <v>0</v>
      </c>
      <c r="N24" s="1717">
        <v>1275</v>
      </c>
      <c r="O24" s="1717">
        <f t="shared" si="0"/>
        <v>0</v>
      </c>
      <c r="P24" s="1718">
        <v>0</v>
      </c>
      <c r="Q24" s="1717">
        <f t="shared" si="1"/>
        <v>0</v>
      </c>
      <c r="R24" s="1718">
        <v>0</v>
      </c>
      <c r="S24" s="1717">
        <f t="shared" si="2"/>
        <v>0</v>
      </c>
      <c r="T24" s="1718">
        <v>0</v>
      </c>
      <c r="U24" s="1717">
        <f t="shared" si="3"/>
        <v>0</v>
      </c>
      <c r="V24" s="1718">
        <v>0</v>
      </c>
      <c r="W24" s="1717">
        <f t="shared" si="4"/>
        <v>0</v>
      </c>
      <c r="X24" s="1718">
        <f t="shared" si="5"/>
        <v>0</v>
      </c>
      <c r="Y24" s="1717">
        <f t="shared" si="5"/>
        <v>0</v>
      </c>
      <c r="Z24" s="1719" t="s">
        <v>7799</v>
      </c>
      <c r="AA24" s="1720" t="s">
        <v>6527</v>
      </c>
      <c r="AB24" s="1704"/>
      <c r="AC24" s="1388" t="str">
        <f t="shared" si="6"/>
        <v>ok</v>
      </c>
    </row>
    <row r="25" spans="1:29" ht="21" x14ac:dyDescent="0.6">
      <c r="A25" s="1712">
        <v>17</v>
      </c>
      <c r="B25" s="1713" t="s">
        <v>8670</v>
      </c>
      <c r="C25" s="1714" t="s">
        <v>7798</v>
      </c>
      <c r="D25" s="1715">
        <v>0</v>
      </c>
      <c r="E25" s="1716">
        <v>0</v>
      </c>
      <c r="F25" s="1715">
        <v>0</v>
      </c>
      <c r="G25" s="1716">
        <v>0</v>
      </c>
      <c r="H25" s="1715">
        <v>0</v>
      </c>
      <c r="I25" s="1716">
        <v>0</v>
      </c>
      <c r="J25" s="1715">
        <v>0</v>
      </c>
      <c r="K25" s="1715">
        <v>0</v>
      </c>
      <c r="L25" s="1716">
        <v>0</v>
      </c>
      <c r="M25" s="1715">
        <f t="shared" si="7"/>
        <v>0</v>
      </c>
      <c r="N25" s="1717">
        <v>1275</v>
      </c>
      <c r="O25" s="1717">
        <f t="shared" si="0"/>
        <v>0</v>
      </c>
      <c r="P25" s="1718">
        <v>0</v>
      </c>
      <c r="Q25" s="1717">
        <f t="shared" si="1"/>
        <v>0</v>
      </c>
      <c r="R25" s="1718">
        <v>0</v>
      </c>
      <c r="S25" s="1717">
        <f t="shared" si="2"/>
        <v>0</v>
      </c>
      <c r="T25" s="1718">
        <v>0</v>
      </c>
      <c r="U25" s="1717">
        <f t="shared" si="3"/>
        <v>0</v>
      </c>
      <c r="V25" s="1718">
        <v>0</v>
      </c>
      <c r="W25" s="1717">
        <f t="shared" si="4"/>
        <v>0</v>
      </c>
      <c r="X25" s="1718">
        <f t="shared" si="5"/>
        <v>0</v>
      </c>
      <c r="Y25" s="1717">
        <f t="shared" si="5"/>
        <v>0</v>
      </c>
      <c r="Z25" s="1719" t="s">
        <v>7799</v>
      </c>
      <c r="AA25" s="1720" t="s">
        <v>6527</v>
      </c>
      <c r="AB25" s="1704"/>
      <c r="AC25" s="1388" t="str">
        <f t="shared" si="6"/>
        <v>ok</v>
      </c>
    </row>
    <row r="26" spans="1:29" ht="21" x14ac:dyDescent="0.6">
      <c r="A26" s="1712">
        <v>18</v>
      </c>
      <c r="B26" s="1713" t="s">
        <v>8671</v>
      </c>
      <c r="C26" s="1714" t="s">
        <v>7798</v>
      </c>
      <c r="D26" s="1715">
        <v>0</v>
      </c>
      <c r="E26" s="1716">
        <v>0</v>
      </c>
      <c r="F26" s="1715">
        <v>0</v>
      </c>
      <c r="G26" s="1716">
        <v>0</v>
      </c>
      <c r="H26" s="1715">
        <v>0</v>
      </c>
      <c r="I26" s="1716">
        <v>0</v>
      </c>
      <c r="J26" s="1715">
        <v>1</v>
      </c>
      <c r="K26" s="1715">
        <v>0</v>
      </c>
      <c r="L26" s="1716">
        <v>0</v>
      </c>
      <c r="M26" s="1715">
        <f t="shared" si="7"/>
        <v>1</v>
      </c>
      <c r="N26" s="1717">
        <v>500</v>
      </c>
      <c r="O26" s="1717">
        <f t="shared" si="0"/>
        <v>500</v>
      </c>
      <c r="P26" s="1718">
        <v>1</v>
      </c>
      <c r="Q26" s="1717">
        <f t="shared" si="1"/>
        <v>500</v>
      </c>
      <c r="R26" s="1718">
        <v>0</v>
      </c>
      <c r="S26" s="1717">
        <f t="shared" si="2"/>
        <v>0</v>
      </c>
      <c r="T26" s="1718">
        <v>0</v>
      </c>
      <c r="U26" s="1717">
        <f t="shared" si="3"/>
        <v>0</v>
      </c>
      <c r="V26" s="1718">
        <v>0</v>
      </c>
      <c r="W26" s="1717">
        <f t="shared" si="4"/>
        <v>0</v>
      </c>
      <c r="X26" s="1718">
        <f t="shared" si="5"/>
        <v>1</v>
      </c>
      <c r="Y26" s="1717">
        <f t="shared" si="5"/>
        <v>500</v>
      </c>
      <c r="Z26" s="1719" t="s">
        <v>7799</v>
      </c>
      <c r="AA26" s="1720" t="s">
        <v>6527</v>
      </c>
      <c r="AB26" s="1704"/>
      <c r="AC26" s="1388" t="str">
        <f t="shared" si="6"/>
        <v>ok</v>
      </c>
    </row>
    <row r="27" spans="1:29" ht="21" x14ac:dyDescent="0.6">
      <c r="A27" s="1712">
        <v>19</v>
      </c>
      <c r="B27" s="1713" t="s">
        <v>8672</v>
      </c>
      <c r="C27" s="1714" t="s">
        <v>7798</v>
      </c>
      <c r="D27" s="1715">
        <v>0</v>
      </c>
      <c r="E27" s="1716">
        <v>0</v>
      </c>
      <c r="F27" s="1715">
        <v>0</v>
      </c>
      <c r="G27" s="1716">
        <v>0</v>
      </c>
      <c r="H27" s="1715">
        <v>0</v>
      </c>
      <c r="I27" s="1716">
        <v>0</v>
      </c>
      <c r="J27" s="1715">
        <v>2</v>
      </c>
      <c r="K27" s="1715">
        <v>6</v>
      </c>
      <c r="L27" s="1716">
        <v>6600</v>
      </c>
      <c r="M27" s="1715">
        <v>0</v>
      </c>
      <c r="N27" s="1717">
        <v>1100</v>
      </c>
      <c r="O27" s="1717">
        <f t="shared" si="0"/>
        <v>0</v>
      </c>
      <c r="P27" s="1718">
        <v>0</v>
      </c>
      <c r="Q27" s="1717">
        <f t="shared" si="1"/>
        <v>0</v>
      </c>
      <c r="R27" s="1718">
        <v>0</v>
      </c>
      <c r="S27" s="1717">
        <f t="shared" si="2"/>
        <v>0</v>
      </c>
      <c r="T27" s="1718">
        <v>0</v>
      </c>
      <c r="U27" s="1717">
        <f t="shared" si="3"/>
        <v>0</v>
      </c>
      <c r="V27" s="1718">
        <v>0</v>
      </c>
      <c r="W27" s="1717">
        <f t="shared" si="4"/>
        <v>0</v>
      </c>
      <c r="X27" s="1718">
        <f t="shared" si="5"/>
        <v>0</v>
      </c>
      <c r="Y27" s="1717">
        <f t="shared" si="5"/>
        <v>0</v>
      </c>
      <c r="Z27" s="1719" t="s">
        <v>7799</v>
      </c>
      <c r="AA27" s="1720" t="s">
        <v>6527</v>
      </c>
      <c r="AB27" s="1704"/>
      <c r="AC27" s="1388" t="str">
        <f t="shared" si="6"/>
        <v>ok</v>
      </c>
    </row>
    <row r="28" spans="1:29" ht="21" x14ac:dyDescent="0.6">
      <c r="A28" s="1712">
        <v>20</v>
      </c>
      <c r="B28" s="1713" t="s">
        <v>8673</v>
      </c>
      <c r="C28" s="1714" t="s">
        <v>7798</v>
      </c>
      <c r="D28" s="1715">
        <v>0</v>
      </c>
      <c r="E28" s="1716">
        <v>0</v>
      </c>
      <c r="F28" s="1715">
        <v>0</v>
      </c>
      <c r="G28" s="1716">
        <v>0</v>
      </c>
      <c r="H28" s="1715">
        <v>0</v>
      </c>
      <c r="I28" s="1716">
        <v>0</v>
      </c>
      <c r="J28" s="1715">
        <v>10</v>
      </c>
      <c r="K28" s="1715">
        <v>0</v>
      </c>
      <c r="L28" s="1716">
        <v>0</v>
      </c>
      <c r="M28" s="1715">
        <f>J28-K28</f>
        <v>10</v>
      </c>
      <c r="N28" s="1717">
        <v>750</v>
      </c>
      <c r="O28" s="1717">
        <f t="shared" si="0"/>
        <v>7500</v>
      </c>
      <c r="P28" s="1718">
        <v>10</v>
      </c>
      <c r="Q28" s="1717">
        <f t="shared" si="1"/>
        <v>7500</v>
      </c>
      <c r="R28" s="1718">
        <v>0</v>
      </c>
      <c r="S28" s="1717">
        <f t="shared" si="2"/>
        <v>0</v>
      </c>
      <c r="T28" s="1718">
        <v>0</v>
      </c>
      <c r="U28" s="1717">
        <f t="shared" si="3"/>
        <v>0</v>
      </c>
      <c r="V28" s="1718">
        <v>0</v>
      </c>
      <c r="W28" s="1717">
        <f t="shared" si="4"/>
        <v>0</v>
      </c>
      <c r="X28" s="1718">
        <f t="shared" si="5"/>
        <v>10</v>
      </c>
      <c r="Y28" s="1717">
        <f t="shared" si="5"/>
        <v>7500</v>
      </c>
      <c r="Z28" s="1719" t="s">
        <v>7799</v>
      </c>
      <c r="AA28" s="1720" t="s">
        <v>6527</v>
      </c>
      <c r="AB28" s="1704"/>
      <c r="AC28" s="1388" t="str">
        <f t="shared" si="6"/>
        <v>ok</v>
      </c>
    </row>
    <row r="29" spans="1:29" ht="21" x14ac:dyDescent="0.6">
      <c r="A29" s="1712">
        <v>21</v>
      </c>
      <c r="B29" s="1713" t="s">
        <v>8674</v>
      </c>
      <c r="C29" s="1714" t="s">
        <v>7798</v>
      </c>
      <c r="D29" s="1715">
        <v>0</v>
      </c>
      <c r="E29" s="1716">
        <v>0</v>
      </c>
      <c r="F29" s="1715">
        <v>1</v>
      </c>
      <c r="G29" s="1716">
        <v>90</v>
      </c>
      <c r="H29" s="1715">
        <v>0</v>
      </c>
      <c r="I29" s="1716">
        <v>0</v>
      </c>
      <c r="J29" s="1715">
        <v>0</v>
      </c>
      <c r="K29" s="1715">
        <v>1</v>
      </c>
      <c r="L29" s="1716">
        <v>90</v>
      </c>
      <c r="M29" s="1715">
        <v>0</v>
      </c>
      <c r="N29" s="1717">
        <v>90</v>
      </c>
      <c r="O29" s="1717">
        <f t="shared" si="0"/>
        <v>0</v>
      </c>
      <c r="P29" s="1718">
        <v>0</v>
      </c>
      <c r="Q29" s="1717">
        <f t="shared" si="1"/>
        <v>0</v>
      </c>
      <c r="R29" s="1718">
        <v>0</v>
      </c>
      <c r="S29" s="1717">
        <f t="shared" si="2"/>
        <v>0</v>
      </c>
      <c r="T29" s="1718">
        <v>0</v>
      </c>
      <c r="U29" s="1717">
        <f t="shared" si="3"/>
        <v>0</v>
      </c>
      <c r="V29" s="1718">
        <v>0</v>
      </c>
      <c r="W29" s="1717">
        <f t="shared" si="4"/>
        <v>0</v>
      </c>
      <c r="X29" s="1718">
        <f t="shared" si="5"/>
        <v>0</v>
      </c>
      <c r="Y29" s="1717">
        <f t="shared" si="5"/>
        <v>0</v>
      </c>
      <c r="Z29" s="1719" t="s">
        <v>7799</v>
      </c>
      <c r="AA29" s="1720" t="s">
        <v>6527</v>
      </c>
      <c r="AB29" s="1704"/>
      <c r="AC29" s="1388" t="str">
        <f t="shared" si="6"/>
        <v>ok</v>
      </c>
    </row>
    <row r="30" spans="1:29" ht="21" x14ac:dyDescent="0.6">
      <c r="A30" s="1712">
        <v>22</v>
      </c>
      <c r="B30" s="1713" t="s">
        <v>8675</v>
      </c>
      <c r="C30" s="1714" t="s">
        <v>7798</v>
      </c>
      <c r="D30" s="1715">
        <v>2</v>
      </c>
      <c r="E30" s="1716">
        <v>500</v>
      </c>
      <c r="F30" s="1715">
        <v>2</v>
      </c>
      <c r="G30" s="1716">
        <v>500</v>
      </c>
      <c r="H30" s="1715">
        <v>0</v>
      </c>
      <c r="I30" s="1716">
        <v>0</v>
      </c>
      <c r="J30" s="1715">
        <v>0</v>
      </c>
      <c r="K30" s="1715">
        <v>2</v>
      </c>
      <c r="L30" s="1716">
        <v>500</v>
      </c>
      <c r="M30" s="1715">
        <v>0</v>
      </c>
      <c r="N30" s="1717">
        <v>250</v>
      </c>
      <c r="O30" s="1717">
        <f t="shared" si="0"/>
        <v>0</v>
      </c>
      <c r="P30" s="1718">
        <v>0</v>
      </c>
      <c r="Q30" s="1717">
        <f t="shared" si="1"/>
        <v>0</v>
      </c>
      <c r="R30" s="1718">
        <v>0</v>
      </c>
      <c r="S30" s="1717">
        <f t="shared" si="2"/>
        <v>0</v>
      </c>
      <c r="T30" s="1718">
        <v>0</v>
      </c>
      <c r="U30" s="1717">
        <f t="shared" si="3"/>
        <v>0</v>
      </c>
      <c r="V30" s="1718">
        <v>0</v>
      </c>
      <c r="W30" s="1717">
        <f t="shared" si="4"/>
        <v>0</v>
      </c>
      <c r="X30" s="1718">
        <f t="shared" si="5"/>
        <v>0</v>
      </c>
      <c r="Y30" s="1717">
        <f t="shared" si="5"/>
        <v>0</v>
      </c>
      <c r="Z30" s="1719" t="s">
        <v>7799</v>
      </c>
      <c r="AA30" s="1720" t="s">
        <v>6527</v>
      </c>
      <c r="AB30" s="1704"/>
      <c r="AC30" s="1388" t="str">
        <f t="shared" si="6"/>
        <v>ok</v>
      </c>
    </row>
    <row r="31" spans="1:29" ht="21" x14ac:dyDescent="0.6">
      <c r="A31" s="1712">
        <v>23</v>
      </c>
      <c r="B31" s="1713" t="s">
        <v>8676</v>
      </c>
      <c r="C31" s="1714" t="s">
        <v>7798</v>
      </c>
      <c r="D31" s="1715">
        <v>0</v>
      </c>
      <c r="E31" s="1716">
        <v>0</v>
      </c>
      <c r="F31" s="1715">
        <v>0</v>
      </c>
      <c r="G31" s="1716">
        <v>0</v>
      </c>
      <c r="H31" s="1715">
        <v>0</v>
      </c>
      <c r="I31" s="1716">
        <v>0</v>
      </c>
      <c r="J31" s="1715">
        <v>0</v>
      </c>
      <c r="K31" s="1715">
        <v>1</v>
      </c>
      <c r="L31" s="1716">
        <v>350</v>
      </c>
      <c r="M31" s="1715">
        <v>0</v>
      </c>
      <c r="N31" s="1717">
        <v>350</v>
      </c>
      <c r="O31" s="1717">
        <f t="shared" si="0"/>
        <v>0</v>
      </c>
      <c r="P31" s="1718">
        <v>0</v>
      </c>
      <c r="Q31" s="1717">
        <f t="shared" si="1"/>
        <v>0</v>
      </c>
      <c r="R31" s="1718">
        <v>0</v>
      </c>
      <c r="S31" s="1717">
        <f t="shared" si="2"/>
        <v>0</v>
      </c>
      <c r="T31" s="1718">
        <v>0</v>
      </c>
      <c r="U31" s="1717">
        <f t="shared" si="3"/>
        <v>0</v>
      </c>
      <c r="V31" s="1718">
        <v>0</v>
      </c>
      <c r="W31" s="1717">
        <f t="shared" si="4"/>
        <v>0</v>
      </c>
      <c r="X31" s="1718">
        <f t="shared" si="5"/>
        <v>0</v>
      </c>
      <c r="Y31" s="1717">
        <f t="shared" si="5"/>
        <v>0</v>
      </c>
      <c r="Z31" s="1719" t="s">
        <v>7799</v>
      </c>
      <c r="AA31" s="1720" t="s">
        <v>6527</v>
      </c>
      <c r="AB31" s="1704"/>
      <c r="AC31" s="1388" t="str">
        <f t="shared" si="6"/>
        <v>ok</v>
      </c>
    </row>
    <row r="32" spans="1:29" ht="21" x14ac:dyDescent="0.6">
      <c r="A32" s="1712">
        <v>24</v>
      </c>
      <c r="B32" s="1713" t="s">
        <v>8677</v>
      </c>
      <c r="C32" s="1714" t="s">
        <v>8678</v>
      </c>
      <c r="D32" s="1715">
        <v>0</v>
      </c>
      <c r="E32" s="1716">
        <v>0</v>
      </c>
      <c r="F32" s="1715">
        <v>0</v>
      </c>
      <c r="G32" s="1716">
        <v>0</v>
      </c>
      <c r="H32" s="1715">
        <v>1</v>
      </c>
      <c r="I32" s="1716">
        <v>280</v>
      </c>
      <c r="J32" s="1715">
        <v>1</v>
      </c>
      <c r="K32" s="1715">
        <v>0</v>
      </c>
      <c r="L32" s="1716">
        <v>0</v>
      </c>
      <c r="M32" s="1715">
        <f>J32-K32</f>
        <v>1</v>
      </c>
      <c r="N32" s="1717">
        <v>280</v>
      </c>
      <c r="O32" s="1717">
        <f t="shared" si="0"/>
        <v>280</v>
      </c>
      <c r="P32" s="1718">
        <v>0</v>
      </c>
      <c r="Q32" s="1717">
        <f t="shared" si="1"/>
        <v>0</v>
      </c>
      <c r="R32" s="1718">
        <v>0</v>
      </c>
      <c r="S32" s="1717">
        <f t="shared" si="2"/>
        <v>0</v>
      </c>
      <c r="T32" s="1718">
        <v>0</v>
      </c>
      <c r="U32" s="1717">
        <f t="shared" si="3"/>
        <v>0</v>
      </c>
      <c r="V32" s="1718">
        <v>1</v>
      </c>
      <c r="W32" s="1717">
        <f t="shared" si="4"/>
        <v>280</v>
      </c>
      <c r="X32" s="1718">
        <f t="shared" si="5"/>
        <v>1</v>
      </c>
      <c r="Y32" s="1717">
        <f t="shared" si="5"/>
        <v>280</v>
      </c>
      <c r="Z32" s="1719" t="s">
        <v>7799</v>
      </c>
      <c r="AA32" s="1720" t="s">
        <v>6527</v>
      </c>
      <c r="AB32" s="1704"/>
      <c r="AC32" s="1388" t="str">
        <f t="shared" si="6"/>
        <v>ok</v>
      </c>
    </row>
    <row r="33" spans="1:29" ht="21" x14ac:dyDescent="0.6">
      <c r="A33" s="1712">
        <v>25</v>
      </c>
      <c r="B33" s="1713" t="s">
        <v>8679</v>
      </c>
      <c r="C33" s="1714" t="s">
        <v>7798</v>
      </c>
      <c r="D33" s="1715">
        <v>0</v>
      </c>
      <c r="E33" s="1716">
        <v>0</v>
      </c>
      <c r="F33" s="1715">
        <v>0</v>
      </c>
      <c r="G33" s="1716">
        <v>0</v>
      </c>
      <c r="H33" s="1715">
        <v>0</v>
      </c>
      <c r="I33" s="1716">
        <v>0</v>
      </c>
      <c r="J33" s="1715">
        <v>0</v>
      </c>
      <c r="K33" s="1715">
        <v>2</v>
      </c>
      <c r="L33" s="1716">
        <v>560</v>
      </c>
      <c r="M33" s="1715">
        <v>0</v>
      </c>
      <c r="N33" s="1717">
        <v>280</v>
      </c>
      <c r="O33" s="1717">
        <f t="shared" si="0"/>
        <v>0</v>
      </c>
      <c r="P33" s="1718">
        <v>0</v>
      </c>
      <c r="Q33" s="1717">
        <f t="shared" si="1"/>
        <v>0</v>
      </c>
      <c r="R33" s="1718">
        <v>0</v>
      </c>
      <c r="S33" s="1717">
        <f t="shared" si="2"/>
        <v>0</v>
      </c>
      <c r="T33" s="1718">
        <v>0</v>
      </c>
      <c r="U33" s="1717">
        <f t="shared" si="3"/>
        <v>0</v>
      </c>
      <c r="V33" s="1718">
        <v>0</v>
      </c>
      <c r="W33" s="1717">
        <f t="shared" si="4"/>
        <v>0</v>
      </c>
      <c r="X33" s="1718">
        <f t="shared" si="5"/>
        <v>0</v>
      </c>
      <c r="Y33" s="1717">
        <f t="shared" si="5"/>
        <v>0</v>
      </c>
      <c r="Z33" s="1719" t="s">
        <v>7799</v>
      </c>
      <c r="AA33" s="1720" t="s">
        <v>6527</v>
      </c>
      <c r="AB33" s="1704"/>
      <c r="AC33" s="1388" t="str">
        <f t="shared" si="6"/>
        <v>ok</v>
      </c>
    </row>
    <row r="34" spans="1:29" ht="21" x14ac:dyDescent="0.6">
      <c r="A34" s="1705">
        <v>26</v>
      </c>
      <c r="B34" s="1706" t="s">
        <v>8680</v>
      </c>
      <c r="C34" s="1707" t="s">
        <v>7798</v>
      </c>
      <c r="D34" s="1708">
        <v>0</v>
      </c>
      <c r="E34" s="1709">
        <v>0</v>
      </c>
      <c r="F34" s="1708">
        <v>1</v>
      </c>
      <c r="G34" s="1709">
        <v>1700</v>
      </c>
      <c r="H34" s="1708">
        <v>0</v>
      </c>
      <c r="I34" s="1709">
        <v>0</v>
      </c>
      <c r="J34" s="1708">
        <v>1</v>
      </c>
      <c r="K34" s="1708">
        <v>1</v>
      </c>
      <c r="L34" s="1709">
        <v>550</v>
      </c>
      <c r="M34" s="1708">
        <f>J34-K34</f>
        <v>0</v>
      </c>
      <c r="N34" s="1710">
        <v>550</v>
      </c>
      <c r="O34" s="1710">
        <f t="shared" si="0"/>
        <v>0</v>
      </c>
      <c r="P34" s="1711">
        <v>0</v>
      </c>
      <c r="Q34" s="1710">
        <f t="shared" si="1"/>
        <v>0</v>
      </c>
      <c r="R34" s="1711">
        <v>0</v>
      </c>
      <c r="S34" s="1710">
        <f t="shared" si="2"/>
        <v>0</v>
      </c>
      <c r="T34" s="1711">
        <v>0</v>
      </c>
      <c r="U34" s="1710">
        <f t="shared" si="3"/>
        <v>0</v>
      </c>
      <c r="V34" s="1711">
        <v>0</v>
      </c>
      <c r="W34" s="1710">
        <f t="shared" si="4"/>
        <v>0</v>
      </c>
      <c r="X34" s="1711">
        <f t="shared" si="5"/>
        <v>0</v>
      </c>
      <c r="Y34" s="1710">
        <f t="shared" si="5"/>
        <v>0</v>
      </c>
      <c r="Z34" s="1719" t="s">
        <v>7799</v>
      </c>
      <c r="AA34" s="1720" t="s">
        <v>6527</v>
      </c>
      <c r="AB34" s="1704"/>
      <c r="AC34" s="1388" t="str">
        <f t="shared" si="6"/>
        <v>ok</v>
      </c>
    </row>
    <row r="35" spans="1:29" ht="21" x14ac:dyDescent="0.6">
      <c r="A35" s="1705">
        <v>27</v>
      </c>
      <c r="B35" s="1706" t="s">
        <v>8681</v>
      </c>
      <c r="C35" s="1707" t="s">
        <v>7798</v>
      </c>
      <c r="D35" s="1708">
        <v>0</v>
      </c>
      <c r="E35" s="1709">
        <v>0</v>
      </c>
      <c r="F35" s="1708">
        <v>1</v>
      </c>
      <c r="G35" s="1709">
        <v>1700</v>
      </c>
      <c r="H35" s="1708">
        <v>0</v>
      </c>
      <c r="I35" s="1709">
        <v>0</v>
      </c>
      <c r="J35" s="1708">
        <v>1</v>
      </c>
      <c r="K35" s="1708">
        <v>1</v>
      </c>
      <c r="L35" s="1709">
        <v>550</v>
      </c>
      <c r="M35" s="1708">
        <f>J35-K35</f>
        <v>0</v>
      </c>
      <c r="N35" s="1710">
        <v>550</v>
      </c>
      <c r="O35" s="1710">
        <f t="shared" si="0"/>
        <v>0</v>
      </c>
      <c r="P35" s="1711">
        <v>0</v>
      </c>
      <c r="Q35" s="1710">
        <f t="shared" si="1"/>
        <v>0</v>
      </c>
      <c r="R35" s="1711">
        <v>0</v>
      </c>
      <c r="S35" s="1710">
        <f t="shared" si="2"/>
        <v>0</v>
      </c>
      <c r="T35" s="1711">
        <v>0</v>
      </c>
      <c r="U35" s="1710">
        <f t="shared" si="3"/>
        <v>0</v>
      </c>
      <c r="V35" s="1711">
        <v>0</v>
      </c>
      <c r="W35" s="1710">
        <f t="shared" si="4"/>
        <v>0</v>
      </c>
      <c r="X35" s="1711">
        <f t="shared" si="5"/>
        <v>0</v>
      </c>
      <c r="Y35" s="1710">
        <f t="shared" si="5"/>
        <v>0</v>
      </c>
      <c r="Z35" s="1719" t="s">
        <v>7799</v>
      </c>
      <c r="AA35" s="1720" t="s">
        <v>6527</v>
      </c>
      <c r="AB35" s="1704"/>
      <c r="AC35" s="1388" t="str">
        <f t="shared" si="6"/>
        <v>ok</v>
      </c>
    </row>
    <row r="36" spans="1:29" ht="21" x14ac:dyDescent="0.6">
      <c r="A36" s="1712">
        <v>28</v>
      </c>
      <c r="B36" s="1713" t="s">
        <v>8682</v>
      </c>
      <c r="C36" s="1714" t="s">
        <v>7798</v>
      </c>
      <c r="D36" s="1715">
        <v>0</v>
      </c>
      <c r="E36" s="1716">
        <v>0</v>
      </c>
      <c r="F36" s="1715">
        <v>0</v>
      </c>
      <c r="G36" s="1716">
        <v>0</v>
      </c>
      <c r="H36" s="1715">
        <v>0</v>
      </c>
      <c r="I36" s="1716">
        <v>0</v>
      </c>
      <c r="J36" s="1715">
        <v>0</v>
      </c>
      <c r="K36" s="1715">
        <v>1</v>
      </c>
      <c r="L36" s="1716">
        <v>500</v>
      </c>
      <c r="M36" s="1715">
        <v>0</v>
      </c>
      <c r="N36" s="1717">
        <v>500</v>
      </c>
      <c r="O36" s="1717">
        <f t="shared" si="0"/>
        <v>0</v>
      </c>
      <c r="P36" s="1718">
        <v>0</v>
      </c>
      <c r="Q36" s="1717">
        <f t="shared" si="1"/>
        <v>0</v>
      </c>
      <c r="R36" s="1718">
        <v>0</v>
      </c>
      <c r="S36" s="1717">
        <f t="shared" si="2"/>
        <v>0</v>
      </c>
      <c r="T36" s="1718">
        <v>0</v>
      </c>
      <c r="U36" s="1717">
        <f t="shared" si="3"/>
        <v>0</v>
      </c>
      <c r="V36" s="1718">
        <v>0</v>
      </c>
      <c r="W36" s="1717">
        <f t="shared" si="4"/>
        <v>0</v>
      </c>
      <c r="X36" s="1718">
        <f t="shared" si="5"/>
        <v>0</v>
      </c>
      <c r="Y36" s="1717">
        <f t="shared" si="5"/>
        <v>0</v>
      </c>
      <c r="Z36" s="1719" t="s">
        <v>7799</v>
      </c>
      <c r="AA36" s="1720" t="s">
        <v>6527</v>
      </c>
      <c r="AB36" s="1704"/>
      <c r="AC36" s="1388" t="str">
        <f t="shared" si="6"/>
        <v>ok</v>
      </c>
    </row>
    <row r="37" spans="1:29" s="1721" customFormat="1" ht="21" x14ac:dyDescent="0.6">
      <c r="A37" s="1712">
        <v>29</v>
      </c>
      <c r="B37" s="1713" t="s">
        <v>8683</v>
      </c>
      <c r="C37" s="1714" t="s">
        <v>7816</v>
      </c>
      <c r="D37" s="1715">
        <v>6</v>
      </c>
      <c r="E37" s="1716">
        <v>1020</v>
      </c>
      <c r="F37" s="1715">
        <v>1</v>
      </c>
      <c r="G37" s="1716">
        <v>170</v>
      </c>
      <c r="H37" s="1715">
        <v>6</v>
      </c>
      <c r="I37" s="1716">
        <v>822</v>
      </c>
      <c r="J37" s="1715">
        <v>20</v>
      </c>
      <c r="K37" s="1715">
        <v>8</v>
      </c>
      <c r="L37" s="1716">
        <v>1096</v>
      </c>
      <c r="M37" s="1715">
        <f>J37-K37</f>
        <v>12</v>
      </c>
      <c r="N37" s="1717">
        <v>180</v>
      </c>
      <c r="O37" s="1717">
        <f t="shared" si="0"/>
        <v>2160</v>
      </c>
      <c r="P37" s="1718">
        <v>0</v>
      </c>
      <c r="Q37" s="1717">
        <f t="shared" si="1"/>
        <v>0</v>
      </c>
      <c r="R37" s="1718">
        <v>0</v>
      </c>
      <c r="S37" s="1717">
        <f t="shared" si="2"/>
        <v>0</v>
      </c>
      <c r="T37" s="1718">
        <v>6</v>
      </c>
      <c r="U37" s="1717">
        <f t="shared" si="3"/>
        <v>1080</v>
      </c>
      <c r="V37" s="1718">
        <v>6</v>
      </c>
      <c r="W37" s="1717">
        <f t="shared" si="4"/>
        <v>1080</v>
      </c>
      <c r="X37" s="1718">
        <f t="shared" si="5"/>
        <v>12</v>
      </c>
      <c r="Y37" s="1717">
        <f t="shared" si="5"/>
        <v>2160</v>
      </c>
      <c r="Z37" s="1719" t="s">
        <v>7799</v>
      </c>
      <c r="AA37" s="1720" t="s">
        <v>6527</v>
      </c>
      <c r="AB37" s="1704"/>
      <c r="AC37" s="1388" t="str">
        <f t="shared" si="6"/>
        <v>ok</v>
      </c>
    </row>
    <row r="38" spans="1:29" s="1721" customFormat="1" ht="21" x14ac:dyDescent="0.6">
      <c r="A38" s="1712">
        <v>30</v>
      </c>
      <c r="B38" s="1713" t="s">
        <v>8684</v>
      </c>
      <c r="C38" s="1714" t="s">
        <v>7816</v>
      </c>
      <c r="D38" s="1715">
        <v>8</v>
      </c>
      <c r="E38" s="1716">
        <v>1360</v>
      </c>
      <c r="F38" s="1715">
        <v>6</v>
      </c>
      <c r="G38" s="1716">
        <v>1020</v>
      </c>
      <c r="H38" s="1715">
        <v>8</v>
      </c>
      <c r="I38" s="1716">
        <v>1152</v>
      </c>
      <c r="J38" s="1715">
        <v>20</v>
      </c>
      <c r="K38" s="1715">
        <v>11</v>
      </c>
      <c r="L38" s="1716">
        <v>1584</v>
      </c>
      <c r="M38" s="1715">
        <f>J38-K38</f>
        <v>9</v>
      </c>
      <c r="N38" s="1717">
        <v>180</v>
      </c>
      <c r="O38" s="1717">
        <f t="shared" si="0"/>
        <v>1620</v>
      </c>
      <c r="P38" s="1718">
        <v>0</v>
      </c>
      <c r="Q38" s="1717">
        <f t="shared" si="1"/>
        <v>0</v>
      </c>
      <c r="R38" s="1718">
        <v>0</v>
      </c>
      <c r="S38" s="1717">
        <f t="shared" si="2"/>
        <v>0</v>
      </c>
      <c r="T38" s="1718">
        <v>4</v>
      </c>
      <c r="U38" s="1717">
        <f t="shared" si="3"/>
        <v>720</v>
      </c>
      <c r="V38" s="1718">
        <v>5</v>
      </c>
      <c r="W38" s="1717">
        <f t="shared" si="4"/>
        <v>900</v>
      </c>
      <c r="X38" s="1718">
        <f t="shared" si="5"/>
        <v>9</v>
      </c>
      <c r="Y38" s="1717">
        <f t="shared" si="5"/>
        <v>1620</v>
      </c>
      <c r="Z38" s="1719" t="s">
        <v>7799</v>
      </c>
      <c r="AA38" s="1720" t="s">
        <v>6527</v>
      </c>
      <c r="AB38" s="1704"/>
      <c r="AC38" s="1388" t="str">
        <f t="shared" si="6"/>
        <v>ok</v>
      </c>
    </row>
    <row r="39" spans="1:29" ht="21" x14ac:dyDescent="0.6">
      <c r="A39" s="1712">
        <v>31</v>
      </c>
      <c r="B39" s="1713" t="s">
        <v>8685</v>
      </c>
      <c r="C39" s="1714" t="s">
        <v>8057</v>
      </c>
      <c r="D39" s="1715">
        <v>0</v>
      </c>
      <c r="E39" s="1716">
        <v>0</v>
      </c>
      <c r="F39" s="1715">
        <v>12</v>
      </c>
      <c r="G39" s="1716">
        <v>1080</v>
      </c>
      <c r="H39" s="1715">
        <v>0</v>
      </c>
      <c r="I39" s="1716">
        <v>0</v>
      </c>
      <c r="J39" s="1715">
        <v>12</v>
      </c>
      <c r="K39" s="1715">
        <v>4</v>
      </c>
      <c r="L39" s="1716">
        <v>360</v>
      </c>
      <c r="M39" s="1715">
        <f>J39-K39</f>
        <v>8</v>
      </c>
      <c r="N39" s="1717">
        <v>90</v>
      </c>
      <c r="O39" s="1717">
        <f t="shared" si="0"/>
        <v>720</v>
      </c>
      <c r="P39" s="1718">
        <v>8</v>
      </c>
      <c r="Q39" s="1717">
        <f t="shared" si="1"/>
        <v>720</v>
      </c>
      <c r="R39" s="1718">
        <v>0</v>
      </c>
      <c r="S39" s="1717">
        <f t="shared" si="2"/>
        <v>0</v>
      </c>
      <c r="T39" s="1718">
        <v>0</v>
      </c>
      <c r="U39" s="1717">
        <f t="shared" si="3"/>
        <v>0</v>
      </c>
      <c r="V39" s="1718">
        <v>0</v>
      </c>
      <c r="W39" s="1717">
        <f t="shared" si="4"/>
        <v>0</v>
      </c>
      <c r="X39" s="1718">
        <f t="shared" si="5"/>
        <v>8</v>
      </c>
      <c r="Y39" s="1717">
        <f t="shared" si="5"/>
        <v>720</v>
      </c>
      <c r="Z39" s="1719" t="s">
        <v>7799</v>
      </c>
      <c r="AA39" s="1720" t="s">
        <v>6527</v>
      </c>
      <c r="AB39" s="1704"/>
      <c r="AC39" s="1388" t="str">
        <f t="shared" si="6"/>
        <v>ok</v>
      </c>
    </row>
    <row r="40" spans="1:29" ht="21" x14ac:dyDescent="0.6">
      <c r="A40" s="1712">
        <v>32</v>
      </c>
      <c r="B40" s="1713" t="s">
        <v>8686</v>
      </c>
      <c r="C40" s="1714" t="s">
        <v>7895</v>
      </c>
      <c r="D40" s="1715">
        <v>0</v>
      </c>
      <c r="E40" s="1716">
        <v>0</v>
      </c>
      <c r="F40" s="1715">
        <v>0</v>
      </c>
      <c r="G40" s="1716">
        <v>0</v>
      </c>
      <c r="H40" s="1715">
        <v>0</v>
      </c>
      <c r="I40" s="1716">
        <v>0</v>
      </c>
      <c r="J40" s="1715">
        <v>0</v>
      </c>
      <c r="K40" s="1715">
        <v>14</v>
      </c>
      <c r="L40" s="1716">
        <v>700</v>
      </c>
      <c r="M40" s="1715">
        <v>0</v>
      </c>
      <c r="N40" s="1717">
        <v>750</v>
      </c>
      <c r="O40" s="1717">
        <f t="shared" si="0"/>
        <v>0</v>
      </c>
      <c r="P40" s="1718">
        <v>0</v>
      </c>
      <c r="Q40" s="1717">
        <f t="shared" si="1"/>
        <v>0</v>
      </c>
      <c r="R40" s="1718">
        <v>0</v>
      </c>
      <c r="S40" s="1717">
        <f t="shared" si="2"/>
        <v>0</v>
      </c>
      <c r="T40" s="1718">
        <v>0</v>
      </c>
      <c r="U40" s="1717">
        <f t="shared" si="3"/>
        <v>0</v>
      </c>
      <c r="V40" s="1718">
        <v>0</v>
      </c>
      <c r="W40" s="1717">
        <f t="shared" si="4"/>
        <v>0</v>
      </c>
      <c r="X40" s="1718">
        <f t="shared" si="5"/>
        <v>0</v>
      </c>
      <c r="Y40" s="1717">
        <f t="shared" si="5"/>
        <v>0</v>
      </c>
      <c r="Z40" s="1719" t="s">
        <v>7799</v>
      </c>
      <c r="AA40" s="1720" t="s">
        <v>6527</v>
      </c>
      <c r="AB40" s="1704"/>
      <c r="AC40" s="1388" t="str">
        <f t="shared" si="6"/>
        <v>ok</v>
      </c>
    </row>
    <row r="41" spans="1:29" ht="21" x14ac:dyDescent="0.6">
      <c r="A41" s="1712">
        <v>33</v>
      </c>
      <c r="B41" s="1713" t="s">
        <v>8687</v>
      </c>
      <c r="C41" s="1714" t="s">
        <v>7798</v>
      </c>
      <c r="D41" s="1715">
        <v>2</v>
      </c>
      <c r="E41" s="1716">
        <v>700</v>
      </c>
      <c r="F41" s="1715">
        <v>0</v>
      </c>
      <c r="G41" s="1716">
        <v>0</v>
      </c>
      <c r="H41" s="1715">
        <v>0</v>
      </c>
      <c r="I41" s="1716">
        <v>0</v>
      </c>
      <c r="J41" s="1715">
        <v>3</v>
      </c>
      <c r="K41" s="1715">
        <v>5</v>
      </c>
      <c r="L41" s="1716">
        <v>1750</v>
      </c>
      <c r="M41" s="1715">
        <v>0</v>
      </c>
      <c r="N41" s="1717">
        <v>350</v>
      </c>
      <c r="O41" s="1717">
        <f t="shared" si="0"/>
        <v>0</v>
      </c>
      <c r="P41" s="1718">
        <v>0</v>
      </c>
      <c r="Q41" s="1717">
        <f t="shared" si="1"/>
        <v>0</v>
      </c>
      <c r="R41" s="1718">
        <v>0</v>
      </c>
      <c r="S41" s="1717">
        <f t="shared" si="2"/>
        <v>0</v>
      </c>
      <c r="T41" s="1718">
        <v>0</v>
      </c>
      <c r="U41" s="1717">
        <f t="shared" si="3"/>
        <v>0</v>
      </c>
      <c r="V41" s="1718">
        <v>0</v>
      </c>
      <c r="W41" s="1717">
        <f t="shared" si="4"/>
        <v>0</v>
      </c>
      <c r="X41" s="1718">
        <f t="shared" si="5"/>
        <v>0</v>
      </c>
      <c r="Y41" s="1717">
        <f t="shared" si="5"/>
        <v>0</v>
      </c>
      <c r="Z41" s="1719" t="s">
        <v>7799</v>
      </c>
      <c r="AA41" s="1720" t="s">
        <v>6527</v>
      </c>
      <c r="AB41" s="1704"/>
      <c r="AC41" s="1388" t="str">
        <f t="shared" si="6"/>
        <v>ok</v>
      </c>
    </row>
    <row r="42" spans="1:29" ht="21" x14ac:dyDescent="0.6">
      <c r="A42" s="1712">
        <v>34</v>
      </c>
      <c r="B42" s="1713" t="s">
        <v>8688</v>
      </c>
      <c r="C42" s="1714" t="s">
        <v>7798</v>
      </c>
      <c r="D42" s="1715">
        <v>0</v>
      </c>
      <c r="E42" s="1716">
        <v>0</v>
      </c>
      <c r="F42" s="1715">
        <v>0</v>
      </c>
      <c r="G42" s="1716">
        <v>0</v>
      </c>
      <c r="H42" s="1715">
        <v>0</v>
      </c>
      <c r="I42" s="1716">
        <v>0</v>
      </c>
      <c r="J42" s="1715">
        <v>0</v>
      </c>
      <c r="K42" s="1715">
        <v>0</v>
      </c>
      <c r="L42" s="1716">
        <v>0</v>
      </c>
      <c r="M42" s="1715">
        <f>J42-K42</f>
        <v>0</v>
      </c>
      <c r="N42" s="1717">
        <v>500</v>
      </c>
      <c r="O42" s="1717">
        <f t="shared" si="0"/>
        <v>0</v>
      </c>
      <c r="P42" s="1718">
        <v>0</v>
      </c>
      <c r="Q42" s="1717">
        <f t="shared" si="1"/>
        <v>0</v>
      </c>
      <c r="R42" s="1718">
        <v>0</v>
      </c>
      <c r="S42" s="1717">
        <f t="shared" si="2"/>
        <v>0</v>
      </c>
      <c r="T42" s="1718">
        <v>0</v>
      </c>
      <c r="U42" s="1717">
        <f t="shared" si="3"/>
        <v>0</v>
      </c>
      <c r="V42" s="1718">
        <v>0</v>
      </c>
      <c r="W42" s="1717">
        <f t="shared" si="4"/>
        <v>0</v>
      </c>
      <c r="X42" s="1718">
        <f t="shared" si="5"/>
        <v>0</v>
      </c>
      <c r="Y42" s="1717">
        <f t="shared" si="5"/>
        <v>0</v>
      </c>
      <c r="Z42" s="1719" t="s">
        <v>7799</v>
      </c>
      <c r="AA42" s="1720" t="s">
        <v>6527</v>
      </c>
      <c r="AB42" s="1704"/>
      <c r="AC42" s="1388" t="str">
        <f t="shared" si="6"/>
        <v>ok</v>
      </c>
    </row>
    <row r="43" spans="1:29" ht="21" x14ac:dyDescent="0.6">
      <c r="A43" s="1712">
        <v>35</v>
      </c>
      <c r="B43" s="1713" t="s">
        <v>8689</v>
      </c>
      <c r="C43" s="1714" t="s">
        <v>7798</v>
      </c>
      <c r="D43" s="1715">
        <v>0</v>
      </c>
      <c r="E43" s="1716">
        <v>0</v>
      </c>
      <c r="F43" s="1715">
        <v>0</v>
      </c>
      <c r="G43" s="1716">
        <v>0</v>
      </c>
      <c r="H43" s="1715">
        <v>0</v>
      </c>
      <c r="I43" s="1716">
        <v>0</v>
      </c>
      <c r="J43" s="1715">
        <v>0</v>
      </c>
      <c r="K43" s="1715">
        <v>0</v>
      </c>
      <c r="L43" s="1716">
        <v>0</v>
      </c>
      <c r="M43" s="1715">
        <f>J43-K43</f>
        <v>0</v>
      </c>
      <c r="N43" s="1717">
        <v>950</v>
      </c>
      <c r="O43" s="1717">
        <f t="shared" si="0"/>
        <v>0</v>
      </c>
      <c r="P43" s="1718">
        <v>0</v>
      </c>
      <c r="Q43" s="1717">
        <f t="shared" si="1"/>
        <v>0</v>
      </c>
      <c r="R43" s="1718">
        <v>0</v>
      </c>
      <c r="S43" s="1717">
        <f t="shared" si="2"/>
        <v>0</v>
      </c>
      <c r="T43" s="1718">
        <v>0</v>
      </c>
      <c r="U43" s="1717">
        <f t="shared" si="3"/>
        <v>0</v>
      </c>
      <c r="V43" s="1718">
        <v>0</v>
      </c>
      <c r="W43" s="1717">
        <f t="shared" si="4"/>
        <v>0</v>
      </c>
      <c r="X43" s="1718">
        <f t="shared" si="5"/>
        <v>0</v>
      </c>
      <c r="Y43" s="1717">
        <f t="shared" si="5"/>
        <v>0</v>
      </c>
      <c r="Z43" s="1719" t="s">
        <v>7799</v>
      </c>
      <c r="AA43" s="1720" t="s">
        <v>6527</v>
      </c>
      <c r="AB43" s="1704"/>
      <c r="AC43" s="1388" t="str">
        <f t="shared" si="6"/>
        <v>ok</v>
      </c>
    </row>
    <row r="44" spans="1:29" ht="21" x14ac:dyDescent="0.6">
      <c r="A44" s="1705">
        <v>36</v>
      </c>
      <c r="B44" s="1706" t="s">
        <v>8690</v>
      </c>
      <c r="C44" s="1707" t="s">
        <v>7798</v>
      </c>
      <c r="D44" s="1708">
        <v>0</v>
      </c>
      <c r="E44" s="1709">
        <v>0</v>
      </c>
      <c r="F44" s="1708">
        <v>2</v>
      </c>
      <c r="G44" s="1709">
        <v>6000</v>
      </c>
      <c r="H44" s="1708">
        <v>0</v>
      </c>
      <c r="I44" s="1709">
        <v>0</v>
      </c>
      <c r="J44" s="1708">
        <v>8</v>
      </c>
      <c r="K44" s="1708">
        <v>2</v>
      </c>
      <c r="L44" s="1709">
        <v>5940</v>
      </c>
      <c r="M44" s="1708">
        <f>J44-K44</f>
        <v>6</v>
      </c>
      <c r="N44" s="1710">
        <v>2970</v>
      </c>
      <c r="O44" s="1710">
        <f t="shared" si="0"/>
        <v>17820</v>
      </c>
      <c r="P44" s="1711">
        <v>6</v>
      </c>
      <c r="Q44" s="1710">
        <f t="shared" si="1"/>
        <v>17820</v>
      </c>
      <c r="R44" s="1711">
        <v>0</v>
      </c>
      <c r="S44" s="1710">
        <f t="shared" si="2"/>
        <v>0</v>
      </c>
      <c r="T44" s="1711">
        <v>0</v>
      </c>
      <c r="U44" s="1710">
        <f t="shared" si="3"/>
        <v>0</v>
      </c>
      <c r="V44" s="1711">
        <v>0</v>
      </c>
      <c r="W44" s="1710">
        <f t="shared" si="4"/>
        <v>0</v>
      </c>
      <c r="X44" s="1711">
        <f t="shared" si="5"/>
        <v>6</v>
      </c>
      <c r="Y44" s="1710">
        <f t="shared" si="5"/>
        <v>17820</v>
      </c>
      <c r="Z44" s="1719" t="s">
        <v>7799</v>
      </c>
      <c r="AA44" s="1720" t="s">
        <v>6527</v>
      </c>
      <c r="AB44" s="1704"/>
      <c r="AC44" s="1388" t="str">
        <f t="shared" si="6"/>
        <v>ok</v>
      </c>
    </row>
    <row r="45" spans="1:29" ht="21" x14ac:dyDescent="0.6">
      <c r="A45" s="1712">
        <v>37</v>
      </c>
      <c r="B45" s="1713" t="s">
        <v>8691</v>
      </c>
      <c r="C45" s="1714" t="s">
        <v>7798</v>
      </c>
      <c r="D45" s="1715">
        <v>0</v>
      </c>
      <c r="E45" s="1716">
        <v>0</v>
      </c>
      <c r="F45" s="1715">
        <v>1</v>
      </c>
      <c r="G45" s="1716">
        <v>3510</v>
      </c>
      <c r="H45" s="1715">
        <v>0</v>
      </c>
      <c r="I45" s="1716">
        <v>0</v>
      </c>
      <c r="J45" s="1715">
        <v>0</v>
      </c>
      <c r="K45" s="1715">
        <v>0</v>
      </c>
      <c r="L45" s="1716">
        <v>0</v>
      </c>
      <c r="M45" s="1715">
        <f>J45-K45</f>
        <v>0</v>
      </c>
      <c r="N45" s="1717">
        <v>3510</v>
      </c>
      <c r="O45" s="1717">
        <f t="shared" si="0"/>
        <v>0</v>
      </c>
      <c r="P45" s="1718">
        <v>0</v>
      </c>
      <c r="Q45" s="1717">
        <f t="shared" si="1"/>
        <v>0</v>
      </c>
      <c r="R45" s="1718">
        <v>0</v>
      </c>
      <c r="S45" s="1717">
        <f t="shared" si="2"/>
        <v>0</v>
      </c>
      <c r="T45" s="1718">
        <v>0</v>
      </c>
      <c r="U45" s="1717">
        <f t="shared" si="3"/>
        <v>0</v>
      </c>
      <c r="V45" s="1718">
        <v>0</v>
      </c>
      <c r="W45" s="1717">
        <f t="shared" si="4"/>
        <v>0</v>
      </c>
      <c r="X45" s="1718">
        <f t="shared" si="5"/>
        <v>0</v>
      </c>
      <c r="Y45" s="1717">
        <f t="shared" si="5"/>
        <v>0</v>
      </c>
      <c r="Z45" s="1719" t="s">
        <v>7799</v>
      </c>
      <c r="AA45" s="1720" t="s">
        <v>6527</v>
      </c>
      <c r="AB45" s="1704"/>
      <c r="AC45" s="1388" t="str">
        <f t="shared" si="6"/>
        <v>ok</v>
      </c>
    </row>
    <row r="46" spans="1:29" ht="21" x14ac:dyDescent="0.6">
      <c r="A46" s="1712">
        <v>38</v>
      </c>
      <c r="B46" s="1713" t="s">
        <v>8692</v>
      </c>
      <c r="C46" s="1714" t="s">
        <v>7798</v>
      </c>
      <c r="D46" s="1715">
        <v>0</v>
      </c>
      <c r="E46" s="1716">
        <v>0</v>
      </c>
      <c r="F46" s="1715">
        <v>1</v>
      </c>
      <c r="G46" s="1716">
        <v>3510</v>
      </c>
      <c r="H46" s="1715">
        <v>0</v>
      </c>
      <c r="I46" s="1716">
        <v>0</v>
      </c>
      <c r="J46" s="1715">
        <v>0</v>
      </c>
      <c r="K46" s="1715">
        <v>0</v>
      </c>
      <c r="L46" s="1716">
        <v>0</v>
      </c>
      <c r="M46" s="1715">
        <f>J46-K46</f>
        <v>0</v>
      </c>
      <c r="N46" s="1717">
        <v>3510</v>
      </c>
      <c r="O46" s="1717">
        <f t="shared" si="0"/>
        <v>0</v>
      </c>
      <c r="P46" s="1718">
        <v>0</v>
      </c>
      <c r="Q46" s="1717">
        <f t="shared" si="1"/>
        <v>0</v>
      </c>
      <c r="R46" s="1718">
        <v>0</v>
      </c>
      <c r="S46" s="1717">
        <f t="shared" si="2"/>
        <v>0</v>
      </c>
      <c r="T46" s="1718">
        <v>0</v>
      </c>
      <c r="U46" s="1717">
        <f t="shared" si="3"/>
        <v>0</v>
      </c>
      <c r="V46" s="1718">
        <v>0</v>
      </c>
      <c r="W46" s="1717">
        <f t="shared" si="4"/>
        <v>0</v>
      </c>
      <c r="X46" s="1718">
        <f t="shared" si="5"/>
        <v>0</v>
      </c>
      <c r="Y46" s="1717">
        <f t="shared" si="5"/>
        <v>0</v>
      </c>
      <c r="Z46" s="1719" t="s">
        <v>7799</v>
      </c>
      <c r="AA46" s="1720" t="s">
        <v>6527</v>
      </c>
      <c r="AB46" s="1704"/>
      <c r="AC46" s="1388" t="str">
        <f t="shared" si="6"/>
        <v>ok</v>
      </c>
    </row>
    <row r="47" spans="1:29" ht="21" x14ac:dyDescent="0.6">
      <c r="A47" s="1712">
        <v>39</v>
      </c>
      <c r="B47" s="1713" t="s">
        <v>8693</v>
      </c>
      <c r="C47" s="1714" t="s">
        <v>7798</v>
      </c>
      <c r="D47" s="1715">
        <v>5</v>
      </c>
      <c r="E47" s="1716">
        <v>6000</v>
      </c>
      <c r="F47" s="1715">
        <v>0</v>
      </c>
      <c r="G47" s="1716">
        <v>0</v>
      </c>
      <c r="H47" s="1715">
        <v>0</v>
      </c>
      <c r="I47" s="1716">
        <v>0</v>
      </c>
      <c r="J47" s="1715"/>
      <c r="K47" s="1715">
        <v>3</v>
      </c>
      <c r="L47" s="1716">
        <v>3600</v>
      </c>
      <c r="M47" s="1715">
        <v>0</v>
      </c>
      <c r="N47" s="1717">
        <v>1200</v>
      </c>
      <c r="O47" s="1717">
        <f t="shared" si="0"/>
        <v>0</v>
      </c>
      <c r="P47" s="1718">
        <v>0</v>
      </c>
      <c r="Q47" s="1717">
        <f t="shared" si="1"/>
        <v>0</v>
      </c>
      <c r="R47" s="1718">
        <v>0</v>
      </c>
      <c r="S47" s="1717">
        <f t="shared" si="2"/>
        <v>0</v>
      </c>
      <c r="T47" s="1718">
        <v>0</v>
      </c>
      <c r="U47" s="1717">
        <f t="shared" si="3"/>
        <v>0</v>
      </c>
      <c r="V47" s="1718">
        <v>0</v>
      </c>
      <c r="W47" s="1717">
        <f t="shared" si="4"/>
        <v>0</v>
      </c>
      <c r="X47" s="1718">
        <f t="shared" si="5"/>
        <v>0</v>
      </c>
      <c r="Y47" s="1717">
        <f t="shared" si="5"/>
        <v>0</v>
      </c>
      <c r="Z47" s="1719" t="s">
        <v>7799</v>
      </c>
      <c r="AA47" s="1720" t="s">
        <v>6527</v>
      </c>
      <c r="AB47" s="1704"/>
      <c r="AC47" s="1388" t="str">
        <f t="shared" si="6"/>
        <v>ok</v>
      </c>
    </row>
    <row r="48" spans="1:29" ht="21" x14ac:dyDescent="0.6">
      <c r="A48" s="1712">
        <v>40</v>
      </c>
      <c r="B48" s="1713" t="s">
        <v>12</v>
      </c>
      <c r="C48" s="1714" t="s">
        <v>7798</v>
      </c>
      <c r="D48" s="1715">
        <v>0</v>
      </c>
      <c r="E48" s="1716">
        <v>0</v>
      </c>
      <c r="F48" s="1715">
        <v>5</v>
      </c>
      <c r="G48" s="1716">
        <v>3950</v>
      </c>
      <c r="H48" s="1715">
        <v>0</v>
      </c>
      <c r="I48" s="1716">
        <v>0</v>
      </c>
      <c r="J48" s="1715">
        <v>0</v>
      </c>
      <c r="K48" s="1715">
        <v>0</v>
      </c>
      <c r="L48" s="1716">
        <v>4850</v>
      </c>
      <c r="M48" s="1715">
        <f>J48-K48</f>
        <v>0</v>
      </c>
      <c r="N48" s="1717">
        <v>790</v>
      </c>
      <c r="O48" s="1717">
        <f t="shared" si="0"/>
        <v>0</v>
      </c>
      <c r="P48" s="1718">
        <v>0</v>
      </c>
      <c r="Q48" s="1717">
        <f t="shared" si="1"/>
        <v>0</v>
      </c>
      <c r="R48" s="1718">
        <v>0</v>
      </c>
      <c r="S48" s="1717">
        <f t="shared" si="2"/>
        <v>0</v>
      </c>
      <c r="T48" s="1718">
        <v>0</v>
      </c>
      <c r="U48" s="1717">
        <f t="shared" si="3"/>
        <v>0</v>
      </c>
      <c r="V48" s="1718">
        <v>0</v>
      </c>
      <c r="W48" s="1717">
        <f t="shared" si="4"/>
        <v>0</v>
      </c>
      <c r="X48" s="1718">
        <f t="shared" si="5"/>
        <v>0</v>
      </c>
      <c r="Y48" s="1717">
        <f t="shared" si="5"/>
        <v>0</v>
      </c>
      <c r="Z48" s="1719" t="s">
        <v>7799</v>
      </c>
      <c r="AA48" s="1720" t="s">
        <v>6527</v>
      </c>
      <c r="AB48" s="1704"/>
      <c r="AC48" s="1388" t="str">
        <f t="shared" si="6"/>
        <v>ok</v>
      </c>
    </row>
    <row r="49" spans="1:29" ht="21" x14ac:dyDescent="0.6">
      <c r="A49" s="1712">
        <v>41</v>
      </c>
      <c r="B49" s="1713" t="s">
        <v>8694</v>
      </c>
      <c r="C49" s="1714" t="s">
        <v>7798</v>
      </c>
      <c r="D49" s="1715">
        <v>0</v>
      </c>
      <c r="E49" s="1716">
        <v>0</v>
      </c>
      <c r="F49" s="1715">
        <v>0</v>
      </c>
      <c r="G49" s="1716">
        <v>0</v>
      </c>
      <c r="H49" s="1715">
        <v>0</v>
      </c>
      <c r="I49" s="1716">
        <v>0</v>
      </c>
      <c r="J49" s="1715">
        <v>0</v>
      </c>
      <c r="K49" s="1715">
        <v>2</v>
      </c>
      <c r="L49" s="1716">
        <v>700</v>
      </c>
      <c r="M49" s="1715">
        <v>0</v>
      </c>
      <c r="N49" s="1717">
        <v>700</v>
      </c>
      <c r="O49" s="1717">
        <f t="shared" si="0"/>
        <v>0</v>
      </c>
      <c r="P49" s="1718">
        <v>0</v>
      </c>
      <c r="Q49" s="1717">
        <f t="shared" si="1"/>
        <v>0</v>
      </c>
      <c r="R49" s="1718">
        <v>0</v>
      </c>
      <c r="S49" s="1717">
        <f t="shared" si="2"/>
        <v>0</v>
      </c>
      <c r="T49" s="1718">
        <v>0</v>
      </c>
      <c r="U49" s="1717">
        <v>0</v>
      </c>
      <c r="V49" s="1718">
        <v>0</v>
      </c>
      <c r="W49" s="1717">
        <f t="shared" si="4"/>
        <v>0</v>
      </c>
      <c r="X49" s="1718">
        <v>0</v>
      </c>
      <c r="Y49" s="1717">
        <v>0</v>
      </c>
      <c r="Z49" s="1719" t="s">
        <v>7799</v>
      </c>
      <c r="AA49" s="1720" t="s">
        <v>6527</v>
      </c>
      <c r="AB49" s="1704"/>
      <c r="AC49" s="1388" t="str">
        <f t="shared" si="6"/>
        <v>ok</v>
      </c>
    </row>
    <row r="50" spans="1:29" ht="21" x14ac:dyDescent="0.6">
      <c r="A50" s="1712">
        <v>42</v>
      </c>
      <c r="B50" s="1713" t="s">
        <v>8695</v>
      </c>
      <c r="C50" s="1714" t="s">
        <v>7798</v>
      </c>
      <c r="D50" s="1715">
        <v>0</v>
      </c>
      <c r="E50" s="1716">
        <v>0</v>
      </c>
      <c r="F50" s="1715">
        <v>0</v>
      </c>
      <c r="G50" s="1716">
        <v>0</v>
      </c>
      <c r="H50" s="1715">
        <v>0</v>
      </c>
      <c r="I50" s="1716">
        <v>0</v>
      </c>
      <c r="J50" s="1715">
        <v>25</v>
      </c>
      <c r="K50" s="1715">
        <v>5</v>
      </c>
      <c r="L50" s="1716">
        <v>2250</v>
      </c>
      <c r="M50" s="1715">
        <f>J50-K50</f>
        <v>20</v>
      </c>
      <c r="N50" s="1717">
        <v>450</v>
      </c>
      <c r="O50" s="1717">
        <f t="shared" si="0"/>
        <v>9000</v>
      </c>
      <c r="P50" s="1718">
        <v>20</v>
      </c>
      <c r="Q50" s="1717">
        <f t="shared" si="1"/>
        <v>9000</v>
      </c>
      <c r="R50" s="1718">
        <v>0</v>
      </c>
      <c r="S50" s="1717">
        <f t="shared" si="2"/>
        <v>0</v>
      </c>
      <c r="T50" s="1718">
        <v>0</v>
      </c>
      <c r="U50" s="1717">
        <f t="shared" ref="U50:U58" si="8">N50*T50</f>
        <v>0</v>
      </c>
      <c r="V50" s="1718">
        <v>0</v>
      </c>
      <c r="W50" s="1717">
        <f t="shared" si="4"/>
        <v>0</v>
      </c>
      <c r="X50" s="1718">
        <f t="shared" ref="X50:Y81" si="9">P50+R50+T50+V50</f>
        <v>20</v>
      </c>
      <c r="Y50" s="1717">
        <f t="shared" si="9"/>
        <v>9000</v>
      </c>
      <c r="Z50" s="1719" t="s">
        <v>7799</v>
      </c>
      <c r="AA50" s="1720" t="s">
        <v>6527</v>
      </c>
      <c r="AB50" s="1704"/>
      <c r="AC50" s="1388" t="str">
        <f t="shared" si="6"/>
        <v>ok</v>
      </c>
    </row>
    <row r="51" spans="1:29" ht="21" x14ac:dyDescent="0.6">
      <c r="A51" s="1712">
        <v>43</v>
      </c>
      <c r="B51" s="1713" t="s">
        <v>8696</v>
      </c>
      <c r="C51" s="1714" t="s">
        <v>7798</v>
      </c>
      <c r="D51" s="1715">
        <v>1</v>
      </c>
      <c r="E51" s="1716">
        <v>350</v>
      </c>
      <c r="F51" s="1715">
        <v>0</v>
      </c>
      <c r="G51" s="1716">
        <v>0</v>
      </c>
      <c r="H51" s="1715">
        <v>0</v>
      </c>
      <c r="I51" s="1716">
        <v>0</v>
      </c>
      <c r="J51" s="1715">
        <v>0</v>
      </c>
      <c r="K51" s="1715">
        <v>0</v>
      </c>
      <c r="L51" s="1716">
        <v>0</v>
      </c>
      <c r="M51" s="1715">
        <f>J51-K51</f>
        <v>0</v>
      </c>
      <c r="N51" s="1717">
        <v>350</v>
      </c>
      <c r="O51" s="1717">
        <f t="shared" si="0"/>
        <v>0</v>
      </c>
      <c r="P51" s="1718">
        <v>0</v>
      </c>
      <c r="Q51" s="1717">
        <f t="shared" si="1"/>
        <v>0</v>
      </c>
      <c r="R51" s="1718">
        <v>0</v>
      </c>
      <c r="S51" s="1717">
        <f t="shared" si="2"/>
        <v>0</v>
      </c>
      <c r="T51" s="1718">
        <v>0</v>
      </c>
      <c r="U51" s="1717">
        <f t="shared" si="8"/>
        <v>0</v>
      </c>
      <c r="V51" s="1718">
        <v>0</v>
      </c>
      <c r="W51" s="1717">
        <f t="shared" si="4"/>
        <v>0</v>
      </c>
      <c r="X51" s="1718">
        <f t="shared" si="9"/>
        <v>0</v>
      </c>
      <c r="Y51" s="1717">
        <f t="shared" si="9"/>
        <v>0</v>
      </c>
      <c r="Z51" s="1719" t="s">
        <v>7799</v>
      </c>
      <c r="AA51" s="1720" t="s">
        <v>6527</v>
      </c>
      <c r="AB51" s="1704"/>
      <c r="AC51" s="1388" t="str">
        <f t="shared" si="6"/>
        <v>ok</v>
      </c>
    </row>
    <row r="52" spans="1:29" ht="21" x14ac:dyDescent="0.6">
      <c r="A52" s="1712">
        <v>44</v>
      </c>
      <c r="B52" s="1713" t="s">
        <v>8697</v>
      </c>
      <c r="C52" s="1714" t="s">
        <v>7798</v>
      </c>
      <c r="D52" s="1715">
        <v>0</v>
      </c>
      <c r="E52" s="1716">
        <v>0</v>
      </c>
      <c r="F52" s="1715">
        <v>0</v>
      </c>
      <c r="G52" s="1716">
        <v>0</v>
      </c>
      <c r="H52" s="1715">
        <v>4</v>
      </c>
      <c r="I52" s="1716">
        <v>4400</v>
      </c>
      <c r="J52" s="1715">
        <v>0</v>
      </c>
      <c r="K52" s="1715">
        <v>1</v>
      </c>
      <c r="L52" s="1716">
        <v>1100</v>
      </c>
      <c r="M52" s="1715">
        <v>0</v>
      </c>
      <c r="N52" s="1717">
        <v>1100</v>
      </c>
      <c r="O52" s="1717">
        <f t="shared" si="0"/>
        <v>0</v>
      </c>
      <c r="P52" s="1718">
        <v>0</v>
      </c>
      <c r="Q52" s="1717">
        <f t="shared" si="1"/>
        <v>0</v>
      </c>
      <c r="R52" s="1718">
        <v>0</v>
      </c>
      <c r="S52" s="1717">
        <f t="shared" si="2"/>
        <v>0</v>
      </c>
      <c r="T52" s="1718">
        <v>0</v>
      </c>
      <c r="U52" s="1717">
        <f t="shared" si="8"/>
        <v>0</v>
      </c>
      <c r="V52" s="1718">
        <v>0</v>
      </c>
      <c r="W52" s="1717">
        <f t="shared" si="4"/>
        <v>0</v>
      </c>
      <c r="X52" s="1718">
        <f t="shared" si="9"/>
        <v>0</v>
      </c>
      <c r="Y52" s="1717">
        <f t="shared" si="9"/>
        <v>0</v>
      </c>
      <c r="Z52" s="1719" t="s">
        <v>7799</v>
      </c>
      <c r="AA52" s="1720" t="s">
        <v>6527</v>
      </c>
      <c r="AB52" s="1704"/>
      <c r="AC52" s="1388" t="str">
        <f t="shared" si="6"/>
        <v>ok</v>
      </c>
    </row>
    <row r="53" spans="1:29" ht="21" x14ac:dyDescent="0.6">
      <c r="A53" s="1712">
        <v>45</v>
      </c>
      <c r="B53" s="1713" t="s">
        <v>8698</v>
      </c>
      <c r="C53" s="1714" t="s">
        <v>8206</v>
      </c>
      <c r="D53" s="1715">
        <v>2</v>
      </c>
      <c r="E53" s="1716">
        <v>300</v>
      </c>
      <c r="F53" s="1715">
        <v>0</v>
      </c>
      <c r="G53" s="1716">
        <v>0</v>
      </c>
      <c r="H53" s="1715">
        <v>1</v>
      </c>
      <c r="I53" s="1716">
        <v>150</v>
      </c>
      <c r="J53" s="1715">
        <v>6</v>
      </c>
      <c r="K53" s="1715">
        <v>3</v>
      </c>
      <c r="L53" s="1716">
        <v>450</v>
      </c>
      <c r="M53" s="1715">
        <f>J53-K53</f>
        <v>3</v>
      </c>
      <c r="N53" s="1717">
        <v>150</v>
      </c>
      <c r="O53" s="1717">
        <f t="shared" si="0"/>
        <v>450</v>
      </c>
      <c r="P53" s="1718">
        <v>0</v>
      </c>
      <c r="Q53" s="1717">
        <f t="shared" si="1"/>
        <v>0</v>
      </c>
      <c r="R53" s="1718">
        <v>3</v>
      </c>
      <c r="S53" s="1717">
        <f t="shared" si="2"/>
        <v>450</v>
      </c>
      <c r="T53" s="1718">
        <v>0</v>
      </c>
      <c r="U53" s="1717">
        <f t="shared" si="8"/>
        <v>0</v>
      </c>
      <c r="V53" s="1718">
        <v>0</v>
      </c>
      <c r="W53" s="1717">
        <f t="shared" si="4"/>
        <v>0</v>
      </c>
      <c r="X53" s="1718">
        <f t="shared" si="9"/>
        <v>3</v>
      </c>
      <c r="Y53" s="1717">
        <f t="shared" si="9"/>
        <v>450</v>
      </c>
      <c r="Z53" s="1719" t="s">
        <v>7799</v>
      </c>
      <c r="AA53" s="1720" t="s">
        <v>6527</v>
      </c>
      <c r="AB53" s="1704"/>
      <c r="AC53" s="1388" t="str">
        <f t="shared" si="6"/>
        <v>ok</v>
      </c>
    </row>
    <row r="54" spans="1:29" ht="21" x14ac:dyDescent="0.6">
      <c r="A54" s="1712">
        <v>46</v>
      </c>
      <c r="B54" s="1713" t="s">
        <v>8699</v>
      </c>
      <c r="C54" s="1714" t="s">
        <v>7798</v>
      </c>
      <c r="D54" s="1715">
        <v>0</v>
      </c>
      <c r="E54" s="1716">
        <v>0</v>
      </c>
      <c r="F54" s="1715">
        <v>10</v>
      </c>
      <c r="G54" s="1716">
        <v>90</v>
      </c>
      <c r="H54" s="1715">
        <v>5</v>
      </c>
      <c r="I54" s="1716">
        <v>104.15</v>
      </c>
      <c r="J54" s="1715">
        <v>0</v>
      </c>
      <c r="K54" s="1715">
        <v>15</v>
      </c>
      <c r="L54" s="1716">
        <v>312.45</v>
      </c>
      <c r="M54" s="1715">
        <v>0</v>
      </c>
      <c r="N54" s="1717">
        <v>20.83</v>
      </c>
      <c r="O54" s="1717">
        <f t="shared" si="0"/>
        <v>0</v>
      </c>
      <c r="P54" s="1718">
        <v>0</v>
      </c>
      <c r="Q54" s="1717">
        <f t="shared" si="1"/>
        <v>0</v>
      </c>
      <c r="R54" s="1718">
        <v>0</v>
      </c>
      <c r="S54" s="1717">
        <f t="shared" si="2"/>
        <v>0</v>
      </c>
      <c r="T54" s="1718">
        <v>0</v>
      </c>
      <c r="U54" s="1717">
        <f t="shared" si="8"/>
        <v>0</v>
      </c>
      <c r="V54" s="1718">
        <v>0</v>
      </c>
      <c r="W54" s="1717">
        <f t="shared" si="4"/>
        <v>0</v>
      </c>
      <c r="X54" s="1718">
        <f t="shared" si="9"/>
        <v>0</v>
      </c>
      <c r="Y54" s="1717">
        <f t="shared" si="9"/>
        <v>0</v>
      </c>
      <c r="Z54" s="1719" t="s">
        <v>7799</v>
      </c>
      <c r="AA54" s="1720" t="s">
        <v>6527</v>
      </c>
      <c r="AB54" s="1704"/>
      <c r="AC54" s="1388" t="str">
        <f t="shared" si="6"/>
        <v>ok</v>
      </c>
    </row>
    <row r="55" spans="1:29" ht="21" x14ac:dyDescent="0.6">
      <c r="A55" s="1712">
        <v>47</v>
      </c>
      <c r="B55" s="1713" t="s">
        <v>8700</v>
      </c>
      <c r="C55" s="1714" t="s">
        <v>7798</v>
      </c>
      <c r="D55" s="1715">
        <v>0</v>
      </c>
      <c r="E55" s="1716">
        <v>0</v>
      </c>
      <c r="F55" s="1715">
        <v>10</v>
      </c>
      <c r="G55" s="1716">
        <v>100</v>
      </c>
      <c r="H55" s="1715">
        <v>0</v>
      </c>
      <c r="I55" s="1716">
        <v>0</v>
      </c>
      <c r="J55" s="1715">
        <v>20</v>
      </c>
      <c r="K55" s="1715">
        <v>14</v>
      </c>
      <c r="L55" s="1716">
        <v>525</v>
      </c>
      <c r="M55" s="1715">
        <f>J55-K55</f>
        <v>6</v>
      </c>
      <c r="N55" s="1717">
        <v>37.5</v>
      </c>
      <c r="O55" s="1717">
        <f t="shared" si="0"/>
        <v>225</v>
      </c>
      <c r="P55" s="1718">
        <v>6</v>
      </c>
      <c r="Q55" s="1717">
        <f t="shared" si="1"/>
        <v>225</v>
      </c>
      <c r="R55" s="1718">
        <v>0</v>
      </c>
      <c r="S55" s="1717">
        <f t="shared" si="2"/>
        <v>0</v>
      </c>
      <c r="T55" s="1718">
        <v>0</v>
      </c>
      <c r="U55" s="1717">
        <f t="shared" si="8"/>
        <v>0</v>
      </c>
      <c r="V55" s="1718">
        <v>0</v>
      </c>
      <c r="W55" s="1717">
        <f t="shared" si="4"/>
        <v>0</v>
      </c>
      <c r="X55" s="1718">
        <f t="shared" si="9"/>
        <v>6</v>
      </c>
      <c r="Y55" s="1717">
        <f t="shared" si="9"/>
        <v>225</v>
      </c>
      <c r="Z55" s="1719" t="s">
        <v>7799</v>
      </c>
      <c r="AA55" s="1720" t="s">
        <v>6527</v>
      </c>
      <c r="AB55" s="1704"/>
      <c r="AC55" s="1388" t="str">
        <f t="shared" si="6"/>
        <v>ok</v>
      </c>
    </row>
    <row r="56" spans="1:29" ht="21" x14ac:dyDescent="0.6">
      <c r="A56" s="1712">
        <v>48</v>
      </c>
      <c r="B56" s="1713" t="s">
        <v>8701</v>
      </c>
      <c r="C56" s="1714" t="s">
        <v>8057</v>
      </c>
      <c r="D56" s="1715">
        <v>0</v>
      </c>
      <c r="E56" s="1716">
        <v>0</v>
      </c>
      <c r="F56" s="1715">
        <v>0</v>
      </c>
      <c r="G56" s="1716">
        <v>0</v>
      </c>
      <c r="H56" s="1715">
        <v>0</v>
      </c>
      <c r="I56" s="1716">
        <v>0</v>
      </c>
      <c r="J56" s="1715">
        <v>0</v>
      </c>
      <c r="K56" s="1715">
        <v>0</v>
      </c>
      <c r="L56" s="1716">
        <v>0</v>
      </c>
      <c r="M56" s="1715">
        <f>J56-K56</f>
        <v>0</v>
      </c>
      <c r="N56" s="1717">
        <v>1300</v>
      </c>
      <c r="O56" s="1717">
        <f t="shared" si="0"/>
        <v>0</v>
      </c>
      <c r="P56" s="1718">
        <v>0</v>
      </c>
      <c r="Q56" s="1717">
        <f t="shared" si="1"/>
        <v>0</v>
      </c>
      <c r="R56" s="1718">
        <v>0</v>
      </c>
      <c r="S56" s="1717">
        <f t="shared" si="2"/>
        <v>0</v>
      </c>
      <c r="T56" s="1718">
        <v>0</v>
      </c>
      <c r="U56" s="1717">
        <f t="shared" si="8"/>
        <v>0</v>
      </c>
      <c r="V56" s="1718">
        <v>0</v>
      </c>
      <c r="W56" s="1717">
        <f t="shared" si="4"/>
        <v>0</v>
      </c>
      <c r="X56" s="1718">
        <f t="shared" si="9"/>
        <v>0</v>
      </c>
      <c r="Y56" s="1717">
        <f t="shared" si="9"/>
        <v>0</v>
      </c>
      <c r="Z56" s="1719" t="s">
        <v>7799</v>
      </c>
      <c r="AA56" s="1720" t="s">
        <v>6527</v>
      </c>
      <c r="AB56" s="1704"/>
      <c r="AC56" s="1388" t="str">
        <f t="shared" si="6"/>
        <v>ok</v>
      </c>
    </row>
    <row r="57" spans="1:29" ht="21" x14ac:dyDescent="0.6">
      <c r="A57" s="1712">
        <v>49</v>
      </c>
      <c r="B57" s="1713" t="s">
        <v>8702</v>
      </c>
      <c r="C57" s="1714" t="s">
        <v>7798</v>
      </c>
      <c r="D57" s="1715">
        <v>0</v>
      </c>
      <c r="E57" s="1716">
        <v>0</v>
      </c>
      <c r="F57" s="1715">
        <v>0</v>
      </c>
      <c r="G57" s="1716">
        <v>0</v>
      </c>
      <c r="H57" s="1715">
        <v>0</v>
      </c>
      <c r="I57" s="1716">
        <v>0</v>
      </c>
      <c r="J57" s="1715">
        <v>0</v>
      </c>
      <c r="K57" s="1715">
        <v>0</v>
      </c>
      <c r="L57" s="1716">
        <v>0</v>
      </c>
      <c r="M57" s="1715">
        <f>J57-K57</f>
        <v>0</v>
      </c>
      <c r="N57" s="1717">
        <v>710</v>
      </c>
      <c r="O57" s="1717">
        <f t="shared" si="0"/>
        <v>0</v>
      </c>
      <c r="P57" s="1718">
        <v>0</v>
      </c>
      <c r="Q57" s="1717">
        <f t="shared" si="1"/>
        <v>0</v>
      </c>
      <c r="R57" s="1718">
        <v>0</v>
      </c>
      <c r="S57" s="1717">
        <f t="shared" si="2"/>
        <v>0</v>
      </c>
      <c r="T57" s="1718">
        <v>0</v>
      </c>
      <c r="U57" s="1717">
        <f t="shared" si="8"/>
        <v>0</v>
      </c>
      <c r="V57" s="1718">
        <v>0</v>
      </c>
      <c r="W57" s="1717">
        <f t="shared" si="4"/>
        <v>0</v>
      </c>
      <c r="X57" s="1718">
        <f t="shared" si="9"/>
        <v>0</v>
      </c>
      <c r="Y57" s="1717">
        <f t="shared" si="9"/>
        <v>0</v>
      </c>
      <c r="Z57" s="1719" t="s">
        <v>7799</v>
      </c>
      <c r="AA57" s="1720" t="s">
        <v>6527</v>
      </c>
      <c r="AB57" s="1704"/>
      <c r="AC57" s="1388" t="str">
        <f t="shared" si="6"/>
        <v>ok</v>
      </c>
    </row>
    <row r="58" spans="1:29" ht="21" x14ac:dyDescent="0.6">
      <c r="A58" s="1712">
        <v>50</v>
      </c>
      <c r="B58" s="1713" t="s">
        <v>8703</v>
      </c>
      <c r="C58" s="1714" t="s">
        <v>7798</v>
      </c>
      <c r="D58" s="1715">
        <v>0</v>
      </c>
      <c r="E58" s="1716">
        <v>0</v>
      </c>
      <c r="F58" s="1715">
        <v>0</v>
      </c>
      <c r="G58" s="1716">
        <v>0</v>
      </c>
      <c r="H58" s="1715">
        <v>0</v>
      </c>
      <c r="I58" s="1716">
        <v>0</v>
      </c>
      <c r="J58" s="1715">
        <v>0</v>
      </c>
      <c r="K58" s="1715">
        <v>2</v>
      </c>
      <c r="L58" s="1716">
        <v>180</v>
      </c>
      <c r="M58" s="1715">
        <v>0</v>
      </c>
      <c r="N58" s="1717">
        <v>90</v>
      </c>
      <c r="O58" s="1717">
        <f t="shared" si="0"/>
        <v>0</v>
      </c>
      <c r="P58" s="1718">
        <v>0</v>
      </c>
      <c r="Q58" s="1717">
        <v>0</v>
      </c>
      <c r="R58" s="1718">
        <v>0</v>
      </c>
      <c r="S58" s="1717">
        <f t="shared" si="2"/>
        <v>0</v>
      </c>
      <c r="T58" s="1718">
        <v>0</v>
      </c>
      <c r="U58" s="1717">
        <f t="shared" si="8"/>
        <v>0</v>
      </c>
      <c r="V58" s="1718">
        <v>0</v>
      </c>
      <c r="W58" s="1717">
        <v>0</v>
      </c>
      <c r="X58" s="1718">
        <f t="shared" si="9"/>
        <v>0</v>
      </c>
      <c r="Y58" s="1717">
        <f t="shared" si="9"/>
        <v>0</v>
      </c>
      <c r="Z58" s="1719" t="s">
        <v>7799</v>
      </c>
      <c r="AA58" s="1720" t="s">
        <v>6527</v>
      </c>
      <c r="AB58" s="1704"/>
      <c r="AC58" s="1388" t="str">
        <f t="shared" si="6"/>
        <v>ok</v>
      </c>
    </row>
    <row r="59" spans="1:29" ht="21" x14ac:dyDescent="0.6">
      <c r="A59" s="1712">
        <v>51</v>
      </c>
      <c r="B59" s="1713" t="s">
        <v>8704</v>
      </c>
      <c r="C59" s="1714" t="s">
        <v>8052</v>
      </c>
      <c r="D59" s="1715">
        <v>0</v>
      </c>
      <c r="E59" s="1716">
        <v>0</v>
      </c>
      <c r="F59" s="1715">
        <v>1</v>
      </c>
      <c r="G59" s="1716">
        <v>856</v>
      </c>
      <c r="H59" s="1715">
        <v>0</v>
      </c>
      <c r="I59" s="1716">
        <v>0</v>
      </c>
      <c r="J59" s="1715">
        <v>1</v>
      </c>
      <c r="K59" s="1715">
        <v>0</v>
      </c>
      <c r="L59" s="1716">
        <v>0</v>
      </c>
      <c r="M59" s="1715">
        <f>J59-K59</f>
        <v>1</v>
      </c>
      <c r="N59" s="1717">
        <v>856</v>
      </c>
      <c r="O59" s="1717">
        <f t="shared" si="0"/>
        <v>856</v>
      </c>
      <c r="P59" s="1718">
        <v>0</v>
      </c>
      <c r="Q59" s="1717">
        <f t="shared" ref="Q59:Q122" si="10">N59*P59</f>
        <v>0</v>
      </c>
      <c r="R59" s="1718">
        <v>1</v>
      </c>
      <c r="S59" s="1717">
        <f t="shared" si="2"/>
        <v>856</v>
      </c>
      <c r="T59" s="1718">
        <v>0</v>
      </c>
      <c r="U59" s="1717">
        <v>0</v>
      </c>
      <c r="V59" s="1718">
        <v>0</v>
      </c>
      <c r="W59" s="1717">
        <f t="shared" ref="W59:W90" si="11">N59*V59</f>
        <v>0</v>
      </c>
      <c r="X59" s="1718">
        <f t="shared" si="9"/>
        <v>1</v>
      </c>
      <c r="Y59" s="1717">
        <f t="shared" si="9"/>
        <v>856</v>
      </c>
      <c r="Z59" s="1719" t="s">
        <v>7799</v>
      </c>
      <c r="AA59" s="1720" t="s">
        <v>6527</v>
      </c>
      <c r="AB59" s="1704"/>
      <c r="AC59" s="1388" t="str">
        <f t="shared" si="6"/>
        <v>ok</v>
      </c>
    </row>
    <row r="60" spans="1:29" ht="21" x14ac:dyDescent="0.6">
      <c r="A60" s="1712">
        <v>52</v>
      </c>
      <c r="B60" s="1713" t="s">
        <v>8705</v>
      </c>
      <c r="C60" s="1714" t="s">
        <v>7798</v>
      </c>
      <c r="D60" s="1715">
        <v>1</v>
      </c>
      <c r="E60" s="1716">
        <v>950</v>
      </c>
      <c r="F60" s="1715">
        <v>0</v>
      </c>
      <c r="G60" s="1716">
        <v>0</v>
      </c>
      <c r="H60" s="1715">
        <v>0</v>
      </c>
      <c r="I60" s="1716">
        <v>0</v>
      </c>
      <c r="J60" s="1715">
        <v>0</v>
      </c>
      <c r="K60" s="1715">
        <v>5</v>
      </c>
      <c r="L60" s="1716">
        <v>3850</v>
      </c>
      <c r="M60" s="1715">
        <v>0</v>
      </c>
      <c r="N60" s="1717">
        <v>950</v>
      </c>
      <c r="O60" s="1717">
        <f t="shared" si="0"/>
        <v>0</v>
      </c>
      <c r="P60" s="1718">
        <v>0</v>
      </c>
      <c r="Q60" s="1717">
        <f t="shared" si="10"/>
        <v>0</v>
      </c>
      <c r="R60" s="1718">
        <v>0</v>
      </c>
      <c r="S60" s="1717">
        <f t="shared" si="2"/>
        <v>0</v>
      </c>
      <c r="T60" s="1718">
        <v>0</v>
      </c>
      <c r="U60" s="1717">
        <f t="shared" ref="U60:U90" si="12">N60*T60</f>
        <v>0</v>
      </c>
      <c r="V60" s="1718">
        <v>0</v>
      </c>
      <c r="W60" s="1717">
        <f t="shared" si="11"/>
        <v>0</v>
      </c>
      <c r="X60" s="1718">
        <f t="shared" si="9"/>
        <v>0</v>
      </c>
      <c r="Y60" s="1717">
        <f t="shared" si="9"/>
        <v>0</v>
      </c>
      <c r="Z60" s="1719" t="s">
        <v>7799</v>
      </c>
      <c r="AA60" s="1720" t="s">
        <v>6527</v>
      </c>
      <c r="AB60" s="1704"/>
      <c r="AC60" s="1388" t="str">
        <f t="shared" si="6"/>
        <v>ok</v>
      </c>
    </row>
    <row r="61" spans="1:29" ht="21" x14ac:dyDescent="0.6">
      <c r="A61" s="1712">
        <v>53</v>
      </c>
      <c r="B61" s="1713" t="s">
        <v>8706</v>
      </c>
      <c r="C61" s="1714" t="s">
        <v>7798</v>
      </c>
      <c r="D61" s="1715">
        <v>2</v>
      </c>
      <c r="E61" s="1716">
        <v>360</v>
      </c>
      <c r="F61" s="1715">
        <v>0</v>
      </c>
      <c r="G61" s="1716">
        <v>0</v>
      </c>
      <c r="H61" s="1715">
        <v>0</v>
      </c>
      <c r="I61" s="1716">
        <v>0</v>
      </c>
      <c r="J61" s="1715">
        <v>6</v>
      </c>
      <c r="K61" s="1715">
        <v>0</v>
      </c>
      <c r="L61" s="1716">
        <v>0</v>
      </c>
      <c r="M61" s="1715">
        <f t="shared" ref="M61:M66" si="13">J61-K61</f>
        <v>6</v>
      </c>
      <c r="N61" s="1717">
        <v>180</v>
      </c>
      <c r="O61" s="1717">
        <f t="shared" si="0"/>
        <v>1080</v>
      </c>
      <c r="P61" s="1718">
        <v>6</v>
      </c>
      <c r="Q61" s="1717">
        <f t="shared" si="10"/>
        <v>1080</v>
      </c>
      <c r="R61" s="1718">
        <v>0</v>
      </c>
      <c r="S61" s="1717">
        <f t="shared" si="2"/>
        <v>0</v>
      </c>
      <c r="T61" s="1718">
        <v>0</v>
      </c>
      <c r="U61" s="1717">
        <f t="shared" si="12"/>
        <v>0</v>
      </c>
      <c r="V61" s="1718">
        <v>0</v>
      </c>
      <c r="W61" s="1717">
        <f t="shared" si="11"/>
        <v>0</v>
      </c>
      <c r="X61" s="1718">
        <f t="shared" si="9"/>
        <v>6</v>
      </c>
      <c r="Y61" s="1717">
        <f t="shared" si="9"/>
        <v>1080</v>
      </c>
      <c r="Z61" s="1719" t="s">
        <v>7799</v>
      </c>
      <c r="AA61" s="1720" t="s">
        <v>6527</v>
      </c>
      <c r="AB61" s="1704"/>
      <c r="AC61" s="1388" t="str">
        <f t="shared" si="6"/>
        <v>ok</v>
      </c>
    </row>
    <row r="62" spans="1:29" ht="21" x14ac:dyDescent="0.6">
      <c r="A62" s="1712">
        <v>54</v>
      </c>
      <c r="B62" s="1713" t="s">
        <v>8707</v>
      </c>
      <c r="C62" s="1714" t="s">
        <v>7798</v>
      </c>
      <c r="D62" s="1715">
        <v>2</v>
      </c>
      <c r="E62" s="1716">
        <v>360</v>
      </c>
      <c r="F62" s="1715">
        <v>0</v>
      </c>
      <c r="G62" s="1716">
        <v>0</v>
      </c>
      <c r="H62" s="1715">
        <v>0</v>
      </c>
      <c r="I62" s="1716">
        <v>0</v>
      </c>
      <c r="J62" s="1715">
        <v>6</v>
      </c>
      <c r="K62" s="1715">
        <v>2</v>
      </c>
      <c r="L62" s="1716">
        <v>330</v>
      </c>
      <c r="M62" s="1715">
        <f t="shared" si="13"/>
        <v>4</v>
      </c>
      <c r="N62" s="1717">
        <v>180</v>
      </c>
      <c r="O62" s="1717">
        <f t="shared" si="0"/>
        <v>720</v>
      </c>
      <c r="P62" s="1718">
        <v>4</v>
      </c>
      <c r="Q62" s="1717">
        <f t="shared" si="10"/>
        <v>720</v>
      </c>
      <c r="R62" s="1718">
        <v>0</v>
      </c>
      <c r="S62" s="1717">
        <f t="shared" si="2"/>
        <v>0</v>
      </c>
      <c r="T62" s="1718">
        <v>0</v>
      </c>
      <c r="U62" s="1717">
        <f t="shared" si="12"/>
        <v>0</v>
      </c>
      <c r="V62" s="1718">
        <v>0</v>
      </c>
      <c r="W62" s="1717">
        <f t="shared" si="11"/>
        <v>0</v>
      </c>
      <c r="X62" s="1718">
        <f t="shared" si="9"/>
        <v>4</v>
      </c>
      <c r="Y62" s="1717">
        <f t="shared" si="9"/>
        <v>720</v>
      </c>
      <c r="Z62" s="1719" t="s">
        <v>7799</v>
      </c>
      <c r="AA62" s="1720" t="s">
        <v>6527</v>
      </c>
      <c r="AB62" s="1704"/>
      <c r="AC62" s="1388" t="str">
        <f t="shared" si="6"/>
        <v>ok</v>
      </c>
    </row>
    <row r="63" spans="1:29" ht="21" x14ac:dyDescent="0.6">
      <c r="A63" s="1712">
        <v>55</v>
      </c>
      <c r="B63" s="1713" t="s">
        <v>8708</v>
      </c>
      <c r="C63" s="1714" t="s">
        <v>7798</v>
      </c>
      <c r="D63" s="1715">
        <v>0</v>
      </c>
      <c r="E63" s="1716">
        <v>0</v>
      </c>
      <c r="F63" s="1715">
        <v>0</v>
      </c>
      <c r="G63" s="1716">
        <v>0</v>
      </c>
      <c r="H63" s="1715">
        <v>0</v>
      </c>
      <c r="I63" s="1716">
        <v>0</v>
      </c>
      <c r="J63" s="1715">
        <v>6</v>
      </c>
      <c r="K63" s="1715">
        <v>2</v>
      </c>
      <c r="L63" s="1716">
        <v>360</v>
      </c>
      <c r="M63" s="1715">
        <f t="shared" si="13"/>
        <v>4</v>
      </c>
      <c r="N63" s="1717">
        <v>180</v>
      </c>
      <c r="O63" s="1717">
        <f t="shared" si="0"/>
        <v>720</v>
      </c>
      <c r="P63" s="1718">
        <v>4</v>
      </c>
      <c r="Q63" s="1717">
        <f t="shared" si="10"/>
        <v>720</v>
      </c>
      <c r="R63" s="1718">
        <v>0</v>
      </c>
      <c r="S63" s="1717">
        <f t="shared" si="2"/>
        <v>0</v>
      </c>
      <c r="T63" s="1718">
        <v>0</v>
      </c>
      <c r="U63" s="1717">
        <f t="shared" si="12"/>
        <v>0</v>
      </c>
      <c r="V63" s="1718">
        <v>0</v>
      </c>
      <c r="W63" s="1717">
        <f t="shared" si="11"/>
        <v>0</v>
      </c>
      <c r="X63" s="1718">
        <f t="shared" si="9"/>
        <v>4</v>
      </c>
      <c r="Y63" s="1717">
        <f t="shared" si="9"/>
        <v>720</v>
      </c>
      <c r="Z63" s="1719" t="s">
        <v>7799</v>
      </c>
      <c r="AA63" s="1720" t="s">
        <v>6527</v>
      </c>
      <c r="AB63" s="1704"/>
      <c r="AC63" s="1388" t="str">
        <f t="shared" si="6"/>
        <v>ok</v>
      </c>
    </row>
    <row r="64" spans="1:29" ht="21" x14ac:dyDescent="0.6">
      <c r="A64" s="1712">
        <v>56</v>
      </c>
      <c r="B64" s="1713" t="s">
        <v>8709</v>
      </c>
      <c r="C64" s="1714" t="s">
        <v>7798</v>
      </c>
      <c r="D64" s="1715">
        <v>0</v>
      </c>
      <c r="E64" s="1716">
        <v>0</v>
      </c>
      <c r="F64" s="1715">
        <v>0</v>
      </c>
      <c r="G64" s="1716">
        <v>0</v>
      </c>
      <c r="H64" s="1715">
        <v>0</v>
      </c>
      <c r="I64" s="1716">
        <v>0</v>
      </c>
      <c r="J64" s="1715">
        <v>6</v>
      </c>
      <c r="K64" s="1715">
        <v>0</v>
      </c>
      <c r="L64" s="1716">
        <v>0</v>
      </c>
      <c r="M64" s="1715">
        <f t="shared" si="13"/>
        <v>6</v>
      </c>
      <c r="N64" s="1717">
        <v>250</v>
      </c>
      <c r="O64" s="1717">
        <f t="shared" si="0"/>
        <v>1500</v>
      </c>
      <c r="P64" s="1718">
        <v>6</v>
      </c>
      <c r="Q64" s="1717">
        <f t="shared" si="10"/>
        <v>1500</v>
      </c>
      <c r="R64" s="1718">
        <v>0</v>
      </c>
      <c r="S64" s="1717">
        <f t="shared" si="2"/>
        <v>0</v>
      </c>
      <c r="T64" s="1718">
        <v>0</v>
      </c>
      <c r="U64" s="1717">
        <f t="shared" si="12"/>
        <v>0</v>
      </c>
      <c r="V64" s="1718">
        <v>0</v>
      </c>
      <c r="W64" s="1717">
        <f t="shared" si="11"/>
        <v>0</v>
      </c>
      <c r="X64" s="1718">
        <f t="shared" si="9"/>
        <v>6</v>
      </c>
      <c r="Y64" s="1717">
        <f t="shared" si="9"/>
        <v>1500</v>
      </c>
      <c r="Z64" s="1719" t="s">
        <v>7799</v>
      </c>
      <c r="AA64" s="1720" t="s">
        <v>6527</v>
      </c>
      <c r="AB64" s="1704"/>
      <c r="AC64" s="1388" t="str">
        <f t="shared" si="6"/>
        <v>ok</v>
      </c>
    </row>
    <row r="65" spans="1:29" ht="21" x14ac:dyDescent="0.6">
      <c r="A65" s="1712">
        <v>57</v>
      </c>
      <c r="B65" s="1713" t="s">
        <v>8710</v>
      </c>
      <c r="C65" s="1714" t="s">
        <v>8206</v>
      </c>
      <c r="D65" s="1715">
        <v>2</v>
      </c>
      <c r="E65" s="1716">
        <v>17976</v>
      </c>
      <c r="F65" s="1715">
        <v>1</v>
      </c>
      <c r="G65" s="1716">
        <v>8988</v>
      </c>
      <c r="H65" s="1715">
        <v>0</v>
      </c>
      <c r="I65" s="1716">
        <v>0</v>
      </c>
      <c r="J65" s="1715">
        <v>2</v>
      </c>
      <c r="K65" s="1715">
        <v>1</v>
      </c>
      <c r="L65" s="1716">
        <v>2600</v>
      </c>
      <c r="M65" s="1715">
        <f t="shared" si="13"/>
        <v>1</v>
      </c>
      <c r="N65" s="1717">
        <v>2600</v>
      </c>
      <c r="O65" s="1717">
        <f t="shared" si="0"/>
        <v>2600</v>
      </c>
      <c r="P65" s="1718">
        <v>0</v>
      </c>
      <c r="Q65" s="1717">
        <f t="shared" si="10"/>
        <v>0</v>
      </c>
      <c r="R65" s="1718">
        <v>1</v>
      </c>
      <c r="S65" s="1717">
        <f t="shared" si="2"/>
        <v>2600</v>
      </c>
      <c r="T65" s="1718">
        <v>0</v>
      </c>
      <c r="U65" s="1717">
        <f t="shared" si="12"/>
        <v>0</v>
      </c>
      <c r="V65" s="1718">
        <v>0</v>
      </c>
      <c r="W65" s="1717">
        <f t="shared" si="11"/>
        <v>0</v>
      </c>
      <c r="X65" s="1718">
        <f t="shared" si="9"/>
        <v>1</v>
      </c>
      <c r="Y65" s="1717">
        <f t="shared" si="9"/>
        <v>2600</v>
      </c>
      <c r="Z65" s="1719" t="s">
        <v>7799</v>
      </c>
      <c r="AA65" s="1720" t="s">
        <v>6527</v>
      </c>
      <c r="AB65" s="1704"/>
      <c r="AC65" s="1388" t="str">
        <f t="shared" si="6"/>
        <v>ok</v>
      </c>
    </row>
    <row r="66" spans="1:29" ht="21" x14ac:dyDescent="0.6">
      <c r="A66" s="1712">
        <v>58</v>
      </c>
      <c r="B66" s="1713" t="s">
        <v>8711</v>
      </c>
      <c r="C66" s="1714" t="s">
        <v>7798</v>
      </c>
      <c r="D66" s="1715">
        <v>0</v>
      </c>
      <c r="E66" s="1716">
        <v>0</v>
      </c>
      <c r="F66" s="1715">
        <v>0</v>
      </c>
      <c r="G66" s="1716">
        <v>0</v>
      </c>
      <c r="H66" s="1715">
        <v>0</v>
      </c>
      <c r="I66" s="1716">
        <v>0</v>
      </c>
      <c r="J66" s="1715">
        <v>0</v>
      </c>
      <c r="K66" s="1715">
        <v>0</v>
      </c>
      <c r="L66" s="1716">
        <v>0</v>
      </c>
      <c r="M66" s="1715">
        <f t="shared" si="13"/>
        <v>0</v>
      </c>
      <c r="N66" s="1717">
        <v>180</v>
      </c>
      <c r="O66" s="1717">
        <f t="shared" si="0"/>
        <v>0</v>
      </c>
      <c r="P66" s="1718">
        <v>0</v>
      </c>
      <c r="Q66" s="1717">
        <f t="shared" si="10"/>
        <v>0</v>
      </c>
      <c r="R66" s="1718">
        <v>0</v>
      </c>
      <c r="S66" s="1717">
        <f t="shared" si="2"/>
        <v>0</v>
      </c>
      <c r="T66" s="1718">
        <v>0</v>
      </c>
      <c r="U66" s="1717">
        <f t="shared" si="12"/>
        <v>0</v>
      </c>
      <c r="V66" s="1718">
        <v>0</v>
      </c>
      <c r="W66" s="1717">
        <f t="shared" si="11"/>
        <v>0</v>
      </c>
      <c r="X66" s="1718">
        <f t="shared" si="9"/>
        <v>0</v>
      </c>
      <c r="Y66" s="1717">
        <f t="shared" si="9"/>
        <v>0</v>
      </c>
      <c r="Z66" s="1719" t="s">
        <v>7799</v>
      </c>
      <c r="AA66" s="1720" t="s">
        <v>6527</v>
      </c>
      <c r="AB66" s="1704"/>
      <c r="AC66" s="1388" t="str">
        <f t="shared" si="6"/>
        <v>ok</v>
      </c>
    </row>
    <row r="67" spans="1:29" ht="21" x14ac:dyDescent="0.6">
      <c r="A67" s="1712">
        <v>59</v>
      </c>
      <c r="B67" s="1713" t="s">
        <v>8712</v>
      </c>
      <c r="C67" s="1714" t="s">
        <v>7798</v>
      </c>
      <c r="D67" s="1715">
        <v>0</v>
      </c>
      <c r="E67" s="1716">
        <v>0</v>
      </c>
      <c r="F67" s="1715">
        <v>0</v>
      </c>
      <c r="G67" s="1716">
        <v>0</v>
      </c>
      <c r="H67" s="1715">
        <v>0</v>
      </c>
      <c r="I67" s="1716">
        <v>0</v>
      </c>
      <c r="J67" s="1715">
        <v>0</v>
      </c>
      <c r="K67" s="1715">
        <v>2</v>
      </c>
      <c r="L67" s="1716">
        <v>780</v>
      </c>
      <c r="M67" s="1715">
        <v>0</v>
      </c>
      <c r="N67" s="1717">
        <v>600</v>
      </c>
      <c r="O67" s="1717">
        <f t="shared" si="0"/>
        <v>0</v>
      </c>
      <c r="P67" s="1718">
        <v>0</v>
      </c>
      <c r="Q67" s="1717">
        <f t="shared" si="10"/>
        <v>0</v>
      </c>
      <c r="R67" s="1718">
        <v>0</v>
      </c>
      <c r="S67" s="1717">
        <f t="shared" si="2"/>
        <v>0</v>
      </c>
      <c r="T67" s="1718">
        <v>0</v>
      </c>
      <c r="U67" s="1717">
        <f t="shared" si="12"/>
        <v>0</v>
      </c>
      <c r="V67" s="1718">
        <v>0</v>
      </c>
      <c r="W67" s="1717">
        <f t="shared" si="11"/>
        <v>0</v>
      </c>
      <c r="X67" s="1718">
        <f t="shared" si="9"/>
        <v>0</v>
      </c>
      <c r="Y67" s="1717">
        <f t="shared" si="9"/>
        <v>0</v>
      </c>
      <c r="Z67" s="1719" t="s">
        <v>7799</v>
      </c>
      <c r="AA67" s="1720" t="s">
        <v>6527</v>
      </c>
      <c r="AB67" s="1704"/>
      <c r="AC67" s="1388" t="str">
        <f t="shared" si="6"/>
        <v>ok</v>
      </c>
    </row>
    <row r="68" spans="1:29" ht="21" x14ac:dyDescent="0.6">
      <c r="A68" s="1712">
        <v>60</v>
      </c>
      <c r="B68" s="1713" t="s">
        <v>8713</v>
      </c>
      <c r="C68" s="1714" t="s">
        <v>7798</v>
      </c>
      <c r="D68" s="1715">
        <v>2</v>
      </c>
      <c r="E68" s="1716">
        <v>360</v>
      </c>
      <c r="F68" s="1715">
        <v>0</v>
      </c>
      <c r="G68" s="1716">
        <v>0</v>
      </c>
      <c r="H68" s="1715">
        <v>0</v>
      </c>
      <c r="I68" s="1716">
        <v>0</v>
      </c>
      <c r="J68" s="1715">
        <v>6</v>
      </c>
      <c r="K68" s="1715">
        <v>1</v>
      </c>
      <c r="L68" s="1716">
        <v>180</v>
      </c>
      <c r="M68" s="1715">
        <f>J68-K68</f>
        <v>5</v>
      </c>
      <c r="N68" s="1717">
        <v>180</v>
      </c>
      <c r="O68" s="1717">
        <f t="shared" si="0"/>
        <v>900</v>
      </c>
      <c r="P68" s="1718">
        <v>5</v>
      </c>
      <c r="Q68" s="1717">
        <f t="shared" si="10"/>
        <v>900</v>
      </c>
      <c r="R68" s="1718">
        <v>0</v>
      </c>
      <c r="S68" s="1717">
        <f t="shared" si="2"/>
        <v>0</v>
      </c>
      <c r="T68" s="1718">
        <v>0</v>
      </c>
      <c r="U68" s="1717">
        <f t="shared" si="12"/>
        <v>0</v>
      </c>
      <c r="V68" s="1718">
        <v>0</v>
      </c>
      <c r="W68" s="1717">
        <f t="shared" si="11"/>
        <v>0</v>
      </c>
      <c r="X68" s="1718">
        <f t="shared" si="9"/>
        <v>5</v>
      </c>
      <c r="Y68" s="1717">
        <f t="shared" si="9"/>
        <v>900</v>
      </c>
      <c r="Z68" s="1719" t="s">
        <v>7799</v>
      </c>
      <c r="AA68" s="1720" t="s">
        <v>6527</v>
      </c>
      <c r="AB68" s="1704"/>
      <c r="AC68" s="1388" t="str">
        <f t="shared" si="6"/>
        <v>ok</v>
      </c>
    </row>
    <row r="69" spans="1:29" ht="21" x14ac:dyDescent="0.6">
      <c r="A69" s="1712">
        <v>61</v>
      </c>
      <c r="B69" s="1713" t="s">
        <v>8714</v>
      </c>
      <c r="C69" s="1714" t="s">
        <v>7798</v>
      </c>
      <c r="D69" s="1715">
        <v>3</v>
      </c>
      <c r="E69" s="1716">
        <v>2550</v>
      </c>
      <c r="F69" s="1715">
        <v>1</v>
      </c>
      <c r="G69" s="1716">
        <v>850</v>
      </c>
      <c r="H69" s="1715">
        <v>0</v>
      </c>
      <c r="I69" s="1716">
        <v>0</v>
      </c>
      <c r="J69" s="1715">
        <v>17</v>
      </c>
      <c r="K69" s="1715">
        <v>4</v>
      </c>
      <c r="L69" s="1716">
        <v>2160</v>
      </c>
      <c r="M69" s="1715">
        <f>J69-K69</f>
        <v>13</v>
      </c>
      <c r="N69" s="1717">
        <v>540</v>
      </c>
      <c r="O69" s="1717">
        <f t="shared" si="0"/>
        <v>7020</v>
      </c>
      <c r="P69" s="1718">
        <v>13</v>
      </c>
      <c r="Q69" s="1717">
        <f t="shared" si="10"/>
        <v>7020</v>
      </c>
      <c r="R69" s="1718">
        <v>0</v>
      </c>
      <c r="S69" s="1717">
        <f t="shared" si="2"/>
        <v>0</v>
      </c>
      <c r="T69" s="1718">
        <v>0</v>
      </c>
      <c r="U69" s="1717">
        <f t="shared" si="12"/>
        <v>0</v>
      </c>
      <c r="V69" s="1718">
        <v>0</v>
      </c>
      <c r="W69" s="1717">
        <f t="shared" si="11"/>
        <v>0</v>
      </c>
      <c r="X69" s="1718">
        <f t="shared" si="9"/>
        <v>13</v>
      </c>
      <c r="Y69" s="1717">
        <f t="shared" si="9"/>
        <v>7020</v>
      </c>
      <c r="Z69" s="1719" t="s">
        <v>7799</v>
      </c>
      <c r="AA69" s="1720" t="s">
        <v>6527</v>
      </c>
      <c r="AB69" s="1704"/>
      <c r="AC69" s="1388" t="str">
        <f t="shared" si="6"/>
        <v>ok</v>
      </c>
    </row>
    <row r="70" spans="1:29" ht="21" x14ac:dyDescent="0.6">
      <c r="A70" s="1712">
        <v>62</v>
      </c>
      <c r="B70" s="1713" t="s">
        <v>8715</v>
      </c>
      <c r="C70" s="1714" t="s">
        <v>7798</v>
      </c>
      <c r="D70" s="1715">
        <v>0</v>
      </c>
      <c r="E70" s="1716">
        <v>0</v>
      </c>
      <c r="F70" s="1715">
        <v>0</v>
      </c>
      <c r="G70" s="1716">
        <v>0</v>
      </c>
      <c r="H70" s="1715">
        <v>0</v>
      </c>
      <c r="I70" s="1716">
        <v>0</v>
      </c>
      <c r="J70" s="1715">
        <v>0</v>
      </c>
      <c r="K70" s="1715">
        <v>0</v>
      </c>
      <c r="L70" s="1716">
        <v>0</v>
      </c>
      <c r="M70" s="1715">
        <f>J70-K70</f>
        <v>0</v>
      </c>
      <c r="N70" s="1717">
        <v>250</v>
      </c>
      <c r="O70" s="1717">
        <f t="shared" si="0"/>
        <v>0</v>
      </c>
      <c r="P70" s="1718">
        <v>0</v>
      </c>
      <c r="Q70" s="1717">
        <f t="shared" si="10"/>
        <v>0</v>
      </c>
      <c r="R70" s="1718">
        <v>0</v>
      </c>
      <c r="S70" s="1717">
        <f t="shared" si="2"/>
        <v>0</v>
      </c>
      <c r="T70" s="1718">
        <v>0</v>
      </c>
      <c r="U70" s="1717">
        <f t="shared" si="12"/>
        <v>0</v>
      </c>
      <c r="V70" s="1718">
        <v>0</v>
      </c>
      <c r="W70" s="1717">
        <f t="shared" si="11"/>
        <v>0</v>
      </c>
      <c r="X70" s="1718">
        <f t="shared" si="9"/>
        <v>0</v>
      </c>
      <c r="Y70" s="1717">
        <f t="shared" si="9"/>
        <v>0</v>
      </c>
      <c r="Z70" s="1719" t="s">
        <v>7799</v>
      </c>
      <c r="AA70" s="1720" t="s">
        <v>6527</v>
      </c>
      <c r="AB70" s="1704"/>
      <c r="AC70" s="1388" t="str">
        <f t="shared" si="6"/>
        <v>ok</v>
      </c>
    </row>
    <row r="71" spans="1:29" ht="21" x14ac:dyDescent="0.6">
      <c r="A71" s="1712">
        <v>63</v>
      </c>
      <c r="B71" s="1713" t="s">
        <v>8716</v>
      </c>
      <c r="C71" s="1714" t="s">
        <v>8052</v>
      </c>
      <c r="D71" s="1715">
        <v>2</v>
      </c>
      <c r="E71" s="1716">
        <v>3800</v>
      </c>
      <c r="F71" s="1715">
        <v>3</v>
      </c>
      <c r="G71" s="1716">
        <v>5700</v>
      </c>
      <c r="H71" s="1715">
        <v>1</v>
      </c>
      <c r="I71" s="1716">
        <v>2000</v>
      </c>
      <c r="J71" s="1715">
        <v>0</v>
      </c>
      <c r="K71" s="1715">
        <v>1</v>
      </c>
      <c r="L71" s="1716">
        <v>2000</v>
      </c>
      <c r="M71" s="1715">
        <v>0</v>
      </c>
      <c r="N71" s="1717">
        <v>2000</v>
      </c>
      <c r="O71" s="1717">
        <f t="shared" si="0"/>
        <v>0</v>
      </c>
      <c r="P71" s="1718">
        <v>0</v>
      </c>
      <c r="Q71" s="1717">
        <f t="shared" si="10"/>
        <v>0</v>
      </c>
      <c r="R71" s="1718">
        <v>0</v>
      </c>
      <c r="S71" s="1717">
        <f t="shared" si="2"/>
        <v>0</v>
      </c>
      <c r="T71" s="1718">
        <v>0</v>
      </c>
      <c r="U71" s="1717">
        <f t="shared" si="12"/>
        <v>0</v>
      </c>
      <c r="V71" s="1718">
        <v>0</v>
      </c>
      <c r="W71" s="1717">
        <f t="shared" si="11"/>
        <v>0</v>
      </c>
      <c r="X71" s="1718">
        <f t="shared" si="9"/>
        <v>0</v>
      </c>
      <c r="Y71" s="1717">
        <f t="shared" si="9"/>
        <v>0</v>
      </c>
      <c r="Z71" s="1719" t="s">
        <v>7799</v>
      </c>
      <c r="AA71" s="1720" t="s">
        <v>6527</v>
      </c>
      <c r="AB71" s="1704"/>
      <c r="AC71" s="1388" t="str">
        <f t="shared" si="6"/>
        <v>ok</v>
      </c>
    </row>
    <row r="72" spans="1:29" ht="21" x14ac:dyDescent="0.6">
      <c r="A72" s="1712">
        <v>64</v>
      </c>
      <c r="B72" s="1713" t="s">
        <v>8717</v>
      </c>
      <c r="C72" s="1714" t="s">
        <v>8052</v>
      </c>
      <c r="D72" s="1715">
        <v>0</v>
      </c>
      <c r="E72" s="1716">
        <v>0</v>
      </c>
      <c r="F72" s="1715">
        <v>1</v>
      </c>
      <c r="G72" s="1716">
        <v>3000</v>
      </c>
      <c r="H72" s="1715">
        <v>0</v>
      </c>
      <c r="I72" s="1716">
        <v>0</v>
      </c>
      <c r="J72" s="1715">
        <v>0</v>
      </c>
      <c r="K72" s="1715">
        <v>0</v>
      </c>
      <c r="L72" s="1716">
        <v>0</v>
      </c>
      <c r="M72" s="1715">
        <f>J72-K72</f>
        <v>0</v>
      </c>
      <c r="N72" s="1717">
        <v>2800</v>
      </c>
      <c r="O72" s="1717">
        <f t="shared" si="0"/>
        <v>0</v>
      </c>
      <c r="P72" s="1718">
        <v>0</v>
      </c>
      <c r="Q72" s="1717">
        <f t="shared" si="10"/>
        <v>0</v>
      </c>
      <c r="R72" s="1718">
        <v>0</v>
      </c>
      <c r="S72" s="1717">
        <f t="shared" si="2"/>
        <v>0</v>
      </c>
      <c r="T72" s="1718">
        <v>0</v>
      </c>
      <c r="U72" s="1717">
        <f t="shared" si="12"/>
        <v>0</v>
      </c>
      <c r="V72" s="1718">
        <v>0</v>
      </c>
      <c r="W72" s="1717">
        <f t="shared" si="11"/>
        <v>0</v>
      </c>
      <c r="X72" s="1718">
        <f t="shared" si="9"/>
        <v>0</v>
      </c>
      <c r="Y72" s="1717">
        <f t="shared" si="9"/>
        <v>0</v>
      </c>
      <c r="Z72" s="1719" t="s">
        <v>7799</v>
      </c>
      <c r="AA72" s="1720" t="s">
        <v>6527</v>
      </c>
      <c r="AB72" s="1704"/>
      <c r="AC72" s="1388" t="str">
        <f t="shared" si="6"/>
        <v>ok</v>
      </c>
    </row>
    <row r="73" spans="1:29" ht="21" x14ac:dyDescent="0.6">
      <c r="A73" s="1712">
        <v>65</v>
      </c>
      <c r="B73" s="1713" t="s">
        <v>8718</v>
      </c>
      <c r="C73" s="1714" t="s">
        <v>8052</v>
      </c>
      <c r="D73" s="1715">
        <v>0</v>
      </c>
      <c r="E73" s="1716">
        <v>0</v>
      </c>
      <c r="F73" s="1715">
        <v>0</v>
      </c>
      <c r="G73" s="1716">
        <v>0</v>
      </c>
      <c r="H73" s="1715">
        <v>0</v>
      </c>
      <c r="I73" s="1716">
        <v>0</v>
      </c>
      <c r="J73" s="1715">
        <v>0</v>
      </c>
      <c r="K73" s="1715">
        <v>0</v>
      </c>
      <c r="L73" s="1716">
        <v>0</v>
      </c>
      <c r="M73" s="1715">
        <f>J73-K73</f>
        <v>0</v>
      </c>
      <c r="N73" s="1717">
        <v>2500</v>
      </c>
      <c r="O73" s="1717">
        <f t="shared" ref="O73:O111" si="14">M73*N73</f>
        <v>0</v>
      </c>
      <c r="P73" s="1718">
        <v>0</v>
      </c>
      <c r="Q73" s="1717">
        <f t="shared" si="10"/>
        <v>0</v>
      </c>
      <c r="R73" s="1718">
        <v>0</v>
      </c>
      <c r="S73" s="1717">
        <f t="shared" ref="S73:S82" si="15">N73*R73</f>
        <v>0</v>
      </c>
      <c r="T73" s="1718">
        <v>0</v>
      </c>
      <c r="U73" s="1717">
        <f t="shared" si="12"/>
        <v>0</v>
      </c>
      <c r="V73" s="1718">
        <v>0</v>
      </c>
      <c r="W73" s="1717">
        <f t="shared" si="11"/>
        <v>0</v>
      </c>
      <c r="X73" s="1718">
        <f t="shared" si="9"/>
        <v>0</v>
      </c>
      <c r="Y73" s="1717">
        <f t="shared" si="9"/>
        <v>0</v>
      </c>
      <c r="Z73" s="1719" t="s">
        <v>7799</v>
      </c>
      <c r="AA73" s="1720" t="s">
        <v>6527</v>
      </c>
      <c r="AB73" s="1704"/>
      <c r="AC73" s="1388" t="str">
        <f t="shared" ref="AC73:AC136" si="16">IF(O73=Y73,"ok")</f>
        <v>ok</v>
      </c>
    </row>
    <row r="74" spans="1:29" s="1721" customFormat="1" ht="21" x14ac:dyDescent="0.6">
      <c r="A74" s="1705">
        <v>66</v>
      </c>
      <c r="B74" s="1706" t="s">
        <v>8719</v>
      </c>
      <c r="C74" s="1707" t="s">
        <v>7841</v>
      </c>
      <c r="D74" s="1708">
        <v>0</v>
      </c>
      <c r="E74" s="1709">
        <v>0</v>
      </c>
      <c r="F74" s="1708">
        <v>0</v>
      </c>
      <c r="G74" s="1709">
        <v>0</v>
      </c>
      <c r="H74" s="1708">
        <v>2</v>
      </c>
      <c r="I74" s="1709">
        <v>2360.4</v>
      </c>
      <c r="J74" s="1708">
        <v>4</v>
      </c>
      <c r="K74" s="1708">
        <v>6</v>
      </c>
      <c r="L74" s="1709">
        <v>7080.96</v>
      </c>
      <c r="M74" s="1708">
        <v>0</v>
      </c>
      <c r="N74" s="1710">
        <v>1378.16</v>
      </c>
      <c r="O74" s="1710">
        <f t="shared" si="14"/>
        <v>0</v>
      </c>
      <c r="P74" s="1711">
        <v>0</v>
      </c>
      <c r="Q74" s="1710">
        <f t="shared" si="10"/>
        <v>0</v>
      </c>
      <c r="R74" s="1711">
        <v>0</v>
      </c>
      <c r="S74" s="1710">
        <f t="shared" si="15"/>
        <v>0</v>
      </c>
      <c r="T74" s="1711">
        <v>0</v>
      </c>
      <c r="U74" s="1710">
        <f t="shared" si="12"/>
        <v>0</v>
      </c>
      <c r="V74" s="1711">
        <v>0</v>
      </c>
      <c r="W74" s="1710">
        <f t="shared" si="11"/>
        <v>0</v>
      </c>
      <c r="X74" s="1711">
        <f t="shared" si="9"/>
        <v>0</v>
      </c>
      <c r="Y74" s="1710">
        <f t="shared" si="9"/>
        <v>0</v>
      </c>
      <c r="Z74" s="1719" t="s">
        <v>7799</v>
      </c>
      <c r="AA74" s="1720" t="s">
        <v>6527</v>
      </c>
      <c r="AB74" s="1704"/>
      <c r="AC74" s="1388" t="str">
        <f t="shared" si="16"/>
        <v>ok</v>
      </c>
    </row>
    <row r="75" spans="1:29" ht="21" x14ac:dyDescent="0.6">
      <c r="A75" s="1712">
        <v>67</v>
      </c>
      <c r="B75" s="1713" t="s">
        <v>8720</v>
      </c>
      <c r="C75" s="1714" t="s">
        <v>7816</v>
      </c>
      <c r="D75" s="1715">
        <v>0</v>
      </c>
      <c r="E75" s="1716">
        <v>0</v>
      </c>
      <c r="F75" s="1715">
        <v>2</v>
      </c>
      <c r="G75" s="1716">
        <v>2800</v>
      </c>
      <c r="H75" s="1715">
        <v>0</v>
      </c>
      <c r="I75" s="1716">
        <v>0</v>
      </c>
      <c r="J75" s="1715">
        <v>1</v>
      </c>
      <c r="K75" s="1715">
        <v>0</v>
      </c>
      <c r="L75" s="1716">
        <v>0</v>
      </c>
      <c r="M75" s="1715">
        <f>J75-K75</f>
        <v>1</v>
      </c>
      <c r="N75" s="1717">
        <v>2470.1</v>
      </c>
      <c r="O75" s="1717">
        <f t="shared" si="14"/>
        <v>2470.1</v>
      </c>
      <c r="P75" s="1718">
        <v>0</v>
      </c>
      <c r="Q75" s="1717">
        <f t="shared" si="10"/>
        <v>0</v>
      </c>
      <c r="R75" s="1718">
        <v>0</v>
      </c>
      <c r="S75" s="1717">
        <f t="shared" si="15"/>
        <v>0</v>
      </c>
      <c r="T75" s="1718">
        <v>1</v>
      </c>
      <c r="U75" s="1717">
        <f t="shared" si="12"/>
        <v>2470.1</v>
      </c>
      <c r="V75" s="1718">
        <v>0</v>
      </c>
      <c r="W75" s="1717">
        <f t="shared" si="11"/>
        <v>0</v>
      </c>
      <c r="X75" s="1718">
        <f t="shared" si="9"/>
        <v>1</v>
      </c>
      <c r="Y75" s="1717">
        <f t="shared" si="9"/>
        <v>2470.1</v>
      </c>
      <c r="Z75" s="1719" t="s">
        <v>7799</v>
      </c>
      <c r="AA75" s="1720" t="s">
        <v>6527</v>
      </c>
      <c r="AB75" s="1704"/>
      <c r="AC75" s="1388" t="str">
        <f t="shared" si="16"/>
        <v>ok</v>
      </c>
    </row>
    <row r="76" spans="1:29" ht="21" x14ac:dyDescent="0.6">
      <c r="A76" s="1712">
        <v>68</v>
      </c>
      <c r="B76" s="1713" t="s">
        <v>8721</v>
      </c>
      <c r="C76" s="1714" t="s">
        <v>8206</v>
      </c>
      <c r="D76" s="1715">
        <v>1</v>
      </c>
      <c r="E76" s="1716">
        <v>350</v>
      </c>
      <c r="F76" s="1715">
        <v>0</v>
      </c>
      <c r="G76" s="1716">
        <v>0</v>
      </c>
      <c r="H76" s="1715">
        <v>0</v>
      </c>
      <c r="I76" s="1716">
        <v>0</v>
      </c>
      <c r="J76" s="1715">
        <v>1</v>
      </c>
      <c r="K76" s="1715">
        <v>0</v>
      </c>
      <c r="L76" s="1716">
        <v>0</v>
      </c>
      <c r="M76" s="1715">
        <f>J76-K76</f>
        <v>1</v>
      </c>
      <c r="N76" s="1717">
        <v>350</v>
      </c>
      <c r="O76" s="1717">
        <f t="shared" si="14"/>
        <v>350</v>
      </c>
      <c r="P76" s="1718">
        <v>0</v>
      </c>
      <c r="Q76" s="1717">
        <f t="shared" si="10"/>
        <v>0</v>
      </c>
      <c r="R76" s="1718">
        <v>0</v>
      </c>
      <c r="S76" s="1717">
        <f t="shared" si="15"/>
        <v>0</v>
      </c>
      <c r="T76" s="1718">
        <v>1</v>
      </c>
      <c r="U76" s="1717">
        <f t="shared" si="12"/>
        <v>350</v>
      </c>
      <c r="V76" s="1718">
        <v>0</v>
      </c>
      <c r="W76" s="1717">
        <f t="shared" si="11"/>
        <v>0</v>
      </c>
      <c r="X76" s="1718">
        <f t="shared" si="9"/>
        <v>1</v>
      </c>
      <c r="Y76" s="1717">
        <f t="shared" si="9"/>
        <v>350</v>
      </c>
      <c r="Z76" s="1719" t="s">
        <v>7799</v>
      </c>
      <c r="AA76" s="1720" t="s">
        <v>6527</v>
      </c>
      <c r="AB76" s="1704"/>
      <c r="AC76" s="1388" t="str">
        <f t="shared" si="16"/>
        <v>ok</v>
      </c>
    </row>
    <row r="77" spans="1:29" ht="21" x14ac:dyDescent="0.6">
      <c r="A77" s="1712">
        <v>69</v>
      </c>
      <c r="B77" s="1713" t="s">
        <v>8722</v>
      </c>
      <c r="C77" s="1714" t="s">
        <v>8723</v>
      </c>
      <c r="D77" s="1715">
        <v>1</v>
      </c>
      <c r="E77" s="1716">
        <v>450</v>
      </c>
      <c r="F77" s="1715">
        <v>1</v>
      </c>
      <c r="G77" s="1716">
        <v>450</v>
      </c>
      <c r="H77" s="1715">
        <v>2</v>
      </c>
      <c r="I77" s="1716">
        <v>786</v>
      </c>
      <c r="J77" s="1715">
        <v>5</v>
      </c>
      <c r="K77" s="1715">
        <v>3</v>
      </c>
      <c r="L77" s="1716">
        <v>1350</v>
      </c>
      <c r="M77" s="1715">
        <f>J77-K77</f>
        <v>2</v>
      </c>
      <c r="N77" s="1717">
        <v>450</v>
      </c>
      <c r="O77" s="1717">
        <f t="shared" si="14"/>
        <v>900</v>
      </c>
      <c r="P77" s="1718">
        <v>0</v>
      </c>
      <c r="Q77" s="1717">
        <f t="shared" si="10"/>
        <v>0</v>
      </c>
      <c r="R77" s="1718">
        <v>0</v>
      </c>
      <c r="S77" s="1717">
        <f t="shared" si="15"/>
        <v>0</v>
      </c>
      <c r="T77" s="1718">
        <v>0</v>
      </c>
      <c r="U77" s="1717">
        <f t="shared" si="12"/>
        <v>0</v>
      </c>
      <c r="V77" s="1718">
        <v>2</v>
      </c>
      <c r="W77" s="1717">
        <f t="shared" si="11"/>
        <v>900</v>
      </c>
      <c r="X77" s="1718">
        <f t="shared" si="9"/>
        <v>2</v>
      </c>
      <c r="Y77" s="1717">
        <f t="shared" si="9"/>
        <v>900</v>
      </c>
      <c r="Z77" s="1719" t="s">
        <v>7799</v>
      </c>
      <c r="AA77" s="1720" t="s">
        <v>6527</v>
      </c>
      <c r="AB77" s="1704"/>
      <c r="AC77" s="1388" t="str">
        <f t="shared" si="16"/>
        <v>ok</v>
      </c>
    </row>
    <row r="78" spans="1:29" s="1721" customFormat="1" ht="21" x14ac:dyDescent="0.6">
      <c r="A78" s="1712">
        <v>70</v>
      </c>
      <c r="B78" s="1713" t="s">
        <v>8724</v>
      </c>
      <c r="C78" s="1714" t="s">
        <v>7816</v>
      </c>
      <c r="D78" s="1715">
        <v>6</v>
      </c>
      <c r="E78" s="1716">
        <v>360</v>
      </c>
      <c r="F78" s="1715">
        <v>5</v>
      </c>
      <c r="G78" s="1716">
        <v>300</v>
      </c>
      <c r="H78" s="1715">
        <v>3</v>
      </c>
      <c r="I78" s="1716">
        <v>165</v>
      </c>
      <c r="J78" s="1715">
        <v>12</v>
      </c>
      <c r="K78" s="1715">
        <v>5</v>
      </c>
      <c r="L78" s="1716">
        <v>301</v>
      </c>
      <c r="M78" s="1715">
        <f>J78-K78</f>
        <v>7</v>
      </c>
      <c r="N78" s="1717">
        <v>55</v>
      </c>
      <c r="O78" s="1717">
        <f t="shared" si="14"/>
        <v>385</v>
      </c>
      <c r="P78" s="1718">
        <v>0</v>
      </c>
      <c r="Q78" s="1717">
        <f t="shared" si="10"/>
        <v>0</v>
      </c>
      <c r="R78" s="1718">
        <v>4</v>
      </c>
      <c r="S78" s="1717">
        <f t="shared" si="15"/>
        <v>220</v>
      </c>
      <c r="T78" s="1718">
        <v>3</v>
      </c>
      <c r="U78" s="1717">
        <f t="shared" si="12"/>
        <v>165</v>
      </c>
      <c r="V78" s="1718">
        <v>0</v>
      </c>
      <c r="W78" s="1717">
        <f t="shared" si="11"/>
        <v>0</v>
      </c>
      <c r="X78" s="1718">
        <f t="shared" si="9"/>
        <v>7</v>
      </c>
      <c r="Y78" s="1717">
        <f t="shared" si="9"/>
        <v>385</v>
      </c>
      <c r="Z78" s="1719" t="s">
        <v>7799</v>
      </c>
      <c r="AA78" s="1720" t="s">
        <v>6527</v>
      </c>
      <c r="AB78" s="1704"/>
      <c r="AC78" s="1388" t="str">
        <f t="shared" si="16"/>
        <v>ok</v>
      </c>
    </row>
    <row r="79" spans="1:29" ht="21" x14ac:dyDescent="0.6">
      <c r="A79" s="1712">
        <v>71</v>
      </c>
      <c r="B79" s="1713" t="s">
        <v>8725</v>
      </c>
      <c r="C79" s="1714" t="s">
        <v>8097</v>
      </c>
      <c r="D79" s="1715">
        <v>0</v>
      </c>
      <c r="E79" s="1716">
        <v>0</v>
      </c>
      <c r="F79" s="1715">
        <v>0</v>
      </c>
      <c r="G79" s="1716">
        <v>0</v>
      </c>
      <c r="H79" s="1715">
        <v>0</v>
      </c>
      <c r="I79" s="1716">
        <v>0</v>
      </c>
      <c r="J79" s="1715">
        <v>0</v>
      </c>
      <c r="K79" s="1715">
        <v>2</v>
      </c>
      <c r="L79" s="1716">
        <v>400</v>
      </c>
      <c r="M79" s="1715">
        <v>0</v>
      </c>
      <c r="N79" s="1717">
        <v>200</v>
      </c>
      <c r="O79" s="1717">
        <f t="shared" si="14"/>
        <v>0</v>
      </c>
      <c r="P79" s="1718">
        <v>0</v>
      </c>
      <c r="Q79" s="1717">
        <f t="shared" si="10"/>
        <v>0</v>
      </c>
      <c r="R79" s="1718">
        <v>0</v>
      </c>
      <c r="S79" s="1717">
        <f t="shared" si="15"/>
        <v>0</v>
      </c>
      <c r="T79" s="1718">
        <v>0</v>
      </c>
      <c r="U79" s="1717">
        <f t="shared" si="12"/>
        <v>0</v>
      </c>
      <c r="V79" s="1718">
        <v>0</v>
      </c>
      <c r="W79" s="1717">
        <f t="shared" si="11"/>
        <v>0</v>
      </c>
      <c r="X79" s="1718">
        <f t="shared" si="9"/>
        <v>0</v>
      </c>
      <c r="Y79" s="1717">
        <f t="shared" si="9"/>
        <v>0</v>
      </c>
      <c r="Z79" s="1719" t="s">
        <v>7799</v>
      </c>
      <c r="AA79" s="1720" t="s">
        <v>6527</v>
      </c>
      <c r="AB79" s="1704"/>
      <c r="AC79" s="1388" t="str">
        <f t="shared" si="16"/>
        <v>ok</v>
      </c>
    </row>
    <row r="80" spans="1:29" ht="21" x14ac:dyDescent="0.6">
      <c r="A80" s="1712">
        <v>72</v>
      </c>
      <c r="B80" s="1713" t="s">
        <v>8726</v>
      </c>
      <c r="C80" s="1714" t="s">
        <v>8097</v>
      </c>
      <c r="D80" s="1715">
        <v>1</v>
      </c>
      <c r="E80" s="1716">
        <v>200</v>
      </c>
      <c r="F80" s="1715">
        <v>0</v>
      </c>
      <c r="G80" s="1716">
        <v>0</v>
      </c>
      <c r="H80" s="1715">
        <v>0</v>
      </c>
      <c r="I80" s="1716">
        <v>0</v>
      </c>
      <c r="J80" s="1715">
        <v>0</v>
      </c>
      <c r="K80" s="1715">
        <v>1.5</v>
      </c>
      <c r="L80" s="1716">
        <v>300</v>
      </c>
      <c r="M80" s="1715">
        <v>0</v>
      </c>
      <c r="N80" s="1717">
        <v>200</v>
      </c>
      <c r="O80" s="1717">
        <f t="shared" si="14"/>
        <v>0</v>
      </c>
      <c r="P80" s="1718">
        <v>0</v>
      </c>
      <c r="Q80" s="1717">
        <f t="shared" si="10"/>
        <v>0</v>
      </c>
      <c r="R80" s="1718">
        <v>0</v>
      </c>
      <c r="S80" s="1717">
        <f t="shared" si="15"/>
        <v>0</v>
      </c>
      <c r="T80" s="1718">
        <v>0</v>
      </c>
      <c r="U80" s="1717">
        <f t="shared" si="12"/>
        <v>0</v>
      </c>
      <c r="V80" s="1718">
        <v>0</v>
      </c>
      <c r="W80" s="1717">
        <f t="shared" si="11"/>
        <v>0</v>
      </c>
      <c r="X80" s="1718">
        <f t="shared" si="9"/>
        <v>0</v>
      </c>
      <c r="Y80" s="1717">
        <f t="shared" si="9"/>
        <v>0</v>
      </c>
      <c r="Z80" s="1719" t="s">
        <v>7799</v>
      </c>
      <c r="AA80" s="1720" t="s">
        <v>6527</v>
      </c>
      <c r="AB80" s="1704"/>
      <c r="AC80" s="1388" t="str">
        <f t="shared" si="16"/>
        <v>ok</v>
      </c>
    </row>
    <row r="81" spans="1:29" ht="21" x14ac:dyDescent="0.6">
      <c r="A81" s="1712">
        <v>73</v>
      </c>
      <c r="B81" s="1713" t="s">
        <v>8727</v>
      </c>
      <c r="C81" s="1714" t="s">
        <v>7798</v>
      </c>
      <c r="D81" s="1715">
        <v>0</v>
      </c>
      <c r="E81" s="1716">
        <v>0</v>
      </c>
      <c r="F81" s="1715">
        <v>0</v>
      </c>
      <c r="G81" s="1716">
        <v>0</v>
      </c>
      <c r="H81" s="1715">
        <v>0</v>
      </c>
      <c r="I81" s="1716">
        <v>0</v>
      </c>
      <c r="J81" s="1715">
        <v>0</v>
      </c>
      <c r="K81" s="1715">
        <v>2</v>
      </c>
      <c r="L81" s="1716">
        <v>1530</v>
      </c>
      <c r="M81" s="1715">
        <v>0</v>
      </c>
      <c r="N81" s="1717">
        <v>780</v>
      </c>
      <c r="O81" s="1717">
        <f t="shared" si="14"/>
        <v>0</v>
      </c>
      <c r="P81" s="1718">
        <v>0</v>
      </c>
      <c r="Q81" s="1717">
        <f t="shared" si="10"/>
        <v>0</v>
      </c>
      <c r="R81" s="1718">
        <v>0</v>
      </c>
      <c r="S81" s="1717">
        <f t="shared" si="15"/>
        <v>0</v>
      </c>
      <c r="T81" s="1718">
        <v>0</v>
      </c>
      <c r="U81" s="1717">
        <f t="shared" si="12"/>
        <v>0</v>
      </c>
      <c r="V81" s="1718">
        <v>0</v>
      </c>
      <c r="W81" s="1717">
        <f t="shared" si="11"/>
        <v>0</v>
      </c>
      <c r="X81" s="1718">
        <f t="shared" si="9"/>
        <v>0</v>
      </c>
      <c r="Y81" s="1717">
        <f t="shared" si="9"/>
        <v>0</v>
      </c>
      <c r="Z81" s="1719" t="s">
        <v>7799</v>
      </c>
      <c r="AA81" s="1720" t="s">
        <v>6527</v>
      </c>
      <c r="AB81" s="1704"/>
      <c r="AC81" s="1388" t="str">
        <f t="shared" si="16"/>
        <v>ok</v>
      </c>
    </row>
    <row r="82" spans="1:29" ht="21" x14ac:dyDescent="0.6">
      <c r="A82" s="1712">
        <v>74</v>
      </c>
      <c r="B82" s="1713" t="s">
        <v>8728</v>
      </c>
      <c r="C82" s="1714" t="s">
        <v>7798</v>
      </c>
      <c r="D82" s="1715">
        <v>1</v>
      </c>
      <c r="E82" s="1716">
        <v>520</v>
      </c>
      <c r="F82" s="1715">
        <v>0</v>
      </c>
      <c r="G82" s="1716">
        <v>0</v>
      </c>
      <c r="H82" s="1715">
        <v>0</v>
      </c>
      <c r="I82" s="1716">
        <v>0</v>
      </c>
      <c r="J82" s="1715">
        <v>0</v>
      </c>
      <c r="K82" s="1715">
        <v>2</v>
      </c>
      <c r="L82" s="1716">
        <v>1040</v>
      </c>
      <c r="M82" s="1715">
        <v>0</v>
      </c>
      <c r="N82" s="1717">
        <v>520</v>
      </c>
      <c r="O82" s="1717">
        <f t="shared" si="14"/>
        <v>0</v>
      </c>
      <c r="P82" s="1718">
        <v>0</v>
      </c>
      <c r="Q82" s="1717">
        <f t="shared" si="10"/>
        <v>0</v>
      </c>
      <c r="R82" s="1718">
        <v>0</v>
      </c>
      <c r="S82" s="1717">
        <f t="shared" si="15"/>
        <v>0</v>
      </c>
      <c r="T82" s="1718">
        <v>0</v>
      </c>
      <c r="U82" s="1717">
        <f t="shared" si="12"/>
        <v>0</v>
      </c>
      <c r="V82" s="1718">
        <v>0</v>
      </c>
      <c r="W82" s="1717">
        <f t="shared" si="11"/>
        <v>0</v>
      </c>
      <c r="X82" s="1718">
        <f t="shared" ref="X82:Y113" si="17">P82+R82+T82+V82</f>
        <v>0</v>
      </c>
      <c r="Y82" s="1717">
        <f t="shared" si="17"/>
        <v>0</v>
      </c>
      <c r="Z82" s="1719" t="s">
        <v>7799</v>
      </c>
      <c r="AA82" s="1720" t="s">
        <v>6527</v>
      </c>
      <c r="AB82" s="1704"/>
      <c r="AC82" s="1388" t="str">
        <f t="shared" si="16"/>
        <v>ok</v>
      </c>
    </row>
    <row r="83" spans="1:29" ht="21" x14ac:dyDescent="0.6">
      <c r="A83" s="1712">
        <v>75</v>
      </c>
      <c r="B83" s="1713" t="s">
        <v>8729</v>
      </c>
      <c r="C83" s="1714" t="s">
        <v>8678</v>
      </c>
      <c r="D83" s="1715">
        <v>0</v>
      </c>
      <c r="E83" s="1716">
        <v>0</v>
      </c>
      <c r="F83" s="1715">
        <v>0</v>
      </c>
      <c r="G83" s="1716">
        <v>0</v>
      </c>
      <c r="H83" s="1715">
        <v>0</v>
      </c>
      <c r="I83" s="1716">
        <v>0</v>
      </c>
      <c r="J83" s="1715">
        <v>4</v>
      </c>
      <c r="K83" s="1715">
        <v>2</v>
      </c>
      <c r="L83" s="1716">
        <v>240</v>
      </c>
      <c r="M83" s="1715">
        <f>J83-K83</f>
        <v>2</v>
      </c>
      <c r="N83" s="1717">
        <v>120</v>
      </c>
      <c r="O83" s="1717">
        <f t="shared" si="14"/>
        <v>240</v>
      </c>
      <c r="P83" s="1718">
        <v>0</v>
      </c>
      <c r="Q83" s="1717">
        <f t="shared" si="10"/>
        <v>0</v>
      </c>
      <c r="R83" s="1718">
        <v>0</v>
      </c>
      <c r="S83" s="1717">
        <v>0</v>
      </c>
      <c r="T83" s="1718">
        <v>2</v>
      </c>
      <c r="U83" s="1717">
        <f t="shared" si="12"/>
        <v>240</v>
      </c>
      <c r="V83" s="1718">
        <v>0</v>
      </c>
      <c r="W83" s="1717">
        <f t="shared" si="11"/>
        <v>0</v>
      </c>
      <c r="X83" s="1718">
        <f t="shared" si="17"/>
        <v>2</v>
      </c>
      <c r="Y83" s="1717">
        <f t="shared" si="17"/>
        <v>240</v>
      </c>
      <c r="Z83" s="1719" t="s">
        <v>7799</v>
      </c>
      <c r="AA83" s="1720" t="s">
        <v>6527</v>
      </c>
      <c r="AB83" s="1704"/>
      <c r="AC83" s="1388" t="str">
        <f t="shared" si="16"/>
        <v>ok</v>
      </c>
    </row>
    <row r="84" spans="1:29" ht="21" x14ac:dyDescent="0.6">
      <c r="A84" s="1712">
        <v>76</v>
      </c>
      <c r="B84" s="1713" t="s">
        <v>8730</v>
      </c>
      <c r="C84" s="1714" t="s">
        <v>8052</v>
      </c>
      <c r="D84" s="1715">
        <v>0</v>
      </c>
      <c r="E84" s="1716">
        <v>0</v>
      </c>
      <c r="F84" s="1715">
        <v>2</v>
      </c>
      <c r="G84" s="1716">
        <v>5000</v>
      </c>
      <c r="H84" s="1715">
        <v>0</v>
      </c>
      <c r="I84" s="1716">
        <v>0</v>
      </c>
      <c r="J84" s="1715">
        <v>0</v>
      </c>
      <c r="K84" s="1715">
        <v>0</v>
      </c>
      <c r="L84" s="1716">
        <v>0</v>
      </c>
      <c r="M84" s="1715">
        <f>J84-K84</f>
        <v>0</v>
      </c>
      <c r="N84" s="1717">
        <v>2500</v>
      </c>
      <c r="O84" s="1717">
        <f t="shared" si="14"/>
        <v>0</v>
      </c>
      <c r="P84" s="1718">
        <v>0</v>
      </c>
      <c r="Q84" s="1717">
        <f t="shared" si="10"/>
        <v>0</v>
      </c>
      <c r="R84" s="1718">
        <v>0</v>
      </c>
      <c r="S84" s="1717">
        <f>N84*R84</f>
        <v>0</v>
      </c>
      <c r="T84" s="1718">
        <v>0</v>
      </c>
      <c r="U84" s="1717">
        <f t="shared" si="12"/>
        <v>0</v>
      </c>
      <c r="V84" s="1718">
        <v>0</v>
      </c>
      <c r="W84" s="1717">
        <f t="shared" si="11"/>
        <v>0</v>
      </c>
      <c r="X84" s="1718">
        <f t="shared" si="17"/>
        <v>0</v>
      </c>
      <c r="Y84" s="1717">
        <f t="shared" si="17"/>
        <v>0</v>
      </c>
      <c r="Z84" s="1719" t="s">
        <v>7799</v>
      </c>
      <c r="AA84" s="1720" t="s">
        <v>6527</v>
      </c>
      <c r="AB84" s="1704"/>
      <c r="AC84" s="1388" t="str">
        <f t="shared" si="16"/>
        <v>ok</v>
      </c>
    </row>
    <row r="85" spans="1:29" ht="21" x14ac:dyDescent="0.6">
      <c r="A85" s="1712">
        <v>77</v>
      </c>
      <c r="B85" s="1713" t="s">
        <v>8731</v>
      </c>
      <c r="C85" s="1714" t="s">
        <v>7808</v>
      </c>
      <c r="D85" s="1715">
        <v>0</v>
      </c>
      <c r="E85" s="1716">
        <v>0</v>
      </c>
      <c r="F85" s="1715">
        <v>0</v>
      </c>
      <c r="G85" s="1716">
        <v>0</v>
      </c>
      <c r="H85" s="1715">
        <v>0</v>
      </c>
      <c r="I85" s="1716">
        <v>0</v>
      </c>
      <c r="J85" s="1715">
        <v>0</v>
      </c>
      <c r="K85" s="1715">
        <v>1</v>
      </c>
      <c r="L85" s="1716">
        <v>450</v>
      </c>
      <c r="M85" s="1715">
        <v>0</v>
      </c>
      <c r="N85" s="1717">
        <v>450</v>
      </c>
      <c r="O85" s="1717">
        <f t="shared" si="14"/>
        <v>0</v>
      </c>
      <c r="P85" s="1718"/>
      <c r="Q85" s="1717">
        <f t="shared" si="10"/>
        <v>0</v>
      </c>
      <c r="R85" s="1718">
        <v>0</v>
      </c>
      <c r="S85" s="1717">
        <v>0</v>
      </c>
      <c r="T85" s="1718">
        <v>0</v>
      </c>
      <c r="U85" s="1717">
        <f t="shared" si="12"/>
        <v>0</v>
      </c>
      <c r="V85" s="1718">
        <v>0</v>
      </c>
      <c r="W85" s="1717">
        <f t="shared" si="11"/>
        <v>0</v>
      </c>
      <c r="X85" s="1718">
        <f t="shared" si="17"/>
        <v>0</v>
      </c>
      <c r="Y85" s="1717">
        <f t="shared" si="17"/>
        <v>0</v>
      </c>
      <c r="Z85" s="1719" t="s">
        <v>7799</v>
      </c>
      <c r="AA85" s="1720" t="s">
        <v>6527</v>
      </c>
      <c r="AB85" s="1704"/>
      <c r="AC85" s="1388" t="str">
        <f t="shared" si="16"/>
        <v>ok</v>
      </c>
    </row>
    <row r="86" spans="1:29" ht="21" x14ac:dyDescent="0.6">
      <c r="A86" s="1712">
        <v>78</v>
      </c>
      <c r="B86" s="1713" t="s">
        <v>8732</v>
      </c>
      <c r="C86" s="1714" t="s">
        <v>7816</v>
      </c>
      <c r="D86" s="1715">
        <v>0</v>
      </c>
      <c r="E86" s="1716">
        <v>0</v>
      </c>
      <c r="F86" s="1715">
        <v>0</v>
      </c>
      <c r="G86" s="1716">
        <v>0</v>
      </c>
      <c r="H86" s="1715">
        <v>0</v>
      </c>
      <c r="I86" s="1716">
        <v>0</v>
      </c>
      <c r="J86" s="1715">
        <v>2</v>
      </c>
      <c r="K86" s="1715">
        <v>1</v>
      </c>
      <c r="L86" s="1716">
        <v>680</v>
      </c>
      <c r="M86" s="1715">
        <f>J86-K86</f>
        <v>1</v>
      </c>
      <c r="N86" s="1717">
        <v>680</v>
      </c>
      <c r="O86" s="1717">
        <f t="shared" si="14"/>
        <v>680</v>
      </c>
      <c r="P86" s="1718">
        <v>0</v>
      </c>
      <c r="Q86" s="1717">
        <f t="shared" si="10"/>
        <v>0</v>
      </c>
      <c r="R86" s="1718">
        <v>0</v>
      </c>
      <c r="S86" s="1717">
        <f t="shared" ref="S86:S149" si="18">N86*R86</f>
        <v>0</v>
      </c>
      <c r="T86" s="1718">
        <v>0</v>
      </c>
      <c r="U86" s="1717">
        <f t="shared" si="12"/>
        <v>0</v>
      </c>
      <c r="V86" s="1718">
        <v>1</v>
      </c>
      <c r="W86" s="1717">
        <f t="shared" si="11"/>
        <v>680</v>
      </c>
      <c r="X86" s="1718">
        <f t="shared" si="17"/>
        <v>1</v>
      </c>
      <c r="Y86" s="1717">
        <f t="shared" si="17"/>
        <v>680</v>
      </c>
      <c r="Z86" s="1719" t="s">
        <v>7799</v>
      </c>
      <c r="AA86" s="1720" t="s">
        <v>6527</v>
      </c>
      <c r="AB86" s="1704"/>
      <c r="AC86" s="1388" t="str">
        <f t="shared" si="16"/>
        <v>ok</v>
      </c>
    </row>
    <row r="87" spans="1:29" ht="21" x14ac:dyDescent="0.6">
      <c r="A87" s="1712">
        <v>79</v>
      </c>
      <c r="B87" s="1713" t="s">
        <v>8733</v>
      </c>
      <c r="C87" s="1714" t="s">
        <v>8097</v>
      </c>
      <c r="D87" s="1715">
        <v>1</v>
      </c>
      <c r="E87" s="1716">
        <v>50</v>
      </c>
      <c r="F87" s="1715">
        <v>0</v>
      </c>
      <c r="G87" s="1716">
        <v>0</v>
      </c>
      <c r="H87" s="1715">
        <v>4</v>
      </c>
      <c r="I87" s="1716">
        <v>200</v>
      </c>
      <c r="J87" s="1715">
        <v>8</v>
      </c>
      <c r="K87" s="1715">
        <v>6</v>
      </c>
      <c r="L87" s="1716">
        <v>300</v>
      </c>
      <c r="M87" s="1715">
        <f>J87-K87</f>
        <v>2</v>
      </c>
      <c r="N87" s="1717">
        <v>50</v>
      </c>
      <c r="O87" s="1717">
        <f t="shared" si="14"/>
        <v>100</v>
      </c>
      <c r="P87" s="1718">
        <v>0</v>
      </c>
      <c r="Q87" s="1717">
        <f t="shared" si="10"/>
        <v>0</v>
      </c>
      <c r="R87" s="1718">
        <v>0</v>
      </c>
      <c r="S87" s="1717">
        <f t="shared" si="18"/>
        <v>0</v>
      </c>
      <c r="T87" s="1718">
        <v>0</v>
      </c>
      <c r="U87" s="1717">
        <f t="shared" si="12"/>
        <v>0</v>
      </c>
      <c r="V87" s="1718">
        <v>2</v>
      </c>
      <c r="W87" s="1717">
        <f t="shared" si="11"/>
        <v>100</v>
      </c>
      <c r="X87" s="1718">
        <f t="shared" si="17"/>
        <v>2</v>
      </c>
      <c r="Y87" s="1717">
        <f t="shared" si="17"/>
        <v>100</v>
      </c>
      <c r="Z87" s="1719" t="s">
        <v>7799</v>
      </c>
      <c r="AA87" s="1720" t="s">
        <v>6527</v>
      </c>
      <c r="AB87" s="1704"/>
      <c r="AC87" s="1388" t="str">
        <f t="shared" si="16"/>
        <v>ok</v>
      </c>
    </row>
    <row r="88" spans="1:29" ht="21" x14ac:dyDescent="0.6">
      <c r="A88" s="1712">
        <v>80</v>
      </c>
      <c r="B88" s="1713" t="s">
        <v>8734</v>
      </c>
      <c r="C88" s="1714" t="s">
        <v>7798</v>
      </c>
      <c r="D88" s="1715">
        <v>0</v>
      </c>
      <c r="E88" s="1716">
        <v>0</v>
      </c>
      <c r="F88" s="1715">
        <v>0</v>
      </c>
      <c r="G88" s="1716">
        <v>0</v>
      </c>
      <c r="H88" s="1715">
        <v>0</v>
      </c>
      <c r="I88" s="1716">
        <v>0</v>
      </c>
      <c r="J88" s="1715">
        <v>0</v>
      </c>
      <c r="K88" s="1715">
        <v>1</v>
      </c>
      <c r="L88" s="1716">
        <v>180</v>
      </c>
      <c r="M88" s="1715">
        <v>0</v>
      </c>
      <c r="N88" s="1717">
        <v>180</v>
      </c>
      <c r="O88" s="1717">
        <f t="shared" si="14"/>
        <v>0</v>
      </c>
      <c r="P88" s="1718">
        <v>0</v>
      </c>
      <c r="Q88" s="1717">
        <f t="shared" si="10"/>
        <v>0</v>
      </c>
      <c r="R88" s="1718">
        <v>0</v>
      </c>
      <c r="S88" s="1717">
        <f t="shared" si="18"/>
        <v>0</v>
      </c>
      <c r="T88" s="1718">
        <v>0</v>
      </c>
      <c r="U88" s="1717">
        <f t="shared" si="12"/>
        <v>0</v>
      </c>
      <c r="V88" s="1718">
        <v>0</v>
      </c>
      <c r="W88" s="1717">
        <f t="shared" si="11"/>
        <v>0</v>
      </c>
      <c r="X88" s="1718">
        <f t="shared" si="17"/>
        <v>0</v>
      </c>
      <c r="Y88" s="1717">
        <f t="shared" si="17"/>
        <v>0</v>
      </c>
      <c r="Z88" s="1719" t="s">
        <v>7799</v>
      </c>
      <c r="AA88" s="1720" t="s">
        <v>6527</v>
      </c>
      <c r="AB88" s="1704"/>
      <c r="AC88" s="1388" t="str">
        <f t="shared" si="16"/>
        <v>ok</v>
      </c>
    </row>
    <row r="89" spans="1:29" ht="21" x14ac:dyDescent="0.6">
      <c r="A89" s="1712">
        <v>81</v>
      </c>
      <c r="B89" s="1713" t="s">
        <v>8735</v>
      </c>
      <c r="C89" s="1714" t="s">
        <v>7841</v>
      </c>
      <c r="D89" s="1715">
        <v>25</v>
      </c>
      <c r="E89" s="1716">
        <v>1425</v>
      </c>
      <c r="F89" s="1715">
        <v>28</v>
      </c>
      <c r="G89" s="1716">
        <v>1596</v>
      </c>
      <c r="H89" s="1715">
        <v>36</v>
      </c>
      <c r="I89" s="1716">
        <v>2540</v>
      </c>
      <c r="J89" s="1715">
        <v>45</v>
      </c>
      <c r="K89" s="1715">
        <v>15</v>
      </c>
      <c r="L89" s="1716">
        <v>1000</v>
      </c>
      <c r="M89" s="1715">
        <f>J89-K89</f>
        <v>30</v>
      </c>
      <c r="N89" s="1717">
        <v>310</v>
      </c>
      <c r="O89" s="1717">
        <f t="shared" si="14"/>
        <v>9300</v>
      </c>
      <c r="P89" s="1718">
        <v>5</v>
      </c>
      <c r="Q89" s="1717">
        <f t="shared" si="10"/>
        <v>1550</v>
      </c>
      <c r="R89" s="1718">
        <v>5</v>
      </c>
      <c r="S89" s="1717">
        <f t="shared" si="18"/>
        <v>1550</v>
      </c>
      <c r="T89" s="1718">
        <v>15</v>
      </c>
      <c r="U89" s="1717">
        <f t="shared" si="12"/>
        <v>4650</v>
      </c>
      <c r="V89" s="1718">
        <v>5</v>
      </c>
      <c r="W89" s="1717">
        <f t="shared" si="11"/>
        <v>1550</v>
      </c>
      <c r="X89" s="1718">
        <f t="shared" si="17"/>
        <v>30</v>
      </c>
      <c r="Y89" s="1717">
        <f t="shared" si="17"/>
        <v>9300</v>
      </c>
      <c r="Z89" s="1719" t="s">
        <v>7799</v>
      </c>
      <c r="AA89" s="1720" t="s">
        <v>6527</v>
      </c>
      <c r="AB89" s="1704"/>
      <c r="AC89" s="1388" t="str">
        <f t="shared" si="16"/>
        <v>ok</v>
      </c>
    </row>
    <row r="90" spans="1:29" ht="21" x14ac:dyDescent="0.6">
      <c r="A90" s="1712">
        <v>82</v>
      </c>
      <c r="B90" s="1713" t="s">
        <v>8736</v>
      </c>
      <c r="C90" s="1714" t="s">
        <v>7869</v>
      </c>
      <c r="D90" s="1715">
        <v>7</v>
      </c>
      <c r="E90" s="1716">
        <v>11235</v>
      </c>
      <c r="F90" s="1715">
        <v>3</v>
      </c>
      <c r="G90" s="1716">
        <v>4815</v>
      </c>
      <c r="H90" s="1715">
        <v>10</v>
      </c>
      <c r="I90" s="1716">
        <v>14980</v>
      </c>
      <c r="J90" s="1715">
        <v>16</v>
      </c>
      <c r="K90" s="1715">
        <v>1</v>
      </c>
      <c r="L90" s="1716">
        <v>1498</v>
      </c>
      <c r="M90" s="1715">
        <f>J90-K90</f>
        <v>15</v>
      </c>
      <c r="N90" s="1717">
        <v>1498</v>
      </c>
      <c r="O90" s="1717">
        <f t="shared" si="14"/>
        <v>22470</v>
      </c>
      <c r="P90" s="1718">
        <v>2</v>
      </c>
      <c r="Q90" s="1717">
        <f t="shared" si="10"/>
        <v>2996</v>
      </c>
      <c r="R90" s="1718">
        <v>5</v>
      </c>
      <c r="S90" s="1717">
        <f t="shared" si="18"/>
        <v>7490</v>
      </c>
      <c r="T90" s="1718">
        <v>5</v>
      </c>
      <c r="U90" s="1717">
        <f t="shared" si="12"/>
        <v>7490</v>
      </c>
      <c r="V90" s="1718">
        <v>3</v>
      </c>
      <c r="W90" s="1717">
        <f t="shared" si="11"/>
        <v>4494</v>
      </c>
      <c r="X90" s="1718">
        <f t="shared" si="17"/>
        <v>15</v>
      </c>
      <c r="Y90" s="1717">
        <f t="shared" si="17"/>
        <v>22470</v>
      </c>
      <c r="Z90" s="1719" t="s">
        <v>7799</v>
      </c>
      <c r="AA90" s="1720" t="s">
        <v>6527</v>
      </c>
      <c r="AB90" s="1704"/>
      <c r="AC90" s="1388" t="str">
        <f t="shared" si="16"/>
        <v>ok</v>
      </c>
    </row>
    <row r="91" spans="1:29" ht="21" x14ac:dyDescent="0.6">
      <c r="A91" s="1712">
        <v>83</v>
      </c>
      <c r="B91" s="1713" t="s">
        <v>8737</v>
      </c>
      <c r="C91" s="1714" t="s">
        <v>8678</v>
      </c>
      <c r="D91" s="1715">
        <v>0.54</v>
      </c>
      <c r="E91" s="1716">
        <v>97.2</v>
      </c>
      <c r="F91" s="1715">
        <v>0.5</v>
      </c>
      <c r="G91" s="1716">
        <v>90</v>
      </c>
      <c r="H91" s="1715">
        <v>0</v>
      </c>
      <c r="I91" s="1716">
        <v>0</v>
      </c>
      <c r="J91" s="1715">
        <v>0</v>
      </c>
      <c r="K91" s="1715">
        <v>2</v>
      </c>
      <c r="L91" s="1716">
        <v>300</v>
      </c>
      <c r="M91" s="1715">
        <v>0</v>
      </c>
      <c r="N91" s="1717">
        <v>150</v>
      </c>
      <c r="O91" s="1717">
        <f t="shared" si="14"/>
        <v>0</v>
      </c>
      <c r="P91" s="1718">
        <v>0</v>
      </c>
      <c r="Q91" s="1717">
        <f t="shared" si="10"/>
        <v>0</v>
      </c>
      <c r="R91" s="1718">
        <v>0</v>
      </c>
      <c r="S91" s="1717">
        <f t="shared" si="18"/>
        <v>0</v>
      </c>
      <c r="T91" s="1718">
        <v>0</v>
      </c>
      <c r="U91" s="1717">
        <v>0</v>
      </c>
      <c r="V91" s="1718">
        <v>0</v>
      </c>
      <c r="W91" s="1717">
        <v>0</v>
      </c>
      <c r="X91" s="1718">
        <f t="shared" si="17"/>
        <v>0</v>
      </c>
      <c r="Y91" s="1717">
        <f t="shared" si="17"/>
        <v>0</v>
      </c>
      <c r="Z91" s="1719" t="s">
        <v>7799</v>
      </c>
      <c r="AA91" s="1720" t="s">
        <v>6527</v>
      </c>
      <c r="AB91" s="1704"/>
      <c r="AC91" s="1388" t="str">
        <f t="shared" si="16"/>
        <v>ok</v>
      </c>
    </row>
    <row r="92" spans="1:29" ht="21" x14ac:dyDescent="0.6">
      <c r="A92" s="1712">
        <v>84</v>
      </c>
      <c r="B92" s="1713" t="s">
        <v>8738</v>
      </c>
      <c r="C92" s="1714" t="s">
        <v>7816</v>
      </c>
      <c r="D92" s="1715">
        <v>2</v>
      </c>
      <c r="E92" s="1716">
        <v>700</v>
      </c>
      <c r="F92" s="1715">
        <v>2</v>
      </c>
      <c r="G92" s="1716">
        <v>700</v>
      </c>
      <c r="H92" s="1715">
        <v>1</v>
      </c>
      <c r="I92" s="1716">
        <v>350</v>
      </c>
      <c r="J92" s="1715">
        <v>0</v>
      </c>
      <c r="K92" s="1715">
        <v>1</v>
      </c>
      <c r="L92" s="1716">
        <v>350</v>
      </c>
      <c r="M92" s="1715">
        <v>0</v>
      </c>
      <c r="N92" s="1717">
        <v>350</v>
      </c>
      <c r="O92" s="1717">
        <f t="shared" si="14"/>
        <v>0</v>
      </c>
      <c r="P92" s="1718">
        <v>0</v>
      </c>
      <c r="Q92" s="1717">
        <f t="shared" si="10"/>
        <v>0</v>
      </c>
      <c r="R92" s="1718">
        <v>0</v>
      </c>
      <c r="S92" s="1717">
        <f t="shared" si="18"/>
        <v>0</v>
      </c>
      <c r="T92" s="1718">
        <v>0</v>
      </c>
      <c r="U92" s="1717">
        <v>0</v>
      </c>
      <c r="V92" s="1718">
        <v>0</v>
      </c>
      <c r="W92" s="1717">
        <v>0</v>
      </c>
      <c r="X92" s="1718">
        <f t="shared" si="17"/>
        <v>0</v>
      </c>
      <c r="Y92" s="1717">
        <f t="shared" si="17"/>
        <v>0</v>
      </c>
      <c r="Z92" s="1719" t="s">
        <v>7799</v>
      </c>
      <c r="AA92" s="1720" t="s">
        <v>6527</v>
      </c>
      <c r="AB92" s="1704"/>
      <c r="AC92" s="1388" t="str">
        <f t="shared" si="16"/>
        <v>ok</v>
      </c>
    </row>
    <row r="93" spans="1:29" ht="21" x14ac:dyDescent="0.6">
      <c r="A93" s="1712">
        <v>85</v>
      </c>
      <c r="B93" s="1713" t="s">
        <v>8739</v>
      </c>
      <c r="C93" s="1714" t="s">
        <v>7798</v>
      </c>
      <c r="D93" s="1715">
        <v>0</v>
      </c>
      <c r="E93" s="1716">
        <v>0</v>
      </c>
      <c r="F93" s="1715">
        <v>0</v>
      </c>
      <c r="G93" s="1716">
        <v>0</v>
      </c>
      <c r="H93" s="1715">
        <v>0</v>
      </c>
      <c r="I93" s="1716">
        <v>0</v>
      </c>
      <c r="J93" s="1715">
        <v>0</v>
      </c>
      <c r="K93" s="1715">
        <v>1</v>
      </c>
      <c r="L93" s="1716">
        <v>150</v>
      </c>
      <c r="M93" s="1715">
        <v>0</v>
      </c>
      <c r="N93" s="1717">
        <v>150</v>
      </c>
      <c r="O93" s="1717">
        <f t="shared" si="14"/>
        <v>0</v>
      </c>
      <c r="P93" s="1718">
        <v>0</v>
      </c>
      <c r="Q93" s="1717">
        <f t="shared" si="10"/>
        <v>0</v>
      </c>
      <c r="R93" s="1718">
        <v>0</v>
      </c>
      <c r="S93" s="1717">
        <f t="shared" si="18"/>
        <v>0</v>
      </c>
      <c r="T93" s="1718">
        <v>0</v>
      </c>
      <c r="U93" s="1717">
        <v>0</v>
      </c>
      <c r="V93" s="1718">
        <v>0</v>
      </c>
      <c r="W93" s="1717">
        <f t="shared" ref="W93:W156" si="19">N93*V93</f>
        <v>0</v>
      </c>
      <c r="X93" s="1718">
        <f t="shared" si="17"/>
        <v>0</v>
      </c>
      <c r="Y93" s="1717">
        <f t="shared" si="17"/>
        <v>0</v>
      </c>
      <c r="Z93" s="1719" t="s">
        <v>7799</v>
      </c>
      <c r="AA93" s="1720" t="s">
        <v>6527</v>
      </c>
      <c r="AB93" s="1704"/>
      <c r="AC93" s="1388" t="str">
        <f t="shared" si="16"/>
        <v>ok</v>
      </c>
    </row>
    <row r="94" spans="1:29" s="1721" customFormat="1" ht="21" x14ac:dyDescent="0.6">
      <c r="A94" s="1712">
        <v>86</v>
      </c>
      <c r="B94" s="1713" t="s">
        <v>8740</v>
      </c>
      <c r="C94" s="1714" t="s">
        <v>8678</v>
      </c>
      <c r="D94" s="1715">
        <v>2</v>
      </c>
      <c r="E94" s="1716">
        <v>2000.9</v>
      </c>
      <c r="F94" s="1715">
        <v>7</v>
      </c>
      <c r="G94" s="1716">
        <v>7003.15</v>
      </c>
      <c r="H94" s="1715">
        <v>3.5</v>
      </c>
      <c r="I94" s="1716">
        <v>3536.42</v>
      </c>
      <c r="J94" s="1715">
        <v>6</v>
      </c>
      <c r="K94" s="1715">
        <v>2</v>
      </c>
      <c r="L94" s="1716">
        <v>2000.9</v>
      </c>
      <c r="M94" s="1715">
        <f t="shared" ref="M94:M99" si="20">J94-K94</f>
        <v>4</v>
      </c>
      <c r="N94" s="1717">
        <v>1000.45</v>
      </c>
      <c r="O94" s="1717">
        <f t="shared" si="14"/>
        <v>4001.8</v>
      </c>
      <c r="P94" s="1718">
        <v>0</v>
      </c>
      <c r="Q94" s="1717">
        <f t="shared" si="10"/>
        <v>0</v>
      </c>
      <c r="R94" s="1718">
        <v>2</v>
      </c>
      <c r="S94" s="1717">
        <f t="shared" si="18"/>
        <v>2000.9</v>
      </c>
      <c r="T94" s="1718">
        <v>0</v>
      </c>
      <c r="U94" s="1717">
        <f t="shared" ref="U94:U157" si="21">N94*T94</f>
        <v>0</v>
      </c>
      <c r="V94" s="1718">
        <v>2</v>
      </c>
      <c r="W94" s="1717">
        <f t="shared" si="19"/>
        <v>2000.9</v>
      </c>
      <c r="X94" s="1718">
        <f t="shared" si="17"/>
        <v>4</v>
      </c>
      <c r="Y94" s="1717">
        <f t="shared" si="17"/>
        <v>4001.8</v>
      </c>
      <c r="Z94" s="1719" t="s">
        <v>7799</v>
      </c>
      <c r="AA94" s="1720" t="s">
        <v>6527</v>
      </c>
      <c r="AB94" s="1704"/>
      <c r="AC94" s="1388" t="str">
        <f t="shared" si="16"/>
        <v>ok</v>
      </c>
    </row>
    <row r="95" spans="1:29" ht="21" x14ac:dyDescent="0.6">
      <c r="A95" s="1712">
        <v>87</v>
      </c>
      <c r="B95" s="1713" t="s">
        <v>8741</v>
      </c>
      <c r="C95" s="1714" t="s">
        <v>7841</v>
      </c>
      <c r="D95" s="1715">
        <v>4</v>
      </c>
      <c r="E95" s="1716">
        <v>3175.76</v>
      </c>
      <c r="F95" s="1715">
        <v>1</v>
      </c>
      <c r="G95" s="1716">
        <v>793.94</v>
      </c>
      <c r="H95" s="1715">
        <v>3</v>
      </c>
      <c r="I95" s="1716">
        <v>2418.1999999999998</v>
      </c>
      <c r="J95" s="1715">
        <v>5</v>
      </c>
      <c r="K95" s="1715">
        <v>1</v>
      </c>
      <c r="L95" s="1716">
        <v>793.94</v>
      </c>
      <c r="M95" s="1715">
        <f t="shared" si="20"/>
        <v>4</v>
      </c>
      <c r="N95" s="1717">
        <v>793.94</v>
      </c>
      <c r="O95" s="1717">
        <f t="shared" si="14"/>
        <v>3175.76</v>
      </c>
      <c r="P95" s="1718">
        <v>1</v>
      </c>
      <c r="Q95" s="1717">
        <f t="shared" si="10"/>
        <v>793.94</v>
      </c>
      <c r="R95" s="1718">
        <v>1</v>
      </c>
      <c r="S95" s="1717">
        <f t="shared" si="18"/>
        <v>793.94</v>
      </c>
      <c r="T95" s="1718">
        <v>1</v>
      </c>
      <c r="U95" s="1717">
        <f t="shared" si="21"/>
        <v>793.94</v>
      </c>
      <c r="V95" s="1718">
        <v>1</v>
      </c>
      <c r="W95" s="1717">
        <f t="shared" si="19"/>
        <v>793.94</v>
      </c>
      <c r="X95" s="1718">
        <f t="shared" si="17"/>
        <v>4</v>
      </c>
      <c r="Y95" s="1717">
        <f t="shared" si="17"/>
        <v>3175.76</v>
      </c>
      <c r="Z95" s="1719" t="s">
        <v>7799</v>
      </c>
      <c r="AA95" s="1720" t="s">
        <v>6527</v>
      </c>
      <c r="AB95" s="1704"/>
      <c r="AC95" s="1388" t="str">
        <f t="shared" si="16"/>
        <v>ok</v>
      </c>
    </row>
    <row r="96" spans="1:29" ht="21" x14ac:dyDescent="0.6">
      <c r="A96" s="1712">
        <v>88</v>
      </c>
      <c r="B96" s="1713" t="s">
        <v>8742</v>
      </c>
      <c r="C96" s="1714" t="s">
        <v>7841</v>
      </c>
      <c r="D96" s="1715">
        <v>6</v>
      </c>
      <c r="E96" s="1716">
        <v>4763.6400000000003</v>
      </c>
      <c r="F96" s="1715">
        <v>4</v>
      </c>
      <c r="G96" s="1716">
        <v>3175.76</v>
      </c>
      <c r="H96" s="1715">
        <v>5</v>
      </c>
      <c r="I96" s="1716">
        <v>4006.08</v>
      </c>
      <c r="J96" s="1715">
        <v>10</v>
      </c>
      <c r="K96" s="1715">
        <v>3</v>
      </c>
      <c r="L96" s="1716">
        <v>2381.8200000000002</v>
      </c>
      <c r="M96" s="1715">
        <f t="shared" si="20"/>
        <v>7</v>
      </c>
      <c r="N96" s="1717">
        <v>793.94</v>
      </c>
      <c r="O96" s="1717">
        <f t="shared" si="14"/>
        <v>5557.58</v>
      </c>
      <c r="P96" s="1718">
        <v>0</v>
      </c>
      <c r="Q96" s="1717">
        <f t="shared" si="10"/>
        <v>0</v>
      </c>
      <c r="R96" s="1718">
        <v>2</v>
      </c>
      <c r="S96" s="1717">
        <f t="shared" si="18"/>
        <v>1587.88</v>
      </c>
      <c r="T96" s="1718">
        <v>2</v>
      </c>
      <c r="U96" s="1717">
        <f t="shared" si="21"/>
        <v>1587.88</v>
      </c>
      <c r="V96" s="1718">
        <v>3</v>
      </c>
      <c r="W96" s="1717">
        <f t="shared" si="19"/>
        <v>2381.8200000000002</v>
      </c>
      <c r="X96" s="1718">
        <f t="shared" si="17"/>
        <v>7</v>
      </c>
      <c r="Y96" s="1717">
        <f t="shared" si="17"/>
        <v>5557.58</v>
      </c>
      <c r="Z96" s="1719" t="s">
        <v>7799</v>
      </c>
      <c r="AA96" s="1720" t="s">
        <v>6527</v>
      </c>
      <c r="AB96" s="1704"/>
      <c r="AC96" s="1388" t="str">
        <f t="shared" si="16"/>
        <v>ok</v>
      </c>
    </row>
    <row r="97" spans="1:29" ht="21" x14ac:dyDescent="0.6">
      <c r="A97" s="1712">
        <v>89</v>
      </c>
      <c r="B97" s="1713" t="s">
        <v>8743</v>
      </c>
      <c r="C97" s="1714" t="s">
        <v>7841</v>
      </c>
      <c r="D97" s="1715">
        <v>9</v>
      </c>
      <c r="E97" s="1716">
        <v>7145.46</v>
      </c>
      <c r="F97" s="1715">
        <v>7</v>
      </c>
      <c r="G97" s="1716">
        <v>5557.58</v>
      </c>
      <c r="H97" s="1715">
        <v>6</v>
      </c>
      <c r="I97" s="1716">
        <v>4763.66</v>
      </c>
      <c r="J97" s="1715">
        <v>20</v>
      </c>
      <c r="K97" s="1715">
        <v>4</v>
      </c>
      <c r="L97" s="1716">
        <v>3175.76</v>
      </c>
      <c r="M97" s="1715">
        <f t="shared" si="20"/>
        <v>16</v>
      </c>
      <c r="N97" s="1717">
        <v>793.94</v>
      </c>
      <c r="O97" s="1717">
        <f t="shared" si="14"/>
        <v>12703.04</v>
      </c>
      <c r="P97" s="1718">
        <v>4</v>
      </c>
      <c r="Q97" s="1717">
        <f t="shared" si="10"/>
        <v>3175.76</v>
      </c>
      <c r="R97" s="1718">
        <v>4</v>
      </c>
      <c r="S97" s="1717">
        <f t="shared" si="18"/>
        <v>3175.76</v>
      </c>
      <c r="T97" s="1718">
        <v>4</v>
      </c>
      <c r="U97" s="1717">
        <f t="shared" si="21"/>
        <v>3175.76</v>
      </c>
      <c r="V97" s="1718">
        <v>4</v>
      </c>
      <c r="W97" s="1717">
        <f t="shared" si="19"/>
        <v>3175.76</v>
      </c>
      <c r="X97" s="1718">
        <f t="shared" si="17"/>
        <v>16</v>
      </c>
      <c r="Y97" s="1717">
        <f t="shared" si="17"/>
        <v>12703.04</v>
      </c>
      <c r="Z97" s="1719" t="s">
        <v>7799</v>
      </c>
      <c r="AA97" s="1720" t="s">
        <v>6527</v>
      </c>
      <c r="AB97" s="1704"/>
      <c r="AC97" s="1388" t="str">
        <f t="shared" si="16"/>
        <v>ok</v>
      </c>
    </row>
    <row r="98" spans="1:29" ht="21" x14ac:dyDescent="0.6">
      <c r="A98" s="1712">
        <v>90</v>
      </c>
      <c r="B98" s="1713" t="s">
        <v>8744</v>
      </c>
      <c r="C98" s="1714" t="s">
        <v>7841</v>
      </c>
      <c r="D98" s="1715">
        <v>3</v>
      </c>
      <c r="E98" s="1716">
        <v>2381.8200000000002</v>
      </c>
      <c r="F98" s="1715">
        <v>2</v>
      </c>
      <c r="G98" s="1716">
        <v>1587.88</v>
      </c>
      <c r="H98" s="1715">
        <v>5</v>
      </c>
      <c r="I98" s="1716">
        <v>4029.62</v>
      </c>
      <c r="J98" s="1715">
        <v>8</v>
      </c>
      <c r="K98" s="1715">
        <v>0</v>
      </c>
      <c r="L98" s="1716">
        <v>0</v>
      </c>
      <c r="M98" s="1715">
        <f t="shared" si="20"/>
        <v>8</v>
      </c>
      <c r="N98" s="1717">
        <v>793.94</v>
      </c>
      <c r="O98" s="1717">
        <f t="shared" si="14"/>
        <v>6351.52</v>
      </c>
      <c r="P98" s="1718">
        <v>2</v>
      </c>
      <c r="Q98" s="1717">
        <f t="shared" si="10"/>
        <v>1587.88</v>
      </c>
      <c r="R98" s="1718">
        <v>2</v>
      </c>
      <c r="S98" s="1717">
        <f t="shared" si="18"/>
        <v>1587.88</v>
      </c>
      <c r="T98" s="1718">
        <v>2</v>
      </c>
      <c r="U98" s="1717">
        <f t="shared" si="21"/>
        <v>1587.88</v>
      </c>
      <c r="V98" s="1718">
        <v>2</v>
      </c>
      <c r="W98" s="1717">
        <f t="shared" si="19"/>
        <v>1587.88</v>
      </c>
      <c r="X98" s="1718">
        <f t="shared" si="17"/>
        <v>8</v>
      </c>
      <c r="Y98" s="1717">
        <f t="shared" si="17"/>
        <v>6351.52</v>
      </c>
      <c r="Z98" s="1719" t="s">
        <v>7799</v>
      </c>
      <c r="AA98" s="1720" t="s">
        <v>6527</v>
      </c>
      <c r="AB98" s="1704"/>
      <c r="AC98" s="1388" t="str">
        <f t="shared" si="16"/>
        <v>ok</v>
      </c>
    </row>
    <row r="99" spans="1:29" ht="21" x14ac:dyDescent="0.6">
      <c r="A99" s="1712">
        <v>91</v>
      </c>
      <c r="B99" s="1713" t="s">
        <v>8745</v>
      </c>
      <c r="C99" s="1714" t="s">
        <v>7841</v>
      </c>
      <c r="D99" s="1715">
        <v>22</v>
      </c>
      <c r="E99" s="1716">
        <v>17537.3</v>
      </c>
      <c r="F99" s="1715">
        <v>10</v>
      </c>
      <c r="G99" s="1716">
        <v>7951.5</v>
      </c>
      <c r="H99" s="1715">
        <v>24</v>
      </c>
      <c r="I99" s="1716">
        <v>6000</v>
      </c>
      <c r="J99" s="1715">
        <v>25</v>
      </c>
      <c r="K99" s="1715">
        <v>17</v>
      </c>
      <c r="L99" s="1716">
        <v>4250</v>
      </c>
      <c r="M99" s="1715">
        <f t="shared" si="20"/>
        <v>8</v>
      </c>
      <c r="N99" s="1717">
        <v>250</v>
      </c>
      <c r="O99" s="1717">
        <f t="shared" si="14"/>
        <v>2000</v>
      </c>
      <c r="P99" s="1718">
        <v>0</v>
      </c>
      <c r="Q99" s="1717">
        <f t="shared" si="10"/>
        <v>0</v>
      </c>
      <c r="R99" s="1718">
        <v>0</v>
      </c>
      <c r="S99" s="1717">
        <f t="shared" si="18"/>
        <v>0</v>
      </c>
      <c r="T99" s="1718">
        <v>4</v>
      </c>
      <c r="U99" s="1717">
        <f t="shared" si="21"/>
        <v>1000</v>
      </c>
      <c r="V99" s="1718">
        <v>4</v>
      </c>
      <c r="W99" s="1717">
        <f t="shared" si="19"/>
        <v>1000</v>
      </c>
      <c r="X99" s="1718">
        <f t="shared" si="17"/>
        <v>8</v>
      </c>
      <c r="Y99" s="1717">
        <f t="shared" si="17"/>
        <v>2000</v>
      </c>
      <c r="Z99" s="1719" t="s">
        <v>7799</v>
      </c>
      <c r="AA99" s="1720" t="s">
        <v>6527</v>
      </c>
      <c r="AB99" s="1704"/>
      <c r="AC99" s="1388" t="str">
        <f t="shared" si="16"/>
        <v>ok</v>
      </c>
    </row>
    <row r="100" spans="1:29" ht="21" x14ac:dyDescent="0.6">
      <c r="A100" s="1712">
        <v>92</v>
      </c>
      <c r="B100" s="1713" t="s">
        <v>8746</v>
      </c>
      <c r="C100" s="1714" t="s">
        <v>8097</v>
      </c>
      <c r="D100" s="1715">
        <v>0</v>
      </c>
      <c r="E100" s="1716">
        <v>0</v>
      </c>
      <c r="F100" s="1715">
        <v>4</v>
      </c>
      <c r="G100" s="1716">
        <v>1172.72</v>
      </c>
      <c r="H100" s="1715">
        <v>0</v>
      </c>
      <c r="I100" s="1716">
        <v>0</v>
      </c>
      <c r="J100" s="1715">
        <v>0</v>
      </c>
      <c r="K100" s="1715">
        <v>1</v>
      </c>
      <c r="L100" s="1716">
        <v>293.18</v>
      </c>
      <c r="M100" s="1715">
        <v>0</v>
      </c>
      <c r="N100" s="1717">
        <v>293.18</v>
      </c>
      <c r="O100" s="1717">
        <f t="shared" si="14"/>
        <v>0</v>
      </c>
      <c r="P100" s="1718">
        <v>0</v>
      </c>
      <c r="Q100" s="1717">
        <f t="shared" si="10"/>
        <v>0</v>
      </c>
      <c r="R100" s="1718">
        <v>0</v>
      </c>
      <c r="S100" s="1717">
        <f t="shared" si="18"/>
        <v>0</v>
      </c>
      <c r="T100" s="1718">
        <v>0</v>
      </c>
      <c r="U100" s="1717">
        <f t="shared" si="21"/>
        <v>0</v>
      </c>
      <c r="V100" s="1718">
        <v>0</v>
      </c>
      <c r="W100" s="1717">
        <f t="shared" si="19"/>
        <v>0</v>
      </c>
      <c r="X100" s="1718">
        <f t="shared" si="17"/>
        <v>0</v>
      </c>
      <c r="Y100" s="1717">
        <f t="shared" si="17"/>
        <v>0</v>
      </c>
      <c r="Z100" s="1719" t="s">
        <v>7799</v>
      </c>
      <c r="AA100" s="1720" t="s">
        <v>6527</v>
      </c>
      <c r="AB100" s="1704"/>
      <c r="AC100" s="1388" t="str">
        <f t="shared" si="16"/>
        <v>ok</v>
      </c>
    </row>
    <row r="101" spans="1:29" ht="21" x14ac:dyDescent="0.6">
      <c r="A101" s="1712">
        <v>93</v>
      </c>
      <c r="B101" s="1713" t="s">
        <v>8747</v>
      </c>
      <c r="C101" s="1714" t="s">
        <v>7895</v>
      </c>
      <c r="D101" s="1715">
        <v>2</v>
      </c>
      <c r="E101" s="1716">
        <v>700</v>
      </c>
      <c r="F101" s="1715">
        <v>0</v>
      </c>
      <c r="G101" s="1716">
        <v>0</v>
      </c>
      <c r="H101" s="1715">
        <v>0</v>
      </c>
      <c r="I101" s="1716">
        <v>0</v>
      </c>
      <c r="J101" s="1715">
        <v>0</v>
      </c>
      <c r="K101" s="1715">
        <v>3</v>
      </c>
      <c r="L101" s="1716">
        <v>1050</v>
      </c>
      <c r="M101" s="1715">
        <v>0</v>
      </c>
      <c r="N101" s="1717">
        <v>350</v>
      </c>
      <c r="O101" s="1717">
        <f t="shared" si="14"/>
        <v>0</v>
      </c>
      <c r="P101" s="1718">
        <v>0</v>
      </c>
      <c r="Q101" s="1717">
        <f t="shared" si="10"/>
        <v>0</v>
      </c>
      <c r="R101" s="1718">
        <v>0</v>
      </c>
      <c r="S101" s="1717">
        <f t="shared" si="18"/>
        <v>0</v>
      </c>
      <c r="T101" s="1718">
        <v>0</v>
      </c>
      <c r="U101" s="1717">
        <f t="shared" si="21"/>
        <v>0</v>
      </c>
      <c r="V101" s="1718">
        <v>0</v>
      </c>
      <c r="W101" s="1717">
        <f t="shared" si="19"/>
        <v>0</v>
      </c>
      <c r="X101" s="1718">
        <f t="shared" si="17"/>
        <v>0</v>
      </c>
      <c r="Y101" s="1717">
        <f t="shared" si="17"/>
        <v>0</v>
      </c>
      <c r="Z101" s="1719" t="s">
        <v>7799</v>
      </c>
      <c r="AA101" s="1720" t="s">
        <v>6527</v>
      </c>
      <c r="AB101" s="1704"/>
      <c r="AC101" s="1388" t="str">
        <f t="shared" si="16"/>
        <v>ok</v>
      </c>
    </row>
    <row r="102" spans="1:29" ht="21" x14ac:dyDescent="0.6">
      <c r="A102" s="1712">
        <v>94</v>
      </c>
      <c r="B102" s="1713" t="s">
        <v>8748</v>
      </c>
      <c r="C102" s="1714" t="s">
        <v>7895</v>
      </c>
      <c r="D102" s="1715">
        <v>10</v>
      </c>
      <c r="E102" s="1716">
        <v>800</v>
      </c>
      <c r="F102" s="1715">
        <v>15</v>
      </c>
      <c r="G102" s="1716">
        <v>1200</v>
      </c>
      <c r="H102" s="1715">
        <v>0</v>
      </c>
      <c r="I102" s="1716">
        <v>0</v>
      </c>
      <c r="J102" s="1715">
        <v>0</v>
      </c>
      <c r="K102" s="1715">
        <v>35</v>
      </c>
      <c r="L102" s="1716">
        <v>1225</v>
      </c>
      <c r="M102" s="1715">
        <v>0</v>
      </c>
      <c r="N102" s="1717">
        <v>60</v>
      </c>
      <c r="O102" s="1717">
        <f t="shared" si="14"/>
        <v>0</v>
      </c>
      <c r="P102" s="1718">
        <v>0</v>
      </c>
      <c r="Q102" s="1717">
        <f t="shared" si="10"/>
        <v>0</v>
      </c>
      <c r="R102" s="1718">
        <v>0</v>
      </c>
      <c r="S102" s="1717">
        <f t="shared" si="18"/>
        <v>0</v>
      </c>
      <c r="T102" s="1718">
        <v>0</v>
      </c>
      <c r="U102" s="1717">
        <f t="shared" si="21"/>
        <v>0</v>
      </c>
      <c r="V102" s="1718">
        <v>0</v>
      </c>
      <c r="W102" s="1717">
        <f t="shared" si="19"/>
        <v>0</v>
      </c>
      <c r="X102" s="1718">
        <f t="shared" si="17"/>
        <v>0</v>
      </c>
      <c r="Y102" s="1717">
        <f t="shared" si="17"/>
        <v>0</v>
      </c>
      <c r="Z102" s="1719" t="s">
        <v>7799</v>
      </c>
      <c r="AA102" s="1720" t="s">
        <v>6527</v>
      </c>
      <c r="AB102" s="1704"/>
      <c r="AC102" s="1388" t="str">
        <f t="shared" si="16"/>
        <v>ok</v>
      </c>
    </row>
    <row r="103" spans="1:29" ht="21" x14ac:dyDescent="0.6">
      <c r="A103" s="1712">
        <v>95</v>
      </c>
      <c r="B103" s="1713" t="s">
        <v>8749</v>
      </c>
      <c r="C103" s="1714" t="s">
        <v>7895</v>
      </c>
      <c r="D103" s="1715">
        <v>5</v>
      </c>
      <c r="E103" s="1716">
        <v>400</v>
      </c>
      <c r="F103" s="1715">
        <v>8</v>
      </c>
      <c r="G103" s="1716">
        <v>640</v>
      </c>
      <c r="H103" s="1715">
        <v>0</v>
      </c>
      <c r="I103" s="1716">
        <v>0</v>
      </c>
      <c r="J103" s="1715">
        <v>0</v>
      </c>
      <c r="K103" s="1715">
        <v>7</v>
      </c>
      <c r="L103" s="1716">
        <v>245</v>
      </c>
      <c r="M103" s="1715">
        <v>0</v>
      </c>
      <c r="N103" s="1717">
        <v>60</v>
      </c>
      <c r="O103" s="1717">
        <f t="shared" si="14"/>
        <v>0</v>
      </c>
      <c r="P103" s="1718">
        <v>0</v>
      </c>
      <c r="Q103" s="1717">
        <f t="shared" si="10"/>
        <v>0</v>
      </c>
      <c r="R103" s="1718">
        <v>0</v>
      </c>
      <c r="S103" s="1717">
        <f t="shared" si="18"/>
        <v>0</v>
      </c>
      <c r="T103" s="1718">
        <v>0</v>
      </c>
      <c r="U103" s="1717">
        <f t="shared" si="21"/>
        <v>0</v>
      </c>
      <c r="V103" s="1718">
        <v>0</v>
      </c>
      <c r="W103" s="1717">
        <f t="shared" si="19"/>
        <v>0</v>
      </c>
      <c r="X103" s="1718">
        <f t="shared" si="17"/>
        <v>0</v>
      </c>
      <c r="Y103" s="1717">
        <f t="shared" si="17"/>
        <v>0</v>
      </c>
      <c r="Z103" s="1719" t="s">
        <v>7799</v>
      </c>
      <c r="AA103" s="1720" t="s">
        <v>6527</v>
      </c>
      <c r="AB103" s="1704"/>
      <c r="AC103" s="1388" t="str">
        <f t="shared" si="16"/>
        <v>ok</v>
      </c>
    </row>
    <row r="104" spans="1:29" ht="21" x14ac:dyDescent="0.6">
      <c r="A104" s="1712">
        <v>96</v>
      </c>
      <c r="B104" s="1713" t="s">
        <v>8750</v>
      </c>
      <c r="C104" s="1714" t="s">
        <v>8723</v>
      </c>
      <c r="D104" s="1715">
        <v>1</v>
      </c>
      <c r="E104" s="1716">
        <v>1190</v>
      </c>
      <c r="F104" s="1715">
        <v>1</v>
      </c>
      <c r="G104" s="1716">
        <v>1190</v>
      </c>
      <c r="H104" s="1715">
        <v>0</v>
      </c>
      <c r="I104" s="1716">
        <v>0</v>
      </c>
      <c r="J104" s="1715">
        <v>1</v>
      </c>
      <c r="K104" s="1715">
        <v>0</v>
      </c>
      <c r="L104" s="1716">
        <v>0</v>
      </c>
      <c r="M104" s="1715">
        <f>J104-K104</f>
        <v>1</v>
      </c>
      <c r="N104" s="1717">
        <v>1050</v>
      </c>
      <c r="O104" s="1717">
        <f t="shared" si="14"/>
        <v>1050</v>
      </c>
      <c r="P104" s="1718">
        <v>0</v>
      </c>
      <c r="Q104" s="1717">
        <f t="shared" si="10"/>
        <v>0</v>
      </c>
      <c r="R104" s="1718">
        <v>0</v>
      </c>
      <c r="S104" s="1717">
        <f t="shared" si="18"/>
        <v>0</v>
      </c>
      <c r="T104" s="1718">
        <v>0</v>
      </c>
      <c r="U104" s="1717">
        <f t="shared" si="21"/>
        <v>0</v>
      </c>
      <c r="V104" s="1718">
        <v>1</v>
      </c>
      <c r="W104" s="1717">
        <f t="shared" si="19"/>
        <v>1050</v>
      </c>
      <c r="X104" s="1718">
        <f t="shared" si="17"/>
        <v>1</v>
      </c>
      <c r="Y104" s="1717">
        <f t="shared" si="17"/>
        <v>1050</v>
      </c>
      <c r="Z104" s="1719" t="s">
        <v>7799</v>
      </c>
      <c r="AA104" s="1720" t="s">
        <v>6527</v>
      </c>
      <c r="AB104" s="1704"/>
      <c r="AC104" s="1388" t="str">
        <f t="shared" si="16"/>
        <v>ok</v>
      </c>
    </row>
    <row r="105" spans="1:29" ht="21" x14ac:dyDescent="0.6">
      <c r="A105" s="1712">
        <v>97</v>
      </c>
      <c r="B105" s="1713" t="s">
        <v>8751</v>
      </c>
      <c r="C105" s="1714" t="s">
        <v>8118</v>
      </c>
      <c r="D105" s="1715">
        <v>1</v>
      </c>
      <c r="E105" s="1716">
        <v>510</v>
      </c>
      <c r="F105" s="1715">
        <v>0</v>
      </c>
      <c r="G105" s="1716">
        <v>0</v>
      </c>
      <c r="H105" s="1715">
        <v>0</v>
      </c>
      <c r="I105" s="1716">
        <v>0</v>
      </c>
      <c r="J105" s="1715">
        <v>2</v>
      </c>
      <c r="K105" s="1715">
        <v>3</v>
      </c>
      <c r="L105" s="1716">
        <v>1530</v>
      </c>
      <c r="M105" s="1715">
        <v>0</v>
      </c>
      <c r="N105" s="1717">
        <v>510</v>
      </c>
      <c r="O105" s="1717">
        <f t="shared" si="14"/>
        <v>0</v>
      </c>
      <c r="P105" s="1718">
        <v>0</v>
      </c>
      <c r="Q105" s="1717">
        <f t="shared" si="10"/>
        <v>0</v>
      </c>
      <c r="R105" s="1718">
        <v>0</v>
      </c>
      <c r="S105" s="1717">
        <f t="shared" si="18"/>
        <v>0</v>
      </c>
      <c r="T105" s="1718">
        <v>0</v>
      </c>
      <c r="U105" s="1717">
        <f t="shared" si="21"/>
        <v>0</v>
      </c>
      <c r="V105" s="1718">
        <v>0</v>
      </c>
      <c r="W105" s="1717">
        <f t="shared" si="19"/>
        <v>0</v>
      </c>
      <c r="X105" s="1718">
        <f t="shared" si="17"/>
        <v>0</v>
      </c>
      <c r="Y105" s="1717">
        <f t="shared" si="17"/>
        <v>0</v>
      </c>
      <c r="Z105" s="1719" t="s">
        <v>7799</v>
      </c>
      <c r="AA105" s="1720" t="s">
        <v>6527</v>
      </c>
      <c r="AB105" s="1704"/>
      <c r="AC105" s="1388" t="str">
        <f t="shared" si="16"/>
        <v>ok</v>
      </c>
    </row>
    <row r="106" spans="1:29" ht="21" x14ac:dyDescent="0.6">
      <c r="A106" s="1712">
        <v>98</v>
      </c>
      <c r="B106" s="1713" t="s">
        <v>8752</v>
      </c>
      <c r="C106" s="1714" t="s">
        <v>8118</v>
      </c>
      <c r="D106" s="1715">
        <v>0</v>
      </c>
      <c r="E106" s="1716">
        <v>0</v>
      </c>
      <c r="F106" s="1715">
        <v>0</v>
      </c>
      <c r="G106" s="1716">
        <v>0</v>
      </c>
      <c r="H106" s="1715">
        <v>0</v>
      </c>
      <c r="I106" s="1716">
        <v>0</v>
      </c>
      <c r="J106" s="1715">
        <v>0</v>
      </c>
      <c r="K106" s="1715">
        <v>3</v>
      </c>
      <c r="L106" s="1716">
        <v>2208</v>
      </c>
      <c r="M106" s="1715">
        <v>0</v>
      </c>
      <c r="N106" s="1717">
        <v>768</v>
      </c>
      <c r="O106" s="1717">
        <f t="shared" si="14"/>
        <v>0</v>
      </c>
      <c r="P106" s="1718">
        <v>0</v>
      </c>
      <c r="Q106" s="1717">
        <f t="shared" si="10"/>
        <v>0</v>
      </c>
      <c r="R106" s="1718">
        <v>0</v>
      </c>
      <c r="S106" s="1717">
        <f t="shared" si="18"/>
        <v>0</v>
      </c>
      <c r="T106" s="1718">
        <v>0</v>
      </c>
      <c r="U106" s="1717">
        <f t="shared" si="21"/>
        <v>0</v>
      </c>
      <c r="V106" s="1718">
        <v>0</v>
      </c>
      <c r="W106" s="1717">
        <f t="shared" si="19"/>
        <v>0</v>
      </c>
      <c r="X106" s="1718">
        <f t="shared" si="17"/>
        <v>0</v>
      </c>
      <c r="Y106" s="1717">
        <f t="shared" si="17"/>
        <v>0</v>
      </c>
      <c r="Z106" s="1719" t="s">
        <v>7799</v>
      </c>
      <c r="AA106" s="1720" t="s">
        <v>6527</v>
      </c>
      <c r="AB106" s="1704"/>
      <c r="AC106" s="1388" t="str">
        <f t="shared" si="16"/>
        <v>ok</v>
      </c>
    </row>
    <row r="107" spans="1:29" ht="21" x14ac:dyDescent="0.6">
      <c r="A107" s="1712">
        <v>99</v>
      </c>
      <c r="B107" s="1713" t="s">
        <v>8753</v>
      </c>
      <c r="C107" s="1714" t="s">
        <v>7895</v>
      </c>
      <c r="D107" s="1715">
        <v>0</v>
      </c>
      <c r="E107" s="1716">
        <v>0</v>
      </c>
      <c r="F107" s="1715">
        <v>0</v>
      </c>
      <c r="G107" s="1716">
        <v>0</v>
      </c>
      <c r="H107" s="1715">
        <v>0</v>
      </c>
      <c r="I107" s="1716">
        <v>0</v>
      </c>
      <c r="J107" s="1715">
        <v>0</v>
      </c>
      <c r="K107" s="1715">
        <v>15</v>
      </c>
      <c r="L107" s="1716">
        <v>585</v>
      </c>
      <c r="M107" s="1715">
        <v>0</v>
      </c>
      <c r="N107" s="1717">
        <v>80</v>
      </c>
      <c r="O107" s="1717">
        <f t="shared" si="14"/>
        <v>0</v>
      </c>
      <c r="P107" s="1718">
        <v>0</v>
      </c>
      <c r="Q107" s="1717">
        <f t="shared" si="10"/>
        <v>0</v>
      </c>
      <c r="R107" s="1718">
        <v>0</v>
      </c>
      <c r="S107" s="1717">
        <f t="shared" si="18"/>
        <v>0</v>
      </c>
      <c r="T107" s="1718">
        <v>0</v>
      </c>
      <c r="U107" s="1717">
        <f t="shared" si="21"/>
        <v>0</v>
      </c>
      <c r="V107" s="1718">
        <v>0</v>
      </c>
      <c r="W107" s="1717">
        <f t="shared" si="19"/>
        <v>0</v>
      </c>
      <c r="X107" s="1718">
        <f t="shared" si="17"/>
        <v>0</v>
      </c>
      <c r="Y107" s="1717">
        <f t="shared" si="17"/>
        <v>0</v>
      </c>
      <c r="Z107" s="1719" t="s">
        <v>7799</v>
      </c>
      <c r="AA107" s="1720" t="s">
        <v>6527</v>
      </c>
      <c r="AB107" s="1704"/>
      <c r="AC107" s="1388" t="str">
        <f t="shared" si="16"/>
        <v>ok</v>
      </c>
    </row>
    <row r="108" spans="1:29" ht="21" x14ac:dyDescent="0.6">
      <c r="A108" s="1712">
        <v>100</v>
      </c>
      <c r="B108" s="1713" t="s">
        <v>8754</v>
      </c>
      <c r="C108" s="1714" t="s">
        <v>7895</v>
      </c>
      <c r="D108" s="1715">
        <v>0</v>
      </c>
      <c r="E108" s="1716">
        <v>0</v>
      </c>
      <c r="F108" s="1715">
        <v>0</v>
      </c>
      <c r="G108" s="1716">
        <v>0</v>
      </c>
      <c r="H108" s="1715">
        <v>0</v>
      </c>
      <c r="I108" s="1716">
        <v>0</v>
      </c>
      <c r="J108" s="1715">
        <v>0</v>
      </c>
      <c r="K108" s="1715">
        <v>15</v>
      </c>
      <c r="L108" s="1716">
        <v>585</v>
      </c>
      <c r="M108" s="1715">
        <v>0</v>
      </c>
      <c r="N108" s="1717">
        <v>80</v>
      </c>
      <c r="O108" s="1717">
        <f t="shared" si="14"/>
        <v>0</v>
      </c>
      <c r="P108" s="1718">
        <v>0</v>
      </c>
      <c r="Q108" s="1717">
        <f t="shared" si="10"/>
        <v>0</v>
      </c>
      <c r="R108" s="1718">
        <v>0</v>
      </c>
      <c r="S108" s="1717">
        <f t="shared" si="18"/>
        <v>0</v>
      </c>
      <c r="T108" s="1718">
        <v>0</v>
      </c>
      <c r="U108" s="1717">
        <f t="shared" si="21"/>
        <v>0</v>
      </c>
      <c r="V108" s="1718">
        <v>0</v>
      </c>
      <c r="W108" s="1717">
        <f t="shared" si="19"/>
        <v>0</v>
      </c>
      <c r="X108" s="1718">
        <f t="shared" si="17"/>
        <v>0</v>
      </c>
      <c r="Y108" s="1717">
        <f t="shared" si="17"/>
        <v>0</v>
      </c>
      <c r="Z108" s="1719" t="s">
        <v>7799</v>
      </c>
      <c r="AA108" s="1720" t="s">
        <v>6527</v>
      </c>
      <c r="AB108" s="1704"/>
      <c r="AC108" s="1388" t="str">
        <f t="shared" si="16"/>
        <v>ok</v>
      </c>
    </row>
    <row r="109" spans="1:29" ht="21" x14ac:dyDescent="0.6">
      <c r="A109" s="1712">
        <v>101</v>
      </c>
      <c r="B109" s="1713" t="s">
        <v>8755</v>
      </c>
      <c r="C109" s="1714" t="s">
        <v>7895</v>
      </c>
      <c r="D109" s="1715">
        <v>5</v>
      </c>
      <c r="E109" s="1716">
        <v>400</v>
      </c>
      <c r="F109" s="1715">
        <v>20</v>
      </c>
      <c r="G109" s="1716">
        <v>1600</v>
      </c>
      <c r="H109" s="1715">
        <v>0</v>
      </c>
      <c r="I109" s="1716">
        <v>0</v>
      </c>
      <c r="J109" s="1715">
        <v>20</v>
      </c>
      <c r="K109" s="1715">
        <v>5</v>
      </c>
      <c r="L109" s="1716">
        <v>195</v>
      </c>
      <c r="M109" s="1715">
        <f>J109-K109</f>
        <v>15</v>
      </c>
      <c r="N109" s="1717">
        <v>80</v>
      </c>
      <c r="O109" s="1717">
        <f t="shared" si="14"/>
        <v>1200</v>
      </c>
      <c r="P109" s="1718">
        <v>15</v>
      </c>
      <c r="Q109" s="1717">
        <f t="shared" si="10"/>
        <v>1200</v>
      </c>
      <c r="R109" s="1718">
        <v>0</v>
      </c>
      <c r="S109" s="1717">
        <f t="shared" si="18"/>
        <v>0</v>
      </c>
      <c r="T109" s="1718">
        <v>0</v>
      </c>
      <c r="U109" s="1717">
        <f t="shared" si="21"/>
        <v>0</v>
      </c>
      <c r="V109" s="1718">
        <v>0</v>
      </c>
      <c r="W109" s="1717">
        <f t="shared" si="19"/>
        <v>0</v>
      </c>
      <c r="X109" s="1718">
        <f t="shared" si="17"/>
        <v>15</v>
      </c>
      <c r="Y109" s="1717">
        <f t="shared" si="17"/>
        <v>1200</v>
      </c>
      <c r="Z109" s="1719" t="s">
        <v>7799</v>
      </c>
      <c r="AA109" s="1720" t="s">
        <v>6527</v>
      </c>
      <c r="AB109" s="1704"/>
      <c r="AC109" s="1388" t="str">
        <f t="shared" si="16"/>
        <v>ok</v>
      </c>
    </row>
    <row r="110" spans="1:29" ht="21" x14ac:dyDescent="0.6">
      <c r="A110" s="1712">
        <v>102</v>
      </c>
      <c r="B110" s="1713" t="s">
        <v>8756</v>
      </c>
      <c r="C110" s="1714" t="s">
        <v>7816</v>
      </c>
      <c r="D110" s="1715">
        <v>0</v>
      </c>
      <c r="E110" s="1716">
        <v>0</v>
      </c>
      <c r="F110" s="1715">
        <v>0</v>
      </c>
      <c r="G110" s="1716">
        <v>0</v>
      </c>
      <c r="H110" s="1715">
        <v>0</v>
      </c>
      <c r="I110" s="1716">
        <v>0</v>
      </c>
      <c r="J110" s="1715">
        <v>0</v>
      </c>
      <c r="K110" s="1715">
        <v>1</v>
      </c>
      <c r="L110" s="1716">
        <v>1284</v>
      </c>
      <c r="M110" s="1715">
        <v>0</v>
      </c>
      <c r="N110" s="1717">
        <v>1284</v>
      </c>
      <c r="O110" s="1717">
        <f t="shared" si="14"/>
        <v>0</v>
      </c>
      <c r="P110" s="1718">
        <v>0</v>
      </c>
      <c r="Q110" s="1717">
        <f t="shared" si="10"/>
        <v>0</v>
      </c>
      <c r="R110" s="1718">
        <v>0</v>
      </c>
      <c r="S110" s="1717">
        <f t="shared" si="18"/>
        <v>0</v>
      </c>
      <c r="T110" s="1718">
        <v>0</v>
      </c>
      <c r="U110" s="1717">
        <f t="shared" si="21"/>
        <v>0</v>
      </c>
      <c r="V110" s="1718">
        <v>0</v>
      </c>
      <c r="W110" s="1717">
        <f t="shared" si="19"/>
        <v>0</v>
      </c>
      <c r="X110" s="1718">
        <f t="shared" si="17"/>
        <v>0</v>
      </c>
      <c r="Y110" s="1717">
        <f t="shared" si="17"/>
        <v>0</v>
      </c>
      <c r="Z110" s="1719" t="s">
        <v>7799</v>
      </c>
      <c r="AA110" s="1720" t="s">
        <v>6527</v>
      </c>
      <c r="AB110" s="1704"/>
      <c r="AC110" s="1388" t="str">
        <f t="shared" si="16"/>
        <v>ok</v>
      </c>
    </row>
    <row r="111" spans="1:29" ht="21" x14ac:dyDescent="0.6">
      <c r="A111" s="1712">
        <v>103</v>
      </c>
      <c r="B111" s="1713" t="s">
        <v>8757</v>
      </c>
      <c r="C111" s="1714" t="s">
        <v>7895</v>
      </c>
      <c r="D111" s="1715">
        <v>0</v>
      </c>
      <c r="E111" s="1716">
        <v>0</v>
      </c>
      <c r="F111" s="1715">
        <v>15</v>
      </c>
      <c r="G111" s="1716">
        <v>750</v>
      </c>
      <c r="H111" s="1715">
        <v>5</v>
      </c>
      <c r="I111" s="1716">
        <v>250</v>
      </c>
      <c r="J111" s="1715">
        <v>25</v>
      </c>
      <c r="K111" s="1715">
        <v>0</v>
      </c>
      <c r="L111" s="1716">
        <v>0</v>
      </c>
      <c r="M111" s="1715">
        <f t="shared" ref="M111:M117" si="22">J111-K111</f>
        <v>25</v>
      </c>
      <c r="N111" s="1717">
        <v>50</v>
      </c>
      <c r="O111" s="1717">
        <f t="shared" si="14"/>
        <v>1250</v>
      </c>
      <c r="P111" s="1718">
        <v>25</v>
      </c>
      <c r="Q111" s="1717">
        <f t="shared" si="10"/>
        <v>1250</v>
      </c>
      <c r="R111" s="1718">
        <v>0</v>
      </c>
      <c r="S111" s="1717">
        <f t="shared" si="18"/>
        <v>0</v>
      </c>
      <c r="T111" s="1718">
        <v>0</v>
      </c>
      <c r="U111" s="1717">
        <f t="shared" si="21"/>
        <v>0</v>
      </c>
      <c r="V111" s="1718">
        <v>0</v>
      </c>
      <c r="W111" s="1717">
        <f t="shared" si="19"/>
        <v>0</v>
      </c>
      <c r="X111" s="1718">
        <f t="shared" si="17"/>
        <v>25</v>
      </c>
      <c r="Y111" s="1717">
        <f t="shared" si="17"/>
        <v>1250</v>
      </c>
      <c r="Z111" s="1719" t="s">
        <v>7799</v>
      </c>
      <c r="AA111" s="1720" t="s">
        <v>6527</v>
      </c>
      <c r="AB111" s="1704"/>
      <c r="AC111" s="1388" t="str">
        <f t="shared" si="16"/>
        <v>ok</v>
      </c>
    </row>
    <row r="112" spans="1:29" ht="21" x14ac:dyDescent="0.6">
      <c r="A112" s="1712">
        <v>104</v>
      </c>
      <c r="B112" s="1713" t="s">
        <v>8758</v>
      </c>
      <c r="C112" s="1714" t="s">
        <v>7895</v>
      </c>
      <c r="D112" s="1715">
        <v>6</v>
      </c>
      <c r="E112" s="1716">
        <v>318</v>
      </c>
      <c r="F112" s="1715">
        <v>0</v>
      </c>
      <c r="G112" s="1716">
        <v>0</v>
      </c>
      <c r="H112" s="1715">
        <v>0</v>
      </c>
      <c r="I112" s="1716">
        <v>0</v>
      </c>
      <c r="J112" s="1715">
        <v>0</v>
      </c>
      <c r="K112" s="1715">
        <v>0</v>
      </c>
      <c r="L112" s="1716">
        <v>0</v>
      </c>
      <c r="M112" s="1715">
        <f t="shared" si="22"/>
        <v>0</v>
      </c>
      <c r="N112" s="1717">
        <v>53</v>
      </c>
      <c r="O112" s="1717">
        <f>P1110</f>
        <v>0</v>
      </c>
      <c r="P112" s="1718">
        <v>0</v>
      </c>
      <c r="Q112" s="1717">
        <f t="shared" si="10"/>
        <v>0</v>
      </c>
      <c r="R112" s="1718">
        <v>0</v>
      </c>
      <c r="S112" s="1717">
        <f t="shared" si="18"/>
        <v>0</v>
      </c>
      <c r="T112" s="1718">
        <v>0</v>
      </c>
      <c r="U112" s="1717">
        <f t="shared" si="21"/>
        <v>0</v>
      </c>
      <c r="V112" s="1718">
        <v>0</v>
      </c>
      <c r="W112" s="1717">
        <f t="shared" si="19"/>
        <v>0</v>
      </c>
      <c r="X112" s="1718">
        <f t="shared" si="17"/>
        <v>0</v>
      </c>
      <c r="Y112" s="1717">
        <f t="shared" si="17"/>
        <v>0</v>
      </c>
      <c r="Z112" s="1719" t="s">
        <v>7799</v>
      </c>
      <c r="AA112" s="1720" t="s">
        <v>6527</v>
      </c>
      <c r="AB112" s="1704"/>
      <c r="AC112" s="1388" t="str">
        <f t="shared" si="16"/>
        <v>ok</v>
      </c>
    </row>
    <row r="113" spans="1:29" ht="21" x14ac:dyDescent="0.6">
      <c r="A113" s="1712">
        <v>105</v>
      </c>
      <c r="B113" s="1713" t="s">
        <v>8759</v>
      </c>
      <c r="C113" s="1714" t="s">
        <v>8760</v>
      </c>
      <c r="D113" s="1715">
        <v>0</v>
      </c>
      <c r="E113" s="1716">
        <v>0</v>
      </c>
      <c r="F113" s="1715">
        <v>0</v>
      </c>
      <c r="G113" s="1716">
        <v>0</v>
      </c>
      <c r="H113" s="1715">
        <v>0</v>
      </c>
      <c r="I113" s="1716">
        <v>0</v>
      </c>
      <c r="J113" s="1715">
        <v>2</v>
      </c>
      <c r="K113" s="1715">
        <v>0</v>
      </c>
      <c r="L113" s="1716">
        <v>0</v>
      </c>
      <c r="M113" s="1715">
        <f t="shared" si="22"/>
        <v>2</v>
      </c>
      <c r="N113" s="1717">
        <v>910</v>
      </c>
      <c r="O113" s="1717">
        <f t="shared" ref="O113:O158" si="23">M113*N113</f>
        <v>1820</v>
      </c>
      <c r="P113" s="1718">
        <v>0</v>
      </c>
      <c r="Q113" s="1717">
        <f t="shared" si="10"/>
        <v>0</v>
      </c>
      <c r="R113" s="1718">
        <v>0</v>
      </c>
      <c r="S113" s="1717">
        <f t="shared" si="18"/>
        <v>0</v>
      </c>
      <c r="T113" s="1718">
        <v>2</v>
      </c>
      <c r="U113" s="1717">
        <f t="shared" si="21"/>
        <v>1820</v>
      </c>
      <c r="V113" s="1718">
        <v>0</v>
      </c>
      <c r="W113" s="1717">
        <f t="shared" si="19"/>
        <v>0</v>
      </c>
      <c r="X113" s="1718">
        <f t="shared" si="17"/>
        <v>2</v>
      </c>
      <c r="Y113" s="1717">
        <f t="shared" si="17"/>
        <v>1820</v>
      </c>
      <c r="Z113" s="1719" t="s">
        <v>7799</v>
      </c>
      <c r="AA113" s="1720" t="s">
        <v>6527</v>
      </c>
      <c r="AB113" s="1704"/>
      <c r="AC113" s="1388" t="str">
        <f t="shared" si="16"/>
        <v>ok</v>
      </c>
    </row>
    <row r="114" spans="1:29" ht="21" x14ac:dyDescent="0.6">
      <c r="A114" s="1712">
        <v>106</v>
      </c>
      <c r="B114" s="1713" t="s">
        <v>8761</v>
      </c>
      <c r="C114" s="1714" t="s">
        <v>8760</v>
      </c>
      <c r="D114" s="1715">
        <v>0</v>
      </c>
      <c r="E114" s="1716">
        <v>0</v>
      </c>
      <c r="F114" s="1715">
        <v>0</v>
      </c>
      <c r="G114" s="1716">
        <v>0</v>
      </c>
      <c r="H114" s="1715">
        <v>0</v>
      </c>
      <c r="I114" s="1716">
        <v>0</v>
      </c>
      <c r="J114" s="1715">
        <v>2</v>
      </c>
      <c r="K114" s="1715">
        <v>1</v>
      </c>
      <c r="L114" s="1716">
        <v>0</v>
      </c>
      <c r="M114" s="1715">
        <f t="shared" si="22"/>
        <v>1</v>
      </c>
      <c r="N114" s="1717">
        <v>1165</v>
      </c>
      <c r="O114" s="1717">
        <f t="shared" si="23"/>
        <v>1165</v>
      </c>
      <c r="P114" s="1718">
        <v>0</v>
      </c>
      <c r="Q114" s="1717">
        <f t="shared" si="10"/>
        <v>0</v>
      </c>
      <c r="R114" s="1718">
        <v>0</v>
      </c>
      <c r="S114" s="1717">
        <f t="shared" si="18"/>
        <v>0</v>
      </c>
      <c r="T114" s="1718">
        <v>1</v>
      </c>
      <c r="U114" s="1717">
        <f t="shared" si="21"/>
        <v>1165</v>
      </c>
      <c r="V114" s="1718">
        <v>0</v>
      </c>
      <c r="W114" s="1717">
        <f t="shared" si="19"/>
        <v>0</v>
      </c>
      <c r="X114" s="1718">
        <f t="shared" ref="X114:Y145" si="24">P114+R114+T114+V114</f>
        <v>1</v>
      </c>
      <c r="Y114" s="1717">
        <f t="shared" si="24"/>
        <v>1165</v>
      </c>
      <c r="Z114" s="1719" t="s">
        <v>7799</v>
      </c>
      <c r="AA114" s="1720" t="s">
        <v>6527</v>
      </c>
      <c r="AB114" s="1704"/>
      <c r="AC114" s="1388" t="str">
        <f t="shared" si="16"/>
        <v>ok</v>
      </c>
    </row>
    <row r="115" spans="1:29" ht="21" x14ac:dyDescent="0.6">
      <c r="A115" s="1712">
        <v>107</v>
      </c>
      <c r="B115" s="1713" t="s">
        <v>8762</v>
      </c>
      <c r="C115" s="1714" t="s">
        <v>8760</v>
      </c>
      <c r="D115" s="1715">
        <v>0</v>
      </c>
      <c r="E115" s="1716">
        <v>0</v>
      </c>
      <c r="F115" s="1715">
        <v>0</v>
      </c>
      <c r="G115" s="1716">
        <v>0</v>
      </c>
      <c r="H115" s="1715">
        <v>0</v>
      </c>
      <c r="I115" s="1716">
        <v>0</v>
      </c>
      <c r="J115" s="1715">
        <v>2</v>
      </c>
      <c r="K115" s="1715">
        <v>0</v>
      </c>
      <c r="L115" s="1716">
        <v>0</v>
      </c>
      <c r="M115" s="1715">
        <f t="shared" si="22"/>
        <v>2</v>
      </c>
      <c r="N115" s="1717">
        <v>1165</v>
      </c>
      <c r="O115" s="1717">
        <f t="shared" si="23"/>
        <v>2330</v>
      </c>
      <c r="P115" s="1718">
        <v>0</v>
      </c>
      <c r="Q115" s="1717">
        <f t="shared" si="10"/>
        <v>0</v>
      </c>
      <c r="R115" s="1718">
        <v>0</v>
      </c>
      <c r="S115" s="1717">
        <f t="shared" si="18"/>
        <v>0</v>
      </c>
      <c r="T115" s="1718">
        <v>2</v>
      </c>
      <c r="U115" s="1717">
        <f t="shared" si="21"/>
        <v>2330</v>
      </c>
      <c r="V115" s="1718">
        <v>0</v>
      </c>
      <c r="W115" s="1717">
        <f t="shared" si="19"/>
        <v>0</v>
      </c>
      <c r="X115" s="1718">
        <f t="shared" si="24"/>
        <v>2</v>
      </c>
      <c r="Y115" s="1717">
        <f t="shared" si="24"/>
        <v>2330</v>
      </c>
      <c r="Z115" s="1719" t="s">
        <v>7799</v>
      </c>
      <c r="AA115" s="1720" t="s">
        <v>6527</v>
      </c>
      <c r="AB115" s="1704"/>
      <c r="AC115" s="1388" t="str">
        <f t="shared" si="16"/>
        <v>ok</v>
      </c>
    </row>
    <row r="116" spans="1:29" ht="21" x14ac:dyDescent="0.6">
      <c r="A116" s="1712">
        <v>108</v>
      </c>
      <c r="B116" s="1713" t="s">
        <v>8763</v>
      </c>
      <c r="C116" s="1714" t="s">
        <v>7816</v>
      </c>
      <c r="D116" s="1715">
        <v>0</v>
      </c>
      <c r="E116" s="1716">
        <v>0</v>
      </c>
      <c r="F116" s="1715">
        <v>0</v>
      </c>
      <c r="G116" s="1716">
        <v>0</v>
      </c>
      <c r="H116" s="1715">
        <v>0</v>
      </c>
      <c r="I116" s="1716">
        <v>0</v>
      </c>
      <c r="J116" s="1715">
        <v>0</v>
      </c>
      <c r="K116" s="1715">
        <v>0</v>
      </c>
      <c r="L116" s="1716">
        <v>0</v>
      </c>
      <c r="M116" s="1715">
        <f t="shared" si="22"/>
        <v>0</v>
      </c>
      <c r="N116" s="1717">
        <v>680</v>
      </c>
      <c r="O116" s="1717">
        <f t="shared" si="23"/>
        <v>0</v>
      </c>
      <c r="P116" s="1718">
        <v>0</v>
      </c>
      <c r="Q116" s="1717">
        <f t="shared" si="10"/>
        <v>0</v>
      </c>
      <c r="R116" s="1718">
        <v>0</v>
      </c>
      <c r="S116" s="1717">
        <f t="shared" si="18"/>
        <v>0</v>
      </c>
      <c r="T116" s="1718">
        <v>0</v>
      </c>
      <c r="U116" s="1717">
        <f t="shared" si="21"/>
        <v>0</v>
      </c>
      <c r="V116" s="1718">
        <v>0</v>
      </c>
      <c r="W116" s="1717">
        <f t="shared" si="19"/>
        <v>0</v>
      </c>
      <c r="X116" s="1718">
        <f t="shared" si="24"/>
        <v>0</v>
      </c>
      <c r="Y116" s="1717">
        <f t="shared" si="24"/>
        <v>0</v>
      </c>
      <c r="Z116" s="1719" t="s">
        <v>7799</v>
      </c>
      <c r="AA116" s="1720" t="s">
        <v>6527</v>
      </c>
      <c r="AB116" s="1704"/>
      <c r="AC116" s="1388" t="str">
        <f t="shared" si="16"/>
        <v>ok</v>
      </c>
    </row>
    <row r="117" spans="1:29" ht="21" x14ac:dyDescent="0.6">
      <c r="A117" s="1712">
        <v>109</v>
      </c>
      <c r="B117" s="1706" t="s">
        <v>8764</v>
      </c>
      <c r="C117" s="1707" t="s">
        <v>8052</v>
      </c>
      <c r="D117" s="1708">
        <v>0</v>
      </c>
      <c r="E117" s="1709">
        <v>0</v>
      </c>
      <c r="F117" s="1708">
        <v>0</v>
      </c>
      <c r="G117" s="1709">
        <v>0</v>
      </c>
      <c r="H117" s="1708">
        <v>6</v>
      </c>
      <c r="I117" s="1709">
        <v>0</v>
      </c>
      <c r="J117" s="1708">
        <v>10</v>
      </c>
      <c r="K117" s="1708">
        <v>0</v>
      </c>
      <c r="L117" s="1709">
        <v>0</v>
      </c>
      <c r="M117" s="1708">
        <f t="shared" si="22"/>
        <v>10</v>
      </c>
      <c r="N117" s="1710">
        <v>2140</v>
      </c>
      <c r="O117" s="1710">
        <f t="shared" si="23"/>
        <v>21400</v>
      </c>
      <c r="P117" s="1711">
        <v>3</v>
      </c>
      <c r="Q117" s="1710">
        <f t="shared" si="10"/>
        <v>6420</v>
      </c>
      <c r="R117" s="1711">
        <v>3</v>
      </c>
      <c r="S117" s="1710">
        <f t="shared" si="18"/>
        <v>6420</v>
      </c>
      <c r="T117" s="1711">
        <v>2</v>
      </c>
      <c r="U117" s="1710">
        <f t="shared" si="21"/>
        <v>4280</v>
      </c>
      <c r="V117" s="1711">
        <v>2</v>
      </c>
      <c r="W117" s="1710">
        <f t="shared" si="19"/>
        <v>4280</v>
      </c>
      <c r="X117" s="1711">
        <f t="shared" si="24"/>
        <v>10</v>
      </c>
      <c r="Y117" s="1710">
        <f t="shared" si="24"/>
        <v>21400</v>
      </c>
      <c r="Z117" s="1719" t="s">
        <v>7799</v>
      </c>
      <c r="AA117" s="1720" t="s">
        <v>6527</v>
      </c>
      <c r="AB117" s="1704"/>
      <c r="AC117" s="1388" t="str">
        <f t="shared" si="16"/>
        <v>ok</v>
      </c>
    </row>
    <row r="118" spans="1:29" ht="21" x14ac:dyDescent="0.6">
      <c r="A118" s="1712">
        <v>110</v>
      </c>
      <c r="B118" s="1713" t="s">
        <v>8765</v>
      </c>
      <c r="C118" s="1714" t="s">
        <v>7798</v>
      </c>
      <c r="D118" s="1715">
        <v>0</v>
      </c>
      <c r="E118" s="1716">
        <v>0</v>
      </c>
      <c r="F118" s="1715">
        <v>0</v>
      </c>
      <c r="G118" s="1716">
        <v>0</v>
      </c>
      <c r="H118" s="1715">
        <v>0</v>
      </c>
      <c r="I118" s="1716">
        <v>0</v>
      </c>
      <c r="J118" s="1715">
        <v>0</v>
      </c>
      <c r="K118" s="1715">
        <v>1</v>
      </c>
      <c r="L118" s="1716">
        <v>250</v>
      </c>
      <c r="M118" s="1715">
        <v>0</v>
      </c>
      <c r="N118" s="1717">
        <v>250</v>
      </c>
      <c r="O118" s="1717">
        <f t="shared" si="23"/>
        <v>0</v>
      </c>
      <c r="P118" s="1718">
        <v>0</v>
      </c>
      <c r="Q118" s="1717">
        <f t="shared" si="10"/>
        <v>0</v>
      </c>
      <c r="R118" s="1718">
        <v>0</v>
      </c>
      <c r="S118" s="1717">
        <f t="shared" si="18"/>
        <v>0</v>
      </c>
      <c r="T118" s="1718">
        <v>0</v>
      </c>
      <c r="U118" s="1717">
        <f t="shared" si="21"/>
        <v>0</v>
      </c>
      <c r="V118" s="1718">
        <v>0</v>
      </c>
      <c r="W118" s="1717">
        <f t="shared" si="19"/>
        <v>0</v>
      </c>
      <c r="X118" s="1718">
        <f t="shared" si="24"/>
        <v>0</v>
      </c>
      <c r="Y118" s="1717">
        <f t="shared" si="24"/>
        <v>0</v>
      </c>
      <c r="Z118" s="1719" t="s">
        <v>7799</v>
      </c>
      <c r="AA118" s="1720" t="s">
        <v>6527</v>
      </c>
      <c r="AB118" s="1704"/>
      <c r="AC118" s="1388" t="str">
        <f t="shared" si="16"/>
        <v>ok</v>
      </c>
    </row>
    <row r="119" spans="1:29" ht="21" x14ac:dyDescent="0.6">
      <c r="A119" s="1712">
        <v>111</v>
      </c>
      <c r="B119" s="1713" t="s">
        <v>8766</v>
      </c>
      <c r="C119" s="1714" t="s">
        <v>7798</v>
      </c>
      <c r="D119" s="1715">
        <v>0</v>
      </c>
      <c r="E119" s="1716">
        <v>0</v>
      </c>
      <c r="F119" s="1715">
        <v>0</v>
      </c>
      <c r="G119" s="1716">
        <v>0</v>
      </c>
      <c r="H119" s="1715">
        <v>0</v>
      </c>
      <c r="I119" s="1716">
        <v>0</v>
      </c>
      <c r="J119" s="1715">
        <v>0</v>
      </c>
      <c r="K119" s="1715">
        <v>2</v>
      </c>
      <c r="L119" s="1716">
        <v>0</v>
      </c>
      <c r="M119" s="1715">
        <v>0</v>
      </c>
      <c r="N119" s="1717">
        <v>250</v>
      </c>
      <c r="O119" s="1717">
        <f t="shared" si="23"/>
        <v>0</v>
      </c>
      <c r="P119" s="1718">
        <v>0</v>
      </c>
      <c r="Q119" s="1717">
        <f t="shared" si="10"/>
        <v>0</v>
      </c>
      <c r="R119" s="1718">
        <v>0</v>
      </c>
      <c r="S119" s="1717">
        <f t="shared" si="18"/>
        <v>0</v>
      </c>
      <c r="T119" s="1718">
        <v>0</v>
      </c>
      <c r="U119" s="1717">
        <f t="shared" si="21"/>
        <v>0</v>
      </c>
      <c r="V119" s="1718">
        <v>0</v>
      </c>
      <c r="W119" s="1717">
        <f t="shared" si="19"/>
        <v>0</v>
      </c>
      <c r="X119" s="1718">
        <f t="shared" si="24"/>
        <v>0</v>
      </c>
      <c r="Y119" s="1717">
        <f t="shared" si="24"/>
        <v>0</v>
      </c>
      <c r="Z119" s="1719" t="s">
        <v>7799</v>
      </c>
      <c r="AA119" s="1720" t="s">
        <v>6527</v>
      </c>
      <c r="AB119" s="1704"/>
      <c r="AC119" s="1388" t="str">
        <f t="shared" si="16"/>
        <v>ok</v>
      </c>
    </row>
    <row r="120" spans="1:29" ht="21" x14ac:dyDescent="0.6">
      <c r="A120" s="1712">
        <v>112</v>
      </c>
      <c r="B120" s="1713" t="s">
        <v>8767</v>
      </c>
      <c r="C120" s="1714" t="s">
        <v>7798</v>
      </c>
      <c r="D120" s="1715">
        <v>0</v>
      </c>
      <c r="E120" s="1716">
        <v>0</v>
      </c>
      <c r="F120" s="1715">
        <v>0</v>
      </c>
      <c r="G120" s="1716">
        <v>0</v>
      </c>
      <c r="H120" s="1715">
        <v>0</v>
      </c>
      <c r="I120" s="1716">
        <v>0</v>
      </c>
      <c r="J120" s="1715">
        <v>0</v>
      </c>
      <c r="K120" s="1715">
        <v>0</v>
      </c>
      <c r="L120" s="1716">
        <v>0</v>
      </c>
      <c r="M120" s="1715">
        <f>J120-K120</f>
        <v>0</v>
      </c>
      <c r="N120" s="1717">
        <v>250</v>
      </c>
      <c r="O120" s="1717">
        <f t="shared" si="23"/>
        <v>0</v>
      </c>
      <c r="P120" s="1718">
        <v>0</v>
      </c>
      <c r="Q120" s="1717">
        <f t="shared" si="10"/>
        <v>0</v>
      </c>
      <c r="R120" s="1718">
        <v>0</v>
      </c>
      <c r="S120" s="1717">
        <f t="shared" si="18"/>
        <v>0</v>
      </c>
      <c r="T120" s="1718">
        <v>0</v>
      </c>
      <c r="U120" s="1717">
        <f t="shared" si="21"/>
        <v>0</v>
      </c>
      <c r="V120" s="1718">
        <v>0</v>
      </c>
      <c r="W120" s="1717">
        <f t="shared" si="19"/>
        <v>0</v>
      </c>
      <c r="X120" s="1718">
        <f t="shared" si="24"/>
        <v>0</v>
      </c>
      <c r="Y120" s="1717">
        <f t="shared" si="24"/>
        <v>0</v>
      </c>
      <c r="Z120" s="1719" t="s">
        <v>7799</v>
      </c>
      <c r="AA120" s="1720" t="s">
        <v>6527</v>
      </c>
      <c r="AB120" s="1704"/>
      <c r="AC120" s="1388" t="str">
        <f t="shared" si="16"/>
        <v>ok</v>
      </c>
    </row>
    <row r="121" spans="1:29" ht="21" x14ac:dyDescent="0.6">
      <c r="A121" s="1712">
        <v>113</v>
      </c>
      <c r="B121" s="1713" t="s">
        <v>8768</v>
      </c>
      <c r="C121" s="1714" t="s">
        <v>7798</v>
      </c>
      <c r="D121" s="1715">
        <v>0</v>
      </c>
      <c r="E121" s="1716">
        <v>0</v>
      </c>
      <c r="F121" s="1715">
        <v>0</v>
      </c>
      <c r="G121" s="1716">
        <v>0</v>
      </c>
      <c r="H121" s="1715">
        <v>0</v>
      </c>
      <c r="I121" s="1716">
        <v>0</v>
      </c>
      <c r="J121" s="1715">
        <v>6</v>
      </c>
      <c r="K121" s="1715">
        <v>2</v>
      </c>
      <c r="L121" s="1716">
        <v>1600</v>
      </c>
      <c r="M121" s="1715">
        <f>J121-K121</f>
        <v>4</v>
      </c>
      <c r="N121" s="1717">
        <v>600</v>
      </c>
      <c r="O121" s="1717">
        <f t="shared" si="23"/>
        <v>2400</v>
      </c>
      <c r="P121" s="1718">
        <v>2</v>
      </c>
      <c r="Q121" s="1717">
        <f t="shared" si="10"/>
        <v>1200</v>
      </c>
      <c r="R121" s="1718">
        <v>2</v>
      </c>
      <c r="S121" s="1717">
        <f t="shared" si="18"/>
        <v>1200</v>
      </c>
      <c r="T121" s="1718">
        <v>0</v>
      </c>
      <c r="U121" s="1717">
        <f t="shared" si="21"/>
        <v>0</v>
      </c>
      <c r="V121" s="1718">
        <v>0</v>
      </c>
      <c r="W121" s="1717">
        <f t="shared" si="19"/>
        <v>0</v>
      </c>
      <c r="X121" s="1718">
        <f t="shared" si="24"/>
        <v>4</v>
      </c>
      <c r="Y121" s="1717">
        <f t="shared" si="24"/>
        <v>2400</v>
      </c>
      <c r="Z121" s="1719" t="s">
        <v>7799</v>
      </c>
      <c r="AA121" s="1720" t="s">
        <v>6527</v>
      </c>
      <c r="AB121" s="1704"/>
      <c r="AC121" s="1388" t="str">
        <f t="shared" si="16"/>
        <v>ok</v>
      </c>
    </row>
    <row r="122" spans="1:29" ht="21" x14ac:dyDescent="0.6">
      <c r="A122" s="1712">
        <v>114</v>
      </c>
      <c r="B122" s="1713" t="s">
        <v>8769</v>
      </c>
      <c r="C122" s="1714" t="s">
        <v>7798</v>
      </c>
      <c r="D122" s="1715">
        <v>0</v>
      </c>
      <c r="E122" s="1716">
        <v>0</v>
      </c>
      <c r="F122" s="1715">
        <v>0</v>
      </c>
      <c r="G122" s="1716">
        <v>0</v>
      </c>
      <c r="H122" s="1715">
        <v>0</v>
      </c>
      <c r="I122" s="1716">
        <v>0</v>
      </c>
      <c r="J122" s="1715">
        <v>0</v>
      </c>
      <c r="K122" s="1715">
        <v>1</v>
      </c>
      <c r="L122" s="1716">
        <v>1200</v>
      </c>
      <c r="M122" s="1715">
        <v>0</v>
      </c>
      <c r="N122" s="1717">
        <v>1200</v>
      </c>
      <c r="O122" s="1717">
        <f t="shared" si="23"/>
        <v>0</v>
      </c>
      <c r="P122" s="1718">
        <v>0</v>
      </c>
      <c r="Q122" s="1717">
        <f t="shared" si="10"/>
        <v>0</v>
      </c>
      <c r="R122" s="1718">
        <v>0</v>
      </c>
      <c r="S122" s="1717">
        <f t="shared" si="18"/>
        <v>0</v>
      </c>
      <c r="T122" s="1718">
        <v>0</v>
      </c>
      <c r="U122" s="1717">
        <f t="shared" si="21"/>
        <v>0</v>
      </c>
      <c r="V122" s="1718">
        <v>0</v>
      </c>
      <c r="W122" s="1717">
        <f t="shared" si="19"/>
        <v>0</v>
      </c>
      <c r="X122" s="1718">
        <f t="shared" si="24"/>
        <v>0</v>
      </c>
      <c r="Y122" s="1717">
        <f t="shared" si="24"/>
        <v>0</v>
      </c>
      <c r="Z122" s="1719" t="s">
        <v>7799</v>
      </c>
      <c r="AA122" s="1720" t="s">
        <v>6527</v>
      </c>
      <c r="AB122" s="1704"/>
      <c r="AC122" s="1388" t="str">
        <f t="shared" si="16"/>
        <v>ok</v>
      </c>
    </row>
    <row r="123" spans="1:29" ht="21" x14ac:dyDescent="0.6">
      <c r="A123" s="1712">
        <v>115</v>
      </c>
      <c r="B123" s="1713" t="s">
        <v>8770</v>
      </c>
      <c r="C123" s="1714" t="s">
        <v>7798</v>
      </c>
      <c r="D123" s="1715">
        <v>0</v>
      </c>
      <c r="E123" s="1716">
        <v>0</v>
      </c>
      <c r="F123" s="1715">
        <v>0</v>
      </c>
      <c r="G123" s="1716">
        <v>0</v>
      </c>
      <c r="H123" s="1715">
        <v>0</v>
      </c>
      <c r="I123" s="1716">
        <v>0</v>
      </c>
      <c r="J123" s="1715">
        <v>1</v>
      </c>
      <c r="K123" s="1715">
        <v>0</v>
      </c>
      <c r="L123" s="1716">
        <v>0</v>
      </c>
      <c r="M123" s="1715">
        <f>J123-K123</f>
        <v>1</v>
      </c>
      <c r="N123" s="1717">
        <v>2000</v>
      </c>
      <c r="O123" s="1717">
        <f t="shared" si="23"/>
        <v>2000</v>
      </c>
      <c r="P123" s="1718">
        <v>1</v>
      </c>
      <c r="Q123" s="1717">
        <f t="shared" ref="Q123:Q186" si="25">N123*P123</f>
        <v>2000</v>
      </c>
      <c r="R123" s="1718">
        <v>0</v>
      </c>
      <c r="S123" s="1717">
        <f t="shared" si="18"/>
        <v>0</v>
      </c>
      <c r="T123" s="1718">
        <v>0</v>
      </c>
      <c r="U123" s="1717">
        <f t="shared" si="21"/>
        <v>0</v>
      </c>
      <c r="V123" s="1718">
        <v>0</v>
      </c>
      <c r="W123" s="1717">
        <f t="shared" si="19"/>
        <v>0</v>
      </c>
      <c r="X123" s="1718">
        <f t="shared" si="24"/>
        <v>1</v>
      </c>
      <c r="Y123" s="1717">
        <f t="shared" si="24"/>
        <v>2000</v>
      </c>
      <c r="Z123" s="1719" t="s">
        <v>7799</v>
      </c>
      <c r="AA123" s="1720" t="s">
        <v>6527</v>
      </c>
      <c r="AB123" s="1704"/>
      <c r="AC123" s="1388" t="str">
        <f t="shared" si="16"/>
        <v>ok</v>
      </c>
    </row>
    <row r="124" spans="1:29" ht="21" x14ac:dyDescent="0.6">
      <c r="A124" s="1712">
        <v>116</v>
      </c>
      <c r="B124" s="1713" t="s">
        <v>8771</v>
      </c>
      <c r="C124" s="1714" t="s">
        <v>8052</v>
      </c>
      <c r="D124" s="1715">
        <v>0</v>
      </c>
      <c r="E124" s="1716">
        <v>0</v>
      </c>
      <c r="F124" s="1715">
        <v>1</v>
      </c>
      <c r="G124" s="1716">
        <v>4500</v>
      </c>
      <c r="H124" s="1715">
        <v>0</v>
      </c>
      <c r="I124" s="1716">
        <v>0</v>
      </c>
      <c r="J124" s="1715">
        <v>0</v>
      </c>
      <c r="K124" s="1715">
        <v>0</v>
      </c>
      <c r="L124" s="1716">
        <v>0</v>
      </c>
      <c r="M124" s="1715">
        <f>J124-K124</f>
        <v>0</v>
      </c>
      <c r="N124" s="1717">
        <v>4500</v>
      </c>
      <c r="O124" s="1717">
        <f t="shared" si="23"/>
        <v>0</v>
      </c>
      <c r="P124" s="1718">
        <v>0</v>
      </c>
      <c r="Q124" s="1717">
        <f t="shared" si="25"/>
        <v>0</v>
      </c>
      <c r="R124" s="1718">
        <v>0</v>
      </c>
      <c r="S124" s="1717">
        <f t="shared" si="18"/>
        <v>0</v>
      </c>
      <c r="T124" s="1718">
        <v>0</v>
      </c>
      <c r="U124" s="1717">
        <f t="shared" si="21"/>
        <v>0</v>
      </c>
      <c r="V124" s="1718">
        <v>0</v>
      </c>
      <c r="W124" s="1717">
        <f t="shared" si="19"/>
        <v>0</v>
      </c>
      <c r="X124" s="1718">
        <f t="shared" si="24"/>
        <v>0</v>
      </c>
      <c r="Y124" s="1717">
        <f t="shared" si="24"/>
        <v>0</v>
      </c>
      <c r="Z124" s="1719" t="s">
        <v>7799</v>
      </c>
      <c r="AA124" s="1720" t="s">
        <v>6527</v>
      </c>
      <c r="AB124" s="1704"/>
      <c r="AC124" s="1388" t="str">
        <f t="shared" si="16"/>
        <v>ok</v>
      </c>
    </row>
    <row r="125" spans="1:29" ht="21" x14ac:dyDescent="0.6">
      <c r="A125" s="1712">
        <v>117</v>
      </c>
      <c r="B125" s="1713" t="s">
        <v>8772</v>
      </c>
      <c r="C125" s="1714" t="s">
        <v>7816</v>
      </c>
      <c r="D125" s="1715">
        <v>0</v>
      </c>
      <c r="E125" s="1716">
        <v>0</v>
      </c>
      <c r="F125" s="1715">
        <v>0</v>
      </c>
      <c r="G125" s="1716">
        <v>0</v>
      </c>
      <c r="H125" s="1715">
        <v>1</v>
      </c>
      <c r="I125" s="1716">
        <v>280</v>
      </c>
      <c r="J125" s="1715">
        <v>0</v>
      </c>
      <c r="K125" s="1715">
        <v>8</v>
      </c>
      <c r="L125" s="1716">
        <v>1940</v>
      </c>
      <c r="M125" s="1715">
        <v>0</v>
      </c>
      <c r="N125" s="1717">
        <v>280</v>
      </c>
      <c r="O125" s="1717">
        <f t="shared" si="23"/>
        <v>0</v>
      </c>
      <c r="P125" s="1718">
        <v>0</v>
      </c>
      <c r="Q125" s="1717">
        <f t="shared" si="25"/>
        <v>0</v>
      </c>
      <c r="R125" s="1718">
        <v>0</v>
      </c>
      <c r="S125" s="1717">
        <f t="shared" si="18"/>
        <v>0</v>
      </c>
      <c r="T125" s="1718">
        <v>0</v>
      </c>
      <c r="U125" s="1717">
        <f t="shared" si="21"/>
        <v>0</v>
      </c>
      <c r="V125" s="1718">
        <v>0</v>
      </c>
      <c r="W125" s="1717">
        <f t="shared" si="19"/>
        <v>0</v>
      </c>
      <c r="X125" s="1718">
        <f t="shared" si="24"/>
        <v>0</v>
      </c>
      <c r="Y125" s="1717">
        <f t="shared" si="24"/>
        <v>0</v>
      </c>
      <c r="Z125" s="1719" t="s">
        <v>7799</v>
      </c>
      <c r="AA125" s="1720" t="s">
        <v>6527</v>
      </c>
      <c r="AB125" s="1704"/>
      <c r="AC125" s="1388" t="str">
        <f t="shared" si="16"/>
        <v>ok</v>
      </c>
    </row>
    <row r="126" spans="1:29" ht="21" x14ac:dyDescent="0.6">
      <c r="A126" s="1712">
        <v>118</v>
      </c>
      <c r="B126" s="1713" t="s">
        <v>8773</v>
      </c>
      <c r="C126" s="1714" t="s">
        <v>7816</v>
      </c>
      <c r="D126" s="1715">
        <v>5</v>
      </c>
      <c r="E126" s="1716">
        <v>250</v>
      </c>
      <c r="F126" s="1715">
        <v>4</v>
      </c>
      <c r="G126" s="1716">
        <v>200</v>
      </c>
      <c r="H126" s="1715">
        <v>0</v>
      </c>
      <c r="I126" s="1716">
        <v>0</v>
      </c>
      <c r="J126" s="1715">
        <v>4</v>
      </c>
      <c r="K126" s="1715">
        <v>8</v>
      </c>
      <c r="L126" s="1716">
        <v>400</v>
      </c>
      <c r="M126" s="1715">
        <v>0</v>
      </c>
      <c r="N126" s="1717">
        <v>50</v>
      </c>
      <c r="O126" s="1717">
        <f t="shared" si="23"/>
        <v>0</v>
      </c>
      <c r="P126" s="1718">
        <v>0</v>
      </c>
      <c r="Q126" s="1717">
        <f t="shared" si="25"/>
        <v>0</v>
      </c>
      <c r="R126" s="1718">
        <v>0</v>
      </c>
      <c r="S126" s="1717">
        <f t="shared" si="18"/>
        <v>0</v>
      </c>
      <c r="T126" s="1718">
        <v>0</v>
      </c>
      <c r="U126" s="1717">
        <f t="shared" si="21"/>
        <v>0</v>
      </c>
      <c r="V126" s="1718">
        <v>0</v>
      </c>
      <c r="W126" s="1717">
        <f t="shared" si="19"/>
        <v>0</v>
      </c>
      <c r="X126" s="1718">
        <f t="shared" si="24"/>
        <v>0</v>
      </c>
      <c r="Y126" s="1717">
        <f t="shared" si="24"/>
        <v>0</v>
      </c>
      <c r="Z126" s="1719" t="s">
        <v>7799</v>
      </c>
      <c r="AA126" s="1720" t="s">
        <v>6527</v>
      </c>
      <c r="AB126" s="1704"/>
      <c r="AC126" s="1388" t="str">
        <f t="shared" si="16"/>
        <v>ok</v>
      </c>
    </row>
    <row r="127" spans="1:29" ht="21" x14ac:dyDescent="0.6">
      <c r="A127" s="1712">
        <v>119</v>
      </c>
      <c r="B127" s="1713" t="s">
        <v>8774</v>
      </c>
      <c r="C127" s="1714" t="s">
        <v>7841</v>
      </c>
      <c r="D127" s="1715">
        <v>0</v>
      </c>
      <c r="E127" s="1716">
        <v>0</v>
      </c>
      <c r="F127" s="1715">
        <v>0</v>
      </c>
      <c r="G127" s="1716">
        <v>0</v>
      </c>
      <c r="H127" s="1715">
        <v>0</v>
      </c>
      <c r="I127" s="1716">
        <v>0</v>
      </c>
      <c r="J127" s="1715">
        <v>0</v>
      </c>
      <c r="K127" s="1715">
        <v>0</v>
      </c>
      <c r="L127" s="1716">
        <v>0</v>
      </c>
      <c r="M127" s="1715">
        <f t="shared" ref="M127:M135" si="26">J127-K127</f>
        <v>0</v>
      </c>
      <c r="N127" s="1717">
        <v>950</v>
      </c>
      <c r="O127" s="1717">
        <f t="shared" si="23"/>
        <v>0</v>
      </c>
      <c r="P127" s="1718">
        <v>0</v>
      </c>
      <c r="Q127" s="1717">
        <f t="shared" si="25"/>
        <v>0</v>
      </c>
      <c r="R127" s="1718">
        <v>0</v>
      </c>
      <c r="S127" s="1717">
        <f t="shared" si="18"/>
        <v>0</v>
      </c>
      <c r="T127" s="1718">
        <v>0</v>
      </c>
      <c r="U127" s="1717">
        <f t="shared" si="21"/>
        <v>0</v>
      </c>
      <c r="V127" s="1718">
        <v>0</v>
      </c>
      <c r="W127" s="1717">
        <f t="shared" si="19"/>
        <v>0</v>
      </c>
      <c r="X127" s="1718">
        <f t="shared" si="24"/>
        <v>0</v>
      </c>
      <c r="Y127" s="1717">
        <f t="shared" si="24"/>
        <v>0</v>
      </c>
      <c r="Z127" s="1719" t="s">
        <v>7799</v>
      </c>
      <c r="AA127" s="1720" t="s">
        <v>6527</v>
      </c>
      <c r="AB127" s="1704"/>
      <c r="AC127" s="1388" t="str">
        <f t="shared" si="16"/>
        <v>ok</v>
      </c>
    </row>
    <row r="128" spans="1:29" ht="21" x14ac:dyDescent="0.6">
      <c r="A128" s="1712">
        <v>120</v>
      </c>
      <c r="B128" s="1713" t="s">
        <v>8775</v>
      </c>
      <c r="C128" s="1714" t="s">
        <v>7869</v>
      </c>
      <c r="D128" s="1715">
        <v>1</v>
      </c>
      <c r="E128" s="1716">
        <v>430</v>
      </c>
      <c r="F128" s="1715">
        <v>0</v>
      </c>
      <c r="G128" s="1716">
        <v>0</v>
      </c>
      <c r="H128" s="1715">
        <v>1</v>
      </c>
      <c r="I128" s="1716">
        <v>280</v>
      </c>
      <c r="J128" s="1715">
        <v>1</v>
      </c>
      <c r="K128" s="1715">
        <v>0</v>
      </c>
      <c r="L128" s="1716">
        <v>0</v>
      </c>
      <c r="M128" s="1715">
        <f t="shared" si="26"/>
        <v>1</v>
      </c>
      <c r="N128" s="1717">
        <v>430</v>
      </c>
      <c r="O128" s="1717">
        <f t="shared" si="23"/>
        <v>430</v>
      </c>
      <c r="P128" s="1718">
        <v>0</v>
      </c>
      <c r="Q128" s="1717">
        <f t="shared" si="25"/>
        <v>0</v>
      </c>
      <c r="R128" s="1718">
        <v>0</v>
      </c>
      <c r="S128" s="1717">
        <f t="shared" si="18"/>
        <v>0</v>
      </c>
      <c r="T128" s="1718">
        <v>0</v>
      </c>
      <c r="U128" s="1717">
        <f t="shared" si="21"/>
        <v>0</v>
      </c>
      <c r="V128" s="1718">
        <v>1</v>
      </c>
      <c r="W128" s="1717">
        <f t="shared" si="19"/>
        <v>430</v>
      </c>
      <c r="X128" s="1718">
        <f t="shared" si="24"/>
        <v>1</v>
      </c>
      <c r="Y128" s="1717">
        <f t="shared" si="24"/>
        <v>430</v>
      </c>
      <c r="Z128" s="1719" t="s">
        <v>7799</v>
      </c>
      <c r="AA128" s="1720" t="s">
        <v>6527</v>
      </c>
      <c r="AB128" s="1704"/>
      <c r="AC128" s="1388" t="str">
        <f t="shared" si="16"/>
        <v>ok</v>
      </c>
    </row>
    <row r="129" spans="1:29" ht="21" x14ac:dyDescent="0.6">
      <c r="A129" s="1712">
        <v>121</v>
      </c>
      <c r="B129" s="1713" t="s">
        <v>8776</v>
      </c>
      <c r="C129" s="1714" t="s">
        <v>7869</v>
      </c>
      <c r="D129" s="1715">
        <v>1</v>
      </c>
      <c r="E129" s="1716">
        <v>135</v>
      </c>
      <c r="F129" s="1715">
        <v>0</v>
      </c>
      <c r="G129" s="1716">
        <v>0</v>
      </c>
      <c r="H129" s="1715">
        <v>0</v>
      </c>
      <c r="I129" s="1716">
        <v>0</v>
      </c>
      <c r="J129" s="1715">
        <v>1</v>
      </c>
      <c r="K129" s="1715">
        <v>0</v>
      </c>
      <c r="L129" s="1716">
        <v>0</v>
      </c>
      <c r="M129" s="1715">
        <f t="shared" si="26"/>
        <v>1</v>
      </c>
      <c r="N129" s="1717">
        <v>135</v>
      </c>
      <c r="O129" s="1717">
        <f t="shared" si="23"/>
        <v>135</v>
      </c>
      <c r="P129" s="1718">
        <v>0</v>
      </c>
      <c r="Q129" s="1717">
        <f t="shared" si="25"/>
        <v>0</v>
      </c>
      <c r="R129" s="1718">
        <v>0</v>
      </c>
      <c r="S129" s="1717">
        <f t="shared" si="18"/>
        <v>0</v>
      </c>
      <c r="T129" s="1718">
        <v>0</v>
      </c>
      <c r="U129" s="1717">
        <f t="shared" si="21"/>
        <v>0</v>
      </c>
      <c r="V129" s="1718">
        <v>1</v>
      </c>
      <c r="W129" s="1717">
        <f t="shared" si="19"/>
        <v>135</v>
      </c>
      <c r="X129" s="1718">
        <f t="shared" si="24"/>
        <v>1</v>
      </c>
      <c r="Y129" s="1717">
        <f t="shared" si="24"/>
        <v>135</v>
      </c>
      <c r="Z129" s="1719" t="s">
        <v>7799</v>
      </c>
      <c r="AA129" s="1720" t="s">
        <v>6527</v>
      </c>
      <c r="AB129" s="1704"/>
      <c r="AC129" s="1388" t="str">
        <f t="shared" si="16"/>
        <v>ok</v>
      </c>
    </row>
    <row r="130" spans="1:29" ht="21" x14ac:dyDescent="0.6">
      <c r="A130" s="1712">
        <v>122</v>
      </c>
      <c r="B130" s="1713" t="s">
        <v>8777</v>
      </c>
      <c r="C130" s="1714" t="s">
        <v>8261</v>
      </c>
      <c r="D130" s="1715">
        <v>4</v>
      </c>
      <c r="E130" s="1716">
        <v>1040</v>
      </c>
      <c r="F130" s="1715">
        <v>3</v>
      </c>
      <c r="G130" s="1716">
        <v>780</v>
      </c>
      <c r="H130" s="1715">
        <v>1</v>
      </c>
      <c r="I130" s="1716">
        <v>220</v>
      </c>
      <c r="J130" s="1715">
        <v>2</v>
      </c>
      <c r="K130" s="1715">
        <v>1</v>
      </c>
      <c r="L130" s="1716">
        <v>180</v>
      </c>
      <c r="M130" s="1715">
        <f t="shared" si="26"/>
        <v>1</v>
      </c>
      <c r="N130" s="1717">
        <v>260</v>
      </c>
      <c r="O130" s="1717">
        <f t="shared" si="23"/>
        <v>260</v>
      </c>
      <c r="P130" s="1718">
        <v>0</v>
      </c>
      <c r="Q130" s="1717">
        <f t="shared" si="25"/>
        <v>0</v>
      </c>
      <c r="R130" s="1718">
        <v>0</v>
      </c>
      <c r="S130" s="1717">
        <f t="shared" si="18"/>
        <v>0</v>
      </c>
      <c r="T130" s="1718">
        <v>0</v>
      </c>
      <c r="U130" s="1717">
        <f t="shared" si="21"/>
        <v>0</v>
      </c>
      <c r="V130" s="1718">
        <v>1</v>
      </c>
      <c r="W130" s="1717">
        <f t="shared" si="19"/>
        <v>260</v>
      </c>
      <c r="X130" s="1718">
        <f t="shared" si="24"/>
        <v>1</v>
      </c>
      <c r="Y130" s="1717">
        <f t="shared" si="24"/>
        <v>260</v>
      </c>
      <c r="Z130" s="1719" t="s">
        <v>7799</v>
      </c>
      <c r="AA130" s="1720" t="s">
        <v>6527</v>
      </c>
      <c r="AB130" s="1704"/>
      <c r="AC130" s="1388" t="str">
        <f t="shared" si="16"/>
        <v>ok</v>
      </c>
    </row>
    <row r="131" spans="1:29" ht="21" x14ac:dyDescent="0.6">
      <c r="A131" s="1712">
        <v>123</v>
      </c>
      <c r="B131" s="1713" t="s">
        <v>8778</v>
      </c>
      <c r="C131" s="1714" t="s">
        <v>7869</v>
      </c>
      <c r="D131" s="1715">
        <v>0</v>
      </c>
      <c r="E131" s="1716">
        <v>0</v>
      </c>
      <c r="F131" s="1715">
        <v>0</v>
      </c>
      <c r="G131" s="1716">
        <v>0</v>
      </c>
      <c r="H131" s="1715">
        <v>0</v>
      </c>
      <c r="I131" s="1716">
        <v>0</v>
      </c>
      <c r="J131" s="1715">
        <v>1</v>
      </c>
      <c r="K131" s="1715">
        <v>0</v>
      </c>
      <c r="L131" s="1716">
        <v>0</v>
      </c>
      <c r="M131" s="1715">
        <f t="shared" si="26"/>
        <v>1</v>
      </c>
      <c r="N131" s="1717">
        <v>70</v>
      </c>
      <c r="O131" s="1717">
        <f t="shared" si="23"/>
        <v>70</v>
      </c>
      <c r="P131" s="1718">
        <v>0</v>
      </c>
      <c r="Q131" s="1717">
        <f t="shared" si="25"/>
        <v>0</v>
      </c>
      <c r="R131" s="1718">
        <v>0</v>
      </c>
      <c r="S131" s="1717">
        <f t="shared" si="18"/>
        <v>0</v>
      </c>
      <c r="T131" s="1718">
        <v>1</v>
      </c>
      <c r="U131" s="1717">
        <f t="shared" si="21"/>
        <v>70</v>
      </c>
      <c r="V131" s="1718">
        <v>0</v>
      </c>
      <c r="W131" s="1717">
        <f t="shared" si="19"/>
        <v>0</v>
      </c>
      <c r="X131" s="1718">
        <f t="shared" si="24"/>
        <v>1</v>
      </c>
      <c r="Y131" s="1717">
        <f t="shared" si="24"/>
        <v>70</v>
      </c>
      <c r="Z131" s="1719" t="s">
        <v>7799</v>
      </c>
      <c r="AA131" s="1720" t="s">
        <v>6527</v>
      </c>
      <c r="AB131" s="1704"/>
      <c r="AC131" s="1388" t="str">
        <f t="shared" si="16"/>
        <v>ok</v>
      </c>
    </row>
    <row r="132" spans="1:29" ht="21" x14ac:dyDescent="0.6">
      <c r="A132" s="1712">
        <v>124</v>
      </c>
      <c r="B132" s="1713" t="s">
        <v>8779</v>
      </c>
      <c r="C132" s="1714" t="s">
        <v>7869</v>
      </c>
      <c r="D132" s="1715">
        <v>1</v>
      </c>
      <c r="E132" s="1716">
        <v>260</v>
      </c>
      <c r="F132" s="1715">
        <v>0</v>
      </c>
      <c r="G132" s="1716">
        <v>0</v>
      </c>
      <c r="H132" s="1715">
        <v>0</v>
      </c>
      <c r="I132" s="1716">
        <v>0</v>
      </c>
      <c r="J132" s="1715">
        <v>1</v>
      </c>
      <c r="K132" s="1715">
        <v>0</v>
      </c>
      <c r="L132" s="1716">
        <v>0</v>
      </c>
      <c r="M132" s="1715">
        <f t="shared" si="26"/>
        <v>1</v>
      </c>
      <c r="N132" s="1717">
        <v>260</v>
      </c>
      <c r="O132" s="1717">
        <f t="shared" si="23"/>
        <v>260</v>
      </c>
      <c r="P132" s="1718">
        <v>0</v>
      </c>
      <c r="Q132" s="1717">
        <f t="shared" si="25"/>
        <v>0</v>
      </c>
      <c r="R132" s="1718">
        <v>0</v>
      </c>
      <c r="S132" s="1717">
        <f t="shared" si="18"/>
        <v>0</v>
      </c>
      <c r="T132" s="1718">
        <v>1</v>
      </c>
      <c r="U132" s="1717">
        <f t="shared" si="21"/>
        <v>260</v>
      </c>
      <c r="V132" s="1718">
        <v>0</v>
      </c>
      <c r="W132" s="1717">
        <f t="shared" si="19"/>
        <v>0</v>
      </c>
      <c r="X132" s="1718">
        <f t="shared" si="24"/>
        <v>1</v>
      </c>
      <c r="Y132" s="1717">
        <f t="shared" si="24"/>
        <v>260</v>
      </c>
      <c r="Z132" s="1719" t="s">
        <v>7799</v>
      </c>
      <c r="AA132" s="1720" t="s">
        <v>6527</v>
      </c>
      <c r="AB132" s="1704"/>
      <c r="AC132" s="1388" t="str">
        <f t="shared" si="16"/>
        <v>ok</v>
      </c>
    </row>
    <row r="133" spans="1:29" ht="21" x14ac:dyDescent="0.6">
      <c r="A133" s="1712">
        <v>125</v>
      </c>
      <c r="B133" s="1713" t="s">
        <v>8780</v>
      </c>
      <c r="C133" s="1714" t="s">
        <v>7816</v>
      </c>
      <c r="D133" s="1715">
        <v>1</v>
      </c>
      <c r="E133" s="1716">
        <v>3600</v>
      </c>
      <c r="F133" s="1715">
        <v>0</v>
      </c>
      <c r="G133" s="1716">
        <v>0</v>
      </c>
      <c r="H133" s="1715">
        <v>1</v>
      </c>
      <c r="I133" s="1716">
        <v>780</v>
      </c>
      <c r="J133" s="1715">
        <v>1</v>
      </c>
      <c r="K133" s="1715">
        <v>0</v>
      </c>
      <c r="L133" s="1716">
        <v>0</v>
      </c>
      <c r="M133" s="1715">
        <f t="shared" si="26"/>
        <v>1</v>
      </c>
      <c r="N133" s="1717">
        <v>3600</v>
      </c>
      <c r="O133" s="1717">
        <f t="shared" si="23"/>
        <v>3600</v>
      </c>
      <c r="P133" s="1718">
        <v>0</v>
      </c>
      <c r="Q133" s="1717">
        <f t="shared" si="25"/>
        <v>0</v>
      </c>
      <c r="R133" s="1718">
        <v>0</v>
      </c>
      <c r="S133" s="1717">
        <f t="shared" si="18"/>
        <v>0</v>
      </c>
      <c r="T133" s="1718">
        <v>0</v>
      </c>
      <c r="U133" s="1717">
        <f t="shared" si="21"/>
        <v>0</v>
      </c>
      <c r="V133" s="1718">
        <v>1</v>
      </c>
      <c r="W133" s="1717">
        <f t="shared" si="19"/>
        <v>3600</v>
      </c>
      <c r="X133" s="1718">
        <f t="shared" si="24"/>
        <v>1</v>
      </c>
      <c r="Y133" s="1717">
        <f t="shared" si="24"/>
        <v>3600</v>
      </c>
      <c r="Z133" s="1719" t="s">
        <v>7799</v>
      </c>
      <c r="AA133" s="1720" t="s">
        <v>6527</v>
      </c>
      <c r="AB133" s="1704"/>
      <c r="AC133" s="1388" t="str">
        <f t="shared" si="16"/>
        <v>ok</v>
      </c>
    </row>
    <row r="134" spans="1:29" ht="21" x14ac:dyDescent="0.6">
      <c r="A134" s="1712">
        <v>126</v>
      </c>
      <c r="B134" s="1713" t="s">
        <v>8781</v>
      </c>
      <c r="C134" s="1714" t="s">
        <v>7869</v>
      </c>
      <c r="D134" s="1715">
        <v>1</v>
      </c>
      <c r="E134" s="1716">
        <v>120</v>
      </c>
      <c r="F134" s="1715">
        <v>0</v>
      </c>
      <c r="G134" s="1716">
        <v>0</v>
      </c>
      <c r="H134" s="1715">
        <v>1</v>
      </c>
      <c r="I134" s="1716">
        <v>120</v>
      </c>
      <c r="J134" s="1715">
        <v>1</v>
      </c>
      <c r="K134" s="1715">
        <v>0</v>
      </c>
      <c r="L134" s="1716">
        <v>0</v>
      </c>
      <c r="M134" s="1715">
        <f t="shared" si="26"/>
        <v>1</v>
      </c>
      <c r="N134" s="1717">
        <v>120</v>
      </c>
      <c r="O134" s="1717">
        <f t="shared" si="23"/>
        <v>120</v>
      </c>
      <c r="P134" s="1718">
        <v>0</v>
      </c>
      <c r="Q134" s="1717">
        <f t="shared" si="25"/>
        <v>0</v>
      </c>
      <c r="R134" s="1718">
        <v>0</v>
      </c>
      <c r="S134" s="1717">
        <f t="shared" si="18"/>
        <v>0</v>
      </c>
      <c r="T134" s="1718">
        <v>0</v>
      </c>
      <c r="U134" s="1717">
        <f t="shared" si="21"/>
        <v>0</v>
      </c>
      <c r="V134" s="1718">
        <v>1</v>
      </c>
      <c r="W134" s="1717">
        <f t="shared" si="19"/>
        <v>120</v>
      </c>
      <c r="X134" s="1718">
        <f t="shared" si="24"/>
        <v>1</v>
      </c>
      <c r="Y134" s="1717">
        <f t="shared" si="24"/>
        <v>120</v>
      </c>
      <c r="Z134" s="1719" t="s">
        <v>7799</v>
      </c>
      <c r="AA134" s="1720" t="s">
        <v>6527</v>
      </c>
      <c r="AB134" s="1704"/>
      <c r="AC134" s="1388" t="str">
        <f t="shared" si="16"/>
        <v>ok</v>
      </c>
    </row>
    <row r="135" spans="1:29" ht="21" x14ac:dyDescent="0.6">
      <c r="A135" s="1712">
        <v>127</v>
      </c>
      <c r="B135" s="1713" t="s">
        <v>8782</v>
      </c>
      <c r="C135" s="1714" t="s">
        <v>7869</v>
      </c>
      <c r="D135" s="1715">
        <v>3</v>
      </c>
      <c r="E135" s="1716">
        <v>240</v>
      </c>
      <c r="F135" s="1715">
        <v>0</v>
      </c>
      <c r="G135" s="1716">
        <v>0</v>
      </c>
      <c r="H135" s="1715">
        <v>0</v>
      </c>
      <c r="I135" s="1716">
        <v>0</v>
      </c>
      <c r="J135" s="1715">
        <v>1</v>
      </c>
      <c r="K135" s="1715">
        <v>0</v>
      </c>
      <c r="L135" s="1716">
        <v>0</v>
      </c>
      <c r="M135" s="1715">
        <f t="shared" si="26"/>
        <v>1</v>
      </c>
      <c r="N135" s="1717">
        <v>80</v>
      </c>
      <c r="O135" s="1717">
        <f t="shared" si="23"/>
        <v>80</v>
      </c>
      <c r="P135" s="1718">
        <v>0</v>
      </c>
      <c r="Q135" s="1717">
        <f t="shared" si="25"/>
        <v>0</v>
      </c>
      <c r="R135" s="1718">
        <v>1</v>
      </c>
      <c r="S135" s="1717">
        <f t="shared" si="18"/>
        <v>80</v>
      </c>
      <c r="T135" s="1718">
        <v>0</v>
      </c>
      <c r="U135" s="1717">
        <f t="shared" si="21"/>
        <v>0</v>
      </c>
      <c r="V135" s="1718">
        <v>0</v>
      </c>
      <c r="W135" s="1717">
        <f t="shared" si="19"/>
        <v>0</v>
      </c>
      <c r="X135" s="1718">
        <f t="shared" si="24"/>
        <v>1</v>
      </c>
      <c r="Y135" s="1717">
        <f t="shared" si="24"/>
        <v>80</v>
      </c>
      <c r="Z135" s="1719" t="s">
        <v>7799</v>
      </c>
      <c r="AA135" s="1720" t="s">
        <v>6527</v>
      </c>
      <c r="AB135" s="1704"/>
      <c r="AC135" s="1388" t="str">
        <f t="shared" si="16"/>
        <v>ok</v>
      </c>
    </row>
    <row r="136" spans="1:29" ht="21" x14ac:dyDescent="0.6">
      <c r="A136" s="1712">
        <v>128</v>
      </c>
      <c r="B136" s="1713" t="s">
        <v>8783</v>
      </c>
      <c r="C136" s="1714" t="s">
        <v>7816</v>
      </c>
      <c r="D136" s="1715">
        <v>0</v>
      </c>
      <c r="E136" s="1716">
        <v>0</v>
      </c>
      <c r="F136" s="1715">
        <v>0</v>
      </c>
      <c r="G136" s="1716">
        <v>0</v>
      </c>
      <c r="H136" s="1715">
        <v>0</v>
      </c>
      <c r="I136" s="1716">
        <v>0</v>
      </c>
      <c r="J136" s="1715">
        <v>0</v>
      </c>
      <c r="K136" s="1715">
        <v>3</v>
      </c>
      <c r="L136" s="1716">
        <v>330</v>
      </c>
      <c r="M136" s="1715">
        <v>0</v>
      </c>
      <c r="N136" s="1717">
        <v>178</v>
      </c>
      <c r="O136" s="1717">
        <f t="shared" si="23"/>
        <v>0</v>
      </c>
      <c r="P136" s="1718">
        <v>0</v>
      </c>
      <c r="Q136" s="1717">
        <f t="shared" si="25"/>
        <v>0</v>
      </c>
      <c r="R136" s="1718">
        <v>0</v>
      </c>
      <c r="S136" s="1717">
        <f t="shared" si="18"/>
        <v>0</v>
      </c>
      <c r="T136" s="1718">
        <v>0</v>
      </c>
      <c r="U136" s="1717">
        <f t="shared" si="21"/>
        <v>0</v>
      </c>
      <c r="V136" s="1718">
        <v>0</v>
      </c>
      <c r="W136" s="1717">
        <f t="shared" si="19"/>
        <v>0</v>
      </c>
      <c r="X136" s="1718">
        <f t="shared" si="24"/>
        <v>0</v>
      </c>
      <c r="Y136" s="1717">
        <f t="shared" si="24"/>
        <v>0</v>
      </c>
      <c r="Z136" s="1719" t="s">
        <v>7799</v>
      </c>
      <c r="AA136" s="1720" t="s">
        <v>6527</v>
      </c>
      <c r="AB136" s="1704"/>
      <c r="AC136" s="1388" t="str">
        <f t="shared" si="16"/>
        <v>ok</v>
      </c>
    </row>
    <row r="137" spans="1:29" ht="21" x14ac:dyDescent="0.6">
      <c r="A137" s="1712">
        <v>129</v>
      </c>
      <c r="B137" s="1713" t="s">
        <v>8784</v>
      </c>
      <c r="C137" s="1714" t="s">
        <v>7816</v>
      </c>
      <c r="D137" s="1715">
        <v>0</v>
      </c>
      <c r="E137" s="1716">
        <v>0</v>
      </c>
      <c r="F137" s="1715">
        <v>2</v>
      </c>
      <c r="G137" s="1716">
        <v>356</v>
      </c>
      <c r="H137" s="1715">
        <v>0</v>
      </c>
      <c r="I137" s="1716">
        <v>0</v>
      </c>
      <c r="J137" s="1715">
        <v>0</v>
      </c>
      <c r="K137" s="1715">
        <v>11</v>
      </c>
      <c r="L137" s="1716">
        <v>1958</v>
      </c>
      <c r="M137" s="1715">
        <v>0</v>
      </c>
      <c r="N137" s="1717">
        <v>178</v>
      </c>
      <c r="O137" s="1717">
        <f t="shared" si="23"/>
        <v>0</v>
      </c>
      <c r="P137" s="1718">
        <v>0</v>
      </c>
      <c r="Q137" s="1717">
        <f t="shared" si="25"/>
        <v>0</v>
      </c>
      <c r="R137" s="1718">
        <v>0</v>
      </c>
      <c r="S137" s="1717">
        <f t="shared" si="18"/>
        <v>0</v>
      </c>
      <c r="T137" s="1718">
        <v>0</v>
      </c>
      <c r="U137" s="1717">
        <f t="shared" si="21"/>
        <v>0</v>
      </c>
      <c r="V137" s="1718">
        <v>0</v>
      </c>
      <c r="W137" s="1717">
        <f t="shared" si="19"/>
        <v>0</v>
      </c>
      <c r="X137" s="1718">
        <f t="shared" si="24"/>
        <v>0</v>
      </c>
      <c r="Y137" s="1717">
        <f t="shared" si="24"/>
        <v>0</v>
      </c>
      <c r="Z137" s="1719" t="s">
        <v>7799</v>
      </c>
      <c r="AA137" s="1720" t="s">
        <v>6527</v>
      </c>
      <c r="AB137" s="1704"/>
      <c r="AC137" s="1388" t="str">
        <f t="shared" ref="AC137:AC200" si="27">IF(O137=Y137,"ok")</f>
        <v>ok</v>
      </c>
    </row>
    <row r="138" spans="1:29" ht="21" x14ac:dyDescent="0.6">
      <c r="A138" s="1712">
        <v>130</v>
      </c>
      <c r="B138" s="1713" t="s">
        <v>8785</v>
      </c>
      <c r="C138" s="1714" t="s">
        <v>8760</v>
      </c>
      <c r="D138" s="1715">
        <v>0</v>
      </c>
      <c r="E138" s="1716">
        <v>0</v>
      </c>
      <c r="F138" s="1715">
        <v>0</v>
      </c>
      <c r="G138" s="1716">
        <v>0</v>
      </c>
      <c r="H138" s="1715">
        <v>0</v>
      </c>
      <c r="I138" s="1716">
        <v>0</v>
      </c>
      <c r="J138" s="1715">
        <v>2</v>
      </c>
      <c r="K138" s="1715">
        <v>0</v>
      </c>
      <c r="L138" s="1716">
        <v>0</v>
      </c>
      <c r="M138" s="1715">
        <f>J138-K138</f>
        <v>2</v>
      </c>
      <c r="N138" s="1717">
        <v>540</v>
      </c>
      <c r="O138" s="1717">
        <f t="shared" si="23"/>
        <v>1080</v>
      </c>
      <c r="P138" s="1718">
        <v>0</v>
      </c>
      <c r="Q138" s="1717">
        <f t="shared" si="25"/>
        <v>0</v>
      </c>
      <c r="R138" s="1718">
        <v>2</v>
      </c>
      <c r="S138" s="1717">
        <f t="shared" si="18"/>
        <v>1080</v>
      </c>
      <c r="T138" s="1718">
        <v>0</v>
      </c>
      <c r="U138" s="1717">
        <f t="shared" si="21"/>
        <v>0</v>
      </c>
      <c r="V138" s="1718">
        <v>0</v>
      </c>
      <c r="W138" s="1717">
        <f t="shared" si="19"/>
        <v>0</v>
      </c>
      <c r="X138" s="1718">
        <f t="shared" si="24"/>
        <v>2</v>
      </c>
      <c r="Y138" s="1717">
        <f t="shared" si="24"/>
        <v>1080</v>
      </c>
      <c r="Z138" s="1719" t="s">
        <v>7799</v>
      </c>
      <c r="AA138" s="1720" t="s">
        <v>6527</v>
      </c>
      <c r="AB138" s="1704"/>
      <c r="AC138" s="1388" t="str">
        <f t="shared" si="27"/>
        <v>ok</v>
      </c>
    </row>
    <row r="139" spans="1:29" ht="21" x14ac:dyDescent="0.6">
      <c r="A139" s="1712">
        <v>131</v>
      </c>
      <c r="B139" s="1713" t="s">
        <v>8786</v>
      </c>
      <c r="C139" s="1714" t="s">
        <v>7816</v>
      </c>
      <c r="D139" s="1715">
        <v>0</v>
      </c>
      <c r="E139" s="1716">
        <v>0</v>
      </c>
      <c r="F139" s="1715">
        <v>0</v>
      </c>
      <c r="G139" s="1716">
        <v>0</v>
      </c>
      <c r="H139" s="1715">
        <v>0</v>
      </c>
      <c r="I139" s="1716">
        <v>0</v>
      </c>
      <c r="J139" s="1715">
        <v>0</v>
      </c>
      <c r="K139" s="1715">
        <v>14</v>
      </c>
      <c r="L139" s="1716">
        <v>5198</v>
      </c>
      <c r="M139" s="1715">
        <v>0</v>
      </c>
      <c r="N139" s="1717">
        <v>463</v>
      </c>
      <c r="O139" s="1717">
        <f t="shared" si="23"/>
        <v>0</v>
      </c>
      <c r="P139" s="1718">
        <v>0</v>
      </c>
      <c r="Q139" s="1717">
        <f t="shared" si="25"/>
        <v>0</v>
      </c>
      <c r="R139" s="1718">
        <v>0</v>
      </c>
      <c r="S139" s="1717">
        <f t="shared" si="18"/>
        <v>0</v>
      </c>
      <c r="T139" s="1718">
        <v>0</v>
      </c>
      <c r="U139" s="1717">
        <f t="shared" si="21"/>
        <v>0</v>
      </c>
      <c r="V139" s="1718">
        <v>0</v>
      </c>
      <c r="W139" s="1717">
        <f t="shared" si="19"/>
        <v>0</v>
      </c>
      <c r="X139" s="1718">
        <f t="shared" si="24"/>
        <v>0</v>
      </c>
      <c r="Y139" s="1717">
        <f t="shared" si="24"/>
        <v>0</v>
      </c>
      <c r="Z139" s="1719" t="s">
        <v>7799</v>
      </c>
      <c r="AA139" s="1720" t="s">
        <v>6527</v>
      </c>
      <c r="AB139" s="1704"/>
      <c r="AC139" s="1388" t="str">
        <f t="shared" si="27"/>
        <v>ok</v>
      </c>
    </row>
    <row r="140" spans="1:29" ht="21" x14ac:dyDescent="0.6">
      <c r="A140" s="1712">
        <v>132</v>
      </c>
      <c r="B140" s="1713" t="s">
        <v>8787</v>
      </c>
      <c r="C140" s="1714" t="s">
        <v>8760</v>
      </c>
      <c r="D140" s="1715">
        <v>0</v>
      </c>
      <c r="E140" s="1716">
        <v>0</v>
      </c>
      <c r="F140" s="1715">
        <v>2</v>
      </c>
      <c r="G140" s="1716">
        <v>840</v>
      </c>
      <c r="H140" s="1715">
        <v>0</v>
      </c>
      <c r="I140" s="1716">
        <v>0</v>
      </c>
      <c r="J140" s="1715">
        <v>0</v>
      </c>
      <c r="K140" s="1715">
        <v>0</v>
      </c>
      <c r="L140" s="1716">
        <v>0</v>
      </c>
      <c r="M140" s="1715">
        <f>J140-K140</f>
        <v>0</v>
      </c>
      <c r="N140" s="1717">
        <v>420</v>
      </c>
      <c r="O140" s="1717">
        <f t="shared" si="23"/>
        <v>0</v>
      </c>
      <c r="P140" s="1718">
        <v>0</v>
      </c>
      <c r="Q140" s="1717">
        <f t="shared" si="25"/>
        <v>0</v>
      </c>
      <c r="R140" s="1718">
        <v>0</v>
      </c>
      <c r="S140" s="1717">
        <f t="shared" si="18"/>
        <v>0</v>
      </c>
      <c r="T140" s="1718">
        <v>0</v>
      </c>
      <c r="U140" s="1717">
        <f t="shared" si="21"/>
        <v>0</v>
      </c>
      <c r="V140" s="1718">
        <v>0</v>
      </c>
      <c r="W140" s="1717">
        <f t="shared" si="19"/>
        <v>0</v>
      </c>
      <c r="X140" s="1718">
        <f t="shared" si="24"/>
        <v>0</v>
      </c>
      <c r="Y140" s="1717">
        <f t="shared" si="24"/>
        <v>0</v>
      </c>
      <c r="Z140" s="1719" t="s">
        <v>7799</v>
      </c>
      <c r="AA140" s="1720" t="s">
        <v>6527</v>
      </c>
      <c r="AB140" s="1704"/>
      <c r="AC140" s="1388" t="str">
        <f t="shared" si="27"/>
        <v>ok</v>
      </c>
    </row>
    <row r="141" spans="1:29" ht="21" x14ac:dyDescent="0.6">
      <c r="A141" s="1712">
        <v>133</v>
      </c>
      <c r="B141" s="1713" t="s">
        <v>8788</v>
      </c>
      <c r="C141" s="1714" t="s">
        <v>8760</v>
      </c>
      <c r="D141" s="1715">
        <v>0</v>
      </c>
      <c r="E141" s="1716">
        <v>0</v>
      </c>
      <c r="F141" s="1715">
        <v>0</v>
      </c>
      <c r="G141" s="1716">
        <v>0</v>
      </c>
      <c r="H141" s="1715">
        <v>0</v>
      </c>
      <c r="I141" s="1716">
        <v>0</v>
      </c>
      <c r="J141" s="1715">
        <v>0</v>
      </c>
      <c r="K141" s="1715">
        <v>1</v>
      </c>
      <c r="L141" s="1716">
        <v>400</v>
      </c>
      <c r="M141" s="1715">
        <v>0</v>
      </c>
      <c r="N141" s="1717">
        <v>400</v>
      </c>
      <c r="O141" s="1717">
        <f t="shared" si="23"/>
        <v>0</v>
      </c>
      <c r="P141" s="1718">
        <v>0</v>
      </c>
      <c r="Q141" s="1717">
        <f t="shared" si="25"/>
        <v>0</v>
      </c>
      <c r="R141" s="1718">
        <v>0</v>
      </c>
      <c r="S141" s="1717">
        <f t="shared" si="18"/>
        <v>0</v>
      </c>
      <c r="T141" s="1718">
        <v>0</v>
      </c>
      <c r="U141" s="1717">
        <f t="shared" si="21"/>
        <v>0</v>
      </c>
      <c r="V141" s="1718">
        <v>0</v>
      </c>
      <c r="W141" s="1717">
        <f t="shared" si="19"/>
        <v>0</v>
      </c>
      <c r="X141" s="1718">
        <f t="shared" si="24"/>
        <v>0</v>
      </c>
      <c r="Y141" s="1717">
        <f t="shared" si="24"/>
        <v>0</v>
      </c>
      <c r="Z141" s="1719" t="s">
        <v>7799</v>
      </c>
      <c r="AA141" s="1720" t="s">
        <v>6527</v>
      </c>
      <c r="AB141" s="1704"/>
      <c r="AC141" s="1388" t="str">
        <f t="shared" si="27"/>
        <v>ok</v>
      </c>
    </row>
    <row r="142" spans="1:29" ht="21" x14ac:dyDescent="0.6">
      <c r="A142" s="1712">
        <v>134</v>
      </c>
      <c r="B142" s="1713" t="s">
        <v>8789</v>
      </c>
      <c r="C142" s="1714" t="s">
        <v>8760</v>
      </c>
      <c r="D142" s="1715">
        <v>0</v>
      </c>
      <c r="E142" s="1716">
        <v>0</v>
      </c>
      <c r="F142" s="1715">
        <v>0</v>
      </c>
      <c r="G142" s="1716">
        <v>0</v>
      </c>
      <c r="H142" s="1715">
        <v>0</v>
      </c>
      <c r="I142" s="1716">
        <v>0</v>
      </c>
      <c r="J142" s="1715">
        <v>0</v>
      </c>
      <c r="K142" s="1715">
        <v>2</v>
      </c>
      <c r="L142" s="1716">
        <v>580</v>
      </c>
      <c r="M142" s="1715">
        <v>0</v>
      </c>
      <c r="N142" s="1717">
        <v>290</v>
      </c>
      <c r="O142" s="1717">
        <f t="shared" si="23"/>
        <v>0</v>
      </c>
      <c r="P142" s="1718">
        <v>0</v>
      </c>
      <c r="Q142" s="1717">
        <f t="shared" si="25"/>
        <v>0</v>
      </c>
      <c r="R142" s="1718">
        <v>0</v>
      </c>
      <c r="S142" s="1717">
        <f t="shared" si="18"/>
        <v>0</v>
      </c>
      <c r="T142" s="1718">
        <v>0</v>
      </c>
      <c r="U142" s="1717">
        <f t="shared" si="21"/>
        <v>0</v>
      </c>
      <c r="V142" s="1718">
        <v>0</v>
      </c>
      <c r="W142" s="1717">
        <f t="shared" si="19"/>
        <v>0</v>
      </c>
      <c r="X142" s="1718">
        <f t="shared" si="24"/>
        <v>0</v>
      </c>
      <c r="Y142" s="1717">
        <f t="shared" si="24"/>
        <v>0</v>
      </c>
      <c r="Z142" s="1719" t="s">
        <v>7799</v>
      </c>
      <c r="AA142" s="1720" t="s">
        <v>6527</v>
      </c>
      <c r="AB142" s="1704"/>
      <c r="AC142" s="1388" t="str">
        <f t="shared" si="27"/>
        <v>ok</v>
      </c>
    </row>
    <row r="143" spans="1:29" ht="21" x14ac:dyDescent="0.6">
      <c r="A143" s="1712">
        <v>135</v>
      </c>
      <c r="B143" s="1713" t="s">
        <v>8790</v>
      </c>
      <c r="C143" s="1714" t="s">
        <v>7816</v>
      </c>
      <c r="D143" s="1715">
        <v>0</v>
      </c>
      <c r="E143" s="1716">
        <v>0</v>
      </c>
      <c r="F143" s="1715">
        <v>0</v>
      </c>
      <c r="G143" s="1716">
        <v>0</v>
      </c>
      <c r="H143" s="1715">
        <v>0</v>
      </c>
      <c r="I143" s="1716">
        <v>0</v>
      </c>
      <c r="J143" s="1715">
        <v>4</v>
      </c>
      <c r="K143" s="1715">
        <v>0</v>
      </c>
      <c r="L143" s="1716">
        <v>0</v>
      </c>
      <c r="M143" s="1715">
        <f>J143-K143</f>
        <v>4</v>
      </c>
      <c r="N143" s="1717">
        <v>280</v>
      </c>
      <c r="O143" s="1717">
        <f t="shared" si="23"/>
        <v>1120</v>
      </c>
      <c r="P143" s="1718">
        <v>2</v>
      </c>
      <c r="Q143" s="1717">
        <f t="shared" si="25"/>
        <v>560</v>
      </c>
      <c r="R143" s="1718">
        <v>0</v>
      </c>
      <c r="S143" s="1717">
        <f t="shared" si="18"/>
        <v>0</v>
      </c>
      <c r="T143" s="1718">
        <v>2</v>
      </c>
      <c r="U143" s="1717">
        <f t="shared" si="21"/>
        <v>560</v>
      </c>
      <c r="V143" s="1718">
        <v>0</v>
      </c>
      <c r="W143" s="1717">
        <f t="shared" si="19"/>
        <v>0</v>
      </c>
      <c r="X143" s="1718">
        <f t="shared" si="24"/>
        <v>4</v>
      </c>
      <c r="Y143" s="1717">
        <f t="shared" si="24"/>
        <v>1120</v>
      </c>
      <c r="Z143" s="1719" t="s">
        <v>7799</v>
      </c>
      <c r="AA143" s="1720" t="s">
        <v>6527</v>
      </c>
      <c r="AB143" s="1704"/>
      <c r="AC143" s="1388" t="str">
        <f t="shared" si="27"/>
        <v>ok</v>
      </c>
    </row>
    <row r="144" spans="1:29" ht="21" x14ac:dyDescent="0.6">
      <c r="A144" s="1712">
        <v>136</v>
      </c>
      <c r="B144" s="1713" t="s">
        <v>8791</v>
      </c>
      <c r="C144" s="1714" t="s">
        <v>7816</v>
      </c>
      <c r="D144" s="1715">
        <v>0</v>
      </c>
      <c r="E144" s="1716">
        <v>0</v>
      </c>
      <c r="F144" s="1715">
        <v>0</v>
      </c>
      <c r="G144" s="1716">
        <v>0</v>
      </c>
      <c r="H144" s="1715">
        <v>0</v>
      </c>
      <c r="I144" s="1716">
        <v>0</v>
      </c>
      <c r="J144" s="1715">
        <v>0</v>
      </c>
      <c r="K144" s="1715">
        <v>0</v>
      </c>
      <c r="L144" s="1716">
        <v>0</v>
      </c>
      <c r="M144" s="1715">
        <f>J144-K144</f>
        <v>0</v>
      </c>
      <c r="N144" s="1717">
        <v>428</v>
      </c>
      <c r="O144" s="1717">
        <f t="shared" si="23"/>
        <v>0</v>
      </c>
      <c r="P144" s="1718">
        <v>0</v>
      </c>
      <c r="Q144" s="1717">
        <f t="shared" si="25"/>
        <v>0</v>
      </c>
      <c r="R144" s="1718">
        <v>0</v>
      </c>
      <c r="S144" s="1717">
        <f t="shared" si="18"/>
        <v>0</v>
      </c>
      <c r="T144" s="1718">
        <v>0</v>
      </c>
      <c r="U144" s="1717">
        <f t="shared" si="21"/>
        <v>0</v>
      </c>
      <c r="V144" s="1718">
        <v>0</v>
      </c>
      <c r="W144" s="1717">
        <f t="shared" si="19"/>
        <v>0</v>
      </c>
      <c r="X144" s="1718">
        <f t="shared" si="24"/>
        <v>0</v>
      </c>
      <c r="Y144" s="1717">
        <f t="shared" si="24"/>
        <v>0</v>
      </c>
      <c r="Z144" s="1719" t="s">
        <v>7799</v>
      </c>
      <c r="AA144" s="1720" t="s">
        <v>6527</v>
      </c>
      <c r="AB144" s="1704"/>
      <c r="AC144" s="1388" t="str">
        <f t="shared" si="27"/>
        <v>ok</v>
      </c>
    </row>
    <row r="145" spans="1:29" ht="21" x14ac:dyDescent="0.6">
      <c r="A145" s="1712">
        <v>137</v>
      </c>
      <c r="B145" s="1713" t="s">
        <v>8792</v>
      </c>
      <c r="C145" s="1714" t="s">
        <v>7816</v>
      </c>
      <c r="D145" s="1715">
        <v>0</v>
      </c>
      <c r="E145" s="1716">
        <v>0</v>
      </c>
      <c r="F145" s="1715">
        <v>0</v>
      </c>
      <c r="G145" s="1716">
        <v>0</v>
      </c>
      <c r="H145" s="1715">
        <v>0</v>
      </c>
      <c r="I145" s="1716">
        <v>0</v>
      </c>
      <c r="J145" s="1715">
        <v>0</v>
      </c>
      <c r="K145" s="1715">
        <v>0</v>
      </c>
      <c r="L145" s="1716">
        <v>0</v>
      </c>
      <c r="M145" s="1715">
        <f>J145-K145</f>
        <v>0</v>
      </c>
      <c r="N145" s="1717">
        <v>590</v>
      </c>
      <c r="O145" s="1717">
        <f t="shared" si="23"/>
        <v>0</v>
      </c>
      <c r="P145" s="1718">
        <v>0</v>
      </c>
      <c r="Q145" s="1717">
        <f t="shared" si="25"/>
        <v>0</v>
      </c>
      <c r="R145" s="1718">
        <v>0</v>
      </c>
      <c r="S145" s="1717">
        <f t="shared" si="18"/>
        <v>0</v>
      </c>
      <c r="T145" s="1718">
        <v>0</v>
      </c>
      <c r="U145" s="1717">
        <f t="shared" si="21"/>
        <v>0</v>
      </c>
      <c r="V145" s="1718">
        <v>0</v>
      </c>
      <c r="W145" s="1717">
        <f t="shared" si="19"/>
        <v>0</v>
      </c>
      <c r="X145" s="1718">
        <f t="shared" si="24"/>
        <v>0</v>
      </c>
      <c r="Y145" s="1717">
        <f t="shared" si="24"/>
        <v>0</v>
      </c>
      <c r="Z145" s="1719" t="s">
        <v>7799</v>
      </c>
      <c r="AA145" s="1720" t="s">
        <v>6527</v>
      </c>
      <c r="AB145" s="1704"/>
      <c r="AC145" s="1388" t="str">
        <f t="shared" si="27"/>
        <v>ok</v>
      </c>
    </row>
    <row r="146" spans="1:29" ht="21" x14ac:dyDescent="0.6">
      <c r="A146" s="1712">
        <v>138</v>
      </c>
      <c r="B146" s="1713" t="s">
        <v>8793</v>
      </c>
      <c r="C146" s="1714" t="s">
        <v>7816</v>
      </c>
      <c r="D146" s="1715">
        <v>0</v>
      </c>
      <c r="E146" s="1716">
        <v>0</v>
      </c>
      <c r="F146" s="1715">
        <v>0</v>
      </c>
      <c r="G146" s="1716">
        <v>0</v>
      </c>
      <c r="H146" s="1715">
        <v>0</v>
      </c>
      <c r="I146" s="1716">
        <v>0</v>
      </c>
      <c r="J146" s="1715">
        <v>0</v>
      </c>
      <c r="K146" s="1715">
        <v>0</v>
      </c>
      <c r="L146" s="1716">
        <v>0</v>
      </c>
      <c r="M146" s="1715">
        <f>J146-K146</f>
        <v>0</v>
      </c>
      <c r="N146" s="1717">
        <v>590</v>
      </c>
      <c r="O146" s="1717">
        <f t="shared" si="23"/>
        <v>0</v>
      </c>
      <c r="P146" s="1718">
        <v>0</v>
      </c>
      <c r="Q146" s="1717">
        <f t="shared" si="25"/>
        <v>0</v>
      </c>
      <c r="R146" s="1718">
        <v>0</v>
      </c>
      <c r="S146" s="1717">
        <f t="shared" si="18"/>
        <v>0</v>
      </c>
      <c r="T146" s="1718">
        <v>0</v>
      </c>
      <c r="U146" s="1717">
        <f t="shared" si="21"/>
        <v>0</v>
      </c>
      <c r="V146" s="1718">
        <v>0</v>
      </c>
      <c r="W146" s="1717">
        <f t="shared" si="19"/>
        <v>0</v>
      </c>
      <c r="X146" s="1718">
        <f t="shared" ref="X146:Y163" si="28">P146+R146+T146+V146</f>
        <v>0</v>
      </c>
      <c r="Y146" s="1717">
        <f t="shared" si="28"/>
        <v>0</v>
      </c>
      <c r="Z146" s="1719" t="s">
        <v>7799</v>
      </c>
      <c r="AA146" s="1720" t="s">
        <v>6527</v>
      </c>
      <c r="AB146" s="1704"/>
      <c r="AC146" s="1388" t="str">
        <f t="shared" si="27"/>
        <v>ok</v>
      </c>
    </row>
    <row r="147" spans="1:29" ht="21" x14ac:dyDescent="0.6">
      <c r="A147" s="1712">
        <v>139</v>
      </c>
      <c r="B147" s="1713" t="s">
        <v>8794</v>
      </c>
      <c r="C147" s="1714" t="s">
        <v>8760</v>
      </c>
      <c r="D147" s="1715">
        <v>0</v>
      </c>
      <c r="E147" s="1716">
        <v>0</v>
      </c>
      <c r="F147" s="1715">
        <v>0</v>
      </c>
      <c r="G147" s="1716">
        <v>0</v>
      </c>
      <c r="H147" s="1715">
        <v>0</v>
      </c>
      <c r="I147" s="1716">
        <v>0</v>
      </c>
      <c r="J147" s="1715">
        <v>0</v>
      </c>
      <c r="K147" s="1715">
        <v>1</v>
      </c>
      <c r="L147" s="1716">
        <v>665</v>
      </c>
      <c r="M147" s="1715">
        <v>0</v>
      </c>
      <c r="N147" s="1717">
        <v>655</v>
      </c>
      <c r="O147" s="1717">
        <f t="shared" si="23"/>
        <v>0</v>
      </c>
      <c r="P147" s="1718">
        <v>0</v>
      </c>
      <c r="Q147" s="1717">
        <f t="shared" si="25"/>
        <v>0</v>
      </c>
      <c r="R147" s="1718">
        <v>0</v>
      </c>
      <c r="S147" s="1717">
        <f t="shared" si="18"/>
        <v>0</v>
      </c>
      <c r="T147" s="1718">
        <v>0</v>
      </c>
      <c r="U147" s="1717">
        <f t="shared" si="21"/>
        <v>0</v>
      </c>
      <c r="V147" s="1718">
        <v>0</v>
      </c>
      <c r="W147" s="1717">
        <f t="shared" si="19"/>
        <v>0</v>
      </c>
      <c r="X147" s="1718">
        <f t="shared" si="28"/>
        <v>0</v>
      </c>
      <c r="Y147" s="1717">
        <f t="shared" si="28"/>
        <v>0</v>
      </c>
      <c r="Z147" s="1719" t="s">
        <v>7799</v>
      </c>
      <c r="AA147" s="1720" t="s">
        <v>6527</v>
      </c>
      <c r="AB147" s="1704"/>
      <c r="AC147" s="1388" t="str">
        <f t="shared" si="27"/>
        <v>ok</v>
      </c>
    </row>
    <row r="148" spans="1:29" ht="21" x14ac:dyDescent="0.6">
      <c r="A148" s="1712">
        <v>140</v>
      </c>
      <c r="B148" s="1713" t="s">
        <v>8795</v>
      </c>
      <c r="C148" s="1714" t="s">
        <v>7798</v>
      </c>
      <c r="D148" s="1715">
        <v>0</v>
      </c>
      <c r="E148" s="1716">
        <v>0</v>
      </c>
      <c r="F148" s="1715">
        <v>1</v>
      </c>
      <c r="G148" s="1716">
        <v>500</v>
      </c>
      <c r="H148" s="1715">
        <v>0</v>
      </c>
      <c r="I148" s="1716">
        <v>0</v>
      </c>
      <c r="J148" s="1715">
        <v>0</v>
      </c>
      <c r="K148" s="1715">
        <v>0</v>
      </c>
      <c r="L148" s="1716">
        <v>0</v>
      </c>
      <c r="M148" s="1715">
        <f>J148-K148</f>
        <v>0</v>
      </c>
      <c r="N148" s="1717">
        <v>500</v>
      </c>
      <c r="O148" s="1717">
        <f t="shared" si="23"/>
        <v>0</v>
      </c>
      <c r="P148" s="1718">
        <v>0</v>
      </c>
      <c r="Q148" s="1717">
        <f t="shared" si="25"/>
        <v>0</v>
      </c>
      <c r="R148" s="1718">
        <v>0</v>
      </c>
      <c r="S148" s="1717">
        <f t="shared" si="18"/>
        <v>0</v>
      </c>
      <c r="T148" s="1718">
        <v>0</v>
      </c>
      <c r="U148" s="1717">
        <f t="shared" si="21"/>
        <v>0</v>
      </c>
      <c r="V148" s="1718">
        <v>0</v>
      </c>
      <c r="W148" s="1717">
        <f t="shared" si="19"/>
        <v>0</v>
      </c>
      <c r="X148" s="1718">
        <f t="shared" si="28"/>
        <v>0</v>
      </c>
      <c r="Y148" s="1717">
        <f t="shared" si="28"/>
        <v>0</v>
      </c>
      <c r="Z148" s="1719" t="s">
        <v>7799</v>
      </c>
      <c r="AA148" s="1720" t="s">
        <v>6527</v>
      </c>
      <c r="AB148" s="1704"/>
      <c r="AC148" s="1388" t="str">
        <f t="shared" si="27"/>
        <v>ok</v>
      </c>
    </row>
    <row r="149" spans="1:29" ht="21" x14ac:dyDescent="0.6">
      <c r="A149" s="1712">
        <v>141</v>
      </c>
      <c r="B149" s="1713" t="s">
        <v>8796</v>
      </c>
      <c r="C149" s="1714" t="s">
        <v>7816</v>
      </c>
      <c r="D149" s="1715">
        <v>0</v>
      </c>
      <c r="E149" s="1716">
        <v>0</v>
      </c>
      <c r="F149" s="1715">
        <v>0</v>
      </c>
      <c r="G149" s="1716">
        <v>0</v>
      </c>
      <c r="H149" s="1715">
        <v>0</v>
      </c>
      <c r="I149" s="1716">
        <v>0</v>
      </c>
      <c r="J149" s="1715">
        <v>0</v>
      </c>
      <c r="K149" s="1715">
        <v>2</v>
      </c>
      <c r="L149" s="1716">
        <v>1950</v>
      </c>
      <c r="M149" s="1715">
        <v>0</v>
      </c>
      <c r="N149" s="1717">
        <v>1200</v>
      </c>
      <c r="O149" s="1717">
        <f t="shared" si="23"/>
        <v>0</v>
      </c>
      <c r="P149" s="1718">
        <v>0</v>
      </c>
      <c r="Q149" s="1717">
        <f t="shared" si="25"/>
        <v>0</v>
      </c>
      <c r="R149" s="1718">
        <v>0</v>
      </c>
      <c r="S149" s="1717">
        <f t="shared" si="18"/>
        <v>0</v>
      </c>
      <c r="T149" s="1718">
        <v>0</v>
      </c>
      <c r="U149" s="1717">
        <f t="shared" si="21"/>
        <v>0</v>
      </c>
      <c r="V149" s="1718">
        <v>0</v>
      </c>
      <c r="W149" s="1717">
        <f t="shared" si="19"/>
        <v>0</v>
      </c>
      <c r="X149" s="1718">
        <f t="shared" si="28"/>
        <v>0</v>
      </c>
      <c r="Y149" s="1717">
        <f t="shared" si="28"/>
        <v>0</v>
      </c>
      <c r="Z149" s="1719" t="s">
        <v>7799</v>
      </c>
      <c r="AA149" s="1720" t="s">
        <v>6527</v>
      </c>
      <c r="AB149" s="1704"/>
      <c r="AC149" s="1388" t="str">
        <f t="shared" si="27"/>
        <v>ok</v>
      </c>
    </row>
    <row r="150" spans="1:29" ht="21" x14ac:dyDescent="0.6">
      <c r="A150" s="1712">
        <v>142</v>
      </c>
      <c r="B150" s="1713" t="s">
        <v>8797</v>
      </c>
      <c r="C150" s="1714" t="s">
        <v>7798</v>
      </c>
      <c r="D150" s="1715">
        <v>0</v>
      </c>
      <c r="E150" s="1716">
        <v>0</v>
      </c>
      <c r="F150" s="1715">
        <v>0</v>
      </c>
      <c r="G150" s="1716">
        <v>0</v>
      </c>
      <c r="H150" s="1715">
        <v>0</v>
      </c>
      <c r="I150" s="1716">
        <v>0</v>
      </c>
      <c r="J150" s="1715">
        <v>0</v>
      </c>
      <c r="K150" s="1715">
        <v>0</v>
      </c>
      <c r="L150" s="1716">
        <v>0</v>
      </c>
      <c r="M150" s="1715">
        <f t="shared" ref="M150:M157" si="29">J150-K150</f>
        <v>0</v>
      </c>
      <c r="N150" s="1717">
        <v>100</v>
      </c>
      <c r="O150" s="1717">
        <f t="shared" si="23"/>
        <v>0</v>
      </c>
      <c r="P150" s="1718">
        <v>0</v>
      </c>
      <c r="Q150" s="1717">
        <f t="shared" si="25"/>
        <v>0</v>
      </c>
      <c r="R150" s="1718">
        <v>0</v>
      </c>
      <c r="S150" s="1717">
        <f t="shared" ref="S150:S197" si="30">N150*R150</f>
        <v>0</v>
      </c>
      <c r="T150" s="1718">
        <v>0</v>
      </c>
      <c r="U150" s="1717">
        <f t="shared" si="21"/>
        <v>0</v>
      </c>
      <c r="V150" s="1718">
        <v>0</v>
      </c>
      <c r="W150" s="1717">
        <f t="shared" si="19"/>
        <v>0</v>
      </c>
      <c r="X150" s="1718">
        <f t="shared" si="28"/>
        <v>0</v>
      </c>
      <c r="Y150" s="1717">
        <f t="shared" si="28"/>
        <v>0</v>
      </c>
      <c r="Z150" s="1719" t="s">
        <v>7799</v>
      </c>
      <c r="AA150" s="1720" t="s">
        <v>6527</v>
      </c>
      <c r="AB150" s="1704"/>
      <c r="AC150" s="1388" t="str">
        <f t="shared" si="27"/>
        <v>ok</v>
      </c>
    </row>
    <row r="151" spans="1:29" ht="21" x14ac:dyDescent="0.6">
      <c r="A151" s="1712">
        <v>143</v>
      </c>
      <c r="B151" s="1713" t="s">
        <v>8798</v>
      </c>
      <c r="C151" s="1714" t="s">
        <v>7816</v>
      </c>
      <c r="D151" s="1715">
        <v>1</v>
      </c>
      <c r="E151" s="1716">
        <v>545</v>
      </c>
      <c r="F151" s="1715">
        <v>0</v>
      </c>
      <c r="G151" s="1716">
        <v>0</v>
      </c>
      <c r="H151" s="1715">
        <v>0</v>
      </c>
      <c r="I151" s="1716">
        <v>0</v>
      </c>
      <c r="J151" s="1715">
        <v>2</v>
      </c>
      <c r="K151" s="1715">
        <v>1</v>
      </c>
      <c r="L151" s="1716">
        <v>508</v>
      </c>
      <c r="M151" s="1715">
        <f t="shared" si="29"/>
        <v>1</v>
      </c>
      <c r="N151" s="1717">
        <v>545</v>
      </c>
      <c r="O151" s="1717">
        <f t="shared" si="23"/>
        <v>545</v>
      </c>
      <c r="P151" s="1718">
        <v>0</v>
      </c>
      <c r="Q151" s="1717">
        <f t="shared" si="25"/>
        <v>0</v>
      </c>
      <c r="R151" s="1718">
        <v>0</v>
      </c>
      <c r="S151" s="1717">
        <f t="shared" si="30"/>
        <v>0</v>
      </c>
      <c r="T151" s="1718">
        <v>1</v>
      </c>
      <c r="U151" s="1717">
        <f t="shared" si="21"/>
        <v>545</v>
      </c>
      <c r="V151" s="1718">
        <v>0</v>
      </c>
      <c r="W151" s="1717">
        <f t="shared" si="19"/>
        <v>0</v>
      </c>
      <c r="X151" s="1718">
        <f t="shared" si="28"/>
        <v>1</v>
      </c>
      <c r="Y151" s="1717">
        <f t="shared" si="28"/>
        <v>545</v>
      </c>
      <c r="Z151" s="1719" t="s">
        <v>7799</v>
      </c>
      <c r="AA151" s="1720" t="s">
        <v>6527</v>
      </c>
      <c r="AB151" s="1704"/>
      <c r="AC151" s="1388" t="str">
        <f t="shared" si="27"/>
        <v>ok</v>
      </c>
    </row>
    <row r="152" spans="1:29" ht="21" x14ac:dyDescent="0.6">
      <c r="A152" s="1712">
        <v>144</v>
      </c>
      <c r="B152" s="1713" t="s">
        <v>8799</v>
      </c>
      <c r="C152" s="1714" t="s">
        <v>7798</v>
      </c>
      <c r="D152" s="1715">
        <v>0</v>
      </c>
      <c r="E152" s="1716">
        <v>0</v>
      </c>
      <c r="F152" s="1715">
        <v>1</v>
      </c>
      <c r="G152" s="1716">
        <v>500</v>
      </c>
      <c r="H152" s="1715">
        <v>0</v>
      </c>
      <c r="I152" s="1716">
        <v>0</v>
      </c>
      <c r="J152" s="1715">
        <v>0</v>
      </c>
      <c r="K152" s="1715">
        <v>0</v>
      </c>
      <c r="L152" s="1716">
        <v>0</v>
      </c>
      <c r="M152" s="1715">
        <f t="shared" si="29"/>
        <v>0</v>
      </c>
      <c r="N152" s="1717">
        <v>500</v>
      </c>
      <c r="O152" s="1717">
        <f t="shared" si="23"/>
        <v>0</v>
      </c>
      <c r="P152" s="1718">
        <v>0</v>
      </c>
      <c r="Q152" s="1717">
        <f t="shared" si="25"/>
        <v>0</v>
      </c>
      <c r="R152" s="1718">
        <v>0</v>
      </c>
      <c r="S152" s="1717">
        <f t="shared" si="30"/>
        <v>0</v>
      </c>
      <c r="T152" s="1718">
        <v>0</v>
      </c>
      <c r="U152" s="1717">
        <f t="shared" si="21"/>
        <v>0</v>
      </c>
      <c r="V152" s="1718">
        <v>0</v>
      </c>
      <c r="W152" s="1717">
        <f t="shared" si="19"/>
        <v>0</v>
      </c>
      <c r="X152" s="1718">
        <f t="shared" si="28"/>
        <v>0</v>
      </c>
      <c r="Y152" s="1717">
        <f t="shared" si="28"/>
        <v>0</v>
      </c>
      <c r="Z152" s="1719" t="s">
        <v>7799</v>
      </c>
      <c r="AA152" s="1720" t="s">
        <v>6527</v>
      </c>
      <c r="AB152" s="1704"/>
      <c r="AC152" s="1388" t="str">
        <f t="shared" si="27"/>
        <v>ok</v>
      </c>
    </row>
    <row r="153" spans="1:29" ht="21" x14ac:dyDescent="0.6">
      <c r="A153" s="1712">
        <v>145</v>
      </c>
      <c r="B153" s="1713" t="s">
        <v>8800</v>
      </c>
      <c r="C153" s="1714" t="s">
        <v>8052</v>
      </c>
      <c r="D153" s="1715">
        <v>0</v>
      </c>
      <c r="E153" s="1716">
        <v>0</v>
      </c>
      <c r="F153" s="1715">
        <v>0</v>
      </c>
      <c r="G153" s="1716">
        <v>0</v>
      </c>
      <c r="H153" s="1715">
        <v>0</v>
      </c>
      <c r="I153" s="1716">
        <v>0</v>
      </c>
      <c r="J153" s="1715">
        <v>0</v>
      </c>
      <c r="K153" s="1715">
        <v>0</v>
      </c>
      <c r="L153" s="1716">
        <v>0</v>
      </c>
      <c r="M153" s="1715">
        <f t="shared" si="29"/>
        <v>0</v>
      </c>
      <c r="N153" s="1717">
        <v>2885</v>
      </c>
      <c r="O153" s="1717">
        <f t="shared" si="23"/>
        <v>0</v>
      </c>
      <c r="P153" s="1718">
        <v>0</v>
      </c>
      <c r="Q153" s="1717">
        <f t="shared" si="25"/>
        <v>0</v>
      </c>
      <c r="R153" s="1718">
        <v>0</v>
      </c>
      <c r="S153" s="1717">
        <f t="shared" si="30"/>
        <v>0</v>
      </c>
      <c r="T153" s="1718">
        <v>0</v>
      </c>
      <c r="U153" s="1717">
        <f t="shared" si="21"/>
        <v>0</v>
      </c>
      <c r="V153" s="1718">
        <v>0</v>
      </c>
      <c r="W153" s="1717">
        <f t="shared" si="19"/>
        <v>0</v>
      </c>
      <c r="X153" s="1718">
        <f t="shared" si="28"/>
        <v>0</v>
      </c>
      <c r="Y153" s="1717">
        <f t="shared" si="28"/>
        <v>0</v>
      </c>
      <c r="Z153" s="1719" t="s">
        <v>7799</v>
      </c>
      <c r="AA153" s="1720" t="s">
        <v>6527</v>
      </c>
      <c r="AB153" s="1704"/>
      <c r="AC153" s="1388" t="str">
        <f t="shared" si="27"/>
        <v>ok</v>
      </c>
    </row>
    <row r="154" spans="1:29" ht="21" x14ac:dyDescent="0.6">
      <c r="A154" s="1712">
        <v>146</v>
      </c>
      <c r="B154" s="1713" t="s">
        <v>8801</v>
      </c>
      <c r="C154" s="1714" t="s">
        <v>7798</v>
      </c>
      <c r="D154" s="1715">
        <v>0</v>
      </c>
      <c r="E154" s="1716">
        <v>0</v>
      </c>
      <c r="F154" s="1715">
        <v>0</v>
      </c>
      <c r="G154" s="1716">
        <v>0</v>
      </c>
      <c r="H154" s="1715">
        <v>0</v>
      </c>
      <c r="I154" s="1716">
        <v>0</v>
      </c>
      <c r="J154" s="1715">
        <v>2</v>
      </c>
      <c r="K154" s="1715">
        <v>1</v>
      </c>
      <c r="L154" s="1716">
        <v>450</v>
      </c>
      <c r="M154" s="1715">
        <f t="shared" si="29"/>
        <v>1</v>
      </c>
      <c r="N154" s="1717">
        <v>450</v>
      </c>
      <c r="O154" s="1717">
        <f t="shared" si="23"/>
        <v>450</v>
      </c>
      <c r="P154" s="1718">
        <v>1</v>
      </c>
      <c r="Q154" s="1717">
        <f t="shared" si="25"/>
        <v>450</v>
      </c>
      <c r="R154" s="1718">
        <v>0</v>
      </c>
      <c r="S154" s="1717">
        <f t="shared" si="30"/>
        <v>0</v>
      </c>
      <c r="T154" s="1718">
        <v>0</v>
      </c>
      <c r="U154" s="1717">
        <f t="shared" si="21"/>
        <v>0</v>
      </c>
      <c r="V154" s="1718">
        <v>0</v>
      </c>
      <c r="W154" s="1717">
        <f t="shared" si="19"/>
        <v>0</v>
      </c>
      <c r="X154" s="1718">
        <f t="shared" si="28"/>
        <v>1</v>
      </c>
      <c r="Y154" s="1717">
        <f t="shared" si="28"/>
        <v>450</v>
      </c>
      <c r="Z154" s="1719" t="s">
        <v>7799</v>
      </c>
      <c r="AA154" s="1720" t="s">
        <v>6527</v>
      </c>
      <c r="AB154" s="1704"/>
      <c r="AC154" s="1388" t="str">
        <f t="shared" si="27"/>
        <v>ok</v>
      </c>
    </row>
    <row r="155" spans="1:29" ht="21" x14ac:dyDescent="0.6">
      <c r="A155" s="1712">
        <v>147</v>
      </c>
      <c r="B155" s="1713" t="s">
        <v>8802</v>
      </c>
      <c r="C155" s="1714" t="s">
        <v>7798</v>
      </c>
      <c r="D155" s="1715">
        <v>0</v>
      </c>
      <c r="E155" s="1716">
        <v>0</v>
      </c>
      <c r="F155" s="1715">
        <v>0</v>
      </c>
      <c r="G155" s="1716">
        <v>0</v>
      </c>
      <c r="H155" s="1715">
        <v>0</v>
      </c>
      <c r="I155" s="1716">
        <v>0</v>
      </c>
      <c r="J155" s="1715">
        <v>1</v>
      </c>
      <c r="K155" s="1715">
        <v>0</v>
      </c>
      <c r="L155" s="1716">
        <v>0</v>
      </c>
      <c r="M155" s="1715">
        <f t="shared" si="29"/>
        <v>1</v>
      </c>
      <c r="N155" s="1717">
        <v>1200</v>
      </c>
      <c r="O155" s="1717">
        <f t="shared" si="23"/>
        <v>1200</v>
      </c>
      <c r="P155" s="1718">
        <v>1</v>
      </c>
      <c r="Q155" s="1717">
        <f t="shared" si="25"/>
        <v>1200</v>
      </c>
      <c r="R155" s="1718">
        <v>0</v>
      </c>
      <c r="S155" s="1717">
        <f t="shared" si="30"/>
        <v>0</v>
      </c>
      <c r="T155" s="1718">
        <v>0</v>
      </c>
      <c r="U155" s="1717">
        <f t="shared" si="21"/>
        <v>0</v>
      </c>
      <c r="V155" s="1718">
        <v>0</v>
      </c>
      <c r="W155" s="1717">
        <f t="shared" si="19"/>
        <v>0</v>
      </c>
      <c r="X155" s="1718">
        <f t="shared" si="28"/>
        <v>1</v>
      </c>
      <c r="Y155" s="1717">
        <f t="shared" si="28"/>
        <v>1200</v>
      </c>
      <c r="Z155" s="1719" t="s">
        <v>7799</v>
      </c>
      <c r="AA155" s="1720" t="s">
        <v>6527</v>
      </c>
      <c r="AB155" s="1704"/>
      <c r="AC155" s="1388" t="str">
        <f t="shared" si="27"/>
        <v>ok</v>
      </c>
    </row>
    <row r="156" spans="1:29" ht="21" x14ac:dyDescent="0.6">
      <c r="A156" s="1712">
        <v>148</v>
      </c>
      <c r="B156" s="1713" t="s">
        <v>8803</v>
      </c>
      <c r="C156" s="1714" t="s">
        <v>8097</v>
      </c>
      <c r="D156" s="1715">
        <v>17</v>
      </c>
      <c r="E156" s="1716">
        <v>2805</v>
      </c>
      <c r="F156" s="1715">
        <v>14</v>
      </c>
      <c r="G156" s="1716">
        <v>2310</v>
      </c>
      <c r="H156" s="1715">
        <v>7</v>
      </c>
      <c r="I156" s="1716">
        <v>1128</v>
      </c>
      <c r="J156" s="1715">
        <v>14</v>
      </c>
      <c r="K156" s="1715">
        <v>5</v>
      </c>
      <c r="L156" s="1716">
        <v>690</v>
      </c>
      <c r="M156" s="1715">
        <f t="shared" si="29"/>
        <v>9</v>
      </c>
      <c r="N156" s="1717">
        <v>170</v>
      </c>
      <c r="O156" s="1717">
        <f t="shared" si="23"/>
        <v>1530</v>
      </c>
      <c r="P156" s="1718">
        <v>0</v>
      </c>
      <c r="Q156" s="1717">
        <f t="shared" si="25"/>
        <v>0</v>
      </c>
      <c r="R156" s="1718">
        <v>3</v>
      </c>
      <c r="S156" s="1717">
        <f t="shared" si="30"/>
        <v>510</v>
      </c>
      <c r="T156" s="1718">
        <v>3</v>
      </c>
      <c r="U156" s="1717">
        <f t="shared" si="21"/>
        <v>510</v>
      </c>
      <c r="V156" s="1718">
        <v>3</v>
      </c>
      <c r="W156" s="1717">
        <f t="shared" si="19"/>
        <v>510</v>
      </c>
      <c r="X156" s="1718">
        <f t="shared" si="28"/>
        <v>9</v>
      </c>
      <c r="Y156" s="1717">
        <f t="shared" si="28"/>
        <v>1530</v>
      </c>
      <c r="Z156" s="1719" t="s">
        <v>7799</v>
      </c>
      <c r="AA156" s="1720" t="s">
        <v>6527</v>
      </c>
      <c r="AB156" s="1704"/>
      <c r="AC156" s="1388" t="str">
        <f t="shared" si="27"/>
        <v>ok</v>
      </c>
    </row>
    <row r="157" spans="1:29" ht="21" x14ac:dyDescent="0.6">
      <c r="A157" s="1712">
        <v>149</v>
      </c>
      <c r="B157" s="1713" t="s">
        <v>8804</v>
      </c>
      <c r="C157" s="1714" t="s">
        <v>8097</v>
      </c>
      <c r="D157" s="1715">
        <v>10</v>
      </c>
      <c r="E157" s="1716">
        <v>13375</v>
      </c>
      <c r="F157" s="1715">
        <v>0</v>
      </c>
      <c r="G157" s="1716">
        <v>0</v>
      </c>
      <c r="H157" s="1715">
        <v>4</v>
      </c>
      <c r="I157" s="1716">
        <v>600</v>
      </c>
      <c r="J157" s="1715">
        <v>8</v>
      </c>
      <c r="K157" s="1715">
        <v>2</v>
      </c>
      <c r="L157" s="1716">
        <v>300</v>
      </c>
      <c r="M157" s="1715">
        <f t="shared" si="29"/>
        <v>6</v>
      </c>
      <c r="N157" s="1717">
        <v>500</v>
      </c>
      <c r="O157" s="1717">
        <f t="shared" si="23"/>
        <v>3000</v>
      </c>
      <c r="P157" s="1718">
        <v>0</v>
      </c>
      <c r="Q157" s="1717">
        <f t="shared" si="25"/>
        <v>0</v>
      </c>
      <c r="R157" s="1718">
        <v>2</v>
      </c>
      <c r="S157" s="1717">
        <f t="shared" si="30"/>
        <v>1000</v>
      </c>
      <c r="T157" s="1718">
        <v>2</v>
      </c>
      <c r="U157" s="1717">
        <f t="shared" si="21"/>
        <v>1000</v>
      </c>
      <c r="V157" s="1718">
        <v>2</v>
      </c>
      <c r="W157" s="1717">
        <f t="shared" ref="W157:W220" si="31">N157*V157</f>
        <v>1000</v>
      </c>
      <c r="X157" s="1718">
        <f t="shared" si="28"/>
        <v>6</v>
      </c>
      <c r="Y157" s="1717">
        <f t="shared" si="28"/>
        <v>3000</v>
      </c>
      <c r="Z157" s="1719" t="s">
        <v>7799</v>
      </c>
      <c r="AA157" s="1720" t="s">
        <v>6527</v>
      </c>
      <c r="AB157" s="1704"/>
      <c r="AC157" s="1388" t="str">
        <f t="shared" si="27"/>
        <v>ok</v>
      </c>
    </row>
    <row r="158" spans="1:29" ht="21" x14ac:dyDescent="0.6">
      <c r="A158" s="1712">
        <v>150</v>
      </c>
      <c r="B158" s="1713" t="s">
        <v>8805</v>
      </c>
      <c r="C158" s="1714" t="s">
        <v>8097</v>
      </c>
      <c r="D158" s="1715">
        <v>0.5</v>
      </c>
      <c r="E158" s="1716">
        <v>856</v>
      </c>
      <c r="F158" s="1715">
        <v>0</v>
      </c>
      <c r="G158" s="1716">
        <v>0</v>
      </c>
      <c r="H158" s="1715">
        <v>0</v>
      </c>
      <c r="I158" s="1716">
        <v>0</v>
      </c>
      <c r="J158" s="1715">
        <v>0</v>
      </c>
      <c r="K158" s="1715">
        <v>8</v>
      </c>
      <c r="L158" s="1716">
        <v>1857.14</v>
      </c>
      <c r="M158" s="1715">
        <v>0</v>
      </c>
      <c r="N158" s="1717">
        <v>1712</v>
      </c>
      <c r="O158" s="1717">
        <f t="shared" si="23"/>
        <v>0</v>
      </c>
      <c r="P158" s="1718">
        <v>0</v>
      </c>
      <c r="Q158" s="1717">
        <f t="shared" si="25"/>
        <v>0</v>
      </c>
      <c r="R158" s="1718">
        <v>0</v>
      </c>
      <c r="S158" s="1717">
        <f t="shared" si="30"/>
        <v>0</v>
      </c>
      <c r="T158" s="1718">
        <v>0</v>
      </c>
      <c r="U158" s="1717">
        <f t="shared" ref="U158" si="32">N158*T158</f>
        <v>0</v>
      </c>
      <c r="V158" s="1718">
        <v>0</v>
      </c>
      <c r="W158" s="1717">
        <f t="shared" si="31"/>
        <v>0</v>
      </c>
      <c r="X158" s="1718">
        <f t="shared" si="28"/>
        <v>0</v>
      </c>
      <c r="Y158" s="1717">
        <f t="shared" si="28"/>
        <v>0</v>
      </c>
      <c r="Z158" s="1719" t="s">
        <v>7799</v>
      </c>
      <c r="AA158" s="1720" t="s">
        <v>6527</v>
      </c>
      <c r="AB158" s="1704"/>
      <c r="AC158" s="1388" t="str">
        <f t="shared" si="27"/>
        <v>ok</v>
      </c>
    </row>
    <row r="159" spans="1:29" ht="21" x14ac:dyDescent="0.6">
      <c r="A159" s="1712">
        <v>151</v>
      </c>
      <c r="B159" s="1713" t="s">
        <v>8806</v>
      </c>
      <c r="C159" s="1714" t="s">
        <v>7816</v>
      </c>
      <c r="D159" s="1715">
        <v>1</v>
      </c>
      <c r="E159" s="1716">
        <v>250</v>
      </c>
      <c r="F159" s="1715">
        <v>0</v>
      </c>
      <c r="G159" s="1716">
        <v>0</v>
      </c>
      <c r="H159" s="1715">
        <v>0</v>
      </c>
      <c r="I159" s="1716">
        <v>0</v>
      </c>
      <c r="J159" s="1715">
        <v>0</v>
      </c>
      <c r="K159" s="1715">
        <v>3</v>
      </c>
      <c r="L159" s="1716">
        <v>680</v>
      </c>
      <c r="M159" s="1715">
        <v>0</v>
      </c>
      <c r="N159" s="1717">
        <v>250</v>
      </c>
      <c r="O159" s="1717">
        <v>0</v>
      </c>
      <c r="P159" s="1718">
        <v>0</v>
      </c>
      <c r="Q159" s="1717">
        <f t="shared" si="25"/>
        <v>0</v>
      </c>
      <c r="R159" s="1718">
        <v>0</v>
      </c>
      <c r="S159" s="1717">
        <f t="shared" si="30"/>
        <v>0</v>
      </c>
      <c r="T159" s="1718">
        <v>0</v>
      </c>
      <c r="U159" s="1717">
        <v>0</v>
      </c>
      <c r="V159" s="1718">
        <v>0</v>
      </c>
      <c r="W159" s="1717">
        <f t="shared" si="31"/>
        <v>0</v>
      </c>
      <c r="X159" s="1718">
        <f t="shared" si="28"/>
        <v>0</v>
      </c>
      <c r="Y159" s="1717">
        <f t="shared" si="28"/>
        <v>0</v>
      </c>
      <c r="Z159" s="1719" t="s">
        <v>7799</v>
      </c>
      <c r="AA159" s="1720" t="s">
        <v>6527</v>
      </c>
      <c r="AB159" s="1704"/>
      <c r="AC159" s="1388" t="str">
        <f t="shared" si="27"/>
        <v>ok</v>
      </c>
    </row>
    <row r="160" spans="1:29" ht="21" x14ac:dyDescent="0.6">
      <c r="A160" s="1712">
        <v>152</v>
      </c>
      <c r="B160" s="1713" t="s">
        <v>8807</v>
      </c>
      <c r="C160" s="1714" t="s">
        <v>7816</v>
      </c>
      <c r="D160" s="1715">
        <v>0.5</v>
      </c>
      <c r="E160" s="1716">
        <v>800</v>
      </c>
      <c r="F160" s="1715">
        <v>0</v>
      </c>
      <c r="G160" s="1716">
        <v>0</v>
      </c>
      <c r="H160" s="1715">
        <v>0</v>
      </c>
      <c r="I160" s="1716">
        <v>0</v>
      </c>
      <c r="J160" s="1715">
        <v>0</v>
      </c>
      <c r="K160" s="1715">
        <v>0</v>
      </c>
      <c r="L160" s="1716">
        <v>0</v>
      </c>
      <c r="M160" s="1715">
        <f t="shared" ref="M160:M165" si="33">J160-K160</f>
        <v>0</v>
      </c>
      <c r="N160" s="1717">
        <v>1600</v>
      </c>
      <c r="O160" s="1717">
        <f>M160*N160</f>
        <v>0</v>
      </c>
      <c r="P160" s="1718">
        <v>0</v>
      </c>
      <c r="Q160" s="1717">
        <f t="shared" si="25"/>
        <v>0</v>
      </c>
      <c r="R160" s="1718">
        <v>0</v>
      </c>
      <c r="S160" s="1717">
        <f t="shared" si="30"/>
        <v>0</v>
      </c>
      <c r="T160" s="1718">
        <v>0</v>
      </c>
      <c r="U160" s="1717">
        <f t="shared" ref="U160:U216" si="34">N160*T160</f>
        <v>0</v>
      </c>
      <c r="V160" s="1718">
        <v>0</v>
      </c>
      <c r="W160" s="1717">
        <f t="shared" si="31"/>
        <v>0</v>
      </c>
      <c r="X160" s="1718">
        <f t="shared" si="28"/>
        <v>0</v>
      </c>
      <c r="Y160" s="1717">
        <f t="shared" si="28"/>
        <v>0</v>
      </c>
      <c r="Z160" s="1719" t="s">
        <v>7799</v>
      </c>
      <c r="AA160" s="1720" t="s">
        <v>6527</v>
      </c>
      <c r="AB160" s="1704"/>
      <c r="AC160" s="1388" t="str">
        <f t="shared" si="27"/>
        <v>ok</v>
      </c>
    </row>
    <row r="161" spans="1:29" ht="21" x14ac:dyDescent="0.6">
      <c r="A161" s="1705">
        <v>153</v>
      </c>
      <c r="B161" s="1706" t="s">
        <v>8808</v>
      </c>
      <c r="C161" s="1707" t="s">
        <v>7816</v>
      </c>
      <c r="D161" s="1708">
        <v>0</v>
      </c>
      <c r="E161" s="1709">
        <v>0</v>
      </c>
      <c r="F161" s="1708">
        <v>0</v>
      </c>
      <c r="G161" s="1709">
        <v>0</v>
      </c>
      <c r="H161" s="1708">
        <v>5</v>
      </c>
      <c r="I161" s="1709">
        <v>6540</v>
      </c>
      <c r="J161" s="1708">
        <v>7</v>
      </c>
      <c r="K161" s="1708">
        <v>1</v>
      </c>
      <c r="L161" s="1709">
        <v>0</v>
      </c>
      <c r="M161" s="1708">
        <f t="shared" si="33"/>
        <v>6</v>
      </c>
      <c r="N161" s="1710">
        <v>1590</v>
      </c>
      <c r="O161" s="1710">
        <f>M161*N161</f>
        <v>9540</v>
      </c>
      <c r="P161" s="1711">
        <v>1</v>
      </c>
      <c r="Q161" s="1710">
        <f t="shared" si="25"/>
        <v>1590</v>
      </c>
      <c r="R161" s="1711">
        <v>1</v>
      </c>
      <c r="S161" s="1710">
        <f t="shared" si="30"/>
        <v>1590</v>
      </c>
      <c r="T161" s="1711">
        <v>2</v>
      </c>
      <c r="U161" s="1710">
        <f t="shared" si="34"/>
        <v>3180</v>
      </c>
      <c r="V161" s="1711">
        <v>2</v>
      </c>
      <c r="W161" s="1710">
        <f t="shared" si="31"/>
        <v>3180</v>
      </c>
      <c r="X161" s="1711">
        <f t="shared" si="28"/>
        <v>6</v>
      </c>
      <c r="Y161" s="1710">
        <f t="shared" si="28"/>
        <v>9540</v>
      </c>
      <c r="Z161" s="1719" t="s">
        <v>7799</v>
      </c>
      <c r="AA161" s="1720" t="s">
        <v>6527</v>
      </c>
      <c r="AB161" s="1704"/>
      <c r="AC161" s="1388" t="str">
        <f t="shared" si="27"/>
        <v>ok</v>
      </c>
    </row>
    <row r="162" spans="1:29" ht="21" x14ac:dyDescent="0.6">
      <c r="A162" s="1712">
        <v>154</v>
      </c>
      <c r="B162" s="1713" t="s">
        <v>8809</v>
      </c>
      <c r="C162" s="1714" t="s">
        <v>7816</v>
      </c>
      <c r="D162" s="1715">
        <v>3</v>
      </c>
      <c r="E162" s="1716">
        <v>17100</v>
      </c>
      <c r="F162" s="1715">
        <v>4</v>
      </c>
      <c r="G162" s="1716">
        <v>22800</v>
      </c>
      <c r="H162" s="1715">
        <v>0</v>
      </c>
      <c r="I162" s="1716">
        <v>0</v>
      </c>
      <c r="J162" s="1715">
        <v>1</v>
      </c>
      <c r="K162" s="1715">
        <v>1</v>
      </c>
      <c r="L162" s="1716">
        <v>1790</v>
      </c>
      <c r="M162" s="1715">
        <f t="shared" si="33"/>
        <v>0</v>
      </c>
      <c r="N162" s="1717">
        <v>1790</v>
      </c>
      <c r="O162" s="1717">
        <f>M162*N162</f>
        <v>0</v>
      </c>
      <c r="P162" s="1718">
        <v>0</v>
      </c>
      <c r="Q162" s="1717">
        <f t="shared" si="25"/>
        <v>0</v>
      </c>
      <c r="R162" s="1718">
        <v>0</v>
      </c>
      <c r="S162" s="1717">
        <f t="shared" si="30"/>
        <v>0</v>
      </c>
      <c r="T162" s="1718">
        <v>0</v>
      </c>
      <c r="U162" s="1717">
        <f t="shared" si="34"/>
        <v>0</v>
      </c>
      <c r="V162" s="1718">
        <v>0</v>
      </c>
      <c r="W162" s="1717">
        <f t="shared" si="31"/>
        <v>0</v>
      </c>
      <c r="X162" s="1718">
        <f t="shared" si="28"/>
        <v>0</v>
      </c>
      <c r="Y162" s="1717">
        <f t="shared" si="28"/>
        <v>0</v>
      </c>
      <c r="Z162" s="1719" t="s">
        <v>7799</v>
      </c>
      <c r="AA162" s="1720" t="s">
        <v>6527</v>
      </c>
      <c r="AB162" s="1704"/>
      <c r="AC162" s="1388" t="str">
        <f t="shared" si="27"/>
        <v>ok</v>
      </c>
    </row>
    <row r="163" spans="1:29" s="1721" customFormat="1" ht="21" x14ac:dyDescent="0.6">
      <c r="A163" s="1705">
        <v>155</v>
      </c>
      <c r="B163" s="1706" t="s">
        <v>8810</v>
      </c>
      <c r="C163" s="1707" t="s">
        <v>7816</v>
      </c>
      <c r="D163" s="1708">
        <v>0</v>
      </c>
      <c r="E163" s="1709">
        <v>0</v>
      </c>
      <c r="F163" s="1708">
        <v>0</v>
      </c>
      <c r="G163" s="1709">
        <v>0</v>
      </c>
      <c r="H163" s="1708">
        <v>2</v>
      </c>
      <c r="I163" s="1709">
        <v>6000</v>
      </c>
      <c r="J163" s="1708">
        <v>3</v>
      </c>
      <c r="K163" s="1708">
        <v>1</v>
      </c>
      <c r="L163" s="1709">
        <v>3000</v>
      </c>
      <c r="M163" s="1708">
        <f t="shared" si="33"/>
        <v>2</v>
      </c>
      <c r="N163" s="1710">
        <v>3000</v>
      </c>
      <c r="O163" s="1710">
        <f>M163*N163</f>
        <v>6000</v>
      </c>
      <c r="P163" s="1711">
        <v>0</v>
      </c>
      <c r="Q163" s="1710">
        <f t="shared" si="25"/>
        <v>0</v>
      </c>
      <c r="R163" s="1711">
        <v>0</v>
      </c>
      <c r="S163" s="1710">
        <f t="shared" si="30"/>
        <v>0</v>
      </c>
      <c r="T163" s="1711">
        <v>0</v>
      </c>
      <c r="U163" s="1710">
        <f t="shared" si="34"/>
        <v>0</v>
      </c>
      <c r="V163" s="1711">
        <v>2</v>
      </c>
      <c r="W163" s="1710">
        <f t="shared" si="31"/>
        <v>6000</v>
      </c>
      <c r="X163" s="1711">
        <f t="shared" si="28"/>
        <v>2</v>
      </c>
      <c r="Y163" s="1710">
        <f t="shared" si="28"/>
        <v>6000</v>
      </c>
      <c r="Z163" s="1719" t="s">
        <v>7799</v>
      </c>
      <c r="AA163" s="1720" t="s">
        <v>6527</v>
      </c>
      <c r="AB163" s="1704"/>
      <c r="AC163" s="1388" t="str">
        <f t="shared" si="27"/>
        <v>ok</v>
      </c>
    </row>
    <row r="164" spans="1:29" ht="21" x14ac:dyDescent="0.6">
      <c r="A164" s="1712">
        <v>156</v>
      </c>
      <c r="B164" s="1713" t="s">
        <v>8811</v>
      </c>
      <c r="C164" s="1714" t="s">
        <v>8097</v>
      </c>
      <c r="D164" s="1715">
        <v>0</v>
      </c>
      <c r="E164" s="1716">
        <v>0</v>
      </c>
      <c r="F164" s="1715">
        <v>0</v>
      </c>
      <c r="G164" s="1716">
        <v>0</v>
      </c>
      <c r="H164" s="1715">
        <v>0</v>
      </c>
      <c r="I164" s="1716">
        <v>0</v>
      </c>
      <c r="J164" s="1715">
        <v>2</v>
      </c>
      <c r="K164" s="1715">
        <v>0</v>
      </c>
      <c r="L164" s="1716">
        <v>0</v>
      </c>
      <c r="M164" s="1715">
        <f t="shared" si="33"/>
        <v>2</v>
      </c>
      <c r="N164" s="1717">
        <v>600</v>
      </c>
      <c r="O164" s="1717">
        <v>1200</v>
      </c>
      <c r="P164" s="1718">
        <v>0</v>
      </c>
      <c r="Q164" s="1717">
        <f t="shared" si="25"/>
        <v>0</v>
      </c>
      <c r="R164" s="1718">
        <v>1</v>
      </c>
      <c r="S164" s="1717">
        <f t="shared" si="30"/>
        <v>600</v>
      </c>
      <c r="T164" s="1718">
        <v>0</v>
      </c>
      <c r="U164" s="1717">
        <f t="shared" si="34"/>
        <v>0</v>
      </c>
      <c r="V164" s="1718">
        <v>1</v>
      </c>
      <c r="W164" s="1717">
        <f t="shared" si="31"/>
        <v>600</v>
      </c>
      <c r="X164" s="1718">
        <v>2</v>
      </c>
      <c r="Y164" s="1717">
        <f t="shared" ref="Y164:Y227" si="35">Q164+S164+U164+W164</f>
        <v>1200</v>
      </c>
      <c r="Z164" s="1719" t="s">
        <v>7799</v>
      </c>
      <c r="AA164" s="1720" t="s">
        <v>6527</v>
      </c>
      <c r="AB164" s="1704"/>
      <c r="AC164" s="1388" t="str">
        <f t="shared" si="27"/>
        <v>ok</v>
      </c>
    </row>
    <row r="165" spans="1:29" ht="21" x14ac:dyDescent="0.6">
      <c r="A165" s="1712">
        <v>157</v>
      </c>
      <c r="B165" s="1713" t="s">
        <v>8812</v>
      </c>
      <c r="C165" s="1714" t="s">
        <v>7816</v>
      </c>
      <c r="D165" s="1715">
        <v>2</v>
      </c>
      <c r="E165" s="1716">
        <v>1426.66</v>
      </c>
      <c r="F165" s="1715">
        <v>4</v>
      </c>
      <c r="G165" s="1716">
        <v>2853.32</v>
      </c>
      <c r="H165" s="1715">
        <v>0</v>
      </c>
      <c r="I165" s="1716">
        <v>0</v>
      </c>
      <c r="J165" s="1715">
        <v>6</v>
      </c>
      <c r="K165" s="1715">
        <v>4</v>
      </c>
      <c r="L165" s="1716">
        <v>2853.32</v>
      </c>
      <c r="M165" s="1715">
        <f t="shared" si="33"/>
        <v>2</v>
      </c>
      <c r="N165" s="1717">
        <v>713.33</v>
      </c>
      <c r="O165" s="1717">
        <f t="shared" ref="O165:O228" si="36">M165*N165</f>
        <v>1426.66</v>
      </c>
      <c r="P165" s="1718">
        <v>0</v>
      </c>
      <c r="Q165" s="1717">
        <f t="shared" si="25"/>
        <v>0</v>
      </c>
      <c r="R165" s="1718">
        <v>0</v>
      </c>
      <c r="S165" s="1717">
        <f t="shared" si="30"/>
        <v>0</v>
      </c>
      <c r="T165" s="1718">
        <v>2</v>
      </c>
      <c r="U165" s="1717">
        <f t="shared" si="34"/>
        <v>1426.66</v>
      </c>
      <c r="V165" s="1718">
        <v>0</v>
      </c>
      <c r="W165" s="1717">
        <f t="shared" si="31"/>
        <v>0</v>
      </c>
      <c r="X165" s="1718">
        <f t="shared" ref="X165:Y228" si="37">P165+R165+T165+V165</f>
        <v>2</v>
      </c>
      <c r="Y165" s="1717">
        <f t="shared" si="35"/>
        <v>1426.66</v>
      </c>
      <c r="Z165" s="1719" t="s">
        <v>7799</v>
      </c>
      <c r="AA165" s="1720" t="s">
        <v>6527</v>
      </c>
      <c r="AB165" s="1704"/>
      <c r="AC165" s="1388" t="str">
        <f t="shared" si="27"/>
        <v>ok</v>
      </c>
    </row>
    <row r="166" spans="1:29" ht="21" x14ac:dyDescent="0.6">
      <c r="A166" s="1712">
        <v>158</v>
      </c>
      <c r="B166" s="1713" t="s">
        <v>8813</v>
      </c>
      <c r="C166" s="1714" t="s">
        <v>7816</v>
      </c>
      <c r="D166" s="1715">
        <v>1</v>
      </c>
      <c r="E166" s="1716">
        <v>850</v>
      </c>
      <c r="F166" s="1715">
        <v>1</v>
      </c>
      <c r="G166" s="1716">
        <v>850</v>
      </c>
      <c r="H166" s="1715">
        <v>0</v>
      </c>
      <c r="I166" s="1716">
        <v>0</v>
      </c>
      <c r="J166" s="1715">
        <v>0</v>
      </c>
      <c r="K166" s="1715">
        <v>1</v>
      </c>
      <c r="L166" s="1716">
        <v>500</v>
      </c>
      <c r="M166" s="1715">
        <v>0</v>
      </c>
      <c r="N166" s="1717">
        <v>500</v>
      </c>
      <c r="O166" s="1717">
        <f t="shared" si="36"/>
        <v>0</v>
      </c>
      <c r="P166" s="1718">
        <v>0</v>
      </c>
      <c r="Q166" s="1717">
        <f t="shared" si="25"/>
        <v>0</v>
      </c>
      <c r="R166" s="1718">
        <v>0</v>
      </c>
      <c r="S166" s="1717">
        <f t="shared" si="30"/>
        <v>0</v>
      </c>
      <c r="T166" s="1718">
        <v>0</v>
      </c>
      <c r="U166" s="1717">
        <f t="shared" si="34"/>
        <v>0</v>
      </c>
      <c r="V166" s="1718">
        <v>0</v>
      </c>
      <c r="W166" s="1717">
        <f t="shared" si="31"/>
        <v>0</v>
      </c>
      <c r="X166" s="1718">
        <f t="shared" si="37"/>
        <v>0</v>
      </c>
      <c r="Y166" s="1717">
        <f t="shared" si="35"/>
        <v>0</v>
      </c>
      <c r="Z166" s="1719" t="s">
        <v>7799</v>
      </c>
      <c r="AA166" s="1720" t="s">
        <v>6527</v>
      </c>
      <c r="AB166" s="1704"/>
      <c r="AC166" s="1388" t="str">
        <f t="shared" si="27"/>
        <v>ok</v>
      </c>
    </row>
    <row r="167" spans="1:29" ht="21" x14ac:dyDescent="0.6">
      <c r="A167" s="1712">
        <v>159</v>
      </c>
      <c r="B167" s="1713" t="s">
        <v>8814</v>
      </c>
      <c r="C167" s="1714" t="s">
        <v>8206</v>
      </c>
      <c r="D167" s="1715">
        <v>2</v>
      </c>
      <c r="E167" s="1716">
        <v>760</v>
      </c>
      <c r="F167" s="1715">
        <v>2</v>
      </c>
      <c r="G167" s="1716">
        <v>760</v>
      </c>
      <c r="H167" s="1715">
        <v>2</v>
      </c>
      <c r="I167" s="1716">
        <v>640</v>
      </c>
      <c r="J167" s="1715">
        <v>3</v>
      </c>
      <c r="K167" s="1715">
        <v>1</v>
      </c>
      <c r="L167" s="1716">
        <v>320</v>
      </c>
      <c r="M167" s="1715">
        <f>J167-K167</f>
        <v>2</v>
      </c>
      <c r="N167" s="1717">
        <v>320</v>
      </c>
      <c r="O167" s="1717">
        <f t="shared" si="36"/>
        <v>640</v>
      </c>
      <c r="P167" s="1718">
        <v>0</v>
      </c>
      <c r="Q167" s="1717">
        <f t="shared" si="25"/>
        <v>0</v>
      </c>
      <c r="R167" s="1718">
        <v>0</v>
      </c>
      <c r="S167" s="1717">
        <f t="shared" si="30"/>
        <v>0</v>
      </c>
      <c r="T167" s="1718">
        <v>2</v>
      </c>
      <c r="U167" s="1717">
        <f t="shared" si="34"/>
        <v>640</v>
      </c>
      <c r="V167" s="1718">
        <v>0</v>
      </c>
      <c r="W167" s="1717">
        <f t="shared" si="31"/>
        <v>0</v>
      </c>
      <c r="X167" s="1718">
        <f t="shared" si="37"/>
        <v>2</v>
      </c>
      <c r="Y167" s="1717">
        <f t="shared" si="35"/>
        <v>640</v>
      </c>
      <c r="Z167" s="1719" t="s">
        <v>7799</v>
      </c>
      <c r="AA167" s="1720" t="s">
        <v>6527</v>
      </c>
      <c r="AB167" s="1704"/>
      <c r="AC167" s="1388" t="str">
        <f t="shared" si="27"/>
        <v>ok</v>
      </c>
    </row>
    <row r="168" spans="1:29" ht="21" x14ac:dyDescent="0.6">
      <c r="A168" s="1712">
        <v>160</v>
      </c>
      <c r="B168" s="1713" t="s">
        <v>8815</v>
      </c>
      <c r="C168" s="1714" t="s">
        <v>8052</v>
      </c>
      <c r="D168" s="1715">
        <v>0</v>
      </c>
      <c r="E168" s="1716">
        <v>0</v>
      </c>
      <c r="F168" s="1715">
        <v>1</v>
      </c>
      <c r="G168" s="1716">
        <v>1200</v>
      </c>
      <c r="H168" s="1715">
        <v>0</v>
      </c>
      <c r="I168" s="1716">
        <v>0</v>
      </c>
      <c r="J168" s="1715">
        <v>0</v>
      </c>
      <c r="K168" s="1715">
        <v>0</v>
      </c>
      <c r="L168" s="1716">
        <v>0</v>
      </c>
      <c r="M168" s="1715">
        <f>J168-K168</f>
        <v>0</v>
      </c>
      <c r="N168" s="1717">
        <v>1200</v>
      </c>
      <c r="O168" s="1717">
        <f t="shared" si="36"/>
        <v>0</v>
      </c>
      <c r="P168" s="1718">
        <v>0</v>
      </c>
      <c r="Q168" s="1717">
        <f t="shared" si="25"/>
        <v>0</v>
      </c>
      <c r="R168" s="1718">
        <v>0</v>
      </c>
      <c r="S168" s="1717">
        <f t="shared" si="30"/>
        <v>0</v>
      </c>
      <c r="T168" s="1718">
        <v>0</v>
      </c>
      <c r="U168" s="1717">
        <f t="shared" si="34"/>
        <v>0</v>
      </c>
      <c r="V168" s="1718">
        <v>0</v>
      </c>
      <c r="W168" s="1717">
        <f t="shared" si="31"/>
        <v>0</v>
      </c>
      <c r="X168" s="1718">
        <f t="shared" si="37"/>
        <v>0</v>
      </c>
      <c r="Y168" s="1717">
        <f t="shared" si="35"/>
        <v>0</v>
      </c>
      <c r="Z168" s="1719" t="s">
        <v>7799</v>
      </c>
      <c r="AA168" s="1720" t="s">
        <v>6527</v>
      </c>
      <c r="AB168" s="1704"/>
      <c r="AC168" s="1388" t="str">
        <f t="shared" si="27"/>
        <v>ok</v>
      </c>
    </row>
    <row r="169" spans="1:29" ht="21" x14ac:dyDescent="0.6">
      <c r="A169" s="1712">
        <v>161</v>
      </c>
      <c r="B169" s="1713" t="s">
        <v>8816</v>
      </c>
      <c r="C169" s="1714" t="s">
        <v>7798</v>
      </c>
      <c r="D169" s="1715">
        <v>0</v>
      </c>
      <c r="E169" s="1716">
        <v>0</v>
      </c>
      <c r="F169" s="1715">
        <v>0</v>
      </c>
      <c r="G169" s="1716">
        <v>0</v>
      </c>
      <c r="H169" s="1715">
        <v>0</v>
      </c>
      <c r="I169" s="1716">
        <v>0</v>
      </c>
      <c r="J169" s="1715">
        <v>0</v>
      </c>
      <c r="K169" s="1715">
        <v>1</v>
      </c>
      <c r="L169" s="1716">
        <v>150</v>
      </c>
      <c r="M169" s="1715">
        <v>0</v>
      </c>
      <c r="N169" s="1717">
        <v>150</v>
      </c>
      <c r="O169" s="1717">
        <f t="shared" si="36"/>
        <v>0</v>
      </c>
      <c r="P169" s="1718">
        <v>0</v>
      </c>
      <c r="Q169" s="1717">
        <f t="shared" si="25"/>
        <v>0</v>
      </c>
      <c r="R169" s="1718">
        <v>0</v>
      </c>
      <c r="S169" s="1717">
        <f t="shared" si="30"/>
        <v>0</v>
      </c>
      <c r="T169" s="1718">
        <v>0</v>
      </c>
      <c r="U169" s="1717">
        <f t="shared" si="34"/>
        <v>0</v>
      </c>
      <c r="V169" s="1718">
        <v>0</v>
      </c>
      <c r="W169" s="1717">
        <f t="shared" si="31"/>
        <v>0</v>
      </c>
      <c r="X169" s="1718">
        <f t="shared" si="37"/>
        <v>0</v>
      </c>
      <c r="Y169" s="1717">
        <f t="shared" si="35"/>
        <v>0</v>
      </c>
      <c r="Z169" s="1719" t="s">
        <v>7799</v>
      </c>
      <c r="AA169" s="1720" t="s">
        <v>6527</v>
      </c>
      <c r="AB169" s="1704"/>
      <c r="AC169" s="1388" t="str">
        <f t="shared" si="27"/>
        <v>ok</v>
      </c>
    </row>
    <row r="170" spans="1:29" ht="21" x14ac:dyDescent="0.6">
      <c r="A170" s="1712">
        <v>162</v>
      </c>
      <c r="B170" s="1713" t="s">
        <v>8817</v>
      </c>
      <c r="C170" s="1714" t="s">
        <v>7798</v>
      </c>
      <c r="D170" s="1715">
        <v>0</v>
      </c>
      <c r="E170" s="1716">
        <v>0</v>
      </c>
      <c r="F170" s="1715">
        <v>2</v>
      </c>
      <c r="G170" s="1716">
        <v>240</v>
      </c>
      <c r="H170" s="1715">
        <v>0</v>
      </c>
      <c r="I170" s="1716">
        <v>0</v>
      </c>
      <c r="J170" s="1715">
        <v>0</v>
      </c>
      <c r="K170" s="1715">
        <v>2</v>
      </c>
      <c r="L170" s="1716">
        <v>300</v>
      </c>
      <c r="M170" s="1715">
        <v>0</v>
      </c>
      <c r="N170" s="1717">
        <v>150</v>
      </c>
      <c r="O170" s="1717">
        <f t="shared" si="36"/>
        <v>0</v>
      </c>
      <c r="P170" s="1718">
        <v>0</v>
      </c>
      <c r="Q170" s="1717">
        <f t="shared" si="25"/>
        <v>0</v>
      </c>
      <c r="R170" s="1718">
        <v>0</v>
      </c>
      <c r="S170" s="1717">
        <f t="shared" si="30"/>
        <v>0</v>
      </c>
      <c r="T170" s="1718">
        <v>0</v>
      </c>
      <c r="U170" s="1717">
        <f t="shared" si="34"/>
        <v>0</v>
      </c>
      <c r="V170" s="1718">
        <v>0</v>
      </c>
      <c r="W170" s="1717">
        <f t="shared" si="31"/>
        <v>0</v>
      </c>
      <c r="X170" s="1718">
        <f t="shared" si="37"/>
        <v>0</v>
      </c>
      <c r="Y170" s="1717">
        <f t="shared" si="35"/>
        <v>0</v>
      </c>
      <c r="Z170" s="1719" t="s">
        <v>7799</v>
      </c>
      <c r="AA170" s="1720" t="s">
        <v>6527</v>
      </c>
      <c r="AB170" s="1704"/>
      <c r="AC170" s="1388" t="str">
        <f t="shared" si="27"/>
        <v>ok</v>
      </c>
    </row>
    <row r="171" spans="1:29" ht="21" x14ac:dyDescent="0.6">
      <c r="A171" s="1712">
        <v>163</v>
      </c>
      <c r="B171" s="1713" t="s">
        <v>8818</v>
      </c>
      <c r="C171" s="1714" t="s">
        <v>7798</v>
      </c>
      <c r="D171" s="1715">
        <v>0</v>
      </c>
      <c r="E171" s="1716">
        <v>0</v>
      </c>
      <c r="F171" s="1715">
        <v>0</v>
      </c>
      <c r="G171" s="1716">
        <v>0</v>
      </c>
      <c r="H171" s="1715">
        <v>0</v>
      </c>
      <c r="I171" s="1716">
        <v>0</v>
      </c>
      <c r="J171" s="1715">
        <v>0</v>
      </c>
      <c r="K171" s="1715">
        <v>1</v>
      </c>
      <c r="L171" s="1716">
        <v>180</v>
      </c>
      <c r="M171" s="1715">
        <v>0</v>
      </c>
      <c r="N171" s="1717">
        <v>180</v>
      </c>
      <c r="O171" s="1717">
        <f t="shared" si="36"/>
        <v>0</v>
      </c>
      <c r="P171" s="1718">
        <v>0</v>
      </c>
      <c r="Q171" s="1717">
        <f t="shared" si="25"/>
        <v>0</v>
      </c>
      <c r="R171" s="1718">
        <v>0</v>
      </c>
      <c r="S171" s="1717">
        <f t="shared" si="30"/>
        <v>0</v>
      </c>
      <c r="T171" s="1718">
        <v>0</v>
      </c>
      <c r="U171" s="1717">
        <f t="shared" si="34"/>
        <v>0</v>
      </c>
      <c r="V171" s="1718">
        <v>0</v>
      </c>
      <c r="W171" s="1717">
        <f t="shared" si="31"/>
        <v>0</v>
      </c>
      <c r="X171" s="1718">
        <f t="shared" si="37"/>
        <v>0</v>
      </c>
      <c r="Y171" s="1717">
        <f t="shared" si="35"/>
        <v>0</v>
      </c>
      <c r="Z171" s="1719" t="s">
        <v>7799</v>
      </c>
      <c r="AA171" s="1720" t="s">
        <v>6527</v>
      </c>
      <c r="AB171" s="1704"/>
      <c r="AC171" s="1388" t="str">
        <f t="shared" si="27"/>
        <v>ok</v>
      </c>
    </row>
    <row r="172" spans="1:29" ht="21" x14ac:dyDescent="0.6">
      <c r="A172" s="1712">
        <v>164</v>
      </c>
      <c r="B172" s="1713" t="s">
        <v>8819</v>
      </c>
      <c r="C172" s="1714" t="s">
        <v>7798</v>
      </c>
      <c r="D172" s="1715">
        <v>0</v>
      </c>
      <c r="E172" s="1716">
        <v>0</v>
      </c>
      <c r="F172" s="1715">
        <v>0</v>
      </c>
      <c r="G172" s="1716">
        <v>0</v>
      </c>
      <c r="H172" s="1715">
        <v>0</v>
      </c>
      <c r="I172" s="1716">
        <v>0</v>
      </c>
      <c r="J172" s="1715">
        <v>0</v>
      </c>
      <c r="K172" s="1715">
        <v>0</v>
      </c>
      <c r="L172" s="1716">
        <v>0</v>
      </c>
      <c r="M172" s="1715">
        <f>J172-K172</f>
        <v>0</v>
      </c>
      <c r="N172" s="1717">
        <v>1500</v>
      </c>
      <c r="O172" s="1717">
        <f t="shared" si="36"/>
        <v>0</v>
      </c>
      <c r="P172" s="1718">
        <v>0</v>
      </c>
      <c r="Q172" s="1717">
        <f t="shared" si="25"/>
        <v>0</v>
      </c>
      <c r="R172" s="1718">
        <v>0</v>
      </c>
      <c r="S172" s="1717">
        <f t="shared" si="30"/>
        <v>0</v>
      </c>
      <c r="T172" s="1718">
        <v>0</v>
      </c>
      <c r="U172" s="1717">
        <f t="shared" si="34"/>
        <v>0</v>
      </c>
      <c r="V172" s="1718">
        <v>0</v>
      </c>
      <c r="W172" s="1717">
        <f t="shared" si="31"/>
        <v>0</v>
      </c>
      <c r="X172" s="1718">
        <f t="shared" si="37"/>
        <v>0</v>
      </c>
      <c r="Y172" s="1717">
        <f t="shared" si="35"/>
        <v>0</v>
      </c>
      <c r="Z172" s="1719" t="s">
        <v>7799</v>
      </c>
      <c r="AA172" s="1720" t="s">
        <v>6527</v>
      </c>
      <c r="AB172" s="1704"/>
      <c r="AC172" s="1388" t="str">
        <f t="shared" si="27"/>
        <v>ok</v>
      </c>
    </row>
    <row r="173" spans="1:29" ht="21" x14ac:dyDescent="0.6">
      <c r="A173" s="1712">
        <v>165</v>
      </c>
      <c r="B173" s="1713" t="s">
        <v>8820</v>
      </c>
      <c r="C173" s="1714" t="s">
        <v>7798</v>
      </c>
      <c r="D173" s="1715">
        <v>0</v>
      </c>
      <c r="E173" s="1716">
        <v>0</v>
      </c>
      <c r="F173" s="1715">
        <v>0</v>
      </c>
      <c r="G173" s="1716">
        <v>0</v>
      </c>
      <c r="H173" s="1715">
        <v>0</v>
      </c>
      <c r="I173" s="1716">
        <v>0</v>
      </c>
      <c r="J173" s="1715">
        <v>0</v>
      </c>
      <c r="K173" s="1715">
        <v>0</v>
      </c>
      <c r="L173" s="1716">
        <v>0</v>
      </c>
      <c r="M173" s="1715">
        <f>J173-K173</f>
        <v>0</v>
      </c>
      <c r="N173" s="1717">
        <v>750</v>
      </c>
      <c r="O173" s="1717">
        <f t="shared" si="36"/>
        <v>0</v>
      </c>
      <c r="P173" s="1718">
        <v>0</v>
      </c>
      <c r="Q173" s="1717">
        <f t="shared" si="25"/>
        <v>0</v>
      </c>
      <c r="R173" s="1718">
        <v>0</v>
      </c>
      <c r="S173" s="1717">
        <f t="shared" si="30"/>
        <v>0</v>
      </c>
      <c r="T173" s="1718">
        <v>0</v>
      </c>
      <c r="U173" s="1717">
        <f t="shared" si="34"/>
        <v>0</v>
      </c>
      <c r="V173" s="1718">
        <v>0</v>
      </c>
      <c r="W173" s="1717">
        <f t="shared" si="31"/>
        <v>0</v>
      </c>
      <c r="X173" s="1718">
        <f t="shared" si="37"/>
        <v>0</v>
      </c>
      <c r="Y173" s="1717">
        <f t="shared" si="35"/>
        <v>0</v>
      </c>
      <c r="Z173" s="1719" t="s">
        <v>7799</v>
      </c>
      <c r="AA173" s="1720" t="s">
        <v>6527</v>
      </c>
      <c r="AB173" s="1704"/>
      <c r="AC173" s="1388" t="str">
        <f t="shared" si="27"/>
        <v>ok</v>
      </c>
    </row>
    <row r="174" spans="1:29" ht="21" x14ac:dyDescent="0.6">
      <c r="A174" s="1712">
        <v>166</v>
      </c>
      <c r="B174" s="1713" t="s">
        <v>8821</v>
      </c>
      <c r="C174" s="1714" t="s">
        <v>7798</v>
      </c>
      <c r="D174" s="1715">
        <v>0</v>
      </c>
      <c r="E174" s="1716">
        <v>0</v>
      </c>
      <c r="F174" s="1715">
        <v>0</v>
      </c>
      <c r="G174" s="1716">
        <v>0</v>
      </c>
      <c r="H174" s="1715">
        <v>0</v>
      </c>
      <c r="I174" s="1716">
        <v>0</v>
      </c>
      <c r="J174" s="1715">
        <v>1</v>
      </c>
      <c r="K174" s="1715">
        <v>0</v>
      </c>
      <c r="L174" s="1716">
        <v>0</v>
      </c>
      <c r="M174" s="1715">
        <f>J174-K174</f>
        <v>1</v>
      </c>
      <c r="N174" s="1717">
        <v>1400</v>
      </c>
      <c r="O174" s="1717">
        <f t="shared" si="36"/>
        <v>1400</v>
      </c>
      <c r="P174" s="1718">
        <v>0</v>
      </c>
      <c r="Q174" s="1717">
        <f t="shared" si="25"/>
        <v>0</v>
      </c>
      <c r="R174" s="1718">
        <v>1</v>
      </c>
      <c r="S174" s="1717">
        <f t="shared" si="30"/>
        <v>1400</v>
      </c>
      <c r="T174" s="1718">
        <v>0</v>
      </c>
      <c r="U174" s="1717">
        <f t="shared" si="34"/>
        <v>0</v>
      </c>
      <c r="V174" s="1718">
        <v>0</v>
      </c>
      <c r="W174" s="1717">
        <f t="shared" si="31"/>
        <v>0</v>
      </c>
      <c r="X174" s="1718">
        <f t="shared" si="37"/>
        <v>1</v>
      </c>
      <c r="Y174" s="1717">
        <f t="shared" si="35"/>
        <v>1400</v>
      </c>
      <c r="Z174" s="1719" t="s">
        <v>7799</v>
      </c>
      <c r="AA174" s="1720" t="s">
        <v>6527</v>
      </c>
      <c r="AB174" s="1704"/>
      <c r="AC174" s="1388" t="str">
        <f t="shared" si="27"/>
        <v>ok</v>
      </c>
    </row>
    <row r="175" spans="1:29" ht="21" x14ac:dyDescent="0.6">
      <c r="A175" s="1712">
        <v>167</v>
      </c>
      <c r="B175" s="1713" t="s">
        <v>8822</v>
      </c>
      <c r="C175" s="1714" t="s">
        <v>7869</v>
      </c>
      <c r="D175" s="1715">
        <v>2</v>
      </c>
      <c r="E175" s="1716">
        <v>3040</v>
      </c>
      <c r="F175" s="1715">
        <v>1</v>
      </c>
      <c r="G175" s="1716">
        <v>1520</v>
      </c>
      <c r="H175" s="1715">
        <v>0</v>
      </c>
      <c r="I175" s="1716">
        <v>0</v>
      </c>
      <c r="J175" s="1715">
        <v>0</v>
      </c>
      <c r="K175" s="1715">
        <v>0</v>
      </c>
      <c r="L175" s="1716">
        <v>0</v>
      </c>
      <c r="M175" s="1715">
        <f>J175-K175</f>
        <v>0</v>
      </c>
      <c r="N175" s="1717">
        <v>1520</v>
      </c>
      <c r="O175" s="1717">
        <f t="shared" si="36"/>
        <v>0</v>
      </c>
      <c r="P175" s="1718">
        <v>0</v>
      </c>
      <c r="Q175" s="1717">
        <f t="shared" si="25"/>
        <v>0</v>
      </c>
      <c r="R175" s="1718">
        <v>0</v>
      </c>
      <c r="S175" s="1717">
        <f t="shared" si="30"/>
        <v>0</v>
      </c>
      <c r="T175" s="1718">
        <v>0</v>
      </c>
      <c r="U175" s="1717">
        <f t="shared" si="34"/>
        <v>0</v>
      </c>
      <c r="V175" s="1718">
        <v>0</v>
      </c>
      <c r="W175" s="1717">
        <f t="shared" si="31"/>
        <v>0</v>
      </c>
      <c r="X175" s="1718">
        <f t="shared" si="37"/>
        <v>0</v>
      </c>
      <c r="Y175" s="1717">
        <f t="shared" si="35"/>
        <v>0</v>
      </c>
      <c r="Z175" s="1719" t="s">
        <v>7799</v>
      </c>
      <c r="AA175" s="1720" t="s">
        <v>6527</v>
      </c>
      <c r="AB175" s="1704"/>
      <c r="AC175" s="1388" t="str">
        <f t="shared" si="27"/>
        <v>ok</v>
      </c>
    </row>
    <row r="176" spans="1:29" ht="21" x14ac:dyDescent="0.6">
      <c r="A176" s="1712">
        <v>168</v>
      </c>
      <c r="B176" s="1713" t="s">
        <v>8823</v>
      </c>
      <c r="C176" s="1714" t="s">
        <v>7869</v>
      </c>
      <c r="D176" s="1715">
        <v>0</v>
      </c>
      <c r="E176" s="1716">
        <v>0</v>
      </c>
      <c r="F176" s="1715">
        <v>1</v>
      </c>
      <c r="G176" s="1716">
        <v>1520</v>
      </c>
      <c r="H176" s="1715">
        <v>0</v>
      </c>
      <c r="I176" s="1716">
        <v>0</v>
      </c>
      <c r="J176" s="1715">
        <v>0</v>
      </c>
      <c r="K176" s="1715">
        <v>0</v>
      </c>
      <c r="L176" s="1716">
        <v>0</v>
      </c>
      <c r="M176" s="1715">
        <f>J176-K176</f>
        <v>0</v>
      </c>
      <c r="N176" s="1717">
        <v>1520</v>
      </c>
      <c r="O176" s="1717">
        <f t="shared" si="36"/>
        <v>0</v>
      </c>
      <c r="P176" s="1718">
        <v>0</v>
      </c>
      <c r="Q176" s="1717">
        <f t="shared" si="25"/>
        <v>0</v>
      </c>
      <c r="R176" s="1718">
        <v>0</v>
      </c>
      <c r="S176" s="1717">
        <f t="shared" si="30"/>
        <v>0</v>
      </c>
      <c r="T176" s="1718">
        <v>0</v>
      </c>
      <c r="U176" s="1717">
        <f t="shared" si="34"/>
        <v>0</v>
      </c>
      <c r="V176" s="1718">
        <v>0</v>
      </c>
      <c r="W176" s="1717">
        <f t="shared" si="31"/>
        <v>0</v>
      </c>
      <c r="X176" s="1718">
        <f t="shared" si="37"/>
        <v>0</v>
      </c>
      <c r="Y176" s="1717">
        <f t="shared" si="35"/>
        <v>0</v>
      </c>
      <c r="Z176" s="1719" t="s">
        <v>7799</v>
      </c>
      <c r="AA176" s="1720" t="s">
        <v>6527</v>
      </c>
      <c r="AB176" s="1704"/>
      <c r="AC176" s="1388" t="str">
        <f t="shared" si="27"/>
        <v>ok</v>
      </c>
    </row>
    <row r="177" spans="1:29" ht="21" x14ac:dyDescent="0.6">
      <c r="A177" s="1712">
        <v>169</v>
      </c>
      <c r="B177" s="1713" t="s">
        <v>8824</v>
      </c>
      <c r="C177" s="1714" t="s">
        <v>7869</v>
      </c>
      <c r="D177" s="1715">
        <v>0</v>
      </c>
      <c r="E177" s="1716">
        <v>0</v>
      </c>
      <c r="F177" s="1715">
        <v>1</v>
      </c>
      <c r="G177" s="1716">
        <v>930</v>
      </c>
      <c r="H177" s="1715">
        <v>0</v>
      </c>
      <c r="I177" s="1716">
        <v>0</v>
      </c>
      <c r="J177" s="1715">
        <v>0</v>
      </c>
      <c r="K177" s="1715">
        <v>1</v>
      </c>
      <c r="L177" s="1716">
        <v>930</v>
      </c>
      <c r="M177" s="1715">
        <v>0</v>
      </c>
      <c r="N177" s="1717">
        <v>930</v>
      </c>
      <c r="O177" s="1717">
        <f t="shared" si="36"/>
        <v>0</v>
      </c>
      <c r="P177" s="1718">
        <v>0</v>
      </c>
      <c r="Q177" s="1717">
        <f t="shared" si="25"/>
        <v>0</v>
      </c>
      <c r="R177" s="1718">
        <v>0</v>
      </c>
      <c r="S177" s="1717">
        <f t="shared" si="30"/>
        <v>0</v>
      </c>
      <c r="T177" s="1718">
        <v>0</v>
      </c>
      <c r="U177" s="1717">
        <f t="shared" si="34"/>
        <v>0</v>
      </c>
      <c r="V177" s="1718">
        <v>0</v>
      </c>
      <c r="W177" s="1717">
        <f t="shared" si="31"/>
        <v>0</v>
      </c>
      <c r="X177" s="1718">
        <f t="shared" si="37"/>
        <v>0</v>
      </c>
      <c r="Y177" s="1717">
        <f t="shared" si="35"/>
        <v>0</v>
      </c>
      <c r="Z177" s="1719" t="s">
        <v>7799</v>
      </c>
      <c r="AA177" s="1720" t="s">
        <v>6527</v>
      </c>
      <c r="AB177" s="1704"/>
      <c r="AC177" s="1388" t="str">
        <f t="shared" si="27"/>
        <v>ok</v>
      </c>
    </row>
    <row r="178" spans="1:29" ht="21" x14ac:dyDescent="0.6">
      <c r="A178" s="1712">
        <v>170</v>
      </c>
      <c r="B178" s="1713" t="s">
        <v>8825</v>
      </c>
      <c r="C178" s="1714" t="s">
        <v>7798</v>
      </c>
      <c r="D178" s="1715">
        <v>0</v>
      </c>
      <c r="E178" s="1716">
        <v>0</v>
      </c>
      <c r="F178" s="1715">
        <v>0</v>
      </c>
      <c r="G178" s="1716">
        <v>0</v>
      </c>
      <c r="H178" s="1715">
        <v>0</v>
      </c>
      <c r="I178" s="1716">
        <v>0</v>
      </c>
      <c r="J178" s="1715">
        <v>0</v>
      </c>
      <c r="K178" s="1715">
        <v>0</v>
      </c>
      <c r="L178" s="1716">
        <v>0</v>
      </c>
      <c r="M178" s="1715">
        <f>J178-K178</f>
        <v>0</v>
      </c>
      <c r="N178" s="1717">
        <v>230</v>
      </c>
      <c r="O178" s="1717">
        <f t="shared" si="36"/>
        <v>0</v>
      </c>
      <c r="P178" s="1718">
        <v>0</v>
      </c>
      <c r="Q178" s="1717">
        <f t="shared" si="25"/>
        <v>0</v>
      </c>
      <c r="R178" s="1718">
        <v>0</v>
      </c>
      <c r="S178" s="1717">
        <f t="shared" si="30"/>
        <v>0</v>
      </c>
      <c r="T178" s="1718">
        <v>0</v>
      </c>
      <c r="U178" s="1717">
        <f t="shared" si="34"/>
        <v>0</v>
      </c>
      <c r="V178" s="1718">
        <v>0</v>
      </c>
      <c r="W178" s="1717">
        <f t="shared" si="31"/>
        <v>0</v>
      </c>
      <c r="X178" s="1718">
        <f t="shared" si="37"/>
        <v>0</v>
      </c>
      <c r="Y178" s="1717">
        <f t="shared" si="35"/>
        <v>0</v>
      </c>
      <c r="Z178" s="1719" t="s">
        <v>7799</v>
      </c>
      <c r="AA178" s="1720" t="s">
        <v>6527</v>
      </c>
      <c r="AB178" s="1704"/>
      <c r="AC178" s="1388" t="str">
        <f t="shared" si="27"/>
        <v>ok</v>
      </c>
    </row>
    <row r="179" spans="1:29" ht="21" x14ac:dyDescent="0.6">
      <c r="A179" s="1712">
        <v>171</v>
      </c>
      <c r="B179" s="1713" t="s">
        <v>8826</v>
      </c>
      <c r="C179" s="1714" t="s">
        <v>8049</v>
      </c>
      <c r="D179" s="1715">
        <v>0</v>
      </c>
      <c r="E179" s="1716">
        <v>0</v>
      </c>
      <c r="F179" s="1715">
        <v>4</v>
      </c>
      <c r="G179" s="1716">
        <v>1400</v>
      </c>
      <c r="H179" s="1715">
        <v>0</v>
      </c>
      <c r="I179" s="1716">
        <v>0</v>
      </c>
      <c r="J179" s="1715">
        <v>0</v>
      </c>
      <c r="K179" s="1715">
        <v>3</v>
      </c>
      <c r="L179" s="1716">
        <v>1050</v>
      </c>
      <c r="M179" s="1715">
        <v>0</v>
      </c>
      <c r="N179" s="1717">
        <v>350</v>
      </c>
      <c r="O179" s="1717">
        <f t="shared" si="36"/>
        <v>0</v>
      </c>
      <c r="P179" s="1718">
        <v>0</v>
      </c>
      <c r="Q179" s="1717">
        <f t="shared" si="25"/>
        <v>0</v>
      </c>
      <c r="R179" s="1718">
        <v>0</v>
      </c>
      <c r="S179" s="1717">
        <f t="shared" si="30"/>
        <v>0</v>
      </c>
      <c r="T179" s="1718">
        <v>0</v>
      </c>
      <c r="U179" s="1717">
        <f t="shared" si="34"/>
        <v>0</v>
      </c>
      <c r="V179" s="1718">
        <v>0</v>
      </c>
      <c r="W179" s="1717">
        <f t="shared" si="31"/>
        <v>0</v>
      </c>
      <c r="X179" s="1718">
        <f t="shared" si="37"/>
        <v>0</v>
      </c>
      <c r="Y179" s="1717">
        <f t="shared" si="35"/>
        <v>0</v>
      </c>
      <c r="Z179" s="1719" t="s">
        <v>7799</v>
      </c>
      <c r="AA179" s="1720" t="s">
        <v>6527</v>
      </c>
      <c r="AB179" s="1704"/>
      <c r="AC179" s="1388" t="str">
        <f t="shared" si="27"/>
        <v>ok</v>
      </c>
    </row>
    <row r="180" spans="1:29" ht="21" x14ac:dyDescent="0.6">
      <c r="A180" s="1712">
        <v>172</v>
      </c>
      <c r="B180" s="1713" t="s">
        <v>8827</v>
      </c>
      <c r="C180" s="1714" t="s">
        <v>8049</v>
      </c>
      <c r="D180" s="1715">
        <v>0</v>
      </c>
      <c r="E180" s="1716">
        <v>0</v>
      </c>
      <c r="F180" s="1715">
        <v>0</v>
      </c>
      <c r="G180" s="1716">
        <v>0</v>
      </c>
      <c r="H180" s="1715">
        <v>0</v>
      </c>
      <c r="I180" s="1716">
        <v>0</v>
      </c>
      <c r="J180" s="1715">
        <v>3</v>
      </c>
      <c r="K180" s="1715">
        <v>0</v>
      </c>
      <c r="L180" s="1716">
        <v>0</v>
      </c>
      <c r="M180" s="1715">
        <f>J180-K180</f>
        <v>3</v>
      </c>
      <c r="N180" s="1717">
        <v>400</v>
      </c>
      <c r="O180" s="1717">
        <f t="shared" si="36"/>
        <v>1200</v>
      </c>
      <c r="P180" s="1718">
        <v>0</v>
      </c>
      <c r="Q180" s="1717">
        <f t="shared" si="25"/>
        <v>0</v>
      </c>
      <c r="R180" s="1718">
        <v>3</v>
      </c>
      <c r="S180" s="1717">
        <f t="shared" si="30"/>
        <v>1200</v>
      </c>
      <c r="T180" s="1718">
        <v>0</v>
      </c>
      <c r="U180" s="1717">
        <f t="shared" si="34"/>
        <v>0</v>
      </c>
      <c r="V180" s="1718">
        <v>0</v>
      </c>
      <c r="W180" s="1717">
        <f t="shared" si="31"/>
        <v>0</v>
      </c>
      <c r="X180" s="1718">
        <f t="shared" si="37"/>
        <v>3</v>
      </c>
      <c r="Y180" s="1717">
        <f t="shared" si="35"/>
        <v>1200</v>
      </c>
      <c r="Z180" s="1719" t="s">
        <v>7799</v>
      </c>
      <c r="AA180" s="1720" t="s">
        <v>6527</v>
      </c>
      <c r="AB180" s="1704"/>
      <c r="AC180" s="1388" t="str">
        <f t="shared" si="27"/>
        <v>ok</v>
      </c>
    </row>
    <row r="181" spans="1:29" ht="21" x14ac:dyDescent="0.6">
      <c r="A181" s="1712">
        <v>173</v>
      </c>
      <c r="B181" s="1713" t="s">
        <v>8828</v>
      </c>
      <c r="C181" s="1714" t="s">
        <v>8057</v>
      </c>
      <c r="D181" s="1715">
        <v>0</v>
      </c>
      <c r="E181" s="1716">
        <v>0</v>
      </c>
      <c r="F181" s="1715">
        <v>0</v>
      </c>
      <c r="G181" s="1716">
        <v>0</v>
      </c>
      <c r="H181" s="1715"/>
      <c r="I181" s="1716"/>
      <c r="J181" s="1715">
        <v>0</v>
      </c>
      <c r="K181" s="1715">
        <v>6</v>
      </c>
      <c r="L181" s="1716">
        <v>4180</v>
      </c>
      <c r="M181" s="1715">
        <v>0</v>
      </c>
      <c r="N181" s="1717">
        <v>850</v>
      </c>
      <c r="O181" s="1717">
        <f t="shared" si="36"/>
        <v>0</v>
      </c>
      <c r="P181" s="1718">
        <v>0</v>
      </c>
      <c r="Q181" s="1717">
        <f t="shared" si="25"/>
        <v>0</v>
      </c>
      <c r="R181" s="1718">
        <v>0</v>
      </c>
      <c r="S181" s="1717">
        <f t="shared" si="30"/>
        <v>0</v>
      </c>
      <c r="T181" s="1718">
        <v>0</v>
      </c>
      <c r="U181" s="1717">
        <f t="shared" si="34"/>
        <v>0</v>
      </c>
      <c r="V181" s="1718">
        <v>0</v>
      </c>
      <c r="W181" s="1717">
        <f t="shared" si="31"/>
        <v>0</v>
      </c>
      <c r="X181" s="1718">
        <f t="shared" si="37"/>
        <v>0</v>
      </c>
      <c r="Y181" s="1717">
        <f t="shared" si="35"/>
        <v>0</v>
      </c>
      <c r="Z181" s="1719" t="s">
        <v>7799</v>
      </c>
      <c r="AA181" s="1720" t="s">
        <v>6527</v>
      </c>
      <c r="AB181" s="1704"/>
      <c r="AC181" s="1388" t="str">
        <f t="shared" si="27"/>
        <v>ok</v>
      </c>
    </row>
    <row r="182" spans="1:29" ht="21" x14ac:dyDescent="0.6">
      <c r="A182" s="1712">
        <v>174</v>
      </c>
      <c r="B182" s="1713" t="s">
        <v>8829</v>
      </c>
      <c r="C182" s="1714" t="s">
        <v>8057</v>
      </c>
      <c r="D182" s="1715">
        <v>0</v>
      </c>
      <c r="E182" s="1716">
        <v>0</v>
      </c>
      <c r="F182" s="1715">
        <v>9</v>
      </c>
      <c r="G182" s="1716">
        <v>720</v>
      </c>
      <c r="H182" s="1715">
        <v>0</v>
      </c>
      <c r="I182" s="1716">
        <v>0</v>
      </c>
      <c r="J182" s="1715">
        <v>0</v>
      </c>
      <c r="K182" s="1715">
        <v>4</v>
      </c>
      <c r="L182" s="1716">
        <v>360</v>
      </c>
      <c r="M182" s="1715">
        <v>0</v>
      </c>
      <c r="N182" s="1717">
        <v>90</v>
      </c>
      <c r="O182" s="1717">
        <f t="shared" si="36"/>
        <v>0</v>
      </c>
      <c r="P182" s="1718">
        <v>0</v>
      </c>
      <c r="Q182" s="1717">
        <f t="shared" si="25"/>
        <v>0</v>
      </c>
      <c r="R182" s="1718">
        <v>0</v>
      </c>
      <c r="S182" s="1717">
        <f t="shared" si="30"/>
        <v>0</v>
      </c>
      <c r="T182" s="1718">
        <v>0</v>
      </c>
      <c r="U182" s="1717">
        <f t="shared" si="34"/>
        <v>0</v>
      </c>
      <c r="V182" s="1718">
        <v>0</v>
      </c>
      <c r="W182" s="1717">
        <f t="shared" si="31"/>
        <v>0</v>
      </c>
      <c r="X182" s="1718">
        <f t="shared" si="37"/>
        <v>0</v>
      </c>
      <c r="Y182" s="1717">
        <f t="shared" si="35"/>
        <v>0</v>
      </c>
      <c r="Z182" s="1719" t="s">
        <v>7799</v>
      </c>
      <c r="AA182" s="1720" t="s">
        <v>6527</v>
      </c>
      <c r="AB182" s="1704"/>
      <c r="AC182" s="1388" t="str">
        <f t="shared" si="27"/>
        <v>ok</v>
      </c>
    </row>
    <row r="183" spans="1:29" ht="21" x14ac:dyDescent="0.6">
      <c r="A183" s="1712">
        <v>175</v>
      </c>
      <c r="B183" s="1713" t="s">
        <v>8830</v>
      </c>
      <c r="C183" s="1714" t="s">
        <v>7798</v>
      </c>
      <c r="D183" s="1715">
        <v>0</v>
      </c>
      <c r="E183" s="1716">
        <v>0</v>
      </c>
      <c r="F183" s="1715">
        <v>0</v>
      </c>
      <c r="G183" s="1716">
        <v>0</v>
      </c>
      <c r="H183" s="1715">
        <v>0</v>
      </c>
      <c r="I183" s="1716">
        <v>0</v>
      </c>
      <c r="J183" s="1715">
        <v>2</v>
      </c>
      <c r="K183" s="1715">
        <v>2</v>
      </c>
      <c r="L183" s="1716">
        <v>300</v>
      </c>
      <c r="M183" s="1715">
        <f>J183-K183</f>
        <v>0</v>
      </c>
      <c r="N183" s="1717">
        <v>150</v>
      </c>
      <c r="O183" s="1717">
        <f t="shared" si="36"/>
        <v>0</v>
      </c>
      <c r="P183" s="1718">
        <v>0</v>
      </c>
      <c r="Q183" s="1717">
        <f t="shared" si="25"/>
        <v>0</v>
      </c>
      <c r="R183" s="1718">
        <v>0</v>
      </c>
      <c r="S183" s="1717">
        <f t="shared" si="30"/>
        <v>0</v>
      </c>
      <c r="T183" s="1718">
        <v>0</v>
      </c>
      <c r="U183" s="1717">
        <f t="shared" si="34"/>
        <v>0</v>
      </c>
      <c r="V183" s="1718">
        <v>0</v>
      </c>
      <c r="W183" s="1717">
        <f t="shared" si="31"/>
        <v>0</v>
      </c>
      <c r="X183" s="1718">
        <f t="shared" si="37"/>
        <v>0</v>
      </c>
      <c r="Y183" s="1717">
        <f t="shared" si="35"/>
        <v>0</v>
      </c>
      <c r="Z183" s="1719" t="s">
        <v>7799</v>
      </c>
      <c r="AA183" s="1720" t="s">
        <v>6527</v>
      </c>
      <c r="AB183" s="1704"/>
      <c r="AC183" s="1388" t="str">
        <f t="shared" si="27"/>
        <v>ok</v>
      </c>
    </row>
    <row r="184" spans="1:29" ht="21" x14ac:dyDescent="0.6">
      <c r="A184" s="1712">
        <v>176</v>
      </c>
      <c r="B184" s="1713" t="s">
        <v>8831</v>
      </c>
      <c r="C184" s="1714" t="s">
        <v>7798</v>
      </c>
      <c r="D184" s="1715">
        <v>0</v>
      </c>
      <c r="E184" s="1716">
        <v>0</v>
      </c>
      <c r="F184" s="1715">
        <v>0</v>
      </c>
      <c r="G184" s="1716">
        <v>0</v>
      </c>
      <c r="H184" s="1715">
        <v>0</v>
      </c>
      <c r="I184" s="1716">
        <v>0</v>
      </c>
      <c r="J184" s="1715">
        <v>0</v>
      </c>
      <c r="K184" s="1715">
        <v>3</v>
      </c>
      <c r="L184" s="1716">
        <v>540</v>
      </c>
      <c r="M184" s="1715">
        <v>0</v>
      </c>
      <c r="N184" s="1717">
        <v>180</v>
      </c>
      <c r="O184" s="1717">
        <f t="shared" si="36"/>
        <v>0</v>
      </c>
      <c r="P184" s="1718">
        <v>0</v>
      </c>
      <c r="Q184" s="1717">
        <f t="shared" si="25"/>
        <v>0</v>
      </c>
      <c r="R184" s="1718">
        <v>0</v>
      </c>
      <c r="S184" s="1717">
        <f t="shared" si="30"/>
        <v>0</v>
      </c>
      <c r="T184" s="1718">
        <v>0</v>
      </c>
      <c r="U184" s="1717">
        <f t="shared" si="34"/>
        <v>0</v>
      </c>
      <c r="V184" s="1718">
        <v>0</v>
      </c>
      <c r="W184" s="1717">
        <f t="shared" si="31"/>
        <v>0</v>
      </c>
      <c r="X184" s="1718">
        <f t="shared" si="37"/>
        <v>0</v>
      </c>
      <c r="Y184" s="1717">
        <f t="shared" si="35"/>
        <v>0</v>
      </c>
      <c r="Z184" s="1719" t="s">
        <v>7799</v>
      </c>
      <c r="AA184" s="1720" t="s">
        <v>6527</v>
      </c>
      <c r="AB184" s="1704"/>
      <c r="AC184" s="1388" t="str">
        <f t="shared" si="27"/>
        <v>ok</v>
      </c>
    </row>
    <row r="185" spans="1:29" ht="21" x14ac:dyDescent="0.6">
      <c r="A185" s="1712">
        <v>177</v>
      </c>
      <c r="B185" s="1713" t="s">
        <v>8832</v>
      </c>
      <c r="C185" s="1714" t="s">
        <v>7798</v>
      </c>
      <c r="D185" s="1715">
        <v>0</v>
      </c>
      <c r="E185" s="1716">
        <v>0</v>
      </c>
      <c r="F185" s="1715">
        <v>0</v>
      </c>
      <c r="G185" s="1716">
        <v>0</v>
      </c>
      <c r="H185" s="1715">
        <v>0</v>
      </c>
      <c r="I185" s="1716">
        <v>0</v>
      </c>
      <c r="J185" s="1715">
        <v>0</v>
      </c>
      <c r="K185" s="1715">
        <v>1</v>
      </c>
      <c r="L185" s="1716">
        <v>150</v>
      </c>
      <c r="M185" s="1715">
        <v>0</v>
      </c>
      <c r="N185" s="1717">
        <v>150</v>
      </c>
      <c r="O185" s="1717">
        <f t="shared" si="36"/>
        <v>0</v>
      </c>
      <c r="P185" s="1718">
        <v>0</v>
      </c>
      <c r="Q185" s="1717">
        <f t="shared" si="25"/>
        <v>0</v>
      </c>
      <c r="R185" s="1718">
        <v>0</v>
      </c>
      <c r="S185" s="1717">
        <f t="shared" si="30"/>
        <v>0</v>
      </c>
      <c r="T185" s="1718">
        <v>0</v>
      </c>
      <c r="U185" s="1717">
        <f t="shared" si="34"/>
        <v>0</v>
      </c>
      <c r="V185" s="1718">
        <v>0</v>
      </c>
      <c r="W185" s="1717">
        <f t="shared" si="31"/>
        <v>0</v>
      </c>
      <c r="X185" s="1718">
        <f t="shared" si="37"/>
        <v>0</v>
      </c>
      <c r="Y185" s="1717">
        <f t="shared" si="35"/>
        <v>0</v>
      </c>
      <c r="Z185" s="1719" t="s">
        <v>7799</v>
      </c>
      <c r="AA185" s="1720" t="s">
        <v>6527</v>
      </c>
      <c r="AB185" s="1704"/>
      <c r="AC185" s="1388" t="str">
        <f t="shared" si="27"/>
        <v>ok</v>
      </c>
    </row>
    <row r="186" spans="1:29" ht="21" x14ac:dyDescent="0.6">
      <c r="A186" s="1712">
        <v>178</v>
      </c>
      <c r="B186" s="1713" t="s">
        <v>8833</v>
      </c>
      <c r="C186" s="1714" t="s">
        <v>8678</v>
      </c>
      <c r="D186" s="1715">
        <v>0</v>
      </c>
      <c r="E186" s="1716">
        <v>0</v>
      </c>
      <c r="F186" s="1715">
        <v>0</v>
      </c>
      <c r="G186" s="1716">
        <v>0</v>
      </c>
      <c r="H186" s="1715">
        <v>0</v>
      </c>
      <c r="I186" s="1716">
        <v>0</v>
      </c>
      <c r="J186" s="1715">
        <v>0</v>
      </c>
      <c r="K186" s="1715">
        <v>0</v>
      </c>
      <c r="L186" s="1716">
        <v>0</v>
      </c>
      <c r="M186" s="1715">
        <f>J186-K186</f>
        <v>0</v>
      </c>
      <c r="N186" s="1717">
        <v>1950</v>
      </c>
      <c r="O186" s="1717">
        <f t="shared" si="36"/>
        <v>0</v>
      </c>
      <c r="P186" s="1718">
        <v>0</v>
      </c>
      <c r="Q186" s="1717">
        <f t="shared" si="25"/>
        <v>0</v>
      </c>
      <c r="R186" s="1718">
        <v>0</v>
      </c>
      <c r="S186" s="1717">
        <f t="shared" si="30"/>
        <v>0</v>
      </c>
      <c r="T186" s="1718">
        <v>0</v>
      </c>
      <c r="U186" s="1717">
        <f t="shared" si="34"/>
        <v>0</v>
      </c>
      <c r="V186" s="1718">
        <v>0</v>
      </c>
      <c r="W186" s="1717">
        <f t="shared" si="31"/>
        <v>0</v>
      </c>
      <c r="X186" s="1718">
        <f t="shared" si="37"/>
        <v>0</v>
      </c>
      <c r="Y186" s="1717">
        <f t="shared" si="35"/>
        <v>0</v>
      </c>
      <c r="Z186" s="1719" t="s">
        <v>7799</v>
      </c>
      <c r="AA186" s="1720" t="s">
        <v>6527</v>
      </c>
      <c r="AB186" s="1704"/>
      <c r="AC186" s="1388" t="str">
        <f t="shared" si="27"/>
        <v>ok</v>
      </c>
    </row>
    <row r="187" spans="1:29" ht="21" x14ac:dyDescent="0.6">
      <c r="A187" s="1712">
        <v>179</v>
      </c>
      <c r="B187" s="1713" t="s">
        <v>8834</v>
      </c>
      <c r="C187" s="1714" t="s">
        <v>8052</v>
      </c>
      <c r="D187" s="1715">
        <v>0</v>
      </c>
      <c r="E187" s="1716">
        <v>0</v>
      </c>
      <c r="F187" s="1715">
        <v>0</v>
      </c>
      <c r="G187" s="1716">
        <v>0</v>
      </c>
      <c r="H187" s="1715">
        <v>0</v>
      </c>
      <c r="I187" s="1716">
        <v>0</v>
      </c>
      <c r="J187" s="1715">
        <v>0</v>
      </c>
      <c r="K187" s="1715">
        <v>0</v>
      </c>
      <c r="L187" s="1716">
        <v>0</v>
      </c>
      <c r="M187" s="1715">
        <f>J187-K187</f>
        <v>0</v>
      </c>
      <c r="N187" s="1717">
        <v>2680</v>
      </c>
      <c r="O187" s="1717">
        <f t="shared" si="36"/>
        <v>0</v>
      </c>
      <c r="P187" s="1718">
        <v>0</v>
      </c>
      <c r="Q187" s="1717">
        <f t="shared" ref="Q187:Q202" si="38">N187*P187</f>
        <v>0</v>
      </c>
      <c r="R187" s="1718">
        <v>0</v>
      </c>
      <c r="S187" s="1717">
        <f t="shared" si="30"/>
        <v>0</v>
      </c>
      <c r="T187" s="1718">
        <v>0</v>
      </c>
      <c r="U187" s="1717">
        <f t="shared" si="34"/>
        <v>0</v>
      </c>
      <c r="V187" s="1718">
        <v>0</v>
      </c>
      <c r="W187" s="1717">
        <f t="shared" si="31"/>
        <v>0</v>
      </c>
      <c r="X187" s="1718">
        <f t="shared" si="37"/>
        <v>0</v>
      </c>
      <c r="Y187" s="1717">
        <f t="shared" si="35"/>
        <v>0</v>
      </c>
      <c r="Z187" s="1719" t="s">
        <v>7799</v>
      </c>
      <c r="AA187" s="1720" t="s">
        <v>6527</v>
      </c>
      <c r="AB187" s="1704"/>
      <c r="AC187" s="1388" t="str">
        <f t="shared" si="27"/>
        <v>ok</v>
      </c>
    </row>
    <row r="188" spans="1:29" ht="21" x14ac:dyDescent="0.6">
      <c r="A188" s="1712">
        <v>180</v>
      </c>
      <c r="B188" s="1713" t="s">
        <v>8835</v>
      </c>
      <c r="C188" s="1714" t="s">
        <v>8052</v>
      </c>
      <c r="D188" s="1715">
        <v>0</v>
      </c>
      <c r="E188" s="1716">
        <v>0</v>
      </c>
      <c r="F188" s="1715">
        <v>1</v>
      </c>
      <c r="G188" s="1716">
        <v>1500</v>
      </c>
      <c r="H188" s="1715">
        <v>0</v>
      </c>
      <c r="I188" s="1716">
        <v>0</v>
      </c>
      <c r="J188" s="1715">
        <v>0</v>
      </c>
      <c r="K188" s="1715">
        <v>0</v>
      </c>
      <c r="L188" s="1716">
        <v>0</v>
      </c>
      <c r="M188" s="1715">
        <f>J188-K188</f>
        <v>0</v>
      </c>
      <c r="N188" s="1717">
        <v>1500</v>
      </c>
      <c r="O188" s="1717">
        <f t="shared" si="36"/>
        <v>0</v>
      </c>
      <c r="P188" s="1718">
        <v>0</v>
      </c>
      <c r="Q188" s="1717">
        <f t="shared" si="38"/>
        <v>0</v>
      </c>
      <c r="R188" s="1718">
        <v>0</v>
      </c>
      <c r="S188" s="1717">
        <f t="shared" si="30"/>
        <v>0</v>
      </c>
      <c r="T188" s="1718">
        <v>0</v>
      </c>
      <c r="U188" s="1717">
        <f t="shared" si="34"/>
        <v>0</v>
      </c>
      <c r="V188" s="1718">
        <v>0</v>
      </c>
      <c r="W188" s="1717">
        <f t="shared" si="31"/>
        <v>0</v>
      </c>
      <c r="X188" s="1718">
        <f t="shared" si="37"/>
        <v>0</v>
      </c>
      <c r="Y188" s="1717">
        <f t="shared" si="35"/>
        <v>0</v>
      </c>
      <c r="Z188" s="1719" t="s">
        <v>7799</v>
      </c>
      <c r="AA188" s="1720" t="s">
        <v>6527</v>
      </c>
      <c r="AB188" s="1704"/>
      <c r="AC188" s="1388" t="str">
        <f t="shared" si="27"/>
        <v>ok</v>
      </c>
    </row>
    <row r="189" spans="1:29" ht="21" x14ac:dyDescent="0.6">
      <c r="A189" s="1712">
        <v>181</v>
      </c>
      <c r="B189" s="1713" t="s">
        <v>8836</v>
      </c>
      <c r="C189" s="1714" t="s">
        <v>7895</v>
      </c>
      <c r="D189" s="1715">
        <v>0</v>
      </c>
      <c r="E189" s="1716">
        <v>0</v>
      </c>
      <c r="F189" s="1715">
        <v>0</v>
      </c>
      <c r="G189" s="1716">
        <v>0</v>
      </c>
      <c r="H189" s="1715">
        <v>0</v>
      </c>
      <c r="I189" s="1716">
        <v>0</v>
      </c>
      <c r="J189" s="1715">
        <v>0</v>
      </c>
      <c r="K189" s="1715">
        <v>0</v>
      </c>
      <c r="L189" s="1716">
        <v>0</v>
      </c>
      <c r="M189" s="1715">
        <f>J189-K189</f>
        <v>0</v>
      </c>
      <c r="N189" s="1717">
        <v>2200</v>
      </c>
      <c r="O189" s="1717">
        <f t="shared" si="36"/>
        <v>0</v>
      </c>
      <c r="P189" s="1718">
        <v>0</v>
      </c>
      <c r="Q189" s="1717">
        <f t="shared" si="38"/>
        <v>0</v>
      </c>
      <c r="R189" s="1718">
        <v>0</v>
      </c>
      <c r="S189" s="1717">
        <f t="shared" si="30"/>
        <v>0</v>
      </c>
      <c r="T189" s="1718">
        <v>0</v>
      </c>
      <c r="U189" s="1717">
        <f t="shared" si="34"/>
        <v>0</v>
      </c>
      <c r="V189" s="1718">
        <v>0</v>
      </c>
      <c r="W189" s="1717">
        <f t="shared" si="31"/>
        <v>0</v>
      </c>
      <c r="X189" s="1718">
        <f t="shared" si="37"/>
        <v>0</v>
      </c>
      <c r="Y189" s="1717">
        <f t="shared" si="35"/>
        <v>0</v>
      </c>
      <c r="Z189" s="1719" t="s">
        <v>7799</v>
      </c>
      <c r="AA189" s="1720" t="s">
        <v>6527</v>
      </c>
      <c r="AB189" s="1704"/>
      <c r="AC189" s="1388" t="str">
        <f t="shared" si="27"/>
        <v>ok</v>
      </c>
    </row>
    <row r="190" spans="1:29" ht="21" x14ac:dyDescent="0.6">
      <c r="A190" s="1712">
        <v>182</v>
      </c>
      <c r="B190" s="1713" t="s">
        <v>8837</v>
      </c>
      <c r="C190" s="1714" t="s">
        <v>8760</v>
      </c>
      <c r="D190" s="1715">
        <v>0</v>
      </c>
      <c r="E190" s="1716">
        <v>0</v>
      </c>
      <c r="F190" s="1715">
        <v>0</v>
      </c>
      <c r="G190" s="1716">
        <v>0</v>
      </c>
      <c r="H190" s="1715">
        <v>0</v>
      </c>
      <c r="I190" s="1716">
        <v>0</v>
      </c>
      <c r="J190" s="1715">
        <v>0</v>
      </c>
      <c r="K190" s="1715">
        <v>0</v>
      </c>
      <c r="L190" s="1716">
        <v>0</v>
      </c>
      <c r="M190" s="1715">
        <f>J190-K190</f>
        <v>0</v>
      </c>
      <c r="N190" s="1717">
        <v>675</v>
      </c>
      <c r="O190" s="1717">
        <f t="shared" si="36"/>
        <v>0</v>
      </c>
      <c r="P190" s="1718">
        <v>0</v>
      </c>
      <c r="Q190" s="1717">
        <f t="shared" si="38"/>
        <v>0</v>
      </c>
      <c r="R190" s="1718">
        <v>0</v>
      </c>
      <c r="S190" s="1717">
        <f t="shared" si="30"/>
        <v>0</v>
      </c>
      <c r="T190" s="1718">
        <v>0</v>
      </c>
      <c r="U190" s="1717">
        <f t="shared" si="34"/>
        <v>0</v>
      </c>
      <c r="V190" s="1718">
        <v>0</v>
      </c>
      <c r="W190" s="1717">
        <f t="shared" si="31"/>
        <v>0</v>
      </c>
      <c r="X190" s="1718">
        <f t="shared" si="37"/>
        <v>0</v>
      </c>
      <c r="Y190" s="1717">
        <f t="shared" si="35"/>
        <v>0</v>
      </c>
      <c r="Z190" s="1719" t="s">
        <v>7799</v>
      </c>
      <c r="AA190" s="1720" t="s">
        <v>6527</v>
      </c>
      <c r="AB190" s="1704"/>
      <c r="AC190" s="1388" t="str">
        <f t="shared" si="27"/>
        <v>ok</v>
      </c>
    </row>
    <row r="191" spans="1:29" ht="21" x14ac:dyDescent="0.6">
      <c r="A191" s="1712">
        <v>183</v>
      </c>
      <c r="B191" s="1713" t="s">
        <v>8838</v>
      </c>
      <c r="C191" s="1714" t="s">
        <v>7816</v>
      </c>
      <c r="D191" s="1715">
        <v>1</v>
      </c>
      <c r="E191" s="1716">
        <v>2800</v>
      </c>
      <c r="F191" s="1715">
        <v>1</v>
      </c>
      <c r="G191" s="1716">
        <v>2800</v>
      </c>
      <c r="H191" s="1715">
        <v>0</v>
      </c>
      <c r="I191" s="1716">
        <v>0</v>
      </c>
      <c r="J191" s="1715">
        <v>0</v>
      </c>
      <c r="K191" s="1715">
        <v>2</v>
      </c>
      <c r="L191" s="1716">
        <v>5200</v>
      </c>
      <c r="M191" s="1715">
        <v>0</v>
      </c>
      <c r="N191" s="1717">
        <v>2600</v>
      </c>
      <c r="O191" s="1717">
        <f t="shared" si="36"/>
        <v>0</v>
      </c>
      <c r="P191" s="1718">
        <v>0</v>
      </c>
      <c r="Q191" s="1717">
        <f t="shared" si="38"/>
        <v>0</v>
      </c>
      <c r="R191" s="1718">
        <v>0</v>
      </c>
      <c r="S191" s="1717">
        <f t="shared" si="30"/>
        <v>0</v>
      </c>
      <c r="T191" s="1718">
        <v>0</v>
      </c>
      <c r="U191" s="1717">
        <f t="shared" si="34"/>
        <v>0</v>
      </c>
      <c r="V191" s="1718">
        <v>0</v>
      </c>
      <c r="W191" s="1717">
        <f t="shared" si="31"/>
        <v>0</v>
      </c>
      <c r="X191" s="1718">
        <f t="shared" si="37"/>
        <v>0</v>
      </c>
      <c r="Y191" s="1717">
        <f t="shared" si="35"/>
        <v>0</v>
      </c>
      <c r="Z191" s="1719" t="s">
        <v>7799</v>
      </c>
      <c r="AA191" s="1720" t="s">
        <v>6527</v>
      </c>
      <c r="AB191" s="1704"/>
      <c r="AC191" s="1388" t="str">
        <f t="shared" si="27"/>
        <v>ok</v>
      </c>
    </row>
    <row r="192" spans="1:29" ht="21" x14ac:dyDescent="0.6">
      <c r="A192" s="1712">
        <v>184</v>
      </c>
      <c r="B192" s="1713" t="s">
        <v>8839</v>
      </c>
      <c r="C192" s="1714" t="s">
        <v>7816</v>
      </c>
      <c r="D192" s="1715">
        <v>0</v>
      </c>
      <c r="E192" s="1716">
        <v>0</v>
      </c>
      <c r="F192" s="1715">
        <v>1</v>
      </c>
      <c r="G192" s="1716">
        <v>2310</v>
      </c>
      <c r="H192" s="1715">
        <v>0</v>
      </c>
      <c r="I192" s="1716">
        <v>0</v>
      </c>
      <c r="J192" s="1715">
        <v>0</v>
      </c>
      <c r="K192" s="1715">
        <v>0</v>
      </c>
      <c r="L192" s="1716">
        <v>0</v>
      </c>
      <c r="M192" s="1715">
        <f t="shared" ref="M192:M201" si="39">J192-K192</f>
        <v>0</v>
      </c>
      <c r="N192" s="1717">
        <v>2310</v>
      </c>
      <c r="O192" s="1717">
        <f t="shared" si="36"/>
        <v>0</v>
      </c>
      <c r="P192" s="1718">
        <v>0</v>
      </c>
      <c r="Q192" s="1717">
        <f t="shared" si="38"/>
        <v>0</v>
      </c>
      <c r="R192" s="1718">
        <v>0</v>
      </c>
      <c r="S192" s="1717">
        <f t="shared" si="30"/>
        <v>0</v>
      </c>
      <c r="T192" s="1718">
        <v>0</v>
      </c>
      <c r="U192" s="1717">
        <f t="shared" si="34"/>
        <v>0</v>
      </c>
      <c r="V192" s="1718">
        <v>0</v>
      </c>
      <c r="W192" s="1717">
        <f t="shared" si="31"/>
        <v>0</v>
      </c>
      <c r="X192" s="1718">
        <f t="shared" si="37"/>
        <v>0</v>
      </c>
      <c r="Y192" s="1717">
        <f t="shared" si="35"/>
        <v>0</v>
      </c>
      <c r="Z192" s="1719" t="s">
        <v>7799</v>
      </c>
      <c r="AA192" s="1720" t="s">
        <v>6527</v>
      </c>
      <c r="AB192" s="1704"/>
      <c r="AC192" s="1388" t="str">
        <f t="shared" si="27"/>
        <v>ok</v>
      </c>
    </row>
    <row r="193" spans="1:29" ht="21" x14ac:dyDescent="0.6">
      <c r="A193" s="1712">
        <v>185</v>
      </c>
      <c r="B193" s="1713" t="s">
        <v>8840</v>
      </c>
      <c r="C193" s="1714" t="s">
        <v>7816</v>
      </c>
      <c r="D193" s="1715">
        <v>0</v>
      </c>
      <c r="E193" s="1716">
        <v>0</v>
      </c>
      <c r="F193" s="1715">
        <v>1</v>
      </c>
      <c r="G193" s="1716">
        <v>4200</v>
      </c>
      <c r="H193" s="1715">
        <v>0</v>
      </c>
      <c r="I193" s="1716">
        <v>0</v>
      </c>
      <c r="J193" s="1715">
        <v>0</v>
      </c>
      <c r="K193" s="1715">
        <v>0</v>
      </c>
      <c r="L193" s="1716">
        <v>0</v>
      </c>
      <c r="M193" s="1715">
        <f t="shared" si="39"/>
        <v>0</v>
      </c>
      <c r="N193" s="1717">
        <v>4200</v>
      </c>
      <c r="O193" s="1717">
        <f t="shared" si="36"/>
        <v>0</v>
      </c>
      <c r="P193" s="1718">
        <v>0</v>
      </c>
      <c r="Q193" s="1717">
        <f t="shared" si="38"/>
        <v>0</v>
      </c>
      <c r="R193" s="1718">
        <v>0</v>
      </c>
      <c r="S193" s="1717">
        <f t="shared" si="30"/>
        <v>0</v>
      </c>
      <c r="T193" s="1718">
        <v>0</v>
      </c>
      <c r="U193" s="1717">
        <f t="shared" si="34"/>
        <v>0</v>
      </c>
      <c r="V193" s="1718">
        <v>0</v>
      </c>
      <c r="W193" s="1717">
        <f t="shared" si="31"/>
        <v>0</v>
      </c>
      <c r="X193" s="1718">
        <f t="shared" si="37"/>
        <v>0</v>
      </c>
      <c r="Y193" s="1717">
        <f t="shared" si="35"/>
        <v>0</v>
      </c>
      <c r="Z193" s="1719" t="s">
        <v>7799</v>
      </c>
      <c r="AA193" s="1720" t="s">
        <v>6527</v>
      </c>
      <c r="AB193" s="1704"/>
      <c r="AC193" s="1388" t="str">
        <f t="shared" si="27"/>
        <v>ok</v>
      </c>
    </row>
    <row r="194" spans="1:29" ht="21" x14ac:dyDescent="0.6">
      <c r="A194" s="1712">
        <v>186</v>
      </c>
      <c r="B194" s="1713" t="s">
        <v>8841</v>
      </c>
      <c r="C194" s="1714" t="s">
        <v>7816</v>
      </c>
      <c r="D194" s="1715">
        <v>0</v>
      </c>
      <c r="E194" s="1716">
        <v>0</v>
      </c>
      <c r="F194" s="1715">
        <v>1</v>
      </c>
      <c r="G194" s="1716">
        <v>2800</v>
      </c>
      <c r="H194" s="1715">
        <v>0</v>
      </c>
      <c r="I194" s="1716">
        <v>0</v>
      </c>
      <c r="J194" s="1715">
        <v>0</v>
      </c>
      <c r="K194" s="1715">
        <v>0</v>
      </c>
      <c r="L194" s="1716">
        <v>0</v>
      </c>
      <c r="M194" s="1715">
        <f t="shared" si="39"/>
        <v>0</v>
      </c>
      <c r="N194" s="1717">
        <v>2800</v>
      </c>
      <c r="O194" s="1717">
        <f t="shared" si="36"/>
        <v>0</v>
      </c>
      <c r="P194" s="1718">
        <v>0</v>
      </c>
      <c r="Q194" s="1717">
        <f t="shared" si="38"/>
        <v>0</v>
      </c>
      <c r="R194" s="1718">
        <v>0</v>
      </c>
      <c r="S194" s="1717">
        <f t="shared" si="30"/>
        <v>0</v>
      </c>
      <c r="T194" s="1718">
        <v>0</v>
      </c>
      <c r="U194" s="1717">
        <f t="shared" si="34"/>
        <v>0</v>
      </c>
      <c r="V194" s="1718">
        <v>0</v>
      </c>
      <c r="W194" s="1717">
        <f t="shared" si="31"/>
        <v>0</v>
      </c>
      <c r="X194" s="1718">
        <f t="shared" si="37"/>
        <v>0</v>
      </c>
      <c r="Y194" s="1717">
        <f t="shared" si="35"/>
        <v>0</v>
      </c>
      <c r="Z194" s="1719" t="s">
        <v>7799</v>
      </c>
      <c r="AA194" s="1720" t="s">
        <v>6527</v>
      </c>
      <c r="AB194" s="1704"/>
      <c r="AC194" s="1388" t="str">
        <f t="shared" si="27"/>
        <v>ok</v>
      </c>
    </row>
    <row r="195" spans="1:29" ht="21" x14ac:dyDescent="0.6">
      <c r="A195" s="1712">
        <v>187</v>
      </c>
      <c r="B195" s="1659" t="s">
        <v>8842</v>
      </c>
      <c r="C195" s="1714" t="s">
        <v>8097</v>
      </c>
      <c r="D195" s="1715">
        <v>20</v>
      </c>
      <c r="E195" s="1716">
        <v>1340</v>
      </c>
      <c r="F195" s="1715">
        <v>15</v>
      </c>
      <c r="G195" s="1716">
        <v>1005</v>
      </c>
      <c r="H195" s="1715">
        <v>14</v>
      </c>
      <c r="I195" s="1716">
        <v>896</v>
      </c>
      <c r="J195" s="1715">
        <v>28</v>
      </c>
      <c r="K195" s="1715">
        <v>2</v>
      </c>
      <c r="L195" s="1716">
        <v>128</v>
      </c>
      <c r="M195" s="1715">
        <f t="shared" si="39"/>
        <v>26</v>
      </c>
      <c r="N195" s="1717">
        <v>105</v>
      </c>
      <c r="O195" s="1717">
        <f t="shared" si="36"/>
        <v>2730</v>
      </c>
      <c r="P195" s="1718">
        <v>5</v>
      </c>
      <c r="Q195" s="1717">
        <f t="shared" si="38"/>
        <v>525</v>
      </c>
      <c r="R195" s="1718">
        <v>7</v>
      </c>
      <c r="S195" s="1717">
        <f t="shared" si="30"/>
        <v>735</v>
      </c>
      <c r="T195" s="1718">
        <v>7</v>
      </c>
      <c r="U195" s="1717">
        <f t="shared" si="34"/>
        <v>735</v>
      </c>
      <c r="V195" s="1718">
        <v>7</v>
      </c>
      <c r="W195" s="1717">
        <f t="shared" si="31"/>
        <v>735</v>
      </c>
      <c r="X195" s="1718">
        <f t="shared" si="37"/>
        <v>26</v>
      </c>
      <c r="Y195" s="1717">
        <f t="shared" si="35"/>
        <v>2730</v>
      </c>
      <c r="Z195" s="1719" t="s">
        <v>7799</v>
      </c>
      <c r="AA195" s="1720" t="s">
        <v>6527</v>
      </c>
      <c r="AB195" s="1704"/>
      <c r="AC195" s="1388" t="str">
        <f t="shared" si="27"/>
        <v>ok</v>
      </c>
    </row>
    <row r="196" spans="1:29" ht="21" x14ac:dyDescent="0.6">
      <c r="A196" s="1705">
        <v>188</v>
      </c>
      <c r="B196" s="1722" t="s">
        <v>8843</v>
      </c>
      <c r="C196" s="1707" t="s">
        <v>8052</v>
      </c>
      <c r="D196" s="1708">
        <v>6</v>
      </c>
      <c r="E196" s="1709">
        <v>3000</v>
      </c>
      <c r="F196" s="1708">
        <v>0</v>
      </c>
      <c r="G196" s="1709">
        <v>0</v>
      </c>
      <c r="H196" s="1708">
        <v>0</v>
      </c>
      <c r="I196" s="1709">
        <v>0</v>
      </c>
      <c r="J196" s="1708">
        <v>20</v>
      </c>
      <c r="K196" s="1708">
        <v>17</v>
      </c>
      <c r="L196" s="1709">
        <v>8500</v>
      </c>
      <c r="M196" s="1708">
        <f t="shared" si="39"/>
        <v>3</v>
      </c>
      <c r="N196" s="1710">
        <v>450</v>
      </c>
      <c r="O196" s="1710">
        <f t="shared" si="36"/>
        <v>1350</v>
      </c>
      <c r="P196" s="1711">
        <v>3</v>
      </c>
      <c r="Q196" s="1710">
        <f t="shared" si="38"/>
        <v>1350</v>
      </c>
      <c r="R196" s="1711">
        <v>0</v>
      </c>
      <c r="S196" s="1710">
        <f t="shared" si="30"/>
        <v>0</v>
      </c>
      <c r="T196" s="1711">
        <v>0</v>
      </c>
      <c r="U196" s="1710">
        <f t="shared" si="34"/>
        <v>0</v>
      </c>
      <c r="V196" s="1711">
        <v>0</v>
      </c>
      <c r="W196" s="1710">
        <f t="shared" si="31"/>
        <v>0</v>
      </c>
      <c r="X196" s="1711">
        <f t="shared" si="37"/>
        <v>3</v>
      </c>
      <c r="Y196" s="1710">
        <f t="shared" si="35"/>
        <v>1350</v>
      </c>
      <c r="Z196" s="1719" t="s">
        <v>7799</v>
      </c>
      <c r="AA196" s="1720" t="s">
        <v>6527</v>
      </c>
      <c r="AB196" s="1704"/>
      <c r="AC196" s="1388" t="str">
        <f t="shared" si="27"/>
        <v>ok</v>
      </c>
    </row>
    <row r="197" spans="1:29" ht="21" x14ac:dyDescent="0.6">
      <c r="A197" s="1712">
        <v>189</v>
      </c>
      <c r="B197" s="1659" t="s">
        <v>8844</v>
      </c>
      <c r="C197" s="1714" t="s">
        <v>8208</v>
      </c>
      <c r="D197" s="1715">
        <v>0</v>
      </c>
      <c r="E197" s="1716">
        <v>0</v>
      </c>
      <c r="F197" s="1715">
        <v>0</v>
      </c>
      <c r="G197" s="1716">
        <v>0</v>
      </c>
      <c r="H197" s="1715">
        <v>0</v>
      </c>
      <c r="I197" s="1716">
        <v>0</v>
      </c>
      <c r="J197" s="1715">
        <v>0</v>
      </c>
      <c r="K197" s="1715">
        <v>0</v>
      </c>
      <c r="L197" s="1716">
        <v>0</v>
      </c>
      <c r="M197" s="1715">
        <f t="shared" si="39"/>
        <v>0</v>
      </c>
      <c r="N197" s="1717">
        <v>100</v>
      </c>
      <c r="O197" s="1717">
        <f t="shared" si="36"/>
        <v>0</v>
      </c>
      <c r="P197" s="1718">
        <v>0</v>
      </c>
      <c r="Q197" s="1717">
        <f t="shared" si="38"/>
        <v>0</v>
      </c>
      <c r="R197" s="1718">
        <v>0</v>
      </c>
      <c r="S197" s="1717">
        <f t="shared" si="30"/>
        <v>0</v>
      </c>
      <c r="T197" s="1718">
        <v>0</v>
      </c>
      <c r="U197" s="1717">
        <f t="shared" si="34"/>
        <v>0</v>
      </c>
      <c r="V197" s="1718">
        <v>0</v>
      </c>
      <c r="W197" s="1717">
        <f t="shared" si="31"/>
        <v>0</v>
      </c>
      <c r="X197" s="1718">
        <f t="shared" si="37"/>
        <v>0</v>
      </c>
      <c r="Y197" s="1717">
        <f t="shared" si="35"/>
        <v>0</v>
      </c>
      <c r="Z197" s="1719" t="s">
        <v>7799</v>
      </c>
      <c r="AA197" s="1720" t="s">
        <v>6527</v>
      </c>
      <c r="AB197" s="1704"/>
      <c r="AC197" s="1388" t="str">
        <f t="shared" si="27"/>
        <v>ok</v>
      </c>
    </row>
    <row r="198" spans="1:29" ht="21" x14ac:dyDescent="0.6">
      <c r="A198" s="1712">
        <v>190</v>
      </c>
      <c r="B198" s="1659" t="s">
        <v>8845</v>
      </c>
      <c r="C198" s="1714" t="s">
        <v>7816</v>
      </c>
      <c r="D198" s="1715">
        <v>0.5</v>
      </c>
      <c r="E198" s="1716">
        <v>135</v>
      </c>
      <c r="F198" s="1715">
        <v>0</v>
      </c>
      <c r="G198" s="1716">
        <v>0</v>
      </c>
      <c r="H198" s="1715">
        <v>2</v>
      </c>
      <c r="I198" s="1716">
        <v>540</v>
      </c>
      <c r="J198" s="1715">
        <v>4</v>
      </c>
      <c r="K198" s="1715">
        <v>2</v>
      </c>
      <c r="L198" s="1716">
        <v>540</v>
      </c>
      <c r="M198" s="1715">
        <f t="shared" si="39"/>
        <v>2</v>
      </c>
      <c r="N198" s="1717">
        <v>270</v>
      </c>
      <c r="O198" s="1717">
        <f t="shared" si="36"/>
        <v>540</v>
      </c>
      <c r="P198" s="1718">
        <v>0</v>
      </c>
      <c r="Q198" s="1717">
        <f t="shared" si="38"/>
        <v>0</v>
      </c>
      <c r="R198" s="1718">
        <v>0</v>
      </c>
      <c r="S198" s="1717">
        <v>0</v>
      </c>
      <c r="T198" s="1718">
        <v>2</v>
      </c>
      <c r="U198" s="1717">
        <f t="shared" si="34"/>
        <v>540</v>
      </c>
      <c r="V198" s="1718">
        <v>0</v>
      </c>
      <c r="W198" s="1717">
        <f t="shared" si="31"/>
        <v>0</v>
      </c>
      <c r="X198" s="1718">
        <f t="shared" si="37"/>
        <v>2</v>
      </c>
      <c r="Y198" s="1717">
        <f t="shared" si="35"/>
        <v>540</v>
      </c>
      <c r="Z198" s="1719" t="s">
        <v>7799</v>
      </c>
      <c r="AA198" s="1720" t="s">
        <v>6527</v>
      </c>
      <c r="AB198" s="1704"/>
      <c r="AC198" s="1388" t="str">
        <f t="shared" si="27"/>
        <v>ok</v>
      </c>
    </row>
    <row r="199" spans="1:29" ht="21" x14ac:dyDescent="0.6">
      <c r="A199" s="1712">
        <v>191</v>
      </c>
      <c r="B199" s="1659" t="s">
        <v>8846</v>
      </c>
      <c r="C199" s="1714" t="s">
        <v>7798</v>
      </c>
      <c r="D199" s="1715">
        <v>17</v>
      </c>
      <c r="E199" s="1716">
        <v>2550</v>
      </c>
      <c r="F199" s="1715">
        <v>3</v>
      </c>
      <c r="G199" s="1716">
        <v>450</v>
      </c>
      <c r="H199" s="1715">
        <v>12</v>
      </c>
      <c r="I199" s="1716">
        <v>1800</v>
      </c>
      <c r="J199" s="1715">
        <v>12</v>
      </c>
      <c r="K199" s="1715">
        <v>0</v>
      </c>
      <c r="L199" s="1716">
        <v>0</v>
      </c>
      <c r="M199" s="1715">
        <f t="shared" si="39"/>
        <v>12</v>
      </c>
      <c r="N199" s="1717">
        <v>150</v>
      </c>
      <c r="O199" s="1717">
        <f t="shared" si="36"/>
        <v>1800</v>
      </c>
      <c r="P199" s="1718">
        <v>6</v>
      </c>
      <c r="Q199" s="1717">
        <f t="shared" si="38"/>
        <v>900</v>
      </c>
      <c r="R199" s="1718">
        <v>0</v>
      </c>
      <c r="S199" s="1717">
        <f t="shared" ref="S199:S209" si="40">N199*R199</f>
        <v>0</v>
      </c>
      <c r="T199" s="1718">
        <v>0</v>
      </c>
      <c r="U199" s="1717">
        <f t="shared" si="34"/>
        <v>0</v>
      </c>
      <c r="V199" s="1718">
        <v>6</v>
      </c>
      <c r="W199" s="1717">
        <f t="shared" si="31"/>
        <v>900</v>
      </c>
      <c r="X199" s="1718">
        <f t="shared" si="37"/>
        <v>12</v>
      </c>
      <c r="Y199" s="1717">
        <f t="shared" si="35"/>
        <v>1800</v>
      </c>
      <c r="Z199" s="1719" t="s">
        <v>7799</v>
      </c>
      <c r="AA199" s="1720" t="s">
        <v>6527</v>
      </c>
      <c r="AB199" s="1704"/>
      <c r="AC199" s="1388" t="str">
        <f t="shared" si="27"/>
        <v>ok</v>
      </c>
    </row>
    <row r="200" spans="1:29" ht="21" x14ac:dyDescent="0.6">
      <c r="A200" s="1712">
        <v>192</v>
      </c>
      <c r="B200" s="1659" t="s">
        <v>8847</v>
      </c>
      <c r="C200" s="1714" t="s">
        <v>8052</v>
      </c>
      <c r="D200" s="1715">
        <v>0</v>
      </c>
      <c r="E200" s="1716">
        <v>0</v>
      </c>
      <c r="F200" s="1715">
        <v>1</v>
      </c>
      <c r="G200" s="1716">
        <v>650</v>
      </c>
      <c r="H200" s="1715">
        <v>1</v>
      </c>
      <c r="I200" s="1716">
        <v>650</v>
      </c>
      <c r="J200" s="1715">
        <v>5</v>
      </c>
      <c r="K200" s="1715">
        <v>1</v>
      </c>
      <c r="L200" s="1716">
        <v>650</v>
      </c>
      <c r="M200" s="1715">
        <f t="shared" si="39"/>
        <v>4</v>
      </c>
      <c r="N200" s="1717">
        <v>650</v>
      </c>
      <c r="O200" s="1717">
        <f t="shared" si="36"/>
        <v>2600</v>
      </c>
      <c r="P200" s="1718">
        <v>0</v>
      </c>
      <c r="Q200" s="1717">
        <f t="shared" si="38"/>
        <v>0</v>
      </c>
      <c r="R200" s="1718">
        <v>4</v>
      </c>
      <c r="S200" s="1717">
        <f t="shared" si="40"/>
        <v>2600</v>
      </c>
      <c r="T200" s="1718">
        <v>0</v>
      </c>
      <c r="U200" s="1717">
        <f t="shared" si="34"/>
        <v>0</v>
      </c>
      <c r="V200" s="1718">
        <v>0</v>
      </c>
      <c r="W200" s="1717">
        <f t="shared" si="31"/>
        <v>0</v>
      </c>
      <c r="X200" s="1718">
        <f t="shared" si="37"/>
        <v>4</v>
      </c>
      <c r="Y200" s="1717">
        <f t="shared" si="35"/>
        <v>2600</v>
      </c>
      <c r="Z200" s="1719" t="s">
        <v>7799</v>
      </c>
      <c r="AA200" s="1720" t="s">
        <v>6527</v>
      </c>
      <c r="AB200" s="1704"/>
      <c r="AC200" s="1388" t="str">
        <f t="shared" si="27"/>
        <v>ok</v>
      </c>
    </row>
    <row r="201" spans="1:29" ht="21" x14ac:dyDescent="0.6">
      <c r="A201" s="1712">
        <v>193</v>
      </c>
      <c r="B201" s="1659" t="s">
        <v>8848</v>
      </c>
      <c r="C201" s="1714" t="s">
        <v>7874</v>
      </c>
      <c r="D201" s="1715">
        <v>8</v>
      </c>
      <c r="E201" s="1716">
        <v>960</v>
      </c>
      <c r="F201" s="1715">
        <v>5</v>
      </c>
      <c r="G201" s="1716">
        <v>600</v>
      </c>
      <c r="H201" s="1715">
        <v>8</v>
      </c>
      <c r="I201" s="1716">
        <v>960</v>
      </c>
      <c r="J201" s="1715">
        <v>6</v>
      </c>
      <c r="K201" s="1715">
        <v>0</v>
      </c>
      <c r="L201" s="1716">
        <v>0</v>
      </c>
      <c r="M201" s="1715">
        <f t="shared" si="39"/>
        <v>6</v>
      </c>
      <c r="N201" s="1717">
        <v>120</v>
      </c>
      <c r="O201" s="1717">
        <f t="shared" si="36"/>
        <v>720</v>
      </c>
      <c r="P201" s="1718">
        <v>0</v>
      </c>
      <c r="Q201" s="1717">
        <f t="shared" si="38"/>
        <v>0</v>
      </c>
      <c r="R201" s="1718">
        <v>0</v>
      </c>
      <c r="S201" s="1717">
        <f t="shared" si="40"/>
        <v>0</v>
      </c>
      <c r="T201" s="1718">
        <v>0</v>
      </c>
      <c r="U201" s="1717">
        <f t="shared" si="34"/>
        <v>0</v>
      </c>
      <c r="V201" s="1718">
        <v>6</v>
      </c>
      <c r="W201" s="1717">
        <f t="shared" si="31"/>
        <v>720</v>
      </c>
      <c r="X201" s="1718">
        <f t="shared" si="37"/>
        <v>6</v>
      </c>
      <c r="Y201" s="1717">
        <f t="shared" si="35"/>
        <v>720</v>
      </c>
      <c r="Z201" s="1719" t="s">
        <v>7799</v>
      </c>
      <c r="AA201" s="1720" t="s">
        <v>6527</v>
      </c>
      <c r="AB201" s="1704"/>
      <c r="AC201" s="1388" t="str">
        <f t="shared" ref="AC201:AC229" si="41">IF(O201=Y201,"ok")</f>
        <v>ok</v>
      </c>
    </row>
    <row r="202" spans="1:29" ht="21" x14ac:dyDescent="0.6">
      <c r="A202" s="1712">
        <v>194</v>
      </c>
      <c r="B202" s="1713" t="s">
        <v>8849</v>
      </c>
      <c r="C202" s="1714" t="s">
        <v>7798</v>
      </c>
      <c r="D202" s="1715">
        <v>0</v>
      </c>
      <c r="E202" s="1716">
        <v>0</v>
      </c>
      <c r="F202" s="1715">
        <v>0</v>
      </c>
      <c r="G202" s="1716">
        <v>0</v>
      </c>
      <c r="H202" s="1715">
        <v>0</v>
      </c>
      <c r="I202" s="1716">
        <v>0</v>
      </c>
      <c r="J202" s="1715">
        <v>4</v>
      </c>
      <c r="K202" s="1715">
        <v>5</v>
      </c>
      <c r="L202" s="1716">
        <v>5500</v>
      </c>
      <c r="M202" s="1715">
        <v>0</v>
      </c>
      <c r="N202" s="1717">
        <v>1100</v>
      </c>
      <c r="O202" s="1717">
        <f t="shared" si="36"/>
        <v>0</v>
      </c>
      <c r="P202" s="1718">
        <v>0</v>
      </c>
      <c r="Q202" s="1717">
        <f t="shared" si="38"/>
        <v>0</v>
      </c>
      <c r="R202" s="1718">
        <v>0</v>
      </c>
      <c r="S202" s="1717">
        <f t="shared" si="40"/>
        <v>0</v>
      </c>
      <c r="T202" s="1718">
        <v>0</v>
      </c>
      <c r="U202" s="1717">
        <f t="shared" si="34"/>
        <v>0</v>
      </c>
      <c r="V202" s="1718">
        <v>0</v>
      </c>
      <c r="W202" s="1717">
        <f t="shared" si="31"/>
        <v>0</v>
      </c>
      <c r="X202" s="1718">
        <f t="shared" si="37"/>
        <v>0</v>
      </c>
      <c r="Y202" s="1717">
        <f t="shared" si="35"/>
        <v>0</v>
      </c>
      <c r="Z202" s="1719" t="s">
        <v>7799</v>
      </c>
      <c r="AA202" s="1720" t="s">
        <v>6527</v>
      </c>
      <c r="AB202" s="1704"/>
      <c r="AC202" s="1388" t="str">
        <f t="shared" si="41"/>
        <v>ok</v>
      </c>
    </row>
    <row r="203" spans="1:29" ht="21" x14ac:dyDescent="0.6">
      <c r="A203" s="1712">
        <v>195</v>
      </c>
      <c r="B203" s="1713" t="s">
        <v>8850</v>
      </c>
      <c r="C203" s="1714" t="s">
        <v>7798</v>
      </c>
      <c r="D203" s="1715">
        <v>0</v>
      </c>
      <c r="E203" s="1716">
        <v>0</v>
      </c>
      <c r="F203" s="1715">
        <v>0</v>
      </c>
      <c r="G203" s="1716">
        <v>0</v>
      </c>
      <c r="H203" s="1715">
        <v>0</v>
      </c>
      <c r="I203" s="1716">
        <v>0</v>
      </c>
      <c r="J203" s="1715">
        <v>0</v>
      </c>
      <c r="K203" s="1715">
        <v>2</v>
      </c>
      <c r="L203" s="1716">
        <v>700</v>
      </c>
      <c r="M203" s="1715">
        <v>0</v>
      </c>
      <c r="N203" s="1717">
        <v>350</v>
      </c>
      <c r="O203" s="1717">
        <f t="shared" si="36"/>
        <v>0</v>
      </c>
      <c r="P203" s="1718">
        <v>0</v>
      </c>
      <c r="Q203" s="1717">
        <v>0</v>
      </c>
      <c r="R203" s="1718">
        <v>0</v>
      </c>
      <c r="S203" s="1717">
        <f t="shared" si="40"/>
        <v>0</v>
      </c>
      <c r="T203" s="1718">
        <v>0</v>
      </c>
      <c r="U203" s="1717">
        <f t="shared" si="34"/>
        <v>0</v>
      </c>
      <c r="V203" s="1718">
        <v>0</v>
      </c>
      <c r="W203" s="1717">
        <f t="shared" si="31"/>
        <v>0</v>
      </c>
      <c r="X203" s="1718">
        <f t="shared" si="37"/>
        <v>0</v>
      </c>
      <c r="Y203" s="1717">
        <f t="shared" si="35"/>
        <v>0</v>
      </c>
      <c r="Z203" s="1719" t="s">
        <v>7799</v>
      </c>
      <c r="AA203" s="1720" t="s">
        <v>6527</v>
      </c>
      <c r="AB203" s="1704"/>
      <c r="AC203" s="1388" t="str">
        <f t="shared" si="41"/>
        <v>ok</v>
      </c>
    </row>
    <row r="204" spans="1:29" ht="21" x14ac:dyDescent="0.6">
      <c r="A204" s="1712">
        <v>196</v>
      </c>
      <c r="B204" s="1713" t="s">
        <v>8851</v>
      </c>
      <c r="C204" s="1714" t="s">
        <v>7869</v>
      </c>
      <c r="D204" s="1715">
        <v>1</v>
      </c>
      <c r="E204" s="1716">
        <v>250</v>
      </c>
      <c r="F204" s="1715">
        <v>0</v>
      </c>
      <c r="G204" s="1716">
        <v>0</v>
      </c>
      <c r="H204" s="1715">
        <v>0</v>
      </c>
      <c r="I204" s="1716">
        <v>0</v>
      </c>
      <c r="J204" s="1715">
        <v>2</v>
      </c>
      <c r="K204" s="1715">
        <v>1</v>
      </c>
      <c r="L204" s="1716">
        <v>250</v>
      </c>
      <c r="M204" s="1715">
        <f t="shared" ref="M204:M215" si="42">J204-K204</f>
        <v>1</v>
      </c>
      <c r="N204" s="1717">
        <v>250</v>
      </c>
      <c r="O204" s="1717">
        <f t="shared" si="36"/>
        <v>250</v>
      </c>
      <c r="P204" s="1718">
        <v>1</v>
      </c>
      <c r="Q204" s="1717">
        <f t="shared" ref="Q204:Q228" si="43">N204*P204</f>
        <v>250</v>
      </c>
      <c r="R204" s="1718">
        <v>0</v>
      </c>
      <c r="S204" s="1717">
        <f t="shared" si="40"/>
        <v>0</v>
      </c>
      <c r="T204" s="1718">
        <v>0</v>
      </c>
      <c r="U204" s="1717">
        <f t="shared" si="34"/>
        <v>0</v>
      </c>
      <c r="V204" s="1718">
        <v>0</v>
      </c>
      <c r="W204" s="1717">
        <f t="shared" si="31"/>
        <v>0</v>
      </c>
      <c r="X204" s="1718">
        <f t="shared" si="37"/>
        <v>1</v>
      </c>
      <c r="Y204" s="1717">
        <f t="shared" si="35"/>
        <v>250</v>
      </c>
      <c r="Z204" s="1719" t="s">
        <v>7799</v>
      </c>
      <c r="AA204" s="1720" t="s">
        <v>6527</v>
      </c>
      <c r="AB204" s="1704"/>
      <c r="AC204" s="1388" t="str">
        <f t="shared" si="41"/>
        <v>ok</v>
      </c>
    </row>
    <row r="205" spans="1:29" ht="21" x14ac:dyDescent="0.6">
      <c r="A205" s="1712">
        <v>197</v>
      </c>
      <c r="B205" s="1713" t="s">
        <v>8852</v>
      </c>
      <c r="C205" s="1714" t="s">
        <v>8853</v>
      </c>
      <c r="D205" s="1715">
        <v>17</v>
      </c>
      <c r="E205" s="1716">
        <v>12750</v>
      </c>
      <c r="F205" s="1715">
        <v>8</v>
      </c>
      <c r="G205" s="1716">
        <v>6000</v>
      </c>
      <c r="H205" s="1715">
        <v>5</v>
      </c>
      <c r="I205" s="1716">
        <v>3230</v>
      </c>
      <c r="J205" s="1715">
        <v>15</v>
      </c>
      <c r="K205" s="1715">
        <v>10</v>
      </c>
      <c r="L205" s="1716">
        <v>4900</v>
      </c>
      <c r="M205" s="1715">
        <f t="shared" si="42"/>
        <v>5</v>
      </c>
      <c r="N205" s="1717">
        <v>750</v>
      </c>
      <c r="O205" s="1717">
        <f t="shared" si="36"/>
        <v>3750</v>
      </c>
      <c r="P205" s="1718">
        <v>0</v>
      </c>
      <c r="Q205" s="1717">
        <f t="shared" si="43"/>
        <v>0</v>
      </c>
      <c r="R205" s="1718">
        <v>0</v>
      </c>
      <c r="S205" s="1717">
        <f t="shared" si="40"/>
        <v>0</v>
      </c>
      <c r="T205" s="1718">
        <v>2</v>
      </c>
      <c r="U205" s="1717">
        <f t="shared" si="34"/>
        <v>1500</v>
      </c>
      <c r="V205" s="1718">
        <v>3</v>
      </c>
      <c r="W205" s="1717">
        <f t="shared" si="31"/>
        <v>2250</v>
      </c>
      <c r="X205" s="1718">
        <f t="shared" si="37"/>
        <v>5</v>
      </c>
      <c r="Y205" s="1717">
        <f t="shared" si="35"/>
        <v>3750</v>
      </c>
      <c r="Z205" s="1719" t="s">
        <v>7799</v>
      </c>
      <c r="AA205" s="1720" t="s">
        <v>6527</v>
      </c>
      <c r="AB205" s="1704"/>
      <c r="AC205" s="1388" t="str">
        <f t="shared" si="41"/>
        <v>ok</v>
      </c>
    </row>
    <row r="206" spans="1:29" ht="21" x14ac:dyDescent="0.6">
      <c r="A206" s="1705">
        <v>198</v>
      </c>
      <c r="B206" s="1706" t="s">
        <v>8854</v>
      </c>
      <c r="C206" s="1707" t="s">
        <v>8261</v>
      </c>
      <c r="D206" s="1708">
        <v>12</v>
      </c>
      <c r="E206" s="1709">
        <v>49380</v>
      </c>
      <c r="F206" s="1708">
        <v>6</v>
      </c>
      <c r="G206" s="1709">
        <v>24690</v>
      </c>
      <c r="H206" s="1708">
        <v>3.5</v>
      </c>
      <c r="I206" s="1709">
        <v>17305</v>
      </c>
      <c r="J206" s="1708">
        <v>7.5</v>
      </c>
      <c r="K206" s="1708">
        <v>0.5</v>
      </c>
      <c r="L206" s="1709">
        <v>3025</v>
      </c>
      <c r="M206" s="1708">
        <f t="shared" si="42"/>
        <v>7</v>
      </c>
      <c r="N206" s="1710">
        <v>6050</v>
      </c>
      <c r="O206" s="1710">
        <f t="shared" si="36"/>
        <v>42350</v>
      </c>
      <c r="P206" s="1711">
        <v>1</v>
      </c>
      <c r="Q206" s="1710">
        <f t="shared" si="43"/>
        <v>6050</v>
      </c>
      <c r="R206" s="1711">
        <v>3</v>
      </c>
      <c r="S206" s="1710">
        <f t="shared" si="40"/>
        <v>18150</v>
      </c>
      <c r="T206" s="1711">
        <v>2</v>
      </c>
      <c r="U206" s="1710">
        <f t="shared" si="34"/>
        <v>12100</v>
      </c>
      <c r="V206" s="1711">
        <v>1</v>
      </c>
      <c r="W206" s="1710">
        <f t="shared" si="31"/>
        <v>6050</v>
      </c>
      <c r="X206" s="1711">
        <f t="shared" si="37"/>
        <v>7</v>
      </c>
      <c r="Y206" s="1710">
        <f t="shared" si="35"/>
        <v>42350</v>
      </c>
      <c r="Z206" s="1719" t="s">
        <v>7799</v>
      </c>
      <c r="AA206" s="1720" t="s">
        <v>6527</v>
      </c>
      <c r="AB206" s="1704"/>
      <c r="AC206" s="1388" t="str">
        <f t="shared" si="41"/>
        <v>ok</v>
      </c>
    </row>
    <row r="207" spans="1:29" ht="21" x14ac:dyDescent="0.6">
      <c r="A207" s="1712">
        <v>199</v>
      </c>
      <c r="B207" s="1713" t="s">
        <v>8855</v>
      </c>
      <c r="C207" s="1714" t="s">
        <v>8261</v>
      </c>
      <c r="D207" s="1715">
        <v>11</v>
      </c>
      <c r="E207" s="1716">
        <v>21780</v>
      </c>
      <c r="F207" s="1715">
        <v>4</v>
      </c>
      <c r="G207" s="1716">
        <v>7920</v>
      </c>
      <c r="H207" s="1715">
        <v>5</v>
      </c>
      <c r="I207" s="1716">
        <v>20135</v>
      </c>
      <c r="J207" s="1715">
        <v>8</v>
      </c>
      <c r="K207" s="1715">
        <v>1</v>
      </c>
      <c r="L207" s="1716">
        <v>0</v>
      </c>
      <c r="M207" s="1715">
        <f t="shared" si="42"/>
        <v>7</v>
      </c>
      <c r="N207" s="1717">
        <v>4115</v>
      </c>
      <c r="O207" s="1717">
        <f t="shared" si="36"/>
        <v>28805</v>
      </c>
      <c r="P207" s="1718">
        <v>1</v>
      </c>
      <c r="Q207" s="1717">
        <f t="shared" si="43"/>
        <v>4115</v>
      </c>
      <c r="R207" s="1718">
        <v>2</v>
      </c>
      <c r="S207" s="1717">
        <f t="shared" si="40"/>
        <v>8230</v>
      </c>
      <c r="T207" s="1718">
        <v>2</v>
      </c>
      <c r="U207" s="1717">
        <f t="shared" si="34"/>
        <v>8230</v>
      </c>
      <c r="V207" s="1718">
        <v>2</v>
      </c>
      <c r="W207" s="1717">
        <f t="shared" si="31"/>
        <v>8230</v>
      </c>
      <c r="X207" s="1718">
        <f t="shared" si="37"/>
        <v>7</v>
      </c>
      <c r="Y207" s="1717">
        <f t="shared" si="35"/>
        <v>28805</v>
      </c>
      <c r="Z207" s="1719" t="s">
        <v>7799</v>
      </c>
      <c r="AA207" s="1720" t="s">
        <v>6527</v>
      </c>
      <c r="AB207" s="1704"/>
      <c r="AC207" s="1388" t="str">
        <f t="shared" si="41"/>
        <v>ok</v>
      </c>
    </row>
    <row r="208" spans="1:29" ht="21" x14ac:dyDescent="0.6">
      <c r="A208" s="1712">
        <v>200</v>
      </c>
      <c r="B208" s="1713" t="s">
        <v>8856</v>
      </c>
      <c r="C208" s="1714" t="s">
        <v>7869</v>
      </c>
      <c r="D208" s="1715">
        <v>4</v>
      </c>
      <c r="E208" s="1716">
        <v>9800</v>
      </c>
      <c r="F208" s="1715">
        <v>0</v>
      </c>
      <c r="G208" s="1716">
        <v>0</v>
      </c>
      <c r="H208" s="1715">
        <v>0</v>
      </c>
      <c r="I208" s="1716">
        <v>0</v>
      </c>
      <c r="J208" s="1715">
        <v>6</v>
      </c>
      <c r="K208" s="1715">
        <v>4</v>
      </c>
      <c r="L208" s="1716">
        <v>9800</v>
      </c>
      <c r="M208" s="1715">
        <f t="shared" si="42"/>
        <v>2</v>
      </c>
      <c r="N208" s="1717">
        <v>6450</v>
      </c>
      <c r="O208" s="1717">
        <f t="shared" si="36"/>
        <v>12900</v>
      </c>
      <c r="P208" s="1718">
        <v>1</v>
      </c>
      <c r="Q208" s="1717">
        <f t="shared" si="43"/>
        <v>6450</v>
      </c>
      <c r="R208" s="1718">
        <v>0</v>
      </c>
      <c r="S208" s="1717">
        <f t="shared" si="40"/>
        <v>0</v>
      </c>
      <c r="T208" s="1718">
        <v>1</v>
      </c>
      <c r="U208" s="1717">
        <f t="shared" si="34"/>
        <v>6450</v>
      </c>
      <c r="V208" s="1718">
        <v>0</v>
      </c>
      <c r="W208" s="1717">
        <f t="shared" si="31"/>
        <v>0</v>
      </c>
      <c r="X208" s="1718">
        <f t="shared" si="37"/>
        <v>2</v>
      </c>
      <c r="Y208" s="1717">
        <f t="shared" si="35"/>
        <v>12900</v>
      </c>
      <c r="Z208" s="1719" t="s">
        <v>7799</v>
      </c>
      <c r="AA208" s="1720" t="s">
        <v>6527</v>
      </c>
      <c r="AB208" s="1704"/>
      <c r="AC208" s="1388" t="str">
        <f t="shared" si="41"/>
        <v>ok</v>
      </c>
    </row>
    <row r="209" spans="1:29" ht="21" x14ac:dyDescent="0.6">
      <c r="A209" s="1712">
        <v>201</v>
      </c>
      <c r="B209" s="1713" t="s">
        <v>8857</v>
      </c>
      <c r="C209" s="1714" t="s">
        <v>7798</v>
      </c>
      <c r="D209" s="1715">
        <v>0</v>
      </c>
      <c r="E209" s="1716">
        <v>0</v>
      </c>
      <c r="F209" s="1715">
        <v>0</v>
      </c>
      <c r="G209" s="1716">
        <v>0</v>
      </c>
      <c r="H209" s="1715">
        <v>0</v>
      </c>
      <c r="I209" s="1716">
        <v>0</v>
      </c>
      <c r="J209" s="1715">
        <v>3</v>
      </c>
      <c r="K209" s="1715">
        <v>1</v>
      </c>
      <c r="L209" s="1716">
        <v>240</v>
      </c>
      <c r="M209" s="1715">
        <f t="shared" si="42"/>
        <v>2</v>
      </c>
      <c r="N209" s="1717">
        <v>240</v>
      </c>
      <c r="O209" s="1717">
        <f t="shared" si="36"/>
        <v>480</v>
      </c>
      <c r="P209" s="1718">
        <v>0</v>
      </c>
      <c r="Q209" s="1717">
        <f t="shared" si="43"/>
        <v>0</v>
      </c>
      <c r="R209" s="1718">
        <v>1</v>
      </c>
      <c r="S209" s="1717">
        <f t="shared" si="40"/>
        <v>240</v>
      </c>
      <c r="T209" s="1718">
        <v>0</v>
      </c>
      <c r="U209" s="1717">
        <f t="shared" si="34"/>
        <v>0</v>
      </c>
      <c r="V209" s="1718">
        <v>1</v>
      </c>
      <c r="W209" s="1717">
        <f t="shared" si="31"/>
        <v>240</v>
      </c>
      <c r="X209" s="1718">
        <f t="shared" si="37"/>
        <v>2</v>
      </c>
      <c r="Y209" s="1717">
        <f t="shared" si="35"/>
        <v>480</v>
      </c>
      <c r="Z209" s="1719" t="s">
        <v>7799</v>
      </c>
      <c r="AA209" s="1720" t="s">
        <v>6527</v>
      </c>
      <c r="AB209" s="1704"/>
      <c r="AC209" s="1388" t="str">
        <f t="shared" si="41"/>
        <v>ok</v>
      </c>
    </row>
    <row r="210" spans="1:29" ht="21" x14ac:dyDescent="0.6">
      <c r="A210" s="1712">
        <v>202</v>
      </c>
      <c r="B210" s="1659" t="s">
        <v>8858</v>
      </c>
      <c r="C210" s="1714" t="s">
        <v>8052</v>
      </c>
      <c r="D210" s="1715">
        <v>0</v>
      </c>
      <c r="E210" s="1716">
        <v>0</v>
      </c>
      <c r="F210" s="1715">
        <v>0</v>
      </c>
      <c r="G210" s="1716">
        <v>0</v>
      </c>
      <c r="H210" s="1715">
        <v>0</v>
      </c>
      <c r="I210" s="1716">
        <v>0</v>
      </c>
      <c r="J210" s="1715">
        <v>0</v>
      </c>
      <c r="K210" s="1715">
        <v>0</v>
      </c>
      <c r="L210" s="1716">
        <v>0</v>
      </c>
      <c r="M210" s="1715">
        <f t="shared" si="42"/>
        <v>0</v>
      </c>
      <c r="N210" s="1717">
        <v>3200</v>
      </c>
      <c r="O210" s="1717">
        <f t="shared" si="36"/>
        <v>0</v>
      </c>
      <c r="P210" s="1718">
        <v>0</v>
      </c>
      <c r="Q210" s="1717">
        <f t="shared" si="43"/>
        <v>0</v>
      </c>
      <c r="R210" s="1718">
        <v>0</v>
      </c>
      <c r="S210" s="1717">
        <v>0</v>
      </c>
      <c r="T210" s="1718">
        <v>0</v>
      </c>
      <c r="U210" s="1717">
        <f t="shared" si="34"/>
        <v>0</v>
      </c>
      <c r="V210" s="1718">
        <v>0</v>
      </c>
      <c r="W210" s="1717">
        <f t="shared" si="31"/>
        <v>0</v>
      </c>
      <c r="X210" s="1718">
        <f t="shared" si="37"/>
        <v>0</v>
      </c>
      <c r="Y210" s="1717">
        <f t="shared" si="35"/>
        <v>0</v>
      </c>
      <c r="Z210" s="1719" t="s">
        <v>7799</v>
      </c>
      <c r="AA210" s="1720" t="s">
        <v>6527</v>
      </c>
      <c r="AB210" s="1704"/>
      <c r="AC210" s="1388" t="str">
        <f t="shared" si="41"/>
        <v>ok</v>
      </c>
    </row>
    <row r="211" spans="1:29" ht="21" x14ac:dyDescent="0.6">
      <c r="A211" s="1712">
        <v>203</v>
      </c>
      <c r="B211" s="1659" t="s">
        <v>8859</v>
      </c>
      <c r="C211" s="1714" t="s">
        <v>7841</v>
      </c>
      <c r="D211" s="1715">
        <v>23</v>
      </c>
      <c r="E211" s="1716">
        <v>19564.95</v>
      </c>
      <c r="F211" s="1715">
        <v>19</v>
      </c>
      <c r="G211" s="1716">
        <v>16162.35</v>
      </c>
      <c r="H211" s="1715">
        <v>153</v>
      </c>
      <c r="I211" s="1716">
        <v>99450</v>
      </c>
      <c r="J211" s="1715">
        <v>97</v>
      </c>
      <c r="K211" s="1715">
        <v>2</v>
      </c>
      <c r="L211" s="1716">
        <v>1300</v>
      </c>
      <c r="M211" s="1715">
        <f t="shared" si="42"/>
        <v>95</v>
      </c>
      <c r="N211" s="1717">
        <v>850.65</v>
      </c>
      <c r="O211" s="1717">
        <f t="shared" si="36"/>
        <v>80811.75</v>
      </c>
      <c r="P211" s="1718">
        <v>0</v>
      </c>
      <c r="Q211" s="1717">
        <f t="shared" si="43"/>
        <v>0</v>
      </c>
      <c r="R211" s="1718">
        <v>45</v>
      </c>
      <c r="S211" s="1717">
        <f t="shared" ref="S211:S228" si="44">N211*R211</f>
        <v>38279.25</v>
      </c>
      <c r="T211" s="1718">
        <v>45</v>
      </c>
      <c r="U211" s="1717">
        <f t="shared" si="34"/>
        <v>38279.25</v>
      </c>
      <c r="V211" s="1718">
        <v>5</v>
      </c>
      <c r="W211" s="1717">
        <f t="shared" si="31"/>
        <v>4253.25</v>
      </c>
      <c r="X211" s="1718">
        <f t="shared" si="37"/>
        <v>95</v>
      </c>
      <c r="Y211" s="1717">
        <f t="shared" si="35"/>
        <v>80811.75</v>
      </c>
      <c r="Z211" s="1719" t="s">
        <v>7799</v>
      </c>
      <c r="AA211" s="1720" t="s">
        <v>6527</v>
      </c>
      <c r="AB211" s="1704"/>
      <c r="AC211" s="1388" t="str">
        <f t="shared" si="41"/>
        <v>ok</v>
      </c>
    </row>
    <row r="212" spans="1:29" ht="21" x14ac:dyDescent="0.6">
      <c r="A212" s="1712">
        <v>204</v>
      </c>
      <c r="B212" s="1659" t="s">
        <v>8860</v>
      </c>
      <c r="C212" s="1714" t="s">
        <v>7869</v>
      </c>
      <c r="D212" s="1715">
        <v>1</v>
      </c>
      <c r="E212" s="1716">
        <v>350</v>
      </c>
      <c r="F212" s="1715">
        <v>0</v>
      </c>
      <c r="G212" s="1716">
        <v>0</v>
      </c>
      <c r="H212" s="1715">
        <v>1</v>
      </c>
      <c r="I212" s="1716">
        <v>350</v>
      </c>
      <c r="J212" s="1715">
        <v>0</v>
      </c>
      <c r="K212" s="1715">
        <v>0</v>
      </c>
      <c r="L212" s="1716">
        <v>0</v>
      </c>
      <c r="M212" s="1715">
        <f t="shared" si="42"/>
        <v>0</v>
      </c>
      <c r="N212" s="1717">
        <v>350</v>
      </c>
      <c r="O212" s="1717">
        <f t="shared" si="36"/>
        <v>0</v>
      </c>
      <c r="P212" s="1718">
        <v>0</v>
      </c>
      <c r="Q212" s="1717">
        <f t="shared" si="43"/>
        <v>0</v>
      </c>
      <c r="R212" s="1718">
        <v>0</v>
      </c>
      <c r="S212" s="1717">
        <f t="shared" si="44"/>
        <v>0</v>
      </c>
      <c r="T212" s="1718">
        <v>0</v>
      </c>
      <c r="U212" s="1717">
        <f t="shared" si="34"/>
        <v>0</v>
      </c>
      <c r="V212" s="1718">
        <v>0</v>
      </c>
      <c r="W212" s="1717">
        <f t="shared" si="31"/>
        <v>0</v>
      </c>
      <c r="X212" s="1718">
        <f t="shared" si="37"/>
        <v>0</v>
      </c>
      <c r="Y212" s="1717">
        <f t="shared" si="35"/>
        <v>0</v>
      </c>
      <c r="Z212" s="1719" t="s">
        <v>7799</v>
      </c>
      <c r="AA212" s="1720" t="s">
        <v>6527</v>
      </c>
      <c r="AB212" s="1704"/>
      <c r="AC212" s="1388" t="str">
        <f t="shared" si="41"/>
        <v>ok</v>
      </c>
    </row>
    <row r="213" spans="1:29" ht="21" x14ac:dyDescent="0.6">
      <c r="A213" s="1712">
        <v>205</v>
      </c>
      <c r="B213" s="1659" t="s">
        <v>8861</v>
      </c>
      <c r="C213" s="1714" t="s">
        <v>7816</v>
      </c>
      <c r="D213" s="1715">
        <v>2</v>
      </c>
      <c r="E213" s="1716">
        <v>3780</v>
      </c>
      <c r="F213" s="1715">
        <v>0</v>
      </c>
      <c r="G213" s="1716">
        <v>0</v>
      </c>
      <c r="H213" s="1715">
        <v>1</v>
      </c>
      <c r="I213" s="1716">
        <v>1540</v>
      </c>
      <c r="J213" s="1715">
        <v>3</v>
      </c>
      <c r="K213" s="1715">
        <v>1</v>
      </c>
      <c r="L213" s="1716">
        <v>1540</v>
      </c>
      <c r="M213" s="1715">
        <f t="shared" si="42"/>
        <v>2</v>
      </c>
      <c r="N213" s="1717">
        <v>1540</v>
      </c>
      <c r="O213" s="1717">
        <f t="shared" si="36"/>
        <v>3080</v>
      </c>
      <c r="P213" s="1718">
        <v>0</v>
      </c>
      <c r="Q213" s="1717">
        <f t="shared" si="43"/>
        <v>0</v>
      </c>
      <c r="R213" s="1718">
        <v>1</v>
      </c>
      <c r="S213" s="1717">
        <f t="shared" si="44"/>
        <v>1540</v>
      </c>
      <c r="T213" s="1718">
        <v>0</v>
      </c>
      <c r="U213" s="1717">
        <f t="shared" si="34"/>
        <v>0</v>
      </c>
      <c r="V213" s="1718">
        <v>1</v>
      </c>
      <c r="W213" s="1717">
        <f t="shared" si="31"/>
        <v>1540</v>
      </c>
      <c r="X213" s="1718">
        <f t="shared" si="37"/>
        <v>2</v>
      </c>
      <c r="Y213" s="1717">
        <f t="shared" si="35"/>
        <v>3080</v>
      </c>
      <c r="Z213" s="1719" t="s">
        <v>7799</v>
      </c>
      <c r="AA213" s="1720" t="s">
        <v>6527</v>
      </c>
      <c r="AB213" s="1704"/>
      <c r="AC213" s="1388" t="str">
        <f t="shared" si="41"/>
        <v>ok</v>
      </c>
    </row>
    <row r="214" spans="1:29" ht="21" x14ac:dyDescent="0.6">
      <c r="A214" s="1712">
        <v>206</v>
      </c>
      <c r="B214" s="1659" t="s">
        <v>8862</v>
      </c>
      <c r="C214" s="1714" t="s">
        <v>7816</v>
      </c>
      <c r="D214" s="1715">
        <v>2</v>
      </c>
      <c r="E214" s="1716">
        <v>3900</v>
      </c>
      <c r="F214" s="1715">
        <v>3</v>
      </c>
      <c r="G214" s="1716">
        <v>5850</v>
      </c>
      <c r="H214" s="1715">
        <v>4</v>
      </c>
      <c r="I214" s="1716">
        <v>7730</v>
      </c>
      <c r="J214" s="1715">
        <v>6</v>
      </c>
      <c r="K214" s="1715">
        <v>1</v>
      </c>
      <c r="L214" s="1716">
        <v>1950</v>
      </c>
      <c r="M214" s="1715">
        <f t="shared" si="42"/>
        <v>5</v>
      </c>
      <c r="N214" s="1717">
        <v>1950</v>
      </c>
      <c r="O214" s="1717">
        <f t="shared" si="36"/>
        <v>9750</v>
      </c>
      <c r="P214" s="1718">
        <v>1</v>
      </c>
      <c r="Q214" s="1717">
        <f t="shared" si="43"/>
        <v>1950</v>
      </c>
      <c r="R214" s="1718">
        <v>1</v>
      </c>
      <c r="S214" s="1717">
        <f t="shared" si="44"/>
        <v>1950</v>
      </c>
      <c r="T214" s="1718">
        <v>1</v>
      </c>
      <c r="U214" s="1717">
        <f t="shared" si="34"/>
        <v>1950</v>
      </c>
      <c r="V214" s="1718">
        <v>2</v>
      </c>
      <c r="W214" s="1717">
        <f t="shared" si="31"/>
        <v>3900</v>
      </c>
      <c r="X214" s="1718">
        <f t="shared" si="37"/>
        <v>5</v>
      </c>
      <c r="Y214" s="1717">
        <f t="shared" si="35"/>
        <v>9750</v>
      </c>
      <c r="Z214" s="1719" t="s">
        <v>7799</v>
      </c>
      <c r="AA214" s="1720" t="s">
        <v>6527</v>
      </c>
      <c r="AB214" s="1704"/>
      <c r="AC214" s="1388" t="str">
        <f t="shared" si="41"/>
        <v>ok</v>
      </c>
    </row>
    <row r="215" spans="1:29" ht="21" x14ac:dyDescent="0.6">
      <c r="A215" s="1712">
        <v>207</v>
      </c>
      <c r="B215" s="1713" t="s">
        <v>8863</v>
      </c>
      <c r="C215" s="1714" t="s">
        <v>8052</v>
      </c>
      <c r="D215" s="1715">
        <v>2</v>
      </c>
      <c r="E215" s="1716">
        <v>1720</v>
      </c>
      <c r="F215" s="1715">
        <v>2</v>
      </c>
      <c r="G215" s="1716">
        <v>1720</v>
      </c>
      <c r="H215" s="1715">
        <v>4</v>
      </c>
      <c r="I215" s="1716">
        <v>3440</v>
      </c>
      <c r="J215" s="1715">
        <v>4</v>
      </c>
      <c r="K215" s="1715">
        <v>1</v>
      </c>
      <c r="L215" s="1716">
        <v>860</v>
      </c>
      <c r="M215" s="1715">
        <f t="shared" si="42"/>
        <v>3</v>
      </c>
      <c r="N215" s="1717">
        <v>860</v>
      </c>
      <c r="O215" s="1717">
        <f t="shared" si="36"/>
        <v>2580</v>
      </c>
      <c r="P215" s="1718">
        <v>0</v>
      </c>
      <c r="Q215" s="1717">
        <f t="shared" si="43"/>
        <v>0</v>
      </c>
      <c r="R215" s="1718">
        <v>1</v>
      </c>
      <c r="S215" s="1717">
        <f t="shared" si="44"/>
        <v>860</v>
      </c>
      <c r="T215" s="1718">
        <v>1</v>
      </c>
      <c r="U215" s="1717">
        <f t="shared" si="34"/>
        <v>860</v>
      </c>
      <c r="V215" s="1718">
        <v>1</v>
      </c>
      <c r="W215" s="1717">
        <f t="shared" si="31"/>
        <v>860</v>
      </c>
      <c r="X215" s="1718">
        <f t="shared" si="37"/>
        <v>3</v>
      </c>
      <c r="Y215" s="1717">
        <f t="shared" si="35"/>
        <v>2580</v>
      </c>
      <c r="Z215" s="1719" t="s">
        <v>7799</v>
      </c>
      <c r="AA215" s="1720" t="s">
        <v>6527</v>
      </c>
      <c r="AB215" s="1704"/>
      <c r="AC215" s="1388" t="str">
        <f t="shared" si="41"/>
        <v>ok</v>
      </c>
    </row>
    <row r="216" spans="1:29" ht="21" x14ac:dyDescent="0.6">
      <c r="A216" s="1712">
        <v>208</v>
      </c>
      <c r="B216" s="1713" t="s">
        <v>8864</v>
      </c>
      <c r="C216" s="1714" t="s">
        <v>8049</v>
      </c>
      <c r="D216" s="1715">
        <v>11</v>
      </c>
      <c r="E216" s="1716">
        <v>660</v>
      </c>
      <c r="F216" s="1715">
        <v>0</v>
      </c>
      <c r="G216" s="1716">
        <v>0</v>
      </c>
      <c r="H216" s="1715">
        <v>0</v>
      </c>
      <c r="I216" s="1716">
        <v>0</v>
      </c>
      <c r="J216" s="1715">
        <v>0</v>
      </c>
      <c r="K216" s="1715">
        <v>24</v>
      </c>
      <c r="L216" s="1716">
        <v>1440</v>
      </c>
      <c r="M216" s="1715">
        <v>0</v>
      </c>
      <c r="N216" s="1717">
        <v>60</v>
      </c>
      <c r="O216" s="1717">
        <f t="shared" si="36"/>
        <v>0</v>
      </c>
      <c r="P216" s="1718">
        <v>0</v>
      </c>
      <c r="Q216" s="1717">
        <f t="shared" si="43"/>
        <v>0</v>
      </c>
      <c r="R216" s="1718">
        <v>0</v>
      </c>
      <c r="S216" s="1717">
        <f t="shared" si="44"/>
        <v>0</v>
      </c>
      <c r="T216" s="1718">
        <v>0</v>
      </c>
      <c r="U216" s="1717">
        <f t="shared" si="34"/>
        <v>0</v>
      </c>
      <c r="V216" s="1718">
        <v>0</v>
      </c>
      <c r="W216" s="1717">
        <f t="shared" si="31"/>
        <v>0</v>
      </c>
      <c r="X216" s="1718">
        <f t="shared" si="37"/>
        <v>0</v>
      </c>
      <c r="Y216" s="1717">
        <f t="shared" si="35"/>
        <v>0</v>
      </c>
      <c r="Z216" s="1719" t="s">
        <v>7799</v>
      </c>
      <c r="AA216" s="1720" t="s">
        <v>6527</v>
      </c>
      <c r="AB216" s="1704"/>
      <c r="AC216" s="1388" t="str">
        <f t="shared" si="41"/>
        <v>ok</v>
      </c>
    </row>
    <row r="217" spans="1:29" ht="21" x14ac:dyDescent="0.6">
      <c r="A217" s="1712">
        <v>209</v>
      </c>
      <c r="B217" s="1713" t="s">
        <v>8865</v>
      </c>
      <c r="C217" s="1714" t="s">
        <v>7798</v>
      </c>
      <c r="D217" s="1715">
        <v>0</v>
      </c>
      <c r="E217" s="1716">
        <v>0</v>
      </c>
      <c r="F217" s="1715">
        <v>3</v>
      </c>
      <c r="G217" s="1716">
        <v>270</v>
      </c>
      <c r="H217" s="1715">
        <v>0</v>
      </c>
      <c r="I217" s="1716">
        <v>0</v>
      </c>
      <c r="J217" s="1715">
        <v>0</v>
      </c>
      <c r="K217" s="1715">
        <v>4</v>
      </c>
      <c r="L217" s="1716">
        <v>360</v>
      </c>
      <c r="M217" s="1715">
        <v>0</v>
      </c>
      <c r="N217" s="1717">
        <v>90</v>
      </c>
      <c r="O217" s="1717">
        <f t="shared" si="36"/>
        <v>0</v>
      </c>
      <c r="P217" s="1718">
        <v>0</v>
      </c>
      <c r="Q217" s="1717">
        <f t="shared" si="43"/>
        <v>0</v>
      </c>
      <c r="R217" s="1718">
        <v>0</v>
      </c>
      <c r="S217" s="1717">
        <f t="shared" si="44"/>
        <v>0</v>
      </c>
      <c r="T217" s="1718">
        <v>0</v>
      </c>
      <c r="U217" s="1717">
        <v>0</v>
      </c>
      <c r="V217" s="1718">
        <v>0</v>
      </c>
      <c r="W217" s="1717">
        <f t="shared" si="31"/>
        <v>0</v>
      </c>
      <c r="X217" s="1718">
        <f t="shared" si="37"/>
        <v>0</v>
      </c>
      <c r="Y217" s="1717">
        <f t="shared" si="35"/>
        <v>0</v>
      </c>
      <c r="Z217" s="1719" t="s">
        <v>7799</v>
      </c>
      <c r="AA217" s="1720" t="s">
        <v>6527</v>
      </c>
      <c r="AB217" s="1704"/>
      <c r="AC217" s="1388" t="str">
        <f t="shared" si="41"/>
        <v>ok</v>
      </c>
    </row>
    <row r="218" spans="1:29" ht="21" x14ac:dyDescent="0.6">
      <c r="A218" s="1712">
        <v>210</v>
      </c>
      <c r="B218" s="1713" t="s">
        <v>8866</v>
      </c>
      <c r="C218" s="1714" t="s">
        <v>8853</v>
      </c>
      <c r="D218" s="1715">
        <v>19</v>
      </c>
      <c r="E218" s="1716">
        <v>5130</v>
      </c>
      <c r="F218" s="1715">
        <v>17</v>
      </c>
      <c r="G218" s="1716">
        <v>4590</v>
      </c>
      <c r="H218" s="1715">
        <v>19</v>
      </c>
      <c r="I218" s="1716">
        <v>5232.3500000000004</v>
      </c>
      <c r="J218" s="1715">
        <v>24</v>
      </c>
      <c r="K218" s="1715">
        <v>7</v>
      </c>
      <c r="L218" s="1716">
        <v>1535.45</v>
      </c>
      <c r="M218" s="1715">
        <f t="shared" ref="M218:M226" si="45">J218-K218</f>
        <v>17</v>
      </c>
      <c r="N218" s="1717">
        <v>299.60000000000002</v>
      </c>
      <c r="O218" s="1717">
        <f t="shared" si="36"/>
        <v>5093.2000000000007</v>
      </c>
      <c r="P218" s="1718">
        <v>0</v>
      </c>
      <c r="Q218" s="1717">
        <f t="shared" si="43"/>
        <v>0</v>
      </c>
      <c r="R218" s="1718">
        <v>6</v>
      </c>
      <c r="S218" s="1717">
        <f t="shared" si="44"/>
        <v>1797.6000000000001</v>
      </c>
      <c r="T218" s="1718">
        <v>6</v>
      </c>
      <c r="U218" s="1717">
        <f t="shared" ref="U218:U228" si="46">N218*T218</f>
        <v>1797.6000000000001</v>
      </c>
      <c r="V218" s="1718">
        <v>5</v>
      </c>
      <c r="W218" s="1717">
        <f t="shared" si="31"/>
        <v>1498</v>
      </c>
      <c r="X218" s="1718">
        <f t="shared" si="37"/>
        <v>17</v>
      </c>
      <c r="Y218" s="1717">
        <f t="shared" si="35"/>
        <v>5093.2000000000007</v>
      </c>
      <c r="Z218" s="1719" t="s">
        <v>7799</v>
      </c>
      <c r="AA218" s="1720" t="s">
        <v>6527</v>
      </c>
      <c r="AB218" s="1704"/>
      <c r="AC218" s="1388" t="str">
        <f t="shared" si="41"/>
        <v>ok</v>
      </c>
    </row>
    <row r="219" spans="1:29" ht="21" x14ac:dyDescent="0.6">
      <c r="A219" s="1712">
        <v>211</v>
      </c>
      <c r="B219" s="1713" t="s">
        <v>8867</v>
      </c>
      <c r="C219" s="1714" t="s">
        <v>7839</v>
      </c>
      <c r="D219" s="1715">
        <v>30</v>
      </c>
      <c r="E219" s="1716">
        <v>2100</v>
      </c>
      <c r="F219" s="1715">
        <v>50</v>
      </c>
      <c r="G219" s="1716">
        <v>3500</v>
      </c>
      <c r="H219" s="1715">
        <v>40</v>
      </c>
      <c r="I219" s="1716">
        <v>2800</v>
      </c>
      <c r="J219" s="1715">
        <v>60</v>
      </c>
      <c r="K219" s="1715">
        <v>0</v>
      </c>
      <c r="L219" s="1716">
        <v>0</v>
      </c>
      <c r="M219" s="1715">
        <f t="shared" si="45"/>
        <v>60</v>
      </c>
      <c r="N219" s="1717">
        <v>70</v>
      </c>
      <c r="O219" s="1717">
        <f t="shared" si="36"/>
        <v>4200</v>
      </c>
      <c r="P219" s="1718">
        <v>60</v>
      </c>
      <c r="Q219" s="1717">
        <f t="shared" si="43"/>
        <v>4200</v>
      </c>
      <c r="R219" s="1718">
        <v>0</v>
      </c>
      <c r="S219" s="1717">
        <f t="shared" si="44"/>
        <v>0</v>
      </c>
      <c r="T219" s="1718">
        <v>0</v>
      </c>
      <c r="U219" s="1717">
        <f t="shared" si="46"/>
        <v>0</v>
      </c>
      <c r="V219" s="1718">
        <v>0</v>
      </c>
      <c r="W219" s="1717">
        <f t="shared" si="31"/>
        <v>0</v>
      </c>
      <c r="X219" s="1718">
        <f t="shared" si="37"/>
        <v>60</v>
      </c>
      <c r="Y219" s="1717">
        <f t="shared" si="35"/>
        <v>4200</v>
      </c>
      <c r="Z219" s="1719" t="s">
        <v>7799</v>
      </c>
      <c r="AA219" s="1720" t="s">
        <v>6527</v>
      </c>
      <c r="AB219" s="1704"/>
      <c r="AC219" s="1388" t="str">
        <f t="shared" si="41"/>
        <v>ok</v>
      </c>
    </row>
    <row r="220" spans="1:29" ht="21" x14ac:dyDescent="0.6">
      <c r="A220" s="1712">
        <v>212</v>
      </c>
      <c r="B220" s="1713" t="s">
        <v>8868</v>
      </c>
      <c r="C220" s="1714" t="s">
        <v>7839</v>
      </c>
      <c r="D220" s="1715">
        <v>0</v>
      </c>
      <c r="E220" s="1716">
        <v>0</v>
      </c>
      <c r="F220" s="1715">
        <v>0</v>
      </c>
      <c r="G220" s="1716">
        <v>0</v>
      </c>
      <c r="H220" s="1715">
        <v>12</v>
      </c>
      <c r="I220" s="1716">
        <v>5760</v>
      </c>
      <c r="J220" s="1715">
        <v>20</v>
      </c>
      <c r="K220" s="1715">
        <v>0</v>
      </c>
      <c r="L220" s="1716">
        <v>0</v>
      </c>
      <c r="M220" s="1715">
        <f t="shared" si="45"/>
        <v>20</v>
      </c>
      <c r="N220" s="1717">
        <v>65</v>
      </c>
      <c r="O220" s="1717">
        <f t="shared" si="36"/>
        <v>1300</v>
      </c>
      <c r="P220" s="1718">
        <v>20</v>
      </c>
      <c r="Q220" s="1717">
        <f t="shared" si="43"/>
        <v>1300</v>
      </c>
      <c r="R220" s="1718">
        <v>0</v>
      </c>
      <c r="S220" s="1717">
        <f t="shared" si="44"/>
        <v>0</v>
      </c>
      <c r="T220" s="1718">
        <v>0</v>
      </c>
      <c r="U220" s="1717">
        <f t="shared" si="46"/>
        <v>0</v>
      </c>
      <c r="V220" s="1718">
        <v>0</v>
      </c>
      <c r="W220" s="1717">
        <f t="shared" si="31"/>
        <v>0</v>
      </c>
      <c r="X220" s="1718">
        <f t="shared" si="37"/>
        <v>20</v>
      </c>
      <c r="Y220" s="1717">
        <f t="shared" si="35"/>
        <v>1300</v>
      </c>
      <c r="Z220" s="1719" t="s">
        <v>7799</v>
      </c>
      <c r="AA220" s="1720" t="s">
        <v>6527</v>
      </c>
      <c r="AB220" s="1704"/>
      <c r="AC220" s="1388" t="str">
        <f t="shared" si="41"/>
        <v>ok</v>
      </c>
    </row>
    <row r="221" spans="1:29" ht="21" x14ac:dyDescent="0.6">
      <c r="A221" s="1712">
        <v>213</v>
      </c>
      <c r="B221" s="1713" t="s">
        <v>8869</v>
      </c>
      <c r="C221" s="1714" t="s">
        <v>7798</v>
      </c>
      <c r="D221" s="1715">
        <v>0</v>
      </c>
      <c r="E221" s="1716">
        <v>0</v>
      </c>
      <c r="F221" s="1715">
        <v>1</v>
      </c>
      <c r="G221" s="1716">
        <v>180</v>
      </c>
      <c r="H221" s="1715">
        <v>0</v>
      </c>
      <c r="I221" s="1716">
        <v>0</v>
      </c>
      <c r="J221" s="1715">
        <v>0</v>
      </c>
      <c r="K221" s="1715">
        <v>0</v>
      </c>
      <c r="L221" s="1716">
        <v>0</v>
      </c>
      <c r="M221" s="1715">
        <f t="shared" si="45"/>
        <v>0</v>
      </c>
      <c r="N221" s="1717">
        <v>180</v>
      </c>
      <c r="O221" s="1717">
        <f t="shared" si="36"/>
        <v>0</v>
      </c>
      <c r="P221" s="1718">
        <v>0</v>
      </c>
      <c r="Q221" s="1717">
        <f t="shared" si="43"/>
        <v>0</v>
      </c>
      <c r="R221" s="1718">
        <v>0</v>
      </c>
      <c r="S221" s="1717">
        <f t="shared" si="44"/>
        <v>0</v>
      </c>
      <c r="T221" s="1718">
        <v>0</v>
      </c>
      <c r="U221" s="1717">
        <f t="shared" si="46"/>
        <v>0</v>
      </c>
      <c r="V221" s="1718">
        <v>0</v>
      </c>
      <c r="W221" s="1717">
        <f t="shared" ref="W221:W228" si="47">N221*V221</f>
        <v>0</v>
      </c>
      <c r="X221" s="1718">
        <f t="shared" si="37"/>
        <v>0</v>
      </c>
      <c r="Y221" s="1717">
        <f t="shared" si="35"/>
        <v>0</v>
      </c>
      <c r="Z221" s="1719" t="s">
        <v>7799</v>
      </c>
      <c r="AA221" s="1720" t="s">
        <v>6527</v>
      </c>
      <c r="AB221" s="1704"/>
      <c r="AC221" s="1388" t="str">
        <f t="shared" si="41"/>
        <v>ok</v>
      </c>
    </row>
    <row r="222" spans="1:29" ht="21" x14ac:dyDescent="0.6">
      <c r="A222" s="1712">
        <v>214</v>
      </c>
      <c r="B222" s="1713" t="s">
        <v>8870</v>
      </c>
      <c r="C222" s="1714" t="s">
        <v>7798</v>
      </c>
      <c r="D222" s="1715">
        <v>0</v>
      </c>
      <c r="E222" s="1716">
        <v>0</v>
      </c>
      <c r="F222" s="1715">
        <v>1</v>
      </c>
      <c r="G222" s="1716">
        <v>6200</v>
      </c>
      <c r="H222" s="1715">
        <v>0</v>
      </c>
      <c r="I222" s="1716">
        <v>0</v>
      </c>
      <c r="J222" s="1715">
        <v>0</v>
      </c>
      <c r="K222" s="1715">
        <v>0</v>
      </c>
      <c r="L222" s="1716">
        <v>0</v>
      </c>
      <c r="M222" s="1715">
        <f t="shared" si="45"/>
        <v>0</v>
      </c>
      <c r="N222" s="1717">
        <v>6200</v>
      </c>
      <c r="O222" s="1717">
        <f t="shared" si="36"/>
        <v>0</v>
      </c>
      <c r="P222" s="1718">
        <v>0</v>
      </c>
      <c r="Q222" s="1717">
        <f t="shared" si="43"/>
        <v>0</v>
      </c>
      <c r="R222" s="1718">
        <v>0</v>
      </c>
      <c r="S222" s="1717">
        <f t="shared" si="44"/>
        <v>0</v>
      </c>
      <c r="T222" s="1718">
        <v>0</v>
      </c>
      <c r="U222" s="1717">
        <f t="shared" si="46"/>
        <v>0</v>
      </c>
      <c r="V222" s="1718">
        <v>0</v>
      </c>
      <c r="W222" s="1717">
        <f t="shared" si="47"/>
        <v>0</v>
      </c>
      <c r="X222" s="1718">
        <f t="shared" si="37"/>
        <v>0</v>
      </c>
      <c r="Y222" s="1717">
        <f t="shared" si="35"/>
        <v>0</v>
      </c>
      <c r="Z222" s="1719" t="s">
        <v>7799</v>
      </c>
      <c r="AA222" s="1720" t="s">
        <v>6527</v>
      </c>
      <c r="AB222" s="1704"/>
      <c r="AC222" s="1388" t="str">
        <f t="shared" si="41"/>
        <v>ok</v>
      </c>
    </row>
    <row r="223" spans="1:29" ht="21" x14ac:dyDescent="0.6">
      <c r="A223" s="1723">
        <v>215</v>
      </c>
      <c r="B223" s="1713" t="s">
        <v>8871</v>
      </c>
      <c r="C223" s="1714" t="s">
        <v>7798</v>
      </c>
      <c r="D223" s="1715">
        <v>0</v>
      </c>
      <c r="E223" s="1716">
        <v>0</v>
      </c>
      <c r="F223" s="1715">
        <v>3</v>
      </c>
      <c r="G223" s="1716">
        <v>12000</v>
      </c>
      <c r="H223" s="1715">
        <v>0</v>
      </c>
      <c r="I223" s="1716">
        <v>0</v>
      </c>
      <c r="J223" s="1715">
        <v>0</v>
      </c>
      <c r="K223" s="1715">
        <v>0</v>
      </c>
      <c r="L223" s="1716">
        <v>0</v>
      </c>
      <c r="M223" s="1715">
        <f t="shared" si="45"/>
        <v>0</v>
      </c>
      <c r="N223" s="1717">
        <v>4000</v>
      </c>
      <c r="O223" s="1717">
        <f t="shared" si="36"/>
        <v>0</v>
      </c>
      <c r="P223" s="1718">
        <v>0</v>
      </c>
      <c r="Q223" s="1717">
        <f t="shared" si="43"/>
        <v>0</v>
      </c>
      <c r="R223" s="1718">
        <v>0</v>
      </c>
      <c r="S223" s="1717">
        <f t="shared" si="44"/>
        <v>0</v>
      </c>
      <c r="T223" s="1718">
        <v>0</v>
      </c>
      <c r="U223" s="1717">
        <f t="shared" si="46"/>
        <v>0</v>
      </c>
      <c r="V223" s="1718">
        <v>0</v>
      </c>
      <c r="W223" s="1717">
        <f t="shared" si="47"/>
        <v>0</v>
      </c>
      <c r="X223" s="1718">
        <f t="shared" si="37"/>
        <v>0</v>
      </c>
      <c r="Y223" s="1717">
        <f t="shared" si="35"/>
        <v>0</v>
      </c>
      <c r="Z223" s="1719" t="s">
        <v>7799</v>
      </c>
      <c r="AA223" s="1720" t="s">
        <v>6527</v>
      </c>
      <c r="AB223" s="1704"/>
      <c r="AC223" s="1388" t="str">
        <f t="shared" si="41"/>
        <v>ok</v>
      </c>
    </row>
    <row r="224" spans="1:29" ht="21" x14ac:dyDescent="0.6">
      <c r="A224" s="1712">
        <v>216</v>
      </c>
      <c r="B224" s="1713" t="s">
        <v>8872</v>
      </c>
      <c r="C224" s="1714" t="s">
        <v>8052</v>
      </c>
      <c r="D224" s="1715">
        <v>2</v>
      </c>
      <c r="E224" s="1716">
        <v>24000</v>
      </c>
      <c r="F224" s="1715">
        <v>6</v>
      </c>
      <c r="G224" s="1716">
        <v>72000</v>
      </c>
      <c r="H224" s="1715">
        <v>0</v>
      </c>
      <c r="I224" s="1716">
        <v>0</v>
      </c>
      <c r="J224" s="1715">
        <v>0</v>
      </c>
      <c r="K224" s="1715">
        <v>0</v>
      </c>
      <c r="L224" s="1716">
        <v>0</v>
      </c>
      <c r="M224" s="1715">
        <f t="shared" si="45"/>
        <v>0</v>
      </c>
      <c r="N224" s="1717">
        <v>12000</v>
      </c>
      <c r="O224" s="1717">
        <f t="shared" si="36"/>
        <v>0</v>
      </c>
      <c r="P224" s="1718">
        <v>0</v>
      </c>
      <c r="Q224" s="1717">
        <f t="shared" si="43"/>
        <v>0</v>
      </c>
      <c r="R224" s="1718">
        <v>0</v>
      </c>
      <c r="S224" s="1717">
        <f t="shared" si="44"/>
        <v>0</v>
      </c>
      <c r="T224" s="1718">
        <v>0</v>
      </c>
      <c r="U224" s="1717">
        <f t="shared" si="46"/>
        <v>0</v>
      </c>
      <c r="V224" s="1718">
        <v>0</v>
      </c>
      <c r="W224" s="1717">
        <f t="shared" si="47"/>
        <v>0</v>
      </c>
      <c r="X224" s="1718">
        <f t="shared" si="37"/>
        <v>0</v>
      </c>
      <c r="Y224" s="1717">
        <f t="shared" si="35"/>
        <v>0</v>
      </c>
      <c r="Z224" s="1719" t="s">
        <v>7799</v>
      </c>
      <c r="AA224" s="1720" t="s">
        <v>6527</v>
      </c>
      <c r="AB224" s="1704"/>
      <c r="AC224" s="1388" t="str">
        <f t="shared" si="41"/>
        <v>ok</v>
      </c>
    </row>
    <row r="225" spans="1:29" ht="21" x14ac:dyDescent="0.6">
      <c r="A225" s="1712">
        <v>217</v>
      </c>
      <c r="B225" s="1713" t="s">
        <v>8873</v>
      </c>
      <c r="C225" s="1714" t="s">
        <v>8052</v>
      </c>
      <c r="D225" s="1715">
        <v>0</v>
      </c>
      <c r="E225" s="1716">
        <v>0</v>
      </c>
      <c r="F225" s="1715">
        <v>1</v>
      </c>
      <c r="G225" s="1716">
        <v>17500</v>
      </c>
      <c r="H225" s="1715">
        <v>0</v>
      </c>
      <c r="I225" s="1716">
        <v>0</v>
      </c>
      <c r="J225" s="1715">
        <v>0</v>
      </c>
      <c r="K225" s="1715">
        <v>0</v>
      </c>
      <c r="L225" s="1716">
        <v>0</v>
      </c>
      <c r="M225" s="1715">
        <f t="shared" si="45"/>
        <v>0</v>
      </c>
      <c r="N225" s="1717">
        <v>17500</v>
      </c>
      <c r="O225" s="1717">
        <f t="shared" si="36"/>
        <v>0</v>
      </c>
      <c r="P225" s="1718">
        <v>0</v>
      </c>
      <c r="Q225" s="1717">
        <f t="shared" si="43"/>
        <v>0</v>
      </c>
      <c r="R225" s="1718">
        <v>0</v>
      </c>
      <c r="S225" s="1717">
        <f t="shared" si="44"/>
        <v>0</v>
      </c>
      <c r="T225" s="1718">
        <v>0</v>
      </c>
      <c r="U225" s="1717">
        <f t="shared" si="46"/>
        <v>0</v>
      </c>
      <c r="V225" s="1718">
        <v>0</v>
      </c>
      <c r="W225" s="1717">
        <f t="shared" si="47"/>
        <v>0</v>
      </c>
      <c r="X225" s="1718">
        <f t="shared" si="37"/>
        <v>0</v>
      </c>
      <c r="Y225" s="1717">
        <f t="shared" si="35"/>
        <v>0</v>
      </c>
      <c r="Z225" s="1719" t="s">
        <v>7799</v>
      </c>
      <c r="AA225" s="1720" t="s">
        <v>6527</v>
      </c>
      <c r="AB225" s="1704"/>
      <c r="AC225" s="1388" t="str">
        <f t="shared" si="41"/>
        <v>ok</v>
      </c>
    </row>
    <row r="226" spans="1:29" ht="21" x14ac:dyDescent="0.6">
      <c r="A226" s="1712">
        <v>218</v>
      </c>
      <c r="B226" s="1713" t="s">
        <v>8874</v>
      </c>
      <c r="C226" s="1714" t="s">
        <v>8208</v>
      </c>
      <c r="D226" s="1715">
        <v>2</v>
      </c>
      <c r="E226" s="1716">
        <v>1500</v>
      </c>
      <c r="F226" s="1715">
        <v>0</v>
      </c>
      <c r="G226" s="1716">
        <v>0</v>
      </c>
      <c r="H226" s="1715">
        <v>0</v>
      </c>
      <c r="I226" s="1716">
        <v>0</v>
      </c>
      <c r="J226" s="1715">
        <v>0</v>
      </c>
      <c r="K226" s="1715">
        <v>0</v>
      </c>
      <c r="L226" s="1716">
        <v>0</v>
      </c>
      <c r="M226" s="1715">
        <f t="shared" si="45"/>
        <v>0</v>
      </c>
      <c r="N226" s="1717">
        <v>750</v>
      </c>
      <c r="O226" s="1717">
        <f t="shared" si="36"/>
        <v>0</v>
      </c>
      <c r="P226" s="1718">
        <v>0</v>
      </c>
      <c r="Q226" s="1717">
        <f t="shared" si="43"/>
        <v>0</v>
      </c>
      <c r="R226" s="1718">
        <v>0</v>
      </c>
      <c r="S226" s="1717">
        <f t="shared" si="44"/>
        <v>0</v>
      </c>
      <c r="T226" s="1718">
        <v>0</v>
      </c>
      <c r="U226" s="1717">
        <f t="shared" si="46"/>
        <v>0</v>
      </c>
      <c r="V226" s="1718">
        <v>0</v>
      </c>
      <c r="W226" s="1717">
        <f t="shared" si="47"/>
        <v>0</v>
      </c>
      <c r="X226" s="1718">
        <f t="shared" si="37"/>
        <v>0</v>
      </c>
      <c r="Y226" s="1717">
        <f t="shared" si="35"/>
        <v>0</v>
      </c>
      <c r="Z226" s="1719" t="s">
        <v>7799</v>
      </c>
      <c r="AA226" s="1720" t="s">
        <v>6527</v>
      </c>
      <c r="AB226" s="1704"/>
      <c r="AC226" s="1388" t="str">
        <f t="shared" si="41"/>
        <v>ok</v>
      </c>
    </row>
    <row r="227" spans="1:29" ht="21" x14ac:dyDescent="0.6">
      <c r="A227" s="1712">
        <v>219</v>
      </c>
      <c r="B227" s="1713" t="s">
        <v>8875</v>
      </c>
      <c r="C227" s="1714" t="s">
        <v>8052</v>
      </c>
      <c r="D227" s="1715">
        <v>0</v>
      </c>
      <c r="E227" s="1716">
        <v>0</v>
      </c>
      <c r="F227" s="1715">
        <v>170</v>
      </c>
      <c r="G227" s="1716">
        <v>5950</v>
      </c>
      <c r="H227" s="1715">
        <v>0</v>
      </c>
      <c r="I227" s="1716">
        <v>0</v>
      </c>
      <c r="J227" s="1715">
        <v>0</v>
      </c>
      <c r="K227" s="1715">
        <v>270</v>
      </c>
      <c r="L227" s="1716">
        <v>9450</v>
      </c>
      <c r="M227" s="1715">
        <v>0</v>
      </c>
      <c r="N227" s="1717">
        <v>35</v>
      </c>
      <c r="O227" s="1717">
        <f t="shared" si="36"/>
        <v>0</v>
      </c>
      <c r="P227" s="1718">
        <v>0</v>
      </c>
      <c r="Q227" s="1717">
        <f t="shared" si="43"/>
        <v>0</v>
      </c>
      <c r="R227" s="1718">
        <v>0</v>
      </c>
      <c r="S227" s="1717">
        <f t="shared" si="44"/>
        <v>0</v>
      </c>
      <c r="T227" s="1718">
        <v>0</v>
      </c>
      <c r="U227" s="1717">
        <f t="shared" si="46"/>
        <v>0</v>
      </c>
      <c r="V227" s="1718">
        <v>0</v>
      </c>
      <c r="W227" s="1717">
        <f t="shared" si="47"/>
        <v>0</v>
      </c>
      <c r="X227" s="1718">
        <f t="shared" si="37"/>
        <v>0</v>
      </c>
      <c r="Y227" s="1717">
        <f t="shared" si="35"/>
        <v>0</v>
      </c>
      <c r="Z227" s="1719" t="s">
        <v>7799</v>
      </c>
      <c r="AA227" s="1720" t="s">
        <v>6527</v>
      </c>
      <c r="AB227" s="1704"/>
      <c r="AC227" s="1388" t="str">
        <f t="shared" si="41"/>
        <v>ok</v>
      </c>
    </row>
    <row r="228" spans="1:29" ht="21" x14ac:dyDescent="0.6">
      <c r="A228" s="1712">
        <v>220</v>
      </c>
      <c r="B228" s="1713" t="s">
        <v>8876</v>
      </c>
      <c r="C228" s="1714" t="s">
        <v>7798</v>
      </c>
      <c r="D228" s="1715">
        <v>0</v>
      </c>
      <c r="E228" s="1716">
        <v>0</v>
      </c>
      <c r="F228" s="1715">
        <v>1</v>
      </c>
      <c r="G228" s="1716">
        <v>1500</v>
      </c>
      <c r="H228" s="1715">
        <v>0</v>
      </c>
      <c r="I228" s="1716">
        <v>0</v>
      </c>
      <c r="J228" s="1715">
        <v>0</v>
      </c>
      <c r="K228" s="1715">
        <v>0</v>
      </c>
      <c r="L228" s="1716">
        <v>0</v>
      </c>
      <c r="M228" s="1715">
        <f>J228-K228</f>
        <v>0</v>
      </c>
      <c r="N228" s="1717">
        <v>1500</v>
      </c>
      <c r="O228" s="1717">
        <f t="shared" si="36"/>
        <v>0</v>
      </c>
      <c r="P228" s="1718">
        <v>0</v>
      </c>
      <c r="Q228" s="1717">
        <f t="shared" si="43"/>
        <v>0</v>
      </c>
      <c r="R228" s="1718">
        <v>0</v>
      </c>
      <c r="S228" s="1717">
        <f t="shared" si="44"/>
        <v>0</v>
      </c>
      <c r="T228" s="1718">
        <v>0</v>
      </c>
      <c r="U228" s="1717">
        <f t="shared" si="46"/>
        <v>0</v>
      </c>
      <c r="V228" s="1718">
        <v>0</v>
      </c>
      <c r="W228" s="1717">
        <f t="shared" si="47"/>
        <v>0</v>
      </c>
      <c r="X228" s="1718">
        <f t="shared" si="37"/>
        <v>0</v>
      </c>
      <c r="Y228" s="1717">
        <f t="shared" si="37"/>
        <v>0</v>
      </c>
      <c r="Z228" s="1719" t="s">
        <v>7799</v>
      </c>
      <c r="AA228" s="1720" t="s">
        <v>6527</v>
      </c>
      <c r="AB228" s="1704"/>
      <c r="AC228" s="1388" t="str">
        <f t="shared" si="41"/>
        <v>ok</v>
      </c>
    </row>
    <row r="229" spans="1:29" ht="21" x14ac:dyDescent="0.6">
      <c r="A229" s="1724" t="s">
        <v>7433</v>
      </c>
      <c r="B229" s="1724"/>
      <c r="C229" s="1724"/>
      <c r="D229" s="1725">
        <f t="shared" ref="D229:Y229" si="48">SUM(D9:D228)</f>
        <v>470.03999999999996</v>
      </c>
      <c r="E229" s="1725">
        <f t="shared" si="48"/>
        <v>345153.69</v>
      </c>
      <c r="F229" s="1725">
        <f t="shared" si="48"/>
        <v>621.5</v>
      </c>
      <c r="G229" s="1725">
        <f t="shared" si="48"/>
        <v>366439.2</v>
      </c>
      <c r="H229" s="1725">
        <f t="shared" si="48"/>
        <v>479</v>
      </c>
      <c r="I229" s="1725">
        <f t="shared" si="48"/>
        <v>256689.88</v>
      </c>
      <c r="J229" s="1725">
        <f t="shared" si="48"/>
        <v>969.5</v>
      </c>
      <c r="K229" s="1725">
        <f t="shared" si="48"/>
        <v>811</v>
      </c>
      <c r="L229" s="1725">
        <f t="shared" si="48"/>
        <v>245855.92000000004</v>
      </c>
      <c r="M229" s="1725">
        <f t="shared" si="48"/>
        <v>707</v>
      </c>
      <c r="N229" s="1725">
        <f t="shared" si="48"/>
        <v>235342.56</v>
      </c>
      <c r="O229" s="1725">
        <f t="shared" si="48"/>
        <v>500067.41</v>
      </c>
      <c r="P229" s="1725">
        <f t="shared" si="48"/>
        <v>297</v>
      </c>
      <c r="Q229" s="1725">
        <f t="shared" si="48"/>
        <v>173798.58000000002</v>
      </c>
      <c r="R229" s="1725">
        <f t="shared" si="48"/>
        <v>142</v>
      </c>
      <c r="S229" s="1725">
        <f t="shared" si="48"/>
        <v>122324.21</v>
      </c>
      <c r="T229" s="1725">
        <f t="shared" si="48"/>
        <v>155</v>
      </c>
      <c r="U229" s="1725">
        <f t="shared" si="48"/>
        <v>122189.07</v>
      </c>
      <c r="V229" s="1725">
        <f t="shared" si="48"/>
        <v>113</v>
      </c>
      <c r="W229" s="1725">
        <f t="shared" si="48"/>
        <v>81755.55</v>
      </c>
      <c r="X229" s="1725">
        <f t="shared" si="48"/>
        <v>707</v>
      </c>
      <c r="Y229" s="1725">
        <f t="shared" si="48"/>
        <v>500067.41</v>
      </c>
      <c r="Z229" s="1726"/>
      <c r="AA229" s="1726"/>
      <c r="AB229" s="1726"/>
      <c r="AC229" s="1388" t="str">
        <f t="shared" si="41"/>
        <v>ok</v>
      </c>
    </row>
    <row r="230" spans="1:29" ht="21" x14ac:dyDescent="0.6">
      <c r="A230" s="1727"/>
      <c r="B230" s="1728"/>
      <c r="C230" s="1728"/>
      <c r="D230" s="1729"/>
      <c r="E230" s="1729"/>
      <c r="F230" s="1729"/>
      <c r="G230" s="1729"/>
      <c r="H230" s="1729"/>
      <c r="I230" s="1729"/>
      <c r="J230" s="1729"/>
      <c r="K230" s="1729"/>
      <c r="L230" s="1729"/>
      <c r="M230" s="1729"/>
      <c r="N230" s="1729"/>
      <c r="O230" s="1729"/>
      <c r="P230" s="1729"/>
      <c r="Q230" s="1729"/>
      <c r="R230" s="1729"/>
      <c r="S230" s="1729"/>
      <c r="T230" s="1729"/>
      <c r="U230" s="1729"/>
      <c r="V230" s="1729"/>
      <c r="W230" s="1729"/>
      <c r="X230" s="1729"/>
      <c r="Y230" s="1729"/>
      <c r="Z230" s="1728"/>
      <c r="AA230" s="1728"/>
      <c r="AB230" s="1728"/>
    </row>
    <row r="231" spans="1:29" ht="21" x14ac:dyDescent="0.6">
      <c r="A231" s="1730"/>
      <c r="B231" s="1731"/>
      <c r="C231" s="1731"/>
      <c r="D231" s="1732"/>
      <c r="E231" s="1732"/>
      <c r="F231" s="1732"/>
      <c r="G231" s="1732"/>
      <c r="H231" s="1732"/>
      <c r="I231" s="1732"/>
      <c r="J231" s="1732"/>
      <c r="K231" s="1732"/>
      <c r="L231" s="1732"/>
      <c r="M231" s="1732"/>
      <c r="N231" s="1732"/>
      <c r="O231" s="1732"/>
      <c r="P231" s="1732"/>
      <c r="Q231" s="1732"/>
      <c r="R231" s="1732"/>
      <c r="S231" s="1732"/>
      <c r="T231" s="1732"/>
      <c r="U231" s="1732"/>
      <c r="V231" s="1732"/>
      <c r="W231" s="1732"/>
      <c r="X231" s="1732"/>
      <c r="Y231" s="1732"/>
      <c r="Z231" s="1730"/>
      <c r="AA231" s="1731"/>
      <c r="AB231" s="1731"/>
    </row>
    <row r="232" spans="1:29" ht="21" x14ac:dyDescent="0.6">
      <c r="A232" s="1730"/>
      <c r="B232" s="1614" t="s">
        <v>8877</v>
      </c>
      <c r="C232" s="1614"/>
      <c r="D232" s="1614"/>
      <c r="E232" s="1614"/>
      <c r="F232" s="1614"/>
      <c r="G232" s="1614"/>
      <c r="H232" s="1288"/>
      <c r="I232" s="1288"/>
      <c r="J232" s="1288"/>
      <c r="K232" s="1616" t="s">
        <v>8878</v>
      </c>
      <c r="L232" s="1616"/>
      <c r="M232" s="1616"/>
      <c r="N232" s="1616"/>
      <c r="O232" s="1733"/>
      <c r="P232" s="1733"/>
      <c r="Q232" s="1288" t="s">
        <v>7915</v>
      </c>
      <c r="R232" s="1288"/>
      <c r="S232" s="1288"/>
      <c r="T232" s="1616"/>
      <c r="U232" s="1616"/>
      <c r="V232" s="1616"/>
      <c r="W232" s="1616"/>
      <c r="X232" s="1616"/>
      <c r="Y232" s="1731"/>
      <c r="Z232" s="1731"/>
      <c r="AA232" s="1731"/>
    </row>
    <row r="233" spans="1:29" ht="21" x14ac:dyDescent="0.6">
      <c r="A233" s="1730"/>
      <c r="B233" s="1614" t="s">
        <v>8879</v>
      </c>
      <c r="C233" s="1614"/>
      <c r="D233" s="1614"/>
      <c r="E233" s="1614"/>
      <c r="F233" s="1614"/>
      <c r="G233" s="1614"/>
      <c r="H233" s="1288"/>
      <c r="I233" s="1288"/>
      <c r="J233" s="1288"/>
      <c r="K233" s="1617" t="s">
        <v>8880</v>
      </c>
      <c r="L233" s="1617"/>
      <c r="M233" s="1617"/>
      <c r="N233" s="1617"/>
      <c r="O233" s="1616"/>
      <c r="P233" s="1616"/>
      <c r="Q233" s="1616"/>
      <c r="R233" s="1616"/>
      <c r="S233" s="1616"/>
      <c r="T233" s="1288"/>
      <c r="U233" s="1288"/>
      <c r="V233" s="1616"/>
      <c r="W233" s="1616"/>
      <c r="X233" s="1616"/>
      <c r="Y233" s="1731"/>
      <c r="Z233" s="1731" t="s">
        <v>7380</v>
      </c>
      <c r="AA233" s="1731"/>
    </row>
    <row r="234" spans="1:29" ht="21" x14ac:dyDescent="0.6">
      <c r="A234" s="1730"/>
      <c r="B234" s="1614" t="s">
        <v>8881</v>
      </c>
      <c r="C234" s="1614"/>
      <c r="D234" s="1614"/>
      <c r="E234" s="1614"/>
      <c r="F234" s="1614"/>
      <c r="G234" s="1614"/>
      <c r="H234" s="1288"/>
      <c r="I234" s="1288"/>
      <c r="J234" s="1288"/>
      <c r="K234" s="1618" t="s">
        <v>8882</v>
      </c>
      <c r="L234" s="1618"/>
      <c r="M234" s="1618"/>
      <c r="N234" s="1618"/>
      <c r="O234" s="1616"/>
      <c r="P234" s="1616"/>
      <c r="Q234" s="1616"/>
      <c r="R234" s="1616"/>
      <c r="S234" s="1616"/>
      <c r="T234" s="1288"/>
      <c r="U234" s="1288"/>
      <c r="V234" s="1616"/>
      <c r="W234" s="1616"/>
      <c r="X234" s="1616"/>
      <c r="Y234" s="1731"/>
      <c r="Z234" s="1731"/>
      <c r="AA234" s="1731"/>
    </row>
    <row r="235" spans="1:29" ht="21" x14ac:dyDescent="0.6">
      <c r="A235" s="1730"/>
      <c r="B235" s="1614" t="s">
        <v>8883</v>
      </c>
      <c r="C235" s="1614"/>
      <c r="D235" s="1614"/>
      <c r="E235" s="1614"/>
      <c r="F235" s="1614"/>
      <c r="G235" s="1614"/>
      <c r="H235" s="1288"/>
      <c r="I235" s="1288"/>
      <c r="J235" s="1288"/>
      <c r="K235" s="1617" t="s">
        <v>8884</v>
      </c>
      <c r="L235" s="1617"/>
      <c r="M235" s="1617"/>
      <c r="N235" s="1617"/>
      <c r="O235" s="1288"/>
      <c r="P235" s="1288"/>
      <c r="Q235" s="1288"/>
      <c r="R235" s="1288"/>
      <c r="S235" s="1288"/>
      <c r="T235" s="1288"/>
      <c r="U235" s="1288"/>
      <c r="V235" s="1288"/>
      <c r="W235" s="1288"/>
      <c r="X235" s="1288"/>
      <c r="Y235" s="1730"/>
      <c r="Z235" s="1731"/>
      <c r="AA235" s="1731"/>
    </row>
    <row r="236" spans="1:29" ht="21" x14ac:dyDescent="0.6">
      <c r="A236" s="1730"/>
      <c r="B236" s="1280"/>
      <c r="C236" s="1280"/>
      <c r="D236" s="1290"/>
      <c r="E236" s="1290"/>
      <c r="F236" s="1290"/>
      <c r="G236" s="1288"/>
      <c r="H236" s="1290"/>
      <c r="I236" s="1290"/>
      <c r="J236" s="1290"/>
      <c r="K236" s="1290"/>
      <c r="L236" s="1290"/>
      <c r="M236" s="1290"/>
      <c r="N236" s="1290"/>
      <c r="O236" s="1290"/>
      <c r="P236" s="1290"/>
      <c r="Q236" s="1290"/>
      <c r="R236" s="1290"/>
      <c r="S236" s="1288"/>
      <c r="T236" s="1288"/>
      <c r="U236" s="1288"/>
      <c r="V236" s="1288"/>
      <c r="W236" s="1290"/>
      <c r="X236" s="1290"/>
      <c r="Y236" s="1730"/>
      <c r="Z236" s="1731"/>
      <c r="AA236" s="1731"/>
    </row>
  </sheetData>
  <protectedRanges>
    <protectedRange password="CC6F" sqref="B237" name="ช่วง1_5_1_5_1_1"/>
    <protectedRange password="CC6F" sqref="B228:B229 B232:B235" name="ช่วง1_5_1_5_1_1_1"/>
    <protectedRange password="CC6F" sqref="B236 B231" name="ช่วง1_5_1_5_1_1_4"/>
    <protectedRange password="CC6F" sqref="B230" name="ช่วง1_5_1_5_1_1_5"/>
  </protectedRanges>
  <mergeCells count="32">
    <mergeCell ref="B234:G234"/>
    <mergeCell ref="K234:N234"/>
    <mergeCell ref="O234:S234"/>
    <mergeCell ref="V234:X234"/>
    <mergeCell ref="B235:G235"/>
    <mergeCell ref="K235:N235"/>
    <mergeCell ref="X7:X8"/>
    <mergeCell ref="A229:C229"/>
    <mergeCell ref="B232:G232"/>
    <mergeCell ref="K232:N232"/>
    <mergeCell ref="T232:X232"/>
    <mergeCell ref="B233:G233"/>
    <mergeCell ref="K233:N233"/>
    <mergeCell ref="O233:S233"/>
    <mergeCell ref="V233:X233"/>
    <mergeCell ref="D6:I6"/>
    <mergeCell ref="D7:D8"/>
    <mergeCell ref="E7:E8"/>
    <mergeCell ref="F7:F8"/>
    <mergeCell ref="G7:G8"/>
    <mergeCell ref="H7:H8"/>
    <mergeCell ref="I7:I8"/>
    <mergeCell ref="A1:AB1"/>
    <mergeCell ref="A2:AB2"/>
    <mergeCell ref="A3:AB3"/>
    <mergeCell ref="A5:A8"/>
    <mergeCell ref="B5:B8"/>
    <mergeCell ref="D5:I5"/>
    <mergeCell ref="L5:L8"/>
    <mergeCell ref="X5:Y6"/>
    <mergeCell ref="AA5:AA8"/>
    <mergeCell ref="AB5:AB8"/>
  </mergeCells>
  <pageMargins left="0.39370078740157483" right="0.27559055118110237" top="0.74803149606299213" bottom="0.59055118110236227" header="0.31496062992125984" footer="0.31496062992125984"/>
  <pageSetup paperSize="9" scale="48" firstPageNumber="3" fitToHeight="0" orientation="landscape" useFirstPageNumber="1" r:id="rId1"/>
  <headerFooter scaleWithDoc="0" alignWithMargins="0">
    <oddFooter>&amp;Cหน้าที่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BAE36-3BBD-4509-8EA4-A7DB3DB4FF90}">
  <sheetPr>
    <pageSetUpPr fitToPage="1"/>
  </sheetPr>
  <dimension ref="A1:AC707"/>
  <sheetViews>
    <sheetView zoomScale="90" zoomScaleNormal="90" zoomScaleSheetLayoutView="9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6" customWidth="1"/>
    <col min="15" max="15" width="11.09765625" style="1460" customWidth="1"/>
    <col min="16" max="16" width="11.09765625" style="1399" hidden="1" customWidth="1"/>
    <col min="17" max="17" width="11.09765625" style="1399" customWidth="1"/>
    <col min="18" max="18" width="11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x14ac:dyDescent="0.6">
      <c r="A1" s="1735" t="s">
        <v>8885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9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9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9" x14ac:dyDescent="0.6">
      <c r="A4" s="1408" t="s">
        <v>2185</v>
      </c>
      <c r="B4" s="1408" t="s">
        <v>8886</v>
      </c>
      <c r="C4" s="1301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412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29" x14ac:dyDescent="0.6">
      <c r="A5" s="1417"/>
      <c r="B5" s="1417"/>
      <c r="C5" s="1315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29" x14ac:dyDescent="0.6">
      <c r="A6" s="1417"/>
      <c r="B6" s="1417"/>
      <c r="C6" s="1315" t="s">
        <v>7786</v>
      </c>
      <c r="D6" s="1423" t="s">
        <v>7787</v>
      </c>
      <c r="E6" s="1412" t="s">
        <v>7788</v>
      </c>
      <c r="F6" s="1423" t="s">
        <v>7789</v>
      </c>
      <c r="G6" s="1412" t="s">
        <v>7790</v>
      </c>
      <c r="H6" s="1423" t="s">
        <v>7791</v>
      </c>
      <c r="I6" s="1412" t="s">
        <v>7792</v>
      </c>
      <c r="J6" s="1418" t="s">
        <v>7793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29" x14ac:dyDescent="0.6">
      <c r="A7" s="1425"/>
      <c r="B7" s="1425"/>
      <c r="C7" s="1330" t="s">
        <v>7796</v>
      </c>
      <c r="D7" s="1426"/>
      <c r="E7" s="1427"/>
      <c r="F7" s="1426"/>
      <c r="G7" s="1427"/>
      <c r="H7" s="1426"/>
      <c r="I7" s="1427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29" s="1388" customFormat="1" ht="23.25" customHeight="1" x14ac:dyDescent="0.25">
      <c r="A8" s="1279">
        <v>1</v>
      </c>
      <c r="B8" s="1372" t="s">
        <v>8887</v>
      </c>
      <c r="C8" s="1360" t="s">
        <v>8888</v>
      </c>
      <c r="D8" s="1343">
        <v>16</v>
      </c>
      <c r="E8" s="1378">
        <v>51200</v>
      </c>
      <c r="F8" s="1343">
        <v>20</v>
      </c>
      <c r="G8" s="1345">
        <v>64000</v>
      </c>
      <c r="H8" s="1386">
        <v>12</v>
      </c>
      <c r="I8" s="1347">
        <v>40200</v>
      </c>
      <c r="J8" s="1348">
        <v>70000</v>
      </c>
      <c r="K8" s="1349">
        <v>0</v>
      </c>
      <c r="L8" s="1350">
        <v>0</v>
      </c>
      <c r="M8" s="1351">
        <v>20</v>
      </c>
      <c r="N8" s="1352">
        <v>3500</v>
      </c>
      <c r="O8" s="1353">
        <f>M8*N8</f>
        <v>70000</v>
      </c>
      <c r="P8" s="1354">
        <v>8</v>
      </c>
      <c r="Q8" s="1354">
        <f>P8*N8</f>
        <v>28000</v>
      </c>
      <c r="R8" s="1354">
        <v>4</v>
      </c>
      <c r="S8" s="1355">
        <f>R8*N8</f>
        <v>14000</v>
      </c>
      <c r="T8" s="1354">
        <v>4</v>
      </c>
      <c r="U8" s="1355">
        <f>T8*N8</f>
        <v>14000</v>
      </c>
      <c r="V8" s="1354">
        <v>4</v>
      </c>
      <c r="W8" s="1355">
        <f>V8*N8</f>
        <v>14000</v>
      </c>
      <c r="X8" s="1356">
        <f>P8+R8+T8+V8</f>
        <v>20</v>
      </c>
      <c r="Y8" s="1356">
        <f>X8*N8</f>
        <v>70000</v>
      </c>
      <c r="Z8" s="1357" t="s">
        <v>7799</v>
      </c>
      <c r="AA8" s="1358" t="s">
        <v>6531</v>
      </c>
      <c r="AB8" s="1359" t="str">
        <f t="shared" ref="AB8:AB14" si="0">IF(O8=Y8,"yes")</f>
        <v>yes</v>
      </c>
      <c r="AC8" s="1736" t="str">
        <f>IF(O8=Y8,"ok")</f>
        <v>ok</v>
      </c>
    </row>
    <row r="9" spans="1:29" s="1359" customFormat="1" ht="20.25" customHeight="1" x14ac:dyDescent="0.25">
      <c r="A9" s="1279">
        <v>2</v>
      </c>
      <c r="B9" s="1372" t="s">
        <v>8889</v>
      </c>
      <c r="C9" s="1360" t="s">
        <v>8888</v>
      </c>
      <c r="D9" s="1345">
        <v>4</v>
      </c>
      <c r="E9" s="1378">
        <v>16000</v>
      </c>
      <c r="F9" s="1345">
        <v>4</v>
      </c>
      <c r="G9" s="1345">
        <v>16000</v>
      </c>
      <c r="H9" s="1356">
        <v>1</v>
      </c>
      <c r="I9" s="1347">
        <v>4900</v>
      </c>
      <c r="J9" s="1361">
        <v>19600</v>
      </c>
      <c r="K9" s="1362">
        <v>0</v>
      </c>
      <c r="L9" s="1350">
        <v>0</v>
      </c>
      <c r="M9" s="1351">
        <v>4</v>
      </c>
      <c r="N9" s="1363">
        <v>4900</v>
      </c>
      <c r="O9" s="1353">
        <f t="shared" ref="O9:O13" si="1">M9*N9</f>
        <v>19600</v>
      </c>
      <c r="P9" s="1350">
        <v>0</v>
      </c>
      <c r="Q9" s="1354">
        <f t="shared" ref="Q9:Q13" si="2">P9*N9</f>
        <v>0</v>
      </c>
      <c r="R9" s="1350">
        <v>4</v>
      </c>
      <c r="S9" s="1355">
        <f t="shared" ref="S9:S13" si="3">R9*N9</f>
        <v>19600</v>
      </c>
      <c r="T9" s="1356">
        <v>0</v>
      </c>
      <c r="U9" s="1355">
        <f t="shared" ref="U9:U13" si="4">T9*N9</f>
        <v>0</v>
      </c>
      <c r="V9" s="1356">
        <v>0</v>
      </c>
      <c r="W9" s="1355">
        <f t="shared" ref="W9:W13" si="5">V9*N9</f>
        <v>0</v>
      </c>
      <c r="X9" s="1356">
        <f t="shared" ref="X9:X13" si="6">P9+R9+T9+V9</f>
        <v>4</v>
      </c>
      <c r="Y9" s="1356">
        <f t="shared" ref="Y9:Y13" si="7">X9*N9</f>
        <v>19600</v>
      </c>
      <c r="Z9" s="1357" t="s">
        <v>7799</v>
      </c>
      <c r="AA9" s="1358" t="s">
        <v>6531</v>
      </c>
      <c r="AB9" s="1359" t="str">
        <f t="shared" si="0"/>
        <v>yes</v>
      </c>
      <c r="AC9" s="1736" t="str">
        <f t="shared" ref="AC9:AC14" si="8">IF(O9=Y9,"ok")</f>
        <v>ok</v>
      </c>
    </row>
    <row r="10" spans="1:29" s="1359" customFormat="1" ht="20.25" customHeight="1" x14ac:dyDescent="0.25">
      <c r="A10" s="1279">
        <v>3</v>
      </c>
      <c r="B10" s="1372" t="s">
        <v>8890</v>
      </c>
      <c r="C10" s="1360" t="s">
        <v>8888</v>
      </c>
      <c r="D10" s="1345">
        <v>4</v>
      </c>
      <c r="E10" s="1378">
        <v>1800</v>
      </c>
      <c r="F10" s="1345">
        <v>4</v>
      </c>
      <c r="G10" s="1345">
        <v>1800</v>
      </c>
      <c r="H10" s="1356">
        <v>2</v>
      </c>
      <c r="I10" s="1347">
        <v>900</v>
      </c>
      <c r="J10" s="1361">
        <v>1800</v>
      </c>
      <c r="K10" s="1362">
        <v>0</v>
      </c>
      <c r="L10" s="1350">
        <v>0</v>
      </c>
      <c r="M10" s="1351">
        <v>4</v>
      </c>
      <c r="N10" s="1363">
        <v>450</v>
      </c>
      <c r="O10" s="1353">
        <f t="shared" si="1"/>
        <v>1800</v>
      </c>
      <c r="P10" s="1350">
        <v>2</v>
      </c>
      <c r="Q10" s="1354">
        <f t="shared" si="2"/>
        <v>900</v>
      </c>
      <c r="R10" s="1356">
        <v>0</v>
      </c>
      <c r="S10" s="1355">
        <f t="shared" si="3"/>
        <v>0</v>
      </c>
      <c r="T10" s="1350">
        <v>0</v>
      </c>
      <c r="U10" s="1355">
        <f t="shared" si="4"/>
        <v>0</v>
      </c>
      <c r="V10" s="1356">
        <v>2</v>
      </c>
      <c r="W10" s="1355">
        <f t="shared" si="5"/>
        <v>900</v>
      </c>
      <c r="X10" s="1356">
        <f t="shared" si="6"/>
        <v>4</v>
      </c>
      <c r="Y10" s="1356">
        <f t="shared" si="7"/>
        <v>1800</v>
      </c>
      <c r="Z10" s="1357" t="s">
        <v>7799</v>
      </c>
      <c r="AA10" s="1358" t="s">
        <v>6531</v>
      </c>
      <c r="AB10" s="1359" t="str">
        <f t="shared" si="0"/>
        <v>yes</v>
      </c>
      <c r="AC10" s="1736" t="str">
        <f t="shared" si="8"/>
        <v>ok</v>
      </c>
    </row>
    <row r="11" spans="1:29" s="1359" customFormat="1" ht="20.25" customHeight="1" x14ac:dyDescent="0.25">
      <c r="A11" s="1279">
        <v>4</v>
      </c>
      <c r="B11" s="1372" t="s">
        <v>8891</v>
      </c>
      <c r="C11" s="1360" t="s">
        <v>8888</v>
      </c>
      <c r="D11" s="1345">
        <v>4</v>
      </c>
      <c r="E11" s="1378">
        <v>480</v>
      </c>
      <c r="F11" s="1345">
        <v>6</v>
      </c>
      <c r="G11" s="1345">
        <v>720</v>
      </c>
      <c r="H11" s="1356">
        <v>3</v>
      </c>
      <c r="I11" s="1347">
        <v>360</v>
      </c>
      <c r="J11" s="1361">
        <v>600</v>
      </c>
      <c r="K11" s="1362">
        <v>0</v>
      </c>
      <c r="L11" s="1350">
        <v>0</v>
      </c>
      <c r="M11" s="1351">
        <v>5</v>
      </c>
      <c r="N11" s="1363">
        <v>120</v>
      </c>
      <c r="O11" s="1353">
        <f t="shared" si="1"/>
        <v>600</v>
      </c>
      <c r="P11" s="1356">
        <v>2</v>
      </c>
      <c r="Q11" s="1354">
        <f t="shared" si="2"/>
        <v>240</v>
      </c>
      <c r="R11" s="1350">
        <v>2</v>
      </c>
      <c r="S11" s="1355">
        <f t="shared" si="3"/>
        <v>240</v>
      </c>
      <c r="T11" s="1356">
        <v>1</v>
      </c>
      <c r="U11" s="1355">
        <f t="shared" si="4"/>
        <v>120</v>
      </c>
      <c r="V11" s="1350">
        <v>0</v>
      </c>
      <c r="W11" s="1355">
        <f t="shared" si="5"/>
        <v>0</v>
      </c>
      <c r="X11" s="1356">
        <f t="shared" si="6"/>
        <v>5</v>
      </c>
      <c r="Y11" s="1356">
        <f t="shared" si="7"/>
        <v>600</v>
      </c>
      <c r="Z11" s="1357" t="s">
        <v>7799</v>
      </c>
      <c r="AA11" s="1358" t="s">
        <v>6531</v>
      </c>
      <c r="AB11" s="1359" t="str">
        <f t="shared" si="0"/>
        <v>yes</v>
      </c>
      <c r="AC11" s="1736" t="str">
        <f t="shared" si="8"/>
        <v>ok</v>
      </c>
    </row>
    <row r="12" spans="1:29" s="1359" customFormat="1" ht="20.25" customHeight="1" x14ac:dyDescent="0.25">
      <c r="A12" s="1279">
        <v>5</v>
      </c>
      <c r="B12" s="1372" t="s">
        <v>8892</v>
      </c>
      <c r="C12" s="1360" t="s">
        <v>8617</v>
      </c>
      <c r="D12" s="1345">
        <v>4</v>
      </c>
      <c r="E12" s="1378">
        <v>16000</v>
      </c>
      <c r="F12" s="1345">
        <v>4</v>
      </c>
      <c r="G12" s="1345">
        <v>16000</v>
      </c>
      <c r="H12" s="1356">
        <v>5</v>
      </c>
      <c r="I12" s="1347">
        <v>17500</v>
      </c>
      <c r="J12" s="1361">
        <v>21000</v>
      </c>
      <c r="K12" s="1362">
        <v>0</v>
      </c>
      <c r="L12" s="1350">
        <v>0</v>
      </c>
      <c r="M12" s="1351">
        <v>6</v>
      </c>
      <c r="N12" s="1363">
        <v>3500</v>
      </c>
      <c r="O12" s="1353">
        <f t="shared" si="1"/>
        <v>21000</v>
      </c>
      <c r="P12" s="1350">
        <v>2</v>
      </c>
      <c r="Q12" s="1354">
        <f t="shared" si="2"/>
        <v>7000</v>
      </c>
      <c r="R12" s="1350">
        <v>2</v>
      </c>
      <c r="S12" s="1355">
        <f t="shared" si="3"/>
        <v>7000</v>
      </c>
      <c r="T12" s="1356">
        <v>0</v>
      </c>
      <c r="U12" s="1355">
        <f t="shared" si="4"/>
        <v>0</v>
      </c>
      <c r="V12" s="1356">
        <v>2</v>
      </c>
      <c r="W12" s="1355">
        <f t="shared" si="5"/>
        <v>7000</v>
      </c>
      <c r="X12" s="1356">
        <f t="shared" si="6"/>
        <v>6</v>
      </c>
      <c r="Y12" s="1356">
        <f t="shared" si="7"/>
        <v>21000</v>
      </c>
      <c r="Z12" s="1357" t="s">
        <v>7799</v>
      </c>
      <c r="AA12" s="1358" t="s">
        <v>6531</v>
      </c>
      <c r="AB12" s="1359" t="str">
        <f t="shared" si="0"/>
        <v>yes</v>
      </c>
      <c r="AC12" s="1736" t="str">
        <f t="shared" si="8"/>
        <v>ok</v>
      </c>
    </row>
    <row r="13" spans="1:29" s="1359" customFormat="1" ht="20.25" customHeight="1" x14ac:dyDescent="0.25">
      <c r="A13" s="1279">
        <v>6</v>
      </c>
      <c r="B13" s="1372" t="s">
        <v>8893</v>
      </c>
      <c r="C13" s="1360" t="s">
        <v>8617</v>
      </c>
      <c r="D13" s="1345">
        <v>2</v>
      </c>
      <c r="E13" s="1378">
        <v>13000</v>
      </c>
      <c r="F13" s="1345">
        <v>2</v>
      </c>
      <c r="G13" s="1345">
        <v>13000</v>
      </c>
      <c r="H13" s="1356">
        <v>0</v>
      </c>
      <c r="I13" s="1347">
        <f t="shared" ref="I13" si="9">H13*N13</f>
        <v>0</v>
      </c>
      <c r="J13" s="1361">
        <v>15000</v>
      </c>
      <c r="K13" s="1362">
        <v>0</v>
      </c>
      <c r="L13" s="1350">
        <v>0</v>
      </c>
      <c r="M13" s="1351">
        <v>2</v>
      </c>
      <c r="N13" s="1363">
        <v>7500</v>
      </c>
      <c r="O13" s="1353">
        <f t="shared" si="1"/>
        <v>15000</v>
      </c>
      <c r="P13" s="1350">
        <v>0</v>
      </c>
      <c r="Q13" s="1354">
        <f t="shared" si="2"/>
        <v>0</v>
      </c>
      <c r="R13" s="1350">
        <v>2</v>
      </c>
      <c r="S13" s="1355">
        <f t="shared" si="3"/>
        <v>15000</v>
      </c>
      <c r="T13" s="1356">
        <v>0</v>
      </c>
      <c r="U13" s="1355">
        <f t="shared" si="4"/>
        <v>0</v>
      </c>
      <c r="V13" s="1356">
        <v>0</v>
      </c>
      <c r="W13" s="1355">
        <f t="shared" si="5"/>
        <v>0</v>
      </c>
      <c r="X13" s="1356">
        <f t="shared" si="6"/>
        <v>2</v>
      </c>
      <c r="Y13" s="1356">
        <f t="shared" si="7"/>
        <v>15000</v>
      </c>
      <c r="Z13" s="1357" t="s">
        <v>7799</v>
      </c>
      <c r="AA13" s="1358" t="s">
        <v>6531</v>
      </c>
      <c r="AB13" s="1359" t="str">
        <f t="shared" si="0"/>
        <v>yes</v>
      </c>
      <c r="AC13" s="1736" t="str">
        <f t="shared" si="8"/>
        <v>ok</v>
      </c>
    </row>
    <row r="14" spans="1:29" s="1393" customFormat="1" ht="20.25" customHeight="1" x14ac:dyDescent="0.6">
      <c r="A14" s="1389" t="s">
        <v>7433</v>
      </c>
      <c r="B14" s="1389"/>
      <c r="C14" s="1389"/>
      <c r="D14" s="1392">
        <f>SUM(D8:D13)</f>
        <v>34</v>
      </c>
      <c r="E14" s="1392">
        <f t="shared" ref="E14:Y14" si="10">SUM(E8:E13)</f>
        <v>98480</v>
      </c>
      <c r="F14" s="1392">
        <f t="shared" si="10"/>
        <v>40</v>
      </c>
      <c r="G14" s="1392">
        <f t="shared" si="10"/>
        <v>111520</v>
      </c>
      <c r="H14" s="1392">
        <f t="shared" si="10"/>
        <v>23</v>
      </c>
      <c r="I14" s="1392">
        <f t="shared" si="10"/>
        <v>63860</v>
      </c>
      <c r="J14" s="1392">
        <f t="shared" si="10"/>
        <v>128000</v>
      </c>
      <c r="K14" s="1392">
        <f t="shared" si="10"/>
        <v>0</v>
      </c>
      <c r="L14" s="1392">
        <f t="shared" si="10"/>
        <v>0</v>
      </c>
      <c r="M14" s="1392">
        <f t="shared" si="10"/>
        <v>41</v>
      </c>
      <c r="N14" s="1392">
        <f t="shared" si="10"/>
        <v>19970</v>
      </c>
      <c r="O14" s="1392">
        <f t="shared" si="10"/>
        <v>128000</v>
      </c>
      <c r="P14" s="1392">
        <f t="shared" si="10"/>
        <v>14</v>
      </c>
      <c r="Q14" s="1392">
        <f t="shared" si="10"/>
        <v>36140</v>
      </c>
      <c r="R14" s="1392">
        <f t="shared" si="10"/>
        <v>14</v>
      </c>
      <c r="S14" s="1392">
        <f t="shared" si="10"/>
        <v>55840</v>
      </c>
      <c r="T14" s="1392">
        <f t="shared" si="10"/>
        <v>5</v>
      </c>
      <c r="U14" s="1392">
        <f t="shared" si="10"/>
        <v>14120</v>
      </c>
      <c r="V14" s="1392">
        <f t="shared" si="10"/>
        <v>8</v>
      </c>
      <c r="W14" s="1392">
        <f t="shared" si="10"/>
        <v>21900</v>
      </c>
      <c r="X14" s="1392">
        <f t="shared" si="10"/>
        <v>41</v>
      </c>
      <c r="Y14" s="1392">
        <f t="shared" si="10"/>
        <v>128000</v>
      </c>
      <c r="Z14" s="1391"/>
      <c r="AA14" s="1392"/>
      <c r="AB14" s="1393" t="str">
        <f t="shared" si="0"/>
        <v>yes</v>
      </c>
      <c r="AC14" s="1736" t="str">
        <f t="shared" si="8"/>
        <v>ok</v>
      </c>
    </row>
    <row r="15" spans="1:29" ht="20.25" customHeight="1" x14ac:dyDescent="0.6">
      <c r="A15" s="1397"/>
      <c r="C15" s="1399"/>
      <c r="D15" s="1397"/>
      <c r="E15" s="1397"/>
      <c r="F15" s="1397"/>
      <c r="G15" s="1397"/>
      <c r="H15" s="1397"/>
      <c r="I15" s="1397"/>
      <c r="J15" s="1397"/>
      <c r="K15" s="1397"/>
      <c r="L15" s="1397"/>
      <c r="M15" s="1457"/>
      <c r="N15" s="1400"/>
      <c r="O15" s="1400"/>
      <c r="P15" s="1458"/>
      <c r="Q15" s="1458"/>
      <c r="R15" s="1458"/>
      <c r="S15" s="1458"/>
      <c r="T15" s="1458"/>
      <c r="U15" s="1458"/>
      <c r="V15" s="1458"/>
      <c r="W15" s="1458"/>
      <c r="X15" s="1457"/>
      <c r="Y15" s="1457"/>
      <c r="AA15" s="1402"/>
    </row>
    <row r="16" spans="1:29" ht="20.25" customHeight="1" x14ac:dyDescent="0.6">
      <c r="A16" s="1397"/>
      <c r="C16" s="1399"/>
    </row>
    <row r="17" spans="1:27" ht="20.25" customHeight="1" x14ac:dyDescent="0.6">
      <c r="B17" s="1280"/>
      <c r="D17" s="1280"/>
      <c r="E17" s="1280"/>
      <c r="F17" s="1280"/>
      <c r="G17" s="1399"/>
      <c r="M17" s="1459"/>
      <c r="N17" s="1459"/>
      <c r="O17" s="1459"/>
      <c r="P17" s="1459"/>
      <c r="Q17" s="1459"/>
      <c r="R17" s="1280"/>
      <c r="S17" s="1280"/>
      <c r="T17" s="1280"/>
      <c r="U17" s="1280"/>
      <c r="V17" s="1280"/>
      <c r="W17" s="1280"/>
      <c r="Z17" s="1280"/>
    </row>
    <row r="18" spans="1:27" ht="20.25" customHeight="1" x14ac:dyDescent="0.6">
      <c r="B18" s="1280"/>
      <c r="D18" s="1280"/>
      <c r="E18" s="1280"/>
      <c r="F18" s="1280"/>
      <c r="G18" s="1399"/>
      <c r="M18" s="1459"/>
      <c r="N18" s="1459"/>
      <c r="O18" s="1459"/>
      <c r="P18" s="1459"/>
      <c r="Q18" s="1459"/>
      <c r="R18" s="1280"/>
      <c r="S18" s="1280"/>
      <c r="T18" s="1280"/>
      <c r="U18" s="1280"/>
      <c r="V18" s="1280"/>
      <c r="W18" s="1280"/>
      <c r="Z18" s="1280"/>
    </row>
    <row r="19" spans="1:27" ht="20.25" customHeight="1" x14ac:dyDescent="0.6">
      <c r="B19" s="1280"/>
      <c r="D19" s="1280"/>
      <c r="E19" s="1280"/>
      <c r="F19" s="1280"/>
      <c r="G19" s="1399"/>
      <c r="M19" s="1459"/>
      <c r="N19" s="1459"/>
      <c r="O19" s="1459"/>
      <c r="P19" s="1459"/>
      <c r="Q19" s="1459"/>
      <c r="R19" s="1280"/>
      <c r="S19" s="1280"/>
      <c r="T19" s="1280"/>
      <c r="U19" s="1280"/>
      <c r="V19" s="1280"/>
      <c r="W19" s="1280"/>
      <c r="Z19" s="1280"/>
    </row>
    <row r="20" spans="1:27" ht="20.25" customHeight="1" x14ac:dyDescent="0.6">
      <c r="B20" s="1280"/>
      <c r="D20" s="1280"/>
      <c r="E20" s="1280"/>
      <c r="F20" s="1280"/>
      <c r="G20" s="1399"/>
      <c r="M20" s="1459"/>
      <c r="N20" s="1459"/>
      <c r="O20" s="1459"/>
      <c r="P20" s="1459"/>
      <c r="Q20" s="1459"/>
      <c r="R20" s="1459"/>
      <c r="S20" s="1459"/>
      <c r="Y20" s="1402"/>
      <c r="Z20" s="1405"/>
    </row>
    <row r="21" spans="1:27" ht="20.25" customHeight="1" x14ac:dyDescent="0.6"/>
    <row r="22" spans="1:27" ht="20.25" customHeight="1" x14ac:dyDescent="0.6">
      <c r="P22" s="1457"/>
      <c r="Q22" s="1457"/>
    </row>
    <row r="23" spans="1:27" ht="20.25" customHeight="1" x14ac:dyDescent="0.6">
      <c r="AA23" s="1401"/>
    </row>
    <row r="29" spans="1:27" x14ac:dyDescent="0.6">
      <c r="A29" s="1280"/>
      <c r="N29" s="1399"/>
      <c r="O29" s="1280"/>
      <c r="Z29" s="1280"/>
    </row>
    <row r="30" spans="1:27" x14ac:dyDescent="0.6">
      <c r="A30" s="1280"/>
      <c r="N30" s="1399"/>
      <c r="O30" s="1280"/>
      <c r="Z30" s="1280"/>
    </row>
    <row r="31" spans="1:27" x14ac:dyDescent="0.6">
      <c r="A31" s="1280"/>
      <c r="N31" s="1399"/>
      <c r="O31" s="1280"/>
      <c r="Z31" s="1280"/>
    </row>
    <row r="32" spans="1:27" x14ac:dyDescent="0.6">
      <c r="A32" s="1280"/>
      <c r="N32" s="1399"/>
      <c r="O32" s="1280"/>
      <c r="Z32" s="1280"/>
    </row>
    <row r="33" spans="2:23" s="1280" customFormat="1" x14ac:dyDescent="0.6">
      <c r="B33" s="1461"/>
      <c r="D33" s="1459"/>
      <c r="E33" s="1459"/>
      <c r="F33" s="1459"/>
      <c r="G33" s="1459"/>
      <c r="H33" s="1459"/>
      <c r="I33" s="1459"/>
      <c r="J33" s="1459"/>
      <c r="K33" s="1459"/>
      <c r="L33" s="1459"/>
      <c r="N33" s="1399"/>
      <c r="P33" s="1399"/>
      <c r="Q33" s="1399"/>
      <c r="R33" s="1399"/>
      <c r="S33" s="1399"/>
      <c r="T33" s="1399"/>
      <c r="U33" s="1399"/>
      <c r="V33" s="1399"/>
      <c r="W33" s="1399"/>
    </row>
    <row r="34" spans="2:23" s="1280" customFormat="1" x14ac:dyDescent="0.6">
      <c r="B34" s="1461"/>
      <c r="D34" s="1459"/>
      <c r="E34" s="1459"/>
      <c r="F34" s="1459"/>
      <c r="G34" s="1459"/>
      <c r="H34" s="1459"/>
      <c r="I34" s="1459"/>
      <c r="J34" s="1459"/>
      <c r="K34" s="1459"/>
      <c r="L34" s="1459"/>
      <c r="N34" s="1399"/>
      <c r="P34" s="1399"/>
      <c r="Q34" s="1399"/>
      <c r="R34" s="1399"/>
      <c r="S34" s="1399"/>
      <c r="T34" s="1399"/>
      <c r="U34" s="1399"/>
      <c r="V34" s="1399"/>
      <c r="W34" s="1399"/>
    </row>
    <row r="35" spans="2:23" s="1280" customFormat="1" x14ac:dyDescent="0.6">
      <c r="B35" s="1461"/>
      <c r="D35" s="1459"/>
      <c r="E35" s="1459"/>
      <c r="F35" s="1459"/>
      <c r="G35" s="1459"/>
      <c r="H35" s="1459"/>
      <c r="I35" s="1459"/>
      <c r="J35" s="1459"/>
      <c r="K35" s="1459"/>
      <c r="L35" s="1459"/>
      <c r="N35" s="1399"/>
      <c r="P35" s="1399"/>
      <c r="Q35" s="1399"/>
      <c r="R35" s="1399"/>
      <c r="S35" s="1399"/>
      <c r="T35" s="1399"/>
      <c r="U35" s="1399"/>
      <c r="V35" s="1399"/>
      <c r="W35" s="1399"/>
    </row>
    <row r="36" spans="2:23" s="1280" customFormat="1" x14ac:dyDescent="0.6">
      <c r="B36" s="1461"/>
      <c r="D36" s="1459"/>
      <c r="E36" s="1459"/>
      <c r="F36" s="1459"/>
      <c r="G36" s="1459"/>
      <c r="H36" s="1459"/>
      <c r="I36" s="1459"/>
      <c r="J36" s="1459"/>
      <c r="K36" s="1459"/>
      <c r="L36" s="1459"/>
      <c r="N36" s="1399"/>
      <c r="P36" s="1399"/>
      <c r="Q36" s="1399"/>
      <c r="R36" s="1399"/>
      <c r="S36" s="1399"/>
      <c r="T36" s="1399"/>
      <c r="U36" s="1399"/>
      <c r="V36" s="1399"/>
      <c r="W36" s="1399"/>
    </row>
    <row r="37" spans="2:23" s="1280" customFormat="1" x14ac:dyDescent="0.6">
      <c r="B37" s="1461"/>
      <c r="D37" s="1459"/>
      <c r="E37" s="1459"/>
      <c r="F37" s="1459"/>
      <c r="G37" s="1459"/>
      <c r="H37" s="1459"/>
      <c r="I37" s="1459"/>
      <c r="J37" s="1459"/>
      <c r="K37" s="1459"/>
      <c r="L37" s="1459"/>
      <c r="N37" s="1399"/>
      <c r="P37" s="1399"/>
      <c r="Q37" s="1399"/>
      <c r="R37" s="1399"/>
      <c r="S37" s="1399"/>
      <c r="T37" s="1399"/>
      <c r="U37" s="1399"/>
      <c r="V37" s="1399"/>
      <c r="W37" s="1399"/>
    </row>
    <row r="38" spans="2:23" s="1280" customFormat="1" x14ac:dyDescent="0.6">
      <c r="B38" s="1461"/>
      <c r="D38" s="1459"/>
      <c r="E38" s="1459"/>
      <c r="F38" s="1459"/>
      <c r="G38" s="1459"/>
      <c r="H38" s="1459"/>
      <c r="I38" s="1459"/>
      <c r="J38" s="1459"/>
      <c r="K38" s="1459"/>
      <c r="L38" s="1459"/>
      <c r="N38" s="1399"/>
      <c r="P38" s="1399"/>
      <c r="Q38" s="1399"/>
      <c r="R38" s="1399"/>
      <c r="S38" s="1399"/>
      <c r="T38" s="1399"/>
      <c r="U38" s="1399"/>
      <c r="V38" s="1399"/>
      <c r="W38" s="1399"/>
    </row>
    <row r="39" spans="2:23" s="1280" customFormat="1" x14ac:dyDescent="0.6">
      <c r="B39" s="1461"/>
      <c r="D39" s="1459"/>
      <c r="E39" s="1459"/>
      <c r="F39" s="1459"/>
      <c r="G39" s="1459"/>
      <c r="H39" s="1459"/>
      <c r="I39" s="1459"/>
      <c r="J39" s="1459"/>
      <c r="K39" s="1459"/>
      <c r="L39" s="1459"/>
      <c r="N39" s="1399"/>
      <c r="P39" s="1399"/>
      <c r="Q39" s="1399"/>
      <c r="R39" s="1399"/>
      <c r="S39" s="1399"/>
      <c r="T39" s="1399"/>
      <c r="U39" s="1399"/>
      <c r="V39" s="1399"/>
      <c r="W39" s="1399"/>
    </row>
    <row r="40" spans="2:23" s="1280" customFormat="1" x14ac:dyDescent="0.6">
      <c r="B40" s="1461"/>
      <c r="D40" s="1459"/>
      <c r="E40" s="1459"/>
      <c r="F40" s="1459"/>
      <c r="G40" s="1459"/>
      <c r="H40" s="1459"/>
      <c r="I40" s="1459"/>
      <c r="J40" s="1459"/>
      <c r="K40" s="1459"/>
      <c r="L40" s="1459"/>
      <c r="N40" s="1399"/>
      <c r="P40" s="1399"/>
      <c r="Q40" s="1399"/>
      <c r="R40" s="1399"/>
      <c r="S40" s="1399"/>
      <c r="T40" s="1399"/>
      <c r="U40" s="1399"/>
      <c r="V40" s="1399"/>
      <c r="W40" s="1399"/>
    </row>
    <row r="41" spans="2:23" s="1280" customFormat="1" x14ac:dyDescent="0.6">
      <c r="B41" s="1461"/>
      <c r="D41" s="1459"/>
      <c r="E41" s="1459"/>
      <c r="F41" s="1459"/>
      <c r="G41" s="1459"/>
      <c r="H41" s="1459"/>
      <c r="I41" s="1459"/>
      <c r="J41" s="1459"/>
      <c r="K41" s="1459"/>
      <c r="L41" s="1459"/>
      <c r="N41" s="1399"/>
      <c r="P41" s="1399"/>
      <c r="Q41" s="1399"/>
      <c r="R41" s="1399"/>
      <c r="S41" s="1399"/>
      <c r="T41" s="1399"/>
      <c r="U41" s="1399"/>
      <c r="V41" s="1399"/>
      <c r="W41" s="1399"/>
    </row>
    <row r="42" spans="2:23" s="1280" customFormat="1" x14ac:dyDescent="0.6">
      <c r="B42" s="1461"/>
      <c r="D42" s="1459"/>
      <c r="E42" s="1459"/>
      <c r="F42" s="1459"/>
      <c r="G42" s="1459"/>
      <c r="H42" s="1459"/>
      <c r="I42" s="1459"/>
      <c r="J42" s="1459"/>
      <c r="K42" s="1459"/>
      <c r="L42" s="1459"/>
      <c r="N42" s="1399"/>
      <c r="P42" s="1399"/>
      <c r="Q42" s="1399"/>
      <c r="R42" s="1399"/>
      <c r="S42" s="1399"/>
      <c r="T42" s="1399"/>
      <c r="U42" s="1399"/>
      <c r="V42" s="1399"/>
      <c r="W42" s="1399"/>
    </row>
    <row r="43" spans="2:23" s="1280" customFormat="1" x14ac:dyDescent="0.6">
      <c r="B43" s="1461"/>
      <c r="D43" s="1459"/>
      <c r="E43" s="1459"/>
      <c r="F43" s="1459"/>
      <c r="G43" s="1459"/>
      <c r="H43" s="1459"/>
      <c r="I43" s="1459"/>
      <c r="J43" s="1459"/>
      <c r="K43" s="1459"/>
      <c r="L43" s="1459"/>
      <c r="N43" s="1399"/>
      <c r="P43" s="1399"/>
      <c r="Q43" s="1399"/>
      <c r="R43" s="1399"/>
      <c r="S43" s="1399"/>
      <c r="T43" s="1399"/>
      <c r="U43" s="1399"/>
      <c r="V43" s="1399"/>
      <c r="W43" s="1399"/>
    </row>
    <row r="44" spans="2:23" s="1280" customFormat="1" x14ac:dyDescent="0.6">
      <c r="B44" s="1461"/>
      <c r="D44" s="1459"/>
      <c r="E44" s="1459"/>
      <c r="F44" s="1459"/>
      <c r="G44" s="1459"/>
      <c r="H44" s="1459"/>
      <c r="I44" s="1459"/>
      <c r="J44" s="1459"/>
      <c r="K44" s="1459"/>
      <c r="L44" s="1459"/>
      <c r="N44" s="1399"/>
      <c r="P44" s="1399"/>
      <c r="Q44" s="1399"/>
      <c r="R44" s="1399"/>
      <c r="S44" s="1399"/>
      <c r="T44" s="1399"/>
      <c r="U44" s="1399"/>
      <c r="V44" s="1399"/>
      <c r="W44" s="1399"/>
    </row>
    <row r="45" spans="2:23" s="1280" customFormat="1" x14ac:dyDescent="0.6">
      <c r="B45" s="1461"/>
      <c r="D45" s="1459"/>
      <c r="E45" s="1459"/>
      <c r="F45" s="1459"/>
      <c r="G45" s="1459"/>
      <c r="H45" s="1459"/>
      <c r="I45" s="1459"/>
      <c r="J45" s="1459"/>
      <c r="K45" s="1459"/>
      <c r="L45" s="1459"/>
      <c r="N45" s="1399"/>
      <c r="P45" s="1399"/>
      <c r="Q45" s="1399"/>
      <c r="R45" s="1399"/>
      <c r="S45" s="1399"/>
      <c r="T45" s="1399"/>
      <c r="U45" s="1399"/>
      <c r="V45" s="1399"/>
      <c r="W45" s="1399"/>
    </row>
    <row r="46" spans="2:23" s="1280" customFormat="1" x14ac:dyDescent="0.6">
      <c r="B46" s="1461"/>
      <c r="D46" s="1459"/>
      <c r="E46" s="1459"/>
      <c r="F46" s="1459"/>
      <c r="G46" s="1459"/>
      <c r="H46" s="1459"/>
      <c r="I46" s="1459"/>
      <c r="J46" s="1459"/>
      <c r="K46" s="1459"/>
      <c r="L46" s="1459"/>
      <c r="N46" s="1399"/>
      <c r="P46" s="1399"/>
      <c r="Q46" s="1399"/>
      <c r="R46" s="1399"/>
      <c r="S46" s="1399"/>
      <c r="T46" s="1399"/>
      <c r="U46" s="1399"/>
      <c r="V46" s="1399"/>
      <c r="W46" s="1399"/>
    </row>
    <row r="47" spans="2:23" s="1280" customFormat="1" x14ac:dyDescent="0.6">
      <c r="B47" s="1461"/>
      <c r="D47" s="1459"/>
      <c r="E47" s="1459"/>
      <c r="F47" s="1459"/>
      <c r="G47" s="1459"/>
      <c r="H47" s="1459"/>
      <c r="I47" s="1459"/>
      <c r="J47" s="1459"/>
      <c r="K47" s="1459"/>
      <c r="L47" s="1459"/>
      <c r="N47" s="1399"/>
      <c r="P47" s="1399"/>
      <c r="Q47" s="1399"/>
      <c r="R47" s="1399"/>
      <c r="S47" s="1399"/>
      <c r="T47" s="1399"/>
      <c r="U47" s="1399"/>
      <c r="V47" s="1399"/>
      <c r="W47" s="1399"/>
    </row>
    <row r="48" spans="2:23" s="1280" customFormat="1" x14ac:dyDescent="0.6">
      <c r="B48" s="1461"/>
      <c r="D48" s="1459"/>
      <c r="E48" s="1459"/>
      <c r="F48" s="1459"/>
      <c r="G48" s="1459"/>
      <c r="H48" s="1459"/>
      <c r="I48" s="1459"/>
      <c r="J48" s="1459"/>
      <c r="K48" s="1459"/>
      <c r="L48" s="1459"/>
      <c r="N48" s="1399"/>
      <c r="P48" s="1399"/>
      <c r="Q48" s="1399"/>
      <c r="R48" s="1399"/>
      <c r="S48" s="1399"/>
      <c r="T48" s="1399"/>
      <c r="U48" s="1399"/>
      <c r="V48" s="1399"/>
      <c r="W48" s="1399"/>
    </row>
    <row r="49" spans="2:23" s="1280" customFormat="1" x14ac:dyDescent="0.6">
      <c r="B49" s="1461"/>
      <c r="D49" s="1459"/>
      <c r="E49" s="1459"/>
      <c r="F49" s="1459"/>
      <c r="G49" s="1459"/>
      <c r="H49" s="1459"/>
      <c r="I49" s="1459"/>
      <c r="J49" s="1459"/>
      <c r="K49" s="1459"/>
      <c r="L49" s="1459"/>
      <c r="N49" s="1399"/>
      <c r="P49" s="1399"/>
      <c r="Q49" s="1399"/>
      <c r="R49" s="1399"/>
      <c r="S49" s="1399"/>
      <c r="T49" s="1399"/>
      <c r="U49" s="1399"/>
      <c r="V49" s="1399"/>
      <c r="W49" s="1399"/>
    </row>
    <row r="50" spans="2:23" s="1280" customFormat="1" x14ac:dyDescent="0.6">
      <c r="B50" s="1461"/>
      <c r="D50" s="1459"/>
      <c r="E50" s="1459"/>
      <c r="F50" s="1459"/>
      <c r="G50" s="1459"/>
      <c r="H50" s="1459"/>
      <c r="I50" s="1459"/>
      <c r="J50" s="1459"/>
      <c r="K50" s="1459"/>
      <c r="L50" s="1459"/>
      <c r="N50" s="1399"/>
      <c r="P50" s="1399"/>
      <c r="Q50" s="1399"/>
      <c r="R50" s="1399"/>
      <c r="S50" s="1399"/>
      <c r="T50" s="1399"/>
      <c r="U50" s="1399"/>
      <c r="V50" s="1399"/>
      <c r="W50" s="1399"/>
    </row>
    <row r="51" spans="2:23" s="1280" customFormat="1" x14ac:dyDescent="0.6">
      <c r="B51" s="1461"/>
      <c r="D51" s="1459"/>
      <c r="E51" s="1459"/>
      <c r="F51" s="1459"/>
      <c r="G51" s="1459"/>
      <c r="H51" s="1459"/>
      <c r="I51" s="1459"/>
      <c r="J51" s="1459"/>
      <c r="K51" s="1459"/>
      <c r="L51" s="1459"/>
      <c r="N51" s="1399"/>
      <c r="P51" s="1399"/>
      <c r="Q51" s="1399"/>
      <c r="R51" s="1399"/>
      <c r="S51" s="1399"/>
      <c r="T51" s="1399"/>
      <c r="U51" s="1399"/>
      <c r="V51" s="1399"/>
      <c r="W51" s="1399"/>
    </row>
    <row r="52" spans="2:23" s="1280" customFormat="1" x14ac:dyDescent="0.6">
      <c r="B52" s="1461"/>
      <c r="D52" s="1459"/>
      <c r="E52" s="1459"/>
      <c r="F52" s="1459"/>
      <c r="G52" s="1459"/>
      <c r="H52" s="1459"/>
      <c r="I52" s="1459"/>
      <c r="J52" s="1459"/>
      <c r="K52" s="1459"/>
      <c r="L52" s="1459"/>
      <c r="N52" s="1399"/>
      <c r="P52" s="1399"/>
      <c r="Q52" s="1399"/>
      <c r="R52" s="1399"/>
      <c r="S52" s="1399"/>
      <c r="T52" s="1399"/>
      <c r="U52" s="1399"/>
      <c r="V52" s="1399"/>
      <c r="W52" s="1399"/>
    </row>
    <row r="53" spans="2:23" s="1280" customFormat="1" x14ac:dyDescent="0.6">
      <c r="B53" s="1461"/>
      <c r="D53" s="1459"/>
      <c r="E53" s="1459"/>
      <c r="F53" s="1459"/>
      <c r="G53" s="1459"/>
      <c r="H53" s="1459"/>
      <c r="I53" s="1459"/>
      <c r="J53" s="1459"/>
      <c r="K53" s="1459"/>
      <c r="L53" s="1459"/>
      <c r="N53" s="1399"/>
      <c r="P53" s="1399"/>
      <c r="Q53" s="1399"/>
      <c r="R53" s="1399"/>
      <c r="S53" s="1399"/>
      <c r="T53" s="1399"/>
      <c r="U53" s="1399"/>
      <c r="V53" s="1399"/>
      <c r="W53" s="1399"/>
    </row>
    <row r="54" spans="2:23" s="1280" customFormat="1" x14ac:dyDescent="0.6">
      <c r="B54" s="1461"/>
      <c r="D54" s="1459"/>
      <c r="E54" s="1459"/>
      <c r="F54" s="1459"/>
      <c r="G54" s="1459"/>
      <c r="H54" s="1459"/>
      <c r="I54" s="1459"/>
      <c r="J54" s="1459"/>
      <c r="K54" s="1459"/>
      <c r="L54" s="1459"/>
      <c r="N54" s="1399"/>
      <c r="P54" s="1399"/>
      <c r="Q54" s="1399"/>
      <c r="R54" s="1399"/>
      <c r="S54" s="1399"/>
      <c r="T54" s="1399"/>
      <c r="U54" s="1399"/>
      <c r="V54" s="1399"/>
      <c r="W54" s="1399"/>
    </row>
    <row r="55" spans="2:23" s="1280" customFormat="1" x14ac:dyDescent="0.6">
      <c r="B55" s="1461"/>
      <c r="D55" s="1459"/>
      <c r="E55" s="1459"/>
      <c r="F55" s="1459"/>
      <c r="G55" s="1459"/>
      <c r="H55" s="1459"/>
      <c r="I55" s="1459"/>
      <c r="J55" s="1459"/>
      <c r="K55" s="1459"/>
      <c r="L55" s="1459"/>
      <c r="N55" s="1399"/>
      <c r="P55" s="1399"/>
      <c r="Q55" s="1399"/>
      <c r="R55" s="1399"/>
      <c r="S55" s="1399"/>
      <c r="T55" s="1399"/>
      <c r="U55" s="1399"/>
      <c r="V55" s="1399"/>
      <c r="W55" s="1399"/>
    </row>
    <row r="56" spans="2:23" s="1280" customFormat="1" x14ac:dyDescent="0.6">
      <c r="B56" s="1461"/>
      <c r="D56" s="1459"/>
      <c r="E56" s="1459"/>
      <c r="F56" s="1459"/>
      <c r="G56" s="1459"/>
      <c r="H56" s="1459"/>
      <c r="I56" s="1459"/>
      <c r="J56" s="1459"/>
      <c r="K56" s="1459"/>
      <c r="L56" s="1459"/>
      <c r="N56" s="1399"/>
      <c r="P56" s="1399"/>
      <c r="Q56" s="1399"/>
      <c r="R56" s="1399"/>
      <c r="S56" s="1399"/>
      <c r="T56" s="1399"/>
      <c r="U56" s="1399"/>
      <c r="V56" s="1399"/>
      <c r="W56" s="1399"/>
    </row>
    <row r="57" spans="2:23" s="1280" customFormat="1" x14ac:dyDescent="0.6">
      <c r="B57" s="1461"/>
      <c r="D57" s="1459"/>
      <c r="E57" s="1459"/>
      <c r="F57" s="1459"/>
      <c r="G57" s="1459"/>
      <c r="H57" s="1459"/>
      <c r="I57" s="1459"/>
      <c r="J57" s="1459"/>
      <c r="K57" s="1459"/>
      <c r="L57" s="1459"/>
      <c r="N57" s="1399"/>
      <c r="P57" s="1399"/>
      <c r="Q57" s="1399"/>
      <c r="R57" s="1399"/>
      <c r="S57" s="1399"/>
      <c r="T57" s="1399"/>
      <c r="U57" s="1399"/>
      <c r="V57" s="1399"/>
      <c r="W57" s="1399"/>
    </row>
    <row r="58" spans="2:23" s="1280" customFormat="1" x14ac:dyDescent="0.6">
      <c r="B58" s="1461"/>
      <c r="D58" s="1459"/>
      <c r="E58" s="1459"/>
      <c r="F58" s="1459"/>
      <c r="G58" s="1459"/>
      <c r="H58" s="1459"/>
      <c r="I58" s="1459"/>
      <c r="J58" s="1459"/>
      <c r="K58" s="1459"/>
      <c r="L58" s="1459"/>
      <c r="N58" s="1399"/>
      <c r="P58" s="1399"/>
      <c r="Q58" s="1399"/>
      <c r="R58" s="1399"/>
      <c r="S58" s="1399"/>
      <c r="T58" s="1399"/>
      <c r="U58" s="1399"/>
      <c r="V58" s="1399"/>
      <c r="W58" s="1399"/>
    </row>
    <row r="59" spans="2:23" s="1280" customFormat="1" x14ac:dyDescent="0.6">
      <c r="B59" s="1461"/>
      <c r="D59" s="1459"/>
      <c r="E59" s="1459"/>
      <c r="F59" s="1459"/>
      <c r="G59" s="1459"/>
      <c r="H59" s="1459"/>
      <c r="I59" s="1459"/>
      <c r="J59" s="1459"/>
      <c r="K59" s="1459"/>
      <c r="L59" s="1459"/>
      <c r="N59" s="1399"/>
      <c r="P59" s="1399"/>
      <c r="Q59" s="1399"/>
      <c r="R59" s="1399"/>
      <c r="S59" s="1399"/>
      <c r="T59" s="1399"/>
      <c r="U59" s="1399"/>
      <c r="V59" s="1399"/>
      <c r="W59" s="1399"/>
    </row>
    <row r="60" spans="2:23" s="1280" customFormat="1" x14ac:dyDescent="0.6">
      <c r="B60" s="1461"/>
      <c r="D60" s="1459"/>
      <c r="E60" s="1459"/>
      <c r="F60" s="1459"/>
      <c r="G60" s="1459"/>
      <c r="H60" s="1459"/>
      <c r="I60" s="1459"/>
      <c r="J60" s="1459"/>
      <c r="K60" s="1459"/>
      <c r="L60" s="1459"/>
      <c r="N60" s="1399"/>
      <c r="P60" s="1399"/>
      <c r="Q60" s="1399"/>
      <c r="R60" s="1399"/>
      <c r="S60" s="1399"/>
      <c r="T60" s="1399"/>
      <c r="U60" s="1399"/>
      <c r="V60" s="1399"/>
      <c r="W60" s="1399"/>
    </row>
    <row r="61" spans="2:23" s="1280" customFormat="1" x14ac:dyDescent="0.6">
      <c r="B61" s="1461"/>
      <c r="D61" s="1459"/>
      <c r="E61" s="1459"/>
      <c r="F61" s="1459"/>
      <c r="G61" s="1459"/>
      <c r="H61" s="1459"/>
      <c r="I61" s="1459"/>
      <c r="J61" s="1459"/>
      <c r="K61" s="1459"/>
      <c r="L61" s="1459"/>
      <c r="N61" s="1399"/>
      <c r="P61" s="1399"/>
      <c r="Q61" s="1399"/>
      <c r="R61" s="1399"/>
      <c r="S61" s="1399"/>
      <c r="T61" s="1399"/>
      <c r="U61" s="1399"/>
      <c r="V61" s="1399"/>
      <c r="W61" s="1399"/>
    </row>
    <row r="62" spans="2:23" s="1280" customFormat="1" x14ac:dyDescent="0.6">
      <c r="B62" s="1461"/>
      <c r="D62" s="1459"/>
      <c r="E62" s="1459"/>
      <c r="F62" s="1459"/>
      <c r="G62" s="1459"/>
      <c r="H62" s="1459"/>
      <c r="I62" s="1459"/>
      <c r="J62" s="1459"/>
      <c r="K62" s="1459"/>
      <c r="L62" s="1459"/>
      <c r="N62" s="1399"/>
      <c r="P62" s="1399"/>
      <c r="Q62" s="1399"/>
      <c r="R62" s="1399"/>
      <c r="S62" s="1399"/>
      <c r="T62" s="1399"/>
      <c r="U62" s="1399"/>
      <c r="V62" s="1399"/>
      <c r="W62" s="1399"/>
    </row>
    <row r="63" spans="2:23" s="1280" customFormat="1" x14ac:dyDescent="0.6">
      <c r="B63" s="1461"/>
      <c r="D63" s="1459"/>
      <c r="E63" s="1459"/>
      <c r="F63" s="1459"/>
      <c r="G63" s="1459"/>
      <c r="H63" s="1459"/>
      <c r="I63" s="1459"/>
      <c r="J63" s="1459"/>
      <c r="K63" s="1459"/>
      <c r="L63" s="1459"/>
      <c r="N63" s="1399"/>
      <c r="P63" s="1399"/>
      <c r="Q63" s="1399"/>
      <c r="R63" s="1399"/>
      <c r="S63" s="1399"/>
      <c r="T63" s="1399"/>
      <c r="U63" s="1399"/>
      <c r="V63" s="1399"/>
      <c r="W63" s="1399"/>
    </row>
    <row r="64" spans="2:23" s="1280" customFormat="1" x14ac:dyDescent="0.6">
      <c r="B64" s="1461"/>
      <c r="D64" s="1459"/>
      <c r="E64" s="1459"/>
      <c r="F64" s="1459"/>
      <c r="G64" s="1459"/>
      <c r="H64" s="1459"/>
      <c r="I64" s="1459"/>
      <c r="J64" s="1459"/>
      <c r="K64" s="1459"/>
      <c r="L64" s="1459"/>
      <c r="N64" s="1399"/>
      <c r="P64" s="1399"/>
      <c r="Q64" s="1399"/>
      <c r="R64" s="1399"/>
      <c r="S64" s="1399"/>
      <c r="T64" s="1399"/>
      <c r="U64" s="1399"/>
      <c r="V64" s="1399"/>
      <c r="W64" s="1399"/>
    </row>
    <row r="65" spans="2:23" s="1280" customFormat="1" x14ac:dyDescent="0.6">
      <c r="B65" s="1461"/>
      <c r="D65" s="1459"/>
      <c r="E65" s="1459"/>
      <c r="F65" s="1459"/>
      <c r="G65" s="1459"/>
      <c r="H65" s="1459"/>
      <c r="I65" s="1459"/>
      <c r="J65" s="1459"/>
      <c r="K65" s="1459"/>
      <c r="L65" s="1459"/>
      <c r="N65" s="1399"/>
      <c r="P65" s="1399"/>
      <c r="Q65" s="1399"/>
      <c r="R65" s="1399"/>
      <c r="S65" s="1399"/>
      <c r="T65" s="1399"/>
      <c r="U65" s="1399"/>
      <c r="V65" s="1399"/>
      <c r="W65" s="1399"/>
    </row>
    <row r="66" spans="2:23" s="1280" customFormat="1" x14ac:dyDescent="0.6">
      <c r="B66" s="1461"/>
      <c r="D66" s="1459"/>
      <c r="E66" s="1459"/>
      <c r="F66" s="1459"/>
      <c r="G66" s="1459"/>
      <c r="H66" s="1459"/>
      <c r="I66" s="1459"/>
      <c r="J66" s="1459"/>
      <c r="K66" s="1459"/>
      <c r="L66" s="1459"/>
      <c r="N66" s="1399"/>
      <c r="P66" s="1399"/>
      <c r="Q66" s="1399"/>
      <c r="R66" s="1399"/>
      <c r="S66" s="1399"/>
      <c r="T66" s="1399"/>
      <c r="U66" s="1399"/>
      <c r="V66" s="1399"/>
      <c r="W66" s="1399"/>
    </row>
    <row r="67" spans="2:23" s="1280" customFormat="1" x14ac:dyDescent="0.6">
      <c r="B67" s="1461"/>
      <c r="D67" s="1459"/>
      <c r="E67" s="1459"/>
      <c r="F67" s="1459"/>
      <c r="G67" s="1459"/>
      <c r="H67" s="1459"/>
      <c r="I67" s="1459"/>
      <c r="J67" s="1459"/>
      <c r="K67" s="1459"/>
      <c r="L67" s="1459"/>
      <c r="N67" s="1399"/>
      <c r="P67" s="1399"/>
      <c r="Q67" s="1399"/>
      <c r="R67" s="1399"/>
      <c r="S67" s="1399"/>
      <c r="T67" s="1399"/>
      <c r="U67" s="1399"/>
      <c r="V67" s="1399"/>
      <c r="W67" s="1399"/>
    </row>
    <row r="68" spans="2:23" s="1280" customFormat="1" x14ac:dyDescent="0.6">
      <c r="B68" s="1461"/>
      <c r="D68" s="1459"/>
      <c r="E68" s="1459"/>
      <c r="F68" s="1459"/>
      <c r="G68" s="1459"/>
      <c r="H68" s="1459"/>
      <c r="I68" s="1459"/>
      <c r="J68" s="1459"/>
      <c r="K68" s="1459"/>
      <c r="L68" s="1459"/>
      <c r="N68" s="1399"/>
      <c r="P68" s="1399"/>
      <c r="Q68" s="1399"/>
      <c r="R68" s="1399"/>
      <c r="S68" s="1399"/>
      <c r="T68" s="1399"/>
      <c r="U68" s="1399"/>
      <c r="V68" s="1399"/>
      <c r="W68" s="1399"/>
    </row>
    <row r="69" spans="2:23" s="1280" customFormat="1" x14ac:dyDescent="0.6">
      <c r="B69" s="1461"/>
      <c r="D69" s="1459"/>
      <c r="E69" s="1459"/>
      <c r="F69" s="1459"/>
      <c r="G69" s="1459"/>
      <c r="H69" s="1459"/>
      <c r="I69" s="1459"/>
      <c r="J69" s="1459"/>
      <c r="K69" s="1459"/>
      <c r="L69" s="1459"/>
      <c r="N69" s="1399"/>
      <c r="P69" s="1399"/>
      <c r="Q69" s="1399"/>
      <c r="R69" s="1399"/>
      <c r="S69" s="1399"/>
      <c r="T69" s="1399"/>
      <c r="U69" s="1399"/>
      <c r="V69" s="1399"/>
      <c r="W69" s="1399"/>
    </row>
    <row r="70" spans="2:23" s="1280" customFormat="1" x14ac:dyDescent="0.6">
      <c r="B70" s="1461"/>
      <c r="D70" s="1459"/>
      <c r="E70" s="1459"/>
      <c r="F70" s="1459"/>
      <c r="G70" s="1459"/>
      <c r="H70" s="1459"/>
      <c r="I70" s="1459"/>
      <c r="J70" s="1459"/>
      <c r="K70" s="1459"/>
      <c r="L70" s="1459"/>
      <c r="N70" s="1399"/>
      <c r="P70" s="1399"/>
      <c r="Q70" s="1399"/>
      <c r="R70" s="1399"/>
      <c r="S70" s="1399"/>
      <c r="T70" s="1399"/>
      <c r="U70" s="1399"/>
      <c r="V70" s="1399"/>
      <c r="W70" s="1399"/>
    </row>
    <row r="71" spans="2:23" s="1280" customFormat="1" x14ac:dyDescent="0.6">
      <c r="B71" s="1461"/>
      <c r="D71" s="1459"/>
      <c r="E71" s="1459"/>
      <c r="F71" s="1459"/>
      <c r="G71" s="1459"/>
      <c r="H71" s="1459"/>
      <c r="I71" s="1459"/>
      <c r="J71" s="1459"/>
      <c r="K71" s="1459"/>
      <c r="L71" s="1459"/>
      <c r="N71" s="1399"/>
      <c r="P71" s="1399"/>
      <c r="Q71" s="1399"/>
      <c r="R71" s="1399"/>
      <c r="S71" s="1399"/>
      <c r="T71" s="1399"/>
      <c r="U71" s="1399"/>
      <c r="V71" s="1399"/>
      <c r="W71" s="1399"/>
    </row>
    <row r="72" spans="2:23" s="1280" customFormat="1" x14ac:dyDescent="0.6">
      <c r="B72" s="1461"/>
      <c r="D72" s="1459"/>
      <c r="E72" s="1459"/>
      <c r="F72" s="1459"/>
      <c r="G72" s="1459"/>
      <c r="H72" s="1459"/>
      <c r="I72" s="1459"/>
      <c r="J72" s="1459"/>
      <c r="K72" s="1459"/>
      <c r="L72" s="1459"/>
      <c r="N72" s="1399"/>
      <c r="P72" s="1399"/>
      <c r="Q72" s="1399"/>
      <c r="R72" s="1399"/>
      <c r="S72" s="1399"/>
      <c r="T72" s="1399"/>
      <c r="U72" s="1399"/>
      <c r="V72" s="1399"/>
      <c r="W72" s="1399"/>
    </row>
    <row r="73" spans="2:23" s="1280" customFormat="1" x14ac:dyDescent="0.6">
      <c r="B73" s="1461"/>
      <c r="D73" s="1459"/>
      <c r="E73" s="1459"/>
      <c r="F73" s="1459"/>
      <c r="G73" s="1459"/>
      <c r="H73" s="1459"/>
      <c r="I73" s="1459"/>
      <c r="J73" s="1459"/>
      <c r="K73" s="1459"/>
      <c r="L73" s="1459"/>
      <c r="N73" s="1399"/>
      <c r="P73" s="1399"/>
      <c r="Q73" s="1399"/>
      <c r="R73" s="1399"/>
      <c r="S73" s="1399"/>
      <c r="T73" s="1399"/>
      <c r="U73" s="1399"/>
      <c r="V73" s="1399"/>
      <c r="W73" s="1399"/>
    </row>
    <row r="74" spans="2:23" s="1280" customFormat="1" x14ac:dyDescent="0.6">
      <c r="B74" s="1461"/>
      <c r="D74" s="1459"/>
      <c r="E74" s="1459"/>
      <c r="F74" s="1459"/>
      <c r="G74" s="1459"/>
      <c r="H74" s="1459"/>
      <c r="I74" s="1459"/>
      <c r="J74" s="1459"/>
      <c r="K74" s="1459"/>
      <c r="L74" s="1459"/>
      <c r="N74" s="1399"/>
      <c r="P74" s="1399"/>
      <c r="Q74" s="1399"/>
      <c r="R74" s="1399"/>
      <c r="S74" s="1399"/>
      <c r="T74" s="1399"/>
      <c r="U74" s="1399"/>
      <c r="V74" s="1399"/>
      <c r="W74" s="1399"/>
    </row>
    <row r="75" spans="2:23" s="1280" customFormat="1" x14ac:dyDescent="0.6">
      <c r="B75" s="1461"/>
      <c r="D75" s="1459"/>
      <c r="E75" s="1459"/>
      <c r="F75" s="1459"/>
      <c r="G75" s="1459"/>
      <c r="H75" s="1459"/>
      <c r="I75" s="1459"/>
      <c r="J75" s="1459"/>
      <c r="K75" s="1459"/>
      <c r="L75" s="1459"/>
      <c r="N75" s="1399"/>
      <c r="P75" s="1399"/>
      <c r="Q75" s="1399"/>
      <c r="R75" s="1399"/>
      <c r="S75" s="1399"/>
      <c r="T75" s="1399"/>
      <c r="U75" s="1399"/>
      <c r="V75" s="1399"/>
      <c r="W75" s="1399"/>
    </row>
    <row r="76" spans="2:23" s="1280" customFormat="1" x14ac:dyDescent="0.6">
      <c r="B76" s="1461"/>
      <c r="D76" s="1459"/>
      <c r="E76" s="1459"/>
      <c r="F76" s="1459"/>
      <c r="G76" s="1459"/>
      <c r="H76" s="1459"/>
      <c r="I76" s="1459"/>
      <c r="J76" s="1459"/>
      <c r="K76" s="1459"/>
      <c r="L76" s="1459"/>
      <c r="N76" s="1399"/>
      <c r="P76" s="1399"/>
      <c r="Q76" s="1399"/>
      <c r="R76" s="1399"/>
      <c r="S76" s="1399"/>
      <c r="T76" s="1399"/>
      <c r="U76" s="1399"/>
      <c r="V76" s="1399"/>
      <c r="W76" s="1399"/>
    </row>
    <row r="77" spans="2:23" s="1280" customFormat="1" x14ac:dyDescent="0.6">
      <c r="B77" s="1461"/>
      <c r="D77" s="1459"/>
      <c r="E77" s="1459"/>
      <c r="F77" s="1459"/>
      <c r="G77" s="1459"/>
      <c r="H77" s="1459"/>
      <c r="I77" s="1459"/>
      <c r="J77" s="1459"/>
      <c r="K77" s="1459"/>
      <c r="L77" s="1459"/>
      <c r="N77" s="1399"/>
      <c r="P77" s="1399"/>
      <c r="Q77" s="1399"/>
      <c r="R77" s="1399"/>
      <c r="S77" s="1399"/>
      <c r="T77" s="1399"/>
      <c r="U77" s="1399"/>
      <c r="V77" s="1399"/>
      <c r="W77" s="1399"/>
    </row>
    <row r="78" spans="2:23" s="1280" customFormat="1" x14ac:dyDescent="0.6">
      <c r="B78" s="1461"/>
      <c r="D78" s="1459"/>
      <c r="E78" s="1459"/>
      <c r="F78" s="1459"/>
      <c r="G78" s="1459"/>
      <c r="H78" s="1459"/>
      <c r="I78" s="1459"/>
      <c r="J78" s="1459"/>
      <c r="K78" s="1459"/>
      <c r="L78" s="1459"/>
      <c r="N78" s="1399"/>
      <c r="P78" s="1399"/>
      <c r="Q78" s="1399"/>
      <c r="R78" s="1399"/>
      <c r="S78" s="1399"/>
      <c r="T78" s="1399"/>
      <c r="U78" s="1399"/>
      <c r="V78" s="1399"/>
      <c r="W78" s="1399"/>
    </row>
    <row r="79" spans="2:23" s="1280" customFormat="1" x14ac:dyDescent="0.6">
      <c r="B79" s="1461"/>
      <c r="D79" s="1459"/>
      <c r="E79" s="1459"/>
      <c r="F79" s="1459"/>
      <c r="G79" s="1459"/>
      <c r="H79" s="1459"/>
      <c r="I79" s="1459"/>
      <c r="J79" s="1459"/>
      <c r="K79" s="1459"/>
      <c r="L79" s="1459"/>
      <c r="N79" s="1399"/>
      <c r="P79" s="1399"/>
      <c r="Q79" s="1399"/>
      <c r="R79" s="1399"/>
      <c r="S79" s="1399"/>
      <c r="T79" s="1399"/>
      <c r="U79" s="1399"/>
      <c r="V79" s="1399"/>
      <c r="W79" s="1399"/>
    </row>
    <row r="80" spans="2:23" s="1280" customFormat="1" x14ac:dyDescent="0.6">
      <c r="B80" s="1461"/>
      <c r="D80" s="1459"/>
      <c r="E80" s="1459"/>
      <c r="F80" s="1459"/>
      <c r="G80" s="1459"/>
      <c r="H80" s="1459"/>
      <c r="I80" s="1459"/>
      <c r="J80" s="1459"/>
      <c r="K80" s="1459"/>
      <c r="L80" s="1459"/>
      <c r="N80" s="1399"/>
      <c r="P80" s="1399"/>
      <c r="Q80" s="1399"/>
      <c r="R80" s="1399"/>
      <c r="S80" s="1399"/>
      <c r="T80" s="1399"/>
      <c r="U80" s="1399"/>
      <c r="V80" s="1399"/>
      <c r="W80" s="1399"/>
    </row>
    <row r="81" spans="2:23" s="1280" customFormat="1" x14ac:dyDescent="0.6">
      <c r="B81" s="1461"/>
      <c r="D81" s="1459"/>
      <c r="E81" s="1459"/>
      <c r="F81" s="1459"/>
      <c r="G81" s="1459"/>
      <c r="H81" s="1459"/>
      <c r="I81" s="1459"/>
      <c r="J81" s="1459"/>
      <c r="K81" s="1459"/>
      <c r="L81" s="1459"/>
      <c r="N81" s="1399"/>
      <c r="P81" s="1399"/>
      <c r="Q81" s="1399"/>
      <c r="R81" s="1399"/>
      <c r="S81" s="1399"/>
      <c r="T81" s="1399"/>
      <c r="U81" s="1399"/>
      <c r="V81" s="1399"/>
      <c r="W81" s="1399"/>
    </row>
    <row r="82" spans="2:23" s="1280" customFormat="1" x14ac:dyDescent="0.6">
      <c r="B82" s="1461"/>
      <c r="D82" s="1459"/>
      <c r="E82" s="1459"/>
      <c r="F82" s="1459"/>
      <c r="G82" s="1459"/>
      <c r="H82" s="1459"/>
      <c r="I82" s="1459"/>
      <c r="J82" s="1459"/>
      <c r="K82" s="1459"/>
      <c r="L82" s="1459"/>
      <c r="N82" s="1399"/>
      <c r="P82" s="1399"/>
      <c r="Q82" s="1399"/>
      <c r="R82" s="1399"/>
      <c r="S82" s="1399"/>
      <c r="T82" s="1399"/>
      <c r="U82" s="1399"/>
      <c r="V82" s="1399"/>
      <c r="W82" s="1399"/>
    </row>
    <row r="83" spans="2:23" s="1280" customFormat="1" x14ac:dyDescent="0.6">
      <c r="B83" s="1461"/>
      <c r="D83" s="1459"/>
      <c r="E83" s="1459"/>
      <c r="F83" s="1459"/>
      <c r="G83" s="1459"/>
      <c r="H83" s="1459"/>
      <c r="I83" s="1459"/>
      <c r="J83" s="1459"/>
      <c r="K83" s="1459"/>
      <c r="L83" s="1459"/>
      <c r="N83" s="1399"/>
      <c r="P83" s="1399"/>
      <c r="Q83" s="1399"/>
      <c r="R83" s="1399"/>
      <c r="S83" s="1399"/>
      <c r="T83" s="1399"/>
      <c r="U83" s="1399"/>
      <c r="V83" s="1399"/>
      <c r="W83" s="1399"/>
    </row>
    <row r="84" spans="2:23" s="1280" customFormat="1" x14ac:dyDescent="0.6">
      <c r="B84" s="1461"/>
      <c r="D84" s="1459"/>
      <c r="E84" s="1459"/>
      <c r="F84" s="1459"/>
      <c r="G84" s="1459"/>
      <c r="H84" s="1459"/>
      <c r="I84" s="1459"/>
      <c r="J84" s="1459"/>
      <c r="K84" s="1459"/>
      <c r="L84" s="1459"/>
      <c r="N84" s="1399"/>
      <c r="P84" s="1399"/>
      <c r="Q84" s="1399"/>
      <c r="R84" s="1399"/>
      <c r="S84" s="1399"/>
      <c r="T84" s="1399"/>
      <c r="U84" s="1399"/>
      <c r="V84" s="1399"/>
      <c r="W84" s="1399"/>
    </row>
    <row r="85" spans="2:23" s="1280" customFormat="1" x14ac:dyDescent="0.6">
      <c r="B85" s="1461"/>
      <c r="D85" s="1459"/>
      <c r="E85" s="1459"/>
      <c r="F85" s="1459"/>
      <c r="G85" s="1459"/>
      <c r="H85" s="1459"/>
      <c r="I85" s="1459"/>
      <c r="J85" s="1459"/>
      <c r="K85" s="1459"/>
      <c r="L85" s="1459"/>
      <c r="N85" s="1399"/>
      <c r="P85" s="1399"/>
      <c r="Q85" s="1399"/>
      <c r="R85" s="1399"/>
      <c r="S85" s="1399"/>
      <c r="T85" s="1399"/>
      <c r="U85" s="1399"/>
      <c r="V85" s="1399"/>
      <c r="W85" s="1399"/>
    </row>
    <row r="86" spans="2:23" s="1280" customFormat="1" x14ac:dyDescent="0.6">
      <c r="B86" s="1461"/>
      <c r="D86" s="1459"/>
      <c r="E86" s="1459"/>
      <c r="F86" s="1459"/>
      <c r="G86" s="1459"/>
      <c r="H86" s="1459"/>
      <c r="I86" s="1459"/>
      <c r="J86" s="1459"/>
      <c r="K86" s="1459"/>
      <c r="L86" s="1459"/>
      <c r="N86" s="1399"/>
      <c r="P86" s="1399"/>
      <c r="Q86" s="1399"/>
      <c r="R86" s="1399"/>
      <c r="S86" s="1399"/>
      <c r="T86" s="1399"/>
      <c r="U86" s="1399"/>
      <c r="V86" s="1399"/>
      <c r="W86" s="1399"/>
    </row>
    <row r="87" spans="2:23" s="1280" customFormat="1" x14ac:dyDescent="0.6">
      <c r="B87" s="1461"/>
      <c r="D87" s="1459"/>
      <c r="E87" s="1459"/>
      <c r="F87" s="1459"/>
      <c r="G87" s="1459"/>
      <c r="H87" s="1459"/>
      <c r="I87" s="1459"/>
      <c r="J87" s="1459"/>
      <c r="K87" s="1459"/>
      <c r="L87" s="1459"/>
      <c r="N87" s="1399"/>
      <c r="P87" s="1399"/>
      <c r="Q87" s="1399"/>
      <c r="R87" s="1399"/>
      <c r="S87" s="1399"/>
      <c r="T87" s="1399"/>
      <c r="U87" s="1399"/>
      <c r="V87" s="1399"/>
      <c r="W87" s="1399"/>
    </row>
    <row r="88" spans="2:23" s="1280" customFormat="1" x14ac:dyDescent="0.6">
      <c r="B88" s="1461"/>
      <c r="D88" s="1459"/>
      <c r="E88" s="1459"/>
      <c r="F88" s="1459"/>
      <c r="G88" s="1459"/>
      <c r="H88" s="1459"/>
      <c r="I88" s="1459"/>
      <c r="J88" s="1459"/>
      <c r="K88" s="1459"/>
      <c r="L88" s="1459"/>
      <c r="N88" s="1399"/>
      <c r="P88" s="1399"/>
      <c r="Q88" s="1399"/>
      <c r="R88" s="1399"/>
      <c r="S88" s="1399"/>
      <c r="T88" s="1399"/>
      <c r="U88" s="1399"/>
      <c r="V88" s="1399"/>
      <c r="W88" s="1399"/>
    </row>
    <row r="89" spans="2:23" s="1280" customFormat="1" x14ac:dyDescent="0.6">
      <c r="B89" s="1461"/>
      <c r="D89" s="1459"/>
      <c r="E89" s="1459"/>
      <c r="F89" s="1459"/>
      <c r="G89" s="1459"/>
      <c r="H89" s="1459"/>
      <c r="I89" s="1459"/>
      <c r="J89" s="1459"/>
      <c r="K89" s="1459"/>
      <c r="L89" s="1459"/>
      <c r="N89" s="1399"/>
      <c r="P89" s="1399"/>
      <c r="Q89" s="1399"/>
      <c r="R89" s="1399"/>
      <c r="S89" s="1399"/>
      <c r="T89" s="1399"/>
      <c r="U89" s="1399"/>
      <c r="V89" s="1399"/>
      <c r="W89" s="1399"/>
    </row>
    <row r="90" spans="2:23" s="1280" customFormat="1" x14ac:dyDescent="0.6">
      <c r="B90" s="1461"/>
      <c r="D90" s="1459"/>
      <c r="E90" s="1459"/>
      <c r="F90" s="1459"/>
      <c r="G90" s="1459"/>
      <c r="H90" s="1459"/>
      <c r="I90" s="1459"/>
      <c r="J90" s="1459"/>
      <c r="K90" s="1459"/>
      <c r="L90" s="1459"/>
      <c r="N90" s="1399"/>
      <c r="P90" s="1399"/>
      <c r="Q90" s="1399"/>
      <c r="R90" s="1399"/>
      <c r="S90" s="1399"/>
      <c r="T90" s="1399"/>
      <c r="U90" s="1399"/>
      <c r="V90" s="1399"/>
      <c r="W90" s="1399"/>
    </row>
    <row r="91" spans="2:23" s="1280" customFormat="1" x14ac:dyDescent="0.6">
      <c r="B91" s="1461"/>
      <c r="D91" s="1459"/>
      <c r="E91" s="1459"/>
      <c r="F91" s="1459"/>
      <c r="G91" s="1459"/>
      <c r="H91" s="1459"/>
      <c r="I91" s="1459"/>
      <c r="J91" s="1459"/>
      <c r="K91" s="1459"/>
      <c r="L91" s="1459"/>
      <c r="N91" s="1399"/>
      <c r="P91" s="1399"/>
      <c r="Q91" s="1399"/>
      <c r="R91" s="1399"/>
      <c r="S91" s="1399"/>
      <c r="T91" s="1399"/>
      <c r="U91" s="1399"/>
      <c r="V91" s="1399"/>
      <c r="W91" s="1399"/>
    </row>
    <row r="92" spans="2:23" s="1280" customFormat="1" x14ac:dyDescent="0.6">
      <c r="B92" s="1461"/>
      <c r="D92" s="1459"/>
      <c r="E92" s="1459"/>
      <c r="F92" s="1459"/>
      <c r="G92" s="1459"/>
      <c r="H92" s="1459"/>
      <c r="I92" s="1459"/>
      <c r="J92" s="1459"/>
      <c r="K92" s="1459"/>
      <c r="L92" s="1459"/>
      <c r="N92" s="1399"/>
      <c r="P92" s="1399"/>
      <c r="Q92" s="1399"/>
      <c r="R92" s="1399"/>
      <c r="S92" s="1399"/>
      <c r="T92" s="1399"/>
      <c r="U92" s="1399"/>
      <c r="V92" s="1399"/>
      <c r="W92" s="1399"/>
    </row>
    <row r="93" spans="2:23" s="1280" customFormat="1" x14ac:dyDescent="0.6">
      <c r="B93" s="1461"/>
      <c r="D93" s="1459"/>
      <c r="E93" s="1459"/>
      <c r="F93" s="1459"/>
      <c r="G93" s="1459"/>
      <c r="H93" s="1459"/>
      <c r="I93" s="1459"/>
      <c r="J93" s="1459"/>
      <c r="K93" s="1459"/>
      <c r="L93" s="1459"/>
      <c r="N93" s="1399"/>
      <c r="P93" s="1399"/>
      <c r="Q93" s="1399"/>
      <c r="R93" s="1399"/>
      <c r="S93" s="1399"/>
      <c r="T93" s="1399"/>
      <c r="U93" s="1399"/>
      <c r="V93" s="1399"/>
      <c r="W93" s="1399"/>
    </row>
    <row r="94" spans="2:23" s="1280" customFormat="1" x14ac:dyDescent="0.6">
      <c r="B94" s="1461"/>
      <c r="D94" s="1459"/>
      <c r="E94" s="1459"/>
      <c r="F94" s="1459"/>
      <c r="G94" s="1459"/>
      <c r="H94" s="1459"/>
      <c r="I94" s="1459"/>
      <c r="J94" s="1459"/>
      <c r="K94" s="1459"/>
      <c r="L94" s="1459"/>
      <c r="N94" s="1399"/>
      <c r="P94" s="1399"/>
      <c r="Q94" s="1399"/>
      <c r="R94" s="1399"/>
      <c r="S94" s="1399"/>
      <c r="T94" s="1399"/>
      <c r="U94" s="1399"/>
      <c r="V94" s="1399"/>
      <c r="W94" s="1399"/>
    </row>
    <row r="95" spans="2:23" s="1280" customFormat="1" x14ac:dyDescent="0.6">
      <c r="B95" s="1461"/>
      <c r="D95" s="1459"/>
      <c r="E95" s="1459"/>
      <c r="F95" s="1459"/>
      <c r="G95" s="1459"/>
      <c r="H95" s="1459"/>
      <c r="I95" s="1459"/>
      <c r="J95" s="1459"/>
      <c r="K95" s="1459"/>
      <c r="L95" s="1459"/>
      <c r="N95" s="1399"/>
      <c r="P95" s="1399"/>
      <c r="Q95" s="1399"/>
      <c r="R95" s="1399"/>
      <c r="S95" s="1399"/>
      <c r="T95" s="1399"/>
      <c r="U95" s="1399"/>
      <c r="V95" s="1399"/>
      <c r="W95" s="1399"/>
    </row>
    <row r="96" spans="2:23" s="1280" customFormat="1" x14ac:dyDescent="0.6">
      <c r="B96" s="1461"/>
      <c r="D96" s="1459"/>
      <c r="E96" s="1459"/>
      <c r="F96" s="1459"/>
      <c r="G96" s="1459"/>
      <c r="H96" s="1459"/>
      <c r="I96" s="1459"/>
      <c r="J96" s="1459"/>
      <c r="K96" s="1459"/>
      <c r="L96" s="1459"/>
      <c r="N96" s="1399"/>
      <c r="P96" s="1399"/>
      <c r="Q96" s="1399"/>
      <c r="R96" s="1399"/>
      <c r="S96" s="1399"/>
      <c r="T96" s="1399"/>
      <c r="U96" s="1399"/>
      <c r="V96" s="1399"/>
      <c r="W96" s="1399"/>
    </row>
    <row r="97" spans="2:23" s="1280" customFormat="1" x14ac:dyDescent="0.6">
      <c r="B97" s="1461"/>
      <c r="D97" s="1459"/>
      <c r="E97" s="1459"/>
      <c r="F97" s="1459"/>
      <c r="G97" s="1459"/>
      <c r="H97" s="1459"/>
      <c r="I97" s="1459"/>
      <c r="J97" s="1459"/>
      <c r="K97" s="1459"/>
      <c r="L97" s="1459"/>
      <c r="N97" s="1399"/>
      <c r="P97" s="1399"/>
      <c r="Q97" s="1399"/>
      <c r="R97" s="1399"/>
      <c r="S97" s="1399"/>
      <c r="T97" s="1399"/>
      <c r="U97" s="1399"/>
      <c r="V97" s="1399"/>
      <c r="W97" s="1399"/>
    </row>
    <row r="98" spans="2:23" s="1280" customFormat="1" x14ac:dyDescent="0.6">
      <c r="B98" s="1461"/>
      <c r="D98" s="1459"/>
      <c r="E98" s="1459"/>
      <c r="F98" s="1459"/>
      <c r="G98" s="1459"/>
      <c r="H98" s="1459"/>
      <c r="I98" s="1459"/>
      <c r="J98" s="1459"/>
      <c r="K98" s="1459"/>
      <c r="L98" s="1459"/>
      <c r="N98" s="1399"/>
      <c r="P98" s="1399"/>
      <c r="Q98" s="1399"/>
      <c r="R98" s="1399"/>
      <c r="S98" s="1399"/>
      <c r="T98" s="1399"/>
      <c r="U98" s="1399"/>
      <c r="V98" s="1399"/>
      <c r="W98" s="1399"/>
    </row>
    <row r="99" spans="2:23" s="1280" customFormat="1" x14ac:dyDescent="0.6">
      <c r="B99" s="1461"/>
      <c r="D99" s="1459"/>
      <c r="E99" s="1459"/>
      <c r="F99" s="1459"/>
      <c r="G99" s="1459"/>
      <c r="H99" s="1459"/>
      <c r="I99" s="1459"/>
      <c r="J99" s="1459"/>
      <c r="K99" s="1459"/>
      <c r="L99" s="1459"/>
      <c r="N99" s="1399"/>
      <c r="P99" s="1399"/>
      <c r="Q99" s="1399"/>
      <c r="R99" s="1399"/>
      <c r="S99" s="1399"/>
      <c r="T99" s="1399"/>
      <c r="U99" s="1399"/>
      <c r="V99" s="1399"/>
      <c r="W99" s="1399"/>
    </row>
    <row r="100" spans="2:23" s="1280" customFormat="1" x14ac:dyDescent="0.6">
      <c r="B100" s="1461"/>
      <c r="D100" s="1459"/>
      <c r="E100" s="1459"/>
      <c r="F100" s="1459"/>
      <c r="G100" s="1459"/>
      <c r="H100" s="1459"/>
      <c r="I100" s="1459"/>
      <c r="J100" s="1459"/>
      <c r="K100" s="1459"/>
      <c r="L100" s="1459"/>
      <c r="N100" s="1399"/>
      <c r="P100" s="1399"/>
      <c r="Q100" s="1399"/>
      <c r="R100" s="1399"/>
      <c r="S100" s="1399"/>
      <c r="T100" s="1399"/>
      <c r="U100" s="1399"/>
      <c r="V100" s="1399"/>
      <c r="W100" s="1399"/>
    </row>
    <row r="101" spans="2:23" s="1280" customFormat="1" x14ac:dyDescent="0.6">
      <c r="B101" s="1461"/>
      <c r="D101" s="1459"/>
      <c r="E101" s="1459"/>
      <c r="F101" s="1459"/>
      <c r="G101" s="1459"/>
      <c r="H101" s="1459"/>
      <c r="I101" s="1459"/>
      <c r="J101" s="1459"/>
      <c r="K101" s="1459"/>
      <c r="L101" s="1459"/>
      <c r="N101" s="1399"/>
      <c r="P101" s="1399"/>
      <c r="Q101" s="1399"/>
      <c r="R101" s="1399"/>
      <c r="S101" s="1399"/>
      <c r="T101" s="1399"/>
      <c r="U101" s="1399"/>
      <c r="V101" s="1399"/>
      <c r="W101" s="1399"/>
    </row>
    <row r="102" spans="2:23" s="1280" customFormat="1" x14ac:dyDescent="0.6">
      <c r="B102" s="1461"/>
      <c r="D102" s="1459"/>
      <c r="E102" s="1459"/>
      <c r="F102" s="1459"/>
      <c r="G102" s="1459"/>
      <c r="H102" s="1459"/>
      <c r="I102" s="1459"/>
      <c r="J102" s="1459"/>
      <c r="K102" s="1459"/>
      <c r="L102" s="1459"/>
      <c r="N102" s="1399"/>
      <c r="P102" s="1399"/>
      <c r="Q102" s="1399"/>
      <c r="R102" s="1399"/>
      <c r="S102" s="1399"/>
      <c r="T102" s="1399"/>
      <c r="U102" s="1399"/>
      <c r="V102" s="1399"/>
      <c r="W102" s="1399"/>
    </row>
    <row r="103" spans="2:23" s="1280" customFormat="1" x14ac:dyDescent="0.6">
      <c r="B103" s="1461"/>
      <c r="D103" s="1459"/>
      <c r="E103" s="1459"/>
      <c r="F103" s="1459"/>
      <c r="G103" s="1459"/>
      <c r="H103" s="1459"/>
      <c r="I103" s="1459"/>
      <c r="J103" s="1459"/>
      <c r="K103" s="1459"/>
      <c r="L103" s="1459"/>
      <c r="N103" s="1399"/>
      <c r="P103" s="1399"/>
      <c r="Q103" s="1399"/>
      <c r="R103" s="1399"/>
      <c r="S103" s="1399"/>
      <c r="T103" s="1399"/>
      <c r="U103" s="1399"/>
      <c r="V103" s="1399"/>
      <c r="W103" s="1399"/>
    </row>
    <row r="104" spans="2:23" s="1280" customFormat="1" x14ac:dyDescent="0.6">
      <c r="B104" s="1461"/>
      <c r="D104" s="1459"/>
      <c r="E104" s="1459"/>
      <c r="F104" s="1459"/>
      <c r="G104" s="1459"/>
      <c r="H104" s="1459"/>
      <c r="I104" s="1459"/>
      <c r="J104" s="1459"/>
      <c r="K104" s="1459"/>
      <c r="L104" s="1459"/>
      <c r="N104" s="1399"/>
      <c r="P104" s="1399"/>
      <c r="Q104" s="1399"/>
      <c r="R104" s="1399"/>
      <c r="S104" s="1399"/>
      <c r="T104" s="1399"/>
      <c r="U104" s="1399"/>
      <c r="V104" s="1399"/>
      <c r="W104" s="1399"/>
    </row>
    <row r="105" spans="2:23" s="1280" customFormat="1" x14ac:dyDescent="0.6">
      <c r="B105" s="1461"/>
      <c r="D105" s="1459"/>
      <c r="E105" s="1459"/>
      <c r="F105" s="1459"/>
      <c r="G105" s="1459"/>
      <c r="H105" s="1459"/>
      <c r="I105" s="1459"/>
      <c r="J105" s="1459"/>
      <c r="K105" s="1459"/>
      <c r="L105" s="1459"/>
      <c r="N105" s="1399"/>
      <c r="P105" s="1399"/>
      <c r="Q105" s="1399"/>
      <c r="R105" s="1399"/>
      <c r="S105" s="1399"/>
      <c r="T105" s="1399"/>
      <c r="U105" s="1399"/>
      <c r="V105" s="1399"/>
      <c r="W105" s="1399"/>
    </row>
    <row r="106" spans="2:23" s="1280" customFormat="1" x14ac:dyDescent="0.6">
      <c r="B106" s="1461"/>
      <c r="D106" s="1459"/>
      <c r="E106" s="1459"/>
      <c r="F106" s="1459"/>
      <c r="G106" s="1459"/>
      <c r="H106" s="1459"/>
      <c r="I106" s="1459"/>
      <c r="J106" s="1459"/>
      <c r="K106" s="1459"/>
      <c r="L106" s="1459"/>
      <c r="N106" s="1399"/>
      <c r="P106" s="1399"/>
      <c r="Q106" s="1399"/>
      <c r="R106" s="1399"/>
      <c r="S106" s="1399"/>
      <c r="T106" s="1399"/>
      <c r="U106" s="1399"/>
      <c r="V106" s="1399"/>
      <c r="W106" s="1399"/>
    </row>
    <row r="107" spans="2:23" s="1280" customFormat="1" x14ac:dyDescent="0.6">
      <c r="B107" s="1461"/>
      <c r="D107" s="1459"/>
      <c r="E107" s="1459"/>
      <c r="F107" s="1459"/>
      <c r="G107" s="1459"/>
      <c r="H107" s="1459"/>
      <c r="I107" s="1459"/>
      <c r="J107" s="1459"/>
      <c r="K107" s="1459"/>
      <c r="L107" s="1459"/>
      <c r="N107" s="1399"/>
      <c r="P107" s="1399"/>
      <c r="Q107" s="1399"/>
      <c r="R107" s="1399"/>
      <c r="S107" s="1399"/>
      <c r="T107" s="1399"/>
      <c r="U107" s="1399"/>
      <c r="V107" s="1399"/>
      <c r="W107" s="1399"/>
    </row>
    <row r="108" spans="2:23" s="1280" customFormat="1" x14ac:dyDescent="0.6">
      <c r="B108" s="1461"/>
      <c r="D108" s="1459"/>
      <c r="E108" s="1459"/>
      <c r="F108" s="1459"/>
      <c r="G108" s="1459"/>
      <c r="H108" s="1459"/>
      <c r="I108" s="1459"/>
      <c r="J108" s="1459"/>
      <c r="K108" s="1459"/>
      <c r="L108" s="1459"/>
      <c r="N108" s="1399"/>
      <c r="P108" s="1399"/>
      <c r="Q108" s="1399"/>
      <c r="R108" s="1399"/>
      <c r="S108" s="1399"/>
      <c r="T108" s="1399"/>
      <c r="U108" s="1399"/>
      <c r="V108" s="1399"/>
      <c r="W108" s="1399"/>
    </row>
    <row r="109" spans="2:23" s="1280" customFormat="1" x14ac:dyDescent="0.6">
      <c r="B109" s="1461"/>
      <c r="D109" s="1459"/>
      <c r="E109" s="1459"/>
      <c r="F109" s="1459"/>
      <c r="G109" s="1459"/>
      <c r="H109" s="1459"/>
      <c r="I109" s="1459"/>
      <c r="J109" s="1459"/>
      <c r="K109" s="1459"/>
      <c r="L109" s="1459"/>
      <c r="N109" s="1399"/>
      <c r="P109" s="1399"/>
      <c r="Q109" s="1399"/>
      <c r="R109" s="1399"/>
      <c r="S109" s="1399"/>
      <c r="T109" s="1399"/>
      <c r="U109" s="1399"/>
      <c r="V109" s="1399"/>
      <c r="W109" s="1399"/>
    </row>
    <row r="110" spans="2:23" s="1280" customFormat="1" x14ac:dyDescent="0.6">
      <c r="B110" s="1461"/>
      <c r="D110" s="1459"/>
      <c r="E110" s="1459"/>
      <c r="F110" s="1459"/>
      <c r="G110" s="1459"/>
      <c r="H110" s="1459"/>
      <c r="I110" s="1459"/>
      <c r="J110" s="1459"/>
      <c r="K110" s="1459"/>
      <c r="L110" s="1459"/>
      <c r="N110" s="1399"/>
      <c r="P110" s="1399"/>
      <c r="Q110" s="1399"/>
      <c r="R110" s="1399"/>
      <c r="S110" s="1399"/>
      <c r="T110" s="1399"/>
      <c r="U110" s="1399"/>
      <c r="V110" s="1399"/>
      <c r="W110" s="1399"/>
    </row>
    <row r="111" spans="2:23" s="1280" customFormat="1" x14ac:dyDescent="0.6">
      <c r="B111" s="1461"/>
      <c r="D111" s="1459"/>
      <c r="E111" s="1459"/>
      <c r="F111" s="1459"/>
      <c r="G111" s="1459"/>
      <c r="H111" s="1459"/>
      <c r="I111" s="1459"/>
      <c r="J111" s="1459"/>
      <c r="K111" s="1459"/>
      <c r="L111" s="1459"/>
      <c r="N111" s="1399"/>
      <c r="P111" s="1399"/>
      <c r="Q111" s="1399"/>
      <c r="R111" s="1399"/>
      <c r="S111" s="1399"/>
      <c r="T111" s="1399"/>
      <c r="U111" s="1399"/>
      <c r="V111" s="1399"/>
      <c r="W111" s="1399"/>
    </row>
    <row r="112" spans="2:23" s="1280" customFormat="1" x14ac:dyDescent="0.6">
      <c r="B112" s="1461"/>
      <c r="D112" s="1459"/>
      <c r="E112" s="1459"/>
      <c r="F112" s="1459"/>
      <c r="G112" s="1459"/>
      <c r="H112" s="1459"/>
      <c r="I112" s="1459"/>
      <c r="J112" s="1459"/>
      <c r="K112" s="1459"/>
      <c r="L112" s="1459"/>
      <c r="N112" s="1399"/>
      <c r="P112" s="1399"/>
      <c r="Q112" s="1399"/>
      <c r="R112" s="1399"/>
      <c r="S112" s="1399"/>
      <c r="T112" s="1399"/>
      <c r="U112" s="1399"/>
      <c r="V112" s="1399"/>
      <c r="W112" s="1399"/>
    </row>
    <row r="113" spans="2:23" s="1280" customFormat="1" x14ac:dyDescent="0.6">
      <c r="B113" s="1461"/>
      <c r="D113" s="1459"/>
      <c r="E113" s="1459"/>
      <c r="F113" s="1459"/>
      <c r="G113" s="1459"/>
      <c r="H113" s="1459"/>
      <c r="I113" s="1459"/>
      <c r="J113" s="1459"/>
      <c r="K113" s="1459"/>
      <c r="L113" s="1459"/>
      <c r="N113" s="1399"/>
      <c r="P113" s="1399"/>
      <c r="Q113" s="1399"/>
      <c r="R113" s="1399"/>
      <c r="S113" s="1399"/>
      <c r="T113" s="1399"/>
      <c r="U113" s="1399"/>
      <c r="V113" s="1399"/>
      <c r="W113" s="1399"/>
    </row>
    <row r="114" spans="2:23" s="1280" customFormat="1" x14ac:dyDescent="0.6">
      <c r="B114" s="1461"/>
      <c r="D114" s="1459"/>
      <c r="E114" s="1459"/>
      <c r="F114" s="1459"/>
      <c r="G114" s="1459"/>
      <c r="H114" s="1459"/>
      <c r="I114" s="1459"/>
      <c r="J114" s="1459"/>
      <c r="K114" s="1459"/>
      <c r="L114" s="1459"/>
      <c r="N114" s="1399"/>
      <c r="P114" s="1399"/>
      <c r="Q114" s="1399"/>
      <c r="R114" s="1399"/>
      <c r="S114" s="1399"/>
      <c r="T114" s="1399"/>
      <c r="U114" s="1399"/>
      <c r="V114" s="1399"/>
      <c r="W114" s="1399"/>
    </row>
    <row r="115" spans="2:23" s="1280" customFormat="1" x14ac:dyDescent="0.6">
      <c r="B115" s="1461"/>
      <c r="D115" s="1459"/>
      <c r="E115" s="1459"/>
      <c r="F115" s="1459"/>
      <c r="G115" s="1459"/>
      <c r="H115" s="1459"/>
      <c r="I115" s="1459"/>
      <c r="J115" s="1459"/>
      <c r="K115" s="1459"/>
      <c r="L115" s="1459"/>
      <c r="N115" s="1399"/>
      <c r="P115" s="1399"/>
      <c r="Q115" s="1399"/>
      <c r="R115" s="1399"/>
      <c r="S115" s="1399"/>
      <c r="T115" s="1399"/>
      <c r="U115" s="1399"/>
      <c r="V115" s="1399"/>
      <c r="W115" s="1399"/>
    </row>
    <row r="116" spans="2:23" s="1280" customFormat="1" x14ac:dyDescent="0.6">
      <c r="B116" s="1461"/>
      <c r="D116" s="1459"/>
      <c r="E116" s="1459"/>
      <c r="F116" s="1459"/>
      <c r="G116" s="1459"/>
      <c r="H116" s="1459"/>
      <c r="I116" s="1459"/>
      <c r="J116" s="1459"/>
      <c r="K116" s="1459"/>
      <c r="L116" s="1459"/>
      <c r="N116" s="1399"/>
      <c r="P116" s="1399"/>
      <c r="Q116" s="1399"/>
      <c r="R116" s="1399"/>
      <c r="S116" s="1399"/>
      <c r="T116" s="1399"/>
      <c r="U116" s="1399"/>
      <c r="V116" s="1399"/>
      <c r="W116" s="1399"/>
    </row>
    <row r="117" spans="2:23" s="1280" customFormat="1" x14ac:dyDescent="0.6">
      <c r="B117" s="1461"/>
      <c r="D117" s="1459"/>
      <c r="E117" s="1459"/>
      <c r="F117" s="1459"/>
      <c r="G117" s="1459"/>
      <c r="H117" s="1459"/>
      <c r="I117" s="1459"/>
      <c r="J117" s="1459"/>
      <c r="K117" s="1459"/>
      <c r="L117" s="1459"/>
      <c r="N117" s="1399"/>
      <c r="P117" s="1399"/>
      <c r="Q117" s="1399"/>
      <c r="R117" s="1399"/>
      <c r="S117" s="1399"/>
      <c r="T117" s="1399"/>
      <c r="U117" s="1399"/>
      <c r="V117" s="1399"/>
      <c r="W117" s="1399"/>
    </row>
    <row r="118" spans="2:23" s="1280" customFormat="1" x14ac:dyDescent="0.6">
      <c r="B118" s="1461"/>
      <c r="D118" s="1459"/>
      <c r="E118" s="1459"/>
      <c r="F118" s="1459"/>
      <c r="G118" s="1459"/>
      <c r="H118" s="1459"/>
      <c r="I118" s="1459"/>
      <c r="J118" s="1459"/>
      <c r="K118" s="1459"/>
      <c r="L118" s="1459"/>
      <c r="N118" s="1399"/>
      <c r="P118" s="1399"/>
      <c r="Q118" s="1399"/>
      <c r="R118" s="1399"/>
      <c r="S118" s="1399"/>
      <c r="T118" s="1399"/>
      <c r="U118" s="1399"/>
      <c r="V118" s="1399"/>
      <c r="W118" s="1399"/>
    </row>
    <row r="119" spans="2:23" s="1280" customFormat="1" x14ac:dyDescent="0.6">
      <c r="B119" s="1461"/>
      <c r="D119" s="1459"/>
      <c r="E119" s="1459"/>
      <c r="F119" s="1459"/>
      <c r="G119" s="1459"/>
      <c r="H119" s="1459"/>
      <c r="I119" s="1459"/>
      <c r="J119" s="1459"/>
      <c r="K119" s="1459"/>
      <c r="L119" s="1459"/>
      <c r="N119" s="1399"/>
      <c r="P119" s="1399"/>
      <c r="Q119" s="1399"/>
      <c r="R119" s="1399"/>
      <c r="S119" s="1399"/>
      <c r="T119" s="1399"/>
      <c r="U119" s="1399"/>
      <c r="V119" s="1399"/>
      <c r="W119" s="1399"/>
    </row>
    <row r="120" spans="2:23" s="1280" customFormat="1" x14ac:dyDescent="0.6">
      <c r="B120" s="1461"/>
      <c r="D120" s="1459"/>
      <c r="E120" s="1459"/>
      <c r="F120" s="1459"/>
      <c r="G120" s="1459"/>
      <c r="H120" s="1459"/>
      <c r="I120" s="1459"/>
      <c r="J120" s="1459"/>
      <c r="K120" s="1459"/>
      <c r="L120" s="1459"/>
      <c r="N120" s="1399"/>
      <c r="P120" s="1399"/>
      <c r="Q120" s="1399"/>
      <c r="R120" s="1399"/>
      <c r="S120" s="1399"/>
      <c r="T120" s="1399"/>
      <c r="U120" s="1399"/>
      <c r="V120" s="1399"/>
      <c r="W120" s="1399"/>
    </row>
    <row r="121" spans="2:23" s="1280" customFormat="1" x14ac:dyDescent="0.6">
      <c r="B121" s="1461"/>
      <c r="D121" s="1459"/>
      <c r="E121" s="1459"/>
      <c r="F121" s="1459"/>
      <c r="G121" s="1459"/>
      <c r="H121" s="1459"/>
      <c r="I121" s="1459"/>
      <c r="J121" s="1459"/>
      <c r="K121" s="1459"/>
      <c r="L121" s="1459"/>
      <c r="N121" s="1399"/>
      <c r="P121" s="1399"/>
      <c r="Q121" s="1399"/>
      <c r="R121" s="1399"/>
      <c r="S121" s="1399"/>
      <c r="T121" s="1399"/>
      <c r="U121" s="1399"/>
      <c r="V121" s="1399"/>
      <c r="W121" s="1399"/>
    </row>
    <row r="122" spans="2:23" s="1280" customFormat="1" x14ac:dyDescent="0.6">
      <c r="B122" s="1461"/>
      <c r="D122" s="1459"/>
      <c r="E122" s="1459"/>
      <c r="F122" s="1459"/>
      <c r="G122" s="1459"/>
      <c r="H122" s="1459"/>
      <c r="I122" s="1459"/>
      <c r="J122" s="1459"/>
      <c r="K122" s="1459"/>
      <c r="L122" s="1459"/>
      <c r="N122" s="1399"/>
      <c r="P122" s="1399"/>
      <c r="Q122" s="1399"/>
      <c r="R122" s="1399"/>
      <c r="S122" s="1399"/>
      <c r="T122" s="1399"/>
      <c r="U122" s="1399"/>
      <c r="V122" s="1399"/>
      <c r="W122" s="1399"/>
    </row>
    <row r="123" spans="2:23" s="1280" customFormat="1" x14ac:dyDescent="0.6">
      <c r="B123" s="1461"/>
      <c r="D123" s="1459"/>
      <c r="E123" s="1459"/>
      <c r="F123" s="1459"/>
      <c r="G123" s="1459"/>
      <c r="H123" s="1459"/>
      <c r="I123" s="1459"/>
      <c r="J123" s="1459"/>
      <c r="K123" s="1459"/>
      <c r="L123" s="1459"/>
      <c r="N123" s="1399"/>
      <c r="P123" s="1399"/>
      <c r="Q123" s="1399"/>
      <c r="R123" s="1399"/>
      <c r="S123" s="1399"/>
      <c r="T123" s="1399"/>
      <c r="U123" s="1399"/>
      <c r="V123" s="1399"/>
      <c r="W123" s="1399"/>
    </row>
    <row r="124" spans="2:23" s="1280" customFormat="1" x14ac:dyDescent="0.6">
      <c r="B124" s="1461"/>
      <c r="D124" s="1459"/>
      <c r="E124" s="1459"/>
      <c r="F124" s="1459"/>
      <c r="G124" s="1459"/>
      <c r="H124" s="1459"/>
      <c r="I124" s="1459"/>
      <c r="J124" s="1459"/>
      <c r="K124" s="1459"/>
      <c r="L124" s="1459"/>
      <c r="N124" s="1399"/>
      <c r="P124" s="1399"/>
      <c r="Q124" s="1399"/>
      <c r="R124" s="1399"/>
      <c r="S124" s="1399"/>
      <c r="T124" s="1399"/>
      <c r="U124" s="1399"/>
      <c r="V124" s="1399"/>
      <c r="W124" s="1399"/>
    </row>
    <row r="125" spans="2:23" s="1280" customFormat="1" x14ac:dyDescent="0.6">
      <c r="B125" s="1461"/>
      <c r="D125" s="1459"/>
      <c r="E125" s="1459"/>
      <c r="F125" s="1459"/>
      <c r="G125" s="1459"/>
      <c r="H125" s="1459"/>
      <c r="I125" s="1459"/>
      <c r="J125" s="1459"/>
      <c r="K125" s="1459"/>
      <c r="L125" s="1459"/>
      <c r="N125" s="1399"/>
      <c r="P125" s="1399"/>
      <c r="Q125" s="1399"/>
      <c r="R125" s="1399"/>
      <c r="S125" s="1399"/>
      <c r="T125" s="1399"/>
      <c r="U125" s="1399"/>
      <c r="V125" s="1399"/>
      <c r="W125" s="1399"/>
    </row>
    <row r="126" spans="2:23" s="1280" customFormat="1" x14ac:dyDescent="0.6">
      <c r="B126" s="1461"/>
      <c r="D126" s="1459"/>
      <c r="E126" s="1459"/>
      <c r="F126" s="1459"/>
      <c r="G126" s="1459"/>
      <c r="H126" s="1459"/>
      <c r="I126" s="1459"/>
      <c r="J126" s="1459"/>
      <c r="K126" s="1459"/>
      <c r="L126" s="1459"/>
      <c r="N126" s="1399"/>
      <c r="P126" s="1399"/>
      <c r="Q126" s="1399"/>
      <c r="R126" s="1399"/>
      <c r="S126" s="1399"/>
      <c r="T126" s="1399"/>
      <c r="U126" s="1399"/>
      <c r="V126" s="1399"/>
      <c r="W126" s="1399"/>
    </row>
    <row r="127" spans="2:23" s="1280" customFormat="1" x14ac:dyDescent="0.6">
      <c r="B127" s="1461"/>
      <c r="D127" s="1459"/>
      <c r="E127" s="1459"/>
      <c r="F127" s="1459"/>
      <c r="G127" s="1459"/>
      <c r="H127" s="1459"/>
      <c r="I127" s="1459"/>
      <c r="J127" s="1459"/>
      <c r="K127" s="1459"/>
      <c r="L127" s="1459"/>
      <c r="N127" s="1399"/>
      <c r="P127" s="1399"/>
      <c r="Q127" s="1399"/>
      <c r="R127" s="1399"/>
      <c r="S127" s="1399"/>
      <c r="T127" s="1399"/>
      <c r="U127" s="1399"/>
      <c r="V127" s="1399"/>
      <c r="W127" s="1399"/>
    </row>
    <row r="128" spans="2:23" s="1280" customFormat="1" x14ac:dyDescent="0.6">
      <c r="B128" s="1461"/>
      <c r="D128" s="1459"/>
      <c r="E128" s="1459"/>
      <c r="F128" s="1459"/>
      <c r="G128" s="1459"/>
      <c r="H128" s="1459"/>
      <c r="I128" s="1459"/>
      <c r="J128" s="1459"/>
      <c r="K128" s="1459"/>
      <c r="L128" s="1459"/>
      <c r="N128" s="1399"/>
      <c r="P128" s="1399"/>
      <c r="Q128" s="1399"/>
      <c r="R128" s="1399"/>
      <c r="S128" s="1399"/>
      <c r="T128" s="1399"/>
      <c r="U128" s="1399"/>
      <c r="V128" s="1399"/>
      <c r="W128" s="1399"/>
    </row>
    <row r="129" spans="2:23" s="1280" customFormat="1" x14ac:dyDescent="0.6">
      <c r="B129" s="1461"/>
      <c r="D129" s="1459"/>
      <c r="E129" s="1459"/>
      <c r="F129" s="1459"/>
      <c r="G129" s="1459"/>
      <c r="H129" s="1459"/>
      <c r="I129" s="1459"/>
      <c r="J129" s="1459"/>
      <c r="K129" s="1459"/>
      <c r="L129" s="1459"/>
      <c r="N129" s="1399"/>
      <c r="P129" s="1399"/>
      <c r="Q129" s="1399"/>
      <c r="R129" s="1399"/>
      <c r="S129" s="1399"/>
      <c r="T129" s="1399"/>
      <c r="U129" s="1399"/>
      <c r="V129" s="1399"/>
      <c r="W129" s="1399"/>
    </row>
    <row r="130" spans="2:23" s="1280" customFormat="1" x14ac:dyDescent="0.6">
      <c r="B130" s="1461"/>
      <c r="D130" s="1459"/>
      <c r="E130" s="1459"/>
      <c r="F130" s="1459"/>
      <c r="G130" s="1459"/>
      <c r="H130" s="1459"/>
      <c r="I130" s="1459"/>
      <c r="J130" s="1459"/>
      <c r="K130" s="1459"/>
      <c r="L130" s="1459"/>
      <c r="N130" s="1399"/>
      <c r="P130" s="1399"/>
      <c r="Q130" s="1399"/>
      <c r="R130" s="1399"/>
      <c r="S130" s="1399"/>
      <c r="T130" s="1399"/>
      <c r="U130" s="1399"/>
      <c r="V130" s="1399"/>
      <c r="W130" s="1399"/>
    </row>
    <row r="131" spans="2:23" s="1280" customFormat="1" x14ac:dyDescent="0.6">
      <c r="B131" s="1461"/>
      <c r="D131" s="1459"/>
      <c r="E131" s="1459"/>
      <c r="F131" s="1459"/>
      <c r="G131" s="1459"/>
      <c r="H131" s="1459"/>
      <c r="I131" s="1459"/>
      <c r="J131" s="1459"/>
      <c r="K131" s="1459"/>
      <c r="L131" s="1459"/>
      <c r="N131" s="1399"/>
      <c r="P131" s="1399"/>
      <c r="Q131" s="1399"/>
      <c r="R131" s="1399"/>
      <c r="S131" s="1399"/>
      <c r="T131" s="1399"/>
      <c r="U131" s="1399"/>
      <c r="V131" s="1399"/>
      <c r="W131" s="1399"/>
    </row>
    <row r="132" spans="2:23" s="1280" customFormat="1" x14ac:dyDescent="0.6">
      <c r="B132" s="1461"/>
      <c r="D132" s="1459"/>
      <c r="E132" s="1459"/>
      <c r="F132" s="1459"/>
      <c r="G132" s="1459"/>
      <c r="H132" s="1459"/>
      <c r="I132" s="1459"/>
      <c r="J132" s="1459"/>
      <c r="K132" s="1459"/>
      <c r="L132" s="1459"/>
      <c r="N132" s="1399"/>
      <c r="P132" s="1399"/>
      <c r="Q132" s="1399"/>
      <c r="R132" s="1399"/>
      <c r="S132" s="1399"/>
      <c r="T132" s="1399"/>
      <c r="U132" s="1399"/>
      <c r="V132" s="1399"/>
      <c r="W132" s="1399"/>
    </row>
    <row r="133" spans="2:23" s="1280" customFormat="1" x14ac:dyDescent="0.6">
      <c r="B133" s="1461"/>
      <c r="D133" s="1459"/>
      <c r="E133" s="1459"/>
      <c r="F133" s="1459"/>
      <c r="G133" s="1459"/>
      <c r="H133" s="1459"/>
      <c r="I133" s="1459"/>
      <c r="J133" s="1459"/>
      <c r="K133" s="1459"/>
      <c r="L133" s="1459"/>
      <c r="N133" s="1399"/>
      <c r="P133" s="1399"/>
      <c r="Q133" s="1399"/>
      <c r="R133" s="1399"/>
      <c r="S133" s="1399"/>
      <c r="T133" s="1399"/>
      <c r="U133" s="1399"/>
      <c r="V133" s="1399"/>
      <c r="W133" s="1399"/>
    </row>
    <row r="134" spans="2:23" s="1280" customFormat="1" x14ac:dyDescent="0.6">
      <c r="B134" s="1461"/>
      <c r="D134" s="1459"/>
      <c r="E134" s="1459"/>
      <c r="F134" s="1459"/>
      <c r="G134" s="1459"/>
      <c r="H134" s="1459"/>
      <c r="I134" s="1459"/>
      <c r="J134" s="1459"/>
      <c r="K134" s="1459"/>
      <c r="L134" s="1459"/>
      <c r="N134" s="1399"/>
      <c r="P134" s="1399"/>
      <c r="Q134" s="1399"/>
      <c r="R134" s="1399"/>
      <c r="S134" s="1399"/>
      <c r="T134" s="1399"/>
      <c r="U134" s="1399"/>
      <c r="V134" s="1399"/>
      <c r="W134" s="1399"/>
    </row>
    <row r="135" spans="2:23" s="1280" customFormat="1" x14ac:dyDescent="0.6">
      <c r="B135" s="1461"/>
      <c r="D135" s="1459"/>
      <c r="E135" s="1459"/>
      <c r="F135" s="1459"/>
      <c r="G135" s="1459"/>
      <c r="H135" s="1459"/>
      <c r="I135" s="1459"/>
      <c r="J135" s="1459"/>
      <c r="K135" s="1459"/>
      <c r="L135" s="1459"/>
      <c r="N135" s="1399"/>
      <c r="P135" s="1399"/>
      <c r="Q135" s="1399"/>
      <c r="R135" s="1399"/>
      <c r="S135" s="1399"/>
      <c r="T135" s="1399"/>
      <c r="U135" s="1399"/>
      <c r="V135" s="1399"/>
      <c r="W135" s="1399"/>
    </row>
    <row r="136" spans="2:23" s="1280" customFormat="1" x14ac:dyDescent="0.6">
      <c r="B136" s="1461"/>
      <c r="D136" s="1459"/>
      <c r="E136" s="1459"/>
      <c r="F136" s="1459"/>
      <c r="G136" s="1459"/>
      <c r="H136" s="1459"/>
      <c r="I136" s="1459"/>
      <c r="J136" s="1459"/>
      <c r="K136" s="1459"/>
      <c r="L136" s="1459"/>
      <c r="N136" s="1399"/>
      <c r="P136" s="1399"/>
      <c r="Q136" s="1399"/>
      <c r="R136" s="1399"/>
      <c r="S136" s="1399"/>
      <c r="T136" s="1399"/>
      <c r="U136" s="1399"/>
      <c r="V136" s="1399"/>
      <c r="W136" s="1399"/>
    </row>
    <row r="137" spans="2:23" s="1280" customFormat="1" x14ac:dyDescent="0.6">
      <c r="B137" s="1461"/>
      <c r="D137" s="1459"/>
      <c r="E137" s="1459"/>
      <c r="F137" s="1459"/>
      <c r="G137" s="1459"/>
      <c r="H137" s="1459"/>
      <c r="I137" s="1459"/>
      <c r="J137" s="1459"/>
      <c r="K137" s="1459"/>
      <c r="L137" s="1459"/>
      <c r="N137" s="1399"/>
      <c r="P137" s="1399"/>
      <c r="Q137" s="1399"/>
      <c r="R137" s="1399"/>
      <c r="S137" s="1399"/>
      <c r="T137" s="1399"/>
      <c r="U137" s="1399"/>
      <c r="V137" s="1399"/>
      <c r="W137" s="1399"/>
    </row>
    <row r="138" spans="2:23" s="1280" customFormat="1" x14ac:dyDescent="0.6">
      <c r="B138" s="1461"/>
      <c r="D138" s="1459"/>
      <c r="E138" s="1459"/>
      <c r="F138" s="1459"/>
      <c r="G138" s="1459"/>
      <c r="H138" s="1459"/>
      <c r="I138" s="1459"/>
      <c r="J138" s="1459"/>
      <c r="K138" s="1459"/>
      <c r="L138" s="1459"/>
      <c r="N138" s="1399"/>
      <c r="P138" s="1399"/>
      <c r="Q138" s="1399"/>
      <c r="R138" s="1399"/>
      <c r="S138" s="1399"/>
      <c r="T138" s="1399"/>
      <c r="U138" s="1399"/>
      <c r="V138" s="1399"/>
      <c r="W138" s="1399"/>
    </row>
    <row r="139" spans="2:23" s="1280" customFormat="1" x14ac:dyDescent="0.6">
      <c r="B139" s="1461"/>
      <c r="D139" s="1459"/>
      <c r="E139" s="1459"/>
      <c r="F139" s="1459"/>
      <c r="G139" s="1459"/>
      <c r="H139" s="1459"/>
      <c r="I139" s="1459"/>
      <c r="J139" s="1459"/>
      <c r="K139" s="1459"/>
      <c r="L139" s="1459"/>
      <c r="N139" s="1399"/>
      <c r="P139" s="1399"/>
      <c r="Q139" s="1399"/>
      <c r="R139" s="1399"/>
      <c r="S139" s="1399"/>
      <c r="T139" s="1399"/>
      <c r="U139" s="1399"/>
      <c r="V139" s="1399"/>
      <c r="W139" s="1399"/>
    </row>
    <row r="140" spans="2:23" s="1280" customFormat="1" x14ac:dyDescent="0.6">
      <c r="B140" s="1461"/>
      <c r="D140" s="1459"/>
      <c r="E140" s="1459"/>
      <c r="F140" s="1459"/>
      <c r="G140" s="1459"/>
      <c r="H140" s="1459"/>
      <c r="I140" s="1459"/>
      <c r="J140" s="1459"/>
      <c r="K140" s="1459"/>
      <c r="L140" s="1459"/>
      <c r="N140" s="1399"/>
      <c r="P140" s="1399"/>
      <c r="Q140" s="1399"/>
      <c r="R140" s="1399"/>
      <c r="S140" s="1399"/>
      <c r="T140" s="1399"/>
      <c r="U140" s="1399"/>
      <c r="V140" s="1399"/>
      <c r="W140" s="1399"/>
    </row>
    <row r="141" spans="2:23" s="1280" customFormat="1" x14ac:dyDescent="0.6">
      <c r="B141" s="1461"/>
      <c r="D141" s="1459"/>
      <c r="E141" s="1459"/>
      <c r="F141" s="1459"/>
      <c r="G141" s="1459"/>
      <c r="H141" s="1459"/>
      <c r="I141" s="1459"/>
      <c r="J141" s="1459"/>
      <c r="K141" s="1459"/>
      <c r="L141" s="1459"/>
      <c r="N141" s="1399"/>
      <c r="P141" s="1399"/>
      <c r="Q141" s="1399"/>
      <c r="R141" s="1399"/>
      <c r="S141" s="1399"/>
      <c r="T141" s="1399"/>
      <c r="U141" s="1399"/>
      <c r="V141" s="1399"/>
      <c r="W141" s="1399"/>
    </row>
    <row r="142" spans="2:23" s="1280" customFormat="1" x14ac:dyDescent="0.6">
      <c r="B142" s="1461"/>
      <c r="D142" s="1459"/>
      <c r="E142" s="1459"/>
      <c r="F142" s="1459"/>
      <c r="G142" s="1459"/>
      <c r="H142" s="1459"/>
      <c r="I142" s="1459"/>
      <c r="J142" s="1459"/>
      <c r="K142" s="1459"/>
      <c r="L142" s="1459"/>
      <c r="N142" s="1399"/>
      <c r="P142" s="1399"/>
      <c r="Q142" s="1399"/>
      <c r="R142" s="1399"/>
      <c r="S142" s="1399"/>
      <c r="T142" s="1399"/>
      <c r="U142" s="1399"/>
      <c r="V142" s="1399"/>
      <c r="W142" s="1399"/>
    </row>
    <row r="143" spans="2:23" s="1280" customFormat="1" x14ac:dyDescent="0.6">
      <c r="B143" s="1461"/>
      <c r="D143" s="1459"/>
      <c r="E143" s="1459"/>
      <c r="F143" s="1459"/>
      <c r="G143" s="1459"/>
      <c r="H143" s="1459"/>
      <c r="I143" s="1459"/>
      <c r="J143" s="1459"/>
      <c r="K143" s="1459"/>
      <c r="L143" s="1459"/>
      <c r="N143" s="1399"/>
      <c r="P143" s="1399"/>
      <c r="Q143" s="1399"/>
      <c r="R143" s="1399"/>
      <c r="S143" s="1399"/>
      <c r="T143" s="1399"/>
      <c r="U143" s="1399"/>
      <c r="V143" s="1399"/>
      <c r="W143" s="1399"/>
    </row>
    <row r="144" spans="2:23" s="1280" customFormat="1" x14ac:dyDescent="0.6">
      <c r="B144" s="1461"/>
      <c r="D144" s="1459"/>
      <c r="E144" s="1459"/>
      <c r="F144" s="1459"/>
      <c r="G144" s="1459"/>
      <c r="H144" s="1459"/>
      <c r="I144" s="1459"/>
      <c r="J144" s="1459"/>
      <c r="K144" s="1459"/>
      <c r="L144" s="1459"/>
      <c r="N144" s="1399"/>
      <c r="P144" s="1399"/>
      <c r="Q144" s="1399"/>
      <c r="R144" s="1399"/>
      <c r="S144" s="1399"/>
      <c r="T144" s="1399"/>
      <c r="U144" s="1399"/>
      <c r="V144" s="1399"/>
      <c r="W144" s="1399"/>
    </row>
    <row r="145" spans="2:23" s="1280" customFormat="1" x14ac:dyDescent="0.6">
      <c r="B145" s="1461"/>
      <c r="D145" s="1459"/>
      <c r="E145" s="1459"/>
      <c r="F145" s="1459"/>
      <c r="G145" s="1459"/>
      <c r="H145" s="1459"/>
      <c r="I145" s="1459"/>
      <c r="J145" s="1459"/>
      <c r="K145" s="1459"/>
      <c r="L145" s="1459"/>
      <c r="N145" s="1399"/>
      <c r="P145" s="1399"/>
      <c r="Q145" s="1399"/>
      <c r="R145" s="1399"/>
      <c r="S145" s="1399"/>
      <c r="T145" s="1399"/>
      <c r="U145" s="1399"/>
      <c r="V145" s="1399"/>
      <c r="W145" s="1399"/>
    </row>
    <row r="146" spans="2:23" s="1280" customFormat="1" x14ac:dyDescent="0.6">
      <c r="B146" s="1461"/>
      <c r="D146" s="1459"/>
      <c r="E146" s="1459"/>
      <c r="F146" s="1459"/>
      <c r="G146" s="1459"/>
      <c r="H146" s="1459"/>
      <c r="I146" s="1459"/>
      <c r="J146" s="1459"/>
      <c r="K146" s="1459"/>
      <c r="L146" s="1459"/>
      <c r="N146" s="1399"/>
      <c r="P146" s="1399"/>
      <c r="Q146" s="1399"/>
      <c r="R146" s="1399"/>
      <c r="S146" s="1399"/>
      <c r="T146" s="1399"/>
      <c r="U146" s="1399"/>
      <c r="V146" s="1399"/>
      <c r="W146" s="1399"/>
    </row>
    <row r="147" spans="2:23" s="1280" customFormat="1" x14ac:dyDescent="0.6">
      <c r="B147" s="1461"/>
      <c r="D147" s="1459"/>
      <c r="E147" s="1459"/>
      <c r="F147" s="1459"/>
      <c r="G147" s="1459"/>
      <c r="H147" s="1459"/>
      <c r="I147" s="1459"/>
      <c r="J147" s="1459"/>
      <c r="K147" s="1459"/>
      <c r="L147" s="1459"/>
      <c r="N147" s="1399"/>
      <c r="P147" s="1399"/>
      <c r="Q147" s="1399"/>
      <c r="R147" s="1399"/>
      <c r="S147" s="1399"/>
      <c r="T147" s="1399"/>
      <c r="U147" s="1399"/>
      <c r="V147" s="1399"/>
      <c r="W147" s="1399"/>
    </row>
    <row r="148" spans="2:23" s="1280" customFormat="1" x14ac:dyDescent="0.6">
      <c r="B148" s="1461"/>
      <c r="D148" s="1459"/>
      <c r="E148" s="1459"/>
      <c r="F148" s="1459"/>
      <c r="G148" s="1459"/>
      <c r="H148" s="1459"/>
      <c r="I148" s="1459"/>
      <c r="J148" s="1459"/>
      <c r="K148" s="1459"/>
      <c r="L148" s="1459"/>
      <c r="N148" s="1399"/>
      <c r="P148" s="1399"/>
      <c r="Q148" s="1399"/>
      <c r="R148" s="1399"/>
      <c r="S148" s="1399"/>
      <c r="T148" s="1399"/>
      <c r="U148" s="1399"/>
      <c r="V148" s="1399"/>
      <c r="W148" s="1399"/>
    </row>
    <row r="149" spans="2:23" s="1280" customFormat="1" x14ac:dyDescent="0.6">
      <c r="B149" s="1461"/>
      <c r="D149" s="1459"/>
      <c r="E149" s="1459"/>
      <c r="F149" s="1459"/>
      <c r="G149" s="1459"/>
      <c r="H149" s="1459"/>
      <c r="I149" s="1459"/>
      <c r="J149" s="1459"/>
      <c r="K149" s="1459"/>
      <c r="L149" s="1459"/>
      <c r="N149" s="1399"/>
      <c r="P149" s="1399"/>
      <c r="Q149" s="1399"/>
      <c r="R149" s="1399"/>
      <c r="S149" s="1399"/>
      <c r="T149" s="1399"/>
      <c r="U149" s="1399"/>
      <c r="V149" s="1399"/>
      <c r="W149" s="1399"/>
    </row>
    <row r="150" spans="2:23" s="1280" customFormat="1" x14ac:dyDescent="0.6">
      <c r="B150" s="1461"/>
      <c r="D150" s="1459"/>
      <c r="E150" s="1459"/>
      <c r="F150" s="1459"/>
      <c r="G150" s="1459"/>
      <c r="H150" s="1459"/>
      <c r="I150" s="1459"/>
      <c r="J150" s="1459"/>
      <c r="K150" s="1459"/>
      <c r="L150" s="1459"/>
      <c r="N150" s="1399"/>
      <c r="P150" s="1399"/>
      <c r="Q150" s="1399"/>
      <c r="R150" s="1399"/>
      <c r="S150" s="1399"/>
      <c r="T150" s="1399"/>
      <c r="U150" s="1399"/>
      <c r="V150" s="1399"/>
      <c r="W150" s="1399"/>
    </row>
    <row r="151" spans="2:23" s="1280" customFormat="1" x14ac:dyDescent="0.6">
      <c r="B151" s="1461"/>
      <c r="D151" s="1459"/>
      <c r="E151" s="1459"/>
      <c r="F151" s="1459"/>
      <c r="G151" s="1459"/>
      <c r="H151" s="1459"/>
      <c r="I151" s="1459"/>
      <c r="J151" s="1459"/>
      <c r="K151" s="1459"/>
      <c r="L151" s="1459"/>
      <c r="N151" s="1399"/>
      <c r="P151" s="1399"/>
      <c r="Q151" s="1399"/>
      <c r="R151" s="1399"/>
      <c r="S151" s="1399"/>
      <c r="T151" s="1399"/>
      <c r="U151" s="1399"/>
      <c r="V151" s="1399"/>
      <c r="W151" s="1399"/>
    </row>
    <row r="152" spans="2:23" s="1280" customFormat="1" x14ac:dyDescent="0.6">
      <c r="B152" s="1461"/>
      <c r="D152" s="1459"/>
      <c r="E152" s="1459"/>
      <c r="F152" s="1459"/>
      <c r="G152" s="1459"/>
      <c r="H152" s="1459"/>
      <c r="I152" s="1459"/>
      <c r="J152" s="1459"/>
      <c r="K152" s="1459"/>
      <c r="L152" s="1459"/>
      <c r="N152" s="1399"/>
      <c r="P152" s="1399"/>
      <c r="Q152" s="1399"/>
      <c r="R152" s="1399"/>
      <c r="S152" s="1399"/>
      <c r="T152" s="1399"/>
      <c r="U152" s="1399"/>
      <c r="V152" s="1399"/>
      <c r="W152" s="1399"/>
    </row>
    <row r="153" spans="2:23" s="1280" customFormat="1" x14ac:dyDescent="0.6">
      <c r="B153" s="1461"/>
      <c r="D153" s="1459"/>
      <c r="E153" s="1459"/>
      <c r="F153" s="1459"/>
      <c r="G153" s="1459"/>
      <c r="H153" s="1459"/>
      <c r="I153" s="1459"/>
      <c r="J153" s="1459"/>
      <c r="K153" s="1459"/>
      <c r="L153" s="1459"/>
      <c r="N153" s="1399"/>
      <c r="P153" s="1399"/>
      <c r="Q153" s="1399"/>
      <c r="R153" s="1399"/>
      <c r="S153" s="1399"/>
      <c r="T153" s="1399"/>
      <c r="U153" s="1399"/>
      <c r="V153" s="1399"/>
      <c r="W153" s="1399"/>
    </row>
    <row r="154" spans="2:23" s="1280" customFormat="1" x14ac:dyDescent="0.6">
      <c r="B154" s="1461"/>
      <c r="D154" s="1459"/>
      <c r="E154" s="1459"/>
      <c r="F154" s="1459"/>
      <c r="G154" s="1459"/>
      <c r="H154" s="1459"/>
      <c r="I154" s="1459"/>
      <c r="J154" s="1459"/>
      <c r="K154" s="1459"/>
      <c r="L154" s="1459"/>
      <c r="N154" s="1399"/>
      <c r="P154" s="1399"/>
      <c r="Q154" s="1399"/>
      <c r="R154" s="1399"/>
      <c r="S154" s="1399"/>
      <c r="T154" s="1399"/>
      <c r="U154" s="1399"/>
      <c r="V154" s="1399"/>
      <c r="W154" s="1399"/>
    </row>
    <row r="155" spans="2:23" s="1280" customFormat="1" x14ac:dyDescent="0.6">
      <c r="B155" s="1461"/>
      <c r="D155" s="1459"/>
      <c r="E155" s="1459"/>
      <c r="F155" s="1459"/>
      <c r="G155" s="1459"/>
      <c r="H155" s="1459"/>
      <c r="I155" s="1459"/>
      <c r="J155" s="1459"/>
      <c r="K155" s="1459"/>
      <c r="L155" s="1459"/>
      <c r="N155" s="1399"/>
      <c r="P155" s="1399"/>
      <c r="Q155" s="1399"/>
      <c r="R155" s="1399"/>
      <c r="S155" s="1399"/>
      <c r="T155" s="1399"/>
      <c r="U155" s="1399"/>
      <c r="V155" s="1399"/>
      <c r="W155" s="1399"/>
    </row>
    <row r="156" spans="2:23" s="1280" customFormat="1" x14ac:dyDescent="0.6">
      <c r="B156" s="1461"/>
      <c r="D156" s="1459"/>
      <c r="E156" s="1459"/>
      <c r="F156" s="1459"/>
      <c r="G156" s="1459"/>
      <c r="H156" s="1459"/>
      <c r="I156" s="1459"/>
      <c r="J156" s="1459"/>
      <c r="K156" s="1459"/>
      <c r="L156" s="1459"/>
      <c r="N156" s="1399"/>
      <c r="P156" s="1399"/>
      <c r="Q156" s="1399"/>
      <c r="R156" s="1399"/>
      <c r="S156" s="1399"/>
      <c r="T156" s="1399"/>
      <c r="U156" s="1399"/>
      <c r="V156" s="1399"/>
      <c r="W156" s="1399"/>
    </row>
    <row r="157" spans="2:23" s="1280" customFormat="1" x14ac:dyDescent="0.6">
      <c r="B157" s="1461"/>
      <c r="D157" s="1459"/>
      <c r="E157" s="1459"/>
      <c r="F157" s="1459"/>
      <c r="G157" s="1459"/>
      <c r="H157" s="1459"/>
      <c r="I157" s="1459"/>
      <c r="J157" s="1459"/>
      <c r="K157" s="1459"/>
      <c r="L157" s="1459"/>
      <c r="N157" s="1399"/>
      <c r="P157" s="1399"/>
      <c r="Q157" s="1399"/>
      <c r="R157" s="1399"/>
      <c r="S157" s="1399"/>
      <c r="T157" s="1399"/>
      <c r="U157" s="1399"/>
      <c r="V157" s="1399"/>
      <c r="W157" s="1399"/>
    </row>
    <row r="158" spans="2:23" s="1280" customFormat="1" x14ac:dyDescent="0.6">
      <c r="B158" s="1461"/>
      <c r="D158" s="1459"/>
      <c r="E158" s="1459"/>
      <c r="F158" s="1459"/>
      <c r="G158" s="1459"/>
      <c r="H158" s="1459"/>
      <c r="I158" s="1459"/>
      <c r="J158" s="1459"/>
      <c r="K158" s="1459"/>
      <c r="L158" s="1459"/>
      <c r="N158" s="1399"/>
      <c r="P158" s="1399"/>
      <c r="Q158" s="1399"/>
      <c r="R158" s="1399"/>
      <c r="S158" s="1399"/>
      <c r="T158" s="1399"/>
      <c r="U158" s="1399"/>
      <c r="V158" s="1399"/>
      <c r="W158" s="1399"/>
    </row>
    <row r="159" spans="2:23" s="1280" customFormat="1" x14ac:dyDescent="0.6">
      <c r="B159" s="1461"/>
      <c r="D159" s="1459"/>
      <c r="E159" s="1459"/>
      <c r="F159" s="1459"/>
      <c r="G159" s="1459"/>
      <c r="H159" s="1459"/>
      <c r="I159" s="1459"/>
      <c r="J159" s="1459"/>
      <c r="K159" s="1459"/>
      <c r="L159" s="1459"/>
      <c r="N159" s="1399"/>
      <c r="P159" s="1399"/>
      <c r="Q159" s="1399"/>
      <c r="R159" s="1399"/>
      <c r="S159" s="1399"/>
      <c r="T159" s="1399"/>
      <c r="U159" s="1399"/>
      <c r="V159" s="1399"/>
      <c r="W159" s="1399"/>
    </row>
    <row r="160" spans="2:23" s="1280" customFormat="1" x14ac:dyDescent="0.6">
      <c r="B160" s="1461"/>
      <c r="D160" s="1459"/>
      <c r="E160" s="1459"/>
      <c r="F160" s="1459"/>
      <c r="G160" s="1459"/>
      <c r="H160" s="1459"/>
      <c r="I160" s="1459"/>
      <c r="J160" s="1459"/>
      <c r="K160" s="1459"/>
      <c r="L160" s="1459"/>
      <c r="N160" s="1399"/>
      <c r="P160" s="1399"/>
      <c r="Q160" s="1399"/>
      <c r="R160" s="1399"/>
      <c r="S160" s="1399"/>
      <c r="T160" s="1399"/>
      <c r="U160" s="1399"/>
      <c r="V160" s="1399"/>
      <c r="W160" s="1399"/>
    </row>
    <row r="161" spans="2:23" s="1280" customFormat="1" x14ac:dyDescent="0.6">
      <c r="B161" s="1461"/>
      <c r="D161" s="1459"/>
      <c r="E161" s="1459"/>
      <c r="F161" s="1459"/>
      <c r="G161" s="1459"/>
      <c r="H161" s="1459"/>
      <c r="I161" s="1459"/>
      <c r="J161" s="1459"/>
      <c r="K161" s="1459"/>
      <c r="L161" s="1459"/>
      <c r="N161" s="1399"/>
      <c r="P161" s="1399"/>
      <c r="Q161" s="1399"/>
      <c r="R161" s="1399"/>
      <c r="S161" s="1399"/>
      <c r="T161" s="1399"/>
      <c r="U161" s="1399"/>
      <c r="V161" s="1399"/>
      <c r="W161" s="1399"/>
    </row>
    <row r="162" spans="2:23" s="1280" customFormat="1" x14ac:dyDescent="0.6">
      <c r="B162" s="1461"/>
      <c r="D162" s="1459"/>
      <c r="E162" s="1459"/>
      <c r="F162" s="1459"/>
      <c r="G162" s="1459"/>
      <c r="H162" s="1459"/>
      <c r="I162" s="1459"/>
      <c r="J162" s="1459"/>
      <c r="K162" s="1459"/>
      <c r="L162" s="1459"/>
      <c r="N162" s="1399"/>
      <c r="P162" s="1399"/>
      <c r="Q162" s="1399"/>
      <c r="R162" s="1399"/>
      <c r="S162" s="1399"/>
      <c r="T162" s="1399"/>
      <c r="U162" s="1399"/>
      <c r="V162" s="1399"/>
      <c r="W162" s="1399"/>
    </row>
    <row r="163" spans="2:23" s="1280" customFormat="1" x14ac:dyDescent="0.6">
      <c r="B163" s="1461"/>
      <c r="D163" s="1459"/>
      <c r="E163" s="1459"/>
      <c r="F163" s="1459"/>
      <c r="G163" s="1459"/>
      <c r="H163" s="1459"/>
      <c r="I163" s="1459"/>
      <c r="J163" s="1459"/>
      <c r="K163" s="1459"/>
      <c r="L163" s="1459"/>
      <c r="N163" s="1399"/>
      <c r="P163" s="1399"/>
      <c r="Q163" s="1399"/>
      <c r="R163" s="1399"/>
      <c r="S163" s="1399"/>
      <c r="T163" s="1399"/>
      <c r="U163" s="1399"/>
      <c r="V163" s="1399"/>
      <c r="W163" s="1399"/>
    </row>
    <row r="164" spans="2:23" s="1280" customFormat="1" x14ac:dyDescent="0.6">
      <c r="B164" s="1461"/>
      <c r="D164" s="1459"/>
      <c r="E164" s="1459"/>
      <c r="F164" s="1459"/>
      <c r="G164" s="1459"/>
      <c r="H164" s="1459"/>
      <c r="I164" s="1459"/>
      <c r="J164" s="1459"/>
      <c r="K164" s="1459"/>
      <c r="L164" s="1459"/>
      <c r="N164" s="1399"/>
      <c r="P164" s="1399"/>
      <c r="Q164" s="1399"/>
      <c r="R164" s="1399"/>
      <c r="S164" s="1399"/>
      <c r="T164" s="1399"/>
      <c r="U164" s="1399"/>
      <c r="V164" s="1399"/>
      <c r="W164" s="1399"/>
    </row>
    <row r="165" spans="2:23" s="1280" customFormat="1" x14ac:dyDescent="0.6">
      <c r="B165" s="1461"/>
      <c r="D165" s="1459"/>
      <c r="E165" s="1459"/>
      <c r="F165" s="1459"/>
      <c r="G165" s="1459"/>
      <c r="H165" s="1459"/>
      <c r="I165" s="1459"/>
      <c r="J165" s="1459"/>
      <c r="K165" s="1459"/>
      <c r="L165" s="1459"/>
      <c r="N165" s="1399"/>
      <c r="P165" s="1399"/>
      <c r="Q165" s="1399"/>
      <c r="R165" s="1399"/>
      <c r="S165" s="1399"/>
      <c r="T165" s="1399"/>
      <c r="U165" s="1399"/>
      <c r="V165" s="1399"/>
      <c r="W165" s="1399"/>
    </row>
    <row r="166" spans="2:23" s="1280" customFormat="1" x14ac:dyDescent="0.6">
      <c r="B166" s="1461"/>
      <c r="D166" s="1459"/>
      <c r="E166" s="1459"/>
      <c r="F166" s="1459"/>
      <c r="G166" s="1459"/>
      <c r="H166" s="1459"/>
      <c r="I166" s="1459"/>
      <c r="J166" s="1459"/>
      <c r="K166" s="1459"/>
      <c r="L166" s="1459"/>
      <c r="N166" s="1399"/>
      <c r="P166" s="1399"/>
      <c r="Q166" s="1399"/>
      <c r="R166" s="1399"/>
      <c r="S166" s="1399"/>
      <c r="T166" s="1399"/>
      <c r="U166" s="1399"/>
      <c r="V166" s="1399"/>
      <c r="W166" s="1399"/>
    </row>
    <row r="167" spans="2:23" s="1280" customFormat="1" x14ac:dyDescent="0.6">
      <c r="B167" s="1461"/>
      <c r="D167" s="1459"/>
      <c r="E167" s="1459"/>
      <c r="F167" s="1459"/>
      <c r="G167" s="1459"/>
      <c r="H167" s="1459"/>
      <c r="I167" s="1459"/>
      <c r="J167" s="1459"/>
      <c r="K167" s="1459"/>
      <c r="L167" s="1459"/>
      <c r="N167" s="1399"/>
      <c r="P167" s="1399"/>
      <c r="Q167" s="1399"/>
      <c r="R167" s="1399"/>
      <c r="S167" s="1399"/>
      <c r="T167" s="1399"/>
      <c r="U167" s="1399"/>
      <c r="V167" s="1399"/>
      <c r="W167" s="1399"/>
    </row>
    <row r="168" spans="2:23" s="1280" customFormat="1" x14ac:dyDescent="0.6">
      <c r="B168" s="1461"/>
      <c r="D168" s="1459"/>
      <c r="E168" s="1459"/>
      <c r="F168" s="1459"/>
      <c r="G168" s="1459"/>
      <c r="H168" s="1459"/>
      <c r="I168" s="1459"/>
      <c r="J168" s="1459"/>
      <c r="K168" s="1459"/>
      <c r="L168" s="1459"/>
      <c r="N168" s="1399"/>
      <c r="P168" s="1399"/>
      <c r="Q168" s="1399"/>
      <c r="R168" s="1399"/>
      <c r="S168" s="1399"/>
      <c r="T168" s="1399"/>
      <c r="U168" s="1399"/>
      <c r="V168" s="1399"/>
      <c r="W168" s="1399"/>
    </row>
    <row r="169" spans="2:23" s="1280" customFormat="1" x14ac:dyDescent="0.6">
      <c r="B169" s="1461"/>
      <c r="D169" s="1459"/>
      <c r="E169" s="1459"/>
      <c r="F169" s="1459"/>
      <c r="G169" s="1459"/>
      <c r="H169" s="1459"/>
      <c r="I169" s="1459"/>
      <c r="J169" s="1459"/>
      <c r="K169" s="1459"/>
      <c r="L169" s="1459"/>
      <c r="N169" s="1399"/>
      <c r="P169" s="1399"/>
      <c r="Q169" s="1399"/>
      <c r="R169" s="1399"/>
      <c r="S169" s="1399"/>
      <c r="T169" s="1399"/>
      <c r="U169" s="1399"/>
      <c r="V169" s="1399"/>
      <c r="W169" s="1399"/>
    </row>
    <row r="170" spans="2:23" s="1280" customFormat="1" x14ac:dyDescent="0.6">
      <c r="B170" s="1461"/>
      <c r="D170" s="1459"/>
      <c r="E170" s="1459"/>
      <c r="F170" s="1459"/>
      <c r="G170" s="1459"/>
      <c r="H170" s="1459"/>
      <c r="I170" s="1459"/>
      <c r="J170" s="1459"/>
      <c r="K170" s="1459"/>
      <c r="L170" s="1459"/>
      <c r="N170" s="1399"/>
      <c r="P170" s="1399"/>
      <c r="Q170" s="1399"/>
      <c r="R170" s="1399"/>
      <c r="S170" s="1399"/>
      <c r="T170" s="1399"/>
      <c r="U170" s="1399"/>
      <c r="V170" s="1399"/>
      <c r="W170" s="1399"/>
    </row>
    <row r="171" spans="2:23" s="1280" customFormat="1" x14ac:dyDescent="0.6">
      <c r="B171" s="1461"/>
      <c r="D171" s="1459"/>
      <c r="E171" s="1459"/>
      <c r="F171" s="1459"/>
      <c r="G171" s="1459"/>
      <c r="H171" s="1459"/>
      <c r="I171" s="1459"/>
      <c r="J171" s="1459"/>
      <c r="K171" s="1459"/>
      <c r="L171" s="1459"/>
      <c r="N171" s="1399"/>
      <c r="P171" s="1399"/>
      <c r="Q171" s="1399"/>
      <c r="R171" s="1399"/>
      <c r="S171" s="1399"/>
      <c r="T171" s="1399"/>
      <c r="U171" s="1399"/>
      <c r="V171" s="1399"/>
      <c r="W171" s="1399"/>
    </row>
    <row r="172" spans="2:23" s="1280" customFormat="1" x14ac:dyDescent="0.6">
      <c r="B172" s="1461"/>
      <c r="D172" s="1459"/>
      <c r="E172" s="1459"/>
      <c r="F172" s="1459"/>
      <c r="G172" s="1459"/>
      <c r="H172" s="1459"/>
      <c r="I172" s="1459"/>
      <c r="J172" s="1459"/>
      <c r="K172" s="1459"/>
      <c r="L172" s="1459"/>
      <c r="N172" s="1399"/>
      <c r="P172" s="1399"/>
      <c r="Q172" s="1399"/>
      <c r="R172" s="1399"/>
      <c r="S172" s="1399"/>
      <c r="T172" s="1399"/>
      <c r="U172" s="1399"/>
      <c r="V172" s="1399"/>
      <c r="W172" s="1399"/>
    </row>
    <row r="173" spans="2:23" s="1280" customFormat="1" x14ac:dyDescent="0.6">
      <c r="B173" s="1461"/>
      <c r="D173" s="1459"/>
      <c r="E173" s="1459"/>
      <c r="F173" s="1459"/>
      <c r="G173" s="1459"/>
      <c r="H173" s="1459"/>
      <c r="I173" s="1459"/>
      <c r="J173" s="1459"/>
      <c r="K173" s="1459"/>
      <c r="L173" s="1459"/>
      <c r="N173" s="1399"/>
      <c r="P173" s="1399"/>
      <c r="Q173" s="1399"/>
      <c r="R173" s="1399"/>
      <c r="S173" s="1399"/>
      <c r="T173" s="1399"/>
      <c r="U173" s="1399"/>
      <c r="V173" s="1399"/>
      <c r="W173" s="1399"/>
    </row>
    <row r="174" spans="2:23" s="1280" customFormat="1" x14ac:dyDescent="0.6">
      <c r="B174" s="1461"/>
      <c r="D174" s="1459"/>
      <c r="E174" s="1459"/>
      <c r="F174" s="1459"/>
      <c r="G174" s="1459"/>
      <c r="H174" s="1459"/>
      <c r="I174" s="1459"/>
      <c r="J174" s="1459"/>
      <c r="K174" s="1459"/>
      <c r="L174" s="1459"/>
      <c r="N174" s="1399"/>
      <c r="P174" s="1399"/>
      <c r="Q174" s="1399"/>
      <c r="R174" s="1399"/>
      <c r="S174" s="1399"/>
      <c r="T174" s="1399"/>
      <c r="U174" s="1399"/>
      <c r="V174" s="1399"/>
      <c r="W174" s="1399"/>
    </row>
    <row r="175" spans="2:23" s="1280" customFormat="1" x14ac:dyDescent="0.6">
      <c r="B175" s="1461"/>
      <c r="D175" s="1459"/>
      <c r="E175" s="1459"/>
      <c r="F175" s="1459"/>
      <c r="G175" s="1459"/>
      <c r="H175" s="1459"/>
      <c r="I175" s="1459"/>
      <c r="J175" s="1459"/>
      <c r="K175" s="1459"/>
      <c r="L175" s="1459"/>
      <c r="N175" s="1399"/>
      <c r="P175" s="1399"/>
      <c r="Q175" s="1399"/>
      <c r="R175" s="1399"/>
      <c r="S175" s="1399"/>
      <c r="T175" s="1399"/>
      <c r="U175" s="1399"/>
      <c r="V175" s="1399"/>
      <c r="W175" s="1399"/>
    </row>
    <row r="176" spans="2:23" s="1280" customFormat="1" x14ac:dyDescent="0.6">
      <c r="B176" s="1461"/>
      <c r="D176" s="1459"/>
      <c r="E176" s="1459"/>
      <c r="F176" s="1459"/>
      <c r="G176" s="1459"/>
      <c r="H176" s="1459"/>
      <c r="I176" s="1459"/>
      <c r="J176" s="1459"/>
      <c r="K176" s="1459"/>
      <c r="L176" s="1459"/>
      <c r="N176" s="1399"/>
      <c r="P176" s="1399"/>
      <c r="Q176" s="1399"/>
      <c r="R176" s="1399"/>
      <c r="S176" s="1399"/>
      <c r="T176" s="1399"/>
      <c r="U176" s="1399"/>
      <c r="V176" s="1399"/>
      <c r="W176" s="1399"/>
    </row>
    <row r="177" spans="2:23" s="1280" customFormat="1" x14ac:dyDescent="0.6">
      <c r="B177" s="1461"/>
      <c r="D177" s="1459"/>
      <c r="E177" s="1459"/>
      <c r="F177" s="1459"/>
      <c r="G177" s="1459"/>
      <c r="H177" s="1459"/>
      <c r="I177" s="1459"/>
      <c r="J177" s="1459"/>
      <c r="K177" s="1459"/>
      <c r="L177" s="1459"/>
      <c r="N177" s="1399"/>
      <c r="P177" s="1399"/>
      <c r="Q177" s="1399"/>
      <c r="R177" s="1399"/>
      <c r="S177" s="1399"/>
      <c r="T177" s="1399"/>
      <c r="U177" s="1399"/>
      <c r="V177" s="1399"/>
      <c r="W177" s="1399"/>
    </row>
    <row r="178" spans="2:23" s="1280" customFormat="1" x14ac:dyDescent="0.6">
      <c r="B178" s="1461"/>
      <c r="D178" s="1459"/>
      <c r="E178" s="1459"/>
      <c r="F178" s="1459"/>
      <c r="G178" s="1459"/>
      <c r="H178" s="1459"/>
      <c r="I178" s="1459"/>
      <c r="J178" s="1459"/>
      <c r="K178" s="1459"/>
      <c r="L178" s="1459"/>
      <c r="N178" s="1399"/>
      <c r="P178" s="1399"/>
      <c r="Q178" s="1399"/>
      <c r="R178" s="1399"/>
      <c r="S178" s="1399"/>
      <c r="T178" s="1399"/>
      <c r="U178" s="1399"/>
      <c r="V178" s="1399"/>
      <c r="W178" s="1399"/>
    </row>
    <row r="179" spans="2:23" s="1280" customFormat="1" x14ac:dyDescent="0.6">
      <c r="B179" s="1461"/>
      <c r="D179" s="1459"/>
      <c r="E179" s="1459"/>
      <c r="F179" s="1459"/>
      <c r="G179" s="1459"/>
      <c r="H179" s="1459"/>
      <c r="I179" s="1459"/>
      <c r="J179" s="1459"/>
      <c r="K179" s="1459"/>
      <c r="L179" s="1459"/>
      <c r="N179" s="1399"/>
      <c r="P179" s="1399"/>
      <c r="Q179" s="1399"/>
      <c r="R179" s="1399"/>
      <c r="S179" s="1399"/>
      <c r="T179" s="1399"/>
      <c r="U179" s="1399"/>
      <c r="V179" s="1399"/>
      <c r="W179" s="1399"/>
    </row>
    <row r="180" spans="2:23" s="1280" customFormat="1" x14ac:dyDescent="0.6">
      <c r="B180" s="1461"/>
      <c r="D180" s="1459"/>
      <c r="E180" s="1459"/>
      <c r="F180" s="1459"/>
      <c r="G180" s="1459"/>
      <c r="H180" s="1459"/>
      <c r="I180" s="1459"/>
      <c r="J180" s="1459"/>
      <c r="K180" s="1459"/>
      <c r="L180" s="1459"/>
      <c r="N180" s="1399"/>
      <c r="P180" s="1399"/>
      <c r="Q180" s="1399"/>
      <c r="R180" s="1399"/>
      <c r="S180" s="1399"/>
      <c r="T180" s="1399"/>
      <c r="U180" s="1399"/>
      <c r="V180" s="1399"/>
      <c r="W180" s="1399"/>
    </row>
    <row r="181" spans="2:23" s="1280" customFormat="1" x14ac:dyDescent="0.6">
      <c r="B181" s="1461"/>
      <c r="D181" s="1459"/>
      <c r="E181" s="1459"/>
      <c r="F181" s="1459"/>
      <c r="G181" s="1459"/>
      <c r="H181" s="1459"/>
      <c r="I181" s="1459"/>
      <c r="J181" s="1459"/>
      <c r="K181" s="1459"/>
      <c r="L181" s="1459"/>
      <c r="N181" s="1399"/>
      <c r="P181" s="1399"/>
      <c r="Q181" s="1399"/>
      <c r="R181" s="1399"/>
      <c r="S181" s="1399"/>
      <c r="T181" s="1399"/>
      <c r="U181" s="1399"/>
      <c r="V181" s="1399"/>
      <c r="W181" s="1399"/>
    </row>
    <row r="182" spans="2:23" s="1280" customFormat="1" x14ac:dyDescent="0.6">
      <c r="B182" s="1461"/>
      <c r="D182" s="1459"/>
      <c r="E182" s="1459"/>
      <c r="F182" s="1459"/>
      <c r="G182" s="1459"/>
      <c r="H182" s="1459"/>
      <c r="I182" s="1459"/>
      <c r="J182" s="1459"/>
      <c r="K182" s="1459"/>
      <c r="L182" s="1459"/>
      <c r="N182" s="1399"/>
      <c r="P182" s="1399"/>
      <c r="Q182" s="1399"/>
      <c r="R182" s="1399"/>
      <c r="S182" s="1399"/>
      <c r="T182" s="1399"/>
      <c r="U182" s="1399"/>
      <c r="V182" s="1399"/>
      <c r="W182" s="1399"/>
    </row>
    <row r="183" spans="2:23" s="1280" customFormat="1" x14ac:dyDescent="0.6">
      <c r="B183" s="1461"/>
      <c r="D183" s="1459"/>
      <c r="E183" s="1459"/>
      <c r="F183" s="1459"/>
      <c r="G183" s="1459"/>
      <c r="H183" s="1459"/>
      <c r="I183" s="1459"/>
      <c r="J183" s="1459"/>
      <c r="K183" s="1459"/>
      <c r="L183" s="1459"/>
      <c r="N183" s="1399"/>
      <c r="P183" s="1399"/>
      <c r="Q183" s="1399"/>
      <c r="R183" s="1399"/>
      <c r="S183" s="1399"/>
      <c r="T183" s="1399"/>
      <c r="U183" s="1399"/>
      <c r="V183" s="1399"/>
      <c r="W183" s="1399"/>
    </row>
    <row r="184" spans="2:23" s="1280" customFormat="1" x14ac:dyDescent="0.6">
      <c r="B184" s="1461"/>
      <c r="D184" s="1459"/>
      <c r="E184" s="1459"/>
      <c r="F184" s="1459"/>
      <c r="G184" s="1459"/>
      <c r="H184" s="1459"/>
      <c r="I184" s="1459"/>
      <c r="J184" s="1459"/>
      <c r="K184" s="1459"/>
      <c r="L184" s="1459"/>
      <c r="N184" s="1399"/>
      <c r="P184" s="1399"/>
      <c r="Q184" s="1399"/>
      <c r="R184" s="1399"/>
      <c r="S184" s="1399"/>
      <c r="T184" s="1399"/>
      <c r="U184" s="1399"/>
      <c r="V184" s="1399"/>
      <c r="W184" s="1399"/>
    </row>
    <row r="185" spans="2:23" s="1280" customFormat="1" x14ac:dyDescent="0.6">
      <c r="B185" s="1461"/>
      <c r="D185" s="1459"/>
      <c r="E185" s="1459"/>
      <c r="F185" s="1459"/>
      <c r="G185" s="1459"/>
      <c r="H185" s="1459"/>
      <c r="I185" s="1459"/>
      <c r="J185" s="1459"/>
      <c r="K185" s="1459"/>
      <c r="L185" s="1459"/>
      <c r="N185" s="1399"/>
      <c r="P185" s="1399"/>
      <c r="Q185" s="1399"/>
      <c r="R185" s="1399"/>
      <c r="S185" s="1399"/>
      <c r="T185" s="1399"/>
      <c r="U185" s="1399"/>
      <c r="V185" s="1399"/>
      <c r="W185" s="1399"/>
    </row>
    <row r="186" spans="2:23" s="1280" customFormat="1" x14ac:dyDescent="0.6">
      <c r="B186" s="1461"/>
      <c r="D186" s="1459"/>
      <c r="E186" s="1459"/>
      <c r="F186" s="1459"/>
      <c r="G186" s="1459"/>
      <c r="H186" s="1459"/>
      <c r="I186" s="1459"/>
      <c r="J186" s="1459"/>
      <c r="K186" s="1459"/>
      <c r="L186" s="1459"/>
      <c r="N186" s="1399"/>
      <c r="P186" s="1399"/>
      <c r="Q186" s="1399"/>
      <c r="R186" s="1399"/>
      <c r="S186" s="1399"/>
      <c r="T186" s="1399"/>
      <c r="U186" s="1399"/>
      <c r="V186" s="1399"/>
      <c r="W186" s="1399"/>
    </row>
    <row r="187" spans="2:23" s="1280" customFormat="1" x14ac:dyDescent="0.6">
      <c r="B187" s="1461"/>
      <c r="D187" s="1459"/>
      <c r="E187" s="1459"/>
      <c r="F187" s="1459"/>
      <c r="G187" s="1459"/>
      <c r="H187" s="1459"/>
      <c r="I187" s="1459"/>
      <c r="J187" s="1459"/>
      <c r="K187" s="1459"/>
      <c r="L187" s="1459"/>
      <c r="N187" s="1399"/>
      <c r="P187" s="1399"/>
      <c r="Q187" s="1399"/>
      <c r="R187" s="1399"/>
      <c r="S187" s="1399"/>
      <c r="T187" s="1399"/>
      <c r="U187" s="1399"/>
      <c r="V187" s="1399"/>
      <c r="W187" s="1399"/>
    </row>
    <row r="188" spans="2:23" s="1280" customFormat="1" x14ac:dyDescent="0.6">
      <c r="B188" s="1461"/>
      <c r="D188" s="1459"/>
      <c r="E188" s="1459"/>
      <c r="F188" s="1459"/>
      <c r="G188" s="1459"/>
      <c r="H188" s="1459"/>
      <c r="I188" s="1459"/>
      <c r="J188" s="1459"/>
      <c r="K188" s="1459"/>
      <c r="L188" s="1459"/>
      <c r="N188" s="1399"/>
      <c r="P188" s="1399"/>
      <c r="Q188" s="1399"/>
      <c r="R188" s="1399"/>
      <c r="S188" s="1399"/>
      <c r="T188" s="1399"/>
      <c r="U188" s="1399"/>
      <c r="V188" s="1399"/>
      <c r="W188" s="1399"/>
    </row>
    <row r="189" spans="2:23" s="1280" customFormat="1" x14ac:dyDescent="0.6">
      <c r="B189" s="1461"/>
      <c r="D189" s="1459"/>
      <c r="E189" s="1459"/>
      <c r="F189" s="1459"/>
      <c r="G189" s="1459"/>
      <c r="H189" s="1459"/>
      <c r="I189" s="1459"/>
      <c r="J189" s="1459"/>
      <c r="K189" s="1459"/>
      <c r="L189" s="1459"/>
      <c r="N189" s="1399"/>
      <c r="P189" s="1399"/>
      <c r="Q189" s="1399"/>
      <c r="R189" s="1399"/>
      <c r="S189" s="1399"/>
      <c r="T189" s="1399"/>
      <c r="U189" s="1399"/>
      <c r="V189" s="1399"/>
      <c r="W189" s="1399"/>
    </row>
    <row r="190" spans="2:23" s="1280" customFormat="1" x14ac:dyDescent="0.6">
      <c r="B190" s="1461"/>
      <c r="D190" s="1459"/>
      <c r="E190" s="1459"/>
      <c r="F190" s="1459"/>
      <c r="G190" s="1459"/>
      <c r="H190" s="1459"/>
      <c r="I190" s="1459"/>
      <c r="J190" s="1459"/>
      <c r="K190" s="1459"/>
      <c r="L190" s="1459"/>
      <c r="N190" s="1399"/>
      <c r="P190" s="1399"/>
      <c r="Q190" s="1399"/>
      <c r="R190" s="1399"/>
      <c r="S190" s="1399"/>
      <c r="T190" s="1399"/>
      <c r="U190" s="1399"/>
      <c r="V190" s="1399"/>
      <c r="W190" s="1399"/>
    </row>
    <row r="191" spans="2:23" s="1280" customFormat="1" x14ac:dyDescent="0.6">
      <c r="B191" s="1461"/>
      <c r="D191" s="1459"/>
      <c r="E191" s="1459"/>
      <c r="F191" s="1459"/>
      <c r="G191" s="1459"/>
      <c r="H191" s="1459"/>
      <c r="I191" s="1459"/>
      <c r="J191" s="1459"/>
      <c r="K191" s="1459"/>
      <c r="L191" s="1459"/>
      <c r="N191" s="1399"/>
      <c r="P191" s="1399"/>
      <c r="Q191" s="1399"/>
      <c r="R191" s="1399"/>
      <c r="S191" s="1399"/>
      <c r="T191" s="1399"/>
      <c r="U191" s="1399"/>
      <c r="V191" s="1399"/>
      <c r="W191" s="1399"/>
    </row>
    <row r="192" spans="2:23" s="1280" customFormat="1" x14ac:dyDescent="0.6">
      <c r="B192" s="1461"/>
      <c r="D192" s="1459"/>
      <c r="E192" s="1459"/>
      <c r="F192" s="1459"/>
      <c r="G192" s="1459"/>
      <c r="H192" s="1459"/>
      <c r="I192" s="1459"/>
      <c r="J192" s="1459"/>
      <c r="K192" s="1459"/>
      <c r="L192" s="1459"/>
      <c r="N192" s="1399"/>
      <c r="P192" s="1399"/>
      <c r="Q192" s="1399"/>
      <c r="R192" s="1399"/>
      <c r="S192" s="1399"/>
      <c r="T192" s="1399"/>
      <c r="U192" s="1399"/>
      <c r="V192" s="1399"/>
      <c r="W192" s="1399"/>
    </row>
    <row r="193" spans="2:23" s="1280" customFormat="1" x14ac:dyDescent="0.6">
      <c r="B193" s="1461"/>
      <c r="D193" s="1459"/>
      <c r="E193" s="1459"/>
      <c r="F193" s="1459"/>
      <c r="G193" s="1459"/>
      <c r="H193" s="1459"/>
      <c r="I193" s="1459"/>
      <c r="J193" s="1459"/>
      <c r="K193" s="1459"/>
      <c r="L193" s="1459"/>
      <c r="N193" s="1399"/>
      <c r="P193" s="1399"/>
      <c r="Q193" s="1399"/>
      <c r="R193" s="1399"/>
      <c r="S193" s="1399"/>
      <c r="T193" s="1399"/>
      <c r="U193" s="1399"/>
      <c r="V193" s="1399"/>
      <c r="W193" s="1399"/>
    </row>
    <row r="194" spans="2:23" s="1280" customFormat="1" x14ac:dyDescent="0.6">
      <c r="B194" s="1461"/>
      <c r="D194" s="1459"/>
      <c r="E194" s="1459"/>
      <c r="F194" s="1459"/>
      <c r="G194" s="1459"/>
      <c r="H194" s="1459"/>
      <c r="I194" s="1459"/>
      <c r="J194" s="1459"/>
      <c r="K194" s="1459"/>
      <c r="L194" s="1459"/>
      <c r="N194" s="1399"/>
      <c r="P194" s="1399"/>
      <c r="Q194" s="1399"/>
      <c r="R194" s="1399"/>
      <c r="S194" s="1399"/>
      <c r="T194" s="1399"/>
      <c r="U194" s="1399"/>
      <c r="V194" s="1399"/>
      <c r="W194" s="1399"/>
    </row>
    <row r="195" spans="2:23" s="1280" customFormat="1" x14ac:dyDescent="0.6">
      <c r="B195" s="1461"/>
      <c r="D195" s="1459"/>
      <c r="E195" s="1459"/>
      <c r="F195" s="1459"/>
      <c r="G195" s="1459"/>
      <c r="H195" s="1459"/>
      <c r="I195" s="1459"/>
      <c r="J195" s="1459"/>
      <c r="K195" s="1459"/>
      <c r="L195" s="1459"/>
      <c r="N195" s="1399"/>
      <c r="P195" s="1399"/>
      <c r="Q195" s="1399"/>
      <c r="R195" s="1399"/>
      <c r="S195" s="1399"/>
      <c r="T195" s="1399"/>
      <c r="U195" s="1399"/>
      <c r="V195" s="1399"/>
      <c r="W195" s="1399"/>
    </row>
    <row r="196" spans="2:23" s="1280" customFormat="1" x14ac:dyDescent="0.6">
      <c r="B196" s="1461"/>
      <c r="D196" s="1459"/>
      <c r="E196" s="1459"/>
      <c r="F196" s="1459"/>
      <c r="G196" s="1459"/>
      <c r="H196" s="1459"/>
      <c r="I196" s="1459"/>
      <c r="J196" s="1459"/>
      <c r="K196" s="1459"/>
      <c r="L196" s="1459"/>
      <c r="N196" s="1399"/>
      <c r="P196" s="1399"/>
      <c r="Q196" s="1399"/>
      <c r="R196" s="1399"/>
      <c r="S196" s="1399"/>
      <c r="T196" s="1399"/>
      <c r="U196" s="1399"/>
      <c r="V196" s="1399"/>
      <c r="W196" s="1399"/>
    </row>
    <row r="197" spans="2:23" s="1280" customFormat="1" x14ac:dyDescent="0.6">
      <c r="B197" s="1461"/>
      <c r="D197" s="1459"/>
      <c r="E197" s="1459"/>
      <c r="F197" s="1459"/>
      <c r="G197" s="1459"/>
      <c r="H197" s="1459"/>
      <c r="I197" s="1459"/>
      <c r="J197" s="1459"/>
      <c r="K197" s="1459"/>
      <c r="L197" s="1459"/>
      <c r="N197" s="1399"/>
      <c r="P197" s="1399"/>
      <c r="Q197" s="1399"/>
      <c r="R197" s="1399"/>
      <c r="S197" s="1399"/>
      <c r="T197" s="1399"/>
      <c r="U197" s="1399"/>
      <c r="V197" s="1399"/>
      <c r="W197" s="1399"/>
    </row>
    <row r="198" spans="2:23" s="1280" customFormat="1" x14ac:dyDescent="0.6">
      <c r="B198" s="1461"/>
      <c r="D198" s="1459"/>
      <c r="E198" s="1459"/>
      <c r="F198" s="1459"/>
      <c r="G198" s="1459"/>
      <c r="H198" s="1459"/>
      <c r="I198" s="1459"/>
      <c r="J198" s="1459"/>
      <c r="K198" s="1459"/>
      <c r="L198" s="1459"/>
      <c r="N198" s="1399"/>
      <c r="P198" s="1399"/>
      <c r="Q198" s="1399"/>
      <c r="R198" s="1399"/>
      <c r="S198" s="1399"/>
      <c r="T198" s="1399"/>
      <c r="U198" s="1399"/>
      <c r="V198" s="1399"/>
      <c r="W198" s="1399"/>
    </row>
    <row r="199" spans="2:23" s="1280" customFormat="1" x14ac:dyDescent="0.6">
      <c r="B199" s="1461"/>
      <c r="D199" s="1459"/>
      <c r="E199" s="1459"/>
      <c r="F199" s="1459"/>
      <c r="G199" s="1459"/>
      <c r="H199" s="1459"/>
      <c r="I199" s="1459"/>
      <c r="J199" s="1459"/>
      <c r="K199" s="1459"/>
      <c r="L199" s="1459"/>
      <c r="N199" s="1399"/>
      <c r="P199" s="1399"/>
      <c r="Q199" s="1399"/>
      <c r="R199" s="1399"/>
      <c r="S199" s="1399"/>
      <c r="T199" s="1399"/>
      <c r="U199" s="1399"/>
      <c r="V199" s="1399"/>
      <c r="W199" s="1399"/>
    </row>
    <row r="200" spans="2:23" s="1280" customFormat="1" x14ac:dyDescent="0.6">
      <c r="B200" s="1461"/>
      <c r="D200" s="1459"/>
      <c r="E200" s="1459"/>
      <c r="F200" s="1459"/>
      <c r="G200" s="1459"/>
      <c r="H200" s="1459"/>
      <c r="I200" s="1459"/>
      <c r="J200" s="1459"/>
      <c r="K200" s="1459"/>
      <c r="L200" s="1459"/>
      <c r="N200" s="1399"/>
      <c r="P200" s="1399"/>
      <c r="Q200" s="1399"/>
      <c r="R200" s="1399"/>
      <c r="S200" s="1399"/>
      <c r="T200" s="1399"/>
      <c r="U200" s="1399"/>
      <c r="V200" s="1399"/>
      <c r="W200" s="1399"/>
    </row>
    <row r="201" spans="2:23" s="1280" customFormat="1" x14ac:dyDescent="0.6">
      <c r="B201" s="1461"/>
      <c r="D201" s="1459"/>
      <c r="E201" s="1459"/>
      <c r="F201" s="1459"/>
      <c r="G201" s="1459"/>
      <c r="H201" s="1459"/>
      <c r="I201" s="1459"/>
      <c r="J201" s="1459"/>
      <c r="K201" s="1459"/>
      <c r="L201" s="1459"/>
      <c r="N201" s="1399"/>
      <c r="P201" s="1399"/>
      <c r="Q201" s="1399"/>
      <c r="R201" s="1399"/>
      <c r="S201" s="1399"/>
      <c r="T201" s="1399"/>
      <c r="U201" s="1399"/>
      <c r="V201" s="1399"/>
      <c r="W201" s="1399"/>
    </row>
    <row r="202" spans="2:23" s="1280" customFormat="1" x14ac:dyDescent="0.6">
      <c r="B202" s="1461"/>
      <c r="D202" s="1459"/>
      <c r="E202" s="1459"/>
      <c r="F202" s="1459"/>
      <c r="G202" s="1459"/>
      <c r="H202" s="1459"/>
      <c r="I202" s="1459"/>
      <c r="J202" s="1459"/>
      <c r="K202" s="1459"/>
      <c r="L202" s="1459"/>
      <c r="N202" s="1399"/>
      <c r="P202" s="1399"/>
      <c r="Q202" s="1399"/>
      <c r="R202" s="1399"/>
      <c r="S202" s="1399"/>
      <c r="T202" s="1399"/>
      <c r="U202" s="1399"/>
      <c r="V202" s="1399"/>
      <c r="W202" s="1399"/>
    </row>
    <row r="203" spans="2:23" s="1280" customFormat="1" x14ac:dyDescent="0.6">
      <c r="B203" s="1461"/>
      <c r="D203" s="1459"/>
      <c r="E203" s="1459"/>
      <c r="F203" s="1459"/>
      <c r="G203" s="1459"/>
      <c r="H203" s="1459"/>
      <c r="I203" s="1459"/>
      <c r="J203" s="1459"/>
      <c r="K203" s="1459"/>
      <c r="L203" s="1459"/>
      <c r="N203" s="1399"/>
      <c r="P203" s="1399"/>
      <c r="Q203" s="1399"/>
      <c r="R203" s="1399"/>
      <c r="S203" s="1399"/>
      <c r="T203" s="1399"/>
      <c r="U203" s="1399"/>
      <c r="V203" s="1399"/>
      <c r="W203" s="1399"/>
    </row>
    <row r="204" spans="2:23" s="1280" customFormat="1" x14ac:dyDescent="0.6">
      <c r="B204" s="1461"/>
      <c r="D204" s="1459"/>
      <c r="E204" s="1459"/>
      <c r="F204" s="1459"/>
      <c r="G204" s="1459"/>
      <c r="H204" s="1459"/>
      <c r="I204" s="1459"/>
      <c r="J204" s="1459"/>
      <c r="K204" s="1459"/>
      <c r="L204" s="1459"/>
      <c r="N204" s="1399"/>
      <c r="P204" s="1399"/>
      <c r="Q204" s="1399"/>
      <c r="R204" s="1399"/>
      <c r="S204" s="1399"/>
      <c r="T204" s="1399"/>
      <c r="U204" s="1399"/>
      <c r="V204" s="1399"/>
      <c r="W204" s="1399"/>
    </row>
    <row r="205" spans="2:23" s="1280" customFormat="1" x14ac:dyDescent="0.6">
      <c r="B205" s="1461"/>
      <c r="D205" s="1459"/>
      <c r="E205" s="1459"/>
      <c r="F205" s="1459"/>
      <c r="G205" s="1459"/>
      <c r="H205" s="1459"/>
      <c r="I205" s="1459"/>
      <c r="J205" s="1459"/>
      <c r="K205" s="1459"/>
      <c r="L205" s="1459"/>
      <c r="N205" s="1399"/>
      <c r="P205" s="1399"/>
      <c r="Q205" s="1399"/>
      <c r="R205" s="1399"/>
      <c r="S205" s="1399"/>
      <c r="T205" s="1399"/>
      <c r="U205" s="1399"/>
      <c r="V205" s="1399"/>
      <c r="W205" s="1399"/>
    </row>
    <row r="206" spans="2:23" s="1280" customFormat="1" x14ac:dyDescent="0.6">
      <c r="B206" s="1461"/>
      <c r="D206" s="1459"/>
      <c r="E206" s="1459"/>
      <c r="F206" s="1459"/>
      <c r="G206" s="1459"/>
      <c r="H206" s="1459"/>
      <c r="I206" s="1459"/>
      <c r="J206" s="1459"/>
      <c r="K206" s="1459"/>
      <c r="L206" s="1459"/>
      <c r="N206" s="1399"/>
      <c r="P206" s="1399"/>
      <c r="Q206" s="1399"/>
      <c r="R206" s="1399"/>
      <c r="S206" s="1399"/>
      <c r="T206" s="1399"/>
      <c r="U206" s="1399"/>
      <c r="V206" s="1399"/>
      <c r="W206" s="1399"/>
    </row>
    <row r="207" spans="2:23" s="1280" customFormat="1" x14ac:dyDescent="0.6">
      <c r="B207" s="1461"/>
      <c r="D207" s="1459"/>
      <c r="E207" s="1459"/>
      <c r="F207" s="1459"/>
      <c r="G207" s="1459"/>
      <c r="H207" s="1459"/>
      <c r="I207" s="1459"/>
      <c r="J207" s="1459"/>
      <c r="K207" s="1459"/>
      <c r="L207" s="1459"/>
      <c r="N207" s="1399"/>
      <c r="P207" s="1399"/>
      <c r="Q207" s="1399"/>
      <c r="R207" s="1399"/>
      <c r="S207" s="1399"/>
      <c r="T207" s="1399"/>
      <c r="U207" s="1399"/>
      <c r="V207" s="1399"/>
      <c r="W207" s="1399"/>
    </row>
    <row r="208" spans="2:23" s="1280" customFormat="1" x14ac:dyDescent="0.6">
      <c r="B208" s="1461"/>
      <c r="D208" s="1459"/>
      <c r="E208" s="1459"/>
      <c r="F208" s="1459"/>
      <c r="G208" s="1459"/>
      <c r="H208" s="1459"/>
      <c r="I208" s="1459"/>
      <c r="J208" s="1459"/>
      <c r="K208" s="1459"/>
      <c r="L208" s="1459"/>
      <c r="N208" s="1399"/>
      <c r="P208" s="1399"/>
      <c r="Q208" s="1399"/>
      <c r="R208" s="1399"/>
      <c r="S208" s="1399"/>
      <c r="T208" s="1399"/>
      <c r="U208" s="1399"/>
      <c r="V208" s="1399"/>
      <c r="W208" s="1399"/>
    </row>
    <row r="209" spans="2:23" s="1280" customFormat="1" x14ac:dyDescent="0.6">
      <c r="B209" s="1461"/>
      <c r="D209" s="1459"/>
      <c r="E209" s="1459"/>
      <c r="F209" s="1459"/>
      <c r="G209" s="1459"/>
      <c r="H209" s="1459"/>
      <c r="I209" s="1459"/>
      <c r="J209" s="1459"/>
      <c r="K209" s="1459"/>
      <c r="L209" s="1459"/>
      <c r="N209" s="1399"/>
      <c r="P209" s="1399"/>
      <c r="Q209" s="1399"/>
      <c r="R209" s="1399"/>
      <c r="S209" s="1399"/>
      <c r="T209" s="1399"/>
      <c r="U209" s="1399"/>
      <c r="V209" s="1399"/>
      <c r="W209" s="1399"/>
    </row>
    <row r="210" spans="2:23" s="1280" customFormat="1" x14ac:dyDescent="0.6">
      <c r="B210" s="1461"/>
      <c r="D210" s="1459"/>
      <c r="E210" s="1459"/>
      <c r="F210" s="1459"/>
      <c r="G210" s="1459"/>
      <c r="H210" s="1459"/>
      <c r="I210" s="1459"/>
      <c r="J210" s="1459"/>
      <c r="K210" s="1459"/>
      <c r="L210" s="1459"/>
      <c r="N210" s="1399"/>
      <c r="P210" s="1399"/>
      <c r="Q210" s="1399"/>
      <c r="R210" s="1399"/>
      <c r="S210" s="1399"/>
      <c r="T210" s="1399"/>
      <c r="U210" s="1399"/>
      <c r="V210" s="1399"/>
      <c r="W210" s="1399"/>
    </row>
    <row r="211" spans="2:23" s="1280" customFormat="1" x14ac:dyDescent="0.6">
      <c r="B211" s="1461"/>
      <c r="D211" s="1459"/>
      <c r="E211" s="1459"/>
      <c r="F211" s="1459"/>
      <c r="G211" s="1459"/>
      <c r="H211" s="1459"/>
      <c r="I211" s="1459"/>
      <c r="J211" s="1459"/>
      <c r="K211" s="1459"/>
      <c r="L211" s="1459"/>
      <c r="N211" s="1399"/>
      <c r="P211" s="1399"/>
      <c r="Q211" s="1399"/>
      <c r="R211" s="1399"/>
      <c r="S211" s="1399"/>
      <c r="T211" s="1399"/>
      <c r="U211" s="1399"/>
      <c r="V211" s="1399"/>
      <c r="W211" s="1399"/>
    </row>
    <row r="212" spans="2:23" s="1280" customFormat="1" x14ac:dyDescent="0.6">
      <c r="B212" s="1461"/>
      <c r="D212" s="1459"/>
      <c r="E212" s="1459"/>
      <c r="F212" s="1459"/>
      <c r="G212" s="1459"/>
      <c r="H212" s="1459"/>
      <c r="I212" s="1459"/>
      <c r="J212" s="1459"/>
      <c r="K212" s="1459"/>
      <c r="L212" s="1459"/>
      <c r="N212" s="1399"/>
      <c r="P212" s="1399"/>
      <c r="Q212" s="1399"/>
      <c r="R212" s="1399"/>
      <c r="S212" s="1399"/>
      <c r="T212" s="1399"/>
      <c r="U212" s="1399"/>
      <c r="V212" s="1399"/>
      <c r="W212" s="1399"/>
    </row>
    <row r="213" spans="2:23" s="1280" customFormat="1" x14ac:dyDescent="0.6">
      <c r="B213" s="1461"/>
      <c r="D213" s="1459"/>
      <c r="E213" s="1459"/>
      <c r="F213" s="1459"/>
      <c r="G213" s="1459"/>
      <c r="H213" s="1459"/>
      <c r="I213" s="1459"/>
      <c r="J213" s="1459"/>
      <c r="K213" s="1459"/>
      <c r="L213" s="1459"/>
      <c r="N213" s="1399"/>
      <c r="P213" s="1399"/>
      <c r="Q213" s="1399"/>
      <c r="R213" s="1399"/>
      <c r="S213" s="1399"/>
      <c r="T213" s="1399"/>
      <c r="U213" s="1399"/>
      <c r="V213" s="1399"/>
      <c r="W213" s="1399"/>
    </row>
    <row r="214" spans="2:23" s="1280" customFormat="1" x14ac:dyDescent="0.6">
      <c r="B214" s="1461"/>
      <c r="D214" s="1459"/>
      <c r="E214" s="1459"/>
      <c r="F214" s="1459"/>
      <c r="G214" s="1459"/>
      <c r="H214" s="1459"/>
      <c r="I214" s="1459"/>
      <c r="J214" s="1459"/>
      <c r="K214" s="1459"/>
      <c r="L214" s="1459"/>
      <c r="N214" s="1399"/>
      <c r="P214" s="1399"/>
      <c r="Q214" s="1399"/>
      <c r="R214" s="1399"/>
      <c r="S214" s="1399"/>
      <c r="T214" s="1399"/>
      <c r="U214" s="1399"/>
      <c r="V214" s="1399"/>
      <c r="W214" s="1399"/>
    </row>
    <row r="215" spans="2:23" s="1280" customFormat="1" x14ac:dyDescent="0.6">
      <c r="B215" s="1461"/>
      <c r="D215" s="1459"/>
      <c r="E215" s="1459"/>
      <c r="F215" s="1459"/>
      <c r="G215" s="1459"/>
      <c r="H215" s="1459"/>
      <c r="I215" s="1459"/>
      <c r="J215" s="1459"/>
      <c r="K215" s="1459"/>
      <c r="L215" s="1459"/>
      <c r="N215" s="1399"/>
      <c r="P215" s="1399"/>
      <c r="Q215" s="1399"/>
      <c r="R215" s="1399"/>
      <c r="S215" s="1399"/>
      <c r="T215" s="1399"/>
      <c r="U215" s="1399"/>
      <c r="V215" s="1399"/>
      <c r="W215" s="1399"/>
    </row>
    <row r="216" spans="2:23" s="1280" customFormat="1" x14ac:dyDescent="0.6">
      <c r="B216" s="1461"/>
      <c r="D216" s="1459"/>
      <c r="E216" s="1459"/>
      <c r="F216" s="1459"/>
      <c r="G216" s="1459"/>
      <c r="H216" s="1459"/>
      <c r="I216" s="1459"/>
      <c r="J216" s="1459"/>
      <c r="K216" s="1459"/>
      <c r="L216" s="1459"/>
      <c r="N216" s="1399"/>
      <c r="P216" s="1399"/>
      <c r="Q216" s="1399"/>
      <c r="R216" s="1399"/>
      <c r="S216" s="1399"/>
      <c r="T216" s="1399"/>
      <c r="U216" s="1399"/>
      <c r="V216" s="1399"/>
      <c r="W216" s="1399"/>
    </row>
    <row r="217" spans="2:23" s="1280" customFormat="1" x14ac:dyDescent="0.6">
      <c r="B217" s="1461"/>
      <c r="D217" s="1459"/>
      <c r="E217" s="1459"/>
      <c r="F217" s="1459"/>
      <c r="G217" s="1459"/>
      <c r="H217" s="1459"/>
      <c r="I217" s="1459"/>
      <c r="J217" s="1459"/>
      <c r="K217" s="1459"/>
      <c r="L217" s="1459"/>
      <c r="N217" s="1399"/>
      <c r="P217" s="1399"/>
      <c r="Q217" s="1399"/>
      <c r="R217" s="1399"/>
      <c r="S217" s="1399"/>
      <c r="T217" s="1399"/>
      <c r="U217" s="1399"/>
      <c r="V217" s="1399"/>
      <c r="W217" s="1399"/>
    </row>
    <row r="218" spans="2:23" s="1280" customFormat="1" x14ac:dyDescent="0.6">
      <c r="B218" s="1461"/>
      <c r="D218" s="1459"/>
      <c r="E218" s="1459"/>
      <c r="F218" s="1459"/>
      <c r="G218" s="1459"/>
      <c r="H218" s="1459"/>
      <c r="I218" s="1459"/>
      <c r="J218" s="1459"/>
      <c r="K218" s="1459"/>
      <c r="L218" s="1459"/>
      <c r="N218" s="1399"/>
      <c r="P218" s="1399"/>
      <c r="Q218" s="1399"/>
      <c r="R218" s="1399"/>
      <c r="S218" s="1399"/>
      <c r="T218" s="1399"/>
      <c r="U218" s="1399"/>
      <c r="V218" s="1399"/>
      <c r="W218" s="1399"/>
    </row>
    <row r="219" spans="2:23" s="1280" customFormat="1" x14ac:dyDescent="0.6">
      <c r="B219" s="1461"/>
      <c r="D219" s="1459"/>
      <c r="E219" s="1459"/>
      <c r="F219" s="1459"/>
      <c r="G219" s="1459"/>
      <c r="H219" s="1459"/>
      <c r="I219" s="1459"/>
      <c r="J219" s="1459"/>
      <c r="K219" s="1459"/>
      <c r="L219" s="1459"/>
      <c r="N219" s="1399"/>
      <c r="P219" s="1399"/>
      <c r="Q219" s="1399"/>
      <c r="R219" s="1399"/>
      <c r="S219" s="1399"/>
      <c r="T219" s="1399"/>
      <c r="U219" s="1399"/>
      <c r="V219" s="1399"/>
      <c r="W219" s="1399"/>
    </row>
    <row r="220" spans="2:23" s="1280" customFormat="1" x14ac:dyDescent="0.6">
      <c r="B220" s="1461"/>
      <c r="D220" s="1459"/>
      <c r="E220" s="1459"/>
      <c r="F220" s="1459"/>
      <c r="G220" s="1459"/>
      <c r="H220" s="1459"/>
      <c r="I220" s="1459"/>
      <c r="J220" s="1459"/>
      <c r="K220" s="1459"/>
      <c r="L220" s="1459"/>
      <c r="N220" s="1399"/>
      <c r="P220" s="1399"/>
      <c r="Q220" s="1399"/>
      <c r="R220" s="1399"/>
      <c r="S220" s="1399"/>
      <c r="T220" s="1399"/>
      <c r="U220" s="1399"/>
      <c r="V220" s="1399"/>
      <c r="W220" s="1399"/>
    </row>
    <row r="221" spans="2:23" s="1280" customFormat="1" x14ac:dyDescent="0.6">
      <c r="B221" s="1461"/>
      <c r="D221" s="1459"/>
      <c r="E221" s="1459"/>
      <c r="F221" s="1459"/>
      <c r="G221" s="1459"/>
      <c r="H221" s="1459"/>
      <c r="I221" s="1459"/>
      <c r="J221" s="1459"/>
      <c r="K221" s="1459"/>
      <c r="L221" s="1459"/>
      <c r="N221" s="1399"/>
      <c r="P221" s="1399"/>
      <c r="Q221" s="1399"/>
      <c r="R221" s="1399"/>
      <c r="S221" s="1399"/>
      <c r="T221" s="1399"/>
      <c r="U221" s="1399"/>
      <c r="V221" s="1399"/>
      <c r="W221" s="1399"/>
    </row>
    <row r="222" spans="2:23" s="1280" customFormat="1" x14ac:dyDescent="0.6">
      <c r="B222" s="1461"/>
      <c r="D222" s="1459"/>
      <c r="E222" s="1459"/>
      <c r="F222" s="1459"/>
      <c r="G222" s="1459"/>
      <c r="H222" s="1459"/>
      <c r="I222" s="1459"/>
      <c r="J222" s="1459"/>
      <c r="K222" s="1459"/>
      <c r="L222" s="1459"/>
      <c r="N222" s="1399"/>
      <c r="P222" s="1399"/>
      <c r="Q222" s="1399"/>
      <c r="R222" s="1399"/>
      <c r="S222" s="1399"/>
      <c r="T222" s="1399"/>
      <c r="U222" s="1399"/>
      <c r="V222" s="1399"/>
      <c r="W222" s="1399"/>
    </row>
    <row r="223" spans="2:23" s="1280" customFormat="1" x14ac:dyDescent="0.6">
      <c r="B223" s="1461"/>
      <c r="D223" s="1459"/>
      <c r="E223" s="1459"/>
      <c r="F223" s="1459"/>
      <c r="G223" s="1459"/>
      <c r="H223" s="1459"/>
      <c r="I223" s="1459"/>
      <c r="J223" s="1459"/>
      <c r="K223" s="1459"/>
      <c r="L223" s="1459"/>
      <c r="N223" s="1399"/>
      <c r="P223" s="1399"/>
      <c r="Q223" s="1399"/>
      <c r="R223" s="1399"/>
      <c r="S223" s="1399"/>
      <c r="T223" s="1399"/>
      <c r="U223" s="1399"/>
      <c r="V223" s="1399"/>
      <c r="W223" s="1399"/>
    </row>
    <row r="224" spans="2:23" s="1280" customFormat="1" x14ac:dyDescent="0.6">
      <c r="B224" s="1461"/>
      <c r="D224" s="1459"/>
      <c r="E224" s="1459"/>
      <c r="F224" s="1459"/>
      <c r="G224" s="1459"/>
      <c r="H224" s="1459"/>
      <c r="I224" s="1459"/>
      <c r="J224" s="1459"/>
      <c r="K224" s="1459"/>
      <c r="L224" s="1459"/>
      <c r="N224" s="1399"/>
      <c r="P224" s="1399"/>
      <c r="Q224" s="1399"/>
      <c r="R224" s="1399"/>
      <c r="S224" s="1399"/>
      <c r="T224" s="1399"/>
      <c r="U224" s="1399"/>
      <c r="V224" s="1399"/>
      <c r="W224" s="1399"/>
    </row>
    <row r="225" spans="2:23" s="1280" customFormat="1" x14ac:dyDescent="0.6">
      <c r="B225" s="1461"/>
      <c r="D225" s="1459"/>
      <c r="E225" s="1459"/>
      <c r="F225" s="1459"/>
      <c r="G225" s="1459"/>
      <c r="H225" s="1459"/>
      <c r="I225" s="1459"/>
      <c r="J225" s="1459"/>
      <c r="K225" s="1459"/>
      <c r="L225" s="1459"/>
      <c r="N225" s="1399"/>
      <c r="P225" s="1399"/>
      <c r="Q225" s="1399"/>
      <c r="R225" s="1399"/>
      <c r="S225" s="1399"/>
      <c r="T225" s="1399"/>
      <c r="U225" s="1399"/>
      <c r="V225" s="1399"/>
      <c r="W225" s="1399"/>
    </row>
    <row r="226" spans="2:23" s="1280" customFormat="1" x14ac:dyDescent="0.6">
      <c r="B226" s="1461"/>
      <c r="D226" s="1459"/>
      <c r="E226" s="1459"/>
      <c r="F226" s="1459"/>
      <c r="G226" s="1459"/>
      <c r="H226" s="1459"/>
      <c r="I226" s="1459"/>
      <c r="J226" s="1459"/>
      <c r="K226" s="1459"/>
      <c r="L226" s="1459"/>
      <c r="N226" s="1399"/>
      <c r="P226" s="1399"/>
      <c r="Q226" s="1399"/>
      <c r="R226" s="1399"/>
      <c r="S226" s="1399"/>
      <c r="T226" s="1399"/>
      <c r="U226" s="1399"/>
      <c r="V226" s="1399"/>
      <c r="W226" s="1399"/>
    </row>
    <row r="227" spans="2:23" s="1280" customFormat="1" x14ac:dyDescent="0.6">
      <c r="B227" s="1461"/>
      <c r="D227" s="1459"/>
      <c r="E227" s="1459"/>
      <c r="F227" s="1459"/>
      <c r="G227" s="1459"/>
      <c r="H227" s="1459"/>
      <c r="I227" s="1459"/>
      <c r="J227" s="1459"/>
      <c r="K227" s="1459"/>
      <c r="L227" s="1459"/>
      <c r="N227" s="1399"/>
      <c r="P227" s="1399"/>
      <c r="Q227" s="1399"/>
      <c r="R227" s="1399"/>
      <c r="S227" s="1399"/>
      <c r="T227" s="1399"/>
      <c r="U227" s="1399"/>
      <c r="V227" s="1399"/>
      <c r="W227" s="1399"/>
    </row>
    <row r="228" spans="2:23" s="1280" customFormat="1" x14ac:dyDescent="0.6">
      <c r="B228" s="1461"/>
      <c r="D228" s="1459"/>
      <c r="E228" s="1459"/>
      <c r="F228" s="1459"/>
      <c r="G228" s="1459"/>
      <c r="H228" s="1459"/>
      <c r="I228" s="1459"/>
      <c r="J228" s="1459"/>
      <c r="K228" s="1459"/>
      <c r="L228" s="1459"/>
      <c r="N228" s="1399"/>
      <c r="P228" s="1399"/>
      <c r="Q228" s="1399"/>
      <c r="R228" s="1399"/>
      <c r="S228" s="1399"/>
      <c r="T228" s="1399"/>
      <c r="U228" s="1399"/>
      <c r="V228" s="1399"/>
      <c r="W228" s="1399"/>
    </row>
    <row r="229" spans="2:23" s="1280" customFormat="1" x14ac:dyDescent="0.6">
      <c r="B229" s="1461"/>
      <c r="D229" s="1459"/>
      <c r="E229" s="1459"/>
      <c r="F229" s="1459"/>
      <c r="G229" s="1459"/>
      <c r="H229" s="1459"/>
      <c r="I229" s="1459"/>
      <c r="J229" s="1459"/>
      <c r="K229" s="1459"/>
      <c r="L229" s="1459"/>
      <c r="N229" s="1399"/>
      <c r="P229" s="1399"/>
      <c r="Q229" s="1399"/>
      <c r="R229" s="1399"/>
      <c r="S229" s="1399"/>
      <c r="T229" s="1399"/>
      <c r="U229" s="1399"/>
      <c r="V229" s="1399"/>
      <c r="W229" s="1399"/>
    </row>
    <row r="230" spans="2:23" s="1280" customFormat="1" x14ac:dyDescent="0.6">
      <c r="B230" s="1461"/>
      <c r="D230" s="1459"/>
      <c r="E230" s="1459"/>
      <c r="F230" s="1459"/>
      <c r="G230" s="1459"/>
      <c r="H230" s="1459"/>
      <c r="I230" s="1459"/>
      <c r="J230" s="1459"/>
      <c r="K230" s="1459"/>
      <c r="L230" s="1459"/>
      <c r="N230" s="1399"/>
      <c r="P230" s="1399"/>
      <c r="Q230" s="1399"/>
      <c r="R230" s="1399"/>
      <c r="S230" s="1399"/>
      <c r="T230" s="1399"/>
      <c r="U230" s="1399"/>
      <c r="V230" s="1399"/>
      <c r="W230" s="1399"/>
    </row>
    <row r="231" spans="2:23" s="1280" customFormat="1" x14ac:dyDescent="0.6">
      <c r="B231" s="1461"/>
      <c r="D231" s="1459"/>
      <c r="E231" s="1459"/>
      <c r="F231" s="1459"/>
      <c r="G231" s="1459"/>
      <c r="H231" s="1459"/>
      <c r="I231" s="1459"/>
      <c r="J231" s="1459"/>
      <c r="K231" s="1459"/>
      <c r="L231" s="1459"/>
      <c r="N231" s="1399"/>
      <c r="P231" s="1399"/>
      <c r="Q231" s="1399"/>
      <c r="R231" s="1399"/>
      <c r="S231" s="1399"/>
      <c r="T231" s="1399"/>
      <c r="U231" s="1399"/>
      <c r="V231" s="1399"/>
      <c r="W231" s="1399"/>
    </row>
    <row r="232" spans="2:23" s="1280" customFormat="1" x14ac:dyDescent="0.6">
      <c r="B232" s="1461"/>
      <c r="D232" s="1459"/>
      <c r="E232" s="1459"/>
      <c r="F232" s="1459"/>
      <c r="G232" s="1459"/>
      <c r="H232" s="1459"/>
      <c r="I232" s="1459"/>
      <c r="J232" s="1459"/>
      <c r="K232" s="1459"/>
      <c r="L232" s="1459"/>
      <c r="N232" s="1399"/>
      <c r="P232" s="1399"/>
      <c r="Q232" s="1399"/>
      <c r="R232" s="1399"/>
      <c r="S232" s="1399"/>
      <c r="T232" s="1399"/>
      <c r="U232" s="1399"/>
      <c r="V232" s="1399"/>
      <c r="W232" s="1399"/>
    </row>
    <row r="233" spans="2:23" s="1280" customFormat="1" x14ac:dyDescent="0.6">
      <c r="B233" s="1461"/>
      <c r="D233" s="1459"/>
      <c r="E233" s="1459"/>
      <c r="F233" s="1459"/>
      <c r="G233" s="1459"/>
      <c r="H233" s="1459"/>
      <c r="I233" s="1459"/>
      <c r="J233" s="1459"/>
      <c r="K233" s="1459"/>
      <c r="L233" s="1459"/>
      <c r="N233" s="1399"/>
      <c r="P233" s="1399"/>
      <c r="Q233" s="1399"/>
      <c r="R233" s="1399"/>
      <c r="S233" s="1399"/>
      <c r="T233" s="1399"/>
      <c r="U233" s="1399"/>
      <c r="V233" s="1399"/>
      <c r="W233" s="1399"/>
    </row>
    <row r="234" spans="2:23" s="1280" customFormat="1" x14ac:dyDescent="0.6">
      <c r="B234" s="1461"/>
      <c r="D234" s="1459"/>
      <c r="E234" s="1459"/>
      <c r="F234" s="1459"/>
      <c r="G234" s="1459"/>
      <c r="H234" s="1459"/>
      <c r="I234" s="1459"/>
      <c r="J234" s="1459"/>
      <c r="K234" s="1459"/>
      <c r="L234" s="1459"/>
      <c r="N234" s="1399"/>
      <c r="P234" s="1399"/>
      <c r="Q234" s="1399"/>
      <c r="R234" s="1399"/>
      <c r="S234" s="1399"/>
      <c r="T234" s="1399"/>
      <c r="U234" s="1399"/>
      <c r="V234" s="1399"/>
      <c r="W234" s="1399"/>
    </row>
    <row r="235" spans="2:23" s="1280" customFormat="1" x14ac:dyDescent="0.6">
      <c r="B235" s="1461"/>
      <c r="D235" s="1459"/>
      <c r="E235" s="1459"/>
      <c r="F235" s="1459"/>
      <c r="G235" s="1459"/>
      <c r="H235" s="1459"/>
      <c r="I235" s="1459"/>
      <c r="J235" s="1459"/>
      <c r="K235" s="1459"/>
      <c r="L235" s="1459"/>
      <c r="N235" s="1399"/>
      <c r="P235" s="1399"/>
      <c r="Q235" s="1399"/>
      <c r="R235" s="1399"/>
      <c r="S235" s="1399"/>
      <c r="T235" s="1399"/>
      <c r="U235" s="1399"/>
      <c r="V235" s="1399"/>
      <c r="W235" s="1399"/>
    </row>
    <row r="236" spans="2:23" s="1280" customFormat="1" x14ac:dyDescent="0.6">
      <c r="B236" s="1461"/>
      <c r="D236" s="1459"/>
      <c r="E236" s="1459"/>
      <c r="F236" s="1459"/>
      <c r="G236" s="1459"/>
      <c r="H236" s="1459"/>
      <c r="I236" s="1459"/>
      <c r="J236" s="1459"/>
      <c r="K236" s="1459"/>
      <c r="L236" s="1459"/>
      <c r="N236" s="1399"/>
      <c r="P236" s="1399"/>
      <c r="Q236" s="1399"/>
      <c r="R236" s="1399"/>
      <c r="S236" s="1399"/>
      <c r="T236" s="1399"/>
      <c r="U236" s="1399"/>
      <c r="V236" s="1399"/>
      <c r="W236" s="1399"/>
    </row>
    <row r="237" spans="2:23" s="1280" customFormat="1" x14ac:dyDescent="0.6">
      <c r="B237" s="1461"/>
      <c r="D237" s="1459"/>
      <c r="E237" s="1459"/>
      <c r="F237" s="1459"/>
      <c r="G237" s="1459"/>
      <c r="H237" s="1459"/>
      <c r="I237" s="1459"/>
      <c r="J237" s="1459"/>
      <c r="K237" s="1459"/>
      <c r="L237" s="1459"/>
      <c r="N237" s="1399"/>
      <c r="P237" s="1399"/>
      <c r="Q237" s="1399"/>
      <c r="R237" s="1399"/>
      <c r="S237" s="1399"/>
      <c r="T237" s="1399"/>
      <c r="U237" s="1399"/>
      <c r="V237" s="1399"/>
      <c r="W237" s="1399"/>
    </row>
    <row r="238" spans="2:23" s="1280" customFormat="1" x14ac:dyDescent="0.6">
      <c r="B238" s="1461"/>
      <c r="D238" s="1459"/>
      <c r="E238" s="1459"/>
      <c r="F238" s="1459"/>
      <c r="G238" s="1459"/>
      <c r="H238" s="1459"/>
      <c r="I238" s="1459"/>
      <c r="J238" s="1459"/>
      <c r="K238" s="1459"/>
      <c r="L238" s="1459"/>
      <c r="N238" s="1399"/>
      <c r="P238" s="1399"/>
      <c r="Q238" s="1399"/>
      <c r="R238" s="1399"/>
      <c r="S238" s="1399"/>
      <c r="T238" s="1399"/>
      <c r="U238" s="1399"/>
      <c r="V238" s="1399"/>
      <c r="W238" s="1399"/>
    </row>
    <row r="239" spans="2:23" s="1280" customFormat="1" x14ac:dyDescent="0.6">
      <c r="B239" s="1461"/>
      <c r="D239" s="1459"/>
      <c r="E239" s="1459"/>
      <c r="F239" s="1459"/>
      <c r="G239" s="1459"/>
      <c r="H239" s="1459"/>
      <c r="I239" s="1459"/>
      <c r="J239" s="1459"/>
      <c r="K239" s="1459"/>
      <c r="L239" s="1459"/>
      <c r="N239" s="1399"/>
      <c r="P239" s="1399"/>
      <c r="Q239" s="1399"/>
      <c r="R239" s="1399"/>
      <c r="S239" s="1399"/>
      <c r="T239" s="1399"/>
      <c r="U239" s="1399"/>
      <c r="V239" s="1399"/>
      <c r="W239" s="1399"/>
    </row>
    <row r="240" spans="2:23" s="1280" customFormat="1" x14ac:dyDescent="0.6">
      <c r="B240" s="1461"/>
      <c r="D240" s="1459"/>
      <c r="E240" s="1459"/>
      <c r="F240" s="1459"/>
      <c r="G240" s="1459"/>
      <c r="H240" s="1459"/>
      <c r="I240" s="1459"/>
      <c r="J240" s="1459"/>
      <c r="K240" s="1459"/>
      <c r="L240" s="1459"/>
      <c r="N240" s="1399"/>
      <c r="P240" s="1399"/>
      <c r="Q240" s="1399"/>
      <c r="R240" s="1399"/>
      <c r="S240" s="1399"/>
      <c r="T240" s="1399"/>
      <c r="U240" s="1399"/>
      <c r="V240" s="1399"/>
      <c r="W240" s="1399"/>
    </row>
    <row r="241" spans="2:23" s="1280" customFormat="1" x14ac:dyDescent="0.6">
      <c r="B241" s="1461"/>
      <c r="D241" s="1459"/>
      <c r="E241" s="1459"/>
      <c r="F241" s="1459"/>
      <c r="G241" s="1459"/>
      <c r="H241" s="1459"/>
      <c r="I241" s="1459"/>
      <c r="J241" s="1459"/>
      <c r="K241" s="1459"/>
      <c r="L241" s="1459"/>
      <c r="N241" s="1399"/>
      <c r="P241" s="1399"/>
      <c r="Q241" s="1399"/>
      <c r="R241" s="1399"/>
      <c r="S241" s="1399"/>
      <c r="T241" s="1399"/>
      <c r="U241" s="1399"/>
      <c r="V241" s="1399"/>
      <c r="W241" s="1399"/>
    </row>
    <row r="242" spans="2:23" s="1280" customFormat="1" x14ac:dyDescent="0.6">
      <c r="B242" s="1461"/>
      <c r="D242" s="1459"/>
      <c r="E242" s="1459"/>
      <c r="F242" s="1459"/>
      <c r="G242" s="1459"/>
      <c r="H242" s="1459"/>
      <c r="I242" s="1459"/>
      <c r="J242" s="1459"/>
      <c r="K242" s="1459"/>
      <c r="L242" s="1459"/>
      <c r="N242" s="1399"/>
      <c r="P242" s="1399"/>
      <c r="Q242" s="1399"/>
      <c r="R242" s="1399"/>
      <c r="S242" s="1399"/>
      <c r="T242" s="1399"/>
      <c r="U242" s="1399"/>
      <c r="V242" s="1399"/>
      <c r="W242" s="1399"/>
    </row>
    <row r="243" spans="2:23" s="1280" customFormat="1" x14ac:dyDescent="0.6">
      <c r="B243" s="1461"/>
      <c r="D243" s="1459"/>
      <c r="E243" s="1459"/>
      <c r="F243" s="1459"/>
      <c r="G243" s="1459"/>
      <c r="H243" s="1459"/>
      <c r="I243" s="1459"/>
      <c r="J243" s="1459"/>
      <c r="K243" s="1459"/>
      <c r="L243" s="1459"/>
      <c r="N243" s="1399"/>
      <c r="P243" s="1399"/>
      <c r="Q243" s="1399"/>
      <c r="R243" s="1399"/>
      <c r="S243" s="1399"/>
      <c r="T243" s="1399"/>
      <c r="U243" s="1399"/>
      <c r="V243" s="1399"/>
      <c r="W243" s="1399"/>
    </row>
    <row r="244" spans="2:23" s="1280" customFormat="1" x14ac:dyDescent="0.6">
      <c r="B244" s="1461"/>
      <c r="D244" s="1459"/>
      <c r="E244" s="1459"/>
      <c r="F244" s="1459"/>
      <c r="G244" s="1459"/>
      <c r="H244" s="1459"/>
      <c r="I244" s="1459"/>
      <c r="J244" s="1459"/>
      <c r="K244" s="1459"/>
      <c r="L244" s="1459"/>
      <c r="N244" s="1399"/>
      <c r="P244" s="1399"/>
      <c r="Q244" s="1399"/>
      <c r="R244" s="1399"/>
      <c r="S244" s="1399"/>
      <c r="T244" s="1399"/>
      <c r="U244" s="1399"/>
      <c r="V244" s="1399"/>
      <c r="W244" s="1399"/>
    </row>
    <row r="245" spans="2:23" s="1280" customFormat="1" x14ac:dyDescent="0.6">
      <c r="B245" s="1461"/>
      <c r="D245" s="1459"/>
      <c r="E245" s="1459"/>
      <c r="F245" s="1459"/>
      <c r="G245" s="1459"/>
      <c r="H245" s="1459"/>
      <c r="I245" s="1459"/>
      <c r="J245" s="1459"/>
      <c r="K245" s="1459"/>
      <c r="L245" s="1459"/>
      <c r="N245" s="1399"/>
      <c r="P245" s="1399"/>
      <c r="Q245" s="1399"/>
      <c r="R245" s="1399"/>
      <c r="S245" s="1399"/>
      <c r="T245" s="1399"/>
      <c r="U245" s="1399"/>
      <c r="V245" s="1399"/>
      <c r="W245" s="1399"/>
    </row>
    <row r="246" spans="2:23" s="1280" customFormat="1" x14ac:dyDescent="0.6">
      <c r="B246" s="1461"/>
      <c r="D246" s="1459"/>
      <c r="E246" s="1459"/>
      <c r="F246" s="1459"/>
      <c r="G246" s="1459"/>
      <c r="H246" s="1459"/>
      <c r="I246" s="1459"/>
      <c r="J246" s="1459"/>
      <c r="K246" s="1459"/>
      <c r="L246" s="1459"/>
      <c r="N246" s="1399"/>
      <c r="P246" s="1399"/>
      <c r="Q246" s="1399"/>
      <c r="R246" s="1399"/>
      <c r="S246" s="1399"/>
      <c r="T246" s="1399"/>
      <c r="U246" s="1399"/>
      <c r="V246" s="1399"/>
      <c r="W246" s="1399"/>
    </row>
    <row r="247" spans="2:23" s="1280" customFormat="1" x14ac:dyDescent="0.6">
      <c r="B247" s="1461"/>
      <c r="D247" s="1459"/>
      <c r="E247" s="1459"/>
      <c r="F247" s="1459"/>
      <c r="G247" s="1459"/>
      <c r="H247" s="1459"/>
      <c r="I247" s="1459"/>
      <c r="J247" s="1459"/>
      <c r="K247" s="1459"/>
      <c r="L247" s="1459"/>
      <c r="N247" s="1399"/>
      <c r="P247" s="1399"/>
      <c r="Q247" s="1399"/>
      <c r="R247" s="1399"/>
      <c r="S247" s="1399"/>
      <c r="T247" s="1399"/>
      <c r="U247" s="1399"/>
      <c r="V247" s="1399"/>
      <c r="W247" s="1399"/>
    </row>
    <row r="248" spans="2:23" s="1280" customFormat="1" x14ac:dyDescent="0.6">
      <c r="B248" s="1461"/>
      <c r="D248" s="1459"/>
      <c r="E248" s="1459"/>
      <c r="F248" s="1459"/>
      <c r="G248" s="1459"/>
      <c r="H248" s="1459"/>
      <c r="I248" s="1459"/>
      <c r="J248" s="1459"/>
      <c r="K248" s="1459"/>
      <c r="L248" s="1459"/>
      <c r="N248" s="1399"/>
      <c r="P248" s="1399"/>
      <c r="Q248" s="1399"/>
      <c r="R248" s="1399"/>
      <c r="S248" s="1399"/>
      <c r="T248" s="1399"/>
      <c r="U248" s="1399"/>
      <c r="V248" s="1399"/>
      <c r="W248" s="1399"/>
    </row>
    <row r="249" spans="2:23" s="1280" customFormat="1" x14ac:dyDescent="0.6">
      <c r="B249" s="1461"/>
      <c r="D249" s="1459"/>
      <c r="E249" s="1459"/>
      <c r="F249" s="1459"/>
      <c r="G249" s="1459"/>
      <c r="H249" s="1459"/>
      <c r="I249" s="1459"/>
      <c r="J249" s="1459"/>
      <c r="K249" s="1459"/>
      <c r="L249" s="1459"/>
      <c r="N249" s="1399"/>
      <c r="P249" s="1399"/>
      <c r="Q249" s="1399"/>
      <c r="R249" s="1399"/>
      <c r="S249" s="1399"/>
      <c r="T249" s="1399"/>
      <c r="U249" s="1399"/>
      <c r="V249" s="1399"/>
      <c r="W249" s="1399"/>
    </row>
    <row r="250" spans="2:23" s="1280" customFormat="1" x14ac:dyDescent="0.6">
      <c r="B250" s="1461"/>
      <c r="D250" s="1459"/>
      <c r="E250" s="1459"/>
      <c r="F250" s="1459"/>
      <c r="G250" s="1459"/>
      <c r="H250" s="1459"/>
      <c r="I250" s="1459"/>
      <c r="J250" s="1459"/>
      <c r="K250" s="1459"/>
      <c r="L250" s="1459"/>
      <c r="N250" s="1399"/>
      <c r="P250" s="1399"/>
      <c r="Q250" s="1399"/>
      <c r="R250" s="1399"/>
      <c r="S250" s="1399"/>
      <c r="T250" s="1399"/>
      <c r="U250" s="1399"/>
      <c r="V250" s="1399"/>
      <c r="W250" s="1399"/>
    </row>
    <row r="251" spans="2:23" s="1280" customFormat="1" x14ac:dyDescent="0.6">
      <c r="B251" s="1461"/>
      <c r="D251" s="1459"/>
      <c r="E251" s="1459"/>
      <c r="F251" s="1459"/>
      <c r="G251" s="1459"/>
      <c r="H251" s="1459"/>
      <c r="I251" s="1459"/>
      <c r="J251" s="1459"/>
      <c r="K251" s="1459"/>
      <c r="L251" s="1459"/>
      <c r="N251" s="1399"/>
      <c r="P251" s="1399"/>
      <c r="Q251" s="1399"/>
      <c r="R251" s="1399"/>
      <c r="S251" s="1399"/>
      <c r="T251" s="1399"/>
      <c r="U251" s="1399"/>
      <c r="V251" s="1399"/>
      <c r="W251" s="1399"/>
    </row>
    <row r="252" spans="2:23" s="1280" customFormat="1" x14ac:dyDescent="0.6">
      <c r="B252" s="1461"/>
      <c r="D252" s="1459"/>
      <c r="E252" s="1459"/>
      <c r="F252" s="1459"/>
      <c r="G252" s="1459"/>
      <c r="H252" s="1459"/>
      <c r="I252" s="1459"/>
      <c r="J252" s="1459"/>
      <c r="K252" s="1459"/>
      <c r="L252" s="1459"/>
      <c r="N252" s="1399"/>
      <c r="P252" s="1399"/>
      <c r="Q252" s="1399"/>
      <c r="R252" s="1399"/>
      <c r="S252" s="1399"/>
      <c r="T252" s="1399"/>
      <c r="U252" s="1399"/>
      <c r="V252" s="1399"/>
      <c r="W252" s="1399"/>
    </row>
    <row r="253" spans="2:23" s="1280" customFormat="1" x14ac:dyDescent="0.6">
      <c r="B253" s="1461"/>
      <c r="D253" s="1459"/>
      <c r="E253" s="1459"/>
      <c r="F253" s="1459"/>
      <c r="G253" s="1459"/>
      <c r="H253" s="1459"/>
      <c r="I253" s="1459"/>
      <c r="J253" s="1459"/>
      <c r="K253" s="1459"/>
      <c r="L253" s="1459"/>
      <c r="N253" s="1399"/>
      <c r="P253" s="1399"/>
      <c r="Q253" s="1399"/>
      <c r="R253" s="1399"/>
      <c r="S253" s="1399"/>
      <c r="T253" s="1399"/>
      <c r="U253" s="1399"/>
      <c r="V253" s="1399"/>
      <c r="W253" s="1399"/>
    </row>
    <row r="254" spans="2:23" s="1280" customFormat="1" x14ac:dyDescent="0.6">
      <c r="B254" s="1461"/>
      <c r="D254" s="1459"/>
      <c r="E254" s="1459"/>
      <c r="F254" s="1459"/>
      <c r="G254" s="1459"/>
      <c r="H254" s="1459"/>
      <c r="I254" s="1459"/>
      <c r="J254" s="1459"/>
      <c r="K254" s="1459"/>
      <c r="L254" s="1459"/>
      <c r="N254" s="1399"/>
      <c r="P254" s="1399"/>
      <c r="Q254" s="1399"/>
      <c r="R254" s="1399"/>
      <c r="S254" s="1399"/>
      <c r="T254" s="1399"/>
      <c r="U254" s="1399"/>
      <c r="V254" s="1399"/>
      <c r="W254" s="1399"/>
    </row>
    <row r="255" spans="2:23" s="1280" customFormat="1" x14ac:dyDescent="0.6">
      <c r="B255" s="1461"/>
      <c r="D255" s="1459"/>
      <c r="E255" s="1459"/>
      <c r="F255" s="1459"/>
      <c r="G255" s="1459"/>
      <c r="H255" s="1459"/>
      <c r="I255" s="1459"/>
      <c r="J255" s="1459"/>
      <c r="K255" s="1459"/>
      <c r="L255" s="1459"/>
      <c r="N255" s="1399"/>
      <c r="P255" s="1399"/>
      <c r="Q255" s="1399"/>
      <c r="R255" s="1399"/>
      <c r="S255" s="1399"/>
      <c r="T255" s="1399"/>
      <c r="U255" s="1399"/>
      <c r="V255" s="1399"/>
      <c r="W255" s="1399"/>
    </row>
    <row r="256" spans="2:23" s="1280" customFormat="1" x14ac:dyDescent="0.6">
      <c r="B256" s="1461"/>
      <c r="D256" s="1459"/>
      <c r="E256" s="1459"/>
      <c r="F256" s="1459"/>
      <c r="G256" s="1459"/>
      <c r="H256" s="1459"/>
      <c r="I256" s="1459"/>
      <c r="J256" s="1459"/>
      <c r="K256" s="1459"/>
      <c r="L256" s="1459"/>
      <c r="N256" s="1399"/>
      <c r="P256" s="1399"/>
      <c r="Q256" s="1399"/>
      <c r="R256" s="1399"/>
      <c r="S256" s="1399"/>
      <c r="T256" s="1399"/>
      <c r="U256" s="1399"/>
      <c r="V256" s="1399"/>
      <c r="W256" s="1399"/>
    </row>
    <row r="257" spans="2:23" s="1280" customFormat="1" x14ac:dyDescent="0.6">
      <c r="B257" s="1461"/>
      <c r="D257" s="1459"/>
      <c r="E257" s="1459"/>
      <c r="F257" s="1459"/>
      <c r="G257" s="1459"/>
      <c r="H257" s="1459"/>
      <c r="I257" s="1459"/>
      <c r="J257" s="1459"/>
      <c r="K257" s="1459"/>
      <c r="L257" s="1459"/>
      <c r="N257" s="1399"/>
      <c r="P257" s="1399"/>
      <c r="Q257" s="1399"/>
      <c r="R257" s="1399"/>
      <c r="S257" s="1399"/>
      <c r="T257" s="1399"/>
      <c r="U257" s="1399"/>
      <c r="V257" s="1399"/>
      <c r="W257" s="1399"/>
    </row>
    <row r="258" spans="2:23" s="1280" customFormat="1" x14ac:dyDescent="0.6">
      <c r="B258" s="1461"/>
      <c r="D258" s="1459"/>
      <c r="E258" s="1459"/>
      <c r="F258" s="1459"/>
      <c r="G258" s="1459"/>
      <c r="H258" s="1459"/>
      <c r="I258" s="1459"/>
      <c r="J258" s="1459"/>
      <c r="K258" s="1459"/>
      <c r="L258" s="1459"/>
      <c r="N258" s="1399"/>
      <c r="P258" s="1399"/>
      <c r="Q258" s="1399"/>
      <c r="R258" s="1399"/>
      <c r="S258" s="1399"/>
      <c r="T258" s="1399"/>
      <c r="U258" s="1399"/>
      <c r="V258" s="1399"/>
      <c r="W258" s="1399"/>
    </row>
    <row r="259" spans="2:23" s="1280" customFormat="1" x14ac:dyDescent="0.6">
      <c r="B259" s="1461"/>
      <c r="D259" s="1459"/>
      <c r="E259" s="1459"/>
      <c r="F259" s="1459"/>
      <c r="G259" s="1459"/>
      <c r="H259" s="1459"/>
      <c r="I259" s="1459"/>
      <c r="J259" s="1459"/>
      <c r="K259" s="1459"/>
      <c r="L259" s="1459"/>
      <c r="N259" s="1399"/>
      <c r="P259" s="1399"/>
      <c r="Q259" s="1399"/>
      <c r="R259" s="1399"/>
      <c r="S259" s="1399"/>
      <c r="T259" s="1399"/>
      <c r="U259" s="1399"/>
      <c r="V259" s="1399"/>
      <c r="W259" s="1399"/>
    </row>
    <row r="260" spans="2:23" s="1280" customFormat="1" x14ac:dyDescent="0.6">
      <c r="B260" s="1461"/>
      <c r="D260" s="1459"/>
      <c r="E260" s="1459"/>
      <c r="F260" s="1459"/>
      <c r="G260" s="1459"/>
      <c r="H260" s="1459"/>
      <c r="I260" s="1459"/>
      <c r="J260" s="1459"/>
      <c r="K260" s="1459"/>
      <c r="L260" s="1459"/>
      <c r="N260" s="1399"/>
      <c r="P260" s="1399"/>
      <c r="Q260" s="1399"/>
      <c r="R260" s="1399"/>
      <c r="S260" s="1399"/>
      <c r="T260" s="1399"/>
      <c r="U260" s="1399"/>
      <c r="V260" s="1399"/>
      <c r="W260" s="1399"/>
    </row>
    <row r="261" spans="2:23" s="1280" customFormat="1" x14ac:dyDescent="0.6">
      <c r="B261" s="1461"/>
      <c r="D261" s="1459"/>
      <c r="E261" s="1459"/>
      <c r="F261" s="1459"/>
      <c r="G261" s="1459"/>
      <c r="H261" s="1459"/>
      <c r="I261" s="1459"/>
      <c r="J261" s="1459"/>
      <c r="K261" s="1459"/>
      <c r="L261" s="1459"/>
      <c r="N261" s="1399"/>
      <c r="P261" s="1399"/>
      <c r="Q261" s="1399"/>
      <c r="R261" s="1399"/>
      <c r="S261" s="1399"/>
      <c r="T261" s="1399"/>
      <c r="U261" s="1399"/>
      <c r="V261" s="1399"/>
      <c r="W261" s="1399"/>
    </row>
    <row r="262" spans="2:23" s="1280" customFormat="1" x14ac:dyDescent="0.6">
      <c r="B262" s="1461"/>
      <c r="D262" s="1459"/>
      <c r="E262" s="1459"/>
      <c r="F262" s="1459"/>
      <c r="G262" s="1459"/>
      <c r="H262" s="1459"/>
      <c r="I262" s="1459"/>
      <c r="J262" s="1459"/>
      <c r="K262" s="1459"/>
      <c r="L262" s="1459"/>
      <c r="N262" s="1399"/>
      <c r="P262" s="1399"/>
      <c r="Q262" s="1399"/>
      <c r="R262" s="1399"/>
      <c r="S262" s="1399"/>
      <c r="T262" s="1399"/>
      <c r="U262" s="1399"/>
      <c r="V262" s="1399"/>
      <c r="W262" s="1399"/>
    </row>
    <row r="263" spans="2:23" s="1280" customFormat="1" x14ac:dyDescent="0.6">
      <c r="B263" s="1461"/>
      <c r="D263" s="1459"/>
      <c r="E263" s="1459"/>
      <c r="F263" s="1459"/>
      <c r="G263" s="1459"/>
      <c r="H263" s="1459"/>
      <c r="I263" s="1459"/>
      <c r="J263" s="1459"/>
      <c r="K263" s="1459"/>
      <c r="L263" s="1459"/>
      <c r="N263" s="1399"/>
      <c r="P263" s="1399"/>
      <c r="Q263" s="1399"/>
      <c r="R263" s="1399"/>
      <c r="S263" s="1399"/>
      <c r="T263" s="1399"/>
      <c r="U263" s="1399"/>
      <c r="V263" s="1399"/>
      <c r="W263" s="1399"/>
    </row>
    <row r="264" spans="2:23" s="1280" customFormat="1" x14ac:dyDescent="0.6">
      <c r="B264" s="1461"/>
      <c r="D264" s="1459"/>
      <c r="E264" s="1459"/>
      <c r="F264" s="1459"/>
      <c r="G264" s="1459"/>
      <c r="H264" s="1459"/>
      <c r="I264" s="1459"/>
      <c r="J264" s="1459"/>
      <c r="K264" s="1459"/>
      <c r="L264" s="1459"/>
      <c r="N264" s="1399"/>
      <c r="P264" s="1399"/>
      <c r="Q264" s="1399"/>
      <c r="R264" s="1399"/>
      <c r="S264" s="1399"/>
      <c r="T264" s="1399"/>
      <c r="U264" s="1399"/>
      <c r="V264" s="1399"/>
      <c r="W264" s="1399"/>
    </row>
    <row r="265" spans="2:23" s="1280" customFormat="1" x14ac:dyDescent="0.6">
      <c r="B265" s="1461"/>
      <c r="D265" s="1459"/>
      <c r="E265" s="1459"/>
      <c r="F265" s="1459"/>
      <c r="G265" s="1459"/>
      <c r="H265" s="1459"/>
      <c r="I265" s="1459"/>
      <c r="J265" s="1459"/>
      <c r="K265" s="1459"/>
      <c r="L265" s="1459"/>
      <c r="N265" s="1399"/>
      <c r="P265" s="1399"/>
      <c r="Q265" s="1399"/>
      <c r="R265" s="1399"/>
      <c r="S265" s="1399"/>
      <c r="T265" s="1399"/>
      <c r="U265" s="1399"/>
      <c r="V265" s="1399"/>
      <c r="W265" s="1399"/>
    </row>
    <row r="266" spans="2:23" s="1280" customFormat="1" x14ac:dyDescent="0.6">
      <c r="B266" s="1461"/>
      <c r="D266" s="1459"/>
      <c r="E266" s="1459"/>
      <c r="F266" s="1459"/>
      <c r="G266" s="1459"/>
      <c r="H266" s="1459"/>
      <c r="I266" s="1459"/>
      <c r="J266" s="1459"/>
      <c r="K266" s="1459"/>
      <c r="L266" s="1459"/>
      <c r="N266" s="1399"/>
      <c r="P266" s="1399"/>
      <c r="Q266" s="1399"/>
      <c r="R266" s="1399"/>
      <c r="S266" s="1399"/>
      <c r="T266" s="1399"/>
      <c r="U266" s="1399"/>
      <c r="V266" s="1399"/>
      <c r="W266" s="1399"/>
    </row>
    <row r="267" spans="2:23" s="1280" customFormat="1" x14ac:dyDescent="0.6">
      <c r="B267" s="1461"/>
      <c r="D267" s="1459"/>
      <c r="E267" s="1459"/>
      <c r="F267" s="1459"/>
      <c r="G267" s="1459"/>
      <c r="H267" s="1459"/>
      <c r="I267" s="1459"/>
      <c r="J267" s="1459"/>
      <c r="K267" s="1459"/>
      <c r="L267" s="1459"/>
      <c r="N267" s="1399"/>
      <c r="P267" s="1399"/>
      <c r="Q267" s="1399"/>
      <c r="R267" s="1399"/>
      <c r="S267" s="1399"/>
      <c r="T267" s="1399"/>
      <c r="U267" s="1399"/>
      <c r="V267" s="1399"/>
      <c r="W267" s="1399"/>
    </row>
    <row r="268" spans="2:23" s="1280" customFormat="1" x14ac:dyDescent="0.6">
      <c r="B268" s="1461"/>
      <c r="D268" s="1459"/>
      <c r="E268" s="1459"/>
      <c r="F268" s="1459"/>
      <c r="G268" s="1459"/>
      <c r="H268" s="1459"/>
      <c r="I268" s="1459"/>
      <c r="J268" s="1459"/>
      <c r="K268" s="1459"/>
      <c r="L268" s="1459"/>
      <c r="N268" s="1399"/>
      <c r="P268" s="1399"/>
      <c r="Q268" s="1399"/>
      <c r="R268" s="1399"/>
      <c r="S268" s="1399"/>
      <c r="T268" s="1399"/>
      <c r="U268" s="1399"/>
      <c r="V268" s="1399"/>
      <c r="W268" s="1399"/>
    </row>
    <row r="269" spans="2:23" s="1280" customFormat="1" x14ac:dyDescent="0.6">
      <c r="B269" s="1461"/>
      <c r="D269" s="1459"/>
      <c r="E269" s="1459"/>
      <c r="F269" s="1459"/>
      <c r="G269" s="1459"/>
      <c r="H269" s="1459"/>
      <c r="I269" s="1459"/>
      <c r="J269" s="1459"/>
      <c r="K269" s="1459"/>
      <c r="L269" s="1459"/>
      <c r="N269" s="1399"/>
      <c r="P269" s="1399"/>
      <c r="Q269" s="1399"/>
      <c r="R269" s="1399"/>
      <c r="S269" s="1399"/>
      <c r="T269" s="1399"/>
      <c r="U269" s="1399"/>
      <c r="V269" s="1399"/>
      <c r="W269" s="1399"/>
    </row>
    <row r="270" spans="2:23" s="1280" customFormat="1" x14ac:dyDescent="0.6">
      <c r="B270" s="1461"/>
      <c r="D270" s="1459"/>
      <c r="E270" s="1459"/>
      <c r="F270" s="1459"/>
      <c r="G270" s="1459"/>
      <c r="H270" s="1459"/>
      <c r="I270" s="1459"/>
      <c r="J270" s="1459"/>
      <c r="K270" s="1459"/>
      <c r="L270" s="1459"/>
      <c r="N270" s="1399"/>
      <c r="P270" s="1399"/>
      <c r="Q270" s="1399"/>
      <c r="R270" s="1399"/>
      <c r="S270" s="1399"/>
      <c r="T270" s="1399"/>
      <c r="U270" s="1399"/>
      <c r="V270" s="1399"/>
      <c r="W270" s="1399"/>
    </row>
    <row r="271" spans="2:23" s="1280" customFormat="1" x14ac:dyDescent="0.6">
      <c r="B271" s="1461"/>
      <c r="D271" s="1459"/>
      <c r="E271" s="1459"/>
      <c r="F271" s="1459"/>
      <c r="G271" s="1459"/>
      <c r="H271" s="1459"/>
      <c r="I271" s="1459"/>
      <c r="J271" s="1459"/>
      <c r="K271" s="1459"/>
      <c r="L271" s="1459"/>
      <c r="N271" s="1399"/>
      <c r="P271" s="1399"/>
      <c r="Q271" s="1399"/>
      <c r="R271" s="1399"/>
      <c r="S271" s="1399"/>
      <c r="T271" s="1399"/>
      <c r="U271" s="1399"/>
      <c r="V271" s="1399"/>
      <c r="W271" s="1399"/>
    </row>
    <row r="272" spans="2:23" s="1280" customFormat="1" x14ac:dyDescent="0.6">
      <c r="B272" s="1461"/>
      <c r="D272" s="1459"/>
      <c r="E272" s="1459"/>
      <c r="F272" s="1459"/>
      <c r="G272" s="1459"/>
      <c r="H272" s="1459"/>
      <c r="I272" s="1459"/>
      <c r="J272" s="1459"/>
      <c r="K272" s="1459"/>
      <c r="L272" s="1459"/>
      <c r="N272" s="1399"/>
      <c r="P272" s="1399"/>
      <c r="Q272" s="1399"/>
      <c r="R272" s="1399"/>
      <c r="S272" s="1399"/>
      <c r="T272" s="1399"/>
      <c r="U272" s="1399"/>
      <c r="V272" s="1399"/>
      <c r="W272" s="1399"/>
    </row>
    <row r="273" spans="2:23" s="1280" customFormat="1" x14ac:dyDescent="0.6">
      <c r="B273" s="1461"/>
      <c r="D273" s="1459"/>
      <c r="E273" s="1459"/>
      <c r="F273" s="1459"/>
      <c r="G273" s="1459"/>
      <c r="H273" s="1459"/>
      <c r="I273" s="1459"/>
      <c r="J273" s="1459"/>
      <c r="K273" s="1459"/>
      <c r="L273" s="1459"/>
      <c r="N273" s="1399"/>
      <c r="P273" s="1399"/>
      <c r="Q273" s="1399"/>
      <c r="R273" s="1399"/>
      <c r="S273" s="1399"/>
      <c r="T273" s="1399"/>
      <c r="U273" s="1399"/>
      <c r="V273" s="1399"/>
      <c r="W273" s="1399"/>
    </row>
    <row r="274" spans="2:23" s="1280" customFormat="1" x14ac:dyDescent="0.6">
      <c r="B274" s="1461"/>
      <c r="D274" s="1459"/>
      <c r="E274" s="1459"/>
      <c r="F274" s="1459"/>
      <c r="G274" s="1459"/>
      <c r="H274" s="1459"/>
      <c r="I274" s="1459"/>
      <c r="J274" s="1459"/>
      <c r="K274" s="1459"/>
      <c r="L274" s="1459"/>
      <c r="N274" s="1399"/>
      <c r="P274" s="1399"/>
      <c r="Q274" s="1399"/>
      <c r="R274" s="1399"/>
      <c r="S274" s="1399"/>
      <c r="T274" s="1399"/>
      <c r="U274" s="1399"/>
      <c r="V274" s="1399"/>
      <c r="W274" s="1399"/>
    </row>
    <row r="275" spans="2:23" s="1280" customFormat="1" x14ac:dyDescent="0.6">
      <c r="B275" s="1461"/>
      <c r="D275" s="1459"/>
      <c r="E275" s="1459"/>
      <c r="F275" s="1459"/>
      <c r="G275" s="1459"/>
      <c r="H275" s="1459"/>
      <c r="I275" s="1459"/>
      <c r="J275" s="1459"/>
      <c r="K275" s="1459"/>
      <c r="L275" s="1459"/>
      <c r="N275" s="1399"/>
      <c r="P275" s="1399"/>
      <c r="Q275" s="1399"/>
      <c r="R275" s="1399"/>
      <c r="S275" s="1399"/>
      <c r="T275" s="1399"/>
      <c r="U275" s="1399"/>
      <c r="V275" s="1399"/>
      <c r="W275" s="1399"/>
    </row>
    <row r="276" spans="2:23" s="1280" customFormat="1" x14ac:dyDescent="0.6">
      <c r="B276" s="1461"/>
      <c r="D276" s="1459"/>
      <c r="E276" s="1459"/>
      <c r="F276" s="1459"/>
      <c r="G276" s="1459"/>
      <c r="H276" s="1459"/>
      <c r="I276" s="1459"/>
      <c r="J276" s="1459"/>
      <c r="K276" s="1459"/>
      <c r="L276" s="1459"/>
      <c r="N276" s="1399"/>
      <c r="P276" s="1399"/>
      <c r="Q276" s="1399"/>
      <c r="R276" s="1399"/>
      <c r="S276" s="1399"/>
      <c r="T276" s="1399"/>
      <c r="U276" s="1399"/>
      <c r="V276" s="1399"/>
      <c r="W276" s="1399"/>
    </row>
    <row r="277" spans="2:23" s="1280" customFormat="1" x14ac:dyDescent="0.6">
      <c r="B277" s="1461"/>
      <c r="D277" s="1459"/>
      <c r="E277" s="1459"/>
      <c r="F277" s="1459"/>
      <c r="G277" s="1459"/>
      <c r="H277" s="1459"/>
      <c r="I277" s="1459"/>
      <c r="J277" s="1459"/>
      <c r="K277" s="1459"/>
      <c r="L277" s="1459"/>
      <c r="N277" s="1399"/>
      <c r="P277" s="1399"/>
      <c r="Q277" s="1399"/>
      <c r="R277" s="1399"/>
      <c r="S277" s="1399"/>
      <c r="T277" s="1399"/>
      <c r="U277" s="1399"/>
      <c r="V277" s="1399"/>
      <c r="W277" s="1399"/>
    </row>
    <row r="278" spans="2:23" s="1280" customFormat="1" x14ac:dyDescent="0.6">
      <c r="B278" s="1461"/>
      <c r="D278" s="1459"/>
      <c r="E278" s="1459"/>
      <c r="F278" s="1459"/>
      <c r="G278" s="1459"/>
      <c r="H278" s="1459"/>
      <c r="I278" s="1459"/>
      <c r="J278" s="1459"/>
      <c r="K278" s="1459"/>
      <c r="L278" s="1459"/>
      <c r="N278" s="1399"/>
      <c r="P278" s="1399"/>
      <c r="Q278" s="1399"/>
      <c r="R278" s="1399"/>
      <c r="S278" s="1399"/>
      <c r="T278" s="1399"/>
      <c r="U278" s="1399"/>
      <c r="V278" s="1399"/>
      <c r="W278" s="1399"/>
    </row>
    <row r="279" spans="2:23" s="1280" customFormat="1" x14ac:dyDescent="0.6">
      <c r="B279" s="1461"/>
      <c r="D279" s="1459"/>
      <c r="E279" s="1459"/>
      <c r="F279" s="1459"/>
      <c r="G279" s="1459"/>
      <c r="H279" s="1459"/>
      <c r="I279" s="1459"/>
      <c r="J279" s="1459"/>
      <c r="K279" s="1459"/>
      <c r="L279" s="1459"/>
      <c r="N279" s="1399"/>
      <c r="P279" s="1399"/>
      <c r="Q279" s="1399"/>
      <c r="R279" s="1399"/>
      <c r="S279" s="1399"/>
      <c r="T279" s="1399"/>
      <c r="U279" s="1399"/>
      <c r="V279" s="1399"/>
      <c r="W279" s="1399"/>
    </row>
    <row r="280" spans="2:23" s="1280" customFormat="1" x14ac:dyDescent="0.6">
      <c r="B280" s="1461"/>
      <c r="D280" s="1459"/>
      <c r="E280" s="1459"/>
      <c r="F280" s="1459"/>
      <c r="G280" s="1459"/>
      <c r="H280" s="1459"/>
      <c r="I280" s="1459"/>
      <c r="J280" s="1459"/>
      <c r="K280" s="1459"/>
      <c r="L280" s="1459"/>
      <c r="N280" s="1399"/>
      <c r="P280" s="1399"/>
      <c r="Q280" s="1399"/>
      <c r="R280" s="1399"/>
      <c r="S280" s="1399"/>
      <c r="T280" s="1399"/>
      <c r="U280" s="1399"/>
      <c r="V280" s="1399"/>
      <c r="W280" s="1399"/>
    </row>
    <row r="281" spans="2:23" s="1280" customFormat="1" x14ac:dyDescent="0.6">
      <c r="B281" s="1461"/>
      <c r="D281" s="1459"/>
      <c r="E281" s="1459"/>
      <c r="F281" s="1459"/>
      <c r="G281" s="1459"/>
      <c r="H281" s="1459"/>
      <c r="I281" s="1459"/>
      <c r="J281" s="1459"/>
      <c r="K281" s="1459"/>
      <c r="L281" s="1459"/>
      <c r="N281" s="1399"/>
      <c r="P281" s="1399"/>
      <c r="Q281" s="1399"/>
      <c r="R281" s="1399"/>
      <c r="S281" s="1399"/>
      <c r="T281" s="1399"/>
      <c r="U281" s="1399"/>
      <c r="V281" s="1399"/>
      <c r="W281" s="1399"/>
    </row>
    <row r="282" spans="2:23" s="1280" customFormat="1" x14ac:dyDescent="0.6">
      <c r="B282" s="1461"/>
      <c r="D282" s="1459"/>
      <c r="E282" s="1459"/>
      <c r="F282" s="1459"/>
      <c r="G282" s="1459"/>
      <c r="H282" s="1459"/>
      <c r="I282" s="1459"/>
      <c r="J282" s="1459"/>
      <c r="K282" s="1459"/>
      <c r="L282" s="1459"/>
      <c r="N282" s="1399"/>
      <c r="P282" s="1399"/>
      <c r="Q282" s="1399"/>
      <c r="R282" s="1399"/>
      <c r="S282" s="1399"/>
      <c r="T282" s="1399"/>
      <c r="U282" s="1399"/>
      <c r="V282" s="1399"/>
      <c r="W282" s="1399"/>
    </row>
    <row r="283" spans="2:23" s="1280" customFormat="1" x14ac:dyDescent="0.6">
      <c r="B283" s="1461"/>
      <c r="D283" s="1459"/>
      <c r="E283" s="1459"/>
      <c r="F283" s="1459"/>
      <c r="G283" s="1459"/>
      <c r="H283" s="1459"/>
      <c r="I283" s="1459"/>
      <c r="J283" s="1459"/>
      <c r="K283" s="1459"/>
      <c r="L283" s="1459"/>
      <c r="N283" s="1399"/>
      <c r="P283" s="1399"/>
      <c r="Q283" s="1399"/>
      <c r="R283" s="1399"/>
      <c r="S283" s="1399"/>
      <c r="T283" s="1399"/>
      <c r="U283" s="1399"/>
      <c r="V283" s="1399"/>
      <c r="W283" s="1399"/>
    </row>
    <row r="284" spans="2:23" s="1280" customFormat="1" x14ac:dyDescent="0.6">
      <c r="B284" s="1461"/>
      <c r="D284" s="1459"/>
      <c r="E284" s="1459"/>
      <c r="F284" s="1459"/>
      <c r="G284" s="1459"/>
      <c r="H284" s="1459"/>
      <c r="I284" s="1459"/>
      <c r="J284" s="1459"/>
      <c r="K284" s="1459"/>
      <c r="L284" s="1459"/>
      <c r="N284" s="1399"/>
      <c r="P284" s="1399"/>
      <c r="Q284" s="1399"/>
      <c r="R284" s="1399"/>
      <c r="S284" s="1399"/>
      <c r="T284" s="1399"/>
      <c r="U284" s="1399"/>
      <c r="V284" s="1399"/>
      <c r="W284" s="1399"/>
    </row>
    <row r="285" spans="2:23" s="1280" customFormat="1" x14ac:dyDescent="0.6">
      <c r="B285" s="1461"/>
      <c r="D285" s="1459"/>
      <c r="E285" s="1459"/>
      <c r="F285" s="1459"/>
      <c r="G285" s="1459"/>
      <c r="H285" s="1459"/>
      <c r="I285" s="1459"/>
      <c r="J285" s="1459"/>
      <c r="K285" s="1459"/>
      <c r="L285" s="1459"/>
      <c r="N285" s="1399"/>
      <c r="P285" s="1399"/>
      <c r="Q285" s="1399"/>
      <c r="R285" s="1399"/>
      <c r="S285" s="1399"/>
      <c r="T285" s="1399"/>
      <c r="U285" s="1399"/>
      <c r="V285" s="1399"/>
      <c r="W285" s="1399"/>
    </row>
    <row r="286" spans="2:23" s="1280" customFormat="1" x14ac:dyDescent="0.6">
      <c r="B286" s="1461"/>
      <c r="D286" s="1459"/>
      <c r="E286" s="1459"/>
      <c r="F286" s="1459"/>
      <c r="G286" s="1459"/>
      <c r="H286" s="1459"/>
      <c r="I286" s="1459"/>
      <c r="J286" s="1459"/>
      <c r="K286" s="1459"/>
      <c r="L286" s="1459"/>
      <c r="N286" s="1399"/>
      <c r="P286" s="1399"/>
      <c r="Q286" s="1399"/>
      <c r="R286" s="1399"/>
      <c r="S286" s="1399"/>
      <c r="T286" s="1399"/>
      <c r="U286" s="1399"/>
      <c r="V286" s="1399"/>
      <c r="W286" s="1399"/>
    </row>
    <row r="287" spans="2:23" s="1280" customFormat="1" x14ac:dyDescent="0.6">
      <c r="B287" s="1461"/>
      <c r="D287" s="1459"/>
      <c r="E287" s="1459"/>
      <c r="F287" s="1459"/>
      <c r="G287" s="1459"/>
      <c r="H287" s="1459"/>
      <c r="I287" s="1459"/>
      <c r="J287" s="1459"/>
      <c r="K287" s="1459"/>
      <c r="L287" s="1459"/>
      <c r="N287" s="1399"/>
      <c r="P287" s="1399"/>
      <c r="Q287" s="1399"/>
      <c r="R287" s="1399"/>
      <c r="S287" s="1399"/>
      <c r="T287" s="1399"/>
      <c r="U287" s="1399"/>
      <c r="V287" s="1399"/>
      <c r="W287" s="1399"/>
    </row>
    <row r="288" spans="2:23" s="1280" customFormat="1" x14ac:dyDescent="0.6">
      <c r="B288" s="1461"/>
      <c r="D288" s="1459"/>
      <c r="E288" s="1459"/>
      <c r="F288" s="1459"/>
      <c r="G288" s="1459"/>
      <c r="H288" s="1459"/>
      <c r="I288" s="1459"/>
      <c r="J288" s="1459"/>
      <c r="K288" s="1459"/>
      <c r="L288" s="1459"/>
      <c r="N288" s="1399"/>
      <c r="P288" s="1399"/>
      <c r="Q288" s="1399"/>
      <c r="R288" s="1399"/>
      <c r="S288" s="1399"/>
      <c r="T288" s="1399"/>
      <c r="U288" s="1399"/>
      <c r="V288" s="1399"/>
      <c r="W288" s="1399"/>
    </row>
    <row r="289" spans="2:23" s="1280" customFormat="1" x14ac:dyDescent="0.6">
      <c r="B289" s="1461"/>
      <c r="D289" s="1459"/>
      <c r="E289" s="1459"/>
      <c r="F289" s="1459"/>
      <c r="G289" s="1459"/>
      <c r="H289" s="1459"/>
      <c r="I289" s="1459"/>
      <c r="J289" s="1459"/>
      <c r="K289" s="1459"/>
      <c r="L289" s="1459"/>
      <c r="N289" s="1399"/>
      <c r="P289" s="1399"/>
      <c r="Q289" s="1399"/>
      <c r="R289" s="1399"/>
      <c r="S289" s="1399"/>
      <c r="T289" s="1399"/>
      <c r="U289" s="1399"/>
      <c r="V289" s="1399"/>
      <c r="W289" s="1399"/>
    </row>
    <row r="290" spans="2:23" s="1280" customFormat="1" x14ac:dyDescent="0.6">
      <c r="B290" s="1461"/>
      <c r="D290" s="1459"/>
      <c r="E290" s="1459"/>
      <c r="F290" s="1459"/>
      <c r="G290" s="1459"/>
      <c r="H290" s="1459"/>
      <c r="I290" s="1459"/>
      <c r="J290" s="1459"/>
      <c r="K290" s="1459"/>
      <c r="L290" s="1459"/>
      <c r="N290" s="1399"/>
      <c r="P290" s="1399"/>
      <c r="Q290" s="1399"/>
      <c r="R290" s="1399"/>
      <c r="S290" s="1399"/>
      <c r="T290" s="1399"/>
      <c r="U290" s="1399"/>
      <c r="V290" s="1399"/>
      <c r="W290" s="1399"/>
    </row>
    <row r="291" spans="2:23" s="1280" customFormat="1" x14ac:dyDescent="0.6">
      <c r="B291" s="1461"/>
      <c r="D291" s="1459"/>
      <c r="E291" s="1459"/>
      <c r="F291" s="1459"/>
      <c r="G291" s="1459"/>
      <c r="H291" s="1459"/>
      <c r="I291" s="1459"/>
      <c r="J291" s="1459"/>
      <c r="K291" s="1459"/>
      <c r="L291" s="1459"/>
      <c r="N291" s="1399"/>
      <c r="P291" s="1399"/>
      <c r="Q291" s="1399"/>
      <c r="R291" s="1399"/>
      <c r="S291" s="1399"/>
      <c r="T291" s="1399"/>
      <c r="U291" s="1399"/>
      <c r="V291" s="1399"/>
      <c r="W291" s="1399"/>
    </row>
    <row r="292" spans="2:23" s="1280" customFormat="1" x14ac:dyDescent="0.6">
      <c r="B292" s="1461"/>
      <c r="D292" s="1459"/>
      <c r="E292" s="1459"/>
      <c r="F292" s="1459"/>
      <c r="G292" s="1459"/>
      <c r="H292" s="1459"/>
      <c r="I292" s="1459"/>
      <c r="J292" s="1459"/>
      <c r="K292" s="1459"/>
      <c r="L292" s="1459"/>
      <c r="N292" s="1399"/>
      <c r="P292" s="1399"/>
      <c r="Q292" s="1399"/>
      <c r="R292" s="1399"/>
      <c r="S292" s="1399"/>
      <c r="T292" s="1399"/>
      <c r="U292" s="1399"/>
      <c r="V292" s="1399"/>
      <c r="W292" s="1399"/>
    </row>
    <row r="293" spans="2:23" s="1280" customFormat="1" x14ac:dyDescent="0.6">
      <c r="B293" s="1461"/>
      <c r="D293" s="1459"/>
      <c r="E293" s="1459"/>
      <c r="F293" s="1459"/>
      <c r="G293" s="1459"/>
      <c r="H293" s="1459"/>
      <c r="I293" s="1459"/>
      <c r="J293" s="1459"/>
      <c r="K293" s="1459"/>
      <c r="L293" s="1459"/>
      <c r="N293" s="1399"/>
      <c r="P293" s="1399"/>
      <c r="Q293" s="1399"/>
      <c r="R293" s="1399"/>
      <c r="S293" s="1399"/>
      <c r="T293" s="1399"/>
      <c r="U293" s="1399"/>
      <c r="V293" s="1399"/>
      <c r="W293" s="1399"/>
    </row>
    <row r="294" spans="2:23" s="1280" customFormat="1" x14ac:dyDescent="0.6">
      <c r="B294" s="1461"/>
      <c r="D294" s="1459"/>
      <c r="E294" s="1459"/>
      <c r="F294" s="1459"/>
      <c r="G294" s="1459"/>
      <c r="H294" s="1459"/>
      <c r="I294" s="1459"/>
      <c r="J294" s="1459"/>
      <c r="K294" s="1459"/>
      <c r="L294" s="1459"/>
      <c r="N294" s="1399"/>
      <c r="P294" s="1399"/>
      <c r="Q294" s="1399"/>
      <c r="R294" s="1399"/>
      <c r="S294" s="1399"/>
      <c r="T294" s="1399"/>
      <c r="U294" s="1399"/>
      <c r="V294" s="1399"/>
      <c r="W294" s="1399"/>
    </row>
    <row r="295" spans="2:23" s="1280" customFormat="1" x14ac:dyDescent="0.6">
      <c r="B295" s="1461"/>
      <c r="D295" s="1459"/>
      <c r="E295" s="1459"/>
      <c r="F295" s="1459"/>
      <c r="G295" s="1459"/>
      <c r="H295" s="1459"/>
      <c r="I295" s="1459"/>
      <c r="J295" s="1459"/>
      <c r="K295" s="1459"/>
      <c r="L295" s="1459"/>
      <c r="N295" s="1399"/>
      <c r="P295" s="1399"/>
      <c r="Q295" s="1399"/>
      <c r="R295" s="1399"/>
      <c r="S295" s="1399"/>
      <c r="T295" s="1399"/>
      <c r="U295" s="1399"/>
      <c r="V295" s="1399"/>
      <c r="W295" s="1399"/>
    </row>
    <row r="296" spans="2:23" s="1280" customFormat="1" x14ac:dyDescent="0.6">
      <c r="B296" s="1461"/>
      <c r="D296" s="1459"/>
      <c r="E296" s="1459"/>
      <c r="F296" s="1459"/>
      <c r="G296" s="1459"/>
      <c r="H296" s="1459"/>
      <c r="I296" s="1459"/>
      <c r="J296" s="1459"/>
      <c r="K296" s="1459"/>
      <c r="L296" s="1459"/>
      <c r="N296" s="1399"/>
      <c r="P296" s="1399"/>
      <c r="Q296" s="1399"/>
      <c r="R296" s="1399"/>
      <c r="S296" s="1399"/>
      <c r="T296" s="1399"/>
      <c r="U296" s="1399"/>
      <c r="V296" s="1399"/>
      <c r="W296" s="1399"/>
    </row>
    <row r="297" spans="2:23" s="1280" customFormat="1" x14ac:dyDescent="0.6">
      <c r="B297" s="1461"/>
      <c r="D297" s="1459"/>
      <c r="E297" s="1459"/>
      <c r="F297" s="1459"/>
      <c r="G297" s="1459"/>
      <c r="H297" s="1459"/>
      <c r="I297" s="1459"/>
      <c r="J297" s="1459"/>
      <c r="K297" s="1459"/>
      <c r="L297" s="1459"/>
      <c r="N297" s="1399"/>
      <c r="P297" s="1399"/>
      <c r="Q297" s="1399"/>
      <c r="R297" s="1399"/>
      <c r="S297" s="1399"/>
      <c r="T297" s="1399"/>
      <c r="U297" s="1399"/>
      <c r="V297" s="1399"/>
      <c r="W297" s="1399"/>
    </row>
    <row r="298" spans="2:23" s="1280" customFormat="1" x14ac:dyDescent="0.6">
      <c r="B298" s="1461"/>
      <c r="D298" s="1459"/>
      <c r="E298" s="1459"/>
      <c r="F298" s="1459"/>
      <c r="G298" s="1459"/>
      <c r="H298" s="1459"/>
      <c r="I298" s="1459"/>
      <c r="J298" s="1459"/>
      <c r="K298" s="1459"/>
      <c r="L298" s="1459"/>
      <c r="N298" s="1399"/>
      <c r="P298" s="1399"/>
      <c r="Q298" s="1399"/>
      <c r="R298" s="1399"/>
      <c r="S298" s="1399"/>
      <c r="T298" s="1399"/>
      <c r="U298" s="1399"/>
      <c r="V298" s="1399"/>
      <c r="W298" s="1399"/>
    </row>
    <row r="299" spans="2:23" s="1280" customFormat="1" x14ac:dyDescent="0.6">
      <c r="B299" s="1461"/>
      <c r="D299" s="1459"/>
      <c r="E299" s="1459"/>
      <c r="F299" s="1459"/>
      <c r="G299" s="1459"/>
      <c r="H299" s="1459"/>
      <c r="I299" s="1459"/>
      <c r="J299" s="1459"/>
      <c r="K299" s="1459"/>
      <c r="L299" s="1459"/>
      <c r="N299" s="1399"/>
      <c r="P299" s="1399"/>
      <c r="Q299" s="1399"/>
      <c r="R299" s="1399"/>
      <c r="S299" s="1399"/>
      <c r="T299" s="1399"/>
      <c r="U299" s="1399"/>
      <c r="V299" s="1399"/>
      <c r="W299" s="1399"/>
    </row>
    <row r="300" spans="2:23" s="1280" customFormat="1" x14ac:dyDescent="0.6">
      <c r="B300" s="1461"/>
      <c r="D300" s="1459"/>
      <c r="E300" s="1459"/>
      <c r="F300" s="1459"/>
      <c r="G300" s="1459"/>
      <c r="H300" s="1459"/>
      <c r="I300" s="1459"/>
      <c r="J300" s="1459"/>
      <c r="K300" s="1459"/>
      <c r="L300" s="1459"/>
      <c r="N300" s="1399"/>
      <c r="P300" s="1399"/>
      <c r="Q300" s="1399"/>
      <c r="R300" s="1399"/>
      <c r="S300" s="1399"/>
      <c r="T300" s="1399"/>
      <c r="U300" s="1399"/>
      <c r="V300" s="1399"/>
      <c r="W300" s="1399"/>
    </row>
    <row r="301" spans="2:23" s="1280" customFormat="1" x14ac:dyDescent="0.6">
      <c r="B301" s="1461"/>
      <c r="D301" s="1459"/>
      <c r="E301" s="1459"/>
      <c r="F301" s="1459"/>
      <c r="G301" s="1459"/>
      <c r="H301" s="1459"/>
      <c r="I301" s="1459"/>
      <c r="J301" s="1459"/>
      <c r="K301" s="1459"/>
      <c r="L301" s="1459"/>
      <c r="N301" s="1399"/>
      <c r="P301" s="1399"/>
      <c r="Q301" s="1399"/>
      <c r="R301" s="1399"/>
      <c r="S301" s="1399"/>
      <c r="T301" s="1399"/>
      <c r="U301" s="1399"/>
      <c r="V301" s="1399"/>
      <c r="W301" s="1399"/>
    </row>
    <row r="302" spans="2:23" s="1280" customFormat="1" x14ac:dyDescent="0.6">
      <c r="B302" s="1461"/>
      <c r="D302" s="1459"/>
      <c r="E302" s="1459"/>
      <c r="F302" s="1459"/>
      <c r="G302" s="1459"/>
      <c r="H302" s="1459"/>
      <c r="I302" s="1459"/>
      <c r="J302" s="1459"/>
      <c r="K302" s="1459"/>
      <c r="L302" s="1459"/>
      <c r="N302" s="1399"/>
      <c r="P302" s="1399"/>
      <c r="Q302" s="1399"/>
      <c r="R302" s="1399"/>
      <c r="S302" s="1399"/>
      <c r="T302" s="1399"/>
      <c r="U302" s="1399"/>
      <c r="V302" s="1399"/>
      <c r="W302" s="1399"/>
    </row>
    <row r="303" spans="2:23" s="1280" customFormat="1" x14ac:dyDescent="0.6">
      <c r="B303" s="1461"/>
      <c r="D303" s="1459"/>
      <c r="E303" s="1459"/>
      <c r="F303" s="1459"/>
      <c r="G303" s="1459"/>
      <c r="H303" s="1459"/>
      <c r="I303" s="1459"/>
      <c r="J303" s="1459"/>
      <c r="K303" s="1459"/>
      <c r="L303" s="1459"/>
      <c r="N303" s="1399"/>
      <c r="P303" s="1399"/>
      <c r="Q303" s="1399"/>
      <c r="R303" s="1399"/>
      <c r="S303" s="1399"/>
      <c r="T303" s="1399"/>
      <c r="U303" s="1399"/>
      <c r="V303" s="1399"/>
      <c r="W303" s="1399"/>
    </row>
    <row r="304" spans="2:23" s="1280" customFormat="1" x14ac:dyDescent="0.6">
      <c r="B304" s="1461"/>
      <c r="D304" s="1459"/>
      <c r="E304" s="1459"/>
      <c r="F304" s="1459"/>
      <c r="G304" s="1459"/>
      <c r="H304" s="1459"/>
      <c r="I304" s="1459"/>
      <c r="J304" s="1459"/>
      <c r="K304" s="1459"/>
      <c r="L304" s="1459"/>
      <c r="N304" s="1399"/>
      <c r="P304" s="1399"/>
      <c r="Q304" s="1399"/>
      <c r="R304" s="1399"/>
      <c r="S304" s="1399"/>
      <c r="T304" s="1399"/>
      <c r="U304" s="1399"/>
      <c r="V304" s="1399"/>
      <c r="W304" s="1399"/>
    </row>
    <row r="305" spans="2:23" s="1280" customFormat="1" x14ac:dyDescent="0.6">
      <c r="B305" s="1461"/>
      <c r="D305" s="1459"/>
      <c r="E305" s="1459"/>
      <c r="F305" s="1459"/>
      <c r="G305" s="1459"/>
      <c r="H305" s="1459"/>
      <c r="I305" s="1459"/>
      <c r="J305" s="1459"/>
      <c r="K305" s="1459"/>
      <c r="L305" s="1459"/>
      <c r="N305" s="1399"/>
      <c r="P305" s="1399"/>
      <c r="Q305" s="1399"/>
      <c r="R305" s="1399"/>
      <c r="S305" s="1399"/>
      <c r="T305" s="1399"/>
      <c r="U305" s="1399"/>
      <c r="V305" s="1399"/>
      <c r="W305" s="1399"/>
    </row>
    <row r="306" spans="2:23" s="1280" customFormat="1" x14ac:dyDescent="0.6">
      <c r="B306" s="1461"/>
      <c r="D306" s="1459"/>
      <c r="E306" s="1459"/>
      <c r="F306" s="1459"/>
      <c r="G306" s="1459"/>
      <c r="H306" s="1459"/>
      <c r="I306" s="1459"/>
      <c r="J306" s="1459"/>
      <c r="K306" s="1459"/>
      <c r="L306" s="1459"/>
      <c r="N306" s="1399"/>
      <c r="P306" s="1399"/>
      <c r="Q306" s="1399"/>
      <c r="R306" s="1399"/>
      <c r="S306" s="1399"/>
      <c r="T306" s="1399"/>
      <c r="U306" s="1399"/>
      <c r="V306" s="1399"/>
      <c r="W306" s="1399"/>
    </row>
    <row r="307" spans="2:23" s="1280" customFormat="1" x14ac:dyDescent="0.6">
      <c r="B307" s="1461"/>
      <c r="D307" s="1459"/>
      <c r="E307" s="1459"/>
      <c r="F307" s="1459"/>
      <c r="G307" s="1459"/>
      <c r="H307" s="1459"/>
      <c r="I307" s="1459"/>
      <c r="J307" s="1459"/>
      <c r="K307" s="1459"/>
      <c r="L307" s="1459"/>
      <c r="N307" s="1399"/>
      <c r="P307" s="1399"/>
      <c r="Q307" s="1399"/>
      <c r="R307" s="1399"/>
      <c r="S307" s="1399"/>
      <c r="T307" s="1399"/>
      <c r="U307" s="1399"/>
      <c r="V307" s="1399"/>
      <c r="W307" s="1399"/>
    </row>
    <row r="308" spans="2:23" s="1280" customFormat="1" x14ac:dyDescent="0.6">
      <c r="B308" s="1461"/>
      <c r="D308" s="1459"/>
      <c r="E308" s="1459"/>
      <c r="F308" s="1459"/>
      <c r="G308" s="1459"/>
      <c r="H308" s="1459"/>
      <c r="I308" s="1459"/>
      <c r="J308" s="1459"/>
      <c r="K308" s="1459"/>
      <c r="L308" s="1459"/>
      <c r="N308" s="1399"/>
      <c r="P308" s="1399"/>
      <c r="Q308" s="1399"/>
      <c r="R308" s="1399"/>
      <c r="S308" s="1399"/>
      <c r="T308" s="1399"/>
      <c r="U308" s="1399"/>
      <c r="V308" s="1399"/>
      <c r="W308" s="1399"/>
    </row>
    <row r="309" spans="2:23" s="1280" customFormat="1" x14ac:dyDescent="0.6">
      <c r="B309" s="1461"/>
      <c r="D309" s="1459"/>
      <c r="E309" s="1459"/>
      <c r="F309" s="1459"/>
      <c r="G309" s="1459"/>
      <c r="H309" s="1459"/>
      <c r="I309" s="1459"/>
      <c r="J309" s="1459"/>
      <c r="K309" s="1459"/>
      <c r="L309" s="1459"/>
      <c r="N309" s="1399"/>
      <c r="P309" s="1399"/>
      <c r="Q309" s="1399"/>
      <c r="R309" s="1399"/>
      <c r="S309" s="1399"/>
      <c r="T309" s="1399"/>
      <c r="U309" s="1399"/>
      <c r="V309" s="1399"/>
      <c r="W309" s="1399"/>
    </row>
    <row r="310" spans="2:23" s="1280" customFormat="1" x14ac:dyDescent="0.6">
      <c r="B310" s="1461"/>
      <c r="D310" s="1459"/>
      <c r="E310" s="1459"/>
      <c r="F310" s="1459"/>
      <c r="G310" s="1459"/>
      <c r="H310" s="1459"/>
      <c r="I310" s="1459"/>
      <c r="J310" s="1459"/>
      <c r="K310" s="1459"/>
      <c r="L310" s="1459"/>
      <c r="N310" s="1399"/>
      <c r="P310" s="1399"/>
      <c r="Q310" s="1399"/>
      <c r="R310" s="1399"/>
      <c r="S310" s="1399"/>
      <c r="T310" s="1399"/>
      <c r="U310" s="1399"/>
      <c r="V310" s="1399"/>
      <c r="W310" s="1399"/>
    </row>
    <row r="311" spans="2:23" s="1280" customFormat="1" x14ac:dyDescent="0.6">
      <c r="B311" s="1461"/>
      <c r="D311" s="1459"/>
      <c r="E311" s="1459"/>
      <c r="F311" s="1459"/>
      <c r="G311" s="1459"/>
      <c r="H311" s="1459"/>
      <c r="I311" s="1459"/>
      <c r="J311" s="1459"/>
      <c r="K311" s="1459"/>
      <c r="L311" s="1459"/>
      <c r="N311" s="1399"/>
      <c r="P311" s="1399"/>
      <c r="Q311" s="1399"/>
      <c r="R311" s="1399"/>
      <c r="S311" s="1399"/>
      <c r="T311" s="1399"/>
      <c r="U311" s="1399"/>
      <c r="V311" s="1399"/>
      <c r="W311" s="1399"/>
    </row>
    <row r="312" spans="2:23" s="1280" customFormat="1" x14ac:dyDescent="0.6">
      <c r="B312" s="1461"/>
      <c r="D312" s="1459"/>
      <c r="E312" s="1459"/>
      <c r="F312" s="1459"/>
      <c r="G312" s="1459"/>
      <c r="H312" s="1459"/>
      <c r="I312" s="1459"/>
      <c r="J312" s="1459"/>
      <c r="K312" s="1459"/>
      <c r="L312" s="1459"/>
      <c r="N312" s="1399"/>
      <c r="P312" s="1399"/>
      <c r="Q312" s="1399"/>
      <c r="R312" s="1399"/>
      <c r="S312" s="1399"/>
      <c r="T312" s="1399"/>
      <c r="U312" s="1399"/>
      <c r="V312" s="1399"/>
      <c r="W312" s="1399"/>
    </row>
    <row r="313" spans="2:23" s="1280" customFormat="1" x14ac:dyDescent="0.6">
      <c r="B313" s="1461"/>
      <c r="D313" s="1459"/>
      <c r="E313" s="1459"/>
      <c r="F313" s="1459"/>
      <c r="G313" s="1459"/>
      <c r="H313" s="1459"/>
      <c r="I313" s="1459"/>
      <c r="J313" s="1459"/>
      <c r="K313" s="1459"/>
      <c r="L313" s="1459"/>
      <c r="N313" s="1399"/>
      <c r="P313" s="1399"/>
      <c r="Q313" s="1399"/>
      <c r="R313" s="1399"/>
      <c r="S313" s="1399"/>
      <c r="T313" s="1399"/>
      <c r="U313" s="1399"/>
      <c r="V313" s="1399"/>
      <c r="W313" s="1399"/>
    </row>
    <row r="314" spans="2:23" s="1280" customFormat="1" x14ac:dyDescent="0.6">
      <c r="B314" s="1461"/>
      <c r="D314" s="1459"/>
      <c r="E314" s="1459"/>
      <c r="F314" s="1459"/>
      <c r="G314" s="1459"/>
      <c r="H314" s="1459"/>
      <c r="I314" s="1459"/>
      <c r="J314" s="1459"/>
      <c r="K314" s="1459"/>
      <c r="L314" s="1459"/>
      <c r="N314" s="1399"/>
      <c r="P314" s="1399"/>
      <c r="Q314" s="1399"/>
      <c r="R314" s="1399"/>
      <c r="S314" s="1399"/>
      <c r="T314" s="1399"/>
      <c r="U314" s="1399"/>
      <c r="V314" s="1399"/>
      <c r="W314" s="1399"/>
    </row>
    <row r="315" spans="2:23" s="1280" customFormat="1" x14ac:dyDescent="0.6">
      <c r="B315" s="1461"/>
      <c r="D315" s="1459"/>
      <c r="E315" s="1459"/>
      <c r="F315" s="1459"/>
      <c r="G315" s="1459"/>
      <c r="H315" s="1459"/>
      <c r="I315" s="1459"/>
      <c r="J315" s="1459"/>
      <c r="K315" s="1459"/>
      <c r="L315" s="1459"/>
      <c r="N315" s="1399"/>
      <c r="P315" s="1399"/>
      <c r="Q315" s="1399"/>
      <c r="R315" s="1399"/>
      <c r="S315" s="1399"/>
      <c r="T315" s="1399"/>
      <c r="U315" s="1399"/>
      <c r="V315" s="1399"/>
      <c r="W315" s="1399"/>
    </row>
    <row r="316" spans="2:23" s="1280" customFormat="1" x14ac:dyDescent="0.6">
      <c r="B316" s="1461"/>
      <c r="D316" s="1459"/>
      <c r="E316" s="1459"/>
      <c r="F316" s="1459"/>
      <c r="G316" s="1459"/>
      <c r="H316" s="1459"/>
      <c r="I316" s="1459"/>
      <c r="J316" s="1459"/>
      <c r="K316" s="1459"/>
      <c r="L316" s="1459"/>
      <c r="N316" s="1399"/>
      <c r="P316" s="1399"/>
      <c r="Q316" s="1399"/>
      <c r="R316" s="1399"/>
      <c r="S316" s="1399"/>
      <c r="T316" s="1399"/>
      <c r="U316" s="1399"/>
      <c r="V316" s="1399"/>
      <c r="W316" s="1399"/>
    </row>
    <row r="317" spans="2:23" s="1280" customFormat="1" x14ac:dyDescent="0.6">
      <c r="B317" s="1461"/>
      <c r="D317" s="1459"/>
      <c r="E317" s="1459"/>
      <c r="F317" s="1459"/>
      <c r="G317" s="1459"/>
      <c r="H317" s="1459"/>
      <c r="I317" s="1459"/>
      <c r="J317" s="1459"/>
      <c r="K317" s="1459"/>
      <c r="L317" s="1459"/>
      <c r="N317" s="1399"/>
      <c r="P317" s="1399"/>
      <c r="Q317" s="1399"/>
      <c r="R317" s="1399"/>
      <c r="S317" s="1399"/>
      <c r="T317" s="1399"/>
      <c r="U317" s="1399"/>
      <c r="V317" s="1399"/>
      <c r="W317" s="1399"/>
    </row>
    <row r="318" spans="2:23" s="1280" customFormat="1" x14ac:dyDescent="0.6">
      <c r="B318" s="1461"/>
      <c r="D318" s="1459"/>
      <c r="E318" s="1459"/>
      <c r="F318" s="1459"/>
      <c r="G318" s="1459"/>
      <c r="H318" s="1459"/>
      <c r="I318" s="1459"/>
      <c r="J318" s="1459"/>
      <c r="K318" s="1459"/>
      <c r="L318" s="1459"/>
      <c r="N318" s="1399"/>
      <c r="P318" s="1399"/>
      <c r="Q318" s="1399"/>
      <c r="R318" s="1399"/>
      <c r="S318" s="1399"/>
      <c r="T318" s="1399"/>
      <c r="U318" s="1399"/>
      <c r="V318" s="1399"/>
      <c r="W318" s="1399"/>
    </row>
    <row r="319" spans="2:23" s="1280" customFormat="1" x14ac:dyDescent="0.6">
      <c r="B319" s="1461"/>
      <c r="D319" s="1459"/>
      <c r="E319" s="1459"/>
      <c r="F319" s="1459"/>
      <c r="G319" s="1459"/>
      <c r="H319" s="1459"/>
      <c r="I319" s="1459"/>
      <c r="J319" s="1459"/>
      <c r="K319" s="1459"/>
      <c r="L319" s="1459"/>
      <c r="N319" s="1399"/>
      <c r="P319" s="1399"/>
      <c r="Q319" s="1399"/>
      <c r="R319" s="1399"/>
      <c r="S319" s="1399"/>
      <c r="T319" s="1399"/>
      <c r="U319" s="1399"/>
      <c r="V319" s="1399"/>
      <c r="W319" s="1399"/>
    </row>
    <row r="320" spans="2:23" s="1280" customFormat="1" x14ac:dyDescent="0.6">
      <c r="B320" s="1461"/>
      <c r="D320" s="1459"/>
      <c r="E320" s="1459"/>
      <c r="F320" s="1459"/>
      <c r="G320" s="1459"/>
      <c r="H320" s="1459"/>
      <c r="I320" s="1459"/>
      <c r="J320" s="1459"/>
      <c r="K320" s="1459"/>
      <c r="L320" s="1459"/>
      <c r="N320" s="1399"/>
      <c r="P320" s="1399"/>
      <c r="Q320" s="1399"/>
      <c r="R320" s="1399"/>
      <c r="S320" s="1399"/>
      <c r="T320" s="1399"/>
      <c r="U320" s="1399"/>
      <c r="V320" s="1399"/>
      <c r="W320" s="1399"/>
    </row>
    <row r="321" spans="2:23" s="1280" customFormat="1" x14ac:dyDescent="0.6">
      <c r="B321" s="1461"/>
      <c r="D321" s="1459"/>
      <c r="E321" s="1459"/>
      <c r="F321" s="1459"/>
      <c r="G321" s="1459"/>
      <c r="H321" s="1459"/>
      <c r="I321" s="1459"/>
      <c r="J321" s="1459"/>
      <c r="K321" s="1459"/>
      <c r="L321" s="1459"/>
      <c r="N321" s="1399"/>
      <c r="P321" s="1399"/>
      <c r="Q321" s="1399"/>
      <c r="R321" s="1399"/>
      <c r="S321" s="1399"/>
      <c r="T321" s="1399"/>
      <c r="U321" s="1399"/>
      <c r="V321" s="1399"/>
      <c r="W321" s="1399"/>
    </row>
    <row r="322" spans="2:23" s="1280" customFormat="1" x14ac:dyDescent="0.6">
      <c r="B322" s="1461"/>
      <c r="D322" s="1459"/>
      <c r="E322" s="1459"/>
      <c r="F322" s="1459"/>
      <c r="G322" s="1459"/>
      <c r="H322" s="1459"/>
      <c r="I322" s="1459"/>
      <c r="J322" s="1459"/>
      <c r="K322" s="1459"/>
      <c r="L322" s="1459"/>
      <c r="N322" s="1399"/>
      <c r="P322" s="1399"/>
      <c r="Q322" s="1399"/>
      <c r="R322" s="1399"/>
      <c r="S322" s="1399"/>
      <c r="T322" s="1399"/>
      <c r="U322" s="1399"/>
      <c r="V322" s="1399"/>
      <c r="W322" s="1399"/>
    </row>
    <row r="323" spans="2:23" s="1280" customFormat="1" x14ac:dyDescent="0.6">
      <c r="B323" s="1461"/>
      <c r="D323" s="1459"/>
      <c r="E323" s="1459"/>
      <c r="F323" s="1459"/>
      <c r="G323" s="1459"/>
      <c r="H323" s="1459"/>
      <c r="I323" s="1459"/>
      <c r="J323" s="1459"/>
      <c r="K323" s="1459"/>
      <c r="L323" s="1459"/>
      <c r="N323" s="1399"/>
      <c r="P323" s="1399"/>
      <c r="Q323" s="1399"/>
      <c r="R323" s="1399"/>
      <c r="S323" s="1399"/>
      <c r="T323" s="1399"/>
      <c r="U323" s="1399"/>
      <c r="V323" s="1399"/>
      <c r="W323" s="1399"/>
    </row>
    <row r="324" spans="2:23" s="1280" customFormat="1" x14ac:dyDescent="0.6">
      <c r="B324" s="1461"/>
      <c r="D324" s="1459"/>
      <c r="E324" s="1459"/>
      <c r="F324" s="1459"/>
      <c r="G324" s="1459"/>
      <c r="H324" s="1459"/>
      <c r="I324" s="1459"/>
      <c r="J324" s="1459"/>
      <c r="K324" s="1459"/>
      <c r="L324" s="1459"/>
      <c r="N324" s="1399"/>
      <c r="P324" s="1399"/>
      <c r="Q324" s="1399"/>
      <c r="R324" s="1399"/>
      <c r="S324" s="1399"/>
      <c r="T324" s="1399"/>
      <c r="U324" s="1399"/>
      <c r="V324" s="1399"/>
      <c r="W324" s="1399"/>
    </row>
    <row r="325" spans="2:23" s="1280" customFormat="1" x14ac:dyDescent="0.6">
      <c r="B325" s="1461"/>
      <c r="D325" s="1459"/>
      <c r="E325" s="1459"/>
      <c r="F325" s="1459"/>
      <c r="G325" s="1459"/>
      <c r="H325" s="1459"/>
      <c r="I325" s="1459"/>
      <c r="J325" s="1459"/>
      <c r="K325" s="1459"/>
      <c r="L325" s="1459"/>
      <c r="N325" s="1399"/>
      <c r="P325" s="1399"/>
      <c r="Q325" s="1399"/>
      <c r="R325" s="1399"/>
      <c r="S325" s="1399"/>
      <c r="T325" s="1399"/>
      <c r="U325" s="1399"/>
      <c r="V325" s="1399"/>
      <c r="W325" s="1399"/>
    </row>
    <row r="326" spans="2:23" s="1280" customFormat="1" x14ac:dyDescent="0.6">
      <c r="B326" s="1461"/>
      <c r="D326" s="1459"/>
      <c r="E326" s="1459"/>
      <c r="F326" s="1459"/>
      <c r="G326" s="1459"/>
      <c r="H326" s="1459"/>
      <c r="I326" s="1459"/>
      <c r="J326" s="1459"/>
      <c r="K326" s="1459"/>
      <c r="L326" s="1459"/>
      <c r="N326" s="1399"/>
      <c r="P326" s="1399"/>
      <c r="Q326" s="1399"/>
      <c r="R326" s="1399"/>
      <c r="S326" s="1399"/>
      <c r="T326" s="1399"/>
      <c r="U326" s="1399"/>
      <c r="V326" s="1399"/>
      <c r="W326" s="1399"/>
    </row>
    <row r="327" spans="2:23" s="1280" customFormat="1" x14ac:dyDescent="0.6">
      <c r="B327" s="1461"/>
      <c r="D327" s="1459"/>
      <c r="E327" s="1459"/>
      <c r="F327" s="1459"/>
      <c r="G327" s="1459"/>
      <c r="H327" s="1459"/>
      <c r="I327" s="1459"/>
      <c r="J327" s="1459"/>
      <c r="K327" s="1459"/>
      <c r="L327" s="1459"/>
      <c r="N327" s="1399"/>
      <c r="P327" s="1399"/>
      <c r="Q327" s="1399"/>
      <c r="R327" s="1399"/>
      <c r="S327" s="1399"/>
      <c r="T327" s="1399"/>
      <c r="U327" s="1399"/>
      <c r="V327" s="1399"/>
      <c r="W327" s="1399"/>
    </row>
    <row r="328" spans="2:23" s="1280" customFormat="1" x14ac:dyDescent="0.6">
      <c r="B328" s="1461"/>
      <c r="D328" s="1459"/>
      <c r="E328" s="1459"/>
      <c r="F328" s="1459"/>
      <c r="G328" s="1459"/>
      <c r="H328" s="1459"/>
      <c r="I328" s="1459"/>
      <c r="J328" s="1459"/>
      <c r="K328" s="1459"/>
      <c r="L328" s="1459"/>
      <c r="N328" s="1399"/>
      <c r="P328" s="1399"/>
      <c r="Q328" s="1399"/>
      <c r="R328" s="1399"/>
      <c r="S328" s="1399"/>
      <c r="T328" s="1399"/>
      <c r="U328" s="1399"/>
      <c r="V328" s="1399"/>
      <c r="W328" s="1399"/>
    </row>
    <row r="329" spans="2:23" s="1280" customFormat="1" x14ac:dyDescent="0.6">
      <c r="B329" s="1461"/>
      <c r="D329" s="1459"/>
      <c r="E329" s="1459"/>
      <c r="F329" s="1459"/>
      <c r="G329" s="1459"/>
      <c r="H329" s="1459"/>
      <c r="I329" s="1459"/>
      <c r="J329" s="1459"/>
      <c r="K329" s="1459"/>
      <c r="L329" s="1459"/>
      <c r="N329" s="1399"/>
      <c r="P329" s="1399"/>
      <c r="Q329" s="1399"/>
      <c r="R329" s="1399"/>
      <c r="S329" s="1399"/>
      <c r="T329" s="1399"/>
      <c r="U329" s="1399"/>
      <c r="V329" s="1399"/>
      <c r="W329" s="1399"/>
    </row>
    <row r="330" spans="2:23" s="1280" customFormat="1" x14ac:dyDescent="0.6">
      <c r="B330" s="1461"/>
      <c r="D330" s="1459"/>
      <c r="E330" s="1459"/>
      <c r="F330" s="1459"/>
      <c r="G330" s="1459"/>
      <c r="H330" s="1459"/>
      <c r="I330" s="1459"/>
      <c r="J330" s="1459"/>
      <c r="K330" s="1459"/>
      <c r="L330" s="1459"/>
      <c r="N330" s="1399"/>
      <c r="P330" s="1399"/>
      <c r="Q330" s="1399"/>
      <c r="R330" s="1399"/>
      <c r="S330" s="1399"/>
      <c r="T330" s="1399"/>
      <c r="U330" s="1399"/>
      <c r="V330" s="1399"/>
      <c r="W330" s="1399"/>
    </row>
    <row r="331" spans="2:23" s="1280" customFormat="1" x14ac:dyDescent="0.6">
      <c r="B331" s="1461"/>
      <c r="D331" s="1459"/>
      <c r="E331" s="1459"/>
      <c r="F331" s="1459"/>
      <c r="G331" s="1459"/>
      <c r="H331" s="1459"/>
      <c r="I331" s="1459"/>
      <c r="J331" s="1459"/>
      <c r="K331" s="1459"/>
      <c r="L331" s="1459"/>
      <c r="N331" s="1399"/>
      <c r="P331" s="1399"/>
      <c r="Q331" s="1399"/>
      <c r="R331" s="1399"/>
      <c r="S331" s="1399"/>
      <c r="T331" s="1399"/>
      <c r="U331" s="1399"/>
      <c r="V331" s="1399"/>
      <c r="W331" s="1399"/>
    </row>
    <row r="332" spans="2:23" s="1280" customFormat="1" x14ac:dyDescent="0.6">
      <c r="B332" s="1461"/>
      <c r="D332" s="1459"/>
      <c r="E332" s="1459"/>
      <c r="F332" s="1459"/>
      <c r="G332" s="1459"/>
      <c r="H332" s="1459"/>
      <c r="I332" s="1459"/>
      <c r="J332" s="1459"/>
      <c r="K332" s="1459"/>
      <c r="L332" s="1459"/>
      <c r="N332" s="1399"/>
      <c r="P332" s="1399"/>
      <c r="Q332" s="1399"/>
      <c r="R332" s="1399"/>
      <c r="S332" s="1399"/>
      <c r="T332" s="1399"/>
      <c r="U332" s="1399"/>
      <c r="V332" s="1399"/>
      <c r="W332" s="1399"/>
    </row>
    <row r="333" spans="2:23" s="1280" customFormat="1" x14ac:dyDescent="0.6">
      <c r="B333" s="1461"/>
      <c r="D333" s="1459"/>
      <c r="E333" s="1459"/>
      <c r="F333" s="1459"/>
      <c r="G333" s="1459"/>
      <c r="H333" s="1459"/>
      <c r="I333" s="1459"/>
      <c r="J333" s="1459"/>
      <c r="K333" s="1459"/>
      <c r="L333" s="1459"/>
      <c r="N333" s="1399"/>
      <c r="P333" s="1399"/>
      <c r="Q333" s="1399"/>
      <c r="R333" s="1399"/>
      <c r="S333" s="1399"/>
      <c r="T333" s="1399"/>
      <c r="U333" s="1399"/>
      <c r="V333" s="1399"/>
      <c r="W333" s="1399"/>
    </row>
    <row r="334" spans="2:23" s="1280" customFormat="1" x14ac:dyDescent="0.6">
      <c r="B334" s="1461"/>
      <c r="D334" s="1459"/>
      <c r="E334" s="1459"/>
      <c r="F334" s="1459"/>
      <c r="G334" s="1459"/>
      <c r="H334" s="1459"/>
      <c r="I334" s="1459"/>
      <c r="J334" s="1459"/>
      <c r="K334" s="1459"/>
      <c r="L334" s="1459"/>
      <c r="N334" s="1399"/>
      <c r="P334" s="1399"/>
      <c r="Q334" s="1399"/>
      <c r="R334" s="1399"/>
      <c r="S334" s="1399"/>
      <c r="T334" s="1399"/>
      <c r="U334" s="1399"/>
      <c r="V334" s="1399"/>
      <c r="W334" s="1399"/>
    </row>
    <row r="335" spans="2:23" s="1280" customFormat="1" x14ac:dyDescent="0.6">
      <c r="B335" s="1461"/>
      <c r="D335" s="1459"/>
      <c r="E335" s="1459"/>
      <c r="F335" s="1459"/>
      <c r="G335" s="1459"/>
      <c r="H335" s="1459"/>
      <c r="I335" s="1459"/>
      <c r="J335" s="1459"/>
      <c r="K335" s="1459"/>
      <c r="L335" s="1459"/>
      <c r="N335" s="1399"/>
      <c r="P335" s="1399"/>
      <c r="Q335" s="1399"/>
      <c r="R335" s="1399"/>
      <c r="S335" s="1399"/>
      <c r="T335" s="1399"/>
      <c r="U335" s="1399"/>
      <c r="V335" s="1399"/>
      <c r="W335" s="1399"/>
    </row>
    <row r="336" spans="2:23" s="1280" customFormat="1" x14ac:dyDescent="0.6">
      <c r="B336" s="1461"/>
      <c r="D336" s="1459"/>
      <c r="E336" s="1459"/>
      <c r="F336" s="1459"/>
      <c r="G336" s="1459"/>
      <c r="H336" s="1459"/>
      <c r="I336" s="1459"/>
      <c r="J336" s="1459"/>
      <c r="K336" s="1459"/>
      <c r="L336" s="1459"/>
      <c r="N336" s="1399"/>
      <c r="P336" s="1399"/>
      <c r="Q336" s="1399"/>
      <c r="R336" s="1399"/>
      <c r="S336" s="1399"/>
      <c r="T336" s="1399"/>
      <c r="U336" s="1399"/>
      <c r="V336" s="1399"/>
      <c r="W336" s="1399"/>
    </row>
    <row r="337" spans="2:23" s="1280" customFormat="1" x14ac:dyDescent="0.6">
      <c r="B337" s="1461"/>
      <c r="D337" s="1459"/>
      <c r="E337" s="1459"/>
      <c r="F337" s="1459"/>
      <c r="G337" s="1459"/>
      <c r="H337" s="1459"/>
      <c r="I337" s="1459"/>
      <c r="J337" s="1459"/>
      <c r="K337" s="1459"/>
      <c r="L337" s="1459"/>
      <c r="N337" s="1399"/>
      <c r="P337" s="1399"/>
      <c r="Q337" s="1399"/>
      <c r="R337" s="1399"/>
      <c r="S337" s="1399"/>
      <c r="T337" s="1399"/>
      <c r="U337" s="1399"/>
      <c r="V337" s="1399"/>
      <c r="W337" s="1399"/>
    </row>
    <row r="338" spans="2:23" s="1280" customFormat="1" x14ac:dyDescent="0.6">
      <c r="B338" s="1461"/>
      <c r="D338" s="1459"/>
      <c r="E338" s="1459"/>
      <c r="F338" s="1459"/>
      <c r="G338" s="1459"/>
      <c r="H338" s="1459"/>
      <c r="I338" s="1459"/>
      <c r="J338" s="1459"/>
      <c r="K338" s="1459"/>
      <c r="L338" s="1459"/>
      <c r="N338" s="1399"/>
      <c r="P338" s="1399"/>
      <c r="Q338" s="1399"/>
      <c r="R338" s="1399"/>
      <c r="S338" s="1399"/>
      <c r="T338" s="1399"/>
      <c r="U338" s="1399"/>
      <c r="V338" s="1399"/>
      <c r="W338" s="1399"/>
    </row>
    <row r="339" spans="2:23" s="1280" customFormat="1" x14ac:dyDescent="0.6">
      <c r="B339" s="1461"/>
      <c r="D339" s="1459"/>
      <c r="E339" s="1459"/>
      <c r="F339" s="1459"/>
      <c r="G339" s="1459"/>
      <c r="H339" s="1459"/>
      <c r="I339" s="1459"/>
      <c r="J339" s="1459"/>
      <c r="K339" s="1459"/>
      <c r="L339" s="1459"/>
      <c r="N339" s="1399"/>
      <c r="P339" s="1399"/>
      <c r="Q339" s="1399"/>
      <c r="R339" s="1399"/>
      <c r="S339" s="1399"/>
      <c r="T339" s="1399"/>
      <c r="U339" s="1399"/>
      <c r="V339" s="1399"/>
      <c r="W339" s="1399"/>
    </row>
    <row r="340" spans="2:23" s="1280" customFormat="1" x14ac:dyDescent="0.6">
      <c r="B340" s="1461"/>
      <c r="D340" s="1459"/>
      <c r="E340" s="1459"/>
      <c r="F340" s="1459"/>
      <c r="G340" s="1459"/>
      <c r="H340" s="1459"/>
      <c r="I340" s="1459"/>
      <c r="J340" s="1459"/>
      <c r="K340" s="1459"/>
      <c r="L340" s="1459"/>
      <c r="N340" s="1399"/>
      <c r="P340" s="1399"/>
      <c r="Q340" s="1399"/>
      <c r="R340" s="1399"/>
      <c r="S340" s="1399"/>
      <c r="T340" s="1399"/>
      <c r="U340" s="1399"/>
      <c r="V340" s="1399"/>
      <c r="W340" s="1399"/>
    </row>
    <row r="341" spans="2:23" s="1280" customFormat="1" x14ac:dyDescent="0.6">
      <c r="B341" s="1461"/>
      <c r="D341" s="1459"/>
      <c r="E341" s="1459"/>
      <c r="F341" s="1459"/>
      <c r="G341" s="1459"/>
      <c r="H341" s="1459"/>
      <c r="I341" s="1459"/>
      <c r="J341" s="1459"/>
      <c r="K341" s="1459"/>
      <c r="L341" s="1459"/>
      <c r="N341" s="1399"/>
      <c r="P341" s="1399"/>
      <c r="Q341" s="1399"/>
      <c r="R341" s="1399"/>
      <c r="S341" s="1399"/>
      <c r="T341" s="1399"/>
      <c r="U341" s="1399"/>
      <c r="V341" s="1399"/>
      <c r="W341" s="1399"/>
    </row>
    <row r="342" spans="2:23" s="1280" customFormat="1" x14ac:dyDescent="0.6">
      <c r="B342" s="1461"/>
      <c r="D342" s="1459"/>
      <c r="E342" s="1459"/>
      <c r="F342" s="1459"/>
      <c r="G342" s="1459"/>
      <c r="H342" s="1459"/>
      <c r="I342" s="1459"/>
      <c r="J342" s="1459"/>
      <c r="K342" s="1459"/>
      <c r="L342" s="1459"/>
      <c r="N342" s="1399"/>
      <c r="P342" s="1399"/>
      <c r="Q342" s="1399"/>
      <c r="R342" s="1399"/>
      <c r="S342" s="1399"/>
      <c r="T342" s="1399"/>
      <c r="U342" s="1399"/>
      <c r="V342" s="1399"/>
      <c r="W342" s="1399"/>
    </row>
    <row r="343" spans="2:23" s="1280" customFormat="1" x14ac:dyDescent="0.6">
      <c r="B343" s="1461"/>
      <c r="D343" s="1459"/>
      <c r="E343" s="1459"/>
      <c r="F343" s="1459"/>
      <c r="G343" s="1459"/>
      <c r="H343" s="1459"/>
      <c r="I343" s="1459"/>
      <c r="J343" s="1459"/>
      <c r="K343" s="1459"/>
      <c r="L343" s="1459"/>
      <c r="N343" s="1399"/>
      <c r="P343" s="1399"/>
      <c r="Q343" s="1399"/>
      <c r="R343" s="1399"/>
      <c r="S343" s="1399"/>
      <c r="T343" s="1399"/>
      <c r="U343" s="1399"/>
      <c r="V343" s="1399"/>
      <c r="W343" s="1399"/>
    </row>
    <row r="344" spans="2:23" s="1280" customFormat="1" x14ac:dyDescent="0.6">
      <c r="B344" s="1461"/>
      <c r="D344" s="1459"/>
      <c r="E344" s="1459"/>
      <c r="F344" s="1459"/>
      <c r="G344" s="1459"/>
      <c r="H344" s="1459"/>
      <c r="I344" s="1459"/>
      <c r="J344" s="1459"/>
      <c r="K344" s="1459"/>
      <c r="L344" s="1459"/>
      <c r="N344" s="1399"/>
      <c r="P344" s="1399"/>
      <c r="Q344" s="1399"/>
      <c r="R344" s="1399"/>
      <c r="S344" s="1399"/>
      <c r="T344" s="1399"/>
      <c r="U344" s="1399"/>
      <c r="V344" s="1399"/>
      <c r="W344" s="1399"/>
    </row>
    <row r="345" spans="2:23" s="1280" customFormat="1" x14ac:dyDescent="0.6">
      <c r="B345" s="1461"/>
      <c r="D345" s="1459"/>
      <c r="E345" s="1459"/>
      <c r="F345" s="1459"/>
      <c r="G345" s="1459"/>
      <c r="H345" s="1459"/>
      <c r="I345" s="1459"/>
      <c r="J345" s="1459"/>
      <c r="K345" s="1459"/>
      <c r="L345" s="1459"/>
      <c r="N345" s="1399"/>
      <c r="P345" s="1399"/>
      <c r="Q345" s="1399"/>
      <c r="R345" s="1399"/>
      <c r="S345" s="1399"/>
      <c r="T345" s="1399"/>
      <c r="U345" s="1399"/>
      <c r="V345" s="1399"/>
      <c r="W345" s="1399"/>
    </row>
    <row r="346" spans="2:23" s="1280" customFormat="1" x14ac:dyDescent="0.6">
      <c r="B346" s="1461"/>
      <c r="D346" s="1459"/>
      <c r="E346" s="1459"/>
      <c r="F346" s="1459"/>
      <c r="G346" s="1459"/>
      <c r="H346" s="1459"/>
      <c r="I346" s="1459"/>
      <c r="J346" s="1459"/>
      <c r="K346" s="1459"/>
      <c r="L346" s="1459"/>
      <c r="N346" s="1399"/>
      <c r="P346" s="1399"/>
      <c r="Q346" s="1399"/>
      <c r="R346" s="1399"/>
      <c r="S346" s="1399"/>
      <c r="T346" s="1399"/>
      <c r="U346" s="1399"/>
      <c r="V346" s="1399"/>
      <c r="W346" s="1399"/>
    </row>
    <row r="347" spans="2:23" s="1280" customFormat="1" x14ac:dyDescent="0.6">
      <c r="B347" s="1461"/>
      <c r="D347" s="1459"/>
      <c r="E347" s="1459"/>
      <c r="F347" s="1459"/>
      <c r="G347" s="1459"/>
      <c r="H347" s="1459"/>
      <c r="I347" s="1459"/>
      <c r="J347" s="1459"/>
      <c r="K347" s="1459"/>
      <c r="L347" s="1459"/>
      <c r="N347" s="1399"/>
      <c r="P347" s="1399"/>
      <c r="Q347" s="1399"/>
      <c r="R347" s="1399"/>
      <c r="S347" s="1399"/>
      <c r="T347" s="1399"/>
      <c r="U347" s="1399"/>
      <c r="V347" s="1399"/>
      <c r="W347" s="1399"/>
    </row>
    <row r="348" spans="2:23" s="1280" customFormat="1" x14ac:dyDescent="0.6">
      <c r="B348" s="1461"/>
      <c r="D348" s="1459"/>
      <c r="E348" s="1459"/>
      <c r="F348" s="1459"/>
      <c r="G348" s="1459"/>
      <c r="H348" s="1459"/>
      <c r="I348" s="1459"/>
      <c r="J348" s="1459"/>
      <c r="K348" s="1459"/>
      <c r="L348" s="1459"/>
      <c r="N348" s="1399"/>
      <c r="P348" s="1399"/>
      <c r="Q348" s="1399"/>
      <c r="R348" s="1399"/>
      <c r="S348" s="1399"/>
      <c r="T348" s="1399"/>
      <c r="U348" s="1399"/>
      <c r="V348" s="1399"/>
      <c r="W348" s="1399"/>
    </row>
    <row r="349" spans="2:23" s="1280" customFormat="1" x14ac:dyDescent="0.6">
      <c r="B349" s="1461"/>
      <c r="D349" s="1459"/>
      <c r="E349" s="1459"/>
      <c r="F349" s="1459"/>
      <c r="G349" s="1459"/>
      <c r="H349" s="1459"/>
      <c r="I349" s="1459"/>
      <c r="J349" s="1459"/>
      <c r="K349" s="1459"/>
      <c r="L349" s="1459"/>
      <c r="N349" s="1399"/>
      <c r="P349" s="1399"/>
      <c r="Q349" s="1399"/>
      <c r="R349" s="1399"/>
      <c r="S349" s="1399"/>
      <c r="T349" s="1399"/>
      <c r="U349" s="1399"/>
      <c r="V349" s="1399"/>
      <c r="W349" s="1399"/>
    </row>
    <row r="350" spans="2:23" s="1280" customFormat="1" x14ac:dyDescent="0.6">
      <c r="B350" s="1461"/>
      <c r="D350" s="1459"/>
      <c r="E350" s="1459"/>
      <c r="F350" s="1459"/>
      <c r="G350" s="1459"/>
      <c r="H350" s="1459"/>
      <c r="I350" s="1459"/>
      <c r="J350" s="1459"/>
      <c r="K350" s="1459"/>
      <c r="L350" s="1459"/>
      <c r="N350" s="1399"/>
      <c r="P350" s="1399"/>
      <c r="Q350" s="1399"/>
      <c r="R350" s="1399"/>
      <c r="S350" s="1399"/>
      <c r="T350" s="1399"/>
      <c r="U350" s="1399"/>
      <c r="V350" s="1399"/>
      <c r="W350" s="1399"/>
    </row>
    <row r="351" spans="2:23" s="1280" customFormat="1" x14ac:dyDescent="0.6">
      <c r="B351" s="1461"/>
      <c r="D351" s="1459"/>
      <c r="E351" s="1459"/>
      <c r="F351" s="1459"/>
      <c r="G351" s="1459"/>
      <c r="H351" s="1459"/>
      <c r="I351" s="1459"/>
      <c r="J351" s="1459"/>
      <c r="K351" s="1459"/>
      <c r="L351" s="1459"/>
      <c r="N351" s="1399"/>
      <c r="P351" s="1399"/>
      <c r="Q351" s="1399"/>
      <c r="R351" s="1399"/>
      <c r="S351" s="1399"/>
      <c r="T351" s="1399"/>
      <c r="U351" s="1399"/>
      <c r="V351" s="1399"/>
      <c r="W351" s="1399"/>
    </row>
    <row r="352" spans="2:23" s="1280" customFormat="1" x14ac:dyDescent="0.6">
      <c r="B352" s="1461"/>
      <c r="D352" s="1459"/>
      <c r="E352" s="1459"/>
      <c r="F352" s="1459"/>
      <c r="G352" s="1459"/>
      <c r="H352" s="1459"/>
      <c r="I352" s="1459"/>
      <c r="J352" s="1459"/>
      <c r="K352" s="1459"/>
      <c r="L352" s="1459"/>
      <c r="N352" s="1399"/>
      <c r="P352" s="1399"/>
      <c r="Q352" s="1399"/>
      <c r="R352" s="1399"/>
      <c r="S352" s="1399"/>
      <c r="T352" s="1399"/>
      <c r="U352" s="1399"/>
      <c r="V352" s="1399"/>
      <c r="W352" s="1399"/>
    </row>
    <row r="353" spans="2:23" s="1280" customFormat="1" x14ac:dyDescent="0.6">
      <c r="B353" s="1461"/>
      <c r="D353" s="1459"/>
      <c r="E353" s="1459"/>
      <c r="F353" s="1459"/>
      <c r="G353" s="1459"/>
      <c r="H353" s="1459"/>
      <c r="I353" s="1459"/>
      <c r="J353" s="1459"/>
      <c r="K353" s="1459"/>
      <c r="L353" s="1459"/>
      <c r="N353" s="1399"/>
      <c r="P353" s="1399"/>
      <c r="Q353" s="1399"/>
      <c r="R353" s="1399"/>
      <c r="S353" s="1399"/>
      <c r="T353" s="1399"/>
      <c r="U353" s="1399"/>
      <c r="V353" s="1399"/>
      <c r="W353" s="1399"/>
    </row>
    <row r="354" spans="2:23" s="1280" customFormat="1" x14ac:dyDescent="0.6">
      <c r="B354" s="1461"/>
      <c r="D354" s="1459"/>
      <c r="E354" s="1459"/>
      <c r="F354" s="1459"/>
      <c r="G354" s="1459"/>
      <c r="H354" s="1459"/>
      <c r="I354" s="1459"/>
      <c r="J354" s="1459"/>
      <c r="K354" s="1459"/>
      <c r="L354" s="1459"/>
      <c r="N354" s="1399"/>
      <c r="P354" s="1399"/>
      <c r="Q354" s="1399"/>
      <c r="R354" s="1399"/>
      <c r="S354" s="1399"/>
      <c r="T354" s="1399"/>
      <c r="U354" s="1399"/>
      <c r="V354" s="1399"/>
      <c r="W354" s="1399"/>
    </row>
    <row r="355" spans="2:23" s="1280" customFormat="1" x14ac:dyDescent="0.6">
      <c r="B355" s="1461"/>
      <c r="D355" s="1459"/>
      <c r="E355" s="1459"/>
      <c r="F355" s="1459"/>
      <c r="G355" s="1459"/>
      <c r="H355" s="1459"/>
      <c r="I355" s="1459"/>
      <c r="J355" s="1459"/>
      <c r="K355" s="1459"/>
      <c r="L355" s="1459"/>
      <c r="N355" s="1399"/>
      <c r="P355" s="1399"/>
      <c r="Q355" s="1399"/>
      <c r="R355" s="1399"/>
      <c r="S355" s="1399"/>
      <c r="T355" s="1399"/>
      <c r="U355" s="1399"/>
      <c r="V355" s="1399"/>
      <c r="W355" s="1399"/>
    </row>
    <row r="356" spans="2:23" s="1280" customFormat="1" x14ac:dyDescent="0.6">
      <c r="B356" s="1461"/>
      <c r="D356" s="1459"/>
      <c r="E356" s="1459"/>
      <c r="F356" s="1459"/>
      <c r="G356" s="1459"/>
      <c r="H356" s="1459"/>
      <c r="I356" s="1459"/>
      <c r="J356" s="1459"/>
      <c r="K356" s="1459"/>
      <c r="L356" s="1459"/>
      <c r="N356" s="1399"/>
      <c r="P356" s="1399"/>
      <c r="Q356" s="1399"/>
      <c r="R356" s="1399"/>
      <c r="S356" s="1399"/>
      <c r="T356" s="1399"/>
      <c r="U356" s="1399"/>
      <c r="V356" s="1399"/>
      <c r="W356" s="1399"/>
    </row>
    <row r="357" spans="2:23" s="1280" customFormat="1" x14ac:dyDescent="0.6">
      <c r="B357" s="1461"/>
      <c r="D357" s="1459"/>
      <c r="E357" s="1459"/>
      <c r="F357" s="1459"/>
      <c r="G357" s="1459"/>
      <c r="H357" s="1459"/>
      <c r="I357" s="1459"/>
      <c r="J357" s="1459"/>
      <c r="K357" s="1459"/>
      <c r="L357" s="1459"/>
      <c r="N357" s="1399"/>
      <c r="P357" s="1399"/>
      <c r="Q357" s="1399"/>
      <c r="R357" s="1399"/>
      <c r="S357" s="1399"/>
      <c r="T357" s="1399"/>
      <c r="U357" s="1399"/>
      <c r="V357" s="1399"/>
      <c r="W357" s="1399"/>
    </row>
    <row r="358" spans="2:23" s="1280" customFormat="1" x14ac:dyDescent="0.6">
      <c r="B358" s="1461"/>
      <c r="D358" s="1459"/>
      <c r="E358" s="1459"/>
      <c r="F358" s="1459"/>
      <c r="G358" s="1459"/>
      <c r="H358" s="1459"/>
      <c r="I358" s="1459"/>
      <c r="J358" s="1459"/>
      <c r="K358" s="1459"/>
      <c r="L358" s="1459"/>
      <c r="N358" s="1399"/>
      <c r="P358" s="1399"/>
      <c r="Q358" s="1399"/>
      <c r="R358" s="1399"/>
      <c r="S358" s="1399"/>
      <c r="T358" s="1399"/>
      <c r="U358" s="1399"/>
      <c r="V358" s="1399"/>
      <c r="W358" s="1399"/>
    </row>
    <row r="359" spans="2:23" s="1280" customFormat="1" x14ac:dyDescent="0.6">
      <c r="B359" s="1461"/>
      <c r="D359" s="1459"/>
      <c r="E359" s="1459"/>
      <c r="F359" s="1459"/>
      <c r="G359" s="1459"/>
      <c r="H359" s="1459"/>
      <c r="I359" s="1459"/>
      <c r="J359" s="1459"/>
      <c r="K359" s="1459"/>
      <c r="L359" s="1459"/>
      <c r="N359" s="1399"/>
      <c r="P359" s="1399"/>
      <c r="Q359" s="1399"/>
      <c r="R359" s="1399"/>
      <c r="S359" s="1399"/>
      <c r="T359" s="1399"/>
      <c r="U359" s="1399"/>
      <c r="V359" s="1399"/>
      <c r="W359" s="1399"/>
    </row>
    <row r="360" spans="2:23" s="1280" customFormat="1" x14ac:dyDescent="0.6">
      <c r="B360" s="1461"/>
      <c r="D360" s="1459"/>
      <c r="E360" s="1459"/>
      <c r="F360" s="1459"/>
      <c r="G360" s="1459"/>
      <c r="H360" s="1459"/>
      <c r="I360" s="1459"/>
      <c r="J360" s="1459"/>
      <c r="K360" s="1459"/>
      <c r="L360" s="1459"/>
      <c r="N360" s="1399"/>
      <c r="P360" s="1399"/>
      <c r="Q360" s="1399"/>
      <c r="R360" s="1399"/>
      <c r="S360" s="1399"/>
      <c r="T360" s="1399"/>
      <c r="U360" s="1399"/>
      <c r="V360" s="1399"/>
      <c r="W360" s="1399"/>
    </row>
    <row r="361" spans="2:23" s="1280" customFormat="1" x14ac:dyDescent="0.6">
      <c r="B361" s="1461"/>
      <c r="D361" s="1459"/>
      <c r="E361" s="1459"/>
      <c r="F361" s="1459"/>
      <c r="G361" s="1459"/>
      <c r="H361" s="1459"/>
      <c r="I361" s="1459"/>
      <c r="J361" s="1459"/>
      <c r="K361" s="1459"/>
      <c r="L361" s="1459"/>
      <c r="N361" s="1399"/>
      <c r="P361" s="1399"/>
      <c r="Q361" s="1399"/>
      <c r="R361" s="1399"/>
      <c r="S361" s="1399"/>
      <c r="T361" s="1399"/>
      <c r="U361" s="1399"/>
      <c r="V361" s="1399"/>
      <c r="W361" s="1399"/>
    </row>
    <row r="362" spans="2:23" s="1280" customFormat="1" x14ac:dyDescent="0.6">
      <c r="B362" s="1461"/>
      <c r="D362" s="1459"/>
      <c r="E362" s="1459"/>
      <c r="F362" s="1459"/>
      <c r="G362" s="1459"/>
      <c r="H362" s="1459"/>
      <c r="I362" s="1459"/>
      <c r="J362" s="1459"/>
      <c r="K362" s="1459"/>
      <c r="L362" s="1459"/>
      <c r="N362" s="1399"/>
      <c r="P362" s="1399"/>
      <c r="Q362" s="1399"/>
      <c r="R362" s="1399"/>
      <c r="S362" s="1399"/>
      <c r="T362" s="1399"/>
      <c r="U362" s="1399"/>
      <c r="V362" s="1399"/>
      <c r="W362" s="1399"/>
    </row>
    <row r="363" spans="2:23" s="1280" customFormat="1" x14ac:dyDescent="0.6">
      <c r="B363" s="1461"/>
      <c r="D363" s="1459"/>
      <c r="E363" s="1459"/>
      <c r="F363" s="1459"/>
      <c r="G363" s="1459"/>
      <c r="H363" s="1459"/>
      <c r="I363" s="1459"/>
      <c r="J363" s="1459"/>
      <c r="K363" s="1459"/>
      <c r="L363" s="1459"/>
      <c r="N363" s="1399"/>
      <c r="P363" s="1399"/>
      <c r="Q363" s="1399"/>
      <c r="R363" s="1399"/>
      <c r="S363" s="1399"/>
      <c r="T363" s="1399"/>
      <c r="U363" s="1399"/>
      <c r="V363" s="1399"/>
      <c r="W363" s="1399"/>
    </row>
    <row r="364" spans="2:23" s="1280" customFormat="1" x14ac:dyDescent="0.6">
      <c r="B364" s="1461"/>
      <c r="D364" s="1459"/>
      <c r="E364" s="1459"/>
      <c r="F364" s="1459"/>
      <c r="G364" s="1459"/>
      <c r="H364" s="1459"/>
      <c r="I364" s="1459"/>
      <c r="J364" s="1459"/>
      <c r="K364" s="1459"/>
      <c r="L364" s="1459"/>
      <c r="N364" s="1399"/>
      <c r="P364" s="1399"/>
      <c r="Q364" s="1399"/>
      <c r="R364" s="1399"/>
      <c r="S364" s="1399"/>
      <c r="T364" s="1399"/>
      <c r="U364" s="1399"/>
      <c r="V364" s="1399"/>
      <c r="W364" s="1399"/>
    </row>
    <row r="365" spans="2:23" s="1280" customFormat="1" x14ac:dyDescent="0.6">
      <c r="B365" s="1461"/>
      <c r="D365" s="1459"/>
      <c r="E365" s="1459"/>
      <c r="F365" s="1459"/>
      <c r="G365" s="1459"/>
      <c r="H365" s="1459"/>
      <c r="I365" s="1459"/>
      <c r="J365" s="1459"/>
      <c r="K365" s="1459"/>
      <c r="L365" s="1459"/>
      <c r="N365" s="1399"/>
      <c r="P365" s="1399"/>
      <c r="Q365" s="1399"/>
      <c r="R365" s="1399"/>
      <c r="S365" s="1399"/>
      <c r="T365" s="1399"/>
      <c r="U365" s="1399"/>
      <c r="V365" s="1399"/>
      <c r="W365" s="1399"/>
    </row>
    <row r="366" spans="2:23" s="1280" customFormat="1" x14ac:dyDescent="0.6">
      <c r="B366" s="1461"/>
      <c r="D366" s="1459"/>
      <c r="E366" s="1459"/>
      <c r="F366" s="1459"/>
      <c r="G366" s="1459"/>
      <c r="H366" s="1459"/>
      <c r="I366" s="1459"/>
      <c r="J366" s="1459"/>
      <c r="K366" s="1459"/>
      <c r="L366" s="1459"/>
      <c r="N366" s="1399"/>
      <c r="P366" s="1399"/>
      <c r="Q366" s="1399"/>
      <c r="R366" s="1399"/>
      <c r="S366" s="1399"/>
      <c r="T366" s="1399"/>
      <c r="U366" s="1399"/>
      <c r="V366" s="1399"/>
      <c r="W366" s="1399"/>
    </row>
    <row r="367" spans="2:23" s="1280" customFormat="1" x14ac:dyDescent="0.6">
      <c r="B367" s="1461"/>
      <c r="D367" s="1459"/>
      <c r="E367" s="1459"/>
      <c r="F367" s="1459"/>
      <c r="G367" s="1459"/>
      <c r="H367" s="1459"/>
      <c r="I367" s="1459"/>
      <c r="J367" s="1459"/>
      <c r="K367" s="1459"/>
      <c r="L367" s="1459"/>
      <c r="N367" s="1399"/>
      <c r="P367" s="1399"/>
      <c r="Q367" s="1399"/>
      <c r="R367" s="1399"/>
      <c r="S367" s="1399"/>
      <c r="T367" s="1399"/>
      <c r="U367" s="1399"/>
      <c r="V367" s="1399"/>
      <c r="W367" s="1399"/>
    </row>
    <row r="368" spans="2:23" s="1280" customFormat="1" x14ac:dyDescent="0.6">
      <c r="B368" s="1461"/>
      <c r="D368" s="1459"/>
      <c r="E368" s="1459"/>
      <c r="F368" s="1459"/>
      <c r="G368" s="1459"/>
      <c r="H368" s="1459"/>
      <c r="I368" s="1459"/>
      <c r="J368" s="1459"/>
      <c r="K368" s="1459"/>
      <c r="L368" s="1459"/>
      <c r="N368" s="1399"/>
      <c r="P368" s="1399"/>
      <c r="Q368" s="1399"/>
      <c r="R368" s="1399"/>
      <c r="S368" s="1399"/>
      <c r="T368" s="1399"/>
      <c r="U368" s="1399"/>
      <c r="V368" s="1399"/>
      <c r="W368" s="1399"/>
    </row>
    <row r="369" spans="2:23" s="1280" customFormat="1" x14ac:dyDescent="0.6">
      <c r="B369" s="1461"/>
      <c r="D369" s="1459"/>
      <c r="E369" s="1459"/>
      <c r="F369" s="1459"/>
      <c r="G369" s="1459"/>
      <c r="H369" s="1459"/>
      <c r="I369" s="1459"/>
      <c r="J369" s="1459"/>
      <c r="K369" s="1459"/>
      <c r="L369" s="1459"/>
      <c r="N369" s="1399"/>
      <c r="P369" s="1399"/>
      <c r="Q369" s="1399"/>
      <c r="R369" s="1399"/>
      <c r="S369" s="1399"/>
      <c r="T369" s="1399"/>
      <c r="U369" s="1399"/>
      <c r="V369" s="1399"/>
      <c r="W369" s="1399"/>
    </row>
    <row r="370" spans="2:23" s="1280" customFormat="1" x14ac:dyDescent="0.6">
      <c r="B370" s="1461"/>
      <c r="D370" s="1459"/>
      <c r="E370" s="1459"/>
      <c r="F370" s="1459"/>
      <c r="G370" s="1459"/>
      <c r="H370" s="1459"/>
      <c r="I370" s="1459"/>
      <c r="J370" s="1459"/>
      <c r="K370" s="1459"/>
      <c r="L370" s="1459"/>
      <c r="N370" s="1399"/>
      <c r="P370" s="1399"/>
      <c r="Q370" s="1399"/>
      <c r="R370" s="1399"/>
      <c r="S370" s="1399"/>
      <c r="T370" s="1399"/>
      <c r="U370" s="1399"/>
      <c r="V370" s="1399"/>
      <c r="W370" s="1399"/>
    </row>
    <row r="371" spans="2:23" s="1280" customFormat="1" x14ac:dyDescent="0.6">
      <c r="B371" s="1461"/>
      <c r="D371" s="1459"/>
      <c r="E371" s="1459"/>
      <c r="F371" s="1459"/>
      <c r="G371" s="1459"/>
      <c r="H371" s="1459"/>
      <c r="I371" s="1459"/>
      <c r="J371" s="1459"/>
      <c r="K371" s="1459"/>
      <c r="L371" s="1459"/>
      <c r="N371" s="1399"/>
      <c r="P371" s="1399"/>
      <c r="Q371" s="1399"/>
      <c r="R371" s="1399"/>
      <c r="S371" s="1399"/>
      <c r="T371" s="1399"/>
      <c r="U371" s="1399"/>
      <c r="V371" s="1399"/>
      <c r="W371" s="1399"/>
    </row>
    <row r="372" spans="2:23" s="1280" customFormat="1" x14ac:dyDescent="0.6">
      <c r="B372" s="1461"/>
      <c r="D372" s="1459"/>
      <c r="E372" s="1459"/>
      <c r="F372" s="1459"/>
      <c r="G372" s="1459"/>
      <c r="H372" s="1459"/>
      <c r="I372" s="1459"/>
      <c r="J372" s="1459"/>
      <c r="K372" s="1459"/>
      <c r="L372" s="1459"/>
      <c r="N372" s="1399"/>
      <c r="P372" s="1399"/>
      <c r="Q372" s="1399"/>
      <c r="R372" s="1399"/>
      <c r="S372" s="1399"/>
      <c r="T372" s="1399"/>
      <c r="U372" s="1399"/>
      <c r="V372" s="1399"/>
      <c r="W372" s="1399"/>
    </row>
    <row r="373" spans="2:23" s="1280" customFormat="1" x14ac:dyDescent="0.6">
      <c r="B373" s="1461"/>
      <c r="D373" s="1459"/>
      <c r="E373" s="1459"/>
      <c r="F373" s="1459"/>
      <c r="G373" s="1459"/>
      <c r="H373" s="1459"/>
      <c r="I373" s="1459"/>
      <c r="J373" s="1459"/>
      <c r="K373" s="1459"/>
      <c r="L373" s="1459"/>
      <c r="N373" s="1399"/>
      <c r="P373" s="1399"/>
      <c r="Q373" s="1399"/>
      <c r="R373" s="1399"/>
      <c r="S373" s="1399"/>
      <c r="T373" s="1399"/>
      <c r="U373" s="1399"/>
      <c r="V373" s="1399"/>
      <c r="W373" s="1399"/>
    </row>
    <row r="374" spans="2:23" s="1280" customFormat="1" x14ac:dyDescent="0.6">
      <c r="B374" s="1461"/>
      <c r="D374" s="1459"/>
      <c r="E374" s="1459"/>
      <c r="F374" s="1459"/>
      <c r="G374" s="1459"/>
      <c r="H374" s="1459"/>
      <c r="I374" s="1459"/>
      <c r="J374" s="1459"/>
      <c r="K374" s="1459"/>
      <c r="L374" s="1459"/>
      <c r="N374" s="1399"/>
      <c r="P374" s="1399"/>
      <c r="Q374" s="1399"/>
      <c r="R374" s="1399"/>
      <c r="S374" s="1399"/>
      <c r="T374" s="1399"/>
      <c r="U374" s="1399"/>
      <c r="V374" s="1399"/>
      <c r="W374" s="1399"/>
    </row>
    <row r="375" spans="2:23" s="1280" customFormat="1" x14ac:dyDescent="0.6">
      <c r="B375" s="1461"/>
      <c r="D375" s="1459"/>
      <c r="E375" s="1459"/>
      <c r="F375" s="1459"/>
      <c r="G375" s="1459"/>
      <c r="H375" s="1459"/>
      <c r="I375" s="1459"/>
      <c r="J375" s="1459"/>
      <c r="K375" s="1459"/>
      <c r="L375" s="1459"/>
      <c r="N375" s="1399"/>
      <c r="P375" s="1399"/>
      <c r="Q375" s="1399"/>
      <c r="R375" s="1399"/>
      <c r="S375" s="1399"/>
      <c r="T375" s="1399"/>
      <c r="U375" s="1399"/>
      <c r="V375" s="1399"/>
      <c r="W375" s="1399"/>
    </row>
    <row r="376" spans="2:23" s="1280" customFormat="1" x14ac:dyDescent="0.6">
      <c r="B376" s="1461"/>
      <c r="D376" s="1459"/>
      <c r="E376" s="1459"/>
      <c r="F376" s="1459"/>
      <c r="G376" s="1459"/>
      <c r="H376" s="1459"/>
      <c r="I376" s="1459"/>
      <c r="J376" s="1459"/>
      <c r="K376" s="1459"/>
      <c r="L376" s="1459"/>
      <c r="N376" s="1399"/>
      <c r="P376" s="1399"/>
      <c r="Q376" s="1399"/>
      <c r="R376" s="1399"/>
      <c r="S376" s="1399"/>
      <c r="T376" s="1399"/>
      <c r="U376" s="1399"/>
      <c r="V376" s="1399"/>
      <c r="W376" s="1399"/>
    </row>
    <row r="377" spans="2:23" s="1280" customFormat="1" x14ac:dyDescent="0.6">
      <c r="B377" s="1461"/>
      <c r="D377" s="1459"/>
      <c r="E377" s="1459"/>
      <c r="F377" s="1459"/>
      <c r="G377" s="1459"/>
      <c r="H377" s="1459"/>
      <c r="I377" s="1459"/>
      <c r="J377" s="1459"/>
      <c r="K377" s="1459"/>
      <c r="L377" s="1459"/>
      <c r="N377" s="1399"/>
      <c r="P377" s="1399"/>
      <c r="Q377" s="1399"/>
      <c r="R377" s="1399"/>
      <c r="S377" s="1399"/>
      <c r="T377" s="1399"/>
      <c r="U377" s="1399"/>
      <c r="V377" s="1399"/>
      <c r="W377" s="1399"/>
    </row>
    <row r="378" spans="2:23" s="1280" customFormat="1" x14ac:dyDescent="0.6">
      <c r="B378" s="1461"/>
      <c r="D378" s="1459"/>
      <c r="E378" s="1459"/>
      <c r="F378" s="1459"/>
      <c r="G378" s="1459"/>
      <c r="H378" s="1459"/>
      <c r="I378" s="1459"/>
      <c r="J378" s="1459"/>
      <c r="K378" s="1459"/>
      <c r="L378" s="1459"/>
      <c r="N378" s="1399"/>
      <c r="P378" s="1399"/>
      <c r="Q378" s="1399"/>
      <c r="R378" s="1399"/>
      <c r="S378" s="1399"/>
      <c r="T378" s="1399"/>
      <c r="U378" s="1399"/>
      <c r="V378" s="1399"/>
      <c r="W378" s="1399"/>
    </row>
    <row r="379" spans="2:23" s="1280" customFormat="1" x14ac:dyDescent="0.6">
      <c r="B379" s="1461"/>
      <c r="D379" s="1459"/>
      <c r="E379" s="1459"/>
      <c r="F379" s="1459"/>
      <c r="G379" s="1459"/>
      <c r="H379" s="1459"/>
      <c r="I379" s="1459"/>
      <c r="J379" s="1459"/>
      <c r="K379" s="1459"/>
      <c r="L379" s="1459"/>
      <c r="N379" s="1399"/>
      <c r="P379" s="1399"/>
      <c r="Q379" s="1399"/>
      <c r="R379" s="1399"/>
      <c r="S379" s="1399"/>
      <c r="T379" s="1399"/>
      <c r="U379" s="1399"/>
      <c r="V379" s="1399"/>
      <c r="W379" s="1399"/>
    </row>
    <row r="380" spans="2:23" s="1280" customFormat="1" x14ac:dyDescent="0.6">
      <c r="B380" s="1461"/>
      <c r="D380" s="1459"/>
      <c r="E380" s="1459"/>
      <c r="F380" s="1459"/>
      <c r="G380" s="1459"/>
      <c r="H380" s="1459"/>
      <c r="I380" s="1459"/>
      <c r="J380" s="1459"/>
      <c r="K380" s="1459"/>
      <c r="L380" s="1459"/>
      <c r="N380" s="1399"/>
      <c r="P380" s="1399"/>
      <c r="Q380" s="1399"/>
      <c r="R380" s="1399"/>
      <c r="S380" s="1399"/>
      <c r="T380" s="1399"/>
      <c r="U380" s="1399"/>
      <c r="V380" s="1399"/>
      <c r="W380" s="1399"/>
    </row>
    <row r="381" spans="2:23" s="1280" customFormat="1" x14ac:dyDescent="0.6">
      <c r="B381" s="1461"/>
      <c r="D381" s="1459"/>
      <c r="E381" s="1459"/>
      <c r="F381" s="1459"/>
      <c r="G381" s="1459"/>
      <c r="H381" s="1459"/>
      <c r="I381" s="1459"/>
      <c r="J381" s="1459"/>
      <c r="K381" s="1459"/>
      <c r="L381" s="1459"/>
      <c r="N381" s="1399"/>
      <c r="P381" s="1399"/>
      <c r="Q381" s="1399"/>
      <c r="R381" s="1399"/>
      <c r="S381" s="1399"/>
      <c r="T381" s="1399"/>
      <c r="U381" s="1399"/>
      <c r="V381" s="1399"/>
      <c r="W381" s="1399"/>
    </row>
    <row r="382" spans="2:23" s="1280" customFormat="1" x14ac:dyDescent="0.6">
      <c r="B382" s="1461"/>
      <c r="D382" s="1459"/>
      <c r="E382" s="1459"/>
      <c r="F382" s="1459"/>
      <c r="G382" s="1459"/>
      <c r="H382" s="1459"/>
      <c r="I382" s="1459"/>
      <c r="J382" s="1459"/>
      <c r="K382" s="1459"/>
      <c r="L382" s="1459"/>
      <c r="N382" s="1399"/>
      <c r="P382" s="1399"/>
      <c r="Q382" s="1399"/>
      <c r="R382" s="1399"/>
      <c r="S382" s="1399"/>
      <c r="T382" s="1399"/>
      <c r="U382" s="1399"/>
      <c r="V382" s="1399"/>
      <c r="W382" s="1399"/>
    </row>
    <row r="383" spans="2:23" s="1280" customFormat="1" x14ac:dyDescent="0.6">
      <c r="B383" s="1461"/>
      <c r="D383" s="1459"/>
      <c r="E383" s="1459"/>
      <c r="F383" s="1459"/>
      <c r="G383" s="1459"/>
      <c r="H383" s="1459"/>
      <c r="I383" s="1459"/>
      <c r="J383" s="1459"/>
      <c r="K383" s="1459"/>
      <c r="L383" s="1459"/>
      <c r="N383" s="1399"/>
      <c r="P383" s="1399"/>
      <c r="Q383" s="1399"/>
      <c r="R383" s="1399"/>
      <c r="S383" s="1399"/>
      <c r="T383" s="1399"/>
      <c r="U383" s="1399"/>
      <c r="V383" s="1399"/>
      <c r="W383" s="1399"/>
    </row>
    <row r="384" spans="2:23" s="1280" customFormat="1" x14ac:dyDescent="0.6">
      <c r="B384" s="1461"/>
      <c r="D384" s="1459"/>
      <c r="E384" s="1459"/>
      <c r="F384" s="1459"/>
      <c r="G384" s="1459"/>
      <c r="H384" s="1459"/>
      <c r="I384" s="1459"/>
      <c r="J384" s="1459"/>
      <c r="K384" s="1459"/>
      <c r="L384" s="1459"/>
      <c r="N384" s="1399"/>
      <c r="P384" s="1399"/>
      <c r="Q384" s="1399"/>
      <c r="R384" s="1399"/>
      <c r="S384" s="1399"/>
      <c r="T384" s="1399"/>
      <c r="U384" s="1399"/>
      <c r="V384" s="1399"/>
      <c r="W384" s="1399"/>
    </row>
    <row r="385" spans="2:23" s="1280" customFormat="1" x14ac:dyDescent="0.6">
      <c r="B385" s="1461"/>
      <c r="D385" s="1459"/>
      <c r="E385" s="1459"/>
      <c r="F385" s="1459"/>
      <c r="G385" s="1459"/>
      <c r="H385" s="1459"/>
      <c r="I385" s="1459"/>
      <c r="J385" s="1459"/>
      <c r="K385" s="1459"/>
      <c r="L385" s="1459"/>
      <c r="N385" s="1399"/>
      <c r="P385" s="1399"/>
      <c r="Q385" s="1399"/>
      <c r="R385" s="1399"/>
      <c r="S385" s="1399"/>
      <c r="T385" s="1399"/>
      <c r="U385" s="1399"/>
      <c r="V385" s="1399"/>
      <c r="W385" s="1399"/>
    </row>
    <row r="386" spans="2:23" s="1280" customFormat="1" x14ac:dyDescent="0.6">
      <c r="B386" s="1461"/>
      <c r="D386" s="1459"/>
      <c r="E386" s="1459"/>
      <c r="F386" s="1459"/>
      <c r="G386" s="1459"/>
      <c r="H386" s="1459"/>
      <c r="I386" s="1459"/>
      <c r="J386" s="1459"/>
      <c r="K386" s="1459"/>
      <c r="L386" s="1459"/>
      <c r="N386" s="1399"/>
      <c r="P386" s="1399"/>
      <c r="Q386" s="1399"/>
      <c r="R386" s="1399"/>
      <c r="S386" s="1399"/>
      <c r="T386" s="1399"/>
      <c r="U386" s="1399"/>
      <c r="V386" s="1399"/>
      <c r="W386" s="1399"/>
    </row>
    <row r="387" spans="2:23" s="1280" customFormat="1" x14ac:dyDescent="0.6">
      <c r="B387" s="1461"/>
      <c r="D387" s="1459"/>
      <c r="E387" s="1459"/>
      <c r="F387" s="1459"/>
      <c r="G387" s="1459"/>
      <c r="H387" s="1459"/>
      <c r="I387" s="1459"/>
      <c r="J387" s="1459"/>
      <c r="K387" s="1459"/>
      <c r="L387" s="1459"/>
      <c r="N387" s="1399"/>
      <c r="P387" s="1399"/>
      <c r="Q387" s="1399"/>
      <c r="R387" s="1399"/>
      <c r="S387" s="1399"/>
      <c r="T387" s="1399"/>
      <c r="U387" s="1399"/>
      <c r="V387" s="1399"/>
      <c r="W387" s="1399"/>
    </row>
    <row r="388" spans="2:23" s="1280" customFormat="1" x14ac:dyDescent="0.6">
      <c r="B388" s="1461"/>
      <c r="D388" s="1459"/>
      <c r="E388" s="1459"/>
      <c r="F388" s="1459"/>
      <c r="G388" s="1459"/>
      <c r="H388" s="1459"/>
      <c r="I388" s="1459"/>
      <c r="J388" s="1459"/>
      <c r="K388" s="1459"/>
      <c r="L388" s="1459"/>
      <c r="N388" s="1399"/>
      <c r="P388" s="1399"/>
      <c r="Q388" s="1399"/>
      <c r="R388" s="1399"/>
      <c r="S388" s="1399"/>
      <c r="T388" s="1399"/>
      <c r="U388" s="1399"/>
      <c r="V388" s="1399"/>
      <c r="W388" s="1399"/>
    </row>
    <row r="389" spans="2:23" s="1280" customFormat="1" x14ac:dyDescent="0.6">
      <c r="B389" s="1461"/>
      <c r="D389" s="1459"/>
      <c r="E389" s="1459"/>
      <c r="F389" s="1459"/>
      <c r="G389" s="1459"/>
      <c r="H389" s="1459"/>
      <c r="I389" s="1459"/>
      <c r="J389" s="1459"/>
      <c r="K389" s="1459"/>
      <c r="L389" s="1459"/>
      <c r="N389" s="1399"/>
      <c r="P389" s="1399"/>
      <c r="Q389" s="1399"/>
      <c r="R389" s="1399"/>
      <c r="S389" s="1399"/>
      <c r="T389" s="1399"/>
      <c r="U389" s="1399"/>
      <c r="V389" s="1399"/>
      <c r="W389" s="1399"/>
    </row>
    <row r="390" spans="2:23" s="1280" customFormat="1" x14ac:dyDescent="0.6">
      <c r="B390" s="1461"/>
      <c r="D390" s="1459"/>
      <c r="E390" s="1459"/>
      <c r="F390" s="1459"/>
      <c r="G390" s="1459"/>
      <c r="H390" s="1459"/>
      <c r="I390" s="1459"/>
      <c r="J390" s="1459"/>
      <c r="K390" s="1459"/>
      <c r="L390" s="1459"/>
      <c r="N390" s="1399"/>
      <c r="P390" s="1399"/>
      <c r="Q390" s="1399"/>
      <c r="R390" s="1399"/>
      <c r="S390" s="1399"/>
      <c r="T390" s="1399"/>
      <c r="U390" s="1399"/>
      <c r="V390" s="1399"/>
      <c r="W390" s="1399"/>
    </row>
    <row r="391" spans="2:23" s="1280" customFormat="1" x14ac:dyDescent="0.6">
      <c r="B391" s="1461"/>
      <c r="D391" s="1459"/>
      <c r="E391" s="1459"/>
      <c r="F391" s="1459"/>
      <c r="G391" s="1459"/>
      <c r="H391" s="1459"/>
      <c r="I391" s="1459"/>
      <c r="J391" s="1459"/>
      <c r="K391" s="1459"/>
      <c r="L391" s="1459"/>
      <c r="N391" s="1399"/>
      <c r="P391" s="1399"/>
      <c r="Q391" s="1399"/>
      <c r="R391" s="1399"/>
      <c r="S391" s="1399"/>
      <c r="T391" s="1399"/>
      <c r="U391" s="1399"/>
      <c r="V391" s="1399"/>
      <c r="W391" s="1399"/>
    </row>
    <row r="392" spans="2:23" s="1280" customFormat="1" x14ac:dyDescent="0.6">
      <c r="B392" s="1461"/>
      <c r="D392" s="1459"/>
      <c r="E392" s="1459"/>
      <c r="F392" s="1459"/>
      <c r="G392" s="1459"/>
      <c r="H392" s="1459"/>
      <c r="I392" s="1459"/>
      <c r="J392" s="1459"/>
      <c r="K392" s="1459"/>
      <c r="L392" s="1459"/>
      <c r="N392" s="1399"/>
      <c r="P392" s="1399"/>
      <c r="Q392" s="1399"/>
      <c r="R392" s="1399"/>
      <c r="S392" s="1399"/>
      <c r="T392" s="1399"/>
      <c r="U392" s="1399"/>
      <c r="V392" s="1399"/>
      <c r="W392" s="1399"/>
    </row>
    <row r="393" spans="2:23" s="1280" customFormat="1" x14ac:dyDescent="0.6">
      <c r="B393" s="1461"/>
      <c r="D393" s="1459"/>
      <c r="E393" s="1459"/>
      <c r="F393" s="1459"/>
      <c r="G393" s="1459"/>
      <c r="H393" s="1459"/>
      <c r="I393" s="1459"/>
      <c r="J393" s="1459"/>
      <c r="K393" s="1459"/>
      <c r="L393" s="1459"/>
      <c r="N393" s="1399"/>
      <c r="P393" s="1399"/>
      <c r="Q393" s="1399"/>
      <c r="R393" s="1399"/>
      <c r="S393" s="1399"/>
      <c r="T393" s="1399"/>
      <c r="U393" s="1399"/>
      <c r="V393" s="1399"/>
      <c r="W393" s="1399"/>
    </row>
    <row r="394" spans="2:23" s="1280" customFormat="1" x14ac:dyDescent="0.6">
      <c r="B394" s="1461"/>
      <c r="D394" s="1459"/>
      <c r="E394" s="1459"/>
      <c r="F394" s="1459"/>
      <c r="G394" s="1459"/>
      <c r="H394" s="1459"/>
      <c r="I394" s="1459"/>
      <c r="J394" s="1459"/>
      <c r="K394" s="1459"/>
      <c r="L394" s="1459"/>
      <c r="N394" s="1399"/>
      <c r="P394" s="1399"/>
      <c r="Q394" s="1399"/>
      <c r="R394" s="1399"/>
      <c r="S394" s="1399"/>
      <c r="T394" s="1399"/>
      <c r="U394" s="1399"/>
      <c r="V394" s="1399"/>
      <c r="W394" s="1399"/>
    </row>
    <row r="395" spans="2:23" s="1280" customFormat="1" x14ac:dyDescent="0.6">
      <c r="B395" s="1461"/>
      <c r="D395" s="1459"/>
      <c r="E395" s="1459"/>
      <c r="F395" s="1459"/>
      <c r="G395" s="1459"/>
      <c r="H395" s="1459"/>
      <c r="I395" s="1459"/>
      <c r="J395" s="1459"/>
      <c r="K395" s="1459"/>
      <c r="L395" s="1459"/>
      <c r="N395" s="1399"/>
      <c r="P395" s="1399"/>
      <c r="Q395" s="1399"/>
      <c r="R395" s="1399"/>
      <c r="S395" s="1399"/>
      <c r="T395" s="1399"/>
      <c r="U395" s="1399"/>
      <c r="V395" s="1399"/>
      <c r="W395" s="1399"/>
    </row>
    <row r="396" spans="2:23" s="1280" customFormat="1" x14ac:dyDescent="0.6">
      <c r="B396" s="1461"/>
      <c r="D396" s="1459"/>
      <c r="E396" s="1459"/>
      <c r="F396" s="1459"/>
      <c r="G396" s="1459"/>
      <c r="H396" s="1459"/>
      <c r="I396" s="1459"/>
      <c r="J396" s="1459"/>
      <c r="K396" s="1459"/>
      <c r="L396" s="1459"/>
      <c r="N396" s="1399"/>
      <c r="P396" s="1399"/>
      <c r="Q396" s="1399"/>
      <c r="R396" s="1399"/>
      <c r="S396" s="1399"/>
      <c r="T396" s="1399"/>
      <c r="U396" s="1399"/>
      <c r="V396" s="1399"/>
      <c r="W396" s="1399"/>
    </row>
    <row r="397" spans="2:23" s="1280" customFormat="1" x14ac:dyDescent="0.6">
      <c r="B397" s="1461"/>
      <c r="D397" s="1459"/>
      <c r="E397" s="1459"/>
      <c r="F397" s="1459"/>
      <c r="G397" s="1459"/>
      <c r="H397" s="1459"/>
      <c r="I397" s="1459"/>
      <c r="J397" s="1459"/>
      <c r="K397" s="1459"/>
      <c r="L397" s="1459"/>
      <c r="N397" s="1399"/>
      <c r="P397" s="1399"/>
      <c r="Q397" s="1399"/>
      <c r="R397" s="1399"/>
      <c r="S397" s="1399"/>
      <c r="T397" s="1399"/>
      <c r="U397" s="1399"/>
      <c r="V397" s="1399"/>
      <c r="W397" s="1399"/>
    </row>
    <row r="398" spans="2:23" s="1280" customFormat="1" x14ac:dyDescent="0.6">
      <c r="B398" s="1461"/>
      <c r="D398" s="1459"/>
      <c r="E398" s="1459"/>
      <c r="F398" s="1459"/>
      <c r="G398" s="1459"/>
      <c r="H398" s="1459"/>
      <c r="I398" s="1459"/>
      <c r="J398" s="1459"/>
      <c r="K398" s="1459"/>
      <c r="L398" s="1459"/>
      <c r="N398" s="1399"/>
      <c r="P398" s="1399"/>
      <c r="Q398" s="1399"/>
      <c r="R398" s="1399"/>
      <c r="S398" s="1399"/>
      <c r="T398" s="1399"/>
      <c r="U398" s="1399"/>
      <c r="V398" s="1399"/>
      <c r="W398" s="1399"/>
    </row>
    <row r="399" spans="2:23" s="1280" customFormat="1" x14ac:dyDescent="0.6">
      <c r="B399" s="1461"/>
      <c r="D399" s="1459"/>
      <c r="E399" s="1459"/>
      <c r="F399" s="1459"/>
      <c r="G399" s="1459"/>
      <c r="H399" s="1459"/>
      <c r="I399" s="1459"/>
      <c r="J399" s="1459"/>
      <c r="K399" s="1459"/>
      <c r="L399" s="1459"/>
      <c r="N399" s="1399"/>
      <c r="P399" s="1399"/>
      <c r="Q399" s="1399"/>
      <c r="R399" s="1399"/>
      <c r="S399" s="1399"/>
      <c r="T399" s="1399"/>
      <c r="U399" s="1399"/>
      <c r="V399" s="1399"/>
      <c r="W399" s="1399"/>
    </row>
    <row r="400" spans="2:23" s="1280" customFormat="1" x14ac:dyDescent="0.6">
      <c r="B400" s="1461"/>
      <c r="D400" s="1459"/>
      <c r="E400" s="1459"/>
      <c r="F400" s="1459"/>
      <c r="G400" s="1459"/>
      <c r="H400" s="1459"/>
      <c r="I400" s="1459"/>
      <c r="J400" s="1459"/>
      <c r="K400" s="1459"/>
      <c r="L400" s="1459"/>
      <c r="N400" s="1399"/>
      <c r="P400" s="1399"/>
      <c r="Q400" s="1399"/>
      <c r="R400" s="1399"/>
      <c r="S400" s="1399"/>
      <c r="T400" s="1399"/>
      <c r="U400" s="1399"/>
      <c r="V400" s="1399"/>
      <c r="W400" s="1399"/>
    </row>
    <row r="401" spans="2:23" s="1280" customFormat="1" x14ac:dyDescent="0.6">
      <c r="B401" s="1461"/>
      <c r="D401" s="1459"/>
      <c r="E401" s="1459"/>
      <c r="F401" s="1459"/>
      <c r="G401" s="1459"/>
      <c r="H401" s="1459"/>
      <c r="I401" s="1459"/>
      <c r="J401" s="1459"/>
      <c r="K401" s="1459"/>
      <c r="L401" s="1459"/>
      <c r="N401" s="1399"/>
      <c r="P401" s="1399"/>
      <c r="Q401" s="1399"/>
      <c r="R401" s="1399"/>
      <c r="S401" s="1399"/>
      <c r="T401" s="1399"/>
      <c r="U401" s="1399"/>
      <c r="V401" s="1399"/>
      <c r="W401" s="1399"/>
    </row>
    <row r="402" spans="2:23" s="1280" customFormat="1" x14ac:dyDescent="0.6">
      <c r="B402" s="1461"/>
      <c r="D402" s="1459"/>
      <c r="E402" s="1459"/>
      <c r="F402" s="1459"/>
      <c r="G402" s="1459"/>
      <c r="H402" s="1459"/>
      <c r="I402" s="1459"/>
      <c r="J402" s="1459"/>
      <c r="K402" s="1459"/>
      <c r="L402" s="1459"/>
      <c r="N402" s="1399"/>
      <c r="P402" s="1399"/>
      <c r="Q402" s="1399"/>
      <c r="R402" s="1399"/>
      <c r="S402" s="1399"/>
      <c r="T402" s="1399"/>
      <c r="U402" s="1399"/>
      <c r="V402" s="1399"/>
      <c r="W402" s="1399"/>
    </row>
    <row r="403" spans="2:23" s="1280" customFormat="1" x14ac:dyDescent="0.6">
      <c r="B403" s="1461"/>
      <c r="D403" s="1459"/>
      <c r="E403" s="1459"/>
      <c r="F403" s="1459"/>
      <c r="G403" s="1459"/>
      <c r="H403" s="1459"/>
      <c r="I403" s="1459"/>
      <c r="J403" s="1459"/>
      <c r="K403" s="1459"/>
      <c r="L403" s="1459"/>
      <c r="N403" s="1399"/>
      <c r="P403" s="1399"/>
      <c r="Q403" s="1399"/>
      <c r="R403" s="1399"/>
      <c r="S403" s="1399"/>
      <c r="T403" s="1399"/>
      <c r="U403" s="1399"/>
      <c r="V403" s="1399"/>
      <c r="W403" s="1399"/>
    </row>
    <row r="404" spans="2:23" s="1280" customFormat="1" x14ac:dyDescent="0.6">
      <c r="B404" s="1461"/>
      <c r="D404" s="1459"/>
      <c r="E404" s="1459"/>
      <c r="F404" s="1459"/>
      <c r="G404" s="1459"/>
      <c r="H404" s="1459"/>
      <c r="I404" s="1459"/>
      <c r="J404" s="1459"/>
      <c r="K404" s="1459"/>
      <c r="L404" s="1459"/>
      <c r="N404" s="1399"/>
      <c r="P404" s="1399"/>
      <c r="Q404" s="1399"/>
      <c r="R404" s="1399"/>
      <c r="S404" s="1399"/>
      <c r="T404" s="1399"/>
      <c r="U404" s="1399"/>
      <c r="V404" s="1399"/>
      <c r="W404" s="1399"/>
    </row>
    <row r="405" spans="2:23" s="1280" customFormat="1" x14ac:dyDescent="0.6">
      <c r="B405" s="1461"/>
      <c r="D405" s="1459"/>
      <c r="E405" s="1459"/>
      <c r="F405" s="1459"/>
      <c r="G405" s="1459"/>
      <c r="H405" s="1459"/>
      <c r="I405" s="1459"/>
      <c r="J405" s="1459"/>
      <c r="K405" s="1459"/>
      <c r="L405" s="1459"/>
      <c r="N405" s="1399"/>
      <c r="P405" s="1399"/>
      <c r="Q405" s="1399"/>
      <c r="R405" s="1399"/>
      <c r="S405" s="1399"/>
      <c r="T405" s="1399"/>
      <c r="U405" s="1399"/>
      <c r="V405" s="1399"/>
      <c r="W405" s="1399"/>
    </row>
    <row r="406" spans="2:23" s="1280" customFormat="1" x14ac:dyDescent="0.6">
      <c r="B406" s="1461"/>
      <c r="D406" s="1459"/>
      <c r="E406" s="1459"/>
      <c r="F406" s="1459"/>
      <c r="G406" s="1459"/>
      <c r="H406" s="1459"/>
      <c r="I406" s="1459"/>
      <c r="J406" s="1459"/>
      <c r="K406" s="1459"/>
      <c r="L406" s="1459"/>
      <c r="N406" s="1399"/>
      <c r="P406" s="1399"/>
      <c r="Q406" s="1399"/>
      <c r="R406" s="1399"/>
      <c r="S406" s="1399"/>
      <c r="T406" s="1399"/>
      <c r="U406" s="1399"/>
      <c r="V406" s="1399"/>
      <c r="W406" s="1399"/>
    </row>
    <row r="407" spans="2:23" s="1280" customFormat="1" x14ac:dyDescent="0.6">
      <c r="B407" s="1461"/>
      <c r="D407" s="1459"/>
      <c r="E407" s="1459"/>
      <c r="F407" s="1459"/>
      <c r="G407" s="1459"/>
      <c r="H407" s="1459"/>
      <c r="I407" s="1459"/>
      <c r="J407" s="1459"/>
      <c r="K407" s="1459"/>
      <c r="L407" s="1459"/>
      <c r="N407" s="1399"/>
      <c r="P407" s="1399"/>
      <c r="Q407" s="1399"/>
      <c r="R407" s="1399"/>
      <c r="S407" s="1399"/>
      <c r="T407" s="1399"/>
      <c r="U407" s="1399"/>
      <c r="V407" s="1399"/>
      <c r="W407" s="1399"/>
    </row>
    <row r="408" spans="2:23" s="1280" customFormat="1" x14ac:dyDescent="0.6">
      <c r="B408" s="1461"/>
      <c r="D408" s="1459"/>
      <c r="E408" s="1459"/>
      <c r="F408" s="1459"/>
      <c r="G408" s="1459"/>
      <c r="H408" s="1459"/>
      <c r="I408" s="1459"/>
      <c r="J408" s="1459"/>
      <c r="K408" s="1459"/>
      <c r="L408" s="1459"/>
      <c r="N408" s="1399"/>
      <c r="P408" s="1399"/>
      <c r="Q408" s="1399"/>
      <c r="R408" s="1399"/>
      <c r="S408" s="1399"/>
      <c r="T408" s="1399"/>
      <c r="U408" s="1399"/>
      <c r="V408" s="1399"/>
      <c r="W408" s="1399"/>
    </row>
    <row r="409" spans="2:23" s="1280" customFormat="1" x14ac:dyDescent="0.6">
      <c r="B409" s="1461"/>
      <c r="D409" s="1459"/>
      <c r="E409" s="1459"/>
      <c r="F409" s="1459"/>
      <c r="G409" s="1459"/>
      <c r="H409" s="1459"/>
      <c r="I409" s="1459"/>
      <c r="J409" s="1459"/>
      <c r="K409" s="1459"/>
      <c r="L409" s="1459"/>
      <c r="N409" s="1399"/>
      <c r="P409" s="1399"/>
      <c r="Q409" s="1399"/>
      <c r="R409" s="1399"/>
      <c r="S409" s="1399"/>
      <c r="T409" s="1399"/>
      <c r="U409" s="1399"/>
      <c r="V409" s="1399"/>
      <c r="W409" s="1399"/>
    </row>
    <row r="410" spans="2:23" s="1280" customFormat="1" x14ac:dyDescent="0.6">
      <c r="B410" s="1461"/>
      <c r="D410" s="1459"/>
      <c r="E410" s="1459"/>
      <c r="F410" s="1459"/>
      <c r="G410" s="1459"/>
      <c r="H410" s="1459"/>
      <c r="I410" s="1459"/>
      <c r="J410" s="1459"/>
      <c r="K410" s="1459"/>
      <c r="L410" s="1459"/>
      <c r="N410" s="1399"/>
      <c r="P410" s="1399"/>
      <c r="Q410" s="1399"/>
      <c r="R410" s="1399"/>
      <c r="S410" s="1399"/>
      <c r="T410" s="1399"/>
      <c r="U410" s="1399"/>
      <c r="V410" s="1399"/>
      <c r="W410" s="1399"/>
    </row>
    <row r="411" spans="2:23" s="1280" customFormat="1" x14ac:dyDescent="0.6">
      <c r="B411" s="1461"/>
      <c r="D411" s="1459"/>
      <c r="E411" s="1459"/>
      <c r="F411" s="1459"/>
      <c r="G411" s="1459"/>
      <c r="H411" s="1459"/>
      <c r="I411" s="1459"/>
      <c r="J411" s="1459"/>
      <c r="K411" s="1459"/>
      <c r="L411" s="1459"/>
      <c r="N411" s="1399"/>
      <c r="P411" s="1399"/>
      <c r="Q411" s="1399"/>
      <c r="R411" s="1399"/>
      <c r="S411" s="1399"/>
      <c r="T411" s="1399"/>
      <c r="U411" s="1399"/>
      <c r="V411" s="1399"/>
      <c r="W411" s="1399"/>
    </row>
    <row r="412" spans="2:23" s="1280" customFormat="1" x14ac:dyDescent="0.6">
      <c r="B412" s="1461"/>
      <c r="D412" s="1459"/>
      <c r="E412" s="1459"/>
      <c r="F412" s="1459"/>
      <c r="G412" s="1459"/>
      <c r="H412" s="1459"/>
      <c r="I412" s="1459"/>
      <c r="J412" s="1459"/>
      <c r="K412" s="1459"/>
      <c r="L412" s="1459"/>
      <c r="N412" s="1399"/>
      <c r="P412" s="1399"/>
      <c r="Q412" s="1399"/>
      <c r="R412" s="1399"/>
      <c r="S412" s="1399"/>
      <c r="T412" s="1399"/>
      <c r="U412" s="1399"/>
      <c r="V412" s="1399"/>
      <c r="W412" s="1399"/>
    </row>
    <row r="413" spans="2:23" s="1280" customFormat="1" x14ac:dyDescent="0.6">
      <c r="B413" s="1461"/>
      <c r="D413" s="1459"/>
      <c r="E413" s="1459"/>
      <c r="F413" s="1459"/>
      <c r="G413" s="1459"/>
      <c r="H413" s="1459"/>
      <c r="I413" s="1459"/>
      <c r="J413" s="1459"/>
      <c r="K413" s="1459"/>
      <c r="L413" s="1459"/>
      <c r="N413" s="1399"/>
      <c r="P413" s="1399"/>
      <c r="Q413" s="1399"/>
      <c r="R413" s="1399"/>
      <c r="S413" s="1399"/>
      <c r="T413" s="1399"/>
      <c r="U413" s="1399"/>
      <c r="V413" s="1399"/>
      <c r="W413" s="1399"/>
    </row>
    <row r="414" spans="2:23" s="1280" customFormat="1" x14ac:dyDescent="0.6">
      <c r="B414" s="1461"/>
      <c r="D414" s="1459"/>
      <c r="E414" s="1459"/>
      <c r="F414" s="1459"/>
      <c r="G414" s="1459"/>
      <c r="H414" s="1459"/>
      <c r="I414" s="1459"/>
      <c r="J414" s="1459"/>
      <c r="K414" s="1459"/>
      <c r="L414" s="1459"/>
      <c r="N414" s="1399"/>
      <c r="P414" s="1399"/>
      <c r="Q414" s="1399"/>
      <c r="R414" s="1399"/>
      <c r="S414" s="1399"/>
      <c r="T414" s="1399"/>
      <c r="U414" s="1399"/>
      <c r="V414" s="1399"/>
      <c r="W414" s="1399"/>
    </row>
    <row r="415" spans="2:23" s="1280" customFormat="1" x14ac:dyDescent="0.6">
      <c r="B415" s="1461"/>
      <c r="D415" s="1459"/>
      <c r="E415" s="1459"/>
      <c r="F415" s="1459"/>
      <c r="G415" s="1459"/>
      <c r="H415" s="1459"/>
      <c r="I415" s="1459"/>
      <c r="J415" s="1459"/>
      <c r="K415" s="1459"/>
      <c r="L415" s="1459"/>
      <c r="N415" s="1399"/>
      <c r="P415" s="1399"/>
      <c r="Q415" s="1399"/>
      <c r="R415" s="1399"/>
      <c r="S415" s="1399"/>
      <c r="T415" s="1399"/>
      <c r="U415" s="1399"/>
      <c r="V415" s="1399"/>
      <c r="W415" s="1399"/>
    </row>
    <row r="416" spans="2:23" s="1280" customFormat="1" x14ac:dyDescent="0.6">
      <c r="B416" s="1461"/>
      <c r="D416" s="1459"/>
      <c r="E416" s="1459"/>
      <c r="F416" s="1459"/>
      <c r="G416" s="1459"/>
      <c r="H416" s="1459"/>
      <c r="I416" s="1459"/>
      <c r="J416" s="1459"/>
      <c r="K416" s="1459"/>
      <c r="L416" s="1459"/>
      <c r="N416" s="1399"/>
      <c r="P416" s="1399"/>
      <c r="Q416" s="1399"/>
      <c r="R416" s="1399"/>
      <c r="S416" s="1399"/>
      <c r="T416" s="1399"/>
      <c r="U416" s="1399"/>
      <c r="V416" s="1399"/>
      <c r="W416" s="1399"/>
    </row>
    <row r="417" spans="2:23" s="1280" customFormat="1" x14ac:dyDescent="0.6">
      <c r="B417" s="1461"/>
      <c r="D417" s="1459"/>
      <c r="E417" s="1459"/>
      <c r="F417" s="1459"/>
      <c r="G417" s="1459"/>
      <c r="H417" s="1459"/>
      <c r="I417" s="1459"/>
      <c r="J417" s="1459"/>
      <c r="K417" s="1459"/>
      <c r="L417" s="1459"/>
      <c r="N417" s="1399"/>
      <c r="P417" s="1399"/>
      <c r="Q417" s="1399"/>
      <c r="R417" s="1399"/>
      <c r="S417" s="1399"/>
      <c r="T417" s="1399"/>
      <c r="U417" s="1399"/>
      <c r="V417" s="1399"/>
      <c r="W417" s="1399"/>
    </row>
    <row r="418" spans="2:23" s="1280" customFormat="1" x14ac:dyDescent="0.6">
      <c r="B418" s="1461"/>
      <c r="D418" s="1459"/>
      <c r="E418" s="1459"/>
      <c r="F418" s="1459"/>
      <c r="G418" s="1459"/>
      <c r="H418" s="1459"/>
      <c r="I418" s="1459"/>
      <c r="J418" s="1459"/>
      <c r="K418" s="1459"/>
      <c r="L418" s="1459"/>
      <c r="N418" s="1399"/>
      <c r="P418" s="1399"/>
      <c r="Q418" s="1399"/>
      <c r="R418" s="1399"/>
      <c r="S418" s="1399"/>
      <c r="T418" s="1399"/>
      <c r="U418" s="1399"/>
      <c r="V418" s="1399"/>
      <c r="W418" s="1399"/>
    </row>
    <row r="419" spans="2:23" s="1280" customFormat="1" x14ac:dyDescent="0.6">
      <c r="B419" s="1461"/>
      <c r="D419" s="1459"/>
      <c r="E419" s="1459"/>
      <c r="F419" s="1459"/>
      <c r="G419" s="1459"/>
      <c r="H419" s="1459"/>
      <c r="I419" s="1459"/>
      <c r="J419" s="1459"/>
      <c r="K419" s="1459"/>
      <c r="L419" s="1459"/>
      <c r="N419" s="1399"/>
      <c r="P419" s="1399"/>
      <c r="Q419" s="1399"/>
      <c r="R419" s="1399"/>
      <c r="S419" s="1399"/>
      <c r="T419" s="1399"/>
      <c r="U419" s="1399"/>
      <c r="V419" s="1399"/>
      <c r="W419" s="1399"/>
    </row>
    <row r="420" spans="2:23" s="1280" customFormat="1" x14ac:dyDescent="0.6">
      <c r="B420" s="1461"/>
      <c r="D420" s="1459"/>
      <c r="E420" s="1459"/>
      <c r="F420" s="1459"/>
      <c r="G420" s="1459"/>
      <c r="H420" s="1459"/>
      <c r="I420" s="1459"/>
      <c r="J420" s="1459"/>
      <c r="K420" s="1459"/>
      <c r="L420" s="1459"/>
      <c r="N420" s="1399"/>
      <c r="P420" s="1399"/>
      <c r="Q420" s="1399"/>
      <c r="R420" s="1399"/>
      <c r="S420" s="1399"/>
      <c r="T420" s="1399"/>
      <c r="U420" s="1399"/>
      <c r="V420" s="1399"/>
      <c r="W420" s="1399"/>
    </row>
    <row r="421" spans="2:23" s="1280" customFormat="1" x14ac:dyDescent="0.6">
      <c r="B421" s="1461"/>
      <c r="D421" s="1459"/>
      <c r="E421" s="1459"/>
      <c r="F421" s="1459"/>
      <c r="G421" s="1459"/>
      <c r="H421" s="1459"/>
      <c r="I421" s="1459"/>
      <c r="J421" s="1459"/>
      <c r="K421" s="1459"/>
      <c r="L421" s="1459"/>
      <c r="N421" s="1399"/>
      <c r="P421" s="1399"/>
      <c r="Q421" s="1399"/>
      <c r="R421" s="1399"/>
      <c r="S421" s="1399"/>
      <c r="T421" s="1399"/>
      <c r="U421" s="1399"/>
      <c r="V421" s="1399"/>
      <c r="W421" s="1399"/>
    </row>
    <row r="422" spans="2:23" s="1280" customFormat="1" x14ac:dyDescent="0.6">
      <c r="B422" s="1461"/>
      <c r="D422" s="1459"/>
      <c r="E422" s="1459"/>
      <c r="F422" s="1459"/>
      <c r="G422" s="1459"/>
      <c r="H422" s="1459"/>
      <c r="I422" s="1459"/>
      <c r="J422" s="1459"/>
      <c r="K422" s="1459"/>
      <c r="L422" s="1459"/>
      <c r="N422" s="1399"/>
      <c r="P422" s="1399"/>
      <c r="Q422" s="1399"/>
      <c r="R422" s="1399"/>
      <c r="S422" s="1399"/>
      <c r="T422" s="1399"/>
      <c r="U422" s="1399"/>
      <c r="V422" s="1399"/>
      <c r="W422" s="1399"/>
    </row>
    <row r="423" spans="2:23" s="1280" customFormat="1" x14ac:dyDescent="0.6">
      <c r="B423" s="1461"/>
      <c r="D423" s="1459"/>
      <c r="E423" s="1459"/>
      <c r="F423" s="1459"/>
      <c r="G423" s="1459"/>
      <c r="H423" s="1459"/>
      <c r="I423" s="1459"/>
      <c r="J423" s="1459"/>
      <c r="K423" s="1459"/>
      <c r="L423" s="1459"/>
      <c r="N423" s="1399"/>
      <c r="P423" s="1399"/>
      <c r="Q423" s="1399"/>
      <c r="R423" s="1399"/>
      <c r="S423" s="1399"/>
      <c r="T423" s="1399"/>
      <c r="U423" s="1399"/>
      <c r="V423" s="1399"/>
      <c r="W423" s="1399"/>
    </row>
    <row r="424" spans="2:23" s="1280" customFormat="1" x14ac:dyDescent="0.6">
      <c r="B424" s="1461"/>
      <c r="D424" s="1459"/>
      <c r="E424" s="1459"/>
      <c r="F424" s="1459"/>
      <c r="G424" s="1459"/>
      <c r="H424" s="1459"/>
      <c r="I424" s="1459"/>
      <c r="J424" s="1459"/>
      <c r="K424" s="1459"/>
      <c r="L424" s="1459"/>
      <c r="N424" s="1399"/>
      <c r="P424" s="1399"/>
      <c r="Q424" s="1399"/>
      <c r="R424" s="1399"/>
      <c r="S424" s="1399"/>
      <c r="T424" s="1399"/>
      <c r="U424" s="1399"/>
      <c r="V424" s="1399"/>
      <c r="W424" s="1399"/>
    </row>
    <row r="425" spans="2:23" s="1280" customFormat="1" x14ac:dyDescent="0.6">
      <c r="B425" s="1461"/>
      <c r="D425" s="1459"/>
      <c r="E425" s="1459"/>
      <c r="F425" s="1459"/>
      <c r="G425" s="1459"/>
      <c r="H425" s="1459"/>
      <c r="I425" s="1459"/>
      <c r="J425" s="1459"/>
      <c r="K425" s="1459"/>
      <c r="L425" s="1459"/>
      <c r="N425" s="1399"/>
      <c r="P425" s="1399"/>
      <c r="Q425" s="1399"/>
      <c r="R425" s="1399"/>
      <c r="S425" s="1399"/>
      <c r="T425" s="1399"/>
      <c r="U425" s="1399"/>
      <c r="V425" s="1399"/>
      <c r="W425" s="1399"/>
    </row>
    <row r="426" spans="2:23" s="1280" customFormat="1" x14ac:dyDescent="0.6">
      <c r="B426" s="1461"/>
      <c r="D426" s="1459"/>
      <c r="E426" s="1459"/>
      <c r="F426" s="1459"/>
      <c r="G426" s="1459"/>
      <c r="H426" s="1459"/>
      <c r="I426" s="1459"/>
      <c r="J426" s="1459"/>
      <c r="K426" s="1459"/>
      <c r="L426" s="1459"/>
      <c r="N426" s="1399"/>
      <c r="P426" s="1399"/>
      <c r="Q426" s="1399"/>
      <c r="R426" s="1399"/>
      <c r="S426" s="1399"/>
      <c r="T426" s="1399"/>
      <c r="U426" s="1399"/>
      <c r="V426" s="1399"/>
      <c r="W426" s="1399"/>
    </row>
    <row r="427" spans="2:23" s="1280" customFormat="1" x14ac:dyDescent="0.6">
      <c r="B427" s="1461"/>
      <c r="D427" s="1459"/>
      <c r="E427" s="1459"/>
      <c r="F427" s="1459"/>
      <c r="G427" s="1459"/>
      <c r="H427" s="1459"/>
      <c r="I427" s="1459"/>
      <c r="J427" s="1459"/>
      <c r="K427" s="1459"/>
      <c r="L427" s="1459"/>
      <c r="N427" s="1399"/>
      <c r="P427" s="1399"/>
      <c r="Q427" s="1399"/>
      <c r="R427" s="1399"/>
      <c r="S427" s="1399"/>
      <c r="T427" s="1399"/>
      <c r="U427" s="1399"/>
      <c r="V427" s="1399"/>
      <c r="W427" s="1399"/>
    </row>
    <row r="428" spans="2:23" s="1280" customFormat="1" x14ac:dyDescent="0.6">
      <c r="B428" s="1461"/>
      <c r="D428" s="1459"/>
      <c r="E428" s="1459"/>
      <c r="F428" s="1459"/>
      <c r="G428" s="1459"/>
      <c r="H428" s="1459"/>
      <c r="I428" s="1459"/>
      <c r="J428" s="1459"/>
      <c r="K428" s="1459"/>
      <c r="L428" s="1459"/>
      <c r="N428" s="1399"/>
      <c r="P428" s="1399"/>
      <c r="Q428" s="1399"/>
      <c r="R428" s="1399"/>
      <c r="S428" s="1399"/>
      <c r="T428" s="1399"/>
      <c r="U428" s="1399"/>
      <c r="V428" s="1399"/>
      <c r="W428" s="1399"/>
    </row>
    <row r="429" spans="2:23" s="1280" customFormat="1" x14ac:dyDescent="0.6">
      <c r="B429" s="1461"/>
      <c r="D429" s="1459"/>
      <c r="E429" s="1459"/>
      <c r="F429" s="1459"/>
      <c r="G429" s="1459"/>
      <c r="H429" s="1459"/>
      <c r="I429" s="1459"/>
      <c r="J429" s="1459"/>
      <c r="K429" s="1459"/>
      <c r="L429" s="1459"/>
      <c r="N429" s="1399"/>
      <c r="P429" s="1399"/>
      <c r="Q429" s="1399"/>
      <c r="R429" s="1399"/>
      <c r="S429" s="1399"/>
      <c r="T429" s="1399"/>
      <c r="U429" s="1399"/>
      <c r="V429" s="1399"/>
      <c r="W429" s="1399"/>
    </row>
    <row r="430" spans="2:23" s="1280" customFormat="1" x14ac:dyDescent="0.6">
      <c r="B430" s="1461"/>
      <c r="D430" s="1459"/>
      <c r="E430" s="1459"/>
      <c r="F430" s="1459"/>
      <c r="G430" s="1459"/>
      <c r="H430" s="1459"/>
      <c r="I430" s="1459"/>
      <c r="J430" s="1459"/>
      <c r="K430" s="1459"/>
      <c r="L430" s="1459"/>
      <c r="N430" s="1399"/>
      <c r="P430" s="1399"/>
      <c r="Q430" s="1399"/>
      <c r="R430" s="1399"/>
      <c r="S430" s="1399"/>
      <c r="T430" s="1399"/>
      <c r="U430" s="1399"/>
      <c r="V430" s="1399"/>
      <c r="W430" s="1399"/>
    </row>
    <row r="431" spans="2:23" s="1280" customFormat="1" x14ac:dyDescent="0.6">
      <c r="B431" s="1461"/>
      <c r="D431" s="1459"/>
      <c r="E431" s="1459"/>
      <c r="F431" s="1459"/>
      <c r="G431" s="1459"/>
      <c r="H431" s="1459"/>
      <c r="I431" s="1459"/>
      <c r="J431" s="1459"/>
      <c r="K431" s="1459"/>
      <c r="L431" s="1459"/>
      <c r="N431" s="1399"/>
      <c r="P431" s="1399"/>
      <c r="Q431" s="1399"/>
      <c r="R431" s="1399"/>
      <c r="S431" s="1399"/>
      <c r="T431" s="1399"/>
      <c r="U431" s="1399"/>
      <c r="V431" s="1399"/>
      <c r="W431" s="1399"/>
    </row>
    <row r="432" spans="2:23" s="1280" customFormat="1" x14ac:dyDescent="0.6">
      <c r="B432" s="1461"/>
      <c r="D432" s="1459"/>
      <c r="E432" s="1459"/>
      <c r="F432" s="1459"/>
      <c r="G432" s="1459"/>
      <c r="H432" s="1459"/>
      <c r="I432" s="1459"/>
      <c r="J432" s="1459"/>
      <c r="K432" s="1459"/>
      <c r="L432" s="1459"/>
      <c r="N432" s="1399"/>
      <c r="P432" s="1399"/>
      <c r="Q432" s="1399"/>
      <c r="R432" s="1399"/>
      <c r="S432" s="1399"/>
      <c r="T432" s="1399"/>
      <c r="U432" s="1399"/>
      <c r="V432" s="1399"/>
      <c r="W432" s="1399"/>
    </row>
    <row r="433" spans="2:23" s="1280" customFormat="1" x14ac:dyDescent="0.6">
      <c r="B433" s="1461"/>
      <c r="D433" s="1459"/>
      <c r="E433" s="1459"/>
      <c r="F433" s="1459"/>
      <c r="G433" s="1459"/>
      <c r="H433" s="1459"/>
      <c r="I433" s="1459"/>
      <c r="J433" s="1459"/>
      <c r="K433" s="1459"/>
      <c r="L433" s="1459"/>
      <c r="N433" s="1399"/>
      <c r="P433" s="1399"/>
      <c r="Q433" s="1399"/>
      <c r="R433" s="1399"/>
      <c r="S433" s="1399"/>
      <c r="T433" s="1399"/>
      <c r="U433" s="1399"/>
      <c r="V433" s="1399"/>
      <c r="W433" s="1399"/>
    </row>
    <row r="434" spans="2:23" s="1280" customFormat="1" x14ac:dyDescent="0.6">
      <c r="B434" s="1461"/>
      <c r="D434" s="1459"/>
      <c r="E434" s="1459"/>
      <c r="F434" s="1459"/>
      <c r="G434" s="1459"/>
      <c r="H434" s="1459"/>
      <c r="I434" s="1459"/>
      <c r="J434" s="1459"/>
      <c r="K434" s="1459"/>
      <c r="L434" s="1459"/>
      <c r="N434" s="1399"/>
      <c r="P434" s="1399"/>
      <c r="Q434" s="1399"/>
      <c r="R434" s="1399"/>
      <c r="S434" s="1399"/>
      <c r="T434" s="1399"/>
      <c r="U434" s="1399"/>
      <c r="V434" s="1399"/>
      <c r="W434" s="1399"/>
    </row>
    <row r="435" spans="2:23" s="1280" customFormat="1" x14ac:dyDescent="0.6">
      <c r="B435" s="1461"/>
      <c r="D435" s="1459"/>
      <c r="E435" s="1459"/>
      <c r="F435" s="1459"/>
      <c r="G435" s="1459"/>
      <c r="H435" s="1459"/>
      <c r="I435" s="1459"/>
      <c r="J435" s="1459"/>
      <c r="K435" s="1459"/>
      <c r="L435" s="1459"/>
      <c r="N435" s="1399"/>
      <c r="P435" s="1399"/>
      <c r="Q435" s="1399"/>
      <c r="R435" s="1399"/>
      <c r="S435" s="1399"/>
      <c r="T435" s="1399"/>
      <c r="U435" s="1399"/>
      <c r="V435" s="1399"/>
      <c r="W435" s="1399"/>
    </row>
    <row r="436" spans="2:23" s="1280" customFormat="1" x14ac:dyDescent="0.6">
      <c r="B436" s="1461"/>
      <c r="D436" s="1459"/>
      <c r="E436" s="1459"/>
      <c r="F436" s="1459"/>
      <c r="G436" s="1459"/>
      <c r="H436" s="1459"/>
      <c r="I436" s="1459"/>
      <c r="J436" s="1459"/>
      <c r="K436" s="1459"/>
      <c r="L436" s="1459"/>
      <c r="N436" s="1399"/>
      <c r="P436" s="1399"/>
      <c r="Q436" s="1399"/>
      <c r="R436" s="1399"/>
      <c r="S436" s="1399"/>
      <c r="T436" s="1399"/>
      <c r="U436" s="1399"/>
      <c r="V436" s="1399"/>
      <c r="W436" s="1399"/>
    </row>
    <row r="437" spans="2:23" s="1280" customFormat="1" x14ac:dyDescent="0.6">
      <c r="B437" s="1461"/>
      <c r="D437" s="1459"/>
      <c r="E437" s="1459"/>
      <c r="F437" s="1459"/>
      <c r="G437" s="1459"/>
      <c r="H437" s="1459"/>
      <c r="I437" s="1459"/>
      <c r="J437" s="1459"/>
      <c r="K437" s="1459"/>
      <c r="L437" s="1459"/>
      <c r="N437" s="1399"/>
      <c r="P437" s="1399"/>
      <c r="Q437" s="1399"/>
      <c r="R437" s="1399"/>
      <c r="S437" s="1399"/>
      <c r="T437" s="1399"/>
      <c r="U437" s="1399"/>
      <c r="V437" s="1399"/>
      <c r="W437" s="1399"/>
    </row>
    <row r="438" spans="2:23" s="1280" customFormat="1" x14ac:dyDescent="0.6">
      <c r="B438" s="1461"/>
      <c r="D438" s="1459"/>
      <c r="E438" s="1459"/>
      <c r="F438" s="1459"/>
      <c r="G438" s="1459"/>
      <c r="H438" s="1459"/>
      <c r="I438" s="1459"/>
      <c r="J438" s="1459"/>
      <c r="K438" s="1459"/>
      <c r="L438" s="1459"/>
      <c r="N438" s="1399"/>
      <c r="P438" s="1399"/>
      <c r="Q438" s="1399"/>
      <c r="R438" s="1399"/>
      <c r="S438" s="1399"/>
      <c r="T438" s="1399"/>
      <c r="U438" s="1399"/>
      <c r="V438" s="1399"/>
      <c r="W438" s="1399"/>
    </row>
    <row r="439" spans="2:23" s="1280" customFormat="1" x14ac:dyDescent="0.6">
      <c r="B439" s="1461"/>
      <c r="D439" s="1459"/>
      <c r="E439" s="1459"/>
      <c r="F439" s="1459"/>
      <c r="G439" s="1459"/>
      <c r="H439" s="1459"/>
      <c r="I439" s="1459"/>
      <c r="J439" s="1459"/>
      <c r="K439" s="1459"/>
      <c r="L439" s="1459"/>
      <c r="N439" s="1399"/>
      <c r="P439" s="1399"/>
      <c r="Q439" s="1399"/>
      <c r="R439" s="1399"/>
      <c r="S439" s="1399"/>
      <c r="T439" s="1399"/>
      <c r="U439" s="1399"/>
      <c r="V439" s="1399"/>
      <c r="W439" s="1399"/>
    </row>
    <row r="440" spans="2:23" s="1280" customFormat="1" x14ac:dyDescent="0.6">
      <c r="B440" s="1461"/>
      <c r="D440" s="1459"/>
      <c r="E440" s="1459"/>
      <c r="F440" s="1459"/>
      <c r="G440" s="1459"/>
      <c r="H440" s="1459"/>
      <c r="I440" s="1459"/>
      <c r="J440" s="1459"/>
      <c r="K440" s="1459"/>
      <c r="L440" s="1459"/>
      <c r="N440" s="1399"/>
      <c r="P440" s="1399"/>
      <c r="Q440" s="1399"/>
      <c r="R440" s="1399"/>
      <c r="S440" s="1399"/>
      <c r="T440" s="1399"/>
      <c r="U440" s="1399"/>
      <c r="V440" s="1399"/>
      <c r="W440" s="1399"/>
    </row>
    <row r="441" spans="2:23" s="1280" customFormat="1" x14ac:dyDescent="0.6">
      <c r="B441" s="1461"/>
      <c r="D441" s="1459"/>
      <c r="E441" s="1459"/>
      <c r="F441" s="1459"/>
      <c r="G441" s="1459"/>
      <c r="H441" s="1459"/>
      <c r="I441" s="1459"/>
      <c r="J441" s="1459"/>
      <c r="K441" s="1459"/>
      <c r="L441" s="1459"/>
      <c r="N441" s="1399"/>
      <c r="P441" s="1399"/>
      <c r="Q441" s="1399"/>
      <c r="R441" s="1399"/>
      <c r="S441" s="1399"/>
      <c r="T441" s="1399"/>
      <c r="U441" s="1399"/>
      <c r="V441" s="1399"/>
      <c r="W441" s="1399"/>
    </row>
    <row r="442" spans="2:23" s="1280" customFormat="1" x14ac:dyDescent="0.6">
      <c r="B442" s="1461"/>
      <c r="D442" s="1459"/>
      <c r="E442" s="1459"/>
      <c r="F442" s="1459"/>
      <c r="G442" s="1459"/>
      <c r="H442" s="1459"/>
      <c r="I442" s="1459"/>
      <c r="J442" s="1459"/>
      <c r="K442" s="1459"/>
      <c r="L442" s="1459"/>
      <c r="N442" s="1399"/>
      <c r="P442" s="1399"/>
      <c r="Q442" s="1399"/>
      <c r="R442" s="1399"/>
      <c r="S442" s="1399"/>
      <c r="T442" s="1399"/>
      <c r="U442" s="1399"/>
      <c r="V442" s="1399"/>
      <c r="W442" s="1399"/>
    </row>
    <row r="443" spans="2:23" s="1280" customFormat="1" x14ac:dyDescent="0.6">
      <c r="B443" s="1461"/>
      <c r="D443" s="1459"/>
      <c r="E443" s="1459"/>
      <c r="F443" s="1459"/>
      <c r="G443" s="1459"/>
      <c r="H443" s="1459"/>
      <c r="I443" s="1459"/>
      <c r="J443" s="1459"/>
      <c r="K443" s="1459"/>
      <c r="L443" s="1459"/>
      <c r="N443" s="1399"/>
      <c r="P443" s="1399"/>
      <c r="Q443" s="1399"/>
      <c r="R443" s="1399"/>
      <c r="S443" s="1399"/>
      <c r="T443" s="1399"/>
      <c r="U443" s="1399"/>
      <c r="V443" s="1399"/>
      <c r="W443" s="1399"/>
    </row>
    <row r="444" spans="2:23" s="1280" customFormat="1" x14ac:dyDescent="0.6">
      <c r="B444" s="1461"/>
      <c r="D444" s="1459"/>
      <c r="E444" s="1459"/>
      <c r="F444" s="1459"/>
      <c r="G444" s="1459"/>
      <c r="H444" s="1459"/>
      <c r="I444" s="1459"/>
      <c r="J444" s="1459"/>
      <c r="K444" s="1459"/>
      <c r="L444" s="1459"/>
      <c r="N444" s="1399"/>
      <c r="P444" s="1399"/>
      <c r="Q444" s="1399"/>
      <c r="R444" s="1399"/>
      <c r="S444" s="1399"/>
      <c r="T444" s="1399"/>
      <c r="U444" s="1399"/>
      <c r="V444" s="1399"/>
      <c r="W444" s="1399"/>
    </row>
    <row r="445" spans="2:23" s="1280" customFormat="1" x14ac:dyDescent="0.6">
      <c r="B445" s="1461"/>
      <c r="D445" s="1459"/>
      <c r="E445" s="1459"/>
      <c r="F445" s="1459"/>
      <c r="G445" s="1459"/>
      <c r="H445" s="1459"/>
      <c r="I445" s="1459"/>
      <c r="J445" s="1459"/>
      <c r="K445" s="1459"/>
      <c r="L445" s="1459"/>
      <c r="N445" s="1399"/>
      <c r="P445" s="1399"/>
      <c r="Q445" s="1399"/>
      <c r="R445" s="1399"/>
      <c r="S445" s="1399"/>
      <c r="T445" s="1399"/>
      <c r="U445" s="1399"/>
      <c r="V445" s="1399"/>
      <c r="W445" s="1399"/>
    </row>
    <row r="446" spans="2:23" s="1280" customFormat="1" x14ac:dyDescent="0.6">
      <c r="B446" s="1461"/>
      <c r="D446" s="1459"/>
      <c r="E446" s="1459"/>
      <c r="F446" s="1459"/>
      <c r="G446" s="1459"/>
      <c r="H446" s="1459"/>
      <c r="I446" s="1459"/>
      <c r="J446" s="1459"/>
      <c r="K446" s="1459"/>
      <c r="L446" s="1459"/>
      <c r="N446" s="1399"/>
      <c r="P446" s="1399"/>
      <c r="Q446" s="1399"/>
      <c r="R446" s="1399"/>
      <c r="S446" s="1399"/>
      <c r="T446" s="1399"/>
      <c r="U446" s="1399"/>
      <c r="V446" s="1399"/>
      <c r="W446" s="1399"/>
    </row>
    <row r="447" spans="2:23" s="1280" customFormat="1" x14ac:dyDescent="0.6">
      <c r="B447" s="1461"/>
      <c r="D447" s="1459"/>
      <c r="E447" s="1459"/>
      <c r="F447" s="1459"/>
      <c r="G447" s="1459"/>
      <c r="H447" s="1459"/>
      <c r="I447" s="1459"/>
      <c r="J447" s="1459"/>
      <c r="K447" s="1459"/>
      <c r="L447" s="1459"/>
      <c r="N447" s="1399"/>
      <c r="P447" s="1399"/>
      <c r="Q447" s="1399"/>
      <c r="R447" s="1399"/>
      <c r="S447" s="1399"/>
      <c r="T447" s="1399"/>
      <c r="U447" s="1399"/>
      <c r="V447" s="1399"/>
      <c r="W447" s="1399"/>
    </row>
    <row r="448" spans="2:23" s="1280" customFormat="1" x14ac:dyDescent="0.6">
      <c r="B448" s="1461"/>
      <c r="D448" s="1459"/>
      <c r="E448" s="1459"/>
      <c r="F448" s="1459"/>
      <c r="G448" s="1459"/>
      <c r="H448" s="1459"/>
      <c r="I448" s="1459"/>
      <c r="J448" s="1459"/>
      <c r="K448" s="1459"/>
      <c r="L448" s="1459"/>
      <c r="N448" s="1399"/>
      <c r="P448" s="1399"/>
      <c r="Q448" s="1399"/>
      <c r="R448" s="1399"/>
      <c r="S448" s="1399"/>
      <c r="T448" s="1399"/>
      <c r="U448" s="1399"/>
      <c r="V448" s="1399"/>
      <c r="W448" s="1399"/>
    </row>
    <row r="449" spans="2:23" s="1280" customFormat="1" x14ac:dyDescent="0.6">
      <c r="B449" s="1461"/>
      <c r="D449" s="1459"/>
      <c r="E449" s="1459"/>
      <c r="F449" s="1459"/>
      <c r="G449" s="1459"/>
      <c r="H449" s="1459"/>
      <c r="I449" s="1459"/>
      <c r="J449" s="1459"/>
      <c r="K449" s="1459"/>
      <c r="L449" s="1459"/>
      <c r="N449" s="1399"/>
      <c r="P449" s="1399"/>
      <c r="Q449" s="1399"/>
      <c r="R449" s="1399"/>
      <c r="S449" s="1399"/>
      <c r="T449" s="1399"/>
      <c r="U449" s="1399"/>
      <c r="V449" s="1399"/>
      <c r="W449" s="1399"/>
    </row>
    <row r="450" spans="2:23" s="1280" customFormat="1" x14ac:dyDescent="0.6">
      <c r="B450" s="1461"/>
      <c r="D450" s="1459"/>
      <c r="E450" s="1459"/>
      <c r="F450" s="1459"/>
      <c r="G450" s="1459"/>
      <c r="H450" s="1459"/>
      <c r="I450" s="1459"/>
      <c r="J450" s="1459"/>
      <c r="K450" s="1459"/>
      <c r="L450" s="1459"/>
      <c r="N450" s="1399"/>
      <c r="P450" s="1399"/>
      <c r="Q450" s="1399"/>
      <c r="R450" s="1399"/>
      <c r="S450" s="1399"/>
      <c r="T450" s="1399"/>
      <c r="U450" s="1399"/>
      <c r="V450" s="1399"/>
      <c r="W450" s="1399"/>
    </row>
    <row r="451" spans="2:23" s="1280" customFormat="1" x14ac:dyDescent="0.6">
      <c r="B451" s="1461"/>
      <c r="D451" s="1459"/>
      <c r="E451" s="1459"/>
      <c r="F451" s="1459"/>
      <c r="G451" s="1459"/>
      <c r="H451" s="1459"/>
      <c r="I451" s="1459"/>
      <c r="J451" s="1459"/>
      <c r="K451" s="1459"/>
      <c r="L451" s="1459"/>
      <c r="N451" s="1399"/>
      <c r="P451" s="1399"/>
      <c r="Q451" s="1399"/>
      <c r="R451" s="1399"/>
      <c r="S451" s="1399"/>
      <c r="T451" s="1399"/>
      <c r="U451" s="1399"/>
      <c r="V451" s="1399"/>
      <c r="W451" s="1399"/>
    </row>
    <row r="452" spans="2:23" s="1280" customFormat="1" x14ac:dyDescent="0.6">
      <c r="B452" s="1461"/>
      <c r="D452" s="1459"/>
      <c r="E452" s="1459"/>
      <c r="F452" s="1459"/>
      <c r="G452" s="1459"/>
      <c r="H452" s="1459"/>
      <c r="I452" s="1459"/>
      <c r="J452" s="1459"/>
      <c r="K452" s="1459"/>
      <c r="L452" s="1459"/>
      <c r="N452" s="1399"/>
      <c r="P452" s="1399"/>
      <c r="Q452" s="1399"/>
      <c r="R452" s="1399"/>
      <c r="S452" s="1399"/>
      <c r="T452" s="1399"/>
      <c r="U452" s="1399"/>
      <c r="V452" s="1399"/>
      <c r="W452" s="1399"/>
    </row>
    <row r="453" spans="2:23" s="1280" customFormat="1" x14ac:dyDescent="0.6">
      <c r="B453" s="1461"/>
      <c r="D453" s="1459"/>
      <c r="E453" s="1459"/>
      <c r="F453" s="1459"/>
      <c r="G453" s="1459"/>
      <c r="H453" s="1459"/>
      <c r="I453" s="1459"/>
      <c r="J453" s="1459"/>
      <c r="K453" s="1459"/>
      <c r="L453" s="1459"/>
      <c r="N453" s="1399"/>
      <c r="P453" s="1399"/>
      <c r="Q453" s="1399"/>
      <c r="R453" s="1399"/>
      <c r="S453" s="1399"/>
      <c r="T453" s="1399"/>
      <c r="U453" s="1399"/>
      <c r="V453" s="1399"/>
      <c r="W453" s="1399"/>
    </row>
    <row r="454" spans="2:23" s="1280" customFormat="1" x14ac:dyDescent="0.6">
      <c r="B454" s="1461"/>
      <c r="D454" s="1459"/>
      <c r="E454" s="1459"/>
      <c r="F454" s="1459"/>
      <c r="G454" s="1459"/>
      <c r="H454" s="1459"/>
      <c r="I454" s="1459"/>
      <c r="J454" s="1459"/>
      <c r="K454" s="1459"/>
      <c r="L454" s="1459"/>
      <c r="N454" s="1399"/>
      <c r="P454" s="1399"/>
      <c r="Q454" s="1399"/>
      <c r="R454" s="1399"/>
      <c r="S454" s="1399"/>
      <c r="T454" s="1399"/>
      <c r="U454" s="1399"/>
      <c r="V454" s="1399"/>
      <c r="W454" s="1399"/>
    </row>
    <row r="455" spans="2:23" s="1280" customFormat="1" x14ac:dyDescent="0.6">
      <c r="B455" s="1461"/>
      <c r="D455" s="1459"/>
      <c r="E455" s="1459"/>
      <c r="F455" s="1459"/>
      <c r="G455" s="1459"/>
      <c r="H455" s="1459"/>
      <c r="I455" s="1459"/>
      <c r="J455" s="1459"/>
      <c r="K455" s="1459"/>
      <c r="L455" s="1459"/>
      <c r="N455" s="1399"/>
      <c r="P455" s="1399"/>
      <c r="Q455" s="1399"/>
      <c r="R455" s="1399"/>
      <c r="S455" s="1399"/>
      <c r="T455" s="1399"/>
      <c r="U455" s="1399"/>
      <c r="V455" s="1399"/>
      <c r="W455" s="1399"/>
    </row>
    <row r="456" spans="2:23" s="1280" customFormat="1" x14ac:dyDescent="0.6">
      <c r="B456" s="1461"/>
      <c r="D456" s="1459"/>
      <c r="E456" s="1459"/>
      <c r="F456" s="1459"/>
      <c r="G456" s="1459"/>
      <c r="H456" s="1459"/>
      <c r="I456" s="1459"/>
      <c r="J456" s="1459"/>
      <c r="K456" s="1459"/>
      <c r="L456" s="1459"/>
      <c r="N456" s="1399"/>
      <c r="P456" s="1399"/>
      <c r="Q456" s="1399"/>
      <c r="R456" s="1399"/>
      <c r="S456" s="1399"/>
      <c r="T456" s="1399"/>
      <c r="U456" s="1399"/>
      <c r="V456" s="1399"/>
      <c r="W456" s="1399"/>
    </row>
    <row r="457" spans="2:23" s="1280" customFormat="1" x14ac:dyDescent="0.6">
      <c r="B457" s="1461"/>
      <c r="D457" s="1459"/>
      <c r="E457" s="1459"/>
      <c r="F457" s="1459"/>
      <c r="G457" s="1459"/>
      <c r="H457" s="1459"/>
      <c r="I457" s="1459"/>
      <c r="J457" s="1459"/>
      <c r="K457" s="1459"/>
      <c r="L457" s="1459"/>
      <c r="N457" s="1399"/>
      <c r="P457" s="1399"/>
      <c r="Q457" s="1399"/>
      <c r="R457" s="1399"/>
      <c r="S457" s="1399"/>
      <c r="T457" s="1399"/>
      <c r="U457" s="1399"/>
      <c r="V457" s="1399"/>
      <c r="W457" s="1399"/>
    </row>
    <row r="458" spans="2:23" s="1280" customFormat="1" x14ac:dyDescent="0.6">
      <c r="B458" s="1461"/>
      <c r="D458" s="1459"/>
      <c r="E458" s="1459"/>
      <c r="F458" s="1459"/>
      <c r="G458" s="1459"/>
      <c r="H458" s="1459"/>
      <c r="I458" s="1459"/>
      <c r="J458" s="1459"/>
      <c r="K458" s="1459"/>
      <c r="L458" s="1459"/>
      <c r="N458" s="1399"/>
      <c r="P458" s="1399"/>
      <c r="Q458" s="1399"/>
      <c r="R458" s="1399"/>
      <c r="S458" s="1399"/>
      <c r="T458" s="1399"/>
      <c r="U458" s="1399"/>
      <c r="V458" s="1399"/>
      <c r="W458" s="1399"/>
    </row>
    <row r="459" spans="2:23" s="1280" customFormat="1" x14ac:dyDescent="0.6">
      <c r="B459" s="1461"/>
      <c r="D459" s="1459"/>
      <c r="E459" s="1459"/>
      <c r="F459" s="1459"/>
      <c r="G459" s="1459"/>
      <c r="H459" s="1459"/>
      <c r="I459" s="1459"/>
      <c r="J459" s="1459"/>
      <c r="K459" s="1459"/>
      <c r="L459" s="1459"/>
      <c r="N459" s="1399"/>
      <c r="P459" s="1399"/>
      <c r="Q459" s="1399"/>
      <c r="R459" s="1399"/>
      <c r="S459" s="1399"/>
      <c r="T459" s="1399"/>
      <c r="U459" s="1399"/>
      <c r="V459" s="1399"/>
      <c r="W459" s="1399"/>
    </row>
    <row r="460" spans="2:23" s="1280" customFormat="1" x14ac:dyDescent="0.6">
      <c r="B460" s="1461"/>
      <c r="D460" s="1459"/>
      <c r="E460" s="1459"/>
      <c r="F460" s="1459"/>
      <c r="G460" s="1459"/>
      <c r="H460" s="1459"/>
      <c r="I460" s="1459"/>
      <c r="J460" s="1459"/>
      <c r="K460" s="1459"/>
      <c r="L460" s="1459"/>
      <c r="N460" s="1399"/>
      <c r="P460" s="1399"/>
      <c r="Q460" s="1399"/>
      <c r="R460" s="1399"/>
      <c r="S460" s="1399"/>
      <c r="T460" s="1399"/>
      <c r="U460" s="1399"/>
      <c r="V460" s="1399"/>
      <c r="W460" s="1399"/>
    </row>
    <row r="461" spans="2:23" s="1280" customFormat="1" x14ac:dyDescent="0.6">
      <c r="B461" s="1461"/>
      <c r="D461" s="1459"/>
      <c r="E461" s="1459"/>
      <c r="F461" s="1459"/>
      <c r="G461" s="1459"/>
      <c r="H461" s="1459"/>
      <c r="I461" s="1459"/>
      <c r="J461" s="1459"/>
      <c r="K461" s="1459"/>
      <c r="L461" s="1459"/>
      <c r="N461" s="1399"/>
      <c r="P461" s="1399"/>
      <c r="Q461" s="1399"/>
      <c r="R461" s="1399"/>
      <c r="S461" s="1399"/>
      <c r="T461" s="1399"/>
      <c r="U461" s="1399"/>
      <c r="V461" s="1399"/>
      <c r="W461" s="1399"/>
    </row>
    <row r="462" spans="2:23" s="1280" customFormat="1" x14ac:dyDescent="0.6">
      <c r="B462" s="1461"/>
      <c r="D462" s="1459"/>
      <c r="E462" s="1459"/>
      <c r="F462" s="1459"/>
      <c r="G462" s="1459"/>
      <c r="H462" s="1459"/>
      <c r="I462" s="1459"/>
      <c r="J462" s="1459"/>
      <c r="K462" s="1459"/>
      <c r="L462" s="1459"/>
      <c r="N462" s="1399"/>
      <c r="P462" s="1399"/>
      <c r="Q462" s="1399"/>
      <c r="R462" s="1399"/>
      <c r="S462" s="1399"/>
      <c r="T462" s="1399"/>
      <c r="U462" s="1399"/>
      <c r="V462" s="1399"/>
      <c r="W462" s="1399"/>
    </row>
    <row r="463" spans="2:23" s="1280" customFormat="1" x14ac:dyDescent="0.6">
      <c r="B463" s="1461"/>
      <c r="D463" s="1459"/>
      <c r="E463" s="1459"/>
      <c r="F463" s="1459"/>
      <c r="G463" s="1459"/>
      <c r="H463" s="1459"/>
      <c r="I463" s="1459"/>
      <c r="J463" s="1459"/>
      <c r="K463" s="1459"/>
      <c r="L463" s="1459"/>
      <c r="N463" s="1399"/>
      <c r="P463" s="1399"/>
      <c r="Q463" s="1399"/>
      <c r="R463" s="1399"/>
      <c r="S463" s="1399"/>
      <c r="T463" s="1399"/>
      <c r="U463" s="1399"/>
      <c r="V463" s="1399"/>
      <c r="W463" s="1399"/>
    </row>
    <row r="464" spans="2:23" s="1280" customFormat="1" x14ac:dyDescent="0.6">
      <c r="B464" s="1461"/>
      <c r="D464" s="1459"/>
      <c r="E464" s="1459"/>
      <c r="F464" s="1459"/>
      <c r="G464" s="1459"/>
      <c r="H464" s="1459"/>
      <c r="I464" s="1459"/>
      <c r="J464" s="1459"/>
      <c r="K464" s="1459"/>
      <c r="L464" s="1459"/>
      <c r="N464" s="1399"/>
      <c r="P464" s="1399"/>
      <c r="Q464" s="1399"/>
      <c r="R464" s="1399"/>
      <c r="S464" s="1399"/>
      <c r="T464" s="1399"/>
      <c r="U464" s="1399"/>
      <c r="V464" s="1399"/>
      <c r="W464" s="1399"/>
    </row>
    <row r="465" spans="2:23" s="1280" customFormat="1" x14ac:dyDescent="0.6">
      <c r="B465" s="1461"/>
      <c r="D465" s="1459"/>
      <c r="E465" s="1459"/>
      <c r="F465" s="1459"/>
      <c r="G465" s="1459"/>
      <c r="H465" s="1459"/>
      <c r="I465" s="1459"/>
      <c r="J465" s="1459"/>
      <c r="K465" s="1459"/>
      <c r="L465" s="1459"/>
      <c r="N465" s="1399"/>
      <c r="P465" s="1399"/>
      <c r="Q465" s="1399"/>
      <c r="R465" s="1399"/>
      <c r="S465" s="1399"/>
      <c r="T465" s="1399"/>
      <c r="U465" s="1399"/>
      <c r="V465" s="1399"/>
      <c r="W465" s="1399"/>
    </row>
    <row r="466" spans="2:23" s="1280" customFormat="1" x14ac:dyDescent="0.6">
      <c r="B466" s="1461"/>
      <c r="D466" s="1459"/>
      <c r="E466" s="1459"/>
      <c r="F466" s="1459"/>
      <c r="G466" s="1459"/>
      <c r="H466" s="1459"/>
      <c r="I466" s="1459"/>
      <c r="J466" s="1459"/>
      <c r="K466" s="1459"/>
      <c r="L466" s="1459"/>
      <c r="N466" s="1399"/>
      <c r="P466" s="1399"/>
      <c r="Q466" s="1399"/>
      <c r="R466" s="1399"/>
      <c r="S466" s="1399"/>
      <c r="T466" s="1399"/>
      <c r="U466" s="1399"/>
      <c r="V466" s="1399"/>
      <c r="W466" s="1399"/>
    </row>
    <row r="467" spans="2:23" s="1280" customFormat="1" x14ac:dyDescent="0.6">
      <c r="B467" s="1461"/>
      <c r="D467" s="1459"/>
      <c r="E467" s="1459"/>
      <c r="F467" s="1459"/>
      <c r="G467" s="1459"/>
      <c r="H467" s="1459"/>
      <c r="I467" s="1459"/>
      <c r="J467" s="1459"/>
      <c r="K467" s="1459"/>
      <c r="L467" s="1459"/>
      <c r="N467" s="1399"/>
      <c r="P467" s="1399"/>
      <c r="Q467" s="1399"/>
      <c r="R467" s="1399"/>
      <c r="S467" s="1399"/>
      <c r="T467" s="1399"/>
      <c r="U467" s="1399"/>
      <c r="V467" s="1399"/>
      <c r="W467" s="1399"/>
    </row>
    <row r="468" spans="2:23" s="1280" customFormat="1" x14ac:dyDescent="0.6">
      <c r="B468" s="1461"/>
      <c r="D468" s="1459"/>
      <c r="E468" s="1459"/>
      <c r="F468" s="1459"/>
      <c r="G468" s="1459"/>
      <c r="H468" s="1459"/>
      <c r="I468" s="1459"/>
      <c r="J468" s="1459"/>
      <c r="K468" s="1459"/>
      <c r="L468" s="1459"/>
      <c r="N468" s="1399"/>
      <c r="P468" s="1399"/>
      <c r="Q468" s="1399"/>
      <c r="R468" s="1399"/>
      <c r="S468" s="1399"/>
      <c r="T468" s="1399"/>
      <c r="U468" s="1399"/>
      <c r="V468" s="1399"/>
      <c r="W468" s="1399"/>
    </row>
    <row r="469" spans="2:23" s="1280" customFormat="1" x14ac:dyDescent="0.6">
      <c r="B469" s="1461"/>
      <c r="D469" s="1459"/>
      <c r="E469" s="1459"/>
      <c r="F469" s="1459"/>
      <c r="G469" s="1459"/>
      <c r="H469" s="1459"/>
      <c r="I469" s="1459"/>
      <c r="J469" s="1459"/>
      <c r="K469" s="1459"/>
      <c r="L469" s="1459"/>
      <c r="N469" s="1399"/>
      <c r="P469" s="1399"/>
      <c r="Q469" s="1399"/>
      <c r="R469" s="1399"/>
      <c r="S469" s="1399"/>
      <c r="T469" s="1399"/>
      <c r="U469" s="1399"/>
      <c r="V469" s="1399"/>
      <c r="W469" s="1399"/>
    </row>
    <row r="470" spans="2:23" s="1280" customFormat="1" x14ac:dyDescent="0.6">
      <c r="B470" s="1461"/>
      <c r="D470" s="1459"/>
      <c r="E470" s="1459"/>
      <c r="F470" s="1459"/>
      <c r="G470" s="1459"/>
      <c r="H470" s="1459"/>
      <c r="I470" s="1459"/>
      <c r="J470" s="1459"/>
      <c r="K470" s="1459"/>
      <c r="L470" s="1459"/>
      <c r="N470" s="1399"/>
      <c r="P470" s="1399"/>
      <c r="Q470" s="1399"/>
      <c r="R470" s="1399"/>
      <c r="S470" s="1399"/>
      <c r="T470" s="1399"/>
      <c r="U470" s="1399"/>
      <c r="V470" s="1399"/>
      <c r="W470" s="1399"/>
    </row>
    <row r="471" spans="2:23" s="1280" customFormat="1" x14ac:dyDescent="0.6">
      <c r="B471" s="1461"/>
      <c r="D471" s="1459"/>
      <c r="E471" s="1459"/>
      <c r="F471" s="1459"/>
      <c r="G471" s="1459"/>
      <c r="H471" s="1459"/>
      <c r="I471" s="1459"/>
      <c r="J471" s="1459"/>
      <c r="K471" s="1459"/>
      <c r="L471" s="1459"/>
      <c r="N471" s="1399"/>
      <c r="P471" s="1399"/>
      <c r="Q471" s="1399"/>
      <c r="R471" s="1399"/>
      <c r="S471" s="1399"/>
      <c r="T471" s="1399"/>
      <c r="U471" s="1399"/>
      <c r="V471" s="1399"/>
      <c r="W471" s="1399"/>
    </row>
    <row r="472" spans="2:23" s="1280" customFormat="1" x14ac:dyDescent="0.6">
      <c r="B472" s="1461"/>
      <c r="D472" s="1459"/>
      <c r="E472" s="1459"/>
      <c r="F472" s="1459"/>
      <c r="G472" s="1459"/>
      <c r="H472" s="1459"/>
      <c r="I472" s="1459"/>
      <c r="J472" s="1459"/>
      <c r="K472" s="1459"/>
      <c r="L472" s="1459"/>
      <c r="N472" s="1399"/>
      <c r="P472" s="1399"/>
      <c r="Q472" s="1399"/>
      <c r="R472" s="1399"/>
      <c r="S472" s="1399"/>
      <c r="T472" s="1399"/>
      <c r="U472" s="1399"/>
      <c r="V472" s="1399"/>
      <c r="W472" s="1399"/>
    </row>
    <row r="473" spans="2:23" s="1280" customFormat="1" x14ac:dyDescent="0.6">
      <c r="B473" s="1461"/>
      <c r="D473" s="1459"/>
      <c r="E473" s="1459"/>
      <c r="F473" s="1459"/>
      <c r="G473" s="1459"/>
      <c r="H473" s="1459"/>
      <c r="I473" s="1459"/>
      <c r="J473" s="1459"/>
      <c r="K473" s="1459"/>
      <c r="L473" s="1459"/>
      <c r="N473" s="1399"/>
      <c r="P473" s="1399"/>
      <c r="Q473" s="1399"/>
      <c r="R473" s="1399"/>
      <c r="S473" s="1399"/>
      <c r="T473" s="1399"/>
      <c r="U473" s="1399"/>
      <c r="V473" s="1399"/>
      <c r="W473" s="1399"/>
    </row>
    <row r="474" spans="2:23" s="1280" customFormat="1" x14ac:dyDescent="0.6">
      <c r="B474" s="1461"/>
      <c r="D474" s="1459"/>
      <c r="E474" s="1459"/>
      <c r="F474" s="1459"/>
      <c r="G474" s="1459"/>
      <c r="H474" s="1459"/>
      <c r="I474" s="1459"/>
      <c r="J474" s="1459"/>
      <c r="K474" s="1459"/>
      <c r="L474" s="1459"/>
      <c r="N474" s="1399"/>
      <c r="P474" s="1399"/>
      <c r="Q474" s="1399"/>
      <c r="R474" s="1399"/>
      <c r="S474" s="1399"/>
      <c r="T474" s="1399"/>
      <c r="U474" s="1399"/>
      <c r="V474" s="1399"/>
      <c r="W474" s="1399"/>
    </row>
    <row r="475" spans="2:23" s="1280" customFormat="1" x14ac:dyDescent="0.6">
      <c r="B475" s="1461"/>
      <c r="D475" s="1459"/>
      <c r="E475" s="1459"/>
      <c r="F475" s="1459"/>
      <c r="G475" s="1459"/>
      <c r="H475" s="1459"/>
      <c r="I475" s="1459"/>
      <c r="J475" s="1459"/>
      <c r="K475" s="1459"/>
      <c r="L475" s="1459"/>
      <c r="N475" s="1399"/>
      <c r="P475" s="1399"/>
      <c r="Q475" s="1399"/>
      <c r="R475" s="1399"/>
      <c r="S475" s="1399"/>
      <c r="T475" s="1399"/>
      <c r="U475" s="1399"/>
      <c r="V475" s="1399"/>
      <c r="W475" s="1399"/>
    </row>
    <row r="476" spans="2:23" s="1280" customFormat="1" x14ac:dyDescent="0.6">
      <c r="B476" s="1461"/>
      <c r="D476" s="1459"/>
      <c r="E476" s="1459"/>
      <c r="F476" s="1459"/>
      <c r="G476" s="1459"/>
      <c r="H476" s="1459"/>
      <c r="I476" s="1459"/>
      <c r="J476" s="1459"/>
      <c r="K476" s="1459"/>
      <c r="L476" s="1459"/>
      <c r="N476" s="1399"/>
      <c r="P476" s="1399"/>
      <c r="Q476" s="1399"/>
      <c r="R476" s="1399"/>
      <c r="S476" s="1399"/>
      <c r="T476" s="1399"/>
      <c r="U476" s="1399"/>
      <c r="V476" s="1399"/>
      <c r="W476" s="1399"/>
    </row>
    <row r="477" spans="2:23" s="1280" customFormat="1" x14ac:dyDescent="0.6">
      <c r="B477" s="1461"/>
      <c r="D477" s="1459"/>
      <c r="E477" s="1459"/>
      <c r="F477" s="1459"/>
      <c r="G477" s="1459"/>
      <c r="H477" s="1459"/>
      <c r="I477" s="1459"/>
      <c r="J477" s="1459"/>
      <c r="K477" s="1459"/>
      <c r="L477" s="1459"/>
      <c r="N477" s="1399"/>
      <c r="P477" s="1399"/>
      <c r="Q477" s="1399"/>
      <c r="R477" s="1399"/>
      <c r="S477" s="1399"/>
      <c r="T477" s="1399"/>
      <c r="U477" s="1399"/>
      <c r="V477" s="1399"/>
      <c r="W477" s="1399"/>
    </row>
    <row r="478" spans="2:23" s="1280" customFormat="1" x14ac:dyDescent="0.6">
      <c r="B478" s="1461"/>
      <c r="D478" s="1459"/>
      <c r="E478" s="1459"/>
      <c r="F478" s="1459"/>
      <c r="G478" s="1459"/>
      <c r="H478" s="1459"/>
      <c r="I478" s="1459"/>
      <c r="J478" s="1459"/>
      <c r="K478" s="1459"/>
      <c r="L478" s="1459"/>
      <c r="N478" s="1399"/>
      <c r="P478" s="1399"/>
      <c r="Q478" s="1399"/>
      <c r="R478" s="1399"/>
      <c r="S478" s="1399"/>
      <c r="T478" s="1399"/>
      <c r="U478" s="1399"/>
      <c r="V478" s="1399"/>
      <c r="W478" s="1399"/>
    </row>
    <row r="479" spans="2:23" s="1280" customFormat="1" x14ac:dyDescent="0.6">
      <c r="B479" s="1461"/>
      <c r="D479" s="1459"/>
      <c r="E479" s="1459"/>
      <c r="F479" s="1459"/>
      <c r="G479" s="1459"/>
      <c r="H479" s="1459"/>
      <c r="I479" s="1459"/>
      <c r="J479" s="1459"/>
      <c r="K479" s="1459"/>
      <c r="L479" s="1459"/>
      <c r="N479" s="1399"/>
      <c r="P479" s="1399"/>
      <c r="Q479" s="1399"/>
      <c r="R479" s="1399"/>
      <c r="S479" s="1399"/>
      <c r="T479" s="1399"/>
      <c r="U479" s="1399"/>
      <c r="V479" s="1399"/>
      <c r="W479" s="1399"/>
    </row>
    <row r="480" spans="2:23" s="1280" customFormat="1" x14ac:dyDescent="0.6">
      <c r="B480" s="1461"/>
      <c r="D480" s="1459"/>
      <c r="E480" s="1459"/>
      <c r="F480" s="1459"/>
      <c r="G480" s="1459"/>
      <c r="H480" s="1459"/>
      <c r="I480" s="1459"/>
      <c r="J480" s="1459"/>
      <c r="K480" s="1459"/>
      <c r="L480" s="1459"/>
      <c r="N480" s="1399"/>
      <c r="P480" s="1399"/>
      <c r="Q480" s="1399"/>
      <c r="R480" s="1399"/>
      <c r="S480" s="1399"/>
      <c r="T480" s="1399"/>
      <c r="U480" s="1399"/>
      <c r="V480" s="1399"/>
      <c r="W480" s="1399"/>
    </row>
    <row r="481" spans="2:23" s="1280" customFormat="1" x14ac:dyDescent="0.6">
      <c r="B481" s="1461"/>
      <c r="D481" s="1459"/>
      <c r="E481" s="1459"/>
      <c r="F481" s="1459"/>
      <c r="G481" s="1459"/>
      <c r="H481" s="1459"/>
      <c r="I481" s="1459"/>
      <c r="J481" s="1459"/>
      <c r="K481" s="1459"/>
      <c r="L481" s="1459"/>
      <c r="N481" s="1399"/>
      <c r="P481" s="1399"/>
      <c r="Q481" s="1399"/>
      <c r="R481" s="1399"/>
      <c r="S481" s="1399"/>
      <c r="T481" s="1399"/>
      <c r="U481" s="1399"/>
      <c r="V481" s="1399"/>
      <c r="W481" s="1399"/>
    </row>
    <row r="482" spans="2:23" s="1280" customFormat="1" x14ac:dyDescent="0.6">
      <c r="B482" s="1461"/>
      <c r="D482" s="1459"/>
      <c r="E482" s="1459"/>
      <c r="F482" s="1459"/>
      <c r="G482" s="1459"/>
      <c r="H482" s="1459"/>
      <c r="I482" s="1459"/>
      <c r="J482" s="1459"/>
      <c r="K482" s="1459"/>
      <c r="L482" s="1459"/>
      <c r="N482" s="1399"/>
      <c r="P482" s="1399"/>
      <c r="Q482" s="1399"/>
      <c r="R482" s="1399"/>
      <c r="S482" s="1399"/>
      <c r="T482" s="1399"/>
      <c r="U482" s="1399"/>
      <c r="V482" s="1399"/>
      <c r="W482" s="1399"/>
    </row>
    <row r="483" spans="2:23" s="1280" customFormat="1" x14ac:dyDescent="0.6">
      <c r="B483" s="1461"/>
      <c r="D483" s="1459"/>
      <c r="E483" s="1459"/>
      <c r="F483" s="1459"/>
      <c r="G483" s="1459"/>
      <c r="H483" s="1459"/>
      <c r="I483" s="1459"/>
      <c r="J483" s="1459"/>
      <c r="K483" s="1459"/>
      <c r="L483" s="1459"/>
      <c r="N483" s="1399"/>
      <c r="P483" s="1399"/>
      <c r="Q483" s="1399"/>
      <c r="R483" s="1399"/>
      <c r="S483" s="1399"/>
      <c r="T483" s="1399"/>
      <c r="U483" s="1399"/>
      <c r="V483" s="1399"/>
      <c r="W483" s="1399"/>
    </row>
    <row r="484" spans="2:23" s="1280" customFormat="1" x14ac:dyDescent="0.6">
      <c r="B484" s="1461"/>
      <c r="D484" s="1459"/>
      <c r="E484" s="1459"/>
      <c r="F484" s="1459"/>
      <c r="G484" s="1459"/>
      <c r="H484" s="1459"/>
      <c r="I484" s="1459"/>
      <c r="J484" s="1459"/>
      <c r="K484" s="1459"/>
      <c r="L484" s="1459"/>
      <c r="N484" s="1399"/>
      <c r="P484" s="1399"/>
      <c r="Q484" s="1399"/>
      <c r="R484" s="1399"/>
      <c r="S484" s="1399"/>
      <c r="T484" s="1399"/>
      <c r="U484" s="1399"/>
      <c r="V484" s="1399"/>
      <c r="W484" s="1399"/>
    </row>
    <row r="485" spans="2:23" s="1280" customFormat="1" x14ac:dyDescent="0.6">
      <c r="B485" s="1461"/>
      <c r="D485" s="1459"/>
      <c r="E485" s="1459"/>
      <c r="F485" s="1459"/>
      <c r="G485" s="1459"/>
      <c r="H485" s="1459"/>
      <c r="I485" s="1459"/>
      <c r="J485" s="1459"/>
      <c r="K485" s="1459"/>
      <c r="L485" s="1459"/>
      <c r="N485" s="1399"/>
      <c r="P485" s="1399"/>
      <c r="Q485" s="1399"/>
      <c r="R485" s="1399"/>
      <c r="S485" s="1399"/>
      <c r="T485" s="1399"/>
      <c r="U485" s="1399"/>
      <c r="V485" s="1399"/>
      <c r="W485" s="1399"/>
    </row>
    <row r="486" spans="2:23" s="1280" customFormat="1" x14ac:dyDescent="0.6">
      <c r="B486" s="1461"/>
      <c r="D486" s="1459"/>
      <c r="E486" s="1459"/>
      <c r="F486" s="1459"/>
      <c r="G486" s="1459"/>
      <c r="H486" s="1459"/>
      <c r="I486" s="1459"/>
      <c r="J486" s="1459"/>
      <c r="K486" s="1459"/>
      <c r="L486" s="1459"/>
      <c r="N486" s="1399"/>
      <c r="P486" s="1399"/>
      <c r="Q486" s="1399"/>
      <c r="R486" s="1399"/>
      <c r="S486" s="1399"/>
      <c r="T486" s="1399"/>
      <c r="U486" s="1399"/>
      <c r="V486" s="1399"/>
      <c r="W486" s="1399"/>
    </row>
    <row r="487" spans="2:23" s="1280" customFormat="1" x14ac:dyDescent="0.6">
      <c r="B487" s="1461"/>
      <c r="D487" s="1459"/>
      <c r="E487" s="1459"/>
      <c r="F487" s="1459"/>
      <c r="G487" s="1459"/>
      <c r="H487" s="1459"/>
      <c r="I487" s="1459"/>
      <c r="J487" s="1459"/>
      <c r="K487" s="1459"/>
      <c r="L487" s="1459"/>
      <c r="N487" s="1399"/>
      <c r="P487" s="1399"/>
      <c r="Q487" s="1399"/>
      <c r="R487" s="1399"/>
      <c r="S487" s="1399"/>
      <c r="T487" s="1399"/>
      <c r="U487" s="1399"/>
      <c r="V487" s="1399"/>
      <c r="W487" s="1399"/>
    </row>
    <row r="488" spans="2:23" s="1280" customFormat="1" x14ac:dyDescent="0.6">
      <c r="B488" s="1461"/>
      <c r="D488" s="1459"/>
      <c r="E488" s="1459"/>
      <c r="F488" s="1459"/>
      <c r="G488" s="1459"/>
      <c r="H488" s="1459"/>
      <c r="I488" s="1459"/>
      <c r="J488" s="1459"/>
      <c r="K488" s="1459"/>
      <c r="L488" s="1459"/>
      <c r="N488" s="1399"/>
      <c r="P488" s="1399"/>
      <c r="Q488" s="1399"/>
      <c r="R488" s="1399"/>
      <c r="S488" s="1399"/>
      <c r="T488" s="1399"/>
      <c r="U488" s="1399"/>
      <c r="V488" s="1399"/>
      <c r="W488" s="1399"/>
    </row>
    <row r="489" spans="2:23" s="1280" customFormat="1" x14ac:dyDescent="0.6">
      <c r="B489" s="1461"/>
      <c r="D489" s="1459"/>
      <c r="E489" s="1459"/>
      <c r="F489" s="1459"/>
      <c r="G489" s="1459"/>
      <c r="H489" s="1459"/>
      <c r="I489" s="1459"/>
      <c r="J489" s="1459"/>
      <c r="K489" s="1459"/>
      <c r="L489" s="1459"/>
      <c r="N489" s="1399"/>
      <c r="P489" s="1399"/>
      <c r="Q489" s="1399"/>
      <c r="R489" s="1399"/>
      <c r="S489" s="1399"/>
      <c r="T489" s="1399"/>
      <c r="U489" s="1399"/>
      <c r="V489" s="1399"/>
      <c r="W489" s="1399"/>
    </row>
    <row r="490" spans="2:23" s="1280" customFormat="1" x14ac:dyDescent="0.6">
      <c r="B490" s="1461"/>
      <c r="D490" s="1459"/>
      <c r="E490" s="1459"/>
      <c r="F490" s="1459"/>
      <c r="G490" s="1459"/>
      <c r="H490" s="1459"/>
      <c r="I490" s="1459"/>
      <c r="J490" s="1459"/>
      <c r="K490" s="1459"/>
      <c r="L490" s="1459"/>
      <c r="N490" s="1399"/>
      <c r="P490" s="1399"/>
      <c r="Q490" s="1399"/>
      <c r="R490" s="1399"/>
      <c r="S490" s="1399"/>
      <c r="T490" s="1399"/>
      <c r="U490" s="1399"/>
      <c r="V490" s="1399"/>
      <c r="W490" s="1399"/>
    </row>
    <row r="491" spans="2:23" s="1280" customFormat="1" x14ac:dyDescent="0.6">
      <c r="B491" s="1461"/>
      <c r="D491" s="1459"/>
      <c r="E491" s="1459"/>
      <c r="F491" s="1459"/>
      <c r="G491" s="1459"/>
      <c r="H491" s="1459"/>
      <c r="I491" s="1459"/>
      <c r="J491" s="1459"/>
      <c r="K491" s="1459"/>
      <c r="L491" s="1459"/>
      <c r="N491" s="1399"/>
      <c r="P491" s="1399"/>
      <c r="Q491" s="1399"/>
      <c r="R491" s="1399"/>
      <c r="S491" s="1399"/>
      <c r="T491" s="1399"/>
      <c r="U491" s="1399"/>
      <c r="V491" s="1399"/>
      <c r="W491" s="1399"/>
    </row>
    <row r="492" spans="2:23" s="1280" customFormat="1" x14ac:dyDescent="0.6">
      <c r="B492" s="1461"/>
      <c r="D492" s="1459"/>
      <c r="E492" s="1459"/>
      <c r="F492" s="1459"/>
      <c r="G492" s="1459"/>
      <c r="H492" s="1459"/>
      <c r="I492" s="1459"/>
      <c r="J492" s="1459"/>
      <c r="K492" s="1459"/>
      <c r="L492" s="1459"/>
      <c r="N492" s="1399"/>
      <c r="P492" s="1399"/>
      <c r="Q492" s="1399"/>
      <c r="R492" s="1399"/>
      <c r="S492" s="1399"/>
      <c r="T492" s="1399"/>
      <c r="U492" s="1399"/>
      <c r="V492" s="1399"/>
      <c r="W492" s="1399"/>
    </row>
    <row r="493" spans="2:23" s="1280" customFormat="1" x14ac:dyDescent="0.6">
      <c r="B493" s="1461"/>
      <c r="D493" s="1459"/>
      <c r="E493" s="1459"/>
      <c r="F493" s="1459"/>
      <c r="G493" s="1459"/>
      <c r="H493" s="1459"/>
      <c r="I493" s="1459"/>
      <c r="J493" s="1459"/>
      <c r="K493" s="1459"/>
      <c r="L493" s="1459"/>
      <c r="N493" s="1399"/>
      <c r="P493" s="1399"/>
      <c r="Q493" s="1399"/>
      <c r="R493" s="1399"/>
      <c r="S493" s="1399"/>
      <c r="T493" s="1399"/>
      <c r="U493" s="1399"/>
      <c r="V493" s="1399"/>
      <c r="W493" s="1399"/>
    </row>
    <row r="494" spans="2:23" s="1280" customFormat="1" x14ac:dyDescent="0.6">
      <c r="B494" s="1461"/>
      <c r="D494" s="1459"/>
      <c r="E494" s="1459"/>
      <c r="F494" s="1459"/>
      <c r="G494" s="1459"/>
      <c r="H494" s="1459"/>
      <c r="I494" s="1459"/>
      <c r="J494" s="1459"/>
      <c r="K494" s="1459"/>
      <c r="L494" s="1459"/>
      <c r="N494" s="1399"/>
      <c r="P494" s="1399"/>
      <c r="Q494" s="1399"/>
      <c r="R494" s="1399"/>
      <c r="S494" s="1399"/>
      <c r="T494" s="1399"/>
      <c r="U494" s="1399"/>
      <c r="V494" s="1399"/>
      <c r="W494" s="1399"/>
    </row>
    <row r="495" spans="2:23" s="1280" customFormat="1" x14ac:dyDescent="0.6">
      <c r="B495" s="1461"/>
      <c r="D495" s="1459"/>
      <c r="E495" s="1459"/>
      <c r="F495" s="1459"/>
      <c r="G495" s="1459"/>
      <c r="H495" s="1459"/>
      <c r="I495" s="1459"/>
      <c r="J495" s="1459"/>
      <c r="K495" s="1459"/>
      <c r="L495" s="1459"/>
      <c r="N495" s="1399"/>
      <c r="P495" s="1399"/>
      <c r="Q495" s="1399"/>
      <c r="R495" s="1399"/>
      <c r="S495" s="1399"/>
      <c r="T495" s="1399"/>
      <c r="U495" s="1399"/>
      <c r="V495" s="1399"/>
      <c r="W495" s="1399"/>
    </row>
    <row r="496" spans="2:23" s="1280" customFormat="1" x14ac:dyDescent="0.6">
      <c r="B496" s="1461"/>
      <c r="D496" s="1459"/>
      <c r="E496" s="1459"/>
      <c r="F496" s="1459"/>
      <c r="G496" s="1459"/>
      <c r="H496" s="1459"/>
      <c r="I496" s="1459"/>
      <c r="J496" s="1459"/>
      <c r="K496" s="1459"/>
      <c r="L496" s="1459"/>
      <c r="N496" s="1399"/>
      <c r="P496" s="1399"/>
      <c r="Q496" s="1399"/>
      <c r="R496" s="1399"/>
      <c r="S496" s="1399"/>
      <c r="T496" s="1399"/>
      <c r="U496" s="1399"/>
      <c r="V496" s="1399"/>
      <c r="W496" s="1399"/>
    </row>
    <row r="497" spans="2:23" s="1280" customFormat="1" x14ac:dyDescent="0.6">
      <c r="B497" s="1461"/>
      <c r="D497" s="1459"/>
      <c r="E497" s="1459"/>
      <c r="F497" s="1459"/>
      <c r="G497" s="1459"/>
      <c r="H497" s="1459"/>
      <c r="I497" s="1459"/>
      <c r="J497" s="1459"/>
      <c r="K497" s="1459"/>
      <c r="L497" s="1459"/>
      <c r="N497" s="1399"/>
      <c r="P497" s="1399"/>
      <c r="Q497" s="1399"/>
      <c r="R497" s="1399"/>
      <c r="S497" s="1399"/>
      <c r="T497" s="1399"/>
      <c r="U497" s="1399"/>
      <c r="V497" s="1399"/>
      <c r="W497" s="1399"/>
    </row>
    <row r="498" spans="2:23" s="1280" customFormat="1" x14ac:dyDescent="0.6">
      <c r="B498" s="1461"/>
      <c r="D498" s="1459"/>
      <c r="E498" s="1459"/>
      <c r="F498" s="1459"/>
      <c r="G498" s="1459"/>
      <c r="H498" s="1459"/>
      <c r="I498" s="1459"/>
      <c r="J498" s="1459"/>
      <c r="K498" s="1459"/>
      <c r="L498" s="1459"/>
      <c r="N498" s="1399"/>
      <c r="P498" s="1399"/>
      <c r="Q498" s="1399"/>
      <c r="R498" s="1399"/>
      <c r="S498" s="1399"/>
      <c r="T498" s="1399"/>
      <c r="U498" s="1399"/>
      <c r="V498" s="1399"/>
      <c r="W498" s="1399"/>
    </row>
    <row r="499" spans="2:23" s="1280" customFormat="1" x14ac:dyDescent="0.6">
      <c r="B499" s="1461"/>
      <c r="D499" s="1459"/>
      <c r="E499" s="1459"/>
      <c r="F499" s="1459"/>
      <c r="G499" s="1459"/>
      <c r="H499" s="1459"/>
      <c r="I499" s="1459"/>
      <c r="J499" s="1459"/>
      <c r="K499" s="1459"/>
      <c r="L499" s="1459"/>
      <c r="N499" s="1399"/>
      <c r="P499" s="1399"/>
      <c r="Q499" s="1399"/>
      <c r="R499" s="1399"/>
      <c r="S499" s="1399"/>
      <c r="T499" s="1399"/>
      <c r="U499" s="1399"/>
      <c r="V499" s="1399"/>
      <c r="W499" s="1399"/>
    </row>
    <row r="500" spans="2:23" s="1280" customFormat="1" x14ac:dyDescent="0.6">
      <c r="B500" s="1461"/>
      <c r="D500" s="1459"/>
      <c r="E500" s="1459"/>
      <c r="F500" s="1459"/>
      <c r="G500" s="1459"/>
      <c r="H500" s="1459"/>
      <c r="I500" s="1459"/>
      <c r="J500" s="1459"/>
      <c r="K500" s="1459"/>
      <c r="L500" s="1459"/>
      <c r="N500" s="1399"/>
      <c r="P500" s="1399"/>
      <c r="Q500" s="1399"/>
      <c r="R500" s="1399"/>
      <c r="S500" s="1399"/>
      <c r="T500" s="1399"/>
      <c r="U500" s="1399"/>
      <c r="V500" s="1399"/>
      <c r="W500" s="1399"/>
    </row>
    <row r="501" spans="2:23" s="1280" customFormat="1" x14ac:dyDescent="0.6">
      <c r="B501" s="1461"/>
      <c r="D501" s="1459"/>
      <c r="E501" s="1459"/>
      <c r="F501" s="1459"/>
      <c r="G501" s="1459"/>
      <c r="H501" s="1459"/>
      <c r="I501" s="1459"/>
      <c r="J501" s="1459"/>
      <c r="K501" s="1459"/>
      <c r="L501" s="1459"/>
      <c r="N501" s="1399"/>
      <c r="P501" s="1399"/>
      <c r="Q501" s="1399"/>
      <c r="R501" s="1399"/>
      <c r="S501" s="1399"/>
      <c r="T501" s="1399"/>
      <c r="U501" s="1399"/>
      <c r="V501" s="1399"/>
      <c r="W501" s="1399"/>
    </row>
    <row r="502" spans="2:23" s="1280" customFormat="1" x14ac:dyDescent="0.6">
      <c r="B502" s="1461"/>
      <c r="D502" s="1459"/>
      <c r="E502" s="1459"/>
      <c r="F502" s="1459"/>
      <c r="G502" s="1459"/>
      <c r="H502" s="1459"/>
      <c r="I502" s="1459"/>
      <c r="J502" s="1459"/>
      <c r="K502" s="1459"/>
      <c r="L502" s="1459"/>
      <c r="N502" s="1399"/>
      <c r="P502" s="1399"/>
      <c r="Q502" s="1399"/>
      <c r="R502" s="1399"/>
      <c r="S502" s="1399"/>
      <c r="T502" s="1399"/>
      <c r="U502" s="1399"/>
      <c r="V502" s="1399"/>
      <c r="W502" s="1399"/>
    </row>
    <row r="503" spans="2:23" s="1280" customFormat="1" x14ac:dyDescent="0.6">
      <c r="B503" s="1461"/>
      <c r="D503" s="1459"/>
      <c r="E503" s="1459"/>
      <c r="F503" s="1459"/>
      <c r="G503" s="1459"/>
      <c r="H503" s="1459"/>
      <c r="I503" s="1459"/>
      <c r="J503" s="1459"/>
      <c r="K503" s="1459"/>
      <c r="L503" s="1459"/>
      <c r="N503" s="1399"/>
      <c r="P503" s="1399"/>
      <c r="Q503" s="1399"/>
      <c r="R503" s="1399"/>
      <c r="S503" s="1399"/>
      <c r="T503" s="1399"/>
      <c r="U503" s="1399"/>
      <c r="V503" s="1399"/>
      <c r="W503" s="1399"/>
    </row>
    <row r="504" spans="2:23" s="1280" customFormat="1" x14ac:dyDescent="0.6">
      <c r="B504" s="1461"/>
      <c r="D504" s="1459"/>
      <c r="E504" s="1459"/>
      <c r="F504" s="1459"/>
      <c r="G504" s="1459"/>
      <c r="H504" s="1459"/>
      <c r="I504" s="1459"/>
      <c r="J504" s="1459"/>
      <c r="K504" s="1459"/>
      <c r="L504" s="1459"/>
      <c r="N504" s="1399"/>
      <c r="P504" s="1399"/>
      <c r="Q504" s="1399"/>
      <c r="R504" s="1399"/>
      <c r="S504" s="1399"/>
      <c r="T504" s="1399"/>
      <c r="U504" s="1399"/>
      <c r="V504" s="1399"/>
      <c r="W504" s="1399"/>
    </row>
    <row r="505" spans="2:23" s="1280" customFormat="1" x14ac:dyDescent="0.6">
      <c r="B505" s="1461"/>
      <c r="D505" s="1459"/>
      <c r="E505" s="1459"/>
      <c r="F505" s="1459"/>
      <c r="G505" s="1459"/>
      <c r="H505" s="1459"/>
      <c r="I505" s="1459"/>
      <c r="J505" s="1459"/>
      <c r="K505" s="1459"/>
      <c r="L505" s="1459"/>
      <c r="N505" s="1399"/>
      <c r="P505" s="1399"/>
      <c r="Q505" s="1399"/>
      <c r="R505" s="1399"/>
      <c r="S505" s="1399"/>
      <c r="T505" s="1399"/>
      <c r="U505" s="1399"/>
      <c r="V505" s="1399"/>
      <c r="W505" s="1399"/>
    </row>
    <row r="506" spans="2:23" s="1280" customFormat="1" x14ac:dyDescent="0.6">
      <c r="B506" s="1461"/>
      <c r="D506" s="1459"/>
      <c r="E506" s="1459"/>
      <c r="F506" s="1459"/>
      <c r="G506" s="1459"/>
      <c r="H506" s="1459"/>
      <c r="I506" s="1459"/>
      <c r="J506" s="1459"/>
      <c r="K506" s="1459"/>
      <c r="L506" s="1459"/>
      <c r="N506" s="1399"/>
      <c r="P506" s="1399"/>
      <c r="Q506" s="1399"/>
      <c r="R506" s="1399"/>
      <c r="S506" s="1399"/>
      <c r="T506" s="1399"/>
      <c r="U506" s="1399"/>
      <c r="V506" s="1399"/>
      <c r="W506" s="1399"/>
    </row>
    <row r="507" spans="2:23" s="1280" customFormat="1" x14ac:dyDescent="0.6">
      <c r="B507" s="1461"/>
      <c r="D507" s="1459"/>
      <c r="E507" s="1459"/>
      <c r="F507" s="1459"/>
      <c r="G507" s="1459"/>
      <c r="H507" s="1459"/>
      <c r="I507" s="1459"/>
      <c r="J507" s="1459"/>
      <c r="K507" s="1459"/>
      <c r="L507" s="1459"/>
      <c r="N507" s="1399"/>
      <c r="P507" s="1399"/>
      <c r="Q507" s="1399"/>
      <c r="R507" s="1399"/>
      <c r="S507" s="1399"/>
      <c r="T507" s="1399"/>
      <c r="U507" s="1399"/>
      <c r="V507" s="1399"/>
      <c r="W507" s="1399"/>
    </row>
    <row r="508" spans="2:23" s="1280" customFormat="1" x14ac:dyDescent="0.6">
      <c r="B508" s="1461"/>
      <c r="D508" s="1459"/>
      <c r="E508" s="1459"/>
      <c r="F508" s="1459"/>
      <c r="G508" s="1459"/>
      <c r="H508" s="1459"/>
      <c r="I508" s="1459"/>
      <c r="J508" s="1459"/>
      <c r="K508" s="1459"/>
      <c r="L508" s="1459"/>
      <c r="N508" s="1399"/>
      <c r="P508" s="1399"/>
      <c r="Q508" s="1399"/>
      <c r="R508" s="1399"/>
      <c r="S508" s="1399"/>
      <c r="T508" s="1399"/>
      <c r="U508" s="1399"/>
      <c r="V508" s="1399"/>
      <c r="W508" s="1399"/>
    </row>
    <row r="509" spans="2:23" s="1280" customFormat="1" x14ac:dyDescent="0.6">
      <c r="B509" s="1461"/>
      <c r="D509" s="1459"/>
      <c r="E509" s="1459"/>
      <c r="F509" s="1459"/>
      <c r="G509" s="1459"/>
      <c r="H509" s="1459"/>
      <c r="I509" s="1459"/>
      <c r="J509" s="1459"/>
      <c r="K509" s="1459"/>
      <c r="L509" s="1459"/>
      <c r="N509" s="1399"/>
      <c r="P509" s="1399"/>
      <c r="Q509" s="1399"/>
      <c r="R509" s="1399"/>
      <c r="S509" s="1399"/>
      <c r="T509" s="1399"/>
      <c r="U509" s="1399"/>
      <c r="V509" s="1399"/>
      <c r="W509" s="1399"/>
    </row>
    <row r="510" spans="2:23" s="1280" customFormat="1" x14ac:dyDescent="0.6">
      <c r="B510" s="1461"/>
      <c r="D510" s="1459"/>
      <c r="E510" s="1459"/>
      <c r="F510" s="1459"/>
      <c r="G510" s="1459"/>
      <c r="H510" s="1459"/>
      <c r="I510" s="1459"/>
      <c r="J510" s="1459"/>
      <c r="K510" s="1459"/>
      <c r="L510" s="1459"/>
      <c r="N510" s="1399"/>
      <c r="P510" s="1399"/>
      <c r="Q510" s="1399"/>
      <c r="R510" s="1399"/>
      <c r="S510" s="1399"/>
      <c r="T510" s="1399"/>
      <c r="U510" s="1399"/>
      <c r="V510" s="1399"/>
      <c r="W510" s="1399"/>
    </row>
    <row r="511" spans="2:23" s="1280" customFormat="1" x14ac:dyDescent="0.6">
      <c r="B511" s="1461"/>
      <c r="D511" s="1459"/>
      <c r="E511" s="1459"/>
      <c r="F511" s="1459"/>
      <c r="G511" s="1459"/>
      <c r="H511" s="1459"/>
      <c r="I511" s="1459"/>
      <c r="J511" s="1459"/>
      <c r="K511" s="1459"/>
      <c r="L511" s="1459"/>
      <c r="N511" s="1399"/>
      <c r="P511" s="1399"/>
      <c r="Q511" s="1399"/>
      <c r="R511" s="1399"/>
      <c r="S511" s="1399"/>
      <c r="T511" s="1399"/>
      <c r="U511" s="1399"/>
      <c r="V511" s="1399"/>
      <c r="W511" s="1399"/>
    </row>
    <row r="512" spans="2:23" s="1280" customFormat="1" x14ac:dyDescent="0.6">
      <c r="B512" s="1461"/>
      <c r="D512" s="1459"/>
      <c r="E512" s="1459"/>
      <c r="F512" s="1459"/>
      <c r="G512" s="1459"/>
      <c r="H512" s="1459"/>
      <c r="I512" s="1459"/>
      <c r="J512" s="1459"/>
      <c r="K512" s="1459"/>
      <c r="L512" s="1459"/>
      <c r="N512" s="1399"/>
      <c r="P512" s="1399"/>
      <c r="Q512" s="1399"/>
      <c r="R512" s="1399"/>
      <c r="S512" s="1399"/>
      <c r="T512" s="1399"/>
      <c r="U512" s="1399"/>
      <c r="V512" s="1399"/>
      <c r="W512" s="1399"/>
    </row>
    <row r="513" spans="2:23" s="1280" customFormat="1" x14ac:dyDescent="0.6">
      <c r="B513" s="1461"/>
      <c r="D513" s="1459"/>
      <c r="E513" s="1459"/>
      <c r="F513" s="1459"/>
      <c r="G513" s="1459"/>
      <c r="H513" s="1459"/>
      <c r="I513" s="1459"/>
      <c r="J513" s="1459"/>
      <c r="K513" s="1459"/>
      <c r="L513" s="1459"/>
      <c r="N513" s="1399"/>
      <c r="P513" s="1399"/>
      <c r="Q513" s="1399"/>
      <c r="R513" s="1399"/>
      <c r="S513" s="1399"/>
      <c r="T513" s="1399"/>
      <c r="U513" s="1399"/>
      <c r="V513" s="1399"/>
      <c r="W513" s="1399"/>
    </row>
    <row r="514" spans="2:23" s="1280" customFormat="1" x14ac:dyDescent="0.6">
      <c r="B514" s="1461"/>
      <c r="D514" s="1459"/>
      <c r="E514" s="1459"/>
      <c r="F514" s="1459"/>
      <c r="G514" s="1459"/>
      <c r="H514" s="1459"/>
      <c r="I514" s="1459"/>
      <c r="J514" s="1459"/>
      <c r="K514" s="1459"/>
      <c r="L514" s="1459"/>
      <c r="N514" s="1399"/>
      <c r="P514" s="1399"/>
      <c r="Q514" s="1399"/>
      <c r="R514" s="1399"/>
      <c r="S514" s="1399"/>
      <c r="T514" s="1399"/>
      <c r="U514" s="1399"/>
      <c r="V514" s="1399"/>
      <c r="W514" s="1399"/>
    </row>
    <row r="515" spans="2:23" s="1280" customFormat="1" x14ac:dyDescent="0.6">
      <c r="B515" s="1461"/>
      <c r="D515" s="1459"/>
      <c r="E515" s="1459"/>
      <c r="F515" s="1459"/>
      <c r="G515" s="1459"/>
      <c r="H515" s="1459"/>
      <c r="I515" s="1459"/>
      <c r="J515" s="1459"/>
      <c r="K515" s="1459"/>
      <c r="L515" s="1459"/>
      <c r="N515" s="1399"/>
      <c r="P515" s="1399"/>
      <c r="Q515" s="1399"/>
      <c r="R515" s="1399"/>
      <c r="S515" s="1399"/>
      <c r="T515" s="1399"/>
      <c r="U515" s="1399"/>
      <c r="V515" s="1399"/>
      <c r="W515" s="1399"/>
    </row>
    <row r="516" spans="2:23" s="1280" customFormat="1" x14ac:dyDescent="0.6">
      <c r="B516" s="1461"/>
      <c r="D516" s="1459"/>
      <c r="E516" s="1459"/>
      <c r="F516" s="1459"/>
      <c r="G516" s="1459"/>
      <c r="H516" s="1459"/>
      <c r="I516" s="1459"/>
      <c r="J516" s="1459"/>
      <c r="K516" s="1459"/>
      <c r="L516" s="1459"/>
      <c r="N516" s="1399"/>
      <c r="P516" s="1399"/>
      <c r="Q516" s="1399"/>
      <c r="R516" s="1399"/>
      <c r="S516" s="1399"/>
      <c r="T516" s="1399"/>
      <c r="U516" s="1399"/>
      <c r="V516" s="1399"/>
      <c r="W516" s="1399"/>
    </row>
    <row r="517" spans="2:23" s="1280" customFormat="1" x14ac:dyDescent="0.6">
      <c r="B517" s="1461"/>
      <c r="D517" s="1459"/>
      <c r="E517" s="1459"/>
      <c r="F517" s="1459"/>
      <c r="G517" s="1459"/>
      <c r="H517" s="1459"/>
      <c r="I517" s="1459"/>
      <c r="J517" s="1459"/>
      <c r="K517" s="1459"/>
      <c r="L517" s="1459"/>
      <c r="N517" s="1399"/>
      <c r="P517" s="1399"/>
      <c r="Q517" s="1399"/>
      <c r="R517" s="1399"/>
      <c r="S517" s="1399"/>
      <c r="T517" s="1399"/>
      <c r="U517" s="1399"/>
      <c r="V517" s="1399"/>
      <c r="W517" s="1399"/>
    </row>
    <row r="518" spans="2:23" s="1280" customFormat="1" x14ac:dyDescent="0.6">
      <c r="B518" s="1461"/>
      <c r="D518" s="1459"/>
      <c r="E518" s="1459"/>
      <c r="F518" s="1459"/>
      <c r="G518" s="1459"/>
      <c r="H518" s="1459"/>
      <c r="I518" s="1459"/>
      <c r="J518" s="1459"/>
      <c r="K518" s="1459"/>
      <c r="L518" s="1459"/>
      <c r="N518" s="1399"/>
      <c r="P518" s="1399"/>
      <c r="Q518" s="1399"/>
      <c r="R518" s="1399"/>
      <c r="S518" s="1399"/>
      <c r="T518" s="1399"/>
      <c r="U518" s="1399"/>
      <c r="V518" s="1399"/>
      <c r="W518" s="1399"/>
    </row>
    <row r="519" spans="2:23" s="1280" customFormat="1" x14ac:dyDescent="0.6">
      <c r="B519" s="1461"/>
      <c r="D519" s="1459"/>
      <c r="E519" s="1459"/>
      <c r="F519" s="1459"/>
      <c r="G519" s="1459"/>
      <c r="H519" s="1459"/>
      <c r="I519" s="1459"/>
      <c r="J519" s="1459"/>
      <c r="K519" s="1459"/>
      <c r="L519" s="1459"/>
      <c r="N519" s="1399"/>
      <c r="P519" s="1399"/>
      <c r="Q519" s="1399"/>
      <c r="R519" s="1399"/>
      <c r="S519" s="1399"/>
      <c r="T519" s="1399"/>
      <c r="U519" s="1399"/>
      <c r="V519" s="1399"/>
      <c r="W519" s="1399"/>
    </row>
    <row r="520" spans="2:23" s="1280" customFormat="1" x14ac:dyDescent="0.6">
      <c r="B520" s="1461"/>
      <c r="D520" s="1459"/>
      <c r="E520" s="1459"/>
      <c r="F520" s="1459"/>
      <c r="G520" s="1459"/>
      <c r="H520" s="1459"/>
      <c r="I520" s="1459"/>
      <c r="J520" s="1459"/>
      <c r="K520" s="1459"/>
      <c r="L520" s="1459"/>
      <c r="N520" s="1399"/>
      <c r="P520" s="1399"/>
      <c r="Q520" s="1399"/>
      <c r="R520" s="1399"/>
      <c r="S520" s="1399"/>
      <c r="T520" s="1399"/>
      <c r="U520" s="1399"/>
      <c r="V520" s="1399"/>
      <c r="W520" s="1399"/>
    </row>
    <row r="521" spans="2:23" s="1280" customFormat="1" x14ac:dyDescent="0.6">
      <c r="B521" s="1461"/>
      <c r="D521" s="1459"/>
      <c r="E521" s="1459"/>
      <c r="F521" s="1459"/>
      <c r="G521" s="1459"/>
      <c r="H521" s="1459"/>
      <c r="I521" s="1459"/>
      <c r="J521" s="1459"/>
      <c r="K521" s="1459"/>
      <c r="L521" s="1459"/>
      <c r="N521" s="1399"/>
      <c r="P521" s="1399"/>
      <c r="Q521" s="1399"/>
      <c r="R521" s="1399"/>
      <c r="S521" s="1399"/>
      <c r="T521" s="1399"/>
      <c r="U521" s="1399"/>
      <c r="V521" s="1399"/>
      <c r="W521" s="1399"/>
    </row>
    <row r="522" spans="2:23" s="1280" customFormat="1" x14ac:dyDescent="0.6">
      <c r="B522" s="1461"/>
      <c r="D522" s="1459"/>
      <c r="E522" s="1459"/>
      <c r="F522" s="1459"/>
      <c r="G522" s="1459"/>
      <c r="H522" s="1459"/>
      <c r="I522" s="1459"/>
      <c r="J522" s="1459"/>
      <c r="K522" s="1459"/>
      <c r="L522" s="1459"/>
      <c r="N522" s="1399"/>
      <c r="P522" s="1399"/>
      <c r="Q522" s="1399"/>
      <c r="R522" s="1399"/>
      <c r="S522" s="1399"/>
      <c r="T522" s="1399"/>
      <c r="U522" s="1399"/>
      <c r="V522" s="1399"/>
      <c r="W522" s="1399"/>
    </row>
    <row r="523" spans="2:23" s="1280" customFormat="1" x14ac:dyDescent="0.6">
      <c r="B523" s="1461"/>
      <c r="D523" s="1459"/>
      <c r="E523" s="1459"/>
      <c r="F523" s="1459"/>
      <c r="G523" s="1459"/>
      <c r="H523" s="1459"/>
      <c r="I523" s="1459"/>
      <c r="J523" s="1459"/>
      <c r="K523" s="1459"/>
      <c r="L523" s="1459"/>
      <c r="N523" s="1399"/>
      <c r="P523" s="1399"/>
      <c r="Q523" s="1399"/>
      <c r="R523" s="1399"/>
      <c r="S523" s="1399"/>
      <c r="T523" s="1399"/>
      <c r="U523" s="1399"/>
      <c r="V523" s="1399"/>
      <c r="W523" s="1399"/>
    </row>
    <row r="524" spans="2:23" s="1280" customFormat="1" x14ac:dyDescent="0.6">
      <c r="B524" s="1461"/>
      <c r="D524" s="1459"/>
      <c r="E524" s="1459"/>
      <c r="F524" s="1459"/>
      <c r="G524" s="1459"/>
      <c r="H524" s="1459"/>
      <c r="I524" s="1459"/>
      <c r="J524" s="1459"/>
      <c r="K524" s="1459"/>
      <c r="L524" s="1459"/>
      <c r="N524" s="1399"/>
      <c r="P524" s="1399"/>
      <c r="Q524" s="1399"/>
      <c r="R524" s="1399"/>
      <c r="S524" s="1399"/>
      <c r="T524" s="1399"/>
      <c r="U524" s="1399"/>
      <c r="V524" s="1399"/>
      <c r="W524" s="1399"/>
    </row>
    <row r="525" spans="2:23" s="1280" customFormat="1" x14ac:dyDescent="0.6">
      <c r="B525" s="1461"/>
      <c r="D525" s="1459"/>
      <c r="E525" s="1459"/>
      <c r="F525" s="1459"/>
      <c r="G525" s="1459"/>
      <c r="H525" s="1459"/>
      <c r="I525" s="1459"/>
      <c r="J525" s="1459"/>
      <c r="K525" s="1459"/>
      <c r="L525" s="1459"/>
      <c r="N525" s="1399"/>
      <c r="P525" s="1399"/>
      <c r="Q525" s="1399"/>
      <c r="R525" s="1399"/>
      <c r="S525" s="1399"/>
      <c r="T525" s="1399"/>
      <c r="U525" s="1399"/>
      <c r="V525" s="1399"/>
      <c r="W525" s="1399"/>
    </row>
    <row r="526" spans="2:23" s="1280" customFormat="1" x14ac:dyDescent="0.6">
      <c r="B526" s="1461"/>
      <c r="D526" s="1459"/>
      <c r="E526" s="1459"/>
      <c r="F526" s="1459"/>
      <c r="G526" s="1459"/>
      <c r="H526" s="1459"/>
      <c r="I526" s="1459"/>
      <c r="J526" s="1459"/>
      <c r="K526" s="1459"/>
      <c r="L526" s="1459"/>
      <c r="N526" s="1399"/>
      <c r="P526" s="1399"/>
      <c r="Q526" s="1399"/>
      <c r="R526" s="1399"/>
      <c r="S526" s="1399"/>
      <c r="T526" s="1399"/>
      <c r="U526" s="1399"/>
      <c r="V526" s="1399"/>
      <c r="W526" s="1399"/>
    </row>
    <row r="527" spans="2:23" s="1280" customFormat="1" x14ac:dyDescent="0.6">
      <c r="B527" s="1461"/>
      <c r="D527" s="1459"/>
      <c r="E527" s="1459"/>
      <c r="F527" s="1459"/>
      <c r="G527" s="1459"/>
      <c r="H527" s="1459"/>
      <c r="I527" s="1459"/>
      <c r="J527" s="1459"/>
      <c r="K527" s="1459"/>
      <c r="L527" s="1459"/>
      <c r="N527" s="1399"/>
      <c r="P527" s="1399"/>
      <c r="Q527" s="1399"/>
      <c r="R527" s="1399"/>
      <c r="S527" s="1399"/>
      <c r="T527" s="1399"/>
      <c r="U527" s="1399"/>
      <c r="V527" s="1399"/>
      <c r="W527" s="1399"/>
    </row>
    <row r="528" spans="2:23" s="1280" customFormat="1" x14ac:dyDescent="0.6">
      <c r="B528" s="1461"/>
      <c r="D528" s="1459"/>
      <c r="E528" s="1459"/>
      <c r="F528" s="1459"/>
      <c r="G528" s="1459"/>
      <c r="H528" s="1459"/>
      <c r="I528" s="1459"/>
      <c r="J528" s="1459"/>
      <c r="K528" s="1459"/>
      <c r="L528" s="1459"/>
      <c r="N528" s="1399"/>
      <c r="P528" s="1399"/>
      <c r="Q528" s="1399"/>
      <c r="R528" s="1399"/>
      <c r="S528" s="1399"/>
      <c r="T528" s="1399"/>
      <c r="U528" s="1399"/>
      <c r="V528" s="1399"/>
      <c r="W528" s="1399"/>
    </row>
    <row r="529" spans="2:23" s="1280" customFormat="1" x14ac:dyDescent="0.6">
      <c r="B529" s="1461"/>
      <c r="D529" s="1459"/>
      <c r="E529" s="1459"/>
      <c r="F529" s="1459"/>
      <c r="G529" s="1459"/>
      <c r="H529" s="1459"/>
      <c r="I529" s="1459"/>
      <c r="J529" s="1459"/>
      <c r="K529" s="1459"/>
      <c r="L529" s="1459"/>
      <c r="N529" s="1399"/>
      <c r="P529" s="1399"/>
      <c r="Q529" s="1399"/>
      <c r="R529" s="1399"/>
      <c r="S529" s="1399"/>
      <c r="T529" s="1399"/>
      <c r="U529" s="1399"/>
      <c r="V529" s="1399"/>
      <c r="W529" s="1399"/>
    </row>
    <row r="530" spans="2:23" s="1280" customFormat="1" x14ac:dyDescent="0.6">
      <c r="B530" s="1461"/>
      <c r="D530" s="1459"/>
      <c r="E530" s="1459"/>
      <c r="F530" s="1459"/>
      <c r="G530" s="1459"/>
      <c r="H530" s="1459"/>
      <c r="I530" s="1459"/>
      <c r="J530" s="1459"/>
      <c r="K530" s="1459"/>
      <c r="L530" s="1459"/>
      <c r="N530" s="1399"/>
      <c r="P530" s="1399"/>
      <c r="Q530" s="1399"/>
      <c r="R530" s="1399"/>
      <c r="S530" s="1399"/>
      <c r="T530" s="1399"/>
      <c r="U530" s="1399"/>
      <c r="V530" s="1399"/>
      <c r="W530" s="1399"/>
    </row>
    <row r="531" spans="2:23" s="1280" customFormat="1" x14ac:dyDescent="0.6">
      <c r="B531" s="1461"/>
      <c r="D531" s="1459"/>
      <c r="E531" s="1459"/>
      <c r="F531" s="1459"/>
      <c r="G531" s="1459"/>
      <c r="H531" s="1459"/>
      <c r="I531" s="1459"/>
      <c r="J531" s="1459"/>
      <c r="K531" s="1459"/>
      <c r="L531" s="1459"/>
      <c r="N531" s="1399"/>
      <c r="P531" s="1399"/>
      <c r="Q531" s="1399"/>
      <c r="R531" s="1399"/>
      <c r="S531" s="1399"/>
      <c r="T531" s="1399"/>
      <c r="U531" s="1399"/>
      <c r="V531" s="1399"/>
      <c r="W531" s="1399"/>
    </row>
    <row r="532" spans="2:23" s="1280" customFormat="1" x14ac:dyDescent="0.6">
      <c r="B532" s="1461"/>
      <c r="D532" s="1459"/>
      <c r="E532" s="1459"/>
      <c r="F532" s="1459"/>
      <c r="G532" s="1459"/>
      <c r="H532" s="1459"/>
      <c r="I532" s="1459"/>
      <c r="J532" s="1459"/>
      <c r="K532" s="1459"/>
      <c r="L532" s="1459"/>
      <c r="N532" s="1399"/>
      <c r="P532" s="1399"/>
      <c r="Q532" s="1399"/>
      <c r="R532" s="1399"/>
      <c r="S532" s="1399"/>
      <c r="T532" s="1399"/>
      <c r="U532" s="1399"/>
      <c r="V532" s="1399"/>
      <c r="W532" s="1399"/>
    </row>
    <row r="533" spans="2:23" s="1280" customFormat="1" x14ac:dyDescent="0.6">
      <c r="B533" s="1461"/>
      <c r="D533" s="1459"/>
      <c r="E533" s="1459"/>
      <c r="F533" s="1459"/>
      <c r="G533" s="1459"/>
      <c r="H533" s="1459"/>
      <c r="I533" s="1459"/>
      <c r="J533" s="1459"/>
      <c r="K533" s="1459"/>
      <c r="L533" s="1459"/>
      <c r="N533" s="1399"/>
      <c r="P533" s="1399"/>
      <c r="Q533" s="1399"/>
      <c r="R533" s="1399"/>
      <c r="S533" s="1399"/>
      <c r="T533" s="1399"/>
      <c r="U533" s="1399"/>
      <c r="V533" s="1399"/>
      <c r="W533" s="1399"/>
    </row>
    <row r="534" spans="2:23" s="1280" customFormat="1" x14ac:dyDescent="0.6">
      <c r="B534" s="1461"/>
      <c r="D534" s="1459"/>
      <c r="E534" s="1459"/>
      <c r="F534" s="1459"/>
      <c r="G534" s="1459"/>
      <c r="H534" s="1459"/>
      <c r="I534" s="1459"/>
      <c r="J534" s="1459"/>
      <c r="K534" s="1459"/>
      <c r="L534" s="1459"/>
      <c r="N534" s="1399"/>
      <c r="P534" s="1399"/>
      <c r="Q534" s="1399"/>
      <c r="R534" s="1399"/>
      <c r="S534" s="1399"/>
      <c r="T534" s="1399"/>
      <c r="U534" s="1399"/>
      <c r="V534" s="1399"/>
      <c r="W534" s="1399"/>
    </row>
    <row r="535" spans="2:23" s="1280" customFormat="1" x14ac:dyDescent="0.6">
      <c r="B535" s="1461"/>
      <c r="D535" s="1459"/>
      <c r="E535" s="1459"/>
      <c r="F535" s="1459"/>
      <c r="G535" s="1459"/>
      <c r="H535" s="1459"/>
      <c r="I535" s="1459"/>
      <c r="J535" s="1459"/>
      <c r="K535" s="1459"/>
      <c r="L535" s="1459"/>
      <c r="N535" s="1399"/>
      <c r="P535" s="1399"/>
      <c r="Q535" s="1399"/>
      <c r="R535" s="1399"/>
      <c r="S535" s="1399"/>
      <c r="T535" s="1399"/>
      <c r="U535" s="1399"/>
      <c r="V535" s="1399"/>
      <c r="W535" s="1399"/>
    </row>
    <row r="536" spans="2:23" s="1280" customFormat="1" x14ac:dyDescent="0.6">
      <c r="B536" s="1461"/>
      <c r="D536" s="1459"/>
      <c r="E536" s="1459"/>
      <c r="F536" s="1459"/>
      <c r="G536" s="1459"/>
      <c r="H536" s="1459"/>
      <c r="I536" s="1459"/>
      <c r="J536" s="1459"/>
      <c r="K536" s="1459"/>
      <c r="L536" s="1459"/>
      <c r="N536" s="1399"/>
      <c r="P536" s="1399"/>
      <c r="Q536" s="1399"/>
      <c r="R536" s="1399"/>
      <c r="S536" s="1399"/>
      <c r="T536" s="1399"/>
      <c r="U536" s="1399"/>
      <c r="V536" s="1399"/>
      <c r="W536" s="1399"/>
    </row>
    <row r="537" spans="2:23" s="1280" customFormat="1" x14ac:dyDescent="0.6">
      <c r="B537" s="1461"/>
      <c r="D537" s="1459"/>
      <c r="E537" s="1459"/>
      <c r="F537" s="1459"/>
      <c r="G537" s="1459"/>
      <c r="H537" s="1459"/>
      <c r="I537" s="1459"/>
      <c r="J537" s="1459"/>
      <c r="K537" s="1459"/>
      <c r="L537" s="1459"/>
      <c r="N537" s="1399"/>
      <c r="P537" s="1399"/>
      <c r="Q537" s="1399"/>
      <c r="R537" s="1399"/>
      <c r="S537" s="1399"/>
      <c r="T537" s="1399"/>
      <c r="U537" s="1399"/>
      <c r="V537" s="1399"/>
      <c r="W537" s="1399"/>
    </row>
    <row r="538" spans="2:23" s="1280" customFormat="1" x14ac:dyDescent="0.6">
      <c r="B538" s="1461"/>
      <c r="D538" s="1459"/>
      <c r="E538" s="1459"/>
      <c r="F538" s="1459"/>
      <c r="G538" s="1459"/>
      <c r="H538" s="1459"/>
      <c r="I538" s="1459"/>
      <c r="J538" s="1459"/>
      <c r="K538" s="1459"/>
      <c r="L538" s="1459"/>
      <c r="N538" s="1399"/>
      <c r="P538" s="1399"/>
      <c r="Q538" s="1399"/>
      <c r="R538" s="1399"/>
      <c r="S538" s="1399"/>
      <c r="T538" s="1399"/>
      <c r="U538" s="1399"/>
      <c r="V538" s="1399"/>
      <c r="W538" s="1399"/>
    </row>
    <row r="539" spans="2:23" s="1280" customFormat="1" x14ac:dyDescent="0.6">
      <c r="B539" s="1461"/>
      <c r="D539" s="1459"/>
      <c r="E539" s="1459"/>
      <c r="F539" s="1459"/>
      <c r="G539" s="1459"/>
      <c r="H539" s="1459"/>
      <c r="I539" s="1459"/>
      <c r="J539" s="1459"/>
      <c r="K539" s="1459"/>
      <c r="L539" s="1459"/>
      <c r="N539" s="1399"/>
      <c r="P539" s="1399"/>
      <c r="Q539" s="1399"/>
      <c r="R539" s="1399"/>
      <c r="S539" s="1399"/>
      <c r="T539" s="1399"/>
      <c r="U539" s="1399"/>
      <c r="V539" s="1399"/>
      <c r="W539" s="1399"/>
    </row>
    <row r="540" spans="2:23" s="1280" customFormat="1" x14ac:dyDescent="0.6">
      <c r="B540" s="1461"/>
      <c r="D540" s="1459"/>
      <c r="E540" s="1459"/>
      <c r="F540" s="1459"/>
      <c r="G540" s="1459"/>
      <c r="H540" s="1459"/>
      <c r="I540" s="1459"/>
      <c r="J540" s="1459"/>
      <c r="K540" s="1459"/>
      <c r="L540" s="1459"/>
      <c r="N540" s="1399"/>
      <c r="P540" s="1399"/>
      <c r="Q540" s="1399"/>
      <c r="R540" s="1399"/>
      <c r="S540" s="1399"/>
      <c r="T540" s="1399"/>
      <c r="U540" s="1399"/>
      <c r="V540" s="1399"/>
      <c r="W540" s="1399"/>
    </row>
    <row r="541" spans="2:23" s="1280" customFormat="1" x14ac:dyDescent="0.6">
      <c r="B541" s="1461"/>
      <c r="D541" s="1459"/>
      <c r="E541" s="1459"/>
      <c r="F541" s="1459"/>
      <c r="G541" s="1459"/>
      <c r="H541" s="1459"/>
      <c r="I541" s="1459"/>
      <c r="J541" s="1459"/>
      <c r="K541" s="1459"/>
      <c r="L541" s="1459"/>
      <c r="N541" s="1399"/>
      <c r="P541" s="1399"/>
      <c r="Q541" s="1399"/>
      <c r="R541" s="1399"/>
      <c r="S541" s="1399"/>
      <c r="T541" s="1399"/>
      <c r="U541" s="1399"/>
      <c r="V541" s="1399"/>
      <c r="W541" s="1399"/>
    </row>
    <row r="542" spans="2:23" s="1280" customFormat="1" x14ac:dyDescent="0.6">
      <c r="B542" s="1461"/>
      <c r="D542" s="1459"/>
      <c r="E542" s="1459"/>
      <c r="F542" s="1459"/>
      <c r="G542" s="1459"/>
      <c r="H542" s="1459"/>
      <c r="I542" s="1459"/>
      <c r="J542" s="1459"/>
      <c r="K542" s="1459"/>
      <c r="L542" s="1459"/>
      <c r="N542" s="1399"/>
      <c r="P542" s="1399"/>
      <c r="Q542" s="1399"/>
      <c r="R542" s="1399"/>
      <c r="S542" s="1399"/>
      <c r="T542" s="1399"/>
      <c r="U542" s="1399"/>
      <c r="V542" s="1399"/>
      <c r="W542" s="1399"/>
    </row>
    <row r="543" spans="2:23" s="1280" customFormat="1" x14ac:dyDescent="0.6">
      <c r="B543" s="1461"/>
      <c r="D543" s="1459"/>
      <c r="E543" s="1459"/>
      <c r="F543" s="1459"/>
      <c r="G543" s="1459"/>
      <c r="H543" s="1459"/>
      <c r="I543" s="1459"/>
      <c r="J543" s="1459"/>
      <c r="K543" s="1459"/>
      <c r="L543" s="1459"/>
      <c r="N543" s="1399"/>
      <c r="P543" s="1399"/>
      <c r="Q543" s="1399"/>
      <c r="R543" s="1399"/>
      <c r="S543" s="1399"/>
      <c r="T543" s="1399"/>
      <c r="U543" s="1399"/>
      <c r="V543" s="1399"/>
      <c r="W543" s="1399"/>
    </row>
    <row r="544" spans="2:23" s="1280" customFormat="1" x14ac:dyDescent="0.6">
      <c r="B544" s="1461"/>
      <c r="D544" s="1459"/>
      <c r="E544" s="1459"/>
      <c r="F544" s="1459"/>
      <c r="G544" s="1459"/>
      <c r="H544" s="1459"/>
      <c r="I544" s="1459"/>
      <c r="J544" s="1459"/>
      <c r="K544" s="1459"/>
      <c r="L544" s="1459"/>
      <c r="N544" s="1399"/>
      <c r="P544" s="1399"/>
      <c r="Q544" s="1399"/>
      <c r="R544" s="1399"/>
      <c r="S544" s="1399"/>
      <c r="T544" s="1399"/>
      <c r="U544" s="1399"/>
      <c r="V544" s="1399"/>
      <c r="W544" s="1399"/>
    </row>
    <row r="545" spans="2:23" s="1280" customFormat="1" x14ac:dyDescent="0.6">
      <c r="B545" s="1461"/>
      <c r="D545" s="1459"/>
      <c r="E545" s="1459"/>
      <c r="F545" s="1459"/>
      <c r="G545" s="1459"/>
      <c r="H545" s="1459"/>
      <c r="I545" s="1459"/>
      <c r="J545" s="1459"/>
      <c r="K545" s="1459"/>
      <c r="L545" s="1459"/>
      <c r="N545" s="1399"/>
      <c r="P545" s="1399"/>
      <c r="Q545" s="1399"/>
      <c r="R545" s="1399"/>
      <c r="S545" s="1399"/>
      <c r="T545" s="1399"/>
      <c r="U545" s="1399"/>
      <c r="V545" s="1399"/>
      <c r="W545" s="1399"/>
    </row>
    <row r="546" spans="2:23" s="1280" customFormat="1" x14ac:dyDescent="0.6">
      <c r="B546" s="1461"/>
      <c r="D546" s="1459"/>
      <c r="E546" s="1459"/>
      <c r="F546" s="1459"/>
      <c r="G546" s="1459"/>
      <c r="H546" s="1459"/>
      <c r="I546" s="1459"/>
      <c r="J546" s="1459"/>
      <c r="K546" s="1459"/>
      <c r="L546" s="1459"/>
      <c r="N546" s="1399"/>
      <c r="P546" s="1399"/>
      <c r="Q546" s="1399"/>
      <c r="R546" s="1399"/>
      <c r="S546" s="1399"/>
      <c r="T546" s="1399"/>
      <c r="U546" s="1399"/>
      <c r="V546" s="1399"/>
      <c r="W546" s="1399"/>
    </row>
    <row r="547" spans="2:23" s="1280" customFormat="1" x14ac:dyDescent="0.6">
      <c r="B547" s="1461"/>
      <c r="D547" s="1459"/>
      <c r="E547" s="1459"/>
      <c r="F547" s="1459"/>
      <c r="G547" s="1459"/>
      <c r="H547" s="1459"/>
      <c r="I547" s="1459"/>
      <c r="J547" s="1459"/>
      <c r="K547" s="1459"/>
      <c r="L547" s="1459"/>
      <c r="N547" s="1399"/>
      <c r="P547" s="1399"/>
      <c r="Q547" s="1399"/>
      <c r="R547" s="1399"/>
      <c r="S547" s="1399"/>
      <c r="T547" s="1399"/>
      <c r="U547" s="1399"/>
      <c r="V547" s="1399"/>
      <c r="W547" s="1399"/>
    </row>
    <row r="548" spans="2:23" s="1280" customFormat="1" x14ac:dyDescent="0.6">
      <c r="B548" s="1461"/>
      <c r="D548" s="1459"/>
      <c r="E548" s="1459"/>
      <c r="F548" s="1459"/>
      <c r="G548" s="1459"/>
      <c r="H548" s="1459"/>
      <c r="I548" s="1459"/>
      <c r="J548" s="1459"/>
      <c r="K548" s="1459"/>
      <c r="L548" s="1459"/>
      <c r="N548" s="1399"/>
      <c r="P548" s="1399"/>
      <c r="Q548" s="1399"/>
      <c r="R548" s="1399"/>
      <c r="S548" s="1399"/>
      <c r="T548" s="1399"/>
      <c r="U548" s="1399"/>
      <c r="V548" s="1399"/>
      <c r="W548" s="1399"/>
    </row>
    <row r="549" spans="2:23" s="1280" customFormat="1" x14ac:dyDescent="0.6">
      <c r="B549" s="1461"/>
      <c r="D549" s="1459"/>
      <c r="E549" s="1459"/>
      <c r="F549" s="1459"/>
      <c r="G549" s="1459"/>
      <c r="H549" s="1459"/>
      <c r="I549" s="1459"/>
      <c r="J549" s="1459"/>
      <c r="K549" s="1459"/>
      <c r="L549" s="1459"/>
      <c r="N549" s="1399"/>
      <c r="P549" s="1399"/>
      <c r="Q549" s="1399"/>
      <c r="R549" s="1399"/>
      <c r="S549" s="1399"/>
      <c r="T549" s="1399"/>
      <c r="U549" s="1399"/>
      <c r="V549" s="1399"/>
      <c r="W549" s="1399"/>
    </row>
    <row r="550" spans="2:23" s="1280" customFormat="1" x14ac:dyDescent="0.6">
      <c r="B550" s="1461"/>
      <c r="D550" s="1459"/>
      <c r="E550" s="1459"/>
      <c r="F550" s="1459"/>
      <c r="G550" s="1459"/>
      <c r="H550" s="1459"/>
      <c r="I550" s="1459"/>
      <c r="J550" s="1459"/>
      <c r="K550" s="1459"/>
      <c r="L550" s="1459"/>
      <c r="N550" s="1399"/>
      <c r="P550" s="1399"/>
      <c r="Q550" s="1399"/>
      <c r="R550" s="1399"/>
      <c r="S550" s="1399"/>
      <c r="T550" s="1399"/>
      <c r="U550" s="1399"/>
      <c r="V550" s="1399"/>
      <c r="W550" s="1399"/>
    </row>
    <row r="551" spans="2:23" s="1280" customFormat="1" x14ac:dyDescent="0.6">
      <c r="B551" s="1461"/>
      <c r="D551" s="1459"/>
      <c r="E551" s="1459"/>
      <c r="F551" s="1459"/>
      <c r="G551" s="1459"/>
      <c r="H551" s="1459"/>
      <c r="I551" s="1459"/>
      <c r="J551" s="1459"/>
      <c r="K551" s="1459"/>
      <c r="L551" s="1459"/>
      <c r="N551" s="1399"/>
      <c r="P551" s="1399"/>
      <c r="Q551" s="1399"/>
      <c r="R551" s="1399"/>
      <c r="S551" s="1399"/>
      <c r="T551" s="1399"/>
      <c r="U551" s="1399"/>
      <c r="V551" s="1399"/>
      <c r="W551" s="1399"/>
    </row>
    <row r="552" spans="2:23" s="1280" customFormat="1" x14ac:dyDescent="0.6">
      <c r="B552" s="1461"/>
      <c r="D552" s="1459"/>
      <c r="E552" s="1459"/>
      <c r="F552" s="1459"/>
      <c r="G552" s="1459"/>
      <c r="H552" s="1459"/>
      <c r="I552" s="1459"/>
      <c r="J552" s="1459"/>
      <c r="K552" s="1459"/>
      <c r="L552" s="1459"/>
      <c r="N552" s="1399"/>
      <c r="P552" s="1399"/>
      <c r="Q552" s="1399"/>
      <c r="R552" s="1399"/>
      <c r="S552" s="1399"/>
      <c r="T552" s="1399"/>
      <c r="U552" s="1399"/>
      <c r="V552" s="1399"/>
      <c r="W552" s="1399"/>
    </row>
    <row r="553" spans="2:23" s="1280" customFormat="1" x14ac:dyDescent="0.6">
      <c r="B553" s="1461"/>
      <c r="D553" s="1459"/>
      <c r="E553" s="1459"/>
      <c r="F553" s="1459"/>
      <c r="G553" s="1459"/>
      <c r="H553" s="1459"/>
      <c r="I553" s="1459"/>
      <c r="J553" s="1459"/>
      <c r="K553" s="1459"/>
      <c r="L553" s="1459"/>
      <c r="N553" s="1399"/>
      <c r="P553" s="1399"/>
      <c r="Q553" s="1399"/>
      <c r="R553" s="1399"/>
      <c r="S553" s="1399"/>
      <c r="T553" s="1399"/>
      <c r="U553" s="1399"/>
      <c r="V553" s="1399"/>
      <c r="W553" s="1399"/>
    </row>
    <row r="554" spans="2:23" s="1280" customFormat="1" x14ac:dyDescent="0.6">
      <c r="B554" s="1461"/>
      <c r="D554" s="1459"/>
      <c r="E554" s="1459"/>
      <c r="F554" s="1459"/>
      <c r="G554" s="1459"/>
      <c r="H554" s="1459"/>
      <c r="I554" s="1459"/>
      <c r="J554" s="1459"/>
      <c r="K554" s="1459"/>
      <c r="L554" s="1459"/>
      <c r="N554" s="1399"/>
      <c r="P554" s="1399"/>
      <c r="Q554" s="1399"/>
      <c r="R554" s="1399"/>
      <c r="S554" s="1399"/>
      <c r="T554" s="1399"/>
      <c r="U554" s="1399"/>
      <c r="V554" s="1399"/>
      <c r="W554" s="1399"/>
    </row>
    <row r="555" spans="2:23" s="1280" customFormat="1" x14ac:dyDescent="0.6">
      <c r="B555" s="1461"/>
      <c r="D555" s="1459"/>
      <c r="E555" s="1459"/>
      <c r="F555" s="1459"/>
      <c r="G555" s="1459"/>
      <c r="H555" s="1459"/>
      <c r="I555" s="1459"/>
      <c r="J555" s="1459"/>
      <c r="K555" s="1459"/>
      <c r="L555" s="1459"/>
      <c r="N555" s="1399"/>
      <c r="P555" s="1399"/>
      <c r="Q555" s="1399"/>
      <c r="R555" s="1399"/>
      <c r="S555" s="1399"/>
      <c r="T555" s="1399"/>
      <c r="U555" s="1399"/>
      <c r="V555" s="1399"/>
      <c r="W555" s="1399"/>
    </row>
    <row r="556" spans="2:23" s="1280" customFormat="1" x14ac:dyDescent="0.6">
      <c r="B556" s="1461"/>
      <c r="D556" s="1459"/>
      <c r="E556" s="1459"/>
      <c r="F556" s="1459"/>
      <c r="G556" s="1459"/>
      <c r="H556" s="1459"/>
      <c r="I556" s="1459"/>
      <c r="J556" s="1459"/>
      <c r="K556" s="1459"/>
      <c r="L556" s="1459"/>
      <c r="N556" s="1399"/>
      <c r="P556" s="1399"/>
      <c r="Q556" s="1399"/>
      <c r="R556" s="1399"/>
      <c r="S556" s="1399"/>
      <c r="T556" s="1399"/>
      <c r="U556" s="1399"/>
      <c r="V556" s="1399"/>
      <c r="W556" s="1399"/>
    </row>
    <row r="557" spans="2:23" s="1280" customFormat="1" x14ac:dyDescent="0.6">
      <c r="B557" s="1461"/>
      <c r="D557" s="1459"/>
      <c r="E557" s="1459"/>
      <c r="F557" s="1459"/>
      <c r="G557" s="1459"/>
      <c r="H557" s="1459"/>
      <c r="I557" s="1459"/>
      <c r="J557" s="1459"/>
      <c r="K557" s="1459"/>
      <c r="L557" s="1459"/>
      <c r="N557" s="1399"/>
      <c r="P557" s="1399"/>
      <c r="Q557" s="1399"/>
      <c r="R557" s="1399"/>
      <c r="S557" s="1399"/>
      <c r="T557" s="1399"/>
      <c r="U557" s="1399"/>
      <c r="V557" s="1399"/>
      <c r="W557" s="1399"/>
    </row>
    <row r="558" spans="2:23" s="1280" customFormat="1" x14ac:dyDescent="0.6">
      <c r="B558" s="1461"/>
      <c r="D558" s="1459"/>
      <c r="E558" s="1459"/>
      <c r="F558" s="1459"/>
      <c r="G558" s="1459"/>
      <c r="H558" s="1459"/>
      <c r="I558" s="1459"/>
      <c r="J558" s="1459"/>
      <c r="K558" s="1459"/>
      <c r="L558" s="1459"/>
      <c r="N558" s="1399"/>
      <c r="P558" s="1399"/>
      <c r="Q558" s="1399"/>
      <c r="R558" s="1399"/>
      <c r="S558" s="1399"/>
      <c r="T558" s="1399"/>
      <c r="U558" s="1399"/>
      <c r="V558" s="1399"/>
      <c r="W558" s="1399"/>
    </row>
    <row r="559" spans="2:23" s="1280" customFormat="1" x14ac:dyDescent="0.6">
      <c r="B559" s="1461"/>
      <c r="D559" s="1459"/>
      <c r="E559" s="1459"/>
      <c r="F559" s="1459"/>
      <c r="G559" s="1459"/>
      <c r="H559" s="1459"/>
      <c r="I559" s="1459"/>
      <c r="J559" s="1459"/>
      <c r="K559" s="1459"/>
      <c r="L559" s="1459"/>
      <c r="N559" s="1399"/>
      <c r="P559" s="1399"/>
      <c r="Q559" s="1399"/>
      <c r="R559" s="1399"/>
      <c r="S559" s="1399"/>
      <c r="T559" s="1399"/>
      <c r="U559" s="1399"/>
      <c r="V559" s="1399"/>
      <c r="W559" s="1399"/>
    </row>
    <row r="560" spans="2:23" s="1280" customFormat="1" x14ac:dyDescent="0.6">
      <c r="B560" s="1461"/>
      <c r="D560" s="1459"/>
      <c r="E560" s="1459"/>
      <c r="F560" s="1459"/>
      <c r="G560" s="1459"/>
      <c r="H560" s="1459"/>
      <c r="I560" s="1459"/>
      <c r="J560" s="1459"/>
      <c r="K560" s="1459"/>
      <c r="L560" s="1459"/>
      <c r="N560" s="1399"/>
      <c r="P560" s="1399"/>
      <c r="Q560" s="1399"/>
      <c r="R560" s="1399"/>
      <c r="S560" s="1399"/>
      <c r="T560" s="1399"/>
      <c r="U560" s="1399"/>
      <c r="V560" s="1399"/>
      <c r="W560" s="1399"/>
    </row>
    <row r="561" spans="2:23" s="1280" customFormat="1" x14ac:dyDescent="0.6">
      <c r="B561" s="1461"/>
      <c r="D561" s="1459"/>
      <c r="E561" s="1459"/>
      <c r="F561" s="1459"/>
      <c r="G561" s="1459"/>
      <c r="H561" s="1459"/>
      <c r="I561" s="1459"/>
      <c r="J561" s="1459"/>
      <c r="K561" s="1459"/>
      <c r="L561" s="1459"/>
      <c r="N561" s="1399"/>
      <c r="P561" s="1399"/>
      <c r="Q561" s="1399"/>
      <c r="R561" s="1399"/>
      <c r="S561" s="1399"/>
      <c r="T561" s="1399"/>
      <c r="U561" s="1399"/>
      <c r="V561" s="1399"/>
      <c r="W561" s="1399"/>
    </row>
    <row r="562" spans="2:23" s="1280" customFormat="1" x14ac:dyDescent="0.6">
      <c r="B562" s="1461"/>
      <c r="D562" s="1459"/>
      <c r="E562" s="1459"/>
      <c r="F562" s="1459"/>
      <c r="G562" s="1459"/>
      <c r="H562" s="1459"/>
      <c r="I562" s="1459"/>
      <c r="J562" s="1459"/>
      <c r="K562" s="1459"/>
      <c r="L562" s="1459"/>
      <c r="N562" s="1399"/>
      <c r="P562" s="1399"/>
      <c r="Q562" s="1399"/>
      <c r="R562" s="1399"/>
      <c r="S562" s="1399"/>
      <c r="T562" s="1399"/>
      <c r="U562" s="1399"/>
      <c r="V562" s="1399"/>
      <c r="W562" s="1399"/>
    </row>
    <row r="563" spans="2:23" s="1280" customFormat="1" x14ac:dyDescent="0.6">
      <c r="B563" s="1461"/>
      <c r="D563" s="1459"/>
      <c r="E563" s="1459"/>
      <c r="F563" s="1459"/>
      <c r="G563" s="1459"/>
      <c r="H563" s="1459"/>
      <c r="I563" s="1459"/>
      <c r="J563" s="1459"/>
      <c r="K563" s="1459"/>
      <c r="L563" s="1459"/>
      <c r="N563" s="1399"/>
      <c r="P563" s="1399"/>
      <c r="Q563" s="1399"/>
      <c r="R563" s="1399"/>
      <c r="S563" s="1399"/>
      <c r="T563" s="1399"/>
      <c r="U563" s="1399"/>
      <c r="V563" s="1399"/>
      <c r="W563" s="1399"/>
    </row>
    <row r="564" spans="2:23" s="1280" customFormat="1" x14ac:dyDescent="0.6">
      <c r="B564" s="1461"/>
      <c r="D564" s="1459"/>
      <c r="E564" s="1459"/>
      <c r="F564" s="1459"/>
      <c r="G564" s="1459"/>
      <c r="H564" s="1459"/>
      <c r="I564" s="1459"/>
      <c r="J564" s="1459"/>
      <c r="K564" s="1459"/>
      <c r="L564" s="1459"/>
      <c r="N564" s="1399"/>
      <c r="P564" s="1399"/>
      <c r="Q564" s="1399"/>
      <c r="R564" s="1399"/>
      <c r="S564" s="1399"/>
      <c r="T564" s="1399"/>
      <c r="U564" s="1399"/>
      <c r="V564" s="1399"/>
      <c r="W564" s="1399"/>
    </row>
    <row r="565" spans="2:23" s="1280" customFormat="1" x14ac:dyDescent="0.6">
      <c r="B565" s="1461"/>
      <c r="D565" s="1459"/>
      <c r="E565" s="1459"/>
      <c r="F565" s="1459"/>
      <c r="G565" s="1459"/>
      <c r="H565" s="1459"/>
      <c r="I565" s="1459"/>
      <c r="J565" s="1459"/>
      <c r="K565" s="1459"/>
      <c r="L565" s="1459"/>
      <c r="N565" s="1399"/>
      <c r="P565" s="1399"/>
      <c r="Q565" s="1399"/>
      <c r="R565" s="1399"/>
      <c r="S565" s="1399"/>
      <c r="T565" s="1399"/>
      <c r="U565" s="1399"/>
      <c r="V565" s="1399"/>
      <c r="W565" s="1399"/>
    </row>
    <row r="566" spans="2:23" s="1280" customFormat="1" x14ac:dyDescent="0.6">
      <c r="B566" s="1461"/>
      <c r="D566" s="1459"/>
      <c r="E566" s="1459"/>
      <c r="F566" s="1459"/>
      <c r="G566" s="1459"/>
      <c r="H566" s="1459"/>
      <c r="I566" s="1459"/>
      <c r="J566" s="1459"/>
      <c r="K566" s="1459"/>
      <c r="L566" s="1459"/>
      <c r="N566" s="1399"/>
      <c r="P566" s="1399"/>
      <c r="Q566" s="1399"/>
      <c r="R566" s="1399"/>
      <c r="S566" s="1399"/>
      <c r="T566" s="1399"/>
      <c r="U566" s="1399"/>
      <c r="V566" s="1399"/>
      <c r="W566" s="1399"/>
    </row>
    <row r="567" spans="2:23" s="1280" customFormat="1" x14ac:dyDescent="0.6">
      <c r="B567" s="1461"/>
      <c r="D567" s="1459"/>
      <c r="E567" s="1459"/>
      <c r="F567" s="1459"/>
      <c r="G567" s="1459"/>
      <c r="H567" s="1459"/>
      <c r="I567" s="1459"/>
      <c r="J567" s="1459"/>
      <c r="K567" s="1459"/>
      <c r="L567" s="1459"/>
      <c r="N567" s="1399"/>
      <c r="P567" s="1399"/>
      <c r="Q567" s="1399"/>
      <c r="R567" s="1399"/>
      <c r="S567" s="1399"/>
      <c r="T567" s="1399"/>
      <c r="U567" s="1399"/>
      <c r="V567" s="1399"/>
      <c r="W567" s="1399"/>
    </row>
    <row r="568" spans="2:23" s="1280" customFormat="1" x14ac:dyDescent="0.6">
      <c r="B568" s="1461"/>
      <c r="D568" s="1459"/>
      <c r="E568" s="1459"/>
      <c r="F568" s="1459"/>
      <c r="G568" s="1459"/>
      <c r="H568" s="1459"/>
      <c r="I568" s="1459"/>
      <c r="J568" s="1459"/>
      <c r="K568" s="1459"/>
      <c r="L568" s="1459"/>
      <c r="N568" s="1399"/>
      <c r="P568" s="1399"/>
      <c r="Q568" s="1399"/>
      <c r="R568" s="1399"/>
      <c r="S568" s="1399"/>
      <c r="T568" s="1399"/>
      <c r="U568" s="1399"/>
      <c r="V568" s="1399"/>
      <c r="W568" s="1399"/>
    </row>
    <row r="569" spans="2:23" s="1280" customFormat="1" x14ac:dyDescent="0.6">
      <c r="B569" s="1461"/>
      <c r="D569" s="1459"/>
      <c r="E569" s="1459"/>
      <c r="F569" s="1459"/>
      <c r="G569" s="1459"/>
      <c r="H569" s="1459"/>
      <c r="I569" s="1459"/>
      <c r="J569" s="1459"/>
      <c r="K569" s="1459"/>
      <c r="L569" s="1459"/>
      <c r="N569" s="1399"/>
      <c r="P569" s="1399"/>
      <c r="Q569" s="1399"/>
      <c r="R569" s="1399"/>
      <c r="S569" s="1399"/>
      <c r="T569" s="1399"/>
      <c r="U569" s="1399"/>
      <c r="V569" s="1399"/>
      <c r="W569" s="1399"/>
    </row>
    <row r="570" spans="2:23" s="1280" customFormat="1" x14ac:dyDescent="0.6">
      <c r="B570" s="1461"/>
      <c r="D570" s="1459"/>
      <c r="E570" s="1459"/>
      <c r="F570" s="1459"/>
      <c r="G570" s="1459"/>
      <c r="H570" s="1459"/>
      <c r="I570" s="1459"/>
      <c r="J570" s="1459"/>
      <c r="K570" s="1459"/>
      <c r="L570" s="1459"/>
      <c r="N570" s="1399"/>
      <c r="P570" s="1399"/>
      <c r="Q570" s="1399"/>
      <c r="R570" s="1399"/>
      <c r="S570" s="1399"/>
      <c r="T570" s="1399"/>
      <c r="U570" s="1399"/>
      <c r="V570" s="1399"/>
      <c r="W570" s="1399"/>
    </row>
    <row r="571" spans="2:23" s="1280" customFormat="1" x14ac:dyDescent="0.6">
      <c r="B571" s="1461"/>
      <c r="D571" s="1459"/>
      <c r="E571" s="1459"/>
      <c r="F571" s="1459"/>
      <c r="G571" s="1459"/>
      <c r="H571" s="1459"/>
      <c r="I571" s="1459"/>
      <c r="J571" s="1459"/>
      <c r="K571" s="1459"/>
      <c r="L571" s="1459"/>
      <c r="N571" s="1399"/>
      <c r="P571" s="1399"/>
      <c r="Q571" s="1399"/>
      <c r="R571" s="1399"/>
      <c r="S571" s="1399"/>
      <c r="T571" s="1399"/>
      <c r="U571" s="1399"/>
      <c r="V571" s="1399"/>
      <c r="W571" s="1399"/>
    </row>
    <row r="572" spans="2:23" s="1280" customFormat="1" x14ac:dyDescent="0.6">
      <c r="B572" s="1461"/>
      <c r="D572" s="1459"/>
      <c r="E572" s="1459"/>
      <c r="F572" s="1459"/>
      <c r="G572" s="1459"/>
      <c r="H572" s="1459"/>
      <c r="I572" s="1459"/>
      <c r="J572" s="1459"/>
      <c r="K572" s="1459"/>
      <c r="L572" s="1459"/>
      <c r="N572" s="1399"/>
      <c r="P572" s="1399"/>
      <c r="Q572" s="1399"/>
      <c r="R572" s="1399"/>
      <c r="S572" s="1399"/>
      <c r="T572" s="1399"/>
      <c r="U572" s="1399"/>
      <c r="V572" s="1399"/>
      <c r="W572" s="1399"/>
    </row>
    <row r="573" spans="2:23" s="1280" customFormat="1" x14ac:dyDescent="0.6">
      <c r="B573" s="1461"/>
      <c r="D573" s="1459"/>
      <c r="E573" s="1459"/>
      <c r="F573" s="1459"/>
      <c r="G573" s="1459"/>
      <c r="H573" s="1459"/>
      <c r="I573" s="1459"/>
      <c r="J573" s="1459"/>
      <c r="K573" s="1459"/>
      <c r="L573" s="1459"/>
      <c r="N573" s="1399"/>
      <c r="P573" s="1399"/>
      <c r="Q573" s="1399"/>
      <c r="R573" s="1399"/>
      <c r="S573" s="1399"/>
      <c r="T573" s="1399"/>
      <c r="U573" s="1399"/>
      <c r="V573" s="1399"/>
      <c r="W573" s="1399"/>
    </row>
    <row r="574" spans="2:23" s="1280" customFormat="1" x14ac:dyDescent="0.6">
      <c r="B574" s="1461"/>
      <c r="D574" s="1459"/>
      <c r="E574" s="1459"/>
      <c r="F574" s="1459"/>
      <c r="G574" s="1459"/>
      <c r="H574" s="1459"/>
      <c r="I574" s="1459"/>
      <c r="J574" s="1459"/>
      <c r="K574" s="1459"/>
      <c r="L574" s="1459"/>
      <c r="N574" s="1399"/>
      <c r="P574" s="1399"/>
      <c r="Q574" s="1399"/>
      <c r="R574" s="1399"/>
      <c r="S574" s="1399"/>
      <c r="T574" s="1399"/>
      <c r="U574" s="1399"/>
      <c r="V574" s="1399"/>
      <c r="W574" s="1399"/>
    </row>
    <row r="575" spans="2:23" s="1280" customFormat="1" x14ac:dyDescent="0.6">
      <c r="B575" s="1461"/>
      <c r="D575" s="1459"/>
      <c r="E575" s="1459"/>
      <c r="F575" s="1459"/>
      <c r="G575" s="1459"/>
      <c r="H575" s="1459"/>
      <c r="I575" s="1459"/>
      <c r="J575" s="1459"/>
      <c r="K575" s="1459"/>
      <c r="L575" s="1459"/>
      <c r="N575" s="1399"/>
      <c r="P575" s="1399"/>
      <c r="Q575" s="1399"/>
      <c r="R575" s="1399"/>
      <c r="S575" s="1399"/>
      <c r="T575" s="1399"/>
      <c r="U575" s="1399"/>
      <c r="V575" s="1399"/>
      <c r="W575" s="1399"/>
    </row>
    <row r="576" spans="2:23" s="1280" customFormat="1" x14ac:dyDescent="0.6">
      <c r="B576" s="1461"/>
      <c r="D576" s="1459"/>
      <c r="E576" s="1459"/>
      <c r="F576" s="1459"/>
      <c r="G576" s="1459"/>
      <c r="H576" s="1459"/>
      <c r="I576" s="1459"/>
      <c r="J576" s="1459"/>
      <c r="K576" s="1459"/>
      <c r="L576" s="1459"/>
      <c r="N576" s="1399"/>
      <c r="P576" s="1399"/>
      <c r="Q576" s="1399"/>
      <c r="R576" s="1399"/>
      <c r="S576" s="1399"/>
      <c r="T576" s="1399"/>
      <c r="U576" s="1399"/>
      <c r="V576" s="1399"/>
      <c r="W576" s="1399"/>
    </row>
    <row r="577" spans="2:23" s="1280" customFormat="1" x14ac:dyDescent="0.6">
      <c r="B577" s="1461"/>
      <c r="D577" s="1459"/>
      <c r="E577" s="1459"/>
      <c r="F577" s="1459"/>
      <c r="G577" s="1459"/>
      <c r="H577" s="1459"/>
      <c r="I577" s="1459"/>
      <c r="J577" s="1459"/>
      <c r="K577" s="1459"/>
      <c r="L577" s="1459"/>
      <c r="N577" s="1399"/>
      <c r="P577" s="1399"/>
      <c r="Q577" s="1399"/>
      <c r="R577" s="1399"/>
      <c r="S577" s="1399"/>
      <c r="T577" s="1399"/>
      <c r="U577" s="1399"/>
      <c r="V577" s="1399"/>
      <c r="W577" s="1399"/>
    </row>
    <row r="578" spans="2:23" s="1280" customFormat="1" x14ac:dyDescent="0.6">
      <c r="B578" s="1461"/>
      <c r="D578" s="1459"/>
      <c r="E578" s="1459"/>
      <c r="F578" s="1459"/>
      <c r="G578" s="1459"/>
      <c r="H578" s="1459"/>
      <c r="I578" s="1459"/>
      <c r="J578" s="1459"/>
      <c r="K578" s="1459"/>
      <c r="L578" s="1459"/>
      <c r="N578" s="1399"/>
      <c r="P578" s="1399"/>
      <c r="Q578" s="1399"/>
      <c r="R578" s="1399"/>
      <c r="S578" s="1399"/>
      <c r="T578" s="1399"/>
      <c r="U578" s="1399"/>
      <c r="V578" s="1399"/>
      <c r="W578" s="1399"/>
    </row>
    <row r="579" spans="2:23" s="1280" customFormat="1" x14ac:dyDescent="0.6">
      <c r="B579" s="1461"/>
      <c r="D579" s="1459"/>
      <c r="E579" s="1459"/>
      <c r="F579" s="1459"/>
      <c r="G579" s="1459"/>
      <c r="H579" s="1459"/>
      <c r="I579" s="1459"/>
      <c r="J579" s="1459"/>
      <c r="K579" s="1459"/>
      <c r="L579" s="1459"/>
      <c r="N579" s="1399"/>
      <c r="P579" s="1399"/>
      <c r="Q579" s="1399"/>
      <c r="R579" s="1399"/>
      <c r="S579" s="1399"/>
      <c r="T579" s="1399"/>
      <c r="U579" s="1399"/>
      <c r="V579" s="1399"/>
      <c r="W579" s="1399"/>
    </row>
    <row r="580" spans="2:23" s="1280" customFormat="1" x14ac:dyDescent="0.6">
      <c r="B580" s="1461"/>
      <c r="D580" s="1459"/>
      <c r="E580" s="1459"/>
      <c r="F580" s="1459"/>
      <c r="G580" s="1459"/>
      <c r="H580" s="1459"/>
      <c r="I580" s="1459"/>
      <c r="J580" s="1459"/>
      <c r="K580" s="1459"/>
      <c r="L580" s="1459"/>
      <c r="N580" s="1399"/>
      <c r="P580" s="1399"/>
      <c r="Q580" s="1399"/>
      <c r="R580" s="1399"/>
      <c r="S580" s="1399"/>
      <c r="T580" s="1399"/>
      <c r="U580" s="1399"/>
      <c r="V580" s="1399"/>
      <c r="W580" s="1399"/>
    </row>
    <row r="581" spans="2:23" s="1280" customFormat="1" x14ac:dyDescent="0.6">
      <c r="B581" s="1461"/>
      <c r="D581" s="1459"/>
      <c r="E581" s="1459"/>
      <c r="F581" s="1459"/>
      <c r="G581" s="1459"/>
      <c r="H581" s="1459"/>
      <c r="I581" s="1459"/>
      <c r="J581" s="1459"/>
      <c r="K581" s="1459"/>
      <c r="L581" s="1459"/>
      <c r="N581" s="1399"/>
      <c r="P581" s="1399"/>
      <c r="Q581" s="1399"/>
      <c r="R581" s="1399"/>
      <c r="S581" s="1399"/>
      <c r="T581" s="1399"/>
      <c r="U581" s="1399"/>
      <c r="V581" s="1399"/>
      <c r="W581" s="1399"/>
    </row>
    <row r="582" spans="2:23" s="1280" customFormat="1" x14ac:dyDescent="0.6">
      <c r="B582" s="1461"/>
      <c r="D582" s="1459"/>
      <c r="E582" s="1459"/>
      <c r="F582" s="1459"/>
      <c r="G582" s="1459"/>
      <c r="H582" s="1459"/>
      <c r="I582" s="1459"/>
      <c r="J582" s="1459"/>
      <c r="K582" s="1459"/>
      <c r="L582" s="1459"/>
      <c r="N582" s="1399"/>
      <c r="P582" s="1399"/>
      <c r="Q582" s="1399"/>
      <c r="R582" s="1399"/>
      <c r="S582" s="1399"/>
      <c r="T582" s="1399"/>
      <c r="U582" s="1399"/>
      <c r="V582" s="1399"/>
      <c r="W582" s="1399"/>
    </row>
    <row r="583" spans="2:23" s="1280" customFormat="1" x14ac:dyDescent="0.6">
      <c r="B583" s="1461"/>
      <c r="D583" s="1459"/>
      <c r="E583" s="1459"/>
      <c r="F583" s="1459"/>
      <c r="G583" s="1459"/>
      <c r="H583" s="1459"/>
      <c r="I583" s="1459"/>
      <c r="J583" s="1459"/>
      <c r="K583" s="1459"/>
      <c r="L583" s="1459"/>
      <c r="N583" s="1399"/>
      <c r="P583" s="1399"/>
      <c r="Q583" s="1399"/>
      <c r="R583" s="1399"/>
      <c r="S583" s="1399"/>
      <c r="T583" s="1399"/>
      <c r="U583" s="1399"/>
      <c r="V583" s="1399"/>
      <c r="W583" s="1399"/>
    </row>
    <row r="584" spans="2:23" s="1280" customFormat="1" x14ac:dyDescent="0.6">
      <c r="B584" s="1461"/>
      <c r="D584" s="1459"/>
      <c r="E584" s="1459"/>
      <c r="F584" s="1459"/>
      <c r="G584" s="1459"/>
      <c r="H584" s="1459"/>
      <c r="I584" s="1459"/>
      <c r="J584" s="1459"/>
      <c r="K584" s="1459"/>
      <c r="L584" s="1459"/>
      <c r="N584" s="1399"/>
      <c r="P584" s="1399"/>
      <c r="Q584" s="1399"/>
      <c r="R584" s="1399"/>
      <c r="S584" s="1399"/>
      <c r="T584" s="1399"/>
      <c r="U584" s="1399"/>
      <c r="V584" s="1399"/>
      <c r="W584" s="1399"/>
    </row>
    <row r="585" spans="2:23" s="1280" customFormat="1" x14ac:dyDescent="0.6">
      <c r="B585" s="1461"/>
      <c r="D585" s="1459"/>
      <c r="E585" s="1459"/>
      <c r="F585" s="1459"/>
      <c r="G585" s="1459"/>
      <c r="H585" s="1459"/>
      <c r="I585" s="1459"/>
      <c r="J585" s="1459"/>
      <c r="K585" s="1459"/>
      <c r="L585" s="1459"/>
      <c r="N585" s="1399"/>
      <c r="P585" s="1399"/>
      <c r="Q585" s="1399"/>
      <c r="R585" s="1399"/>
      <c r="S585" s="1399"/>
      <c r="T585" s="1399"/>
      <c r="U585" s="1399"/>
      <c r="V585" s="1399"/>
      <c r="W585" s="1399"/>
    </row>
    <row r="586" spans="2:23" s="1280" customFormat="1" x14ac:dyDescent="0.6">
      <c r="B586" s="1461"/>
      <c r="D586" s="1459"/>
      <c r="E586" s="1459"/>
      <c r="F586" s="1459"/>
      <c r="G586" s="1459"/>
      <c r="H586" s="1459"/>
      <c r="I586" s="1459"/>
      <c r="J586" s="1459"/>
      <c r="K586" s="1459"/>
      <c r="L586" s="1459"/>
      <c r="N586" s="1399"/>
      <c r="P586" s="1399"/>
      <c r="Q586" s="1399"/>
      <c r="R586" s="1399"/>
      <c r="S586" s="1399"/>
      <c r="T586" s="1399"/>
      <c r="U586" s="1399"/>
      <c r="V586" s="1399"/>
      <c r="W586" s="1399"/>
    </row>
    <row r="587" spans="2:23" s="1280" customFormat="1" x14ac:dyDescent="0.6">
      <c r="B587" s="1461"/>
      <c r="D587" s="1459"/>
      <c r="E587" s="1459"/>
      <c r="F587" s="1459"/>
      <c r="G587" s="1459"/>
      <c r="H587" s="1459"/>
      <c r="I587" s="1459"/>
      <c r="J587" s="1459"/>
      <c r="K587" s="1459"/>
      <c r="L587" s="1459"/>
      <c r="N587" s="1399"/>
      <c r="P587" s="1399"/>
      <c r="Q587" s="1399"/>
      <c r="R587" s="1399"/>
      <c r="S587" s="1399"/>
      <c r="T587" s="1399"/>
      <c r="U587" s="1399"/>
      <c r="V587" s="1399"/>
      <c r="W587" s="1399"/>
    </row>
    <row r="588" spans="2:23" s="1280" customFormat="1" x14ac:dyDescent="0.6">
      <c r="B588" s="1461"/>
      <c r="D588" s="1459"/>
      <c r="E588" s="1459"/>
      <c r="F588" s="1459"/>
      <c r="G588" s="1459"/>
      <c r="H588" s="1459"/>
      <c r="I588" s="1459"/>
      <c r="J588" s="1459"/>
      <c r="K588" s="1459"/>
      <c r="L588" s="1459"/>
      <c r="N588" s="1399"/>
      <c r="P588" s="1399"/>
      <c r="Q588" s="1399"/>
      <c r="R588" s="1399"/>
      <c r="S588" s="1399"/>
      <c r="T588" s="1399"/>
      <c r="U588" s="1399"/>
      <c r="V588" s="1399"/>
      <c r="W588" s="1399"/>
    </row>
    <row r="589" spans="2:23" s="1280" customFormat="1" x14ac:dyDescent="0.6">
      <c r="B589" s="1461"/>
      <c r="D589" s="1459"/>
      <c r="E589" s="1459"/>
      <c r="F589" s="1459"/>
      <c r="G589" s="1459"/>
      <c r="H589" s="1459"/>
      <c r="I589" s="1459"/>
      <c r="J589" s="1459"/>
      <c r="K589" s="1459"/>
      <c r="L589" s="1459"/>
      <c r="N589" s="1399"/>
      <c r="P589" s="1399"/>
      <c r="Q589" s="1399"/>
      <c r="R589" s="1399"/>
      <c r="S589" s="1399"/>
      <c r="T589" s="1399"/>
      <c r="U589" s="1399"/>
      <c r="V589" s="1399"/>
      <c r="W589" s="1399"/>
    </row>
    <row r="590" spans="2:23" s="1280" customFormat="1" x14ac:dyDescent="0.6">
      <c r="B590" s="1461"/>
      <c r="D590" s="1459"/>
      <c r="E590" s="1459"/>
      <c r="F590" s="1459"/>
      <c r="G590" s="1459"/>
      <c r="H590" s="1459"/>
      <c r="I590" s="1459"/>
      <c r="J590" s="1459"/>
      <c r="K590" s="1459"/>
      <c r="L590" s="1459"/>
      <c r="N590" s="1399"/>
      <c r="P590" s="1399"/>
      <c r="Q590" s="1399"/>
      <c r="R590" s="1399"/>
      <c r="S590" s="1399"/>
      <c r="T590" s="1399"/>
      <c r="U590" s="1399"/>
      <c r="V590" s="1399"/>
      <c r="W590" s="1399"/>
    </row>
    <row r="591" spans="2:23" s="1280" customFormat="1" x14ac:dyDescent="0.6">
      <c r="B591" s="1461"/>
      <c r="D591" s="1459"/>
      <c r="E591" s="1459"/>
      <c r="F591" s="1459"/>
      <c r="G591" s="1459"/>
      <c r="H591" s="1459"/>
      <c r="I591" s="1459"/>
      <c r="J591" s="1459"/>
      <c r="K591" s="1459"/>
      <c r="L591" s="1459"/>
      <c r="N591" s="1399"/>
      <c r="P591" s="1399"/>
      <c r="Q591" s="1399"/>
      <c r="R591" s="1399"/>
      <c r="S591" s="1399"/>
      <c r="T591" s="1399"/>
      <c r="U591" s="1399"/>
      <c r="V591" s="1399"/>
      <c r="W591" s="1399"/>
    </row>
    <row r="592" spans="2:23" s="1280" customFormat="1" x14ac:dyDescent="0.6">
      <c r="B592" s="1461"/>
      <c r="D592" s="1459"/>
      <c r="E592" s="1459"/>
      <c r="F592" s="1459"/>
      <c r="G592" s="1459"/>
      <c r="H592" s="1459"/>
      <c r="I592" s="1459"/>
      <c r="J592" s="1459"/>
      <c r="K592" s="1459"/>
      <c r="L592" s="1459"/>
      <c r="N592" s="1399"/>
      <c r="P592" s="1399"/>
      <c r="Q592" s="1399"/>
      <c r="R592" s="1399"/>
      <c r="S592" s="1399"/>
      <c r="T592" s="1399"/>
      <c r="U592" s="1399"/>
      <c r="V592" s="1399"/>
      <c r="W592" s="1399"/>
    </row>
    <row r="593" spans="2:23" s="1280" customFormat="1" x14ac:dyDescent="0.6">
      <c r="B593" s="1461"/>
      <c r="D593" s="1459"/>
      <c r="E593" s="1459"/>
      <c r="F593" s="1459"/>
      <c r="G593" s="1459"/>
      <c r="H593" s="1459"/>
      <c r="I593" s="1459"/>
      <c r="J593" s="1459"/>
      <c r="K593" s="1459"/>
      <c r="L593" s="1459"/>
      <c r="N593" s="1399"/>
      <c r="P593" s="1399"/>
      <c r="Q593" s="1399"/>
      <c r="R593" s="1399"/>
      <c r="S593" s="1399"/>
      <c r="T593" s="1399"/>
      <c r="U593" s="1399"/>
      <c r="V593" s="1399"/>
      <c r="W593" s="1399"/>
    </row>
    <row r="594" spans="2:23" s="1280" customFormat="1" x14ac:dyDescent="0.6">
      <c r="B594" s="1461"/>
      <c r="D594" s="1459"/>
      <c r="E594" s="1459"/>
      <c r="F594" s="1459"/>
      <c r="G594" s="1459"/>
      <c r="H594" s="1459"/>
      <c r="I594" s="1459"/>
      <c r="J594" s="1459"/>
      <c r="K594" s="1459"/>
      <c r="L594" s="1459"/>
      <c r="N594" s="1399"/>
      <c r="P594" s="1399"/>
      <c r="Q594" s="1399"/>
      <c r="R594" s="1399"/>
      <c r="S594" s="1399"/>
      <c r="T594" s="1399"/>
      <c r="U594" s="1399"/>
      <c r="V594" s="1399"/>
      <c r="W594" s="1399"/>
    </row>
    <row r="595" spans="2:23" s="1280" customFormat="1" x14ac:dyDescent="0.6">
      <c r="B595" s="1461"/>
      <c r="D595" s="1459"/>
      <c r="E595" s="1459"/>
      <c r="F595" s="1459"/>
      <c r="G595" s="1459"/>
      <c r="H595" s="1459"/>
      <c r="I595" s="1459"/>
      <c r="J595" s="1459"/>
      <c r="K595" s="1459"/>
      <c r="L595" s="1459"/>
      <c r="N595" s="1399"/>
      <c r="P595" s="1399"/>
      <c r="Q595" s="1399"/>
      <c r="R595" s="1399"/>
      <c r="S595" s="1399"/>
      <c r="T595" s="1399"/>
      <c r="U595" s="1399"/>
      <c r="V595" s="1399"/>
      <c r="W595" s="1399"/>
    </row>
    <row r="596" spans="2:23" s="1280" customFormat="1" x14ac:dyDescent="0.6">
      <c r="B596" s="1461"/>
      <c r="D596" s="1459"/>
      <c r="E596" s="1459"/>
      <c r="F596" s="1459"/>
      <c r="G596" s="1459"/>
      <c r="H596" s="1459"/>
      <c r="I596" s="1459"/>
      <c r="J596" s="1459"/>
      <c r="K596" s="1459"/>
      <c r="L596" s="1459"/>
      <c r="N596" s="1399"/>
      <c r="P596" s="1399"/>
      <c r="Q596" s="1399"/>
      <c r="R596" s="1399"/>
      <c r="S596" s="1399"/>
      <c r="T596" s="1399"/>
      <c r="U596" s="1399"/>
      <c r="V596" s="1399"/>
      <c r="W596" s="1399"/>
    </row>
    <row r="597" spans="2:23" s="1280" customFormat="1" x14ac:dyDescent="0.6">
      <c r="B597" s="1461"/>
      <c r="D597" s="1459"/>
      <c r="E597" s="1459"/>
      <c r="F597" s="1459"/>
      <c r="G597" s="1459"/>
      <c r="H597" s="1459"/>
      <c r="I597" s="1459"/>
      <c r="J597" s="1459"/>
      <c r="K597" s="1459"/>
      <c r="L597" s="1459"/>
      <c r="N597" s="1399"/>
      <c r="P597" s="1399"/>
      <c r="Q597" s="1399"/>
      <c r="R597" s="1399"/>
      <c r="S597" s="1399"/>
      <c r="T597" s="1399"/>
      <c r="U597" s="1399"/>
      <c r="V597" s="1399"/>
      <c r="W597" s="1399"/>
    </row>
    <row r="598" spans="2:23" s="1280" customFormat="1" x14ac:dyDescent="0.6">
      <c r="B598" s="1461"/>
      <c r="D598" s="1459"/>
      <c r="E598" s="1459"/>
      <c r="F598" s="1459"/>
      <c r="G598" s="1459"/>
      <c r="H598" s="1459"/>
      <c r="I598" s="1459"/>
      <c r="J598" s="1459"/>
      <c r="K598" s="1459"/>
      <c r="L598" s="1459"/>
      <c r="N598" s="1399"/>
      <c r="P598" s="1399"/>
      <c r="Q598" s="1399"/>
      <c r="R598" s="1399"/>
      <c r="S598" s="1399"/>
      <c r="T598" s="1399"/>
      <c r="U598" s="1399"/>
      <c r="V598" s="1399"/>
      <c r="W598" s="1399"/>
    </row>
    <row r="599" spans="2:23" s="1280" customFormat="1" x14ac:dyDescent="0.6">
      <c r="B599" s="1461"/>
      <c r="D599" s="1459"/>
      <c r="E599" s="1459"/>
      <c r="F599" s="1459"/>
      <c r="G599" s="1459"/>
      <c r="H599" s="1459"/>
      <c r="I599" s="1459"/>
      <c r="J599" s="1459"/>
      <c r="K599" s="1459"/>
      <c r="L599" s="1459"/>
      <c r="N599" s="1399"/>
      <c r="P599" s="1399"/>
      <c r="Q599" s="1399"/>
      <c r="R599" s="1399"/>
      <c r="S599" s="1399"/>
      <c r="T599" s="1399"/>
      <c r="U599" s="1399"/>
      <c r="V599" s="1399"/>
      <c r="W599" s="1399"/>
    </row>
    <row r="600" spans="2:23" s="1280" customFormat="1" x14ac:dyDescent="0.6">
      <c r="B600" s="1461"/>
      <c r="D600" s="1459"/>
      <c r="E600" s="1459"/>
      <c r="F600" s="1459"/>
      <c r="G600" s="1459"/>
      <c r="H600" s="1459"/>
      <c r="I600" s="1459"/>
      <c r="J600" s="1459"/>
      <c r="K600" s="1459"/>
      <c r="L600" s="1459"/>
      <c r="N600" s="1399"/>
      <c r="P600" s="1399"/>
      <c r="Q600" s="1399"/>
      <c r="R600" s="1399"/>
      <c r="S600" s="1399"/>
      <c r="T600" s="1399"/>
      <c r="U600" s="1399"/>
      <c r="V600" s="1399"/>
      <c r="W600" s="1399"/>
    </row>
    <row r="601" spans="2:23" s="1280" customFormat="1" x14ac:dyDescent="0.6">
      <c r="B601" s="1461"/>
      <c r="D601" s="1459"/>
      <c r="E601" s="1459"/>
      <c r="F601" s="1459"/>
      <c r="G601" s="1459"/>
      <c r="H601" s="1459"/>
      <c r="I601" s="1459"/>
      <c r="J601" s="1459"/>
      <c r="K601" s="1459"/>
      <c r="L601" s="1459"/>
      <c r="N601" s="1399"/>
      <c r="P601" s="1399"/>
      <c r="Q601" s="1399"/>
      <c r="R601" s="1399"/>
      <c r="S601" s="1399"/>
      <c r="T601" s="1399"/>
      <c r="U601" s="1399"/>
      <c r="V601" s="1399"/>
      <c r="W601" s="1399"/>
    </row>
    <row r="602" spans="2:23" s="1280" customFormat="1" x14ac:dyDescent="0.6">
      <c r="B602" s="1461"/>
      <c r="D602" s="1459"/>
      <c r="E602" s="1459"/>
      <c r="F602" s="1459"/>
      <c r="G602" s="1459"/>
      <c r="H602" s="1459"/>
      <c r="I602" s="1459"/>
      <c r="J602" s="1459"/>
      <c r="K602" s="1459"/>
      <c r="L602" s="1459"/>
      <c r="N602" s="1399"/>
      <c r="P602" s="1399"/>
      <c r="Q602" s="1399"/>
      <c r="R602" s="1399"/>
      <c r="S602" s="1399"/>
      <c r="T602" s="1399"/>
      <c r="U602" s="1399"/>
      <c r="V602" s="1399"/>
      <c r="W602" s="1399"/>
    </row>
    <row r="603" spans="2:23" s="1280" customFormat="1" x14ac:dyDescent="0.6">
      <c r="B603" s="1461"/>
      <c r="D603" s="1459"/>
      <c r="E603" s="1459"/>
      <c r="F603" s="1459"/>
      <c r="G603" s="1459"/>
      <c r="H603" s="1459"/>
      <c r="I603" s="1459"/>
      <c r="J603" s="1459"/>
      <c r="K603" s="1459"/>
      <c r="L603" s="1459"/>
      <c r="N603" s="1399"/>
      <c r="P603" s="1399"/>
      <c r="Q603" s="1399"/>
      <c r="R603" s="1399"/>
      <c r="S603" s="1399"/>
      <c r="T603" s="1399"/>
      <c r="U603" s="1399"/>
      <c r="V603" s="1399"/>
      <c r="W603" s="1399"/>
    </row>
    <row r="604" spans="2:23" s="1280" customFormat="1" x14ac:dyDescent="0.6">
      <c r="B604" s="1461"/>
      <c r="D604" s="1459"/>
      <c r="E604" s="1459"/>
      <c r="F604" s="1459"/>
      <c r="G604" s="1459"/>
      <c r="H604" s="1459"/>
      <c r="I604" s="1459"/>
      <c r="J604" s="1459"/>
      <c r="K604" s="1459"/>
      <c r="L604" s="1459"/>
      <c r="N604" s="1399"/>
      <c r="P604" s="1399"/>
      <c r="Q604" s="1399"/>
      <c r="R604" s="1399"/>
      <c r="S604" s="1399"/>
      <c r="T604" s="1399"/>
      <c r="U604" s="1399"/>
      <c r="V604" s="1399"/>
      <c r="W604" s="1399"/>
    </row>
    <row r="605" spans="2:23" s="1280" customFormat="1" x14ac:dyDescent="0.6">
      <c r="B605" s="1461"/>
      <c r="D605" s="1459"/>
      <c r="E605" s="1459"/>
      <c r="F605" s="1459"/>
      <c r="G605" s="1459"/>
      <c r="H605" s="1459"/>
      <c r="I605" s="1459"/>
      <c r="J605" s="1459"/>
      <c r="K605" s="1459"/>
      <c r="L605" s="1459"/>
      <c r="N605" s="1399"/>
      <c r="P605" s="1399"/>
      <c r="Q605" s="1399"/>
      <c r="R605" s="1399"/>
      <c r="S605" s="1399"/>
      <c r="T605" s="1399"/>
      <c r="U605" s="1399"/>
      <c r="V605" s="1399"/>
      <c r="W605" s="1399"/>
    </row>
    <row r="606" spans="2:23" s="1280" customFormat="1" x14ac:dyDescent="0.6">
      <c r="B606" s="1461"/>
      <c r="D606" s="1459"/>
      <c r="E606" s="1459"/>
      <c r="F606" s="1459"/>
      <c r="G606" s="1459"/>
      <c r="H606" s="1459"/>
      <c r="I606" s="1459"/>
      <c r="J606" s="1459"/>
      <c r="K606" s="1459"/>
      <c r="L606" s="1459"/>
      <c r="N606" s="1399"/>
      <c r="P606" s="1399"/>
      <c r="Q606" s="1399"/>
      <c r="R606" s="1399"/>
      <c r="S606" s="1399"/>
      <c r="T606" s="1399"/>
      <c r="U606" s="1399"/>
      <c r="V606" s="1399"/>
      <c r="W606" s="1399"/>
    </row>
    <row r="607" spans="2:23" s="1280" customFormat="1" x14ac:dyDescent="0.6">
      <c r="B607" s="1461"/>
      <c r="D607" s="1459"/>
      <c r="E607" s="1459"/>
      <c r="F607" s="1459"/>
      <c r="G607" s="1459"/>
      <c r="H607" s="1459"/>
      <c r="I607" s="1459"/>
      <c r="J607" s="1459"/>
      <c r="K607" s="1459"/>
      <c r="L607" s="1459"/>
      <c r="N607" s="1399"/>
      <c r="P607" s="1399"/>
      <c r="Q607" s="1399"/>
      <c r="R607" s="1399"/>
      <c r="S607" s="1399"/>
      <c r="T607" s="1399"/>
      <c r="U607" s="1399"/>
      <c r="V607" s="1399"/>
      <c r="W607" s="1399"/>
    </row>
    <row r="608" spans="2:23" s="1280" customFormat="1" x14ac:dyDescent="0.6">
      <c r="B608" s="1461"/>
      <c r="D608" s="1459"/>
      <c r="E608" s="1459"/>
      <c r="F608" s="1459"/>
      <c r="G608" s="1459"/>
      <c r="H608" s="1459"/>
      <c r="I608" s="1459"/>
      <c r="J608" s="1459"/>
      <c r="K608" s="1459"/>
      <c r="L608" s="1459"/>
      <c r="N608" s="1399"/>
      <c r="P608" s="1399"/>
      <c r="Q608" s="1399"/>
      <c r="R608" s="1399"/>
      <c r="S608" s="1399"/>
      <c r="T608" s="1399"/>
      <c r="U608" s="1399"/>
      <c r="V608" s="1399"/>
      <c r="W608" s="1399"/>
    </row>
    <row r="609" spans="2:23" s="1280" customFormat="1" x14ac:dyDescent="0.6">
      <c r="B609" s="1461"/>
      <c r="D609" s="1459"/>
      <c r="E609" s="1459"/>
      <c r="F609" s="1459"/>
      <c r="G609" s="1459"/>
      <c r="H609" s="1459"/>
      <c r="I609" s="1459"/>
      <c r="J609" s="1459"/>
      <c r="K609" s="1459"/>
      <c r="L609" s="1459"/>
      <c r="N609" s="1399"/>
      <c r="P609" s="1399"/>
      <c r="Q609" s="1399"/>
      <c r="R609" s="1399"/>
      <c r="S609" s="1399"/>
      <c r="T609" s="1399"/>
      <c r="U609" s="1399"/>
      <c r="V609" s="1399"/>
      <c r="W609" s="1399"/>
    </row>
    <row r="610" spans="2:23" s="1280" customFormat="1" x14ac:dyDescent="0.6">
      <c r="B610" s="1461"/>
      <c r="D610" s="1459"/>
      <c r="E610" s="1459"/>
      <c r="F610" s="1459"/>
      <c r="G610" s="1459"/>
      <c r="H610" s="1459"/>
      <c r="I610" s="1459"/>
      <c r="J610" s="1459"/>
      <c r="K610" s="1459"/>
      <c r="L610" s="1459"/>
      <c r="N610" s="1399"/>
      <c r="P610" s="1399"/>
      <c r="Q610" s="1399"/>
      <c r="R610" s="1399"/>
      <c r="S610" s="1399"/>
      <c r="T610" s="1399"/>
      <c r="U610" s="1399"/>
      <c r="V610" s="1399"/>
      <c r="W610" s="1399"/>
    </row>
    <row r="611" spans="2:23" s="1280" customFormat="1" x14ac:dyDescent="0.6">
      <c r="B611" s="1461"/>
      <c r="D611" s="1459"/>
      <c r="E611" s="1459"/>
      <c r="F611" s="1459"/>
      <c r="G611" s="1459"/>
      <c r="H611" s="1459"/>
      <c r="I611" s="1459"/>
      <c r="J611" s="1459"/>
      <c r="K611" s="1459"/>
      <c r="L611" s="1459"/>
      <c r="N611" s="1399"/>
      <c r="P611" s="1399"/>
      <c r="Q611" s="1399"/>
      <c r="R611" s="1399"/>
      <c r="S611" s="1399"/>
      <c r="T611" s="1399"/>
      <c r="U611" s="1399"/>
      <c r="V611" s="1399"/>
      <c r="W611" s="1399"/>
    </row>
    <row r="612" spans="2:23" s="1280" customFormat="1" x14ac:dyDescent="0.6">
      <c r="B612" s="1461"/>
      <c r="D612" s="1459"/>
      <c r="E612" s="1459"/>
      <c r="F612" s="1459"/>
      <c r="G612" s="1459"/>
      <c r="H612" s="1459"/>
      <c r="I612" s="1459"/>
      <c r="J612" s="1459"/>
      <c r="K612" s="1459"/>
      <c r="L612" s="1459"/>
      <c r="N612" s="1399"/>
      <c r="P612" s="1399"/>
      <c r="Q612" s="1399"/>
      <c r="R612" s="1399"/>
      <c r="S612" s="1399"/>
      <c r="T612" s="1399"/>
      <c r="U612" s="1399"/>
      <c r="V612" s="1399"/>
      <c r="W612" s="1399"/>
    </row>
    <row r="613" spans="2:23" s="1280" customFormat="1" x14ac:dyDescent="0.6">
      <c r="B613" s="1461"/>
      <c r="D613" s="1459"/>
      <c r="E613" s="1459"/>
      <c r="F613" s="1459"/>
      <c r="G613" s="1459"/>
      <c r="H613" s="1459"/>
      <c r="I613" s="1459"/>
      <c r="J613" s="1459"/>
      <c r="K613" s="1459"/>
      <c r="L613" s="1459"/>
      <c r="N613" s="1399"/>
      <c r="P613" s="1399"/>
      <c r="Q613" s="1399"/>
      <c r="R613" s="1399"/>
      <c r="S613" s="1399"/>
      <c r="T613" s="1399"/>
      <c r="U613" s="1399"/>
      <c r="V613" s="1399"/>
      <c r="W613" s="1399"/>
    </row>
    <row r="614" spans="2:23" s="1280" customFormat="1" x14ac:dyDescent="0.6">
      <c r="B614" s="1461"/>
      <c r="D614" s="1459"/>
      <c r="E614" s="1459"/>
      <c r="F614" s="1459"/>
      <c r="G614" s="1459"/>
      <c r="H614" s="1459"/>
      <c r="I614" s="1459"/>
      <c r="J614" s="1459"/>
      <c r="K614" s="1459"/>
      <c r="L614" s="1459"/>
      <c r="N614" s="1399"/>
      <c r="P614" s="1399"/>
      <c r="Q614" s="1399"/>
      <c r="R614" s="1399"/>
      <c r="S614" s="1399"/>
      <c r="T614" s="1399"/>
      <c r="U614" s="1399"/>
      <c r="V614" s="1399"/>
      <c r="W614" s="1399"/>
    </row>
    <row r="615" spans="2:23" s="1280" customFormat="1" x14ac:dyDescent="0.6">
      <c r="B615" s="1461"/>
      <c r="D615" s="1459"/>
      <c r="E615" s="1459"/>
      <c r="F615" s="1459"/>
      <c r="G615" s="1459"/>
      <c r="H615" s="1459"/>
      <c r="I615" s="1459"/>
      <c r="J615" s="1459"/>
      <c r="K615" s="1459"/>
      <c r="L615" s="1459"/>
      <c r="N615" s="1399"/>
      <c r="P615" s="1399"/>
      <c r="Q615" s="1399"/>
      <c r="R615" s="1399"/>
      <c r="S615" s="1399"/>
      <c r="T615" s="1399"/>
      <c r="U615" s="1399"/>
      <c r="V615" s="1399"/>
      <c r="W615" s="1399"/>
    </row>
    <row r="616" spans="2:23" s="1280" customFormat="1" x14ac:dyDescent="0.6">
      <c r="B616" s="1461"/>
      <c r="D616" s="1459"/>
      <c r="E616" s="1459"/>
      <c r="F616" s="1459"/>
      <c r="G616" s="1459"/>
      <c r="H616" s="1459"/>
      <c r="I616" s="1459"/>
      <c r="J616" s="1459"/>
      <c r="K616" s="1459"/>
      <c r="L616" s="1459"/>
      <c r="N616" s="1399"/>
      <c r="P616" s="1399"/>
      <c r="Q616" s="1399"/>
      <c r="R616" s="1399"/>
      <c r="S616" s="1399"/>
      <c r="T616" s="1399"/>
      <c r="U616" s="1399"/>
      <c r="V616" s="1399"/>
      <c r="W616" s="1399"/>
    </row>
    <row r="617" spans="2:23" s="1280" customFormat="1" x14ac:dyDescent="0.6">
      <c r="B617" s="1461"/>
      <c r="D617" s="1459"/>
      <c r="E617" s="1459"/>
      <c r="F617" s="1459"/>
      <c r="G617" s="1459"/>
      <c r="H617" s="1459"/>
      <c r="I617" s="1459"/>
      <c r="J617" s="1459"/>
      <c r="K617" s="1459"/>
      <c r="L617" s="1459"/>
      <c r="N617" s="1399"/>
      <c r="P617" s="1399"/>
      <c r="Q617" s="1399"/>
      <c r="R617" s="1399"/>
      <c r="S617" s="1399"/>
      <c r="T617" s="1399"/>
      <c r="U617" s="1399"/>
      <c r="V617" s="1399"/>
      <c r="W617" s="1399"/>
    </row>
    <row r="618" spans="2:23" s="1280" customFormat="1" x14ac:dyDescent="0.6">
      <c r="B618" s="1461"/>
      <c r="D618" s="1459"/>
      <c r="E618" s="1459"/>
      <c r="F618" s="1459"/>
      <c r="G618" s="1459"/>
      <c r="H618" s="1459"/>
      <c r="I618" s="1459"/>
      <c r="J618" s="1459"/>
      <c r="K618" s="1459"/>
      <c r="L618" s="1459"/>
      <c r="N618" s="1399"/>
      <c r="P618" s="1399"/>
      <c r="Q618" s="1399"/>
      <c r="R618" s="1399"/>
      <c r="S618" s="1399"/>
      <c r="T618" s="1399"/>
      <c r="U618" s="1399"/>
      <c r="V618" s="1399"/>
      <c r="W618" s="1399"/>
    </row>
    <row r="619" spans="2:23" s="1280" customFormat="1" x14ac:dyDescent="0.6">
      <c r="B619" s="1461"/>
      <c r="D619" s="1459"/>
      <c r="E619" s="1459"/>
      <c r="F619" s="1459"/>
      <c r="G619" s="1459"/>
      <c r="H619" s="1459"/>
      <c r="I619" s="1459"/>
      <c r="J619" s="1459"/>
      <c r="K619" s="1459"/>
      <c r="L619" s="1459"/>
      <c r="N619" s="1399"/>
      <c r="P619" s="1399"/>
      <c r="Q619" s="1399"/>
      <c r="R619" s="1399"/>
      <c r="S619" s="1399"/>
      <c r="T619" s="1399"/>
      <c r="U619" s="1399"/>
      <c r="V619" s="1399"/>
      <c r="W619" s="1399"/>
    </row>
    <row r="620" spans="2:23" s="1280" customFormat="1" x14ac:dyDescent="0.6">
      <c r="B620" s="1461"/>
      <c r="D620" s="1459"/>
      <c r="E620" s="1459"/>
      <c r="F620" s="1459"/>
      <c r="G620" s="1459"/>
      <c r="H620" s="1459"/>
      <c r="I620" s="1459"/>
      <c r="J620" s="1459"/>
      <c r="K620" s="1459"/>
      <c r="L620" s="1459"/>
      <c r="N620" s="1399"/>
      <c r="P620" s="1399"/>
      <c r="Q620" s="1399"/>
      <c r="R620" s="1399"/>
      <c r="S620" s="1399"/>
      <c r="T620" s="1399"/>
      <c r="U620" s="1399"/>
      <c r="V620" s="1399"/>
      <c r="W620" s="1399"/>
    </row>
    <row r="621" spans="2:23" s="1280" customFormat="1" x14ac:dyDescent="0.6">
      <c r="B621" s="1461"/>
      <c r="D621" s="1459"/>
      <c r="E621" s="1459"/>
      <c r="F621" s="1459"/>
      <c r="G621" s="1459"/>
      <c r="H621" s="1459"/>
      <c r="I621" s="1459"/>
      <c r="J621" s="1459"/>
      <c r="K621" s="1459"/>
      <c r="L621" s="1459"/>
      <c r="N621" s="1399"/>
      <c r="P621" s="1399"/>
      <c r="Q621" s="1399"/>
      <c r="R621" s="1399"/>
      <c r="S621" s="1399"/>
      <c r="T621" s="1399"/>
      <c r="U621" s="1399"/>
      <c r="V621" s="1399"/>
      <c r="W621" s="1399"/>
    </row>
    <row r="622" spans="2:23" s="1280" customFormat="1" x14ac:dyDescent="0.6">
      <c r="B622" s="1461"/>
      <c r="D622" s="1459"/>
      <c r="E622" s="1459"/>
      <c r="F622" s="1459"/>
      <c r="G622" s="1459"/>
      <c r="H622" s="1459"/>
      <c r="I622" s="1459"/>
      <c r="J622" s="1459"/>
      <c r="K622" s="1459"/>
      <c r="L622" s="1459"/>
      <c r="N622" s="1399"/>
      <c r="P622" s="1399"/>
      <c r="Q622" s="1399"/>
      <c r="R622" s="1399"/>
      <c r="S622" s="1399"/>
      <c r="T622" s="1399"/>
      <c r="U622" s="1399"/>
      <c r="V622" s="1399"/>
      <c r="W622" s="1399"/>
    </row>
    <row r="623" spans="2:23" s="1280" customFormat="1" x14ac:dyDescent="0.6">
      <c r="B623" s="1461"/>
      <c r="D623" s="1459"/>
      <c r="E623" s="1459"/>
      <c r="F623" s="1459"/>
      <c r="G623" s="1459"/>
      <c r="H623" s="1459"/>
      <c r="I623" s="1459"/>
      <c r="J623" s="1459"/>
      <c r="K623" s="1459"/>
      <c r="L623" s="1459"/>
      <c r="N623" s="1399"/>
      <c r="P623" s="1399"/>
      <c r="Q623" s="1399"/>
      <c r="R623" s="1399"/>
      <c r="S623" s="1399"/>
      <c r="T623" s="1399"/>
      <c r="U623" s="1399"/>
      <c r="V623" s="1399"/>
      <c r="W623" s="1399"/>
    </row>
    <row r="624" spans="2:23" s="1280" customFormat="1" x14ac:dyDescent="0.6">
      <c r="B624" s="1461"/>
      <c r="D624" s="1459"/>
      <c r="E624" s="1459"/>
      <c r="F624" s="1459"/>
      <c r="G624" s="1459"/>
      <c r="H624" s="1459"/>
      <c r="I624" s="1459"/>
      <c r="J624" s="1459"/>
      <c r="K624" s="1459"/>
      <c r="L624" s="1459"/>
      <c r="N624" s="1399"/>
      <c r="P624" s="1399"/>
      <c r="Q624" s="1399"/>
      <c r="R624" s="1399"/>
      <c r="S624" s="1399"/>
      <c r="T624" s="1399"/>
      <c r="U624" s="1399"/>
      <c r="V624" s="1399"/>
      <c r="W624" s="1399"/>
    </row>
    <row r="625" spans="2:23" s="1280" customFormat="1" x14ac:dyDescent="0.6">
      <c r="B625" s="1461"/>
      <c r="D625" s="1459"/>
      <c r="E625" s="1459"/>
      <c r="F625" s="1459"/>
      <c r="G625" s="1459"/>
      <c r="H625" s="1459"/>
      <c r="I625" s="1459"/>
      <c r="J625" s="1459"/>
      <c r="K625" s="1459"/>
      <c r="L625" s="1459"/>
      <c r="N625" s="1399"/>
      <c r="P625" s="1399"/>
      <c r="Q625" s="1399"/>
      <c r="R625" s="1399"/>
      <c r="S625" s="1399"/>
      <c r="T625" s="1399"/>
      <c r="U625" s="1399"/>
      <c r="V625" s="1399"/>
      <c r="W625" s="1399"/>
    </row>
    <row r="626" spans="2:23" s="1280" customFormat="1" x14ac:dyDescent="0.6">
      <c r="B626" s="1461"/>
      <c r="D626" s="1459"/>
      <c r="E626" s="1459"/>
      <c r="F626" s="1459"/>
      <c r="G626" s="1459"/>
      <c r="H626" s="1459"/>
      <c r="I626" s="1459"/>
      <c r="J626" s="1459"/>
      <c r="K626" s="1459"/>
      <c r="L626" s="1459"/>
      <c r="N626" s="1399"/>
      <c r="P626" s="1399"/>
      <c r="Q626" s="1399"/>
      <c r="R626" s="1399"/>
      <c r="S626" s="1399"/>
      <c r="T626" s="1399"/>
      <c r="U626" s="1399"/>
      <c r="V626" s="1399"/>
      <c r="W626" s="1399"/>
    </row>
    <row r="627" spans="2:23" s="1280" customFormat="1" x14ac:dyDescent="0.6">
      <c r="B627" s="1461"/>
      <c r="D627" s="1459"/>
      <c r="E627" s="1459"/>
      <c r="F627" s="1459"/>
      <c r="G627" s="1459"/>
      <c r="H627" s="1459"/>
      <c r="I627" s="1459"/>
      <c r="J627" s="1459"/>
      <c r="K627" s="1459"/>
      <c r="L627" s="1459"/>
      <c r="N627" s="1399"/>
      <c r="P627" s="1399"/>
      <c r="Q627" s="1399"/>
      <c r="R627" s="1399"/>
      <c r="S627" s="1399"/>
      <c r="T627" s="1399"/>
      <c r="U627" s="1399"/>
      <c r="V627" s="1399"/>
      <c r="W627" s="1399"/>
    </row>
    <row r="628" spans="2:23" s="1280" customFormat="1" x14ac:dyDescent="0.6">
      <c r="B628" s="1461"/>
      <c r="D628" s="1459"/>
      <c r="E628" s="1459"/>
      <c r="F628" s="1459"/>
      <c r="G628" s="1459"/>
      <c r="H628" s="1459"/>
      <c r="I628" s="1459"/>
      <c r="J628" s="1459"/>
      <c r="K628" s="1459"/>
      <c r="L628" s="1459"/>
      <c r="N628" s="1399"/>
      <c r="P628" s="1399"/>
      <c r="Q628" s="1399"/>
      <c r="R628" s="1399"/>
      <c r="S628" s="1399"/>
      <c r="T628" s="1399"/>
      <c r="U628" s="1399"/>
      <c r="V628" s="1399"/>
      <c r="W628" s="1399"/>
    </row>
    <row r="629" spans="2:23" s="1280" customFormat="1" x14ac:dyDescent="0.6">
      <c r="B629" s="1461"/>
      <c r="D629" s="1459"/>
      <c r="E629" s="1459"/>
      <c r="F629" s="1459"/>
      <c r="G629" s="1459"/>
      <c r="H629" s="1459"/>
      <c r="I629" s="1459"/>
      <c r="J629" s="1459"/>
      <c r="K629" s="1459"/>
      <c r="L629" s="1459"/>
      <c r="N629" s="1399"/>
      <c r="P629" s="1399"/>
      <c r="Q629" s="1399"/>
      <c r="R629" s="1399"/>
      <c r="S629" s="1399"/>
      <c r="T629" s="1399"/>
      <c r="U629" s="1399"/>
      <c r="V629" s="1399"/>
      <c r="W629" s="1399"/>
    </row>
    <row r="630" spans="2:23" s="1280" customFormat="1" x14ac:dyDescent="0.6">
      <c r="B630" s="1461"/>
      <c r="D630" s="1459"/>
      <c r="E630" s="1459"/>
      <c r="F630" s="1459"/>
      <c r="G630" s="1459"/>
      <c r="H630" s="1459"/>
      <c r="I630" s="1459"/>
      <c r="J630" s="1459"/>
      <c r="K630" s="1459"/>
      <c r="L630" s="1459"/>
      <c r="N630" s="1399"/>
      <c r="P630" s="1399"/>
      <c r="Q630" s="1399"/>
      <c r="R630" s="1399"/>
      <c r="S630" s="1399"/>
      <c r="T630" s="1399"/>
      <c r="U630" s="1399"/>
      <c r="V630" s="1399"/>
      <c r="W630" s="1399"/>
    </row>
    <row r="631" spans="2:23" s="1280" customFormat="1" x14ac:dyDescent="0.6">
      <c r="B631" s="1461"/>
      <c r="D631" s="1459"/>
      <c r="E631" s="1459"/>
      <c r="F631" s="1459"/>
      <c r="G631" s="1459"/>
      <c r="H631" s="1459"/>
      <c r="I631" s="1459"/>
      <c r="J631" s="1459"/>
      <c r="K631" s="1459"/>
      <c r="L631" s="1459"/>
      <c r="N631" s="1399"/>
      <c r="P631" s="1399"/>
      <c r="Q631" s="1399"/>
      <c r="R631" s="1399"/>
      <c r="S631" s="1399"/>
      <c r="T631" s="1399"/>
      <c r="U631" s="1399"/>
      <c r="V631" s="1399"/>
      <c r="W631" s="1399"/>
    </row>
    <row r="632" spans="2:23" s="1280" customFormat="1" x14ac:dyDescent="0.6">
      <c r="B632" s="1461"/>
      <c r="D632" s="1459"/>
      <c r="E632" s="1459"/>
      <c r="F632" s="1459"/>
      <c r="G632" s="1459"/>
      <c r="H632" s="1459"/>
      <c r="I632" s="1459"/>
      <c r="J632" s="1459"/>
      <c r="K632" s="1459"/>
      <c r="L632" s="1459"/>
      <c r="N632" s="1399"/>
      <c r="P632" s="1399"/>
      <c r="Q632" s="1399"/>
      <c r="R632" s="1399"/>
      <c r="S632" s="1399"/>
      <c r="T632" s="1399"/>
      <c r="U632" s="1399"/>
      <c r="V632" s="1399"/>
      <c r="W632" s="1399"/>
    </row>
    <row r="633" spans="2:23" s="1280" customFormat="1" x14ac:dyDescent="0.6">
      <c r="B633" s="1461"/>
      <c r="D633" s="1459"/>
      <c r="E633" s="1459"/>
      <c r="F633" s="1459"/>
      <c r="G633" s="1459"/>
      <c r="H633" s="1459"/>
      <c r="I633" s="1459"/>
      <c r="J633" s="1459"/>
      <c r="K633" s="1459"/>
      <c r="L633" s="1459"/>
      <c r="N633" s="1399"/>
      <c r="P633" s="1399"/>
      <c r="Q633" s="1399"/>
      <c r="R633" s="1399"/>
      <c r="S633" s="1399"/>
      <c r="T633" s="1399"/>
      <c r="U633" s="1399"/>
      <c r="V633" s="1399"/>
      <c r="W633" s="1399"/>
    </row>
    <row r="634" spans="2:23" s="1280" customFormat="1" x14ac:dyDescent="0.6">
      <c r="B634" s="1461"/>
      <c r="D634" s="1459"/>
      <c r="E634" s="1459"/>
      <c r="F634" s="1459"/>
      <c r="G634" s="1459"/>
      <c r="H634" s="1459"/>
      <c r="I634" s="1459"/>
      <c r="J634" s="1459"/>
      <c r="K634" s="1459"/>
      <c r="L634" s="1459"/>
      <c r="N634" s="1399"/>
      <c r="P634" s="1399"/>
      <c r="Q634" s="1399"/>
      <c r="R634" s="1399"/>
      <c r="S634" s="1399"/>
      <c r="T634" s="1399"/>
      <c r="U634" s="1399"/>
      <c r="V634" s="1399"/>
      <c r="W634" s="1399"/>
    </row>
    <row r="635" spans="2:23" s="1280" customFormat="1" x14ac:dyDescent="0.6">
      <c r="B635" s="1461"/>
      <c r="D635" s="1459"/>
      <c r="E635" s="1459"/>
      <c r="F635" s="1459"/>
      <c r="G635" s="1459"/>
      <c r="H635" s="1459"/>
      <c r="I635" s="1459"/>
      <c r="J635" s="1459"/>
      <c r="K635" s="1459"/>
      <c r="L635" s="1459"/>
      <c r="N635" s="1399"/>
      <c r="P635" s="1399"/>
      <c r="Q635" s="1399"/>
      <c r="R635" s="1399"/>
      <c r="S635" s="1399"/>
      <c r="T635" s="1399"/>
      <c r="U635" s="1399"/>
      <c r="V635" s="1399"/>
      <c r="W635" s="1399"/>
    </row>
    <row r="636" spans="2:23" s="1280" customFormat="1" x14ac:dyDescent="0.6">
      <c r="B636" s="1461"/>
      <c r="D636" s="1459"/>
      <c r="E636" s="1459"/>
      <c r="F636" s="1459"/>
      <c r="G636" s="1459"/>
      <c r="H636" s="1459"/>
      <c r="I636" s="1459"/>
      <c r="J636" s="1459"/>
      <c r="K636" s="1459"/>
      <c r="L636" s="1459"/>
      <c r="N636" s="1399"/>
      <c r="P636" s="1399"/>
      <c r="Q636" s="1399"/>
      <c r="R636" s="1399"/>
      <c r="S636" s="1399"/>
      <c r="T636" s="1399"/>
      <c r="U636" s="1399"/>
      <c r="V636" s="1399"/>
      <c r="W636" s="1399"/>
    </row>
    <row r="637" spans="2:23" s="1280" customFormat="1" x14ac:dyDescent="0.6">
      <c r="B637" s="1461"/>
      <c r="D637" s="1459"/>
      <c r="E637" s="1459"/>
      <c r="F637" s="1459"/>
      <c r="G637" s="1459"/>
      <c r="H637" s="1459"/>
      <c r="I637" s="1459"/>
      <c r="J637" s="1459"/>
      <c r="K637" s="1459"/>
      <c r="L637" s="1459"/>
      <c r="N637" s="1399"/>
      <c r="P637" s="1399"/>
      <c r="Q637" s="1399"/>
      <c r="R637" s="1399"/>
      <c r="S637" s="1399"/>
      <c r="T637" s="1399"/>
      <c r="U637" s="1399"/>
      <c r="V637" s="1399"/>
      <c r="W637" s="1399"/>
    </row>
    <row r="638" spans="2:23" s="1280" customFormat="1" x14ac:dyDescent="0.6">
      <c r="B638" s="1461"/>
      <c r="D638" s="1459"/>
      <c r="E638" s="1459"/>
      <c r="F638" s="1459"/>
      <c r="G638" s="1459"/>
      <c r="H638" s="1459"/>
      <c r="I638" s="1459"/>
      <c r="J638" s="1459"/>
      <c r="K638" s="1459"/>
      <c r="L638" s="1459"/>
      <c r="N638" s="1399"/>
      <c r="P638" s="1399"/>
      <c r="Q638" s="1399"/>
      <c r="R638" s="1399"/>
      <c r="S638" s="1399"/>
      <c r="T638" s="1399"/>
      <c r="U638" s="1399"/>
      <c r="V638" s="1399"/>
      <c r="W638" s="1399"/>
    </row>
    <row r="639" spans="2:23" s="1280" customFormat="1" x14ac:dyDescent="0.6">
      <c r="B639" s="1461"/>
      <c r="D639" s="1459"/>
      <c r="E639" s="1459"/>
      <c r="F639" s="1459"/>
      <c r="G639" s="1459"/>
      <c r="H639" s="1459"/>
      <c r="I639" s="1459"/>
      <c r="J639" s="1459"/>
      <c r="K639" s="1459"/>
      <c r="L639" s="1459"/>
      <c r="N639" s="1399"/>
      <c r="P639" s="1399"/>
      <c r="Q639" s="1399"/>
      <c r="R639" s="1399"/>
      <c r="S639" s="1399"/>
      <c r="T639" s="1399"/>
      <c r="U639" s="1399"/>
      <c r="V639" s="1399"/>
      <c r="W639" s="1399"/>
    </row>
    <row r="640" spans="2:23" s="1280" customFormat="1" x14ac:dyDescent="0.6">
      <c r="B640" s="1461"/>
      <c r="D640" s="1459"/>
      <c r="E640" s="1459"/>
      <c r="F640" s="1459"/>
      <c r="G640" s="1459"/>
      <c r="H640" s="1459"/>
      <c r="I640" s="1459"/>
      <c r="J640" s="1459"/>
      <c r="K640" s="1459"/>
      <c r="L640" s="1459"/>
      <c r="N640" s="1399"/>
      <c r="P640" s="1399"/>
      <c r="Q640" s="1399"/>
      <c r="R640" s="1399"/>
      <c r="S640" s="1399"/>
      <c r="T640" s="1399"/>
      <c r="U640" s="1399"/>
      <c r="V640" s="1399"/>
      <c r="W640" s="1399"/>
    </row>
    <row r="641" spans="2:23" s="1280" customFormat="1" x14ac:dyDescent="0.6">
      <c r="B641" s="1461"/>
      <c r="D641" s="1459"/>
      <c r="E641" s="1459"/>
      <c r="F641" s="1459"/>
      <c r="G641" s="1459"/>
      <c r="H641" s="1459"/>
      <c r="I641" s="1459"/>
      <c r="J641" s="1459"/>
      <c r="K641" s="1459"/>
      <c r="L641" s="1459"/>
      <c r="N641" s="1399"/>
      <c r="P641" s="1399"/>
      <c r="Q641" s="1399"/>
      <c r="R641" s="1399"/>
      <c r="S641" s="1399"/>
      <c r="T641" s="1399"/>
      <c r="U641" s="1399"/>
      <c r="V641" s="1399"/>
      <c r="W641" s="1399"/>
    </row>
    <row r="642" spans="2:23" s="1280" customFormat="1" x14ac:dyDescent="0.6">
      <c r="B642" s="1461"/>
      <c r="D642" s="1459"/>
      <c r="E642" s="1459"/>
      <c r="F642" s="1459"/>
      <c r="G642" s="1459"/>
      <c r="H642" s="1459"/>
      <c r="I642" s="1459"/>
      <c r="J642" s="1459"/>
      <c r="K642" s="1459"/>
      <c r="L642" s="1459"/>
      <c r="N642" s="1399"/>
      <c r="P642" s="1399"/>
      <c r="Q642" s="1399"/>
      <c r="R642" s="1399"/>
      <c r="S642" s="1399"/>
      <c r="T642" s="1399"/>
      <c r="U642" s="1399"/>
      <c r="V642" s="1399"/>
      <c r="W642" s="1399"/>
    </row>
    <row r="643" spans="2:23" s="1280" customFormat="1" x14ac:dyDescent="0.6">
      <c r="B643" s="1461"/>
      <c r="D643" s="1459"/>
      <c r="E643" s="1459"/>
      <c r="F643" s="1459"/>
      <c r="G643" s="1459"/>
      <c r="H643" s="1459"/>
      <c r="I643" s="1459"/>
      <c r="J643" s="1459"/>
      <c r="K643" s="1459"/>
      <c r="L643" s="1459"/>
      <c r="N643" s="1399"/>
      <c r="P643" s="1399"/>
      <c r="Q643" s="1399"/>
      <c r="R643" s="1399"/>
      <c r="S643" s="1399"/>
      <c r="T643" s="1399"/>
      <c r="U643" s="1399"/>
      <c r="V643" s="1399"/>
      <c r="W643" s="1399"/>
    </row>
    <row r="644" spans="2:23" s="1280" customFormat="1" x14ac:dyDescent="0.6">
      <c r="B644" s="1461"/>
      <c r="D644" s="1459"/>
      <c r="E644" s="1459"/>
      <c r="F644" s="1459"/>
      <c r="G644" s="1459"/>
      <c r="H644" s="1459"/>
      <c r="I644" s="1459"/>
      <c r="J644" s="1459"/>
      <c r="K644" s="1459"/>
      <c r="L644" s="1459"/>
      <c r="N644" s="1399"/>
      <c r="P644" s="1399"/>
      <c r="Q644" s="1399"/>
      <c r="R644" s="1399"/>
      <c r="S644" s="1399"/>
      <c r="T644" s="1399"/>
      <c r="U644" s="1399"/>
      <c r="V644" s="1399"/>
      <c r="W644" s="1399"/>
    </row>
    <row r="645" spans="2:23" s="1280" customFormat="1" x14ac:dyDescent="0.6">
      <c r="B645" s="1461"/>
      <c r="D645" s="1459"/>
      <c r="E645" s="1459"/>
      <c r="F645" s="1459"/>
      <c r="G645" s="1459"/>
      <c r="H645" s="1459"/>
      <c r="I645" s="1459"/>
      <c r="J645" s="1459"/>
      <c r="K645" s="1459"/>
      <c r="L645" s="1459"/>
      <c r="N645" s="1399"/>
      <c r="P645" s="1399"/>
      <c r="Q645" s="1399"/>
      <c r="R645" s="1399"/>
      <c r="S645" s="1399"/>
      <c r="T645" s="1399"/>
      <c r="U645" s="1399"/>
      <c r="V645" s="1399"/>
      <c r="W645" s="1399"/>
    </row>
    <row r="646" spans="2:23" s="1280" customFormat="1" x14ac:dyDescent="0.6">
      <c r="B646" s="1461"/>
      <c r="D646" s="1459"/>
      <c r="E646" s="1459"/>
      <c r="F646" s="1459"/>
      <c r="G646" s="1459"/>
      <c r="H646" s="1459"/>
      <c r="I646" s="1459"/>
      <c r="J646" s="1459"/>
      <c r="K646" s="1459"/>
      <c r="L646" s="1459"/>
      <c r="N646" s="1399"/>
      <c r="P646" s="1399"/>
      <c r="Q646" s="1399"/>
      <c r="R646" s="1399"/>
      <c r="S646" s="1399"/>
      <c r="T646" s="1399"/>
      <c r="U646" s="1399"/>
      <c r="V646" s="1399"/>
      <c r="W646" s="1399"/>
    </row>
    <row r="647" spans="2:23" s="1280" customFormat="1" x14ac:dyDescent="0.6">
      <c r="B647" s="1461"/>
      <c r="D647" s="1459"/>
      <c r="E647" s="1459"/>
      <c r="F647" s="1459"/>
      <c r="G647" s="1459"/>
      <c r="H647" s="1459"/>
      <c r="I647" s="1459"/>
      <c r="J647" s="1459"/>
      <c r="K647" s="1459"/>
      <c r="L647" s="1459"/>
      <c r="N647" s="1399"/>
      <c r="P647" s="1399"/>
      <c r="Q647" s="1399"/>
      <c r="R647" s="1399"/>
      <c r="S647" s="1399"/>
      <c r="T647" s="1399"/>
      <c r="U647" s="1399"/>
      <c r="V647" s="1399"/>
      <c r="W647" s="1399"/>
    </row>
    <row r="648" spans="2:23" s="1280" customFormat="1" x14ac:dyDescent="0.6">
      <c r="B648" s="1461"/>
      <c r="D648" s="1459"/>
      <c r="E648" s="1459"/>
      <c r="F648" s="1459"/>
      <c r="G648" s="1459"/>
      <c r="H648" s="1459"/>
      <c r="I648" s="1459"/>
      <c r="J648" s="1459"/>
      <c r="K648" s="1459"/>
      <c r="L648" s="1459"/>
      <c r="N648" s="1399"/>
      <c r="P648" s="1399"/>
      <c r="Q648" s="1399"/>
      <c r="R648" s="1399"/>
      <c r="S648" s="1399"/>
      <c r="T648" s="1399"/>
      <c r="U648" s="1399"/>
      <c r="V648" s="1399"/>
      <c r="W648" s="1399"/>
    </row>
    <row r="649" spans="2:23" s="1280" customFormat="1" x14ac:dyDescent="0.6">
      <c r="B649" s="1461"/>
      <c r="D649" s="1459"/>
      <c r="E649" s="1459"/>
      <c r="F649" s="1459"/>
      <c r="G649" s="1459"/>
      <c r="H649" s="1459"/>
      <c r="I649" s="1459"/>
      <c r="J649" s="1459"/>
      <c r="K649" s="1459"/>
      <c r="L649" s="1459"/>
      <c r="N649" s="1399"/>
      <c r="P649" s="1399"/>
      <c r="Q649" s="1399"/>
      <c r="R649" s="1399"/>
      <c r="S649" s="1399"/>
      <c r="T649" s="1399"/>
      <c r="U649" s="1399"/>
      <c r="V649" s="1399"/>
      <c r="W649" s="1399"/>
    </row>
    <row r="650" spans="2:23" s="1280" customFormat="1" x14ac:dyDescent="0.6">
      <c r="B650" s="1461"/>
      <c r="D650" s="1459"/>
      <c r="E650" s="1459"/>
      <c r="F650" s="1459"/>
      <c r="G650" s="1459"/>
      <c r="H650" s="1459"/>
      <c r="I650" s="1459"/>
      <c r="J650" s="1459"/>
      <c r="K650" s="1459"/>
      <c r="L650" s="1459"/>
      <c r="N650" s="1399"/>
      <c r="P650" s="1399"/>
      <c r="Q650" s="1399"/>
      <c r="R650" s="1399"/>
      <c r="S650" s="1399"/>
      <c r="T650" s="1399"/>
      <c r="U650" s="1399"/>
      <c r="V650" s="1399"/>
      <c r="W650" s="1399"/>
    </row>
    <row r="651" spans="2:23" s="1280" customFormat="1" x14ac:dyDescent="0.6">
      <c r="B651" s="1461"/>
      <c r="D651" s="1459"/>
      <c r="E651" s="1459"/>
      <c r="F651" s="1459"/>
      <c r="G651" s="1459"/>
      <c r="H651" s="1459"/>
      <c r="I651" s="1459"/>
      <c r="J651" s="1459"/>
      <c r="K651" s="1459"/>
      <c r="L651" s="1459"/>
      <c r="N651" s="1399"/>
      <c r="P651" s="1399"/>
      <c r="Q651" s="1399"/>
      <c r="R651" s="1399"/>
      <c r="S651" s="1399"/>
      <c r="T651" s="1399"/>
      <c r="U651" s="1399"/>
      <c r="V651" s="1399"/>
      <c r="W651" s="1399"/>
    </row>
    <row r="652" spans="2:23" s="1280" customFormat="1" x14ac:dyDescent="0.6">
      <c r="B652" s="1461"/>
      <c r="D652" s="1459"/>
      <c r="E652" s="1459"/>
      <c r="F652" s="1459"/>
      <c r="G652" s="1459"/>
      <c r="H652" s="1459"/>
      <c r="I652" s="1459"/>
      <c r="J652" s="1459"/>
      <c r="K652" s="1459"/>
      <c r="L652" s="1459"/>
      <c r="N652" s="1399"/>
      <c r="P652" s="1399"/>
      <c r="Q652" s="1399"/>
      <c r="R652" s="1399"/>
      <c r="S652" s="1399"/>
      <c r="T652" s="1399"/>
      <c r="U652" s="1399"/>
      <c r="V652" s="1399"/>
      <c r="W652" s="1399"/>
    </row>
    <row r="653" spans="2:23" s="1280" customFormat="1" x14ac:dyDescent="0.6">
      <c r="B653" s="1461"/>
      <c r="D653" s="1459"/>
      <c r="E653" s="1459"/>
      <c r="F653" s="1459"/>
      <c r="G653" s="1459"/>
      <c r="H653" s="1459"/>
      <c r="I653" s="1459"/>
      <c r="J653" s="1459"/>
      <c r="K653" s="1459"/>
      <c r="L653" s="1459"/>
      <c r="N653" s="1399"/>
      <c r="P653" s="1399"/>
      <c r="Q653" s="1399"/>
      <c r="R653" s="1399"/>
      <c r="S653" s="1399"/>
      <c r="T653" s="1399"/>
      <c r="U653" s="1399"/>
      <c r="V653" s="1399"/>
      <c r="W653" s="1399"/>
    </row>
    <row r="654" spans="2:23" s="1280" customFormat="1" x14ac:dyDescent="0.6">
      <c r="B654" s="1461"/>
      <c r="D654" s="1459"/>
      <c r="E654" s="1459"/>
      <c r="F654" s="1459"/>
      <c r="G654" s="1459"/>
      <c r="H654" s="1459"/>
      <c r="I654" s="1459"/>
      <c r="J654" s="1459"/>
      <c r="K654" s="1459"/>
      <c r="L654" s="1459"/>
      <c r="N654" s="1399"/>
      <c r="P654" s="1399"/>
      <c r="Q654" s="1399"/>
      <c r="R654" s="1399"/>
      <c r="S654" s="1399"/>
      <c r="T654" s="1399"/>
      <c r="U654" s="1399"/>
      <c r="V654" s="1399"/>
      <c r="W654" s="1399"/>
    </row>
    <row r="655" spans="2:23" s="1280" customFormat="1" x14ac:dyDescent="0.6">
      <c r="B655" s="1461"/>
      <c r="D655" s="1459"/>
      <c r="E655" s="1459"/>
      <c r="F655" s="1459"/>
      <c r="G655" s="1459"/>
      <c r="H655" s="1459"/>
      <c r="I655" s="1459"/>
      <c r="J655" s="1459"/>
      <c r="K655" s="1459"/>
      <c r="L655" s="1459"/>
      <c r="N655" s="1399"/>
      <c r="P655" s="1399"/>
      <c r="Q655" s="1399"/>
      <c r="R655" s="1399"/>
      <c r="S655" s="1399"/>
      <c r="T655" s="1399"/>
      <c r="U655" s="1399"/>
      <c r="V655" s="1399"/>
      <c r="W655" s="1399"/>
    </row>
    <row r="656" spans="2:23" s="1280" customFormat="1" x14ac:dyDescent="0.6">
      <c r="B656" s="1461"/>
      <c r="D656" s="1459"/>
      <c r="E656" s="1459"/>
      <c r="F656" s="1459"/>
      <c r="G656" s="1459"/>
      <c r="H656" s="1459"/>
      <c r="I656" s="1459"/>
      <c r="J656" s="1459"/>
      <c r="K656" s="1459"/>
      <c r="L656" s="1459"/>
      <c r="N656" s="1399"/>
      <c r="P656" s="1399"/>
      <c r="Q656" s="1399"/>
      <c r="R656" s="1399"/>
      <c r="S656" s="1399"/>
      <c r="T656" s="1399"/>
      <c r="U656" s="1399"/>
      <c r="V656" s="1399"/>
      <c r="W656" s="1399"/>
    </row>
    <row r="657" spans="2:23" s="1280" customFormat="1" x14ac:dyDescent="0.6">
      <c r="B657" s="1461"/>
      <c r="D657" s="1459"/>
      <c r="E657" s="1459"/>
      <c r="F657" s="1459"/>
      <c r="G657" s="1459"/>
      <c r="H657" s="1459"/>
      <c r="I657" s="1459"/>
      <c r="J657" s="1459"/>
      <c r="K657" s="1459"/>
      <c r="L657" s="1459"/>
      <c r="N657" s="1399"/>
      <c r="P657" s="1399"/>
      <c r="Q657" s="1399"/>
      <c r="R657" s="1399"/>
      <c r="S657" s="1399"/>
      <c r="T657" s="1399"/>
      <c r="U657" s="1399"/>
      <c r="V657" s="1399"/>
      <c r="W657" s="1399"/>
    </row>
    <row r="658" spans="2:23" s="1280" customFormat="1" x14ac:dyDescent="0.6">
      <c r="B658" s="1461"/>
      <c r="D658" s="1459"/>
      <c r="E658" s="1459"/>
      <c r="F658" s="1459"/>
      <c r="G658" s="1459"/>
      <c r="H658" s="1459"/>
      <c r="I658" s="1459"/>
      <c r="J658" s="1459"/>
      <c r="K658" s="1459"/>
      <c r="L658" s="1459"/>
      <c r="N658" s="1399"/>
      <c r="P658" s="1399"/>
      <c r="Q658" s="1399"/>
      <c r="R658" s="1399"/>
      <c r="S658" s="1399"/>
      <c r="T658" s="1399"/>
      <c r="U658" s="1399"/>
      <c r="V658" s="1399"/>
      <c r="W658" s="1399"/>
    </row>
    <row r="659" spans="2:23" s="1280" customFormat="1" x14ac:dyDescent="0.6">
      <c r="B659" s="1461"/>
      <c r="D659" s="1459"/>
      <c r="E659" s="1459"/>
      <c r="F659" s="1459"/>
      <c r="G659" s="1459"/>
      <c r="H659" s="1459"/>
      <c r="I659" s="1459"/>
      <c r="J659" s="1459"/>
      <c r="K659" s="1459"/>
      <c r="L659" s="1459"/>
      <c r="N659" s="1399"/>
      <c r="P659" s="1399"/>
      <c r="Q659" s="1399"/>
      <c r="R659" s="1399"/>
      <c r="S659" s="1399"/>
      <c r="T659" s="1399"/>
      <c r="U659" s="1399"/>
      <c r="V659" s="1399"/>
      <c r="W659" s="1399"/>
    </row>
    <row r="660" spans="2:23" s="1280" customFormat="1" x14ac:dyDescent="0.6">
      <c r="B660" s="1461"/>
      <c r="D660" s="1459"/>
      <c r="E660" s="1459"/>
      <c r="F660" s="1459"/>
      <c r="G660" s="1459"/>
      <c r="H660" s="1459"/>
      <c r="I660" s="1459"/>
      <c r="J660" s="1459"/>
      <c r="K660" s="1459"/>
      <c r="L660" s="1459"/>
      <c r="N660" s="1399"/>
      <c r="P660" s="1399"/>
      <c r="Q660" s="1399"/>
      <c r="R660" s="1399"/>
      <c r="S660" s="1399"/>
      <c r="T660" s="1399"/>
      <c r="U660" s="1399"/>
      <c r="V660" s="1399"/>
      <c r="W660" s="1399"/>
    </row>
    <row r="661" spans="2:23" s="1280" customFormat="1" x14ac:dyDescent="0.6">
      <c r="B661" s="1461"/>
      <c r="D661" s="1459"/>
      <c r="E661" s="1459"/>
      <c r="F661" s="1459"/>
      <c r="G661" s="1459"/>
      <c r="H661" s="1459"/>
      <c r="I661" s="1459"/>
      <c r="J661" s="1459"/>
      <c r="K661" s="1459"/>
      <c r="L661" s="1459"/>
      <c r="N661" s="1399"/>
      <c r="P661" s="1399"/>
      <c r="Q661" s="1399"/>
      <c r="R661" s="1399"/>
      <c r="S661" s="1399"/>
      <c r="T661" s="1399"/>
      <c r="U661" s="1399"/>
      <c r="V661" s="1399"/>
      <c r="W661" s="1399"/>
    </row>
    <row r="662" spans="2:23" s="1280" customFormat="1" x14ac:dyDescent="0.6">
      <c r="B662" s="1461"/>
      <c r="D662" s="1459"/>
      <c r="E662" s="1459"/>
      <c r="F662" s="1459"/>
      <c r="G662" s="1459"/>
      <c r="H662" s="1459"/>
      <c r="I662" s="1459"/>
      <c r="J662" s="1459"/>
      <c r="K662" s="1459"/>
      <c r="L662" s="1459"/>
      <c r="N662" s="1399"/>
      <c r="P662" s="1399"/>
      <c r="Q662" s="1399"/>
      <c r="R662" s="1399"/>
      <c r="S662" s="1399"/>
      <c r="T662" s="1399"/>
      <c r="U662" s="1399"/>
      <c r="V662" s="1399"/>
      <c r="W662" s="1399"/>
    </row>
    <row r="663" spans="2:23" s="1280" customFormat="1" x14ac:dyDescent="0.6">
      <c r="B663" s="1461"/>
      <c r="D663" s="1459"/>
      <c r="E663" s="1459"/>
      <c r="F663" s="1459"/>
      <c r="G663" s="1459"/>
      <c r="H663" s="1459"/>
      <c r="I663" s="1459"/>
      <c r="J663" s="1459"/>
      <c r="K663" s="1459"/>
      <c r="L663" s="1459"/>
      <c r="N663" s="1399"/>
      <c r="P663" s="1399"/>
      <c r="Q663" s="1399"/>
      <c r="R663" s="1399"/>
      <c r="S663" s="1399"/>
      <c r="T663" s="1399"/>
      <c r="U663" s="1399"/>
      <c r="V663" s="1399"/>
      <c r="W663" s="1399"/>
    </row>
    <row r="664" spans="2:23" s="1280" customFormat="1" x14ac:dyDescent="0.6">
      <c r="B664" s="1461"/>
      <c r="D664" s="1459"/>
      <c r="E664" s="1459"/>
      <c r="F664" s="1459"/>
      <c r="G664" s="1459"/>
      <c r="H664" s="1459"/>
      <c r="I664" s="1459"/>
      <c r="J664" s="1459"/>
      <c r="K664" s="1459"/>
      <c r="L664" s="1459"/>
      <c r="N664" s="1399"/>
      <c r="P664" s="1399"/>
      <c r="Q664" s="1399"/>
      <c r="R664" s="1399"/>
      <c r="S664" s="1399"/>
      <c r="T664" s="1399"/>
      <c r="U664" s="1399"/>
      <c r="V664" s="1399"/>
      <c r="W664" s="1399"/>
    </row>
    <row r="665" spans="2:23" s="1280" customFormat="1" x14ac:dyDescent="0.6">
      <c r="B665" s="1461"/>
      <c r="D665" s="1459"/>
      <c r="E665" s="1459"/>
      <c r="F665" s="1459"/>
      <c r="G665" s="1459"/>
      <c r="H665" s="1459"/>
      <c r="I665" s="1459"/>
      <c r="J665" s="1459"/>
      <c r="K665" s="1459"/>
      <c r="L665" s="1459"/>
      <c r="N665" s="1399"/>
      <c r="P665" s="1399"/>
      <c r="Q665" s="1399"/>
      <c r="R665" s="1399"/>
      <c r="S665" s="1399"/>
      <c r="T665" s="1399"/>
      <c r="U665" s="1399"/>
      <c r="V665" s="1399"/>
      <c r="W665" s="1399"/>
    </row>
    <row r="666" spans="2:23" s="1280" customFormat="1" x14ac:dyDescent="0.6">
      <c r="B666" s="1461"/>
      <c r="D666" s="1459"/>
      <c r="E666" s="1459"/>
      <c r="F666" s="1459"/>
      <c r="G666" s="1459"/>
      <c r="H666" s="1459"/>
      <c r="I666" s="1459"/>
      <c r="J666" s="1459"/>
      <c r="K666" s="1459"/>
      <c r="L666" s="1459"/>
      <c r="N666" s="1399"/>
      <c r="P666" s="1399"/>
      <c r="Q666" s="1399"/>
      <c r="R666" s="1399"/>
      <c r="S666" s="1399"/>
      <c r="T666" s="1399"/>
      <c r="U666" s="1399"/>
      <c r="V666" s="1399"/>
      <c r="W666" s="1399"/>
    </row>
    <row r="667" spans="2:23" s="1280" customFormat="1" x14ac:dyDescent="0.6">
      <c r="B667" s="1461"/>
      <c r="D667" s="1459"/>
      <c r="E667" s="1459"/>
      <c r="F667" s="1459"/>
      <c r="G667" s="1459"/>
      <c r="H667" s="1459"/>
      <c r="I667" s="1459"/>
      <c r="J667" s="1459"/>
      <c r="K667" s="1459"/>
      <c r="L667" s="1459"/>
      <c r="N667" s="1399"/>
      <c r="P667" s="1399"/>
      <c r="Q667" s="1399"/>
      <c r="R667" s="1399"/>
      <c r="S667" s="1399"/>
      <c r="T667" s="1399"/>
      <c r="U667" s="1399"/>
      <c r="V667" s="1399"/>
      <c r="W667" s="1399"/>
    </row>
    <row r="668" spans="2:23" s="1280" customFormat="1" x14ac:dyDescent="0.6">
      <c r="B668" s="1461"/>
      <c r="D668" s="1459"/>
      <c r="E668" s="1459"/>
      <c r="F668" s="1459"/>
      <c r="G668" s="1459"/>
      <c r="H668" s="1459"/>
      <c r="I668" s="1459"/>
      <c r="J668" s="1459"/>
      <c r="K668" s="1459"/>
      <c r="L668" s="1459"/>
      <c r="N668" s="1399"/>
      <c r="P668" s="1399"/>
      <c r="Q668" s="1399"/>
      <c r="R668" s="1399"/>
      <c r="S668" s="1399"/>
      <c r="T668" s="1399"/>
      <c r="U668" s="1399"/>
      <c r="V668" s="1399"/>
      <c r="W668" s="1399"/>
    </row>
    <row r="669" spans="2:23" s="1280" customFormat="1" x14ac:dyDescent="0.6">
      <c r="B669" s="1461"/>
      <c r="D669" s="1459"/>
      <c r="E669" s="1459"/>
      <c r="F669" s="1459"/>
      <c r="G669" s="1459"/>
      <c r="H669" s="1459"/>
      <c r="I669" s="1459"/>
      <c r="J669" s="1459"/>
      <c r="K669" s="1459"/>
      <c r="L669" s="1459"/>
      <c r="N669" s="1399"/>
      <c r="P669" s="1399"/>
      <c r="Q669" s="1399"/>
      <c r="R669" s="1399"/>
      <c r="S669" s="1399"/>
      <c r="T669" s="1399"/>
      <c r="U669" s="1399"/>
      <c r="V669" s="1399"/>
      <c r="W669" s="1399"/>
    </row>
    <row r="670" spans="2:23" s="1280" customFormat="1" x14ac:dyDescent="0.6">
      <c r="B670" s="1461"/>
      <c r="D670" s="1459"/>
      <c r="E670" s="1459"/>
      <c r="F670" s="1459"/>
      <c r="G670" s="1459"/>
      <c r="H670" s="1459"/>
      <c r="I670" s="1459"/>
      <c r="J670" s="1459"/>
      <c r="K670" s="1459"/>
      <c r="L670" s="1459"/>
      <c r="N670" s="1399"/>
      <c r="P670" s="1399"/>
      <c r="Q670" s="1399"/>
      <c r="R670" s="1399"/>
      <c r="S670" s="1399"/>
      <c r="T670" s="1399"/>
      <c r="U670" s="1399"/>
      <c r="V670" s="1399"/>
      <c r="W670" s="1399"/>
    </row>
    <row r="671" spans="2:23" s="1280" customFormat="1" x14ac:dyDescent="0.6">
      <c r="B671" s="1461"/>
      <c r="D671" s="1459"/>
      <c r="E671" s="1459"/>
      <c r="F671" s="1459"/>
      <c r="G671" s="1459"/>
      <c r="H671" s="1459"/>
      <c r="I671" s="1459"/>
      <c r="J671" s="1459"/>
      <c r="K671" s="1459"/>
      <c r="L671" s="1459"/>
      <c r="N671" s="1399"/>
      <c r="P671" s="1399"/>
      <c r="Q671" s="1399"/>
      <c r="R671" s="1399"/>
      <c r="S671" s="1399"/>
      <c r="T671" s="1399"/>
      <c r="U671" s="1399"/>
      <c r="V671" s="1399"/>
      <c r="W671" s="1399"/>
    </row>
    <row r="672" spans="2:23" s="1280" customFormat="1" x14ac:dyDescent="0.6">
      <c r="B672" s="1461"/>
      <c r="D672" s="1459"/>
      <c r="E672" s="1459"/>
      <c r="F672" s="1459"/>
      <c r="G672" s="1459"/>
      <c r="H672" s="1459"/>
      <c r="I672" s="1459"/>
      <c r="J672" s="1459"/>
      <c r="K672" s="1459"/>
      <c r="L672" s="1459"/>
      <c r="N672" s="1399"/>
      <c r="P672" s="1399"/>
      <c r="Q672" s="1399"/>
      <c r="R672" s="1399"/>
      <c r="S672" s="1399"/>
      <c r="T672" s="1399"/>
      <c r="U672" s="1399"/>
      <c r="V672" s="1399"/>
      <c r="W672" s="1399"/>
    </row>
    <row r="673" spans="2:23" s="1280" customFormat="1" x14ac:dyDescent="0.6">
      <c r="B673" s="1461"/>
      <c r="D673" s="1459"/>
      <c r="E673" s="1459"/>
      <c r="F673" s="1459"/>
      <c r="G673" s="1459"/>
      <c r="H673" s="1459"/>
      <c r="I673" s="1459"/>
      <c r="J673" s="1459"/>
      <c r="K673" s="1459"/>
      <c r="L673" s="1459"/>
      <c r="N673" s="1399"/>
      <c r="P673" s="1399"/>
      <c r="Q673" s="1399"/>
      <c r="R673" s="1399"/>
      <c r="S673" s="1399"/>
      <c r="T673" s="1399"/>
      <c r="U673" s="1399"/>
      <c r="V673" s="1399"/>
      <c r="W673" s="1399"/>
    </row>
    <row r="674" spans="2:23" s="1280" customFormat="1" x14ac:dyDescent="0.6">
      <c r="B674" s="1461"/>
      <c r="D674" s="1459"/>
      <c r="E674" s="1459"/>
      <c r="F674" s="1459"/>
      <c r="G674" s="1459"/>
      <c r="H674" s="1459"/>
      <c r="I674" s="1459"/>
      <c r="J674" s="1459"/>
      <c r="K674" s="1459"/>
      <c r="L674" s="1459"/>
      <c r="N674" s="1399"/>
      <c r="P674" s="1399"/>
      <c r="Q674" s="1399"/>
      <c r="R674" s="1399"/>
      <c r="S674" s="1399"/>
      <c r="T674" s="1399"/>
      <c r="U674" s="1399"/>
      <c r="V674" s="1399"/>
      <c r="W674" s="1399"/>
    </row>
    <row r="675" spans="2:23" s="1280" customFormat="1" x14ac:dyDescent="0.6">
      <c r="B675" s="1461"/>
      <c r="D675" s="1459"/>
      <c r="E675" s="1459"/>
      <c r="F675" s="1459"/>
      <c r="G675" s="1459"/>
      <c r="H675" s="1459"/>
      <c r="I675" s="1459"/>
      <c r="J675" s="1459"/>
      <c r="K675" s="1459"/>
      <c r="L675" s="1459"/>
      <c r="N675" s="1399"/>
      <c r="P675" s="1399"/>
      <c r="Q675" s="1399"/>
      <c r="R675" s="1399"/>
      <c r="S675" s="1399"/>
      <c r="T675" s="1399"/>
      <c r="U675" s="1399"/>
      <c r="V675" s="1399"/>
      <c r="W675" s="1399"/>
    </row>
    <row r="676" spans="2:23" s="1280" customFormat="1" x14ac:dyDescent="0.6">
      <c r="B676" s="1461"/>
      <c r="D676" s="1459"/>
      <c r="E676" s="1459"/>
      <c r="F676" s="1459"/>
      <c r="G676" s="1459"/>
      <c r="H676" s="1459"/>
      <c r="I676" s="1459"/>
      <c r="J676" s="1459"/>
      <c r="K676" s="1459"/>
      <c r="L676" s="1459"/>
      <c r="N676" s="1399"/>
      <c r="P676" s="1399"/>
      <c r="Q676" s="1399"/>
      <c r="R676" s="1399"/>
      <c r="S676" s="1399"/>
      <c r="T676" s="1399"/>
      <c r="U676" s="1399"/>
      <c r="V676" s="1399"/>
      <c r="W676" s="1399"/>
    </row>
    <row r="677" spans="2:23" s="1280" customFormat="1" x14ac:dyDescent="0.6">
      <c r="B677" s="1461"/>
      <c r="D677" s="1459"/>
      <c r="E677" s="1459"/>
      <c r="F677" s="1459"/>
      <c r="G677" s="1459"/>
      <c r="H677" s="1459"/>
      <c r="I677" s="1459"/>
      <c r="J677" s="1459"/>
      <c r="K677" s="1459"/>
      <c r="L677" s="1459"/>
      <c r="N677" s="1399"/>
      <c r="P677" s="1399"/>
      <c r="Q677" s="1399"/>
      <c r="R677" s="1399"/>
      <c r="S677" s="1399"/>
      <c r="T677" s="1399"/>
      <c r="U677" s="1399"/>
      <c r="V677" s="1399"/>
      <c r="W677" s="1399"/>
    </row>
    <row r="678" spans="2:23" s="1280" customFormat="1" x14ac:dyDescent="0.6">
      <c r="B678" s="1461"/>
      <c r="D678" s="1459"/>
      <c r="E678" s="1459"/>
      <c r="F678" s="1459"/>
      <c r="G678" s="1459"/>
      <c r="H678" s="1459"/>
      <c r="I678" s="1459"/>
      <c r="J678" s="1459"/>
      <c r="K678" s="1459"/>
      <c r="L678" s="1459"/>
      <c r="N678" s="1399"/>
      <c r="P678" s="1399"/>
      <c r="Q678" s="1399"/>
      <c r="R678" s="1399"/>
      <c r="S678" s="1399"/>
      <c r="T678" s="1399"/>
      <c r="U678" s="1399"/>
      <c r="V678" s="1399"/>
      <c r="W678" s="1399"/>
    </row>
    <row r="679" spans="2:23" s="1280" customFormat="1" x14ac:dyDescent="0.6">
      <c r="B679" s="1461"/>
      <c r="D679" s="1459"/>
      <c r="E679" s="1459"/>
      <c r="F679" s="1459"/>
      <c r="G679" s="1459"/>
      <c r="H679" s="1459"/>
      <c r="I679" s="1459"/>
      <c r="J679" s="1459"/>
      <c r="K679" s="1459"/>
      <c r="L679" s="1459"/>
      <c r="N679" s="1399"/>
      <c r="P679" s="1399"/>
      <c r="Q679" s="1399"/>
      <c r="R679" s="1399"/>
      <c r="S679" s="1399"/>
      <c r="T679" s="1399"/>
      <c r="U679" s="1399"/>
      <c r="V679" s="1399"/>
      <c r="W679" s="1399"/>
    </row>
    <row r="680" spans="2:23" s="1280" customFormat="1" x14ac:dyDescent="0.6">
      <c r="B680" s="1461"/>
      <c r="D680" s="1459"/>
      <c r="E680" s="1459"/>
      <c r="F680" s="1459"/>
      <c r="G680" s="1459"/>
      <c r="H680" s="1459"/>
      <c r="I680" s="1459"/>
      <c r="J680" s="1459"/>
      <c r="K680" s="1459"/>
      <c r="L680" s="1459"/>
      <c r="N680" s="1399"/>
      <c r="P680" s="1399"/>
      <c r="Q680" s="1399"/>
      <c r="R680" s="1399"/>
      <c r="S680" s="1399"/>
      <c r="T680" s="1399"/>
      <c r="U680" s="1399"/>
      <c r="V680" s="1399"/>
      <c r="W680" s="1399"/>
    </row>
    <row r="681" spans="2:23" s="1280" customFormat="1" x14ac:dyDescent="0.6">
      <c r="B681" s="1461"/>
      <c r="D681" s="1459"/>
      <c r="E681" s="1459"/>
      <c r="F681" s="1459"/>
      <c r="G681" s="1459"/>
      <c r="H681" s="1459"/>
      <c r="I681" s="1459"/>
      <c r="J681" s="1459"/>
      <c r="K681" s="1459"/>
      <c r="L681" s="1459"/>
      <c r="N681" s="1399"/>
      <c r="P681" s="1399"/>
      <c r="Q681" s="1399"/>
      <c r="R681" s="1399"/>
      <c r="S681" s="1399"/>
      <c r="T681" s="1399"/>
      <c r="U681" s="1399"/>
      <c r="V681" s="1399"/>
      <c r="W681" s="1399"/>
    </row>
    <row r="682" spans="2:23" s="1280" customFormat="1" x14ac:dyDescent="0.6">
      <c r="B682" s="1461"/>
      <c r="D682" s="1459"/>
      <c r="E682" s="1459"/>
      <c r="F682" s="1459"/>
      <c r="G682" s="1459"/>
      <c r="H682" s="1459"/>
      <c r="I682" s="1459"/>
      <c r="J682" s="1459"/>
      <c r="K682" s="1459"/>
      <c r="L682" s="1459"/>
      <c r="N682" s="1399"/>
      <c r="P682" s="1399"/>
      <c r="Q682" s="1399"/>
      <c r="R682" s="1399"/>
      <c r="S682" s="1399"/>
      <c r="T682" s="1399"/>
      <c r="U682" s="1399"/>
      <c r="V682" s="1399"/>
      <c r="W682" s="1399"/>
    </row>
    <row r="683" spans="2:23" s="1280" customFormat="1" x14ac:dyDescent="0.6">
      <c r="B683" s="1461"/>
      <c r="D683" s="1459"/>
      <c r="E683" s="1459"/>
      <c r="F683" s="1459"/>
      <c r="G683" s="1459"/>
      <c r="H683" s="1459"/>
      <c r="I683" s="1459"/>
      <c r="J683" s="1459"/>
      <c r="K683" s="1459"/>
      <c r="L683" s="1459"/>
      <c r="N683" s="1399"/>
      <c r="P683" s="1399"/>
      <c r="Q683" s="1399"/>
      <c r="R683" s="1399"/>
      <c r="S683" s="1399"/>
      <c r="T683" s="1399"/>
      <c r="U683" s="1399"/>
      <c r="V683" s="1399"/>
      <c r="W683" s="1399"/>
    </row>
    <row r="684" spans="2:23" s="1280" customFormat="1" x14ac:dyDescent="0.6">
      <c r="B684" s="1461"/>
      <c r="D684" s="1459"/>
      <c r="E684" s="1459"/>
      <c r="F684" s="1459"/>
      <c r="G684" s="1459"/>
      <c r="H684" s="1459"/>
      <c r="I684" s="1459"/>
      <c r="J684" s="1459"/>
      <c r="K684" s="1459"/>
      <c r="L684" s="1459"/>
      <c r="N684" s="1399"/>
      <c r="P684" s="1399"/>
      <c r="Q684" s="1399"/>
      <c r="R684" s="1399"/>
      <c r="S684" s="1399"/>
      <c r="T684" s="1399"/>
      <c r="U684" s="1399"/>
      <c r="V684" s="1399"/>
      <c r="W684" s="1399"/>
    </row>
    <row r="685" spans="2:23" s="1280" customFormat="1" x14ac:dyDescent="0.6">
      <c r="B685" s="1461"/>
      <c r="D685" s="1459"/>
      <c r="E685" s="1459"/>
      <c r="F685" s="1459"/>
      <c r="G685" s="1459"/>
      <c r="H685" s="1459"/>
      <c r="I685" s="1459"/>
      <c r="J685" s="1459"/>
      <c r="K685" s="1459"/>
      <c r="L685" s="1459"/>
      <c r="N685" s="1399"/>
      <c r="P685" s="1399"/>
      <c r="Q685" s="1399"/>
      <c r="R685" s="1399"/>
      <c r="S685" s="1399"/>
      <c r="T685" s="1399"/>
      <c r="U685" s="1399"/>
      <c r="V685" s="1399"/>
      <c r="W685" s="1399"/>
    </row>
    <row r="686" spans="2:23" s="1280" customFormat="1" x14ac:dyDescent="0.6">
      <c r="B686" s="1461"/>
      <c r="D686" s="1459"/>
      <c r="E686" s="1459"/>
      <c r="F686" s="1459"/>
      <c r="G686" s="1459"/>
      <c r="H686" s="1459"/>
      <c r="I686" s="1459"/>
      <c r="J686" s="1459"/>
      <c r="K686" s="1459"/>
      <c r="L686" s="1459"/>
      <c r="N686" s="1399"/>
      <c r="P686" s="1399"/>
      <c r="Q686" s="1399"/>
      <c r="R686" s="1399"/>
      <c r="S686" s="1399"/>
      <c r="T686" s="1399"/>
      <c r="U686" s="1399"/>
      <c r="V686" s="1399"/>
      <c r="W686" s="1399"/>
    </row>
    <row r="687" spans="2:23" s="1280" customFormat="1" x14ac:dyDescent="0.6">
      <c r="B687" s="1461"/>
      <c r="D687" s="1459"/>
      <c r="E687" s="1459"/>
      <c r="F687" s="1459"/>
      <c r="G687" s="1459"/>
      <c r="H687" s="1459"/>
      <c r="I687" s="1459"/>
      <c r="J687" s="1459"/>
      <c r="K687" s="1459"/>
      <c r="L687" s="1459"/>
      <c r="N687" s="1399"/>
      <c r="P687" s="1399"/>
      <c r="Q687" s="1399"/>
      <c r="R687" s="1399"/>
      <c r="S687" s="1399"/>
      <c r="T687" s="1399"/>
      <c r="U687" s="1399"/>
      <c r="V687" s="1399"/>
      <c r="W687" s="1399"/>
    </row>
    <row r="688" spans="2:23" s="1280" customFormat="1" x14ac:dyDescent="0.6">
      <c r="B688" s="1461"/>
      <c r="D688" s="1459"/>
      <c r="E688" s="1459"/>
      <c r="F688" s="1459"/>
      <c r="G688" s="1459"/>
      <c r="H688" s="1459"/>
      <c r="I688" s="1459"/>
      <c r="J688" s="1459"/>
      <c r="K688" s="1459"/>
      <c r="L688" s="1459"/>
      <c r="N688" s="1399"/>
      <c r="P688" s="1399"/>
      <c r="Q688" s="1399"/>
      <c r="R688" s="1399"/>
      <c r="S688" s="1399"/>
      <c r="T688" s="1399"/>
      <c r="U688" s="1399"/>
      <c r="V688" s="1399"/>
      <c r="W688" s="1399"/>
    </row>
    <row r="689" spans="2:23" s="1280" customFormat="1" x14ac:dyDescent="0.6">
      <c r="B689" s="1461"/>
      <c r="D689" s="1459"/>
      <c r="E689" s="1459"/>
      <c r="F689" s="1459"/>
      <c r="G689" s="1459"/>
      <c r="H689" s="1459"/>
      <c r="I689" s="1459"/>
      <c r="J689" s="1459"/>
      <c r="K689" s="1459"/>
      <c r="L689" s="1459"/>
      <c r="N689" s="1399"/>
      <c r="P689" s="1399"/>
      <c r="Q689" s="1399"/>
      <c r="R689" s="1399"/>
      <c r="S689" s="1399"/>
      <c r="T689" s="1399"/>
      <c r="U689" s="1399"/>
      <c r="V689" s="1399"/>
      <c r="W689" s="1399"/>
    </row>
    <row r="690" spans="2:23" s="1280" customFormat="1" x14ac:dyDescent="0.6">
      <c r="B690" s="1461"/>
      <c r="D690" s="1459"/>
      <c r="E690" s="1459"/>
      <c r="F690" s="1459"/>
      <c r="G690" s="1459"/>
      <c r="H690" s="1459"/>
      <c r="I690" s="1459"/>
      <c r="J690" s="1459"/>
      <c r="K690" s="1459"/>
      <c r="L690" s="1459"/>
      <c r="N690" s="1399"/>
      <c r="P690" s="1399"/>
      <c r="Q690" s="1399"/>
      <c r="R690" s="1399"/>
      <c r="S690" s="1399"/>
      <c r="T690" s="1399"/>
      <c r="U690" s="1399"/>
      <c r="V690" s="1399"/>
      <c r="W690" s="1399"/>
    </row>
    <row r="691" spans="2:23" s="1280" customFormat="1" x14ac:dyDescent="0.6">
      <c r="B691" s="1461"/>
      <c r="D691" s="1459"/>
      <c r="E691" s="1459"/>
      <c r="F691" s="1459"/>
      <c r="G691" s="1459"/>
      <c r="H691" s="1459"/>
      <c r="I691" s="1459"/>
      <c r="J691" s="1459"/>
      <c r="K691" s="1459"/>
      <c r="L691" s="1459"/>
      <c r="N691" s="1399"/>
      <c r="P691" s="1399"/>
      <c r="Q691" s="1399"/>
      <c r="R691" s="1399"/>
      <c r="S691" s="1399"/>
      <c r="T691" s="1399"/>
      <c r="U691" s="1399"/>
      <c r="V691" s="1399"/>
      <c r="W691" s="1399"/>
    </row>
    <row r="692" spans="2:23" s="1280" customFormat="1" x14ac:dyDescent="0.6">
      <c r="B692" s="1461"/>
      <c r="D692" s="1459"/>
      <c r="E692" s="1459"/>
      <c r="F692" s="1459"/>
      <c r="G692" s="1459"/>
      <c r="H692" s="1459"/>
      <c r="I692" s="1459"/>
      <c r="J692" s="1459"/>
      <c r="K692" s="1459"/>
      <c r="L692" s="1459"/>
      <c r="N692" s="1399"/>
      <c r="P692" s="1399"/>
      <c r="Q692" s="1399"/>
      <c r="R692" s="1399"/>
      <c r="S692" s="1399"/>
      <c r="T692" s="1399"/>
      <c r="U692" s="1399"/>
      <c r="V692" s="1399"/>
      <c r="W692" s="1399"/>
    </row>
    <row r="693" spans="2:23" s="1280" customFormat="1" x14ac:dyDescent="0.6">
      <c r="B693" s="1461"/>
      <c r="D693" s="1459"/>
      <c r="E693" s="1459"/>
      <c r="F693" s="1459"/>
      <c r="G693" s="1459"/>
      <c r="H693" s="1459"/>
      <c r="I693" s="1459"/>
      <c r="J693" s="1459"/>
      <c r="K693" s="1459"/>
      <c r="L693" s="1459"/>
      <c r="N693" s="1399"/>
      <c r="P693" s="1399"/>
      <c r="Q693" s="1399"/>
      <c r="R693" s="1399"/>
      <c r="S693" s="1399"/>
      <c r="T693" s="1399"/>
      <c r="U693" s="1399"/>
      <c r="V693" s="1399"/>
      <c r="W693" s="1399"/>
    </row>
    <row r="694" spans="2:23" s="1280" customFormat="1" x14ac:dyDescent="0.6">
      <c r="B694" s="1461"/>
      <c r="D694" s="1459"/>
      <c r="E694" s="1459"/>
      <c r="F694" s="1459"/>
      <c r="G694" s="1459"/>
      <c r="H694" s="1459"/>
      <c r="I694" s="1459"/>
      <c r="J694" s="1459"/>
      <c r="K694" s="1459"/>
      <c r="L694" s="1459"/>
      <c r="N694" s="1399"/>
      <c r="P694" s="1399"/>
      <c r="Q694" s="1399"/>
      <c r="R694" s="1399"/>
      <c r="S694" s="1399"/>
      <c r="T694" s="1399"/>
      <c r="U694" s="1399"/>
      <c r="V694" s="1399"/>
      <c r="W694" s="1399"/>
    </row>
    <row r="695" spans="2:23" s="1280" customFormat="1" x14ac:dyDescent="0.6">
      <c r="B695" s="1461"/>
      <c r="D695" s="1459"/>
      <c r="E695" s="1459"/>
      <c r="F695" s="1459"/>
      <c r="G695" s="1459"/>
      <c r="H695" s="1459"/>
      <c r="I695" s="1459"/>
      <c r="J695" s="1459"/>
      <c r="K695" s="1459"/>
      <c r="L695" s="1459"/>
      <c r="N695" s="1399"/>
      <c r="P695" s="1399"/>
      <c r="Q695" s="1399"/>
      <c r="R695" s="1399"/>
      <c r="S695" s="1399"/>
      <c r="T695" s="1399"/>
      <c r="U695" s="1399"/>
      <c r="V695" s="1399"/>
      <c r="W695" s="1399"/>
    </row>
    <row r="696" spans="2:23" s="1280" customFormat="1" x14ac:dyDescent="0.6">
      <c r="B696" s="1461"/>
      <c r="D696" s="1459"/>
      <c r="E696" s="1459"/>
      <c r="F696" s="1459"/>
      <c r="G696" s="1459"/>
      <c r="H696" s="1459"/>
      <c r="I696" s="1459"/>
      <c r="J696" s="1459"/>
      <c r="K696" s="1459"/>
      <c r="L696" s="1459"/>
      <c r="N696" s="1399"/>
      <c r="P696" s="1399"/>
      <c r="Q696" s="1399"/>
      <c r="R696" s="1399"/>
      <c r="S696" s="1399"/>
      <c r="T696" s="1399"/>
      <c r="U696" s="1399"/>
      <c r="V696" s="1399"/>
      <c r="W696" s="1399"/>
    </row>
    <row r="697" spans="2:23" s="1280" customFormat="1" x14ac:dyDescent="0.6">
      <c r="B697" s="1461"/>
      <c r="D697" s="1459"/>
      <c r="E697" s="1459"/>
      <c r="F697" s="1459"/>
      <c r="G697" s="1459"/>
      <c r="H697" s="1459"/>
      <c r="I697" s="1459"/>
      <c r="J697" s="1459"/>
      <c r="K697" s="1459"/>
      <c r="L697" s="1459"/>
      <c r="N697" s="1399"/>
      <c r="P697" s="1399"/>
      <c r="Q697" s="1399"/>
      <c r="R697" s="1399"/>
      <c r="S697" s="1399"/>
      <c r="T697" s="1399"/>
      <c r="U697" s="1399"/>
      <c r="V697" s="1399"/>
      <c r="W697" s="1399"/>
    </row>
    <row r="698" spans="2:23" s="1280" customFormat="1" x14ac:dyDescent="0.6">
      <c r="B698" s="1461"/>
      <c r="D698" s="1459"/>
      <c r="E698" s="1459"/>
      <c r="F698" s="1459"/>
      <c r="G698" s="1459"/>
      <c r="H698" s="1459"/>
      <c r="I698" s="1459"/>
      <c r="J698" s="1459"/>
      <c r="K698" s="1459"/>
      <c r="L698" s="1459"/>
      <c r="N698" s="1399"/>
      <c r="P698" s="1399"/>
      <c r="Q698" s="1399"/>
      <c r="R698" s="1399"/>
      <c r="S698" s="1399"/>
      <c r="T698" s="1399"/>
      <c r="U698" s="1399"/>
      <c r="V698" s="1399"/>
      <c r="W698" s="1399"/>
    </row>
    <row r="699" spans="2:23" s="1280" customFormat="1" x14ac:dyDescent="0.6">
      <c r="B699" s="1461"/>
      <c r="D699" s="1459"/>
      <c r="E699" s="1459"/>
      <c r="F699" s="1459"/>
      <c r="G699" s="1459"/>
      <c r="H699" s="1459"/>
      <c r="I699" s="1459"/>
      <c r="J699" s="1459"/>
      <c r="K699" s="1459"/>
      <c r="L699" s="1459"/>
      <c r="N699" s="1399"/>
      <c r="P699" s="1399"/>
      <c r="Q699" s="1399"/>
      <c r="R699" s="1399"/>
      <c r="S699" s="1399"/>
      <c r="T699" s="1399"/>
      <c r="U699" s="1399"/>
      <c r="V699" s="1399"/>
      <c r="W699" s="1399"/>
    </row>
    <row r="700" spans="2:23" s="1280" customFormat="1" x14ac:dyDescent="0.6">
      <c r="B700" s="1461"/>
      <c r="D700" s="1459"/>
      <c r="E700" s="1459"/>
      <c r="F700" s="1459"/>
      <c r="G700" s="1459"/>
      <c r="H700" s="1459"/>
      <c r="I700" s="1459"/>
      <c r="J700" s="1459"/>
      <c r="K700" s="1459"/>
      <c r="L700" s="1459"/>
      <c r="N700" s="1399"/>
      <c r="P700" s="1399"/>
      <c r="Q700" s="1399"/>
      <c r="R700" s="1399"/>
      <c r="S700" s="1399"/>
      <c r="T700" s="1399"/>
      <c r="U700" s="1399"/>
      <c r="V700" s="1399"/>
      <c r="W700" s="1399"/>
    </row>
    <row r="701" spans="2:23" s="1280" customFormat="1" x14ac:dyDescent="0.6">
      <c r="B701" s="1461"/>
      <c r="D701" s="1459"/>
      <c r="E701" s="1459"/>
      <c r="F701" s="1459"/>
      <c r="G701" s="1459"/>
      <c r="H701" s="1459"/>
      <c r="I701" s="1459"/>
      <c r="J701" s="1459"/>
      <c r="K701" s="1459"/>
      <c r="L701" s="1459"/>
      <c r="N701" s="1399"/>
      <c r="P701" s="1399"/>
      <c r="Q701" s="1399"/>
      <c r="R701" s="1399"/>
      <c r="S701" s="1399"/>
      <c r="T701" s="1399"/>
      <c r="U701" s="1399"/>
      <c r="V701" s="1399"/>
      <c r="W701" s="1399"/>
    </row>
    <row r="702" spans="2:23" s="1280" customFormat="1" x14ac:dyDescent="0.6">
      <c r="B702" s="1461"/>
      <c r="D702" s="1459"/>
      <c r="E702" s="1459"/>
      <c r="F702" s="1459"/>
      <c r="G702" s="1459"/>
      <c r="H702" s="1459"/>
      <c r="I702" s="1459"/>
      <c r="J702" s="1459"/>
      <c r="K702" s="1459"/>
      <c r="L702" s="1459"/>
      <c r="N702" s="1399"/>
      <c r="P702" s="1399"/>
      <c r="Q702" s="1399"/>
      <c r="R702" s="1399"/>
      <c r="S702" s="1399"/>
      <c r="T702" s="1399"/>
      <c r="U702" s="1399"/>
      <c r="V702" s="1399"/>
      <c r="W702" s="1399"/>
    </row>
    <row r="703" spans="2:23" s="1280" customFormat="1" x14ac:dyDescent="0.6">
      <c r="B703" s="1461"/>
      <c r="D703" s="1459"/>
      <c r="E703" s="1459"/>
      <c r="F703" s="1459"/>
      <c r="G703" s="1459"/>
      <c r="H703" s="1459"/>
      <c r="I703" s="1459"/>
      <c r="J703" s="1459"/>
      <c r="K703" s="1459"/>
      <c r="L703" s="1459"/>
      <c r="N703" s="1399"/>
      <c r="P703" s="1399"/>
      <c r="Q703" s="1399"/>
      <c r="R703" s="1399"/>
      <c r="S703" s="1399"/>
      <c r="T703" s="1399"/>
      <c r="U703" s="1399"/>
      <c r="V703" s="1399"/>
      <c r="W703" s="1399"/>
    </row>
    <row r="704" spans="2:23" s="1280" customFormat="1" x14ac:dyDescent="0.6">
      <c r="B704" s="1461"/>
      <c r="D704" s="1459"/>
      <c r="E704" s="1459"/>
      <c r="F704" s="1459"/>
      <c r="G704" s="1459"/>
      <c r="H704" s="1459"/>
      <c r="I704" s="1459"/>
      <c r="J704" s="1459"/>
      <c r="K704" s="1459"/>
      <c r="L704" s="1459"/>
      <c r="N704" s="1399"/>
      <c r="P704" s="1399"/>
      <c r="Q704" s="1399"/>
      <c r="R704" s="1399"/>
      <c r="S704" s="1399"/>
      <c r="T704" s="1399"/>
      <c r="U704" s="1399"/>
      <c r="V704" s="1399"/>
      <c r="W704" s="1399"/>
    </row>
    <row r="705" spans="2:23" s="1280" customFormat="1" x14ac:dyDescent="0.6">
      <c r="B705" s="1461"/>
      <c r="D705" s="1459"/>
      <c r="E705" s="1459"/>
      <c r="F705" s="1459"/>
      <c r="G705" s="1459"/>
      <c r="H705" s="1459"/>
      <c r="I705" s="1459"/>
      <c r="J705" s="1459"/>
      <c r="K705" s="1459"/>
      <c r="L705" s="1459"/>
      <c r="N705" s="1399"/>
      <c r="P705" s="1399"/>
      <c r="Q705" s="1399"/>
      <c r="R705" s="1399"/>
      <c r="S705" s="1399"/>
      <c r="T705" s="1399"/>
      <c r="U705" s="1399"/>
      <c r="V705" s="1399"/>
      <c r="W705" s="1399"/>
    </row>
    <row r="706" spans="2:23" s="1280" customFormat="1" x14ac:dyDescent="0.6">
      <c r="B706" s="1461"/>
      <c r="D706" s="1459"/>
      <c r="E706" s="1459"/>
      <c r="F706" s="1459"/>
      <c r="G706" s="1459"/>
      <c r="H706" s="1459"/>
      <c r="I706" s="1459"/>
      <c r="J706" s="1459"/>
      <c r="K706" s="1459"/>
      <c r="L706" s="1459"/>
      <c r="N706" s="1399"/>
      <c r="P706" s="1399"/>
      <c r="Q706" s="1399"/>
      <c r="R706" s="1399"/>
      <c r="S706" s="1399"/>
      <c r="T706" s="1399"/>
      <c r="U706" s="1399"/>
      <c r="V706" s="1399"/>
      <c r="W706" s="1399"/>
    </row>
    <row r="707" spans="2:23" s="1280" customFormat="1" x14ac:dyDescent="0.6">
      <c r="B707" s="1461"/>
      <c r="D707" s="1459"/>
      <c r="E707" s="1459"/>
      <c r="F707" s="1459"/>
      <c r="G707" s="1459"/>
      <c r="H707" s="1459"/>
      <c r="I707" s="1459"/>
      <c r="J707" s="1459"/>
      <c r="K707" s="1459"/>
      <c r="L707" s="1459"/>
      <c r="N707" s="1399"/>
      <c r="P707" s="1399"/>
      <c r="Q707" s="1399"/>
      <c r="R707" s="1399"/>
      <c r="S707" s="1399"/>
      <c r="T707" s="1399"/>
      <c r="U707" s="1399"/>
      <c r="V707" s="1399"/>
      <c r="W707" s="1399"/>
    </row>
  </sheetData>
  <protectedRanges>
    <protectedRange password="CC6F" sqref="B8:B9 B12:B13" name="ช่วง1_5_1_5_1_1_1_2"/>
    <protectedRange password="CC6F" sqref="B11" name="ช่วง1_5_1_5_1_1_4_2"/>
    <protectedRange password="CC6F" sqref="B10" name="ช่วง1_5_1_5_1_1_5_2"/>
  </protectedRanges>
  <mergeCells count="18">
    <mergeCell ref="X6:X7"/>
    <mergeCell ref="A14:C14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BFD6-B2F5-4689-ABC9-DCE987AE5737}">
  <sheetPr>
    <pageSetUpPr fitToPage="1"/>
  </sheetPr>
  <dimension ref="A1:AE711"/>
  <sheetViews>
    <sheetView zoomScale="110" zoomScaleNormal="110" zoomScaleSheetLayoutView="110" workbookViewId="0">
      <selection activeCell="A17" sqref="A17"/>
    </sheetView>
  </sheetViews>
  <sheetFormatPr defaultColWidth="9" defaultRowHeight="19.8" x14ac:dyDescent="0.5"/>
  <cols>
    <col min="1" max="1" width="4.09765625" style="1834" customWidth="1"/>
    <col min="2" max="2" width="21.8984375" style="1833" customWidth="1"/>
    <col min="3" max="3" width="4.5" style="1739" bestFit="1" customWidth="1"/>
    <col min="4" max="7" width="7" style="1842" customWidth="1"/>
    <col min="8" max="8" width="7.5" style="1842" customWidth="1"/>
    <col min="9" max="9" width="7.59765625" style="1842" customWidth="1"/>
    <col min="10" max="10" width="8.8984375" style="1842" customWidth="1"/>
    <col min="11" max="11" width="8.09765625" style="1842" customWidth="1"/>
    <col min="12" max="12" width="9.8984375" style="1843" customWidth="1"/>
    <col min="13" max="13" width="8" style="1739" customWidth="1"/>
    <col min="14" max="14" width="8.5" style="1844" customWidth="1"/>
    <col min="15" max="15" width="9" style="1845" customWidth="1"/>
    <col min="16" max="16" width="7.3984375" style="1834" customWidth="1"/>
    <col min="17" max="23" width="7.3984375" style="1846" customWidth="1"/>
    <col min="24" max="24" width="8.3984375" style="1739" customWidth="1"/>
    <col min="25" max="25" width="8.19921875" style="1739" customWidth="1"/>
    <col min="26" max="26" width="10.09765625" style="1840" customWidth="1"/>
    <col min="27" max="27" width="12" style="1739" customWidth="1"/>
    <col min="28" max="28" width="7.59765625" style="1739" hidden="1" customWidth="1"/>
    <col min="29" max="29" width="9" style="1739" customWidth="1"/>
    <col min="30" max="30" width="9" style="1739"/>
    <col min="31" max="31" width="32.3984375" style="1739" customWidth="1"/>
    <col min="32" max="32" width="9" style="1739" customWidth="1"/>
    <col min="33" max="16384" width="9" style="1739"/>
  </cols>
  <sheetData>
    <row r="1" spans="1:31" x14ac:dyDescent="0.5">
      <c r="A1" s="1737" t="s">
        <v>8894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1738"/>
      <c r="O1" s="1738"/>
      <c r="P1" s="1738"/>
      <c r="Q1" s="1738"/>
      <c r="R1" s="1738"/>
      <c r="S1" s="1738"/>
      <c r="T1" s="1738"/>
      <c r="U1" s="1738"/>
      <c r="V1" s="1738"/>
      <c r="W1" s="1738"/>
      <c r="X1" s="1738"/>
      <c r="Y1" s="1738"/>
      <c r="Z1" s="1738"/>
      <c r="AA1" s="1738"/>
    </row>
    <row r="2" spans="1:31" x14ac:dyDescent="0.5">
      <c r="A2" s="1738" t="s">
        <v>7775</v>
      </c>
      <c r="B2" s="1738"/>
      <c r="C2" s="1738"/>
      <c r="D2" s="1738"/>
      <c r="E2" s="1738"/>
      <c r="F2" s="1738"/>
      <c r="G2" s="1738"/>
      <c r="H2" s="1738"/>
      <c r="I2" s="1738"/>
      <c r="J2" s="1738"/>
      <c r="K2" s="1738"/>
      <c r="L2" s="1738"/>
      <c r="M2" s="1738"/>
      <c r="N2" s="1738"/>
      <c r="O2" s="1738"/>
      <c r="P2" s="1738"/>
      <c r="Q2" s="1738"/>
      <c r="R2" s="1738"/>
      <c r="S2" s="1738"/>
      <c r="T2" s="1738"/>
      <c r="U2" s="1738"/>
      <c r="V2" s="1738"/>
      <c r="W2" s="1738"/>
      <c r="X2" s="1738"/>
      <c r="Y2" s="1738"/>
      <c r="Z2" s="1738"/>
      <c r="AA2" s="1738"/>
    </row>
    <row r="3" spans="1:31" x14ac:dyDescent="0.5">
      <c r="A3" s="1740" t="s">
        <v>7733</v>
      </c>
      <c r="B3" s="1740"/>
      <c r="C3" s="1738"/>
      <c r="D3" s="1738"/>
      <c r="E3" s="1738"/>
      <c r="F3" s="1738"/>
      <c r="G3" s="1738"/>
      <c r="H3" s="1738"/>
      <c r="I3" s="1738"/>
      <c r="J3" s="1738"/>
      <c r="K3" s="1738"/>
      <c r="L3" s="1738"/>
      <c r="M3" s="1738"/>
      <c r="N3" s="1738"/>
      <c r="O3" s="1738"/>
      <c r="P3" s="1738"/>
      <c r="Q3" s="1738"/>
      <c r="R3" s="1738"/>
      <c r="S3" s="1738"/>
      <c r="T3" s="1738"/>
      <c r="U3" s="1738"/>
      <c r="V3" s="1738"/>
      <c r="W3" s="1738"/>
      <c r="X3" s="1738"/>
      <c r="Y3" s="1738"/>
      <c r="Z3" s="1738"/>
      <c r="AA3" s="1738"/>
    </row>
    <row r="4" spans="1:31" x14ac:dyDescent="0.5">
      <c r="A4" s="1741" t="s">
        <v>2185</v>
      </c>
      <c r="B4" s="1741" t="s">
        <v>8895</v>
      </c>
      <c r="C4" s="1742" t="s">
        <v>7776</v>
      </c>
      <c r="D4" s="1743" t="s">
        <v>7777</v>
      </c>
      <c r="E4" s="1743"/>
      <c r="F4" s="1743"/>
      <c r="G4" s="1743"/>
      <c r="H4" s="1743"/>
      <c r="I4" s="1743"/>
      <c r="J4" s="1744" t="s">
        <v>7736</v>
      </c>
      <c r="K4" s="1745" t="s">
        <v>7778</v>
      </c>
      <c r="L4" s="1746" t="s">
        <v>7779</v>
      </c>
      <c r="M4" s="1747" t="s">
        <v>6557</v>
      </c>
      <c r="N4" s="1748" t="s">
        <v>7780</v>
      </c>
      <c r="O4" s="1749" t="s">
        <v>7736</v>
      </c>
      <c r="P4" s="1747" t="s">
        <v>7744</v>
      </c>
      <c r="Q4" s="1750" t="s">
        <v>621</v>
      </c>
      <c r="R4" s="1750" t="s">
        <v>7745</v>
      </c>
      <c r="S4" s="1750" t="s">
        <v>621</v>
      </c>
      <c r="T4" s="1750" t="s">
        <v>7746</v>
      </c>
      <c r="U4" s="1750" t="s">
        <v>621</v>
      </c>
      <c r="V4" s="1750" t="s">
        <v>7747</v>
      </c>
      <c r="W4" s="1751" t="s">
        <v>621</v>
      </c>
      <c r="X4" s="1752" t="s">
        <v>7781</v>
      </c>
      <c r="Y4" s="1753"/>
      <c r="Z4" s="1754"/>
      <c r="AA4" s="1755" t="s">
        <v>7782</v>
      </c>
    </row>
    <row r="5" spans="1:31" x14ac:dyDescent="0.5">
      <c r="A5" s="1756"/>
      <c r="B5" s="1756"/>
      <c r="C5" s="1757" t="s">
        <v>7783</v>
      </c>
      <c r="D5" s="1743" t="s">
        <v>7741</v>
      </c>
      <c r="E5" s="1743"/>
      <c r="F5" s="1743"/>
      <c r="G5" s="1743"/>
      <c r="H5" s="1743"/>
      <c r="I5" s="1743"/>
      <c r="J5" s="1758" t="s">
        <v>7784</v>
      </c>
      <c r="K5" s="1759" t="s">
        <v>7742</v>
      </c>
      <c r="L5" s="1760"/>
      <c r="M5" s="1761" t="s">
        <v>7631</v>
      </c>
      <c r="N5" s="1762" t="s">
        <v>7785</v>
      </c>
      <c r="O5" s="1763" t="s">
        <v>7743</v>
      </c>
      <c r="P5" s="1761" t="s">
        <v>7752</v>
      </c>
      <c r="Q5" s="1764" t="s">
        <v>7744</v>
      </c>
      <c r="R5" s="1764" t="s">
        <v>7753</v>
      </c>
      <c r="S5" s="1764" t="s">
        <v>7745</v>
      </c>
      <c r="T5" s="1764" t="s">
        <v>7754</v>
      </c>
      <c r="U5" s="1764" t="s">
        <v>7746</v>
      </c>
      <c r="V5" s="1764" t="s">
        <v>7755</v>
      </c>
      <c r="W5" s="1765" t="s">
        <v>7747</v>
      </c>
      <c r="X5" s="1752"/>
      <c r="Y5" s="1753"/>
      <c r="Z5" s="1766" t="s">
        <v>7623</v>
      </c>
      <c r="AA5" s="1767"/>
    </row>
    <row r="6" spans="1:31" x14ac:dyDescent="0.5">
      <c r="A6" s="1756"/>
      <c r="B6" s="1756"/>
      <c r="C6" s="1757" t="s">
        <v>7786</v>
      </c>
      <c r="D6" s="1768" t="s">
        <v>7787</v>
      </c>
      <c r="E6" s="1746" t="s">
        <v>8896</v>
      </c>
      <c r="F6" s="1769" t="s">
        <v>7789</v>
      </c>
      <c r="G6" s="1746" t="s">
        <v>8897</v>
      </c>
      <c r="H6" s="1769" t="s">
        <v>7791</v>
      </c>
      <c r="I6" s="1746" t="s">
        <v>8898</v>
      </c>
      <c r="J6" s="1758" t="s">
        <v>7793</v>
      </c>
      <c r="K6" s="1759" t="s">
        <v>7751</v>
      </c>
      <c r="L6" s="1760"/>
      <c r="M6" s="1761" t="s">
        <v>7794</v>
      </c>
      <c r="N6" s="1762" t="s">
        <v>7786</v>
      </c>
      <c r="O6" s="1763" t="s">
        <v>1150</v>
      </c>
      <c r="P6" s="1770" t="s">
        <v>7795</v>
      </c>
      <c r="Q6" s="1764" t="s">
        <v>7756</v>
      </c>
      <c r="R6" s="1770" t="s">
        <v>7795</v>
      </c>
      <c r="S6" s="1764" t="s">
        <v>7756</v>
      </c>
      <c r="T6" s="1770" t="s">
        <v>7795</v>
      </c>
      <c r="U6" s="1764" t="s">
        <v>7756</v>
      </c>
      <c r="V6" s="1770" t="s">
        <v>7795</v>
      </c>
      <c r="W6" s="1764" t="s">
        <v>7756</v>
      </c>
      <c r="X6" s="1752" t="s">
        <v>7627</v>
      </c>
      <c r="Y6" s="1771" t="s">
        <v>621</v>
      </c>
      <c r="Z6" s="1766" t="s">
        <v>7631</v>
      </c>
      <c r="AA6" s="1767"/>
    </row>
    <row r="7" spans="1:31" x14ac:dyDescent="0.5">
      <c r="A7" s="1772"/>
      <c r="B7" s="1772"/>
      <c r="C7" s="1773" t="s">
        <v>7796</v>
      </c>
      <c r="D7" s="1774"/>
      <c r="E7" s="1775"/>
      <c r="F7" s="1776"/>
      <c r="G7" s="1775"/>
      <c r="H7" s="1776"/>
      <c r="I7" s="1775"/>
      <c r="J7" s="1777" t="s">
        <v>7795</v>
      </c>
      <c r="K7" s="1778"/>
      <c r="L7" s="1775"/>
      <c r="M7" s="1779" t="s">
        <v>7795</v>
      </c>
      <c r="N7" s="1780" t="s">
        <v>7756</v>
      </c>
      <c r="O7" s="1781" t="s">
        <v>7756</v>
      </c>
      <c r="P7" s="1782"/>
      <c r="Q7" s="1783"/>
      <c r="R7" s="1783"/>
      <c r="S7" s="1783"/>
      <c r="T7" s="1783"/>
      <c r="U7" s="1783"/>
      <c r="V7" s="1783"/>
      <c r="W7" s="1784"/>
      <c r="X7" s="1752"/>
      <c r="Y7" s="1771" t="s">
        <v>7756</v>
      </c>
      <c r="Z7" s="1785"/>
      <c r="AA7" s="1786"/>
    </row>
    <row r="8" spans="1:31" s="1808" customFormat="1" ht="23.25" customHeight="1" x14ac:dyDescent="0.25">
      <c r="A8" s="1787"/>
      <c r="B8" s="1788"/>
      <c r="C8" s="1789"/>
      <c r="D8" s="1790"/>
      <c r="E8" s="1791">
        <f t="shared" ref="E8:E17" si="0">D8*N8</f>
        <v>0</v>
      </c>
      <c r="F8" s="1792"/>
      <c r="G8" s="1791">
        <f t="shared" ref="G8:G17" si="1">F8*N8</f>
        <v>0</v>
      </c>
      <c r="H8" s="1792"/>
      <c r="I8" s="1793">
        <f t="shared" ref="I8:I17" si="2">H8*N8</f>
        <v>0</v>
      </c>
      <c r="J8" s="1794"/>
      <c r="K8" s="1795"/>
      <c r="L8" s="1796"/>
      <c r="M8" s="1797"/>
      <c r="N8" s="1798"/>
      <c r="O8" s="1799">
        <f>M8*N8</f>
        <v>0</v>
      </c>
      <c r="P8" s="1800"/>
      <c r="Q8" s="1801">
        <f>P8*N8</f>
        <v>0</v>
      </c>
      <c r="R8" s="1801"/>
      <c r="S8" s="1802">
        <f>R8*N8</f>
        <v>0</v>
      </c>
      <c r="T8" s="1801"/>
      <c r="U8" s="1802">
        <f>T8*N8</f>
        <v>0</v>
      </c>
      <c r="V8" s="1801"/>
      <c r="W8" s="1802">
        <f>V8*N8</f>
        <v>0</v>
      </c>
      <c r="X8" s="1803">
        <f>P7+R7+T7+V7</f>
        <v>0</v>
      </c>
      <c r="Y8" s="1804">
        <f>X8*N8</f>
        <v>0</v>
      </c>
      <c r="Z8" s="1805"/>
      <c r="AA8" s="1806"/>
      <c r="AB8" s="1807" t="str">
        <f t="shared" ref="AB8:AB18" si="3">IF(O8=Y8,"yes")</f>
        <v>yes</v>
      </c>
    </row>
    <row r="9" spans="1:31" s="1807" customFormat="1" ht="20.25" customHeight="1" x14ac:dyDescent="0.25">
      <c r="A9" s="1787"/>
      <c r="B9" s="1788"/>
      <c r="C9" s="1789"/>
      <c r="D9" s="1809"/>
      <c r="E9" s="1791">
        <f t="shared" si="0"/>
        <v>0</v>
      </c>
      <c r="F9" s="1810"/>
      <c r="G9" s="1791">
        <f t="shared" si="1"/>
        <v>0</v>
      </c>
      <c r="H9" s="1810"/>
      <c r="I9" s="1793">
        <f t="shared" si="2"/>
        <v>0</v>
      </c>
      <c r="J9" s="1811"/>
      <c r="K9" s="1812"/>
      <c r="L9" s="1796"/>
      <c r="M9" s="1797"/>
      <c r="N9" s="1813"/>
      <c r="O9" s="1799">
        <f t="shared" ref="O9:O17" si="4">M9*N9</f>
        <v>0</v>
      </c>
      <c r="P9" s="1809"/>
      <c r="Q9" s="1801">
        <f t="shared" ref="Q9:Q17" si="5">P9*N9</f>
        <v>0</v>
      </c>
      <c r="R9" s="1796"/>
      <c r="S9" s="1802">
        <f t="shared" ref="S9:S17" si="6">R9*N9</f>
        <v>0</v>
      </c>
      <c r="T9" s="1810"/>
      <c r="U9" s="1802">
        <f t="shared" ref="U9:U17" si="7">T9*N9</f>
        <v>0</v>
      </c>
      <c r="V9" s="1810"/>
      <c r="W9" s="1802">
        <f t="shared" ref="W9:W17" si="8">V9*N9</f>
        <v>0</v>
      </c>
      <c r="X9" s="1803">
        <f t="shared" ref="X9:X17" si="9">P8+R8+T8+V8</f>
        <v>0</v>
      </c>
      <c r="Y9" s="1804">
        <f t="shared" ref="Y9:Y17" si="10">X9*N9</f>
        <v>0</v>
      </c>
      <c r="Z9" s="1805"/>
      <c r="AA9" s="1806"/>
      <c r="AB9" s="1807" t="str">
        <f t="shared" si="3"/>
        <v>yes</v>
      </c>
    </row>
    <row r="10" spans="1:31" s="1807" customFormat="1" ht="20.25" customHeight="1" x14ac:dyDescent="0.25">
      <c r="A10" s="1787"/>
      <c r="B10" s="1788"/>
      <c r="C10" s="1789"/>
      <c r="D10" s="1809"/>
      <c r="E10" s="1791">
        <f t="shared" si="0"/>
        <v>0</v>
      </c>
      <c r="F10" s="1810"/>
      <c r="G10" s="1791">
        <f t="shared" si="1"/>
        <v>0</v>
      </c>
      <c r="H10" s="1810"/>
      <c r="I10" s="1793">
        <f t="shared" si="2"/>
        <v>0</v>
      </c>
      <c r="J10" s="1811"/>
      <c r="K10" s="1812"/>
      <c r="L10" s="1796"/>
      <c r="M10" s="1797"/>
      <c r="N10" s="1813"/>
      <c r="O10" s="1799">
        <f t="shared" si="4"/>
        <v>0</v>
      </c>
      <c r="P10" s="1809"/>
      <c r="Q10" s="1801">
        <f t="shared" si="5"/>
        <v>0</v>
      </c>
      <c r="R10" s="1810"/>
      <c r="S10" s="1802">
        <f t="shared" si="6"/>
        <v>0</v>
      </c>
      <c r="T10" s="1796"/>
      <c r="U10" s="1802">
        <f t="shared" si="7"/>
        <v>0</v>
      </c>
      <c r="V10" s="1810"/>
      <c r="W10" s="1802">
        <f t="shared" si="8"/>
        <v>0</v>
      </c>
      <c r="X10" s="1803">
        <f t="shared" si="9"/>
        <v>0</v>
      </c>
      <c r="Y10" s="1804">
        <f t="shared" si="10"/>
        <v>0</v>
      </c>
      <c r="Z10" s="1805"/>
      <c r="AA10" s="1806"/>
      <c r="AB10" s="1807" t="str">
        <f t="shared" si="3"/>
        <v>yes</v>
      </c>
    </row>
    <row r="11" spans="1:31" s="1807" customFormat="1" ht="20.25" customHeight="1" x14ac:dyDescent="0.25">
      <c r="A11" s="1787"/>
      <c r="B11" s="1788"/>
      <c r="C11" s="1789"/>
      <c r="D11" s="1809"/>
      <c r="E11" s="1791">
        <f t="shared" si="0"/>
        <v>0</v>
      </c>
      <c r="F11" s="1810"/>
      <c r="G11" s="1791">
        <f t="shared" si="1"/>
        <v>0</v>
      </c>
      <c r="H11" s="1810"/>
      <c r="I11" s="1793">
        <f t="shared" si="2"/>
        <v>0</v>
      </c>
      <c r="J11" s="1811"/>
      <c r="K11" s="1812"/>
      <c r="L11" s="1796"/>
      <c r="M11" s="1797"/>
      <c r="N11" s="1813"/>
      <c r="O11" s="1799">
        <f t="shared" si="4"/>
        <v>0</v>
      </c>
      <c r="P11" s="1803"/>
      <c r="Q11" s="1801">
        <f t="shared" si="5"/>
        <v>0</v>
      </c>
      <c r="R11" s="1796"/>
      <c r="S11" s="1802">
        <f t="shared" si="6"/>
        <v>0</v>
      </c>
      <c r="T11" s="1810"/>
      <c r="U11" s="1802">
        <f t="shared" si="7"/>
        <v>0</v>
      </c>
      <c r="V11" s="1796"/>
      <c r="W11" s="1802">
        <f t="shared" si="8"/>
        <v>0</v>
      </c>
      <c r="X11" s="1803">
        <f t="shared" si="9"/>
        <v>0</v>
      </c>
      <c r="Y11" s="1804">
        <f t="shared" si="10"/>
        <v>0</v>
      </c>
      <c r="Z11" s="1805"/>
      <c r="AA11" s="1806"/>
      <c r="AB11" s="1807" t="str">
        <f t="shared" si="3"/>
        <v>yes</v>
      </c>
    </row>
    <row r="12" spans="1:31" s="1807" customFormat="1" ht="20.25" customHeight="1" x14ac:dyDescent="0.25">
      <c r="A12" s="1787"/>
      <c r="B12" s="1788"/>
      <c r="C12" s="1789"/>
      <c r="D12" s="1809"/>
      <c r="E12" s="1791">
        <f t="shared" si="0"/>
        <v>0</v>
      </c>
      <c r="F12" s="1810"/>
      <c r="G12" s="1791">
        <f t="shared" si="1"/>
        <v>0</v>
      </c>
      <c r="H12" s="1810"/>
      <c r="I12" s="1793">
        <f t="shared" si="2"/>
        <v>0</v>
      </c>
      <c r="J12" s="1811"/>
      <c r="K12" s="1812"/>
      <c r="L12" s="1796"/>
      <c r="M12" s="1797"/>
      <c r="N12" s="1813"/>
      <c r="O12" s="1799">
        <f t="shared" si="4"/>
        <v>0</v>
      </c>
      <c r="P12" s="1809"/>
      <c r="Q12" s="1801">
        <f t="shared" si="5"/>
        <v>0</v>
      </c>
      <c r="R12" s="1796"/>
      <c r="S12" s="1802">
        <f t="shared" si="6"/>
        <v>0</v>
      </c>
      <c r="T12" s="1810"/>
      <c r="U12" s="1802">
        <f t="shared" si="7"/>
        <v>0</v>
      </c>
      <c r="V12" s="1810"/>
      <c r="W12" s="1802">
        <f t="shared" si="8"/>
        <v>0</v>
      </c>
      <c r="X12" s="1803">
        <f t="shared" si="9"/>
        <v>0</v>
      </c>
      <c r="Y12" s="1804">
        <f t="shared" si="10"/>
        <v>0</v>
      </c>
      <c r="Z12" s="1805"/>
      <c r="AA12" s="1806"/>
      <c r="AB12" s="1807" t="str">
        <f t="shared" si="3"/>
        <v>yes</v>
      </c>
    </row>
    <row r="13" spans="1:31" s="1807" customFormat="1" ht="20.25" customHeight="1" x14ac:dyDescent="0.25">
      <c r="A13" s="1787"/>
      <c r="B13" s="1788"/>
      <c r="C13" s="1789"/>
      <c r="D13" s="1809"/>
      <c r="E13" s="1791">
        <f t="shared" si="0"/>
        <v>0</v>
      </c>
      <c r="F13" s="1810"/>
      <c r="G13" s="1791">
        <f t="shared" si="1"/>
        <v>0</v>
      </c>
      <c r="H13" s="1810"/>
      <c r="I13" s="1793">
        <f t="shared" si="2"/>
        <v>0</v>
      </c>
      <c r="J13" s="1811"/>
      <c r="K13" s="1812"/>
      <c r="L13" s="1796"/>
      <c r="M13" s="1797"/>
      <c r="N13" s="1813"/>
      <c r="O13" s="1799">
        <f t="shared" si="4"/>
        <v>0</v>
      </c>
      <c r="P13" s="1809"/>
      <c r="Q13" s="1801">
        <f t="shared" si="5"/>
        <v>0</v>
      </c>
      <c r="R13" s="1796"/>
      <c r="S13" s="1802">
        <f t="shared" si="6"/>
        <v>0</v>
      </c>
      <c r="T13" s="1810"/>
      <c r="U13" s="1802">
        <f t="shared" si="7"/>
        <v>0</v>
      </c>
      <c r="V13" s="1810"/>
      <c r="W13" s="1802">
        <f t="shared" si="8"/>
        <v>0</v>
      </c>
      <c r="X13" s="1803">
        <f t="shared" si="9"/>
        <v>0</v>
      </c>
      <c r="Y13" s="1804">
        <f t="shared" si="10"/>
        <v>0</v>
      </c>
      <c r="Z13" s="1805"/>
      <c r="AA13" s="1806"/>
      <c r="AB13" s="1807" t="str">
        <f t="shared" si="3"/>
        <v>yes</v>
      </c>
    </row>
    <row r="14" spans="1:31" s="1807" customFormat="1" ht="20.25" customHeight="1" x14ac:dyDescent="0.25">
      <c r="A14" s="1787"/>
      <c r="B14" s="1788"/>
      <c r="C14" s="1789"/>
      <c r="D14" s="1809"/>
      <c r="E14" s="1791">
        <f t="shared" si="0"/>
        <v>0</v>
      </c>
      <c r="F14" s="1810"/>
      <c r="G14" s="1791">
        <f t="shared" si="1"/>
        <v>0</v>
      </c>
      <c r="H14" s="1810"/>
      <c r="I14" s="1793">
        <f t="shared" si="2"/>
        <v>0</v>
      </c>
      <c r="J14" s="1811"/>
      <c r="K14" s="1812"/>
      <c r="L14" s="1796"/>
      <c r="M14" s="1797"/>
      <c r="N14" s="1813"/>
      <c r="O14" s="1799">
        <f t="shared" si="4"/>
        <v>0</v>
      </c>
      <c r="P14" s="1809"/>
      <c r="Q14" s="1801">
        <f t="shared" si="5"/>
        <v>0</v>
      </c>
      <c r="R14" s="1796"/>
      <c r="S14" s="1802">
        <f t="shared" si="6"/>
        <v>0</v>
      </c>
      <c r="T14" s="1810"/>
      <c r="U14" s="1802">
        <f t="shared" si="7"/>
        <v>0</v>
      </c>
      <c r="V14" s="1810"/>
      <c r="W14" s="1802">
        <f t="shared" si="8"/>
        <v>0</v>
      </c>
      <c r="X14" s="1803">
        <f t="shared" si="9"/>
        <v>0</v>
      </c>
      <c r="Y14" s="1804">
        <f t="shared" si="10"/>
        <v>0</v>
      </c>
      <c r="Z14" s="1805"/>
      <c r="AA14" s="1806"/>
      <c r="AB14" s="1807" t="str">
        <f t="shared" si="3"/>
        <v>yes</v>
      </c>
    </row>
    <row r="15" spans="1:31" s="1807" customFormat="1" ht="20.25" customHeight="1" x14ac:dyDescent="0.25">
      <c r="A15" s="1787"/>
      <c r="B15" s="1788"/>
      <c r="C15" s="1789"/>
      <c r="D15" s="1809"/>
      <c r="E15" s="1791">
        <f t="shared" si="0"/>
        <v>0</v>
      </c>
      <c r="F15" s="1810"/>
      <c r="G15" s="1791">
        <f t="shared" si="1"/>
        <v>0</v>
      </c>
      <c r="H15" s="1810"/>
      <c r="I15" s="1793">
        <f t="shared" si="2"/>
        <v>0</v>
      </c>
      <c r="J15" s="1811"/>
      <c r="K15" s="1812"/>
      <c r="L15" s="1796"/>
      <c r="M15" s="1797"/>
      <c r="N15" s="1813"/>
      <c r="O15" s="1799">
        <f t="shared" si="4"/>
        <v>0</v>
      </c>
      <c r="P15" s="1809"/>
      <c r="Q15" s="1801">
        <f t="shared" si="5"/>
        <v>0</v>
      </c>
      <c r="R15" s="1796"/>
      <c r="S15" s="1802">
        <f t="shared" si="6"/>
        <v>0</v>
      </c>
      <c r="T15" s="1810"/>
      <c r="U15" s="1802">
        <f t="shared" si="7"/>
        <v>0</v>
      </c>
      <c r="V15" s="1810"/>
      <c r="W15" s="1802">
        <f t="shared" si="8"/>
        <v>0</v>
      </c>
      <c r="X15" s="1803">
        <f t="shared" si="9"/>
        <v>0</v>
      </c>
      <c r="Y15" s="1804">
        <f t="shared" si="10"/>
        <v>0</v>
      </c>
      <c r="Z15" s="1805"/>
      <c r="AA15" s="1806"/>
      <c r="AB15" s="1807" t="str">
        <f t="shared" si="3"/>
        <v>yes</v>
      </c>
    </row>
    <row r="16" spans="1:31" s="1807" customFormat="1" ht="20.25" customHeight="1" x14ac:dyDescent="0.25">
      <c r="A16" s="1787"/>
      <c r="B16" s="1788"/>
      <c r="C16" s="1789"/>
      <c r="D16" s="1809"/>
      <c r="E16" s="1791">
        <f t="shared" si="0"/>
        <v>0</v>
      </c>
      <c r="F16" s="1810"/>
      <c r="G16" s="1791">
        <f t="shared" si="1"/>
        <v>0</v>
      </c>
      <c r="H16" s="1810"/>
      <c r="I16" s="1793">
        <f t="shared" si="2"/>
        <v>0</v>
      </c>
      <c r="J16" s="1811"/>
      <c r="K16" s="1812"/>
      <c r="L16" s="1796"/>
      <c r="M16" s="1797"/>
      <c r="N16" s="1813"/>
      <c r="O16" s="1799">
        <f t="shared" si="4"/>
        <v>0</v>
      </c>
      <c r="P16" s="1803"/>
      <c r="Q16" s="1801">
        <f t="shared" si="5"/>
        <v>0</v>
      </c>
      <c r="R16" s="1796"/>
      <c r="S16" s="1802">
        <f t="shared" si="6"/>
        <v>0</v>
      </c>
      <c r="T16" s="1810"/>
      <c r="U16" s="1802">
        <f t="shared" si="7"/>
        <v>0</v>
      </c>
      <c r="V16" s="1796"/>
      <c r="W16" s="1802">
        <f t="shared" si="8"/>
        <v>0</v>
      </c>
      <c r="X16" s="1803">
        <f t="shared" si="9"/>
        <v>0</v>
      </c>
      <c r="Y16" s="1804">
        <f t="shared" si="10"/>
        <v>0</v>
      </c>
      <c r="Z16" s="1805"/>
      <c r="AA16" s="1806"/>
      <c r="AB16" s="1807" t="str">
        <f t="shared" si="3"/>
        <v>yes</v>
      </c>
      <c r="AE16" s="1814"/>
    </row>
    <row r="17" spans="1:31" s="1807" customFormat="1" ht="20.25" customHeight="1" x14ac:dyDescent="0.25">
      <c r="A17" s="1787"/>
      <c r="B17" s="1815"/>
      <c r="C17" s="1816"/>
      <c r="D17" s="1809"/>
      <c r="E17" s="1791">
        <f t="shared" si="0"/>
        <v>0</v>
      </c>
      <c r="F17" s="1817"/>
      <c r="G17" s="1791">
        <f t="shared" si="1"/>
        <v>0</v>
      </c>
      <c r="H17" s="1817"/>
      <c r="I17" s="1793">
        <f t="shared" si="2"/>
        <v>0</v>
      </c>
      <c r="J17" s="1818"/>
      <c r="K17" s="1819"/>
      <c r="L17" s="1796"/>
      <c r="M17" s="1809"/>
      <c r="N17" s="1820"/>
      <c r="O17" s="1799">
        <f t="shared" si="4"/>
        <v>0</v>
      </c>
      <c r="P17" s="1809"/>
      <c r="Q17" s="1801">
        <f t="shared" si="5"/>
        <v>0</v>
      </c>
      <c r="R17" s="1796"/>
      <c r="S17" s="1802">
        <f t="shared" si="6"/>
        <v>0</v>
      </c>
      <c r="T17" s="1796"/>
      <c r="U17" s="1802">
        <f t="shared" si="7"/>
        <v>0</v>
      </c>
      <c r="V17" s="1796"/>
      <c r="W17" s="1802">
        <f t="shared" si="8"/>
        <v>0</v>
      </c>
      <c r="X17" s="1803">
        <f t="shared" si="9"/>
        <v>0</v>
      </c>
      <c r="Y17" s="1804">
        <f t="shared" si="10"/>
        <v>0</v>
      </c>
      <c r="Z17" s="1821"/>
      <c r="AA17" s="1822" t="s">
        <v>7380</v>
      </c>
      <c r="AB17" s="1807" t="str">
        <f t="shared" si="3"/>
        <v>yes</v>
      </c>
      <c r="AE17" s="1823"/>
    </row>
    <row r="18" spans="1:31" s="1831" customFormat="1" ht="20.25" customHeight="1" x14ac:dyDescent="0.5">
      <c r="A18" s="1824" t="s">
        <v>7433</v>
      </c>
      <c r="B18" s="1824"/>
      <c r="C18" s="1824"/>
      <c r="D18" s="1825">
        <f>SUM(D8:D17)</f>
        <v>0</v>
      </c>
      <c r="E18" s="1825">
        <f>SUM(E8:E17)</f>
        <v>0</v>
      </c>
      <c r="F18" s="1826">
        <f t="shared" ref="F18:Y18" si="11">SUM(F8:F17)</f>
        <v>0</v>
      </c>
      <c r="G18" s="1826">
        <f t="shared" si="11"/>
        <v>0</v>
      </c>
      <c r="H18" s="1825">
        <f t="shared" si="11"/>
        <v>0</v>
      </c>
      <c r="I18" s="1825">
        <f t="shared" si="11"/>
        <v>0</v>
      </c>
      <c r="J18" s="1827">
        <f t="shared" si="11"/>
        <v>0</v>
      </c>
      <c r="K18" s="1828">
        <f t="shared" si="11"/>
        <v>0</v>
      </c>
      <c r="L18" s="1825">
        <f t="shared" si="11"/>
        <v>0</v>
      </c>
      <c r="M18" s="1827">
        <f t="shared" si="11"/>
        <v>0</v>
      </c>
      <c r="N18" s="1827">
        <f t="shared" si="11"/>
        <v>0</v>
      </c>
      <c r="O18" s="1829">
        <f t="shared" si="11"/>
        <v>0</v>
      </c>
      <c r="P18" s="1827">
        <f t="shared" si="11"/>
        <v>0</v>
      </c>
      <c r="Q18" s="1825">
        <f t="shared" si="11"/>
        <v>0</v>
      </c>
      <c r="R18" s="1825">
        <f t="shared" si="11"/>
        <v>0</v>
      </c>
      <c r="S18" s="1825">
        <f t="shared" si="11"/>
        <v>0</v>
      </c>
      <c r="T18" s="1825">
        <f t="shared" si="11"/>
        <v>0</v>
      </c>
      <c r="U18" s="1825">
        <f t="shared" si="11"/>
        <v>0</v>
      </c>
      <c r="V18" s="1825">
        <f t="shared" si="11"/>
        <v>0</v>
      </c>
      <c r="W18" s="1825">
        <f t="shared" si="11"/>
        <v>0</v>
      </c>
      <c r="X18" s="1827">
        <f t="shared" si="11"/>
        <v>0</v>
      </c>
      <c r="Y18" s="1829">
        <f t="shared" si="11"/>
        <v>0</v>
      </c>
      <c r="Z18" s="1830"/>
      <c r="AA18" s="1827"/>
      <c r="AB18" s="1831" t="str">
        <f t="shared" si="3"/>
        <v>yes</v>
      </c>
    </row>
    <row r="19" spans="1:31" ht="20.25" customHeight="1" x14ac:dyDescent="0.5">
      <c r="A19" s="1832"/>
      <c r="C19" s="1834"/>
      <c r="D19" s="1832"/>
      <c r="E19" s="1832"/>
      <c r="F19" s="1832"/>
      <c r="G19" s="1832"/>
      <c r="H19" s="1832"/>
      <c r="I19" s="1832"/>
      <c r="J19" s="1832"/>
      <c r="K19" s="1832"/>
      <c r="L19" s="1835"/>
      <c r="M19" s="1836"/>
      <c r="N19" s="1837"/>
      <c r="O19" s="1837"/>
      <c r="P19" s="1838"/>
      <c r="Q19" s="1839"/>
      <c r="R19" s="1839"/>
      <c r="S19" s="1839"/>
      <c r="T19" s="1839"/>
      <c r="U19" s="1839"/>
      <c r="V19" s="1839"/>
      <c r="W19" s="1839"/>
      <c r="X19" s="1836"/>
      <c r="Y19" s="1836"/>
      <c r="AA19" s="1841"/>
    </row>
    <row r="20" spans="1:31" ht="20.25" customHeight="1" x14ac:dyDescent="0.5">
      <c r="A20" s="1832"/>
      <c r="C20" s="1834"/>
    </row>
    <row r="21" spans="1:31" ht="20.25" customHeight="1" x14ac:dyDescent="0.5">
      <c r="B21" s="1739" t="s">
        <v>8877</v>
      </c>
      <c r="D21" s="1739"/>
      <c r="E21" s="1739"/>
      <c r="F21" s="1739"/>
      <c r="G21" s="1834"/>
      <c r="H21" s="1842" t="s">
        <v>7914</v>
      </c>
      <c r="L21" s="1842"/>
      <c r="M21" s="1842"/>
      <c r="N21" s="1842"/>
      <c r="O21" s="1842"/>
      <c r="P21" s="1842"/>
      <c r="Q21" s="1843"/>
      <c r="R21" s="1739" t="s">
        <v>7915</v>
      </c>
      <c r="S21" s="1739"/>
      <c r="T21" s="1739"/>
      <c r="U21" s="1739"/>
      <c r="V21" s="1739"/>
      <c r="W21" s="1739"/>
      <c r="Z21" s="1739"/>
    </row>
    <row r="22" spans="1:31" ht="20.25" customHeight="1" x14ac:dyDescent="0.5">
      <c r="B22" s="1739"/>
      <c r="D22" s="1739"/>
      <c r="E22" s="1739"/>
      <c r="F22" s="1739"/>
      <c r="G22" s="1834"/>
      <c r="H22" s="1842" t="s">
        <v>7916</v>
      </c>
      <c r="L22" s="1842"/>
      <c r="M22" s="1842"/>
      <c r="N22" s="1842"/>
      <c r="O22" s="1842"/>
      <c r="P22" s="1842"/>
      <c r="Q22" s="1843"/>
      <c r="R22" s="1739" t="s">
        <v>7917</v>
      </c>
      <c r="S22" s="1739"/>
      <c r="T22" s="1739"/>
      <c r="U22" s="1739"/>
      <c r="V22" s="1739"/>
      <c r="W22" s="1739"/>
      <c r="Z22" s="1739"/>
    </row>
    <row r="23" spans="1:31" ht="20.25" customHeight="1" x14ac:dyDescent="0.5">
      <c r="B23" s="1739"/>
      <c r="D23" s="1739"/>
      <c r="E23" s="1739"/>
      <c r="F23" s="1739"/>
      <c r="G23" s="1834"/>
      <c r="H23" s="1842" t="s">
        <v>7918</v>
      </c>
      <c r="L23" s="1842"/>
      <c r="M23" s="1842"/>
      <c r="N23" s="1842"/>
      <c r="O23" s="1842"/>
      <c r="P23" s="1842"/>
      <c r="Q23" s="1843"/>
      <c r="R23" s="1739" t="s">
        <v>7771</v>
      </c>
      <c r="S23" s="1739"/>
      <c r="T23" s="1739"/>
      <c r="U23" s="1739"/>
      <c r="V23" s="1739"/>
      <c r="W23" s="1739"/>
      <c r="Z23" s="1739"/>
    </row>
    <row r="24" spans="1:31" ht="20.25" customHeight="1" x14ac:dyDescent="0.5">
      <c r="B24" s="1739"/>
      <c r="D24" s="1739"/>
      <c r="E24" s="1739"/>
      <c r="F24" s="1739"/>
      <c r="G24" s="1834"/>
      <c r="H24" s="1842" t="s">
        <v>7919</v>
      </c>
      <c r="L24" s="1842"/>
      <c r="M24" s="1842"/>
      <c r="N24" s="1842"/>
      <c r="O24" s="1842"/>
      <c r="P24" s="1842"/>
      <c r="Q24" s="1843"/>
      <c r="R24" s="1843"/>
      <c r="S24" s="1843"/>
      <c r="Y24" s="1841"/>
      <c r="Z24" s="1847"/>
    </row>
    <row r="25" spans="1:31" ht="20.25" customHeight="1" x14ac:dyDescent="0.5">
      <c r="P25" s="1834" t="s">
        <v>7380</v>
      </c>
    </row>
    <row r="26" spans="1:31" ht="20.25" customHeight="1" x14ac:dyDescent="0.5">
      <c r="P26" s="1836"/>
      <c r="Q26" s="1848"/>
    </row>
    <row r="27" spans="1:31" ht="20.25" customHeight="1" x14ac:dyDescent="0.5">
      <c r="AA27" s="1840"/>
    </row>
    <row r="33" spans="1:26" x14ac:dyDescent="0.5">
      <c r="A33" s="1739"/>
      <c r="N33" s="1834"/>
      <c r="O33" s="1739"/>
      <c r="Z33" s="1739"/>
    </row>
    <row r="34" spans="1:26" x14ac:dyDescent="0.5">
      <c r="A34" s="1739"/>
      <c r="N34" s="1834"/>
      <c r="O34" s="1739"/>
      <c r="Z34" s="1739"/>
    </row>
    <row r="35" spans="1:26" x14ac:dyDescent="0.5">
      <c r="A35" s="1739"/>
      <c r="N35" s="1834"/>
      <c r="O35" s="1739"/>
      <c r="Z35" s="1739"/>
    </row>
    <row r="36" spans="1:26" x14ac:dyDescent="0.5">
      <c r="A36" s="1739"/>
      <c r="N36" s="1834"/>
      <c r="O36" s="1739"/>
      <c r="Z36" s="1739"/>
    </row>
    <row r="37" spans="1:26" x14ac:dyDescent="0.5">
      <c r="A37" s="1739"/>
      <c r="N37" s="1834"/>
      <c r="O37" s="1739"/>
      <c r="Z37" s="1739"/>
    </row>
    <row r="38" spans="1:26" x14ac:dyDescent="0.5">
      <c r="A38" s="1739"/>
      <c r="N38" s="1834"/>
      <c r="O38" s="1739"/>
      <c r="Z38" s="1739"/>
    </row>
    <row r="39" spans="1:26" x14ac:dyDescent="0.5">
      <c r="A39" s="1739"/>
      <c r="N39" s="1834"/>
      <c r="O39" s="1739"/>
      <c r="Z39" s="1739"/>
    </row>
    <row r="40" spans="1:26" x14ac:dyDescent="0.5">
      <c r="A40" s="1739"/>
      <c r="N40" s="1834"/>
      <c r="O40" s="1739"/>
      <c r="Z40" s="1739"/>
    </row>
    <row r="41" spans="1:26" x14ac:dyDescent="0.5">
      <c r="A41" s="1739"/>
      <c r="N41" s="1834"/>
      <c r="O41" s="1739"/>
      <c r="Z41" s="1739"/>
    </row>
    <row r="42" spans="1:26" x14ac:dyDescent="0.5">
      <c r="A42" s="1739"/>
      <c r="N42" s="1834"/>
      <c r="O42" s="1739"/>
      <c r="Z42" s="1739"/>
    </row>
    <row r="43" spans="1:26" x14ac:dyDescent="0.5">
      <c r="A43" s="1739"/>
      <c r="N43" s="1834"/>
      <c r="O43" s="1739"/>
      <c r="Z43" s="1739"/>
    </row>
    <row r="44" spans="1:26" x14ac:dyDescent="0.5">
      <c r="A44" s="1739"/>
      <c r="N44" s="1834"/>
      <c r="O44" s="1739"/>
      <c r="Z44" s="1739"/>
    </row>
    <row r="45" spans="1:26" x14ac:dyDescent="0.5">
      <c r="A45" s="1739"/>
      <c r="N45" s="1834"/>
      <c r="O45" s="1739"/>
      <c r="Z45" s="1739"/>
    </row>
    <row r="46" spans="1:26" x14ac:dyDescent="0.5">
      <c r="A46" s="1739"/>
      <c r="N46" s="1834"/>
      <c r="O46" s="1739"/>
      <c r="Z46" s="1739"/>
    </row>
    <row r="47" spans="1:26" x14ac:dyDescent="0.5">
      <c r="A47" s="1739"/>
      <c r="N47" s="1834"/>
      <c r="O47" s="1739"/>
      <c r="Z47" s="1739"/>
    </row>
    <row r="48" spans="1:26" x14ac:dyDescent="0.5">
      <c r="A48" s="1739"/>
      <c r="N48" s="1834"/>
      <c r="O48" s="1739"/>
      <c r="Z48" s="1739"/>
    </row>
    <row r="49" spans="1:26" x14ac:dyDescent="0.5">
      <c r="A49" s="1739"/>
      <c r="N49" s="1834"/>
      <c r="O49" s="1739"/>
      <c r="Z49" s="1739"/>
    </row>
    <row r="50" spans="1:26" x14ac:dyDescent="0.5">
      <c r="A50" s="1739"/>
      <c r="N50" s="1834"/>
      <c r="O50" s="1739"/>
      <c r="Z50" s="1739"/>
    </row>
    <row r="51" spans="1:26" x14ac:dyDescent="0.5">
      <c r="A51" s="1739"/>
      <c r="N51" s="1834"/>
      <c r="O51" s="1739"/>
      <c r="Z51" s="1739"/>
    </row>
    <row r="52" spans="1:26" x14ac:dyDescent="0.5">
      <c r="A52" s="1739"/>
      <c r="N52" s="1834"/>
      <c r="O52" s="1739"/>
      <c r="Z52" s="1739"/>
    </row>
    <row r="53" spans="1:26" x14ac:dyDescent="0.5">
      <c r="A53" s="1739"/>
      <c r="N53" s="1834"/>
      <c r="O53" s="1739"/>
      <c r="Z53" s="1739"/>
    </row>
    <row r="54" spans="1:26" x14ac:dyDescent="0.5">
      <c r="A54" s="1739"/>
      <c r="N54" s="1834"/>
      <c r="O54" s="1739"/>
      <c r="Z54" s="1739"/>
    </row>
    <row r="55" spans="1:26" x14ac:dyDescent="0.5">
      <c r="A55" s="1739"/>
      <c r="N55" s="1834"/>
      <c r="O55" s="1739"/>
      <c r="Z55" s="1739"/>
    </row>
    <row r="56" spans="1:26" x14ac:dyDescent="0.5">
      <c r="A56" s="1739"/>
      <c r="N56" s="1834"/>
      <c r="O56" s="1739"/>
      <c r="Z56" s="1739"/>
    </row>
    <row r="57" spans="1:26" x14ac:dyDescent="0.5">
      <c r="A57" s="1739"/>
      <c r="N57" s="1834"/>
      <c r="O57" s="1739"/>
      <c r="Z57" s="1739"/>
    </row>
    <row r="58" spans="1:26" x14ac:dyDescent="0.5">
      <c r="A58" s="1739"/>
      <c r="N58" s="1834"/>
      <c r="O58" s="1739"/>
      <c r="Z58" s="1739"/>
    </row>
    <row r="59" spans="1:26" x14ac:dyDescent="0.5">
      <c r="A59" s="1739"/>
      <c r="N59" s="1834"/>
      <c r="O59" s="1739"/>
      <c r="Z59" s="1739"/>
    </row>
    <row r="60" spans="1:26" x14ac:dyDescent="0.5">
      <c r="A60" s="1739"/>
      <c r="N60" s="1834"/>
      <c r="O60" s="1739"/>
      <c r="Z60" s="1739"/>
    </row>
    <row r="61" spans="1:26" x14ac:dyDescent="0.5">
      <c r="A61" s="1739"/>
      <c r="N61" s="1834"/>
      <c r="O61" s="1739"/>
      <c r="Z61" s="1739"/>
    </row>
    <row r="62" spans="1:26" x14ac:dyDescent="0.5">
      <c r="A62" s="1739"/>
      <c r="N62" s="1834"/>
      <c r="O62" s="1739"/>
      <c r="Z62" s="1739"/>
    </row>
    <row r="63" spans="1:26" x14ac:dyDescent="0.5">
      <c r="A63" s="1739"/>
      <c r="N63" s="1834"/>
      <c r="O63" s="1739"/>
      <c r="Z63" s="1739"/>
    </row>
    <row r="64" spans="1:26" x14ac:dyDescent="0.5">
      <c r="A64" s="1739"/>
      <c r="N64" s="1834"/>
      <c r="O64" s="1739"/>
      <c r="Z64" s="1739"/>
    </row>
    <row r="65" spans="1:26" x14ac:dyDescent="0.5">
      <c r="A65" s="1739"/>
      <c r="N65" s="1834"/>
      <c r="O65" s="1739"/>
      <c r="Z65" s="1739"/>
    </row>
    <row r="66" spans="1:26" x14ac:dyDescent="0.5">
      <c r="A66" s="1739"/>
      <c r="N66" s="1834"/>
      <c r="O66" s="1739"/>
      <c r="Z66" s="1739"/>
    </row>
    <row r="67" spans="1:26" x14ac:dyDescent="0.5">
      <c r="A67" s="1739"/>
      <c r="N67" s="1834"/>
      <c r="O67" s="1739"/>
      <c r="Z67" s="1739"/>
    </row>
    <row r="68" spans="1:26" x14ac:dyDescent="0.5">
      <c r="A68" s="1739"/>
      <c r="N68" s="1834"/>
      <c r="O68" s="1739"/>
      <c r="Z68" s="1739"/>
    </row>
    <row r="69" spans="1:26" x14ac:dyDescent="0.5">
      <c r="A69" s="1739"/>
      <c r="N69" s="1834"/>
      <c r="O69" s="1739"/>
      <c r="Z69" s="1739"/>
    </row>
    <row r="70" spans="1:26" x14ac:dyDescent="0.5">
      <c r="A70" s="1739"/>
      <c r="N70" s="1834"/>
      <c r="O70" s="1739"/>
      <c r="Z70" s="1739"/>
    </row>
    <row r="71" spans="1:26" x14ac:dyDescent="0.5">
      <c r="A71" s="1739"/>
      <c r="N71" s="1834"/>
      <c r="O71" s="1739"/>
      <c r="Z71" s="1739"/>
    </row>
    <row r="72" spans="1:26" x14ac:dyDescent="0.5">
      <c r="A72" s="1739"/>
      <c r="N72" s="1834"/>
      <c r="O72" s="1739"/>
      <c r="Z72" s="1739"/>
    </row>
    <row r="73" spans="1:26" x14ac:dyDescent="0.5">
      <c r="A73" s="1739"/>
      <c r="N73" s="1834"/>
      <c r="O73" s="1739"/>
      <c r="Z73" s="1739"/>
    </row>
    <row r="74" spans="1:26" x14ac:dyDescent="0.5">
      <c r="A74" s="1739"/>
      <c r="N74" s="1834"/>
      <c r="O74" s="1739"/>
      <c r="Z74" s="1739"/>
    </row>
    <row r="75" spans="1:26" x14ac:dyDescent="0.5">
      <c r="A75" s="1739"/>
      <c r="N75" s="1834"/>
      <c r="O75" s="1739"/>
      <c r="Z75" s="1739"/>
    </row>
    <row r="76" spans="1:26" x14ac:dyDescent="0.5">
      <c r="A76" s="1739"/>
      <c r="N76" s="1834"/>
      <c r="O76" s="1739"/>
      <c r="Z76" s="1739"/>
    </row>
    <row r="77" spans="1:26" x14ac:dyDescent="0.5">
      <c r="A77" s="1739"/>
      <c r="N77" s="1834"/>
      <c r="O77" s="1739"/>
      <c r="Z77" s="1739"/>
    </row>
    <row r="78" spans="1:26" x14ac:dyDescent="0.5">
      <c r="A78" s="1739"/>
      <c r="N78" s="1834"/>
      <c r="O78" s="1739"/>
      <c r="Z78" s="1739"/>
    </row>
    <row r="79" spans="1:26" x14ac:dyDescent="0.5">
      <c r="A79" s="1739"/>
      <c r="N79" s="1834"/>
      <c r="O79" s="1739"/>
      <c r="Z79" s="1739"/>
    </row>
    <row r="80" spans="1:26" x14ac:dyDescent="0.5">
      <c r="A80" s="1739"/>
      <c r="N80" s="1834"/>
      <c r="O80" s="1739"/>
      <c r="Z80" s="1739"/>
    </row>
    <row r="81" spans="1:26" x14ac:dyDescent="0.5">
      <c r="A81" s="1739"/>
      <c r="N81" s="1834"/>
      <c r="O81" s="1739"/>
      <c r="Z81" s="1739"/>
    </row>
    <row r="82" spans="1:26" x14ac:dyDescent="0.5">
      <c r="A82" s="1739"/>
      <c r="N82" s="1834"/>
      <c r="O82" s="1739"/>
      <c r="Z82" s="1739"/>
    </row>
    <row r="83" spans="1:26" x14ac:dyDescent="0.5">
      <c r="A83" s="1739"/>
      <c r="N83" s="1834"/>
      <c r="O83" s="1739"/>
      <c r="Z83" s="1739"/>
    </row>
    <row r="84" spans="1:26" x14ac:dyDescent="0.5">
      <c r="A84" s="1739"/>
      <c r="N84" s="1834"/>
      <c r="O84" s="1739"/>
      <c r="Z84" s="1739"/>
    </row>
    <row r="85" spans="1:26" x14ac:dyDescent="0.5">
      <c r="A85" s="1739"/>
      <c r="N85" s="1834"/>
      <c r="O85" s="1739"/>
      <c r="Z85" s="1739"/>
    </row>
    <row r="86" spans="1:26" x14ac:dyDescent="0.5">
      <c r="A86" s="1739"/>
      <c r="N86" s="1834"/>
      <c r="O86" s="1739"/>
      <c r="Z86" s="1739"/>
    </row>
    <row r="87" spans="1:26" x14ac:dyDescent="0.5">
      <c r="A87" s="1739"/>
      <c r="N87" s="1834"/>
      <c r="O87" s="1739"/>
      <c r="Z87" s="1739"/>
    </row>
    <row r="88" spans="1:26" x14ac:dyDescent="0.5">
      <c r="A88" s="1739"/>
      <c r="N88" s="1834"/>
      <c r="O88" s="1739"/>
      <c r="Z88" s="1739"/>
    </row>
    <row r="89" spans="1:26" x14ac:dyDescent="0.5">
      <c r="A89" s="1739"/>
      <c r="N89" s="1834"/>
      <c r="O89" s="1739"/>
      <c r="Z89" s="1739"/>
    </row>
    <row r="90" spans="1:26" x14ac:dyDescent="0.5">
      <c r="A90" s="1739"/>
      <c r="N90" s="1834"/>
      <c r="O90" s="1739"/>
      <c r="Z90" s="1739"/>
    </row>
    <row r="91" spans="1:26" x14ac:dyDescent="0.5">
      <c r="A91" s="1739"/>
      <c r="N91" s="1834"/>
      <c r="O91" s="1739"/>
      <c r="Z91" s="1739"/>
    </row>
    <row r="92" spans="1:26" x14ac:dyDescent="0.5">
      <c r="A92" s="1739"/>
      <c r="N92" s="1834"/>
      <c r="O92" s="1739"/>
      <c r="Z92" s="1739"/>
    </row>
    <row r="93" spans="1:26" x14ac:dyDescent="0.5">
      <c r="A93" s="1739"/>
      <c r="N93" s="1834"/>
      <c r="O93" s="1739"/>
      <c r="Z93" s="1739"/>
    </row>
    <row r="94" spans="1:26" x14ac:dyDescent="0.5">
      <c r="A94" s="1739"/>
      <c r="N94" s="1834"/>
      <c r="O94" s="1739"/>
      <c r="Z94" s="1739"/>
    </row>
    <row r="95" spans="1:26" x14ac:dyDescent="0.5">
      <c r="A95" s="1739"/>
      <c r="N95" s="1834"/>
      <c r="O95" s="1739"/>
      <c r="Z95" s="1739"/>
    </row>
    <row r="96" spans="1:26" x14ac:dyDescent="0.5">
      <c r="A96" s="1739"/>
      <c r="N96" s="1834"/>
      <c r="O96" s="1739"/>
      <c r="Z96" s="1739"/>
    </row>
    <row r="97" spans="1:26" x14ac:dyDescent="0.5">
      <c r="A97" s="1739"/>
      <c r="N97" s="1834"/>
      <c r="O97" s="1739"/>
      <c r="Z97" s="1739"/>
    </row>
    <row r="98" spans="1:26" x14ac:dyDescent="0.5">
      <c r="A98" s="1739"/>
      <c r="N98" s="1834"/>
      <c r="O98" s="1739"/>
      <c r="Z98" s="1739"/>
    </row>
    <row r="99" spans="1:26" x14ac:dyDescent="0.5">
      <c r="A99" s="1739"/>
      <c r="N99" s="1834"/>
      <c r="O99" s="1739"/>
      <c r="Z99" s="1739"/>
    </row>
    <row r="100" spans="1:26" x14ac:dyDescent="0.5">
      <c r="A100" s="1739"/>
      <c r="N100" s="1834"/>
      <c r="O100" s="1739"/>
      <c r="Z100" s="1739"/>
    </row>
    <row r="101" spans="1:26" x14ac:dyDescent="0.5">
      <c r="A101" s="1739"/>
      <c r="N101" s="1834"/>
      <c r="O101" s="1739"/>
      <c r="Z101" s="1739"/>
    </row>
    <row r="102" spans="1:26" x14ac:dyDescent="0.5">
      <c r="A102" s="1739"/>
      <c r="N102" s="1834"/>
      <c r="O102" s="1739"/>
      <c r="Z102" s="1739"/>
    </row>
    <row r="103" spans="1:26" x14ac:dyDescent="0.5">
      <c r="A103" s="1739"/>
      <c r="N103" s="1834"/>
      <c r="O103" s="1739"/>
      <c r="Z103" s="1739"/>
    </row>
    <row r="104" spans="1:26" x14ac:dyDescent="0.5">
      <c r="A104" s="1739"/>
      <c r="N104" s="1834"/>
      <c r="O104" s="1739"/>
      <c r="Z104" s="1739"/>
    </row>
    <row r="105" spans="1:26" x14ac:dyDescent="0.5">
      <c r="A105" s="1739"/>
      <c r="N105" s="1834"/>
      <c r="O105" s="1739"/>
      <c r="Z105" s="1739"/>
    </row>
    <row r="106" spans="1:26" x14ac:dyDescent="0.5">
      <c r="A106" s="1739"/>
      <c r="N106" s="1834"/>
      <c r="O106" s="1739"/>
      <c r="Z106" s="1739"/>
    </row>
    <row r="107" spans="1:26" x14ac:dyDescent="0.5">
      <c r="A107" s="1739"/>
      <c r="N107" s="1834"/>
      <c r="O107" s="1739"/>
      <c r="Z107" s="1739"/>
    </row>
    <row r="108" spans="1:26" x14ac:dyDescent="0.5">
      <c r="A108" s="1739"/>
      <c r="N108" s="1834"/>
      <c r="O108" s="1739"/>
      <c r="Z108" s="1739"/>
    </row>
    <row r="109" spans="1:26" x14ac:dyDescent="0.5">
      <c r="A109" s="1739"/>
      <c r="N109" s="1834"/>
      <c r="O109" s="1739"/>
      <c r="Z109" s="1739"/>
    </row>
    <row r="110" spans="1:26" x14ac:dyDescent="0.5">
      <c r="A110" s="1739"/>
      <c r="N110" s="1834"/>
      <c r="O110" s="1739"/>
      <c r="Z110" s="1739"/>
    </row>
    <row r="111" spans="1:26" x14ac:dyDescent="0.5">
      <c r="A111" s="1739"/>
      <c r="N111" s="1834"/>
      <c r="O111" s="1739"/>
      <c r="Z111" s="1739"/>
    </row>
    <row r="112" spans="1:26" x14ac:dyDescent="0.5">
      <c r="A112" s="1739"/>
      <c r="N112" s="1834"/>
      <c r="O112" s="1739"/>
      <c r="Z112" s="1739"/>
    </row>
    <row r="113" spans="1:26" x14ac:dyDescent="0.5">
      <c r="A113" s="1739"/>
      <c r="N113" s="1834"/>
      <c r="O113" s="1739"/>
      <c r="Z113" s="1739"/>
    </row>
    <row r="114" spans="1:26" x14ac:dyDescent="0.5">
      <c r="A114" s="1739"/>
      <c r="N114" s="1834"/>
      <c r="O114" s="1739"/>
      <c r="Z114" s="1739"/>
    </row>
    <row r="115" spans="1:26" x14ac:dyDescent="0.5">
      <c r="A115" s="1739"/>
      <c r="N115" s="1834"/>
      <c r="O115" s="1739"/>
      <c r="Z115" s="1739"/>
    </row>
    <row r="116" spans="1:26" x14ac:dyDescent="0.5">
      <c r="A116" s="1739"/>
      <c r="N116" s="1834"/>
      <c r="O116" s="1739"/>
      <c r="Z116" s="1739"/>
    </row>
    <row r="117" spans="1:26" x14ac:dyDescent="0.5">
      <c r="A117" s="1739"/>
      <c r="N117" s="1834"/>
      <c r="O117" s="1739"/>
      <c r="Z117" s="1739"/>
    </row>
    <row r="118" spans="1:26" x14ac:dyDescent="0.5">
      <c r="A118" s="1739"/>
      <c r="N118" s="1834"/>
      <c r="O118" s="1739"/>
      <c r="Z118" s="1739"/>
    </row>
    <row r="119" spans="1:26" x14ac:dyDescent="0.5">
      <c r="A119" s="1739"/>
      <c r="N119" s="1834"/>
      <c r="O119" s="1739"/>
      <c r="Z119" s="1739"/>
    </row>
    <row r="120" spans="1:26" x14ac:dyDescent="0.5">
      <c r="A120" s="1739"/>
      <c r="N120" s="1834"/>
      <c r="O120" s="1739"/>
      <c r="Z120" s="1739"/>
    </row>
    <row r="121" spans="1:26" x14ac:dyDescent="0.5">
      <c r="A121" s="1739"/>
      <c r="N121" s="1834"/>
      <c r="O121" s="1739"/>
      <c r="Z121" s="1739"/>
    </row>
    <row r="122" spans="1:26" x14ac:dyDescent="0.5">
      <c r="A122" s="1739"/>
      <c r="N122" s="1834"/>
      <c r="O122" s="1739"/>
      <c r="Z122" s="1739"/>
    </row>
    <row r="123" spans="1:26" x14ac:dyDescent="0.5">
      <c r="A123" s="1739"/>
      <c r="N123" s="1834"/>
      <c r="O123" s="1739"/>
      <c r="Z123" s="1739"/>
    </row>
    <row r="124" spans="1:26" x14ac:dyDescent="0.5">
      <c r="A124" s="1739"/>
      <c r="N124" s="1834"/>
      <c r="O124" s="1739"/>
      <c r="Z124" s="1739"/>
    </row>
    <row r="125" spans="1:26" x14ac:dyDescent="0.5">
      <c r="A125" s="1739"/>
      <c r="N125" s="1834"/>
      <c r="O125" s="1739"/>
      <c r="Z125" s="1739"/>
    </row>
    <row r="126" spans="1:26" x14ac:dyDescent="0.5">
      <c r="A126" s="1739"/>
      <c r="N126" s="1834"/>
      <c r="O126" s="1739"/>
      <c r="Z126" s="1739"/>
    </row>
    <row r="127" spans="1:26" x14ac:dyDescent="0.5">
      <c r="A127" s="1739"/>
      <c r="N127" s="1834"/>
      <c r="O127" s="1739"/>
      <c r="Z127" s="1739"/>
    </row>
    <row r="128" spans="1:26" x14ac:dyDescent="0.5">
      <c r="A128" s="1739"/>
      <c r="N128" s="1834"/>
      <c r="O128" s="1739"/>
      <c r="Z128" s="1739"/>
    </row>
    <row r="129" spans="1:26" x14ac:dyDescent="0.5">
      <c r="A129" s="1739"/>
      <c r="N129" s="1834"/>
      <c r="O129" s="1739"/>
      <c r="Z129" s="1739"/>
    </row>
    <row r="130" spans="1:26" x14ac:dyDescent="0.5">
      <c r="A130" s="1739"/>
      <c r="N130" s="1834"/>
      <c r="O130" s="1739"/>
      <c r="Z130" s="1739"/>
    </row>
    <row r="131" spans="1:26" x14ac:dyDescent="0.5">
      <c r="A131" s="1739"/>
      <c r="N131" s="1834"/>
      <c r="O131" s="1739"/>
      <c r="Z131" s="1739"/>
    </row>
    <row r="132" spans="1:26" x14ac:dyDescent="0.5">
      <c r="A132" s="1739"/>
      <c r="N132" s="1834"/>
      <c r="O132" s="1739"/>
      <c r="Z132" s="1739"/>
    </row>
    <row r="133" spans="1:26" x14ac:dyDescent="0.5">
      <c r="A133" s="1739"/>
      <c r="N133" s="1834"/>
      <c r="O133" s="1739"/>
      <c r="Z133" s="1739"/>
    </row>
    <row r="134" spans="1:26" x14ac:dyDescent="0.5">
      <c r="A134" s="1739"/>
      <c r="N134" s="1834"/>
      <c r="O134" s="1739"/>
      <c r="Z134" s="1739"/>
    </row>
    <row r="135" spans="1:26" x14ac:dyDescent="0.5">
      <c r="A135" s="1739"/>
      <c r="N135" s="1834"/>
      <c r="O135" s="1739"/>
      <c r="Z135" s="1739"/>
    </row>
    <row r="136" spans="1:26" x14ac:dyDescent="0.5">
      <c r="A136" s="1739"/>
      <c r="N136" s="1834"/>
      <c r="O136" s="1739"/>
      <c r="Z136" s="1739"/>
    </row>
    <row r="137" spans="1:26" x14ac:dyDescent="0.5">
      <c r="A137" s="1739"/>
      <c r="N137" s="1834"/>
      <c r="O137" s="1739"/>
      <c r="Z137" s="1739"/>
    </row>
    <row r="138" spans="1:26" x14ac:dyDescent="0.5">
      <c r="A138" s="1739"/>
      <c r="N138" s="1834"/>
      <c r="O138" s="1739"/>
      <c r="Z138" s="1739"/>
    </row>
    <row r="139" spans="1:26" x14ac:dyDescent="0.5">
      <c r="A139" s="1739"/>
      <c r="N139" s="1834"/>
      <c r="O139" s="1739"/>
      <c r="Z139" s="1739"/>
    </row>
    <row r="140" spans="1:26" x14ac:dyDescent="0.5">
      <c r="A140" s="1739"/>
      <c r="N140" s="1834"/>
      <c r="O140" s="1739"/>
      <c r="Z140" s="1739"/>
    </row>
    <row r="141" spans="1:26" x14ac:dyDescent="0.5">
      <c r="A141" s="1739"/>
      <c r="N141" s="1834"/>
      <c r="O141" s="1739"/>
      <c r="Z141" s="1739"/>
    </row>
    <row r="142" spans="1:26" x14ac:dyDescent="0.5">
      <c r="A142" s="1739"/>
      <c r="N142" s="1834"/>
      <c r="O142" s="1739"/>
      <c r="Z142" s="1739"/>
    </row>
    <row r="143" spans="1:26" x14ac:dyDescent="0.5">
      <c r="A143" s="1739"/>
      <c r="N143" s="1834"/>
      <c r="O143" s="1739"/>
      <c r="Z143" s="1739"/>
    </row>
    <row r="144" spans="1:26" x14ac:dyDescent="0.5">
      <c r="A144" s="1739"/>
      <c r="N144" s="1834"/>
      <c r="O144" s="1739"/>
      <c r="Z144" s="1739"/>
    </row>
    <row r="145" spans="1:26" x14ac:dyDescent="0.5">
      <c r="A145" s="1739"/>
      <c r="N145" s="1834"/>
      <c r="O145" s="1739"/>
      <c r="Z145" s="1739"/>
    </row>
    <row r="146" spans="1:26" x14ac:dyDescent="0.5">
      <c r="A146" s="1739"/>
      <c r="N146" s="1834"/>
      <c r="O146" s="1739"/>
      <c r="Z146" s="1739"/>
    </row>
    <row r="147" spans="1:26" x14ac:dyDescent="0.5">
      <c r="A147" s="1739"/>
      <c r="N147" s="1834"/>
      <c r="O147" s="1739"/>
      <c r="Z147" s="1739"/>
    </row>
    <row r="148" spans="1:26" x14ac:dyDescent="0.5">
      <c r="A148" s="1739"/>
      <c r="N148" s="1834"/>
      <c r="O148" s="1739"/>
      <c r="Z148" s="1739"/>
    </row>
    <row r="149" spans="1:26" x14ac:dyDescent="0.5">
      <c r="A149" s="1739"/>
      <c r="N149" s="1834"/>
      <c r="O149" s="1739"/>
      <c r="Z149" s="1739"/>
    </row>
    <row r="150" spans="1:26" x14ac:dyDescent="0.5">
      <c r="A150" s="1739"/>
      <c r="N150" s="1834"/>
      <c r="O150" s="1739"/>
      <c r="Z150" s="1739"/>
    </row>
    <row r="151" spans="1:26" x14ac:dyDescent="0.5">
      <c r="A151" s="1739"/>
      <c r="N151" s="1834"/>
      <c r="O151" s="1739"/>
      <c r="Z151" s="1739"/>
    </row>
    <row r="152" spans="1:26" x14ac:dyDescent="0.5">
      <c r="A152" s="1739"/>
      <c r="N152" s="1834"/>
      <c r="O152" s="1739"/>
      <c r="Z152" s="1739"/>
    </row>
    <row r="153" spans="1:26" x14ac:dyDescent="0.5">
      <c r="A153" s="1739"/>
      <c r="N153" s="1834"/>
      <c r="O153" s="1739"/>
      <c r="Z153" s="1739"/>
    </row>
    <row r="154" spans="1:26" x14ac:dyDescent="0.5">
      <c r="A154" s="1739"/>
      <c r="N154" s="1834"/>
      <c r="O154" s="1739"/>
      <c r="Z154" s="1739"/>
    </row>
    <row r="155" spans="1:26" x14ac:dyDescent="0.5">
      <c r="A155" s="1739"/>
      <c r="N155" s="1834"/>
      <c r="O155" s="1739"/>
      <c r="Z155" s="1739"/>
    </row>
    <row r="156" spans="1:26" x14ac:dyDescent="0.5">
      <c r="A156" s="1739"/>
      <c r="N156" s="1834"/>
      <c r="O156" s="1739"/>
      <c r="Z156" s="1739"/>
    </row>
    <row r="157" spans="1:26" x14ac:dyDescent="0.5">
      <c r="A157" s="1739"/>
      <c r="N157" s="1834"/>
      <c r="O157" s="1739"/>
      <c r="Z157" s="1739"/>
    </row>
    <row r="158" spans="1:26" x14ac:dyDescent="0.5">
      <c r="A158" s="1739"/>
      <c r="N158" s="1834"/>
      <c r="O158" s="1739"/>
      <c r="Z158" s="1739"/>
    </row>
    <row r="159" spans="1:26" x14ac:dyDescent="0.5">
      <c r="A159" s="1739"/>
      <c r="N159" s="1834"/>
      <c r="O159" s="1739"/>
      <c r="Z159" s="1739"/>
    </row>
    <row r="160" spans="1:26" x14ac:dyDescent="0.5">
      <c r="A160" s="1739"/>
      <c r="N160" s="1834"/>
      <c r="O160" s="1739"/>
      <c r="Z160" s="1739"/>
    </row>
    <row r="161" spans="1:26" x14ac:dyDescent="0.5">
      <c r="A161" s="1739"/>
      <c r="N161" s="1834"/>
      <c r="O161" s="1739"/>
      <c r="Z161" s="1739"/>
    </row>
    <row r="162" spans="1:26" x14ac:dyDescent="0.5">
      <c r="A162" s="1739"/>
      <c r="N162" s="1834"/>
      <c r="O162" s="1739"/>
      <c r="Z162" s="1739"/>
    </row>
    <row r="163" spans="1:26" x14ac:dyDescent="0.5">
      <c r="A163" s="1739"/>
      <c r="N163" s="1834"/>
      <c r="O163" s="1739"/>
      <c r="Z163" s="1739"/>
    </row>
    <row r="164" spans="1:26" x14ac:dyDescent="0.5">
      <c r="A164" s="1739"/>
      <c r="N164" s="1834"/>
      <c r="O164" s="1739"/>
      <c r="Z164" s="1739"/>
    </row>
    <row r="165" spans="1:26" x14ac:dyDescent="0.5">
      <c r="A165" s="1739"/>
      <c r="N165" s="1834"/>
      <c r="O165" s="1739"/>
      <c r="Z165" s="1739"/>
    </row>
    <row r="166" spans="1:26" x14ac:dyDescent="0.5">
      <c r="A166" s="1739"/>
      <c r="N166" s="1834"/>
      <c r="O166" s="1739"/>
      <c r="Z166" s="1739"/>
    </row>
    <row r="167" spans="1:26" x14ac:dyDescent="0.5">
      <c r="A167" s="1739"/>
      <c r="N167" s="1834"/>
      <c r="O167" s="1739"/>
      <c r="Z167" s="1739"/>
    </row>
    <row r="168" spans="1:26" x14ac:dyDescent="0.5">
      <c r="A168" s="1739"/>
      <c r="N168" s="1834"/>
      <c r="O168" s="1739"/>
      <c r="Z168" s="1739"/>
    </row>
    <row r="169" spans="1:26" x14ac:dyDescent="0.5">
      <c r="A169" s="1739"/>
      <c r="N169" s="1834"/>
      <c r="O169" s="1739"/>
      <c r="Z169" s="1739"/>
    </row>
    <row r="170" spans="1:26" x14ac:dyDescent="0.5">
      <c r="A170" s="1739"/>
      <c r="N170" s="1834"/>
      <c r="O170" s="1739"/>
      <c r="Z170" s="1739"/>
    </row>
    <row r="171" spans="1:26" x14ac:dyDescent="0.5">
      <c r="A171" s="1739"/>
      <c r="N171" s="1834"/>
      <c r="O171" s="1739"/>
      <c r="Z171" s="1739"/>
    </row>
    <row r="172" spans="1:26" x14ac:dyDescent="0.5">
      <c r="A172" s="1739"/>
      <c r="N172" s="1834"/>
      <c r="O172" s="1739"/>
      <c r="Z172" s="1739"/>
    </row>
    <row r="173" spans="1:26" x14ac:dyDescent="0.5">
      <c r="A173" s="1739"/>
      <c r="N173" s="1834"/>
      <c r="O173" s="1739"/>
      <c r="Z173" s="1739"/>
    </row>
    <row r="174" spans="1:26" x14ac:dyDescent="0.5">
      <c r="A174" s="1739"/>
      <c r="N174" s="1834"/>
      <c r="O174" s="1739"/>
      <c r="Z174" s="1739"/>
    </row>
    <row r="175" spans="1:26" x14ac:dyDescent="0.5">
      <c r="A175" s="1739"/>
      <c r="N175" s="1834"/>
      <c r="O175" s="1739"/>
      <c r="Z175" s="1739"/>
    </row>
    <row r="176" spans="1:26" x14ac:dyDescent="0.5">
      <c r="A176" s="1739"/>
      <c r="N176" s="1834"/>
      <c r="O176" s="1739"/>
      <c r="Z176" s="1739"/>
    </row>
    <row r="177" spans="1:26" x14ac:dyDescent="0.5">
      <c r="A177" s="1739"/>
      <c r="N177" s="1834"/>
      <c r="O177" s="1739"/>
      <c r="Z177" s="1739"/>
    </row>
    <row r="178" spans="1:26" x14ac:dyDescent="0.5">
      <c r="A178" s="1739"/>
      <c r="N178" s="1834"/>
      <c r="O178" s="1739"/>
      <c r="Z178" s="1739"/>
    </row>
    <row r="179" spans="1:26" x14ac:dyDescent="0.5">
      <c r="A179" s="1739"/>
      <c r="N179" s="1834"/>
      <c r="O179" s="1739"/>
      <c r="Z179" s="1739"/>
    </row>
    <row r="180" spans="1:26" x14ac:dyDescent="0.5">
      <c r="A180" s="1739"/>
      <c r="N180" s="1834"/>
      <c r="O180" s="1739"/>
      <c r="Z180" s="1739"/>
    </row>
    <row r="181" spans="1:26" x14ac:dyDescent="0.5">
      <c r="A181" s="1739"/>
      <c r="N181" s="1834"/>
      <c r="O181" s="1739"/>
      <c r="Z181" s="1739"/>
    </row>
    <row r="182" spans="1:26" x14ac:dyDescent="0.5">
      <c r="A182" s="1739"/>
      <c r="N182" s="1834"/>
      <c r="O182" s="1739"/>
      <c r="Z182" s="1739"/>
    </row>
    <row r="183" spans="1:26" x14ac:dyDescent="0.5">
      <c r="A183" s="1739"/>
      <c r="N183" s="1834"/>
      <c r="O183" s="1739"/>
      <c r="Z183" s="1739"/>
    </row>
    <row r="184" spans="1:26" x14ac:dyDescent="0.5">
      <c r="A184" s="1739"/>
      <c r="N184" s="1834"/>
      <c r="O184" s="1739"/>
      <c r="Z184" s="1739"/>
    </row>
    <row r="185" spans="1:26" x14ac:dyDescent="0.5">
      <c r="A185" s="1739"/>
      <c r="N185" s="1834"/>
      <c r="O185" s="1739"/>
      <c r="Z185" s="1739"/>
    </row>
    <row r="186" spans="1:26" x14ac:dyDescent="0.5">
      <c r="A186" s="1739"/>
      <c r="N186" s="1834"/>
      <c r="O186" s="1739"/>
      <c r="Z186" s="1739"/>
    </row>
    <row r="187" spans="1:26" x14ac:dyDescent="0.5">
      <c r="A187" s="1739"/>
      <c r="N187" s="1834"/>
      <c r="O187" s="1739"/>
      <c r="Z187" s="1739"/>
    </row>
    <row r="188" spans="1:26" x14ac:dyDescent="0.5">
      <c r="A188" s="1739"/>
      <c r="N188" s="1834"/>
      <c r="O188" s="1739"/>
      <c r="Z188" s="1739"/>
    </row>
    <row r="189" spans="1:26" x14ac:dyDescent="0.5">
      <c r="A189" s="1739"/>
      <c r="N189" s="1834"/>
      <c r="O189" s="1739"/>
      <c r="Z189" s="1739"/>
    </row>
    <row r="190" spans="1:26" x14ac:dyDescent="0.5">
      <c r="A190" s="1739"/>
      <c r="N190" s="1834"/>
      <c r="O190" s="1739"/>
      <c r="Z190" s="1739"/>
    </row>
    <row r="191" spans="1:26" x14ac:dyDescent="0.5">
      <c r="A191" s="1739"/>
      <c r="N191" s="1834"/>
      <c r="O191" s="1739"/>
      <c r="Z191" s="1739"/>
    </row>
    <row r="192" spans="1:26" x14ac:dyDescent="0.5">
      <c r="A192" s="1739"/>
      <c r="N192" s="1834"/>
      <c r="O192" s="1739"/>
      <c r="Z192" s="1739"/>
    </row>
    <row r="193" spans="1:26" x14ac:dyDescent="0.5">
      <c r="A193" s="1739"/>
      <c r="N193" s="1834"/>
      <c r="O193" s="1739"/>
      <c r="Z193" s="1739"/>
    </row>
    <row r="194" spans="1:26" x14ac:dyDescent="0.5">
      <c r="A194" s="1739"/>
      <c r="N194" s="1834"/>
      <c r="O194" s="1739"/>
      <c r="Z194" s="1739"/>
    </row>
    <row r="195" spans="1:26" x14ac:dyDescent="0.5">
      <c r="A195" s="1739"/>
      <c r="N195" s="1834"/>
      <c r="O195" s="1739"/>
      <c r="Z195" s="1739"/>
    </row>
    <row r="196" spans="1:26" x14ac:dyDescent="0.5">
      <c r="A196" s="1739"/>
      <c r="N196" s="1834"/>
      <c r="O196" s="1739"/>
      <c r="Z196" s="1739"/>
    </row>
    <row r="197" spans="1:26" x14ac:dyDescent="0.5">
      <c r="A197" s="1739"/>
      <c r="N197" s="1834"/>
      <c r="O197" s="1739"/>
      <c r="Z197" s="1739"/>
    </row>
    <row r="198" spans="1:26" x14ac:dyDescent="0.5">
      <c r="A198" s="1739"/>
      <c r="N198" s="1834"/>
      <c r="O198" s="1739"/>
      <c r="Z198" s="1739"/>
    </row>
    <row r="199" spans="1:26" x14ac:dyDescent="0.5">
      <c r="A199" s="1739"/>
      <c r="N199" s="1834"/>
      <c r="O199" s="1739"/>
      <c r="Z199" s="1739"/>
    </row>
    <row r="200" spans="1:26" x14ac:dyDescent="0.5">
      <c r="A200" s="1739"/>
      <c r="N200" s="1834"/>
      <c r="O200" s="1739"/>
      <c r="Z200" s="1739"/>
    </row>
    <row r="201" spans="1:26" x14ac:dyDescent="0.5">
      <c r="A201" s="1739"/>
      <c r="N201" s="1834"/>
      <c r="O201" s="1739"/>
      <c r="Z201" s="1739"/>
    </row>
    <row r="202" spans="1:26" x14ac:dyDescent="0.5">
      <c r="A202" s="1739"/>
      <c r="N202" s="1834"/>
      <c r="O202" s="1739"/>
      <c r="Z202" s="1739"/>
    </row>
    <row r="203" spans="1:26" x14ac:dyDescent="0.5">
      <c r="A203" s="1739"/>
      <c r="N203" s="1834"/>
      <c r="O203" s="1739"/>
      <c r="Z203" s="1739"/>
    </row>
    <row r="204" spans="1:26" x14ac:dyDescent="0.5">
      <c r="A204" s="1739"/>
      <c r="N204" s="1834"/>
      <c r="O204" s="1739"/>
      <c r="Z204" s="1739"/>
    </row>
    <row r="205" spans="1:26" x14ac:dyDescent="0.5">
      <c r="A205" s="1739"/>
      <c r="N205" s="1834"/>
      <c r="O205" s="1739"/>
      <c r="Z205" s="1739"/>
    </row>
    <row r="206" spans="1:26" x14ac:dyDescent="0.5">
      <c r="A206" s="1739"/>
      <c r="N206" s="1834"/>
      <c r="O206" s="1739"/>
      <c r="Z206" s="1739"/>
    </row>
    <row r="207" spans="1:26" x14ac:dyDescent="0.5">
      <c r="A207" s="1739"/>
      <c r="N207" s="1834"/>
      <c r="O207" s="1739"/>
      <c r="Z207" s="1739"/>
    </row>
    <row r="208" spans="1:26" x14ac:dyDescent="0.5">
      <c r="A208" s="1739"/>
      <c r="N208" s="1834"/>
      <c r="O208" s="1739"/>
      <c r="Z208" s="1739"/>
    </row>
    <row r="209" spans="1:26" x14ac:dyDescent="0.5">
      <c r="A209" s="1739"/>
      <c r="N209" s="1834"/>
      <c r="O209" s="1739"/>
      <c r="Z209" s="1739"/>
    </row>
    <row r="210" spans="1:26" x14ac:dyDescent="0.5">
      <c r="A210" s="1739"/>
      <c r="N210" s="1834"/>
      <c r="O210" s="1739"/>
      <c r="Z210" s="1739"/>
    </row>
    <row r="211" spans="1:26" x14ac:dyDescent="0.5">
      <c r="A211" s="1739"/>
      <c r="N211" s="1834"/>
      <c r="O211" s="1739"/>
      <c r="Z211" s="1739"/>
    </row>
    <row r="212" spans="1:26" x14ac:dyDescent="0.5">
      <c r="A212" s="1739"/>
      <c r="N212" s="1834"/>
      <c r="O212" s="1739"/>
      <c r="Z212" s="1739"/>
    </row>
    <row r="213" spans="1:26" x14ac:dyDescent="0.5">
      <c r="A213" s="1739"/>
      <c r="N213" s="1834"/>
      <c r="O213" s="1739"/>
      <c r="Z213" s="1739"/>
    </row>
    <row r="214" spans="1:26" x14ac:dyDescent="0.5">
      <c r="A214" s="1739"/>
      <c r="N214" s="1834"/>
      <c r="O214" s="1739"/>
      <c r="Z214" s="1739"/>
    </row>
    <row r="215" spans="1:26" x14ac:dyDescent="0.5">
      <c r="A215" s="1739"/>
      <c r="N215" s="1834"/>
      <c r="O215" s="1739"/>
      <c r="Z215" s="1739"/>
    </row>
    <row r="216" spans="1:26" x14ac:dyDescent="0.5">
      <c r="A216" s="1739"/>
      <c r="N216" s="1834"/>
      <c r="O216" s="1739"/>
      <c r="Z216" s="1739"/>
    </row>
    <row r="217" spans="1:26" x14ac:dyDescent="0.5">
      <c r="A217" s="1739"/>
      <c r="N217" s="1834"/>
      <c r="O217" s="1739"/>
      <c r="Z217" s="1739"/>
    </row>
    <row r="218" spans="1:26" x14ac:dyDescent="0.5">
      <c r="A218" s="1739"/>
      <c r="N218" s="1834"/>
      <c r="O218" s="1739"/>
      <c r="Z218" s="1739"/>
    </row>
    <row r="219" spans="1:26" x14ac:dyDescent="0.5">
      <c r="A219" s="1739"/>
      <c r="N219" s="1834"/>
      <c r="O219" s="1739"/>
      <c r="Z219" s="1739"/>
    </row>
    <row r="220" spans="1:26" x14ac:dyDescent="0.5">
      <c r="A220" s="1739"/>
      <c r="N220" s="1834"/>
      <c r="O220" s="1739"/>
      <c r="Z220" s="1739"/>
    </row>
    <row r="221" spans="1:26" x14ac:dyDescent="0.5">
      <c r="A221" s="1739"/>
      <c r="N221" s="1834"/>
      <c r="O221" s="1739"/>
      <c r="Z221" s="1739"/>
    </row>
    <row r="222" spans="1:26" x14ac:dyDescent="0.5">
      <c r="A222" s="1739"/>
      <c r="N222" s="1834"/>
      <c r="O222" s="1739"/>
      <c r="Z222" s="1739"/>
    </row>
    <row r="223" spans="1:26" x14ac:dyDescent="0.5">
      <c r="A223" s="1739"/>
      <c r="N223" s="1834"/>
      <c r="O223" s="1739"/>
      <c r="Z223" s="1739"/>
    </row>
    <row r="224" spans="1:26" x14ac:dyDescent="0.5">
      <c r="A224" s="1739"/>
      <c r="N224" s="1834"/>
      <c r="O224" s="1739"/>
      <c r="Z224" s="1739"/>
    </row>
    <row r="225" spans="1:26" x14ac:dyDescent="0.5">
      <c r="A225" s="1739"/>
      <c r="N225" s="1834"/>
      <c r="O225" s="1739"/>
      <c r="Z225" s="1739"/>
    </row>
    <row r="226" spans="1:26" x14ac:dyDescent="0.5">
      <c r="A226" s="1739"/>
      <c r="N226" s="1834"/>
      <c r="O226" s="1739"/>
      <c r="Z226" s="1739"/>
    </row>
    <row r="227" spans="1:26" x14ac:dyDescent="0.5">
      <c r="A227" s="1739"/>
      <c r="N227" s="1834"/>
      <c r="O227" s="1739"/>
      <c r="Z227" s="1739"/>
    </row>
    <row r="228" spans="1:26" x14ac:dyDescent="0.5">
      <c r="A228" s="1739"/>
      <c r="N228" s="1834"/>
      <c r="O228" s="1739"/>
      <c r="Z228" s="1739"/>
    </row>
    <row r="229" spans="1:26" x14ac:dyDescent="0.5">
      <c r="A229" s="1739"/>
      <c r="N229" s="1834"/>
      <c r="O229" s="1739"/>
      <c r="Z229" s="1739"/>
    </row>
    <row r="230" spans="1:26" x14ac:dyDescent="0.5">
      <c r="A230" s="1739"/>
      <c r="N230" s="1834"/>
      <c r="O230" s="1739"/>
      <c r="Z230" s="1739"/>
    </row>
    <row r="231" spans="1:26" x14ac:dyDescent="0.5">
      <c r="A231" s="1739"/>
      <c r="N231" s="1834"/>
      <c r="O231" s="1739"/>
      <c r="Z231" s="1739"/>
    </row>
    <row r="232" spans="1:26" x14ac:dyDescent="0.5">
      <c r="A232" s="1739"/>
      <c r="N232" s="1834"/>
      <c r="O232" s="1739"/>
      <c r="Z232" s="1739"/>
    </row>
    <row r="233" spans="1:26" x14ac:dyDescent="0.5">
      <c r="A233" s="1739"/>
      <c r="N233" s="1834"/>
      <c r="O233" s="1739"/>
      <c r="Z233" s="1739"/>
    </row>
    <row r="234" spans="1:26" x14ac:dyDescent="0.5">
      <c r="A234" s="1739"/>
      <c r="N234" s="1834"/>
      <c r="O234" s="1739"/>
      <c r="Z234" s="1739"/>
    </row>
    <row r="235" spans="1:26" x14ac:dyDescent="0.5">
      <c r="A235" s="1739"/>
      <c r="N235" s="1834"/>
      <c r="O235" s="1739"/>
      <c r="Z235" s="1739"/>
    </row>
    <row r="236" spans="1:26" x14ac:dyDescent="0.5">
      <c r="A236" s="1739"/>
      <c r="N236" s="1834"/>
      <c r="O236" s="1739"/>
      <c r="Z236" s="1739"/>
    </row>
    <row r="237" spans="1:26" x14ac:dyDescent="0.5">
      <c r="A237" s="1739"/>
      <c r="N237" s="1834"/>
      <c r="O237" s="1739"/>
      <c r="Z237" s="1739"/>
    </row>
    <row r="238" spans="1:26" x14ac:dyDescent="0.5">
      <c r="A238" s="1739"/>
      <c r="N238" s="1834"/>
      <c r="O238" s="1739"/>
      <c r="Z238" s="1739"/>
    </row>
    <row r="239" spans="1:26" x14ac:dyDescent="0.5">
      <c r="A239" s="1739"/>
      <c r="N239" s="1834"/>
      <c r="O239" s="1739"/>
      <c r="Z239" s="1739"/>
    </row>
    <row r="240" spans="1:26" x14ac:dyDescent="0.5">
      <c r="A240" s="1739"/>
      <c r="N240" s="1834"/>
      <c r="O240" s="1739"/>
      <c r="Z240" s="1739"/>
    </row>
    <row r="241" spans="1:26" x14ac:dyDescent="0.5">
      <c r="A241" s="1739"/>
      <c r="N241" s="1834"/>
      <c r="O241" s="1739"/>
      <c r="Z241" s="1739"/>
    </row>
    <row r="242" spans="1:26" x14ac:dyDescent="0.5">
      <c r="A242" s="1739"/>
      <c r="N242" s="1834"/>
      <c r="O242" s="1739"/>
      <c r="Z242" s="1739"/>
    </row>
    <row r="243" spans="1:26" x14ac:dyDescent="0.5">
      <c r="A243" s="1739"/>
      <c r="N243" s="1834"/>
      <c r="O243" s="1739"/>
      <c r="Z243" s="1739"/>
    </row>
    <row r="244" spans="1:26" x14ac:dyDescent="0.5">
      <c r="A244" s="1739"/>
      <c r="N244" s="1834"/>
      <c r="O244" s="1739"/>
      <c r="Z244" s="1739"/>
    </row>
    <row r="245" spans="1:26" x14ac:dyDescent="0.5">
      <c r="A245" s="1739"/>
      <c r="N245" s="1834"/>
      <c r="O245" s="1739"/>
      <c r="Z245" s="1739"/>
    </row>
    <row r="246" spans="1:26" x14ac:dyDescent="0.5">
      <c r="A246" s="1739"/>
      <c r="N246" s="1834"/>
      <c r="O246" s="1739"/>
      <c r="Z246" s="1739"/>
    </row>
    <row r="247" spans="1:26" x14ac:dyDescent="0.5">
      <c r="A247" s="1739"/>
      <c r="N247" s="1834"/>
      <c r="O247" s="1739"/>
      <c r="Z247" s="1739"/>
    </row>
    <row r="248" spans="1:26" x14ac:dyDescent="0.5">
      <c r="A248" s="1739"/>
      <c r="N248" s="1834"/>
      <c r="O248" s="1739"/>
      <c r="Z248" s="1739"/>
    </row>
    <row r="249" spans="1:26" x14ac:dyDescent="0.5">
      <c r="A249" s="1739"/>
      <c r="N249" s="1834"/>
      <c r="O249" s="1739"/>
      <c r="Z249" s="1739"/>
    </row>
    <row r="250" spans="1:26" x14ac:dyDescent="0.5">
      <c r="A250" s="1739"/>
      <c r="N250" s="1834"/>
      <c r="O250" s="1739"/>
      <c r="Z250" s="1739"/>
    </row>
    <row r="251" spans="1:26" x14ac:dyDescent="0.5">
      <c r="A251" s="1739"/>
      <c r="N251" s="1834"/>
      <c r="O251" s="1739"/>
      <c r="Z251" s="1739"/>
    </row>
    <row r="252" spans="1:26" x14ac:dyDescent="0.5">
      <c r="A252" s="1739"/>
      <c r="N252" s="1834"/>
      <c r="O252" s="1739"/>
      <c r="Z252" s="1739"/>
    </row>
    <row r="253" spans="1:26" x14ac:dyDescent="0.5">
      <c r="A253" s="1739"/>
      <c r="N253" s="1834"/>
      <c r="O253" s="1739"/>
      <c r="Z253" s="1739"/>
    </row>
    <row r="254" spans="1:26" x14ac:dyDescent="0.5">
      <c r="A254" s="1739"/>
      <c r="N254" s="1834"/>
      <c r="O254" s="1739"/>
      <c r="Z254" s="1739"/>
    </row>
    <row r="255" spans="1:26" x14ac:dyDescent="0.5">
      <c r="A255" s="1739"/>
      <c r="N255" s="1834"/>
      <c r="O255" s="1739"/>
      <c r="Z255" s="1739"/>
    </row>
    <row r="256" spans="1:26" x14ac:dyDescent="0.5">
      <c r="A256" s="1739"/>
      <c r="N256" s="1834"/>
      <c r="O256" s="1739"/>
      <c r="Z256" s="1739"/>
    </row>
    <row r="257" spans="1:26" x14ac:dyDescent="0.5">
      <c r="A257" s="1739"/>
      <c r="N257" s="1834"/>
      <c r="O257" s="1739"/>
      <c r="Z257" s="1739"/>
    </row>
    <row r="258" spans="1:26" x14ac:dyDescent="0.5">
      <c r="A258" s="1739"/>
      <c r="N258" s="1834"/>
      <c r="O258" s="1739"/>
      <c r="Z258" s="1739"/>
    </row>
    <row r="259" spans="1:26" x14ac:dyDescent="0.5">
      <c r="A259" s="1739"/>
      <c r="N259" s="1834"/>
      <c r="O259" s="1739"/>
      <c r="Z259" s="1739"/>
    </row>
    <row r="260" spans="1:26" x14ac:dyDescent="0.5">
      <c r="A260" s="1739"/>
      <c r="N260" s="1834"/>
      <c r="O260" s="1739"/>
      <c r="Z260" s="1739"/>
    </row>
    <row r="261" spans="1:26" x14ac:dyDescent="0.5">
      <c r="A261" s="1739"/>
      <c r="N261" s="1834"/>
      <c r="O261" s="1739"/>
      <c r="Z261" s="1739"/>
    </row>
    <row r="262" spans="1:26" x14ac:dyDescent="0.5">
      <c r="A262" s="1739"/>
      <c r="N262" s="1834"/>
      <c r="O262" s="1739"/>
      <c r="Z262" s="1739"/>
    </row>
    <row r="263" spans="1:26" x14ac:dyDescent="0.5">
      <c r="A263" s="1739"/>
      <c r="N263" s="1834"/>
      <c r="O263" s="1739"/>
      <c r="Z263" s="1739"/>
    </row>
    <row r="264" spans="1:26" x14ac:dyDescent="0.5">
      <c r="A264" s="1739"/>
      <c r="N264" s="1834"/>
      <c r="O264" s="1739"/>
      <c r="Z264" s="1739"/>
    </row>
    <row r="265" spans="1:26" x14ac:dyDescent="0.5">
      <c r="A265" s="1739"/>
      <c r="N265" s="1834"/>
      <c r="O265" s="1739"/>
      <c r="Z265" s="1739"/>
    </row>
    <row r="266" spans="1:26" x14ac:dyDescent="0.5">
      <c r="A266" s="1739"/>
      <c r="N266" s="1834"/>
      <c r="O266" s="1739"/>
      <c r="Z266" s="1739"/>
    </row>
    <row r="267" spans="1:26" x14ac:dyDescent="0.5">
      <c r="A267" s="1739"/>
      <c r="N267" s="1834"/>
      <c r="O267" s="1739"/>
      <c r="Z267" s="1739"/>
    </row>
    <row r="268" spans="1:26" x14ac:dyDescent="0.5">
      <c r="A268" s="1739"/>
      <c r="N268" s="1834"/>
      <c r="O268" s="1739"/>
      <c r="Z268" s="1739"/>
    </row>
    <row r="269" spans="1:26" x14ac:dyDescent="0.5">
      <c r="A269" s="1739"/>
      <c r="N269" s="1834"/>
      <c r="O269" s="1739"/>
      <c r="Z269" s="1739"/>
    </row>
    <row r="270" spans="1:26" x14ac:dyDescent="0.5">
      <c r="A270" s="1739"/>
      <c r="N270" s="1834"/>
      <c r="O270" s="1739"/>
      <c r="Z270" s="1739"/>
    </row>
    <row r="271" spans="1:26" x14ac:dyDescent="0.5">
      <c r="A271" s="1739"/>
      <c r="N271" s="1834"/>
      <c r="O271" s="1739"/>
      <c r="Z271" s="1739"/>
    </row>
    <row r="272" spans="1:26" x14ac:dyDescent="0.5">
      <c r="A272" s="1739"/>
      <c r="N272" s="1834"/>
      <c r="O272" s="1739"/>
      <c r="Z272" s="1739"/>
    </row>
    <row r="273" spans="1:26" x14ac:dyDescent="0.5">
      <c r="A273" s="1739"/>
      <c r="N273" s="1834"/>
      <c r="O273" s="1739"/>
      <c r="Z273" s="1739"/>
    </row>
    <row r="274" spans="1:26" x14ac:dyDescent="0.5">
      <c r="A274" s="1739"/>
      <c r="N274" s="1834"/>
      <c r="O274" s="1739"/>
      <c r="Z274" s="1739"/>
    </row>
    <row r="275" spans="1:26" x14ac:dyDescent="0.5">
      <c r="A275" s="1739"/>
      <c r="N275" s="1834"/>
      <c r="O275" s="1739"/>
      <c r="Z275" s="1739"/>
    </row>
    <row r="276" spans="1:26" x14ac:dyDescent="0.5">
      <c r="A276" s="1739"/>
      <c r="N276" s="1834"/>
      <c r="O276" s="1739"/>
      <c r="Z276" s="1739"/>
    </row>
    <row r="277" spans="1:26" x14ac:dyDescent="0.5">
      <c r="A277" s="1739"/>
      <c r="N277" s="1834"/>
      <c r="O277" s="1739"/>
      <c r="Z277" s="1739"/>
    </row>
    <row r="278" spans="1:26" x14ac:dyDescent="0.5">
      <c r="A278" s="1739"/>
      <c r="N278" s="1834"/>
      <c r="O278" s="1739"/>
      <c r="Z278" s="1739"/>
    </row>
    <row r="279" spans="1:26" x14ac:dyDescent="0.5">
      <c r="A279" s="1739"/>
      <c r="N279" s="1834"/>
      <c r="O279" s="1739"/>
      <c r="Z279" s="1739"/>
    </row>
    <row r="280" spans="1:26" x14ac:dyDescent="0.5">
      <c r="A280" s="1739"/>
      <c r="N280" s="1834"/>
      <c r="O280" s="1739"/>
      <c r="Z280" s="1739"/>
    </row>
    <row r="281" spans="1:26" x14ac:dyDescent="0.5">
      <c r="A281" s="1739"/>
      <c r="N281" s="1834"/>
      <c r="O281" s="1739"/>
      <c r="Z281" s="1739"/>
    </row>
    <row r="282" spans="1:26" x14ac:dyDescent="0.5">
      <c r="A282" s="1739"/>
      <c r="N282" s="1834"/>
      <c r="O282" s="1739"/>
      <c r="Z282" s="1739"/>
    </row>
    <row r="283" spans="1:26" x14ac:dyDescent="0.5">
      <c r="A283" s="1739"/>
      <c r="N283" s="1834"/>
      <c r="O283" s="1739"/>
      <c r="Z283" s="1739"/>
    </row>
    <row r="284" spans="1:26" x14ac:dyDescent="0.5">
      <c r="A284" s="1739"/>
      <c r="N284" s="1834"/>
      <c r="O284" s="1739"/>
      <c r="Z284" s="1739"/>
    </row>
    <row r="285" spans="1:26" x14ac:dyDescent="0.5">
      <c r="A285" s="1739"/>
      <c r="N285" s="1834"/>
      <c r="O285" s="1739"/>
      <c r="Z285" s="1739"/>
    </row>
    <row r="286" spans="1:26" x14ac:dyDescent="0.5">
      <c r="A286" s="1739"/>
      <c r="N286" s="1834"/>
      <c r="O286" s="1739"/>
      <c r="Z286" s="1739"/>
    </row>
    <row r="287" spans="1:26" x14ac:dyDescent="0.5">
      <c r="A287" s="1739"/>
      <c r="N287" s="1834"/>
      <c r="O287" s="1739"/>
      <c r="Z287" s="1739"/>
    </row>
    <row r="288" spans="1:26" x14ac:dyDescent="0.5">
      <c r="A288" s="1739"/>
      <c r="N288" s="1834"/>
      <c r="O288" s="1739"/>
      <c r="Z288" s="1739"/>
    </row>
    <row r="289" spans="1:26" x14ac:dyDescent="0.5">
      <c r="A289" s="1739"/>
      <c r="N289" s="1834"/>
      <c r="O289" s="1739"/>
      <c r="Z289" s="1739"/>
    </row>
    <row r="290" spans="1:26" x14ac:dyDescent="0.5">
      <c r="A290" s="1739"/>
      <c r="N290" s="1834"/>
      <c r="O290" s="1739"/>
      <c r="Z290" s="1739"/>
    </row>
    <row r="291" spans="1:26" x14ac:dyDescent="0.5">
      <c r="A291" s="1739"/>
      <c r="N291" s="1834"/>
      <c r="O291" s="1739"/>
      <c r="Z291" s="1739"/>
    </row>
    <row r="292" spans="1:26" x14ac:dyDescent="0.5">
      <c r="A292" s="1739"/>
      <c r="N292" s="1834"/>
      <c r="O292" s="1739"/>
      <c r="Z292" s="1739"/>
    </row>
    <row r="293" spans="1:26" x14ac:dyDescent="0.5">
      <c r="A293" s="1739"/>
      <c r="N293" s="1834"/>
      <c r="O293" s="1739"/>
      <c r="Z293" s="1739"/>
    </row>
    <row r="294" spans="1:26" x14ac:dyDescent="0.5">
      <c r="A294" s="1739"/>
      <c r="N294" s="1834"/>
      <c r="O294" s="1739"/>
      <c r="Z294" s="1739"/>
    </row>
    <row r="295" spans="1:26" x14ac:dyDescent="0.5">
      <c r="A295" s="1739"/>
      <c r="N295" s="1834"/>
      <c r="O295" s="1739"/>
      <c r="Z295" s="1739"/>
    </row>
    <row r="296" spans="1:26" x14ac:dyDescent="0.5">
      <c r="A296" s="1739"/>
      <c r="N296" s="1834"/>
      <c r="O296" s="1739"/>
      <c r="Z296" s="1739"/>
    </row>
    <row r="297" spans="1:26" x14ac:dyDescent="0.5">
      <c r="A297" s="1739"/>
      <c r="N297" s="1834"/>
      <c r="O297" s="1739"/>
      <c r="Z297" s="1739"/>
    </row>
    <row r="298" spans="1:26" x14ac:dyDescent="0.5">
      <c r="A298" s="1739"/>
      <c r="N298" s="1834"/>
      <c r="O298" s="1739"/>
      <c r="Z298" s="1739"/>
    </row>
    <row r="299" spans="1:26" x14ac:dyDescent="0.5">
      <c r="A299" s="1739"/>
      <c r="N299" s="1834"/>
      <c r="O299" s="1739"/>
      <c r="Z299" s="1739"/>
    </row>
    <row r="300" spans="1:26" x14ac:dyDescent="0.5">
      <c r="A300" s="1739"/>
      <c r="N300" s="1834"/>
      <c r="O300" s="1739"/>
      <c r="Z300" s="1739"/>
    </row>
    <row r="301" spans="1:26" x14ac:dyDescent="0.5">
      <c r="A301" s="1739"/>
      <c r="N301" s="1834"/>
      <c r="O301" s="1739"/>
      <c r="Z301" s="1739"/>
    </row>
    <row r="302" spans="1:26" x14ac:dyDescent="0.5">
      <c r="A302" s="1739"/>
      <c r="N302" s="1834"/>
      <c r="O302" s="1739"/>
      <c r="Z302" s="1739"/>
    </row>
    <row r="303" spans="1:26" x14ac:dyDescent="0.5">
      <c r="A303" s="1739"/>
      <c r="N303" s="1834"/>
      <c r="O303" s="1739"/>
      <c r="Z303" s="1739"/>
    </row>
    <row r="304" spans="1:26" x14ac:dyDescent="0.5">
      <c r="A304" s="1739"/>
      <c r="N304" s="1834"/>
      <c r="O304" s="1739"/>
      <c r="Z304" s="1739"/>
    </row>
    <row r="305" spans="1:26" x14ac:dyDescent="0.5">
      <c r="A305" s="1739"/>
      <c r="N305" s="1834"/>
      <c r="O305" s="1739"/>
      <c r="Z305" s="1739"/>
    </row>
    <row r="306" spans="1:26" x14ac:dyDescent="0.5">
      <c r="A306" s="1739"/>
      <c r="N306" s="1834"/>
      <c r="O306" s="1739"/>
      <c r="Z306" s="1739"/>
    </row>
    <row r="307" spans="1:26" x14ac:dyDescent="0.5">
      <c r="A307" s="1739"/>
      <c r="N307" s="1834"/>
      <c r="O307" s="1739"/>
      <c r="Z307" s="1739"/>
    </row>
    <row r="308" spans="1:26" x14ac:dyDescent="0.5">
      <c r="A308" s="1739"/>
      <c r="N308" s="1834"/>
      <c r="O308" s="1739"/>
      <c r="Z308" s="1739"/>
    </row>
    <row r="309" spans="1:26" x14ac:dyDescent="0.5">
      <c r="A309" s="1739"/>
      <c r="N309" s="1834"/>
      <c r="O309" s="1739"/>
      <c r="Z309" s="1739"/>
    </row>
    <row r="310" spans="1:26" x14ac:dyDescent="0.5">
      <c r="A310" s="1739"/>
      <c r="N310" s="1834"/>
      <c r="O310" s="1739"/>
      <c r="Z310" s="1739"/>
    </row>
    <row r="311" spans="1:26" x14ac:dyDescent="0.5">
      <c r="A311" s="1739"/>
      <c r="N311" s="1834"/>
      <c r="O311" s="1739"/>
      <c r="Z311" s="1739"/>
    </row>
    <row r="312" spans="1:26" x14ac:dyDescent="0.5">
      <c r="A312" s="1739"/>
      <c r="N312" s="1834"/>
      <c r="O312" s="1739"/>
      <c r="Z312" s="1739"/>
    </row>
    <row r="313" spans="1:26" x14ac:dyDescent="0.5">
      <c r="A313" s="1739"/>
      <c r="N313" s="1834"/>
      <c r="O313" s="1739"/>
      <c r="Z313" s="1739"/>
    </row>
    <row r="314" spans="1:26" x14ac:dyDescent="0.5">
      <c r="A314" s="1739"/>
      <c r="N314" s="1834"/>
      <c r="O314" s="1739"/>
      <c r="Z314" s="1739"/>
    </row>
    <row r="315" spans="1:26" x14ac:dyDescent="0.5">
      <c r="A315" s="1739"/>
      <c r="N315" s="1834"/>
      <c r="O315" s="1739"/>
      <c r="Z315" s="1739"/>
    </row>
    <row r="316" spans="1:26" x14ac:dyDescent="0.5">
      <c r="A316" s="1739"/>
      <c r="N316" s="1834"/>
      <c r="O316" s="1739"/>
      <c r="Z316" s="1739"/>
    </row>
    <row r="317" spans="1:26" x14ac:dyDescent="0.5">
      <c r="A317" s="1739"/>
      <c r="N317" s="1834"/>
      <c r="O317" s="1739"/>
      <c r="Z317" s="1739"/>
    </row>
    <row r="318" spans="1:26" x14ac:dyDescent="0.5">
      <c r="A318" s="1739"/>
      <c r="N318" s="1834"/>
      <c r="O318" s="1739"/>
      <c r="Z318" s="1739"/>
    </row>
    <row r="319" spans="1:26" x14ac:dyDescent="0.5">
      <c r="A319" s="1739"/>
      <c r="N319" s="1834"/>
      <c r="O319" s="1739"/>
      <c r="Z319" s="1739"/>
    </row>
    <row r="320" spans="1:26" x14ac:dyDescent="0.5">
      <c r="A320" s="1739"/>
      <c r="N320" s="1834"/>
      <c r="O320" s="1739"/>
      <c r="Z320" s="1739"/>
    </row>
    <row r="321" spans="1:26" x14ac:dyDescent="0.5">
      <c r="A321" s="1739"/>
      <c r="N321" s="1834"/>
      <c r="O321" s="1739"/>
      <c r="Z321" s="1739"/>
    </row>
    <row r="322" spans="1:26" x14ac:dyDescent="0.5">
      <c r="A322" s="1739"/>
      <c r="N322" s="1834"/>
      <c r="O322" s="1739"/>
      <c r="Z322" s="1739"/>
    </row>
    <row r="323" spans="1:26" x14ac:dyDescent="0.5">
      <c r="A323" s="1739"/>
      <c r="N323" s="1834"/>
      <c r="O323" s="1739"/>
      <c r="Z323" s="1739"/>
    </row>
    <row r="324" spans="1:26" x14ac:dyDescent="0.5">
      <c r="A324" s="1739"/>
      <c r="N324" s="1834"/>
      <c r="O324" s="1739"/>
      <c r="Z324" s="1739"/>
    </row>
    <row r="325" spans="1:26" x14ac:dyDescent="0.5">
      <c r="A325" s="1739"/>
      <c r="N325" s="1834"/>
      <c r="O325" s="1739"/>
      <c r="Z325" s="1739"/>
    </row>
    <row r="326" spans="1:26" x14ac:dyDescent="0.5">
      <c r="A326" s="1739"/>
      <c r="N326" s="1834"/>
      <c r="O326" s="1739"/>
      <c r="Z326" s="1739"/>
    </row>
    <row r="327" spans="1:26" x14ac:dyDescent="0.5">
      <c r="A327" s="1739"/>
      <c r="N327" s="1834"/>
      <c r="O327" s="1739"/>
      <c r="Z327" s="1739"/>
    </row>
    <row r="328" spans="1:26" x14ac:dyDescent="0.5">
      <c r="A328" s="1739"/>
      <c r="N328" s="1834"/>
      <c r="O328" s="1739"/>
      <c r="Z328" s="1739"/>
    </row>
    <row r="329" spans="1:26" x14ac:dyDescent="0.5">
      <c r="A329" s="1739"/>
      <c r="N329" s="1834"/>
      <c r="O329" s="1739"/>
      <c r="Z329" s="1739"/>
    </row>
    <row r="330" spans="1:26" x14ac:dyDescent="0.5">
      <c r="A330" s="1739"/>
      <c r="N330" s="1834"/>
      <c r="O330" s="1739"/>
      <c r="Z330" s="1739"/>
    </row>
    <row r="331" spans="1:26" x14ac:dyDescent="0.5">
      <c r="A331" s="1739"/>
      <c r="N331" s="1834"/>
      <c r="O331" s="1739"/>
      <c r="Z331" s="1739"/>
    </row>
    <row r="332" spans="1:26" x14ac:dyDescent="0.5">
      <c r="A332" s="1739"/>
      <c r="N332" s="1834"/>
      <c r="O332" s="1739"/>
      <c r="Z332" s="1739"/>
    </row>
    <row r="333" spans="1:26" x14ac:dyDescent="0.5">
      <c r="A333" s="1739"/>
      <c r="N333" s="1834"/>
      <c r="O333" s="1739"/>
      <c r="Z333" s="1739"/>
    </row>
    <row r="334" spans="1:26" x14ac:dyDescent="0.5">
      <c r="A334" s="1739"/>
      <c r="N334" s="1834"/>
      <c r="O334" s="1739"/>
      <c r="Z334" s="1739"/>
    </row>
    <row r="335" spans="1:26" x14ac:dyDescent="0.5">
      <c r="A335" s="1739"/>
      <c r="N335" s="1834"/>
      <c r="O335" s="1739"/>
      <c r="Z335" s="1739"/>
    </row>
    <row r="336" spans="1:26" x14ac:dyDescent="0.5">
      <c r="A336" s="1739"/>
      <c r="N336" s="1834"/>
      <c r="O336" s="1739"/>
      <c r="Z336" s="1739"/>
    </row>
    <row r="337" spans="1:26" x14ac:dyDescent="0.5">
      <c r="A337" s="1739"/>
      <c r="N337" s="1834"/>
      <c r="O337" s="1739"/>
      <c r="Z337" s="1739"/>
    </row>
    <row r="338" spans="1:26" x14ac:dyDescent="0.5">
      <c r="A338" s="1739"/>
      <c r="N338" s="1834"/>
      <c r="O338" s="1739"/>
      <c r="Z338" s="1739"/>
    </row>
    <row r="339" spans="1:26" x14ac:dyDescent="0.5">
      <c r="A339" s="1739"/>
      <c r="N339" s="1834"/>
      <c r="O339" s="1739"/>
      <c r="Z339" s="1739"/>
    </row>
    <row r="340" spans="1:26" x14ac:dyDescent="0.5">
      <c r="A340" s="1739"/>
      <c r="N340" s="1834"/>
      <c r="O340" s="1739"/>
      <c r="Z340" s="1739"/>
    </row>
    <row r="341" spans="1:26" x14ac:dyDescent="0.5">
      <c r="A341" s="1739"/>
      <c r="N341" s="1834"/>
      <c r="O341" s="1739"/>
      <c r="Z341" s="1739"/>
    </row>
    <row r="342" spans="1:26" x14ac:dyDescent="0.5">
      <c r="A342" s="1739"/>
      <c r="N342" s="1834"/>
      <c r="O342" s="1739"/>
      <c r="Z342" s="1739"/>
    </row>
    <row r="343" spans="1:26" x14ac:dyDescent="0.5">
      <c r="A343" s="1739"/>
      <c r="N343" s="1834"/>
      <c r="O343" s="1739"/>
      <c r="Z343" s="1739"/>
    </row>
    <row r="344" spans="1:26" x14ac:dyDescent="0.5">
      <c r="A344" s="1739"/>
      <c r="N344" s="1834"/>
      <c r="O344" s="1739"/>
      <c r="Z344" s="1739"/>
    </row>
    <row r="345" spans="1:26" x14ac:dyDescent="0.5">
      <c r="A345" s="1739"/>
      <c r="N345" s="1834"/>
      <c r="O345" s="1739"/>
      <c r="Z345" s="1739"/>
    </row>
    <row r="346" spans="1:26" x14ac:dyDescent="0.5">
      <c r="A346" s="1739"/>
      <c r="N346" s="1834"/>
      <c r="O346" s="1739"/>
      <c r="Z346" s="1739"/>
    </row>
    <row r="347" spans="1:26" x14ac:dyDescent="0.5">
      <c r="A347" s="1739"/>
      <c r="N347" s="1834"/>
      <c r="O347" s="1739"/>
      <c r="Z347" s="1739"/>
    </row>
    <row r="348" spans="1:26" x14ac:dyDescent="0.5">
      <c r="A348" s="1739"/>
      <c r="N348" s="1834"/>
      <c r="O348" s="1739"/>
      <c r="Z348" s="1739"/>
    </row>
    <row r="349" spans="1:26" x14ac:dyDescent="0.5">
      <c r="A349" s="1739"/>
      <c r="N349" s="1834"/>
      <c r="O349" s="1739"/>
      <c r="Z349" s="1739"/>
    </row>
    <row r="350" spans="1:26" x14ac:dyDescent="0.5">
      <c r="A350" s="1739"/>
      <c r="N350" s="1834"/>
      <c r="O350" s="1739"/>
      <c r="Z350" s="1739"/>
    </row>
    <row r="351" spans="1:26" x14ac:dyDescent="0.5">
      <c r="A351" s="1739"/>
      <c r="N351" s="1834"/>
      <c r="O351" s="1739"/>
      <c r="Z351" s="1739"/>
    </row>
    <row r="352" spans="1:26" x14ac:dyDescent="0.5">
      <c r="A352" s="1739"/>
      <c r="N352" s="1834"/>
      <c r="O352" s="1739"/>
      <c r="Z352" s="1739"/>
    </row>
    <row r="353" spans="1:26" x14ac:dyDescent="0.5">
      <c r="A353" s="1739"/>
      <c r="N353" s="1834"/>
      <c r="O353" s="1739"/>
      <c r="Z353" s="1739"/>
    </row>
    <row r="354" spans="1:26" x14ac:dyDescent="0.5">
      <c r="A354" s="1739"/>
      <c r="N354" s="1834"/>
      <c r="O354" s="1739"/>
      <c r="Z354" s="1739"/>
    </row>
    <row r="355" spans="1:26" x14ac:dyDescent="0.5">
      <c r="A355" s="1739"/>
      <c r="N355" s="1834"/>
      <c r="O355" s="1739"/>
      <c r="Z355" s="1739"/>
    </row>
    <row r="356" spans="1:26" x14ac:dyDescent="0.5">
      <c r="A356" s="1739"/>
      <c r="N356" s="1834"/>
      <c r="O356" s="1739"/>
      <c r="Z356" s="1739"/>
    </row>
    <row r="357" spans="1:26" x14ac:dyDescent="0.5">
      <c r="A357" s="1739"/>
      <c r="N357" s="1834"/>
      <c r="O357" s="1739"/>
      <c r="Z357" s="1739"/>
    </row>
    <row r="358" spans="1:26" x14ac:dyDescent="0.5">
      <c r="A358" s="1739"/>
      <c r="N358" s="1834"/>
      <c r="O358" s="1739"/>
      <c r="Z358" s="1739"/>
    </row>
    <row r="359" spans="1:26" x14ac:dyDescent="0.5">
      <c r="A359" s="1739"/>
      <c r="N359" s="1834"/>
      <c r="O359" s="1739"/>
      <c r="Z359" s="1739"/>
    </row>
    <row r="360" spans="1:26" x14ac:dyDescent="0.5">
      <c r="A360" s="1739"/>
      <c r="N360" s="1834"/>
      <c r="O360" s="1739"/>
      <c r="Z360" s="1739"/>
    </row>
    <row r="361" spans="1:26" x14ac:dyDescent="0.5">
      <c r="A361" s="1739"/>
      <c r="N361" s="1834"/>
      <c r="O361" s="1739"/>
      <c r="Z361" s="1739"/>
    </row>
    <row r="362" spans="1:26" x14ac:dyDescent="0.5">
      <c r="A362" s="1739"/>
      <c r="N362" s="1834"/>
      <c r="O362" s="1739"/>
      <c r="Z362" s="1739"/>
    </row>
    <row r="363" spans="1:26" x14ac:dyDescent="0.5">
      <c r="A363" s="1739"/>
      <c r="N363" s="1834"/>
      <c r="O363" s="1739"/>
      <c r="Z363" s="1739"/>
    </row>
    <row r="364" spans="1:26" x14ac:dyDescent="0.5">
      <c r="A364" s="1739"/>
      <c r="N364" s="1834"/>
      <c r="O364" s="1739"/>
      <c r="Z364" s="1739"/>
    </row>
    <row r="365" spans="1:26" x14ac:dyDescent="0.5">
      <c r="A365" s="1739"/>
      <c r="N365" s="1834"/>
      <c r="O365" s="1739"/>
      <c r="Z365" s="1739"/>
    </row>
    <row r="366" spans="1:26" x14ac:dyDescent="0.5">
      <c r="A366" s="1739"/>
      <c r="N366" s="1834"/>
      <c r="O366" s="1739"/>
      <c r="Z366" s="1739"/>
    </row>
    <row r="367" spans="1:26" x14ac:dyDescent="0.5">
      <c r="A367" s="1739"/>
      <c r="N367" s="1834"/>
      <c r="O367" s="1739"/>
      <c r="Z367" s="1739"/>
    </row>
    <row r="368" spans="1:26" x14ac:dyDescent="0.5">
      <c r="A368" s="1739"/>
      <c r="N368" s="1834"/>
      <c r="O368" s="1739"/>
      <c r="Z368" s="1739"/>
    </row>
    <row r="369" spans="1:26" x14ac:dyDescent="0.5">
      <c r="A369" s="1739"/>
      <c r="N369" s="1834"/>
      <c r="O369" s="1739"/>
      <c r="Z369" s="1739"/>
    </row>
    <row r="370" spans="1:26" x14ac:dyDescent="0.5">
      <c r="A370" s="1739"/>
      <c r="N370" s="1834"/>
      <c r="O370" s="1739"/>
      <c r="Z370" s="1739"/>
    </row>
    <row r="371" spans="1:26" x14ac:dyDescent="0.5">
      <c r="A371" s="1739"/>
      <c r="N371" s="1834"/>
      <c r="O371" s="1739"/>
      <c r="Z371" s="1739"/>
    </row>
    <row r="372" spans="1:26" x14ac:dyDescent="0.5">
      <c r="A372" s="1739"/>
      <c r="N372" s="1834"/>
      <c r="O372" s="1739"/>
      <c r="Z372" s="1739"/>
    </row>
    <row r="373" spans="1:26" x14ac:dyDescent="0.5">
      <c r="A373" s="1739"/>
      <c r="N373" s="1834"/>
      <c r="O373" s="1739"/>
      <c r="Z373" s="1739"/>
    </row>
    <row r="374" spans="1:26" x14ac:dyDescent="0.5">
      <c r="A374" s="1739"/>
      <c r="N374" s="1834"/>
      <c r="O374" s="1739"/>
      <c r="Z374" s="1739"/>
    </row>
    <row r="375" spans="1:26" x14ac:dyDescent="0.5">
      <c r="A375" s="1739"/>
      <c r="N375" s="1834"/>
      <c r="O375" s="1739"/>
      <c r="Z375" s="1739"/>
    </row>
    <row r="376" spans="1:26" x14ac:dyDescent="0.5">
      <c r="A376" s="1739"/>
      <c r="N376" s="1834"/>
      <c r="O376" s="1739"/>
      <c r="Z376" s="1739"/>
    </row>
    <row r="377" spans="1:26" x14ac:dyDescent="0.5">
      <c r="A377" s="1739"/>
      <c r="N377" s="1834"/>
      <c r="O377" s="1739"/>
      <c r="Z377" s="1739"/>
    </row>
    <row r="378" spans="1:26" x14ac:dyDescent="0.5">
      <c r="A378" s="1739"/>
      <c r="N378" s="1834"/>
      <c r="O378" s="1739"/>
      <c r="Z378" s="1739"/>
    </row>
    <row r="379" spans="1:26" x14ac:dyDescent="0.5">
      <c r="A379" s="1739"/>
      <c r="N379" s="1834"/>
      <c r="O379" s="1739"/>
      <c r="Z379" s="1739"/>
    </row>
    <row r="380" spans="1:26" x14ac:dyDescent="0.5">
      <c r="A380" s="1739"/>
      <c r="N380" s="1834"/>
      <c r="O380" s="1739"/>
      <c r="Z380" s="1739"/>
    </row>
    <row r="381" spans="1:26" x14ac:dyDescent="0.5">
      <c r="A381" s="1739"/>
      <c r="N381" s="1834"/>
      <c r="O381" s="1739"/>
      <c r="Z381" s="1739"/>
    </row>
    <row r="382" spans="1:26" x14ac:dyDescent="0.5">
      <c r="A382" s="1739"/>
      <c r="N382" s="1834"/>
      <c r="O382" s="1739"/>
      <c r="Z382" s="1739"/>
    </row>
    <row r="383" spans="1:26" x14ac:dyDescent="0.5">
      <c r="A383" s="1739"/>
      <c r="N383" s="1834"/>
      <c r="O383" s="1739"/>
      <c r="Z383" s="1739"/>
    </row>
    <row r="384" spans="1:26" x14ac:dyDescent="0.5">
      <c r="A384" s="1739"/>
      <c r="N384" s="1834"/>
      <c r="O384" s="1739"/>
      <c r="Z384" s="1739"/>
    </row>
    <row r="385" spans="1:26" x14ac:dyDescent="0.5">
      <c r="A385" s="1739"/>
      <c r="N385" s="1834"/>
      <c r="O385" s="1739"/>
      <c r="Z385" s="1739"/>
    </row>
    <row r="386" spans="1:26" x14ac:dyDescent="0.5">
      <c r="A386" s="1739"/>
      <c r="N386" s="1834"/>
      <c r="O386" s="1739"/>
      <c r="Z386" s="1739"/>
    </row>
    <row r="387" spans="1:26" x14ac:dyDescent="0.5">
      <c r="A387" s="1739"/>
      <c r="N387" s="1834"/>
      <c r="O387" s="1739"/>
      <c r="Z387" s="1739"/>
    </row>
    <row r="388" spans="1:26" x14ac:dyDescent="0.5">
      <c r="A388" s="1739"/>
      <c r="N388" s="1834"/>
      <c r="O388" s="1739"/>
      <c r="Z388" s="1739"/>
    </row>
    <row r="389" spans="1:26" x14ac:dyDescent="0.5">
      <c r="A389" s="1739"/>
      <c r="N389" s="1834"/>
      <c r="O389" s="1739"/>
      <c r="Z389" s="1739"/>
    </row>
    <row r="390" spans="1:26" x14ac:dyDescent="0.5">
      <c r="A390" s="1739"/>
      <c r="N390" s="1834"/>
      <c r="O390" s="1739"/>
      <c r="Z390" s="1739"/>
    </row>
    <row r="391" spans="1:26" x14ac:dyDescent="0.5">
      <c r="A391" s="1739"/>
      <c r="N391" s="1834"/>
      <c r="O391" s="1739"/>
      <c r="Z391" s="1739"/>
    </row>
    <row r="392" spans="1:26" x14ac:dyDescent="0.5">
      <c r="A392" s="1739"/>
      <c r="N392" s="1834"/>
      <c r="O392" s="1739"/>
      <c r="Z392" s="1739"/>
    </row>
    <row r="393" spans="1:26" x14ac:dyDescent="0.5">
      <c r="A393" s="1739"/>
      <c r="N393" s="1834"/>
      <c r="O393" s="1739"/>
      <c r="Z393" s="1739"/>
    </row>
    <row r="394" spans="1:26" x14ac:dyDescent="0.5">
      <c r="A394" s="1739"/>
      <c r="N394" s="1834"/>
      <c r="O394" s="1739"/>
      <c r="Z394" s="1739"/>
    </row>
    <row r="395" spans="1:26" x14ac:dyDescent="0.5">
      <c r="A395" s="1739"/>
      <c r="N395" s="1834"/>
      <c r="O395" s="1739"/>
      <c r="Z395" s="1739"/>
    </row>
    <row r="396" spans="1:26" x14ac:dyDescent="0.5">
      <c r="A396" s="1739"/>
      <c r="N396" s="1834"/>
      <c r="O396" s="1739"/>
      <c r="Z396" s="1739"/>
    </row>
    <row r="397" spans="1:26" x14ac:dyDescent="0.5">
      <c r="A397" s="1739"/>
      <c r="N397" s="1834"/>
      <c r="O397" s="1739"/>
      <c r="Z397" s="1739"/>
    </row>
    <row r="398" spans="1:26" x14ac:dyDescent="0.5">
      <c r="A398" s="1739"/>
      <c r="N398" s="1834"/>
      <c r="O398" s="1739"/>
      <c r="Z398" s="1739"/>
    </row>
    <row r="399" spans="1:26" x14ac:dyDescent="0.5">
      <c r="A399" s="1739"/>
      <c r="N399" s="1834"/>
      <c r="O399" s="1739"/>
      <c r="Z399" s="1739"/>
    </row>
    <row r="400" spans="1:26" x14ac:dyDescent="0.5">
      <c r="A400" s="1739"/>
      <c r="N400" s="1834"/>
      <c r="O400" s="1739"/>
      <c r="Z400" s="1739"/>
    </row>
    <row r="401" spans="1:26" x14ac:dyDescent="0.5">
      <c r="A401" s="1739"/>
      <c r="N401" s="1834"/>
      <c r="O401" s="1739"/>
      <c r="Z401" s="1739"/>
    </row>
    <row r="402" spans="1:26" x14ac:dyDescent="0.5">
      <c r="A402" s="1739"/>
      <c r="N402" s="1834"/>
      <c r="O402" s="1739"/>
      <c r="Z402" s="1739"/>
    </row>
    <row r="403" spans="1:26" x14ac:dyDescent="0.5">
      <c r="A403" s="1739"/>
      <c r="N403" s="1834"/>
      <c r="O403" s="1739"/>
      <c r="Z403" s="1739"/>
    </row>
    <row r="404" spans="1:26" x14ac:dyDescent="0.5">
      <c r="A404" s="1739"/>
      <c r="N404" s="1834"/>
      <c r="O404" s="1739"/>
      <c r="Z404" s="1739"/>
    </row>
    <row r="405" spans="1:26" x14ac:dyDescent="0.5">
      <c r="A405" s="1739"/>
      <c r="N405" s="1834"/>
      <c r="O405" s="1739"/>
      <c r="Z405" s="1739"/>
    </row>
    <row r="406" spans="1:26" x14ac:dyDescent="0.5">
      <c r="A406" s="1739"/>
      <c r="N406" s="1834"/>
      <c r="O406" s="1739"/>
      <c r="Z406" s="1739"/>
    </row>
    <row r="407" spans="1:26" x14ac:dyDescent="0.5">
      <c r="A407" s="1739"/>
      <c r="N407" s="1834"/>
      <c r="O407" s="1739"/>
      <c r="Z407" s="1739"/>
    </row>
    <row r="408" spans="1:26" x14ac:dyDescent="0.5">
      <c r="A408" s="1739"/>
      <c r="N408" s="1834"/>
      <c r="O408" s="1739"/>
      <c r="Z408" s="1739"/>
    </row>
    <row r="409" spans="1:26" x14ac:dyDescent="0.5">
      <c r="A409" s="1739"/>
      <c r="N409" s="1834"/>
      <c r="O409" s="1739"/>
      <c r="Z409" s="1739"/>
    </row>
    <row r="410" spans="1:26" x14ac:dyDescent="0.5">
      <c r="A410" s="1739"/>
      <c r="N410" s="1834"/>
      <c r="O410" s="1739"/>
      <c r="Z410" s="1739"/>
    </row>
    <row r="411" spans="1:26" x14ac:dyDescent="0.5">
      <c r="A411" s="1739"/>
      <c r="N411" s="1834"/>
      <c r="O411" s="1739"/>
      <c r="Z411" s="1739"/>
    </row>
    <row r="412" spans="1:26" x14ac:dyDescent="0.5">
      <c r="A412" s="1739"/>
      <c r="N412" s="1834"/>
      <c r="O412" s="1739"/>
      <c r="Z412" s="1739"/>
    </row>
    <row r="413" spans="1:26" x14ac:dyDescent="0.5">
      <c r="A413" s="1739"/>
      <c r="N413" s="1834"/>
      <c r="O413" s="1739"/>
      <c r="Z413" s="1739"/>
    </row>
    <row r="414" spans="1:26" x14ac:dyDescent="0.5">
      <c r="A414" s="1739"/>
      <c r="N414" s="1834"/>
      <c r="O414" s="1739"/>
      <c r="Z414" s="1739"/>
    </row>
    <row r="415" spans="1:26" x14ac:dyDescent="0.5">
      <c r="A415" s="1739"/>
      <c r="N415" s="1834"/>
      <c r="O415" s="1739"/>
      <c r="Z415" s="1739"/>
    </row>
    <row r="416" spans="1:26" x14ac:dyDescent="0.5">
      <c r="A416" s="1739"/>
      <c r="N416" s="1834"/>
      <c r="O416" s="1739"/>
      <c r="Z416" s="1739"/>
    </row>
    <row r="417" spans="1:26" x14ac:dyDescent="0.5">
      <c r="A417" s="1739"/>
      <c r="N417" s="1834"/>
      <c r="O417" s="1739"/>
      <c r="Z417" s="1739"/>
    </row>
    <row r="418" spans="1:26" x14ac:dyDescent="0.5">
      <c r="A418" s="1739"/>
      <c r="N418" s="1834"/>
      <c r="O418" s="1739"/>
      <c r="Z418" s="1739"/>
    </row>
    <row r="419" spans="1:26" x14ac:dyDescent="0.5">
      <c r="A419" s="1739"/>
      <c r="N419" s="1834"/>
      <c r="O419" s="1739"/>
      <c r="Z419" s="1739"/>
    </row>
    <row r="420" spans="1:26" x14ac:dyDescent="0.5">
      <c r="A420" s="1739"/>
      <c r="N420" s="1834"/>
      <c r="O420" s="1739"/>
      <c r="Z420" s="1739"/>
    </row>
    <row r="421" spans="1:26" x14ac:dyDescent="0.5">
      <c r="A421" s="1739"/>
      <c r="N421" s="1834"/>
      <c r="O421" s="1739"/>
      <c r="Z421" s="1739"/>
    </row>
    <row r="422" spans="1:26" x14ac:dyDescent="0.5">
      <c r="A422" s="1739"/>
      <c r="N422" s="1834"/>
      <c r="O422" s="1739"/>
      <c r="Z422" s="1739"/>
    </row>
    <row r="423" spans="1:26" x14ac:dyDescent="0.5">
      <c r="A423" s="1739"/>
      <c r="N423" s="1834"/>
      <c r="O423" s="1739"/>
      <c r="Z423" s="1739"/>
    </row>
    <row r="424" spans="1:26" x14ac:dyDescent="0.5">
      <c r="A424" s="1739"/>
      <c r="N424" s="1834"/>
      <c r="O424" s="1739"/>
      <c r="Z424" s="1739"/>
    </row>
    <row r="425" spans="1:26" x14ac:dyDescent="0.5">
      <c r="A425" s="1739"/>
      <c r="N425" s="1834"/>
      <c r="O425" s="1739"/>
      <c r="Z425" s="1739"/>
    </row>
    <row r="426" spans="1:26" x14ac:dyDescent="0.5">
      <c r="A426" s="1739"/>
      <c r="N426" s="1834"/>
      <c r="O426" s="1739"/>
      <c r="Z426" s="1739"/>
    </row>
    <row r="427" spans="1:26" x14ac:dyDescent="0.5">
      <c r="A427" s="1739"/>
      <c r="N427" s="1834"/>
      <c r="O427" s="1739"/>
      <c r="Z427" s="1739"/>
    </row>
    <row r="428" spans="1:26" x14ac:dyDescent="0.5">
      <c r="A428" s="1739"/>
      <c r="N428" s="1834"/>
      <c r="O428" s="1739"/>
      <c r="Z428" s="1739"/>
    </row>
    <row r="429" spans="1:26" x14ac:dyDescent="0.5">
      <c r="A429" s="1739"/>
      <c r="N429" s="1834"/>
      <c r="O429" s="1739"/>
      <c r="Z429" s="1739"/>
    </row>
    <row r="430" spans="1:26" x14ac:dyDescent="0.5">
      <c r="A430" s="1739"/>
      <c r="N430" s="1834"/>
      <c r="O430" s="1739"/>
      <c r="Z430" s="1739"/>
    </row>
    <row r="431" spans="1:26" x14ac:dyDescent="0.5">
      <c r="A431" s="1739"/>
      <c r="N431" s="1834"/>
      <c r="O431" s="1739"/>
      <c r="Z431" s="1739"/>
    </row>
    <row r="432" spans="1:26" x14ac:dyDescent="0.5">
      <c r="A432" s="1739"/>
      <c r="N432" s="1834"/>
      <c r="O432" s="1739"/>
      <c r="Z432" s="1739"/>
    </row>
    <row r="433" spans="1:26" x14ac:dyDescent="0.5">
      <c r="A433" s="1739"/>
      <c r="N433" s="1834"/>
      <c r="O433" s="1739"/>
      <c r="Z433" s="1739"/>
    </row>
    <row r="434" spans="1:26" x14ac:dyDescent="0.5">
      <c r="A434" s="1739"/>
      <c r="N434" s="1834"/>
      <c r="O434" s="1739"/>
      <c r="Z434" s="1739"/>
    </row>
    <row r="435" spans="1:26" x14ac:dyDescent="0.5">
      <c r="A435" s="1739"/>
      <c r="N435" s="1834"/>
      <c r="O435" s="1739"/>
      <c r="Z435" s="1739"/>
    </row>
    <row r="436" spans="1:26" x14ac:dyDescent="0.5">
      <c r="A436" s="1739"/>
      <c r="N436" s="1834"/>
      <c r="O436" s="1739"/>
      <c r="Z436" s="1739"/>
    </row>
    <row r="437" spans="1:26" x14ac:dyDescent="0.5">
      <c r="A437" s="1739"/>
      <c r="N437" s="1834"/>
      <c r="O437" s="1739"/>
      <c r="Z437" s="1739"/>
    </row>
    <row r="438" spans="1:26" x14ac:dyDescent="0.5">
      <c r="A438" s="1739"/>
      <c r="N438" s="1834"/>
      <c r="O438" s="1739"/>
      <c r="Z438" s="1739"/>
    </row>
    <row r="439" spans="1:26" x14ac:dyDescent="0.5">
      <c r="A439" s="1739"/>
      <c r="N439" s="1834"/>
      <c r="O439" s="1739"/>
      <c r="Z439" s="1739"/>
    </row>
    <row r="440" spans="1:26" x14ac:dyDescent="0.5">
      <c r="A440" s="1739"/>
      <c r="N440" s="1834"/>
      <c r="O440" s="1739"/>
      <c r="Z440" s="1739"/>
    </row>
    <row r="441" spans="1:26" x14ac:dyDescent="0.5">
      <c r="A441" s="1739"/>
      <c r="N441" s="1834"/>
      <c r="O441" s="1739"/>
      <c r="Z441" s="1739"/>
    </row>
    <row r="442" spans="1:26" x14ac:dyDescent="0.5">
      <c r="A442" s="1739"/>
      <c r="N442" s="1834"/>
      <c r="O442" s="1739"/>
      <c r="Z442" s="1739"/>
    </row>
    <row r="443" spans="1:26" x14ac:dyDescent="0.5">
      <c r="A443" s="1739"/>
      <c r="N443" s="1834"/>
      <c r="O443" s="1739"/>
      <c r="Z443" s="1739"/>
    </row>
    <row r="444" spans="1:26" x14ac:dyDescent="0.5">
      <c r="A444" s="1739"/>
      <c r="N444" s="1834"/>
      <c r="O444" s="1739"/>
      <c r="Z444" s="1739"/>
    </row>
    <row r="445" spans="1:26" x14ac:dyDescent="0.5">
      <c r="A445" s="1739"/>
      <c r="N445" s="1834"/>
      <c r="O445" s="1739"/>
      <c r="Z445" s="1739"/>
    </row>
    <row r="446" spans="1:26" x14ac:dyDescent="0.5">
      <c r="A446" s="1739"/>
      <c r="N446" s="1834"/>
      <c r="O446" s="1739"/>
      <c r="Z446" s="1739"/>
    </row>
    <row r="447" spans="1:26" x14ac:dyDescent="0.5">
      <c r="A447" s="1739"/>
      <c r="N447" s="1834"/>
      <c r="O447" s="1739"/>
      <c r="Z447" s="1739"/>
    </row>
    <row r="448" spans="1:26" x14ac:dyDescent="0.5">
      <c r="A448" s="1739"/>
      <c r="N448" s="1834"/>
      <c r="O448" s="1739"/>
      <c r="Z448" s="1739"/>
    </row>
    <row r="449" spans="1:26" x14ac:dyDescent="0.5">
      <c r="A449" s="1739"/>
      <c r="N449" s="1834"/>
      <c r="O449" s="1739"/>
      <c r="Z449" s="1739"/>
    </row>
    <row r="450" spans="1:26" x14ac:dyDescent="0.5">
      <c r="A450" s="1739"/>
      <c r="N450" s="1834"/>
      <c r="O450" s="1739"/>
      <c r="Z450" s="1739"/>
    </row>
    <row r="451" spans="1:26" x14ac:dyDescent="0.5">
      <c r="A451" s="1739"/>
      <c r="N451" s="1834"/>
      <c r="O451" s="1739"/>
      <c r="Z451" s="1739"/>
    </row>
    <row r="452" spans="1:26" x14ac:dyDescent="0.5">
      <c r="A452" s="1739"/>
      <c r="N452" s="1834"/>
      <c r="O452" s="1739"/>
      <c r="Z452" s="1739"/>
    </row>
    <row r="453" spans="1:26" x14ac:dyDescent="0.5">
      <c r="A453" s="1739"/>
      <c r="N453" s="1834"/>
      <c r="O453" s="1739"/>
      <c r="Z453" s="1739"/>
    </row>
    <row r="454" spans="1:26" x14ac:dyDescent="0.5">
      <c r="A454" s="1739"/>
      <c r="N454" s="1834"/>
      <c r="O454" s="1739"/>
      <c r="Z454" s="1739"/>
    </row>
    <row r="455" spans="1:26" x14ac:dyDescent="0.5">
      <c r="A455" s="1739"/>
      <c r="N455" s="1834"/>
      <c r="O455" s="1739"/>
      <c r="Z455" s="1739"/>
    </row>
    <row r="456" spans="1:26" x14ac:dyDescent="0.5">
      <c r="A456" s="1739"/>
      <c r="N456" s="1834"/>
      <c r="O456" s="1739"/>
      <c r="Z456" s="1739"/>
    </row>
    <row r="457" spans="1:26" x14ac:dyDescent="0.5">
      <c r="A457" s="1739"/>
      <c r="N457" s="1834"/>
      <c r="O457" s="1739"/>
      <c r="Z457" s="1739"/>
    </row>
    <row r="458" spans="1:26" x14ac:dyDescent="0.5">
      <c r="A458" s="1739"/>
      <c r="N458" s="1834"/>
      <c r="O458" s="1739"/>
      <c r="Z458" s="1739"/>
    </row>
    <row r="459" spans="1:26" x14ac:dyDescent="0.5">
      <c r="A459" s="1739"/>
      <c r="N459" s="1834"/>
      <c r="O459" s="1739"/>
      <c r="Z459" s="1739"/>
    </row>
    <row r="460" spans="1:26" x14ac:dyDescent="0.5">
      <c r="A460" s="1739"/>
      <c r="N460" s="1834"/>
      <c r="O460" s="1739"/>
      <c r="Z460" s="1739"/>
    </row>
    <row r="461" spans="1:26" x14ac:dyDescent="0.5">
      <c r="A461" s="1739"/>
      <c r="N461" s="1834"/>
      <c r="O461" s="1739"/>
      <c r="Z461" s="1739"/>
    </row>
    <row r="462" spans="1:26" x14ac:dyDescent="0.5">
      <c r="A462" s="1739"/>
      <c r="N462" s="1834"/>
      <c r="O462" s="1739"/>
      <c r="Z462" s="1739"/>
    </row>
    <row r="463" spans="1:26" x14ac:dyDescent="0.5">
      <c r="A463" s="1739"/>
      <c r="N463" s="1834"/>
      <c r="O463" s="1739"/>
      <c r="Z463" s="1739"/>
    </row>
    <row r="464" spans="1:26" x14ac:dyDescent="0.5">
      <c r="A464" s="1739"/>
      <c r="N464" s="1834"/>
      <c r="O464" s="1739"/>
      <c r="Z464" s="1739"/>
    </row>
    <row r="465" spans="1:26" x14ac:dyDescent="0.5">
      <c r="A465" s="1739"/>
      <c r="N465" s="1834"/>
      <c r="O465" s="1739"/>
      <c r="Z465" s="1739"/>
    </row>
    <row r="466" spans="1:26" x14ac:dyDescent="0.5">
      <c r="A466" s="1739"/>
      <c r="N466" s="1834"/>
      <c r="O466" s="1739"/>
      <c r="Z466" s="1739"/>
    </row>
    <row r="467" spans="1:26" x14ac:dyDescent="0.5">
      <c r="A467" s="1739"/>
      <c r="N467" s="1834"/>
      <c r="O467" s="1739"/>
      <c r="Z467" s="1739"/>
    </row>
    <row r="468" spans="1:26" x14ac:dyDescent="0.5">
      <c r="A468" s="1739"/>
      <c r="N468" s="1834"/>
      <c r="O468" s="1739"/>
      <c r="Z468" s="1739"/>
    </row>
    <row r="469" spans="1:26" x14ac:dyDescent="0.5">
      <c r="A469" s="1739"/>
      <c r="N469" s="1834"/>
      <c r="O469" s="1739"/>
      <c r="Z469" s="1739"/>
    </row>
    <row r="470" spans="1:26" x14ac:dyDescent="0.5">
      <c r="A470" s="1739"/>
      <c r="N470" s="1834"/>
      <c r="O470" s="1739"/>
      <c r="Z470" s="1739"/>
    </row>
    <row r="471" spans="1:26" x14ac:dyDescent="0.5">
      <c r="A471" s="1739"/>
      <c r="N471" s="1834"/>
      <c r="O471" s="1739"/>
      <c r="Z471" s="1739"/>
    </row>
    <row r="472" spans="1:26" x14ac:dyDescent="0.5">
      <c r="A472" s="1739"/>
      <c r="N472" s="1834"/>
      <c r="O472" s="1739"/>
      <c r="Z472" s="1739"/>
    </row>
    <row r="473" spans="1:26" x14ac:dyDescent="0.5">
      <c r="A473" s="1739"/>
      <c r="N473" s="1834"/>
      <c r="O473" s="1739"/>
      <c r="Z473" s="1739"/>
    </row>
    <row r="474" spans="1:26" x14ac:dyDescent="0.5">
      <c r="A474" s="1739"/>
      <c r="N474" s="1834"/>
      <c r="O474" s="1739"/>
      <c r="Z474" s="1739"/>
    </row>
    <row r="475" spans="1:26" x14ac:dyDescent="0.5">
      <c r="A475" s="1739"/>
      <c r="N475" s="1834"/>
      <c r="O475" s="1739"/>
      <c r="Z475" s="1739"/>
    </row>
    <row r="476" spans="1:26" x14ac:dyDescent="0.5">
      <c r="A476" s="1739"/>
      <c r="N476" s="1834"/>
      <c r="O476" s="1739"/>
      <c r="Z476" s="1739"/>
    </row>
    <row r="477" spans="1:26" x14ac:dyDescent="0.5">
      <c r="A477" s="1739"/>
      <c r="N477" s="1834"/>
      <c r="O477" s="1739"/>
      <c r="Z477" s="1739"/>
    </row>
    <row r="478" spans="1:26" x14ac:dyDescent="0.5">
      <c r="A478" s="1739"/>
      <c r="N478" s="1834"/>
      <c r="O478" s="1739"/>
      <c r="Z478" s="1739"/>
    </row>
    <row r="479" spans="1:26" x14ac:dyDescent="0.5">
      <c r="A479" s="1739"/>
      <c r="N479" s="1834"/>
      <c r="O479" s="1739"/>
      <c r="Z479" s="1739"/>
    </row>
    <row r="480" spans="1:26" x14ac:dyDescent="0.5">
      <c r="A480" s="1739"/>
      <c r="N480" s="1834"/>
      <c r="O480" s="1739"/>
      <c r="Z480" s="1739"/>
    </row>
    <row r="481" spans="1:26" x14ac:dyDescent="0.5">
      <c r="A481" s="1739"/>
      <c r="N481" s="1834"/>
      <c r="O481" s="1739"/>
      <c r="Z481" s="1739"/>
    </row>
    <row r="482" spans="1:26" x14ac:dyDescent="0.5">
      <c r="A482" s="1739"/>
      <c r="N482" s="1834"/>
      <c r="O482" s="1739"/>
      <c r="Z482" s="1739"/>
    </row>
    <row r="483" spans="1:26" x14ac:dyDescent="0.5">
      <c r="A483" s="1739"/>
      <c r="N483" s="1834"/>
      <c r="O483" s="1739"/>
      <c r="Z483" s="1739"/>
    </row>
    <row r="484" spans="1:26" x14ac:dyDescent="0.5">
      <c r="A484" s="1739"/>
      <c r="N484" s="1834"/>
      <c r="O484" s="1739"/>
      <c r="Z484" s="1739"/>
    </row>
    <row r="485" spans="1:26" x14ac:dyDescent="0.5">
      <c r="A485" s="1739"/>
      <c r="N485" s="1834"/>
      <c r="O485" s="1739"/>
      <c r="Z485" s="1739"/>
    </row>
    <row r="486" spans="1:26" x14ac:dyDescent="0.5">
      <c r="A486" s="1739"/>
      <c r="N486" s="1834"/>
      <c r="O486" s="1739"/>
      <c r="Z486" s="1739"/>
    </row>
    <row r="487" spans="1:26" x14ac:dyDescent="0.5">
      <c r="A487" s="1739"/>
      <c r="N487" s="1834"/>
      <c r="O487" s="1739"/>
      <c r="Z487" s="1739"/>
    </row>
    <row r="488" spans="1:26" x14ac:dyDescent="0.5">
      <c r="A488" s="1739"/>
      <c r="N488" s="1834"/>
      <c r="O488" s="1739"/>
      <c r="Z488" s="1739"/>
    </row>
    <row r="489" spans="1:26" x14ac:dyDescent="0.5">
      <c r="A489" s="1739"/>
      <c r="N489" s="1834"/>
      <c r="O489" s="1739"/>
      <c r="Z489" s="1739"/>
    </row>
    <row r="490" spans="1:26" x14ac:dyDescent="0.5">
      <c r="A490" s="1739"/>
      <c r="N490" s="1834"/>
      <c r="O490" s="1739"/>
      <c r="Z490" s="1739"/>
    </row>
    <row r="491" spans="1:26" x14ac:dyDescent="0.5">
      <c r="A491" s="1739"/>
      <c r="N491" s="1834"/>
      <c r="O491" s="1739"/>
      <c r="Z491" s="1739"/>
    </row>
    <row r="492" spans="1:26" x14ac:dyDescent="0.5">
      <c r="A492" s="1739"/>
      <c r="N492" s="1834"/>
      <c r="O492" s="1739"/>
      <c r="Z492" s="1739"/>
    </row>
    <row r="493" spans="1:26" x14ac:dyDescent="0.5">
      <c r="A493" s="1739"/>
      <c r="N493" s="1834"/>
      <c r="O493" s="1739"/>
      <c r="Z493" s="1739"/>
    </row>
    <row r="494" spans="1:26" x14ac:dyDescent="0.5">
      <c r="A494" s="1739"/>
      <c r="N494" s="1834"/>
      <c r="O494" s="1739"/>
      <c r="Z494" s="1739"/>
    </row>
    <row r="495" spans="1:26" x14ac:dyDescent="0.5">
      <c r="A495" s="1739"/>
      <c r="N495" s="1834"/>
      <c r="O495" s="1739"/>
      <c r="Z495" s="1739"/>
    </row>
    <row r="496" spans="1:26" x14ac:dyDescent="0.5">
      <c r="A496" s="1739"/>
      <c r="N496" s="1834"/>
      <c r="O496" s="1739"/>
      <c r="Z496" s="1739"/>
    </row>
    <row r="497" spans="1:26" x14ac:dyDescent="0.5">
      <c r="A497" s="1739"/>
      <c r="N497" s="1834"/>
      <c r="O497" s="1739"/>
      <c r="Z497" s="1739"/>
    </row>
    <row r="498" spans="1:26" x14ac:dyDescent="0.5">
      <c r="A498" s="1739"/>
      <c r="N498" s="1834"/>
      <c r="O498" s="1739"/>
      <c r="Z498" s="1739"/>
    </row>
    <row r="499" spans="1:26" x14ac:dyDescent="0.5">
      <c r="A499" s="1739"/>
      <c r="N499" s="1834"/>
      <c r="O499" s="1739"/>
      <c r="Z499" s="1739"/>
    </row>
    <row r="500" spans="1:26" x14ac:dyDescent="0.5">
      <c r="A500" s="1739"/>
      <c r="N500" s="1834"/>
      <c r="O500" s="1739"/>
      <c r="Z500" s="1739"/>
    </row>
    <row r="501" spans="1:26" x14ac:dyDescent="0.5">
      <c r="A501" s="1739"/>
      <c r="N501" s="1834"/>
      <c r="O501" s="1739"/>
      <c r="Z501" s="1739"/>
    </row>
    <row r="502" spans="1:26" x14ac:dyDescent="0.5">
      <c r="A502" s="1739"/>
      <c r="N502" s="1834"/>
      <c r="O502" s="1739"/>
      <c r="Z502" s="1739"/>
    </row>
    <row r="503" spans="1:26" x14ac:dyDescent="0.5">
      <c r="A503" s="1739"/>
      <c r="N503" s="1834"/>
      <c r="O503" s="1739"/>
      <c r="Z503" s="1739"/>
    </row>
    <row r="504" spans="1:26" x14ac:dyDescent="0.5">
      <c r="A504" s="1739"/>
      <c r="N504" s="1834"/>
      <c r="O504" s="1739"/>
      <c r="Z504" s="1739"/>
    </row>
    <row r="505" spans="1:26" x14ac:dyDescent="0.5">
      <c r="A505" s="1739"/>
      <c r="N505" s="1834"/>
      <c r="O505" s="1739"/>
      <c r="Z505" s="1739"/>
    </row>
    <row r="506" spans="1:26" x14ac:dyDescent="0.5">
      <c r="A506" s="1739"/>
      <c r="N506" s="1834"/>
      <c r="O506" s="1739"/>
      <c r="Z506" s="1739"/>
    </row>
    <row r="507" spans="1:26" x14ac:dyDescent="0.5">
      <c r="A507" s="1739"/>
      <c r="N507" s="1834"/>
      <c r="O507" s="1739"/>
      <c r="Z507" s="1739"/>
    </row>
    <row r="508" spans="1:26" x14ac:dyDescent="0.5">
      <c r="A508" s="1739"/>
      <c r="N508" s="1834"/>
      <c r="O508" s="1739"/>
      <c r="Z508" s="1739"/>
    </row>
    <row r="509" spans="1:26" x14ac:dyDescent="0.5">
      <c r="A509" s="1739"/>
      <c r="N509" s="1834"/>
      <c r="O509" s="1739"/>
      <c r="Z509" s="1739"/>
    </row>
    <row r="510" spans="1:26" x14ac:dyDescent="0.5">
      <c r="A510" s="1739"/>
      <c r="N510" s="1834"/>
      <c r="O510" s="1739"/>
      <c r="Z510" s="1739"/>
    </row>
    <row r="511" spans="1:26" x14ac:dyDescent="0.5">
      <c r="A511" s="1739"/>
      <c r="N511" s="1834"/>
      <c r="O511" s="1739"/>
      <c r="Z511" s="1739"/>
    </row>
    <row r="512" spans="1:26" x14ac:dyDescent="0.5">
      <c r="A512" s="1739"/>
      <c r="N512" s="1834"/>
      <c r="O512" s="1739"/>
      <c r="Z512" s="1739"/>
    </row>
    <row r="513" spans="1:26" x14ac:dyDescent="0.5">
      <c r="A513" s="1739"/>
      <c r="N513" s="1834"/>
      <c r="O513" s="1739"/>
      <c r="Z513" s="1739"/>
    </row>
    <row r="514" spans="1:26" x14ac:dyDescent="0.5">
      <c r="A514" s="1739"/>
      <c r="N514" s="1834"/>
      <c r="O514" s="1739"/>
      <c r="Z514" s="1739"/>
    </row>
    <row r="515" spans="1:26" x14ac:dyDescent="0.5">
      <c r="A515" s="1739"/>
      <c r="N515" s="1834"/>
      <c r="O515" s="1739"/>
      <c r="Z515" s="1739"/>
    </row>
    <row r="516" spans="1:26" x14ac:dyDescent="0.5">
      <c r="A516" s="1739"/>
      <c r="N516" s="1834"/>
      <c r="O516" s="1739"/>
      <c r="Z516" s="1739"/>
    </row>
    <row r="517" spans="1:26" x14ac:dyDescent="0.5">
      <c r="A517" s="1739"/>
      <c r="N517" s="1834"/>
      <c r="O517" s="1739"/>
      <c r="Z517" s="1739"/>
    </row>
    <row r="518" spans="1:26" x14ac:dyDescent="0.5">
      <c r="A518" s="1739"/>
      <c r="N518" s="1834"/>
      <c r="O518" s="1739"/>
      <c r="Z518" s="1739"/>
    </row>
    <row r="519" spans="1:26" x14ac:dyDescent="0.5">
      <c r="A519" s="1739"/>
      <c r="N519" s="1834"/>
      <c r="O519" s="1739"/>
      <c r="Z519" s="1739"/>
    </row>
    <row r="520" spans="1:26" x14ac:dyDescent="0.5">
      <c r="A520" s="1739"/>
      <c r="N520" s="1834"/>
      <c r="O520" s="1739"/>
      <c r="Z520" s="1739"/>
    </row>
    <row r="521" spans="1:26" x14ac:dyDescent="0.5">
      <c r="A521" s="1739"/>
      <c r="N521" s="1834"/>
      <c r="O521" s="1739"/>
      <c r="Z521" s="1739"/>
    </row>
    <row r="522" spans="1:26" x14ac:dyDescent="0.5">
      <c r="A522" s="1739"/>
      <c r="N522" s="1834"/>
      <c r="O522" s="1739"/>
      <c r="Z522" s="1739"/>
    </row>
    <row r="523" spans="1:26" x14ac:dyDescent="0.5">
      <c r="A523" s="1739"/>
      <c r="N523" s="1834"/>
      <c r="O523" s="1739"/>
      <c r="Z523" s="1739"/>
    </row>
    <row r="524" spans="1:26" x14ac:dyDescent="0.5">
      <c r="A524" s="1739"/>
      <c r="N524" s="1834"/>
      <c r="O524" s="1739"/>
      <c r="Z524" s="1739"/>
    </row>
    <row r="525" spans="1:26" x14ac:dyDescent="0.5">
      <c r="A525" s="1739"/>
      <c r="N525" s="1834"/>
      <c r="O525" s="1739"/>
      <c r="Z525" s="1739"/>
    </row>
    <row r="526" spans="1:26" x14ac:dyDescent="0.5">
      <c r="A526" s="1739"/>
      <c r="N526" s="1834"/>
      <c r="O526" s="1739"/>
      <c r="Z526" s="1739"/>
    </row>
    <row r="527" spans="1:26" x14ac:dyDescent="0.5">
      <c r="A527" s="1739"/>
      <c r="N527" s="1834"/>
      <c r="O527" s="1739"/>
      <c r="Z527" s="1739"/>
    </row>
    <row r="528" spans="1:26" x14ac:dyDescent="0.5">
      <c r="A528" s="1739"/>
      <c r="N528" s="1834"/>
      <c r="O528" s="1739"/>
      <c r="Z528" s="1739"/>
    </row>
    <row r="529" spans="1:26" x14ac:dyDescent="0.5">
      <c r="A529" s="1739"/>
      <c r="N529" s="1834"/>
      <c r="O529" s="1739"/>
      <c r="Z529" s="1739"/>
    </row>
    <row r="530" spans="1:26" x14ac:dyDescent="0.5">
      <c r="A530" s="1739"/>
      <c r="N530" s="1834"/>
      <c r="O530" s="1739"/>
      <c r="Z530" s="1739"/>
    </row>
    <row r="531" spans="1:26" x14ac:dyDescent="0.5">
      <c r="A531" s="1739"/>
      <c r="N531" s="1834"/>
      <c r="O531" s="1739"/>
      <c r="Z531" s="1739"/>
    </row>
    <row r="532" spans="1:26" x14ac:dyDescent="0.5">
      <c r="A532" s="1739"/>
      <c r="N532" s="1834"/>
      <c r="O532" s="1739"/>
      <c r="Z532" s="1739"/>
    </row>
    <row r="533" spans="1:26" x14ac:dyDescent="0.5">
      <c r="A533" s="1739"/>
      <c r="N533" s="1834"/>
      <c r="O533" s="1739"/>
      <c r="Z533" s="1739"/>
    </row>
    <row r="534" spans="1:26" x14ac:dyDescent="0.5">
      <c r="A534" s="1739"/>
      <c r="N534" s="1834"/>
      <c r="O534" s="1739"/>
      <c r="Z534" s="1739"/>
    </row>
    <row r="535" spans="1:26" x14ac:dyDescent="0.5">
      <c r="A535" s="1739"/>
      <c r="N535" s="1834"/>
      <c r="O535" s="1739"/>
      <c r="Z535" s="1739"/>
    </row>
    <row r="536" spans="1:26" x14ac:dyDescent="0.5">
      <c r="A536" s="1739"/>
      <c r="N536" s="1834"/>
      <c r="O536" s="1739"/>
      <c r="Z536" s="1739"/>
    </row>
    <row r="537" spans="1:26" x14ac:dyDescent="0.5">
      <c r="A537" s="1739"/>
      <c r="N537" s="1834"/>
      <c r="O537" s="1739"/>
      <c r="Z537" s="1739"/>
    </row>
    <row r="538" spans="1:26" x14ac:dyDescent="0.5">
      <c r="A538" s="1739"/>
      <c r="N538" s="1834"/>
      <c r="O538" s="1739"/>
      <c r="Z538" s="1739"/>
    </row>
    <row r="539" spans="1:26" x14ac:dyDescent="0.5">
      <c r="A539" s="1739"/>
      <c r="N539" s="1834"/>
      <c r="O539" s="1739"/>
      <c r="Z539" s="1739"/>
    </row>
    <row r="540" spans="1:26" x14ac:dyDescent="0.5">
      <c r="A540" s="1739"/>
      <c r="N540" s="1834"/>
      <c r="O540" s="1739"/>
      <c r="Z540" s="1739"/>
    </row>
    <row r="541" spans="1:26" x14ac:dyDescent="0.5">
      <c r="A541" s="1739"/>
      <c r="N541" s="1834"/>
      <c r="O541" s="1739"/>
      <c r="Z541" s="1739"/>
    </row>
    <row r="542" spans="1:26" x14ac:dyDescent="0.5">
      <c r="A542" s="1739"/>
      <c r="N542" s="1834"/>
      <c r="O542" s="1739"/>
      <c r="Z542" s="1739"/>
    </row>
    <row r="543" spans="1:26" x14ac:dyDescent="0.5">
      <c r="A543" s="1739"/>
      <c r="N543" s="1834"/>
      <c r="O543" s="1739"/>
      <c r="Z543" s="1739"/>
    </row>
    <row r="544" spans="1:26" x14ac:dyDescent="0.5">
      <c r="A544" s="1739"/>
      <c r="N544" s="1834"/>
      <c r="O544" s="1739"/>
      <c r="Z544" s="1739"/>
    </row>
    <row r="545" spans="1:26" x14ac:dyDescent="0.5">
      <c r="A545" s="1739"/>
      <c r="N545" s="1834"/>
      <c r="O545" s="1739"/>
      <c r="Z545" s="1739"/>
    </row>
    <row r="546" spans="1:26" x14ac:dyDescent="0.5">
      <c r="A546" s="1739"/>
      <c r="N546" s="1834"/>
      <c r="O546" s="1739"/>
      <c r="Z546" s="1739"/>
    </row>
    <row r="547" spans="1:26" x14ac:dyDescent="0.5">
      <c r="A547" s="1739"/>
      <c r="N547" s="1834"/>
      <c r="O547" s="1739"/>
      <c r="Z547" s="1739"/>
    </row>
    <row r="548" spans="1:26" x14ac:dyDescent="0.5">
      <c r="A548" s="1739"/>
      <c r="N548" s="1834"/>
      <c r="O548" s="1739"/>
      <c r="Z548" s="1739"/>
    </row>
    <row r="549" spans="1:26" x14ac:dyDescent="0.5">
      <c r="A549" s="1739"/>
      <c r="N549" s="1834"/>
      <c r="O549" s="1739"/>
      <c r="Z549" s="1739"/>
    </row>
    <row r="550" spans="1:26" x14ac:dyDescent="0.5">
      <c r="A550" s="1739"/>
      <c r="N550" s="1834"/>
      <c r="O550" s="1739"/>
      <c r="Z550" s="1739"/>
    </row>
    <row r="551" spans="1:26" x14ac:dyDescent="0.5">
      <c r="A551" s="1739"/>
      <c r="N551" s="1834"/>
      <c r="O551" s="1739"/>
      <c r="Z551" s="1739"/>
    </row>
    <row r="552" spans="1:26" x14ac:dyDescent="0.5">
      <c r="A552" s="1739"/>
      <c r="N552" s="1834"/>
      <c r="O552" s="1739"/>
      <c r="Z552" s="1739"/>
    </row>
    <row r="553" spans="1:26" x14ac:dyDescent="0.5">
      <c r="A553" s="1739"/>
      <c r="N553" s="1834"/>
      <c r="O553" s="1739"/>
      <c r="Z553" s="1739"/>
    </row>
    <row r="554" spans="1:26" x14ac:dyDescent="0.5">
      <c r="A554" s="1739"/>
      <c r="N554" s="1834"/>
      <c r="O554" s="1739"/>
      <c r="Z554" s="1739"/>
    </row>
    <row r="555" spans="1:26" x14ac:dyDescent="0.5">
      <c r="A555" s="1739"/>
      <c r="N555" s="1834"/>
      <c r="O555" s="1739"/>
      <c r="Z555" s="1739"/>
    </row>
    <row r="556" spans="1:26" x14ac:dyDescent="0.5">
      <c r="A556" s="1739"/>
      <c r="N556" s="1834"/>
      <c r="O556" s="1739"/>
      <c r="Z556" s="1739"/>
    </row>
    <row r="557" spans="1:26" x14ac:dyDescent="0.5">
      <c r="A557" s="1739"/>
      <c r="N557" s="1834"/>
      <c r="O557" s="1739"/>
      <c r="Z557" s="1739"/>
    </row>
    <row r="558" spans="1:26" x14ac:dyDescent="0.5">
      <c r="A558" s="1739"/>
      <c r="N558" s="1834"/>
      <c r="O558" s="1739"/>
      <c r="Z558" s="1739"/>
    </row>
    <row r="559" spans="1:26" x14ac:dyDescent="0.5">
      <c r="A559" s="1739"/>
      <c r="N559" s="1834"/>
      <c r="O559" s="1739"/>
      <c r="Z559" s="1739"/>
    </row>
    <row r="560" spans="1:26" x14ac:dyDescent="0.5">
      <c r="A560" s="1739"/>
      <c r="N560" s="1834"/>
      <c r="O560" s="1739"/>
      <c r="Z560" s="1739"/>
    </row>
    <row r="561" spans="1:26" x14ac:dyDescent="0.5">
      <c r="A561" s="1739"/>
      <c r="N561" s="1834"/>
      <c r="O561" s="1739"/>
      <c r="Z561" s="1739"/>
    </row>
    <row r="562" spans="1:26" x14ac:dyDescent="0.5">
      <c r="A562" s="1739"/>
      <c r="N562" s="1834"/>
      <c r="O562" s="1739"/>
      <c r="Z562" s="1739"/>
    </row>
    <row r="563" spans="1:26" x14ac:dyDescent="0.5">
      <c r="A563" s="1739"/>
      <c r="N563" s="1834"/>
      <c r="O563" s="1739"/>
      <c r="Z563" s="1739"/>
    </row>
    <row r="564" spans="1:26" x14ac:dyDescent="0.5">
      <c r="A564" s="1739"/>
      <c r="N564" s="1834"/>
      <c r="O564" s="1739"/>
      <c r="Z564" s="1739"/>
    </row>
    <row r="565" spans="1:26" x14ac:dyDescent="0.5">
      <c r="A565" s="1739"/>
      <c r="N565" s="1834"/>
      <c r="O565" s="1739"/>
      <c r="Z565" s="1739"/>
    </row>
    <row r="566" spans="1:26" x14ac:dyDescent="0.5">
      <c r="A566" s="1739"/>
      <c r="N566" s="1834"/>
      <c r="O566" s="1739"/>
      <c r="Z566" s="1739"/>
    </row>
    <row r="567" spans="1:26" x14ac:dyDescent="0.5">
      <c r="A567" s="1739"/>
      <c r="N567" s="1834"/>
      <c r="O567" s="1739"/>
      <c r="Z567" s="1739"/>
    </row>
    <row r="568" spans="1:26" x14ac:dyDescent="0.5">
      <c r="A568" s="1739"/>
      <c r="N568" s="1834"/>
      <c r="O568" s="1739"/>
      <c r="Z568" s="1739"/>
    </row>
    <row r="569" spans="1:26" x14ac:dyDescent="0.5">
      <c r="A569" s="1739"/>
      <c r="N569" s="1834"/>
      <c r="O569" s="1739"/>
      <c r="Z569" s="1739"/>
    </row>
    <row r="570" spans="1:26" x14ac:dyDescent="0.5">
      <c r="A570" s="1739"/>
      <c r="N570" s="1834"/>
      <c r="O570" s="1739"/>
      <c r="Z570" s="1739"/>
    </row>
    <row r="571" spans="1:26" x14ac:dyDescent="0.5">
      <c r="A571" s="1739"/>
      <c r="N571" s="1834"/>
      <c r="O571" s="1739"/>
      <c r="Z571" s="1739"/>
    </row>
    <row r="572" spans="1:26" x14ac:dyDescent="0.5">
      <c r="A572" s="1739"/>
      <c r="N572" s="1834"/>
      <c r="O572" s="1739"/>
      <c r="Z572" s="1739"/>
    </row>
    <row r="573" spans="1:26" x14ac:dyDescent="0.5">
      <c r="A573" s="1739"/>
      <c r="N573" s="1834"/>
      <c r="O573" s="1739"/>
      <c r="Z573" s="1739"/>
    </row>
    <row r="574" spans="1:26" x14ac:dyDescent="0.5">
      <c r="A574" s="1739"/>
      <c r="N574" s="1834"/>
      <c r="O574" s="1739"/>
      <c r="Z574" s="1739"/>
    </row>
    <row r="575" spans="1:26" x14ac:dyDescent="0.5">
      <c r="A575" s="1739"/>
      <c r="N575" s="1834"/>
      <c r="O575" s="1739"/>
      <c r="Z575" s="1739"/>
    </row>
    <row r="576" spans="1:26" x14ac:dyDescent="0.5">
      <c r="A576" s="1739"/>
      <c r="N576" s="1834"/>
      <c r="O576" s="1739"/>
      <c r="Z576" s="1739"/>
    </row>
    <row r="577" spans="1:26" x14ac:dyDescent="0.5">
      <c r="A577" s="1739"/>
      <c r="N577" s="1834"/>
      <c r="O577" s="1739"/>
      <c r="Z577" s="1739"/>
    </row>
    <row r="578" spans="1:26" x14ac:dyDescent="0.5">
      <c r="A578" s="1739"/>
      <c r="N578" s="1834"/>
      <c r="O578" s="1739"/>
      <c r="Z578" s="1739"/>
    </row>
    <row r="579" spans="1:26" x14ac:dyDescent="0.5">
      <c r="A579" s="1739"/>
      <c r="N579" s="1834"/>
      <c r="O579" s="1739"/>
      <c r="Z579" s="1739"/>
    </row>
    <row r="580" spans="1:26" x14ac:dyDescent="0.5">
      <c r="A580" s="1739"/>
      <c r="N580" s="1834"/>
      <c r="O580" s="1739"/>
      <c r="Z580" s="1739"/>
    </row>
    <row r="581" spans="1:26" x14ac:dyDescent="0.5">
      <c r="A581" s="1739"/>
      <c r="N581" s="1834"/>
      <c r="O581" s="1739"/>
      <c r="Z581" s="1739"/>
    </row>
    <row r="582" spans="1:26" x14ac:dyDescent="0.5">
      <c r="A582" s="1739"/>
      <c r="N582" s="1834"/>
      <c r="O582" s="1739"/>
      <c r="Z582" s="1739"/>
    </row>
    <row r="583" spans="1:26" x14ac:dyDescent="0.5">
      <c r="A583" s="1739"/>
      <c r="N583" s="1834"/>
      <c r="O583" s="1739"/>
      <c r="Z583" s="1739"/>
    </row>
    <row r="584" spans="1:26" x14ac:dyDescent="0.5">
      <c r="A584" s="1739"/>
      <c r="N584" s="1834"/>
      <c r="O584" s="1739"/>
      <c r="Z584" s="1739"/>
    </row>
    <row r="585" spans="1:26" x14ac:dyDescent="0.5">
      <c r="A585" s="1739"/>
      <c r="N585" s="1834"/>
      <c r="O585" s="1739"/>
      <c r="Z585" s="1739"/>
    </row>
    <row r="586" spans="1:26" x14ac:dyDescent="0.5">
      <c r="A586" s="1739"/>
      <c r="N586" s="1834"/>
      <c r="O586" s="1739"/>
      <c r="Z586" s="1739"/>
    </row>
    <row r="587" spans="1:26" x14ac:dyDescent="0.5">
      <c r="A587" s="1739"/>
      <c r="N587" s="1834"/>
      <c r="O587" s="1739"/>
      <c r="Z587" s="1739"/>
    </row>
    <row r="588" spans="1:26" x14ac:dyDescent="0.5">
      <c r="A588" s="1739"/>
      <c r="N588" s="1834"/>
      <c r="O588" s="1739"/>
      <c r="Z588" s="1739"/>
    </row>
    <row r="589" spans="1:26" x14ac:dyDescent="0.5">
      <c r="A589" s="1739"/>
      <c r="N589" s="1834"/>
      <c r="O589" s="1739"/>
      <c r="Z589" s="1739"/>
    </row>
    <row r="590" spans="1:26" x14ac:dyDescent="0.5">
      <c r="A590" s="1739"/>
      <c r="N590" s="1834"/>
      <c r="O590" s="1739"/>
      <c r="Z590" s="1739"/>
    </row>
    <row r="591" spans="1:26" x14ac:dyDescent="0.5">
      <c r="A591" s="1739"/>
      <c r="N591" s="1834"/>
      <c r="O591" s="1739"/>
      <c r="Z591" s="1739"/>
    </row>
    <row r="592" spans="1:26" x14ac:dyDescent="0.5">
      <c r="A592" s="1739"/>
      <c r="N592" s="1834"/>
      <c r="O592" s="1739"/>
      <c r="Z592" s="1739"/>
    </row>
    <row r="593" spans="1:26" x14ac:dyDescent="0.5">
      <c r="A593" s="1739"/>
      <c r="N593" s="1834"/>
      <c r="O593" s="1739"/>
      <c r="Z593" s="1739"/>
    </row>
    <row r="594" spans="1:26" x14ac:dyDescent="0.5">
      <c r="A594" s="1739"/>
      <c r="N594" s="1834"/>
      <c r="O594" s="1739"/>
      <c r="Z594" s="1739"/>
    </row>
    <row r="595" spans="1:26" x14ac:dyDescent="0.5">
      <c r="A595" s="1739"/>
      <c r="N595" s="1834"/>
      <c r="O595" s="1739"/>
      <c r="Z595" s="1739"/>
    </row>
    <row r="596" spans="1:26" x14ac:dyDescent="0.5">
      <c r="A596" s="1739"/>
      <c r="N596" s="1834"/>
      <c r="O596" s="1739"/>
      <c r="Z596" s="1739"/>
    </row>
    <row r="597" spans="1:26" x14ac:dyDescent="0.5">
      <c r="A597" s="1739"/>
      <c r="N597" s="1834"/>
      <c r="O597" s="1739"/>
      <c r="Z597" s="1739"/>
    </row>
    <row r="598" spans="1:26" x14ac:dyDescent="0.5">
      <c r="A598" s="1739"/>
      <c r="N598" s="1834"/>
      <c r="O598" s="1739"/>
      <c r="Z598" s="1739"/>
    </row>
    <row r="599" spans="1:26" x14ac:dyDescent="0.5">
      <c r="A599" s="1739"/>
      <c r="N599" s="1834"/>
      <c r="O599" s="1739"/>
      <c r="Z599" s="1739"/>
    </row>
    <row r="600" spans="1:26" x14ac:dyDescent="0.5">
      <c r="A600" s="1739"/>
      <c r="N600" s="1834"/>
      <c r="O600" s="1739"/>
      <c r="Z600" s="1739"/>
    </row>
    <row r="601" spans="1:26" x14ac:dyDescent="0.5">
      <c r="A601" s="1739"/>
      <c r="N601" s="1834"/>
      <c r="O601" s="1739"/>
      <c r="Z601" s="1739"/>
    </row>
    <row r="602" spans="1:26" x14ac:dyDescent="0.5">
      <c r="A602" s="1739"/>
      <c r="N602" s="1834"/>
      <c r="O602" s="1739"/>
      <c r="Z602" s="1739"/>
    </row>
    <row r="603" spans="1:26" x14ac:dyDescent="0.5">
      <c r="A603" s="1739"/>
      <c r="N603" s="1834"/>
      <c r="O603" s="1739"/>
      <c r="Z603" s="1739"/>
    </row>
    <row r="604" spans="1:26" x14ac:dyDescent="0.5">
      <c r="A604" s="1739"/>
      <c r="N604" s="1834"/>
      <c r="O604" s="1739"/>
      <c r="Z604" s="1739"/>
    </row>
    <row r="605" spans="1:26" x14ac:dyDescent="0.5">
      <c r="A605" s="1739"/>
      <c r="N605" s="1834"/>
      <c r="O605" s="1739"/>
      <c r="Z605" s="1739"/>
    </row>
    <row r="606" spans="1:26" x14ac:dyDescent="0.5">
      <c r="A606" s="1739"/>
      <c r="N606" s="1834"/>
      <c r="O606" s="1739"/>
      <c r="Z606" s="1739"/>
    </row>
    <row r="607" spans="1:26" x14ac:dyDescent="0.5">
      <c r="A607" s="1739"/>
      <c r="N607" s="1834"/>
      <c r="O607" s="1739"/>
      <c r="Z607" s="1739"/>
    </row>
    <row r="608" spans="1:26" x14ac:dyDescent="0.5">
      <c r="A608" s="1739"/>
      <c r="N608" s="1834"/>
      <c r="O608" s="1739"/>
      <c r="Z608" s="1739"/>
    </row>
    <row r="609" spans="1:26" x14ac:dyDescent="0.5">
      <c r="A609" s="1739"/>
      <c r="N609" s="1834"/>
      <c r="O609" s="1739"/>
      <c r="Z609" s="1739"/>
    </row>
    <row r="610" spans="1:26" x14ac:dyDescent="0.5">
      <c r="A610" s="1739"/>
      <c r="N610" s="1834"/>
      <c r="O610" s="1739"/>
      <c r="Z610" s="1739"/>
    </row>
    <row r="611" spans="1:26" x14ac:dyDescent="0.5">
      <c r="A611" s="1739"/>
      <c r="N611" s="1834"/>
      <c r="O611" s="1739"/>
      <c r="Z611" s="1739"/>
    </row>
    <row r="612" spans="1:26" x14ac:dyDescent="0.5">
      <c r="A612" s="1739"/>
      <c r="N612" s="1834"/>
      <c r="O612" s="1739"/>
      <c r="Z612" s="1739"/>
    </row>
    <row r="613" spans="1:26" x14ac:dyDescent="0.5">
      <c r="A613" s="1739"/>
      <c r="N613" s="1834"/>
      <c r="O613" s="1739"/>
      <c r="Z613" s="1739"/>
    </row>
    <row r="614" spans="1:26" x14ac:dyDescent="0.5">
      <c r="A614" s="1739"/>
      <c r="N614" s="1834"/>
      <c r="O614" s="1739"/>
      <c r="Z614" s="1739"/>
    </row>
    <row r="615" spans="1:26" x14ac:dyDescent="0.5">
      <c r="A615" s="1739"/>
      <c r="N615" s="1834"/>
      <c r="O615" s="1739"/>
      <c r="Z615" s="1739"/>
    </row>
    <row r="616" spans="1:26" x14ac:dyDescent="0.5">
      <c r="A616" s="1739"/>
      <c r="N616" s="1834"/>
      <c r="O616" s="1739"/>
      <c r="Z616" s="1739"/>
    </row>
    <row r="617" spans="1:26" x14ac:dyDescent="0.5">
      <c r="A617" s="1739"/>
      <c r="N617" s="1834"/>
      <c r="O617" s="1739"/>
      <c r="Z617" s="1739"/>
    </row>
    <row r="618" spans="1:26" x14ac:dyDescent="0.5">
      <c r="A618" s="1739"/>
      <c r="N618" s="1834"/>
      <c r="O618" s="1739"/>
      <c r="Z618" s="1739"/>
    </row>
    <row r="619" spans="1:26" x14ac:dyDescent="0.5">
      <c r="A619" s="1739"/>
      <c r="N619" s="1834"/>
      <c r="O619" s="1739"/>
      <c r="Z619" s="1739"/>
    </row>
    <row r="620" spans="1:26" x14ac:dyDescent="0.5">
      <c r="A620" s="1739"/>
      <c r="N620" s="1834"/>
      <c r="O620" s="1739"/>
      <c r="Z620" s="1739"/>
    </row>
    <row r="621" spans="1:26" x14ac:dyDescent="0.5">
      <c r="A621" s="1739"/>
      <c r="N621" s="1834"/>
      <c r="O621" s="1739"/>
      <c r="Z621" s="1739"/>
    </row>
    <row r="622" spans="1:26" x14ac:dyDescent="0.5">
      <c r="A622" s="1739"/>
      <c r="N622" s="1834"/>
      <c r="O622" s="1739"/>
      <c r="Z622" s="1739"/>
    </row>
    <row r="623" spans="1:26" x14ac:dyDescent="0.5">
      <c r="A623" s="1739"/>
      <c r="N623" s="1834"/>
      <c r="O623" s="1739"/>
      <c r="Z623" s="1739"/>
    </row>
    <row r="624" spans="1:26" x14ac:dyDescent="0.5">
      <c r="A624" s="1739"/>
      <c r="N624" s="1834"/>
      <c r="O624" s="1739"/>
      <c r="Z624" s="1739"/>
    </row>
    <row r="625" spans="1:26" x14ac:dyDescent="0.5">
      <c r="A625" s="1739"/>
      <c r="N625" s="1834"/>
      <c r="O625" s="1739"/>
      <c r="Z625" s="1739"/>
    </row>
    <row r="626" spans="1:26" x14ac:dyDescent="0.5">
      <c r="A626" s="1739"/>
      <c r="N626" s="1834"/>
      <c r="O626" s="1739"/>
      <c r="Z626" s="1739"/>
    </row>
    <row r="627" spans="1:26" x14ac:dyDescent="0.5">
      <c r="A627" s="1739"/>
      <c r="N627" s="1834"/>
      <c r="O627" s="1739"/>
      <c r="Z627" s="1739"/>
    </row>
    <row r="628" spans="1:26" x14ac:dyDescent="0.5">
      <c r="A628" s="1739"/>
      <c r="N628" s="1834"/>
      <c r="O628" s="1739"/>
      <c r="Z628" s="1739"/>
    </row>
    <row r="629" spans="1:26" x14ac:dyDescent="0.5">
      <c r="A629" s="1739"/>
      <c r="N629" s="1834"/>
      <c r="O629" s="1739"/>
      <c r="Z629" s="1739"/>
    </row>
    <row r="630" spans="1:26" x14ac:dyDescent="0.5">
      <c r="A630" s="1739"/>
      <c r="N630" s="1834"/>
      <c r="O630" s="1739"/>
      <c r="Z630" s="1739"/>
    </row>
    <row r="631" spans="1:26" x14ac:dyDescent="0.5">
      <c r="A631" s="1739"/>
      <c r="N631" s="1834"/>
      <c r="O631" s="1739"/>
      <c r="Z631" s="1739"/>
    </row>
    <row r="632" spans="1:26" x14ac:dyDescent="0.5">
      <c r="A632" s="1739"/>
      <c r="N632" s="1834"/>
      <c r="O632" s="1739"/>
      <c r="Z632" s="1739"/>
    </row>
    <row r="633" spans="1:26" x14ac:dyDescent="0.5">
      <c r="A633" s="1739"/>
      <c r="N633" s="1834"/>
      <c r="O633" s="1739"/>
      <c r="Z633" s="1739"/>
    </row>
    <row r="634" spans="1:26" x14ac:dyDescent="0.5">
      <c r="A634" s="1739"/>
      <c r="N634" s="1834"/>
      <c r="O634" s="1739"/>
      <c r="Z634" s="1739"/>
    </row>
    <row r="635" spans="1:26" x14ac:dyDescent="0.5">
      <c r="A635" s="1739"/>
      <c r="N635" s="1834"/>
      <c r="O635" s="1739"/>
      <c r="Z635" s="1739"/>
    </row>
    <row r="636" spans="1:26" x14ac:dyDescent="0.5">
      <c r="A636" s="1739"/>
      <c r="N636" s="1834"/>
      <c r="O636" s="1739"/>
      <c r="Z636" s="1739"/>
    </row>
    <row r="637" spans="1:26" x14ac:dyDescent="0.5">
      <c r="A637" s="1739"/>
      <c r="N637" s="1834"/>
      <c r="O637" s="1739"/>
      <c r="Z637" s="1739"/>
    </row>
    <row r="638" spans="1:26" x14ac:dyDescent="0.5">
      <c r="A638" s="1739"/>
      <c r="N638" s="1834"/>
      <c r="O638" s="1739"/>
      <c r="Z638" s="1739"/>
    </row>
    <row r="639" spans="1:26" x14ac:dyDescent="0.5">
      <c r="A639" s="1739"/>
      <c r="N639" s="1834"/>
      <c r="O639" s="1739"/>
      <c r="Z639" s="1739"/>
    </row>
    <row r="640" spans="1:26" x14ac:dyDescent="0.5">
      <c r="A640" s="1739"/>
      <c r="N640" s="1834"/>
      <c r="O640" s="1739"/>
      <c r="Z640" s="1739"/>
    </row>
    <row r="641" spans="1:26" x14ac:dyDescent="0.5">
      <c r="A641" s="1739"/>
      <c r="N641" s="1834"/>
      <c r="O641" s="1739"/>
      <c r="Z641" s="1739"/>
    </row>
    <row r="642" spans="1:26" x14ac:dyDescent="0.5">
      <c r="A642" s="1739"/>
      <c r="N642" s="1834"/>
      <c r="O642" s="1739"/>
      <c r="Z642" s="1739"/>
    </row>
    <row r="643" spans="1:26" x14ac:dyDescent="0.5">
      <c r="A643" s="1739"/>
      <c r="N643" s="1834"/>
      <c r="O643" s="1739"/>
      <c r="Z643" s="1739"/>
    </row>
    <row r="644" spans="1:26" x14ac:dyDescent="0.5">
      <c r="A644" s="1739"/>
      <c r="N644" s="1834"/>
      <c r="O644" s="1739"/>
      <c r="Z644" s="1739"/>
    </row>
    <row r="645" spans="1:26" x14ac:dyDescent="0.5">
      <c r="A645" s="1739"/>
      <c r="N645" s="1834"/>
      <c r="O645" s="1739"/>
      <c r="Z645" s="1739"/>
    </row>
    <row r="646" spans="1:26" x14ac:dyDescent="0.5">
      <c r="A646" s="1739"/>
      <c r="N646" s="1834"/>
      <c r="O646" s="1739"/>
      <c r="Z646" s="1739"/>
    </row>
    <row r="647" spans="1:26" x14ac:dyDescent="0.5">
      <c r="A647" s="1739"/>
      <c r="N647" s="1834"/>
      <c r="O647" s="1739"/>
      <c r="Z647" s="1739"/>
    </row>
    <row r="648" spans="1:26" x14ac:dyDescent="0.5">
      <c r="A648" s="1739"/>
      <c r="N648" s="1834"/>
      <c r="O648" s="1739"/>
      <c r="Z648" s="1739"/>
    </row>
    <row r="649" spans="1:26" x14ac:dyDescent="0.5">
      <c r="A649" s="1739"/>
      <c r="N649" s="1834"/>
      <c r="O649" s="1739"/>
      <c r="Z649" s="1739"/>
    </row>
    <row r="650" spans="1:26" x14ac:dyDescent="0.5">
      <c r="A650" s="1739"/>
      <c r="N650" s="1834"/>
      <c r="O650" s="1739"/>
      <c r="Z650" s="1739"/>
    </row>
    <row r="651" spans="1:26" x14ac:dyDescent="0.5">
      <c r="A651" s="1739"/>
      <c r="N651" s="1834"/>
      <c r="O651" s="1739"/>
      <c r="Z651" s="1739"/>
    </row>
    <row r="652" spans="1:26" x14ac:dyDescent="0.5">
      <c r="A652" s="1739"/>
      <c r="N652" s="1834"/>
      <c r="O652" s="1739"/>
      <c r="Z652" s="1739"/>
    </row>
    <row r="653" spans="1:26" x14ac:dyDescent="0.5">
      <c r="A653" s="1739"/>
      <c r="N653" s="1834"/>
      <c r="O653" s="1739"/>
      <c r="Z653" s="1739"/>
    </row>
    <row r="654" spans="1:26" x14ac:dyDescent="0.5">
      <c r="A654" s="1739"/>
      <c r="N654" s="1834"/>
      <c r="O654" s="1739"/>
      <c r="Z654" s="1739"/>
    </row>
    <row r="655" spans="1:26" x14ac:dyDescent="0.5">
      <c r="A655" s="1739"/>
      <c r="N655" s="1834"/>
      <c r="O655" s="1739"/>
      <c r="Z655" s="1739"/>
    </row>
    <row r="656" spans="1:26" x14ac:dyDescent="0.5">
      <c r="A656" s="1739"/>
      <c r="N656" s="1834"/>
      <c r="O656" s="1739"/>
      <c r="Z656" s="1739"/>
    </row>
    <row r="657" spans="1:26" x14ac:dyDescent="0.5">
      <c r="A657" s="1739"/>
      <c r="N657" s="1834"/>
      <c r="O657" s="1739"/>
      <c r="Z657" s="1739"/>
    </row>
    <row r="658" spans="1:26" x14ac:dyDescent="0.5">
      <c r="A658" s="1739"/>
      <c r="N658" s="1834"/>
      <c r="O658" s="1739"/>
      <c r="Z658" s="1739"/>
    </row>
    <row r="659" spans="1:26" x14ac:dyDescent="0.5">
      <c r="A659" s="1739"/>
      <c r="N659" s="1834"/>
      <c r="O659" s="1739"/>
      <c r="Z659" s="1739"/>
    </row>
    <row r="660" spans="1:26" x14ac:dyDescent="0.5">
      <c r="A660" s="1739"/>
      <c r="N660" s="1834"/>
      <c r="O660" s="1739"/>
      <c r="Z660" s="1739"/>
    </row>
    <row r="661" spans="1:26" x14ac:dyDescent="0.5">
      <c r="A661" s="1739"/>
      <c r="N661" s="1834"/>
      <c r="O661" s="1739"/>
      <c r="Z661" s="1739"/>
    </row>
    <row r="662" spans="1:26" x14ac:dyDescent="0.5">
      <c r="A662" s="1739"/>
      <c r="N662" s="1834"/>
      <c r="O662" s="1739"/>
      <c r="Z662" s="1739"/>
    </row>
    <row r="663" spans="1:26" x14ac:dyDescent="0.5">
      <c r="A663" s="1739"/>
      <c r="N663" s="1834"/>
      <c r="O663" s="1739"/>
      <c r="Z663" s="1739"/>
    </row>
    <row r="664" spans="1:26" x14ac:dyDescent="0.5">
      <c r="A664" s="1739"/>
      <c r="N664" s="1834"/>
      <c r="O664" s="1739"/>
      <c r="Z664" s="1739"/>
    </row>
    <row r="665" spans="1:26" x14ac:dyDescent="0.5">
      <c r="A665" s="1739"/>
      <c r="N665" s="1834"/>
      <c r="O665" s="1739"/>
      <c r="Z665" s="1739"/>
    </row>
    <row r="666" spans="1:26" x14ac:dyDescent="0.5">
      <c r="A666" s="1739"/>
      <c r="N666" s="1834"/>
      <c r="O666" s="1739"/>
      <c r="Z666" s="1739"/>
    </row>
    <row r="667" spans="1:26" x14ac:dyDescent="0.5">
      <c r="A667" s="1739"/>
      <c r="N667" s="1834"/>
      <c r="O667" s="1739"/>
      <c r="Z667" s="1739"/>
    </row>
    <row r="668" spans="1:26" x14ac:dyDescent="0.5">
      <c r="A668" s="1739"/>
      <c r="N668" s="1834"/>
      <c r="O668" s="1739"/>
      <c r="Z668" s="1739"/>
    </row>
    <row r="669" spans="1:26" x14ac:dyDescent="0.5">
      <c r="A669" s="1739"/>
      <c r="N669" s="1834"/>
      <c r="O669" s="1739"/>
      <c r="Z669" s="1739"/>
    </row>
    <row r="670" spans="1:26" x14ac:dyDescent="0.5">
      <c r="A670" s="1739"/>
      <c r="N670" s="1834"/>
      <c r="O670" s="1739"/>
      <c r="Z670" s="1739"/>
    </row>
    <row r="671" spans="1:26" x14ac:dyDescent="0.5">
      <c r="A671" s="1739"/>
      <c r="N671" s="1834"/>
      <c r="O671" s="1739"/>
      <c r="Z671" s="1739"/>
    </row>
    <row r="672" spans="1:26" x14ac:dyDescent="0.5">
      <c r="A672" s="1739"/>
      <c r="N672" s="1834"/>
      <c r="O672" s="1739"/>
      <c r="Z672" s="1739"/>
    </row>
    <row r="673" spans="1:26" x14ac:dyDescent="0.5">
      <c r="A673" s="1739"/>
      <c r="N673" s="1834"/>
      <c r="O673" s="1739"/>
      <c r="Z673" s="1739"/>
    </row>
    <row r="674" spans="1:26" x14ac:dyDescent="0.5">
      <c r="A674" s="1739"/>
      <c r="N674" s="1834"/>
      <c r="O674" s="1739"/>
      <c r="Z674" s="1739"/>
    </row>
    <row r="675" spans="1:26" x14ac:dyDescent="0.5">
      <c r="A675" s="1739"/>
      <c r="N675" s="1834"/>
      <c r="O675" s="1739"/>
      <c r="Z675" s="1739"/>
    </row>
    <row r="676" spans="1:26" x14ac:dyDescent="0.5">
      <c r="A676" s="1739"/>
      <c r="N676" s="1834"/>
      <c r="O676" s="1739"/>
      <c r="Z676" s="1739"/>
    </row>
    <row r="677" spans="1:26" x14ac:dyDescent="0.5">
      <c r="A677" s="1739"/>
      <c r="N677" s="1834"/>
      <c r="O677" s="1739"/>
      <c r="Z677" s="1739"/>
    </row>
    <row r="678" spans="1:26" x14ac:dyDescent="0.5">
      <c r="A678" s="1739"/>
      <c r="N678" s="1834"/>
      <c r="O678" s="1739"/>
      <c r="Z678" s="1739"/>
    </row>
    <row r="679" spans="1:26" x14ac:dyDescent="0.5">
      <c r="A679" s="1739"/>
      <c r="N679" s="1834"/>
      <c r="O679" s="1739"/>
      <c r="Z679" s="1739"/>
    </row>
    <row r="680" spans="1:26" x14ac:dyDescent="0.5">
      <c r="A680" s="1739"/>
      <c r="N680" s="1834"/>
      <c r="O680" s="1739"/>
      <c r="Z680" s="1739"/>
    </row>
    <row r="681" spans="1:26" x14ac:dyDescent="0.5">
      <c r="A681" s="1739"/>
      <c r="N681" s="1834"/>
      <c r="O681" s="1739"/>
      <c r="Z681" s="1739"/>
    </row>
    <row r="682" spans="1:26" x14ac:dyDescent="0.5">
      <c r="A682" s="1739"/>
      <c r="N682" s="1834"/>
      <c r="O682" s="1739"/>
      <c r="Z682" s="1739"/>
    </row>
    <row r="683" spans="1:26" x14ac:dyDescent="0.5">
      <c r="A683" s="1739"/>
      <c r="N683" s="1834"/>
      <c r="O683" s="1739"/>
      <c r="Z683" s="1739"/>
    </row>
    <row r="684" spans="1:26" x14ac:dyDescent="0.5">
      <c r="A684" s="1739"/>
      <c r="N684" s="1834"/>
      <c r="O684" s="1739"/>
      <c r="Z684" s="1739"/>
    </row>
    <row r="685" spans="1:26" x14ac:dyDescent="0.5">
      <c r="A685" s="1739"/>
      <c r="N685" s="1834"/>
      <c r="O685" s="1739"/>
      <c r="Z685" s="1739"/>
    </row>
    <row r="686" spans="1:26" x14ac:dyDescent="0.5">
      <c r="A686" s="1739"/>
      <c r="N686" s="1834"/>
      <c r="O686" s="1739"/>
      <c r="Z686" s="1739"/>
    </row>
    <row r="687" spans="1:26" x14ac:dyDescent="0.5">
      <c r="A687" s="1739"/>
      <c r="N687" s="1834"/>
      <c r="O687" s="1739"/>
      <c r="Z687" s="1739"/>
    </row>
    <row r="688" spans="1:26" x14ac:dyDescent="0.5">
      <c r="A688" s="1739"/>
      <c r="N688" s="1834"/>
      <c r="O688" s="1739"/>
      <c r="Z688" s="1739"/>
    </row>
    <row r="689" spans="1:26" x14ac:dyDescent="0.5">
      <c r="A689" s="1739"/>
      <c r="N689" s="1834"/>
      <c r="O689" s="1739"/>
      <c r="Z689" s="1739"/>
    </row>
    <row r="690" spans="1:26" x14ac:dyDescent="0.5">
      <c r="A690" s="1739"/>
      <c r="N690" s="1834"/>
      <c r="O690" s="1739"/>
      <c r="Z690" s="1739"/>
    </row>
    <row r="691" spans="1:26" x14ac:dyDescent="0.5">
      <c r="A691" s="1739"/>
      <c r="N691" s="1834"/>
      <c r="O691" s="1739"/>
      <c r="Z691" s="1739"/>
    </row>
    <row r="692" spans="1:26" x14ac:dyDescent="0.5">
      <c r="A692" s="1739"/>
      <c r="N692" s="1834"/>
      <c r="O692" s="1739"/>
      <c r="Z692" s="1739"/>
    </row>
    <row r="693" spans="1:26" x14ac:dyDescent="0.5">
      <c r="A693" s="1739"/>
      <c r="N693" s="1834"/>
      <c r="O693" s="1739"/>
      <c r="Z693" s="1739"/>
    </row>
    <row r="694" spans="1:26" x14ac:dyDescent="0.5">
      <c r="A694" s="1739"/>
      <c r="N694" s="1834"/>
      <c r="O694" s="1739"/>
      <c r="Z694" s="1739"/>
    </row>
    <row r="695" spans="1:26" x14ac:dyDescent="0.5">
      <c r="A695" s="1739"/>
      <c r="N695" s="1834"/>
      <c r="O695" s="1739"/>
      <c r="Z695" s="1739"/>
    </row>
    <row r="696" spans="1:26" x14ac:dyDescent="0.5">
      <c r="A696" s="1739"/>
      <c r="N696" s="1834"/>
      <c r="O696" s="1739"/>
      <c r="Z696" s="1739"/>
    </row>
    <row r="697" spans="1:26" x14ac:dyDescent="0.5">
      <c r="A697" s="1739"/>
      <c r="N697" s="1834"/>
      <c r="O697" s="1739"/>
      <c r="Z697" s="1739"/>
    </row>
    <row r="698" spans="1:26" x14ac:dyDescent="0.5">
      <c r="A698" s="1739"/>
      <c r="N698" s="1834"/>
      <c r="O698" s="1739"/>
      <c r="Z698" s="1739"/>
    </row>
    <row r="699" spans="1:26" x14ac:dyDescent="0.5">
      <c r="A699" s="1739"/>
      <c r="N699" s="1834"/>
      <c r="O699" s="1739"/>
      <c r="Z699" s="1739"/>
    </row>
    <row r="700" spans="1:26" x14ac:dyDescent="0.5">
      <c r="A700" s="1739"/>
      <c r="N700" s="1834"/>
      <c r="O700" s="1739"/>
      <c r="Z700" s="1739"/>
    </row>
    <row r="701" spans="1:26" x14ac:dyDescent="0.5">
      <c r="A701" s="1739"/>
      <c r="N701" s="1834"/>
      <c r="O701" s="1739"/>
      <c r="Z701" s="1739"/>
    </row>
    <row r="702" spans="1:26" x14ac:dyDescent="0.5">
      <c r="A702" s="1739"/>
      <c r="N702" s="1834"/>
      <c r="O702" s="1739"/>
      <c r="Z702" s="1739"/>
    </row>
    <row r="703" spans="1:26" x14ac:dyDescent="0.5">
      <c r="A703" s="1739"/>
      <c r="N703" s="1834"/>
      <c r="O703" s="1739"/>
      <c r="Z703" s="1739"/>
    </row>
    <row r="704" spans="1:26" x14ac:dyDescent="0.5">
      <c r="A704" s="1739"/>
      <c r="N704" s="1834"/>
      <c r="O704" s="1739"/>
      <c r="Z704" s="1739"/>
    </row>
    <row r="705" spans="1:26" x14ac:dyDescent="0.5">
      <c r="A705" s="1739"/>
      <c r="N705" s="1834"/>
      <c r="O705" s="1739"/>
      <c r="Z705" s="1739"/>
    </row>
    <row r="706" spans="1:26" x14ac:dyDescent="0.5">
      <c r="A706" s="1739"/>
      <c r="N706" s="1834"/>
      <c r="O706" s="1739"/>
      <c r="Z706" s="1739"/>
    </row>
    <row r="707" spans="1:26" x14ac:dyDescent="0.5">
      <c r="A707" s="1739"/>
      <c r="N707" s="1834"/>
      <c r="O707" s="1739"/>
      <c r="Z707" s="1739"/>
    </row>
    <row r="708" spans="1:26" x14ac:dyDescent="0.5">
      <c r="A708" s="1739"/>
      <c r="N708" s="1834"/>
      <c r="O708" s="1739"/>
      <c r="Z708" s="1739"/>
    </row>
    <row r="709" spans="1:26" x14ac:dyDescent="0.5">
      <c r="A709" s="1739"/>
      <c r="N709" s="1834"/>
      <c r="O709" s="1739"/>
      <c r="Z709" s="1739"/>
    </row>
    <row r="710" spans="1:26" x14ac:dyDescent="0.5">
      <c r="A710" s="1739"/>
      <c r="N710" s="1834"/>
      <c r="O710" s="1739"/>
      <c r="Z710" s="1739"/>
    </row>
    <row r="711" spans="1:26" x14ac:dyDescent="0.5">
      <c r="A711" s="1739"/>
      <c r="N711" s="1834"/>
      <c r="O711" s="1739"/>
      <c r="Z711" s="1739"/>
    </row>
  </sheetData>
  <protectedRanges>
    <protectedRange password="CC6F" sqref="B17" name="ช่วง1_5_1_5_1_1"/>
    <protectedRange password="CC6F" sqref="B8:B9 B12:B15" name="ช่วง1_5_1_5_1_1_1"/>
    <protectedRange password="CC6F" sqref="B16 B11" name="ช่วง1_5_1_5_1_1_4"/>
    <protectedRange password="CC6F" sqref="B10" name="ช่วง1_5_1_5_1_1_5"/>
  </protectedRanges>
  <mergeCells count="18">
    <mergeCell ref="X6:X7"/>
    <mergeCell ref="A18:C18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02FE-68C0-4C71-971B-FA299D523D3D}">
  <sheetPr>
    <pageSetUpPr fitToPage="1"/>
  </sheetPr>
  <dimension ref="A1:AC708"/>
  <sheetViews>
    <sheetView zoomScale="90" zoomScaleNormal="90" zoomScaleSheetLayoutView="9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6" customWidth="1"/>
    <col min="15" max="15" width="11.09765625" style="1460" customWidth="1"/>
    <col min="16" max="16" width="11.09765625" style="1399" hidden="1" customWidth="1"/>
    <col min="17" max="17" width="11.09765625" style="1399" customWidth="1"/>
    <col min="18" max="18" width="11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x14ac:dyDescent="0.6">
      <c r="A1" s="1735" t="s">
        <v>8899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9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9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9" x14ac:dyDescent="0.6">
      <c r="A4" s="1408" t="s">
        <v>2185</v>
      </c>
      <c r="B4" s="1408" t="s">
        <v>8900</v>
      </c>
      <c r="C4" s="1849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412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29" x14ac:dyDescent="0.6">
      <c r="A5" s="1417"/>
      <c r="B5" s="1417"/>
      <c r="C5" s="1850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29" x14ac:dyDescent="0.6">
      <c r="A6" s="1417"/>
      <c r="B6" s="1417"/>
      <c r="C6" s="1850" t="s">
        <v>7786</v>
      </c>
      <c r="D6" s="1423" t="s">
        <v>7787</v>
      </c>
      <c r="E6" s="1412" t="s">
        <v>7788</v>
      </c>
      <c r="F6" s="1423" t="s">
        <v>7789</v>
      </c>
      <c r="G6" s="1412" t="s">
        <v>7790</v>
      </c>
      <c r="H6" s="1423" t="s">
        <v>7791</v>
      </c>
      <c r="I6" s="1412" t="s">
        <v>7792</v>
      </c>
      <c r="J6" s="1418" t="s">
        <v>7793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29" x14ac:dyDescent="0.6">
      <c r="A7" s="1425"/>
      <c r="B7" s="1425"/>
      <c r="C7" s="1851" t="s">
        <v>7796</v>
      </c>
      <c r="D7" s="1426"/>
      <c r="E7" s="1427"/>
      <c r="F7" s="1426"/>
      <c r="G7" s="1427"/>
      <c r="H7" s="1426"/>
      <c r="I7" s="1427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29" s="1388" customFormat="1" ht="23.25" customHeight="1" x14ac:dyDescent="0.25">
      <c r="A8" s="1279">
        <v>1</v>
      </c>
      <c r="B8" s="1211" t="s">
        <v>8901</v>
      </c>
      <c r="C8" s="1383" t="s">
        <v>7808</v>
      </c>
      <c r="D8" s="1343">
        <v>15</v>
      </c>
      <c r="E8" s="1374">
        <v>1500</v>
      </c>
      <c r="F8" s="1386">
        <v>20</v>
      </c>
      <c r="G8" s="1345">
        <v>2000</v>
      </c>
      <c r="H8" s="1386">
        <v>30</v>
      </c>
      <c r="I8" s="1347">
        <v>3000</v>
      </c>
      <c r="J8" s="1348">
        <v>37</v>
      </c>
      <c r="K8" s="1349">
        <v>7</v>
      </c>
      <c r="L8" s="1350">
        <f>K8*N8</f>
        <v>2730</v>
      </c>
      <c r="M8" s="1351">
        <f>J8-K8</f>
        <v>30</v>
      </c>
      <c r="N8" s="1352">
        <v>390</v>
      </c>
      <c r="O8" s="1353">
        <f>M8*N8</f>
        <v>11700</v>
      </c>
      <c r="P8" s="1354">
        <v>0</v>
      </c>
      <c r="Q8" s="1354">
        <f>P8*N8</f>
        <v>0</v>
      </c>
      <c r="R8" s="1354">
        <v>10</v>
      </c>
      <c r="S8" s="1355">
        <f>R8*N8</f>
        <v>3900</v>
      </c>
      <c r="T8" s="1354">
        <v>10</v>
      </c>
      <c r="U8" s="1355">
        <f>T8*N8</f>
        <v>3900</v>
      </c>
      <c r="V8" s="1354">
        <v>10</v>
      </c>
      <c r="W8" s="1355">
        <f>V8*N8</f>
        <v>3900</v>
      </c>
      <c r="X8" s="1356">
        <f>P8+R8+T8+V8</f>
        <v>30</v>
      </c>
      <c r="Y8" s="1356">
        <f>Q8+S8+U8+W8</f>
        <v>11700</v>
      </c>
      <c r="Z8" s="1357" t="s">
        <v>7799</v>
      </c>
      <c r="AA8" s="1358" t="s">
        <v>6531</v>
      </c>
      <c r="AB8" s="1359" t="str">
        <f t="shared" ref="AB8:AB15" si="0">IF(O8=Y8,"yes")</f>
        <v>yes</v>
      </c>
      <c r="AC8" s="1736" t="str">
        <f>IF(O8=Y8,"ok")</f>
        <v>ok</v>
      </c>
    </row>
    <row r="9" spans="1:29" s="1359" customFormat="1" ht="20.25" customHeight="1" x14ac:dyDescent="0.25">
      <c r="A9" s="1279">
        <v>2</v>
      </c>
      <c r="B9" s="1211" t="s">
        <v>8902</v>
      </c>
      <c r="C9" s="1383" t="s">
        <v>8208</v>
      </c>
      <c r="D9" s="1345">
        <v>5</v>
      </c>
      <c r="E9" s="1374">
        <v>1600</v>
      </c>
      <c r="F9" s="1356">
        <v>10</v>
      </c>
      <c r="G9" s="1345">
        <v>1600</v>
      </c>
      <c r="H9" s="1356">
        <v>15</v>
      </c>
      <c r="I9" s="1347">
        <f t="shared" ref="I9:I14" si="1">H9*N9</f>
        <v>2400</v>
      </c>
      <c r="J9" s="1361">
        <v>20</v>
      </c>
      <c r="K9" s="1349">
        <v>0</v>
      </c>
      <c r="L9" s="1350">
        <f t="shared" ref="L9:L14" si="2">K9*N9</f>
        <v>0</v>
      </c>
      <c r="M9" s="1351">
        <f t="shared" ref="M9:M14" si="3">J9-K9</f>
        <v>20</v>
      </c>
      <c r="N9" s="1363">
        <v>160</v>
      </c>
      <c r="O9" s="1353">
        <f t="shared" ref="O9:O14" si="4">M9*N9</f>
        <v>3200</v>
      </c>
      <c r="P9" s="1350">
        <v>0</v>
      </c>
      <c r="Q9" s="1354">
        <f t="shared" ref="Q9:Q14" si="5">P9*N9</f>
        <v>0</v>
      </c>
      <c r="R9" s="1350">
        <v>10</v>
      </c>
      <c r="S9" s="1355">
        <f t="shared" ref="S9:S14" si="6">R9*N9</f>
        <v>1600</v>
      </c>
      <c r="T9" s="1356">
        <v>0</v>
      </c>
      <c r="U9" s="1355">
        <f t="shared" ref="U9:U14" si="7">T9*N9</f>
        <v>0</v>
      </c>
      <c r="V9" s="1356">
        <v>10</v>
      </c>
      <c r="W9" s="1355">
        <f t="shared" ref="W9:W14" si="8">V9*N9</f>
        <v>1600</v>
      </c>
      <c r="X9" s="1356">
        <f t="shared" ref="X9:X14" si="9">P9+R9+T9+V9</f>
        <v>20</v>
      </c>
      <c r="Y9" s="1356">
        <f t="shared" ref="Y9:Y14" si="10">X9*N9</f>
        <v>3200</v>
      </c>
      <c r="Z9" s="1357" t="s">
        <v>7799</v>
      </c>
      <c r="AA9" s="1358" t="s">
        <v>6531</v>
      </c>
      <c r="AB9" s="1359" t="str">
        <f t="shared" si="0"/>
        <v>yes</v>
      </c>
      <c r="AC9" s="1736" t="str">
        <f t="shared" ref="AC9:AC15" si="11">IF(O9=Y9,"ok")</f>
        <v>ok</v>
      </c>
    </row>
    <row r="10" spans="1:29" s="1359" customFormat="1" ht="20.25" customHeight="1" x14ac:dyDescent="0.25">
      <c r="A10" s="1279">
        <v>3</v>
      </c>
      <c r="B10" s="1211" t="s">
        <v>8903</v>
      </c>
      <c r="C10" s="1383" t="s">
        <v>7808</v>
      </c>
      <c r="D10" s="1345">
        <v>1</v>
      </c>
      <c r="E10" s="1374">
        <v>2000</v>
      </c>
      <c r="F10" s="1356">
        <v>3</v>
      </c>
      <c r="G10" s="1345">
        <v>2000</v>
      </c>
      <c r="H10" s="1356">
        <v>3</v>
      </c>
      <c r="I10" s="1347">
        <f t="shared" si="1"/>
        <v>6000</v>
      </c>
      <c r="J10" s="1361">
        <v>3</v>
      </c>
      <c r="K10" s="1349">
        <v>0</v>
      </c>
      <c r="L10" s="1350">
        <f t="shared" si="2"/>
        <v>0</v>
      </c>
      <c r="M10" s="1351">
        <f t="shared" si="3"/>
        <v>3</v>
      </c>
      <c r="N10" s="1363">
        <v>2000</v>
      </c>
      <c r="O10" s="1353">
        <f t="shared" si="4"/>
        <v>6000</v>
      </c>
      <c r="P10" s="1350">
        <v>1</v>
      </c>
      <c r="Q10" s="1354">
        <f t="shared" si="5"/>
        <v>2000</v>
      </c>
      <c r="R10" s="1356">
        <v>1</v>
      </c>
      <c r="S10" s="1355">
        <f t="shared" si="6"/>
        <v>2000</v>
      </c>
      <c r="T10" s="1350">
        <v>1</v>
      </c>
      <c r="U10" s="1355">
        <f t="shared" si="7"/>
        <v>2000</v>
      </c>
      <c r="V10" s="1356">
        <v>0</v>
      </c>
      <c r="W10" s="1355">
        <f t="shared" si="8"/>
        <v>0</v>
      </c>
      <c r="X10" s="1356">
        <f t="shared" si="9"/>
        <v>3</v>
      </c>
      <c r="Y10" s="1356">
        <f t="shared" si="10"/>
        <v>6000</v>
      </c>
      <c r="Z10" s="1357" t="s">
        <v>7799</v>
      </c>
      <c r="AA10" s="1358" t="s">
        <v>6531</v>
      </c>
      <c r="AB10" s="1359" t="str">
        <f t="shared" si="0"/>
        <v>yes</v>
      </c>
      <c r="AC10" s="1736" t="str">
        <f t="shared" si="11"/>
        <v>ok</v>
      </c>
    </row>
    <row r="11" spans="1:29" s="1359" customFormat="1" ht="20.25" customHeight="1" x14ac:dyDescent="0.25">
      <c r="A11" s="1279">
        <v>4</v>
      </c>
      <c r="B11" s="1211" t="s">
        <v>8904</v>
      </c>
      <c r="C11" s="1383" t="s">
        <v>8097</v>
      </c>
      <c r="D11" s="1345">
        <v>2</v>
      </c>
      <c r="E11" s="1374">
        <v>2400</v>
      </c>
      <c r="F11" s="1356">
        <v>5</v>
      </c>
      <c r="G11" s="1345">
        <v>2400</v>
      </c>
      <c r="H11" s="1356">
        <v>0</v>
      </c>
      <c r="I11" s="1347">
        <f t="shared" si="1"/>
        <v>0</v>
      </c>
      <c r="J11" s="1361">
        <v>5</v>
      </c>
      <c r="K11" s="1349">
        <v>0</v>
      </c>
      <c r="L11" s="1350">
        <f t="shared" si="2"/>
        <v>0</v>
      </c>
      <c r="M11" s="1351">
        <f t="shared" si="3"/>
        <v>5</v>
      </c>
      <c r="N11" s="1363">
        <v>1350</v>
      </c>
      <c r="O11" s="1353">
        <f t="shared" si="4"/>
        <v>6750</v>
      </c>
      <c r="P11" s="1356">
        <v>0</v>
      </c>
      <c r="Q11" s="1354">
        <f t="shared" si="5"/>
        <v>0</v>
      </c>
      <c r="R11" s="1350">
        <v>2</v>
      </c>
      <c r="S11" s="1355">
        <f t="shared" si="6"/>
        <v>2700</v>
      </c>
      <c r="T11" s="1356">
        <v>0</v>
      </c>
      <c r="U11" s="1355">
        <f t="shared" si="7"/>
        <v>0</v>
      </c>
      <c r="V11" s="1350">
        <v>3</v>
      </c>
      <c r="W11" s="1355">
        <f t="shared" si="8"/>
        <v>4050</v>
      </c>
      <c r="X11" s="1356">
        <f t="shared" si="9"/>
        <v>5</v>
      </c>
      <c r="Y11" s="1356">
        <f t="shared" si="10"/>
        <v>6750</v>
      </c>
      <c r="Z11" s="1357" t="s">
        <v>7799</v>
      </c>
      <c r="AA11" s="1358" t="s">
        <v>6531</v>
      </c>
      <c r="AB11" s="1359" t="str">
        <f t="shared" si="0"/>
        <v>yes</v>
      </c>
      <c r="AC11" s="1736" t="str">
        <f t="shared" si="11"/>
        <v>ok</v>
      </c>
    </row>
    <row r="12" spans="1:29" s="1359" customFormat="1" ht="20.25" customHeight="1" x14ac:dyDescent="0.25">
      <c r="A12" s="1279">
        <v>5</v>
      </c>
      <c r="B12" s="1211" t="s">
        <v>8905</v>
      </c>
      <c r="C12" s="1383" t="s">
        <v>7798</v>
      </c>
      <c r="D12" s="1345">
        <v>0</v>
      </c>
      <c r="E12" s="1374">
        <v>0</v>
      </c>
      <c r="F12" s="1356">
        <v>10</v>
      </c>
      <c r="G12" s="1345">
        <v>1750</v>
      </c>
      <c r="H12" s="1356">
        <v>10</v>
      </c>
      <c r="I12" s="1347">
        <f t="shared" si="1"/>
        <v>1800</v>
      </c>
      <c r="J12" s="1361">
        <v>15</v>
      </c>
      <c r="K12" s="1349">
        <v>0</v>
      </c>
      <c r="L12" s="1350">
        <f t="shared" si="2"/>
        <v>0</v>
      </c>
      <c r="M12" s="1351">
        <f t="shared" si="3"/>
        <v>15</v>
      </c>
      <c r="N12" s="1363">
        <v>180</v>
      </c>
      <c r="O12" s="1353">
        <f t="shared" si="4"/>
        <v>2700</v>
      </c>
      <c r="P12" s="1350">
        <v>5</v>
      </c>
      <c r="Q12" s="1354">
        <f t="shared" si="5"/>
        <v>900</v>
      </c>
      <c r="R12" s="1350">
        <v>0</v>
      </c>
      <c r="S12" s="1355">
        <f t="shared" si="6"/>
        <v>0</v>
      </c>
      <c r="T12" s="1356">
        <v>5</v>
      </c>
      <c r="U12" s="1355">
        <f t="shared" si="7"/>
        <v>900</v>
      </c>
      <c r="V12" s="1356">
        <v>5</v>
      </c>
      <c r="W12" s="1355">
        <f t="shared" si="8"/>
        <v>900</v>
      </c>
      <c r="X12" s="1356">
        <f t="shared" si="9"/>
        <v>15</v>
      </c>
      <c r="Y12" s="1356">
        <f t="shared" si="10"/>
        <v>2700</v>
      </c>
      <c r="Z12" s="1357" t="s">
        <v>7799</v>
      </c>
      <c r="AA12" s="1358" t="s">
        <v>6531</v>
      </c>
      <c r="AB12" s="1359" t="str">
        <f t="shared" si="0"/>
        <v>yes</v>
      </c>
      <c r="AC12" s="1736" t="str">
        <f t="shared" si="11"/>
        <v>ok</v>
      </c>
    </row>
    <row r="13" spans="1:29" s="1359" customFormat="1" ht="20.25" customHeight="1" x14ac:dyDescent="0.25">
      <c r="A13" s="1279">
        <v>6</v>
      </c>
      <c r="B13" s="1211" t="s">
        <v>8906</v>
      </c>
      <c r="C13" s="1383" t="s">
        <v>8907</v>
      </c>
      <c r="D13" s="1345">
        <v>0</v>
      </c>
      <c r="E13" s="1374">
        <v>0</v>
      </c>
      <c r="F13" s="1356">
        <v>4</v>
      </c>
      <c r="G13" s="1345">
        <v>40000</v>
      </c>
      <c r="H13" s="1356">
        <v>0</v>
      </c>
      <c r="I13" s="1347">
        <f t="shared" si="1"/>
        <v>0</v>
      </c>
      <c r="J13" s="1361">
        <v>2</v>
      </c>
      <c r="K13" s="1349">
        <v>0</v>
      </c>
      <c r="L13" s="1350">
        <f t="shared" si="2"/>
        <v>0</v>
      </c>
      <c r="M13" s="1351">
        <f t="shared" si="3"/>
        <v>2</v>
      </c>
      <c r="N13" s="1363">
        <v>50000</v>
      </c>
      <c r="O13" s="1353">
        <f t="shared" si="4"/>
        <v>100000</v>
      </c>
      <c r="P13" s="1350">
        <v>1</v>
      </c>
      <c r="Q13" s="1354">
        <f t="shared" si="5"/>
        <v>50000</v>
      </c>
      <c r="R13" s="1350">
        <v>0</v>
      </c>
      <c r="S13" s="1355">
        <f t="shared" si="6"/>
        <v>0</v>
      </c>
      <c r="T13" s="1356">
        <v>1</v>
      </c>
      <c r="U13" s="1355">
        <f t="shared" si="7"/>
        <v>50000</v>
      </c>
      <c r="V13" s="1356">
        <v>0</v>
      </c>
      <c r="W13" s="1355">
        <f t="shared" si="8"/>
        <v>0</v>
      </c>
      <c r="X13" s="1356">
        <f t="shared" si="9"/>
        <v>2</v>
      </c>
      <c r="Y13" s="1356">
        <f t="shared" si="10"/>
        <v>100000</v>
      </c>
      <c r="Z13" s="1357" t="s">
        <v>7799</v>
      </c>
      <c r="AA13" s="1358" t="s">
        <v>6531</v>
      </c>
      <c r="AB13" s="1359" t="str">
        <f t="shared" si="0"/>
        <v>yes</v>
      </c>
      <c r="AC13" s="1736" t="str">
        <f t="shared" si="11"/>
        <v>ok</v>
      </c>
    </row>
    <row r="14" spans="1:29" s="1359" customFormat="1" ht="20.25" customHeight="1" x14ac:dyDescent="0.25">
      <c r="A14" s="1279">
        <v>6</v>
      </c>
      <c r="B14" s="1211" t="s">
        <v>8908</v>
      </c>
      <c r="C14" s="1383" t="s">
        <v>7798</v>
      </c>
      <c r="D14" s="1345">
        <v>0</v>
      </c>
      <c r="E14" s="1374">
        <v>0</v>
      </c>
      <c r="F14" s="1356">
        <v>0</v>
      </c>
      <c r="G14" s="1345">
        <v>0</v>
      </c>
      <c r="H14" s="1356">
        <v>0</v>
      </c>
      <c r="I14" s="1347">
        <f t="shared" si="1"/>
        <v>0</v>
      </c>
      <c r="J14" s="1361">
        <v>3</v>
      </c>
      <c r="K14" s="1349">
        <v>0</v>
      </c>
      <c r="L14" s="1350">
        <f t="shared" si="2"/>
        <v>0</v>
      </c>
      <c r="M14" s="1351">
        <f t="shared" si="3"/>
        <v>3</v>
      </c>
      <c r="N14" s="1363">
        <v>1200</v>
      </c>
      <c r="O14" s="1353">
        <f t="shared" si="4"/>
        <v>3600</v>
      </c>
      <c r="P14" s="1350">
        <v>1</v>
      </c>
      <c r="Q14" s="1354">
        <f t="shared" si="5"/>
        <v>1200</v>
      </c>
      <c r="R14" s="1350">
        <v>0</v>
      </c>
      <c r="S14" s="1355">
        <f t="shared" si="6"/>
        <v>0</v>
      </c>
      <c r="T14" s="1356">
        <v>1</v>
      </c>
      <c r="U14" s="1355">
        <f t="shared" si="7"/>
        <v>1200</v>
      </c>
      <c r="V14" s="1356">
        <v>1</v>
      </c>
      <c r="W14" s="1355">
        <f t="shared" si="8"/>
        <v>1200</v>
      </c>
      <c r="X14" s="1356">
        <f t="shared" si="9"/>
        <v>3</v>
      </c>
      <c r="Y14" s="1356">
        <f t="shared" si="10"/>
        <v>3600</v>
      </c>
      <c r="Z14" s="1357" t="s">
        <v>7799</v>
      </c>
      <c r="AA14" s="1358" t="s">
        <v>6531</v>
      </c>
      <c r="AB14" s="1359" t="str">
        <f t="shared" si="0"/>
        <v>yes</v>
      </c>
      <c r="AC14" s="1736" t="str">
        <f t="shared" si="11"/>
        <v>ok</v>
      </c>
    </row>
    <row r="15" spans="1:29" s="1393" customFormat="1" ht="20.25" customHeight="1" x14ac:dyDescent="0.6">
      <c r="A15" s="1389" t="s">
        <v>7433</v>
      </c>
      <c r="B15" s="1389"/>
      <c r="C15" s="1389"/>
      <c r="D15" s="1392">
        <f>SUM(D8:D14)</f>
        <v>23</v>
      </c>
      <c r="E15" s="1392">
        <f t="shared" ref="E15:Y15" si="12">SUM(E8:E14)</f>
        <v>7500</v>
      </c>
      <c r="F15" s="1392">
        <f t="shared" si="12"/>
        <v>52</v>
      </c>
      <c r="G15" s="1392">
        <f t="shared" si="12"/>
        <v>49750</v>
      </c>
      <c r="H15" s="1392">
        <f t="shared" si="12"/>
        <v>58</v>
      </c>
      <c r="I15" s="1392">
        <f t="shared" si="12"/>
        <v>13200</v>
      </c>
      <c r="J15" s="1392">
        <f t="shared" si="12"/>
        <v>85</v>
      </c>
      <c r="K15" s="1392">
        <f t="shared" si="12"/>
        <v>7</v>
      </c>
      <c r="L15" s="1392">
        <f t="shared" si="12"/>
        <v>2730</v>
      </c>
      <c r="M15" s="1392">
        <f t="shared" si="12"/>
        <v>78</v>
      </c>
      <c r="N15" s="1392">
        <f t="shared" si="12"/>
        <v>55280</v>
      </c>
      <c r="O15" s="1392">
        <f t="shared" si="12"/>
        <v>133950</v>
      </c>
      <c r="P15" s="1392">
        <f t="shared" si="12"/>
        <v>8</v>
      </c>
      <c r="Q15" s="1392">
        <f t="shared" si="12"/>
        <v>54100</v>
      </c>
      <c r="R15" s="1392">
        <f t="shared" si="12"/>
        <v>23</v>
      </c>
      <c r="S15" s="1392">
        <f t="shared" si="12"/>
        <v>10200</v>
      </c>
      <c r="T15" s="1392">
        <f t="shared" si="12"/>
        <v>18</v>
      </c>
      <c r="U15" s="1392">
        <f t="shared" si="12"/>
        <v>58000</v>
      </c>
      <c r="V15" s="1392">
        <f t="shared" si="12"/>
        <v>29</v>
      </c>
      <c r="W15" s="1392">
        <f t="shared" si="12"/>
        <v>11650</v>
      </c>
      <c r="X15" s="1392">
        <f t="shared" si="12"/>
        <v>78</v>
      </c>
      <c r="Y15" s="1392">
        <f t="shared" si="12"/>
        <v>133950</v>
      </c>
      <c r="Z15" s="1391"/>
      <c r="AA15" s="1392"/>
      <c r="AB15" s="1393" t="str">
        <f t="shared" si="0"/>
        <v>yes</v>
      </c>
      <c r="AC15" s="1736" t="str">
        <f t="shared" si="11"/>
        <v>ok</v>
      </c>
    </row>
    <row r="16" spans="1:29" ht="20.25" customHeight="1" x14ac:dyDescent="0.6">
      <c r="A16" s="1397"/>
      <c r="C16" s="1399"/>
      <c r="D16" s="1397"/>
      <c r="E16" s="1397"/>
      <c r="F16" s="1397"/>
      <c r="G16" s="1397"/>
      <c r="H16" s="1397"/>
      <c r="I16" s="1397"/>
      <c r="J16" s="1397"/>
      <c r="K16" s="1397"/>
      <c r="L16" s="1397"/>
      <c r="M16" s="1457"/>
      <c r="N16" s="1400"/>
      <c r="O16" s="1400"/>
      <c r="P16" s="1458"/>
      <c r="Q16" s="1458"/>
      <c r="R16" s="1458"/>
      <c r="S16" s="1458"/>
      <c r="T16" s="1458"/>
      <c r="U16" s="1458"/>
      <c r="V16" s="1458"/>
      <c r="W16" s="1458"/>
      <c r="X16" s="1457"/>
      <c r="Y16" s="1457"/>
      <c r="AA16" s="1402"/>
    </row>
    <row r="17" spans="1:27" ht="20.25" customHeight="1" x14ac:dyDescent="0.6">
      <c r="A17" s="1397"/>
      <c r="C17" s="1399"/>
    </row>
    <row r="18" spans="1:27" ht="20.25" customHeight="1" x14ac:dyDescent="0.6">
      <c r="B18" s="1280"/>
      <c r="D18" s="1280"/>
      <c r="E18" s="1280"/>
      <c r="F18" s="1280"/>
      <c r="G18" s="1399"/>
      <c r="M18" s="1459"/>
      <c r="N18" s="1459"/>
      <c r="O18" s="1459"/>
      <c r="P18" s="1459"/>
      <c r="Q18" s="1459"/>
      <c r="R18" s="1280"/>
      <c r="S18" s="1280"/>
      <c r="T18" s="1280"/>
      <c r="U18" s="1280"/>
      <c r="V18" s="1280"/>
      <c r="W18" s="1280"/>
      <c r="Z18" s="1280"/>
    </row>
    <row r="19" spans="1:27" ht="20.25" customHeight="1" x14ac:dyDescent="0.6">
      <c r="B19" s="1280"/>
      <c r="D19" s="1280"/>
      <c r="E19" s="1280"/>
      <c r="F19" s="1280"/>
      <c r="G19" s="1399"/>
      <c r="M19" s="1459"/>
      <c r="N19" s="1459"/>
      <c r="O19" s="1459"/>
      <c r="P19" s="1459"/>
      <c r="Q19" s="1459"/>
      <c r="R19" s="1280"/>
      <c r="S19" s="1280"/>
      <c r="T19" s="1280"/>
      <c r="U19" s="1280"/>
      <c r="V19" s="1280"/>
      <c r="W19" s="1280"/>
      <c r="Z19" s="1280"/>
    </row>
    <row r="20" spans="1:27" ht="20.25" customHeight="1" x14ac:dyDescent="0.6">
      <c r="B20" s="1280"/>
      <c r="D20" s="1280"/>
      <c r="E20" s="1280"/>
      <c r="F20" s="1280"/>
      <c r="G20" s="1399"/>
      <c r="M20" s="1459"/>
      <c r="N20" s="1459"/>
      <c r="O20" s="1459"/>
      <c r="P20" s="1459"/>
      <c r="Q20" s="1459"/>
      <c r="R20" s="1280"/>
      <c r="S20" s="1280"/>
      <c r="T20" s="1280"/>
      <c r="U20" s="1280"/>
      <c r="V20" s="1280"/>
      <c r="W20" s="1280"/>
      <c r="Z20" s="1280"/>
    </row>
    <row r="21" spans="1:27" ht="20.25" customHeight="1" x14ac:dyDescent="0.6">
      <c r="B21" s="1280"/>
      <c r="D21" s="1280"/>
      <c r="E21" s="1280"/>
      <c r="F21" s="1280"/>
      <c r="G21" s="1399"/>
      <c r="M21" s="1459"/>
      <c r="N21" s="1459"/>
      <c r="O21" s="1459"/>
      <c r="P21" s="1459"/>
      <c r="Q21" s="1459"/>
      <c r="R21" s="1459"/>
      <c r="S21" s="1459"/>
      <c r="Y21" s="1402"/>
      <c r="Z21" s="1405"/>
    </row>
    <row r="22" spans="1:27" ht="20.25" customHeight="1" x14ac:dyDescent="0.6">
      <c r="P22" s="1399" t="s">
        <v>7380</v>
      </c>
    </row>
    <row r="23" spans="1:27" ht="20.25" customHeight="1" x14ac:dyDescent="0.6">
      <c r="P23" s="1457"/>
      <c r="Q23" s="1457"/>
    </row>
    <row r="24" spans="1:27" ht="20.25" customHeight="1" x14ac:dyDescent="0.6">
      <c r="AA24" s="1401"/>
    </row>
    <row r="30" spans="1:27" x14ac:dyDescent="0.6">
      <c r="A30" s="1280"/>
      <c r="N30" s="1399"/>
      <c r="O30" s="1280"/>
      <c r="Z30" s="1280"/>
    </row>
    <row r="31" spans="1:27" x14ac:dyDescent="0.6">
      <c r="A31" s="1280"/>
      <c r="N31" s="1399"/>
      <c r="O31" s="1280"/>
      <c r="Z31" s="1280"/>
    </row>
    <row r="32" spans="1:27" x14ac:dyDescent="0.6">
      <c r="A32" s="1280"/>
      <c r="N32" s="1399"/>
      <c r="O32" s="1280"/>
      <c r="Z32" s="1280"/>
    </row>
    <row r="33" spans="2:23" s="1280" customFormat="1" x14ac:dyDescent="0.6">
      <c r="B33" s="1461"/>
      <c r="D33" s="1459"/>
      <c r="E33" s="1459"/>
      <c r="F33" s="1459"/>
      <c r="G33" s="1459"/>
      <c r="H33" s="1459"/>
      <c r="I33" s="1459"/>
      <c r="J33" s="1459"/>
      <c r="K33" s="1459"/>
      <c r="L33" s="1459"/>
      <c r="N33" s="1399"/>
      <c r="P33" s="1399"/>
      <c r="Q33" s="1399"/>
      <c r="R33" s="1399"/>
      <c r="S33" s="1399"/>
      <c r="T33" s="1399"/>
      <c r="U33" s="1399"/>
      <c r="V33" s="1399"/>
      <c r="W33" s="1399"/>
    </row>
    <row r="34" spans="2:23" s="1280" customFormat="1" x14ac:dyDescent="0.6">
      <c r="B34" s="1461"/>
      <c r="D34" s="1459"/>
      <c r="E34" s="1459"/>
      <c r="F34" s="1459"/>
      <c r="G34" s="1459"/>
      <c r="H34" s="1459"/>
      <c r="I34" s="1459"/>
      <c r="J34" s="1459"/>
      <c r="K34" s="1459"/>
      <c r="L34" s="1459"/>
      <c r="N34" s="1399"/>
      <c r="P34" s="1399"/>
      <c r="Q34" s="1399"/>
      <c r="R34" s="1399"/>
      <c r="S34" s="1399"/>
      <c r="T34" s="1399"/>
      <c r="U34" s="1399"/>
      <c r="V34" s="1399"/>
      <c r="W34" s="1399"/>
    </row>
    <row r="35" spans="2:23" s="1280" customFormat="1" x14ac:dyDescent="0.6">
      <c r="B35" s="1461"/>
      <c r="D35" s="1459"/>
      <c r="E35" s="1459"/>
      <c r="F35" s="1459"/>
      <c r="G35" s="1459"/>
      <c r="H35" s="1459"/>
      <c r="I35" s="1459"/>
      <c r="J35" s="1459"/>
      <c r="K35" s="1459"/>
      <c r="L35" s="1459"/>
      <c r="N35" s="1399"/>
      <c r="P35" s="1399"/>
      <c r="Q35" s="1399"/>
      <c r="R35" s="1399"/>
      <c r="S35" s="1399"/>
      <c r="T35" s="1399"/>
      <c r="U35" s="1399"/>
      <c r="V35" s="1399"/>
      <c r="W35" s="1399"/>
    </row>
    <row r="36" spans="2:23" s="1280" customFormat="1" x14ac:dyDescent="0.6">
      <c r="B36" s="1461"/>
      <c r="D36" s="1459"/>
      <c r="E36" s="1459"/>
      <c r="F36" s="1459"/>
      <c r="G36" s="1459"/>
      <c r="H36" s="1459"/>
      <c r="I36" s="1459"/>
      <c r="J36" s="1459"/>
      <c r="K36" s="1459"/>
      <c r="L36" s="1459"/>
      <c r="N36" s="1399"/>
      <c r="P36" s="1399"/>
      <c r="Q36" s="1399"/>
      <c r="R36" s="1399"/>
      <c r="S36" s="1399"/>
      <c r="T36" s="1399"/>
      <c r="U36" s="1399"/>
      <c r="V36" s="1399"/>
      <c r="W36" s="1399"/>
    </row>
    <row r="37" spans="2:23" s="1280" customFormat="1" x14ac:dyDescent="0.6">
      <c r="B37" s="1461"/>
      <c r="D37" s="1459"/>
      <c r="E37" s="1459"/>
      <c r="F37" s="1459"/>
      <c r="G37" s="1459"/>
      <c r="H37" s="1459"/>
      <c r="I37" s="1459"/>
      <c r="J37" s="1459"/>
      <c r="K37" s="1459"/>
      <c r="L37" s="1459"/>
      <c r="N37" s="1399"/>
      <c r="P37" s="1399"/>
      <c r="Q37" s="1399"/>
      <c r="R37" s="1399"/>
      <c r="S37" s="1399"/>
      <c r="T37" s="1399"/>
      <c r="U37" s="1399"/>
      <c r="V37" s="1399"/>
      <c r="W37" s="1399"/>
    </row>
    <row r="38" spans="2:23" s="1280" customFormat="1" x14ac:dyDescent="0.6">
      <c r="B38" s="1461"/>
      <c r="D38" s="1459"/>
      <c r="E38" s="1459"/>
      <c r="F38" s="1459"/>
      <c r="G38" s="1459"/>
      <c r="H38" s="1459"/>
      <c r="I38" s="1459"/>
      <c r="J38" s="1459"/>
      <c r="K38" s="1459"/>
      <c r="L38" s="1459"/>
      <c r="N38" s="1399"/>
      <c r="P38" s="1399"/>
      <c r="Q38" s="1399"/>
      <c r="R38" s="1399"/>
      <c r="S38" s="1399"/>
      <c r="T38" s="1399"/>
      <c r="U38" s="1399"/>
      <c r="V38" s="1399"/>
      <c r="W38" s="1399"/>
    </row>
    <row r="39" spans="2:23" s="1280" customFormat="1" x14ac:dyDescent="0.6">
      <c r="B39" s="1461"/>
      <c r="D39" s="1459"/>
      <c r="E39" s="1459"/>
      <c r="F39" s="1459"/>
      <c r="G39" s="1459"/>
      <c r="H39" s="1459"/>
      <c r="I39" s="1459"/>
      <c r="J39" s="1459"/>
      <c r="K39" s="1459"/>
      <c r="L39" s="1459"/>
      <c r="N39" s="1399"/>
      <c r="P39" s="1399"/>
      <c r="Q39" s="1399"/>
      <c r="R39" s="1399"/>
      <c r="S39" s="1399"/>
      <c r="T39" s="1399"/>
      <c r="U39" s="1399"/>
      <c r="V39" s="1399"/>
      <c r="W39" s="1399"/>
    </row>
    <row r="40" spans="2:23" s="1280" customFormat="1" x14ac:dyDescent="0.6">
      <c r="B40" s="1461"/>
      <c r="D40" s="1459"/>
      <c r="E40" s="1459"/>
      <c r="F40" s="1459"/>
      <c r="G40" s="1459"/>
      <c r="H40" s="1459"/>
      <c r="I40" s="1459"/>
      <c r="J40" s="1459"/>
      <c r="K40" s="1459"/>
      <c r="L40" s="1459"/>
      <c r="N40" s="1399"/>
      <c r="P40" s="1399"/>
      <c r="Q40" s="1399"/>
      <c r="R40" s="1399"/>
      <c r="S40" s="1399"/>
      <c r="T40" s="1399"/>
      <c r="U40" s="1399"/>
      <c r="V40" s="1399"/>
      <c r="W40" s="1399"/>
    </row>
    <row r="41" spans="2:23" s="1280" customFormat="1" x14ac:dyDescent="0.6">
      <c r="B41" s="1461"/>
      <c r="D41" s="1459"/>
      <c r="E41" s="1459"/>
      <c r="F41" s="1459"/>
      <c r="G41" s="1459"/>
      <c r="H41" s="1459"/>
      <c r="I41" s="1459"/>
      <c r="J41" s="1459"/>
      <c r="K41" s="1459"/>
      <c r="L41" s="1459"/>
      <c r="N41" s="1399"/>
      <c r="P41" s="1399"/>
      <c r="Q41" s="1399"/>
      <c r="R41" s="1399"/>
      <c r="S41" s="1399"/>
      <c r="T41" s="1399"/>
      <c r="U41" s="1399"/>
      <c r="V41" s="1399"/>
      <c r="W41" s="1399"/>
    </row>
    <row r="42" spans="2:23" s="1280" customFormat="1" x14ac:dyDescent="0.6">
      <c r="B42" s="1461"/>
      <c r="D42" s="1459"/>
      <c r="E42" s="1459"/>
      <c r="F42" s="1459"/>
      <c r="G42" s="1459"/>
      <c r="H42" s="1459"/>
      <c r="I42" s="1459"/>
      <c r="J42" s="1459"/>
      <c r="K42" s="1459"/>
      <c r="L42" s="1459"/>
      <c r="N42" s="1399"/>
      <c r="P42" s="1399"/>
      <c r="Q42" s="1399"/>
      <c r="R42" s="1399"/>
      <c r="S42" s="1399"/>
      <c r="T42" s="1399"/>
      <c r="U42" s="1399"/>
      <c r="V42" s="1399"/>
      <c r="W42" s="1399"/>
    </row>
    <row r="43" spans="2:23" s="1280" customFormat="1" x14ac:dyDescent="0.6">
      <c r="B43" s="1461"/>
      <c r="D43" s="1459"/>
      <c r="E43" s="1459"/>
      <c r="F43" s="1459"/>
      <c r="G43" s="1459"/>
      <c r="H43" s="1459"/>
      <c r="I43" s="1459"/>
      <c r="J43" s="1459"/>
      <c r="K43" s="1459"/>
      <c r="L43" s="1459"/>
      <c r="N43" s="1399"/>
      <c r="P43" s="1399"/>
      <c r="Q43" s="1399"/>
      <c r="R43" s="1399"/>
      <c r="S43" s="1399"/>
      <c r="T43" s="1399"/>
      <c r="U43" s="1399"/>
      <c r="V43" s="1399"/>
      <c r="W43" s="1399"/>
    </row>
    <row r="44" spans="2:23" s="1280" customFormat="1" x14ac:dyDescent="0.6">
      <c r="B44" s="1461"/>
      <c r="D44" s="1459"/>
      <c r="E44" s="1459"/>
      <c r="F44" s="1459"/>
      <c r="G44" s="1459"/>
      <c r="H44" s="1459"/>
      <c r="I44" s="1459"/>
      <c r="J44" s="1459"/>
      <c r="K44" s="1459"/>
      <c r="L44" s="1459"/>
      <c r="N44" s="1399"/>
      <c r="P44" s="1399"/>
      <c r="Q44" s="1399"/>
      <c r="R44" s="1399"/>
      <c r="S44" s="1399"/>
      <c r="T44" s="1399"/>
      <c r="U44" s="1399"/>
      <c r="V44" s="1399"/>
      <c r="W44" s="1399"/>
    </row>
    <row r="45" spans="2:23" s="1280" customFormat="1" x14ac:dyDescent="0.6">
      <c r="B45" s="1461"/>
      <c r="D45" s="1459"/>
      <c r="E45" s="1459"/>
      <c r="F45" s="1459"/>
      <c r="G45" s="1459"/>
      <c r="H45" s="1459"/>
      <c r="I45" s="1459"/>
      <c r="J45" s="1459"/>
      <c r="K45" s="1459"/>
      <c r="L45" s="1459"/>
      <c r="N45" s="1399"/>
      <c r="P45" s="1399"/>
      <c r="Q45" s="1399"/>
      <c r="R45" s="1399"/>
      <c r="S45" s="1399"/>
      <c r="T45" s="1399"/>
      <c r="U45" s="1399"/>
      <c r="V45" s="1399"/>
      <c r="W45" s="1399"/>
    </row>
    <row r="46" spans="2:23" s="1280" customFormat="1" x14ac:dyDescent="0.6">
      <c r="B46" s="1461"/>
      <c r="D46" s="1459"/>
      <c r="E46" s="1459"/>
      <c r="F46" s="1459"/>
      <c r="G46" s="1459"/>
      <c r="H46" s="1459"/>
      <c r="I46" s="1459"/>
      <c r="J46" s="1459"/>
      <c r="K46" s="1459"/>
      <c r="L46" s="1459"/>
      <c r="N46" s="1399"/>
      <c r="P46" s="1399"/>
      <c r="Q46" s="1399"/>
      <c r="R46" s="1399"/>
      <c r="S46" s="1399"/>
      <c r="T46" s="1399"/>
      <c r="U46" s="1399"/>
      <c r="V46" s="1399"/>
      <c r="W46" s="1399"/>
    </row>
    <row r="47" spans="2:23" s="1280" customFormat="1" x14ac:dyDescent="0.6">
      <c r="B47" s="1461"/>
      <c r="D47" s="1459"/>
      <c r="E47" s="1459"/>
      <c r="F47" s="1459"/>
      <c r="G47" s="1459"/>
      <c r="H47" s="1459"/>
      <c r="I47" s="1459"/>
      <c r="J47" s="1459"/>
      <c r="K47" s="1459"/>
      <c r="L47" s="1459"/>
      <c r="N47" s="1399"/>
      <c r="P47" s="1399"/>
      <c r="Q47" s="1399"/>
      <c r="R47" s="1399"/>
      <c r="S47" s="1399"/>
      <c r="T47" s="1399"/>
      <c r="U47" s="1399"/>
      <c r="V47" s="1399"/>
      <c r="W47" s="1399"/>
    </row>
    <row r="48" spans="2:23" s="1280" customFormat="1" x14ac:dyDescent="0.6">
      <c r="B48" s="1461"/>
      <c r="D48" s="1459"/>
      <c r="E48" s="1459"/>
      <c r="F48" s="1459"/>
      <c r="G48" s="1459"/>
      <c r="H48" s="1459"/>
      <c r="I48" s="1459"/>
      <c r="J48" s="1459"/>
      <c r="K48" s="1459"/>
      <c r="L48" s="1459"/>
      <c r="N48" s="1399"/>
      <c r="P48" s="1399"/>
      <c r="Q48" s="1399"/>
      <c r="R48" s="1399"/>
      <c r="S48" s="1399"/>
      <c r="T48" s="1399"/>
      <c r="U48" s="1399"/>
      <c r="V48" s="1399"/>
      <c r="W48" s="1399"/>
    </row>
    <row r="49" spans="2:23" s="1280" customFormat="1" x14ac:dyDescent="0.6">
      <c r="B49" s="1461"/>
      <c r="D49" s="1459"/>
      <c r="E49" s="1459"/>
      <c r="F49" s="1459"/>
      <c r="G49" s="1459"/>
      <c r="H49" s="1459"/>
      <c r="I49" s="1459"/>
      <c r="J49" s="1459"/>
      <c r="K49" s="1459"/>
      <c r="L49" s="1459"/>
      <c r="N49" s="1399"/>
      <c r="P49" s="1399"/>
      <c r="Q49" s="1399"/>
      <c r="R49" s="1399"/>
      <c r="S49" s="1399"/>
      <c r="T49" s="1399"/>
      <c r="U49" s="1399"/>
      <c r="V49" s="1399"/>
      <c r="W49" s="1399"/>
    </row>
    <row r="50" spans="2:23" s="1280" customFormat="1" x14ac:dyDescent="0.6">
      <c r="B50" s="1461"/>
      <c r="D50" s="1459"/>
      <c r="E50" s="1459"/>
      <c r="F50" s="1459"/>
      <c r="G50" s="1459"/>
      <c r="H50" s="1459"/>
      <c r="I50" s="1459"/>
      <c r="J50" s="1459"/>
      <c r="K50" s="1459"/>
      <c r="L50" s="1459"/>
      <c r="N50" s="1399"/>
      <c r="P50" s="1399"/>
      <c r="Q50" s="1399"/>
      <c r="R50" s="1399"/>
      <c r="S50" s="1399"/>
      <c r="T50" s="1399"/>
      <c r="U50" s="1399"/>
      <c r="V50" s="1399"/>
      <c r="W50" s="1399"/>
    </row>
    <row r="51" spans="2:23" s="1280" customFormat="1" x14ac:dyDescent="0.6">
      <c r="B51" s="1461"/>
      <c r="D51" s="1459"/>
      <c r="E51" s="1459"/>
      <c r="F51" s="1459"/>
      <c r="G51" s="1459"/>
      <c r="H51" s="1459"/>
      <c r="I51" s="1459"/>
      <c r="J51" s="1459"/>
      <c r="K51" s="1459"/>
      <c r="L51" s="1459"/>
      <c r="N51" s="1399"/>
      <c r="P51" s="1399"/>
      <c r="Q51" s="1399"/>
      <c r="R51" s="1399"/>
      <c r="S51" s="1399"/>
      <c r="T51" s="1399"/>
      <c r="U51" s="1399"/>
      <c r="V51" s="1399"/>
      <c r="W51" s="1399"/>
    </row>
    <row r="52" spans="2:23" s="1280" customFormat="1" x14ac:dyDescent="0.6">
      <c r="B52" s="1461"/>
      <c r="D52" s="1459"/>
      <c r="E52" s="1459"/>
      <c r="F52" s="1459"/>
      <c r="G52" s="1459"/>
      <c r="H52" s="1459"/>
      <c r="I52" s="1459"/>
      <c r="J52" s="1459"/>
      <c r="K52" s="1459"/>
      <c r="L52" s="1459"/>
      <c r="N52" s="1399"/>
      <c r="P52" s="1399"/>
      <c r="Q52" s="1399"/>
      <c r="R52" s="1399"/>
      <c r="S52" s="1399"/>
      <c r="T52" s="1399"/>
      <c r="U52" s="1399"/>
      <c r="V52" s="1399"/>
      <c r="W52" s="1399"/>
    </row>
    <row r="53" spans="2:23" s="1280" customFormat="1" x14ac:dyDescent="0.6">
      <c r="B53" s="1461"/>
      <c r="D53" s="1459"/>
      <c r="E53" s="1459"/>
      <c r="F53" s="1459"/>
      <c r="G53" s="1459"/>
      <c r="H53" s="1459"/>
      <c r="I53" s="1459"/>
      <c r="J53" s="1459"/>
      <c r="K53" s="1459"/>
      <c r="L53" s="1459"/>
      <c r="N53" s="1399"/>
      <c r="P53" s="1399"/>
      <c r="Q53" s="1399"/>
      <c r="R53" s="1399"/>
      <c r="S53" s="1399"/>
      <c r="T53" s="1399"/>
      <c r="U53" s="1399"/>
      <c r="V53" s="1399"/>
      <c r="W53" s="1399"/>
    </row>
    <row r="54" spans="2:23" s="1280" customFormat="1" x14ac:dyDescent="0.6">
      <c r="B54" s="1461"/>
      <c r="D54" s="1459"/>
      <c r="E54" s="1459"/>
      <c r="F54" s="1459"/>
      <c r="G54" s="1459"/>
      <c r="H54" s="1459"/>
      <c r="I54" s="1459"/>
      <c r="J54" s="1459"/>
      <c r="K54" s="1459"/>
      <c r="L54" s="1459"/>
      <c r="N54" s="1399"/>
      <c r="P54" s="1399"/>
      <c r="Q54" s="1399"/>
      <c r="R54" s="1399"/>
      <c r="S54" s="1399"/>
      <c r="T54" s="1399"/>
      <c r="U54" s="1399"/>
      <c r="V54" s="1399"/>
      <c r="W54" s="1399"/>
    </row>
    <row r="55" spans="2:23" s="1280" customFormat="1" x14ac:dyDescent="0.6">
      <c r="B55" s="1461"/>
      <c r="D55" s="1459"/>
      <c r="E55" s="1459"/>
      <c r="F55" s="1459"/>
      <c r="G55" s="1459"/>
      <c r="H55" s="1459"/>
      <c r="I55" s="1459"/>
      <c r="J55" s="1459"/>
      <c r="K55" s="1459"/>
      <c r="L55" s="1459"/>
      <c r="N55" s="1399"/>
      <c r="P55" s="1399"/>
      <c r="Q55" s="1399"/>
      <c r="R55" s="1399"/>
      <c r="S55" s="1399"/>
      <c r="T55" s="1399"/>
      <c r="U55" s="1399"/>
      <c r="V55" s="1399"/>
      <c r="W55" s="1399"/>
    </row>
    <row r="56" spans="2:23" s="1280" customFormat="1" x14ac:dyDescent="0.6">
      <c r="B56" s="1461"/>
      <c r="D56" s="1459"/>
      <c r="E56" s="1459"/>
      <c r="F56" s="1459"/>
      <c r="G56" s="1459"/>
      <c r="H56" s="1459"/>
      <c r="I56" s="1459"/>
      <c r="J56" s="1459"/>
      <c r="K56" s="1459"/>
      <c r="L56" s="1459"/>
      <c r="N56" s="1399"/>
      <c r="P56" s="1399"/>
      <c r="Q56" s="1399"/>
      <c r="R56" s="1399"/>
      <c r="S56" s="1399"/>
      <c r="T56" s="1399"/>
      <c r="U56" s="1399"/>
      <c r="V56" s="1399"/>
      <c r="W56" s="1399"/>
    </row>
    <row r="57" spans="2:23" s="1280" customFormat="1" x14ac:dyDescent="0.6">
      <c r="B57" s="1461"/>
      <c r="D57" s="1459"/>
      <c r="E57" s="1459"/>
      <c r="F57" s="1459"/>
      <c r="G57" s="1459"/>
      <c r="H57" s="1459"/>
      <c r="I57" s="1459"/>
      <c r="J57" s="1459"/>
      <c r="K57" s="1459"/>
      <c r="L57" s="1459"/>
      <c r="N57" s="1399"/>
      <c r="P57" s="1399"/>
      <c r="Q57" s="1399"/>
      <c r="R57" s="1399"/>
      <c r="S57" s="1399"/>
      <c r="T57" s="1399"/>
      <c r="U57" s="1399"/>
      <c r="V57" s="1399"/>
      <c r="W57" s="1399"/>
    </row>
    <row r="58" spans="2:23" s="1280" customFormat="1" x14ac:dyDescent="0.6">
      <c r="B58" s="1461"/>
      <c r="D58" s="1459"/>
      <c r="E58" s="1459"/>
      <c r="F58" s="1459"/>
      <c r="G58" s="1459"/>
      <c r="H58" s="1459"/>
      <c r="I58" s="1459"/>
      <c r="J58" s="1459"/>
      <c r="K58" s="1459"/>
      <c r="L58" s="1459"/>
      <c r="N58" s="1399"/>
      <c r="P58" s="1399"/>
      <c r="Q58" s="1399"/>
      <c r="R58" s="1399"/>
      <c r="S58" s="1399"/>
      <c r="T58" s="1399"/>
      <c r="U58" s="1399"/>
      <c r="V58" s="1399"/>
      <c r="W58" s="1399"/>
    </row>
    <row r="59" spans="2:23" s="1280" customFormat="1" x14ac:dyDescent="0.6">
      <c r="B59" s="1461"/>
      <c r="D59" s="1459"/>
      <c r="E59" s="1459"/>
      <c r="F59" s="1459"/>
      <c r="G59" s="1459"/>
      <c r="H59" s="1459"/>
      <c r="I59" s="1459"/>
      <c r="J59" s="1459"/>
      <c r="K59" s="1459"/>
      <c r="L59" s="1459"/>
      <c r="N59" s="1399"/>
      <c r="P59" s="1399"/>
      <c r="Q59" s="1399"/>
      <c r="R59" s="1399"/>
      <c r="S59" s="1399"/>
      <c r="T59" s="1399"/>
      <c r="U59" s="1399"/>
      <c r="V59" s="1399"/>
      <c r="W59" s="1399"/>
    </row>
    <row r="60" spans="2:23" s="1280" customFormat="1" x14ac:dyDescent="0.6">
      <c r="B60" s="1461"/>
      <c r="D60" s="1459"/>
      <c r="E60" s="1459"/>
      <c r="F60" s="1459"/>
      <c r="G60" s="1459"/>
      <c r="H60" s="1459"/>
      <c r="I60" s="1459"/>
      <c r="J60" s="1459"/>
      <c r="K60" s="1459"/>
      <c r="L60" s="1459"/>
      <c r="N60" s="1399"/>
      <c r="P60" s="1399"/>
      <c r="Q60" s="1399"/>
      <c r="R60" s="1399"/>
      <c r="S60" s="1399"/>
      <c r="T60" s="1399"/>
      <c r="U60" s="1399"/>
      <c r="V60" s="1399"/>
      <c r="W60" s="1399"/>
    </row>
    <row r="61" spans="2:23" s="1280" customFormat="1" x14ac:dyDescent="0.6">
      <c r="B61" s="1461"/>
      <c r="D61" s="1459"/>
      <c r="E61" s="1459"/>
      <c r="F61" s="1459"/>
      <c r="G61" s="1459"/>
      <c r="H61" s="1459"/>
      <c r="I61" s="1459"/>
      <c r="J61" s="1459"/>
      <c r="K61" s="1459"/>
      <c r="L61" s="1459"/>
      <c r="N61" s="1399"/>
      <c r="P61" s="1399"/>
      <c r="Q61" s="1399"/>
      <c r="R61" s="1399"/>
      <c r="S61" s="1399"/>
      <c r="T61" s="1399"/>
      <c r="U61" s="1399"/>
      <c r="V61" s="1399"/>
      <c r="W61" s="1399"/>
    </row>
    <row r="62" spans="2:23" s="1280" customFormat="1" x14ac:dyDescent="0.6">
      <c r="B62" s="1461"/>
      <c r="D62" s="1459"/>
      <c r="E62" s="1459"/>
      <c r="F62" s="1459"/>
      <c r="G62" s="1459"/>
      <c r="H62" s="1459"/>
      <c r="I62" s="1459"/>
      <c r="J62" s="1459"/>
      <c r="K62" s="1459"/>
      <c r="L62" s="1459"/>
      <c r="N62" s="1399"/>
      <c r="P62" s="1399"/>
      <c r="Q62" s="1399"/>
      <c r="R62" s="1399"/>
      <c r="S62" s="1399"/>
      <c r="T62" s="1399"/>
      <c r="U62" s="1399"/>
      <c r="V62" s="1399"/>
      <c r="W62" s="1399"/>
    </row>
    <row r="63" spans="2:23" s="1280" customFormat="1" x14ac:dyDescent="0.6">
      <c r="B63" s="1461"/>
      <c r="D63" s="1459"/>
      <c r="E63" s="1459"/>
      <c r="F63" s="1459"/>
      <c r="G63" s="1459"/>
      <c r="H63" s="1459"/>
      <c r="I63" s="1459"/>
      <c r="J63" s="1459"/>
      <c r="K63" s="1459"/>
      <c r="L63" s="1459"/>
      <c r="N63" s="1399"/>
      <c r="P63" s="1399"/>
      <c r="Q63" s="1399"/>
      <c r="R63" s="1399"/>
      <c r="S63" s="1399"/>
      <c r="T63" s="1399"/>
      <c r="U63" s="1399"/>
      <c r="V63" s="1399"/>
      <c r="W63" s="1399"/>
    </row>
    <row r="64" spans="2:23" s="1280" customFormat="1" x14ac:dyDescent="0.6">
      <c r="B64" s="1461"/>
      <c r="D64" s="1459"/>
      <c r="E64" s="1459"/>
      <c r="F64" s="1459"/>
      <c r="G64" s="1459"/>
      <c r="H64" s="1459"/>
      <c r="I64" s="1459"/>
      <c r="J64" s="1459"/>
      <c r="K64" s="1459"/>
      <c r="L64" s="1459"/>
      <c r="N64" s="1399"/>
      <c r="P64" s="1399"/>
      <c r="Q64" s="1399"/>
      <c r="R64" s="1399"/>
      <c r="S64" s="1399"/>
      <c r="T64" s="1399"/>
      <c r="U64" s="1399"/>
      <c r="V64" s="1399"/>
      <c r="W64" s="1399"/>
    </row>
    <row r="65" spans="2:23" s="1280" customFormat="1" x14ac:dyDescent="0.6">
      <c r="B65" s="1461"/>
      <c r="D65" s="1459"/>
      <c r="E65" s="1459"/>
      <c r="F65" s="1459"/>
      <c r="G65" s="1459"/>
      <c r="H65" s="1459"/>
      <c r="I65" s="1459"/>
      <c r="J65" s="1459"/>
      <c r="K65" s="1459"/>
      <c r="L65" s="1459"/>
      <c r="N65" s="1399"/>
      <c r="P65" s="1399"/>
      <c r="Q65" s="1399"/>
      <c r="R65" s="1399"/>
      <c r="S65" s="1399"/>
      <c r="T65" s="1399"/>
      <c r="U65" s="1399"/>
      <c r="V65" s="1399"/>
      <c r="W65" s="1399"/>
    </row>
    <row r="66" spans="2:23" s="1280" customFormat="1" x14ac:dyDescent="0.6">
      <c r="B66" s="1461"/>
      <c r="D66" s="1459"/>
      <c r="E66" s="1459"/>
      <c r="F66" s="1459"/>
      <c r="G66" s="1459"/>
      <c r="H66" s="1459"/>
      <c r="I66" s="1459"/>
      <c r="J66" s="1459"/>
      <c r="K66" s="1459"/>
      <c r="L66" s="1459"/>
      <c r="N66" s="1399"/>
      <c r="P66" s="1399"/>
      <c r="Q66" s="1399"/>
      <c r="R66" s="1399"/>
      <c r="S66" s="1399"/>
      <c r="T66" s="1399"/>
      <c r="U66" s="1399"/>
      <c r="V66" s="1399"/>
      <c r="W66" s="1399"/>
    </row>
    <row r="67" spans="2:23" s="1280" customFormat="1" x14ac:dyDescent="0.6">
      <c r="B67" s="1461"/>
      <c r="D67" s="1459"/>
      <c r="E67" s="1459"/>
      <c r="F67" s="1459"/>
      <c r="G67" s="1459"/>
      <c r="H67" s="1459"/>
      <c r="I67" s="1459"/>
      <c r="J67" s="1459"/>
      <c r="K67" s="1459"/>
      <c r="L67" s="1459"/>
      <c r="N67" s="1399"/>
      <c r="P67" s="1399"/>
      <c r="Q67" s="1399"/>
      <c r="R67" s="1399"/>
      <c r="S67" s="1399"/>
      <c r="T67" s="1399"/>
      <c r="U67" s="1399"/>
      <c r="V67" s="1399"/>
      <c r="W67" s="1399"/>
    </row>
    <row r="68" spans="2:23" s="1280" customFormat="1" x14ac:dyDescent="0.6">
      <c r="B68" s="1461"/>
      <c r="D68" s="1459"/>
      <c r="E68" s="1459"/>
      <c r="F68" s="1459"/>
      <c r="G68" s="1459"/>
      <c r="H68" s="1459"/>
      <c r="I68" s="1459"/>
      <c r="J68" s="1459"/>
      <c r="K68" s="1459"/>
      <c r="L68" s="1459"/>
      <c r="N68" s="1399"/>
      <c r="P68" s="1399"/>
      <c r="Q68" s="1399"/>
      <c r="R68" s="1399"/>
      <c r="S68" s="1399"/>
      <c r="T68" s="1399"/>
      <c r="U68" s="1399"/>
      <c r="V68" s="1399"/>
      <c r="W68" s="1399"/>
    </row>
    <row r="69" spans="2:23" s="1280" customFormat="1" x14ac:dyDescent="0.6">
      <c r="B69" s="1461"/>
      <c r="D69" s="1459"/>
      <c r="E69" s="1459"/>
      <c r="F69" s="1459"/>
      <c r="G69" s="1459"/>
      <c r="H69" s="1459"/>
      <c r="I69" s="1459"/>
      <c r="J69" s="1459"/>
      <c r="K69" s="1459"/>
      <c r="L69" s="1459"/>
      <c r="N69" s="1399"/>
      <c r="P69" s="1399"/>
      <c r="Q69" s="1399"/>
      <c r="R69" s="1399"/>
      <c r="S69" s="1399"/>
      <c r="T69" s="1399"/>
      <c r="U69" s="1399"/>
      <c r="V69" s="1399"/>
      <c r="W69" s="1399"/>
    </row>
    <row r="70" spans="2:23" s="1280" customFormat="1" x14ac:dyDescent="0.6">
      <c r="B70" s="1461"/>
      <c r="D70" s="1459"/>
      <c r="E70" s="1459"/>
      <c r="F70" s="1459"/>
      <c r="G70" s="1459"/>
      <c r="H70" s="1459"/>
      <c r="I70" s="1459"/>
      <c r="J70" s="1459"/>
      <c r="K70" s="1459"/>
      <c r="L70" s="1459"/>
      <c r="N70" s="1399"/>
      <c r="P70" s="1399"/>
      <c r="Q70" s="1399"/>
      <c r="R70" s="1399"/>
      <c r="S70" s="1399"/>
      <c r="T70" s="1399"/>
      <c r="U70" s="1399"/>
      <c r="V70" s="1399"/>
      <c r="W70" s="1399"/>
    </row>
    <row r="71" spans="2:23" s="1280" customFormat="1" x14ac:dyDescent="0.6">
      <c r="B71" s="1461"/>
      <c r="D71" s="1459"/>
      <c r="E71" s="1459"/>
      <c r="F71" s="1459"/>
      <c r="G71" s="1459"/>
      <c r="H71" s="1459"/>
      <c r="I71" s="1459"/>
      <c r="J71" s="1459"/>
      <c r="K71" s="1459"/>
      <c r="L71" s="1459"/>
      <c r="N71" s="1399"/>
      <c r="P71" s="1399"/>
      <c r="Q71" s="1399"/>
      <c r="R71" s="1399"/>
      <c r="S71" s="1399"/>
      <c r="T71" s="1399"/>
      <c r="U71" s="1399"/>
      <c r="V71" s="1399"/>
      <c r="W71" s="1399"/>
    </row>
    <row r="72" spans="2:23" s="1280" customFormat="1" x14ac:dyDescent="0.6">
      <c r="B72" s="1461"/>
      <c r="D72" s="1459"/>
      <c r="E72" s="1459"/>
      <c r="F72" s="1459"/>
      <c r="G72" s="1459"/>
      <c r="H72" s="1459"/>
      <c r="I72" s="1459"/>
      <c r="J72" s="1459"/>
      <c r="K72" s="1459"/>
      <c r="L72" s="1459"/>
      <c r="N72" s="1399"/>
      <c r="P72" s="1399"/>
      <c r="Q72" s="1399"/>
      <c r="R72" s="1399"/>
      <c r="S72" s="1399"/>
      <c r="T72" s="1399"/>
      <c r="U72" s="1399"/>
      <c r="V72" s="1399"/>
      <c r="W72" s="1399"/>
    </row>
    <row r="73" spans="2:23" s="1280" customFormat="1" x14ac:dyDescent="0.6">
      <c r="B73" s="1461"/>
      <c r="D73" s="1459"/>
      <c r="E73" s="1459"/>
      <c r="F73" s="1459"/>
      <c r="G73" s="1459"/>
      <c r="H73" s="1459"/>
      <c r="I73" s="1459"/>
      <c r="J73" s="1459"/>
      <c r="K73" s="1459"/>
      <c r="L73" s="1459"/>
      <c r="N73" s="1399"/>
      <c r="P73" s="1399"/>
      <c r="Q73" s="1399"/>
      <c r="R73" s="1399"/>
      <c r="S73" s="1399"/>
      <c r="T73" s="1399"/>
      <c r="U73" s="1399"/>
      <c r="V73" s="1399"/>
      <c r="W73" s="1399"/>
    </row>
    <row r="74" spans="2:23" s="1280" customFormat="1" x14ac:dyDescent="0.6">
      <c r="B74" s="1461"/>
      <c r="D74" s="1459"/>
      <c r="E74" s="1459"/>
      <c r="F74" s="1459"/>
      <c r="G74" s="1459"/>
      <c r="H74" s="1459"/>
      <c r="I74" s="1459"/>
      <c r="J74" s="1459"/>
      <c r="K74" s="1459"/>
      <c r="L74" s="1459"/>
      <c r="N74" s="1399"/>
      <c r="P74" s="1399"/>
      <c r="Q74" s="1399"/>
      <c r="R74" s="1399"/>
      <c r="S74" s="1399"/>
      <c r="T74" s="1399"/>
      <c r="U74" s="1399"/>
      <c r="V74" s="1399"/>
      <c r="W74" s="1399"/>
    </row>
    <row r="75" spans="2:23" s="1280" customFormat="1" x14ac:dyDescent="0.6">
      <c r="B75" s="1461"/>
      <c r="D75" s="1459"/>
      <c r="E75" s="1459"/>
      <c r="F75" s="1459"/>
      <c r="G75" s="1459"/>
      <c r="H75" s="1459"/>
      <c r="I75" s="1459"/>
      <c r="J75" s="1459"/>
      <c r="K75" s="1459"/>
      <c r="L75" s="1459"/>
      <c r="N75" s="1399"/>
      <c r="P75" s="1399"/>
      <c r="Q75" s="1399"/>
      <c r="R75" s="1399"/>
      <c r="S75" s="1399"/>
      <c r="T75" s="1399"/>
      <c r="U75" s="1399"/>
      <c r="V75" s="1399"/>
      <c r="W75" s="1399"/>
    </row>
    <row r="76" spans="2:23" s="1280" customFormat="1" x14ac:dyDescent="0.6">
      <c r="B76" s="1461"/>
      <c r="D76" s="1459"/>
      <c r="E76" s="1459"/>
      <c r="F76" s="1459"/>
      <c r="G76" s="1459"/>
      <c r="H76" s="1459"/>
      <c r="I76" s="1459"/>
      <c r="J76" s="1459"/>
      <c r="K76" s="1459"/>
      <c r="L76" s="1459"/>
      <c r="N76" s="1399"/>
      <c r="P76" s="1399"/>
      <c r="Q76" s="1399"/>
      <c r="R76" s="1399"/>
      <c r="S76" s="1399"/>
      <c r="T76" s="1399"/>
      <c r="U76" s="1399"/>
      <c r="V76" s="1399"/>
      <c r="W76" s="1399"/>
    </row>
    <row r="77" spans="2:23" s="1280" customFormat="1" x14ac:dyDescent="0.6">
      <c r="B77" s="1461"/>
      <c r="D77" s="1459"/>
      <c r="E77" s="1459"/>
      <c r="F77" s="1459"/>
      <c r="G77" s="1459"/>
      <c r="H77" s="1459"/>
      <c r="I77" s="1459"/>
      <c r="J77" s="1459"/>
      <c r="K77" s="1459"/>
      <c r="L77" s="1459"/>
      <c r="N77" s="1399"/>
      <c r="P77" s="1399"/>
      <c r="Q77" s="1399"/>
      <c r="R77" s="1399"/>
      <c r="S77" s="1399"/>
      <c r="T77" s="1399"/>
      <c r="U77" s="1399"/>
      <c r="V77" s="1399"/>
      <c r="W77" s="1399"/>
    </row>
    <row r="78" spans="2:23" s="1280" customFormat="1" x14ac:dyDescent="0.6">
      <c r="B78" s="1461"/>
      <c r="D78" s="1459"/>
      <c r="E78" s="1459"/>
      <c r="F78" s="1459"/>
      <c r="G78" s="1459"/>
      <c r="H78" s="1459"/>
      <c r="I78" s="1459"/>
      <c r="J78" s="1459"/>
      <c r="K78" s="1459"/>
      <c r="L78" s="1459"/>
      <c r="N78" s="1399"/>
      <c r="P78" s="1399"/>
      <c r="Q78" s="1399"/>
      <c r="R78" s="1399"/>
      <c r="S78" s="1399"/>
      <c r="T78" s="1399"/>
      <c r="U78" s="1399"/>
      <c r="V78" s="1399"/>
      <c r="W78" s="1399"/>
    </row>
    <row r="79" spans="2:23" s="1280" customFormat="1" x14ac:dyDescent="0.6">
      <c r="B79" s="1461"/>
      <c r="D79" s="1459"/>
      <c r="E79" s="1459"/>
      <c r="F79" s="1459"/>
      <c r="G79" s="1459"/>
      <c r="H79" s="1459"/>
      <c r="I79" s="1459"/>
      <c r="J79" s="1459"/>
      <c r="K79" s="1459"/>
      <c r="L79" s="1459"/>
      <c r="N79" s="1399"/>
      <c r="P79" s="1399"/>
      <c r="Q79" s="1399"/>
      <c r="R79" s="1399"/>
      <c r="S79" s="1399"/>
      <c r="T79" s="1399"/>
      <c r="U79" s="1399"/>
      <c r="V79" s="1399"/>
      <c r="W79" s="1399"/>
    </row>
    <row r="80" spans="2:23" s="1280" customFormat="1" x14ac:dyDescent="0.6">
      <c r="B80" s="1461"/>
      <c r="D80" s="1459"/>
      <c r="E80" s="1459"/>
      <c r="F80" s="1459"/>
      <c r="G80" s="1459"/>
      <c r="H80" s="1459"/>
      <c r="I80" s="1459"/>
      <c r="J80" s="1459"/>
      <c r="K80" s="1459"/>
      <c r="L80" s="1459"/>
      <c r="N80" s="1399"/>
      <c r="P80" s="1399"/>
      <c r="Q80" s="1399"/>
      <c r="R80" s="1399"/>
      <c r="S80" s="1399"/>
      <c r="T80" s="1399"/>
      <c r="U80" s="1399"/>
      <c r="V80" s="1399"/>
      <c r="W80" s="1399"/>
    </row>
    <row r="81" spans="2:23" s="1280" customFormat="1" x14ac:dyDescent="0.6">
      <c r="B81" s="1461"/>
      <c r="D81" s="1459"/>
      <c r="E81" s="1459"/>
      <c r="F81" s="1459"/>
      <c r="G81" s="1459"/>
      <c r="H81" s="1459"/>
      <c r="I81" s="1459"/>
      <c r="J81" s="1459"/>
      <c r="K81" s="1459"/>
      <c r="L81" s="1459"/>
      <c r="N81" s="1399"/>
      <c r="P81" s="1399"/>
      <c r="Q81" s="1399"/>
      <c r="R81" s="1399"/>
      <c r="S81" s="1399"/>
      <c r="T81" s="1399"/>
      <c r="U81" s="1399"/>
      <c r="V81" s="1399"/>
      <c r="W81" s="1399"/>
    </row>
    <row r="82" spans="2:23" s="1280" customFormat="1" x14ac:dyDescent="0.6">
      <c r="B82" s="1461"/>
      <c r="D82" s="1459"/>
      <c r="E82" s="1459"/>
      <c r="F82" s="1459"/>
      <c r="G82" s="1459"/>
      <c r="H82" s="1459"/>
      <c r="I82" s="1459"/>
      <c r="J82" s="1459"/>
      <c r="K82" s="1459"/>
      <c r="L82" s="1459"/>
      <c r="N82" s="1399"/>
      <c r="P82" s="1399"/>
      <c r="Q82" s="1399"/>
      <c r="R82" s="1399"/>
      <c r="S82" s="1399"/>
      <c r="T82" s="1399"/>
      <c r="U82" s="1399"/>
      <c r="V82" s="1399"/>
      <c r="W82" s="1399"/>
    </row>
    <row r="83" spans="2:23" s="1280" customFormat="1" x14ac:dyDescent="0.6">
      <c r="B83" s="1461"/>
      <c r="D83" s="1459"/>
      <c r="E83" s="1459"/>
      <c r="F83" s="1459"/>
      <c r="G83" s="1459"/>
      <c r="H83" s="1459"/>
      <c r="I83" s="1459"/>
      <c r="J83" s="1459"/>
      <c r="K83" s="1459"/>
      <c r="L83" s="1459"/>
      <c r="N83" s="1399"/>
      <c r="P83" s="1399"/>
      <c r="Q83" s="1399"/>
      <c r="R83" s="1399"/>
      <c r="S83" s="1399"/>
      <c r="T83" s="1399"/>
      <c r="U83" s="1399"/>
      <c r="V83" s="1399"/>
      <c r="W83" s="1399"/>
    </row>
    <row r="84" spans="2:23" s="1280" customFormat="1" x14ac:dyDescent="0.6">
      <c r="B84" s="1461"/>
      <c r="D84" s="1459"/>
      <c r="E84" s="1459"/>
      <c r="F84" s="1459"/>
      <c r="G84" s="1459"/>
      <c r="H84" s="1459"/>
      <c r="I84" s="1459"/>
      <c r="J84" s="1459"/>
      <c r="K84" s="1459"/>
      <c r="L84" s="1459"/>
      <c r="N84" s="1399"/>
      <c r="P84" s="1399"/>
      <c r="Q84" s="1399"/>
      <c r="R84" s="1399"/>
      <c r="S84" s="1399"/>
      <c r="T84" s="1399"/>
      <c r="U84" s="1399"/>
      <c r="V84" s="1399"/>
      <c r="W84" s="1399"/>
    </row>
    <row r="85" spans="2:23" s="1280" customFormat="1" x14ac:dyDescent="0.6">
      <c r="B85" s="1461"/>
      <c r="D85" s="1459"/>
      <c r="E85" s="1459"/>
      <c r="F85" s="1459"/>
      <c r="G85" s="1459"/>
      <c r="H85" s="1459"/>
      <c r="I85" s="1459"/>
      <c r="J85" s="1459"/>
      <c r="K85" s="1459"/>
      <c r="L85" s="1459"/>
      <c r="N85" s="1399"/>
      <c r="P85" s="1399"/>
      <c r="Q85" s="1399"/>
      <c r="R85" s="1399"/>
      <c r="S85" s="1399"/>
      <c r="T85" s="1399"/>
      <c r="U85" s="1399"/>
      <c r="V85" s="1399"/>
      <c r="W85" s="1399"/>
    </row>
    <row r="86" spans="2:23" s="1280" customFormat="1" x14ac:dyDescent="0.6">
      <c r="B86" s="1461"/>
      <c r="D86" s="1459"/>
      <c r="E86" s="1459"/>
      <c r="F86" s="1459"/>
      <c r="G86" s="1459"/>
      <c r="H86" s="1459"/>
      <c r="I86" s="1459"/>
      <c r="J86" s="1459"/>
      <c r="K86" s="1459"/>
      <c r="L86" s="1459"/>
      <c r="N86" s="1399"/>
      <c r="P86" s="1399"/>
      <c r="Q86" s="1399"/>
      <c r="R86" s="1399"/>
      <c r="S86" s="1399"/>
      <c r="T86" s="1399"/>
      <c r="U86" s="1399"/>
      <c r="V86" s="1399"/>
      <c r="W86" s="1399"/>
    </row>
    <row r="87" spans="2:23" s="1280" customFormat="1" x14ac:dyDescent="0.6">
      <c r="B87" s="1461"/>
      <c r="D87" s="1459"/>
      <c r="E87" s="1459"/>
      <c r="F87" s="1459"/>
      <c r="G87" s="1459"/>
      <c r="H87" s="1459"/>
      <c r="I87" s="1459"/>
      <c r="J87" s="1459"/>
      <c r="K87" s="1459"/>
      <c r="L87" s="1459"/>
      <c r="N87" s="1399"/>
      <c r="P87" s="1399"/>
      <c r="Q87" s="1399"/>
      <c r="R87" s="1399"/>
      <c r="S87" s="1399"/>
      <c r="T87" s="1399"/>
      <c r="U87" s="1399"/>
      <c r="V87" s="1399"/>
      <c r="W87" s="1399"/>
    </row>
    <row r="88" spans="2:23" s="1280" customFormat="1" x14ac:dyDescent="0.6">
      <c r="B88" s="1461"/>
      <c r="D88" s="1459"/>
      <c r="E88" s="1459"/>
      <c r="F88" s="1459"/>
      <c r="G88" s="1459"/>
      <c r="H88" s="1459"/>
      <c r="I88" s="1459"/>
      <c r="J88" s="1459"/>
      <c r="K88" s="1459"/>
      <c r="L88" s="1459"/>
      <c r="N88" s="1399"/>
      <c r="P88" s="1399"/>
      <c r="Q88" s="1399"/>
      <c r="R88" s="1399"/>
      <c r="S88" s="1399"/>
      <c r="T88" s="1399"/>
      <c r="U88" s="1399"/>
      <c r="V88" s="1399"/>
      <c r="W88" s="1399"/>
    </row>
    <row r="89" spans="2:23" s="1280" customFormat="1" x14ac:dyDescent="0.6">
      <c r="B89" s="1461"/>
      <c r="D89" s="1459"/>
      <c r="E89" s="1459"/>
      <c r="F89" s="1459"/>
      <c r="G89" s="1459"/>
      <c r="H89" s="1459"/>
      <c r="I89" s="1459"/>
      <c r="J89" s="1459"/>
      <c r="K89" s="1459"/>
      <c r="L89" s="1459"/>
      <c r="N89" s="1399"/>
      <c r="P89" s="1399"/>
      <c r="Q89" s="1399"/>
      <c r="R89" s="1399"/>
      <c r="S89" s="1399"/>
      <c r="T89" s="1399"/>
      <c r="U89" s="1399"/>
      <c r="V89" s="1399"/>
      <c r="W89" s="1399"/>
    </row>
    <row r="90" spans="2:23" s="1280" customFormat="1" x14ac:dyDescent="0.6">
      <c r="B90" s="1461"/>
      <c r="D90" s="1459"/>
      <c r="E90" s="1459"/>
      <c r="F90" s="1459"/>
      <c r="G90" s="1459"/>
      <c r="H90" s="1459"/>
      <c r="I90" s="1459"/>
      <c r="J90" s="1459"/>
      <c r="K90" s="1459"/>
      <c r="L90" s="1459"/>
      <c r="N90" s="1399"/>
      <c r="P90" s="1399"/>
      <c r="Q90" s="1399"/>
      <c r="R90" s="1399"/>
      <c r="S90" s="1399"/>
      <c r="T90" s="1399"/>
      <c r="U90" s="1399"/>
      <c r="V90" s="1399"/>
      <c r="W90" s="1399"/>
    </row>
    <row r="91" spans="2:23" s="1280" customFormat="1" x14ac:dyDescent="0.6">
      <c r="B91" s="1461"/>
      <c r="D91" s="1459"/>
      <c r="E91" s="1459"/>
      <c r="F91" s="1459"/>
      <c r="G91" s="1459"/>
      <c r="H91" s="1459"/>
      <c r="I91" s="1459"/>
      <c r="J91" s="1459"/>
      <c r="K91" s="1459"/>
      <c r="L91" s="1459"/>
      <c r="N91" s="1399"/>
      <c r="P91" s="1399"/>
      <c r="Q91" s="1399"/>
      <c r="R91" s="1399"/>
      <c r="S91" s="1399"/>
      <c r="T91" s="1399"/>
      <c r="U91" s="1399"/>
      <c r="V91" s="1399"/>
      <c r="W91" s="1399"/>
    </row>
    <row r="92" spans="2:23" s="1280" customFormat="1" x14ac:dyDescent="0.6">
      <c r="B92" s="1461"/>
      <c r="D92" s="1459"/>
      <c r="E92" s="1459"/>
      <c r="F92" s="1459"/>
      <c r="G92" s="1459"/>
      <c r="H92" s="1459"/>
      <c r="I92" s="1459"/>
      <c r="J92" s="1459"/>
      <c r="K92" s="1459"/>
      <c r="L92" s="1459"/>
      <c r="N92" s="1399"/>
      <c r="P92" s="1399"/>
      <c r="Q92" s="1399"/>
      <c r="R92" s="1399"/>
      <c r="S92" s="1399"/>
      <c r="T92" s="1399"/>
      <c r="U92" s="1399"/>
      <c r="V92" s="1399"/>
      <c r="W92" s="1399"/>
    </row>
    <row r="93" spans="2:23" s="1280" customFormat="1" x14ac:dyDescent="0.6">
      <c r="B93" s="1461"/>
      <c r="D93" s="1459"/>
      <c r="E93" s="1459"/>
      <c r="F93" s="1459"/>
      <c r="G93" s="1459"/>
      <c r="H93" s="1459"/>
      <c r="I93" s="1459"/>
      <c r="J93" s="1459"/>
      <c r="K93" s="1459"/>
      <c r="L93" s="1459"/>
      <c r="N93" s="1399"/>
      <c r="P93" s="1399"/>
      <c r="Q93" s="1399"/>
      <c r="R93" s="1399"/>
      <c r="S93" s="1399"/>
      <c r="T93" s="1399"/>
      <c r="U93" s="1399"/>
      <c r="V93" s="1399"/>
      <c r="W93" s="1399"/>
    </row>
    <row r="94" spans="2:23" s="1280" customFormat="1" x14ac:dyDescent="0.6">
      <c r="B94" s="1461"/>
      <c r="D94" s="1459"/>
      <c r="E94" s="1459"/>
      <c r="F94" s="1459"/>
      <c r="G94" s="1459"/>
      <c r="H94" s="1459"/>
      <c r="I94" s="1459"/>
      <c r="J94" s="1459"/>
      <c r="K94" s="1459"/>
      <c r="L94" s="1459"/>
      <c r="N94" s="1399"/>
      <c r="P94" s="1399"/>
      <c r="Q94" s="1399"/>
      <c r="R94" s="1399"/>
      <c r="S94" s="1399"/>
      <c r="T94" s="1399"/>
      <c r="U94" s="1399"/>
      <c r="V94" s="1399"/>
      <c r="W94" s="1399"/>
    </row>
    <row r="95" spans="2:23" s="1280" customFormat="1" x14ac:dyDescent="0.6">
      <c r="B95" s="1461"/>
      <c r="D95" s="1459"/>
      <c r="E95" s="1459"/>
      <c r="F95" s="1459"/>
      <c r="G95" s="1459"/>
      <c r="H95" s="1459"/>
      <c r="I95" s="1459"/>
      <c r="J95" s="1459"/>
      <c r="K95" s="1459"/>
      <c r="L95" s="1459"/>
      <c r="N95" s="1399"/>
      <c r="P95" s="1399"/>
      <c r="Q95" s="1399"/>
      <c r="R95" s="1399"/>
      <c r="S95" s="1399"/>
      <c r="T95" s="1399"/>
      <c r="U95" s="1399"/>
      <c r="V95" s="1399"/>
      <c r="W95" s="1399"/>
    </row>
    <row r="96" spans="2:23" s="1280" customFormat="1" x14ac:dyDescent="0.6">
      <c r="B96" s="1461"/>
      <c r="D96" s="1459"/>
      <c r="E96" s="1459"/>
      <c r="F96" s="1459"/>
      <c r="G96" s="1459"/>
      <c r="H96" s="1459"/>
      <c r="I96" s="1459"/>
      <c r="J96" s="1459"/>
      <c r="K96" s="1459"/>
      <c r="L96" s="1459"/>
      <c r="N96" s="1399"/>
      <c r="P96" s="1399"/>
      <c r="Q96" s="1399"/>
      <c r="R96" s="1399"/>
      <c r="S96" s="1399"/>
      <c r="T96" s="1399"/>
      <c r="U96" s="1399"/>
      <c r="V96" s="1399"/>
      <c r="W96" s="1399"/>
    </row>
    <row r="97" spans="2:23" s="1280" customFormat="1" x14ac:dyDescent="0.6">
      <c r="B97" s="1461"/>
      <c r="D97" s="1459"/>
      <c r="E97" s="1459"/>
      <c r="F97" s="1459"/>
      <c r="G97" s="1459"/>
      <c r="H97" s="1459"/>
      <c r="I97" s="1459"/>
      <c r="J97" s="1459"/>
      <c r="K97" s="1459"/>
      <c r="L97" s="1459"/>
      <c r="N97" s="1399"/>
      <c r="P97" s="1399"/>
      <c r="Q97" s="1399"/>
      <c r="R97" s="1399"/>
      <c r="S97" s="1399"/>
      <c r="T97" s="1399"/>
      <c r="U97" s="1399"/>
      <c r="V97" s="1399"/>
      <c r="W97" s="1399"/>
    </row>
    <row r="98" spans="2:23" s="1280" customFormat="1" x14ac:dyDescent="0.6">
      <c r="B98" s="1461"/>
      <c r="D98" s="1459"/>
      <c r="E98" s="1459"/>
      <c r="F98" s="1459"/>
      <c r="G98" s="1459"/>
      <c r="H98" s="1459"/>
      <c r="I98" s="1459"/>
      <c r="J98" s="1459"/>
      <c r="K98" s="1459"/>
      <c r="L98" s="1459"/>
      <c r="N98" s="1399"/>
      <c r="P98" s="1399"/>
      <c r="Q98" s="1399"/>
      <c r="R98" s="1399"/>
      <c r="S98" s="1399"/>
      <c r="T98" s="1399"/>
      <c r="U98" s="1399"/>
      <c r="V98" s="1399"/>
      <c r="W98" s="1399"/>
    </row>
    <row r="99" spans="2:23" s="1280" customFormat="1" x14ac:dyDescent="0.6">
      <c r="B99" s="1461"/>
      <c r="D99" s="1459"/>
      <c r="E99" s="1459"/>
      <c r="F99" s="1459"/>
      <c r="G99" s="1459"/>
      <c r="H99" s="1459"/>
      <c r="I99" s="1459"/>
      <c r="J99" s="1459"/>
      <c r="K99" s="1459"/>
      <c r="L99" s="1459"/>
      <c r="N99" s="1399"/>
      <c r="P99" s="1399"/>
      <c r="Q99" s="1399"/>
      <c r="R99" s="1399"/>
      <c r="S99" s="1399"/>
      <c r="T99" s="1399"/>
      <c r="U99" s="1399"/>
      <c r="V99" s="1399"/>
      <c r="W99" s="1399"/>
    </row>
    <row r="100" spans="2:23" s="1280" customFormat="1" x14ac:dyDescent="0.6">
      <c r="B100" s="1461"/>
      <c r="D100" s="1459"/>
      <c r="E100" s="1459"/>
      <c r="F100" s="1459"/>
      <c r="G100" s="1459"/>
      <c r="H100" s="1459"/>
      <c r="I100" s="1459"/>
      <c r="J100" s="1459"/>
      <c r="K100" s="1459"/>
      <c r="L100" s="1459"/>
      <c r="N100" s="1399"/>
      <c r="P100" s="1399"/>
      <c r="Q100" s="1399"/>
      <c r="R100" s="1399"/>
      <c r="S100" s="1399"/>
      <c r="T100" s="1399"/>
      <c r="U100" s="1399"/>
      <c r="V100" s="1399"/>
      <c r="W100" s="1399"/>
    </row>
    <row r="101" spans="2:23" s="1280" customFormat="1" x14ac:dyDescent="0.6">
      <c r="B101" s="1461"/>
      <c r="D101" s="1459"/>
      <c r="E101" s="1459"/>
      <c r="F101" s="1459"/>
      <c r="G101" s="1459"/>
      <c r="H101" s="1459"/>
      <c r="I101" s="1459"/>
      <c r="J101" s="1459"/>
      <c r="K101" s="1459"/>
      <c r="L101" s="1459"/>
      <c r="N101" s="1399"/>
      <c r="P101" s="1399"/>
      <c r="Q101" s="1399"/>
      <c r="R101" s="1399"/>
      <c r="S101" s="1399"/>
      <c r="T101" s="1399"/>
      <c r="U101" s="1399"/>
      <c r="V101" s="1399"/>
      <c r="W101" s="1399"/>
    </row>
    <row r="102" spans="2:23" s="1280" customFormat="1" x14ac:dyDescent="0.6">
      <c r="B102" s="1461"/>
      <c r="D102" s="1459"/>
      <c r="E102" s="1459"/>
      <c r="F102" s="1459"/>
      <c r="G102" s="1459"/>
      <c r="H102" s="1459"/>
      <c r="I102" s="1459"/>
      <c r="J102" s="1459"/>
      <c r="K102" s="1459"/>
      <c r="L102" s="1459"/>
      <c r="N102" s="1399"/>
      <c r="P102" s="1399"/>
      <c r="Q102" s="1399"/>
      <c r="R102" s="1399"/>
      <c r="S102" s="1399"/>
      <c r="T102" s="1399"/>
      <c r="U102" s="1399"/>
      <c r="V102" s="1399"/>
      <c r="W102" s="1399"/>
    </row>
    <row r="103" spans="2:23" s="1280" customFormat="1" x14ac:dyDescent="0.6">
      <c r="B103" s="1461"/>
      <c r="D103" s="1459"/>
      <c r="E103" s="1459"/>
      <c r="F103" s="1459"/>
      <c r="G103" s="1459"/>
      <c r="H103" s="1459"/>
      <c r="I103" s="1459"/>
      <c r="J103" s="1459"/>
      <c r="K103" s="1459"/>
      <c r="L103" s="1459"/>
      <c r="N103" s="1399"/>
      <c r="P103" s="1399"/>
      <c r="Q103" s="1399"/>
      <c r="R103" s="1399"/>
      <c r="S103" s="1399"/>
      <c r="T103" s="1399"/>
      <c r="U103" s="1399"/>
      <c r="V103" s="1399"/>
      <c r="W103" s="1399"/>
    </row>
    <row r="104" spans="2:23" s="1280" customFormat="1" x14ac:dyDescent="0.6">
      <c r="B104" s="1461"/>
      <c r="D104" s="1459"/>
      <c r="E104" s="1459"/>
      <c r="F104" s="1459"/>
      <c r="G104" s="1459"/>
      <c r="H104" s="1459"/>
      <c r="I104" s="1459"/>
      <c r="J104" s="1459"/>
      <c r="K104" s="1459"/>
      <c r="L104" s="1459"/>
      <c r="N104" s="1399"/>
      <c r="P104" s="1399"/>
      <c r="Q104" s="1399"/>
      <c r="R104" s="1399"/>
      <c r="S104" s="1399"/>
      <c r="T104" s="1399"/>
      <c r="U104" s="1399"/>
      <c r="V104" s="1399"/>
      <c r="W104" s="1399"/>
    </row>
    <row r="105" spans="2:23" s="1280" customFormat="1" x14ac:dyDescent="0.6">
      <c r="B105" s="1461"/>
      <c r="D105" s="1459"/>
      <c r="E105" s="1459"/>
      <c r="F105" s="1459"/>
      <c r="G105" s="1459"/>
      <c r="H105" s="1459"/>
      <c r="I105" s="1459"/>
      <c r="J105" s="1459"/>
      <c r="K105" s="1459"/>
      <c r="L105" s="1459"/>
      <c r="N105" s="1399"/>
      <c r="P105" s="1399"/>
      <c r="Q105" s="1399"/>
      <c r="R105" s="1399"/>
      <c r="S105" s="1399"/>
      <c r="T105" s="1399"/>
      <c r="U105" s="1399"/>
      <c r="V105" s="1399"/>
      <c r="W105" s="1399"/>
    </row>
    <row r="106" spans="2:23" s="1280" customFormat="1" x14ac:dyDescent="0.6">
      <c r="B106" s="1461"/>
      <c r="D106" s="1459"/>
      <c r="E106" s="1459"/>
      <c r="F106" s="1459"/>
      <c r="G106" s="1459"/>
      <c r="H106" s="1459"/>
      <c r="I106" s="1459"/>
      <c r="J106" s="1459"/>
      <c r="K106" s="1459"/>
      <c r="L106" s="1459"/>
      <c r="N106" s="1399"/>
      <c r="P106" s="1399"/>
      <c r="Q106" s="1399"/>
      <c r="R106" s="1399"/>
      <c r="S106" s="1399"/>
      <c r="T106" s="1399"/>
      <c r="U106" s="1399"/>
      <c r="V106" s="1399"/>
      <c r="W106" s="1399"/>
    </row>
    <row r="107" spans="2:23" s="1280" customFormat="1" x14ac:dyDescent="0.6">
      <c r="B107" s="1461"/>
      <c r="D107" s="1459"/>
      <c r="E107" s="1459"/>
      <c r="F107" s="1459"/>
      <c r="G107" s="1459"/>
      <c r="H107" s="1459"/>
      <c r="I107" s="1459"/>
      <c r="J107" s="1459"/>
      <c r="K107" s="1459"/>
      <c r="L107" s="1459"/>
      <c r="N107" s="1399"/>
      <c r="P107" s="1399"/>
      <c r="Q107" s="1399"/>
      <c r="R107" s="1399"/>
      <c r="S107" s="1399"/>
      <c r="T107" s="1399"/>
      <c r="U107" s="1399"/>
      <c r="V107" s="1399"/>
      <c r="W107" s="1399"/>
    </row>
    <row r="108" spans="2:23" s="1280" customFormat="1" x14ac:dyDescent="0.6">
      <c r="B108" s="1461"/>
      <c r="D108" s="1459"/>
      <c r="E108" s="1459"/>
      <c r="F108" s="1459"/>
      <c r="G108" s="1459"/>
      <c r="H108" s="1459"/>
      <c r="I108" s="1459"/>
      <c r="J108" s="1459"/>
      <c r="K108" s="1459"/>
      <c r="L108" s="1459"/>
      <c r="N108" s="1399"/>
      <c r="P108" s="1399"/>
      <c r="Q108" s="1399"/>
      <c r="R108" s="1399"/>
      <c r="S108" s="1399"/>
      <c r="T108" s="1399"/>
      <c r="U108" s="1399"/>
      <c r="V108" s="1399"/>
      <c r="W108" s="1399"/>
    </row>
    <row r="109" spans="2:23" s="1280" customFormat="1" x14ac:dyDescent="0.6">
      <c r="B109" s="1461"/>
      <c r="D109" s="1459"/>
      <c r="E109" s="1459"/>
      <c r="F109" s="1459"/>
      <c r="G109" s="1459"/>
      <c r="H109" s="1459"/>
      <c r="I109" s="1459"/>
      <c r="J109" s="1459"/>
      <c r="K109" s="1459"/>
      <c r="L109" s="1459"/>
      <c r="N109" s="1399"/>
      <c r="P109" s="1399"/>
      <c r="Q109" s="1399"/>
      <c r="R109" s="1399"/>
      <c r="S109" s="1399"/>
      <c r="T109" s="1399"/>
      <c r="U109" s="1399"/>
      <c r="V109" s="1399"/>
      <c r="W109" s="1399"/>
    </row>
    <row r="110" spans="2:23" s="1280" customFormat="1" x14ac:dyDescent="0.6">
      <c r="B110" s="1461"/>
      <c r="D110" s="1459"/>
      <c r="E110" s="1459"/>
      <c r="F110" s="1459"/>
      <c r="G110" s="1459"/>
      <c r="H110" s="1459"/>
      <c r="I110" s="1459"/>
      <c r="J110" s="1459"/>
      <c r="K110" s="1459"/>
      <c r="L110" s="1459"/>
      <c r="N110" s="1399"/>
      <c r="P110" s="1399"/>
      <c r="Q110" s="1399"/>
      <c r="R110" s="1399"/>
      <c r="S110" s="1399"/>
      <c r="T110" s="1399"/>
      <c r="U110" s="1399"/>
      <c r="V110" s="1399"/>
      <c r="W110" s="1399"/>
    </row>
    <row r="111" spans="2:23" s="1280" customFormat="1" x14ac:dyDescent="0.6">
      <c r="B111" s="1461"/>
      <c r="D111" s="1459"/>
      <c r="E111" s="1459"/>
      <c r="F111" s="1459"/>
      <c r="G111" s="1459"/>
      <c r="H111" s="1459"/>
      <c r="I111" s="1459"/>
      <c r="J111" s="1459"/>
      <c r="K111" s="1459"/>
      <c r="L111" s="1459"/>
      <c r="N111" s="1399"/>
      <c r="P111" s="1399"/>
      <c r="Q111" s="1399"/>
      <c r="R111" s="1399"/>
      <c r="S111" s="1399"/>
      <c r="T111" s="1399"/>
      <c r="U111" s="1399"/>
      <c r="V111" s="1399"/>
      <c r="W111" s="1399"/>
    </row>
    <row r="112" spans="2:23" s="1280" customFormat="1" x14ac:dyDescent="0.6">
      <c r="B112" s="1461"/>
      <c r="D112" s="1459"/>
      <c r="E112" s="1459"/>
      <c r="F112" s="1459"/>
      <c r="G112" s="1459"/>
      <c r="H112" s="1459"/>
      <c r="I112" s="1459"/>
      <c r="J112" s="1459"/>
      <c r="K112" s="1459"/>
      <c r="L112" s="1459"/>
      <c r="N112" s="1399"/>
      <c r="P112" s="1399"/>
      <c r="Q112" s="1399"/>
      <c r="R112" s="1399"/>
      <c r="S112" s="1399"/>
      <c r="T112" s="1399"/>
      <c r="U112" s="1399"/>
      <c r="V112" s="1399"/>
      <c r="W112" s="1399"/>
    </row>
    <row r="113" spans="2:23" s="1280" customFormat="1" x14ac:dyDescent="0.6">
      <c r="B113" s="1461"/>
      <c r="D113" s="1459"/>
      <c r="E113" s="1459"/>
      <c r="F113" s="1459"/>
      <c r="G113" s="1459"/>
      <c r="H113" s="1459"/>
      <c r="I113" s="1459"/>
      <c r="J113" s="1459"/>
      <c r="K113" s="1459"/>
      <c r="L113" s="1459"/>
      <c r="N113" s="1399"/>
      <c r="P113" s="1399"/>
      <c r="Q113" s="1399"/>
      <c r="R113" s="1399"/>
      <c r="S113" s="1399"/>
      <c r="T113" s="1399"/>
      <c r="U113" s="1399"/>
      <c r="V113" s="1399"/>
      <c r="W113" s="1399"/>
    </row>
    <row r="114" spans="2:23" s="1280" customFormat="1" x14ac:dyDescent="0.6">
      <c r="B114" s="1461"/>
      <c r="D114" s="1459"/>
      <c r="E114" s="1459"/>
      <c r="F114" s="1459"/>
      <c r="G114" s="1459"/>
      <c r="H114" s="1459"/>
      <c r="I114" s="1459"/>
      <c r="J114" s="1459"/>
      <c r="K114" s="1459"/>
      <c r="L114" s="1459"/>
      <c r="N114" s="1399"/>
      <c r="P114" s="1399"/>
      <c r="Q114" s="1399"/>
      <c r="R114" s="1399"/>
      <c r="S114" s="1399"/>
      <c r="T114" s="1399"/>
      <c r="U114" s="1399"/>
      <c r="V114" s="1399"/>
      <c r="W114" s="1399"/>
    </row>
    <row r="115" spans="2:23" s="1280" customFormat="1" x14ac:dyDescent="0.6">
      <c r="B115" s="1461"/>
      <c r="D115" s="1459"/>
      <c r="E115" s="1459"/>
      <c r="F115" s="1459"/>
      <c r="G115" s="1459"/>
      <c r="H115" s="1459"/>
      <c r="I115" s="1459"/>
      <c r="J115" s="1459"/>
      <c r="K115" s="1459"/>
      <c r="L115" s="1459"/>
      <c r="N115" s="1399"/>
      <c r="P115" s="1399"/>
      <c r="Q115" s="1399"/>
      <c r="R115" s="1399"/>
      <c r="S115" s="1399"/>
      <c r="T115" s="1399"/>
      <c r="U115" s="1399"/>
      <c r="V115" s="1399"/>
      <c r="W115" s="1399"/>
    </row>
    <row r="116" spans="2:23" s="1280" customFormat="1" x14ac:dyDescent="0.6">
      <c r="B116" s="1461"/>
      <c r="D116" s="1459"/>
      <c r="E116" s="1459"/>
      <c r="F116" s="1459"/>
      <c r="G116" s="1459"/>
      <c r="H116" s="1459"/>
      <c r="I116" s="1459"/>
      <c r="J116" s="1459"/>
      <c r="K116" s="1459"/>
      <c r="L116" s="1459"/>
      <c r="N116" s="1399"/>
      <c r="P116" s="1399"/>
      <c r="Q116" s="1399"/>
      <c r="R116" s="1399"/>
      <c r="S116" s="1399"/>
      <c r="T116" s="1399"/>
      <c r="U116" s="1399"/>
      <c r="V116" s="1399"/>
      <c r="W116" s="1399"/>
    </row>
    <row r="117" spans="2:23" s="1280" customFormat="1" x14ac:dyDescent="0.6">
      <c r="B117" s="1461"/>
      <c r="D117" s="1459"/>
      <c r="E117" s="1459"/>
      <c r="F117" s="1459"/>
      <c r="G117" s="1459"/>
      <c r="H117" s="1459"/>
      <c r="I117" s="1459"/>
      <c r="J117" s="1459"/>
      <c r="K117" s="1459"/>
      <c r="L117" s="1459"/>
      <c r="N117" s="1399"/>
      <c r="P117" s="1399"/>
      <c r="Q117" s="1399"/>
      <c r="R117" s="1399"/>
      <c r="S117" s="1399"/>
      <c r="T117" s="1399"/>
      <c r="U117" s="1399"/>
      <c r="V117" s="1399"/>
      <c r="W117" s="1399"/>
    </row>
    <row r="118" spans="2:23" s="1280" customFormat="1" x14ac:dyDescent="0.6">
      <c r="B118" s="1461"/>
      <c r="D118" s="1459"/>
      <c r="E118" s="1459"/>
      <c r="F118" s="1459"/>
      <c r="G118" s="1459"/>
      <c r="H118" s="1459"/>
      <c r="I118" s="1459"/>
      <c r="J118" s="1459"/>
      <c r="K118" s="1459"/>
      <c r="L118" s="1459"/>
      <c r="N118" s="1399"/>
      <c r="P118" s="1399"/>
      <c r="Q118" s="1399"/>
      <c r="R118" s="1399"/>
      <c r="S118" s="1399"/>
      <c r="T118" s="1399"/>
      <c r="U118" s="1399"/>
      <c r="V118" s="1399"/>
      <c r="W118" s="1399"/>
    </row>
    <row r="119" spans="2:23" s="1280" customFormat="1" x14ac:dyDescent="0.6">
      <c r="B119" s="1461"/>
      <c r="D119" s="1459"/>
      <c r="E119" s="1459"/>
      <c r="F119" s="1459"/>
      <c r="G119" s="1459"/>
      <c r="H119" s="1459"/>
      <c r="I119" s="1459"/>
      <c r="J119" s="1459"/>
      <c r="K119" s="1459"/>
      <c r="L119" s="1459"/>
      <c r="N119" s="1399"/>
      <c r="P119" s="1399"/>
      <c r="Q119" s="1399"/>
      <c r="R119" s="1399"/>
      <c r="S119" s="1399"/>
      <c r="T119" s="1399"/>
      <c r="U119" s="1399"/>
      <c r="V119" s="1399"/>
      <c r="W119" s="1399"/>
    </row>
    <row r="120" spans="2:23" s="1280" customFormat="1" x14ac:dyDescent="0.6">
      <c r="B120" s="1461"/>
      <c r="D120" s="1459"/>
      <c r="E120" s="1459"/>
      <c r="F120" s="1459"/>
      <c r="G120" s="1459"/>
      <c r="H120" s="1459"/>
      <c r="I120" s="1459"/>
      <c r="J120" s="1459"/>
      <c r="K120" s="1459"/>
      <c r="L120" s="1459"/>
      <c r="N120" s="1399"/>
      <c r="P120" s="1399"/>
      <c r="Q120" s="1399"/>
      <c r="R120" s="1399"/>
      <c r="S120" s="1399"/>
      <c r="T120" s="1399"/>
      <c r="U120" s="1399"/>
      <c r="V120" s="1399"/>
      <c r="W120" s="1399"/>
    </row>
    <row r="121" spans="2:23" s="1280" customFormat="1" x14ac:dyDescent="0.6">
      <c r="B121" s="1461"/>
      <c r="D121" s="1459"/>
      <c r="E121" s="1459"/>
      <c r="F121" s="1459"/>
      <c r="G121" s="1459"/>
      <c r="H121" s="1459"/>
      <c r="I121" s="1459"/>
      <c r="J121" s="1459"/>
      <c r="K121" s="1459"/>
      <c r="L121" s="1459"/>
      <c r="N121" s="1399"/>
      <c r="P121" s="1399"/>
      <c r="Q121" s="1399"/>
      <c r="R121" s="1399"/>
      <c r="S121" s="1399"/>
      <c r="T121" s="1399"/>
      <c r="U121" s="1399"/>
      <c r="V121" s="1399"/>
      <c r="W121" s="1399"/>
    </row>
    <row r="122" spans="2:23" s="1280" customFormat="1" x14ac:dyDescent="0.6">
      <c r="B122" s="1461"/>
      <c r="D122" s="1459"/>
      <c r="E122" s="1459"/>
      <c r="F122" s="1459"/>
      <c r="G122" s="1459"/>
      <c r="H122" s="1459"/>
      <c r="I122" s="1459"/>
      <c r="J122" s="1459"/>
      <c r="K122" s="1459"/>
      <c r="L122" s="1459"/>
      <c r="N122" s="1399"/>
      <c r="P122" s="1399"/>
      <c r="Q122" s="1399"/>
      <c r="R122" s="1399"/>
      <c r="S122" s="1399"/>
      <c r="T122" s="1399"/>
      <c r="U122" s="1399"/>
      <c r="V122" s="1399"/>
      <c r="W122" s="1399"/>
    </row>
    <row r="123" spans="2:23" s="1280" customFormat="1" x14ac:dyDescent="0.6">
      <c r="B123" s="1461"/>
      <c r="D123" s="1459"/>
      <c r="E123" s="1459"/>
      <c r="F123" s="1459"/>
      <c r="G123" s="1459"/>
      <c r="H123" s="1459"/>
      <c r="I123" s="1459"/>
      <c r="J123" s="1459"/>
      <c r="K123" s="1459"/>
      <c r="L123" s="1459"/>
      <c r="N123" s="1399"/>
      <c r="P123" s="1399"/>
      <c r="Q123" s="1399"/>
      <c r="R123" s="1399"/>
      <c r="S123" s="1399"/>
      <c r="T123" s="1399"/>
      <c r="U123" s="1399"/>
      <c r="V123" s="1399"/>
      <c r="W123" s="1399"/>
    </row>
    <row r="124" spans="2:23" s="1280" customFormat="1" x14ac:dyDescent="0.6">
      <c r="B124" s="1461"/>
      <c r="D124" s="1459"/>
      <c r="E124" s="1459"/>
      <c r="F124" s="1459"/>
      <c r="G124" s="1459"/>
      <c r="H124" s="1459"/>
      <c r="I124" s="1459"/>
      <c r="J124" s="1459"/>
      <c r="K124" s="1459"/>
      <c r="L124" s="1459"/>
      <c r="N124" s="1399"/>
      <c r="P124" s="1399"/>
      <c r="Q124" s="1399"/>
      <c r="R124" s="1399"/>
      <c r="S124" s="1399"/>
      <c r="T124" s="1399"/>
      <c r="U124" s="1399"/>
      <c r="V124" s="1399"/>
      <c r="W124" s="1399"/>
    </row>
    <row r="125" spans="2:23" s="1280" customFormat="1" x14ac:dyDescent="0.6">
      <c r="B125" s="1461"/>
      <c r="D125" s="1459"/>
      <c r="E125" s="1459"/>
      <c r="F125" s="1459"/>
      <c r="G125" s="1459"/>
      <c r="H125" s="1459"/>
      <c r="I125" s="1459"/>
      <c r="J125" s="1459"/>
      <c r="K125" s="1459"/>
      <c r="L125" s="1459"/>
      <c r="N125" s="1399"/>
      <c r="P125" s="1399"/>
      <c r="Q125" s="1399"/>
      <c r="R125" s="1399"/>
      <c r="S125" s="1399"/>
      <c r="T125" s="1399"/>
      <c r="U125" s="1399"/>
      <c r="V125" s="1399"/>
      <c r="W125" s="1399"/>
    </row>
    <row r="126" spans="2:23" s="1280" customFormat="1" x14ac:dyDescent="0.6">
      <c r="B126" s="1461"/>
      <c r="D126" s="1459"/>
      <c r="E126" s="1459"/>
      <c r="F126" s="1459"/>
      <c r="G126" s="1459"/>
      <c r="H126" s="1459"/>
      <c r="I126" s="1459"/>
      <c r="J126" s="1459"/>
      <c r="K126" s="1459"/>
      <c r="L126" s="1459"/>
      <c r="N126" s="1399"/>
      <c r="P126" s="1399"/>
      <c r="Q126" s="1399"/>
      <c r="R126" s="1399"/>
      <c r="S126" s="1399"/>
      <c r="T126" s="1399"/>
      <c r="U126" s="1399"/>
      <c r="V126" s="1399"/>
      <c r="W126" s="1399"/>
    </row>
    <row r="127" spans="2:23" s="1280" customFormat="1" x14ac:dyDescent="0.6">
      <c r="B127" s="1461"/>
      <c r="D127" s="1459"/>
      <c r="E127" s="1459"/>
      <c r="F127" s="1459"/>
      <c r="G127" s="1459"/>
      <c r="H127" s="1459"/>
      <c r="I127" s="1459"/>
      <c r="J127" s="1459"/>
      <c r="K127" s="1459"/>
      <c r="L127" s="1459"/>
      <c r="N127" s="1399"/>
      <c r="P127" s="1399"/>
      <c r="Q127" s="1399"/>
      <c r="R127" s="1399"/>
      <c r="S127" s="1399"/>
      <c r="T127" s="1399"/>
      <c r="U127" s="1399"/>
      <c r="V127" s="1399"/>
      <c r="W127" s="1399"/>
    </row>
    <row r="128" spans="2:23" s="1280" customFormat="1" x14ac:dyDescent="0.6">
      <c r="B128" s="1461"/>
      <c r="D128" s="1459"/>
      <c r="E128" s="1459"/>
      <c r="F128" s="1459"/>
      <c r="G128" s="1459"/>
      <c r="H128" s="1459"/>
      <c r="I128" s="1459"/>
      <c r="J128" s="1459"/>
      <c r="K128" s="1459"/>
      <c r="L128" s="1459"/>
      <c r="N128" s="1399"/>
      <c r="P128" s="1399"/>
      <c r="Q128" s="1399"/>
      <c r="R128" s="1399"/>
      <c r="S128" s="1399"/>
      <c r="T128" s="1399"/>
      <c r="U128" s="1399"/>
      <c r="V128" s="1399"/>
      <c r="W128" s="1399"/>
    </row>
    <row r="129" spans="2:23" s="1280" customFormat="1" x14ac:dyDescent="0.6">
      <c r="B129" s="1461"/>
      <c r="D129" s="1459"/>
      <c r="E129" s="1459"/>
      <c r="F129" s="1459"/>
      <c r="G129" s="1459"/>
      <c r="H129" s="1459"/>
      <c r="I129" s="1459"/>
      <c r="J129" s="1459"/>
      <c r="K129" s="1459"/>
      <c r="L129" s="1459"/>
      <c r="N129" s="1399"/>
      <c r="P129" s="1399"/>
      <c r="Q129" s="1399"/>
      <c r="R129" s="1399"/>
      <c r="S129" s="1399"/>
      <c r="T129" s="1399"/>
      <c r="U129" s="1399"/>
      <c r="V129" s="1399"/>
      <c r="W129" s="1399"/>
    </row>
    <row r="130" spans="2:23" s="1280" customFormat="1" x14ac:dyDescent="0.6">
      <c r="B130" s="1461"/>
      <c r="D130" s="1459"/>
      <c r="E130" s="1459"/>
      <c r="F130" s="1459"/>
      <c r="G130" s="1459"/>
      <c r="H130" s="1459"/>
      <c r="I130" s="1459"/>
      <c r="J130" s="1459"/>
      <c r="K130" s="1459"/>
      <c r="L130" s="1459"/>
      <c r="N130" s="1399"/>
      <c r="P130" s="1399"/>
      <c r="Q130" s="1399"/>
      <c r="R130" s="1399"/>
      <c r="S130" s="1399"/>
      <c r="T130" s="1399"/>
      <c r="U130" s="1399"/>
      <c r="V130" s="1399"/>
      <c r="W130" s="1399"/>
    </row>
    <row r="131" spans="2:23" s="1280" customFormat="1" x14ac:dyDescent="0.6">
      <c r="B131" s="1461"/>
      <c r="D131" s="1459"/>
      <c r="E131" s="1459"/>
      <c r="F131" s="1459"/>
      <c r="G131" s="1459"/>
      <c r="H131" s="1459"/>
      <c r="I131" s="1459"/>
      <c r="J131" s="1459"/>
      <c r="K131" s="1459"/>
      <c r="L131" s="1459"/>
      <c r="N131" s="1399"/>
      <c r="P131" s="1399"/>
      <c r="Q131" s="1399"/>
      <c r="R131" s="1399"/>
      <c r="S131" s="1399"/>
      <c r="T131" s="1399"/>
      <c r="U131" s="1399"/>
      <c r="V131" s="1399"/>
      <c r="W131" s="1399"/>
    </row>
    <row r="132" spans="2:23" s="1280" customFormat="1" x14ac:dyDescent="0.6">
      <c r="B132" s="1461"/>
      <c r="D132" s="1459"/>
      <c r="E132" s="1459"/>
      <c r="F132" s="1459"/>
      <c r="G132" s="1459"/>
      <c r="H132" s="1459"/>
      <c r="I132" s="1459"/>
      <c r="J132" s="1459"/>
      <c r="K132" s="1459"/>
      <c r="L132" s="1459"/>
      <c r="N132" s="1399"/>
      <c r="P132" s="1399"/>
      <c r="Q132" s="1399"/>
      <c r="R132" s="1399"/>
      <c r="S132" s="1399"/>
      <c r="T132" s="1399"/>
      <c r="U132" s="1399"/>
      <c r="V132" s="1399"/>
      <c r="W132" s="1399"/>
    </row>
    <row r="133" spans="2:23" s="1280" customFormat="1" x14ac:dyDescent="0.6">
      <c r="B133" s="1461"/>
      <c r="D133" s="1459"/>
      <c r="E133" s="1459"/>
      <c r="F133" s="1459"/>
      <c r="G133" s="1459"/>
      <c r="H133" s="1459"/>
      <c r="I133" s="1459"/>
      <c r="J133" s="1459"/>
      <c r="K133" s="1459"/>
      <c r="L133" s="1459"/>
      <c r="N133" s="1399"/>
      <c r="P133" s="1399"/>
      <c r="Q133" s="1399"/>
      <c r="R133" s="1399"/>
      <c r="S133" s="1399"/>
      <c r="T133" s="1399"/>
      <c r="U133" s="1399"/>
      <c r="V133" s="1399"/>
      <c r="W133" s="1399"/>
    </row>
    <row r="134" spans="2:23" s="1280" customFormat="1" x14ac:dyDescent="0.6">
      <c r="B134" s="1461"/>
      <c r="D134" s="1459"/>
      <c r="E134" s="1459"/>
      <c r="F134" s="1459"/>
      <c r="G134" s="1459"/>
      <c r="H134" s="1459"/>
      <c r="I134" s="1459"/>
      <c r="J134" s="1459"/>
      <c r="K134" s="1459"/>
      <c r="L134" s="1459"/>
      <c r="N134" s="1399"/>
      <c r="P134" s="1399"/>
      <c r="Q134" s="1399"/>
      <c r="R134" s="1399"/>
      <c r="S134" s="1399"/>
      <c r="T134" s="1399"/>
      <c r="U134" s="1399"/>
      <c r="V134" s="1399"/>
      <c r="W134" s="1399"/>
    </row>
    <row r="135" spans="2:23" s="1280" customFormat="1" x14ac:dyDescent="0.6">
      <c r="B135" s="1461"/>
      <c r="D135" s="1459"/>
      <c r="E135" s="1459"/>
      <c r="F135" s="1459"/>
      <c r="G135" s="1459"/>
      <c r="H135" s="1459"/>
      <c r="I135" s="1459"/>
      <c r="J135" s="1459"/>
      <c r="K135" s="1459"/>
      <c r="L135" s="1459"/>
      <c r="N135" s="1399"/>
      <c r="P135" s="1399"/>
      <c r="Q135" s="1399"/>
      <c r="R135" s="1399"/>
      <c r="S135" s="1399"/>
      <c r="T135" s="1399"/>
      <c r="U135" s="1399"/>
      <c r="V135" s="1399"/>
      <c r="W135" s="1399"/>
    </row>
    <row r="136" spans="2:23" s="1280" customFormat="1" x14ac:dyDescent="0.6">
      <c r="B136" s="1461"/>
      <c r="D136" s="1459"/>
      <c r="E136" s="1459"/>
      <c r="F136" s="1459"/>
      <c r="G136" s="1459"/>
      <c r="H136" s="1459"/>
      <c r="I136" s="1459"/>
      <c r="J136" s="1459"/>
      <c r="K136" s="1459"/>
      <c r="L136" s="1459"/>
      <c r="N136" s="1399"/>
      <c r="P136" s="1399"/>
      <c r="Q136" s="1399"/>
      <c r="R136" s="1399"/>
      <c r="S136" s="1399"/>
      <c r="T136" s="1399"/>
      <c r="U136" s="1399"/>
      <c r="V136" s="1399"/>
      <c r="W136" s="1399"/>
    </row>
    <row r="137" spans="2:23" s="1280" customFormat="1" x14ac:dyDescent="0.6">
      <c r="B137" s="1461"/>
      <c r="D137" s="1459"/>
      <c r="E137" s="1459"/>
      <c r="F137" s="1459"/>
      <c r="G137" s="1459"/>
      <c r="H137" s="1459"/>
      <c r="I137" s="1459"/>
      <c r="J137" s="1459"/>
      <c r="K137" s="1459"/>
      <c r="L137" s="1459"/>
      <c r="N137" s="1399"/>
      <c r="P137" s="1399"/>
      <c r="Q137" s="1399"/>
      <c r="R137" s="1399"/>
      <c r="S137" s="1399"/>
      <c r="T137" s="1399"/>
      <c r="U137" s="1399"/>
      <c r="V137" s="1399"/>
      <c r="W137" s="1399"/>
    </row>
    <row r="138" spans="2:23" s="1280" customFormat="1" x14ac:dyDescent="0.6">
      <c r="B138" s="1461"/>
      <c r="D138" s="1459"/>
      <c r="E138" s="1459"/>
      <c r="F138" s="1459"/>
      <c r="G138" s="1459"/>
      <c r="H138" s="1459"/>
      <c r="I138" s="1459"/>
      <c r="J138" s="1459"/>
      <c r="K138" s="1459"/>
      <c r="L138" s="1459"/>
      <c r="N138" s="1399"/>
      <c r="P138" s="1399"/>
      <c r="Q138" s="1399"/>
      <c r="R138" s="1399"/>
      <c r="S138" s="1399"/>
      <c r="T138" s="1399"/>
      <c r="U138" s="1399"/>
      <c r="V138" s="1399"/>
      <c r="W138" s="1399"/>
    </row>
    <row r="139" spans="2:23" s="1280" customFormat="1" x14ac:dyDescent="0.6">
      <c r="B139" s="1461"/>
      <c r="D139" s="1459"/>
      <c r="E139" s="1459"/>
      <c r="F139" s="1459"/>
      <c r="G139" s="1459"/>
      <c r="H139" s="1459"/>
      <c r="I139" s="1459"/>
      <c r="J139" s="1459"/>
      <c r="K139" s="1459"/>
      <c r="L139" s="1459"/>
      <c r="N139" s="1399"/>
      <c r="P139" s="1399"/>
      <c r="Q139" s="1399"/>
      <c r="R139" s="1399"/>
      <c r="S139" s="1399"/>
      <c r="T139" s="1399"/>
      <c r="U139" s="1399"/>
      <c r="V139" s="1399"/>
      <c r="W139" s="1399"/>
    </row>
    <row r="140" spans="2:23" s="1280" customFormat="1" x14ac:dyDescent="0.6">
      <c r="B140" s="1461"/>
      <c r="D140" s="1459"/>
      <c r="E140" s="1459"/>
      <c r="F140" s="1459"/>
      <c r="G140" s="1459"/>
      <c r="H140" s="1459"/>
      <c r="I140" s="1459"/>
      <c r="J140" s="1459"/>
      <c r="K140" s="1459"/>
      <c r="L140" s="1459"/>
      <c r="N140" s="1399"/>
      <c r="P140" s="1399"/>
      <c r="Q140" s="1399"/>
      <c r="R140" s="1399"/>
      <c r="S140" s="1399"/>
      <c r="T140" s="1399"/>
      <c r="U140" s="1399"/>
      <c r="V140" s="1399"/>
      <c r="W140" s="1399"/>
    </row>
    <row r="141" spans="2:23" s="1280" customFormat="1" x14ac:dyDescent="0.6">
      <c r="B141" s="1461"/>
      <c r="D141" s="1459"/>
      <c r="E141" s="1459"/>
      <c r="F141" s="1459"/>
      <c r="G141" s="1459"/>
      <c r="H141" s="1459"/>
      <c r="I141" s="1459"/>
      <c r="J141" s="1459"/>
      <c r="K141" s="1459"/>
      <c r="L141" s="1459"/>
      <c r="N141" s="1399"/>
      <c r="P141" s="1399"/>
      <c r="Q141" s="1399"/>
      <c r="R141" s="1399"/>
      <c r="S141" s="1399"/>
      <c r="T141" s="1399"/>
      <c r="U141" s="1399"/>
      <c r="V141" s="1399"/>
      <c r="W141" s="1399"/>
    </row>
    <row r="142" spans="2:23" s="1280" customFormat="1" x14ac:dyDescent="0.6">
      <c r="B142" s="1461"/>
      <c r="D142" s="1459"/>
      <c r="E142" s="1459"/>
      <c r="F142" s="1459"/>
      <c r="G142" s="1459"/>
      <c r="H142" s="1459"/>
      <c r="I142" s="1459"/>
      <c r="J142" s="1459"/>
      <c r="K142" s="1459"/>
      <c r="L142" s="1459"/>
      <c r="N142" s="1399"/>
      <c r="P142" s="1399"/>
      <c r="Q142" s="1399"/>
      <c r="R142" s="1399"/>
      <c r="S142" s="1399"/>
      <c r="T142" s="1399"/>
      <c r="U142" s="1399"/>
      <c r="V142" s="1399"/>
      <c r="W142" s="1399"/>
    </row>
    <row r="143" spans="2:23" s="1280" customFormat="1" x14ac:dyDescent="0.6">
      <c r="B143" s="1461"/>
      <c r="D143" s="1459"/>
      <c r="E143" s="1459"/>
      <c r="F143" s="1459"/>
      <c r="G143" s="1459"/>
      <c r="H143" s="1459"/>
      <c r="I143" s="1459"/>
      <c r="J143" s="1459"/>
      <c r="K143" s="1459"/>
      <c r="L143" s="1459"/>
      <c r="N143" s="1399"/>
      <c r="P143" s="1399"/>
      <c r="Q143" s="1399"/>
      <c r="R143" s="1399"/>
      <c r="S143" s="1399"/>
      <c r="T143" s="1399"/>
      <c r="U143" s="1399"/>
      <c r="V143" s="1399"/>
      <c r="W143" s="1399"/>
    </row>
    <row r="144" spans="2:23" s="1280" customFormat="1" x14ac:dyDescent="0.6">
      <c r="B144" s="1461"/>
      <c r="D144" s="1459"/>
      <c r="E144" s="1459"/>
      <c r="F144" s="1459"/>
      <c r="G144" s="1459"/>
      <c r="H144" s="1459"/>
      <c r="I144" s="1459"/>
      <c r="J144" s="1459"/>
      <c r="K144" s="1459"/>
      <c r="L144" s="1459"/>
      <c r="N144" s="1399"/>
      <c r="P144" s="1399"/>
      <c r="Q144" s="1399"/>
      <c r="R144" s="1399"/>
      <c r="S144" s="1399"/>
      <c r="T144" s="1399"/>
      <c r="U144" s="1399"/>
      <c r="V144" s="1399"/>
      <c r="W144" s="1399"/>
    </row>
    <row r="145" spans="2:23" s="1280" customFormat="1" x14ac:dyDescent="0.6">
      <c r="B145" s="1461"/>
      <c r="D145" s="1459"/>
      <c r="E145" s="1459"/>
      <c r="F145" s="1459"/>
      <c r="G145" s="1459"/>
      <c r="H145" s="1459"/>
      <c r="I145" s="1459"/>
      <c r="J145" s="1459"/>
      <c r="K145" s="1459"/>
      <c r="L145" s="1459"/>
      <c r="N145" s="1399"/>
      <c r="P145" s="1399"/>
      <c r="Q145" s="1399"/>
      <c r="R145" s="1399"/>
      <c r="S145" s="1399"/>
      <c r="T145" s="1399"/>
      <c r="U145" s="1399"/>
      <c r="V145" s="1399"/>
      <c r="W145" s="1399"/>
    </row>
    <row r="146" spans="2:23" s="1280" customFormat="1" x14ac:dyDescent="0.6">
      <c r="B146" s="1461"/>
      <c r="D146" s="1459"/>
      <c r="E146" s="1459"/>
      <c r="F146" s="1459"/>
      <c r="G146" s="1459"/>
      <c r="H146" s="1459"/>
      <c r="I146" s="1459"/>
      <c r="J146" s="1459"/>
      <c r="K146" s="1459"/>
      <c r="L146" s="1459"/>
      <c r="N146" s="1399"/>
      <c r="P146" s="1399"/>
      <c r="Q146" s="1399"/>
      <c r="R146" s="1399"/>
      <c r="S146" s="1399"/>
      <c r="T146" s="1399"/>
      <c r="U146" s="1399"/>
      <c r="V146" s="1399"/>
      <c r="W146" s="1399"/>
    </row>
    <row r="147" spans="2:23" s="1280" customFormat="1" x14ac:dyDescent="0.6">
      <c r="B147" s="1461"/>
      <c r="D147" s="1459"/>
      <c r="E147" s="1459"/>
      <c r="F147" s="1459"/>
      <c r="G147" s="1459"/>
      <c r="H147" s="1459"/>
      <c r="I147" s="1459"/>
      <c r="J147" s="1459"/>
      <c r="K147" s="1459"/>
      <c r="L147" s="1459"/>
      <c r="N147" s="1399"/>
      <c r="P147" s="1399"/>
      <c r="Q147" s="1399"/>
      <c r="R147" s="1399"/>
      <c r="S147" s="1399"/>
      <c r="T147" s="1399"/>
      <c r="U147" s="1399"/>
      <c r="V147" s="1399"/>
      <c r="W147" s="1399"/>
    </row>
    <row r="148" spans="2:23" s="1280" customFormat="1" x14ac:dyDescent="0.6">
      <c r="B148" s="1461"/>
      <c r="D148" s="1459"/>
      <c r="E148" s="1459"/>
      <c r="F148" s="1459"/>
      <c r="G148" s="1459"/>
      <c r="H148" s="1459"/>
      <c r="I148" s="1459"/>
      <c r="J148" s="1459"/>
      <c r="K148" s="1459"/>
      <c r="L148" s="1459"/>
      <c r="N148" s="1399"/>
      <c r="P148" s="1399"/>
      <c r="Q148" s="1399"/>
      <c r="R148" s="1399"/>
      <c r="S148" s="1399"/>
      <c r="T148" s="1399"/>
      <c r="U148" s="1399"/>
      <c r="V148" s="1399"/>
      <c r="W148" s="1399"/>
    </row>
    <row r="149" spans="2:23" s="1280" customFormat="1" x14ac:dyDescent="0.6">
      <c r="B149" s="1461"/>
      <c r="D149" s="1459"/>
      <c r="E149" s="1459"/>
      <c r="F149" s="1459"/>
      <c r="G149" s="1459"/>
      <c r="H149" s="1459"/>
      <c r="I149" s="1459"/>
      <c r="J149" s="1459"/>
      <c r="K149" s="1459"/>
      <c r="L149" s="1459"/>
      <c r="N149" s="1399"/>
      <c r="P149" s="1399"/>
      <c r="Q149" s="1399"/>
      <c r="R149" s="1399"/>
      <c r="S149" s="1399"/>
      <c r="T149" s="1399"/>
      <c r="U149" s="1399"/>
      <c r="V149" s="1399"/>
      <c r="W149" s="1399"/>
    </row>
    <row r="150" spans="2:23" s="1280" customFormat="1" x14ac:dyDescent="0.6">
      <c r="B150" s="1461"/>
      <c r="D150" s="1459"/>
      <c r="E150" s="1459"/>
      <c r="F150" s="1459"/>
      <c r="G150" s="1459"/>
      <c r="H150" s="1459"/>
      <c r="I150" s="1459"/>
      <c r="J150" s="1459"/>
      <c r="K150" s="1459"/>
      <c r="L150" s="1459"/>
      <c r="N150" s="1399"/>
      <c r="P150" s="1399"/>
      <c r="Q150" s="1399"/>
      <c r="R150" s="1399"/>
      <c r="S150" s="1399"/>
      <c r="T150" s="1399"/>
      <c r="U150" s="1399"/>
      <c r="V150" s="1399"/>
      <c r="W150" s="1399"/>
    </row>
    <row r="151" spans="2:23" s="1280" customFormat="1" x14ac:dyDescent="0.6">
      <c r="B151" s="1461"/>
      <c r="D151" s="1459"/>
      <c r="E151" s="1459"/>
      <c r="F151" s="1459"/>
      <c r="G151" s="1459"/>
      <c r="H151" s="1459"/>
      <c r="I151" s="1459"/>
      <c r="J151" s="1459"/>
      <c r="K151" s="1459"/>
      <c r="L151" s="1459"/>
      <c r="N151" s="1399"/>
      <c r="P151" s="1399"/>
      <c r="Q151" s="1399"/>
      <c r="R151" s="1399"/>
      <c r="S151" s="1399"/>
      <c r="T151" s="1399"/>
      <c r="U151" s="1399"/>
      <c r="V151" s="1399"/>
      <c r="W151" s="1399"/>
    </row>
    <row r="152" spans="2:23" s="1280" customFormat="1" x14ac:dyDescent="0.6">
      <c r="B152" s="1461"/>
      <c r="D152" s="1459"/>
      <c r="E152" s="1459"/>
      <c r="F152" s="1459"/>
      <c r="G152" s="1459"/>
      <c r="H152" s="1459"/>
      <c r="I152" s="1459"/>
      <c r="J152" s="1459"/>
      <c r="K152" s="1459"/>
      <c r="L152" s="1459"/>
      <c r="N152" s="1399"/>
      <c r="P152" s="1399"/>
      <c r="Q152" s="1399"/>
      <c r="R152" s="1399"/>
      <c r="S152" s="1399"/>
      <c r="T152" s="1399"/>
      <c r="U152" s="1399"/>
      <c r="V152" s="1399"/>
      <c r="W152" s="1399"/>
    </row>
    <row r="153" spans="2:23" s="1280" customFormat="1" x14ac:dyDescent="0.6">
      <c r="B153" s="1461"/>
      <c r="D153" s="1459"/>
      <c r="E153" s="1459"/>
      <c r="F153" s="1459"/>
      <c r="G153" s="1459"/>
      <c r="H153" s="1459"/>
      <c r="I153" s="1459"/>
      <c r="J153" s="1459"/>
      <c r="K153" s="1459"/>
      <c r="L153" s="1459"/>
      <c r="N153" s="1399"/>
      <c r="P153" s="1399"/>
      <c r="Q153" s="1399"/>
      <c r="R153" s="1399"/>
      <c r="S153" s="1399"/>
      <c r="T153" s="1399"/>
      <c r="U153" s="1399"/>
      <c r="V153" s="1399"/>
      <c r="W153" s="1399"/>
    </row>
    <row r="154" spans="2:23" s="1280" customFormat="1" x14ac:dyDescent="0.6">
      <c r="B154" s="1461"/>
      <c r="D154" s="1459"/>
      <c r="E154" s="1459"/>
      <c r="F154" s="1459"/>
      <c r="G154" s="1459"/>
      <c r="H154" s="1459"/>
      <c r="I154" s="1459"/>
      <c r="J154" s="1459"/>
      <c r="K154" s="1459"/>
      <c r="L154" s="1459"/>
      <c r="N154" s="1399"/>
      <c r="P154" s="1399"/>
      <c r="Q154" s="1399"/>
      <c r="R154" s="1399"/>
      <c r="S154" s="1399"/>
      <c r="T154" s="1399"/>
      <c r="U154" s="1399"/>
      <c r="V154" s="1399"/>
      <c r="W154" s="1399"/>
    </row>
    <row r="155" spans="2:23" s="1280" customFormat="1" x14ac:dyDescent="0.6">
      <c r="B155" s="1461"/>
      <c r="D155" s="1459"/>
      <c r="E155" s="1459"/>
      <c r="F155" s="1459"/>
      <c r="G155" s="1459"/>
      <c r="H155" s="1459"/>
      <c r="I155" s="1459"/>
      <c r="J155" s="1459"/>
      <c r="K155" s="1459"/>
      <c r="L155" s="1459"/>
      <c r="N155" s="1399"/>
      <c r="P155" s="1399"/>
      <c r="Q155" s="1399"/>
      <c r="R155" s="1399"/>
      <c r="S155" s="1399"/>
      <c r="T155" s="1399"/>
      <c r="U155" s="1399"/>
      <c r="V155" s="1399"/>
      <c r="W155" s="1399"/>
    </row>
    <row r="156" spans="2:23" s="1280" customFormat="1" x14ac:dyDescent="0.6">
      <c r="B156" s="1461"/>
      <c r="D156" s="1459"/>
      <c r="E156" s="1459"/>
      <c r="F156" s="1459"/>
      <c r="G156" s="1459"/>
      <c r="H156" s="1459"/>
      <c r="I156" s="1459"/>
      <c r="J156" s="1459"/>
      <c r="K156" s="1459"/>
      <c r="L156" s="1459"/>
      <c r="N156" s="1399"/>
      <c r="P156" s="1399"/>
      <c r="Q156" s="1399"/>
      <c r="R156" s="1399"/>
      <c r="S156" s="1399"/>
      <c r="T156" s="1399"/>
      <c r="U156" s="1399"/>
      <c r="V156" s="1399"/>
      <c r="W156" s="1399"/>
    </row>
    <row r="157" spans="2:23" s="1280" customFormat="1" x14ac:dyDescent="0.6">
      <c r="B157" s="1461"/>
      <c r="D157" s="1459"/>
      <c r="E157" s="1459"/>
      <c r="F157" s="1459"/>
      <c r="G157" s="1459"/>
      <c r="H157" s="1459"/>
      <c r="I157" s="1459"/>
      <c r="J157" s="1459"/>
      <c r="K157" s="1459"/>
      <c r="L157" s="1459"/>
      <c r="N157" s="1399"/>
      <c r="P157" s="1399"/>
      <c r="Q157" s="1399"/>
      <c r="R157" s="1399"/>
      <c r="S157" s="1399"/>
      <c r="T157" s="1399"/>
      <c r="U157" s="1399"/>
      <c r="V157" s="1399"/>
      <c r="W157" s="1399"/>
    </row>
    <row r="158" spans="2:23" s="1280" customFormat="1" x14ac:dyDescent="0.6">
      <c r="B158" s="1461"/>
      <c r="D158" s="1459"/>
      <c r="E158" s="1459"/>
      <c r="F158" s="1459"/>
      <c r="G158" s="1459"/>
      <c r="H158" s="1459"/>
      <c r="I158" s="1459"/>
      <c r="J158" s="1459"/>
      <c r="K158" s="1459"/>
      <c r="L158" s="1459"/>
      <c r="N158" s="1399"/>
      <c r="P158" s="1399"/>
      <c r="Q158" s="1399"/>
      <c r="R158" s="1399"/>
      <c r="S158" s="1399"/>
      <c r="T158" s="1399"/>
      <c r="U158" s="1399"/>
      <c r="V158" s="1399"/>
      <c r="W158" s="1399"/>
    </row>
    <row r="159" spans="2:23" s="1280" customFormat="1" x14ac:dyDescent="0.6">
      <c r="B159" s="1461"/>
      <c r="D159" s="1459"/>
      <c r="E159" s="1459"/>
      <c r="F159" s="1459"/>
      <c r="G159" s="1459"/>
      <c r="H159" s="1459"/>
      <c r="I159" s="1459"/>
      <c r="J159" s="1459"/>
      <c r="K159" s="1459"/>
      <c r="L159" s="1459"/>
      <c r="N159" s="1399"/>
      <c r="P159" s="1399"/>
      <c r="Q159" s="1399"/>
      <c r="R159" s="1399"/>
      <c r="S159" s="1399"/>
      <c r="T159" s="1399"/>
      <c r="U159" s="1399"/>
      <c r="V159" s="1399"/>
      <c r="W159" s="1399"/>
    </row>
    <row r="160" spans="2:23" s="1280" customFormat="1" x14ac:dyDescent="0.6">
      <c r="B160" s="1461"/>
      <c r="D160" s="1459"/>
      <c r="E160" s="1459"/>
      <c r="F160" s="1459"/>
      <c r="G160" s="1459"/>
      <c r="H160" s="1459"/>
      <c r="I160" s="1459"/>
      <c r="J160" s="1459"/>
      <c r="K160" s="1459"/>
      <c r="L160" s="1459"/>
      <c r="N160" s="1399"/>
      <c r="P160" s="1399"/>
      <c r="Q160" s="1399"/>
      <c r="R160" s="1399"/>
      <c r="S160" s="1399"/>
      <c r="T160" s="1399"/>
      <c r="U160" s="1399"/>
      <c r="V160" s="1399"/>
      <c r="W160" s="1399"/>
    </row>
    <row r="161" spans="2:23" s="1280" customFormat="1" x14ac:dyDescent="0.6">
      <c r="B161" s="1461"/>
      <c r="D161" s="1459"/>
      <c r="E161" s="1459"/>
      <c r="F161" s="1459"/>
      <c r="G161" s="1459"/>
      <c r="H161" s="1459"/>
      <c r="I161" s="1459"/>
      <c r="J161" s="1459"/>
      <c r="K161" s="1459"/>
      <c r="L161" s="1459"/>
      <c r="N161" s="1399"/>
      <c r="P161" s="1399"/>
      <c r="Q161" s="1399"/>
      <c r="R161" s="1399"/>
      <c r="S161" s="1399"/>
      <c r="T161" s="1399"/>
      <c r="U161" s="1399"/>
      <c r="V161" s="1399"/>
      <c r="W161" s="1399"/>
    </row>
    <row r="162" spans="2:23" s="1280" customFormat="1" x14ac:dyDescent="0.6">
      <c r="B162" s="1461"/>
      <c r="D162" s="1459"/>
      <c r="E162" s="1459"/>
      <c r="F162" s="1459"/>
      <c r="G162" s="1459"/>
      <c r="H162" s="1459"/>
      <c r="I162" s="1459"/>
      <c r="J162" s="1459"/>
      <c r="K162" s="1459"/>
      <c r="L162" s="1459"/>
      <c r="N162" s="1399"/>
      <c r="P162" s="1399"/>
      <c r="Q162" s="1399"/>
      <c r="R162" s="1399"/>
      <c r="S162" s="1399"/>
      <c r="T162" s="1399"/>
      <c r="U162" s="1399"/>
      <c r="V162" s="1399"/>
      <c r="W162" s="1399"/>
    </row>
    <row r="163" spans="2:23" s="1280" customFormat="1" x14ac:dyDescent="0.6">
      <c r="B163" s="1461"/>
      <c r="D163" s="1459"/>
      <c r="E163" s="1459"/>
      <c r="F163" s="1459"/>
      <c r="G163" s="1459"/>
      <c r="H163" s="1459"/>
      <c r="I163" s="1459"/>
      <c r="J163" s="1459"/>
      <c r="K163" s="1459"/>
      <c r="L163" s="1459"/>
      <c r="N163" s="1399"/>
      <c r="P163" s="1399"/>
      <c r="Q163" s="1399"/>
      <c r="R163" s="1399"/>
      <c r="S163" s="1399"/>
      <c r="T163" s="1399"/>
      <c r="U163" s="1399"/>
      <c r="V163" s="1399"/>
      <c r="W163" s="1399"/>
    </row>
    <row r="164" spans="2:23" s="1280" customFormat="1" x14ac:dyDescent="0.6">
      <c r="B164" s="1461"/>
      <c r="D164" s="1459"/>
      <c r="E164" s="1459"/>
      <c r="F164" s="1459"/>
      <c r="G164" s="1459"/>
      <c r="H164" s="1459"/>
      <c r="I164" s="1459"/>
      <c r="J164" s="1459"/>
      <c r="K164" s="1459"/>
      <c r="L164" s="1459"/>
      <c r="N164" s="1399"/>
      <c r="P164" s="1399"/>
      <c r="Q164" s="1399"/>
      <c r="R164" s="1399"/>
      <c r="S164" s="1399"/>
      <c r="T164" s="1399"/>
      <c r="U164" s="1399"/>
      <c r="V164" s="1399"/>
      <c r="W164" s="1399"/>
    </row>
    <row r="165" spans="2:23" s="1280" customFormat="1" x14ac:dyDescent="0.6">
      <c r="B165" s="1461"/>
      <c r="D165" s="1459"/>
      <c r="E165" s="1459"/>
      <c r="F165" s="1459"/>
      <c r="G165" s="1459"/>
      <c r="H165" s="1459"/>
      <c r="I165" s="1459"/>
      <c r="J165" s="1459"/>
      <c r="K165" s="1459"/>
      <c r="L165" s="1459"/>
      <c r="N165" s="1399"/>
      <c r="P165" s="1399"/>
      <c r="Q165" s="1399"/>
      <c r="R165" s="1399"/>
      <c r="S165" s="1399"/>
      <c r="T165" s="1399"/>
      <c r="U165" s="1399"/>
      <c r="V165" s="1399"/>
      <c r="W165" s="1399"/>
    </row>
    <row r="166" spans="2:23" s="1280" customFormat="1" x14ac:dyDescent="0.6">
      <c r="B166" s="1461"/>
      <c r="D166" s="1459"/>
      <c r="E166" s="1459"/>
      <c r="F166" s="1459"/>
      <c r="G166" s="1459"/>
      <c r="H166" s="1459"/>
      <c r="I166" s="1459"/>
      <c r="J166" s="1459"/>
      <c r="K166" s="1459"/>
      <c r="L166" s="1459"/>
      <c r="N166" s="1399"/>
      <c r="P166" s="1399"/>
      <c r="Q166" s="1399"/>
      <c r="R166" s="1399"/>
      <c r="S166" s="1399"/>
      <c r="T166" s="1399"/>
      <c r="U166" s="1399"/>
      <c r="V166" s="1399"/>
      <c r="W166" s="1399"/>
    </row>
    <row r="167" spans="2:23" s="1280" customFormat="1" x14ac:dyDescent="0.6">
      <c r="B167" s="1461"/>
      <c r="D167" s="1459"/>
      <c r="E167" s="1459"/>
      <c r="F167" s="1459"/>
      <c r="G167" s="1459"/>
      <c r="H167" s="1459"/>
      <c r="I167" s="1459"/>
      <c r="J167" s="1459"/>
      <c r="K167" s="1459"/>
      <c r="L167" s="1459"/>
      <c r="N167" s="1399"/>
      <c r="P167" s="1399"/>
      <c r="Q167" s="1399"/>
      <c r="R167" s="1399"/>
      <c r="S167" s="1399"/>
      <c r="T167" s="1399"/>
      <c r="U167" s="1399"/>
      <c r="V167" s="1399"/>
      <c r="W167" s="1399"/>
    </row>
    <row r="168" spans="2:23" s="1280" customFormat="1" x14ac:dyDescent="0.6">
      <c r="B168" s="1461"/>
      <c r="D168" s="1459"/>
      <c r="E168" s="1459"/>
      <c r="F168" s="1459"/>
      <c r="G168" s="1459"/>
      <c r="H168" s="1459"/>
      <c r="I168" s="1459"/>
      <c r="J168" s="1459"/>
      <c r="K168" s="1459"/>
      <c r="L168" s="1459"/>
      <c r="N168" s="1399"/>
      <c r="P168" s="1399"/>
      <c r="Q168" s="1399"/>
      <c r="R168" s="1399"/>
      <c r="S168" s="1399"/>
      <c r="T168" s="1399"/>
      <c r="U168" s="1399"/>
      <c r="V168" s="1399"/>
      <c r="W168" s="1399"/>
    </row>
    <row r="169" spans="2:23" s="1280" customFormat="1" x14ac:dyDescent="0.6">
      <c r="B169" s="1461"/>
      <c r="D169" s="1459"/>
      <c r="E169" s="1459"/>
      <c r="F169" s="1459"/>
      <c r="G169" s="1459"/>
      <c r="H169" s="1459"/>
      <c r="I169" s="1459"/>
      <c r="J169" s="1459"/>
      <c r="K169" s="1459"/>
      <c r="L169" s="1459"/>
      <c r="N169" s="1399"/>
      <c r="P169" s="1399"/>
      <c r="Q169" s="1399"/>
      <c r="R169" s="1399"/>
      <c r="S169" s="1399"/>
      <c r="T169" s="1399"/>
      <c r="U169" s="1399"/>
      <c r="V169" s="1399"/>
      <c r="W169" s="1399"/>
    </row>
    <row r="170" spans="2:23" s="1280" customFormat="1" x14ac:dyDescent="0.6">
      <c r="B170" s="1461"/>
      <c r="D170" s="1459"/>
      <c r="E170" s="1459"/>
      <c r="F170" s="1459"/>
      <c r="G170" s="1459"/>
      <c r="H170" s="1459"/>
      <c r="I170" s="1459"/>
      <c r="J170" s="1459"/>
      <c r="K170" s="1459"/>
      <c r="L170" s="1459"/>
      <c r="N170" s="1399"/>
      <c r="P170" s="1399"/>
      <c r="Q170" s="1399"/>
      <c r="R170" s="1399"/>
      <c r="S170" s="1399"/>
      <c r="T170" s="1399"/>
      <c r="U170" s="1399"/>
      <c r="V170" s="1399"/>
      <c r="W170" s="1399"/>
    </row>
    <row r="171" spans="2:23" s="1280" customFormat="1" x14ac:dyDescent="0.6">
      <c r="B171" s="1461"/>
      <c r="D171" s="1459"/>
      <c r="E171" s="1459"/>
      <c r="F171" s="1459"/>
      <c r="G171" s="1459"/>
      <c r="H171" s="1459"/>
      <c r="I171" s="1459"/>
      <c r="J171" s="1459"/>
      <c r="K171" s="1459"/>
      <c r="L171" s="1459"/>
      <c r="N171" s="1399"/>
      <c r="P171" s="1399"/>
      <c r="Q171" s="1399"/>
      <c r="R171" s="1399"/>
      <c r="S171" s="1399"/>
      <c r="T171" s="1399"/>
      <c r="U171" s="1399"/>
      <c r="V171" s="1399"/>
      <c r="W171" s="1399"/>
    </row>
    <row r="172" spans="2:23" s="1280" customFormat="1" x14ac:dyDescent="0.6">
      <c r="B172" s="1461"/>
      <c r="D172" s="1459"/>
      <c r="E172" s="1459"/>
      <c r="F172" s="1459"/>
      <c r="G172" s="1459"/>
      <c r="H172" s="1459"/>
      <c r="I172" s="1459"/>
      <c r="J172" s="1459"/>
      <c r="K172" s="1459"/>
      <c r="L172" s="1459"/>
      <c r="N172" s="1399"/>
      <c r="P172" s="1399"/>
      <c r="Q172" s="1399"/>
      <c r="R172" s="1399"/>
      <c r="S172" s="1399"/>
      <c r="T172" s="1399"/>
      <c r="U172" s="1399"/>
      <c r="V172" s="1399"/>
      <c r="W172" s="1399"/>
    </row>
    <row r="173" spans="2:23" s="1280" customFormat="1" x14ac:dyDescent="0.6">
      <c r="B173" s="1461"/>
      <c r="D173" s="1459"/>
      <c r="E173" s="1459"/>
      <c r="F173" s="1459"/>
      <c r="G173" s="1459"/>
      <c r="H173" s="1459"/>
      <c r="I173" s="1459"/>
      <c r="J173" s="1459"/>
      <c r="K173" s="1459"/>
      <c r="L173" s="1459"/>
      <c r="N173" s="1399"/>
      <c r="P173" s="1399"/>
      <c r="Q173" s="1399"/>
      <c r="R173" s="1399"/>
      <c r="S173" s="1399"/>
      <c r="T173" s="1399"/>
      <c r="U173" s="1399"/>
      <c r="V173" s="1399"/>
      <c r="W173" s="1399"/>
    </row>
    <row r="174" spans="2:23" s="1280" customFormat="1" x14ac:dyDescent="0.6">
      <c r="B174" s="1461"/>
      <c r="D174" s="1459"/>
      <c r="E174" s="1459"/>
      <c r="F174" s="1459"/>
      <c r="G174" s="1459"/>
      <c r="H174" s="1459"/>
      <c r="I174" s="1459"/>
      <c r="J174" s="1459"/>
      <c r="K174" s="1459"/>
      <c r="L174" s="1459"/>
      <c r="N174" s="1399"/>
      <c r="P174" s="1399"/>
      <c r="Q174" s="1399"/>
      <c r="R174" s="1399"/>
      <c r="S174" s="1399"/>
      <c r="T174" s="1399"/>
      <c r="U174" s="1399"/>
      <c r="V174" s="1399"/>
      <c r="W174" s="1399"/>
    </row>
    <row r="175" spans="2:23" s="1280" customFormat="1" x14ac:dyDescent="0.6">
      <c r="B175" s="1461"/>
      <c r="D175" s="1459"/>
      <c r="E175" s="1459"/>
      <c r="F175" s="1459"/>
      <c r="G175" s="1459"/>
      <c r="H175" s="1459"/>
      <c r="I175" s="1459"/>
      <c r="J175" s="1459"/>
      <c r="K175" s="1459"/>
      <c r="L175" s="1459"/>
      <c r="N175" s="1399"/>
      <c r="P175" s="1399"/>
      <c r="Q175" s="1399"/>
      <c r="R175" s="1399"/>
      <c r="S175" s="1399"/>
      <c r="T175" s="1399"/>
      <c r="U175" s="1399"/>
      <c r="V175" s="1399"/>
      <c r="W175" s="1399"/>
    </row>
    <row r="176" spans="2:23" s="1280" customFormat="1" x14ac:dyDescent="0.6">
      <c r="B176" s="1461"/>
      <c r="D176" s="1459"/>
      <c r="E176" s="1459"/>
      <c r="F176" s="1459"/>
      <c r="G176" s="1459"/>
      <c r="H176" s="1459"/>
      <c r="I176" s="1459"/>
      <c r="J176" s="1459"/>
      <c r="K176" s="1459"/>
      <c r="L176" s="1459"/>
      <c r="N176" s="1399"/>
      <c r="P176" s="1399"/>
      <c r="Q176" s="1399"/>
      <c r="R176" s="1399"/>
      <c r="S176" s="1399"/>
      <c r="T176" s="1399"/>
      <c r="U176" s="1399"/>
      <c r="V176" s="1399"/>
      <c r="W176" s="1399"/>
    </row>
    <row r="177" spans="2:23" s="1280" customFormat="1" x14ac:dyDescent="0.6">
      <c r="B177" s="1461"/>
      <c r="D177" s="1459"/>
      <c r="E177" s="1459"/>
      <c r="F177" s="1459"/>
      <c r="G177" s="1459"/>
      <c r="H177" s="1459"/>
      <c r="I177" s="1459"/>
      <c r="J177" s="1459"/>
      <c r="K177" s="1459"/>
      <c r="L177" s="1459"/>
      <c r="N177" s="1399"/>
      <c r="P177" s="1399"/>
      <c r="Q177" s="1399"/>
      <c r="R177" s="1399"/>
      <c r="S177" s="1399"/>
      <c r="T177" s="1399"/>
      <c r="U177" s="1399"/>
      <c r="V177" s="1399"/>
      <c r="W177" s="1399"/>
    </row>
    <row r="178" spans="2:23" s="1280" customFormat="1" x14ac:dyDescent="0.6">
      <c r="B178" s="1461"/>
      <c r="D178" s="1459"/>
      <c r="E178" s="1459"/>
      <c r="F178" s="1459"/>
      <c r="G178" s="1459"/>
      <c r="H178" s="1459"/>
      <c r="I178" s="1459"/>
      <c r="J178" s="1459"/>
      <c r="K178" s="1459"/>
      <c r="L178" s="1459"/>
      <c r="N178" s="1399"/>
      <c r="P178" s="1399"/>
      <c r="Q178" s="1399"/>
      <c r="R178" s="1399"/>
      <c r="S178" s="1399"/>
      <c r="T178" s="1399"/>
      <c r="U178" s="1399"/>
      <c r="V178" s="1399"/>
      <c r="W178" s="1399"/>
    </row>
    <row r="179" spans="2:23" s="1280" customFormat="1" x14ac:dyDescent="0.6">
      <c r="B179" s="1461"/>
      <c r="D179" s="1459"/>
      <c r="E179" s="1459"/>
      <c r="F179" s="1459"/>
      <c r="G179" s="1459"/>
      <c r="H179" s="1459"/>
      <c r="I179" s="1459"/>
      <c r="J179" s="1459"/>
      <c r="K179" s="1459"/>
      <c r="L179" s="1459"/>
      <c r="N179" s="1399"/>
      <c r="P179" s="1399"/>
      <c r="Q179" s="1399"/>
      <c r="R179" s="1399"/>
      <c r="S179" s="1399"/>
      <c r="T179" s="1399"/>
      <c r="U179" s="1399"/>
      <c r="V179" s="1399"/>
      <c r="W179" s="1399"/>
    </row>
    <row r="180" spans="2:23" s="1280" customFormat="1" x14ac:dyDescent="0.6">
      <c r="B180" s="1461"/>
      <c r="D180" s="1459"/>
      <c r="E180" s="1459"/>
      <c r="F180" s="1459"/>
      <c r="G180" s="1459"/>
      <c r="H180" s="1459"/>
      <c r="I180" s="1459"/>
      <c r="J180" s="1459"/>
      <c r="K180" s="1459"/>
      <c r="L180" s="1459"/>
      <c r="N180" s="1399"/>
      <c r="P180" s="1399"/>
      <c r="Q180" s="1399"/>
      <c r="R180" s="1399"/>
      <c r="S180" s="1399"/>
      <c r="T180" s="1399"/>
      <c r="U180" s="1399"/>
      <c r="V180" s="1399"/>
      <c r="W180" s="1399"/>
    </row>
    <row r="181" spans="2:23" s="1280" customFormat="1" x14ac:dyDescent="0.6">
      <c r="B181" s="1461"/>
      <c r="D181" s="1459"/>
      <c r="E181" s="1459"/>
      <c r="F181" s="1459"/>
      <c r="G181" s="1459"/>
      <c r="H181" s="1459"/>
      <c r="I181" s="1459"/>
      <c r="J181" s="1459"/>
      <c r="K181" s="1459"/>
      <c r="L181" s="1459"/>
      <c r="N181" s="1399"/>
      <c r="P181" s="1399"/>
      <c r="Q181" s="1399"/>
      <c r="R181" s="1399"/>
      <c r="S181" s="1399"/>
      <c r="T181" s="1399"/>
      <c r="U181" s="1399"/>
      <c r="V181" s="1399"/>
      <c r="W181" s="1399"/>
    </row>
    <row r="182" spans="2:23" s="1280" customFormat="1" x14ac:dyDescent="0.6">
      <c r="B182" s="1461"/>
      <c r="D182" s="1459"/>
      <c r="E182" s="1459"/>
      <c r="F182" s="1459"/>
      <c r="G182" s="1459"/>
      <c r="H182" s="1459"/>
      <c r="I182" s="1459"/>
      <c r="J182" s="1459"/>
      <c r="K182" s="1459"/>
      <c r="L182" s="1459"/>
      <c r="N182" s="1399"/>
      <c r="P182" s="1399"/>
      <c r="Q182" s="1399"/>
      <c r="R182" s="1399"/>
      <c r="S182" s="1399"/>
      <c r="T182" s="1399"/>
      <c r="U182" s="1399"/>
      <c r="V182" s="1399"/>
      <c r="W182" s="1399"/>
    </row>
    <row r="183" spans="2:23" s="1280" customFormat="1" x14ac:dyDescent="0.6">
      <c r="B183" s="1461"/>
      <c r="D183" s="1459"/>
      <c r="E183" s="1459"/>
      <c r="F183" s="1459"/>
      <c r="G183" s="1459"/>
      <c r="H183" s="1459"/>
      <c r="I183" s="1459"/>
      <c r="J183" s="1459"/>
      <c r="K183" s="1459"/>
      <c r="L183" s="1459"/>
      <c r="N183" s="1399"/>
      <c r="P183" s="1399"/>
      <c r="Q183" s="1399"/>
      <c r="R183" s="1399"/>
      <c r="S183" s="1399"/>
      <c r="T183" s="1399"/>
      <c r="U183" s="1399"/>
      <c r="V183" s="1399"/>
      <c r="W183" s="1399"/>
    </row>
    <row r="184" spans="2:23" s="1280" customFormat="1" x14ac:dyDescent="0.6">
      <c r="B184" s="1461"/>
      <c r="D184" s="1459"/>
      <c r="E184" s="1459"/>
      <c r="F184" s="1459"/>
      <c r="G184" s="1459"/>
      <c r="H184" s="1459"/>
      <c r="I184" s="1459"/>
      <c r="J184" s="1459"/>
      <c r="K184" s="1459"/>
      <c r="L184" s="1459"/>
      <c r="N184" s="1399"/>
      <c r="P184" s="1399"/>
      <c r="Q184" s="1399"/>
      <c r="R184" s="1399"/>
      <c r="S184" s="1399"/>
      <c r="T184" s="1399"/>
      <c r="U184" s="1399"/>
      <c r="V184" s="1399"/>
      <c r="W184" s="1399"/>
    </row>
    <row r="185" spans="2:23" s="1280" customFormat="1" x14ac:dyDescent="0.6">
      <c r="B185" s="1461"/>
      <c r="D185" s="1459"/>
      <c r="E185" s="1459"/>
      <c r="F185" s="1459"/>
      <c r="G185" s="1459"/>
      <c r="H185" s="1459"/>
      <c r="I185" s="1459"/>
      <c r="J185" s="1459"/>
      <c r="K185" s="1459"/>
      <c r="L185" s="1459"/>
      <c r="N185" s="1399"/>
      <c r="P185" s="1399"/>
      <c r="Q185" s="1399"/>
      <c r="R185" s="1399"/>
      <c r="S185" s="1399"/>
      <c r="T185" s="1399"/>
      <c r="U185" s="1399"/>
      <c r="V185" s="1399"/>
      <c r="W185" s="1399"/>
    </row>
    <row r="186" spans="2:23" s="1280" customFormat="1" x14ac:dyDescent="0.6">
      <c r="B186" s="1461"/>
      <c r="D186" s="1459"/>
      <c r="E186" s="1459"/>
      <c r="F186" s="1459"/>
      <c r="G186" s="1459"/>
      <c r="H186" s="1459"/>
      <c r="I186" s="1459"/>
      <c r="J186" s="1459"/>
      <c r="K186" s="1459"/>
      <c r="L186" s="1459"/>
      <c r="N186" s="1399"/>
      <c r="P186" s="1399"/>
      <c r="Q186" s="1399"/>
      <c r="R186" s="1399"/>
      <c r="S186" s="1399"/>
      <c r="T186" s="1399"/>
      <c r="U186" s="1399"/>
      <c r="V186" s="1399"/>
      <c r="W186" s="1399"/>
    </row>
    <row r="187" spans="2:23" s="1280" customFormat="1" x14ac:dyDescent="0.6">
      <c r="B187" s="1461"/>
      <c r="D187" s="1459"/>
      <c r="E187" s="1459"/>
      <c r="F187" s="1459"/>
      <c r="G187" s="1459"/>
      <c r="H187" s="1459"/>
      <c r="I187" s="1459"/>
      <c r="J187" s="1459"/>
      <c r="K187" s="1459"/>
      <c r="L187" s="1459"/>
      <c r="N187" s="1399"/>
      <c r="P187" s="1399"/>
      <c r="Q187" s="1399"/>
      <c r="R187" s="1399"/>
      <c r="S187" s="1399"/>
      <c r="T187" s="1399"/>
      <c r="U187" s="1399"/>
      <c r="V187" s="1399"/>
      <c r="W187" s="1399"/>
    </row>
    <row r="188" spans="2:23" s="1280" customFormat="1" x14ac:dyDescent="0.6">
      <c r="B188" s="1461"/>
      <c r="D188" s="1459"/>
      <c r="E188" s="1459"/>
      <c r="F188" s="1459"/>
      <c r="G188" s="1459"/>
      <c r="H188" s="1459"/>
      <c r="I188" s="1459"/>
      <c r="J188" s="1459"/>
      <c r="K188" s="1459"/>
      <c r="L188" s="1459"/>
      <c r="N188" s="1399"/>
      <c r="P188" s="1399"/>
      <c r="Q188" s="1399"/>
      <c r="R188" s="1399"/>
      <c r="S188" s="1399"/>
      <c r="T188" s="1399"/>
      <c r="U188" s="1399"/>
      <c r="V188" s="1399"/>
      <c r="W188" s="1399"/>
    </row>
    <row r="189" spans="2:23" s="1280" customFormat="1" x14ac:dyDescent="0.6">
      <c r="B189" s="1461"/>
      <c r="D189" s="1459"/>
      <c r="E189" s="1459"/>
      <c r="F189" s="1459"/>
      <c r="G189" s="1459"/>
      <c r="H189" s="1459"/>
      <c r="I189" s="1459"/>
      <c r="J189" s="1459"/>
      <c r="K189" s="1459"/>
      <c r="L189" s="1459"/>
      <c r="N189" s="1399"/>
      <c r="P189" s="1399"/>
      <c r="Q189" s="1399"/>
      <c r="R189" s="1399"/>
      <c r="S189" s="1399"/>
      <c r="T189" s="1399"/>
      <c r="U189" s="1399"/>
      <c r="V189" s="1399"/>
      <c r="W189" s="1399"/>
    </row>
    <row r="190" spans="2:23" s="1280" customFormat="1" x14ac:dyDescent="0.6">
      <c r="B190" s="1461"/>
      <c r="D190" s="1459"/>
      <c r="E190" s="1459"/>
      <c r="F190" s="1459"/>
      <c r="G190" s="1459"/>
      <c r="H190" s="1459"/>
      <c r="I190" s="1459"/>
      <c r="J190" s="1459"/>
      <c r="K190" s="1459"/>
      <c r="L190" s="1459"/>
      <c r="N190" s="1399"/>
      <c r="P190" s="1399"/>
      <c r="Q190" s="1399"/>
      <c r="R190" s="1399"/>
      <c r="S190" s="1399"/>
      <c r="T190" s="1399"/>
      <c r="U190" s="1399"/>
      <c r="V190" s="1399"/>
      <c r="W190" s="1399"/>
    </row>
    <row r="191" spans="2:23" s="1280" customFormat="1" x14ac:dyDescent="0.6">
      <c r="B191" s="1461"/>
      <c r="D191" s="1459"/>
      <c r="E191" s="1459"/>
      <c r="F191" s="1459"/>
      <c r="G191" s="1459"/>
      <c r="H191" s="1459"/>
      <c r="I191" s="1459"/>
      <c r="J191" s="1459"/>
      <c r="K191" s="1459"/>
      <c r="L191" s="1459"/>
      <c r="N191" s="1399"/>
      <c r="P191" s="1399"/>
      <c r="Q191" s="1399"/>
      <c r="R191" s="1399"/>
      <c r="S191" s="1399"/>
      <c r="T191" s="1399"/>
      <c r="U191" s="1399"/>
      <c r="V191" s="1399"/>
      <c r="W191" s="1399"/>
    </row>
    <row r="192" spans="2:23" s="1280" customFormat="1" x14ac:dyDescent="0.6">
      <c r="B192" s="1461"/>
      <c r="D192" s="1459"/>
      <c r="E192" s="1459"/>
      <c r="F192" s="1459"/>
      <c r="G192" s="1459"/>
      <c r="H192" s="1459"/>
      <c r="I192" s="1459"/>
      <c r="J192" s="1459"/>
      <c r="K192" s="1459"/>
      <c r="L192" s="1459"/>
      <c r="N192" s="1399"/>
      <c r="P192" s="1399"/>
      <c r="Q192" s="1399"/>
      <c r="R192" s="1399"/>
      <c r="S192" s="1399"/>
      <c r="T192" s="1399"/>
      <c r="U192" s="1399"/>
      <c r="V192" s="1399"/>
      <c r="W192" s="1399"/>
    </row>
    <row r="193" spans="2:23" s="1280" customFormat="1" x14ac:dyDescent="0.6">
      <c r="B193" s="1461"/>
      <c r="D193" s="1459"/>
      <c r="E193" s="1459"/>
      <c r="F193" s="1459"/>
      <c r="G193" s="1459"/>
      <c r="H193" s="1459"/>
      <c r="I193" s="1459"/>
      <c r="J193" s="1459"/>
      <c r="K193" s="1459"/>
      <c r="L193" s="1459"/>
      <c r="N193" s="1399"/>
      <c r="P193" s="1399"/>
      <c r="Q193" s="1399"/>
      <c r="R193" s="1399"/>
      <c r="S193" s="1399"/>
      <c r="T193" s="1399"/>
      <c r="U193" s="1399"/>
      <c r="V193" s="1399"/>
      <c r="W193" s="1399"/>
    </row>
    <row r="194" spans="2:23" s="1280" customFormat="1" x14ac:dyDescent="0.6">
      <c r="B194" s="1461"/>
      <c r="D194" s="1459"/>
      <c r="E194" s="1459"/>
      <c r="F194" s="1459"/>
      <c r="G194" s="1459"/>
      <c r="H194" s="1459"/>
      <c r="I194" s="1459"/>
      <c r="J194" s="1459"/>
      <c r="K194" s="1459"/>
      <c r="L194" s="1459"/>
      <c r="N194" s="1399"/>
      <c r="P194" s="1399"/>
      <c r="Q194" s="1399"/>
      <c r="R194" s="1399"/>
      <c r="S194" s="1399"/>
      <c r="T194" s="1399"/>
      <c r="U194" s="1399"/>
      <c r="V194" s="1399"/>
      <c r="W194" s="1399"/>
    </row>
    <row r="195" spans="2:23" s="1280" customFormat="1" x14ac:dyDescent="0.6">
      <c r="B195" s="1461"/>
      <c r="D195" s="1459"/>
      <c r="E195" s="1459"/>
      <c r="F195" s="1459"/>
      <c r="G195" s="1459"/>
      <c r="H195" s="1459"/>
      <c r="I195" s="1459"/>
      <c r="J195" s="1459"/>
      <c r="K195" s="1459"/>
      <c r="L195" s="1459"/>
      <c r="N195" s="1399"/>
      <c r="P195" s="1399"/>
      <c r="Q195" s="1399"/>
      <c r="R195" s="1399"/>
      <c r="S195" s="1399"/>
      <c r="T195" s="1399"/>
      <c r="U195" s="1399"/>
      <c r="V195" s="1399"/>
      <c r="W195" s="1399"/>
    </row>
    <row r="196" spans="2:23" s="1280" customFormat="1" x14ac:dyDescent="0.6">
      <c r="B196" s="1461"/>
      <c r="D196" s="1459"/>
      <c r="E196" s="1459"/>
      <c r="F196" s="1459"/>
      <c r="G196" s="1459"/>
      <c r="H196" s="1459"/>
      <c r="I196" s="1459"/>
      <c r="J196" s="1459"/>
      <c r="K196" s="1459"/>
      <c r="L196" s="1459"/>
      <c r="N196" s="1399"/>
      <c r="P196" s="1399"/>
      <c r="Q196" s="1399"/>
      <c r="R196" s="1399"/>
      <c r="S196" s="1399"/>
      <c r="T196" s="1399"/>
      <c r="U196" s="1399"/>
      <c r="V196" s="1399"/>
      <c r="W196" s="1399"/>
    </row>
    <row r="197" spans="2:23" s="1280" customFormat="1" x14ac:dyDescent="0.6">
      <c r="B197" s="1461"/>
      <c r="D197" s="1459"/>
      <c r="E197" s="1459"/>
      <c r="F197" s="1459"/>
      <c r="G197" s="1459"/>
      <c r="H197" s="1459"/>
      <c r="I197" s="1459"/>
      <c r="J197" s="1459"/>
      <c r="K197" s="1459"/>
      <c r="L197" s="1459"/>
      <c r="N197" s="1399"/>
      <c r="P197" s="1399"/>
      <c r="Q197" s="1399"/>
      <c r="R197" s="1399"/>
      <c r="S197" s="1399"/>
      <c r="T197" s="1399"/>
      <c r="U197" s="1399"/>
      <c r="V197" s="1399"/>
      <c r="W197" s="1399"/>
    </row>
    <row r="198" spans="2:23" s="1280" customFormat="1" x14ac:dyDescent="0.6">
      <c r="B198" s="1461"/>
      <c r="D198" s="1459"/>
      <c r="E198" s="1459"/>
      <c r="F198" s="1459"/>
      <c r="G198" s="1459"/>
      <c r="H198" s="1459"/>
      <c r="I198" s="1459"/>
      <c r="J198" s="1459"/>
      <c r="K198" s="1459"/>
      <c r="L198" s="1459"/>
      <c r="N198" s="1399"/>
      <c r="P198" s="1399"/>
      <c r="Q198" s="1399"/>
      <c r="R198" s="1399"/>
      <c r="S198" s="1399"/>
      <c r="T198" s="1399"/>
      <c r="U198" s="1399"/>
      <c r="V198" s="1399"/>
      <c r="W198" s="1399"/>
    </row>
    <row r="199" spans="2:23" s="1280" customFormat="1" x14ac:dyDescent="0.6">
      <c r="B199" s="1461"/>
      <c r="D199" s="1459"/>
      <c r="E199" s="1459"/>
      <c r="F199" s="1459"/>
      <c r="G199" s="1459"/>
      <c r="H199" s="1459"/>
      <c r="I199" s="1459"/>
      <c r="J199" s="1459"/>
      <c r="K199" s="1459"/>
      <c r="L199" s="1459"/>
      <c r="N199" s="1399"/>
      <c r="P199" s="1399"/>
      <c r="Q199" s="1399"/>
      <c r="R199" s="1399"/>
      <c r="S199" s="1399"/>
      <c r="T199" s="1399"/>
      <c r="U199" s="1399"/>
      <c r="V199" s="1399"/>
      <c r="W199" s="1399"/>
    </row>
    <row r="200" spans="2:23" s="1280" customFormat="1" x14ac:dyDescent="0.6">
      <c r="B200" s="1461"/>
      <c r="D200" s="1459"/>
      <c r="E200" s="1459"/>
      <c r="F200" s="1459"/>
      <c r="G200" s="1459"/>
      <c r="H200" s="1459"/>
      <c r="I200" s="1459"/>
      <c r="J200" s="1459"/>
      <c r="K200" s="1459"/>
      <c r="L200" s="1459"/>
      <c r="N200" s="1399"/>
      <c r="P200" s="1399"/>
      <c r="Q200" s="1399"/>
      <c r="R200" s="1399"/>
      <c r="S200" s="1399"/>
      <c r="T200" s="1399"/>
      <c r="U200" s="1399"/>
      <c r="V200" s="1399"/>
      <c r="W200" s="1399"/>
    </row>
    <row r="201" spans="2:23" s="1280" customFormat="1" x14ac:dyDescent="0.6">
      <c r="B201" s="1461"/>
      <c r="D201" s="1459"/>
      <c r="E201" s="1459"/>
      <c r="F201" s="1459"/>
      <c r="G201" s="1459"/>
      <c r="H201" s="1459"/>
      <c r="I201" s="1459"/>
      <c r="J201" s="1459"/>
      <c r="K201" s="1459"/>
      <c r="L201" s="1459"/>
      <c r="N201" s="1399"/>
      <c r="P201" s="1399"/>
      <c r="Q201" s="1399"/>
      <c r="R201" s="1399"/>
      <c r="S201" s="1399"/>
      <c r="T201" s="1399"/>
      <c r="U201" s="1399"/>
      <c r="V201" s="1399"/>
      <c r="W201" s="1399"/>
    </row>
    <row r="202" spans="2:23" s="1280" customFormat="1" x14ac:dyDescent="0.6">
      <c r="B202" s="1461"/>
      <c r="D202" s="1459"/>
      <c r="E202" s="1459"/>
      <c r="F202" s="1459"/>
      <c r="G202" s="1459"/>
      <c r="H202" s="1459"/>
      <c r="I202" s="1459"/>
      <c r="J202" s="1459"/>
      <c r="K202" s="1459"/>
      <c r="L202" s="1459"/>
      <c r="N202" s="1399"/>
      <c r="P202" s="1399"/>
      <c r="Q202" s="1399"/>
      <c r="R202" s="1399"/>
      <c r="S202" s="1399"/>
      <c r="T202" s="1399"/>
      <c r="U202" s="1399"/>
      <c r="V202" s="1399"/>
      <c r="W202" s="1399"/>
    </row>
    <row r="203" spans="2:23" s="1280" customFormat="1" x14ac:dyDescent="0.6">
      <c r="B203" s="1461"/>
      <c r="D203" s="1459"/>
      <c r="E203" s="1459"/>
      <c r="F203" s="1459"/>
      <c r="G203" s="1459"/>
      <c r="H203" s="1459"/>
      <c r="I203" s="1459"/>
      <c r="J203" s="1459"/>
      <c r="K203" s="1459"/>
      <c r="L203" s="1459"/>
      <c r="N203" s="1399"/>
      <c r="P203" s="1399"/>
      <c r="Q203" s="1399"/>
      <c r="R203" s="1399"/>
      <c r="S203" s="1399"/>
      <c r="T203" s="1399"/>
      <c r="U203" s="1399"/>
      <c r="V203" s="1399"/>
      <c r="W203" s="1399"/>
    </row>
    <row r="204" spans="2:23" s="1280" customFormat="1" x14ac:dyDescent="0.6">
      <c r="B204" s="1461"/>
      <c r="D204" s="1459"/>
      <c r="E204" s="1459"/>
      <c r="F204" s="1459"/>
      <c r="G204" s="1459"/>
      <c r="H204" s="1459"/>
      <c r="I204" s="1459"/>
      <c r="J204" s="1459"/>
      <c r="K204" s="1459"/>
      <c r="L204" s="1459"/>
      <c r="N204" s="1399"/>
      <c r="P204" s="1399"/>
      <c r="Q204" s="1399"/>
      <c r="R204" s="1399"/>
      <c r="S204" s="1399"/>
      <c r="T204" s="1399"/>
      <c r="U204" s="1399"/>
      <c r="V204" s="1399"/>
      <c r="W204" s="1399"/>
    </row>
    <row r="205" spans="2:23" s="1280" customFormat="1" x14ac:dyDescent="0.6">
      <c r="B205" s="1461"/>
      <c r="D205" s="1459"/>
      <c r="E205" s="1459"/>
      <c r="F205" s="1459"/>
      <c r="G205" s="1459"/>
      <c r="H205" s="1459"/>
      <c r="I205" s="1459"/>
      <c r="J205" s="1459"/>
      <c r="K205" s="1459"/>
      <c r="L205" s="1459"/>
      <c r="N205" s="1399"/>
      <c r="P205" s="1399"/>
      <c r="Q205" s="1399"/>
      <c r="R205" s="1399"/>
      <c r="S205" s="1399"/>
      <c r="T205" s="1399"/>
      <c r="U205" s="1399"/>
      <c r="V205" s="1399"/>
      <c r="W205" s="1399"/>
    </row>
    <row r="206" spans="2:23" s="1280" customFormat="1" x14ac:dyDescent="0.6">
      <c r="B206" s="1461"/>
      <c r="D206" s="1459"/>
      <c r="E206" s="1459"/>
      <c r="F206" s="1459"/>
      <c r="G206" s="1459"/>
      <c r="H206" s="1459"/>
      <c r="I206" s="1459"/>
      <c r="J206" s="1459"/>
      <c r="K206" s="1459"/>
      <c r="L206" s="1459"/>
      <c r="N206" s="1399"/>
      <c r="P206" s="1399"/>
      <c r="Q206" s="1399"/>
      <c r="R206" s="1399"/>
      <c r="S206" s="1399"/>
      <c r="T206" s="1399"/>
      <c r="U206" s="1399"/>
      <c r="V206" s="1399"/>
      <c r="W206" s="1399"/>
    </row>
    <row r="207" spans="2:23" s="1280" customFormat="1" x14ac:dyDescent="0.6">
      <c r="B207" s="1461"/>
      <c r="D207" s="1459"/>
      <c r="E207" s="1459"/>
      <c r="F207" s="1459"/>
      <c r="G207" s="1459"/>
      <c r="H207" s="1459"/>
      <c r="I207" s="1459"/>
      <c r="J207" s="1459"/>
      <c r="K207" s="1459"/>
      <c r="L207" s="1459"/>
      <c r="N207" s="1399"/>
      <c r="P207" s="1399"/>
      <c r="Q207" s="1399"/>
      <c r="R207" s="1399"/>
      <c r="S207" s="1399"/>
      <c r="T207" s="1399"/>
      <c r="U207" s="1399"/>
      <c r="V207" s="1399"/>
      <c r="W207" s="1399"/>
    </row>
    <row r="208" spans="2:23" s="1280" customFormat="1" x14ac:dyDescent="0.6">
      <c r="B208" s="1461"/>
      <c r="D208" s="1459"/>
      <c r="E208" s="1459"/>
      <c r="F208" s="1459"/>
      <c r="G208" s="1459"/>
      <c r="H208" s="1459"/>
      <c r="I208" s="1459"/>
      <c r="J208" s="1459"/>
      <c r="K208" s="1459"/>
      <c r="L208" s="1459"/>
      <c r="N208" s="1399"/>
      <c r="P208" s="1399"/>
      <c r="Q208" s="1399"/>
      <c r="R208" s="1399"/>
      <c r="S208" s="1399"/>
      <c r="T208" s="1399"/>
      <c r="U208" s="1399"/>
      <c r="V208" s="1399"/>
      <c r="W208" s="1399"/>
    </row>
    <row r="209" spans="2:23" s="1280" customFormat="1" x14ac:dyDescent="0.6">
      <c r="B209" s="1461"/>
      <c r="D209" s="1459"/>
      <c r="E209" s="1459"/>
      <c r="F209" s="1459"/>
      <c r="G209" s="1459"/>
      <c r="H209" s="1459"/>
      <c r="I209" s="1459"/>
      <c r="J209" s="1459"/>
      <c r="K209" s="1459"/>
      <c r="L209" s="1459"/>
      <c r="N209" s="1399"/>
      <c r="P209" s="1399"/>
      <c r="Q209" s="1399"/>
      <c r="R209" s="1399"/>
      <c r="S209" s="1399"/>
      <c r="T209" s="1399"/>
      <c r="U209" s="1399"/>
      <c r="V209" s="1399"/>
      <c r="W209" s="1399"/>
    </row>
    <row r="210" spans="2:23" s="1280" customFormat="1" x14ac:dyDescent="0.6">
      <c r="B210" s="1461"/>
      <c r="D210" s="1459"/>
      <c r="E210" s="1459"/>
      <c r="F210" s="1459"/>
      <c r="G210" s="1459"/>
      <c r="H210" s="1459"/>
      <c r="I210" s="1459"/>
      <c r="J210" s="1459"/>
      <c r="K210" s="1459"/>
      <c r="L210" s="1459"/>
      <c r="N210" s="1399"/>
      <c r="P210" s="1399"/>
      <c r="Q210" s="1399"/>
      <c r="R210" s="1399"/>
      <c r="S210" s="1399"/>
      <c r="T210" s="1399"/>
      <c r="U210" s="1399"/>
      <c r="V210" s="1399"/>
      <c r="W210" s="1399"/>
    </row>
    <row r="211" spans="2:23" s="1280" customFormat="1" x14ac:dyDescent="0.6">
      <c r="B211" s="1461"/>
      <c r="D211" s="1459"/>
      <c r="E211" s="1459"/>
      <c r="F211" s="1459"/>
      <c r="G211" s="1459"/>
      <c r="H211" s="1459"/>
      <c r="I211" s="1459"/>
      <c r="J211" s="1459"/>
      <c r="K211" s="1459"/>
      <c r="L211" s="1459"/>
      <c r="N211" s="1399"/>
      <c r="P211" s="1399"/>
      <c r="Q211" s="1399"/>
      <c r="R211" s="1399"/>
      <c r="S211" s="1399"/>
      <c r="T211" s="1399"/>
      <c r="U211" s="1399"/>
      <c r="V211" s="1399"/>
      <c r="W211" s="1399"/>
    </row>
    <row r="212" spans="2:23" s="1280" customFormat="1" x14ac:dyDescent="0.6">
      <c r="B212" s="1461"/>
      <c r="D212" s="1459"/>
      <c r="E212" s="1459"/>
      <c r="F212" s="1459"/>
      <c r="G212" s="1459"/>
      <c r="H212" s="1459"/>
      <c r="I212" s="1459"/>
      <c r="J212" s="1459"/>
      <c r="K212" s="1459"/>
      <c r="L212" s="1459"/>
      <c r="N212" s="1399"/>
      <c r="P212" s="1399"/>
      <c r="Q212" s="1399"/>
      <c r="R212" s="1399"/>
      <c r="S212" s="1399"/>
      <c r="T212" s="1399"/>
      <c r="U212" s="1399"/>
      <c r="V212" s="1399"/>
      <c r="W212" s="1399"/>
    </row>
    <row r="213" spans="2:23" s="1280" customFormat="1" x14ac:dyDescent="0.6">
      <c r="B213" s="1461"/>
      <c r="D213" s="1459"/>
      <c r="E213" s="1459"/>
      <c r="F213" s="1459"/>
      <c r="G213" s="1459"/>
      <c r="H213" s="1459"/>
      <c r="I213" s="1459"/>
      <c r="J213" s="1459"/>
      <c r="K213" s="1459"/>
      <c r="L213" s="1459"/>
      <c r="N213" s="1399"/>
      <c r="P213" s="1399"/>
      <c r="Q213" s="1399"/>
      <c r="R213" s="1399"/>
      <c r="S213" s="1399"/>
      <c r="T213" s="1399"/>
      <c r="U213" s="1399"/>
      <c r="V213" s="1399"/>
      <c r="W213" s="1399"/>
    </row>
    <row r="214" spans="2:23" s="1280" customFormat="1" x14ac:dyDescent="0.6">
      <c r="B214" s="1461"/>
      <c r="D214" s="1459"/>
      <c r="E214" s="1459"/>
      <c r="F214" s="1459"/>
      <c r="G214" s="1459"/>
      <c r="H214" s="1459"/>
      <c r="I214" s="1459"/>
      <c r="J214" s="1459"/>
      <c r="K214" s="1459"/>
      <c r="L214" s="1459"/>
      <c r="N214" s="1399"/>
      <c r="P214" s="1399"/>
      <c r="Q214" s="1399"/>
      <c r="R214" s="1399"/>
      <c r="S214" s="1399"/>
      <c r="T214" s="1399"/>
      <c r="U214" s="1399"/>
      <c r="V214" s="1399"/>
      <c r="W214" s="1399"/>
    </row>
    <row r="215" spans="2:23" s="1280" customFormat="1" x14ac:dyDescent="0.6">
      <c r="B215" s="1461"/>
      <c r="D215" s="1459"/>
      <c r="E215" s="1459"/>
      <c r="F215" s="1459"/>
      <c r="G215" s="1459"/>
      <c r="H215" s="1459"/>
      <c r="I215" s="1459"/>
      <c r="J215" s="1459"/>
      <c r="K215" s="1459"/>
      <c r="L215" s="1459"/>
      <c r="N215" s="1399"/>
      <c r="P215" s="1399"/>
      <c r="Q215" s="1399"/>
      <c r="R215" s="1399"/>
      <c r="S215" s="1399"/>
      <c r="T215" s="1399"/>
      <c r="U215" s="1399"/>
      <c r="V215" s="1399"/>
      <c r="W215" s="1399"/>
    </row>
    <row r="216" spans="2:23" s="1280" customFormat="1" x14ac:dyDescent="0.6">
      <c r="B216" s="1461"/>
      <c r="D216" s="1459"/>
      <c r="E216" s="1459"/>
      <c r="F216" s="1459"/>
      <c r="G216" s="1459"/>
      <c r="H216" s="1459"/>
      <c r="I216" s="1459"/>
      <c r="J216" s="1459"/>
      <c r="K216" s="1459"/>
      <c r="L216" s="1459"/>
      <c r="N216" s="1399"/>
      <c r="P216" s="1399"/>
      <c r="Q216" s="1399"/>
      <c r="R216" s="1399"/>
      <c r="S216" s="1399"/>
      <c r="T216" s="1399"/>
      <c r="U216" s="1399"/>
      <c r="V216" s="1399"/>
      <c r="W216" s="1399"/>
    </row>
    <row r="217" spans="2:23" s="1280" customFormat="1" x14ac:dyDescent="0.6">
      <c r="B217" s="1461"/>
      <c r="D217" s="1459"/>
      <c r="E217" s="1459"/>
      <c r="F217" s="1459"/>
      <c r="G217" s="1459"/>
      <c r="H217" s="1459"/>
      <c r="I217" s="1459"/>
      <c r="J217" s="1459"/>
      <c r="K217" s="1459"/>
      <c r="L217" s="1459"/>
      <c r="N217" s="1399"/>
      <c r="P217" s="1399"/>
      <c r="Q217" s="1399"/>
      <c r="R217" s="1399"/>
      <c r="S217" s="1399"/>
      <c r="T217" s="1399"/>
      <c r="U217" s="1399"/>
      <c r="V217" s="1399"/>
      <c r="W217" s="1399"/>
    </row>
    <row r="218" spans="2:23" s="1280" customFormat="1" x14ac:dyDescent="0.6">
      <c r="B218" s="1461"/>
      <c r="D218" s="1459"/>
      <c r="E218" s="1459"/>
      <c r="F218" s="1459"/>
      <c r="G218" s="1459"/>
      <c r="H218" s="1459"/>
      <c r="I218" s="1459"/>
      <c r="J218" s="1459"/>
      <c r="K218" s="1459"/>
      <c r="L218" s="1459"/>
      <c r="N218" s="1399"/>
      <c r="P218" s="1399"/>
      <c r="Q218" s="1399"/>
      <c r="R218" s="1399"/>
      <c r="S218" s="1399"/>
      <c r="T218" s="1399"/>
      <c r="U218" s="1399"/>
      <c r="V218" s="1399"/>
      <c r="W218" s="1399"/>
    </row>
    <row r="219" spans="2:23" s="1280" customFormat="1" x14ac:dyDescent="0.6">
      <c r="B219" s="1461"/>
      <c r="D219" s="1459"/>
      <c r="E219" s="1459"/>
      <c r="F219" s="1459"/>
      <c r="G219" s="1459"/>
      <c r="H219" s="1459"/>
      <c r="I219" s="1459"/>
      <c r="J219" s="1459"/>
      <c r="K219" s="1459"/>
      <c r="L219" s="1459"/>
      <c r="N219" s="1399"/>
      <c r="P219" s="1399"/>
      <c r="Q219" s="1399"/>
      <c r="R219" s="1399"/>
      <c r="S219" s="1399"/>
      <c r="T219" s="1399"/>
      <c r="U219" s="1399"/>
      <c r="V219" s="1399"/>
      <c r="W219" s="1399"/>
    </row>
    <row r="220" spans="2:23" s="1280" customFormat="1" x14ac:dyDescent="0.6">
      <c r="B220" s="1461"/>
      <c r="D220" s="1459"/>
      <c r="E220" s="1459"/>
      <c r="F220" s="1459"/>
      <c r="G220" s="1459"/>
      <c r="H220" s="1459"/>
      <c r="I220" s="1459"/>
      <c r="J220" s="1459"/>
      <c r="K220" s="1459"/>
      <c r="L220" s="1459"/>
      <c r="N220" s="1399"/>
      <c r="P220" s="1399"/>
      <c r="Q220" s="1399"/>
      <c r="R220" s="1399"/>
      <c r="S220" s="1399"/>
      <c r="T220" s="1399"/>
      <c r="U220" s="1399"/>
      <c r="V220" s="1399"/>
      <c r="W220" s="1399"/>
    </row>
    <row r="221" spans="2:23" s="1280" customFormat="1" x14ac:dyDescent="0.6">
      <c r="B221" s="1461"/>
      <c r="D221" s="1459"/>
      <c r="E221" s="1459"/>
      <c r="F221" s="1459"/>
      <c r="G221" s="1459"/>
      <c r="H221" s="1459"/>
      <c r="I221" s="1459"/>
      <c r="J221" s="1459"/>
      <c r="K221" s="1459"/>
      <c r="L221" s="1459"/>
      <c r="N221" s="1399"/>
      <c r="P221" s="1399"/>
      <c r="Q221" s="1399"/>
      <c r="R221" s="1399"/>
      <c r="S221" s="1399"/>
      <c r="T221" s="1399"/>
      <c r="U221" s="1399"/>
      <c r="V221" s="1399"/>
      <c r="W221" s="1399"/>
    </row>
    <row r="222" spans="2:23" s="1280" customFormat="1" x14ac:dyDescent="0.6">
      <c r="B222" s="1461"/>
      <c r="D222" s="1459"/>
      <c r="E222" s="1459"/>
      <c r="F222" s="1459"/>
      <c r="G222" s="1459"/>
      <c r="H222" s="1459"/>
      <c r="I222" s="1459"/>
      <c r="J222" s="1459"/>
      <c r="K222" s="1459"/>
      <c r="L222" s="1459"/>
      <c r="N222" s="1399"/>
      <c r="P222" s="1399"/>
      <c r="Q222" s="1399"/>
      <c r="R222" s="1399"/>
      <c r="S222" s="1399"/>
      <c r="T222" s="1399"/>
      <c r="U222" s="1399"/>
      <c r="V222" s="1399"/>
      <c r="W222" s="1399"/>
    </row>
    <row r="223" spans="2:23" s="1280" customFormat="1" x14ac:dyDescent="0.6">
      <c r="B223" s="1461"/>
      <c r="D223" s="1459"/>
      <c r="E223" s="1459"/>
      <c r="F223" s="1459"/>
      <c r="G223" s="1459"/>
      <c r="H223" s="1459"/>
      <c r="I223" s="1459"/>
      <c r="J223" s="1459"/>
      <c r="K223" s="1459"/>
      <c r="L223" s="1459"/>
      <c r="N223" s="1399"/>
      <c r="P223" s="1399"/>
      <c r="Q223" s="1399"/>
      <c r="R223" s="1399"/>
      <c r="S223" s="1399"/>
      <c r="T223" s="1399"/>
      <c r="U223" s="1399"/>
      <c r="V223" s="1399"/>
      <c r="W223" s="1399"/>
    </row>
    <row r="224" spans="2:23" s="1280" customFormat="1" x14ac:dyDescent="0.6">
      <c r="B224" s="1461"/>
      <c r="D224" s="1459"/>
      <c r="E224" s="1459"/>
      <c r="F224" s="1459"/>
      <c r="G224" s="1459"/>
      <c r="H224" s="1459"/>
      <c r="I224" s="1459"/>
      <c r="J224" s="1459"/>
      <c r="K224" s="1459"/>
      <c r="L224" s="1459"/>
      <c r="N224" s="1399"/>
      <c r="P224" s="1399"/>
      <c r="Q224" s="1399"/>
      <c r="R224" s="1399"/>
      <c r="S224" s="1399"/>
      <c r="T224" s="1399"/>
      <c r="U224" s="1399"/>
      <c r="V224" s="1399"/>
      <c r="W224" s="1399"/>
    </row>
    <row r="225" spans="2:23" s="1280" customFormat="1" x14ac:dyDescent="0.6">
      <c r="B225" s="1461"/>
      <c r="D225" s="1459"/>
      <c r="E225" s="1459"/>
      <c r="F225" s="1459"/>
      <c r="G225" s="1459"/>
      <c r="H225" s="1459"/>
      <c r="I225" s="1459"/>
      <c r="J225" s="1459"/>
      <c r="K225" s="1459"/>
      <c r="L225" s="1459"/>
      <c r="N225" s="1399"/>
      <c r="P225" s="1399"/>
      <c r="Q225" s="1399"/>
      <c r="R225" s="1399"/>
      <c r="S225" s="1399"/>
      <c r="T225" s="1399"/>
      <c r="U225" s="1399"/>
      <c r="V225" s="1399"/>
      <c r="W225" s="1399"/>
    </row>
    <row r="226" spans="2:23" s="1280" customFormat="1" x14ac:dyDescent="0.6">
      <c r="B226" s="1461"/>
      <c r="D226" s="1459"/>
      <c r="E226" s="1459"/>
      <c r="F226" s="1459"/>
      <c r="G226" s="1459"/>
      <c r="H226" s="1459"/>
      <c r="I226" s="1459"/>
      <c r="J226" s="1459"/>
      <c r="K226" s="1459"/>
      <c r="L226" s="1459"/>
      <c r="N226" s="1399"/>
      <c r="P226" s="1399"/>
      <c r="Q226" s="1399"/>
      <c r="R226" s="1399"/>
      <c r="S226" s="1399"/>
      <c r="T226" s="1399"/>
      <c r="U226" s="1399"/>
      <c r="V226" s="1399"/>
      <c r="W226" s="1399"/>
    </row>
    <row r="227" spans="2:23" s="1280" customFormat="1" x14ac:dyDescent="0.6">
      <c r="B227" s="1461"/>
      <c r="D227" s="1459"/>
      <c r="E227" s="1459"/>
      <c r="F227" s="1459"/>
      <c r="G227" s="1459"/>
      <c r="H227" s="1459"/>
      <c r="I227" s="1459"/>
      <c r="J227" s="1459"/>
      <c r="K227" s="1459"/>
      <c r="L227" s="1459"/>
      <c r="N227" s="1399"/>
      <c r="P227" s="1399"/>
      <c r="Q227" s="1399"/>
      <c r="R227" s="1399"/>
      <c r="S227" s="1399"/>
      <c r="T227" s="1399"/>
      <c r="U227" s="1399"/>
      <c r="V227" s="1399"/>
      <c r="W227" s="1399"/>
    </row>
    <row r="228" spans="2:23" s="1280" customFormat="1" x14ac:dyDescent="0.6">
      <c r="B228" s="1461"/>
      <c r="D228" s="1459"/>
      <c r="E228" s="1459"/>
      <c r="F228" s="1459"/>
      <c r="G228" s="1459"/>
      <c r="H228" s="1459"/>
      <c r="I228" s="1459"/>
      <c r="J228" s="1459"/>
      <c r="K228" s="1459"/>
      <c r="L228" s="1459"/>
      <c r="N228" s="1399"/>
      <c r="P228" s="1399"/>
      <c r="Q228" s="1399"/>
      <c r="R228" s="1399"/>
      <c r="S228" s="1399"/>
      <c r="T228" s="1399"/>
      <c r="U228" s="1399"/>
      <c r="V228" s="1399"/>
      <c r="W228" s="1399"/>
    </row>
    <row r="229" spans="2:23" s="1280" customFormat="1" x14ac:dyDescent="0.6">
      <c r="B229" s="1461"/>
      <c r="D229" s="1459"/>
      <c r="E229" s="1459"/>
      <c r="F229" s="1459"/>
      <c r="G229" s="1459"/>
      <c r="H229" s="1459"/>
      <c r="I229" s="1459"/>
      <c r="J229" s="1459"/>
      <c r="K229" s="1459"/>
      <c r="L229" s="1459"/>
      <c r="N229" s="1399"/>
      <c r="P229" s="1399"/>
      <c r="Q229" s="1399"/>
      <c r="R229" s="1399"/>
      <c r="S229" s="1399"/>
      <c r="T229" s="1399"/>
      <c r="U229" s="1399"/>
      <c r="V229" s="1399"/>
      <c r="W229" s="1399"/>
    </row>
    <row r="230" spans="2:23" s="1280" customFormat="1" x14ac:dyDescent="0.6">
      <c r="B230" s="1461"/>
      <c r="D230" s="1459"/>
      <c r="E230" s="1459"/>
      <c r="F230" s="1459"/>
      <c r="G230" s="1459"/>
      <c r="H230" s="1459"/>
      <c r="I230" s="1459"/>
      <c r="J230" s="1459"/>
      <c r="K230" s="1459"/>
      <c r="L230" s="1459"/>
      <c r="N230" s="1399"/>
      <c r="P230" s="1399"/>
      <c r="Q230" s="1399"/>
      <c r="R230" s="1399"/>
      <c r="S230" s="1399"/>
      <c r="T230" s="1399"/>
      <c r="U230" s="1399"/>
      <c r="V230" s="1399"/>
      <c r="W230" s="1399"/>
    </row>
    <row r="231" spans="2:23" s="1280" customFormat="1" x14ac:dyDescent="0.6">
      <c r="B231" s="1461"/>
      <c r="D231" s="1459"/>
      <c r="E231" s="1459"/>
      <c r="F231" s="1459"/>
      <c r="G231" s="1459"/>
      <c r="H231" s="1459"/>
      <c r="I231" s="1459"/>
      <c r="J231" s="1459"/>
      <c r="K231" s="1459"/>
      <c r="L231" s="1459"/>
      <c r="N231" s="1399"/>
      <c r="P231" s="1399"/>
      <c r="Q231" s="1399"/>
      <c r="R231" s="1399"/>
      <c r="S231" s="1399"/>
      <c r="T231" s="1399"/>
      <c r="U231" s="1399"/>
      <c r="V231" s="1399"/>
      <c r="W231" s="1399"/>
    </row>
    <row r="232" spans="2:23" s="1280" customFormat="1" x14ac:dyDescent="0.6">
      <c r="B232" s="1461"/>
      <c r="D232" s="1459"/>
      <c r="E232" s="1459"/>
      <c r="F232" s="1459"/>
      <c r="G232" s="1459"/>
      <c r="H232" s="1459"/>
      <c r="I232" s="1459"/>
      <c r="J232" s="1459"/>
      <c r="K232" s="1459"/>
      <c r="L232" s="1459"/>
      <c r="N232" s="1399"/>
      <c r="P232" s="1399"/>
      <c r="Q232" s="1399"/>
      <c r="R232" s="1399"/>
      <c r="S232" s="1399"/>
      <c r="T232" s="1399"/>
      <c r="U232" s="1399"/>
      <c r="V232" s="1399"/>
      <c r="W232" s="1399"/>
    </row>
    <row r="233" spans="2:23" s="1280" customFormat="1" x14ac:dyDescent="0.6">
      <c r="B233" s="1461"/>
      <c r="D233" s="1459"/>
      <c r="E233" s="1459"/>
      <c r="F233" s="1459"/>
      <c r="G233" s="1459"/>
      <c r="H233" s="1459"/>
      <c r="I233" s="1459"/>
      <c r="J233" s="1459"/>
      <c r="K233" s="1459"/>
      <c r="L233" s="1459"/>
      <c r="N233" s="1399"/>
      <c r="P233" s="1399"/>
      <c r="Q233" s="1399"/>
      <c r="R233" s="1399"/>
      <c r="S233" s="1399"/>
      <c r="T233" s="1399"/>
      <c r="U233" s="1399"/>
      <c r="V233" s="1399"/>
      <c r="W233" s="1399"/>
    </row>
    <row r="234" spans="2:23" s="1280" customFormat="1" x14ac:dyDescent="0.6">
      <c r="B234" s="1461"/>
      <c r="D234" s="1459"/>
      <c r="E234" s="1459"/>
      <c r="F234" s="1459"/>
      <c r="G234" s="1459"/>
      <c r="H234" s="1459"/>
      <c r="I234" s="1459"/>
      <c r="J234" s="1459"/>
      <c r="K234" s="1459"/>
      <c r="L234" s="1459"/>
      <c r="N234" s="1399"/>
      <c r="P234" s="1399"/>
      <c r="Q234" s="1399"/>
      <c r="R234" s="1399"/>
      <c r="S234" s="1399"/>
      <c r="T234" s="1399"/>
      <c r="U234" s="1399"/>
      <c r="V234" s="1399"/>
      <c r="W234" s="1399"/>
    </row>
    <row r="235" spans="2:23" s="1280" customFormat="1" x14ac:dyDescent="0.6">
      <c r="B235" s="1461"/>
      <c r="D235" s="1459"/>
      <c r="E235" s="1459"/>
      <c r="F235" s="1459"/>
      <c r="G235" s="1459"/>
      <c r="H235" s="1459"/>
      <c r="I235" s="1459"/>
      <c r="J235" s="1459"/>
      <c r="K235" s="1459"/>
      <c r="L235" s="1459"/>
      <c r="N235" s="1399"/>
      <c r="P235" s="1399"/>
      <c r="Q235" s="1399"/>
      <c r="R235" s="1399"/>
      <c r="S235" s="1399"/>
      <c r="T235" s="1399"/>
      <c r="U235" s="1399"/>
      <c r="V235" s="1399"/>
      <c r="W235" s="1399"/>
    </row>
    <row r="236" spans="2:23" s="1280" customFormat="1" x14ac:dyDescent="0.6">
      <c r="B236" s="1461"/>
      <c r="D236" s="1459"/>
      <c r="E236" s="1459"/>
      <c r="F236" s="1459"/>
      <c r="G236" s="1459"/>
      <c r="H236" s="1459"/>
      <c r="I236" s="1459"/>
      <c r="J236" s="1459"/>
      <c r="K236" s="1459"/>
      <c r="L236" s="1459"/>
      <c r="N236" s="1399"/>
      <c r="P236" s="1399"/>
      <c r="Q236" s="1399"/>
      <c r="R236" s="1399"/>
      <c r="S236" s="1399"/>
      <c r="T236" s="1399"/>
      <c r="U236" s="1399"/>
      <c r="V236" s="1399"/>
      <c r="W236" s="1399"/>
    </row>
    <row r="237" spans="2:23" s="1280" customFormat="1" x14ac:dyDescent="0.6">
      <c r="B237" s="1461"/>
      <c r="D237" s="1459"/>
      <c r="E237" s="1459"/>
      <c r="F237" s="1459"/>
      <c r="G237" s="1459"/>
      <c r="H237" s="1459"/>
      <c r="I237" s="1459"/>
      <c r="J237" s="1459"/>
      <c r="K237" s="1459"/>
      <c r="L237" s="1459"/>
      <c r="N237" s="1399"/>
      <c r="P237" s="1399"/>
      <c r="Q237" s="1399"/>
      <c r="R237" s="1399"/>
      <c r="S237" s="1399"/>
      <c r="T237" s="1399"/>
      <c r="U237" s="1399"/>
      <c r="V237" s="1399"/>
      <c r="W237" s="1399"/>
    </row>
    <row r="238" spans="2:23" s="1280" customFormat="1" x14ac:dyDescent="0.6">
      <c r="B238" s="1461"/>
      <c r="D238" s="1459"/>
      <c r="E238" s="1459"/>
      <c r="F238" s="1459"/>
      <c r="G238" s="1459"/>
      <c r="H238" s="1459"/>
      <c r="I238" s="1459"/>
      <c r="J238" s="1459"/>
      <c r="K238" s="1459"/>
      <c r="L238" s="1459"/>
      <c r="N238" s="1399"/>
      <c r="P238" s="1399"/>
      <c r="Q238" s="1399"/>
      <c r="R238" s="1399"/>
      <c r="S238" s="1399"/>
      <c r="T238" s="1399"/>
      <c r="U238" s="1399"/>
      <c r="V238" s="1399"/>
      <c r="W238" s="1399"/>
    </row>
    <row r="239" spans="2:23" s="1280" customFormat="1" x14ac:dyDescent="0.6">
      <c r="B239" s="1461"/>
      <c r="D239" s="1459"/>
      <c r="E239" s="1459"/>
      <c r="F239" s="1459"/>
      <c r="G239" s="1459"/>
      <c r="H239" s="1459"/>
      <c r="I239" s="1459"/>
      <c r="J239" s="1459"/>
      <c r="K239" s="1459"/>
      <c r="L239" s="1459"/>
      <c r="N239" s="1399"/>
      <c r="P239" s="1399"/>
      <c r="Q239" s="1399"/>
      <c r="R239" s="1399"/>
      <c r="S239" s="1399"/>
      <c r="T239" s="1399"/>
      <c r="U239" s="1399"/>
      <c r="V239" s="1399"/>
      <c r="W239" s="1399"/>
    </row>
    <row r="240" spans="2:23" s="1280" customFormat="1" x14ac:dyDescent="0.6">
      <c r="B240" s="1461"/>
      <c r="D240" s="1459"/>
      <c r="E240" s="1459"/>
      <c r="F240" s="1459"/>
      <c r="G240" s="1459"/>
      <c r="H240" s="1459"/>
      <c r="I240" s="1459"/>
      <c r="J240" s="1459"/>
      <c r="K240" s="1459"/>
      <c r="L240" s="1459"/>
      <c r="N240" s="1399"/>
      <c r="P240" s="1399"/>
      <c r="Q240" s="1399"/>
      <c r="R240" s="1399"/>
      <c r="S240" s="1399"/>
      <c r="T240" s="1399"/>
      <c r="U240" s="1399"/>
      <c r="V240" s="1399"/>
      <c r="W240" s="1399"/>
    </row>
    <row r="241" spans="2:23" s="1280" customFormat="1" x14ac:dyDescent="0.6">
      <c r="B241" s="1461"/>
      <c r="D241" s="1459"/>
      <c r="E241" s="1459"/>
      <c r="F241" s="1459"/>
      <c r="G241" s="1459"/>
      <c r="H241" s="1459"/>
      <c r="I241" s="1459"/>
      <c r="J241" s="1459"/>
      <c r="K241" s="1459"/>
      <c r="L241" s="1459"/>
      <c r="N241" s="1399"/>
      <c r="P241" s="1399"/>
      <c r="Q241" s="1399"/>
      <c r="R241" s="1399"/>
      <c r="S241" s="1399"/>
      <c r="T241" s="1399"/>
      <c r="U241" s="1399"/>
      <c r="V241" s="1399"/>
      <c r="W241" s="1399"/>
    </row>
    <row r="242" spans="2:23" s="1280" customFormat="1" x14ac:dyDescent="0.6">
      <c r="B242" s="1461"/>
      <c r="D242" s="1459"/>
      <c r="E242" s="1459"/>
      <c r="F242" s="1459"/>
      <c r="G242" s="1459"/>
      <c r="H242" s="1459"/>
      <c r="I242" s="1459"/>
      <c r="J242" s="1459"/>
      <c r="K242" s="1459"/>
      <c r="L242" s="1459"/>
      <c r="N242" s="1399"/>
      <c r="P242" s="1399"/>
      <c r="Q242" s="1399"/>
      <c r="R242" s="1399"/>
      <c r="S242" s="1399"/>
      <c r="T242" s="1399"/>
      <c r="U242" s="1399"/>
      <c r="V242" s="1399"/>
      <c r="W242" s="1399"/>
    </row>
    <row r="243" spans="2:23" s="1280" customFormat="1" x14ac:dyDescent="0.6">
      <c r="B243" s="1461"/>
      <c r="D243" s="1459"/>
      <c r="E243" s="1459"/>
      <c r="F243" s="1459"/>
      <c r="G243" s="1459"/>
      <c r="H243" s="1459"/>
      <c r="I243" s="1459"/>
      <c r="J243" s="1459"/>
      <c r="K243" s="1459"/>
      <c r="L243" s="1459"/>
      <c r="N243" s="1399"/>
      <c r="P243" s="1399"/>
      <c r="Q243" s="1399"/>
      <c r="R243" s="1399"/>
      <c r="S243" s="1399"/>
      <c r="T243" s="1399"/>
      <c r="U243" s="1399"/>
      <c r="V243" s="1399"/>
      <c r="W243" s="1399"/>
    </row>
    <row r="244" spans="2:23" s="1280" customFormat="1" x14ac:dyDescent="0.6">
      <c r="B244" s="1461"/>
      <c r="D244" s="1459"/>
      <c r="E244" s="1459"/>
      <c r="F244" s="1459"/>
      <c r="G244" s="1459"/>
      <c r="H244" s="1459"/>
      <c r="I244" s="1459"/>
      <c r="J244" s="1459"/>
      <c r="K244" s="1459"/>
      <c r="L244" s="1459"/>
      <c r="N244" s="1399"/>
      <c r="P244" s="1399"/>
      <c r="Q244" s="1399"/>
      <c r="R244" s="1399"/>
      <c r="S244" s="1399"/>
      <c r="T244" s="1399"/>
      <c r="U244" s="1399"/>
      <c r="V244" s="1399"/>
      <c r="W244" s="1399"/>
    </row>
    <row r="245" spans="2:23" s="1280" customFormat="1" x14ac:dyDescent="0.6">
      <c r="B245" s="1461"/>
      <c r="D245" s="1459"/>
      <c r="E245" s="1459"/>
      <c r="F245" s="1459"/>
      <c r="G245" s="1459"/>
      <c r="H245" s="1459"/>
      <c r="I245" s="1459"/>
      <c r="J245" s="1459"/>
      <c r="K245" s="1459"/>
      <c r="L245" s="1459"/>
      <c r="N245" s="1399"/>
      <c r="P245" s="1399"/>
      <c r="Q245" s="1399"/>
      <c r="R245" s="1399"/>
      <c r="S245" s="1399"/>
      <c r="T245" s="1399"/>
      <c r="U245" s="1399"/>
      <c r="V245" s="1399"/>
      <c r="W245" s="1399"/>
    </row>
    <row r="246" spans="2:23" s="1280" customFormat="1" x14ac:dyDescent="0.6">
      <c r="B246" s="1461"/>
      <c r="D246" s="1459"/>
      <c r="E246" s="1459"/>
      <c r="F246" s="1459"/>
      <c r="G246" s="1459"/>
      <c r="H246" s="1459"/>
      <c r="I246" s="1459"/>
      <c r="J246" s="1459"/>
      <c r="K246" s="1459"/>
      <c r="L246" s="1459"/>
      <c r="N246" s="1399"/>
      <c r="P246" s="1399"/>
      <c r="Q246" s="1399"/>
      <c r="R246" s="1399"/>
      <c r="S246" s="1399"/>
      <c r="T246" s="1399"/>
      <c r="U246" s="1399"/>
      <c r="V246" s="1399"/>
      <c r="W246" s="1399"/>
    </row>
    <row r="247" spans="2:23" s="1280" customFormat="1" x14ac:dyDescent="0.6">
      <c r="B247" s="1461"/>
      <c r="D247" s="1459"/>
      <c r="E247" s="1459"/>
      <c r="F247" s="1459"/>
      <c r="G247" s="1459"/>
      <c r="H247" s="1459"/>
      <c r="I247" s="1459"/>
      <c r="J247" s="1459"/>
      <c r="K247" s="1459"/>
      <c r="L247" s="1459"/>
      <c r="N247" s="1399"/>
      <c r="P247" s="1399"/>
      <c r="Q247" s="1399"/>
      <c r="R247" s="1399"/>
      <c r="S247" s="1399"/>
      <c r="T247" s="1399"/>
      <c r="U247" s="1399"/>
      <c r="V247" s="1399"/>
      <c r="W247" s="1399"/>
    </row>
    <row r="248" spans="2:23" s="1280" customFormat="1" x14ac:dyDescent="0.6">
      <c r="B248" s="1461"/>
      <c r="D248" s="1459"/>
      <c r="E248" s="1459"/>
      <c r="F248" s="1459"/>
      <c r="G248" s="1459"/>
      <c r="H248" s="1459"/>
      <c r="I248" s="1459"/>
      <c r="J248" s="1459"/>
      <c r="K248" s="1459"/>
      <c r="L248" s="1459"/>
      <c r="N248" s="1399"/>
      <c r="P248" s="1399"/>
      <c r="Q248" s="1399"/>
      <c r="R248" s="1399"/>
      <c r="S248" s="1399"/>
      <c r="T248" s="1399"/>
      <c r="U248" s="1399"/>
      <c r="V248" s="1399"/>
      <c r="W248" s="1399"/>
    </row>
    <row r="249" spans="2:23" s="1280" customFormat="1" x14ac:dyDescent="0.6">
      <c r="B249" s="1461"/>
      <c r="D249" s="1459"/>
      <c r="E249" s="1459"/>
      <c r="F249" s="1459"/>
      <c r="G249" s="1459"/>
      <c r="H249" s="1459"/>
      <c r="I249" s="1459"/>
      <c r="J249" s="1459"/>
      <c r="K249" s="1459"/>
      <c r="L249" s="1459"/>
      <c r="N249" s="1399"/>
      <c r="P249" s="1399"/>
      <c r="Q249" s="1399"/>
      <c r="R249" s="1399"/>
      <c r="S249" s="1399"/>
      <c r="T249" s="1399"/>
      <c r="U249" s="1399"/>
      <c r="V249" s="1399"/>
      <c r="W249" s="1399"/>
    </row>
    <row r="250" spans="2:23" s="1280" customFormat="1" x14ac:dyDescent="0.6">
      <c r="B250" s="1461"/>
      <c r="D250" s="1459"/>
      <c r="E250" s="1459"/>
      <c r="F250" s="1459"/>
      <c r="G250" s="1459"/>
      <c r="H250" s="1459"/>
      <c r="I250" s="1459"/>
      <c r="J250" s="1459"/>
      <c r="K250" s="1459"/>
      <c r="L250" s="1459"/>
      <c r="N250" s="1399"/>
      <c r="P250" s="1399"/>
      <c r="Q250" s="1399"/>
      <c r="R250" s="1399"/>
      <c r="S250" s="1399"/>
      <c r="T250" s="1399"/>
      <c r="U250" s="1399"/>
      <c r="V250" s="1399"/>
      <c r="W250" s="1399"/>
    </row>
    <row r="251" spans="2:23" s="1280" customFormat="1" x14ac:dyDescent="0.6">
      <c r="B251" s="1461"/>
      <c r="D251" s="1459"/>
      <c r="E251" s="1459"/>
      <c r="F251" s="1459"/>
      <c r="G251" s="1459"/>
      <c r="H251" s="1459"/>
      <c r="I251" s="1459"/>
      <c r="J251" s="1459"/>
      <c r="K251" s="1459"/>
      <c r="L251" s="1459"/>
      <c r="N251" s="1399"/>
      <c r="P251" s="1399"/>
      <c r="Q251" s="1399"/>
      <c r="R251" s="1399"/>
      <c r="S251" s="1399"/>
      <c r="T251" s="1399"/>
      <c r="U251" s="1399"/>
      <c r="V251" s="1399"/>
      <c r="W251" s="1399"/>
    </row>
    <row r="252" spans="2:23" s="1280" customFormat="1" x14ac:dyDescent="0.6">
      <c r="B252" s="1461"/>
      <c r="D252" s="1459"/>
      <c r="E252" s="1459"/>
      <c r="F252" s="1459"/>
      <c r="G252" s="1459"/>
      <c r="H252" s="1459"/>
      <c r="I252" s="1459"/>
      <c r="J252" s="1459"/>
      <c r="K252" s="1459"/>
      <c r="L252" s="1459"/>
      <c r="N252" s="1399"/>
      <c r="P252" s="1399"/>
      <c r="Q252" s="1399"/>
      <c r="R252" s="1399"/>
      <c r="S252" s="1399"/>
      <c r="T252" s="1399"/>
      <c r="U252" s="1399"/>
      <c r="V252" s="1399"/>
      <c r="W252" s="1399"/>
    </row>
    <row r="253" spans="2:23" s="1280" customFormat="1" x14ac:dyDescent="0.6">
      <c r="B253" s="1461"/>
      <c r="D253" s="1459"/>
      <c r="E253" s="1459"/>
      <c r="F253" s="1459"/>
      <c r="G253" s="1459"/>
      <c r="H253" s="1459"/>
      <c r="I253" s="1459"/>
      <c r="J253" s="1459"/>
      <c r="K253" s="1459"/>
      <c r="L253" s="1459"/>
      <c r="N253" s="1399"/>
      <c r="P253" s="1399"/>
      <c r="Q253" s="1399"/>
      <c r="R253" s="1399"/>
      <c r="S253" s="1399"/>
      <c r="T253" s="1399"/>
      <c r="U253" s="1399"/>
      <c r="V253" s="1399"/>
      <c r="W253" s="1399"/>
    </row>
    <row r="254" spans="2:23" s="1280" customFormat="1" x14ac:dyDescent="0.6">
      <c r="B254" s="1461"/>
      <c r="D254" s="1459"/>
      <c r="E254" s="1459"/>
      <c r="F254" s="1459"/>
      <c r="G254" s="1459"/>
      <c r="H254" s="1459"/>
      <c r="I254" s="1459"/>
      <c r="J254" s="1459"/>
      <c r="K254" s="1459"/>
      <c r="L254" s="1459"/>
      <c r="N254" s="1399"/>
      <c r="P254" s="1399"/>
      <c r="Q254" s="1399"/>
      <c r="R254" s="1399"/>
      <c r="S254" s="1399"/>
      <c r="T254" s="1399"/>
      <c r="U254" s="1399"/>
      <c r="V254" s="1399"/>
      <c r="W254" s="1399"/>
    </row>
    <row r="255" spans="2:23" s="1280" customFormat="1" x14ac:dyDescent="0.6">
      <c r="B255" s="1461"/>
      <c r="D255" s="1459"/>
      <c r="E255" s="1459"/>
      <c r="F255" s="1459"/>
      <c r="G255" s="1459"/>
      <c r="H255" s="1459"/>
      <c r="I255" s="1459"/>
      <c r="J255" s="1459"/>
      <c r="K255" s="1459"/>
      <c r="L255" s="1459"/>
      <c r="N255" s="1399"/>
      <c r="P255" s="1399"/>
      <c r="Q255" s="1399"/>
      <c r="R255" s="1399"/>
      <c r="S255" s="1399"/>
      <c r="T255" s="1399"/>
      <c r="U255" s="1399"/>
      <c r="V255" s="1399"/>
      <c r="W255" s="1399"/>
    </row>
    <row r="256" spans="2:23" s="1280" customFormat="1" x14ac:dyDescent="0.6">
      <c r="B256" s="1461"/>
      <c r="D256" s="1459"/>
      <c r="E256" s="1459"/>
      <c r="F256" s="1459"/>
      <c r="G256" s="1459"/>
      <c r="H256" s="1459"/>
      <c r="I256" s="1459"/>
      <c r="J256" s="1459"/>
      <c r="K256" s="1459"/>
      <c r="L256" s="1459"/>
      <c r="N256" s="1399"/>
      <c r="P256" s="1399"/>
      <c r="Q256" s="1399"/>
      <c r="R256" s="1399"/>
      <c r="S256" s="1399"/>
      <c r="T256" s="1399"/>
      <c r="U256" s="1399"/>
      <c r="V256" s="1399"/>
      <c r="W256" s="1399"/>
    </row>
    <row r="257" spans="2:23" s="1280" customFormat="1" x14ac:dyDescent="0.6">
      <c r="B257" s="1461"/>
      <c r="D257" s="1459"/>
      <c r="E257" s="1459"/>
      <c r="F257" s="1459"/>
      <c r="G257" s="1459"/>
      <c r="H257" s="1459"/>
      <c r="I257" s="1459"/>
      <c r="J257" s="1459"/>
      <c r="K257" s="1459"/>
      <c r="L257" s="1459"/>
      <c r="N257" s="1399"/>
      <c r="P257" s="1399"/>
      <c r="Q257" s="1399"/>
      <c r="R257" s="1399"/>
      <c r="S257" s="1399"/>
      <c r="T257" s="1399"/>
      <c r="U257" s="1399"/>
      <c r="V257" s="1399"/>
      <c r="W257" s="1399"/>
    </row>
    <row r="258" spans="2:23" s="1280" customFormat="1" x14ac:dyDescent="0.6">
      <c r="B258" s="1461"/>
      <c r="D258" s="1459"/>
      <c r="E258" s="1459"/>
      <c r="F258" s="1459"/>
      <c r="G258" s="1459"/>
      <c r="H258" s="1459"/>
      <c r="I258" s="1459"/>
      <c r="J258" s="1459"/>
      <c r="K258" s="1459"/>
      <c r="L258" s="1459"/>
      <c r="N258" s="1399"/>
      <c r="P258" s="1399"/>
      <c r="Q258" s="1399"/>
      <c r="R258" s="1399"/>
      <c r="S258" s="1399"/>
      <c r="T258" s="1399"/>
      <c r="U258" s="1399"/>
      <c r="V258" s="1399"/>
      <c r="W258" s="1399"/>
    </row>
    <row r="259" spans="2:23" s="1280" customFormat="1" x14ac:dyDescent="0.6">
      <c r="B259" s="1461"/>
      <c r="D259" s="1459"/>
      <c r="E259" s="1459"/>
      <c r="F259" s="1459"/>
      <c r="G259" s="1459"/>
      <c r="H259" s="1459"/>
      <c r="I259" s="1459"/>
      <c r="J259" s="1459"/>
      <c r="K259" s="1459"/>
      <c r="L259" s="1459"/>
      <c r="N259" s="1399"/>
      <c r="P259" s="1399"/>
      <c r="Q259" s="1399"/>
      <c r="R259" s="1399"/>
      <c r="S259" s="1399"/>
      <c r="T259" s="1399"/>
      <c r="U259" s="1399"/>
      <c r="V259" s="1399"/>
      <c r="W259" s="1399"/>
    </row>
    <row r="260" spans="2:23" s="1280" customFormat="1" x14ac:dyDescent="0.6">
      <c r="B260" s="1461"/>
      <c r="D260" s="1459"/>
      <c r="E260" s="1459"/>
      <c r="F260" s="1459"/>
      <c r="G260" s="1459"/>
      <c r="H260" s="1459"/>
      <c r="I260" s="1459"/>
      <c r="J260" s="1459"/>
      <c r="K260" s="1459"/>
      <c r="L260" s="1459"/>
      <c r="N260" s="1399"/>
      <c r="P260" s="1399"/>
      <c r="Q260" s="1399"/>
      <c r="R260" s="1399"/>
      <c r="S260" s="1399"/>
      <c r="T260" s="1399"/>
      <c r="U260" s="1399"/>
      <c r="V260" s="1399"/>
      <c r="W260" s="1399"/>
    </row>
    <row r="261" spans="2:23" s="1280" customFormat="1" x14ac:dyDescent="0.6">
      <c r="B261" s="1461"/>
      <c r="D261" s="1459"/>
      <c r="E261" s="1459"/>
      <c r="F261" s="1459"/>
      <c r="G261" s="1459"/>
      <c r="H261" s="1459"/>
      <c r="I261" s="1459"/>
      <c r="J261" s="1459"/>
      <c r="K261" s="1459"/>
      <c r="L261" s="1459"/>
      <c r="N261" s="1399"/>
      <c r="P261" s="1399"/>
      <c r="Q261" s="1399"/>
      <c r="R261" s="1399"/>
      <c r="S261" s="1399"/>
      <c r="T261" s="1399"/>
      <c r="U261" s="1399"/>
      <c r="V261" s="1399"/>
      <c r="W261" s="1399"/>
    </row>
    <row r="262" spans="2:23" s="1280" customFormat="1" x14ac:dyDescent="0.6">
      <c r="B262" s="1461"/>
      <c r="D262" s="1459"/>
      <c r="E262" s="1459"/>
      <c r="F262" s="1459"/>
      <c r="G262" s="1459"/>
      <c r="H262" s="1459"/>
      <c r="I262" s="1459"/>
      <c r="J262" s="1459"/>
      <c r="K262" s="1459"/>
      <c r="L262" s="1459"/>
      <c r="N262" s="1399"/>
      <c r="P262" s="1399"/>
      <c r="Q262" s="1399"/>
      <c r="R262" s="1399"/>
      <c r="S262" s="1399"/>
      <c r="T262" s="1399"/>
      <c r="U262" s="1399"/>
      <c r="V262" s="1399"/>
      <c r="W262" s="1399"/>
    </row>
    <row r="263" spans="2:23" s="1280" customFormat="1" x14ac:dyDescent="0.6">
      <c r="B263" s="1461"/>
      <c r="D263" s="1459"/>
      <c r="E263" s="1459"/>
      <c r="F263" s="1459"/>
      <c r="G263" s="1459"/>
      <c r="H263" s="1459"/>
      <c r="I263" s="1459"/>
      <c r="J263" s="1459"/>
      <c r="K263" s="1459"/>
      <c r="L263" s="1459"/>
      <c r="N263" s="1399"/>
      <c r="P263" s="1399"/>
      <c r="Q263" s="1399"/>
      <c r="R263" s="1399"/>
      <c r="S263" s="1399"/>
      <c r="T263" s="1399"/>
      <c r="U263" s="1399"/>
      <c r="V263" s="1399"/>
      <c r="W263" s="1399"/>
    </row>
    <row r="264" spans="2:23" s="1280" customFormat="1" x14ac:dyDescent="0.6">
      <c r="B264" s="1461"/>
      <c r="D264" s="1459"/>
      <c r="E264" s="1459"/>
      <c r="F264" s="1459"/>
      <c r="G264" s="1459"/>
      <c r="H264" s="1459"/>
      <c r="I264" s="1459"/>
      <c r="J264" s="1459"/>
      <c r="K264" s="1459"/>
      <c r="L264" s="1459"/>
      <c r="N264" s="1399"/>
      <c r="P264" s="1399"/>
      <c r="Q264" s="1399"/>
      <c r="R264" s="1399"/>
      <c r="S264" s="1399"/>
      <c r="T264" s="1399"/>
      <c r="U264" s="1399"/>
      <c r="V264" s="1399"/>
      <c r="W264" s="1399"/>
    </row>
    <row r="265" spans="2:23" s="1280" customFormat="1" x14ac:dyDescent="0.6">
      <c r="B265" s="1461"/>
      <c r="D265" s="1459"/>
      <c r="E265" s="1459"/>
      <c r="F265" s="1459"/>
      <c r="G265" s="1459"/>
      <c r="H265" s="1459"/>
      <c r="I265" s="1459"/>
      <c r="J265" s="1459"/>
      <c r="K265" s="1459"/>
      <c r="L265" s="1459"/>
      <c r="N265" s="1399"/>
      <c r="P265" s="1399"/>
      <c r="Q265" s="1399"/>
      <c r="R265" s="1399"/>
      <c r="S265" s="1399"/>
      <c r="T265" s="1399"/>
      <c r="U265" s="1399"/>
      <c r="V265" s="1399"/>
      <c r="W265" s="1399"/>
    </row>
    <row r="266" spans="2:23" s="1280" customFormat="1" x14ac:dyDescent="0.6">
      <c r="B266" s="1461"/>
      <c r="D266" s="1459"/>
      <c r="E266" s="1459"/>
      <c r="F266" s="1459"/>
      <c r="G266" s="1459"/>
      <c r="H266" s="1459"/>
      <c r="I266" s="1459"/>
      <c r="J266" s="1459"/>
      <c r="K266" s="1459"/>
      <c r="L266" s="1459"/>
      <c r="N266" s="1399"/>
      <c r="P266" s="1399"/>
      <c r="Q266" s="1399"/>
      <c r="R266" s="1399"/>
      <c r="S266" s="1399"/>
      <c r="T266" s="1399"/>
      <c r="U266" s="1399"/>
      <c r="V266" s="1399"/>
      <c r="W266" s="1399"/>
    </row>
    <row r="267" spans="2:23" s="1280" customFormat="1" x14ac:dyDescent="0.6">
      <c r="B267" s="1461"/>
      <c r="D267" s="1459"/>
      <c r="E267" s="1459"/>
      <c r="F267" s="1459"/>
      <c r="G267" s="1459"/>
      <c r="H267" s="1459"/>
      <c r="I267" s="1459"/>
      <c r="J267" s="1459"/>
      <c r="K267" s="1459"/>
      <c r="L267" s="1459"/>
      <c r="N267" s="1399"/>
      <c r="P267" s="1399"/>
      <c r="Q267" s="1399"/>
      <c r="R267" s="1399"/>
      <c r="S267" s="1399"/>
      <c r="T267" s="1399"/>
      <c r="U267" s="1399"/>
      <c r="V267" s="1399"/>
      <c r="W267" s="1399"/>
    </row>
    <row r="268" spans="2:23" s="1280" customFormat="1" x14ac:dyDescent="0.6">
      <c r="B268" s="1461"/>
      <c r="D268" s="1459"/>
      <c r="E268" s="1459"/>
      <c r="F268" s="1459"/>
      <c r="G268" s="1459"/>
      <c r="H268" s="1459"/>
      <c r="I268" s="1459"/>
      <c r="J268" s="1459"/>
      <c r="K268" s="1459"/>
      <c r="L268" s="1459"/>
      <c r="N268" s="1399"/>
      <c r="P268" s="1399"/>
      <c r="Q268" s="1399"/>
      <c r="R268" s="1399"/>
      <c r="S268" s="1399"/>
      <c r="T268" s="1399"/>
      <c r="U268" s="1399"/>
      <c r="V268" s="1399"/>
      <c r="W268" s="1399"/>
    </row>
    <row r="269" spans="2:23" s="1280" customFormat="1" x14ac:dyDescent="0.6">
      <c r="B269" s="1461"/>
      <c r="D269" s="1459"/>
      <c r="E269" s="1459"/>
      <c r="F269" s="1459"/>
      <c r="G269" s="1459"/>
      <c r="H269" s="1459"/>
      <c r="I269" s="1459"/>
      <c r="J269" s="1459"/>
      <c r="K269" s="1459"/>
      <c r="L269" s="1459"/>
      <c r="N269" s="1399"/>
      <c r="P269" s="1399"/>
      <c r="Q269" s="1399"/>
      <c r="R269" s="1399"/>
      <c r="S269" s="1399"/>
      <c r="T269" s="1399"/>
      <c r="U269" s="1399"/>
      <c r="V269" s="1399"/>
      <c r="W269" s="1399"/>
    </row>
    <row r="270" spans="2:23" s="1280" customFormat="1" x14ac:dyDescent="0.6">
      <c r="B270" s="1461"/>
      <c r="D270" s="1459"/>
      <c r="E270" s="1459"/>
      <c r="F270" s="1459"/>
      <c r="G270" s="1459"/>
      <c r="H270" s="1459"/>
      <c r="I270" s="1459"/>
      <c r="J270" s="1459"/>
      <c r="K270" s="1459"/>
      <c r="L270" s="1459"/>
      <c r="N270" s="1399"/>
      <c r="P270" s="1399"/>
      <c r="Q270" s="1399"/>
      <c r="R270" s="1399"/>
      <c r="S270" s="1399"/>
      <c r="T270" s="1399"/>
      <c r="U270" s="1399"/>
      <c r="V270" s="1399"/>
      <c r="W270" s="1399"/>
    </row>
    <row r="271" spans="2:23" s="1280" customFormat="1" x14ac:dyDescent="0.6">
      <c r="B271" s="1461"/>
      <c r="D271" s="1459"/>
      <c r="E271" s="1459"/>
      <c r="F271" s="1459"/>
      <c r="G271" s="1459"/>
      <c r="H271" s="1459"/>
      <c r="I271" s="1459"/>
      <c r="J271" s="1459"/>
      <c r="K271" s="1459"/>
      <c r="L271" s="1459"/>
      <c r="N271" s="1399"/>
      <c r="P271" s="1399"/>
      <c r="Q271" s="1399"/>
      <c r="R271" s="1399"/>
      <c r="S271" s="1399"/>
      <c r="T271" s="1399"/>
      <c r="U271" s="1399"/>
      <c r="V271" s="1399"/>
      <c r="W271" s="1399"/>
    </row>
    <row r="272" spans="2:23" s="1280" customFormat="1" x14ac:dyDescent="0.6">
      <c r="B272" s="1461"/>
      <c r="D272" s="1459"/>
      <c r="E272" s="1459"/>
      <c r="F272" s="1459"/>
      <c r="G272" s="1459"/>
      <c r="H272" s="1459"/>
      <c r="I272" s="1459"/>
      <c r="J272" s="1459"/>
      <c r="K272" s="1459"/>
      <c r="L272" s="1459"/>
      <c r="N272" s="1399"/>
      <c r="P272" s="1399"/>
      <c r="Q272" s="1399"/>
      <c r="R272" s="1399"/>
      <c r="S272" s="1399"/>
      <c r="T272" s="1399"/>
      <c r="U272" s="1399"/>
      <c r="V272" s="1399"/>
      <c r="W272" s="1399"/>
    </row>
    <row r="273" spans="2:23" s="1280" customFormat="1" x14ac:dyDescent="0.6">
      <c r="B273" s="1461"/>
      <c r="D273" s="1459"/>
      <c r="E273" s="1459"/>
      <c r="F273" s="1459"/>
      <c r="G273" s="1459"/>
      <c r="H273" s="1459"/>
      <c r="I273" s="1459"/>
      <c r="J273" s="1459"/>
      <c r="K273" s="1459"/>
      <c r="L273" s="1459"/>
      <c r="N273" s="1399"/>
      <c r="P273" s="1399"/>
      <c r="Q273" s="1399"/>
      <c r="R273" s="1399"/>
      <c r="S273" s="1399"/>
      <c r="T273" s="1399"/>
      <c r="U273" s="1399"/>
      <c r="V273" s="1399"/>
      <c r="W273" s="1399"/>
    </row>
    <row r="274" spans="2:23" s="1280" customFormat="1" x14ac:dyDescent="0.6">
      <c r="B274" s="1461"/>
      <c r="D274" s="1459"/>
      <c r="E274" s="1459"/>
      <c r="F274" s="1459"/>
      <c r="G274" s="1459"/>
      <c r="H274" s="1459"/>
      <c r="I274" s="1459"/>
      <c r="J274" s="1459"/>
      <c r="K274" s="1459"/>
      <c r="L274" s="1459"/>
      <c r="N274" s="1399"/>
      <c r="P274" s="1399"/>
      <c r="Q274" s="1399"/>
      <c r="R274" s="1399"/>
      <c r="S274" s="1399"/>
      <c r="T274" s="1399"/>
      <c r="U274" s="1399"/>
      <c r="V274" s="1399"/>
      <c r="W274" s="1399"/>
    </row>
    <row r="275" spans="2:23" s="1280" customFormat="1" x14ac:dyDescent="0.6">
      <c r="B275" s="1461"/>
      <c r="D275" s="1459"/>
      <c r="E275" s="1459"/>
      <c r="F275" s="1459"/>
      <c r="G275" s="1459"/>
      <c r="H275" s="1459"/>
      <c r="I275" s="1459"/>
      <c r="J275" s="1459"/>
      <c r="K275" s="1459"/>
      <c r="L275" s="1459"/>
      <c r="N275" s="1399"/>
      <c r="P275" s="1399"/>
      <c r="Q275" s="1399"/>
      <c r="R275" s="1399"/>
      <c r="S275" s="1399"/>
      <c r="T275" s="1399"/>
      <c r="U275" s="1399"/>
      <c r="V275" s="1399"/>
      <c r="W275" s="1399"/>
    </row>
    <row r="276" spans="2:23" s="1280" customFormat="1" x14ac:dyDescent="0.6">
      <c r="B276" s="1461"/>
      <c r="D276" s="1459"/>
      <c r="E276" s="1459"/>
      <c r="F276" s="1459"/>
      <c r="G276" s="1459"/>
      <c r="H276" s="1459"/>
      <c r="I276" s="1459"/>
      <c r="J276" s="1459"/>
      <c r="K276" s="1459"/>
      <c r="L276" s="1459"/>
      <c r="N276" s="1399"/>
      <c r="P276" s="1399"/>
      <c r="Q276" s="1399"/>
      <c r="R276" s="1399"/>
      <c r="S276" s="1399"/>
      <c r="T276" s="1399"/>
      <c r="U276" s="1399"/>
      <c r="V276" s="1399"/>
      <c r="W276" s="1399"/>
    </row>
    <row r="277" spans="2:23" s="1280" customFormat="1" x14ac:dyDescent="0.6">
      <c r="B277" s="1461"/>
      <c r="D277" s="1459"/>
      <c r="E277" s="1459"/>
      <c r="F277" s="1459"/>
      <c r="G277" s="1459"/>
      <c r="H277" s="1459"/>
      <c r="I277" s="1459"/>
      <c r="J277" s="1459"/>
      <c r="K277" s="1459"/>
      <c r="L277" s="1459"/>
      <c r="N277" s="1399"/>
      <c r="P277" s="1399"/>
      <c r="Q277" s="1399"/>
      <c r="R277" s="1399"/>
      <c r="S277" s="1399"/>
      <c r="T277" s="1399"/>
      <c r="U277" s="1399"/>
      <c r="V277" s="1399"/>
      <c r="W277" s="1399"/>
    </row>
    <row r="278" spans="2:23" s="1280" customFormat="1" x14ac:dyDescent="0.6">
      <c r="B278" s="1461"/>
      <c r="D278" s="1459"/>
      <c r="E278" s="1459"/>
      <c r="F278" s="1459"/>
      <c r="G278" s="1459"/>
      <c r="H278" s="1459"/>
      <c r="I278" s="1459"/>
      <c r="J278" s="1459"/>
      <c r="K278" s="1459"/>
      <c r="L278" s="1459"/>
      <c r="N278" s="1399"/>
      <c r="P278" s="1399"/>
      <c r="Q278" s="1399"/>
      <c r="R278" s="1399"/>
      <c r="S278" s="1399"/>
      <c r="T278" s="1399"/>
      <c r="U278" s="1399"/>
      <c r="V278" s="1399"/>
      <c r="W278" s="1399"/>
    </row>
    <row r="279" spans="2:23" s="1280" customFormat="1" x14ac:dyDescent="0.6">
      <c r="B279" s="1461"/>
      <c r="D279" s="1459"/>
      <c r="E279" s="1459"/>
      <c r="F279" s="1459"/>
      <c r="G279" s="1459"/>
      <c r="H279" s="1459"/>
      <c r="I279" s="1459"/>
      <c r="J279" s="1459"/>
      <c r="K279" s="1459"/>
      <c r="L279" s="1459"/>
      <c r="N279" s="1399"/>
      <c r="P279" s="1399"/>
      <c r="Q279" s="1399"/>
      <c r="R279" s="1399"/>
      <c r="S279" s="1399"/>
      <c r="T279" s="1399"/>
      <c r="U279" s="1399"/>
      <c r="V279" s="1399"/>
      <c r="W279" s="1399"/>
    </row>
    <row r="280" spans="2:23" s="1280" customFormat="1" x14ac:dyDescent="0.6">
      <c r="B280" s="1461"/>
      <c r="D280" s="1459"/>
      <c r="E280" s="1459"/>
      <c r="F280" s="1459"/>
      <c r="G280" s="1459"/>
      <c r="H280" s="1459"/>
      <c r="I280" s="1459"/>
      <c r="J280" s="1459"/>
      <c r="K280" s="1459"/>
      <c r="L280" s="1459"/>
      <c r="N280" s="1399"/>
      <c r="P280" s="1399"/>
      <c r="Q280" s="1399"/>
      <c r="R280" s="1399"/>
      <c r="S280" s="1399"/>
      <c r="T280" s="1399"/>
      <c r="U280" s="1399"/>
      <c r="V280" s="1399"/>
      <c r="W280" s="1399"/>
    </row>
    <row r="281" spans="2:23" s="1280" customFormat="1" x14ac:dyDescent="0.6">
      <c r="B281" s="1461"/>
      <c r="D281" s="1459"/>
      <c r="E281" s="1459"/>
      <c r="F281" s="1459"/>
      <c r="G281" s="1459"/>
      <c r="H281" s="1459"/>
      <c r="I281" s="1459"/>
      <c r="J281" s="1459"/>
      <c r="K281" s="1459"/>
      <c r="L281" s="1459"/>
      <c r="N281" s="1399"/>
      <c r="P281" s="1399"/>
      <c r="Q281" s="1399"/>
      <c r="R281" s="1399"/>
      <c r="S281" s="1399"/>
      <c r="T281" s="1399"/>
      <c r="U281" s="1399"/>
      <c r="V281" s="1399"/>
      <c r="W281" s="1399"/>
    </row>
    <row r="282" spans="2:23" s="1280" customFormat="1" x14ac:dyDescent="0.6">
      <c r="B282" s="1461"/>
      <c r="D282" s="1459"/>
      <c r="E282" s="1459"/>
      <c r="F282" s="1459"/>
      <c r="G282" s="1459"/>
      <c r="H282" s="1459"/>
      <c r="I282" s="1459"/>
      <c r="J282" s="1459"/>
      <c r="K282" s="1459"/>
      <c r="L282" s="1459"/>
      <c r="N282" s="1399"/>
      <c r="P282" s="1399"/>
      <c r="Q282" s="1399"/>
      <c r="R282" s="1399"/>
      <c r="S282" s="1399"/>
      <c r="T282" s="1399"/>
      <c r="U282" s="1399"/>
      <c r="V282" s="1399"/>
      <c r="W282" s="1399"/>
    </row>
    <row r="283" spans="2:23" s="1280" customFormat="1" x14ac:dyDescent="0.6">
      <c r="B283" s="1461"/>
      <c r="D283" s="1459"/>
      <c r="E283" s="1459"/>
      <c r="F283" s="1459"/>
      <c r="G283" s="1459"/>
      <c r="H283" s="1459"/>
      <c r="I283" s="1459"/>
      <c r="J283" s="1459"/>
      <c r="K283" s="1459"/>
      <c r="L283" s="1459"/>
      <c r="N283" s="1399"/>
      <c r="P283" s="1399"/>
      <c r="Q283" s="1399"/>
      <c r="R283" s="1399"/>
      <c r="S283" s="1399"/>
      <c r="T283" s="1399"/>
      <c r="U283" s="1399"/>
      <c r="V283" s="1399"/>
      <c r="W283" s="1399"/>
    </row>
    <row r="284" spans="2:23" s="1280" customFormat="1" x14ac:dyDescent="0.6">
      <c r="B284" s="1461"/>
      <c r="D284" s="1459"/>
      <c r="E284" s="1459"/>
      <c r="F284" s="1459"/>
      <c r="G284" s="1459"/>
      <c r="H284" s="1459"/>
      <c r="I284" s="1459"/>
      <c r="J284" s="1459"/>
      <c r="K284" s="1459"/>
      <c r="L284" s="1459"/>
      <c r="N284" s="1399"/>
      <c r="P284" s="1399"/>
      <c r="Q284" s="1399"/>
      <c r="R284" s="1399"/>
      <c r="S284" s="1399"/>
      <c r="T284" s="1399"/>
      <c r="U284" s="1399"/>
      <c r="V284" s="1399"/>
      <c r="W284" s="1399"/>
    </row>
    <row r="285" spans="2:23" s="1280" customFormat="1" x14ac:dyDescent="0.6">
      <c r="B285" s="1461"/>
      <c r="D285" s="1459"/>
      <c r="E285" s="1459"/>
      <c r="F285" s="1459"/>
      <c r="G285" s="1459"/>
      <c r="H285" s="1459"/>
      <c r="I285" s="1459"/>
      <c r="J285" s="1459"/>
      <c r="K285" s="1459"/>
      <c r="L285" s="1459"/>
      <c r="N285" s="1399"/>
      <c r="P285" s="1399"/>
      <c r="Q285" s="1399"/>
      <c r="R285" s="1399"/>
      <c r="S285" s="1399"/>
      <c r="T285" s="1399"/>
      <c r="U285" s="1399"/>
      <c r="V285" s="1399"/>
      <c r="W285" s="1399"/>
    </row>
    <row r="286" spans="2:23" s="1280" customFormat="1" x14ac:dyDescent="0.6">
      <c r="B286" s="1461"/>
      <c r="D286" s="1459"/>
      <c r="E286" s="1459"/>
      <c r="F286" s="1459"/>
      <c r="G286" s="1459"/>
      <c r="H286" s="1459"/>
      <c r="I286" s="1459"/>
      <c r="J286" s="1459"/>
      <c r="K286" s="1459"/>
      <c r="L286" s="1459"/>
      <c r="N286" s="1399"/>
      <c r="P286" s="1399"/>
      <c r="Q286" s="1399"/>
      <c r="R286" s="1399"/>
      <c r="S286" s="1399"/>
      <c r="T286" s="1399"/>
      <c r="U286" s="1399"/>
      <c r="V286" s="1399"/>
      <c r="W286" s="1399"/>
    </row>
    <row r="287" spans="2:23" s="1280" customFormat="1" x14ac:dyDescent="0.6">
      <c r="B287" s="1461"/>
      <c r="D287" s="1459"/>
      <c r="E287" s="1459"/>
      <c r="F287" s="1459"/>
      <c r="G287" s="1459"/>
      <c r="H287" s="1459"/>
      <c r="I287" s="1459"/>
      <c r="J287" s="1459"/>
      <c r="K287" s="1459"/>
      <c r="L287" s="1459"/>
      <c r="N287" s="1399"/>
      <c r="P287" s="1399"/>
      <c r="Q287" s="1399"/>
      <c r="R287" s="1399"/>
      <c r="S287" s="1399"/>
      <c r="T287" s="1399"/>
      <c r="U287" s="1399"/>
      <c r="V287" s="1399"/>
      <c r="W287" s="1399"/>
    </row>
    <row r="288" spans="2:23" s="1280" customFormat="1" x14ac:dyDescent="0.6">
      <c r="B288" s="1461"/>
      <c r="D288" s="1459"/>
      <c r="E288" s="1459"/>
      <c r="F288" s="1459"/>
      <c r="G288" s="1459"/>
      <c r="H288" s="1459"/>
      <c r="I288" s="1459"/>
      <c r="J288" s="1459"/>
      <c r="K288" s="1459"/>
      <c r="L288" s="1459"/>
      <c r="N288" s="1399"/>
      <c r="P288" s="1399"/>
      <c r="Q288" s="1399"/>
      <c r="R288" s="1399"/>
      <c r="S288" s="1399"/>
      <c r="T288" s="1399"/>
      <c r="U288" s="1399"/>
      <c r="V288" s="1399"/>
      <c r="W288" s="1399"/>
    </row>
    <row r="289" spans="2:23" s="1280" customFormat="1" x14ac:dyDescent="0.6">
      <c r="B289" s="1461"/>
      <c r="D289" s="1459"/>
      <c r="E289" s="1459"/>
      <c r="F289" s="1459"/>
      <c r="G289" s="1459"/>
      <c r="H289" s="1459"/>
      <c r="I289" s="1459"/>
      <c r="J289" s="1459"/>
      <c r="K289" s="1459"/>
      <c r="L289" s="1459"/>
      <c r="N289" s="1399"/>
      <c r="P289" s="1399"/>
      <c r="Q289" s="1399"/>
      <c r="R289" s="1399"/>
      <c r="S289" s="1399"/>
      <c r="T289" s="1399"/>
      <c r="U289" s="1399"/>
      <c r="V289" s="1399"/>
      <c r="W289" s="1399"/>
    </row>
    <row r="290" spans="2:23" s="1280" customFormat="1" x14ac:dyDescent="0.6">
      <c r="B290" s="1461"/>
      <c r="D290" s="1459"/>
      <c r="E290" s="1459"/>
      <c r="F290" s="1459"/>
      <c r="G290" s="1459"/>
      <c r="H290" s="1459"/>
      <c r="I290" s="1459"/>
      <c r="J290" s="1459"/>
      <c r="K290" s="1459"/>
      <c r="L290" s="1459"/>
      <c r="N290" s="1399"/>
      <c r="P290" s="1399"/>
      <c r="Q290" s="1399"/>
      <c r="R290" s="1399"/>
      <c r="S290" s="1399"/>
      <c r="T290" s="1399"/>
      <c r="U290" s="1399"/>
      <c r="V290" s="1399"/>
      <c r="W290" s="1399"/>
    </row>
    <row r="291" spans="2:23" s="1280" customFormat="1" x14ac:dyDescent="0.6">
      <c r="B291" s="1461"/>
      <c r="D291" s="1459"/>
      <c r="E291" s="1459"/>
      <c r="F291" s="1459"/>
      <c r="G291" s="1459"/>
      <c r="H291" s="1459"/>
      <c r="I291" s="1459"/>
      <c r="J291" s="1459"/>
      <c r="K291" s="1459"/>
      <c r="L291" s="1459"/>
      <c r="N291" s="1399"/>
      <c r="P291" s="1399"/>
      <c r="Q291" s="1399"/>
      <c r="R291" s="1399"/>
      <c r="S291" s="1399"/>
      <c r="T291" s="1399"/>
      <c r="U291" s="1399"/>
      <c r="V291" s="1399"/>
      <c r="W291" s="1399"/>
    </row>
    <row r="292" spans="2:23" s="1280" customFormat="1" x14ac:dyDescent="0.6">
      <c r="B292" s="1461"/>
      <c r="D292" s="1459"/>
      <c r="E292" s="1459"/>
      <c r="F292" s="1459"/>
      <c r="G292" s="1459"/>
      <c r="H292" s="1459"/>
      <c r="I292" s="1459"/>
      <c r="J292" s="1459"/>
      <c r="K292" s="1459"/>
      <c r="L292" s="1459"/>
      <c r="N292" s="1399"/>
      <c r="P292" s="1399"/>
      <c r="Q292" s="1399"/>
      <c r="R292" s="1399"/>
      <c r="S292" s="1399"/>
      <c r="T292" s="1399"/>
      <c r="U292" s="1399"/>
      <c r="V292" s="1399"/>
      <c r="W292" s="1399"/>
    </row>
    <row r="293" spans="2:23" s="1280" customFormat="1" x14ac:dyDescent="0.6">
      <c r="B293" s="1461"/>
      <c r="D293" s="1459"/>
      <c r="E293" s="1459"/>
      <c r="F293" s="1459"/>
      <c r="G293" s="1459"/>
      <c r="H293" s="1459"/>
      <c r="I293" s="1459"/>
      <c r="J293" s="1459"/>
      <c r="K293" s="1459"/>
      <c r="L293" s="1459"/>
      <c r="N293" s="1399"/>
      <c r="P293" s="1399"/>
      <c r="Q293" s="1399"/>
      <c r="R293" s="1399"/>
      <c r="S293" s="1399"/>
      <c r="T293" s="1399"/>
      <c r="U293" s="1399"/>
      <c r="V293" s="1399"/>
      <c r="W293" s="1399"/>
    </row>
    <row r="294" spans="2:23" s="1280" customFormat="1" x14ac:dyDescent="0.6">
      <c r="B294" s="1461"/>
      <c r="D294" s="1459"/>
      <c r="E294" s="1459"/>
      <c r="F294" s="1459"/>
      <c r="G294" s="1459"/>
      <c r="H294" s="1459"/>
      <c r="I294" s="1459"/>
      <c r="J294" s="1459"/>
      <c r="K294" s="1459"/>
      <c r="L294" s="1459"/>
      <c r="N294" s="1399"/>
      <c r="P294" s="1399"/>
      <c r="Q294" s="1399"/>
      <c r="R294" s="1399"/>
      <c r="S294" s="1399"/>
      <c r="T294" s="1399"/>
      <c r="U294" s="1399"/>
      <c r="V294" s="1399"/>
      <c r="W294" s="1399"/>
    </row>
    <row r="295" spans="2:23" s="1280" customFormat="1" x14ac:dyDescent="0.6">
      <c r="B295" s="1461"/>
      <c r="D295" s="1459"/>
      <c r="E295" s="1459"/>
      <c r="F295" s="1459"/>
      <c r="G295" s="1459"/>
      <c r="H295" s="1459"/>
      <c r="I295" s="1459"/>
      <c r="J295" s="1459"/>
      <c r="K295" s="1459"/>
      <c r="L295" s="1459"/>
      <c r="N295" s="1399"/>
      <c r="P295" s="1399"/>
      <c r="Q295" s="1399"/>
      <c r="R295" s="1399"/>
      <c r="S295" s="1399"/>
      <c r="T295" s="1399"/>
      <c r="U295" s="1399"/>
      <c r="V295" s="1399"/>
      <c r="W295" s="1399"/>
    </row>
    <row r="296" spans="2:23" s="1280" customFormat="1" x14ac:dyDescent="0.6">
      <c r="B296" s="1461"/>
      <c r="D296" s="1459"/>
      <c r="E296" s="1459"/>
      <c r="F296" s="1459"/>
      <c r="G296" s="1459"/>
      <c r="H296" s="1459"/>
      <c r="I296" s="1459"/>
      <c r="J296" s="1459"/>
      <c r="K296" s="1459"/>
      <c r="L296" s="1459"/>
      <c r="N296" s="1399"/>
      <c r="P296" s="1399"/>
      <c r="Q296" s="1399"/>
      <c r="R296" s="1399"/>
      <c r="S296" s="1399"/>
      <c r="T296" s="1399"/>
      <c r="U296" s="1399"/>
      <c r="V296" s="1399"/>
      <c r="W296" s="1399"/>
    </row>
    <row r="297" spans="2:23" s="1280" customFormat="1" x14ac:dyDescent="0.6">
      <c r="B297" s="1461"/>
      <c r="D297" s="1459"/>
      <c r="E297" s="1459"/>
      <c r="F297" s="1459"/>
      <c r="G297" s="1459"/>
      <c r="H297" s="1459"/>
      <c r="I297" s="1459"/>
      <c r="J297" s="1459"/>
      <c r="K297" s="1459"/>
      <c r="L297" s="1459"/>
      <c r="N297" s="1399"/>
      <c r="P297" s="1399"/>
      <c r="Q297" s="1399"/>
      <c r="R297" s="1399"/>
      <c r="S297" s="1399"/>
      <c r="T297" s="1399"/>
      <c r="U297" s="1399"/>
      <c r="V297" s="1399"/>
      <c r="W297" s="1399"/>
    </row>
    <row r="298" spans="2:23" s="1280" customFormat="1" x14ac:dyDescent="0.6">
      <c r="B298" s="1461"/>
      <c r="D298" s="1459"/>
      <c r="E298" s="1459"/>
      <c r="F298" s="1459"/>
      <c r="G298" s="1459"/>
      <c r="H298" s="1459"/>
      <c r="I298" s="1459"/>
      <c r="J298" s="1459"/>
      <c r="K298" s="1459"/>
      <c r="L298" s="1459"/>
      <c r="N298" s="1399"/>
      <c r="P298" s="1399"/>
      <c r="Q298" s="1399"/>
      <c r="R298" s="1399"/>
      <c r="S298" s="1399"/>
      <c r="T298" s="1399"/>
      <c r="U298" s="1399"/>
      <c r="V298" s="1399"/>
      <c r="W298" s="1399"/>
    </row>
    <row r="299" spans="2:23" s="1280" customFormat="1" x14ac:dyDescent="0.6">
      <c r="B299" s="1461"/>
      <c r="D299" s="1459"/>
      <c r="E299" s="1459"/>
      <c r="F299" s="1459"/>
      <c r="G299" s="1459"/>
      <c r="H299" s="1459"/>
      <c r="I299" s="1459"/>
      <c r="J299" s="1459"/>
      <c r="K299" s="1459"/>
      <c r="L299" s="1459"/>
      <c r="N299" s="1399"/>
      <c r="P299" s="1399"/>
      <c r="Q299" s="1399"/>
      <c r="R299" s="1399"/>
      <c r="S299" s="1399"/>
      <c r="T299" s="1399"/>
      <c r="U299" s="1399"/>
      <c r="V299" s="1399"/>
      <c r="W299" s="1399"/>
    </row>
    <row r="300" spans="2:23" s="1280" customFormat="1" x14ac:dyDescent="0.6">
      <c r="B300" s="1461"/>
      <c r="D300" s="1459"/>
      <c r="E300" s="1459"/>
      <c r="F300" s="1459"/>
      <c r="G300" s="1459"/>
      <c r="H300" s="1459"/>
      <c r="I300" s="1459"/>
      <c r="J300" s="1459"/>
      <c r="K300" s="1459"/>
      <c r="L300" s="1459"/>
      <c r="N300" s="1399"/>
      <c r="P300" s="1399"/>
      <c r="Q300" s="1399"/>
      <c r="R300" s="1399"/>
      <c r="S300" s="1399"/>
      <c r="T300" s="1399"/>
      <c r="U300" s="1399"/>
      <c r="V300" s="1399"/>
      <c r="W300" s="1399"/>
    </row>
    <row r="301" spans="2:23" s="1280" customFormat="1" x14ac:dyDescent="0.6">
      <c r="B301" s="1461"/>
      <c r="D301" s="1459"/>
      <c r="E301" s="1459"/>
      <c r="F301" s="1459"/>
      <c r="G301" s="1459"/>
      <c r="H301" s="1459"/>
      <c r="I301" s="1459"/>
      <c r="J301" s="1459"/>
      <c r="K301" s="1459"/>
      <c r="L301" s="1459"/>
      <c r="N301" s="1399"/>
      <c r="P301" s="1399"/>
      <c r="Q301" s="1399"/>
      <c r="R301" s="1399"/>
      <c r="S301" s="1399"/>
      <c r="T301" s="1399"/>
      <c r="U301" s="1399"/>
      <c r="V301" s="1399"/>
      <c r="W301" s="1399"/>
    </row>
    <row r="302" spans="2:23" s="1280" customFormat="1" x14ac:dyDescent="0.6">
      <c r="B302" s="1461"/>
      <c r="D302" s="1459"/>
      <c r="E302" s="1459"/>
      <c r="F302" s="1459"/>
      <c r="G302" s="1459"/>
      <c r="H302" s="1459"/>
      <c r="I302" s="1459"/>
      <c r="J302" s="1459"/>
      <c r="K302" s="1459"/>
      <c r="L302" s="1459"/>
      <c r="N302" s="1399"/>
      <c r="P302" s="1399"/>
      <c r="Q302" s="1399"/>
      <c r="R302" s="1399"/>
      <c r="S302" s="1399"/>
      <c r="T302" s="1399"/>
      <c r="U302" s="1399"/>
      <c r="V302" s="1399"/>
      <c r="W302" s="1399"/>
    </row>
    <row r="303" spans="2:23" s="1280" customFormat="1" x14ac:dyDescent="0.6">
      <c r="B303" s="1461"/>
      <c r="D303" s="1459"/>
      <c r="E303" s="1459"/>
      <c r="F303" s="1459"/>
      <c r="G303" s="1459"/>
      <c r="H303" s="1459"/>
      <c r="I303" s="1459"/>
      <c r="J303" s="1459"/>
      <c r="K303" s="1459"/>
      <c r="L303" s="1459"/>
      <c r="N303" s="1399"/>
      <c r="P303" s="1399"/>
      <c r="Q303" s="1399"/>
      <c r="R303" s="1399"/>
      <c r="S303" s="1399"/>
      <c r="T303" s="1399"/>
      <c r="U303" s="1399"/>
      <c r="V303" s="1399"/>
      <c r="W303" s="1399"/>
    </row>
    <row r="304" spans="2:23" s="1280" customFormat="1" x14ac:dyDescent="0.6">
      <c r="B304" s="1461"/>
      <c r="D304" s="1459"/>
      <c r="E304" s="1459"/>
      <c r="F304" s="1459"/>
      <c r="G304" s="1459"/>
      <c r="H304" s="1459"/>
      <c r="I304" s="1459"/>
      <c r="J304" s="1459"/>
      <c r="K304" s="1459"/>
      <c r="L304" s="1459"/>
      <c r="N304" s="1399"/>
      <c r="P304" s="1399"/>
      <c r="Q304" s="1399"/>
      <c r="R304" s="1399"/>
      <c r="S304" s="1399"/>
      <c r="T304" s="1399"/>
      <c r="U304" s="1399"/>
      <c r="V304" s="1399"/>
      <c r="W304" s="1399"/>
    </row>
    <row r="305" spans="2:23" s="1280" customFormat="1" x14ac:dyDescent="0.6">
      <c r="B305" s="1461"/>
      <c r="D305" s="1459"/>
      <c r="E305" s="1459"/>
      <c r="F305" s="1459"/>
      <c r="G305" s="1459"/>
      <c r="H305" s="1459"/>
      <c r="I305" s="1459"/>
      <c r="J305" s="1459"/>
      <c r="K305" s="1459"/>
      <c r="L305" s="1459"/>
      <c r="N305" s="1399"/>
      <c r="P305" s="1399"/>
      <c r="Q305" s="1399"/>
      <c r="R305" s="1399"/>
      <c r="S305" s="1399"/>
      <c r="T305" s="1399"/>
      <c r="U305" s="1399"/>
      <c r="V305" s="1399"/>
      <c r="W305" s="1399"/>
    </row>
    <row r="306" spans="2:23" s="1280" customFormat="1" x14ac:dyDescent="0.6">
      <c r="B306" s="1461"/>
      <c r="D306" s="1459"/>
      <c r="E306" s="1459"/>
      <c r="F306" s="1459"/>
      <c r="G306" s="1459"/>
      <c r="H306" s="1459"/>
      <c r="I306" s="1459"/>
      <c r="J306" s="1459"/>
      <c r="K306" s="1459"/>
      <c r="L306" s="1459"/>
      <c r="N306" s="1399"/>
      <c r="P306" s="1399"/>
      <c r="Q306" s="1399"/>
      <c r="R306" s="1399"/>
      <c r="S306" s="1399"/>
      <c r="T306" s="1399"/>
      <c r="U306" s="1399"/>
      <c r="V306" s="1399"/>
      <c r="W306" s="1399"/>
    </row>
    <row r="307" spans="2:23" s="1280" customFormat="1" x14ac:dyDescent="0.6">
      <c r="B307" s="1461"/>
      <c r="D307" s="1459"/>
      <c r="E307" s="1459"/>
      <c r="F307" s="1459"/>
      <c r="G307" s="1459"/>
      <c r="H307" s="1459"/>
      <c r="I307" s="1459"/>
      <c r="J307" s="1459"/>
      <c r="K307" s="1459"/>
      <c r="L307" s="1459"/>
      <c r="N307" s="1399"/>
      <c r="P307" s="1399"/>
      <c r="Q307" s="1399"/>
      <c r="R307" s="1399"/>
      <c r="S307" s="1399"/>
      <c r="T307" s="1399"/>
      <c r="U307" s="1399"/>
      <c r="V307" s="1399"/>
      <c r="W307" s="1399"/>
    </row>
    <row r="308" spans="2:23" s="1280" customFormat="1" x14ac:dyDescent="0.6">
      <c r="B308" s="1461"/>
      <c r="D308" s="1459"/>
      <c r="E308" s="1459"/>
      <c r="F308" s="1459"/>
      <c r="G308" s="1459"/>
      <c r="H308" s="1459"/>
      <c r="I308" s="1459"/>
      <c r="J308" s="1459"/>
      <c r="K308" s="1459"/>
      <c r="L308" s="1459"/>
      <c r="N308" s="1399"/>
      <c r="P308" s="1399"/>
      <c r="Q308" s="1399"/>
      <c r="R308" s="1399"/>
      <c r="S308" s="1399"/>
      <c r="T308" s="1399"/>
      <c r="U308" s="1399"/>
      <c r="V308" s="1399"/>
      <c r="W308" s="1399"/>
    </row>
    <row r="309" spans="2:23" s="1280" customFormat="1" x14ac:dyDescent="0.6">
      <c r="B309" s="1461"/>
      <c r="D309" s="1459"/>
      <c r="E309" s="1459"/>
      <c r="F309" s="1459"/>
      <c r="G309" s="1459"/>
      <c r="H309" s="1459"/>
      <c r="I309" s="1459"/>
      <c r="J309" s="1459"/>
      <c r="K309" s="1459"/>
      <c r="L309" s="1459"/>
      <c r="N309" s="1399"/>
      <c r="P309" s="1399"/>
      <c r="Q309" s="1399"/>
      <c r="R309" s="1399"/>
      <c r="S309" s="1399"/>
      <c r="T309" s="1399"/>
      <c r="U309" s="1399"/>
      <c r="V309" s="1399"/>
      <c r="W309" s="1399"/>
    </row>
    <row r="310" spans="2:23" s="1280" customFormat="1" x14ac:dyDescent="0.6">
      <c r="B310" s="1461"/>
      <c r="D310" s="1459"/>
      <c r="E310" s="1459"/>
      <c r="F310" s="1459"/>
      <c r="G310" s="1459"/>
      <c r="H310" s="1459"/>
      <c r="I310" s="1459"/>
      <c r="J310" s="1459"/>
      <c r="K310" s="1459"/>
      <c r="L310" s="1459"/>
      <c r="N310" s="1399"/>
      <c r="P310" s="1399"/>
      <c r="Q310" s="1399"/>
      <c r="R310" s="1399"/>
      <c r="S310" s="1399"/>
      <c r="T310" s="1399"/>
      <c r="U310" s="1399"/>
      <c r="V310" s="1399"/>
      <c r="W310" s="1399"/>
    </row>
    <row r="311" spans="2:23" s="1280" customFormat="1" x14ac:dyDescent="0.6">
      <c r="B311" s="1461"/>
      <c r="D311" s="1459"/>
      <c r="E311" s="1459"/>
      <c r="F311" s="1459"/>
      <c r="G311" s="1459"/>
      <c r="H311" s="1459"/>
      <c r="I311" s="1459"/>
      <c r="J311" s="1459"/>
      <c r="K311" s="1459"/>
      <c r="L311" s="1459"/>
      <c r="N311" s="1399"/>
      <c r="P311" s="1399"/>
      <c r="Q311" s="1399"/>
      <c r="R311" s="1399"/>
      <c r="S311" s="1399"/>
      <c r="T311" s="1399"/>
      <c r="U311" s="1399"/>
      <c r="V311" s="1399"/>
      <c r="W311" s="1399"/>
    </row>
    <row r="312" spans="2:23" s="1280" customFormat="1" x14ac:dyDescent="0.6">
      <c r="B312" s="1461"/>
      <c r="D312" s="1459"/>
      <c r="E312" s="1459"/>
      <c r="F312" s="1459"/>
      <c r="G312" s="1459"/>
      <c r="H312" s="1459"/>
      <c r="I312" s="1459"/>
      <c r="J312" s="1459"/>
      <c r="K312" s="1459"/>
      <c r="L312" s="1459"/>
      <c r="N312" s="1399"/>
      <c r="P312" s="1399"/>
      <c r="Q312" s="1399"/>
      <c r="R312" s="1399"/>
      <c r="S312" s="1399"/>
      <c r="T312" s="1399"/>
      <c r="U312" s="1399"/>
      <c r="V312" s="1399"/>
      <c r="W312" s="1399"/>
    </row>
    <row r="313" spans="2:23" s="1280" customFormat="1" x14ac:dyDescent="0.6">
      <c r="B313" s="1461"/>
      <c r="D313" s="1459"/>
      <c r="E313" s="1459"/>
      <c r="F313" s="1459"/>
      <c r="G313" s="1459"/>
      <c r="H313" s="1459"/>
      <c r="I313" s="1459"/>
      <c r="J313" s="1459"/>
      <c r="K313" s="1459"/>
      <c r="L313" s="1459"/>
      <c r="N313" s="1399"/>
      <c r="P313" s="1399"/>
      <c r="Q313" s="1399"/>
      <c r="R313" s="1399"/>
      <c r="S313" s="1399"/>
      <c r="T313" s="1399"/>
      <c r="U313" s="1399"/>
      <c r="V313" s="1399"/>
      <c r="W313" s="1399"/>
    </row>
    <row r="314" spans="2:23" s="1280" customFormat="1" x14ac:dyDescent="0.6">
      <c r="B314" s="1461"/>
      <c r="D314" s="1459"/>
      <c r="E314" s="1459"/>
      <c r="F314" s="1459"/>
      <c r="G314" s="1459"/>
      <c r="H314" s="1459"/>
      <c r="I314" s="1459"/>
      <c r="J314" s="1459"/>
      <c r="K314" s="1459"/>
      <c r="L314" s="1459"/>
      <c r="N314" s="1399"/>
      <c r="P314" s="1399"/>
      <c r="Q314" s="1399"/>
      <c r="R314" s="1399"/>
      <c r="S314" s="1399"/>
      <c r="T314" s="1399"/>
      <c r="U314" s="1399"/>
      <c r="V314" s="1399"/>
      <c r="W314" s="1399"/>
    </row>
    <row r="315" spans="2:23" s="1280" customFormat="1" x14ac:dyDescent="0.6">
      <c r="B315" s="1461"/>
      <c r="D315" s="1459"/>
      <c r="E315" s="1459"/>
      <c r="F315" s="1459"/>
      <c r="G315" s="1459"/>
      <c r="H315" s="1459"/>
      <c r="I315" s="1459"/>
      <c r="J315" s="1459"/>
      <c r="K315" s="1459"/>
      <c r="L315" s="1459"/>
      <c r="N315" s="1399"/>
      <c r="P315" s="1399"/>
      <c r="Q315" s="1399"/>
      <c r="R315" s="1399"/>
      <c r="S315" s="1399"/>
      <c r="T315" s="1399"/>
      <c r="U315" s="1399"/>
      <c r="V315" s="1399"/>
      <c r="W315" s="1399"/>
    </row>
    <row r="316" spans="2:23" s="1280" customFormat="1" x14ac:dyDescent="0.6">
      <c r="B316" s="1461"/>
      <c r="D316" s="1459"/>
      <c r="E316" s="1459"/>
      <c r="F316" s="1459"/>
      <c r="G316" s="1459"/>
      <c r="H316" s="1459"/>
      <c r="I316" s="1459"/>
      <c r="J316" s="1459"/>
      <c r="K316" s="1459"/>
      <c r="L316" s="1459"/>
      <c r="N316" s="1399"/>
      <c r="P316" s="1399"/>
      <c r="Q316" s="1399"/>
      <c r="R316" s="1399"/>
      <c r="S316" s="1399"/>
      <c r="T316" s="1399"/>
      <c r="U316" s="1399"/>
      <c r="V316" s="1399"/>
      <c r="W316" s="1399"/>
    </row>
    <row r="317" spans="2:23" s="1280" customFormat="1" x14ac:dyDescent="0.6">
      <c r="B317" s="1461"/>
      <c r="D317" s="1459"/>
      <c r="E317" s="1459"/>
      <c r="F317" s="1459"/>
      <c r="G317" s="1459"/>
      <c r="H317" s="1459"/>
      <c r="I317" s="1459"/>
      <c r="J317" s="1459"/>
      <c r="K317" s="1459"/>
      <c r="L317" s="1459"/>
      <c r="N317" s="1399"/>
      <c r="P317" s="1399"/>
      <c r="Q317" s="1399"/>
      <c r="R317" s="1399"/>
      <c r="S317" s="1399"/>
      <c r="T317" s="1399"/>
      <c r="U317" s="1399"/>
      <c r="V317" s="1399"/>
      <c r="W317" s="1399"/>
    </row>
    <row r="318" spans="2:23" s="1280" customFormat="1" x14ac:dyDescent="0.6">
      <c r="B318" s="1461"/>
      <c r="D318" s="1459"/>
      <c r="E318" s="1459"/>
      <c r="F318" s="1459"/>
      <c r="G318" s="1459"/>
      <c r="H318" s="1459"/>
      <c r="I318" s="1459"/>
      <c r="J318" s="1459"/>
      <c r="K318" s="1459"/>
      <c r="L318" s="1459"/>
      <c r="N318" s="1399"/>
      <c r="P318" s="1399"/>
      <c r="Q318" s="1399"/>
      <c r="R318" s="1399"/>
      <c r="S318" s="1399"/>
      <c r="T318" s="1399"/>
      <c r="U318" s="1399"/>
      <c r="V318" s="1399"/>
      <c r="W318" s="1399"/>
    </row>
    <row r="319" spans="2:23" s="1280" customFormat="1" x14ac:dyDescent="0.6">
      <c r="B319" s="1461"/>
      <c r="D319" s="1459"/>
      <c r="E319" s="1459"/>
      <c r="F319" s="1459"/>
      <c r="G319" s="1459"/>
      <c r="H319" s="1459"/>
      <c r="I319" s="1459"/>
      <c r="J319" s="1459"/>
      <c r="K319" s="1459"/>
      <c r="L319" s="1459"/>
      <c r="N319" s="1399"/>
      <c r="P319" s="1399"/>
      <c r="Q319" s="1399"/>
      <c r="R319" s="1399"/>
      <c r="S319" s="1399"/>
      <c r="T319" s="1399"/>
      <c r="U319" s="1399"/>
      <c r="V319" s="1399"/>
      <c r="W319" s="1399"/>
    </row>
    <row r="320" spans="2:23" s="1280" customFormat="1" x14ac:dyDescent="0.6">
      <c r="B320" s="1461"/>
      <c r="D320" s="1459"/>
      <c r="E320" s="1459"/>
      <c r="F320" s="1459"/>
      <c r="G320" s="1459"/>
      <c r="H320" s="1459"/>
      <c r="I320" s="1459"/>
      <c r="J320" s="1459"/>
      <c r="K320" s="1459"/>
      <c r="L320" s="1459"/>
      <c r="N320" s="1399"/>
      <c r="P320" s="1399"/>
      <c r="Q320" s="1399"/>
      <c r="R320" s="1399"/>
      <c r="S320" s="1399"/>
      <c r="T320" s="1399"/>
      <c r="U320" s="1399"/>
      <c r="V320" s="1399"/>
      <c r="W320" s="1399"/>
    </row>
    <row r="321" spans="2:23" s="1280" customFormat="1" x14ac:dyDescent="0.6">
      <c r="B321" s="1461"/>
      <c r="D321" s="1459"/>
      <c r="E321" s="1459"/>
      <c r="F321" s="1459"/>
      <c r="G321" s="1459"/>
      <c r="H321" s="1459"/>
      <c r="I321" s="1459"/>
      <c r="J321" s="1459"/>
      <c r="K321" s="1459"/>
      <c r="L321" s="1459"/>
      <c r="N321" s="1399"/>
      <c r="P321" s="1399"/>
      <c r="Q321" s="1399"/>
      <c r="R321" s="1399"/>
      <c r="S321" s="1399"/>
      <c r="T321" s="1399"/>
      <c r="U321" s="1399"/>
      <c r="V321" s="1399"/>
      <c r="W321" s="1399"/>
    </row>
    <row r="322" spans="2:23" s="1280" customFormat="1" x14ac:dyDescent="0.6">
      <c r="B322" s="1461"/>
      <c r="D322" s="1459"/>
      <c r="E322" s="1459"/>
      <c r="F322" s="1459"/>
      <c r="G322" s="1459"/>
      <c r="H322" s="1459"/>
      <c r="I322" s="1459"/>
      <c r="J322" s="1459"/>
      <c r="K322" s="1459"/>
      <c r="L322" s="1459"/>
      <c r="N322" s="1399"/>
      <c r="P322" s="1399"/>
      <c r="Q322" s="1399"/>
      <c r="R322" s="1399"/>
      <c r="S322" s="1399"/>
      <c r="T322" s="1399"/>
      <c r="U322" s="1399"/>
      <c r="V322" s="1399"/>
      <c r="W322" s="1399"/>
    </row>
    <row r="323" spans="2:23" s="1280" customFormat="1" x14ac:dyDescent="0.6">
      <c r="B323" s="1461"/>
      <c r="D323" s="1459"/>
      <c r="E323" s="1459"/>
      <c r="F323" s="1459"/>
      <c r="G323" s="1459"/>
      <c r="H323" s="1459"/>
      <c r="I323" s="1459"/>
      <c r="J323" s="1459"/>
      <c r="K323" s="1459"/>
      <c r="L323" s="1459"/>
      <c r="N323" s="1399"/>
      <c r="P323" s="1399"/>
      <c r="Q323" s="1399"/>
      <c r="R323" s="1399"/>
      <c r="S323" s="1399"/>
      <c r="T323" s="1399"/>
      <c r="U323" s="1399"/>
      <c r="V323" s="1399"/>
      <c r="W323" s="1399"/>
    </row>
    <row r="324" spans="2:23" s="1280" customFormat="1" x14ac:dyDescent="0.6">
      <c r="B324" s="1461"/>
      <c r="D324" s="1459"/>
      <c r="E324" s="1459"/>
      <c r="F324" s="1459"/>
      <c r="G324" s="1459"/>
      <c r="H324" s="1459"/>
      <c r="I324" s="1459"/>
      <c r="J324" s="1459"/>
      <c r="K324" s="1459"/>
      <c r="L324" s="1459"/>
      <c r="N324" s="1399"/>
      <c r="P324" s="1399"/>
      <c r="Q324" s="1399"/>
      <c r="R324" s="1399"/>
      <c r="S324" s="1399"/>
      <c r="T324" s="1399"/>
      <c r="U324" s="1399"/>
      <c r="V324" s="1399"/>
      <c r="W324" s="1399"/>
    </row>
    <row r="325" spans="2:23" s="1280" customFormat="1" x14ac:dyDescent="0.6">
      <c r="B325" s="1461"/>
      <c r="D325" s="1459"/>
      <c r="E325" s="1459"/>
      <c r="F325" s="1459"/>
      <c r="G325" s="1459"/>
      <c r="H325" s="1459"/>
      <c r="I325" s="1459"/>
      <c r="J325" s="1459"/>
      <c r="K325" s="1459"/>
      <c r="L325" s="1459"/>
      <c r="N325" s="1399"/>
      <c r="P325" s="1399"/>
      <c r="Q325" s="1399"/>
      <c r="R325" s="1399"/>
      <c r="S325" s="1399"/>
      <c r="T325" s="1399"/>
      <c r="U325" s="1399"/>
      <c r="V325" s="1399"/>
      <c r="W325" s="1399"/>
    </row>
    <row r="326" spans="2:23" s="1280" customFormat="1" x14ac:dyDescent="0.6">
      <c r="B326" s="1461"/>
      <c r="D326" s="1459"/>
      <c r="E326" s="1459"/>
      <c r="F326" s="1459"/>
      <c r="G326" s="1459"/>
      <c r="H326" s="1459"/>
      <c r="I326" s="1459"/>
      <c r="J326" s="1459"/>
      <c r="K326" s="1459"/>
      <c r="L326" s="1459"/>
      <c r="N326" s="1399"/>
      <c r="P326" s="1399"/>
      <c r="Q326" s="1399"/>
      <c r="R326" s="1399"/>
      <c r="S326" s="1399"/>
      <c r="T326" s="1399"/>
      <c r="U326" s="1399"/>
      <c r="V326" s="1399"/>
      <c r="W326" s="1399"/>
    </row>
    <row r="327" spans="2:23" s="1280" customFormat="1" x14ac:dyDescent="0.6">
      <c r="B327" s="1461"/>
      <c r="D327" s="1459"/>
      <c r="E327" s="1459"/>
      <c r="F327" s="1459"/>
      <c r="G327" s="1459"/>
      <c r="H327" s="1459"/>
      <c r="I327" s="1459"/>
      <c r="J327" s="1459"/>
      <c r="K327" s="1459"/>
      <c r="L327" s="1459"/>
      <c r="N327" s="1399"/>
      <c r="P327" s="1399"/>
      <c r="Q327" s="1399"/>
      <c r="R327" s="1399"/>
      <c r="S327" s="1399"/>
      <c r="T327" s="1399"/>
      <c r="U327" s="1399"/>
      <c r="V327" s="1399"/>
      <c r="W327" s="1399"/>
    </row>
    <row r="328" spans="2:23" s="1280" customFormat="1" x14ac:dyDescent="0.6">
      <c r="B328" s="1461"/>
      <c r="D328" s="1459"/>
      <c r="E328" s="1459"/>
      <c r="F328" s="1459"/>
      <c r="G328" s="1459"/>
      <c r="H328" s="1459"/>
      <c r="I328" s="1459"/>
      <c r="J328" s="1459"/>
      <c r="K328" s="1459"/>
      <c r="L328" s="1459"/>
      <c r="N328" s="1399"/>
      <c r="P328" s="1399"/>
      <c r="Q328" s="1399"/>
      <c r="R328" s="1399"/>
      <c r="S328" s="1399"/>
      <c r="T328" s="1399"/>
      <c r="U328" s="1399"/>
      <c r="V328" s="1399"/>
      <c r="W328" s="1399"/>
    </row>
    <row r="329" spans="2:23" s="1280" customFormat="1" x14ac:dyDescent="0.6">
      <c r="B329" s="1461"/>
      <c r="D329" s="1459"/>
      <c r="E329" s="1459"/>
      <c r="F329" s="1459"/>
      <c r="G329" s="1459"/>
      <c r="H329" s="1459"/>
      <c r="I329" s="1459"/>
      <c r="J329" s="1459"/>
      <c r="K329" s="1459"/>
      <c r="L329" s="1459"/>
      <c r="N329" s="1399"/>
      <c r="P329" s="1399"/>
      <c r="Q329" s="1399"/>
      <c r="R329" s="1399"/>
      <c r="S329" s="1399"/>
      <c r="T329" s="1399"/>
      <c r="U329" s="1399"/>
      <c r="V329" s="1399"/>
      <c r="W329" s="1399"/>
    </row>
    <row r="330" spans="2:23" s="1280" customFormat="1" x14ac:dyDescent="0.6">
      <c r="B330" s="1461"/>
      <c r="D330" s="1459"/>
      <c r="E330" s="1459"/>
      <c r="F330" s="1459"/>
      <c r="G330" s="1459"/>
      <c r="H330" s="1459"/>
      <c r="I330" s="1459"/>
      <c r="J330" s="1459"/>
      <c r="K330" s="1459"/>
      <c r="L330" s="1459"/>
      <c r="N330" s="1399"/>
      <c r="P330" s="1399"/>
      <c r="Q330" s="1399"/>
      <c r="R330" s="1399"/>
      <c r="S330" s="1399"/>
      <c r="T330" s="1399"/>
      <c r="U330" s="1399"/>
      <c r="V330" s="1399"/>
      <c r="W330" s="1399"/>
    </row>
    <row r="331" spans="2:23" s="1280" customFormat="1" x14ac:dyDescent="0.6">
      <c r="B331" s="1461"/>
      <c r="D331" s="1459"/>
      <c r="E331" s="1459"/>
      <c r="F331" s="1459"/>
      <c r="G331" s="1459"/>
      <c r="H331" s="1459"/>
      <c r="I331" s="1459"/>
      <c r="J331" s="1459"/>
      <c r="K331" s="1459"/>
      <c r="L331" s="1459"/>
      <c r="N331" s="1399"/>
      <c r="P331" s="1399"/>
      <c r="Q331" s="1399"/>
      <c r="R331" s="1399"/>
      <c r="S331" s="1399"/>
      <c r="T331" s="1399"/>
      <c r="U331" s="1399"/>
      <c r="V331" s="1399"/>
      <c r="W331" s="1399"/>
    </row>
    <row r="332" spans="2:23" s="1280" customFormat="1" x14ac:dyDescent="0.6">
      <c r="B332" s="1461"/>
      <c r="D332" s="1459"/>
      <c r="E332" s="1459"/>
      <c r="F332" s="1459"/>
      <c r="G332" s="1459"/>
      <c r="H332" s="1459"/>
      <c r="I332" s="1459"/>
      <c r="J332" s="1459"/>
      <c r="K332" s="1459"/>
      <c r="L332" s="1459"/>
      <c r="N332" s="1399"/>
      <c r="P332" s="1399"/>
      <c r="Q332" s="1399"/>
      <c r="R332" s="1399"/>
      <c r="S332" s="1399"/>
      <c r="T332" s="1399"/>
      <c r="U332" s="1399"/>
      <c r="V332" s="1399"/>
      <c r="W332" s="1399"/>
    </row>
    <row r="333" spans="2:23" s="1280" customFormat="1" x14ac:dyDescent="0.6">
      <c r="B333" s="1461"/>
      <c r="D333" s="1459"/>
      <c r="E333" s="1459"/>
      <c r="F333" s="1459"/>
      <c r="G333" s="1459"/>
      <c r="H333" s="1459"/>
      <c r="I333" s="1459"/>
      <c r="J333" s="1459"/>
      <c r="K333" s="1459"/>
      <c r="L333" s="1459"/>
      <c r="N333" s="1399"/>
      <c r="P333" s="1399"/>
      <c r="Q333" s="1399"/>
      <c r="R333" s="1399"/>
      <c r="S333" s="1399"/>
      <c r="T333" s="1399"/>
      <c r="U333" s="1399"/>
      <c r="V333" s="1399"/>
      <c r="W333" s="1399"/>
    </row>
    <row r="334" spans="2:23" s="1280" customFormat="1" x14ac:dyDescent="0.6">
      <c r="B334" s="1461"/>
      <c r="D334" s="1459"/>
      <c r="E334" s="1459"/>
      <c r="F334" s="1459"/>
      <c r="G334" s="1459"/>
      <c r="H334" s="1459"/>
      <c r="I334" s="1459"/>
      <c r="J334" s="1459"/>
      <c r="K334" s="1459"/>
      <c r="L334" s="1459"/>
      <c r="N334" s="1399"/>
      <c r="P334" s="1399"/>
      <c r="Q334" s="1399"/>
      <c r="R334" s="1399"/>
      <c r="S334" s="1399"/>
      <c r="T334" s="1399"/>
      <c r="U334" s="1399"/>
      <c r="V334" s="1399"/>
      <c r="W334" s="1399"/>
    </row>
    <row r="335" spans="2:23" s="1280" customFormat="1" x14ac:dyDescent="0.6">
      <c r="B335" s="1461"/>
      <c r="D335" s="1459"/>
      <c r="E335" s="1459"/>
      <c r="F335" s="1459"/>
      <c r="G335" s="1459"/>
      <c r="H335" s="1459"/>
      <c r="I335" s="1459"/>
      <c r="J335" s="1459"/>
      <c r="K335" s="1459"/>
      <c r="L335" s="1459"/>
      <c r="N335" s="1399"/>
      <c r="P335" s="1399"/>
      <c r="Q335" s="1399"/>
      <c r="R335" s="1399"/>
      <c r="S335" s="1399"/>
      <c r="T335" s="1399"/>
      <c r="U335" s="1399"/>
      <c r="V335" s="1399"/>
      <c r="W335" s="1399"/>
    </row>
    <row r="336" spans="2:23" s="1280" customFormat="1" x14ac:dyDescent="0.6">
      <c r="B336" s="1461"/>
      <c r="D336" s="1459"/>
      <c r="E336" s="1459"/>
      <c r="F336" s="1459"/>
      <c r="G336" s="1459"/>
      <c r="H336" s="1459"/>
      <c r="I336" s="1459"/>
      <c r="J336" s="1459"/>
      <c r="K336" s="1459"/>
      <c r="L336" s="1459"/>
      <c r="N336" s="1399"/>
      <c r="P336" s="1399"/>
      <c r="Q336" s="1399"/>
      <c r="R336" s="1399"/>
      <c r="S336" s="1399"/>
      <c r="T336" s="1399"/>
      <c r="U336" s="1399"/>
      <c r="V336" s="1399"/>
      <c r="W336" s="1399"/>
    </row>
    <row r="337" spans="2:23" s="1280" customFormat="1" x14ac:dyDescent="0.6">
      <c r="B337" s="1461"/>
      <c r="D337" s="1459"/>
      <c r="E337" s="1459"/>
      <c r="F337" s="1459"/>
      <c r="G337" s="1459"/>
      <c r="H337" s="1459"/>
      <c r="I337" s="1459"/>
      <c r="J337" s="1459"/>
      <c r="K337" s="1459"/>
      <c r="L337" s="1459"/>
      <c r="N337" s="1399"/>
      <c r="P337" s="1399"/>
      <c r="Q337" s="1399"/>
      <c r="R337" s="1399"/>
      <c r="S337" s="1399"/>
      <c r="T337" s="1399"/>
      <c r="U337" s="1399"/>
      <c r="V337" s="1399"/>
      <c r="W337" s="1399"/>
    </row>
    <row r="338" spans="2:23" s="1280" customFormat="1" x14ac:dyDescent="0.6">
      <c r="B338" s="1461"/>
      <c r="D338" s="1459"/>
      <c r="E338" s="1459"/>
      <c r="F338" s="1459"/>
      <c r="G338" s="1459"/>
      <c r="H338" s="1459"/>
      <c r="I338" s="1459"/>
      <c r="J338" s="1459"/>
      <c r="K338" s="1459"/>
      <c r="L338" s="1459"/>
      <c r="N338" s="1399"/>
      <c r="P338" s="1399"/>
      <c r="Q338" s="1399"/>
      <c r="R338" s="1399"/>
      <c r="S338" s="1399"/>
      <c r="T338" s="1399"/>
      <c r="U338" s="1399"/>
      <c r="V338" s="1399"/>
      <c r="W338" s="1399"/>
    </row>
    <row r="339" spans="2:23" s="1280" customFormat="1" x14ac:dyDescent="0.6">
      <c r="B339" s="1461"/>
      <c r="D339" s="1459"/>
      <c r="E339" s="1459"/>
      <c r="F339" s="1459"/>
      <c r="G339" s="1459"/>
      <c r="H339" s="1459"/>
      <c r="I339" s="1459"/>
      <c r="J339" s="1459"/>
      <c r="K339" s="1459"/>
      <c r="L339" s="1459"/>
      <c r="N339" s="1399"/>
      <c r="P339" s="1399"/>
      <c r="Q339" s="1399"/>
      <c r="R339" s="1399"/>
      <c r="S339" s="1399"/>
      <c r="T339" s="1399"/>
      <c r="U339" s="1399"/>
      <c r="V339" s="1399"/>
      <c r="W339" s="1399"/>
    </row>
    <row r="340" spans="2:23" s="1280" customFormat="1" x14ac:dyDescent="0.6">
      <c r="B340" s="1461"/>
      <c r="D340" s="1459"/>
      <c r="E340" s="1459"/>
      <c r="F340" s="1459"/>
      <c r="G340" s="1459"/>
      <c r="H340" s="1459"/>
      <c r="I340" s="1459"/>
      <c r="J340" s="1459"/>
      <c r="K340" s="1459"/>
      <c r="L340" s="1459"/>
      <c r="N340" s="1399"/>
      <c r="P340" s="1399"/>
      <c r="Q340" s="1399"/>
      <c r="R340" s="1399"/>
      <c r="S340" s="1399"/>
      <c r="T340" s="1399"/>
      <c r="U340" s="1399"/>
      <c r="V340" s="1399"/>
      <c r="W340" s="1399"/>
    </row>
    <row r="341" spans="2:23" s="1280" customFormat="1" x14ac:dyDescent="0.6">
      <c r="B341" s="1461"/>
      <c r="D341" s="1459"/>
      <c r="E341" s="1459"/>
      <c r="F341" s="1459"/>
      <c r="G341" s="1459"/>
      <c r="H341" s="1459"/>
      <c r="I341" s="1459"/>
      <c r="J341" s="1459"/>
      <c r="K341" s="1459"/>
      <c r="L341" s="1459"/>
      <c r="N341" s="1399"/>
      <c r="P341" s="1399"/>
      <c r="Q341" s="1399"/>
      <c r="R341" s="1399"/>
      <c r="S341" s="1399"/>
      <c r="T341" s="1399"/>
      <c r="U341" s="1399"/>
      <c r="V341" s="1399"/>
      <c r="W341" s="1399"/>
    </row>
    <row r="342" spans="2:23" s="1280" customFormat="1" x14ac:dyDescent="0.6">
      <c r="B342" s="1461"/>
      <c r="D342" s="1459"/>
      <c r="E342" s="1459"/>
      <c r="F342" s="1459"/>
      <c r="G342" s="1459"/>
      <c r="H342" s="1459"/>
      <c r="I342" s="1459"/>
      <c r="J342" s="1459"/>
      <c r="K342" s="1459"/>
      <c r="L342" s="1459"/>
      <c r="N342" s="1399"/>
      <c r="P342" s="1399"/>
      <c r="Q342" s="1399"/>
      <c r="R342" s="1399"/>
      <c r="S342" s="1399"/>
      <c r="T342" s="1399"/>
      <c r="U342" s="1399"/>
      <c r="V342" s="1399"/>
      <c r="W342" s="1399"/>
    </row>
    <row r="343" spans="2:23" s="1280" customFormat="1" x14ac:dyDescent="0.6">
      <c r="B343" s="1461"/>
      <c r="D343" s="1459"/>
      <c r="E343" s="1459"/>
      <c r="F343" s="1459"/>
      <c r="G343" s="1459"/>
      <c r="H343" s="1459"/>
      <c r="I343" s="1459"/>
      <c r="J343" s="1459"/>
      <c r="K343" s="1459"/>
      <c r="L343" s="1459"/>
      <c r="N343" s="1399"/>
      <c r="P343" s="1399"/>
      <c r="Q343" s="1399"/>
      <c r="R343" s="1399"/>
      <c r="S343" s="1399"/>
      <c r="T343" s="1399"/>
      <c r="U343" s="1399"/>
      <c r="V343" s="1399"/>
      <c r="W343" s="1399"/>
    </row>
    <row r="344" spans="2:23" s="1280" customFormat="1" x14ac:dyDescent="0.6">
      <c r="B344" s="1461"/>
      <c r="D344" s="1459"/>
      <c r="E344" s="1459"/>
      <c r="F344" s="1459"/>
      <c r="G344" s="1459"/>
      <c r="H344" s="1459"/>
      <c r="I344" s="1459"/>
      <c r="J344" s="1459"/>
      <c r="K344" s="1459"/>
      <c r="L344" s="1459"/>
      <c r="N344" s="1399"/>
      <c r="P344" s="1399"/>
      <c r="Q344" s="1399"/>
      <c r="R344" s="1399"/>
      <c r="S344" s="1399"/>
      <c r="T344" s="1399"/>
      <c r="U344" s="1399"/>
      <c r="V344" s="1399"/>
      <c r="W344" s="1399"/>
    </row>
    <row r="345" spans="2:23" s="1280" customFormat="1" x14ac:dyDescent="0.6">
      <c r="B345" s="1461"/>
      <c r="D345" s="1459"/>
      <c r="E345" s="1459"/>
      <c r="F345" s="1459"/>
      <c r="G345" s="1459"/>
      <c r="H345" s="1459"/>
      <c r="I345" s="1459"/>
      <c r="J345" s="1459"/>
      <c r="K345" s="1459"/>
      <c r="L345" s="1459"/>
      <c r="N345" s="1399"/>
      <c r="P345" s="1399"/>
      <c r="Q345" s="1399"/>
      <c r="R345" s="1399"/>
      <c r="S345" s="1399"/>
      <c r="T345" s="1399"/>
      <c r="U345" s="1399"/>
      <c r="V345" s="1399"/>
      <c r="W345" s="1399"/>
    </row>
    <row r="346" spans="2:23" s="1280" customFormat="1" x14ac:dyDescent="0.6">
      <c r="B346" s="1461"/>
      <c r="D346" s="1459"/>
      <c r="E346" s="1459"/>
      <c r="F346" s="1459"/>
      <c r="G346" s="1459"/>
      <c r="H346" s="1459"/>
      <c r="I346" s="1459"/>
      <c r="J346" s="1459"/>
      <c r="K346" s="1459"/>
      <c r="L346" s="1459"/>
      <c r="N346" s="1399"/>
      <c r="P346" s="1399"/>
      <c r="Q346" s="1399"/>
      <c r="R346" s="1399"/>
      <c r="S346" s="1399"/>
      <c r="T346" s="1399"/>
      <c r="U346" s="1399"/>
      <c r="V346" s="1399"/>
      <c r="W346" s="1399"/>
    </row>
    <row r="347" spans="2:23" s="1280" customFormat="1" x14ac:dyDescent="0.6">
      <c r="B347" s="1461"/>
      <c r="D347" s="1459"/>
      <c r="E347" s="1459"/>
      <c r="F347" s="1459"/>
      <c r="G347" s="1459"/>
      <c r="H347" s="1459"/>
      <c r="I347" s="1459"/>
      <c r="J347" s="1459"/>
      <c r="K347" s="1459"/>
      <c r="L347" s="1459"/>
      <c r="N347" s="1399"/>
      <c r="P347" s="1399"/>
      <c r="Q347" s="1399"/>
      <c r="R347" s="1399"/>
      <c r="S347" s="1399"/>
      <c r="T347" s="1399"/>
      <c r="U347" s="1399"/>
      <c r="V347" s="1399"/>
      <c r="W347" s="1399"/>
    </row>
    <row r="348" spans="2:23" s="1280" customFormat="1" x14ac:dyDescent="0.6">
      <c r="B348" s="1461"/>
      <c r="D348" s="1459"/>
      <c r="E348" s="1459"/>
      <c r="F348" s="1459"/>
      <c r="G348" s="1459"/>
      <c r="H348" s="1459"/>
      <c r="I348" s="1459"/>
      <c r="J348" s="1459"/>
      <c r="K348" s="1459"/>
      <c r="L348" s="1459"/>
      <c r="N348" s="1399"/>
      <c r="P348" s="1399"/>
      <c r="Q348" s="1399"/>
      <c r="R348" s="1399"/>
      <c r="S348" s="1399"/>
      <c r="T348" s="1399"/>
      <c r="U348" s="1399"/>
      <c r="V348" s="1399"/>
      <c r="W348" s="1399"/>
    </row>
    <row r="349" spans="2:23" s="1280" customFormat="1" x14ac:dyDescent="0.6">
      <c r="B349" s="1461"/>
      <c r="D349" s="1459"/>
      <c r="E349" s="1459"/>
      <c r="F349" s="1459"/>
      <c r="G349" s="1459"/>
      <c r="H349" s="1459"/>
      <c r="I349" s="1459"/>
      <c r="J349" s="1459"/>
      <c r="K349" s="1459"/>
      <c r="L349" s="1459"/>
      <c r="N349" s="1399"/>
      <c r="P349" s="1399"/>
      <c r="Q349" s="1399"/>
      <c r="R349" s="1399"/>
      <c r="S349" s="1399"/>
      <c r="T349" s="1399"/>
      <c r="U349" s="1399"/>
      <c r="V349" s="1399"/>
      <c r="W349" s="1399"/>
    </row>
    <row r="350" spans="2:23" s="1280" customFormat="1" x14ac:dyDescent="0.6">
      <c r="B350" s="1461"/>
      <c r="D350" s="1459"/>
      <c r="E350" s="1459"/>
      <c r="F350" s="1459"/>
      <c r="G350" s="1459"/>
      <c r="H350" s="1459"/>
      <c r="I350" s="1459"/>
      <c r="J350" s="1459"/>
      <c r="K350" s="1459"/>
      <c r="L350" s="1459"/>
      <c r="N350" s="1399"/>
      <c r="P350" s="1399"/>
      <c r="Q350" s="1399"/>
      <c r="R350" s="1399"/>
      <c r="S350" s="1399"/>
      <c r="T350" s="1399"/>
      <c r="U350" s="1399"/>
      <c r="V350" s="1399"/>
      <c r="W350" s="1399"/>
    </row>
    <row r="351" spans="2:23" s="1280" customFormat="1" x14ac:dyDescent="0.6">
      <c r="B351" s="1461"/>
      <c r="D351" s="1459"/>
      <c r="E351" s="1459"/>
      <c r="F351" s="1459"/>
      <c r="G351" s="1459"/>
      <c r="H351" s="1459"/>
      <c r="I351" s="1459"/>
      <c r="J351" s="1459"/>
      <c r="K351" s="1459"/>
      <c r="L351" s="1459"/>
      <c r="N351" s="1399"/>
      <c r="P351" s="1399"/>
      <c r="Q351" s="1399"/>
      <c r="R351" s="1399"/>
      <c r="S351" s="1399"/>
      <c r="T351" s="1399"/>
      <c r="U351" s="1399"/>
      <c r="V351" s="1399"/>
      <c r="W351" s="1399"/>
    </row>
    <row r="352" spans="2:23" s="1280" customFormat="1" x14ac:dyDescent="0.6">
      <c r="B352" s="1461"/>
      <c r="D352" s="1459"/>
      <c r="E352" s="1459"/>
      <c r="F352" s="1459"/>
      <c r="G352" s="1459"/>
      <c r="H352" s="1459"/>
      <c r="I352" s="1459"/>
      <c r="J352" s="1459"/>
      <c r="K352" s="1459"/>
      <c r="L352" s="1459"/>
      <c r="N352" s="1399"/>
      <c r="P352" s="1399"/>
      <c r="Q352" s="1399"/>
      <c r="R352" s="1399"/>
      <c r="S352" s="1399"/>
      <c r="T352" s="1399"/>
      <c r="U352" s="1399"/>
      <c r="V352" s="1399"/>
      <c r="W352" s="1399"/>
    </row>
    <row r="353" spans="2:23" s="1280" customFormat="1" x14ac:dyDescent="0.6">
      <c r="B353" s="1461"/>
      <c r="D353" s="1459"/>
      <c r="E353" s="1459"/>
      <c r="F353" s="1459"/>
      <c r="G353" s="1459"/>
      <c r="H353" s="1459"/>
      <c r="I353" s="1459"/>
      <c r="J353" s="1459"/>
      <c r="K353" s="1459"/>
      <c r="L353" s="1459"/>
      <c r="N353" s="1399"/>
      <c r="P353" s="1399"/>
      <c r="Q353" s="1399"/>
      <c r="R353" s="1399"/>
      <c r="S353" s="1399"/>
      <c r="T353" s="1399"/>
      <c r="U353" s="1399"/>
      <c r="V353" s="1399"/>
      <c r="W353" s="1399"/>
    </row>
    <row r="354" spans="2:23" s="1280" customFormat="1" x14ac:dyDescent="0.6">
      <c r="B354" s="1461"/>
      <c r="D354" s="1459"/>
      <c r="E354" s="1459"/>
      <c r="F354" s="1459"/>
      <c r="G354" s="1459"/>
      <c r="H354" s="1459"/>
      <c r="I354" s="1459"/>
      <c r="J354" s="1459"/>
      <c r="K354" s="1459"/>
      <c r="L354" s="1459"/>
      <c r="N354" s="1399"/>
      <c r="P354" s="1399"/>
      <c r="Q354" s="1399"/>
      <c r="R354" s="1399"/>
      <c r="S354" s="1399"/>
      <c r="T354" s="1399"/>
      <c r="U354" s="1399"/>
      <c r="V354" s="1399"/>
      <c r="W354" s="1399"/>
    </row>
    <row r="355" spans="2:23" s="1280" customFormat="1" x14ac:dyDescent="0.6">
      <c r="B355" s="1461"/>
      <c r="D355" s="1459"/>
      <c r="E355" s="1459"/>
      <c r="F355" s="1459"/>
      <c r="G355" s="1459"/>
      <c r="H355" s="1459"/>
      <c r="I355" s="1459"/>
      <c r="J355" s="1459"/>
      <c r="K355" s="1459"/>
      <c r="L355" s="1459"/>
      <c r="N355" s="1399"/>
      <c r="P355" s="1399"/>
      <c r="Q355" s="1399"/>
      <c r="R355" s="1399"/>
      <c r="S355" s="1399"/>
      <c r="T355" s="1399"/>
      <c r="U355" s="1399"/>
      <c r="V355" s="1399"/>
      <c r="W355" s="1399"/>
    </row>
    <row r="356" spans="2:23" s="1280" customFormat="1" x14ac:dyDescent="0.6">
      <c r="B356" s="1461"/>
      <c r="D356" s="1459"/>
      <c r="E356" s="1459"/>
      <c r="F356" s="1459"/>
      <c r="G356" s="1459"/>
      <c r="H356" s="1459"/>
      <c r="I356" s="1459"/>
      <c r="J356" s="1459"/>
      <c r="K356" s="1459"/>
      <c r="L356" s="1459"/>
      <c r="N356" s="1399"/>
      <c r="P356" s="1399"/>
      <c r="Q356" s="1399"/>
      <c r="R356" s="1399"/>
      <c r="S356" s="1399"/>
      <c r="T356" s="1399"/>
      <c r="U356" s="1399"/>
      <c r="V356" s="1399"/>
      <c r="W356" s="1399"/>
    </row>
    <row r="357" spans="2:23" s="1280" customFormat="1" x14ac:dyDescent="0.6">
      <c r="B357" s="1461"/>
      <c r="D357" s="1459"/>
      <c r="E357" s="1459"/>
      <c r="F357" s="1459"/>
      <c r="G357" s="1459"/>
      <c r="H357" s="1459"/>
      <c r="I357" s="1459"/>
      <c r="J357" s="1459"/>
      <c r="K357" s="1459"/>
      <c r="L357" s="1459"/>
      <c r="N357" s="1399"/>
      <c r="P357" s="1399"/>
      <c r="Q357" s="1399"/>
      <c r="R357" s="1399"/>
      <c r="S357" s="1399"/>
      <c r="T357" s="1399"/>
      <c r="U357" s="1399"/>
      <c r="V357" s="1399"/>
      <c r="W357" s="1399"/>
    </row>
    <row r="358" spans="2:23" s="1280" customFormat="1" x14ac:dyDescent="0.6">
      <c r="B358" s="1461"/>
      <c r="D358" s="1459"/>
      <c r="E358" s="1459"/>
      <c r="F358" s="1459"/>
      <c r="G358" s="1459"/>
      <c r="H358" s="1459"/>
      <c r="I358" s="1459"/>
      <c r="J358" s="1459"/>
      <c r="K358" s="1459"/>
      <c r="L358" s="1459"/>
      <c r="N358" s="1399"/>
      <c r="P358" s="1399"/>
      <c r="Q358" s="1399"/>
      <c r="R358" s="1399"/>
      <c r="S358" s="1399"/>
      <c r="T358" s="1399"/>
      <c r="U358" s="1399"/>
      <c r="V358" s="1399"/>
      <c r="W358" s="1399"/>
    </row>
    <row r="359" spans="2:23" s="1280" customFormat="1" x14ac:dyDescent="0.6">
      <c r="B359" s="1461"/>
      <c r="D359" s="1459"/>
      <c r="E359" s="1459"/>
      <c r="F359" s="1459"/>
      <c r="G359" s="1459"/>
      <c r="H359" s="1459"/>
      <c r="I359" s="1459"/>
      <c r="J359" s="1459"/>
      <c r="K359" s="1459"/>
      <c r="L359" s="1459"/>
      <c r="N359" s="1399"/>
      <c r="P359" s="1399"/>
      <c r="Q359" s="1399"/>
      <c r="R359" s="1399"/>
      <c r="S359" s="1399"/>
      <c r="T359" s="1399"/>
      <c r="U359" s="1399"/>
      <c r="V359" s="1399"/>
      <c r="W359" s="1399"/>
    </row>
    <row r="360" spans="2:23" s="1280" customFormat="1" x14ac:dyDescent="0.6">
      <c r="B360" s="1461"/>
      <c r="D360" s="1459"/>
      <c r="E360" s="1459"/>
      <c r="F360" s="1459"/>
      <c r="G360" s="1459"/>
      <c r="H360" s="1459"/>
      <c r="I360" s="1459"/>
      <c r="J360" s="1459"/>
      <c r="K360" s="1459"/>
      <c r="L360" s="1459"/>
      <c r="N360" s="1399"/>
      <c r="P360" s="1399"/>
      <c r="Q360" s="1399"/>
      <c r="R360" s="1399"/>
      <c r="S360" s="1399"/>
      <c r="T360" s="1399"/>
      <c r="U360" s="1399"/>
      <c r="V360" s="1399"/>
      <c r="W360" s="1399"/>
    </row>
    <row r="361" spans="2:23" s="1280" customFormat="1" x14ac:dyDescent="0.6">
      <c r="B361" s="1461"/>
      <c r="D361" s="1459"/>
      <c r="E361" s="1459"/>
      <c r="F361" s="1459"/>
      <c r="G361" s="1459"/>
      <c r="H361" s="1459"/>
      <c r="I361" s="1459"/>
      <c r="J361" s="1459"/>
      <c r="K361" s="1459"/>
      <c r="L361" s="1459"/>
      <c r="N361" s="1399"/>
      <c r="P361" s="1399"/>
      <c r="Q361" s="1399"/>
      <c r="R361" s="1399"/>
      <c r="S361" s="1399"/>
      <c r="T361" s="1399"/>
      <c r="U361" s="1399"/>
      <c r="V361" s="1399"/>
      <c r="W361" s="1399"/>
    </row>
    <row r="362" spans="2:23" s="1280" customFormat="1" x14ac:dyDescent="0.6">
      <c r="B362" s="1461"/>
      <c r="D362" s="1459"/>
      <c r="E362" s="1459"/>
      <c r="F362" s="1459"/>
      <c r="G362" s="1459"/>
      <c r="H362" s="1459"/>
      <c r="I362" s="1459"/>
      <c r="J362" s="1459"/>
      <c r="K362" s="1459"/>
      <c r="L362" s="1459"/>
      <c r="N362" s="1399"/>
      <c r="P362" s="1399"/>
      <c r="Q362" s="1399"/>
      <c r="R362" s="1399"/>
      <c r="S362" s="1399"/>
      <c r="T362" s="1399"/>
      <c r="U362" s="1399"/>
      <c r="V362" s="1399"/>
      <c r="W362" s="1399"/>
    </row>
    <row r="363" spans="2:23" s="1280" customFormat="1" x14ac:dyDescent="0.6">
      <c r="B363" s="1461"/>
      <c r="D363" s="1459"/>
      <c r="E363" s="1459"/>
      <c r="F363" s="1459"/>
      <c r="G363" s="1459"/>
      <c r="H363" s="1459"/>
      <c r="I363" s="1459"/>
      <c r="J363" s="1459"/>
      <c r="K363" s="1459"/>
      <c r="L363" s="1459"/>
      <c r="N363" s="1399"/>
      <c r="P363" s="1399"/>
      <c r="Q363" s="1399"/>
      <c r="R363" s="1399"/>
      <c r="S363" s="1399"/>
      <c r="T363" s="1399"/>
      <c r="U363" s="1399"/>
      <c r="V363" s="1399"/>
      <c r="W363" s="1399"/>
    </row>
    <row r="364" spans="2:23" s="1280" customFormat="1" x14ac:dyDescent="0.6">
      <c r="B364" s="1461"/>
      <c r="D364" s="1459"/>
      <c r="E364" s="1459"/>
      <c r="F364" s="1459"/>
      <c r="G364" s="1459"/>
      <c r="H364" s="1459"/>
      <c r="I364" s="1459"/>
      <c r="J364" s="1459"/>
      <c r="K364" s="1459"/>
      <c r="L364" s="1459"/>
      <c r="N364" s="1399"/>
      <c r="P364" s="1399"/>
      <c r="Q364" s="1399"/>
      <c r="R364" s="1399"/>
      <c r="S364" s="1399"/>
      <c r="T364" s="1399"/>
      <c r="U364" s="1399"/>
      <c r="V364" s="1399"/>
      <c r="W364" s="1399"/>
    </row>
    <row r="365" spans="2:23" s="1280" customFormat="1" x14ac:dyDescent="0.6">
      <c r="B365" s="1461"/>
      <c r="D365" s="1459"/>
      <c r="E365" s="1459"/>
      <c r="F365" s="1459"/>
      <c r="G365" s="1459"/>
      <c r="H365" s="1459"/>
      <c r="I365" s="1459"/>
      <c r="J365" s="1459"/>
      <c r="K365" s="1459"/>
      <c r="L365" s="1459"/>
      <c r="N365" s="1399"/>
      <c r="P365" s="1399"/>
      <c r="Q365" s="1399"/>
      <c r="R365" s="1399"/>
      <c r="S365" s="1399"/>
      <c r="T365" s="1399"/>
      <c r="U365" s="1399"/>
      <c r="V365" s="1399"/>
      <c r="W365" s="1399"/>
    </row>
    <row r="366" spans="2:23" s="1280" customFormat="1" x14ac:dyDescent="0.6">
      <c r="B366" s="1461"/>
      <c r="D366" s="1459"/>
      <c r="E366" s="1459"/>
      <c r="F366" s="1459"/>
      <c r="G366" s="1459"/>
      <c r="H366" s="1459"/>
      <c r="I366" s="1459"/>
      <c r="J366" s="1459"/>
      <c r="K366" s="1459"/>
      <c r="L366" s="1459"/>
      <c r="N366" s="1399"/>
      <c r="P366" s="1399"/>
      <c r="Q366" s="1399"/>
      <c r="R366" s="1399"/>
      <c r="S366" s="1399"/>
      <c r="T366" s="1399"/>
      <c r="U366" s="1399"/>
      <c r="V366" s="1399"/>
      <c r="W366" s="1399"/>
    </row>
    <row r="367" spans="2:23" s="1280" customFormat="1" x14ac:dyDescent="0.6">
      <c r="B367" s="1461"/>
      <c r="D367" s="1459"/>
      <c r="E367" s="1459"/>
      <c r="F367" s="1459"/>
      <c r="G367" s="1459"/>
      <c r="H367" s="1459"/>
      <c r="I367" s="1459"/>
      <c r="J367" s="1459"/>
      <c r="K367" s="1459"/>
      <c r="L367" s="1459"/>
      <c r="N367" s="1399"/>
      <c r="P367" s="1399"/>
      <c r="Q367" s="1399"/>
      <c r="R367" s="1399"/>
      <c r="S367" s="1399"/>
      <c r="T367" s="1399"/>
      <c r="U367" s="1399"/>
      <c r="V367" s="1399"/>
      <c r="W367" s="1399"/>
    </row>
    <row r="368" spans="2:23" s="1280" customFormat="1" x14ac:dyDescent="0.6">
      <c r="B368" s="1461"/>
      <c r="D368" s="1459"/>
      <c r="E368" s="1459"/>
      <c r="F368" s="1459"/>
      <c r="G368" s="1459"/>
      <c r="H368" s="1459"/>
      <c r="I368" s="1459"/>
      <c r="J368" s="1459"/>
      <c r="K368" s="1459"/>
      <c r="L368" s="1459"/>
      <c r="N368" s="1399"/>
      <c r="P368" s="1399"/>
      <c r="Q368" s="1399"/>
      <c r="R368" s="1399"/>
      <c r="S368" s="1399"/>
      <c r="T368" s="1399"/>
      <c r="U368" s="1399"/>
      <c r="V368" s="1399"/>
      <c r="W368" s="1399"/>
    </row>
    <row r="369" spans="2:23" s="1280" customFormat="1" x14ac:dyDescent="0.6">
      <c r="B369" s="1461"/>
      <c r="D369" s="1459"/>
      <c r="E369" s="1459"/>
      <c r="F369" s="1459"/>
      <c r="G369" s="1459"/>
      <c r="H369" s="1459"/>
      <c r="I369" s="1459"/>
      <c r="J369" s="1459"/>
      <c r="K369" s="1459"/>
      <c r="L369" s="1459"/>
      <c r="N369" s="1399"/>
      <c r="P369" s="1399"/>
      <c r="Q369" s="1399"/>
      <c r="R369" s="1399"/>
      <c r="S369" s="1399"/>
      <c r="T369" s="1399"/>
      <c r="U369" s="1399"/>
      <c r="V369" s="1399"/>
      <c r="W369" s="1399"/>
    </row>
    <row r="370" spans="2:23" s="1280" customFormat="1" x14ac:dyDescent="0.6">
      <c r="B370" s="1461"/>
      <c r="D370" s="1459"/>
      <c r="E370" s="1459"/>
      <c r="F370" s="1459"/>
      <c r="G370" s="1459"/>
      <c r="H370" s="1459"/>
      <c r="I370" s="1459"/>
      <c r="J370" s="1459"/>
      <c r="K370" s="1459"/>
      <c r="L370" s="1459"/>
      <c r="N370" s="1399"/>
      <c r="P370" s="1399"/>
      <c r="Q370" s="1399"/>
      <c r="R370" s="1399"/>
      <c r="S370" s="1399"/>
      <c r="T370" s="1399"/>
      <c r="U370" s="1399"/>
      <c r="V370" s="1399"/>
      <c r="W370" s="1399"/>
    </row>
    <row r="371" spans="2:23" s="1280" customFormat="1" x14ac:dyDescent="0.6">
      <c r="B371" s="1461"/>
      <c r="D371" s="1459"/>
      <c r="E371" s="1459"/>
      <c r="F371" s="1459"/>
      <c r="G371" s="1459"/>
      <c r="H371" s="1459"/>
      <c r="I371" s="1459"/>
      <c r="J371" s="1459"/>
      <c r="K371" s="1459"/>
      <c r="L371" s="1459"/>
      <c r="N371" s="1399"/>
      <c r="P371" s="1399"/>
      <c r="Q371" s="1399"/>
      <c r="R371" s="1399"/>
      <c r="S371" s="1399"/>
      <c r="T371" s="1399"/>
      <c r="U371" s="1399"/>
      <c r="V371" s="1399"/>
      <c r="W371" s="1399"/>
    </row>
    <row r="372" spans="2:23" s="1280" customFormat="1" x14ac:dyDescent="0.6">
      <c r="B372" s="1461"/>
      <c r="D372" s="1459"/>
      <c r="E372" s="1459"/>
      <c r="F372" s="1459"/>
      <c r="G372" s="1459"/>
      <c r="H372" s="1459"/>
      <c r="I372" s="1459"/>
      <c r="J372" s="1459"/>
      <c r="K372" s="1459"/>
      <c r="L372" s="1459"/>
      <c r="N372" s="1399"/>
      <c r="P372" s="1399"/>
      <c r="Q372" s="1399"/>
      <c r="R372" s="1399"/>
      <c r="S372" s="1399"/>
      <c r="T372" s="1399"/>
      <c r="U372" s="1399"/>
      <c r="V372" s="1399"/>
      <c r="W372" s="1399"/>
    </row>
    <row r="373" spans="2:23" s="1280" customFormat="1" x14ac:dyDescent="0.6">
      <c r="B373" s="1461"/>
      <c r="D373" s="1459"/>
      <c r="E373" s="1459"/>
      <c r="F373" s="1459"/>
      <c r="G373" s="1459"/>
      <c r="H373" s="1459"/>
      <c r="I373" s="1459"/>
      <c r="J373" s="1459"/>
      <c r="K373" s="1459"/>
      <c r="L373" s="1459"/>
      <c r="N373" s="1399"/>
      <c r="P373" s="1399"/>
      <c r="Q373" s="1399"/>
      <c r="R373" s="1399"/>
      <c r="S373" s="1399"/>
      <c r="T373" s="1399"/>
      <c r="U373" s="1399"/>
      <c r="V373" s="1399"/>
      <c r="W373" s="1399"/>
    </row>
    <row r="374" spans="2:23" s="1280" customFormat="1" x14ac:dyDescent="0.6">
      <c r="B374" s="1461"/>
      <c r="D374" s="1459"/>
      <c r="E374" s="1459"/>
      <c r="F374" s="1459"/>
      <c r="G374" s="1459"/>
      <c r="H374" s="1459"/>
      <c r="I374" s="1459"/>
      <c r="J374" s="1459"/>
      <c r="K374" s="1459"/>
      <c r="L374" s="1459"/>
      <c r="N374" s="1399"/>
      <c r="P374" s="1399"/>
      <c r="Q374" s="1399"/>
      <c r="R374" s="1399"/>
      <c r="S374" s="1399"/>
      <c r="T374" s="1399"/>
      <c r="U374" s="1399"/>
      <c r="V374" s="1399"/>
      <c r="W374" s="1399"/>
    </row>
    <row r="375" spans="2:23" s="1280" customFormat="1" x14ac:dyDescent="0.6">
      <c r="B375" s="1461"/>
      <c r="D375" s="1459"/>
      <c r="E375" s="1459"/>
      <c r="F375" s="1459"/>
      <c r="G375" s="1459"/>
      <c r="H375" s="1459"/>
      <c r="I375" s="1459"/>
      <c r="J375" s="1459"/>
      <c r="K375" s="1459"/>
      <c r="L375" s="1459"/>
      <c r="N375" s="1399"/>
      <c r="P375" s="1399"/>
      <c r="Q375" s="1399"/>
      <c r="R375" s="1399"/>
      <c r="S375" s="1399"/>
      <c r="T375" s="1399"/>
      <c r="U375" s="1399"/>
      <c r="V375" s="1399"/>
      <c r="W375" s="1399"/>
    </row>
    <row r="376" spans="2:23" s="1280" customFormat="1" x14ac:dyDescent="0.6">
      <c r="B376" s="1461"/>
      <c r="D376" s="1459"/>
      <c r="E376" s="1459"/>
      <c r="F376" s="1459"/>
      <c r="G376" s="1459"/>
      <c r="H376" s="1459"/>
      <c r="I376" s="1459"/>
      <c r="J376" s="1459"/>
      <c r="K376" s="1459"/>
      <c r="L376" s="1459"/>
      <c r="N376" s="1399"/>
      <c r="P376" s="1399"/>
      <c r="Q376" s="1399"/>
      <c r="R376" s="1399"/>
      <c r="S376" s="1399"/>
      <c r="T376" s="1399"/>
      <c r="U376" s="1399"/>
      <c r="V376" s="1399"/>
      <c r="W376" s="1399"/>
    </row>
    <row r="377" spans="2:23" s="1280" customFormat="1" x14ac:dyDescent="0.6">
      <c r="B377" s="1461"/>
      <c r="D377" s="1459"/>
      <c r="E377" s="1459"/>
      <c r="F377" s="1459"/>
      <c r="G377" s="1459"/>
      <c r="H377" s="1459"/>
      <c r="I377" s="1459"/>
      <c r="J377" s="1459"/>
      <c r="K377" s="1459"/>
      <c r="L377" s="1459"/>
      <c r="N377" s="1399"/>
      <c r="P377" s="1399"/>
      <c r="Q377" s="1399"/>
      <c r="R377" s="1399"/>
      <c r="S377" s="1399"/>
      <c r="T377" s="1399"/>
      <c r="U377" s="1399"/>
      <c r="V377" s="1399"/>
      <c r="W377" s="1399"/>
    </row>
    <row r="378" spans="2:23" s="1280" customFormat="1" x14ac:dyDescent="0.6">
      <c r="B378" s="1461"/>
      <c r="D378" s="1459"/>
      <c r="E378" s="1459"/>
      <c r="F378" s="1459"/>
      <c r="G378" s="1459"/>
      <c r="H378" s="1459"/>
      <c r="I378" s="1459"/>
      <c r="J378" s="1459"/>
      <c r="K378" s="1459"/>
      <c r="L378" s="1459"/>
      <c r="N378" s="1399"/>
      <c r="P378" s="1399"/>
      <c r="Q378" s="1399"/>
      <c r="R378" s="1399"/>
      <c r="S378" s="1399"/>
      <c r="T378" s="1399"/>
      <c r="U378" s="1399"/>
      <c r="V378" s="1399"/>
      <c r="W378" s="1399"/>
    </row>
    <row r="379" spans="2:23" s="1280" customFormat="1" x14ac:dyDescent="0.6">
      <c r="B379" s="1461"/>
      <c r="D379" s="1459"/>
      <c r="E379" s="1459"/>
      <c r="F379" s="1459"/>
      <c r="G379" s="1459"/>
      <c r="H379" s="1459"/>
      <c r="I379" s="1459"/>
      <c r="J379" s="1459"/>
      <c r="K379" s="1459"/>
      <c r="L379" s="1459"/>
      <c r="N379" s="1399"/>
      <c r="P379" s="1399"/>
      <c r="Q379" s="1399"/>
      <c r="R379" s="1399"/>
      <c r="S379" s="1399"/>
      <c r="T379" s="1399"/>
      <c r="U379" s="1399"/>
      <c r="V379" s="1399"/>
      <c r="W379" s="1399"/>
    </row>
    <row r="380" spans="2:23" s="1280" customFormat="1" x14ac:dyDescent="0.6">
      <c r="B380" s="1461"/>
      <c r="D380" s="1459"/>
      <c r="E380" s="1459"/>
      <c r="F380" s="1459"/>
      <c r="G380" s="1459"/>
      <c r="H380" s="1459"/>
      <c r="I380" s="1459"/>
      <c r="J380" s="1459"/>
      <c r="K380" s="1459"/>
      <c r="L380" s="1459"/>
      <c r="N380" s="1399"/>
      <c r="P380" s="1399"/>
      <c r="Q380" s="1399"/>
      <c r="R380" s="1399"/>
      <c r="S380" s="1399"/>
      <c r="T380" s="1399"/>
      <c r="U380" s="1399"/>
      <c r="V380" s="1399"/>
      <c r="W380" s="1399"/>
    </row>
    <row r="381" spans="2:23" s="1280" customFormat="1" x14ac:dyDescent="0.6">
      <c r="B381" s="1461"/>
      <c r="D381" s="1459"/>
      <c r="E381" s="1459"/>
      <c r="F381" s="1459"/>
      <c r="G381" s="1459"/>
      <c r="H381" s="1459"/>
      <c r="I381" s="1459"/>
      <c r="J381" s="1459"/>
      <c r="K381" s="1459"/>
      <c r="L381" s="1459"/>
      <c r="N381" s="1399"/>
      <c r="P381" s="1399"/>
      <c r="Q381" s="1399"/>
      <c r="R381" s="1399"/>
      <c r="S381" s="1399"/>
      <c r="T381" s="1399"/>
      <c r="U381" s="1399"/>
      <c r="V381" s="1399"/>
      <c r="W381" s="1399"/>
    </row>
    <row r="382" spans="2:23" s="1280" customFormat="1" x14ac:dyDescent="0.6">
      <c r="B382" s="1461"/>
      <c r="D382" s="1459"/>
      <c r="E382" s="1459"/>
      <c r="F382" s="1459"/>
      <c r="G382" s="1459"/>
      <c r="H382" s="1459"/>
      <c r="I382" s="1459"/>
      <c r="J382" s="1459"/>
      <c r="K382" s="1459"/>
      <c r="L382" s="1459"/>
      <c r="N382" s="1399"/>
      <c r="P382" s="1399"/>
      <c r="Q382" s="1399"/>
      <c r="R382" s="1399"/>
      <c r="S382" s="1399"/>
      <c r="T382" s="1399"/>
      <c r="U382" s="1399"/>
      <c r="V382" s="1399"/>
      <c r="W382" s="1399"/>
    </row>
    <row r="383" spans="2:23" s="1280" customFormat="1" x14ac:dyDescent="0.6">
      <c r="B383" s="1461"/>
      <c r="D383" s="1459"/>
      <c r="E383" s="1459"/>
      <c r="F383" s="1459"/>
      <c r="G383" s="1459"/>
      <c r="H383" s="1459"/>
      <c r="I383" s="1459"/>
      <c r="J383" s="1459"/>
      <c r="K383" s="1459"/>
      <c r="L383" s="1459"/>
      <c r="N383" s="1399"/>
      <c r="P383" s="1399"/>
      <c r="Q383" s="1399"/>
      <c r="R383" s="1399"/>
      <c r="S383" s="1399"/>
      <c r="T383" s="1399"/>
      <c r="U383" s="1399"/>
      <c r="V383" s="1399"/>
      <c r="W383" s="1399"/>
    </row>
    <row r="384" spans="2:23" s="1280" customFormat="1" x14ac:dyDescent="0.6">
      <c r="B384" s="1461"/>
      <c r="D384" s="1459"/>
      <c r="E384" s="1459"/>
      <c r="F384" s="1459"/>
      <c r="G384" s="1459"/>
      <c r="H384" s="1459"/>
      <c r="I384" s="1459"/>
      <c r="J384" s="1459"/>
      <c r="K384" s="1459"/>
      <c r="L384" s="1459"/>
      <c r="N384" s="1399"/>
      <c r="P384" s="1399"/>
      <c r="Q384" s="1399"/>
      <c r="R384" s="1399"/>
      <c r="S384" s="1399"/>
      <c r="T384" s="1399"/>
      <c r="U384" s="1399"/>
      <c r="V384" s="1399"/>
      <c r="W384" s="1399"/>
    </row>
    <row r="385" spans="2:23" s="1280" customFormat="1" x14ac:dyDescent="0.6">
      <c r="B385" s="1461"/>
      <c r="D385" s="1459"/>
      <c r="E385" s="1459"/>
      <c r="F385" s="1459"/>
      <c r="G385" s="1459"/>
      <c r="H385" s="1459"/>
      <c r="I385" s="1459"/>
      <c r="J385" s="1459"/>
      <c r="K385" s="1459"/>
      <c r="L385" s="1459"/>
      <c r="N385" s="1399"/>
      <c r="P385" s="1399"/>
      <c r="Q385" s="1399"/>
      <c r="R385" s="1399"/>
      <c r="S385" s="1399"/>
      <c r="T385" s="1399"/>
      <c r="U385" s="1399"/>
      <c r="V385" s="1399"/>
      <c r="W385" s="1399"/>
    </row>
    <row r="386" spans="2:23" s="1280" customFormat="1" x14ac:dyDescent="0.6">
      <c r="B386" s="1461"/>
      <c r="D386" s="1459"/>
      <c r="E386" s="1459"/>
      <c r="F386" s="1459"/>
      <c r="G386" s="1459"/>
      <c r="H386" s="1459"/>
      <c r="I386" s="1459"/>
      <c r="J386" s="1459"/>
      <c r="K386" s="1459"/>
      <c r="L386" s="1459"/>
      <c r="N386" s="1399"/>
      <c r="P386" s="1399"/>
      <c r="Q386" s="1399"/>
      <c r="R386" s="1399"/>
      <c r="S386" s="1399"/>
      <c r="T386" s="1399"/>
      <c r="U386" s="1399"/>
      <c r="V386" s="1399"/>
      <c r="W386" s="1399"/>
    </row>
    <row r="387" spans="2:23" s="1280" customFormat="1" x14ac:dyDescent="0.6">
      <c r="B387" s="1461"/>
      <c r="D387" s="1459"/>
      <c r="E387" s="1459"/>
      <c r="F387" s="1459"/>
      <c r="G387" s="1459"/>
      <c r="H387" s="1459"/>
      <c r="I387" s="1459"/>
      <c r="J387" s="1459"/>
      <c r="K387" s="1459"/>
      <c r="L387" s="1459"/>
      <c r="N387" s="1399"/>
      <c r="P387" s="1399"/>
      <c r="Q387" s="1399"/>
      <c r="R387" s="1399"/>
      <c r="S387" s="1399"/>
      <c r="T387" s="1399"/>
      <c r="U387" s="1399"/>
      <c r="V387" s="1399"/>
      <c r="W387" s="1399"/>
    </row>
    <row r="388" spans="2:23" s="1280" customFormat="1" x14ac:dyDescent="0.6">
      <c r="B388" s="1461"/>
      <c r="D388" s="1459"/>
      <c r="E388" s="1459"/>
      <c r="F388" s="1459"/>
      <c r="G388" s="1459"/>
      <c r="H388" s="1459"/>
      <c r="I388" s="1459"/>
      <c r="J388" s="1459"/>
      <c r="K388" s="1459"/>
      <c r="L388" s="1459"/>
      <c r="N388" s="1399"/>
      <c r="P388" s="1399"/>
      <c r="Q388" s="1399"/>
      <c r="R388" s="1399"/>
      <c r="S388" s="1399"/>
      <c r="T388" s="1399"/>
      <c r="U388" s="1399"/>
      <c r="V388" s="1399"/>
      <c r="W388" s="1399"/>
    </row>
    <row r="389" spans="2:23" s="1280" customFormat="1" x14ac:dyDescent="0.6">
      <c r="B389" s="1461"/>
      <c r="D389" s="1459"/>
      <c r="E389" s="1459"/>
      <c r="F389" s="1459"/>
      <c r="G389" s="1459"/>
      <c r="H389" s="1459"/>
      <c r="I389" s="1459"/>
      <c r="J389" s="1459"/>
      <c r="K389" s="1459"/>
      <c r="L389" s="1459"/>
      <c r="N389" s="1399"/>
      <c r="P389" s="1399"/>
      <c r="Q389" s="1399"/>
      <c r="R389" s="1399"/>
      <c r="S389" s="1399"/>
      <c r="T389" s="1399"/>
      <c r="U389" s="1399"/>
      <c r="V389" s="1399"/>
      <c r="W389" s="1399"/>
    </row>
    <row r="390" spans="2:23" s="1280" customFormat="1" x14ac:dyDescent="0.6">
      <c r="B390" s="1461"/>
      <c r="D390" s="1459"/>
      <c r="E390" s="1459"/>
      <c r="F390" s="1459"/>
      <c r="G390" s="1459"/>
      <c r="H390" s="1459"/>
      <c r="I390" s="1459"/>
      <c r="J390" s="1459"/>
      <c r="K390" s="1459"/>
      <c r="L390" s="1459"/>
      <c r="N390" s="1399"/>
      <c r="P390" s="1399"/>
      <c r="Q390" s="1399"/>
      <c r="R390" s="1399"/>
      <c r="S390" s="1399"/>
      <c r="T390" s="1399"/>
      <c r="U390" s="1399"/>
      <c r="V390" s="1399"/>
      <c r="W390" s="1399"/>
    </row>
    <row r="391" spans="2:23" s="1280" customFormat="1" x14ac:dyDescent="0.6">
      <c r="B391" s="1461"/>
      <c r="D391" s="1459"/>
      <c r="E391" s="1459"/>
      <c r="F391" s="1459"/>
      <c r="G391" s="1459"/>
      <c r="H391" s="1459"/>
      <c r="I391" s="1459"/>
      <c r="J391" s="1459"/>
      <c r="K391" s="1459"/>
      <c r="L391" s="1459"/>
      <c r="N391" s="1399"/>
      <c r="P391" s="1399"/>
      <c r="Q391" s="1399"/>
      <c r="R391" s="1399"/>
      <c r="S391" s="1399"/>
      <c r="T391" s="1399"/>
      <c r="U391" s="1399"/>
      <c r="V391" s="1399"/>
      <c r="W391" s="1399"/>
    </row>
    <row r="392" spans="2:23" s="1280" customFormat="1" x14ac:dyDescent="0.6">
      <c r="B392" s="1461"/>
      <c r="D392" s="1459"/>
      <c r="E392" s="1459"/>
      <c r="F392" s="1459"/>
      <c r="G392" s="1459"/>
      <c r="H392" s="1459"/>
      <c r="I392" s="1459"/>
      <c r="J392" s="1459"/>
      <c r="K392" s="1459"/>
      <c r="L392" s="1459"/>
      <c r="N392" s="1399"/>
      <c r="P392" s="1399"/>
      <c r="Q392" s="1399"/>
      <c r="R392" s="1399"/>
      <c r="S392" s="1399"/>
      <c r="T392" s="1399"/>
      <c r="U392" s="1399"/>
      <c r="V392" s="1399"/>
      <c r="W392" s="1399"/>
    </row>
    <row r="393" spans="2:23" s="1280" customFormat="1" x14ac:dyDescent="0.6">
      <c r="B393" s="1461"/>
      <c r="D393" s="1459"/>
      <c r="E393" s="1459"/>
      <c r="F393" s="1459"/>
      <c r="G393" s="1459"/>
      <c r="H393" s="1459"/>
      <c r="I393" s="1459"/>
      <c r="J393" s="1459"/>
      <c r="K393" s="1459"/>
      <c r="L393" s="1459"/>
      <c r="N393" s="1399"/>
      <c r="P393" s="1399"/>
      <c r="Q393" s="1399"/>
      <c r="R393" s="1399"/>
      <c r="S393" s="1399"/>
      <c r="T393" s="1399"/>
      <c r="U393" s="1399"/>
      <c r="V393" s="1399"/>
      <c r="W393" s="1399"/>
    </row>
    <row r="394" spans="2:23" s="1280" customFormat="1" x14ac:dyDescent="0.6">
      <c r="B394" s="1461"/>
      <c r="D394" s="1459"/>
      <c r="E394" s="1459"/>
      <c r="F394" s="1459"/>
      <c r="G394" s="1459"/>
      <c r="H394" s="1459"/>
      <c r="I394" s="1459"/>
      <c r="J394" s="1459"/>
      <c r="K394" s="1459"/>
      <c r="L394" s="1459"/>
      <c r="N394" s="1399"/>
      <c r="P394" s="1399"/>
      <c r="Q394" s="1399"/>
      <c r="R394" s="1399"/>
      <c r="S394" s="1399"/>
      <c r="T394" s="1399"/>
      <c r="U394" s="1399"/>
      <c r="V394" s="1399"/>
      <c r="W394" s="1399"/>
    </row>
    <row r="395" spans="2:23" s="1280" customFormat="1" x14ac:dyDescent="0.6">
      <c r="B395" s="1461"/>
      <c r="D395" s="1459"/>
      <c r="E395" s="1459"/>
      <c r="F395" s="1459"/>
      <c r="G395" s="1459"/>
      <c r="H395" s="1459"/>
      <c r="I395" s="1459"/>
      <c r="J395" s="1459"/>
      <c r="K395" s="1459"/>
      <c r="L395" s="1459"/>
      <c r="N395" s="1399"/>
      <c r="P395" s="1399"/>
      <c r="Q395" s="1399"/>
      <c r="R395" s="1399"/>
      <c r="S395" s="1399"/>
      <c r="T395" s="1399"/>
      <c r="U395" s="1399"/>
      <c r="V395" s="1399"/>
      <c r="W395" s="1399"/>
    </row>
    <row r="396" spans="2:23" s="1280" customFormat="1" x14ac:dyDescent="0.6">
      <c r="B396" s="1461"/>
      <c r="D396" s="1459"/>
      <c r="E396" s="1459"/>
      <c r="F396" s="1459"/>
      <c r="G396" s="1459"/>
      <c r="H396" s="1459"/>
      <c r="I396" s="1459"/>
      <c r="J396" s="1459"/>
      <c r="K396" s="1459"/>
      <c r="L396" s="1459"/>
      <c r="N396" s="1399"/>
      <c r="P396" s="1399"/>
      <c r="Q396" s="1399"/>
      <c r="R396" s="1399"/>
      <c r="S396" s="1399"/>
      <c r="T396" s="1399"/>
      <c r="U396" s="1399"/>
      <c r="V396" s="1399"/>
      <c r="W396" s="1399"/>
    </row>
    <row r="397" spans="2:23" s="1280" customFormat="1" x14ac:dyDescent="0.6">
      <c r="B397" s="1461"/>
      <c r="D397" s="1459"/>
      <c r="E397" s="1459"/>
      <c r="F397" s="1459"/>
      <c r="G397" s="1459"/>
      <c r="H397" s="1459"/>
      <c r="I397" s="1459"/>
      <c r="J397" s="1459"/>
      <c r="K397" s="1459"/>
      <c r="L397" s="1459"/>
      <c r="N397" s="1399"/>
      <c r="P397" s="1399"/>
      <c r="Q397" s="1399"/>
      <c r="R397" s="1399"/>
      <c r="S397" s="1399"/>
      <c r="T397" s="1399"/>
      <c r="U397" s="1399"/>
      <c r="V397" s="1399"/>
      <c r="W397" s="1399"/>
    </row>
    <row r="398" spans="2:23" s="1280" customFormat="1" x14ac:dyDescent="0.6">
      <c r="B398" s="1461"/>
      <c r="D398" s="1459"/>
      <c r="E398" s="1459"/>
      <c r="F398" s="1459"/>
      <c r="G398" s="1459"/>
      <c r="H398" s="1459"/>
      <c r="I398" s="1459"/>
      <c r="J398" s="1459"/>
      <c r="K398" s="1459"/>
      <c r="L398" s="1459"/>
      <c r="N398" s="1399"/>
      <c r="P398" s="1399"/>
      <c r="Q398" s="1399"/>
      <c r="R398" s="1399"/>
      <c r="S398" s="1399"/>
      <c r="T398" s="1399"/>
      <c r="U398" s="1399"/>
      <c r="V398" s="1399"/>
      <c r="W398" s="1399"/>
    </row>
    <row r="399" spans="2:23" s="1280" customFormat="1" x14ac:dyDescent="0.6">
      <c r="B399" s="1461"/>
      <c r="D399" s="1459"/>
      <c r="E399" s="1459"/>
      <c r="F399" s="1459"/>
      <c r="G399" s="1459"/>
      <c r="H399" s="1459"/>
      <c r="I399" s="1459"/>
      <c r="J399" s="1459"/>
      <c r="K399" s="1459"/>
      <c r="L399" s="1459"/>
      <c r="N399" s="1399"/>
      <c r="P399" s="1399"/>
      <c r="Q399" s="1399"/>
      <c r="R399" s="1399"/>
      <c r="S399" s="1399"/>
      <c r="T399" s="1399"/>
      <c r="U399" s="1399"/>
      <c r="V399" s="1399"/>
      <c r="W399" s="1399"/>
    </row>
    <row r="400" spans="2:23" s="1280" customFormat="1" x14ac:dyDescent="0.6">
      <c r="B400" s="1461"/>
      <c r="D400" s="1459"/>
      <c r="E400" s="1459"/>
      <c r="F400" s="1459"/>
      <c r="G400" s="1459"/>
      <c r="H400" s="1459"/>
      <c r="I400" s="1459"/>
      <c r="J400" s="1459"/>
      <c r="K400" s="1459"/>
      <c r="L400" s="1459"/>
      <c r="N400" s="1399"/>
      <c r="P400" s="1399"/>
      <c r="Q400" s="1399"/>
      <c r="R400" s="1399"/>
      <c r="S400" s="1399"/>
      <c r="T400" s="1399"/>
      <c r="U400" s="1399"/>
      <c r="V400" s="1399"/>
      <c r="W400" s="1399"/>
    </row>
    <row r="401" spans="2:23" s="1280" customFormat="1" x14ac:dyDescent="0.6">
      <c r="B401" s="1461"/>
      <c r="D401" s="1459"/>
      <c r="E401" s="1459"/>
      <c r="F401" s="1459"/>
      <c r="G401" s="1459"/>
      <c r="H401" s="1459"/>
      <c r="I401" s="1459"/>
      <c r="J401" s="1459"/>
      <c r="K401" s="1459"/>
      <c r="L401" s="1459"/>
      <c r="N401" s="1399"/>
      <c r="P401" s="1399"/>
      <c r="Q401" s="1399"/>
      <c r="R401" s="1399"/>
      <c r="S401" s="1399"/>
      <c r="T401" s="1399"/>
      <c r="U401" s="1399"/>
      <c r="V401" s="1399"/>
      <c r="W401" s="1399"/>
    </row>
    <row r="402" spans="2:23" s="1280" customFormat="1" x14ac:dyDescent="0.6">
      <c r="B402" s="1461"/>
      <c r="D402" s="1459"/>
      <c r="E402" s="1459"/>
      <c r="F402" s="1459"/>
      <c r="G402" s="1459"/>
      <c r="H402" s="1459"/>
      <c r="I402" s="1459"/>
      <c r="J402" s="1459"/>
      <c r="K402" s="1459"/>
      <c r="L402" s="1459"/>
      <c r="N402" s="1399"/>
      <c r="P402" s="1399"/>
      <c r="Q402" s="1399"/>
      <c r="R402" s="1399"/>
      <c r="S402" s="1399"/>
      <c r="T402" s="1399"/>
      <c r="U402" s="1399"/>
      <c r="V402" s="1399"/>
      <c r="W402" s="1399"/>
    </row>
    <row r="403" spans="2:23" s="1280" customFormat="1" x14ac:dyDescent="0.6">
      <c r="B403" s="1461"/>
      <c r="D403" s="1459"/>
      <c r="E403" s="1459"/>
      <c r="F403" s="1459"/>
      <c r="G403" s="1459"/>
      <c r="H403" s="1459"/>
      <c r="I403" s="1459"/>
      <c r="J403" s="1459"/>
      <c r="K403" s="1459"/>
      <c r="L403" s="1459"/>
      <c r="N403" s="1399"/>
      <c r="P403" s="1399"/>
      <c r="Q403" s="1399"/>
      <c r="R403" s="1399"/>
      <c r="S403" s="1399"/>
      <c r="T403" s="1399"/>
      <c r="U403" s="1399"/>
      <c r="V403" s="1399"/>
      <c r="W403" s="1399"/>
    </row>
    <row r="404" spans="2:23" s="1280" customFormat="1" x14ac:dyDescent="0.6">
      <c r="B404" s="1461"/>
      <c r="D404" s="1459"/>
      <c r="E404" s="1459"/>
      <c r="F404" s="1459"/>
      <c r="G404" s="1459"/>
      <c r="H404" s="1459"/>
      <c r="I404" s="1459"/>
      <c r="J404" s="1459"/>
      <c r="K404" s="1459"/>
      <c r="L404" s="1459"/>
      <c r="N404" s="1399"/>
      <c r="P404" s="1399"/>
      <c r="Q404" s="1399"/>
      <c r="R404" s="1399"/>
      <c r="S404" s="1399"/>
      <c r="T404" s="1399"/>
      <c r="U404" s="1399"/>
      <c r="V404" s="1399"/>
      <c r="W404" s="1399"/>
    </row>
    <row r="405" spans="2:23" s="1280" customFormat="1" x14ac:dyDescent="0.6">
      <c r="B405" s="1461"/>
      <c r="D405" s="1459"/>
      <c r="E405" s="1459"/>
      <c r="F405" s="1459"/>
      <c r="G405" s="1459"/>
      <c r="H405" s="1459"/>
      <c r="I405" s="1459"/>
      <c r="J405" s="1459"/>
      <c r="K405" s="1459"/>
      <c r="L405" s="1459"/>
      <c r="N405" s="1399"/>
      <c r="P405" s="1399"/>
      <c r="Q405" s="1399"/>
      <c r="R405" s="1399"/>
      <c r="S405" s="1399"/>
      <c r="T405" s="1399"/>
      <c r="U405" s="1399"/>
      <c r="V405" s="1399"/>
      <c r="W405" s="1399"/>
    </row>
    <row r="406" spans="2:23" s="1280" customFormat="1" x14ac:dyDescent="0.6">
      <c r="B406" s="1461"/>
      <c r="D406" s="1459"/>
      <c r="E406" s="1459"/>
      <c r="F406" s="1459"/>
      <c r="G406" s="1459"/>
      <c r="H406" s="1459"/>
      <c r="I406" s="1459"/>
      <c r="J406" s="1459"/>
      <c r="K406" s="1459"/>
      <c r="L406" s="1459"/>
      <c r="N406" s="1399"/>
      <c r="P406" s="1399"/>
      <c r="Q406" s="1399"/>
      <c r="R406" s="1399"/>
      <c r="S406" s="1399"/>
      <c r="T406" s="1399"/>
      <c r="U406" s="1399"/>
      <c r="V406" s="1399"/>
      <c r="W406" s="1399"/>
    </row>
    <row r="407" spans="2:23" s="1280" customFormat="1" x14ac:dyDescent="0.6">
      <c r="B407" s="1461"/>
      <c r="D407" s="1459"/>
      <c r="E407" s="1459"/>
      <c r="F407" s="1459"/>
      <c r="G407" s="1459"/>
      <c r="H407" s="1459"/>
      <c r="I407" s="1459"/>
      <c r="J407" s="1459"/>
      <c r="K407" s="1459"/>
      <c r="L407" s="1459"/>
      <c r="N407" s="1399"/>
      <c r="P407" s="1399"/>
      <c r="Q407" s="1399"/>
      <c r="R407" s="1399"/>
      <c r="S407" s="1399"/>
      <c r="T407" s="1399"/>
      <c r="U407" s="1399"/>
      <c r="V407" s="1399"/>
      <c r="W407" s="1399"/>
    </row>
    <row r="408" spans="2:23" s="1280" customFormat="1" x14ac:dyDescent="0.6">
      <c r="B408" s="1461"/>
      <c r="D408" s="1459"/>
      <c r="E408" s="1459"/>
      <c r="F408" s="1459"/>
      <c r="G408" s="1459"/>
      <c r="H408" s="1459"/>
      <c r="I408" s="1459"/>
      <c r="J408" s="1459"/>
      <c r="K408" s="1459"/>
      <c r="L408" s="1459"/>
      <c r="N408" s="1399"/>
      <c r="P408" s="1399"/>
      <c r="Q408" s="1399"/>
      <c r="R408" s="1399"/>
      <c r="S408" s="1399"/>
      <c r="T408" s="1399"/>
      <c r="U408" s="1399"/>
      <c r="V408" s="1399"/>
      <c r="W408" s="1399"/>
    </row>
    <row r="409" spans="2:23" s="1280" customFormat="1" x14ac:dyDescent="0.6">
      <c r="B409" s="1461"/>
      <c r="D409" s="1459"/>
      <c r="E409" s="1459"/>
      <c r="F409" s="1459"/>
      <c r="G409" s="1459"/>
      <c r="H409" s="1459"/>
      <c r="I409" s="1459"/>
      <c r="J409" s="1459"/>
      <c r="K409" s="1459"/>
      <c r="L409" s="1459"/>
      <c r="N409" s="1399"/>
      <c r="P409" s="1399"/>
      <c r="Q409" s="1399"/>
      <c r="R409" s="1399"/>
      <c r="S409" s="1399"/>
      <c r="T409" s="1399"/>
      <c r="U409" s="1399"/>
      <c r="V409" s="1399"/>
      <c r="W409" s="1399"/>
    </row>
    <row r="410" spans="2:23" s="1280" customFormat="1" x14ac:dyDescent="0.6">
      <c r="B410" s="1461"/>
      <c r="D410" s="1459"/>
      <c r="E410" s="1459"/>
      <c r="F410" s="1459"/>
      <c r="G410" s="1459"/>
      <c r="H410" s="1459"/>
      <c r="I410" s="1459"/>
      <c r="J410" s="1459"/>
      <c r="K410" s="1459"/>
      <c r="L410" s="1459"/>
      <c r="N410" s="1399"/>
      <c r="P410" s="1399"/>
      <c r="Q410" s="1399"/>
      <c r="R410" s="1399"/>
      <c r="S410" s="1399"/>
      <c r="T410" s="1399"/>
      <c r="U410" s="1399"/>
      <c r="V410" s="1399"/>
      <c r="W410" s="1399"/>
    </row>
    <row r="411" spans="2:23" s="1280" customFormat="1" x14ac:dyDescent="0.6">
      <c r="B411" s="1461"/>
      <c r="D411" s="1459"/>
      <c r="E411" s="1459"/>
      <c r="F411" s="1459"/>
      <c r="G411" s="1459"/>
      <c r="H411" s="1459"/>
      <c r="I411" s="1459"/>
      <c r="J411" s="1459"/>
      <c r="K411" s="1459"/>
      <c r="L411" s="1459"/>
      <c r="N411" s="1399"/>
      <c r="P411" s="1399"/>
      <c r="Q411" s="1399"/>
      <c r="R411" s="1399"/>
      <c r="S411" s="1399"/>
      <c r="T411" s="1399"/>
      <c r="U411" s="1399"/>
      <c r="V411" s="1399"/>
      <c r="W411" s="1399"/>
    </row>
    <row r="412" spans="2:23" s="1280" customFormat="1" x14ac:dyDescent="0.6">
      <c r="B412" s="1461"/>
      <c r="D412" s="1459"/>
      <c r="E412" s="1459"/>
      <c r="F412" s="1459"/>
      <c r="G412" s="1459"/>
      <c r="H412" s="1459"/>
      <c r="I412" s="1459"/>
      <c r="J412" s="1459"/>
      <c r="K412" s="1459"/>
      <c r="L412" s="1459"/>
      <c r="N412" s="1399"/>
      <c r="P412" s="1399"/>
      <c r="Q412" s="1399"/>
      <c r="R412" s="1399"/>
      <c r="S412" s="1399"/>
      <c r="T412" s="1399"/>
      <c r="U412" s="1399"/>
      <c r="V412" s="1399"/>
      <c r="W412" s="1399"/>
    </row>
    <row r="413" spans="2:23" s="1280" customFormat="1" x14ac:dyDescent="0.6">
      <c r="B413" s="1461"/>
      <c r="D413" s="1459"/>
      <c r="E413" s="1459"/>
      <c r="F413" s="1459"/>
      <c r="G413" s="1459"/>
      <c r="H413" s="1459"/>
      <c r="I413" s="1459"/>
      <c r="J413" s="1459"/>
      <c r="K413" s="1459"/>
      <c r="L413" s="1459"/>
      <c r="N413" s="1399"/>
      <c r="P413" s="1399"/>
      <c r="Q413" s="1399"/>
      <c r="R413" s="1399"/>
      <c r="S413" s="1399"/>
      <c r="T413" s="1399"/>
      <c r="U413" s="1399"/>
      <c r="V413" s="1399"/>
      <c r="W413" s="1399"/>
    </row>
    <row r="414" spans="2:23" s="1280" customFormat="1" x14ac:dyDescent="0.6">
      <c r="B414" s="1461"/>
      <c r="D414" s="1459"/>
      <c r="E414" s="1459"/>
      <c r="F414" s="1459"/>
      <c r="G414" s="1459"/>
      <c r="H414" s="1459"/>
      <c r="I414" s="1459"/>
      <c r="J414" s="1459"/>
      <c r="K414" s="1459"/>
      <c r="L414" s="1459"/>
      <c r="N414" s="1399"/>
      <c r="P414" s="1399"/>
      <c r="Q414" s="1399"/>
      <c r="R414" s="1399"/>
      <c r="S414" s="1399"/>
      <c r="T414" s="1399"/>
      <c r="U414" s="1399"/>
      <c r="V414" s="1399"/>
      <c r="W414" s="1399"/>
    </row>
    <row r="415" spans="2:23" s="1280" customFormat="1" x14ac:dyDescent="0.6">
      <c r="B415" s="1461"/>
      <c r="D415" s="1459"/>
      <c r="E415" s="1459"/>
      <c r="F415" s="1459"/>
      <c r="G415" s="1459"/>
      <c r="H415" s="1459"/>
      <c r="I415" s="1459"/>
      <c r="J415" s="1459"/>
      <c r="K415" s="1459"/>
      <c r="L415" s="1459"/>
      <c r="N415" s="1399"/>
      <c r="P415" s="1399"/>
      <c r="Q415" s="1399"/>
      <c r="R415" s="1399"/>
      <c r="S415" s="1399"/>
      <c r="T415" s="1399"/>
      <c r="U415" s="1399"/>
      <c r="V415" s="1399"/>
      <c r="W415" s="1399"/>
    </row>
    <row r="416" spans="2:23" s="1280" customFormat="1" x14ac:dyDescent="0.6">
      <c r="B416" s="1461"/>
      <c r="D416" s="1459"/>
      <c r="E416" s="1459"/>
      <c r="F416" s="1459"/>
      <c r="G416" s="1459"/>
      <c r="H416" s="1459"/>
      <c r="I416" s="1459"/>
      <c r="J416" s="1459"/>
      <c r="K416" s="1459"/>
      <c r="L416" s="1459"/>
      <c r="N416" s="1399"/>
      <c r="P416" s="1399"/>
      <c r="Q416" s="1399"/>
      <c r="R416" s="1399"/>
      <c r="S416" s="1399"/>
      <c r="T416" s="1399"/>
      <c r="U416" s="1399"/>
      <c r="V416" s="1399"/>
      <c r="W416" s="1399"/>
    </row>
    <row r="417" spans="2:23" s="1280" customFormat="1" x14ac:dyDescent="0.6">
      <c r="B417" s="1461"/>
      <c r="D417" s="1459"/>
      <c r="E417" s="1459"/>
      <c r="F417" s="1459"/>
      <c r="G417" s="1459"/>
      <c r="H417" s="1459"/>
      <c r="I417" s="1459"/>
      <c r="J417" s="1459"/>
      <c r="K417" s="1459"/>
      <c r="L417" s="1459"/>
      <c r="N417" s="1399"/>
      <c r="P417" s="1399"/>
      <c r="Q417" s="1399"/>
      <c r="R417" s="1399"/>
      <c r="S417" s="1399"/>
      <c r="T417" s="1399"/>
      <c r="U417" s="1399"/>
      <c r="V417" s="1399"/>
      <c r="W417" s="1399"/>
    </row>
    <row r="418" spans="2:23" s="1280" customFormat="1" x14ac:dyDescent="0.6">
      <c r="B418" s="1461"/>
      <c r="D418" s="1459"/>
      <c r="E418" s="1459"/>
      <c r="F418" s="1459"/>
      <c r="G418" s="1459"/>
      <c r="H418" s="1459"/>
      <c r="I418" s="1459"/>
      <c r="J418" s="1459"/>
      <c r="K418" s="1459"/>
      <c r="L418" s="1459"/>
      <c r="N418" s="1399"/>
      <c r="P418" s="1399"/>
      <c r="Q418" s="1399"/>
      <c r="R418" s="1399"/>
      <c r="S418" s="1399"/>
      <c r="T418" s="1399"/>
      <c r="U418" s="1399"/>
      <c r="V418" s="1399"/>
      <c r="W418" s="1399"/>
    </row>
    <row r="419" spans="2:23" s="1280" customFormat="1" x14ac:dyDescent="0.6">
      <c r="B419" s="1461"/>
      <c r="D419" s="1459"/>
      <c r="E419" s="1459"/>
      <c r="F419" s="1459"/>
      <c r="G419" s="1459"/>
      <c r="H419" s="1459"/>
      <c r="I419" s="1459"/>
      <c r="J419" s="1459"/>
      <c r="K419" s="1459"/>
      <c r="L419" s="1459"/>
      <c r="N419" s="1399"/>
      <c r="P419" s="1399"/>
      <c r="Q419" s="1399"/>
      <c r="R419" s="1399"/>
      <c r="S419" s="1399"/>
      <c r="T419" s="1399"/>
      <c r="U419" s="1399"/>
      <c r="V419" s="1399"/>
      <c r="W419" s="1399"/>
    </row>
    <row r="420" spans="2:23" s="1280" customFormat="1" x14ac:dyDescent="0.6">
      <c r="B420" s="1461"/>
      <c r="D420" s="1459"/>
      <c r="E420" s="1459"/>
      <c r="F420" s="1459"/>
      <c r="G420" s="1459"/>
      <c r="H420" s="1459"/>
      <c r="I420" s="1459"/>
      <c r="J420" s="1459"/>
      <c r="K420" s="1459"/>
      <c r="L420" s="1459"/>
      <c r="N420" s="1399"/>
      <c r="P420" s="1399"/>
      <c r="Q420" s="1399"/>
      <c r="R420" s="1399"/>
      <c r="S420" s="1399"/>
      <c r="T420" s="1399"/>
      <c r="U420" s="1399"/>
      <c r="V420" s="1399"/>
      <c r="W420" s="1399"/>
    </row>
    <row r="421" spans="2:23" s="1280" customFormat="1" x14ac:dyDescent="0.6">
      <c r="B421" s="1461"/>
      <c r="D421" s="1459"/>
      <c r="E421" s="1459"/>
      <c r="F421" s="1459"/>
      <c r="G421" s="1459"/>
      <c r="H421" s="1459"/>
      <c r="I421" s="1459"/>
      <c r="J421" s="1459"/>
      <c r="K421" s="1459"/>
      <c r="L421" s="1459"/>
      <c r="N421" s="1399"/>
      <c r="P421" s="1399"/>
      <c r="Q421" s="1399"/>
      <c r="R421" s="1399"/>
      <c r="S421" s="1399"/>
      <c r="T421" s="1399"/>
      <c r="U421" s="1399"/>
      <c r="V421" s="1399"/>
      <c r="W421" s="1399"/>
    </row>
    <row r="422" spans="2:23" s="1280" customFormat="1" x14ac:dyDescent="0.6">
      <c r="B422" s="1461"/>
      <c r="D422" s="1459"/>
      <c r="E422" s="1459"/>
      <c r="F422" s="1459"/>
      <c r="G422" s="1459"/>
      <c r="H422" s="1459"/>
      <c r="I422" s="1459"/>
      <c r="J422" s="1459"/>
      <c r="K422" s="1459"/>
      <c r="L422" s="1459"/>
      <c r="N422" s="1399"/>
      <c r="P422" s="1399"/>
      <c r="Q422" s="1399"/>
      <c r="R422" s="1399"/>
      <c r="S422" s="1399"/>
      <c r="T422" s="1399"/>
      <c r="U422" s="1399"/>
      <c r="V422" s="1399"/>
      <c r="W422" s="1399"/>
    </row>
    <row r="423" spans="2:23" s="1280" customFormat="1" x14ac:dyDescent="0.6">
      <c r="B423" s="1461"/>
      <c r="D423" s="1459"/>
      <c r="E423" s="1459"/>
      <c r="F423" s="1459"/>
      <c r="G423" s="1459"/>
      <c r="H423" s="1459"/>
      <c r="I423" s="1459"/>
      <c r="J423" s="1459"/>
      <c r="K423" s="1459"/>
      <c r="L423" s="1459"/>
      <c r="N423" s="1399"/>
      <c r="P423" s="1399"/>
      <c r="Q423" s="1399"/>
      <c r="R423" s="1399"/>
      <c r="S423" s="1399"/>
      <c r="T423" s="1399"/>
      <c r="U423" s="1399"/>
      <c r="V423" s="1399"/>
      <c r="W423" s="1399"/>
    </row>
    <row r="424" spans="2:23" s="1280" customFormat="1" x14ac:dyDescent="0.6">
      <c r="B424" s="1461"/>
      <c r="D424" s="1459"/>
      <c r="E424" s="1459"/>
      <c r="F424" s="1459"/>
      <c r="G424" s="1459"/>
      <c r="H424" s="1459"/>
      <c r="I424" s="1459"/>
      <c r="J424" s="1459"/>
      <c r="K424" s="1459"/>
      <c r="L424" s="1459"/>
      <c r="N424" s="1399"/>
      <c r="P424" s="1399"/>
      <c r="Q424" s="1399"/>
      <c r="R424" s="1399"/>
      <c r="S424" s="1399"/>
      <c r="T424" s="1399"/>
      <c r="U424" s="1399"/>
      <c r="V424" s="1399"/>
      <c r="W424" s="1399"/>
    </row>
    <row r="425" spans="2:23" s="1280" customFormat="1" x14ac:dyDescent="0.6">
      <c r="B425" s="1461"/>
      <c r="D425" s="1459"/>
      <c r="E425" s="1459"/>
      <c r="F425" s="1459"/>
      <c r="G425" s="1459"/>
      <c r="H425" s="1459"/>
      <c r="I425" s="1459"/>
      <c r="J425" s="1459"/>
      <c r="K425" s="1459"/>
      <c r="L425" s="1459"/>
      <c r="N425" s="1399"/>
      <c r="P425" s="1399"/>
      <c r="Q425" s="1399"/>
      <c r="R425" s="1399"/>
      <c r="S425" s="1399"/>
      <c r="T425" s="1399"/>
      <c r="U425" s="1399"/>
      <c r="V425" s="1399"/>
      <c r="W425" s="1399"/>
    </row>
    <row r="426" spans="2:23" s="1280" customFormat="1" x14ac:dyDescent="0.6">
      <c r="B426" s="1461"/>
      <c r="D426" s="1459"/>
      <c r="E426" s="1459"/>
      <c r="F426" s="1459"/>
      <c r="G426" s="1459"/>
      <c r="H426" s="1459"/>
      <c r="I426" s="1459"/>
      <c r="J426" s="1459"/>
      <c r="K426" s="1459"/>
      <c r="L426" s="1459"/>
      <c r="N426" s="1399"/>
      <c r="P426" s="1399"/>
      <c r="Q426" s="1399"/>
      <c r="R426" s="1399"/>
      <c r="S426" s="1399"/>
      <c r="T426" s="1399"/>
      <c r="U426" s="1399"/>
      <c r="V426" s="1399"/>
      <c r="W426" s="1399"/>
    </row>
    <row r="427" spans="2:23" s="1280" customFormat="1" x14ac:dyDescent="0.6">
      <c r="B427" s="1461"/>
      <c r="D427" s="1459"/>
      <c r="E427" s="1459"/>
      <c r="F427" s="1459"/>
      <c r="G427" s="1459"/>
      <c r="H427" s="1459"/>
      <c r="I427" s="1459"/>
      <c r="J427" s="1459"/>
      <c r="K427" s="1459"/>
      <c r="L427" s="1459"/>
      <c r="N427" s="1399"/>
      <c r="P427" s="1399"/>
      <c r="Q427" s="1399"/>
      <c r="R427" s="1399"/>
      <c r="S427" s="1399"/>
      <c r="T427" s="1399"/>
      <c r="U427" s="1399"/>
      <c r="V427" s="1399"/>
      <c r="W427" s="1399"/>
    </row>
    <row r="428" spans="2:23" s="1280" customFormat="1" x14ac:dyDescent="0.6">
      <c r="B428" s="1461"/>
      <c r="D428" s="1459"/>
      <c r="E428" s="1459"/>
      <c r="F428" s="1459"/>
      <c r="G428" s="1459"/>
      <c r="H428" s="1459"/>
      <c r="I428" s="1459"/>
      <c r="J428" s="1459"/>
      <c r="K428" s="1459"/>
      <c r="L428" s="1459"/>
      <c r="N428" s="1399"/>
      <c r="P428" s="1399"/>
      <c r="Q428" s="1399"/>
      <c r="R428" s="1399"/>
      <c r="S428" s="1399"/>
      <c r="T428" s="1399"/>
      <c r="U428" s="1399"/>
      <c r="V428" s="1399"/>
      <c r="W428" s="1399"/>
    </row>
    <row r="429" spans="2:23" s="1280" customFormat="1" x14ac:dyDescent="0.6">
      <c r="B429" s="1461"/>
      <c r="D429" s="1459"/>
      <c r="E429" s="1459"/>
      <c r="F429" s="1459"/>
      <c r="G429" s="1459"/>
      <c r="H429" s="1459"/>
      <c r="I429" s="1459"/>
      <c r="J429" s="1459"/>
      <c r="K429" s="1459"/>
      <c r="L429" s="1459"/>
      <c r="N429" s="1399"/>
      <c r="P429" s="1399"/>
      <c r="Q429" s="1399"/>
      <c r="R429" s="1399"/>
      <c r="S429" s="1399"/>
      <c r="T429" s="1399"/>
      <c r="U429" s="1399"/>
      <c r="V429" s="1399"/>
      <c r="W429" s="1399"/>
    </row>
    <row r="430" spans="2:23" s="1280" customFormat="1" x14ac:dyDescent="0.6">
      <c r="B430" s="1461"/>
      <c r="D430" s="1459"/>
      <c r="E430" s="1459"/>
      <c r="F430" s="1459"/>
      <c r="G430" s="1459"/>
      <c r="H430" s="1459"/>
      <c r="I430" s="1459"/>
      <c r="J430" s="1459"/>
      <c r="K430" s="1459"/>
      <c r="L430" s="1459"/>
      <c r="N430" s="1399"/>
      <c r="P430" s="1399"/>
      <c r="Q430" s="1399"/>
      <c r="R430" s="1399"/>
      <c r="S430" s="1399"/>
      <c r="T430" s="1399"/>
      <c r="U430" s="1399"/>
      <c r="V430" s="1399"/>
      <c r="W430" s="1399"/>
    </row>
    <row r="431" spans="2:23" s="1280" customFormat="1" x14ac:dyDescent="0.6">
      <c r="B431" s="1461"/>
      <c r="D431" s="1459"/>
      <c r="E431" s="1459"/>
      <c r="F431" s="1459"/>
      <c r="G431" s="1459"/>
      <c r="H431" s="1459"/>
      <c r="I431" s="1459"/>
      <c r="J431" s="1459"/>
      <c r="K431" s="1459"/>
      <c r="L431" s="1459"/>
      <c r="N431" s="1399"/>
      <c r="P431" s="1399"/>
      <c r="Q431" s="1399"/>
      <c r="R431" s="1399"/>
      <c r="S431" s="1399"/>
      <c r="T431" s="1399"/>
      <c r="U431" s="1399"/>
      <c r="V431" s="1399"/>
      <c r="W431" s="1399"/>
    </row>
    <row r="432" spans="2:23" s="1280" customFormat="1" x14ac:dyDescent="0.6">
      <c r="B432" s="1461"/>
      <c r="D432" s="1459"/>
      <c r="E432" s="1459"/>
      <c r="F432" s="1459"/>
      <c r="G432" s="1459"/>
      <c r="H432" s="1459"/>
      <c r="I432" s="1459"/>
      <c r="J432" s="1459"/>
      <c r="K432" s="1459"/>
      <c r="L432" s="1459"/>
      <c r="N432" s="1399"/>
      <c r="P432" s="1399"/>
      <c r="Q432" s="1399"/>
      <c r="R432" s="1399"/>
      <c r="S432" s="1399"/>
      <c r="T432" s="1399"/>
      <c r="U432" s="1399"/>
      <c r="V432" s="1399"/>
      <c r="W432" s="1399"/>
    </row>
    <row r="433" spans="2:23" s="1280" customFormat="1" x14ac:dyDescent="0.6">
      <c r="B433" s="1461"/>
      <c r="D433" s="1459"/>
      <c r="E433" s="1459"/>
      <c r="F433" s="1459"/>
      <c r="G433" s="1459"/>
      <c r="H433" s="1459"/>
      <c r="I433" s="1459"/>
      <c r="J433" s="1459"/>
      <c r="K433" s="1459"/>
      <c r="L433" s="1459"/>
      <c r="N433" s="1399"/>
      <c r="P433" s="1399"/>
      <c r="Q433" s="1399"/>
      <c r="R433" s="1399"/>
      <c r="S433" s="1399"/>
      <c r="T433" s="1399"/>
      <c r="U433" s="1399"/>
      <c r="V433" s="1399"/>
      <c r="W433" s="1399"/>
    </row>
    <row r="434" spans="2:23" s="1280" customFormat="1" x14ac:dyDescent="0.6">
      <c r="B434" s="1461"/>
      <c r="D434" s="1459"/>
      <c r="E434" s="1459"/>
      <c r="F434" s="1459"/>
      <c r="G434" s="1459"/>
      <c r="H434" s="1459"/>
      <c r="I434" s="1459"/>
      <c r="J434" s="1459"/>
      <c r="K434" s="1459"/>
      <c r="L434" s="1459"/>
      <c r="N434" s="1399"/>
      <c r="P434" s="1399"/>
      <c r="Q434" s="1399"/>
      <c r="R434" s="1399"/>
      <c r="S434" s="1399"/>
      <c r="T434" s="1399"/>
      <c r="U434" s="1399"/>
      <c r="V434" s="1399"/>
      <c r="W434" s="1399"/>
    </row>
    <row r="435" spans="2:23" s="1280" customFormat="1" x14ac:dyDescent="0.6">
      <c r="B435" s="1461"/>
      <c r="D435" s="1459"/>
      <c r="E435" s="1459"/>
      <c r="F435" s="1459"/>
      <c r="G435" s="1459"/>
      <c r="H435" s="1459"/>
      <c r="I435" s="1459"/>
      <c r="J435" s="1459"/>
      <c r="K435" s="1459"/>
      <c r="L435" s="1459"/>
      <c r="N435" s="1399"/>
      <c r="P435" s="1399"/>
      <c r="Q435" s="1399"/>
      <c r="R435" s="1399"/>
      <c r="S435" s="1399"/>
      <c r="T435" s="1399"/>
      <c r="U435" s="1399"/>
      <c r="V435" s="1399"/>
      <c r="W435" s="1399"/>
    </row>
    <row r="436" spans="2:23" s="1280" customFormat="1" x14ac:dyDescent="0.6">
      <c r="B436" s="1461"/>
      <c r="D436" s="1459"/>
      <c r="E436" s="1459"/>
      <c r="F436" s="1459"/>
      <c r="G436" s="1459"/>
      <c r="H436" s="1459"/>
      <c r="I436" s="1459"/>
      <c r="J436" s="1459"/>
      <c r="K436" s="1459"/>
      <c r="L436" s="1459"/>
      <c r="N436" s="1399"/>
      <c r="P436" s="1399"/>
      <c r="Q436" s="1399"/>
      <c r="R436" s="1399"/>
      <c r="S436" s="1399"/>
      <c r="T436" s="1399"/>
      <c r="U436" s="1399"/>
      <c r="V436" s="1399"/>
      <c r="W436" s="1399"/>
    </row>
    <row r="437" spans="2:23" s="1280" customFormat="1" x14ac:dyDescent="0.6">
      <c r="B437" s="1461"/>
      <c r="D437" s="1459"/>
      <c r="E437" s="1459"/>
      <c r="F437" s="1459"/>
      <c r="G437" s="1459"/>
      <c r="H437" s="1459"/>
      <c r="I437" s="1459"/>
      <c r="J437" s="1459"/>
      <c r="K437" s="1459"/>
      <c r="L437" s="1459"/>
      <c r="N437" s="1399"/>
      <c r="P437" s="1399"/>
      <c r="Q437" s="1399"/>
      <c r="R437" s="1399"/>
      <c r="S437" s="1399"/>
      <c r="T437" s="1399"/>
      <c r="U437" s="1399"/>
      <c r="V437" s="1399"/>
      <c r="W437" s="1399"/>
    </row>
    <row r="438" spans="2:23" s="1280" customFormat="1" x14ac:dyDescent="0.6">
      <c r="B438" s="1461"/>
      <c r="D438" s="1459"/>
      <c r="E438" s="1459"/>
      <c r="F438" s="1459"/>
      <c r="G438" s="1459"/>
      <c r="H438" s="1459"/>
      <c r="I438" s="1459"/>
      <c r="J438" s="1459"/>
      <c r="K438" s="1459"/>
      <c r="L438" s="1459"/>
      <c r="N438" s="1399"/>
      <c r="P438" s="1399"/>
      <c r="Q438" s="1399"/>
      <c r="R438" s="1399"/>
      <c r="S438" s="1399"/>
      <c r="T438" s="1399"/>
      <c r="U438" s="1399"/>
      <c r="V438" s="1399"/>
      <c r="W438" s="1399"/>
    </row>
    <row r="439" spans="2:23" s="1280" customFormat="1" x14ac:dyDescent="0.6">
      <c r="B439" s="1461"/>
      <c r="D439" s="1459"/>
      <c r="E439" s="1459"/>
      <c r="F439" s="1459"/>
      <c r="G439" s="1459"/>
      <c r="H439" s="1459"/>
      <c r="I439" s="1459"/>
      <c r="J439" s="1459"/>
      <c r="K439" s="1459"/>
      <c r="L439" s="1459"/>
      <c r="N439" s="1399"/>
      <c r="P439" s="1399"/>
      <c r="Q439" s="1399"/>
      <c r="R439" s="1399"/>
      <c r="S439" s="1399"/>
      <c r="T439" s="1399"/>
      <c r="U439" s="1399"/>
      <c r="V439" s="1399"/>
      <c r="W439" s="1399"/>
    </row>
    <row r="440" spans="2:23" s="1280" customFormat="1" x14ac:dyDescent="0.6">
      <c r="B440" s="1461"/>
      <c r="D440" s="1459"/>
      <c r="E440" s="1459"/>
      <c r="F440" s="1459"/>
      <c r="G440" s="1459"/>
      <c r="H440" s="1459"/>
      <c r="I440" s="1459"/>
      <c r="J440" s="1459"/>
      <c r="K440" s="1459"/>
      <c r="L440" s="1459"/>
      <c r="N440" s="1399"/>
      <c r="P440" s="1399"/>
      <c r="Q440" s="1399"/>
      <c r="R440" s="1399"/>
      <c r="S440" s="1399"/>
      <c r="T440" s="1399"/>
      <c r="U440" s="1399"/>
      <c r="V440" s="1399"/>
      <c r="W440" s="1399"/>
    </row>
    <row r="441" spans="2:23" s="1280" customFormat="1" x14ac:dyDescent="0.6">
      <c r="B441" s="1461"/>
      <c r="D441" s="1459"/>
      <c r="E441" s="1459"/>
      <c r="F441" s="1459"/>
      <c r="G441" s="1459"/>
      <c r="H441" s="1459"/>
      <c r="I441" s="1459"/>
      <c r="J441" s="1459"/>
      <c r="K441" s="1459"/>
      <c r="L441" s="1459"/>
      <c r="N441" s="1399"/>
      <c r="P441" s="1399"/>
      <c r="Q441" s="1399"/>
      <c r="R441" s="1399"/>
      <c r="S441" s="1399"/>
      <c r="T441" s="1399"/>
      <c r="U441" s="1399"/>
      <c r="V441" s="1399"/>
      <c r="W441" s="1399"/>
    </row>
    <row r="442" spans="2:23" s="1280" customFormat="1" x14ac:dyDescent="0.6">
      <c r="B442" s="1461"/>
      <c r="D442" s="1459"/>
      <c r="E442" s="1459"/>
      <c r="F442" s="1459"/>
      <c r="G442" s="1459"/>
      <c r="H442" s="1459"/>
      <c r="I442" s="1459"/>
      <c r="J442" s="1459"/>
      <c r="K442" s="1459"/>
      <c r="L442" s="1459"/>
      <c r="N442" s="1399"/>
      <c r="P442" s="1399"/>
      <c r="Q442" s="1399"/>
      <c r="R442" s="1399"/>
      <c r="S442" s="1399"/>
      <c r="T442" s="1399"/>
      <c r="U442" s="1399"/>
      <c r="V442" s="1399"/>
      <c r="W442" s="1399"/>
    </row>
    <row r="443" spans="2:23" s="1280" customFormat="1" x14ac:dyDescent="0.6">
      <c r="B443" s="1461"/>
      <c r="D443" s="1459"/>
      <c r="E443" s="1459"/>
      <c r="F443" s="1459"/>
      <c r="G443" s="1459"/>
      <c r="H443" s="1459"/>
      <c r="I443" s="1459"/>
      <c r="J443" s="1459"/>
      <c r="K443" s="1459"/>
      <c r="L443" s="1459"/>
      <c r="N443" s="1399"/>
      <c r="P443" s="1399"/>
      <c r="Q443" s="1399"/>
      <c r="R443" s="1399"/>
      <c r="S443" s="1399"/>
      <c r="T443" s="1399"/>
      <c r="U443" s="1399"/>
      <c r="V443" s="1399"/>
      <c r="W443" s="1399"/>
    </row>
    <row r="444" spans="2:23" s="1280" customFormat="1" x14ac:dyDescent="0.6">
      <c r="B444" s="1461"/>
      <c r="D444" s="1459"/>
      <c r="E444" s="1459"/>
      <c r="F444" s="1459"/>
      <c r="G444" s="1459"/>
      <c r="H444" s="1459"/>
      <c r="I444" s="1459"/>
      <c r="J444" s="1459"/>
      <c r="K444" s="1459"/>
      <c r="L444" s="1459"/>
      <c r="N444" s="1399"/>
      <c r="P444" s="1399"/>
      <c r="Q444" s="1399"/>
      <c r="R444" s="1399"/>
      <c r="S444" s="1399"/>
      <c r="T444" s="1399"/>
      <c r="U444" s="1399"/>
      <c r="V444" s="1399"/>
      <c r="W444" s="1399"/>
    </row>
    <row r="445" spans="2:23" s="1280" customFormat="1" x14ac:dyDescent="0.6">
      <c r="B445" s="1461"/>
      <c r="D445" s="1459"/>
      <c r="E445" s="1459"/>
      <c r="F445" s="1459"/>
      <c r="G445" s="1459"/>
      <c r="H445" s="1459"/>
      <c r="I445" s="1459"/>
      <c r="J445" s="1459"/>
      <c r="K445" s="1459"/>
      <c r="L445" s="1459"/>
      <c r="N445" s="1399"/>
      <c r="P445" s="1399"/>
      <c r="Q445" s="1399"/>
      <c r="R445" s="1399"/>
      <c r="S445" s="1399"/>
      <c r="T445" s="1399"/>
      <c r="U445" s="1399"/>
      <c r="V445" s="1399"/>
      <c r="W445" s="1399"/>
    </row>
    <row r="446" spans="2:23" s="1280" customFormat="1" x14ac:dyDescent="0.6">
      <c r="B446" s="1461"/>
      <c r="D446" s="1459"/>
      <c r="E446" s="1459"/>
      <c r="F446" s="1459"/>
      <c r="G446" s="1459"/>
      <c r="H446" s="1459"/>
      <c r="I446" s="1459"/>
      <c r="J446" s="1459"/>
      <c r="K446" s="1459"/>
      <c r="L446" s="1459"/>
      <c r="N446" s="1399"/>
      <c r="P446" s="1399"/>
      <c r="Q446" s="1399"/>
      <c r="R446" s="1399"/>
      <c r="S446" s="1399"/>
      <c r="T446" s="1399"/>
      <c r="U446" s="1399"/>
      <c r="V446" s="1399"/>
      <c r="W446" s="1399"/>
    </row>
    <row r="447" spans="2:23" s="1280" customFormat="1" x14ac:dyDescent="0.6">
      <c r="B447" s="1461"/>
      <c r="D447" s="1459"/>
      <c r="E447" s="1459"/>
      <c r="F447" s="1459"/>
      <c r="G447" s="1459"/>
      <c r="H447" s="1459"/>
      <c r="I447" s="1459"/>
      <c r="J447" s="1459"/>
      <c r="K447" s="1459"/>
      <c r="L447" s="1459"/>
      <c r="N447" s="1399"/>
      <c r="P447" s="1399"/>
      <c r="Q447" s="1399"/>
      <c r="R447" s="1399"/>
      <c r="S447" s="1399"/>
      <c r="T447" s="1399"/>
      <c r="U447" s="1399"/>
      <c r="V447" s="1399"/>
      <c r="W447" s="1399"/>
    </row>
    <row r="448" spans="2:23" s="1280" customFormat="1" x14ac:dyDescent="0.6">
      <c r="B448" s="1461"/>
      <c r="D448" s="1459"/>
      <c r="E448" s="1459"/>
      <c r="F448" s="1459"/>
      <c r="G448" s="1459"/>
      <c r="H448" s="1459"/>
      <c r="I448" s="1459"/>
      <c r="J448" s="1459"/>
      <c r="K448" s="1459"/>
      <c r="L448" s="1459"/>
      <c r="N448" s="1399"/>
      <c r="P448" s="1399"/>
      <c r="Q448" s="1399"/>
      <c r="R448" s="1399"/>
      <c r="S448" s="1399"/>
      <c r="T448" s="1399"/>
      <c r="U448" s="1399"/>
      <c r="V448" s="1399"/>
      <c r="W448" s="1399"/>
    </row>
    <row r="449" spans="2:23" s="1280" customFormat="1" x14ac:dyDescent="0.6">
      <c r="B449" s="1461"/>
      <c r="D449" s="1459"/>
      <c r="E449" s="1459"/>
      <c r="F449" s="1459"/>
      <c r="G449" s="1459"/>
      <c r="H449" s="1459"/>
      <c r="I449" s="1459"/>
      <c r="J449" s="1459"/>
      <c r="K449" s="1459"/>
      <c r="L449" s="1459"/>
      <c r="N449" s="1399"/>
      <c r="P449" s="1399"/>
      <c r="Q449" s="1399"/>
      <c r="R449" s="1399"/>
      <c r="S449" s="1399"/>
      <c r="T449" s="1399"/>
      <c r="U449" s="1399"/>
      <c r="V449" s="1399"/>
      <c r="W449" s="1399"/>
    </row>
    <row r="450" spans="2:23" s="1280" customFormat="1" x14ac:dyDescent="0.6">
      <c r="B450" s="1461"/>
      <c r="D450" s="1459"/>
      <c r="E450" s="1459"/>
      <c r="F450" s="1459"/>
      <c r="G450" s="1459"/>
      <c r="H450" s="1459"/>
      <c r="I450" s="1459"/>
      <c r="J450" s="1459"/>
      <c r="K450" s="1459"/>
      <c r="L450" s="1459"/>
      <c r="N450" s="1399"/>
      <c r="P450" s="1399"/>
      <c r="Q450" s="1399"/>
      <c r="R450" s="1399"/>
      <c r="S450" s="1399"/>
      <c r="T450" s="1399"/>
      <c r="U450" s="1399"/>
      <c r="V450" s="1399"/>
      <c r="W450" s="1399"/>
    </row>
    <row r="451" spans="2:23" s="1280" customFormat="1" x14ac:dyDescent="0.6">
      <c r="B451" s="1461"/>
      <c r="D451" s="1459"/>
      <c r="E451" s="1459"/>
      <c r="F451" s="1459"/>
      <c r="G451" s="1459"/>
      <c r="H451" s="1459"/>
      <c r="I451" s="1459"/>
      <c r="J451" s="1459"/>
      <c r="K451" s="1459"/>
      <c r="L451" s="1459"/>
      <c r="N451" s="1399"/>
      <c r="P451" s="1399"/>
      <c r="Q451" s="1399"/>
      <c r="R451" s="1399"/>
      <c r="S451" s="1399"/>
      <c r="T451" s="1399"/>
      <c r="U451" s="1399"/>
      <c r="V451" s="1399"/>
      <c r="W451" s="1399"/>
    </row>
    <row r="452" spans="2:23" s="1280" customFormat="1" x14ac:dyDescent="0.6">
      <c r="B452" s="1461"/>
      <c r="D452" s="1459"/>
      <c r="E452" s="1459"/>
      <c r="F452" s="1459"/>
      <c r="G452" s="1459"/>
      <c r="H452" s="1459"/>
      <c r="I452" s="1459"/>
      <c r="J452" s="1459"/>
      <c r="K452" s="1459"/>
      <c r="L452" s="1459"/>
      <c r="N452" s="1399"/>
      <c r="P452" s="1399"/>
      <c r="Q452" s="1399"/>
      <c r="R452" s="1399"/>
      <c r="S452" s="1399"/>
      <c r="T452" s="1399"/>
      <c r="U452" s="1399"/>
      <c r="V452" s="1399"/>
      <c r="W452" s="1399"/>
    </row>
    <row r="453" spans="2:23" s="1280" customFormat="1" x14ac:dyDescent="0.6">
      <c r="B453" s="1461"/>
      <c r="D453" s="1459"/>
      <c r="E453" s="1459"/>
      <c r="F453" s="1459"/>
      <c r="G453" s="1459"/>
      <c r="H453" s="1459"/>
      <c r="I453" s="1459"/>
      <c r="J453" s="1459"/>
      <c r="K453" s="1459"/>
      <c r="L453" s="1459"/>
      <c r="N453" s="1399"/>
      <c r="P453" s="1399"/>
      <c r="Q453" s="1399"/>
      <c r="R453" s="1399"/>
      <c r="S453" s="1399"/>
      <c r="T453" s="1399"/>
      <c r="U453" s="1399"/>
      <c r="V453" s="1399"/>
      <c r="W453" s="1399"/>
    </row>
    <row r="454" spans="2:23" s="1280" customFormat="1" x14ac:dyDescent="0.6">
      <c r="B454" s="1461"/>
      <c r="D454" s="1459"/>
      <c r="E454" s="1459"/>
      <c r="F454" s="1459"/>
      <c r="G454" s="1459"/>
      <c r="H454" s="1459"/>
      <c r="I454" s="1459"/>
      <c r="J454" s="1459"/>
      <c r="K454" s="1459"/>
      <c r="L454" s="1459"/>
      <c r="N454" s="1399"/>
      <c r="P454" s="1399"/>
      <c r="Q454" s="1399"/>
      <c r="R454" s="1399"/>
      <c r="S454" s="1399"/>
      <c r="T454" s="1399"/>
      <c r="U454" s="1399"/>
      <c r="V454" s="1399"/>
      <c r="W454" s="1399"/>
    </row>
    <row r="455" spans="2:23" s="1280" customFormat="1" x14ac:dyDescent="0.6">
      <c r="B455" s="1461"/>
      <c r="D455" s="1459"/>
      <c r="E455" s="1459"/>
      <c r="F455" s="1459"/>
      <c r="G455" s="1459"/>
      <c r="H455" s="1459"/>
      <c r="I455" s="1459"/>
      <c r="J455" s="1459"/>
      <c r="K455" s="1459"/>
      <c r="L455" s="1459"/>
      <c r="N455" s="1399"/>
      <c r="P455" s="1399"/>
      <c r="Q455" s="1399"/>
      <c r="R455" s="1399"/>
      <c r="S455" s="1399"/>
      <c r="T455" s="1399"/>
      <c r="U455" s="1399"/>
      <c r="V455" s="1399"/>
      <c r="W455" s="1399"/>
    </row>
    <row r="456" spans="2:23" s="1280" customFormat="1" x14ac:dyDescent="0.6">
      <c r="B456" s="1461"/>
      <c r="D456" s="1459"/>
      <c r="E456" s="1459"/>
      <c r="F456" s="1459"/>
      <c r="G456" s="1459"/>
      <c r="H456" s="1459"/>
      <c r="I456" s="1459"/>
      <c r="J456" s="1459"/>
      <c r="K456" s="1459"/>
      <c r="L456" s="1459"/>
      <c r="N456" s="1399"/>
      <c r="P456" s="1399"/>
      <c r="Q456" s="1399"/>
      <c r="R456" s="1399"/>
      <c r="S456" s="1399"/>
      <c r="T456" s="1399"/>
      <c r="U456" s="1399"/>
      <c r="V456" s="1399"/>
      <c r="W456" s="1399"/>
    </row>
    <row r="457" spans="2:23" s="1280" customFormat="1" x14ac:dyDescent="0.6">
      <c r="B457" s="1461"/>
      <c r="D457" s="1459"/>
      <c r="E457" s="1459"/>
      <c r="F457" s="1459"/>
      <c r="G457" s="1459"/>
      <c r="H457" s="1459"/>
      <c r="I457" s="1459"/>
      <c r="J457" s="1459"/>
      <c r="K457" s="1459"/>
      <c r="L457" s="1459"/>
      <c r="N457" s="1399"/>
      <c r="P457" s="1399"/>
      <c r="Q457" s="1399"/>
      <c r="R457" s="1399"/>
      <c r="S457" s="1399"/>
      <c r="T457" s="1399"/>
      <c r="U457" s="1399"/>
      <c r="V457" s="1399"/>
      <c r="W457" s="1399"/>
    </row>
    <row r="458" spans="2:23" s="1280" customFormat="1" x14ac:dyDescent="0.6">
      <c r="B458" s="1461"/>
      <c r="D458" s="1459"/>
      <c r="E458" s="1459"/>
      <c r="F458" s="1459"/>
      <c r="G458" s="1459"/>
      <c r="H458" s="1459"/>
      <c r="I458" s="1459"/>
      <c r="J458" s="1459"/>
      <c r="K458" s="1459"/>
      <c r="L458" s="1459"/>
      <c r="N458" s="1399"/>
      <c r="P458" s="1399"/>
      <c r="Q458" s="1399"/>
      <c r="R458" s="1399"/>
      <c r="S458" s="1399"/>
      <c r="T458" s="1399"/>
      <c r="U458" s="1399"/>
      <c r="V458" s="1399"/>
      <c r="W458" s="1399"/>
    </row>
    <row r="459" spans="2:23" s="1280" customFormat="1" x14ac:dyDescent="0.6">
      <c r="B459" s="1461"/>
      <c r="D459" s="1459"/>
      <c r="E459" s="1459"/>
      <c r="F459" s="1459"/>
      <c r="G459" s="1459"/>
      <c r="H459" s="1459"/>
      <c r="I459" s="1459"/>
      <c r="J459" s="1459"/>
      <c r="K459" s="1459"/>
      <c r="L459" s="1459"/>
      <c r="N459" s="1399"/>
      <c r="P459" s="1399"/>
      <c r="Q459" s="1399"/>
      <c r="R459" s="1399"/>
      <c r="S459" s="1399"/>
      <c r="T459" s="1399"/>
      <c r="U459" s="1399"/>
      <c r="V459" s="1399"/>
      <c r="W459" s="1399"/>
    </row>
    <row r="460" spans="2:23" s="1280" customFormat="1" x14ac:dyDescent="0.6">
      <c r="B460" s="1461"/>
      <c r="D460" s="1459"/>
      <c r="E460" s="1459"/>
      <c r="F460" s="1459"/>
      <c r="G460" s="1459"/>
      <c r="H460" s="1459"/>
      <c r="I460" s="1459"/>
      <c r="J460" s="1459"/>
      <c r="K460" s="1459"/>
      <c r="L460" s="1459"/>
      <c r="N460" s="1399"/>
      <c r="P460" s="1399"/>
      <c r="Q460" s="1399"/>
      <c r="R460" s="1399"/>
      <c r="S460" s="1399"/>
      <c r="T460" s="1399"/>
      <c r="U460" s="1399"/>
      <c r="V460" s="1399"/>
      <c r="W460" s="1399"/>
    </row>
    <row r="461" spans="2:23" s="1280" customFormat="1" x14ac:dyDescent="0.6">
      <c r="B461" s="1461"/>
      <c r="D461" s="1459"/>
      <c r="E461" s="1459"/>
      <c r="F461" s="1459"/>
      <c r="G461" s="1459"/>
      <c r="H461" s="1459"/>
      <c r="I461" s="1459"/>
      <c r="J461" s="1459"/>
      <c r="K461" s="1459"/>
      <c r="L461" s="1459"/>
      <c r="N461" s="1399"/>
      <c r="P461" s="1399"/>
      <c r="Q461" s="1399"/>
      <c r="R461" s="1399"/>
      <c r="S461" s="1399"/>
      <c r="T461" s="1399"/>
      <c r="U461" s="1399"/>
      <c r="V461" s="1399"/>
      <c r="W461" s="1399"/>
    </row>
    <row r="462" spans="2:23" s="1280" customFormat="1" x14ac:dyDescent="0.6">
      <c r="B462" s="1461"/>
      <c r="D462" s="1459"/>
      <c r="E462" s="1459"/>
      <c r="F462" s="1459"/>
      <c r="G462" s="1459"/>
      <c r="H462" s="1459"/>
      <c r="I462" s="1459"/>
      <c r="J462" s="1459"/>
      <c r="K462" s="1459"/>
      <c r="L462" s="1459"/>
      <c r="N462" s="1399"/>
      <c r="P462" s="1399"/>
      <c r="Q462" s="1399"/>
      <c r="R462" s="1399"/>
      <c r="S462" s="1399"/>
      <c r="T462" s="1399"/>
      <c r="U462" s="1399"/>
      <c r="V462" s="1399"/>
      <c r="W462" s="1399"/>
    </row>
    <row r="463" spans="2:23" s="1280" customFormat="1" x14ac:dyDescent="0.6">
      <c r="B463" s="1461"/>
      <c r="D463" s="1459"/>
      <c r="E463" s="1459"/>
      <c r="F463" s="1459"/>
      <c r="G463" s="1459"/>
      <c r="H463" s="1459"/>
      <c r="I463" s="1459"/>
      <c r="J463" s="1459"/>
      <c r="K463" s="1459"/>
      <c r="L463" s="1459"/>
      <c r="N463" s="1399"/>
      <c r="P463" s="1399"/>
      <c r="Q463" s="1399"/>
      <c r="R463" s="1399"/>
      <c r="S463" s="1399"/>
      <c r="T463" s="1399"/>
      <c r="U463" s="1399"/>
      <c r="V463" s="1399"/>
      <c r="W463" s="1399"/>
    </row>
    <row r="464" spans="2:23" s="1280" customFormat="1" x14ac:dyDescent="0.6">
      <c r="B464" s="1461"/>
      <c r="D464" s="1459"/>
      <c r="E464" s="1459"/>
      <c r="F464" s="1459"/>
      <c r="G464" s="1459"/>
      <c r="H464" s="1459"/>
      <c r="I464" s="1459"/>
      <c r="J464" s="1459"/>
      <c r="K464" s="1459"/>
      <c r="L464" s="1459"/>
      <c r="N464" s="1399"/>
      <c r="P464" s="1399"/>
      <c r="Q464" s="1399"/>
      <c r="R464" s="1399"/>
      <c r="S464" s="1399"/>
      <c r="T464" s="1399"/>
      <c r="U464" s="1399"/>
      <c r="V464" s="1399"/>
      <c r="W464" s="1399"/>
    </row>
    <row r="465" spans="2:23" s="1280" customFormat="1" x14ac:dyDescent="0.6">
      <c r="B465" s="1461"/>
      <c r="D465" s="1459"/>
      <c r="E465" s="1459"/>
      <c r="F465" s="1459"/>
      <c r="G465" s="1459"/>
      <c r="H465" s="1459"/>
      <c r="I465" s="1459"/>
      <c r="J465" s="1459"/>
      <c r="K465" s="1459"/>
      <c r="L465" s="1459"/>
      <c r="N465" s="1399"/>
      <c r="P465" s="1399"/>
      <c r="Q465" s="1399"/>
      <c r="R465" s="1399"/>
      <c r="S465" s="1399"/>
      <c r="T465" s="1399"/>
      <c r="U465" s="1399"/>
      <c r="V465" s="1399"/>
      <c r="W465" s="1399"/>
    </row>
    <row r="466" spans="2:23" s="1280" customFormat="1" x14ac:dyDescent="0.6">
      <c r="B466" s="1461"/>
      <c r="D466" s="1459"/>
      <c r="E466" s="1459"/>
      <c r="F466" s="1459"/>
      <c r="G466" s="1459"/>
      <c r="H466" s="1459"/>
      <c r="I466" s="1459"/>
      <c r="J466" s="1459"/>
      <c r="K466" s="1459"/>
      <c r="L466" s="1459"/>
      <c r="N466" s="1399"/>
      <c r="P466" s="1399"/>
      <c r="Q466" s="1399"/>
      <c r="R466" s="1399"/>
      <c r="S466" s="1399"/>
      <c r="T466" s="1399"/>
      <c r="U466" s="1399"/>
      <c r="V466" s="1399"/>
      <c r="W466" s="1399"/>
    </row>
    <row r="467" spans="2:23" s="1280" customFormat="1" x14ac:dyDescent="0.6">
      <c r="B467" s="1461"/>
      <c r="D467" s="1459"/>
      <c r="E467" s="1459"/>
      <c r="F467" s="1459"/>
      <c r="G467" s="1459"/>
      <c r="H467" s="1459"/>
      <c r="I467" s="1459"/>
      <c r="J467" s="1459"/>
      <c r="K467" s="1459"/>
      <c r="L467" s="1459"/>
      <c r="N467" s="1399"/>
      <c r="P467" s="1399"/>
      <c r="Q467" s="1399"/>
      <c r="R467" s="1399"/>
      <c r="S467" s="1399"/>
      <c r="T467" s="1399"/>
      <c r="U467" s="1399"/>
      <c r="V467" s="1399"/>
      <c r="W467" s="1399"/>
    </row>
    <row r="468" spans="2:23" s="1280" customFormat="1" x14ac:dyDescent="0.6">
      <c r="B468" s="1461"/>
      <c r="D468" s="1459"/>
      <c r="E468" s="1459"/>
      <c r="F468" s="1459"/>
      <c r="G468" s="1459"/>
      <c r="H468" s="1459"/>
      <c r="I468" s="1459"/>
      <c r="J468" s="1459"/>
      <c r="K468" s="1459"/>
      <c r="L468" s="1459"/>
      <c r="N468" s="1399"/>
      <c r="P468" s="1399"/>
      <c r="Q468" s="1399"/>
      <c r="R468" s="1399"/>
      <c r="S468" s="1399"/>
      <c r="T468" s="1399"/>
      <c r="U468" s="1399"/>
      <c r="V468" s="1399"/>
      <c r="W468" s="1399"/>
    </row>
    <row r="469" spans="2:23" s="1280" customFormat="1" x14ac:dyDescent="0.6">
      <c r="B469" s="1461"/>
      <c r="D469" s="1459"/>
      <c r="E469" s="1459"/>
      <c r="F469" s="1459"/>
      <c r="G469" s="1459"/>
      <c r="H469" s="1459"/>
      <c r="I469" s="1459"/>
      <c r="J469" s="1459"/>
      <c r="K469" s="1459"/>
      <c r="L469" s="1459"/>
      <c r="N469" s="1399"/>
      <c r="P469" s="1399"/>
      <c r="Q469" s="1399"/>
      <c r="R469" s="1399"/>
      <c r="S469" s="1399"/>
      <c r="T469" s="1399"/>
      <c r="U469" s="1399"/>
      <c r="V469" s="1399"/>
      <c r="W469" s="1399"/>
    </row>
    <row r="470" spans="2:23" s="1280" customFormat="1" x14ac:dyDescent="0.6">
      <c r="B470" s="1461"/>
      <c r="D470" s="1459"/>
      <c r="E470" s="1459"/>
      <c r="F470" s="1459"/>
      <c r="G470" s="1459"/>
      <c r="H470" s="1459"/>
      <c r="I470" s="1459"/>
      <c r="J470" s="1459"/>
      <c r="K470" s="1459"/>
      <c r="L470" s="1459"/>
      <c r="N470" s="1399"/>
      <c r="P470" s="1399"/>
      <c r="Q470" s="1399"/>
      <c r="R470" s="1399"/>
      <c r="S470" s="1399"/>
      <c r="T470" s="1399"/>
      <c r="U470" s="1399"/>
      <c r="V470" s="1399"/>
      <c r="W470" s="1399"/>
    </row>
    <row r="471" spans="2:23" s="1280" customFormat="1" x14ac:dyDescent="0.6">
      <c r="B471" s="1461"/>
      <c r="D471" s="1459"/>
      <c r="E471" s="1459"/>
      <c r="F471" s="1459"/>
      <c r="G471" s="1459"/>
      <c r="H471" s="1459"/>
      <c r="I471" s="1459"/>
      <c r="J471" s="1459"/>
      <c r="K471" s="1459"/>
      <c r="L471" s="1459"/>
      <c r="N471" s="1399"/>
      <c r="P471" s="1399"/>
      <c r="Q471" s="1399"/>
      <c r="R471" s="1399"/>
      <c r="S471" s="1399"/>
      <c r="T471" s="1399"/>
      <c r="U471" s="1399"/>
      <c r="V471" s="1399"/>
      <c r="W471" s="1399"/>
    </row>
    <row r="472" spans="2:23" s="1280" customFormat="1" x14ac:dyDescent="0.6">
      <c r="B472" s="1461"/>
      <c r="D472" s="1459"/>
      <c r="E472" s="1459"/>
      <c r="F472" s="1459"/>
      <c r="G472" s="1459"/>
      <c r="H472" s="1459"/>
      <c r="I472" s="1459"/>
      <c r="J472" s="1459"/>
      <c r="K472" s="1459"/>
      <c r="L472" s="1459"/>
      <c r="N472" s="1399"/>
      <c r="P472" s="1399"/>
      <c r="Q472" s="1399"/>
      <c r="R472" s="1399"/>
      <c r="S472" s="1399"/>
      <c r="T472" s="1399"/>
      <c r="U472" s="1399"/>
      <c r="V472" s="1399"/>
      <c r="W472" s="1399"/>
    </row>
    <row r="473" spans="2:23" s="1280" customFormat="1" x14ac:dyDescent="0.6">
      <c r="B473" s="1461"/>
      <c r="D473" s="1459"/>
      <c r="E473" s="1459"/>
      <c r="F473" s="1459"/>
      <c r="G473" s="1459"/>
      <c r="H473" s="1459"/>
      <c r="I473" s="1459"/>
      <c r="J473" s="1459"/>
      <c r="K473" s="1459"/>
      <c r="L473" s="1459"/>
      <c r="N473" s="1399"/>
      <c r="P473" s="1399"/>
      <c r="Q473" s="1399"/>
      <c r="R473" s="1399"/>
      <c r="S473" s="1399"/>
      <c r="T473" s="1399"/>
      <c r="U473" s="1399"/>
      <c r="V473" s="1399"/>
      <c r="W473" s="1399"/>
    </row>
    <row r="474" spans="2:23" s="1280" customFormat="1" x14ac:dyDescent="0.6">
      <c r="B474" s="1461"/>
      <c r="D474" s="1459"/>
      <c r="E474" s="1459"/>
      <c r="F474" s="1459"/>
      <c r="G474" s="1459"/>
      <c r="H474" s="1459"/>
      <c r="I474" s="1459"/>
      <c r="J474" s="1459"/>
      <c r="K474" s="1459"/>
      <c r="L474" s="1459"/>
      <c r="N474" s="1399"/>
      <c r="P474" s="1399"/>
      <c r="Q474" s="1399"/>
      <c r="R474" s="1399"/>
      <c r="S474" s="1399"/>
      <c r="T474" s="1399"/>
      <c r="U474" s="1399"/>
      <c r="V474" s="1399"/>
      <c r="W474" s="1399"/>
    </row>
    <row r="475" spans="2:23" s="1280" customFormat="1" x14ac:dyDescent="0.6">
      <c r="B475" s="1461"/>
      <c r="D475" s="1459"/>
      <c r="E475" s="1459"/>
      <c r="F475" s="1459"/>
      <c r="G475" s="1459"/>
      <c r="H475" s="1459"/>
      <c r="I475" s="1459"/>
      <c r="J475" s="1459"/>
      <c r="K475" s="1459"/>
      <c r="L475" s="1459"/>
      <c r="N475" s="1399"/>
      <c r="P475" s="1399"/>
      <c r="Q475" s="1399"/>
      <c r="R475" s="1399"/>
      <c r="S475" s="1399"/>
      <c r="T475" s="1399"/>
      <c r="U475" s="1399"/>
      <c r="V475" s="1399"/>
      <c r="W475" s="1399"/>
    </row>
    <row r="476" spans="2:23" s="1280" customFormat="1" x14ac:dyDescent="0.6">
      <c r="B476" s="1461"/>
      <c r="D476" s="1459"/>
      <c r="E476" s="1459"/>
      <c r="F476" s="1459"/>
      <c r="G476" s="1459"/>
      <c r="H476" s="1459"/>
      <c r="I476" s="1459"/>
      <c r="J476" s="1459"/>
      <c r="K476" s="1459"/>
      <c r="L476" s="1459"/>
      <c r="N476" s="1399"/>
      <c r="P476" s="1399"/>
      <c r="Q476" s="1399"/>
      <c r="R476" s="1399"/>
      <c r="S476" s="1399"/>
      <c r="T476" s="1399"/>
      <c r="U476" s="1399"/>
      <c r="V476" s="1399"/>
      <c r="W476" s="1399"/>
    </row>
    <row r="477" spans="2:23" s="1280" customFormat="1" x14ac:dyDescent="0.6">
      <c r="B477" s="1461"/>
      <c r="D477" s="1459"/>
      <c r="E477" s="1459"/>
      <c r="F477" s="1459"/>
      <c r="G477" s="1459"/>
      <c r="H477" s="1459"/>
      <c r="I477" s="1459"/>
      <c r="J477" s="1459"/>
      <c r="K477" s="1459"/>
      <c r="L477" s="1459"/>
      <c r="N477" s="1399"/>
      <c r="P477" s="1399"/>
      <c r="Q477" s="1399"/>
      <c r="R477" s="1399"/>
      <c r="S477" s="1399"/>
      <c r="T477" s="1399"/>
      <c r="U477" s="1399"/>
      <c r="V477" s="1399"/>
      <c r="W477" s="1399"/>
    </row>
    <row r="478" spans="2:23" s="1280" customFormat="1" x14ac:dyDescent="0.6">
      <c r="B478" s="1461"/>
      <c r="D478" s="1459"/>
      <c r="E478" s="1459"/>
      <c r="F478" s="1459"/>
      <c r="G478" s="1459"/>
      <c r="H478" s="1459"/>
      <c r="I478" s="1459"/>
      <c r="J478" s="1459"/>
      <c r="K478" s="1459"/>
      <c r="L478" s="1459"/>
      <c r="N478" s="1399"/>
      <c r="P478" s="1399"/>
      <c r="Q478" s="1399"/>
      <c r="R478" s="1399"/>
      <c r="S478" s="1399"/>
      <c r="T478" s="1399"/>
      <c r="U478" s="1399"/>
      <c r="V478" s="1399"/>
      <c r="W478" s="1399"/>
    </row>
    <row r="479" spans="2:23" s="1280" customFormat="1" x14ac:dyDescent="0.6">
      <c r="B479" s="1461"/>
      <c r="D479" s="1459"/>
      <c r="E479" s="1459"/>
      <c r="F479" s="1459"/>
      <c r="G479" s="1459"/>
      <c r="H479" s="1459"/>
      <c r="I479" s="1459"/>
      <c r="J479" s="1459"/>
      <c r="K479" s="1459"/>
      <c r="L479" s="1459"/>
      <c r="N479" s="1399"/>
      <c r="P479" s="1399"/>
      <c r="Q479" s="1399"/>
      <c r="R479" s="1399"/>
      <c r="S479" s="1399"/>
      <c r="T479" s="1399"/>
      <c r="U479" s="1399"/>
      <c r="V479" s="1399"/>
      <c r="W479" s="1399"/>
    </row>
    <row r="480" spans="2:23" s="1280" customFormat="1" x14ac:dyDescent="0.6">
      <c r="B480" s="1461"/>
      <c r="D480" s="1459"/>
      <c r="E480" s="1459"/>
      <c r="F480" s="1459"/>
      <c r="G480" s="1459"/>
      <c r="H480" s="1459"/>
      <c r="I480" s="1459"/>
      <c r="J480" s="1459"/>
      <c r="K480" s="1459"/>
      <c r="L480" s="1459"/>
      <c r="N480" s="1399"/>
      <c r="P480" s="1399"/>
      <c r="Q480" s="1399"/>
      <c r="R480" s="1399"/>
      <c r="S480" s="1399"/>
      <c r="T480" s="1399"/>
      <c r="U480" s="1399"/>
      <c r="V480" s="1399"/>
      <c r="W480" s="1399"/>
    </row>
    <row r="481" spans="2:23" s="1280" customFormat="1" x14ac:dyDescent="0.6">
      <c r="B481" s="1461"/>
      <c r="D481" s="1459"/>
      <c r="E481" s="1459"/>
      <c r="F481" s="1459"/>
      <c r="G481" s="1459"/>
      <c r="H481" s="1459"/>
      <c r="I481" s="1459"/>
      <c r="J481" s="1459"/>
      <c r="K481" s="1459"/>
      <c r="L481" s="1459"/>
      <c r="N481" s="1399"/>
      <c r="P481" s="1399"/>
      <c r="Q481" s="1399"/>
      <c r="R481" s="1399"/>
      <c r="S481" s="1399"/>
      <c r="T481" s="1399"/>
      <c r="U481" s="1399"/>
      <c r="V481" s="1399"/>
      <c r="W481" s="1399"/>
    </row>
    <row r="482" spans="2:23" s="1280" customFormat="1" x14ac:dyDescent="0.6">
      <c r="B482" s="1461"/>
      <c r="D482" s="1459"/>
      <c r="E482" s="1459"/>
      <c r="F482" s="1459"/>
      <c r="G482" s="1459"/>
      <c r="H482" s="1459"/>
      <c r="I482" s="1459"/>
      <c r="J482" s="1459"/>
      <c r="K482" s="1459"/>
      <c r="L482" s="1459"/>
      <c r="N482" s="1399"/>
      <c r="P482" s="1399"/>
      <c r="Q482" s="1399"/>
      <c r="R482" s="1399"/>
      <c r="S482" s="1399"/>
      <c r="T482" s="1399"/>
      <c r="U482" s="1399"/>
      <c r="V482" s="1399"/>
      <c r="W482" s="1399"/>
    </row>
    <row r="483" spans="2:23" s="1280" customFormat="1" x14ac:dyDescent="0.6">
      <c r="B483" s="1461"/>
      <c r="D483" s="1459"/>
      <c r="E483" s="1459"/>
      <c r="F483" s="1459"/>
      <c r="G483" s="1459"/>
      <c r="H483" s="1459"/>
      <c r="I483" s="1459"/>
      <c r="J483" s="1459"/>
      <c r="K483" s="1459"/>
      <c r="L483" s="1459"/>
      <c r="N483" s="1399"/>
      <c r="P483" s="1399"/>
      <c r="Q483" s="1399"/>
      <c r="R483" s="1399"/>
      <c r="S483" s="1399"/>
      <c r="T483" s="1399"/>
      <c r="U483" s="1399"/>
      <c r="V483" s="1399"/>
      <c r="W483" s="1399"/>
    </row>
    <row r="484" spans="2:23" s="1280" customFormat="1" x14ac:dyDescent="0.6">
      <c r="B484" s="1461"/>
      <c r="D484" s="1459"/>
      <c r="E484" s="1459"/>
      <c r="F484" s="1459"/>
      <c r="G484" s="1459"/>
      <c r="H484" s="1459"/>
      <c r="I484" s="1459"/>
      <c r="J484" s="1459"/>
      <c r="K484" s="1459"/>
      <c r="L484" s="1459"/>
      <c r="N484" s="1399"/>
      <c r="P484" s="1399"/>
      <c r="Q484" s="1399"/>
      <c r="R484" s="1399"/>
      <c r="S484" s="1399"/>
      <c r="T484" s="1399"/>
      <c r="U484" s="1399"/>
      <c r="V484" s="1399"/>
      <c r="W484" s="1399"/>
    </row>
    <row r="485" spans="2:23" s="1280" customFormat="1" x14ac:dyDescent="0.6">
      <c r="B485" s="1461"/>
      <c r="D485" s="1459"/>
      <c r="E485" s="1459"/>
      <c r="F485" s="1459"/>
      <c r="G485" s="1459"/>
      <c r="H485" s="1459"/>
      <c r="I485" s="1459"/>
      <c r="J485" s="1459"/>
      <c r="K485" s="1459"/>
      <c r="L485" s="1459"/>
      <c r="N485" s="1399"/>
      <c r="P485" s="1399"/>
      <c r="Q485" s="1399"/>
      <c r="R485" s="1399"/>
      <c r="S485" s="1399"/>
      <c r="T485" s="1399"/>
      <c r="U485" s="1399"/>
      <c r="V485" s="1399"/>
      <c r="W485" s="1399"/>
    </row>
    <row r="486" spans="2:23" s="1280" customFormat="1" x14ac:dyDescent="0.6">
      <c r="B486" s="1461"/>
      <c r="D486" s="1459"/>
      <c r="E486" s="1459"/>
      <c r="F486" s="1459"/>
      <c r="G486" s="1459"/>
      <c r="H486" s="1459"/>
      <c r="I486" s="1459"/>
      <c r="J486" s="1459"/>
      <c r="K486" s="1459"/>
      <c r="L486" s="1459"/>
      <c r="N486" s="1399"/>
      <c r="P486" s="1399"/>
      <c r="Q486" s="1399"/>
      <c r="R486" s="1399"/>
      <c r="S486" s="1399"/>
      <c r="T486" s="1399"/>
      <c r="U486" s="1399"/>
      <c r="V486" s="1399"/>
      <c r="W486" s="1399"/>
    </row>
    <row r="487" spans="2:23" s="1280" customFormat="1" x14ac:dyDescent="0.6">
      <c r="B487" s="1461"/>
      <c r="D487" s="1459"/>
      <c r="E487" s="1459"/>
      <c r="F487" s="1459"/>
      <c r="G487" s="1459"/>
      <c r="H487" s="1459"/>
      <c r="I487" s="1459"/>
      <c r="J487" s="1459"/>
      <c r="K487" s="1459"/>
      <c r="L487" s="1459"/>
      <c r="N487" s="1399"/>
      <c r="P487" s="1399"/>
      <c r="Q487" s="1399"/>
      <c r="R487" s="1399"/>
      <c r="S487" s="1399"/>
      <c r="T487" s="1399"/>
      <c r="U487" s="1399"/>
      <c r="V487" s="1399"/>
      <c r="W487" s="1399"/>
    </row>
    <row r="488" spans="2:23" s="1280" customFormat="1" x14ac:dyDescent="0.6">
      <c r="B488" s="1461"/>
      <c r="D488" s="1459"/>
      <c r="E488" s="1459"/>
      <c r="F488" s="1459"/>
      <c r="G488" s="1459"/>
      <c r="H488" s="1459"/>
      <c r="I488" s="1459"/>
      <c r="J488" s="1459"/>
      <c r="K488" s="1459"/>
      <c r="L488" s="1459"/>
      <c r="N488" s="1399"/>
      <c r="P488" s="1399"/>
      <c r="Q488" s="1399"/>
      <c r="R488" s="1399"/>
      <c r="S488" s="1399"/>
      <c r="T488" s="1399"/>
      <c r="U488" s="1399"/>
      <c r="V488" s="1399"/>
      <c r="W488" s="1399"/>
    </row>
    <row r="489" spans="2:23" s="1280" customFormat="1" x14ac:dyDescent="0.6">
      <c r="B489" s="1461"/>
      <c r="D489" s="1459"/>
      <c r="E489" s="1459"/>
      <c r="F489" s="1459"/>
      <c r="G489" s="1459"/>
      <c r="H489" s="1459"/>
      <c r="I489" s="1459"/>
      <c r="J489" s="1459"/>
      <c r="K489" s="1459"/>
      <c r="L489" s="1459"/>
      <c r="N489" s="1399"/>
      <c r="P489" s="1399"/>
      <c r="Q489" s="1399"/>
      <c r="R489" s="1399"/>
      <c r="S489" s="1399"/>
      <c r="T489" s="1399"/>
      <c r="U489" s="1399"/>
      <c r="V489" s="1399"/>
      <c r="W489" s="1399"/>
    </row>
    <row r="490" spans="2:23" s="1280" customFormat="1" x14ac:dyDescent="0.6">
      <c r="B490" s="1461"/>
      <c r="D490" s="1459"/>
      <c r="E490" s="1459"/>
      <c r="F490" s="1459"/>
      <c r="G490" s="1459"/>
      <c r="H490" s="1459"/>
      <c r="I490" s="1459"/>
      <c r="J490" s="1459"/>
      <c r="K490" s="1459"/>
      <c r="L490" s="1459"/>
      <c r="N490" s="1399"/>
      <c r="P490" s="1399"/>
      <c r="Q490" s="1399"/>
      <c r="R490" s="1399"/>
      <c r="S490" s="1399"/>
      <c r="T490" s="1399"/>
      <c r="U490" s="1399"/>
      <c r="V490" s="1399"/>
      <c r="W490" s="1399"/>
    </row>
    <row r="491" spans="2:23" s="1280" customFormat="1" x14ac:dyDescent="0.6">
      <c r="B491" s="1461"/>
      <c r="D491" s="1459"/>
      <c r="E491" s="1459"/>
      <c r="F491" s="1459"/>
      <c r="G491" s="1459"/>
      <c r="H491" s="1459"/>
      <c r="I491" s="1459"/>
      <c r="J491" s="1459"/>
      <c r="K491" s="1459"/>
      <c r="L491" s="1459"/>
      <c r="N491" s="1399"/>
      <c r="P491" s="1399"/>
      <c r="Q491" s="1399"/>
      <c r="R491" s="1399"/>
      <c r="S491" s="1399"/>
      <c r="T491" s="1399"/>
      <c r="U491" s="1399"/>
      <c r="V491" s="1399"/>
      <c r="W491" s="1399"/>
    </row>
    <row r="492" spans="2:23" s="1280" customFormat="1" x14ac:dyDescent="0.6">
      <c r="B492" s="1461"/>
      <c r="D492" s="1459"/>
      <c r="E492" s="1459"/>
      <c r="F492" s="1459"/>
      <c r="G492" s="1459"/>
      <c r="H492" s="1459"/>
      <c r="I492" s="1459"/>
      <c r="J492" s="1459"/>
      <c r="K492" s="1459"/>
      <c r="L492" s="1459"/>
      <c r="N492" s="1399"/>
      <c r="P492" s="1399"/>
      <c r="Q492" s="1399"/>
      <c r="R492" s="1399"/>
      <c r="S492" s="1399"/>
      <c r="T492" s="1399"/>
      <c r="U492" s="1399"/>
      <c r="V492" s="1399"/>
      <c r="W492" s="1399"/>
    </row>
    <row r="493" spans="2:23" s="1280" customFormat="1" x14ac:dyDescent="0.6">
      <c r="B493" s="1461"/>
      <c r="D493" s="1459"/>
      <c r="E493" s="1459"/>
      <c r="F493" s="1459"/>
      <c r="G493" s="1459"/>
      <c r="H493" s="1459"/>
      <c r="I493" s="1459"/>
      <c r="J493" s="1459"/>
      <c r="K493" s="1459"/>
      <c r="L493" s="1459"/>
      <c r="N493" s="1399"/>
      <c r="P493" s="1399"/>
      <c r="Q493" s="1399"/>
      <c r="R493" s="1399"/>
      <c r="S493" s="1399"/>
      <c r="T493" s="1399"/>
      <c r="U493" s="1399"/>
      <c r="V493" s="1399"/>
      <c r="W493" s="1399"/>
    </row>
    <row r="494" spans="2:23" s="1280" customFormat="1" x14ac:dyDescent="0.6">
      <c r="B494" s="1461"/>
      <c r="D494" s="1459"/>
      <c r="E494" s="1459"/>
      <c r="F494" s="1459"/>
      <c r="G494" s="1459"/>
      <c r="H494" s="1459"/>
      <c r="I494" s="1459"/>
      <c r="J494" s="1459"/>
      <c r="K494" s="1459"/>
      <c r="L494" s="1459"/>
      <c r="N494" s="1399"/>
      <c r="P494" s="1399"/>
      <c r="Q494" s="1399"/>
      <c r="R494" s="1399"/>
      <c r="S494" s="1399"/>
      <c r="T494" s="1399"/>
      <c r="U494" s="1399"/>
      <c r="V494" s="1399"/>
      <c r="W494" s="1399"/>
    </row>
    <row r="495" spans="2:23" s="1280" customFormat="1" x14ac:dyDescent="0.6">
      <c r="B495" s="1461"/>
      <c r="D495" s="1459"/>
      <c r="E495" s="1459"/>
      <c r="F495" s="1459"/>
      <c r="G495" s="1459"/>
      <c r="H495" s="1459"/>
      <c r="I495" s="1459"/>
      <c r="J495" s="1459"/>
      <c r="K495" s="1459"/>
      <c r="L495" s="1459"/>
      <c r="N495" s="1399"/>
      <c r="P495" s="1399"/>
      <c r="Q495" s="1399"/>
      <c r="R495" s="1399"/>
      <c r="S495" s="1399"/>
      <c r="T495" s="1399"/>
      <c r="U495" s="1399"/>
      <c r="V495" s="1399"/>
      <c r="W495" s="1399"/>
    </row>
    <row r="496" spans="2:23" s="1280" customFormat="1" x14ac:dyDescent="0.6">
      <c r="B496" s="1461"/>
      <c r="D496" s="1459"/>
      <c r="E496" s="1459"/>
      <c r="F496" s="1459"/>
      <c r="G496" s="1459"/>
      <c r="H496" s="1459"/>
      <c r="I496" s="1459"/>
      <c r="J496" s="1459"/>
      <c r="K496" s="1459"/>
      <c r="L496" s="1459"/>
      <c r="N496" s="1399"/>
      <c r="P496" s="1399"/>
      <c r="Q496" s="1399"/>
      <c r="R496" s="1399"/>
      <c r="S496" s="1399"/>
      <c r="T496" s="1399"/>
      <c r="U496" s="1399"/>
      <c r="V496" s="1399"/>
      <c r="W496" s="1399"/>
    </row>
    <row r="497" spans="2:23" s="1280" customFormat="1" x14ac:dyDescent="0.6">
      <c r="B497" s="1461"/>
      <c r="D497" s="1459"/>
      <c r="E497" s="1459"/>
      <c r="F497" s="1459"/>
      <c r="G497" s="1459"/>
      <c r="H497" s="1459"/>
      <c r="I497" s="1459"/>
      <c r="J497" s="1459"/>
      <c r="K497" s="1459"/>
      <c r="L497" s="1459"/>
      <c r="N497" s="1399"/>
      <c r="P497" s="1399"/>
      <c r="Q497" s="1399"/>
      <c r="R497" s="1399"/>
      <c r="S497" s="1399"/>
      <c r="T497" s="1399"/>
      <c r="U497" s="1399"/>
      <c r="V497" s="1399"/>
      <c r="W497" s="1399"/>
    </row>
    <row r="498" spans="2:23" s="1280" customFormat="1" x14ac:dyDescent="0.6">
      <c r="B498" s="1461"/>
      <c r="D498" s="1459"/>
      <c r="E498" s="1459"/>
      <c r="F498" s="1459"/>
      <c r="G498" s="1459"/>
      <c r="H498" s="1459"/>
      <c r="I498" s="1459"/>
      <c r="J498" s="1459"/>
      <c r="K498" s="1459"/>
      <c r="L498" s="1459"/>
      <c r="N498" s="1399"/>
      <c r="P498" s="1399"/>
      <c r="Q498" s="1399"/>
      <c r="R498" s="1399"/>
      <c r="S498" s="1399"/>
      <c r="T498" s="1399"/>
      <c r="U498" s="1399"/>
      <c r="V498" s="1399"/>
      <c r="W498" s="1399"/>
    </row>
    <row r="499" spans="2:23" s="1280" customFormat="1" x14ac:dyDescent="0.6">
      <c r="B499" s="1461"/>
      <c r="D499" s="1459"/>
      <c r="E499" s="1459"/>
      <c r="F499" s="1459"/>
      <c r="G499" s="1459"/>
      <c r="H499" s="1459"/>
      <c r="I499" s="1459"/>
      <c r="J499" s="1459"/>
      <c r="K499" s="1459"/>
      <c r="L499" s="1459"/>
      <c r="N499" s="1399"/>
      <c r="P499" s="1399"/>
      <c r="Q499" s="1399"/>
      <c r="R499" s="1399"/>
      <c r="S499" s="1399"/>
      <c r="T499" s="1399"/>
      <c r="U499" s="1399"/>
      <c r="V499" s="1399"/>
      <c r="W499" s="1399"/>
    </row>
    <row r="500" spans="2:23" s="1280" customFormat="1" x14ac:dyDescent="0.6">
      <c r="B500" s="1461"/>
      <c r="D500" s="1459"/>
      <c r="E500" s="1459"/>
      <c r="F500" s="1459"/>
      <c r="G500" s="1459"/>
      <c r="H500" s="1459"/>
      <c r="I500" s="1459"/>
      <c r="J500" s="1459"/>
      <c r="K500" s="1459"/>
      <c r="L500" s="1459"/>
      <c r="N500" s="1399"/>
      <c r="P500" s="1399"/>
      <c r="Q500" s="1399"/>
      <c r="R500" s="1399"/>
      <c r="S500" s="1399"/>
      <c r="T500" s="1399"/>
      <c r="U500" s="1399"/>
      <c r="V500" s="1399"/>
      <c r="W500" s="1399"/>
    </row>
    <row r="501" spans="2:23" s="1280" customFormat="1" x14ac:dyDescent="0.6">
      <c r="B501" s="1461"/>
      <c r="D501" s="1459"/>
      <c r="E501" s="1459"/>
      <c r="F501" s="1459"/>
      <c r="G501" s="1459"/>
      <c r="H501" s="1459"/>
      <c r="I501" s="1459"/>
      <c r="J501" s="1459"/>
      <c r="K501" s="1459"/>
      <c r="L501" s="1459"/>
      <c r="N501" s="1399"/>
      <c r="P501" s="1399"/>
      <c r="Q501" s="1399"/>
      <c r="R501" s="1399"/>
      <c r="S501" s="1399"/>
      <c r="T501" s="1399"/>
      <c r="U501" s="1399"/>
      <c r="V501" s="1399"/>
      <c r="W501" s="1399"/>
    </row>
    <row r="502" spans="2:23" s="1280" customFormat="1" x14ac:dyDescent="0.6">
      <c r="B502" s="1461"/>
      <c r="D502" s="1459"/>
      <c r="E502" s="1459"/>
      <c r="F502" s="1459"/>
      <c r="G502" s="1459"/>
      <c r="H502" s="1459"/>
      <c r="I502" s="1459"/>
      <c r="J502" s="1459"/>
      <c r="K502" s="1459"/>
      <c r="L502" s="1459"/>
      <c r="N502" s="1399"/>
      <c r="P502" s="1399"/>
      <c r="Q502" s="1399"/>
      <c r="R502" s="1399"/>
      <c r="S502" s="1399"/>
      <c r="T502" s="1399"/>
      <c r="U502" s="1399"/>
      <c r="V502" s="1399"/>
      <c r="W502" s="1399"/>
    </row>
    <row r="503" spans="2:23" s="1280" customFormat="1" x14ac:dyDescent="0.6">
      <c r="B503" s="1461"/>
      <c r="D503" s="1459"/>
      <c r="E503" s="1459"/>
      <c r="F503" s="1459"/>
      <c r="G503" s="1459"/>
      <c r="H503" s="1459"/>
      <c r="I503" s="1459"/>
      <c r="J503" s="1459"/>
      <c r="K503" s="1459"/>
      <c r="L503" s="1459"/>
      <c r="N503" s="1399"/>
      <c r="P503" s="1399"/>
      <c r="Q503" s="1399"/>
      <c r="R503" s="1399"/>
      <c r="S503" s="1399"/>
      <c r="T503" s="1399"/>
      <c r="U503" s="1399"/>
      <c r="V503" s="1399"/>
      <c r="W503" s="1399"/>
    </row>
    <row r="504" spans="2:23" s="1280" customFormat="1" x14ac:dyDescent="0.6">
      <c r="B504" s="1461"/>
      <c r="D504" s="1459"/>
      <c r="E504" s="1459"/>
      <c r="F504" s="1459"/>
      <c r="G504" s="1459"/>
      <c r="H504" s="1459"/>
      <c r="I504" s="1459"/>
      <c r="J504" s="1459"/>
      <c r="K504" s="1459"/>
      <c r="L504" s="1459"/>
      <c r="N504" s="1399"/>
      <c r="P504" s="1399"/>
      <c r="Q504" s="1399"/>
      <c r="R504" s="1399"/>
      <c r="S504" s="1399"/>
      <c r="T504" s="1399"/>
      <c r="U504" s="1399"/>
      <c r="V504" s="1399"/>
      <c r="W504" s="1399"/>
    </row>
    <row r="505" spans="2:23" s="1280" customFormat="1" x14ac:dyDescent="0.6">
      <c r="B505" s="1461"/>
      <c r="D505" s="1459"/>
      <c r="E505" s="1459"/>
      <c r="F505" s="1459"/>
      <c r="G505" s="1459"/>
      <c r="H505" s="1459"/>
      <c r="I505" s="1459"/>
      <c r="J505" s="1459"/>
      <c r="K505" s="1459"/>
      <c r="L505" s="1459"/>
      <c r="N505" s="1399"/>
      <c r="P505" s="1399"/>
      <c r="Q505" s="1399"/>
      <c r="R505" s="1399"/>
      <c r="S505" s="1399"/>
      <c r="T505" s="1399"/>
      <c r="U505" s="1399"/>
      <c r="V505" s="1399"/>
      <c r="W505" s="1399"/>
    </row>
    <row r="506" spans="2:23" s="1280" customFormat="1" x14ac:dyDescent="0.6">
      <c r="B506" s="1461"/>
      <c r="D506" s="1459"/>
      <c r="E506" s="1459"/>
      <c r="F506" s="1459"/>
      <c r="G506" s="1459"/>
      <c r="H506" s="1459"/>
      <c r="I506" s="1459"/>
      <c r="J506" s="1459"/>
      <c r="K506" s="1459"/>
      <c r="L506" s="1459"/>
      <c r="N506" s="1399"/>
      <c r="P506" s="1399"/>
      <c r="Q506" s="1399"/>
      <c r="R506" s="1399"/>
      <c r="S506" s="1399"/>
      <c r="T506" s="1399"/>
      <c r="U506" s="1399"/>
      <c r="V506" s="1399"/>
      <c r="W506" s="1399"/>
    </row>
    <row r="507" spans="2:23" s="1280" customFormat="1" x14ac:dyDescent="0.6">
      <c r="B507" s="1461"/>
      <c r="D507" s="1459"/>
      <c r="E507" s="1459"/>
      <c r="F507" s="1459"/>
      <c r="G507" s="1459"/>
      <c r="H507" s="1459"/>
      <c r="I507" s="1459"/>
      <c r="J507" s="1459"/>
      <c r="K507" s="1459"/>
      <c r="L507" s="1459"/>
      <c r="N507" s="1399"/>
      <c r="P507" s="1399"/>
      <c r="Q507" s="1399"/>
      <c r="R507" s="1399"/>
      <c r="S507" s="1399"/>
      <c r="T507" s="1399"/>
      <c r="U507" s="1399"/>
      <c r="V507" s="1399"/>
      <c r="W507" s="1399"/>
    </row>
    <row r="508" spans="2:23" s="1280" customFormat="1" x14ac:dyDescent="0.6">
      <c r="B508" s="1461"/>
      <c r="D508" s="1459"/>
      <c r="E508" s="1459"/>
      <c r="F508" s="1459"/>
      <c r="G508" s="1459"/>
      <c r="H508" s="1459"/>
      <c r="I508" s="1459"/>
      <c r="J508" s="1459"/>
      <c r="K508" s="1459"/>
      <c r="L508" s="1459"/>
      <c r="N508" s="1399"/>
      <c r="P508" s="1399"/>
      <c r="Q508" s="1399"/>
      <c r="R508" s="1399"/>
      <c r="S508" s="1399"/>
      <c r="T508" s="1399"/>
      <c r="U508" s="1399"/>
      <c r="V508" s="1399"/>
      <c r="W508" s="1399"/>
    </row>
    <row r="509" spans="2:23" s="1280" customFormat="1" x14ac:dyDescent="0.6">
      <c r="B509" s="1461"/>
      <c r="D509" s="1459"/>
      <c r="E509" s="1459"/>
      <c r="F509" s="1459"/>
      <c r="G509" s="1459"/>
      <c r="H509" s="1459"/>
      <c r="I509" s="1459"/>
      <c r="J509" s="1459"/>
      <c r="K509" s="1459"/>
      <c r="L509" s="1459"/>
      <c r="N509" s="1399"/>
      <c r="P509" s="1399"/>
      <c r="Q509" s="1399"/>
      <c r="R509" s="1399"/>
      <c r="S509" s="1399"/>
      <c r="T509" s="1399"/>
      <c r="U509" s="1399"/>
      <c r="V509" s="1399"/>
      <c r="W509" s="1399"/>
    </row>
    <row r="510" spans="2:23" s="1280" customFormat="1" x14ac:dyDescent="0.6">
      <c r="B510" s="1461"/>
      <c r="D510" s="1459"/>
      <c r="E510" s="1459"/>
      <c r="F510" s="1459"/>
      <c r="G510" s="1459"/>
      <c r="H510" s="1459"/>
      <c r="I510" s="1459"/>
      <c r="J510" s="1459"/>
      <c r="K510" s="1459"/>
      <c r="L510" s="1459"/>
      <c r="N510" s="1399"/>
      <c r="P510" s="1399"/>
      <c r="Q510" s="1399"/>
      <c r="R510" s="1399"/>
      <c r="S510" s="1399"/>
      <c r="T510" s="1399"/>
      <c r="U510" s="1399"/>
      <c r="V510" s="1399"/>
      <c r="W510" s="1399"/>
    </row>
    <row r="511" spans="2:23" s="1280" customFormat="1" x14ac:dyDescent="0.6">
      <c r="B511" s="1461"/>
      <c r="D511" s="1459"/>
      <c r="E511" s="1459"/>
      <c r="F511" s="1459"/>
      <c r="G511" s="1459"/>
      <c r="H511" s="1459"/>
      <c r="I511" s="1459"/>
      <c r="J511" s="1459"/>
      <c r="K511" s="1459"/>
      <c r="L511" s="1459"/>
      <c r="N511" s="1399"/>
      <c r="P511" s="1399"/>
      <c r="Q511" s="1399"/>
      <c r="R511" s="1399"/>
      <c r="S511" s="1399"/>
      <c r="T511" s="1399"/>
      <c r="U511" s="1399"/>
      <c r="V511" s="1399"/>
      <c r="W511" s="1399"/>
    </row>
    <row r="512" spans="2:23" s="1280" customFormat="1" x14ac:dyDescent="0.6">
      <c r="B512" s="1461"/>
      <c r="D512" s="1459"/>
      <c r="E512" s="1459"/>
      <c r="F512" s="1459"/>
      <c r="G512" s="1459"/>
      <c r="H512" s="1459"/>
      <c r="I512" s="1459"/>
      <c r="J512" s="1459"/>
      <c r="K512" s="1459"/>
      <c r="L512" s="1459"/>
      <c r="N512" s="1399"/>
      <c r="P512" s="1399"/>
      <c r="Q512" s="1399"/>
      <c r="R512" s="1399"/>
      <c r="S512" s="1399"/>
      <c r="T512" s="1399"/>
      <c r="U512" s="1399"/>
      <c r="V512" s="1399"/>
      <c r="W512" s="1399"/>
    </row>
    <row r="513" spans="2:23" s="1280" customFormat="1" x14ac:dyDescent="0.6">
      <c r="B513" s="1461"/>
      <c r="D513" s="1459"/>
      <c r="E513" s="1459"/>
      <c r="F513" s="1459"/>
      <c r="G513" s="1459"/>
      <c r="H513" s="1459"/>
      <c r="I513" s="1459"/>
      <c r="J513" s="1459"/>
      <c r="K513" s="1459"/>
      <c r="L513" s="1459"/>
      <c r="N513" s="1399"/>
      <c r="P513" s="1399"/>
      <c r="Q513" s="1399"/>
      <c r="R513" s="1399"/>
      <c r="S513" s="1399"/>
      <c r="T513" s="1399"/>
      <c r="U513" s="1399"/>
      <c r="V513" s="1399"/>
      <c r="W513" s="1399"/>
    </row>
    <row r="514" spans="2:23" s="1280" customFormat="1" x14ac:dyDescent="0.6">
      <c r="B514" s="1461"/>
      <c r="D514" s="1459"/>
      <c r="E514" s="1459"/>
      <c r="F514" s="1459"/>
      <c r="G514" s="1459"/>
      <c r="H514" s="1459"/>
      <c r="I514" s="1459"/>
      <c r="J514" s="1459"/>
      <c r="K514" s="1459"/>
      <c r="L514" s="1459"/>
      <c r="N514" s="1399"/>
      <c r="P514" s="1399"/>
      <c r="Q514" s="1399"/>
      <c r="R514" s="1399"/>
      <c r="S514" s="1399"/>
      <c r="T514" s="1399"/>
      <c r="U514" s="1399"/>
      <c r="V514" s="1399"/>
      <c r="W514" s="1399"/>
    </row>
    <row r="515" spans="2:23" s="1280" customFormat="1" x14ac:dyDescent="0.6">
      <c r="B515" s="1461"/>
      <c r="D515" s="1459"/>
      <c r="E515" s="1459"/>
      <c r="F515" s="1459"/>
      <c r="G515" s="1459"/>
      <c r="H515" s="1459"/>
      <c r="I515" s="1459"/>
      <c r="J515" s="1459"/>
      <c r="K515" s="1459"/>
      <c r="L515" s="1459"/>
      <c r="N515" s="1399"/>
      <c r="P515" s="1399"/>
      <c r="Q515" s="1399"/>
      <c r="R515" s="1399"/>
      <c r="S515" s="1399"/>
      <c r="T515" s="1399"/>
      <c r="U515" s="1399"/>
      <c r="V515" s="1399"/>
      <c r="W515" s="1399"/>
    </row>
    <row r="516" spans="2:23" s="1280" customFormat="1" x14ac:dyDescent="0.6">
      <c r="B516" s="1461"/>
      <c r="D516" s="1459"/>
      <c r="E516" s="1459"/>
      <c r="F516" s="1459"/>
      <c r="G516" s="1459"/>
      <c r="H516" s="1459"/>
      <c r="I516" s="1459"/>
      <c r="J516" s="1459"/>
      <c r="K516" s="1459"/>
      <c r="L516" s="1459"/>
      <c r="N516" s="1399"/>
      <c r="P516" s="1399"/>
      <c r="Q516" s="1399"/>
      <c r="R516" s="1399"/>
      <c r="S516" s="1399"/>
      <c r="T516" s="1399"/>
      <c r="U516" s="1399"/>
      <c r="V516" s="1399"/>
      <c r="W516" s="1399"/>
    </row>
    <row r="517" spans="2:23" s="1280" customFormat="1" x14ac:dyDescent="0.6">
      <c r="B517" s="1461"/>
      <c r="D517" s="1459"/>
      <c r="E517" s="1459"/>
      <c r="F517" s="1459"/>
      <c r="G517" s="1459"/>
      <c r="H517" s="1459"/>
      <c r="I517" s="1459"/>
      <c r="J517" s="1459"/>
      <c r="K517" s="1459"/>
      <c r="L517" s="1459"/>
      <c r="N517" s="1399"/>
      <c r="P517" s="1399"/>
      <c r="Q517" s="1399"/>
      <c r="R517" s="1399"/>
      <c r="S517" s="1399"/>
      <c r="T517" s="1399"/>
      <c r="U517" s="1399"/>
      <c r="V517" s="1399"/>
      <c r="W517" s="1399"/>
    </row>
    <row r="518" spans="2:23" s="1280" customFormat="1" x14ac:dyDescent="0.6">
      <c r="B518" s="1461"/>
      <c r="D518" s="1459"/>
      <c r="E518" s="1459"/>
      <c r="F518" s="1459"/>
      <c r="G518" s="1459"/>
      <c r="H518" s="1459"/>
      <c r="I518" s="1459"/>
      <c r="J518" s="1459"/>
      <c r="K518" s="1459"/>
      <c r="L518" s="1459"/>
      <c r="N518" s="1399"/>
      <c r="P518" s="1399"/>
      <c r="Q518" s="1399"/>
      <c r="R518" s="1399"/>
      <c r="S518" s="1399"/>
      <c r="T518" s="1399"/>
      <c r="U518" s="1399"/>
      <c r="V518" s="1399"/>
      <c r="W518" s="1399"/>
    </row>
    <row r="519" spans="2:23" s="1280" customFormat="1" x14ac:dyDescent="0.6">
      <c r="B519" s="1461"/>
      <c r="D519" s="1459"/>
      <c r="E519" s="1459"/>
      <c r="F519" s="1459"/>
      <c r="G519" s="1459"/>
      <c r="H519" s="1459"/>
      <c r="I519" s="1459"/>
      <c r="J519" s="1459"/>
      <c r="K519" s="1459"/>
      <c r="L519" s="1459"/>
      <c r="N519" s="1399"/>
      <c r="P519" s="1399"/>
      <c r="Q519" s="1399"/>
      <c r="R519" s="1399"/>
      <c r="S519" s="1399"/>
      <c r="T519" s="1399"/>
      <c r="U519" s="1399"/>
      <c r="V519" s="1399"/>
      <c r="W519" s="1399"/>
    </row>
    <row r="520" spans="2:23" s="1280" customFormat="1" x14ac:dyDescent="0.6">
      <c r="B520" s="1461"/>
      <c r="D520" s="1459"/>
      <c r="E520" s="1459"/>
      <c r="F520" s="1459"/>
      <c r="G520" s="1459"/>
      <c r="H520" s="1459"/>
      <c r="I520" s="1459"/>
      <c r="J520" s="1459"/>
      <c r="K520" s="1459"/>
      <c r="L520" s="1459"/>
      <c r="N520" s="1399"/>
      <c r="P520" s="1399"/>
      <c r="Q520" s="1399"/>
      <c r="R520" s="1399"/>
      <c r="S520" s="1399"/>
      <c r="T520" s="1399"/>
      <c r="U520" s="1399"/>
      <c r="V520" s="1399"/>
      <c r="W520" s="1399"/>
    </row>
    <row r="521" spans="2:23" s="1280" customFormat="1" x14ac:dyDescent="0.6">
      <c r="B521" s="1461"/>
      <c r="D521" s="1459"/>
      <c r="E521" s="1459"/>
      <c r="F521" s="1459"/>
      <c r="G521" s="1459"/>
      <c r="H521" s="1459"/>
      <c r="I521" s="1459"/>
      <c r="J521" s="1459"/>
      <c r="K521" s="1459"/>
      <c r="L521" s="1459"/>
      <c r="N521" s="1399"/>
      <c r="P521" s="1399"/>
      <c r="Q521" s="1399"/>
      <c r="R521" s="1399"/>
      <c r="S521" s="1399"/>
      <c r="T521" s="1399"/>
      <c r="U521" s="1399"/>
      <c r="V521" s="1399"/>
      <c r="W521" s="1399"/>
    </row>
    <row r="522" spans="2:23" s="1280" customFormat="1" x14ac:dyDescent="0.6">
      <c r="B522" s="1461"/>
      <c r="D522" s="1459"/>
      <c r="E522" s="1459"/>
      <c r="F522" s="1459"/>
      <c r="G522" s="1459"/>
      <c r="H522" s="1459"/>
      <c r="I522" s="1459"/>
      <c r="J522" s="1459"/>
      <c r="K522" s="1459"/>
      <c r="L522" s="1459"/>
      <c r="N522" s="1399"/>
      <c r="P522" s="1399"/>
      <c r="Q522" s="1399"/>
      <c r="R522" s="1399"/>
      <c r="S522" s="1399"/>
      <c r="T522" s="1399"/>
      <c r="U522" s="1399"/>
      <c r="V522" s="1399"/>
      <c r="W522" s="1399"/>
    </row>
    <row r="523" spans="2:23" s="1280" customFormat="1" x14ac:dyDescent="0.6">
      <c r="B523" s="1461"/>
      <c r="D523" s="1459"/>
      <c r="E523" s="1459"/>
      <c r="F523" s="1459"/>
      <c r="G523" s="1459"/>
      <c r="H523" s="1459"/>
      <c r="I523" s="1459"/>
      <c r="J523" s="1459"/>
      <c r="K523" s="1459"/>
      <c r="L523" s="1459"/>
      <c r="N523" s="1399"/>
      <c r="P523" s="1399"/>
      <c r="Q523" s="1399"/>
      <c r="R523" s="1399"/>
      <c r="S523" s="1399"/>
      <c r="T523" s="1399"/>
      <c r="U523" s="1399"/>
      <c r="V523" s="1399"/>
      <c r="W523" s="1399"/>
    </row>
    <row r="524" spans="2:23" s="1280" customFormat="1" x14ac:dyDescent="0.6">
      <c r="B524" s="1461"/>
      <c r="D524" s="1459"/>
      <c r="E524" s="1459"/>
      <c r="F524" s="1459"/>
      <c r="G524" s="1459"/>
      <c r="H524" s="1459"/>
      <c r="I524" s="1459"/>
      <c r="J524" s="1459"/>
      <c r="K524" s="1459"/>
      <c r="L524" s="1459"/>
      <c r="N524" s="1399"/>
      <c r="P524" s="1399"/>
      <c r="Q524" s="1399"/>
      <c r="R524" s="1399"/>
      <c r="S524" s="1399"/>
      <c r="T524" s="1399"/>
      <c r="U524" s="1399"/>
      <c r="V524" s="1399"/>
      <c r="W524" s="1399"/>
    </row>
    <row r="525" spans="2:23" s="1280" customFormat="1" x14ac:dyDescent="0.6">
      <c r="B525" s="1461"/>
      <c r="D525" s="1459"/>
      <c r="E525" s="1459"/>
      <c r="F525" s="1459"/>
      <c r="G525" s="1459"/>
      <c r="H525" s="1459"/>
      <c r="I525" s="1459"/>
      <c r="J525" s="1459"/>
      <c r="K525" s="1459"/>
      <c r="L525" s="1459"/>
      <c r="N525" s="1399"/>
      <c r="P525" s="1399"/>
      <c r="Q525" s="1399"/>
      <c r="R525" s="1399"/>
      <c r="S525" s="1399"/>
      <c r="T525" s="1399"/>
      <c r="U525" s="1399"/>
      <c r="V525" s="1399"/>
      <c r="W525" s="1399"/>
    </row>
    <row r="526" spans="2:23" s="1280" customFormat="1" x14ac:dyDescent="0.6">
      <c r="B526" s="1461"/>
      <c r="D526" s="1459"/>
      <c r="E526" s="1459"/>
      <c r="F526" s="1459"/>
      <c r="G526" s="1459"/>
      <c r="H526" s="1459"/>
      <c r="I526" s="1459"/>
      <c r="J526" s="1459"/>
      <c r="K526" s="1459"/>
      <c r="L526" s="1459"/>
      <c r="N526" s="1399"/>
      <c r="P526" s="1399"/>
      <c r="Q526" s="1399"/>
      <c r="R526" s="1399"/>
      <c r="S526" s="1399"/>
      <c r="T526" s="1399"/>
      <c r="U526" s="1399"/>
      <c r="V526" s="1399"/>
      <c r="W526" s="1399"/>
    </row>
    <row r="527" spans="2:23" s="1280" customFormat="1" x14ac:dyDescent="0.6">
      <c r="B527" s="1461"/>
      <c r="D527" s="1459"/>
      <c r="E527" s="1459"/>
      <c r="F527" s="1459"/>
      <c r="G527" s="1459"/>
      <c r="H527" s="1459"/>
      <c r="I527" s="1459"/>
      <c r="J527" s="1459"/>
      <c r="K527" s="1459"/>
      <c r="L527" s="1459"/>
      <c r="N527" s="1399"/>
      <c r="P527" s="1399"/>
      <c r="Q527" s="1399"/>
      <c r="R527" s="1399"/>
      <c r="S527" s="1399"/>
      <c r="T527" s="1399"/>
      <c r="U527" s="1399"/>
      <c r="V527" s="1399"/>
      <c r="W527" s="1399"/>
    </row>
    <row r="528" spans="2:23" s="1280" customFormat="1" x14ac:dyDescent="0.6">
      <c r="B528" s="1461"/>
      <c r="D528" s="1459"/>
      <c r="E528" s="1459"/>
      <c r="F528" s="1459"/>
      <c r="G528" s="1459"/>
      <c r="H528" s="1459"/>
      <c r="I528" s="1459"/>
      <c r="J528" s="1459"/>
      <c r="K528" s="1459"/>
      <c r="L528" s="1459"/>
      <c r="N528" s="1399"/>
      <c r="P528" s="1399"/>
      <c r="Q528" s="1399"/>
      <c r="R528" s="1399"/>
      <c r="S528" s="1399"/>
      <c r="T528" s="1399"/>
      <c r="U528" s="1399"/>
      <c r="V528" s="1399"/>
      <c r="W528" s="1399"/>
    </row>
    <row r="529" spans="2:23" s="1280" customFormat="1" x14ac:dyDescent="0.6">
      <c r="B529" s="1461"/>
      <c r="D529" s="1459"/>
      <c r="E529" s="1459"/>
      <c r="F529" s="1459"/>
      <c r="G529" s="1459"/>
      <c r="H529" s="1459"/>
      <c r="I529" s="1459"/>
      <c r="J529" s="1459"/>
      <c r="K529" s="1459"/>
      <c r="L529" s="1459"/>
      <c r="N529" s="1399"/>
      <c r="P529" s="1399"/>
      <c r="Q529" s="1399"/>
      <c r="R529" s="1399"/>
      <c r="S529" s="1399"/>
      <c r="T529" s="1399"/>
      <c r="U529" s="1399"/>
      <c r="V529" s="1399"/>
      <c r="W529" s="1399"/>
    </row>
    <row r="530" spans="2:23" s="1280" customFormat="1" x14ac:dyDescent="0.6">
      <c r="B530" s="1461"/>
      <c r="D530" s="1459"/>
      <c r="E530" s="1459"/>
      <c r="F530" s="1459"/>
      <c r="G530" s="1459"/>
      <c r="H530" s="1459"/>
      <c r="I530" s="1459"/>
      <c r="J530" s="1459"/>
      <c r="K530" s="1459"/>
      <c r="L530" s="1459"/>
      <c r="N530" s="1399"/>
      <c r="P530" s="1399"/>
      <c r="Q530" s="1399"/>
      <c r="R530" s="1399"/>
      <c r="S530" s="1399"/>
      <c r="T530" s="1399"/>
      <c r="U530" s="1399"/>
      <c r="V530" s="1399"/>
      <c r="W530" s="1399"/>
    </row>
    <row r="531" spans="2:23" s="1280" customFormat="1" x14ac:dyDescent="0.6">
      <c r="B531" s="1461"/>
      <c r="D531" s="1459"/>
      <c r="E531" s="1459"/>
      <c r="F531" s="1459"/>
      <c r="G531" s="1459"/>
      <c r="H531" s="1459"/>
      <c r="I531" s="1459"/>
      <c r="J531" s="1459"/>
      <c r="K531" s="1459"/>
      <c r="L531" s="1459"/>
      <c r="N531" s="1399"/>
      <c r="P531" s="1399"/>
      <c r="Q531" s="1399"/>
      <c r="R531" s="1399"/>
      <c r="S531" s="1399"/>
      <c r="T531" s="1399"/>
      <c r="U531" s="1399"/>
      <c r="V531" s="1399"/>
      <c r="W531" s="1399"/>
    </row>
    <row r="532" spans="2:23" s="1280" customFormat="1" x14ac:dyDescent="0.6">
      <c r="B532" s="1461"/>
      <c r="D532" s="1459"/>
      <c r="E532" s="1459"/>
      <c r="F532" s="1459"/>
      <c r="G532" s="1459"/>
      <c r="H532" s="1459"/>
      <c r="I532" s="1459"/>
      <c r="J532" s="1459"/>
      <c r="K532" s="1459"/>
      <c r="L532" s="1459"/>
      <c r="N532" s="1399"/>
      <c r="P532" s="1399"/>
      <c r="Q532" s="1399"/>
      <c r="R532" s="1399"/>
      <c r="S532" s="1399"/>
      <c r="T532" s="1399"/>
      <c r="U532" s="1399"/>
      <c r="V532" s="1399"/>
      <c r="W532" s="1399"/>
    </row>
    <row r="533" spans="2:23" s="1280" customFormat="1" x14ac:dyDescent="0.6">
      <c r="B533" s="1461"/>
      <c r="D533" s="1459"/>
      <c r="E533" s="1459"/>
      <c r="F533" s="1459"/>
      <c r="G533" s="1459"/>
      <c r="H533" s="1459"/>
      <c r="I533" s="1459"/>
      <c r="J533" s="1459"/>
      <c r="K533" s="1459"/>
      <c r="L533" s="1459"/>
      <c r="N533" s="1399"/>
      <c r="P533" s="1399"/>
      <c r="Q533" s="1399"/>
      <c r="R533" s="1399"/>
      <c r="S533" s="1399"/>
      <c r="T533" s="1399"/>
      <c r="U533" s="1399"/>
      <c r="V533" s="1399"/>
      <c r="W533" s="1399"/>
    </row>
    <row r="534" spans="2:23" s="1280" customFormat="1" x14ac:dyDescent="0.6">
      <c r="B534" s="1461"/>
      <c r="D534" s="1459"/>
      <c r="E534" s="1459"/>
      <c r="F534" s="1459"/>
      <c r="G534" s="1459"/>
      <c r="H534" s="1459"/>
      <c r="I534" s="1459"/>
      <c r="J534" s="1459"/>
      <c r="K534" s="1459"/>
      <c r="L534" s="1459"/>
      <c r="N534" s="1399"/>
      <c r="P534" s="1399"/>
      <c r="Q534" s="1399"/>
      <c r="R534" s="1399"/>
      <c r="S534" s="1399"/>
      <c r="T534" s="1399"/>
      <c r="U534" s="1399"/>
      <c r="V534" s="1399"/>
      <c r="W534" s="1399"/>
    </row>
    <row r="535" spans="2:23" s="1280" customFormat="1" x14ac:dyDescent="0.6">
      <c r="B535" s="1461"/>
      <c r="D535" s="1459"/>
      <c r="E535" s="1459"/>
      <c r="F535" s="1459"/>
      <c r="G535" s="1459"/>
      <c r="H535" s="1459"/>
      <c r="I535" s="1459"/>
      <c r="J535" s="1459"/>
      <c r="K535" s="1459"/>
      <c r="L535" s="1459"/>
      <c r="N535" s="1399"/>
      <c r="P535" s="1399"/>
      <c r="Q535" s="1399"/>
      <c r="R535" s="1399"/>
      <c r="S535" s="1399"/>
      <c r="T535" s="1399"/>
      <c r="U535" s="1399"/>
      <c r="V535" s="1399"/>
      <c r="W535" s="1399"/>
    </row>
    <row r="536" spans="2:23" s="1280" customFormat="1" x14ac:dyDescent="0.6">
      <c r="B536" s="1461"/>
      <c r="D536" s="1459"/>
      <c r="E536" s="1459"/>
      <c r="F536" s="1459"/>
      <c r="G536" s="1459"/>
      <c r="H536" s="1459"/>
      <c r="I536" s="1459"/>
      <c r="J536" s="1459"/>
      <c r="K536" s="1459"/>
      <c r="L536" s="1459"/>
      <c r="N536" s="1399"/>
      <c r="P536" s="1399"/>
      <c r="Q536" s="1399"/>
      <c r="R536" s="1399"/>
      <c r="S536" s="1399"/>
      <c r="T536" s="1399"/>
      <c r="U536" s="1399"/>
      <c r="V536" s="1399"/>
      <c r="W536" s="1399"/>
    </row>
    <row r="537" spans="2:23" s="1280" customFormat="1" x14ac:dyDescent="0.6">
      <c r="B537" s="1461"/>
      <c r="D537" s="1459"/>
      <c r="E537" s="1459"/>
      <c r="F537" s="1459"/>
      <c r="G537" s="1459"/>
      <c r="H537" s="1459"/>
      <c r="I537" s="1459"/>
      <c r="J537" s="1459"/>
      <c r="K537" s="1459"/>
      <c r="L537" s="1459"/>
      <c r="N537" s="1399"/>
      <c r="P537" s="1399"/>
      <c r="Q537" s="1399"/>
      <c r="R537" s="1399"/>
      <c r="S537" s="1399"/>
      <c r="T537" s="1399"/>
      <c r="U537" s="1399"/>
      <c r="V537" s="1399"/>
      <c r="W537" s="1399"/>
    </row>
    <row r="538" spans="2:23" s="1280" customFormat="1" x14ac:dyDescent="0.6">
      <c r="B538" s="1461"/>
      <c r="D538" s="1459"/>
      <c r="E538" s="1459"/>
      <c r="F538" s="1459"/>
      <c r="G538" s="1459"/>
      <c r="H538" s="1459"/>
      <c r="I538" s="1459"/>
      <c r="J538" s="1459"/>
      <c r="K538" s="1459"/>
      <c r="L538" s="1459"/>
      <c r="N538" s="1399"/>
      <c r="P538" s="1399"/>
      <c r="Q538" s="1399"/>
      <c r="R538" s="1399"/>
      <c r="S538" s="1399"/>
      <c r="T538" s="1399"/>
      <c r="U538" s="1399"/>
      <c r="V538" s="1399"/>
      <c r="W538" s="1399"/>
    </row>
    <row r="539" spans="2:23" s="1280" customFormat="1" x14ac:dyDescent="0.6">
      <c r="B539" s="1461"/>
      <c r="D539" s="1459"/>
      <c r="E539" s="1459"/>
      <c r="F539" s="1459"/>
      <c r="G539" s="1459"/>
      <c r="H539" s="1459"/>
      <c r="I539" s="1459"/>
      <c r="J539" s="1459"/>
      <c r="K539" s="1459"/>
      <c r="L539" s="1459"/>
      <c r="N539" s="1399"/>
      <c r="P539" s="1399"/>
      <c r="Q539" s="1399"/>
      <c r="R539" s="1399"/>
      <c r="S539" s="1399"/>
      <c r="T539" s="1399"/>
      <c r="U539" s="1399"/>
      <c r="V539" s="1399"/>
      <c r="W539" s="1399"/>
    </row>
    <row r="540" spans="2:23" s="1280" customFormat="1" x14ac:dyDescent="0.6">
      <c r="B540" s="1461"/>
      <c r="D540" s="1459"/>
      <c r="E540" s="1459"/>
      <c r="F540" s="1459"/>
      <c r="G540" s="1459"/>
      <c r="H540" s="1459"/>
      <c r="I540" s="1459"/>
      <c r="J540" s="1459"/>
      <c r="K540" s="1459"/>
      <c r="L540" s="1459"/>
      <c r="N540" s="1399"/>
      <c r="P540" s="1399"/>
      <c r="Q540" s="1399"/>
      <c r="R540" s="1399"/>
      <c r="S540" s="1399"/>
      <c r="T540" s="1399"/>
      <c r="U540" s="1399"/>
      <c r="V540" s="1399"/>
      <c r="W540" s="1399"/>
    </row>
    <row r="541" spans="2:23" s="1280" customFormat="1" x14ac:dyDescent="0.6">
      <c r="B541" s="1461"/>
      <c r="D541" s="1459"/>
      <c r="E541" s="1459"/>
      <c r="F541" s="1459"/>
      <c r="G541" s="1459"/>
      <c r="H541" s="1459"/>
      <c r="I541" s="1459"/>
      <c r="J541" s="1459"/>
      <c r="K541" s="1459"/>
      <c r="L541" s="1459"/>
      <c r="N541" s="1399"/>
      <c r="P541" s="1399"/>
      <c r="Q541" s="1399"/>
      <c r="R541" s="1399"/>
      <c r="S541" s="1399"/>
      <c r="T541" s="1399"/>
      <c r="U541" s="1399"/>
      <c r="V541" s="1399"/>
      <c r="W541" s="1399"/>
    </row>
    <row r="542" spans="2:23" s="1280" customFormat="1" x14ac:dyDescent="0.6">
      <c r="B542" s="1461"/>
      <c r="D542" s="1459"/>
      <c r="E542" s="1459"/>
      <c r="F542" s="1459"/>
      <c r="G542" s="1459"/>
      <c r="H542" s="1459"/>
      <c r="I542" s="1459"/>
      <c r="J542" s="1459"/>
      <c r="K542" s="1459"/>
      <c r="L542" s="1459"/>
      <c r="N542" s="1399"/>
      <c r="P542" s="1399"/>
      <c r="Q542" s="1399"/>
      <c r="R542" s="1399"/>
      <c r="S542" s="1399"/>
      <c r="T542" s="1399"/>
      <c r="U542" s="1399"/>
      <c r="V542" s="1399"/>
      <c r="W542" s="1399"/>
    </row>
    <row r="543" spans="2:23" s="1280" customFormat="1" x14ac:dyDescent="0.6">
      <c r="B543" s="1461"/>
      <c r="D543" s="1459"/>
      <c r="E543" s="1459"/>
      <c r="F543" s="1459"/>
      <c r="G543" s="1459"/>
      <c r="H543" s="1459"/>
      <c r="I543" s="1459"/>
      <c r="J543" s="1459"/>
      <c r="K543" s="1459"/>
      <c r="L543" s="1459"/>
      <c r="N543" s="1399"/>
      <c r="P543" s="1399"/>
      <c r="Q543" s="1399"/>
      <c r="R543" s="1399"/>
      <c r="S543" s="1399"/>
      <c r="T543" s="1399"/>
      <c r="U543" s="1399"/>
      <c r="V543" s="1399"/>
      <c r="W543" s="1399"/>
    </row>
    <row r="544" spans="2:23" s="1280" customFormat="1" x14ac:dyDescent="0.6">
      <c r="B544" s="1461"/>
      <c r="D544" s="1459"/>
      <c r="E544" s="1459"/>
      <c r="F544" s="1459"/>
      <c r="G544" s="1459"/>
      <c r="H544" s="1459"/>
      <c r="I544" s="1459"/>
      <c r="J544" s="1459"/>
      <c r="K544" s="1459"/>
      <c r="L544" s="1459"/>
      <c r="N544" s="1399"/>
      <c r="P544" s="1399"/>
      <c r="Q544" s="1399"/>
      <c r="R544" s="1399"/>
      <c r="S544" s="1399"/>
      <c r="T544" s="1399"/>
      <c r="U544" s="1399"/>
      <c r="V544" s="1399"/>
      <c r="W544" s="1399"/>
    </row>
    <row r="545" spans="2:23" s="1280" customFormat="1" x14ac:dyDescent="0.6">
      <c r="B545" s="1461"/>
      <c r="D545" s="1459"/>
      <c r="E545" s="1459"/>
      <c r="F545" s="1459"/>
      <c r="G545" s="1459"/>
      <c r="H545" s="1459"/>
      <c r="I545" s="1459"/>
      <c r="J545" s="1459"/>
      <c r="K545" s="1459"/>
      <c r="L545" s="1459"/>
      <c r="N545" s="1399"/>
      <c r="P545" s="1399"/>
      <c r="Q545" s="1399"/>
      <c r="R545" s="1399"/>
      <c r="S545" s="1399"/>
      <c r="T545" s="1399"/>
      <c r="U545" s="1399"/>
      <c r="V545" s="1399"/>
      <c r="W545" s="1399"/>
    </row>
    <row r="546" spans="2:23" s="1280" customFormat="1" x14ac:dyDescent="0.6">
      <c r="B546" s="1461"/>
      <c r="D546" s="1459"/>
      <c r="E546" s="1459"/>
      <c r="F546" s="1459"/>
      <c r="G546" s="1459"/>
      <c r="H546" s="1459"/>
      <c r="I546" s="1459"/>
      <c r="J546" s="1459"/>
      <c r="K546" s="1459"/>
      <c r="L546" s="1459"/>
      <c r="N546" s="1399"/>
      <c r="P546" s="1399"/>
      <c r="Q546" s="1399"/>
      <c r="R546" s="1399"/>
      <c r="S546" s="1399"/>
      <c r="T546" s="1399"/>
      <c r="U546" s="1399"/>
      <c r="V546" s="1399"/>
      <c r="W546" s="1399"/>
    </row>
    <row r="547" spans="2:23" s="1280" customFormat="1" x14ac:dyDescent="0.6">
      <c r="B547" s="1461"/>
      <c r="D547" s="1459"/>
      <c r="E547" s="1459"/>
      <c r="F547" s="1459"/>
      <c r="G547" s="1459"/>
      <c r="H547" s="1459"/>
      <c r="I547" s="1459"/>
      <c r="J547" s="1459"/>
      <c r="K547" s="1459"/>
      <c r="L547" s="1459"/>
      <c r="N547" s="1399"/>
      <c r="P547" s="1399"/>
      <c r="Q547" s="1399"/>
      <c r="R547" s="1399"/>
      <c r="S547" s="1399"/>
      <c r="T547" s="1399"/>
      <c r="U547" s="1399"/>
      <c r="V547" s="1399"/>
      <c r="W547" s="1399"/>
    </row>
    <row r="548" spans="2:23" s="1280" customFormat="1" x14ac:dyDescent="0.6">
      <c r="B548" s="1461"/>
      <c r="D548" s="1459"/>
      <c r="E548" s="1459"/>
      <c r="F548" s="1459"/>
      <c r="G548" s="1459"/>
      <c r="H548" s="1459"/>
      <c r="I548" s="1459"/>
      <c r="J548" s="1459"/>
      <c r="K548" s="1459"/>
      <c r="L548" s="1459"/>
      <c r="N548" s="1399"/>
      <c r="P548" s="1399"/>
      <c r="Q548" s="1399"/>
      <c r="R548" s="1399"/>
      <c r="S548" s="1399"/>
      <c r="T548" s="1399"/>
      <c r="U548" s="1399"/>
      <c r="V548" s="1399"/>
      <c r="W548" s="1399"/>
    </row>
    <row r="549" spans="2:23" s="1280" customFormat="1" x14ac:dyDescent="0.6">
      <c r="B549" s="1461"/>
      <c r="D549" s="1459"/>
      <c r="E549" s="1459"/>
      <c r="F549" s="1459"/>
      <c r="G549" s="1459"/>
      <c r="H549" s="1459"/>
      <c r="I549" s="1459"/>
      <c r="J549" s="1459"/>
      <c r="K549" s="1459"/>
      <c r="L549" s="1459"/>
      <c r="N549" s="1399"/>
      <c r="P549" s="1399"/>
      <c r="Q549" s="1399"/>
      <c r="R549" s="1399"/>
      <c r="S549" s="1399"/>
      <c r="T549" s="1399"/>
      <c r="U549" s="1399"/>
      <c r="V549" s="1399"/>
      <c r="W549" s="1399"/>
    </row>
    <row r="550" spans="2:23" s="1280" customFormat="1" x14ac:dyDescent="0.6">
      <c r="B550" s="1461"/>
      <c r="D550" s="1459"/>
      <c r="E550" s="1459"/>
      <c r="F550" s="1459"/>
      <c r="G550" s="1459"/>
      <c r="H550" s="1459"/>
      <c r="I550" s="1459"/>
      <c r="J550" s="1459"/>
      <c r="K550" s="1459"/>
      <c r="L550" s="1459"/>
      <c r="N550" s="1399"/>
      <c r="P550" s="1399"/>
      <c r="Q550" s="1399"/>
      <c r="R550" s="1399"/>
      <c r="S550" s="1399"/>
      <c r="T550" s="1399"/>
      <c r="U550" s="1399"/>
      <c r="V550" s="1399"/>
      <c r="W550" s="1399"/>
    </row>
    <row r="551" spans="2:23" s="1280" customFormat="1" x14ac:dyDescent="0.6">
      <c r="B551" s="1461"/>
      <c r="D551" s="1459"/>
      <c r="E551" s="1459"/>
      <c r="F551" s="1459"/>
      <c r="G551" s="1459"/>
      <c r="H551" s="1459"/>
      <c r="I551" s="1459"/>
      <c r="J551" s="1459"/>
      <c r="K551" s="1459"/>
      <c r="L551" s="1459"/>
      <c r="N551" s="1399"/>
      <c r="P551" s="1399"/>
      <c r="Q551" s="1399"/>
      <c r="R551" s="1399"/>
      <c r="S551" s="1399"/>
      <c r="T551" s="1399"/>
      <c r="U551" s="1399"/>
      <c r="V551" s="1399"/>
      <c r="W551" s="1399"/>
    </row>
    <row r="552" spans="2:23" s="1280" customFormat="1" x14ac:dyDescent="0.6">
      <c r="B552" s="1461"/>
      <c r="D552" s="1459"/>
      <c r="E552" s="1459"/>
      <c r="F552" s="1459"/>
      <c r="G552" s="1459"/>
      <c r="H552" s="1459"/>
      <c r="I552" s="1459"/>
      <c r="J552" s="1459"/>
      <c r="K552" s="1459"/>
      <c r="L552" s="1459"/>
      <c r="N552" s="1399"/>
      <c r="P552" s="1399"/>
      <c r="Q552" s="1399"/>
      <c r="R552" s="1399"/>
      <c r="S552" s="1399"/>
      <c r="T552" s="1399"/>
      <c r="U552" s="1399"/>
      <c r="V552" s="1399"/>
      <c r="W552" s="1399"/>
    </row>
    <row r="553" spans="2:23" s="1280" customFormat="1" x14ac:dyDescent="0.6">
      <c r="B553" s="1461"/>
      <c r="D553" s="1459"/>
      <c r="E553" s="1459"/>
      <c r="F553" s="1459"/>
      <c r="G553" s="1459"/>
      <c r="H553" s="1459"/>
      <c r="I553" s="1459"/>
      <c r="J553" s="1459"/>
      <c r="K553" s="1459"/>
      <c r="L553" s="1459"/>
      <c r="N553" s="1399"/>
      <c r="P553" s="1399"/>
      <c r="Q553" s="1399"/>
      <c r="R553" s="1399"/>
      <c r="S553" s="1399"/>
      <c r="T553" s="1399"/>
      <c r="U553" s="1399"/>
      <c r="V553" s="1399"/>
      <c r="W553" s="1399"/>
    </row>
    <row r="554" spans="2:23" s="1280" customFormat="1" x14ac:dyDescent="0.6">
      <c r="B554" s="1461"/>
      <c r="D554" s="1459"/>
      <c r="E554" s="1459"/>
      <c r="F554" s="1459"/>
      <c r="G554" s="1459"/>
      <c r="H554" s="1459"/>
      <c r="I554" s="1459"/>
      <c r="J554" s="1459"/>
      <c r="K554" s="1459"/>
      <c r="L554" s="1459"/>
      <c r="N554" s="1399"/>
      <c r="P554" s="1399"/>
      <c r="Q554" s="1399"/>
      <c r="R554" s="1399"/>
      <c r="S554" s="1399"/>
      <c r="T554" s="1399"/>
      <c r="U554" s="1399"/>
      <c r="V554" s="1399"/>
      <c r="W554" s="1399"/>
    </row>
    <row r="555" spans="2:23" s="1280" customFormat="1" x14ac:dyDescent="0.6">
      <c r="B555" s="1461"/>
      <c r="D555" s="1459"/>
      <c r="E555" s="1459"/>
      <c r="F555" s="1459"/>
      <c r="G555" s="1459"/>
      <c r="H555" s="1459"/>
      <c r="I555" s="1459"/>
      <c r="J555" s="1459"/>
      <c r="K555" s="1459"/>
      <c r="L555" s="1459"/>
      <c r="N555" s="1399"/>
      <c r="P555" s="1399"/>
      <c r="Q555" s="1399"/>
      <c r="R555" s="1399"/>
      <c r="S555" s="1399"/>
      <c r="T555" s="1399"/>
      <c r="U555" s="1399"/>
      <c r="V555" s="1399"/>
      <c r="W555" s="1399"/>
    </row>
    <row r="556" spans="2:23" s="1280" customFormat="1" x14ac:dyDescent="0.6">
      <c r="B556" s="1461"/>
      <c r="D556" s="1459"/>
      <c r="E556" s="1459"/>
      <c r="F556" s="1459"/>
      <c r="G556" s="1459"/>
      <c r="H556" s="1459"/>
      <c r="I556" s="1459"/>
      <c r="J556" s="1459"/>
      <c r="K556" s="1459"/>
      <c r="L556" s="1459"/>
      <c r="N556" s="1399"/>
      <c r="P556" s="1399"/>
      <c r="Q556" s="1399"/>
      <c r="R556" s="1399"/>
      <c r="S556" s="1399"/>
      <c r="T556" s="1399"/>
      <c r="U556" s="1399"/>
      <c r="V556" s="1399"/>
      <c r="W556" s="1399"/>
    </row>
    <row r="557" spans="2:23" s="1280" customFormat="1" x14ac:dyDescent="0.6">
      <c r="B557" s="1461"/>
      <c r="D557" s="1459"/>
      <c r="E557" s="1459"/>
      <c r="F557" s="1459"/>
      <c r="G557" s="1459"/>
      <c r="H557" s="1459"/>
      <c r="I557" s="1459"/>
      <c r="J557" s="1459"/>
      <c r="K557" s="1459"/>
      <c r="L557" s="1459"/>
      <c r="N557" s="1399"/>
      <c r="P557" s="1399"/>
      <c r="Q557" s="1399"/>
      <c r="R557" s="1399"/>
      <c r="S557" s="1399"/>
      <c r="T557" s="1399"/>
      <c r="U557" s="1399"/>
      <c r="V557" s="1399"/>
      <c r="W557" s="1399"/>
    </row>
    <row r="558" spans="2:23" s="1280" customFormat="1" x14ac:dyDescent="0.6">
      <c r="B558" s="1461"/>
      <c r="D558" s="1459"/>
      <c r="E558" s="1459"/>
      <c r="F558" s="1459"/>
      <c r="G558" s="1459"/>
      <c r="H558" s="1459"/>
      <c r="I558" s="1459"/>
      <c r="J558" s="1459"/>
      <c r="K558" s="1459"/>
      <c r="L558" s="1459"/>
      <c r="N558" s="1399"/>
      <c r="P558" s="1399"/>
      <c r="Q558" s="1399"/>
      <c r="R558" s="1399"/>
      <c r="S558" s="1399"/>
      <c r="T558" s="1399"/>
      <c r="U558" s="1399"/>
      <c r="V558" s="1399"/>
      <c r="W558" s="1399"/>
    </row>
    <row r="559" spans="2:23" s="1280" customFormat="1" x14ac:dyDescent="0.6">
      <c r="B559" s="1461"/>
      <c r="D559" s="1459"/>
      <c r="E559" s="1459"/>
      <c r="F559" s="1459"/>
      <c r="G559" s="1459"/>
      <c r="H559" s="1459"/>
      <c r="I559" s="1459"/>
      <c r="J559" s="1459"/>
      <c r="K559" s="1459"/>
      <c r="L559" s="1459"/>
      <c r="N559" s="1399"/>
      <c r="P559" s="1399"/>
      <c r="Q559" s="1399"/>
      <c r="R559" s="1399"/>
      <c r="S559" s="1399"/>
      <c r="T559" s="1399"/>
      <c r="U559" s="1399"/>
      <c r="V559" s="1399"/>
      <c r="W559" s="1399"/>
    </row>
    <row r="560" spans="2:23" s="1280" customFormat="1" x14ac:dyDescent="0.6">
      <c r="B560" s="1461"/>
      <c r="D560" s="1459"/>
      <c r="E560" s="1459"/>
      <c r="F560" s="1459"/>
      <c r="G560" s="1459"/>
      <c r="H560" s="1459"/>
      <c r="I560" s="1459"/>
      <c r="J560" s="1459"/>
      <c r="K560" s="1459"/>
      <c r="L560" s="1459"/>
      <c r="N560" s="1399"/>
      <c r="P560" s="1399"/>
      <c r="Q560" s="1399"/>
      <c r="R560" s="1399"/>
      <c r="S560" s="1399"/>
      <c r="T560" s="1399"/>
      <c r="U560" s="1399"/>
      <c r="V560" s="1399"/>
      <c r="W560" s="1399"/>
    </row>
    <row r="561" spans="2:23" s="1280" customFormat="1" x14ac:dyDescent="0.6">
      <c r="B561" s="1461"/>
      <c r="D561" s="1459"/>
      <c r="E561" s="1459"/>
      <c r="F561" s="1459"/>
      <c r="G561" s="1459"/>
      <c r="H561" s="1459"/>
      <c r="I561" s="1459"/>
      <c r="J561" s="1459"/>
      <c r="K561" s="1459"/>
      <c r="L561" s="1459"/>
      <c r="N561" s="1399"/>
      <c r="P561" s="1399"/>
      <c r="Q561" s="1399"/>
      <c r="R561" s="1399"/>
      <c r="S561" s="1399"/>
      <c r="T561" s="1399"/>
      <c r="U561" s="1399"/>
      <c r="V561" s="1399"/>
      <c r="W561" s="1399"/>
    </row>
    <row r="562" spans="2:23" s="1280" customFormat="1" x14ac:dyDescent="0.6">
      <c r="B562" s="1461"/>
      <c r="D562" s="1459"/>
      <c r="E562" s="1459"/>
      <c r="F562" s="1459"/>
      <c r="G562" s="1459"/>
      <c r="H562" s="1459"/>
      <c r="I562" s="1459"/>
      <c r="J562" s="1459"/>
      <c r="K562" s="1459"/>
      <c r="L562" s="1459"/>
      <c r="N562" s="1399"/>
      <c r="P562" s="1399"/>
      <c r="Q562" s="1399"/>
      <c r="R562" s="1399"/>
      <c r="S562" s="1399"/>
      <c r="T562" s="1399"/>
      <c r="U562" s="1399"/>
      <c r="V562" s="1399"/>
      <c r="W562" s="1399"/>
    </row>
    <row r="563" spans="2:23" s="1280" customFormat="1" x14ac:dyDescent="0.6">
      <c r="B563" s="1461"/>
      <c r="D563" s="1459"/>
      <c r="E563" s="1459"/>
      <c r="F563" s="1459"/>
      <c r="G563" s="1459"/>
      <c r="H563" s="1459"/>
      <c r="I563" s="1459"/>
      <c r="J563" s="1459"/>
      <c r="K563" s="1459"/>
      <c r="L563" s="1459"/>
      <c r="N563" s="1399"/>
      <c r="P563" s="1399"/>
      <c r="Q563" s="1399"/>
      <c r="R563" s="1399"/>
      <c r="S563" s="1399"/>
      <c r="T563" s="1399"/>
      <c r="U563" s="1399"/>
      <c r="V563" s="1399"/>
      <c r="W563" s="1399"/>
    </row>
    <row r="564" spans="2:23" s="1280" customFormat="1" x14ac:dyDescent="0.6">
      <c r="B564" s="1461"/>
      <c r="D564" s="1459"/>
      <c r="E564" s="1459"/>
      <c r="F564" s="1459"/>
      <c r="G564" s="1459"/>
      <c r="H564" s="1459"/>
      <c r="I564" s="1459"/>
      <c r="J564" s="1459"/>
      <c r="K564" s="1459"/>
      <c r="L564" s="1459"/>
      <c r="N564" s="1399"/>
      <c r="P564" s="1399"/>
      <c r="Q564" s="1399"/>
      <c r="R564" s="1399"/>
      <c r="S564" s="1399"/>
      <c r="T564" s="1399"/>
      <c r="U564" s="1399"/>
      <c r="V564" s="1399"/>
      <c r="W564" s="1399"/>
    </row>
    <row r="565" spans="2:23" s="1280" customFormat="1" x14ac:dyDescent="0.6">
      <c r="B565" s="1461"/>
      <c r="D565" s="1459"/>
      <c r="E565" s="1459"/>
      <c r="F565" s="1459"/>
      <c r="G565" s="1459"/>
      <c r="H565" s="1459"/>
      <c r="I565" s="1459"/>
      <c r="J565" s="1459"/>
      <c r="K565" s="1459"/>
      <c r="L565" s="1459"/>
      <c r="N565" s="1399"/>
      <c r="P565" s="1399"/>
      <c r="Q565" s="1399"/>
      <c r="R565" s="1399"/>
      <c r="S565" s="1399"/>
      <c r="T565" s="1399"/>
      <c r="U565" s="1399"/>
      <c r="V565" s="1399"/>
      <c r="W565" s="1399"/>
    </row>
    <row r="566" spans="2:23" s="1280" customFormat="1" x14ac:dyDescent="0.6">
      <c r="B566" s="1461"/>
      <c r="D566" s="1459"/>
      <c r="E566" s="1459"/>
      <c r="F566" s="1459"/>
      <c r="G566" s="1459"/>
      <c r="H566" s="1459"/>
      <c r="I566" s="1459"/>
      <c r="J566" s="1459"/>
      <c r="K566" s="1459"/>
      <c r="L566" s="1459"/>
      <c r="N566" s="1399"/>
      <c r="P566" s="1399"/>
      <c r="Q566" s="1399"/>
      <c r="R566" s="1399"/>
      <c r="S566" s="1399"/>
      <c r="T566" s="1399"/>
      <c r="U566" s="1399"/>
      <c r="V566" s="1399"/>
      <c r="W566" s="1399"/>
    </row>
    <row r="567" spans="2:23" s="1280" customFormat="1" x14ac:dyDescent="0.6">
      <c r="B567" s="1461"/>
      <c r="D567" s="1459"/>
      <c r="E567" s="1459"/>
      <c r="F567" s="1459"/>
      <c r="G567" s="1459"/>
      <c r="H567" s="1459"/>
      <c r="I567" s="1459"/>
      <c r="J567" s="1459"/>
      <c r="K567" s="1459"/>
      <c r="L567" s="1459"/>
      <c r="N567" s="1399"/>
      <c r="P567" s="1399"/>
      <c r="Q567" s="1399"/>
      <c r="R567" s="1399"/>
      <c r="S567" s="1399"/>
      <c r="T567" s="1399"/>
      <c r="U567" s="1399"/>
      <c r="V567" s="1399"/>
      <c r="W567" s="1399"/>
    </row>
    <row r="568" spans="2:23" s="1280" customFormat="1" x14ac:dyDescent="0.6">
      <c r="B568" s="1461"/>
      <c r="D568" s="1459"/>
      <c r="E568" s="1459"/>
      <c r="F568" s="1459"/>
      <c r="G568" s="1459"/>
      <c r="H568" s="1459"/>
      <c r="I568" s="1459"/>
      <c r="J568" s="1459"/>
      <c r="K568" s="1459"/>
      <c r="L568" s="1459"/>
      <c r="N568" s="1399"/>
      <c r="P568" s="1399"/>
      <c r="Q568" s="1399"/>
      <c r="R568" s="1399"/>
      <c r="S568" s="1399"/>
      <c r="T568" s="1399"/>
      <c r="U568" s="1399"/>
      <c r="V568" s="1399"/>
      <c r="W568" s="1399"/>
    </row>
    <row r="569" spans="2:23" s="1280" customFormat="1" x14ac:dyDescent="0.6">
      <c r="B569" s="1461"/>
      <c r="D569" s="1459"/>
      <c r="E569" s="1459"/>
      <c r="F569" s="1459"/>
      <c r="G569" s="1459"/>
      <c r="H569" s="1459"/>
      <c r="I569" s="1459"/>
      <c r="J569" s="1459"/>
      <c r="K569" s="1459"/>
      <c r="L569" s="1459"/>
      <c r="N569" s="1399"/>
      <c r="P569" s="1399"/>
      <c r="Q569" s="1399"/>
      <c r="R569" s="1399"/>
      <c r="S569" s="1399"/>
      <c r="T569" s="1399"/>
      <c r="U569" s="1399"/>
      <c r="V569" s="1399"/>
      <c r="W569" s="1399"/>
    </row>
    <row r="570" spans="2:23" s="1280" customFormat="1" x14ac:dyDescent="0.6">
      <c r="B570" s="1461"/>
      <c r="D570" s="1459"/>
      <c r="E570" s="1459"/>
      <c r="F570" s="1459"/>
      <c r="G570" s="1459"/>
      <c r="H570" s="1459"/>
      <c r="I570" s="1459"/>
      <c r="J570" s="1459"/>
      <c r="K570" s="1459"/>
      <c r="L570" s="1459"/>
      <c r="N570" s="1399"/>
      <c r="P570" s="1399"/>
      <c r="Q570" s="1399"/>
      <c r="R570" s="1399"/>
      <c r="S570" s="1399"/>
      <c r="T570" s="1399"/>
      <c r="U570" s="1399"/>
      <c r="V570" s="1399"/>
      <c r="W570" s="1399"/>
    </row>
    <row r="571" spans="2:23" s="1280" customFormat="1" x14ac:dyDescent="0.6">
      <c r="B571" s="1461"/>
      <c r="D571" s="1459"/>
      <c r="E571" s="1459"/>
      <c r="F571" s="1459"/>
      <c r="G571" s="1459"/>
      <c r="H571" s="1459"/>
      <c r="I571" s="1459"/>
      <c r="J571" s="1459"/>
      <c r="K571" s="1459"/>
      <c r="L571" s="1459"/>
      <c r="N571" s="1399"/>
      <c r="P571" s="1399"/>
      <c r="Q571" s="1399"/>
      <c r="R571" s="1399"/>
      <c r="S571" s="1399"/>
      <c r="T571" s="1399"/>
      <c r="U571" s="1399"/>
      <c r="V571" s="1399"/>
      <c r="W571" s="1399"/>
    </row>
    <row r="572" spans="2:23" s="1280" customFormat="1" x14ac:dyDescent="0.6">
      <c r="B572" s="1461"/>
      <c r="D572" s="1459"/>
      <c r="E572" s="1459"/>
      <c r="F572" s="1459"/>
      <c r="G572" s="1459"/>
      <c r="H572" s="1459"/>
      <c r="I572" s="1459"/>
      <c r="J572" s="1459"/>
      <c r="K572" s="1459"/>
      <c r="L572" s="1459"/>
      <c r="N572" s="1399"/>
      <c r="P572" s="1399"/>
      <c r="Q572" s="1399"/>
      <c r="R572" s="1399"/>
      <c r="S572" s="1399"/>
      <c r="T572" s="1399"/>
      <c r="U572" s="1399"/>
      <c r="V572" s="1399"/>
      <c r="W572" s="1399"/>
    </row>
    <row r="573" spans="2:23" s="1280" customFormat="1" x14ac:dyDescent="0.6">
      <c r="B573" s="1461"/>
      <c r="D573" s="1459"/>
      <c r="E573" s="1459"/>
      <c r="F573" s="1459"/>
      <c r="G573" s="1459"/>
      <c r="H573" s="1459"/>
      <c r="I573" s="1459"/>
      <c r="J573" s="1459"/>
      <c r="K573" s="1459"/>
      <c r="L573" s="1459"/>
      <c r="N573" s="1399"/>
      <c r="P573" s="1399"/>
      <c r="Q573" s="1399"/>
      <c r="R573" s="1399"/>
      <c r="S573" s="1399"/>
      <c r="T573" s="1399"/>
      <c r="U573" s="1399"/>
      <c r="V573" s="1399"/>
      <c r="W573" s="1399"/>
    </row>
    <row r="574" spans="2:23" s="1280" customFormat="1" x14ac:dyDescent="0.6">
      <c r="B574" s="1461"/>
      <c r="D574" s="1459"/>
      <c r="E574" s="1459"/>
      <c r="F574" s="1459"/>
      <c r="G574" s="1459"/>
      <c r="H574" s="1459"/>
      <c r="I574" s="1459"/>
      <c r="J574" s="1459"/>
      <c r="K574" s="1459"/>
      <c r="L574" s="1459"/>
      <c r="N574" s="1399"/>
      <c r="P574" s="1399"/>
      <c r="Q574" s="1399"/>
      <c r="R574" s="1399"/>
      <c r="S574" s="1399"/>
      <c r="T574" s="1399"/>
      <c r="U574" s="1399"/>
      <c r="V574" s="1399"/>
      <c r="W574" s="1399"/>
    </row>
    <row r="575" spans="2:23" s="1280" customFormat="1" x14ac:dyDescent="0.6">
      <c r="B575" s="1461"/>
      <c r="D575" s="1459"/>
      <c r="E575" s="1459"/>
      <c r="F575" s="1459"/>
      <c r="G575" s="1459"/>
      <c r="H575" s="1459"/>
      <c r="I575" s="1459"/>
      <c r="J575" s="1459"/>
      <c r="K575" s="1459"/>
      <c r="L575" s="1459"/>
      <c r="N575" s="1399"/>
      <c r="P575" s="1399"/>
      <c r="Q575" s="1399"/>
      <c r="R575" s="1399"/>
      <c r="S575" s="1399"/>
      <c r="T575" s="1399"/>
      <c r="U575" s="1399"/>
      <c r="V575" s="1399"/>
      <c r="W575" s="1399"/>
    </row>
    <row r="576" spans="2:23" s="1280" customFormat="1" x14ac:dyDescent="0.6">
      <c r="B576" s="1461"/>
      <c r="D576" s="1459"/>
      <c r="E576" s="1459"/>
      <c r="F576" s="1459"/>
      <c r="G576" s="1459"/>
      <c r="H576" s="1459"/>
      <c r="I576" s="1459"/>
      <c r="J576" s="1459"/>
      <c r="K576" s="1459"/>
      <c r="L576" s="1459"/>
      <c r="N576" s="1399"/>
      <c r="P576" s="1399"/>
      <c r="Q576" s="1399"/>
      <c r="R576" s="1399"/>
      <c r="S576" s="1399"/>
      <c r="T576" s="1399"/>
      <c r="U576" s="1399"/>
      <c r="V576" s="1399"/>
      <c r="W576" s="1399"/>
    </row>
    <row r="577" spans="2:23" s="1280" customFormat="1" x14ac:dyDescent="0.6">
      <c r="B577" s="1461"/>
      <c r="D577" s="1459"/>
      <c r="E577" s="1459"/>
      <c r="F577" s="1459"/>
      <c r="G577" s="1459"/>
      <c r="H577" s="1459"/>
      <c r="I577" s="1459"/>
      <c r="J577" s="1459"/>
      <c r="K577" s="1459"/>
      <c r="L577" s="1459"/>
      <c r="N577" s="1399"/>
      <c r="P577" s="1399"/>
      <c r="Q577" s="1399"/>
      <c r="R577" s="1399"/>
      <c r="S577" s="1399"/>
      <c r="T577" s="1399"/>
      <c r="U577" s="1399"/>
      <c r="V577" s="1399"/>
      <c r="W577" s="1399"/>
    </row>
    <row r="578" spans="2:23" s="1280" customFormat="1" x14ac:dyDescent="0.6">
      <c r="B578" s="1461"/>
      <c r="D578" s="1459"/>
      <c r="E578" s="1459"/>
      <c r="F578" s="1459"/>
      <c r="G578" s="1459"/>
      <c r="H578" s="1459"/>
      <c r="I578" s="1459"/>
      <c r="J578" s="1459"/>
      <c r="K578" s="1459"/>
      <c r="L578" s="1459"/>
      <c r="N578" s="1399"/>
      <c r="P578" s="1399"/>
      <c r="Q578" s="1399"/>
      <c r="R578" s="1399"/>
      <c r="S578" s="1399"/>
      <c r="T578" s="1399"/>
      <c r="U578" s="1399"/>
      <c r="V578" s="1399"/>
      <c r="W578" s="1399"/>
    </row>
    <row r="579" spans="2:23" s="1280" customFormat="1" x14ac:dyDescent="0.6">
      <c r="B579" s="1461"/>
      <c r="D579" s="1459"/>
      <c r="E579" s="1459"/>
      <c r="F579" s="1459"/>
      <c r="G579" s="1459"/>
      <c r="H579" s="1459"/>
      <c r="I579" s="1459"/>
      <c r="J579" s="1459"/>
      <c r="K579" s="1459"/>
      <c r="L579" s="1459"/>
      <c r="N579" s="1399"/>
      <c r="P579" s="1399"/>
      <c r="Q579" s="1399"/>
      <c r="R579" s="1399"/>
      <c r="S579" s="1399"/>
      <c r="T579" s="1399"/>
      <c r="U579" s="1399"/>
      <c r="V579" s="1399"/>
      <c r="W579" s="1399"/>
    </row>
    <row r="580" spans="2:23" s="1280" customFormat="1" x14ac:dyDescent="0.6">
      <c r="B580" s="1461"/>
      <c r="D580" s="1459"/>
      <c r="E580" s="1459"/>
      <c r="F580" s="1459"/>
      <c r="G580" s="1459"/>
      <c r="H580" s="1459"/>
      <c r="I580" s="1459"/>
      <c r="J580" s="1459"/>
      <c r="K580" s="1459"/>
      <c r="L580" s="1459"/>
      <c r="N580" s="1399"/>
      <c r="P580" s="1399"/>
      <c r="Q580" s="1399"/>
      <c r="R580" s="1399"/>
      <c r="S580" s="1399"/>
      <c r="T580" s="1399"/>
      <c r="U580" s="1399"/>
      <c r="V580" s="1399"/>
      <c r="W580" s="1399"/>
    </row>
    <row r="581" spans="2:23" s="1280" customFormat="1" x14ac:dyDescent="0.6">
      <c r="B581" s="1461"/>
      <c r="D581" s="1459"/>
      <c r="E581" s="1459"/>
      <c r="F581" s="1459"/>
      <c r="G581" s="1459"/>
      <c r="H581" s="1459"/>
      <c r="I581" s="1459"/>
      <c r="J581" s="1459"/>
      <c r="K581" s="1459"/>
      <c r="L581" s="1459"/>
      <c r="N581" s="1399"/>
      <c r="P581" s="1399"/>
      <c r="Q581" s="1399"/>
      <c r="R581" s="1399"/>
      <c r="S581" s="1399"/>
      <c r="T581" s="1399"/>
      <c r="U581" s="1399"/>
      <c r="V581" s="1399"/>
      <c r="W581" s="1399"/>
    </row>
    <row r="582" spans="2:23" s="1280" customFormat="1" x14ac:dyDescent="0.6">
      <c r="B582" s="1461"/>
      <c r="D582" s="1459"/>
      <c r="E582" s="1459"/>
      <c r="F582" s="1459"/>
      <c r="G582" s="1459"/>
      <c r="H582" s="1459"/>
      <c r="I582" s="1459"/>
      <c r="J582" s="1459"/>
      <c r="K582" s="1459"/>
      <c r="L582" s="1459"/>
      <c r="N582" s="1399"/>
      <c r="P582" s="1399"/>
      <c r="Q582" s="1399"/>
      <c r="R582" s="1399"/>
      <c r="S582" s="1399"/>
      <c r="T582" s="1399"/>
      <c r="U582" s="1399"/>
      <c r="V582" s="1399"/>
      <c r="W582" s="1399"/>
    </row>
    <row r="583" spans="2:23" s="1280" customFormat="1" x14ac:dyDescent="0.6">
      <c r="B583" s="1461"/>
      <c r="D583" s="1459"/>
      <c r="E583" s="1459"/>
      <c r="F583" s="1459"/>
      <c r="G583" s="1459"/>
      <c r="H583" s="1459"/>
      <c r="I583" s="1459"/>
      <c r="J583" s="1459"/>
      <c r="K583" s="1459"/>
      <c r="L583" s="1459"/>
      <c r="N583" s="1399"/>
      <c r="P583" s="1399"/>
      <c r="Q583" s="1399"/>
      <c r="R583" s="1399"/>
      <c r="S583" s="1399"/>
      <c r="T583" s="1399"/>
      <c r="U583" s="1399"/>
      <c r="V583" s="1399"/>
      <c r="W583" s="1399"/>
    </row>
    <row r="584" spans="2:23" s="1280" customFormat="1" x14ac:dyDescent="0.6">
      <c r="B584" s="1461"/>
      <c r="D584" s="1459"/>
      <c r="E584" s="1459"/>
      <c r="F584" s="1459"/>
      <c r="G584" s="1459"/>
      <c r="H584" s="1459"/>
      <c r="I584" s="1459"/>
      <c r="J584" s="1459"/>
      <c r="K584" s="1459"/>
      <c r="L584" s="1459"/>
      <c r="N584" s="1399"/>
      <c r="P584" s="1399"/>
      <c r="Q584" s="1399"/>
      <c r="R584" s="1399"/>
      <c r="S584" s="1399"/>
      <c r="T584" s="1399"/>
      <c r="U584" s="1399"/>
      <c r="V584" s="1399"/>
      <c r="W584" s="1399"/>
    </row>
    <row r="585" spans="2:23" s="1280" customFormat="1" x14ac:dyDescent="0.6">
      <c r="B585" s="1461"/>
      <c r="D585" s="1459"/>
      <c r="E585" s="1459"/>
      <c r="F585" s="1459"/>
      <c r="G585" s="1459"/>
      <c r="H585" s="1459"/>
      <c r="I585" s="1459"/>
      <c r="J585" s="1459"/>
      <c r="K585" s="1459"/>
      <c r="L585" s="1459"/>
      <c r="N585" s="1399"/>
      <c r="P585" s="1399"/>
      <c r="Q585" s="1399"/>
      <c r="R585" s="1399"/>
      <c r="S585" s="1399"/>
      <c r="T585" s="1399"/>
      <c r="U585" s="1399"/>
      <c r="V585" s="1399"/>
      <c r="W585" s="1399"/>
    </row>
    <row r="586" spans="2:23" s="1280" customFormat="1" x14ac:dyDescent="0.6">
      <c r="B586" s="1461"/>
      <c r="D586" s="1459"/>
      <c r="E586" s="1459"/>
      <c r="F586" s="1459"/>
      <c r="G586" s="1459"/>
      <c r="H586" s="1459"/>
      <c r="I586" s="1459"/>
      <c r="J586" s="1459"/>
      <c r="K586" s="1459"/>
      <c r="L586" s="1459"/>
      <c r="N586" s="1399"/>
      <c r="P586" s="1399"/>
      <c r="Q586" s="1399"/>
      <c r="R586" s="1399"/>
      <c r="S586" s="1399"/>
      <c r="T586" s="1399"/>
      <c r="U586" s="1399"/>
      <c r="V586" s="1399"/>
      <c r="W586" s="1399"/>
    </row>
    <row r="587" spans="2:23" s="1280" customFormat="1" x14ac:dyDescent="0.6">
      <c r="B587" s="1461"/>
      <c r="D587" s="1459"/>
      <c r="E587" s="1459"/>
      <c r="F587" s="1459"/>
      <c r="G587" s="1459"/>
      <c r="H587" s="1459"/>
      <c r="I587" s="1459"/>
      <c r="J587" s="1459"/>
      <c r="K587" s="1459"/>
      <c r="L587" s="1459"/>
      <c r="N587" s="1399"/>
      <c r="P587" s="1399"/>
      <c r="Q587" s="1399"/>
      <c r="R587" s="1399"/>
      <c r="S587" s="1399"/>
      <c r="T587" s="1399"/>
      <c r="U587" s="1399"/>
      <c r="V587" s="1399"/>
      <c r="W587" s="1399"/>
    </row>
    <row r="588" spans="2:23" s="1280" customFormat="1" x14ac:dyDescent="0.6">
      <c r="B588" s="1461"/>
      <c r="D588" s="1459"/>
      <c r="E588" s="1459"/>
      <c r="F588" s="1459"/>
      <c r="G588" s="1459"/>
      <c r="H588" s="1459"/>
      <c r="I588" s="1459"/>
      <c r="J588" s="1459"/>
      <c r="K588" s="1459"/>
      <c r="L588" s="1459"/>
      <c r="N588" s="1399"/>
      <c r="P588" s="1399"/>
      <c r="Q588" s="1399"/>
      <c r="R588" s="1399"/>
      <c r="S588" s="1399"/>
      <c r="T588" s="1399"/>
      <c r="U588" s="1399"/>
      <c r="V588" s="1399"/>
      <c r="W588" s="1399"/>
    </row>
    <row r="589" spans="2:23" s="1280" customFormat="1" x14ac:dyDescent="0.6">
      <c r="B589" s="1461"/>
      <c r="D589" s="1459"/>
      <c r="E589" s="1459"/>
      <c r="F589" s="1459"/>
      <c r="G589" s="1459"/>
      <c r="H589" s="1459"/>
      <c r="I589" s="1459"/>
      <c r="J589" s="1459"/>
      <c r="K589" s="1459"/>
      <c r="L589" s="1459"/>
      <c r="N589" s="1399"/>
      <c r="P589" s="1399"/>
      <c r="Q589" s="1399"/>
      <c r="R589" s="1399"/>
      <c r="S589" s="1399"/>
      <c r="T589" s="1399"/>
      <c r="U589" s="1399"/>
      <c r="V589" s="1399"/>
      <c r="W589" s="1399"/>
    </row>
    <row r="590" spans="2:23" s="1280" customFormat="1" x14ac:dyDescent="0.6">
      <c r="B590" s="1461"/>
      <c r="D590" s="1459"/>
      <c r="E590" s="1459"/>
      <c r="F590" s="1459"/>
      <c r="G590" s="1459"/>
      <c r="H590" s="1459"/>
      <c r="I590" s="1459"/>
      <c r="J590" s="1459"/>
      <c r="K590" s="1459"/>
      <c r="L590" s="1459"/>
      <c r="N590" s="1399"/>
      <c r="P590" s="1399"/>
      <c r="Q590" s="1399"/>
      <c r="R590" s="1399"/>
      <c r="S590" s="1399"/>
      <c r="T590" s="1399"/>
      <c r="U590" s="1399"/>
      <c r="V590" s="1399"/>
      <c r="W590" s="1399"/>
    </row>
    <row r="591" spans="2:23" s="1280" customFormat="1" x14ac:dyDescent="0.6">
      <c r="B591" s="1461"/>
      <c r="D591" s="1459"/>
      <c r="E591" s="1459"/>
      <c r="F591" s="1459"/>
      <c r="G591" s="1459"/>
      <c r="H591" s="1459"/>
      <c r="I591" s="1459"/>
      <c r="J591" s="1459"/>
      <c r="K591" s="1459"/>
      <c r="L591" s="1459"/>
      <c r="N591" s="1399"/>
      <c r="P591" s="1399"/>
      <c r="Q591" s="1399"/>
      <c r="R591" s="1399"/>
      <c r="S591" s="1399"/>
      <c r="T591" s="1399"/>
      <c r="U591" s="1399"/>
      <c r="V591" s="1399"/>
      <c r="W591" s="1399"/>
    </row>
    <row r="592" spans="2:23" s="1280" customFormat="1" x14ac:dyDescent="0.6">
      <c r="B592" s="1461"/>
      <c r="D592" s="1459"/>
      <c r="E592" s="1459"/>
      <c r="F592" s="1459"/>
      <c r="G592" s="1459"/>
      <c r="H592" s="1459"/>
      <c r="I592" s="1459"/>
      <c r="J592" s="1459"/>
      <c r="K592" s="1459"/>
      <c r="L592" s="1459"/>
      <c r="N592" s="1399"/>
      <c r="P592" s="1399"/>
      <c r="Q592" s="1399"/>
      <c r="R592" s="1399"/>
      <c r="S592" s="1399"/>
      <c r="T592" s="1399"/>
      <c r="U592" s="1399"/>
      <c r="V592" s="1399"/>
      <c r="W592" s="1399"/>
    </row>
    <row r="593" spans="2:23" s="1280" customFormat="1" x14ac:dyDescent="0.6">
      <c r="B593" s="1461"/>
      <c r="D593" s="1459"/>
      <c r="E593" s="1459"/>
      <c r="F593" s="1459"/>
      <c r="G593" s="1459"/>
      <c r="H593" s="1459"/>
      <c r="I593" s="1459"/>
      <c r="J593" s="1459"/>
      <c r="K593" s="1459"/>
      <c r="L593" s="1459"/>
      <c r="N593" s="1399"/>
      <c r="P593" s="1399"/>
      <c r="Q593" s="1399"/>
      <c r="R593" s="1399"/>
      <c r="S593" s="1399"/>
      <c r="T593" s="1399"/>
      <c r="U593" s="1399"/>
      <c r="V593" s="1399"/>
      <c r="W593" s="1399"/>
    </row>
    <row r="594" spans="2:23" s="1280" customFormat="1" x14ac:dyDescent="0.6">
      <c r="B594" s="1461"/>
      <c r="D594" s="1459"/>
      <c r="E594" s="1459"/>
      <c r="F594" s="1459"/>
      <c r="G594" s="1459"/>
      <c r="H594" s="1459"/>
      <c r="I594" s="1459"/>
      <c r="J594" s="1459"/>
      <c r="K594" s="1459"/>
      <c r="L594" s="1459"/>
      <c r="N594" s="1399"/>
      <c r="P594" s="1399"/>
      <c r="Q594" s="1399"/>
      <c r="R594" s="1399"/>
      <c r="S594" s="1399"/>
      <c r="T594" s="1399"/>
      <c r="U594" s="1399"/>
      <c r="V594" s="1399"/>
      <c r="W594" s="1399"/>
    </row>
    <row r="595" spans="2:23" s="1280" customFormat="1" x14ac:dyDescent="0.6">
      <c r="B595" s="1461"/>
      <c r="D595" s="1459"/>
      <c r="E595" s="1459"/>
      <c r="F595" s="1459"/>
      <c r="G595" s="1459"/>
      <c r="H595" s="1459"/>
      <c r="I595" s="1459"/>
      <c r="J595" s="1459"/>
      <c r="K595" s="1459"/>
      <c r="L595" s="1459"/>
      <c r="N595" s="1399"/>
      <c r="P595" s="1399"/>
      <c r="Q595" s="1399"/>
      <c r="R595" s="1399"/>
      <c r="S595" s="1399"/>
      <c r="T595" s="1399"/>
      <c r="U595" s="1399"/>
      <c r="V595" s="1399"/>
      <c r="W595" s="1399"/>
    </row>
    <row r="596" spans="2:23" s="1280" customFormat="1" x14ac:dyDescent="0.6">
      <c r="B596" s="1461"/>
      <c r="D596" s="1459"/>
      <c r="E596" s="1459"/>
      <c r="F596" s="1459"/>
      <c r="G596" s="1459"/>
      <c r="H596" s="1459"/>
      <c r="I596" s="1459"/>
      <c r="J596" s="1459"/>
      <c r="K596" s="1459"/>
      <c r="L596" s="1459"/>
      <c r="N596" s="1399"/>
      <c r="P596" s="1399"/>
      <c r="Q596" s="1399"/>
      <c r="R596" s="1399"/>
      <c r="S596" s="1399"/>
      <c r="T596" s="1399"/>
      <c r="U596" s="1399"/>
      <c r="V596" s="1399"/>
      <c r="W596" s="1399"/>
    </row>
    <row r="597" spans="2:23" s="1280" customFormat="1" x14ac:dyDescent="0.6">
      <c r="B597" s="1461"/>
      <c r="D597" s="1459"/>
      <c r="E597" s="1459"/>
      <c r="F597" s="1459"/>
      <c r="G597" s="1459"/>
      <c r="H597" s="1459"/>
      <c r="I597" s="1459"/>
      <c r="J597" s="1459"/>
      <c r="K597" s="1459"/>
      <c r="L597" s="1459"/>
      <c r="N597" s="1399"/>
      <c r="P597" s="1399"/>
      <c r="Q597" s="1399"/>
      <c r="R597" s="1399"/>
      <c r="S597" s="1399"/>
      <c r="T597" s="1399"/>
      <c r="U597" s="1399"/>
      <c r="V597" s="1399"/>
      <c r="W597" s="1399"/>
    </row>
    <row r="598" spans="2:23" s="1280" customFormat="1" x14ac:dyDescent="0.6">
      <c r="B598" s="1461"/>
      <c r="D598" s="1459"/>
      <c r="E598" s="1459"/>
      <c r="F598" s="1459"/>
      <c r="G598" s="1459"/>
      <c r="H598" s="1459"/>
      <c r="I598" s="1459"/>
      <c r="J598" s="1459"/>
      <c r="K598" s="1459"/>
      <c r="L598" s="1459"/>
      <c r="N598" s="1399"/>
      <c r="P598" s="1399"/>
      <c r="Q598" s="1399"/>
      <c r="R598" s="1399"/>
      <c r="S598" s="1399"/>
      <c r="T598" s="1399"/>
      <c r="U598" s="1399"/>
      <c r="V598" s="1399"/>
      <c r="W598" s="1399"/>
    </row>
    <row r="599" spans="2:23" s="1280" customFormat="1" x14ac:dyDescent="0.6">
      <c r="B599" s="1461"/>
      <c r="D599" s="1459"/>
      <c r="E599" s="1459"/>
      <c r="F599" s="1459"/>
      <c r="G599" s="1459"/>
      <c r="H599" s="1459"/>
      <c r="I599" s="1459"/>
      <c r="J599" s="1459"/>
      <c r="K599" s="1459"/>
      <c r="L599" s="1459"/>
      <c r="N599" s="1399"/>
      <c r="P599" s="1399"/>
      <c r="Q599" s="1399"/>
      <c r="R599" s="1399"/>
      <c r="S599" s="1399"/>
      <c r="T599" s="1399"/>
      <c r="U599" s="1399"/>
      <c r="V599" s="1399"/>
      <c r="W599" s="1399"/>
    </row>
    <row r="600" spans="2:23" s="1280" customFormat="1" x14ac:dyDescent="0.6">
      <c r="B600" s="1461"/>
      <c r="D600" s="1459"/>
      <c r="E600" s="1459"/>
      <c r="F600" s="1459"/>
      <c r="G600" s="1459"/>
      <c r="H600" s="1459"/>
      <c r="I600" s="1459"/>
      <c r="J600" s="1459"/>
      <c r="K600" s="1459"/>
      <c r="L600" s="1459"/>
      <c r="N600" s="1399"/>
      <c r="P600" s="1399"/>
      <c r="Q600" s="1399"/>
      <c r="R600" s="1399"/>
      <c r="S600" s="1399"/>
      <c r="T600" s="1399"/>
      <c r="U600" s="1399"/>
      <c r="V600" s="1399"/>
      <c r="W600" s="1399"/>
    </row>
    <row r="601" spans="2:23" s="1280" customFormat="1" x14ac:dyDescent="0.6">
      <c r="B601" s="1461"/>
      <c r="D601" s="1459"/>
      <c r="E601" s="1459"/>
      <c r="F601" s="1459"/>
      <c r="G601" s="1459"/>
      <c r="H601" s="1459"/>
      <c r="I601" s="1459"/>
      <c r="J601" s="1459"/>
      <c r="K601" s="1459"/>
      <c r="L601" s="1459"/>
      <c r="N601" s="1399"/>
      <c r="P601" s="1399"/>
      <c r="Q601" s="1399"/>
      <c r="R601" s="1399"/>
      <c r="S601" s="1399"/>
      <c r="T601" s="1399"/>
      <c r="U601" s="1399"/>
      <c r="V601" s="1399"/>
      <c r="W601" s="1399"/>
    </row>
    <row r="602" spans="2:23" s="1280" customFormat="1" x14ac:dyDescent="0.6">
      <c r="B602" s="1461"/>
      <c r="D602" s="1459"/>
      <c r="E602" s="1459"/>
      <c r="F602" s="1459"/>
      <c r="G602" s="1459"/>
      <c r="H602" s="1459"/>
      <c r="I602" s="1459"/>
      <c r="J602" s="1459"/>
      <c r="K602" s="1459"/>
      <c r="L602" s="1459"/>
      <c r="N602" s="1399"/>
      <c r="P602" s="1399"/>
      <c r="Q602" s="1399"/>
      <c r="R602" s="1399"/>
      <c r="S602" s="1399"/>
      <c r="T602" s="1399"/>
      <c r="U602" s="1399"/>
      <c r="V602" s="1399"/>
      <c r="W602" s="1399"/>
    </row>
    <row r="603" spans="2:23" s="1280" customFormat="1" x14ac:dyDescent="0.6">
      <c r="B603" s="1461"/>
      <c r="D603" s="1459"/>
      <c r="E603" s="1459"/>
      <c r="F603" s="1459"/>
      <c r="G603" s="1459"/>
      <c r="H603" s="1459"/>
      <c r="I603" s="1459"/>
      <c r="J603" s="1459"/>
      <c r="K603" s="1459"/>
      <c r="L603" s="1459"/>
      <c r="N603" s="1399"/>
      <c r="P603" s="1399"/>
      <c r="Q603" s="1399"/>
      <c r="R603" s="1399"/>
      <c r="S603" s="1399"/>
      <c r="T603" s="1399"/>
      <c r="U603" s="1399"/>
      <c r="V603" s="1399"/>
      <c r="W603" s="1399"/>
    </row>
    <row r="604" spans="2:23" s="1280" customFormat="1" x14ac:dyDescent="0.6">
      <c r="B604" s="1461"/>
      <c r="D604" s="1459"/>
      <c r="E604" s="1459"/>
      <c r="F604" s="1459"/>
      <c r="G604" s="1459"/>
      <c r="H604" s="1459"/>
      <c r="I604" s="1459"/>
      <c r="J604" s="1459"/>
      <c r="K604" s="1459"/>
      <c r="L604" s="1459"/>
      <c r="N604" s="1399"/>
      <c r="P604" s="1399"/>
      <c r="Q604" s="1399"/>
      <c r="R604" s="1399"/>
      <c r="S604" s="1399"/>
      <c r="T604" s="1399"/>
      <c r="U604" s="1399"/>
      <c r="V604" s="1399"/>
      <c r="W604" s="1399"/>
    </row>
    <row r="605" spans="2:23" s="1280" customFormat="1" x14ac:dyDescent="0.6">
      <c r="B605" s="1461"/>
      <c r="D605" s="1459"/>
      <c r="E605" s="1459"/>
      <c r="F605" s="1459"/>
      <c r="G605" s="1459"/>
      <c r="H605" s="1459"/>
      <c r="I605" s="1459"/>
      <c r="J605" s="1459"/>
      <c r="K605" s="1459"/>
      <c r="L605" s="1459"/>
      <c r="N605" s="1399"/>
      <c r="P605" s="1399"/>
      <c r="Q605" s="1399"/>
      <c r="R605" s="1399"/>
      <c r="S605" s="1399"/>
      <c r="T605" s="1399"/>
      <c r="U605" s="1399"/>
      <c r="V605" s="1399"/>
      <c r="W605" s="1399"/>
    </row>
    <row r="606" spans="2:23" s="1280" customFormat="1" x14ac:dyDescent="0.6">
      <c r="B606" s="1461"/>
      <c r="D606" s="1459"/>
      <c r="E606" s="1459"/>
      <c r="F606" s="1459"/>
      <c r="G606" s="1459"/>
      <c r="H606" s="1459"/>
      <c r="I606" s="1459"/>
      <c r="J606" s="1459"/>
      <c r="K606" s="1459"/>
      <c r="L606" s="1459"/>
      <c r="N606" s="1399"/>
      <c r="P606" s="1399"/>
      <c r="Q606" s="1399"/>
      <c r="R606" s="1399"/>
      <c r="S606" s="1399"/>
      <c r="T606" s="1399"/>
      <c r="U606" s="1399"/>
      <c r="V606" s="1399"/>
      <c r="W606" s="1399"/>
    </row>
    <row r="607" spans="2:23" s="1280" customFormat="1" x14ac:dyDescent="0.6">
      <c r="B607" s="1461"/>
      <c r="D607" s="1459"/>
      <c r="E607" s="1459"/>
      <c r="F607" s="1459"/>
      <c r="G607" s="1459"/>
      <c r="H607" s="1459"/>
      <c r="I607" s="1459"/>
      <c r="J607" s="1459"/>
      <c r="K607" s="1459"/>
      <c r="L607" s="1459"/>
      <c r="N607" s="1399"/>
      <c r="P607" s="1399"/>
      <c r="Q607" s="1399"/>
      <c r="R607" s="1399"/>
      <c r="S607" s="1399"/>
      <c r="T607" s="1399"/>
      <c r="U607" s="1399"/>
      <c r="V607" s="1399"/>
      <c r="W607" s="1399"/>
    </row>
    <row r="608" spans="2:23" s="1280" customFormat="1" x14ac:dyDescent="0.6">
      <c r="B608" s="1461"/>
      <c r="D608" s="1459"/>
      <c r="E608" s="1459"/>
      <c r="F608" s="1459"/>
      <c r="G608" s="1459"/>
      <c r="H608" s="1459"/>
      <c r="I608" s="1459"/>
      <c r="J608" s="1459"/>
      <c r="K608" s="1459"/>
      <c r="L608" s="1459"/>
      <c r="N608" s="1399"/>
      <c r="P608" s="1399"/>
      <c r="Q608" s="1399"/>
      <c r="R608" s="1399"/>
      <c r="S608" s="1399"/>
      <c r="T608" s="1399"/>
      <c r="U608" s="1399"/>
      <c r="V608" s="1399"/>
      <c r="W608" s="1399"/>
    </row>
    <row r="609" spans="2:23" s="1280" customFormat="1" x14ac:dyDescent="0.6">
      <c r="B609" s="1461"/>
      <c r="D609" s="1459"/>
      <c r="E609" s="1459"/>
      <c r="F609" s="1459"/>
      <c r="G609" s="1459"/>
      <c r="H609" s="1459"/>
      <c r="I609" s="1459"/>
      <c r="J609" s="1459"/>
      <c r="K609" s="1459"/>
      <c r="L609" s="1459"/>
      <c r="N609" s="1399"/>
      <c r="P609" s="1399"/>
      <c r="Q609" s="1399"/>
      <c r="R609" s="1399"/>
      <c r="S609" s="1399"/>
      <c r="T609" s="1399"/>
      <c r="U609" s="1399"/>
      <c r="V609" s="1399"/>
      <c r="W609" s="1399"/>
    </row>
    <row r="610" spans="2:23" s="1280" customFormat="1" x14ac:dyDescent="0.6">
      <c r="B610" s="1461"/>
      <c r="D610" s="1459"/>
      <c r="E610" s="1459"/>
      <c r="F610" s="1459"/>
      <c r="G610" s="1459"/>
      <c r="H610" s="1459"/>
      <c r="I610" s="1459"/>
      <c r="J610" s="1459"/>
      <c r="K610" s="1459"/>
      <c r="L610" s="1459"/>
      <c r="N610" s="1399"/>
      <c r="P610" s="1399"/>
      <c r="Q610" s="1399"/>
      <c r="R610" s="1399"/>
      <c r="S610" s="1399"/>
      <c r="T610" s="1399"/>
      <c r="U610" s="1399"/>
      <c r="V610" s="1399"/>
      <c r="W610" s="1399"/>
    </row>
    <row r="611" spans="2:23" s="1280" customFormat="1" x14ac:dyDescent="0.6">
      <c r="B611" s="1461"/>
      <c r="D611" s="1459"/>
      <c r="E611" s="1459"/>
      <c r="F611" s="1459"/>
      <c r="G611" s="1459"/>
      <c r="H611" s="1459"/>
      <c r="I611" s="1459"/>
      <c r="J611" s="1459"/>
      <c r="K611" s="1459"/>
      <c r="L611" s="1459"/>
      <c r="N611" s="1399"/>
      <c r="P611" s="1399"/>
      <c r="Q611" s="1399"/>
      <c r="R611" s="1399"/>
      <c r="S611" s="1399"/>
      <c r="T611" s="1399"/>
      <c r="U611" s="1399"/>
      <c r="V611" s="1399"/>
      <c r="W611" s="1399"/>
    </row>
    <row r="612" spans="2:23" s="1280" customFormat="1" x14ac:dyDescent="0.6">
      <c r="B612" s="1461"/>
      <c r="D612" s="1459"/>
      <c r="E612" s="1459"/>
      <c r="F612" s="1459"/>
      <c r="G612" s="1459"/>
      <c r="H612" s="1459"/>
      <c r="I612" s="1459"/>
      <c r="J612" s="1459"/>
      <c r="K612" s="1459"/>
      <c r="L612" s="1459"/>
      <c r="N612" s="1399"/>
      <c r="P612" s="1399"/>
      <c r="Q612" s="1399"/>
      <c r="R612" s="1399"/>
      <c r="S612" s="1399"/>
      <c r="T612" s="1399"/>
      <c r="U612" s="1399"/>
      <c r="V612" s="1399"/>
      <c r="W612" s="1399"/>
    </row>
    <row r="613" spans="2:23" s="1280" customFormat="1" x14ac:dyDescent="0.6">
      <c r="B613" s="1461"/>
      <c r="D613" s="1459"/>
      <c r="E613" s="1459"/>
      <c r="F613" s="1459"/>
      <c r="G613" s="1459"/>
      <c r="H613" s="1459"/>
      <c r="I613" s="1459"/>
      <c r="J613" s="1459"/>
      <c r="K613" s="1459"/>
      <c r="L613" s="1459"/>
      <c r="N613" s="1399"/>
      <c r="P613" s="1399"/>
      <c r="Q613" s="1399"/>
      <c r="R613" s="1399"/>
      <c r="S613" s="1399"/>
      <c r="T613" s="1399"/>
      <c r="U613" s="1399"/>
      <c r="V613" s="1399"/>
      <c r="W613" s="1399"/>
    </row>
    <row r="614" spans="2:23" s="1280" customFormat="1" x14ac:dyDescent="0.6">
      <c r="B614" s="1461"/>
      <c r="D614" s="1459"/>
      <c r="E614" s="1459"/>
      <c r="F614" s="1459"/>
      <c r="G614" s="1459"/>
      <c r="H614" s="1459"/>
      <c r="I614" s="1459"/>
      <c r="J614" s="1459"/>
      <c r="K614" s="1459"/>
      <c r="L614" s="1459"/>
      <c r="N614" s="1399"/>
      <c r="P614" s="1399"/>
      <c r="Q614" s="1399"/>
      <c r="R614" s="1399"/>
      <c r="S614" s="1399"/>
      <c r="T614" s="1399"/>
      <c r="U614" s="1399"/>
      <c r="V614" s="1399"/>
      <c r="W614" s="1399"/>
    </row>
    <row r="615" spans="2:23" s="1280" customFormat="1" x14ac:dyDescent="0.6">
      <c r="B615" s="1461"/>
      <c r="D615" s="1459"/>
      <c r="E615" s="1459"/>
      <c r="F615" s="1459"/>
      <c r="G615" s="1459"/>
      <c r="H615" s="1459"/>
      <c r="I615" s="1459"/>
      <c r="J615" s="1459"/>
      <c r="K615" s="1459"/>
      <c r="L615" s="1459"/>
      <c r="N615" s="1399"/>
      <c r="P615" s="1399"/>
      <c r="Q615" s="1399"/>
      <c r="R615" s="1399"/>
      <c r="S615" s="1399"/>
      <c r="T615" s="1399"/>
      <c r="U615" s="1399"/>
      <c r="V615" s="1399"/>
      <c r="W615" s="1399"/>
    </row>
    <row r="616" spans="2:23" s="1280" customFormat="1" x14ac:dyDescent="0.6">
      <c r="B616" s="1461"/>
      <c r="D616" s="1459"/>
      <c r="E616" s="1459"/>
      <c r="F616" s="1459"/>
      <c r="G616" s="1459"/>
      <c r="H616" s="1459"/>
      <c r="I616" s="1459"/>
      <c r="J616" s="1459"/>
      <c r="K616" s="1459"/>
      <c r="L616" s="1459"/>
      <c r="N616" s="1399"/>
      <c r="P616" s="1399"/>
      <c r="Q616" s="1399"/>
      <c r="R616" s="1399"/>
      <c r="S616" s="1399"/>
      <c r="T616" s="1399"/>
      <c r="U616" s="1399"/>
      <c r="V616" s="1399"/>
      <c r="W616" s="1399"/>
    </row>
    <row r="617" spans="2:23" s="1280" customFormat="1" x14ac:dyDescent="0.6">
      <c r="B617" s="1461"/>
      <c r="D617" s="1459"/>
      <c r="E617" s="1459"/>
      <c r="F617" s="1459"/>
      <c r="G617" s="1459"/>
      <c r="H617" s="1459"/>
      <c r="I617" s="1459"/>
      <c r="J617" s="1459"/>
      <c r="K617" s="1459"/>
      <c r="L617" s="1459"/>
      <c r="N617" s="1399"/>
      <c r="P617" s="1399"/>
      <c r="Q617" s="1399"/>
      <c r="R617" s="1399"/>
      <c r="S617" s="1399"/>
      <c r="T617" s="1399"/>
      <c r="U617" s="1399"/>
      <c r="V617" s="1399"/>
      <c r="W617" s="1399"/>
    </row>
    <row r="618" spans="2:23" s="1280" customFormat="1" x14ac:dyDescent="0.6">
      <c r="B618" s="1461"/>
      <c r="D618" s="1459"/>
      <c r="E618" s="1459"/>
      <c r="F618" s="1459"/>
      <c r="G618" s="1459"/>
      <c r="H618" s="1459"/>
      <c r="I618" s="1459"/>
      <c r="J618" s="1459"/>
      <c r="K618" s="1459"/>
      <c r="L618" s="1459"/>
      <c r="N618" s="1399"/>
      <c r="P618" s="1399"/>
      <c r="Q618" s="1399"/>
      <c r="R618" s="1399"/>
      <c r="S618" s="1399"/>
      <c r="T618" s="1399"/>
      <c r="U618" s="1399"/>
      <c r="V618" s="1399"/>
      <c r="W618" s="1399"/>
    </row>
    <row r="619" spans="2:23" s="1280" customFormat="1" x14ac:dyDescent="0.6">
      <c r="B619" s="1461"/>
      <c r="D619" s="1459"/>
      <c r="E619" s="1459"/>
      <c r="F619" s="1459"/>
      <c r="G619" s="1459"/>
      <c r="H619" s="1459"/>
      <c r="I619" s="1459"/>
      <c r="J619" s="1459"/>
      <c r="K619" s="1459"/>
      <c r="L619" s="1459"/>
      <c r="N619" s="1399"/>
      <c r="P619" s="1399"/>
      <c r="Q619" s="1399"/>
      <c r="R619" s="1399"/>
      <c r="S619" s="1399"/>
      <c r="T619" s="1399"/>
      <c r="U619" s="1399"/>
      <c r="V619" s="1399"/>
      <c r="W619" s="1399"/>
    </row>
    <row r="620" spans="2:23" s="1280" customFormat="1" x14ac:dyDescent="0.6">
      <c r="B620" s="1461"/>
      <c r="D620" s="1459"/>
      <c r="E620" s="1459"/>
      <c r="F620" s="1459"/>
      <c r="G620" s="1459"/>
      <c r="H620" s="1459"/>
      <c r="I620" s="1459"/>
      <c r="J620" s="1459"/>
      <c r="K620" s="1459"/>
      <c r="L620" s="1459"/>
      <c r="N620" s="1399"/>
      <c r="P620" s="1399"/>
      <c r="Q620" s="1399"/>
      <c r="R620" s="1399"/>
      <c r="S620" s="1399"/>
      <c r="T620" s="1399"/>
      <c r="U620" s="1399"/>
      <c r="V620" s="1399"/>
      <c r="W620" s="1399"/>
    </row>
    <row r="621" spans="2:23" s="1280" customFormat="1" x14ac:dyDescent="0.6">
      <c r="B621" s="1461"/>
      <c r="D621" s="1459"/>
      <c r="E621" s="1459"/>
      <c r="F621" s="1459"/>
      <c r="G621" s="1459"/>
      <c r="H621" s="1459"/>
      <c r="I621" s="1459"/>
      <c r="J621" s="1459"/>
      <c r="K621" s="1459"/>
      <c r="L621" s="1459"/>
      <c r="N621" s="1399"/>
      <c r="P621" s="1399"/>
      <c r="Q621" s="1399"/>
      <c r="R621" s="1399"/>
      <c r="S621" s="1399"/>
      <c r="T621" s="1399"/>
      <c r="U621" s="1399"/>
      <c r="V621" s="1399"/>
      <c r="W621" s="1399"/>
    </row>
    <row r="622" spans="2:23" s="1280" customFormat="1" x14ac:dyDescent="0.6">
      <c r="B622" s="1461"/>
      <c r="D622" s="1459"/>
      <c r="E622" s="1459"/>
      <c r="F622" s="1459"/>
      <c r="G622" s="1459"/>
      <c r="H622" s="1459"/>
      <c r="I622" s="1459"/>
      <c r="J622" s="1459"/>
      <c r="K622" s="1459"/>
      <c r="L622" s="1459"/>
      <c r="N622" s="1399"/>
      <c r="P622" s="1399"/>
      <c r="Q622" s="1399"/>
      <c r="R622" s="1399"/>
      <c r="S622" s="1399"/>
      <c r="T622" s="1399"/>
      <c r="U622" s="1399"/>
      <c r="V622" s="1399"/>
      <c r="W622" s="1399"/>
    </row>
    <row r="623" spans="2:23" s="1280" customFormat="1" x14ac:dyDescent="0.6">
      <c r="B623" s="1461"/>
      <c r="D623" s="1459"/>
      <c r="E623" s="1459"/>
      <c r="F623" s="1459"/>
      <c r="G623" s="1459"/>
      <c r="H623" s="1459"/>
      <c r="I623" s="1459"/>
      <c r="J623" s="1459"/>
      <c r="K623" s="1459"/>
      <c r="L623" s="1459"/>
      <c r="N623" s="1399"/>
      <c r="P623" s="1399"/>
      <c r="Q623" s="1399"/>
      <c r="R623" s="1399"/>
      <c r="S623" s="1399"/>
      <c r="T623" s="1399"/>
      <c r="U623" s="1399"/>
      <c r="V623" s="1399"/>
      <c r="W623" s="1399"/>
    </row>
    <row r="624" spans="2:23" s="1280" customFormat="1" x14ac:dyDescent="0.6">
      <c r="B624" s="1461"/>
      <c r="D624" s="1459"/>
      <c r="E624" s="1459"/>
      <c r="F624" s="1459"/>
      <c r="G624" s="1459"/>
      <c r="H624" s="1459"/>
      <c r="I624" s="1459"/>
      <c r="J624" s="1459"/>
      <c r="K624" s="1459"/>
      <c r="L624" s="1459"/>
      <c r="N624" s="1399"/>
      <c r="P624" s="1399"/>
      <c r="Q624" s="1399"/>
      <c r="R624" s="1399"/>
      <c r="S624" s="1399"/>
      <c r="T624" s="1399"/>
      <c r="U624" s="1399"/>
      <c r="V624" s="1399"/>
      <c r="W624" s="1399"/>
    </row>
    <row r="625" spans="2:23" s="1280" customFormat="1" x14ac:dyDescent="0.6">
      <c r="B625" s="1461"/>
      <c r="D625" s="1459"/>
      <c r="E625" s="1459"/>
      <c r="F625" s="1459"/>
      <c r="G625" s="1459"/>
      <c r="H625" s="1459"/>
      <c r="I625" s="1459"/>
      <c r="J625" s="1459"/>
      <c r="K625" s="1459"/>
      <c r="L625" s="1459"/>
      <c r="N625" s="1399"/>
      <c r="P625" s="1399"/>
      <c r="Q625" s="1399"/>
      <c r="R625" s="1399"/>
      <c r="S625" s="1399"/>
      <c r="T625" s="1399"/>
      <c r="U625" s="1399"/>
      <c r="V625" s="1399"/>
      <c r="W625" s="1399"/>
    </row>
    <row r="626" spans="2:23" s="1280" customFormat="1" x14ac:dyDescent="0.6">
      <c r="B626" s="1461"/>
      <c r="D626" s="1459"/>
      <c r="E626" s="1459"/>
      <c r="F626" s="1459"/>
      <c r="G626" s="1459"/>
      <c r="H626" s="1459"/>
      <c r="I626" s="1459"/>
      <c r="J626" s="1459"/>
      <c r="K626" s="1459"/>
      <c r="L626" s="1459"/>
      <c r="N626" s="1399"/>
      <c r="P626" s="1399"/>
      <c r="Q626" s="1399"/>
      <c r="R626" s="1399"/>
      <c r="S626" s="1399"/>
      <c r="T626" s="1399"/>
      <c r="U626" s="1399"/>
      <c r="V626" s="1399"/>
      <c r="W626" s="1399"/>
    </row>
    <row r="627" spans="2:23" s="1280" customFormat="1" x14ac:dyDescent="0.6">
      <c r="B627" s="1461"/>
      <c r="D627" s="1459"/>
      <c r="E627" s="1459"/>
      <c r="F627" s="1459"/>
      <c r="G627" s="1459"/>
      <c r="H627" s="1459"/>
      <c r="I627" s="1459"/>
      <c r="J627" s="1459"/>
      <c r="K627" s="1459"/>
      <c r="L627" s="1459"/>
      <c r="N627" s="1399"/>
      <c r="P627" s="1399"/>
      <c r="Q627" s="1399"/>
      <c r="R627" s="1399"/>
      <c r="S627" s="1399"/>
      <c r="T627" s="1399"/>
      <c r="U627" s="1399"/>
      <c r="V627" s="1399"/>
      <c r="W627" s="1399"/>
    </row>
    <row r="628" spans="2:23" s="1280" customFormat="1" x14ac:dyDescent="0.6">
      <c r="B628" s="1461"/>
      <c r="D628" s="1459"/>
      <c r="E628" s="1459"/>
      <c r="F628" s="1459"/>
      <c r="G628" s="1459"/>
      <c r="H628" s="1459"/>
      <c r="I628" s="1459"/>
      <c r="J628" s="1459"/>
      <c r="K628" s="1459"/>
      <c r="L628" s="1459"/>
      <c r="N628" s="1399"/>
      <c r="P628" s="1399"/>
      <c r="Q628" s="1399"/>
      <c r="R628" s="1399"/>
      <c r="S628" s="1399"/>
      <c r="T628" s="1399"/>
      <c r="U628" s="1399"/>
      <c r="V628" s="1399"/>
      <c r="W628" s="1399"/>
    </row>
    <row r="629" spans="2:23" s="1280" customFormat="1" x14ac:dyDescent="0.6">
      <c r="B629" s="1461"/>
      <c r="D629" s="1459"/>
      <c r="E629" s="1459"/>
      <c r="F629" s="1459"/>
      <c r="G629" s="1459"/>
      <c r="H629" s="1459"/>
      <c r="I629" s="1459"/>
      <c r="J629" s="1459"/>
      <c r="K629" s="1459"/>
      <c r="L629" s="1459"/>
      <c r="N629" s="1399"/>
      <c r="P629" s="1399"/>
      <c r="Q629" s="1399"/>
      <c r="R629" s="1399"/>
      <c r="S629" s="1399"/>
      <c r="T629" s="1399"/>
      <c r="U629" s="1399"/>
      <c r="V629" s="1399"/>
      <c r="W629" s="1399"/>
    </row>
    <row r="630" spans="2:23" s="1280" customFormat="1" x14ac:dyDescent="0.6">
      <c r="B630" s="1461"/>
      <c r="D630" s="1459"/>
      <c r="E630" s="1459"/>
      <c r="F630" s="1459"/>
      <c r="G630" s="1459"/>
      <c r="H630" s="1459"/>
      <c r="I630" s="1459"/>
      <c r="J630" s="1459"/>
      <c r="K630" s="1459"/>
      <c r="L630" s="1459"/>
      <c r="N630" s="1399"/>
      <c r="P630" s="1399"/>
      <c r="Q630" s="1399"/>
      <c r="R630" s="1399"/>
      <c r="S630" s="1399"/>
      <c r="T630" s="1399"/>
      <c r="U630" s="1399"/>
      <c r="V630" s="1399"/>
      <c r="W630" s="1399"/>
    </row>
    <row r="631" spans="2:23" s="1280" customFormat="1" x14ac:dyDescent="0.6">
      <c r="B631" s="1461"/>
      <c r="D631" s="1459"/>
      <c r="E631" s="1459"/>
      <c r="F631" s="1459"/>
      <c r="G631" s="1459"/>
      <c r="H631" s="1459"/>
      <c r="I631" s="1459"/>
      <c r="J631" s="1459"/>
      <c r="K631" s="1459"/>
      <c r="L631" s="1459"/>
      <c r="N631" s="1399"/>
      <c r="P631" s="1399"/>
      <c r="Q631" s="1399"/>
      <c r="R631" s="1399"/>
      <c r="S631" s="1399"/>
      <c r="T631" s="1399"/>
      <c r="U631" s="1399"/>
      <c r="V631" s="1399"/>
      <c r="W631" s="1399"/>
    </row>
    <row r="632" spans="2:23" s="1280" customFormat="1" x14ac:dyDescent="0.6">
      <c r="B632" s="1461"/>
      <c r="D632" s="1459"/>
      <c r="E632" s="1459"/>
      <c r="F632" s="1459"/>
      <c r="G632" s="1459"/>
      <c r="H632" s="1459"/>
      <c r="I632" s="1459"/>
      <c r="J632" s="1459"/>
      <c r="K632" s="1459"/>
      <c r="L632" s="1459"/>
      <c r="N632" s="1399"/>
      <c r="P632" s="1399"/>
      <c r="Q632" s="1399"/>
      <c r="R632" s="1399"/>
      <c r="S632" s="1399"/>
      <c r="T632" s="1399"/>
      <c r="U632" s="1399"/>
      <c r="V632" s="1399"/>
      <c r="W632" s="1399"/>
    </row>
    <row r="633" spans="2:23" s="1280" customFormat="1" x14ac:dyDescent="0.6">
      <c r="B633" s="1461"/>
      <c r="D633" s="1459"/>
      <c r="E633" s="1459"/>
      <c r="F633" s="1459"/>
      <c r="G633" s="1459"/>
      <c r="H633" s="1459"/>
      <c r="I633" s="1459"/>
      <c r="J633" s="1459"/>
      <c r="K633" s="1459"/>
      <c r="L633" s="1459"/>
      <c r="N633" s="1399"/>
      <c r="P633" s="1399"/>
      <c r="Q633" s="1399"/>
      <c r="R633" s="1399"/>
      <c r="S633" s="1399"/>
      <c r="T633" s="1399"/>
      <c r="U633" s="1399"/>
      <c r="V633" s="1399"/>
      <c r="W633" s="1399"/>
    </row>
    <row r="634" spans="2:23" s="1280" customFormat="1" x14ac:dyDescent="0.6">
      <c r="B634" s="1461"/>
      <c r="D634" s="1459"/>
      <c r="E634" s="1459"/>
      <c r="F634" s="1459"/>
      <c r="G634" s="1459"/>
      <c r="H634" s="1459"/>
      <c r="I634" s="1459"/>
      <c r="J634" s="1459"/>
      <c r="K634" s="1459"/>
      <c r="L634" s="1459"/>
      <c r="N634" s="1399"/>
      <c r="P634" s="1399"/>
      <c r="Q634" s="1399"/>
      <c r="R634" s="1399"/>
      <c r="S634" s="1399"/>
      <c r="T634" s="1399"/>
      <c r="U634" s="1399"/>
      <c r="V634" s="1399"/>
      <c r="W634" s="1399"/>
    </row>
    <row r="635" spans="2:23" s="1280" customFormat="1" x14ac:dyDescent="0.6">
      <c r="B635" s="1461"/>
      <c r="D635" s="1459"/>
      <c r="E635" s="1459"/>
      <c r="F635" s="1459"/>
      <c r="G635" s="1459"/>
      <c r="H635" s="1459"/>
      <c r="I635" s="1459"/>
      <c r="J635" s="1459"/>
      <c r="K635" s="1459"/>
      <c r="L635" s="1459"/>
      <c r="N635" s="1399"/>
      <c r="P635" s="1399"/>
      <c r="Q635" s="1399"/>
      <c r="R635" s="1399"/>
      <c r="S635" s="1399"/>
      <c r="T635" s="1399"/>
      <c r="U635" s="1399"/>
      <c r="V635" s="1399"/>
      <c r="W635" s="1399"/>
    </row>
    <row r="636" spans="2:23" s="1280" customFormat="1" x14ac:dyDescent="0.6">
      <c r="B636" s="1461"/>
      <c r="D636" s="1459"/>
      <c r="E636" s="1459"/>
      <c r="F636" s="1459"/>
      <c r="G636" s="1459"/>
      <c r="H636" s="1459"/>
      <c r="I636" s="1459"/>
      <c r="J636" s="1459"/>
      <c r="K636" s="1459"/>
      <c r="L636" s="1459"/>
      <c r="N636" s="1399"/>
      <c r="P636" s="1399"/>
      <c r="Q636" s="1399"/>
      <c r="R636" s="1399"/>
      <c r="S636" s="1399"/>
      <c r="T636" s="1399"/>
      <c r="U636" s="1399"/>
      <c r="V636" s="1399"/>
      <c r="W636" s="1399"/>
    </row>
    <row r="637" spans="2:23" s="1280" customFormat="1" x14ac:dyDescent="0.6">
      <c r="B637" s="1461"/>
      <c r="D637" s="1459"/>
      <c r="E637" s="1459"/>
      <c r="F637" s="1459"/>
      <c r="G637" s="1459"/>
      <c r="H637" s="1459"/>
      <c r="I637" s="1459"/>
      <c r="J637" s="1459"/>
      <c r="K637" s="1459"/>
      <c r="L637" s="1459"/>
      <c r="N637" s="1399"/>
      <c r="P637" s="1399"/>
      <c r="Q637" s="1399"/>
      <c r="R637" s="1399"/>
      <c r="S637" s="1399"/>
      <c r="T637" s="1399"/>
      <c r="U637" s="1399"/>
      <c r="V637" s="1399"/>
      <c r="W637" s="1399"/>
    </row>
    <row r="638" spans="2:23" s="1280" customFormat="1" x14ac:dyDescent="0.6">
      <c r="B638" s="1461"/>
      <c r="D638" s="1459"/>
      <c r="E638" s="1459"/>
      <c r="F638" s="1459"/>
      <c r="G638" s="1459"/>
      <c r="H638" s="1459"/>
      <c r="I638" s="1459"/>
      <c r="J638" s="1459"/>
      <c r="K638" s="1459"/>
      <c r="L638" s="1459"/>
      <c r="N638" s="1399"/>
      <c r="P638" s="1399"/>
      <c r="Q638" s="1399"/>
      <c r="R638" s="1399"/>
      <c r="S638" s="1399"/>
      <c r="T638" s="1399"/>
      <c r="U638" s="1399"/>
      <c r="V638" s="1399"/>
      <c r="W638" s="1399"/>
    </row>
    <row r="639" spans="2:23" s="1280" customFormat="1" x14ac:dyDescent="0.6">
      <c r="B639" s="1461"/>
      <c r="D639" s="1459"/>
      <c r="E639" s="1459"/>
      <c r="F639" s="1459"/>
      <c r="G639" s="1459"/>
      <c r="H639" s="1459"/>
      <c r="I639" s="1459"/>
      <c r="J639" s="1459"/>
      <c r="K639" s="1459"/>
      <c r="L639" s="1459"/>
      <c r="N639" s="1399"/>
      <c r="P639" s="1399"/>
      <c r="Q639" s="1399"/>
      <c r="R639" s="1399"/>
      <c r="S639" s="1399"/>
      <c r="T639" s="1399"/>
      <c r="U639" s="1399"/>
      <c r="V639" s="1399"/>
      <c r="W639" s="1399"/>
    </row>
    <row r="640" spans="2:23" s="1280" customFormat="1" x14ac:dyDescent="0.6">
      <c r="B640" s="1461"/>
      <c r="D640" s="1459"/>
      <c r="E640" s="1459"/>
      <c r="F640" s="1459"/>
      <c r="G640" s="1459"/>
      <c r="H640" s="1459"/>
      <c r="I640" s="1459"/>
      <c r="J640" s="1459"/>
      <c r="K640" s="1459"/>
      <c r="L640" s="1459"/>
      <c r="N640" s="1399"/>
      <c r="P640" s="1399"/>
      <c r="Q640" s="1399"/>
      <c r="R640" s="1399"/>
      <c r="S640" s="1399"/>
      <c r="T640" s="1399"/>
      <c r="U640" s="1399"/>
      <c r="V640" s="1399"/>
      <c r="W640" s="1399"/>
    </row>
    <row r="641" spans="2:23" s="1280" customFormat="1" x14ac:dyDescent="0.6">
      <c r="B641" s="1461"/>
      <c r="D641" s="1459"/>
      <c r="E641" s="1459"/>
      <c r="F641" s="1459"/>
      <c r="G641" s="1459"/>
      <c r="H641" s="1459"/>
      <c r="I641" s="1459"/>
      <c r="J641" s="1459"/>
      <c r="K641" s="1459"/>
      <c r="L641" s="1459"/>
      <c r="N641" s="1399"/>
      <c r="P641" s="1399"/>
      <c r="Q641" s="1399"/>
      <c r="R641" s="1399"/>
      <c r="S641" s="1399"/>
      <c r="T641" s="1399"/>
      <c r="U641" s="1399"/>
      <c r="V641" s="1399"/>
      <c r="W641" s="1399"/>
    </row>
    <row r="642" spans="2:23" s="1280" customFormat="1" x14ac:dyDescent="0.6">
      <c r="B642" s="1461"/>
      <c r="D642" s="1459"/>
      <c r="E642" s="1459"/>
      <c r="F642" s="1459"/>
      <c r="G642" s="1459"/>
      <c r="H642" s="1459"/>
      <c r="I642" s="1459"/>
      <c r="J642" s="1459"/>
      <c r="K642" s="1459"/>
      <c r="L642" s="1459"/>
      <c r="N642" s="1399"/>
      <c r="P642" s="1399"/>
      <c r="Q642" s="1399"/>
      <c r="R642" s="1399"/>
      <c r="S642" s="1399"/>
      <c r="T642" s="1399"/>
      <c r="U642" s="1399"/>
      <c r="V642" s="1399"/>
      <c r="W642" s="1399"/>
    </row>
    <row r="643" spans="2:23" s="1280" customFormat="1" x14ac:dyDescent="0.6">
      <c r="B643" s="1461"/>
      <c r="D643" s="1459"/>
      <c r="E643" s="1459"/>
      <c r="F643" s="1459"/>
      <c r="G643" s="1459"/>
      <c r="H643" s="1459"/>
      <c r="I643" s="1459"/>
      <c r="J643" s="1459"/>
      <c r="K643" s="1459"/>
      <c r="L643" s="1459"/>
      <c r="N643" s="1399"/>
      <c r="P643" s="1399"/>
      <c r="Q643" s="1399"/>
      <c r="R643" s="1399"/>
      <c r="S643" s="1399"/>
      <c r="T643" s="1399"/>
      <c r="U643" s="1399"/>
      <c r="V643" s="1399"/>
      <c r="W643" s="1399"/>
    </row>
    <row r="644" spans="2:23" s="1280" customFormat="1" x14ac:dyDescent="0.6">
      <c r="B644" s="1461"/>
      <c r="D644" s="1459"/>
      <c r="E644" s="1459"/>
      <c r="F644" s="1459"/>
      <c r="G644" s="1459"/>
      <c r="H644" s="1459"/>
      <c r="I644" s="1459"/>
      <c r="J644" s="1459"/>
      <c r="K644" s="1459"/>
      <c r="L644" s="1459"/>
      <c r="N644" s="1399"/>
      <c r="P644" s="1399"/>
      <c r="Q644" s="1399"/>
      <c r="R644" s="1399"/>
      <c r="S644" s="1399"/>
      <c r="T644" s="1399"/>
      <c r="U644" s="1399"/>
      <c r="V644" s="1399"/>
      <c r="W644" s="1399"/>
    </row>
    <row r="645" spans="2:23" s="1280" customFormat="1" x14ac:dyDescent="0.6">
      <c r="B645" s="1461"/>
      <c r="D645" s="1459"/>
      <c r="E645" s="1459"/>
      <c r="F645" s="1459"/>
      <c r="G645" s="1459"/>
      <c r="H645" s="1459"/>
      <c r="I645" s="1459"/>
      <c r="J645" s="1459"/>
      <c r="K645" s="1459"/>
      <c r="L645" s="1459"/>
      <c r="N645" s="1399"/>
      <c r="P645" s="1399"/>
      <c r="Q645" s="1399"/>
      <c r="R645" s="1399"/>
      <c r="S645" s="1399"/>
      <c r="T645" s="1399"/>
      <c r="U645" s="1399"/>
      <c r="V645" s="1399"/>
      <c r="W645" s="1399"/>
    </row>
    <row r="646" spans="2:23" s="1280" customFormat="1" x14ac:dyDescent="0.6">
      <c r="B646" s="1461"/>
      <c r="D646" s="1459"/>
      <c r="E646" s="1459"/>
      <c r="F646" s="1459"/>
      <c r="G646" s="1459"/>
      <c r="H646" s="1459"/>
      <c r="I646" s="1459"/>
      <c r="J646" s="1459"/>
      <c r="K646" s="1459"/>
      <c r="L646" s="1459"/>
      <c r="N646" s="1399"/>
      <c r="P646" s="1399"/>
      <c r="Q646" s="1399"/>
      <c r="R646" s="1399"/>
      <c r="S646" s="1399"/>
      <c r="T646" s="1399"/>
      <c r="U646" s="1399"/>
      <c r="V646" s="1399"/>
      <c r="W646" s="1399"/>
    </row>
    <row r="647" spans="2:23" s="1280" customFormat="1" x14ac:dyDescent="0.6">
      <c r="B647" s="1461"/>
      <c r="D647" s="1459"/>
      <c r="E647" s="1459"/>
      <c r="F647" s="1459"/>
      <c r="G647" s="1459"/>
      <c r="H647" s="1459"/>
      <c r="I647" s="1459"/>
      <c r="J647" s="1459"/>
      <c r="K647" s="1459"/>
      <c r="L647" s="1459"/>
      <c r="N647" s="1399"/>
      <c r="P647" s="1399"/>
      <c r="Q647" s="1399"/>
      <c r="R647" s="1399"/>
      <c r="S647" s="1399"/>
      <c r="T647" s="1399"/>
      <c r="U647" s="1399"/>
      <c r="V647" s="1399"/>
      <c r="W647" s="1399"/>
    </row>
    <row r="648" spans="2:23" s="1280" customFormat="1" x14ac:dyDescent="0.6">
      <c r="B648" s="1461"/>
      <c r="D648" s="1459"/>
      <c r="E648" s="1459"/>
      <c r="F648" s="1459"/>
      <c r="G648" s="1459"/>
      <c r="H648" s="1459"/>
      <c r="I648" s="1459"/>
      <c r="J648" s="1459"/>
      <c r="K648" s="1459"/>
      <c r="L648" s="1459"/>
      <c r="N648" s="1399"/>
      <c r="P648" s="1399"/>
      <c r="Q648" s="1399"/>
      <c r="R648" s="1399"/>
      <c r="S648" s="1399"/>
      <c r="T648" s="1399"/>
      <c r="U648" s="1399"/>
      <c r="V648" s="1399"/>
      <c r="W648" s="1399"/>
    </row>
    <row r="649" spans="2:23" s="1280" customFormat="1" x14ac:dyDescent="0.6">
      <c r="B649" s="1461"/>
      <c r="D649" s="1459"/>
      <c r="E649" s="1459"/>
      <c r="F649" s="1459"/>
      <c r="G649" s="1459"/>
      <c r="H649" s="1459"/>
      <c r="I649" s="1459"/>
      <c r="J649" s="1459"/>
      <c r="K649" s="1459"/>
      <c r="L649" s="1459"/>
      <c r="N649" s="1399"/>
      <c r="P649" s="1399"/>
      <c r="Q649" s="1399"/>
      <c r="R649" s="1399"/>
      <c r="S649" s="1399"/>
      <c r="T649" s="1399"/>
      <c r="U649" s="1399"/>
      <c r="V649" s="1399"/>
      <c r="W649" s="1399"/>
    </row>
    <row r="650" spans="2:23" s="1280" customFormat="1" x14ac:dyDescent="0.6">
      <c r="B650" s="1461"/>
      <c r="D650" s="1459"/>
      <c r="E650" s="1459"/>
      <c r="F650" s="1459"/>
      <c r="G650" s="1459"/>
      <c r="H650" s="1459"/>
      <c r="I650" s="1459"/>
      <c r="J650" s="1459"/>
      <c r="K650" s="1459"/>
      <c r="L650" s="1459"/>
      <c r="N650" s="1399"/>
      <c r="P650" s="1399"/>
      <c r="Q650" s="1399"/>
      <c r="R650" s="1399"/>
      <c r="S650" s="1399"/>
      <c r="T650" s="1399"/>
      <c r="U650" s="1399"/>
      <c r="V650" s="1399"/>
      <c r="W650" s="1399"/>
    </row>
    <row r="651" spans="2:23" s="1280" customFormat="1" x14ac:dyDescent="0.6">
      <c r="B651" s="1461"/>
      <c r="D651" s="1459"/>
      <c r="E651" s="1459"/>
      <c r="F651" s="1459"/>
      <c r="G651" s="1459"/>
      <c r="H651" s="1459"/>
      <c r="I651" s="1459"/>
      <c r="J651" s="1459"/>
      <c r="K651" s="1459"/>
      <c r="L651" s="1459"/>
      <c r="N651" s="1399"/>
      <c r="P651" s="1399"/>
      <c r="Q651" s="1399"/>
      <c r="R651" s="1399"/>
      <c r="S651" s="1399"/>
      <c r="T651" s="1399"/>
      <c r="U651" s="1399"/>
      <c r="V651" s="1399"/>
      <c r="W651" s="1399"/>
    </row>
    <row r="652" spans="2:23" s="1280" customFormat="1" x14ac:dyDescent="0.6">
      <c r="B652" s="1461"/>
      <c r="D652" s="1459"/>
      <c r="E652" s="1459"/>
      <c r="F652" s="1459"/>
      <c r="G652" s="1459"/>
      <c r="H652" s="1459"/>
      <c r="I652" s="1459"/>
      <c r="J652" s="1459"/>
      <c r="K652" s="1459"/>
      <c r="L652" s="1459"/>
      <c r="N652" s="1399"/>
      <c r="P652" s="1399"/>
      <c r="Q652" s="1399"/>
      <c r="R652" s="1399"/>
      <c r="S652" s="1399"/>
      <c r="T652" s="1399"/>
      <c r="U652" s="1399"/>
      <c r="V652" s="1399"/>
      <c r="W652" s="1399"/>
    </row>
    <row r="653" spans="2:23" s="1280" customFormat="1" x14ac:dyDescent="0.6">
      <c r="B653" s="1461"/>
      <c r="D653" s="1459"/>
      <c r="E653" s="1459"/>
      <c r="F653" s="1459"/>
      <c r="G653" s="1459"/>
      <c r="H653" s="1459"/>
      <c r="I653" s="1459"/>
      <c r="J653" s="1459"/>
      <c r="K653" s="1459"/>
      <c r="L653" s="1459"/>
      <c r="N653" s="1399"/>
      <c r="P653" s="1399"/>
      <c r="Q653" s="1399"/>
      <c r="R653" s="1399"/>
      <c r="S653" s="1399"/>
      <c r="T653" s="1399"/>
      <c r="U653" s="1399"/>
      <c r="V653" s="1399"/>
      <c r="W653" s="1399"/>
    </row>
    <row r="654" spans="2:23" s="1280" customFormat="1" x14ac:dyDescent="0.6">
      <c r="B654" s="1461"/>
      <c r="D654" s="1459"/>
      <c r="E654" s="1459"/>
      <c r="F654" s="1459"/>
      <c r="G654" s="1459"/>
      <c r="H654" s="1459"/>
      <c r="I654" s="1459"/>
      <c r="J654" s="1459"/>
      <c r="K654" s="1459"/>
      <c r="L654" s="1459"/>
      <c r="N654" s="1399"/>
      <c r="P654" s="1399"/>
      <c r="Q654" s="1399"/>
      <c r="R654" s="1399"/>
      <c r="S654" s="1399"/>
      <c r="T654" s="1399"/>
      <c r="U654" s="1399"/>
      <c r="V654" s="1399"/>
      <c r="W654" s="1399"/>
    </row>
    <row r="655" spans="2:23" s="1280" customFormat="1" x14ac:dyDescent="0.6">
      <c r="B655" s="1461"/>
      <c r="D655" s="1459"/>
      <c r="E655" s="1459"/>
      <c r="F655" s="1459"/>
      <c r="G655" s="1459"/>
      <c r="H655" s="1459"/>
      <c r="I655" s="1459"/>
      <c r="J655" s="1459"/>
      <c r="K655" s="1459"/>
      <c r="L655" s="1459"/>
      <c r="N655" s="1399"/>
      <c r="P655" s="1399"/>
      <c r="Q655" s="1399"/>
      <c r="R655" s="1399"/>
      <c r="S655" s="1399"/>
      <c r="T655" s="1399"/>
      <c r="U655" s="1399"/>
      <c r="V655" s="1399"/>
      <c r="W655" s="1399"/>
    </row>
    <row r="656" spans="2:23" s="1280" customFormat="1" x14ac:dyDescent="0.6">
      <c r="B656" s="1461"/>
      <c r="D656" s="1459"/>
      <c r="E656" s="1459"/>
      <c r="F656" s="1459"/>
      <c r="G656" s="1459"/>
      <c r="H656" s="1459"/>
      <c r="I656" s="1459"/>
      <c r="J656" s="1459"/>
      <c r="K656" s="1459"/>
      <c r="L656" s="1459"/>
      <c r="N656" s="1399"/>
      <c r="P656" s="1399"/>
      <c r="Q656" s="1399"/>
      <c r="R656" s="1399"/>
      <c r="S656" s="1399"/>
      <c r="T656" s="1399"/>
      <c r="U656" s="1399"/>
      <c r="V656" s="1399"/>
      <c r="W656" s="1399"/>
    </row>
    <row r="657" spans="2:23" s="1280" customFormat="1" x14ac:dyDescent="0.6">
      <c r="B657" s="1461"/>
      <c r="D657" s="1459"/>
      <c r="E657" s="1459"/>
      <c r="F657" s="1459"/>
      <c r="G657" s="1459"/>
      <c r="H657" s="1459"/>
      <c r="I657" s="1459"/>
      <c r="J657" s="1459"/>
      <c r="K657" s="1459"/>
      <c r="L657" s="1459"/>
      <c r="N657" s="1399"/>
      <c r="P657" s="1399"/>
      <c r="Q657" s="1399"/>
      <c r="R657" s="1399"/>
      <c r="S657" s="1399"/>
      <c r="T657" s="1399"/>
      <c r="U657" s="1399"/>
      <c r="V657" s="1399"/>
      <c r="W657" s="1399"/>
    </row>
    <row r="658" spans="2:23" s="1280" customFormat="1" x14ac:dyDescent="0.6">
      <c r="B658" s="1461"/>
      <c r="D658" s="1459"/>
      <c r="E658" s="1459"/>
      <c r="F658" s="1459"/>
      <c r="G658" s="1459"/>
      <c r="H658" s="1459"/>
      <c r="I658" s="1459"/>
      <c r="J658" s="1459"/>
      <c r="K658" s="1459"/>
      <c r="L658" s="1459"/>
      <c r="N658" s="1399"/>
      <c r="P658" s="1399"/>
      <c r="Q658" s="1399"/>
      <c r="R658" s="1399"/>
      <c r="S658" s="1399"/>
      <c r="T658" s="1399"/>
      <c r="U658" s="1399"/>
      <c r="V658" s="1399"/>
      <c r="W658" s="1399"/>
    </row>
    <row r="659" spans="2:23" s="1280" customFormat="1" x14ac:dyDescent="0.6">
      <c r="B659" s="1461"/>
      <c r="D659" s="1459"/>
      <c r="E659" s="1459"/>
      <c r="F659" s="1459"/>
      <c r="G659" s="1459"/>
      <c r="H659" s="1459"/>
      <c r="I659" s="1459"/>
      <c r="J659" s="1459"/>
      <c r="K659" s="1459"/>
      <c r="L659" s="1459"/>
      <c r="N659" s="1399"/>
      <c r="P659" s="1399"/>
      <c r="Q659" s="1399"/>
      <c r="R659" s="1399"/>
      <c r="S659" s="1399"/>
      <c r="T659" s="1399"/>
      <c r="U659" s="1399"/>
      <c r="V659" s="1399"/>
      <c r="W659" s="1399"/>
    </row>
    <row r="660" spans="2:23" s="1280" customFormat="1" x14ac:dyDescent="0.6">
      <c r="B660" s="1461"/>
      <c r="D660" s="1459"/>
      <c r="E660" s="1459"/>
      <c r="F660" s="1459"/>
      <c r="G660" s="1459"/>
      <c r="H660" s="1459"/>
      <c r="I660" s="1459"/>
      <c r="J660" s="1459"/>
      <c r="K660" s="1459"/>
      <c r="L660" s="1459"/>
      <c r="N660" s="1399"/>
      <c r="P660" s="1399"/>
      <c r="Q660" s="1399"/>
      <c r="R660" s="1399"/>
      <c r="S660" s="1399"/>
      <c r="T660" s="1399"/>
      <c r="U660" s="1399"/>
      <c r="V660" s="1399"/>
      <c r="W660" s="1399"/>
    </row>
    <row r="661" spans="2:23" s="1280" customFormat="1" x14ac:dyDescent="0.6">
      <c r="B661" s="1461"/>
      <c r="D661" s="1459"/>
      <c r="E661" s="1459"/>
      <c r="F661" s="1459"/>
      <c r="G661" s="1459"/>
      <c r="H661" s="1459"/>
      <c r="I661" s="1459"/>
      <c r="J661" s="1459"/>
      <c r="K661" s="1459"/>
      <c r="L661" s="1459"/>
      <c r="N661" s="1399"/>
      <c r="P661" s="1399"/>
      <c r="Q661" s="1399"/>
      <c r="R661" s="1399"/>
      <c r="S661" s="1399"/>
      <c r="T661" s="1399"/>
      <c r="U661" s="1399"/>
      <c r="V661" s="1399"/>
      <c r="W661" s="1399"/>
    </row>
    <row r="662" spans="2:23" s="1280" customFormat="1" x14ac:dyDescent="0.6">
      <c r="B662" s="1461"/>
      <c r="D662" s="1459"/>
      <c r="E662" s="1459"/>
      <c r="F662" s="1459"/>
      <c r="G662" s="1459"/>
      <c r="H662" s="1459"/>
      <c r="I662" s="1459"/>
      <c r="J662" s="1459"/>
      <c r="K662" s="1459"/>
      <c r="L662" s="1459"/>
      <c r="N662" s="1399"/>
      <c r="P662" s="1399"/>
      <c r="Q662" s="1399"/>
      <c r="R662" s="1399"/>
      <c r="S662" s="1399"/>
      <c r="T662" s="1399"/>
      <c r="U662" s="1399"/>
      <c r="V662" s="1399"/>
      <c r="W662" s="1399"/>
    </row>
    <row r="663" spans="2:23" s="1280" customFormat="1" x14ac:dyDescent="0.6">
      <c r="B663" s="1461"/>
      <c r="D663" s="1459"/>
      <c r="E663" s="1459"/>
      <c r="F663" s="1459"/>
      <c r="G663" s="1459"/>
      <c r="H663" s="1459"/>
      <c r="I663" s="1459"/>
      <c r="J663" s="1459"/>
      <c r="K663" s="1459"/>
      <c r="L663" s="1459"/>
      <c r="N663" s="1399"/>
      <c r="P663" s="1399"/>
      <c r="Q663" s="1399"/>
      <c r="R663" s="1399"/>
      <c r="S663" s="1399"/>
      <c r="T663" s="1399"/>
      <c r="U663" s="1399"/>
      <c r="V663" s="1399"/>
      <c r="W663" s="1399"/>
    </row>
    <row r="664" spans="2:23" s="1280" customFormat="1" x14ac:dyDescent="0.6">
      <c r="B664" s="1461"/>
      <c r="D664" s="1459"/>
      <c r="E664" s="1459"/>
      <c r="F664" s="1459"/>
      <c r="G664" s="1459"/>
      <c r="H664" s="1459"/>
      <c r="I664" s="1459"/>
      <c r="J664" s="1459"/>
      <c r="K664" s="1459"/>
      <c r="L664" s="1459"/>
      <c r="N664" s="1399"/>
      <c r="P664" s="1399"/>
      <c r="Q664" s="1399"/>
      <c r="R664" s="1399"/>
      <c r="S664" s="1399"/>
      <c r="T664" s="1399"/>
      <c r="U664" s="1399"/>
      <c r="V664" s="1399"/>
      <c r="W664" s="1399"/>
    </row>
    <row r="665" spans="2:23" s="1280" customFormat="1" x14ac:dyDescent="0.6">
      <c r="B665" s="1461"/>
      <c r="D665" s="1459"/>
      <c r="E665" s="1459"/>
      <c r="F665" s="1459"/>
      <c r="G665" s="1459"/>
      <c r="H665" s="1459"/>
      <c r="I665" s="1459"/>
      <c r="J665" s="1459"/>
      <c r="K665" s="1459"/>
      <c r="L665" s="1459"/>
      <c r="N665" s="1399"/>
      <c r="P665" s="1399"/>
      <c r="Q665" s="1399"/>
      <c r="R665" s="1399"/>
      <c r="S665" s="1399"/>
      <c r="T665" s="1399"/>
      <c r="U665" s="1399"/>
      <c r="V665" s="1399"/>
      <c r="W665" s="1399"/>
    </row>
    <row r="666" spans="2:23" s="1280" customFormat="1" x14ac:dyDescent="0.6">
      <c r="B666" s="1461"/>
      <c r="D666" s="1459"/>
      <c r="E666" s="1459"/>
      <c r="F666" s="1459"/>
      <c r="G666" s="1459"/>
      <c r="H666" s="1459"/>
      <c r="I666" s="1459"/>
      <c r="J666" s="1459"/>
      <c r="K666" s="1459"/>
      <c r="L666" s="1459"/>
      <c r="N666" s="1399"/>
      <c r="P666" s="1399"/>
      <c r="Q666" s="1399"/>
      <c r="R666" s="1399"/>
      <c r="S666" s="1399"/>
      <c r="T666" s="1399"/>
      <c r="U666" s="1399"/>
      <c r="V666" s="1399"/>
      <c r="W666" s="1399"/>
    </row>
    <row r="667" spans="2:23" s="1280" customFormat="1" x14ac:dyDescent="0.6">
      <c r="B667" s="1461"/>
      <c r="D667" s="1459"/>
      <c r="E667" s="1459"/>
      <c r="F667" s="1459"/>
      <c r="G667" s="1459"/>
      <c r="H667" s="1459"/>
      <c r="I667" s="1459"/>
      <c r="J667" s="1459"/>
      <c r="K667" s="1459"/>
      <c r="L667" s="1459"/>
      <c r="N667" s="1399"/>
      <c r="P667" s="1399"/>
      <c r="Q667" s="1399"/>
      <c r="R667" s="1399"/>
      <c r="S667" s="1399"/>
      <c r="T667" s="1399"/>
      <c r="U667" s="1399"/>
      <c r="V667" s="1399"/>
      <c r="W667" s="1399"/>
    </row>
    <row r="668" spans="2:23" s="1280" customFormat="1" x14ac:dyDescent="0.6">
      <c r="B668" s="1461"/>
      <c r="D668" s="1459"/>
      <c r="E668" s="1459"/>
      <c r="F668" s="1459"/>
      <c r="G668" s="1459"/>
      <c r="H668" s="1459"/>
      <c r="I668" s="1459"/>
      <c r="J668" s="1459"/>
      <c r="K668" s="1459"/>
      <c r="L668" s="1459"/>
      <c r="N668" s="1399"/>
      <c r="P668" s="1399"/>
      <c r="Q668" s="1399"/>
      <c r="R668" s="1399"/>
      <c r="S668" s="1399"/>
      <c r="T668" s="1399"/>
      <c r="U668" s="1399"/>
      <c r="V668" s="1399"/>
      <c r="W668" s="1399"/>
    </row>
    <row r="669" spans="2:23" s="1280" customFormat="1" x14ac:dyDescent="0.6">
      <c r="B669" s="1461"/>
      <c r="D669" s="1459"/>
      <c r="E669" s="1459"/>
      <c r="F669" s="1459"/>
      <c r="G669" s="1459"/>
      <c r="H669" s="1459"/>
      <c r="I669" s="1459"/>
      <c r="J669" s="1459"/>
      <c r="K669" s="1459"/>
      <c r="L669" s="1459"/>
      <c r="N669" s="1399"/>
      <c r="P669" s="1399"/>
      <c r="Q669" s="1399"/>
      <c r="R669" s="1399"/>
      <c r="S669" s="1399"/>
      <c r="T669" s="1399"/>
      <c r="U669" s="1399"/>
      <c r="V669" s="1399"/>
      <c r="W669" s="1399"/>
    </row>
    <row r="670" spans="2:23" s="1280" customFormat="1" x14ac:dyDescent="0.6">
      <c r="B670" s="1461"/>
      <c r="D670" s="1459"/>
      <c r="E670" s="1459"/>
      <c r="F670" s="1459"/>
      <c r="G670" s="1459"/>
      <c r="H670" s="1459"/>
      <c r="I670" s="1459"/>
      <c r="J670" s="1459"/>
      <c r="K670" s="1459"/>
      <c r="L670" s="1459"/>
      <c r="N670" s="1399"/>
      <c r="P670" s="1399"/>
      <c r="Q670" s="1399"/>
      <c r="R670" s="1399"/>
      <c r="S670" s="1399"/>
      <c r="T670" s="1399"/>
      <c r="U670" s="1399"/>
      <c r="V670" s="1399"/>
      <c r="W670" s="1399"/>
    </row>
    <row r="671" spans="2:23" s="1280" customFormat="1" x14ac:dyDescent="0.6">
      <c r="B671" s="1461"/>
      <c r="D671" s="1459"/>
      <c r="E671" s="1459"/>
      <c r="F671" s="1459"/>
      <c r="G671" s="1459"/>
      <c r="H671" s="1459"/>
      <c r="I671" s="1459"/>
      <c r="J671" s="1459"/>
      <c r="K671" s="1459"/>
      <c r="L671" s="1459"/>
      <c r="N671" s="1399"/>
      <c r="P671" s="1399"/>
      <c r="Q671" s="1399"/>
      <c r="R671" s="1399"/>
      <c r="S671" s="1399"/>
      <c r="T671" s="1399"/>
      <c r="U671" s="1399"/>
      <c r="V671" s="1399"/>
      <c r="W671" s="1399"/>
    </row>
    <row r="672" spans="2:23" s="1280" customFormat="1" x14ac:dyDescent="0.6">
      <c r="B672" s="1461"/>
      <c r="D672" s="1459"/>
      <c r="E672" s="1459"/>
      <c r="F672" s="1459"/>
      <c r="G672" s="1459"/>
      <c r="H672" s="1459"/>
      <c r="I672" s="1459"/>
      <c r="J672" s="1459"/>
      <c r="K672" s="1459"/>
      <c r="L672" s="1459"/>
      <c r="N672" s="1399"/>
      <c r="P672" s="1399"/>
      <c r="Q672" s="1399"/>
      <c r="R672" s="1399"/>
      <c r="S672" s="1399"/>
      <c r="T672" s="1399"/>
      <c r="U672" s="1399"/>
      <c r="V672" s="1399"/>
      <c r="W672" s="1399"/>
    </row>
    <row r="673" spans="2:23" s="1280" customFormat="1" x14ac:dyDescent="0.6">
      <c r="B673" s="1461"/>
      <c r="D673" s="1459"/>
      <c r="E673" s="1459"/>
      <c r="F673" s="1459"/>
      <c r="G673" s="1459"/>
      <c r="H673" s="1459"/>
      <c r="I673" s="1459"/>
      <c r="J673" s="1459"/>
      <c r="K673" s="1459"/>
      <c r="L673" s="1459"/>
      <c r="N673" s="1399"/>
      <c r="P673" s="1399"/>
      <c r="Q673" s="1399"/>
      <c r="R673" s="1399"/>
      <c r="S673" s="1399"/>
      <c r="T673" s="1399"/>
      <c r="U673" s="1399"/>
      <c r="V673" s="1399"/>
      <c r="W673" s="1399"/>
    </row>
    <row r="674" spans="2:23" s="1280" customFormat="1" x14ac:dyDescent="0.6">
      <c r="B674" s="1461"/>
      <c r="D674" s="1459"/>
      <c r="E674" s="1459"/>
      <c r="F674" s="1459"/>
      <c r="G674" s="1459"/>
      <c r="H674" s="1459"/>
      <c r="I674" s="1459"/>
      <c r="J674" s="1459"/>
      <c r="K674" s="1459"/>
      <c r="L674" s="1459"/>
      <c r="N674" s="1399"/>
      <c r="P674" s="1399"/>
      <c r="Q674" s="1399"/>
      <c r="R674" s="1399"/>
      <c r="S674" s="1399"/>
      <c r="T674" s="1399"/>
      <c r="U674" s="1399"/>
      <c r="V674" s="1399"/>
      <c r="W674" s="1399"/>
    </row>
    <row r="675" spans="2:23" s="1280" customFormat="1" x14ac:dyDescent="0.6">
      <c r="B675" s="1461"/>
      <c r="D675" s="1459"/>
      <c r="E675" s="1459"/>
      <c r="F675" s="1459"/>
      <c r="G675" s="1459"/>
      <c r="H675" s="1459"/>
      <c r="I675" s="1459"/>
      <c r="J675" s="1459"/>
      <c r="K675" s="1459"/>
      <c r="L675" s="1459"/>
      <c r="N675" s="1399"/>
      <c r="P675" s="1399"/>
      <c r="Q675" s="1399"/>
      <c r="R675" s="1399"/>
      <c r="S675" s="1399"/>
      <c r="T675" s="1399"/>
      <c r="U675" s="1399"/>
      <c r="V675" s="1399"/>
      <c r="W675" s="1399"/>
    </row>
    <row r="676" spans="2:23" s="1280" customFormat="1" x14ac:dyDescent="0.6">
      <c r="B676" s="1461"/>
      <c r="D676" s="1459"/>
      <c r="E676" s="1459"/>
      <c r="F676" s="1459"/>
      <c r="G676" s="1459"/>
      <c r="H676" s="1459"/>
      <c r="I676" s="1459"/>
      <c r="J676" s="1459"/>
      <c r="K676" s="1459"/>
      <c r="L676" s="1459"/>
      <c r="N676" s="1399"/>
      <c r="P676" s="1399"/>
      <c r="Q676" s="1399"/>
      <c r="R676" s="1399"/>
      <c r="S676" s="1399"/>
      <c r="T676" s="1399"/>
      <c r="U676" s="1399"/>
      <c r="V676" s="1399"/>
      <c r="W676" s="1399"/>
    </row>
    <row r="677" spans="2:23" s="1280" customFormat="1" x14ac:dyDescent="0.6">
      <c r="B677" s="1461"/>
      <c r="D677" s="1459"/>
      <c r="E677" s="1459"/>
      <c r="F677" s="1459"/>
      <c r="G677" s="1459"/>
      <c r="H677" s="1459"/>
      <c r="I677" s="1459"/>
      <c r="J677" s="1459"/>
      <c r="K677" s="1459"/>
      <c r="L677" s="1459"/>
      <c r="N677" s="1399"/>
      <c r="P677" s="1399"/>
      <c r="Q677" s="1399"/>
      <c r="R677" s="1399"/>
      <c r="S677" s="1399"/>
      <c r="T677" s="1399"/>
      <c r="U677" s="1399"/>
      <c r="V677" s="1399"/>
      <c r="W677" s="1399"/>
    </row>
    <row r="678" spans="2:23" s="1280" customFormat="1" x14ac:dyDescent="0.6">
      <c r="B678" s="1461"/>
      <c r="D678" s="1459"/>
      <c r="E678" s="1459"/>
      <c r="F678" s="1459"/>
      <c r="G678" s="1459"/>
      <c r="H678" s="1459"/>
      <c r="I678" s="1459"/>
      <c r="J678" s="1459"/>
      <c r="K678" s="1459"/>
      <c r="L678" s="1459"/>
      <c r="N678" s="1399"/>
      <c r="P678" s="1399"/>
      <c r="Q678" s="1399"/>
      <c r="R678" s="1399"/>
      <c r="S678" s="1399"/>
      <c r="T678" s="1399"/>
      <c r="U678" s="1399"/>
      <c r="V678" s="1399"/>
      <c r="W678" s="1399"/>
    </row>
    <row r="679" spans="2:23" s="1280" customFormat="1" x14ac:dyDescent="0.6">
      <c r="B679" s="1461"/>
      <c r="D679" s="1459"/>
      <c r="E679" s="1459"/>
      <c r="F679" s="1459"/>
      <c r="G679" s="1459"/>
      <c r="H679" s="1459"/>
      <c r="I679" s="1459"/>
      <c r="J679" s="1459"/>
      <c r="K679" s="1459"/>
      <c r="L679" s="1459"/>
      <c r="N679" s="1399"/>
      <c r="P679" s="1399"/>
      <c r="Q679" s="1399"/>
      <c r="R679" s="1399"/>
      <c r="S679" s="1399"/>
      <c r="T679" s="1399"/>
      <c r="U679" s="1399"/>
      <c r="V679" s="1399"/>
      <c r="W679" s="1399"/>
    </row>
    <row r="680" spans="2:23" s="1280" customFormat="1" x14ac:dyDescent="0.6">
      <c r="B680" s="1461"/>
      <c r="D680" s="1459"/>
      <c r="E680" s="1459"/>
      <c r="F680" s="1459"/>
      <c r="G680" s="1459"/>
      <c r="H680" s="1459"/>
      <c r="I680" s="1459"/>
      <c r="J680" s="1459"/>
      <c r="K680" s="1459"/>
      <c r="L680" s="1459"/>
      <c r="N680" s="1399"/>
      <c r="P680" s="1399"/>
      <c r="Q680" s="1399"/>
      <c r="R680" s="1399"/>
      <c r="S680" s="1399"/>
      <c r="T680" s="1399"/>
      <c r="U680" s="1399"/>
      <c r="V680" s="1399"/>
      <c r="W680" s="1399"/>
    </row>
    <row r="681" spans="2:23" s="1280" customFormat="1" x14ac:dyDescent="0.6">
      <c r="B681" s="1461"/>
      <c r="D681" s="1459"/>
      <c r="E681" s="1459"/>
      <c r="F681" s="1459"/>
      <c r="G681" s="1459"/>
      <c r="H681" s="1459"/>
      <c r="I681" s="1459"/>
      <c r="J681" s="1459"/>
      <c r="K681" s="1459"/>
      <c r="L681" s="1459"/>
      <c r="N681" s="1399"/>
      <c r="P681" s="1399"/>
      <c r="Q681" s="1399"/>
      <c r="R681" s="1399"/>
      <c r="S681" s="1399"/>
      <c r="T681" s="1399"/>
      <c r="U681" s="1399"/>
      <c r="V681" s="1399"/>
      <c r="W681" s="1399"/>
    </row>
    <row r="682" spans="2:23" s="1280" customFormat="1" x14ac:dyDescent="0.6">
      <c r="B682" s="1461"/>
      <c r="D682" s="1459"/>
      <c r="E682" s="1459"/>
      <c r="F682" s="1459"/>
      <c r="G682" s="1459"/>
      <c r="H682" s="1459"/>
      <c r="I682" s="1459"/>
      <c r="J682" s="1459"/>
      <c r="K682" s="1459"/>
      <c r="L682" s="1459"/>
      <c r="N682" s="1399"/>
      <c r="P682" s="1399"/>
      <c r="Q682" s="1399"/>
      <c r="R682" s="1399"/>
      <c r="S682" s="1399"/>
      <c r="T682" s="1399"/>
      <c r="U682" s="1399"/>
      <c r="V682" s="1399"/>
      <c r="W682" s="1399"/>
    </row>
    <row r="683" spans="2:23" s="1280" customFormat="1" x14ac:dyDescent="0.6">
      <c r="B683" s="1461"/>
      <c r="D683" s="1459"/>
      <c r="E683" s="1459"/>
      <c r="F683" s="1459"/>
      <c r="G683" s="1459"/>
      <c r="H683" s="1459"/>
      <c r="I683" s="1459"/>
      <c r="J683" s="1459"/>
      <c r="K683" s="1459"/>
      <c r="L683" s="1459"/>
      <c r="N683" s="1399"/>
      <c r="P683" s="1399"/>
      <c r="Q683" s="1399"/>
      <c r="R683" s="1399"/>
      <c r="S683" s="1399"/>
      <c r="T683" s="1399"/>
      <c r="U683" s="1399"/>
      <c r="V683" s="1399"/>
      <c r="W683" s="1399"/>
    </row>
    <row r="684" spans="2:23" s="1280" customFormat="1" x14ac:dyDescent="0.6">
      <c r="B684" s="1461"/>
      <c r="D684" s="1459"/>
      <c r="E684" s="1459"/>
      <c r="F684" s="1459"/>
      <c r="G684" s="1459"/>
      <c r="H684" s="1459"/>
      <c r="I684" s="1459"/>
      <c r="J684" s="1459"/>
      <c r="K684" s="1459"/>
      <c r="L684" s="1459"/>
      <c r="N684" s="1399"/>
      <c r="P684" s="1399"/>
      <c r="Q684" s="1399"/>
      <c r="R684" s="1399"/>
      <c r="S684" s="1399"/>
      <c r="T684" s="1399"/>
      <c r="U684" s="1399"/>
      <c r="V684" s="1399"/>
      <c r="W684" s="1399"/>
    </row>
    <row r="685" spans="2:23" s="1280" customFormat="1" x14ac:dyDescent="0.6">
      <c r="B685" s="1461"/>
      <c r="D685" s="1459"/>
      <c r="E685" s="1459"/>
      <c r="F685" s="1459"/>
      <c r="G685" s="1459"/>
      <c r="H685" s="1459"/>
      <c r="I685" s="1459"/>
      <c r="J685" s="1459"/>
      <c r="K685" s="1459"/>
      <c r="L685" s="1459"/>
      <c r="N685" s="1399"/>
      <c r="P685" s="1399"/>
      <c r="Q685" s="1399"/>
      <c r="R685" s="1399"/>
      <c r="S685" s="1399"/>
      <c r="T685" s="1399"/>
      <c r="U685" s="1399"/>
      <c r="V685" s="1399"/>
      <c r="W685" s="1399"/>
    </row>
    <row r="686" spans="2:23" s="1280" customFormat="1" x14ac:dyDescent="0.6">
      <c r="B686" s="1461"/>
      <c r="D686" s="1459"/>
      <c r="E686" s="1459"/>
      <c r="F686" s="1459"/>
      <c r="G686" s="1459"/>
      <c r="H686" s="1459"/>
      <c r="I686" s="1459"/>
      <c r="J686" s="1459"/>
      <c r="K686" s="1459"/>
      <c r="L686" s="1459"/>
      <c r="N686" s="1399"/>
      <c r="P686" s="1399"/>
      <c r="Q686" s="1399"/>
      <c r="R686" s="1399"/>
      <c r="S686" s="1399"/>
      <c r="T686" s="1399"/>
      <c r="U686" s="1399"/>
      <c r="V686" s="1399"/>
      <c r="W686" s="1399"/>
    </row>
    <row r="687" spans="2:23" s="1280" customFormat="1" x14ac:dyDescent="0.6">
      <c r="B687" s="1461"/>
      <c r="D687" s="1459"/>
      <c r="E687" s="1459"/>
      <c r="F687" s="1459"/>
      <c r="G687" s="1459"/>
      <c r="H687" s="1459"/>
      <c r="I687" s="1459"/>
      <c r="J687" s="1459"/>
      <c r="K687" s="1459"/>
      <c r="L687" s="1459"/>
      <c r="N687" s="1399"/>
      <c r="P687" s="1399"/>
      <c r="Q687" s="1399"/>
      <c r="R687" s="1399"/>
      <c r="S687" s="1399"/>
      <c r="T687" s="1399"/>
      <c r="U687" s="1399"/>
      <c r="V687" s="1399"/>
      <c r="W687" s="1399"/>
    </row>
    <row r="688" spans="2:23" s="1280" customFormat="1" x14ac:dyDescent="0.6">
      <c r="B688" s="1461"/>
      <c r="D688" s="1459"/>
      <c r="E688" s="1459"/>
      <c r="F688" s="1459"/>
      <c r="G688" s="1459"/>
      <c r="H688" s="1459"/>
      <c r="I688" s="1459"/>
      <c r="J688" s="1459"/>
      <c r="K688" s="1459"/>
      <c r="L688" s="1459"/>
      <c r="N688" s="1399"/>
      <c r="P688" s="1399"/>
      <c r="Q688" s="1399"/>
      <c r="R688" s="1399"/>
      <c r="S688" s="1399"/>
      <c r="T688" s="1399"/>
      <c r="U688" s="1399"/>
      <c r="V688" s="1399"/>
      <c r="W688" s="1399"/>
    </row>
    <row r="689" spans="2:23" s="1280" customFormat="1" x14ac:dyDescent="0.6">
      <c r="B689" s="1461"/>
      <c r="D689" s="1459"/>
      <c r="E689" s="1459"/>
      <c r="F689" s="1459"/>
      <c r="G689" s="1459"/>
      <c r="H689" s="1459"/>
      <c r="I689" s="1459"/>
      <c r="J689" s="1459"/>
      <c r="K689" s="1459"/>
      <c r="L689" s="1459"/>
      <c r="N689" s="1399"/>
      <c r="P689" s="1399"/>
      <c r="Q689" s="1399"/>
      <c r="R689" s="1399"/>
      <c r="S689" s="1399"/>
      <c r="T689" s="1399"/>
      <c r="U689" s="1399"/>
      <c r="V689" s="1399"/>
      <c r="W689" s="1399"/>
    </row>
    <row r="690" spans="2:23" s="1280" customFormat="1" x14ac:dyDescent="0.6">
      <c r="B690" s="1461"/>
      <c r="D690" s="1459"/>
      <c r="E690" s="1459"/>
      <c r="F690" s="1459"/>
      <c r="G690" s="1459"/>
      <c r="H690" s="1459"/>
      <c r="I690" s="1459"/>
      <c r="J690" s="1459"/>
      <c r="K690" s="1459"/>
      <c r="L690" s="1459"/>
      <c r="N690" s="1399"/>
      <c r="P690" s="1399"/>
      <c r="Q690" s="1399"/>
      <c r="R690" s="1399"/>
      <c r="S690" s="1399"/>
      <c r="T690" s="1399"/>
      <c r="U690" s="1399"/>
      <c r="V690" s="1399"/>
      <c r="W690" s="1399"/>
    </row>
    <row r="691" spans="2:23" s="1280" customFormat="1" x14ac:dyDescent="0.6">
      <c r="B691" s="1461"/>
      <c r="D691" s="1459"/>
      <c r="E691" s="1459"/>
      <c r="F691" s="1459"/>
      <c r="G691" s="1459"/>
      <c r="H691" s="1459"/>
      <c r="I691" s="1459"/>
      <c r="J691" s="1459"/>
      <c r="K691" s="1459"/>
      <c r="L691" s="1459"/>
      <c r="N691" s="1399"/>
      <c r="P691" s="1399"/>
      <c r="Q691" s="1399"/>
      <c r="R691" s="1399"/>
      <c r="S691" s="1399"/>
      <c r="T691" s="1399"/>
      <c r="U691" s="1399"/>
      <c r="V691" s="1399"/>
      <c r="W691" s="1399"/>
    </row>
    <row r="692" spans="2:23" s="1280" customFormat="1" x14ac:dyDescent="0.6">
      <c r="B692" s="1461"/>
      <c r="D692" s="1459"/>
      <c r="E692" s="1459"/>
      <c r="F692" s="1459"/>
      <c r="G692" s="1459"/>
      <c r="H692" s="1459"/>
      <c r="I692" s="1459"/>
      <c r="J692" s="1459"/>
      <c r="K692" s="1459"/>
      <c r="L692" s="1459"/>
      <c r="N692" s="1399"/>
      <c r="P692" s="1399"/>
      <c r="Q692" s="1399"/>
      <c r="R692" s="1399"/>
      <c r="S692" s="1399"/>
      <c r="T692" s="1399"/>
      <c r="U692" s="1399"/>
      <c r="V692" s="1399"/>
      <c r="W692" s="1399"/>
    </row>
    <row r="693" spans="2:23" s="1280" customFormat="1" x14ac:dyDescent="0.6">
      <c r="B693" s="1461"/>
      <c r="D693" s="1459"/>
      <c r="E693" s="1459"/>
      <c r="F693" s="1459"/>
      <c r="G693" s="1459"/>
      <c r="H693" s="1459"/>
      <c r="I693" s="1459"/>
      <c r="J693" s="1459"/>
      <c r="K693" s="1459"/>
      <c r="L693" s="1459"/>
      <c r="N693" s="1399"/>
      <c r="P693" s="1399"/>
      <c r="Q693" s="1399"/>
      <c r="R693" s="1399"/>
      <c r="S693" s="1399"/>
      <c r="T693" s="1399"/>
      <c r="U693" s="1399"/>
      <c r="V693" s="1399"/>
      <c r="W693" s="1399"/>
    </row>
    <row r="694" spans="2:23" s="1280" customFormat="1" x14ac:dyDescent="0.6">
      <c r="B694" s="1461"/>
      <c r="D694" s="1459"/>
      <c r="E694" s="1459"/>
      <c r="F694" s="1459"/>
      <c r="G694" s="1459"/>
      <c r="H694" s="1459"/>
      <c r="I694" s="1459"/>
      <c r="J694" s="1459"/>
      <c r="K694" s="1459"/>
      <c r="L694" s="1459"/>
      <c r="N694" s="1399"/>
      <c r="P694" s="1399"/>
      <c r="Q694" s="1399"/>
      <c r="R694" s="1399"/>
      <c r="S694" s="1399"/>
      <c r="T694" s="1399"/>
      <c r="U694" s="1399"/>
      <c r="V694" s="1399"/>
      <c r="W694" s="1399"/>
    </row>
    <row r="695" spans="2:23" s="1280" customFormat="1" x14ac:dyDescent="0.6">
      <c r="B695" s="1461"/>
      <c r="D695" s="1459"/>
      <c r="E695" s="1459"/>
      <c r="F695" s="1459"/>
      <c r="G695" s="1459"/>
      <c r="H695" s="1459"/>
      <c r="I695" s="1459"/>
      <c r="J695" s="1459"/>
      <c r="K695" s="1459"/>
      <c r="L695" s="1459"/>
      <c r="N695" s="1399"/>
      <c r="P695" s="1399"/>
      <c r="Q695" s="1399"/>
      <c r="R695" s="1399"/>
      <c r="S695" s="1399"/>
      <c r="T695" s="1399"/>
      <c r="U695" s="1399"/>
      <c r="V695" s="1399"/>
      <c r="W695" s="1399"/>
    </row>
    <row r="696" spans="2:23" s="1280" customFormat="1" x14ac:dyDescent="0.6">
      <c r="B696" s="1461"/>
      <c r="D696" s="1459"/>
      <c r="E696" s="1459"/>
      <c r="F696" s="1459"/>
      <c r="G696" s="1459"/>
      <c r="H696" s="1459"/>
      <c r="I696" s="1459"/>
      <c r="J696" s="1459"/>
      <c r="K696" s="1459"/>
      <c r="L696" s="1459"/>
      <c r="N696" s="1399"/>
      <c r="P696" s="1399"/>
      <c r="Q696" s="1399"/>
      <c r="R696" s="1399"/>
      <c r="S696" s="1399"/>
      <c r="T696" s="1399"/>
      <c r="U696" s="1399"/>
      <c r="V696" s="1399"/>
      <c r="W696" s="1399"/>
    </row>
    <row r="697" spans="2:23" s="1280" customFormat="1" x14ac:dyDescent="0.6">
      <c r="B697" s="1461"/>
      <c r="D697" s="1459"/>
      <c r="E697" s="1459"/>
      <c r="F697" s="1459"/>
      <c r="G697" s="1459"/>
      <c r="H697" s="1459"/>
      <c r="I697" s="1459"/>
      <c r="J697" s="1459"/>
      <c r="K697" s="1459"/>
      <c r="L697" s="1459"/>
      <c r="N697" s="1399"/>
      <c r="P697" s="1399"/>
      <c r="Q697" s="1399"/>
      <c r="R697" s="1399"/>
      <c r="S697" s="1399"/>
      <c r="T697" s="1399"/>
      <c r="U697" s="1399"/>
      <c r="V697" s="1399"/>
      <c r="W697" s="1399"/>
    </row>
    <row r="698" spans="2:23" s="1280" customFormat="1" x14ac:dyDescent="0.6">
      <c r="B698" s="1461"/>
      <c r="D698" s="1459"/>
      <c r="E698" s="1459"/>
      <c r="F698" s="1459"/>
      <c r="G698" s="1459"/>
      <c r="H698" s="1459"/>
      <c r="I698" s="1459"/>
      <c r="J698" s="1459"/>
      <c r="K698" s="1459"/>
      <c r="L698" s="1459"/>
      <c r="N698" s="1399"/>
      <c r="P698" s="1399"/>
      <c r="Q698" s="1399"/>
      <c r="R698" s="1399"/>
      <c r="S698" s="1399"/>
      <c r="T698" s="1399"/>
      <c r="U698" s="1399"/>
      <c r="V698" s="1399"/>
      <c r="W698" s="1399"/>
    </row>
    <row r="699" spans="2:23" s="1280" customFormat="1" x14ac:dyDescent="0.6">
      <c r="B699" s="1461"/>
      <c r="D699" s="1459"/>
      <c r="E699" s="1459"/>
      <c r="F699" s="1459"/>
      <c r="G699" s="1459"/>
      <c r="H699" s="1459"/>
      <c r="I699" s="1459"/>
      <c r="J699" s="1459"/>
      <c r="K699" s="1459"/>
      <c r="L699" s="1459"/>
      <c r="N699" s="1399"/>
      <c r="P699" s="1399"/>
      <c r="Q699" s="1399"/>
      <c r="R699" s="1399"/>
      <c r="S699" s="1399"/>
      <c r="T699" s="1399"/>
      <c r="U699" s="1399"/>
      <c r="V699" s="1399"/>
      <c r="W699" s="1399"/>
    </row>
    <row r="700" spans="2:23" s="1280" customFormat="1" x14ac:dyDescent="0.6">
      <c r="B700" s="1461"/>
      <c r="D700" s="1459"/>
      <c r="E700" s="1459"/>
      <c r="F700" s="1459"/>
      <c r="G700" s="1459"/>
      <c r="H700" s="1459"/>
      <c r="I700" s="1459"/>
      <c r="J700" s="1459"/>
      <c r="K700" s="1459"/>
      <c r="L700" s="1459"/>
      <c r="N700" s="1399"/>
      <c r="P700" s="1399"/>
      <c r="Q700" s="1399"/>
      <c r="R700" s="1399"/>
      <c r="S700" s="1399"/>
      <c r="T700" s="1399"/>
      <c r="U700" s="1399"/>
      <c r="V700" s="1399"/>
      <c r="W700" s="1399"/>
    </row>
    <row r="701" spans="2:23" s="1280" customFormat="1" x14ac:dyDescent="0.6">
      <c r="B701" s="1461"/>
      <c r="D701" s="1459"/>
      <c r="E701" s="1459"/>
      <c r="F701" s="1459"/>
      <c r="G701" s="1459"/>
      <c r="H701" s="1459"/>
      <c r="I701" s="1459"/>
      <c r="J701" s="1459"/>
      <c r="K701" s="1459"/>
      <c r="L701" s="1459"/>
      <c r="N701" s="1399"/>
      <c r="P701" s="1399"/>
      <c r="Q701" s="1399"/>
      <c r="R701" s="1399"/>
      <c r="S701" s="1399"/>
      <c r="T701" s="1399"/>
      <c r="U701" s="1399"/>
      <c r="V701" s="1399"/>
      <c r="W701" s="1399"/>
    </row>
    <row r="702" spans="2:23" s="1280" customFormat="1" x14ac:dyDescent="0.6">
      <c r="B702" s="1461"/>
      <c r="D702" s="1459"/>
      <c r="E702" s="1459"/>
      <c r="F702" s="1459"/>
      <c r="G702" s="1459"/>
      <c r="H702" s="1459"/>
      <c r="I702" s="1459"/>
      <c r="J702" s="1459"/>
      <c r="K702" s="1459"/>
      <c r="L702" s="1459"/>
      <c r="N702" s="1399"/>
      <c r="P702" s="1399"/>
      <c r="Q702" s="1399"/>
      <c r="R702" s="1399"/>
      <c r="S702" s="1399"/>
      <c r="T702" s="1399"/>
      <c r="U702" s="1399"/>
      <c r="V702" s="1399"/>
      <c r="W702" s="1399"/>
    </row>
    <row r="703" spans="2:23" s="1280" customFormat="1" x14ac:dyDescent="0.6">
      <c r="B703" s="1461"/>
      <c r="D703" s="1459"/>
      <c r="E703" s="1459"/>
      <c r="F703" s="1459"/>
      <c r="G703" s="1459"/>
      <c r="H703" s="1459"/>
      <c r="I703" s="1459"/>
      <c r="J703" s="1459"/>
      <c r="K703" s="1459"/>
      <c r="L703" s="1459"/>
      <c r="N703" s="1399"/>
      <c r="P703" s="1399"/>
      <c r="Q703" s="1399"/>
      <c r="R703" s="1399"/>
      <c r="S703" s="1399"/>
      <c r="T703" s="1399"/>
      <c r="U703" s="1399"/>
      <c r="V703" s="1399"/>
      <c r="W703" s="1399"/>
    </row>
    <row r="704" spans="2:23" s="1280" customFormat="1" x14ac:dyDescent="0.6">
      <c r="B704" s="1461"/>
      <c r="D704" s="1459"/>
      <c r="E704" s="1459"/>
      <c r="F704" s="1459"/>
      <c r="G704" s="1459"/>
      <c r="H704" s="1459"/>
      <c r="I704" s="1459"/>
      <c r="J704" s="1459"/>
      <c r="K704" s="1459"/>
      <c r="L704" s="1459"/>
      <c r="N704" s="1399"/>
      <c r="P704" s="1399"/>
      <c r="Q704" s="1399"/>
      <c r="R704" s="1399"/>
      <c r="S704" s="1399"/>
      <c r="T704" s="1399"/>
      <c r="U704" s="1399"/>
      <c r="V704" s="1399"/>
      <c r="W704" s="1399"/>
    </row>
    <row r="705" spans="2:23" s="1280" customFormat="1" x14ac:dyDescent="0.6">
      <c r="B705" s="1461"/>
      <c r="D705" s="1459"/>
      <c r="E705" s="1459"/>
      <c r="F705" s="1459"/>
      <c r="G705" s="1459"/>
      <c r="H705" s="1459"/>
      <c r="I705" s="1459"/>
      <c r="J705" s="1459"/>
      <c r="K705" s="1459"/>
      <c r="L705" s="1459"/>
      <c r="N705" s="1399"/>
      <c r="P705" s="1399"/>
      <c r="Q705" s="1399"/>
      <c r="R705" s="1399"/>
      <c r="S705" s="1399"/>
      <c r="T705" s="1399"/>
      <c r="U705" s="1399"/>
      <c r="V705" s="1399"/>
      <c r="W705" s="1399"/>
    </row>
    <row r="706" spans="2:23" s="1280" customFormat="1" x14ac:dyDescent="0.6">
      <c r="B706" s="1461"/>
      <c r="D706" s="1459"/>
      <c r="E706" s="1459"/>
      <c r="F706" s="1459"/>
      <c r="G706" s="1459"/>
      <c r="H706" s="1459"/>
      <c r="I706" s="1459"/>
      <c r="J706" s="1459"/>
      <c r="K706" s="1459"/>
      <c r="L706" s="1459"/>
      <c r="N706" s="1399"/>
      <c r="P706" s="1399"/>
      <c r="Q706" s="1399"/>
      <c r="R706" s="1399"/>
      <c r="S706" s="1399"/>
      <c r="T706" s="1399"/>
      <c r="U706" s="1399"/>
      <c r="V706" s="1399"/>
      <c r="W706" s="1399"/>
    </row>
    <row r="707" spans="2:23" s="1280" customFormat="1" x14ac:dyDescent="0.6">
      <c r="B707" s="1461"/>
      <c r="D707" s="1459"/>
      <c r="E707" s="1459"/>
      <c r="F707" s="1459"/>
      <c r="G707" s="1459"/>
      <c r="H707" s="1459"/>
      <c r="I707" s="1459"/>
      <c r="J707" s="1459"/>
      <c r="K707" s="1459"/>
      <c r="L707" s="1459"/>
      <c r="N707" s="1399"/>
      <c r="P707" s="1399"/>
      <c r="Q707" s="1399"/>
      <c r="R707" s="1399"/>
      <c r="S707" s="1399"/>
      <c r="T707" s="1399"/>
      <c r="U707" s="1399"/>
      <c r="V707" s="1399"/>
      <c r="W707" s="1399"/>
    </row>
    <row r="708" spans="2:23" s="1280" customFormat="1" x14ac:dyDescent="0.6">
      <c r="B708" s="1461"/>
      <c r="D708" s="1459"/>
      <c r="E708" s="1459"/>
      <c r="F708" s="1459"/>
      <c r="G708" s="1459"/>
      <c r="H708" s="1459"/>
      <c r="I708" s="1459"/>
      <c r="J708" s="1459"/>
      <c r="K708" s="1459"/>
      <c r="L708" s="1459"/>
      <c r="N708" s="1399"/>
      <c r="P708" s="1399"/>
      <c r="Q708" s="1399"/>
      <c r="R708" s="1399"/>
      <c r="S708" s="1399"/>
      <c r="T708" s="1399"/>
      <c r="U708" s="1399"/>
      <c r="V708" s="1399"/>
      <c r="W708" s="1399"/>
    </row>
  </sheetData>
  <protectedRanges>
    <protectedRange password="CC6F" sqref="B8:B9 B12:B14" name="ช่วง1_5_1_5_1_1_1"/>
    <protectedRange password="CC6F" sqref="B11" name="ช่วง1_5_1_5_1_1_4"/>
    <protectedRange password="CC6F" sqref="B10" name="ช่วง1_5_1_5_1_1_5"/>
  </protectedRanges>
  <mergeCells count="18">
    <mergeCell ref="X6:X7"/>
    <mergeCell ref="A15:C15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D9DB5-9A75-4C3E-8EC0-06A47C51D223}">
  <sheetPr>
    <pageSetUpPr fitToPage="1"/>
  </sheetPr>
  <dimension ref="A1:AE718"/>
  <sheetViews>
    <sheetView view="pageBreakPreview" topLeftCell="A4" zoomScaleNormal="110" zoomScaleSheetLayoutView="100" workbookViewId="0">
      <selection activeCell="A17" sqref="A17"/>
    </sheetView>
  </sheetViews>
  <sheetFormatPr defaultColWidth="9" defaultRowHeight="21" x14ac:dyDescent="0.6"/>
  <cols>
    <col min="1" max="1" width="4.69921875" style="1397" customWidth="1"/>
    <col min="2" max="2" width="21.8984375" style="1892" customWidth="1"/>
    <col min="3" max="3" width="4.5" style="1854" bestFit="1" customWidth="1"/>
    <col min="4" max="4" width="11.09765625" style="1288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16" width="11.09765625" style="1288" hidden="1" customWidth="1"/>
    <col min="17" max="17" width="11.09765625" style="1288" customWidth="1"/>
    <col min="18" max="18" width="11.09765625" style="1288" hidden="1" customWidth="1"/>
    <col min="19" max="19" width="11.09765625" style="1288" customWidth="1"/>
    <col min="20" max="20" width="11.09765625" style="1288" hidden="1" customWidth="1"/>
    <col min="21" max="21" width="11.09765625" style="1288" customWidth="1"/>
    <col min="22" max="22" width="11.09765625" style="1288" hidden="1" customWidth="1"/>
    <col min="23" max="23" width="11.09765625" style="1288" customWidth="1"/>
    <col min="24" max="25" width="11.09765625" style="1290" customWidth="1"/>
    <col min="26" max="26" width="11.09765625" style="1894" customWidth="1"/>
    <col min="27" max="27" width="11.09765625" style="1854" customWidth="1"/>
    <col min="28" max="28" width="7.59765625" style="1854" hidden="1" customWidth="1"/>
    <col min="29" max="29" width="9" style="1854" customWidth="1"/>
    <col min="30" max="30" width="9" style="1854"/>
    <col min="31" max="31" width="32.3984375" style="1854" customWidth="1"/>
    <col min="32" max="32" width="9" style="1854" customWidth="1"/>
    <col min="33" max="16384" width="9" style="1854"/>
  </cols>
  <sheetData>
    <row r="1" spans="1:31" x14ac:dyDescent="0.6">
      <c r="A1" s="1852" t="s">
        <v>8909</v>
      </c>
      <c r="B1" s="1853"/>
      <c r="C1" s="1853"/>
      <c r="D1" s="1853"/>
      <c r="E1" s="1853"/>
      <c r="F1" s="1853"/>
      <c r="G1" s="1853"/>
      <c r="H1" s="1853"/>
      <c r="I1" s="1853"/>
      <c r="J1" s="1853"/>
      <c r="K1" s="1853"/>
      <c r="L1" s="1853"/>
      <c r="M1" s="1853"/>
      <c r="N1" s="1853"/>
      <c r="O1" s="1853"/>
      <c r="P1" s="1853"/>
      <c r="Q1" s="1853"/>
      <c r="R1" s="1853"/>
      <c r="S1" s="1853"/>
      <c r="T1" s="1853"/>
      <c r="U1" s="1853"/>
      <c r="V1" s="1853"/>
      <c r="W1" s="1853"/>
      <c r="X1" s="1853"/>
      <c r="Y1" s="1853"/>
      <c r="Z1" s="1853"/>
      <c r="AA1" s="1853"/>
    </row>
    <row r="2" spans="1:31" x14ac:dyDescent="0.6">
      <c r="A2" s="1853" t="s">
        <v>7775</v>
      </c>
      <c r="B2" s="1853"/>
      <c r="C2" s="1853"/>
      <c r="D2" s="1853"/>
      <c r="E2" s="1853"/>
      <c r="F2" s="1853"/>
      <c r="G2" s="1853"/>
      <c r="H2" s="1853"/>
      <c r="I2" s="1853"/>
      <c r="J2" s="1853"/>
      <c r="K2" s="1853"/>
      <c r="L2" s="1853"/>
      <c r="M2" s="1853"/>
      <c r="N2" s="1853"/>
      <c r="O2" s="1853"/>
      <c r="P2" s="1853"/>
      <c r="Q2" s="1853"/>
      <c r="R2" s="1853"/>
      <c r="S2" s="1853"/>
      <c r="T2" s="1853"/>
      <c r="U2" s="1853"/>
      <c r="V2" s="1853"/>
      <c r="W2" s="1853"/>
      <c r="X2" s="1853"/>
      <c r="Y2" s="1853"/>
      <c r="Z2" s="1853"/>
      <c r="AA2" s="1853"/>
    </row>
    <row r="3" spans="1:31" x14ac:dyDescent="0.6">
      <c r="A3" s="1855" t="s">
        <v>7733</v>
      </c>
      <c r="B3" s="1855"/>
      <c r="C3" s="1853"/>
      <c r="D3" s="1853"/>
      <c r="E3" s="1853"/>
      <c r="F3" s="1853"/>
      <c r="G3" s="1853"/>
      <c r="H3" s="1853"/>
      <c r="I3" s="1853"/>
      <c r="J3" s="1853"/>
      <c r="K3" s="1853"/>
      <c r="L3" s="1853"/>
      <c r="M3" s="1853"/>
      <c r="N3" s="1853"/>
      <c r="O3" s="1853"/>
      <c r="P3" s="1853"/>
      <c r="Q3" s="1853"/>
      <c r="R3" s="1853"/>
      <c r="S3" s="1853"/>
      <c r="T3" s="1853"/>
      <c r="U3" s="1853"/>
      <c r="V3" s="1853"/>
      <c r="W3" s="1853"/>
      <c r="X3" s="1853"/>
      <c r="Y3" s="1853"/>
      <c r="Z3" s="1853"/>
      <c r="AA3" s="1853"/>
    </row>
    <row r="4" spans="1:31" x14ac:dyDescent="0.6">
      <c r="A4" s="1572" t="s">
        <v>2185</v>
      </c>
      <c r="B4" s="1856" t="s">
        <v>8910</v>
      </c>
      <c r="C4" s="1857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858"/>
      <c r="AA4" s="1859" t="s">
        <v>7782</v>
      </c>
    </row>
    <row r="5" spans="1:31" x14ac:dyDescent="0.6">
      <c r="A5" s="1860"/>
      <c r="B5" s="1861"/>
      <c r="C5" s="1862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863" t="s">
        <v>7623</v>
      </c>
      <c r="AA5" s="1864"/>
    </row>
    <row r="6" spans="1:31" x14ac:dyDescent="0.6">
      <c r="A6" s="1860"/>
      <c r="B6" s="1861"/>
      <c r="C6" s="1862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863" t="s">
        <v>7631</v>
      </c>
      <c r="AA6" s="1864"/>
    </row>
    <row r="7" spans="1:31" x14ac:dyDescent="0.6">
      <c r="A7" s="1574"/>
      <c r="B7" s="1865"/>
      <c r="C7" s="1866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867"/>
      <c r="AA7" s="1868"/>
    </row>
    <row r="8" spans="1:31" s="1877" customFormat="1" ht="39" customHeight="1" x14ac:dyDescent="0.6">
      <c r="A8" s="1869">
        <v>1</v>
      </c>
      <c r="B8" s="1870" t="s">
        <v>8911</v>
      </c>
      <c r="C8" s="1871" t="s">
        <v>7895</v>
      </c>
      <c r="D8" s="1872">
        <v>0</v>
      </c>
      <c r="E8" s="1873">
        <v>0</v>
      </c>
      <c r="F8" s="1343">
        <v>0</v>
      </c>
      <c r="G8" s="1873">
        <v>1900</v>
      </c>
      <c r="H8" s="1343">
        <v>30</v>
      </c>
      <c r="I8" s="1874">
        <f t="shared" ref="I8:I24" si="0">H8*N8</f>
        <v>5100</v>
      </c>
      <c r="J8" s="1480">
        <v>30</v>
      </c>
      <c r="K8" s="1651">
        <v>0</v>
      </c>
      <c r="L8" s="1344">
        <f>K8*N8</f>
        <v>0</v>
      </c>
      <c r="M8" s="1204">
        <f>J8-K8</f>
        <v>30</v>
      </c>
      <c r="N8" s="1875">
        <v>170</v>
      </c>
      <c r="O8" s="1346">
        <f>M8*N8</f>
        <v>5100</v>
      </c>
      <c r="P8" s="1482">
        <v>0</v>
      </c>
      <c r="Q8" s="1482">
        <f>P8*N8</f>
        <v>0</v>
      </c>
      <c r="R8" s="1482">
        <v>0</v>
      </c>
      <c r="S8" s="1483">
        <f>R8*N8</f>
        <v>0</v>
      </c>
      <c r="T8" s="1482">
        <v>30</v>
      </c>
      <c r="U8" s="1483">
        <f>T8*N8</f>
        <v>5100</v>
      </c>
      <c r="V8" s="1482">
        <v>0</v>
      </c>
      <c r="W8" s="1483">
        <f>V8*N8</f>
        <v>0</v>
      </c>
      <c r="X8" s="1345">
        <f>P8+R8+T8+V8</f>
        <v>30</v>
      </c>
      <c r="Y8" s="1345">
        <f>X8*N8</f>
        <v>5100</v>
      </c>
      <c r="Z8" s="1871" t="s">
        <v>7799</v>
      </c>
      <c r="AA8" s="1876"/>
      <c r="AB8" s="1854"/>
      <c r="AC8" s="1877" t="str">
        <f t="shared" ref="AC8:AC25" si="1">IF(O8=Y8,"ok")</f>
        <v>ok</v>
      </c>
      <c r="AD8" s="1854"/>
      <c r="AE8" s="1854"/>
    </row>
    <row r="9" spans="1:31" s="1881" customFormat="1" ht="20.25" customHeight="1" x14ac:dyDescent="0.6">
      <c r="A9" s="1878">
        <v>2</v>
      </c>
      <c r="B9" s="1879" t="s">
        <v>8912</v>
      </c>
      <c r="C9" s="1880" t="s">
        <v>7895</v>
      </c>
      <c r="D9" s="1872">
        <v>0</v>
      </c>
      <c r="E9" s="1873">
        <v>0</v>
      </c>
      <c r="F9" s="1343">
        <v>0</v>
      </c>
      <c r="G9" s="1873">
        <v>3000</v>
      </c>
      <c r="H9" s="1345">
        <v>40</v>
      </c>
      <c r="I9" s="1874">
        <f t="shared" si="0"/>
        <v>4400</v>
      </c>
      <c r="J9" s="1652">
        <v>40</v>
      </c>
      <c r="K9" s="1651">
        <v>0</v>
      </c>
      <c r="L9" s="1344">
        <f t="shared" ref="L9:L23" si="2">K9*N9</f>
        <v>0</v>
      </c>
      <c r="M9" s="1204">
        <f t="shared" ref="M9:M23" si="3">J9-K9</f>
        <v>40</v>
      </c>
      <c r="N9" s="1205">
        <v>110</v>
      </c>
      <c r="O9" s="1346">
        <f t="shared" ref="O9:O14" si="4">M9*N9</f>
        <v>4400</v>
      </c>
      <c r="P9" s="1482">
        <v>0</v>
      </c>
      <c r="Q9" s="1482">
        <f t="shared" ref="Q9:Q14" si="5">P9*N9</f>
        <v>0</v>
      </c>
      <c r="R9" s="1482">
        <v>0</v>
      </c>
      <c r="S9" s="1483">
        <f t="shared" ref="S9:S14" si="6">R9*N9</f>
        <v>0</v>
      </c>
      <c r="T9" s="1345">
        <v>40</v>
      </c>
      <c r="U9" s="1483">
        <f t="shared" ref="U9:U14" si="7">T9*N9</f>
        <v>4400</v>
      </c>
      <c r="V9" s="1482">
        <v>0</v>
      </c>
      <c r="W9" s="1483">
        <f t="shared" ref="W9:W14" si="8">V9*N9</f>
        <v>0</v>
      </c>
      <c r="X9" s="1345">
        <f t="shared" ref="X9:X23" si="9">P9+R9+T9+V9</f>
        <v>40</v>
      </c>
      <c r="Y9" s="1345">
        <f t="shared" ref="Y9:Y23" si="10">X9*N9</f>
        <v>4400</v>
      </c>
      <c r="Z9" s="1871" t="s">
        <v>7799</v>
      </c>
      <c r="AA9" s="1876"/>
      <c r="AB9" s="1854"/>
      <c r="AC9" s="1877" t="str">
        <f t="shared" si="1"/>
        <v>ok</v>
      </c>
      <c r="AD9" s="1854"/>
      <c r="AE9" s="1854"/>
    </row>
    <row r="10" spans="1:31" s="1881" customFormat="1" ht="20.25" customHeight="1" x14ac:dyDescent="0.6">
      <c r="A10" s="1869">
        <v>3</v>
      </c>
      <c r="B10" s="1882" t="s">
        <v>8913</v>
      </c>
      <c r="C10" s="1880" t="s">
        <v>7895</v>
      </c>
      <c r="D10" s="1872">
        <v>0</v>
      </c>
      <c r="E10" s="1873">
        <v>0</v>
      </c>
      <c r="F10" s="1343">
        <v>0</v>
      </c>
      <c r="G10" s="1873">
        <v>12000</v>
      </c>
      <c r="H10" s="1345">
        <v>70</v>
      </c>
      <c r="I10" s="1874">
        <f t="shared" si="0"/>
        <v>17500</v>
      </c>
      <c r="J10" s="1652">
        <v>30</v>
      </c>
      <c r="K10" s="1651">
        <v>0</v>
      </c>
      <c r="L10" s="1344">
        <f t="shared" si="2"/>
        <v>0</v>
      </c>
      <c r="M10" s="1204">
        <f t="shared" si="3"/>
        <v>30</v>
      </c>
      <c r="N10" s="1205">
        <v>250</v>
      </c>
      <c r="O10" s="1346">
        <f t="shared" si="4"/>
        <v>7500</v>
      </c>
      <c r="P10" s="1482">
        <v>0</v>
      </c>
      <c r="Q10" s="1482">
        <f t="shared" si="5"/>
        <v>0</v>
      </c>
      <c r="R10" s="1482">
        <v>0</v>
      </c>
      <c r="S10" s="1483">
        <f t="shared" si="6"/>
        <v>0</v>
      </c>
      <c r="T10" s="1344">
        <v>30</v>
      </c>
      <c r="U10" s="1483">
        <f t="shared" si="7"/>
        <v>7500</v>
      </c>
      <c r="V10" s="1482">
        <v>0</v>
      </c>
      <c r="W10" s="1483">
        <f t="shared" si="8"/>
        <v>0</v>
      </c>
      <c r="X10" s="1345">
        <f t="shared" si="9"/>
        <v>30</v>
      </c>
      <c r="Y10" s="1345">
        <f t="shared" si="10"/>
        <v>7500</v>
      </c>
      <c r="Z10" s="1871" t="s">
        <v>7799</v>
      </c>
      <c r="AA10" s="1876"/>
      <c r="AB10" s="1854"/>
      <c r="AC10" s="1877" t="str">
        <f t="shared" si="1"/>
        <v>ok</v>
      </c>
      <c r="AD10" s="1854"/>
      <c r="AE10" s="1854"/>
    </row>
    <row r="11" spans="1:31" s="1881" customFormat="1" ht="20.25" customHeight="1" x14ac:dyDescent="0.6">
      <c r="A11" s="1869">
        <v>4</v>
      </c>
      <c r="B11" s="1882" t="s">
        <v>8914</v>
      </c>
      <c r="C11" s="1880" t="s">
        <v>7895</v>
      </c>
      <c r="D11" s="1872">
        <v>0</v>
      </c>
      <c r="E11" s="1873">
        <v>0</v>
      </c>
      <c r="F11" s="1343">
        <v>0</v>
      </c>
      <c r="G11" s="1873">
        <v>12000</v>
      </c>
      <c r="H11" s="1345">
        <v>70</v>
      </c>
      <c r="I11" s="1874">
        <f t="shared" si="0"/>
        <v>17500</v>
      </c>
      <c r="J11" s="1652">
        <v>30</v>
      </c>
      <c r="K11" s="1651">
        <v>0</v>
      </c>
      <c r="L11" s="1344">
        <f t="shared" si="2"/>
        <v>0</v>
      </c>
      <c r="M11" s="1204">
        <f t="shared" si="3"/>
        <v>30</v>
      </c>
      <c r="N11" s="1205">
        <v>250</v>
      </c>
      <c r="O11" s="1346">
        <f t="shared" si="4"/>
        <v>7500</v>
      </c>
      <c r="P11" s="1482">
        <v>0</v>
      </c>
      <c r="Q11" s="1482">
        <f t="shared" si="5"/>
        <v>0</v>
      </c>
      <c r="R11" s="1482">
        <v>0</v>
      </c>
      <c r="S11" s="1483">
        <f t="shared" si="6"/>
        <v>0</v>
      </c>
      <c r="T11" s="1345">
        <v>30</v>
      </c>
      <c r="U11" s="1483">
        <f t="shared" si="7"/>
        <v>7500</v>
      </c>
      <c r="V11" s="1482">
        <v>0</v>
      </c>
      <c r="W11" s="1483">
        <f t="shared" si="8"/>
        <v>0</v>
      </c>
      <c r="X11" s="1345">
        <f t="shared" si="9"/>
        <v>30</v>
      </c>
      <c r="Y11" s="1345">
        <f t="shared" si="10"/>
        <v>7500</v>
      </c>
      <c r="Z11" s="1871" t="s">
        <v>7799</v>
      </c>
      <c r="AA11" s="1876"/>
      <c r="AB11" s="1854"/>
      <c r="AC11" s="1877" t="str">
        <f t="shared" si="1"/>
        <v>ok</v>
      </c>
      <c r="AD11" s="1854"/>
      <c r="AE11" s="1854"/>
    </row>
    <row r="12" spans="1:31" s="1881" customFormat="1" ht="20.25" customHeight="1" x14ac:dyDescent="0.6">
      <c r="A12" s="1878">
        <v>5</v>
      </c>
      <c r="B12" s="1882" t="s">
        <v>8915</v>
      </c>
      <c r="C12" s="1880" t="s">
        <v>7895</v>
      </c>
      <c r="D12" s="1872">
        <v>0</v>
      </c>
      <c r="E12" s="1873">
        <v>0</v>
      </c>
      <c r="F12" s="1343">
        <v>0</v>
      </c>
      <c r="G12" s="1873">
        <v>11500</v>
      </c>
      <c r="H12" s="1345">
        <v>80</v>
      </c>
      <c r="I12" s="1874">
        <f t="shared" si="0"/>
        <v>18400</v>
      </c>
      <c r="J12" s="1652">
        <v>60</v>
      </c>
      <c r="K12" s="1651">
        <v>0</v>
      </c>
      <c r="L12" s="1344">
        <f t="shared" si="2"/>
        <v>0</v>
      </c>
      <c r="M12" s="1204">
        <f t="shared" si="3"/>
        <v>60</v>
      </c>
      <c r="N12" s="1205">
        <v>230</v>
      </c>
      <c r="O12" s="1346">
        <f t="shared" si="4"/>
        <v>13800</v>
      </c>
      <c r="P12" s="1482">
        <v>0</v>
      </c>
      <c r="Q12" s="1482">
        <f t="shared" si="5"/>
        <v>0</v>
      </c>
      <c r="R12" s="1482">
        <v>0</v>
      </c>
      <c r="S12" s="1483">
        <f t="shared" si="6"/>
        <v>0</v>
      </c>
      <c r="T12" s="1345">
        <v>60</v>
      </c>
      <c r="U12" s="1483">
        <f t="shared" si="7"/>
        <v>13800</v>
      </c>
      <c r="V12" s="1482">
        <v>0</v>
      </c>
      <c r="W12" s="1483">
        <f t="shared" si="8"/>
        <v>0</v>
      </c>
      <c r="X12" s="1345">
        <f t="shared" si="9"/>
        <v>60</v>
      </c>
      <c r="Y12" s="1345">
        <f t="shared" si="10"/>
        <v>13800</v>
      </c>
      <c r="Z12" s="1871" t="s">
        <v>7799</v>
      </c>
      <c r="AA12" s="1876"/>
      <c r="AB12" s="1854"/>
      <c r="AC12" s="1877" t="str">
        <f t="shared" si="1"/>
        <v>ok</v>
      </c>
      <c r="AD12" s="1854"/>
      <c r="AE12" s="1854"/>
    </row>
    <row r="13" spans="1:31" s="1881" customFormat="1" ht="20.25" customHeight="1" x14ac:dyDescent="0.6">
      <c r="A13" s="1869">
        <v>6</v>
      </c>
      <c r="B13" s="1882" t="s">
        <v>8916</v>
      </c>
      <c r="C13" s="1880" t="s">
        <v>7895</v>
      </c>
      <c r="D13" s="1872">
        <v>0</v>
      </c>
      <c r="E13" s="1873">
        <v>0</v>
      </c>
      <c r="F13" s="1343">
        <v>0</v>
      </c>
      <c r="G13" s="1873">
        <v>11500</v>
      </c>
      <c r="H13" s="1345">
        <v>80</v>
      </c>
      <c r="I13" s="1874">
        <f t="shared" si="0"/>
        <v>18400</v>
      </c>
      <c r="J13" s="1652">
        <v>30</v>
      </c>
      <c r="K13" s="1651">
        <v>0</v>
      </c>
      <c r="L13" s="1344">
        <f t="shared" si="2"/>
        <v>0</v>
      </c>
      <c r="M13" s="1204">
        <f t="shared" si="3"/>
        <v>30</v>
      </c>
      <c r="N13" s="1205">
        <v>230</v>
      </c>
      <c r="O13" s="1346">
        <f t="shared" si="4"/>
        <v>6900</v>
      </c>
      <c r="P13" s="1482">
        <v>0</v>
      </c>
      <c r="Q13" s="1482">
        <f t="shared" si="5"/>
        <v>0</v>
      </c>
      <c r="R13" s="1482">
        <v>0</v>
      </c>
      <c r="S13" s="1483">
        <f t="shared" si="6"/>
        <v>0</v>
      </c>
      <c r="T13" s="1345">
        <v>30</v>
      </c>
      <c r="U13" s="1483">
        <f t="shared" si="7"/>
        <v>6900</v>
      </c>
      <c r="V13" s="1482">
        <v>0</v>
      </c>
      <c r="W13" s="1483">
        <f t="shared" si="8"/>
        <v>0</v>
      </c>
      <c r="X13" s="1345">
        <f t="shared" si="9"/>
        <v>30</v>
      </c>
      <c r="Y13" s="1345">
        <f t="shared" si="10"/>
        <v>6900</v>
      </c>
      <c r="Z13" s="1871" t="s">
        <v>7799</v>
      </c>
      <c r="AA13" s="1876"/>
      <c r="AB13" s="1854"/>
      <c r="AC13" s="1877" t="str">
        <f t="shared" si="1"/>
        <v>ok</v>
      </c>
      <c r="AD13" s="1854"/>
      <c r="AE13" s="1854"/>
    </row>
    <row r="14" spans="1:31" s="1881" customFormat="1" ht="20.25" customHeight="1" x14ac:dyDescent="0.6">
      <c r="A14" s="1869">
        <v>7</v>
      </c>
      <c r="B14" s="1879" t="s">
        <v>8917</v>
      </c>
      <c r="C14" s="1880" t="s">
        <v>7895</v>
      </c>
      <c r="D14" s="1872">
        <v>0</v>
      </c>
      <c r="E14" s="1873">
        <v>0</v>
      </c>
      <c r="F14" s="1343">
        <v>0</v>
      </c>
      <c r="G14" s="1873">
        <v>3600</v>
      </c>
      <c r="H14" s="1345">
        <v>30</v>
      </c>
      <c r="I14" s="1874">
        <f t="shared" si="0"/>
        <v>3300</v>
      </c>
      <c r="J14" s="1652">
        <v>30</v>
      </c>
      <c r="K14" s="1651">
        <v>0</v>
      </c>
      <c r="L14" s="1344">
        <f t="shared" si="2"/>
        <v>0</v>
      </c>
      <c r="M14" s="1204">
        <f t="shared" si="3"/>
        <v>30</v>
      </c>
      <c r="N14" s="1205">
        <v>110</v>
      </c>
      <c r="O14" s="1346">
        <f t="shared" si="4"/>
        <v>3300</v>
      </c>
      <c r="P14" s="1482">
        <v>0</v>
      </c>
      <c r="Q14" s="1482">
        <f t="shared" si="5"/>
        <v>0</v>
      </c>
      <c r="R14" s="1482">
        <v>0</v>
      </c>
      <c r="S14" s="1483">
        <f t="shared" si="6"/>
        <v>0</v>
      </c>
      <c r="T14" s="1345">
        <v>30</v>
      </c>
      <c r="U14" s="1483">
        <f t="shared" si="7"/>
        <v>3300</v>
      </c>
      <c r="V14" s="1482">
        <v>0</v>
      </c>
      <c r="W14" s="1483">
        <f t="shared" si="8"/>
        <v>0</v>
      </c>
      <c r="X14" s="1345">
        <f t="shared" si="9"/>
        <v>30</v>
      </c>
      <c r="Y14" s="1345">
        <f t="shared" si="10"/>
        <v>3300</v>
      </c>
      <c r="Z14" s="1871" t="s">
        <v>7799</v>
      </c>
      <c r="AA14" s="1876"/>
      <c r="AB14" s="1854"/>
      <c r="AC14" s="1877" t="str">
        <f t="shared" si="1"/>
        <v>ok</v>
      </c>
      <c r="AD14" s="1854"/>
      <c r="AE14" s="1854"/>
    </row>
    <row r="15" spans="1:31" s="1881" customFormat="1" ht="20.25" customHeight="1" x14ac:dyDescent="0.6">
      <c r="A15" s="1878">
        <v>8</v>
      </c>
      <c r="B15" s="1879" t="s">
        <v>8918</v>
      </c>
      <c r="C15" s="1880" t="s">
        <v>7895</v>
      </c>
      <c r="D15" s="1872">
        <v>0</v>
      </c>
      <c r="E15" s="1873">
        <v>0</v>
      </c>
      <c r="F15" s="1343">
        <v>0</v>
      </c>
      <c r="G15" s="1873">
        <v>3600</v>
      </c>
      <c r="H15" s="1343">
        <v>30</v>
      </c>
      <c r="I15" s="1874">
        <f t="shared" si="0"/>
        <v>5700</v>
      </c>
      <c r="J15" s="1480">
        <v>30</v>
      </c>
      <c r="K15" s="1651">
        <v>0</v>
      </c>
      <c r="L15" s="1344">
        <f t="shared" si="2"/>
        <v>0</v>
      </c>
      <c r="M15" s="1204">
        <f t="shared" si="3"/>
        <v>30</v>
      </c>
      <c r="N15" s="1875">
        <v>190</v>
      </c>
      <c r="O15" s="1346">
        <f>M15*N15</f>
        <v>5700</v>
      </c>
      <c r="P15" s="1482">
        <v>0</v>
      </c>
      <c r="Q15" s="1482">
        <f>P15*N15</f>
        <v>0</v>
      </c>
      <c r="R15" s="1482">
        <v>0</v>
      </c>
      <c r="S15" s="1483">
        <f>R15*N15</f>
        <v>0</v>
      </c>
      <c r="T15" s="1482">
        <v>30</v>
      </c>
      <c r="U15" s="1483">
        <f>T15*N15</f>
        <v>5700</v>
      </c>
      <c r="V15" s="1482">
        <v>0</v>
      </c>
      <c r="W15" s="1483">
        <f>V15*N15</f>
        <v>0</v>
      </c>
      <c r="X15" s="1345">
        <f t="shared" si="9"/>
        <v>30</v>
      </c>
      <c r="Y15" s="1345">
        <f t="shared" si="10"/>
        <v>5700</v>
      </c>
      <c r="Z15" s="1871" t="s">
        <v>7799</v>
      </c>
      <c r="AA15" s="1876"/>
      <c r="AB15" s="1854"/>
      <c r="AC15" s="1877" t="str">
        <f t="shared" si="1"/>
        <v>ok</v>
      </c>
      <c r="AD15" s="1854"/>
      <c r="AE15" s="1854"/>
    </row>
    <row r="16" spans="1:31" s="1881" customFormat="1" ht="20.25" customHeight="1" x14ac:dyDescent="0.6">
      <c r="A16" s="1869">
        <v>9</v>
      </c>
      <c r="B16" s="1882" t="s">
        <v>8919</v>
      </c>
      <c r="C16" s="1880" t="s">
        <v>7895</v>
      </c>
      <c r="D16" s="1872">
        <v>0</v>
      </c>
      <c r="E16" s="1873">
        <v>0</v>
      </c>
      <c r="F16" s="1343">
        <v>0</v>
      </c>
      <c r="G16" s="1873">
        <v>12000</v>
      </c>
      <c r="H16" s="1345">
        <v>100</v>
      </c>
      <c r="I16" s="1874">
        <f t="shared" si="0"/>
        <v>25000</v>
      </c>
      <c r="J16" s="1652">
        <v>70</v>
      </c>
      <c r="K16" s="1651">
        <v>0</v>
      </c>
      <c r="L16" s="1344">
        <f t="shared" si="2"/>
        <v>0</v>
      </c>
      <c r="M16" s="1204">
        <f t="shared" si="3"/>
        <v>70</v>
      </c>
      <c r="N16" s="1205">
        <v>250</v>
      </c>
      <c r="O16" s="1346">
        <f t="shared" ref="O16:O20" si="11">M16*N16</f>
        <v>17500</v>
      </c>
      <c r="P16" s="1482">
        <v>0</v>
      </c>
      <c r="Q16" s="1482">
        <f t="shared" ref="Q16:Q20" si="12">P16*N16</f>
        <v>0</v>
      </c>
      <c r="R16" s="1482">
        <v>0</v>
      </c>
      <c r="S16" s="1483">
        <f t="shared" ref="S16:S20" si="13">R16*N16</f>
        <v>0</v>
      </c>
      <c r="T16" s="1345">
        <v>70</v>
      </c>
      <c r="U16" s="1483">
        <f t="shared" ref="U16:U20" si="14">T16*N16</f>
        <v>17500</v>
      </c>
      <c r="V16" s="1482">
        <v>0</v>
      </c>
      <c r="W16" s="1483">
        <f t="shared" ref="W16:W20" si="15">V16*N16</f>
        <v>0</v>
      </c>
      <c r="X16" s="1345">
        <f t="shared" si="9"/>
        <v>70</v>
      </c>
      <c r="Y16" s="1345">
        <f t="shared" si="10"/>
        <v>17500</v>
      </c>
      <c r="Z16" s="1871" t="s">
        <v>7799</v>
      </c>
      <c r="AA16" s="1876"/>
      <c r="AB16" s="1854"/>
      <c r="AC16" s="1877" t="str">
        <f t="shared" si="1"/>
        <v>ok</v>
      </c>
      <c r="AD16" s="1854"/>
      <c r="AE16" s="1854"/>
    </row>
    <row r="17" spans="1:31" s="1881" customFormat="1" ht="20.25" customHeight="1" x14ac:dyDescent="0.6">
      <c r="A17" s="1869">
        <v>10</v>
      </c>
      <c r="B17" s="1882" t="s">
        <v>8920</v>
      </c>
      <c r="C17" s="1880" t="s">
        <v>7895</v>
      </c>
      <c r="D17" s="1872">
        <v>0</v>
      </c>
      <c r="E17" s="1873">
        <v>0</v>
      </c>
      <c r="F17" s="1343">
        <v>0</v>
      </c>
      <c r="G17" s="1873">
        <v>12000</v>
      </c>
      <c r="H17" s="1345">
        <v>100</v>
      </c>
      <c r="I17" s="1874">
        <f t="shared" si="0"/>
        <v>25000</v>
      </c>
      <c r="J17" s="1652">
        <v>30</v>
      </c>
      <c r="K17" s="1651">
        <v>0</v>
      </c>
      <c r="L17" s="1344">
        <f t="shared" si="2"/>
        <v>0</v>
      </c>
      <c r="M17" s="1204">
        <f t="shared" si="3"/>
        <v>30</v>
      </c>
      <c r="N17" s="1205">
        <v>250</v>
      </c>
      <c r="O17" s="1346">
        <f t="shared" si="11"/>
        <v>7500</v>
      </c>
      <c r="P17" s="1482">
        <v>0</v>
      </c>
      <c r="Q17" s="1482">
        <f t="shared" si="12"/>
        <v>0</v>
      </c>
      <c r="R17" s="1482">
        <v>0</v>
      </c>
      <c r="S17" s="1483">
        <f t="shared" si="13"/>
        <v>0</v>
      </c>
      <c r="T17" s="1344">
        <v>30</v>
      </c>
      <c r="U17" s="1483">
        <f t="shared" si="14"/>
        <v>7500</v>
      </c>
      <c r="V17" s="1482">
        <v>0</v>
      </c>
      <c r="W17" s="1483">
        <f t="shared" si="15"/>
        <v>0</v>
      </c>
      <c r="X17" s="1345">
        <f t="shared" si="9"/>
        <v>30</v>
      </c>
      <c r="Y17" s="1345">
        <f t="shared" si="10"/>
        <v>7500</v>
      </c>
      <c r="Z17" s="1871" t="s">
        <v>7799</v>
      </c>
      <c r="AA17" s="1876"/>
      <c r="AB17" s="1854"/>
      <c r="AC17" s="1877" t="str">
        <f t="shared" si="1"/>
        <v>ok</v>
      </c>
      <c r="AD17" s="1854"/>
      <c r="AE17" s="1854"/>
    </row>
    <row r="18" spans="1:31" s="1884" customFormat="1" ht="20.25" customHeight="1" x14ac:dyDescent="0.6">
      <c r="A18" s="1878">
        <v>11</v>
      </c>
      <c r="B18" s="1882" t="s">
        <v>8921</v>
      </c>
      <c r="C18" s="1883" t="s">
        <v>7839</v>
      </c>
      <c r="D18" s="1872">
        <v>0</v>
      </c>
      <c r="E18" s="1873">
        <v>0</v>
      </c>
      <c r="F18" s="1343">
        <v>0</v>
      </c>
      <c r="G18" s="1873">
        <v>2000</v>
      </c>
      <c r="H18" s="1345">
        <v>20</v>
      </c>
      <c r="I18" s="1874">
        <f t="shared" si="0"/>
        <v>2000</v>
      </c>
      <c r="J18" s="1652">
        <v>50</v>
      </c>
      <c r="K18" s="1651">
        <v>0</v>
      </c>
      <c r="L18" s="1344">
        <f t="shared" si="2"/>
        <v>0</v>
      </c>
      <c r="M18" s="1204">
        <f t="shared" si="3"/>
        <v>50</v>
      </c>
      <c r="N18" s="1205">
        <v>100</v>
      </c>
      <c r="O18" s="1346">
        <f t="shared" si="11"/>
        <v>5000</v>
      </c>
      <c r="P18" s="1482">
        <v>0</v>
      </c>
      <c r="Q18" s="1482">
        <f t="shared" si="12"/>
        <v>0</v>
      </c>
      <c r="R18" s="1482">
        <v>0</v>
      </c>
      <c r="S18" s="1483">
        <f t="shared" si="13"/>
        <v>0</v>
      </c>
      <c r="T18" s="1345">
        <v>50</v>
      </c>
      <c r="U18" s="1483">
        <f t="shared" si="14"/>
        <v>5000</v>
      </c>
      <c r="V18" s="1482">
        <v>0</v>
      </c>
      <c r="W18" s="1483">
        <f t="shared" si="15"/>
        <v>0</v>
      </c>
      <c r="X18" s="1345">
        <f t="shared" si="9"/>
        <v>50</v>
      </c>
      <c r="Y18" s="1345">
        <f t="shared" si="10"/>
        <v>5000</v>
      </c>
      <c r="Z18" s="1871" t="s">
        <v>7799</v>
      </c>
      <c r="AA18" s="1876"/>
      <c r="AB18" s="1854"/>
      <c r="AC18" s="1877" t="str">
        <f t="shared" si="1"/>
        <v>ok</v>
      </c>
      <c r="AD18" s="1854"/>
      <c r="AE18" s="1854"/>
    </row>
    <row r="19" spans="1:31" ht="20.25" customHeight="1" x14ac:dyDescent="0.6">
      <c r="A19" s="1869">
        <v>12</v>
      </c>
      <c r="B19" s="1882" t="s">
        <v>8922</v>
      </c>
      <c r="C19" s="1883" t="s">
        <v>8140</v>
      </c>
      <c r="D19" s="1872">
        <v>0</v>
      </c>
      <c r="E19" s="1873">
        <v>0</v>
      </c>
      <c r="F19" s="1343">
        <v>0</v>
      </c>
      <c r="G19" s="1873">
        <v>0</v>
      </c>
      <c r="H19" s="1345">
        <v>50</v>
      </c>
      <c r="I19" s="1874">
        <f t="shared" si="0"/>
        <v>7500</v>
      </c>
      <c r="J19" s="1652">
        <v>300</v>
      </c>
      <c r="K19" s="1651">
        <v>0</v>
      </c>
      <c r="L19" s="1344">
        <f t="shared" si="2"/>
        <v>0</v>
      </c>
      <c r="M19" s="1204">
        <f t="shared" si="3"/>
        <v>300</v>
      </c>
      <c r="N19" s="1205">
        <v>150</v>
      </c>
      <c r="O19" s="1346">
        <f t="shared" si="11"/>
        <v>45000</v>
      </c>
      <c r="P19" s="1482">
        <v>0</v>
      </c>
      <c r="Q19" s="1482">
        <f t="shared" si="12"/>
        <v>0</v>
      </c>
      <c r="R19" s="1482">
        <v>0</v>
      </c>
      <c r="S19" s="1483">
        <f t="shared" si="13"/>
        <v>0</v>
      </c>
      <c r="T19" s="1345">
        <v>300</v>
      </c>
      <c r="U19" s="1483">
        <f t="shared" si="14"/>
        <v>45000</v>
      </c>
      <c r="V19" s="1482">
        <v>0</v>
      </c>
      <c r="W19" s="1483">
        <f t="shared" si="15"/>
        <v>0</v>
      </c>
      <c r="X19" s="1345">
        <f t="shared" si="9"/>
        <v>300</v>
      </c>
      <c r="Y19" s="1345">
        <f t="shared" si="10"/>
        <v>45000</v>
      </c>
      <c r="Z19" s="1871" t="s">
        <v>7799</v>
      </c>
      <c r="AA19" s="1876"/>
      <c r="AC19" s="1877" t="str">
        <f t="shared" si="1"/>
        <v>ok</v>
      </c>
    </row>
    <row r="20" spans="1:31" ht="20.25" customHeight="1" x14ac:dyDescent="0.6">
      <c r="A20" s="1869">
        <v>13</v>
      </c>
      <c r="B20" s="1882" t="s">
        <v>8923</v>
      </c>
      <c r="C20" s="1883" t="s">
        <v>8052</v>
      </c>
      <c r="D20" s="1872">
        <v>0</v>
      </c>
      <c r="E20" s="1873">
        <v>0</v>
      </c>
      <c r="F20" s="1343">
        <v>0</v>
      </c>
      <c r="G20" s="1873">
        <v>0</v>
      </c>
      <c r="H20" s="1345">
        <v>5</v>
      </c>
      <c r="I20" s="1874">
        <f t="shared" si="0"/>
        <v>3800</v>
      </c>
      <c r="J20" s="1652">
        <v>6</v>
      </c>
      <c r="K20" s="1651">
        <v>0</v>
      </c>
      <c r="L20" s="1344">
        <f t="shared" si="2"/>
        <v>0</v>
      </c>
      <c r="M20" s="1204">
        <f t="shared" si="3"/>
        <v>6</v>
      </c>
      <c r="N20" s="1205">
        <v>760</v>
      </c>
      <c r="O20" s="1346">
        <f t="shared" si="11"/>
        <v>4560</v>
      </c>
      <c r="P20" s="1482">
        <v>0</v>
      </c>
      <c r="Q20" s="1482">
        <f t="shared" si="12"/>
        <v>0</v>
      </c>
      <c r="R20" s="1482">
        <v>0</v>
      </c>
      <c r="S20" s="1483">
        <f t="shared" si="13"/>
        <v>0</v>
      </c>
      <c r="T20" s="1345">
        <v>6</v>
      </c>
      <c r="U20" s="1483">
        <f t="shared" si="14"/>
        <v>4560</v>
      </c>
      <c r="V20" s="1482">
        <v>0</v>
      </c>
      <c r="W20" s="1483">
        <f t="shared" si="15"/>
        <v>0</v>
      </c>
      <c r="X20" s="1345">
        <f t="shared" si="9"/>
        <v>6</v>
      </c>
      <c r="Y20" s="1345">
        <f t="shared" si="10"/>
        <v>4560</v>
      </c>
      <c r="Z20" s="1871" t="s">
        <v>7799</v>
      </c>
      <c r="AA20" s="1876"/>
      <c r="AC20" s="1877" t="str">
        <f t="shared" si="1"/>
        <v>ok</v>
      </c>
    </row>
    <row r="21" spans="1:31" ht="20.25" customHeight="1" x14ac:dyDescent="0.6">
      <c r="A21" s="1878">
        <v>14</v>
      </c>
      <c r="B21" s="1885" t="s">
        <v>8924</v>
      </c>
      <c r="C21" s="1883" t="s">
        <v>7895</v>
      </c>
      <c r="D21" s="1872">
        <v>0</v>
      </c>
      <c r="E21" s="1873">
        <v>0</v>
      </c>
      <c r="F21" s="1343">
        <v>0</v>
      </c>
      <c r="G21" s="1873">
        <v>5600</v>
      </c>
      <c r="H21" s="1343">
        <v>20</v>
      </c>
      <c r="I21" s="1874">
        <f t="shared" si="0"/>
        <v>3000</v>
      </c>
      <c r="J21" s="1480">
        <v>30</v>
      </c>
      <c r="K21" s="1651">
        <v>0</v>
      </c>
      <c r="L21" s="1344">
        <f t="shared" si="2"/>
        <v>0</v>
      </c>
      <c r="M21" s="1204">
        <f t="shared" si="3"/>
        <v>30</v>
      </c>
      <c r="N21" s="1875">
        <v>150</v>
      </c>
      <c r="O21" s="1346">
        <f>M21*N21</f>
        <v>4500</v>
      </c>
      <c r="P21" s="1482">
        <v>0</v>
      </c>
      <c r="Q21" s="1482">
        <f>P21*N21</f>
        <v>0</v>
      </c>
      <c r="R21" s="1482">
        <v>0</v>
      </c>
      <c r="S21" s="1483">
        <f>R21*N21</f>
        <v>0</v>
      </c>
      <c r="T21" s="1482">
        <v>30</v>
      </c>
      <c r="U21" s="1483">
        <f>T21*N21</f>
        <v>4500</v>
      </c>
      <c r="V21" s="1482">
        <v>0</v>
      </c>
      <c r="W21" s="1483">
        <f>V21*N21</f>
        <v>0</v>
      </c>
      <c r="X21" s="1345">
        <f t="shared" si="9"/>
        <v>30</v>
      </c>
      <c r="Y21" s="1345">
        <f t="shared" si="10"/>
        <v>4500</v>
      </c>
      <c r="Z21" s="1871" t="s">
        <v>7799</v>
      </c>
      <c r="AA21" s="1876"/>
      <c r="AC21" s="1877" t="str">
        <f t="shared" si="1"/>
        <v>ok</v>
      </c>
    </row>
    <row r="22" spans="1:31" ht="20.25" customHeight="1" x14ac:dyDescent="0.6">
      <c r="A22" s="1869">
        <v>15</v>
      </c>
      <c r="B22" s="1870" t="s">
        <v>8925</v>
      </c>
      <c r="C22" s="1886" t="s">
        <v>8052</v>
      </c>
      <c r="D22" s="1872">
        <v>0</v>
      </c>
      <c r="E22" s="1873">
        <v>0</v>
      </c>
      <c r="F22" s="1343">
        <v>0</v>
      </c>
      <c r="G22" s="1873">
        <v>2</v>
      </c>
      <c r="H22" s="1345">
        <v>30</v>
      </c>
      <c r="I22" s="1874">
        <f t="shared" si="0"/>
        <v>0</v>
      </c>
      <c r="J22" s="1652">
        <v>0</v>
      </c>
      <c r="K22" s="1651">
        <v>0</v>
      </c>
      <c r="L22" s="1344">
        <f t="shared" si="2"/>
        <v>0</v>
      </c>
      <c r="M22" s="1204">
        <f t="shared" si="3"/>
        <v>0</v>
      </c>
      <c r="N22" s="1205"/>
      <c r="O22" s="1346">
        <f t="shared" ref="O22:O23" si="16">M22*N22</f>
        <v>0</v>
      </c>
      <c r="P22" s="1482">
        <v>0</v>
      </c>
      <c r="Q22" s="1482">
        <f t="shared" ref="Q22:Q23" si="17">P22*N22</f>
        <v>0</v>
      </c>
      <c r="R22" s="1482">
        <v>0</v>
      </c>
      <c r="S22" s="1483">
        <f t="shared" ref="S22:S23" si="18">R22*N22</f>
        <v>0</v>
      </c>
      <c r="T22" s="1345">
        <v>0</v>
      </c>
      <c r="U22" s="1483">
        <f t="shared" ref="U22:U23" si="19">T22*N22</f>
        <v>0</v>
      </c>
      <c r="V22" s="1482">
        <v>0</v>
      </c>
      <c r="W22" s="1483">
        <f t="shared" ref="W22:W23" si="20">V22*N22</f>
        <v>0</v>
      </c>
      <c r="X22" s="1345">
        <f t="shared" si="9"/>
        <v>0</v>
      </c>
      <c r="Y22" s="1345">
        <f t="shared" si="10"/>
        <v>0</v>
      </c>
      <c r="Z22" s="1871" t="s">
        <v>7799</v>
      </c>
      <c r="AA22" s="1876"/>
      <c r="AC22" s="1877" t="str">
        <f t="shared" si="1"/>
        <v>ok</v>
      </c>
    </row>
    <row r="23" spans="1:31" ht="20.25" customHeight="1" x14ac:dyDescent="0.6">
      <c r="A23" s="1869">
        <v>16</v>
      </c>
      <c r="B23" s="1870" t="s">
        <v>8926</v>
      </c>
      <c r="C23" s="1886" t="s">
        <v>8052</v>
      </c>
      <c r="D23" s="1872">
        <v>0</v>
      </c>
      <c r="E23" s="1873">
        <v>0</v>
      </c>
      <c r="F23" s="1343">
        <v>0</v>
      </c>
      <c r="G23" s="1873">
        <f t="shared" ref="G23:G24" si="21">F23*N23</f>
        <v>0</v>
      </c>
      <c r="H23" s="1345">
        <v>10</v>
      </c>
      <c r="I23" s="1874">
        <f t="shared" si="0"/>
        <v>0</v>
      </c>
      <c r="J23" s="1652">
        <v>0</v>
      </c>
      <c r="K23" s="1651">
        <v>0</v>
      </c>
      <c r="L23" s="1344">
        <f t="shared" si="2"/>
        <v>0</v>
      </c>
      <c r="M23" s="1204">
        <f t="shared" si="3"/>
        <v>0</v>
      </c>
      <c r="N23" s="1205"/>
      <c r="O23" s="1346">
        <f t="shared" si="16"/>
        <v>0</v>
      </c>
      <c r="P23" s="1482">
        <v>0</v>
      </c>
      <c r="Q23" s="1482">
        <f t="shared" si="17"/>
        <v>0</v>
      </c>
      <c r="R23" s="1482">
        <v>0</v>
      </c>
      <c r="S23" s="1483">
        <f t="shared" si="18"/>
        <v>0</v>
      </c>
      <c r="T23" s="1344">
        <v>0</v>
      </c>
      <c r="U23" s="1483">
        <f t="shared" si="19"/>
        <v>0</v>
      </c>
      <c r="V23" s="1482">
        <v>0</v>
      </c>
      <c r="W23" s="1483">
        <f t="shared" si="20"/>
        <v>0</v>
      </c>
      <c r="X23" s="1345">
        <f t="shared" si="9"/>
        <v>0</v>
      </c>
      <c r="Y23" s="1345">
        <f t="shared" si="10"/>
        <v>0</v>
      </c>
      <c r="Z23" s="1871" t="s">
        <v>7799</v>
      </c>
      <c r="AA23" s="1876"/>
      <c r="AC23" s="1877" t="str">
        <f t="shared" si="1"/>
        <v>ok</v>
      </c>
    </row>
    <row r="24" spans="1:31" s="1388" customFormat="1" ht="23.25" customHeight="1" x14ac:dyDescent="0.25">
      <c r="A24" s="1279">
        <v>17</v>
      </c>
      <c r="B24" s="1211" t="s">
        <v>8927</v>
      </c>
      <c r="C24" s="1886" t="s">
        <v>8052</v>
      </c>
      <c r="D24" s="1887">
        <v>0</v>
      </c>
      <c r="E24" s="1378">
        <f t="shared" ref="E24" si="22">D24*N24</f>
        <v>0</v>
      </c>
      <c r="F24" s="1343">
        <v>0</v>
      </c>
      <c r="G24" s="1378">
        <f t="shared" si="21"/>
        <v>0</v>
      </c>
      <c r="H24" s="1343">
        <v>0</v>
      </c>
      <c r="I24" s="1345">
        <f t="shared" si="0"/>
        <v>0</v>
      </c>
      <c r="J24" s="1480">
        <v>20</v>
      </c>
      <c r="K24" s="1651">
        <v>0</v>
      </c>
      <c r="L24" s="1344">
        <v>0</v>
      </c>
      <c r="M24" s="1204">
        <f>J24-L24</f>
        <v>20</v>
      </c>
      <c r="N24" s="1875">
        <v>280</v>
      </c>
      <c r="O24" s="1346">
        <f>M24*N24</f>
        <v>5600</v>
      </c>
      <c r="P24" s="1482">
        <v>0</v>
      </c>
      <c r="Q24" s="1482">
        <f>P24*N24</f>
        <v>0</v>
      </c>
      <c r="R24" s="1482">
        <v>20</v>
      </c>
      <c r="S24" s="1483">
        <f>R24*N24</f>
        <v>5600</v>
      </c>
      <c r="T24" s="1482">
        <v>0</v>
      </c>
      <c r="U24" s="1483">
        <f>T24*N24</f>
        <v>0</v>
      </c>
      <c r="V24" s="1482">
        <v>0</v>
      </c>
      <c r="W24" s="1483">
        <f>V24*N24</f>
        <v>0</v>
      </c>
      <c r="X24" s="1345">
        <f>P24+R24+T24+V24</f>
        <v>20</v>
      </c>
      <c r="Y24" s="1345">
        <f>X24*N24</f>
        <v>5600</v>
      </c>
      <c r="Z24" s="1387" t="s">
        <v>7799</v>
      </c>
      <c r="AA24" s="1358" t="s">
        <v>8928</v>
      </c>
      <c r="AB24" s="1359" t="str">
        <f t="shared" ref="AB24:AB25" si="23">IF(O24=Y24,"yes")</f>
        <v>yes</v>
      </c>
      <c r="AC24" s="1877" t="str">
        <f t="shared" si="1"/>
        <v>ok</v>
      </c>
    </row>
    <row r="25" spans="1:31" s="1884" customFormat="1" ht="20.25" customHeight="1" x14ac:dyDescent="0.6">
      <c r="A25" s="1888" t="s">
        <v>7433</v>
      </c>
      <c r="B25" s="1888"/>
      <c r="C25" s="1888"/>
      <c r="D25" s="1889">
        <f>SUM(D8:D24)</f>
        <v>0</v>
      </c>
      <c r="E25" s="1390">
        <f t="shared" ref="E25:Y25" si="24">SUM(E8:E24)</f>
        <v>0</v>
      </c>
      <c r="F25" s="1390">
        <f t="shared" si="24"/>
        <v>0</v>
      </c>
      <c r="G25" s="1390">
        <f t="shared" si="24"/>
        <v>90702</v>
      </c>
      <c r="H25" s="1390">
        <f t="shared" si="24"/>
        <v>765</v>
      </c>
      <c r="I25" s="1390">
        <f t="shared" si="24"/>
        <v>156600</v>
      </c>
      <c r="J25" s="1390">
        <f t="shared" si="24"/>
        <v>786</v>
      </c>
      <c r="K25" s="1390">
        <f t="shared" si="24"/>
        <v>0</v>
      </c>
      <c r="L25" s="1390">
        <f t="shared" si="24"/>
        <v>0</v>
      </c>
      <c r="M25" s="1390">
        <f t="shared" si="24"/>
        <v>786</v>
      </c>
      <c r="N25" s="1390">
        <f t="shared" si="24"/>
        <v>3480</v>
      </c>
      <c r="O25" s="1390">
        <f t="shared" si="24"/>
        <v>143860</v>
      </c>
      <c r="P25" s="1390">
        <f t="shared" si="24"/>
        <v>0</v>
      </c>
      <c r="Q25" s="1390">
        <f t="shared" si="24"/>
        <v>0</v>
      </c>
      <c r="R25" s="1390">
        <f t="shared" si="24"/>
        <v>20</v>
      </c>
      <c r="S25" s="1390">
        <f t="shared" si="24"/>
        <v>5600</v>
      </c>
      <c r="T25" s="1390">
        <f t="shared" si="24"/>
        <v>766</v>
      </c>
      <c r="U25" s="1390">
        <f t="shared" si="24"/>
        <v>138260</v>
      </c>
      <c r="V25" s="1390">
        <f t="shared" si="24"/>
        <v>0</v>
      </c>
      <c r="W25" s="1390">
        <f t="shared" si="24"/>
        <v>0</v>
      </c>
      <c r="X25" s="1390">
        <f t="shared" si="24"/>
        <v>786</v>
      </c>
      <c r="Y25" s="1390">
        <f t="shared" si="24"/>
        <v>143860</v>
      </c>
      <c r="Z25" s="1890"/>
      <c r="AA25" s="1891"/>
      <c r="AB25" s="1884" t="str">
        <f t="shared" si="23"/>
        <v>yes</v>
      </c>
      <c r="AC25" s="1877" t="str">
        <f t="shared" si="1"/>
        <v>ok</v>
      </c>
    </row>
    <row r="26" spans="1:31" ht="20.25" customHeight="1" x14ac:dyDescent="0.6">
      <c r="C26" s="1893"/>
      <c r="E26" s="1288"/>
      <c r="F26" s="1288"/>
      <c r="G26" s="1288"/>
      <c r="H26" s="1288"/>
      <c r="I26" s="1288"/>
      <c r="J26" s="1288"/>
      <c r="K26" s="1288"/>
      <c r="L26" s="1288"/>
      <c r="M26" s="1288"/>
      <c r="N26" s="1400"/>
      <c r="O26" s="1400"/>
      <c r="P26" s="1400"/>
      <c r="Q26" s="1400"/>
      <c r="R26" s="1400"/>
      <c r="S26" s="1400"/>
      <c r="T26" s="1400"/>
      <c r="U26" s="1400"/>
      <c r="V26" s="1400"/>
      <c r="W26" s="1400"/>
      <c r="X26" s="1288"/>
      <c r="Y26" s="1288"/>
    </row>
    <row r="27" spans="1:31" ht="20.25" customHeight="1" x14ac:dyDescent="0.6">
      <c r="C27" s="1893"/>
    </row>
    <row r="28" spans="1:31" ht="20.25" customHeight="1" x14ac:dyDescent="0.6">
      <c r="B28" s="1854"/>
      <c r="G28" s="1288"/>
      <c r="N28" s="1290"/>
      <c r="O28" s="1290"/>
      <c r="P28" s="1290"/>
      <c r="Q28" s="1290"/>
      <c r="R28" s="1290"/>
      <c r="S28" s="1290"/>
      <c r="T28" s="1290"/>
      <c r="U28" s="1290"/>
      <c r="V28" s="1290"/>
      <c r="W28" s="1290"/>
      <c r="Z28" s="1854"/>
    </row>
    <row r="29" spans="1:31" ht="20.25" customHeight="1" x14ac:dyDescent="0.6">
      <c r="B29" s="1854"/>
      <c r="G29" s="1288"/>
      <c r="N29" s="1290"/>
      <c r="O29" s="1290"/>
      <c r="P29" s="1290"/>
      <c r="Q29" s="1290"/>
      <c r="R29" s="1290"/>
      <c r="S29" s="1290"/>
      <c r="T29" s="1290"/>
      <c r="U29" s="1290"/>
      <c r="V29" s="1290"/>
      <c r="W29" s="1290"/>
      <c r="Z29" s="1854"/>
    </row>
    <row r="30" spans="1:31" ht="20.25" customHeight="1" x14ac:dyDescent="0.6">
      <c r="B30" s="1854"/>
      <c r="G30" s="1288"/>
      <c r="N30" s="1290"/>
      <c r="O30" s="1290"/>
      <c r="P30" s="1290"/>
      <c r="Q30" s="1290"/>
      <c r="R30" s="1290"/>
      <c r="S30" s="1290"/>
      <c r="T30" s="1290"/>
      <c r="U30" s="1290"/>
      <c r="V30" s="1290"/>
      <c r="W30" s="1290"/>
      <c r="Z30" s="1854"/>
    </row>
    <row r="31" spans="1:31" ht="20.25" customHeight="1" x14ac:dyDescent="0.6">
      <c r="B31" s="1854"/>
      <c r="G31" s="1288"/>
      <c r="N31" s="1290"/>
      <c r="O31" s="1290"/>
      <c r="P31" s="1290"/>
      <c r="Q31" s="1290"/>
      <c r="R31" s="1290"/>
      <c r="S31" s="1290"/>
      <c r="Z31" s="1895"/>
    </row>
    <row r="32" spans="1:31" ht="20.25" customHeight="1" x14ac:dyDescent="0.6"/>
    <row r="33" spans="1:27" ht="20.25" customHeight="1" x14ac:dyDescent="0.6"/>
    <row r="34" spans="1:27" ht="20.25" customHeight="1" x14ac:dyDescent="0.6">
      <c r="AA34" s="1894"/>
    </row>
    <row r="40" spans="1:27" x14ac:dyDescent="0.6">
      <c r="A40" s="1459"/>
      <c r="N40" s="1288"/>
      <c r="O40" s="1290"/>
      <c r="Z40" s="1854"/>
    </row>
    <row r="41" spans="1:27" x14ac:dyDescent="0.6">
      <c r="A41" s="1459"/>
      <c r="N41" s="1288"/>
      <c r="O41" s="1290"/>
      <c r="Z41" s="1854"/>
    </row>
    <row r="42" spans="1:27" x14ac:dyDescent="0.6">
      <c r="A42" s="1459"/>
      <c r="N42" s="1288"/>
      <c r="O42" s="1290"/>
      <c r="Z42" s="1854"/>
    </row>
    <row r="43" spans="1:27" x14ac:dyDescent="0.6">
      <c r="A43" s="1459"/>
      <c r="N43" s="1288"/>
      <c r="O43" s="1290"/>
      <c r="Z43" s="1854"/>
    </row>
    <row r="44" spans="1:27" x14ac:dyDescent="0.6">
      <c r="A44" s="1459"/>
      <c r="N44" s="1288"/>
      <c r="O44" s="1290"/>
      <c r="Z44" s="1854"/>
    </row>
    <row r="45" spans="1:27" x14ac:dyDescent="0.6">
      <c r="A45" s="1459"/>
      <c r="N45" s="1288"/>
      <c r="O45" s="1290"/>
      <c r="Z45" s="1854"/>
    </row>
    <row r="46" spans="1:27" x14ac:dyDescent="0.6">
      <c r="A46" s="1459"/>
      <c r="N46" s="1288"/>
      <c r="O46" s="1290"/>
      <c r="Z46" s="1854"/>
    </row>
    <row r="47" spans="1:27" x14ac:dyDescent="0.6">
      <c r="A47" s="1459"/>
      <c r="N47" s="1288"/>
      <c r="O47" s="1290"/>
      <c r="Z47" s="1854"/>
    </row>
    <row r="48" spans="1:27" x14ac:dyDescent="0.6">
      <c r="A48" s="1459"/>
      <c r="N48" s="1288"/>
      <c r="O48" s="1290"/>
      <c r="Z48" s="1854"/>
    </row>
    <row r="49" spans="1:26" x14ac:dyDescent="0.6">
      <c r="A49" s="1459"/>
      <c r="N49" s="1288"/>
      <c r="O49" s="1290"/>
      <c r="Z49" s="1854"/>
    </row>
    <row r="50" spans="1:26" x14ac:dyDescent="0.6">
      <c r="A50" s="1459"/>
      <c r="N50" s="1288"/>
      <c r="O50" s="1290"/>
      <c r="Z50" s="1854"/>
    </row>
    <row r="51" spans="1:26" x14ac:dyDescent="0.6">
      <c r="A51" s="1459"/>
      <c r="N51" s="1288"/>
      <c r="O51" s="1290"/>
      <c r="Z51" s="1854"/>
    </row>
    <row r="52" spans="1:26" x14ac:dyDescent="0.6">
      <c r="A52" s="1459"/>
      <c r="N52" s="1288"/>
      <c r="O52" s="1290"/>
      <c r="Z52" s="1854"/>
    </row>
    <row r="53" spans="1:26" x14ac:dyDescent="0.6">
      <c r="A53" s="1459"/>
      <c r="N53" s="1288"/>
      <c r="O53" s="1290"/>
      <c r="Z53" s="1854"/>
    </row>
    <row r="54" spans="1:26" x14ac:dyDescent="0.6">
      <c r="A54" s="1459"/>
      <c r="N54" s="1288"/>
      <c r="O54" s="1290"/>
      <c r="Z54" s="1854"/>
    </row>
    <row r="55" spans="1:26" x14ac:dyDescent="0.6">
      <c r="A55" s="1459"/>
      <c r="N55" s="1288"/>
      <c r="O55" s="1290"/>
      <c r="Z55" s="1854"/>
    </row>
    <row r="56" spans="1:26" x14ac:dyDescent="0.6">
      <c r="A56" s="1459"/>
      <c r="N56" s="1288"/>
      <c r="O56" s="1290"/>
      <c r="Z56" s="1854"/>
    </row>
    <row r="57" spans="1:26" x14ac:dyDescent="0.6">
      <c r="A57" s="1459"/>
      <c r="N57" s="1288"/>
      <c r="O57" s="1290"/>
      <c r="Z57" s="1854"/>
    </row>
    <row r="58" spans="1:26" x14ac:dyDescent="0.6">
      <c r="A58" s="1459"/>
      <c r="N58" s="1288"/>
      <c r="O58" s="1290"/>
      <c r="Z58" s="1854"/>
    </row>
    <row r="59" spans="1:26" x14ac:dyDescent="0.6">
      <c r="A59" s="1459"/>
      <c r="N59" s="1288"/>
      <c r="O59" s="1290"/>
      <c r="Z59" s="1854"/>
    </row>
    <row r="60" spans="1:26" x14ac:dyDescent="0.6">
      <c r="A60" s="1459"/>
      <c r="N60" s="1288"/>
      <c r="O60" s="1290"/>
      <c r="Z60" s="1854"/>
    </row>
    <row r="61" spans="1:26" x14ac:dyDescent="0.6">
      <c r="A61" s="1459"/>
      <c r="N61" s="1288"/>
      <c r="O61" s="1290"/>
      <c r="Z61" s="1854"/>
    </row>
    <row r="62" spans="1:26" x14ac:dyDescent="0.6">
      <c r="A62" s="1459"/>
      <c r="N62" s="1288"/>
      <c r="O62" s="1290"/>
      <c r="Z62" s="1854"/>
    </row>
    <row r="63" spans="1:26" x14ac:dyDescent="0.6">
      <c r="A63" s="1459"/>
      <c r="N63" s="1288"/>
      <c r="O63" s="1290"/>
      <c r="Z63" s="1854"/>
    </row>
    <row r="64" spans="1:26" x14ac:dyDescent="0.6">
      <c r="A64" s="1459"/>
      <c r="N64" s="1288"/>
      <c r="O64" s="1290"/>
      <c r="Z64" s="1854"/>
    </row>
    <row r="65" spans="1:26" x14ac:dyDescent="0.6">
      <c r="A65" s="1459"/>
      <c r="N65" s="1288"/>
      <c r="O65" s="1290"/>
      <c r="Z65" s="1854"/>
    </row>
    <row r="66" spans="1:26" x14ac:dyDescent="0.6">
      <c r="A66" s="1459"/>
      <c r="N66" s="1288"/>
      <c r="O66" s="1290"/>
      <c r="Z66" s="1854"/>
    </row>
    <row r="67" spans="1:26" x14ac:dyDescent="0.6">
      <c r="A67" s="1459"/>
      <c r="N67" s="1288"/>
      <c r="O67" s="1290"/>
      <c r="Z67" s="1854"/>
    </row>
    <row r="68" spans="1:26" x14ac:dyDescent="0.6">
      <c r="A68" s="1459"/>
      <c r="N68" s="1288"/>
      <c r="O68" s="1290"/>
      <c r="Z68" s="1854"/>
    </row>
    <row r="69" spans="1:26" x14ac:dyDescent="0.6">
      <c r="A69" s="1459"/>
      <c r="N69" s="1288"/>
      <c r="O69" s="1290"/>
      <c r="Z69" s="1854"/>
    </row>
    <row r="70" spans="1:26" x14ac:dyDescent="0.6">
      <c r="A70" s="1459"/>
      <c r="N70" s="1288"/>
      <c r="O70" s="1290"/>
      <c r="Z70" s="1854"/>
    </row>
    <row r="71" spans="1:26" x14ac:dyDescent="0.6">
      <c r="A71" s="1459"/>
      <c r="N71" s="1288"/>
      <c r="O71" s="1290"/>
      <c r="Z71" s="1854"/>
    </row>
    <row r="72" spans="1:26" x14ac:dyDescent="0.6">
      <c r="A72" s="1459"/>
      <c r="N72" s="1288"/>
      <c r="O72" s="1290"/>
      <c r="Z72" s="1854"/>
    </row>
    <row r="73" spans="1:26" x14ac:dyDescent="0.6">
      <c r="A73" s="1459"/>
      <c r="N73" s="1288"/>
      <c r="O73" s="1290"/>
      <c r="Z73" s="1854"/>
    </row>
    <row r="74" spans="1:26" x14ac:dyDescent="0.6">
      <c r="A74" s="1459"/>
      <c r="N74" s="1288"/>
      <c r="O74" s="1290"/>
      <c r="Z74" s="1854"/>
    </row>
    <row r="75" spans="1:26" x14ac:dyDescent="0.6">
      <c r="A75" s="1459"/>
      <c r="N75" s="1288"/>
      <c r="O75" s="1290"/>
      <c r="Z75" s="1854"/>
    </row>
    <row r="76" spans="1:26" x14ac:dyDescent="0.6">
      <c r="A76" s="1459"/>
      <c r="N76" s="1288"/>
      <c r="O76" s="1290"/>
      <c r="Z76" s="1854"/>
    </row>
    <row r="77" spans="1:26" x14ac:dyDescent="0.6">
      <c r="A77" s="1459"/>
      <c r="N77" s="1288"/>
      <c r="O77" s="1290"/>
      <c r="Z77" s="1854"/>
    </row>
    <row r="78" spans="1:26" x14ac:dyDescent="0.6">
      <c r="A78" s="1459"/>
      <c r="N78" s="1288"/>
      <c r="O78" s="1290"/>
      <c r="Z78" s="1854"/>
    </row>
    <row r="79" spans="1:26" x14ac:dyDescent="0.6">
      <c r="A79" s="1459"/>
      <c r="N79" s="1288"/>
      <c r="O79" s="1290"/>
      <c r="Z79" s="1854"/>
    </row>
    <row r="80" spans="1:26" x14ac:dyDescent="0.6">
      <c r="A80" s="1459"/>
      <c r="N80" s="1288"/>
      <c r="O80" s="1290"/>
      <c r="Z80" s="1854"/>
    </row>
    <row r="81" spans="1:26" x14ac:dyDescent="0.6">
      <c r="A81" s="1459"/>
      <c r="N81" s="1288"/>
      <c r="O81" s="1290"/>
      <c r="Z81" s="1854"/>
    </row>
    <row r="82" spans="1:26" x14ac:dyDescent="0.6">
      <c r="A82" s="1459"/>
      <c r="N82" s="1288"/>
      <c r="O82" s="1290"/>
      <c r="Z82" s="1854"/>
    </row>
    <row r="83" spans="1:26" x14ac:dyDescent="0.6">
      <c r="A83" s="1459"/>
      <c r="N83" s="1288"/>
      <c r="O83" s="1290"/>
      <c r="Z83" s="1854"/>
    </row>
    <row r="84" spans="1:26" x14ac:dyDescent="0.6">
      <c r="A84" s="1459"/>
      <c r="N84" s="1288"/>
      <c r="O84" s="1290"/>
      <c r="Z84" s="1854"/>
    </row>
    <row r="85" spans="1:26" x14ac:dyDescent="0.6">
      <c r="A85" s="1459"/>
      <c r="N85" s="1288"/>
      <c r="O85" s="1290"/>
      <c r="Z85" s="1854"/>
    </row>
    <row r="86" spans="1:26" x14ac:dyDescent="0.6">
      <c r="A86" s="1459"/>
      <c r="N86" s="1288"/>
      <c r="O86" s="1290"/>
      <c r="Z86" s="1854"/>
    </row>
    <row r="87" spans="1:26" x14ac:dyDescent="0.6">
      <c r="A87" s="1459"/>
      <c r="N87" s="1288"/>
      <c r="O87" s="1290"/>
      <c r="Z87" s="1854"/>
    </row>
    <row r="88" spans="1:26" x14ac:dyDescent="0.6">
      <c r="A88" s="1459"/>
      <c r="N88" s="1288"/>
      <c r="O88" s="1290"/>
      <c r="Z88" s="1854"/>
    </row>
    <row r="89" spans="1:26" x14ac:dyDescent="0.6">
      <c r="A89" s="1459"/>
      <c r="N89" s="1288"/>
      <c r="O89" s="1290"/>
      <c r="Z89" s="1854"/>
    </row>
    <row r="90" spans="1:26" x14ac:dyDescent="0.6">
      <c r="A90" s="1459"/>
      <c r="N90" s="1288"/>
      <c r="O90" s="1290"/>
      <c r="Z90" s="1854"/>
    </row>
    <row r="91" spans="1:26" x14ac:dyDescent="0.6">
      <c r="A91" s="1459"/>
      <c r="N91" s="1288"/>
      <c r="O91" s="1290"/>
      <c r="Z91" s="1854"/>
    </row>
    <row r="92" spans="1:26" x14ac:dyDescent="0.6">
      <c r="A92" s="1459"/>
      <c r="N92" s="1288"/>
      <c r="O92" s="1290"/>
      <c r="Z92" s="1854"/>
    </row>
    <row r="93" spans="1:26" x14ac:dyDescent="0.6">
      <c r="A93" s="1459"/>
      <c r="N93" s="1288"/>
      <c r="O93" s="1290"/>
      <c r="Z93" s="1854"/>
    </row>
    <row r="94" spans="1:26" x14ac:dyDescent="0.6">
      <c r="A94" s="1459"/>
      <c r="N94" s="1288"/>
      <c r="O94" s="1290"/>
      <c r="Z94" s="1854"/>
    </row>
    <row r="95" spans="1:26" x14ac:dyDescent="0.6">
      <c r="A95" s="1459"/>
      <c r="N95" s="1288"/>
      <c r="O95" s="1290"/>
      <c r="Z95" s="1854"/>
    </row>
    <row r="96" spans="1:26" x14ac:dyDescent="0.6">
      <c r="A96" s="1459"/>
      <c r="N96" s="1288"/>
      <c r="O96" s="1290"/>
      <c r="Z96" s="1854"/>
    </row>
    <row r="97" spans="1:26" x14ac:dyDescent="0.6">
      <c r="A97" s="1459"/>
      <c r="N97" s="1288"/>
      <c r="O97" s="1290"/>
      <c r="Z97" s="1854"/>
    </row>
    <row r="98" spans="1:26" x14ac:dyDescent="0.6">
      <c r="A98" s="1459"/>
      <c r="N98" s="1288"/>
      <c r="O98" s="1290"/>
      <c r="Z98" s="1854"/>
    </row>
    <row r="99" spans="1:26" x14ac:dyDescent="0.6">
      <c r="A99" s="1459"/>
      <c r="N99" s="1288"/>
      <c r="O99" s="1290"/>
      <c r="Z99" s="1854"/>
    </row>
    <row r="100" spans="1:26" x14ac:dyDescent="0.6">
      <c r="A100" s="1459"/>
      <c r="N100" s="1288"/>
      <c r="O100" s="1290"/>
      <c r="Z100" s="1854"/>
    </row>
    <row r="101" spans="1:26" x14ac:dyDescent="0.6">
      <c r="A101" s="1459"/>
      <c r="N101" s="1288"/>
      <c r="O101" s="1290"/>
      <c r="Z101" s="1854"/>
    </row>
    <row r="102" spans="1:26" x14ac:dyDescent="0.6">
      <c r="A102" s="1459"/>
      <c r="N102" s="1288"/>
      <c r="O102" s="1290"/>
      <c r="Z102" s="1854"/>
    </row>
    <row r="103" spans="1:26" x14ac:dyDescent="0.6">
      <c r="A103" s="1459"/>
      <c r="N103" s="1288"/>
      <c r="O103" s="1290"/>
      <c r="Z103" s="1854"/>
    </row>
    <row r="104" spans="1:26" x14ac:dyDescent="0.6">
      <c r="A104" s="1459"/>
      <c r="N104" s="1288"/>
      <c r="O104" s="1290"/>
      <c r="Z104" s="1854"/>
    </row>
    <row r="105" spans="1:26" x14ac:dyDescent="0.6">
      <c r="A105" s="1459"/>
      <c r="N105" s="1288"/>
      <c r="O105" s="1290"/>
      <c r="Z105" s="1854"/>
    </row>
    <row r="106" spans="1:26" x14ac:dyDescent="0.6">
      <c r="A106" s="1459"/>
      <c r="N106" s="1288"/>
      <c r="O106" s="1290"/>
      <c r="Z106" s="1854"/>
    </row>
    <row r="107" spans="1:26" x14ac:dyDescent="0.6">
      <c r="A107" s="1459"/>
      <c r="N107" s="1288"/>
      <c r="O107" s="1290"/>
      <c r="Z107" s="1854"/>
    </row>
    <row r="108" spans="1:26" x14ac:dyDescent="0.6">
      <c r="A108" s="1459"/>
      <c r="N108" s="1288"/>
      <c r="O108" s="1290"/>
      <c r="Z108" s="1854"/>
    </row>
    <row r="109" spans="1:26" x14ac:dyDescent="0.6">
      <c r="A109" s="1459"/>
      <c r="N109" s="1288"/>
      <c r="O109" s="1290"/>
      <c r="Z109" s="1854"/>
    </row>
    <row r="110" spans="1:26" x14ac:dyDescent="0.6">
      <c r="A110" s="1459"/>
      <c r="N110" s="1288"/>
      <c r="O110" s="1290"/>
      <c r="Z110" s="1854"/>
    </row>
    <row r="111" spans="1:26" x14ac:dyDescent="0.6">
      <c r="A111" s="1459"/>
      <c r="N111" s="1288"/>
      <c r="O111" s="1290"/>
      <c r="Z111" s="1854"/>
    </row>
    <row r="112" spans="1:26" x14ac:dyDescent="0.6">
      <c r="A112" s="1459"/>
      <c r="N112" s="1288"/>
      <c r="O112" s="1290"/>
      <c r="Z112" s="1854"/>
    </row>
    <row r="113" spans="1:26" x14ac:dyDescent="0.6">
      <c r="A113" s="1459"/>
      <c r="N113" s="1288"/>
      <c r="O113" s="1290"/>
      <c r="Z113" s="1854"/>
    </row>
    <row r="114" spans="1:26" x14ac:dyDescent="0.6">
      <c r="A114" s="1459"/>
      <c r="N114" s="1288"/>
      <c r="O114" s="1290"/>
      <c r="Z114" s="1854"/>
    </row>
    <row r="115" spans="1:26" x14ac:dyDescent="0.6">
      <c r="A115" s="1459"/>
      <c r="N115" s="1288"/>
      <c r="O115" s="1290"/>
      <c r="Z115" s="1854"/>
    </row>
    <row r="116" spans="1:26" x14ac:dyDescent="0.6">
      <c r="A116" s="1459"/>
      <c r="N116" s="1288"/>
      <c r="O116" s="1290"/>
      <c r="Z116" s="1854"/>
    </row>
    <row r="117" spans="1:26" x14ac:dyDescent="0.6">
      <c r="A117" s="1459"/>
      <c r="N117" s="1288"/>
      <c r="O117" s="1290"/>
      <c r="Z117" s="1854"/>
    </row>
    <row r="118" spans="1:26" x14ac:dyDescent="0.6">
      <c r="A118" s="1459"/>
      <c r="N118" s="1288"/>
      <c r="O118" s="1290"/>
      <c r="Z118" s="1854"/>
    </row>
    <row r="119" spans="1:26" x14ac:dyDescent="0.6">
      <c r="A119" s="1459"/>
      <c r="N119" s="1288"/>
      <c r="O119" s="1290"/>
      <c r="Z119" s="1854"/>
    </row>
    <row r="120" spans="1:26" x14ac:dyDescent="0.6">
      <c r="A120" s="1459"/>
      <c r="N120" s="1288"/>
      <c r="O120" s="1290"/>
      <c r="Z120" s="1854"/>
    </row>
    <row r="121" spans="1:26" x14ac:dyDescent="0.6">
      <c r="A121" s="1459"/>
      <c r="N121" s="1288"/>
      <c r="O121" s="1290"/>
      <c r="Z121" s="1854"/>
    </row>
    <row r="122" spans="1:26" x14ac:dyDescent="0.6">
      <c r="A122" s="1459"/>
      <c r="N122" s="1288"/>
      <c r="O122" s="1290"/>
      <c r="Z122" s="1854"/>
    </row>
    <row r="123" spans="1:26" x14ac:dyDescent="0.6">
      <c r="A123" s="1459"/>
      <c r="N123" s="1288"/>
      <c r="O123" s="1290"/>
      <c r="Z123" s="1854"/>
    </row>
    <row r="124" spans="1:26" x14ac:dyDescent="0.6">
      <c r="A124" s="1459"/>
      <c r="N124" s="1288"/>
      <c r="O124" s="1290"/>
      <c r="Z124" s="1854"/>
    </row>
    <row r="125" spans="1:26" x14ac:dyDescent="0.6">
      <c r="A125" s="1459"/>
      <c r="N125" s="1288"/>
      <c r="O125" s="1290"/>
      <c r="Z125" s="1854"/>
    </row>
    <row r="126" spans="1:26" x14ac:dyDescent="0.6">
      <c r="A126" s="1459"/>
      <c r="N126" s="1288"/>
      <c r="O126" s="1290"/>
      <c r="Z126" s="1854"/>
    </row>
    <row r="127" spans="1:26" x14ac:dyDescent="0.6">
      <c r="A127" s="1459"/>
      <c r="N127" s="1288"/>
      <c r="O127" s="1290"/>
      <c r="Z127" s="1854"/>
    </row>
    <row r="128" spans="1:26" x14ac:dyDescent="0.6">
      <c r="A128" s="1459"/>
      <c r="N128" s="1288"/>
      <c r="O128" s="1290"/>
      <c r="Z128" s="1854"/>
    </row>
    <row r="129" spans="1:26" x14ac:dyDescent="0.6">
      <c r="A129" s="1459"/>
      <c r="N129" s="1288"/>
      <c r="O129" s="1290"/>
      <c r="Z129" s="1854"/>
    </row>
    <row r="130" spans="1:26" x14ac:dyDescent="0.6">
      <c r="A130" s="1459"/>
      <c r="N130" s="1288"/>
      <c r="O130" s="1290"/>
      <c r="Z130" s="1854"/>
    </row>
    <row r="131" spans="1:26" x14ac:dyDescent="0.6">
      <c r="A131" s="1459"/>
      <c r="N131" s="1288"/>
      <c r="O131" s="1290"/>
      <c r="Z131" s="1854"/>
    </row>
    <row r="132" spans="1:26" x14ac:dyDescent="0.6">
      <c r="A132" s="1459"/>
      <c r="N132" s="1288"/>
      <c r="O132" s="1290"/>
      <c r="Z132" s="1854"/>
    </row>
    <row r="133" spans="1:26" x14ac:dyDescent="0.6">
      <c r="A133" s="1459"/>
      <c r="N133" s="1288"/>
      <c r="O133" s="1290"/>
      <c r="Z133" s="1854"/>
    </row>
    <row r="134" spans="1:26" x14ac:dyDescent="0.6">
      <c r="A134" s="1459"/>
      <c r="N134" s="1288"/>
      <c r="O134" s="1290"/>
      <c r="Z134" s="1854"/>
    </row>
    <row r="135" spans="1:26" x14ac:dyDescent="0.6">
      <c r="A135" s="1459"/>
      <c r="N135" s="1288"/>
      <c r="O135" s="1290"/>
      <c r="Z135" s="1854"/>
    </row>
    <row r="136" spans="1:26" x14ac:dyDescent="0.6">
      <c r="A136" s="1459"/>
      <c r="N136" s="1288"/>
      <c r="O136" s="1290"/>
      <c r="Z136" s="1854"/>
    </row>
    <row r="137" spans="1:26" x14ac:dyDescent="0.6">
      <c r="A137" s="1459"/>
      <c r="N137" s="1288"/>
      <c r="O137" s="1290"/>
      <c r="Z137" s="1854"/>
    </row>
    <row r="138" spans="1:26" x14ac:dyDescent="0.6">
      <c r="A138" s="1459"/>
      <c r="N138" s="1288"/>
      <c r="O138" s="1290"/>
      <c r="Z138" s="1854"/>
    </row>
    <row r="139" spans="1:26" x14ac:dyDescent="0.6">
      <c r="A139" s="1459"/>
      <c r="N139" s="1288"/>
      <c r="O139" s="1290"/>
      <c r="Z139" s="1854"/>
    </row>
    <row r="140" spans="1:26" x14ac:dyDescent="0.6">
      <c r="A140" s="1459"/>
      <c r="N140" s="1288"/>
      <c r="O140" s="1290"/>
      <c r="Z140" s="1854"/>
    </row>
    <row r="141" spans="1:26" x14ac:dyDescent="0.6">
      <c r="A141" s="1459"/>
      <c r="N141" s="1288"/>
      <c r="O141" s="1290"/>
      <c r="Z141" s="1854"/>
    </row>
    <row r="142" spans="1:26" x14ac:dyDescent="0.6">
      <c r="A142" s="1459"/>
      <c r="N142" s="1288"/>
      <c r="O142" s="1290"/>
      <c r="Z142" s="1854"/>
    </row>
    <row r="143" spans="1:26" x14ac:dyDescent="0.6">
      <c r="A143" s="1459"/>
      <c r="N143" s="1288"/>
      <c r="O143" s="1290"/>
      <c r="Z143" s="1854"/>
    </row>
    <row r="144" spans="1:26" x14ac:dyDescent="0.6">
      <c r="A144" s="1459"/>
      <c r="N144" s="1288"/>
      <c r="O144" s="1290"/>
      <c r="Z144" s="1854"/>
    </row>
    <row r="145" spans="1:26" x14ac:dyDescent="0.6">
      <c r="A145" s="1459"/>
      <c r="N145" s="1288"/>
      <c r="O145" s="1290"/>
      <c r="Z145" s="1854"/>
    </row>
    <row r="146" spans="1:26" x14ac:dyDescent="0.6">
      <c r="A146" s="1459"/>
      <c r="N146" s="1288"/>
      <c r="O146" s="1290"/>
      <c r="Z146" s="1854"/>
    </row>
    <row r="147" spans="1:26" x14ac:dyDescent="0.6">
      <c r="A147" s="1459"/>
      <c r="N147" s="1288"/>
      <c r="O147" s="1290"/>
      <c r="Z147" s="1854"/>
    </row>
    <row r="148" spans="1:26" x14ac:dyDescent="0.6">
      <c r="A148" s="1459"/>
      <c r="N148" s="1288"/>
      <c r="O148" s="1290"/>
      <c r="Z148" s="1854"/>
    </row>
    <row r="149" spans="1:26" x14ac:dyDescent="0.6">
      <c r="A149" s="1459"/>
      <c r="N149" s="1288"/>
      <c r="O149" s="1290"/>
      <c r="Z149" s="1854"/>
    </row>
    <row r="150" spans="1:26" x14ac:dyDescent="0.6">
      <c r="A150" s="1459"/>
      <c r="N150" s="1288"/>
      <c r="O150" s="1290"/>
      <c r="Z150" s="1854"/>
    </row>
    <row r="151" spans="1:26" x14ac:dyDescent="0.6">
      <c r="A151" s="1459"/>
      <c r="N151" s="1288"/>
      <c r="O151" s="1290"/>
      <c r="Z151" s="1854"/>
    </row>
    <row r="152" spans="1:26" x14ac:dyDescent="0.6">
      <c r="A152" s="1459"/>
      <c r="N152" s="1288"/>
      <c r="O152" s="1290"/>
      <c r="Z152" s="1854"/>
    </row>
    <row r="153" spans="1:26" x14ac:dyDescent="0.6">
      <c r="A153" s="1459"/>
      <c r="N153" s="1288"/>
      <c r="O153" s="1290"/>
      <c r="Z153" s="1854"/>
    </row>
    <row r="154" spans="1:26" x14ac:dyDescent="0.6">
      <c r="A154" s="1459"/>
      <c r="N154" s="1288"/>
      <c r="O154" s="1290"/>
      <c r="Z154" s="1854"/>
    </row>
    <row r="155" spans="1:26" x14ac:dyDescent="0.6">
      <c r="A155" s="1459"/>
      <c r="N155" s="1288"/>
      <c r="O155" s="1290"/>
      <c r="Z155" s="1854"/>
    </row>
    <row r="156" spans="1:26" x14ac:dyDescent="0.6">
      <c r="A156" s="1459"/>
      <c r="N156" s="1288"/>
      <c r="O156" s="1290"/>
      <c r="Z156" s="1854"/>
    </row>
    <row r="157" spans="1:26" x14ac:dyDescent="0.6">
      <c r="A157" s="1459"/>
      <c r="N157" s="1288"/>
      <c r="O157" s="1290"/>
      <c r="Z157" s="1854"/>
    </row>
    <row r="158" spans="1:26" x14ac:dyDescent="0.6">
      <c r="A158" s="1459"/>
      <c r="N158" s="1288"/>
      <c r="O158" s="1290"/>
      <c r="Z158" s="1854"/>
    </row>
    <row r="159" spans="1:26" x14ac:dyDescent="0.6">
      <c r="A159" s="1459"/>
      <c r="N159" s="1288"/>
      <c r="O159" s="1290"/>
      <c r="Z159" s="1854"/>
    </row>
    <row r="160" spans="1:26" x14ac:dyDescent="0.6">
      <c r="A160" s="1459"/>
      <c r="N160" s="1288"/>
      <c r="O160" s="1290"/>
      <c r="Z160" s="1854"/>
    </row>
    <row r="161" spans="1:26" x14ac:dyDescent="0.6">
      <c r="A161" s="1459"/>
      <c r="N161" s="1288"/>
      <c r="O161" s="1290"/>
      <c r="Z161" s="1854"/>
    </row>
    <row r="162" spans="1:26" x14ac:dyDescent="0.6">
      <c r="A162" s="1459"/>
      <c r="N162" s="1288"/>
      <c r="O162" s="1290"/>
      <c r="Z162" s="1854"/>
    </row>
    <row r="163" spans="1:26" x14ac:dyDescent="0.6">
      <c r="A163" s="1459"/>
      <c r="N163" s="1288"/>
      <c r="O163" s="1290"/>
      <c r="Z163" s="1854"/>
    </row>
    <row r="164" spans="1:26" x14ac:dyDescent="0.6">
      <c r="A164" s="1459"/>
      <c r="N164" s="1288"/>
      <c r="O164" s="1290"/>
      <c r="Z164" s="1854"/>
    </row>
    <row r="165" spans="1:26" x14ac:dyDescent="0.6">
      <c r="A165" s="1459"/>
      <c r="N165" s="1288"/>
      <c r="O165" s="1290"/>
      <c r="Z165" s="1854"/>
    </row>
    <row r="166" spans="1:26" x14ac:dyDescent="0.6">
      <c r="A166" s="1459"/>
      <c r="N166" s="1288"/>
      <c r="O166" s="1290"/>
      <c r="Z166" s="1854"/>
    </row>
    <row r="167" spans="1:26" x14ac:dyDescent="0.6">
      <c r="A167" s="1459"/>
      <c r="N167" s="1288"/>
      <c r="O167" s="1290"/>
      <c r="Z167" s="1854"/>
    </row>
    <row r="168" spans="1:26" x14ac:dyDescent="0.6">
      <c r="A168" s="1459"/>
      <c r="N168" s="1288"/>
      <c r="O168" s="1290"/>
      <c r="Z168" s="1854"/>
    </row>
    <row r="169" spans="1:26" x14ac:dyDescent="0.6">
      <c r="A169" s="1459"/>
      <c r="N169" s="1288"/>
      <c r="O169" s="1290"/>
      <c r="Z169" s="1854"/>
    </row>
    <row r="170" spans="1:26" x14ac:dyDescent="0.6">
      <c r="A170" s="1459"/>
      <c r="N170" s="1288"/>
      <c r="O170" s="1290"/>
      <c r="Z170" s="1854"/>
    </row>
    <row r="171" spans="1:26" x14ac:dyDescent="0.6">
      <c r="A171" s="1459"/>
      <c r="N171" s="1288"/>
      <c r="O171" s="1290"/>
      <c r="Z171" s="1854"/>
    </row>
    <row r="172" spans="1:26" x14ac:dyDescent="0.6">
      <c r="A172" s="1459"/>
      <c r="N172" s="1288"/>
      <c r="O172" s="1290"/>
      <c r="Z172" s="1854"/>
    </row>
    <row r="173" spans="1:26" x14ac:dyDescent="0.6">
      <c r="A173" s="1459"/>
      <c r="N173" s="1288"/>
      <c r="O173" s="1290"/>
      <c r="Z173" s="1854"/>
    </row>
    <row r="174" spans="1:26" x14ac:dyDescent="0.6">
      <c r="A174" s="1459"/>
      <c r="N174" s="1288"/>
      <c r="O174" s="1290"/>
      <c r="Z174" s="1854"/>
    </row>
    <row r="175" spans="1:26" x14ac:dyDescent="0.6">
      <c r="A175" s="1459"/>
      <c r="N175" s="1288"/>
      <c r="O175" s="1290"/>
      <c r="Z175" s="1854"/>
    </row>
    <row r="176" spans="1:26" x14ac:dyDescent="0.6">
      <c r="A176" s="1459"/>
      <c r="N176" s="1288"/>
      <c r="O176" s="1290"/>
      <c r="Z176" s="1854"/>
    </row>
    <row r="177" spans="1:26" x14ac:dyDescent="0.6">
      <c r="A177" s="1459"/>
      <c r="N177" s="1288"/>
      <c r="O177" s="1290"/>
      <c r="Z177" s="1854"/>
    </row>
    <row r="178" spans="1:26" x14ac:dyDescent="0.6">
      <c r="A178" s="1459"/>
      <c r="N178" s="1288"/>
      <c r="O178" s="1290"/>
      <c r="Z178" s="1854"/>
    </row>
    <row r="179" spans="1:26" x14ac:dyDescent="0.6">
      <c r="A179" s="1459"/>
      <c r="N179" s="1288"/>
      <c r="O179" s="1290"/>
      <c r="Z179" s="1854"/>
    </row>
    <row r="180" spans="1:26" x14ac:dyDescent="0.6">
      <c r="A180" s="1459"/>
      <c r="N180" s="1288"/>
      <c r="O180" s="1290"/>
      <c r="Z180" s="1854"/>
    </row>
    <row r="181" spans="1:26" x14ac:dyDescent="0.6">
      <c r="A181" s="1459"/>
      <c r="N181" s="1288"/>
      <c r="O181" s="1290"/>
      <c r="Z181" s="1854"/>
    </row>
    <row r="182" spans="1:26" x14ac:dyDescent="0.6">
      <c r="A182" s="1459"/>
      <c r="N182" s="1288"/>
      <c r="O182" s="1290"/>
      <c r="Z182" s="1854"/>
    </row>
    <row r="183" spans="1:26" x14ac:dyDescent="0.6">
      <c r="A183" s="1459"/>
      <c r="N183" s="1288"/>
      <c r="O183" s="1290"/>
      <c r="Z183" s="1854"/>
    </row>
    <row r="184" spans="1:26" x14ac:dyDescent="0.6">
      <c r="A184" s="1459"/>
      <c r="N184" s="1288"/>
      <c r="O184" s="1290"/>
      <c r="Z184" s="1854"/>
    </row>
    <row r="185" spans="1:26" x14ac:dyDescent="0.6">
      <c r="A185" s="1459"/>
      <c r="N185" s="1288"/>
      <c r="O185" s="1290"/>
      <c r="Z185" s="1854"/>
    </row>
    <row r="186" spans="1:26" x14ac:dyDescent="0.6">
      <c r="A186" s="1459"/>
      <c r="N186" s="1288"/>
      <c r="O186" s="1290"/>
      <c r="Z186" s="1854"/>
    </row>
    <row r="187" spans="1:26" x14ac:dyDescent="0.6">
      <c r="A187" s="1459"/>
      <c r="N187" s="1288"/>
      <c r="O187" s="1290"/>
      <c r="Z187" s="1854"/>
    </row>
    <row r="188" spans="1:26" x14ac:dyDescent="0.6">
      <c r="A188" s="1459"/>
      <c r="N188" s="1288"/>
      <c r="O188" s="1290"/>
      <c r="Z188" s="1854"/>
    </row>
    <row r="189" spans="1:26" x14ac:dyDescent="0.6">
      <c r="A189" s="1459"/>
      <c r="N189" s="1288"/>
      <c r="O189" s="1290"/>
      <c r="Z189" s="1854"/>
    </row>
    <row r="190" spans="1:26" x14ac:dyDescent="0.6">
      <c r="A190" s="1459"/>
      <c r="N190" s="1288"/>
      <c r="O190" s="1290"/>
      <c r="Z190" s="1854"/>
    </row>
    <row r="191" spans="1:26" x14ac:dyDescent="0.6">
      <c r="A191" s="1459"/>
      <c r="N191" s="1288"/>
      <c r="O191" s="1290"/>
      <c r="Z191" s="1854"/>
    </row>
    <row r="192" spans="1:26" x14ac:dyDescent="0.6">
      <c r="A192" s="1459"/>
      <c r="N192" s="1288"/>
      <c r="O192" s="1290"/>
      <c r="Z192" s="1854"/>
    </row>
    <row r="193" spans="1:26" x14ac:dyDescent="0.6">
      <c r="A193" s="1459"/>
      <c r="N193" s="1288"/>
      <c r="O193" s="1290"/>
      <c r="Z193" s="1854"/>
    </row>
    <row r="194" spans="1:26" x14ac:dyDescent="0.6">
      <c r="A194" s="1459"/>
      <c r="N194" s="1288"/>
      <c r="O194" s="1290"/>
      <c r="Z194" s="1854"/>
    </row>
    <row r="195" spans="1:26" x14ac:dyDescent="0.6">
      <c r="A195" s="1459"/>
      <c r="N195" s="1288"/>
      <c r="O195" s="1290"/>
      <c r="Z195" s="1854"/>
    </row>
    <row r="196" spans="1:26" x14ac:dyDescent="0.6">
      <c r="A196" s="1459"/>
      <c r="N196" s="1288"/>
      <c r="O196" s="1290"/>
      <c r="Z196" s="1854"/>
    </row>
    <row r="197" spans="1:26" x14ac:dyDescent="0.6">
      <c r="A197" s="1459"/>
      <c r="N197" s="1288"/>
      <c r="O197" s="1290"/>
      <c r="Z197" s="1854"/>
    </row>
    <row r="198" spans="1:26" x14ac:dyDescent="0.6">
      <c r="A198" s="1459"/>
      <c r="N198" s="1288"/>
      <c r="O198" s="1290"/>
      <c r="Z198" s="1854"/>
    </row>
    <row r="199" spans="1:26" x14ac:dyDescent="0.6">
      <c r="A199" s="1459"/>
      <c r="N199" s="1288"/>
      <c r="O199" s="1290"/>
      <c r="Z199" s="1854"/>
    </row>
    <row r="200" spans="1:26" x14ac:dyDescent="0.6">
      <c r="A200" s="1459"/>
      <c r="N200" s="1288"/>
      <c r="O200" s="1290"/>
      <c r="Z200" s="1854"/>
    </row>
    <row r="201" spans="1:26" x14ac:dyDescent="0.6">
      <c r="A201" s="1459"/>
      <c r="N201" s="1288"/>
      <c r="O201" s="1290"/>
      <c r="Z201" s="1854"/>
    </row>
    <row r="202" spans="1:26" x14ac:dyDescent="0.6">
      <c r="A202" s="1459"/>
      <c r="N202" s="1288"/>
      <c r="O202" s="1290"/>
      <c r="Z202" s="1854"/>
    </row>
    <row r="203" spans="1:26" x14ac:dyDescent="0.6">
      <c r="A203" s="1459"/>
      <c r="N203" s="1288"/>
      <c r="O203" s="1290"/>
      <c r="Z203" s="1854"/>
    </row>
    <row r="204" spans="1:26" x14ac:dyDescent="0.6">
      <c r="A204" s="1459"/>
      <c r="N204" s="1288"/>
      <c r="O204" s="1290"/>
      <c r="Z204" s="1854"/>
    </row>
    <row r="205" spans="1:26" x14ac:dyDescent="0.6">
      <c r="A205" s="1459"/>
      <c r="N205" s="1288"/>
      <c r="O205" s="1290"/>
      <c r="Z205" s="1854"/>
    </row>
    <row r="206" spans="1:26" x14ac:dyDescent="0.6">
      <c r="A206" s="1459"/>
      <c r="N206" s="1288"/>
      <c r="O206" s="1290"/>
      <c r="Z206" s="1854"/>
    </row>
    <row r="207" spans="1:26" x14ac:dyDescent="0.6">
      <c r="A207" s="1459"/>
      <c r="N207" s="1288"/>
      <c r="O207" s="1290"/>
      <c r="Z207" s="1854"/>
    </row>
    <row r="208" spans="1:26" x14ac:dyDescent="0.6">
      <c r="A208" s="1459"/>
      <c r="N208" s="1288"/>
      <c r="O208" s="1290"/>
      <c r="Z208" s="1854"/>
    </row>
    <row r="209" spans="1:26" x14ac:dyDescent="0.6">
      <c r="A209" s="1459"/>
      <c r="N209" s="1288"/>
      <c r="O209" s="1290"/>
      <c r="Z209" s="1854"/>
    </row>
    <row r="210" spans="1:26" x14ac:dyDescent="0.6">
      <c r="A210" s="1459"/>
      <c r="N210" s="1288"/>
      <c r="O210" s="1290"/>
      <c r="Z210" s="1854"/>
    </row>
    <row r="211" spans="1:26" x14ac:dyDescent="0.6">
      <c r="A211" s="1459"/>
      <c r="N211" s="1288"/>
      <c r="O211" s="1290"/>
      <c r="Z211" s="1854"/>
    </row>
    <row r="212" spans="1:26" x14ac:dyDescent="0.6">
      <c r="A212" s="1459"/>
      <c r="N212" s="1288"/>
      <c r="O212" s="1290"/>
      <c r="Z212" s="1854"/>
    </row>
    <row r="213" spans="1:26" x14ac:dyDescent="0.6">
      <c r="A213" s="1459"/>
      <c r="N213" s="1288"/>
      <c r="O213" s="1290"/>
      <c r="Z213" s="1854"/>
    </row>
    <row r="214" spans="1:26" x14ac:dyDescent="0.6">
      <c r="A214" s="1459"/>
      <c r="N214" s="1288"/>
      <c r="O214" s="1290"/>
      <c r="Z214" s="1854"/>
    </row>
    <row r="215" spans="1:26" x14ac:dyDescent="0.6">
      <c r="A215" s="1459"/>
      <c r="N215" s="1288"/>
      <c r="O215" s="1290"/>
      <c r="Z215" s="1854"/>
    </row>
    <row r="216" spans="1:26" x14ac:dyDescent="0.6">
      <c r="A216" s="1459"/>
      <c r="N216" s="1288"/>
      <c r="O216" s="1290"/>
      <c r="Z216" s="1854"/>
    </row>
    <row r="217" spans="1:26" x14ac:dyDescent="0.6">
      <c r="A217" s="1459"/>
      <c r="N217" s="1288"/>
      <c r="O217" s="1290"/>
      <c r="Z217" s="1854"/>
    </row>
    <row r="218" spans="1:26" x14ac:dyDescent="0.6">
      <c r="A218" s="1459"/>
      <c r="N218" s="1288"/>
      <c r="O218" s="1290"/>
      <c r="Z218" s="1854"/>
    </row>
    <row r="219" spans="1:26" x14ac:dyDescent="0.6">
      <c r="A219" s="1459"/>
      <c r="N219" s="1288"/>
      <c r="O219" s="1290"/>
      <c r="Z219" s="1854"/>
    </row>
    <row r="220" spans="1:26" x14ac:dyDescent="0.6">
      <c r="A220" s="1459"/>
      <c r="N220" s="1288"/>
      <c r="O220" s="1290"/>
      <c r="Z220" s="1854"/>
    </row>
    <row r="221" spans="1:26" x14ac:dyDescent="0.6">
      <c r="A221" s="1459"/>
      <c r="N221" s="1288"/>
      <c r="O221" s="1290"/>
      <c r="Z221" s="1854"/>
    </row>
    <row r="222" spans="1:26" x14ac:dyDescent="0.6">
      <c r="A222" s="1459"/>
      <c r="N222" s="1288"/>
      <c r="O222" s="1290"/>
      <c r="Z222" s="1854"/>
    </row>
    <row r="223" spans="1:26" x14ac:dyDescent="0.6">
      <c r="A223" s="1459"/>
      <c r="N223" s="1288"/>
      <c r="O223" s="1290"/>
      <c r="Z223" s="1854"/>
    </row>
    <row r="224" spans="1:26" x14ac:dyDescent="0.6">
      <c r="A224" s="1459"/>
      <c r="N224" s="1288"/>
      <c r="O224" s="1290"/>
      <c r="Z224" s="1854"/>
    </row>
    <row r="225" spans="1:26" x14ac:dyDescent="0.6">
      <c r="A225" s="1459"/>
      <c r="N225" s="1288"/>
      <c r="O225" s="1290"/>
      <c r="Z225" s="1854"/>
    </row>
    <row r="226" spans="1:26" x14ac:dyDescent="0.6">
      <c r="A226" s="1459"/>
      <c r="N226" s="1288"/>
      <c r="O226" s="1290"/>
      <c r="Z226" s="1854"/>
    </row>
    <row r="227" spans="1:26" x14ac:dyDescent="0.6">
      <c r="A227" s="1459"/>
      <c r="N227" s="1288"/>
      <c r="O227" s="1290"/>
      <c r="Z227" s="1854"/>
    </row>
    <row r="228" spans="1:26" x14ac:dyDescent="0.6">
      <c r="A228" s="1459"/>
      <c r="N228" s="1288"/>
      <c r="O228" s="1290"/>
      <c r="Z228" s="1854"/>
    </row>
    <row r="229" spans="1:26" x14ac:dyDescent="0.6">
      <c r="A229" s="1459"/>
      <c r="N229" s="1288"/>
      <c r="O229" s="1290"/>
      <c r="Z229" s="1854"/>
    </row>
    <row r="230" spans="1:26" x14ac:dyDescent="0.6">
      <c r="A230" s="1459"/>
      <c r="N230" s="1288"/>
      <c r="O230" s="1290"/>
      <c r="Z230" s="1854"/>
    </row>
    <row r="231" spans="1:26" x14ac:dyDescent="0.6">
      <c r="A231" s="1459"/>
      <c r="N231" s="1288"/>
      <c r="O231" s="1290"/>
      <c r="Z231" s="1854"/>
    </row>
    <row r="232" spans="1:26" x14ac:dyDescent="0.6">
      <c r="A232" s="1459"/>
      <c r="N232" s="1288"/>
      <c r="O232" s="1290"/>
      <c r="Z232" s="1854"/>
    </row>
    <row r="233" spans="1:26" x14ac:dyDescent="0.6">
      <c r="A233" s="1459"/>
      <c r="N233" s="1288"/>
      <c r="O233" s="1290"/>
      <c r="Z233" s="1854"/>
    </row>
    <row r="234" spans="1:26" x14ac:dyDescent="0.6">
      <c r="A234" s="1459"/>
      <c r="N234" s="1288"/>
      <c r="O234" s="1290"/>
      <c r="Z234" s="1854"/>
    </row>
    <row r="235" spans="1:26" x14ac:dyDescent="0.6">
      <c r="A235" s="1459"/>
      <c r="N235" s="1288"/>
      <c r="O235" s="1290"/>
      <c r="Z235" s="1854"/>
    </row>
    <row r="236" spans="1:26" x14ac:dyDescent="0.6">
      <c r="A236" s="1459"/>
      <c r="N236" s="1288"/>
      <c r="O236" s="1290"/>
      <c r="Z236" s="1854"/>
    </row>
    <row r="237" spans="1:26" x14ac:dyDescent="0.6">
      <c r="A237" s="1459"/>
      <c r="N237" s="1288"/>
      <c r="O237" s="1290"/>
      <c r="Z237" s="1854"/>
    </row>
    <row r="238" spans="1:26" x14ac:dyDescent="0.6">
      <c r="A238" s="1459"/>
      <c r="N238" s="1288"/>
      <c r="O238" s="1290"/>
      <c r="Z238" s="1854"/>
    </row>
    <row r="239" spans="1:26" x14ac:dyDescent="0.6">
      <c r="A239" s="1459"/>
      <c r="N239" s="1288"/>
      <c r="O239" s="1290"/>
      <c r="Z239" s="1854"/>
    </row>
    <row r="240" spans="1:26" x14ac:dyDescent="0.6">
      <c r="A240" s="1459"/>
      <c r="N240" s="1288"/>
      <c r="O240" s="1290"/>
      <c r="Z240" s="1854"/>
    </row>
    <row r="241" spans="1:26" x14ac:dyDescent="0.6">
      <c r="A241" s="1459"/>
      <c r="N241" s="1288"/>
      <c r="O241" s="1290"/>
      <c r="Z241" s="1854"/>
    </row>
    <row r="242" spans="1:26" x14ac:dyDescent="0.6">
      <c r="A242" s="1459"/>
      <c r="N242" s="1288"/>
      <c r="O242" s="1290"/>
      <c r="Z242" s="1854"/>
    </row>
    <row r="243" spans="1:26" x14ac:dyDescent="0.6">
      <c r="A243" s="1459"/>
      <c r="N243" s="1288"/>
      <c r="O243" s="1290"/>
      <c r="Z243" s="1854"/>
    </row>
    <row r="244" spans="1:26" x14ac:dyDescent="0.6">
      <c r="A244" s="1459"/>
      <c r="N244" s="1288"/>
      <c r="O244" s="1290"/>
      <c r="Z244" s="1854"/>
    </row>
    <row r="245" spans="1:26" x14ac:dyDescent="0.6">
      <c r="A245" s="1459"/>
      <c r="N245" s="1288"/>
      <c r="O245" s="1290"/>
      <c r="Z245" s="1854"/>
    </row>
    <row r="246" spans="1:26" x14ac:dyDescent="0.6">
      <c r="A246" s="1459"/>
      <c r="N246" s="1288"/>
      <c r="O246" s="1290"/>
      <c r="Z246" s="1854"/>
    </row>
    <row r="247" spans="1:26" x14ac:dyDescent="0.6">
      <c r="A247" s="1459"/>
      <c r="N247" s="1288"/>
      <c r="O247" s="1290"/>
      <c r="Z247" s="1854"/>
    </row>
    <row r="248" spans="1:26" x14ac:dyDescent="0.6">
      <c r="A248" s="1459"/>
      <c r="N248" s="1288"/>
      <c r="O248" s="1290"/>
      <c r="Z248" s="1854"/>
    </row>
    <row r="249" spans="1:26" x14ac:dyDescent="0.6">
      <c r="A249" s="1459"/>
      <c r="N249" s="1288"/>
      <c r="O249" s="1290"/>
      <c r="Z249" s="1854"/>
    </row>
    <row r="250" spans="1:26" x14ac:dyDescent="0.6">
      <c r="A250" s="1459"/>
      <c r="N250" s="1288"/>
      <c r="O250" s="1290"/>
      <c r="Z250" s="1854"/>
    </row>
    <row r="251" spans="1:26" x14ac:dyDescent="0.6">
      <c r="A251" s="1459"/>
      <c r="N251" s="1288"/>
      <c r="O251" s="1290"/>
      <c r="Z251" s="1854"/>
    </row>
    <row r="252" spans="1:26" x14ac:dyDescent="0.6">
      <c r="A252" s="1459"/>
      <c r="N252" s="1288"/>
      <c r="O252" s="1290"/>
      <c r="Z252" s="1854"/>
    </row>
    <row r="253" spans="1:26" x14ac:dyDescent="0.6">
      <c r="A253" s="1459"/>
      <c r="N253" s="1288"/>
      <c r="O253" s="1290"/>
      <c r="Z253" s="1854"/>
    </row>
    <row r="254" spans="1:26" x14ac:dyDescent="0.6">
      <c r="A254" s="1459"/>
      <c r="N254" s="1288"/>
      <c r="O254" s="1290"/>
      <c r="Z254" s="1854"/>
    </row>
    <row r="255" spans="1:26" x14ac:dyDescent="0.6">
      <c r="A255" s="1459"/>
      <c r="N255" s="1288"/>
      <c r="O255" s="1290"/>
      <c r="Z255" s="1854"/>
    </row>
    <row r="256" spans="1:26" x14ac:dyDescent="0.6">
      <c r="A256" s="1459"/>
      <c r="N256" s="1288"/>
      <c r="O256" s="1290"/>
      <c r="Z256" s="1854"/>
    </row>
    <row r="257" spans="1:26" x14ac:dyDescent="0.6">
      <c r="A257" s="1459"/>
      <c r="N257" s="1288"/>
      <c r="O257" s="1290"/>
      <c r="Z257" s="1854"/>
    </row>
    <row r="258" spans="1:26" x14ac:dyDescent="0.6">
      <c r="A258" s="1459"/>
      <c r="N258" s="1288"/>
      <c r="O258" s="1290"/>
      <c r="Z258" s="1854"/>
    </row>
    <row r="259" spans="1:26" x14ac:dyDescent="0.6">
      <c r="A259" s="1459"/>
      <c r="N259" s="1288"/>
      <c r="O259" s="1290"/>
      <c r="Z259" s="1854"/>
    </row>
    <row r="260" spans="1:26" x14ac:dyDescent="0.6">
      <c r="A260" s="1459"/>
      <c r="N260" s="1288"/>
      <c r="O260" s="1290"/>
      <c r="Z260" s="1854"/>
    </row>
    <row r="261" spans="1:26" x14ac:dyDescent="0.6">
      <c r="A261" s="1459"/>
      <c r="N261" s="1288"/>
      <c r="O261" s="1290"/>
      <c r="Z261" s="1854"/>
    </row>
    <row r="262" spans="1:26" x14ac:dyDescent="0.6">
      <c r="A262" s="1459"/>
      <c r="N262" s="1288"/>
      <c r="O262" s="1290"/>
      <c r="Z262" s="1854"/>
    </row>
    <row r="263" spans="1:26" x14ac:dyDescent="0.6">
      <c r="A263" s="1459"/>
      <c r="N263" s="1288"/>
      <c r="O263" s="1290"/>
      <c r="Z263" s="1854"/>
    </row>
    <row r="264" spans="1:26" x14ac:dyDescent="0.6">
      <c r="A264" s="1459"/>
      <c r="N264" s="1288"/>
      <c r="O264" s="1290"/>
      <c r="Z264" s="1854"/>
    </row>
    <row r="265" spans="1:26" x14ac:dyDescent="0.6">
      <c r="A265" s="1459"/>
      <c r="N265" s="1288"/>
      <c r="O265" s="1290"/>
      <c r="Z265" s="1854"/>
    </row>
    <row r="266" spans="1:26" x14ac:dyDescent="0.6">
      <c r="A266" s="1459"/>
      <c r="N266" s="1288"/>
      <c r="O266" s="1290"/>
      <c r="Z266" s="1854"/>
    </row>
    <row r="267" spans="1:26" x14ac:dyDescent="0.6">
      <c r="A267" s="1459"/>
      <c r="N267" s="1288"/>
      <c r="O267" s="1290"/>
      <c r="Z267" s="1854"/>
    </row>
    <row r="268" spans="1:26" x14ac:dyDescent="0.6">
      <c r="A268" s="1459"/>
      <c r="N268" s="1288"/>
      <c r="O268" s="1290"/>
      <c r="Z268" s="1854"/>
    </row>
    <row r="269" spans="1:26" x14ac:dyDescent="0.6">
      <c r="A269" s="1459"/>
      <c r="N269" s="1288"/>
      <c r="O269" s="1290"/>
      <c r="Z269" s="1854"/>
    </row>
    <row r="270" spans="1:26" x14ac:dyDescent="0.6">
      <c r="A270" s="1459"/>
      <c r="N270" s="1288"/>
      <c r="O270" s="1290"/>
      <c r="Z270" s="1854"/>
    </row>
    <row r="271" spans="1:26" x14ac:dyDescent="0.6">
      <c r="A271" s="1459"/>
      <c r="N271" s="1288"/>
      <c r="O271" s="1290"/>
      <c r="Z271" s="1854"/>
    </row>
    <row r="272" spans="1:26" x14ac:dyDescent="0.6">
      <c r="A272" s="1459"/>
      <c r="N272" s="1288"/>
      <c r="O272" s="1290"/>
      <c r="Z272" s="1854"/>
    </row>
    <row r="273" spans="1:26" x14ac:dyDescent="0.6">
      <c r="A273" s="1459"/>
      <c r="N273" s="1288"/>
      <c r="O273" s="1290"/>
      <c r="Z273" s="1854"/>
    </row>
    <row r="274" spans="1:26" x14ac:dyDescent="0.6">
      <c r="A274" s="1459"/>
      <c r="N274" s="1288"/>
      <c r="O274" s="1290"/>
      <c r="Z274" s="1854"/>
    </row>
    <row r="275" spans="1:26" x14ac:dyDescent="0.6">
      <c r="A275" s="1459"/>
      <c r="N275" s="1288"/>
      <c r="O275" s="1290"/>
      <c r="Z275" s="1854"/>
    </row>
    <row r="276" spans="1:26" x14ac:dyDescent="0.6">
      <c r="A276" s="1459"/>
      <c r="N276" s="1288"/>
      <c r="O276" s="1290"/>
      <c r="Z276" s="1854"/>
    </row>
    <row r="277" spans="1:26" x14ac:dyDescent="0.6">
      <c r="A277" s="1459"/>
      <c r="N277" s="1288"/>
      <c r="O277" s="1290"/>
      <c r="Z277" s="1854"/>
    </row>
    <row r="278" spans="1:26" x14ac:dyDescent="0.6">
      <c r="A278" s="1459"/>
      <c r="N278" s="1288"/>
      <c r="O278" s="1290"/>
      <c r="Z278" s="1854"/>
    </row>
    <row r="279" spans="1:26" x14ac:dyDescent="0.6">
      <c r="A279" s="1459"/>
      <c r="N279" s="1288"/>
      <c r="O279" s="1290"/>
      <c r="Z279" s="1854"/>
    </row>
    <row r="280" spans="1:26" x14ac:dyDescent="0.6">
      <c r="A280" s="1459"/>
      <c r="N280" s="1288"/>
      <c r="O280" s="1290"/>
      <c r="Z280" s="1854"/>
    </row>
    <row r="281" spans="1:26" x14ac:dyDescent="0.6">
      <c r="A281" s="1459"/>
      <c r="N281" s="1288"/>
      <c r="O281" s="1290"/>
      <c r="Z281" s="1854"/>
    </row>
    <row r="282" spans="1:26" x14ac:dyDescent="0.6">
      <c r="A282" s="1459"/>
      <c r="N282" s="1288"/>
      <c r="O282" s="1290"/>
      <c r="Z282" s="1854"/>
    </row>
    <row r="283" spans="1:26" x14ac:dyDescent="0.6">
      <c r="A283" s="1459"/>
      <c r="N283" s="1288"/>
      <c r="O283" s="1290"/>
      <c r="Z283" s="1854"/>
    </row>
    <row r="284" spans="1:26" x14ac:dyDescent="0.6">
      <c r="A284" s="1459"/>
      <c r="N284" s="1288"/>
      <c r="O284" s="1290"/>
      <c r="Z284" s="1854"/>
    </row>
    <row r="285" spans="1:26" x14ac:dyDescent="0.6">
      <c r="A285" s="1459"/>
      <c r="N285" s="1288"/>
      <c r="O285" s="1290"/>
      <c r="Z285" s="1854"/>
    </row>
    <row r="286" spans="1:26" x14ac:dyDescent="0.6">
      <c r="A286" s="1459"/>
      <c r="N286" s="1288"/>
      <c r="O286" s="1290"/>
      <c r="Z286" s="1854"/>
    </row>
    <row r="287" spans="1:26" x14ac:dyDescent="0.6">
      <c r="A287" s="1459"/>
      <c r="N287" s="1288"/>
      <c r="O287" s="1290"/>
      <c r="Z287" s="1854"/>
    </row>
    <row r="288" spans="1:26" x14ac:dyDescent="0.6">
      <c r="A288" s="1459"/>
      <c r="N288" s="1288"/>
      <c r="O288" s="1290"/>
      <c r="Z288" s="1854"/>
    </row>
    <row r="289" spans="1:26" x14ac:dyDescent="0.6">
      <c r="A289" s="1459"/>
      <c r="N289" s="1288"/>
      <c r="O289" s="1290"/>
      <c r="Z289" s="1854"/>
    </row>
    <row r="290" spans="1:26" x14ac:dyDescent="0.6">
      <c r="A290" s="1459"/>
      <c r="N290" s="1288"/>
      <c r="O290" s="1290"/>
      <c r="Z290" s="1854"/>
    </row>
    <row r="291" spans="1:26" x14ac:dyDescent="0.6">
      <c r="A291" s="1459"/>
      <c r="N291" s="1288"/>
      <c r="O291" s="1290"/>
      <c r="Z291" s="1854"/>
    </row>
    <row r="292" spans="1:26" x14ac:dyDescent="0.6">
      <c r="A292" s="1459"/>
      <c r="N292" s="1288"/>
      <c r="O292" s="1290"/>
      <c r="Z292" s="1854"/>
    </row>
    <row r="293" spans="1:26" x14ac:dyDescent="0.6">
      <c r="A293" s="1459"/>
      <c r="N293" s="1288"/>
      <c r="O293" s="1290"/>
      <c r="Z293" s="1854"/>
    </row>
    <row r="294" spans="1:26" x14ac:dyDescent="0.6">
      <c r="A294" s="1459"/>
      <c r="N294" s="1288"/>
      <c r="O294" s="1290"/>
      <c r="Z294" s="1854"/>
    </row>
    <row r="295" spans="1:26" x14ac:dyDescent="0.6">
      <c r="A295" s="1459"/>
      <c r="N295" s="1288"/>
      <c r="O295" s="1290"/>
      <c r="Z295" s="1854"/>
    </row>
    <row r="296" spans="1:26" x14ac:dyDescent="0.6">
      <c r="A296" s="1459"/>
      <c r="N296" s="1288"/>
      <c r="O296" s="1290"/>
      <c r="Z296" s="1854"/>
    </row>
    <row r="297" spans="1:26" x14ac:dyDescent="0.6">
      <c r="A297" s="1459"/>
      <c r="N297" s="1288"/>
      <c r="O297" s="1290"/>
      <c r="Z297" s="1854"/>
    </row>
    <row r="298" spans="1:26" x14ac:dyDescent="0.6">
      <c r="A298" s="1459"/>
      <c r="N298" s="1288"/>
      <c r="O298" s="1290"/>
      <c r="Z298" s="1854"/>
    </row>
    <row r="299" spans="1:26" x14ac:dyDescent="0.6">
      <c r="A299" s="1459"/>
      <c r="N299" s="1288"/>
      <c r="O299" s="1290"/>
      <c r="Z299" s="1854"/>
    </row>
    <row r="300" spans="1:26" x14ac:dyDescent="0.6">
      <c r="A300" s="1459"/>
      <c r="N300" s="1288"/>
      <c r="O300" s="1290"/>
      <c r="Z300" s="1854"/>
    </row>
    <row r="301" spans="1:26" x14ac:dyDescent="0.6">
      <c r="A301" s="1459"/>
      <c r="N301" s="1288"/>
      <c r="O301" s="1290"/>
      <c r="Z301" s="1854"/>
    </row>
    <row r="302" spans="1:26" x14ac:dyDescent="0.6">
      <c r="A302" s="1459"/>
      <c r="N302" s="1288"/>
      <c r="O302" s="1290"/>
      <c r="Z302" s="1854"/>
    </row>
    <row r="303" spans="1:26" x14ac:dyDescent="0.6">
      <c r="A303" s="1459"/>
      <c r="N303" s="1288"/>
      <c r="O303" s="1290"/>
      <c r="Z303" s="1854"/>
    </row>
    <row r="304" spans="1:26" x14ac:dyDescent="0.6">
      <c r="A304" s="1459"/>
      <c r="N304" s="1288"/>
      <c r="O304" s="1290"/>
      <c r="Z304" s="1854"/>
    </row>
    <row r="305" spans="1:26" x14ac:dyDescent="0.6">
      <c r="A305" s="1459"/>
      <c r="N305" s="1288"/>
      <c r="O305" s="1290"/>
      <c r="Z305" s="1854"/>
    </row>
    <row r="306" spans="1:26" x14ac:dyDescent="0.6">
      <c r="A306" s="1459"/>
      <c r="N306" s="1288"/>
      <c r="O306" s="1290"/>
      <c r="Z306" s="1854"/>
    </row>
    <row r="307" spans="1:26" x14ac:dyDescent="0.6">
      <c r="A307" s="1459"/>
      <c r="N307" s="1288"/>
      <c r="O307" s="1290"/>
      <c r="Z307" s="1854"/>
    </row>
    <row r="308" spans="1:26" x14ac:dyDescent="0.6">
      <c r="A308" s="1459"/>
      <c r="N308" s="1288"/>
      <c r="O308" s="1290"/>
      <c r="Z308" s="1854"/>
    </row>
    <row r="309" spans="1:26" x14ac:dyDescent="0.6">
      <c r="A309" s="1459"/>
      <c r="N309" s="1288"/>
      <c r="O309" s="1290"/>
      <c r="Z309" s="1854"/>
    </row>
    <row r="310" spans="1:26" x14ac:dyDescent="0.6">
      <c r="A310" s="1459"/>
      <c r="N310" s="1288"/>
      <c r="O310" s="1290"/>
      <c r="Z310" s="1854"/>
    </row>
    <row r="311" spans="1:26" x14ac:dyDescent="0.6">
      <c r="A311" s="1459"/>
      <c r="N311" s="1288"/>
      <c r="O311" s="1290"/>
      <c r="Z311" s="1854"/>
    </row>
    <row r="312" spans="1:26" x14ac:dyDescent="0.6">
      <c r="A312" s="1459"/>
      <c r="N312" s="1288"/>
      <c r="O312" s="1290"/>
      <c r="Z312" s="1854"/>
    </row>
    <row r="313" spans="1:26" x14ac:dyDescent="0.6">
      <c r="A313" s="1459"/>
      <c r="N313" s="1288"/>
      <c r="O313" s="1290"/>
      <c r="Z313" s="1854"/>
    </row>
    <row r="314" spans="1:26" x14ac:dyDescent="0.6">
      <c r="A314" s="1459"/>
      <c r="N314" s="1288"/>
      <c r="O314" s="1290"/>
      <c r="Z314" s="1854"/>
    </row>
    <row r="315" spans="1:26" x14ac:dyDescent="0.6">
      <c r="A315" s="1459"/>
      <c r="N315" s="1288"/>
      <c r="O315" s="1290"/>
      <c r="Z315" s="1854"/>
    </row>
    <row r="316" spans="1:26" x14ac:dyDescent="0.6">
      <c r="A316" s="1459"/>
      <c r="N316" s="1288"/>
      <c r="O316" s="1290"/>
      <c r="Z316" s="1854"/>
    </row>
    <row r="317" spans="1:26" x14ac:dyDescent="0.6">
      <c r="A317" s="1459"/>
      <c r="N317" s="1288"/>
      <c r="O317" s="1290"/>
      <c r="Z317" s="1854"/>
    </row>
    <row r="318" spans="1:26" x14ac:dyDescent="0.6">
      <c r="A318" s="1459"/>
      <c r="N318" s="1288"/>
      <c r="O318" s="1290"/>
      <c r="Z318" s="1854"/>
    </row>
    <row r="319" spans="1:26" x14ac:dyDescent="0.6">
      <c r="A319" s="1459"/>
      <c r="N319" s="1288"/>
      <c r="O319" s="1290"/>
      <c r="Z319" s="1854"/>
    </row>
    <row r="320" spans="1:26" x14ac:dyDescent="0.6">
      <c r="A320" s="1459"/>
      <c r="N320" s="1288"/>
      <c r="O320" s="1290"/>
      <c r="Z320" s="1854"/>
    </row>
    <row r="321" spans="1:26" x14ac:dyDescent="0.6">
      <c r="A321" s="1459"/>
      <c r="N321" s="1288"/>
      <c r="O321" s="1290"/>
      <c r="Z321" s="1854"/>
    </row>
    <row r="322" spans="1:26" x14ac:dyDescent="0.6">
      <c r="A322" s="1459"/>
      <c r="N322" s="1288"/>
      <c r="O322" s="1290"/>
      <c r="Z322" s="1854"/>
    </row>
    <row r="323" spans="1:26" x14ac:dyDescent="0.6">
      <c r="A323" s="1459"/>
      <c r="N323" s="1288"/>
      <c r="O323" s="1290"/>
      <c r="Z323" s="1854"/>
    </row>
    <row r="324" spans="1:26" x14ac:dyDescent="0.6">
      <c r="A324" s="1459"/>
      <c r="N324" s="1288"/>
      <c r="O324" s="1290"/>
      <c r="Z324" s="1854"/>
    </row>
    <row r="325" spans="1:26" x14ac:dyDescent="0.6">
      <c r="A325" s="1459"/>
      <c r="N325" s="1288"/>
      <c r="O325" s="1290"/>
      <c r="Z325" s="1854"/>
    </row>
    <row r="326" spans="1:26" x14ac:dyDescent="0.6">
      <c r="A326" s="1459"/>
      <c r="N326" s="1288"/>
      <c r="O326" s="1290"/>
      <c r="Z326" s="1854"/>
    </row>
    <row r="327" spans="1:26" x14ac:dyDescent="0.6">
      <c r="A327" s="1459"/>
      <c r="N327" s="1288"/>
      <c r="O327" s="1290"/>
      <c r="Z327" s="1854"/>
    </row>
    <row r="328" spans="1:26" x14ac:dyDescent="0.6">
      <c r="A328" s="1459"/>
      <c r="N328" s="1288"/>
      <c r="O328" s="1290"/>
      <c r="Z328" s="1854"/>
    </row>
    <row r="329" spans="1:26" x14ac:dyDescent="0.6">
      <c r="A329" s="1459"/>
      <c r="N329" s="1288"/>
      <c r="O329" s="1290"/>
      <c r="Z329" s="1854"/>
    </row>
    <row r="330" spans="1:26" x14ac:dyDescent="0.6">
      <c r="A330" s="1459"/>
      <c r="N330" s="1288"/>
      <c r="O330" s="1290"/>
      <c r="Z330" s="1854"/>
    </row>
    <row r="331" spans="1:26" x14ac:dyDescent="0.6">
      <c r="A331" s="1459"/>
      <c r="N331" s="1288"/>
      <c r="O331" s="1290"/>
      <c r="Z331" s="1854"/>
    </row>
    <row r="332" spans="1:26" x14ac:dyDescent="0.6">
      <c r="A332" s="1459"/>
      <c r="N332" s="1288"/>
      <c r="O332" s="1290"/>
      <c r="Z332" s="1854"/>
    </row>
    <row r="333" spans="1:26" x14ac:dyDescent="0.6">
      <c r="A333" s="1459"/>
      <c r="N333" s="1288"/>
      <c r="O333" s="1290"/>
      <c r="Z333" s="1854"/>
    </row>
    <row r="334" spans="1:26" x14ac:dyDescent="0.6">
      <c r="A334" s="1459"/>
      <c r="N334" s="1288"/>
      <c r="O334" s="1290"/>
      <c r="Z334" s="1854"/>
    </row>
    <row r="335" spans="1:26" x14ac:dyDescent="0.6">
      <c r="A335" s="1459"/>
      <c r="N335" s="1288"/>
      <c r="O335" s="1290"/>
      <c r="Z335" s="1854"/>
    </row>
    <row r="336" spans="1:26" x14ac:dyDescent="0.6">
      <c r="A336" s="1459"/>
      <c r="N336" s="1288"/>
      <c r="O336" s="1290"/>
      <c r="Z336" s="1854"/>
    </row>
    <row r="337" spans="1:26" x14ac:dyDescent="0.6">
      <c r="A337" s="1459"/>
      <c r="N337" s="1288"/>
      <c r="O337" s="1290"/>
      <c r="Z337" s="1854"/>
    </row>
    <row r="338" spans="1:26" x14ac:dyDescent="0.6">
      <c r="A338" s="1459"/>
      <c r="N338" s="1288"/>
      <c r="O338" s="1290"/>
      <c r="Z338" s="1854"/>
    </row>
    <row r="339" spans="1:26" x14ac:dyDescent="0.6">
      <c r="A339" s="1459"/>
      <c r="N339" s="1288"/>
      <c r="O339" s="1290"/>
      <c r="Z339" s="1854"/>
    </row>
    <row r="340" spans="1:26" x14ac:dyDescent="0.6">
      <c r="A340" s="1459"/>
      <c r="N340" s="1288"/>
      <c r="O340" s="1290"/>
      <c r="Z340" s="1854"/>
    </row>
    <row r="341" spans="1:26" x14ac:dyDescent="0.6">
      <c r="A341" s="1459"/>
      <c r="N341" s="1288"/>
      <c r="O341" s="1290"/>
      <c r="Z341" s="1854"/>
    </row>
    <row r="342" spans="1:26" x14ac:dyDescent="0.6">
      <c r="A342" s="1459"/>
      <c r="N342" s="1288"/>
      <c r="O342" s="1290"/>
      <c r="Z342" s="1854"/>
    </row>
    <row r="343" spans="1:26" x14ac:dyDescent="0.6">
      <c r="A343" s="1459"/>
      <c r="N343" s="1288"/>
      <c r="O343" s="1290"/>
      <c r="Z343" s="1854"/>
    </row>
    <row r="344" spans="1:26" x14ac:dyDescent="0.6">
      <c r="A344" s="1459"/>
      <c r="N344" s="1288"/>
      <c r="O344" s="1290"/>
      <c r="Z344" s="1854"/>
    </row>
    <row r="345" spans="1:26" x14ac:dyDescent="0.6">
      <c r="A345" s="1459"/>
      <c r="N345" s="1288"/>
      <c r="O345" s="1290"/>
      <c r="Z345" s="1854"/>
    </row>
    <row r="346" spans="1:26" x14ac:dyDescent="0.6">
      <c r="A346" s="1459"/>
      <c r="N346" s="1288"/>
      <c r="O346" s="1290"/>
      <c r="Z346" s="1854"/>
    </row>
    <row r="347" spans="1:26" x14ac:dyDescent="0.6">
      <c r="A347" s="1459"/>
      <c r="N347" s="1288"/>
      <c r="O347" s="1290"/>
      <c r="Z347" s="1854"/>
    </row>
    <row r="348" spans="1:26" x14ac:dyDescent="0.6">
      <c r="A348" s="1459"/>
      <c r="N348" s="1288"/>
      <c r="O348" s="1290"/>
      <c r="Z348" s="1854"/>
    </row>
    <row r="349" spans="1:26" x14ac:dyDescent="0.6">
      <c r="A349" s="1459"/>
      <c r="N349" s="1288"/>
      <c r="O349" s="1290"/>
      <c r="Z349" s="1854"/>
    </row>
    <row r="350" spans="1:26" x14ac:dyDescent="0.6">
      <c r="A350" s="1459"/>
      <c r="N350" s="1288"/>
      <c r="O350" s="1290"/>
      <c r="Z350" s="1854"/>
    </row>
    <row r="351" spans="1:26" x14ac:dyDescent="0.6">
      <c r="A351" s="1459"/>
      <c r="N351" s="1288"/>
      <c r="O351" s="1290"/>
      <c r="Z351" s="1854"/>
    </row>
    <row r="352" spans="1:26" x14ac:dyDescent="0.6">
      <c r="A352" s="1459"/>
      <c r="N352" s="1288"/>
      <c r="O352" s="1290"/>
      <c r="Z352" s="1854"/>
    </row>
    <row r="353" spans="1:26" x14ac:dyDescent="0.6">
      <c r="A353" s="1459"/>
      <c r="N353" s="1288"/>
      <c r="O353" s="1290"/>
      <c r="Z353" s="1854"/>
    </row>
    <row r="354" spans="1:26" x14ac:dyDescent="0.6">
      <c r="A354" s="1459"/>
      <c r="N354" s="1288"/>
      <c r="O354" s="1290"/>
      <c r="Z354" s="1854"/>
    </row>
    <row r="355" spans="1:26" x14ac:dyDescent="0.6">
      <c r="A355" s="1459"/>
      <c r="N355" s="1288"/>
      <c r="O355" s="1290"/>
      <c r="Z355" s="1854"/>
    </row>
    <row r="356" spans="1:26" x14ac:dyDescent="0.6">
      <c r="A356" s="1459"/>
      <c r="N356" s="1288"/>
      <c r="O356" s="1290"/>
      <c r="Z356" s="1854"/>
    </row>
    <row r="357" spans="1:26" x14ac:dyDescent="0.6">
      <c r="A357" s="1459"/>
      <c r="N357" s="1288"/>
      <c r="O357" s="1290"/>
      <c r="Z357" s="1854"/>
    </row>
    <row r="358" spans="1:26" x14ac:dyDescent="0.6">
      <c r="A358" s="1459"/>
      <c r="N358" s="1288"/>
      <c r="O358" s="1290"/>
      <c r="Z358" s="1854"/>
    </row>
    <row r="359" spans="1:26" x14ac:dyDescent="0.6">
      <c r="A359" s="1459"/>
      <c r="N359" s="1288"/>
      <c r="O359" s="1290"/>
      <c r="Z359" s="1854"/>
    </row>
    <row r="360" spans="1:26" x14ac:dyDescent="0.6">
      <c r="A360" s="1459"/>
      <c r="N360" s="1288"/>
      <c r="O360" s="1290"/>
      <c r="Z360" s="1854"/>
    </row>
    <row r="361" spans="1:26" x14ac:dyDescent="0.6">
      <c r="A361" s="1459"/>
      <c r="N361" s="1288"/>
      <c r="O361" s="1290"/>
      <c r="Z361" s="1854"/>
    </row>
    <row r="362" spans="1:26" x14ac:dyDescent="0.6">
      <c r="A362" s="1459"/>
      <c r="N362" s="1288"/>
      <c r="O362" s="1290"/>
      <c r="Z362" s="1854"/>
    </row>
    <row r="363" spans="1:26" x14ac:dyDescent="0.6">
      <c r="A363" s="1459"/>
      <c r="N363" s="1288"/>
      <c r="O363" s="1290"/>
      <c r="Z363" s="1854"/>
    </row>
    <row r="364" spans="1:26" x14ac:dyDescent="0.6">
      <c r="A364" s="1459"/>
      <c r="N364" s="1288"/>
      <c r="O364" s="1290"/>
      <c r="Z364" s="1854"/>
    </row>
    <row r="365" spans="1:26" x14ac:dyDescent="0.6">
      <c r="A365" s="1459"/>
      <c r="N365" s="1288"/>
      <c r="O365" s="1290"/>
      <c r="Z365" s="1854"/>
    </row>
    <row r="366" spans="1:26" x14ac:dyDescent="0.6">
      <c r="A366" s="1459"/>
      <c r="N366" s="1288"/>
      <c r="O366" s="1290"/>
      <c r="Z366" s="1854"/>
    </row>
    <row r="367" spans="1:26" x14ac:dyDescent="0.6">
      <c r="A367" s="1459"/>
      <c r="N367" s="1288"/>
      <c r="O367" s="1290"/>
      <c r="Z367" s="1854"/>
    </row>
    <row r="368" spans="1:26" x14ac:dyDescent="0.6">
      <c r="A368" s="1459"/>
      <c r="N368" s="1288"/>
      <c r="O368" s="1290"/>
      <c r="Z368" s="1854"/>
    </row>
    <row r="369" spans="1:26" x14ac:dyDescent="0.6">
      <c r="A369" s="1459"/>
      <c r="N369" s="1288"/>
      <c r="O369" s="1290"/>
      <c r="Z369" s="1854"/>
    </row>
    <row r="370" spans="1:26" x14ac:dyDescent="0.6">
      <c r="A370" s="1459"/>
      <c r="N370" s="1288"/>
      <c r="O370" s="1290"/>
      <c r="Z370" s="1854"/>
    </row>
    <row r="371" spans="1:26" x14ac:dyDescent="0.6">
      <c r="A371" s="1459"/>
      <c r="N371" s="1288"/>
      <c r="O371" s="1290"/>
      <c r="Z371" s="1854"/>
    </row>
    <row r="372" spans="1:26" x14ac:dyDescent="0.6">
      <c r="A372" s="1459"/>
      <c r="N372" s="1288"/>
      <c r="O372" s="1290"/>
      <c r="Z372" s="1854"/>
    </row>
    <row r="373" spans="1:26" x14ac:dyDescent="0.6">
      <c r="A373" s="1459"/>
      <c r="N373" s="1288"/>
      <c r="O373" s="1290"/>
      <c r="Z373" s="1854"/>
    </row>
    <row r="374" spans="1:26" x14ac:dyDescent="0.6">
      <c r="A374" s="1459"/>
      <c r="N374" s="1288"/>
      <c r="O374" s="1290"/>
      <c r="Z374" s="1854"/>
    </row>
    <row r="375" spans="1:26" x14ac:dyDescent="0.6">
      <c r="A375" s="1459"/>
      <c r="N375" s="1288"/>
      <c r="O375" s="1290"/>
      <c r="Z375" s="1854"/>
    </row>
    <row r="376" spans="1:26" x14ac:dyDescent="0.6">
      <c r="A376" s="1459"/>
      <c r="N376" s="1288"/>
      <c r="O376" s="1290"/>
      <c r="Z376" s="1854"/>
    </row>
    <row r="377" spans="1:26" x14ac:dyDescent="0.6">
      <c r="A377" s="1459"/>
      <c r="N377" s="1288"/>
      <c r="O377" s="1290"/>
      <c r="Z377" s="1854"/>
    </row>
    <row r="378" spans="1:26" x14ac:dyDescent="0.6">
      <c r="A378" s="1459"/>
      <c r="N378" s="1288"/>
      <c r="O378" s="1290"/>
      <c r="Z378" s="1854"/>
    </row>
    <row r="379" spans="1:26" x14ac:dyDescent="0.6">
      <c r="A379" s="1459"/>
      <c r="N379" s="1288"/>
      <c r="O379" s="1290"/>
      <c r="Z379" s="1854"/>
    </row>
    <row r="380" spans="1:26" x14ac:dyDescent="0.6">
      <c r="A380" s="1459"/>
      <c r="N380" s="1288"/>
      <c r="O380" s="1290"/>
      <c r="Z380" s="1854"/>
    </row>
    <row r="381" spans="1:26" x14ac:dyDescent="0.6">
      <c r="A381" s="1459"/>
      <c r="N381" s="1288"/>
      <c r="O381" s="1290"/>
      <c r="Z381" s="1854"/>
    </row>
    <row r="382" spans="1:26" x14ac:dyDescent="0.6">
      <c r="A382" s="1459"/>
      <c r="N382" s="1288"/>
      <c r="O382" s="1290"/>
      <c r="Z382" s="1854"/>
    </row>
    <row r="383" spans="1:26" x14ac:dyDescent="0.6">
      <c r="A383" s="1459"/>
      <c r="N383" s="1288"/>
      <c r="O383" s="1290"/>
      <c r="Z383" s="1854"/>
    </row>
    <row r="384" spans="1:26" x14ac:dyDescent="0.6">
      <c r="A384" s="1459"/>
      <c r="N384" s="1288"/>
      <c r="O384" s="1290"/>
      <c r="Z384" s="1854"/>
    </row>
    <row r="385" spans="1:26" x14ac:dyDescent="0.6">
      <c r="A385" s="1459"/>
      <c r="N385" s="1288"/>
      <c r="O385" s="1290"/>
      <c r="Z385" s="1854"/>
    </row>
    <row r="386" spans="1:26" x14ac:dyDescent="0.6">
      <c r="A386" s="1459"/>
      <c r="N386" s="1288"/>
      <c r="O386" s="1290"/>
      <c r="Z386" s="1854"/>
    </row>
    <row r="387" spans="1:26" x14ac:dyDescent="0.6">
      <c r="A387" s="1459"/>
      <c r="N387" s="1288"/>
      <c r="O387" s="1290"/>
      <c r="Z387" s="1854"/>
    </row>
    <row r="388" spans="1:26" x14ac:dyDescent="0.6">
      <c r="A388" s="1459"/>
      <c r="N388" s="1288"/>
      <c r="O388" s="1290"/>
      <c r="Z388" s="1854"/>
    </row>
    <row r="389" spans="1:26" x14ac:dyDescent="0.6">
      <c r="A389" s="1459"/>
      <c r="N389" s="1288"/>
      <c r="O389" s="1290"/>
      <c r="Z389" s="1854"/>
    </row>
    <row r="390" spans="1:26" x14ac:dyDescent="0.6">
      <c r="A390" s="1459"/>
      <c r="N390" s="1288"/>
      <c r="O390" s="1290"/>
      <c r="Z390" s="1854"/>
    </row>
    <row r="391" spans="1:26" x14ac:dyDescent="0.6">
      <c r="A391" s="1459"/>
      <c r="N391" s="1288"/>
      <c r="O391" s="1290"/>
      <c r="Z391" s="1854"/>
    </row>
    <row r="392" spans="1:26" x14ac:dyDescent="0.6">
      <c r="A392" s="1459"/>
      <c r="N392" s="1288"/>
      <c r="O392" s="1290"/>
      <c r="Z392" s="1854"/>
    </row>
    <row r="393" spans="1:26" x14ac:dyDescent="0.6">
      <c r="A393" s="1459"/>
      <c r="N393" s="1288"/>
      <c r="O393" s="1290"/>
      <c r="Z393" s="1854"/>
    </row>
    <row r="394" spans="1:26" x14ac:dyDescent="0.6">
      <c r="A394" s="1459"/>
      <c r="N394" s="1288"/>
      <c r="O394" s="1290"/>
      <c r="Z394" s="1854"/>
    </row>
    <row r="395" spans="1:26" x14ac:dyDescent="0.6">
      <c r="A395" s="1459"/>
      <c r="N395" s="1288"/>
      <c r="O395" s="1290"/>
      <c r="Z395" s="1854"/>
    </row>
    <row r="396" spans="1:26" x14ac:dyDescent="0.6">
      <c r="A396" s="1459"/>
      <c r="N396" s="1288"/>
      <c r="O396" s="1290"/>
      <c r="Z396" s="1854"/>
    </row>
    <row r="397" spans="1:26" x14ac:dyDescent="0.6">
      <c r="A397" s="1459"/>
      <c r="N397" s="1288"/>
      <c r="O397" s="1290"/>
      <c r="Z397" s="1854"/>
    </row>
    <row r="398" spans="1:26" x14ac:dyDescent="0.6">
      <c r="A398" s="1459"/>
      <c r="N398" s="1288"/>
      <c r="O398" s="1290"/>
      <c r="Z398" s="1854"/>
    </row>
    <row r="399" spans="1:26" x14ac:dyDescent="0.6">
      <c r="A399" s="1459"/>
      <c r="N399" s="1288"/>
      <c r="O399" s="1290"/>
      <c r="Z399" s="1854"/>
    </row>
    <row r="400" spans="1:26" x14ac:dyDescent="0.6">
      <c r="A400" s="1459"/>
      <c r="N400" s="1288"/>
      <c r="O400" s="1290"/>
      <c r="Z400" s="1854"/>
    </row>
    <row r="401" spans="1:26" x14ac:dyDescent="0.6">
      <c r="A401" s="1459"/>
      <c r="N401" s="1288"/>
      <c r="O401" s="1290"/>
      <c r="Z401" s="1854"/>
    </row>
    <row r="402" spans="1:26" x14ac:dyDescent="0.6">
      <c r="A402" s="1459"/>
      <c r="N402" s="1288"/>
      <c r="O402" s="1290"/>
      <c r="Z402" s="1854"/>
    </row>
    <row r="403" spans="1:26" x14ac:dyDescent="0.6">
      <c r="A403" s="1459"/>
      <c r="N403" s="1288"/>
      <c r="O403" s="1290"/>
      <c r="Z403" s="1854"/>
    </row>
    <row r="404" spans="1:26" x14ac:dyDescent="0.6">
      <c r="A404" s="1459"/>
      <c r="N404" s="1288"/>
      <c r="O404" s="1290"/>
      <c r="Z404" s="1854"/>
    </row>
    <row r="405" spans="1:26" x14ac:dyDescent="0.6">
      <c r="A405" s="1459"/>
      <c r="N405" s="1288"/>
      <c r="O405" s="1290"/>
      <c r="Z405" s="1854"/>
    </row>
    <row r="406" spans="1:26" x14ac:dyDescent="0.6">
      <c r="A406" s="1459"/>
      <c r="N406" s="1288"/>
      <c r="O406" s="1290"/>
      <c r="Z406" s="1854"/>
    </row>
    <row r="407" spans="1:26" x14ac:dyDescent="0.6">
      <c r="A407" s="1459"/>
      <c r="N407" s="1288"/>
      <c r="O407" s="1290"/>
      <c r="Z407" s="1854"/>
    </row>
    <row r="408" spans="1:26" x14ac:dyDescent="0.6">
      <c r="A408" s="1459"/>
      <c r="N408" s="1288"/>
      <c r="O408" s="1290"/>
      <c r="Z408" s="1854"/>
    </row>
    <row r="409" spans="1:26" x14ac:dyDescent="0.6">
      <c r="A409" s="1459"/>
      <c r="N409" s="1288"/>
      <c r="O409" s="1290"/>
      <c r="Z409" s="1854"/>
    </row>
    <row r="410" spans="1:26" x14ac:dyDescent="0.6">
      <c r="A410" s="1459"/>
      <c r="N410" s="1288"/>
      <c r="O410" s="1290"/>
      <c r="Z410" s="1854"/>
    </row>
    <row r="411" spans="1:26" x14ac:dyDescent="0.6">
      <c r="A411" s="1459"/>
      <c r="N411" s="1288"/>
      <c r="O411" s="1290"/>
      <c r="Z411" s="1854"/>
    </row>
    <row r="412" spans="1:26" x14ac:dyDescent="0.6">
      <c r="A412" s="1459"/>
      <c r="N412" s="1288"/>
      <c r="O412" s="1290"/>
      <c r="Z412" s="1854"/>
    </row>
    <row r="413" spans="1:26" x14ac:dyDescent="0.6">
      <c r="A413" s="1459"/>
      <c r="N413" s="1288"/>
      <c r="O413" s="1290"/>
      <c r="Z413" s="1854"/>
    </row>
    <row r="414" spans="1:26" x14ac:dyDescent="0.6">
      <c r="A414" s="1459"/>
      <c r="N414" s="1288"/>
      <c r="O414" s="1290"/>
      <c r="Z414" s="1854"/>
    </row>
    <row r="415" spans="1:26" x14ac:dyDescent="0.6">
      <c r="A415" s="1459"/>
      <c r="N415" s="1288"/>
      <c r="O415" s="1290"/>
      <c r="Z415" s="1854"/>
    </row>
    <row r="416" spans="1:26" x14ac:dyDescent="0.6">
      <c r="A416" s="1459"/>
      <c r="N416" s="1288"/>
      <c r="O416" s="1290"/>
      <c r="Z416" s="1854"/>
    </row>
    <row r="417" spans="1:26" x14ac:dyDescent="0.6">
      <c r="A417" s="1459"/>
      <c r="N417" s="1288"/>
      <c r="O417" s="1290"/>
      <c r="Z417" s="1854"/>
    </row>
    <row r="418" spans="1:26" x14ac:dyDescent="0.6">
      <c r="A418" s="1459"/>
      <c r="N418" s="1288"/>
      <c r="O418" s="1290"/>
      <c r="Z418" s="1854"/>
    </row>
    <row r="419" spans="1:26" x14ac:dyDescent="0.6">
      <c r="A419" s="1459"/>
      <c r="N419" s="1288"/>
      <c r="O419" s="1290"/>
      <c r="Z419" s="1854"/>
    </row>
    <row r="420" spans="1:26" x14ac:dyDescent="0.6">
      <c r="A420" s="1459"/>
      <c r="N420" s="1288"/>
      <c r="O420" s="1290"/>
      <c r="Z420" s="1854"/>
    </row>
    <row r="421" spans="1:26" x14ac:dyDescent="0.6">
      <c r="A421" s="1459"/>
      <c r="N421" s="1288"/>
      <c r="O421" s="1290"/>
      <c r="Z421" s="1854"/>
    </row>
    <row r="422" spans="1:26" x14ac:dyDescent="0.6">
      <c r="A422" s="1459"/>
      <c r="N422" s="1288"/>
      <c r="O422" s="1290"/>
      <c r="Z422" s="1854"/>
    </row>
    <row r="423" spans="1:26" x14ac:dyDescent="0.6">
      <c r="A423" s="1459"/>
      <c r="N423" s="1288"/>
      <c r="O423" s="1290"/>
      <c r="Z423" s="1854"/>
    </row>
    <row r="424" spans="1:26" x14ac:dyDescent="0.6">
      <c r="A424" s="1459"/>
      <c r="N424" s="1288"/>
      <c r="O424" s="1290"/>
      <c r="Z424" s="1854"/>
    </row>
    <row r="425" spans="1:26" x14ac:dyDescent="0.6">
      <c r="A425" s="1459"/>
      <c r="N425" s="1288"/>
      <c r="O425" s="1290"/>
      <c r="Z425" s="1854"/>
    </row>
    <row r="426" spans="1:26" x14ac:dyDescent="0.6">
      <c r="A426" s="1459"/>
      <c r="N426" s="1288"/>
      <c r="O426" s="1290"/>
      <c r="Z426" s="1854"/>
    </row>
    <row r="427" spans="1:26" x14ac:dyDescent="0.6">
      <c r="A427" s="1459"/>
      <c r="N427" s="1288"/>
      <c r="O427" s="1290"/>
      <c r="Z427" s="1854"/>
    </row>
    <row r="428" spans="1:26" x14ac:dyDescent="0.6">
      <c r="A428" s="1459"/>
      <c r="N428" s="1288"/>
      <c r="O428" s="1290"/>
      <c r="Z428" s="1854"/>
    </row>
    <row r="429" spans="1:26" x14ac:dyDescent="0.6">
      <c r="A429" s="1459"/>
      <c r="N429" s="1288"/>
      <c r="O429" s="1290"/>
      <c r="Z429" s="1854"/>
    </row>
    <row r="430" spans="1:26" x14ac:dyDescent="0.6">
      <c r="A430" s="1459"/>
      <c r="N430" s="1288"/>
      <c r="O430" s="1290"/>
      <c r="Z430" s="1854"/>
    </row>
    <row r="431" spans="1:26" x14ac:dyDescent="0.6">
      <c r="A431" s="1459"/>
      <c r="N431" s="1288"/>
      <c r="O431" s="1290"/>
      <c r="Z431" s="1854"/>
    </row>
    <row r="432" spans="1:26" x14ac:dyDescent="0.6">
      <c r="A432" s="1459"/>
      <c r="N432" s="1288"/>
      <c r="O432" s="1290"/>
      <c r="Z432" s="1854"/>
    </row>
    <row r="433" spans="1:26" x14ac:dyDescent="0.6">
      <c r="A433" s="1459"/>
      <c r="N433" s="1288"/>
      <c r="O433" s="1290"/>
      <c r="Z433" s="1854"/>
    </row>
    <row r="434" spans="1:26" x14ac:dyDescent="0.6">
      <c r="A434" s="1459"/>
      <c r="N434" s="1288"/>
      <c r="O434" s="1290"/>
      <c r="Z434" s="1854"/>
    </row>
    <row r="435" spans="1:26" x14ac:dyDescent="0.6">
      <c r="A435" s="1459"/>
      <c r="N435" s="1288"/>
      <c r="O435" s="1290"/>
      <c r="Z435" s="1854"/>
    </row>
    <row r="436" spans="1:26" x14ac:dyDescent="0.6">
      <c r="A436" s="1459"/>
      <c r="N436" s="1288"/>
      <c r="O436" s="1290"/>
      <c r="Z436" s="1854"/>
    </row>
    <row r="437" spans="1:26" x14ac:dyDescent="0.6">
      <c r="A437" s="1459"/>
      <c r="N437" s="1288"/>
      <c r="O437" s="1290"/>
      <c r="Z437" s="1854"/>
    </row>
    <row r="438" spans="1:26" x14ac:dyDescent="0.6">
      <c r="A438" s="1459"/>
      <c r="N438" s="1288"/>
      <c r="O438" s="1290"/>
      <c r="Z438" s="1854"/>
    </row>
    <row r="439" spans="1:26" x14ac:dyDescent="0.6">
      <c r="A439" s="1459"/>
      <c r="N439" s="1288"/>
      <c r="O439" s="1290"/>
      <c r="Z439" s="1854"/>
    </row>
    <row r="440" spans="1:26" x14ac:dyDescent="0.6">
      <c r="A440" s="1459"/>
      <c r="N440" s="1288"/>
      <c r="O440" s="1290"/>
      <c r="Z440" s="1854"/>
    </row>
    <row r="441" spans="1:26" x14ac:dyDescent="0.6">
      <c r="A441" s="1459"/>
      <c r="N441" s="1288"/>
      <c r="O441" s="1290"/>
      <c r="Z441" s="1854"/>
    </row>
    <row r="442" spans="1:26" x14ac:dyDescent="0.6">
      <c r="A442" s="1459"/>
      <c r="N442" s="1288"/>
      <c r="O442" s="1290"/>
      <c r="Z442" s="1854"/>
    </row>
    <row r="443" spans="1:26" x14ac:dyDescent="0.6">
      <c r="A443" s="1459"/>
      <c r="N443" s="1288"/>
      <c r="O443" s="1290"/>
      <c r="Z443" s="1854"/>
    </row>
    <row r="444" spans="1:26" x14ac:dyDescent="0.6">
      <c r="A444" s="1459"/>
      <c r="N444" s="1288"/>
      <c r="O444" s="1290"/>
      <c r="Z444" s="1854"/>
    </row>
    <row r="445" spans="1:26" x14ac:dyDescent="0.6">
      <c r="A445" s="1459"/>
      <c r="N445" s="1288"/>
      <c r="O445" s="1290"/>
      <c r="Z445" s="1854"/>
    </row>
    <row r="446" spans="1:26" x14ac:dyDescent="0.6">
      <c r="A446" s="1459"/>
      <c r="N446" s="1288"/>
      <c r="O446" s="1290"/>
      <c r="Z446" s="1854"/>
    </row>
    <row r="447" spans="1:26" x14ac:dyDescent="0.6">
      <c r="A447" s="1459"/>
      <c r="N447" s="1288"/>
      <c r="O447" s="1290"/>
      <c r="Z447" s="1854"/>
    </row>
    <row r="448" spans="1:26" x14ac:dyDescent="0.6">
      <c r="A448" s="1459"/>
      <c r="N448" s="1288"/>
      <c r="O448" s="1290"/>
      <c r="Z448" s="1854"/>
    </row>
    <row r="449" spans="1:26" x14ac:dyDescent="0.6">
      <c r="A449" s="1459"/>
      <c r="N449" s="1288"/>
      <c r="O449" s="1290"/>
      <c r="Z449" s="1854"/>
    </row>
    <row r="450" spans="1:26" x14ac:dyDescent="0.6">
      <c r="A450" s="1459"/>
      <c r="N450" s="1288"/>
      <c r="O450" s="1290"/>
      <c r="Z450" s="1854"/>
    </row>
    <row r="451" spans="1:26" x14ac:dyDescent="0.6">
      <c r="A451" s="1459"/>
      <c r="N451" s="1288"/>
      <c r="O451" s="1290"/>
      <c r="Z451" s="1854"/>
    </row>
    <row r="452" spans="1:26" x14ac:dyDescent="0.6">
      <c r="A452" s="1459"/>
      <c r="N452" s="1288"/>
      <c r="O452" s="1290"/>
      <c r="Z452" s="1854"/>
    </row>
    <row r="453" spans="1:26" x14ac:dyDescent="0.6">
      <c r="A453" s="1459"/>
      <c r="N453" s="1288"/>
      <c r="O453" s="1290"/>
      <c r="Z453" s="1854"/>
    </row>
    <row r="454" spans="1:26" x14ac:dyDescent="0.6">
      <c r="A454" s="1459"/>
      <c r="N454" s="1288"/>
      <c r="O454" s="1290"/>
      <c r="Z454" s="1854"/>
    </row>
    <row r="455" spans="1:26" x14ac:dyDescent="0.6">
      <c r="A455" s="1459"/>
      <c r="N455" s="1288"/>
      <c r="O455" s="1290"/>
      <c r="Z455" s="1854"/>
    </row>
    <row r="456" spans="1:26" x14ac:dyDescent="0.6">
      <c r="A456" s="1459"/>
      <c r="N456" s="1288"/>
      <c r="O456" s="1290"/>
      <c r="Z456" s="1854"/>
    </row>
    <row r="457" spans="1:26" x14ac:dyDescent="0.6">
      <c r="A457" s="1459"/>
      <c r="N457" s="1288"/>
      <c r="O457" s="1290"/>
      <c r="Z457" s="1854"/>
    </row>
    <row r="458" spans="1:26" x14ac:dyDescent="0.6">
      <c r="A458" s="1459"/>
      <c r="N458" s="1288"/>
      <c r="O458" s="1290"/>
      <c r="Z458" s="1854"/>
    </row>
    <row r="459" spans="1:26" x14ac:dyDescent="0.6">
      <c r="A459" s="1459"/>
      <c r="N459" s="1288"/>
      <c r="O459" s="1290"/>
      <c r="Z459" s="1854"/>
    </row>
    <row r="460" spans="1:26" x14ac:dyDescent="0.6">
      <c r="A460" s="1459"/>
      <c r="N460" s="1288"/>
      <c r="O460" s="1290"/>
      <c r="Z460" s="1854"/>
    </row>
    <row r="461" spans="1:26" x14ac:dyDescent="0.6">
      <c r="A461" s="1459"/>
      <c r="N461" s="1288"/>
      <c r="O461" s="1290"/>
      <c r="Z461" s="1854"/>
    </row>
    <row r="462" spans="1:26" x14ac:dyDescent="0.6">
      <c r="A462" s="1459"/>
      <c r="N462" s="1288"/>
      <c r="O462" s="1290"/>
      <c r="Z462" s="1854"/>
    </row>
    <row r="463" spans="1:26" x14ac:dyDescent="0.6">
      <c r="A463" s="1459"/>
      <c r="N463" s="1288"/>
      <c r="O463" s="1290"/>
      <c r="Z463" s="1854"/>
    </row>
    <row r="464" spans="1:26" x14ac:dyDescent="0.6">
      <c r="A464" s="1459"/>
      <c r="N464" s="1288"/>
      <c r="O464" s="1290"/>
      <c r="Z464" s="1854"/>
    </row>
    <row r="465" spans="1:26" x14ac:dyDescent="0.6">
      <c r="A465" s="1459"/>
      <c r="N465" s="1288"/>
      <c r="O465" s="1290"/>
      <c r="Z465" s="1854"/>
    </row>
    <row r="466" spans="1:26" x14ac:dyDescent="0.6">
      <c r="A466" s="1459"/>
      <c r="N466" s="1288"/>
      <c r="O466" s="1290"/>
      <c r="Z466" s="1854"/>
    </row>
    <row r="467" spans="1:26" x14ac:dyDescent="0.6">
      <c r="A467" s="1459"/>
      <c r="N467" s="1288"/>
      <c r="O467" s="1290"/>
      <c r="Z467" s="1854"/>
    </row>
    <row r="468" spans="1:26" x14ac:dyDescent="0.6">
      <c r="A468" s="1459"/>
      <c r="N468" s="1288"/>
      <c r="O468" s="1290"/>
      <c r="Z468" s="1854"/>
    </row>
    <row r="469" spans="1:26" x14ac:dyDescent="0.6">
      <c r="A469" s="1459"/>
      <c r="N469" s="1288"/>
      <c r="O469" s="1290"/>
      <c r="Z469" s="1854"/>
    </row>
    <row r="470" spans="1:26" x14ac:dyDescent="0.6">
      <c r="A470" s="1459"/>
      <c r="N470" s="1288"/>
      <c r="O470" s="1290"/>
      <c r="Z470" s="1854"/>
    </row>
    <row r="471" spans="1:26" x14ac:dyDescent="0.6">
      <c r="A471" s="1459"/>
      <c r="N471" s="1288"/>
      <c r="O471" s="1290"/>
      <c r="Z471" s="1854"/>
    </row>
    <row r="472" spans="1:26" x14ac:dyDescent="0.6">
      <c r="A472" s="1459"/>
      <c r="N472" s="1288"/>
      <c r="O472" s="1290"/>
      <c r="Z472" s="1854"/>
    </row>
    <row r="473" spans="1:26" x14ac:dyDescent="0.6">
      <c r="A473" s="1459"/>
      <c r="N473" s="1288"/>
      <c r="O473" s="1290"/>
      <c r="Z473" s="1854"/>
    </row>
    <row r="474" spans="1:26" x14ac:dyDescent="0.6">
      <c r="A474" s="1459"/>
      <c r="N474" s="1288"/>
      <c r="O474" s="1290"/>
      <c r="Z474" s="1854"/>
    </row>
    <row r="475" spans="1:26" x14ac:dyDescent="0.6">
      <c r="A475" s="1459"/>
      <c r="N475" s="1288"/>
      <c r="O475" s="1290"/>
      <c r="Z475" s="1854"/>
    </row>
    <row r="476" spans="1:26" x14ac:dyDescent="0.6">
      <c r="A476" s="1459"/>
      <c r="N476" s="1288"/>
      <c r="O476" s="1290"/>
      <c r="Z476" s="1854"/>
    </row>
    <row r="477" spans="1:26" x14ac:dyDescent="0.6">
      <c r="A477" s="1459"/>
      <c r="N477" s="1288"/>
      <c r="O477" s="1290"/>
      <c r="Z477" s="1854"/>
    </row>
    <row r="478" spans="1:26" x14ac:dyDescent="0.6">
      <c r="A478" s="1459"/>
      <c r="N478" s="1288"/>
      <c r="O478" s="1290"/>
      <c r="Z478" s="1854"/>
    </row>
    <row r="479" spans="1:26" x14ac:dyDescent="0.6">
      <c r="A479" s="1459"/>
      <c r="N479" s="1288"/>
      <c r="O479" s="1290"/>
      <c r="Z479" s="1854"/>
    </row>
    <row r="480" spans="1:26" x14ac:dyDescent="0.6">
      <c r="A480" s="1459"/>
      <c r="N480" s="1288"/>
      <c r="O480" s="1290"/>
      <c r="Z480" s="1854"/>
    </row>
    <row r="481" spans="1:26" x14ac:dyDescent="0.6">
      <c r="A481" s="1459"/>
      <c r="N481" s="1288"/>
      <c r="O481" s="1290"/>
      <c r="Z481" s="1854"/>
    </row>
    <row r="482" spans="1:26" x14ac:dyDescent="0.6">
      <c r="A482" s="1459"/>
      <c r="N482" s="1288"/>
      <c r="O482" s="1290"/>
      <c r="Z482" s="1854"/>
    </row>
    <row r="483" spans="1:26" x14ac:dyDescent="0.6">
      <c r="A483" s="1459"/>
      <c r="N483" s="1288"/>
      <c r="O483" s="1290"/>
      <c r="Z483" s="1854"/>
    </row>
    <row r="484" spans="1:26" x14ac:dyDescent="0.6">
      <c r="A484" s="1459"/>
      <c r="N484" s="1288"/>
      <c r="O484" s="1290"/>
      <c r="Z484" s="1854"/>
    </row>
    <row r="485" spans="1:26" x14ac:dyDescent="0.6">
      <c r="A485" s="1459"/>
      <c r="N485" s="1288"/>
      <c r="O485" s="1290"/>
      <c r="Z485" s="1854"/>
    </row>
    <row r="486" spans="1:26" x14ac:dyDescent="0.6">
      <c r="A486" s="1459"/>
      <c r="N486" s="1288"/>
      <c r="O486" s="1290"/>
      <c r="Z486" s="1854"/>
    </row>
    <row r="487" spans="1:26" x14ac:dyDescent="0.6">
      <c r="A487" s="1459"/>
      <c r="N487" s="1288"/>
      <c r="O487" s="1290"/>
      <c r="Z487" s="1854"/>
    </row>
    <row r="488" spans="1:26" x14ac:dyDescent="0.6">
      <c r="A488" s="1459"/>
      <c r="N488" s="1288"/>
      <c r="O488" s="1290"/>
      <c r="Z488" s="1854"/>
    </row>
    <row r="489" spans="1:26" x14ac:dyDescent="0.6">
      <c r="A489" s="1459"/>
      <c r="N489" s="1288"/>
      <c r="O489" s="1290"/>
      <c r="Z489" s="1854"/>
    </row>
    <row r="490" spans="1:26" x14ac:dyDescent="0.6">
      <c r="A490" s="1459"/>
      <c r="N490" s="1288"/>
      <c r="O490" s="1290"/>
      <c r="Z490" s="1854"/>
    </row>
    <row r="491" spans="1:26" x14ac:dyDescent="0.6">
      <c r="A491" s="1459"/>
      <c r="N491" s="1288"/>
      <c r="O491" s="1290"/>
      <c r="Z491" s="1854"/>
    </row>
    <row r="492" spans="1:26" x14ac:dyDescent="0.6">
      <c r="A492" s="1459"/>
      <c r="N492" s="1288"/>
      <c r="O492" s="1290"/>
      <c r="Z492" s="1854"/>
    </row>
    <row r="493" spans="1:26" x14ac:dyDescent="0.6">
      <c r="A493" s="1459"/>
      <c r="N493" s="1288"/>
      <c r="O493" s="1290"/>
      <c r="Z493" s="1854"/>
    </row>
    <row r="494" spans="1:26" x14ac:dyDescent="0.6">
      <c r="A494" s="1459"/>
      <c r="N494" s="1288"/>
      <c r="O494" s="1290"/>
      <c r="Z494" s="1854"/>
    </row>
    <row r="495" spans="1:26" x14ac:dyDescent="0.6">
      <c r="A495" s="1459"/>
      <c r="N495" s="1288"/>
      <c r="O495" s="1290"/>
      <c r="Z495" s="1854"/>
    </row>
    <row r="496" spans="1:26" x14ac:dyDescent="0.6">
      <c r="A496" s="1459"/>
      <c r="N496" s="1288"/>
      <c r="O496" s="1290"/>
      <c r="Z496" s="1854"/>
    </row>
    <row r="497" spans="1:26" x14ac:dyDescent="0.6">
      <c r="A497" s="1459"/>
      <c r="N497" s="1288"/>
      <c r="O497" s="1290"/>
      <c r="Z497" s="1854"/>
    </row>
    <row r="498" spans="1:26" x14ac:dyDescent="0.6">
      <c r="A498" s="1459"/>
      <c r="N498" s="1288"/>
      <c r="O498" s="1290"/>
      <c r="Z498" s="1854"/>
    </row>
    <row r="499" spans="1:26" x14ac:dyDescent="0.6">
      <c r="A499" s="1459"/>
      <c r="N499" s="1288"/>
      <c r="O499" s="1290"/>
      <c r="Z499" s="1854"/>
    </row>
    <row r="500" spans="1:26" x14ac:dyDescent="0.6">
      <c r="A500" s="1459"/>
      <c r="N500" s="1288"/>
      <c r="O500" s="1290"/>
      <c r="Z500" s="1854"/>
    </row>
    <row r="501" spans="1:26" x14ac:dyDescent="0.6">
      <c r="A501" s="1459"/>
      <c r="N501" s="1288"/>
      <c r="O501" s="1290"/>
      <c r="Z501" s="1854"/>
    </row>
    <row r="502" spans="1:26" x14ac:dyDescent="0.6">
      <c r="A502" s="1459"/>
      <c r="N502" s="1288"/>
      <c r="O502" s="1290"/>
      <c r="Z502" s="1854"/>
    </row>
    <row r="503" spans="1:26" x14ac:dyDescent="0.6">
      <c r="A503" s="1459"/>
      <c r="N503" s="1288"/>
      <c r="O503" s="1290"/>
      <c r="Z503" s="1854"/>
    </row>
    <row r="504" spans="1:26" x14ac:dyDescent="0.6">
      <c r="A504" s="1459"/>
      <c r="N504" s="1288"/>
      <c r="O504" s="1290"/>
      <c r="Z504" s="1854"/>
    </row>
    <row r="505" spans="1:26" x14ac:dyDescent="0.6">
      <c r="A505" s="1459"/>
      <c r="N505" s="1288"/>
      <c r="O505" s="1290"/>
      <c r="Z505" s="1854"/>
    </row>
    <row r="506" spans="1:26" x14ac:dyDescent="0.6">
      <c r="A506" s="1459"/>
      <c r="N506" s="1288"/>
      <c r="O506" s="1290"/>
      <c r="Z506" s="1854"/>
    </row>
    <row r="507" spans="1:26" x14ac:dyDescent="0.6">
      <c r="A507" s="1459"/>
      <c r="N507" s="1288"/>
      <c r="O507" s="1290"/>
      <c r="Z507" s="1854"/>
    </row>
    <row r="508" spans="1:26" x14ac:dyDescent="0.6">
      <c r="A508" s="1459"/>
      <c r="N508" s="1288"/>
      <c r="O508" s="1290"/>
      <c r="Z508" s="1854"/>
    </row>
    <row r="509" spans="1:26" x14ac:dyDescent="0.6">
      <c r="A509" s="1459"/>
      <c r="N509" s="1288"/>
      <c r="O509" s="1290"/>
      <c r="Z509" s="1854"/>
    </row>
    <row r="510" spans="1:26" x14ac:dyDescent="0.6">
      <c r="A510" s="1459"/>
      <c r="N510" s="1288"/>
      <c r="O510" s="1290"/>
      <c r="Z510" s="1854"/>
    </row>
    <row r="511" spans="1:26" x14ac:dyDescent="0.6">
      <c r="A511" s="1459"/>
      <c r="N511" s="1288"/>
      <c r="O511" s="1290"/>
      <c r="Z511" s="1854"/>
    </row>
    <row r="512" spans="1:26" x14ac:dyDescent="0.6">
      <c r="A512" s="1459"/>
      <c r="N512" s="1288"/>
      <c r="O512" s="1290"/>
      <c r="Z512" s="1854"/>
    </row>
    <row r="513" spans="1:26" x14ac:dyDescent="0.6">
      <c r="A513" s="1459"/>
      <c r="N513" s="1288"/>
      <c r="O513" s="1290"/>
      <c r="Z513" s="1854"/>
    </row>
    <row r="514" spans="1:26" x14ac:dyDescent="0.6">
      <c r="A514" s="1459"/>
      <c r="N514" s="1288"/>
      <c r="O514" s="1290"/>
      <c r="Z514" s="1854"/>
    </row>
    <row r="515" spans="1:26" x14ac:dyDescent="0.6">
      <c r="A515" s="1459"/>
      <c r="N515" s="1288"/>
      <c r="O515" s="1290"/>
      <c r="Z515" s="1854"/>
    </row>
    <row r="516" spans="1:26" x14ac:dyDescent="0.6">
      <c r="A516" s="1459"/>
      <c r="N516" s="1288"/>
      <c r="O516" s="1290"/>
      <c r="Z516" s="1854"/>
    </row>
    <row r="517" spans="1:26" x14ac:dyDescent="0.6">
      <c r="A517" s="1459"/>
      <c r="N517" s="1288"/>
      <c r="O517" s="1290"/>
      <c r="Z517" s="1854"/>
    </row>
    <row r="518" spans="1:26" x14ac:dyDescent="0.6">
      <c r="A518" s="1459"/>
      <c r="N518" s="1288"/>
      <c r="O518" s="1290"/>
      <c r="Z518" s="1854"/>
    </row>
    <row r="519" spans="1:26" x14ac:dyDescent="0.6">
      <c r="A519" s="1459"/>
      <c r="N519" s="1288"/>
      <c r="O519" s="1290"/>
      <c r="Z519" s="1854"/>
    </row>
    <row r="520" spans="1:26" x14ac:dyDescent="0.6">
      <c r="A520" s="1459"/>
      <c r="N520" s="1288"/>
      <c r="O520" s="1290"/>
      <c r="Z520" s="1854"/>
    </row>
    <row r="521" spans="1:26" x14ac:dyDescent="0.6">
      <c r="A521" s="1459"/>
      <c r="N521" s="1288"/>
      <c r="O521" s="1290"/>
      <c r="Z521" s="1854"/>
    </row>
    <row r="522" spans="1:26" x14ac:dyDescent="0.6">
      <c r="A522" s="1459"/>
      <c r="N522" s="1288"/>
      <c r="O522" s="1290"/>
      <c r="Z522" s="1854"/>
    </row>
    <row r="523" spans="1:26" x14ac:dyDescent="0.6">
      <c r="A523" s="1459"/>
      <c r="N523" s="1288"/>
      <c r="O523" s="1290"/>
      <c r="Z523" s="1854"/>
    </row>
    <row r="524" spans="1:26" x14ac:dyDescent="0.6">
      <c r="A524" s="1459"/>
      <c r="N524" s="1288"/>
      <c r="O524" s="1290"/>
      <c r="Z524" s="1854"/>
    </row>
    <row r="525" spans="1:26" x14ac:dyDescent="0.6">
      <c r="A525" s="1459"/>
      <c r="N525" s="1288"/>
      <c r="O525" s="1290"/>
      <c r="Z525" s="1854"/>
    </row>
    <row r="526" spans="1:26" x14ac:dyDescent="0.6">
      <c r="A526" s="1459"/>
      <c r="N526" s="1288"/>
      <c r="O526" s="1290"/>
      <c r="Z526" s="1854"/>
    </row>
    <row r="527" spans="1:26" x14ac:dyDescent="0.6">
      <c r="A527" s="1459"/>
      <c r="N527" s="1288"/>
      <c r="O527" s="1290"/>
      <c r="Z527" s="1854"/>
    </row>
    <row r="528" spans="1:26" x14ac:dyDescent="0.6">
      <c r="A528" s="1459"/>
      <c r="N528" s="1288"/>
      <c r="O528" s="1290"/>
      <c r="Z528" s="1854"/>
    </row>
    <row r="529" spans="1:26" x14ac:dyDescent="0.6">
      <c r="A529" s="1459"/>
      <c r="N529" s="1288"/>
      <c r="O529" s="1290"/>
      <c r="Z529" s="1854"/>
    </row>
    <row r="530" spans="1:26" x14ac:dyDescent="0.6">
      <c r="A530" s="1459"/>
      <c r="N530" s="1288"/>
      <c r="O530" s="1290"/>
      <c r="Z530" s="1854"/>
    </row>
    <row r="531" spans="1:26" x14ac:dyDescent="0.6">
      <c r="A531" s="1459"/>
      <c r="N531" s="1288"/>
      <c r="O531" s="1290"/>
      <c r="Z531" s="1854"/>
    </row>
    <row r="532" spans="1:26" x14ac:dyDescent="0.6">
      <c r="A532" s="1459"/>
      <c r="N532" s="1288"/>
      <c r="O532" s="1290"/>
      <c r="Z532" s="1854"/>
    </row>
    <row r="533" spans="1:26" x14ac:dyDescent="0.6">
      <c r="A533" s="1459"/>
      <c r="N533" s="1288"/>
      <c r="O533" s="1290"/>
      <c r="Z533" s="1854"/>
    </row>
    <row r="534" spans="1:26" x14ac:dyDescent="0.6">
      <c r="A534" s="1459"/>
      <c r="N534" s="1288"/>
      <c r="O534" s="1290"/>
      <c r="Z534" s="1854"/>
    </row>
    <row r="535" spans="1:26" x14ac:dyDescent="0.6">
      <c r="A535" s="1459"/>
      <c r="N535" s="1288"/>
      <c r="O535" s="1290"/>
      <c r="Z535" s="1854"/>
    </row>
    <row r="536" spans="1:26" x14ac:dyDescent="0.6">
      <c r="A536" s="1459"/>
      <c r="N536" s="1288"/>
      <c r="O536" s="1290"/>
      <c r="Z536" s="1854"/>
    </row>
    <row r="537" spans="1:26" x14ac:dyDescent="0.6">
      <c r="A537" s="1459"/>
      <c r="N537" s="1288"/>
      <c r="O537" s="1290"/>
      <c r="Z537" s="1854"/>
    </row>
    <row r="538" spans="1:26" x14ac:dyDescent="0.6">
      <c r="A538" s="1459"/>
      <c r="N538" s="1288"/>
      <c r="O538" s="1290"/>
      <c r="Z538" s="1854"/>
    </row>
    <row r="539" spans="1:26" x14ac:dyDescent="0.6">
      <c r="A539" s="1459"/>
      <c r="N539" s="1288"/>
      <c r="O539" s="1290"/>
      <c r="Z539" s="1854"/>
    </row>
    <row r="540" spans="1:26" x14ac:dyDescent="0.6">
      <c r="A540" s="1459"/>
      <c r="N540" s="1288"/>
      <c r="O540" s="1290"/>
      <c r="Z540" s="1854"/>
    </row>
    <row r="541" spans="1:26" x14ac:dyDescent="0.6">
      <c r="A541" s="1459"/>
      <c r="N541" s="1288"/>
      <c r="O541" s="1290"/>
      <c r="Z541" s="1854"/>
    </row>
    <row r="542" spans="1:26" x14ac:dyDescent="0.6">
      <c r="A542" s="1459"/>
      <c r="N542" s="1288"/>
      <c r="O542" s="1290"/>
      <c r="Z542" s="1854"/>
    </row>
    <row r="543" spans="1:26" x14ac:dyDescent="0.6">
      <c r="A543" s="1459"/>
      <c r="N543" s="1288"/>
      <c r="O543" s="1290"/>
      <c r="Z543" s="1854"/>
    </row>
    <row r="544" spans="1:26" x14ac:dyDescent="0.6">
      <c r="A544" s="1459"/>
      <c r="N544" s="1288"/>
      <c r="O544" s="1290"/>
      <c r="Z544" s="1854"/>
    </row>
    <row r="545" spans="1:26" x14ac:dyDescent="0.6">
      <c r="A545" s="1459"/>
      <c r="N545" s="1288"/>
      <c r="O545" s="1290"/>
      <c r="Z545" s="1854"/>
    </row>
    <row r="546" spans="1:26" x14ac:dyDescent="0.6">
      <c r="A546" s="1459"/>
      <c r="N546" s="1288"/>
      <c r="O546" s="1290"/>
      <c r="Z546" s="1854"/>
    </row>
    <row r="547" spans="1:26" x14ac:dyDescent="0.6">
      <c r="A547" s="1459"/>
      <c r="N547" s="1288"/>
      <c r="O547" s="1290"/>
      <c r="Z547" s="1854"/>
    </row>
    <row r="548" spans="1:26" x14ac:dyDescent="0.6">
      <c r="A548" s="1459"/>
      <c r="N548" s="1288"/>
      <c r="O548" s="1290"/>
      <c r="Z548" s="1854"/>
    </row>
    <row r="549" spans="1:26" x14ac:dyDescent="0.6">
      <c r="A549" s="1459"/>
      <c r="N549" s="1288"/>
      <c r="O549" s="1290"/>
      <c r="Z549" s="1854"/>
    </row>
    <row r="550" spans="1:26" x14ac:dyDescent="0.6">
      <c r="A550" s="1459"/>
      <c r="N550" s="1288"/>
      <c r="O550" s="1290"/>
      <c r="Z550" s="1854"/>
    </row>
    <row r="551" spans="1:26" x14ac:dyDescent="0.6">
      <c r="A551" s="1459"/>
      <c r="N551" s="1288"/>
      <c r="O551" s="1290"/>
      <c r="Z551" s="1854"/>
    </row>
    <row r="552" spans="1:26" x14ac:dyDescent="0.6">
      <c r="A552" s="1459"/>
      <c r="N552" s="1288"/>
      <c r="O552" s="1290"/>
      <c r="Z552" s="1854"/>
    </row>
    <row r="553" spans="1:26" x14ac:dyDescent="0.6">
      <c r="A553" s="1459"/>
      <c r="N553" s="1288"/>
      <c r="O553" s="1290"/>
      <c r="Z553" s="1854"/>
    </row>
    <row r="554" spans="1:26" x14ac:dyDescent="0.6">
      <c r="A554" s="1459"/>
      <c r="N554" s="1288"/>
      <c r="O554" s="1290"/>
      <c r="Z554" s="1854"/>
    </row>
    <row r="555" spans="1:26" x14ac:dyDescent="0.6">
      <c r="A555" s="1459"/>
      <c r="N555" s="1288"/>
      <c r="O555" s="1290"/>
      <c r="Z555" s="1854"/>
    </row>
    <row r="556" spans="1:26" x14ac:dyDescent="0.6">
      <c r="A556" s="1459"/>
      <c r="N556" s="1288"/>
      <c r="O556" s="1290"/>
      <c r="Z556" s="1854"/>
    </row>
    <row r="557" spans="1:26" x14ac:dyDescent="0.6">
      <c r="A557" s="1459"/>
      <c r="N557" s="1288"/>
      <c r="O557" s="1290"/>
      <c r="Z557" s="1854"/>
    </row>
    <row r="558" spans="1:26" x14ac:dyDescent="0.6">
      <c r="A558" s="1459"/>
      <c r="N558" s="1288"/>
      <c r="O558" s="1290"/>
      <c r="Z558" s="1854"/>
    </row>
    <row r="559" spans="1:26" x14ac:dyDescent="0.6">
      <c r="A559" s="1459"/>
      <c r="N559" s="1288"/>
      <c r="O559" s="1290"/>
      <c r="Z559" s="1854"/>
    </row>
    <row r="560" spans="1:26" x14ac:dyDescent="0.6">
      <c r="A560" s="1459"/>
      <c r="N560" s="1288"/>
      <c r="O560" s="1290"/>
      <c r="Z560" s="1854"/>
    </row>
    <row r="561" spans="1:26" x14ac:dyDescent="0.6">
      <c r="A561" s="1459"/>
      <c r="N561" s="1288"/>
      <c r="O561" s="1290"/>
      <c r="Z561" s="1854"/>
    </row>
    <row r="562" spans="1:26" x14ac:dyDescent="0.6">
      <c r="A562" s="1459"/>
      <c r="N562" s="1288"/>
      <c r="O562" s="1290"/>
      <c r="Z562" s="1854"/>
    </row>
    <row r="563" spans="1:26" x14ac:dyDescent="0.6">
      <c r="A563" s="1459"/>
      <c r="N563" s="1288"/>
      <c r="O563" s="1290"/>
      <c r="Z563" s="1854"/>
    </row>
    <row r="564" spans="1:26" x14ac:dyDescent="0.6">
      <c r="A564" s="1459"/>
      <c r="N564" s="1288"/>
      <c r="O564" s="1290"/>
      <c r="Z564" s="1854"/>
    </row>
    <row r="565" spans="1:26" x14ac:dyDescent="0.6">
      <c r="A565" s="1459"/>
      <c r="N565" s="1288"/>
      <c r="O565" s="1290"/>
      <c r="Z565" s="1854"/>
    </row>
    <row r="566" spans="1:26" x14ac:dyDescent="0.6">
      <c r="A566" s="1459"/>
      <c r="N566" s="1288"/>
      <c r="O566" s="1290"/>
      <c r="Z566" s="1854"/>
    </row>
    <row r="567" spans="1:26" x14ac:dyDescent="0.6">
      <c r="A567" s="1459"/>
      <c r="N567" s="1288"/>
      <c r="O567" s="1290"/>
      <c r="Z567" s="1854"/>
    </row>
    <row r="568" spans="1:26" x14ac:dyDescent="0.6">
      <c r="A568" s="1459"/>
      <c r="N568" s="1288"/>
      <c r="O568" s="1290"/>
      <c r="Z568" s="1854"/>
    </row>
    <row r="569" spans="1:26" x14ac:dyDescent="0.6">
      <c r="A569" s="1459"/>
      <c r="N569" s="1288"/>
      <c r="O569" s="1290"/>
      <c r="Z569" s="1854"/>
    </row>
    <row r="570" spans="1:26" x14ac:dyDescent="0.6">
      <c r="A570" s="1459"/>
      <c r="N570" s="1288"/>
      <c r="O570" s="1290"/>
      <c r="Z570" s="1854"/>
    </row>
    <row r="571" spans="1:26" x14ac:dyDescent="0.6">
      <c r="A571" s="1459"/>
      <c r="N571" s="1288"/>
      <c r="O571" s="1290"/>
      <c r="Z571" s="1854"/>
    </row>
    <row r="572" spans="1:26" x14ac:dyDescent="0.6">
      <c r="A572" s="1459"/>
      <c r="N572" s="1288"/>
      <c r="O572" s="1290"/>
      <c r="Z572" s="1854"/>
    </row>
    <row r="573" spans="1:26" x14ac:dyDescent="0.6">
      <c r="A573" s="1459"/>
      <c r="N573" s="1288"/>
      <c r="O573" s="1290"/>
      <c r="Z573" s="1854"/>
    </row>
    <row r="574" spans="1:26" x14ac:dyDescent="0.6">
      <c r="A574" s="1459"/>
      <c r="N574" s="1288"/>
      <c r="O574" s="1290"/>
      <c r="Z574" s="1854"/>
    </row>
    <row r="575" spans="1:26" x14ac:dyDescent="0.6">
      <c r="A575" s="1459"/>
      <c r="N575" s="1288"/>
      <c r="O575" s="1290"/>
      <c r="Z575" s="1854"/>
    </row>
    <row r="576" spans="1:26" x14ac:dyDescent="0.6">
      <c r="A576" s="1459"/>
      <c r="N576" s="1288"/>
      <c r="O576" s="1290"/>
      <c r="Z576" s="1854"/>
    </row>
    <row r="577" spans="1:26" x14ac:dyDescent="0.6">
      <c r="A577" s="1459"/>
      <c r="N577" s="1288"/>
      <c r="O577" s="1290"/>
      <c r="Z577" s="1854"/>
    </row>
    <row r="578" spans="1:26" x14ac:dyDescent="0.6">
      <c r="A578" s="1459"/>
      <c r="N578" s="1288"/>
      <c r="O578" s="1290"/>
      <c r="Z578" s="1854"/>
    </row>
    <row r="579" spans="1:26" x14ac:dyDescent="0.6">
      <c r="A579" s="1459"/>
      <c r="N579" s="1288"/>
      <c r="O579" s="1290"/>
      <c r="Z579" s="1854"/>
    </row>
    <row r="580" spans="1:26" x14ac:dyDescent="0.6">
      <c r="A580" s="1459"/>
      <c r="N580" s="1288"/>
      <c r="O580" s="1290"/>
      <c r="Z580" s="1854"/>
    </row>
    <row r="581" spans="1:26" x14ac:dyDescent="0.6">
      <c r="A581" s="1459"/>
      <c r="N581" s="1288"/>
      <c r="O581" s="1290"/>
      <c r="Z581" s="1854"/>
    </row>
    <row r="582" spans="1:26" x14ac:dyDescent="0.6">
      <c r="A582" s="1459"/>
      <c r="N582" s="1288"/>
      <c r="O582" s="1290"/>
      <c r="Z582" s="1854"/>
    </row>
    <row r="583" spans="1:26" x14ac:dyDescent="0.6">
      <c r="A583" s="1459"/>
      <c r="N583" s="1288"/>
      <c r="O583" s="1290"/>
      <c r="Z583" s="1854"/>
    </row>
    <row r="584" spans="1:26" x14ac:dyDescent="0.6">
      <c r="A584" s="1459"/>
      <c r="N584" s="1288"/>
      <c r="O584" s="1290"/>
      <c r="Z584" s="1854"/>
    </row>
    <row r="585" spans="1:26" x14ac:dyDescent="0.6">
      <c r="A585" s="1459"/>
      <c r="N585" s="1288"/>
      <c r="O585" s="1290"/>
      <c r="Z585" s="1854"/>
    </row>
    <row r="586" spans="1:26" x14ac:dyDescent="0.6">
      <c r="A586" s="1459"/>
      <c r="N586" s="1288"/>
      <c r="O586" s="1290"/>
      <c r="Z586" s="1854"/>
    </row>
    <row r="587" spans="1:26" x14ac:dyDescent="0.6">
      <c r="A587" s="1459"/>
      <c r="N587" s="1288"/>
      <c r="O587" s="1290"/>
      <c r="Z587" s="1854"/>
    </row>
    <row r="588" spans="1:26" x14ac:dyDescent="0.6">
      <c r="A588" s="1459"/>
      <c r="N588" s="1288"/>
      <c r="O588" s="1290"/>
      <c r="Z588" s="1854"/>
    </row>
    <row r="589" spans="1:26" x14ac:dyDescent="0.6">
      <c r="A589" s="1459"/>
      <c r="N589" s="1288"/>
      <c r="O589" s="1290"/>
      <c r="Z589" s="1854"/>
    </row>
    <row r="590" spans="1:26" x14ac:dyDescent="0.6">
      <c r="A590" s="1459"/>
      <c r="N590" s="1288"/>
      <c r="O590" s="1290"/>
      <c r="Z590" s="1854"/>
    </row>
    <row r="591" spans="1:26" x14ac:dyDescent="0.6">
      <c r="A591" s="1459"/>
      <c r="N591" s="1288"/>
      <c r="O591" s="1290"/>
      <c r="Z591" s="1854"/>
    </row>
    <row r="592" spans="1:26" x14ac:dyDescent="0.6">
      <c r="A592" s="1459"/>
      <c r="N592" s="1288"/>
      <c r="O592" s="1290"/>
      <c r="Z592" s="1854"/>
    </row>
    <row r="593" spans="1:26" x14ac:dyDescent="0.6">
      <c r="A593" s="1459"/>
      <c r="N593" s="1288"/>
      <c r="O593" s="1290"/>
      <c r="Z593" s="1854"/>
    </row>
    <row r="594" spans="1:26" x14ac:dyDescent="0.6">
      <c r="A594" s="1459"/>
      <c r="N594" s="1288"/>
      <c r="O594" s="1290"/>
      <c r="Z594" s="1854"/>
    </row>
    <row r="595" spans="1:26" x14ac:dyDescent="0.6">
      <c r="A595" s="1459"/>
      <c r="N595" s="1288"/>
      <c r="O595" s="1290"/>
      <c r="Z595" s="1854"/>
    </row>
    <row r="596" spans="1:26" x14ac:dyDescent="0.6">
      <c r="A596" s="1459"/>
      <c r="N596" s="1288"/>
      <c r="O596" s="1290"/>
      <c r="Z596" s="1854"/>
    </row>
    <row r="597" spans="1:26" x14ac:dyDescent="0.6">
      <c r="A597" s="1459"/>
      <c r="N597" s="1288"/>
      <c r="O597" s="1290"/>
      <c r="Z597" s="1854"/>
    </row>
    <row r="598" spans="1:26" x14ac:dyDescent="0.6">
      <c r="A598" s="1459"/>
      <c r="N598" s="1288"/>
      <c r="O598" s="1290"/>
      <c r="Z598" s="1854"/>
    </row>
    <row r="599" spans="1:26" x14ac:dyDescent="0.6">
      <c r="A599" s="1459"/>
      <c r="N599" s="1288"/>
      <c r="O599" s="1290"/>
      <c r="Z599" s="1854"/>
    </row>
    <row r="600" spans="1:26" x14ac:dyDescent="0.6">
      <c r="A600" s="1459"/>
      <c r="N600" s="1288"/>
      <c r="O600" s="1290"/>
      <c r="Z600" s="1854"/>
    </row>
    <row r="601" spans="1:26" x14ac:dyDescent="0.6">
      <c r="A601" s="1459"/>
      <c r="N601" s="1288"/>
      <c r="O601" s="1290"/>
      <c r="Z601" s="1854"/>
    </row>
    <row r="602" spans="1:26" x14ac:dyDescent="0.6">
      <c r="A602" s="1459"/>
      <c r="N602" s="1288"/>
      <c r="O602" s="1290"/>
      <c r="Z602" s="1854"/>
    </row>
    <row r="603" spans="1:26" x14ac:dyDescent="0.6">
      <c r="A603" s="1459"/>
      <c r="N603" s="1288"/>
      <c r="O603" s="1290"/>
      <c r="Z603" s="1854"/>
    </row>
    <row r="604" spans="1:26" x14ac:dyDescent="0.6">
      <c r="A604" s="1459"/>
      <c r="N604" s="1288"/>
      <c r="O604" s="1290"/>
      <c r="Z604" s="1854"/>
    </row>
    <row r="605" spans="1:26" x14ac:dyDescent="0.6">
      <c r="A605" s="1459"/>
      <c r="N605" s="1288"/>
      <c r="O605" s="1290"/>
      <c r="Z605" s="1854"/>
    </row>
    <row r="606" spans="1:26" x14ac:dyDescent="0.6">
      <c r="A606" s="1459"/>
      <c r="N606" s="1288"/>
      <c r="O606" s="1290"/>
      <c r="Z606" s="1854"/>
    </row>
    <row r="607" spans="1:26" x14ac:dyDescent="0.6">
      <c r="A607" s="1459"/>
      <c r="N607" s="1288"/>
      <c r="O607" s="1290"/>
      <c r="Z607" s="1854"/>
    </row>
    <row r="608" spans="1:26" x14ac:dyDescent="0.6">
      <c r="A608" s="1459"/>
      <c r="N608" s="1288"/>
      <c r="O608" s="1290"/>
      <c r="Z608" s="1854"/>
    </row>
    <row r="609" spans="1:26" x14ac:dyDescent="0.6">
      <c r="A609" s="1459"/>
      <c r="N609" s="1288"/>
      <c r="O609" s="1290"/>
      <c r="Z609" s="1854"/>
    </row>
    <row r="610" spans="1:26" x14ac:dyDescent="0.6">
      <c r="A610" s="1459"/>
      <c r="N610" s="1288"/>
      <c r="O610" s="1290"/>
      <c r="Z610" s="1854"/>
    </row>
    <row r="611" spans="1:26" x14ac:dyDescent="0.6">
      <c r="A611" s="1459"/>
      <c r="N611" s="1288"/>
      <c r="O611" s="1290"/>
      <c r="Z611" s="1854"/>
    </row>
    <row r="612" spans="1:26" x14ac:dyDescent="0.6">
      <c r="A612" s="1459"/>
      <c r="N612" s="1288"/>
      <c r="O612" s="1290"/>
      <c r="Z612" s="1854"/>
    </row>
    <row r="613" spans="1:26" x14ac:dyDescent="0.6">
      <c r="A613" s="1459"/>
      <c r="N613" s="1288"/>
      <c r="O613" s="1290"/>
      <c r="Z613" s="1854"/>
    </row>
    <row r="614" spans="1:26" x14ac:dyDescent="0.6">
      <c r="A614" s="1459"/>
      <c r="N614" s="1288"/>
      <c r="O614" s="1290"/>
      <c r="Z614" s="1854"/>
    </row>
    <row r="615" spans="1:26" x14ac:dyDescent="0.6">
      <c r="A615" s="1459"/>
      <c r="N615" s="1288"/>
      <c r="O615" s="1290"/>
      <c r="Z615" s="1854"/>
    </row>
    <row r="616" spans="1:26" x14ac:dyDescent="0.6">
      <c r="A616" s="1459"/>
      <c r="N616" s="1288"/>
      <c r="O616" s="1290"/>
      <c r="Z616" s="1854"/>
    </row>
    <row r="617" spans="1:26" x14ac:dyDescent="0.6">
      <c r="A617" s="1459"/>
      <c r="N617" s="1288"/>
      <c r="O617" s="1290"/>
      <c r="Z617" s="1854"/>
    </row>
    <row r="618" spans="1:26" x14ac:dyDescent="0.6">
      <c r="A618" s="1459"/>
      <c r="N618" s="1288"/>
      <c r="O618" s="1290"/>
      <c r="Z618" s="1854"/>
    </row>
    <row r="619" spans="1:26" x14ac:dyDescent="0.6">
      <c r="A619" s="1459"/>
      <c r="N619" s="1288"/>
      <c r="O619" s="1290"/>
      <c r="Z619" s="1854"/>
    </row>
    <row r="620" spans="1:26" x14ac:dyDescent="0.6">
      <c r="A620" s="1459"/>
      <c r="N620" s="1288"/>
      <c r="O620" s="1290"/>
      <c r="Z620" s="1854"/>
    </row>
    <row r="621" spans="1:26" x14ac:dyDescent="0.6">
      <c r="A621" s="1459"/>
      <c r="N621" s="1288"/>
      <c r="O621" s="1290"/>
      <c r="Z621" s="1854"/>
    </row>
    <row r="622" spans="1:26" x14ac:dyDescent="0.6">
      <c r="A622" s="1459"/>
      <c r="N622" s="1288"/>
      <c r="O622" s="1290"/>
      <c r="Z622" s="1854"/>
    </row>
    <row r="623" spans="1:26" x14ac:dyDescent="0.6">
      <c r="A623" s="1459"/>
      <c r="N623" s="1288"/>
      <c r="O623" s="1290"/>
      <c r="Z623" s="1854"/>
    </row>
    <row r="624" spans="1:26" x14ac:dyDescent="0.6">
      <c r="A624" s="1459"/>
      <c r="N624" s="1288"/>
      <c r="O624" s="1290"/>
      <c r="Z624" s="1854"/>
    </row>
    <row r="625" spans="1:26" x14ac:dyDescent="0.6">
      <c r="A625" s="1459"/>
      <c r="N625" s="1288"/>
      <c r="O625" s="1290"/>
      <c r="Z625" s="1854"/>
    </row>
    <row r="626" spans="1:26" x14ac:dyDescent="0.6">
      <c r="A626" s="1459"/>
      <c r="N626" s="1288"/>
      <c r="O626" s="1290"/>
      <c r="Z626" s="1854"/>
    </row>
    <row r="627" spans="1:26" x14ac:dyDescent="0.6">
      <c r="A627" s="1459"/>
      <c r="N627" s="1288"/>
      <c r="O627" s="1290"/>
      <c r="Z627" s="1854"/>
    </row>
    <row r="628" spans="1:26" x14ac:dyDescent="0.6">
      <c r="A628" s="1459"/>
      <c r="N628" s="1288"/>
      <c r="O628" s="1290"/>
      <c r="Z628" s="1854"/>
    </row>
    <row r="629" spans="1:26" x14ac:dyDescent="0.6">
      <c r="A629" s="1459"/>
      <c r="N629" s="1288"/>
      <c r="O629" s="1290"/>
      <c r="Z629" s="1854"/>
    </row>
    <row r="630" spans="1:26" x14ac:dyDescent="0.6">
      <c r="A630" s="1459"/>
      <c r="N630" s="1288"/>
      <c r="O630" s="1290"/>
      <c r="Z630" s="1854"/>
    </row>
    <row r="631" spans="1:26" x14ac:dyDescent="0.6">
      <c r="A631" s="1459"/>
      <c r="N631" s="1288"/>
      <c r="O631" s="1290"/>
      <c r="Z631" s="1854"/>
    </row>
    <row r="632" spans="1:26" x14ac:dyDescent="0.6">
      <c r="A632" s="1459"/>
      <c r="N632" s="1288"/>
      <c r="O632" s="1290"/>
      <c r="Z632" s="1854"/>
    </row>
    <row r="633" spans="1:26" x14ac:dyDescent="0.6">
      <c r="A633" s="1459"/>
      <c r="N633" s="1288"/>
      <c r="O633" s="1290"/>
      <c r="Z633" s="1854"/>
    </row>
    <row r="634" spans="1:26" x14ac:dyDescent="0.6">
      <c r="A634" s="1459"/>
      <c r="N634" s="1288"/>
      <c r="O634" s="1290"/>
      <c r="Z634" s="1854"/>
    </row>
    <row r="635" spans="1:26" x14ac:dyDescent="0.6">
      <c r="A635" s="1459"/>
      <c r="N635" s="1288"/>
      <c r="O635" s="1290"/>
      <c r="Z635" s="1854"/>
    </row>
    <row r="636" spans="1:26" x14ac:dyDescent="0.6">
      <c r="A636" s="1459"/>
      <c r="N636" s="1288"/>
      <c r="O636" s="1290"/>
      <c r="Z636" s="1854"/>
    </row>
    <row r="637" spans="1:26" x14ac:dyDescent="0.6">
      <c r="A637" s="1459"/>
      <c r="N637" s="1288"/>
      <c r="O637" s="1290"/>
      <c r="Z637" s="1854"/>
    </row>
    <row r="638" spans="1:26" x14ac:dyDescent="0.6">
      <c r="A638" s="1459"/>
      <c r="N638" s="1288"/>
      <c r="O638" s="1290"/>
      <c r="Z638" s="1854"/>
    </row>
    <row r="639" spans="1:26" x14ac:dyDescent="0.6">
      <c r="A639" s="1459"/>
      <c r="N639" s="1288"/>
      <c r="O639" s="1290"/>
      <c r="Z639" s="1854"/>
    </row>
    <row r="640" spans="1:26" x14ac:dyDescent="0.6">
      <c r="A640" s="1459"/>
      <c r="N640" s="1288"/>
      <c r="O640" s="1290"/>
      <c r="Z640" s="1854"/>
    </row>
    <row r="641" spans="1:26" x14ac:dyDescent="0.6">
      <c r="A641" s="1459"/>
      <c r="N641" s="1288"/>
      <c r="O641" s="1290"/>
      <c r="Z641" s="1854"/>
    </row>
    <row r="642" spans="1:26" x14ac:dyDescent="0.6">
      <c r="A642" s="1459"/>
      <c r="N642" s="1288"/>
      <c r="O642" s="1290"/>
      <c r="Z642" s="1854"/>
    </row>
    <row r="643" spans="1:26" x14ac:dyDescent="0.6">
      <c r="A643" s="1459"/>
      <c r="N643" s="1288"/>
      <c r="O643" s="1290"/>
      <c r="Z643" s="1854"/>
    </row>
    <row r="644" spans="1:26" x14ac:dyDescent="0.6">
      <c r="A644" s="1459"/>
      <c r="N644" s="1288"/>
      <c r="O644" s="1290"/>
      <c r="Z644" s="1854"/>
    </row>
    <row r="645" spans="1:26" x14ac:dyDescent="0.6">
      <c r="A645" s="1459"/>
      <c r="N645" s="1288"/>
      <c r="O645" s="1290"/>
      <c r="Z645" s="1854"/>
    </row>
    <row r="646" spans="1:26" x14ac:dyDescent="0.6">
      <c r="A646" s="1459"/>
      <c r="N646" s="1288"/>
      <c r="O646" s="1290"/>
      <c r="Z646" s="1854"/>
    </row>
    <row r="647" spans="1:26" x14ac:dyDescent="0.6">
      <c r="A647" s="1459"/>
      <c r="N647" s="1288"/>
      <c r="O647" s="1290"/>
      <c r="Z647" s="1854"/>
    </row>
    <row r="648" spans="1:26" x14ac:dyDescent="0.6">
      <c r="A648" s="1459"/>
      <c r="N648" s="1288"/>
      <c r="O648" s="1290"/>
      <c r="Z648" s="1854"/>
    </row>
    <row r="649" spans="1:26" x14ac:dyDescent="0.6">
      <c r="A649" s="1459"/>
      <c r="N649" s="1288"/>
      <c r="O649" s="1290"/>
      <c r="Z649" s="1854"/>
    </row>
    <row r="650" spans="1:26" x14ac:dyDescent="0.6">
      <c r="A650" s="1459"/>
      <c r="N650" s="1288"/>
      <c r="O650" s="1290"/>
      <c r="Z650" s="1854"/>
    </row>
    <row r="651" spans="1:26" x14ac:dyDescent="0.6">
      <c r="A651" s="1459"/>
      <c r="N651" s="1288"/>
      <c r="O651" s="1290"/>
      <c r="Z651" s="1854"/>
    </row>
    <row r="652" spans="1:26" x14ac:dyDescent="0.6">
      <c r="A652" s="1459"/>
      <c r="N652" s="1288"/>
      <c r="O652" s="1290"/>
      <c r="Z652" s="1854"/>
    </row>
    <row r="653" spans="1:26" x14ac:dyDescent="0.6">
      <c r="A653" s="1459"/>
      <c r="N653" s="1288"/>
      <c r="O653" s="1290"/>
      <c r="Z653" s="1854"/>
    </row>
    <row r="654" spans="1:26" x14ac:dyDescent="0.6">
      <c r="A654" s="1459"/>
      <c r="N654" s="1288"/>
      <c r="O654" s="1290"/>
      <c r="Z654" s="1854"/>
    </row>
    <row r="655" spans="1:26" x14ac:dyDescent="0.6">
      <c r="A655" s="1459"/>
      <c r="N655" s="1288"/>
      <c r="O655" s="1290"/>
      <c r="Z655" s="1854"/>
    </row>
    <row r="656" spans="1:26" x14ac:dyDescent="0.6">
      <c r="A656" s="1459"/>
      <c r="N656" s="1288"/>
      <c r="O656" s="1290"/>
      <c r="Z656" s="1854"/>
    </row>
    <row r="657" spans="1:26" x14ac:dyDescent="0.6">
      <c r="A657" s="1459"/>
      <c r="N657" s="1288"/>
      <c r="O657" s="1290"/>
      <c r="Z657" s="1854"/>
    </row>
    <row r="658" spans="1:26" x14ac:dyDescent="0.6">
      <c r="A658" s="1459"/>
      <c r="N658" s="1288"/>
      <c r="O658" s="1290"/>
      <c r="Z658" s="1854"/>
    </row>
    <row r="659" spans="1:26" x14ac:dyDescent="0.6">
      <c r="A659" s="1459"/>
      <c r="N659" s="1288"/>
      <c r="O659" s="1290"/>
      <c r="Z659" s="1854"/>
    </row>
    <row r="660" spans="1:26" x14ac:dyDescent="0.6">
      <c r="A660" s="1459"/>
      <c r="N660" s="1288"/>
      <c r="O660" s="1290"/>
      <c r="Z660" s="1854"/>
    </row>
    <row r="661" spans="1:26" x14ac:dyDescent="0.6">
      <c r="A661" s="1459"/>
      <c r="N661" s="1288"/>
      <c r="O661" s="1290"/>
      <c r="Z661" s="1854"/>
    </row>
    <row r="662" spans="1:26" x14ac:dyDescent="0.6">
      <c r="A662" s="1459"/>
      <c r="N662" s="1288"/>
      <c r="O662" s="1290"/>
      <c r="Z662" s="1854"/>
    </row>
    <row r="663" spans="1:26" x14ac:dyDescent="0.6">
      <c r="A663" s="1459"/>
      <c r="N663" s="1288"/>
      <c r="O663" s="1290"/>
      <c r="Z663" s="1854"/>
    </row>
    <row r="664" spans="1:26" x14ac:dyDescent="0.6">
      <c r="A664" s="1459"/>
      <c r="N664" s="1288"/>
      <c r="O664" s="1290"/>
      <c r="Z664" s="1854"/>
    </row>
    <row r="665" spans="1:26" x14ac:dyDescent="0.6">
      <c r="A665" s="1459"/>
      <c r="N665" s="1288"/>
      <c r="O665" s="1290"/>
      <c r="Z665" s="1854"/>
    </row>
    <row r="666" spans="1:26" x14ac:dyDescent="0.6">
      <c r="A666" s="1459"/>
      <c r="N666" s="1288"/>
      <c r="O666" s="1290"/>
      <c r="Z666" s="1854"/>
    </row>
    <row r="667" spans="1:26" x14ac:dyDescent="0.6">
      <c r="A667" s="1459"/>
      <c r="N667" s="1288"/>
      <c r="O667" s="1290"/>
      <c r="Z667" s="1854"/>
    </row>
    <row r="668" spans="1:26" x14ac:dyDescent="0.6">
      <c r="A668" s="1459"/>
      <c r="N668" s="1288"/>
      <c r="O668" s="1290"/>
      <c r="Z668" s="1854"/>
    </row>
    <row r="669" spans="1:26" x14ac:dyDescent="0.6">
      <c r="A669" s="1459"/>
      <c r="N669" s="1288"/>
      <c r="O669" s="1290"/>
      <c r="Z669" s="1854"/>
    </row>
    <row r="670" spans="1:26" x14ac:dyDescent="0.6">
      <c r="A670" s="1459"/>
      <c r="N670" s="1288"/>
      <c r="O670" s="1290"/>
      <c r="Z670" s="1854"/>
    </row>
    <row r="671" spans="1:26" x14ac:dyDescent="0.6">
      <c r="A671" s="1459"/>
      <c r="N671" s="1288"/>
      <c r="O671" s="1290"/>
      <c r="Z671" s="1854"/>
    </row>
    <row r="672" spans="1:26" x14ac:dyDescent="0.6">
      <c r="A672" s="1459"/>
      <c r="N672" s="1288"/>
      <c r="O672" s="1290"/>
      <c r="Z672" s="1854"/>
    </row>
    <row r="673" spans="1:26" x14ac:dyDescent="0.6">
      <c r="A673" s="1459"/>
      <c r="N673" s="1288"/>
      <c r="O673" s="1290"/>
      <c r="Z673" s="1854"/>
    </row>
    <row r="674" spans="1:26" x14ac:dyDescent="0.6">
      <c r="A674" s="1459"/>
      <c r="N674" s="1288"/>
      <c r="O674" s="1290"/>
      <c r="Z674" s="1854"/>
    </row>
    <row r="675" spans="1:26" x14ac:dyDescent="0.6">
      <c r="A675" s="1459"/>
      <c r="N675" s="1288"/>
      <c r="O675" s="1290"/>
      <c r="Z675" s="1854"/>
    </row>
    <row r="676" spans="1:26" x14ac:dyDescent="0.6">
      <c r="A676" s="1459"/>
      <c r="N676" s="1288"/>
      <c r="O676" s="1290"/>
      <c r="Z676" s="1854"/>
    </row>
    <row r="677" spans="1:26" x14ac:dyDescent="0.6">
      <c r="A677" s="1459"/>
      <c r="N677" s="1288"/>
      <c r="O677" s="1290"/>
      <c r="Z677" s="1854"/>
    </row>
    <row r="678" spans="1:26" x14ac:dyDescent="0.6">
      <c r="A678" s="1459"/>
      <c r="N678" s="1288"/>
      <c r="O678" s="1290"/>
      <c r="Z678" s="1854"/>
    </row>
    <row r="679" spans="1:26" x14ac:dyDescent="0.6">
      <c r="A679" s="1459"/>
      <c r="N679" s="1288"/>
      <c r="O679" s="1290"/>
      <c r="Z679" s="1854"/>
    </row>
    <row r="680" spans="1:26" x14ac:dyDescent="0.6">
      <c r="A680" s="1459"/>
      <c r="N680" s="1288"/>
      <c r="O680" s="1290"/>
      <c r="Z680" s="1854"/>
    </row>
    <row r="681" spans="1:26" x14ac:dyDescent="0.6">
      <c r="A681" s="1459"/>
      <c r="N681" s="1288"/>
      <c r="O681" s="1290"/>
      <c r="Z681" s="1854"/>
    </row>
    <row r="682" spans="1:26" x14ac:dyDescent="0.6">
      <c r="A682" s="1459"/>
      <c r="N682" s="1288"/>
      <c r="O682" s="1290"/>
      <c r="Z682" s="1854"/>
    </row>
    <row r="683" spans="1:26" x14ac:dyDescent="0.6">
      <c r="A683" s="1459"/>
      <c r="N683" s="1288"/>
      <c r="O683" s="1290"/>
      <c r="Z683" s="1854"/>
    </row>
    <row r="684" spans="1:26" x14ac:dyDescent="0.6">
      <c r="A684" s="1459"/>
      <c r="N684" s="1288"/>
      <c r="O684" s="1290"/>
      <c r="Z684" s="1854"/>
    </row>
    <row r="685" spans="1:26" x14ac:dyDescent="0.6">
      <c r="A685" s="1459"/>
      <c r="N685" s="1288"/>
      <c r="O685" s="1290"/>
      <c r="Z685" s="1854"/>
    </row>
    <row r="686" spans="1:26" x14ac:dyDescent="0.6">
      <c r="A686" s="1459"/>
      <c r="N686" s="1288"/>
      <c r="O686" s="1290"/>
      <c r="Z686" s="1854"/>
    </row>
    <row r="687" spans="1:26" x14ac:dyDescent="0.6">
      <c r="A687" s="1459"/>
      <c r="N687" s="1288"/>
      <c r="O687" s="1290"/>
      <c r="Z687" s="1854"/>
    </row>
    <row r="688" spans="1:26" x14ac:dyDescent="0.6">
      <c r="A688" s="1459"/>
      <c r="N688" s="1288"/>
      <c r="O688" s="1290"/>
      <c r="Z688" s="1854"/>
    </row>
    <row r="689" spans="1:26" x14ac:dyDescent="0.6">
      <c r="A689" s="1459"/>
      <c r="N689" s="1288"/>
      <c r="O689" s="1290"/>
      <c r="Z689" s="1854"/>
    </row>
    <row r="690" spans="1:26" x14ac:dyDescent="0.6">
      <c r="A690" s="1459"/>
      <c r="N690" s="1288"/>
      <c r="O690" s="1290"/>
      <c r="Z690" s="1854"/>
    </row>
    <row r="691" spans="1:26" x14ac:dyDescent="0.6">
      <c r="A691" s="1459"/>
      <c r="N691" s="1288"/>
      <c r="O691" s="1290"/>
      <c r="Z691" s="1854"/>
    </row>
    <row r="692" spans="1:26" x14ac:dyDescent="0.6">
      <c r="A692" s="1459"/>
      <c r="N692" s="1288"/>
      <c r="O692" s="1290"/>
      <c r="Z692" s="1854"/>
    </row>
    <row r="693" spans="1:26" x14ac:dyDescent="0.6">
      <c r="A693" s="1459"/>
      <c r="N693" s="1288"/>
      <c r="O693" s="1290"/>
      <c r="Z693" s="1854"/>
    </row>
    <row r="694" spans="1:26" x14ac:dyDescent="0.6">
      <c r="A694" s="1459"/>
      <c r="N694" s="1288"/>
      <c r="O694" s="1290"/>
      <c r="Z694" s="1854"/>
    </row>
    <row r="695" spans="1:26" x14ac:dyDescent="0.6">
      <c r="A695" s="1459"/>
      <c r="N695" s="1288"/>
      <c r="O695" s="1290"/>
      <c r="Z695" s="1854"/>
    </row>
    <row r="696" spans="1:26" x14ac:dyDescent="0.6">
      <c r="A696" s="1459"/>
      <c r="N696" s="1288"/>
      <c r="O696" s="1290"/>
      <c r="Z696" s="1854"/>
    </row>
    <row r="697" spans="1:26" x14ac:dyDescent="0.6">
      <c r="A697" s="1459"/>
      <c r="N697" s="1288"/>
      <c r="O697" s="1290"/>
      <c r="Z697" s="1854"/>
    </row>
    <row r="698" spans="1:26" x14ac:dyDescent="0.6">
      <c r="A698" s="1459"/>
      <c r="N698" s="1288"/>
      <c r="O698" s="1290"/>
      <c r="Z698" s="1854"/>
    </row>
    <row r="699" spans="1:26" x14ac:dyDescent="0.6">
      <c r="A699" s="1459"/>
      <c r="N699" s="1288"/>
      <c r="O699" s="1290"/>
      <c r="Z699" s="1854"/>
    </row>
    <row r="700" spans="1:26" x14ac:dyDescent="0.6">
      <c r="A700" s="1459"/>
      <c r="N700" s="1288"/>
      <c r="O700" s="1290"/>
      <c r="Z700" s="1854"/>
    </row>
    <row r="701" spans="1:26" x14ac:dyDescent="0.6">
      <c r="A701" s="1459"/>
      <c r="N701" s="1288"/>
      <c r="O701" s="1290"/>
      <c r="Z701" s="1854"/>
    </row>
    <row r="702" spans="1:26" x14ac:dyDescent="0.6">
      <c r="A702" s="1459"/>
      <c r="N702" s="1288"/>
      <c r="O702" s="1290"/>
      <c r="Z702" s="1854"/>
    </row>
    <row r="703" spans="1:26" x14ac:dyDescent="0.6">
      <c r="A703" s="1459"/>
      <c r="N703" s="1288"/>
      <c r="O703" s="1290"/>
      <c r="Z703" s="1854"/>
    </row>
    <row r="704" spans="1:26" x14ac:dyDescent="0.6">
      <c r="A704" s="1459"/>
      <c r="N704" s="1288"/>
      <c r="O704" s="1290"/>
      <c r="Z704" s="1854"/>
    </row>
    <row r="705" spans="1:26" x14ac:dyDescent="0.6">
      <c r="A705" s="1459"/>
      <c r="N705" s="1288"/>
      <c r="O705" s="1290"/>
      <c r="Z705" s="1854"/>
    </row>
    <row r="706" spans="1:26" x14ac:dyDescent="0.6">
      <c r="A706" s="1459"/>
      <c r="N706" s="1288"/>
      <c r="O706" s="1290"/>
      <c r="Z706" s="1854"/>
    </row>
    <row r="707" spans="1:26" x14ac:dyDescent="0.6">
      <c r="A707" s="1459"/>
      <c r="N707" s="1288"/>
      <c r="O707" s="1290"/>
      <c r="Z707" s="1854"/>
    </row>
    <row r="708" spans="1:26" x14ac:dyDescent="0.6">
      <c r="A708" s="1459"/>
      <c r="N708" s="1288"/>
      <c r="O708" s="1290"/>
      <c r="Z708" s="1854"/>
    </row>
    <row r="709" spans="1:26" x14ac:dyDescent="0.6">
      <c r="A709" s="1459"/>
      <c r="N709" s="1288"/>
      <c r="O709" s="1290"/>
      <c r="Z709" s="1854"/>
    </row>
    <row r="710" spans="1:26" x14ac:dyDescent="0.6">
      <c r="A710" s="1459"/>
      <c r="N710" s="1288"/>
      <c r="O710" s="1290"/>
      <c r="Z710" s="1854"/>
    </row>
    <row r="711" spans="1:26" x14ac:dyDescent="0.6">
      <c r="A711" s="1459"/>
      <c r="N711" s="1288"/>
      <c r="O711" s="1290"/>
      <c r="Z711" s="1854"/>
    </row>
    <row r="712" spans="1:26" x14ac:dyDescent="0.6">
      <c r="A712" s="1459"/>
      <c r="N712" s="1288"/>
      <c r="O712" s="1290"/>
      <c r="Z712" s="1854"/>
    </row>
    <row r="713" spans="1:26" x14ac:dyDescent="0.6">
      <c r="A713" s="1459"/>
      <c r="N713" s="1288"/>
      <c r="O713" s="1290"/>
      <c r="Z713" s="1854"/>
    </row>
    <row r="714" spans="1:26" x14ac:dyDescent="0.6">
      <c r="A714" s="1459"/>
      <c r="N714" s="1288"/>
      <c r="O714" s="1290"/>
      <c r="Z714" s="1854"/>
    </row>
    <row r="715" spans="1:26" x14ac:dyDescent="0.6">
      <c r="A715" s="1459"/>
      <c r="N715" s="1288"/>
      <c r="O715" s="1290"/>
      <c r="Z715" s="1854"/>
    </row>
    <row r="716" spans="1:26" x14ac:dyDescent="0.6">
      <c r="A716" s="1459"/>
      <c r="N716" s="1288"/>
      <c r="O716" s="1290"/>
      <c r="Z716" s="1854"/>
    </row>
    <row r="717" spans="1:26" x14ac:dyDescent="0.6">
      <c r="A717" s="1459"/>
      <c r="N717" s="1288"/>
      <c r="O717" s="1290"/>
      <c r="Z717" s="1854"/>
    </row>
    <row r="718" spans="1:26" x14ac:dyDescent="0.6">
      <c r="A718" s="1459"/>
      <c r="N718" s="1288"/>
      <c r="O718" s="1290"/>
      <c r="Z718" s="1854"/>
    </row>
  </sheetData>
  <protectedRanges>
    <protectedRange password="CC6F" sqref="B8:B22" name="ช่วง1_5_1_5_1_1_1_4"/>
    <protectedRange password="CC6F" sqref="B23" name="ช่วง1_5_1_5_1_1_1_1_4"/>
    <protectedRange password="CC6F" sqref="B24" name="ช่วง1_5_1_5_1_1_1"/>
  </protectedRanges>
  <mergeCells count="18">
    <mergeCell ref="X6:X7"/>
    <mergeCell ref="A25:C25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EC57D-2F53-4935-AA35-02381052B46C}">
  <sheetPr>
    <pageSetUpPr fitToPage="1"/>
  </sheetPr>
  <dimension ref="A1:AE780"/>
  <sheetViews>
    <sheetView zoomScaleNormal="100" zoomScaleSheetLayoutView="110" workbookViewId="0">
      <pane ySplit="7" topLeftCell="A80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69921875" style="1399" customWidth="1"/>
    <col min="2" max="2" width="24.59765625" style="1461" customWidth="1"/>
    <col min="3" max="3" width="6.59765625" style="1280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16" width="11.09765625" style="1288" hidden="1" customWidth="1"/>
    <col min="17" max="17" width="11.09765625" style="1288" customWidth="1"/>
    <col min="18" max="18" width="11.09765625" style="1288" hidden="1" customWidth="1"/>
    <col min="19" max="19" width="11.09765625" style="1288" customWidth="1"/>
    <col min="20" max="20" width="11.09765625" style="1288" hidden="1" customWidth="1"/>
    <col min="21" max="21" width="11.09765625" style="1288" customWidth="1"/>
    <col min="22" max="22" width="11.09765625" style="1288" hidden="1" customWidth="1"/>
    <col min="23" max="23" width="11.09765625" style="1288" customWidth="1"/>
    <col min="24" max="25" width="11.0976562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1" x14ac:dyDescent="0.6">
      <c r="A1" s="1735" t="s">
        <v>8929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1" x14ac:dyDescent="0.6">
      <c r="A4" s="1408" t="s">
        <v>2185</v>
      </c>
      <c r="B4" s="1408" t="s">
        <v>8930</v>
      </c>
      <c r="C4" s="1301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31" x14ac:dyDescent="0.6">
      <c r="A5" s="1417"/>
      <c r="B5" s="1417"/>
      <c r="C5" s="1315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31" x14ac:dyDescent="0.6">
      <c r="A6" s="1417"/>
      <c r="B6" s="1417"/>
      <c r="C6" s="1315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31" x14ac:dyDescent="0.6">
      <c r="A7" s="1425"/>
      <c r="B7" s="1425"/>
      <c r="C7" s="1330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31" s="1359" customFormat="1" ht="23.25" customHeight="1" x14ac:dyDescent="0.6">
      <c r="A8" s="1279">
        <v>1</v>
      </c>
      <c r="B8" s="1896" t="s">
        <v>8931</v>
      </c>
      <c r="C8" s="1424" t="s">
        <v>7816</v>
      </c>
      <c r="D8" s="1897">
        <v>5</v>
      </c>
      <c r="E8" s="1378">
        <v>5000</v>
      </c>
      <c r="F8" s="1343">
        <v>10</v>
      </c>
      <c r="G8" s="1345">
        <v>8400</v>
      </c>
      <c r="H8" s="1343">
        <v>7</v>
      </c>
      <c r="I8" s="1345">
        <v>5880</v>
      </c>
      <c r="J8" s="1480">
        <v>14</v>
      </c>
      <c r="K8" s="1651">
        <v>4</v>
      </c>
      <c r="L8" s="1344">
        <f>K8*N8</f>
        <v>3360</v>
      </c>
      <c r="M8" s="1204">
        <f>J8-K8</f>
        <v>10</v>
      </c>
      <c r="N8" s="1875">
        <v>840</v>
      </c>
      <c r="O8" s="1346">
        <f>M8*N8</f>
        <v>8400</v>
      </c>
      <c r="P8" s="1482">
        <v>0</v>
      </c>
      <c r="Q8" s="1482">
        <f>P8*N8</f>
        <v>0</v>
      </c>
      <c r="R8" s="1482">
        <v>5</v>
      </c>
      <c r="S8" s="1483">
        <f>R8*N8</f>
        <v>4200</v>
      </c>
      <c r="T8" s="1482">
        <v>0</v>
      </c>
      <c r="U8" s="1483">
        <f>T8*N8</f>
        <v>0</v>
      </c>
      <c r="V8" s="1482">
        <v>5</v>
      </c>
      <c r="W8" s="1483">
        <f>V8*N8</f>
        <v>4200</v>
      </c>
      <c r="X8" s="1345">
        <f>P8+R8+T8+V8</f>
        <v>10</v>
      </c>
      <c r="Y8" s="1345">
        <f>X8*N8</f>
        <v>8400</v>
      </c>
      <c r="Z8" s="1357" t="s">
        <v>7799</v>
      </c>
      <c r="AA8" s="1358" t="s">
        <v>6531</v>
      </c>
      <c r="AB8" s="1359" t="str">
        <f t="shared" ref="AB8:AB81" si="0">IF(O8=Y8,"yes")</f>
        <v>yes</v>
      </c>
      <c r="AC8" s="1359" t="str">
        <f>IF(O8=Y8,"ok")</f>
        <v>ok</v>
      </c>
    </row>
    <row r="9" spans="1:31" s="1359" customFormat="1" ht="20.25" customHeight="1" x14ac:dyDescent="0.6">
      <c r="A9" s="1279">
        <v>2</v>
      </c>
      <c r="B9" s="1898" t="s">
        <v>8932</v>
      </c>
      <c r="C9" s="1424" t="s">
        <v>7823</v>
      </c>
      <c r="D9" s="1897">
        <v>1950</v>
      </c>
      <c r="E9" s="1378">
        <v>121875</v>
      </c>
      <c r="F9" s="1345">
        <v>2548</v>
      </c>
      <c r="G9" s="1345">
        <v>159250</v>
      </c>
      <c r="H9" s="1345">
        <v>2850</v>
      </c>
      <c r="I9" s="1345">
        <v>178125</v>
      </c>
      <c r="J9" s="1652">
        <v>2776</v>
      </c>
      <c r="K9" s="1653">
        <v>256</v>
      </c>
      <c r="L9" s="1344">
        <f t="shared" ref="L9:L72" si="1">K9*N9</f>
        <v>16000</v>
      </c>
      <c r="M9" s="1204">
        <f t="shared" ref="M9:M62" si="2">J9-K9</f>
        <v>2520</v>
      </c>
      <c r="N9" s="1205">
        <v>62.5</v>
      </c>
      <c r="O9" s="1346">
        <f t="shared" ref="O9:O44" si="3">M9*N9</f>
        <v>157500</v>
      </c>
      <c r="P9" s="1344">
        <v>0</v>
      </c>
      <c r="Q9" s="1482">
        <f t="shared" ref="Q9:Q44" si="4">P9*N9</f>
        <v>0</v>
      </c>
      <c r="R9" s="1344">
        <v>840</v>
      </c>
      <c r="S9" s="1483">
        <f t="shared" ref="S9:S44" si="5">R9*N9</f>
        <v>52500</v>
      </c>
      <c r="T9" s="1345">
        <v>840</v>
      </c>
      <c r="U9" s="1483">
        <f t="shared" ref="U9:U44" si="6">T9*N9</f>
        <v>52500</v>
      </c>
      <c r="V9" s="1345">
        <v>840</v>
      </c>
      <c r="W9" s="1483">
        <f t="shared" ref="W9:W44" si="7">V9*N9</f>
        <v>52500</v>
      </c>
      <c r="X9" s="1345">
        <f t="shared" ref="X9:X77" si="8">P9+R9+T9+V9</f>
        <v>2520</v>
      </c>
      <c r="Y9" s="1345">
        <f t="shared" ref="Y9:Y44" si="9">X9*N9</f>
        <v>157500</v>
      </c>
      <c r="Z9" s="1357" t="s">
        <v>7799</v>
      </c>
      <c r="AA9" s="1358" t="s">
        <v>6531</v>
      </c>
      <c r="AB9" s="1359" t="str">
        <f t="shared" si="0"/>
        <v>yes</v>
      </c>
      <c r="AC9" s="1359" t="str">
        <f t="shared" ref="AC9:AC78" si="10">IF(O9=Y9,"ok")</f>
        <v>ok</v>
      </c>
    </row>
    <row r="10" spans="1:31" s="1359" customFormat="1" ht="20.25" customHeight="1" x14ac:dyDescent="0.6">
      <c r="A10" s="1279">
        <v>3</v>
      </c>
      <c r="B10" s="1896" t="s">
        <v>8933</v>
      </c>
      <c r="C10" s="1424" t="s">
        <v>8934</v>
      </c>
      <c r="D10" s="1897">
        <v>12</v>
      </c>
      <c r="E10" s="1378">
        <v>14040</v>
      </c>
      <c r="F10" s="1345">
        <v>5</v>
      </c>
      <c r="G10" s="1345">
        <v>5850</v>
      </c>
      <c r="H10" s="1345">
        <v>5</v>
      </c>
      <c r="I10" s="1345">
        <v>4850</v>
      </c>
      <c r="J10" s="1652">
        <v>10</v>
      </c>
      <c r="K10" s="1653">
        <v>1</v>
      </c>
      <c r="L10" s="1344">
        <f t="shared" si="1"/>
        <v>970</v>
      </c>
      <c r="M10" s="1204">
        <f t="shared" si="2"/>
        <v>9</v>
      </c>
      <c r="N10" s="1205">
        <v>970</v>
      </c>
      <c r="O10" s="1346">
        <f t="shared" si="3"/>
        <v>8730</v>
      </c>
      <c r="P10" s="1344">
        <v>0</v>
      </c>
      <c r="Q10" s="1482">
        <f t="shared" si="4"/>
        <v>0</v>
      </c>
      <c r="R10" s="1345">
        <v>3</v>
      </c>
      <c r="S10" s="1483">
        <f t="shared" si="5"/>
        <v>2910</v>
      </c>
      <c r="T10" s="1344">
        <v>3</v>
      </c>
      <c r="U10" s="1483">
        <f t="shared" si="6"/>
        <v>2910</v>
      </c>
      <c r="V10" s="1345">
        <v>3</v>
      </c>
      <c r="W10" s="1483">
        <f t="shared" si="7"/>
        <v>2910</v>
      </c>
      <c r="X10" s="1345">
        <f t="shared" si="8"/>
        <v>9</v>
      </c>
      <c r="Y10" s="1345">
        <f t="shared" si="9"/>
        <v>8730</v>
      </c>
      <c r="Z10" s="1357" t="s">
        <v>7799</v>
      </c>
      <c r="AA10" s="1358" t="s">
        <v>6531</v>
      </c>
      <c r="AB10" s="1359" t="str">
        <f t="shared" si="0"/>
        <v>yes</v>
      </c>
      <c r="AC10" s="1359" t="str">
        <f t="shared" si="10"/>
        <v>ok</v>
      </c>
    </row>
    <row r="11" spans="1:31" s="1359" customFormat="1" ht="20.25" customHeight="1" x14ac:dyDescent="0.6">
      <c r="A11" s="1279">
        <v>4</v>
      </c>
      <c r="B11" s="1896" t="s">
        <v>8935</v>
      </c>
      <c r="C11" s="1424" t="s">
        <v>7808</v>
      </c>
      <c r="D11" s="1897">
        <v>40</v>
      </c>
      <c r="E11" s="1378">
        <v>1600</v>
      </c>
      <c r="F11" s="1345">
        <v>54</v>
      </c>
      <c r="G11" s="1345">
        <v>3240</v>
      </c>
      <c r="H11" s="1345">
        <v>30</v>
      </c>
      <c r="I11" s="1345">
        <v>1800</v>
      </c>
      <c r="J11" s="1652">
        <v>56</v>
      </c>
      <c r="K11" s="1653">
        <v>6</v>
      </c>
      <c r="L11" s="1344">
        <f t="shared" si="1"/>
        <v>360</v>
      </c>
      <c r="M11" s="1204">
        <f t="shared" si="2"/>
        <v>50</v>
      </c>
      <c r="N11" s="1205">
        <v>60</v>
      </c>
      <c r="O11" s="1346">
        <f t="shared" si="3"/>
        <v>3000</v>
      </c>
      <c r="P11" s="1345">
        <v>10</v>
      </c>
      <c r="Q11" s="1482">
        <f t="shared" si="4"/>
        <v>600</v>
      </c>
      <c r="R11" s="1344">
        <v>15</v>
      </c>
      <c r="S11" s="1483">
        <f t="shared" si="5"/>
        <v>900</v>
      </c>
      <c r="T11" s="1345">
        <v>15</v>
      </c>
      <c r="U11" s="1483">
        <f t="shared" si="6"/>
        <v>900</v>
      </c>
      <c r="V11" s="1344">
        <v>10</v>
      </c>
      <c r="W11" s="1483">
        <f t="shared" si="7"/>
        <v>600</v>
      </c>
      <c r="X11" s="1345">
        <f t="shared" si="8"/>
        <v>50</v>
      </c>
      <c r="Y11" s="1345">
        <f t="shared" si="9"/>
        <v>3000</v>
      </c>
      <c r="Z11" s="1357" t="s">
        <v>7799</v>
      </c>
      <c r="AA11" s="1358" t="s">
        <v>6531</v>
      </c>
      <c r="AB11" s="1359" t="str">
        <f t="shared" si="0"/>
        <v>yes</v>
      </c>
      <c r="AC11" s="1359" t="str">
        <f t="shared" si="10"/>
        <v>ok</v>
      </c>
    </row>
    <row r="12" spans="1:31" s="1359" customFormat="1" ht="20.25" customHeight="1" x14ac:dyDescent="0.6">
      <c r="A12" s="1279">
        <v>5</v>
      </c>
      <c r="B12" s="1896" t="s">
        <v>8936</v>
      </c>
      <c r="C12" s="1424" t="s">
        <v>7823</v>
      </c>
      <c r="D12" s="1897">
        <v>30</v>
      </c>
      <c r="E12" s="1378">
        <v>1200</v>
      </c>
      <c r="F12" s="1345">
        <v>12</v>
      </c>
      <c r="G12" s="1345">
        <v>396</v>
      </c>
      <c r="H12" s="1345">
        <v>4</v>
      </c>
      <c r="I12" s="1345">
        <v>462</v>
      </c>
      <c r="J12" s="1652">
        <v>24</v>
      </c>
      <c r="K12" s="1653">
        <v>14</v>
      </c>
      <c r="L12" s="1344">
        <f t="shared" si="1"/>
        <v>490</v>
      </c>
      <c r="M12" s="1204">
        <f t="shared" si="2"/>
        <v>10</v>
      </c>
      <c r="N12" s="1205">
        <v>35</v>
      </c>
      <c r="O12" s="1346">
        <f t="shared" si="3"/>
        <v>350</v>
      </c>
      <c r="P12" s="1344">
        <v>10</v>
      </c>
      <c r="Q12" s="1482">
        <f t="shared" si="4"/>
        <v>350</v>
      </c>
      <c r="R12" s="1344">
        <v>0</v>
      </c>
      <c r="S12" s="1483">
        <f t="shared" si="5"/>
        <v>0</v>
      </c>
      <c r="T12" s="1345">
        <v>0</v>
      </c>
      <c r="U12" s="1483">
        <f t="shared" si="6"/>
        <v>0</v>
      </c>
      <c r="V12" s="1345">
        <v>0</v>
      </c>
      <c r="W12" s="1483">
        <f t="shared" si="7"/>
        <v>0</v>
      </c>
      <c r="X12" s="1345">
        <f t="shared" si="8"/>
        <v>10</v>
      </c>
      <c r="Y12" s="1345">
        <f t="shared" si="9"/>
        <v>350</v>
      </c>
      <c r="Z12" s="1357" t="s">
        <v>7799</v>
      </c>
      <c r="AA12" s="1358" t="s">
        <v>6531</v>
      </c>
      <c r="AB12" s="1359" t="str">
        <f t="shared" si="0"/>
        <v>yes</v>
      </c>
      <c r="AC12" s="1359" t="str">
        <f t="shared" si="10"/>
        <v>ok</v>
      </c>
    </row>
    <row r="13" spans="1:31" s="1359" customFormat="1" ht="20.25" customHeight="1" x14ac:dyDescent="0.6">
      <c r="A13" s="1279">
        <v>6</v>
      </c>
      <c r="B13" s="1896" t="s">
        <v>8937</v>
      </c>
      <c r="C13" s="1424" t="s">
        <v>8938</v>
      </c>
      <c r="D13" s="1897">
        <v>500</v>
      </c>
      <c r="E13" s="1378">
        <v>28500</v>
      </c>
      <c r="F13" s="1345">
        <v>513</v>
      </c>
      <c r="G13" s="1345">
        <v>29241</v>
      </c>
      <c r="H13" s="1345">
        <v>440</v>
      </c>
      <c r="I13" s="1345">
        <v>25080</v>
      </c>
      <c r="J13" s="1652">
        <v>579</v>
      </c>
      <c r="K13" s="1653">
        <v>379</v>
      </c>
      <c r="L13" s="1344">
        <f t="shared" si="1"/>
        <v>21603</v>
      </c>
      <c r="M13" s="1204">
        <f t="shared" si="2"/>
        <v>200</v>
      </c>
      <c r="N13" s="1205">
        <v>57</v>
      </c>
      <c r="O13" s="1346">
        <f t="shared" si="3"/>
        <v>11400</v>
      </c>
      <c r="P13" s="1344">
        <v>0</v>
      </c>
      <c r="Q13" s="1482">
        <f t="shared" si="4"/>
        <v>0</v>
      </c>
      <c r="R13" s="1344">
        <v>200</v>
      </c>
      <c r="S13" s="1483">
        <f t="shared" si="5"/>
        <v>11400</v>
      </c>
      <c r="T13" s="1345">
        <v>0</v>
      </c>
      <c r="U13" s="1483">
        <f t="shared" si="6"/>
        <v>0</v>
      </c>
      <c r="V13" s="1345">
        <v>0</v>
      </c>
      <c r="W13" s="1483">
        <f t="shared" si="7"/>
        <v>0</v>
      </c>
      <c r="X13" s="1345">
        <f t="shared" si="8"/>
        <v>200</v>
      </c>
      <c r="Y13" s="1345">
        <f t="shared" si="9"/>
        <v>11400</v>
      </c>
      <c r="Z13" s="1357" t="s">
        <v>7799</v>
      </c>
      <c r="AA13" s="1358" t="s">
        <v>6531</v>
      </c>
      <c r="AB13" s="1359" t="str">
        <f t="shared" si="0"/>
        <v>yes</v>
      </c>
      <c r="AC13" s="1359" t="str">
        <f t="shared" si="10"/>
        <v>ok</v>
      </c>
    </row>
    <row r="14" spans="1:31" s="1359" customFormat="1" ht="20.25" customHeight="1" x14ac:dyDescent="0.6">
      <c r="A14" s="1279">
        <v>7</v>
      </c>
      <c r="B14" s="1896" t="s">
        <v>8939</v>
      </c>
      <c r="C14" s="1424" t="s">
        <v>8940</v>
      </c>
      <c r="D14" s="1897">
        <v>780</v>
      </c>
      <c r="E14" s="1378">
        <v>44460</v>
      </c>
      <c r="F14" s="1343">
        <v>842</v>
      </c>
      <c r="G14" s="1345">
        <v>46310</v>
      </c>
      <c r="H14" s="1345">
        <v>855</v>
      </c>
      <c r="I14" s="1345">
        <v>48735</v>
      </c>
      <c r="J14" s="1652">
        <v>850</v>
      </c>
      <c r="K14" s="1653">
        <v>350</v>
      </c>
      <c r="L14" s="1344">
        <f t="shared" si="1"/>
        <v>19950</v>
      </c>
      <c r="M14" s="1204">
        <f t="shared" si="2"/>
        <v>500</v>
      </c>
      <c r="N14" s="1205">
        <v>57</v>
      </c>
      <c r="O14" s="1346">
        <f t="shared" si="3"/>
        <v>28500</v>
      </c>
      <c r="P14" s="1344">
        <v>0</v>
      </c>
      <c r="Q14" s="1482">
        <f t="shared" si="4"/>
        <v>0</v>
      </c>
      <c r="R14" s="1344">
        <v>250</v>
      </c>
      <c r="S14" s="1483">
        <f t="shared" si="5"/>
        <v>14250</v>
      </c>
      <c r="T14" s="1345">
        <v>0</v>
      </c>
      <c r="U14" s="1483">
        <f t="shared" si="6"/>
        <v>0</v>
      </c>
      <c r="V14" s="1345">
        <v>250</v>
      </c>
      <c r="W14" s="1483">
        <f t="shared" si="7"/>
        <v>14250</v>
      </c>
      <c r="X14" s="1345">
        <f t="shared" si="8"/>
        <v>500</v>
      </c>
      <c r="Y14" s="1345">
        <f t="shared" si="9"/>
        <v>28500</v>
      </c>
      <c r="Z14" s="1357" t="s">
        <v>7799</v>
      </c>
      <c r="AA14" s="1358" t="s">
        <v>6531</v>
      </c>
      <c r="AB14" s="1359" t="str">
        <f t="shared" si="0"/>
        <v>yes</v>
      </c>
      <c r="AC14" s="1359" t="str">
        <f t="shared" si="10"/>
        <v>ok</v>
      </c>
    </row>
    <row r="15" spans="1:31" s="1359" customFormat="1" ht="20.25" customHeight="1" x14ac:dyDescent="0.6">
      <c r="A15" s="1279">
        <v>8</v>
      </c>
      <c r="B15" s="1896" t="s">
        <v>8941</v>
      </c>
      <c r="C15" s="1424" t="s">
        <v>8940</v>
      </c>
      <c r="D15" s="1897">
        <v>392</v>
      </c>
      <c r="E15" s="1378">
        <v>31360</v>
      </c>
      <c r="F15" s="1345">
        <v>420</v>
      </c>
      <c r="G15" s="1345">
        <v>33600</v>
      </c>
      <c r="H15" s="1345">
        <v>380</v>
      </c>
      <c r="I15" s="1345">
        <v>30400</v>
      </c>
      <c r="J15" s="1652">
        <v>475</v>
      </c>
      <c r="K15" s="1653">
        <v>275</v>
      </c>
      <c r="L15" s="1344">
        <f t="shared" si="1"/>
        <v>22000</v>
      </c>
      <c r="M15" s="1204">
        <f t="shared" si="2"/>
        <v>200</v>
      </c>
      <c r="N15" s="1205">
        <v>80</v>
      </c>
      <c r="O15" s="1346">
        <f t="shared" si="3"/>
        <v>16000</v>
      </c>
      <c r="P15" s="1345">
        <v>0</v>
      </c>
      <c r="Q15" s="1482">
        <f t="shared" si="4"/>
        <v>0</v>
      </c>
      <c r="R15" s="1344">
        <v>0</v>
      </c>
      <c r="S15" s="1483">
        <f t="shared" si="5"/>
        <v>0</v>
      </c>
      <c r="T15" s="1345">
        <v>100</v>
      </c>
      <c r="U15" s="1483">
        <f t="shared" si="6"/>
        <v>8000</v>
      </c>
      <c r="V15" s="1344">
        <v>100</v>
      </c>
      <c r="W15" s="1483">
        <f t="shared" si="7"/>
        <v>8000</v>
      </c>
      <c r="X15" s="1345">
        <f t="shared" si="8"/>
        <v>200</v>
      </c>
      <c r="Y15" s="1345">
        <f t="shared" si="9"/>
        <v>16000</v>
      </c>
      <c r="Z15" s="1357" t="s">
        <v>7799</v>
      </c>
      <c r="AA15" s="1358" t="s">
        <v>6531</v>
      </c>
      <c r="AB15" s="1359" t="str">
        <f t="shared" si="0"/>
        <v>yes</v>
      </c>
      <c r="AC15" s="1359" t="str">
        <f t="shared" si="10"/>
        <v>ok</v>
      </c>
      <c r="AE15" s="1382"/>
    </row>
    <row r="16" spans="1:31" s="1359" customFormat="1" ht="23.25" customHeight="1" x14ac:dyDescent="0.6">
      <c r="A16" s="1279">
        <v>9</v>
      </c>
      <c r="B16" s="1896" t="s">
        <v>8942</v>
      </c>
      <c r="C16" s="1424" t="s">
        <v>8940</v>
      </c>
      <c r="D16" s="1897">
        <v>200</v>
      </c>
      <c r="E16" s="1378">
        <v>16000</v>
      </c>
      <c r="F16" s="1345">
        <v>225</v>
      </c>
      <c r="G16" s="1345">
        <v>18000</v>
      </c>
      <c r="H16" s="1343">
        <v>468</v>
      </c>
      <c r="I16" s="1345">
        <v>37440</v>
      </c>
      <c r="J16" s="1480">
        <v>410</v>
      </c>
      <c r="K16" s="1651">
        <f>160</f>
        <v>160</v>
      </c>
      <c r="L16" s="1344">
        <f t="shared" si="1"/>
        <v>12800</v>
      </c>
      <c r="M16" s="1204">
        <f t="shared" si="2"/>
        <v>250</v>
      </c>
      <c r="N16" s="1875">
        <v>80</v>
      </c>
      <c r="O16" s="1346">
        <f>M16*N16</f>
        <v>20000</v>
      </c>
      <c r="P16" s="1482">
        <v>0</v>
      </c>
      <c r="Q16" s="1482">
        <f>P16*N16</f>
        <v>0</v>
      </c>
      <c r="R16" s="1482">
        <v>100</v>
      </c>
      <c r="S16" s="1483">
        <f>R16*N16</f>
        <v>8000</v>
      </c>
      <c r="T16" s="1482">
        <v>0</v>
      </c>
      <c r="U16" s="1483">
        <f>T16*N16</f>
        <v>0</v>
      </c>
      <c r="V16" s="1482">
        <v>150</v>
      </c>
      <c r="W16" s="1483">
        <f>V16*N16</f>
        <v>12000</v>
      </c>
      <c r="X16" s="1345">
        <f t="shared" si="8"/>
        <v>250</v>
      </c>
      <c r="Y16" s="1345">
        <f>X16*N16</f>
        <v>20000</v>
      </c>
      <c r="Z16" s="1357" t="s">
        <v>7799</v>
      </c>
      <c r="AA16" s="1358" t="s">
        <v>6531</v>
      </c>
      <c r="AB16" s="1359" t="str">
        <f t="shared" si="0"/>
        <v>yes</v>
      </c>
      <c r="AC16" s="1359" t="str">
        <f t="shared" si="10"/>
        <v>ok</v>
      </c>
    </row>
    <row r="17" spans="1:31" s="1359" customFormat="1" ht="20.25" customHeight="1" x14ac:dyDescent="0.6">
      <c r="A17" s="1279">
        <v>10</v>
      </c>
      <c r="B17" s="1896" t="s">
        <v>8943</v>
      </c>
      <c r="C17" s="1424" t="s">
        <v>8940</v>
      </c>
      <c r="D17" s="1897">
        <v>200</v>
      </c>
      <c r="E17" s="1378">
        <v>16000</v>
      </c>
      <c r="F17" s="1345">
        <v>236</v>
      </c>
      <c r="G17" s="1345">
        <v>18880</v>
      </c>
      <c r="H17" s="1345">
        <v>158</v>
      </c>
      <c r="I17" s="1345">
        <v>12640</v>
      </c>
      <c r="J17" s="1652">
        <v>384</v>
      </c>
      <c r="K17" s="1653">
        <v>284</v>
      </c>
      <c r="L17" s="1344">
        <f t="shared" si="1"/>
        <v>22720</v>
      </c>
      <c r="M17" s="1204">
        <f t="shared" si="2"/>
        <v>100</v>
      </c>
      <c r="N17" s="1205">
        <v>80</v>
      </c>
      <c r="O17" s="1346">
        <f t="shared" ref="O17:O23" si="11">M17*N17</f>
        <v>8000</v>
      </c>
      <c r="P17" s="1344">
        <v>0</v>
      </c>
      <c r="Q17" s="1482">
        <f t="shared" ref="Q17:Q23" si="12">P17*N17</f>
        <v>0</v>
      </c>
      <c r="R17" s="1344">
        <v>0</v>
      </c>
      <c r="S17" s="1483">
        <f t="shared" ref="S17:S23" si="13">R17*N17</f>
        <v>0</v>
      </c>
      <c r="T17" s="1345">
        <v>0</v>
      </c>
      <c r="U17" s="1483">
        <f t="shared" ref="U17:U23" si="14">T17*N17</f>
        <v>0</v>
      </c>
      <c r="V17" s="1345">
        <v>100</v>
      </c>
      <c r="W17" s="1483">
        <f t="shared" ref="W17:W23" si="15">V17*N17</f>
        <v>8000</v>
      </c>
      <c r="X17" s="1345">
        <f t="shared" si="8"/>
        <v>100</v>
      </c>
      <c r="Y17" s="1345">
        <f t="shared" ref="Y17:Y23" si="16">X17*N17</f>
        <v>8000</v>
      </c>
      <c r="Z17" s="1357" t="s">
        <v>7799</v>
      </c>
      <c r="AA17" s="1358" t="s">
        <v>6531</v>
      </c>
      <c r="AB17" s="1359" t="str">
        <f t="shared" si="0"/>
        <v>yes</v>
      </c>
      <c r="AC17" s="1359" t="str">
        <f t="shared" si="10"/>
        <v>ok</v>
      </c>
    </row>
    <row r="18" spans="1:31" s="1359" customFormat="1" ht="20.25" customHeight="1" x14ac:dyDescent="0.6">
      <c r="A18" s="1279">
        <v>11</v>
      </c>
      <c r="B18" s="1896" t="s">
        <v>8944</v>
      </c>
      <c r="C18" s="1424" t="s">
        <v>8118</v>
      </c>
      <c r="D18" s="1897">
        <v>5</v>
      </c>
      <c r="E18" s="1378">
        <v>3100</v>
      </c>
      <c r="F18" s="1345">
        <v>5</v>
      </c>
      <c r="G18" s="1345">
        <v>3210</v>
      </c>
      <c r="H18" s="1345">
        <v>3</v>
      </c>
      <c r="I18" s="1345">
        <v>1260</v>
      </c>
      <c r="J18" s="1652">
        <v>5</v>
      </c>
      <c r="K18" s="1653">
        <v>0</v>
      </c>
      <c r="L18" s="1344">
        <f t="shared" si="1"/>
        <v>0</v>
      </c>
      <c r="M18" s="1204">
        <f t="shared" si="2"/>
        <v>5</v>
      </c>
      <c r="N18" s="1205">
        <v>420</v>
      </c>
      <c r="O18" s="1346">
        <f t="shared" si="11"/>
        <v>2100</v>
      </c>
      <c r="P18" s="1344">
        <v>3</v>
      </c>
      <c r="Q18" s="1482">
        <f t="shared" si="12"/>
        <v>1260</v>
      </c>
      <c r="R18" s="1345">
        <v>0</v>
      </c>
      <c r="S18" s="1483">
        <f t="shared" si="13"/>
        <v>0</v>
      </c>
      <c r="T18" s="1344">
        <v>2</v>
      </c>
      <c r="U18" s="1483">
        <f t="shared" si="14"/>
        <v>840</v>
      </c>
      <c r="V18" s="1345">
        <v>0</v>
      </c>
      <c r="W18" s="1483">
        <f t="shared" si="15"/>
        <v>0</v>
      </c>
      <c r="X18" s="1345">
        <f t="shared" si="8"/>
        <v>5</v>
      </c>
      <c r="Y18" s="1345">
        <f t="shared" si="16"/>
        <v>2100</v>
      </c>
      <c r="Z18" s="1357" t="s">
        <v>7799</v>
      </c>
      <c r="AA18" s="1358" t="s">
        <v>6531</v>
      </c>
      <c r="AB18" s="1359" t="str">
        <f t="shared" si="0"/>
        <v>yes</v>
      </c>
      <c r="AC18" s="1359" t="str">
        <f t="shared" si="10"/>
        <v>ok</v>
      </c>
    </row>
    <row r="19" spans="1:31" s="1359" customFormat="1" ht="20.25" customHeight="1" x14ac:dyDescent="0.6">
      <c r="A19" s="1279">
        <v>12</v>
      </c>
      <c r="B19" s="1896" t="s">
        <v>8945</v>
      </c>
      <c r="C19" s="1424" t="s">
        <v>8940</v>
      </c>
      <c r="D19" s="1897">
        <v>15</v>
      </c>
      <c r="E19" s="1378">
        <v>1500</v>
      </c>
      <c r="F19" s="1345">
        <v>28</v>
      </c>
      <c r="G19" s="1345">
        <v>2800</v>
      </c>
      <c r="H19" s="1345">
        <v>16</v>
      </c>
      <c r="I19" s="1345">
        <v>880</v>
      </c>
      <c r="J19" s="1652">
        <v>19</v>
      </c>
      <c r="K19" s="1653">
        <v>9</v>
      </c>
      <c r="L19" s="1344">
        <f t="shared" si="1"/>
        <v>495</v>
      </c>
      <c r="M19" s="1204">
        <f t="shared" si="2"/>
        <v>10</v>
      </c>
      <c r="N19" s="1205">
        <v>55</v>
      </c>
      <c r="O19" s="1346">
        <f t="shared" si="11"/>
        <v>550</v>
      </c>
      <c r="P19" s="1345">
        <v>0</v>
      </c>
      <c r="Q19" s="1482">
        <f t="shared" si="12"/>
        <v>0</v>
      </c>
      <c r="R19" s="1344">
        <v>0</v>
      </c>
      <c r="S19" s="1483">
        <f t="shared" si="13"/>
        <v>0</v>
      </c>
      <c r="T19" s="1345">
        <v>10</v>
      </c>
      <c r="U19" s="1483">
        <f t="shared" si="14"/>
        <v>550</v>
      </c>
      <c r="V19" s="1344">
        <v>0</v>
      </c>
      <c r="W19" s="1483">
        <f t="shared" si="15"/>
        <v>0</v>
      </c>
      <c r="X19" s="1345">
        <f t="shared" si="8"/>
        <v>10</v>
      </c>
      <c r="Y19" s="1345">
        <f t="shared" si="16"/>
        <v>550</v>
      </c>
      <c r="Z19" s="1357" t="s">
        <v>7799</v>
      </c>
      <c r="AA19" s="1358" t="s">
        <v>6531</v>
      </c>
      <c r="AB19" s="1359" t="str">
        <f t="shared" si="0"/>
        <v>yes</v>
      </c>
      <c r="AC19" s="1359" t="str">
        <f t="shared" si="10"/>
        <v>ok</v>
      </c>
    </row>
    <row r="20" spans="1:31" s="1359" customFormat="1" ht="20.25" customHeight="1" x14ac:dyDescent="0.6">
      <c r="A20" s="1279">
        <v>13</v>
      </c>
      <c r="B20" s="1896" t="s">
        <v>8946</v>
      </c>
      <c r="C20" s="1424" t="s">
        <v>8261</v>
      </c>
      <c r="D20" s="1897">
        <v>88</v>
      </c>
      <c r="E20" s="1378">
        <v>19360</v>
      </c>
      <c r="F20" s="1345">
        <v>99</v>
      </c>
      <c r="G20" s="1345">
        <v>21780</v>
      </c>
      <c r="H20" s="1345">
        <v>88</v>
      </c>
      <c r="I20" s="1345">
        <v>19360</v>
      </c>
      <c r="J20" s="1652">
        <v>94</v>
      </c>
      <c r="K20" s="1653">
        <v>10</v>
      </c>
      <c r="L20" s="1344">
        <f t="shared" si="1"/>
        <v>2200</v>
      </c>
      <c r="M20" s="1204">
        <f t="shared" si="2"/>
        <v>84</v>
      </c>
      <c r="N20" s="1205">
        <v>220</v>
      </c>
      <c r="O20" s="1346">
        <f t="shared" si="11"/>
        <v>18480</v>
      </c>
      <c r="P20" s="1344">
        <v>0</v>
      </c>
      <c r="Q20" s="1482">
        <f t="shared" si="12"/>
        <v>0</v>
      </c>
      <c r="R20" s="1344">
        <v>36</v>
      </c>
      <c r="S20" s="1483">
        <f t="shared" si="13"/>
        <v>7920</v>
      </c>
      <c r="T20" s="1345">
        <v>24</v>
      </c>
      <c r="U20" s="1483">
        <f t="shared" si="14"/>
        <v>5280</v>
      </c>
      <c r="V20" s="1345">
        <v>24</v>
      </c>
      <c r="W20" s="1483">
        <f t="shared" si="15"/>
        <v>5280</v>
      </c>
      <c r="X20" s="1345">
        <f t="shared" si="8"/>
        <v>84</v>
      </c>
      <c r="Y20" s="1345">
        <f t="shared" si="16"/>
        <v>18480</v>
      </c>
      <c r="Z20" s="1357" t="s">
        <v>7799</v>
      </c>
      <c r="AA20" s="1358" t="s">
        <v>6531</v>
      </c>
      <c r="AB20" s="1359" t="str">
        <f t="shared" si="0"/>
        <v>yes</v>
      </c>
      <c r="AC20" s="1359" t="str">
        <f t="shared" si="10"/>
        <v>ok</v>
      </c>
    </row>
    <row r="21" spans="1:31" s="1359" customFormat="1" ht="20.25" customHeight="1" x14ac:dyDescent="0.6">
      <c r="A21" s="1279">
        <v>14</v>
      </c>
      <c r="B21" s="1896" t="s">
        <v>8947</v>
      </c>
      <c r="C21" s="1424" t="s">
        <v>8261</v>
      </c>
      <c r="D21" s="1897">
        <v>65</v>
      </c>
      <c r="E21" s="1378">
        <v>17550</v>
      </c>
      <c r="F21" s="1345">
        <v>87</v>
      </c>
      <c r="G21" s="1345">
        <v>23490</v>
      </c>
      <c r="H21" s="1345">
        <v>74</v>
      </c>
      <c r="I21" s="1345">
        <v>19980</v>
      </c>
      <c r="J21" s="1652">
        <v>92</v>
      </c>
      <c r="K21" s="1653">
        <v>8</v>
      </c>
      <c r="L21" s="1344">
        <f t="shared" si="1"/>
        <v>2160</v>
      </c>
      <c r="M21" s="1204">
        <f t="shared" si="2"/>
        <v>84</v>
      </c>
      <c r="N21" s="1205">
        <v>270</v>
      </c>
      <c r="O21" s="1346">
        <f t="shared" si="11"/>
        <v>22680</v>
      </c>
      <c r="P21" s="1344">
        <v>0</v>
      </c>
      <c r="Q21" s="1482">
        <f t="shared" si="12"/>
        <v>0</v>
      </c>
      <c r="R21" s="1344">
        <v>36</v>
      </c>
      <c r="S21" s="1483">
        <f t="shared" si="13"/>
        <v>9720</v>
      </c>
      <c r="T21" s="1345">
        <v>24</v>
      </c>
      <c r="U21" s="1483">
        <f t="shared" si="14"/>
        <v>6480</v>
      </c>
      <c r="V21" s="1345">
        <v>24</v>
      </c>
      <c r="W21" s="1483">
        <f t="shared" si="15"/>
        <v>6480</v>
      </c>
      <c r="X21" s="1345">
        <f t="shared" si="8"/>
        <v>84</v>
      </c>
      <c r="Y21" s="1345">
        <f t="shared" si="16"/>
        <v>22680</v>
      </c>
      <c r="Z21" s="1357" t="s">
        <v>7799</v>
      </c>
      <c r="AA21" s="1358" t="s">
        <v>6531</v>
      </c>
      <c r="AB21" s="1359" t="str">
        <f t="shared" si="0"/>
        <v>yes</v>
      </c>
      <c r="AC21" s="1359" t="str">
        <f t="shared" si="10"/>
        <v>ok</v>
      </c>
    </row>
    <row r="22" spans="1:31" s="1359" customFormat="1" ht="20.25" customHeight="1" x14ac:dyDescent="0.6">
      <c r="A22" s="1279">
        <v>15</v>
      </c>
      <c r="B22" s="1896" t="s">
        <v>8948</v>
      </c>
      <c r="C22" s="1424" t="s">
        <v>8261</v>
      </c>
      <c r="D22" s="1897">
        <v>42</v>
      </c>
      <c r="E22" s="1378">
        <v>12583.2</v>
      </c>
      <c r="F22" s="1343">
        <v>30</v>
      </c>
      <c r="G22" s="1345">
        <v>8988</v>
      </c>
      <c r="H22" s="1345">
        <v>21</v>
      </c>
      <c r="I22" s="1345">
        <v>6279</v>
      </c>
      <c r="J22" s="1652">
        <v>30</v>
      </c>
      <c r="K22" s="1653">
        <v>6</v>
      </c>
      <c r="L22" s="1344">
        <f t="shared" si="1"/>
        <v>1797.6000000000001</v>
      </c>
      <c r="M22" s="1204">
        <f t="shared" si="2"/>
        <v>24</v>
      </c>
      <c r="N22" s="1205">
        <v>299.60000000000002</v>
      </c>
      <c r="O22" s="1346">
        <f t="shared" si="11"/>
        <v>7190.4000000000005</v>
      </c>
      <c r="P22" s="1344">
        <v>0</v>
      </c>
      <c r="Q22" s="1482">
        <f t="shared" si="12"/>
        <v>0</v>
      </c>
      <c r="R22" s="1344">
        <v>12</v>
      </c>
      <c r="S22" s="1483">
        <f t="shared" si="13"/>
        <v>3595.2000000000003</v>
      </c>
      <c r="T22" s="1345">
        <v>0</v>
      </c>
      <c r="U22" s="1483">
        <f t="shared" si="14"/>
        <v>0</v>
      </c>
      <c r="V22" s="1345">
        <v>12</v>
      </c>
      <c r="W22" s="1483">
        <f t="shared" si="15"/>
        <v>3595.2000000000003</v>
      </c>
      <c r="X22" s="1345">
        <f t="shared" si="8"/>
        <v>24</v>
      </c>
      <c r="Y22" s="1345">
        <f t="shared" si="16"/>
        <v>7190.4000000000005</v>
      </c>
      <c r="Z22" s="1357" t="s">
        <v>7799</v>
      </c>
      <c r="AA22" s="1358" t="s">
        <v>6531</v>
      </c>
      <c r="AB22" s="1359" t="str">
        <f t="shared" si="0"/>
        <v>yes</v>
      </c>
      <c r="AC22" s="1359" t="str">
        <f t="shared" si="10"/>
        <v>ok</v>
      </c>
    </row>
    <row r="23" spans="1:31" s="1359" customFormat="1" ht="20.25" customHeight="1" x14ac:dyDescent="0.6">
      <c r="A23" s="1279">
        <v>16</v>
      </c>
      <c r="B23" s="1896" t="s">
        <v>8949</v>
      </c>
      <c r="C23" s="1424" t="s">
        <v>8261</v>
      </c>
      <c r="D23" s="1897">
        <v>58</v>
      </c>
      <c r="E23" s="1378">
        <v>14500</v>
      </c>
      <c r="F23" s="1345">
        <v>42</v>
      </c>
      <c r="G23" s="1345">
        <v>10500</v>
      </c>
      <c r="H23" s="1345">
        <v>61</v>
      </c>
      <c r="I23" s="1345">
        <v>15250</v>
      </c>
      <c r="J23" s="1652">
        <v>70</v>
      </c>
      <c r="K23" s="1653">
        <v>10</v>
      </c>
      <c r="L23" s="1344">
        <f t="shared" si="1"/>
        <v>2500</v>
      </c>
      <c r="M23" s="1204">
        <f t="shared" si="2"/>
        <v>60</v>
      </c>
      <c r="N23" s="1205">
        <v>250</v>
      </c>
      <c r="O23" s="1346">
        <f t="shared" si="11"/>
        <v>15000</v>
      </c>
      <c r="P23" s="1345">
        <v>0</v>
      </c>
      <c r="Q23" s="1482">
        <f t="shared" si="12"/>
        <v>0</v>
      </c>
      <c r="R23" s="1344">
        <v>24</v>
      </c>
      <c r="S23" s="1483">
        <f t="shared" si="13"/>
        <v>6000</v>
      </c>
      <c r="T23" s="1345">
        <v>24</v>
      </c>
      <c r="U23" s="1483">
        <f t="shared" si="14"/>
        <v>6000</v>
      </c>
      <c r="V23" s="1344">
        <v>12</v>
      </c>
      <c r="W23" s="1483">
        <f t="shared" si="15"/>
        <v>3000</v>
      </c>
      <c r="X23" s="1345">
        <f t="shared" si="8"/>
        <v>60</v>
      </c>
      <c r="Y23" s="1345">
        <f t="shared" si="16"/>
        <v>15000</v>
      </c>
      <c r="Z23" s="1357" t="s">
        <v>7799</v>
      </c>
      <c r="AA23" s="1358" t="s">
        <v>6531</v>
      </c>
      <c r="AB23" s="1359" t="str">
        <f t="shared" si="0"/>
        <v>yes</v>
      </c>
      <c r="AC23" s="1359" t="str">
        <f t="shared" si="10"/>
        <v>ok</v>
      </c>
      <c r="AE23" s="1382"/>
    </row>
    <row r="24" spans="1:31" s="1359" customFormat="1" ht="23.25" customHeight="1" x14ac:dyDescent="0.6">
      <c r="A24" s="1279">
        <v>17</v>
      </c>
      <c r="B24" s="1896" t="s">
        <v>8950</v>
      </c>
      <c r="C24" s="1424" t="s">
        <v>8261</v>
      </c>
      <c r="D24" s="1897">
        <v>48</v>
      </c>
      <c r="E24" s="1378">
        <v>8640</v>
      </c>
      <c r="F24" s="1345">
        <v>44</v>
      </c>
      <c r="G24" s="1345">
        <v>7920</v>
      </c>
      <c r="H24" s="1343">
        <v>47</v>
      </c>
      <c r="I24" s="1345">
        <v>8460</v>
      </c>
      <c r="J24" s="1480">
        <v>56</v>
      </c>
      <c r="K24" s="1651">
        <v>8</v>
      </c>
      <c r="L24" s="1344">
        <f t="shared" si="1"/>
        <v>1440</v>
      </c>
      <c r="M24" s="1204">
        <f t="shared" si="2"/>
        <v>48</v>
      </c>
      <c r="N24" s="1875">
        <v>180</v>
      </c>
      <c r="O24" s="1346">
        <f>M24*N24</f>
        <v>8640</v>
      </c>
      <c r="P24" s="1482">
        <v>0</v>
      </c>
      <c r="Q24" s="1482">
        <f>P24*N24</f>
        <v>0</v>
      </c>
      <c r="R24" s="1482">
        <v>24</v>
      </c>
      <c r="S24" s="1483">
        <f>R24*N24</f>
        <v>4320</v>
      </c>
      <c r="T24" s="1482">
        <v>0</v>
      </c>
      <c r="U24" s="1483">
        <f>T24*N24</f>
        <v>0</v>
      </c>
      <c r="V24" s="1482">
        <v>24</v>
      </c>
      <c r="W24" s="1483">
        <f>V24*N24</f>
        <v>4320</v>
      </c>
      <c r="X24" s="1345">
        <f t="shared" si="8"/>
        <v>48</v>
      </c>
      <c r="Y24" s="1345">
        <f>X24*N24</f>
        <v>8640</v>
      </c>
      <c r="Z24" s="1357" t="s">
        <v>7799</v>
      </c>
      <c r="AA24" s="1358" t="s">
        <v>6531</v>
      </c>
      <c r="AB24" s="1359" t="str">
        <f t="shared" si="0"/>
        <v>yes</v>
      </c>
      <c r="AC24" s="1359" t="str">
        <f t="shared" si="10"/>
        <v>ok</v>
      </c>
    </row>
    <row r="25" spans="1:31" s="1359" customFormat="1" ht="20.25" customHeight="1" x14ac:dyDescent="0.6">
      <c r="A25" s="1279">
        <v>18</v>
      </c>
      <c r="B25" s="1896" t="s">
        <v>8951</v>
      </c>
      <c r="C25" s="1424" t="s">
        <v>7798</v>
      </c>
      <c r="D25" s="1897">
        <v>5</v>
      </c>
      <c r="E25" s="1378">
        <v>475</v>
      </c>
      <c r="F25" s="1345">
        <v>9</v>
      </c>
      <c r="G25" s="1345">
        <v>1125</v>
      </c>
      <c r="H25" s="1345">
        <v>9</v>
      </c>
      <c r="I25" s="1345">
        <v>1125</v>
      </c>
      <c r="J25" s="1652">
        <v>12</v>
      </c>
      <c r="K25" s="1653">
        <v>2</v>
      </c>
      <c r="L25" s="1344">
        <f t="shared" si="1"/>
        <v>250</v>
      </c>
      <c r="M25" s="1204">
        <f t="shared" si="2"/>
        <v>10</v>
      </c>
      <c r="N25" s="1205">
        <v>125</v>
      </c>
      <c r="O25" s="1346">
        <f t="shared" ref="O25:O32" si="17">M25*N25</f>
        <v>1250</v>
      </c>
      <c r="P25" s="1344">
        <v>5</v>
      </c>
      <c r="Q25" s="1482">
        <f t="shared" ref="Q25:Q32" si="18">P25*N25</f>
        <v>625</v>
      </c>
      <c r="R25" s="1344">
        <v>0</v>
      </c>
      <c r="S25" s="1483">
        <f t="shared" ref="S25:S32" si="19">R25*N25</f>
        <v>0</v>
      </c>
      <c r="T25" s="1345">
        <v>5</v>
      </c>
      <c r="U25" s="1483">
        <f t="shared" ref="U25:U32" si="20">T25*N25</f>
        <v>625</v>
      </c>
      <c r="V25" s="1345">
        <v>0</v>
      </c>
      <c r="W25" s="1483">
        <f t="shared" ref="W25:W32" si="21">V25*N25</f>
        <v>0</v>
      </c>
      <c r="X25" s="1345">
        <f t="shared" si="8"/>
        <v>10</v>
      </c>
      <c r="Y25" s="1345">
        <f t="shared" ref="Y25:Y32" si="22">X25*N25</f>
        <v>1250</v>
      </c>
      <c r="Z25" s="1357" t="s">
        <v>7799</v>
      </c>
      <c r="AA25" s="1358" t="s">
        <v>6531</v>
      </c>
      <c r="AB25" s="1359" t="str">
        <f t="shared" si="0"/>
        <v>yes</v>
      </c>
      <c r="AC25" s="1359" t="str">
        <f t="shared" si="10"/>
        <v>ok</v>
      </c>
    </row>
    <row r="26" spans="1:31" s="1359" customFormat="1" ht="20.25" customHeight="1" x14ac:dyDescent="0.6">
      <c r="A26" s="1279">
        <v>19</v>
      </c>
      <c r="B26" s="1896" t="s">
        <v>8952</v>
      </c>
      <c r="C26" s="1424" t="s">
        <v>8953</v>
      </c>
      <c r="D26" s="1897">
        <v>14</v>
      </c>
      <c r="E26" s="1378">
        <v>20972</v>
      </c>
      <c r="F26" s="1345">
        <v>18</v>
      </c>
      <c r="G26" s="1345">
        <v>26964</v>
      </c>
      <c r="H26" s="1345">
        <v>19</v>
      </c>
      <c r="I26" s="1345">
        <v>28462</v>
      </c>
      <c r="J26" s="1652">
        <v>25</v>
      </c>
      <c r="K26" s="1653">
        <v>3</v>
      </c>
      <c r="L26" s="1344">
        <f t="shared" si="1"/>
        <v>4494</v>
      </c>
      <c r="M26" s="1204">
        <f t="shared" si="2"/>
        <v>22</v>
      </c>
      <c r="N26" s="1205">
        <v>1498</v>
      </c>
      <c r="O26" s="1346">
        <f t="shared" si="17"/>
        <v>32956</v>
      </c>
      <c r="P26" s="1344">
        <v>5</v>
      </c>
      <c r="Q26" s="1482">
        <f t="shared" si="18"/>
        <v>7490</v>
      </c>
      <c r="R26" s="1345">
        <v>5</v>
      </c>
      <c r="S26" s="1483">
        <f t="shared" si="19"/>
        <v>7490</v>
      </c>
      <c r="T26" s="1344">
        <v>5</v>
      </c>
      <c r="U26" s="1483">
        <f t="shared" si="20"/>
        <v>7490</v>
      </c>
      <c r="V26" s="1345">
        <v>7</v>
      </c>
      <c r="W26" s="1483">
        <f t="shared" si="21"/>
        <v>10486</v>
      </c>
      <c r="X26" s="1345">
        <f t="shared" si="8"/>
        <v>22</v>
      </c>
      <c r="Y26" s="1345">
        <f t="shared" si="22"/>
        <v>32956</v>
      </c>
      <c r="Z26" s="1357" t="s">
        <v>7799</v>
      </c>
      <c r="AA26" s="1358" t="s">
        <v>6531</v>
      </c>
      <c r="AB26" s="1359" t="str">
        <f t="shared" si="0"/>
        <v>yes</v>
      </c>
      <c r="AC26" s="1359" t="str">
        <f t="shared" si="10"/>
        <v>ok</v>
      </c>
    </row>
    <row r="27" spans="1:31" s="1359" customFormat="1" ht="20.25" customHeight="1" x14ac:dyDescent="0.6">
      <c r="A27" s="1279">
        <v>20</v>
      </c>
      <c r="B27" s="1896" t="s">
        <v>8954</v>
      </c>
      <c r="C27" s="1424" t="s">
        <v>7839</v>
      </c>
      <c r="D27" s="1897">
        <v>36</v>
      </c>
      <c r="E27" s="1378">
        <v>1800</v>
      </c>
      <c r="F27" s="1345">
        <v>30</v>
      </c>
      <c r="G27" s="1345">
        <v>1500</v>
      </c>
      <c r="H27" s="1345">
        <v>40</v>
      </c>
      <c r="I27" s="1345">
        <v>1300</v>
      </c>
      <c r="J27" s="1652">
        <v>38</v>
      </c>
      <c r="K27" s="1653">
        <v>14</v>
      </c>
      <c r="L27" s="1344">
        <f t="shared" si="1"/>
        <v>700</v>
      </c>
      <c r="M27" s="1204">
        <f t="shared" si="2"/>
        <v>24</v>
      </c>
      <c r="N27" s="1205">
        <v>50</v>
      </c>
      <c r="O27" s="1346">
        <f t="shared" si="17"/>
        <v>1200</v>
      </c>
      <c r="P27" s="1345">
        <v>0</v>
      </c>
      <c r="Q27" s="1482">
        <f t="shared" si="18"/>
        <v>0</v>
      </c>
      <c r="R27" s="1344">
        <v>24</v>
      </c>
      <c r="S27" s="1483">
        <f t="shared" si="19"/>
        <v>1200</v>
      </c>
      <c r="T27" s="1345">
        <v>0</v>
      </c>
      <c r="U27" s="1483">
        <f t="shared" si="20"/>
        <v>0</v>
      </c>
      <c r="V27" s="1344">
        <v>0</v>
      </c>
      <c r="W27" s="1483">
        <f t="shared" si="21"/>
        <v>0</v>
      </c>
      <c r="X27" s="1345">
        <f t="shared" si="8"/>
        <v>24</v>
      </c>
      <c r="Y27" s="1345">
        <f t="shared" si="22"/>
        <v>1200</v>
      </c>
      <c r="Z27" s="1357" t="s">
        <v>7799</v>
      </c>
      <c r="AA27" s="1358" t="s">
        <v>6531</v>
      </c>
      <c r="AB27" s="1359" t="str">
        <f t="shared" si="0"/>
        <v>yes</v>
      </c>
      <c r="AC27" s="1359" t="str">
        <f t="shared" si="10"/>
        <v>ok</v>
      </c>
    </row>
    <row r="28" spans="1:31" s="1359" customFormat="1" ht="20.25" customHeight="1" x14ac:dyDescent="0.6">
      <c r="A28" s="1279">
        <v>21</v>
      </c>
      <c r="B28" s="1896" t="s">
        <v>8955</v>
      </c>
      <c r="C28" s="1424" t="s">
        <v>7823</v>
      </c>
      <c r="D28" s="1897">
        <v>36</v>
      </c>
      <c r="E28" s="1378">
        <v>3780</v>
      </c>
      <c r="F28" s="1345">
        <v>25</v>
      </c>
      <c r="G28" s="1345">
        <v>2875</v>
      </c>
      <c r="H28" s="1345">
        <v>26</v>
      </c>
      <c r="I28" s="1345">
        <v>2990</v>
      </c>
      <c r="J28" s="1652">
        <v>53</v>
      </c>
      <c r="K28" s="1653">
        <v>3</v>
      </c>
      <c r="L28" s="1344">
        <f t="shared" si="1"/>
        <v>345</v>
      </c>
      <c r="M28" s="1204">
        <f t="shared" si="2"/>
        <v>50</v>
      </c>
      <c r="N28" s="1205">
        <v>115</v>
      </c>
      <c r="O28" s="1346">
        <f t="shared" si="17"/>
        <v>5750</v>
      </c>
      <c r="P28" s="1344">
        <v>0</v>
      </c>
      <c r="Q28" s="1482">
        <f t="shared" si="18"/>
        <v>0</v>
      </c>
      <c r="R28" s="1344">
        <v>0</v>
      </c>
      <c r="S28" s="1483">
        <f t="shared" si="19"/>
        <v>0</v>
      </c>
      <c r="T28" s="1345">
        <v>50</v>
      </c>
      <c r="U28" s="1483">
        <f t="shared" si="20"/>
        <v>5750</v>
      </c>
      <c r="V28" s="1345">
        <v>0</v>
      </c>
      <c r="W28" s="1483">
        <f t="shared" si="21"/>
        <v>0</v>
      </c>
      <c r="X28" s="1345">
        <f t="shared" si="8"/>
        <v>50</v>
      </c>
      <c r="Y28" s="1345">
        <f t="shared" si="22"/>
        <v>5750</v>
      </c>
      <c r="Z28" s="1357" t="s">
        <v>7799</v>
      </c>
      <c r="AA28" s="1358" t="s">
        <v>6531</v>
      </c>
      <c r="AB28" s="1359" t="str">
        <f t="shared" si="0"/>
        <v>yes</v>
      </c>
      <c r="AC28" s="1359" t="str">
        <f t="shared" si="10"/>
        <v>ok</v>
      </c>
    </row>
    <row r="29" spans="1:31" s="1359" customFormat="1" ht="20.25" customHeight="1" x14ac:dyDescent="0.6">
      <c r="A29" s="1279">
        <v>22</v>
      </c>
      <c r="B29" s="1896" t="s">
        <v>8956</v>
      </c>
      <c r="C29" s="1424" t="s">
        <v>7798</v>
      </c>
      <c r="D29" s="1897">
        <v>30</v>
      </c>
      <c r="E29" s="1378">
        <v>1500</v>
      </c>
      <c r="F29" s="1345">
        <v>54</v>
      </c>
      <c r="G29" s="1345">
        <v>2970</v>
      </c>
      <c r="H29" s="1345">
        <v>33</v>
      </c>
      <c r="I29" s="1345">
        <v>1815</v>
      </c>
      <c r="J29" s="1652">
        <v>45</v>
      </c>
      <c r="K29" s="1653">
        <v>15</v>
      </c>
      <c r="L29" s="1344">
        <f t="shared" si="1"/>
        <v>825</v>
      </c>
      <c r="M29" s="1204">
        <f t="shared" si="2"/>
        <v>30</v>
      </c>
      <c r="N29" s="1205">
        <v>55</v>
      </c>
      <c r="O29" s="1346">
        <f t="shared" si="17"/>
        <v>1650</v>
      </c>
      <c r="P29" s="1344">
        <v>0</v>
      </c>
      <c r="Q29" s="1482">
        <f t="shared" si="18"/>
        <v>0</v>
      </c>
      <c r="R29" s="1344">
        <v>10</v>
      </c>
      <c r="S29" s="1483">
        <f t="shared" si="19"/>
        <v>550</v>
      </c>
      <c r="T29" s="1345">
        <v>0</v>
      </c>
      <c r="U29" s="1483">
        <f t="shared" si="20"/>
        <v>0</v>
      </c>
      <c r="V29" s="1345">
        <v>20</v>
      </c>
      <c r="W29" s="1483">
        <f t="shared" si="21"/>
        <v>1100</v>
      </c>
      <c r="X29" s="1345">
        <f t="shared" si="8"/>
        <v>30</v>
      </c>
      <c r="Y29" s="1345">
        <f t="shared" si="22"/>
        <v>1650</v>
      </c>
      <c r="Z29" s="1357" t="s">
        <v>7799</v>
      </c>
      <c r="AA29" s="1358" t="s">
        <v>6531</v>
      </c>
      <c r="AB29" s="1359" t="str">
        <f t="shared" si="0"/>
        <v>yes</v>
      </c>
      <c r="AC29" s="1359" t="str">
        <f t="shared" si="10"/>
        <v>ok</v>
      </c>
    </row>
    <row r="30" spans="1:31" s="1359" customFormat="1" ht="20.25" customHeight="1" x14ac:dyDescent="0.6">
      <c r="A30" s="1279">
        <v>23</v>
      </c>
      <c r="B30" s="1896" t="s">
        <v>8957</v>
      </c>
      <c r="C30" s="1424" t="s">
        <v>8261</v>
      </c>
      <c r="D30" s="1897">
        <v>36</v>
      </c>
      <c r="E30" s="1378">
        <v>9630</v>
      </c>
      <c r="F30" s="1343">
        <v>30</v>
      </c>
      <c r="G30" s="1345">
        <v>8025</v>
      </c>
      <c r="H30" s="1345">
        <v>26</v>
      </c>
      <c r="I30" s="1345">
        <v>5200</v>
      </c>
      <c r="J30" s="1652">
        <v>31</v>
      </c>
      <c r="K30" s="1653">
        <v>7</v>
      </c>
      <c r="L30" s="1344">
        <f t="shared" si="1"/>
        <v>1400</v>
      </c>
      <c r="M30" s="1204">
        <f t="shared" si="2"/>
        <v>24</v>
      </c>
      <c r="N30" s="1205">
        <v>200</v>
      </c>
      <c r="O30" s="1346">
        <f t="shared" si="17"/>
        <v>4800</v>
      </c>
      <c r="P30" s="1344">
        <v>0</v>
      </c>
      <c r="Q30" s="1482">
        <f t="shared" si="18"/>
        <v>0</v>
      </c>
      <c r="R30" s="1344">
        <v>12</v>
      </c>
      <c r="S30" s="1483">
        <f t="shared" si="19"/>
        <v>2400</v>
      </c>
      <c r="T30" s="1345">
        <v>0</v>
      </c>
      <c r="U30" s="1483">
        <f t="shared" si="20"/>
        <v>0</v>
      </c>
      <c r="V30" s="1345">
        <v>12</v>
      </c>
      <c r="W30" s="1483">
        <f t="shared" si="21"/>
        <v>2400</v>
      </c>
      <c r="X30" s="1345">
        <f t="shared" si="8"/>
        <v>24</v>
      </c>
      <c r="Y30" s="1345">
        <f t="shared" si="22"/>
        <v>4800</v>
      </c>
      <c r="Z30" s="1357" t="s">
        <v>7799</v>
      </c>
      <c r="AA30" s="1358" t="s">
        <v>6531</v>
      </c>
      <c r="AB30" s="1359" t="str">
        <f t="shared" si="0"/>
        <v>yes</v>
      </c>
      <c r="AC30" s="1359" t="str">
        <f t="shared" si="10"/>
        <v>ok</v>
      </c>
    </row>
    <row r="31" spans="1:31" s="1359" customFormat="1" ht="20.25" customHeight="1" x14ac:dyDescent="0.6">
      <c r="A31" s="1279">
        <v>24</v>
      </c>
      <c r="B31" s="1896" t="s">
        <v>8958</v>
      </c>
      <c r="C31" s="1424" t="s">
        <v>8261</v>
      </c>
      <c r="D31" s="1897">
        <v>38</v>
      </c>
      <c r="E31" s="1378">
        <v>12807.9</v>
      </c>
      <c r="F31" s="1345">
        <v>51</v>
      </c>
      <c r="G31" s="1345">
        <v>17189.55</v>
      </c>
      <c r="H31" s="1345">
        <v>42</v>
      </c>
      <c r="I31" s="1345">
        <v>14156</v>
      </c>
      <c r="J31" s="1652">
        <v>59</v>
      </c>
      <c r="K31" s="1653">
        <v>11</v>
      </c>
      <c r="L31" s="1344">
        <f t="shared" si="1"/>
        <v>3707.55</v>
      </c>
      <c r="M31" s="1204">
        <f t="shared" si="2"/>
        <v>48</v>
      </c>
      <c r="N31" s="1205">
        <v>337.05</v>
      </c>
      <c r="O31" s="1346">
        <f t="shared" si="17"/>
        <v>16178.400000000001</v>
      </c>
      <c r="P31" s="1344">
        <v>0</v>
      </c>
      <c r="Q31" s="1482">
        <f t="shared" si="18"/>
        <v>0</v>
      </c>
      <c r="R31" s="1344">
        <v>24</v>
      </c>
      <c r="S31" s="1483">
        <f t="shared" si="19"/>
        <v>8089.2000000000007</v>
      </c>
      <c r="T31" s="1345">
        <v>0</v>
      </c>
      <c r="U31" s="1483">
        <f t="shared" si="20"/>
        <v>0</v>
      </c>
      <c r="V31" s="1345">
        <v>24</v>
      </c>
      <c r="W31" s="1483">
        <f t="shared" si="21"/>
        <v>8089.2000000000007</v>
      </c>
      <c r="X31" s="1345">
        <f t="shared" si="8"/>
        <v>48</v>
      </c>
      <c r="Y31" s="1345">
        <f t="shared" si="22"/>
        <v>16178.400000000001</v>
      </c>
      <c r="Z31" s="1357" t="s">
        <v>7799</v>
      </c>
      <c r="AA31" s="1358" t="s">
        <v>6531</v>
      </c>
      <c r="AB31" s="1359" t="str">
        <f t="shared" si="0"/>
        <v>yes</v>
      </c>
      <c r="AC31" s="1359" t="str">
        <f t="shared" si="10"/>
        <v>ok</v>
      </c>
    </row>
    <row r="32" spans="1:31" s="1359" customFormat="1" ht="20.25" customHeight="1" x14ac:dyDescent="0.6">
      <c r="A32" s="1279">
        <v>25</v>
      </c>
      <c r="B32" s="1896" t="s">
        <v>8959</v>
      </c>
      <c r="C32" s="1424" t="s">
        <v>7839</v>
      </c>
      <c r="D32" s="1897">
        <v>30</v>
      </c>
      <c r="E32" s="1378">
        <v>4500</v>
      </c>
      <c r="F32" s="1345">
        <v>60</v>
      </c>
      <c r="G32" s="1345">
        <v>7200</v>
      </c>
      <c r="H32" s="1345">
        <v>40</v>
      </c>
      <c r="I32" s="1345">
        <v>12840</v>
      </c>
      <c r="J32" s="1652">
        <v>50</v>
      </c>
      <c r="K32" s="1653">
        <v>20</v>
      </c>
      <c r="L32" s="1344">
        <f t="shared" si="1"/>
        <v>6400</v>
      </c>
      <c r="M32" s="1204">
        <f t="shared" si="2"/>
        <v>30</v>
      </c>
      <c r="N32" s="1205">
        <v>320</v>
      </c>
      <c r="O32" s="1346">
        <f t="shared" si="17"/>
        <v>9600</v>
      </c>
      <c r="P32" s="1345">
        <v>0</v>
      </c>
      <c r="Q32" s="1482">
        <f t="shared" si="18"/>
        <v>0</v>
      </c>
      <c r="R32" s="1344">
        <v>30</v>
      </c>
      <c r="S32" s="1483">
        <f t="shared" si="19"/>
        <v>9600</v>
      </c>
      <c r="T32" s="1345">
        <v>0</v>
      </c>
      <c r="U32" s="1483">
        <f t="shared" si="20"/>
        <v>0</v>
      </c>
      <c r="V32" s="1344">
        <v>0</v>
      </c>
      <c r="W32" s="1483">
        <f t="shared" si="21"/>
        <v>0</v>
      </c>
      <c r="X32" s="1345">
        <f t="shared" si="8"/>
        <v>30</v>
      </c>
      <c r="Y32" s="1345">
        <f t="shared" si="22"/>
        <v>9600</v>
      </c>
      <c r="Z32" s="1357" t="s">
        <v>7799</v>
      </c>
      <c r="AA32" s="1358" t="s">
        <v>6531</v>
      </c>
      <c r="AB32" s="1359" t="str">
        <f t="shared" si="0"/>
        <v>yes</v>
      </c>
      <c r="AC32" s="1359" t="str">
        <f t="shared" si="10"/>
        <v>ok</v>
      </c>
      <c r="AE32" s="1382"/>
    </row>
    <row r="33" spans="1:31" s="1359" customFormat="1" ht="23.25" customHeight="1" x14ac:dyDescent="0.6">
      <c r="A33" s="1279">
        <v>26</v>
      </c>
      <c r="B33" s="1896" t="s">
        <v>8960</v>
      </c>
      <c r="C33" s="1424" t="s">
        <v>7839</v>
      </c>
      <c r="D33" s="1897">
        <v>10</v>
      </c>
      <c r="E33" s="1378">
        <v>550</v>
      </c>
      <c r="F33" s="1345">
        <v>15</v>
      </c>
      <c r="G33" s="1345">
        <v>975</v>
      </c>
      <c r="H33" s="1343">
        <v>85</v>
      </c>
      <c r="I33" s="1345">
        <v>4250</v>
      </c>
      <c r="J33" s="1480">
        <v>65</v>
      </c>
      <c r="K33" s="1651">
        <v>25</v>
      </c>
      <c r="L33" s="1344">
        <f t="shared" si="1"/>
        <v>1625</v>
      </c>
      <c r="M33" s="1204">
        <f t="shared" si="2"/>
        <v>40</v>
      </c>
      <c r="N33" s="1875">
        <v>65</v>
      </c>
      <c r="O33" s="1346">
        <f>M33*N33</f>
        <v>2600</v>
      </c>
      <c r="P33" s="1482">
        <v>0</v>
      </c>
      <c r="Q33" s="1482">
        <f>P33*N33</f>
        <v>0</v>
      </c>
      <c r="R33" s="1482">
        <v>20</v>
      </c>
      <c r="S33" s="1483">
        <f>R33*N33</f>
        <v>1300</v>
      </c>
      <c r="T33" s="1482">
        <v>0</v>
      </c>
      <c r="U33" s="1483">
        <f>T33*N33</f>
        <v>0</v>
      </c>
      <c r="V33" s="1482">
        <v>20</v>
      </c>
      <c r="W33" s="1483">
        <f>V33*N33</f>
        <v>1300</v>
      </c>
      <c r="X33" s="1345">
        <f t="shared" si="8"/>
        <v>40</v>
      </c>
      <c r="Y33" s="1345">
        <f>X33*N33</f>
        <v>2600</v>
      </c>
      <c r="Z33" s="1357" t="s">
        <v>7799</v>
      </c>
      <c r="AA33" s="1358" t="s">
        <v>6531</v>
      </c>
      <c r="AB33" s="1359" t="str">
        <f t="shared" si="0"/>
        <v>yes</v>
      </c>
      <c r="AC33" s="1359" t="str">
        <f t="shared" si="10"/>
        <v>ok</v>
      </c>
    </row>
    <row r="34" spans="1:31" s="1359" customFormat="1" ht="20.25" customHeight="1" x14ac:dyDescent="0.6">
      <c r="A34" s="1279">
        <v>27</v>
      </c>
      <c r="B34" s="1896" t="s">
        <v>8961</v>
      </c>
      <c r="C34" s="1424" t="s">
        <v>7798</v>
      </c>
      <c r="D34" s="1897">
        <v>60</v>
      </c>
      <c r="E34" s="1378">
        <v>300</v>
      </c>
      <c r="F34" s="1345">
        <v>24</v>
      </c>
      <c r="G34" s="1345">
        <v>384</v>
      </c>
      <c r="H34" s="1345">
        <v>36</v>
      </c>
      <c r="I34" s="1345">
        <v>576</v>
      </c>
      <c r="J34" s="1652">
        <v>36</v>
      </c>
      <c r="K34" s="1653">
        <v>0</v>
      </c>
      <c r="L34" s="1344">
        <f t="shared" si="1"/>
        <v>0</v>
      </c>
      <c r="M34" s="1204">
        <f t="shared" si="2"/>
        <v>36</v>
      </c>
      <c r="N34" s="1205">
        <v>16</v>
      </c>
      <c r="O34" s="1346">
        <f t="shared" ref="O34:O41" si="23">M34*N34</f>
        <v>576</v>
      </c>
      <c r="P34" s="1344">
        <v>12</v>
      </c>
      <c r="Q34" s="1482">
        <f t="shared" ref="Q34:Q41" si="24">P34*N34</f>
        <v>192</v>
      </c>
      <c r="R34" s="1344">
        <v>0</v>
      </c>
      <c r="S34" s="1483">
        <f t="shared" ref="S34:S41" si="25">R34*N34</f>
        <v>0</v>
      </c>
      <c r="T34" s="1345">
        <v>12</v>
      </c>
      <c r="U34" s="1483">
        <f t="shared" ref="U34:U41" si="26">T34*N34</f>
        <v>192</v>
      </c>
      <c r="V34" s="1345">
        <v>12</v>
      </c>
      <c r="W34" s="1483">
        <f t="shared" ref="W34:W41" si="27">V34*N34</f>
        <v>192</v>
      </c>
      <c r="X34" s="1345">
        <f t="shared" si="8"/>
        <v>36</v>
      </c>
      <c r="Y34" s="1345">
        <f t="shared" ref="Y34:Y41" si="28">X34*N34</f>
        <v>576</v>
      </c>
      <c r="Z34" s="1357" t="s">
        <v>7799</v>
      </c>
      <c r="AA34" s="1358" t="s">
        <v>6531</v>
      </c>
      <c r="AB34" s="1359" t="str">
        <f t="shared" si="0"/>
        <v>yes</v>
      </c>
      <c r="AC34" s="1359" t="str">
        <f t="shared" si="10"/>
        <v>ok</v>
      </c>
    </row>
    <row r="35" spans="1:31" s="1359" customFormat="1" ht="20.25" customHeight="1" x14ac:dyDescent="0.6">
      <c r="A35" s="1279">
        <v>28</v>
      </c>
      <c r="B35" s="1896" t="s">
        <v>8962</v>
      </c>
      <c r="C35" s="1424" t="s">
        <v>7798</v>
      </c>
      <c r="D35" s="1897">
        <v>26</v>
      </c>
      <c r="E35" s="1378">
        <v>1274</v>
      </c>
      <c r="F35" s="1345">
        <v>53</v>
      </c>
      <c r="G35" s="1345">
        <v>1855</v>
      </c>
      <c r="H35" s="1345">
        <v>66</v>
      </c>
      <c r="I35" s="1345">
        <v>2640</v>
      </c>
      <c r="J35" s="1652">
        <v>51</v>
      </c>
      <c r="K35" s="1653">
        <v>3</v>
      </c>
      <c r="L35" s="1344">
        <f t="shared" si="1"/>
        <v>120</v>
      </c>
      <c r="M35" s="1204">
        <f t="shared" si="2"/>
        <v>48</v>
      </c>
      <c r="N35" s="1205">
        <v>40</v>
      </c>
      <c r="O35" s="1346">
        <f t="shared" si="23"/>
        <v>1920</v>
      </c>
      <c r="P35" s="1344">
        <v>0</v>
      </c>
      <c r="Q35" s="1482">
        <f t="shared" si="24"/>
        <v>0</v>
      </c>
      <c r="R35" s="1345">
        <v>24</v>
      </c>
      <c r="S35" s="1483">
        <f t="shared" si="25"/>
        <v>960</v>
      </c>
      <c r="T35" s="1344">
        <v>0</v>
      </c>
      <c r="U35" s="1483">
        <f t="shared" si="26"/>
        <v>0</v>
      </c>
      <c r="V35" s="1345">
        <v>24</v>
      </c>
      <c r="W35" s="1483">
        <f t="shared" si="27"/>
        <v>960</v>
      </c>
      <c r="X35" s="1345">
        <f t="shared" si="8"/>
        <v>48</v>
      </c>
      <c r="Y35" s="1345">
        <f t="shared" si="28"/>
        <v>1920</v>
      </c>
      <c r="Z35" s="1357" t="s">
        <v>7799</v>
      </c>
      <c r="AA35" s="1358" t="s">
        <v>6531</v>
      </c>
      <c r="AB35" s="1359" t="str">
        <f t="shared" si="0"/>
        <v>yes</v>
      </c>
      <c r="AC35" s="1359" t="str">
        <f t="shared" si="10"/>
        <v>ok</v>
      </c>
    </row>
    <row r="36" spans="1:31" s="1359" customFormat="1" ht="20.25" customHeight="1" x14ac:dyDescent="0.6">
      <c r="A36" s="1279">
        <v>29</v>
      </c>
      <c r="B36" s="1896" t="s">
        <v>8963</v>
      </c>
      <c r="C36" s="1424" t="s">
        <v>7798</v>
      </c>
      <c r="D36" s="1897">
        <v>10</v>
      </c>
      <c r="E36" s="1378">
        <v>500</v>
      </c>
      <c r="F36" s="1345">
        <v>0</v>
      </c>
      <c r="G36" s="1345">
        <v>0</v>
      </c>
      <c r="H36" s="1345">
        <v>0</v>
      </c>
      <c r="I36" s="1345">
        <f t="shared" ref="I36:I39" si="29">H36*N36</f>
        <v>0</v>
      </c>
      <c r="J36" s="1652">
        <v>10</v>
      </c>
      <c r="K36" s="1653">
        <v>0</v>
      </c>
      <c r="L36" s="1344">
        <f t="shared" si="1"/>
        <v>0</v>
      </c>
      <c r="M36" s="1204">
        <f t="shared" si="2"/>
        <v>10</v>
      </c>
      <c r="N36" s="1205">
        <v>55</v>
      </c>
      <c r="O36" s="1346">
        <f t="shared" si="23"/>
        <v>550</v>
      </c>
      <c r="P36" s="1345">
        <v>5</v>
      </c>
      <c r="Q36" s="1482">
        <f t="shared" si="24"/>
        <v>275</v>
      </c>
      <c r="R36" s="1344">
        <v>0</v>
      </c>
      <c r="S36" s="1483">
        <f t="shared" si="25"/>
        <v>0</v>
      </c>
      <c r="T36" s="1345">
        <v>5</v>
      </c>
      <c r="U36" s="1483">
        <f t="shared" si="26"/>
        <v>275</v>
      </c>
      <c r="V36" s="1344">
        <v>0</v>
      </c>
      <c r="W36" s="1483">
        <f t="shared" si="27"/>
        <v>0</v>
      </c>
      <c r="X36" s="1345">
        <f t="shared" si="8"/>
        <v>10</v>
      </c>
      <c r="Y36" s="1345">
        <f t="shared" si="28"/>
        <v>550</v>
      </c>
      <c r="Z36" s="1357" t="s">
        <v>7799</v>
      </c>
      <c r="AA36" s="1358" t="s">
        <v>6531</v>
      </c>
      <c r="AB36" s="1359" t="str">
        <f t="shared" si="0"/>
        <v>yes</v>
      </c>
      <c r="AC36" s="1359" t="str">
        <f t="shared" si="10"/>
        <v>ok</v>
      </c>
    </row>
    <row r="37" spans="1:31" s="1359" customFormat="1" ht="20.25" customHeight="1" x14ac:dyDescent="0.6">
      <c r="A37" s="1279">
        <v>30</v>
      </c>
      <c r="B37" s="1896" t="s">
        <v>8964</v>
      </c>
      <c r="C37" s="1424" t="s">
        <v>7798</v>
      </c>
      <c r="D37" s="1897">
        <v>16</v>
      </c>
      <c r="E37" s="1378">
        <v>1920</v>
      </c>
      <c r="F37" s="1345">
        <v>16</v>
      </c>
      <c r="G37" s="1345">
        <v>1920</v>
      </c>
      <c r="H37" s="1345">
        <v>18</v>
      </c>
      <c r="I37" s="1345">
        <v>2160</v>
      </c>
      <c r="J37" s="1652">
        <v>20</v>
      </c>
      <c r="K37" s="1653">
        <v>8</v>
      </c>
      <c r="L37" s="1344">
        <f t="shared" si="1"/>
        <v>960</v>
      </c>
      <c r="M37" s="1204">
        <f t="shared" si="2"/>
        <v>12</v>
      </c>
      <c r="N37" s="1205">
        <v>120</v>
      </c>
      <c r="O37" s="1346">
        <f t="shared" si="23"/>
        <v>1440</v>
      </c>
      <c r="P37" s="1344">
        <v>0</v>
      </c>
      <c r="Q37" s="1482">
        <f t="shared" si="24"/>
        <v>0</v>
      </c>
      <c r="R37" s="1344">
        <v>0</v>
      </c>
      <c r="S37" s="1483">
        <f t="shared" si="25"/>
        <v>0</v>
      </c>
      <c r="T37" s="1345">
        <v>6</v>
      </c>
      <c r="U37" s="1483">
        <f t="shared" si="26"/>
        <v>720</v>
      </c>
      <c r="V37" s="1345">
        <v>6</v>
      </c>
      <c r="W37" s="1483">
        <f t="shared" si="27"/>
        <v>720</v>
      </c>
      <c r="X37" s="1345">
        <f t="shared" si="8"/>
        <v>12</v>
      </c>
      <c r="Y37" s="1345">
        <f t="shared" si="28"/>
        <v>1440</v>
      </c>
      <c r="Z37" s="1357" t="s">
        <v>7799</v>
      </c>
      <c r="AA37" s="1358" t="s">
        <v>6531</v>
      </c>
      <c r="AB37" s="1359" t="str">
        <f t="shared" si="0"/>
        <v>yes</v>
      </c>
      <c r="AC37" s="1359" t="str">
        <f t="shared" si="10"/>
        <v>ok</v>
      </c>
    </row>
    <row r="38" spans="1:31" s="1359" customFormat="1" ht="20.25" customHeight="1" x14ac:dyDescent="0.6">
      <c r="A38" s="1279">
        <v>31</v>
      </c>
      <c r="B38" s="1896" t="s">
        <v>8965</v>
      </c>
      <c r="C38" s="1424" t="s">
        <v>8052</v>
      </c>
      <c r="D38" s="1897">
        <v>8</v>
      </c>
      <c r="E38" s="1378">
        <v>240</v>
      </c>
      <c r="F38" s="1345">
        <v>850</v>
      </c>
      <c r="G38" s="1345">
        <v>170200</v>
      </c>
      <c r="H38" s="1345">
        <v>640</v>
      </c>
      <c r="I38" s="1345">
        <v>12800</v>
      </c>
      <c r="J38" s="1652">
        <v>360</v>
      </c>
      <c r="K38" s="1653">
        <v>260</v>
      </c>
      <c r="L38" s="1344">
        <f t="shared" si="1"/>
        <v>6500</v>
      </c>
      <c r="M38" s="1204">
        <f t="shared" si="2"/>
        <v>100</v>
      </c>
      <c r="N38" s="1205">
        <v>25</v>
      </c>
      <c r="O38" s="1346">
        <f t="shared" si="23"/>
        <v>2500</v>
      </c>
      <c r="P38" s="1344">
        <v>0</v>
      </c>
      <c r="Q38" s="1482">
        <f t="shared" si="24"/>
        <v>0</v>
      </c>
      <c r="R38" s="1344">
        <v>0</v>
      </c>
      <c r="S38" s="1483">
        <f t="shared" si="25"/>
        <v>0</v>
      </c>
      <c r="T38" s="1345">
        <v>100</v>
      </c>
      <c r="U38" s="1483">
        <f t="shared" si="26"/>
        <v>2500</v>
      </c>
      <c r="V38" s="1345">
        <v>0</v>
      </c>
      <c r="W38" s="1483">
        <f t="shared" si="27"/>
        <v>0</v>
      </c>
      <c r="X38" s="1345">
        <f t="shared" si="8"/>
        <v>100</v>
      </c>
      <c r="Y38" s="1345">
        <f t="shared" si="28"/>
        <v>2500</v>
      </c>
      <c r="Z38" s="1357" t="s">
        <v>7799</v>
      </c>
      <c r="AA38" s="1358" t="s">
        <v>6531</v>
      </c>
      <c r="AB38" s="1359" t="str">
        <f t="shared" si="0"/>
        <v>yes</v>
      </c>
      <c r="AC38" s="1359" t="str">
        <f t="shared" si="10"/>
        <v>ok</v>
      </c>
    </row>
    <row r="39" spans="1:31" s="1359" customFormat="1" ht="20.25" customHeight="1" x14ac:dyDescent="0.6">
      <c r="A39" s="1279">
        <v>32</v>
      </c>
      <c r="B39" s="1896" t="s">
        <v>8966</v>
      </c>
      <c r="C39" s="1424" t="s">
        <v>8208</v>
      </c>
      <c r="D39" s="1897">
        <v>5</v>
      </c>
      <c r="E39" s="1378">
        <v>1100</v>
      </c>
      <c r="F39" s="1345">
        <v>5</v>
      </c>
      <c r="G39" s="1345">
        <v>2800</v>
      </c>
      <c r="H39" s="1345">
        <v>59</v>
      </c>
      <c r="I39" s="1345">
        <f t="shared" si="29"/>
        <v>16520</v>
      </c>
      <c r="J39" s="1652">
        <v>15</v>
      </c>
      <c r="K39" s="1653">
        <v>0</v>
      </c>
      <c r="L39" s="1344">
        <f t="shared" si="1"/>
        <v>0</v>
      </c>
      <c r="M39" s="1204">
        <f t="shared" si="2"/>
        <v>15</v>
      </c>
      <c r="N39" s="1205">
        <v>280</v>
      </c>
      <c r="O39" s="1346">
        <f t="shared" si="23"/>
        <v>4200</v>
      </c>
      <c r="P39" s="1344">
        <v>5</v>
      </c>
      <c r="Q39" s="1482">
        <f t="shared" si="24"/>
        <v>1400</v>
      </c>
      <c r="R39" s="1344">
        <v>0</v>
      </c>
      <c r="S39" s="1483">
        <f t="shared" si="25"/>
        <v>0</v>
      </c>
      <c r="T39" s="1345">
        <v>5</v>
      </c>
      <c r="U39" s="1483">
        <f t="shared" si="26"/>
        <v>1400</v>
      </c>
      <c r="V39" s="1345">
        <v>5</v>
      </c>
      <c r="W39" s="1483">
        <f t="shared" si="27"/>
        <v>1400</v>
      </c>
      <c r="X39" s="1345">
        <f t="shared" si="8"/>
        <v>15</v>
      </c>
      <c r="Y39" s="1345">
        <f t="shared" si="28"/>
        <v>4200</v>
      </c>
      <c r="Z39" s="1357" t="s">
        <v>7799</v>
      </c>
      <c r="AA39" s="1358" t="s">
        <v>6531</v>
      </c>
      <c r="AB39" s="1359" t="str">
        <f t="shared" si="0"/>
        <v>yes</v>
      </c>
      <c r="AC39" s="1359" t="str">
        <f t="shared" si="10"/>
        <v>ok</v>
      </c>
    </row>
    <row r="40" spans="1:31" s="1359" customFormat="1" ht="20.25" customHeight="1" x14ac:dyDescent="0.6">
      <c r="A40" s="1279">
        <v>33</v>
      </c>
      <c r="B40" s="1896" t="s">
        <v>8967</v>
      </c>
      <c r="C40" s="1424" t="s">
        <v>8208</v>
      </c>
      <c r="D40" s="1897">
        <v>0</v>
      </c>
      <c r="E40" s="1378">
        <v>0</v>
      </c>
      <c r="F40" s="1345">
        <v>4</v>
      </c>
      <c r="G40" s="1345">
        <v>7400</v>
      </c>
      <c r="H40" s="1345">
        <v>15</v>
      </c>
      <c r="I40" s="1345">
        <v>27750</v>
      </c>
      <c r="J40" s="1652">
        <v>10</v>
      </c>
      <c r="K40" s="1653">
        <v>0</v>
      </c>
      <c r="L40" s="1344">
        <f t="shared" si="1"/>
        <v>0</v>
      </c>
      <c r="M40" s="1204">
        <f t="shared" si="2"/>
        <v>10</v>
      </c>
      <c r="N40" s="1205">
        <v>1850</v>
      </c>
      <c r="O40" s="1346">
        <f t="shared" si="23"/>
        <v>18500</v>
      </c>
      <c r="P40" s="1344">
        <v>5</v>
      </c>
      <c r="Q40" s="1482">
        <f t="shared" si="24"/>
        <v>9250</v>
      </c>
      <c r="R40" s="1344">
        <v>0</v>
      </c>
      <c r="S40" s="1483">
        <f t="shared" si="25"/>
        <v>0</v>
      </c>
      <c r="T40" s="1345">
        <v>5</v>
      </c>
      <c r="U40" s="1483">
        <f t="shared" si="26"/>
        <v>9250</v>
      </c>
      <c r="V40" s="1345">
        <v>0</v>
      </c>
      <c r="W40" s="1483">
        <f t="shared" si="27"/>
        <v>0</v>
      </c>
      <c r="X40" s="1345">
        <f t="shared" si="8"/>
        <v>10</v>
      </c>
      <c r="Y40" s="1345">
        <f t="shared" si="28"/>
        <v>18500</v>
      </c>
      <c r="Z40" s="1357" t="s">
        <v>7799</v>
      </c>
      <c r="AA40" s="1358" t="s">
        <v>6531</v>
      </c>
      <c r="AB40" s="1359" t="str">
        <f t="shared" si="0"/>
        <v>yes</v>
      </c>
      <c r="AC40" s="1359" t="str">
        <f t="shared" si="10"/>
        <v>ok</v>
      </c>
    </row>
    <row r="41" spans="1:31" s="1359" customFormat="1" ht="20.25" customHeight="1" x14ac:dyDescent="0.6">
      <c r="A41" s="1279">
        <v>34</v>
      </c>
      <c r="B41" s="1896" t="s">
        <v>8968</v>
      </c>
      <c r="C41" s="1424" t="s">
        <v>7839</v>
      </c>
      <c r="D41" s="1897">
        <v>12</v>
      </c>
      <c r="E41" s="1378">
        <v>660</v>
      </c>
      <c r="F41" s="1345">
        <v>30</v>
      </c>
      <c r="G41" s="1345">
        <v>840</v>
      </c>
      <c r="H41" s="1345">
        <v>29</v>
      </c>
      <c r="I41" s="1345">
        <v>870</v>
      </c>
      <c r="J41" s="1652">
        <v>32</v>
      </c>
      <c r="K41" s="1653">
        <v>2</v>
      </c>
      <c r="L41" s="1344">
        <f t="shared" si="1"/>
        <v>60</v>
      </c>
      <c r="M41" s="1204">
        <f t="shared" si="2"/>
        <v>30</v>
      </c>
      <c r="N41" s="1205">
        <v>30</v>
      </c>
      <c r="O41" s="1346">
        <f t="shared" si="23"/>
        <v>900</v>
      </c>
      <c r="P41" s="1345">
        <v>10</v>
      </c>
      <c r="Q41" s="1482">
        <f t="shared" si="24"/>
        <v>300</v>
      </c>
      <c r="R41" s="1344">
        <v>0</v>
      </c>
      <c r="S41" s="1483">
        <f t="shared" si="25"/>
        <v>0</v>
      </c>
      <c r="T41" s="1345">
        <v>20</v>
      </c>
      <c r="U41" s="1483">
        <f t="shared" si="26"/>
        <v>600</v>
      </c>
      <c r="V41" s="1344">
        <v>0</v>
      </c>
      <c r="W41" s="1483">
        <f t="shared" si="27"/>
        <v>0</v>
      </c>
      <c r="X41" s="1345">
        <f t="shared" si="8"/>
        <v>30</v>
      </c>
      <c r="Y41" s="1345">
        <f t="shared" si="28"/>
        <v>900</v>
      </c>
      <c r="Z41" s="1357" t="s">
        <v>7799</v>
      </c>
      <c r="AA41" s="1358" t="s">
        <v>6531</v>
      </c>
      <c r="AB41" s="1359" t="str">
        <f t="shared" si="0"/>
        <v>yes</v>
      </c>
      <c r="AC41" s="1359" t="str">
        <f t="shared" si="10"/>
        <v>ok</v>
      </c>
      <c r="AE41" s="1382"/>
    </row>
    <row r="42" spans="1:31" s="1359" customFormat="1" ht="20.25" customHeight="1" x14ac:dyDescent="0.6">
      <c r="A42" s="1279">
        <v>35</v>
      </c>
      <c r="B42" s="1896" t="s">
        <v>8969</v>
      </c>
      <c r="C42" s="1424" t="s">
        <v>8853</v>
      </c>
      <c r="D42" s="1897">
        <v>36</v>
      </c>
      <c r="E42" s="1378">
        <v>5328</v>
      </c>
      <c r="F42" s="1345">
        <v>36</v>
      </c>
      <c r="G42" s="1345">
        <v>4428</v>
      </c>
      <c r="H42" s="1381">
        <v>38</v>
      </c>
      <c r="I42" s="1345">
        <v>4674</v>
      </c>
      <c r="J42" s="1899">
        <v>41</v>
      </c>
      <c r="K42" s="1900">
        <v>5</v>
      </c>
      <c r="L42" s="1344">
        <f t="shared" si="1"/>
        <v>615</v>
      </c>
      <c r="M42" s="1204">
        <f t="shared" si="2"/>
        <v>36</v>
      </c>
      <c r="N42" s="1901">
        <v>123</v>
      </c>
      <c r="O42" s="1346">
        <f t="shared" si="3"/>
        <v>4428</v>
      </c>
      <c r="P42" s="1344">
        <v>0</v>
      </c>
      <c r="Q42" s="1482">
        <f t="shared" si="4"/>
        <v>0</v>
      </c>
      <c r="R42" s="1344">
        <v>12</v>
      </c>
      <c r="S42" s="1483">
        <f t="shared" si="5"/>
        <v>1476</v>
      </c>
      <c r="T42" s="1344">
        <v>12</v>
      </c>
      <c r="U42" s="1483">
        <f t="shared" si="6"/>
        <v>1476</v>
      </c>
      <c r="V42" s="1344">
        <v>12</v>
      </c>
      <c r="W42" s="1483">
        <f t="shared" si="7"/>
        <v>1476</v>
      </c>
      <c r="X42" s="1345">
        <f t="shared" si="8"/>
        <v>36</v>
      </c>
      <c r="Y42" s="1345">
        <f t="shared" si="9"/>
        <v>4428</v>
      </c>
      <c r="Z42" s="1357" t="s">
        <v>7799</v>
      </c>
      <c r="AA42" s="1358" t="s">
        <v>6531</v>
      </c>
      <c r="AB42" s="1359" t="str">
        <f t="shared" si="0"/>
        <v>yes</v>
      </c>
      <c r="AC42" s="1359" t="str">
        <f t="shared" si="10"/>
        <v>ok</v>
      </c>
      <c r="AE42" s="1246"/>
    </row>
    <row r="43" spans="1:31" s="1359" customFormat="1" ht="20.25" customHeight="1" x14ac:dyDescent="0.6">
      <c r="A43" s="1279">
        <v>36</v>
      </c>
      <c r="B43" s="1896" t="s">
        <v>8970</v>
      </c>
      <c r="C43" s="1424" t="s">
        <v>7798</v>
      </c>
      <c r="D43" s="1897">
        <v>2</v>
      </c>
      <c r="E43" s="1378">
        <v>4700</v>
      </c>
      <c r="F43" s="1343">
        <v>2</v>
      </c>
      <c r="G43" s="1345">
        <v>4700</v>
      </c>
      <c r="H43" s="1345">
        <v>1</v>
      </c>
      <c r="I43" s="1345">
        <v>2350</v>
      </c>
      <c r="J43" s="1652">
        <v>5</v>
      </c>
      <c r="K43" s="1653">
        <v>0</v>
      </c>
      <c r="L43" s="1344">
        <f t="shared" si="1"/>
        <v>0</v>
      </c>
      <c r="M43" s="1204">
        <f t="shared" si="2"/>
        <v>5</v>
      </c>
      <c r="N43" s="1205">
        <v>2350</v>
      </c>
      <c r="O43" s="1346">
        <f t="shared" si="3"/>
        <v>11750</v>
      </c>
      <c r="P43" s="1344">
        <v>0</v>
      </c>
      <c r="Q43" s="1482">
        <f t="shared" si="4"/>
        <v>0</v>
      </c>
      <c r="R43" s="1344">
        <v>0</v>
      </c>
      <c r="S43" s="1483">
        <f t="shared" si="5"/>
        <v>0</v>
      </c>
      <c r="T43" s="1345">
        <v>5</v>
      </c>
      <c r="U43" s="1483">
        <f t="shared" si="6"/>
        <v>11750</v>
      </c>
      <c r="V43" s="1345">
        <v>0</v>
      </c>
      <c r="W43" s="1483">
        <f t="shared" si="7"/>
        <v>0</v>
      </c>
      <c r="X43" s="1345">
        <f t="shared" si="8"/>
        <v>5</v>
      </c>
      <c r="Y43" s="1345">
        <f t="shared" si="9"/>
        <v>11750</v>
      </c>
      <c r="Z43" s="1357" t="s">
        <v>7799</v>
      </c>
      <c r="AA43" s="1358" t="s">
        <v>6531</v>
      </c>
      <c r="AB43" s="1359" t="str">
        <f t="shared" si="0"/>
        <v>yes</v>
      </c>
      <c r="AC43" s="1359" t="str">
        <f t="shared" si="10"/>
        <v>ok</v>
      </c>
    </row>
    <row r="44" spans="1:31" s="1359" customFormat="1" ht="20.25" customHeight="1" x14ac:dyDescent="0.6">
      <c r="A44" s="1279">
        <v>37</v>
      </c>
      <c r="B44" s="1896" t="s">
        <v>8971</v>
      </c>
      <c r="C44" s="1424" t="s">
        <v>8208</v>
      </c>
      <c r="D44" s="1897">
        <v>10</v>
      </c>
      <c r="E44" s="1378">
        <v>24500</v>
      </c>
      <c r="F44" s="1345">
        <v>37</v>
      </c>
      <c r="G44" s="1345">
        <v>90650</v>
      </c>
      <c r="H44" s="1345">
        <v>30</v>
      </c>
      <c r="I44" s="1345">
        <v>70500</v>
      </c>
      <c r="J44" s="1652">
        <v>10</v>
      </c>
      <c r="K44" s="1653">
        <v>0</v>
      </c>
      <c r="L44" s="1344">
        <f t="shared" si="1"/>
        <v>0</v>
      </c>
      <c r="M44" s="1204">
        <f t="shared" si="2"/>
        <v>10</v>
      </c>
      <c r="N44" s="1205">
        <v>2350</v>
      </c>
      <c r="O44" s="1346">
        <f t="shared" si="3"/>
        <v>23500</v>
      </c>
      <c r="P44" s="1345">
        <v>0</v>
      </c>
      <c r="Q44" s="1482">
        <f t="shared" si="4"/>
        <v>0</v>
      </c>
      <c r="R44" s="1344">
        <v>5</v>
      </c>
      <c r="S44" s="1483">
        <f t="shared" si="5"/>
        <v>11750</v>
      </c>
      <c r="T44" s="1345">
        <v>0</v>
      </c>
      <c r="U44" s="1483">
        <f t="shared" si="6"/>
        <v>0</v>
      </c>
      <c r="V44" s="1344">
        <v>5</v>
      </c>
      <c r="W44" s="1483">
        <f t="shared" si="7"/>
        <v>11750</v>
      </c>
      <c r="X44" s="1345">
        <f t="shared" si="8"/>
        <v>10</v>
      </c>
      <c r="Y44" s="1345">
        <f t="shared" si="9"/>
        <v>23500</v>
      </c>
      <c r="Z44" s="1357" t="s">
        <v>7799</v>
      </c>
      <c r="AA44" s="1358" t="s">
        <v>6531</v>
      </c>
      <c r="AB44" s="1359" t="str">
        <f t="shared" si="0"/>
        <v>yes</v>
      </c>
      <c r="AC44" s="1359" t="str">
        <f t="shared" si="10"/>
        <v>ok</v>
      </c>
      <c r="AE44" s="1382"/>
    </row>
    <row r="45" spans="1:31" s="1359" customFormat="1" ht="23.25" customHeight="1" x14ac:dyDescent="0.6">
      <c r="A45" s="1279">
        <v>38</v>
      </c>
      <c r="B45" s="1896" t="s">
        <v>8972</v>
      </c>
      <c r="C45" s="1424" t="s">
        <v>8049</v>
      </c>
      <c r="D45" s="1897">
        <v>15</v>
      </c>
      <c r="E45" s="1378">
        <v>5850</v>
      </c>
      <c r="F45" s="1345">
        <v>23</v>
      </c>
      <c r="G45" s="1345">
        <v>6670</v>
      </c>
      <c r="H45" s="1343">
        <v>0</v>
      </c>
      <c r="I45" s="1345">
        <f t="shared" ref="I45:I64" si="30">H45*N45</f>
        <v>0</v>
      </c>
      <c r="J45" s="1480">
        <v>11</v>
      </c>
      <c r="K45" s="1651">
        <v>6</v>
      </c>
      <c r="L45" s="1344">
        <f t="shared" si="1"/>
        <v>1500</v>
      </c>
      <c r="M45" s="1204">
        <f t="shared" si="2"/>
        <v>5</v>
      </c>
      <c r="N45" s="1875">
        <v>250</v>
      </c>
      <c r="O45" s="1346">
        <f>M45*N45</f>
        <v>1250</v>
      </c>
      <c r="P45" s="1482">
        <v>0</v>
      </c>
      <c r="Q45" s="1482">
        <f>P45*N45</f>
        <v>0</v>
      </c>
      <c r="R45" s="1482">
        <v>0</v>
      </c>
      <c r="S45" s="1483">
        <f>R45*N45</f>
        <v>0</v>
      </c>
      <c r="T45" s="1482">
        <v>0</v>
      </c>
      <c r="U45" s="1483">
        <f>T45*N45</f>
        <v>0</v>
      </c>
      <c r="V45" s="1482">
        <v>5</v>
      </c>
      <c r="W45" s="1483">
        <f>V45*N45</f>
        <v>1250</v>
      </c>
      <c r="X45" s="1345">
        <f t="shared" si="8"/>
        <v>5</v>
      </c>
      <c r="Y45" s="1345">
        <f>X45*N45</f>
        <v>1250</v>
      </c>
      <c r="Z45" s="1357" t="s">
        <v>7799</v>
      </c>
      <c r="AA45" s="1358" t="s">
        <v>6531</v>
      </c>
      <c r="AB45" s="1359" t="str">
        <f t="shared" si="0"/>
        <v>yes</v>
      </c>
      <c r="AC45" s="1359" t="str">
        <f t="shared" si="10"/>
        <v>ok</v>
      </c>
    </row>
    <row r="46" spans="1:31" s="1359" customFormat="1" ht="20.25" customHeight="1" x14ac:dyDescent="0.6">
      <c r="A46" s="1279">
        <v>39</v>
      </c>
      <c r="B46" s="1896" t="s">
        <v>8973</v>
      </c>
      <c r="C46" s="1424" t="s">
        <v>7798</v>
      </c>
      <c r="D46" s="1897">
        <v>5</v>
      </c>
      <c r="E46" s="1378">
        <v>500</v>
      </c>
      <c r="F46" s="1345">
        <v>6</v>
      </c>
      <c r="G46" s="1345">
        <v>762</v>
      </c>
      <c r="H46" s="1345">
        <v>10</v>
      </c>
      <c r="I46" s="1345">
        <f t="shared" si="30"/>
        <v>1800</v>
      </c>
      <c r="J46" s="1652">
        <v>10</v>
      </c>
      <c r="K46" s="1653">
        <v>0</v>
      </c>
      <c r="L46" s="1344">
        <f t="shared" si="1"/>
        <v>0</v>
      </c>
      <c r="M46" s="1204">
        <f t="shared" si="2"/>
        <v>10</v>
      </c>
      <c r="N46" s="1205">
        <v>180</v>
      </c>
      <c r="O46" s="1346">
        <f t="shared" ref="O46:O77" si="31">M46*N46</f>
        <v>1800</v>
      </c>
      <c r="P46" s="1344">
        <v>5</v>
      </c>
      <c r="Q46" s="1482">
        <f t="shared" ref="Q46:Q77" si="32">P46*N46</f>
        <v>900</v>
      </c>
      <c r="R46" s="1344">
        <v>0</v>
      </c>
      <c r="S46" s="1483">
        <f t="shared" ref="S46:S77" si="33">R46*N46</f>
        <v>0</v>
      </c>
      <c r="T46" s="1345">
        <v>5</v>
      </c>
      <c r="U46" s="1483">
        <f t="shared" ref="U46:U77" si="34">T46*N46</f>
        <v>900</v>
      </c>
      <c r="V46" s="1345">
        <v>0</v>
      </c>
      <c r="W46" s="1483">
        <f t="shared" ref="W46:W77" si="35">V46*N46</f>
        <v>0</v>
      </c>
      <c r="X46" s="1345">
        <f t="shared" si="8"/>
        <v>10</v>
      </c>
      <c r="Y46" s="1345">
        <f t="shared" ref="Y46:Y77" si="36">X46*N46</f>
        <v>1800</v>
      </c>
      <c r="Z46" s="1357" t="s">
        <v>7799</v>
      </c>
      <c r="AA46" s="1358" t="s">
        <v>6531</v>
      </c>
      <c r="AB46" s="1359" t="str">
        <f t="shared" si="0"/>
        <v>yes</v>
      </c>
      <c r="AC46" s="1359" t="str">
        <f t="shared" si="10"/>
        <v>ok</v>
      </c>
    </row>
    <row r="47" spans="1:31" s="1359" customFormat="1" ht="20.25" customHeight="1" x14ac:dyDescent="0.6">
      <c r="A47" s="1279">
        <v>40</v>
      </c>
      <c r="B47" s="1898" t="s">
        <v>8974</v>
      </c>
      <c r="C47" s="1424" t="s">
        <v>7886</v>
      </c>
      <c r="D47" s="1897">
        <v>2</v>
      </c>
      <c r="E47" s="1378">
        <v>1440</v>
      </c>
      <c r="F47" s="1345">
        <v>5</v>
      </c>
      <c r="G47" s="1345">
        <v>3600</v>
      </c>
      <c r="H47" s="1345">
        <v>0</v>
      </c>
      <c r="I47" s="1345">
        <f t="shared" si="30"/>
        <v>0</v>
      </c>
      <c r="J47" s="1652">
        <v>10</v>
      </c>
      <c r="K47" s="1653">
        <v>0</v>
      </c>
      <c r="L47" s="1344">
        <f t="shared" si="1"/>
        <v>0</v>
      </c>
      <c r="M47" s="1204">
        <f t="shared" si="2"/>
        <v>10</v>
      </c>
      <c r="N47" s="1205">
        <v>720</v>
      </c>
      <c r="O47" s="1346">
        <f t="shared" si="31"/>
        <v>7200</v>
      </c>
      <c r="P47" s="1344">
        <v>0</v>
      </c>
      <c r="Q47" s="1482">
        <f t="shared" si="32"/>
        <v>0</v>
      </c>
      <c r="R47" s="1345">
        <v>5</v>
      </c>
      <c r="S47" s="1483">
        <f t="shared" si="33"/>
        <v>3600</v>
      </c>
      <c r="T47" s="1344">
        <v>5</v>
      </c>
      <c r="U47" s="1483">
        <f t="shared" si="34"/>
        <v>3600</v>
      </c>
      <c r="V47" s="1345">
        <v>0</v>
      </c>
      <c r="W47" s="1483">
        <f t="shared" si="35"/>
        <v>0</v>
      </c>
      <c r="X47" s="1345">
        <f t="shared" si="8"/>
        <v>10</v>
      </c>
      <c r="Y47" s="1345">
        <f t="shared" si="36"/>
        <v>7200</v>
      </c>
      <c r="Z47" s="1357" t="s">
        <v>7799</v>
      </c>
      <c r="AA47" s="1358" t="s">
        <v>6531</v>
      </c>
      <c r="AB47" s="1359" t="str">
        <f t="shared" si="0"/>
        <v>yes</v>
      </c>
      <c r="AC47" s="1359" t="str">
        <f t="shared" si="10"/>
        <v>ok</v>
      </c>
    </row>
    <row r="48" spans="1:31" s="1359" customFormat="1" ht="20.25" customHeight="1" x14ac:dyDescent="0.6">
      <c r="A48" s="1279">
        <v>41</v>
      </c>
      <c r="B48" s="1896" t="s">
        <v>8975</v>
      </c>
      <c r="C48" s="1424" t="s">
        <v>7823</v>
      </c>
      <c r="D48" s="1897">
        <v>0</v>
      </c>
      <c r="E48" s="1378">
        <v>0</v>
      </c>
      <c r="F48" s="1345">
        <v>10</v>
      </c>
      <c r="G48" s="1345">
        <v>200</v>
      </c>
      <c r="H48" s="1345">
        <v>4</v>
      </c>
      <c r="I48" s="1345">
        <v>60</v>
      </c>
      <c r="J48" s="1652">
        <v>13</v>
      </c>
      <c r="K48" s="1653">
        <v>3</v>
      </c>
      <c r="L48" s="1344">
        <f t="shared" si="1"/>
        <v>135</v>
      </c>
      <c r="M48" s="1204">
        <f t="shared" si="2"/>
        <v>10</v>
      </c>
      <c r="N48" s="1205">
        <v>45</v>
      </c>
      <c r="O48" s="1346">
        <f t="shared" si="31"/>
        <v>450</v>
      </c>
      <c r="P48" s="1345">
        <v>10</v>
      </c>
      <c r="Q48" s="1482">
        <f t="shared" si="32"/>
        <v>450</v>
      </c>
      <c r="R48" s="1344">
        <v>0</v>
      </c>
      <c r="S48" s="1483">
        <f t="shared" si="33"/>
        <v>0</v>
      </c>
      <c r="T48" s="1345">
        <v>0</v>
      </c>
      <c r="U48" s="1483">
        <f t="shared" si="34"/>
        <v>0</v>
      </c>
      <c r="V48" s="1344">
        <v>0</v>
      </c>
      <c r="W48" s="1483">
        <f t="shared" si="35"/>
        <v>0</v>
      </c>
      <c r="X48" s="1345">
        <f t="shared" si="8"/>
        <v>10</v>
      </c>
      <c r="Y48" s="1345">
        <f t="shared" si="36"/>
        <v>450</v>
      </c>
      <c r="Z48" s="1357" t="s">
        <v>7799</v>
      </c>
      <c r="AA48" s="1358" t="s">
        <v>6531</v>
      </c>
      <c r="AB48" s="1359" t="str">
        <f t="shared" si="0"/>
        <v>yes</v>
      </c>
      <c r="AC48" s="1359" t="str">
        <f t="shared" si="10"/>
        <v>ok</v>
      </c>
    </row>
    <row r="49" spans="1:31" s="1359" customFormat="1" ht="20.25" customHeight="1" x14ac:dyDescent="0.6">
      <c r="A49" s="1279">
        <v>42</v>
      </c>
      <c r="B49" s="1896" t="s">
        <v>8976</v>
      </c>
      <c r="C49" s="1424" t="s">
        <v>7798</v>
      </c>
      <c r="D49" s="1897">
        <v>0</v>
      </c>
      <c r="E49" s="1378">
        <v>0</v>
      </c>
      <c r="F49" s="1345">
        <v>16</v>
      </c>
      <c r="G49" s="1345">
        <v>320</v>
      </c>
      <c r="H49" s="1345">
        <v>20</v>
      </c>
      <c r="I49" s="1345">
        <f t="shared" si="30"/>
        <v>400</v>
      </c>
      <c r="J49" s="1652">
        <v>33</v>
      </c>
      <c r="K49" s="1653">
        <v>9</v>
      </c>
      <c r="L49" s="1344">
        <f t="shared" si="1"/>
        <v>180</v>
      </c>
      <c r="M49" s="1204">
        <f t="shared" si="2"/>
        <v>24</v>
      </c>
      <c r="N49" s="1205">
        <v>20</v>
      </c>
      <c r="O49" s="1346">
        <f t="shared" si="31"/>
        <v>480</v>
      </c>
      <c r="P49" s="1344">
        <v>0</v>
      </c>
      <c r="Q49" s="1482">
        <f t="shared" si="32"/>
        <v>0</v>
      </c>
      <c r="R49" s="1344">
        <v>0</v>
      </c>
      <c r="S49" s="1483">
        <f t="shared" si="33"/>
        <v>0</v>
      </c>
      <c r="T49" s="1345">
        <v>24</v>
      </c>
      <c r="U49" s="1483">
        <f t="shared" si="34"/>
        <v>480</v>
      </c>
      <c r="V49" s="1345">
        <v>0</v>
      </c>
      <c r="W49" s="1483">
        <f t="shared" si="35"/>
        <v>0</v>
      </c>
      <c r="X49" s="1345">
        <f t="shared" si="8"/>
        <v>24</v>
      </c>
      <c r="Y49" s="1345">
        <f t="shared" si="36"/>
        <v>480</v>
      </c>
      <c r="Z49" s="1357" t="s">
        <v>7799</v>
      </c>
      <c r="AA49" s="1358" t="s">
        <v>6531</v>
      </c>
      <c r="AB49" s="1359" t="str">
        <f t="shared" si="0"/>
        <v>yes</v>
      </c>
      <c r="AC49" s="1359" t="str">
        <f t="shared" si="10"/>
        <v>ok</v>
      </c>
    </row>
    <row r="50" spans="1:31" s="1359" customFormat="1" ht="20.25" customHeight="1" x14ac:dyDescent="0.25">
      <c r="A50" s="1279">
        <v>43</v>
      </c>
      <c r="B50" s="1211" t="s">
        <v>8977</v>
      </c>
      <c r="C50" s="1383" t="s">
        <v>7869</v>
      </c>
      <c r="D50" s="1345">
        <v>0</v>
      </c>
      <c r="E50" s="1378">
        <f t="shared" ref="E50" si="37">D50*L50</f>
        <v>0</v>
      </c>
      <c r="F50" s="1345">
        <v>167</v>
      </c>
      <c r="G50" s="1345">
        <v>8041.05</v>
      </c>
      <c r="H50" s="1345">
        <v>154</v>
      </c>
      <c r="I50" s="1345">
        <v>7415</v>
      </c>
      <c r="J50" s="1652">
        <v>165</v>
      </c>
      <c r="K50" s="1653">
        <v>45</v>
      </c>
      <c r="L50" s="1344">
        <f t="shared" si="1"/>
        <v>2166.75</v>
      </c>
      <c r="M50" s="1204">
        <f t="shared" si="2"/>
        <v>120</v>
      </c>
      <c r="N50" s="1205">
        <v>48.15</v>
      </c>
      <c r="O50" s="1346">
        <f t="shared" si="31"/>
        <v>5778</v>
      </c>
      <c r="P50" s="1344">
        <v>0</v>
      </c>
      <c r="Q50" s="1482">
        <f t="shared" si="32"/>
        <v>0</v>
      </c>
      <c r="R50" s="1344">
        <v>40</v>
      </c>
      <c r="S50" s="1483">
        <f t="shared" si="33"/>
        <v>1926</v>
      </c>
      <c r="T50" s="1345">
        <v>40</v>
      </c>
      <c r="U50" s="1483">
        <f t="shared" si="34"/>
        <v>1926</v>
      </c>
      <c r="V50" s="1345">
        <v>40</v>
      </c>
      <c r="W50" s="1483">
        <f t="shared" si="35"/>
        <v>1926</v>
      </c>
      <c r="X50" s="1345">
        <f t="shared" si="8"/>
        <v>120</v>
      </c>
      <c r="Y50" s="1345">
        <f t="shared" si="36"/>
        <v>5778</v>
      </c>
      <c r="Z50" s="1357" t="s">
        <v>7799</v>
      </c>
      <c r="AA50" s="1358" t="s">
        <v>6531</v>
      </c>
      <c r="AB50" s="1359" t="str">
        <f t="shared" si="0"/>
        <v>yes</v>
      </c>
      <c r="AC50" s="1359" t="str">
        <f t="shared" si="10"/>
        <v>ok</v>
      </c>
    </row>
    <row r="51" spans="1:31" s="1359" customFormat="1" ht="20.25" customHeight="1" x14ac:dyDescent="0.25">
      <c r="A51" s="1279">
        <v>44</v>
      </c>
      <c r="B51" s="1211" t="s">
        <v>8978</v>
      </c>
      <c r="C51" s="1383" t="s">
        <v>7798</v>
      </c>
      <c r="D51" s="1343">
        <v>0</v>
      </c>
      <c r="E51" s="1378">
        <v>0</v>
      </c>
      <c r="F51" s="1343">
        <v>7</v>
      </c>
      <c r="G51" s="1345">
        <v>455</v>
      </c>
      <c r="H51" s="1345">
        <v>10</v>
      </c>
      <c r="I51" s="1345">
        <v>550</v>
      </c>
      <c r="J51" s="1652">
        <v>20</v>
      </c>
      <c r="K51" s="1653">
        <v>10</v>
      </c>
      <c r="L51" s="1344">
        <f t="shared" si="1"/>
        <v>550</v>
      </c>
      <c r="M51" s="1204">
        <f t="shared" si="2"/>
        <v>10</v>
      </c>
      <c r="N51" s="1205">
        <v>55</v>
      </c>
      <c r="O51" s="1346">
        <f t="shared" si="31"/>
        <v>550</v>
      </c>
      <c r="P51" s="1344">
        <v>0</v>
      </c>
      <c r="Q51" s="1482">
        <f t="shared" si="32"/>
        <v>0</v>
      </c>
      <c r="R51" s="1344">
        <v>0</v>
      </c>
      <c r="S51" s="1483">
        <f t="shared" si="33"/>
        <v>0</v>
      </c>
      <c r="T51" s="1345">
        <v>10</v>
      </c>
      <c r="U51" s="1483">
        <f t="shared" si="34"/>
        <v>550</v>
      </c>
      <c r="V51" s="1345">
        <v>0</v>
      </c>
      <c r="W51" s="1483">
        <f t="shared" si="35"/>
        <v>0</v>
      </c>
      <c r="X51" s="1345">
        <f t="shared" si="8"/>
        <v>10</v>
      </c>
      <c r="Y51" s="1345">
        <f t="shared" si="36"/>
        <v>550</v>
      </c>
      <c r="Z51" s="1357" t="s">
        <v>7799</v>
      </c>
      <c r="AA51" s="1358" t="s">
        <v>6531</v>
      </c>
      <c r="AB51" s="1359" t="str">
        <f t="shared" si="0"/>
        <v>yes</v>
      </c>
      <c r="AC51" s="1359" t="str">
        <f t="shared" si="10"/>
        <v>ok</v>
      </c>
    </row>
    <row r="52" spans="1:31" s="1359" customFormat="1" ht="20.25" customHeight="1" x14ac:dyDescent="0.25">
      <c r="A52" s="1279">
        <v>45</v>
      </c>
      <c r="B52" s="1211" t="s">
        <v>8979</v>
      </c>
      <c r="C52" s="1383" t="s">
        <v>8208</v>
      </c>
      <c r="D52" s="1345">
        <v>0</v>
      </c>
      <c r="E52" s="1378">
        <f t="shared" ref="E52:E54" si="38">D52*L52</f>
        <v>0</v>
      </c>
      <c r="F52" s="1345">
        <v>30</v>
      </c>
      <c r="G52" s="1345">
        <v>43500</v>
      </c>
      <c r="H52" s="1345">
        <v>0</v>
      </c>
      <c r="I52" s="1345">
        <v>0</v>
      </c>
      <c r="J52" s="1652">
        <v>10</v>
      </c>
      <c r="K52" s="1653">
        <v>0</v>
      </c>
      <c r="L52" s="1344">
        <f t="shared" si="1"/>
        <v>0</v>
      </c>
      <c r="M52" s="1204">
        <f t="shared" si="2"/>
        <v>10</v>
      </c>
      <c r="N52" s="1205">
        <v>1450</v>
      </c>
      <c r="O52" s="1346">
        <f t="shared" si="31"/>
        <v>14500</v>
      </c>
      <c r="P52" s="1344">
        <v>0</v>
      </c>
      <c r="Q52" s="1482">
        <f t="shared" si="32"/>
        <v>0</v>
      </c>
      <c r="R52" s="1344">
        <v>5</v>
      </c>
      <c r="S52" s="1483">
        <f t="shared" si="33"/>
        <v>7250</v>
      </c>
      <c r="T52" s="1345">
        <v>0</v>
      </c>
      <c r="U52" s="1483">
        <f t="shared" si="34"/>
        <v>0</v>
      </c>
      <c r="V52" s="1345">
        <v>5</v>
      </c>
      <c r="W52" s="1483">
        <f t="shared" si="35"/>
        <v>7250</v>
      </c>
      <c r="X52" s="1345">
        <f t="shared" si="8"/>
        <v>10</v>
      </c>
      <c r="Y52" s="1345">
        <f t="shared" si="36"/>
        <v>14500</v>
      </c>
      <c r="Z52" s="1357" t="s">
        <v>7799</v>
      </c>
      <c r="AA52" s="1358" t="s">
        <v>6531</v>
      </c>
      <c r="AB52" s="1359" t="str">
        <f t="shared" si="0"/>
        <v>yes</v>
      </c>
      <c r="AC52" s="1359" t="str">
        <f t="shared" si="10"/>
        <v>ok</v>
      </c>
    </row>
    <row r="53" spans="1:31" s="1359" customFormat="1" ht="20.25" customHeight="1" x14ac:dyDescent="0.25">
      <c r="A53" s="1279">
        <v>46</v>
      </c>
      <c r="B53" s="1211" t="s">
        <v>8980</v>
      </c>
      <c r="C53" s="1383" t="s">
        <v>7798</v>
      </c>
      <c r="D53" s="1345">
        <v>0</v>
      </c>
      <c r="E53" s="1378">
        <f t="shared" si="38"/>
        <v>0</v>
      </c>
      <c r="F53" s="1345">
        <v>37</v>
      </c>
      <c r="G53" s="1345">
        <v>5735</v>
      </c>
      <c r="H53" s="1345">
        <v>40</v>
      </c>
      <c r="I53" s="1345">
        <v>5400</v>
      </c>
      <c r="J53" s="1652">
        <v>50</v>
      </c>
      <c r="K53" s="1653">
        <v>0</v>
      </c>
      <c r="L53" s="1344">
        <f t="shared" si="1"/>
        <v>0</v>
      </c>
      <c r="M53" s="1204">
        <f t="shared" si="2"/>
        <v>50</v>
      </c>
      <c r="N53" s="1205">
        <v>155</v>
      </c>
      <c r="O53" s="1346">
        <f t="shared" si="31"/>
        <v>7750</v>
      </c>
      <c r="P53" s="1344">
        <v>20</v>
      </c>
      <c r="Q53" s="1482">
        <f t="shared" si="32"/>
        <v>3100</v>
      </c>
      <c r="R53" s="1345">
        <v>0</v>
      </c>
      <c r="S53" s="1483">
        <f t="shared" si="33"/>
        <v>0</v>
      </c>
      <c r="T53" s="1344">
        <v>10</v>
      </c>
      <c r="U53" s="1483">
        <f t="shared" si="34"/>
        <v>1550</v>
      </c>
      <c r="V53" s="1345">
        <v>20</v>
      </c>
      <c r="W53" s="1483">
        <f t="shared" si="35"/>
        <v>3100</v>
      </c>
      <c r="X53" s="1345">
        <f t="shared" si="8"/>
        <v>50</v>
      </c>
      <c r="Y53" s="1345">
        <f t="shared" si="36"/>
        <v>7750</v>
      </c>
      <c r="Z53" s="1357" t="s">
        <v>7799</v>
      </c>
      <c r="AA53" s="1358" t="s">
        <v>6531</v>
      </c>
      <c r="AB53" s="1359" t="str">
        <f t="shared" si="0"/>
        <v>yes</v>
      </c>
      <c r="AC53" s="1359" t="str">
        <f t="shared" si="10"/>
        <v>ok</v>
      </c>
    </row>
    <row r="54" spans="1:31" s="1359" customFormat="1" ht="20.25" customHeight="1" x14ac:dyDescent="0.25">
      <c r="A54" s="1279">
        <v>47</v>
      </c>
      <c r="B54" s="1211" t="s">
        <v>8981</v>
      </c>
      <c r="C54" s="1383" t="s">
        <v>8052</v>
      </c>
      <c r="D54" s="1345">
        <v>0</v>
      </c>
      <c r="E54" s="1378">
        <f t="shared" si="38"/>
        <v>0</v>
      </c>
      <c r="F54" s="1345">
        <v>512</v>
      </c>
      <c r="G54" s="1345">
        <v>62976</v>
      </c>
      <c r="H54" s="1345">
        <v>850</v>
      </c>
      <c r="I54" s="1345">
        <v>104550</v>
      </c>
      <c r="J54" s="1652">
        <v>480</v>
      </c>
      <c r="K54" s="1653">
        <v>180</v>
      </c>
      <c r="L54" s="1344">
        <f t="shared" si="1"/>
        <v>22140</v>
      </c>
      <c r="M54" s="1204">
        <f t="shared" si="2"/>
        <v>300</v>
      </c>
      <c r="N54" s="1205">
        <v>123</v>
      </c>
      <c r="O54" s="1346">
        <f t="shared" si="31"/>
        <v>36900</v>
      </c>
      <c r="P54" s="1345">
        <v>0</v>
      </c>
      <c r="Q54" s="1482">
        <f t="shared" si="32"/>
        <v>0</v>
      </c>
      <c r="R54" s="1344">
        <v>100</v>
      </c>
      <c r="S54" s="1483">
        <f t="shared" si="33"/>
        <v>12300</v>
      </c>
      <c r="T54" s="1345">
        <v>100</v>
      </c>
      <c r="U54" s="1483">
        <f t="shared" si="34"/>
        <v>12300</v>
      </c>
      <c r="V54" s="1344">
        <v>100</v>
      </c>
      <c r="W54" s="1483">
        <f t="shared" si="35"/>
        <v>12300</v>
      </c>
      <c r="X54" s="1345">
        <f t="shared" si="8"/>
        <v>300</v>
      </c>
      <c r="Y54" s="1345">
        <f t="shared" si="36"/>
        <v>36900</v>
      </c>
      <c r="Z54" s="1357" t="s">
        <v>7799</v>
      </c>
      <c r="AA54" s="1358" t="s">
        <v>6531</v>
      </c>
      <c r="AB54" s="1359" t="str">
        <f t="shared" si="0"/>
        <v>yes</v>
      </c>
      <c r="AC54" s="1359" t="str">
        <f t="shared" si="10"/>
        <v>ok</v>
      </c>
    </row>
    <row r="55" spans="1:31" s="1359" customFormat="1" ht="20.25" customHeight="1" x14ac:dyDescent="0.25">
      <c r="A55" s="1279">
        <v>48</v>
      </c>
      <c r="B55" s="1211" t="s">
        <v>8982</v>
      </c>
      <c r="C55" s="1383" t="s">
        <v>7798</v>
      </c>
      <c r="D55" s="1344">
        <v>0</v>
      </c>
      <c r="E55" s="1378">
        <f t="shared" ref="E55:E64" si="39">D55*N55</f>
        <v>0</v>
      </c>
      <c r="F55" s="1345">
        <v>0</v>
      </c>
      <c r="G55" s="1378">
        <f t="shared" ref="G55:G64" si="40">F55*N55</f>
        <v>0</v>
      </c>
      <c r="H55" s="1345">
        <v>2</v>
      </c>
      <c r="I55" s="1345">
        <f t="shared" si="30"/>
        <v>720</v>
      </c>
      <c r="J55" s="1652">
        <v>5</v>
      </c>
      <c r="K55" s="1653">
        <v>0</v>
      </c>
      <c r="L55" s="1344">
        <f t="shared" si="1"/>
        <v>0</v>
      </c>
      <c r="M55" s="1204">
        <f t="shared" si="2"/>
        <v>5</v>
      </c>
      <c r="N55" s="1205">
        <v>360</v>
      </c>
      <c r="O55" s="1346">
        <f t="shared" si="31"/>
        <v>1800</v>
      </c>
      <c r="P55" s="1344">
        <v>0</v>
      </c>
      <c r="Q55" s="1482">
        <f t="shared" si="32"/>
        <v>0</v>
      </c>
      <c r="R55" s="1344">
        <v>5</v>
      </c>
      <c r="S55" s="1483">
        <f t="shared" si="33"/>
        <v>1800</v>
      </c>
      <c r="T55" s="1345">
        <v>0</v>
      </c>
      <c r="U55" s="1483">
        <f t="shared" si="34"/>
        <v>0</v>
      </c>
      <c r="V55" s="1345">
        <v>0</v>
      </c>
      <c r="W55" s="1483">
        <f t="shared" si="35"/>
        <v>0</v>
      </c>
      <c r="X55" s="1345">
        <f t="shared" si="8"/>
        <v>5</v>
      </c>
      <c r="Y55" s="1345">
        <f t="shared" si="36"/>
        <v>1800</v>
      </c>
      <c r="Z55" s="1357" t="s">
        <v>7799</v>
      </c>
      <c r="AA55" s="1358" t="s">
        <v>6531</v>
      </c>
      <c r="AB55" s="1359" t="str">
        <f t="shared" si="0"/>
        <v>yes</v>
      </c>
      <c r="AC55" s="1359" t="str">
        <f t="shared" si="10"/>
        <v>ok</v>
      </c>
    </row>
    <row r="56" spans="1:31" s="1359" customFormat="1" ht="20.25" customHeight="1" x14ac:dyDescent="0.25">
      <c r="A56" s="1279">
        <v>49</v>
      </c>
      <c r="B56" s="1211" t="s">
        <v>8983</v>
      </c>
      <c r="C56" s="1383" t="s">
        <v>7874</v>
      </c>
      <c r="D56" s="1344">
        <v>0</v>
      </c>
      <c r="E56" s="1378">
        <f t="shared" si="39"/>
        <v>0</v>
      </c>
      <c r="F56" s="1345">
        <v>0</v>
      </c>
      <c r="G56" s="1378">
        <f t="shared" si="40"/>
        <v>0</v>
      </c>
      <c r="H56" s="1345">
        <v>5</v>
      </c>
      <c r="I56" s="1345">
        <f t="shared" si="30"/>
        <v>2250</v>
      </c>
      <c r="J56" s="1652">
        <v>8</v>
      </c>
      <c r="K56" s="1653">
        <v>3</v>
      </c>
      <c r="L56" s="1344">
        <f t="shared" si="1"/>
        <v>1350</v>
      </c>
      <c r="M56" s="1204">
        <f t="shared" si="2"/>
        <v>5</v>
      </c>
      <c r="N56" s="1205">
        <v>450</v>
      </c>
      <c r="O56" s="1346">
        <f t="shared" si="31"/>
        <v>2250</v>
      </c>
      <c r="P56" s="1344">
        <v>0</v>
      </c>
      <c r="Q56" s="1482">
        <f t="shared" si="32"/>
        <v>0</v>
      </c>
      <c r="R56" s="1344">
        <v>0</v>
      </c>
      <c r="S56" s="1483">
        <f t="shared" si="33"/>
        <v>0</v>
      </c>
      <c r="T56" s="1345">
        <v>5</v>
      </c>
      <c r="U56" s="1483">
        <f t="shared" si="34"/>
        <v>2250</v>
      </c>
      <c r="V56" s="1345">
        <v>0</v>
      </c>
      <c r="W56" s="1483">
        <f t="shared" si="35"/>
        <v>0</v>
      </c>
      <c r="X56" s="1345">
        <f t="shared" si="8"/>
        <v>5</v>
      </c>
      <c r="Y56" s="1345">
        <f t="shared" si="36"/>
        <v>2250</v>
      </c>
      <c r="Z56" s="1357" t="s">
        <v>7799</v>
      </c>
      <c r="AA56" s="1358" t="s">
        <v>6531</v>
      </c>
      <c r="AB56" s="1359" t="str">
        <f t="shared" si="0"/>
        <v>yes</v>
      </c>
      <c r="AC56" s="1359" t="str">
        <f t="shared" si="10"/>
        <v>ok</v>
      </c>
    </row>
    <row r="57" spans="1:31" s="1359" customFormat="1" ht="20.25" customHeight="1" x14ac:dyDescent="0.25">
      <c r="A57" s="1279">
        <v>50</v>
      </c>
      <c r="B57" s="1211" t="s">
        <v>8984</v>
      </c>
      <c r="C57" s="1383" t="s">
        <v>7874</v>
      </c>
      <c r="D57" s="1344">
        <v>0</v>
      </c>
      <c r="E57" s="1378">
        <f t="shared" si="39"/>
        <v>0</v>
      </c>
      <c r="F57" s="1345">
        <v>0</v>
      </c>
      <c r="G57" s="1378">
        <f t="shared" si="40"/>
        <v>0</v>
      </c>
      <c r="H57" s="1345">
        <v>5</v>
      </c>
      <c r="I57" s="1345">
        <f t="shared" si="30"/>
        <v>2250</v>
      </c>
      <c r="J57" s="1652">
        <v>8</v>
      </c>
      <c r="K57" s="1653">
        <v>3</v>
      </c>
      <c r="L57" s="1344">
        <f t="shared" si="1"/>
        <v>1350</v>
      </c>
      <c r="M57" s="1204">
        <f t="shared" si="2"/>
        <v>5</v>
      </c>
      <c r="N57" s="1205">
        <v>450</v>
      </c>
      <c r="O57" s="1346">
        <f t="shared" si="31"/>
        <v>2250</v>
      </c>
      <c r="P57" s="1344">
        <v>0</v>
      </c>
      <c r="Q57" s="1482">
        <f t="shared" si="32"/>
        <v>0</v>
      </c>
      <c r="R57" s="1344">
        <v>0</v>
      </c>
      <c r="S57" s="1483">
        <f t="shared" si="33"/>
        <v>0</v>
      </c>
      <c r="T57" s="1345">
        <v>5</v>
      </c>
      <c r="U57" s="1483">
        <f t="shared" si="34"/>
        <v>2250</v>
      </c>
      <c r="V57" s="1345">
        <v>0</v>
      </c>
      <c r="W57" s="1483">
        <f t="shared" si="35"/>
        <v>0</v>
      </c>
      <c r="X57" s="1345">
        <f t="shared" si="8"/>
        <v>5</v>
      </c>
      <c r="Y57" s="1345">
        <f t="shared" si="36"/>
        <v>2250</v>
      </c>
      <c r="Z57" s="1357" t="s">
        <v>7799</v>
      </c>
      <c r="AA57" s="1358" t="s">
        <v>6531</v>
      </c>
      <c r="AB57" s="1359" t="str">
        <f t="shared" si="0"/>
        <v>yes</v>
      </c>
      <c r="AC57" s="1359" t="str">
        <f t="shared" si="10"/>
        <v>ok</v>
      </c>
    </row>
    <row r="58" spans="1:31" s="1359" customFormat="1" ht="20.25" customHeight="1" x14ac:dyDescent="0.25">
      <c r="A58" s="1279">
        <v>51</v>
      </c>
      <c r="B58" s="1211" t="s">
        <v>8985</v>
      </c>
      <c r="C58" s="1383" t="s">
        <v>7798</v>
      </c>
      <c r="D58" s="1344">
        <v>0</v>
      </c>
      <c r="E58" s="1378">
        <f t="shared" si="39"/>
        <v>0</v>
      </c>
      <c r="F58" s="1345">
        <v>0</v>
      </c>
      <c r="G58" s="1378">
        <f t="shared" si="40"/>
        <v>0</v>
      </c>
      <c r="H58" s="1345">
        <v>2</v>
      </c>
      <c r="I58" s="1345">
        <v>1240</v>
      </c>
      <c r="J58" s="1652">
        <v>6</v>
      </c>
      <c r="K58" s="1653">
        <v>1</v>
      </c>
      <c r="L58" s="1344">
        <f t="shared" si="1"/>
        <v>620</v>
      </c>
      <c r="M58" s="1204">
        <f t="shared" si="2"/>
        <v>5</v>
      </c>
      <c r="N58" s="1205">
        <v>620</v>
      </c>
      <c r="O58" s="1346">
        <f t="shared" si="31"/>
        <v>3100</v>
      </c>
      <c r="P58" s="1344">
        <v>5</v>
      </c>
      <c r="Q58" s="1482">
        <f t="shared" si="32"/>
        <v>3100</v>
      </c>
      <c r="R58" s="1344">
        <v>0</v>
      </c>
      <c r="S58" s="1483">
        <f t="shared" si="33"/>
        <v>0</v>
      </c>
      <c r="T58" s="1345">
        <v>0</v>
      </c>
      <c r="U58" s="1483">
        <f t="shared" si="34"/>
        <v>0</v>
      </c>
      <c r="V58" s="1345">
        <v>0</v>
      </c>
      <c r="W58" s="1483">
        <f t="shared" si="35"/>
        <v>0</v>
      </c>
      <c r="X58" s="1345">
        <f t="shared" si="8"/>
        <v>5</v>
      </c>
      <c r="Y58" s="1345">
        <f t="shared" si="36"/>
        <v>3100</v>
      </c>
      <c r="Z58" s="1357" t="s">
        <v>7799</v>
      </c>
      <c r="AA58" s="1358" t="s">
        <v>6531</v>
      </c>
      <c r="AB58" s="1359" t="str">
        <f t="shared" si="0"/>
        <v>yes</v>
      </c>
      <c r="AC58" s="1359" t="str">
        <f t="shared" si="10"/>
        <v>ok</v>
      </c>
    </row>
    <row r="59" spans="1:31" s="1359" customFormat="1" ht="20.25" customHeight="1" x14ac:dyDescent="0.25">
      <c r="A59" s="1279">
        <v>52</v>
      </c>
      <c r="B59" s="1211" t="s">
        <v>8986</v>
      </c>
      <c r="C59" s="1383" t="s">
        <v>7798</v>
      </c>
      <c r="D59" s="1344">
        <v>0</v>
      </c>
      <c r="E59" s="1378">
        <f t="shared" si="39"/>
        <v>0</v>
      </c>
      <c r="F59" s="1345">
        <v>0</v>
      </c>
      <c r="G59" s="1378">
        <f t="shared" si="40"/>
        <v>0</v>
      </c>
      <c r="H59" s="1345">
        <v>0</v>
      </c>
      <c r="I59" s="1345">
        <f t="shared" si="30"/>
        <v>0</v>
      </c>
      <c r="J59" s="1652">
        <v>15</v>
      </c>
      <c r="K59" s="1653">
        <v>0</v>
      </c>
      <c r="L59" s="1344">
        <f t="shared" si="1"/>
        <v>0</v>
      </c>
      <c r="M59" s="1204">
        <f t="shared" si="2"/>
        <v>15</v>
      </c>
      <c r="N59" s="1205">
        <v>285</v>
      </c>
      <c r="O59" s="1346">
        <f t="shared" si="31"/>
        <v>4275</v>
      </c>
      <c r="P59" s="1345">
        <v>5</v>
      </c>
      <c r="Q59" s="1482">
        <f t="shared" si="32"/>
        <v>1425</v>
      </c>
      <c r="R59" s="1344">
        <v>0</v>
      </c>
      <c r="S59" s="1483">
        <f t="shared" si="33"/>
        <v>0</v>
      </c>
      <c r="T59" s="1345">
        <v>5</v>
      </c>
      <c r="U59" s="1483">
        <f t="shared" si="34"/>
        <v>1425</v>
      </c>
      <c r="V59" s="1344">
        <v>5</v>
      </c>
      <c r="W59" s="1483">
        <f t="shared" si="35"/>
        <v>1425</v>
      </c>
      <c r="X59" s="1345">
        <f t="shared" si="8"/>
        <v>15</v>
      </c>
      <c r="Y59" s="1345">
        <f t="shared" si="36"/>
        <v>4275</v>
      </c>
      <c r="Z59" s="1357" t="s">
        <v>7799</v>
      </c>
      <c r="AA59" s="1358" t="s">
        <v>6531</v>
      </c>
      <c r="AB59" s="1359" t="str">
        <f t="shared" si="0"/>
        <v>yes</v>
      </c>
      <c r="AC59" s="1359" t="str">
        <f t="shared" si="10"/>
        <v>ok</v>
      </c>
      <c r="AE59" s="1382"/>
    </row>
    <row r="60" spans="1:31" s="1359" customFormat="1" ht="20.25" customHeight="1" x14ac:dyDescent="0.25">
      <c r="A60" s="1279">
        <v>53</v>
      </c>
      <c r="B60" s="1372" t="s">
        <v>8987</v>
      </c>
      <c r="C60" s="1373" t="s">
        <v>7798</v>
      </c>
      <c r="D60" s="1344">
        <v>0</v>
      </c>
      <c r="E60" s="1378">
        <f t="shared" si="39"/>
        <v>0</v>
      </c>
      <c r="F60" s="1381">
        <v>0</v>
      </c>
      <c r="G60" s="1378">
        <f t="shared" si="40"/>
        <v>0</v>
      </c>
      <c r="H60" s="1381">
        <v>4</v>
      </c>
      <c r="I60" s="1345">
        <f t="shared" si="30"/>
        <v>1280</v>
      </c>
      <c r="J60" s="1899">
        <v>14</v>
      </c>
      <c r="K60" s="1900">
        <v>4</v>
      </c>
      <c r="L60" s="1344">
        <f t="shared" si="1"/>
        <v>1280</v>
      </c>
      <c r="M60" s="1204">
        <f t="shared" si="2"/>
        <v>10</v>
      </c>
      <c r="N60" s="1901">
        <v>320</v>
      </c>
      <c r="O60" s="1346">
        <f t="shared" si="31"/>
        <v>3200</v>
      </c>
      <c r="P60" s="1344">
        <v>0</v>
      </c>
      <c r="Q60" s="1482">
        <f t="shared" si="32"/>
        <v>0</v>
      </c>
      <c r="R60" s="1344">
        <v>5</v>
      </c>
      <c r="S60" s="1483">
        <f t="shared" si="33"/>
        <v>1600</v>
      </c>
      <c r="T60" s="1344">
        <v>0</v>
      </c>
      <c r="U60" s="1483">
        <f t="shared" si="34"/>
        <v>0</v>
      </c>
      <c r="V60" s="1344">
        <v>5</v>
      </c>
      <c r="W60" s="1483">
        <f t="shared" si="35"/>
        <v>1600</v>
      </c>
      <c r="X60" s="1345">
        <f t="shared" si="8"/>
        <v>10</v>
      </c>
      <c r="Y60" s="1345">
        <f t="shared" si="36"/>
        <v>3200</v>
      </c>
      <c r="Z60" s="1357" t="s">
        <v>7799</v>
      </c>
      <c r="AA60" s="1358" t="s">
        <v>6531</v>
      </c>
      <c r="AB60" s="1359" t="str">
        <f t="shared" si="0"/>
        <v>yes</v>
      </c>
      <c r="AC60" s="1359" t="str">
        <f t="shared" si="10"/>
        <v>ok</v>
      </c>
      <c r="AE60" s="1246"/>
    </row>
    <row r="61" spans="1:31" s="1359" customFormat="1" ht="20.25" customHeight="1" x14ac:dyDescent="0.25">
      <c r="A61" s="1279">
        <v>54</v>
      </c>
      <c r="B61" s="1211" t="s">
        <v>8988</v>
      </c>
      <c r="C61" s="1383" t="s">
        <v>8049</v>
      </c>
      <c r="D61" s="1344">
        <v>0</v>
      </c>
      <c r="E61" s="1378">
        <f t="shared" si="39"/>
        <v>0</v>
      </c>
      <c r="F61" s="1345">
        <v>0</v>
      </c>
      <c r="G61" s="1378">
        <f t="shared" si="40"/>
        <v>0</v>
      </c>
      <c r="H61" s="1345">
        <v>20</v>
      </c>
      <c r="I61" s="1345">
        <v>1580</v>
      </c>
      <c r="J61" s="1652">
        <v>20</v>
      </c>
      <c r="K61" s="1653">
        <v>5</v>
      </c>
      <c r="L61" s="1344">
        <f t="shared" si="1"/>
        <v>395</v>
      </c>
      <c r="M61" s="1204">
        <f t="shared" si="2"/>
        <v>15</v>
      </c>
      <c r="N61" s="1205">
        <v>79</v>
      </c>
      <c r="O61" s="1346">
        <f t="shared" si="31"/>
        <v>1185</v>
      </c>
      <c r="P61" s="1344">
        <v>0</v>
      </c>
      <c r="Q61" s="1482">
        <f t="shared" si="32"/>
        <v>0</v>
      </c>
      <c r="R61" s="1344">
        <v>15</v>
      </c>
      <c r="S61" s="1483">
        <f t="shared" si="33"/>
        <v>1185</v>
      </c>
      <c r="T61" s="1345">
        <v>0</v>
      </c>
      <c r="U61" s="1483">
        <f t="shared" si="34"/>
        <v>0</v>
      </c>
      <c r="V61" s="1345">
        <v>0</v>
      </c>
      <c r="W61" s="1483">
        <f t="shared" si="35"/>
        <v>0</v>
      </c>
      <c r="X61" s="1345">
        <f t="shared" si="8"/>
        <v>15</v>
      </c>
      <c r="Y61" s="1345">
        <f t="shared" si="36"/>
        <v>1185</v>
      </c>
      <c r="Z61" s="1357" t="s">
        <v>7799</v>
      </c>
      <c r="AA61" s="1358" t="s">
        <v>6531</v>
      </c>
      <c r="AB61" s="1359" t="str">
        <f t="shared" si="0"/>
        <v>yes</v>
      </c>
      <c r="AC61" s="1359" t="str">
        <f t="shared" si="10"/>
        <v>ok</v>
      </c>
    </row>
    <row r="62" spans="1:31" s="1359" customFormat="1" ht="20.25" customHeight="1" x14ac:dyDescent="0.25">
      <c r="A62" s="1279">
        <v>55</v>
      </c>
      <c r="B62" s="1211" t="s">
        <v>8989</v>
      </c>
      <c r="C62" s="1383" t="s">
        <v>8938</v>
      </c>
      <c r="D62" s="1344">
        <v>0</v>
      </c>
      <c r="E62" s="1378">
        <f t="shared" si="39"/>
        <v>0</v>
      </c>
      <c r="F62" s="1345">
        <v>0</v>
      </c>
      <c r="G62" s="1378">
        <f t="shared" si="40"/>
        <v>0</v>
      </c>
      <c r="H62" s="1345">
        <v>200</v>
      </c>
      <c r="I62" s="1345">
        <f t="shared" si="30"/>
        <v>13000</v>
      </c>
      <c r="J62" s="1652">
        <v>312</v>
      </c>
      <c r="K62" s="1653">
        <v>112</v>
      </c>
      <c r="L62" s="1344">
        <f t="shared" si="1"/>
        <v>7280</v>
      </c>
      <c r="M62" s="1204">
        <f t="shared" si="2"/>
        <v>200</v>
      </c>
      <c r="N62" s="1205">
        <v>65</v>
      </c>
      <c r="O62" s="1346">
        <f t="shared" si="31"/>
        <v>13000</v>
      </c>
      <c r="P62" s="1345">
        <v>0</v>
      </c>
      <c r="Q62" s="1482">
        <f t="shared" si="32"/>
        <v>0</v>
      </c>
      <c r="R62" s="1344">
        <v>0</v>
      </c>
      <c r="S62" s="1483">
        <f t="shared" si="33"/>
        <v>0</v>
      </c>
      <c r="T62" s="1345">
        <v>100</v>
      </c>
      <c r="U62" s="1483">
        <f t="shared" si="34"/>
        <v>6500</v>
      </c>
      <c r="V62" s="1344">
        <v>100</v>
      </c>
      <c r="W62" s="1483">
        <f t="shared" si="35"/>
        <v>6500</v>
      </c>
      <c r="X62" s="1345">
        <f t="shared" si="8"/>
        <v>200</v>
      </c>
      <c r="Y62" s="1345">
        <f t="shared" si="36"/>
        <v>13000</v>
      </c>
      <c r="Z62" s="1357" t="s">
        <v>7799</v>
      </c>
      <c r="AA62" s="1358" t="s">
        <v>6531</v>
      </c>
      <c r="AB62" s="1359" t="str">
        <f t="shared" si="0"/>
        <v>yes</v>
      </c>
      <c r="AC62" s="1359" t="str">
        <f t="shared" si="10"/>
        <v>ok</v>
      </c>
      <c r="AE62" s="1382"/>
    </row>
    <row r="63" spans="1:31" s="1359" customFormat="1" ht="20.25" customHeight="1" x14ac:dyDescent="0.25">
      <c r="A63" s="1279">
        <v>56</v>
      </c>
      <c r="B63" s="1211" t="s">
        <v>8990</v>
      </c>
      <c r="C63" s="1383" t="s">
        <v>8049</v>
      </c>
      <c r="D63" s="1344">
        <v>0</v>
      </c>
      <c r="E63" s="1378">
        <f t="shared" si="39"/>
        <v>0</v>
      </c>
      <c r="F63" s="1345">
        <v>0</v>
      </c>
      <c r="G63" s="1378">
        <f t="shared" si="40"/>
        <v>0</v>
      </c>
      <c r="H63" s="1345">
        <v>0</v>
      </c>
      <c r="I63" s="1345">
        <f t="shared" si="30"/>
        <v>0</v>
      </c>
      <c r="J63" s="1652">
        <v>3</v>
      </c>
      <c r="K63" s="1653">
        <v>0</v>
      </c>
      <c r="L63" s="1344">
        <f t="shared" si="1"/>
        <v>0</v>
      </c>
      <c r="M63" s="1204">
        <v>3</v>
      </c>
      <c r="N63" s="1205">
        <v>500</v>
      </c>
      <c r="O63" s="1346">
        <f t="shared" si="31"/>
        <v>1500</v>
      </c>
      <c r="P63" s="1345">
        <v>3</v>
      </c>
      <c r="Q63" s="1482">
        <f t="shared" si="32"/>
        <v>1500</v>
      </c>
      <c r="R63" s="1344">
        <v>0</v>
      </c>
      <c r="S63" s="1483">
        <f t="shared" si="33"/>
        <v>0</v>
      </c>
      <c r="T63" s="1345">
        <v>0</v>
      </c>
      <c r="U63" s="1483">
        <f t="shared" si="34"/>
        <v>0</v>
      </c>
      <c r="V63" s="1344">
        <v>0</v>
      </c>
      <c r="W63" s="1483">
        <f t="shared" si="35"/>
        <v>0</v>
      </c>
      <c r="X63" s="1345">
        <f t="shared" si="8"/>
        <v>3</v>
      </c>
      <c r="Y63" s="1345">
        <f t="shared" si="36"/>
        <v>1500</v>
      </c>
      <c r="Z63" s="1357" t="s">
        <v>7799</v>
      </c>
      <c r="AA63" s="1358" t="s">
        <v>6531</v>
      </c>
      <c r="AB63" s="1359" t="str">
        <f t="shared" si="0"/>
        <v>yes</v>
      </c>
      <c r="AC63" s="1359" t="str">
        <f t="shared" si="10"/>
        <v>ok</v>
      </c>
      <c r="AE63" s="1382"/>
    </row>
    <row r="64" spans="1:31" s="1359" customFormat="1" ht="20.25" customHeight="1" x14ac:dyDescent="0.25">
      <c r="A64" s="1279">
        <v>57</v>
      </c>
      <c r="B64" s="1211" t="s">
        <v>8991</v>
      </c>
      <c r="C64" s="1383" t="s">
        <v>7823</v>
      </c>
      <c r="D64" s="1344">
        <v>0</v>
      </c>
      <c r="E64" s="1378">
        <f t="shared" si="39"/>
        <v>0</v>
      </c>
      <c r="F64" s="1345">
        <v>0</v>
      </c>
      <c r="G64" s="1378">
        <f t="shared" si="40"/>
        <v>0</v>
      </c>
      <c r="H64" s="1345">
        <v>3</v>
      </c>
      <c r="I64" s="1345">
        <f t="shared" si="30"/>
        <v>165</v>
      </c>
      <c r="J64" s="1652">
        <v>3</v>
      </c>
      <c r="K64" s="1653">
        <v>0</v>
      </c>
      <c r="L64" s="1344">
        <f t="shared" si="1"/>
        <v>0</v>
      </c>
      <c r="M64" s="1204">
        <v>3</v>
      </c>
      <c r="N64" s="1205">
        <v>55</v>
      </c>
      <c r="O64" s="1346">
        <f t="shared" si="31"/>
        <v>165</v>
      </c>
      <c r="P64" s="1345">
        <v>0</v>
      </c>
      <c r="Q64" s="1482">
        <f t="shared" si="32"/>
        <v>0</v>
      </c>
      <c r="R64" s="1344">
        <v>3</v>
      </c>
      <c r="S64" s="1483">
        <f t="shared" si="33"/>
        <v>165</v>
      </c>
      <c r="T64" s="1345">
        <v>0</v>
      </c>
      <c r="U64" s="1483">
        <f t="shared" si="34"/>
        <v>0</v>
      </c>
      <c r="V64" s="1344">
        <v>0</v>
      </c>
      <c r="W64" s="1483">
        <f t="shared" si="35"/>
        <v>0</v>
      </c>
      <c r="X64" s="1345">
        <f t="shared" si="8"/>
        <v>3</v>
      </c>
      <c r="Y64" s="1345">
        <f t="shared" si="36"/>
        <v>165</v>
      </c>
      <c r="Z64" s="1357" t="s">
        <v>7799</v>
      </c>
      <c r="AA64" s="1358" t="s">
        <v>8992</v>
      </c>
      <c r="AB64" s="1359" t="str">
        <f t="shared" si="0"/>
        <v>yes</v>
      </c>
      <c r="AC64" s="1359" t="str">
        <f t="shared" si="10"/>
        <v>ok</v>
      </c>
      <c r="AE64" s="1382"/>
    </row>
    <row r="65" spans="1:31" s="1359" customFormat="1" ht="20.25" customHeight="1" x14ac:dyDescent="0.25">
      <c r="A65" s="1279">
        <v>58</v>
      </c>
      <c r="B65" s="1902" t="s">
        <v>8993</v>
      </c>
      <c r="C65" s="1509" t="s">
        <v>8118</v>
      </c>
      <c r="D65" s="1651">
        <v>1100</v>
      </c>
      <c r="E65" s="1378">
        <v>1650</v>
      </c>
      <c r="F65" s="1345">
        <v>1100</v>
      </c>
      <c r="G65" s="1378">
        <v>1650</v>
      </c>
      <c r="H65" s="1345">
        <v>1500</v>
      </c>
      <c r="I65" s="1345">
        <v>2250</v>
      </c>
      <c r="J65" s="1652">
        <v>1600</v>
      </c>
      <c r="K65" s="1653">
        <v>500</v>
      </c>
      <c r="L65" s="1344">
        <f t="shared" si="1"/>
        <v>750</v>
      </c>
      <c r="M65" s="1204">
        <v>1100</v>
      </c>
      <c r="N65" s="1205">
        <v>1.5</v>
      </c>
      <c r="O65" s="1346">
        <f t="shared" si="31"/>
        <v>1650</v>
      </c>
      <c r="P65" s="1344">
        <v>1100</v>
      </c>
      <c r="Q65" s="1482">
        <f t="shared" si="32"/>
        <v>1650</v>
      </c>
      <c r="R65" s="1344">
        <v>0</v>
      </c>
      <c r="S65" s="1483">
        <f t="shared" si="33"/>
        <v>0</v>
      </c>
      <c r="T65" s="1345">
        <v>0</v>
      </c>
      <c r="U65" s="1483">
        <f t="shared" si="34"/>
        <v>0</v>
      </c>
      <c r="V65" s="1345">
        <v>0</v>
      </c>
      <c r="W65" s="1483">
        <f t="shared" si="35"/>
        <v>0</v>
      </c>
      <c r="X65" s="1345">
        <f t="shared" si="8"/>
        <v>1100</v>
      </c>
      <c r="Y65" s="1345">
        <f t="shared" si="36"/>
        <v>1650</v>
      </c>
      <c r="Z65" s="1357" t="s">
        <v>7799</v>
      </c>
      <c r="AA65" s="1358" t="s">
        <v>8994</v>
      </c>
      <c r="AB65" s="1359" t="str">
        <f t="shared" si="0"/>
        <v>yes</v>
      </c>
      <c r="AC65" s="1359" t="str">
        <f t="shared" si="10"/>
        <v>ok</v>
      </c>
    </row>
    <row r="66" spans="1:31" s="1359" customFormat="1" ht="20.25" customHeight="1" x14ac:dyDescent="0.25">
      <c r="A66" s="1279">
        <v>59</v>
      </c>
      <c r="B66" s="1902" t="s">
        <v>8995</v>
      </c>
      <c r="C66" s="1509" t="s">
        <v>8996</v>
      </c>
      <c r="D66" s="1653">
        <v>20</v>
      </c>
      <c r="E66" s="1378">
        <v>2600</v>
      </c>
      <c r="F66" s="1345">
        <v>30</v>
      </c>
      <c r="G66" s="1378">
        <v>3900</v>
      </c>
      <c r="H66" s="1345">
        <v>50</v>
      </c>
      <c r="I66" s="1345">
        <v>6500</v>
      </c>
      <c r="J66" s="1652">
        <v>50</v>
      </c>
      <c r="K66" s="1653">
        <v>20</v>
      </c>
      <c r="L66" s="1344">
        <f t="shared" si="1"/>
        <v>2600</v>
      </c>
      <c r="M66" s="1204">
        <v>30</v>
      </c>
      <c r="N66" s="1205">
        <v>130</v>
      </c>
      <c r="O66" s="1346">
        <f t="shared" si="31"/>
        <v>3900</v>
      </c>
      <c r="P66" s="1344">
        <v>30</v>
      </c>
      <c r="Q66" s="1482">
        <f t="shared" si="32"/>
        <v>3900</v>
      </c>
      <c r="R66" s="1344">
        <v>0</v>
      </c>
      <c r="S66" s="1483">
        <f t="shared" si="33"/>
        <v>0</v>
      </c>
      <c r="T66" s="1345">
        <v>0</v>
      </c>
      <c r="U66" s="1483">
        <f t="shared" si="34"/>
        <v>0</v>
      </c>
      <c r="V66" s="1345">
        <v>0</v>
      </c>
      <c r="W66" s="1483">
        <f t="shared" si="35"/>
        <v>0</v>
      </c>
      <c r="X66" s="1345">
        <f t="shared" si="8"/>
        <v>30</v>
      </c>
      <c r="Y66" s="1345">
        <f t="shared" si="36"/>
        <v>3900</v>
      </c>
      <c r="Z66" s="1357" t="s">
        <v>7799</v>
      </c>
      <c r="AA66" s="1358" t="s">
        <v>8994</v>
      </c>
      <c r="AB66" s="1359" t="str">
        <f t="shared" si="0"/>
        <v>yes</v>
      </c>
      <c r="AC66" s="1359" t="str">
        <f t="shared" si="10"/>
        <v>ok</v>
      </c>
    </row>
    <row r="67" spans="1:31" s="1359" customFormat="1" ht="20.25" customHeight="1" x14ac:dyDescent="0.25">
      <c r="A67" s="1279">
        <v>60</v>
      </c>
      <c r="B67" s="1902" t="s">
        <v>8997</v>
      </c>
      <c r="C67" s="1509" t="s">
        <v>8996</v>
      </c>
      <c r="D67" s="1653">
        <v>70</v>
      </c>
      <c r="E67" s="1378">
        <v>8050</v>
      </c>
      <c r="F67" s="1345">
        <v>50</v>
      </c>
      <c r="G67" s="1378">
        <v>5750</v>
      </c>
      <c r="H67" s="1345">
        <v>50</v>
      </c>
      <c r="I67" s="1345">
        <v>5750</v>
      </c>
      <c r="J67" s="1652">
        <v>50</v>
      </c>
      <c r="K67" s="1653">
        <v>20</v>
      </c>
      <c r="L67" s="1344">
        <f t="shared" si="1"/>
        <v>2300</v>
      </c>
      <c r="M67" s="1204">
        <v>30</v>
      </c>
      <c r="N67" s="1205">
        <v>115</v>
      </c>
      <c r="O67" s="1346">
        <f t="shared" si="31"/>
        <v>3450</v>
      </c>
      <c r="P67" s="1344">
        <v>30</v>
      </c>
      <c r="Q67" s="1482">
        <f t="shared" si="32"/>
        <v>3450</v>
      </c>
      <c r="R67" s="1344">
        <v>0</v>
      </c>
      <c r="S67" s="1483">
        <f t="shared" si="33"/>
        <v>0</v>
      </c>
      <c r="T67" s="1345">
        <v>0</v>
      </c>
      <c r="U67" s="1483">
        <f t="shared" si="34"/>
        <v>0</v>
      </c>
      <c r="V67" s="1345">
        <v>0</v>
      </c>
      <c r="W67" s="1483">
        <f t="shared" si="35"/>
        <v>0</v>
      </c>
      <c r="X67" s="1345">
        <f t="shared" si="8"/>
        <v>30</v>
      </c>
      <c r="Y67" s="1345">
        <f t="shared" si="36"/>
        <v>3450</v>
      </c>
      <c r="Z67" s="1357" t="s">
        <v>7799</v>
      </c>
      <c r="AA67" s="1358" t="s">
        <v>8994</v>
      </c>
      <c r="AB67" s="1359" t="str">
        <f t="shared" si="0"/>
        <v>yes</v>
      </c>
      <c r="AC67" s="1359" t="str">
        <f t="shared" si="10"/>
        <v>ok</v>
      </c>
    </row>
    <row r="68" spans="1:31" s="1359" customFormat="1" ht="20.25" customHeight="1" x14ac:dyDescent="0.25">
      <c r="A68" s="1279">
        <v>61</v>
      </c>
      <c r="B68" s="1902" t="s">
        <v>8998</v>
      </c>
      <c r="C68" s="1509" t="s">
        <v>8996</v>
      </c>
      <c r="D68" s="1653">
        <v>30</v>
      </c>
      <c r="E68" s="1378">
        <v>3450</v>
      </c>
      <c r="F68" s="1345">
        <v>50</v>
      </c>
      <c r="G68" s="1378">
        <v>5750</v>
      </c>
      <c r="H68" s="1345">
        <v>50</v>
      </c>
      <c r="I68" s="1345">
        <v>5750</v>
      </c>
      <c r="J68" s="1652">
        <v>50</v>
      </c>
      <c r="K68" s="1653">
        <v>20</v>
      </c>
      <c r="L68" s="1344">
        <f t="shared" si="1"/>
        <v>2300</v>
      </c>
      <c r="M68" s="1204">
        <v>30</v>
      </c>
      <c r="N68" s="1205">
        <v>115</v>
      </c>
      <c r="O68" s="1346">
        <f t="shared" si="31"/>
        <v>3450</v>
      </c>
      <c r="P68" s="1344">
        <v>30</v>
      </c>
      <c r="Q68" s="1482">
        <f t="shared" si="32"/>
        <v>3450</v>
      </c>
      <c r="R68" s="1344">
        <v>0</v>
      </c>
      <c r="S68" s="1483">
        <f t="shared" si="33"/>
        <v>0</v>
      </c>
      <c r="T68" s="1345">
        <v>0</v>
      </c>
      <c r="U68" s="1483">
        <f t="shared" si="34"/>
        <v>0</v>
      </c>
      <c r="V68" s="1345">
        <v>0</v>
      </c>
      <c r="W68" s="1483">
        <f t="shared" si="35"/>
        <v>0</v>
      </c>
      <c r="X68" s="1345">
        <f t="shared" si="8"/>
        <v>30</v>
      </c>
      <c r="Y68" s="1345">
        <f t="shared" si="36"/>
        <v>3450</v>
      </c>
      <c r="Z68" s="1357" t="s">
        <v>7799</v>
      </c>
      <c r="AA68" s="1358" t="s">
        <v>8994</v>
      </c>
      <c r="AB68" s="1359" t="str">
        <f t="shared" si="0"/>
        <v>yes</v>
      </c>
      <c r="AC68" s="1359" t="str">
        <f t="shared" si="10"/>
        <v>ok</v>
      </c>
    </row>
    <row r="69" spans="1:31" s="1359" customFormat="1" ht="20.25" customHeight="1" x14ac:dyDescent="0.25">
      <c r="A69" s="1279">
        <v>62</v>
      </c>
      <c r="B69" s="1902" t="s">
        <v>8999</v>
      </c>
      <c r="C69" s="1509" t="s">
        <v>8996</v>
      </c>
      <c r="D69" s="1653">
        <v>50</v>
      </c>
      <c r="E69" s="1378">
        <v>6000</v>
      </c>
      <c r="F69" s="1345">
        <v>10</v>
      </c>
      <c r="G69" s="1378">
        <v>1200</v>
      </c>
      <c r="H69" s="1345">
        <v>5</v>
      </c>
      <c r="I69" s="1345">
        <v>600</v>
      </c>
      <c r="J69" s="1652">
        <v>50</v>
      </c>
      <c r="K69" s="1653">
        <v>30</v>
      </c>
      <c r="L69" s="1344">
        <f t="shared" si="1"/>
        <v>3600</v>
      </c>
      <c r="M69" s="1204">
        <v>20</v>
      </c>
      <c r="N69" s="1205">
        <v>120</v>
      </c>
      <c r="O69" s="1346">
        <f t="shared" si="31"/>
        <v>2400</v>
      </c>
      <c r="P69" s="1345">
        <v>20</v>
      </c>
      <c r="Q69" s="1482">
        <f t="shared" si="32"/>
        <v>2400</v>
      </c>
      <c r="R69" s="1344">
        <v>0</v>
      </c>
      <c r="S69" s="1483">
        <f t="shared" si="33"/>
        <v>0</v>
      </c>
      <c r="T69" s="1345">
        <v>0</v>
      </c>
      <c r="U69" s="1483">
        <f t="shared" si="34"/>
        <v>0</v>
      </c>
      <c r="V69" s="1344">
        <v>0</v>
      </c>
      <c r="W69" s="1483">
        <f t="shared" si="35"/>
        <v>0</v>
      </c>
      <c r="X69" s="1345">
        <f t="shared" si="8"/>
        <v>20</v>
      </c>
      <c r="Y69" s="1345">
        <f t="shared" si="36"/>
        <v>2400</v>
      </c>
      <c r="Z69" s="1357" t="s">
        <v>7799</v>
      </c>
      <c r="AA69" s="1358" t="s">
        <v>8994</v>
      </c>
      <c r="AB69" s="1359" t="str">
        <f t="shared" si="0"/>
        <v>yes</v>
      </c>
      <c r="AC69" s="1359" t="str">
        <f t="shared" si="10"/>
        <v>ok</v>
      </c>
      <c r="AE69" s="1382"/>
    </row>
    <row r="70" spans="1:31" s="1359" customFormat="1" ht="20.25" customHeight="1" x14ac:dyDescent="0.25">
      <c r="A70" s="1279">
        <v>63</v>
      </c>
      <c r="B70" s="1902" t="s">
        <v>9000</v>
      </c>
      <c r="C70" s="1509" t="s">
        <v>8996</v>
      </c>
      <c r="D70" s="1653">
        <v>300</v>
      </c>
      <c r="E70" s="1378">
        <v>36000</v>
      </c>
      <c r="F70" s="1381">
        <v>225</v>
      </c>
      <c r="G70" s="1378">
        <v>27000</v>
      </c>
      <c r="H70" s="1381">
        <v>300</v>
      </c>
      <c r="I70" s="1345">
        <v>36000</v>
      </c>
      <c r="J70" s="1899">
        <v>300</v>
      </c>
      <c r="K70" s="1900">
        <v>50</v>
      </c>
      <c r="L70" s="1344">
        <f t="shared" si="1"/>
        <v>6000</v>
      </c>
      <c r="M70" s="1204">
        <v>250</v>
      </c>
      <c r="N70" s="1901">
        <v>120</v>
      </c>
      <c r="O70" s="1346">
        <f t="shared" si="31"/>
        <v>30000</v>
      </c>
      <c r="P70" s="1344">
        <v>250</v>
      </c>
      <c r="Q70" s="1482">
        <f t="shared" si="32"/>
        <v>30000</v>
      </c>
      <c r="R70" s="1344">
        <v>0</v>
      </c>
      <c r="S70" s="1483">
        <f t="shared" si="33"/>
        <v>0</v>
      </c>
      <c r="T70" s="1344">
        <v>0</v>
      </c>
      <c r="U70" s="1483">
        <f t="shared" si="34"/>
        <v>0</v>
      </c>
      <c r="V70" s="1344">
        <v>0</v>
      </c>
      <c r="W70" s="1483">
        <f t="shared" si="35"/>
        <v>0</v>
      </c>
      <c r="X70" s="1345">
        <f t="shared" si="8"/>
        <v>250</v>
      </c>
      <c r="Y70" s="1345">
        <f t="shared" si="36"/>
        <v>30000</v>
      </c>
      <c r="Z70" s="1357" t="s">
        <v>7799</v>
      </c>
      <c r="AA70" s="1358" t="s">
        <v>8994</v>
      </c>
      <c r="AB70" s="1359" t="str">
        <f t="shared" si="0"/>
        <v>yes</v>
      </c>
      <c r="AC70" s="1359" t="str">
        <f t="shared" si="10"/>
        <v>ok</v>
      </c>
      <c r="AE70" s="1246"/>
    </row>
    <row r="71" spans="1:31" s="1359" customFormat="1" ht="20.25" customHeight="1" x14ac:dyDescent="0.25">
      <c r="A71" s="1279">
        <v>64</v>
      </c>
      <c r="B71" s="1902" t="s">
        <v>9001</v>
      </c>
      <c r="C71" s="1509" t="s">
        <v>8996</v>
      </c>
      <c r="D71" s="1653">
        <v>200</v>
      </c>
      <c r="E71" s="1378">
        <v>24000</v>
      </c>
      <c r="F71" s="1345">
        <v>119</v>
      </c>
      <c r="G71" s="1378">
        <v>14280</v>
      </c>
      <c r="H71" s="1345">
        <v>130</v>
      </c>
      <c r="I71" s="1345">
        <v>15600</v>
      </c>
      <c r="J71" s="1652">
        <v>150</v>
      </c>
      <c r="K71" s="1653">
        <v>30</v>
      </c>
      <c r="L71" s="1344">
        <f t="shared" si="1"/>
        <v>3600</v>
      </c>
      <c r="M71" s="1204">
        <v>120</v>
      </c>
      <c r="N71" s="1205">
        <v>120</v>
      </c>
      <c r="O71" s="1346">
        <f t="shared" si="31"/>
        <v>14400</v>
      </c>
      <c r="P71" s="1344">
        <v>120</v>
      </c>
      <c r="Q71" s="1482">
        <f t="shared" si="32"/>
        <v>14400</v>
      </c>
      <c r="R71" s="1344">
        <v>0</v>
      </c>
      <c r="S71" s="1483">
        <f t="shared" si="33"/>
        <v>0</v>
      </c>
      <c r="T71" s="1345">
        <v>0</v>
      </c>
      <c r="U71" s="1483">
        <f t="shared" si="34"/>
        <v>0</v>
      </c>
      <c r="V71" s="1345">
        <v>0</v>
      </c>
      <c r="W71" s="1483">
        <f t="shared" si="35"/>
        <v>0</v>
      </c>
      <c r="X71" s="1345">
        <f t="shared" si="8"/>
        <v>120</v>
      </c>
      <c r="Y71" s="1345">
        <f t="shared" si="36"/>
        <v>14400</v>
      </c>
      <c r="Z71" s="1357" t="s">
        <v>7799</v>
      </c>
      <c r="AA71" s="1358" t="s">
        <v>8994</v>
      </c>
      <c r="AB71" s="1359" t="str">
        <f t="shared" si="0"/>
        <v>yes</v>
      </c>
      <c r="AC71" s="1359" t="str">
        <f t="shared" si="10"/>
        <v>ok</v>
      </c>
    </row>
    <row r="72" spans="1:31" s="1359" customFormat="1" ht="20.25" customHeight="1" x14ac:dyDescent="0.25">
      <c r="A72" s="1279">
        <v>65</v>
      </c>
      <c r="B72" s="1902" t="s">
        <v>9002</v>
      </c>
      <c r="C72" s="1509" t="s">
        <v>8996</v>
      </c>
      <c r="D72" s="1653">
        <v>25</v>
      </c>
      <c r="E72" s="1378">
        <v>3000</v>
      </c>
      <c r="F72" s="1345">
        <v>12</v>
      </c>
      <c r="G72" s="1378">
        <v>1440</v>
      </c>
      <c r="H72" s="1345">
        <v>15</v>
      </c>
      <c r="I72" s="1345">
        <v>1800</v>
      </c>
      <c r="J72" s="1652">
        <v>50</v>
      </c>
      <c r="K72" s="1653">
        <v>10</v>
      </c>
      <c r="L72" s="1344">
        <f t="shared" si="1"/>
        <v>1200</v>
      </c>
      <c r="M72" s="1204">
        <v>40</v>
      </c>
      <c r="N72" s="1205">
        <v>120</v>
      </c>
      <c r="O72" s="1346">
        <f t="shared" si="31"/>
        <v>4800</v>
      </c>
      <c r="P72" s="1345">
        <v>40</v>
      </c>
      <c r="Q72" s="1482">
        <f t="shared" si="32"/>
        <v>4800</v>
      </c>
      <c r="R72" s="1344">
        <v>0</v>
      </c>
      <c r="S72" s="1483">
        <f t="shared" si="33"/>
        <v>0</v>
      </c>
      <c r="T72" s="1345">
        <v>0</v>
      </c>
      <c r="U72" s="1483">
        <f t="shared" si="34"/>
        <v>0</v>
      </c>
      <c r="V72" s="1344">
        <v>0</v>
      </c>
      <c r="W72" s="1483">
        <f t="shared" si="35"/>
        <v>0</v>
      </c>
      <c r="X72" s="1345">
        <f t="shared" si="8"/>
        <v>40</v>
      </c>
      <c r="Y72" s="1345">
        <f t="shared" si="36"/>
        <v>4800</v>
      </c>
      <c r="Z72" s="1357" t="s">
        <v>7799</v>
      </c>
      <c r="AA72" s="1358" t="s">
        <v>8994</v>
      </c>
      <c r="AB72" s="1359" t="str">
        <f t="shared" si="0"/>
        <v>yes</v>
      </c>
      <c r="AC72" s="1359" t="str">
        <f t="shared" si="10"/>
        <v>ok</v>
      </c>
      <c r="AE72" s="1382"/>
    </row>
    <row r="73" spans="1:31" s="1359" customFormat="1" ht="20.25" customHeight="1" x14ac:dyDescent="0.25">
      <c r="A73" s="1279">
        <v>66</v>
      </c>
      <c r="B73" s="1902" t="s">
        <v>9003</v>
      </c>
      <c r="C73" s="1509" t="s">
        <v>8044</v>
      </c>
      <c r="D73" s="1653">
        <v>50</v>
      </c>
      <c r="E73" s="1378">
        <v>55.000000000000007</v>
      </c>
      <c r="F73" s="1345">
        <v>30</v>
      </c>
      <c r="G73" s="1378">
        <v>33</v>
      </c>
      <c r="H73" s="1345">
        <v>40</v>
      </c>
      <c r="I73" s="1345">
        <v>44</v>
      </c>
      <c r="J73" s="1652">
        <v>200</v>
      </c>
      <c r="K73" s="1653">
        <v>0</v>
      </c>
      <c r="L73" s="1344">
        <f t="shared" ref="L73:L86" si="41">K73*N73</f>
        <v>0</v>
      </c>
      <c r="M73" s="1204">
        <v>200</v>
      </c>
      <c r="N73" s="1205">
        <v>1.1000000000000001</v>
      </c>
      <c r="O73" s="1346">
        <f t="shared" si="31"/>
        <v>220.00000000000003</v>
      </c>
      <c r="P73" s="1344">
        <v>200</v>
      </c>
      <c r="Q73" s="1482">
        <f t="shared" si="32"/>
        <v>220.00000000000003</v>
      </c>
      <c r="R73" s="1344">
        <v>0</v>
      </c>
      <c r="S73" s="1483">
        <f t="shared" si="33"/>
        <v>0</v>
      </c>
      <c r="T73" s="1345">
        <v>0</v>
      </c>
      <c r="U73" s="1483">
        <f t="shared" si="34"/>
        <v>0</v>
      </c>
      <c r="V73" s="1345">
        <v>0</v>
      </c>
      <c r="W73" s="1483">
        <f t="shared" si="35"/>
        <v>0</v>
      </c>
      <c r="X73" s="1345">
        <f t="shared" si="8"/>
        <v>200</v>
      </c>
      <c r="Y73" s="1345">
        <f t="shared" si="36"/>
        <v>220.00000000000003</v>
      </c>
      <c r="Z73" s="1357" t="s">
        <v>7799</v>
      </c>
      <c r="AA73" s="1358" t="s">
        <v>8994</v>
      </c>
      <c r="AB73" s="1359" t="str">
        <f t="shared" si="0"/>
        <v>yes</v>
      </c>
      <c r="AC73" s="1359" t="str">
        <f t="shared" si="10"/>
        <v>ok</v>
      </c>
    </row>
    <row r="74" spans="1:31" s="1359" customFormat="1" ht="20.25" customHeight="1" x14ac:dyDescent="0.25">
      <c r="A74" s="1279">
        <v>67</v>
      </c>
      <c r="B74" s="1902" t="s">
        <v>9004</v>
      </c>
      <c r="C74" s="1509" t="s">
        <v>8208</v>
      </c>
      <c r="D74" s="1900">
        <v>3000</v>
      </c>
      <c r="E74" s="1378">
        <v>960</v>
      </c>
      <c r="F74" s="1345">
        <v>3500</v>
      </c>
      <c r="G74" s="1378">
        <v>1120</v>
      </c>
      <c r="H74" s="1345">
        <v>4000</v>
      </c>
      <c r="I74" s="1345">
        <v>1280</v>
      </c>
      <c r="J74" s="1652">
        <v>5000</v>
      </c>
      <c r="K74" s="1653">
        <v>1000</v>
      </c>
      <c r="L74" s="1344">
        <f t="shared" si="41"/>
        <v>320</v>
      </c>
      <c r="M74" s="1204">
        <v>4000</v>
      </c>
      <c r="N74" s="1205">
        <v>0.32</v>
      </c>
      <c r="O74" s="1346">
        <f t="shared" si="31"/>
        <v>1280</v>
      </c>
      <c r="P74" s="1344">
        <v>4000</v>
      </c>
      <c r="Q74" s="1482">
        <f t="shared" si="32"/>
        <v>1280</v>
      </c>
      <c r="R74" s="1344">
        <v>0</v>
      </c>
      <c r="S74" s="1483">
        <f t="shared" si="33"/>
        <v>0</v>
      </c>
      <c r="T74" s="1345">
        <v>0</v>
      </c>
      <c r="U74" s="1483">
        <f t="shared" si="34"/>
        <v>0</v>
      </c>
      <c r="V74" s="1345">
        <v>0</v>
      </c>
      <c r="W74" s="1483">
        <f t="shared" si="35"/>
        <v>0</v>
      </c>
      <c r="X74" s="1345">
        <f t="shared" si="8"/>
        <v>4000</v>
      </c>
      <c r="Y74" s="1345">
        <f t="shared" si="36"/>
        <v>1280</v>
      </c>
      <c r="Z74" s="1357" t="s">
        <v>7799</v>
      </c>
      <c r="AA74" s="1358" t="s">
        <v>8994</v>
      </c>
      <c r="AB74" s="1359" t="str">
        <f t="shared" si="0"/>
        <v>yes</v>
      </c>
      <c r="AC74" s="1359" t="str">
        <f t="shared" si="10"/>
        <v>ok</v>
      </c>
    </row>
    <row r="75" spans="1:31" s="1359" customFormat="1" ht="20.25" customHeight="1" x14ac:dyDescent="0.25">
      <c r="A75" s="1279">
        <v>68</v>
      </c>
      <c r="B75" s="1902" t="s">
        <v>9005</v>
      </c>
      <c r="C75" s="1509" t="s">
        <v>8208</v>
      </c>
      <c r="D75" s="1651">
        <v>4000</v>
      </c>
      <c r="E75" s="1378">
        <v>1280</v>
      </c>
      <c r="F75" s="1345">
        <v>31100</v>
      </c>
      <c r="G75" s="1378">
        <v>9952</v>
      </c>
      <c r="H75" s="1345">
        <v>32000</v>
      </c>
      <c r="I75" s="1345">
        <v>10240</v>
      </c>
      <c r="J75" s="1652">
        <v>37000</v>
      </c>
      <c r="K75" s="1653">
        <v>2000</v>
      </c>
      <c r="L75" s="1344">
        <f t="shared" si="41"/>
        <v>640</v>
      </c>
      <c r="M75" s="1204">
        <v>35000</v>
      </c>
      <c r="N75" s="1205">
        <v>0.32</v>
      </c>
      <c r="O75" s="1346">
        <f t="shared" si="31"/>
        <v>11200</v>
      </c>
      <c r="P75" s="1344">
        <v>35000</v>
      </c>
      <c r="Q75" s="1482">
        <f t="shared" si="32"/>
        <v>11200</v>
      </c>
      <c r="R75" s="1344">
        <v>0</v>
      </c>
      <c r="S75" s="1483">
        <f t="shared" si="33"/>
        <v>0</v>
      </c>
      <c r="T75" s="1345">
        <v>0</v>
      </c>
      <c r="U75" s="1483">
        <f t="shared" si="34"/>
        <v>0</v>
      </c>
      <c r="V75" s="1345">
        <v>0</v>
      </c>
      <c r="W75" s="1483">
        <f t="shared" si="35"/>
        <v>0</v>
      </c>
      <c r="X75" s="1345">
        <f t="shared" si="8"/>
        <v>35000</v>
      </c>
      <c r="Y75" s="1345">
        <f t="shared" si="36"/>
        <v>11200</v>
      </c>
      <c r="Z75" s="1357" t="s">
        <v>7799</v>
      </c>
      <c r="AA75" s="1358" t="s">
        <v>8994</v>
      </c>
      <c r="AB75" s="1359" t="str">
        <f t="shared" si="0"/>
        <v>yes</v>
      </c>
      <c r="AC75" s="1359" t="str">
        <f t="shared" si="10"/>
        <v>ok</v>
      </c>
    </row>
    <row r="76" spans="1:31" s="1359" customFormat="1" ht="20.25" customHeight="1" x14ac:dyDescent="0.25">
      <c r="A76" s="1279">
        <v>69</v>
      </c>
      <c r="B76" s="1902" t="s">
        <v>9006</v>
      </c>
      <c r="C76" s="1509" t="s">
        <v>8208</v>
      </c>
      <c r="D76" s="1653">
        <v>1000</v>
      </c>
      <c r="E76" s="1378">
        <v>800</v>
      </c>
      <c r="F76" s="1345">
        <v>10000</v>
      </c>
      <c r="G76" s="1378">
        <v>8000</v>
      </c>
      <c r="H76" s="1345">
        <v>10000</v>
      </c>
      <c r="I76" s="1345">
        <v>8000</v>
      </c>
      <c r="J76" s="1652">
        <v>15000</v>
      </c>
      <c r="K76" s="1653">
        <v>2000</v>
      </c>
      <c r="L76" s="1344">
        <f t="shared" si="41"/>
        <v>1600</v>
      </c>
      <c r="M76" s="1204">
        <v>13000</v>
      </c>
      <c r="N76" s="1205">
        <v>0.8</v>
      </c>
      <c r="O76" s="1346">
        <f t="shared" si="31"/>
        <v>10400</v>
      </c>
      <c r="P76" s="1344">
        <v>13000</v>
      </c>
      <c r="Q76" s="1482">
        <f t="shared" si="32"/>
        <v>10400</v>
      </c>
      <c r="R76" s="1344">
        <v>0</v>
      </c>
      <c r="S76" s="1483">
        <f t="shared" si="33"/>
        <v>0</v>
      </c>
      <c r="T76" s="1345">
        <v>0</v>
      </c>
      <c r="U76" s="1483">
        <f t="shared" si="34"/>
        <v>0</v>
      </c>
      <c r="V76" s="1345">
        <v>0</v>
      </c>
      <c r="W76" s="1483">
        <f t="shared" si="35"/>
        <v>0</v>
      </c>
      <c r="X76" s="1345">
        <f t="shared" si="8"/>
        <v>13000</v>
      </c>
      <c r="Y76" s="1345">
        <f t="shared" si="36"/>
        <v>10400</v>
      </c>
      <c r="Z76" s="1357" t="s">
        <v>7799</v>
      </c>
      <c r="AA76" s="1358" t="s">
        <v>8994</v>
      </c>
      <c r="AB76" s="1359" t="str">
        <f t="shared" si="0"/>
        <v>yes</v>
      </c>
      <c r="AC76" s="1359" t="str">
        <f t="shared" si="10"/>
        <v>ok</v>
      </c>
    </row>
    <row r="77" spans="1:31" s="1359" customFormat="1" ht="20.25" customHeight="1" x14ac:dyDescent="0.25">
      <c r="A77" s="1279">
        <v>70</v>
      </c>
      <c r="B77" s="1211" t="s">
        <v>9007</v>
      </c>
      <c r="C77" s="1383" t="s">
        <v>7823</v>
      </c>
      <c r="D77" s="1344">
        <v>50</v>
      </c>
      <c r="E77" s="1378">
        <v>6000</v>
      </c>
      <c r="F77" s="1345">
        <v>40</v>
      </c>
      <c r="G77" s="1378">
        <v>8000</v>
      </c>
      <c r="H77" s="1345">
        <v>45</v>
      </c>
      <c r="I77" s="1345">
        <v>9000</v>
      </c>
      <c r="J77" s="1652">
        <v>70</v>
      </c>
      <c r="K77" s="1653">
        <v>20</v>
      </c>
      <c r="L77" s="1344">
        <f t="shared" si="41"/>
        <v>4000</v>
      </c>
      <c r="M77" s="1204">
        <v>50</v>
      </c>
      <c r="N77" s="1205">
        <v>200</v>
      </c>
      <c r="O77" s="1346">
        <f t="shared" si="31"/>
        <v>10000</v>
      </c>
      <c r="P77" s="1345">
        <v>0</v>
      </c>
      <c r="Q77" s="1482">
        <f t="shared" si="32"/>
        <v>0</v>
      </c>
      <c r="R77" s="1344">
        <v>0</v>
      </c>
      <c r="S77" s="1483">
        <f t="shared" si="33"/>
        <v>0</v>
      </c>
      <c r="T77" s="1345">
        <v>50</v>
      </c>
      <c r="U77" s="1483">
        <f t="shared" si="34"/>
        <v>10000</v>
      </c>
      <c r="V77" s="1344">
        <v>0</v>
      </c>
      <c r="W77" s="1483">
        <f t="shared" si="35"/>
        <v>0</v>
      </c>
      <c r="X77" s="1345">
        <f t="shared" si="8"/>
        <v>50</v>
      </c>
      <c r="Y77" s="1345">
        <f t="shared" si="36"/>
        <v>10000</v>
      </c>
      <c r="Z77" s="1357" t="s">
        <v>7799</v>
      </c>
      <c r="AA77" s="1358" t="s">
        <v>8992</v>
      </c>
      <c r="AB77" s="1359" t="str">
        <f t="shared" si="0"/>
        <v>yes</v>
      </c>
      <c r="AC77" s="1359" t="str">
        <f t="shared" si="10"/>
        <v>ok</v>
      </c>
      <c r="AE77" s="1382"/>
    </row>
    <row r="78" spans="1:31" s="1359" customFormat="1" ht="43.5" customHeight="1" x14ac:dyDescent="0.25">
      <c r="A78" s="1279">
        <v>71</v>
      </c>
      <c r="B78" s="1211" t="s">
        <v>9008</v>
      </c>
      <c r="C78" s="1383" t="s">
        <v>7839</v>
      </c>
      <c r="D78" s="1344">
        <v>0</v>
      </c>
      <c r="E78" s="1378">
        <f t="shared" ref="E78:E81" si="42">D78*N78</f>
        <v>0</v>
      </c>
      <c r="F78" s="1343">
        <v>0</v>
      </c>
      <c r="G78" s="1378">
        <f t="shared" ref="G78:G81" si="43">F78*N78</f>
        <v>0</v>
      </c>
      <c r="H78" s="1343">
        <v>0</v>
      </c>
      <c r="I78" s="1345">
        <f t="shared" ref="I78:I86" si="44">H78*N78</f>
        <v>0</v>
      </c>
      <c r="J78" s="1480">
        <v>12</v>
      </c>
      <c r="K78" s="1651">
        <v>0</v>
      </c>
      <c r="L78" s="1344">
        <f t="shared" si="41"/>
        <v>0</v>
      </c>
      <c r="M78" s="1204"/>
      <c r="N78" s="1875">
        <v>350</v>
      </c>
      <c r="O78" s="1346">
        <f>J78*N78</f>
        <v>4200</v>
      </c>
      <c r="P78" s="1482">
        <v>12</v>
      </c>
      <c r="Q78" s="1482">
        <f>P78*N78</f>
        <v>4200</v>
      </c>
      <c r="R78" s="1482"/>
      <c r="S78" s="1483">
        <f>R78*N78</f>
        <v>0</v>
      </c>
      <c r="T78" s="1482"/>
      <c r="U78" s="1483">
        <f>T78*N78</f>
        <v>0</v>
      </c>
      <c r="V78" s="1482"/>
      <c r="W78" s="1483">
        <f>V78*N78</f>
        <v>0</v>
      </c>
      <c r="X78" s="1345">
        <f t="shared" ref="X78:X86" si="45">P78+R78+T78+V78</f>
        <v>12</v>
      </c>
      <c r="Y78" s="1345">
        <f>X78*N78</f>
        <v>4200</v>
      </c>
      <c r="Z78" s="1357" t="s">
        <v>7799</v>
      </c>
      <c r="AA78" s="1358" t="s">
        <v>8606</v>
      </c>
      <c r="AB78" s="1359" t="str">
        <f t="shared" si="0"/>
        <v>yes</v>
      </c>
      <c r="AC78" s="1359" t="str">
        <f t="shared" si="10"/>
        <v>ok</v>
      </c>
    </row>
    <row r="79" spans="1:31" s="1359" customFormat="1" ht="42" customHeight="1" x14ac:dyDescent="0.25">
      <c r="A79" s="1279">
        <v>72</v>
      </c>
      <c r="B79" s="1211" t="s">
        <v>9009</v>
      </c>
      <c r="C79" s="1383" t="s">
        <v>7839</v>
      </c>
      <c r="D79" s="1344">
        <v>0</v>
      </c>
      <c r="E79" s="1378">
        <f t="shared" si="42"/>
        <v>0</v>
      </c>
      <c r="F79" s="1345">
        <v>0</v>
      </c>
      <c r="G79" s="1378">
        <f t="shared" si="43"/>
        <v>0</v>
      </c>
      <c r="H79" s="1345">
        <v>0</v>
      </c>
      <c r="I79" s="1345">
        <f t="shared" si="44"/>
        <v>0</v>
      </c>
      <c r="J79" s="1652">
        <v>24</v>
      </c>
      <c r="K79" s="1653">
        <v>0</v>
      </c>
      <c r="L79" s="1344">
        <f t="shared" si="41"/>
        <v>0</v>
      </c>
      <c r="M79" s="1204"/>
      <c r="N79" s="1205">
        <v>70</v>
      </c>
      <c r="O79" s="1346">
        <f t="shared" ref="O79:O81" si="46">J79*N79</f>
        <v>1680</v>
      </c>
      <c r="P79" s="1344">
        <v>24</v>
      </c>
      <c r="Q79" s="1482">
        <f t="shared" ref="Q79:Q86" si="47">P79*N79</f>
        <v>1680</v>
      </c>
      <c r="R79" s="1344"/>
      <c r="S79" s="1483">
        <f t="shared" ref="S79:S85" si="48">R79*N79</f>
        <v>0</v>
      </c>
      <c r="T79" s="1345"/>
      <c r="U79" s="1483">
        <f t="shared" ref="U79:U85" si="49">T79*N79</f>
        <v>0</v>
      </c>
      <c r="V79" s="1345"/>
      <c r="W79" s="1483">
        <f t="shared" ref="W79:W85" si="50">V79*N79</f>
        <v>0</v>
      </c>
      <c r="X79" s="1345">
        <f t="shared" si="45"/>
        <v>24</v>
      </c>
      <c r="Y79" s="1345">
        <f t="shared" ref="Y79:Y86" si="51">X79*N79</f>
        <v>1680</v>
      </c>
      <c r="Z79" s="1357" t="s">
        <v>7799</v>
      </c>
      <c r="AA79" s="1358" t="s">
        <v>8606</v>
      </c>
      <c r="AB79" s="1359" t="str">
        <f t="shared" si="0"/>
        <v>yes</v>
      </c>
      <c r="AC79" s="1359" t="str">
        <f t="shared" ref="AC79:AC87" si="52">IF(O79=Y79,"ok")</f>
        <v>ok</v>
      </c>
    </row>
    <row r="80" spans="1:31" s="1359" customFormat="1" ht="26.25" customHeight="1" x14ac:dyDescent="0.25">
      <c r="A80" s="1279">
        <v>73</v>
      </c>
      <c r="B80" s="1211" t="s">
        <v>9010</v>
      </c>
      <c r="C80" s="1383" t="s">
        <v>7839</v>
      </c>
      <c r="D80" s="1344">
        <v>0</v>
      </c>
      <c r="E80" s="1378">
        <f t="shared" si="42"/>
        <v>0</v>
      </c>
      <c r="F80" s="1345">
        <v>0</v>
      </c>
      <c r="G80" s="1378">
        <f t="shared" si="43"/>
        <v>0</v>
      </c>
      <c r="H80" s="1345">
        <v>0</v>
      </c>
      <c r="I80" s="1345">
        <f t="shared" si="44"/>
        <v>0</v>
      </c>
      <c r="J80" s="1652">
        <v>10</v>
      </c>
      <c r="K80" s="1653">
        <v>0</v>
      </c>
      <c r="L80" s="1344">
        <f t="shared" si="41"/>
        <v>0</v>
      </c>
      <c r="M80" s="1204"/>
      <c r="N80" s="1205">
        <v>100</v>
      </c>
      <c r="O80" s="1346">
        <f t="shared" si="46"/>
        <v>1000</v>
      </c>
      <c r="P80" s="1344">
        <v>10</v>
      </c>
      <c r="Q80" s="1482">
        <f t="shared" si="47"/>
        <v>1000</v>
      </c>
      <c r="R80" s="1345"/>
      <c r="S80" s="1483">
        <f t="shared" si="48"/>
        <v>0</v>
      </c>
      <c r="T80" s="1344"/>
      <c r="U80" s="1483">
        <f t="shared" si="49"/>
        <v>0</v>
      </c>
      <c r="V80" s="1345"/>
      <c r="W80" s="1483">
        <f t="shared" si="50"/>
        <v>0</v>
      </c>
      <c r="X80" s="1345">
        <f t="shared" si="45"/>
        <v>10</v>
      </c>
      <c r="Y80" s="1345">
        <f t="shared" si="51"/>
        <v>1000</v>
      </c>
      <c r="Z80" s="1357" t="s">
        <v>7799</v>
      </c>
      <c r="AA80" s="1358" t="s">
        <v>8606</v>
      </c>
      <c r="AB80" s="1359" t="str">
        <f t="shared" si="0"/>
        <v>yes</v>
      </c>
      <c r="AC80" s="1359" t="str">
        <f t="shared" si="52"/>
        <v>ok</v>
      </c>
    </row>
    <row r="81" spans="1:29" s="1359" customFormat="1" ht="27.75" customHeight="1" x14ac:dyDescent="0.25">
      <c r="A81" s="1279">
        <v>74</v>
      </c>
      <c r="B81" s="1211" t="s">
        <v>9011</v>
      </c>
      <c r="C81" s="1383" t="s">
        <v>7839</v>
      </c>
      <c r="D81" s="1344">
        <v>0</v>
      </c>
      <c r="E81" s="1378">
        <f t="shared" si="42"/>
        <v>0</v>
      </c>
      <c r="F81" s="1345">
        <v>0</v>
      </c>
      <c r="G81" s="1378">
        <f t="shared" si="43"/>
        <v>0</v>
      </c>
      <c r="H81" s="1345">
        <v>0</v>
      </c>
      <c r="I81" s="1345">
        <f t="shared" si="44"/>
        <v>0</v>
      </c>
      <c r="J81" s="1652">
        <v>36</v>
      </c>
      <c r="K81" s="1653">
        <v>0</v>
      </c>
      <c r="L81" s="1344">
        <f t="shared" si="41"/>
        <v>0</v>
      </c>
      <c r="M81" s="1204"/>
      <c r="N81" s="1205">
        <v>50</v>
      </c>
      <c r="O81" s="1346">
        <f t="shared" si="46"/>
        <v>1800</v>
      </c>
      <c r="P81" s="1345">
        <v>36</v>
      </c>
      <c r="Q81" s="1482">
        <f t="shared" si="47"/>
        <v>1800</v>
      </c>
      <c r="R81" s="1344"/>
      <c r="S81" s="1483">
        <f t="shared" si="48"/>
        <v>0</v>
      </c>
      <c r="T81" s="1345"/>
      <c r="U81" s="1483">
        <f t="shared" si="49"/>
        <v>0</v>
      </c>
      <c r="V81" s="1344"/>
      <c r="W81" s="1483">
        <f t="shared" si="50"/>
        <v>0</v>
      </c>
      <c r="X81" s="1345">
        <f t="shared" si="45"/>
        <v>36</v>
      </c>
      <c r="Y81" s="1345">
        <f t="shared" si="51"/>
        <v>1800</v>
      </c>
      <c r="Z81" s="1357" t="s">
        <v>7799</v>
      </c>
      <c r="AA81" s="1358" t="s">
        <v>8606</v>
      </c>
      <c r="AB81" s="1359" t="str">
        <f t="shared" si="0"/>
        <v>yes</v>
      </c>
      <c r="AC81" s="1359" t="str">
        <f t="shared" si="52"/>
        <v>ok</v>
      </c>
    </row>
    <row r="82" spans="1:29" ht="38.25" customHeight="1" x14ac:dyDescent="0.6">
      <c r="A82" s="1279">
        <v>75</v>
      </c>
      <c r="B82" s="1211" t="s">
        <v>9012</v>
      </c>
      <c r="C82" s="1383" t="s">
        <v>7839</v>
      </c>
      <c r="D82" s="1344">
        <v>0</v>
      </c>
      <c r="E82" s="1378">
        <v>0</v>
      </c>
      <c r="F82" s="1345">
        <v>15</v>
      </c>
      <c r="G82" s="1378">
        <v>30</v>
      </c>
      <c r="H82" s="1345">
        <v>50</v>
      </c>
      <c r="I82" s="1345">
        <f t="shared" si="44"/>
        <v>14500</v>
      </c>
      <c r="J82" s="1652">
        <v>30</v>
      </c>
      <c r="K82" s="1651">
        <v>0</v>
      </c>
      <c r="L82" s="1344">
        <f t="shared" si="41"/>
        <v>0</v>
      </c>
      <c r="M82" s="1204">
        <f t="shared" ref="M82:M86" si="53">J82-K82</f>
        <v>30</v>
      </c>
      <c r="N82" s="1205">
        <v>290</v>
      </c>
      <c r="O82" s="1346">
        <f t="shared" ref="O82:O86" si="54">M82*N82</f>
        <v>8700</v>
      </c>
      <c r="P82" s="1344">
        <v>0</v>
      </c>
      <c r="Q82" s="1482">
        <f t="shared" si="47"/>
        <v>0</v>
      </c>
      <c r="R82" s="1345">
        <v>0</v>
      </c>
      <c r="S82" s="1483">
        <f t="shared" si="48"/>
        <v>0</v>
      </c>
      <c r="T82" s="1344">
        <v>30</v>
      </c>
      <c r="U82" s="1483">
        <f t="shared" si="49"/>
        <v>8700</v>
      </c>
      <c r="V82" s="1345">
        <v>0</v>
      </c>
      <c r="W82" s="1483">
        <f t="shared" si="50"/>
        <v>0</v>
      </c>
      <c r="X82" s="1345">
        <f t="shared" si="45"/>
        <v>30</v>
      </c>
      <c r="Y82" s="1345">
        <f t="shared" si="51"/>
        <v>8700</v>
      </c>
      <c r="Z82" s="1357" t="s">
        <v>7799</v>
      </c>
      <c r="AA82" s="1358" t="s">
        <v>6525</v>
      </c>
      <c r="AC82" s="1359" t="str">
        <f t="shared" si="52"/>
        <v>ok</v>
      </c>
    </row>
    <row r="83" spans="1:29" ht="23.25" customHeight="1" x14ac:dyDescent="0.6">
      <c r="A83" s="1279">
        <v>76</v>
      </c>
      <c r="B83" s="1211" t="s">
        <v>9013</v>
      </c>
      <c r="C83" s="1383" t="s">
        <v>7839</v>
      </c>
      <c r="D83" s="1344">
        <v>0</v>
      </c>
      <c r="E83" s="1378">
        <f t="shared" ref="E83:E86" si="55">D83*N83</f>
        <v>0</v>
      </c>
      <c r="F83" s="1345">
        <v>30</v>
      </c>
      <c r="G83" s="1378">
        <v>50</v>
      </c>
      <c r="H83" s="1345">
        <v>50</v>
      </c>
      <c r="I83" s="1345">
        <f t="shared" si="44"/>
        <v>14500</v>
      </c>
      <c r="J83" s="1652">
        <v>50</v>
      </c>
      <c r="K83" s="1651">
        <v>0</v>
      </c>
      <c r="L83" s="1344">
        <f t="shared" si="41"/>
        <v>0</v>
      </c>
      <c r="M83" s="1204">
        <f t="shared" si="53"/>
        <v>50</v>
      </c>
      <c r="N83" s="1205">
        <v>290</v>
      </c>
      <c r="O83" s="1346">
        <f t="shared" si="54"/>
        <v>14500</v>
      </c>
      <c r="P83" s="1345">
        <v>0</v>
      </c>
      <c r="Q83" s="1482">
        <f t="shared" si="47"/>
        <v>0</v>
      </c>
      <c r="R83" s="1344">
        <v>0</v>
      </c>
      <c r="S83" s="1483">
        <f t="shared" si="48"/>
        <v>0</v>
      </c>
      <c r="T83" s="1345">
        <v>50</v>
      </c>
      <c r="U83" s="1483">
        <f t="shared" si="49"/>
        <v>14500</v>
      </c>
      <c r="V83" s="1344">
        <v>0</v>
      </c>
      <c r="W83" s="1483">
        <f t="shared" si="50"/>
        <v>0</v>
      </c>
      <c r="X83" s="1345">
        <f t="shared" si="45"/>
        <v>50</v>
      </c>
      <c r="Y83" s="1345">
        <f t="shared" si="51"/>
        <v>14500</v>
      </c>
      <c r="Z83" s="1357" t="s">
        <v>7799</v>
      </c>
      <c r="AA83" s="1358" t="s">
        <v>6525</v>
      </c>
      <c r="AC83" s="1359" t="str">
        <f t="shared" si="52"/>
        <v>ok</v>
      </c>
    </row>
    <row r="84" spans="1:29" ht="20.25" customHeight="1" x14ac:dyDescent="0.6">
      <c r="A84" s="1279">
        <v>77</v>
      </c>
      <c r="B84" s="1211" t="s">
        <v>9014</v>
      </c>
      <c r="C84" s="1383" t="s">
        <v>7839</v>
      </c>
      <c r="D84" s="1344">
        <v>0</v>
      </c>
      <c r="E84" s="1378">
        <f t="shared" si="55"/>
        <v>0</v>
      </c>
      <c r="F84" s="1345">
        <v>30</v>
      </c>
      <c r="G84" s="1378">
        <v>50</v>
      </c>
      <c r="H84" s="1345">
        <v>50</v>
      </c>
      <c r="I84" s="1345">
        <f t="shared" si="44"/>
        <v>4500</v>
      </c>
      <c r="J84" s="1652">
        <v>30</v>
      </c>
      <c r="K84" s="1651">
        <v>0</v>
      </c>
      <c r="L84" s="1344">
        <f t="shared" si="41"/>
        <v>0</v>
      </c>
      <c r="M84" s="1204">
        <f t="shared" si="53"/>
        <v>30</v>
      </c>
      <c r="N84" s="1205">
        <v>90</v>
      </c>
      <c r="O84" s="1346">
        <f t="shared" si="54"/>
        <v>2700</v>
      </c>
      <c r="P84" s="1344">
        <v>0</v>
      </c>
      <c r="Q84" s="1482">
        <f t="shared" si="47"/>
        <v>0</v>
      </c>
      <c r="R84" s="1344">
        <v>0</v>
      </c>
      <c r="S84" s="1483">
        <f t="shared" si="48"/>
        <v>0</v>
      </c>
      <c r="T84" s="1345">
        <v>30</v>
      </c>
      <c r="U84" s="1483">
        <f t="shared" si="49"/>
        <v>2700</v>
      </c>
      <c r="V84" s="1345">
        <v>0</v>
      </c>
      <c r="W84" s="1483">
        <f t="shared" si="50"/>
        <v>0</v>
      </c>
      <c r="X84" s="1345">
        <f t="shared" si="45"/>
        <v>30</v>
      </c>
      <c r="Y84" s="1345">
        <f t="shared" si="51"/>
        <v>2700</v>
      </c>
      <c r="Z84" s="1357" t="s">
        <v>7799</v>
      </c>
      <c r="AA84" s="1358" t="s">
        <v>6525</v>
      </c>
      <c r="AC84" s="1359" t="str">
        <f t="shared" si="52"/>
        <v>ok</v>
      </c>
    </row>
    <row r="85" spans="1:29" ht="20.25" customHeight="1" x14ac:dyDescent="0.6">
      <c r="A85" s="1279">
        <v>78</v>
      </c>
      <c r="B85" s="1211" t="s">
        <v>9015</v>
      </c>
      <c r="C85" s="1383" t="s">
        <v>7839</v>
      </c>
      <c r="D85" s="1344">
        <v>0</v>
      </c>
      <c r="E85" s="1378">
        <f t="shared" si="55"/>
        <v>0</v>
      </c>
      <c r="F85" s="1345">
        <v>30</v>
      </c>
      <c r="G85" s="1378">
        <v>50</v>
      </c>
      <c r="H85" s="1345">
        <v>50</v>
      </c>
      <c r="I85" s="1345">
        <f t="shared" si="44"/>
        <v>4500</v>
      </c>
      <c r="J85" s="1652">
        <v>30</v>
      </c>
      <c r="K85" s="1651">
        <v>0</v>
      </c>
      <c r="L85" s="1344">
        <f t="shared" si="41"/>
        <v>0</v>
      </c>
      <c r="M85" s="1204">
        <f t="shared" si="53"/>
        <v>30</v>
      </c>
      <c r="N85" s="1205">
        <v>90</v>
      </c>
      <c r="O85" s="1346">
        <f t="shared" si="54"/>
        <v>2700</v>
      </c>
      <c r="P85" s="1344">
        <v>0</v>
      </c>
      <c r="Q85" s="1482">
        <f t="shared" si="47"/>
        <v>0</v>
      </c>
      <c r="R85" s="1344">
        <v>0</v>
      </c>
      <c r="S85" s="1483">
        <f t="shared" si="48"/>
        <v>0</v>
      </c>
      <c r="T85" s="1345">
        <v>30</v>
      </c>
      <c r="U85" s="1483">
        <f t="shared" si="49"/>
        <v>2700</v>
      </c>
      <c r="V85" s="1345">
        <v>0</v>
      </c>
      <c r="W85" s="1483">
        <f t="shared" si="50"/>
        <v>0</v>
      </c>
      <c r="X85" s="1345">
        <f t="shared" si="45"/>
        <v>30</v>
      </c>
      <c r="Y85" s="1345">
        <f t="shared" si="51"/>
        <v>2700</v>
      </c>
      <c r="Z85" s="1357" t="s">
        <v>7799</v>
      </c>
      <c r="AA85" s="1358" t="s">
        <v>6525</v>
      </c>
      <c r="AC85" s="1359" t="str">
        <f t="shared" si="52"/>
        <v>ok</v>
      </c>
    </row>
    <row r="86" spans="1:29" s="1388" customFormat="1" ht="44.25" customHeight="1" x14ac:dyDescent="0.25">
      <c r="A86" s="1279">
        <v>79</v>
      </c>
      <c r="B86" s="1211" t="s">
        <v>9016</v>
      </c>
      <c r="C86" s="1383" t="s">
        <v>7839</v>
      </c>
      <c r="D86" s="1903"/>
      <c r="E86" s="1873">
        <f t="shared" si="55"/>
        <v>0</v>
      </c>
      <c r="F86" s="1343"/>
      <c r="G86" s="1873">
        <f t="shared" ref="G86" si="56">F86*N86</f>
        <v>0</v>
      </c>
      <c r="H86" s="1343"/>
      <c r="I86" s="1874">
        <f t="shared" si="44"/>
        <v>0</v>
      </c>
      <c r="J86" s="1480">
        <v>50</v>
      </c>
      <c r="K86" s="1651">
        <v>0</v>
      </c>
      <c r="L86" s="1344">
        <f t="shared" si="41"/>
        <v>0</v>
      </c>
      <c r="M86" s="1204">
        <f t="shared" si="53"/>
        <v>50</v>
      </c>
      <c r="N86" s="1875">
        <v>250</v>
      </c>
      <c r="O86" s="1346">
        <f t="shared" si="54"/>
        <v>12500</v>
      </c>
      <c r="P86" s="1482">
        <v>50</v>
      </c>
      <c r="Q86" s="1482">
        <f t="shared" si="47"/>
        <v>12500</v>
      </c>
      <c r="R86" s="1482"/>
      <c r="S86" s="1483">
        <f>R86*N86</f>
        <v>0</v>
      </c>
      <c r="T86" s="1482"/>
      <c r="U86" s="1483">
        <f>T86*N86</f>
        <v>0</v>
      </c>
      <c r="V86" s="1482"/>
      <c r="W86" s="1483">
        <f>V86*N86</f>
        <v>0</v>
      </c>
      <c r="X86" s="1345">
        <f t="shared" si="45"/>
        <v>50</v>
      </c>
      <c r="Y86" s="1345">
        <f t="shared" si="51"/>
        <v>12500</v>
      </c>
      <c r="Z86" s="1357" t="s">
        <v>7799</v>
      </c>
      <c r="AA86" s="1358" t="s">
        <v>8273</v>
      </c>
      <c r="AB86" s="1359" t="str">
        <f t="shared" ref="AB86:AB87" si="57">IF(O86=Y86,"yes")</f>
        <v>yes</v>
      </c>
      <c r="AC86" s="1359" t="str">
        <f t="shared" si="52"/>
        <v>ok</v>
      </c>
    </row>
    <row r="87" spans="1:29" s="1393" customFormat="1" ht="20.25" customHeight="1" x14ac:dyDescent="0.6">
      <c r="A87" s="1389" t="s">
        <v>7433</v>
      </c>
      <c r="B87" s="1389"/>
      <c r="C87" s="1389"/>
      <c r="D87" s="1390">
        <f>SUM(D8:D86)</f>
        <v>14767</v>
      </c>
      <c r="E87" s="1390">
        <f t="shared" ref="E87:Y87" si="58">SUM(E8:E86)</f>
        <v>555440.10000000009</v>
      </c>
      <c r="F87" s="1390">
        <f t="shared" si="58"/>
        <v>53733</v>
      </c>
      <c r="G87" s="1390">
        <f t="shared" si="58"/>
        <v>976369.60000000009</v>
      </c>
      <c r="H87" s="1390">
        <f t="shared" si="58"/>
        <v>56473</v>
      </c>
      <c r="I87" s="1390">
        <f t="shared" si="58"/>
        <v>913333</v>
      </c>
      <c r="J87" s="1390">
        <f t="shared" si="58"/>
        <v>67950</v>
      </c>
      <c r="K87" s="1390">
        <f t="shared" si="58"/>
        <v>8239</v>
      </c>
      <c r="L87" s="1390">
        <f t="shared" si="58"/>
        <v>226703.9</v>
      </c>
      <c r="M87" s="1390">
        <f t="shared" si="58"/>
        <v>59629</v>
      </c>
      <c r="N87" s="1390">
        <f t="shared" si="58"/>
        <v>22874.34</v>
      </c>
      <c r="O87" s="1390">
        <f t="shared" si="58"/>
        <v>739081.8</v>
      </c>
      <c r="P87" s="1390">
        <f t="shared" si="58"/>
        <v>54070</v>
      </c>
      <c r="Q87" s="1390">
        <f t="shared" si="58"/>
        <v>140547</v>
      </c>
      <c r="R87" s="1390">
        <f t="shared" si="58"/>
        <v>1889</v>
      </c>
      <c r="S87" s="1390">
        <f t="shared" si="58"/>
        <v>200356.40000000002</v>
      </c>
      <c r="T87" s="1390">
        <f t="shared" si="58"/>
        <v>1771</v>
      </c>
      <c r="U87" s="1390">
        <f t="shared" si="58"/>
        <v>197819</v>
      </c>
      <c r="V87" s="1390">
        <f t="shared" si="58"/>
        <v>1981</v>
      </c>
      <c r="W87" s="1390">
        <f t="shared" si="58"/>
        <v>200359.40000000002</v>
      </c>
      <c r="X87" s="1390">
        <f t="shared" si="58"/>
        <v>59711</v>
      </c>
      <c r="Y87" s="1390">
        <f t="shared" si="58"/>
        <v>739081.8</v>
      </c>
      <c r="Z87" s="1391"/>
      <c r="AA87" s="1392"/>
      <c r="AB87" s="1393" t="str">
        <f t="shared" si="57"/>
        <v>yes</v>
      </c>
      <c r="AC87" s="1359" t="str">
        <f t="shared" si="52"/>
        <v>ok</v>
      </c>
    </row>
    <row r="88" spans="1:29" ht="20.25" customHeight="1" x14ac:dyDescent="0.6">
      <c r="A88" s="1397"/>
      <c r="C88" s="1399"/>
      <c r="D88" s="1288"/>
      <c r="E88" s="1288"/>
      <c r="F88" s="1288"/>
      <c r="G88" s="1288"/>
      <c r="H88" s="1288"/>
      <c r="I88" s="1288"/>
      <c r="J88" s="1288"/>
      <c r="K88" s="1288"/>
      <c r="L88" s="1288"/>
      <c r="M88" s="1288"/>
      <c r="N88" s="1400"/>
      <c r="O88" s="1400"/>
      <c r="P88" s="1400"/>
      <c r="Q88" s="1400"/>
      <c r="R88" s="1400"/>
      <c r="S88" s="1400"/>
      <c r="T88" s="1400"/>
      <c r="U88" s="1400"/>
      <c r="V88" s="1400"/>
      <c r="W88" s="1400"/>
      <c r="X88" s="1288"/>
      <c r="Y88" s="1288"/>
      <c r="AA88" s="1402"/>
    </row>
    <row r="89" spans="1:29" ht="20.25" customHeight="1" x14ac:dyDescent="0.6">
      <c r="A89" s="1397"/>
      <c r="C89" s="1399"/>
    </row>
    <row r="90" spans="1:29" ht="20.25" customHeight="1" x14ac:dyDescent="0.6">
      <c r="B90" s="1280"/>
      <c r="G90" s="1288"/>
      <c r="N90" s="1290"/>
      <c r="O90" s="1290"/>
      <c r="P90" s="1290"/>
      <c r="Q90" s="1290"/>
      <c r="R90" s="1290"/>
      <c r="S90" s="1290"/>
      <c r="T90" s="1290"/>
      <c r="U90" s="1290"/>
      <c r="V90" s="1290"/>
      <c r="W90" s="1290"/>
      <c r="Z90" s="1280"/>
    </row>
    <row r="91" spans="1:29" ht="20.25" customHeight="1" x14ac:dyDescent="0.6">
      <c r="B91" s="1280"/>
      <c r="G91" s="1288"/>
      <c r="N91" s="1290"/>
      <c r="O91" s="1290"/>
      <c r="P91" s="1290"/>
      <c r="Q91" s="1290"/>
      <c r="R91" s="1290"/>
      <c r="S91" s="1290"/>
      <c r="T91" s="1290"/>
      <c r="U91" s="1290"/>
      <c r="V91" s="1290"/>
      <c r="W91" s="1290"/>
      <c r="Z91" s="1280"/>
    </row>
    <row r="92" spans="1:29" ht="20.25" customHeight="1" x14ac:dyDescent="0.6">
      <c r="B92" s="1280"/>
      <c r="G92" s="1288"/>
      <c r="N92" s="1290"/>
      <c r="O92" s="1290"/>
      <c r="P92" s="1290"/>
      <c r="Q92" s="1290"/>
      <c r="R92" s="1290"/>
      <c r="S92" s="1290"/>
      <c r="T92" s="1290"/>
      <c r="U92" s="1290"/>
      <c r="V92" s="1290"/>
      <c r="W92" s="1290"/>
      <c r="Z92" s="1280"/>
    </row>
    <row r="93" spans="1:29" ht="20.25" customHeight="1" x14ac:dyDescent="0.6">
      <c r="B93" s="1280"/>
      <c r="G93" s="1288"/>
      <c r="N93" s="1290"/>
      <c r="O93" s="1290"/>
      <c r="P93" s="1290"/>
      <c r="Q93" s="1290"/>
      <c r="R93" s="1290"/>
      <c r="S93" s="1290"/>
      <c r="Z93" s="1405"/>
    </row>
    <row r="94" spans="1:29" ht="20.25" customHeight="1" x14ac:dyDescent="0.6"/>
    <row r="95" spans="1:29" ht="20.25" customHeight="1" x14ac:dyDescent="0.6"/>
    <row r="96" spans="1:29" ht="20.25" customHeight="1" x14ac:dyDescent="0.6">
      <c r="AA96" s="1401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  <row r="707" spans="1:26" x14ac:dyDescent="0.6">
      <c r="A707" s="1280"/>
      <c r="N707" s="1288"/>
      <c r="O707" s="1290"/>
      <c r="Z707" s="1280"/>
    </row>
    <row r="708" spans="1:26" x14ac:dyDescent="0.6">
      <c r="A708" s="1280"/>
      <c r="N708" s="1288"/>
      <c r="O708" s="1290"/>
      <c r="Z708" s="1280"/>
    </row>
    <row r="709" spans="1:26" x14ac:dyDescent="0.6">
      <c r="A709" s="1280"/>
      <c r="N709" s="1288"/>
      <c r="O709" s="1290"/>
      <c r="Z709" s="1280"/>
    </row>
    <row r="710" spans="1:26" x14ac:dyDescent="0.6">
      <c r="A710" s="1280"/>
      <c r="N710" s="1288"/>
      <c r="O710" s="1290"/>
      <c r="Z710" s="1280"/>
    </row>
    <row r="711" spans="1:26" x14ac:dyDescent="0.6">
      <c r="A711" s="1280"/>
      <c r="N711" s="1288"/>
      <c r="O711" s="1290"/>
      <c r="Z711" s="1280"/>
    </row>
    <row r="712" spans="1:26" x14ac:dyDescent="0.6">
      <c r="A712" s="1280"/>
      <c r="N712" s="1288"/>
      <c r="O712" s="1290"/>
      <c r="Z712" s="1280"/>
    </row>
    <row r="713" spans="1:26" x14ac:dyDescent="0.6">
      <c r="A713" s="1280"/>
      <c r="N713" s="1288"/>
      <c r="O713" s="1290"/>
      <c r="Z713" s="1280"/>
    </row>
    <row r="714" spans="1:26" x14ac:dyDescent="0.6">
      <c r="A714" s="1280"/>
      <c r="N714" s="1288"/>
      <c r="O714" s="1290"/>
      <c r="Z714" s="1280"/>
    </row>
    <row r="715" spans="1:26" x14ac:dyDescent="0.6">
      <c r="A715" s="1280"/>
      <c r="N715" s="1288"/>
      <c r="O715" s="1290"/>
      <c r="Z715" s="1280"/>
    </row>
    <row r="716" spans="1:26" x14ac:dyDescent="0.6">
      <c r="A716" s="1280"/>
      <c r="N716" s="1288"/>
      <c r="O716" s="1290"/>
      <c r="Z716" s="1280"/>
    </row>
    <row r="717" spans="1:26" x14ac:dyDescent="0.6">
      <c r="A717" s="1280"/>
      <c r="N717" s="1288"/>
      <c r="O717" s="1290"/>
      <c r="Z717" s="1280"/>
    </row>
    <row r="718" spans="1:26" x14ac:dyDescent="0.6">
      <c r="A718" s="1280"/>
      <c r="N718" s="1288"/>
      <c r="O718" s="1290"/>
      <c r="Z718" s="1280"/>
    </row>
    <row r="719" spans="1:26" x14ac:dyDescent="0.6">
      <c r="A719" s="1280"/>
      <c r="N719" s="1288"/>
      <c r="O719" s="1290"/>
      <c r="Z719" s="1280"/>
    </row>
    <row r="720" spans="1:26" x14ac:dyDescent="0.6">
      <c r="A720" s="1280"/>
      <c r="N720" s="1288"/>
      <c r="O720" s="1290"/>
      <c r="Z720" s="1280"/>
    </row>
    <row r="721" spans="1:26" x14ac:dyDescent="0.6">
      <c r="A721" s="1280"/>
      <c r="N721" s="1288"/>
      <c r="O721" s="1290"/>
      <c r="Z721" s="1280"/>
    </row>
    <row r="722" spans="1:26" x14ac:dyDescent="0.6">
      <c r="A722" s="1280"/>
      <c r="N722" s="1288"/>
      <c r="O722" s="1290"/>
      <c r="Z722" s="1280"/>
    </row>
    <row r="723" spans="1:26" x14ac:dyDescent="0.6">
      <c r="A723" s="1280"/>
      <c r="N723" s="1288"/>
      <c r="O723" s="1290"/>
      <c r="Z723" s="1280"/>
    </row>
    <row r="724" spans="1:26" x14ac:dyDescent="0.6">
      <c r="A724" s="1280"/>
      <c r="N724" s="1288"/>
      <c r="O724" s="1290"/>
      <c r="Z724" s="1280"/>
    </row>
    <row r="725" spans="1:26" x14ac:dyDescent="0.6">
      <c r="A725" s="1280"/>
      <c r="N725" s="1288"/>
      <c r="O725" s="1290"/>
      <c r="Z725" s="1280"/>
    </row>
    <row r="726" spans="1:26" x14ac:dyDescent="0.6">
      <c r="A726" s="1280"/>
      <c r="N726" s="1288"/>
      <c r="O726" s="1290"/>
      <c r="Z726" s="1280"/>
    </row>
    <row r="727" spans="1:26" x14ac:dyDescent="0.6">
      <c r="A727" s="1280"/>
      <c r="N727" s="1288"/>
      <c r="O727" s="1290"/>
      <c r="Z727" s="1280"/>
    </row>
    <row r="728" spans="1:26" x14ac:dyDescent="0.6">
      <c r="A728" s="1280"/>
      <c r="N728" s="1288"/>
      <c r="O728" s="1290"/>
      <c r="Z728" s="1280"/>
    </row>
    <row r="729" spans="1:26" x14ac:dyDescent="0.6">
      <c r="A729" s="1280"/>
      <c r="N729" s="1288"/>
      <c r="O729" s="1290"/>
      <c r="Z729" s="1280"/>
    </row>
    <row r="730" spans="1:26" x14ac:dyDescent="0.6">
      <c r="A730" s="1280"/>
      <c r="N730" s="1288"/>
      <c r="O730" s="1290"/>
      <c r="Z730" s="1280"/>
    </row>
    <row r="731" spans="1:26" x14ac:dyDescent="0.6">
      <c r="A731" s="1280"/>
      <c r="N731" s="1288"/>
      <c r="O731" s="1290"/>
      <c r="Z731" s="1280"/>
    </row>
    <row r="732" spans="1:26" x14ac:dyDescent="0.6">
      <c r="A732" s="1280"/>
      <c r="N732" s="1288"/>
      <c r="O732" s="1290"/>
      <c r="Z732" s="1280"/>
    </row>
    <row r="733" spans="1:26" x14ac:dyDescent="0.6">
      <c r="A733" s="1280"/>
      <c r="N733" s="1288"/>
      <c r="O733" s="1290"/>
      <c r="Z733" s="1280"/>
    </row>
    <row r="734" spans="1:26" x14ac:dyDescent="0.6">
      <c r="A734" s="1280"/>
      <c r="N734" s="1288"/>
      <c r="O734" s="1290"/>
      <c r="Z734" s="1280"/>
    </row>
    <row r="735" spans="1:26" x14ac:dyDescent="0.6">
      <c r="A735" s="1280"/>
      <c r="N735" s="1288"/>
      <c r="O735" s="1290"/>
      <c r="Z735" s="1280"/>
    </row>
    <row r="736" spans="1:26" x14ac:dyDescent="0.6">
      <c r="A736" s="1280"/>
      <c r="N736" s="1288"/>
      <c r="O736" s="1290"/>
      <c r="Z736" s="1280"/>
    </row>
    <row r="737" spans="1:26" x14ac:dyDescent="0.6">
      <c r="A737" s="1280"/>
      <c r="N737" s="1288"/>
      <c r="O737" s="1290"/>
      <c r="Z737" s="1280"/>
    </row>
    <row r="738" spans="1:26" x14ac:dyDescent="0.6">
      <c r="A738" s="1280"/>
      <c r="N738" s="1288"/>
      <c r="O738" s="1290"/>
      <c r="Z738" s="1280"/>
    </row>
    <row r="739" spans="1:26" x14ac:dyDescent="0.6">
      <c r="A739" s="1280"/>
      <c r="N739" s="1288"/>
      <c r="O739" s="1290"/>
      <c r="Z739" s="1280"/>
    </row>
    <row r="740" spans="1:26" x14ac:dyDescent="0.6">
      <c r="A740" s="1280"/>
      <c r="N740" s="1288"/>
      <c r="O740" s="1290"/>
      <c r="Z740" s="1280"/>
    </row>
    <row r="741" spans="1:26" x14ac:dyDescent="0.6">
      <c r="A741" s="1280"/>
      <c r="N741" s="1288"/>
      <c r="O741" s="1290"/>
      <c r="Z741" s="1280"/>
    </row>
    <row r="742" spans="1:26" x14ac:dyDescent="0.6">
      <c r="A742" s="1280"/>
      <c r="N742" s="1288"/>
      <c r="O742" s="1290"/>
      <c r="Z742" s="1280"/>
    </row>
    <row r="743" spans="1:26" x14ac:dyDescent="0.6">
      <c r="A743" s="1280"/>
      <c r="N743" s="1288"/>
      <c r="O743" s="1290"/>
      <c r="Z743" s="1280"/>
    </row>
    <row r="744" spans="1:26" x14ac:dyDescent="0.6">
      <c r="A744" s="1280"/>
      <c r="N744" s="1288"/>
      <c r="O744" s="1290"/>
      <c r="Z744" s="1280"/>
    </row>
    <row r="745" spans="1:26" x14ac:dyDescent="0.6">
      <c r="A745" s="1280"/>
      <c r="N745" s="1288"/>
      <c r="O745" s="1290"/>
      <c r="Z745" s="1280"/>
    </row>
    <row r="746" spans="1:26" x14ac:dyDescent="0.6">
      <c r="A746" s="1280"/>
      <c r="N746" s="1288"/>
      <c r="O746" s="1290"/>
      <c r="Z746" s="1280"/>
    </row>
    <row r="747" spans="1:26" x14ac:dyDescent="0.6">
      <c r="A747" s="1280"/>
      <c r="N747" s="1288"/>
      <c r="O747" s="1290"/>
      <c r="Z747" s="1280"/>
    </row>
    <row r="748" spans="1:26" x14ac:dyDescent="0.6">
      <c r="A748" s="1280"/>
      <c r="N748" s="1288"/>
      <c r="O748" s="1290"/>
      <c r="Z748" s="1280"/>
    </row>
    <row r="749" spans="1:26" x14ac:dyDescent="0.6">
      <c r="A749" s="1280"/>
      <c r="N749" s="1288"/>
      <c r="O749" s="1290"/>
      <c r="Z749" s="1280"/>
    </row>
    <row r="750" spans="1:26" x14ac:dyDescent="0.6">
      <c r="A750" s="1280"/>
      <c r="N750" s="1288"/>
      <c r="O750" s="1290"/>
      <c r="Z750" s="1280"/>
    </row>
    <row r="751" spans="1:26" x14ac:dyDescent="0.6">
      <c r="A751" s="1280"/>
      <c r="N751" s="1288"/>
      <c r="O751" s="1290"/>
      <c r="Z751" s="1280"/>
    </row>
    <row r="752" spans="1:26" x14ac:dyDescent="0.6">
      <c r="A752" s="1280"/>
      <c r="N752" s="1288"/>
      <c r="O752" s="1290"/>
      <c r="Z752" s="1280"/>
    </row>
    <row r="753" spans="1:26" x14ac:dyDescent="0.6">
      <c r="A753" s="1280"/>
      <c r="N753" s="1288"/>
      <c r="O753" s="1290"/>
      <c r="Z753" s="1280"/>
    </row>
    <row r="754" spans="1:26" x14ac:dyDescent="0.6">
      <c r="A754" s="1280"/>
      <c r="N754" s="1288"/>
      <c r="O754" s="1290"/>
      <c r="Z754" s="1280"/>
    </row>
    <row r="755" spans="1:26" x14ac:dyDescent="0.6">
      <c r="A755" s="1280"/>
      <c r="N755" s="1288"/>
      <c r="O755" s="1290"/>
      <c r="Z755" s="1280"/>
    </row>
    <row r="756" spans="1:26" x14ac:dyDescent="0.6">
      <c r="A756" s="1280"/>
      <c r="N756" s="1288"/>
      <c r="O756" s="1290"/>
      <c r="Z756" s="1280"/>
    </row>
    <row r="757" spans="1:26" x14ac:dyDescent="0.6">
      <c r="A757" s="1280"/>
      <c r="N757" s="1288"/>
      <c r="O757" s="1290"/>
      <c r="Z757" s="1280"/>
    </row>
    <row r="758" spans="1:26" x14ac:dyDescent="0.6">
      <c r="A758" s="1280"/>
      <c r="N758" s="1288"/>
      <c r="O758" s="1290"/>
      <c r="Z758" s="1280"/>
    </row>
    <row r="759" spans="1:26" x14ac:dyDescent="0.6">
      <c r="A759" s="1280"/>
      <c r="N759" s="1288"/>
      <c r="O759" s="1290"/>
      <c r="Z759" s="1280"/>
    </row>
    <row r="760" spans="1:26" x14ac:dyDescent="0.6">
      <c r="A760" s="1280"/>
      <c r="N760" s="1288"/>
      <c r="O760" s="1290"/>
      <c r="Z760" s="1280"/>
    </row>
    <row r="761" spans="1:26" x14ac:dyDescent="0.6">
      <c r="A761" s="1280"/>
      <c r="N761" s="1288"/>
      <c r="O761" s="1290"/>
      <c r="Z761" s="1280"/>
    </row>
    <row r="762" spans="1:26" x14ac:dyDescent="0.6">
      <c r="A762" s="1280"/>
      <c r="N762" s="1288"/>
      <c r="O762" s="1290"/>
      <c r="Z762" s="1280"/>
    </row>
    <row r="763" spans="1:26" x14ac:dyDescent="0.6">
      <c r="A763" s="1280"/>
      <c r="N763" s="1288"/>
      <c r="O763" s="1290"/>
      <c r="Z763" s="1280"/>
    </row>
    <row r="764" spans="1:26" x14ac:dyDescent="0.6">
      <c r="A764" s="1280"/>
      <c r="N764" s="1288"/>
      <c r="O764" s="1290"/>
      <c r="Z764" s="1280"/>
    </row>
    <row r="765" spans="1:26" x14ac:dyDescent="0.6">
      <c r="A765" s="1280"/>
      <c r="N765" s="1288"/>
      <c r="O765" s="1290"/>
      <c r="Z765" s="1280"/>
    </row>
    <row r="766" spans="1:26" x14ac:dyDescent="0.6">
      <c r="A766" s="1280"/>
      <c r="N766" s="1288"/>
      <c r="O766" s="1290"/>
      <c r="Z766" s="1280"/>
    </row>
    <row r="767" spans="1:26" x14ac:dyDescent="0.6">
      <c r="A767" s="1280"/>
      <c r="N767" s="1288"/>
      <c r="O767" s="1290"/>
      <c r="Z767" s="1280"/>
    </row>
    <row r="768" spans="1:26" x14ac:dyDescent="0.6">
      <c r="A768" s="1280"/>
      <c r="N768" s="1288"/>
      <c r="O768" s="1290"/>
      <c r="Z768" s="1280"/>
    </row>
    <row r="769" spans="1:26" x14ac:dyDescent="0.6">
      <c r="A769" s="1280"/>
      <c r="N769" s="1288"/>
      <c r="O769" s="1290"/>
      <c r="Z769" s="1280"/>
    </row>
    <row r="770" spans="1:26" x14ac:dyDescent="0.6">
      <c r="A770" s="1280"/>
      <c r="N770" s="1288"/>
      <c r="O770" s="1290"/>
      <c r="Z770" s="1280"/>
    </row>
    <row r="771" spans="1:26" x14ac:dyDescent="0.6">
      <c r="A771" s="1280"/>
      <c r="N771" s="1288"/>
      <c r="O771" s="1290"/>
      <c r="Z771" s="1280"/>
    </row>
    <row r="772" spans="1:26" x14ac:dyDescent="0.6">
      <c r="A772" s="1280"/>
      <c r="N772" s="1288"/>
      <c r="O772" s="1290"/>
      <c r="Z772" s="1280"/>
    </row>
    <row r="773" spans="1:26" x14ac:dyDescent="0.6">
      <c r="A773" s="1280"/>
      <c r="N773" s="1288"/>
      <c r="O773" s="1290"/>
      <c r="Z773" s="1280"/>
    </row>
    <row r="774" spans="1:26" x14ac:dyDescent="0.6">
      <c r="A774" s="1280"/>
      <c r="N774" s="1288"/>
      <c r="O774" s="1290"/>
      <c r="Z774" s="1280"/>
    </row>
    <row r="775" spans="1:26" x14ac:dyDescent="0.6">
      <c r="A775" s="1280"/>
      <c r="N775" s="1288"/>
      <c r="O775" s="1290"/>
      <c r="Z775" s="1280"/>
    </row>
    <row r="776" spans="1:26" x14ac:dyDescent="0.6">
      <c r="A776" s="1280"/>
      <c r="N776" s="1288"/>
      <c r="O776" s="1290"/>
      <c r="Z776" s="1280"/>
    </row>
    <row r="777" spans="1:26" x14ac:dyDescent="0.6">
      <c r="A777" s="1280"/>
      <c r="N777" s="1288"/>
      <c r="O777" s="1290"/>
      <c r="Z777" s="1280"/>
    </row>
    <row r="778" spans="1:26" x14ac:dyDescent="0.6">
      <c r="A778" s="1280"/>
      <c r="N778" s="1288"/>
      <c r="O778" s="1290"/>
      <c r="Z778" s="1280"/>
    </row>
    <row r="779" spans="1:26" x14ac:dyDescent="0.6">
      <c r="A779" s="1280"/>
      <c r="N779" s="1288"/>
      <c r="O779" s="1290"/>
      <c r="Z779" s="1280"/>
    </row>
    <row r="780" spans="1:26" x14ac:dyDescent="0.6">
      <c r="A780" s="1280"/>
      <c r="N780" s="1288"/>
      <c r="O780" s="1290"/>
      <c r="Z780" s="1280"/>
    </row>
  </sheetData>
  <protectedRanges>
    <protectedRange password="CC6F" sqref="B82:B84" name="ช่วง1_5_1_5_1_1_1_6"/>
    <protectedRange password="CC6F" sqref="B60" name="ช่วง1_5_1_5_1_1_2"/>
    <protectedRange password="CC6F" sqref="B55:B58 B61" name="ช่วง1_5_1_5_1_1_1_1"/>
    <protectedRange password="CC6F" sqref="B59 B62:B64 B77" name="ช่วง1_5_1_5_1_1_4_1"/>
    <protectedRange password="CC6F" sqref="B51:B54" name="ช่วง1_5_1_5_1_1_1_1_1_1"/>
    <protectedRange password="CC6F" sqref="B50" name="ช่วง1_5_1_5_1_1_4_1_1_1"/>
    <protectedRange password="CC6F" sqref="B8:B49" name="ช่วง1_5_1_4_1_1_4_1_1"/>
    <protectedRange password="CC6F" sqref="B74" name="ช่วง1_5_1_5_1_1_3"/>
    <protectedRange password="CC6F" sqref="B73" name="ช่วง1_5_1_5_1_1_4_2"/>
    <protectedRange password="CC6F" sqref="B78:B79" name="ช่วง1_5_1_5_1_1_1_1_2"/>
    <protectedRange password="CC6F" sqref="B81" name="ช่วง1_5_1_5_1_1_4_1_2"/>
    <protectedRange password="CC6F" sqref="B80" name="ช่วง1_5_1_5_1_1_5"/>
    <protectedRange password="CC6F" sqref="B86" name="ช่วง1_5_1_5_1_1_1"/>
  </protectedRanges>
  <mergeCells count="18">
    <mergeCell ref="X6:X7"/>
    <mergeCell ref="A87:C87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AHM150" activePane="bottomRight" state="frozen"/>
      <selection pane="topRight" activeCell="D1" sqref="D1"/>
      <selection pane="bottomLeft" activeCell="A6" sqref="A6"/>
      <selection pane="bottomRight" activeCell="C156" sqref="C156"/>
    </sheetView>
  </sheetViews>
  <sheetFormatPr defaultColWidth="8.796875" defaultRowHeight="33.6" x14ac:dyDescent="0.95"/>
  <cols>
    <col min="1" max="1" width="8.796875" style="268"/>
    <col min="2" max="2" width="16" style="268" bestFit="1" customWidth="1"/>
    <col min="3" max="3" width="48.69921875" style="269" customWidth="1"/>
    <col min="4" max="4" width="17.59765625" style="269" bestFit="1" customWidth="1"/>
    <col min="5" max="5" width="16" style="269" bestFit="1" customWidth="1"/>
    <col min="6" max="6" width="18.59765625" style="269" bestFit="1" customWidth="1"/>
    <col min="7" max="7" width="16" style="269" bestFit="1" customWidth="1"/>
    <col min="8" max="9" width="14.8984375" style="269" bestFit="1" customWidth="1"/>
    <col min="10" max="10" width="15.796875" style="269" bestFit="1" customWidth="1"/>
    <col min="11" max="12" width="16" style="269" bestFit="1" customWidth="1"/>
    <col min="13" max="13" width="14.8984375" style="269" bestFit="1" customWidth="1"/>
    <col min="14" max="14" width="16" style="269" bestFit="1" customWidth="1"/>
    <col min="15" max="15" width="14.8984375" style="269" bestFit="1" customWidth="1"/>
    <col min="16" max="17" width="16" style="269" bestFit="1" customWidth="1"/>
    <col min="18" max="21" width="14.8984375" style="269" bestFit="1" customWidth="1"/>
    <col min="22" max="22" width="16.796875" style="269" customWidth="1"/>
    <col min="23" max="24" width="14.8984375" style="269" bestFit="1" customWidth="1"/>
    <col min="25" max="25" width="15.296875" style="269" bestFit="1" customWidth="1"/>
    <col min="26" max="27" width="14.8984375" style="269" bestFit="1" customWidth="1"/>
    <col min="28" max="28" width="18.59765625" style="269" bestFit="1" customWidth="1"/>
    <col min="29" max="30" width="16" style="269" bestFit="1" customWidth="1"/>
    <col min="31" max="31" width="14.8984375" style="269" bestFit="1" customWidth="1"/>
    <col min="32" max="36" width="16" style="269" bestFit="1" customWidth="1"/>
    <col min="37" max="42" width="14.8984375" style="269" bestFit="1" customWidth="1"/>
    <col min="43" max="43" width="16.59765625" style="269" bestFit="1" customWidth="1"/>
    <col min="44" max="44" width="16" style="269" bestFit="1" customWidth="1"/>
    <col min="45" max="45" width="14.8984375" style="269" bestFit="1" customWidth="1"/>
    <col min="46" max="46" width="17.59765625" style="269" bestFit="1" customWidth="1"/>
    <col min="47" max="52" width="14.8984375" style="269" bestFit="1" customWidth="1"/>
    <col min="53" max="53" width="16.19921875" style="269" bestFit="1" customWidth="1"/>
    <col min="54" max="54" width="16" style="269" bestFit="1" customWidth="1"/>
    <col min="55" max="56" width="14.8984375" style="269" bestFit="1" customWidth="1"/>
    <col min="57" max="57" width="16" style="269" bestFit="1" customWidth="1"/>
    <col min="58" max="60" width="14.8984375" style="269" bestFit="1" customWidth="1"/>
    <col min="61" max="61" width="17.59765625" style="269" bestFit="1" customWidth="1"/>
    <col min="62" max="69" width="14.8984375" style="269" bestFit="1" customWidth="1"/>
    <col min="70" max="70" width="16" style="269" bestFit="1" customWidth="1"/>
    <col min="71" max="72" width="14.8984375" style="269" bestFit="1" customWidth="1"/>
    <col min="73" max="73" width="16" style="269" bestFit="1" customWidth="1"/>
    <col min="74" max="75" width="14.8984375" style="269" bestFit="1" customWidth="1"/>
    <col min="76" max="77" width="16" style="269" bestFit="1" customWidth="1"/>
    <col min="78" max="79" width="14.8984375" style="269" bestFit="1" customWidth="1"/>
    <col min="80" max="80" width="16" style="269" bestFit="1" customWidth="1"/>
    <col min="81" max="84" width="14.8984375" style="269" bestFit="1" customWidth="1"/>
    <col min="85" max="85" width="17.59765625" style="269" bestFit="1" customWidth="1"/>
    <col min="86" max="86" width="14.8984375" style="269" bestFit="1" customWidth="1"/>
    <col min="87" max="87" width="16" style="269" bestFit="1" customWidth="1"/>
    <col min="88" max="91" width="14.8984375" style="269" bestFit="1" customWidth="1"/>
    <col min="92" max="92" width="16" style="269" bestFit="1" customWidth="1"/>
    <col min="93" max="97" width="14.8984375" style="269" bestFit="1" customWidth="1"/>
    <col min="98" max="98" width="17.59765625" style="269" bestFit="1" customWidth="1"/>
    <col min="99" max="100" width="14.8984375" style="269" bestFit="1" customWidth="1"/>
    <col min="101" max="101" width="16" style="269" bestFit="1" customWidth="1"/>
    <col min="102" max="102" width="14.8984375" style="269" bestFit="1" customWidth="1"/>
    <col min="103" max="103" width="16" style="269" bestFit="1" customWidth="1"/>
    <col min="104" max="105" width="14.8984375" style="269" bestFit="1" customWidth="1"/>
    <col min="106" max="106" width="17.59765625" style="269" bestFit="1" customWidth="1"/>
    <col min="107" max="109" width="16" style="269" bestFit="1" customWidth="1"/>
    <col min="110" max="110" width="14.8984375" style="269" bestFit="1" customWidth="1"/>
    <col min="111" max="112" width="16" style="269" bestFit="1" customWidth="1"/>
    <col min="113" max="114" width="14.8984375" style="269" bestFit="1" customWidth="1"/>
    <col min="115" max="115" width="16.8984375" style="269" bestFit="1" customWidth="1"/>
    <col min="116" max="116" width="16.59765625" style="269" bestFit="1" customWidth="1"/>
    <col min="117" max="118" width="16" style="269" bestFit="1" customWidth="1"/>
    <col min="119" max="120" width="14.8984375" style="269" bestFit="1" customWidth="1"/>
    <col min="121" max="122" width="16" style="269" bestFit="1" customWidth="1"/>
    <col min="123" max="123" width="14.8984375" style="269" bestFit="1" customWidth="1"/>
    <col min="124" max="124" width="16" style="269" bestFit="1" customWidth="1"/>
    <col min="125" max="125" width="14.8984375" style="269" bestFit="1" customWidth="1"/>
    <col min="126" max="126" width="17.59765625" style="269" bestFit="1" customWidth="1"/>
    <col min="127" max="130" width="16" style="269" bestFit="1" customWidth="1"/>
    <col min="131" max="131" width="14.8984375" style="269" bestFit="1" customWidth="1"/>
    <col min="132" max="132" width="16" style="269" bestFit="1" customWidth="1"/>
    <col min="133" max="133" width="14.8984375" style="269" bestFit="1" customWidth="1"/>
    <col min="134" max="134" width="16.59765625" style="269" bestFit="1" customWidth="1"/>
    <col min="135" max="136" width="16" style="269" bestFit="1" customWidth="1"/>
    <col min="137" max="137" width="17.3984375" style="269" bestFit="1" customWidth="1"/>
    <col min="138" max="139" width="14.8984375" style="269" bestFit="1" customWidth="1"/>
    <col min="140" max="141" width="16" style="269" bestFit="1" customWidth="1"/>
    <col min="142" max="143" width="14.8984375" style="269" bestFit="1" customWidth="1"/>
    <col min="144" max="144" width="17.59765625" style="269" bestFit="1" customWidth="1"/>
    <col min="145" max="152" width="14.8984375" style="269" bestFit="1" customWidth="1"/>
    <col min="153" max="153" width="17.59765625" style="269" bestFit="1" customWidth="1"/>
    <col min="154" max="156" width="14.8984375" style="269" bestFit="1" customWidth="1"/>
    <col min="157" max="158" width="16" style="269" bestFit="1" customWidth="1"/>
    <col min="159" max="160" width="14.8984375" style="269" bestFit="1" customWidth="1"/>
    <col min="161" max="161" width="16" style="269" bestFit="1" customWidth="1"/>
    <col min="162" max="164" width="14.8984375" style="269" bestFit="1" customWidth="1"/>
    <col min="165" max="165" width="16" style="269" bestFit="1" customWidth="1"/>
    <col min="166" max="172" width="14.8984375" style="269" bestFit="1" customWidth="1"/>
    <col min="173" max="173" width="17.59765625" style="269" bestFit="1" customWidth="1"/>
    <col min="174" max="174" width="14.8984375" style="269" bestFit="1" customWidth="1"/>
    <col min="175" max="175" width="16" style="269" bestFit="1" customWidth="1"/>
    <col min="176" max="176" width="14.8984375" style="269" bestFit="1" customWidth="1"/>
    <col min="177" max="177" width="16" style="269" bestFit="1" customWidth="1"/>
    <col min="178" max="178" width="14.8984375" style="269" bestFit="1" customWidth="1"/>
    <col min="179" max="179" width="16" style="269" bestFit="1" customWidth="1"/>
    <col min="180" max="182" width="14.8984375" style="269" bestFit="1" customWidth="1"/>
    <col min="183" max="183" width="16" style="269" bestFit="1" customWidth="1"/>
    <col min="184" max="186" width="14.8984375" style="269" bestFit="1" customWidth="1"/>
    <col min="187" max="187" width="16" style="269" bestFit="1" customWidth="1"/>
    <col min="188" max="188" width="14.8984375" style="269" bestFit="1" customWidth="1"/>
    <col min="189" max="189" width="15.3984375" style="269" bestFit="1" customWidth="1"/>
    <col min="190" max="190" width="16" style="269" bestFit="1" customWidth="1"/>
    <col min="191" max="193" width="14.8984375" style="269" bestFit="1" customWidth="1"/>
    <col min="194" max="194" width="16" style="269" bestFit="1" customWidth="1"/>
    <col min="195" max="198" width="14.8984375" style="269" bestFit="1" customWidth="1"/>
    <col min="199" max="199" width="16" style="269" bestFit="1" customWidth="1"/>
    <col min="200" max="201" width="14.8984375" style="269" bestFit="1" customWidth="1"/>
    <col min="202" max="202" width="16" style="269" bestFit="1" customWidth="1"/>
    <col min="203" max="206" width="14.8984375" style="269" bestFit="1" customWidth="1"/>
    <col min="207" max="207" width="16" style="269" bestFit="1" customWidth="1"/>
    <col min="208" max="210" width="14.8984375" style="269" bestFit="1" customWidth="1"/>
    <col min="211" max="211" width="17.59765625" style="269" bestFit="1" customWidth="1"/>
    <col min="212" max="216" width="16" style="269" bestFit="1" customWidth="1"/>
    <col min="217" max="217" width="14.8984375" style="269" bestFit="1" customWidth="1"/>
    <col min="218" max="218" width="17.59765625" style="269" bestFit="1" customWidth="1"/>
    <col min="219" max="220" width="16" style="269" bestFit="1" customWidth="1"/>
    <col min="221" max="225" width="14.8984375" style="269" bestFit="1" customWidth="1"/>
    <col min="226" max="226" width="17.59765625" style="269" bestFit="1" customWidth="1"/>
    <col min="227" max="227" width="16" style="269" bestFit="1" customWidth="1"/>
    <col min="228" max="231" width="14.8984375" style="269" bestFit="1" customWidth="1"/>
    <col min="232" max="232" width="16" style="269" bestFit="1" customWidth="1"/>
    <col min="233" max="241" width="14.8984375" style="269" bestFit="1" customWidth="1"/>
    <col min="242" max="242" width="17.59765625" style="269" bestFit="1" customWidth="1"/>
    <col min="243" max="243" width="16" style="269" bestFit="1" customWidth="1"/>
    <col min="244" max="244" width="14.8984375" style="269" bestFit="1" customWidth="1"/>
    <col min="245" max="246" width="16" style="269" bestFit="1" customWidth="1"/>
    <col min="247" max="252" width="14.8984375" style="269" bestFit="1" customWidth="1"/>
    <col min="253" max="253" width="17.59765625" style="269" bestFit="1" customWidth="1"/>
    <col min="254" max="255" width="16" style="269" bestFit="1" customWidth="1"/>
    <col min="256" max="264" width="14.8984375" style="269" bestFit="1" customWidth="1"/>
    <col min="265" max="266" width="16" style="269" bestFit="1" customWidth="1"/>
    <col min="267" max="270" width="14.8984375" style="269" bestFit="1" customWidth="1"/>
    <col min="271" max="271" width="16" style="269" bestFit="1" customWidth="1"/>
    <col min="272" max="273" width="14.8984375" style="269" bestFit="1" customWidth="1"/>
    <col min="274" max="274" width="16" style="269" bestFit="1" customWidth="1"/>
    <col min="275" max="275" width="14.8984375" style="269" bestFit="1" customWidth="1"/>
    <col min="276" max="276" width="16" style="269" bestFit="1" customWidth="1"/>
    <col min="277" max="277" width="14.8984375" style="269" bestFit="1" customWidth="1"/>
    <col min="278" max="279" width="16" style="269" bestFit="1" customWidth="1"/>
    <col min="280" max="280" width="16.296875" style="269" bestFit="1" customWidth="1"/>
    <col min="281" max="282" width="16" style="269" bestFit="1" customWidth="1"/>
    <col min="283" max="285" width="14.8984375" style="269" bestFit="1" customWidth="1"/>
    <col min="286" max="286" width="17.59765625" style="269" bestFit="1" customWidth="1"/>
    <col min="287" max="287" width="16" style="269" bestFit="1" customWidth="1"/>
    <col min="288" max="289" width="14.8984375" style="269" bestFit="1" customWidth="1"/>
    <col min="290" max="290" width="16" style="269" bestFit="1" customWidth="1"/>
    <col min="291" max="291" width="14.8984375" style="269" bestFit="1" customWidth="1"/>
    <col min="292" max="292" width="16" style="269" bestFit="1" customWidth="1"/>
    <col min="293" max="293" width="14.8984375" style="269" bestFit="1" customWidth="1"/>
    <col min="294" max="294" width="16" style="269" bestFit="1" customWidth="1"/>
    <col min="295" max="295" width="17.3984375" style="269" bestFit="1" customWidth="1"/>
    <col min="296" max="296" width="14.8984375" style="269" bestFit="1" customWidth="1"/>
    <col min="297" max="297" width="15.296875" style="269" bestFit="1" customWidth="1"/>
    <col min="298" max="299" width="15.59765625" style="269" bestFit="1" customWidth="1"/>
    <col min="300" max="300" width="16.3984375" style="269" bestFit="1" customWidth="1"/>
    <col min="301" max="301" width="17.59765625" style="269" bestFit="1" customWidth="1"/>
    <col min="302" max="303" width="16" style="269" bestFit="1" customWidth="1"/>
    <col min="304" max="305" width="14.8984375" style="269" bestFit="1" customWidth="1"/>
    <col min="306" max="307" width="16" style="269" bestFit="1" customWidth="1"/>
    <col min="308" max="308" width="14.8984375" style="269" bestFit="1" customWidth="1"/>
    <col min="309" max="313" width="16" style="269" bestFit="1" customWidth="1"/>
    <col min="314" max="314" width="15.8984375" style="269" bestFit="1" customWidth="1"/>
    <col min="315" max="317" width="16" style="269" bestFit="1" customWidth="1"/>
    <col min="318" max="318" width="17.59765625" style="269" bestFit="1" customWidth="1"/>
    <col min="319" max="322" width="16" style="269" bestFit="1" customWidth="1"/>
    <col min="323" max="326" width="14.8984375" style="269" bestFit="1" customWidth="1"/>
    <col min="327" max="327" width="16.59765625" style="269" bestFit="1" customWidth="1"/>
    <col min="328" max="328" width="14.8984375" style="269" bestFit="1" customWidth="1"/>
    <col min="329" max="329" width="17.3984375" style="269" bestFit="1" customWidth="1"/>
    <col min="330" max="330" width="16" style="269" bestFit="1" customWidth="1"/>
    <col min="331" max="331" width="14.8984375" style="269" bestFit="1" customWidth="1"/>
    <col min="332" max="332" width="17.59765625" style="269" bestFit="1" customWidth="1"/>
    <col min="333" max="333" width="16" style="269" bestFit="1" customWidth="1"/>
    <col min="334" max="334" width="17.59765625" style="269" bestFit="1" customWidth="1"/>
    <col min="335" max="342" width="16" style="269" bestFit="1" customWidth="1"/>
    <col min="343" max="343" width="14.8984375" style="269" bestFit="1" customWidth="1"/>
    <col min="344" max="344" width="17.59765625" style="269" bestFit="1" customWidth="1"/>
    <col min="345" max="345" width="16" style="269" bestFit="1" customWidth="1"/>
    <col min="346" max="355" width="14.8984375" style="269" bestFit="1" customWidth="1"/>
    <col min="356" max="356" width="17.59765625" style="269" bestFit="1" customWidth="1"/>
    <col min="357" max="357" width="16" style="269" bestFit="1" customWidth="1"/>
    <col min="358" max="358" width="14.8984375" style="269" bestFit="1" customWidth="1"/>
    <col min="359" max="360" width="16" style="269" bestFit="1" customWidth="1"/>
    <col min="361" max="361" width="14.8984375" style="269" bestFit="1" customWidth="1"/>
    <col min="362" max="363" width="16" style="269" bestFit="1" customWidth="1"/>
    <col min="364" max="365" width="14.8984375" style="269" bestFit="1" customWidth="1"/>
    <col min="366" max="366" width="15.3984375" style="269" bestFit="1" customWidth="1"/>
    <col min="367" max="367" width="17.59765625" style="269" bestFit="1" customWidth="1"/>
    <col min="368" max="368" width="16.8984375" style="269" bestFit="1" customWidth="1"/>
    <col min="369" max="369" width="15.296875" style="269" bestFit="1" customWidth="1"/>
    <col min="370" max="375" width="16" style="269" bestFit="1" customWidth="1"/>
    <col min="376" max="376" width="14.8984375" style="269" bestFit="1" customWidth="1"/>
    <col min="377" max="378" width="15.296875" style="269" bestFit="1" customWidth="1"/>
    <col min="379" max="379" width="16" style="269" bestFit="1" customWidth="1"/>
    <col min="380" max="380" width="15.296875" style="269" bestFit="1" customWidth="1"/>
    <col min="381" max="383" width="14.8984375" style="269" bestFit="1" customWidth="1"/>
    <col min="384" max="384" width="14.19921875" style="269" bestFit="1" customWidth="1"/>
    <col min="385" max="385" width="14.8984375" style="269" bestFit="1" customWidth="1"/>
    <col min="386" max="386" width="20" style="269" bestFit="1" customWidth="1"/>
    <col min="387" max="388" width="16" style="269" bestFit="1" customWidth="1"/>
    <col min="389" max="391" width="14.8984375" style="269" bestFit="1" customWidth="1"/>
    <col min="392" max="392" width="15.3984375" style="269" bestFit="1" customWidth="1"/>
    <col min="393" max="393" width="17.59765625" style="269" bestFit="1" customWidth="1"/>
    <col min="394" max="394" width="17.3984375" style="269" bestFit="1" customWidth="1"/>
    <col min="395" max="397" width="16" style="269" bestFit="1" customWidth="1"/>
    <col min="398" max="398" width="14.8984375" style="269" bestFit="1" customWidth="1"/>
    <col min="399" max="399" width="16" style="269" bestFit="1" customWidth="1"/>
    <col min="400" max="401" width="14.8984375" style="269" bestFit="1" customWidth="1"/>
    <col min="402" max="402" width="17.59765625" style="269" bestFit="1" customWidth="1"/>
    <col min="403" max="405" width="16" style="269" bestFit="1" customWidth="1"/>
    <col min="406" max="406" width="15.3984375" style="269" bestFit="1" customWidth="1"/>
    <col min="407" max="407" width="14.8984375" style="269" bestFit="1" customWidth="1"/>
    <col min="408" max="408" width="17.59765625" style="269" bestFit="1" customWidth="1"/>
    <col min="409" max="409" width="16" style="269" bestFit="1" customWidth="1"/>
    <col min="410" max="411" width="14.8984375" style="269" bestFit="1" customWidth="1"/>
    <col min="412" max="413" width="16" style="269" bestFit="1" customWidth="1"/>
    <col min="414" max="414" width="15.296875" style="269" bestFit="1" customWidth="1"/>
    <col min="415" max="416" width="14.8984375" style="269" bestFit="1" customWidth="1"/>
    <col min="417" max="417" width="17.59765625" style="269" bestFit="1" customWidth="1"/>
    <col min="418" max="419" width="16" style="269" bestFit="1" customWidth="1"/>
    <col min="420" max="420" width="14.8984375" style="269" bestFit="1" customWidth="1"/>
    <col min="421" max="422" width="16" style="269" bestFit="1" customWidth="1"/>
    <col min="423" max="426" width="14.8984375" style="269" bestFit="1" customWidth="1"/>
    <col min="427" max="428" width="16" style="269" bestFit="1" customWidth="1"/>
    <col min="429" max="429" width="14.8984375" style="269" bestFit="1" customWidth="1"/>
    <col min="430" max="430" width="16" style="269" bestFit="1" customWidth="1"/>
    <col min="431" max="433" width="14.8984375" style="269" bestFit="1" customWidth="1"/>
    <col min="434" max="434" width="15.3984375" style="269" bestFit="1" customWidth="1"/>
    <col min="435" max="435" width="17.59765625" style="269" bestFit="1" customWidth="1"/>
    <col min="436" max="436" width="16" style="269" bestFit="1" customWidth="1"/>
    <col min="437" max="437" width="14.8984375" style="269" bestFit="1" customWidth="1"/>
    <col min="438" max="441" width="16" style="269" bestFit="1" customWidth="1"/>
    <col min="442" max="442" width="14.8984375" style="269" bestFit="1" customWidth="1"/>
    <col min="443" max="443" width="16" style="269" bestFit="1" customWidth="1"/>
    <col min="444" max="444" width="14.8984375" style="269" bestFit="1" customWidth="1"/>
    <col min="445" max="445" width="16" style="269" bestFit="1" customWidth="1"/>
    <col min="446" max="447" width="14.8984375" style="269" bestFit="1" customWidth="1"/>
    <col min="448" max="448" width="16" style="269" bestFit="1" customWidth="1"/>
    <col min="449" max="449" width="14.8984375" style="269" bestFit="1" customWidth="1"/>
    <col min="450" max="450" width="16" style="269" bestFit="1" customWidth="1"/>
    <col min="451" max="453" width="14.8984375" style="269" bestFit="1" customWidth="1"/>
    <col min="454" max="455" width="16" style="269" bestFit="1" customWidth="1"/>
    <col min="456" max="460" width="14.8984375" style="269" bestFit="1" customWidth="1"/>
    <col min="461" max="461" width="17.59765625" style="269" bestFit="1" customWidth="1"/>
    <col min="462" max="463" width="16" style="269" bestFit="1" customWidth="1"/>
    <col min="464" max="465" width="14.8984375" style="269" bestFit="1" customWidth="1"/>
    <col min="466" max="466" width="16" style="269" bestFit="1" customWidth="1"/>
    <col min="467" max="467" width="15.296875" style="269" bestFit="1" customWidth="1"/>
    <col min="468" max="469" width="16" style="269" bestFit="1" customWidth="1"/>
    <col min="470" max="470" width="15.296875" style="269" bestFit="1" customWidth="1"/>
    <col min="471" max="473" width="14.8984375" style="269" bestFit="1" customWidth="1"/>
    <col min="474" max="474" width="17.59765625" style="269" bestFit="1" customWidth="1"/>
    <col min="475" max="475" width="16" style="269" bestFit="1" customWidth="1"/>
    <col min="476" max="476" width="14.8984375" style="269" bestFit="1" customWidth="1"/>
    <col min="477" max="477" width="16" style="269" bestFit="1" customWidth="1"/>
    <col min="478" max="479" width="14.8984375" style="269" bestFit="1" customWidth="1"/>
    <col min="480" max="480" width="16" style="269" bestFit="1" customWidth="1"/>
    <col min="481" max="482" width="14.8984375" style="269" bestFit="1" customWidth="1"/>
    <col min="483" max="484" width="16" style="269" bestFit="1" customWidth="1"/>
    <col min="485" max="493" width="14.8984375" style="269" bestFit="1" customWidth="1"/>
    <col min="494" max="494" width="17.59765625" style="269" bestFit="1" customWidth="1"/>
    <col min="495" max="495" width="16" style="269" bestFit="1" customWidth="1"/>
    <col min="496" max="500" width="14.8984375" style="269" bestFit="1" customWidth="1"/>
    <col min="501" max="501" width="16" style="269" bestFit="1" customWidth="1"/>
    <col min="502" max="504" width="14.8984375" style="269" bestFit="1" customWidth="1"/>
    <col min="505" max="505" width="16.59765625" style="269" bestFit="1" customWidth="1"/>
    <col min="506" max="507" width="14.8984375" style="269" bestFit="1" customWidth="1"/>
    <col min="508" max="508" width="16" style="269" bestFit="1" customWidth="1"/>
    <col min="509" max="514" width="14.8984375" style="269" bestFit="1" customWidth="1"/>
    <col min="515" max="515" width="16" style="269" bestFit="1" customWidth="1"/>
    <col min="516" max="517" width="14.8984375" style="269" bestFit="1" customWidth="1"/>
    <col min="518" max="518" width="16.296875" style="269" bestFit="1" customWidth="1"/>
    <col min="519" max="519" width="14.8984375" style="269" bestFit="1" customWidth="1"/>
    <col min="520" max="520" width="16" style="269" bestFit="1" customWidth="1"/>
    <col min="521" max="522" width="14.8984375" style="269" bestFit="1" customWidth="1"/>
    <col min="523" max="523" width="16" style="269" bestFit="1" customWidth="1"/>
    <col min="524" max="527" width="14.8984375" style="269" bestFit="1" customWidth="1"/>
    <col min="528" max="528" width="17.59765625" style="269" bestFit="1" customWidth="1"/>
    <col min="529" max="529" width="16" style="269" bestFit="1" customWidth="1"/>
    <col min="530" max="530" width="14.8984375" style="269" bestFit="1" customWidth="1"/>
    <col min="531" max="531" width="17.19921875" style="269" bestFit="1" customWidth="1"/>
    <col min="532" max="532" width="16" style="269" bestFit="1" customWidth="1"/>
    <col min="533" max="534" width="14.8984375" style="269" bestFit="1" customWidth="1"/>
    <col min="535" max="535" width="16" style="269" bestFit="1" customWidth="1"/>
    <col min="536" max="536" width="14.8984375" style="269" bestFit="1" customWidth="1"/>
    <col min="537" max="537" width="16" style="269" bestFit="1" customWidth="1"/>
    <col min="538" max="543" width="14.8984375" style="269" bestFit="1" customWidth="1"/>
    <col min="544" max="544" width="17" style="269" bestFit="1" customWidth="1"/>
    <col min="545" max="545" width="14.8984375" style="269" bestFit="1" customWidth="1"/>
    <col min="546" max="547" width="16" style="269" bestFit="1" customWidth="1"/>
    <col min="548" max="549" width="14.8984375" style="269" bestFit="1" customWidth="1"/>
    <col min="550" max="550" width="17.59765625" style="269" bestFit="1" customWidth="1"/>
    <col min="551" max="551" width="16" style="269" bestFit="1" customWidth="1"/>
    <col min="552" max="554" width="14.8984375" style="269" bestFit="1" customWidth="1"/>
    <col min="555" max="556" width="16" style="269" bestFit="1" customWidth="1"/>
    <col min="557" max="557" width="14.8984375" style="269" bestFit="1" customWidth="1"/>
    <col min="558" max="558" width="16" style="269" bestFit="1" customWidth="1"/>
    <col min="559" max="559" width="14.8984375" style="269" bestFit="1" customWidth="1"/>
    <col min="560" max="560" width="15.3984375" style="269" bestFit="1" customWidth="1"/>
    <col min="561" max="561" width="17.59765625" style="269" bestFit="1" customWidth="1"/>
    <col min="562" max="562" width="16" style="269" bestFit="1" customWidth="1"/>
    <col min="563" max="563" width="14.8984375" style="269" bestFit="1" customWidth="1"/>
    <col min="564" max="565" width="16" style="269" bestFit="1" customWidth="1"/>
    <col min="566" max="566" width="14.8984375" style="269" bestFit="1" customWidth="1"/>
    <col min="567" max="567" width="16" style="269" bestFit="1" customWidth="1"/>
    <col min="568" max="571" width="14.8984375" style="269" bestFit="1" customWidth="1"/>
    <col min="572" max="572" width="16" style="269" bestFit="1" customWidth="1"/>
    <col min="573" max="573" width="14.8984375" style="269" bestFit="1" customWidth="1"/>
    <col min="574" max="574" width="16" style="269" bestFit="1" customWidth="1"/>
    <col min="575" max="578" width="14.8984375" style="269" bestFit="1" customWidth="1"/>
    <col min="579" max="579" width="16.59765625" style="269" bestFit="1" customWidth="1"/>
    <col min="580" max="581" width="14.8984375" style="269" bestFit="1" customWidth="1"/>
    <col min="582" max="582" width="14.3984375" style="269" customWidth="1"/>
    <col min="583" max="583" width="17.59765625" style="269" bestFit="1" customWidth="1"/>
    <col min="584" max="584" width="16" style="269" bestFit="1" customWidth="1"/>
    <col min="585" max="585" width="14.8984375" style="269" bestFit="1" customWidth="1"/>
    <col min="586" max="589" width="16" style="269" bestFit="1" customWidth="1"/>
    <col min="590" max="590" width="15.296875" style="269" bestFit="1" customWidth="1"/>
    <col min="591" max="591" width="14.8984375" style="269" bestFit="1" customWidth="1"/>
    <col min="592" max="592" width="16.59765625" style="269" bestFit="1" customWidth="1"/>
    <col min="593" max="594" width="16" style="269" bestFit="1" customWidth="1"/>
    <col min="595" max="595" width="15.296875" style="269" bestFit="1" customWidth="1"/>
    <col min="596" max="596" width="14.8984375" style="269" bestFit="1" customWidth="1"/>
    <col min="597" max="597" width="15.3984375" style="269" bestFit="1" customWidth="1"/>
    <col min="598" max="598" width="19.59765625" style="269" bestFit="1" customWidth="1"/>
    <col min="599" max="599" width="16.8984375" style="269" bestFit="1" customWidth="1"/>
    <col min="600" max="603" width="14.8984375" style="269" bestFit="1" customWidth="1"/>
    <col min="604" max="607" width="16" style="269" bestFit="1" customWidth="1"/>
    <col min="608" max="608" width="14.8984375" style="269" bestFit="1" customWidth="1"/>
    <col min="609" max="609" width="16" style="269" bestFit="1" customWidth="1"/>
    <col min="610" max="610" width="14.8984375" style="269" bestFit="1" customWidth="1"/>
    <col min="611" max="615" width="16" style="269" bestFit="1" customWidth="1"/>
    <col min="616" max="616" width="14.8984375" style="269" bestFit="1" customWidth="1"/>
    <col min="617" max="619" width="16" style="269" bestFit="1" customWidth="1"/>
    <col min="620" max="622" width="14.8984375" style="269" bestFit="1" customWidth="1"/>
    <col min="623" max="623" width="16.59765625" style="269" bestFit="1" customWidth="1"/>
    <col min="624" max="624" width="14.8984375" style="269" bestFit="1" customWidth="1"/>
    <col min="625" max="625" width="15.8984375" style="269" bestFit="1" customWidth="1"/>
    <col min="626" max="627" width="16" style="269" bestFit="1" customWidth="1"/>
    <col min="628" max="629" width="14.8984375" style="269" bestFit="1" customWidth="1"/>
    <col min="630" max="630" width="15.3984375" style="269" bestFit="1" customWidth="1"/>
    <col min="631" max="631" width="17.59765625" style="269" bestFit="1" customWidth="1"/>
    <col min="632" max="637" width="16" style="269" bestFit="1" customWidth="1"/>
    <col min="638" max="639" width="14.8984375" style="269" bestFit="1" customWidth="1"/>
    <col min="640" max="641" width="16" style="269" bestFit="1" customWidth="1"/>
    <col min="642" max="648" width="14.8984375" style="269" bestFit="1" customWidth="1"/>
    <col min="649" max="649" width="16.59765625" style="269" bestFit="1" customWidth="1"/>
    <col min="650" max="652" width="14.8984375" style="269" bestFit="1" customWidth="1"/>
    <col min="653" max="653" width="15.3984375" style="269" bestFit="1" customWidth="1"/>
    <col min="654" max="654" width="17.59765625" style="269" bestFit="1" customWidth="1"/>
    <col min="655" max="656" width="16" style="269" bestFit="1" customWidth="1"/>
    <col min="657" max="657" width="14.8984375" style="269" bestFit="1" customWidth="1"/>
    <col min="658" max="658" width="16" style="269" bestFit="1" customWidth="1"/>
    <col min="659" max="659" width="15.296875" style="269" bestFit="1" customWidth="1"/>
    <col min="660" max="660" width="16" style="269" bestFit="1" customWidth="1"/>
    <col min="661" max="661" width="15.296875" style="269" bestFit="1" customWidth="1"/>
    <col min="662" max="664" width="16" style="269" bestFit="1" customWidth="1"/>
    <col min="665" max="666" width="14.8984375" style="269" bestFit="1" customWidth="1"/>
    <col min="667" max="667" width="15.19921875" style="269" bestFit="1" customWidth="1"/>
    <col min="668" max="669" width="14.8984375" style="269" bestFit="1" customWidth="1"/>
    <col min="670" max="670" width="15.296875" style="269" bestFit="1" customWidth="1"/>
    <col min="671" max="672" width="16" style="269" bestFit="1" customWidth="1"/>
    <col min="673" max="677" width="14.8984375" style="269" bestFit="1" customWidth="1"/>
    <col min="678" max="679" width="16" style="269" bestFit="1" customWidth="1"/>
    <col min="680" max="685" width="14.8984375" style="269" bestFit="1" customWidth="1"/>
    <col min="686" max="686" width="16" style="269" bestFit="1" customWidth="1"/>
    <col min="687" max="687" width="17.59765625" style="269" bestFit="1" customWidth="1"/>
    <col min="688" max="691" width="16" style="269" bestFit="1" customWidth="1"/>
    <col min="692" max="692" width="15.296875" style="269" bestFit="1" customWidth="1"/>
    <col min="693" max="693" width="14.8984375" style="269" bestFit="1" customWidth="1"/>
    <col min="694" max="696" width="16" style="269" bestFit="1" customWidth="1"/>
    <col min="697" max="708" width="14.8984375" style="269" bestFit="1" customWidth="1"/>
    <col min="709" max="710" width="16" style="269" bestFit="1" customWidth="1"/>
    <col min="711" max="714" width="14.8984375" style="269" bestFit="1" customWidth="1"/>
    <col min="715" max="715" width="15.3984375" style="269" bestFit="1" customWidth="1"/>
    <col min="716" max="716" width="17.59765625" style="269" bestFit="1" customWidth="1"/>
    <col min="717" max="717" width="16.8984375" style="269" bestFit="1" customWidth="1"/>
    <col min="718" max="718" width="14.8984375" style="269" bestFit="1" customWidth="1"/>
    <col min="719" max="720" width="16" style="269" bestFit="1" customWidth="1"/>
    <col min="721" max="723" width="14.8984375" style="269" bestFit="1" customWidth="1"/>
    <col min="724" max="724" width="16" style="269" bestFit="1" customWidth="1"/>
    <col min="725" max="725" width="14.8984375" style="269" bestFit="1" customWidth="1"/>
    <col min="726" max="728" width="16" style="269" bestFit="1" customWidth="1"/>
    <col min="729" max="734" width="14.8984375" style="269" bestFit="1" customWidth="1"/>
    <col min="735" max="735" width="16" style="269" bestFit="1" customWidth="1"/>
    <col min="736" max="736" width="16.296875" style="269" bestFit="1" customWidth="1"/>
    <col min="737" max="737" width="16" style="269" bestFit="1" customWidth="1"/>
    <col min="738" max="741" width="14.8984375" style="269" bestFit="1" customWidth="1"/>
    <col min="742" max="742" width="17.59765625" style="269" bestFit="1" customWidth="1"/>
    <col min="743" max="743" width="16" style="269" bestFit="1" customWidth="1"/>
    <col min="744" max="750" width="14.8984375" style="269" bestFit="1" customWidth="1"/>
    <col min="751" max="751" width="17.59765625" style="269" bestFit="1" customWidth="1"/>
    <col min="752" max="753" width="16" style="269" bestFit="1" customWidth="1"/>
    <col min="754" max="755" width="14.8984375" style="269" bestFit="1" customWidth="1"/>
    <col min="756" max="756" width="16" style="269" bestFit="1" customWidth="1"/>
    <col min="757" max="757" width="15.8984375" style="269" bestFit="1" customWidth="1"/>
    <col min="758" max="759" width="14.8984375" style="269" bestFit="1" customWidth="1"/>
    <col min="760" max="760" width="16" style="269" bestFit="1" customWidth="1"/>
    <col min="761" max="761" width="14.8984375" style="269" bestFit="1" customWidth="1"/>
    <col min="762" max="762" width="18.3984375" style="269" bestFit="1" customWidth="1"/>
    <col min="763" max="763" width="16" style="269" bestFit="1" customWidth="1"/>
    <col min="764" max="764" width="14.8984375" style="269" bestFit="1" customWidth="1"/>
    <col min="765" max="765" width="17" style="269" bestFit="1" customWidth="1"/>
    <col min="766" max="768" width="14.8984375" style="269" bestFit="1" customWidth="1"/>
    <col min="769" max="771" width="16" style="269" bestFit="1" customWidth="1"/>
    <col min="772" max="772" width="14.8984375" style="269" bestFit="1" customWidth="1"/>
    <col min="773" max="773" width="16" style="269" bestFit="1" customWidth="1"/>
    <col min="774" max="774" width="14.8984375" style="269" bestFit="1" customWidth="1"/>
    <col min="775" max="775" width="16" style="269" bestFit="1" customWidth="1"/>
    <col min="776" max="776" width="15.296875" style="269" bestFit="1" customWidth="1"/>
    <col min="777" max="780" width="14.8984375" style="269" bestFit="1" customWidth="1"/>
    <col min="781" max="781" width="15.59765625" style="269" bestFit="1" customWidth="1"/>
    <col min="782" max="784" width="14.8984375" style="269" bestFit="1" customWidth="1"/>
    <col min="785" max="786" width="16" style="269" bestFit="1" customWidth="1"/>
    <col min="787" max="787" width="16.59765625" style="269" bestFit="1" customWidth="1"/>
    <col min="788" max="790" width="14.8984375" style="269" bestFit="1" customWidth="1"/>
    <col min="791" max="791" width="15.3984375" style="269" bestFit="1" customWidth="1"/>
    <col min="792" max="792" width="14.8984375" style="269" bestFit="1" customWidth="1"/>
    <col min="793" max="793" width="18.19921875" style="269" bestFit="1" customWidth="1"/>
    <col min="794" max="794" width="17.59765625" style="269" bestFit="1" customWidth="1"/>
    <col min="795" max="797" width="16" style="269" bestFit="1" customWidth="1"/>
    <col min="798" max="798" width="14.8984375" style="269" bestFit="1" customWidth="1"/>
    <col min="799" max="799" width="16" style="269" bestFit="1" customWidth="1"/>
    <col min="800" max="800" width="14.8984375" style="269" bestFit="1" customWidth="1"/>
    <col min="801" max="801" width="15.3984375" style="269" bestFit="1" customWidth="1"/>
    <col min="802" max="802" width="17.59765625" style="269" bestFit="1" customWidth="1"/>
    <col min="803" max="807" width="16" style="269" bestFit="1" customWidth="1"/>
    <col min="808" max="812" width="14.8984375" style="269" bestFit="1" customWidth="1"/>
    <col min="813" max="813" width="16" style="269" bestFit="1" customWidth="1"/>
    <col min="814" max="818" width="14.8984375" style="269" bestFit="1" customWidth="1"/>
    <col min="819" max="819" width="16.59765625" style="269" bestFit="1" customWidth="1"/>
    <col min="820" max="821" width="14.8984375" style="269" bestFit="1" customWidth="1"/>
    <col min="822" max="822" width="17.59765625" style="269" bestFit="1" customWidth="1"/>
    <col min="823" max="825" width="16" style="269" bestFit="1" customWidth="1"/>
    <col min="826" max="826" width="14.8984375" style="269" bestFit="1" customWidth="1"/>
    <col min="827" max="827" width="16" style="269" bestFit="1" customWidth="1"/>
    <col min="828" max="830" width="14.8984375" style="269" bestFit="1" customWidth="1"/>
    <col min="831" max="831" width="15.59765625" style="269" bestFit="1" customWidth="1"/>
    <col min="832" max="832" width="16.59765625" style="269" bestFit="1" customWidth="1"/>
    <col min="833" max="833" width="16" style="269" bestFit="1" customWidth="1"/>
    <col min="834" max="834" width="14.8984375" style="269" bestFit="1" customWidth="1"/>
    <col min="835" max="836" width="16" style="269" bestFit="1" customWidth="1"/>
    <col min="837" max="843" width="14.8984375" style="269" bestFit="1" customWidth="1"/>
    <col min="844" max="844" width="17.59765625" style="269" bestFit="1" customWidth="1"/>
    <col min="845" max="845" width="16" style="269" bestFit="1" customWidth="1"/>
    <col min="846" max="847" width="14.8984375" style="269" bestFit="1" customWidth="1"/>
    <col min="848" max="848" width="16" style="269" bestFit="1" customWidth="1"/>
    <col min="849" max="854" width="14.8984375" style="269" bestFit="1" customWidth="1"/>
    <col min="855" max="855" width="16.3984375" style="269" bestFit="1" customWidth="1"/>
    <col min="856" max="856" width="14.8984375" style="269" bestFit="1" customWidth="1"/>
    <col min="857" max="857" width="17.59765625" style="269" bestFit="1" customWidth="1"/>
    <col min="858" max="859" width="14.8984375" style="269" bestFit="1" customWidth="1"/>
    <col min="860" max="861" width="16" style="269" bestFit="1" customWidth="1"/>
    <col min="862" max="867" width="14.8984375" style="269" bestFit="1" customWidth="1"/>
    <col min="868" max="868" width="17.59765625" style="269" bestFit="1" customWidth="1"/>
    <col min="869" max="869" width="16" style="269" bestFit="1" customWidth="1"/>
    <col min="870" max="870" width="14.8984375" style="269" bestFit="1" customWidth="1"/>
    <col min="871" max="872" width="16" style="269" bestFit="1" customWidth="1"/>
    <col min="873" max="873" width="17.59765625" style="269" bestFit="1" customWidth="1"/>
    <col min="874" max="875" width="14.8984375" style="269" bestFit="1" customWidth="1"/>
    <col min="876" max="877" width="17.59765625" style="269" bestFit="1" customWidth="1"/>
    <col min="878" max="878" width="14.8984375" style="269" bestFit="1" customWidth="1"/>
    <col min="879" max="879" width="16" style="269" bestFit="1" customWidth="1"/>
    <col min="880" max="880" width="16.59765625" style="269" bestFit="1" customWidth="1"/>
    <col min="881" max="881" width="14.8984375" style="269" bestFit="1" customWidth="1"/>
    <col min="882" max="882" width="15.296875" style="269" bestFit="1" customWidth="1"/>
    <col min="883" max="892" width="14.8984375" style="269" bestFit="1" customWidth="1"/>
    <col min="893" max="893" width="16" style="269" bestFit="1" customWidth="1"/>
    <col min="894" max="895" width="14.8984375" style="269" bestFit="1" customWidth="1"/>
    <col min="896" max="897" width="16" style="269" bestFit="1" customWidth="1"/>
    <col min="898" max="898" width="14.8984375" style="269" bestFit="1" customWidth="1"/>
    <col min="899" max="899" width="19.3984375" style="269" customWidth="1"/>
    <col min="900" max="900" width="18" style="269" bestFit="1" customWidth="1"/>
    <col min="901" max="901" width="14.796875" style="269" bestFit="1" customWidth="1"/>
    <col min="902" max="902" width="20.69921875" style="275" bestFit="1" customWidth="1"/>
    <col min="903" max="903" width="19.296875" style="269" bestFit="1" customWidth="1"/>
    <col min="904" max="16384" width="8.796875" style="269"/>
  </cols>
  <sheetData>
    <row r="1" spans="2:905" x14ac:dyDescent="0.95">
      <c r="D1" s="269">
        <v>1</v>
      </c>
      <c r="E1" s="269">
        <v>1</v>
      </c>
      <c r="F1" s="269">
        <v>1</v>
      </c>
      <c r="G1" s="269">
        <v>1</v>
      </c>
      <c r="H1" s="269">
        <v>1</v>
      </c>
      <c r="I1" s="269">
        <v>1</v>
      </c>
      <c r="J1" s="269">
        <v>1</v>
      </c>
      <c r="K1" s="269">
        <v>1</v>
      </c>
      <c r="L1" s="269">
        <v>1</v>
      </c>
      <c r="M1" s="269">
        <v>1</v>
      </c>
      <c r="N1" s="269">
        <v>1</v>
      </c>
      <c r="O1" s="269">
        <v>1</v>
      </c>
      <c r="P1" s="269">
        <v>1</v>
      </c>
      <c r="Q1" s="269">
        <v>1</v>
      </c>
      <c r="R1" s="269">
        <v>1</v>
      </c>
      <c r="S1" s="269">
        <v>1</v>
      </c>
      <c r="T1" s="269">
        <v>1</v>
      </c>
      <c r="U1" s="269">
        <v>1</v>
      </c>
      <c r="V1" s="269">
        <v>1</v>
      </c>
      <c r="W1" s="269">
        <v>1</v>
      </c>
      <c r="X1" s="269">
        <v>1</v>
      </c>
      <c r="Y1" s="269">
        <v>1</v>
      </c>
      <c r="Z1" s="269">
        <v>1</v>
      </c>
      <c r="AA1" s="269">
        <v>1</v>
      </c>
      <c r="AB1" s="269">
        <v>1</v>
      </c>
      <c r="AC1" s="269">
        <v>1</v>
      </c>
      <c r="AD1" s="269">
        <v>1</v>
      </c>
      <c r="AE1" s="269">
        <v>1</v>
      </c>
      <c r="AF1" s="269">
        <v>1</v>
      </c>
      <c r="AG1" s="269">
        <v>1</v>
      </c>
      <c r="AH1" s="269">
        <v>1</v>
      </c>
      <c r="AI1" s="269">
        <v>1</v>
      </c>
      <c r="AJ1" s="269">
        <v>1</v>
      </c>
      <c r="AK1" s="269">
        <v>1</v>
      </c>
      <c r="AL1" s="269">
        <v>1</v>
      </c>
      <c r="AM1" s="269">
        <v>1</v>
      </c>
      <c r="AN1" s="269">
        <v>1</v>
      </c>
      <c r="AO1" s="269">
        <v>1</v>
      </c>
      <c r="AP1" s="269">
        <v>1</v>
      </c>
      <c r="AQ1" s="269">
        <v>1</v>
      </c>
      <c r="AR1" s="269">
        <v>1</v>
      </c>
      <c r="AS1" s="269">
        <v>1</v>
      </c>
      <c r="AT1" s="269">
        <v>1</v>
      </c>
      <c r="AU1" s="269">
        <v>1</v>
      </c>
      <c r="AV1" s="269">
        <v>1</v>
      </c>
      <c r="AW1" s="269">
        <v>1</v>
      </c>
      <c r="AX1" s="269">
        <v>1</v>
      </c>
      <c r="AY1" s="269">
        <v>1</v>
      </c>
      <c r="AZ1" s="269">
        <v>1</v>
      </c>
      <c r="BA1" s="269">
        <v>1</v>
      </c>
      <c r="BB1" s="269">
        <v>1</v>
      </c>
      <c r="BC1" s="269">
        <v>1</v>
      </c>
      <c r="BD1" s="269">
        <v>1</v>
      </c>
      <c r="BE1" s="269">
        <v>1</v>
      </c>
      <c r="BF1" s="269">
        <v>1</v>
      </c>
      <c r="BG1" s="269">
        <v>1</v>
      </c>
      <c r="BH1" s="269">
        <v>1</v>
      </c>
      <c r="BI1" s="269">
        <v>1</v>
      </c>
      <c r="BJ1" s="269">
        <v>1</v>
      </c>
      <c r="BK1" s="269">
        <v>1</v>
      </c>
      <c r="BL1" s="269">
        <v>1</v>
      </c>
      <c r="BM1" s="269">
        <v>1</v>
      </c>
      <c r="BN1" s="269">
        <v>1</v>
      </c>
      <c r="BO1" s="269">
        <v>1</v>
      </c>
      <c r="BP1" s="269">
        <v>1</v>
      </c>
      <c r="BQ1" s="269">
        <v>1</v>
      </c>
      <c r="BR1" s="269">
        <v>1</v>
      </c>
      <c r="BS1" s="269">
        <v>1</v>
      </c>
      <c r="BT1" s="269">
        <v>1</v>
      </c>
      <c r="BU1" s="269">
        <v>1</v>
      </c>
      <c r="BV1" s="269">
        <v>1</v>
      </c>
      <c r="BW1" s="269">
        <v>1</v>
      </c>
      <c r="BX1" s="269">
        <v>1</v>
      </c>
      <c r="BY1" s="269">
        <v>1</v>
      </c>
      <c r="BZ1" s="269">
        <v>1</v>
      </c>
      <c r="CA1" s="269">
        <v>1</v>
      </c>
      <c r="CB1" s="269">
        <v>1</v>
      </c>
      <c r="CC1" s="269">
        <v>1</v>
      </c>
      <c r="CD1" s="269">
        <v>1</v>
      </c>
      <c r="CE1" s="269">
        <v>1</v>
      </c>
      <c r="CF1" s="269">
        <v>1</v>
      </c>
      <c r="CG1" s="269">
        <v>1</v>
      </c>
      <c r="CH1" s="269">
        <v>1</v>
      </c>
      <c r="CI1" s="269">
        <v>1</v>
      </c>
      <c r="CJ1" s="269">
        <v>1</v>
      </c>
      <c r="CK1" s="269">
        <v>1</v>
      </c>
      <c r="CL1" s="269">
        <v>1</v>
      </c>
      <c r="CM1" s="269">
        <v>1</v>
      </c>
      <c r="CN1" s="269">
        <v>1</v>
      </c>
      <c r="CO1" s="269">
        <v>1</v>
      </c>
      <c r="CP1" s="269">
        <v>1</v>
      </c>
      <c r="CQ1" s="269">
        <v>1</v>
      </c>
      <c r="CR1" s="269">
        <v>1</v>
      </c>
      <c r="CS1" s="269">
        <v>1</v>
      </c>
      <c r="CT1" s="269">
        <v>1</v>
      </c>
      <c r="CU1" s="269">
        <v>1</v>
      </c>
      <c r="CV1" s="269">
        <v>1</v>
      </c>
      <c r="CW1" s="269">
        <v>1</v>
      </c>
      <c r="CX1" s="269">
        <v>1</v>
      </c>
      <c r="CY1" s="269">
        <v>1</v>
      </c>
      <c r="CZ1" s="269">
        <v>1</v>
      </c>
      <c r="DA1" s="269">
        <v>1</v>
      </c>
      <c r="DB1" s="269">
        <v>2</v>
      </c>
      <c r="DC1" s="269">
        <v>2</v>
      </c>
      <c r="DD1" s="269">
        <v>2</v>
      </c>
      <c r="DE1" s="269">
        <v>2</v>
      </c>
      <c r="DF1" s="269">
        <v>2</v>
      </c>
      <c r="DG1" s="269">
        <v>2</v>
      </c>
      <c r="DH1" s="269">
        <v>2</v>
      </c>
      <c r="DI1" s="269">
        <v>2</v>
      </c>
      <c r="DJ1" s="269">
        <v>2</v>
      </c>
      <c r="DK1" s="269">
        <v>2</v>
      </c>
      <c r="DL1" s="269">
        <v>2</v>
      </c>
      <c r="DM1" s="269">
        <v>2</v>
      </c>
      <c r="DN1" s="269">
        <v>2</v>
      </c>
      <c r="DO1" s="269">
        <v>2</v>
      </c>
      <c r="DP1" s="269">
        <v>2</v>
      </c>
      <c r="DQ1" s="269">
        <v>2</v>
      </c>
      <c r="DR1" s="269">
        <v>2</v>
      </c>
      <c r="DS1" s="269">
        <v>2</v>
      </c>
      <c r="DT1" s="269">
        <v>2</v>
      </c>
      <c r="DU1" s="269">
        <v>2</v>
      </c>
      <c r="DV1" s="269">
        <v>2</v>
      </c>
      <c r="DW1" s="269">
        <v>2</v>
      </c>
      <c r="DX1" s="269">
        <v>2</v>
      </c>
      <c r="DY1" s="269">
        <v>2</v>
      </c>
      <c r="DZ1" s="269">
        <v>2</v>
      </c>
      <c r="EA1" s="269">
        <v>2</v>
      </c>
      <c r="EB1" s="269">
        <v>2</v>
      </c>
      <c r="EC1" s="269">
        <v>2</v>
      </c>
      <c r="ED1" s="269">
        <v>2</v>
      </c>
      <c r="EE1" s="269">
        <v>2</v>
      </c>
      <c r="EF1" s="269">
        <v>2</v>
      </c>
      <c r="EG1" s="269">
        <v>2</v>
      </c>
      <c r="EH1" s="269">
        <v>2</v>
      </c>
      <c r="EI1" s="269">
        <v>2</v>
      </c>
      <c r="EJ1" s="269">
        <v>2</v>
      </c>
      <c r="EK1" s="269">
        <v>2</v>
      </c>
      <c r="EL1" s="269">
        <v>2</v>
      </c>
      <c r="EM1" s="269">
        <v>2</v>
      </c>
      <c r="EN1" s="269">
        <v>2</v>
      </c>
      <c r="EO1" s="269">
        <v>2</v>
      </c>
      <c r="EP1" s="269">
        <v>2</v>
      </c>
      <c r="EQ1" s="269">
        <v>2</v>
      </c>
      <c r="ER1" s="269">
        <v>2</v>
      </c>
      <c r="ES1" s="269">
        <v>2</v>
      </c>
      <c r="ET1" s="269">
        <v>2</v>
      </c>
      <c r="EU1" s="269">
        <v>2</v>
      </c>
      <c r="EV1" s="269">
        <v>2</v>
      </c>
      <c r="EW1" s="269">
        <v>3</v>
      </c>
      <c r="EX1" s="269">
        <v>3</v>
      </c>
      <c r="EY1" s="269">
        <v>3</v>
      </c>
      <c r="EZ1" s="269">
        <v>3</v>
      </c>
      <c r="FA1" s="269">
        <v>3</v>
      </c>
      <c r="FB1" s="269">
        <v>3</v>
      </c>
      <c r="FC1" s="269">
        <v>3</v>
      </c>
      <c r="FD1" s="269">
        <v>3</v>
      </c>
      <c r="FE1" s="269">
        <v>3</v>
      </c>
      <c r="FF1" s="269">
        <v>3</v>
      </c>
      <c r="FG1" s="269">
        <v>3</v>
      </c>
      <c r="FH1" s="269">
        <v>3</v>
      </c>
      <c r="FI1" s="269">
        <v>3</v>
      </c>
      <c r="FJ1" s="269">
        <v>3</v>
      </c>
      <c r="FK1" s="269">
        <v>3</v>
      </c>
      <c r="FL1" s="269">
        <v>3</v>
      </c>
      <c r="FM1" s="269">
        <v>3</v>
      </c>
      <c r="FN1" s="269">
        <v>3</v>
      </c>
      <c r="FO1" s="269">
        <v>3</v>
      </c>
      <c r="FP1" s="269">
        <v>3</v>
      </c>
      <c r="FQ1" s="269">
        <v>3</v>
      </c>
      <c r="FR1" s="269">
        <v>3</v>
      </c>
      <c r="FS1" s="269">
        <v>3</v>
      </c>
      <c r="FT1" s="269">
        <v>3</v>
      </c>
      <c r="FU1" s="269">
        <v>3</v>
      </c>
      <c r="FV1" s="269">
        <v>3</v>
      </c>
      <c r="FW1" s="269">
        <v>3</v>
      </c>
      <c r="FX1" s="269">
        <v>3</v>
      </c>
      <c r="FY1" s="269">
        <v>3</v>
      </c>
      <c r="FZ1" s="269">
        <v>3</v>
      </c>
      <c r="GA1" s="269">
        <v>3</v>
      </c>
      <c r="GB1" s="269">
        <v>3</v>
      </c>
      <c r="GC1" s="269">
        <v>3</v>
      </c>
      <c r="GD1" s="269">
        <v>3</v>
      </c>
      <c r="GE1" s="269">
        <v>3</v>
      </c>
      <c r="GF1" s="269">
        <v>3</v>
      </c>
      <c r="GG1" s="269">
        <v>3</v>
      </c>
      <c r="GH1" s="269">
        <v>3</v>
      </c>
      <c r="GI1" s="269">
        <v>3</v>
      </c>
      <c r="GJ1" s="269">
        <v>3</v>
      </c>
      <c r="GK1" s="269">
        <v>3</v>
      </c>
      <c r="GL1" s="269">
        <v>3</v>
      </c>
      <c r="GM1" s="269">
        <v>3</v>
      </c>
      <c r="GN1" s="269">
        <v>3</v>
      </c>
      <c r="GO1" s="269">
        <v>3</v>
      </c>
      <c r="GP1" s="269">
        <v>3</v>
      </c>
      <c r="GQ1" s="269">
        <v>3</v>
      </c>
      <c r="GR1" s="269">
        <v>3</v>
      </c>
      <c r="GS1" s="269">
        <v>3</v>
      </c>
      <c r="GT1" s="269">
        <v>3</v>
      </c>
      <c r="GU1" s="269">
        <v>3</v>
      </c>
      <c r="GV1" s="269">
        <v>3</v>
      </c>
      <c r="GW1" s="269">
        <v>3</v>
      </c>
      <c r="GX1" s="269">
        <v>3</v>
      </c>
      <c r="GY1" s="269">
        <v>4</v>
      </c>
      <c r="GZ1" s="269">
        <v>4</v>
      </c>
      <c r="HA1" s="269">
        <v>4</v>
      </c>
      <c r="HB1" s="269">
        <v>4</v>
      </c>
      <c r="HC1" s="269">
        <v>4</v>
      </c>
      <c r="HD1" s="269">
        <v>4</v>
      </c>
      <c r="HE1" s="269">
        <v>4</v>
      </c>
      <c r="HF1" s="269">
        <v>4</v>
      </c>
      <c r="HG1" s="269">
        <v>4</v>
      </c>
      <c r="HH1" s="269">
        <v>4</v>
      </c>
      <c r="HI1" s="269">
        <v>4</v>
      </c>
      <c r="HJ1" s="269">
        <v>4</v>
      </c>
      <c r="HK1" s="269">
        <v>4</v>
      </c>
      <c r="HL1" s="269">
        <v>4</v>
      </c>
      <c r="HM1" s="269">
        <v>4</v>
      </c>
      <c r="HN1" s="269">
        <v>4</v>
      </c>
      <c r="HO1" s="269">
        <v>4</v>
      </c>
      <c r="HP1" s="269">
        <v>4</v>
      </c>
      <c r="HQ1" s="269">
        <v>4</v>
      </c>
      <c r="HR1" s="269">
        <v>4</v>
      </c>
      <c r="HS1" s="269">
        <v>4</v>
      </c>
      <c r="HT1" s="269">
        <v>4</v>
      </c>
      <c r="HU1" s="269">
        <v>4</v>
      </c>
      <c r="HV1" s="269">
        <v>4</v>
      </c>
      <c r="HW1" s="269">
        <v>4</v>
      </c>
      <c r="HX1" s="269">
        <v>4</v>
      </c>
      <c r="HY1" s="269">
        <v>4</v>
      </c>
      <c r="HZ1" s="269">
        <v>4</v>
      </c>
      <c r="IA1" s="269">
        <v>4</v>
      </c>
      <c r="IB1" s="269">
        <v>4</v>
      </c>
      <c r="IC1" s="269">
        <v>4</v>
      </c>
      <c r="ID1" s="269">
        <v>4</v>
      </c>
      <c r="IE1" s="269">
        <v>4</v>
      </c>
      <c r="IF1" s="269">
        <v>4</v>
      </c>
      <c r="IG1" s="269">
        <v>4</v>
      </c>
      <c r="IH1" s="269">
        <v>4</v>
      </c>
      <c r="II1" s="269">
        <v>4</v>
      </c>
      <c r="IJ1" s="269">
        <v>4</v>
      </c>
      <c r="IK1" s="269">
        <v>4</v>
      </c>
      <c r="IL1" s="269">
        <v>4</v>
      </c>
      <c r="IM1" s="269">
        <v>4</v>
      </c>
      <c r="IN1" s="269">
        <v>4</v>
      </c>
      <c r="IO1" s="269">
        <v>4</v>
      </c>
      <c r="IP1" s="269">
        <v>4</v>
      </c>
      <c r="IQ1" s="269">
        <v>4</v>
      </c>
      <c r="IR1" s="269">
        <v>4</v>
      </c>
      <c r="IS1" s="269">
        <v>4</v>
      </c>
      <c r="IT1" s="269">
        <v>4</v>
      </c>
      <c r="IU1" s="269">
        <v>4</v>
      </c>
      <c r="IV1" s="269">
        <v>4</v>
      </c>
      <c r="IW1" s="269">
        <v>4</v>
      </c>
      <c r="IX1" s="269">
        <v>4</v>
      </c>
      <c r="IY1" s="269">
        <v>4</v>
      </c>
      <c r="IZ1" s="269">
        <v>4</v>
      </c>
      <c r="JA1" s="269">
        <v>4</v>
      </c>
      <c r="JB1" s="269">
        <v>4</v>
      </c>
      <c r="JC1" s="269">
        <v>4</v>
      </c>
      <c r="JD1" s="269">
        <v>4</v>
      </c>
      <c r="JE1" s="269">
        <v>4</v>
      </c>
      <c r="JF1" s="269">
        <v>4</v>
      </c>
      <c r="JG1" s="269">
        <v>4</v>
      </c>
      <c r="JH1" s="269">
        <v>4</v>
      </c>
      <c r="JI1" s="269">
        <v>4</v>
      </c>
      <c r="JJ1" s="269">
        <v>4</v>
      </c>
      <c r="JK1" s="269">
        <v>4</v>
      </c>
      <c r="JL1" s="269">
        <v>4</v>
      </c>
      <c r="JM1" s="269">
        <v>4</v>
      </c>
      <c r="JN1" s="269">
        <v>4</v>
      </c>
      <c r="JO1" s="269">
        <v>4</v>
      </c>
      <c r="JP1" s="269">
        <v>4</v>
      </c>
      <c r="JQ1" s="269">
        <v>4</v>
      </c>
      <c r="JR1" s="269">
        <v>5</v>
      </c>
      <c r="JS1" s="269">
        <v>5</v>
      </c>
      <c r="JT1" s="269">
        <v>5</v>
      </c>
      <c r="JU1" s="269">
        <v>5</v>
      </c>
      <c r="JV1" s="269">
        <v>5</v>
      </c>
      <c r="JW1" s="269">
        <v>5</v>
      </c>
      <c r="JX1" s="269">
        <v>5</v>
      </c>
      <c r="JY1" s="269">
        <v>5</v>
      </c>
      <c r="JZ1" s="269">
        <v>5</v>
      </c>
      <c r="KA1" s="269">
        <v>5</v>
      </c>
      <c r="KB1" s="269">
        <v>5</v>
      </c>
      <c r="KC1" s="269">
        <v>5</v>
      </c>
      <c r="KD1" s="269">
        <v>5</v>
      </c>
      <c r="KE1" s="269">
        <v>5</v>
      </c>
      <c r="KF1" s="269">
        <v>5</v>
      </c>
      <c r="KG1" s="269">
        <v>5</v>
      </c>
      <c r="KH1" s="269">
        <v>5</v>
      </c>
      <c r="KI1" s="269">
        <v>5</v>
      </c>
      <c r="KJ1" s="269">
        <v>5</v>
      </c>
      <c r="KK1" s="269">
        <v>5</v>
      </c>
      <c r="KL1" s="269">
        <v>5</v>
      </c>
      <c r="KM1" s="269">
        <v>5</v>
      </c>
      <c r="KN1" s="269">
        <v>5</v>
      </c>
      <c r="KO1" s="269">
        <v>5</v>
      </c>
      <c r="KP1" s="269">
        <v>5</v>
      </c>
      <c r="KQ1" s="269">
        <v>5</v>
      </c>
      <c r="KR1" s="269">
        <v>5</v>
      </c>
      <c r="KS1" s="269">
        <v>5</v>
      </c>
      <c r="KT1" s="269">
        <v>5</v>
      </c>
      <c r="KU1" s="269">
        <v>5</v>
      </c>
      <c r="KV1" s="269">
        <v>5</v>
      </c>
      <c r="KW1" s="269">
        <v>5</v>
      </c>
      <c r="KX1" s="269">
        <v>5</v>
      </c>
      <c r="KY1" s="269">
        <v>5</v>
      </c>
      <c r="KZ1" s="269">
        <v>5</v>
      </c>
      <c r="LA1" s="269">
        <v>5</v>
      </c>
      <c r="LB1" s="269">
        <v>5</v>
      </c>
      <c r="LC1" s="269">
        <v>5</v>
      </c>
      <c r="LD1" s="269">
        <v>5</v>
      </c>
      <c r="LE1" s="269">
        <v>5</v>
      </c>
      <c r="LF1" s="269">
        <v>5</v>
      </c>
      <c r="LG1" s="269">
        <v>5</v>
      </c>
      <c r="LH1" s="269">
        <v>5</v>
      </c>
      <c r="LI1" s="269">
        <v>5</v>
      </c>
      <c r="LJ1" s="269">
        <v>5</v>
      </c>
      <c r="LK1" s="269">
        <v>5</v>
      </c>
      <c r="LL1" s="269">
        <v>5</v>
      </c>
      <c r="LM1" s="269">
        <v>5</v>
      </c>
      <c r="LN1" s="269">
        <v>5</v>
      </c>
      <c r="LO1" s="269">
        <v>5</v>
      </c>
      <c r="LP1" s="269">
        <v>5</v>
      </c>
      <c r="LQ1" s="269">
        <v>5</v>
      </c>
      <c r="LR1" s="269">
        <v>5</v>
      </c>
      <c r="LS1" s="269">
        <v>5</v>
      </c>
      <c r="LT1" s="269">
        <v>5</v>
      </c>
      <c r="LU1" s="269">
        <v>5</v>
      </c>
      <c r="LV1" s="269">
        <v>5</v>
      </c>
      <c r="LW1" s="269">
        <v>5</v>
      </c>
      <c r="LX1" s="269">
        <v>5</v>
      </c>
      <c r="LY1" s="269">
        <v>5</v>
      </c>
      <c r="LZ1" s="269">
        <v>5</v>
      </c>
      <c r="MA1" s="269">
        <v>5</v>
      </c>
      <c r="MB1" s="269">
        <v>5</v>
      </c>
      <c r="MC1" s="269">
        <v>5</v>
      </c>
      <c r="MD1" s="269">
        <v>5</v>
      </c>
      <c r="ME1" s="269">
        <v>5</v>
      </c>
      <c r="MF1" s="269">
        <v>5</v>
      </c>
      <c r="MG1" s="269">
        <v>6</v>
      </c>
      <c r="MH1" s="269">
        <v>6</v>
      </c>
      <c r="MI1" s="269">
        <v>6</v>
      </c>
      <c r="MJ1" s="269">
        <v>6</v>
      </c>
      <c r="MK1" s="269">
        <v>6</v>
      </c>
      <c r="ML1" s="269">
        <v>6</v>
      </c>
      <c r="MM1" s="269">
        <v>6</v>
      </c>
      <c r="MN1" s="269">
        <v>6</v>
      </c>
      <c r="MO1" s="269">
        <v>6</v>
      </c>
      <c r="MP1" s="269">
        <v>6</v>
      </c>
      <c r="MQ1" s="269">
        <v>6</v>
      </c>
      <c r="MR1" s="269">
        <v>6</v>
      </c>
      <c r="MS1" s="269">
        <v>6</v>
      </c>
      <c r="MT1" s="269">
        <v>6</v>
      </c>
      <c r="MU1" s="269">
        <v>6</v>
      </c>
      <c r="MV1" s="269">
        <v>6</v>
      </c>
      <c r="MW1" s="269">
        <v>6</v>
      </c>
      <c r="MX1" s="269">
        <v>6</v>
      </c>
      <c r="MY1" s="269">
        <v>6</v>
      </c>
      <c r="MZ1" s="269">
        <v>6</v>
      </c>
      <c r="NA1" s="269">
        <v>6</v>
      </c>
      <c r="NB1" s="269">
        <v>6</v>
      </c>
      <c r="NC1" s="269">
        <v>6</v>
      </c>
      <c r="ND1" s="269">
        <v>6</v>
      </c>
      <c r="NE1" s="269">
        <v>6</v>
      </c>
      <c r="NF1" s="269">
        <v>6</v>
      </c>
      <c r="NG1" s="269">
        <v>6</v>
      </c>
      <c r="NH1" s="269">
        <v>6</v>
      </c>
      <c r="NI1" s="269">
        <v>6</v>
      </c>
      <c r="NJ1" s="269">
        <v>6</v>
      </c>
      <c r="NK1" s="269">
        <v>6</v>
      </c>
      <c r="NL1" s="269">
        <v>6</v>
      </c>
      <c r="NM1" s="269">
        <v>6</v>
      </c>
      <c r="NN1" s="269">
        <v>6</v>
      </c>
      <c r="NO1" s="269">
        <v>6</v>
      </c>
      <c r="NP1" s="269">
        <v>6</v>
      </c>
      <c r="NQ1" s="269">
        <v>6</v>
      </c>
      <c r="NR1" s="269">
        <v>6</v>
      </c>
      <c r="NS1" s="269">
        <v>6</v>
      </c>
      <c r="NT1" s="269">
        <v>6</v>
      </c>
      <c r="NU1" s="269">
        <v>6</v>
      </c>
      <c r="NV1" s="269">
        <v>6</v>
      </c>
      <c r="NW1" s="269">
        <v>6</v>
      </c>
      <c r="NX1" s="269">
        <v>6</v>
      </c>
      <c r="NY1" s="269">
        <v>6</v>
      </c>
      <c r="NZ1" s="269">
        <v>6</v>
      </c>
      <c r="OA1" s="269">
        <v>6</v>
      </c>
      <c r="OB1" s="269">
        <v>6</v>
      </c>
      <c r="OC1" s="269">
        <v>6</v>
      </c>
      <c r="OD1" s="269">
        <v>6</v>
      </c>
      <c r="OE1" s="269">
        <v>6</v>
      </c>
      <c r="OF1" s="269">
        <v>6</v>
      </c>
      <c r="OG1" s="269">
        <v>6</v>
      </c>
      <c r="OH1" s="269">
        <v>6</v>
      </c>
      <c r="OI1" s="269">
        <v>6</v>
      </c>
      <c r="OJ1" s="269">
        <v>6</v>
      </c>
      <c r="OK1" s="269">
        <v>6</v>
      </c>
      <c r="OL1" s="269">
        <v>6</v>
      </c>
      <c r="OM1" s="269">
        <v>6</v>
      </c>
      <c r="ON1" s="269">
        <v>6</v>
      </c>
      <c r="OO1" s="269">
        <v>6</v>
      </c>
      <c r="OP1" s="269">
        <v>6</v>
      </c>
      <c r="OQ1" s="269">
        <v>6</v>
      </c>
      <c r="OR1" s="269">
        <v>6</v>
      </c>
      <c r="OS1" s="269">
        <v>6</v>
      </c>
      <c r="OT1" s="269">
        <v>6</v>
      </c>
      <c r="OU1" s="269">
        <v>6</v>
      </c>
      <c r="OV1" s="269">
        <v>6</v>
      </c>
      <c r="OW1" s="269">
        <v>6</v>
      </c>
      <c r="OX1" s="269">
        <v>6</v>
      </c>
      <c r="OY1" s="269">
        <v>6</v>
      </c>
      <c r="OZ1" s="269">
        <v>6</v>
      </c>
      <c r="PA1" s="269">
        <v>6</v>
      </c>
      <c r="PB1" s="269">
        <v>7</v>
      </c>
      <c r="PC1" s="269">
        <v>7</v>
      </c>
      <c r="PD1" s="269">
        <v>7</v>
      </c>
      <c r="PE1" s="269">
        <v>7</v>
      </c>
      <c r="PF1" s="269">
        <v>7</v>
      </c>
      <c r="PG1" s="269">
        <v>7</v>
      </c>
      <c r="PH1" s="269">
        <v>7</v>
      </c>
      <c r="PI1" s="269">
        <v>7</v>
      </c>
      <c r="PJ1" s="269">
        <v>7</v>
      </c>
      <c r="PK1" s="269">
        <v>7</v>
      </c>
      <c r="PL1" s="269">
        <v>7</v>
      </c>
      <c r="PM1" s="269">
        <v>7</v>
      </c>
      <c r="PN1" s="269">
        <v>7</v>
      </c>
      <c r="PO1" s="269">
        <v>7</v>
      </c>
      <c r="PP1" s="269">
        <v>7</v>
      </c>
      <c r="PQ1" s="269">
        <v>7</v>
      </c>
      <c r="PR1" s="269">
        <v>7</v>
      </c>
      <c r="PS1" s="269">
        <v>7</v>
      </c>
      <c r="PT1" s="269">
        <v>7</v>
      </c>
      <c r="PU1" s="269">
        <v>7</v>
      </c>
      <c r="PV1" s="269">
        <v>7</v>
      </c>
      <c r="PW1" s="269">
        <v>7</v>
      </c>
      <c r="PX1" s="269">
        <v>7</v>
      </c>
      <c r="PY1" s="269">
        <v>7</v>
      </c>
      <c r="PZ1" s="269">
        <v>7</v>
      </c>
      <c r="QA1" s="269">
        <v>7</v>
      </c>
      <c r="QB1" s="269">
        <v>7</v>
      </c>
      <c r="QC1" s="269">
        <v>7</v>
      </c>
      <c r="QD1" s="269">
        <v>7</v>
      </c>
      <c r="QE1" s="269">
        <v>7</v>
      </c>
      <c r="QF1" s="269">
        <v>7</v>
      </c>
      <c r="QG1" s="269">
        <v>7</v>
      </c>
      <c r="QH1" s="269">
        <v>7</v>
      </c>
      <c r="QI1" s="269">
        <v>7</v>
      </c>
      <c r="QJ1" s="269">
        <v>7</v>
      </c>
      <c r="QK1" s="269">
        <v>7</v>
      </c>
      <c r="QL1" s="269">
        <v>7</v>
      </c>
      <c r="QM1" s="269">
        <v>7</v>
      </c>
      <c r="QN1" s="269">
        <v>7</v>
      </c>
      <c r="QO1" s="269">
        <v>7</v>
      </c>
      <c r="QP1" s="269">
        <v>7</v>
      </c>
      <c r="QQ1" s="269">
        <v>7</v>
      </c>
      <c r="QR1" s="269">
        <v>7</v>
      </c>
      <c r="QS1" s="269">
        <v>7</v>
      </c>
      <c r="QT1" s="269">
        <v>7</v>
      </c>
      <c r="QU1" s="269">
        <v>7</v>
      </c>
      <c r="QV1" s="269">
        <v>7</v>
      </c>
      <c r="QW1" s="269">
        <v>7</v>
      </c>
      <c r="QX1" s="269">
        <v>7</v>
      </c>
      <c r="QY1" s="269">
        <v>7</v>
      </c>
      <c r="QZ1" s="269">
        <v>7</v>
      </c>
      <c r="RA1" s="269">
        <v>7</v>
      </c>
      <c r="RB1" s="269">
        <v>7</v>
      </c>
      <c r="RC1" s="269">
        <v>7</v>
      </c>
      <c r="RD1" s="269">
        <v>7</v>
      </c>
      <c r="RE1" s="269">
        <v>7</v>
      </c>
      <c r="RF1" s="269">
        <v>7</v>
      </c>
      <c r="RG1" s="269">
        <v>7</v>
      </c>
      <c r="RH1" s="269">
        <v>7</v>
      </c>
      <c r="RI1" s="269">
        <v>7</v>
      </c>
      <c r="RJ1" s="269">
        <v>7</v>
      </c>
      <c r="RK1" s="269">
        <v>7</v>
      </c>
      <c r="RL1" s="269">
        <v>7</v>
      </c>
      <c r="RM1" s="269">
        <v>7</v>
      </c>
      <c r="RN1" s="269">
        <v>7</v>
      </c>
      <c r="RO1" s="269">
        <v>7</v>
      </c>
      <c r="RP1" s="269">
        <v>7</v>
      </c>
      <c r="RQ1" s="269">
        <v>7</v>
      </c>
      <c r="RR1" s="269">
        <v>7</v>
      </c>
      <c r="RS1" s="269">
        <v>7</v>
      </c>
      <c r="RT1" s="269">
        <v>7</v>
      </c>
      <c r="RU1" s="269">
        <v>7</v>
      </c>
      <c r="RV1" s="269">
        <v>7</v>
      </c>
      <c r="RW1" s="269">
        <v>7</v>
      </c>
      <c r="RX1" s="269">
        <v>7</v>
      </c>
      <c r="RY1" s="269">
        <v>7</v>
      </c>
      <c r="RZ1" s="269">
        <v>7</v>
      </c>
      <c r="SA1" s="269">
        <v>8</v>
      </c>
      <c r="SB1" s="269">
        <v>8</v>
      </c>
      <c r="SC1" s="269">
        <v>8</v>
      </c>
      <c r="SD1" s="269">
        <v>8</v>
      </c>
      <c r="SE1" s="269">
        <v>8</v>
      </c>
      <c r="SF1" s="269">
        <v>8</v>
      </c>
      <c r="SG1" s="269">
        <v>8</v>
      </c>
      <c r="SH1" s="269">
        <v>8</v>
      </c>
      <c r="SI1" s="269">
        <v>8</v>
      </c>
      <c r="SJ1" s="269">
        <v>8</v>
      </c>
      <c r="SK1" s="269">
        <v>8</v>
      </c>
      <c r="SL1" s="269">
        <v>8</v>
      </c>
      <c r="SM1" s="269">
        <v>8</v>
      </c>
      <c r="SN1" s="269">
        <v>8</v>
      </c>
      <c r="SO1" s="269">
        <v>8</v>
      </c>
      <c r="SP1" s="269">
        <v>8</v>
      </c>
      <c r="SQ1" s="269">
        <v>8</v>
      </c>
      <c r="SR1" s="269">
        <v>8</v>
      </c>
      <c r="SS1" s="269">
        <v>8</v>
      </c>
      <c r="ST1" s="269">
        <v>8</v>
      </c>
      <c r="SU1" s="269">
        <v>8</v>
      </c>
      <c r="SV1" s="269">
        <v>8</v>
      </c>
      <c r="SW1" s="269">
        <v>8</v>
      </c>
      <c r="SX1" s="269">
        <v>8</v>
      </c>
      <c r="SY1" s="269">
        <v>8</v>
      </c>
      <c r="SZ1" s="269">
        <v>8</v>
      </c>
      <c r="TA1" s="269">
        <v>8</v>
      </c>
      <c r="TB1" s="269">
        <v>8</v>
      </c>
      <c r="TC1" s="269">
        <v>8</v>
      </c>
      <c r="TD1" s="269">
        <v>8</v>
      </c>
      <c r="TE1" s="269">
        <v>8</v>
      </c>
      <c r="TF1" s="269">
        <v>8</v>
      </c>
      <c r="TG1" s="269">
        <v>8</v>
      </c>
      <c r="TH1" s="269">
        <v>8</v>
      </c>
      <c r="TI1" s="269">
        <v>8</v>
      </c>
      <c r="TJ1" s="269">
        <v>8</v>
      </c>
      <c r="TK1" s="269">
        <v>8</v>
      </c>
      <c r="TL1" s="269">
        <v>8</v>
      </c>
      <c r="TM1" s="269">
        <v>8</v>
      </c>
      <c r="TN1" s="269">
        <v>8</v>
      </c>
      <c r="TO1" s="269">
        <v>8</v>
      </c>
      <c r="TP1" s="269">
        <v>8</v>
      </c>
      <c r="TQ1" s="269">
        <v>8</v>
      </c>
      <c r="TR1" s="269">
        <v>8</v>
      </c>
      <c r="TS1" s="269">
        <v>8</v>
      </c>
      <c r="TT1" s="269">
        <v>8</v>
      </c>
      <c r="TU1" s="269">
        <v>8</v>
      </c>
      <c r="TV1" s="269">
        <v>8</v>
      </c>
      <c r="TW1" s="269">
        <v>8</v>
      </c>
      <c r="TX1" s="269">
        <v>8</v>
      </c>
      <c r="TY1" s="269">
        <v>8</v>
      </c>
      <c r="TZ1" s="269">
        <v>8</v>
      </c>
      <c r="UA1" s="269">
        <v>8</v>
      </c>
      <c r="UB1" s="269">
        <v>8</v>
      </c>
      <c r="UC1" s="269">
        <v>8</v>
      </c>
      <c r="UD1" s="269">
        <v>8</v>
      </c>
      <c r="UE1" s="269">
        <v>8</v>
      </c>
      <c r="UF1" s="269">
        <v>8</v>
      </c>
      <c r="UG1" s="269">
        <v>8</v>
      </c>
      <c r="UH1" s="269">
        <v>8</v>
      </c>
      <c r="UI1" s="269">
        <v>8</v>
      </c>
      <c r="UJ1" s="269">
        <v>8</v>
      </c>
      <c r="UK1" s="269">
        <v>8</v>
      </c>
      <c r="UL1" s="269">
        <v>8</v>
      </c>
      <c r="UM1" s="269">
        <v>8</v>
      </c>
      <c r="UN1" s="269">
        <v>8</v>
      </c>
      <c r="UO1" s="269">
        <v>8</v>
      </c>
      <c r="UP1" s="269">
        <v>8</v>
      </c>
      <c r="UQ1" s="269">
        <v>8</v>
      </c>
      <c r="UR1" s="269">
        <v>8</v>
      </c>
      <c r="US1" s="269">
        <v>8</v>
      </c>
      <c r="UT1" s="269">
        <v>8</v>
      </c>
      <c r="UU1" s="269">
        <v>8</v>
      </c>
      <c r="UV1" s="269">
        <v>8</v>
      </c>
      <c r="UW1" s="269">
        <v>8</v>
      </c>
      <c r="UX1" s="269">
        <v>8</v>
      </c>
      <c r="UY1" s="269">
        <v>8</v>
      </c>
      <c r="UZ1" s="269">
        <v>8</v>
      </c>
      <c r="VA1" s="269">
        <v>8</v>
      </c>
      <c r="VB1" s="269">
        <v>8</v>
      </c>
      <c r="VC1" s="269">
        <v>8</v>
      </c>
      <c r="VD1" s="269">
        <v>8</v>
      </c>
      <c r="VE1" s="269">
        <v>8</v>
      </c>
      <c r="VF1" s="269">
        <v>8</v>
      </c>
      <c r="VG1" s="269">
        <v>8</v>
      </c>
      <c r="VH1" s="269">
        <v>8</v>
      </c>
      <c r="VI1" s="269">
        <v>8</v>
      </c>
      <c r="VJ1" s="269">
        <v>8</v>
      </c>
      <c r="VK1" s="269">
        <v>9</v>
      </c>
      <c r="VL1" s="269">
        <v>9</v>
      </c>
      <c r="VM1" s="269">
        <v>9</v>
      </c>
      <c r="VN1" s="269">
        <v>9</v>
      </c>
      <c r="VO1" s="269">
        <v>9</v>
      </c>
      <c r="VP1" s="269">
        <v>9</v>
      </c>
      <c r="VQ1" s="269">
        <v>9</v>
      </c>
      <c r="VR1" s="269">
        <v>9</v>
      </c>
      <c r="VS1" s="269">
        <v>9</v>
      </c>
      <c r="VT1" s="269">
        <v>9</v>
      </c>
      <c r="VU1" s="269">
        <v>9</v>
      </c>
      <c r="VV1" s="269">
        <v>9</v>
      </c>
      <c r="VW1" s="269">
        <v>9</v>
      </c>
      <c r="VX1" s="269">
        <v>9</v>
      </c>
      <c r="VY1" s="269">
        <v>9</v>
      </c>
      <c r="VZ1" s="269">
        <v>9</v>
      </c>
      <c r="WA1" s="269">
        <v>9</v>
      </c>
      <c r="WB1" s="269">
        <v>9</v>
      </c>
      <c r="WC1" s="269">
        <v>9</v>
      </c>
      <c r="WD1" s="269">
        <v>9</v>
      </c>
      <c r="WE1" s="269">
        <v>9</v>
      </c>
      <c r="WF1" s="269">
        <v>9</v>
      </c>
      <c r="WG1" s="269">
        <v>9</v>
      </c>
      <c r="WH1" s="269">
        <v>9</v>
      </c>
      <c r="WI1" s="269">
        <v>9</v>
      </c>
      <c r="WJ1" s="269">
        <v>9</v>
      </c>
      <c r="WK1" s="269">
        <v>9</v>
      </c>
      <c r="WL1" s="269">
        <v>9</v>
      </c>
      <c r="WM1" s="269">
        <v>9</v>
      </c>
      <c r="WN1" s="269">
        <v>9</v>
      </c>
      <c r="WO1" s="269">
        <v>9</v>
      </c>
      <c r="WP1" s="269">
        <v>9</v>
      </c>
      <c r="WQ1" s="269">
        <v>9</v>
      </c>
      <c r="WR1" s="269">
        <v>9</v>
      </c>
      <c r="WS1" s="269">
        <v>9</v>
      </c>
      <c r="WT1" s="269">
        <v>9</v>
      </c>
      <c r="WU1" s="269">
        <v>9</v>
      </c>
      <c r="WV1" s="269">
        <v>9</v>
      </c>
      <c r="WW1" s="269">
        <v>9</v>
      </c>
      <c r="WX1" s="269">
        <v>9</v>
      </c>
      <c r="WY1" s="269">
        <v>9</v>
      </c>
      <c r="WZ1" s="269">
        <v>9</v>
      </c>
      <c r="XA1" s="269">
        <v>9</v>
      </c>
      <c r="XB1" s="269">
        <v>9</v>
      </c>
      <c r="XC1" s="269">
        <v>9</v>
      </c>
      <c r="XD1" s="269">
        <v>9</v>
      </c>
      <c r="XE1" s="269">
        <v>9</v>
      </c>
      <c r="XF1" s="269">
        <v>9</v>
      </c>
      <c r="XG1" s="269">
        <v>9</v>
      </c>
      <c r="XH1" s="269">
        <v>9</v>
      </c>
      <c r="XI1" s="269">
        <v>9</v>
      </c>
      <c r="XJ1" s="269">
        <v>9</v>
      </c>
      <c r="XK1" s="269">
        <v>9</v>
      </c>
      <c r="XL1" s="269">
        <v>9</v>
      </c>
      <c r="XM1" s="269">
        <v>9</v>
      </c>
      <c r="XN1" s="269">
        <v>9</v>
      </c>
      <c r="XO1" s="269">
        <v>9</v>
      </c>
      <c r="XP1" s="269">
        <v>9</v>
      </c>
      <c r="XQ1" s="269">
        <v>9</v>
      </c>
      <c r="XR1" s="269">
        <v>9</v>
      </c>
      <c r="XS1" s="269">
        <v>9</v>
      </c>
      <c r="XT1" s="269">
        <v>9</v>
      </c>
      <c r="XU1" s="269">
        <v>9</v>
      </c>
      <c r="XV1" s="269">
        <v>9</v>
      </c>
      <c r="XW1" s="269">
        <v>9</v>
      </c>
      <c r="XX1" s="269">
        <v>9</v>
      </c>
      <c r="XY1" s="269">
        <v>9</v>
      </c>
      <c r="XZ1" s="269">
        <v>9</v>
      </c>
      <c r="YA1" s="269">
        <v>9</v>
      </c>
      <c r="YB1" s="269">
        <v>9</v>
      </c>
      <c r="YC1" s="269">
        <v>9</v>
      </c>
      <c r="YD1" s="269">
        <v>9</v>
      </c>
      <c r="YE1" s="269">
        <v>9</v>
      </c>
      <c r="YF1" s="269">
        <v>9</v>
      </c>
      <c r="YG1" s="269">
        <v>9</v>
      </c>
      <c r="YH1" s="269">
        <v>9</v>
      </c>
      <c r="YI1" s="269">
        <v>9</v>
      </c>
      <c r="YJ1" s="269">
        <v>9</v>
      </c>
      <c r="YK1" s="269">
        <v>9</v>
      </c>
      <c r="YL1" s="269">
        <v>9</v>
      </c>
      <c r="YM1" s="269">
        <v>9</v>
      </c>
      <c r="YN1" s="269">
        <v>9</v>
      </c>
      <c r="YO1" s="269">
        <v>9</v>
      </c>
      <c r="YP1" s="269">
        <v>9</v>
      </c>
      <c r="YQ1" s="269">
        <v>9</v>
      </c>
      <c r="YR1" s="269">
        <v>9</v>
      </c>
      <c r="YS1" s="269">
        <v>9</v>
      </c>
      <c r="YT1" s="269">
        <v>9</v>
      </c>
      <c r="YU1" s="269">
        <v>9</v>
      </c>
      <c r="YV1" s="269">
        <v>10</v>
      </c>
      <c r="YW1" s="269">
        <v>10</v>
      </c>
      <c r="YX1" s="269">
        <v>10</v>
      </c>
      <c r="YY1" s="269">
        <v>10</v>
      </c>
      <c r="YZ1" s="269">
        <v>10</v>
      </c>
      <c r="ZA1" s="269">
        <v>10</v>
      </c>
      <c r="ZB1" s="269">
        <v>10</v>
      </c>
      <c r="ZC1" s="269">
        <v>10</v>
      </c>
      <c r="ZD1" s="269">
        <v>10</v>
      </c>
      <c r="ZE1" s="269">
        <v>10</v>
      </c>
      <c r="ZF1" s="269">
        <v>10</v>
      </c>
      <c r="ZG1" s="269">
        <v>10</v>
      </c>
      <c r="ZH1" s="269">
        <v>10</v>
      </c>
      <c r="ZI1" s="269">
        <v>10</v>
      </c>
      <c r="ZJ1" s="269">
        <v>10</v>
      </c>
      <c r="ZK1" s="269">
        <v>10</v>
      </c>
      <c r="ZL1" s="269">
        <v>10</v>
      </c>
      <c r="ZM1" s="269">
        <v>10</v>
      </c>
      <c r="ZN1" s="269">
        <v>10</v>
      </c>
      <c r="ZO1" s="269">
        <v>10</v>
      </c>
      <c r="ZP1" s="269">
        <v>10</v>
      </c>
      <c r="ZQ1" s="269">
        <v>10</v>
      </c>
      <c r="ZR1" s="269">
        <v>10</v>
      </c>
      <c r="ZS1" s="269">
        <v>10</v>
      </c>
      <c r="ZT1" s="269">
        <v>10</v>
      </c>
      <c r="ZU1" s="269">
        <v>10</v>
      </c>
      <c r="ZV1" s="269">
        <v>10</v>
      </c>
      <c r="ZW1" s="269">
        <v>10</v>
      </c>
      <c r="ZX1" s="269">
        <v>10</v>
      </c>
      <c r="ZY1" s="269">
        <v>10</v>
      </c>
      <c r="ZZ1" s="269">
        <v>10</v>
      </c>
      <c r="AAA1" s="269">
        <v>10</v>
      </c>
      <c r="AAB1" s="269">
        <v>10</v>
      </c>
      <c r="AAC1" s="269">
        <v>10</v>
      </c>
      <c r="AAD1" s="269">
        <v>10</v>
      </c>
      <c r="AAE1" s="269">
        <v>10</v>
      </c>
      <c r="AAF1" s="269">
        <v>10</v>
      </c>
      <c r="AAG1" s="269">
        <v>10</v>
      </c>
      <c r="AAH1" s="269">
        <v>10</v>
      </c>
      <c r="AAI1" s="269">
        <v>10</v>
      </c>
      <c r="AAJ1" s="269">
        <v>10</v>
      </c>
      <c r="AAK1" s="269">
        <v>10</v>
      </c>
      <c r="AAL1" s="269">
        <v>10</v>
      </c>
      <c r="AAM1" s="269">
        <v>10</v>
      </c>
      <c r="AAN1" s="269">
        <v>10</v>
      </c>
      <c r="AAO1" s="269">
        <v>10</v>
      </c>
      <c r="AAP1" s="269">
        <v>10</v>
      </c>
      <c r="AAQ1" s="269">
        <v>10</v>
      </c>
      <c r="AAR1" s="269">
        <v>10</v>
      </c>
      <c r="AAS1" s="269">
        <v>10</v>
      </c>
      <c r="AAT1" s="269">
        <v>10</v>
      </c>
      <c r="AAU1" s="269">
        <v>10</v>
      </c>
      <c r="AAV1" s="269">
        <v>10</v>
      </c>
      <c r="AAW1" s="269">
        <v>10</v>
      </c>
      <c r="AAX1" s="269">
        <v>10</v>
      </c>
      <c r="AAY1" s="269">
        <v>10</v>
      </c>
      <c r="AAZ1" s="269">
        <v>10</v>
      </c>
      <c r="ABA1" s="269">
        <v>10</v>
      </c>
      <c r="ABB1" s="269">
        <v>10</v>
      </c>
      <c r="ABC1" s="269">
        <v>10</v>
      </c>
      <c r="ABD1" s="269">
        <v>10</v>
      </c>
      <c r="ABE1" s="269">
        <v>10</v>
      </c>
      <c r="ABF1" s="269">
        <v>10</v>
      </c>
      <c r="ABG1" s="269">
        <v>10</v>
      </c>
      <c r="ABH1" s="269">
        <v>10</v>
      </c>
      <c r="ABI1" s="269">
        <v>10</v>
      </c>
      <c r="ABJ1" s="269">
        <v>10</v>
      </c>
      <c r="ABK1" s="269">
        <v>10</v>
      </c>
      <c r="ABL1" s="269">
        <v>10</v>
      </c>
      <c r="ABM1" s="269">
        <v>10</v>
      </c>
      <c r="ABN1" s="269">
        <v>10</v>
      </c>
      <c r="ABO1" s="269">
        <v>11</v>
      </c>
      <c r="ABP1" s="269">
        <v>11</v>
      </c>
      <c r="ABQ1" s="269">
        <v>11</v>
      </c>
      <c r="ABR1" s="269">
        <v>11</v>
      </c>
      <c r="ABS1" s="269">
        <v>11</v>
      </c>
      <c r="ABT1" s="269">
        <v>11</v>
      </c>
      <c r="ABU1" s="269">
        <v>11</v>
      </c>
      <c r="ABV1" s="269">
        <v>11</v>
      </c>
      <c r="ABW1" s="269">
        <v>11</v>
      </c>
      <c r="ABX1" s="269">
        <v>11</v>
      </c>
      <c r="ABY1" s="269">
        <v>11</v>
      </c>
      <c r="ABZ1" s="269">
        <v>11</v>
      </c>
      <c r="ACA1" s="269">
        <v>11</v>
      </c>
      <c r="ACB1" s="269">
        <v>11</v>
      </c>
      <c r="ACC1" s="269">
        <v>11</v>
      </c>
      <c r="ACD1" s="269">
        <v>11</v>
      </c>
      <c r="ACE1" s="269">
        <v>11</v>
      </c>
      <c r="ACF1" s="269">
        <v>11</v>
      </c>
      <c r="ACG1" s="269">
        <v>11</v>
      </c>
      <c r="ACH1" s="269">
        <v>11</v>
      </c>
      <c r="ACI1" s="269">
        <v>11</v>
      </c>
      <c r="ACJ1" s="269">
        <v>11</v>
      </c>
      <c r="ACK1" s="269">
        <v>11</v>
      </c>
      <c r="ACL1" s="269">
        <v>11</v>
      </c>
      <c r="ACM1" s="269">
        <v>11</v>
      </c>
      <c r="ACN1" s="269">
        <v>11</v>
      </c>
      <c r="ACO1" s="269">
        <v>11</v>
      </c>
      <c r="ACP1" s="269">
        <v>11</v>
      </c>
      <c r="ACQ1" s="269">
        <v>11</v>
      </c>
      <c r="ACR1" s="269">
        <v>11</v>
      </c>
      <c r="ACS1" s="269">
        <v>11</v>
      </c>
      <c r="ACT1" s="269">
        <v>11</v>
      </c>
      <c r="ACU1" s="269">
        <v>11</v>
      </c>
      <c r="ACV1" s="269">
        <v>11</v>
      </c>
      <c r="ACW1" s="269">
        <v>11</v>
      </c>
      <c r="ACX1" s="269">
        <v>11</v>
      </c>
      <c r="ACY1" s="269">
        <v>11</v>
      </c>
      <c r="ACZ1" s="269">
        <v>11</v>
      </c>
      <c r="ADA1" s="269">
        <v>11</v>
      </c>
      <c r="ADB1" s="269">
        <v>11</v>
      </c>
      <c r="ADC1" s="269">
        <v>11</v>
      </c>
      <c r="ADD1" s="269">
        <v>11</v>
      </c>
      <c r="ADE1" s="269">
        <v>11</v>
      </c>
      <c r="ADF1" s="269">
        <v>11</v>
      </c>
      <c r="ADG1" s="269">
        <v>11</v>
      </c>
      <c r="ADH1" s="269">
        <v>11</v>
      </c>
      <c r="ADI1" s="269">
        <v>11</v>
      </c>
      <c r="ADJ1" s="269">
        <v>11</v>
      </c>
      <c r="ADK1" s="269">
        <v>11</v>
      </c>
      <c r="ADL1" s="269">
        <v>11</v>
      </c>
      <c r="ADM1" s="269">
        <v>11</v>
      </c>
      <c r="ADN1" s="269">
        <v>11</v>
      </c>
      <c r="ADO1" s="269">
        <v>11</v>
      </c>
      <c r="ADP1" s="269">
        <v>11</v>
      </c>
      <c r="ADQ1" s="269">
        <v>11</v>
      </c>
      <c r="ADR1" s="269">
        <v>11</v>
      </c>
      <c r="ADS1" s="269">
        <v>11</v>
      </c>
      <c r="ADT1" s="269">
        <v>11</v>
      </c>
      <c r="ADU1" s="269">
        <v>11</v>
      </c>
      <c r="ADV1" s="269">
        <v>11</v>
      </c>
      <c r="ADW1" s="269">
        <v>11</v>
      </c>
      <c r="ADX1" s="269">
        <v>11</v>
      </c>
      <c r="ADY1" s="269">
        <v>11</v>
      </c>
      <c r="ADZ1" s="269">
        <v>11</v>
      </c>
      <c r="AEA1" s="269">
        <v>11</v>
      </c>
      <c r="AEB1" s="269">
        <v>11</v>
      </c>
      <c r="AEC1" s="269">
        <v>11</v>
      </c>
      <c r="AED1" s="269">
        <v>11</v>
      </c>
      <c r="AEE1" s="269">
        <v>11</v>
      </c>
      <c r="AEF1" s="269">
        <v>11</v>
      </c>
      <c r="AEG1" s="269">
        <v>11</v>
      </c>
      <c r="AEH1" s="269">
        <v>11</v>
      </c>
      <c r="AEI1" s="269">
        <v>11</v>
      </c>
      <c r="AEJ1" s="269">
        <v>11</v>
      </c>
      <c r="AEK1" s="269">
        <v>11</v>
      </c>
      <c r="AEL1" s="269">
        <v>11</v>
      </c>
      <c r="AEM1" s="269">
        <v>11</v>
      </c>
      <c r="AEN1" s="269">
        <v>11</v>
      </c>
      <c r="AEO1" s="269">
        <v>11</v>
      </c>
      <c r="AEP1" s="269">
        <v>11</v>
      </c>
      <c r="AEQ1" s="269">
        <v>11</v>
      </c>
      <c r="AER1" s="269">
        <v>11</v>
      </c>
      <c r="AES1" s="269">
        <v>12</v>
      </c>
      <c r="AET1" s="269">
        <v>12</v>
      </c>
      <c r="AEU1" s="269">
        <v>12</v>
      </c>
      <c r="AEV1" s="269">
        <v>12</v>
      </c>
      <c r="AEW1" s="269">
        <v>12</v>
      </c>
      <c r="AEX1" s="269">
        <v>12</v>
      </c>
      <c r="AEY1" s="269">
        <v>12</v>
      </c>
      <c r="AEZ1" s="269">
        <v>12</v>
      </c>
      <c r="AFA1" s="269">
        <v>12</v>
      </c>
      <c r="AFB1" s="269">
        <v>12</v>
      </c>
      <c r="AFC1" s="269">
        <v>12</v>
      </c>
      <c r="AFD1" s="269">
        <v>12</v>
      </c>
      <c r="AFE1" s="269">
        <v>12</v>
      </c>
      <c r="AFF1" s="269">
        <v>12</v>
      </c>
      <c r="AFG1" s="269">
        <v>12</v>
      </c>
      <c r="AFH1" s="269">
        <v>12</v>
      </c>
      <c r="AFI1" s="269">
        <v>12</v>
      </c>
      <c r="AFJ1" s="269">
        <v>12</v>
      </c>
      <c r="AFK1" s="269">
        <v>12</v>
      </c>
      <c r="AFL1" s="269">
        <v>12</v>
      </c>
      <c r="AFM1" s="269">
        <v>12</v>
      </c>
      <c r="AFN1" s="269">
        <v>12</v>
      </c>
      <c r="AFO1" s="269">
        <v>12</v>
      </c>
      <c r="AFP1" s="269">
        <v>12</v>
      </c>
      <c r="AFQ1" s="269">
        <v>12</v>
      </c>
      <c r="AFR1" s="269">
        <v>12</v>
      </c>
      <c r="AFS1" s="269">
        <v>12</v>
      </c>
      <c r="AFT1" s="269">
        <v>12</v>
      </c>
      <c r="AFU1" s="269">
        <v>12</v>
      </c>
      <c r="AFV1" s="269">
        <v>12</v>
      </c>
      <c r="AFW1" s="269">
        <v>12</v>
      </c>
      <c r="AFX1" s="269">
        <v>12</v>
      </c>
      <c r="AFY1" s="269">
        <v>12</v>
      </c>
      <c r="AFZ1" s="269">
        <v>12</v>
      </c>
      <c r="AGA1" s="269">
        <v>12</v>
      </c>
      <c r="AGB1" s="269">
        <v>12</v>
      </c>
      <c r="AGC1" s="269">
        <v>12</v>
      </c>
      <c r="AGD1" s="269">
        <v>12</v>
      </c>
      <c r="AGE1" s="269">
        <v>12</v>
      </c>
      <c r="AGF1" s="269">
        <v>12</v>
      </c>
      <c r="AGG1" s="269">
        <v>12</v>
      </c>
      <c r="AGH1" s="269">
        <v>12</v>
      </c>
      <c r="AGI1" s="269">
        <v>12</v>
      </c>
      <c r="AGJ1" s="269">
        <v>12</v>
      </c>
      <c r="AGK1" s="269">
        <v>12</v>
      </c>
      <c r="AGL1" s="269">
        <v>12</v>
      </c>
      <c r="AGM1" s="269">
        <v>12</v>
      </c>
      <c r="AGN1" s="269">
        <v>12</v>
      </c>
      <c r="AGO1" s="269">
        <v>12</v>
      </c>
      <c r="AGP1" s="269">
        <v>12</v>
      </c>
      <c r="AGQ1" s="269">
        <v>12</v>
      </c>
      <c r="AGR1" s="269">
        <v>12</v>
      </c>
      <c r="AGS1" s="269">
        <v>12</v>
      </c>
      <c r="AGT1" s="269">
        <v>12</v>
      </c>
      <c r="AGU1" s="269">
        <v>12</v>
      </c>
      <c r="AGV1" s="269">
        <v>12</v>
      </c>
      <c r="AGW1" s="269">
        <v>12</v>
      </c>
      <c r="AGX1" s="269">
        <v>12</v>
      </c>
      <c r="AGY1" s="269">
        <v>12</v>
      </c>
      <c r="AGZ1" s="269">
        <v>12</v>
      </c>
      <c r="AHA1" s="269">
        <v>12</v>
      </c>
      <c r="AHB1" s="269">
        <v>12</v>
      </c>
      <c r="AHC1" s="269">
        <v>12</v>
      </c>
      <c r="AHD1" s="269">
        <v>12</v>
      </c>
      <c r="AHE1" s="269">
        <v>12</v>
      </c>
      <c r="AHF1" s="269">
        <v>12</v>
      </c>
      <c r="AHG1" s="269">
        <v>12</v>
      </c>
      <c r="AHH1" s="269">
        <v>12</v>
      </c>
      <c r="AHI1" s="269">
        <v>12</v>
      </c>
      <c r="AHJ1" s="269">
        <v>12</v>
      </c>
      <c r="AHK1" s="269">
        <v>12</v>
      </c>
      <c r="AHL1" s="269">
        <v>12</v>
      </c>
      <c r="AHM1" s="269">
        <v>12</v>
      </c>
      <c r="AHN1" s="269">
        <v>12</v>
      </c>
      <c r="AHO1" s="269">
        <v>12</v>
      </c>
      <c r="AHP1" s="269">
        <v>12</v>
      </c>
      <c r="AHQ1" s="269">
        <v>12</v>
      </c>
      <c r="AHR1" s="275">
        <v>12</v>
      </c>
      <c r="AHS1" s="269" t="s">
        <v>2106</v>
      </c>
    </row>
    <row r="2" spans="2:905" x14ac:dyDescent="0.95">
      <c r="D2" s="269" t="s">
        <v>1189</v>
      </c>
      <c r="E2" s="269" t="s">
        <v>1189</v>
      </c>
      <c r="F2" s="269" t="s">
        <v>1189</v>
      </c>
      <c r="G2" s="269" t="s">
        <v>1189</v>
      </c>
      <c r="H2" s="269" t="s">
        <v>1189</v>
      </c>
      <c r="I2" s="269" t="s">
        <v>1189</v>
      </c>
      <c r="J2" s="269" t="s">
        <v>1189</v>
      </c>
      <c r="K2" s="269" t="s">
        <v>1189</v>
      </c>
      <c r="L2" s="269" t="s">
        <v>1189</v>
      </c>
      <c r="M2" s="269" t="s">
        <v>1189</v>
      </c>
      <c r="N2" s="269" t="s">
        <v>1189</v>
      </c>
      <c r="O2" s="269" t="s">
        <v>1189</v>
      </c>
      <c r="P2" s="269" t="s">
        <v>1189</v>
      </c>
      <c r="Q2" s="269" t="s">
        <v>1189</v>
      </c>
      <c r="R2" s="269" t="s">
        <v>1189</v>
      </c>
      <c r="S2" s="269" t="s">
        <v>1189</v>
      </c>
      <c r="T2" s="269" t="s">
        <v>1189</v>
      </c>
      <c r="U2" s="269" t="s">
        <v>1189</v>
      </c>
      <c r="V2" s="269" t="s">
        <v>1190</v>
      </c>
      <c r="W2" s="269" t="s">
        <v>1190</v>
      </c>
      <c r="X2" s="269" t="s">
        <v>1190</v>
      </c>
      <c r="Y2" s="269" t="s">
        <v>1190</v>
      </c>
      <c r="Z2" s="269" t="s">
        <v>1190</v>
      </c>
      <c r="AA2" s="269" t="s">
        <v>1190</v>
      </c>
      <c r="AB2" s="269" t="s">
        <v>1190</v>
      </c>
      <c r="AC2" s="269" t="s">
        <v>1190</v>
      </c>
      <c r="AD2" s="269" t="s">
        <v>1190</v>
      </c>
      <c r="AE2" s="269" t="s">
        <v>1190</v>
      </c>
      <c r="AF2" s="269" t="s">
        <v>1190</v>
      </c>
      <c r="AG2" s="269" t="s">
        <v>1190</v>
      </c>
      <c r="AH2" s="269" t="s">
        <v>1190</v>
      </c>
      <c r="AI2" s="269" t="s">
        <v>1190</v>
      </c>
      <c r="AJ2" s="269" t="s">
        <v>1190</v>
      </c>
      <c r="AK2" s="269" t="s">
        <v>1190</v>
      </c>
      <c r="AL2" s="269" t="s">
        <v>1190</v>
      </c>
      <c r="AM2" s="269" t="s">
        <v>1190</v>
      </c>
      <c r="AN2" s="269" t="s">
        <v>1190</v>
      </c>
      <c r="AO2" s="269" t="s">
        <v>1190</v>
      </c>
      <c r="AP2" s="269" t="s">
        <v>1190</v>
      </c>
      <c r="AQ2" s="269" t="s">
        <v>1190</v>
      </c>
      <c r="AR2" s="269" t="s">
        <v>1190</v>
      </c>
      <c r="AS2" s="269" t="s">
        <v>1190</v>
      </c>
      <c r="AT2" s="269" t="s">
        <v>1191</v>
      </c>
      <c r="AU2" s="269" t="s">
        <v>1191</v>
      </c>
      <c r="AV2" s="269" t="s">
        <v>1191</v>
      </c>
      <c r="AW2" s="269" t="s">
        <v>1191</v>
      </c>
      <c r="AX2" s="269" t="s">
        <v>1191</v>
      </c>
      <c r="AY2" s="269" t="s">
        <v>1191</v>
      </c>
      <c r="AZ2" s="269" t="s">
        <v>1191</v>
      </c>
      <c r="BA2" s="269" t="s">
        <v>1191</v>
      </c>
      <c r="BB2" s="269" t="s">
        <v>1191</v>
      </c>
      <c r="BC2" s="269" t="s">
        <v>1191</v>
      </c>
      <c r="BD2" s="269" t="s">
        <v>1191</v>
      </c>
      <c r="BE2" s="269" t="s">
        <v>1191</v>
      </c>
      <c r="BF2" s="269" t="s">
        <v>1191</v>
      </c>
      <c r="BG2" s="269" t="s">
        <v>1191</v>
      </c>
      <c r="BH2" s="269" t="s">
        <v>1191</v>
      </c>
      <c r="BI2" s="269" t="s">
        <v>1192</v>
      </c>
      <c r="BJ2" s="269" t="s">
        <v>1192</v>
      </c>
      <c r="BK2" s="269" t="s">
        <v>1192</v>
      </c>
      <c r="BL2" s="269" t="s">
        <v>1192</v>
      </c>
      <c r="BM2" s="269" t="s">
        <v>1192</v>
      </c>
      <c r="BN2" s="269" t="s">
        <v>1192</v>
      </c>
      <c r="BO2" s="269" t="s">
        <v>1192</v>
      </c>
      <c r="BP2" s="269" t="s">
        <v>1192</v>
      </c>
      <c r="BQ2" s="269" t="s">
        <v>1192</v>
      </c>
      <c r="BR2" s="269" t="s">
        <v>1193</v>
      </c>
      <c r="BS2" s="269" t="s">
        <v>1193</v>
      </c>
      <c r="BT2" s="269" t="s">
        <v>1193</v>
      </c>
      <c r="BU2" s="269" t="s">
        <v>1193</v>
      </c>
      <c r="BV2" s="269" t="s">
        <v>1193</v>
      </c>
      <c r="BW2" s="269" t="s">
        <v>1193</v>
      </c>
      <c r="BX2" s="269" t="s">
        <v>1193</v>
      </c>
      <c r="BY2" s="269" t="s">
        <v>1193</v>
      </c>
      <c r="BZ2" s="269" t="s">
        <v>1194</v>
      </c>
      <c r="CA2" s="269" t="s">
        <v>1194</v>
      </c>
      <c r="CB2" s="269" t="s">
        <v>1194</v>
      </c>
      <c r="CC2" s="269" t="s">
        <v>1194</v>
      </c>
      <c r="CD2" s="269" t="s">
        <v>1194</v>
      </c>
      <c r="CE2" s="269" t="s">
        <v>1194</v>
      </c>
      <c r="CF2" s="269" t="s">
        <v>1194</v>
      </c>
      <c r="CG2" s="269" t="s">
        <v>1195</v>
      </c>
      <c r="CH2" s="269" t="s">
        <v>1195</v>
      </c>
      <c r="CI2" s="269" t="s">
        <v>1195</v>
      </c>
      <c r="CJ2" s="269" t="s">
        <v>1195</v>
      </c>
      <c r="CK2" s="269" t="s">
        <v>1195</v>
      </c>
      <c r="CL2" s="269" t="s">
        <v>1195</v>
      </c>
      <c r="CM2" s="269" t="s">
        <v>1195</v>
      </c>
      <c r="CN2" s="269" t="s">
        <v>1195</v>
      </c>
      <c r="CO2" s="269" t="s">
        <v>1195</v>
      </c>
      <c r="CP2" s="269" t="s">
        <v>1195</v>
      </c>
      <c r="CQ2" s="269" t="s">
        <v>1195</v>
      </c>
      <c r="CR2" s="269" t="s">
        <v>1195</v>
      </c>
      <c r="CS2" s="269" t="s">
        <v>1195</v>
      </c>
      <c r="CT2" s="269" t="s">
        <v>1196</v>
      </c>
      <c r="CU2" s="269" t="s">
        <v>1196</v>
      </c>
      <c r="CV2" s="269" t="s">
        <v>1196</v>
      </c>
      <c r="CW2" s="269" t="s">
        <v>1196</v>
      </c>
      <c r="CX2" s="269" t="s">
        <v>1196</v>
      </c>
      <c r="CY2" s="269" t="s">
        <v>1196</v>
      </c>
      <c r="CZ2" s="269" t="s">
        <v>1196</v>
      </c>
      <c r="DA2" s="269" t="s">
        <v>1196</v>
      </c>
      <c r="DB2" s="269" t="s">
        <v>1197</v>
      </c>
      <c r="DC2" s="269" t="s">
        <v>1197</v>
      </c>
      <c r="DD2" s="269" t="s">
        <v>1197</v>
      </c>
      <c r="DE2" s="269" t="s">
        <v>1197</v>
      </c>
      <c r="DF2" s="269" t="s">
        <v>1197</v>
      </c>
      <c r="DG2" s="269" t="s">
        <v>1197</v>
      </c>
      <c r="DH2" s="269" t="s">
        <v>1197</v>
      </c>
      <c r="DI2" s="269" t="s">
        <v>1197</v>
      </c>
      <c r="DJ2" s="269" t="s">
        <v>1197</v>
      </c>
      <c r="DK2" s="269" t="s">
        <v>1198</v>
      </c>
      <c r="DL2" s="269" t="s">
        <v>1198</v>
      </c>
      <c r="DM2" s="269" t="s">
        <v>1198</v>
      </c>
      <c r="DN2" s="269" t="s">
        <v>1198</v>
      </c>
      <c r="DO2" s="269" t="s">
        <v>1198</v>
      </c>
      <c r="DP2" s="269" t="s">
        <v>1198</v>
      </c>
      <c r="DQ2" s="269" t="s">
        <v>1198</v>
      </c>
      <c r="DR2" s="269" t="s">
        <v>1198</v>
      </c>
      <c r="DS2" s="269" t="s">
        <v>1198</v>
      </c>
      <c r="DT2" s="269" t="s">
        <v>1199</v>
      </c>
      <c r="DU2" s="269" t="s">
        <v>1199</v>
      </c>
      <c r="DV2" s="269" t="s">
        <v>1199</v>
      </c>
      <c r="DW2" s="269" t="s">
        <v>1199</v>
      </c>
      <c r="DX2" s="269" t="s">
        <v>1199</v>
      </c>
      <c r="DY2" s="269" t="s">
        <v>1199</v>
      </c>
      <c r="DZ2" s="269" t="s">
        <v>1199</v>
      </c>
      <c r="EA2" s="269" t="s">
        <v>1199</v>
      </c>
      <c r="EB2" s="269" t="s">
        <v>1199</v>
      </c>
      <c r="EC2" s="269" t="s">
        <v>1199</v>
      </c>
      <c r="ED2" s="269" t="s">
        <v>1199</v>
      </c>
      <c r="EE2" s="269" t="s">
        <v>1200</v>
      </c>
      <c r="EF2" s="269" t="s">
        <v>1200</v>
      </c>
      <c r="EG2" s="269" t="s">
        <v>1200</v>
      </c>
      <c r="EH2" s="269" t="s">
        <v>1200</v>
      </c>
      <c r="EI2" s="269" t="s">
        <v>1200</v>
      </c>
      <c r="EJ2" s="269" t="s">
        <v>1200</v>
      </c>
      <c r="EK2" s="269" t="s">
        <v>1200</v>
      </c>
      <c r="EL2" s="269" t="s">
        <v>1200</v>
      </c>
      <c r="EM2" s="269" t="s">
        <v>1200</v>
      </c>
      <c r="EN2" s="269" t="s">
        <v>1201</v>
      </c>
      <c r="EO2" s="269" t="s">
        <v>1201</v>
      </c>
      <c r="EP2" s="269" t="s">
        <v>1201</v>
      </c>
      <c r="EQ2" s="269" t="s">
        <v>1201</v>
      </c>
      <c r="ER2" s="269" t="s">
        <v>1201</v>
      </c>
      <c r="ES2" s="269" t="s">
        <v>1201</v>
      </c>
      <c r="ET2" s="269" t="s">
        <v>1201</v>
      </c>
      <c r="EU2" s="269" t="s">
        <v>1201</v>
      </c>
      <c r="EV2" s="269" t="s">
        <v>1201</v>
      </c>
      <c r="EW2" s="269" t="s">
        <v>1202</v>
      </c>
      <c r="EX2" s="269" t="s">
        <v>1202</v>
      </c>
      <c r="EY2" s="269" t="s">
        <v>1202</v>
      </c>
      <c r="EZ2" s="269" t="s">
        <v>1202</v>
      </c>
      <c r="FA2" s="269" t="s">
        <v>1202</v>
      </c>
      <c r="FB2" s="269" t="s">
        <v>1202</v>
      </c>
      <c r="FC2" s="269" t="s">
        <v>1202</v>
      </c>
      <c r="FD2" s="269" t="s">
        <v>1202</v>
      </c>
      <c r="FE2" s="269" t="s">
        <v>1202</v>
      </c>
      <c r="FF2" s="269" t="s">
        <v>1202</v>
      </c>
      <c r="FG2" s="269" t="s">
        <v>1202</v>
      </c>
      <c r="FH2" s="269" t="s">
        <v>1202</v>
      </c>
      <c r="FI2" s="269" t="s">
        <v>1203</v>
      </c>
      <c r="FJ2" s="269" t="s">
        <v>1203</v>
      </c>
      <c r="FK2" s="269" t="s">
        <v>1203</v>
      </c>
      <c r="FL2" s="269" t="s">
        <v>1203</v>
      </c>
      <c r="FM2" s="269" t="s">
        <v>1203</v>
      </c>
      <c r="FN2" s="269" t="s">
        <v>1203</v>
      </c>
      <c r="FO2" s="269" t="s">
        <v>1203</v>
      </c>
      <c r="FP2" s="269" t="s">
        <v>1203</v>
      </c>
      <c r="FQ2" s="269" t="s">
        <v>1204</v>
      </c>
      <c r="FR2" s="269" t="s">
        <v>1204</v>
      </c>
      <c r="FS2" s="269" t="s">
        <v>1204</v>
      </c>
      <c r="FT2" s="269" t="s">
        <v>1204</v>
      </c>
      <c r="FU2" s="269" t="s">
        <v>1204</v>
      </c>
      <c r="FV2" s="269" t="s">
        <v>1204</v>
      </c>
      <c r="FW2" s="269" t="s">
        <v>1204</v>
      </c>
      <c r="FX2" s="269" t="s">
        <v>1204</v>
      </c>
      <c r="FY2" s="269" t="s">
        <v>1204</v>
      </c>
      <c r="FZ2" s="269" t="s">
        <v>1204</v>
      </c>
      <c r="GA2" s="269" t="s">
        <v>1204</v>
      </c>
      <c r="GB2" s="269" t="s">
        <v>1204</v>
      </c>
      <c r="GC2" s="269" t="s">
        <v>1204</v>
      </c>
      <c r="GD2" s="269" t="s">
        <v>1204</v>
      </c>
      <c r="GE2" s="269" t="s">
        <v>1205</v>
      </c>
      <c r="GF2" s="269" t="s">
        <v>1205</v>
      </c>
      <c r="GG2" s="269" t="s">
        <v>1205</v>
      </c>
      <c r="GH2" s="269" t="s">
        <v>1205</v>
      </c>
      <c r="GI2" s="269" t="s">
        <v>1205</v>
      </c>
      <c r="GJ2" s="269" t="s">
        <v>1205</v>
      </c>
      <c r="GK2" s="269" t="s">
        <v>1205</v>
      </c>
      <c r="GL2" s="269" t="s">
        <v>1205</v>
      </c>
      <c r="GM2" s="269" t="s">
        <v>1205</v>
      </c>
      <c r="GN2" s="269" t="s">
        <v>1205</v>
      </c>
      <c r="GO2" s="269" t="s">
        <v>1205</v>
      </c>
      <c r="GP2" s="269" t="s">
        <v>1205</v>
      </c>
      <c r="GQ2" s="269" t="s">
        <v>1206</v>
      </c>
      <c r="GR2" s="269" t="s">
        <v>1206</v>
      </c>
      <c r="GS2" s="269" t="s">
        <v>1206</v>
      </c>
      <c r="GT2" s="269" t="s">
        <v>1206</v>
      </c>
      <c r="GU2" s="269" t="s">
        <v>1206</v>
      </c>
      <c r="GV2" s="269" t="s">
        <v>1206</v>
      </c>
      <c r="GW2" s="269" t="s">
        <v>1206</v>
      </c>
      <c r="GX2" s="269" t="s">
        <v>1206</v>
      </c>
      <c r="GY2" s="269" t="s">
        <v>1207</v>
      </c>
      <c r="GZ2" s="269" t="s">
        <v>1207</v>
      </c>
      <c r="HA2" s="269" t="s">
        <v>1207</v>
      </c>
      <c r="HB2" s="269" t="s">
        <v>1207</v>
      </c>
      <c r="HC2" s="269" t="s">
        <v>1208</v>
      </c>
      <c r="HD2" s="269" t="s">
        <v>1208</v>
      </c>
      <c r="HE2" s="269" t="s">
        <v>1208</v>
      </c>
      <c r="HF2" s="269" t="s">
        <v>1208</v>
      </c>
      <c r="HG2" s="269" t="s">
        <v>1208</v>
      </c>
      <c r="HH2" s="269" t="s">
        <v>1208</v>
      </c>
      <c r="HI2" s="269" t="s">
        <v>1208</v>
      </c>
      <c r="HJ2" s="269" t="s">
        <v>1209</v>
      </c>
      <c r="HK2" s="269" t="s">
        <v>1209</v>
      </c>
      <c r="HL2" s="269" t="s">
        <v>1209</v>
      </c>
      <c r="HM2" s="269" t="s">
        <v>1209</v>
      </c>
      <c r="HN2" s="269" t="s">
        <v>1209</v>
      </c>
      <c r="HO2" s="269" t="s">
        <v>1209</v>
      </c>
      <c r="HP2" s="269" t="s">
        <v>1209</v>
      </c>
      <c r="HQ2" s="269" t="s">
        <v>1209</v>
      </c>
      <c r="HR2" s="269" t="s">
        <v>1210</v>
      </c>
      <c r="HS2" s="269" t="s">
        <v>1210</v>
      </c>
      <c r="HT2" s="269" t="s">
        <v>1210</v>
      </c>
      <c r="HU2" s="269" t="s">
        <v>1210</v>
      </c>
      <c r="HV2" s="269" t="s">
        <v>1210</v>
      </c>
      <c r="HW2" s="269" t="s">
        <v>1210</v>
      </c>
      <c r="HX2" s="269" t="s">
        <v>1210</v>
      </c>
      <c r="HY2" s="269" t="s">
        <v>1210</v>
      </c>
      <c r="HZ2" s="269" t="s">
        <v>1210</v>
      </c>
      <c r="IA2" s="269" t="s">
        <v>1210</v>
      </c>
      <c r="IB2" s="269" t="s">
        <v>1210</v>
      </c>
      <c r="IC2" s="269" t="s">
        <v>1210</v>
      </c>
      <c r="ID2" s="269" t="s">
        <v>1210</v>
      </c>
      <c r="IE2" s="269" t="s">
        <v>1210</v>
      </c>
      <c r="IF2" s="269" t="s">
        <v>1210</v>
      </c>
      <c r="IG2" s="269" t="s">
        <v>1210</v>
      </c>
      <c r="IH2" s="269" t="s">
        <v>1211</v>
      </c>
      <c r="II2" s="269" t="s">
        <v>1211</v>
      </c>
      <c r="IJ2" s="269" t="s">
        <v>1211</v>
      </c>
      <c r="IK2" s="269" t="s">
        <v>1211</v>
      </c>
      <c r="IL2" s="269" t="s">
        <v>1211</v>
      </c>
      <c r="IM2" s="269" t="s">
        <v>1211</v>
      </c>
      <c r="IN2" s="269" t="s">
        <v>1211</v>
      </c>
      <c r="IO2" s="269" t="s">
        <v>1211</v>
      </c>
      <c r="IP2" s="269" t="s">
        <v>1211</v>
      </c>
      <c r="IQ2" s="269" t="s">
        <v>1211</v>
      </c>
      <c r="IR2" s="269" t="s">
        <v>1211</v>
      </c>
      <c r="IS2" s="269" t="s">
        <v>1212</v>
      </c>
      <c r="IT2" s="269" t="s">
        <v>1212</v>
      </c>
      <c r="IU2" s="269" t="s">
        <v>1212</v>
      </c>
      <c r="IV2" s="269" t="s">
        <v>1212</v>
      </c>
      <c r="IW2" s="269" t="s">
        <v>1212</v>
      </c>
      <c r="IX2" s="269" t="s">
        <v>1212</v>
      </c>
      <c r="IY2" s="269" t="s">
        <v>1212</v>
      </c>
      <c r="IZ2" s="269" t="s">
        <v>1212</v>
      </c>
      <c r="JA2" s="269" t="s">
        <v>1212</v>
      </c>
      <c r="JB2" s="269" t="s">
        <v>1212</v>
      </c>
      <c r="JC2" s="269" t="s">
        <v>1212</v>
      </c>
      <c r="JD2" s="269" t="s">
        <v>1212</v>
      </c>
      <c r="JE2" s="269" t="s">
        <v>1213</v>
      </c>
      <c r="JF2" s="269" t="s">
        <v>1213</v>
      </c>
      <c r="JG2" s="269" t="s">
        <v>1213</v>
      </c>
      <c r="JH2" s="269" t="s">
        <v>1213</v>
      </c>
      <c r="JI2" s="269" t="s">
        <v>1213</v>
      </c>
      <c r="JJ2" s="269" t="s">
        <v>1213</v>
      </c>
      <c r="JK2" s="269" t="s">
        <v>1214</v>
      </c>
      <c r="JL2" s="269" t="s">
        <v>1214</v>
      </c>
      <c r="JM2" s="269" t="s">
        <v>1214</v>
      </c>
      <c r="JN2" s="269" t="s">
        <v>1214</v>
      </c>
      <c r="JO2" s="269" t="s">
        <v>1214</v>
      </c>
      <c r="JP2" s="269" t="s">
        <v>1214</v>
      </c>
      <c r="JQ2" s="269" t="s">
        <v>1214</v>
      </c>
      <c r="JR2" s="269" t="s">
        <v>1215</v>
      </c>
      <c r="JS2" s="269" t="s">
        <v>1215</v>
      </c>
      <c r="JT2" s="269" t="s">
        <v>1215</v>
      </c>
      <c r="JU2" s="269" t="s">
        <v>1215</v>
      </c>
      <c r="JV2" s="269" t="s">
        <v>1215</v>
      </c>
      <c r="JW2" s="269" t="s">
        <v>1215</v>
      </c>
      <c r="JX2" s="269" t="s">
        <v>1215</v>
      </c>
      <c r="JY2" s="269" t="s">
        <v>1215</v>
      </c>
      <c r="JZ2" s="269" t="s">
        <v>1215</v>
      </c>
      <c r="KA2" s="269" t="s">
        <v>1215</v>
      </c>
      <c r="KB2" s="269" t="s">
        <v>1215</v>
      </c>
      <c r="KC2" s="269" t="s">
        <v>1215</v>
      </c>
      <c r="KD2" s="269" t="s">
        <v>1215</v>
      </c>
      <c r="KE2" s="269" t="s">
        <v>1215</v>
      </c>
      <c r="KF2" s="269" t="s">
        <v>1215</v>
      </c>
      <c r="KG2" s="269" t="s">
        <v>1215</v>
      </c>
      <c r="KH2" s="269" t="s">
        <v>1216</v>
      </c>
      <c r="KI2" s="269" t="s">
        <v>1216</v>
      </c>
      <c r="KJ2" s="269" t="s">
        <v>1216</v>
      </c>
      <c r="KK2" s="269" t="s">
        <v>1216</v>
      </c>
      <c r="KL2" s="269" t="s">
        <v>1216</v>
      </c>
      <c r="KM2" s="269" t="s">
        <v>1216</v>
      </c>
      <c r="KN2" s="269" t="s">
        <v>1216</v>
      </c>
      <c r="KO2" s="269" t="s">
        <v>1216</v>
      </c>
      <c r="KP2" s="269" t="s">
        <v>1216</v>
      </c>
      <c r="KQ2" s="269" t="s">
        <v>1217</v>
      </c>
      <c r="KR2" s="269" t="s">
        <v>1217</v>
      </c>
      <c r="KS2" s="269" t="s">
        <v>1217</v>
      </c>
      <c r="KT2" s="269" t="s">
        <v>1217</v>
      </c>
      <c r="KU2" s="269" t="s">
        <v>1217</v>
      </c>
      <c r="KV2" s="269" t="s">
        <v>1217</v>
      </c>
      <c r="KW2" s="269" t="s">
        <v>1217</v>
      </c>
      <c r="KX2" s="269" t="s">
        <v>1217</v>
      </c>
      <c r="KY2" s="269" t="s">
        <v>1218</v>
      </c>
      <c r="KZ2" s="269" t="s">
        <v>1218</v>
      </c>
      <c r="LA2" s="269" t="s">
        <v>1218</v>
      </c>
      <c r="LB2" s="269" t="s">
        <v>1218</v>
      </c>
      <c r="LC2" s="269" t="s">
        <v>1218</v>
      </c>
      <c r="LD2" s="269" t="s">
        <v>1218</v>
      </c>
      <c r="LE2" s="269" t="s">
        <v>1218</v>
      </c>
      <c r="LF2" s="269" t="s">
        <v>1218</v>
      </c>
      <c r="LG2" s="269" t="s">
        <v>1219</v>
      </c>
      <c r="LH2" s="269" t="s">
        <v>1219</v>
      </c>
      <c r="LI2" s="269" t="s">
        <v>1219</v>
      </c>
      <c r="LJ2" s="269" t="s">
        <v>1219</v>
      </c>
      <c r="LK2" s="269" t="s">
        <v>1219</v>
      </c>
      <c r="LL2" s="269" t="s">
        <v>1219</v>
      </c>
      <c r="LM2" s="269" t="s">
        <v>1219</v>
      </c>
      <c r="LN2" s="269" t="s">
        <v>1219</v>
      </c>
      <c r="LO2" s="269" t="s">
        <v>1219</v>
      </c>
      <c r="LP2" s="269" t="s">
        <v>1219</v>
      </c>
      <c r="LQ2" s="269" t="s">
        <v>1219</v>
      </c>
      <c r="LR2" s="269" t="s">
        <v>1220</v>
      </c>
      <c r="LS2" s="269" t="s">
        <v>1220</v>
      </c>
      <c r="LT2" s="269" t="s">
        <v>1220</v>
      </c>
      <c r="LU2" s="269" t="s">
        <v>1221</v>
      </c>
      <c r="LV2" s="269" t="s">
        <v>1221</v>
      </c>
      <c r="LW2" s="269" t="s">
        <v>1222</v>
      </c>
      <c r="LX2" s="269" t="s">
        <v>1222</v>
      </c>
      <c r="LY2" s="269" t="s">
        <v>1222</v>
      </c>
      <c r="LZ2" s="269" t="s">
        <v>1222</v>
      </c>
      <c r="MA2" s="269" t="s">
        <v>1222</v>
      </c>
      <c r="MB2" s="269" t="s">
        <v>1222</v>
      </c>
      <c r="MC2" s="269" t="s">
        <v>1222</v>
      </c>
      <c r="MD2" s="269" t="s">
        <v>1222</v>
      </c>
      <c r="ME2" s="269" t="s">
        <v>1222</v>
      </c>
      <c r="MF2" s="269" t="s">
        <v>1222</v>
      </c>
      <c r="MG2" s="269" t="s">
        <v>1223</v>
      </c>
      <c r="MH2" s="269" t="s">
        <v>1223</v>
      </c>
      <c r="MI2" s="269" t="s">
        <v>1223</v>
      </c>
      <c r="MJ2" s="269" t="s">
        <v>1223</v>
      </c>
      <c r="MK2" s="269" t="s">
        <v>1223</v>
      </c>
      <c r="ML2" s="269" t="s">
        <v>1223</v>
      </c>
      <c r="MM2" s="269" t="s">
        <v>1223</v>
      </c>
      <c r="MN2" s="269" t="s">
        <v>1223</v>
      </c>
      <c r="MO2" s="269" t="s">
        <v>1223</v>
      </c>
      <c r="MP2" s="269" t="s">
        <v>1223</v>
      </c>
      <c r="MQ2" s="269" t="s">
        <v>1223</v>
      </c>
      <c r="MR2" s="269" t="s">
        <v>1223</v>
      </c>
      <c r="MS2" s="269" t="s">
        <v>1224</v>
      </c>
      <c r="MT2" s="269" t="s">
        <v>1224</v>
      </c>
      <c r="MU2" s="269" t="s">
        <v>1224</v>
      </c>
      <c r="MV2" s="269" t="s">
        <v>1224</v>
      </c>
      <c r="MW2" s="269" t="s">
        <v>1224</v>
      </c>
      <c r="MX2" s="269" t="s">
        <v>1224</v>
      </c>
      <c r="MY2" s="269" t="s">
        <v>1224</v>
      </c>
      <c r="MZ2" s="269" t="s">
        <v>1224</v>
      </c>
      <c r="NA2" s="269" t="s">
        <v>1224</v>
      </c>
      <c r="NB2" s="269" t="s">
        <v>1224</v>
      </c>
      <c r="NC2" s="269" t="s">
        <v>1224</v>
      </c>
      <c r="ND2" s="269" t="s">
        <v>1225</v>
      </c>
      <c r="NE2" s="269" t="s">
        <v>1225</v>
      </c>
      <c r="NF2" s="269" t="s">
        <v>1225</v>
      </c>
      <c r="NG2" s="269" t="s">
        <v>1225</v>
      </c>
      <c r="NH2" s="269" t="s">
        <v>1225</v>
      </c>
      <c r="NI2" s="269" t="s">
        <v>1225</v>
      </c>
      <c r="NJ2" s="269" t="s">
        <v>1225</v>
      </c>
      <c r="NK2" s="269" t="s">
        <v>1225</v>
      </c>
      <c r="NL2" s="269" t="s">
        <v>1225</v>
      </c>
      <c r="NM2" s="269" t="s">
        <v>1225</v>
      </c>
      <c r="NN2" s="269" t="s">
        <v>1225</v>
      </c>
      <c r="NO2" s="269" t="s">
        <v>1225</v>
      </c>
      <c r="NP2" s="269" t="s">
        <v>1226</v>
      </c>
      <c r="NQ2" s="269" t="s">
        <v>1226</v>
      </c>
      <c r="NR2" s="269" t="s">
        <v>1226</v>
      </c>
      <c r="NS2" s="269" t="s">
        <v>1226</v>
      </c>
      <c r="NT2" s="269" t="s">
        <v>1226</v>
      </c>
      <c r="NU2" s="269" t="s">
        <v>1226</v>
      </c>
      <c r="NV2" s="269" t="s">
        <v>1226</v>
      </c>
      <c r="NW2" s="269" t="s">
        <v>1227</v>
      </c>
      <c r="NX2" s="269" t="s">
        <v>1227</v>
      </c>
      <c r="NY2" s="269" t="s">
        <v>1227</v>
      </c>
      <c r="NZ2" s="269" t="s">
        <v>1227</v>
      </c>
      <c r="OA2" s="269" t="s">
        <v>1227</v>
      </c>
      <c r="OB2" s="269" t="s">
        <v>1227</v>
      </c>
      <c r="OC2" s="269" t="s">
        <v>1227</v>
      </c>
      <c r="OD2" s="269" t="s">
        <v>1228</v>
      </c>
      <c r="OE2" s="269" t="s">
        <v>1228</v>
      </c>
      <c r="OF2" s="269" t="s">
        <v>1228</v>
      </c>
      <c r="OG2" s="269" t="s">
        <v>1228</v>
      </c>
      <c r="OH2" s="269" t="s">
        <v>1228</v>
      </c>
      <c r="OI2" s="269" t="s">
        <v>1228</v>
      </c>
      <c r="OJ2" s="269" t="s">
        <v>1228</v>
      </c>
      <c r="OK2" s="269" t="s">
        <v>1228</v>
      </c>
      <c r="OL2" s="269" t="s">
        <v>1228</v>
      </c>
      <c r="OM2" s="269" t="s">
        <v>1229</v>
      </c>
      <c r="ON2" s="269" t="s">
        <v>1229</v>
      </c>
      <c r="OO2" s="269" t="s">
        <v>1229</v>
      </c>
      <c r="OP2" s="269" t="s">
        <v>1229</v>
      </c>
      <c r="OQ2" s="269" t="s">
        <v>1229</v>
      </c>
      <c r="OR2" s="269" t="s">
        <v>1229</v>
      </c>
      <c r="OS2" s="269" t="s">
        <v>1230</v>
      </c>
      <c r="OT2" s="269" t="s">
        <v>1230</v>
      </c>
      <c r="OU2" s="269" t="s">
        <v>1230</v>
      </c>
      <c r="OV2" s="269" t="s">
        <v>1230</v>
      </c>
      <c r="OW2" s="269" t="s">
        <v>1230</v>
      </c>
      <c r="OX2" s="269" t="s">
        <v>1230</v>
      </c>
      <c r="OY2" s="269" t="s">
        <v>1230</v>
      </c>
      <c r="OZ2" s="269" t="s">
        <v>1230</v>
      </c>
      <c r="PA2" s="269" t="s">
        <v>1230</v>
      </c>
      <c r="PB2" s="269" t="s">
        <v>1231</v>
      </c>
      <c r="PC2" s="269" t="s">
        <v>1231</v>
      </c>
      <c r="PD2" s="269" t="s">
        <v>1231</v>
      </c>
      <c r="PE2" s="269" t="s">
        <v>1231</v>
      </c>
      <c r="PF2" s="269" t="s">
        <v>1231</v>
      </c>
      <c r="PG2" s="269" t="s">
        <v>1231</v>
      </c>
      <c r="PH2" s="269" t="s">
        <v>1231</v>
      </c>
      <c r="PI2" s="269" t="s">
        <v>1231</v>
      </c>
      <c r="PJ2" s="269" t="s">
        <v>1231</v>
      </c>
      <c r="PK2" s="269" t="s">
        <v>1231</v>
      </c>
      <c r="PL2" s="269" t="s">
        <v>1231</v>
      </c>
      <c r="PM2" s="269" t="s">
        <v>1231</v>
      </c>
      <c r="PN2" s="269" t="s">
        <v>1231</v>
      </c>
      <c r="PO2" s="269" t="s">
        <v>1231</v>
      </c>
      <c r="PP2" s="269" t="s">
        <v>1231</v>
      </c>
      <c r="PQ2" s="269" t="s">
        <v>1231</v>
      </c>
      <c r="PR2" s="269" t="s">
        <v>1231</v>
      </c>
      <c r="PS2" s="269" t="s">
        <v>1231</v>
      </c>
      <c r="PT2" s="269" t="s">
        <v>1232</v>
      </c>
      <c r="PU2" s="269" t="s">
        <v>1232</v>
      </c>
      <c r="PV2" s="269" t="s">
        <v>1232</v>
      </c>
      <c r="PW2" s="269" t="s">
        <v>1232</v>
      </c>
      <c r="PX2" s="269" t="s">
        <v>1232</v>
      </c>
      <c r="PY2" s="269" t="s">
        <v>1232</v>
      </c>
      <c r="PZ2" s="269" t="s">
        <v>1232</v>
      </c>
      <c r="QA2" s="269" t="s">
        <v>1232</v>
      </c>
      <c r="QB2" s="269" t="s">
        <v>1232</v>
      </c>
      <c r="QC2" s="269" t="s">
        <v>1232</v>
      </c>
      <c r="QD2" s="269" t="s">
        <v>1232</v>
      </c>
      <c r="QE2" s="269" t="s">
        <v>1232</v>
      </c>
      <c r="QF2" s="269" t="s">
        <v>1232</v>
      </c>
      <c r="QG2" s="269" t="s">
        <v>1232</v>
      </c>
      <c r="QH2" s="269" t="s">
        <v>1232</v>
      </c>
      <c r="QI2" s="269" t="s">
        <v>1232</v>
      </c>
      <c r="QJ2" s="269" t="s">
        <v>1232</v>
      </c>
      <c r="QK2" s="269" t="s">
        <v>1232</v>
      </c>
      <c r="QL2" s="269" t="s">
        <v>1232</v>
      </c>
      <c r="QM2" s="269" t="s">
        <v>1232</v>
      </c>
      <c r="QN2" s="269" t="s">
        <v>1232</v>
      </c>
      <c r="QO2" s="269" t="s">
        <v>1232</v>
      </c>
      <c r="QP2" s="269" t="s">
        <v>1232</v>
      </c>
      <c r="QQ2" s="269" t="s">
        <v>1232</v>
      </c>
      <c r="QR2" s="269" t="s">
        <v>1232</v>
      </c>
      <c r="QS2" s="269" t="s">
        <v>1232</v>
      </c>
      <c r="QT2" s="269" t="s">
        <v>1233</v>
      </c>
      <c r="QU2" s="269" t="s">
        <v>1233</v>
      </c>
      <c r="QV2" s="269" t="s">
        <v>1233</v>
      </c>
      <c r="QW2" s="269" t="s">
        <v>1233</v>
      </c>
      <c r="QX2" s="269" t="s">
        <v>1233</v>
      </c>
      <c r="QY2" s="269" t="s">
        <v>1233</v>
      </c>
      <c r="QZ2" s="269" t="s">
        <v>1233</v>
      </c>
      <c r="RA2" s="269" t="s">
        <v>1233</v>
      </c>
      <c r="RB2" s="269" t="s">
        <v>1233</v>
      </c>
      <c r="RC2" s="269" t="s">
        <v>1233</v>
      </c>
      <c r="RD2" s="269" t="s">
        <v>1233</v>
      </c>
      <c r="RE2" s="269" t="s">
        <v>1233</v>
      </c>
      <c r="RF2" s="269" t="s">
        <v>1233</v>
      </c>
      <c r="RG2" s="269" t="s">
        <v>1234</v>
      </c>
      <c r="RH2" s="269" t="s">
        <v>1234</v>
      </c>
      <c r="RI2" s="269" t="s">
        <v>1234</v>
      </c>
      <c r="RJ2" s="269" t="s">
        <v>1234</v>
      </c>
      <c r="RK2" s="269" t="s">
        <v>1234</v>
      </c>
      <c r="RL2" s="269" t="s">
        <v>1234</v>
      </c>
      <c r="RM2" s="269" t="s">
        <v>1234</v>
      </c>
      <c r="RN2" s="269" t="s">
        <v>1234</v>
      </c>
      <c r="RO2" s="269" t="s">
        <v>1234</v>
      </c>
      <c r="RP2" s="269" t="s">
        <v>1234</v>
      </c>
      <c r="RQ2" s="269" t="s">
        <v>1234</v>
      </c>
      <c r="RR2" s="269" t="s">
        <v>1234</v>
      </c>
      <c r="RS2" s="269" t="s">
        <v>1234</v>
      </c>
      <c r="RT2" s="269" t="s">
        <v>1234</v>
      </c>
      <c r="RU2" s="269" t="s">
        <v>1234</v>
      </c>
      <c r="RV2" s="269" t="s">
        <v>1234</v>
      </c>
      <c r="RW2" s="269" t="s">
        <v>1234</v>
      </c>
      <c r="RX2" s="269" t="s">
        <v>1234</v>
      </c>
      <c r="RY2" s="269" t="s">
        <v>1234</v>
      </c>
      <c r="RZ2" s="269" t="s">
        <v>1234</v>
      </c>
      <c r="SA2" s="269" t="s">
        <v>1235</v>
      </c>
      <c r="SB2" s="269" t="s">
        <v>1235</v>
      </c>
      <c r="SC2" s="269" t="s">
        <v>1235</v>
      </c>
      <c r="SD2" s="269" t="s">
        <v>1235</v>
      </c>
      <c r="SE2" s="269" t="s">
        <v>1235</v>
      </c>
      <c r="SF2" s="269" t="s">
        <v>1235</v>
      </c>
      <c r="SG2" s="269" t="s">
        <v>1235</v>
      </c>
      <c r="SH2" s="269" t="s">
        <v>1235</v>
      </c>
      <c r="SI2" s="269" t="s">
        <v>1235</v>
      </c>
      <c r="SJ2" s="269" t="s">
        <v>1235</v>
      </c>
      <c r="SK2" s="269" t="s">
        <v>1235</v>
      </c>
      <c r="SL2" s="269" t="s">
        <v>1235</v>
      </c>
      <c r="SM2" s="269" t="s">
        <v>1236</v>
      </c>
      <c r="SN2" s="269" t="s">
        <v>1236</v>
      </c>
      <c r="SO2" s="269" t="s">
        <v>1236</v>
      </c>
      <c r="SP2" s="269" t="s">
        <v>1236</v>
      </c>
      <c r="SQ2" s="269" t="s">
        <v>1236</v>
      </c>
      <c r="SR2" s="269" t="s">
        <v>1236</v>
      </c>
      <c r="SS2" s="269" t="s">
        <v>1236</v>
      </c>
      <c r="ST2" s="269" t="s">
        <v>1236</v>
      </c>
      <c r="SU2" s="269" t="s">
        <v>1237</v>
      </c>
      <c r="SV2" s="269" t="s">
        <v>1237</v>
      </c>
      <c r="SW2" s="269" t="s">
        <v>1237</v>
      </c>
      <c r="SX2" s="269" t="s">
        <v>1237</v>
      </c>
      <c r="SY2" s="269" t="s">
        <v>1237</v>
      </c>
      <c r="SZ2" s="269" t="s">
        <v>1237</v>
      </c>
      <c r="TA2" s="269" t="s">
        <v>1237</v>
      </c>
      <c r="TB2" s="269" t="s">
        <v>1237</v>
      </c>
      <c r="TC2" s="269" t="s">
        <v>1237</v>
      </c>
      <c r="TD2" s="269" t="s">
        <v>1237</v>
      </c>
      <c r="TE2" s="269" t="s">
        <v>1237</v>
      </c>
      <c r="TF2" s="269" t="s">
        <v>1237</v>
      </c>
      <c r="TG2" s="269" t="s">
        <v>1237</v>
      </c>
      <c r="TH2" s="269" t="s">
        <v>1237</v>
      </c>
      <c r="TI2" s="269" t="s">
        <v>1238</v>
      </c>
      <c r="TJ2" s="269" t="s">
        <v>1238</v>
      </c>
      <c r="TK2" s="269" t="s">
        <v>1238</v>
      </c>
      <c r="TL2" s="269" t="s">
        <v>1238</v>
      </c>
      <c r="TM2" s="269" t="s">
        <v>1238</v>
      </c>
      <c r="TN2" s="269" t="s">
        <v>1238</v>
      </c>
      <c r="TO2" s="269" t="s">
        <v>1238</v>
      </c>
      <c r="TP2" s="269" t="s">
        <v>1238</v>
      </c>
      <c r="TQ2" s="269" t="s">
        <v>1238</v>
      </c>
      <c r="TR2" s="269" t="s">
        <v>1238</v>
      </c>
      <c r="TS2" s="269" t="s">
        <v>1238</v>
      </c>
      <c r="TT2" s="269" t="s">
        <v>1238</v>
      </c>
      <c r="TU2" s="269" t="s">
        <v>1238</v>
      </c>
      <c r="TV2" s="269" t="s">
        <v>1238</v>
      </c>
      <c r="TW2" s="269" t="s">
        <v>1238</v>
      </c>
      <c r="TX2" s="269" t="s">
        <v>1238</v>
      </c>
      <c r="TY2" s="269" t="s">
        <v>1238</v>
      </c>
      <c r="TZ2" s="269" t="s">
        <v>1238</v>
      </c>
      <c r="UA2" s="269" t="s">
        <v>1239</v>
      </c>
      <c r="UB2" s="269" t="s">
        <v>1239</v>
      </c>
      <c r="UC2" s="269" t="s">
        <v>1239</v>
      </c>
      <c r="UD2" s="269" t="s">
        <v>1239</v>
      </c>
      <c r="UE2" s="269" t="s">
        <v>1239</v>
      </c>
      <c r="UF2" s="269" t="s">
        <v>1239</v>
      </c>
      <c r="UG2" s="269" t="s">
        <v>1239</v>
      </c>
      <c r="UH2" s="269" t="s">
        <v>1239</v>
      </c>
      <c r="UI2" s="269" t="s">
        <v>1239</v>
      </c>
      <c r="UJ2" s="269" t="s">
        <v>1240</v>
      </c>
      <c r="UK2" s="269" t="s">
        <v>1240</v>
      </c>
      <c r="UL2" s="269" t="s">
        <v>1240</v>
      </c>
      <c r="UM2" s="269" t="s">
        <v>1240</v>
      </c>
      <c r="UN2" s="269" t="s">
        <v>1240</v>
      </c>
      <c r="UO2" s="269" t="s">
        <v>1240</v>
      </c>
      <c r="UP2" s="269" t="s">
        <v>1241</v>
      </c>
      <c r="UQ2" s="269" t="s">
        <v>1241</v>
      </c>
      <c r="UR2" s="269" t="s">
        <v>1241</v>
      </c>
      <c r="US2" s="269" t="s">
        <v>1241</v>
      </c>
      <c r="UT2" s="269" t="s">
        <v>1241</v>
      </c>
      <c r="UU2" s="269" t="s">
        <v>1241</v>
      </c>
      <c r="UV2" s="269" t="s">
        <v>1241</v>
      </c>
      <c r="UW2" s="269" t="s">
        <v>1241</v>
      </c>
      <c r="UX2" s="269" t="s">
        <v>1241</v>
      </c>
      <c r="UY2" s="269" t="s">
        <v>1241</v>
      </c>
      <c r="UZ2" s="269" t="s">
        <v>1241</v>
      </c>
      <c r="VA2" s="269" t="s">
        <v>1241</v>
      </c>
      <c r="VB2" s="269" t="s">
        <v>1241</v>
      </c>
      <c r="VC2" s="269" t="s">
        <v>1241</v>
      </c>
      <c r="VD2" s="269" t="s">
        <v>1241</v>
      </c>
      <c r="VE2" s="269" t="s">
        <v>1241</v>
      </c>
      <c r="VF2" s="269" t="s">
        <v>1241</v>
      </c>
      <c r="VG2" s="269" t="s">
        <v>1241</v>
      </c>
      <c r="VH2" s="269" t="s">
        <v>1241</v>
      </c>
      <c r="VI2" s="269" t="s">
        <v>1241</v>
      </c>
      <c r="VJ2" s="269" t="s">
        <v>1241</v>
      </c>
      <c r="VK2" s="269" t="s">
        <v>1242</v>
      </c>
      <c r="VL2" s="269" t="s">
        <v>1242</v>
      </c>
      <c r="VM2" s="269" t="s">
        <v>1242</v>
      </c>
      <c r="VN2" s="269" t="s">
        <v>1242</v>
      </c>
      <c r="VO2" s="269" t="s">
        <v>1242</v>
      </c>
      <c r="VP2" s="269" t="s">
        <v>1242</v>
      </c>
      <c r="VQ2" s="269" t="s">
        <v>1242</v>
      </c>
      <c r="VR2" s="269" t="s">
        <v>1242</v>
      </c>
      <c r="VS2" s="269" t="s">
        <v>1242</v>
      </c>
      <c r="VT2" s="269" t="s">
        <v>1242</v>
      </c>
      <c r="VU2" s="269" t="s">
        <v>1242</v>
      </c>
      <c r="VV2" s="269" t="s">
        <v>1242</v>
      </c>
      <c r="VW2" s="269" t="s">
        <v>1242</v>
      </c>
      <c r="VX2" s="269" t="s">
        <v>1242</v>
      </c>
      <c r="VY2" s="269" t="s">
        <v>1242</v>
      </c>
      <c r="VZ2" s="269" t="s">
        <v>1242</v>
      </c>
      <c r="WA2" s="269" t="s">
        <v>1243</v>
      </c>
      <c r="WB2" s="269" t="s">
        <v>1243</v>
      </c>
      <c r="WC2" s="269" t="s">
        <v>1243</v>
      </c>
      <c r="WD2" s="269" t="s">
        <v>1243</v>
      </c>
      <c r="WE2" s="269" t="s">
        <v>1243</v>
      </c>
      <c r="WF2" s="269" t="s">
        <v>1243</v>
      </c>
      <c r="WG2" s="269" t="s">
        <v>1243</v>
      </c>
      <c r="WH2" s="269" t="s">
        <v>1243</v>
      </c>
      <c r="WI2" s="269" t="s">
        <v>1243</v>
      </c>
      <c r="WJ2" s="269" t="s">
        <v>1243</v>
      </c>
      <c r="WK2" s="269" t="s">
        <v>1243</v>
      </c>
      <c r="WL2" s="269" t="s">
        <v>1243</v>
      </c>
      <c r="WM2" s="269" t="s">
        <v>1243</v>
      </c>
      <c r="WN2" s="269" t="s">
        <v>1243</v>
      </c>
      <c r="WO2" s="269" t="s">
        <v>1243</v>
      </c>
      <c r="WP2" s="269" t="s">
        <v>1243</v>
      </c>
      <c r="WQ2" s="269" t="s">
        <v>1243</v>
      </c>
      <c r="WR2" s="269" t="s">
        <v>1243</v>
      </c>
      <c r="WS2" s="269" t="s">
        <v>1243</v>
      </c>
      <c r="WT2" s="269" t="s">
        <v>1243</v>
      </c>
      <c r="WU2" s="269" t="s">
        <v>1243</v>
      </c>
      <c r="WV2" s="269" t="s">
        <v>1243</v>
      </c>
      <c r="WW2" s="269" t="s">
        <v>1243</v>
      </c>
      <c r="WX2" s="269" t="s">
        <v>1243</v>
      </c>
      <c r="WY2" s="269" t="s">
        <v>1243</v>
      </c>
      <c r="WZ2" s="269" t="s">
        <v>1243</v>
      </c>
      <c r="XA2" s="269" t="s">
        <v>1243</v>
      </c>
      <c r="XB2" s="269" t="s">
        <v>1243</v>
      </c>
      <c r="XC2" s="269" t="s">
        <v>1243</v>
      </c>
      <c r="XD2" s="269" t="s">
        <v>1243</v>
      </c>
      <c r="XE2" s="269" t="s">
        <v>1243</v>
      </c>
      <c r="XF2" s="269" t="s">
        <v>1243</v>
      </c>
      <c r="XG2" s="269" t="s">
        <v>1243</v>
      </c>
      <c r="XH2" s="269" t="s">
        <v>1244</v>
      </c>
      <c r="XI2" s="269" t="s">
        <v>1244</v>
      </c>
      <c r="XJ2" s="269" t="s">
        <v>1244</v>
      </c>
      <c r="XK2" s="269" t="s">
        <v>1244</v>
      </c>
      <c r="XL2" s="269" t="s">
        <v>1244</v>
      </c>
      <c r="XM2" s="269" t="s">
        <v>1244</v>
      </c>
      <c r="XN2" s="269" t="s">
        <v>1244</v>
      </c>
      <c r="XO2" s="269" t="s">
        <v>1244</v>
      </c>
      <c r="XP2" s="269" t="s">
        <v>1244</v>
      </c>
      <c r="XQ2" s="269" t="s">
        <v>1244</v>
      </c>
      <c r="XR2" s="269" t="s">
        <v>1244</v>
      </c>
      <c r="XS2" s="269" t="s">
        <v>1244</v>
      </c>
      <c r="XT2" s="269" t="s">
        <v>1244</v>
      </c>
      <c r="XU2" s="269" t="s">
        <v>1244</v>
      </c>
      <c r="XV2" s="269" t="s">
        <v>1244</v>
      </c>
      <c r="XW2" s="269" t="s">
        <v>1244</v>
      </c>
      <c r="XX2" s="269" t="s">
        <v>1244</v>
      </c>
      <c r="XY2" s="269" t="s">
        <v>1244</v>
      </c>
      <c r="XZ2" s="269" t="s">
        <v>1244</v>
      </c>
      <c r="YA2" s="269" t="s">
        <v>1244</v>
      </c>
      <c r="YB2" s="269" t="s">
        <v>1244</v>
      </c>
      <c r="YC2" s="269" t="s">
        <v>1244</v>
      </c>
      <c r="YD2" s="269" t="s">
        <v>1244</v>
      </c>
      <c r="YE2" s="269" t="s">
        <v>1245</v>
      </c>
      <c r="YF2" s="269" t="s">
        <v>1245</v>
      </c>
      <c r="YG2" s="269" t="s">
        <v>1245</v>
      </c>
      <c r="YH2" s="269" t="s">
        <v>1245</v>
      </c>
      <c r="YI2" s="269" t="s">
        <v>1245</v>
      </c>
      <c r="YJ2" s="269" t="s">
        <v>1245</v>
      </c>
      <c r="YK2" s="269" t="s">
        <v>1245</v>
      </c>
      <c r="YL2" s="269" t="s">
        <v>1245</v>
      </c>
      <c r="YM2" s="269" t="s">
        <v>1245</v>
      </c>
      <c r="YN2" s="269" t="s">
        <v>1245</v>
      </c>
      <c r="YO2" s="269" t="s">
        <v>1245</v>
      </c>
      <c r="YP2" s="269" t="s">
        <v>1245</v>
      </c>
      <c r="YQ2" s="269" t="s">
        <v>1245</v>
      </c>
      <c r="YR2" s="269" t="s">
        <v>1245</v>
      </c>
      <c r="YS2" s="269" t="s">
        <v>1245</v>
      </c>
      <c r="YT2" s="269" t="s">
        <v>1245</v>
      </c>
      <c r="YU2" s="269" t="s">
        <v>1245</v>
      </c>
      <c r="YV2" s="269" t="s">
        <v>1246</v>
      </c>
      <c r="YW2" s="269" t="s">
        <v>1246</v>
      </c>
      <c r="YX2" s="269" t="s">
        <v>1246</v>
      </c>
      <c r="YY2" s="269" t="s">
        <v>1246</v>
      </c>
      <c r="YZ2" s="269" t="s">
        <v>1246</v>
      </c>
      <c r="ZA2" s="269" t="s">
        <v>1246</v>
      </c>
      <c r="ZB2" s="269" t="s">
        <v>1246</v>
      </c>
      <c r="ZC2" s="269" t="s">
        <v>1247</v>
      </c>
      <c r="ZD2" s="269" t="s">
        <v>1247</v>
      </c>
      <c r="ZE2" s="269" t="s">
        <v>1247</v>
      </c>
      <c r="ZF2" s="269" t="s">
        <v>1247</v>
      </c>
      <c r="ZG2" s="269" t="s">
        <v>1247</v>
      </c>
      <c r="ZH2" s="269" t="s">
        <v>1247</v>
      </c>
      <c r="ZI2" s="269" t="s">
        <v>1247</v>
      </c>
      <c r="ZJ2" s="269" t="s">
        <v>1247</v>
      </c>
      <c r="ZK2" s="269" t="s">
        <v>1247</v>
      </c>
      <c r="ZL2" s="269" t="s">
        <v>1248</v>
      </c>
      <c r="ZM2" s="269" t="s">
        <v>1248</v>
      </c>
      <c r="ZN2" s="269" t="s">
        <v>1248</v>
      </c>
      <c r="ZO2" s="269" t="s">
        <v>1248</v>
      </c>
      <c r="ZP2" s="269" t="s">
        <v>1248</v>
      </c>
      <c r="ZQ2" s="269" t="s">
        <v>1248</v>
      </c>
      <c r="ZR2" s="269" t="s">
        <v>1248</v>
      </c>
      <c r="ZS2" s="269" t="s">
        <v>1248</v>
      </c>
      <c r="ZT2" s="269" t="s">
        <v>1248</v>
      </c>
      <c r="ZU2" s="269" t="s">
        <v>1248</v>
      </c>
      <c r="ZV2" s="269" t="s">
        <v>1248</v>
      </c>
      <c r="ZW2" s="269" t="s">
        <v>1248</v>
      </c>
      <c r="ZX2" s="269" t="s">
        <v>1248</v>
      </c>
      <c r="ZY2" s="269" t="s">
        <v>1248</v>
      </c>
      <c r="ZZ2" s="269" t="s">
        <v>1248</v>
      </c>
      <c r="AAA2" s="269" t="s">
        <v>1248</v>
      </c>
      <c r="AAB2" s="269" t="s">
        <v>1248</v>
      </c>
      <c r="AAC2" s="269" t="s">
        <v>1248</v>
      </c>
      <c r="AAD2" s="269" t="s">
        <v>1248</v>
      </c>
      <c r="AAE2" s="269" t="s">
        <v>1248</v>
      </c>
      <c r="AAF2" s="269" t="s">
        <v>1248</v>
      </c>
      <c r="AAG2" s="269" t="s">
        <v>1248</v>
      </c>
      <c r="AAH2" s="269" t="s">
        <v>1249</v>
      </c>
      <c r="AAI2" s="269" t="s">
        <v>1249</v>
      </c>
      <c r="AAJ2" s="269" t="s">
        <v>1249</v>
      </c>
      <c r="AAK2" s="269" t="s">
        <v>1249</v>
      </c>
      <c r="AAL2" s="269" t="s">
        <v>1249</v>
      </c>
      <c r="AAM2" s="269" t="s">
        <v>1249</v>
      </c>
      <c r="AAN2" s="269" t="s">
        <v>1249</v>
      </c>
      <c r="AAO2" s="269" t="s">
        <v>1250</v>
      </c>
      <c r="AAP2" s="269" t="s">
        <v>1250</v>
      </c>
      <c r="AAQ2" s="269" t="s">
        <v>1250</v>
      </c>
      <c r="AAR2" s="269" t="s">
        <v>1250</v>
      </c>
      <c r="AAS2" s="269" t="s">
        <v>1250</v>
      </c>
      <c r="AAT2" s="269" t="s">
        <v>1250</v>
      </c>
      <c r="AAU2" s="269" t="s">
        <v>1250</v>
      </c>
      <c r="AAV2" s="269" t="s">
        <v>1250</v>
      </c>
      <c r="AAW2" s="269" t="s">
        <v>1250</v>
      </c>
      <c r="AAX2" s="269" t="s">
        <v>1250</v>
      </c>
      <c r="AAY2" s="269" t="s">
        <v>1250</v>
      </c>
      <c r="AAZ2" s="269" t="s">
        <v>1250</v>
      </c>
      <c r="ABA2" s="269" t="s">
        <v>1250</v>
      </c>
      <c r="ABB2" s="269" t="s">
        <v>1250</v>
      </c>
      <c r="ABC2" s="269" t="s">
        <v>1250</v>
      </c>
      <c r="ABD2" s="269" t="s">
        <v>1250</v>
      </c>
      <c r="ABE2" s="269" t="s">
        <v>1250</v>
      </c>
      <c r="ABF2" s="269" t="s">
        <v>1250</v>
      </c>
      <c r="ABG2" s="269" t="s">
        <v>1250</v>
      </c>
      <c r="ABH2" s="269" t="s">
        <v>1250</v>
      </c>
      <c r="ABI2" s="269" t="s">
        <v>1250</v>
      </c>
      <c r="ABJ2" s="269" t="s">
        <v>1250</v>
      </c>
      <c r="ABK2" s="269" t="s">
        <v>1250</v>
      </c>
      <c r="ABL2" s="269" t="s">
        <v>1250</v>
      </c>
      <c r="ABM2" s="269" t="s">
        <v>1250</v>
      </c>
      <c r="ABN2" s="269" t="s">
        <v>1250</v>
      </c>
      <c r="ABO2" s="269" t="s">
        <v>1251</v>
      </c>
      <c r="ABP2" s="269" t="s">
        <v>1251</v>
      </c>
      <c r="ABQ2" s="269" t="s">
        <v>1251</v>
      </c>
      <c r="ABR2" s="269" t="s">
        <v>1251</v>
      </c>
      <c r="ABS2" s="269" t="s">
        <v>1251</v>
      </c>
      <c r="ABT2" s="269" t="s">
        <v>1251</v>
      </c>
      <c r="ABU2" s="269" t="s">
        <v>1251</v>
      </c>
      <c r="ABV2" s="269" t="s">
        <v>1251</v>
      </c>
      <c r="ABW2" s="269" t="s">
        <v>1251</v>
      </c>
      <c r="ABX2" s="269" t="s">
        <v>1252</v>
      </c>
      <c r="ABY2" s="269" t="s">
        <v>1252</v>
      </c>
      <c r="ABZ2" s="269" t="s">
        <v>1252</v>
      </c>
      <c r="ACA2" s="269" t="s">
        <v>1252</v>
      </c>
      <c r="ACB2" s="269" t="s">
        <v>1252</v>
      </c>
      <c r="ACC2" s="269" t="s">
        <v>1252</v>
      </c>
      <c r="ACD2" s="269" t="s">
        <v>1252</v>
      </c>
      <c r="ACE2" s="269" t="s">
        <v>1252</v>
      </c>
      <c r="ACF2" s="269" t="s">
        <v>1252</v>
      </c>
      <c r="ACG2" s="269" t="s">
        <v>1252</v>
      </c>
      <c r="ACH2" s="269" t="s">
        <v>1252</v>
      </c>
      <c r="ACI2" s="269" t="s">
        <v>1253</v>
      </c>
      <c r="ACJ2" s="269" t="s">
        <v>1253</v>
      </c>
      <c r="ACK2" s="269" t="s">
        <v>1253</v>
      </c>
      <c r="ACL2" s="269" t="s">
        <v>1253</v>
      </c>
      <c r="ACM2" s="269" t="s">
        <v>1253</v>
      </c>
      <c r="ACN2" s="269" t="s">
        <v>1253</v>
      </c>
      <c r="ACO2" s="269" t="s">
        <v>1253</v>
      </c>
      <c r="ACP2" s="269" t="s">
        <v>1253</v>
      </c>
      <c r="ACQ2" s="269" t="s">
        <v>1253</v>
      </c>
      <c r="ACR2" s="269" t="s">
        <v>1253</v>
      </c>
      <c r="ACS2" s="269" t="s">
        <v>1253</v>
      </c>
      <c r="ACT2" s="269" t="s">
        <v>1253</v>
      </c>
      <c r="ACU2" s="269" t="s">
        <v>1253</v>
      </c>
      <c r="ACV2" s="269" t="s">
        <v>1253</v>
      </c>
      <c r="ACW2" s="269" t="s">
        <v>1253</v>
      </c>
      <c r="ACX2" s="269" t="s">
        <v>1253</v>
      </c>
      <c r="ACY2" s="269" t="s">
        <v>1253</v>
      </c>
      <c r="ACZ2" s="269" t="s">
        <v>1253</v>
      </c>
      <c r="ADA2" s="269" t="s">
        <v>1253</v>
      </c>
      <c r="ADB2" s="269" t="s">
        <v>1253</v>
      </c>
      <c r="ADC2" s="269" t="s">
        <v>1253</v>
      </c>
      <c r="ADD2" s="269" t="s">
        <v>1253</v>
      </c>
      <c r="ADE2" s="269" t="s">
        <v>1253</v>
      </c>
      <c r="ADF2" s="269" t="s">
        <v>1254</v>
      </c>
      <c r="ADG2" s="269" t="s">
        <v>1254</v>
      </c>
      <c r="ADH2" s="269" t="s">
        <v>1254</v>
      </c>
      <c r="ADI2" s="269" t="s">
        <v>1254</v>
      </c>
      <c r="ADJ2" s="269" t="s">
        <v>1254</v>
      </c>
      <c r="ADK2" s="269" t="s">
        <v>1254</v>
      </c>
      <c r="ADL2" s="269" t="s">
        <v>1254</v>
      </c>
      <c r="ADM2" s="269" t="s">
        <v>1254</v>
      </c>
      <c r="ADN2" s="269" t="s">
        <v>1254</v>
      </c>
      <c r="ADO2" s="269" t="s">
        <v>1255</v>
      </c>
      <c r="ADP2" s="269" t="s">
        <v>1255</v>
      </c>
      <c r="ADQ2" s="269" t="s">
        <v>1255</v>
      </c>
      <c r="ADR2" s="269" t="s">
        <v>1255</v>
      </c>
      <c r="ADS2" s="269" t="s">
        <v>1256</v>
      </c>
      <c r="ADT2" s="269" t="s">
        <v>1256</v>
      </c>
      <c r="ADU2" s="269" t="s">
        <v>1256</v>
      </c>
      <c r="ADV2" s="269" t="s">
        <v>1256</v>
      </c>
      <c r="ADW2" s="269" t="s">
        <v>1256</v>
      </c>
      <c r="ADX2" s="269" t="s">
        <v>1257</v>
      </c>
      <c r="ADY2" s="269" t="s">
        <v>1257</v>
      </c>
      <c r="ADZ2" s="269" t="s">
        <v>1257</v>
      </c>
      <c r="AEA2" s="269" t="s">
        <v>1257</v>
      </c>
      <c r="AEB2" s="269" t="s">
        <v>1257</v>
      </c>
      <c r="AEC2" s="269" t="s">
        <v>1257</v>
      </c>
      <c r="AED2" s="269" t="s">
        <v>1257</v>
      </c>
      <c r="AEE2" s="269" t="s">
        <v>1257</v>
      </c>
      <c r="AEF2" s="269" t="s">
        <v>1257</v>
      </c>
      <c r="AEG2" s="269" t="s">
        <v>1257</v>
      </c>
      <c r="AEH2" s="269" t="s">
        <v>1257</v>
      </c>
      <c r="AEI2" s="269" t="s">
        <v>1257</v>
      </c>
      <c r="AEJ2" s="269" t="s">
        <v>1257</v>
      </c>
      <c r="AEK2" s="269" t="s">
        <v>1257</v>
      </c>
      <c r="AEL2" s="269" t="s">
        <v>1257</v>
      </c>
      <c r="AEM2" s="269" t="s">
        <v>1257</v>
      </c>
      <c r="AEN2" s="269" t="s">
        <v>1257</v>
      </c>
      <c r="AEO2" s="269" t="s">
        <v>1257</v>
      </c>
      <c r="AEP2" s="269" t="s">
        <v>1257</v>
      </c>
      <c r="AEQ2" s="269" t="s">
        <v>1257</v>
      </c>
      <c r="AER2" s="269" t="s">
        <v>1257</v>
      </c>
      <c r="AES2" s="269" t="s">
        <v>1258</v>
      </c>
      <c r="AET2" s="269" t="s">
        <v>1258</v>
      </c>
      <c r="AEU2" s="269" t="s">
        <v>1258</v>
      </c>
      <c r="AEV2" s="269" t="s">
        <v>1258</v>
      </c>
      <c r="AEW2" s="269" t="s">
        <v>1258</v>
      </c>
      <c r="AEX2" s="269" t="s">
        <v>1258</v>
      </c>
      <c r="AEY2" s="269" t="s">
        <v>1258</v>
      </c>
      <c r="AEZ2" s="269" t="s">
        <v>1258</v>
      </c>
      <c r="AFA2" s="269" t="s">
        <v>1258</v>
      </c>
      <c r="AFB2" s="269" t="s">
        <v>1258</v>
      </c>
      <c r="AFC2" s="269" t="s">
        <v>1259</v>
      </c>
      <c r="AFD2" s="269" t="s">
        <v>1259</v>
      </c>
      <c r="AFE2" s="269" t="s">
        <v>1259</v>
      </c>
      <c r="AFF2" s="269" t="s">
        <v>1259</v>
      </c>
      <c r="AFG2" s="269" t="s">
        <v>1259</v>
      </c>
      <c r="AFH2" s="269" t="s">
        <v>1259</v>
      </c>
      <c r="AFI2" s="269" t="s">
        <v>1259</v>
      </c>
      <c r="AFJ2" s="269" t="s">
        <v>1259</v>
      </c>
      <c r="AFK2" s="269" t="s">
        <v>1259</v>
      </c>
      <c r="AFL2" s="269" t="s">
        <v>1259</v>
      </c>
      <c r="AFM2" s="269" t="s">
        <v>1259</v>
      </c>
      <c r="AFN2" s="269" t="s">
        <v>1259</v>
      </c>
      <c r="AFO2" s="269" t="s">
        <v>1259</v>
      </c>
      <c r="AFP2" s="269" t="s">
        <v>1260</v>
      </c>
      <c r="AFQ2" s="269" t="s">
        <v>1260</v>
      </c>
      <c r="AFR2" s="269" t="s">
        <v>1260</v>
      </c>
      <c r="AFS2" s="269" t="s">
        <v>1260</v>
      </c>
      <c r="AFT2" s="269" t="s">
        <v>1260</v>
      </c>
      <c r="AFU2" s="269" t="s">
        <v>1260</v>
      </c>
      <c r="AFV2" s="269" t="s">
        <v>1260</v>
      </c>
      <c r="AFW2" s="269" t="s">
        <v>1260</v>
      </c>
      <c r="AFX2" s="269" t="s">
        <v>1260</v>
      </c>
      <c r="AFY2" s="269" t="s">
        <v>1260</v>
      </c>
      <c r="AFZ2" s="269" t="s">
        <v>1260</v>
      </c>
      <c r="AGA2" s="269" t="s">
        <v>1260</v>
      </c>
      <c r="AGB2" s="269" t="s">
        <v>1261</v>
      </c>
      <c r="AGC2" s="269" t="s">
        <v>1261</v>
      </c>
      <c r="AGD2" s="269" t="s">
        <v>1261</v>
      </c>
      <c r="AGE2" s="269" t="s">
        <v>1261</v>
      </c>
      <c r="AGF2" s="269" t="s">
        <v>1261</v>
      </c>
      <c r="AGG2" s="269" t="s">
        <v>1261</v>
      </c>
      <c r="AGH2" s="269" t="s">
        <v>1261</v>
      </c>
      <c r="AGI2" s="269" t="s">
        <v>1261</v>
      </c>
      <c r="AGJ2" s="269" t="s">
        <v>1261</v>
      </c>
      <c r="AGK2" s="269" t="s">
        <v>1261</v>
      </c>
      <c r="AGL2" s="269" t="s">
        <v>1261</v>
      </c>
      <c r="AGM2" s="269" t="s">
        <v>1262</v>
      </c>
      <c r="AGN2" s="269" t="s">
        <v>1262</v>
      </c>
      <c r="AGO2" s="269" t="s">
        <v>1262</v>
      </c>
      <c r="AGP2" s="269" t="s">
        <v>1262</v>
      </c>
      <c r="AGQ2" s="269" t="s">
        <v>1262</v>
      </c>
      <c r="AGR2" s="269" t="s">
        <v>1262</v>
      </c>
      <c r="AGS2" s="269" t="s">
        <v>1262</v>
      </c>
      <c r="AGT2" s="269" t="s">
        <v>1262</v>
      </c>
      <c r="AGU2" s="269" t="s">
        <v>1263</v>
      </c>
      <c r="AGV2" s="269" t="s">
        <v>1263</v>
      </c>
      <c r="AGW2" s="269" t="s">
        <v>1263</v>
      </c>
      <c r="AGX2" s="269" t="s">
        <v>1263</v>
      </c>
      <c r="AGY2" s="269" t="s">
        <v>1263</v>
      </c>
      <c r="AGZ2" s="269" t="s">
        <v>1263</v>
      </c>
      <c r="AHA2" s="269" t="s">
        <v>1263</v>
      </c>
      <c r="AHB2" s="269" t="s">
        <v>1263</v>
      </c>
      <c r="AHC2" s="269" t="s">
        <v>1263</v>
      </c>
      <c r="AHD2" s="269" t="s">
        <v>1263</v>
      </c>
      <c r="AHE2" s="269" t="s">
        <v>1263</v>
      </c>
      <c r="AHF2" s="269" t="s">
        <v>1263</v>
      </c>
      <c r="AHG2" s="269" t="s">
        <v>1263</v>
      </c>
      <c r="AHH2" s="269" t="s">
        <v>1263</v>
      </c>
      <c r="AHI2" s="269" t="s">
        <v>1263</v>
      </c>
      <c r="AHJ2" s="269" t="s">
        <v>1263</v>
      </c>
      <c r="AHK2" s="269" t="s">
        <v>1263</v>
      </c>
      <c r="AHL2" s="269" t="s">
        <v>1264</v>
      </c>
      <c r="AHM2" s="269" t="s">
        <v>1264</v>
      </c>
      <c r="AHN2" s="269" t="s">
        <v>1264</v>
      </c>
      <c r="AHO2" s="269" t="s">
        <v>1264</v>
      </c>
      <c r="AHP2" s="269" t="s">
        <v>1264</v>
      </c>
      <c r="AHQ2" s="269" t="s">
        <v>1264</v>
      </c>
      <c r="AHR2" s="275" t="s">
        <v>1264</v>
      </c>
    </row>
    <row r="3" spans="2:905" s="268" customFormat="1" x14ac:dyDescent="0.95">
      <c r="D3" s="296" t="s">
        <v>2606</v>
      </c>
      <c r="E3" s="296" t="s">
        <v>2610</v>
      </c>
      <c r="F3" s="296" t="s">
        <v>2614</v>
      </c>
      <c r="G3" s="296" t="s">
        <v>2618</v>
      </c>
      <c r="H3" s="296" t="s">
        <v>2622</v>
      </c>
      <c r="I3" s="296" t="s">
        <v>2626</v>
      </c>
      <c r="J3" s="296" t="s">
        <v>2630</v>
      </c>
      <c r="K3" s="296" t="s">
        <v>2634</v>
      </c>
      <c r="L3" s="296" t="s">
        <v>2638</v>
      </c>
      <c r="M3" s="296" t="s">
        <v>2642</v>
      </c>
      <c r="N3" s="296" t="s">
        <v>2646</v>
      </c>
      <c r="O3" s="296" t="s">
        <v>2650</v>
      </c>
      <c r="P3" s="296" t="s">
        <v>2654</v>
      </c>
      <c r="Q3" s="296" t="s">
        <v>2658</v>
      </c>
      <c r="R3" s="296" t="s">
        <v>2662</v>
      </c>
      <c r="S3" s="296" t="s">
        <v>2666</v>
      </c>
      <c r="T3" s="296" t="s">
        <v>2670</v>
      </c>
      <c r="U3" s="296" t="s">
        <v>2674</v>
      </c>
      <c r="V3" s="296" t="s">
        <v>2290</v>
      </c>
      <c r="W3" s="296" t="s">
        <v>2298</v>
      </c>
      <c r="X3" s="296" t="s">
        <v>2306</v>
      </c>
      <c r="Y3" s="296" t="s">
        <v>2313</v>
      </c>
      <c r="Z3" s="296" t="s">
        <v>2318</v>
      </c>
      <c r="AA3" s="296" t="s">
        <v>2322</v>
      </c>
      <c r="AB3" s="296" t="s">
        <v>2326</v>
      </c>
      <c r="AC3" s="296" t="s">
        <v>2330</v>
      </c>
      <c r="AD3" s="296" t="s">
        <v>2334</v>
      </c>
      <c r="AE3" s="296" t="s">
        <v>2338</v>
      </c>
      <c r="AF3" s="296" t="s">
        <v>2342</v>
      </c>
      <c r="AG3" s="296" t="s">
        <v>2347</v>
      </c>
      <c r="AH3" s="296" t="s">
        <v>2351</v>
      </c>
      <c r="AI3" s="296" t="s">
        <v>2355</v>
      </c>
      <c r="AJ3" s="296" t="s">
        <v>2359</v>
      </c>
      <c r="AK3" s="296" t="s">
        <v>2363</v>
      </c>
      <c r="AL3" s="296" t="s">
        <v>2367</v>
      </c>
      <c r="AM3" s="296" t="s">
        <v>2371</v>
      </c>
      <c r="AN3" s="296" t="s">
        <v>2375</v>
      </c>
      <c r="AO3" s="296" t="s">
        <v>2379</v>
      </c>
      <c r="AP3" s="296" t="s">
        <v>2383</v>
      </c>
      <c r="AQ3" s="296" t="s">
        <v>2387</v>
      </c>
      <c r="AR3" s="296" t="s">
        <v>2391</v>
      </c>
      <c r="AS3" s="296" t="s">
        <v>2395</v>
      </c>
      <c r="AT3" s="296" t="s">
        <v>2513</v>
      </c>
      <c r="AU3" s="296" t="s">
        <v>2516</v>
      </c>
      <c r="AV3" s="296" t="s">
        <v>2520</v>
      </c>
      <c r="AW3" s="296" t="s">
        <v>2524</v>
      </c>
      <c r="AX3" s="296" t="s">
        <v>2528</v>
      </c>
      <c r="AY3" s="296" t="s">
        <v>2532</v>
      </c>
      <c r="AZ3" s="296" t="s">
        <v>2536</v>
      </c>
      <c r="BA3" s="296" t="s">
        <v>2540</v>
      </c>
      <c r="BB3" s="296" t="s">
        <v>2544</v>
      </c>
      <c r="BC3" s="296" t="s">
        <v>2548</v>
      </c>
      <c r="BD3" s="296" t="s">
        <v>2552</v>
      </c>
      <c r="BE3" s="296" t="s">
        <v>2556</v>
      </c>
      <c r="BF3" s="296" t="s">
        <v>2560</v>
      </c>
      <c r="BG3" s="296" t="s">
        <v>2564</v>
      </c>
      <c r="BH3" s="296" t="s">
        <v>2568</v>
      </c>
      <c r="BI3" s="296" t="s">
        <v>2571</v>
      </c>
      <c r="BJ3" s="296" t="s">
        <v>2574</v>
      </c>
      <c r="BK3" s="296" t="s">
        <v>2578</v>
      </c>
      <c r="BL3" s="296" t="s">
        <v>2582</v>
      </c>
      <c r="BM3" s="296" t="s">
        <v>2586</v>
      </c>
      <c r="BN3" s="296" t="s">
        <v>2590</v>
      </c>
      <c r="BO3" s="296" t="s">
        <v>2594</v>
      </c>
      <c r="BP3" s="296" t="s">
        <v>2598</v>
      </c>
      <c r="BQ3" s="296" t="s">
        <v>2602</v>
      </c>
      <c r="BR3" s="296" t="s">
        <v>2482</v>
      </c>
      <c r="BS3" s="296" t="s">
        <v>2485</v>
      </c>
      <c r="BT3" s="296" t="s">
        <v>2489</v>
      </c>
      <c r="BU3" s="296" t="s">
        <v>2493</v>
      </c>
      <c r="BV3" s="296" t="s">
        <v>2497</v>
      </c>
      <c r="BW3" s="296" t="s">
        <v>2501</v>
      </c>
      <c r="BX3" s="296" t="s">
        <v>2505</v>
      </c>
      <c r="BY3" s="296" t="s">
        <v>2509</v>
      </c>
      <c r="BZ3" s="296" t="s">
        <v>2678</v>
      </c>
      <c r="CA3" s="296" t="s">
        <v>2682</v>
      </c>
      <c r="CB3" s="296" t="s">
        <v>2686</v>
      </c>
      <c r="CC3" s="296" t="s">
        <v>2690</v>
      </c>
      <c r="CD3" s="296" t="s">
        <v>2694</v>
      </c>
      <c r="CE3" s="296" t="s">
        <v>2698</v>
      </c>
      <c r="CF3" s="296" t="s">
        <v>2702</v>
      </c>
      <c r="CG3" s="296" t="s">
        <v>2431</v>
      </c>
      <c r="CH3" s="296" t="s">
        <v>2434</v>
      </c>
      <c r="CI3" s="296" t="s">
        <v>2438</v>
      </c>
      <c r="CJ3" s="296" t="s">
        <v>2442</v>
      </c>
      <c r="CK3" s="296" t="s">
        <v>2446</v>
      </c>
      <c r="CL3" s="296" t="s">
        <v>2450</v>
      </c>
      <c r="CM3" s="296" t="s">
        <v>2454</v>
      </c>
      <c r="CN3" s="296" t="s">
        <v>2458</v>
      </c>
      <c r="CO3" s="296" t="s">
        <v>2462</v>
      </c>
      <c r="CP3" s="296" t="s">
        <v>2466</v>
      </c>
      <c r="CQ3" s="296" t="s">
        <v>2470</v>
      </c>
      <c r="CR3" s="296" t="s">
        <v>2474</v>
      </c>
      <c r="CS3" s="296" t="s">
        <v>2478</v>
      </c>
      <c r="CT3" s="296" t="s">
        <v>2400</v>
      </c>
      <c r="CU3" s="296" t="s">
        <v>2403</v>
      </c>
      <c r="CV3" s="296" t="s">
        <v>2407</v>
      </c>
      <c r="CW3" s="296" t="s">
        <v>2411</v>
      </c>
      <c r="CX3" s="296" t="s">
        <v>2415</v>
      </c>
      <c r="CY3" s="296" t="s">
        <v>2419</v>
      </c>
      <c r="CZ3" s="296" t="s">
        <v>2423</v>
      </c>
      <c r="DA3" s="296" t="s">
        <v>2427</v>
      </c>
      <c r="DB3" s="296" t="s">
        <v>2741</v>
      </c>
      <c r="DC3" s="296" t="s">
        <v>2745</v>
      </c>
      <c r="DD3" s="296" t="s">
        <v>2749</v>
      </c>
      <c r="DE3" s="296" t="s">
        <v>2753</v>
      </c>
      <c r="DF3" s="296" t="s">
        <v>2757</v>
      </c>
      <c r="DG3" s="296" t="s">
        <v>2761</v>
      </c>
      <c r="DH3" s="296" t="s">
        <v>2765</v>
      </c>
      <c r="DI3" s="296" t="s">
        <v>2769</v>
      </c>
      <c r="DJ3" s="296" t="s">
        <v>2773</v>
      </c>
      <c r="DK3" s="296" t="s">
        <v>2812</v>
      </c>
      <c r="DL3" s="296" t="s">
        <v>2816</v>
      </c>
      <c r="DM3" s="296" t="s">
        <v>2820</v>
      </c>
      <c r="DN3" s="296" t="s">
        <v>2824</v>
      </c>
      <c r="DO3" s="296" t="s">
        <v>2828</v>
      </c>
      <c r="DP3" s="296" t="s">
        <v>2832</v>
      </c>
      <c r="DQ3" s="296" t="s">
        <v>2836</v>
      </c>
      <c r="DR3" s="296" t="s">
        <v>2840</v>
      </c>
      <c r="DS3" s="296" t="s">
        <v>2844</v>
      </c>
      <c r="DT3" s="296" t="s">
        <v>2848</v>
      </c>
      <c r="DU3" s="296" t="s">
        <v>2851</v>
      </c>
      <c r="DV3" s="296" t="s">
        <v>2855</v>
      </c>
      <c r="DW3" s="296" t="s">
        <v>2859</v>
      </c>
      <c r="DX3" s="296" t="s">
        <v>2863</v>
      </c>
      <c r="DY3" s="296" t="s">
        <v>2867</v>
      </c>
      <c r="DZ3" s="296" t="s">
        <v>2871</v>
      </c>
      <c r="EA3" s="296" t="s">
        <v>2875</v>
      </c>
      <c r="EB3" s="296" t="s">
        <v>2879</v>
      </c>
      <c r="EC3" s="296" t="s">
        <v>2883</v>
      </c>
      <c r="ED3" s="296" t="s">
        <v>2887</v>
      </c>
      <c r="EE3" s="296" t="s">
        <v>2777</v>
      </c>
      <c r="EF3" s="296" t="s">
        <v>2780</v>
      </c>
      <c r="EG3" s="296" t="s">
        <v>2784</v>
      </c>
      <c r="EH3" s="296" t="s">
        <v>2788</v>
      </c>
      <c r="EI3" s="296" t="s">
        <v>2792</v>
      </c>
      <c r="EJ3" s="296" t="s">
        <v>2796</v>
      </c>
      <c r="EK3" s="296" t="s">
        <v>2800</v>
      </c>
      <c r="EL3" s="296" t="s">
        <v>2804</v>
      </c>
      <c r="EM3" s="296" t="s">
        <v>2808</v>
      </c>
      <c r="EN3" s="296" t="s">
        <v>2706</v>
      </c>
      <c r="EO3" s="296" t="s">
        <v>2709</v>
      </c>
      <c r="EP3" s="296" t="s">
        <v>2713</v>
      </c>
      <c r="EQ3" s="296" t="s">
        <v>2717</v>
      </c>
      <c r="ER3" s="296" t="s">
        <v>2721</v>
      </c>
      <c r="ES3" s="296" t="s">
        <v>2725</v>
      </c>
      <c r="ET3" s="296" t="s">
        <v>2729</v>
      </c>
      <c r="EU3" s="296" t="s">
        <v>2733</v>
      </c>
      <c r="EV3" s="296" t="s">
        <v>2737</v>
      </c>
      <c r="EW3" s="296" t="s">
        <v>3008</v>
      </c>
      <c r="EX3" s="296" t="s">
        <v>3011</v>
      </c>
      <c r="EY3" s="296" t="s">
        <v>3015</v>
      </c>
      <c r="EZ3" s="296" t="s">
        <v>3019</v>
      </c>
      <c r="FA3" s="296" t="s">
        <v>3023</v>
      </c>
      <c r="FB3" s="296" t="s">
        <v>3027</v>
      </c>
      <c r="FC3" s="296" t="s">
        <v>3031</v>
      </c>
      <c r="FD3" s="296" t="s">
        <v>3035</v>
      </c>
      <c r="FE3" s="296" t="s">
        <v>3039</v>
      </c>
      <c r="FF3" s="296" t="s">
        <v>3043</v>
      </c>
      <c r="FG3" s="296" t="s">
        <v>3047</v>
      </c>
      <c r="FH3" s="296" t="s">
        <v>3051</v>
      </c>
      <c r="FI3" s="296" t="s">
        <v>2891</v>
      </c>
      <c r="FJ3" s="296" t="s">
        <v>2895</v>
      </c>
      <c r="FK3" s="296" t="s">
        <v>2899</v>
      </c>
      <c r="FL3" s="296" t="s">
        <v>2903</v>
      </c>
      <c r="FM3" s="296" t="s">
        <v>2907</v>
      </c>
      <c r="FN3" s="296" t="s">
        <v>2911</v>
      </c>
      <c r="FO3" s="296" t="s">
        <v>2915</v>
      </c>
      <c r="FP3" s="296" t="s">
        <v>2918</v>
      </c>
      <c r="FQ3" s="296" t="s">
        <v>2921</v>
      </c>
      <c r="FR3" s="296" t="s">
        <v>2925</v>
      </c>
      <c r="FS3" s="296" t="s">
        <v>2929</v>
      </c>
      <c r="FT3" s="296" t="s">
        <v>2933</v>
      </c>
      <c r="FU3" s="296" t="s">
        <v>2937</v>
      </c>
      <c r="FV3" s="296" t="s">
        <v>2941</v>
      </c>
      <c r="FW3" s="296" t="s">
        <v>2945</v>
      </c>
      <c r="FX3" s="296" t="s">
        <v>2949</v>
      </c>
      <c r="FY3" s="296" t="s">
        <v>2953</v>
      </c>
      <c r="FZ3" s="296" t="s">
        <v>2957</v>
      </c>
      <c r="GA3" s="296" t="s">
        <v>2961</v>
      </c>
      <c r="GB3" s="296" t="s">
        <v>2965</v>
      </c>
      <c r="GC3" s="296" t="s">
        <v>2969</v>
      </c>
      <c r="GD3" s="296" t="s">
        <v>2973</v>
      </c>
      <c r="GE3" s="296" t="s">
        <v>3054</v>
      </c>
      <c r="GF3" s="296" t="s">
        <v>3057</v>
      </c>
      <c r="GG3" s="296" t="s">
        <v>3061</v>
      </c>
      <c r="GH3" s="296" t="s">
        <v>3065</v>
      </c>
      <c r="GI3" s="296" t="s">
        <v>3069</v>
      </c>
      <c r="GJ3" s="296" t="s">
        <v>3073</v>
      </c>
      <c r="GK3" s="296" t="s">
        <v>3077</v>
      </c>
      <c r="GL3" s="296" t="s">
        <v>3081</v>
      </c>
      <c r="GM3" s="296" t="s">
        <v>3085</v>
      </c>
      <c r="GN3" s="296" t="s">
        <v>3089</v>
      </c>
      <c r="GO3" s="296" t="s">
        <v>3093</v>
      </c>
      <c r="GP3" s="296" t="s">
        <v>3097</v>
      </c>
      <c r="GQ3" s="296" t="s">
        <v>2977</v>
      </c>
      <c r="GR3" s="296" t="s">
        <v>2980</v>
      </c>
      <c r="GS3" s="296" t="s">
        <v>2984</v>
      </c>
      <c r="GT3" s="296" t="s">
        <v>2988</v>
      </c>
      <c r="GU3" s="296" t="s">
        <v>2992</v>
      </c>
      <c r="GV3" s="296" t="s">
        <v>2996</v>
      </c>
      <c r="GW3" s="296" t="s">
        <v>3000</v>
      </c>
      <c r="GX3" s="296" t="s">
        <v>3004</v>
      </c>
      <c r="GY3" s="296" t="s">
        <v>3364</v>
      </c>
      <c r="GZ3" s="296" t="s">
        <v>3367</v>
      </c>
      <c r="HA3" s="296" t="s">
        <v>3371</v>
      </c>
      <c r="HB3" s="296" t="s">
        <v>3375</v>
      </c>
      <c r="HC3" s="296" t="s">
        <v>3101</v>
      </c>
      <c r="HD3" s="296" t="s">
        <v>3105</v>
      </c>
      <c r="HE3" s="296" t="s">
        <v>3109</v>
      </c>
      <c r="HF3" s="296" t="s">
        <v>3113</v>
      </c>
      <c r="HG3" s="296" t="s">
        <v>3117</v>
      </c>
      <c r="HH3" s="296" t="s">
        <v>3121</v>
      </c>
      <c r="HI3" s="296" t="s">
        <v>3125</v>
      </c>
      <c r="HJ3" s="296" t="s">
        <v>3129</v>
      </c>
      <c r="HK3" s="296" t="s">
        <v>3132</v>
      </c>
      <c r="HL3" s="296" t="s">
        <v>3136</v>
      </c>
      <c r="HM3" s="296" t="s">
        <v>3140</v>
      </c>
      <c r="HN3" s="296" t="s">
        <v>3144</v>
      </c>
      <c r="HO3" s="296" t="s">
        <v>3148</v>
      </c>
      <c r="HP3" s="296" t="s">
        <v>3152</v>
      </c>
      <c r="HQ3" s="296" t="s">
        <v>3156</v>
      </c>
      <c r="HR3" s="296" t="s">
        <v>3160</v>
      </c>
      <c r="HS3" s="296" t="s">
        <v>3163</v>
      </c>
      <c r="HT3" s="296" t="s">
        <v>3167</v>
      </c>
      <c r="HU3" s="296" t="s">
        <v>3171</v>
      </c>
      <c r="HV3" s="296" t="s">
        <v>3175</v>
      </c>
      <c r="HW3" s="296" t="s">
        <v>3179</v>
      </c>
      <c r="HX3" s="296" t="s">
        <v>3183</v>
      </c>
      <c r="HY3" s="296" t="s">
        <v>3187</v>
      </c>
      <c r="HZ3" s="296" t="s">
        <v>3191</v>
      </c>
      <c r="IA3" s="296" t="s">
        <v>3195</v>
      </c>
      <c r="IB3" s="296" t="s">
        <v>3199</v>
      </c>
      <c r="IC3" s="296" t="s">
        <v>3203</v>
      </c>
      <c r="ID3" s="296" t="s">
        <v>3207</v>
      </c>
      <c r="IE3" s="296" t="s">
        <v>3211</v>
      </c>
      <c r="IF3" s="296" t="s">
        <v>3215</v>
      </c>
      <c r="IG3" s="296" t="s">
        <v>3219</v>
      </c>
      <c r="IH3" s="296" t="s">
        <v>3250</v>
      </c>
      <c r="II3" s="296" t="s">
        <v>3254</v>
      </c>
      <c r="IJ3" s="296" t="s">
        <v>3258</v>
      </c>
      <c r="IK3" s="296" t="s">
        <v>3262</v>
      </c>
      <c r="IL3" s="296" t="s">
        <v>3266</v>
      </c>
      <c r="IM3" s="296" t="s">
        <v>3270</v>
      </c>
      <c r="IN3" s="296" t="s">
        <v>3274</v>
      </c>
      <c r="IO3" s="296" t="s">
        <v>3278</v>
      </c>
      <c r="IP3" s="296" t="s">
        <v>3282</v>
      </c>
      <c r="IQ3" s="296" t="s">
        <v>3286</v>
      </c>
      <c r="IR3" s="296" t="s">
        <v>3290</v>
      </c>
      <c r="IS3" s="296" t="s">
        <v>3317</v>
      </c>
      <c r="IT3" s="296" t="s">
        <v>3320</v>
      </c>
      <c r="IU3" s="296" t="s">
        <v>3324</v>
      </c>
      <c r="IV3" s="296" t="s">
        <v>3328</v>
      </c>
      <c r="IW3" s="296" t="s">
        <v>3332</v>
      </c>
      <c r="IX3" s="296" t="s">
        <v>3336</v>
      </c>
      <c r="IY3" s="296" t="s">
        <v>3340</v>
      </c>
      <c r="IZ3" s="296" t="s">
        <v>3344</v>
      </c>
      <c r="JA3" s="296" t="s">
        <v>3348</v>
      </c>
      <c r="JB3" s="296" t="s">
        <v>3352</v>
      </c>
      <c r="JC3" s="296" t="s">
        <v>3356</v>
      </c>
      <c r="JD3" s="296" t="s">
        <v>3360</v>
      </c>
      <c r="JE3" s="296" t="s">
        <v>3294</v>
      </c>
      <c r="JF3" s="296" t="s">
        <v>3297</v>
      </c>
      <c r="JG3" s="296" t="s">
        <v>3301</v>
      </c>
      <c r="JH3" s="296" t="s">
        <v>3305</v>
      </c>
      <c r="JI3" s="296" t="s">
        <v>3309</v>
      </c>
      <c r="JJ3" s="296" t="s">
        <v>3313</v>
      </c>
      <c r="JK3" s="296" t="s">
        <v>3223</v>
      </c>
      <c r="JL3" s="296" t="s">
        <v>3226</v>
      </c>
      <c r="JM3" s="296" t="s">
        <v>3230</v>
      </c>
      <c r="JN3" s="296" t="s">
        <v>3234</v>
      </c>
      <c r="JO3" s="296" t="s">
        <v>3238</v>
      </c>
      <c r="JP3" s="296" t="s">
        <v>3242</v>
      </c>
      <c r="JQ3" s="296" t="s">
        <v>3246</v>
      </c>
      <c r="JR3" s="296" t="s">
        <v>3422</v>
      </c>
      <c r="JS3" s="296" t="s">
        <v>3426</v>
      </c>
      <c r="JT3" s="296" t="s">
        <v>3430</v>
      </c>
      <c r="JU3" s="296" t="s">
        <v>3434</v>
      </c>
      <c r="JV3" s="296" t="s">
        <v>3438</v>
      </c>
      <c r="JW3" s="296" t="s">
        <v>3442</v>
      </c>
      <c r="JX3" s="296" t="s">
        <v>3446</v>
      </c>
      <c r="JY3" s="296" t="s">
        <v>3450</v>
      </c>
      <c r="JZ3" s="296" t="s">
        <v>3454</v>
      </c>
      <c r="KA3" s="296" t="s">
        <v>3458</v>
      </c>
      <c r="KB3" s="296" t="s">
        <v>3462</v>
      </c>
      <c r="KC3" s="296" t="s">
        <v>3466</v>
      </c>
      <c r="KD3" s="296" t="s">
        <v>3470</v>
      </c>
      <c r="KE3" s="296" t="s">
        <v>3474</v>
      </c>
      <c r="KF3" s="296" t="s">
        <v>3478</v>
      </c>
      <c r="KG3" s="296" t="s">
        <v>5918</v>
      </c>
      <c r="KH3" s="296" t="s">
        <v>3522</v>
      </c>
      <c r="KI3" s="296" t="s">
        <v>3525</v>
      </c>
      <c r="KJ3" s="296" t="s">
        <v>3529</v>
      </c>
      <c r="KK3" s="296" t="s">
        <v>3533</v>
      </c>
      <c r="KL3" s="296" t="s">
        <v>3537</v>
      </c>
      <c r="KM3" s="296" t="s">
        <v>3541</v>
      </c>
      <c r="KN3" s="296" t="s">
        <v>3545</v>
      </c>
      <c r="KO3" s="296" t="s">
        <v>3549</v>
      </c>
      <c r="KP3" s="296" t="s">
        <v>3553</v>
      </c>
      <c r="KQ3" s="296" t="s">
        <v>3608</v>
      </c>
      <c r="KR3" s="296" t="s">
        <v>3611</v>
      </c>
      <c r="KS3" s="296" t="s">
        <v>3615</v>
      </c>
      <c r="KT3" s="296" t="s">
        <v>3619</v>
      </c>
      <c r="KU3" s="296" t="s">
        <v>3623</v>
      </c>
      <c r="KV3" s="296" t="s">
        <v>3627</v>
      </c>
      <c r="KW3" s="296" t="s">
        <v>3631</v>
      </c>
      <c r="KX3" s="296" t="s">
        <v>3635</v>
      </c>
      <c r="KY3" s="296" t="s">
        <v>3576</v>
      </c>
      <c r="KZ3" s="296" t="s">
        <v>3580</v>
      </c>
      <c r="LA3" s="296" t="s">
        <v>3584</v>
      </c>
      <c r="LB3" s="296" t="s">
        <v>3588</v>
      </c>
      <c r="LC3" s="296" t="s">
        <v>3592</v>
      </c>
      <c r="LD3" s="296" t="s">
        <v>3596</v>
      </c>
      <c r="LE3" s="296" t="s">
        <v>3600</v>
      </c>
      <c r="LF3" s="296" t="s">
        <v>3604</v>
      </c>
      <c r="LG3" s="296" t="s">
        <v>3379</v>
      </c>
      <c r="LH3" s="296" t="s">
        <v>3382</v>
      </c>
      <c r="LI3" s="296" t="s">
        <v>3386</v>
      </c>
      <c r="LJ3" s="296" t="s">
        <v>3390</v>
      </c>
      <c r="LK3" s="296" t="s">
        <v>3394</v>
      </c>
      <c r="LL3" s="296" t="s">
        <v>3398</v>
      </c>
      <c r="LM3" s="296" t="s">
        <v>3402</v>
      </c>
      <c r="LN3" s="296" t="s">
        <v>3406</v>
      </c>
      <c r="LO3" s="296" t="s">
        <v>3410</v>
      </c>
      <c r="LP3" s="296" t="s">
        <v>3414</v>
      </c>
      <c r="LQ3" s="296" t="s">
        <v>3418</v>
      </c>
      <c r="LR3" s="296" t="s">
        <v>3564</v>
      </c>
      <c r="LS3" s="296" t="s">
        <v>3568</v>
      </c>
      <c r="LT3" s="296" t="s">
        <v>3572</v>
      </c>
      <c r="LU3" s="296" t="s">
        <v>3557</v>
      </c>
      <c r="LV3" s="296" t="s">
        <v>3560</v>
      </c>
      <c r="LW3" s="296" t="s">
        <v>3482</v>
      </c>
      <c r="LX3" s="296" t="s">
        <v>3486</v>
      </c>
      <c r="LY3" s="296" t="s">
        <v>3490</v>
      </c>
      <c r="LZ3" s="296" t="s">
        <v>3494</v>
      </c>
      <c r="MA3" s="296" t="s">
        <v>3498</v>
      </c>
      <c r="MB3" s="296" t="s">
        <v>3502</v>
      </c>
      <c r="MC3" s="296" t="s">
        <v>3506</v>
      </c>
      <c r="MD3" s="296" t="s">
        <v>3510</v>
      </c>
      <c r="ME3" s="296" t="s">
        <v>3514</v>
      </c>
      <c r="MF3" s="296" t="s">
        <v>3518</v>
      </c>
      <c r="MG3" s="296" t="s">
        <v>3742</v>
      </c>
      <c r="MH3" s="296" t="s">
        <v>3746</v>
      </c>
      <c r="MI3" s="296" t="s">
        <v>3750</v>
      </c>
      <c r="MJ3" s="296" t="s">
        <v>3754</v>
      </c>
      <c r="MK3" s="296" t="s">
        <v>3758</v>
      </c>
      <c r="ML3" s="296" t="s">
        <v>3762</v>
      </c>
      <c r="MM3" s="296" t="s">
        <v>3766</v>
      </c>
      <c r="MN3" s="296" t="s">
        <v>3770</v>
      </c>
      <c r="MO3" s="296" t="s">
        <v>3774</v>
      </c>
      <c r="MP3" s="296" t="s">
        <v>3778</v>
      </c>
      <c r="MQ3" s="296" t="s">
        <v>3782</v>
      </c>
      <c r="MR3" s="296" t="s">
        <v>3786</v>
      </c>
      <c r="MS3" s="296" t="s">
        <v>3817</v>
      </c>
      <c r="MT3" s="296" t="s">
        <v>3821</v>
      </c>
      <c r="MU3" s="296" t="s">
        <v>3825</v>
      </c>
      <c r="MV3" s="296" t="s">
        <v>3829</v>
      </c>
      <c r="MW3" s="296" t="s">
        <v>3833</v>
      </c>
      <c r="MX3" s="296" t="s">
        <v>3837</v>
      </c>
      <c r="MY3" s="296" t="s">
        <v>3841</v>
      </c>
      <c r="MZ3" s="296" t="s">
        <v>3845</v>
      </c>
      <c r="NA3" s="296" t="s">
        <v>3849</v>
      </c>
      <c r="NB3" s="296" t="s">
        <v>3853</v>
      </c>
      <c r="NC3" s="296" t="s">
        <v>3857</v>
      </c>
      <c r="ND3" s="296" t="s">
        <v>3661</v>
      </c>
      <c r="NE3" s="296" t="s">
        <v>3664</v>
      </c>
      <c r="NF3" s="296" t="s">
        <v>3668</v>
      </c>
      <c r="NG3" s="296" t="s">
        <v>3672</v>
      </c>
      <c r="NH3" s="296" t="s">
        <v>3676</v>
      </c>
      <c r="NI3" s="296" t="s">
        <v>3680</v>
      </c>
      <c r="NJ3" s="296" t="s">
        <v>3684</v>
      </c>
      <c r="NK3" s="296" t="s">
        <v>3688</v>
      </c>
      <c r="NL3" s="296" t="s">
        <v>3692</v>
      </c>
      <c r="NM3" s="296" t="s">
        <v>3696</v>
      </c>
      <c r="NN3" s="296" t="s">
        <v>3700</v>
      </c>
      <c r="NO3" s="296" t="s">
        <v>3704</v>
      </c>
      <c r="NP3" s="296" t="s">
        <v>3790</v>
      </c>
      <c r="NQ3" s="296" t="s">
        <v>3793</v>
      </c>
      <c r="NR3" s="296" t="s">
        <v>3797</v>
      </c>
      <c r="NS3" s="296" t="s">
        <v>3801</v>
      </c>
      <c r="NT3" s="296" t="s">
        <v>3805</v>
      </c>
      <c r="NU3" s="296" t="s">
        <v>3809</v>
      </c>
      <c r="NV3" s="296" t="s">
        <v>3813</v>
      </c>
      <c r="NW3" s="296" t="s">
        <v>3861</v>
      </c>
      <c r="NX3" s="296" t="s">
        <v>3865</v>
      </c>
      <c r="NY3" s="296" t="s">
        <v>3869</v>
      </c>
      <c r="NZ3" s="296" t="s">
        <v>3873</v>
      </c>
      <c r="OA3" s="296" t="s">
        <v>3877</v>
      </c>
      <c r="OB3" s="296" t="s">
        <v>3881</v>
      </c>
      <c r="OC3" s="296" t="s">
        <v>3885</v>
      </c>
      <c r="OD3" s="296" t="s">
        <v>3707</v>
      </c>
      <c r="OE3" s="296" t="s">
        <v>3710</v>
      </c>
      <c r="OF3" s="296" t="s">
        <v>3714</v>
      </c>
      <c r="OG3" s="296" t="s">
        <v>3718</v>
      </c>
      <c r="OH3" s="296" t="s">
        <v>3722</v>
      </c>
      <c r="OI3" s="296" t="s">
        <v>3726</v>
      </c>
      <c r="OJ3" s="296" t="s">
        <v>3730</v>
      </c>
      <c r="OK3" s="296" t="s">
        <v>3734</v>
      </c>
      <c r="OL3" s="296" t="s">
        <v>3738</v>
      </c>
      <c r="OM3" s="296" t="s">
        <v>3639</v>
      </c>
      <c r="ON3" s="296" t="s">
        <v>3642</v>
      </c>
      <c r="OO3" s="296" t="s">
        <v>3646</v>
      </c>
      <c r="OP3" s="296" t="s">
        <v>3650</v>
      </c>
      <c r="OQ3" s="296" t="s">
        <v>3654</v>
      </c>
      <c r="OR3" s="296" t="s">
        <v>3658</v>
      </c>
      <c r="OS3" s="296" t="s">
        <v>3889</v>
      </c>
      <c r="OT3" s="296" t="s">
        <v>3893</v>
      </c>
      <c r="OU3" s="296" t="s">
        <v>3897</v>
      </c>
      <c r="OV3" s="296" t="s">
        <v>3901</v>
      </c>
      <c r="OW3" s="296" t="s">
        <v>3905</v>
      </c>
      <c r="OX3" s="296" t="s">
        <v>3909</v>
      </c>
      <c r="OY3" s="296" t="s">
        <v>3913</v>
      </c>
      <c r="OZ3" s="296" t="s">
        <v>3917</v>
      </c>
      <c r="PA3" s="296" t="s">
        <v>3921</v>
      </c>
      <c r="PB3" s="296" t="s">
        <v>4156</v>
      </c>
      <c r="PC3" s="296" t="s">
        <v>4159</v>
      </c>
      <c r="PD3" s="296" t="s">
        <v>4163</v>
      </c>
      <c r="PE3" s="296" t="s">
        <v>4166</v>
      </c>
      <c r="PF3" s="296" t="s">
        <v>4170</v>
      </c>
      <c r="PG3" s="296" t="s">
        <v>4174</v>
      </c>
      <c r="PH3" s="296" t="s">
        <v>4178</v>
      </c>
      <c r="PI3" s="296" t="s">
        <v>4182</v>
      </c>
      <c r="PJ3" s="296" t="s">
        <v>4186</v>
      </c>
      <c r="PK3" s="296" t="s">
        <v>4190</v>
      </c>
      <c r="PL3" s="296" t="s">
        <v>4194</v>
      </c>
      <c r="PM3" s="296" t="s">
        <v>4198</v>
      </c>
      <c r="PN3" s="296" t="s">
        <v>4202</v>
      </c>
      <c r="PO3" s="296" t="s">
        <v>4206</v>
      </c>
      <c r="PP3" s="296" t="s">
        <v>4210</v>
      </c>
      <c r="PQ3" s="296" t="s">
        <v>4214</v>
      </c>
      <c r="PR3" s="296" t="s">
        <v>4218</v>
      </c>
      <c r="PS3" s="296" t="s">
        <v>4222</v>
      </c>
      <c r="PT3" s="296" t="s">
        <v>3925</v>
      </c>
      <c r="PU3" s="296" t="s">
        <v>3928</v>
      </c>
      <c r="PV3" s="296" t="s">
        <v>3932</v>
      </c>
      <c r="PW3" s="296" t="s">
        <v>3936</v>
      </c>
      <c r="PX3" s="296" t="s">
        <v>3940</v>
      </c>
      <c r="PY3" s="296" t="s">
        <v>3944</v>
      </c>
      <c r="PZ3" s="296" t="s">
        <v>3948</v>
      </c>
      <c r="QA3" s="296" t="s">
        <v>3952</v>
      </c>
      <c r="QB3" s="296" t="s">
        <v>3956</v>
      </c>
      <c r="QC3" s="296" t="s">
        <v>3960</v>
      </c>
      <c r="QD3" s="296" t="s">
        <v>3964</v>
      </c>
      <c r="QE3" s="296" t="s">
        <v>3968</v>
      </c>
      <c r="QF3" s="296" t="s">
        <v>3972</v>
      </c>
      <c r="QG3" s="296" t="s">
        <v>3976</v>
      </c>
      <c r="QH3" s="296" t="s">
        <v>3980</v>
      </c>
      <c r="QI3" s="296" t="s">
        <v>3984</v>
      </c>
      <c r="QJ3" s="296" t="s">
        <v>3988</v>
      </c>
      <c r="QK3" s="296" t="s">
        <v>3992</v>
      </c>
      <c r="QL3" s="296" t="s">
        <v>3996</v>
      </c>
      <c r="QM3" s="296" t="s">
        <v>4000</v>
      </c>
      <c r="QN3" s="296" t="s">
        <v>4004</v>
      </c>
      <c r="QO3" s="296" t="s">
        <v>4008</v>
      </c>
      <c r="QP3" s="296" t="s">
        <v>4012</v>
      </c>
      <c r="QQ3" s="296" t="s">
        <v>4016</v>
      </c>
      <c r="QR3" s="296" t="s">
        <v>4020</v>
      </c>
      <c r="QS3" s="296" t="s">
        <v>4024</v>
      </c>
      <c r="QT3" s="296" t="s">
        <v>4028</v>
      </c>
      <c r="QU3" s="296" t="s">
        <v>4031</v>
      </c>
      <c r="QV3" s="296" t="s">
        <v>4035</v>
      </c>
      <c r="QW3" s="296" t="s">
        <v>4039</v>
      </c>
      <c r="QX3" s="296" t="s">
        <v>4043</v>
      </c>
      <c r="QY3" s="296" t="s">
        <v>4047</v>
      </c>
      <c r="QZ3" s="296" t="s">
        <v>4051</v>
      </c>
      <c r="RA3" s="296" t="s">
        <v>4055</v>
      </c>
      <c r="RB3" s="296" t="s">
        <v>4059</v>
      </c>
      <c r="RC3" s="296" t="s">
        <v>4063</v>
      </c>
      <c r="RD3" s="296" t="s">
        <v>4067</v>
      </c>
      <c r="RE3" s="296" t="s">
        <v>4071</v>
      </c>
      <c r="RF3" s="296" t="s">
        <v>4075</v>
      </c>
      <c r="RG3" s="296" t="s">
        <v>4079</v>
      </c>
      <c r="RH3" s="296" t="s">
        <v>4082</v>
      </c>
      <c r="RI3" s="296" t="s">
        <v>4086</v>
      </c>
      <c r="RJ3" s="296" t="s">
        <v>4090</v>
      </c>
      <c r="RK3" s="296" t="s">
        <v>4094</v>
      </c>
      <c r="RL3" s="296" t="s">
        <v>4098</v>
      </c>
      <c r="RM3" s="296" t="s">
        <v>4102</v>
      </c>
      <c r="RN3" s="296" t="s">
        <v>4106</v>
      </c>
      <c r="RO3" s="296" t="s">
        <v>4110</v>
      </c>
      <c r="RP3" s="296" t="s">
        <v>4114</v>
      </c>
      <c r="RQ3" s="296" t="s">
        <v>4118</v>
      </c>
      <c r="RR3" s="296" t="s">
        <v>4122</v>
      </c>
      <c r="RS3" s="296" t="s">
        <v>4126</v>
      </c>
      <c r="RT3" s="296" t="s">
        <v>4130</v>
      </c>
      <c r="RU3" s="296" t="s">
        <v>4134</v>
      </c>
      <c r="RV3" s="296" t="s">
        <v>4138</v>
      </c>
      <c r="RW3" s="296" t="s">
        <v>4142</v>
      </c>
      <c r="RX3" s="296" t="s">
        <v>4146</v>
      </c>
      <c r="RY3" s="296" t="s">
        <v>4149</v>
      </c>
      <c r="RZ3" s="296" t="s">
        <v>4153</v>
      </c>
      <c r="SA3" s="296" t="s">
        <v>4522</v>
      </c>
      <c r="SB3" s="296" t="s">
        <v>4525</v>
      </c>
      <c r="SC3" s="296" t="s">
        <v>4529</v>
      </c>
      <c r="SD3" s="296" t="s">
        <v>4533</v>
      </c>
      <c r="SE3" s="296" t="s">
        <v>4537</v>
      </c>
      <c r="SF3" s="296" t="s">
        <v>4541</v>
      </c>
      <c r="SG3" s="296" t="s">
        <v>4545</v>
      </c>
      <c r="SH3" s="296" t="s">
        <v>4549</v>
      </c>
      <c r="SI3" s="296" t="s">
        <v>4553</v>
      </c>
      <c r="SJ3" s="296" t="s">
        <v>4557</v>
      </c>
      <c r="SK3" s="296" t="s">
        <v>4561</v>
      </c>
      <c r="SL3" s="296" t="s">
        <v>4565</v>
      </c>
      <c r="SM3" s="296" t="s">
        <v>4226</v>
      </c>
      <c r="SN3" s="296" t="s">
        <v>4229</v>
      </c>
      <c r="SO3" s="296" t="s">
        <v>4233</v>
      </c>
      <c r="SP3" s="296" t="s">
        <v>4237</v>
      </c>
      <c r="SQ3" s="296" t="s">
        <v>4241</v>
      </c>
      <c r="SR3" s="296" t="s">
        <v>4245</v>
      </c>
      <c r="SS3" s="296" t="s">
        <v>4249</v>
      </c>
      <c r="ST3" s="296" t="s">
        <v>4253</v>
      </c>
      <c r="SU3" s="296" t="s">
        <v>4361</v>
      </c>
      <c r="SV3" s="296" t="s">
        <v>4364</v>
      </c>
      <c r="SW3" s="296" t="s">
        <v>4368</v>
      </c>
      <c r="SX3" s="296" t="s">
        <v>4372</v>
      </c>
      <c r="SY3" s="296" t="s">
        <v>4376</v>
      </c>
      <c r="SZ3" s="296" t="s">
        <v>4380</v>
      </c>
      <c r="TA3" s="296" t="s">
        <v>4384</v>
      </c>
      <c r="TB3" s="296" t="s">
        <v>4388</v>
      </c>
      <c r="TC3" s="296" t="s">
        <v>4392</v>
      </c>
      <c r="TD3" s="296" t="s">
        <v>4396</v>
      </c>
      <c r="TE3" s="296" t="s">
        <v>4400</v>
      </c>
      <c r="TF3" s="296" t="s">
        <v>4404</v>
      </c>
      <c r="TG3" s="296" t="s">
        <v>4408</v>
      </c>
      <c r="TH3" s="296" t="s">
        <v>4412</v>
      </c>
      <c r="TI3" s="296" t="s">
        <v>4451</v>
      </c>
      <c r="TJ3" s="296" t="s">
        <v>4454</v>
      </c>
      <c r="TK3" s="296" t="s">
        <v>4458</v>
      </c>
      <c r="TL3" s="296" t="s">
        <v>4462</v>
      </c>
      <c r="TM3" s="296" t="s">
        <v>4466</v>
      </c>
      <c r="TN3" s="296" t="s">
        <v>4470</v>
      </c>
      <c r="TO3" s="296" t="s">
        <v>4474</v>
      </c>
      <c r="TP3" s="296" t="s">
        <v>4478</v>
      </c>
      <c r="TQ3" s="296" t="s">
        <v>4482</v>
      </c>
      <c r="TR3" s="296" t="s">
        <v>4486</v>
      </c>
      <c r="TS3" s="296" t="s">
        <v>4490</v>
      </c>
      <c r="TT3" s="296" t="s">
        <v>4494</v>
      </c>
      <c r="TU3" s="296" t="s">
        <v>4498</v>
      </c>
      <c r="TV3" s="296" t="s">
        <v>4502</v>
      </c>
      <c r="TW3" s="296" t="s">
        <v>4506</v>
      </c>
      <c r="TX3" s="296" t="s">
        <v>4510</v>
      </c>
      <c r="TY3" s="296" t="s">
        <v>4514</v>
      </c>
      <c r="TZ3" s="296" t="s">
        <v>4518</v>
      </c>
      <c r="UA3" s="296" t="s">
        <v>4416</v>
      </c>
      <c r="UB3" s="296" t="s">
        <v>4419</v>
      </c>
      <c r="UC3" s="296" t="s">
        <v>4423</v>
      </c>
      <c r="UD3" s="296" t="s">
        <v>4427</v>
      </c>
      <c r="UE3" s="296" t="s">
        <v>4431</v>
      </c>
      <c r="UF3" s="296" t="s">
        <v>4435</v>
      </c>
      <c r="UG3" s="296" t="s">
        <v>4439</v>
      </c>
      <c r="UH3" s="296" t="s">
        <v>4443</v>
      </c>
      <c r="UI3" s="296" t="s">
        <v>4447</v>
      </c>
      <c r="UJ3" s="296" t="s">
        <v>4257</v>
      </c>
      <c r="UK3" s="296" t="s">
        <v>4260</v>
      </c>
      <c r="UL3" s="296" t="s">
        <v>4264</v>
      </c>
      <c r="UM3" s="296" t="s">
        <v>4268</v>
      </c>
      <c r="UN3" s="296" t="s">
        <v>4272</v>
      </c>
      <c r="UO3" s="296" t="s">
        <v>4276</v>
      </c>
      <c r="UP3" s="296" t="s">
        <v>4280</v>
      </c>
      <c r="UQ3" s="296" t="s">
        <v>4283</v>
      </c>
      <c r="UR3" s="296" t="s">
        <v>4287</v>
      </c>
      <c r="US3" s="296" t="s">
        <v>4291</v>
      </c>
      <c r="UT3" s="296" t="s">
        <v>4295</v>
      </c>
      <c r="UU3" s="296" t="s">
        <v>4299</v>
      </c>
      <c r="UV3" s="296" t="s">
        <v>4303</v>
      </c>
      <c r="UW3" s="296" t="s">
        <v>4307</v>
      </c>
      <c r="UX3" s="296" t="s">
        <v>4311</v>
      </c>
      <c r="UY3" s="296" t="s">
        <v>4315</v>
      </c>
      <c r="UZ3" s="296" t="s">
        <v>4319</v>
      </c>
      <c r="VA3" s="296" t="s">
        <v>4323</v>
      </c>
      <c r="VB3" s="296" t="s">
        <v>4327</v>
      </c>
      <c r="VC3" s="296" t="s">
        <v>4331</v>
      </c>
      <c r="VD3" s="296" t="s">
        <v>4335</v>
      </c>
      <c r="VE3" s="296" t="s">
        <v>4339</v>
      </c>
      <c r="VF3" s="296" t="s">
        <v>4343</v>
      </c>
      <c r="VG3" s="296" t="s">
        <v>4347</v>
      </c>
      <c r="VH3" s="296" t="s">
        <v>4351</v>
      </c>
      <c r="VI3" s="296" t="s">
        <v>4355</v>
      </c>
      <c r="VJ3" s="296" t="s">
        <v>4358</v>
      </c>
      <c r="VK3" s="296" t="s">
        <v>4850</v>
      </c>
      <c r="VL3" s="296" t="s">
        <v>4853</v>
      </c>
      <c r="VM3" s="296" t="s">
        <v>4856</v>
      </c>
      <c r="VN3" s="296" t="s">
        <v>4860</v>
      </c>
      <c r="VO3" s="296" t="s">
        <v>4864</v>
      </c>
      <c r="VP3" s="296" t="s">
        <v>4868</v>
      </c>
      <c r="VQ3" s="296" t="s">
        <v>4872</v>
      </c>
      <c r="VR3" s="296" t="s">
        <v>4876</v>
      </c>
      <c r="VS3" s="296" t="s">
        <v>4880</v>
      </c>
      <c r="VT3" s="296" t="s">
        <v>4884</v>
      </c>
      <c r="VU3" s="296" t="s">
        <v>4888</v>
      </c>
      <c r="VV3" s="296" t="s">
        <v>4892</v>
      </c>
      <c r="VW3" s="296" t="s">
        <v>4896</v>
      </c>
      <c r="VX3" s="296" t="s">
        <v>4900</v>
      </c>
      <c r="VY3" s="296" t="s">
        <v>4904</v>
      </c>
      <c r="VZ3" s="296" t="s">
        <v>4908</v>
      </c>
      <c r="WA3" s="296" t="s">
        <v>4569</v>
      </c>
      <c r="WB3" s="296" t="s">
        <v>4573</v>
      </c>
      <c r="WC3" s="296" t="s">
        <v>4577</v>
      </c>
      <c r="WD3" s="296" t="s">
        <v>4581</v>
      </c>
      <c r="WE3" s="296" t="s">
        <v>4585</v>
      </c>
      <c r="WF3" s="296" t="s">
        <v>4589</v>
      </c>
      <c r="WG3" s="296" t="s">
        <v>4593</v>
      </c>
      <c r="WH3" s="296" t="s">
        <v>4597</v>
      </c>
      <c r="WI3" s="296" t="s">
        <v>4601</v>
      </c>
      <c r="WJ3" s="296" t="s">
        <v>4605</v>
      </c>
      <c r="WK3" s="296" t="s">
        <v>4609</v>
      </c>
      <c r="WL3" s="296" t="s">
        <v>4613</v>
      </c>
      <c r="WM3" s="296" t="s">
        <v>4617</v>
      </c>
      <c r="WN3" s="296" t="s">
        <v>4621</v>
      </c>
      <c r="WO3" s="296" t="s">
        <v>4625</v>
      </c>
      <c r="WP3" s="296" t="s">
        <v>4629</v>
      </c>
      <c r="WQ3" s="296" t="s">
        <v>4633</v>
      </c>
      <c r="WR3" s="296" t="s">
        <v>4637</v>
      </c>
      <c r="WS3" s="296" t="s">
        <v>4641</v>
      </c>
      <c r="WT3" s="296" t="s">
        <v>4645</v>
      </c>
      <c r="WU3" s="296" t="s">
        <v>4649</v>
      </c>
      <c r="WV3" s="296" t="s">
        <v>4653</v>
      </c>
      <c r="WW3" s="296" t="s">
        <v>4657</v>
      </c>
      <c r="WX3" s="296" t="s">
        <v>4661</v>
      </c>
      <c r="WY3" s="296" t="s">
        <v>4665</v>
      </c>
      <c r="WZ3" s="296" t="s">
        <v>4669</v>
      </c>
      <c r="XA3" s="296" t="s">
        <v>4673</v>
      </c>
      <c r="XB3" s="296" t="s">
        <v>4677</v>
      </c>
      <c r="XC3" s="296" t="s">
        <v>4681</v>
      </c>
      <c r="XD3" s="296" t="s">
        <v>4685</v>
      </c>
      <c r="XE3" s="296" t="s">
        <v>4688</v>
      </c>
      <c r="XF3" s="296" t="s">
        <v>4691</v>
      </c>
      <c r="XG3" s="296" t="s">
        <v>4694</v>
      </c>
      <c r="XH3" s="296" t="s">
        <v>4697</v>
      </c>
      <c r="XI3" s="296" t="s">
        <v>4700</v>
      </c>
      <c r="XJ3" s="296" t="s">
        <v>4704</v>
      </c>
      <c r="XK3" s="296" t="s">
        <v>4708</v>
      </c>
      <c r="XL3" s="296" t="s">
        <v>4712</v>
      </c>
      <c r="XM3" s="296" t="s">
        <v>4716</v>
      </c>
      <c r="XN3" s="296" t="s">
        <v>4720</v>
      </c>
      <c r="XO3" s="296" t="s">
        <v>4724</v>
      </c>
      <c r="XP3" s="296" t="s">
        <v>4728</v>
      </c>
      <c r="XQ3" s="296" t="s">
        <v>4732</v>
      </c>
      <c r="XR3" s="296" t="s">
        <v>4736</v>
      </c>
      <c r="XS3" s="296" t="s">
        <v>4740</v>
      </c>
      <c r="XT3" s="296" t="s">
        <v>4744</v>
      </c>
      <c r="XU3" s="296" t="s">
        <v>4748</v>
      </c>
      <c r="XV3" s="296" t="s">
        <v>4752</v>
      </c>
      <c r="XW3" s="296" t="s">
        <v>4756</v>
      </c>
      <c r="XX3" s="296" t="s">
        <v>4760</v>
      </c>
      <c r="XY3" s="296" t="s">
        <v>4764</v>
      </c>
      <c r="XZ3" s="296" t="s">
        <v>4768</v>
      </c>
      <c r="YA3" s="296" t="s">
        <v>4772</v>
      </c>
      <c r="YB3" s="296" t="s">
        <v>4776</v>
      </c>
      <c r="YC3" s="296" t="s">
        <v>4779</v>
      </c>
      <c r="YD3" s="296" t="s">
        <v>4783</v>
      </c>
      <c r="YE3" s="296" t="s">
        <v>4786</v>
      </c>
      <c r="YF3" s="296" t="s">
        <v>4789</v>
      </c>
      <c r="YG3" s="296" t="s">
        <v>4793</v>
      </c>
      <c r="YH3" s="296" t="s">
        <v>4797</v>
      </c>
      <c r="YI3" s="296" t="s">
        <v>4801</v>
      </c>
      <c r="YJ3" s="296" t="s">
        <v>4805</v>
      </c>
      <c r="YK3" s="296" t="s">
        <v>4809</v>
      </c>
      <c r="YL3" s="296" t="s">
        <v>4813</v>
      </c>
      <c r="YM3" s="296" t="s">
        <v>4817</v>
      </c>
      <c r="YN3" s="296" t="s">
        <v>4821</v>
      </c>
      <c r="YO3" s="296" t="s">
        <v>4825</v>
      </c>
      <c r="YP3" s="296" t="s">
        <v>4829</v>
      </c>
      <c r="YQ3" s="296" t="s">
        <v>4833</v>
      </c>
      <c r="YR3" s="296" t="s">
        <v>4837</v>
      </c>
      <c r="YS3" s="296" t="s">
        <v>4841</v>
      </c>
      <c r="YT3" s="296" t="s">
        <v>4844</v>
      </c>
      <c r="YU3" s="296" t="s">
        <v>4847</v>
      </c>
      <c r="YV3" s="296" t="s">
        <v>5161</v>
      </c>
      <c r="YW3" s="296" t="s">
        <v>5164</v>
      </c>
      <c r="YX3" s="296" t="s">
        <v>5168</v>
      </c>
      <c r="YY3" s="296" t="s">
        <v>5172</v>
      </c>
      <c r="YZ3" s="296" t="s">
        <v>5176</v>
      </c>
      <c r="ZA3" s="296" t="s">
        <v>5180</v>
      </c>
      <c r="ZB3" s="296" t="s">
        <v>5184</v>
      </c>
      <c r="ZC3" s="296" t="s">
        <v>5099</v>
      </c>
      <c r="ZD3" s="296" t="s">
        <v>5102</v>
      </c>
      <c r="ZE3" s="296" t="s">
        <v>5106</v>
      </c>
      <c r="ZF3" s="296" t="s">
        <v>5110</v>
      </c>
      <c r="ZG3" s="296" t="s">
        <v>5114</v>
      </c>
      <c r="ZH3" s="296" t="s">
        <v>5118</v>
      </c>
      <c r="ZI3" s="296" t="s">
        <v>5122</v>
      </c>
      <c r="ZJ3" s="296" t="s">
        <v>5126</v>
      </c>
      <c r="ZK3" s="296" t="s">
        <v>5130</v>
      </c>
      <c r="ZL3" s="296" t="s">
        <v>4912</v>
      </c>
      <c r="ZM3" s="296" t="s">
        <v>4915</v>
      </c>
      <c r="ZN3" s="296" t="s">
        <v>4919</v>
      </c>
      <c r="ZO3" s="296" t="s">
        <v>4923</v>
      </c>
      <c r="ZP3" s="296" t="s">
        <v>4927</v>
      </c>
      <c r="ZQ3" s="296" t="s">
        <v>4931</v>
      </c>
      <c r="ZR3" s="296" t="s">
        <v>4935</v>
      </c>
      <c r="ZS3" s="296" t="s">
        <v>4939</v>
      </c>
      <c r="ZT3" s="296" t="s">
        <v>4943</v>
      </c>
      <c r="ZU3" s="296" t="s">
        <v>4947</v>
      </c>
      <c r="ZV3" s="296" t="s">
        <v>4951</v>
      </c>
      <c r="ZW3" s="296" t="s">
        <v>4955</v>
      </c>
      <c r="ZX3" s="296" t="s">
        <v>4959</v>
      </c>
      <c r="ZY3" s="296" t="s">
        <v>4963</v>
      </c>
      <c r="ZZ3" s="296" t="s">
        <v>4967</v>
      </c>
      <c r="AAA3" s="296" t="s">
        <v>4971</v>
      </c>
      <c r="AAB3" s="296" t="s">
        <v>4975</v>
      </c>
      <c r="AAC3" s="296" t="s">
        <v>4979</v>
      </c>
      <c r="AAD3" s="296" t="s">
        <v>4983</v>
      </c>
      <c r="AAE3" s="296" t="s">
        <v>4987</v>
      </c>
      <c r="AAF3" s="296" t="s">
        <v>4991</v>
      </c>
      <c r="AAG3" s="296" t="s">
        <v>4994</v>
      </c>
      <c r="AAH3" s="296" t="s">
        <v>5134</v>
      </c>
      <c r="AAI3" s="296" t="s">
        <v>5137</v>
      </c>
      <c r="AAJ3" s="296" t="s">
        <v>5141</v>
      </c>
      <c r="AAK3" s="296" t="s">
        <v>5145</v>
      </c>
      <c r="AAL3" s="296" t="s">
        <v>5149</v>
      </c>
      <c r="AAM3" s="296" t="s">
        <v>5153</v>
      </c>
      <c r="AAN3" s="296" t="s">
        <v>5157</v>
      </c>
      <c r="AAO3" s="296" t="s">
        <v>4998</v>
      </c>
      <c r="AAP3" s="296" t="s">
        <v>5002</v>
      </c>
      <c r="AAQ3" s="296" t="s">
        <v>5006</v>
      </c>
      <c r="AAR3" s="296" t="s">
        <v>5010</v>
      </c>
      <c r="AAS3" s="296" t="s">
        <v>5014</v>
      </c>
      <c r="AAT3" s="296" t="s">
        <v>5018</v>
      </c>
      <c r="AAU3" s="296" t="s">
        <v>5022</v>
      </c>
      <c r="AAV3" s="296" t="s">
        <v>5026</v>
      </c>
      <c r="AAW3" s="296" t="s">
        <v>5030</v>
      </c>
      <c r="AAX3" s="296" t="s">
        <v>5034</v>
      </c>
      <c r="AAY3" s="296" t="s">
        <v>5038</v>
      </c>
      <c r="AAZ3" s="296" t="s">
        <v>5042</v>
      </c>
      <c r="ABA3" s="296" t="s">
        <v>5046</v>
      </c>
      <c r="ABB3" s="296" t="s">
        <v>5050</v>
      </c>
      <c r="ABC3" s="296" t="s">
        <v>5054</v>
      </c>
      <c r="ABD3" s="296" t="s">
        <v>5058</v>
      </c>
      <c r="ABE3" s="296" t="s">
        <v>5062</v>
      </c>
      <c r="ABF3" s="296" t="s">
        <v>5066</v>
      </c>
      <c r="ABG3" s="296" t="s">
        <v>5070</v>
      </c>
      <c r="ABH3" s="296" t="s">
        <v>5074</v>
      </c>
      <c r="ABI3" s="296" t="s">
        <v>5078</v>
      </c>
      <c r="ABJ3" s="296" t="s">
        <v>5082</v>
      </c>
      <c r="ABK3" s="296" t="s">
        <v>5086</v>
      </c>
      <c r="ABL3" s="296" t="s">
        <v>5090</v>
      </c>
      <c r="ABM3" s="296" t="s">
        <v>5093</v>
      </c>
      <c r="ABN3" s="296" t="s">
        <v>5096</v>
      </c>
      <c r="ABO3" s="296" t="s">
        <v>5278</v>
      </c>
      <c r="ABP3" s="296" t="s">
        <v>5281</v>
      </c>
      <c r="ABQ3" s="296" t="s">
        <v>5285</v>
      </c>
      <c r="ABR3" s="296" t="s">
        <v>5289</v>
      </c>
      <c r="ABS3" s="296" t="s">
        <v>5293</v>
      </c>
      <c r="ABT3" s="296" t="s">
        <v>5297</v>
      </c>
      <c r="ABU3" s="296" t="s">
        <v>5301</v>
      </c>
      <c r="ABV3" s="296" t="s">
        <v>5305</v>
      </c>
      <c r="ABW3" s="296" t="s">
        <v>5309</v>
      </c>
      <c r="ABX3" s="296" t="s">
        <v>5456</v>
      </c>
      <c r="ABY3" s="296" t="s">
        <v>5460</v>
      </c>
      <c r="ABZ3" s="296" t="s">
        <v>5464</v>
      </c>
      <c r="ACA3" s="296" t="s">
        <v>5468</v>
      </c>
      <c r="ACB3" s="296" t="s">
        <v>5472</v>
      </c>
      <c r="ACC3" s="296" t="s">
        <v>5476</v>
      </c>
      <c r="ACD3" s="296" t="s">
        <v>5480</v>
      </c>
      <c r="ACE3" s="296" t="s">
        <v>5484</v>
      </c>
      <c r="ACF3" s="296" t="s">
        <v>5488</v>
      </c>
      <c r="ACG3" s="296" t="s">
        <v>5492</v>
      </c>
      <c r="ACH3" s="296" t="s">
        <v>5496</v>
      </c>
      <c r="ACI3" s="296" t="s">
        <v>5188</v>
      </c>
      <c r="ACJ3" s="296" t="s">
        <v>5192</v>
      </c>
      <c r="ACK3" s="296" t="s">
        <v>5196</v>
      </c>
      <c r="ACL3" s="296" t="s">
        <v>5200</v>
      </c>
      <c r="ACM3" s="296" t="s">
        <v>5204</v>
      </c>
      <c r="ACN3" s="296" t="s">
        <v>5208</v>
      </c>
      <c r="ACO3" s="296" t="s">
        <v>5212</v>
      </c>
      <c r="ACP3" s="296" t="s">
        <v>5216</v>
      </c>
      <c r="ACQ3" s="296" t="s">
        <v>5220</v>
      </c>
      <c r="ACR3" s="296" t="s">
        <v>5224</v>
      </c>
      <c r="ACS3" s="296" t="s">
        <v>5228</v>
      </c>
      <c r="ACT3" s="296" t="s">
        <v>5232</v>
      </c>
      <c r="ACU3" s="296" t="s">
        <v>5236</v>
      </c>
      <c r="ACV3" s="296" t="s">
        <v>5240</v>
      </c>
      <c r="ACW3" s="296" t="s">
        <v>5244</v>
      </c>
      <c r="ACX3" s="296" t="s">
        <v>5248</v>
      </c>
      <c r="ACY3" s="296" t="s">
        <v>5252</v>
      </c>
      <c r="ACZ3" s="296" t="s">
        <v>5256</v>
      </c>
      <c r="ADA3" s="296" t="s">
        <v>5260</v>
      </c>
      <c r="ADB3" s="296" t="s">
        <v>5264</v>
      </c>
      <c r="ADC3" s="296" t="s">
        <v>5266</v>
      </c>
      <c r="ADD3" s="296" t="s">
        <v>5270</v>
      </c>
      <c r="ADE3" s="296" t="s">
        <v>5274</v>
      </c>
      <c r="ADF3" s="296" t="s">
        <v>5313</v>
      </c>
      <c r="ADG3" s="296" t="s">
        <v>5316</v>
      </c>
      <c r="ADH3" s="296" t="s">
        <v>5320</v>
      </c>
      <c r="ADI3" s="296" t="s">
        <v>5324</v>
      </c>
      <c r="ADJ3" s="296" t="s">
        <v>5328</v>
      </c>
      <c r="ADK3" s="296" t="s">
        <v>5332</v>
      </c>
      <c r="ADL3" s="296" t="s">
        <v>5334</v>
      </c>
      <c r="ADM3" s="296" t="s">
        <v>5338</v>
      </c>
      <c r="ADN3" s="296" t="s">
        <v>5342</v>
      </c>
      <c r="ADO3" s="296" t="s">
        <v>5346</v>
      </c>
      <c r="ADP3" s="296" t="s">
        <v>5350</v>
      </c>
      <c r="ADQ3" s="296" t="s">
        <v>5354</v>
      </c>
      <c r="ADR3" s="296" t="s">
        <v>5913</v>
      </c>
      <c r="ADS3" s="296" t="s">
        <v>5437</v>
      </c>
      <c r="ADT3" s="296" t="s">
        <v>5440</v>
      </c>
      <c r="ADU3" s="296" t="s">
        <v>5444</v>
      </c>
      <c r="ADV3" s="296" t="s">
        <v>5448</v>
      </c>
      <c r="ADW3" s="296" t="s">
        <v>5452</v>
      </c>
      <c r="ADX3" s="296" t="s">
        <v>5924</v>
      </c>
      <c r="ADY3" s="296" t="s">
        <v>5358</v>
      </c>
      <c r="ADZ3" s="296" t="s">
        <v>5361</v>
      </c>
      <c r="AEA3" s="296" t="s">
        <v>5365</v>
      </c>
      <c r="AEB3" s="296" t="s">
        <v>5369</v>
      </c>
      <c r="AEC3" s="296" t="s">
        <v>5373</v>
      </c>
      <c r="AED3" s="296" t="s">
        <v>5377</v>
      </c>
      <c r="AEE3" s="296" t="s">
        <v>5381</v>
      </c>
      <c r="AEF3" s="296" t="s">
        <v>5385</v>
      </c>
      <c r="AEG3" s="296" t="s">
        <v>5389</v>
      </c>
      <c r="AEH3" s="296" t="s">
        <v>5393</v>
      </c>
      <c r="AEI3" s="296" t="s">
        <v>5397</v>
      </c>
      <c r="AEJ3" s="296" t="s">
        <v>5401</v>
      </c>
      <c r="AEK3" s="296" t="s">
        <v>5405</v>
      </c>
      <c r="AEL3" s="296" t="s">
        <v>5409</v>
      </c>
      <c r="AEM3" s="296" t="s">
        <v>5413</v>
      </c>
      <c r="AEN3" s="296" t="s">
        <v>5417</v>
      </c>
      <c r="AEO3" s="296" t="s">
        <v>5421</v>
      </c>
      <c r="AEP3" s="296" t="s">
        <v>5425</v>
      </c>
      <c r="AEQ3" s="296" t="s">
        <v>5429</v>
      </c>
      <c r="AER3" s="296" t="s">
        <v>5433</v>
      </c>
      <c r="AES3" s="296" t="s">
        <v>5594</v>
      </c>
      <c r="AET3" s="296" t="s">
        <v>5597</v>
      </c>
      <c r="AEU3" s="296" t="s">
        <v>5601</v>
      </c>
      <c r="AEV3" s="296" t="s">
        <v>5605</v>
      </c>
      <c r="AEW3" s="296" t="s">
        <v>5609</v>
      </c>
      <c r="AEX3" s="296" t="s">
        <v>5613</v>
      </c>
      <c r="AEY3" s="296" t="s">
        <v>5617</v>
      </c>
      <c r="AEZ3" s="296" t="s">
        <v>5621</v>
      </c>
      <c r="AFA3" s="296" t="s">
        <v>5625</v>
      </c>
      <c r="AFB3" s="296" t="s">
        <v>5629</v>
      </c>
      <c r="AFC3" s="296" t="s">
        <v>5754</v>
      </c>
      <c r="AFD3" s="296" t="s">
        <v>5758</v>
      </c>
      <c r="AFE3" s="296" t="s">
        <v>5762</v>
      </c>
      <c r="AFF3" s="296" t="s">
        <v>5766</v>
      </c>
      <c r="AFG3" s="296" t="s">
        <v>5770</v>
      </c>
      <c r="AFH3" s="296" t="s">
        <v>5774</v>
      </c>
      <c r="AFI3" s="296" t="s">
        <v>5778</v>
      </c>
      <c r="AFJ3" s="296" t="s">
        <v>5782</v>
      </c>
      <c r="AFK3" s="296" t="s">
        <v>5786</v>
      </c>
      <c r="AFL3" s="296" t="s">
        <v>5790</v>
      </c>
      <c r="AFM3" s="296" t="s">
        <v>5794</v>
      </c>
      <c r="AFN3" s="296" t="s">
        <v>5798</v>
      </c>
      <c r="AFO3" s="296" t="s">
        <v>5802</v>
      </c>
      <c r="AFP3" s="296" t="s">
        <v>5676</v>
      </c>
      <c r="AFQ3" s="296" t="s">
        <v>5679</v>
      </c>
      <c r="AFR3" s="296" t="s">
        <v>5683</v>
      </c>
      <c r="AFS3" s="296" t="s">
        <v>5687</v>
      </c>
      <c r="AFT3" s="296" t="s">
        <v>5691</v>
      </c>
      <c r="AFU3" s="296" t="s">
        <v>5695</v>
      </c>
      <c r="AFV3" s="296" t="s">
        <v>5699</v>
      </c>
      <c r="AFW3" s="296" t="s">
        <v>5703</v>
      </c>
      <c r="AFX3" s="296" t="s">
        <v>5707</v>
      </c>
      <c r="AFY3" s="296" t="s">
        <v>5711</v>
      </c>
      <c r="AFZ3" s="296" t="s">
        <v>5715</v>
      </c>
      <c r="AGA3" s="296" t="s">
        <v>5719</v>
      </c>
      <c r="AGB3" s="296" t="s">
        <v>5633</v>
      </c>
      <c r="AGC3" s="296" t="s">
        <v>5636</v>
      </c>
      <c r="AGD3" s="296" t="s">
        <v>5640</v>
      </c>
      <c r="AGE3" s="296" t="s">
        <v>5644</v>
      </c>
      <c r="AGF3" s="296" t="s">
        <v>5648</v>
      </c>
      <c r="AGG3" s="296" t="s">
        <v>5652</v>
      </c>
      <c r="AGH3" s="296" t="s">
        <v>5656</v>
      </c>
      <c r="AGI3" s="296" t="s">
        <v>5660</v>
      </c>
      <c r="AGJ3" s="296" t="s">
        <v>5664</v>
      </c>
      <c r="AGK3" s="296" t="s">
        <v>5668</v>
      </c>
      <c r="AGL3" s="296" t="s">
        <v>5672</v>
      </c>
      <c r="AGM3" s="296" t="s">
        <v>5723</v>
      </c>
      <c r="AGN3" s="296" t="s">
        <v>5726</v>
      </c>
      <c r="AGO3" s="296" t="s">
        <v>5730</v>
      </c>
      <c r="AGP3" s="296" t="s">
        <v>5734</v>
      </c>
      <c r="AGQ3" s="296" t="s">
        <v>5738</v>
      </c>
      <c r="AGR3" s="296" t="s">
        <v>5742</v>
      </c>
      <c r="AGS3" s="296" t="s">
        <v>5746</v>
      </c>
      <c r="AGT3" s="296" t="s">
        <v>5750</v>
      </c>
      <c r="AGU3" s="296" t="s">
        <v>5500</v>
      </c>
      <c r="AGV3" s="296" t="s">
        <v>5504</v>
      </c>
      <c r="AGW3" s="296" t="s">
        <v>5507</v>
      </c>
      <c r="AGX3" s="296" t="s">
        <v>5511</v>
      </c>
      <c r="AGY3" s="296" t="s">
        <v>5515</v>
      </c>
      <c r="AGZ3" s="296" t="s">
        <v>5519</v>
      </c>
      <c r="AHA3" s="296" t="s">
        <v>5523</v>
      </c>
      <c r="AHB3" s="296" t="s">
        <v>5527</v>
      </c>
      <c r="AHC3" s="296" t="s">
        <v>5531</v>
      </c>
      <c r="AHD3" s="296" t="s">
        <v>5535</v>
      </c>
      <c r="AHE3" s="296" t="s">
        <v>5539</v>
      </c>
      <c r="AHF3" s="296" t="s">
        <v>5543</v>
      </c>
      <c r="AHG3" s="296" t="s">
        <v>5547</v>
      </c>
      <c r="AHH3" s="296" t="s">
        <v>5551</v>
      </c>
      <c r="AHI3" s="296" t="s">
        <v>5555</v>
      </c>
      <c r="AHJ3" s="296" t="s">
        <v>5559</v>
      </c>
      <c r="AHK3" s="296" t="s">
        <v>5563</v>
      </c>
      <c r="AHL3" s="296" t="s">
        <v>5567</v>
      </c>
      <c r="AHM3" s="296" t="s">
        <v>5570</v>
      </c>
      <c r="AHN3" s="296" t="s">
        <v>5574</v>
      </c>
      <c r="AHO3" s="296" t="s">
        <v>5578</v>
      </c>
      <c r="AHP3" s="333" t="s">
        <v>5582</v>
      </c>
      <c r="AHQ3" s="333" t="s">
        <v>5586</v>
      </c>
      <c r="AHR3" s="334" t="s">
        <v>5590</v>
      </c>
    </row>
    <row r="4" spans="2:905" s="270" customFormat="1" ht="83.4" customHeight="1" x14ac:dyDescent="0.25">
      <c r="B4" s="270" t="s">
        <v>1265</v>
      </c>
      <c r="C4" s="270" t="s">
        <v>1266</v>
      </c>
      <c r="D4" s="270" t="s">
        <v>1267</v>
      </c>
      <c r="E4" s="270" t="s">
        <v>1268</v>
      </c>
      <c r="F4" s="270" t="s">
        <v>1269</v>
      </c>
      <c r="G4" s="270" t="s">
        <v>1270</v>
      </c>
      <c r="H4" s="270" t="s">
        <v>1271</v>
      </c>
      <c r="I4" s="270" t="s">
        <v>1272</v>
      </c>
      <c r="J4" s="270" t="s">
        <v>1273</v>
      </c>
      <c r="K4" s="270" t="s">
        <v>1274</v>
      </c>
      <c r="L4" s="270" t="s">
        <v>1275</v>
      </c>
      <c r="M4" s="270" t="s">
        <v>1276</v>
      </c>
      <c r="N4" s="270" t="s">
        <v>1277</v>
      </c>
      <c r="O4" s="270" t="s">
        <v>1278</v>
      </c>
      <c r="P4" s="270" t="s">
        <v>1279</v>
      </c>
      <c r="Q4" s="270" t="s">
        <v>1280</v>
      </c>
      <c r="R4" s="270" t="s">
        <v>1281</v>
      </c>
      <c r="S4" s="270" t="s">
        <v>1282</v>
      </c>
      <c r="T4" s="270" t="s">
        <v>1283</v>
      </c>
      <c r="U4" s="270" t="s">
        <v>1284</v>
      </c>
      <c r="V4" s="270" t="s">
        <v>1285</v>
      </c>
      <c r="W4" s="270" t="s">
        <v>2107</v>
      </c>
      <c r="X4" s="270" t="s">
        <v>2108</v>
      </c>
      <c r="Y4" s="270" t="s">
        <v>1286</v>
      </c>
      <c r="Z4" s="270" t="s">
        <v>1287</v>
      </c>
      <c r="AA4" s="270" t="s">
        <v>1288</v>
      </c>
      <c r="AB4" s="270" t="s">
        <v>1289</v>
      </c>
      <c r="AC4" s="270" t="s">
        <v>2109</v>
      </c>
      <c r="AD4" s="270" t="s">
        <v>1290</v>
      </c>
      <c r="AE4" s="270" t="s">
        <v>1291</v>
      </c>
      <c r="AF4" s="270" t="s">
        <v>1292</v>
      </c>
      <c r="AG4" s="270" t="s">
        <v>1293</v>
      </c>
      <c r="AH4" s="270" t="s">
        <v>1294</v>
      </c>
      <c r="AI4" s="270" t="s">
        <v>1295</v>
      </c>
      <c r="AJ4" s="270" t="s">
        <v>1296</v>
      </c>
      <c r="AK4" s="270" t="s">
        <v>1297</v>
      </c>
      <c r="AL4" s="270" t="s">
        <v>1298</v>
      </c>
      <c r="AM4" s="270" t="s">
        <v>1299</v>
      </c>
      <c r="AN4" s="270" t="s">
        <v>1300</v>
      </c>
      <c r="AO4" s="270" t="s">
        <v>1301</v>
      </c>
      <c r="AP4" s="270" t="s">
        <v>1302</v>
      </c>
      <c r="AQ4" s="270" t="s">
        <v>1303</v>
      </c>
      <c r="AR4" s="270" t="s">
        <v>1304</v>
      </c>
      <c r="AS4" s="270" t="s">
        <v>1305</v>
      </c>
      <c r="AT4" s="270" t="s">
        <v>1306</v>
      </c>
      <c r="AU4" s="270" t="s">
        <v>1307</v>
      </c>
      <c r="AV4" s="270" t="s">
        <v>1308</v>
      </c>
      <c r="AW4" s="270" t="s">
        <v>1309</v>
      </c>
      <c r="AX4" s="270" t="s">
        <v>1310</v>
      </c>
      <c r="AY4" s="270" t="s">
        <v>1311</v>
      </c>
      <c r="AZ4" s="270" t="s">
        <v>1312</v>
      </c>
      <c r="BA4" s="270" t="s">
        <v>1313</v>
      </c>
      <c r="BB4" s="270" t="s">
        <v>1314</v>
      </c>
      <c r="BC4" s="270" t="s">
        <v>1315</v>
      </c>
      <c r="BD4" s="270" t="s">
        <v>1316</v>
      </c>
      <c r="BE4" s="270" t="s">
        <v>1317</v>
      </c>
      <c r="BF4" s="270" t="s">
        <v>1318</v>
      </c>
      <c r="BG4" s="270" t="s">
        <v>1319</v>
      </c>
      <c r="BH4" s="270" t="s">
        <v>2110</v>
      </c>
      <c r="BI4" s="270" t="s">
        <v>1321</v>
      </c>
      <c r="BJ4" s="270" t="s">
        <v>1322</v>
      </c>
      <c r="BK4" s="270" t="s">
        <v>1323</v>
      </c>
      <c r="BL4" s="270" t="s">
        <v>1324</v>
      </c>
      <c r="BM4" s="270" t="s">
        <v>1325</v>
      </c>
      <c r="BN4" s="270" t="s">
        <v>1326</v>
      </c>
      <c r="BO4" s="270" t="s">
        <v>1327</v>
      </c>
      <c r="BP4" s="270" t="s">
        <v>2111</v>
      </c>
      <c r="BQ4" s="270" t="s">
        <v>2112</v>
      </c>
      <c r="BR4" s="270" t="s">
        <v>1328</v>
      </c>
      <c r="BS4" s="270" t="s">
        <v>1329</v>
      </c>
      <c r="BT4" s="270" t="s">
        <v>1330</v>
      </c>
      <c r="BU4" s="270" t="s">
        <v>1331</v>
      </c>
      <c r="BV4" s="270" t="s">
        <v>1332</v>
      </c>
      <c r="BW4" s="270" t="s">
        <v>1333</v>
      </c>
      <c r="BX4" s="270" t="s">
        <v>1334</v>
      </c>
      <c r="BY4" s="270" t="s">
        <v>1335</v>
      </c>
      <c r="BZ4" s="270" t="s">
        <v>1336</v>
      </c>
      <c r="CA4" s="270" t="s">
        <v>1337</v>
      </c>
      <c r="CB4" s="270" t="s">
        <v>1338</v>
      </c>
      <c r="CC4" s="270" t="s">
        <v>1339</v>
      </c>
      <c r="CD4" s="270" t="s">
        <v>1340</v>
      </c>
      <c r="CE4" s="270" t="s">
        <v>1341</v>
      </c>
      <c r="CF4" s="270" t="s">
        <v>1342</v>
      </c>
      <c r="CG4" s="270" t="s">
        <v>1343</v>
      </c>
      <c r="CH4" s="270" t="s">
        <v>1344</v>
      </c>
      <c r="CI4" s="270" t="s">
        <v>1345</v>
      </c>
      <c r="CJ4" s="270" t="s">
        <v>1346</v>
      </c>
      <c r="CK4" s="270" t="s">
        <v>1347</v>
      </c>
      <c r="CL4" s="270" t="s">
        <v>1348</v>
      </c>
      <c r="CM4" s="270" t="s">
        <v>1349</v>
      </c>
      <c r="CN4" s="270" t="s">
        <v>1350</v>
      </c>
      <c r="CO4" s="270" t="s">
        <v>1351</v>
      </c>
      <c r="CP4" s="270" t="s">
        <v>1352</v>
      </c>
      <c r="CQ4" s="270" t="s">
        <v>1353</v>
      </c>
      <c r="CR4" s="270" t="s">
        <v>1354</v>
      </c>
      <c r="CS4" s="270" t="s">
        <v>1355</v>
      </c>
      <c r="CT4" s="270" t="s">
        <v>1356</v>
      </c>
      <c r="CU4" s="270" t="s">
        <v>1357</v>
      </c>
      <c r="CV4" s="270" t="s">
        <v>1358</v>
      </c>
      <c r="CW4" s="270" t="s">
        <v>1359</v>
      </c>
      <c r="CX4" s="270" t="s">
        <v>1360</v>
      </c>
      <c r="CY4" s="270" t="s">
        <v>1361</v>
      </c>
      <c r="CZ4" s="270" t="s">
        <v>1362</v>
      </c>
      <c r="DA4" s="270" t="s">
        <v>1363</v>
      </c>
      <c r="DB4" s="270" t="s">
        <v>1364</v>
      </c>
      <c r="DC4" s="270" t="s">
        <v>1365</v>
      </c>
      <c r="DD4" s="270" t="s">
        <v>1366</v>
      </c>
      <c r="DE4" s="270" t="s">
        <v>1367</v>
      </c>
      <c r="DF4" s="270" t="s">
        <v>1368</v>
      </c>
      <c r="DG4" s="270" t="s">
        <v>1369</v>
      </c>
      <c r="DH4" s="270" t="s">
        <v>1370</v>
      </c>
      <c r="DI4" s="270" t="s">
        <v>1371</v>
      </c>
      <c r="DJ4" s="270" t="s">
        <v>1372</v>
      </c>
      <c r="DK4" s="270" t="s">
        <v>1373</v>
      </c>
      <c r="DL4" s="270" t="s">
        <v>1374</v>
      </c>
      <c r="DM4" s="270" t="s">
        <v>1375</v>
      </c>
      <c r="DN4" s="270" t="s">
        <v>1376</v>
      </c>
      <c r="DO4" s="270" t="s">
        <v>1377</v>
      </c>
      <c r="DP4" s="270" t="s">
        <v>1378</v>
      </c>
      <c r="DQ4" s="270" t="s">
        <v>1379</v>
      </c>
      <c r="DR4" s="270" t="s">
        <v>1380</v>
      </c>
      <c r="DS4" s="270" t="s">
        <v>1381</v>
      </c>
      <c r="DT4" s="270" t="s">
        <v>1382</v>
      </c>
      <c r="DU4" s="270" t="s">
        <v>1383</v>
      </c>
      <c r="DV4" s="270" t="s">
        <v>1384</v>
      </c>
      <c r="DW4" s="270" t="s">
        <v>1385</v>
      </c>
      <c r="DX4" s="270" t="s">
        <v>1386</v>
      </c>
      <c r="DY4" s="270" t="s">
        <v>1387</v>
      </c>
      <c r="DZ4" s="270" t="s">
        <v>1388</v>
      </c>
      <c r="EA4" s="270" t="s">
        <v>1389</v>
      </c>
      <c r="EB4" s="270" t="s">
        <v>1390</v>
      </c>
      <c r="EC4" s="270" t="s">
        <v>1391</v>
      </c>
      <c r="ED4" s="270" t="s">
        <v>1392</v>
      </c>
      <c r="EE4" s="270" t="s">
        <v>1393</v>
      </c>
      <c r="EF4" s="270" t="s">
        <v>1394</v>
      </c>
      <c r="EG4" s="270" t="s">
        <v>1395</v>
      </c>
      <c r="EH4" s="270" t="s">
        <v>1396</v>
      </c>
      <c r="EI4" s="270" t="s">
        <v>1397</v>
      </c>
      <c r="EJ4" s="270" t="s">
        <v>1398</v>
      </c>
      <c r="EK4" s="270" t="s">
        <v>1399</v>
      </c>
      <c r="EL4" s="270" t="s">
        <v>1400</v>
      </c>
      <c r="EM4" s="270" t="s">
        <v>1401</v>
      </c>
      <c r="EN4" s="270" t="s">
        <v>1402</v>
      </c>
      <c r="EO4" s="270" t="s">
        <v>1403</v>
      </c>
      <c r="EP4" s="270" t="s">
        <v>1404</v>
      </c>
      <c r="EQ4" s="270" t="s">
        <v>1405</v>
      </c>
      <c r="ER4" s="270" t="s">
        <v>1406</v>
      </c>
      <c r="ES4" s="270" t="s">
        <v>1407</v>
      </c>
      <c r="ET4" s="270" t="s">
        <v>1408</v>
      </c>
      <c r="EU4" s="270" t="s">
        <v>1409</v>
      </c>
      <c r="EV4" s="270" t="s">
        <v>1410</v>
      </c>
      <c r="EW4" s="270" t="s">
        <v>1411</v>
      </c>
      <c r="EX4" s="270" t="s">
        <v>1412</v>
      </c>
      <c r="EY4" s="270" t="s">
        <v>1413</v>
      </c>
      <c r="EZ4" s="270" t="s">
        <v>1414</v>
      </c>
      <c r="FA4" s="270" t="s">
        <v>1415</v>
      </c>
      <c r="FB4" s="270" t="s">
        <v>1416</v>
      </c>
      <c r="FC4" s="270" t="s">
        <v>1417</v>
      </c>
      <c r="FD4" s="270" t="s">
        <v>1418</v>
      </c>
      <c r="FE4" s="270" t="s">
        <v>1419</v>
      </c>
      <c r="FF4" s="270" t="s">
        <v>1420</v>
      </c>
      <c r="FG4" s="270" t="s">
        <v>1421</v>
      </c>
      <c r="FH4" s="270" t="s">
        <v>2113</v>
      </c>
      <c r="FI4" s="270" t="s">
        <v>1423</v>
      </c>
      <c r="FJ4" s="270" t="s">
        <v>1424</v>
      </c>
      <c r="FK4" s="270" t="s">
        <v>1425</v>
      </c>
      <c r="FL4" s="270" t="s">
        <v>1426</v>
      </c>
      <c r="FM4" s="270" t="s">
        <v>1427</v>
      </c>
      <c r="FN4" s="270" t="s">
        <v>1428</v>
      </c>
      <c r="FO4" s="270" t="s">
        <v>2114</v>
      </c>
      <c r="FP4" s="270" t="s">
        <v>2115</v>
      </c>
      <c r="FQ4" s="270" t="s">
        <v>1431</v>
      </c>
      <c r="FR4" s="270" t="s">
        <v>1432</v>
      </c>
      <c r="FS4" s="270" t="s">
        <v>1433</v>
      </c>
      <c r="FT4" s="270" t="s">
        <v>1434</v>
      </c>
      <c r="FU4" s="270" t="s">
        <v>1435</v>
      </c>
      <c r="FV4" s="270" t="s">
        <v>1436</v>
      </c>
      <c r="FW4" s="270" t="s">
        <v>1437</v>
      </c>
      <c r="FX4" s="270" t="s">
        <v>1438</v>
      </c>
      <c r="FY4" s="270" t="s">
        <v>1439</v>
      </c>
      <c r="FZ4" s="270" t="s">
        <v>1440</v>
      </c>
      <c r="GA4" s="270" t="s">
        <v>1441</v>
      </c>
      <c r="GB4" s="270" t="s">
        <v>1442</v>
      </c>
      <c r="GC4" s="270" t="s">
        <v>1443</v>
      </c>
      <c r="GD4" s="270" t="s">
        <v>2116</v>
      </c>
      <c r="GE4" s="270" t="s">
        <v>1444</v>
      </c>
      <c r="GF4" s="270" t="s">
        <v>1445</v>
      </c>
      <c r="GG4" s="270" t="s">
        <v>1446</v>
      </c>
      <c r="GH4" s="270" t="s">
        <v>1447</v>
      </c>
      <c r="GI4" s="270" t="s">
        <v>1448</v>
      </c>
      <c r="GJ4" s="270" t="s">
        <v>1449</v>
      </c>
      <c r="GK4" s="270" t="s">
        <v>1450</v>
      </c>
      <c r="GL4" s="270" t="s">
        <v>1451</v>
      </c>
      <c r="GM4" s="270" t="s">
        <v>1452</v>
      </c>
      <c r="GN4" s="270" t="s">
        <v>1453</v>
      </c>
      <c r="GO4" s="270" t="s">
        <v>1454</v>
      </c>
      <c r="GP4" s="270" t="s">
        <v>1455</v>
      </c>
      <c r="GQ4" s="270" t="s">
        <v>1456</v>
      </c>
      <c r="GR4" s="270" t="s">
        <v>1457</v>
      </c>
      <c r="GS4" s="270" t="s">
        <v>1458</v>
      </c>
      <c r="GT4" s="270" t="s">
        <v>1459</v>
      </c>
      <c r="GU4" s="270" t="s">
        <v>1460</v>
      </c>
      <c r="GV4" s="270" t="s">
        <v>1461</v>
      </c>
      <c r="GW4" s="270" t="s">
        <v>1462</v>
      </c>
      <c r="GX4" s="270" t="s">
        <v>1463</v>
      </c>
      <c r="GY4" s="270" t="s">
        <v>1464</v>
      </c>
      <c r="GZ4" s="270" t="s">
        <v>1465</v>
      </c>
      <c r="HA4" s="270" t="s">
        <v>1466</v>
      </c>
      <c r="HB4" s="270" t="s">
        <v>1467</v>
      </c>
      <c r="HC4" s="270" t="s">
        <v>1468</v>
      </c>
      <c r="HD4" s="270" t="s">
        <v>1469</v>
      </c>
      <c r="HE4" s="270" t="s">
        <v>1470</v>
      </c>
      <c r="HF4" s="270" t="s">
        <v>1471</v>
      </c>
      <c r="HG4" s="270" t="s">
        <v>1472</v>
      </c>
      <c r="HH4" s="270" t="s">
        <v>1473</v>
      </c>
      <c r="HI4" s="270" t="s">
        <v>2117</v>
      </c>
      <c r="HJ4" s="270" t="s">
        <v>1474</v>
      </c>
      <c r="HK4" s="270" t="s">
        <v>1475</v>
      </c>
      <c r="HL4" s="270" t="s">
        <v>1476</v>
      </c>
      <c r="HM4" s="270" t="s">
        <v>1477</v>
      </c>
      <c r="HN4" s="270" t="s">
        <v>1478</v>
      </c>
      <c r="HO4" s="270" t="s">
        <v>1479</v>
      </c>
      <c r="HP4" s="270" t="s">
        <v>1480</v>
      </c>
      <c r="HQ4" s="270" t="s">
        <v>1481</v>
      </c>
      <c r="HR4" s="270" t="s">
        <v>1482</v>
      </c>
      <c r="HS4" s="270" t="s">
        <v>1483</v>
      </c>
      <c r="HT4" s="270" t="s">
        <v>1484</v>
      </c>
      <c r="HU4" s="270" t="s">
        <v>1485</v>
      </c>
      <c r="HV4" s="270" t="s">
        <v>1486</v>
      </c>
      <c r="HW4" s="270" t="s">
        <v>1487</v>
      </c>
      <c r="HX4" s="270" t="s">
        <v>1488</v>
      </c>
      <c r="HY4" s="270" t="s">
        <v>1489</v>
      </c>
      <c r="HZ4" s="270" t="s">
        <v>1490</v>
      </c>
      <c r="IA4" s="270" t="s">
        <v>1491</v>
      </c>
      <c r="IB4" s="270" t="s">
        <v>1492</v>
      </c>
      <c r="IC4" s="270" t="s">
        <v>1493</v>
      </c>
      <c r="ID4" s="270" t="s">
        <v>1494</v>
      </c>
      <c r="IE4" s="270" t="s">
        <v>1495</v>
      </c>
      <c r="IF4" s="270" t="s">
        <v>1496</v>
      </c>
      <c r="IG4" s="270" t="s">
        <v>1497</v>
      </c>
      <c r="IH4" s="270" t="s">
        <v>1498</v>
      </c>
      <c r="II4" s="270" t="s">
        <v>1499</v>
      </c>
      <c r="IJ4" s="270" t="s">
        <v>1500</v>
      </c>
      <c r="IK4" s="270" t="s">
        <v>1501</v>
      </c>
      <c r="IL4" s="270" t="s">
        <v>1502</v>
      </c>
      <c r="IM4" s="270" t="s">
        <v>1503</v>
      </c>
      <c r="IN4" s="270" t="s">
        <v>1504</v>
      </c>
      <c r="IO4" s="270" t="s">
        <v>1505</v>
      </c>
      <c r="IP4" s="270" t="s">
        <v>1506</v>
      </c>
      <c r="IQ4" s="270" t="s">
        <v>1507</v>
      </c>
      <c r="IR4" s="270" t="s">
        <v>1508</v>
      </c>
      <c r="IS4" s="270" t="s">
        <v>1509</v>
      </c>
      <c r="IT4" s="270" t="s">
        <v>1510</v>
      </c>
      <c r="IU4" s="270" t="s">
        <v>1511</v>
      </c>
      <c r="IV4" s="270" t="s">
        <v>1512</v>
      </c>
      <c r="IW4" s="270" t="s">
        <v>1513</v>
      </c>
      <c r="IX4" s="270" t="s">
        <v>1514</v>
      </c>
      <c r="IY4" s="270" t="s">
        <v>1515</v>
      </c>
      <c r="IZ4" s="270" t="s">
        <v>1516</v>
      </c>
      <c r="JA4" s="270" t="s">
        <v>1517</v>
      </c>
      <c r="JB4" s="270" t="s">
        <v>1518</v>
      </c>
      <c r="JC4" s="270" t="s">
        <v>1519</v>
      </c>
      <c r="JD4" s="270" t="s">
        <v>1520</v>
      </c>
      <c r="JE4" s="270" t="s">
        <v>1521</v>
      </c>
      <c r="JF4" s="270" t="s">
        <v>1522</v>
      </c>
      <c r="JG4" s="270" t="s">
        <v>1523</v>
      </c>
      <c r="JH4" s="270" t="s">
        <v>1524</v>
      </c>
      <c r="JI4" s="270" t="s">
        <v>1525</v>
      </c>
      <c r="JJ4" s="270" t="s">
        <v>1526</v>
      </c>
      <c r="JK4" s="270" t="s">
        <v>1527</v>
      </c>
      <c r="JL4" s="270" t="s">
        <v>1528</v>
      </c>
      <c r="JM4" s="270" t="s">
        <v>1529</v>
      </c>
      <c r="JN4" s="270" t="s">
        <v>1530</v>
      </c>
      <c r="JO4" s="270" t="s">
        <v>1531</v>
      </c>
      <c r="JP4" s="270" t="s">
        <v>1532</v>
      </c>
      <c r="JQ4" s="270" t="s">
        <v>1533</v>
      </c>
      <c r="JR4" s="270" t="s">
        <v>1534</v>
      </c>
      <c r="JS4" s="270" t="s">
        <v>1535</v>
      </c>
      <c r="JT4" s="270" t="s">
        <v>1536</v>
      </c>
      <c r="JU4" s="270" t="s">
        <v>1537</v>
      </c>
      <c r="JV4" s="270" t="s">
        <v>1538</v>
      </c>
      <c r="JW4" s="270" t="s">
        <v>1539</v>
      </c>
      <c r="JX4" s="270" t="s">
        <v>1540</v>
      </c>
      <c r="JY4" s="270" t="s">
        <v>1541</v>
      </c>
      <c r="JZ4" s="270" t="s">
        <v>1542</v>
      </c>
      <c r="KA4" s="270" t="s">
        <v>1543</v>
      </c>
      <c r="KB4" s="270" t="s">
        <v>1544</v>
      </c>
      <c r="KC4" s="270" t="s">
        <v>1545</v>
      </c>
      <c r="KD4" s="270" t="s">
        <v>1546</v>
      </c>
      <c r="KE4" s="270" t="s">
        <v>1547</v>
      </c>
      <c r="KF4" s="270" t="s">
        <v>1548</v>
      </c>
      <c r="KG4" s="270" t="s">
        <v>5920</v>
      </c>
      <c r="KH4" s="270" t="s">
        <v>1549</v>
      </c>
      <c r="KI4" s="270" t="s">
        <v>1550</v>
      </c>
      <c r="KJ4" s="270" t="s">
        <v>1551</v>
      </c>
      <c r="KK4" s="270" t="s">
        <v>1552</v>
      </c>
      <c r="KL4" s="270" t="s">
        <v>1553</v>
      </c>
      <c r="KM4" s="270" t="s">
        <v>1554</v>
      </c>
      <c r="KN4" s="270" t="s">
        <v>1555</v>
      </c>
      <c r="KO4" s="270" t="s">
        <v>1556</v>
      </c>
      <c r="KP4" s="270" t="s">
        <v>1557</v>
      </c>
      <c r="KQ4" s="270" t="s">
        <v>1558</v>
      </c>
      <c r="KR4" s="270" t="s">
        <v>1559</v>
      </c>
      <c r="KS4" s="270" t="s">
        <v>1560</v>
      </c>
      <c r="KT4" s="270" t="s">
        <v>1561</v>
      </c>
      <c r="KU4" s="270" t="s">
        <v>1562</v>
      </c>
      <c r="KV4" s="270" t="s">
        <v>1563</v>
      </c>
      <c r="KW4" s="270" t="s">
        <v>1564</v>
      </c>
      <c r="KX4" s="270" t="s">
        <v>1565</v>
      </c>
      <c r="KY4" s="270" t="s">
        <v>1566</v>
      </c>
      <c r="KZ4" s="270" t="s">
        <v>1567</v>
      </c>
      <c r="LA4" s="270" t="s">
        <v>1568</v>
      </c>
      <c r="LB4" s="270" t="s">
        <v>1569</v>
      </c>
      <c r="LC4" s="270" t="s">
        <v>1570</v>
      </c>
      <c r="LD4" s="270" t="s">
        <v>1571</v>
      </c>
      <c r="LE4" s="270" t="s">
        <v>1572</v>
      </c>
      <c r="LF4" s="270" t="s">
        <v>1573</v>
      </c>
      <c r="LG4" s="270" t="s">
        <v>1574</v>
      </c>
      <c r="LH4" s="270" t="s">
        <v>1575</v>
      </c>
      <c r="LI4" s="270" t="s">
        <v>1576</v>
      </c>
      <c r="LJ4" s="270" t="s">
        <v>1577</v>
      </c>
      <c r="LK4" s="270" t="s">
        <v>1578</v>
      </c>
      <c r="LL4" s="270" t="s">
        <v>1579</v>
      </c>
      <c r="LM4" s="270" t="s">
        <v>1580</v>
      </c>
      <c r="LN4" s="270" t="s">
        <v>1581</v>
      </c>
      <c r="LO4" s="270" t="s">
        <v>1582</v>
      </c>
      <c r="LP4" s="270" t="s">
        <v>1583</v>
      </c>
      <c r="LQ4" s="270" t="s">
        <v>2118</v>
      </c>
      <c r="LR4" s="270" t="s">
        <v>1584</v>
      </c>
      <c r="LS4" s="270" t="s">
        <v>1585</v>
      </c>
      <c r="LT4" s="270" t="s">
        <v>1586</v>
      </c>
      <c r="LU4" s="270" t="s">
        <v>1587</v>
      </c>
      <c r="LV4" s="270" t="s">
        <v>1588</v>
      </c>
      <c r="LW4" s="270" t="s">
        <v>1589</v>
      </c>
      <c r="LX4" s="270" t="s">
        <v>1590</v>
      </c>
      <c r="LY4" s="270" t="s">
        <v>1591</v>
      </c>
      <c r="LZ4" s="270" t="s">
        <v>1592</v>
      </c>
      <c r="MA4" s="270" t="s">
        <v>1593</v>
      </c>
      <c r="MB4" s="270" t="s">
        <v>1594</v>
      </c>
      <c r="MC4" s="270" t="s">
        <v>1595</v>
      </c>
      <c r="MD4" s="270" t="s">
        <v>1596</v>
      </c>
      <c r="ME4" s="270" t="s">
        <v>1597</v>
      </c>
      <c r="MF4" s="270" t="s">
        <v>1598</v>
      </c>
      <c r="MG4" s="270" t="s">
        <v>1599</v>
      </c>
      <c r="MH4" s="270" t="s">
        <v>1600</v>
      </c>
      <c r="MI4" s="270" t="s">
        <v>1601</v>
      </c>
      <c r="MJ4" s="270" t="s">
        <v>1602</v>
      </c>
      <c r="MK4" s="270" t="s">
        <v>1603</v>
      </c>
      <c r="ML4" s="270" t="s">
        <v>1604</v>
      </c>
      <c r="MM4" s="270" t="s">
        <v>1605</v>
      </c>
      <c r="MN4" s="270" t="s">
        <v>1606</v>
      </c>
      <c r="MO4" s="270" t="s">
        <v>1607</v>
      </c>
      <c r="MP4" s="270" t="s">
        <v>1608</v>
      </c>
      <c r="MQ4" s="270" t="s">
        <v>1609</v>
      </c>
      <c r="MR4" s="270" t="s">
        <v>1610</v>
      </c>
      <c r="MS4" s="270" t="s">
        <v>1611</v>
      </c>
      <c r="MT4" s="270" t="s">
        <v>1612</v>
      </c>
      <c r="MU4" s="270" t="s">
        <v>1613</v>
      </c>
      <c r="MV4" s="270" t="s">
        <v>1614</v>
      </c>
      <c r="MW4" s="270" t="s">
        <v>1615</v>
      </c>
      <c r="MX4" s="270" t="s">
        <v>1616</v>
      </c>
      <c r="MY4" s="270" t="s">
        <v>1617</v>
      </c>
      <c r="MZ4" s="270" t="s">
        <v>1618</v>
      </c>
      <c r="NA4" s="270" t="s">
        <v>1619</v>
      </c>
      <c r="NB4" s="270" t="s">
        <v>1620</v>
      </c>
      <c r="NC4" s="270" t="s">
        <v>2119</v>
      </c>
      <c r="ND4" s="270" t="s">
        <v>1621</v>
      </c>
      <c r="NE4" s="270" t="s">
        <v>1622</v>
      </c>
      <c r="NF4" s="270" t="s">
        <v>1623</v>
      </c>
      <c r="NG4" s="270" t="s">
        <v>2120</v>
      </c>
      <c r="NH4" s="270" t="s">
        <v>1624</v>
      </c>
      <c r="NI4" s="270" t="s">
        <v>1625</v>
      </c>
      <c r="NJ4" s="270" t="s">
        <v>1626</v>
      </c>
      <c r="NK4" s="270" t="s">
        <v>1627</v>
      </c>
      <c r="NL4" s="270" t="s">
        <v>1628</v>
      </c>
      <c r="NM4" s="270" t="s">
        <v>1629</v>
      </c>
      <c r="NN4" s="270" t="s">
        <v>1630</v>
      </c>
      <c r="NO4" s="270" t="s">
        <v>2121</v>
      </c>
      <c r="NP4" s="270" t="s">
        <v>1632</v>
      </c>
      <c r="NQ4" s="270" t="s">
        <v>1633</v>
      </c>
      <c r="NR4" s="270" t="s">
        <v>1634</v>
      </c>
      <c r="NS4" s="270" t="s">
        <v>1635</v>
      </c>
      <c r="NT4" s="270" t="s">
        <v>1636</v>
      </c>
      <c r="NU4" s="270" t="s">
        <v>1637</v>
      </c>
      <c r="NV4" s="270" t="s">
        <v>1638</v>
      </c>
      <c r="NW4" s="270" t="s">
        <v>1639</v>
      </c>
      <c r="NX4" s="270" t="s">
        <v>2122</v>
      </c>
      <c r="NY4" s="270" t="s">
        <v>1640</v>
      </c>
      <c r="NZ4" s="270" t="s">
        <v>1641</v>
      </c>
      <c r="OA4" s="270" t="s">
        <v>1642</v>
      </c>
      <c r="OB4" s="270" t="s">
        <v>1643</v>
      </c>
      <c r="OC4" s="270" t="s">
        <v>1644</v>
      </c>
      <c r="OD4" s="270" t="s">
        <v>1645</v>
      </c>
      <c r="OE4" s="270" t="s">
        <v>2123</v>
      </c>
      <c r="OF4" s="270" t="s">
        <v>1646</v>
      </c>
      <c r="OG4" s="270" t="s">
        <v>2124</v>
      </c>
      <c r="OH4" s="270" t="s">
        <v>1647</v>
      </c>
      <c r="OI4" s="270" t="s">
        <v>1648</v>
      </c>
      <c r="OJ4" s="270" t="s">
        <v>1651</v>
      </c>
      <c r="OK4" s="270" t="s">
        <v>1649</v>
      </c>
      <c r="OL4" s="270" t="s">
        <v>1650</v>
      </c>
      <c r="OM4" s="270" t="s">
        <v>1652</v>
      </c>
      <c r="ON4" s="270" t="s">
        <v>1653</v>
      </c>
      <c r="OO4" s="270" t="s">
        <v>2125</v>
      </c>
      <c r="OP4" s="270" t="s">
        <v>1654</v>
      </c>
      <c r="OQ4" s="270" t="s">
        <v>1655</v>
      </c>
      <c r="OR4" s="270" t="s">
        <v>2126</v>
      </c>
      <c r="OS4" s="270" t="s">
        <v>1657</v>
      </c>
      <c r="OT4" s="270" t="s">
        <v>1658</v>
      </c>
      <c r="OU4" s="270" t="s">
        <v>1659</v>
      </c>
      <c r="OV4" s="270" t="s">
        <v>1660</v>
      </c>
      <c r="OW4" s="270" t="s">
        <v>1661</v>
      </c>
      <c r="OX4" s="270" t="s">
        <v>2127</v>
      </c>
      <c r="OY4" s="270" t="s">
        <v>1662</v>
      </c>
      <c r="OZ4" s="270" t="s">
        <v>2128</v>
      </c>
      <c r="PA4" s="270" t="s">
        <v>2129</v>
      </c>
      <c r="PB4" s="270" t="s">
        <v>1663</v>
      </c>
      <c r="PC4" s="270" t="s">
        <v>1664</v>
      </c>
      <c r="PD4" s="270" t="s">
        <v>2130</v>
      </c>
      <c r="PE4" s="270" t="s">
        <v>1666</v>
      </c>
      <c r="PF4" s="270" t="s">
        <v>1667</v>
      </c>
      <c r="PG4" s="270" t="s">
        <v>1668</v>
      </c>
      <c r="PH4" s="270" t="s">
        <v>1669</v>
      </c>
      <c r="PI4" s="270" t="s">
        <v>1670</v>
      </c>
      <c r="PJ4" s="270" t="s">
        <v>1671</v>
      </c>
      <c r="PK4" s="270" t="s">
        <v>1672</v>
      </c>
      <c r="PL4" s="270" t="s">
        <v>1673</v>
      </c>
      <c r="PM4" s="270" t="s">
        <v>1674</v>
      </c>
      <c r="PN4" s="270" t="s">
        <v>1675</v>
      </c>
      <c r="PO4" s="270" t="s">
        <v>1676</v>
      </c>
      <c r="PP4" s="270" t="s">
        <v>2131</v>
      </c>
      <c r="PQ4" s="270" t="s">
        <v>2132</v>
      </c>
      <c r="PR4" s="270" t="s">
        <v>2133</v>
      </c>
      <c r="PS4" s="270" t="s">
        <v>2134</v>
      </c>
      <c r="PT4" s="270" t="s">
        <v>1677</v>
      </c>
      <c r="PU4" s="270" t="s">
        <v>1678</v>
      </c>
      <c r="PV4" s="270" t="s">
        <v>1679</v>
      </c>
      <c r="PW4" s="270" t="s">
        <v>1680</v>
      </c>
      <c r="PX4" s="270" t="s">
        <v>2135</v>
      </c>
      <c r="PY4" s="270" t="s">
        <v>1681</v>
      </c>
      <c r="PZ4" s="270" t="s">
        <v>1682</v>
      </c>
      <c r="QA4" s="270" t="s">
        <v>1683</v>
      </c>
      <c r="QB4" s="270" t="s">
        <v>1684</v>
      </c>
      <c r="QC4" s="270" t="s">
        <v>1685</v>
      </c>
      <c r="QD4" s="270" t="s">
        <v>1686</v>
      </c>
      <c r="QE4" s="270" t="s">
        <v>1687</v>
      </c>
      <c r="QF4" s="270" t="s">
        <v>1688</v>
      </c>
      <c r="QG4" s="270" t="s">
        <v>1689</v>
      </c>
      <c r="QH4" s="270" t="s">
        <v>1690</v>
      </c>
      <c r="QI4" s="270" t="s">
        <v>1691</v>
      </c>
      <c r="QJ4" s="270" t="s">
        <v>1692</v>
      </c>
      <c r="QK4" s="270" t="s">
        <v>1693</v>
      </c>
      <c r="QL4" s="270" t="s">
        <v>1694</v>
      </c>
      <c r="QM4" s="270" t="s">
        <v>1695</v>
      </c>
      <c r="QN4" s="270" t="s">
        <v>1696</v>
      </c>
      <c r="QO4" s="270" t="s">
        <v>1697</v>
      </c>
      <c r="QP4" s="270" t="s">
        <v>2136</v>
      </c>
      <c r="QQ4" s="270" t="s">
        <v>2137</v>
      </c>
      <c r="QR4" s="270" t="s">
        <v>2138</v>
      </c>
      <c r="QS4" s="270" t="s">
        <v>2139</v>
      </c>
      <c r="QT4" s="270" t="s">
        <v>1698</v>
      </c>
      <c r="QU4" s="270" t="s">
        <v>1699</v>
      </c>
      <c r="QV4" s="270" t="s">
        <v>1700</v>
      </c>
      <c r="QW4" s="270" t="s">
        <v>1701</v>
      </c>
      <c r="QX4" s="270" t="s">
        <v>1702</v>
      </c>
      <c r="QY4" s="270" t="s">
        <v>1703</v>
      </c>
      <c r="QZ4" s="270" t="s">
        <v>1704</v>
      </c>
      <c r="RA4" s="270" t="s">
        <v>1705</v>
      </c>
      <c r="RB4" s="270" t="s">
        <v>1706</v>
      </c>
      <c r="RC4" s="270" t="s">
        <v>1707</v>
      </c>
      <c r="RD4" s="270" t="s">
        <v>1708</v>
      </c>
      <c r="RE4" s="270" t="s">
        <v>2140</v>
      </c>
      <c r="RF4" s="270" t="s">
        <v>2141</v>
      </c>
      <c r="RG4" s="270" t="s">
        <v>1709</v>
      </c>
      <c r="RH4" s="270" t="s">
        <v>1710</v>
      </c>
      <c r="RI4" s="270" t="s">
        <v>1711</v>
      </c>
      <c r="RJ4" s="270" t="s">
        <v>1712</v>
      </c>
      <c r="RK4" s="270" t="s">
        <v>1713</v>
      </c>
      <c r="RL4" s="270" t="s">
        <v>1714</v>
      </c>
      <c r="RM4" s="270" t="s">
        <v>1715</v>
      </c>
      <c r="RN4" s="270" t="s">
        <v>1716</v>
      </c>
      <c r="RO4" s="270" t="s">
        <v>1717</v>
      </c>
      <c r="RP4" s="270" t="s">
        <v>1718</v>
      </c>
      <c r="RQ4" s="270" t="s">
        <v>1719</v>
      </c>
      <c r="RR4" s="270" t="s">
        <v>1720</v>
      </c>
      <c r="RS4" s="270" t="s">
        <v>1721</v>
      </c>
      <c r="RT4" s="270" t="s">
        <v>1722</v>
      </c>
      <c r="RU4" s="270" t="s">
        <v>1723</v>
      </c>
      <c r="RV4" s="270" t="s">
        <v>1724</v>
      </c>
      <c r="RW4" s="270" t="s">
        <v>1725</v>
      </c>
      <c r="RX4" s="270" t="s">
        <v>2142</v>
      </c>
      <c r="RY4" s="270" t="s">
        <v>2143</v>
      </c>
      <c r="RZ4" s="270" t="s">
        <v>2144</v>
      </c>
      <c r="SA4" s="270" t="s">
        <v>1728</v>
      </c>
      <c r="SB4" s="270" t="s">
        <v>1729</v>
      </c>
      <c r="SC4" s="270" t="s">
        <v>1730</v>
      </c>
      <c r="SD4" s="270" t="s">
        <v>1731</v>
      </c>
      <c r="SE4" s="270" t="s">
        <v>1732</v>
      </c>
      <c r="SF4" s="270" t="s">
        <v>1733</v>
      </c>
      <c r="SG4" s="270" t="s">
        <v>1734</v>
      </c>
      <c r="SH4" s="270" t="s">
        <v>1735</v>
      </c>
      <c r="SI4" s="270" t="s">
        <v>1736</v>
      </c>
      <c r="SJ4" s="270" t="s">
        <v>1737</v>
      </c>
      <c r="SK4" s="270" t="s">
        <v>1738</v>
      </c>
      <c r="SL4" s="270" t="s">
        <v>2145</v>
      </c>
      <c r="SM4" s="270" t="s">
        <v>1739</v>
      </c>
      <c r="SN4" s="270" t="s">
        <v>1740</v>
      </c>
      <c r="SO4" s="270" t="s">
        <v>1741</v>
      </c>
      <c r="SP4" s="270" t="s">
        <v>1742</v>
      </c>
      <c r="SQ4" s="270" t="s">
        <v>1743</v>
      </c>
      <c r="SR4" s="270" t="s">
        <v>1744</v>
      </c>
      <c r="SS4" s="270" t="s">
        <v>1745</v>
      </c>
      <c r="ST4" s="270" t="s">
        <v>1746</v>
      </c>
      <c r="SU4" s="270" t="s">
        <v>1747</v>
      </c>
      <c r="SV4" s="270" t="s">
        <v>1748</v>
      </c>
      <c r="SW4" s="270" t="s">
        <v>1749</v>
      </c>
      <c r="SX4" s="270" t="s">
        <v>1750</v>
      </c>
      <c r="SY4" s="270" t="s">
        <v>1751</v>
      </c>
      <c r="SZ4" s="270" t="s">
        <v>1752</v>
      </c>
      <c r="TA4" s="270" t="s">
        <v>1753</v>
      </c>
      <c r="TB4" s="270" t="s">
        <v>1754</v>
      </c>
      <c r="TC4" s="270" t="s">
        <v>1755</v>
      </c>
      <c r="TD4" s="270" t="s">
        <v>1756</v>
      </c>
      <c r="TE4" s="270" t="s">
        <v>1757</v>
      </c>
      <c r="TF4" s="270" t="s">
        <v>1758</v>
      </c>
      <c r="TG4" s="270" t="s">
        <v>1759</v>
      </c>
      <c r="TH4" s="270" t="s">
        <v>2146</v>
      </c>
      <c r="TI4" s="270" t="s">
        <v>1760</v>
      </c>
      <c r="TJ4" s="270" t="s">
        <v>1761</v>
      </c>
      <c r="TK4" s="270" t="s">
        <v>1762</v>
      </c>
      <c r="TL4" s="270" t="s">
        <v>1763</v>
      </c>
      <c r="TM4" s="270" t="s">
        <v>1764</v>
      </c>
      <c r="TN4" s="270" t="s">
        <v>1765</v>
      </c>
      <c r="TO4" s="270" t="s">
        <v>1766</v>
      </c>
      <c r="TP4" s="270" t="s">
        <v>1767</v>
      </c>
      <c r="TQ4" s="270" t="s">
        <v>1768</v>
      </c>
      <c r="TR4" s="270" t="s">
        <v>1769</v>
      </c>
      <c r="TS4" s="270" t="s">
        <v>1770</v>
      </c>
      <c r="TT4" s="270" t="s">
        <v>1771</v>
      </c>
      <c r="TU4" s="270" t="s">
        <v>1772</v>
      </c>
      <c r="TV4" s="270" t="s">
        <v>1773</v>
      </c>
      <c r="TW4" s="270" t="s">
        <v>1774</v>
      </c>
      <c r="TX4" s="270" t="s">
        <v>1775</v>
      </c>
      <c r="TY4" s="270" t="s">
        <v>2147</v>
      </c>
      <c r="TZ4" s="270" t="s">
        <v>1776</v>
      </c>
      <c r="UA4" s="270" t="s">
        <v>1777</v>
      </c>
      <c r="UB4" s="270" t="s">
        <v>1778</v>
      </c>
      <c r="UC4" s="270" t="s">
        <v>1779</v>
      </c>
      <c r="UD4" s="270" t="s">
        <v>1780</v>
      </c>
      <c r="UE4" s="270" t="s">
        <v>1781</v>
      </c>
      <c r="UF4" s="270" t="s">
        <v>1782</v>
      </c>
      <c r="UG4" s="270" t="s">
        <v>2148</v>
      </c>
      <c r="UH4" s="270" t="s">
        <v>2149</v>
      </c>
      <c r="UI4" s="270" t="s">
        <v>2150</v>
      </c>
      <c r="UJ4" s="270" t="s">
        <v>1783</v>
      </c>
      <c r="UK4" s="270" t="s">
        <v>1784</v>
      </c>
      <c r="UL4" s="270" t="s">
        <v>1785</v>
      </c>
      <c r="UM4" s="270" t="s">
        <v>1786</v>
      </c>
      <c r="UN4" s="270" t="s">
        <v>1787</v>
      </c>
      <c r="UO4" s="270" t="s">
        <v>1788</v>
      </c>
      <c r="UP4" s="270" t="s">
        <v>1789</v>
      </c>
      <c r="UQ4" s="270" t="s">
        <v>1790</v>
      </c>
      <c r="UR4" s="270" t="s">
        <v>1791</v>
      </c>
      <c r="US4" s="270" t="s">
        <v>2151</v>
      </c>
      <c r="UT4" s="270" t="s">
        <v>1792</v>
      </c>
      <c r="UU4" s="270" t="s">
        <v>1793</v>
      </c>
      <c r="UV4" s="270" t="s">
        <v>1794</v>
      </c>
      <c r="UW4" s="270" t="s">
        <v>1795</v>
      </c>
      <c r="UX4" s="270" t="s">
        <v>1796</v>
      </c>
      <c r="UY4" s="270" t="s">
        <v>1797</v>
      </c>
      <c r="UZ4" s="270" t="s">
        <v>1798</v>
      </c>
      <c r="VA4" s="270" t="s">
        <v>1799</v>
      </c>
      <c r="VB4" s="270" t="s">
        <v>1800</v>
      </c>
      <c r="VC4" s="270" t="s">
        <v>1801</v>
      </c>
      <c r="VD4" s="270" t="s">
        <v>1802</v>
      </c>
      <c r="VE4" s="270" t="s">
        <v>1803</v>
      </c>
      <c r="VF4" s="270" t="s">
        <v>1804</v>
      </c>
      <c r="VG4" s="270" t="s">
        <v>1805</v>
      </c>
      <c r="VH4" s="270" t="s">
        <v>1806</v>
      </c>
      <c r="VI4" s="270" t="s">
        <v>2152</v>
      </c>
      <c r="VJ4" s="270" t="s">
        <v>2153</v>
      </c>
      <c r="VK4" s="270" t="s">
        <v>2154</v>
      </c>
      <c r="VL4" s="270" t="s">
        <v>1810</v>
      </c>
      <c r="VM4" s="270" t="s">
        <v>1811</v>
      </c>
      <c r="VN4" s="270" t="s">
        <v>1812</v>
      </c>
      <c r="VO4" s="270" t="s">
        <v>1813</v>
      </c>
      <c r="VP4" s="270" t="s">
        <v>1814</v>
      </c>
      <c r="VQ4" s="270" t="s">
        <v>1815</v>
      </c>
      <c r="VR4" s="270" t="s">
        <v>1816</v>
      </c>
      <c r="VS4" s="270" t="s">
        <v>1817</v>
      </c>
      <c r="VT4" s="270" t="s">
        <v>1818</v>
      </c>
      <c r="VU4" s="270" t="s">
        <v>2155</v>
      </c>
      <c r="VV4" s="270" t="s">
        <v>1819</v>
      </c>
      <c r="VW4" s="270" t="s">
        <v>1820</v>
      </c>
      <c r="VX4" s="270" t="s">
        <v>1821</v>
      </c>
      <c r="VY4" s="270" t="s">
        <v>1822</v>
      </c>
      <c r="VZ4" s="270" t="s">
        <v>1823</v>
      </c>
      <c r="WA4" s="270" t="s">
        <v>1824</v>
      </c>
      <c r="WB4" s="270" t="s">
        <v>1825</v>
      </c>
      <c r="WC4" s="270" t="s">
        <v>1826</v>
      </c>
      <c r="WD4" s="270" t="s">
        <v>1827</v>
      </c>
      <c r="WE4" s="270" t="s">
        <v>1828</v>
      </c>
      <c r="WF4" s="270" t="s">
        <v>1829</v>
      </c>
      <c r="WG4" s="270" t="s">
        <v>1830</v>
      </c>
      <c r="WH4" s="270" t="s">
        <v>1831</v>
      </c>
      <c r="WI4" s="270" t="s">
        <v>1832</v>
      </c>
      <c r="WJ4" s="270" t="s">
        <v>1833</v>
      </c>
      <c r="WK4" s="270" t="s">
        <v>1834</v>
      </c>
      <c r="WL4" s="270" t="s">
        <v>1835</v>
      </c>
      <c r="WM4" s="270" t="s">
        <v>1836</v>
      </c>
      <c r="WN4" s="270" t="s">
        <v>1837</v>
      </c>
      <c r="WO4" s="270" t="s">
        <v>1838</v>
      </c>
      <c r="WP4" s="270" t="s">
        <v>1839</v>
      </c>
      <c r="WQ4" s="270" t="s">
        <v>1840</v>
      </c>
      <c r="WR4" s="270" t="s">
        <v>1841</v>
      </c>
      <c r="WS4" s="270" t="s">
        <v>1842</v>
      </c>
      <c r="WT4" s="270" t="s">
        <v>1843</v>
      </c>
      <c r="WU4" s="270" t="s">
        <v>2156</v>
      </c>
      <c r="WV4" s="270" t="s">
        <v>2157</v>
      </c>
      <c r="WW4" s="270" t="s">
        <v>1844</v>
      </c>
      <c r="WX4" s="270" t="s">
        <v>1845</v>
      </c>
      <c r="WY4" s="270" t="s">
        <v>1846</v>
      </c>
      <c r="WZ4" s="270" t="s">
        <v>2158</v>
      </c>
      <c r="XA4" s="270" t="s">
        <v>1847</v>
      </c>
      <c r="XB4" s="270" t="s">
        <v>1848</v>
      </c>
      <c r="XC4" s="270" t="s">
        <v>1849</v>
      </c>
      <c r="XD4" s="270" t="s">
        <v>1850</v>
      </c>
      <c r="XE4" s="270" t="s">
        <v>2159</v>
      </c>
      <c r="XF4" s="270" t="s">
        <v>2160</v>
      </c>
      <c r="XG4" s="270" t="s">
        <v>2161</v>
      </c>
      <c r="XH4" s="270" t="s">
        <v>1854</v>
      </c>
      <c r="XI4" s="270" t="s">
        <v>1855</v>
      </c>
      <c r="XJ4" s="270" t="s">
        <v>1856</v>
      </c>
      <c r="XK4" s="270" t="s">
        <v>2162</v>
      </c>
      <c r="XL4" s="270" t="s">
        <v>1857</v>
      </c>
      <c r="XM4" s="270" t="s">
        <v>1858</v>
      </c>
      <c r="XN4" s="270" t="s">
        <v>1859</v>
      </c>
      <c r="XO4" s="270" t="s">
        <v>1860</v>
      </c>
      <c r="XP4" s="270" t="s">
        <v>1861</v>
      </c>
      <c r="XQ4" s="270" t="s">
        <v>1862</v>
      </c>
      <c r="XR4" s="270" t="s">
        <v>1863</v>
      </c>
      <c r="XS4" s="270" t="s">
        <v>1864</v>
      </c>
      <c r="XT4" s="270" t="s">
        <v>1865</v>
      </c>
      <c r="XU4" s="270" t="s">
        <v>1866</v>
      </c>
      <c r="XV4" s="270" t="s">
        <v>1867</v>
      </c>
      <c r="XW4" s="270" t="s">
        <v>1868</v>
      </c>
      <c r="XX4" s="270" t="s">
        <v>1869</v>
      </c>
      <c r="XY4" s="270" t="s">
        <v>1870</v>
      </c>
      <c r="XZ4" s="270" t="s">
        <v>1871</v>
      </c>
      <c r="YA4" s="270" t="s">
        <v>1872</v>
      </c>
      <c r="YB4" s="270" t="s">
        <v>1873</v>
      </c>
      <c r="YC4" s="270" t="s">
        <v>2163</v>
      </c>
      <c r="YD4" s="270" t="s">
        <v>2164</v>
      </c>
      <c r="YE4" s="270" t="s">
        <v>1875</v>
      </c>
      <c r="YF4" s="270" t="s">
        <v>1876</v>
      </c>
      <c r="YG4" s="270" t="s">
        <v>1877</v>
      </c>
      <c r="YH4" s="270" t="s">
        <v>1878</v>
      </c>
      <c r="YI4" s="270" t="s">
        <v>2165</v>
      </c>
      <c r="YJ4" s="270" t="s">
        <v>1879</v>
      </c>
      <c r="YK4" s="270" t="s">
        <v>1880</v>
      </c>
      <c r="YL4" s="270" t="s">
        <v>1881</v>
      </c>
      <c r="YM4" s="270" t="s">
        <v>1882</v>
      </c>
      <c r="YN4" s="270" t="s">
        <v>1883</v>
      </c>
      <c r="YO4" s="270" t="s">
        <v>1884</v>
      </c>
      <c r="YP4" s="270" t="s">
        <v>1885</v>
      </c>
      <c r="YQ4" s="270" t="s">
        <v>1886</v>
      </c>
      <c r="YR4" s="270" t="s">
        <v>1887</v>
      </c>
      <c r="YS4" s="270" t="s">
        <v>2166</v>
      </c>
      <c r="YT4" s="270" t="s">
        <v>2167</v>
      </c>
      <c r="YU4" s="270" t="s">
        <v>2168</v>
      </c>
      <c r="YV4" s="270" t="s">
        <v>1891</v>
      </c>
      <c r="YW4" s="270" t="s">
        <v>1892</v>
      </c>
      <c r="YX4" s="270" t="s">
        <v>1893</v>
      </c>
      <c r="YY4" s="270" t="s">
        <v>1894</v>
      </c>
      <c r="YZ4" s="270" t="s">
        <v>1895</v>
      </c>
      <c r="ZA4" s="270" t="s">
        <v>1896</v>
      </c>
      <c r="ZB4" s="270" t="s">
        <v>1897</v>
      </c>
      <c r="ZC4" s="270" t="s">
        <v>1898</v>
      </c>
      <c r="ZD4" s="270" t="s">
        <v>1899</v>
      </c>
      <c r="ZE4" s="270" t="s">
        <v>1900</v>
      </c>
      <c r="ZF4" s="270" t="s">
        <v>1901</v>
      </c>
      <c r="ZG4" s="270" t="s">
        <v>1902</v>
      </c>
      <c r="ZH4" s="270" t="s">
        <v>1903</v>
      </c>
      <c r="ZI4" s="270" t="s">
        <v>1904</v>
      </c>
      <c r="ZJ4" s="270" t="s">
        <v>1905</v>
      </c>
      <c r="ZK4" s="270" t="s">
        <v>1906</v>
      </c>
      <c r="ZL4" s="270" t="s">
        <v>1907</v>
      </c>
      <c r="ZM4" s="270" t="s">
        <v>1908</v>
      </c>
      <c r="ZN4" s="270" t="s">
        <v>1909</v>
      </c>
      <c r="ZO4" s="270" t="s">
        <v>1910</v>
      </c>
      <c r="ZP4" s="270" t="s">
        <v>1911</v>
      </c>
      <c r="ZQ4" s="270" t="s">
        <v>1912</v>
      </c>
      <c r="ZR4" s="270" t="s">
        <v>1913</v>
      </c>
      <c r="ZS4" s="270" t="s">
        <v>1914</v>
      </c>
      <c r="ZT4" s="270" t="s">
        <v>1915</v>
      </c>
      <c r="ZU4" s="270" t="s">
        <v>1916</v>
      </c>
      <c r="ZV4" s="270" t="s">
        <v>1917</v>
      </c>
      <c r="ZW4" s="270" t="s">
        <v>1918</v>
      </c>
      <c r="ZX4" s="270" t="s">
        <v>1919</v>
      </c>
      <c r="ZY4" s="270" t="s">
        <v>1920</v>
      </c>
      <c r="ZZ4" s="270" t="s">
        <v>1921</v>
      </c>
      <c r="AAA4" s="270" t="s">
        <v>1922</v>
      </c>
      <c r="AAB4" s="270" t="s">
        <v>1923</v>
      </c>
      <c r="AAC4" s="270" t="s">
        <v>1924</v>
      </c>
      <c r="AAD4" s="270" t="s">
        <v>1925</v>
      </c>
      <c r="AAE4" s="270" t="s">
        <v>2169</v>
      </c>
      <c r="AAF4" s="270" t="s">
        <v>2170</v>
      </c>
      <c r="AAG4" s="270" t="s">
        <v>2171</v>
      </c>
      <c r="AAH4" s="270" t="s">
        <v>1927</v>
      </c>
      <c r="AAI4" s="270" t="s">
        <v>1928</v>
      </c>
      <c r="AAJ4" s="270" t="s">
        <v>1929</v>
      </c>
      <c r="AAK4" s="270" t="s">
        <v>1930</v>
      </c>
      <c r="AAL4" s="270" t="s">
        <v>1931</v>
      </c>
      <c r="AAM4" s="270" t="s">
        <v>1932</v>
      </c>
      <c r="AAN4" s="270" t="s">
        <v>1933</v>
      </c>
      <c r="AAO4" s="270" t="s">
        <v>1934</v>
      </c>
      <c r="AAP4" s="270" t="s">
        <v>1935</v>
      </c>
      <c r="AAQ4" s="270" t="s">
        <v>1936</v>
      </c>
      <c r="AAR4" s="270" t="s">
        <v>1937</v>
      </c>
      <c r="AAS4" s="270" t="s">
        <v>1938</v>
      </c>
      <c r="AAT4" s="270" t="s">
        <v>1939</v>
      </c>
      <c r="AAU4" s="270" t="s">
        <v>1940</v>
      </c>
      <c r="AAV4" s="270" t="s">
        <v>1941</v>
      </c>
      <c r="AAW4" s="270" t="s">
        <v>1942</v>
      </c>
      <c r="AAX4" s="270" t="s">
        <v>1943</v>
      </c>
      <c r="AAY4" s="270" t="s">
        <v>1944</v>
      </c>
      <c r="AAZ4" s="270" t="s">
        <v>2172</v>
      </c>
      <c r="ABA4" s="270" t="s">
        <v>1945</v>
      </c>
      <c r="ABB4" s="270" t="s">
        <v>1946</v>
      </c>
      <c r="ABC4" s="270" t="s">
        <v>1947</v>
      </c>
      <c r="ABD4" s="270" t="s">
        <v>1948</v>
      </c>
      <c r="ABE4" s="270" t="s">
        <v>1949</v>
      </c>
      <c r="ABF4" s="270" t="s">
        <v>1950</v>
      </c>
      <c r="ABG4" s="270" t="s">
        <v>1951</v>
      </c>
      <c r="ABH4" s="270" t="s">
        <v>2173</v>
      </c>
      <c r="ABI4" s="270" t="s">
        <v>2174</v>
      </c>
      <c r="ABJ4" s="270" t="s">
        <v>1952</v>
      </c>
      <c r="ABK4" s="270" t="s">
        <v>2175</v>
      </c>
      <c r="ABL4" s="270" t="s">
        <v>2176</v>
      </c>
      <c r="ABM4" s="270" t="s">
        <v>2177</v>
      </c>
      <c r="ABN4" s="270" t="s">
        <v>2178</v>
      </c>
      <c r="ABO4" s="270" t="s">
        <v>1956</v>
      </c>
      <c r="ABP4" s="270" t="s">
        <v>1957</v>
      </c>
      <c r="ABQ4" s="270" t="s">
        <v>1958</v>
      </c>
      <c r="ABR4" s="270" t="s">
        <v>5925</v>
      </c>
      <c r="ABS4" s="270" t="s">
        <v>1960</v>
      </c>
      <c r="ABT4" s="270" t="s">
        <v>1961</v>
      </c>
      <c r="ABU4" s="270" t="s">
        <v>1962</v>
      </c>
      <c r="ABV4" s="270" t="s">
        <v>1963</v>
      </c>
      <c r="ABW4" s="270" t="s">
        <v>2179</v>
      </c>
      <c r="ABX4" s="270" t="s">
        <v>1964</v>
      </c>
      <c r="ABY4" s="270" t="s">
        <v>1965</v>
      </c>
      <c r="ABZ4" s="270" t="s">
        <v>1966</v>
      </c>
      <c r="ACA4" s="270" t="s">
        <v>1967</v>
      </c>
      <c r="ACB4" s="270" t="s">
        <v>1968</v>
      </c>
      <c r="ACC4" s="270" t="s">
        <v>1969</v>
      </c>
      <c r="ACD4" s="270" t="s">
        <v>1970</v>
      </c>
      <c r="ACE4" s="270" t="s">
        <v>1971</v>
      </c>
      <c r="ACF4" s="270" t="s">
        <v>1972</v>
      </c>
      <c r="ACG4" s="270" t="s">
        <v>1973</v>
      </c>
      <c r="ACH4" s="270" t="s">
        <v>1974</v>
      </c>
      <c r="ACI4" s="270" t="s">
        <v>1975</v>
      </c>
      <c r="ACJ4" s="270" t="s">
        <v>1976</v>
      </c>
      <c r="ACK4" s="270" t="s">
        <v>1977</v>
      </c>
      <c r="ACL4" s="270" t="s">
        <v>1978</v>
      </c>
      <c r="ACM4" s="270" t="s">
        <v>1979</v>
      </c>
      <c r="ACN4" s="270" t="s">
        <v>1980</v>
      </c>
      <c r="ACO4" s="270" t="s">
        <v>1981</v>
      </c>
      <c r="ACP4" s="270" t="s">
        <v>1982</v>
      </c>
      <c r="ACQ4" s="270" t="s">
        <v>2180</v>
      </c>
      <c r="ACR4" s="270" t="s">
        <v>1983</v>
      </c>
      <c r="ACS4" s="270" t="s">
        <v>1984</v>
      </c>
      <c r="ACT4" s="270" t="s">
        <v>1985</v>
      </c>
      <c r="ACU4" s="270" t="s">
        <v>1986</v>
      </c>
      <c r="ACV4" s="270" t="s">
        <v>2181</v>
      </c>
      <c r="ACW4" s="270" t="s">
        <v>1987</v>
      </c>
      <c r="ACX4" s="270" t="s">
        <v>1988</v>
      </c>
      <c r="ACY4" s="270" t="s">
        <v>1989</v>
      </c>
      <c r="ACZ4" s="270" t="s">
        <v>1990</v>
      </c>
      <c r="ADA4" s="270" t="s">
        <v>1991</v>
      </c>
      <c r="ADB4" s="270" t="s">
        <v>1850</v>
      </c>
      <c r="ADC4" s="270" t="s">
        <v>2182</v>
      </c>
      <c r="ADD4" s="270" t="s">
        <v>2183</v>
      </c>
      <c r="ADE4" s="270" t="s">
        <v>2184</v>
      </c>
      <c r="ADF4" s="270" t="s">
        <v>1992</v>
      </c>
      <c r="ADG4" s="270" t="s">
        <v>1993</v>
      </c>
      <c r="ADH4" s="270" t="s">
        <v>1994</v>
      </c>
      <c r="ADI4" s="270" t="s">
        <v>1995</v>
      </c>
      <c r="ADJ4" s="270" t="s">
        <v>1996</v>
      </c>
      <c r="ADK4" s="270" t="s">
        <v>1486</v>
      </c>
      <c r="ADL4" s="270" t="s">
        <v>1997</v>
      </c>
      <c r="ADM4" s="270" t="s">
        <v>1998</v>
      </c>
      <c r="ADN4" s="270" t="s">
        <v>1999</v>
      </c>
      <c r="ADO4" s="270" t="s">
        <v>2000</v>
      </c>
      <c r="ADP4" s="270" t="s">
        <v>2001</v>
      </c>
      <c r="ADQ4" s="270" t="s">
        <v>2002</v>
      </c>
      <c r="ADR4" s="270" t="s">
        <v>5926</v>
      </c>
      <c r="ADS4" s="270" t="s">
        <v>2003</v>
      </c>
      <c r="ADT4" s="270" t="s">
        <v>2004</v>
      </c>
      <c r="ADU4" s="270" t="s">
        <v>2005</v>
      </c>
      <c r="ADV4" s="270" t="s">
        <v>2006</v>
      </c>
      <c r="ADW4" s="270" t="s">
        <v>2007</v>
      </c>
      <c r="ADX4" s="270" t="s">
        <v>5927</v>
      </c>
      <c r="ADY4" s="270" t="s">
        <v>2008</v>
      </c>
      <c r="ADZ4" s="270" t="s">
        <v>2009</v>
      </c>
      <c r="AEA4" s="270" t="s">
        <v>2010</v>
      </c>
      <c r="AEB4" s="270" t="s">
        <v>2011</v>
      </c>
      <c r="AEC4" s="270" t="s">
        <v>2027</v>
      </c>
      <c r="AED4" s="270" t="s">
        <v>2012</v>
      </c>
      <c r="AEE4" s="270" t="s">
        <v>2013</v>
      </c>
      <c r="AEF4" s="270" t="s">
        <v>2014</v>
      </c>
      <c r="AEG4" s="270" t="s">
        <v>2015</v>
      </c>
      <c r="AEH4" s="270" t="s">
        <v>2016</v>
      </c>
      <c r="AEI4" s="270" t="s">
        <v>2017</v>
      </c>
      <c r="AEJ4" s="270" t="s">
        <v>2018</v>
      </c>
      <c r="AEK4" s="270" t="s">
        <v>2019</v>
      </c>
      <c r="AEL4" s="270" t="s">
        <v>2020</v>
      </c>
      <c r="AEM4" s="270" t="s">
        <v>2021</v>
      </c>
      <c r="AEN4" s="270" t="s">
        <v>2022</v>
      </c>
      <c r="AEO4" s="270" t="s">
        <v>2023</v>
      </c>
      <c r="AEP4" s="270" t="s">
        <v>2024</v>
      </c>
      <c r="AEQ4" s="270" t="s">
        <v>2025</v>
      </c>
      <c r="AER4" s="270" t="s">
        <v>2026</v>
      </c>
      <c r="AES4" s="270" t="s">
        <v>2028</v>
      </c>
      <c r="AET4" s="270" t="s">
        <v>2029</v>
      </c>
      <c r="AEU4" s="270" t="s">
        <v>2030</v>
      </c>
      <c r="AEV4" s="270" t="s">
        <v>2031</v>
      </c>
      <c r="AEW4" s="270" t="s">
        <v>2032</v>
      </c>
      <c r="AEX4" s="270" t="s">
        <v>2033</v>
      </c>
      <c r="AEY4" s="270" t="s">
        <v>2034</v>
      </c>
      <c r="AEZ4" s="270" t="s">
        <v>2035</v>
      </c>
      <c r="AFA4" s="270" t="s">
        <v>2036</v>
      </c>
      <c r="AFB4" s="270" t="s">
        <v>2037</v>
      </c>
      <c r="AFC4" s="270" t="s">
        <v>2038</v>
      </c>
      <c r="AFD4" s="270" t="s">
        <v>2039</v>
      </c>
      <c r="AFE4" s="270" t="s">
        <v>2040</v>
      </c>
      <c r="AFF4" s="270" t="s">
        <v>2041</v>
      </c>
      <c r="AFG4" s="270" t="s">
        <v>2042</v>
      </c>
      <c r="AFH4" s="270" t="s">
        <v>2043</v>
      </c>
      <c r="AFI4" s="270" t="s">
        <v>2044</v>
      </c>
      <c r="AFJ4" s="270" t="s">
        <v>2045</v>
      </c>
      <c r="AFK4" s="270" t="s">
        <v>2046</v>
      </c>
      <c r="AFL4" s="270" t="s">
        <v>2047</v>
      </c>
      <c r="AFM4" s="270" t="s">
        <v>2048</v>
      </c>
      <c r="AFN4" s="270" t="s">
        <v>2049</v>
      </c>
      <c r="AFO4" s="270" t="s">
        <v>2050</v>
      </c>
      <c r="AFP4" s="270" t="s">
        <v>2051</v>
      </c>
      <c r="AFQ4" s="270" t="s">
        <v>2052</v>
      </c>
      <c r="AFR4" s="270" t="s">
        <v>2053</v>
      </c>
      <c r="AFS4" s="270" t="s">
        <v>2054</v>
      </c>
      <c r="AFT4" s="270" t="s">
        <v>2055</v>
      </c>
      <c r="AFU4" s="270" t="s">
        <v>2056</v>
      </c>
      <c r="AFV4" s="270" t="s">
        <v>2057</v>
      </c>
      <c r="AFW4" s="270" t="s">
        <v>2058</v>
      </c>
      <c r="AFX4" s="270" t="s">
        <v>2059</v>
      </c>
      <c r="AFY4" s="270" t="s">
        <v>2060</v>
      </c>
      <c r="AFZ4" s="270" t="s">
        <v>2061</v>
      </c>
      <c r="AGA4" s="270" t="s">
        <v>2062</v>
      </c>
      <c r="AGB4" s="270" t="s">
        <v>2063</v>
      </c>
      <c r="AGC4" s="270" t="s">
        <v>2064</v>
      </c>
      <c r="AGD4" s="270" t="s">
        <v>2065</v>
      </c>
      <c r="AGE4" s="270" t="s">
        <v>2066</v>
      </c>
      <c r="AGF4" s="270" t="s">
        <v>2067</v>
      </c>
      <c r="AGG4" s="270" t="s">
        <v>2068</v>
      </c>
      <c r="AGH4" s="270" t="s">
        <v>2069</v>
      </c>
      <c r="AGI4" s="270" t="s">
        <v>2070</v>
      </c>
      <c r="AGJ4" s="270" t="s">
        <v>2071</v>
      </c>
      <c r="AGK4" s="270" t="s">
        <v>2072</v>
      </c>
      <c r="AGL4" s="270" t="s">
        <v>2073</v>
      </c>
      <c r="AGM4" s="270" t="s">
        <v>2074</v>
      </c>
      <c r="AGN4" s="270" t="s">
        <v>2075</v>
      </c>
      <c r="AGO4" s="270" t="s">
        <v>2076</v>
      </c>
      <c r="AGP4" s="270" t="s">
        <v>2077</v>
      </c>
      <c r="AGQ4" s="270" t="s">
        <v>2078</v>
      </c>
      <c r="AGR4" s="270" t="s">
        <v>2079</v>
      </c>
      <c r="AGS4" s="270" t="s">
        <v>2080</v>
      </c>
      <c r="AGT4" s="270" t="s">
        <v>2081</v>
      </c>
      <c r="AGU4" s="270" t="s">
        <v>2082</v>
      </c>
      <c r="AGV4" s="270" t="s">
        <v>2083</v>
      </c>
      <c r="AGW4" s="270" t="s">
        <v>2084</v>
      </c>
      <c r="AGX4" s="270" t="s">
        <v>2085</v>
      </c>
      <c r="AGY4" s="270" t="s">
        <v>2086</v>
      </c>
      <c r="AGZ4" s="270" t="s">
        <v>2087</v>
      </c>
      <c r="AHA4" s="270" t="s">
        <v>2088</v>
      </c>
      <c r="AHB4" s="270" t="s">
        <v>2089</v>
      </c>
      <c r="AHC4" s="270" t="s">
        <v>2090</v>
      </c>
      <c r="AHD4" s="270" t="s">
        <v>2091</v>
      </c>
      <c r="AHE4" s="270" t="s">
        <v>2092</v>
      </c>
      <c r="AHF4" s="270" t="s">
        <v>2093</v>
      </c>
      <c r="AHG4" s="270" t="s">
        <v>2094</v>
      </c>
      <c r="AHH4" s="270" t="s">
        <v>2095</v>
      </c>
      <c r="AHI4" s="270" t="s">
        <v>2096</v>
      </c>
      <c r="AHJ4" s="270" t="s">
        <v>2097</v>
      </c>
      <c r="AHK4" s="270" t="s">
        <v>2098</v>
      </c>
      <c r="AHL4" s="270" t="s">
        <v>2099</v>
      </c>
      <c r="AHM4" s="270" t="s">
        <v>2100</v>
      </c>
      <c r="AHN4" s="270" t="s">
        <v>2101</v>
      </c>
      <c r="AHO4" s="270" t="s">
        <v>2102</v>
      </c>
      <c r="AHP4" s="270" t="s">
        <v>2103</v>
      </c>
      <c r="AHQ4" s="329" t="s">
        <v>2104</v>
      </c>
      <c r="AHR4" s="329" t="s">
        <v>2105</v>
      </c>
      <c r="AHS4" s="329"/>
    </row>
    <row r="5" spans="2:905" ht="23.4" customHeight="1" x14ac:dyDescent="0.7">
      <c r="B5" s="268" t="s">
        <v>0</v>
      </c>
      <c r="C5" s="269" t="s">
        <v>1</v>
      </c>
      <c r="D5" s="271">
        <v>876714826.4399997</v>
      </c>
      <c r="E5" s="271">
        <v>104337280.3</v>
      </c>
      <c r="F5" s="271">
        <v>146410289.62</v>
      </c>
      <c r="G5" s="271">
        <v>40064466.569999993</v>
      </c>
      <c r="H5" s="271">
        <v>173447559.61000007</v>
      </c>
      <c r="I5" s="271">
        <v>57676572.060000025</v>
      </c>
      <c r="J5" s="271">
        <v>114359417.69999996</v>
      </c>
      <c r="K5" s="271">
        <v>85532423.890000001</v>
      </c>
      <c r="L5" s="271">
        <v>87114006.680000007</v>
      </c>
      <c r="M5" s="271">
        <v>71002257.500000015</v>
      </c>
      <c r="N5" s="271">
        <v>43558025.740000002</v>
      </c>
      <c r="O5" s="271">
        <v>47166653.270000003</v>
      </c>
      <c r="P5" s="271">
        <v>71720805.080000013</v>
      </c>
      <c r="Q5" s="271">
        <v>42618227.87999998</v>
      </c>
      <c r="R5" s="271">
        <v>40498543.899999984</v>
      </c>
      <c r="S5" s="271">
        <v>113318259.42999998</v>
      </c>
      <c r="T5" s="271">
        <v>115383806.16999999</v>
      </c>
      <c r="U5" s="271">
        <v>47385532.170000002</v>
      </c>
      <c r="V5" s="271">
        <v>888008625.00000036</v>
      </c>
      <c r="W5" s="271">
        <v>235332805.45999998</v>
      </c>
      <c r="X5" s="271">
        <v>63434670.289999977</v>
      </c>
      <c r="Y5" s="271">
        <v>93197579.070000023</v>
      </c>
      <c r="Z5" s="271">
        <v>57591152.640000008</v>
      </c>
      <c r="AA5" s="271">
        <v>92096883.180000007</v>
      </c>
      <c r="AB5" s="271">
        <v>29427497.469999999</v>
      </c>
      <c r="AC5" s="271">
        <v>194553008.06000006</v>
      </c>
      <c r="AD5" s="271">
        <v>92838147.680000007</v>
      </c>
      <c r="AE5" s="271">
        <v>44953584.859999977</v>
      </c>
      <c r="AF5" s="271">
        <v>145217579.63</v>
      </c>
      <c r="AG5" s="271">
        <v>59199741.030000024</v>
      </c>
      <c r="AH5" s="271">
        <v>216363688.41999993</v>
      </c>
      <c r="AI5" s="271">
        <v>62647593.370000035</v>
      </c>
      <c r="AJ5" s="271">
        <v>63869605.230000004</v>
      </c>
      <c r="AK5" s="271">
        <v>36163207.589999989</v>
      </c>
      <c r="AL5" s="271">
        <v>89096088.829999998</v>
      </c>
      <c r="AM5" s="271">
        <v>52487512.899999991</v>
      </c>
      <c r="AN5" s="271">
        <v>32165302.030000005</v>
      </c>
      <c r="AO5" s="271">
        <v>44635172.11999999</v>
      </c>
      <c r="AP5" s="271">
        <v>43406154.039999999</v>
      </c>
      <c r="AQ5" s="271">
        <v>31663249.049999997</v>
      </c>
      <c r="AR5" s="271">
        <v>39283122.61999999</v>
      </c>
      <c r="AS5" s="271">
        <v>28210493.119999997</v>
      </c>
      <c r="AT5" s="271">
        <v>291377737.42999989</v>
      </c>
      <c r="AU5" s="271">
        <v>24973039.140000001</v>
      </c>
      <c r="AV5" s="271">
        <v>20208991.819999997</v>
      </c>
      <c r="AW5" s="271">
        <v>34420713.120000005</v>
      </c>
      <c r="AX5" s="271">
        <v>56988481.429999992</v>
      </c>
      <c r="AY5" s="271">
        <v>85658059.949999988</v>
      </c>
      <c r="AZ5" s="271">
        <v>27295448.139999997</v>
      </c>
      <c r="BA5" s="271">
        <v>27298861.000000004</v>
      </c>
      <c r="BB5" s="271">
        <v>27550817.060000002</v>
      </c>
      <c r="BC5" s="271">
        <v>19778750.489999991</v>
      </c>
      <c r="BD5" s="271">
        <v>22101603.079999998</v>
      </c>
      <c r="BE5" s="271">
        <v>20551396.810000002</v>
      </c>
      <c r="BF5" s="271">
        <v>93750153.73999998</v>
      </c>
      <c r="BG5" s="271">
        <v>16253413.269999998</v>
      </c>
      <c r="BH5" s="271">
        <v>23557823.920000002</v>
      </c>
      <c r="BI5" s="271">
        <v>245935466.74999982</v>
      </c>
      <c r="BJ5" s="271">
        <v>136297132.04000011</v>
      </c>
      <c r="BK5" s="271">
        <v>56565875.960000031</v>
      </c>
      <c r="BL5" s="271">
        <v>28123152.590000011</v>
      </c>
      <c r="BM5" s="271">
        <v>67168171.459999979</v>
      </c>
      <c r="BN5" s="271">
        <v>62752260.56000001</v>
      </c>
      <c r="BO5" s="271">
        <v>27999114.979999997</v>
      </c>
      <c r="BP5" s="271">
        <v>24657726.030000009</v>
      </c>
      <c r="BQ5" s="271">
        <v>18309079.68</v>
      </c>
      <c r="BR5" s="271">
        <v>476747918.26999986</v>
      </c>
      <c r="BS5" s="271">
        <v>60748843.100000016</v>
      </c>
      <c r="BT5" s="271">
        <v>62699854.36999996</v>
      </c>
      <c r="BU5" s="271">
        <v>66284150.139999986</v>
      </c>
      <c r="BV5" s="271">
        <v>64688049.240000024</v>
      </c>
      <c r="BW5" s="271">
        <v>65214761.440000005</v>
      </c>
      <c r="BX5" s="271">
        <v>16521581.719999997</v>
      </c>
      <c r="BY5" s="271">
        <v>36033918.680000015</v>
      </c>
      <c r="BZ5" s="271">
        <v>78182891.25999999</v>
      </c>
      <c r="CA5" s="271">
        <v>36353026.390000008</v>
      </c>
      <c r="CB5" s="271">
        <v>48201159.640000001</v>
      </c>
      <c r="CC5" s="271">
        <v>94056978.919999957</v>
      </c>
      <c r="CD5" s="271">
        <v>46760853.990000002</v>
      </c>
      <c r="CE5" s="271">
        <v>48261766.919999994</v>
      </c>
      <c r="CF5" s="271">
        <v>24930735.990000002</v>
      </c>
      <c r="CG5" s="271">
        <v>870155409.83000016</v>
      </c>
      <c r="CH5" s="271">
        <v>40476493.049999997</v>
      </c>
      <c r="CI5" s="271">
        <v>141142270.46000001</v>
      </c>
      <c r="CJ5" s="271">
        <v>45246765.530000001</v>
      </c>
      <c r="CK5" s="271">
        <v>59339034.749999978</v>
      </c>
      <c r="CL5" s="271">
        <v>41807578.929999992</v>
      </c>
      <c r="CM5" s="271">
        <v>50845232.580000006</v>
      </c>
      <c r="CN5" s="271">
        <v>86251135.719999969</v>
      </c>
      <c r="CO5" s="271">
        <v>23490026.930000003</v>
      </c>
      <c r="CP5" s="271">
        <v>62546876.799999982</v>
      </c>
      <c r="CQ5" s="271">
        <v>41415140.310000002</v>
      </c>
      <c r="CR5" s="271">
        <v>44566216.660000019</v>
      </c>
      <c r="CS5" s="271">
        <v>41651323.589999981</v>
      </c>
      <c r="CT5" s="271">
        <v>313552215.11999995</v>
      </c>
      <c r="CU5" s="271">
        <v>46334172.879999988</v>
      </c>
      <c r="CV5" s="271">
        <v>48035572.619999997</v>
      </c>
      <c r="CW5" s="271">
        <v>92464418.310000032</v>
      </c>
      <c r="CX5" s="271">
        <v>42311287.080000006</v>
      </c>
      <c r="CY5" s="271">
        <v>73507320.579999998</v>
      </c>
      <c r="CZ5" s="271">
        <v>21842013.500000015</v>
      </c>
      <c r="DA5" s="271">
        <v>27009970.329999998</v>
      </c>
      <c r="DB5" s="271">
        <v>182708151.36999995</v>
      </c>
      <c r="DC5" s="271">
        <v>265499256.34</v>
      </c>
      <c r="DD5" s="271">
        <v>37312122.709999971</v>
      </c>
      <c r="DE5" s="271">
        <v>43192060.970000029</v>
      </c>
      <c r="DF5" s="271">
        <v>74219391.679999992</v>
      </c>
      <c r="DG5" s="271">
        <v>77639257.910000011</v>
      </c>
      <c r="DH5" s="271">
        <v>72990433.930000007</v>
      </c>
      <c r="DI5" s="271">
        <v>77325704.509999976</v>
      </c>
      <c r="DJ5" s="271">
        <v>40912223.119999997</v>
      </c>
      <c r="DK5" s="271">
        <v>863179357.06000006</v>
      </c>
      <c r="DL5" s="271">
        <v>63792346.650000028</v>
      </c>
      <c r="DM5" s="271">
        <v>101588466.71000002</v>
      </c>
      <c r="DN5" s="271">
        <v>62066778.309999973</v>
      </c>
      <c r="DO5" s="271">
        <v>110048576.62</v>
      </c>
      <c r="DP5" s="271">
        <v>55834389.830000028</v>
      </c>
      <c r="DQ5" s="271">
        <v>146453920.20000002</v>
      </c>
      <c r="DR5" s="271">
        <v>77020343.440000013</v>
      </c>
      <c r="DS5" s="271">
        <v>153701482.98000002</v>
      </c>
      <c r="DT5" s="271">
        <v>455444454.3500002</v>
      </c>
      <c r="DU5" s="271">
        <v>89836450.320000052</v>
      </c>
      <c r="DV5" s="271">
        <v>167728265.82000005</v>
      </c>
      <c r="DW5" s="271">
        <v>254498763.5700002</v>
      </c>
      <c r="DX5" s="271">
        <v>88197778.319999978</v>
      </c>
      <c r="DY5" s="271">
        <v>124230810.38000004</v>
      </c>
      <c r="DZ5" s="271">
        <v>80336792.799999982</v>
      </c>
      <c r="EA5" s="271">
        <v>33041714.990000002</v>
      </c>
      <c r="EB5" s="271">
        <v>62099398.700000003</v>
      </c>
      <c r="EC5" s="271">
        <v>52836759.500000015</v>
      </c>
      <c r="ED5" s="271">
        <v>66409487.070000008</v>
      </c>
      <c r="EE5" s="271">
        <v>208316761.37000009</v>
      </c>
      <c r="EF5" s="271">
        <v>166382506.61999995</v>
      </c>
      <c r="EG5" s="271">
        <v>57593719.539999992</v>
      </c>
      <c r="EH5" s="271">
        <v>60549945.109999962</v>
      </c>
      <c r="EI5" s="271">
        <v>57814503.569999993</v>
      </c>
      <c r="EJ5" s="271">
        <v>93101098.120000005</v>
      </c>
      <c r="EK5" s="271">
        <v>82280933.830000013</v>
      </c>
      <c r="EL5" s="271">
        <v>32385709.960000001</v>
      </c>
      <c r="EM5" s="271">
        <v>58031756.190000013</v>
      </c>
      <c r="EN5" s="271">
        <v>408817822.61999989</v>
      </c>
      <c r="EO5" s="271">
        <v>43636529.860000022</v>
      </c>
      <c r="EP5" s="271">
        <v>56611156.189999998</v>
      </c>
      <c r="EQ5" s="271">
        <v>60027339.550000004</v>
      </c>
      <c r="ER5" s="271">
        <v>36677844.219999999</v>
      </c>
      <c r="ES5" s="271">
        <v>30466410.329999998</v>
      </c>
      <c r="ET5" s="271">
        <v>91470481.030000001</v>
      </c>
      <c r="EU5" s="271">
        <v>86988029.779999986</v>
      </c>
      <c r="EV5" s="271">
        <v>62828838.679999977</v>
      </c>
      <c r="EW5" s="271">
        <v>420672072.87000006</v>
      </c>
      <c r="EX5" s="271">
        <v>26573494.38000001</v>
      </c>
      <c r="EY5" s="271">
        <v>53798733.259999968</v>
      </c>
      <c r="EZ5" s="271">
        <v>106067454.63</v>
      </c>
      <c r="FA5" s="271">
        <v>133109927.32000001</v>
      </c>
      <c r="FB5" s="271">
        <v>106355624.52000001</v>
      </c>
      <c r="FC5" s="271">
        <v>74694053.50999999</v>
      </c>
      <c r="FD5" s="271">
        <v>50707981.730000027</v>
      </c>
      <c r="FE5" s="271">
        <v>46391527.410000004</v>
      </c>
      <c r="FF5" s="271">
        <v>51413647.440000005</v>
      </c>
      <c r="FG5" s="271">
        <v>46378010.449999988</v>
      </c>
      <c r="FH5" s="271">
        <v>37157906.369999997</v>
      </c>
      <c r="FI5" s="271">
        <v>206779451.12999997</v>
      </c>
      <c r="FJ5" s="271">
        <v>33342276.090000007</v>
      </c>
      <c r="FK5" s="271">
        <v>32169668.189999998</v>
      </c>
      <c r="FL5" s="271">
        <v>29307673.269999992</v>
      </c>
      <c r="FM5" s="271">
        <v>61579754.719999976</v>
      </c>
      <c r="FN5" s="271">
        <v>64535485.95000001</v>
      </c>
      <c r="FO5" s="271">
        <v>27483995.729999986</v>
      </c>
      <c r="FP5" s="271">
        <v>14928230.169999998</v>
      </c>
      <c r="FQ5" s="271">
        <v>1037255429.1500003</v>
      </c>
      <c r="FR5" s="271">
        <v>40356566.760000005</v>
      </c>
      <c r="FS5" s="271">
        <v>65779409.630000018</v>
      </c>
      <c r="FT5" s="271">
        <v>67646190.709999993</v>
      </c>
      <c r="FU5" s="271">
        <v>98481123.829999983</v>
      </c>
      <c r="FV5" s="271">
        <v>38591894.390000015</v>
      </c>
      <c r="FW5" s="271">
        <v>130947666.35000001</v>
      </c>
      <c r="FX5" s="271">
        <v>80356593.039999962</v>
      </c>
      <c r="FY5" s="271">
        <v>98790728.909999967</v>
      </c>
      <c r="FZ5" s="271">
        <v>74048237.140000015</v>
      </c>
      <c r="GA5" s="271">
        <v>146726857.94</v>
      </c>
      <c r="GB5" s="271">
        <v>56012366.67999997</v>
      </c>
      <c r="GC5" s="271">
        <v>73069923.229999989</v>
      </c>
      <c r="GD5" s="271">
        <v>49710673.429999992</v>
      </c>
      <c r="GE5" s="271">
        <v>270883145.03999996</v>
      </c>
      <c r="GF5" s="271">
        <v>37689985.380000003</v>
      </c>
      <c r="GG5" s="271">
        <v>45795934.170000002</v>
      </c>
      <c r="GH5" s="271">
        <v>145775501.72999999</v>
      </c>
      <c r="GI5" s="271">
        <v>50235358.829999998</v>
      </c>
      <c r="GJ5" s="271">
        <v>57347659.960000016</v>
      </c>
      <c r="GK5" s="271">
        <v>47194033.229999982</v>
      </c>
      <c r="GL5" s="271">
        <v>106300964.84999995</v>
      </c>
      <c r="GM5" s="271">
        <v>33391383.550000012</v>
      </c>
      <c r="GN5" s="271">
        <v>25817644.450000007</v>
      </c>
      <c r="GO5" s="271">
        <v>16888410.839999992</v>
      </c>
      <c r="GP5" s="271">
        <v>19698739.23</v>
      </c>
      <c r="GQ5" s="271">
        <v>296937811.21000004</v>
      </c>
      <c r="GR5" s="271">
        <v>43842254.170000002</v>
      </c>
      <c r="GS5" s="271">
        <v>34573317.839999996</v>
      </c>
      <c r="GT5" s="271">
        <v>71211953.700000003</v>
      </c>
      <c r="GU5" s="271">
        <v>14265321.940000005</v>
      </c>
      <c r="GV5" s="271">
        <v>86710381.830000013</v>
      </c>
      <c r="GW5" s="271">
        <v>71575862.239999995</v>
      </c>
      <c r="GX5" s="271">
        <v>36765114.759999998</v>
      </c>
      <c r="GY5" s="271">
        <v>202266954.28999999</v>
      </c>
      <c r="GZ5" s="271">
        <v>22442555.239999998</v>
      </c>
      <c r="HA5" s="271">
        <v>47419461.649999961</v>
      </c>
      <c r="HB5" s="271">
        <v>69407296.939999998</v>
      </c>
      <c r="HC5" s="271">
        <v>870051805.49999976</v>
      </c>
      <c r="HD5" s="271">
        <v>81269026.010000005</v>
      </c>
      <c r="HE5" s="271">
        <v>107578738.31000005</v>
      </c>
      <c r="HF5" s="271">
        <v>98816522.75</v>
      </c>
      <c r="HG5" s="271">
        <v>90234121.859999999</v>
      </c>
      <c r="HH5" s="271">
        <v>96849837.979999945</v>
      </c>
      <c r="HI5" s="271">
        <v>27601374.790000003</v>
      </c>
      <c r="HJ5" s="271">
        <v>382364298.14999998</v>
      </c>
      <c r="HK5" s="271">
        <v>125701338.94999999</v>
      </c>
      <c r="HL5" s="271">
        <v>218435387.44</v>
      </c>
      <c r="HM5" s="271">
        <v>87341415.49000001</v>
      </c>
      <c r="HN5" s="271">
        <v>60758302.420000002</v>
      </c>
      <c r="HO5" s="271">
        <v>78189537.670000002</v>
      </c>
      <c r="HP5" s="271">
        <v>80257511.309999973</v>
      </c>
      <c r="HQ5" s="271">
        <v>29070347.109999999</v>
      </c>
      <c r="HR5" s="271">
        <v>384859967.05499983</v>
      </c>
      <c r="HS5" s="271">
        <v>164501478.84000003</v>
      </c>
      <c r="HT5" s="271">
        <v>65349561.530000001</v>
      </c>
      <c r="HU5" s="271">
        <v>40769517.910000011</v>
      </c>
      <c r="HV5" s="271">
        <v>47704308.630000018</v>
      </c>
      <c r="HW5" s="271">
        <v>20953516.580000013</v>
      </c>
      <c r="HX5" s="271">
        <v>197422022.81</v>
      </c>
      <c r="HY5" s="271">
        <v>48376613.420000002</v>
      </c>
      <c r="HZ5" s="271">
        <v>35880524.030000024</v>
      </c>
      <c r="IA5" s="271">
        <v>41611510.570000008</v>
      </c>
      <c r="IB5" s="271">
        <v>62679176.07</v>
      </c>
      <c r="IC5" s="271">
        <v>66340594.199999996</v>
      </c>
      <c r="ID5" s="271">
        <v>15767733.839999994</v>
      </c>
      <c r="IE5" s="271">
        <v>45956328.710000008</v>
      </c>
      <c r="IF5" s="271">
        <v>48897273.469999999</v>
      </c>
      <c r="IG5" s="271">
        <v>17945602.149999999</v>
      </c>
      <c r="IH5" s="271">
        <v>311989277.61000019</v>
      </c>
      <c r="II5" s="271">
        <v>86320706.730000079</v>
      </c>
      <c r="IJ5" s="271">
        <v>60972908.38000001</v>
      </c>
      <c r="IK5" s="271">
        <v>107878129.58999997</v>
      </c>
      <c r="IL5" s="271">
        <v>136470902.11000004</v>
      </c>
      <c r="IM5" s="271">
        <v>30670799.379999995</v>
      </c>
      <c r="IN5" s="271">
        <v>40609774.360000007</v>
      </c>
      <c r="IO5" s="271">
        <v>29115965.450000014</v>
      </c>
      <c r="IP5" s="271">
        <v>34493323.769999996</v>
      </c>
      <c r="IQ5" s="271">
        <v>38494674.009999998</v>
      </c>
      <c r="IR5" s="271">
        <v>38332397.020000003</v>
      </c>
      <c r="IS5" s="271">
        <v>689030784.77999985</v>
      </c>
      <c r="IT5" s="271">
        <v>146042014.67999998</v>
      </c>
      <c r="IU5" s="271">
        <v>74947298.059999987</v>
      </c>
      <c r="IV5" s="271">
        <v>33607953.560000017</v>
      </c>
      <c r="IW5" s="271">
        <v>58019532.070000015</v>
      </c>
      <c r="IX5" s="271">
        <v>27841478.379999999</v>
      </c>
      <c r="IY5" s="271">
        <v>36923037.219999999</v>
      </c>
      <c r="IZ5" s="271">
        <v>16190346.43</v>
      </c>
      <c r="JA5" s="271">
        <v>12527446.91</v>
      </c>
      <c r="JB5" s="271">
        <v>42742566.910000004</v>
      </c>
      <c r="JC5" s="271">
        <v>72905311.089999989</v>
      </c>
      <c r="JD5" s="271">
        <v>24856492.270000014</v>
      </c>
      <c r="JE5" s="271">
        <v>94150464.300000057</v>
      </c>
      <c r="JF5" s="271">
        <v>54790821.919999987</v>
      </c>
      <c r="JG5" s="271">
        <v>32437411.75000003</v>
      </c>
      <c r="JH5" s="271">
        <v>29764935.809999995</v>
      </c>
      <c r="JI5" s="271">
        <v>24275272.910000011</v>
      </c>
      <c r="JJ5" s="271">
        <v>16877223.759999994</v>
      </c>
      <c r="JK5" s="271">
        <v>115694398.73999996</v>
      </c>
      <c r="JL5" s="271">
        <v>21176525.710000001</v>
      </c>
      <c r="JM5" s="271">
        <v>21870688.810000002</v>
      </c>
      <c r="JN5" s="271">
        <v>52257068.43999996</v>
      </c>
      <c r="JO5" s="271">
        <v>29646376.599999994</v>
      </c>
      <c r="JP5" s="271">
        <v>123800896.72000003</v>
      </c>
      <c r="JQ5" s="271">
        <v>18159143.760000009</v>
      </c>
      <c r="JR5" s="271">
        <v>421876006.57999992</v>
      </c>
      <c r="JS5" s="271">
        <v>157344042.91999999</v>
      </c>
      <c r="JT5" s="271">
        <v>42751751.049999997</v>
      </c>
      <c r="JU5" s="271">
        <v>16083448.82</v>
      </c>
      <c r="JV5" s="271">
        <v>55865824.650000013</v>
      </c>
      <c r="JW5" s="271">
        <v>13644638.59</v>
      </c>
      <c r="JX5" s="271">
        <v>125022661.69</v>
      </c>
      <c r="JY5" s="271">
        <v>68450232.299999997</v>
      </c>
      <c r="JZ5" s="271">
        <v>20728112.579999987</v>
      </c>
      <c r="KA5" s="271">
        <v>39212064.120000005</v>
      </c>
      <c r="KB5" s="271">
        <v>45793092.659999989</v>
      </c>
      <c r="KC5" s="271">
        <v>44109653.050000012</v>
      </c>
      <c r="KD5" s="271">
        <v>36263931.969999991</v>
      </c>
      <c r="KE5" s="271">
        <v>14165007.460000001</v>
      </c>
      <c r="KF5" s="271">
        <v>34792840.410000019</v>
      </c>
      <c r="KG5" s="271">
        <v>27765575.109999999</v>
      </c>
      <c r="KH5" s="271">
        <v>645140355.44999969</v>
      </c>
      <c r="KI5" s="271">
        <v>142416473.25999999</v>
      </c>
      <c r="KJ5" s="271">
        <v>41783406.160000004</v>
      </c>
      <c r="KK5" s="271">
        <v>61848018.469999991</v>
      </c>
      <c r="KL5" s="271">
        <v>54416503.56999997</v>
      </c>
      <c r="KM5" s="271">
        <v>55355308.550000004</v>
      </c>
      <c r="KN5" s="271">
        <v>169718124.90999997</v>
      </c>
      <c r="KO5" s="271">
        <v>39906678.129999995</v>
      </c>
      <c r="KP5" s="271">
        <v>29503698.800000004</v>
      </c>
      <c r="KQ5" s="271">
        <v>182307525.00000015</v>
      </c>
      <c r="KR5" s="271">
        <v>50673297.530000001</v>
      </c>
      <c r="KS5" s="271">
        <v>68546639.169999987</v>
      </c>
      <c r="KT5" s="271">
        <v>187799636.50999999</v>
      </c>
      <c r="KU5" s="271">
        <v>39007935.490000002</v>
      </c>
      <c r="KV5" s="271">
        <v>66845428.570000015</v>
      </c>
      <c r="KW5" s="271">
        <v>320416617.70999998</v>
      </c>
      <c r="KX5" s="271">
        <v>60024807.519999988</v>
      </c>
      <c r="KY5" s="271">
        <v>218306856.62999991</v>
      </c>
      <c r="KZ5" s="271">
        <v>27593128.809999995</v>
      </c>
      <c r="LA5" s="271">
        <v>21427003.790000003</v>
      </c>
      <c r="LB5" s="271">
        <v>94378153.710000038</v>
      </c>
      <c r="LC5" s="271">
        <v>94544384.090000004</v>
      </c>
      <c r="LD5" s="271">
        <v>41799569.009999976</v>
      </c>
      <c r="LE5" s="271">
        <v>117091683.10000002</v>
      </c>
      <c r="LF5" s="271">
        <v>95473644.709999993</v>
      </c>
      <c r="LG5" s="271">
        <v>701104357.25999999</v>
      </c>
      <c r="LH5" s="271">
        <v>202684268.34000009</v>
      </c>
      <c r="LI5" s="271">
        <v>163892520.79999992</v>
      </c>
      <c r="LJ5" s="271">
        <v>157170125.09999996</v>
      </c>
      <c r="LK5" s="271">
        <v>37991569.930000007</v>
      </c>
      <c r="LL5" s="271">
        <v>36415135.030000001</v>
      </c>
      <c r="LM5" s="271">
        <v>19132438.550000004</v>
      </c>
      <c r="LN5" s="271">
        <v>51370094.61999999</v>
      </c>
      <c r="LO5" s="271">
        <v>30426714.490000006</v>
      </c>
      <c r="LP5" s="271">
        <v>89032370.849999979</v>
      </c>
      <c r="LQ5" s="271">
        <v>43188492.649999991</v>
      </c>
      <c r="LR5" s="271">
        <v>166944412.36999989</v>
      </c>
      <c r="LS5" s="271">
        <v>40775325.199999996</v>
      </c>
      <c r="LT5" s="271">
        <v>24863909.509999983</v>
      </c>
      <c r="LU5" s="271">
        <v>362125773.52999961</v>
      </c>
      <c r="LV5" s="271">
        <v>280513581.55000001</v>
      </c>
      <c r="LW5" s="271">
        <v>767862347.06000054</v>
      </c>
      <c r="LX5" s="271">
        <v>155326723.86000007</v>
      </c>
      <c r="LY5" s="271">
        <v>87161182.492500037</v>
      </c>
      <c r="LZ5" s="271">
        <v>120638265.75</v>
      </c>
      <c r="MA5" s="271">
        <v>47205944.069999978</v>
      </c>
      <c r="MB5" s="271">
        <v>42117388.649999999</v>
      </c>
      <c r="MC5" s="271">
        <v>48033098.539999992</v>
      </c>
      <c r="MD5" s="271">
        <v>51358785.529999986</v>
      </c>
      <c r="ME5" s="271">
        <v>123196968.51000002</v>
      </c>
      <c r="MF5" s="271">
        <v>49663694.230000019</v>
      </c>
      <c r="MG5" s="271">
        <v>852997153.09000027</v>
      </c>
      <c r="MH5" s="271">
        <v>81580729.139999986</v>
      </c>
      <c r="MI5" s="271">
        <v>51752016.760000005</v>
      </c>
      <c r="MJ5" s="271">
        <v>38040032</v>
      </c>
      <c r="MK5" s="271">
        <v>44644798.939999998</v>
      </c>
      <c r="ML5" s="271">
        <v>55977934.969999976</v>
      </c>
      <c r="MM5" s="271">
        <v>40799951.950000003</v>
      </c>
      <c r="MN5" s="271">
        <v>48288419.430000007</v>
      </c>
      <c r="MO5" s="271">
        <v>91105347.180000007</v>
      </c>
      <c r="MP5" s="271">
        <v>67918488.74000001</v>
      </c>
      <c r="MQ5" s="271">
        <v>50031714.449999988</v>
      </c>
      <c r="MR5" s="271">
        <v>50165672.400000028</v>
      </c>
      <c r="MS5" s="271">
        <v>352912156.92999989</v>
      </c>
      <c r="MT5" s="271">
        <v>67196114.400000006</v>
      </c>
      <c r="MU5" s="271">
        <v>78034266.469999984</v>
      </c>
      <c r="MV5" s="271">
        <v>126902387.23999996</v>
      </c>
      <c r="MW5" s="271">
        <v>97514599.420000017</v>
      </c>
      <c r="MX5" s="271">
        <v>64510109.419999979</v>
      </c>
      <c r="MY5" s="271">
        <v>106232750.17009999</v>
      </c>
      <c r="MZ5" s="271">
        <v>119722049.01999997</v>
      </c>
      <c r="NA5" s="271">
        <v>67209661.009999976</v>
      </c>
      <c r="NB5" s="271">
        <v>21269361.810000002</v>
      </c>
      <c r="NC5" s="271">
        <v>24851228.239999995</v>
      </c>
      <c r="ND5" s="271">
        <v>1208022050.4000001</v>
      </c>
      <c r="NE5" s="271">
        <v>185226252.16</v>
      </c>
      <c r="NF5" s="271">
        <v>31225560.840000011</v>
      </c>
      <c r="NG5" s="271">
        <v>591502362.02000022</v>
      </c>
      <c r="NH5" s="271">
        <v>33756798.059999995</v>
      </c>
      <c r="NI5" s="271">
        <v>96840219.079999998</v>
      </c>
      <c r="NJ5" s="271">
        <v>177255479.9900001</v>
      </c>
      <c r="NK5" s="271">
        <v>256757719.72000006</v>
      </c>
      <c r="NL5" s="271">
        <v>18228745.689999998</v>
      </c>
      <c r="NM5" s="271">
        <v>151972458.66999996</v>
      </c>
      <c r="NN5" s="271">
        <v>68332015.570000008</v>
      </c>
      <c r="NO5" s="271">
        <v>50719650.829999998</v>
      </c>
      <c r="NP5" s="271">
        <v>180048962.45000011</v>
      </c>
      <c r="NQ5" s="271">
        <v>34938572.480000004</v>
      </c>
      <c r="NR5" s="271">
        <v>43083250.409999996</v>
      </c>
      <c r="NS5" s="271">
        <v>48065429.760000005</v>
      </c>
      <c r="NT5" s="271">
        <v>27544363.020000018</v>
      </c>
      <c r="NU5" s="271">
        <v>12018506.230000002</v>
      </c>
      <c r="NV5" s="271">
        <v>19125223.030000001</v>
      </c>
      <c r="NW5" s="271">
        <v>380789313.86000019</v>
      </c>
      <c r="NX5" s="271">
        <v>242903888.72000009</v>
      </c>
      <c r="NY5" s="271">
        <v>46681617.469999976</v>
      </c>
      <c r="NZ5" s="271">
        <v>31084479.450000003</v>
      </c>
      <c r="OA5" s="271">
        <v>51620363.570000023</v>
      </c>
      <c r="OB5" s="271">
        <v>57618941.879999995</v>
      </c>
      <c r="OC5" s="271">
        <v>31096012.230000012</v>
      </c>
      <c r="OD5" s="271">
        <v>375191932.60000008</v>
      </c>
      <c r="OE5" s="271">
        <v>143914838.84000003</v>
      </c>
      <c r="OF5" s="271">
        <v>61010805.019999988</v>
      </c>
      <c r="OG5" s="271">
        <v>170311169.56000006</v>
      </c>
      <c r="OH5" s="271">
        <v>43921016.360000007</v>
      </c>
      <c r="OI5" s="271">
        <v>82324274.040000007</v>
      </c>
      <c r="OJ5" s="271">
        <v>157746356.83000004</v>
      </c>
      <c r="OK5" s="271">
        <v>37839281</v>
      </c>
      <c r="OL5" s="271">
        <v>44815040.409999996</v>
      </c>
      <c r="OM5" s="271">
        <v>732166603.38999987</v>
      </c>
      <c r="ON5" s="271">
        <v>85728087.969999999</v>
      </c>
      <c r="OO5" s="271">
        <v>264027874.44000009</v>
      </c>
      <c r="OP5" s="271">
        <v>107855329.33000001</v>
      </c>
      <c r="OQ5" s="271">
        <v>92449954.770000011</v>
      </c>
      <c r="OR5" s="271">
        <v>69497913.030000001</v>
      </c>
      <c r="OS5" s="271">
        <v>446424655.94000024</v>
      </c>
      <c r="OT5" s="271">
        <v>41345141.82</v>
      </c>
      <c r="OU5" s="271">
        <v>51814219.060000017</v>
      </c>
      <c r="OV5" s="271">
        <v>102810154.69000003</v>
      </c>
      <c r="OW5" s="271">
        <v>104203296.11000001</v>
      </c>
      <c r="OX5" s="271">
        <v>280707498.44000006</v>
      </c>
      <c r="OY5" s="271">
        <v>68142670.23999998</v>
      </c>
      <c r="OZ5" s="271">
        <v>40646116.070000015</v>
      </c>
      <c r="PA5" s="271">
        <v>48273349.130000003</v>
      </c>
      <c r="PB5" s="271">
        <v>635891741.79000008</v>
      </c>
      <c r="PC5" s="271">
        <v>40647137.440000005</v>
      </c>
      <c r="PD5" s="271">
        <v>68623402.729999989</v>
      </c>
      <c r="PE5" s="271">
        <v>22639720.31000001</v>
      </c>
      <c r="PF5" s="271">
        <v>79911990.659999982</v>
      </c>
      <c r="PG5" s="271">
        <v>105063400.37000003</v>
      </c>
      <c r="PH5" s="271">
        <v>42289961.300000027</v>
      </c>
      <c r="PI5" s="271">
        <v>48868036.379999995</v>
      </c>
      <c r="PJ5" s="271">
        <v>64116120.279999994</v>
      </c>
      <c r="PK5" s="271">
        <v>55346350.18</v>
      </c>
      <c r="PL5" s="271">
        <v>81045436.470000014</v>
      </c>
      <c r="PM5" s="271">
        <v>99667779.989999995</v>
      </c>
      <c r="PN5" s="271">
        <v>33809455.970000006</v>
      </c>
      <c r="PO5" s="271">
        <v>168729597.99000004</v>
      </c>
      <c r="PP5" s="271">
        <v>42189716.590000004</v>
      </c>
      <c r="PQ5" s="271">
        <v>27781771.999999989</v>
      </c>
      <c r="PR5" s="271">
        <v>20698460.190000005</v>
      </c>
      <c r="PS5" s="271">
        <v>33054630.220000014</v>
      </c>
      <c r="PT5" s="271">
        <v>961129629.82999945</v>
      </c>
      <c r="PU5" s="271">
        <v>43521809.230000004</v>
      </c>
      <c r="PV5" s="271">
        <v>29216817.219999995</v>
      </c>
      <c r="PW5" s="271">
        <v>76225511.480000004</v>
      </c>
      <c r="PX5" s="271">
        <v>302412844.61000001</v>
      </c>
      <c r="PY5" s="271">
        <v>76824893.62999998</v>
      </c>
      <c r="PZ5" s="271">
        <v>104942841.11000007</v>
      </c>
      <c r="QA5" s="271">
        <v>49051460.439999998</v>
      </c>
      <c r="QB5" s="271">
        <v>115886316.95000002</v>
      </c>
      <c r="QC5" s="271">
        <v>28819989.650000002</v>
      </c>
      <c r="QD5" s="271">
        <v>101155847.59999999</v>
      </c>
      <c r="QE5" s="271">
        <v>37815149.189999998</v>
      </c>
      <c r="QF5" s="271">
        <v>44696257.919999987</v>
      </c>
      <c r="QG5" s="271">
        <v>76810170.319999993</v>
      </c>
      <c r="QH5" s="271">
        <v>64459073.080000013</v>
      </c>
      <c r="QI5" s="271">
        <v>58879719.250000007</v>
      </c>
      <c r="QJ5" s="271">
        <v>37373034.369999968</v>
      </c>
      <c r="QK5" s="271">
        <v>50585329.500000015</v>
      </c>
      <c r="QL5" s="271">
        <v>28980371.960000012</v>
      </c>
      <c r="QM5" s="271">
        <v>118828759.52</v>
      </c>
      <c r="QN5" s="271">
        <v>131413585.64999993</v>
      </c>
      <c r="QO5" s="271">
        <v>32582136.090000004</v>
      </c>
      <c r="QP5" s="271">
        <v>18810940.170000006</v>
      </c>
      <c r="QQ5" s="271">
        <v>17175761.369999997</v>
      </c>
      <c r="QR5" s="271">
        <v>26024902.380000003</v>
      </c>
      <c r="QS5" s="271">
        <v>24630001.920000002</v>
      </c>
      <c r="QT5" s="271">
        <v>534807048.03999984</v>
      </c>
      <c r="QU5" s="271">
        <v>40181125.82</v>
      </c>
      <c r="QV5" s="271">
        <v>125531234.67999999</v>
      </c>
      <c r="QW5" s="271">
        <v>47922948.220000014</v>
      </c>
      <c r="QX5" s="271">
        <v>56431461.910000026</v>
      </c>
      <c r="QY5" s="271">
        <v>141848930.91999999</v>
      </c>
      <c r="QZ5" s="271">
        <v>65872148.650000021</v>
      </c>
      <c r="RA5" s="271">
        <v>125309006.66999999</v>
      </c>
      <c r="RB5" s="271">
        <v>70763675.279999971</v>
      </c>
      <c r="RC5" s="271">
        <v>34013308.360000014</v>
      </c>
      <c r="RD5" s="271">
        <v>39675583.909999996</v>
      </c>
      <c r="RE5" s="271">
        <v>59292536.620000005</v>
      </c>
      <c r="RF5" s="271">
        <v>20880759.829999994</v>
      </c>
      <c r="RG5" s="271">
        <v>829355679.20000017</v>
      </c>
      <c r="RH5" s="271">
        <v>114058430.19000001</v>
      </c>
      <c r="RI5" s="271">
        <v>58696480.710000008</v>
      </c>
      <c r="RJ5" s="271">
        <v>74379832.619999975</v>
      </c>
      <c r="RK5" s="271">
        <v>114454641.89999999</v>
      </c>
      <c r="RL5" s="271">
        <v>63408651.839999989</v>
      </c>
      <c r="RM5" s="271">
        <v>159701422.91999999</v>
      </c>
      <c r="RN5" s="271">
        <v>68616449.5</v>
      </c>
      <c r="RO5" s="271">
        <v>73281291.499999985</v>
      </c>
      <c r="RP5" s="271">
        <v>133781994.04999991</v>
      </c>
      <c r="RQ5" s="271">
        <v>144332328.35999995</v>
      </c>
      <c r="RR5" s="271">
        <v>29580379.559999995</v>
      </c>
      <c r="RS5" s="271">
        <v>39685937.719999984</v>
      </c>
      <c r="RT5" s="271">
        <v>62970576.949999981</v>
      </c>
      <c r="RU5" s="271">
        <v>37110367.039999999</v>
      </c>
      <c r="RV5" s="271">
        <v>44728543.020000003</v>
      </c>
      <c r="RW5" s="271">
        <v>49701925.700000018</v>
      </c>
      <c r="RX5" s="271">
        <v>32574061.999999996</v>
      </c>
      <c r="RY5" s="271">
        <v>27574111.570000004</v>
      </c>
      <c r="RZ5" s="271">
        <v>36337830.919999987</v>
      </c>
      <c r="SA5" s="271">
        <v>163465775.29000002</v>
      </c>
      <c r="SB5" s="271">
        <v>52583664.610000014</v>
      </c>
      <c r="SC5" s="271">
        <v>47933342.620000005</v>
      </c>
      <c r="SD5" s="271">
        <v>38326724.960000008</v>
      </c>
      <c r="SE5" s="271">
        <v>37466345.029999994</v>
      </c>
      <c r="SF5" s="271">
        <v>37800122.500000007</v>
      </c>
      <c r="SG5" s="271">
        <v>58522979.549999982</v>
      </c>
      <c r="SH5" s="271">
        <v>90581973.450000003</v>
      </c>
      <c r="SI5" s="271">
        <v>55817076.630000003</v>
      </c>
      <c r="SJ5" s="271">
        <v>70101985.679999992</v>
      </c>
      <c r="SK5" s="271">
        <v>87183123.199999928</v>
      </c>
      <c r="SL5" s="271">
        <v>28587472.539999992</v>
      </c>
      <c r="SM5" s="271">
        <v>279152424.63000011</v>
      </c>
      <c r="SN5" s="271">
        <v>54624167.599999994</v>
      </c>
      <c r="SO5" s="271">
        <v>80024623.410000026</v>
      </c>
      <c r="SP5" s="271">
        <v>84302593.759999976</v>
      </c>
      <c r="SQ5" s="271">
        <v>53617099.329999998</v>
      </c>
      <c r="SR5" s="271">
        <v>58792863.62000002</v>
      </c>
      <c r="SS5" s="271">
        <v>72726725.069999963</v>
      </c>
      <c r="ST5" s="271">
        <v>24024918.519999996</v>
      </c>
      <c r="SU5" s="271">
        <v>481800404.20000017</v>
      </c>
      <c r="SV5" s="271">
        <v>40298092.36999999</v>
      </c>
      <c r="SW5" s="271">
        <v>74895040.420000017</v>
      </c>
      <c r="SX5" s="271">
        <v>58997171.850000009</v>
      </c>
      <c r="SY5" s="271">
        <v>23943701.349999994</v>
      </c>
      <c r="SZ5" s="271">
        <v>34331529.650000013</v>
      </c>
      <c r="TA5" s="271">
        <v>29769509.060000017</v>
      </c>
      <c r="TB5" s="271">
        <v>105228256.91999999</v>
      </c>
      <c r="TC5" s="271">
        <v>34074277.350000001</v>
      </c>
      <c r="TD5" s="271">
        <v>44157724.500000007</v>
      </c>
      <c r="TE5" s="271">
        <v>64480795.920000009</v>
      </c>
      <c r="TF5" s="271">
        <v>72042363.089999989</v>
      </c>
      <c r="TG5" s="271">
        <v>45102645.690000005</v>
      </c>
      <c r="TH5" s="271">
        <v>33595929.170000002</v>
      </c>
      <c r="TI5" s="271">
        <v>819401221.13000011</v>
      </c>
      <c r="TJ5" s="271">
        <v>71511057.300000012</v>
      </c>
      <c r="TK5" s="271">
        <v>30444737.379999995</v>
      </c>
      <c r="TL5" s="271">
        <v>63476559.620000005</v>
      </c>
      <c r="TM5" s="271">
        <v>67038357.060000025</v>
      </c>
      <c r="TN5" s="271">
        <v>41774510.639999993</v>
      </c>
      <c r="TO5" s="271">
        <v>18166152.739999998</v>
      </c>
      <c r="TP5" s="271">
        <v>253387670.98000002</v>
      </c>
      <c r="TQ5" s="271">
        <v>44594328.570000008</v>
      </c>
      <c r="TR5" s="271">
        <v>74034314.880000025</v>
      </c>
      <c r="TS5" s="271">
        <v>88383881.400000006</v>
      </c>
      <c r="TT5" s="271">
        <v>41056073.980000004</v>
      </c>
      <c r="TU5" s="271">
        <v>28092882.440000005</v>
      </c>
      <c r="TV5" s="271">
        <v>37291653.320000023</v>
      </c>
      <c r="TW5" s="271">
        <v>37362599.129999995</v>
      </c>
      <c r="TX5" s="271">
        <v>55596005.810000002</v>
      </c>
      <c r="TY5" s="271">
        <v>212163314.74000019</v>
      </c>
      <c r="TZ5" s="271">
        <v>47461548.099999994</v>
      </c>
      <c r="UA5" s="271">
        <v>372748415.66999984</v>
      </c>
      <c r="UB5" s="271">
        <v>107198470.28000005</v>
      </c>
      <c r="UC5" s="271">
        <v>35214033.359999999</v>
      </c>
      <c r="UD5" s="271">
        <v>40512073.409999996</v>
      </c>
      <c r="UE5" s="271">
        <v>215123552.24999991</v>
      </c>
      <c r="UF5" s="271">
        <v>35089673.030000001</v>
      </c>
      <c r="UG5" s="271">
        <v>20145160.560000002</v>
      </c>
      <c r="UH5" s="271">
        <v>37960283.600000009</v>
      </c>
      <c r="UI5" s="271">
        <v>49280740.850000016</v>
      </c>
      <c r="UJ5" s="271">
        <v>276486325.72999984</v>
      </c>
      <c r="UK5" s="271">
        <v>89609795.109999985</v>
      </c>
      <c r="UL5" s="271">
        <v>63517133.509999983</v>
      </c>
      <c r="UM5" s="271">
        <v>106631064.53999999</v>
      </c>
      <c r="UN5" s="271">
        <v>78485201.850000009</v>
      </c>
      <c r="UO5" s="271">
        <v>52173726.179999985</v>
      </c>
      <c r="UP5" s="271">
        <v>1177346341.4500003</v>
      </c>
      <c r="UQ5" s="271">
        <v>79279538.119999975</v>
      </c>
      <c r="UR5" s="271">
        <v>75240692.160000011</v>
      </c>
      <c r="US5" s="271">
        <v>193826557.87000009</v>
      </c>
      <c r="UT5" s="271">
        <v>12017734.709999997</v>
      </c>
      <c r="UU5" s="271">
        <v>59861161.200000003</v>
      </c>
      <c r="UV5" s="271">
        <v>151515756.66999999</v>
      </c>
      <c r="UW5" s="271">
        <v>41288894.280000024</v>
      </c>
      <c r="UX5" s="271">
        <v>52127550.799999997</v>
      </c>
      <c r="UY5" s="271">
        <v>56816339.00999999</v>
      </c>
      <c r="UZ5" s="271">
        <v>82338920.239999995</v>
      </c>
      <c r="VA5" s="271">
        <v>144385506.45000005</v>
      </c>
      <c r="VB5" s="271">
        <v>91146290.790000007</v>
      </c>
      <c r="VC5" s="271">
        <v>123697088.94000007</v>
      </c>
      <c r="VD5" s="271">
        <v>36965014.439999998</v>
      </c>
      <c r="VE5" s="271">
        <v>31568666.329999998</v>
      </c>
      <c r="VF5" s="271">
        <v>37714935.960000008</v>
      </c>
      <c r="VG5" s="271">
        <v>34350009.810000002</v>
      </c>
      <c r="VH5" s="271">
        <v>149675974.22999999</v>
      </c>
      <c r="VI5" s="271">
        <v>38159845.860000007</v>
      </c>
      <c r="VJ5" s="271">
        <v>35230861.190000005</v>
      </c>
      <c r="VK5" s="271">
        <v>21100861.399999995</v>
      </c>
      <c r="VL5" s="271">
        <v>691794044.52999997</v>
      </c>
      <c r="VM5" s="271">
        <v>49241943.370000005</v>
      </c>
      <c r="VN5" s="271">
        <v>44512162.450000003</v>
      </c>
      <c r="VO5" s="271">
        <v>118991701.80000001</v>
      </c>
      <c r="VP5" s="271">
        <v>125835157.06000002</v>
      </c>
      <c r="VQ5" s="271">
        <v>87726528.109999999</v>
      </c>
      <c r="VR5" s="271">
        <v>67038667.030000001</v>
      </c>
      <c r="VS5" s="271">
        <v>43079113.079999998</v>
      </c>
      <c r="VT5" s="271">
        <v>64528473.429999992</v>
      </c>
      <c r="VU5" s="271">
        <v>214364770.72000009</v>
      </c>
      <c r="VV5" s="271">
        <v>50673252.680000015</v>
      </c>
      <c r="VW5" s="271">
        <v>265301418.10000005</v>
      </c>
      <c r="VX5" s="271">
        <v>72662700.859999999</v>
      </c>
      <c r="VY5" s="271">
        <v>48441706.379999973</v>
      </c>
      <c r="VZ5" s="271">
        <v>20321307.819999985</v>
      </c>
      <c r="WA5" s="271">
        <v>1182855747.3200002</v>
      </c>
      <c r="WB5" s="271">
        <v>97922805.870000005</v>
      </c>
      <c r="WC5" s="271">
        <v>73771509.75999999</v>
      </c>
      <c r="WD5" s="271">
        <v>76551846.389999971</v>
      </c>
      <c r="WE5" s="271">
        <v>40408450.38000001</v>
      </c>
      <c r="WF5" s="271">
        <v>67655023.679999977</v>
      </c>
      <c r="WG5" s="271">
        <v>87863781.450000003</v>
      </c>
      <c r="WH5" s="271">
        <v>121952172.42000002</v>
      </c>
      <c r="WI5" s="271">
        <v>77085521.649999976</v>
      </c>
      <c r="WJ5" s="271">
        <v>92498406.750000045</v>
      </c>
      <c r="WK5" s="271">
        <v>42221410.949999988</v>
      </c>
      <c r="WL5" s="271">
        <v>154345018.96000004</v>
      </c>
      <c r="WM5" s="271">
        <v>71834736.060000017</v>
      </c>
      <c r="WN5" s="271">
        <v>81857690.499999955</v>
      </c>
      <c r="WO5" s="271">
        <v>209640832.30000001</v>
      </c>
      <c r="WP5" s="271">
        <v>108084841.25</v>
      </c>
      <c r="WQ5" s="271">
        <v>94478641.829999983</v>
      </c>
      <c r="WR5" s="271">
        <v>68774234.270000026</v>
      </c>
      <c r="WS5" s="271">
        <v>34565234.779999979</v>
      </c>
      <c r="WT5" s="271">
        <v>161212246.23999995</v>
      </c>
      <c r="WU5" s="271">
        <v>296049204.89000016</v>
      </c>
      <c r="WV5" s="271">
        <v>72417265.599999994</v>
      </c>
      <c r="WW5" s="271">
        <v>41426520.030000016</v>
      </c>
      <c r="WX5" s="271">
        <v>44206857.690000005</v>
      </c>
      <c r="WY5" s="271">
        <v>52885075.769999996</v>
      </c>
      <c r="WZ5" s="271">
        <v>62901696.68999999</v>
      </c>
      <c r="XA5" s="271">
        <v>40954080.680000007</v>
      </c>
      <c r="XB5" s="271">
        <v>53381217.000000015</v>
      </c>
      <c r="XC5" s="271">
        <v>264948801.21999991</v>
      </c>
      <c r="XD5" s="271">
        <v>31391064.020000003</v>
      </c>
      <c r="XE5" s="271">
        <v>28551124.089999989</v>
      </c>
      <c r="XF5" s="271">
        <v>30407035.879999992</v>
      </c>
      <c r="XG5" s="271">
        <v>33208013.689999994</v>
      </c>
      <c r="XH5" s="271">
        <v>1058331757.2899997</v>
      </c>
      <c r="XI5" s="271">
        <v>91902904.24000001</v>
      </c>
      <c r="XJ5" s="271">
        <v>117688366.94</v>
      </c>
      <c r="XK5" s="271">
        <v>271455513.23999989</v>
      </c>
      <c r="XL5" s="271">
        <v>82627226.719999969</v>
      </c>
      <c r="XM5" s="271">
        <v>98437130.530000001</v>
      </c>
      <c r="XN5" s="271">
        <v>161644669.19000006</v>
      </c>
      <c r="XO5" s="271">
        <v>106823088.31000002</v>
      </c>
      <c r="XP5" s="271">
        <v>73826443.740000039</v>
      </c>
      <c r="XQ5" s="271">
        <v>145290677.59999996</v>
      </c>
      <c r="XR5" s="271">
        <v>171781206.70000002</v>
      </c>
      <c r="XS5" s="271">
        <v>57095516.199999973</v>
      </c>
      <c r="XT5" s="271">
        <v>34268031.199999981</v>
      </c>
      <c r="XU5" s="271">
        <v>87734582.460000008</v>
      </c>
      <c r="XV5" s="271">
        <v>59704032.970000006</v>
      </c>
      <c r="XW5" s="271">
        <v>45052354.13000001</v>
      </c>
      <c r="XX5" s="271">
        <v>40342408.209999993</v>
      </c>
      <c r="XY5" s="271">
        <v>56398900.740000024</v>
      </c>
      <c r="XZ5" s="271">
        <v>41502220.419999994</v>
      </c>
      <c r="YA5" s="271">
        <v>51376981.469999999</v>
      </c>
      <c r="YB5" s="271">
        <v>53482763.200000003</v>
      </c>
      <c r="YC5" s="271">
        <v>55198667.149999991</v>
      </c>
      <c r="YD5" s="271">
        <v>46127776.539999992</v>
      </c>
      <c r="YE5" s="271">
        <v>1030047441.7000003</v>
      </c>
      <c r="YF5" s="271">
        <v>75596936.340000018</v>
      </c>
      <c r="YG5" s="271">
        <v>140155751.86000001</v>
      </c>
      <c r="YH5" s="271">
        <v>60603421.290000007</v>
      </c>
      <c r="YI5" s="271">
        <v>337251864.95999998</v>
      </c>
      <c r="YJ5" s="271">
        <v>127150740.51999997</v>
      </c>
      <c r="YK5" s="271">
        <v>141356319.02000007</v>
      </c>
      <c r="YL5" s="271">
        <v>50475122.930000007</v>
      </c>
      <c r="YM5" s="271">
        <v>240923464.65000004</v>
      </c>
      <c r="YN5" s="271">
        <v>175597849.42999998</v>
      </c>
      <c r="YO5" s="271">
        <v>88041692.560000017</v>
      </c>
      <c r="YP5" s="271">
        <v>79672644.87999998</v>
      </c>
      <c r="YQ5" s="271">
        <v>57358793.499999985</v>
      </c>
      <c r="YR5" s="271">
        <v>75105312.00999999</v>
      </c>
      <c r="YS5" s="271">
        <v>59754372.569999978</v>
      </c>
      <c r="YT5" s="271">
        <v>65284422.440000013</v>
      </c>
      <c r="YU5" s="271">
        <v>59388560.699999973</v>
      </c>
      <c r="YV5" s="271">
        <v>250871470.47999996</v>
      </c>
      <c r="YW5" s="271">
        <v>44554010.430000007</v>
      </c>
      <c r="YX5" s="271">
        <v>53228873.359999985</v>
      </c>
      <c r="YY5" s="271">
        <v>51996869.040000021</v>
      </c>
      <c r="YZ5" s="271">
        <v>47752388</v>
      </c>
      <c r="ZA5" s="271">
        <v>24923286.429999989</v>
      </c>
      <c r="ZB5" s="271">
        <v>26043087.780000009</v>
      </c>
      <c r="ZC5" s="271">
        <v>290989939.09999996</v>
      </c>
      <c r="ZD5" s="271">
        <v>36974945.670000002</v>
      </c>
      <c r="ZE5" s="271">
        <v>57824690.649999991</v>
      </c>
      <c r="ZF5" s="271">
        <v>73237913.290000007</v>
      </c>
      <c r="ZG5" s="271">
        <v>41879629.049999997</v>
      </c>
      <c r="ZH5" s="271">
        <v>39304603.790000007</v>
      </c>
      <c r="ZI5" s="271">
        <v>23236368.949999992</v>
      </c>
      <c r="ZJ5" s="271">
        <v>25185521.120000005</v>
      </c>
      <c r="ZK5" s="271">
        <v>133843209.04999995</v>
      </c>
      <c r="ZL5" s="271">
        <v>760115832.37999988</v>
      </c>
      <c r="ZM5" s="271">
        <v>37468295.800000012</v>
      </c>
      <c r="ZN5" s="271">
        <v>109281072.30999996</v>
      </c>
      <c r="ZO5" s="271">
        <v>272615442.06999987</v>
      </c>
      <c r="ZP5" s="271">
        <v>133392779.28999995</v>
      </c>
      <c r="ZQ5" s="271">
        <v>42950984.930000015</v>
      </c>
      <c r="ZR5" s="271">
        <v>58708604.249999993</v>
      </c>
      <c r="ZS5" s="271">
        <v>102808807.05</v>
      </c>
      <c r="ZT5" s="271">
        <v>113715744.64000005</v>
      </c>
      <c r="ZU5" s="271">
        <v>124446895.29999995</v>
      </c>
      <c r="ZV5" s="271">
        <v>32933217.810000014</v>
      </c>
      <c r="ZW5" s="271">
        <v>51207632.20000001</v>
      </c>
      <c r="ZX5" s="271">
        <v>59513241.650000006</v>
      </c>
      <c r="ZY5" s="271">
        <v>80809027.670000032</v>
      </c>
      <c r="ZZ5" s="271">
        <v>49859427.820000008</v>
      </c>
      <c r="AAA5" s="271">
        <v>55585573.68</v>
      </c>
      <c r="AAB5" s="271">
        <v>60757830.319999993</v>
      </c>
      <c r="AAC5" s="271">
        <v>28741669.629999992</v>
      </c>
      <c r="AAD5" s="271">
        <v>59598572.980000004</v>
      </c>
      <c r="AAE5" s="271">
        <v>49324613.579999998</v>
      </c>
      <c r="AAF5" s="271">
        <v>38217365.080000013</v>
      </c>
      <c r="AAG5" s="271">
        <v>26912837.91</v>
      </c>
      <c r="AAH5" s="271">
        <v>276728035.71999997</v>
      </c>
      <c r="AAI5" s="271">
        <v>43905046.319999978</v>
      </c>
      <c r="AAJ5" s="271">
        <v>50679477.159999989</v>
      </c>
      <c r="AAK5" s="271">
        <v>29468094.159999993</v>
      </c>
      <c r="AAL5" s="271">
        <v>32309955.549999997</v>
      </c>
      <c r="AAM5" s="271">
        <v>62391520.089999981</v>
      </c>
      <c r="AAN5" s="271">
        <v>41282006.350000016</v>
      </c>
      <c r="AAO5" s="271">
        <v>872878621.21999967</v>
      </c>
      <c r="AAP5" s="271">
        <v>58071348.799999982</v>
      </c>
      <c r="AAQ5" s="271">
        <v>38110165.010000013</v>
      </c>
      <c r="AAR5" s="271">
        <v>109570127.39000003</v>
      </c>
      <c r="AAS5" s="271">
        <v>81587260.200000003</v>
      </c>
      <c r="AAT5" s="271">
        <v>50496989.780000009</v>
      </c>
      <c r="AAU5" s="271">
        <v>71350642.570000008</v>
      </c>
      <c r="AAV5" s="271">
        <v>94386710.780000046</v>
      </c>
      <c r="AAW5" s="271">
        <v>163635641.65000001</v>
      </c>
      <c r="AAX5" s="271">
        <v>52285540.679999992</v>
      </c>
      <c r="AAY5" s="271">
        <v>84566389.030000001</v>
      </c>
      <c r="AAZ5" s="271">
        <v>236998563.76000011</v>
      </c>
      <c r="ABA5" s="271">
        <v>137904584.38000003</v>
      </c>
      <c r="ABB5" s="271">
        <v>23323578.830000006</v>
      </c>
      <c r="ABC5" s="271">
        <v>59979122.899999991</v>
      </c>
      <c r="ABD5" s="271">
        <v>48462419.860000022</v>
      </c>
      <c r="ABE5" s="271">
        <v>36934545.919999994</v>
      </c>
      <c r="ABF5" s="271">
        <v>70803968.969999999</v>
      </c>
      <c r="ABG5" s="271">
        <v>34521412.740000002</v>
      </c>
      <c r="ABH5" s="271">
        <v>368788283.94</v>
      </c>
      <c r="ABI5" s="271">
        <v>283316667.88000011</v>
      </c>
      <c r="ABJ5" s="271">
        <v>44596246.659999996</v>
      </c>
      <c r="ABK5" s="271">
        <v>32670586.800000012</v>
      </c>
      <c r="ABL5" s="271">
        <v>34084672.259999998</v>
      </c>
      <c r="ABM5" s="271">
        <v>39142435.560000002</v>
      </c>
      <c r="ABN5" s="271">
        <v>26007706.619999994</v>
      </c>
      <c r="ABO5" s="271">
        <v>302471327.48000014</v>
      </c>
      <c r="ABP5" s="271">
        <v>65792562.930000007</v>
      </c>
      <c r="ABQ5" s="271">
        <v>30814617.56000001</v>
      </c>
      <c r="ABR5" s="271">
        <v>122319735.01000004</v>
      </c>
      <c r="ABS5" s="271">
        <v>71350742.040000021</v>
      </c>
      <c r="ABT5" s="271">
        <v>46494864.86999999</v>
      </c>
      <c r="ABU5" s="271">
        <v>48069564.750000007</v>
      </c>
      <c r="ABV5" s="271">
        <v>57073875.120000005</v>
      </c>
      <c r="ABW5" s="271">
        <v>16431100.260000002</v>
      </c>
      <c r="ABX5" s="271">
        <v>533998485.86999995</v>
      </c>
      <c r="ABY5" s="271">
        <v>32526429.039999992</v>
      </c>
      <c r="ABZ5" s="271">
        <v>77212855.599999979</v>
      </c>
      <c r="ACA5" s="271">
        <v>31750451.739999991</v>
      </c>
      <c r="ACB5" s="271">
        <v>24153441.980000004</v>
      </c>
      <c r="ACC5" s="271">
        <v>87513449.300000027</v>
      </c>
      <c r="ACD5" s="271">
        <v>28775693</v>
      </c>
      <c r="ACE5" s="271">
        <v>28779038.450000003</v>
      </c>
      <c r="ACF5" s="271">
        <v>43738572.100000009</v>
      </c>
      <c r="ACG5" s="271">
        <v>86302495.160000011</v>
      </c>
      <c r="ACH5" s="271">
        <v>30743848.04999999</v>
      </c>
      <c r="ACI5" s="271">
        <v>914858765.37999952</v>
      </c>
      <c r="ACJ5" s="271">
        <v>35105654.890000001</v>
      </c>
      <c r="ACK5" s="271">
        <v>40911916.050000027</v>
      </c>
      <c r="ACL5" s="271">
        <v>77845405.24000001</v>
      </c>
      <c r="ACM5" s="271">
        <v>31609674.799999993</v>
      </c>
      <c r="ACN5" s="271">
        <v>42469042.749999985</v>
      </c>
      <c r="ACO5" s="271">
        <v>56779444.890000001</v>
      </c>
      <c r="ACP5" s="271">
        <v>213421433.89000008</v>
      </c>
      <c r="ACQ5" s="271">
        <v>258701938.85000002</v>
      </c>
      <c r="ACR5" s="271">
        <v>28710428.930000007</v>
      </c>
      <c r="ACS5" s="271">
        <v>73377886.690000013</v>
      </c>
      <c r="ACT5" s="271">
        <v>81384623.719999984</v>
      </c>
      <c r="ACU5" s="271">
        <v>62550298.709999986</v>
      </c>
      <c r="ACV5" s="271">
        <v>308925359.9199999</v>
      </c>
      <c r="ACW5" s="271">
        <v>37671317.55999998</v>
      </c>
      <c r="ACX5" s="271">
        <v>49448238.25</v>
      </c>
      <c r="ACY5" s="271">
        <v>48896636.920000002</v>
      </c>
      <c r="ACZ5" s="271">
        <v>29743959.849999994</v>
      </c>
      <c r="ADA5" s="271">
        <v>27614697.330000002</v>
      </c>
      <c r="ADB5" s="271">
        <v>28591086.030000009</v>
      </c>
      <c r="ADC5" s="271">
        <v>31584208.490000002</v>
      </c>
      <c r="ADD5" s="271">
        <v>33388910.459999993</v>
      </c>
      <c r="ADE5" s="271">
        <v>36669277.18</v>
      </c>
      <c r="ADF5" s="271">
        <v>88418306.670000017</v>
      </c>
      <c r="ADG5" s="271">
        <v>80464200.879999995</v>
      </c>
      <c r="ADH5" s="271">
        <v>22012746.229999997</v>
      </c>
      <c r="ADI5" s="271">
        <v>13061426.589999998</v>
      </c>
      <c r="ADJ5" s="271">
        <v>22798142.899999991</v>
      </c>
      <c r="ADK5" s="271">
        <v>10984871.800000001</v>
      </c>
      <c r="ADL5" s="271">
        <v>21306472.700000014</v>
      </c>
      <c r="ADM5" s="271">
        <v>20859551.209999993</v>
      </c>
      <c r="ADN5" s="271">
        <v>46558671.869999997</v>
      </c>
      <c r="ADO5" s="271">
        <v>412736692.36000001</v>
      </c>
      <c r="ADP5" s="271">
        <v>60670458.169999987</v>
      </c>
      <c r="ADQ5" s="271">
        <v>76149177.190000027</v>
      </c>
      <c r="ADR5" s="271">
        <v>57419845.990000002</v>
      </c>
      <c r="ADS5" s="271">
        <v>143151399.75000009</v>
      </c>
      <c r="ADT5" s="271">
        <v>13011108.149999999</v>
      </c>
      <c r="ADU5" s="271">
        <v>19571330.399999999</v>
      </c>
      <c r="ADV5" s="271">
        <v>30904675.240000006</v>
      </c>
      <c r="ADW5" s="271">
        <v>18611926.010000005</v>
      </c>
      <c r="ADX5" s="271">
        <v>19651239.730000004</v>
      </c>
      <c r="ADY5" s="271">
        <v>618940619.58999979</v>
      </c>
      <c r="ADZ5" s="271">
        <v>140740850.06999999</v>
      </c>
      <c r="AEA5" s="271">
        <v>116270866.54000002</v>
      </c>
      <c r="AEB5" s="271">
        <v>32527601.760000017</v>
      </c>
      <c r="AEC5" s="271">
        <v>41445069.649999999</v>
      </c>
      <c r="AED5" s="271">
        <v>65401820.359999999</v>
      </c>
      <c r="AEE5" s="271">
        <v>45857168.520000026</v>
      </c>
      <c r="AEF5" s="271">
        <v>44084193.199999981</v>
      </c>
      <c r="AEG5" s="271">
        <v>29036461.969999999</v>
      </c>
      <c r="AEH5" s="271">
        <v>48131613.720000014</v>
      </c>
      <c r="AEI5" s="271">
        <v>34792895.580000006</v>
      </c>
      <c r="AEJ5" s="271">
        <v>105009436.77000004</v>
      </c>
      <c r="AEK5" s="271">
        <v>24046572.100000005</v>
      </c>
      <c r="AEL5" s="271">
        <v>53325579.929999992</v>
      </c>
      <c r="AEM5" s="271">
        <v>67169699.180000007</v>
      </c>
      <c r="AEN5" s="271">
        <v>59055472.62999998</v>
      </c>
      <c r="AEO5" s="271">
        <v>39167751.429999977</v>
      </c>
      <c r="AEP5" s="271">
        <v>91197050.260000005</v>
      </c>
      <c r="AEQ5" s="271">
        <v>31035949.539999995</v>
      </c>
      <c r="AER5" s="271">
        <v>72195460.549999997</v>
      </c>
      <c r="AES5" s="271">
        <v>403077318.23999995</v>
      </c>
      <c r="AET5" s="271">
        <v>94776568.029999956</v>
      </c>
      <c r="AEU5" s="271">
        <v>81351376.909999996</v>
      </c>
      <c r="AEV5" s="271">
        <v>66595842.280000001</v>
      </c>
      <c r="AEW5" s="271">
        <v>40241811.429999992</v>
      </c>
      <c r="AEX5" s="271">
        <v>135795727.40000001</v>
      </c>
      <c r="AEY5" s="271">
        <v>50493317.760000005</v>
      </c>
      <c r="AEZ5" s="271">
        <v>54211295.799999982</v>
      </c>
      <c r="AFA5" s="271">
        <v>45234745.719999991</v>
      </c>
      <c r="AFB5" s="271">
        <v>28113005.569999997</v>
      </c>
      <c r="AFC5" s="271">
        <v>279529585.28000009</v>
      </c>
      <c r="AFD5" s="271">
        <v>188868487.7299999</v>
      </c>
      <c r="AFE5" s="271">
        <v>85302658.789999992</v>
      </c>
      <c r="AFF5" s="271">
        <v>61081928.029999979</v>
      </c>
      <c r="AFG5" s="271">
        <v>97757229.60999997</v>
      </c>
      <c r="AFH5" s="271">
        <v>81194712.160000011</v>
      </c>
      <c r="AFI5" s="271">
        <v>53994055.79999999</v>
      </c>
      <c r="AFJ5" s="271">
        <v>60916144.419999994</v>
      </c>
      <c r="AFK5" s="271">
        <v>43537261.880000003</v>
      </c>
      <c r="AFL5" s="271">
        <v>59104084.569999978</v>
      </c>
      <c r="AFM5" s="271">
        <v>66730786.859999992</v>
      </c>
      <c r="AFN5" s="271">
        <v>58321199.029999994</v>
      </c>
      <c r="AFO5" s="271">
        <v>59304757.059999973</v>
      </c>
      <c r="AFP5" s="271">
        <v>254813784.0399999</v>
      </c>
      <c r="AFQ5" s="271">
        <v>75486785.579999998</v>
      </c>
      <c r="AFR5" s="271">
        <v>104709185.73999999</v>
      </c>
      <c r="AFS5" s="271">
        <v>49235054.879999995</v>
      </c>
      <c r="AFT5" s="271">
        <v>61077192.890000001</v>
      </c>
      <c r="AFU5" s="271">
        <v>46749587.980000019</v>
      </c>
      <c r="AFV5" s="271">
        <v>34603210.399999999</v>
      </c>
      <c r="AFW5" s="271">
        <v>86086870.330000043</v>
      </c>
      <c r="AFX5" s="271">
        <v>141540340.81999999</v>
      </c>
      <c r="AFY5" s="271">
        <v>39780843.440000027</v>
      </c>
      <c r="AFZ5" s="271">
        <v>93954061.150000006</v>
      </c>
      <c r="AGA5" s="271">
        <v>41138754.490000002</v>
      </c>
      <c r="AGB5" s="271">
        <v>297056702.61999989</v>
      </c>
      <c r="AGC5" s="271">
        <v>50823780.680000007</v>
      </c>
      <c r="AGD5" s="271">
        <v>49354824.400000028</v>
      </c>
      <c r="AGE5" s="271">
        <v>48378299.409999989</v>
      </c>
      <c r="AGF5" s="271">
        <v>83342048.050000012</v>
      </c>
      <c r="AGG5" s="271">
        <v>55174343.010000013</v>
      </c>
      <c r="AGH5" s="271">
        <v>24657439.73</v>
      </c>
      <c r="AGI5" s="271">
        <v>49548688.299999997</v>
      </c>
      <c r="AGJ5" s="271">
        <v>33072337.040000003</v>
      </c>
      <c r="AGK5" s="271">
        <v>42062881.040000007</v>
      </c>
      <c r="AGL5" s="271">
        <v>35506623.499999993</v>
      </c>
      <c r="AGM5" s="271">
        <v>603314032.99000001</v>
      </c>
      <c r="AGN5" s="271">
        <v>139261276.14000002</v>
      </c>
      <c r="AGO5" s="271">
        <v>65600721.920000002</v>
      </c>
      <c r="AGP5" s="271">
        <v>52855298.300000012</v>
      </c>
      <c r="AGQ5" s="271">
        <v>91539298.460000083</v>
      </c>
      <c r="AGR5" s="271">
        <v>65300567.889999986</v>
      </c>
      <c r="AGS5" s="271">
        <v>36309796.390000001</v>
      </c>
      <c r="AGT5" s="271">
        <v>55724423.440000013</v>
      </c>
      <c r="AGU5" s="271">
        <v>555957566.86000013</v>
      </c>
      <c r="AGV5" s="271">
        <v>533581452.06</v>
      </c>
      <c r="AGW5" s="271">
        <v>35950905.019999996</v>
      </c>
      <c r="AGX5" s="271">
        <v>102243680.83999999</v>
      </c>
      <c r="AGY5" s="271">
        <v>137694016.43000001</v>
      </c>
      <c r="AGZ5" s="271">
        <v>77048186.889999986</v>
      </c>
      <c r="AHA5" s="271">
        <v>85230340.700000018</v>
      </c>
      <c r="AHB5" s="271">
        <v>78657864.790000007</v>
      </c>
      <c r="AHC5" s="271">
        <v>25542825.660000004</v>
      </c>
      <c r="AHD5" s="271">
        <v>51420765.969999976</v>
      </c>
      <c r="AHE5" s="271">
        <v>62068845.180000037</v>
      </c>
      <c r="AHF5" s="271">
        <v>18918337.850000001</v>
      </c>
      <c r="AHG5" s="271">
        <v>33867543.790000007</v>
      </c>
      <c r="AHH5" s="271">
        <v>40587083.739999995</v>
      </c>
      <c r="AHI5" s="271">
        <v>28423091.130000014</v>
      </c>
      <c r="AHJ5" s="271">
        <v>141049648.67000005</v>
      </c>
      <c r="AHK5" s="271">
        <v>36807918.929999992</v>
      </c>
      <c r="AHL5" s="271">
        <v>200118817.34</v>
      </c>
      <c r="AHM5" s="271">
        <v>30199883.960000001</v>
      </c>
      <c r="AHN5" s="271">
        <v>37912898.070000023</v>
      </c>
      <c r="AHO5" s="271">
        <v>34850723.169999987</v>
      </c>
      <c r="AHP5" s="271">
        <v>73344190.840000004</v>
      </c>
      <c r="AHQ5" s="294">
        <v>31958234.190000005</v>
      </c>
      <c r="AHR5" s="331">
        <v>34591897.729999997</v>
      </c>
      <c r="AHS5" s="294">
        <f>SUM(D5:AHR5)</f>
        <v>96751883432.097473</v>
      </c>
      <c r="AHT5" s="269" t="b">
        <f>AHU5=B5</f>
        <v>1</v>
      </c>
      <c r="AHU5" s="269" t="s">
        <v>0</v>
      </c>
    </row>
    <row r="6" spans="2:905" ht="23.4" customHeight="1" x14ac:dyDescent="0.7">
      <c r="B6" s="268" t="s">
        <v>2</v>
      </c>
      <c r="C6" s="269" t="s">
        <v>3</v>
      </c>
      <c r="D6" s="271">
        <v>3503862</v>
      </c>
      <c r="E6" s="271">
        <v>977550</v>
      </c>
      <c r="F6" s="271">
        <v>1012250</v>
      </c>
      <c r="G6" s="271">
        <v>230450</v>
      </c>
      <c r="H6" s="271">
        <v>977650</v>
      </c>
      <c r="I6" s="271">
        <v>318589</v>
      </c>
      <c r="J6" s="271">
        <v>384850</v>
      </c>
      <c r="K6" s="271">
        <v>446650</v>
      </c>
      <c r="L6" s="271">
        <v>519200</v>
      </c>
      <c r="M6" s="271">
        <v>474000</v>
      </c>
      <c r="N6" s="271">
        <v>81450</v>
      </c>
      <c r="O6" s="271">
        <v>198431.42</v>
      </c>
      <c r="P6" s="271">
        <v>229200</v>
      </c>
      <c r="Q6" s="271">
        <v>307850</v>
      </c>
      <c r="R6" s="271">
        <v>266750</v>
      </c>
      <c r="S6" s="271">
        <v>244000</v>
      </c>
      <c r="T6" s="271">
        <v>222400</v>
      </c>
      <c r="U6" s="271">
        <v>90650</v>
      </c>
      <c r="V6" s="271">
        <v>2498122</v>
      </c>
      <c r="W6" s="271">
        <v>435400</v>
      </c>
      <c r="X6" s="271">
        <v>154450</v>
      </c>
      <c r="Y6" s="271">
        <v>98900</v>
      </c>
      <c r="Z6" s="271">
        <v>655850</v>
      </c>
      <c r="AA6" s="271">
        <v>56350</v>
      </c>
      <c r="AB6" s="271">
        <v>132200</v>
      </c>
      <c r="AC6" s="271">
        <v>371750</v>
      </c>
      <c r="AD6" s="271">
        <v>140000</v>
      </c>
      <c r="AE6" s="271">
        <v>80300</v>
      </c>
      <c r="AF6" s="271">
        <v>407250</v>
      </c>
      <c r="AG6" s="271">
        <v>336750</v>
      </c>
      <c r="AH6" s="271">
        <v>405700</v>
      </c>
      <c r="AI6" s="271">
        <v>190520</v>
      </c>
      <c r="AJ6" s="271">
        <v>218600</v>
      </c>
      <c r="AK6" s="271">
        <v>118850</v>
      </c>
      <c r="AL6" s="271">
        <v>137800</v>
      </c>
      <c r="AM6" s="271">
        <v>226900</v>
      </c>
      <c r="AN6" s="271">
        <v>109150</v>
      </c>
      <c r="AO6" s="271">
        <v>86600</v>
      </c>
      <c r="AP6" s="271">
        <v>61500</v>
      </c>
      <c r="AQ6" s="271">
        <v>61890</v>
      </c>
      <c r="AR6" s="271">
        <v>98000</v>
      </c>
      <c r="AS6" s="271">
        <v>90350</v>
      </c>
      <c r="AT6" s="271">
        <v>2076728.71</v>
      </c>
      <c r="AU6" s="271">
        <v>55650</v>
      </c>
      <c r="AV6" s="271">
        <v>27750</v>
      </c>
      <c r="AW6" s="271">
        <v>62750</v>
      </c>
      <c r="AX6" s="271">
        <v>261250</v>
      </c>
      <c r="AY6" s="271">
        <v>248100</v>
      </c>
      <c r="AZ6" s="271">
        <v>188600</v>
      </c>
      <c r="BA6" s="271">
        <v>121250</v>
      </c>
      <c r="BB6" s="271">
        <v>35600</v>
      </c>
      <c r="BC6" s="271">
        <v>98350</v>
      </c>
      <c r="BD6" s="271">
        <v>118850</v>
      </c>
      <c r="BE6" s="271">
        <v>102050</v>
      </c>
      <c r="BF6" s="271">
        <v>213360</v>
      </c>
      <c r="BG6" s="271">
        <v>44150</v>
      </c>
      <c r="BH6" s="271">
        <v>74100</v>
      </c>
      <c r="BI6" s="271">
        <v>725950</v>
      </c>
      <c r="BJ6" s="271">
        <v>643550</v>
      </c>
      <c r="BK6" s="271">
        <v>298950</v>
      </c>
      <c r="BL6" s="271">
        <v>285850</v>
      </c>
      <c r="BM6" s="271">
        <v>101700</v>
      </c>
      <c r="BN6" s="271">
        <v>204050</v>
      </c>
      <c r="BO6" s="271">
        <v>154350</v>
      </c>
      <c r="BP6" s="271">
        <v>156700</v>
      </c>
      <c r="BQ6" s="271">
        <v>0</v>
      </c>
      <c r="BR6" s="271">
        <v>536100</v>
      </c>
      <c r="BS6" s="271">
        <v>212650</v>
      </c>
      <c r="BT6" s="271">
        <v>468550</v>
      </c>
      <c r="BU6" s="271">
        <v>400400</v>
      </c>
      <c r="BV6" s="271">
        <v>232700</v>
      </c>
      <c r="BW6" s="271">
        <v>149950</v>
      </c>
      <c r="BX6" s="271">
        <v>269950</v>
      </c>
      <c r="BY6" s="271">
        <v>247550</v>
      </c>
      <c r="BZ6" s="271">
        <v>49486</v>
      </c>
      <c r="CA6" s="271">
        <v>201950</v>
      </c>
      <c r="CB6" s="271">
        <v>159720</v>
      </c>
      <c r="CC6" s="271">
        <v>656594</v>
      </c>
      <c r="CD6" s="271">
        <v>145300</v>
      </c>
      <c r="CE6" s="271">
        <v>187039</v>
      </c>
      <c r="CF6" s="271">
        <v>173900</v>
      </c>
      <c r="CG6" s="271">
        <v>950000</v>
      </c>
      <c r="CH6" s="271">
        <v>212650</v>
      </c>
      <c r="CI6" s="271">
        <v>144600</v>
      </c>
      <c r="CJ6" s="271">
        <v>215250</v>
      </c>
      <c r="CK6" s="271">
        <v>80750</v>
      </c>
      <c r="CL6" s="271">
        <v>261700</v>
      </c>
      <c r="CM6" s="271">
        <v>56950</v>
      </c>
      <c r="CN6" s="271">
        <v>237650</v>
      </c>
      <c r="CO6" s="271">
        <v>132700</v>
      </c>
      <c r="CP6" s="271">
        <v>116600</v>
      </c>
      <c r="CQ6" s="271">
        <v>163850</v>
      </c>
      <c r="CR6" s="271">
        <v>183350</v>
      </c>
      <c r="CS6" s="271">
        <v>113900</v>
      </c>
      <c r="CT6" s="271">
        <v>324700</v>
      </c>
      <c r="CU6" s="271">
        <v>172000</v>
      </c>
      <c r="CV6" s="271">
        <v>33100</v>
      </c>
      <c r="CW6" s="271">
        <v>300900</v>
      </c>
      <c r="CX6" s="271">
        <v>24050</v>
      </c>
      <c r="CY6" s="271">
        <v>198600</v>
      </c>
      <c r="CZ6" s="271">
        <v>109800</v>
      </c>
      <c r="DA6" s="271">
        <v>47400</v>
      </c>
      <c r="DB6" s="271">
        <v>606200</v>
      </c>
      <c r="DC6" s="271">
        <v>1171098.94</v>
      </c>
      <c r="DD6" s="271">
        <v>214650</v>
      </c>
      <c r="DE6" s="271">
        <v>237000</v>
      </c>
      <c r="DF6" s="271">
        <v>427500</v>
      </c>
      <c r="DG6" s="271">
        <v>108350</v>
      </c>
      <c r="DH6" s="271">
        <v>262350</v>
      </c>
      <c r="DI6" s="271">
        <v>265489</v>
      </c>
      <c r="DJ6" s="271">
        <v>131950</v>
      </c>
      <c r="DK6" s="271">
        <v>729100</v>
      </c>
      <c r="DL6" s="271">
        <v>206450</v>
      </c>
      <c r="DM6" s="271">
        <v>161000</v>
      </c>
      <c r="DN6" s="271">
        <v>79950</v>
      </c>
      <c r="DO6" s="271">
        <v>358300</v>
      </c>
      <c r="DP6" s="271">
        <v>128900</v>
      </c>
      <c r="DQ6" s="271">
        <v>0</v>
      </c>
      <c r="DR6" s="271">
        <v>160500</v>
      </c>
      <c r="DS6" s="271">
        <v>295900</v>
      </c>
      <c r="DT6" s="271">
        <v>253000</v>
      </c>
      <c r="DU6" s="271">
        <v>446250</v>
      </c>
      <c r="DV6" s="271">
        <v>936700</v>
      </c>
      <c r="DW6" s="271">
        <v>791950</v>
      </c>
      <c r="DX6" s="271">
        <v>245350</v>
      </c>
      <c r="DY6" s="271">
        <v>494600</v>
      </c>
      <c r="DZ6" s="271">
        <v>154050</v>
      </c>
      <c r="EA6" s="271">
        <v>131450</v>
      </c>
      <c r="EB6" s="271">
        <v>156450</v>
      </c>
      <c r="EC6" s="271">
        <v>303300</v>
      </c>
      <c r="ED6" s="271">
        <v>415600</v>
      </c>
      <c r="EE6" s="271">
        <v>1067269.25</v>
      </c>
      <c r="EF6" s="271">
        <v>162350</v>
      </c>
      <c r="EG6" s="271">
        <v>57100</v>
      </c>
      <c r="EH6" s="271">
        <v>201800</v>
      </c>
      <c r="EI6" s="271">
        <v>84650</v>
      </c>
      <c r="EJ6" s="271">
        <v>67250</v>
      </c>
      <c r="EK6" s="271">
        <v>143850</v>
      </c>
      <c r="EL6" s="271">
        <v>43450</v>
      </c>
      <c r="EM6" s="271">
        <v>70250</v>
      </c>
      <c r="EN6" s="271">
        <v>1238800</v>
      </c>
      <c r="EO6" s="271">
        <v>679250</v>
      </c>
      <c r="EP6" s="271">
        <v>359500</v>
      </c>
      <c r="EQ6" s="271">
        <v>466900</v>
      </c>
      <c r="ER6" s="271">
        <v>272450</v>
      </c>
      <c r="ES6" s="271">
        <v>40450</v>
      </c>
      <c r="ET6" s="271">
        <v>722100</v>
      </c>
      <c r="EU6" s="271">
        <v>647000</v>
      </c>
      <c r="EV6" s="271">
        <v>516350</v>
      </c>
      <c r="EW6" s="271">
        <v>776945.73</v>
      </c>
      <c r="EX6" s="271">
        <v>6850</v>
      </c>
      <c r="EY6" s="271">
        <v>98100</v>
      </c>
      <c r="EZ6" s="271">
        <v>12500</v>
      </c>
      <c r="FA6" s="271">
        <v>70150</v>
      </c>
      <c r="FB6" s="271">
        <v>142000</v>
      </c>
      <c r="FC6" s="271">
        <v>84250</v>
      </c>
      <c r="FD6" s="271">
        <v>48600</v>
      </c>
      <c r="FE6" s="271">
        <v>40350</v>
      </c>
      <c r="FF6" s="271">
        <v>12200</v>
      </c>
      <c r="FG6" s="271">
        <v>26350</v>
      </c>
      <c r="FH6" s="271">
        <v>31000</v>
      </c>
      <c r="FI6" s="271">
        <v>723700</v>
      </c>
      <c r="FJ6" s="271">
        <v>260500</v>
      </c>
      <c r="FK6" s="271">
        <v>431400</v>
      </c>
      <c r="FL6" s="271">
        <v>375400</v>
      </c>
      <c r="FM6" s="271">
        <v>199550</v>
      </c>
      <c r="FN6" s="271">
        <v>550100</v>
      </c>
      <c r="FO6" s="271">
        <v>255500</v>
      </c>
      <c r="FP6" s="271">
        <v>81100</v>
      </c>
      <c r="FQ6" s="271">
        <v>2086327.18</v>
      </c>
      <c r="FR6" s="271">
        <v>253150</v>
      </c>
      <c r="FS6" s="271">
        <v>601000</v>
      </c>
      <c r="FT6" s="271">
        <v>414700</v>
      </c>
      <c r="FU6" s="271">
        <v>436750</v>
      </c>
      <c r="FV6" s="271">
        <v>572300</v>
      </c>
      <c r="FW6" s="271">
        <v>463800</v>
      </c>
      <c r="FX6" s="271">
        <v>222650</v>
      </c>
      <c r="FY6" s="271">
        <v>272000</v>
      </c>
      <c r="FZ6" s="271">
        <v>181950</v>
      </c>
      <c r="GA6" s="271">
        <v>473050</v>
      </c>
      <c r="GB6" s="271">
        <v>188750</v>
      </c>
      <c r="GC6" s="271">
        <v>151000</v>
      </c>
      <c r="GD6" s="271">
        <v>149250</v>
      </c>
      <c r="GE6" s="271">
        <v>1437670</v>
      </c>
      <c r="GF6" s="271">
        <v>160150</v>
      </c>
      <c r="GG6" s="271">
        <v>227400</v>
      </c>
      <c r="GH6" s="271">
        <v>276000</v>
      </c>
      <c r="GI6" s="271">
        <v>165400</v>
      </c>
      <c r="GJ6" s="271">
        <v>151050</v>
      </c>
      <c r="GK6" s="271">
        <v>157836</v>
      </c>
      <c r="GL6" s="271">
        <v>193900</v>
      </c>
      <c r="GM6" s="271">
        <v>113350</v>
      </c>
      <c r="GN6" s="271">
        <v>230300</v>
      </c>
      <c r="GO6" s="271">
        <v>221250</v>
      </c>
      <c r="GP6" s="271">
        <v>210600</v>
      </c>
      <c r="GQ6" s="271">
        <v>1050703.5</v>
      </c>
      <c r="GR6" s="271">
        <v>332150</v>
      </c>
      <c r="GS6" s="271">
        <v>415300</v>
      </c>
      <c r="GT6" s="271">
        <v>251650</v>
      </c>
      <c r="GU6" s="271">
        <v>149800</v>
      </c>
      <c r="GV6" s="271">
        <v>164850</v>
      </c>
      <c r="GW6" s="271">
        <v>213450</v>
      </c>
      <c r="GX6" s="271">
        <v>145200</v>
      </c>
      <c r="GY6" s="271">
        <v>925619.5</v>
      </c>
      <c r="GZ6" s="271">
        <v>56828</v>
      </c>
      <c r="HA6" s="271">
        <v>239450</v>
      </c>
      <c r="HB6" s="271">
        <v>90800</v>
      </c>
      <c r="HC6" s="271">
        <v>2117846.9</v>
      </c>
      <c r="HD6" s="271">
        <v>328600</v>
      </c>
      <c r="HE6" s="271">
        <v>188800</v>
      </c>
      <c r="HF6" s="271">
        <v>386700</v>
      </c>
      <c r="HG6" s="271">
        <v>152100</v>
      </c>
      <c r="HH6" s="271">
        <v>83500</v>
      </c>
      <c r="HI6" s="271">
        <v>123150</v>
      </c>
      <c r="HJ6" s="271">
        <v>771450</v>
      </c>
      <c r="HK6" s="271">
        <v>117300</v>
      </c>
      <c r="HL6" s="271">
        <v>602950</v>
      </c>
      <c r="HM6" s="271">
        <v>172750</v>
      </c>
      <c r="HN6" s="271">
        <v>115850</v>
      </c>
      <c r="HO6" s="271">
        <v>274200</v>
      </c>
      <c r="HP6" s="271">
        <v>300350</v>
      </c>
      <c r="HQ6" s="271">
        <v>274900</v>
      </c>
      <c r="HR6" s="271">
        <v>758450</v>
      </c>
      <c r="HS6" s="271">
        <v>364000</v>
      </c>
      <c r="HT6" s="271">
        <v>350700</v>
      </c>
      <c r="HU6" s="271">
        <v>187200</v>
      </c>
      <c r="HV6" s="271">
        <v>73350</v>
      </c>
      <c r="HW6" s="271">
        <v>128050</v>
      </c>
      <c r="HX6" s="271">
        <v>226600</v>
      </c>
      <c r="HY6" s="271">
        <v>137600</v>
      </c>
      <c r="HZ6" s="271">
        <v>135650</v>
      </c>
      <c r="IA6" s="271">
        <v>117000</v>
      </c>
      <c r="IB6" s="271">
        <v>90950</v>
      </c>
      <c r="IC6" s="271">
        <v>449150</v>
      </c>
      <c r="ID6" s="271">
        <v>29150</v>
      </c>
      <c r="IE6" s="271">
        <v>347550</v>
      </c>
      <c r="IF6" s="271">
        <v>61650</v>
      </c>
      <c r="IG6" s="271">
        <v>29500</v>
      </c>
      <c r="IH6" s="271">
        <v>876971.5</v>
      </c>
      <c r="II6" s="271">
        <v>80150</v>
      </c>
      <c r="IJ6" s="271">
        <v>67250</v>
      </c>
      <c r="IK6" s="271">
        <v>25950</v>
      </c>
      <c r="IL6" s="271">
        <v>173650</v>
      </c>
      <c r="IM6" s="271">
        <v>80350</v>
      </c>
      <c r="IN6" s="271">
        <v>58950</v>
      </c>
      <c r="IO6" s="271">
        <v>0</v>
      </c>
      <c r="IP6" s="271">
        <v>21530</v>
      </c>
      <c r="IQ6" s="271">
        <v>38200</v>
      </c>
      <c r="IR6" s="271">
        <v>30050</v>
      </c>
      <c r="IS6" s="271">
        <v>2084589</v>
      </c>
      <c r="IT6" s="271">
        <v>701500</v>
      </c>
      <c r="IU6" s="271">
        <v>361950</v>
      </c>
      <c r="IV6" s="271">
        <v>267650</v>
      </c>
      <c r="IW6" s="271">
        <v>0</v>
      </c>
      <c r="IX6" s="271">
        <v>59250</v>
      </c>
      <c r="IY6" s="271">
        <v>152800</v>
      </c>
      <c r="IZ6" s="271">
        <v>98400</v>
      </c>
      <c r="JA6" s="271">
        <v>165300</v>
      </c>
      <c r="JB6" s="271">
        <v>95950</v>
      </c>
      <c r="JC6" s="271">
        <v>221128</v>
      </c>
      <c r="JD6" s="271">
        <v>129950</v>
      </c>
      <c r="JE6" s="271">
        <v>553800</v>
      </c>
      <c r="JF6" s="271">
        <v>349500</v>
      </c>
      <c r="JG6" s="271">
        <v>175750</v>
      </c>
      <c r="JH6" s="271">
        <v>86350</v>
      </c>
      <c r="JI6" s="271">
        <v>24100</v>
      </c>
      <c r="JJ6" s="271">
        <v>85200</v>
      </c>
      <c r="JK6" s="271">
        <v>1062850.44</v>
      </c>
      <c r="JL6" s="271">
        <v>168800</v>
      </c>
      <c r="JM6" s="271">
        <v>363472</v>
      </c>
      <c r="JN6" s="271">
        <v>489150</v>
      </c>
      <c r="JO6" s="271">
        <v>236500</v>
      </c>
      <c r="JP6" s="271">
        <v>622809.64</v>
      </c>
      <c r="JQ6" s="271">
        <v>171800</v>
      </c>
      <c r="JR6" s="271">
        <v>847250</v>
      </c>
      <c r="JS6" s="271">
        <v>805450</v>
      </c>
      <c r="JT6" s="271">
        <v>115100</v>
      </c>
      <c r="JU6" s="271">
        <v>94400</v>
      </c>
      <c r="JV6" s="271">
        <v>30600</v>
      </c>
      <c r="JW6" s="271">
        <v>170250</v>
      </c>
      <c r="JX6" s="271">
        <v>325000</v>
      </c>
      <c r="JY6" s="271">
        <v>97908</v>
      </c>
      <c r="JZ6" s="271">
        <v>45788</v>
      </c>
      <c r="KA6" s="271">
        <v>174850</v>
      </c>
      <c r="KB6" s="271">
        <v>106150</v>
      </c>
      <c r="KC6" s="271">
        <v>50600</v>
      </c>
      <c r="KD6" s="271">
        <v>44239</v>
      </c>
      <c r="KE6" s="271">
        <v>81400</v>
      </c>
      <c r="KF6" s="271">
        <v>161550</v>
      </c>
      <c r="KG6" s="271">
        <v>0</v>
      </c>
      <c r="KH6" s="271">
        <v>2263053.2000000002</v>
      </c>
      <c r="KI6" s="271">
        <v>268700</v>
      </c>
      <c r="KJ6" s="271">
        <v>286400</v>
      </c>
      <c r="KK6" s="271">
        <v>241800</v>
      </c>
      <c r="KL6" s="271">
        <v>256611</v>
      </c>
      <c r="KM6" s="271">
        <v>282000</v>
      </c>
      <c r="KN6" s="271">
        <v>962050</v>
      </c>
      <c r="KO6" s="271">
        <v>224400</v>
      </c>
      <c r="KP6" s="271">
        <v>172900</v>
      </c>
      <c r="KQ6" s="271">
        <v>1217000</v>
      </c>
      <c r="KR6" s="271">
        <v>155500</v>
      </c>
      <c r="KS6" s="271">
        <v>180750</v>
      </c>
      <c r="KT6" s="271">
        <v>424000</v>
      </c>
      <c r="KU6" s="271">
        <v>42050</v>
      </c>
      <c r="KV6" s="271">
        <v>869489</v>
      </c>
      <c r="KW6" s="271">
        <v>688368.72</v>
      </c>
      <c r="KX6" s="271">
        <v>166350</v>
      </c>
      <c r="KY6" s="271">
        <v>1098500</v>
      </c>
      <c r="KZ6" s="271">
        <v>296685.46999999997</v>
      </c>
      <c r="LA6" s="271">
        <v>438500</v>
      </c>
      <c r="LB6" s="271">
        <v>466350</v>
      </c>
      <c r="LC6" s="271">
        <v>763013.66</v>
      </c>
      <c r="LD6" s="271">
        <v>357450</v>
      </c>
      <c r="LE6" s="271">
        <v>493400</v>
      </c>
      <c r="LF6" s="271">
        <v>182800</v>
      </c>
      <c r="LG6" s="271">
        <v>2175669.06</v>
      </c>
      <c r="LH6" s="271">
        <v>379150</v>
      </c>
      <c r="LI6" s="271">
        <v>1040650</v>
      </c>
      <c r="LJ6" s="271">
        <v>892300</v>
      </c>
      <c r="LK6" s="271">
        <v>513800</v>
      </c>
      <c r="LL6" s="271">
        <v>118150</v>
      </c>
      <c r="LM6" s="271">
        <v>718750</v>
      </c>
      <c r="LN6" s="271">
        <v>134550</v>
      </c>
      <c r="LO6" s="271">
        <v>157150</v>
      </c>
      <c r="LP6" s="271">
        <v>483400</v>
      </c>
      <c r="LQ6" s="271">
        <v>105700</v>
      </c>
      <c r="LR6" s="271">
        <v>1175450</v>
      </c>
      <c r="LS6" s="271">
        <v>178900</v>
      </c>
      <c r="LT6" s="271">
        <v>127239</v>
      </c>
      <c r="LU6" s="271">
        <v>1478750</v>
      </c>
      <c r="LV6" s="271">
        <v>495950</v>
      </c>
      <c r="LW6" s="271">
        <v>1072300</v>
      </c>
      <c r="LX6" s="271">
        <v>350800</v>
      </c>
      <c r="LY6" s="271">
        <v>227250</v>
      </c>
      <c r="LZ6" s="271">
        <v>173550</v>
      </c>
      <c r="MA6" s="271">
        <v>247400</v>
      </c>
      <c r="MB6" s="271">
        <v>109100</v>
      </c>
      <c r="MC6" s="271">
        <v>238250</v>
      </c>
      <c r="MD6" s="271">
        <v>170600</v>
      </c>
      <c r="ME6" s="271">
        <v>286500</v>
      </c>
      <c r="MF6" s="271">
        <v>83400</v>
      </c>
      <c r="MG6" s="271">
        <v>1905904</v>
      </c>
      <c r="MH6" s="271">
        <v>253750</v>
      </c>
      <c r="MI6" s="271">
        <v>218700</v>
      </c>
      <c r="MJ6" s="271">
        <v>115400</v>
      </c>
      <c r="MK6" s="271">
        <v>221800</v>
      </c>
      <c r="ML6" s="271">
        <v>339707.93</v>
      </c>
      <c r="MM6" s="271">
        <v>280700</v>
      </c>
      <c r="MN6" s="271">
        <v>187000</v>
      </c>
      <c r="MO6" s="271">
        <v>514300</v>
      </c>
      <c r="MP6" s="271">
        <v>186400</v>
      </c>
      <c r="MQ6" s="271">
        <v>196250</v>
      </c>
      <c r="MR6" s="271">
        <v>156600</v>
      </c>
      <c r="MS6" s="271">
        <v>1644850</v>
      </c>
      <c r="MT6" s="271">
        <v>270100</v>
      </c>
      <c r="MU6" s="271">
        <v>404600</v>
      </c>
      <c r="MV6" s="271">
        <v>469800</v>
      </c>
      <c r="MW6" s="271">
        <v>671500</v>
      </c>
      <c r="MX6" s="271">
        <v>764600</v>
      </c>
      <c r="MY6" s="271">
        <v>533150</v>
      </c>
      <c r="MZ6" s="271">
        <v>398250</v>
      </c>
      <c r="NA6" s="271">
        <v>368000</v>
      </c>
      <c r="NB6" s="271">
        <v>105700</v>
      </c>
      <c r="NC6" s="271">
        <v>128050</v>
      </c>
      <c r="ND6" s="271">
        <v>1020952</v>
      </c>
      <c r="NE6" s="271">
        <v>463450</v>
      </c>
      <c r="NF6" s="271">
        <v>60850</v>
      </c>
      <c r="NG6" s="271">
        <v>827100</v>
      </c>
      <c r="NH6" s="271">
        <v>181689</v>
      </c>
      <c r="NI6" s="271">
        <v>312050</v>
      </c>
      <c r="NJ6" s="271">
        <v>343050</v>
      </c>
      <c r="NK6" s="271">
        <v>429000</v>
      </c>
      <c r="NL6" s="271">
        <v>55100</v>
      </c>
      <c r="NM6" s="271">
        <v>176200</v>
      </c>
      <c r="NN6" s="271">
        <v>107150</v>
      </c>
      <c r="NO6" s="271">
        <v>74600</v>
      </c>
      <c r="NP6" s="271">
        <v>1009307.76</v>
      </c>
      <c r="NQ6" s="271">
        <v>139750</v>
      </c>
      <c r="NR6" s="271">
        <v>255350</v>
      </c>
      <c r="NS6" s="271">
        <v>218550</v>
      </c>
      <c r="NT6" s="271">
        <v>212750</v>
      </c>
      <c r="NU6" s="271">
        <v>464650</v>
      </c>
      <c r="NV6" s="271">
        <v>459450</v>
      </c>
      <c r="NW6" s="271">
        <v>1908469.53</v>
      </c>
      <c r="NX6" s="271">
        <v>1332650</v>
      </c>
      <c r="NY6" s="271">
        <v>392950</v>
      </c>
      <c r="NZ6" s="271">
        <v>151300</v>
      </c>
      <c r="OA6" s="271">
        <v>294600</v>
      </c>
      <c r="OB6" s="271">
        <v>631950</v>
      </c>
      <c r="OC6" s="271">
        <v>136000</v>
      </c>
      <c r="OD6" s="271">
        <v>915350</v>
      </c>
      <c r="OE6" s="271">
        <v>326350</v>
      </c>
      <c r="OF6" s="271">
        <v>178450</v>
      </c>
      <c r="OG6" s="271">
        <v>402900</v>
      </c>
      <c r="OH6" s="271">
        <v>62150</v>
      </c>
      <c r="OI6" s="271">
        <v>0</v>
      </c>
      <c r="OJ6" s="271">
        <v>308550</v>
      </c>
      <c r="OK6" s="271">
        <v>1710.17</v>
      </c>
      <c r="OL6" s="271">
        <v>0</v>
      </c>
      <c r="OM6" s="271">
        <v>1966800</v>
      </c>
      <c r="ON6" s="271">
        <v>670517</v>
      </c>
      <c r="OO6" s="271">
        <v>515850</v>
      </c>
      <c r="OP6" s="271">
        <v>989228</v>
      </c>
      <c r="OQ6" s="271">
        <v>813178</v>
      </c>
      <c r="OR6" s="271">
        <v>403889</v>
      </c>
      <c r="OS6" s="271">
        <v>749089</v>
      </c>
      <c r="OT6" s="271">
        <v>174550</v>
      </c>
      <c r="OU6" s="271">
        <v>624000</v>
      </c>
      <c r="OV6" s="271">
        <v>572300</v>
      </c>
      <c r="OW6" s="271">
        <v>626400</v>
      </c>
      <c r="OX6" s="271">
        <v>553600</v>
      </c>
      <c r="OY6" s="271">
        <v>371250</v>
      </c>
      <c r="OZ6" s="271">
        <v>167350</v>
      </c>
      <c r="PA6" s="271">
        <v>108200</v>
      </c>
      <c r="PB6" s="271">
        <v>1217034.79</v>
      </c>
      <c r="PC6" s="271">
        <v>93800</v>
      </c>
      <c r="PD6" s="271">
        <v>395300</v>
      </c>
      <c r="PE6" s="271">
        <v>137900</v>
      </c>
      <c r="PF6" s="271">
        <v>314850</v>
      </c>
      <c r="PG6" s="271">
        <v>246550</v>
      </c>
      <c r="PH6" s="271">
        <v>0</v>
      </c>
      <c r="PI6" s="271">
        <v>229350</v>
      </c>
      <c r="PJ6" s="271">
        <v>87400</v>
      </c>
      <c r="PK6" s="271">
        <v>196050</v>
      </c>
      <c r="PL6" s="271">
        <v>153900</v>
      </c>
      <c r="PM6" s="271">
        <v>238850</v>
      </c>
      <c r="PN6" s="271">
        <v>48850</v>
      </c>
      <c r="PO6" s="271">
        <v>295550</v>
      </c>
      <c r="PP6" s="271">
        <v>146200</v>
      </c>
      <c r="PQ6" s="271">
        <v>30350</v>
      </c>
      <c r="PR6" s="271">
        <v>50250</v>
      </c>
      <c r="PS6" s="271">
        <v>31500</v>
      </c>
      <c r="PT6" s="271">
        <v>2557350</v>
      </c>
      <c r="PU6" s="271">
        <v>281350</v>
      </c>
      <c r="PV6" s="271">
        <v>263050</v>
      </c>
      <c r="PW6" s="271">
        <v>419700</v>
      </c>
      <c r="PX6" s="271">
        <v>1027000</v>
      </c>
      <c r="PY6" s="271">
        <v>108950</v>
      </c>
      <c r="PZ6" s="271">
        <v>230694</v>
      </c>
      <c r="QA6" s="271">
        <v>269200</v>
      </c>
      <c r="QB6" s="271">
        <v>650150</v>
      </c>
      <c r="QC6" s="271">
        <v>94800</v>
      </c>
      <c r="QD6" s="271">
        <v>673600</v>
      </c>
      <c r="QE6" s="271">
        <v>7500</v>
      </c>
      <c r="QF6" s="271">
        <v>92100</v>
      </c>
      <c r="QG6" s="271">
        <v>285350</v>
      </c>
      <c r="QH6" s="271">
        <v>194745</v>
      </c>
      <c r="QI6" s="271">
        <v>175500</v>
      </c>
      <c r="QJ6" s="271">
        <v>93050</v>
      </c>
      <c r="QK6" s="271">
        <v>84600</v>
      </c>
      <c r="QL6" s="271">
        <v>117300</v>
      </c>
      <c r="QM6" s="271">
        <v>286800</v>
      </c>
      <c r="QN6" s="271">
        <v>351550</v>
      </c>
      <c r="QO6" s="271">
        <v>162500</v>
      </c>
      <c r="QP6" s="271">
        <v>0</v>
      </c>
      <c r="QQ6" s="271">
        <v>24300</v>
      </c>
      <c r="QR6" s="271">
        <v>6250</v>
      </c>
      <c r="QS6" s="271">
        <v>160800</v>
      </c>
      <c r="QT6" s="271">
        <v>1711889.5</v>
      </c>
      <c r="QU6" s="271">
        <v>414150</v>
      </c>
      <c r="QV6" s="271">
        <v>608900</v>
      </c>
      <c r="QW6" s="271">
        <v>312000</v>
      </c>
      <c r="QX6" s="271">
        <v>619100</v>
      </c>
      <c r="QY6" s="271">
        <v>982000</v>
      </c>
      <c r="QZ6" s="271">
        <v>2016450</v>
      </c>
      <c r="RA6" s="271">
        <v>732350</v>
      </c>
      <c r="RB6" s="271">
        <v>1357000</v>
      </c>
      <c r="RC6" s="271">
        <v>352750</v>
      </c>
      <c r="RD6" s="271">
        <v>400950</v>
      </c>
      <c r="RE6" s="271">
        <v>216000</v>
      </c>
      <c r="RF6" s="271">
        <v>252150</v>
      </c>
      <c r="RG6" s="271">
        <v>3579700</v>
      </c>
      <c r="RH6" s="271">
        <v>789800</v>
      </c>
      <c r="RI6" s="271">
        <v>423350</v>
      </c>
      <c r="RJ6" s="271">
        <v>155450</v>
      </c>
      <c r="RK6" s="271">
        <v>519100</v>
      </c>
      <c r="RL6" s="271">
        <v>150050</v>
      </c>
      <c r="RM6" s="271">
        <v>510700</v>
      </c>
      <c r="RN6" s="271">
        <v>3700</v>
      </c>
      <c r="RO6" s="271">
        <v>336200</v>
      </c>
      <c r="RP6" s="271">
        <v>544400</v>
      </c>
      <c r="RQ6" s="271">
        <v>377500</v>
      </c>
      <c r="RR6" s="271">
        <v>336950</v>
      </c>
      <c r="RS6" s="271">
        <v>150400</v>
      </c>
      <c r="RT6" s="271">
        <v>138300</v>
      </c>
      <c r="RU6" s="271">
        <v>34050</v>
      </c>
      <c r="RV6" s="271">
        <v>102400</v>
      </c>
      <c r="RW6" s="271">
        <v>424450</v>
      </c>
      <c r="RX6" s="271">
        <v>127450</v>
      </c>
      <c r="RY6" s="271">
        <v>591800</v>
      </c>
      <c r="RZ6" s="271">
        <v>209400</v>
      </c>
      <c r="SA6" s="271">
        <v>1665000</v>
      </c>
      <c r="SB6" s="271">
        <v>87300</v>
      </c>
      <c r="SC6" s="271">
        <v>201850</v>
      </c>
      <c r="SD6" s="271">
        <v>198650</v>
      </c>
      <c r="SE6" s="271">
        <v>62350</v>
      </c>
      <c r="SF6" s="271">
        <v>263000</v>
      </c>
      <c r="SG6" s="271">
        <v>145000</v>
      </c>
      <c r="SH6" s="271">
        <v>205950</v>
      </c>
      <c r="SI6" s="271">
        <v>225000</v>
      </c>
      <c r="SJ6" s="271">
        <v>222900</v>
      </c>
      <c r="SK6" s="271">
        <v>471400</v>
      </c>
      <c r="SL6" s="271">
        <v>48000</v>
      </c>
      <c r="SM6" s="271">
        <v>413700</v>
      </c>
      <c r="SN6" s="271">
        <v>219650</v>
      </c>
      <c r="SO6" s="271">
        <v>186650</v>
      </c>
      <c r="SP6" s="271">
        <v>37100</v>
      </c>
      <c r="SQ6" s="271">
        <v>106250</v>
      </c>
      <c r="SR6" s="271">
        <v>112050</v>
      </c>
      <c r="SS6" s="271">
        <v>165550</v>
      </c>
      <c r="ST6" s="271">
        <v>114500</v>
      </c>
      <c r="SU6" s="271">
        <v>931900</v>
      </c>
      <c r="SV6" s="271">
        <v>235300</v>
      </c>
      <c r="SW6" s="271">
        <v>334600</v>
      </c>
      <c r="SX6" s="271">
        <v>268800</v>
      </c>
      <c r="SY6" s="271">
        <v>116200</v>
      </c>
      <c r="SZ6" s="271">
        <v>113250</v>
      </c>
      <c r="TA6" s="271">
        <v>444700</v>
      </c>
      <c r="TB6" s="271">
        <v>680600</v>
      </c>
      <c r="TC6" s="271">
        <v>232350</v>
      </c>
      <c r="TD6" s="271">
        <v>141100</v>
      </c>
      <c r="TE6" s="271">
        <v>338700</v>
      </c>
      <c r="TF6" s="271">
        <v>213150</v>
      </c>
      <c r="TG6" s="271">
        <v>188220</v>
      </c>
      <c r="TH6" s="271">
        <v>352550</v>
      </c>
      <c r="TI6" s="271">
        <v>1071950</v>
      </c>
      <c r="TJ6" s="271">
        <v>100000</v>
      </c>
      <c r="TK6" s="271">
        <v>95950</v>
      </c>
      <c r="TL6" s="271">
        <v>199550</v>
      </c>
      <c r="TM6" s="271">
        <v>365600</v>
      </c>
      <c r="TN6" s="271">
        <v>416150</v>
      </c>
      <c r="TO6" s="271">
        <v>122050</v>
      </c>
      <c r="TP6" s="271">
        <v>548600</v>
      </c>
      <c r="TQ6" s="271">
        <v>257400</v>
      </c>
      <c r="TR6" s="271">
        <v>444650</v>
      </c>
      <c r="TS6" s="271">
        <v>222000</v>
      </c>
      <c r="TT6" s="271">
        <v>457550</v>
      </c>
      <c r="TU6" s="271">
        <v>63050</v>
      </c>
      <c r="TV6" s="271">
        <v>79300</v>
      </c>
      <c r="TW6" s="271">
        <v>74750</v>
      </c>
      <c r="TX6" s="271">
        <v>45100</v>
      </c>
      <c r="TY6" s="271">
        <v>553800</v>
      </c>
      <c r="TZ6" s="271">
        <v>147000</v>
      </c>
      <c r="UA6" s="271">
        <v>1150988</v>
      </c>
      <c r="UB6" s="271">
        <v>779250</v>
      </c>
      <c r="UC6" s="271">
        <v>69350</v>
      </c>
      <c r="UD6" s="271">
        <v>16350</v>
      </c>
      <c r="UE6" s="271">
        <v>166900</v>
      </c>
      <c r="UF6" s="271">
        <v>111350</v>
      </c>
      <c r="UG6" s="271">
        <v>16850</v>
      </c>
      <c r="UH6" s="271">
        <v>294250</v>
      </c>
      <c r="UI6" s="271">
        <v>347550</v>
      </c>
      <c r="UJ6" s="271">
        <v>966100</v>
      </c>
      <c r="UK6" s="271">
        <v>247950</v>
      </c>
      <c r="UL6" s="271">
        <v>164200</v>
      </c>
      <c r="UM6" s="271">
        <v>199850</v>
      </c>
      <c r="UN6" s="271">
        <v>161450</v>
      </c>
      <c r="UO6" s="271">
        <v>118250</v>
      </c>
      <c r="UP6" s="271">
        <v>1614550</v>
      </c>
      <c r="UQ6" s="271">
        <v>107100</v>
      </c>
      <c r="UR6" s="271">
        <v>90800</v>
      </c>
      <c r="US6" s="271">
        <v>578950</v>
      </c>
      <c r="UT6" s="271">
        <v>0</v>
      </c>
      <c r="UU6" s="271">
        <v>177750</v>
      </c>
      <c r="UV6" s="271">
        <v>242050</v>
      </c>
      <c r="UW6" s="271">
        <v>198500</v>
      </c>
      <c r="UX6" s="271">
        <v>117200</v>
      </c>
      <c r="UY6" s="271">
        <v>161500</v>
      </c>
      <c r="UZ6" s="271">
        <v>50000</v>
      </c>
      <c r="VA6" s="271">
        <v>165300</v>
      </c>
      <c r="VB6" s="271">
        <v>126900</v>
      </c>
      <c r="VC6" s="271">
        <v>188700</v>
      </c>
      <c r="VD6" s="271">
        <v>69250</v>
      </c>
      <c r="VE6" s="271">
        <v>24300</v>
      </c>
      <c r="VF6" s="271">
        <v>98850</v>
      </c>
      <c r="VG6" s="271">
        <v>38700</v>
      </c>
      <c r="VH6" s="271">
        <v>254550</v>
      </c>
      <c r="VI6" s="271">
        <v>63800</v>
      </c>
      <c r="VJ6" s="271">
        <v>30650</v>
      </c>
      <c r="VK6" s="271">
        <v>65400</v>
      </c>
      <c r="VL6" s="271">
        <v>2441060</v>
      </c>
      <c r="VM6" s="271">
        <v>179900</v>
      </c>
      <c r="VN6" s="271">
        <v>360100</v>
      </c>
      <c r="VO6" s="271">
        <v>238050</v>
      </c>
      <c r="VP6" s="271">
        <v>328765</v>
      </c>
      <c r="VQ6" s="271">
        <v>520300</v>
      </c>
      <c r="VR6" s="271">
        <v>176800</v>
      </c>
      <c r="VS6" s="271">
        <v>48450</v>
      </c>
      <c r="VT6" s="271">
        <v>358330</v>
      </c>
      <c r="VU6" s="271">
        <v>336990</v>
      </c>
      <c r="VV6" s="271">
        <v>236160</v>
      </c>
      <c r="VW6" s="271">
        <v>132850</v>
      </c>
      <c r="VX6" s="271">
        <v>158850</v>
      </c>
      <c r="VY6" s="271">
        <v>159850</v>
      </c>
      <c r="VZ6" s="271">
        <v>183750</v>
      </c>
      <c r="WA6" s="271">
        <v>3151546.8</v>
      </c>
      <c r="WB6" s="271">
        <v>396750</v>
      </c>
      <c r="WC6" s="271">
        <v>678800</v>
      </c>
      <c r="WD6" s="271">
        <v>264330</v>
      </c>
      <c r="WE6" s="271">
        <v>430800.5</v>
      </c>
      <c r="WF6" s="271">
        <v>546900</v>
      </c>
      <c r="WG6" s="271">
        <v>418850</v>
      </c>
      <c r="WH6" s="271">
        <v>235800</v>
      </c>
      <c r="WI6" s="271">
        <v>244200</v>
      </c>
      <c r="WJ6" s="271">
        <v>273850</v>
      </c>
      <c r="WK6" s="271">
        <v>348550</v>
      </c>
      <c r="WL6" s="271">
        <v>356050</v>
      </c>
      <c r="WM6" s="271">
        <v>72400</v>
      </c>
      <c r="WN6" s="271">
        <v>383450</v>
      </c>
      <c r="WO6" s="271">
        <v>190000</v>
      </c>
      <c r="WP6" s="271">
        <v>454950</v>
      </c>
      <c r="WQ6" s="271">
        <v>148150</v>
      </c>
      <c r="WR6" s="271">
        <v>422150</v>
      </c>
      <c r="WS6" s="271">
        <v>579350</v>
      </c>
      <c r="WT6" s="271">
        <v>707150</v>
      </c>
      <c r="WU6" s="271">
        <v>694750</v>
      </c>
      <c r="WV6" s="271">
        <v>120850</v>
      </c>
      <c r="WW6" s="271">
        <v>267200</v>
      </c>
      <c r="WX6" s="271">
        <v>374200</v>
      </c>
      <c r="WY6" s="271">
        <v>208570</v>
      </c>
      <c r="WZ6" s="271">
        <v>0</v>
      </c>
      <c r="XA6" s="271">
        <v>188250</v>
      </c>
      <c r="XB6" s="271">
        <v>134950</v>
      </c>
      <c r="XC6" s="271">
        <v>469500</v>
      </c>
      <c r="XD6" s="271">
        <v>266450</v>
      </c>
      <c r="XE6" s="271">
        <v>193739</v>
      </c>
      <c r="XF6" s="271">
        <v>159350</v>
      </c>
      <c r="XG6" s="271">
        <v>132900</v>
      </c>
      <c r="XH6" s="271">
        <v>1800400</v>
      </c>
      <c r="XI6" s="271">
        <v>176950</v>
      </c>
      <c r="XJ6" s="271">
        <v>151750</v>
      </c>
      <c r="XK6" s="271">
        <v>795950</v>
      </c>
      <c r="XL6" s="271">
        <v>150100</v>
      </c>
      <c r="XM6" s="271">
        <v>142200</v>
      </c>
      <c r="XN6" s="271">
        <v>180050</v>
      </c>
      <c r="XO6" s="271">
        <v>251600</v>
      </c>
      <c r="XP6" s="271">
        <v>71750</v>
      </c>
      <c r="XQ6" s="271">
        <v>421400</v>
      </c>
      <c r="XR6" s="271">
        <v>144750</v>
      </c>
      <c r="XS6" s="271">
        <v>247450</v>
      </c>
      <c r="XT6" s="271">
        <v>100850</v>
      </c>
      <c r="XU6" s="271">
        <v>410300</v>
      </c>
      <c r="XV6" s="271">
        <v>123300</v>
      </c>
      <c r="XW6" s="271">
        <v>145800</v>
      </c>
      <c r="XX6" s="271">
        <v>177900</v>
      </c>
      <c r="XY6" s="271">
        <v>281250</v>
      </c>
      <c r="XZ6" s="271">
        <v>128600</v>
      </c>
      <c r="YA6" s="271">
        <v>75150</v>
      </c>
      <c r="YB6" s="271">
        <v>50900</v>
      </c>
      <c r="YC6" s="271">
        <v>135900</v>
      </c>
      <c r="YD6" s="271">
        <v>59250</v>
      </c>
      <c r="YE6" s="271">
        <v>2385300</v>
      </c>
      <c r="YF6" s="271">
        <v>646950</v>
      </c>
      <c r="YG6" s="271">
        <v>510800</v>
      </c>
      <c r="YH6" s="271">
        <v>322950</v>
      </c>
      <c r="YI6" s="271">
        <v>863350</v>
      </c>
      <c r="YJ6" s="271">
        <v>511780</v>
      </c>
      <c r="YK6" s="271">
        <v>147500</v>
      </c>
      <c r="YL6" s="271">
        <v>211347.47</v>
      </c>
      <c r="YM6" s="271">
        <v>670800</v>
      </c>
      <c r="YN6" s="271">
        <v>339850</v>
      </c>
      <c r="YO6" s="271">
        <v>130450</v>
      </c>
      <c r="YP6" s="271">
        <v>269950</v>
      </c>
      <c r="YQ6" s="271">
        <v>43800</v>
      </c>
      <c r="YR6" s="271">
        <v>84350</v>
      </c>
      <c r="YS6" s="271">
        <v>29000</v>
      </c>
      <c r="YT6" s="271">
        <v>63100</v>
      </c>
      <c r="YU6" s="271">
        <v>63450</v>
      </c>
      <c r="YV6" s="271">
        <v>1468408.81</v>
      </c>
      <c r="YW6" s="271">
        <v>115200</v>
      </c>
      <c r="YX6" s="271">
        <v>251550</v>
      </c>
      <c r="YY6" s="271">
        <v>38000</v>
      </c>
      <c r="YZ6" s="271">
        <v>138350</v>
      </c>
      <c r="ZA6" s="271">
        <v>99800</v>
      </c>
      <c r="ZB6" s="271">
        <v>129750</v>
      </c>
      <c r="ZC6" s="271">
        <v>1743700</v>
      </c>
      <c r="ZD6" s="271">
        <v>161600</v>
      </c>
      <c r="ZE6" s="271">
        <v>198720</v>
      </c>
      <c r="ZF6" s="271">
        <v>508078</v>
      </c>
      <c r="ZG6" s="271">
        <v>117850</v>
      </c>
      <c r="ZH6" s="271">
        <v>68950</v>
      </c>
      <c r="ZI6" s="271">
        <v>76600</v>
      </c>
      <c r="ZJ6" s="271">
        <v>256939</v>
      </c>
      <c r="ZK6" s="271">
        <v>125839</v>
      </c>
      <c r="ZL6" s="271">
        <v>1791050</v>
      </c>
      <c r="ZM6" s="271">
        <v>502400</v>
      </c>
      <c r="ZN6" s="271">
        <v>669580</v>
      </c>
      <c r="ZO6" s="271">
        <v>1045560</v>
      </c>
      <c r="ZP6" s="271">
        <v>583700</v>
      </c>
      <c r="ZQ6" s="271">
        <v>628850</v>
      </c>
      <c r="ZR6" s="271">
        <v>985800</v>
      </c>
      <c r="ZS6" s="271">
        <v>422940</v>
      </c>
      <c r="ZT6" s="271">
        <v>489550</v>
      </c>
      <c r="ZU6" s="271">
        <v>569850</v>
      </c>
      <c r="ZV6" s="271">
        <v>136800</v>
      </c>
      <c r="ZW6" s="271">
        <v>262300</v>
      </c>
      <c r="ZX6" s="271">
        <v>272850</v>
      </c>
      <c r="ZY6" s="271">
        <v>567900</v>
      </c>
      <c r="ZZ6" s="271">
        <v>475000</v>
      </c>
      <c r="AAA6" s="271">
        <v>531500</v>
      </c>
      <c r="AAB6" s="271">
        <v>360000</v>
      </c>
      <c r="AAC6" s="271">
        <v>130500</v>
      </c>
      <c r="AAD6" s="271">
        <v>325650</v>
      </c>
      <c r="AAE6" s="271">
        <v>519850</v>
      </c>
      <c r="AAF6" s="271">
        <v>473000</v>
      </c>
      <c r="AAG6" s="271">
        <v>26000</v>
      </c>
      <c r="AAH6" s="271">
        <v>460639</v>
      </c>
      <c r="AAI6" s="271">
        <v>259400</v>
      </c>
      <c r="AAJ6" s="271">
        <v>197779</v>
      </c>
      <c r="AAK6" s="271">
        <v>158750</v>
      </c>
      <c r="AAL6" s="271">
        <v>87600</v>
      </c>
      <c r="AAM6" s="271">
        <v>138954</v>
      </c>
      <c r="AAN6" s="271">
        <v>154100</v>
      </c>
      <c r="AAO6" s="271">
        <v>506950</v>
      </c>
      <c r="AAP6" s="271">
        <v>302850</v>
      </c>
      <c r="AAQ6" s="271">
        <v>308950</v>
      </c>
      <c r="AAR6" s="271">
        <v>150900</v>
      </c>
      <c r="AAS6" s="271">
        <v>515050</v>
      </c>
      <c r="AAT6" s="271">
        <v>211700</v>
      </c>
      <c r="AAU6" s="271">
        <v>77350</v>
      </c>
      <c r="AAV6" s="271">
        <v>214150</v>
      </c>
      <c r="AAW6" s="271">
        <v>818850</v>
      </c>
      <c r="AAX6" s="271">
        <v>372000</v>
      </c>
      <c r="AAY6" s="271">
        <v>667000</v>
      </c>
      <c r="AAZ6" s="271">
        <v>277050</v>
      </c>
      <c r="ABA6" s="271">
        <v>334450</v>
      </c>
      <c r="ABB6" s="271">
        <v>177750</v>
      </c>
      <c r="ABC6" s="271">
        <v>73000</v>
      </c>
      <c r="ABD6" s="271">
        <v>106250</v>
      </c>
      <c r="ABE6" s="271">
        <v>110750</v>
      </c>
      <c r="ABF6" s="271">
        <v>163530</v>
      </c>
      <c r="ABG6" s="271">
        <v>381100</v>
      </c>
      <c r="ABH6" s="271">
        <v>505300</v>
      </c>
      <c r="ABI6" s="271">
        <v>568200</v>
      </c>
      <c r="ABJ6" s="271">
        <v>156250</v>
      </c>
      <c r="ABK6" s="271">
        <v>299800</v>
      </c>
      <c r="ABL6" s="271">
        <v>45000</v>
      </c>
      <c r="ABM6" s="271">
        <v>61000</v>
      </c>
      <c r="ABN6" s="271">
        <v>30900</v>
      </c>
      <c r="ABO6" s="271">
        <v>1149038</v>
      </c>
      <c r="ABP6" s="271">
        <v>23550</v>
      </c>
      <c r="ABQ6" s="271">
        <v>72550</v>
      </c>
      <c r="ABR6" s="271">
        <v>131050</v>
      </c>
      <c r="ABS6" s="271">
        <v>211900</v>
      </c>
      <c r="ABT6" s="271">
        <v>66000</v>
      </c>
      <c r="ABU6" s="271">
        <v>48050</v>
      </c>
      <c r="ABV6" s="271">
        <v>42150</v>
      </c>
      <c r="ABW6" s="271">
        <v>750398</v>
      </c>
      <c r="ABX6" s="271">
        <v>924140</v>
      </c>
      <c r="ABY6" s="271">
        <v>86300</v>
      </c>
      <c r="ABZ6" s="271">
        <v>274839</v>
      </c>
      <c r="ACA6" s="271">
        <v>66413</v>
      </c>
      <c r="ACB6" s="271">
        <v>55600</v>
      </c>
      <c r="ACC6" s="271">
        <v>102900</v>
      </c>
      <c r="ACD6" s="271">
        <v>0</v>
      </c>
      <c r="ACE6" s="271">
        <v>68950</v>
      </c>
      <c r="ACF6" s="271">
        <v>159150</v>
      </c>
      <c r="ACG6" s="271">
        <v>285089</v>
      </c>
      <c r="ACH6" s="271">
        <v>0</v>
      </c>
      <c r="ACI6" s="271">
        <v>394150</v>
      </c>
      <c r="ACJ6" s="271">
        <v>169900</v>
      </c>
      <c r="ACK6" s="271">
        <v>78950</v>
      </c>
      <c r="ACL6" s="271">
        <v>367250</v>
      </c>
      <c r="ACM6" s="271">
        <v>0</v>
      </c>
      <c r="ACN6" s="271">
        <v>99150</v>
      </c>
      <c r="ACO6" s="271">
        <v>126550</v>
      </c>
      <c r="ACP6" s="271">
        <v>87650</v>
      </c>
      <c r="ACQ6" s="271">
        <v>235300</v>
      </c>
      <c r="ACR6" s="271">
        <v>20300</v>
      </c>
      <c r="ACS6" s="271">
        <v>115500</v>
      </c>
      <c r="ACT6" s="271">
        <v>376050</v>
      </c>
      <c r="ACU6" s="271">
        <v>249655.3</v>
      </c>
      <c r="ACV6" s="271">
        <v>90900</v>
      </c>
      <c r="ACW6" s="271">
        <v>218600</v>
      </c>
      <c r="ACX6" s="271">
        <v>65500</v>
      </c>
      <c r="ACY6" s="271">
        <v>130200</v>
      </c>
      <c r="ACZ6" s="271">
        <v>64750</v>
      </c>
      <c r="ADA6" s="271">
        <v>95500</v>
      </c>
      <c r="ADB6" s="271">
        <v>35450</v>
      </c>
      <c r="ADC6" s="271">
        <v>13800</v>
      </c>
      <c r="ADD6" s="271">
        <v>55750</v>
      </c>
      <c r="ADE6" s="271">
        <v>38100</v>
      </c>
      <c r="ADF6" s="271">
        <v>767655.62</v>
      </c>
      <c r="ADG6" s="271">
        <v>303300</v>
      </c>
      <c r="ADH6" s="271">
        <v>4077185</v>
      </c>
      <c r="ADI6" s="271">
        <v>69750</v>
      </c>
      <c r="ADJ6" s="271">
        <v>0</v>
      </c>
      <c r="ADK6" s="271">
        <v>64900</v>
      </c>
      <c r="ADL6" s="271">
        <v>431467</v>
      </c>
      <c r="ADM6" s="271">
        <v>26600</v>
      </c>
      <c r="ADN6" s="271">
        <v>163800</v>
      </c>
      <c r="ADO6" s="271">
        <v>1538817.06</v>
      </c>
      <c r="ADP6" s="271">
        <v>142950</v>
      </c>
      <c r="ADQ6" s="271">
        <v>315100</v>
      </c>
      <c r="ADR6" s="271">
        <v>395600</v>
      </c>
      <c r="ADS6" s="271">
        <v>1057004</v>
      </c>
      <c r="ADT6" s="271">
        <v>107100</v>
      </c>
      <c r="ADU6" s="271">
        <v>139350</v>
      </c>
      <c r="ADV6" s="271">
        <v>204000</v>
      </c>
      <c r="ADW6" s="271">
        <v>73450</v>
      </c>
      <c r="ADX6" s="271">
        <v>1228351</v>
      </c>
      <c r="ADY6" s="271">
        <v>1591750</v>
      </c>
      <c r="ADZ6" s="271">
        <v>0</v>
      </c>
      <c r="AEA6" s="271">
        <v>452700</v>
      </c>
      <c r="AEB6" s="271">
        <v>270050</v>
      </c>
      <c r="AEC6" s="271">
        <v>1180121</v>
      </c>
      <c r="AED6" s="271">
        <v>171357.2</v>
      </c>
      <c r="AEE6" s="271">
        <v>298000</v>
      </c>
      <c r="AEF6" s="271">
        <v>206600</v>
      </c>
      <c r="AEG6" s="271">
        <v>131250</v>
      </c>
      <c r="AEH6" s="271">
        <v>157600</v>
      </c>
      <c r="AEI6" s="271">
        <v>168550</v>
      </c>
      <c r="AEJ6" s="271">
        <v>536800</v>
      </c>
      <c r="AEK6" s="271">
        <v>198650</v>
      </c>
      <c r="AEL6" s="271">
        <v>174750</v>
      </c>
      <c r="AEM6" s="271">
        <v>158100</v>
      </c>
      <c r="AEN6" s="271">
        <v>474400</v>
      </c>
      <c r="AEO6" s="271">
        <v>92900</v>
      </c>
      <c r="AEP6" s="271">
        <v>309850</v>
      </c>
      <c r="AEQ6" s="271">
        <v>36000</v>
      </c>
      <c r="AER6" s="271">
        <v>252650</v>
      </c>
      <c r="AES6" s="271">
        <v>2105851.34</v>
      </c>
      <c r="AET6" s="271">
        <v>1080900</v>
      </c>
      <c r="AEU6" s="271">
        <v>796900</v>
      </c>
      <c r="AEV6" s="271">
        <v>509150</v>
      </c>
      <c r="AEW6" s="271">
        <v>411050</v>
      </c>
      <c r="AEX6" s="271">
        <v>712950</v>
      </c>
      <c r="AEY6" s="271">
        <v>515700</v>
      </c>
      <c r="AEZ6" s="271">
        <v>743850</v>
      </c>
      <c r="AFA6" s="271">
        <v>255200</v>
      </c>
      <c r="AFB6" s="271">
        <v>329850</v>
      </c>
      <c r="AFC6" s="271">
        <v>1458664.88</v>
      </c>
      <c r="AFD6" s="271">
        <v>356556</v>
      </c>
      <c r="AFE6" s="271">
        <v>43850</v>
      </c>
      <c r="AFF6" s="271">
        <v>275200</v>
      </c>
      <c r="AFG6" s="271">
        <v>448428</v>
      </c>
      <c r="AFH6" s="271">
        <v>158200</v>
      </c>
      <c r="AFI6" s="271">
        <v>37150</v>
      </c>
      <c r="AFJ6" s="271">
        <v>112000</v>
      </c>
      <c r="AFK6" s="271">
        <v>41950</v>
      </c>
      <c r="AFL6" s="271">
        <v>22750</v>
      </c>
      <c r="AFM6" s="271">
        <v>256100</v>
      </c>
      <c r="AFN6" s="271">
        <v>499950</v>
      </c>
      <c r="AFO6" s="271">
        <v>155950</v>
      </c>
      <c r="AFP6" s="271">
        <v>1033095.34</v>
      </c>
      <c r="AFQ6" s="271">
        <v>91550</v>
      </c>
      <c r="AFR6" s="271">
        <v>80500</v>
      </c>
      <c r="AFS6" s="271">
        <v>63400</v>
      </c>
      <c r="AFT6" s="271">
        <v>43600</v>
      </c>
      <c r="AFU6" s="271">
        <v>1500</v>
      </c>
      <c r="AFV6" s="271">
        <v>19900</v>
      </c>
      <c r="AFW6" s="271">
        <v>26100</v>
      </c>
      <c r="AFX6" s="271">
        <v>202550</v>
      </c>
      <c r="AFY6" s="271">
        <v>33850</v>
      </c>
      <c r="AFZ6" s="271">
        <v>10550</v>
      </c>
      <c r="AGA6" s="271">
        <v>13800</v>
      </c>
      <c r="AGB6" s="271">
        <v>487450</v>
      </c>
      <c r="AGC6" s="271">
        <v>53150</v>
      </c>
      <c r="AGD6" s="271">
        <v>177009</v>
      </c>
      <c r="AGE6" s="271">
        <v>150450</v>
      </c>
      <c r="AGF6" s="271">
        <v>361200</v>
      </c>
      <c r="AGG6" s="271">
        <v>365550</v>
      </c>
      <c r="AGH6" s="271">
        <v>104900</v>
      </c>
      <c r="AGI6" s="271">
        <v>256289</v>
      </c>
      <c r="AGJ6" s="271">
        <v>49100</v>
      </c>
      <c r="AGK6" s="271">
        <v>306900</v>
      </c>
      <c r="AGL6" s="271">
        <v>79500</v>
      </c>
      <c r="AGM6" s="271">
        <v>1564300</v>
      </c>
      <c r="AGN6" s="271">
        <v>181950</v>
      </c>
      <c r="AGO6" s="271">
        <v>98000</v>
      </c>
      <c r="AGP6" s="271">
        <v>45650</v>
      </c>
      <c r="AGQ6" s="271">
        <v>305200</v>
      </c>
      <c r="AGR6" s="271">
        <v>118250</v>
      </c>
      <c r="AGS6" s="271">
        <v>246950</v>
      </c>
      <c r="AGT6" s="271">
        <v>471300</v>
      </c>
      <c r="AGU6" s="271">
        <v>254250</v>
      </c>
      <c r="AGV6" s="271">
        <v>291930</v>
      </c>
      <c r="AGW6" s="271">
        <v>84348</v>
      </c>
      <c r="AGX6" s="271">
        <v>82850</v>
      </c>
      <c r="AGY6" s="271">
        <v>70200</v>
      </c>
      <c r="AGZ6" s="271">
        <v>89600</v>
      </c>
      <c r="AHA6" s="271">
        <v>213700</v>
      </c>
      <c r="AHB6" s="271">
        <v>129350</v>
      </c>
      <c r="AHC6" s="271">
        <v>112050</v>
      </c>
      <c r="AHD6" s="271">
        <v>6769</v>
      </c>
      <c r="AHE6" s="271">
        <v>60500</v>
      </c>
      <c r="AHF6" s="271">
        <v>77280</v>
      </c>
      <c r="AHG6" s="271">
        <v>0</v>
      </c>
      <c r="AHH6" s="271">
        <v>34400</v>
      </c>
      <c r="AHI6" s="271">
        <v>55400</v>
      </c>
      <c r="AHJ6" s="271">
        <v>30675</v>
      </c>
      <c r="AHK6" s="271">
        <v>20010</v>
      </c>
      <c r="AHL6" s="271">
        <v>1539690.38</v>
      </c>
      <c r="AHM6" s="271">
        <v>30400</v>
      </c>
      <c r="AHN6" s="271">
        <v>27200</v>
      </c>
      <c r="AHO6" s="271">
        <v>51950</v>
      </c>
      <c r="AHP6" s="271">
        <v>115750</v>
      </c>
      <c r="AHQ6" s="294">
        <v>28800</v>
      </c>
      <c r="AHR6" s="329">
        <v>0</v>
      </c>
      <c r="AHS6" s="294">
        <f t="shared" ref="AHS6:AHS16" si="0">SUM(D6:AHR6)</f>
        <v>312123265.19999993</v>
      </c>
      <c r="AHT6" s="269" t="b">
        <f t="shared" ref="AHT6:AHT37" si="1">AHU6=B6</f>
        <v>1</v>
      </c>
      <c r="AHU6" s="269" t="s">
        <v>2</v>
      </c>
    </row>
    <row r="7" spans="2:905" ht="23.4" customHeight="1" x14ac:dyDescent="0.7">
      <c r="B7" s="268" t="s">
        <v>4</v>
      </c>
      <c r="C7" s="269" t="s">
        <v>5</v>
      </c>
      <c r="D7" s="271">
        <v>9137041.5999999996</v>
      </c>
      <c r="E7" s="271">
        <v>254954</v>
      </c>
      <c r="F7" s="271">
        <v>275396.25</v>
      </c>
      <c r="G7" s="271">
        <v>4271</v>
      </c>
      <c r="H7" s="271">
        <v>897028.25</v>
      </c>
      <c r="I7" s="271">
        <v>24419.5</v>
      </c>
      <c r="J7" s="271">
        <v>215226</v>
      </c>
      <c r="K7" s="271">
        <v>24007.32</v>
      </c>
      <c r="L7" s="271">
        <v>63722.25</v>
      </c>
      <c r="M7" s="271">
        <v>14123</v>
      </c>
      <c r="N7" s="271">
        <v>0</v>
      </c>
      <c r="O7" s="271">
        <v>41708</v>
      </c>
      <c r="P7" s="271">
        <v>0</v>
      </c>
      <c r="Q7" s="271">
        <v>14586</v>
      </c>
      <c r="R7" s="271">
        <v>15634</v>
      </c>
      <c r="S7" s="271">
        <v>322479</v>
      </c>
      <c r="T7" s="271">
        <v>39201</v>
      </c>
      <c r="U7" s="271">
        <v>5774</v>
      </c>
      <c r="V7" s="271">
        <v>51579406.5</v>
      </c>
      <c r="W7" s="271">
        <v>421963</v>
      </c>
      <c r="X7" s="271">
        <v>11250</v>
      </c>
      <c r="Y7" s="271">
        <v>21864</v>
      </c>
      <c r="Z7" s="271">
        <v>70344.429999999993</v>
      </c>
      <c r="AA7" s="271">
        <v>19416</v>
      </c>
      <c r="AB7" s="271">
        <v>0</v>
      </c>
      <c r="AC7" s="271">
        <v>1609405</v>
      </c>
      <c r="AD7" s="271">
        <v>55383.25</v>
      </c>
      <c r="AE7" s="271">
        <v>13317</v>
      </c>
      <c r="AF7" s="271">
        <v>1504792</v>
      </c>
      <c r="AG7" s="271">
        <v>171892</v>
      </c>
      <c r="AH7" s="271">
        <v>1030419</v>
      </c>
      <c r="AI7" s="271">
        <v>191157.08000000002</v>
      </c>
      <c r="AJ7" s="271">
        <v>239921</v>
      </c>
      <c r="AK7" s="271">
        <v>162412</v>
      </c>
      <c r="AL7" s="271">
        <v>15770</v>
      </c>
      <c r="AM7" s="271">
        <v>50181</v>
      </c>
      <c r="AN7" s="271">
        <v>79067.8</v>
      </c>
      <c r="AO7" s="271">
        <v>82498</v>
      </c>
      <c r="AP7" s="271">
        <v>17085.5</v>
      </c>
      <c r="AQ7" s="271">
        <v>60709</v>
      </c>
      <c r="AR7" s="271">
        <v>0</v>
      </c>
      <c r="AS7" s="271">
        <v>4175.3999999999996</v>
      </c>
      <c r="AT7" s="271">
        <v>9103220.4299999997</v>
      </c>
      <c r="AU7" s="271">
        <v>24409</v>
      </c>
      <c r="AV7" s="271">
        <v>69914</v>
      </c>
      <c r="AW7" s="271">
        <v>36211.5</v>
      </c>
      <c r="AX7" s="271">
        <v>84027</v>
      </c>
      <c r="AY7" s="271">
        <v>121277</v>
      </c>
      <c r="AZ7" s="271">
        <v>798</v>
      </c>
      <c r="BA7" s="271">
        <v>3463.5</v>
      </c>
      <c r="BB7" s="271">
        <v>60481.5</v>
      </c>
      <c r="BC7" s="271">
        <v>46212.020000000004</v>
      </c>
      <c r="BD7" s="271">
        <v>0</v>
      </c>
      <c r="BE7" s="271">
        <v>7957.5</v>
      </c>
      <c r="BF7" s="271">
        <v>235803.61</v>
      </c>
      <c r="BG7" s="271">
        <v>250</v>
      </c>
      <c r="BH7" s="271">
        <v>61480</v>
      </c>
      <c r="BI7" s="271">
        <v>5216483.6399999997</v>
      </c>
      <c r="BJ7" s="271">
        <v>1034790.02</v>
      </c>
      <c r="BK7" s="271">
        <v>32824</v>
      </c>
      <c r="BL7" s="271">
        <v>6282</v>
      </c>
      <c r="BM7" s="271">
        <v>38080</v>
      </c>
      <c r="BN7" s="271">
        <v>99901</v>
      </c>
      <c r="BO7" s="271">
        <v>5120</v>
      </c>
      <c r="BP7" s="271">
        <v>0</v>
      </c>
      <c r="BQ7" s="271">
        <v>0</v>
      </c>
      <c r="BR7" s="271">
        <v>6154035</v>
      </c>
      <c r="BS7" s="271">
        <v>12624</v>
      </c>
      <c r="BT7" s="271">
        <v>35428</v>
      </c>
      <c r="BU7" s="271">
        <v>53654.92</v>
      </c>
      <c r="BV7" s="271">
        <v>31554</v>
      </c>
      <c r="BW7" s="271">
        <v>2323</v>
      </c>
      <c r="BX7" s="271">
        <v>46209.5</v>
      </c>
      <c r="BY7" s="271">
        <v>176105</v>
      </c>
      <c r="BZ7" s="271">
        <v>1680002.77</v>
      </c>
      <c r="CA7" s="271">
        <v>90493.6</v>
      </c>
      <c r="CB7" s="271">
        <v>8685</v>
      </c>
      <c r="CC7" s="271">
        <v>4173676.98</v>
      </c>
      <c r="CD7" s="271">
        <v>18322</v>
      </c>
      <c r="CE7" s="271">
        <v>6245</v>
      </c>
      <c r="CF7" s="271">
        <v>58338</v>
      </c>
      <c r="CG7" s="271">
        <v>38014944.549999997</v>
      </c>
      <c r="CH7" s="271">
        <v>757053</v>
      </c>
      <c r="CI7" s="271">
        <v>902997.25</v>
      </c>
      <c r="CJ7" s="271">
        <v>9791</v>
      </c>
      <c r="CK7" s="271">
        <v>35692</v>
      </c>
      <c r="CL7" s="271">
        <v>118513</v>
      </c>
      <c r="CM7" s="271">
        <v>11336</v>
      </c>
      <c r="CN7" s="271">
        <v>471718.5</v>
      </c>
      <c r="CO7" s="271">
        <v>912</v>
      </c>
      <c r="CP7" s="271">
        <v>84660</v>
      </c>
      <c r="CQ7" s="271">
        <v>13770.75</v>
      </c>
      <c r="CR7" s="271">
        <v>237882.5</v>
      </c>
      <c r="CS7" s="271">
        <v>2046.5</v>
      </c>
      <c r="CT7" s="271">
        <v>6908432.8899999997</v>
      </c>
      <c r="CU7" s="271">
        <v>42267.75</v>
      </c>
      <c r="CV7" s="271">
        <v>2909.5</v>
      </c>
      <c r="CW7" s="271">
        <v>26291.34</v>
      </c>
      <c r="CX7" s="271">
        <v>11287.5</v>
      </c>
      <c r="CY7" s="271">
        <v>35293.25</v>
      </c>
      <c r="CZ7" s="271">
        <v>8442</v>
      </c>
      <c r="DA7" s="271">
        <v>9845</v>
      </c>
      <c r="DB7" s="271">
        <v>5059425.7300000004</v>
      </c>
      <c r="DC7" s="271">
        <v>1382151.08</v>
      </c>
      <c r="DD7" s="271">
        <v>133763.5</v>
      </c>
      <c r="DE7" s="271">
        <v>78296</v>
      </c>
      <c r="DF7" s="271">
        <v>5170608.75</v>
      </c>
      <c r="DG7" s="271">
        <v>0</v>
      </c>
      <c r="DH7" s="271">
        <v>560663.25</v>
      </c>
      <c r="DI7" s="271">
        <v>17864</v>
      </c>
      <c r="DJ7" s="271">
        <v>22195.15</v>
      </c>
      <c r="DK7" s="271">
        <v>10330540</v>
      </c>
      <c r="DL7" s="271">
        <v>53879.5</v>
      </c>
      <c r="DM7" s="271">
        <v>242190.05</v>
      </c>
      <c r="DN7" s="271">
        <v>148923.32999999999</v>
      </c>
      <c r="DO7" s="271">
        <v>161561</v>
      </c>
      <c r="DP7" s="271">
        <v>92800.5</v>
      </c>
      <c r="DQ7" s="271">
        <v>234362</v>
      </c>
      <c r="DR7" s="271">
        <v>107488.5</v>
      </c>
      <c r="DS7" s="271">
        <v>154286.25</v>
      </c>
      <c r="DT7" s="271">
        <v>7578962.5499999998</v>
      </c>
      <c r="DU7" s="271">
        <v>14840</v>
      </c>
      <c r="DV7" s="271">
        <v>794666.84</v>
      </c>
      <c r="DW7" s="271">
        <v>698076.18</v>
      </c>
      <c r="DX7" s="271">
        <v>41515.11</v>
      </c>
      <c r="DY7" s="271">
        <v>195231</v>
      </c>
      <c r="DZ7" s="271">
        <v>89710</v>
      </c>
      <c r="EA7" s="271">
        <v>0</v>
      </c>
      <c r="EB7" s="271">
        <v>0</v>
      </c>
      <c r="EC7" s="271">
        <v>47955</v>
      </c>
      <c r="ED7" s="271">
        <v>208949</v>
      </c>
      <c r="EE7" s="271">
        <v>1755323.48</v>
      </c>
      <c r="EF7" s="271">
        <v>2218251.27</v>
      </c>
      <c r="EG7" s="271">
        <v>44025.53</v>
      </c>
      <c r="EH7" s="271">
        <v>30541.5</v>
      </c>
      <c r="EI7" s="271">
        <v>47529.75</v>
      </c>
      <c r="EJ7" s="271">
        <v>100167.79</v>
      </c>
      <c r="EK7" s="271">
        <v>845337.5</v>
      </c>
      <c r="EL7" s="271">
        <v>79127</v>
      </c>
      <c r="EM7" s="271">
        <v>121329</v>
      </c>
      <c r="EN7" s="271">
        <v>11340083.380000001</v>
      </c>
      <c r="EO7" s="271">
        <v>185229</v>
      </c>
      <c r="EP7" s="271">
        <v>366264.5</v>
      </c>
      <c r="EQ7" s="271">
        <v>42058</v>
      </c>
      <c r="ER7" s="271">
        <v>19897.5</v>
      </c>
      <c r="ES7" s="271">
        <v>0</v>
      </c>
      <c r="ET7" s="271">
        <v>105331</v>
      </c>
      <c r="EU7" s="271">
        <v>126010.22</v>
      </c>
      <c r="EV7" s="271">
        <v>19778.14</v>
      </c>
      <c r="EW7" s="271">
        <v>2804981.68</v>
      </c>
      <c r="EX7" s="271">
        <v>0</v>
      </c>
      <c r="EY7" s="271">
        <v>28036</v>
      </c>
      <c r="EZ7" s="271">
        <v>159070</v>
      </c>
      <c r="FA7" s="271">
        <v>35205</v>
      </c>
      <c r="FB7" s="271">
        <v>106691</v>
      </c>
      <c r="FC7" s="271">
        <v>108507</v>
      </c>
      <c r="FD7" s="271">
        <v>31982</v>
      </c>
      <c r="FE7" s="271">
        <v>9763</v>
      </c>
      <c r="FF7" s="271">
        <v>0</v>
      </c>
      <c r="FG7" s="271">
        <v>159677.54999999999</v>
      </c>
      <c r="FH7" s="271">
        <v>31813</v>
      </c>
      <c r="FI7" s="271">
        <v>2693652.9600000004</v>
      </c>
      <c r="FJ7" s="271">
        <v>42861</v>
      </c>
      <c r="FK7" s="271">
        <v>374066</v>
      </c>
      <c r="FL7" s="271">
        <v>450309.75</v>
      </c>
      <c r="FM7" s="271">
        <v>26527.16</v>
      </c>
      <c r="FN7" s="271">
        <v>0</v>
      </c>
      <c r="FO7" s="271">
        <v>21155.75</v>
      </c>
      <c r="FP7" s="271">
        <v>0</v>
      </c>
      <c r="FQ7" s="271">
        <v>8261289</v>
      </c>
      <c r="FR7" s="271">
        <v>67825.5</v>
      </c>
      <c r="FS7" s="271">
        <v>190262</v>
      </c>
      <c r="FT7" s="271">
        <v>198798</v>
      </c>
      <c r="FU7" s="271">
        <v>50642.5</v>
      </c>
      <c r="FV7" s="271">
        <v>173674.89</v>
      </c>
      <c r="FW7" s="271">
        <v>669346</v>
      </c>
      <c r="FX7" s="271">
        <v>82843</v>
      </c>
      <c r="FY7" s="271">
        <v>104007</v>
      </c>
      <c r="FZ7" s="271">
        <v>41309.75</v>
      </c>
      <c r="GA7" s="271">
        <v>288820.64</v>
      </c>
      <c r="GB7" s="271">
        <v>8110</v>
      </c>
      <c r="GC7" s="271">
        <v>0</v>
      </c>
      <c r="GD7" s="271">
        <v>0</v>
      </c>
      <c r="GE7" s="271">
        <v>2451272.96</v>
      </c>
      <c r="GF7" s="271">
        <v>17017</v>
      </c>
      <c r="GG7" s="271">
        <v>19073.25</v>
      </c>
      <c r="GH7" s="271">
        <v>759535.75</v>
      </c>
      <c r="GI7" s="271">
        <v>82765</v>
      </c>
      <c r="GJ7" s="271">
        <v>92928.25</v>
      </c>
      <c r="GK7" s="271">
        <v>109280.5</v>
      </c>
      <c r="GL7" s="271">
        <v>569037.5</v>
      </c>
      <c r="GM7" s="271">
        <v>52128</v>
      </c>
      <c r="GN7" s="271">
        <v>0</v>
      </c>
      <c r="GO7" s="271">
        <v>0</v>
      </c>
      <c r="GP7" s="271">
        <v>0</v>
      </c>
      <c r="GQ7" s="271">
        <v>1864355.18</v>
      </c>
      <c r="GR7" s="271">
        <v>875754.17</v>
      </c>
      <c r="GS7" s="271">
        <v>356199</v>
      </c>
      <c r="GT7" s="271">
        <v>1108146.33</v>
      </c>
      <c r="GU7" s="271">
        <v>9505</v>
      </c>
      <c r="GV7" s="271">
        <v>104779.88</v>
      </c>
      <c r="GW7" s="271">
        <v>135398</v>
      </c>
      <c r="GX7" s="271">
        <v>40628</v>
      </c>
      <c r="GY7" s="271">
        <v>6314034</v>
      </c>
      <c r="GZ7" s="271">
        <v>805277.25</v>
      </c>
      <c r="HA7" s="271">
        <v>117646</v>
      </c>
      <c r="HB7" s="271">
        <v>284515</v>
      </c>
      <c r="HC7" s="271">
        <v>20503431.07</v>
      </c>
      <c r="HD7" s="271">
        <v>3007324</v>
      </c>
      <c r="HE7" s="271">
        <v>601987</v>
      </c>
      <c r="HF7" s="271">
        <v>1537488.13</v>
      </c>
      <c r="HG7" s="271">
        <v>570561</v>
      </c>
      <c r="HH7" s="271">
        <v>3268795</v>
      </c>
      <c r="HI7" s="271">
        <v>850332.75</v>
      </c>
      <c r="HJ7" s="271">
        <v>4465750.25</v>
      </c>
      <c r="HK7" s="271">
        <v>141295</v>
      </c>
      <c r="HL7" s="271">
        <v>767087</v>
      </c>
      <c r="HM7" s="271">
        <v>203258</v>
      </c>
      <c r="HN7" s="271">
        <v>234464</v>
      </c>
      <c r="HO7" s="271">
        <v>535884</v>
      </c>
      <c r="HP7" s="271">
        <v>61396</v>
      </c>
      <c r="HQ7" s="271">
        <v>-137522.63</v>
      </c>
      <c r="HR7" s="271">
        <v>9493072.0899999999</v>
      </c>
      <c r="HS7" s="271">
        <v>1648272.89</v>
      </c>
      <c r="HT7" s="271">
        <v>591019</v>
      </c>
      <c r="HU7" s="271">
        <v>185364</v>
      </c>
      <c r="HV7" s="271">
        <v>329063.24</v>
      </c>
      <c r="HW7" s="271">
        <v>32695</v>
      </c>
      <c r="HX7" s="271">
        <v>1067541</v>
      </c>
      <c r="HY7" s="271">
        <v>85015.75</v>
      </c>
      <c r="HZ7" s="271">
        <v>38836</v>
      </c>
      <c r="IA7" s="271">
        <v>610116</v>
      </c>
      <c r="IB7" s="271">
        <v>0</v>
      </c>
      <c r="IC7" s="271">
        <v>637056</v>
      </c>
      <c r="ID7" s="271">
        <v>0</v>
      </c>
      <c r="IE7" s="271">
        <v>1410583</v>
      </c>
      <c r="IF7" s="271">
        <v>246942.9</v>
      </c>
      <c r="IG7" s="271">
        <v>0</v>
      </c>
      <c r="IH7" s="271">
        <v>8959600.8499999996</v>
      </c>
      <c r="II7" s="271">
        <v>833078.5</v>
      </c>
      <c r="IJ7" s="271">
        <v>33834</v>
      </c>
      <c r="IK7" s="271">
        <v>30127</v>
      </c>
      <c r="IL7" s="271">
        <v>1668723.34</v>
      </c>
      <c r="IM7" s="271">
        <v>7433.25</v>
      </c>
      <c r="IN7" s="271">
        <v>28637</v>
      </c>
      <c r="IO7" s="271">
        <v>135048</v>
      </c>
      <c r="IP7" s="271">
        <v>23036</v>
      </c>
      <c r="IQ7" s="271">
        <v>210461</v>
      </c>
      <c r="IR7" s="271">
        <v>22608.92</v>
      </c>
      <c r="IS7" s="271">
        <v>26504720.100000001</v>
      </c>
      <c r="IT7" s="271">
        <v>2731684</v>
      </c>
      <c r="IU7" s="271">
        <v>257835</v>
      </c>
      <c r="IV7" s="271">
        <v>158622</v>
      </c>
      <c r="IW7" s="271">
        <v>43300</v>
      </c>
      <c r="IX7" s="271">
        <v>9125</v>
      </c>
      <c r="IY7" s="271">
        <v>140785</v>
      </c>
      <c r="IZ7" s="271">
        <v>11437</v>
      </c>
      <c r="JA7" s="271">
        <v>-48436.5</v>
      </c>
      <c r="JB7" s="271">
        <v>71955</v>
      </c>
      <c r="JC7" s="271">
        <v>1238565</v>
      </c>
      <c r="JD7" s="271">
        <v>38997.25</v>
      </c>
      <c r="JE7" s="271">
        <v>3146865.24</v>
      </c>
      <c r="JF7" s="271">
        <v>917918.25</v>
      </c>
      <c r="JG7" s="271">
        <v>5200</v>
      </c>
      <c r="JH7" s="271">
        <v>104831.17</v>
      </c>
      <c r="JI7" s="271">
        <v>35310</v>
      </c>
      <c r="JJ7" s="271">
        <v>122784</v>
      </c>
      <c r="JK7" s="271">
        <v>5528825.1600000001</v>
      </c>
      <c r="JL7" s="271">
        <v>12249</v>
      </c>
      <c r="JM7" s="271">
        <v>611960</v>
      </c>
      <c r="JN7" s="271">
        <v>202974.61</v>
      </c>
      <c r="JO7" s="271">
        <v>50363</v>
      </c>
      <c r="JP7" s="271">
        <v>439961</v>
      </c>
      <c r="JQ7" s="271">
        <v>5503.25</v>
      </c>
      <c r="JR7" s="271">
        <v>4917926.1399999997</v>
      </c>
      <c r="JS7" s="271">
        <v>2539348.25</v>
      </c>
      <c r="JT7" s="271">
        <v>363845.04000000004</v>
      </c>
      <c r="JU7" s="271">
        <v>23905</v>
      </c>
      <c r="JV7" s="271">
        <v>27664</v>
      </c>
      <c r="JW7" s="271">
        <v>295724</v>
      </c>
      <c r="JX7" s="271">
        <v>1333987.5</v>
      </c>
      <c r="JY7" s="271">
        <v>380573.5</v>
      </c>
      <c r="JZ7" s="271">
        <v>29667</v>
      </c>
      <c r="KA7" s="271">
        <v>55034</v>
      </c>
      <c r="KB7" s="271">
        <v>35576.949999999997</v>
      </c>
      <c r="KC7" s="271">
        <v>330139.5</v>
      </c>
      <c r="KD7" s="271">
        <v>0</v>
      </c>
      <c r="KE7" s="271">
        <v>15558</v>
      </c>
      <c r="KF7" s="271">
        <v>11924.5</v>
      </c>
      <c r="KG7" s="271">
        <v>24717</v>
      </c>
      <c r="KH7" s="271">
        <v>6761332.75</v>
      </c>
      <c r="KI7" s="271">
        <v>748757.21</v>
      </c>
      <c r="KJ7" s="271">
        <v>351187</v>
      </c>
      <c r="KK7" s="271">
        <v>48714</v>
      </c>
      <c r="KL7" s="271">
        <v>200844</v>
      </c>
      <c r="KM7" s="271">
        <v>224402</v>
      </c>
      <c r="KN7" s="271">
        <v>886086.17</v>
      </c>
      <c r="KO7" s="271">
        <v>1694847.1500000001</v>
      </c>
      <c r="KP7" s="271">
        <v>304008.92</v>
      </c>
      <c r="KQ7" s="271">
        <v>4009372.65</v>
      </c>
      <c r="KR7" s="271">
        <v>609034</v>
      </c>
      <c r="KS7" s="271">
        <v>412231</v>
      </c>
      <c r="KT7" s="271">
        <v>1971468.75</v>
      </c>
      <c r="KU7" s="271">
        <v>172252.25</v>
      </c>
      <c r="KV7" s="271">
        <v>435432</v>
      </c>
      <c r="KW7" s="271">
        <v>8214479.96</v>
      </c>
      <c r="KX7" s="271">
        <v>1127972</v>
      </c>
      <c r="KY7" s="271">
        <v>8553350.6800000016</v>
      </c>
      <c r="KZ7" s="271">
        <v>338071</v>
      </c>
      <c r="LA7" s="271">
        <v>12682</v>
      </c>
      <c r="LB7" s="271">
        <v>424816</v>
      </c>
      <c r="LC7" s="271">
        <v>1109229.45</v>
      </c>
      <c r="LD7" s="271">
        <v>1303409</v>
      </c>
      <c r="LE7" s="271">
        <v>202406</v>
      </c>
      <c r="LF7" s="271">
        <v>0</v>
      </c>
      <c r="LG7" s="271">
        <v>14156559.75</v>
      </c>
      <c r="LH7" s="271">
        <v>852091.25</v>
      </c>
      <c r="LI7" s="271">
        <v>6157480</v>
      </c>
      <c r="LJ7" s="271">
        <v>5802337.0600000005</v>
      </c>
      <c r="LK7" s="271">
        <v>746872</v>
      </c>
      <c r="LL7" s="271">
        <v>1536786.96</v>
      </c>
      <c r="LM7" s="271">
        <v>35305.910000000003</v>
      </c>
      <c r="LN7" s="271">
        <v>131061.25</v>
      </c>
      <c r="LO7" s="271">
        <v>36054.979999999996</v>
      </c>
      <c r="LP7" s="271">
        <v>21773</v>
      </c>
      <c r="LQ7" s="271">
        <v>1500</v>
      </c>
      <c r="LR7" s="271">
        <v>2865750.59</v>
      </c>
      <c r="LS7" s="271">
        <v>406373.5</v>
      </c>
      <c r="LT7" s="271">
        <v>74323</v>
      </c>
      <c r="LU7" s="271">
        <v>17446022.940000001</v>
      </c>
      <c r="LV7" s="271">
        <v>6687843.7800000003</v>
      </c>
      <c r="LW7" s="271">
        <v>11164884.280000001</v>
      </c>
      <c r="LX7" s="271">
        <v>1134338</v>
      </c>
      <c r="LY7" s="271">
        <v>324014.66000000003</v>
      </c>
      <c r="LZ7" s="271">
        <v>27689</v>
      </c>
      <c r="MA7" s="271">
        <v>94828</v>
      </c>
      <c r="MB7" s="271">
        <v>141536.25</v>
      </c>
      <c r="MC7" s="271">
        <v>411793</v>
      </c>
      <c r="MD7" s="271">
        <v>492438.8</v>
      </c>
      <c r="ME7" s="271">
        <v>333005</v>
      </c>
      <c r="MF7" s="271">
        <v>0</v>
      </c>
      <c r="MG7" s="271">
        <v>37288641.109999999</v>
      </c>
      <c r="MH7" s="271">
        <v>51798</v>
      </c>
      <c r="MI7" s="271">
        <v>166934.47</v>
      </c>
      <c r="MJ7" s="271">
        <v>13515</v>
      </c>
      <c r="MK7" s="271">
        <v>21275</v>
      </c>
      <c r="ML7" s="271">
        <v>222226</v>
      </c>
      <c r="MM7" s="271">
        <v>32844</v>
      </c>
      <c r="MN7" s="271">
        <v>18377</v>
      </c>
      <c r="MO7" s="271">
        <v>62477</v>
      </c>
      <c r="MP7" s="271">
        <v>0</v>
      </c>
      <c r="MQ7" s="271">
        <v>69997.72</v>
      </c>
      <c r="MR7" s="271">
        <v>187268.75</v>
      </c>
      <c r="MS7" s="271">
        <v>7321690.5800000001</v>
      </c>
      <c r="MT7" s="271">
        <v>18531</v>
      </c>
      <c r="MU7" s="271">
        <v>-591941.34000000008</v>
      </c>
      <c r="MV7" s="271">
        <v>184119</v>
      </c>
      <c r="MW7" s="271">
        <v>235731.34</v>
      </c>
      <c r="MX7" s="271">
        <v>111079</v>
      </c>
      <c r="MY7" s="271">
        <v>1376141.75</v>
      </c>
      <c r="MZ7" s="271">
        <v>693677.85</v>
      </c>
      <c r="NA7" s="271">
        <v>735716</v>
      </c>
      <c r="NB7" s="271">
        <v>136151.25</v>
      </c>
      <c r="NC7" s="271">
        <v>0</v>
      </c>
      <c r="ND7" s="271">
        <v>32676208.050000001</v>
      </c>
      <c r="NE7" s="271">
        <v>1184887</v>
      </c>
      <c r="NF7" s="271">
        <v>97370</v>
      </c>
      <c r="NG7" s="271">
        <v>3623160.45</v>
      </c>
      <c r="NH7" s="271">
        <v>55782</v>
      </c>
      <c r="NI7" s="271">
        <v>113273.35</v>
      </c>
      <c r="NJ7" s="271">
        <v>1505329.62</v>
      </c>
      <c r="NK7" s="271">
        <v>1164336.5</v>
      </c>
      <c r="NL7" s="271">
        <v>30306</v>
      </c>
      <c r="NM7" s="271">
        <v>306677.75</v>
      </c>
      <c r="NN7" s="271">
        <v>99395.140000000014</v>
      </c>
      <c r="NO7" s="271">
        <v>45858</v>
      </c>
      <c r="NP7" s="271">
        <v>4734975.6500000004</v>
      </c>
      <c r="NQ7" s="271">
        <v>18069</v>
      </c>
      <c r="NR7" s="271">
        <v>47906</v>
      </c>
      <c r="NS7" s="271">
        <v>107666.75</v>
      </c>
      <c r="NT7" s="271">
        <v>107974</v>
      </c>
      <c r="NU7" s="271">
        <v>0</v>
      </c>
      <c r="NV7" s="271">
        <v>52143</v>
      </c>
      <c r="NW7" s="271">
        <v>7793735.3300000001</v>
      </c>
      <c r="NX7" s="271">
        <v>1023048.34</v>
      </c>
      <c r="NY7" s="271">
        <v>102851</v>
      </c>
      <c r="NZ7" s="271">
        <v>67881</v>
      </c>
      <c r="OA7" s="271">
        <v>124360</v>
      </c>
      <c r="OB7" s="271">
        <v>293303</v>
      </c>
      <c r="OC7" s="271">
        <v>104638</v>
      </c>
      <c r="OD7" s="271">
        <v>6912621.040000001</v>
      </c>
      <c r="OE7" s="271">
        <v>3095648.4299999997</v>
      </c>
      <c r="OF7" s="271">
        <v>818146.75</v>
      </c>
      <c r="OG7" s="271">
        <v>2076260.6</v>
      </c>
      <c r="OH7" s="271">
        <v>1021469</v>
      </c>
      <c r="OI7" s="271">
        <v>713802</v>
      </c>
      <c r="OJ7" s="271">
        <v>609325</v>
      </c>
      <c r="OK7" s="271">
        <v>0</v>
      </c>
      <c r="OL7" s="271">
        <v>272446</v>
      </c>
      <c r="OM7" s="271">
        <v>20779660.379999999</v>
      </c>
      <c r="ON7" s="271">
        <v>2060191</v>
      </c>
      <c r="OO7" s="271">
        <v>2356480.7999999998</v>
      </c>
      <c r="OP7" s="271">
        <v>1391236</v>
      </c>
      <c r="OQ7" s="271">
        <v>479402.75</v>
      </c>
      <c r="OR7" s="271">
        <v>0</v>
      </c>
      <c r="OS7" s="271">
        <v>3585159.72</v>
      </c>
      <c r="OT7" s="271">
        <v>104286.5</v>
      </c>
      <c r="OU7" s="271">
        <v>0</v>
      </c>
      <c r="OV7" s="271">
        <v>89731</v>
      </c>
      <c r="OW7" s="271">
        <v>189165</v>
      </c>
      <c r="OX7" s="271">
        <v>4433514.6999999993</v>
      </c>
      <c r="OY7" s="271">
        <v>38278</v>
      </c>
      <c r="OZ7" s="271">
        <v>28792</v>
      </c>
      <c r="PA7" s="271">
        <v>0</v>
      </c>
      <c r="PB7" s="271">
        <v>3722991.67</v>
      </c>
      <c r="PC7" s="271">
        <v>102639</v>
      </c>
      <c r="PD7" s="271">
        <v>0</v>
      </c>
      <c r="PE7" s="271">
        <v>26539</v>
      </c>
      <c r="PF7" s="271">
        <v>130502</v>
      </c>
      <c r="PG7" s="271">
        <v>285658.17</v>
      </c>
      <c r="PH7" s="271">
        <v>60141</v>
      </c>
      <c r="PI7" s="271">
        <v>50752</v>
      </c>
      <c r="PJ7" s="271">
        <v>129535.95</v>
      </c>
      <c r="PK7" s="271">
        <v>0</v>
      </c>
      <c r="PL7" s="271">
        <v>25455</v>
      </c>
      <c r="PM7" s="271">
        <v>331420.5</v>
      </c>
      <c r="PN7" s="271">
        <v>0</v>
      </c>
      <c r="PO7" s="271">
        <v>385726</v>
      </c>
      <c r="PP7" s="271">
        <v>0</v>
      </c>
      <c r="PQ7" s="271">
        <v>43877.5</v>
      </c>
      <c r="PR7" s="271">
        <v>0</v>
      </c>
      <c r="PS7" s="271">
        <v>5175</v>
      </c>
      <c r="PT7" s="271">
        <v>13691251</v>
      </c>
      <c r="PU7" s="271">
        <v>401963</v>
      </c>
      <c r="PV7" s="271">
        <v>50825</v>
      </c>
      <c r="PW7" s="271">
        <v>49815.5</v>
      </c>
      <c r="PX7" s="271">
        <v>1680274.23</v>
      </c>
      <c r="PY7" s="271">
        <v>22672.880000000001</v>
      </c>
      <c r="PZ7" s="271">
        <v>236618.38</v>
      </c>
      <c r="QA7" s="271">
        <v>170491</v>
      </c>
      <c r="QB7" s="271">
        <v>503387.5</v>
      </c>
      <c r="QC7" s="271">
        <v>6260</v>
      </c>
      <c r="QD7" s="271">
        <v>349219</v>
      </c>
      <c r="QE7" s="271">
        <v>14917</v>
      </c>
      <c r="QF7" s="271">
        <v>35679</v>
      </c>
      <c r="QG7" s="271">
        <v>100976.5</v>
      </c>
      <c r="QH7" s="271">
        <v>0</v>
      </c>
      <c r="QI7" s="271">
        <v>175406</v>
      </c>
      <c r="QJ7" s="271">
        <v>80529</v>
      </c>
      <c r="QK7" s="271">
        <v>29419</v>
      </c>
      <c r="QL7" s="271">
        <v>0</v>
      </c>
      <c r="QM7" s="271">
        <v>143676</v>
      </c>
      <c r="QN7" s="271">
        <v>629204.36</v>
      </c>
      <c r="QO7" s="271">
        <v>19891</v>
      </c>
      <c r="QP7" s="271">
        <v>7117.5</v>
      </c>
      <c r="QQ7" s="271">
        <v>0</v>
      </c>
      <c r="QR7" s="271">
        <v>0</v>
      </c>
      <c r="QS7" s="271">
        <v>0</v>
      </c>
      <c r="QT7" s="271">
        <v>5069471.3199999994</v>
      </c>
      <c r="QU7" s="271">
        <v>50156.75</v>
      </c>
      <c r="QV7" s="271">
        <v>336786.5</v>
      </c>
      <c r="QW7" s="271">
        <v>28143</v>
      </c>
      <c r="QX7" s="271">
        <v>18290</v>
      </c>
      <c r="QY7" s="271">
        <v>731679</v>
      </c>
      <c r="QZ7" s="271">
        <v>13206</v>
      </c>
      <c r="RA7" s="271">
        <v>223218.38</v>
      </c>
      <c r="RB7" s="271">
        <v>146809.5</v>
      </c>
      <c r="RC7" s="271">
        <v>67161</v>
      </c>
      <c r="RD7" s="271">
        <v>4030</v>
      </c>
      <c r="RE7" s="271">
        <v>0</v>
      </c>
      <c r="RF7" s="271">
        <v>0</v>
      </c>
      <c r="RG7" s="271">
        <v>4532868.09</v>
      </c>
      <c r="RH7" s="271">
        <v>247027.25</v>
      </c>
      <c r="RI7" s="271">
        <v>15054</v>
      </c>
      <c r="RJ7" s="271">
        <v>23569.69</v>
      </c>
      <c r="RK7" s="271">
        <v>202132.25</v>
      </c>
      <c r="RL7" s="271">
        <v>-61653.859999999986</v>
      </c>
      <c r="RM7" s="271">
        <v>-2069751.4700000002</v>
      </c>
      <c r="RN7" s="271">
        <v>2640</v>
      </c>
      <c r="RO7" s="271">
        <v>21424</v>
      </c>
      <c r="RP7" s="271">
        <v>241130.68</v>
      </c>
      <c r="RQ7" s="271">
        <v>859914.56</v>
      </c>
      <c r="RR7" s="271">
        <v>52824</v>
      </c>
      <c r="RS7" s="271">
        <v>0</v>
      </c>
      <c r="RT7" s="271">
        <v>11289</v>
      </c>
      <c r="RU7" s="271">
        <v>1361</v>
      </c>
      <c r="RV7" s="271">
        <v>71085</v>
      </c>
      <c r="RW7" s="271">
        <v>33524.75</v>
      </c>
      <c r="RX7" s="271">
        <v>8956</v>
      </c>
      <c r="RY7" s="271">
        <v>0</v>
      </c>
      <c r="RZ7" s="271">
        <v>87386.5</v>
      </c>
      <c r="SA7" s="271">
        <v>3041560.79</v>
      </c>
      <c r="SB7" s="271">
        <v>0</v>
      </c>
      <c r="SC7" s="271">
        <v>0</v>
      </c>
      <c r="SD7" s="271">
        <v>56559</v>
      </c>
      <c r="SE7" s="271">
        <v>93064</v>
      </c>
      <c r="SF7" s="271">
        <v>496080</v>
      </c>
      <c r="SG7" s="271">
        <v>24621.5</v>
      </c>
      <c r="SH7" s="271">
        <v>9697776.25</v>
      </c>
      <c r="SI7" s="271">
        <v>5121</v>
      </c>
      <c r="SJ7" s="271">
        <v>68066</v>
      </c>
      <c r="SK7" s="271">
        <v>174375</v>
      </c>
      <c r="SL7" s="271">
        <v>-50</v>
      </c>
      <c r="SM7" s="271">
        <v>2005910.5</v>
      </c>
      <c r="SN7" s="271">
        <v>105595.65</v>
      </c>
      <c r="SO7" s="271">
        <v>24419</v>
      </c>
      <c r="SP7" s="271">
        <v>190213.05000000002</v>
      </c>
      <c r="SQ7" s="271">
        <v>0</v>
      </c>
      <c r="SR7" s="271">
        <v>75516.5</v>
      </c>
      <c r="SS7" s="271">
        <v>20</v>
      </c>
      <c r="ST7" s="271">
        <v>63627.5</v>
      </c>
      <c r="SU7" s="271">
        <v>3033201.72</v>
      </c>
      <c r="SV7" s="271">
        <v>4361</v>
      </c>
      <c r="SW7" s="271">
        <v>27404</v>
      </c>
      <c r="SX7" s="271">
        <v>0</v>
      </c>
      <c r="SY7" s="271">
        <v>36670</v>
      </c>
      <c r="SZ7" s="271">
        <v>47059.5</v>
      </c>
      <c r="TA7" s="271">
        <v>207302</v>
      </c>
      <c r="TB7" s="271">
        <v>227023</v>
      </c>
      <c r="TC7" s="271">
        <v>19010</v>
      </c>
      <c r="TD7" s="271">
        <v>0</v>
      </c>
      <c r="TE7" s="271">
        <v>0</v>
      </c>
      <c r="TF7" s="271">
        <v>141302</v>
      </c>
      <c r="TG7" s="271">
        <v>188628</v>
      </c>
      <c r="TH7" s="271">
        <v>19918</v>
      </c>
      <c r="TI7" s="271">
        <v>11242463.529999999</v>
      </c>
      <c r="TJ7" s="271">
        <v>0</v>
      </c>
      <c r="TK7" s="271">
        <v>0</v>
      </c>
      <c r="TL7" s="271">
        <v>240201</v>
      </c>
      <c r="TM7" s="271">
        <v>821471</v>
      </c>
      <c r="TN7" s="271">
        <v>207108</v>
      </c>
      <c r="TO7" s="271">
        <v>19792</v>
      </c>
      <c r="TP7" s="271">
        <v>464646</v>
      </c>
      <c r="TQ7" s="271">
        <v>187237.75</v>
      </c>
      <c r="TR7" s="271">
        <v>14682</v>
      </c>
      <c r="TS7" s="271">
        <v>25227</v>
      </c>
      <c r="TT7" s="271">
        <v>54622</v>
      </c>
      <c r="TU7" s="271">
        <v>7004</v>
      </c>
      <c r="TV7" s="271">
        <v>74491.47</v>
      </c>
      <c r="TW7" s="271">
        <v>13306</v>
      </c>
      <c r="TX7" s="271">
        <v>0</v>
      </c>
      <c r="TY7" s="271">
        <v>1115220</v>
      </c>
      <c r="TZ7" s="271">
        <v>69375</v>
      </c>
      <c r="UA7" s="271">
        <v>4347979.6500000004</v>
      </c>
      <c r="UB7" s="271">
        <v>341015.3</v>
      </c>
      <c r="UC7" s="271">
        <v>6268.25</v>
      </c>
      <c r="UD7" s="271">
        <v>18682</v>
      </c>
      <c r="UE7" s="271">
        <v>5079214.8899999997</v>
      </c>
      <c r="UF7" s="271">
        <v>20395</v>
      </c>
      <c r="UG7" s="271">
        <v>0</v>
      </c>
      <c r="UH7" s="271">
        <v>0</v>
      </c>
      <c r="UI7" s="271">
        <v>21588</v>
      </c>
      <c r="UJ7" s="271">
        <v>3982123.5</v>
      </c>
      <c r="UK7" s="271">
        <v>60761</v>
      </c>
      <c r="UL7" s="271">
        <v>23259</v>
      </c>
      <c r="UM7" s="271">
        <v>113778</v>
      </c>
      <c r="UN7" s="271">
        <v>35580.04</v>
      </c>
      <c r="UO7" s="271">
        <v>3495</v>
      </c>
      <c r="UP7" s="271">
        <v>11881163.939999999</v>
      </c>
      <c r="UQ7" s="271">
        <v>110120</v>
      </c>
      <c r="UR7" s="271">
        <v>8527.02</v>
      </c>
      <c r="US7" s="271">
        <v>1191106.68</v>
      </c>
      <c r="UT7" s="271">
        <v>0</v>
      </c>
      <c r="UU7" s="271">
        <v>143262.5</v>
      </c>
      <c r="UV7" s="271">
        <v>262916.75</v>
      </c>
      <c r="UW7" s="271">
        <v>37006</v>
      </c>
      <c r="UX7" s="271">
        <v>7328</v>
      </c>
      <c r="UY7" s="271">
        <v>49981</v>
      </c>
      <c r="UZ7" s="271">
        <v>239774</v>
      </c>
      <c r="VA7" s="271">
        <v>509459</v>
      </c>
      <c r="VB7" s="271">
        <v>71675</v>
      </c>
      <c r="VC7" s="271">
        <v>301274.5</v>
      </c>
      <c r="VD7" s="271">
        <v>32128</v>
      </c>
      <c r="VE7" s="271">
        <v>0</v>
      </c>
      <c r="VF7" s="271">
        <v>0</v>
      </c>
      <c r="VG7" s="271">
        <v>62638</v>
      </c>
      <c r="VH7" s="271">
        <v>423369.5</v>
      </c>
      <c r="VI7" s="271">
        <v>0</v>
      </c>
      <c r="VJ7" s="271">
        <v>0</v>
      </c>
      <c r="VK7" s="271">
        <v>43687</v>
      </c>
      <c r="VL7" s="271">
        <v>6280146.8200000003</v>
      </c>
      <c r="VM7" s="271">
        <v>51306</v>
      </c>
      <c r="VN7" s="271">
        <v>50922.5</v>
      </c>
      <c r="VO7" s="271">
        <v>3647</v>
      </c>
      <c r="VP7" s="271">
        <v>35281.800000000003</v>
      </c>
      <c r="VQ7" s="271">
        <v>862907</v>
      </c>
      <c r="VR7" s="271">
        <v>107146</v>
      </c>
      <c r="VS7" s="271">
        <v>3430</v>
      </c>
      <c r="VT7" s="271">
        <v>245112</v>
      </c>
      <c r="VU7" s="271">
        <v>1332262</v>
      </c>
      <c r="VV7" s="271">
        <v>14270</v>
      </c>
      <c r="VW7" s="271">
        <v>130206</v>
      </c>
      <c r="VX7" s="271">
        <v>25798</v>
      </c>
      <c r="VY7" s="271">
        <v>0</v>
      </c>
      <c r="VZ7" s="271">
        <v>100</v>
      </c>
      <c r="WA7" s="271">
        <v>23116484.75</v>
      </c>
      <c r="WB7" s="271">
        <v>343821</v>
      </c>
      <c r="WC7" s="271">
        <v>144578</v>
      </c>
      <c r="WD7" s="271">
        <v>111448.97</v>
      </c>
      <c r="WE7" s="271">
        <v>146113</v>
      </c>
      <c r="WF7" s="271">
        <v>10086</v>
      </c>
      <c r="WG7" s="271">
        <v>195539</v>
      </c>
      <c r="WH7" s="271">
        <v>116437</v>
      </c>
      <c r="WI7" s="271">
        <v>128616.5</v>
      </c>
      <c r="WJ7" s="271">
        <v>476683</v>
      </c>
      <c r="WK7" s="271">
        <v>183541</v>
      </c>
      <c r="WL7" s="271">
        <v>643735.06999999995</v>
      </c>
      <c r="WM7" s="271">
        <v>215079</v>
      </c>
      <c r="WN7" s="271">
        <v>204425</v>
      </c>
      <c r="WO7" s="271">
        <v>676085</v>
      </c>
      <c r="WP7" s="271">
        <v>327611</v>
      </c>
      <c r="WQ7" s="271">
        <v>82827.25</v>
      </c>
      <c r="WR7" s="271">
        <v>81031</v>
      </c>
      <c r="WS7" s="271">
        <v>39254</v>
      </c>
      <c r="WT7" s="271">
        <v>512390</v>
      </c>
      <c r="WU7" s="271">
        <v>995273.63</v>
      </c>
      <c r="WV7" s="271">
        <v>4603</v>
      </c>
      <c r="WW7" s="271">
        <v>40840</v>
      </c>
      <c r="WX7" s="271">
        <v>-3040</v>
      </c>
      <c r="WY7" s="271">
        <v>178860.36</v>
      </c>
      <c r="WZ7" s="271">
        <v>6844</v>
      </c>
      <c r="XA7" s="271">
        <v>0</v>
      </c>
      <c r="XB7" s="271">
        <v>4020</v>
      </c>
      <c r="XC7" s="271">
        <v>1632571.32</v>
      </c>
      <c r="XD7" s="271">
        <v>80014.39</v>
      </c>
      <c r="XE7" s="271">
        <v>11665</v>
      </c>
      <c r="XF7" s="271">
        <v>83282</v>
      </c>
      <c r="XG7" s="271">
        <v>0</v>
      </c>
      <c r="XH7" s="271">
        <v>5885357.29</v>
      </c>
      <c r="XI7" s="271">
        <v>457328.5</v>
      </c>
      <c r="XJ7" s="271">
        <v>29724</v>
      </c>
      <c r="XK7" s="271">
        <v>816001.75</v>
      </c>
      <c r="XL7" s="271">
        <v>116355</v>
      </c>
      <c r="XM7" s="271">
        <v>114173</v>
      </c>
      <c r="XN7" s="271">
        <v>292171.5</v>
      </c>
      <c r="XO7" s="271">
        <v>3265.75</v>
      </c>
      <c r="XP7" s="271">
        <v>33094</v>
      </c>
      <c r="XQ7" s="271">
        <v>656845.32999999996</v>
      </c>
      <c r="XR7" s="271">
        <v>82201</v>
      </c>
      <c r="XS7" s="271">
        <v>42427</v>
      </c>
      <c r="XT7" s="271">
        <v>58869</v>
      </c>
      <c r="XU7" s="271">
        <v>15333</v>
      </c>
      <c r="XV7" s="271">
        <v>0</v>
      </c>
      <c r="XW7" s="271">
        <v>48106</v>
      </c>
      <c r="XX7" s="271">
        <v>37753</v>
      </c>
      <c r="XY7" s="271">
        <v>0</v>
      </c>
      <c r="XZ7" s="271">
        <v>6176</v>
      </c>
      <c r="YA7" s="271">
        <v>10492</v>
      </c>
      <c r="YB7" s="271">
        <v>0</v>
      </c>
      <c r="YC7" s="271">
        <v>0</v>
      </c>
      <c r="YD7" s="271">
        <v>0</v>
      </c>
      <c r="YE7" s="271">
        <v>5097149.9400000004</v>
      </c>
      <c r="YF7" s="271">
        <v>13665</v>
      </c>
      <c r="YG7" s="271">
        <v>145100.29999999999</v>
      </c>
      <c r="YH7" s="271">
        <v>25641</v>
      </c>
      <c r="YI7" s="271">
        <v>1484287.62</v>
      </c>
      <c r="YJ7" s="271">
        <v>271865.25</v>
      </c>
      <c r="YK7" s="271">
        <v>256245</v>
      </c>
      <c r="YL7" s="271">
        <v>128921</v>
      </c>
      <c r="YM7" s="271">
        <v>558538</v>
      </c>
      <c r="YN7" s="271">
        <v>93530</v>
      </c>
      <c r="YO7" s="271">
        <v>108859</v>
      </c>
      <c r="YP7" s="271">
        <v>78425.5</v>
      </c>
      <c r="YQ7" s="271">
        <v>79755.75</v>
      </c>
      <c r="YR7" s="271">
        <v>0</v>
      </c>
      <c r="YS7" s="271">
        <v>0</v>
      </c>
      <c r="YT7" s="271">
        <v>0</v>
      </c>
      <c r="YU7" s="271">
        <v>1052.8999999999996</v>
      </c>
      <c r="YV7" s="271">
        <v>2567208.25</v>
      </c>
      <c r="YW7" s="271">
        <v>69701</v>
      </c>
      <c r="YX7" s="271">
        <v>146518</v>
      </c>
      <c r="YY7" s="271">
        <v>0</v>
      </c>
      <c r="YZ7" s="271">
        <v>0</v>
      </c>
      <c r="ZA7" s="271">
        <v>9043</v>
      </c>
      <c r="ZB7" s="271">
        <v>46871.81</v>
      </c>
      <c r="ZC7" s="271">
        <v>3057522.44</v>
      </c>
      <c r="ZD7" s="271">
        <v>0</v>
      </c>
      <c r="ZE7" s="271">
        <v>9530</v>
      </c>
      <c r="ZF7" s="271">
        <v>34874.25</v>
      </c>
      <c r="ZG7" s="271">
        <v>32005.13</v>
      </c>
      <c r="ZH7" s="271">
        <v>27341.25</v>
      </c>
      <c r="ZI7" s="271">
        <v>55781</v>
      </c>
      <c r="ZJ7" s="271">
        <v>0</v>
      </c>
      <c r="ZK7" s="271">
        <v>517517.25</v>
      </c>
      <c r="ZL7" s="271">
        <v>5101251.6900000004</v>
      </c>
      <c r="ZM7" s="271">
        <v>288494</v>
      </c>
      <c r="ZN7" s="271">
        <v>206657.75</v>
      </c>
      <c r="ZO7" s="271">
        <v>277831.65999999997</v>
      </c>
      <c r="ZP7" s="271">
        <v>709</v>
      </c>
      <c r="ZQ7" s="271">
        <v>39399.589999999997</v>
      </c>
      <c r="ZR7" s="271">
        <v>177370</v>
      </c>
      <c r="ZS7" s="271">
        <v>175094</v>
      </c>
      <c r="ZT7" s="271">
        <v>51643</v>
      </c>
      <c r="ZU7" s="271">
        <v>371307.83999999997</v>
      </c>
      <c r="ZV7" s="271">
        <v>9836.5</v>
      </c>
      <c r="ZW7" s="271">
        <v>92770</v>
      </c>
      <c r="ZX7" s="271">
        <v>46122.75</v>
      </c>
      <c r="ZY7" s="271">
        <v>41569</v>
      </c>
      <c r="ZZ7" s="271">
        <v>188105.25</v>
      </c>
      <c r="AAA7" s="271">
        <v>46812.3</v>
      </c>
      <c r="AAB7" s="271">
        <v>0</v>
      </c>
      <c r="AAC7" s="271">
        <v>78434.5</v>
      </c>
      <c r="AAD7" s="271">
        <v>0</v>
      </c>
      <c r="AAE7" s="271">
        <v>219341.36</v>
      </c>
      <c r="AAF7" s="271">
        <v>251169</v>
      </c>
      <c r="AAG7" s="271">
        <v>-5890.3300000000054</v>
      </c>
      <c r="AAH7" s="271">
        <v>826453.25</v>
      </c>
      <c r="AAI7" s="271">
        <v>48237</v>
      </c>
      <c r="AAJ7" s="271">
        <v>124750.25</v>
      </c>
      <c r="AAK7" s="271">
        <v>19152.5</v>
      </c>
      <c r="AAL7" s="271">
        <v>46377.25</v>
      </c>
      <c r="AAM7" s="271">
        <v>130530</v>
      </c>
      <c r="AAN7" s="271">
        <v>81604.26999999999</v>
      </c>
      <c r="AAO7" s="271">
        <v>19465154.039999999</v>
      </c>
      <c r="AAP7" s="271">
        <v>42106.75</v>
      </c>
      <c r="AAQ7" s="271">
        <v>11976.5</v>
      </c>
      <c r="AAR7" s="271">
        <v>301776</v>
      </c>
      <c r="AAS7" s="271">
        <v>68743.75</v>
      </c>
      <c r="AAT7" s="271">
        <v>13954</v>
      </c>
      <c r="AAU7" s="271">
        <v>68500.75</v>
      </c>
      <c r="AAV7" s="271">
        <v>166840</v>
      </c>
      <c r="AAW7" s="271">
        <v>452221.88</v>
      </c>
      <c r="AAX7" s="271">
        <v>50800</v>
      </c>
      <c r="AAY7" s="271">
        <v>148529.75</v>
      </c>
      <c r="AAZ7" s="271">
        <v>1238954.8799999999</v>
      </c>
      <c r="ABA7" s="271">
        <v>306014</v>
      </c>
      <c r="ABB7" s="271">
        <v>57770</v>
      </c>
      <c r="ABC7" s="271">
        <v>0</v>
      </c>
      <c r="ABD7" s="271">
        <v>19412.5</v>
      </c>
      <c r="ABE7" s="271">
        <v>9358.25</v>
      </c>
      <c r="ABF7" s="271">
        <v>160354.5</v>
      </c>
      <c r="ABG7" s="271">
        <v>0</v>
      </c>
      <c r="ABH7" s="271">
        <v>1068316</v>
      </c>
      <c r="ABI7" s="271">
        <v>1479954.85</v>
      </c>
      <c r="ABJ7" s="271">
        <v>110888</v>
      </c>
      <c r="ABK7" s="271">
        <v>0</v>
      </c>
      <c r="ABL7" s="271">
        <v>0</v>
      </c>
      <c r="ABM7" s="271">
        <v>6643</v>
      </c>
      <c r="ABN7" s="271">
        <v>57820</v>
      </c>
      <c r="ABO7" s="271">
        <v>12119896.609999999</v>
      </c>
      <c r="ABP7" s="271">
        <v>136458</v>
      </c>
      <c r="ABQ7" s="271">
        <v>1052</v>
      </c>
      <c r="ABR7" s="271">
        <v>3116873</v>
      </c>
      <c r="ABS7" s="271">
        <v>107762</v>
      </c>
      <c r="ABT7" s="271">
        <v>401798</v>
      </c>
      <c r="ABU7" s="271">
        <v>17763.7</v>
      </c>
      <c r="ABV7" s="271">
        <v>299445</v>
      </c>
      <c r="ABW7" s="271">
        <v>0</v>
      </c>
      <c r="ABX7" s="271">
        <v>5831574.1500000004</v>
      </c>
      <c r="ABY7" s="271">
        <v>0</v>
      </c>
      <c r="ABZ7" s="271">
        <v>228740.07</v>
      </c>
      <c r="ACA7" s="271">
        <v>111108</v>
      </c>
      <c r="ACB7" s="271">
        <v>3618</v>
      </c>
      <c r="ACC7" s="271">
        <v>634447</v>
      </c>
      <c r="ACD7" s="271">
        <v>8383</v>
      </c>
      <c r="ACE7" s="271">
        <v>57994</v>
      </c>
      <c r="ACF7" s="271">
        <v>28663</v>
      </c>
      <c r="ACG7" s="271">
        <v>0</v>
      </c>
      <c r="ACH7" s="271">
        <v>84555.5</v>
      </c>
      <c r="ACI7" s="271">
        <v>18992596.759999998</v>
      </c>
      <c r="ACJ7" s="271">
        <v>20794</v>
      </c>
      <c r="ACK7" s="271">
        <v>147899</v>
      </c>
      <c r="ACL7" s="271">
        <v>235507</v>
      </c>
      <c r="ACM7" s="271">
        <v>20541.25</v>
      </c>
      <c r="ACN7" s="271">
        <v>101109.7</v>
      </c>
      <c r="ACO7" s="271">
        <v>112145</v>
      </c>
      <c r="ACP7" s="271">
        <v>1486659.43</v>
      </c>
      <c r="ACQ7" s="271">
        <v>5487995.2400000002</v>
      </c>
      <c r="ACR7" s="271">
        <v>42186</v>
      </c>
      <c r="ACS7" s="271">
        <v>784850</v>
      </c>
      <c r="ACT7" s="271">
        <v>785770</v>
      </c>
      <c r="ACU7" s="271">
        <v>80530</v>
      </c>
      <c r="ACV7" s="271">
        <v>1903837</v>
      </c>
      <c r="ACW7" s="271">
        <v>262039</v>
      </c>
      <c r="ACX7" s="271">
        <v>21669</v>
      </c>
      <c r="ACY7" s="271">
        <v>27354</v>
      </c>
      <c r="ACZ7" s="271">
        <v>17362.7</v>
      </c>
      <c r="ADA7" s="271">
        <v>18341</v>
      </c>
      <c r="ADB7" s="271">
        <v>79843.5</v>
      </c>
      <c r="ADC7" s="271">
        <v>0</v>
      </c>
      <c r="ADD7" s="271">
        <v>0</v>
      </c>
      <c r="ADE7" s="271">
        <v>23633</v>
      </c>
      <c r="ADF7" s="271">
        <v>1536810.5</v>
      </c>
      <c r="ADG7" s="271">
        <v>474355.85</v>
      </c>
      <c r="ADH7" s="271">
        <v>1000</v>
      </c>
      <c r="ADI7" s="271">
        <v>17473</v>
      </c>
      <c r="ADJ7" s="271">
        <v>102574</v>
      </c>
      <c r="ADK7" s="271">
        <v>176</v>
      </c>
      <c r="ADL7" s="271">
        <v>132013.27000000002</v>
      </c>
      <c r="ADM7" s="271">
        <v>28323</v>
      </c>
      <c r="ADN7" s="271">
        <v>182308</v>
      </c>
      <c r="ADO7" s="271">
        <v>94738878.810000002</v>
      </c>
      <c r="ADP7" s="271">
        <v>89727</v>
      </c>
      <c r="ADQ7" s="271">
        <v>152105</v>
      </c>
      <c r="ADR7" s="271">
        <v>27867.66</v>
      </c>
      <c r="ADS7" s="271">
        <v>1090999</v>
      </c>
      <c r="ADT7" s="271">
        <v>128289</v>
      </c>
      <c r="ADU7" s="271">
        <v>57017</v>
      </c>
      <c r="ADV7" s="271">
        <v>0</v>
      </c>
      <c r="ADW7" s="271">
        <v>0</v>
      </c>
      <c r="ADX7" s="271">
        <v>3135</v>
      </c>
      <c r="ADY7" s="271">
        <v>10515679.859999999</v>
      </c>
      <c r="ADZ7" s="271">
        <v>12181116.07</v>
      </c>
      <c r="AEA7" s="271">
        <v>1147095</v>
      </c>
      <c r="AEB7" s="271">
        <v>209011.75</v>
      </c>
      <c r="AEC7" s="271">
        <v>1417537.58</v>
      </c>
      <c r="AED7" s="271">
        <v>459481.01999999996</v>
      </c>
      <c r="AEE7" s="271">
        <v>236422.3</v>
      </c>
      <c r="AEF7" s="271">
        <v>299744</v>
      </c>
      <c r="AEG7" s="271">
        <v>512552.72000000003</v>
      </c>
      <c r="AEH7" s="271">
        <v>199423</v>
      </c>
      <c r="AEI7" s="271">
        <v>275195</v>
      </c>
      <c r="AEJ7" s="271">
        <v>682138.5</v>
      </c>
      <c r="AEK7" s="271">
        <v>179062.5</v>
      </c>
      <c r="AEL7" s="271">
        <v>94335.25</v>
      </c>
      <c r="AEM7" s="271">
        <v>68518.5</v>
      </c>
      <c r="AEN7" s="271">
        <v>426767</v>
      </c>
      <c r="AEO7" s="271">
        <v>97680.5</v>
      </c>
      <c r="AEP7" s="271">
        <v>540304</v>
      </c>
      <c r="AEQ7" s="271">
        <v>123298</v>
      </c>
      <c r="AER7" s="271">
        <v>123548</v>
      </c>
      <c r="AES7" s="271">
        <v>13757497.390000001</v>
      </c>
      <c r="AET7" s="271">
        <v>37965</v>
      </c>
      <c r="AEU7" s="271">
        <v>47976</v>
      </c>
      <c r="AEV7" s="271">
        <v>76774.25</v>
      </c>
      <c r="AEW7" s="271">
        <v>21556.5</v>
      </c>
      <c r="AEX7" s="271">
        <v>71459</v>
      </c>
      <c r="AEY7" s="271">
        <v>0</v>
      </c>
      <c r="AEZ7" s="271">
        <v>44078.36</v>
      </c>
      <c r="AFA7" s="271">
        <v>19445</v>
      </c>
      <c r="AFB7" s="271">
        <v>8117.22</v>
      </c>
      <c r="AFC7" s="271">
        <v>5517286.2899999991</v>
      </c>
      <c r="AFD7" s="271">
        <v>5597894.8499999996</v>
      </c>
      <c r="AFE7" s="271">
        <v>209418.6</v>
      </c>
      <c r="AFF7" s="271">
        <v>254454.97</v>
      </c>
      <c r="AFG7" s="271">
        <v>483140.42</v>
      </c>
      <c r="AFH7" s="271">
        <v>450945</v>
      </c>
      <c r="AFI7" s="271">
        <v>121465</v>
      </c>
      <c r="AFJ7" s="271">
        <v>111783.47</v>
      </c>
      <c r="AFK7" s="271">
        <v>414963.5</v>
      </c>
      <c r="AFL7" s="271">
        <v>104977.5</v>
      </c>
      <c r="AFM7" s="271">
        <v>4206</v>
      </c>
      <c r="AFN7" s="271">
        <v>51147</v>
      </c>
      <c r="AFO7" s="271">
        <v>378782.84</v>
      </c>
      <c r="AFP7" s="271">
        <v>9210702.8200000003</v>
      </c>
      <c r="AFQ7" s="271">
        <v>1325570.4099999999</v>
      </c>
      <c r="AFR7" s="271">
        <v>186681</v>
      </c>
      <c r="AFS7" s="271">
        <v>164056.41</v>
      </c>
      <c r="AFT7" s="271">
        <v>448801</v>
      </c>
      <c r="AFU7" s="271">
        <v>515503</v>
      </c>
      <c r="AFV7" s="271">
        <v>138098</v>
      </c>
      <c r="AFW7" s="271">
        <v>192272</v>
      </c>
      <c r="AFX7" s="271">
        <v>1168666</v>
      </c>
      <c r="AFY7" s="271">
        <v>175498.65</v>
      </c>
      <c r="AFZ7" s="271">
        <v>949276</v>
      </c>
      <c r="AGA7" s="271">
        <v>5865</v>
      </c>
      <c r="AGB7" s="271">
        <v>18814223.350000001</v>
      </c>
      <c r="AGC7" s="271">
        <v>105178</v>
      </c>
      <c r="AGD7" s="271">
        <v>66288</v>
      </c>
      <c r="AGE7" s="271">
        <v>0</v>
      </c>
      <c r="AGF7" s="271">
        <v>209864</v>
      </c>
      <c r="AGG7" s="271">
        <v>12305</v>
      </c>
      <c r="AGH7" s="271">
        <v>17062.5</v>
      </c>
      <c r="AGI7" s="271">
        <v>0</v>
      </c>
      <c r="AGJ7" s="271">
        <v>41573.5</v>
      </c>
      <c r="AGK7" s="271">
        <v>35560</v>
      </c>
      <c r="AGL7" s="271">
        <v>20989.5</v>
      </c>
      <c r="AGM7" s="271">
        <v>13841643.720000001</v>
      </c>
      <c r="AGN7" s="271">
        <v>1129354.5</v>
      </c>
      <c r="AGO7" s="271">
        <v>886011.34</v>
      </c>
      <c r="AGP7" s="271">
        <v>73764</v>
      </c>
      <c r="AGQ7" s="271">
        <v>492706</v>
      </c>
      <c r="AGR7" s="271">
        <v>523827</v>
      </c>
      <c r="AGS7" s="271">
        <v>17772</v>
      </c>
      <c r="AGT7" s="271">
        <v>60539</v>
      </c>
      <c r="AGU7" s="271">
        <v>27853584.439999998</v>
      </c>
      <c r="AGV7" s="271">
        <v>5728109.75</v>
      </c>
      <c r="AGW7" s="271">
        <v>13969.25</v>
      </c>
      <c r="AGX7" s="271">
        <v>594136</v>
      </c>
      <c r="AGY7" s="271">
        <v>567515</v>
      </c>
      <c r="AGZ7" s="271">
        <v>539761.54999999993</v>
      </c>
      <c r="AHA7" s="271">
        <v>30485</v>
      </c>
      <c r="AHB7" s="271">
        <v>141950</v>
      </c>
      <c r="AHC7" s="271">
        <v>2926</v>
      </c>
      <c r="AHD7" s="271">
        <v>36911.75</v>
      </c>
      <c r="AHE7" s="271">
        <v>34079</v>
      </c>
      <c r="AHF7" s="271">
        <v>84807</v>
      </c>
      <c r="AHG7" s="271">
        <v>69038</v>
      </c>
      <c r="AHH7" s="271">
        <v>15002</v>
      </c>
      <c r="AHI7" s="271">
        <v>29548</v>
      </c>
      <c r="AHJ7" s="271">
        <v>66316.5</v>
      </c>
      <c r="AHK7" s="271">
        <v>26690</v>
      </c>
      <c r="AHL7" s="271">
        <v>2694311.18</v>
      </c>
      <c r="AHM7" s="271">
        <v>25503</v>
      </c>
      <c r="AHN7" s="271">
        <v>5927</v>
      </c>
      <c r="AHO7" s="271">
        <v>19255</v>
      </c>
      <c r="AHP7" s="271">
        <v>20988</v>
      </c>
      <c r="AHQ7" s="294">
        <v>0</v>
      </c>
      <c r="AHR7" s="331">
        <v>0</v>
      </c>
      <c r="AHS7" s="294">
        <f t="shared" si="0"/>
        <v>1109661283.2600005</v>
      </c>
      <c r="AHT7" s="269" t="b">
        <f t="shared" si="1"/>
        <v>1</v>
      </c>
      <c r="AHU7" s="269" t="s">
        <v>4</v>
      </c>
    </row>
    <row r="8" spans="2:905" ht="23.4" customHeight="1" x14ac:dyDescent="0.7">
      <c r="B8" s="268" t="s">
        <v>849</v>
      </c>
      <c r="C8" s="269" t="s">
        <v>664</v>
      </c>
      <c r="D8" s="271">
        <v>68990114.540000007</v>
      </c>
      <c r="E8" s="271">
        <v>1609067.72</v>
      </c>
      <c r="F8" s="271">
        <v>5275272.6100000003</v>
      </c>
      <c r="G8" s="271">
        <v>852709.12</v>
      </c>
      <c r="H8" s="271">
        <v>3611227.2</v>
      </c>
      <c r="I8" s="271">
        <v>663163.21000000008</v>
      </c>
      <c r="J8" s="271">
        <v>2862444.9499999997</v>
      </c>
      <c r="K8" s="271">
        <v>1029850.5200000001</v>
      </c>
      <c r="L8" s="271">
        <v>1641913.26</v>
      </c>
      <c r="M8" s="271">
        <v>1197808.3</v>
      </c>
      <c r="N8" s="271">
        <v>683493.98</v>
      </c>
      <c r="O8" s="271">
        <v>930655.35</v>
      </c>
      <c r="P8" s="271">
        <v>98854.540000000008</v>
      </c>
      <c r="Q8" s="271">
        <v>1102235.03</v>
      </c>
      <c r="R8" s="271">
        <v>500737.05</v>
      </c>
      <c r="S8" s="271">
        <v>3549071.22</v>
      </c>
      <c r="T8" s="271">
        <v>4829140.8499999996</v>
      </c>
      <c r="U8" s="271">
        <v>423803.1</v>
      </c>
      <c r="V8" s="271">
        <v>42683534</v>
      </c>
      <c r="W8" s="271">
        <v>8611131.0999999996</v>
      </c>
      <c r="X8" s="271">
        <v>1205538.5999999999</v>
      </c>
      <c r="Y8" s="271">
        <v>892019.62</v>
      </c>
      <c r="Z8" s="271">
        <v>1144411</v>
      </c>
      <c r="AA8" s="271">
        <v>968927.81</v>
      </c>
      <c r="AB8" s="271">
        <v>267254.62</v>
      </c>
      <c r="AC8" s="271">
        <v>9283947.3300000001</v>
      </c>
      <c r="AD8" s="271">
        <v>553136.65000000014</v>
      </c>
      <c r="AE8" s="271">
        <v>962700.3600000001</v>
      </c>
      <c r="AF8" s="271">
        <v>10305384.550000001</v>
      </c>
      <c r="AG8" s="271">
        <v>505670.32</v>
      </c>
      <c r="AH8" s="271">
        <v>2890341.7</v>
      </c>
      <c r="AI8" s="271">
        <v>1374063.01</v>
      </c>
      <c r="AJ8" s="271">
        <v>482610.63</v>
      </c>
      <c r="AK8" s="271">
        <v>519479.26</v>
      </c>
      <c r="AL8" s="271">
        <v>209978.87</v>
      </c>
      <c r="AM8" s="271">
        <v>822065.09000000008</v>
      </c>
      <c r="AN8" s="271">
        <v>300451.83</v>
      </c>
      <c r="AO8" s="271">
        <v>450899.85</v>
      </c>
      <c r="AP8" s="271">
        <v>463804.14999999997</v>
      </c>
      <c r="AQ8" s="271">
        <v>637424.45000000007</v>
      </c>
      <c r="AR8" s="271">
        <v>139993.66</v>
      </c>
      <c r="AS8" s="271">
        <v>147442.37000000002</v>
      </c>
      <c r="AT8" s="271">
        <v>40374456.330000006</v>
      </c>
      <c r="AU8" s="271">
        <v>748883.5</v>
      </c>
      <c r="AV8" s="271">
        <v>627203.94000000006</v>
      </c>
      <c r="AW8" s="271">
        <v>1681071.3699999999</v>
      </c>
      <c r="AX8" s="271">
        <v>1940613.86</v>
      </c>
      <c r="AY8" s="271">
        <v>2450510.8200000003</v>
      </c>
      <c r="AZ8" s="271">
        <v>491232.18000000005</v>
      </c>
      <c r="BA8" s="271">
        <v>667331.49000000011</v>
      </c>
      <c r="BB8" s="271">
        <v>437281.19</v>
      </c>
      <c r="BC8" s="271">
        <v>745250.34000000008</v>
      </c>
      <c r="BD8" s="271">
        <v>229643</v>
      </c>
      <c r="BE8" s="271">
        <v>363706.26000000007</v>
      </c>
      <c r="BF8" s="271">
        <v>9115377.1099999994</v>
      </c>
      <c r="BG8" s="271">
        <v>40915.25</v>
      </c>
      <c r="BH8" s="271">
        <v>562231.57999999996</v>
      </c>
      <c r="BI8" s="271">
        <v>28565404.77</v>
      </c>
      <c r="BJ8" s="271">
        <v>11113250.780000001</v>
      </c>
      <c r="BK8" s="271">
        <v>799904.27</v>
      </c>
      <c r="BL8" s="271">
        <v>1391848.41</v>
      </c>
      <c r="BM8" s="271">
        <v>913681.72</v>
      </c>
      <c r="BN8" s="271">
        <v>1109138</v>
      </c>
      <c r="BO8" s="271">
        <v>1280966.28</v>
      </c>
      <c r="BP8" s="271">
        <v>115368.86</v>
      </c>
      <c r="BQ8" s="271">
        <v>181307.25</v>
      </c>
      <c r="BR8" s="271">
        <v>34410979.359999999</v>
      </c>
      <c r="BS8" s="271">
        <v>2305854.67</v>
      </c>
      <c r="BT8" s="271">
        <v>881935.45</v>
      </c>
      <c r="BU8" s="271">
        <v>1726353.8199999998</v>
      </c>
      <c r="BV8" s="271">
        <v>1012468.6</v>
      </c>
      <c r="BW8" s="271">
        <v>611182.18999999994</v>
      </c>
      <c r="BX8" s="271">
        <v>867696.99</v>
      </c>
      <c r="BY8" s="271">
        <v>854196.01</v>
      </c>
      <c r="BZ8" s="271">
        <v>8694544.5700000003</v>
      </c>
      <c r="CA8" s="271">
        <v>967335.52</v>
      </c>
      <c r="CB8" s="271">
        <v>919303.99</v>
      </c>
      <c r="CC8" s="271">
        <v>2318023.7399999998</v>
      </c>
      <c r="CD8" s="271">
        <v>1128455.8899999999</v>
      </c>
      <c r="CE8" s="271">
        <v>315518.64999999997</v>
      </c>
      <c r="CF8" s="271">
        <v>181385.59</v>
      </c>
      <c r="CG8" s="271">
        <v>62011512.730000004</v>
      </c>
      <c r="CH8" s="271">
        <v>525443.88</v>
      </c>
      <c r="CI8" s="271">
        <v>3907905.0300000007</v>
      </c>
      <c r="CJ8" s="271">
        <v>620671.32999999996</v>
      </c>
      <c r="CK8" s="271">
        <v>828870.77</v>
      </c>
      <c r="CL8" s="271">
        <v>868500</v>
      </c>
      <c r="CM8" s="271">
        <v>624282.52</v>
      </c>
      <c r="CN8" s="271">
        <v>2220738.63</v>
      </c>
      <c r="CO8" s="271">
        <v>339455.12</v>
      </c>
      <c r="CP8" s="271">
        <v>752249.34000000008</v>
      </c>
      <c r="CQ8" s="271">
        <v>509299.77</v>
      </c>
      <c r="CR8" s="271">
        <v>847294.22000000009</v>
      </c>
      <c r="CS8" s="271">
        <v>831944.26</v>
      </c>
      <c r="CT8" s="271">
        <v>24910112.800000001</v>
      </c>
      <c r="CU8" s="271">
        <v>445939.37</v>
      </c>
      <c r="CV8" s="271">
        <v>1056969.49</v>
      </c>
      <c r="CW8" s="271">
        <v>2367547.6399999997</v>
      </c>
      <c r="CX8" s="271">
        <v>450471.82</v>
      </c>
      <c r="CY8" s="271">
        <v>1800352.96</v>
      </c>
      <c r="CZ8" s="271">
        <v>551289.43000000005</v>
      </c>
      <c r="DA8" s="271">
        <v>507259</v>
      </c>
      <c r="DB8" s="271">
        <v>17789025.859999999</v>
      </c>
      <c r="DC8" s="271">
        <v>19071794.920000002</v>
      </c>
      <c r="DD8" s="271">
        <v>1451562.52</v>
      </c>
      <c r="DE8" s="271">
        <v>746793.17</v>
      </c>
      <c r="DF8" s="271">
        <v>2459599.6500000004</v>
      </c>
      <c r="DG8" s="271">
        <v>753058.92000000016</v>
      </c>
      <c r="DH8" s="271">
        <v>1377536.46</v>
      </c>
      <c r="DI8" s="271">
        <v>1010341.58</v>
      </c>
      <c r="DJ8" s="271">
        <v>480153.95999999996</v>
      </c>
      <c r="DK8" s="271">
        <v>50043200.93</v>
      </c>
      <c r="DL8" s="271">
        <v>804979.3</v>
      </c>
      <c r="DM8" s="271">
        <v>813947.51</v>
      </c>
      <c r="DN8" s="271">
        <v>3328234.5300000003</v>
      </c>
      <c r="DO8" s="271">
        <v>1904483.9300000002</v>
      </c>
      <c r="DP8" s="271">
        <v>1049347.8599999999</v>
      </c>
      <c r="DQ8" s="271">
        <v>1281332.56</v>
      </c>
      <c r="DR8" s="271">
        <v>695018.72999999986</v>
      </c>
      <c r="DS8" s="271">
        <v>1854072.3900000001</v>
      </c>
      <c r="DT8" s="271">
        <v>22652393.210000001</v>
      </c>
      <c r="DU8" s="271">
        <v>685358.89</v>
      </c>
      <c r="DV8" s="271">
        <v>5671298.1100000003</v>
      </c>
      <c r="DW8" s="271">
        <v>4005238.8100000005</v>
      </c>
      <c r="DX8" s="271">
        <v>934275.49000000011</v>
      </c>
      <c r="DY8" s="271">
        <v>3049726.8600000003</v>
      </c>
      <c r="DZ8" s="271">
        <v>1036885.41</v>
      </c>
      <c r="EA8" s="271">
        <v>297540.43</v>
      </c>
      <c r="EB8" s="271">
        <v>726235.91999999993</v>
      </c>
      <c r="EC8" s="271">
        <v>500029.59</v>
      </c>
      <c r="ED8" s="271">
        <v>3855162.43</v>
      </c>
      <c r="EE8" s="271">
        <v>13695191.950000001</v>
      </c>
      <c r="EF8" s="271">
        <v>9794826.709999999</v>
      </c>
      <c r="EG8" s="271">
        <v>737193.85999999987</v>
      </c>
      <c r="EH8" s="271">
        <v>1572946.51</v>
      </c>
      <c r="EI8" s="271">
        <v>1083135.57</v>
      </c>
      <c r="EJ8" s="271">
        <v>1651672.06</v>
      </c>
      <c r="EK8" s="271">
        <v>4173340.5100000002</v>
      </c>
      <c r="EL8" s="271">
        <v>614677.11</v>
      </c>
      <c r="EM8" s="271">
        <v>1194986.18</v>
      </c>
      <c r="EN8" s="271">
        <v>45093812.329999998</v>
      </c>
      <c r="EO8" s="271">
        <v>1294384.8</v>
      </c>
      <c r="EP8" s="271">
        <v>1124893.6599999999</v>
      </c>
      <c r="EQ8" s="271">
        <v>1040456.74</v>
      </c>
      <c r="ER8" s="271">
        <v>637191.1399999999</v>
      </c>
      <c r="ES8" s="271">
        <v>327875.89</v>
      </c>
      <c r="ET8" s="271">
        <v>1366705.56</v>
      </c>
      <c r="EU8" s="271">
        <v>3445008.44</v>
      </c>
      <c r="EV8" s="271">
        <v>544646.03</v>
      </c>
      <c r="EW8" s="271">
        <v>18994986.299999997</v>
      </c>
      <c r="EX8" s="271">
        <v>299711.58999999997</v>
      </c>
      <c r="EY8" s="271">
        <v>708541.39000000013</v>
      </c>
      <c r="EZ8" s="271">
        <v>948391.87</v>
      </c>
      <c r="FA8" s="271">
        <v>2702253.4</v>
      </c>
      <c r="FB8" s="271">
        <v>2465711.85</v>
      </c>
      <c r="FC8" s="271">
        <v>1398418.81</v>
      </c>
      <c r="FD8" s="271">
        <v>1920685.51</v>
      </c>
      <c r="FE8" s="271">
        <v>595359.31999999995</v>
      </c>
      <c r="FF8" s="271">
        <v>667039.52999999991</v>
      </c>
      <c r="FG8" s="271">
        <v>900908.17</v>
      </c>
      <c r="FH8" s="271">
        <v>330838.51</v>
      </c>
      <c r="FI8" s="271">
        <v>14686993.699999999</v>
      </c>
      <c r="FJ8" s="271">
        <v>375426.06000000006</v>
      </c>
      <c r="FK8" s="271">
        <v>1008656.57</v>
      </c>
      <c r="FL8" s="271">
        <v>972897.34000000008</v>
      </c>
      <c r="FM8" s="271">
        <v>1359616.32</v>
      </c>
      <c r="FN8" s="271">
        <v>739018.84000000008</v>
      </c>
      <c r="FO8" s="271">
        <v>178272.02000000002</v>
      </c>
      <c r="FP8" s="271">
        <v>95892.5</v>
      </c>
      <c r="FQ8" s="271">
        <v>48592254.729999997</v>
      </c>
      <c r="FR8" s="271">
        <v>1647578.01</v>
      </c>
      <c r="FS8" s="271">
        <v>2683032.73</v>
      </c>
      <c r="FT8" s="271">
        <v>1083983.3100000003</v>
      </c>
      <c r="FU8" s="271">
        <v>1401104.85</v>
      </c>
      <c r="FV8" s="271">
        <v>608050.24999999988</v>
      </c>
      <c r="FW8" s="271">
        <v>2178133.19</v>
      </c>
      <c r="FX8" s="271">
        <v>1285689.8999999999</v>
      </c>
      <c r="FY8" s="271">
        <v>721295.19000000006</v>
      </c>
      <c r="FZ8" s="271">
        <v>1067192.5</v>
      </c>
      <c r="GA8" s="271">
        <v>3222471.3000000007</v>
      </c>
      <c r="GB8" s="271">
        <v>813497.54999999993</v>
      </c>
      <c r="GC8" s="271">
        <v>211266.21</v>
      </c>
      <c r="GD8" s="271">
        <v>123497.60000000001</v>
      </c>
      <c r="GE8" s="271">
        <v>20430833.189999998</v>
      </c>
      <c r="GF8" s="271">
        <v>624213.96000000008</v>
      </c>
      <c r="GG8" s="271">
        <v>512060.49999999994</v>
      </c>
      <c r="GH8" s="271">
        <v>3009240.74</v>
      </c>
      <c r="GI8" s="271">
        <v>662907.22</v>
      </c>
      <c r="GJ8" s="271">
        <v>634841.29</v>
      </c>
      <c r="GK8" s="271">
        <v>1078750.31</v>
      </c>
      <c r="GL8" s="271">
        <v>5893717.5200000014</v>
      </c>
      <c r="GM8" s="271">
        <v>232054.55</v>
      </c>
      <c r="GN8" s="271">
        <v>429110.51</v>
      </c>
      <c r="GO8" s="271">
        <v>156853</v>
      </c>
      <c r="GP8" s="271">
        <v>222712.25</v>
      </c>
      <c r="GQ8" s="271">
        <v>16576165.59</v>
      </c>
      <c r="GR8" s="271">
        <v>3318322.5599999996</v>
      </c>
      <c r="GS8" s="271">
        <v>627326.51</v>
      </c>
      <c r="GT8" s="271">
        <v>2830017.65</v>
      </c>
      <c r="GU8" s="271">
        <v>401523.23</v>
      </c>
      <c r="GV8" s="271">
        <v>1051485.03</v>
      </c>
      <c r="GW8" s="271">
        <v>1058944.44</v>
      </c>
      <c r="GX8" s="271">
        <v>136730.88</v>
      </c>
      <c r="GY8" s="271">
        <v>16404610.939999998</v>
      </c>
      <c r="GZ8" s="271">
        <v>871880</v>
      </c>
      <c r="HA8" s="271">
        <v>1630375.1400000001</v>
      </c>
      <c r="HB8" s="271">
        <v>1032886.2</v>
      </c>
      <c r="HC8" s="271">
        <v>33898011.579999998</v>
      </c>
      <c r="HD8" s="271">
        <v>1358192.14</v>
      </c>
      <c r="HE8" s="271">
        <v>2868130.7700000005</v>
      </c>
      <c r="HF8" s="271">
        <v>2622517.7299999995</v>
      </c>
      <c r="HG8" s="271">
        <v>1807705.87</v>
      </c>
      <c r="HH8" s="271">
        <v>2437088.2000000002</v>
      </c>
      <c r="HI8" s="271">
        <v>859266.36</v>
      </c>
      <c r="HJ8" s="271">
        <v>7096713.1800000006</v>
      </c>
      <c r="HK8" s="271">
        <v>383028.17</v>
      </c>
      <c r="HL8" s="271">
        <v>666834.88</v>
      </c>
      <c r="HM8" s="271">
        <v>508226</v>
      </c>
      <c r="HN8" s="271">
        <v>376006.99</v>
      </c>
      <c r="HO8" s="271">
        <v>1075039.2</v>
      </c>
      <c r="HP8" s="271">
        <v>517023.30000000005</v>
      </c>
      <c r="HQ8" s="271">
        <v>549175.46</v>
      </c>
      <c r="HR8" s="271">
        <v>21074959.500000004</v>
      </c>
      <c r="HS8" s="271">
        <v>8583563.7000000011</v>
      </c>
      <c r="HT8" s="271">
        <v>1454073.6500000001</v>
      </c>
      <c r="HU8" s="271">
        <v>936130.03</v>
      </c>
      <c r="HV8" s="271">
        <v>1537925.39</v>
      </c>
      <c r="HW8" s="271">
        <v>408915.53</v>
      </c>
      <c r="HX8" s="271">
        <v>1367368</v>
      </c>
      <c r="HY8" s="271">
        <v>624082.68000000005</v>
      </c>
      <c r="HZ8" s="271">
        <v>603267.01</v>
      </c>
      <c r="IA8" s="271">
        <v>642184.91999999993</v>
      </c>
      <c r="IB8" s="271">
        <v>1404956.96</v>
      </c>
      <c r="IC8" s="271">
        <v>1529442</v>
      </c>
      <c r="ID8" s="271">
        <v>141015.23000000001</v>
      </c>
      <c r="IE8" s="271">
        <v>2692114.0400000005</v>
      </c>
      <c r="IF8" s="271">
        <v>671288.84</v>
      </c>
      <c r="IG8" s="271">
        <v>417931.95000000007</v>
      </c>
      <c r="IH8" s="271">
        <v>18852656.990000002</v>
      </c>
      <c r="II8" s="271">
        <v>6665484.9999999991</v>
      </c>
      <c r="IJ8" s="271">
        <v>700991.43</v>
      </c>
      <c r="IK8" s="271">
        <v>1111428.0999999999</v>
      </c>
      <c r="IL8" s="271">
        <v>2577743.2599999998</v>
      </c>
      <c r="IM8" s="271">
        <v>612421.64</v>
      </c>
      <c r="IN8" s="271">
        <v>440854.18</v>
      </c>
      <c r="IO8" s="271">
        <v>498608.50999999995</v>
      </c>
      <c r="IP8" s="271">
        <v>336924.82</v>
      </c>
      <c r="IQ8" s="271">
        <v>373594.03</v>
      </c>
      <c r="IR8" s="271">
        <v>439045.09</v>
      </c>
      <c r="IS8" s="271">
        <v>39667391.789999999</v>
      </c>
      <c r="IT8" s="271">
        <v>8800617.0099999998</v>
      </c>
      <c r="IU8" s="271">
        <v>1677826.08</v>
      </c>
      <c r="IV8" s="271">
        <v>1341743</v>
      </c>
      <c r="IW8" s="271">
        <v>999526.24</v>
      </c>
      <c r="IX8" s="271">
        <v>696399.5</v>
      </c>
      <c r="IY8" s="271">
        <v>597643.30999999994</v>
      </c>
      <c r="IZ8" s="271">
        <v>263682.03000000003</v>
      </c>
      <c r="JA8" s="271">
        <v>1101926.1399999999</v>
      </c>
      <c r="JB8" s="271">
        <v>1656608.93</v>
      </c>
      <c r="JC8" s="271">
        <v>1210227</v>
      </c>
      <c r="JD8" s="271">
        <v>433083.75</v>
      </c>
      <c r="JE8" s="271">
        <v>16330591.959999999</v>
      </c>
      <c r="JF8" s="271">
        <v>2189686.2600000002</v>
      </c>
      <c r="JG8" s="271">
        <v>491146.48</v>
      </c>
      <c r="JH8" s="271">
        <v>352587.25</v>
      </c>
      <c r="JI8" s="271">
        <v>454916.76</v>
      </c>
      <c r="JJ8" s="271">
        <v>876437.48</v>
      </c>
      <c r="JK8" s="271">
        <v>22144827.539999999</v>
      </c>
      <c r="JL8" s="271">
        <v>508025.10000000003</v>
      </c>
      <c r="JM8" s="271">
        <v>2552325.5</v>
      </c>
      <c r="JN8" s="271">
        <v>2953180.9799999995</v>
      </c>
      <c r="JO8" s="271">
        <v>2133780.0599999996</v>
      </c>
      <c r="JP8" s="271">
        <v>3912030.8800000004</v>
      </c>
      <c r="JQ8" s="271">
        <v>755773.46000000008</v>
      </c>
      <c r="JR8" s="271">
        <v>34894036.439999998</v>
      </c>
      <c r="JS8" s="271">
        <v>9799899.3199999984</v>
      </c>
      <c r="JT8" s="271">
        <v>1323389.98</v>
      </c>
      <c r="JU8" s="271">
        <v>180567.77</v>
      </c>
      <c r="JV8" s="271">
        <v>2772390.7899999996</v>
      </c>
      <c r="JW8" s="271">
        <v>159370.84000000003</v>
      </c>
      <c r="JX8" s="271">
        <v>6945954.71</v>
      </c>
      <c r="JY8" s="271">
        <v>968510.48</v>
      </c>
      <c r="JZ8" s="271">
        <v>541019.21</v>
      </c>
      <c r="KA8" s="271">
        <v>1417152.88</v>
      </c>
      <c r="KB8" s="271">
        <v>2671532.62</v>
      </c>
      <c r="KC8" s="271">
        <v>1775899.06</v>
      </c>
      <c r="KD8" s="271">
        <v>426356.89</v>
      </c>
      <c r="KE8" s="271">
        <v>217818.16</v>
      </c>
      <c r="KF8" s="271">
        <v>573186.91</v>
      </c>
      <c r="KG8" s="271">
        <v>202133.37</v>
      </c>
      <c r="KH8" s="271">
        <v>32980440.719999999</v>
      </c>
      <c r="KI8" s="271">
        <v>1663633.18</v>
      </c>
      <c r="KJ8" s="271">
        <v>882507.36999999988</v>
      </c>
      <c r="KK8" s="271">
        <v>1909789.7899999998</v>
      </c>
      <c r="KL8" s="271">
        <v>1855712.33</v>
      </c>
      <c r="KM8" s="271">
        <v>1044063.75</v>
      </c>
      <c r="KN8" s="271">
        <v>2427530.4799999995</v>
      </c>
      <c r="KO8" s="271">
        <v>328301.67</v>
      </c>
      <c r="KP8" s="271">
        <v>968995.35</v>
      </c>
      <c r="KQ8" s="271">
        <v>11470923.710000001</v>
      </c>
      <c r="KR8" s="271">
        <v>1567875.0199999998</v>
      </c>
      <c r="KS8" s="271">
        <v>1397547.3800000001</v>
      </c>
      <c r="KT8" s="271">
        <v>5117605.7699999996</v>
      </c>
      <c r="KU8" s="271">
        <v>548408.55999999994</v>
      </c>
      <c r="KV8" s="271">
        <v>1804255.5599999998</v>
      </c>
      <c r="KW8" s="271">
        <v>22087741.710000001</v>
      </c>
      <c r="KX8" s="271">
        <v>2225641.6999999997</v>
      </c>
      <c r="KY8" s="271">
        <v>23933077.419999998</v>
      </c>
      <c r="KZ8" s="271">
        <v>1348580.16</v>
      </c>
      <c r="LA8" s="271">
        <v>233451.86000000002</v>
      </c>
      <c r="LB8" s="271">
        <v>4078974.97</v>
      </c>
      <c r="LC8" s="271">
        <v>5286122.8100000005</v>
      </c>
      <c r="LD8" s="271">
        <v>2912743.0999999996</v>
      </c>
      <c r="LE8" s="271">
        <v>746012.79</v>
      </c>
      <c r="LF8" s="271">
        <v>1063256.75</v>
      </c>
      <c r="LG8" s="271">
        <v>64785483.629999995</v>
      </c>
      <c r="LH8" s="271">
        <v>5562208.7299999995</v>
      </c>
      <c r="LI8" s="271">
        <v>8283785.5899999999</v>
      </c>
      <c r="LJ8" s="271">
        <v>8528089.2400000002</v>
      </c>
      <c r="LK8" s="271">
        <v>1466471.15</v>
      </c>
      <c r="LL8" s="271">
        <v>736064.06</v>
      </c>
      <c r="LM8" s="271">
        <v>744188.41999999993</v>
      </c>
      <c r="LN8" s="271">
        <v>496720.15</v>
      </c>
      <c r="LO8" s="271">
        <v>1043050.73</v>
      </c>
      <c r="LP8" s="271">
        <v>545809.6</v>
      </c>
      <c r="LQ8" s="271">
        <v>159571.70000000001</v>
      </c>
      <c r="LR8" s="271">
        <v>10912412.639999999</v>
      </c>
      <c r="LS8" s="271">
        <v>1802292.88</v>
      </c>
      <c r="LT8" s="271">
        <v>507627.12</v>
      </c>
      <c r="LU8" s="271">
        <v>39095810.930000007</v>
      </c>
      <c r="LV8" s="271">
        <v>8489397.1099999994</v>
      </c>
      <c r="LW8" s="271">
        <v>68510298.11999999</v>
      </c>
      <c r="LX8" s="271">
        <v>8507588.7200000007</v>
      </c>
      <c r="LY8" s="271">
        <v>5360378.2699999996</v>
      </c>
      <c r="LZ8" s="271">
        <v>3183666.3</v>
      </c>
      <c r="MA8" s="271">
        <v>4704925.26</v>
      </c>
      <c r="MB8" s="271">
        <v>3575135.28</v>
      </c>
      <c r="MC8" s="271">
        <v>4608325.5600000005</v>
      </c>
      <c r="MD8" s="271">
        <v>11615318.949999999</v>
      </c>
      <c r="ME8" s="271">
        <v>3199065.1999999997</v>
      </c>
      <c r="MF8" s="271">
        <v>954727.08</v>
      </c>
      <c r="MG8" s="271">
        <v>49419522.249999993</v>
      </c>
      <c r="MH8" s="271">
        <v>1344578.1799999997</v>
      </c>
      <c r="MI8" s="271">
        <v>1200498.8500000001</v>
      </c>
      <c r="MJ8" s="271">
        <v>266569.09999999998</v>
      </c>
      <c r="MK8" s="271">
        <v>436512.68</v>
      </c>
      <c r="ML8" s="271">
        <v>883077.37</v>
      </c>
      <c r="MM8" s="271">
        <v>446531.86000000004</v>
      </c>
      <c r="MN8" s="271">
        <v>991227.41999999993</v>
      </c>
      <c r="MO8" s="271">
        <v>570794.52999999991</v>
      </c>
      <c r="MP8" s="271">
        <v>314528.73</v>
      </c>
      <c r="MQ8" s="271">
        <v>647157.17000000004</v>
      </c>
      <c r="MR8" s="271">
        <v>442070.98</v>
      </c>
      <c r="MS8" s="271">
        <v>23434870.809999999</v>
      </c>
      <c r="MT8" s="271">
        <v>163551.44</v>
      </c>
      <c r="MU8" s="271">
        <v>2763618.22</v>
      </c>
      <c r="MV8" s="271">
        <v>2115318.8199999998</v>
      </c>
      <c r="MW8" s="271">
        <v>1107858.3500000001</v>
      </c>
      <c r="MX8" s="271">
        <v>1982096.68</v>
      </c>
      <c r="MY8" s="271">
        <v>3347863.3099999996</v>
      </c>
      <c r="MZ8" s="271">
        <v>1689764.2</v>
      </c>
      <c r="NA8" s="271">
        <v>1287346.6599999999</v>
      </c>
      <c r="NB8" s="271">
        <v>108707</v>
      </c>
      <c r="NC8" s="271">
        <v>294667.08999999997</v>
      </c>
      <c r="ND8" s="271">
        <v>40944768.549999997</v>
      </c>
      <c r="NE8" s="271">
        <v>2483192.33</v>
      </c>
      <c r="NF8" s="271">
        <v>249903.07</v>
      </c>
      <c r="NG8" s="271">
        <v>4893226.04</v>
      </c>
      <c r="NH8" s="271">
        <v>222406.57</v>
      </c>
      <c r="NI8" s="271">
        <v>739817.48</v>
      </c>
      <c r="NJ8" s="271">
        <v>6067831.709999999</v>
      </c>
      <c r="NK8" s="271">
        <v>950635.6</v>
      </c>
      <c r="NL8" s="271">
        <v>248501</v>
      </c>
      <c r="NM8" s="271">
        <v>487456.85</v>
      </c>
      <c r="NN8" s="271">
        <v>641897.68999999994</v>
      </c>
      <c r="NO8" s="271">
        <v>281808.48</v>
      </c>
      <c r="NP8" s="271">
        <v>7946066.5700000003</v>
      </c>
      <c r="NQ8" s="271">
        <v>316763.01</v>
      </c>
      <c r="NR8" s="271">
        <v>363378.85</v>
      </c>
      <c r="NS8" s="271">
        <v>590978.58000000007</v>
      </c>
      <c r="NT8" s="271">
        <v>871420.02999999991</v>
      </c>
      <c r="NU8" s="271">
        <v>33286</v>
      </c>
      <c r="NV8" s="271">
        <v>48917.5</v>
      </c>
      <c r="NW8" s="271">
        <v>23962992.140000001</v>
      </c>
      <c r="NX8" s="271">
        <v>3074778.28</v>
      </c>
      <c r="NY8" s="271">
        <v>538441.38</v>
      </c>
      <c r="NZ8" s="271">
        <v>826159.37999999989</v>
      </c>
      <c r="OA8" s="271">
        <v>438859.51</v>
      </c>
      <c r="OB8" s="271">
        <v>306099.89</v>
      </c>
      <c r="OC8" s="271">
        <v>346736.21</v>
      </c>
      <c r="OD8" s="271">
        <v>22820928.129999999</v>
      </c>
      <c r="OE8" s="271">
        <v>1500612.79</v>
      </c>
      <c r="OF8" s="271">
        <v>749918.64000000013</v>
      </c>
      <c r="OG8" s="271">
        <v>3979580.7400000007</v>
      </c>
      <c r="OH8" s="271">
        <v>1924129.3900000001</v>
      </c>
      <c r="OI8" s="271">
        <v>631108.70000000007</v>
      </c>
      <c r="OJ8" s="271">
        <v>671502</v>
      </c>
      <c r="OK8" s="271">
        <v>197382</v>
      </c>
      <c r="OL8" s="271">
        <v>157613</v>
      </c>
      <c r="OM8" s="271">
        <v>19645862.239999998</v>
      </c>
      <c r="ON8" s="271">
        <v>2424938.2599999998</v>
      </c>
      <c r="OO8" s="271">
        <v>4261148.8</v>
      </c>
      <c r="OP8" s="271">
        <v>1819452.66</v>
      </c>
      <c r="OQ8" s="271">
        <v>882800.27</v>
      </c>
      <c r="OR8" s="271">
        <v>245966.9</v>
      </c>
      <c r="OS8" s="271">
        <v>14478400.35</v>
      </c>
      <c r="OT8" s="271">
        <v>234122.65</v>
      </c>
      <c r="OU8" s="271">
        <v>460655.7</v>
      </c>
      <c r="OV8" s="271">
        <v>830236.27</v>
      </c>
      <c r="OW8" s="271">
        <v>1168015.1199999999</v>
      </c>
      <c r="OX8" s="271">
        <v>5927123.0799999991</v>
      </c>
      <c r="OY8" s="271">
        <v>476787.5</v>
      </c>
      <c r="OZ8" s="271">
        <v>415881.39999999997</v>
      </c>
      <c r="PA8" s="271">
        <v>333054.63</v>
      </c>
      <c r="PB8" s="271">
        <v>28660493.440000001</v>
      </c>
      <c r="PC8" s="271">
        <v>959772.94000000006</v>
      </c>
      <c r="PD8" s="271">
        <v>9026144.3200000003</v>
      </c>
      <c r="PE8" s="271">
        <v>452686.75</v>
      </c>
      <c r="PF8" s="271">
        <v>3316065.5</v>
      </c>
      <c r="PG8" s="271">
        <v>5599844.5600000005</v>
      </c>
      <c r="PH8" s="271">
        <v>1271054.02</v>
      </c>
      <c r="PI8" s="271">
        <v>727445.81</v>
      </c>
      <c r="PJ8" s="271">
        <v>3060103.73</v>
      </c>
      <c r="PK8" s="271">
        <v>2042830.0999999999</v>
      </c>
      <c r="PL8" s="271">
        <v>3553000.51</v>
      </c>
      <c r="PM8" s="271">
        <v>5931673.6799999997</v>
      </c>
      <c r="PN8" s="271">
        <v>977194.5</v>
      </c>
      <c r="PO8" s="271">
        <v>11172417.359999999</v>
      </c>
      <c r="PP8" s="271">
        <v>842245.74</v>
      </c>
      <c r="PQ8" s="271">
        <v>649953.49</v>
      </c>
      <c r="PR8" s="271">
        <v>135442.70000000001</v>
      </c>
      <c r="PS8" s="271">
        <v>482207.34</v>
      </c>
      <c r="PT8" s="271">
        <v>60228736.210000001</v>
      </c>
      <c r="PU8" s="271">
        <v>828457.5</v>
      </c>
      <c r="PV8" s="271">
        <v>912987.6</v>
      </c>
      <c r="PW8" s="271">
        <v>1328731.2100000002</v>
      </c>
      <c r="PX8" s="271">
        <v>17450775.080000002</v>
      </c>
      <c r="PY8" s="271">
        <v>753298.92000000016</v>
      </c>
      <c r="PZ8" s="271">
        <v>1957135.32</v>
      </c>
      <c r="QA8" s="271">
        <v>893614</v>
      </c>
      <c r="QB8" s="271">
        <v>5336667.01</v>
      </c>
      <c r="QC8" s="271">
        <v>597063.63</v>
      </c>
      <c r="QD8" s="271">
        <v>9324717.7699999996</v>
      </c>
      <c r="QE8" s="271">
        <v>1230646.5899999999</v>
      </c>
      <c r="QF8" s="271">
        <v>2287356.46</v>
      </c>
      <c r="QG8" s="271">
        <v>1504477.52</v>
      </c>
      <c r="QH8" s="271">
        <v>1046736.25</v>
      </c>
      <c r="QI8" s="271">
        <v>2671397.9699999997</v>
      </c>
      <c r="QJ8" s="271">
        <v>1583829.9600000002</v>
      </c>
      <c r="QK8" s="271">
        <v>483845.19000000006</v>
      </c>
      <c r="QL8" s="271">
        <v>420571.05999999994</v>
      </c>
      <c r="QM8" s="271">
        <v>4646842.9400000004</v>
      </c>
      <c r="QN8" s="271">
        <v>6172933.5799999991</v>
      </c>
      <c r="QO8" s="271">
        <v>381901.14</v>
      </c>
      <c r="QP8" s="271">
        <v>127236.75</v>
      </c>
      <c r="QQ8" s="271">
        <v>195682</v>
      </c>
      <c r="QR8" s="271">
        <v>310635.67</v>
      </c>
      <c r="QS8" s="271">
        <v>144796</v>
      </c>
      <c r="QT8" s="271">
        <v>38080250.810000002</v>
      </c>
      <c r="QU8" s="271">
        <v>1130165.2200000002</v>
      </c>
      <c r="QV8" s="271">
        <v>4371000.28</v>
      </c>
      <c r="QW8" s="271">
        <v>1006019.6399999999</v>
      </c>
      <c r="QX8" s="271">
        <v>949860.30000000016</v>
      </c>
      <c r="QY8" s="271">
        <v>8413300.4100000001</v>
      </c>
      <c r="QZ8" s="271">
        <v>1276917.72</v>
      </c>
      <c r="RA8" s="271">
        <v>3503441.1499999994</v>
      </c>
      <c r="RB8" s="271">
        <v>5755279.3099999996</v>
      </c>
      <c r="RC8" s="271">
        <v>829444.71999999986</v>
      </c>
      <c r="RD8" s="271">
        <v>599016.96000000008</v>
      </c>
      <c r="RE8" s="271">
        <v>1217454.4800000002</v>
      </c>
      <c r="RF8" s="271">
        <v>232028</v>
      </c>
      <c r="RG8" s="271">
        <v>73698895.480000004</v>
      </c>
      <c r="RH8" s="271">
        <v>6523145.7300000014</v>
      </c>
      <c r="RI8" s="271">
        <v>5279008</v>
      </c>
      <c r="RJ8" s="271">
        <v>1912627.68</v>
      </c>
      <c r="RK8" s="271">
        <v>914934.46</v>
      </c>
      <c r="RL8" s="271">
        <v>2539121.16</v>
      </c>
      <c r="RM8" s="271">
        <v>5576074.6699999999</v>
      </c>
      <c r="RN8" s="271">
        <v>1197693.51</v>
      </c>
      <c r="RO8" s="271">
        <v>1950624.57</v>
      </c>
      <c r="RP8" s="271">
        <v>4415935.55</v>
      </c>
      <c r="RQ8" s="271">
        <v>5333127.7600000007</v>
      </c>
      <c r="RR8" s="271">
        <v>682167.82000000007</v>
      </c>
      <c r="RS8" s="271">
        <v>728114.95999999985</v>
      </c>
      <c r="RT8" s="271">
        <v>1079422.48</v>
      </c>
      <c r="RU8" s="271">
        <v>572423.94999999995</v>
      </c>
      <c r="RV8" s="271">
        <v>1027611.8600000001</v>
      </c>
      <c r="RW8" s="271">
        <v>1043152.07</v>
      </c>
      <c r="RX8" s="271">
        <v>579354.1</v>
      </c>
      <c r="RY8" s="271">
        <v>286877</v>
      </c>
      <c r="RZ8" s="271">
        <v>540998.56000000006</v>
      </c>
      <c r="SA8" s="271">
        <v>16489287.789999999</v>
      </c>
      <c r="SB8" s="271">
        <v>1970438.91</v>
      </c>
      <c r="SC8" s="271">
        <v>779795.82</v>
      </c>
      <c r="SD8" s="271">
        <v>788383.39999999991</v>
      </c>
      <c r="SE8" s="271">
        <v>377563.38</v>
      </c>
      <c r="SF8" s="271">
        <v>2299838.3200000003</v>
      </c>
      <c r="SG8" s="271">
        <v>730963.16999999993</v>
      </c>
      <c r="SH8" s="271">
        <v>4692249.1400000006</v>
      </c>
      <c r="SI8" s="271">
        <v>578077.65999999992</v>
      </c>
      <c r="SJ8" s="271">
        <v>923679.38</v>
      </c>
      <c r="SK8" s="271">
        <v>3339185.59</v>
      </c>
      <c r="SL8" s="271">
        <v>388439.63999999996</v>
      </c>
      <c r="SM8" s="271">
        <v>11540171.76</v>
      </c>
      <c r="SN8" s="271">
        <v>879309.18</v>
      </c>
      <c r="SO8" s="271">
        <v>784533.86</v>
      </c>
      <c r="SP8" s="271">
        <v>3138833.0500000003</v>
      </c>
      <c r="SQ8" s="271">
        <v>703654.83</v>
      </c>
      <c r="SR8" s="271">
        <v>1248314.3399999999</v>
      </c>
      <c r="SS8" s="271">
        <v>1393742.3900000001</v>
      </c>
      <c r="ST8" s="271">
        <v>411934.58</v>
      </c>
      <c r="SU8" s="271">
        <v>23600096.789999995</v>
      </c>
      <c r="SV8" s="271">
        <v>743564.77</v>
      </c>
      <c r="SW8" s="271">
        <v>1115859.28</v>
      </c>
      <c r="SX8" s="271">
        <v>575567.93999999994</v>
      </c>
      <c r="SY8" s="271">
        <v>533165.04</v>
      </c>
      <c r="SZ8" s="271">
        <v>774640.4</v>
      </c>
      <c r="TA8" s="271">
        <v>946499.41</v>
      </c>
      <c r="TB8" s="271">
        <v>4450748.29</v>
      </c>
      <c r="TC8" s="271">
        <v>612021.15999999992</v>
      </c>
      <c r="TD8" s="271">
        <v>1002906.24</v>
      </c>
      <c r="TE8" s="271">
        <v>540149.86</v>
      </c>
      <c r="TF8" s="271">
        <v>1691259.1199999999</v>
      </c>
      <c r="TG8" s="271">
        <v>756631.84</v>
      </c>
      <c r="TH8" s="271">
        <v>553051.43999999994</v>
      </c>
      <c r="TI8" s="271">
        <v>54929779.870000005</v>
      </c>
      <c r="TJ8" s="271">
        <v>681717.71</v>
      </c>
      <c r="TK8" s="271">
        <v>919389.80999999994</v>
      </c>
      <c r="TL8" s="271">
        <v>1764034.71</v>
      </c>
      <c r="TM8" s="271">
        <v>2782096.17</v>
      </c>
      <c r="TN8" s="271">
        <v>1837198.2799999998</v>
      </c>
      <c r="TO8" s="271">
        <v>419071.74</v>
      </c>
      <c r="TP8" s="271">
        <v>10095980</v>
      </c>
      <c r="TQ8" s="271">
        <v>1126780.1499999999</v>
      </c>
      <c r="TR8" s="271">
        <v>2364672.48</v>
      </c>
      <c r="TS8" s="271">
        <v>2272124.87</v>
      </c>
      <c r="TT8" s="271">
        <v>749540.74</v>
      </c>
      <c r="TU8" s="271">
        <v>344450.2</v>
      </c>
      <c r="TV8" s="271">
        <v>924854.44000000006</v>
      </c>
      <c r="TW8" s="271">
        <v>599677.86</v>
      </c>
      <c r="TX8" s="271">
        <v>943338.2300000001</v>
      </c>
      <c r="TY8" s="271">
        <v>12334542.859999999</v>
      </c>
      <c r="TZ8" s="271">
        <v>528514.59000000008</v>
      </c>
      <c r="UA8" s="271">
        <v>24936889.560000002</v>
      </c>
      <c r="UB8" s="271">
        <v>2938373.87</v>
      </c>
      <c r="UC8" s="271">
        <v>760052.77</v>
      </c>
      <c r="UD8" s="271">
        <v>914428.3600000001</v>
      </c>
      <c r="UE8" s="271">
        <v>16801840.18</v>
      </c>
      <c r="UF8" s="271">
        <v>347067.19</v>
      </c>
      <c r="UG8" s="271">
        <v>714476.39</v>
      </c>
      <c r="UH8" s="271">
        <v>484459.33999999997</v>
      </c>
      <c r="UI8" s="271">
        <v>591382.62</v>
      </c>
      <c r="UJ8" s="271">
        <v>16774505.380000001</v>
      </c>
      <c r="UK8" s="271">
        <v>1098532.3599999999</v>
      </c>
      <c r="UL8" s="271">
        <v>954743.99999999988</v>
      </c>
      <c r="UM8" s="271">
        <v>1447569.95</v>
      </c>
      <c r="UN8" s="271">
        <v>1247132.1600000001</v>
      </c>
      <c r="UO8" s="271">
        <v>856194.96000000008</v>
      </c>
      <c r="UP8" s="271">
        <v>69307926.719999999</v>
      </c>
      <c r="UQ8" s="271">
        <v>1413366.58</v>
      </c>
      <c r="UR8" s="271">
        <v>1179735.72</v>
      </c>
      <c r="US8" s="271">
        <v>12396090.669999998</v>
      </c>
      <c r="UT8" s="271">
        <v>662077</v>
      </c>
      <c r="UU8" s="271">
        <v>601197.94000000006</v>
      </c>
      <c r="UV8" s="271">
        <v>2749670.0500000003</v>
      </c>
      <c r="UW8" s="271">
        <v>787811.25999999989</v>
      </c>
      <c r="UX8" s="271">
        <v>544496.29</v>
      </c>
      <c r="UY8" s="271">
        <v>1184487.24</v>
      </c>
      <c r="UZ8" s="271">
        <v>1329169.47</v>
      </c>
      <c r="VA8" s="271">
        <v>4972412.8499999996</v>
      </c>
      <c r="VB8" s="271">
        <v>1085228.6200000001</v>
      </c>
      <c r="VC8" s="271">
        <v>2306825.5299999998</v>
      </c>
      <c r="VD8" s="271">
        <v>992020.6</v>
      </c>
      <c r="VE8" s="271">
        <v>357980.27</v>
      </c>
      <c r="VF8" s="271">
        <v>345293.26</v>
      </c>
      <c r="VG8" s="271">
        <v>742843.05999999994</v>
      </c>
      <c r="VH8" s="271">
        <v>4317645.6900000004</v>
      </c>
      <c r="VI8" s="271">
        <v>428936.76</v>
      </c>
      <c r="VJ8" s="271">
        <v>190509.55</v>
      </c>
      <c r="VK8" s="271">
        <v>260621.93</v>
      </c>
      <c r="VL8" s="271">
        <v>30008235.489999998</v>
      </c>
      <c r="VM8" s="271">
        <v>1934789.25</v>
      </c>
      <c r="VN8" s="271">
        <v>858424.95000000007</v>
      </c>
      <c r="VO8" s="271">
        <v>2036029.3199999998</v>
      </c>
      <c r="VP8" s="271">
        <v>5555921.5099999988</v>
      </c>
      <c r="VQ8" s="271">
        <v>4540248.67</v>
      </c>
      <c r="VR8" s="271">
        <v>1218298.1499999997</v>
      </c>
      <c r="VS8" s="271">
        <v>1223668.82</v>
      </c>
      <c r="VT8" s="271">
        <v>374679</v>
      </c>
      <c r="VU8" s="271">
        <v>10170402.779999999</v>
      </c>
      <c r="VV8" s="271">
        <v>812991.50000000012</v>
      </c>
      <c r="VW8" s="271">
        <v>1955132.8</v>
      </c>
      <c r="VX8" s="271">
        <v>1063561.8800000001</v>
      </c>
      <c r="VY8" s="271">
        <v>464834.26999999996</v>
      </c>
      <c r="VZ8" s="271">
        <v>621707.69999999995</v>
      </c>
      <c r="WA8" s="271">
        <v>163464305.56</v>
      </c>
      <c r="WB8" s="271">
        <v>2207397.5499999993</v>
      </c>
      <c r="WC8" s="271">
        <v>803259.06</v>
      </c>
      <c r="WD8" s="271">
        <v>529871.07000000007</v>
      </c>
      <c r="WE8" s="271">
        <v>552161.20000000007</v>
      </c>
      <c r="WF8" s="271">
        <v>872209.37000000011</v>
      </c>
      <c r="WG8" s="271">
        <v>1426558.01</v>
      </c>
      <c r="WH8" s="271">
        <v>2284730.5599999996</v>
      </c>
      <c r="WI8" s="271">
        <v>1355388.8599999999</v>
      </c>
      <c r="WJ8" s="271">
        <v>1846409.7000000002</v>
      </c>
      <c r="WK8" s="271">
        <v>1306728.98</v>
      </c>
      <c r="WL8" s="271">
        <v>9961766.0999999978</v>
      </c>
      <c r="WM8" s="271">
        <v>2188674.5699999998</v>
      </c>
      <c r="WN8" s="271">
        <v>2253736.4400000004</v>
      </c>
      <c r="WO8" s="271">
        <v>3831138.7499999995</v>
      </c>
      <c r="WP8" s="271">
        <v>1237200.1400000001</v>
      </c>
      <c r="WQ8" s="271">
        <v>3526045.56</v>
      </c>
      <c r="WR8" s="271">
        <v>1279232.57</v>
      </c>
      <c r="WS8" s="271">
        <v>721966.26</v>
      </c>
      <c r="WT8" s="271">
        <v>1788898.3500000003</v>
      </c>
      <c r="WU8" s="271">
        <v>5368199.6000000006</v>
      </c>
      <c r="WV8" s="271">
        <v>722262.10000000009</v>
      </c>
      <c r="WW8" s="271">
        <v>419420.14999999997</v>
      </c>
      <c r="WX8" s="271">
        <v>361531</v>
      </c>
      <c r="WY8" s="271">
        <v>215670.61000000004</v>
      </c>
      <c r="WZ8" s="271">
        <v>950864.33000000007</v>
      </c>
      <c r="XA8" s="271">
        <v>754360</v>
      </c>
      <c r="XB8" s="271">
        <v>617218.36</v>
      </c>
      <c r="XC8" s="271">
        <v>5864226.96</v>
      </c>
      <c r="XD8" s="271">
        <v>727892.58</v>
      </c>
      <c r="XE8" s="271">
        <v>562705.59</v>
      </c>
      <c r="XF8" s="271">
        <v>312416.7</v>
      </c>
      <c r="XG8" s="271">
        <v>417492.5</v>
      </c>
      <c r="XH8" s="271">
        <v>66098604.789999992</v>
      </c>
      <c r="XI8" s="271">
        <v>1759812.81</v>
      </c>
      <c r="XJ8" s="271">
        <v>1437809.35</v>
      </c>
      <c r="XK8" s="271">
        <v>18322039.07</v>
      </c>
      <c r="XL8" s="271">
        <v>1578755.8</v>
      </c>
      <c r="XM8" s="271">
        <v>1678707.69</v>
      </c>
      <c r="XN8" s="271">
        <v>3532644.5199999996</v>
      </c>
      <c r="XO8" s="271">
        <v>1651636.93</v>
      </c>
      <c r="XP8" s="271">
        <v>2554581.5600000005</v>
      </c>
      <c r="XQ8" s="271">
        <v>7634867.0100000007</v>
      </c>
      <c r="XR8" s="271">
        <v>2883090.2</v>
      </c>
      <c r="XS8" s="271">
        <v>649757.99</v>
      </c>
      <c r="XT8" s="271">
        <v>993772.08000000007</v>
      </c>
      <c r="XU8" s="271">
        <v>841263.3600000001</v>
      </c>
      <c r="XV8" s="271">
        <v>888938.12</v>
      </c>
      <c r="XW8" s="271">
        <v>611283.96000000008</v>
      </c>
      <c r="XX8" s="271">
        <v>444472.55</v>
      </c>
      <c r="XY8" s="271">
        <v>660210.81999999995</v>
      </c>
      <c r="XZ8" s="271">
        <v>1241994.96</v>
      </c>
      <c r="YA8" s="271">
        <v>743430.58</v>
      </c>
      <c r="YB8" s="271">
        <v>713786.4</v>
      </c>
      <c r="YC8" s="271">
        <v>1388388.94</v>
      </c>
      <c r="YD8" s="271">
        <v>757392.44000000006</v>
      </c>
      <c r="YE8" s="271">
        <v>51445427.359999999</v>
      </c>
      <c r="YF8" s="271">
        <v>1835808.26</v>
      </c>
      <c r="YG8" s="271">
        <v>4268684.97</v>
      </c>
      <c r="YH8" s="271">
        <v>654131.54</v>
      </c>
      <c r="YI8" s="271">
        <v>4733927.8500000006</v>
      </c>
      <c r="YJ8" s="271">
        <v>597992.90999999992</v>
      </c>
      <c r="YK8" s="271">
        <v>2242988.04</v>
      </c>
      <c r="YL8" s="271">
        <v>617926.43000000005</v>
      </c>
      <c r="YM8" s="271">
        <v>3898997.73</v>
      </c>
      <c r="YN8" s="271">
        <v>2624752.46</v>
      </c>
      <c r="YO8" s="271">
        <v>2114905.0100000002</v>
      </c>
      <c r="YP8" s="271">
        <v>928597.99</v>
      </c>
      <c r="YQ8" s="271">
        <v>563035.16</v>
      </c>
      <c r="YR8" s="271">
        <v>357518.2</v>
      </c>
      <c r="YS8" s="271">
        <v>328275.59999999998</v>
      </c>
      <c r="YT8" s="271">
        <v>164208.01</v>
      </c>
      <c r="YU8" s="271">
        <v>547550.65999999992</v>
      </c>
      <c r="YV8" s="271">
        <v>15949439.749999998</v>
      </c>
      <c r="YW8" s="271">
        <v>723478.27</v>
      </c>
      <c r="YX8" s="271">
        <v>1678679.54</v>
      </c>
      <c r="YY8" s="271">
        <v>1848212.9</v>
      </c>
      <c r="YZ8" s="271">
        <v>2246140.52</v>
      </c>
      <c r="ZA8" s="271">
        <v>366741.45999999996</v>
      </c>
      <c r="ZB8" s="271">
        <v>1060845.0299999998</v>
      </c>
      <c r="ZC8" s="271">
        <v>10622781.719999995</v>
      </c>
      <c r="ZD8" s="271">
        <v>522961.57</v>
      </c>
      <c r="ZE8" s="271">
        <v>3336188.46</v>
      </c>
      <c r="ZF8" s="271">
        <v>1823287.3499999999</v>
      </c>
      <c r="ZG8" s="271">
        <v>709805.77000000014</v>
      </c>
      <c r="ZH8" s="271">
        <v>897298.12</v>
      </c>
      <c r="ZI8" s="271">
        <v>729587.64</v>
      </c>
      <c r="ZJ8" s="271">
        <v>543064.1</v>
      </c>
      <c r="ZK8" s="271">
        <v>6561258.9300000006</v>
      </c>
      <c r="ZL8" s="271">
        <v>49557727.660000004</v>
      </c>
      <c r="ZM8" s="271">
        <v>1191231.1899999997</v>
      </c>
      <c r="ZN8" s="271">
        <v>4818027.97</v>
      </c>
      <c r="ZO8" s="271">
        <v>9724869.120000001</v>
      </c>
      <c r="ZP8" s="271">
        <v>4306750.41</v>
      </c>
      <c r="ZQ8" s="271">
        <v>536877.84</v>
      </c>
      <c r="ZR8" s="271">
        <v>1118917.9700000002</v>
      </c>
      <c r="ZS8" s="271">
        <v>4528155.1599999992</v>
      </c>
      <c r="ZT8" s="271">
        <v>7053824.3600000013</v>
      </c>
      <c r="ZU8" s="271">
        <v>5545611.3899999997</v>
      </c>
      <c r="ZV8" s="271">
        <v>1006947.27</v>
      </c>
      <c r="ZW8" s="271">
        <v>936150.38</v>
      </c>
      <c r="ZX8" s="271">
        <v>860666.36</v>
      </c>
      <c r="ZY8" s="271">
        <v>3347528.2700000005</v>
      </c>
      <c r="ZZ8" s="271">
        <v>771525.03999999992</v>
      </c>
      <c r="AAA8" s="271">
        <v>984216.57</v>
      </c>
      <c r="AAB8" s="271">
        <v>901127.44</v>
      </c>
      <c r="AAC8" s="271">
        <v>567322.72</v>
      </c>
      <c r="AAD8" s="271">
        <v>1104144.1199999999</v>
      </c>
      <c r="AAE8" s="271">
        <v>894181.74000000011</v>
      </c>
      <c r="AAF8" s="271">
        <v>726162.3</v>
      </c>
      <c r="AAG8" s="271">
        <v>514482.31999999995</v>
      </c>
      <c r="AAH8" s="271">
        <v>18566694.949999999</v>
      </c>
      <c r="AAI8" s="271">
        <v>438250.18</v>
      </c>
      <c r="AAJ8" s="271">
        <v>2083111.26</v>
      </c>
      <c r="AAK8" s="271">
        <v>1577699.34</v>
      </c>
      <c r="AAL8" s="271">
        <v>768212.52</v>
      </c>
      <c r="AAM8" s="271">
        <v>3882542.11</v>
      </c>
      <c r="AAN8" s="271">
        <v>753319.5199999999</v>
      </c>
      <c r="AAO8" s="271">
        <v>111909346.29999998</v>
      </c>
      <c r="AAP8" s="271">
        <v>1077394.54</v>
      </c>
      <c r="AAQ8" s="271">
        <v>440473.98</v>
      </c>
      <c r="AAR8" s="271">
        <v>6213271.8300000001</v>
      </c>
      <c r="AAS8" s="271">
        <v>3222578.97</v>
      </c>
      <c r="AAT8" s="271">
        <v>734776.10000000009</v>
      </c>
      <c r="AAU8" s="271">
        <v>1169895.26</v>
      </c>
      <c r="AAV8" s="271">
        <v>933673.51</v>
      </c>
      <c r="AAW8" s="271">
        <v>6462568.7200000007</v>
      </c>
      <c r="AAX8" s="271">
        <v>1026911.9800000001</v>
      </c>
      <c r="AAY8" s="271">
        <v>1806194.73</v>
      </c>
      <c r="AAZ8" s="271">
        <v>9057956.0899999999</v>
      </c>
      <c r="ABA8" s="271">
        <v>5032420.9899999993</v>
      </c>
      <c r="ABB8" s="271">
        <v>429592.81</v>
      </c>
      <c r="ABC8" s="271">
        <v>1126890.7799999998</v>
      </c>
      <c r="ABD8" s="271">
        <v>694632.66</v>
      </c>
      <c r="ABE8" s="271">
        <v>575427.85</v>
      </c>
      <c r="ABF8" s="271">
        <v>680161.2</v>
      </c>
      <c r="ABG8" s="271">
        <v>1222247.3499999999</v>
      </c>
      <c r="ABH8" s="271">
        <v>15138371.390000001</v>
      </c>
      <c r="ABI8" s="271">
        <v>14168226.700000001</v>
      </c>
      <c r="ABJ8" s="271">
        <v>705672.41</v>
      </c>
      <c r="ABK8" s="271">
        <v>513656.60000000009</v>
      </c>
      <c r="ABL8" s="271">
        <v>142826.82</v>
      </c>
      <c r="ABM8" s="271">
        <v>799145.39</v>
      </c>
      <c r="ABN8" s="271">
        <v>225726.5</v>
      </c>
      <c r="ABO8" s="271">
        <v>15571779.790000001</v>
      </c>
      <c r="ABP8" s="271">
        <v>738959.35</v>
      </c>
      <c r="ABQ8" s="271">
        <v>528489.44999999995</v>
      </c>
      <c r="ABR8" s="271">
        <v>858114.32</v>
      </c>
      <c r="ABS8" s="271">
        <v>1152197.18</v>
      </c>
      <c r="ABT8" s="271">
        <v>1229476.68</v>
      </c>
      <c r="ABU8" s="271">
        <v>858340.33000000007</v>
      </c>
      <c r="ABV8" s="271">
        <v>619096.02999999991</v>
      </c>
      <c r="ABW8" s="271">
        <v>2035</v>
      </c>
      <c r="ABX8" s="271">
        <v>18959993.939999998</v>
      </c>
      <c r="ABY8" s="271">
        <v>465585.61000000004</v>
      </c>
      <c r="ABZ8" s="271">
        <v>974777.49000000011</v>
      </c>
      <c r="ACA8" s="271">
        <v>489169.54</v>
      </c>
      <c r="ACB8" s="271">
        <v>352051.16</v>
      </c>
      <c r="ACC8" s="271">
        <v>3924666.3199999994</v>
      </c>
      <c r="ACD8" s="271">
        <v>678210.84</v>
      </c>
      <c r="ACE8" s="271">
        <v>570893.39</v>
      </c>
      <c r="ACF8" s="271">
        <v>564176.92999999993</v>
      </c>
      <c r="ACG8" s="271">
        <v>1807164.93</v>
      </c>
      <c r="ACH8" s="271">
        <v>411246.22</v>
      </c>
      <c r="ACI8" s="271">
        <v>51212279.670000002</v>
      </c>
      <c r="ACJ8" s="271">
        <v>492297.63999999996</v>
      </c>
      <c r="ACK8" s="271">
        <v>1614548.74</v>
      </c>
      <c r="ACL8" s="271">
        <v>1122108.51</v>
      </c>
      <c r="ACM8" s="271">
        <v>414283.83</v>
      </c>
      <c r="ACN8" s="271">
        <v>1848093.0699999998</v>
      </c>
      <c r="ACO8" s="271">
        <v>1568264.47</v>
      </c>
      <c r="ACP8" s="271">
        <v>9310457.3900000006</v>
      </c>
      <c r="ACQ8" s="271">
        <v>13662811.219999999</v>
      </c>
      <c r="ACR8" s="271">
        <v>495752.75999999995</v>
      </c>
      <c r="ACS8" s="271">
        <v>945532.82000000007</v>
      </c>
      <c r="ACT8" s="271">
        <v>3186173</v>
      </c>
      <c r="ACU8" s="271">
        <v>1120601</v>
      </c>
      <c r="ACV8" s="271">
        <v>9396533.8599999994</v>
      </c>
      <c r="ACW8" s="271">
        <v>728332.53</v>
      </c>
      <c r="ACX8" s="271">
        <v>1663229.64</v>
      </c>
      <c r="ACY8" s="271">
        <v>525729.73</v>
      </c>
      <c r="ACZ8" s="271">
        <v>578921.79</v>
      </c>
      <c r="ADA8" s="271">
        <v>635949.65</v>
      </c>
      <c r="ADB8" s="271">
        <v>241095.54</v>
      </c>
      <c r="ADC8" s="271">
        <v>401433.17</v>
      </c>
      <c r="ADD8" s="271">
        <v>168447.25</v>
      </c>
      <c r="ADE8" s="271">
        <v>416308.5</v>
      </c>
      <c r="ADF8" s="271">
        <v>11361568.619999997</v>
      </c>
      <c r="ADG8" s="271">
        <v>6610592.410000002</v>
      </c>
      <c r="ADH8" s="271">
        <v>283892.31</v>
      </c>
      <c r="ADI8" s="271">
        <v>239554</v>
      </c>
      <c r="ADJ8" s="271">
        <v>751419.05999999994</v>
      </c>
      <c r="ADK8" s="271">
        <v>406557.5</v>
      </c>
      <c r="ADL8" s="271">
        <v>669465.08000000007</v>
      </c>
      <c r="ADM8" s="271">
        <v>768784.08000000007</v>
      </c>
      <c r="ADN8" s="271">
        <v>345823.5</v>
      </c>
      <c r="ADO8" s="271">
        <v>40692399.150000006</v>
      </c>
      <c r="ADP8" s="271">
        <v>1971349.7</v>
      </c>
      <c r="ADQ8" s="271">
        <v>1180592.52</v>
      </c>
      <c r="ADR8" s="271">
        <v>320603.01</v>
      </c>
      <c r="ADS8" s="271">
        <v>8233688.3200000003</v>
      </c>
      <c r="ADT8" s="271">
        <v>145588.04</v>
      </c>
      <c r="ADU8" s="271">
        <v>238830</v>
      </c>
      <c r="ADV8" s="271">
        <v>573216.93000000005</v>
      </c>
      <c r="ADW8" s="271">
        <v>166147.72</v>
      </c>
      <c r="ADX8" s="271">
        <v>36</v>
      </c>
      <c r="ADY8" s="271">
        <v>60244142.679999992</v>
      </c>
      <c r="ADZ8" s="271">
        <v>2951930.1800000006</v>
      </c>
      <c r="AEA8" s="271">
        <v>3291823.73</v>
      </c>
      <c r="AEB8" s="271">
        <v>552307.85000000009</v>
      </c>
      <c r="AEC8" s="271">
        <v>495659.39</v>
      </c>
      <c r="AED8" s="271">
        <v>1499479.1</v>
      </c>
      <c r="AEE8" s="271">
        <v>647324</v>
      </c>
      <c r="AEF8" s="271">
        <v>730868.34</v>
      </c>
      <c r="AEG8" s="271">
        <v>685865.82000000007</v>
      </c>
      <c r="AEH8" s="271">
        <v>570683.59</v>
      </c>
      <c r="AEI8" s="271">
        <v>1098588.6400000001</v>
      </c>
      <c r="AEJ8" s="271">
        <v>2856780.03</v>
      </c>
      <c r="AEK8" s="271">
        <v>560056.30999999994</v>
      </c>
      <c r="AEL8" s="271">
        <v>4048359.31</v>
      </c>
      <c r="AEM8" s="271">
        <v>956313.22</v>
      </c>
      <c r="AEN8" s="271">
        <v>1258661.8900000001</v>
      </c>
      <c r="AEO8" s="271">
        <v>450549.06</v>
      </c>
      <c r="AEP8" s="271">
        <v>4204806.17</v>
      </c>
      <c r="AEQ8" s="271">
        <v>188269.25999999998</v>
      </c>
      <c r="AER8" s="271">
        <v>1517727.44</v>
      </c>
      <c r="AES8" s="271">
        <v>39486576.00999999</v>
      </c>
      <c r="AET8" s="271">
        <v>1809665.2900000003</v>
      </c>
      <c r="AEU8" s="271">
        <v>2141739.6799999997</v>
      </c>
      <c r="AEV8" s="271">
        <v>1369278.73</v>
      </c>
      <c r="AEW8" s="271">
        <v>1083029.1299999999</v>
      </c>
      <c r="AEX8" s="271">
        <v>4572312.12</v>
      </c>
      <c r="AEY8" s="271">
        <v>638972.05000000005</v>
      </c>
      <c r="AEZ8" s="271">
        <v>1139477.1700000002</v>
      </c>
      <c r="AFA8" s="271">
        <v>692533.96</v>
      </c>
      <c r="AFB8" s="271">
        <v>305541.5</v>
      </c>
      <c r="AFC8" s="271">
        <v>25855557.629999999</v>
      </c>
      <c r="AFD8" s="271">
        <v>12159429.15</v>
      </c>
      <c r="AFE8" s="271">
        <v>1764570.85</v>
      </c>
      <c r="AFF8" s="271">
        <v>881470.03</v>
      </c>
      <c r="AFG8" s="271">
        <v>1291581.92</v>
      </c>
      <c r="AFH8" s="271">
        <v>746048.25999999989</v>
      </c>
      <c r="AFI8" s="271">
        <v>741481.80999999994</v>
      </c>
      <c r="AFJ8" s="271">
        <v>724264.90000000014</v>
      </c>
      <c r="AFK8" s="271">
        <v>931992.16</v>
      </c>
      <c r="AFL8" s="271">
        <v>813523.7300000001</v>
      </c>
      <c r="AFM8" s="271">
        <v>255155.84</v>
      </c>
      <c r="AFN8" s="271">
        <v>517784.15</v>
      </c>
      <c r="AFO8" s="271">
        <v>1077741.8900000001</v>
      </c>
      <c r="AFP8" s="271">
        <v>32463380.529999997</v>
      </c>
      <c r="AFQ8" s="271">
        <v>2672361.79</v>
      </c>
      <c r="AFR8" s="271">
        <v>976789.03</v>
      </c>
      <c r="AFS8" s="271">
        <v>991810.31</v>
      </c>
      <c r="AFT8" s="271">
        <v>788444.28999999992</v>
      </c>
      <c r="AFU8" s="271">
        <v>356512.88</v>
      </c>
      <c r="AFV8" s="271">
        <v>295691.03999999998</v>
      </c>
      <c r="AFW8" s="271">
        <v>670968.82999999996</v>
      </c>
      <c r="AFX8" s="271">
        <v>1509043.9</v>
      </c>
      <c r="AFY8" s="271">
        <v>463893.38</v>
      </c>
      <c r="AFZ8" s="271">
        <v>1654932.27</v>
      </c>
      <c r="AGA8" s="271">
        <v>771091.97000000009</v>
      </c>
      <c r="AGB8" s="271">
        <v>43948430.969999991</v>
      </c>
      <c r="AGC8" s="271">
        <v>1055816.75</v>
      </c>
      <c r="AGD8" s="271">
        <v>1659862.24</v>
      </c>
      <c r="AGE8" s="271">
        <v>1781559.7600000002</v>
      </c>
      <c r="AGF8" s="271">
        <v>5979525.1500000004</v>
      </c>
      <c r="AGG8" s="271">
        <v>1275599.6400000001</v>
      </c>
      <c r="AGH8" s="271">
        <v>850104.20000000007</v>
      </c>
      <c r="AGI8" s="271">
        <v>687829.87</v>
      </c>
      <c r="AGJ8" s="271">
        <v>886709.35999999987</v>
      </c>
      <c r="AGK8" s="271">
        <v>950281.53999999992</v>
      </c>
      <c r="AGL8" s="271">
        <v>698450.8899999999</v>
      </c>
      <c r="AGM8" s="271">
        <v>32813526.309999999</v>
      </c>
      <c r="AGN8" s="271">
        <v>3732486.2100000004</v>
      </c>
      <c r="AGO8" s="271">
        <v>2758761.6</v>
      </c>
      <c r="AGP8" s="271">
        <v>653730.13</v>
      </c>
      <c r="AGQ8" s="271">
        <v>1612181.13</v>
      </c>
      <c r="AGR8" s="271">
        <v>1775452.5099999998</v>
      </c>
      <c r="AGS8" s="271">
        <v>58214.409999999996</v>
      </c>
      <c r="AGT8" s="271">
        <v>338364.64</v>
      </c>
      <c r="AGU8" s="271">
        <v>44341591.170000002</v>
      </c>
      <c r="AGV8" s="271">
        <v>31551931.290000003</v>
      </c>
      <c r="AGW8" s="271">
        <v>1037052.48</v>
      </c>
      <c r="AGX8" s="271">
        <v>1777257.53</v>
      </c>
      <c r="AGY8" s="271">
        <v>3226592.35</v>
      </c>
      <c r="AGZ8" s="271">
        <v>1722556.29</v>
      </c>
      <c r="AHA8" s="271">
        <v>1160403.03</v>
      </c>
      <c r="AHB8" s="271">
        <v>3021163.7800000003</v>
      </c>
      <c r="AHC8" s="271">
        <v>386540.23</v>
      </c>
      <c r="AHD8" s="271">
        <v>766603.99</v>
      </c>
      <c r="AHE8" s="271">
        <v>1262916.74</v>
      </c>
      <c r="AHF8" s="271">
        <v>949193.12000000011</v>
      </c>
      <c r="AHG8" s="271">
        <v>957772.38</v>
      </c>
      <c r="AHH8" s="271">
        <v>337388.36</v>
      </c>
      <c r="AHI8" s="271">
        <v>650771.13</v>
      </c>
      <c r="AHJ8" s="271">
        <v>1266857.6200000001</v>
      </c>
      <c r="AHK8" s="271">
        <v>437130.93</v>
      </c>
      <c r="AHL8" s="271">
        <v>17823285.59</v>
      </c>
      <c r="AHM8" s="271">
        <v>846140.88</v>
      </c>
      <c r="AHN8" s="271">
        <v>733265.98</v>
      </c>
      <c r="AHO8" s="271">
        <v>1222122.3199999998</v>
      </c>
      <c r="AHP8" s="271">
        <v>2184384.39</v>
      </c>
      <c r="AHQ8" s="294">
        <v>853076.11</v>
      </c>
      <c r="AHR8" s="329">
        <v>580498.43999999994</v>
      </c>
      <c r="AHS8" s="294">
        <f t="shared" si="0"/>
        <v>4160844850.4699988</v>
      </c>
      <c r="AHT8" s="269" t="b">
        <f t="shared" si="1"/>
        <v>1</v>
      </c>
      <c r="AHU8" s="269" t="s">
        <v>849</v>
      </c>
    </row>
    <row r="9" spans="2:905" ht="23.4" customHeight="1" x14ac:dyDescent="0.7">
      <c r="B9" s="268" t="s">
        <v>6</v>
      </c>
      <c r="C9" s="269" t="s">
        <v>7</v>
      </c>
      <c r="D9" s="271">
        <v>477498673.69999999</v>
      </c>
      <c r="E9" s="271">
        <v>10881449.41</v>
      </c>
      <c r="F9" s="271">
        <v>27431362.670000002</v>
      </c>
      <c r="G9" s="271">
        <v>4422698.33</v>
      </c>
      <c r="H9" s="271">
        <v>27745796.799999997</v>
      </c>
      <c r="I9" s="271">
        <v>7377579.4600000009</v>
      </c>
      <c r="J9" s="271">
        <v>15596998.219999999</v>
      </c>
      <c r="K9" s="271">
        <v>4733699.7700000005</v>
      </c>
      <c r="L9" s="271">
        <v>8828512.160000002</v>
      </c>
      <c r="M9" s="271">
        <v>7093756.9699999997</v>
      </c>
      <c r="N9" s="271">
        <v>3765040.54</v>
      </c>
      <c r="O9" s="271">
        <v>6715993.7000000002</v>
      </c>
      <c r="P9" s="271">
        <v>707959.47</v>
      </c>
      <c r="Q9" s="271">
        <v>5109482.21</v>
      </c>
      <c r="R9" s="271">
        <v>4065380.56</v>
      </c>
      <c r="S9" s="271">
        <v>23147400.119999997</v>
      </c>
      <c r="T9" s="271">
        <v>22213070.180000003</v>
      </c>
      <c r="U9" s="271">
        <v>1720179.5</v>
      </c>
      <c r="V9" s="271">
        <v>433469017.45999998</v>
      </c>
      <c r="W9" s="271">
        <v>54372336.780000001</v>
      </c>
      <c r="X9" s="271">
        <v>5380549.5499999989</v>
      </c>
      <c r="Y9" s="271">
        <v>5812684.1700000009</v>
      </c>
      <c r="Z9" s="271">
        <v>8261691.4099999983</v>
      </c>
      <c r="AA9" s="271">
        <v>4291435.24</v>
      </c>
      <c r="AB9" s="271">
        <v>2170511.39</v>
      </c>
      <c r="AC9" s="271">
        <v>48056978.280000001</v>
      </c>
      <c r="AD9" s="271">
        <v>4857511.6899999995</v>
      </c>
      <c r="AE9" s="271">
        <v>6290653.5</v>
      </c>
      <c r="AF9" s="271">
        <v>57993081.920000002</v>
      </c>
      <c r="AG9" s="271">
        <v>4970925.66</v>
      </c>
      <c r="AH9" s="271">
        <v>37155802.149999991</v>
      </c>
      <c r="AI9" s="271">
        <v>8743952.5500000007</v>
      </c>
      <c r="AJ9" s="271">
        <v>3296003.04</v>
      </c>
      <c r="AK9" s="271">
        <v>2413420.06</v>
      </c>
      <c r="AL9" s="271">
        <v>2819665.0799999996</v>
      </c>
      <c r="AM9" s="271">
        <v>7178108.6500000004</v>
      </c>
      <c r="AN9" s="271">
        <v>1448513.8900000001</v>
      </c>
      <c r="AO9" s="271">
        <v>3040602.7199999997</v>
      </c>
      <c r="AP9" s="271">
        <v>2435189.19</v>
      </c>
      <c r="AQ9" s="271">
        <v>2943063.77</v>
      </c>
      <c r="AR9" s="271">
        <v>1540055.71</v>
      </c>
      <c r="AS9" s="271">
        <v>1053251.57</v>
      </c>
      <c r="AT9" s="271">
        <v>297132166.74000001</v>
      </c>
      <c r="AU9" s="271">
        <v>2405275.39</v>
      </c>
      <c r="AV9" s="271">
        <v>2447167.08</v>
      </c>
      <c r="AW9" s="271">
        <v>8387382.1999999993</v>
      </c>
      <c r="AX9" s="271">
        <v>13876270.649999999</v>
      </c>
      <c r="AY9" s="271">
        <v>13205622.970000001</v>
      </c>
      <c r="AZ9" s="271">
        <v>4054130.4800000004</v>
      </c>
      <c r="BA9" s="271">
        <v>7342863.04</v>
      </c>
      <c r="BB9" s="271">
        <v>2464150.96</v>
      </c>
      <c r="BC9" s="271">
        <v>2121026.71</v>
      </c>
      <c r="BD9" s="271">
        <v>1509467</v>
      </c>
      <c r="BE9" s="271">
        <v>1057310.31</v>
      </c>
      <c r="BF9" s="271">
        <v>58494199.410000004</v>
      </c>
      <c r="BG9" s="271">
        <v>618388.79</v>
      </c>
      <c r="BH9" s="271">
        <v>3403554</v>
      </c>
      <c r="BI9" s="271">
        <v>194162916.28999999</v>
      </c>
      <c r="BJ9" s="271">
        <v>91157705.299999997</v>
      </c>
      <c r="BK9" s="271">
        <v>6985670.6600000001</v>
      </c>
      <c r="BL9" s="271">
        <v>8288284.7699999996</v>
      </c>
      <c r="BM9" s="271">
        <v>8030117.9500000002</v>
      </c>
      <c r="BN9" s="271">
        <v>6749243.8300000001</v>
      </c>
      <c r="BO9" s="271">
        <v>7163150.9799999995</v>
      </c>
      <c r="BP9" s="271">
        <v>729776.07</v>
      </c>
      <c r="BQ9" s="271">
        <v>887937.1</v>
      </c>
      <c r="BR9" s="271">
        <v>250373407.95999998</v>
      </c>
      <c r="BS9" s="271">
        <v>18793698.530000001</v>
      </c>
      <c r="BT9" s="271">
        <v>6480879.1399999997</v>
      </c>
      <c r="BU9" s="271">
        <v>14003499.93</v>
      </c>
      <c r="BV9" s="271">
        <v>8338259.4699999997</v>
      </c>
      <c r="BW9" s="271">
        <v>4159096.09</v>
      </c>
      <c r="BX9" s="271">
        <v>5703639.5300000003</v>
      </c>
      <c r="BY9" s="271">
        <v>7618552.6699999999</v>
      </c>
      <c r="BZ9" s="271">
        <v>63764293.439999998</v>
      </c>
      <c r="CA9" s="271">
        <v>5935881.8300000001</v>
      </c>
      <c r="CB9" s="271">
        <v>10456407.750000002</v>
      </c>
      <c r="CC9" s="271">
        <v>25421745.190000001</v>
      </c>
      <c r="CD9" s="271">
        <v>4209119.93</v>
      </c>
      <c r="CE9" s="271">
        <v>2777042.0700000003</v>
      </c>
      <c r="CF9" s="271">
        <v>1873066.1199999999</v>
      </c>
      <c r="CG9" s="271">
        <v>550484466.23000002</v>
      </c>
      <c r="CH9" s="271">
        <v>3336658.0300000003</v>
      </c>
      <c r="CI9" s="271">
        <v>32136759.819999997</v>
      </c>
      <c r="CJ9" s="271">
        <v>3950590.0100000002</v>
      </c>
      <c r="CK9" s="271">
        <v>5953840.3300000001</v>
      </c>
      <c r="CL9" s="271">
        <v>8368014</v>
      </c>
      <c r="CM9" s="271">
        <v>4594936.5599999996</v>
      </c>
      <c r="CN9" s="271">
        <v>16242835.67</v>
      </c>
      <c r="CO9" s="271">
        <v>2639997.8199999998</v>
      </c>
      <c r="CP9" s="271">
        <v>3779769.96</v>
      </c>
      <c r="CQ9" s="271">
        <v>2441698.98</v>
      </c>
      <c r="CR9" s="271">
        <v>7973056.6399999997</v>
      </c>
      <c r="CS9" s="271">
        <v>3600676.3899999997</v>
      </c>
      <c r="CT9" s="271">
        <v>181061385.26999998</v>
      </c>
      <c r="CU9" s="271">
        <v>2084929.3599999999</v>
      </c>
      <c r="CV9" s="271">
        <v>6354445.1200000001</v>
      </c>
      <c r="CW9" s="271">
        <v>11296158.93</v>
      </c>
      <c r="CX9" s="271">
        <v>1918146.37</v>
      </c>
      <c r="CY9" s="271">
        <v>12798379.970000001</v>
      </c>
      <c r="CZ9" s="271">
        <v>2746300.8800000004</v>
      </c>
      <c r="DA9" s="271">
        <v>2549779.2799999998</v>
      </c>
      <c r="DB9" s="271">
        <v>166863450.90000004</v>
      </c>
      <c r="DC9" s="271">
        <v>132162908.09999999</v>
      </c>
      <c r="DD9" s="271">
        <v>10711275.540000001</v>
      </c>
      <c r="DE9" s="271">
        <v>6660365.9299999997</v>
      </c>
      <c r="DF9" s="271">
        <v>19667044.940000001</v>
      </c>
      <c r="DG9" s="271">
        <v>7272972.0899999999</v>
      </c>
      <c r="DH9" s="271">
        <v>6692943.9400000004</v>
      </c>
      <c r="DI9" s="271">
        <v>8882721.2700000014</v>
      </c>
      <c r="DJ9" s="271">
        <v>2397660.3300000005</v>
      </c>
      <c r="DK9" s="271">
        <v>592524811.2700001</v>
      </c>
      <c r="DL9" s="271">
        <v>7490978.1399999997</v>
      </c>
      <c r="DM9" s="271">
        <v>6583768.5100000016</v>
      </c>
      <c r="DN9" s="271">
        <v>28296153.870000001</v>
      </c>
      <c r="DO9" s="271">
        <v>12806189.25</v>
      </c>
      <c r="DP9" s="271">
        <v>13210825.970000001</v>
      </c>
      <c r="DQ9" s="271">
        <v>15928021.360000001</v>
      </c>
      <c r="DR9" s="271">
        <v>4704365.2100000009</v>
      </c>
      <c r="DS9" s="271">
        <v>16728199.100000001</v>
      </c>
      <c r="DT9" s="271">
        <v>176758133.75</v>
      </c>
      <c r="DU9" s="271">
        <v>6693710.7800000003</v>
      </c>
      <c r="DV9" s="271">
        <v>46127243.840000004</v>
      </c>
      <c r="DW9" s="271">
        <v>27013449.389999993</v>
      </c>
      <c r="DX9" s="271">
        <v>4765620.7100000009</v>
      </c>
      <c r="DY9" s="271">
        <v>17784888.670000002</v>
      </c>
      <c r="DZ9" s="271">
        <v>9024099.9700000007</v>
      </c>
      <c r="EA9" s="271">
        <v>1608823.8499999999</v>
      </c>
      <c r="EB9" s="271">
        <v>4190599.7300000004</v>
      </c>
      <c r="EC9" s="271">
        <v>3375813.11</v>
      </c>
      <c r="ED9" s="271">
        <v>35233557.090000004</v>
      </c>
      <c r="EE9" s="271">
        <v>99115645.870000005</v>
      </c>
      <c r="EF9" s="271">
        <v>81809205.060000002</v>
      </c>
      <c r="EG9" s="271">
        <v>6504861.1600000001</v>
      </c>
      <c r="EH9" s="271">
        <v>6486131.9600000009</v>
      </c>
      <c r="EI9" s="271">
        <v>7831617.5700000003</v>
      </c>
      <c r="EJ9" s="271">
        <v>10135220.209999999</v>
      </c>
      <c r="EK9" s="271">
        <v>26225832.48</v>
      </c>
      <c r="EL9" s="271">
        <v>5766751.6100000003</v>
      </c>
      <c r="EM9" s="271">
        <v>7935871.7600000007</v>
      </c>
      <c r="EN9" s="271">
        <v>361864924.13999999</v>
      </c>
      <c r="EO9" s="271">
        <v>7559996.6399999997</v>
      </c>
      <c r="EP9" s="271">
        <v>4295437.1899999995</v>
      </c>
      <c r="EQ9" s="271">
        <v>9389144.379999999</v>
      </c>
      <c r="ER9" s="271">
        <v>3610425.0199999996</v>
      </c>
      <c r="ES9" s="271">
        <v>3120324.6500000004</v>
      </c>
      <c r="ET9" s="271">
        <v>8809345.2999999989</v>
      </c>
      <c r="EU9" s="271">
        <v>24191147.379999999</v>
      </c>
      <c r="EV9" s="271">
        <v>3603398.0100000002</v>
      </c>
      <c r="EW9" s="271">
        <v>128524671.87</v>
      </c>
      <c r="EX9" s="271">
        <v>2330503.2200000002</v>
      </c>
      <c r="EY9" s="271">
        <v>4803036.3099999996</v>
      </c>
      <c r="EZ9" s="271">
        <v>6058049.1099999994</v>
      </c>
      <c r="FA9" s="271">
        <v>13761319.59</v>
      </c>
      <c r="FB9" s="271">
        <v>16793710.93</v>
      </c>
      <c r="FC9" s="271">
        <v>8728815.7800000012</v>
      </c>
      <c r="FD9" s="271">
        <v>8462641.8800000008</v>
      </c>
      <c r="FE9" s="271">
        <v>3614543.88</v>
      </c>
      <c r="FF9" s="271">
        <v>3016528.71</v>
      </c>
      <c r="FG9" s="271">
        <v>4990671.0699999994</v>
      </c>
      <c r="FH9" s="271">
        <v>1650954.8699999999</v>
      </c>
      <c r="FI9" s="271">
        <v>111103509.78999999</v>
      </c>
      <c r="FJ9" s="271">
        <v>3770160.06</v>
      </c>
      <c r="FK9" s="271">
        <v>5479217.7000000002</v>
      </c>
      <c r="FL9" s="271">
        <v>7569249.5</v>
      </c>
      <c r="FM9" s="271">
        <v>12872322.68</v>
      </c>
      <c r="FN9" s="271">
        <v>5478222.0199999996</v>
      </c>
      <c r="FO9" s="271">
        <v>1867996.4</v>
      </c>
      <c r="FP9" s="271">
        <v>808336.02</v>
      </c>
      <c r="FQ9" s="271">
        <v>396225720.85000002</v>
      </c>
      <c r="FR9" s="271">
        <v>14445731.16</v>
      </c>
      <c r="FS9" s="271">
        <v>11063946.760000002</v>
      </c>
      <c r="FT9" s="271">
        <v>9627171.7199999988</v>
      </c>
      <c r="FU9" s="271">
        <v>11805150.160000002</v>
      </c>
      <c r="FV9" s="271">
        <v>6564026.5300000003</v>
      </c>
      <c r="FW9" s="271">
        <v>17219055.579999998</v>
      </c>
      <c r="FX9" s="271">
        <v>9454586.209999999</v>
      </c>
      <c r="FY9" s="271">
        <v>5898424.6399999997</v>
      </c>
      <c r="FZ9" s="271">
        <v>10600381.66</v>
      </c>
      <c r="GA9" s="271">
        <v>16213334.279999999</v>
      </c>
      <c r="GB9" s="271">
        <v>5733133.8700000001</v>
      </c>
      <c r="GC9" s="271">
        <v>2321102.8199999998</v>
      </c>
      <c r="GD9" s="271">
        <v>1097900</v>
      </c>
      <c r="GE9" s="271">
        <v>148505996.78999999</v>
      </c>
      <c r="GF9" s="271">
        <v>5695355.8300000001</v>
      </c>
      <c r="GG9" s="271">
        <v>3539691.1999999997</v>
      </c>
      <c r="GH9" s="271">
        <v>29592202.560000002</v>
      </c>
      <c r="GI9" s="271">
        <v>7521387.5499999998</v>
      </c>
      <c r="GJ9" s="271">
        <v>8627064.1699999999</v>
      </c>
      <c r="GK9" s="271">
        <v>8366433.4600000009</v>
      </c>
      <c r="GL9" s="271">
        <v>35578034.329999998</v>
      </c>
      <c r="GM9" s="271">
        <v>2596980.71</v>
      </c>
      <c r="GN9" s="271">
        <v>2508430.2599999998</v>
      </c>
      <c r="GO9" s="271">
        <v>1257453.5</v>
      </c>
      <c r="GP9" s="271">
        <v>1338182.67</v>
      </c>
      <c r="GQ9" s="271">
        <v>132690493.11999999</v>
      </c>
      <c r="GR9" s="271">
        <v>29238505.77</v>
      </c>
      <c r="GS9" s="271">
        <v>5270424.370000001</v>
      </c>
      <c r="GT9" s="271">
        <v>27331836.09</v>
      </c>
      <c r="GU9" s="271">
        <v>4705296.6399999997</v>
      </c>
      <c r="GV9" s="271">
        <v>6581933.21</v>
      </c>
      <c r="GW9" s="271">
        <v>8151077.3599999994</v>
      </c>
      <c r="GX9" s="271">
        <v>3445304.41</v>
      </c>
      <c r="GY9" s="271">
        <v>121369528.02000001</v>
      </c>
      <c r="GZ9" s="271">
        <v>10503445.150000002</v>
      </c>
      <c r="HA9" s="271">
        <v>10972676.210000001</v>
      </c>
      <c r="HB9" s="271">
        <v>8143225.3100000005</v>
      </c>
      <c r="HC9" s="271">
        <v>304302365.53000003</v>
      </c>
      <c r="HD9" s="271">
        <v>24259557.239999998</v>
      </c>
      <c r="HE9" s="271">
        <v>12150120.880000001</v>
      </c>
      <c r="HF9" s="271">
        <v>17907956.82</v>
      </c>
      <c r="HG9" s="271">
        <v>8571989.9699999988</v>
      </c>
      <c r="HH9" s="271">
        <v>35607194.049999997</v>
      </c>
      <c r="HI9" s="271">
        <v>4984581.2300000004</v>
      </c>
      <c r="HJ9" s="271">
        <v>58636769.07</v>
      </c>
      <c r="HK9" s="271">
        <v>5067972.6500000004</v>
      </c>
      <c r="HL9" s="271">
        <v>13222331</v>
      </c>
      <c r="HM9" s="271">
        <v>4083132.06</v>
      </c>
      <c r="HN9" s="271">
        <v>2690321.0500000003</v>
      </c>
      <c r="HO9" s="271">
        <v>5269072.5999999996</v>
      </c>
      <c r="HP9" s="271">
        <v>5499666.5800000001</v>
      </c>
      <c r="HQ9" s="271">
        <v>2214327.2600000002</v>
      </c>
      <c r="HR9" s="271">
        <v>177135146.98999998</v>
      </c>
      <c r="HS9" s="271">
        <v>35656921.11999999</v>
      </c>
      <c r="HT9" s="271">
        <v>6765400.5899999999</v>
      </c>
      <c r="HU9" s="271">
        <v>6831727.0999999996</v>
      </c>
      <c r="HV9" s="271">
        <v>5266359.18</v>
      </c>
      <c r="HW9" s="271">
        <v>3095316.6</v>
      </c>
      <c r="HX9" s="271">
        <v>16403019.85</v>
      </c>
      <c r="HY9" s="271">
        <v>7364734.2000000002</v>
      </c>
      <c r="HZ9" s="271">
        <v>4760211.8899999997</v>
      </c>
      <c r="IA9" s="271">
        <v>5351569.3500000015</v>
      </c>
      <c r="IB9" s="271">
        <v>5321208.05</v>
      </c>
      <c r="IC9" s="271">
        <v>9128205.5899999999</v>
      </c>
      <c r="ID9" s="271">
        <v>1179625.4400000002</v>
      </c>
      <c r="IE9" s="271">
        <v>11609881.140000001</v>
      </c>
      <c r="IF9" s="271">
        <v>5095175.2399999993</v>
      </c>
      <c r="IG9" s="271">
        <v>3648788.5100000002</v>
      </c>
      <c r="IH9" s="271">
        <v>215879614.65000001</v>
      </c>
      <c r="II9" s="271">
        <v>53573873.589999996</v>
      </c>
      <c r="IJ9" s="271">
        <v>6016094.7599999998</v>
      </c>
      <c r="IK9" s="271">
        <v>14446648.08</v>
      </c>
      <c r="IL9" s="271">
        <v>26805620.32</v>
      </c>
      <c r="IM9" s="271">
        <v>8762561.5800000001</v>
      </c>
      <c r="IN9" s="271">
        <v>3919105.4999999995</v>
      </c>
      <c r="IO9" s="271">
        <v>2388889.0099999998</v>
      </c>
      <c r="IP9" s="271">
        <v>2189921.9500000002</v>
      </c>
      <c r="IQ9" s="271">
        <v>3257489.68</v>
      </c>
      <c r="IR9" s="271">
        <v>4452944.57</v>
      </c>
      <c r="IS9" s="271">
        <v>322228982.13</v>
      </c>
      <c r="IT9" s="271">
        <v>65140943.050000004</v>
      </c>
      <c r="IU9" s="271">
        <v>9885767.3499999996</v>
      </c>
      <c r="IV9" s="271">
        <v>3994568.01</v>
      </c>
      <c r="IW9" s="271">
        <v>4554565.8499999996</v>
      </c>
      <c r="IX9" s="271">
        <v>4031667.85</v>
      </c>
      <c r="IY9" s="271">
        <v>4267178.84</v>
      </c>
      <c r="IZ9" s="271">
        <v>2948355.74</v>
      </c>
      <c r="JA9" s="271">
        <v>5998404.75</v>
      </c>
      <c r="JB9" s="271">
        <v>10833744.6</v>
      </c>
      <c r="JC9" s="271">
        <v>6428571</v>
      </c>
      <c r="JD9" s="271">
        <v>3264669.43</v>
      </c>
      <c r="JE9" s="271">
        <v>129992073.38000001</v>
      </c>
      <c r="JF9" s="271">
        <v>47164907.970000006</v>
      </c>
      <c r="JG9" s="271">
        <v>4163753.43</v>
      </c>
      <c r="JH9" s="271">
        <v>2924908.59</v>
      </c>
      <c r="JI9" s="271">
        <v>3683133.58</v>
      </c>
      <c r="JJ9" s="271">
        <v>3762548.31</v>
      </c>
      <c r="JK9" s="271">
        <v>126770198.86</v>
      </c>
      <c r="JL9" s="271">
        <v>5994958.3200000003</v>
      </c>
      <c r="JM9" s="271">
        <v>14515793.620000001</v>
      </c>
      <c r="JN9" s="271">
        <v>21184250.080000002</v>
      </c>
      <c r="JO9" s="271">
        <v>6389768.3700000001</v>
      </c>
      <c r="JP9" s="271">
        <v>21780808.929999996</v>
      </c>
      <c r="JQ9" s="271">
        <v>4393818.8999999994</v>
      </c>
      <c r="JR9" s="271">
        <v>278398077.20999998</v>
      </c>
      <c r="JS9" s="271">
        <v>85607181.969999999</v>
      </c>
      <c r="JT9" s="271">
        <v>10264083.42</v>
      </c>
      <c r="JU9" s="271">
        <v>2790121.08</v>
      </c>
      <c r="JV9" s="271">
        <v>12009879.92</v>
      </c>
      <c r="JW9" s="271">
        <v>2787066.27</v>
      </c>
      <c r="JX9" s="271">
        <v>42639261.859999999</v>
      </c>
      <c r="JY9" s="271">
        <v>13207488.389999999</v>
      </c>
      <c r="JZ9" s="271">
        <v>4653114.3100000005</v>
      </c>
      <c r="KA9" s="271">
        <v>15173015.17</v>
      </c>
      <c r="KB9" s="271">
        <v>8032687.6099999994</v>
      </c>
      <c r="KC9" s="271">
        <v>12921398.630000001</v>
      </c>
      <c r="KD9" s="271">
        <v>3240805.2699999996</v>
      </c>
      <c r="KE9" s="271">
        <v>939739.02</v>
      </c>
      <c r="KF9" s="271">
        <v>6186998.04</v>
      </c>
      <c r="KG9" s="271">
        <v>0</v>
      </c>
      <c r="KH9" s="271">
        <v>249187372.44999999</v>
      </c>
      <c r="KI9" s="271">
        <v>14877847.760000002</v>
      </c>
      <c r="KJ9" s="271">
        <v>8757834</v>
      </c>
      <c r="KK9" s="271">
        <v>11134749.209999999</v>
      </c>
      <c r="KL9" s="271">
        <v>19371483.34</v>
      </c>
      <c r="KM9" s="271">
        <v>6521063.3099999996</v>
      </c>
      <c r="KN9" s="271">
        <v>25196226.040000003</v>
      </c>
      <c r="KO9" s="271">
        <v>7123864.9400000004</v>
      </c>
      <c r="KP9" s="271">
        <v>7847381.1899999995</v>
      </c>
      <c r="KQ9" s="271">
        <v>108078849.66</v>
      </c>
      <c r="KR9" s="271">
        <v>14606460.18</v>
      </c>
      <c r="KS9" s="271">
        <v>13357842.18</v>
      </c>
      <c r="KT9" s="271">
        <v>30911085.890000001</v>
      </c>
      <c r="KU9" s="271">
        <v>4623132.2600000007</v>
      </c>
      <c r="KV9" s="271">
        <v>15859364.83</v>
      </c>
      <c r="KW9" s="271">
        <v>163406682.98000002</v>
      </c>
      <c r="KX9" s="271">
        <v>15613005.729999999</v>
      </c>
      <c r="KY9" s="271">
        <v>206466274.75000003</v>
      </c>
      <c r="KZ9" s="271">
        <v>5869369.6799999997</v>
      </c>
      <c r="LA9" s="271">
        <v>4641866.22</v>
      </c>
      <c r="LB9" s="271">
        <v>21781524</v>
      </c>
      <c r="LC9" s="271">
        <v>23945653.18</v>
      </c>
      <c r="LD9" s="271">
        <v>21376604.68</v>
      </c>
      <c r="LE9" s="271">
        <v>6495515.3300000001</v>
      </c>
      <c r="LF9" s="271">
        <v>10573378.48</v>
      </c>
      <c r="LG9" s="271">
        <v>594464419.67000008</v>
      </c>
      <c r="LH9" s="271">
        <v>43820003.109999999</v>
      </c>
      <c r="LI9" s="271">
        <v>76753256.430000007</v>
      </c>
      <c r="LJ9" s="271">
        <v>78008538.090000004</v>
      </c>
      <c r="LK9" s="271">
        <v>11414126.74</v>
      </c>
      <c r="LL9" s="271">
        <v>5439405.21</v>
      </c>
      <c r="LM9" s="271">
        <v>5760828.7599999998</v>
      </c>
      <c r="LN9" s="271">
        <v>7739740.6799999997</v>
      </c>
      <c r="LO9" s="271">
        <v>12474440.74</v>
      </c>
      <c r="LP9" s="271">
        <v>10489466.359999999</v>
      </c>
      <c r="LQ9" s="271">
        <v>1721873.82</v>
      </c>
      <c r="LR9" s="271">
        <v>96735445.889999986</v>
      </c>
      <c r="LS9" s="271">
        <v>15792970.959999999</v>
      </c>
      <c r="LT9" s="271">
        <v>6025398.4399999995</v>
      </c>
      <c r="LU9" s="271">
        <v>186775954.72999999</v>
      </c>
      <c r="LV9" s="271">
        <v>68387576.039999992</v>
      </c>
      <c r="LW9" s="271">
        <v>392708492.79999995</v>
      </c>
      <c r="LX9" s="271">
        <v>55235830.629999995</v>
      </c>
      <c r="LY9" s="271">
        <v>40821388.310000002</v>
      </c>
      <c r="LZ9" s="271">
        <v>29400673.240000002</v>
      </c>
      <c r="MA9" s="271">
        <v>27876656.100000001</v>
      </c>
      <c r="MB9" s="271">
        <v>28477746.48</v>
      </c>
      <c r="MC9" s="271">
        <v>33709719.130000003</v>
      </c>
      <c r="MD9" s="271">
        <v>56312631.050000004</v>
      </c>
      <c r="ME9" s="271">
        <v>30030264.729999997</v>
      </c>
      <c r="MF9" s="271">
        <v>5131575.28</v>
      </c>
      <c r="MG9" s="271">
        <v>356282403.44999999</v>
      </c>
      <c r="MH9" s="271">
        <v>8555689.2000000011</v>
      </c>
      <c r="MI9" s="271">
        <v>4662462.96</v>
      </c>
      <c r="MJ9" s="271">
        <v>3189655.63</v>
      </c>
      <c r="MK9" s="271">
        <v>2799357.48</v>
      </c>
      <c r="ML9" s="271">
        <v>6245123.5599999996</v>
      </c>
      <c r="MM9" s="271">
        <v>4418747.7300000004</v>
      </c>
      <c r="MN9" s="271">
        <v>6857595.29</v>
      </c>
      <c r="MO9" s="271">
        <v>6950653.5</v>
      </c>
      <c r="MP9" s="271">
        <v>2347262.0099999998</v>
      </c>
      <c r="MQ9" s="271">
        <v>4328206.95</v>
      </c>
      <c r="MR9" s="271">
        <v>4727366.82</v>
      </c>
      <c r="MS9" s="271">
        <v>145250086.41999999</v>
      </c>
      <c r="MT9" s="271">
        <v>2676977.44</v>
      </c>
      <c r="MU9" s="271">
        <v>15686162.789999999</v>
      </c>
      <c r="MV9" s="271">
        <v>9406018.2299999986</v>
      </c>
      <c r="MW9" s="271">
        <v>7216776.5199999996</v>
      </c>
      <c r="MX9" s="271">
        <v>14003822.83</v>
      </c>
      <c r="MY9" s="271">
        <v>36092997.819700003</v>
      </c>
      <c r="MZ9" s="271">
        <v>12185330.779999999</v>
      </c>
      <c r="NA9" s="271">
        <v>5985884.2000000002</v>
      </c>
      <c r="NB9" s="271">
        <v>1266788.8600000001</v>
      </c>
      <c r="NC9" s="271">
        <v>2777933.84</v>
      </c>
      <c r="ND9" s="271">
        <v>367826615.13</v>
      </c>
      <c r="NE9" s="271">
        <v>22588294.07</v>
      </c>
      <c r="NF9" s="271">
        <v>1988550.77</v>
      </c>
      <c r="NG9" s="271">
        <v>41837167.609999999</v>
      </c>
      <c r="NH9" s="271">
        <v>2580284.5199999996</v>
      </c>
      <c r="NI9" s="271">
        <v>8216273.4099999992</v>
      </c>
      <c r="NJ9" s="271">
        <v>45208575.560000002</v>
      </c>
      <c r="NK9" s="271">
        <v>8566301.0500000007</v>
      </c>
      <c r="NL9" s="271">
        <v>786670.3</v>
      </c>
      <c r="NM9" s="271">
        <v>6795020.6900000004</v>
      </c>
      <c r="NN9" s="271">
        <v>3326078.5</v>
      </c>
      <c r="NO9" s="271">
        <v>5112260.4400000004</v>
      </c>
      <c r="NP9" s="271">
        <v>93659945.680000007</v>
      </c>
      <c r="NQ9" s="271">
        <v>4380286.71</v>
      </c>
      <c r="NR9" s="271">
        <v>4129762</v>
      </c>
      <c r="NS9" s="271">
        <v>4113706.6799999997</v>
      </c>
      <c r="NT9" s="271">
        <v>8163783.6599999992</v>
      </c>
      <c r="NU9" s="271">
        <v>511115.5</v>
      </c>
      <c r="NV9" s="271">
        <v>906964.58</v>
      </c>
      <c r="NW9" s="271">
        <v>233484353.11000001</v>
      </c>
      <c r="NX9" s="271">
        <v>36905452.829999998</v>
      </c>
      <c r="NY9" s="271">
        <v>4747698.87</v>
      </c>
      <c r="NZ9" s="271">
        <v>3366661.84</v>
      </c>
      <c r="OA9" s="271">
        <v>4615058.82</v>
      </c>
      <c r="OB9" s="271">
        <v>3095530.15</v>
      </c>
      <c r="OC9" s="271">
        <v>4013180.5799999996</v>
      </c>
      <c r="OD9" s="271">
        <v>168447232.20000002</v>
      </c>
      <c r="OE9" s="271">
        <v>9807794.3899999987</v>
      </c>
      <c r="OF9" s="271">
        <v>3534567.6999999997</v>
      </c>
      <c r="OG9" s="271">
        <v>34072741.289999999</v>
      </c>
      <c r="OH9" s="271">
        <v>9660551.7999999989</v>
      </c>
      <c r="OI9" s="271">
        <v>5879040.9600000009</v>
      </c>
      <c r="OJ9" s="271">
        <v>4682713.8899999997</v>
      </c>
      <c r="OK9" s="271">
        <v>2119225.69</v>
      </c>
      <c r="OL9" s="271">
        <v>913150</v>
      </c>
      <c r="OM9" s="271">
        <v>154353612.21000001</v>
      </c>
      <c r="ON9" s="271">
        <v>24534491.009999998</v>
      </c>
      <c r="OO9" s="271">
        <v>32673527.760000005</v>
      </c>
      <c r="OP9" s="271">
        <v>9600282.5999999996</v>
      </c>
      <c r="OQ9" s="271">
        <v>4771226.9000000004</v>
      </c>
      <c r="OR9" s="271">
        <v>2414514.14</v>
      </c>
      <c r="OS9" s="271">
        <v>105693000.09</v>
      </c>
      <c r="OT9" s="271">
        <v>2814215.3900000006</v>
      </c>
      <c r="OU9" s="271">
        <v>3622917.3500000006</v>
      </c>
      <c r="OV9" s="271">
        <v>5155850.4700000007</v>
      </c>
      <c r="OW9" s="271">
        <v>10824065.560000001</v>
      </c>
      <c r="OX9" s="271">
        <v>47750586.670000002</v>
      </c>
      <c r="OY9" s="271">
        <v>2913283.53</v>
      </c>
      <c r="OZ9" s="271">
        <v>1880688.4</v>
      </c>
      <c r="PA9" s="271">
        <v>4074899.87</v>
      </c>
      <c r="PB9" s="271">
        <v>144936849.38999999</v>
      </c>
      <c r="PC9" s="271">
        <v>4360329.5200000005</v>
      </c>
      <c r="PD9" s="271">
        <v>40565652.280000001</v>
      </c>
      <c r="PE9" s="271">
        <v>3613873.58</v>
      </c>
      <c r="PF9" s="271">
        <v>22930599.420000002</v>
      </c>
      <c r="PG9" s="271">
        <v>20683407.449999996</v>
      </c>
      <c r="PH9" s="271">
        <v>4653209.1100000003</v>
      </c>
      <c r="PI9" s="271">
        <v>2738220.6999999997</v>
      </c>
      <c r="PJ9" s="271">
        <v>13643165.629999999</v>
      </c>
      <c r="PK9" s="271">
        <v>8646596.5599999987</v>
      </c>
      <c r="PL9" s="271">
        <v>19467625.27</v>
      </c>
      <c r="PM9" s="271">
        <v>28069948.719999999</v>
      </c>
      <c r="PN9" s="271">
        <v>5260069.38</v>
      </c>
      <c r="PO9" s="271">
        <v>52546368.130000003</v>
      </c>
      <c r="PP9" s="271">
        <v>5801266.9299999997</v>
      </c>
      <c r="PQ9" s="271">
        <v>2410317</v>
      </c>
      <c r="PR9" s="271">
        <v>1470201.8399999999</v>
      </c>
      <c r="PS9" s="271">
        <v>2290372.14</v>
      </c>
      <c r="PT9" s="271">
        <v>412736839.31999999</v>
      </c>
      <c r="PU9" s="271">
        <v>6016075.3700000001</v>
      </c>
      <c r="PV9" s="271">
        <v>5948287.6100000003</v>
      </c>
      <c r="PW9" s="271">
        <v>9810322.1400000006</v>
      </c>
      <c r="PX9" s="271">
        <v>82301319.439999998</v>
      </c>
      <c r="PY9" s="271">
        <v>4587142.9700000007</v>
      </c>
      <c r="PZ9" s="271">
        <v>16984488.5</v>
      </c>
      <c r="QA9" s="271">
        <v>5444141.3399999999</v>
      </c>
      <c r="QB9" s="271">
        <v>40924665.829999998</v>
      </c>
      <c r="QC9" s="271">
        <v>3068822.12</v>
      </c>
      <c r="QD9" s="271">
        <v>39697292.489999995</v>
      </c>
      <c r="QE9" s="271">
        <v>8851665.3399999999</v>
      </c>
      <c r="QF9" s="271">
        <v>15533318.09</v>
      </c>
      <c r="QG9" s="271">
        <v>9083310.0499999989</v>
      </c>
      <c r="QH9" s="271">
        <v>7881856.6799999997</v>
      </c>
      <c r="QI9" s="271">
        <v>19741588.880000003</v>
      </c>
      <c r="QJ9" s="271">
        <v>8354247.3299999991</v>
      </c>
      <c r="QK9" s="271">
        <v>3296395.19</v>
      </c>
      <c r="QL9" s="271">
        <v>1544542.9100000001</v>
      </c>
      <c r="QM9" s="271">
        <v>20291404.850000001</v>
      </c>
      <c r="QN9" s="271">
        <v>33000676.609999999</v>
      </c>
      <c r="QO9" s="271">
        <v>2460389.77</v>
      </c>
      <c r="QP9" s="271">
        <v>1079099.5</v>
      </c>
      <c r="QQ9" s="271">
        <v>1616126</v>
      </c>
      <c r="QR9" s="271">
        <v>1288210.92</v>
      </c>
      <c r="QS9" s="271">
        <v>0</v>
      </c>
      <c r="QT9" s="271">
        <v>240499942.78</v>
      </c>
      <c r="QU9" s="271">
        <v>3378311.34</v>
      </c>
      <c r="QV9" s="271">
        <v>31077994.59</v>
      </c>
      <c r="QW9" s="271">
        <v>7303640.8899999997</v>
      </c>
      <c r="QX9" s="271">
        <v>7788166.8799999999</v>
      </c>
      <c r="QY9" s="271">
        <v>28673876.16</v>
      </c>
      <c r="QZ9" s="271">
        <v>5792868.3000000007</v>
      </c>
      <c r="RA9" s="271">
        <v>15022526.620000001</v>
      </c>
      <c r="RB9" s="271">
        <v>30086195.579999998</v>
      </c>
      <c r="RC9" s="271">
        <v>4388664.33</v>
      </c>
      <c r="RD9" s="271">
        <v>3835401.2199999997</v>
      </c>
      <c r="RE9" s="271">
        <v>4335358.6400000006</v>
      </c>
      <c r="RF9" s="271">
        <v>1390055.5</v>
      </c>
      <c r="RG9" s="271">
        <v>523963073.62</v>
      </c>
      <c r="RH9" s="271">
        <v>27597942.650000002</v>
      </c>
      <c r="RI9" s="271">
        <v>20443174</v>
      </c>
      <c r="RJ9" s="271">
        <v>12018645.899999999</v>
      </c>
      <c r="RK9" s="271">
        <v>6652777.5700000003</v>
      </c>
      <c r="RL9" s="271">
        <v>17952529.559999999</v>
      </c>
      <c r="RM9" s="271">
        <v>29829302.210000001</v>
      </c>
      <c r="RN9" s="271">
        <v>4140369.24</v>
      </c>
      <c r="RO9" s="271">
        <v>16720142.27</v>
      </c>
      <c r="RP9" s="271">
        <v>25436260.049999997</v>
      </c>
      <c r="RQ9" s="271">
        <v>45610034.07</v>
      </c>
      <c r="RR9" s="271">
        <v>5037018.09</v>
      </c>
      <c r="RS9" s="271">
        <v>3193400.1100000003</v>
      </c>
      <c r="RT9" s="271">
        <v>6870595.1499999994</v>
      </c>
      <c r="RU9" s="271">
        <v>4711518.0600000005</v>
      </c>
      <c r="RV9" s="271">
        <v>6737602.9300000006</v>
      </c>
      <c r="RW9" s="271">
        <v>5131195.76</v>
      </c>
      <c r="RX9" s="271">
        <v>3035431.78</v>
      </c>
      <c r="RY9" s="271">
        <v>1678015.55</v>
      </c>
      <c r="RZ9" s="271">
        <v>2590689.11</v>
      </c>
      <c r="SA9" s="271">
        <v>116512876.87</v>
      </c>
      <c r="SB9" s="271">
        <v>11844971.42</v>
      </c>
      <c r="SC9" s="271">
        <v>5270650.43</v>
      </c>
      <c r="SD9" s="271">
        <v>4669931.4099999992</v>
      </c>
      <c r="SE9" s="271">
        <v>2422203.02</v>
      </c>
      <c r="SF9" s="271">
        <v>15642269.9</v>
      </c>
      <c r="SG9" s="271">
        <v>5514403.7800000003</v>
      </c>
      <c r="SH9" s="271">
        <v>17390193.100000001</v>
      </c>
      <c r="SI9" s="271">
        <v>4764696.6899999995</v>
      </c>
      <c r="SJ9" s="271">
        <v>4794294.21</v>
      </c>
      <c r="SK9" s="271">
        <v>27727423.409999996</v>
      </c>
      <c r="SL9" s="271">
        <v>1401796.7300000002</v>
      </c>
      <c r="SM9" s="271">
        <v>67705766.120000005</v>
      </c>
      <c r="SN9" s="271">
        <v>5124796.2300000004</v>
      </c>
      <c r="SO9" s="271">
        <v>5075091.7299999995</v>
      </c>
      <c r="SP9" s="271">
        <v>19734240.93</v>
      </c>
      <c r="SQ9" s="271">
        <v>4738641.7500000009</v>
      </c>
      <c r="SR9" s="271">
        <v>7706945.7199999997</v>
      </c>
      <c r="SS9" s="271">
        <v>6208156.7800000003</v>
      </c>
      <c r="ST9" s="271">
        <v>2565708.5299999998</v>
      </c>
      <c r="SU9" s="271">
        <v>153589748.56</v>
      </c>
      <c r="SV9" s="271">
        <v>2839603.26</v>
      </c>
      <c r="SW9" s="271">
        <v>7295368.3600000003</v>
      </c>
      <c r="SX9" s="271">
        <v>3463751.5799999996</v>
      </c>
      <c r="SY9" s="271">
        <v>2727743.16</v>
      </c>
      <c r="SZ9" s="271">
        <v>2903743.39</v>
      </c>
      <c r="TA9" s="271">
        <v>6229906.25</v>
      </c>
      <c r="TB9" s="271">
        <v>19259195.990000002</v>
      </c>
      <c r="TC9" s="271">
        <v>3498859.81</v>
      </c>
      <c r="TD9" s="271">
        <v>3686307.8999999994</v>
      </c>
      <c r="TE9" s="271">
        <v>3741202.73</v>
      </c>
      <c r="TF9" s="271">
        <v>17641702.719999999</v>
      </c>
      <c r="TG9" s="271">
        <v>3825139.08</v>
      </c>
      <c r="TH9" s="271">
        <v>2758806.56</v>
      </c>
      <c r="TI9" s="271">
        <v>417106971.71000004</v>
      </c>
      <c r="TJ9" s="271">
        <v>4336571.8100000005</v>
      </c>
      <c r="TK9" s="271">
        <v>4913255.54</v>
      </c>
      <c r="TL9" s="271">
        <v>12015340.470000001</v>
      </c>
      <c r="TM9" s="271">
        <v>14732623.040000001</v>
      </c>
      <c r="TN9" s="271">
        <v>7501897.0599999996</v>
      </c>
      <c r="TO9" s="271">
        <v>1524971.87</v>
      </c>
      <c r="TP9" s="271">
        <v>46516721.720000006</v>
      </c>
      <c r="TQ9" s="271">
        <v>5030379.3600000003</v>
      </c>
      <c r="TR9" s="271">
        <v>14469861.880000001</v>
      </c>
      <c r="TS9" s="271">
        <v>13359823.84</v>
      </c>
      <c r="TT9" s="271">
        <v>3362920.0700000003</v>
      </c>
      <c r="TU9" s="271">
        <v>2407715.8900000006</v>
      </c>
      <c r="TV9" s="271">
        <v>7271127.4199999999</v>
      </c>
      <c r="TW9" s="271">
        <v>3183327.0599999996</v>
      </c>
      <c r="TX9" s="271">
        <v>4176548.56</v>
      </c>
      <c r="TY9" s="271">
        <v>68858983.370000005</v>
      </c>
      <c r="TZ9" s="271">
        <v>4267712.1899999995</v>
      </c>
      <c r="UA9" s="271">
        <v>160115005.08999997</v>
      </c>
      <c r="UB9" s="271">
        <v>18111461.690000005</v>
      </c>
      <c r="UC9" s="271">
        <v>4348695.8899999997</v>
      </c>
      <c r="UD9" s="271">
        <v>6367523.6899999985</v>
      </c>
      <c r="UE9" s="271">
        <v>80738552.669999987</v>
      </c>
      <c r="UF9" s="271">
        <v>2301457.2400000002</v>
      </c>
      <c r="UG9" s="271">
        <v>2224716.84</v>
      </c>
      <c r="UH9" s="271">
        <v>2434798.58</v>
      </c>
      <c r="UI9" s="271">
        <v>2796706.5300000003</v>
      </c>
      <c r="UJ9" s="271">
        <v>83838467.049999997</v>
      </c>
      <c r="UK9" s="271">
        <v>9095694.1099999994</v>
      </c>
      <c r="UL9" s="271">
        <v>7064377.040000001</v>
      </c>
      <c r="UM9" s="271">
        <v>9848678.4199999999</v>
      </c>
      <c r="UN9" s="271">
        <v>4822148.8499999996</v>
      </c>
      <c r="UO9" s="271">
        <v>5038781.83</v>
      </c>
      <c r="UP9" s="271">
        <v>587998482.18999994</v>
      </c>
      <c r="UQ9" s="271">
        <v>6740756.0999999996</v>
      </c>
      <c r="UR9" s="271">
        <v>7201933.6000000006</v>
      </c>
      <c r="US9" s="271">
        <v>80911736.180000007</v>
      </c>
      <c r="UT9" s="271">
        <v>4166276</v>
      </c>
      <c r="UU9" s="271">
        <v>4554289.84</v>
      </c>
      <c r="UV9" s="271">
        <v>29679441.539999999</v>
      </c>
      <c r="UW9" s="271">
        <v>2984087.96</v>
      </c>
      <c r="UX9" s="271">
        <v>3951066.51</v>
      </c>
      <c r="UY9" s="271">
        <v>7440762.6200000001</v>
      </c>
      <c r="UZ9" s="271">
        <v>7445071.6799999988</v>
      </c>
      <c r="VA9" s="271">
        <v>21515532.810000002</v>
      </c>
      <c r="VB9" s="271">
        <v>5577908.6299999999</v>
      </c>
      <c r="VC9" s="271">
        <v>17549128.91</v>
      </c>
      <c r="VD9" s="271">
        <v>4467541.38</v>
      </c>
      <c r="VE9" s="271">
        <v>2724635.15</v>
      </c>
      <c r="VF9" s="271">
        <v>1721048.44</v>
      </c>
      <c r="VG9" s="271">
        <v>3778580.6199999996</v>
      </c>
      <c r="VH9" s="271">
        <v>28757736.720000003</v>
      </c>
      <c r="VI9" s="271">
        <v>2139508.4699999997</v>
      </c>
      <c r="VJ9" s="271">
        <v>2241420.42</v>
      </c>
      <c r="VK9" s="271">
        <v>1915924.03</v>
      </c>
      <c r="VL9" s="271">
        <v>189273703.22</v>
      </c>
      <c r="VM9" s="271">
        <v>9987500.9700000007</v>
      </c>
      <c r="VN9" s="271">
        <v>7113426.1600000011</v>
      </c>
      <c r="VO9" s="271">
        <v>13037507.279999999</v>
      </c>
      <c r="VP9" s="271">
        <v>23603651.049999997</v>
      </c>
      <c r="VQ9" s="271">
        <v>23481640.57</v>
      </c>
      <c r="VR9" s="271">
        <v>7788100.5100000007</v>
      </c>
      <c r="VS9" s="271">
        <v>6569965.0899999999</v>
      </c>
      <c r="VT9" s="271">
        <v>3192953.75</v>
      </c>
      <c r="VU9" s="271">
        <v>52605345.830000006</v>
      </c>
      <c r="VV9" s="271">
        <v>5298746.9000000004</v>
      </c>
      <c r="VW9" s="271">
        <v>14887290.73</v>
      </c>
      <c r="VX9" s="271">
        <v>4480115.8499999996</v>
      </c>
      <c r="VY9" s="271">
        <v>3255626.92</v>
      </c>
      <c r="VZ9" s="271">
        <v>3195488.3000000003</v>
      </c>
      <c r="WA9" s="271">
        <v>964694892.1500001</v>
      </c>
      <c r="WB9" s="271">
        <v>11878204.390000001</v>
      </c>
      <c r="WC9" s="271">
        <v>4862462.13</v>
      </c>
      <c r="WD9" s="271">
        <v>4932213.83</v>
      </c>
      <c r="WE9" s="271">
        <v>4537267.3800000008</v>
      </c>
      <c r="WF9" s="271">
        <v>6364620.8000000007</v>
      </c>
      <c r="WG9" s="271">
        <v>12023766.110000001</v>
      </c>
      <c r="WH9" s="271">
        <v>12054560.279999999</v>
      </c>
      <c r="WI9" s="271">
        <v>8143276.9300000006</v>
      </c>
      <c r="WJ9" s="271">
        <v>8564650.8000000007</v>
      </c>
      <c r="WK9" s="271">
        <v>7874820.6300000008</v>
      </c>
      <c r="WL9" s="271">
        <v>30441345.480999999</v>
      </c>
      <c r="WM9" s="271">
        <v>11383325.18</v>
      </c>
      <c r="WN9" s="271">
        <v>12942127.08</v>
      </c>
      <c r="WO9" s="271">
        <v>27843584.089999996</v>
      </c>
      <c r="WP9" s="271">
        <v>7639218.8199999994</v>
      </c>
      <c r="WQ9" s="271">
        <v>11689165.08</v>
      </c>
      <c r="WR9" s="271">
        <v>9058316.1900000013</v>
      </c>
      <c r="WS9" s="271">
        <v>6112363.5500000007</v>
      </c>
      <c r="WT9" s="271">
        <v>13379617.819999998</v>
      </c>
      <c r="WU9" s="271">
        <v>50777353.170000002</v>
      </c>
      <c r="WV9" s="271">
        <v>4146688.5100000002</v>
      </c>
      <c r="WW9" s="271">
        <v>2977924.1799999997</v>
      </c>
      <c r="WX9" s="271">
        <v>2983631.4499999997</v>
      </c>
      <c r="WY9" s="271">
        <v>3443739.2199999997</v>
      </c>
      <c r="WZ9" s="271">
        <v>3476651</v>
      </c>
      <c r="XA9" s="271">
        <v>4168225.7899999996</v>
      </c>
      <c r="XB9" s="271">
        <v>3703312.83</v>
      </c>
      <c r="XC9" s="271">
        <v>47538264.730000004</v>
      </c>
      <c r="XD9" s="271">
        <v>4072894.2999999993</v>
      </c>
      <c r="XE9" s="271">
        <v>2617731.6800000002</v>
      </c>
      <c r="XF9" s="271">
        <v>1915587.58</v>
      </c>
      <c r="XG9" s="271">
        <v>1878635.6</v>
      </c>
      <c r="XH9" s="271">
        <v>401941989.70000005</v>
      </c>
      <c r="XI9" s="271">
        <v>7258969.9399999995</v>
      </c>
      <c r="XJ9" s="271">
        <v>7777684.5</v>
      </c>
      <c r="XK9" s="271">
        <v>96900065.789999992</v>
      </c>
      <c r="XL9" s="271">
        <v>7775731.1600000001</v>
      </c>
      <c r="XM9" s="271">
        <v>10570538.109999999</v>
      </c>
      <c r="XN9" s="271">
        <v>41077389.369999997</v>
      </c>
      <c r="XO9" s="271">
        <v>9521393.8299999982</v>
      </c>
      <c r="XP9" s="271">
        <v>10190423.439999999</v>
      </c>
      <c r="XQ9" s="271">
        <v>31459843.039999999</v>
      </c>
      <c r="XR9" s="271">
        <v>23074870.57</v>
      </c>
      <c r="XS9" s="271">
        <v>4596610.4200000009</v>
      </c>
      <c r="XT9" s="271">
        <v>7060967.96</v>
      </c>
      <c r="XU9" s="271">
        <v>7708675.0099999998</v>
      </c>
      <c r="XV9" s="271">
        <v>3540633.11</v>
      </c>
      <c r="XW9" s="271">
        <v>2836291.71</v>
      </c>
      <c r="XX9" s="271">
        <v>2602599.8899999997</v>
      </c>
      <c r="XY9" s="271">
        <v>3396251.9499999997</v>
      </c>
      <c r="XZ9" s="271">
        <v>5391100.9300000006</v>
      </c>
      <c r="YA9" s="271">
        <v>3518081.05</v>
      </c>
      <c r="YB9" s="271">
        <v>5467102.8200000003</v>
      </c>
      <c r="YC9" s="271">
        <v>3041190.21</v>
      </c>
      <c r="YD9" s="271">
        <v>3680183.1300000004</v>
      </c>
      <c r="YE9" s="271">
        <v>461940266.93000001</v>
      </c>
      <c r="YF9" s="271">
        <v>11054174.029999999</v>
      </c>
      <c r="YG9" s="271">
        <v>34030943.969999999</v>
      </c>
      <c r="YH9" s="271">
        <v>5261260.16</v>
      </c>
      <c r="YI9" s="271">
        <v>39405622.109999999</v>
      </c>
      <c r="YJ9" s="271">
        <v>6573765.29</v>
      </c>
      <c r="YK9" s="271">
        <v>19028430.790000003</v>
      </c>
      <c r="YL9" s="271">
        <v>5807224.04</v>
      </c>
      <c r="YM9" s="271">
        <v>33516062.709999997</v>
      </c>
      <c r="YN9" s="271">
        <v>24596204.84</v>
      </c>
      <c r="YO9" s="271">
        <v>11276633.66</v>
      </c>
      <c r="YP9" s="271">
        <v>5353330.66</v>
      </c>
      <c r="YQ9" s="271">
        <v>4903973</v>
      </c>
      <c r="YR9" s="271">
        <v>4075546.24</v>
      </c>
      <c r="YS9" s="271">
        <v>2235438.58</v>
      </c>
      <c r="YT9" s="271">
        <v>2415229.6</v>
      </c>
      <c r="YU9" s="271">
        <v>3098440.2600000002</v>
      </c>
      <c r="YV9" s="271">
        <v>116450802.60000001</v>
      </c>
      <c r="YW9" s="271">
        <v>7530635.540000001</v>
      </c>
      <c r="YX9" s="271">
        <v>10253580.050000001</v>
      </c>
      <c r="YY9" s="271">
        <v>4981782.1199999992</v>
      </c>
      <c r="YZ9" s="271">
        <v>20558084.77</v>
      </c>
      <c r="ZA9" s="271">
        <v>3136177.85</v>
      </c>
      <c r="ZB9" s="271">
        <v>11291946.379999999</v>
      </c>
      <c r="ZC9" s="271">
        <v>126221058.14</v>
      </c>
      <c r="ZD9" s="271">
        <v>5061276.4200000009</v>
      </c>
      <c r="ZE9" s="271">
        <v>10259461.790000001</v>
      </c>
      <c r="ZF9" s="271">
        <v>13857626.57</v>
      </c>
      <c r="ZG9" s="271">
        <v>4270408.8899999997</v>
      </c>
      <c r="ZH9" s="271">
        <v>5873411.79</v>
      </c>
      <c r="ZI9" s="271">
        <v>3612370.13</v>
      </c>
      <c r="ZJ9" s="271">
        <v>2930862.98</v>
      </c>
      <c r="ZK9" s="271">
        <v>27745040.630000003</v>
      </c>
      <c r="ZL9" s="271">
        <v>318089238.81999999</v>
      </c>
      <c r="ZM9" s="271">
        <v>5989033.2999999998</v>
      </c>
      <c r="ZN9" s="271">
        <v>19748584.609999999</v>
      </c>
      <c r="ZO9" s="271">
        <v>57507710.620000005</v>
      </c>
      <c r="ZP9" s="271">
        <v>26395218.309999999</v>
      </c>
      <c r="ZQ9" s="271">
        <v>3196823.0700000003</v>
      </c>
      <c r="ZR9" s="271">
        <v>6706083.5700000003</v>
      </c>
      <c r="ZS9" s="271">
        <v>15897894.539999999</v>
      </c>
      <c r="ZT9" s="271">
        <v>23940034.329999998</v>
      </c>
      <c r="ZU9" s="271">
        <v>22116628.859999999</v>
      </c>
      <c r="ZV9" s="271">
        <v>3288625.6</v>
      </c>
      <c r="ZW9" s="271">
        <v>4617642.8099999996</v>
      </c>
      <c r="ZX9" s="271">
        <v>4446064.4399999995</v>
      </c>
      <c r="ZY9" s="271">
        <v>10153457.220000001</v>
      </c>
      <c r="ZZ9" s="271">
        <v>3915977.62</v>
      </c>
      <c r="AAA9" s="271">
        <v>4628201.5</v>
      </c>
      <c r="AAB9" s="271">
        <v>4753235.1500000004</v>
      </c>
      <c r="AAC9" s="271">
        <v>3679530.83</v>
      </c>
      <c r="AAD9" s="271">
        <v>5739196.2800000012</v>
      </c>
      <c r="AAE9" s="271">
        <v>3315327.05</v>
      </c>
      <c r="AAF9" s="271">
        <v>2514279.0799999996</v>
      </c>
      <c r="AAG9" s="271">
        <v>1852008.04</v>
      </c>
      <c r="AAH9" s="271">
        <v>125410651.18000001</v>
      </c>
      <c r="AAI9" s="271">
        <v>4323101.38</v>
      </c>
      <c r="AAJ9" s="271">
        <v>11142031.559999999</v>
      </c>
      <c r="AAK9" s="271">
        <v>8977821.7999999989</v>
      </c>
      <c r="AAL9" s="271">
        <v>4370627.29</v>
      </c>
      <c r="AAM9" s="271">
        <v>18269683.270000003</v>
      </c>
      <c r="AAN9" s="271">
        <v>4340086.5299999993</v>
      </c>
      <c r="AAO9" s="271">
        <v>877929280.37</v>
      </c>
      <c r="AAP9" s="271">
        <v>7227602.8700000001</v>
      </c>
      <c r="AAQ9" s="271">
        <v>3193285.2300000004</v>
      </c>
      <c r="AAR9" s="271">
        <v>29269676.010000002</v>
      </c>
      <c r="AAS9" s="271">
        <v>21186250.02</v>
      </c>
      <c r="AAT9" s="271">
        <v>5083599.59</v>
      </c>
      <c r="AAU9" s="271">
        <v>4789129.5000000009</v>
      </c>
      <c r="AAV9" s="271">
        <v>9463019.5600000005</v>
      </c>
      <c r="AAW9" s="271">
        <v>33205449.449999996</v>
      </c>
      <c r="AAX9" s="271">
        <v>6784344.3399999989</v>
      </c>
      <c r="AAY9" s="271">
        <v>11419851.060000001</v>
      </c>
      <c r="AAZ9" s="271">
        <v>63156483.109999999</v>
      </c>
      <c r="ABA9" s="271">
        <v>19503275.760000002</v>
      </c>
      <c r="ABB9" s="271">
        <v>1943723.6</v>
      </c>
      <c r="ABC9" s="271">
        <v>4831441.84</v>
      </c>
      <c r="ABD9" s="271">
        <v>3926185.1200000006</v>
      </c>
      <c r="ABE9" s="271">
        <v>2601399.34</v>
      </c>
      <c r="ABF9" s="271">
        <v>4992098.21</v>
      </c>
      <c r="ABG9" s="271">
        <v>6158529.3600000003</v>
      </c>
      <c r="ABH9" s="271">
        <v>74332612.729999989</v>
      </c>
      <c r="ABI9" s="271">
        <v>90625712.609999999</v>
      </c>
      <c r="ABJ9" s="271">
        <v>5865785.9299999997</v>
      </c>
      <c r="ABK9" s="271">
        <v>2327660.75</v>
      </c>
      <c r="ABL9" s="271">
        <v>1569250.7600000002</v>
      </c>
      <c r="ABM9" s="271">
        <v>3177917.84</v>
      </c>
      <c r="ABN9" s="271">
        <v>1989200.79</v>
      </c>
      <c r="ABO9" s="271">
        <v>112341316.74000001</v>
      </c>
      <c r="ABP9" s="271">
        <v>7494105.1500000004</v>
      </c>
      <c r="ABQ9" s="271">
        <v>3214483.5100000002</v>
      </c>
      <c r="ABR9" s="271">
        <v>5613280.7299999995</v>
      </c>
      <c r="ABS9" s="271">
        <v>8195890.2799999993</v>
      </c>
      <c r="ABT9" s="271">
        <v>5415285.4500000002</v>
      </c>
      <c r="ABU9" s="271">
        <v>4127705.47</v>
      </c>
      <c r="ABV9" s="271">
        <v>5954722.2999999998</v>
      </c>
      <c r="ABW9" s="271">
        <v>157883.23000000001</v>
      </c>
      <c r="ABX9" s="271">
        <v>180634172.94999999</v>
      </c>
      <c r="ABY9" s="271">
        <v>3279256.98</v>
      </c>
      <c r="ABZ9" s="271">
        <v>11598114.439999999</v>
      </c>
      <c r="ACA9" s="271">
        <v>5692781.0999999996</v>
      </c>
      <c r="ACB9" s="271">
        <v>3060037.4699999997</v>
      </c>
      <c r="ACC9" s="271">
        <v>29219909.640000001</v>
      </c>
      <c r="ACD9" s="271">
        <v>5844530.5</v>
      </c>
      <c r="ACE9" s="271">
        <v>5412654.4400000004</v>
      </c>
      <c r="ACF9" s="271">
        <v>4787491.51</v>
      </c>
      <c r="ACG9" s="271">
        <v>13747978.83</v>
      </c>
      <c r="ACH9" s="271">
        <v>3214925.89</v>
      </c>
      <c r="ACI9" s="271">
        <v>467017348.14000005</v>
      </c>
      <c r="ACJ9" s="271">
        <v>5139051.97</v>
      </c>
      <c r="ACK9" s="271">
        <v>12495635.439999999</v>
      </c>
      <c r="ACL9" s="271">
        <v>11530815.780000001</v>
      </c>
      <c r="ACM9" s="271">
        <v>3001893.19</v>
      </c>
      <c r="ACN9" s="271">
        <v>12893974.199999999</v>
      </c>
      <c r="ACO9" s="271">
        <v>12556683.15</v>
      </c>
      <c r="ACP9" s="271">
        <v>59875482.640000008</v>
      </c>
      <c r="ACQ9" s="271">
        <v>96102878.579999998</v>
      </c>
      <c r="ACR9" s="271">
        <v>6175684.2199999997</v>
      </c>
      <c r="ACS9" s="271">
        <v>7168867.75</v>
      </c>
      <c r="ACT9" s="271">
        <v>20873464.580000002</v>
      </c>
      <c r="ACU9" s="271">
        <v>9748073</v>
      </c>
      <c r="ACV9" s="271">
        <v>64294819.600000001</v>
      </c>
      <c r="ACW9" s="271">
        <v>5949256.2800000003</v>
      </c>
      <c r="ACX9" s="271">
        <v>11995627.290000001</v>
      </c>
      <c r="ACY9" s="271">
        <v>3761859.4899999998</v>
      </c>
      <c r="ACZ9" s="271">
        <v>4187242.1299999994</v>
      </c>
      <c r="ADA9" s="271">
        <v>5040990.4300000006</v>
      </c>
      <c r="ADB9" s="271">
        <v>4749107.04</v>
      </c>
      <c r="ADC9" s="271">
        <v>2917713.08</v>
      </c>
      <c r="ADD9" s="271">
        <v>1504513.25</v>
      </c>
      <c r="ADE9" s="271">
        <v>3393775</v>
      </c>
      <c r="ADF9" s="271">
        <v>79383542.320000008</v>
      </c>
      <c r="ADG9" s="271">
        <v>54117544.420000002</v>
      </c>
      <c r="ADH9" s="271">
        <v>1345537.91</v>
      </c>
      <c r="ADI9" s="271">
        <v>2355797.92</v>
      </c>
      <c r="ADJ9" s="271">
        <v>5589719.3100000005</v>
      </c>
      <c r="ADK9" s="271">
        <v>2775960</v>
      </c>
      <c r="ADL9" s="271">
        <v>3742764.58</v>
      </c>
      <c r="ADM9" s="271">
        <v>5396439.5499999998</v>
      </c>
      <c r="ADN9" s="271">
        <v>4278229.3100000005</v>
      </c>
      <c r="ADO9" s="271">
        <v>297199160.03999996</v>
      </c>
      <c r="ADP9" s="271">
        <v>6657645.1299999999</v>
      </c>
      <c r="ADQ9" s="271">
        <v>8228726.0899999999</v>
      </c>
      <c r="ADR9" s="271">
        <v>1071646.3899999999</v>
      </c>
      <c r="ADS9" s="271">
        <v>74519160.219999999</v>
      </c>
      <c r="ADT9" s="271">
        <v>1974871.98</v>
      </c>
      <c r="ADU9" s="271">
        <v>3827223.81</v>
      </c>
      <c r="ADV9" s="271">
        <v>5340071.53</v>
      </c>
      <c r="ADW9" s="271">
        <v>1634345.01</v>
      </c>
      <c r="ADX9" s="271">
        <v>299023.90000000002</v>
      </c>
      <c r="ADY9" s="271">
        <v>508059183.65000004</v>
      </c>
      <c r="ADZ9" s="271">
        <v>38202071.82</v>
      </c>
      <c r="AEA9" s="271">
        <v>25823841.23</v>
      </c>
      <c r="AEB9" s="271">
        <v>3809555.18</v>
      </c>
      <c r="AEC9" s="271">
        <v>3870220.83</v>
      </c>
      <c r="AED9" s="271">
        <v>19149566.710000001</v>
      </c>
      <c r="AEE9" s="271">
        <v>4912804.2699999996</v>
      </c>
      <c r="AEF9" s="271">
        <v>6181501.4100000001</v>
      </c>
      <c r="AEG9" s="271">
        <v>6190775.3199999994</v>
      </c>
      <c r="AEH9" s="271">
        <v>4481971.9099999992</v>
      </c>
      <c r="AEI9" s="271">
        <v>8363165.9699999997</v>
      </c>
      <c r="AEJ9" s="271">
        <v>13329202.200000001</v>
      </c>
      <c r="AEK9" s="271">
        <v>5224013.6499999994</v>
      </c>
      <c r="AEL9" s="271">
        <v>10253879.950000001</v>
      </c>
      <c r="AEM9" s="271">
        <v>7216640.1799999997</v>
      </c>
      <c r="AEN9" s="271">
        <v>10531235.809999999</v>
      </c>
      <c r="AEO9" s="271">
        <v>3050044.4699999997</v>
      </c>
      <c r="AEP9" s="271">
        <v>25581057.84</v>
      </c>
      <c r="AEQ9" s="271">
        <v>2415101.1999999997</v>
      </c>
      <c r="AER9" s="271">
        <v>12704488.540000001</v>
      </c>
      <c r="AES9" s="271">
        <v>311457469.3499999</v>
      </c>
      <c r="AET9" s="271">
        <v>11946060.280000001</v>
      </c>
      <c r="AEU9" s="271">
        <v>15802019.189999999</v>
      </c>
      <c r="AEV9" s="271">
        <v>7795293.0999999996</v>
      </c>
      <c r="AEW9" s="271">
        <v>4261285.12</v>
      </c>
      <c r="AEX9" s="271">
        <v>32909691.390000001</v>
      </c>
      <c r="AEY9" s="271">
        <v>5196292.97</v>
      </c>
      <c r="AEZ9" s="271">
        <v>9972873.0099999998</v>
      </c>
      <c r="AFA9" s="271">
        <v>7666528.3499999996</v>
      </c>
      <c r="AFB9" s="271">
        <v>2384827.3199999998</v>
      </c>
      <c r="AFC9" s="271">
        <v>144851597.66</v>
      </c>
      <c r="AFD9" s="271">
        <v>80463656.769999996</v>
      </c>
      <c r="AFE9" s="271">
        <v>13876886.35</v>
      </c>
      <c r="AFF9" s="271">
        <v>7820904.7499999991</v>
      </c>
      <c r="AFG9" s="271">
        <v>12926216.619999999</v>
      </c>
      <c r="AFH9" s="271">
        <v>5368634.95</v>
      </c>
      <c r="AFI9" s="271">
        <v>3735937.22</v>
      </c>
      <c r="AFJ9" s="271">
        <v>9112848.6100000013</v>
      </c>
      <c r="AFK9" s="271">
        <v>4021774</v>
      </c>
      <c r="AFL9" s="271">
        <v>7312983.7199999997</v>
      </c>
      <c r="AFM9" s="271">
        <v>1744505.04</v>
      </c>
      <c r="AFN9" s="271">
        <v>5105747.1399999997</v>
      </c>
      <c r="AFO9" s="271">
        <v>5629887.6299999999</v>
      </c>
      <c r="AFP9" s="271">
        <v>197610149.65000001</v>
      </c>
      <c r="AFQ9" s="271">
        <v>22550357.780000001</v>
      </c>
      <c r="AFR9" s="271">
        <v>5208157.8800000008</v>
      </c>
      <c r="AFS9" s="271">
        <v>8056627.8800000008</v>
      </c>
      <c r="AFT9" s="271">
        <v>4622757.5099999988</v>
      </c>
      <c r="AFU9" s="271">
        <v>4413759.3600000003</v>
      </c>
      <c r="AFV9" s="271">
        <v>3501881.8200000003</v>
      </c>
      <c r="AFW9" s="271">
        <v>6432731.9799999995</v>
      </c>
      <c r="AFX9" s="271">
        <v>7753431.9900000002</v>
      </c>
      <c r="AFY9" s="271">
        <v>3813493.9899999998</v>
      </c>
      <c r="AFZ9" s="271">
        <v>9922641.3999999985</v>
      </c>
      <c r="AGA9" s="271">
        <v>2831060.19</v>
      </c>
      <c r="AGB9" s="271">
        <v>299238600.74000001</v>
      </c>
      <c r="AGC9" s="271">
        <v>5708506.5099999998</v>
      </c>
      <c r="AGD9" s="271">
        <v>10644928.35</v>
      </c>
      <c r="AGE9" s="271">
        <v>10208607.66</v>
      </c>
      <c r="AGF9" s="271">
        <v>50182122.609999999</v>
      </c>
      <c r="AGG9" s="271">
        <v>10886406.710000001</v>
      </c>
      <c r="AGH9" s="271">
        <v>7664339.5800000001</v>
      </c>
      <c r="AGI9" s="271">
        <v>5348186.9799999995</v>
      </c>
      <c r="AGJ9" s="271">
        <v>5160347.3500000006</v>
      </c>
      <c r="AGK9" s="271">
        <v>7149520.5799999991</v>
      </c>
      <c r="AGL9" s="271">
        <v>5383436.2699999996</v>
      </c>
      <c r="AGM9" s="271">
        <v>327664364.33000004</v>
      </c>
      <c r="AGN9" s="271">
        <v>32458122.039999999</v>
      </c>
      <c r="AGO9" s="271">
        <v>18037655.620000001</v>
      </c>
      <c r="AGP9" s="271">
        <v>4995876.6099999994</v>
      </c>
      <c r="AGQ9" s="271">
        <v>13570639.77</v>
      </c>
      <c r="AGR9" s="271">
        <v>23502087.720000003</v>
      </c>
      <c r="AGS9" s="271">
        <v>1981774.9800000002</v>
      </c>
      <c r="AGT9" s="271">
        <v>3425628.64</v>
      </c>
      <c r="AGU9" s="271">
        <v>340114693.58000004</v>
      </c>
      <c r="AGV9" s="271">
        <v>294049337.38999999</v>
      </c>
      <c r="AGW9" s="271">
        <v>7643463.3600000003</v>
      </c>
      <c r="AGX9" s="271">
        <v>13295450.33</v>
      </c>
      <c r="AGY9" s="271">
        <v>36836622.769999996</v>
      </c>
      <c r="AGZ9" s="271">
        <v>16467539.5</v>
      </c>
      <c r="AHA9" s="271">
        <v>8311911.3600000003</v>
      </c>
      <c r="AHB9" s="271">
        <v>20405876.59</v>
      </c>
      <c r="AHC9" s="271">
        <v>4331729.0999999996</v>
      </c>
      <c r="AHD9" s="271">
        <v>9739298.8000000007</v>
      </c>
      <c r="AHE9" s="271">
        <v>7036801.0199999996</v>
      </c>
      <c r="AHF9" s="271">
        <v>9236462.1799999997</v>
      </c>
      <c r="AHG9" s="271">
        <v>7422927.5200000005</v>
      </c>
      <c r="AHH9" s="271">
        <v>1598098.41</v>
      </c>
      <c r="AHI9" s="271">
        <v>3628582.0800000005</v>
      </c>
      <c r="AHJ9" s="271">
        <v>6846321.3000000007</v>
      </c>
      <c r="AHK9" s="271">
        <v>3215978.05</v>
      </c>
      <c r="AHL9" s="271">
        <v>96897004.319999993</v>
      </c>
      <c r="AHM9" s="271">
        <v>6665833.0999999996</v>
      </c>
      <c r="AHN9" s="271">
        <v>5607014.75</v>
      </c>
      <c r="AHO9" s="271">
        <v>6520697.6600000001</v>
      </c>
      <c r="AHP9" s="271">
        <v>20150922.939999998</v>
      </c>
      <c r="AHQ9" s="294">
        <v>4781135.16</v>
      </c>
      <c r="AHR9" s="331">
        <v>3651602.97</v>
      </c>
      <c r="AHS9" s="294">
        <f t="shared" si="0"/>
        <v>30121391821.250732</v>
      </c>
      <c r="AHT9" s="269" t="b">
        <f t="shared" si="1"/>
        <v>1</v>
      </c>
      <c r="AHU9" s="269" t="s">
        <v>6</v>
      </c>
    </row>
    <row r="10" spans="2:905" ht="23.4" customHeight="1" x14ac:dyDescent="0.7">
      <c r="B10" s="268" t="s">
        <v>8</v>
      </c>
      <c r="C10" s="269" t="s">
        <v>9</v>
      </c>
      <c r="D10" s="271">
        <v>176026815.14000002</v>
      </c>
      <c r="E10" s="271">
        <v>2848871.02</v>
      </c>
      <c r="F10" s="271">
        <v>12109508.389999999</v>
      </c>
      <c r="G10" s="271">
        <v>1130284.48</v>
      </c>
      <c r="H10" s="271">
        <v>6158290.6800000016</v>
      </c>
      <c r="I10" s="271">
        <v>1622059.6600000001</v>
      </c>
      <c r="J10" s="271">
        <v>6361222.5700000003</v>
      </c>
      <c r="K10" s="271">
        <v>2144737.0500000003</v>
      </c>
      <c r="L10" s="271">
        <v>2419195.5099999998</v>
      </c>
      <c r="M10" s="271">
        <v>3305389.1500000008</v>
      </c>
      <c r="N10" s="271">
        <v>714448.16999999981</v>
      </c>
      <c r="O10" s="271">
        <v>1293177.81</v>
      </c>
      <c r="P10" s="271">
        <v>174782.09999999998</v>
      </c>
      <c r="Q10" s="271">
        <v>2968622.31</v>
      </c>
      <c r="R10" s="271">
        <v>1260773.9099999999</v>
      </c>
      <c r="S10" s="271">
        <v>7650314.4299999997</v>
      </c>
      <c r="T10" s="271">
        <v>25033986.169999994</v>
      </c>
      <c r="U10" s="271">
        <v>309309.81999999989</v>
      </c>
      <c r="V10" s="271">
        <v>241988590.24000004</v>
      </c>
      <c r="W10" s="271">
        <v>16889262.849999998</v>
      </c>
      <c r="X10" s="271">
        <v>545344.04999999993</v>
      </c>
      <c r="Y10" s="271">
        <v>1728135.62</v>
      </c>
      <c r="Z10" s="271">
        <v>1212305.06</v>
      </c>
      <c r="AA10" s="271">
        <v>2129241.9500000007</v>
      </c>
      <c r="AB10" s="271">
        <v>257019.82000000007</v>
      </c>
      <c r="AC10" s="271">
        <v>8156274.6799999988</v>
      </c>
      <c r="AD10" s="271">
        <v>1286580.9099999999</v>
      </c>
      <c r="AE10" s="271">
        <v>834995.08000000031</v>
      </c>
      <c r="AF10" s="271">
        <v>31133610.350000001</v>
      </c>
      <c r="AG10" s="271">
        <v>2085064.3199999998</v>
      </c>
      <c r="AH10" s="271">
        <v>38160475.75999999</v>
      </c>
      <c r="AI10" s="271">
        <v>1785415.5100000002</v>
      </c>
      <c r="AJ10" s="271">
        <v>2069446.68</v>
      </c>
      <c r="AK10" s="271">
        <v>533712.73999999987</v>
      </c>
      <c r="AL10" s="271">
        <v>448783.41999999993</v>
      </c>
      <c r="AM10" s="271">
        <v>1696276.56</v>
      </c>
      <c r="AN10" s="271">
        <v>490007.2</v>
      </c>
      <c r="AO10" s="271">
        <v>792781.97</v>
      </c>
      <c r="AP10" s="271">
        <v>1201047.3500000001</v>
      </c>
      <c r="AQ10" s="271">
        <v>1185348.2500000002</v>
      </c>
      <c r="AR10" s="271">
        <v>450375.67999999999</v>
      </c>
      <c r="AS10" s="271">
        <v>400742.33000000007</v>
      </c>
      <c r="AT10" s="271">
        <v>103239609.48999998</v>
      </c>
      <c r="AU10" s="271">
        <v>410347.11999999994</v>
      </c>
      <c r="AV10" s="271">
        <v>406004.87999999995</v>
      </c>
      <c r="AW10" s="271">
        <v>604528.1</v>
      </c>
      <c r="AX10" s="271">
        <v>1432796.5</v>
      </c>
      <c r="AY10" s="271">
        <v>2139574.09</v>
      </c>
      <c r="AZ10" s="271">
        <v>677807.46</v>
      </c>
      <c r="BA10" s="271">
        <v>1454524.2700000003</v>
      </c>
      <c r="BB10" s="271">
        <v>437650.62999999995</v>
      </c>
      <c r="BC10" s="271">
        <v>2827338.52</v>
      </c>
      <c r="BD10" s="271">
        <v>723327.69000000006</v>
      </c>
      <c r="BE10" s="271">
        <v>428415.96</v>
      </c>
      <c r="BF10" s="271">
        <v>15795508.390000001</v>
      </c>
      <c r="BG10" s="271">
        <v>260716.47</v>
      </c>
      <c r="BH10" s="271">
        <v>856587.69000000018</v>
      </c>
      <c r="BI10" s="271">
        <v>73588077.51000002</v>
      </c>
      <c r="BJ10" s="271">
        <v>28022928.960000001</v>
      </c>
      <c r="BK10" s="271">
        <v>953367.01999999979</v>
      </c>
      <c r="BL10" s="271">
        <v>740378.16999999993</v>
      </c>
      <c r="BM10" s="271">
        <v>6834340.0299999993</v>
      </c>
      <c r="BN10" s="271">
        <v>4121978.5700000003</v>
      </c>
      <c r="BO10" s="271">
        <v>2315094.17</v>
      </c>
      <c r="BP10" s="271">
        <v>187034.55</v>
      </c>
      <c r="BQ10" s="271">
        <v>180031.69</v>
      </c>
      <c r="BR10" s="271">
        <v>72603272.109999999</v>
      </c>
      <c r="BS10" s="271">
        <v>2169388.9200000004</v>
      </c>
      <c r="BT10" s="271">
        <v>3409677.46</v>
      </c>
      <c r="BU10" s="271">
        <v>2075104.3299999996</v>
      </c>
      <c r="BV10" s="271">
        <v>1608829.2300000002</v>
      </c>
      <c r="BW10" s="271">
        <v>912206.53000000014</v>
      </c>
      <c r="BX10" s="271">
        <v>632110.40000000014</v>
      </c>
      <c r="BY10" s="271">
        <v>1525225.69</v>
      </c>
      <c r="BZ10" s="271">
        <v>10122233.319999998</v>
      </c>
      <c r="CA10" s="271">
        <v>2238710.4</v>
      </c>
      <c r="CB10" s="271">
        <v>2980069.46</v>
      </c>
      <c r="CC10" s="271">
        <v>11224563.800000001</v>
      </c>
      <c r="CD10" s="271">
        <v>1039145.75</v>
      </c>
      <c r="CE10" s="271">
        <v>237537.64000000004</v>
      </c>
      <c r="CF10" s="271">
        <v>536742.6</v>
      </c>
      <c r="CG10" s="271">
        <v>256880488.15999997</v>
      </c>
      <c r="CH10" s="271">
        <v>4692945.9300000006</v>
      </c>
      <c r="CI10" s="271">
        <v>18294838.539999999</v>
      </c>
      <c r="CJ10" s="271">
        <v>1477574.7200000002</v>
      </c>
      <c r="CK10" s="271">
        <v>3856800.2899999996</v>
      </c>
      <c r="CL10" s="271">
        <v>4460533.49</v>
      </c>
      <c r="CM10" s="271">
        <v>670343.72999999986</v>
      </c>
      <c r="CN10" s="271">
        <v>3831115.59</v>
      </c>
      <c r="CO10" s="271">
        <v>368532.77000000008</v>
      </c>
      <c r="CP10" s="271">
        <v>3570084.94</v>
      </c>
      <c r="CQ10" s="271">
        <v>2258132.2399999998</v>
      </c>
      <c r="CR10" s="271">
        <v>5900638.4000000004</v>
      </c>
      <c r="CS10" s="271">
        <v>1393996.58</v>
      </c>
      <c r="CT10" s="271">
        <v>95164411.300000012</v>
      </c>
      <c r="CU10" s="271">
        <v>2805511.24</v>
      </c>
      <c r="CV10" s="271">
        <v>2976356.69</v>
      </c>
      <c r="CW10" s="271">
        <v>4397234.21</v>
      </c>
      <c r="CX10" s="271">
        <v>635892.14999999991</v>
      </c>
      <c r="CY10" s="271">
        <v>5143345</v>
      </c>
      <c r="CZ10" s="271">
        <v>1638275.81</v>
      </c>
      <c r="DA10" s="271">
        <v>874698.78999999992</v>
      </c>
      <c r="DB10" s="271">
        <v>45833873.440000005</v>
      </c>
      <c r="DC10" s="271">
        <v>84821306.569999993</v>
      </c>
      <c r="DD10" s="271">
        <v>2172733.08</v>
      </c>
      <c r="DE10" s="271">
        <v>1774371.04</v>
      </c>
      <c r="DF10" s="271">
        <v>6443837.709999999</v>
      </c>
      <c r="DG10" s="271">
        <v>2601572.64</v>
      </c>
      <c r="DH10" s="271">
        <v>6909002.4200000009</v>
      </c>
      <c r="DI10" s="271">
        <v>7081055.2199999997</v>
      </c>
      <c r="DJ10" s="271">
        <v>5859190.2000000002</v>
      </c>
      <c r="DK10" s="271">
        <v>309927324.76000005</v>
      </c>
      <c r="DL10" s="271">
        <v>12327716.780000001</v>
      </c>
      <c r="DM10" s="271">
        <v>17642629.809999995</v>
      </c>
      <c r="DN10" s="271">
        <v>5344859.24</v>
      </c>
      <c r="DO10" s="271">
        <v>10604930.580000002</v>
      </c>
      <c r="DP10" s="271">
        <v>7240061.1500000004</v>
      </c>
      <c r="DQ10" s="271">
        <v>19558760.530000001</v>
      </c>
      <c r="DR10" s="271">
        <v>3834165.1</v>
      </c>
      <c r="DS10" s="271">
        <v>11143935.140000001</v>
      </c>
      <c r="DT10" s="271">
        <v>149612468.97999996</v>
      </c>
      <c r="DU10" s="271">
        <v>8001524.5499999998</v>
      </c>
      <c r="DV10" s="271">
        <v>14333053.129999999</v>
      </c>
      <c r="DW10" s="271">
        <v>23450015.629999999</v>
      </c>
      <c r="DX10" s="271">
        <v>3938655.0399999996</v>
      </c>
      <c r="DY10" s="271">
        <v>18704889.039999995</v>
      </c>
      <c r="DZ10" s="271">
        <v>14519458.910000002</v>
      </c>
      <c r="EA10" s="271">
        <v>2328106.75</v>
      </c>
      <c r="EB10" s="271">
        <v>7260257.7700000005</v>
      </c>
      <c r="EC10" s="271">
        <v>6077532.0199999996</v>
      </c>
      <c r="ED10" s="271">
        <v>9940958.6999999993</v>
      </c>
      <c r="EE10" s="271">
        <v>59212797.610000007</v>
      </c>
      <c r="EF10" s="271">
        <v>75152456.089999989</v>
      </c>
      <c r="EG10" s="271">
        <v>3610666.7899999991</v>
      </c>
      <c r="EH10" s="271">
        <v>3784584.9899999993</v>
      </c>
      <c r="EI10" s="271">
        <v>1307552.3700000001</v>
      </c>
      <c r="EJ10" s="271">
        <v>8124214</v>
      </c>
      <c r="EK10" s="271">
        <v>6958736.7200000007</v>
      </c>
      <c r="EL10" s="271">
        <v>2617088.85</v>
      </c>
      <c r="EM10" s="271">
        <v>4939296</v>
      </c>
      <c r="EN10" s="271">
        <v>74998977.710000008</v>
      </c>
      <c r="EO10" s="271">
        <v>16645836.26</v>
      </c>
      <c r="EP10" s="271">
        <v>4089918.92</v>
      </c>
      <c r="EQ10" s="271">
        <v>9407020.8899999987</v>
      </c>
      <c r="ER10" s="271">
        <v>5519490.7800000003</v>
      </c>
      <c r="ES10" s="271">
        <v>4485818.95</v>
      </c>
      <c r="ET10" s="271">
        <v>1642079.9899999995</v>
      </c>
      <c r="EU10" s="271">
        <v>3067514.7800000003</v>
      </c>
      <c r="EV10" s="271">
        <v>1609530.11</v>
      </c>
      <c r="EW10" s="271">
        <v>80270188.249999985</v>
      </c>
      <c r="EX10" s="271">
        <v>986573.5</v>
      </c>
      <c r="EY10" s="271">
        <v>9447600.9800000004</v>
      </c>
      <c r="EZ10" s="271">
        <v>21268733.920000002</v>
      </c>
      <c r="FA10" s="271">
        <v>14941815.199999999</v>
      </c>
      <c r="FB10" s="271">
        <v>6116482.1200000001</v>
      </c>
      <c r="FC10" s="271">
        <v>8904328.1300000008</v>
      </c>
      <c r="FD10" s="271">
        <v>5728022.21</v>
      </c>
      <c r="FE10" s="271">
        <v>4336422.17</v>
      </c>
      <c r="FF10" s="271">
        <v>5945776.3499999996</v>
      </c>
      <c r="FG10" s="271">
        <v>6133796.8499999996</v>
      </c>
      <c r="FH10" s="271">
        <v>940748.24</v>
      </c>
      <c r="FI10" s="271">
        <v>51484218.020000003</v>
      </c>
      <c r="FJ10" s="271">
        <v>1332410.93</v>
      </c>
      <c r="FK10" s="271">
        <v>820008.8</v>
      </c>
      <c r="FL10" s="271">
        <v>4325894.17</v>
      </c>
      <c r="FM10" s="271">
        <v>1220506.43</v>
      </c>
      <c r="FN10" s="271">
        <v>1273875.3799999999</v>
      </c>
      <c r="FO10" s="271">
        <v>339942.84</v>
      </c>
      <c r="FP10" s="271">
        <v>119064.75</v>
      </c>
      <c r="FQ10" s="271">
        <v>190212894.06999993</v>
      </c>
      <c r="FR10" s="271">
        <v>3556160.92</v>
      </c>
      <c r="FS10" s="271">
        <v>6847149.6399999997</v>
      </c>
      <c r="FT10" s="271">
        <v>4170381.22</v>
      </c>
      <c r="FU10" s="271">
        <v>1706756.2499999993</v>
      </c>
      <c r="FV10" s="271">
        <v>960480.76</v>
      </c>
      <c r="FW10" s="271">
        <v>6632288.379999999</v>
      </c>
      <c r="FX10" s="271">
        <v>7657942.8900000006</v>
      </c>
      <c r="FY10" s="271">
        <v>13231390.460000001</v>
      </c>
      <c r="FZ10" s="271">
        <v>3996890.6899999995</v>
      </c>
      <c r="GA10" s="271">
        <v>14962450.610000001</v>
      </c>
      <c r="GB10" s="271">
        <v>8162092.6899999995</v>
      </c>
      <c r="GC10" s="271">
        <v>652312.28</v>
      </c>
      <c r="GD10" s="271">
        <v>298441.69000000006</v>
      </c>
      <c r="GE10" s="271">
        <v>83004146.909999996</v>
      </c>
      <c r="GF10" s="271">
        <v>17066928.239999998</v>
      </c>
      <c r="GG10" s="271">
        <v>4309529.5899999989</v>
      </c>
      <c r="GH10" s="271">
        <v>10048587.060000001</v>
      </c>
      <c r="GI10" s="271">
        <v>10018969.74</v>
      </c>
      <c r="GJ10" s="271">
        <v>10619498.129999999</v>
      </c>
      <c r="GK10" s="271">
        <v>7963159.3899999997</v>
      </c>
      <c r="GL10" s="271">
        <v>4809861.1899999985</v>
      </c>
      <c r="GM10" s="271">
        <v>9022743.7100000009</v>
      </c>
      <c r="GN10" s="271">
        <v>519542</v>
      </c>
      <c r="GO10" s="271">
        <v>339358.81</v>
      </c>
      <c r="GP10" s="271">
        <v>434829.03</v>
      </c>
      <c r="GQ10" s="271">
        <v>49571076.049999997</v>
      </c>
      <c r="GR10" s="271">
        <v>7082459.0899999989</v>
      </c>
      <c r="GS10" s="271">
        <v>5842790.5099999998</v>
      </c>
      <c r="GT10" s="271">
        <v>14957018.970000001</v>
      </c>
      <c r="GU10" s="271">
        <v>1382241.7</v>
      </c>
      <c r="GV10" s="271">
        <v>13489104.74</v>
      </c>
      <c r="GW10" s="271">
        <v>5593426.8999999994</v>
      </c>
      <c r="GX10" s="271">
        <v>2183785.9400000004</v>
      </c>
      <c r="GY10" s="271">
        <v>107737962.41</v>
      </c>
      <c r="GZ10" s="271">
        <v>10891423.659999998</v>
      </c>
      <c r="HA10" s="271">
        <v>4056183.4000000004</v>
      </c>
      <c r="HB10" s="271">
        <v>34677558.379999995</v>
      </c>
      <c r="HC10" s="271">
        <v>359343515.56000012</v>
      </c>
      <c r="HD10" s="271">
        <v>3228907.95</v>
      </c>
      <c r="HE10" s="271">
        <v>9741756.5299999993</v>
      </c>
      <c r="HF10" s="271">
        <v>32435646.66</v>
      </c>
      <c r="HG10" s="271">
        <v>12513906.33</v>
      </c>
      <c r="HH10" s="271">
        <v>3174068.79</v>
      </c>
      <c r="HI10" s="271">
        <v>26600937.82</v>
      </c>
      <c r="HJ10" s="271">
        <v>193021542.72</v>
      </c>
      <c r="HK10" s="271">
        <v>1068325.52</v>
      </c>
      <c r="HL10" s="271">
        <v>23543654.669999998</v>
      </c>
      <c r="HM10" s="271">
        <v>907834.26</v>
      </c>
      <c r="HN10" s="271">
        <v>755281.27999999991</v>
      </c>
      <c r="HO10" s="271">
        <v>23130430.760000002</v>
      </c>
      <c r="HP10" s="271">
        <v>9019859.5299999993</v>
      </c>
      <c r="HQ10" s="271">
        <v>3894252.59</v>
      </c>
      <c r="HR10" s="271">
        <v>187856974.32999998</v>
      </c>
      <c r="HS10" s="271">
        <v>64211221.779999994</v>
      </c>
      <c r="HT10" s="271">
        <v>13553583.6</v>
      </c>
      <c r="HU10" s="271">
        <v>11619441.960000001</v>
      </c>
      <c r="HV10" s="271">
        <v>15829488.77</v>
      </c>
      <c r="HW10" s="271">
        <v>928536.47</v>
      </c>
      <c r="HX10" s="271">
        <v>25386632.720000003</v>
      </c>
      <c r="HY10" s="271">
        <v>6738995.6300000008</v>
      </c>
      <c r="HZ10" s="271">
        <v>1934733.7999999998</v>
      </c>
      <c r="IA10" s="271">
        <v>9911131.0600000005</v>
      </c>
      <c r="IB10" s="271">
        <v>14341147.059999999</v>
      </c>
      <c r="IC10" s="271">
        <v>44608400.559999995</v>
      </c>
      <c r="ID10" s="271">
        <v>448368.86</v>
      </c>
      <c r="IE10" s="271">
        <v>88475939.019999996</v>
      </c>
      <c r="IF10" s="271">
        <v>1661074.32</v>
      </c>
      <c r="IG10" s="271">
        <v>3283542.9099999992</v>
      </c>
      <c r="IH10" s="271">
        <v>189087459.78999996</v>
      </c>
      <c r="II10" s="271">
        <v>46276031.939999998</v>
      </c>
      <c r="IJ10" s="271">
        <v>9787761.6199999992</v>
      </c>
      <c r="IK10" s="271">
        <v>11962735.229999999</v>
      </c>
      <c r="IL10" s="271">
        <v>63965764.899999999</v>
      </c>
      <c r="IM10" s="271">
        <v>2204779.8800000004</v>
      </c>
      <c r="IN10" s="271">
        <v>3986601.4099999997</v>
      </c>
      <c r="IO10" s="271">
        <v>6279623.3099999996</v>
      </c>
      <c r="IP10" s="271">
        <v>1432266.47</v>
      </c>
      <c r="IQ10" s="271">
        <v>2584605.0499999998</v>
      </c>
      <c r="IR10" s="271">
        <v>3016600.1799999997</v>
      </c>
      <c r="IS10" s="271">
        <v>381154497.86999995</v>
      </c>
      <c r="IT10" s="271">
        <v>94227619.570000023</v>
      </c>
      <c r="IU10" s="271">
        <v>12084370.370000001</v>
      </c>
      <c r="IV10" s="271">
        <v>7583133.0300000003</v>
      </c>
      <c r="IW10" s="271">
        <v>22171126.800000001</v>
      </c>
      <c r="IX10" s="271">
        <v>6223679.7400000002</v>
      </c>
      <c r="IY10" s="271">
        <v>1870657.7099999995</v>
      </c>
      <c r="IZ10" s="271">
        <v>6641619.3199999994</v>
      </c>
      <c r="JA10" s="271">
        <v>1745072.7799999998</v>
      </c>
      <c r="JB10" s="271">
        <v>14007213.350000001</v>
      </c>
      <c r="JC10" s="271">
        <v>27643699.120000001</v>
      </c>
      <c r="JD10" s="271">
        <v>7837075.4000000013</v>
      </c>
      <c r="JE10" s="271">
        <v>50920773.430000007</v>
      </c>
      <c r="JF10" s="271">
        <v>17823626.409999996</v>
      </c>
      <c r="JG10" s="271">
        <v>1258229.21</v>
      </c>
      <c r="JH10" s="271">
        <v>1722611.82</v>
      </c>
      <c r="JI10" s="271">
        <v>4654397.580000001</v>
      </c>
      <c r="JJ10" s="271">
        <v>10165889.189999999</v>
      </c>
      <c r="JK10" s="271">
        <v>94618511.00000003</v>
      </c>
      <c r="JL10" s="271">
        <v>2181013.7000000002</v>
      </c>
      <c r="JM10" s="271">
        <v>25041808.050000004</v>
      </c>
      <c r="JN10" s="271">
        <v>12761964.729999999</v>
      </c>
      <c r="JO10" s="271">
        <v>3952300.0999999996</v>
      </c>
      <c r="JP10" s="271">
        <v>52260188.710000001</v>
      </c>
      <c r="JQ10" s="271">
        <v>933026.0900000002</v>
      </c>
      <c r="JR10" s="271">
        <v>178758473.32000002</v>
      </c>
      <c r="JS10" s="271">
        <v>240885094.63000003</v>
      </c>
      <c r="JT10" s="271">
        <v>2227529.65</v>
      </c>
      <c r="JU10" s="271">
        <v>745665.03</v>
      </c>
      <c r="JV10" s="271">
        <v>27224665.510000002</v>
      </c>
      <c r="JW10" s="271">
        <v>1658247.9</v>
      </c>
      <c r="JX10" s="271">
        <v>21555945.319999997</v>
      </c>
      <c r="JY10" s="271">
        <v>3810242</v>
      </c>
      <c r="JZ10" s="271">
        <v>1465114.41</v>
      </c>
      <c r="KA10" s="271">
        <v>9432928.5</v>
      </c>
      <c r="KB10" s="271">
        <v>928425.65</v>
      </c>
      <c r="KC10" s="271">
        <v>3066101.87</v>
      </c>
      <c r="KD10" s="271">
        <v>390648.51</v>
      </c>
      <c r="KE10" s="271">
        <v>181426.26</v>
      </c>
      <c r="KF10" s="271">
        <v>3542585.14</v>
      </c>
      <c r="KG10" s="271">
        <v>806073.03000000014</v>
      </c>
      <c r="KH10" s="271">
        <v>257956546.26000002</v>
      </c>
      <c r="KI10" s="271">
        <v>21374693.57</v>
      </c>
      <c r="KJ10" s="271">
        <v>16496595.540000001</v>
      </c>
      <c r="KK10" s="271">
        <v>4297837.72</v>
      </c>
      <c r="KL10" s="271">
        <v>13438408.120000001</v>
      </c>
      <c r="KM10" s="271">
        <v>16709027.48</v>
      </c>
      <c r="KN10" s="271">
        <v>15504015.989999998</v>
      </c>
      <c r="KO10" s="271">
        <v>16947538.77</v>
      </c>
      <c r="KP10" s="271">
        <v>3751847.9400000004</v>
      </c>
      <c r="KQ10" s="271">
        <v>54095158.220000006</v>
      </c>
      <c r="KR10" s="271">
        <v>32807180.349999998</v>
      </c>
      <c r="KS10" s="271">
        <v>4087095.23</v>
      </c>
      <c r="KT10" s="271">
        <v>33258377.189999998</v>
      </c>
      <c r="KU10" s="271">
        <v>1448423.5</v>
      </c>
      <c r="KV10" s="271">
        <v>12383591.279999999</v>
      </c>
      <c r="KW10" s="271">
        <v>279752305.20999998</v>
      </c>
      <c r="KX10" s="271">
        <v>21634220.18</v>
      </c>
      <c r="KY10" s="271">
        <v>136178837.87999994</v>
      </c>
      <c r="KZ10" s="271">
        <v>69606211.899999991</v>
      </c>
      <c r="LA10" s="271">
        <v>22035708.150000002</v>
      </c>
      <c r="LB10" s="271">
        <v>39841509.890000001</v>
      </c>
      <c r="LC10" s="271">
        <v>11962140.319999998</v>
      </c>
      <c r="LD10" s="271">
        <v>29199804.219999999</v>
      </c>
      <c r="LE10" s="271">
        <v>26227669.98</v>
      </c>
      <c r="LF10" s="271">
        <v>28164405.219999999</v>
      </c>
      <c r="LG10" s="271">
        <v>268205036.52000004</v>
      </c>
      <c r="LH10" s="271">
        <v>23770112.100000005</v>
      </c>
      <c r="LI10" s="271">
        <v>129683460.95</v>
      </c>
      <c r="LJ10" s="271">
        <v>83865362.690000013</v>
      </c>
      <c r="LK10" s="271">
        <v>3566879.4</v>
      </c>
      <c r="LL10" s="271">
        <v>1558847.2300000004</v>
      </c>
      <c r="LM10" s="271">
        <v>5826270.2399999993</v>
      </c>
      <c r="LN10" s="271">
        <v>10826319.319999998</v>
      </c>
      <c r="LO10" s="271">
        <v>2128633.5500000003</v>
      </c>
      <c r="LP10" s="271">
        <v>12364816.310000001</v>
      </c>
      <c r="LQ10" s="271">
        <v>1367844.2200000002</v>
      </c>
      <c r="LR10" s="271">
        <v>50526078.019999996</v>
      </c>
      <c r="LS10" s="271">
        <v>1793748.3800000008</v>
      </c>
      <c r="LT10" s="271">
        <v>3413832.55</v>
      </c>
      <c r="LU10" s="271">
        <v>381789617.74000013</v>
      </c>
      <c r="LV10" s="271">
        <v>178216499.44000003</v>
      </c>
      <c r="LW10" s="271">
        <v>183327940.25</v>
      </c>
      <c r="LX10" s="271">
        <v>76089743.660000011</v>
      </c>
      <c r="LY10" s="271">
        <v>23551632.029999997</v>
      </c>
      <c r="LZ10" s="271">
        <v>10370951.890000001</v>
      </c>
      <c r="MA10" s="271">
        <v>6220307.5900000008</v>
      </c>
      <c r="MB10" s="271">
        <v>10615800.879999999</v>
      </c>
      <c r="MC10" s="271">
        <v>6755986.8900000006</v>
      </c>
      <c r="MD10" s="271">
        <v>24687648.09</v>
      </c>
      <c r="ME10" s="271">
        <v>30295148.400000002</v>
      </c>
      <c r="MF10" s="271">
        <v>3592076.5399999996</v>
      </c>
      <c r="MG10" s="271">
        <v>168767031.58000004</v>
      </c>
      <c r="MH10" s="271">
        <v>1397073.6700000002</v>
      </c>
      <c r="MI10" s="271">
        <v>1660556.96</v>
      </c>
      <c r="MJ10" s="271">
        <v>2069412.19</v>
      </c>
      <c r="MK10" s="271">
        <v>1630710.08</v>
      </c>
      <c r="ML10" s="271">
        <v>2011951.5799999998</v>
      </c>
      <c r="MM10" s="271">
        <v>1150653.7400000002</v>
      </c>
      <c r="MN10" s="271">
        <v>2233263.73</v>
      </c>
      <c r="MO10" s="271">
        <v>3387155.1500000004</v>
      </c>
      <c r="MP10" s="271">
        <v>1239051.02</v>
      </c>
      <c r="MQ10" s="271">
        <v>3148655.6399999997</v>
      </c>
      <c r="MR10" s="271">
        <v>779237.27000000025</v>
      </c>
      <c r="MS10" s="271">
        <v>229650653.47999999</v>
      </c>
      <c r="MT10" s="271">
        <v>5164291.6899999995</v>
      </c>
      <c r="MU10" s="271">
        <v>47689068.859999992</v>
      </c>
      <c r="MV10" s="271">
        <v>27160497.450000003</v>
      </c>
      <c r="MW10" s="271">
        <v>10098876.219999999</v>
      </c>
      <c r="MX10" s="271">
        <v>26083534.699999996</v>
      </c>
      <c r="MY10" s="271">
        <v>61042859.159999996</v>
      </c>
      <c r="MZ10" s="271">
        <v>29804556.649999999</v>
      </c>
      <c r="NA10" s="271">
        <v>34211179.280000001</v>
      </c>
      <c r="NB10" s="271">
        <v>1860026.4700000002</v>
      </c>
      <c r="NC10" s="271">
        <v>1685505.95</v>
      </c>
      <c r="ND10" s="271">
        <v>439166161.31999993</v>
      </c>
      <c r="NE10" s="271">
        <v>122512420.52000001</v>
      </c>
      <c r="NF10" s="271">
        <v>18644024.640000001</v>
      </c>
      <c r="NG10" s="271">
        <v>57256836.560000002</v>
      </c>
      <c r="NH10" s="271">
        <v>4375006.3800000008</v>
      </c>
      <c r="NI10" s="271">
        <v>37591800.779999994</v>
      </c>
      <c r="NJ10" s="271">
        <v>123305935.08</v>
      </c>
      <c r="NK10" s="271">
        <v>25160131.560000006</v>
      </c>
      <c r="NL10" s="271">
        <v>828229.5</v>
      </c>
      <c r="NM10" s="271">
        <v>10327936.289999997</v>
      </c>
      <c r="NN10" s="271">
        <v>18495882.050000001</v>
      </c>
      <c r="NO10" s="271">
        <v>8375256.9000000004</v>
      </c>
      <c r="NP10" s="271">
        <v>42910963</v>
      </c>
      <c r="NQ10" s="271">
        <v>10517790.450000001</v>
      </c>
      <c r="NR10" s="271">
        <v>1734579.4000000001</v>
      </c>
      <c r="NS10" s="271">
        <v>1707724.4956999994</v>
      </c>
      <c r="NT10" s="271">
        <v>2041974.2200000002</v>
      </c>
      <c r="NU10" s="271">
        <v>1413613.9700000002</v>
      </c>
      <c r="NV10" s="271">
        <v>2645699.7699999996</v>
      </c>
      <c r="NW10" s="271">
        <v>232940224.92999998</v>
      </c>
      <c r="NX10" s="271">
        <v>117408349.50999999</v>
      </c>
      <c r="NY10" s="271">
        <v>9277120</v>
      </c>
      <c r="NZ10" s="271">
        <v>7248517.0599999996</v>
      </c>
      <c r="OA10" s="271">
        <v>14273589.750000002</v>
      </c>
      <c r="OB10" s="271">
        <v>25855242.689999994</v>
      </c>
      <c r="OC10" s="271">
        <v>9274391.8500000015</v>
      </c>
      <c r="OD10" s="271">
        <v>474082027.01999998</v>
      </c>
      <c r="OE10" s="271">
        <v>73613595.840000004</v>
      </c>
      <c r="OF10" s="271">
        <v>19585317.370000001</v>
      </c>
      <c r="OG10" s="271">
        <v>42429015.180000007</v>
      </c>
      <c r="OH10" s="271">
        <v>18137079.739999998</v>
      </c>
      <c r="OI10" s="271">
        <v>38474993.740000002</v>
      </c>
      <c r="OJ10" s="271">
        <v>76494756.199999988</v>
      </c>
      <c r="OK10" s="271">
        <v>13198565.26</v>
      </c>
      <c r="OL10" s="271">
        <v>7067162.0700000003</v>
      </c>
      <c r="OM10" s="271">
        <v>81470566.399999991</v>
      </c>
      <c r="ON10" s="271">
        <v>52126467.630000003</v>
      </c>
      <c r="OO10" s="271">
        <v>36928883.699999988</v>
      </c>
      <c r="OP10" s="271">
        <v>4773427.5500000007</v>
      </c>
      <c r="OQ10" s="271">
        <v>885966</v>
      </c>
      <c r="OR10" s="271">
        <v>516256.14999999997</v>
      </c>
      <c r="OS10" s="271">
        <v>119104171.07999998</v>
      </c>
      <c r="OT10" s="271">
        <v>3821425.3400000003</v>
      </c>
      <c r="OU10" s="271">
        <v>1768632.55</v>
      </c>
      <c r="OV10" s="271">
        <v>5502437.2299999995</v>
      </c>
      <c r="OW10" s="271">
        <v>10873292.210000001</v>
      </c>
      <c r="OX10" s="271">
        <v>34855010.520000011</v>
      </c>
      <c r="OY10" s="271">
        <v>4462609.0599999996</v>
      </c>
      <c r="OZ10" s="271">
        <v>5689891.6600000001</v>
      </c>
      <c r="PA10" s="271">
        <v>11836928.93</v>
      </c>
      <c r="PB10" s="271">
        <v>152215321.80000001</v>
      </c>
      <c r="PC10" s="271">
        <v>1042814.47</v>
      </c>
      <c r="PD10" s="271">
        <v>14942771.519999998</v>
      </c>
      <c r="PE10" s="271">
        <v>5117945.9899999993</v>
      </c>
      <c r="PF10" s="271">
        <v>12901744.129999999</v>
      </c>
      <c r="PG10" s="271">
        <v>26142041.740000002</v>
      </c>
      <c r="PH10" s="271">
        <v>8406632.1400000006</v>
      </c>
      <c r="PI10" s="271">
        <v>18595753.759999998</v>
      </c>
      <c r="PJ10" s="271">
        <v>1588504.4599999997</v>
      </c>
      <c r="PK10" s="271">
        <v>10003451.92</v>
      </c>
      <c r="PL10" s="271">
        <v>14512984.149999999</v>
      </c>
      <c r="PM10" s="271">
        <v>24066551.640000004</v>
      </c>
      <c r="PN10" s="271">
        <v>4582718.57</v>
      </c>
      <c r="PO10" s="271">
        <v>55684109.220000006</v>
      </c>
      <c r="PP10" s="271">
        <v>7989778.2300000004</v>
      </c>
      <c r="PQ10" s="271">
        <v>5053563.8999999994</v>
      </c>
      <c r="PR10" s="271">
        <v>4460473.7200000007</v>
      </c>
      <c r="PS10" s="271">
        <v>504215.05</v>
      </c>
      <c r="PT10" s="271">
        <v>330356946.28000003</v>
      </c>
      <c r="PU10" s="271">
        <v>7673552.3600000003</v>
      </c>
      <c r="PV10" s="271">
        <v>4750100.72</v>
      </c>
      <c r="PW10" s="271">
        <v>1950469.5399999996</v>
      </c>
      <c r="PX10" s="271">
        <v>122626918.15000002</v>
      </c>
      <c r="PY10" s="271">
        <v>1175574.9400000002</v>
      </c>
      <c r="PZ10" s="271">
        <v>14189979.259999996</v>
      </c>
      <c r="QA10" s="271">
        <v>7625557.5000000009</v>
      </c>
      <c r="QB10" s="271">
        <v>27061011.379999999</v>
      </c>
      <c r="QC10" s="271">
        <v>686209.56</v>
      </c>
      <c r="QD10" s="271">
        <v>9346156.0800000001</v>
      </c>
      <c r="QE10" s="271">
        <v>3967319.56</v>
      </c>
      <c r="QF10" s="271">
        <v>2996260.18</v>
      </c>
      <c r="QG10" s="271">
        <v>2917474.7899999996</v>
      </c>
      <c r="QH10" s="271">
        <v>4881906.7300000004</v>
      </c>
      <c r="QI10" s="271">
        <v>18438582.009999998</v>
      </c>
      <c r="QJ10" s="271">
        <v>2557986.1999999997</v>
      </c>
      <c r="QK10" s="271">
        <v>3696178.9100000006</v>
      </c>
      <c r="QL10" s="271">
        <v>129044.09000000003</v>
      </c>
      <c r="QM10" s="271">
        <v>31257213.580000002</v>
      </c>
      <c r="QN10" s="271">
        <v>30276210.32</v>
      </c>
      <c r="QO10" s="271">
        <v>3083015.4</v>
      </c>
      <c r="QP10" s="271">
        <v>325913.16000000003</v>
      </c>
      <c r="QQ10" s="271">
        <v>843165.5</v>
      </c>
      <c r="QR10" s="271">
        <v>435760.15</v>
      </c>
      <c r="QS10" s="271">
        <v>393641.02</v>
      </c>
      <c r="QT10" s="271">
        <v>230508210.11999995</v>
      </c>
      <c r="QU10" s="271">
        <v>7929612.1299999999</v>
      </c>
      <c r="QV10" s="271">
        <v>58692297.849999994</v>
      </c>
      <c r="QW10" s="271">
        <v>1883230.0799999996</v>
      </c>
      <c r="QX10" s="271">
        <v>5990009.7200000007</v>
      </c>
      <c r="QY10" s="271">
        <v>20487660.920000002</v>
      </c>
      <c r="QZ10" s="271">
        <v>1787531.6300000001</v>
      </c>
      <c r="RA10" s="271">
        <v>24602576.050000001</v>
      </c>
      <c r="RB10" s="271">
        <v>23911669.030000001</v>
      </c>
      <c r="RC10" s="271">
        <v>5034966.9399999995</v>
      </c>
      <c r="RD10" s="271">
        <v>2870893.91</v>
      </c>
      <c r="RE10" s="271">
        <v>20006786.34</v>
      </c>
      <c r="RF10" s="271">
        <v>1079546.0299999998</v>
      </c>
      <c r="RG10" s="271">
        <v>155805199.16000003</v>
      </c>
      <c r="RH10" s="271">
        <v>12714282.32</v>
      </c>
      <c r="RI10" s="271">
        <v>7976168.3800000008</v>
      </c>
      <c r="RJ10" s="271">
        <v>8576936.6500000004</v>
      </c>
      <c r="RK10" s="271">
        <v>4753893.3999999994</v>
      </c>
      <c r="RL10" s="271">
        <v>11213772.039999999</v>
      </c>
      <c r="RM10" s="271">
        <v>6712983.4000000004</v>
      </c>
      <c r="RN10" s="271">
        <v>982638.97</v>
      </c>
      <c r="RO10" s="271">
        <v>8485808.3899999987</v>
      </c>
      <c r="RP10" s="271">
        <v>25207164.030000001</v>
      </c>
      <c r="RQ10" s="271">
        <v>7059598.5900000008</v>
      </c>
      <c r="RR10" s="271">
        <v>7975498.7500000009</v>
      </c>
      <c r="RS10" s="271">
        <v>8944014.4700000007</v>
      </c>
      <c r="RT10" s="271">
        <v>1541421.2100000004</v>
      </c>
      <c r="RU10" s="271">
        <v>2173139.1</v>
      </c>
      <c r="RV10" s="271">
        <v>4361386.03</v>
      </c>
      <c r="RW10" s="271">
        <v>7742596.8199999984</v>
      </c>
      <c r="RX10" s="271">
        <v>16477954.520000001</v>
      </c>
      <c r="RY10" s="271">
        <v>1083049.1000000001</v>
      </c>
      <c r="RZ10" s="271">
        <v>2079522.2999999998</v>
      </c>
      <c r="SA10" s="271">
        <v>121530238.89999999</v>
      </c>
      <c r="SB10" s="271">
        <v>25144646.130000003</v>
      </c>
      <c r="SC10" s="271">
        <v>5836262.6499999994</v>
      </c>
      <c r="SD10" s="271">
        <v>6649217.3799999999</v>
      </c>
      <c r="SE10" s="271">
        <v>7059898.6699999999</v>
      </c>
      <c r="SF10" s="271">
        <v>8579172.8200000022</v>
      </c>
      <c r="SG10" s="271">
        <v>1871931.83</v>
      </c>
      <c r="SH10" s="271">
        <v>16518696.4</v>
      </c>
      <c r="SI10" s="271">
        <v>7371566.8599999994</v>
      </c>
      <c r="SJ10" s="271">
        <v>605139.35999999987</v>
      </c>
      <c r="SK10" s="271">
        <v>25014742.710000005</v>
      </c>
      <c r="SL10" s="271">
        <v>4785636</v>
      </c>
      <c r="SM10" s="271">
        <v>72827786.709999993</v>
      </c>
      <c r="SN10" s="271">
        <v>9706252.5600000005</v>
      </c>
      <c r="SO10" s="271">
        <v>3273640.23</v>
      </c>
      <c r="SP10" s="271">
        <v>5086676.4099999992</v>
      </c>
      <c r="SQ10" s="271">
        <v>6869064.79</v>
      </c>
      <c r="SR10" s="271">
        <v>5650214.2300000004</v>
      </c>
      <c r="SS10" s="271">
        <v>1649260.9099999997</v>
      </c>
      <c r="ST10" s="271">
        <v>1308985.3899999999</v>
      </c>
      <c r="SU10" s="271">
        <v>52199889.070000008</v>
      </c>
      <c r="SV10" s="271">
        <v>7640671.1299999999</v>
      </c>
      <c r="SW10" s="271">
        <v>8904006.2299999967</v>
      </c>
      <c r="SX10" s="271">
        <v>2109296.61</v>
      </c>
      <c r="SY10" s="271">
        <v>1636993.17</v>
      </c>
      <c r="SZ10" s="271">
        <v>2107547.3800000004</v>
      </c>
      <c r="TA10" s="271">
        <v>2713714.98</v>
      </c>
      <c r="TB10" s="271">
        <v>6310445.46</v>
      </c>
      <c r="TC10" s="271">
        <v>4717537.74</v>
      </c>
      <c r="TD10" s="271">
        <v>2760850.2600000002</v>
      </c>
      <c r="TE10" s="271">
        <v>7868581.4800000004</v>
      </c>
      <c r="TF10" s="271">
        <v>5482651.9600000009</v>
      </c>
      <c r="TG10" s="271">
        <v>4492448.82</v>
      </c>
      <c r="TH10" s="271">
        <v>3346332.56</v>
      </c>
      <c r="TI10" s="271">
        <v>173568246.27000001</v>
      </c>
      <c r="TJ10" s="271">
        <v>29431127.98</v>
      </c>
      <c r="TK10" s="271">
        <v>12027506.539999997</v>
      </c>
      <c r="TL10" s="271">
        <v>38036556.729999997</v>
      </c>
      <c r="TM10" s="271">
        <v>8643039.3900000006</v>
      </c>
      <c r="TN10" s="271">
        <v>1985031.52</v>
      </c>
      <c r="TO10" s="271">
        <v>6206145.0200000005</v>
      </c>
      <c r="TP10" s="271">
        <v>91787177.939999983</v>
      </c>
      <c r="TQ10" s="271">
        <v>16372170.229999999</v>
      </c>
      <c r="TR10" s="271">
        <v>10189160.82</v>
      </c>
      <c r="TS10" s="271">
        <v>31116418</v>
      </c>
      <c r="TT10" s="271">
        <v>557709.22</v>
      </c>
      <c r="TU10" s="271">
        <v>6640816.7599999998</v>
      </c>
      <c r="TV10" s="271">
        <v>18722481.309999999</v>
      </c>
      <c r="TW10" s="271">
        <v>3933984.0900000003</v>
      </c>
      <c r="TX10" s="271">
        <v>27906872.259999994</v>
      </c>
      <c r="TY10" s="271">
        <v>54614383.979999997</v>
      </c>
      <c r="TZ10" s="271">
        <v>13319559.930000002</v>
      </c>
      <c r="UA10" s="271">
        <v>88209406.540000007</v>
      </c>
      <c r="UB10" s="271">
        <v>15717510.309999999</v>
      </c>
      <c r="UC10" s="271">
        <v>2012610.0199999998</v>
      </c>
      <c r="UD10" s="271">
        <v>5032009.3</v>
      </c>
      <c r="UE10" s="271">
        <v>36629585.409999996</v>
      </c>
      <c r="UF10" s="271">
        <v>9596211.7599999979</v>
      </c>
      <c r="UG10" s="271">
        <v>2944213.6900000004</v>
      </c>
      <c r="UH10" s="271">
        <v>5102444.67</v>
      </c>
      <c r="UI10" s="271">
        <v>481093.06999999989</v>
      </c>
      <c r="UJ10" s="271">
        <v>69598781.129999995</v>
      </c>
      <c r="UK10" s="271">
        <v>10414096.619999999</v>
      </c>
      <c r="UL10" s="271">
        <v>18863740.639999997</v>
      </c>
      <c r="UM10" s="271">
        <v>15190967.429999998</v>
      </c>
      <c r="UN10" s="271">
        <v>13739076.01</v>
      </c>
      <c r="UO10" s="271">
        <v>6404478.5999999996</v>
      </c>
      <c r="UP10" s="271">
        <v>335986681.85000008</v>
      </c>
      <c r="UQ10" s="271">
        <v>6783159.7799999993</v>
      </c>
      <c r="UR10" s="271">
        <v>1755973.6700000002</v>
      </c>
      <c r="US10" s="271">
        <v>66409552.909999996</v>
      </c>
      <c r="UT10" s="271">
        <v>330203</v>
      </c>
      <c r="UU10" s="271">
        <v>10420330.1</v>
      </c>
      <c r="UV10" s="271">
        <v>22908894.900000002</v>
      </c>
      <c r="UW10" s="271">
        <v>2870332.5</v>
      </c>
      <c r="UX10" s="271">
        <v>4001296.9999999995</v>
      </c>
      <c r="UY10" s="271">
        <v>5014414.1999999993</v>
      </c>
      <c r="UZ10" s="271">
        <v>9693465.290000001</v>
      </c>
      <c r="VA10" s="271">
        <v>17877336.5</v>
      </c>
      <c r="VB10" s="271">
        <v>9527697.3200000003</v>
      </c>
      <c r="VC10" s="271">
        <v>10301068.18</v>
      </c>
      <c r="VD10" s="271">
        <v>2029493.4</v>
      </c>
      <c r="VE10" s="271">
        <v>6333609.7999999998</v>
      </c>
      <c r="VF10" s="271">
        <v>2695048.0700000003</v>
      </c>
      <c r="VG10" s="271">
        <v>5899162.7999999998</v>
      </c>
      <c r="VH10" s="271">
        <v>14119553.439999999</v>
      </c>
      <c r="VI10" s="271">
        <v>6848246.5599999996</v>
      </c>
      <c r="VJ10" s="271">
        <v>4836353.2899999991</v>
      </c>
      <c r="VK10" s="271">
        <v>5685469.6000000006</v>
      </c>
      <c r="VL10" s="271">
        <v>159495311</v>
      </c>
      <c r="VM10" s="271">
        <v>2902381.43</v>
      </c>
      <c r="VN10" s="271">
        <v>3062341.6500000004</v>
      </c>
      <c r="VO10" s="271">
        <v>10818006.969999999</v>
      </c>
      <c r="VP10" s="271">
        <v>8079155.8800000008</v>
      </c>
      <c r="VQ10" s="271">
        <v>9277593.7199999988</v>
      </c>
      <c r="VR10" s="271">
        <v>11041877.159999998</v>
      </c>
      <c r="VS10" s="271">
        <v>6445612.5199999986</v>
      </c>
      <c r="VT10" s="271">
        <v>2770973.76</v>
      </c>
      <c r="VU10" s="271">
        <v>57351751.929999992</v>
      </c>
      <c r="VV10" s="271">
        <v>3351372.5999999996</v>
      </c>
      <c r="VW10" s="271">
        <v>6736414.9199999999</v>
      </c>
      <c r="VX10" s="271">
        <v>7620061.9800000004</v>
      </c>
      <c r="VY10" s="271">
        <v>10717652.080000002</v>
      </c>
      <c r="VZ10" s="271">
        <v>9527117.8300000001</v>
      </c>
      <c r="WA10" s="271">
        <v>386357050.49000007</v>
      </c>
      <c r="WB10" s="271">
        <v>17283938.919999998</v>
      </c>
      <c r="WC10" s="271">
        <v>8936468.2799999975</v>
      </c>
      <c r="WD10" s="271">
        <v>12422821.1</v>
      </c>
      <c r="WE10" s="271">
        <v>1104051.1000000001</v>
      </c>
      <c r="WF10" s="271">
        <v>3670676.8199999989</v>
      </c>
      <c r="WG10" s="271">
        <v>27023665.860000007</v>
      </c>
      <c r="WH10" s="271">
        <v>21003845.050000004</v>
      </c>
      <c r="WI10" s="271">
        <v>18579380.740000002</v>
      </c>
      <c r="WJ10" s="271">
        <v>17877702.75</v>
      </c>
      <c r="WK10" s="271">
        <v>11082470.280000001</v>
      </c>
      <c r="WL10" s="271">
        <v>23608919.780000005</v>
      </c>
      <c r="WM10" s="271">
        <v>16068371.200000001</v>
      </c>
      <c r="WN10" s="271">
        <v>19129185.32</v>
      </c>
      <c r="WO10" s="271">
        <v>33623799.520000003</v>
      </c>
      <c r="WP10" s="271">
        <v>13009879.359999998</v>
      </c>
      <c r="WQ10" s="271">
        <v>5599847.0499999998</v>
      </c>
      <c r="WR10" s="271">
        <v>17499338</v>
      </c>
      <c r="WS10" s="271">
        <v>6023936.0800000001</v>
      </c>
      <c r="WT10" s="271">
        <v>13208581.129999995</v>
      </c>
      <c r="WU10" s="271">
        <v>124587872.44000001</v>
      </c>
      <c r="WV10" s="271">
        <v>9185826.8399999999</v>
      </c>
      <c r="WW10" s="271">
        <v>3626132.17</v>
      </c>
      <c r="WX10" s="271">
        <v>7753722.0700000003</v>
      </c>
      <c r="WY10" s="271">
        <v>1907754.45</v>
      </c>
      <c r="WZ10" s="271">
        <v>5484122.75</v>
      </c>
      <c r="XA10" s="271">
        <v>2958099.86</v>
      </c>
      <c r="XB10" s="271">
        <v>4423474.79</v>
      </c>
      <c r="XC10" s="271">
        <v>82885239.790000007</v>
      </c>
      <c r="XD10" s="271">
        <v>2906655.23</v>
      </c>
      <c r="XE10" s="271">
        <v>2404837.41</v>
      </c>
      <c r="XF10" s="271">
        <v>4385866.5</v>
      </c>
      <c r="XG10" s="271">
        <v>5766536</v>
      </c>
      <c r="XH10" s="271">
        <v>138739745.36000007</v>
      </c>
      <c r="XI10" s="271">
        <v>39834574.200000003</v>
      </c>
      <c r="XJ10" s="271">
        <v>10978707.390000002</v>
      </c>
      <c r="XK10" s="271">
        <v>66103423.839999989</v>
      </c>
      <c r="XL10" s="271">
        <v>14475746.09</v>
      </c>
      <c r="XM10" s="271">
        <v>25254658.519999996</v>
      </c>
      <c r="XN10" s="271">
        <v>51099051.280000001</v>
      </c>
      <c r="XO10" s="271">
        <v>19918245.579999998</v>
      </c>
      <c r="XP10" s="271">
        <v>22377436.780000001</v>
      </c>
      <c r="XQ10" s="271">
        <v>68257963.140000001</v>
      </c>
      <c r="XR10" s="271">
        <v>20111546.999999996</v>
      </c>
      <c r="XS10" s="271">
        <v>10522697.18</v>
      </c>
      <c r="XT10" s="271">
        <v>22285895.43</v>
      </c>
      <c r="XU10" s="271">
        <v>25395569.34</v>
      </c>
      <c r="XV10" s="271">
        <v>7461447.9699999997</v>
      </c>
      <c r="XW10" s="271">
        <v>718182.48</v>
      </c>
      <c r="XX10" s="271">
        <v>5335739.87</v>
      </c>
      <c r="XY10" s="271">
        <v>9771121.4999999981</v>
      </c>
      <c r="XZ10" s="271">
        <v>8796030.9299999978</v>
      </c>
      <c r="YA10" s="271">
        <v>1396330.9699999997</v>
      </c>
      <c r="YB10" s="271">
        <v>891322.03999999992</v>
      </c>
      <c r="YC10" s="271">
        <v>5802985.3399999999</v>
      </c>
      <c r="YD10" s="271">
        <v>1089382.1399999999</v>
      </c>
      <c r="YE10" s="271">
        <v>196504566.59999999</v>
      </c>
      <c r="YF10" s="271">
        <v>3286469.1500000004</v>
      </c>
      <c r="YG10" s="271">
        <v>12421422.489999998</v>
      </c>
      <c r="YH10" s="271">
        <v>9246396.7200000007</v>
      </c>
      <c r="YI10" s="271">
        <v>95012172.88000001</v>
      </c>
      <c r="YJ10" s="271">
        <v>31246368.000000004</v>
      </c>
      <c r="YK10" s="271">
        <v>8687560.5700000003</v>
      </c>
      <c r="YL10" s="271">
        <v>4555203.2700000005</v>
      </c>
      <c r="YM10" s="271">
        <v>129789367.10000001</v>
      </c>
      <c r="YN10" s="271">
        <v>54592419.25</v>
      </c>
      <c r="YO10" s="271">
        <v>21983044.550000001</v>
      </c>
      <c r="YP10" s="271">
        <v>16500840.290000001</v>
      </c>
      <c r="YQ10" s="271">
        <v>6330681.7600000007</v>
      </c>
      <c r="YR10" s="271">
        <v>11226695.760000002</v>
      </c>
      <c r="YS10" s="271">
        <v>10335534.140000001</v>
      </c>
      <c r="YT10" s="271">
        <v>13521948.220000001</v>
      </c>
      <c r="YU10" s="271">
        <v>16358442.810000002</v>
      </c>
      <c r="YV10" s="271">
        <v>62775576.18999999</v>
      </c>
      <c r="YW10" s="271">
        <v>9337937.1699999999</v>
      </c>
      <c r="YX10" s="271">
        <v>8873788.7599999998</v>
      </c>
      <c r="YY10" s="271">
        <v>3102807.67</v>
      </c>
      <c r="YZ10" s="271">
        <v>8315777.8900000006</v>
      </c>
      <c r="ZA10" s="271">
        <v>4159991.19</v>
      </c>
      <c r="ZB10" s="271">
        <v>4295372.01</v>
      </c>
      <c r="ZC10" s="271">
        <v>191600440.11999997</v>
      </c>
      <c r="ZD10" s="271">
        <v>4660032.29</v>
      </c>
      <c r="ZE10" s="271">
        <v>15949146.189999999</v>
      </c>
      <c r="ZF10" s="271">
        <v>15534235.030000001</v>
      </c>
      <c r="ZG10" s="271">
        <v>6033459.6299999999</v>
      </c>
      <c r="ZH10" s="271">
        <v>15116165.119999999</v>
      </c>
      <c r="ZI10" s="271">
        <v>10515755.18</v>
      </c>
      <c r="ZJ10" s="271">
        <v>502572.51</v>
      </c>
      <c r="ZK10" s="271">
        <v>40197100.039999992</v>
      </c>
      <c r="ZL10" s="271">
        <v>144507140.88</v>
      </c>
      <c r="ZM10" s="271">
        <v>7248361.0200000005</v>
      </c>
      <c r="ZN10" s="271">
        <v>15553071.309999999</v>
      </c>
      <c r="ZO10" s="271">
        <v>41758350.920000002</v>
      </c>
      <c r="ZP10" s="271">
        <v>19926457.280000001</v>
      </c>
      <c r="ZQ10" s="271">
        <v>1462200.8900000001</v>
      </c>
      <c r="ZR10" s="271">
        <v>10210676.24</v>
      </c>
      <c r="ZS10" s="271">
        <v>14181853.029999999</v>
      </c>
      <c r="ZT10" s="271">
        <v>30288777.519999996</v>
      </c>
      <c r="ZU10" s="271">
        <v>23436028.060000002</v>
      </c>
      <c r="ZV10" s="271">
        <v>4434060.1999999993</v>
      </c>
      <c r="ZW10" s="271">
        <v>18326314.079999998</v>
      </c>
      <c r="ZX10" s="271">
        <v>9259695.5300000012</v>
      </c>
      <c r="ZY10" s="271">
        <v>11427972.09</v>
      </c>
      <c r="ZZ10" s="271">
        <v>1221207.4200000002</v>
      </c>
      <c r="AAA10" s="271">
        <v>5619623.0899999999</v>
      </c>
      <c r="AAB10" s="271">
        <v>1465310.91</v>
      </c>
      <c r="AAC10" s="271">
        <v>16179210.720000001</v>
      </c>
      <c r="AAD10" s="271">
        <v>35388654.769999996</v>
      </c>
      <c r="AAE10" s="271">
        <v>18369000.09</v>
      </c>
      <c r="AAF10" s="271">
        <v>13740152.6</v>
      </c>
      <c r="AAG10" s="271">
        <v>766391.58</v>
      </c>
      <c r="AAH10" s="271">
        <v>78069103.340000004</v>
      </c>
      <c r="AAI10" s="271">
        <v>3990952.74</v>
      </c>
      <c r="AAJ10" s="271">
        <v>3671385.0700000003</v>
      </c>
      <c r="AAK10" s="271">
        <v>8972100.4499999993</v>
      </c>
      <c r="AAL10" s="271">
        <v>6434475.4199999999</v>
      </c>
      <c r="AAM10" s="271">
        <v>15978009.369999999</v>
      </c>
      <c r="AAN10" s="271">
        <v>2243883.6300000004</v>
      </c>
      <c r="AAO10" s="271">
        <v>217816487.28999999</v>
      </c>
      <c r="AAP10" s="271">
        <v>6630074.4299999997</v>
      </c>
      <c r="AAQ10" s="271">
        <v>1525741.02</v>
      </c>
      <c r="AAR10" s="271">
        <v>8858455.2999999989</v>
      </c>
      <c r="AAS10" s="271">
        <v>4039242.8899999997</v>
      </c>
      <c r="AAT10" s="271">
        <v>10891762.65</v>
      </c>
      <c r="AAU10" s="271">
        <v>8046381.6200000001</v>
      </c>
      <c r="AAV10" s="271">
        <v>9766338.3499999996</v>
      </c>
      <c r="AAW10" s="271">
        <v>25802281.309999999</v>
      </c>
      <c r="AAX10" s="271">
        <v>4028696.5900000003</v>
      </c>
      <c r="AAY10" s="271">
        <v>8676594.5499999989</v>
      </c>
      <c r="AAZ10" s="271">
        <v>17309064.82</v>
      </c>
      <c r="ABA10" s="271">
        <v>23310836.550000001</v>
      </c>
      <c r="ABB10" s="271">
        <v>1778817.51</v>
      </c>
      <c r="ABC10" s="271">
        <v>3493749.14</v>
      </c>
      <c r="ABD10" s="271">
        <v>10321695.559999999</v>
      </c>
      <c r="ABE10" s="271">
        <v>9418492.4700000007</v>
      </c>
      <c r="ABF10" s="271">
        <v>11946034.75</v>
      </c>
      <c r="ABG10" s="271">
        <v>1000177.67</v>
      </c>
      <c r="ABH10" s="271">
        <v>62376841.529999986</v>
      </c>
      <c r="ABI10" s="271">
        <v>33073304.299999997</v>
      </c>
      <c r="ABJ10" s="271">
        <v>7178890.6099999994</v>
      </c>
      <c r="ABK10" s="271">
        <v>5982749.7499999991</v>
      </c>
      <c r="ABL10" s="271">
        <v>2133211.4</v>
      </c>
      <c r="ABM10" s="271">
        <v>4451870.9700000007</v>
      </c>
      <c r="ABN10" s="271">
        <v>7079454.3700000001</v>
      </c>
      <c r="ABO10" s="271">
        <v>103901316.39999998</v>
      </c>
      <c r="ABP10" s="271">
        <v>2972388.28</v>
      </c>
      <c r="ABQ10" s="271">
        <v>1451957.6700000002</v>
      </c>
      <c r="ABR10" s="271">
        <v>2884478.54</v>
      </c>
      <c r="ABS10" s="271">
        <v>7710052.540000001</v>
      </c>
      <c r="ABT10" s="271">
        <v>9848845.6300000008</v>
      </c>
      <c r="ABU10" s="271">
        <v>3113426.6900000004</v>
      </c>
      <c r="ABV10" s="271">
        <v>4332141.5599999996</v>
      </c>
      <c r="ABW10" s="271">
        <v>1054960.08</v>
      </c>
      <c r="ABX10" s="271">
        <v>64899877.390000023</v>
      </c>
      <c r="ABY10" s="271">
        <v>7319660.8399999989</v>
      </c>
      <c r="ABZ10" s="271">
        <v>4250026.0699999994</v>
      </c>
      <c r="ACA10" s="271">
        <v>1888969.6099999999</v>
      </c>
      <c r="ACB10" s="271">
        <v>2817983.3600000003</v>
      </c>
      <c r="ACC10" s="271">
        <v>5651016.2799999975</v>
      </c>
      <c r="ACD10" s="271">
        <v>2417858.5799999996</v>
      </c>
      <c r="ACE10" s="271">
        <v>1954834.13</v>
      </c>
      <c r="ACF10" s="271">
        <v>1464712.5099999998</v>
      </c>
      <c r="ACG10" s="271">
        <v>9108910.209999999</v>
      </c>
      <c r="ACH10" s="271">
        <v>1926102.5099999993</v>
      </c>
      <c r="ACI10" s="271">
        <v>270784852.39999998</v>
      </c>
      <c r="ACJ10" s="271">
        <v>1082182.3900000001</v>
      </c>
      <c r="ACK10" s="271">
        <v>2471112.1300000004</v>
      </c>
      <c r="ACL10" s="271">
        <v>3166985.04</v>
      </c>
      <c r="ACM10" s="271">
        <v>547518.25999999989</v>
      </c>
      <c r="ACN10" s="271">
        <v>1751224.0699999996</v>
      </c>
      <c r="ACO10" s="271">
        <v>3419431.7900000005</v>
      </c>
      <c r="ACP10" s="271">
        <v>22726519.570000004</v>
      </c>
      <c r="ACQ10" s="271">
        <v>95038538.759999976</v>
      </c>
      <c r="ACR10" s="271">
        <v>1341762.67</v>
      </c>
      <c r="ACS10" s="271">
        <v>6569647.8999999994</v>
      </c>
      <c r="ACT10" s="271">
        <v>9985934.2100000009</v>
      </c>
      <c r="ACU10" s="271">
        <v>3570485</v>
      </c>
      <c r="ACV10" s="271">
        <v>46006521.080000006</v>
      </c>
      <c r="ACW10" s="271">
        <v>2324716.6599999997</v>
      </c>
      <c r="ACX10" s="271">
        <v>2784363.0500000003</v>
      </c>
      <c r="ACY10" s="271">
        <v>150948.96999999986</v>
      </c>
      <c r="ACZ10" s="271">
        <v>932326.67</v>
      </c>
      <c r="ADA10" s="271">
        <v>546070.9</v>
      </c>
      <c r="ADB10" s="271">
        <v>1866926.5499999998</v>
      </c>
      <c r="ADC10" s="271">
        <v>501383.59000000008</v>
      </c>
      <c r="ADD10" s="271">
        <v>110050.45</v>
      </c>
      <c r="ADE10" s="271">
        <v>1903704.7</v>
      </c>
      <c r="ADF10" s="271">
        <v>25567075.819999993</v>
      </c>
      <c r="ADG10" s="271">
        <v>25461981.960000005</v>
      </c>
      <c r="ADH10" s="271">
        <v>1037905.25</v>
      </c>
      <c r="ADI10" s="271">
        <v>647256.39</v>
      </c>
      <c r="ADJ10" s="271">
        <v>1631560.0300000003</v>
      </c>
      <c r="ADK10" s="271">
        <v>1201463.5</v>
      </c>
      <c r="ADL10" s="271">
        <v>1859465.8399999999</v>
      </c>
      <c r="ADM10" s="271">
        <v>1661011.66</v>
      </c>
      <c r="ADN10" s="271">
        <v>3692633.57</v>
      </c>
      <c r="ADO10" s="271">
        <v>334374967.32000005</v>
      </c>
      <c r="ADP10" s="271">
        <v>34960395.130000003</v>
      </c>
      <c r="ADQ10" s="271">
        <v>18652584.029999994</v>
      </c>
      <c r="ADR10" s="271">
        <v>5764348.9400000004</v>
      </c>
      <c r="ADS10" s="271">
        <v>57096679.749999985</v>
      </c>
      <c r="ADT10" s="271">
        <v>1212090.2300000002</v>
      </c>
      <c r="ADU10" s="271">
        <v>776458.72</v>
      </c>
      <c r="ADV10" s="271">
        <v>700662.64</v>
      </c>
      <c r="ADW10" s="271">
        <v>929609.03</v>
      </c>
      <c r="ADX10" s="271">
        <v>1476918.44</v>
      </c>
      <c r="ADY10" s="271">
        <v>292906909.84999996</v>
      </c>
      <c r="ADZ10" s="271">
        <v>61213925.409999996</v>
      </c>
      <c r="AEA10" s="271">
        <v>16773854.539999999</v>
      </c>
      <c r="AEB10" s="271">
        <v>2544489.87</v>
      </c>
      <c r="AEC10" s="271">
        <v>5411148.2899999991</v>
      </c>
      <c r="AED10" s="271">
        <v>8229241.4000000004</v>
      </c>
      <c r="AEE10" s="271">
        <v>1160783.9400000002</v>
      </c>
      <c r="AEF10" s="271">
        <v>4330071.68</v>
      </c>
      <c r="AEG10" s="271">
        <v>2175678.0499999998</v>
      </c>
      <c r="AEH10" s="271">
        <v>2665114.56</v>
      </c>
      <c r="AEI10" s="271">
        <v>4163128.13</v>
      </c>
      <c r="AEJ10" s="271">
        <v>16048149.32</v>
      </c>
      <c r="AEK10" s="271">
        <v>3036983.56</v>
      </c>
      <c r="AEL10" s="271">
        <v>1673195.94</v>
      </c>
      <c r="AEM10" s="271">
        <v>3911781.2300000009</v>
      </c>
      <c r="AEN10" s="271">
        <v>16361692.860000001</v>
      </c>
      <c r="AEO10" s="271">
        <v>1088358.2499999998</v>
      </c>
      <c r="AEP10" s="271">
        <v>8417175.1900000013</v>
      </c>
      <c r="AEQ10" s="271">
        <v>842305.52</v>
      </c>
      <c r="AER10" s="271">
        <v>16092564.800000003</v>
      </c>
      <c r="AES10" s="271">
        <v>149763247.41000003</v>
      </c>
      <c r="AET10" s="271">
        <v>10627700.01</v>
      </c>
      <c r="AEU10" s="271">
        <v>18142053.07</v>
      </c>
      <c r="AEV10" s="271">
        <v>3516211.9899999998</v>
      </c>
      <c r="AEW10" s="271">
        <v>3211248.11</v>
      </c>
      <c r="AEX10" s="271">
        <v>13694650.549999997</v>
      </c>
      <c r="AEY10" s="271">
        <v>1358349.32</v>
      </c>
      <c r="AEZ10" s="271">
        <v>3416310.5300000003</v>
      </c>
      <c r="AFA10" s="271">
        <v>3530691.4400000004</v>
      </c>
      <c r="AFB10" s="271">
        <v>1018763.4800000001</v>
      </c>
      <c r="AFC10" s="271">
        <v>44380706.38000001</v>
      </c>
      <c r="AFD10" s="271">
        <v>19309599.740000002</v>
      </c>
      <c r="AFE10" s="271">
        <v>5260116.05</v>
      </c>
      <c r="AFF10" s="271">
        <v>1883341.5100000002</v>
      </c>
      <c r="AFG10" s="271">
        <v>8066718.5900000008</v>
      </c>
      <c r="AFH10" s="271">
        <v>4076965.34</v>
      </c>
      <c r="AFI10" s="271">
        <v>1034335.8799999999</v>
      </c>
      <c r="AFJ10" s="271">
        <v>794123.72999999986</v>
      </c>
      <c r="AFK10" s="271">
        <v>674391.67999999993</v>
      </c>
      <c r="AFL10" s="271">
        <v>1069740.6700000002</v>
      </c>
      <c r="AFM10" s="271">
        <v>2499813.7400000002</v>
      </c>
      <c r="AFN10" s="271">
        <v>813583.99</v>
      </c>
      <c r="AFO10" s="271">
        <v>1297262.8799999999</v>
      </c>
      <c r="AFP10" s="271">
        <v>118928775.12</v>
      </c>
      <c r="AFQ10" s="271">
        <v>9333889.709999999</v>
      </c>
      <c r="AFR10" s="271">
        <v>4966788.05</v>
      </c>
      <c r="AFS10" s="271">
        <v>1272767.5999999999</v>
      </c>
      <c r="AFT10" s="271">
        <v>584208.21000000008</v>
      </c>
      <c r="AFU10" s="271">
        <v>405881.64999999997</v>
      </c>
      <c r="AFV10" s="271">
        <v>404081.88</v>
      </c>
      <c r="AFW10" s="271">
        <v>1915385.21</v>
      </c>
      <c r="AFX10" s="271">
        <v>7303966.7699999996</v>
      </c>
      <c r="AFY10" s="271">
        <v>777450.93</v>
      </c>
      <c r="AFZ10" s="271">
        <v>1573519.3499999999</v>
      </c>
      <c r="AGA10" s="271">
        <v>397641.13</v>
      </c>
      <c r="AGB10" s="271">
        <v>75850383.86999999</v>
      </c>
      <c r="AGC10" s="271">
        <v>4833788.04</v>
      </c>
      <c r="AGD10" s="271">
        <v>2003693.76</v>
      </c>
      <c r="AGE10" s="271">
        <v>2641139.79</v>
      </c>
      <c r="AGF10" s="271">
        <v>18304803.399999999</v>
      </c>
      <c r="AGG10" s="271">
        <v>1682906.1100000003</v>
      </c>
      <c r="AGH10" s="271">
        <v>2338873.04</v>
      </c>
      <c r="AGI10" s="271">
        <v>4561701.1199999992</v>
      </c>
      <c r="AGJ10" s="271">
        <v>2878249.88</v>
      </c>
      <c r="AGK10" s="271">
        <v>2232860.4099999997</v>
      </c>
      <c r="AGL10" s="271">
        <v>2458325.2199999997</v>
      </c>
      <c r="AGM10" s="271">
        <v>85124880.950000018</v>
      </c>
      <c r="AGN10" s="271">
        <v>9329343.5299999993</v>
      </c>
      <c r="AGO10" s="271">
        <v>1419611.8399999999</v>
      </c>
      <c r="AGP10" s="271">
        <v>196750.54999999996</v>
      </c>
      <c r="AGQ10" s="271">
        <v>2136534.8699999992</v>
      </c>
      <c r="AGR10" s="271">
        <v>2891634.8</v>
      </c>
      <c r="AGS10" s="271">
        <v>407791.94</v>
      </c>
      <c r="AGT10" s="271">
        <v>1362435.02</v>
      </c>
      <c r="AGU10" s="271">
        <v>325161774.62</v>
      </c>
      <c r="AGV10" s="271">
        <v>203422661.02000001</v>
      </c>
      <c r="AGW10" s="271">
        <v>10274796.269999998</v>
      </c>
      <c r="AGX10" s="271">
        <v>17662494.220000003</v>
      </c>
      <c r="AGY10" s="271">
        <v>17262995.07</v>
      </c>
      <c r="AGZ10" s="271">
        <v>13250379.940000001</v>
      </c>
      <c r="AHA10" s="271">
        <v>1918328.89</v>
      </c>
      <c r="AHB10" s="271">
        <v>12895591.329999998</v>
      </c>
      <c r="AHC10" s="271">
        <v>2741839.18</v>
      </c>
      <c r="AHD10" s="271">
        <v>5094023.1300000008</v>
      </c>
      <c r="AHE10" s="271">
        <v>9217611.1999999993</v>
      </c>
      <c r="AHF10" s="271">
        <v>39903572.409999996</v>
      </c>
      <c r="AHG10" s="271">
        <v>2389905.1099999994</v>
      </c>
      <c r="AHH10" s="271">
        <v>9002182.3899999987</v>
      </c>
      <c r="AHI10" s="271">
        <v>16193969.75</v>
      </c>
      <c r="AHJ10" s="271">
        <v>3073687.55</v>
      </c>
      <c r="AHK10" s="271">
        <v>6520804.3600000003</v>
      </c>
      <c r="AHL10" s="271">
        <v>31969430.109999996</v>
      </c>
      <c r="AHM10" s="271">
        <v>1097840.7200000002</v>
      </c>
      <c r="AHN10" s="271">
        <v>829704.91999999993</v>
      </c>
      <c r="AHO10" s="271">
        <v>847286.67000000016</v>
      </c>
      <c r="AHP10" s="271">
        <v>2890850.12</v>
      </c>
      <c r="AHQ10" s="294">
        <v>538171.26</v>
      </c>
      <c r="AHR10" s="329">
        <v>611988.73</v>
      </c>
      <c r="AHS10" s="294">
        <f t="shared" si="0"/>
        <v>22746641461.565659</v>
      </c>
      <c r="AHT10" s="269" t="b">
        <f t="shared" si="1"/>
        <v>1</v>
      </c>
      <c r="AHU10" s="269" t="s">
        <v>8</v>
      </c>
    </row>
    <row r="11" spans="2:905" ht="23.4" customHeight="1" x14ac:dyDescent="0.7">
      <c r="B11" s="268" t="s">
        <v>10</v>
      </c>
      <c r="C11" s="269" t="s">
        <v>11</v>
      </c>
      <c r="D11" s="271">
        <v>19584862.199999999</v>
      </c>
      <c r="E11" s="271">
        <v>329431.02</v>
      </c>
      <c r="F11" s="271">
        <v>878358.65</v>
      </c>
      <c r="G11" s="271">
        <v>94269.26</v>
      </c>
      <c r="H11" s="271">
        <v>1588668.74</v>
      </c>
      <c r="I11" s="271">
        <v>1659599.4499999997</v>
      </c>
      <c r="J11" s="271">
        <v>4212394.58</v>
      </c>
      <c r="K11" s="271">
        <v>2873497.6999999997</v>
      </c>
      <c r="L11" s="271">
        <v>659796.56999999995</v>
      </c>
      <c r="M11" s="271">
        <v>401251.11</v>
      </c>
      <c r="N11" s="271">
        <v>495022.44999999995</v>
      </c>
      <c r="O11" s="271">
        <v>124324.44999999998</v>
      </c>
      <c r="P11" s="271">
        <v>1016762.4099999999</v>
      </c>
      <c r="Q11" s="271">
        <v>246802.09000000003</v>
      </c>
      <c r="R11" s="271">
        <v>111629.54999999999</v>
      </c>
      <c r="S11" s="271">
        <v>1143065.04</v>
      </c>
      <c r="T11" s="271">
        <v>839462.16999999993</v>
      </c>
      <c r="U11" s="271">
        <v>49870</v>
      </c>
      <c r="V11" s="271">
        <v>53779880.879999995</v>
      </c>
      <c r="W11" s="271">
        <v>3075584.77</v>
      </c>
      <c r="X11" s="271">
        <v>1514831.5899999999</v>
      </c>
      <c r="Y11" s="271">
        <v>3718005.75</v>
      </c>
      <c r="Z11" s="271">
        <v>5988574.46</v>
      </c>
      <c r="AA11" s="271">
        <v>3781797.08</v>
      </c>
      <c r="AB11" s="271">
        <v>1041073</v>
      </c>
      <c r="AC11" s="271">
        <v>22254984.719999999</v>
      </c>
      <c r="AD11" s="271">
        <v>3986957.72</v>
      </c>
      <c r="AE11" s="271">
        <v>623426.88</v>
      </c>
      <c r="AF11" s="271">
        <v>5241158.47</v>
      </c>
      <c r="AG11" s="271">
        <v>6117106.959999999</v>
      </c>
      <c r="AH11" s="271">
        <v>17203898.93</v>
      </c>
      <c r="AI11" s="271">
        <v>12019947.09</v>
      </c>
      <c r="AJ11" s="271">
        <v>309684</v>
      </c>
      <c r="AK11" s="271">
        <v>187806.63</v>
      </c>
      <c r="AL11" s="271">
        <v>28763.96</v>
      </c>
      <c r="AM11" s="271">
        <v>6998124.3800000008</v>
      </c>
      <c r="AN11" s="271">
        <v>60647.060000000005</v>
      </c>
      <c r="AO11" s="271">
        <v>3475989.6300000004</v>
      </c>
      <c r="AP11" s="271">
        <v>2724428.17</v>
      </c>
      <c r="AQ11" s="271">
        <v>3205513.97</v>
      </c>
      <c r="AR11" s="271">
        <v>1031567.69</v>
      </c>
      <c r="AS11" s="271">
        <v>25583.4</v>
      </c>
      <c r="AT11" s="271">
        <v>272673.07000000007</v>
      </c>
      <c r="AU11" s="271">
        <v>6998</v>
      </c>
      <c r="AV11" s="271">
        <v>3882</v>
      </c>
      <c r="AW11" s="271">
        <v>62648.5</v>
      </c>
      <c r="AX11" s="271">
        <v>41607</v>
      </c>
      <c r="AY11" s="271">
        <v>60839</v>
      </c>
      <c r="AZ11" s="271">
        <v>1000</v>
      </c>
      <c r="BA11" s="271">
        <v>34877</v>
      </c>
      <c r="BB11" s="271">
        <v>31841</v>
      </c>
      <c r="BC11" s="271">
        <v>0</v>
      </c>
      <c r="BD11" s="271">
        <v>2124</v>
      </c>
      <c r="BE11" s="271">
        <v>4860</v>
      </c>
      <c r="BF11" s="271">
        <v>28750</v>
      </c>
      <c r="BG11" s="271">
        <v>2942</v>
      </c>
      <c r="BH11" s="271">
        <v>25624</v>
      </c>
      <c r="BI11" s="271">
        <v>767951.43</v>
      </c>
      <c r="BJ11" s="271">
        <v>411027.82</v>
      </c>
      <c r="BK11" s="271">
        <v>64283.14</v>
      </c>
      <c r="BL11" s="271">
        <v>0</v>
      </c>
      <c r="BM11" s="271">
        <v>167373.91</v>
      </c>
      <c r="BN11" s="271">
        <v>96453.57</v>
      </c>
      <c r="BO11" s="271">
        <v>7299.9999999999964</v>
      </c>
      <c r="BP11" s="271">
        <v>0</v>
      </c>
      <c r="BQ11" s="271">
        <v>0</v>
      </c>
      <c r="BR11" s="271">
        <v>204205.25</v>
      </c>
      <c r="BS11" s="271">
        <v>28343.439999999999</v>
      </c>
      <c r="BT11" s="271">
        <v>19440</v>
      </c>
      <c r="BU11" s="271">
        <v>42010.5</v>
      </c>
      <c r="BV11" s="271">
        <v>19000</v>
      </c>
      <c r="BW11" s="271">
        <v>8500</v>
      </c>
      <c r="BX11" s="271">
        <v>1000</v>
      </c>
      <c r="BY11" s="271">
        <v>28433</v>
      </c>
      <c r="BZ11" s="271">
        <v>1467781.7999999998</v>
      </c>
      <c r="CA11" s="271">
        <v>217507</v>
      </c>
      <c r="CB11" s="271">
        <v>1379192.26</v>
      </c>
      <c r="CC11" s="271">
        <v>1888045.17</v>
      </c>
      <c r="CD11" s="271">
        <v>576</v>
      </c>
      <c r="CE11" s="271">
        <v>13151</v>
      </c>
      <c r="CF11" s="271">
        <v>200616.34</v>
      </c>
      <c r="CG11" s="271">
        <v>4542060.16</v>
      </c>
      <c r="CH11" s="271">
        <v>269138</v>
      </c>
      <c r="CI11" s="271">
        <v>674090.33</v>
      </c>
      <c r="CJ11" s="271">
        <v>143923.52000000002</v>
      </c>
      <c r="CK11" s="271">
        <v>199280.22</v>
      </c>
      <c r="CL11" s="271">
        <v>194818</v>
      </c>
      <c r="CM11" s="271">
        <v>124687</v>
      </c>
      <c r="CN11" s="271">
        <v>415012.5</v>
      </c>
      <c r="CO11" s="271">
        <v>110568</v>
      </c>
      <c r="CP11" s="271">
        <v>141031</v>
      </c>
      <c r="CQ11" s="271">
        <v>100304.43</v>
      </c>
      <c r="CR11" s="271">
        <v>1168519.31</v>
      </c>
      <c r="CS11" s="271">
        <v>211755.75</v>
      </c>
      <c r="CT11" s="271">
        <v>3207671.72</v>
      </c>
      <c r="CU11" s="271">
        <v>487358.19</v>
      </c>
      <c r="CV11" s="271">
        <v>421108.18</v>
      </c>
      <c r="CW11" s="271">
        <v>140940.89000000001</v>
      </c>
      <c r="CX11" s="271">
        <v>11498.51</v>
      </c>
      <c r="CY11" s="271">
        <v>5047380.33</v>
      </c>
      <c r="CZ11" s="271">
        <v>1016429.8400000001</v>
      </c>
      <c r="DA11" s="271">
        <v>257442.44</v>
      </c>
      <c r="DB11" s="271">
        <v>2375421.1399999997</v>
      </c>
      <c r="DC11" s="271">
        <v>49211700.489999995</v>
      </c>
      <c r="DD11" s="271">
        <v>44978.000000000007</v>
      </c>
      <c r="DE11" s="271">
        <v>64584.28</v>
      </c>
      <c r="DF11" s="271">
        <v>2681318.3399999994</v>
      </c>
      <c r="DG11" s="271">
        <v>2396393.2599999998</v>
      </c>
      <c r="DH11" s="271">
        <v>2089825.14</v>
      </c>
      <c r="DI11" s="271">
        <v>634264.56000000006</v>
      </c>
      <c r="DJ11" s="271">
        <v>76823.25</v>
      </c>
      <c r="DK11" s="271">
        <v>4233199.76</v>
      </c>
      <c r="DL11" s="271">
        <v>208289.18</v>
      </c>
      <c r="DM11" s="271">
        <v>287478.53999999998</v>
      </c>
      <c r="DN11" s="271">
        <v>43002.75</v>
      </c>
      <c r="DO11" s="271">
        <v>190459.53</v>
      </c>
      <c r="DP11" s="271">
        <v>134236.75</v>
      </c>
      <c r="DQ11" s="271">
        <v>975436.04</v>
      </c>
      <c r="DR11" s="271">
        <v>76876</v>
      </c>
      <c r="DS11" s="271">
        <v>852503.19</v>
      </c>
      <c r="DT11" s="271">
        <v>1075829.1200000001</v>
      </c>
      <c r="DU11" s="271">
        <v>43200</v>
      </c>
      <c r="DV11" s="271">
        <v>216251</v>
      </c>
      <c r="DW11" s="271">
        <v>1462142.84</v>
      </c>
      <c r="DX11" s="271">
        <v>182978.75</v>
      </c>
      <c r="DY11" s="271">
        <v>333620.75</v>
      </c>
      <c r="DZ11" s="271">
        <v>2613014.2400000002</v>
      </c>
      <c r="EA11" s="271">
        <v>11733</v>
      </c>
      <c r="EB11" s="271">
        <v>16500</v>
      </c>
      <c r="EC11" s="271">
        <v>200893</v>
      </c>
      <c r="ED11" s="271">
        <v>174177.25</v>
      </c>
      <c r="EE11" s="271">
        <v>409969.36000000004</v>
      </c>
      <c r="EF11" s="271">
        <v>720978</v>
      </c>
      <c r="EG11" s="271">
        <v>5500</v>
      </c>
      <c r="EH11" s="271">
        <v>79770.010000000009</v>
      </c>
      <c r="EI11" s="271">
        <v>65109</v>
      </c>
      <c r="EJ11" s="271">
        <v>43030</v>
      </c>
      <c r="EK11" s="271">
        <v>99284</v>
      </c>
      <c r="EL11" s="271">
        <v>23172.25</v>
      </c>
      <c r="EM11" s="271">
        <v>85874</v>
      </c>
      <c r="EN11" s="271">
        <v>474924.47</v>
      </c>
      <c r="EO11" s="271">
        <v>0</v>
      </c>
      <c r="EP11" s="271">
        <v>19708.75</v>
      </c>
      <c r="EQ11" s="271">
        <v>69898</v>
      </c>
      <c r="ER11" s="271">
        <v>38366</v>
      </c>
      <c r="ES11" s="271">
        <v>29667</v>
      </c>
      <c r="ET11" s="271">
        <v>-27847</v>
      </c>
      <c r="EU11" s="271">
        <v>0</v>
      </c>
      <c r="EV11" s="271">
        <v>3869.75</v>
      </c>
      <c r="EW11" s="271">
        <v>2723686.1399999997</v>
      </c>
      <c r="EX11" s="271">
        <v>194909</v>
      </c>
      <c r="EY11" s="271">
        <v>314932</v>
      </c>
      <c r="EZ11" s="271">
        <v>64165.15</v>
      </c>
      <c r="FA11" s="271">
        <v>1126540.6000000001</v>
      </c>
      <c r="FB11" s="271">
        <v>1106351</v>
      </c>
      <c r="FC11" s="271">
        <v>394030.5</v>
      </c>
      <c r="FD11" s="271">
        <v>106358</v>
      </c>
      <c r="FE11" s="271">
        <v>480016</v>
      </c>
      <c r="FF11" s="271">
        <v>131578</v>
      </c>
      <c r="FG11" s="271">
        <v>383771.27</v>
      </c>
      <c r="FH11" s="271">
        <v>176341</v>
      </c>
      <c r="FI11" s="271">
        <v>642144.27</v>
      </c>
      <c r="FJ11" s="271">
        <v>79353</v>
      </c>
      <c r="FK11" s="271">
        <v>20108</v>
      </c>
      <c r="FL11" s="271">
        <v>52338</v>
      </c>
      <c r="FM11" s="271">
        <v>190612.51</v>
      </c>
      <c r="FN11" s="271">
        <v>331020.32</v>
      </c>
      <c r="FO11" s="271">
        <v>0</v>
      </c>
      <c r="FP11" s="271">
        <v>0</v>
      </c>
      <c r="FQ11" s="271">
        <v>6514944.6600000001</v>
      </c>
      <c r="FR11" s="271">
        <v>66544</v>
      </c>
      <c r="FS11" s="271">
        <v>37588.46</v>
      </c>
      <c r="FT11" s="271">
        <v>212045</v>
      </c>
      <c r="FU11" s="271">
        <v>173194</v>
      </c>
      <c r="FV11" s="271">
        <v>234030.18</v>
      </c>
      <c r="FW11" s="271">
        <v>350105.21</v>
      </c>
      <c r="FX11" s="271">
        <v>95500</v>
      </c>
      <c r="FY11" s="271">
        <v>55134</v>
      </c>
      <c r="FZ11" s="271">
        <v>199580.5</v>
      </c>
      <c r="GA11" s="271">
        <v>200087.11000000002</v>
      </c>
      <c r="GB11" s="271">
        <v>77970.850000000006</v>
      </c>
      <c r="GC11" s="271">
        <v>35914</v>
      </c>
      <c r="GD11" s="271">
        <v>0</v>
      </c>
      <c r="GE11" s="271">
        <v>1592375.3900000001</v>
      </c>
      <c r="GF11" s="271">
        <v>72082</v>
      </c>
      <c r="GG11" s="271">
        <v>86058</v>
      </c>
      <c r="GH11" s="271">
        <v>30531</v>
      </c>
      <c r="GI11" s="271">
        <v>311840</v>
      </c>
      <c r="GJ11" s="271">
        <v>201007</v>
      </c>
      <c r="GK11" s="271">
        <v>7324</v>
      </c>
      <c r="GL11" s="271">
        <v>180685</v>
      </c>
      <c r="GM11" s="271">
        <v>64954.29</v>
      </c>
      <c r="GN11" s="271">
        <v>0</v>
      </c>
      <c r="GO11" s="271">
        <v>0</v>
      </c>
      <c r="GP11" s="271">
        <v>0</v>
      </c>
      <c r="GQ11" s="271">
        <v>242502.45999999996</v>
      </c>
      <c r="GR11" s="271">
        <v>35577.900000000023</v>
      </c>
      <c r="GS11" s="271">
        <v>0</v>
      </c>
      <c r="GT11" s="271">
        <v>2000</v>
      </c>
      <c r="GU11" s="271">
        <v>788</v>
      </c>
      <c r="GV11" s="271">
        <v>59238</v>
      </c>
      <c r="GW11" s="271">
        <v>74525.39</v>
      </c>
      <c r="GX11" s="271">
        <v>51900</v>
      </c>
      <c r="GY11" s="271">
        <v>2532478.5</v>
      </c>
      <c r="GZ11" s="271">
        <v>76258</v>
      </c>
      <c r="HA11" s="271">
        <v>2361922</v>
      </c>
      <c r="HB11" s="271">
        <v>3253242</v>
      </c>
      <c r="HC11" s="271">
        <v>24926490.439999998</v>
      </c>
      <c r="HD11" s="271">
        <v>827708.39</v>
      </c>
      <c r="HE11" s="271">
        <v>9779291.9499999993</v>
      </c>
      <c r="HF11" s="271">
        <v>5587313.1500000004</v>
      </c>
      <c r="HG11" s="271">
        <v>4288296.01</v>
      </c>
      <c r="HH11" s="271">
        <v>9786093.9800000004</v>
      </c>
      <c r="HI11" s="271">
        <v>841735.25</v>
      </c>
      <c r="HJ11" s="271">
        <v>13416279.18</v>
      </c>
      <c r="HK11" s="271">
        <v>11927880.41</v>
      </c>
      <c r="HL11" s="271">
        <v>7391805</v>
      </c>
      <c r="HM11" s="271">
        <v>9056778.120000001</v>
      </c>
      <c r="HN11" s="271">
        <v>2310626</v>
      </c>
      <c r="HO11" s="271">
        <v>1829467</v>
      </c>
      <c r="HP11" s="271">
        <v>12019449.9</v>
      </c>
      <c r="HQ11" s="271">
        <v>2000901</v>
      </c>
      <c r="HR11" s="271">
        <v>3860788.4400000004</v>
      </c>
      <c r="HS11" s="271">
        <v>1887631.42</v>
      </c>
      <c r="HT11" s="271">
        <v>23702</v>
      </c>
      <c r="HU11" s="271">
        <v>1047287.5900000001</v>
      </c>
      <c r="HV11" s="271">
        <v>965907.4</v>
      </c>
      <c r="HW11" s="271">
        <v>336337.41</v>
      </c>
      <c r="HX11" s="271">
        <v>5315299.3600000003</v>
      </c>
      <c r="HY11" s="271">
        <v>911353.04</v>
      </c>
      <c r="HZ11" s="271">
        <v>549282.97</v>
      </c>
      <c r="IA11" s="271">
        <v>555112.21</v>
      </c>
      <c r="IB11" s="271">
        <v>925532.9</v>
      </c>
      <c r="IC11" s="271">
        <v>3139618.46</v>
      </c>
      <c r="ID11" s="271">
        <v>0</v>
      </c>
      <c r="IE11" s="271">
        <v>3675564.0600000005</v>
      </c>
      <c r="IF11" s="271">
        <v>4760.18</v>
      </c>
      <c r="IG11" s="271">
        <v>0</v>
      </c>
      <c r="IH11" s="271">
        <v>1925926.02</v>
      </c>
      <c r="II11" s="271">
        <v>583872.81000000006</v>
      </c>
      <c r="IJ11" s="271">
        <v>1001293.8200000001</v>
      </c>
      <c r="IK11" s="271">
        <v>66046.16</v>
      </c>
      <c r="IL11" s="271">
        <v>823329.74</v>
      </c>
      <c r="IM11" s="271">
        <v>14425.25</v>
      </c>
      <c r="IN11" s="271">
        <v>387883.79000000004</v>
      </c>
      <c r="IO11" s="271">
        <v>198311.06</v>
      </c>
      <c r="IP11" s="271">
        <v>35017</v>
      </c>
      <c r="IQ11" s="271">
        <v>226186.68</v>
      </c>
      <c r="IR11" s="271">
        <v>1054672.5</v>
      </c>
      <c r="IS11" s="271">
        <v>3107405.07</v>
      </c>
      <c r="IT11" s="271">
        <v>2875259.3</v>
      </c>
      <c r="IU11" s="271">
        <v>1427424.1600000001</v>
      </c>
      <c r="IV11" s="271">
        <v>2797672.2</v>
      </c>
      <c r="IW11" s="271">
        <v>248963</v>
      </c>
      <c r="IX11" s="271">
        <v>232357</v>
      </c>
      <c r="IY11" s="271">
        <v>238925</v>
      </c>
      <c r="IZ11" s="271">
        <v>7185</v>
      </c>
      <c r="JA11" s="271">
        <v>311723</v>
      </c>
      <c r="JB11" s="271">
        <v>871249.77</v>
      </c>
      <c r="JC11" s="271">
        <v>4544682</v>
      </c>
      <c r="JD11" s="271">
        <v>1405164</v>
      </c>
      <c r="JE11" s="271">
        <v>113125.98999999999</v>
      </c>
      <c r="JF11" s="271">
        <v>154778</v>
      </c>
      <c r="JG11" s="271">
        <v>58632</v>
      </c>
      <c r="JH11" s="271">
        <v>113226.5</v>
      </c>
      <c r="JI11" s="271">
        <v>100491</v>
      </c>
      <c r="JJ11" s="271">
        <v>21000</v>
      </c>
      <c r="JK11" s="271">
        <v>4124942.09</v>
      </c>
      <c r="JL11" s="271">
        <v>47340</v>
      </c>
      <c r="JM11" s="271">
        <v>43372</v>
      </c>
      <c r="JN11" s="271">
        <v>38830.92</v>
      </c>
      <c r="JO11" s="271">
        <v>0</v>
      </c>
      <c r="JP11" s="271">
        <v>252111.94</v>
      </c>
      <c r="JQ11" s="271">
        <v>0</v>
      </c>
      <c r="JR11" s="271">
        <v>18084815.289999999</v>
      </c>
      <c r="JS11" s="271">
        <v>66282873.660000004</v>
      </c>
      <c r="JT11" s="271">
        <v>4438254.8</v>
      </c>
      <c r="JU11" s="271">
        <v>371689.66000000015</v>
      </c>
      <c r="JV11" s="271">
        <v>829802.52</v>
      </c>
      <c r="JW11" s="271">
        <v>236554.5</v>
      </c>
      <c r="JX11" s="271">
        <v>822123.19</v>
      </c>
      <c r="JY11" s="271">
        <v>8618788.290000001</v>
      </c>
      <c r="JZ11" s="271">
        <v>3158796.73</v>
      </c>
      <c r="KA11" s="271">
        <v>523819.62</v>
      </c>
      <c r="KB11" s="271">
        <v>212281.40000000002</v>
      </c>
      <c r="KC11" s="271">
        <v>1738086.85</v>
      </c>
      <c r="KD11" s="271">
        <v>22662.36</v>
      </c>
      <c r="KE11" s="271">
        <v>106737.1</v>
      </c>
      <c r="KF11" s="271">
        <v>28191.9</v>
      </c>
      <c r="KG11" s="271">
        <v>216530.69</v>
      </c>
      <c r="KH11" s="271">
        <v>25203225.469999999</v>
      </c>
      <c r="KI11" s="271">
        <v>3669289.4499999997</v>
      </c>
      <c r="KJ11" s="271">
        <v>3671851</v>
      </c>
      <c r="KK11" s="271">
        <v>2220815.5999999996</v>
      </c>
      <c r="KL11" s="271">
        <v>1616397.15</v>
      </c>
      <c r="KM11" s="271">
        <v>12087138.899999999</v>
      </c>
      <c r="KN11" s="271">
        <v>7713410.8799999999</v>
      </c>
      <c r="KO11" s="271">
        <v>1058095.6200000001</v>
      </c>
      <c r="KP11" s="271">
        <v>1135218.1599999999</v>
      </c>
      <c r="KQ11" s="271">
        <v>3823114.3600000003</v>
      </c>
      <c r="KR11" s="271">
        <v>2050740.2</v>
      </c>
      <c r="KS11" s="271">
        <v>1597702.4300000002</v>
      </c>
      <c r="KT11" s="271">
        <v>6852273.879999999</v>
      </c>
      <c r="KU11" s="271">
        <v>3222477.3100000005</v>
      </c>
      <c r="KV11" s="271">
        <v>4116341.0900000003</v>
      </c>
      <c r="KW11" s="271">
        <v>15417968.84</v>
      </c>
      <c r="KX11" s="271">
        <v>3268067.1</v>
      </c>
      <c r="KY11" s="271">
        <v>7749361.2399999993</v>
      </c>
      <c r="KZ11" s="271">
        <v>2641080.64</v>
      </c>
      <c r="LA11" s="271">
        <v>105753.25</v>
      </c>
      <c r="LB11" s="271">
        <v>909984.75</v>
      </c>
      <c r="LC11" s="271">
        <v>454295.11</v>
      </c>
      <c r="LD11" s="271">
        <v>82076.89</v>
      </c>
      <c r="LE11" s="271">
        <v>1335419.56</v>
      </c>
      <c r="LF11" s="271">
        <v>374496.34</v>
      </c>
      <c r="LG11" s="271">
        <v>19497260.310000002</v>
      </c>
      <c r="LH11" s="271">
        <v>5549207.8700000001</v>
      </c>
      <c r="LI11" s="271">
        <v>11855125.820000002</v>
      </c>
      <c r="LJ11" s="271">
        <v>13826053.879999999</v>
      </c>
      <c r="LK11" s="271">
        <v>590429.47</v>
      </c>
      <c r="LL11" s="271">
        <v>3822096.75</v>
      </c>
      <c r="LM11" s="271">
        <v>3084598.75</v>
      </c>
      <c r="LN11" s="271">
        <v>1781690.05</v>
      </c>
      <c r="LO11" s="271">
        <v>100623</v>
      </c>
      <c r="LP11" s="271">
        <v>5458721.79</v>
      </c>
      <c r="LQ11" s="271">
        <v>1448639</v>
      </c>
      <c r="LR11" s="271">
        <v>13070915.930000003</v>
      </c>
      <c r="LS11" s="271">
        <v>12215.32</v>
      </c>
      <c r="LT11" s="271">
        <v>19690</v>
      </c>
      <c r="LU11" s="271">
        <v>380918289.95999998</v>
      </c>
      <c r="LV11" s="271">
        <v>18106843.719999999</v>
      </c>
      <c r="LW11" s="271">
        <v>6055761.9800000004</v>
      </c>
      <c r="LX11" s="271">
        <v>4105345</v>
      </c>
      <c r="LY11" s="271">
        <v>309543.5</v>
      </c>
      <c r="LZ11" s="271">
        <v>121773</v>
      </c>
      <c r="MA11" s="271">
        <v>387476</v>
      </c>
      <c r="MB11" s="271">
        <v>35298.800000000003</v>
      </c>
      <c r="MC11" s="271">
        <v>490707.49</v>
      </c>
      <c r="MD11" s="271">
        <v>153969</v>
      </c>
      <c r="ME11" s="271">
        <v>864884.31</v>
      </c>
      <c r="MF11" s="271">
        <v>87607.5</v>
      </c>
      <c r="MG11" s="271">
        <v>17771617.049999997</v>
      </c>
      <c r="MH11" s="271">
        <v>5137856.67</v>
      </c>
      <c r="MI11" s="271">
        <v>1399878.88</v>
      </c>
      <c r="MJ11" s="271">
        <v>4525431.2</v>
      </c>
      <c r="MK11" s="271">
        <v>2720644.3600000003</v>
      </c>
      <c r="ML11" s="271">
        <v>11355943.75</v>
      </c>
      <c r="MM11" s="271">
        <v>5517474.9100000001</v>
      </c>
      <c r="MN11" s="271">
        <v>2445333.08</v>
      </c>
      <c r="MO11" s="271">
        <v>5250802.2299999995</v>
      </c>
      <c r="MP11" s="271">
        <v>3142631.16</v>
      </c>
      <c r="MQ11" s="271">
        <v>1269434.98</v>
      </c>
      <c r="MR11" s="271">
        <v>4311618.59</v>
      </c>
      <c r="MS11" s="271">
        <v>13101512.060000001</v>
      </c>
      <c r="MT11" s="271">
        <v>1398266</v>
      </c>
      <c r="MU11" s="271">
        <v>5191718.83</v>
      </c>
      <c r="MV11" s="271">
        <v>2658473.69</v>
      </c>
      <c r="MW11" s="271">
        <v>2316123.7400000002</v>
      </c>
      <c r="MX11" s="271">
        <v>2447919.39</v>
      </c>
      <c r="MY11" s="271">
        <v>7694930.6399999997</v>
      </c>
      <c r="MZ11" s="271">
        <v>2568600</v>
      </c>
      <c r="NA11" s="271">
        <v>2055447.58</v>
      </c>
      <c r="NB11" s="271">
        <v>15298</v>
      </c>
      <c r="NC11" s="271">
        <v>31456</v>
      </c>
      <c r="ND11" s="271">
        <v>66736760.189999998</v>
      </c>
      <c r="NE11" s="271">
        <v>19370045.5</v>
      </c>
      <c r="NF11" s="271">
        <v>10358520.67</v>
      </c>
      <c r="NG11" s="271">
        <v>9333814.6000000015</v>
      </c>
      <c r="NH11" s="271">
        <v>1112269.42</v>
      </c>
      <c r="NI11" s="271">
        <v>11084432.66</v>
      </c>
      <c r="NJ11" s="271">
        <v>7453745.9800000004</v>
      </c>
      <c r="NK11" s="271">
        <v>8073260.0999999996</v>
      </c>
      <c r="NL11" s="271">
        <v>28199</v>
      </c>
      <c r="NM11" s="271">
        <v>22205617.360000003</v>
      </c>
      <c r="NN11" s="271">
        <v>5559753.5</v>
      </c>
      <c r="NO11" s="271">
        <v>3062041.4699999997</v>
      </c>
      <c r="NP11" s="271">
        <v>13326896.579999998</v>
      </c>
      <c r="NQ11" s="271">
        <v>3432013.9</v>
      </c>
      <c r="NR11" s="271">
        <v>3927119.38</v>
      </c>
      <c r="NS11" s="271">
        <v>2372067.9500000002</v>
      </c>
      <c r="NT11" s="271">
        <v>5599357.8200000003</v>
      </c>
      <c r="NU11" s="271">
        <v>704438.41999999993</v>
      </c>
      <c r="NV11" s="271">
        <v>1734200.5299999998</v>
      </c>
      <c r="NW11" s="271">
        <v>2554557.34</v>
      </c>
      <c r="NX11" s="271">
        <v>853516.85000000033</v>
      </c>
      <c r="NY11" s="271">
        <v>433366.83</v>
      </c>
      <c r="NZ11" s="271">
        <v>377400.63</v>
      </c>
      <c r="OA11" s="271">
        <v>396243.93</v>
      </c>
      <c r="OB11" s="271">
        <v>163476.42000000001</v>
      </c>
      <c r="OC11" s="271">
        <v>164073</v>
      </c>
      <c r="OD11" s="271">
        <v>22116964.030000001</v>
      </c>
      <c r="OE11" s="271">
        <v>5492578.6100000003</v>
      </c>
      <c r="OF11" s="271">
        <v>2633619.21</v>
      </c>
      <c r="OG11" s="271">
        <v>23388021.189999998</v>
      </c>
      <c r="OH11" s="271">
        <v>4284686.4000000004</v>
      </c>
      <c r="OI11" s="271">
        <v>5153412.42</v>
      </c>
      <c r="OJ11" s="271">
        <v>8265463.3200000003</v>
      </c>
      <c r="OK11" s="271">
        <v>502910.47</v>
      </c>
      <c r="OL11" s="271">
        <v>4521581.9600000009</v>
      </c>
      <c r="OM11" s="271">
        <v>25021863.300000001</v>
      </c>
      <c r="ON11" s="271">
        <v>8383273.2300000004</v>
      </c>
      <c r="OO11" s="271">
        <v>53254248.359999999</v>
      </c>
      <c r="OP11" s="271">
        <v>2960885</v>
      </c>
      <c r="OQ11" s="271">
        <v>3469043</v>
      </c>
      <c r="OR11" s="271">
        <v>0</v>
      </c>
      <c r="OS11" s="271">
        <v>11071239.98</v>
      </c>
      <c r="OT11" s="271">
        <v>809073.5</v>
      </c>
      <c r="OU11" s="271">
        <v>365183</v>
      </c>
      <c r="OV11" s="271">
        <v>2627368.15</v>
      </c>
      <c r="OW11" s="271">
        <v>3387386.76</v>
      </c>
      <c r="OX11" s="271">
        <v>7369071</v>
      </c>
      <c r="OY11" s="271">
        <v>998413</v>
      </c>
      <c r="OZ11" s="271">
        <v>369783</v>
      </c>
      <c r="PA11" s="271">
        <v>1071471.74</v>
      </c>
      <c r="PB11" s="271">
        <v>175792</v>
      </c>
      <c r="PC11" s="271">
        <v>36954</v>
      </c>
      <c r="PD11" s="271">
        <v>76028</v>
      </c>
      <c r="PE11" s="271">
        <v>2328</v>
      </c>
      <c r="PF11" s="271">
        <v>287683</v>
      </c>
      <c r="PG11" s="271">
        <v>325638.96999999997</v>
      </c>
      <c r="PH11" s="271">
        <v>1000</v>
      </c>
      <c r="PI11" s="271">
        <v>8247</v>
      </c>
      <c r="PJ11" s="271">
        <v>7000</v>
      </c>
      <c r="PK11" s="271">
        <v>3772.3600000000006</v>
      </c>
      <c r="PL11" s="271">
        <v>78929</v>
      </c>
      <c r="PM11" s="271">
        <v>18767.75</v>
      </c>
      <c r="PN11" s="271">
        <v>15000</v>
      </c>
      <c r="PO11" s="271">
        <v>282866.25</v>
      </c>
      <c r="PP11" s="271">
        <v>-400951</v>
      </c>
      <c r="PQ11" s="271">
        <v>219848.5</v>
      </c>
      <c r="PR11" s="271">
        <v>0</v>
      </c>
      <c r="PS11" s="271">
        <v>0</v>
      </c>
      <c r="PT11" s="271">
        <v>4531552.58</v>
      </c>
      <c r="PU11" s="271">
        <v>8500</v>
      </c>
      <c r="PV11" s="271">
        <v>10845</v>
      </c>
      <c r="PW11" s="271">
        <v>68494</v>
      </c>
      <c r="PX11" s="271">
        <v>115738</v>
      </c>
      <c r="PY11" s="271">
        <v>0</v>
      </c>
      <c r="PZ11" s="271">
        <v>94958.25</v>
      </c>
      <c r="QA11" s="271">
        <v>18292</v>
      </c>
      <c r="QB11" s="271">
        <v>345684.75</v>
      </c>
      <c r="QC11" s="271">
        <v>0</v>
      </c>
      <c r="QD11" s="271">
        <v>116321.5</v>
      </c>
      <c r="QE11" s="271">
        <v>11258</v>
      </c>
      <c r="QF11" s="271">
        <v>7497</v>
      </c>
      <c r="QG11" s="271">
        <v>22484</v>
      </c>
      <c r="QH11" s="271">
        <v>8500</v>
      </c>
      <c r="QI11" s="271">
        <v>34969.979999999996</v>
      </c>
      <c r="QJ11" s="271">
        <v>10670</v>
      </c>
      <c r="QK11" s="271">
        <v>36935</v>
      </c>
      <c r="QL11" s="271">
        <v>13960</v>
      </c>
      <c r="QM11" s="271">
        <v>64045.5</v>
      </c>
      <c r="QN11" s="271">
        <v>23505</v>
      </c>
      <c r="QO11" s="271">
        <v>129250.03</v>
      </c>
      <c r="QP11" s="271">
        <v>7300</v>
      </c>
      <c r="QQ11" s="271">
        <v>7526</v>
      </c>
      <c r="QR11" s="271">
        <v>1000</v>
      </c>
      <c r="QS11" s="271">
        <v>3328</v>
      </c>
      <c r="QT11" s="271">
        <v>942910.07000000007</v>
      </c>
      <c r="QU11" s="271">
        <v>107258</v>
      </c>
      <c r="QV11" s="271">
        <v>0</v>
      </c>
      <c r="QW11" s="271">
        <v>67693</v>
      </c>
      <c r="QX11" s="271">
        <v>0</v>
      </c>
      <c r="QY11" s="271">
        <v>3000</v>
      </c>
      <c r="QZ11" s="271">
        <v>37878</v>
      </c>
      <c r="RA11" s="271">
        <v>2580035</v>
      </c>
      <c r="RB11" s="271">
        <v>118400</v>
      </c>
      <c r="RC11" s="271">
        <v>10357</v>
      </c>
      <c r="RD11" s="271">
        <v>122088</v>
      </c>
      <c r="RE11" s="271">
        <v>221893</v>
      </c>
      <c r="RF11" s="271">
        <v>0</v>
      </c>
      <c r="RG11" s="271">
        <v>575339.75</v>
      </c>
      <c r="RH11" s="271">
        <v>6500</v>
      </c>
      <c r="RI11" s="271">
        <v>39704</v>
      </c>
      <c r="RJ11" s="271">
        <v>17374</v>
      </c>
      <c r="RK11" s="271">
        <v>20153</v>
      </c>
      <c r="RL11" s="271">
        <v>0</v>
      </c>
      <c r="RM11" s="271">
        <v>0</v>
      </c>
      <c r="RN11" s="271">
        <v>2195</v>
      </c>
      <c r="RO11" s="271">
        <v>16124</v>
      </c>
      <c r="RP11" s="271">
        <v>127063.09</v>
      </c>
      <c r="RQ11" s="271">
        <v>12383</v>
      </c>
      <c r="RR11" s="271">
        <v>109308</v>
      </c>
      <c r="RS11" s="271">
        <v>1035</v>
      </c>
      <c r="RT11" s="271">
        <v>4087</v>
      </c>
      <c r="RU11" s="271">
        <v>3126</v>
      </c>
      <c r="RV11" s="271">
        <v>2328</v>
      </c>
      <c r="RW11" s="271">
        <v>4381</v>
      </c>
      <c r="RX11" s="271">
        <v>14187</v>
      </c>
      <c r="RY11" s="271">
        <v>0</v>
      </c>
      <c r="RZ11" s="271">
        <v>25005</v>
      </c>
      <c r="SA11" s="271">
        <v>564838.77</v>
      </c>
      <c r="SB11" s="271">
        <v>238210</v>
      </c>
      <c r="SC11" s="271">
        <v>627516</v>
      </c>
      <c r="SD11" s="271">
        <v>551394.86</v>
      </c>
      <c r="SE11" s="271">
        <v>58658</v>
      </c>
      <c r="SF11" s="271">
        <v>324158</v>
      </c>
      <c r="SG11" s="271">
        <v>166113.45000000001</v>
      </c>
      <c r="SH11" s="271">
        <v>244559</v>
      </c>
      <c r="SI11" s="271">
        <v>83351.570000000007</v>
      </c>
      <c r="SJ11" s="271">
        <v>49210</v>
      </c>
      <c r="SK11" s="271">
        <v>326409.82999999996</v>
      </c>
      <c r="SL11" s="271">
        <v>3000</v>
      </c>
      <c r="SM11" s="271">
        <v>2114833.73</v>
      </c>
      <c r="SN11" s="271">
        <v>61563.69</v>
      </c>
      <c r="SO11" s="271">
        <v>133209</v>
      </c>
      <c r="SP11" s="271">
        <v>100769.94999999998</v>
      </c>
      <c r="SQ11" s="271">
        <v>75201.049999999988</v>
      </c>
      <c r="SR11" s="271">
        <v>36824.589999999997</v>
      </c>
      <c r="SS11" s="271">
        <v>104225.59</v>
      </c>
      <c r="ST11" s="271">
        <v>94525.36</v>
      </c>
      <c r="SU11" s="271">
        <v>1495431.69</v>
      </c>
      <c r="SV11" s="271">
        <v>40445.660000000003</v>
      </c>
      <c r="SW11" s="271">
        <v>218953.87</v>
      </c>
      <c r="SX11" s="271">
        <v>201956.41</v>
      </c>
      <c r="SY11" s="271">
        <v>9036.59</v>
      </c>
      <c r="SZ11" s="271">
        <v>262765.56999999995</v>
      </c>
      <c r="TA11" s="271">
        <v>7147</v>
      </c>
      <c r="TB11" s="271">
        <v>435562.64</v>
      </c>
      <c r="TC11" s="271">
        <v>23451.84</v>
      </c>
      <c r="TD11" s="271">
        <v>9850</v>
      </c>
      <c r="TE11" s="271">
        <v>55074.67</v>
      </c>
      <c r="TF11" s="271">
        <v>237640.63</v>
      </c>
      <c r="TG11" s="271">
        <v>306752</v>
      </c>
      <c r="TH11" s="271">
        <v>40927.910000000003</v>
      </c>
      <c r="TI11" s="271">
        <v>695302.6</v>
      </c>
      <c r="TJ11" s="271">
        <v>19248.459999999992</v>
      </c>
      <c r="TK11" s="271">
        <v>9647.25</v>
      </c>
      <c r="TL11" s="271">
        <v>70926.33</v>
      </c>
      <c r="TM11" s="271">
        <v>135252.6</v>
      </c>
      <c r="TN11" s="271">
        <v>53972.160000000003</v>
      </c>
      <c r="TO11" s="271">
        <v>33066</v>
      </c>
      <c r="TP11" s="271">
        <v>109176.61999999998</v>
      </c>
      <c r="TQ11" s="271">
        <v>49877.760000000009</v>
      </c>
      <c r="TR11" s="271">
        <v>76426</v>
      </c>
      <c r="TS11" s="271">
        <v>519724</v>
      </c>
      <c r="TT11" s="271">
        <v>13285</v>
      </c>
      <c r="TU11" s="271">
        <v>32910.03</v>
      </c>
      <c r="TV11" s="271">
        <v>85307.07</v>
      </c>
      <c r="TW11" s="271">
        <v>27321.929999999993</v>
      </c>
      <c r="TX11" s="271">
        <v>19547.189999999999</v>
      </c>
      <c r="TY11" s="271">
        <v>215291.79</v>
      </c>
      <c r="TZ11" s="271">
        <v>243529.63</v>
      </c>
      <c r="UA11" s="271">
        <v>1131029.83</v>
      </c>
      <c r="UB11" s="271">
        <v>44531.76999999999</v>
      </c>
      <c r="UC11" s="271">
        <v>395290.03</v>
      </c>
      <c r="UD11" s="271">
        <v>94642.17</v>
      </c>
      <c r="UE11" s="271">
        <v>484114.98</v>
      </c>
      <c r="UF11" s="271">
        <v>0</v>
      </c>
      <c r="UG11" s="271">
        <v>93983</v>
      </c>
      <c r="UH11" s="271">
        <v>0</v>
      </c>
      <c r="UI11" s="271">
        <v>11657.5</v>
      </c>
      <c r="UJ11" s="271">
        <v>202127.87</v>
      </c>
      <c r="UK11" s="271">
        <v>64161.02</v>
      </c>
      <c r="UL11" s="271">
        <v>11640</v>
      </c>
      <c r="UM11" s="271">
        <v>36597.31</v>
      </c>
      <c r="UN11" s="271">
        <v>51462.860000000015</v>
      </c>
      <c r="UO11" s="271">
        <v>50608</v>
      </c>
      <c r="UP11" s="271">
        <v>5709800.8799999999</v>
      </c>
      <c r="UQ11" s="271">
        <v>8300</v>
      </c>
      <c r="UR11" s="271">
        <v>0</v>
      </c>
      <c r="US11" s="271">
        <v>252320.68</v>
      </c>
      <c r="UT11" s="271">
        <v>0</v>
      </c>
      <c r="UU11" s="271">
        <v>5856</v>
      </c>
      <c r="UV11" s="271">
        <v>48747</v>
      </c>
      <c r="UW11" s="271">
        <v>18763</v>
      </c>
      <c r="UX11" s="271">
        <v>14140</v>
      </c>
      <c r="UY11" s="271">
        <v>11359.15</v>
      </c>
      <c r="UZ11" s="271">
        <v>500</v>
      </c>
      <c r="VA11" s="271">
        <v>94581.97</v>
      </c>
      <c r="VB11" s="271">
        <v>69916</v>
      </c>
      <c r="VC11" s="271">
        <v>85876.08</v>
      </c>
      <c r="VD11" s="271">
        <v>4960</v>
      </c>
      <c r="VE11" s="271">
        <v>52054.35</v>
      </c>
      <c r="VF11" s="271">
        <v>33203.919999999998</v>
      </c>
      <c r="VG11" s="271">
        <v>2640</v>
      </c>
      <c r="VH11" s="271">
        <v>45582.899999999994</v>
      </c>
      <c r="VI11" s="271">
        <v>6247</v>
      </c>
      <c r="VJ11" s="271">
        <v>82134.720000000001</v>
      </c>
      <c r="VK11" s="271">
        <v>4960</v>
      </c>
      <c r="VL11" s="271">
        <v>813998.46</v>
      </c>
      <c r="VM11" s="271">
        <v>5324</v>
      </c>
      <c r="VN11" s="271">
        <v>52842.520000000004</v>
      </c>
      <c r="VO11" s="271">
        <v>8865</v>
      </c>
      <c r="VP11" s="271">
        <v>121125.28000000003</v>
      </c>
      <c r="VQ11" s="271">
        <v>195778.9</v>
      </c>
      <c r="VR11" s="271">
        <v>110933</v>
      </c>
      <c r="VS11" s="271">
        <v>14635</v>
      </c>
      <c r="VT11" s="271">
        <v>72462</v>
      </c>
      <c r="VU11" s="271">
        <v>140352</v>
      </c>
      <c r="VV11" s="271">
        <v>12658.5</v>
      </c>
      <c r="VW11" s="271">
        <v>145545</v>
      </c>
      <c r="VX11" s="271">
        <v>10500</v>
      </c>
      <c r="VY11" s="271">
        <v>34506</v>
      </c>
      <c r="VZ11" s="271">
        <v>9202</v>
      </c>
      <c r="WA11" s="271">
        <v>8091166.0200000005</v>
      </c>
      <c r="WB11" s="271">
        <v>1660357.29</v>
      </c>
      <c r="WC11" s="271">
        <v>724498</v>
      </c>
      <c r="WD11" s="271">
        <v>107165.84</v>
      </c>
      <c r="WE11" s="271">
        <v>247513</v>
      </c>
      <c r="WF11" s="271">
        <v>95844.25</v>
      </c>
      <c r="WG11" s="271">
        <v>1751621</v>
      </c>
      <c r="WH11" s="271">
        <v>226342.08999999997</v>
      </c>
      <c r="WI11" s="271">
        <v>125595.28</v>
      </c>
      <c r="WJ11" s="271">
        <v>178564</v>
      </c>
      <c r="WK11" s="271">
        <v>33889</v>
      </c>
      <c r="WL11" s="271">
        <v>130132.10999999999</v>
      </c>
      <c r="WM11" s="271">
        <v>43035</v>
      </c>
      <c r="WN11" s="271">
        <v>284090</v>
      </c>
      <c r="WO11" s="271">
        <v>27924.53</v>
      </c>
      <c r="WP11" s="271">
        <v>75028.570000000007</v>
      </c>
      <c r="WQ11" s="271">
        <v>136242</v>
      </c>
      <c r="WR11" s="271">
        <v>291957.58999999997</v>
      </c>
      <c r="WS11" s="271">
        <v>114020</v>
      </c>
      <c r="WT11" s="271">
        <v>660187</v>
      </c>
      <c r="WU11" s="271">
        <v>11618367.829999998</v>
      </c>
      <c r="WV11" s="271">
        <v>403667.26</v>
      </c>
      <c r="WW11" s="271">
        <v>17463.59</v>
      </c>
      <c r="WX11" s="271">
        <v>213801.23</v>
      </c>
      <c r="WY11" s="271">
        <v>426365</v>
      </c>
      <c r="WZ11" s="271">
        <v>373.01</v>
      </c>
      <c r="XA11" s="271">
        <v>19279.239999999998</v>
      </c>
      <c r="XB11" s="271">
        <v>57267</v>
      </c>
      <c r="XC11" s="271">
        <v>2411504.77</v>
      </c>
      <c r="XD11" s="271">
        <v>26180.12</v>
      </c>
      <c r="XE11" s="271">
        <v>2711.09</v>
      </c>
      <c r="XF11" s="271">
        <v>138896.13</v>
      </c>
      <c r="XG11" s="271">
        <v>43723.48</v>
      </c>
      <c r="XH11" s="271">
        <v>2407005.56</v>
      </c>
      <c r="XI11" s="271">
        <v>29155</v>
      </c>
      <c r="XJ11" s="271">
        <v>285604</v>
      </c>
      <c r="XK11" s="271">
        <v>140215.9</v>
      </c>
      <c r="XL11" s="271">
        <v>48885.8</v>
      </c>
      <c r="XM11" s="271">
        <v>305259.8</v>
      </c>
      <c r="XN11" s="271">
        <v>102209.68</v>
      </c>
      <c r="XO11" s="271">
        <v>43350.67</v>
      </c>
      <c r="XP11" s="271">
        <v>376707.39</v>
      </c>
      <c r="XQ11" s="271">
        <v>282063.75</v>
      </c>
      <c r="XR11" s="271">
        <v>161197</v>
      </c>
      <c r="XS11" s="271">
        <v>17679.46</v>
      </c>
      <c r="XT11" s="271">
        <v>5142</v>
      </c>
      <c r="XU11" s="271">
        <v>265775.75</v>
      </c>
      <c r="XV11" s="271">
        <v>15636.23</v>
      </c>
      <c r="XW11" s="271">
        <v>0</v>
      </c>
      <c r="XX11" s="271">
        <v>10115.9</v>
      </c>
      <c r="XY11" s="271">
        <v>7202</v>
      </c>
      <c r="XZ11" s="271">
        <v>130</v>
      </c>
      <c r="YA11" s="271">
        <v>40985</v>
      </c>
      <c r="YB11" s="271">
        <v>28368</v>
      </c>
      <c r="YC11" s="271">
        <v>52899</v>
      </c>
      <c r="YD11" s="271">
        <v>18089.79</v>
      </c>
      <c r="YE11" s="271">
        <v>2449278.0300000003</v>
      </c>
      <c r="YF11" s="271">
        <v>12251</v>
      </c>
      <c r="YG11" s="271">
        <v>144460.95000000001</v>
      </c>
      <c r="YH11" s="271">
        <v>29439.57</v>
      </c>
      <c r="YI11" s="271">
        <v>669554</v>
      </c>
      <c r="YJ11" s="271">
        <v>35229</v>
      </c>
      <c r="YK11" s="271">
        <v>102249</v>
      </c>
      <c r="YL11" s="271">
        <v>880</v>
      </c>
      <c r="YM11" s="271">
        <v>70317.100000000006</v>
      </c>
      <c r="YN11" s="271">
        <v>51680</v>
      </c>
      <c r="YO11" s="271">
        <v>86320.23</v>
      </c>
      <c r="YP11" s="271">
        <v>55390</v>
      </c>
      <c r="YQ11" s="271">
        <v>3922.5</v>
      </c>
      <c r="YR11" s="271">
        <v>20477.75</v>
      </c>
      <c r="YS11" s="271">
        <v>76649.5</v>
      </c>
      <c r="YT11" s="271">
        <v>0</v>
      </c>
      <c r="YU11" s="271">
        <v>462277</v>
      </c>
      <c r="YV11" s="271">
        <v>3190106.5</v>
      </c>
      <c r="YW11" s="271">
        <v>25584</v>
      </c>
      <c r="YX11" s="271">
        <v>47239</v>
      </c>
      <c r="YY11" s="271">
        <v>0</v>
      </c>
      <c r="YZ11" s="271">
        <v>69006</v>
      </c>
      <c r="ZA11" s="271">
        <v>12080</v>
      </c>
      <c r="ZB11" s="271">
        <v>133900</v>
      </c>
      <c r="ZC11" s="271">
        <v>498754.85000000003</v>
      </c>
      <c r="ZD11" s="271">
        <v>14631</v>
      </c>
      <c r="ZE11" s="271">
        <v>6149.75</v>
      </c>
      <c r="ZF11" s="271">
        <v>20670.18</v>
      </c>
      <c r="ZG11" s="271">
        <v>8739</v>
      </c>
      <c r="ZH11" s="271">
        <v>0</v>
      </c>
      <c r="ZI11" s="271">
        <v>451</v>
      </c>
      <c r="ZJ11" s="271">
        <v>934.75</v>
      </c>
      <c r="ZK11" s="271">
        <v>5040.3700000000026</v>
      </c>
      <c r="ZL11" s="271">
        <v>236519</v>
      </c>
      <c r="ZM11" s="271">
        <v>9073.880000000001</v>
      </c>
      <c r="ZN11" s="271">
        <v>158914.87</v>
      </c>
      <c r="ZO11" s="271">
        <v>137390.53</v>
      </c>
      <c r="ZP11" s="271">
        <v>26802.559999999998</v>
      </c>
      <c r="ZQ11" s="271">
        <v>1580</v>
      </c>
      <c r="ZR11" s="271">
        <v>34350</v>
      </c>
      <c r="ZS11" s="271">
        <v>50602.84</v>
      </c>
      <c r="ZT11" s="271">
        <v>17039</v>
      </c>
      <c r="ZU11" s="271">
        <v>42231.75</v>
      </c>
      <c r="ZV11" s="271">
        <v>106014.5</v>
      </c>
      <c r="ZW11" s="271">
        <v>177064.78</v>
      </c>
      <c r="ZX11" s="271">
        <v>5913.92</v>
      </c>
      <c r="ZY11" s="271">
        <v>5688</v>
      </c>
      <c r="ZZ11" s="271">
        <v>16825.2</v>
      </c>
      <c r="AAA11" s="271">
        <v>-1276</v>
      </c>
      <c r="AAB11" s="271">
        <v>671471.89</v>
      </c>
      <c r="AAC11" s="271">
        <v>77898</v>
      </c>
      <c r="AAD11" s="271">
        <v>5123.1000000000004</v>
      </c>
      <c r="AAE11" s="271">
        <v>131410</v>
      </c>
      <c r="AAF11" s="271">
        <v>245377</v>
      </c>
      <c r="AAG11" s="271">
        <v>62691</v>
      </c>
      <c r="AAH11" s="271">
        <v>97654.669999999955</v>
      </c>
      <c r="AAI11" s="271">
        <v>31546</v>
      </c>
      <c r="AAJ11" s="271">
        <v>167154</v>
      </c>
      <c r="AAK11" s="271">
        <v>14814</v>
      </c>
      <c r="AAL11" s="271">
        <v>25462</v>
      </c>
      <c r="AAM11" s="271">
        <v>5484</v>
      </c>
      <c r="AAN11" s="271">
        <v>10912</v>
      </c>
      <c r="AAO11" s="271">
        <v>629202.04</v>
      </c>
      <c r="AAP11" s="271">
        <v>29966.5</v>
      </c>
      <c r="AAQ11" s="271">
        <v>65511</v>
      </c>
      <c r="AAR11" s="271">
        <v>30748</v>
      </c>
      <c r="AAS11" s="271">
        <v>14246.5</v>
      </c>
      <c r="AAT11" s="271">
        <v>25007</v>
      </c>
      <c r="AAU11" s="271">
        <v>13440</v>
      </c>
      <c r="AAV11" s="271">
        <v>0</v>
      </c>
      <c r="AAW11" s="271">
        <v>95848</v>
      </c>
      <c r="AAX11" s="271">
        <v>160846.39000000001</v>
      </c>
      <c r="AAY11" s="271">
        <v>31153</v>
      </c>
      <c r="AAZ11" s="271">
        <v>142450</v>
      </c>
      <c r="ABA11" s="271">
        <v>29700</v>
      </c>
      <c r="ABB11" s="271">
        <v>4190</v>
      </c>
      <c r="ABC11" s="271">
        <v>11013.479999999996</v>
      </c>
      <c r="ABD11" s="271">
        <v>2000</v>
      </c>
      <c r="ABE11" s="271">
        <v>123762.35</v>
      </c>
      <c r="ABF11" s="271">
        <v>0</v>
      </c>
      <c r="ABG11" s="271">
        <v>0</v>
      </c>
      <c r="ABH11" s="271">
        <v>333002</v>
      </c>
      <c r="ABI11" s="271">
        <v>178718</v>
      </c>
      <c r="ABJ11" s="271">
        <v>45100</v>
      </c>
      <c r="ABK11" s="271">
        <v>600</v>
      </c>
      <c r="ABL11" s="271">
        <v>9200</v>
      </c>
      <c r="ABM11" s="271">
        <v>8300</v>
      </c>
      <c r="ABN11" s="271">
        <v>6208</v>
      </c>
      <c r="ABO11" s="271">
        <v>4941537.7799999993</v>
      </c>
      <c r="ABP11" s="271">
        <v>1208669.54</v>
      </c>
      <c r="ABQ11" s="271">
        <v>206809.5</v>
      </c>
      <c r="ABR11" s="271">
        <v>438937.55</v>
      </c>
      <c r="ABS11" s="271">
        <v>976299</v>
      </c>
      <c r="ABT11" s="271">
        <v>532578</v>
      </c>
      <c r="ABU11" s="271">
        <v>1880884.6800000002</v>
      </c>
      <c r="ABV11" s="271">
        <v>766712.14</v>
      </c>
      <c r="ABW11" s="271">
        <v>104443.4</v>
      </c>
      <c r="ABX11" s="271">
        <v>42703256.729999997</v>
      </c>
      <c r="ABY11" s="271">
        <v>21642912.059999999</v>
      </c>
      <c r="ABZ11" s="271">
        <v>7013580.5899999999</v>
      </c>
      <c r="ACA11" s="271">
        <v>813329.7</v>
      </c>
      <c r="ACB11" s="271">
        <v>2855645.35</v>
      </c>
      <c r="ACC11" s="271">
        <v>5692298.4199999999</v>
      </c>
      <c r="ACD11" s="271">
        <v>1525501.9900000002</v>
      </c>
      <c r="ACE11" s="271">
        <v>1669709.65</v>
      </c>
      <c r="ACF11" s="271">
        <v>1318276.3</v>
      </c>
      <c r="ACG11" s="271">
        <v>2347645.81</v>
      </c>
      <c r="ACH11" s="271">
        <v>1276483.5</v>
      </c>
      <c r="ACI11" s="271">
        <v>4289036.9899999993</v>
      </c>
      <c r="ACJ11" s="271">
        <v>172244.5</v>
      </c>
      <c r="ACK11" s="271">
        <v>27065.7</v>
      </c>
      <c r="ACL11" s="271">
        <v>858027.8</v>
      </c>
      <c r="ACM11" s="271">
        <v>19500</v>
      </c>
      <c r="ACN11" s="271">
        <v>27699.75</v>
      </c>
      <c r="ACO11" s="271">
        <v>265497.87</v>
      </c>
      <c r="ACP11" s="271">
        <v>1463644.6400000001</v>
      </c>
      <c r="ACQ11" s="271">
        <v>1422270.6</v>
      </c>
      <c r="ACR11" s="271">
        <v>278491</v>
      </c>
      <c r="ACS11" s="271">
        <v>1313104.95</v>
      </c>
      <c r="ACT11" s="271">
        <v>132303</v>
      </c>
      <c r="ACU11" s="271">
        <v>23700</v>
      </c>
      <c r="ACV11" s="271">
        <v>5142725.71</v>
      </c>
      <c r="ACW11" s="271">
        <v>4984918.4499999993</v>
      </c>
      <c r="ACX11" s="271">
        <v>496940.05000000005</v>
      </c>
      <c r="ACY11" s="271">
        <v>64327</v>
      </c>
      <c r="ACZ11" s="271">
        <v>96574</v>
      </c>
      <c r="ADA11" s="271">
        <v>28721</v>
      </c>
      <c r="ADB11" s="271">
        <v>0</v>
      </c>
      <c r="ADC11" s="271">
        <v>0</v>
      </c>
      <c r="ADD11" s="271">
        <v>0</v>
      </c>
      <c r="ADE11" s="271">
        <v>0</v>
      </c>
      <c r="ADF11" s="271">
        <v>8697587.5999999996</v>
      </c>
      <c r="ADG11" s="271">
        <v>13636757.299999999</v>
      </c>
      <c r="ADH11" s="271">
        <v>1053702.8799999999</v>
      </c>
      <c r="ADI11" s="271">
        <v>800698.19</v>
      </c>
      <c r="ADJ11" s="271">
        <v>5759745.2300000004</v>
      </c>
      <c r="ADK11" s="271">
        <v>1097703</v>
      </c>
      <c r="ADL11" s="271">
        <v>3712998.93</v>
      </c>
      <c r="ADM11" s="271">
        <v>794958.16999999993</v>
      </c>
      <c r="ADN11" s="271">
        <v>1398745.64</v>
      </c>
      <c r="ADO11" s="271">
        <v>33227204.82</v>
      </c>
      <c r="ADP11" s="271">
        <v>5959441.2199999997</v>
      </c>
      <c r="ADQ11" s="271">
        <v>4832717.3599999994</v>
      </c>
      <c r="ADR11" s="271">
        <v>136521.07</v>
      </c>
      <c r="ADS11" s="271">
        <v>113879546.24000001</v>
      </c>
      <c r="ADT11" s="271">
        <v>2540140.0500000003</v>
      </c>
      <c r="ADU11" s="271">
        <v>1849099.03</v>
      </c>
      <c r="ADV11" s="271">
        <v>3790326.1</v>
      </c>
      <c r="ADW11" s="271">
        <v>510706</v>
      </c>
      <c r="ADX11" s="271">
        <v>466325.82000000012</v>
      </c>
      <c r="ADY11" s="271">
        <v>48734970.170000002</v>
      </c>
      <c r="ADZ11" s="271">
        <v>13127465.180000002</v>
      </c>
      <c r="AEA11" s="271">
        <v>6053375.75</v>
      </c>
      <c r="AEB11" s="271">
        <v>3264415.23</v>
      </c>
      <c r="AEC11" s="271">
        <v>5123617.82</v>
      </c>
      <c r="AED11" s="271">
        <v>6814666.9800000004</v>
      </c>
      <c r="AEE11" s="271">
        <v>1956040.96</v>
      </c>
      <c r="AEF11" s="271">
        <v>1106305.45</v>
      </c>
      <c r="AEG11" s="271">
        <v>790489.38</v>
      </c>
      <c r="AEH11" s="271">
        <v>1216479.48</v>
      </c>
      <c r="AEI11" s="271">
        <v>3737586.33</v>
      </c>
      <c r="AEJ11" s="271">
        <v>755260.5</v>
      </c>
      <c r="AEK11" s="271">
        <v>929536.01</v>
      </c>
      <c r="AEL11" s="271">
        <v>2278904.39</v>
      </c>
      <c r="AEM11" s="271">
        <v>860918.74</v>
      </c>
      <c r="AEN11" s="271">
        <v>2324813.7800000003</v>
      </c>
      <c r="AEO11" s="271">
        <v>741662.94000000006</v>
      </c>
      <c r="AEP11" s="271">
        <v>1808528.74</v>
      </c>
      <c r="AEQ11" s="271">
        <v>2204512.9</v>
      </c>
      <c r="AER11" s="271">
        <v>24677695.199999999</v>
      </c>
      <c r="AES11" s="271">
        <v>1645854.65</v>
      </c>
      <c r="AET11" s="271">
        <v>1347740.27</v>
      </c>
      <c r="AEU11" s="271">
        <v>219603.04</v>
      </c>
      <c r="AEV11" s="271">
        <v>299874.99</v>
      </c>
      <c r="AEW11" s="271">
        <v>438290</v>
      </c>
      <c r="AEX11" s="271">
        <v>896595</v>
      </c>
      <c r="AEY11" s="271">
        <v>170880</v>
      </c>
      <c r="AEZ11" s="271">
        <v>273820.90000000002</v>
      </c>
      <c r="AFA11" s="271">
        <v>105031.02</v>
      </c>
      <c r="AFB11" s="271">
        <v>26174</v>
      </c>
      <c r="AFC11" s="271">
        <v>875297.94</v>
      </c>
      <c r="AFD11" s="271">
        <v>758261.98999999987</v>
      </c>
      <c r="AFE11" s="271">
        <v>233303.51</v>
      </c>
      <c r="AFF11" s="271">
        <v>21058.720000000001</v>
      </c>
      <c r="AFG11" s="271">
        <v>9016.6200000000008</v>
      </c>
      <c r="AFH11" s="271">
        <v>231271.13</v>
      </c>
      <c r="AFI11" s="271">
        <v>412</v>
      </c>
      <c r="AFJ11" s="271">
        <v>53649.39</v>
      </c>
      <c r="AFK11" s="271">
        <v>2250.79</v>
      </c>
      <c r="AFL11" s="271">
        <v>54359</v>
      </c>
      <c r="AFM11" s="271">
        <v>5600</v>
      </c>
      <c r="AFN11" s="271">
        <v>0</v>
      </c>
      <c r="AFO11" s="271">
        <v>4267</v>
      </c>
      <c r="AFP11" s="271">
        <v>9856051.9900000002</v>
      </c>
      <c r="AFQ11" s="271">
        <v>157125.58000000002</v>
      </c>
      <c r="AFR11" s="271">
        <v>183250</v>
      </c>
      <c r="AFS11" s="271">
        <v>164761.5</v>
      </c>
      <c r="AFT11" s="271">
        <v>0</v>
      </c>
      <c r="AFU11" s="271">
        <v>155</v>
      </c>
      <c r="AFV11" s="271">
        <v>0</v>
      </c>
      <c r="AFW11" s="271">
        <v>3635818</v>
      </c>
      <c r="AFX11" s="271">
        <v>16998</v>
      </c>
      <c r="AFY11" s="271">
        <v>0</v>
      </c>
      <c r="AFZ11" s="271">
        <v>94522.28</v>
      </c>
      <c r="AGA11" s="271">
        <v>0</v>
      </c>
      <c r="AGB11" s="271">
        <v>431462.32</v>
      </c>
      <c r="AGC11" s="271">
        <v>14863.18</v>
      </c>
      <c r="AGD11" s="271">
        <v>20320.03</v>
      </c>
      <c r="AGE11" s="271">
        <v>21643.58</v>
      </c>
      <c r="AGF11" s="271">
        <v>47543.1</v>
      </c>
      <c r="AGG11" s="271">
        <v>12808.6</v>
      </c>
      <c r="AGH11" s="271">
        <v>5297.27</v>
      </c>
      <c r="AGI11" s="271">
        <v>28692.11</v>
      </c>
      <c r="AGJ11" s="271">
        <v>39922.57</v>
      </c>
      <c r="AGK11" s="271">
        <v>102408.43</v>
      </c>
      <c r="AGL11" s="271">
        <v>62938.54</v>
      </c>
      <c r="AGM11" s="271">
        <v>925382.37000000011</v>
      </c>
      <c r="AGN11" s="271">
        <v>155218.07</v>
      </c>
      <c r="AGO11" s="271">
        <v>15056.09</v>
      </c>
      <c r="AGP11" s="271">
        <v>31896</v>
      </c>
      <c r="AGQ11" s="271">
        <v>46132</v>
      </c>
      <c r="AGR11" s="271">
        <v>5565</v>
      </c>
      <c r="AGS11" s="271">
        <v>80387</v>
      </c>
      <c r="AGT11" s="271">
        <v>0</v>
      </c>
      <c r="AGU11" s="271">
        <v>16338529.129999999</v>
      </c>
      <c r="AGV11" s="271">
        <v>4923748.2200000007</v>
      </c>
      <c r="AGW11" s="271">
        <v>9099</v>
      </c>
      <c r="AGX11" s="271">
        <v>918307.4</v>
      </c>
      <c r="AGY11" s="271">
        <v>2181277.7800000003</v>
      </c>
      <c r="AGZ11" s="271">
        <v>684041.68</v>
      </c>
      <c r="AHA11" s="271">
        <v>159306.65</v>
      </c>
      <c r="AHB11" s="271">
        <v>89785</v>
      </c>
      <c r="AHC11" s="271">
        <v>0</v>
      </c>
      <c r="AHD11" s="271">
        <v>1166632.8899999999</v>
      </c>
      <c r="AHE11" s="271">
        <v>1724850.2</v>
      </c>
      <c r="AHF11" s="271">
        <v>102131.15</v>
      </c>
      <c r="AHG11" s="271">
        <v>155924</v>
      </c>
      <c r="AHH11" s="271">
        <v>699430.34</v>
      </c>
      <c r="AHI11" s="271">
        <v>748696.32000000007</v>
      </c>
      <c r="AHJ11" s="271">
        <v>575299.71</v>
      </c>
      <c r="AHK11" s="271">
        <v>479445.3</v>
      </c>
      <c r="AHL11" s="271">
        <v>1122425.07</v>
      </c>
      <c r="AHM11" s="271">
        <v>24539</v>
      </c>
      <c r="AHN11" s="271">
        <v>56727.9</v>
      </c>
      <c r="AHO11" s="271">
        <v>159110</v>
      </c>
      <c r="AHP11" s="271">
        <v>893915</v>
      </c>
      <c r="AHQ11" s="294">
        <v>122727.45999999999</v>
      </c>
      <c r="AHR11" s="331">
        <v>85435</v>
      </c>
      <c r="AHS11" s="294">
        <f t="shared" si="0"/>
        <v>2298514468.1199989</v>
      </c>
      <c r="AHT11" s="269" t="b">
        <f t="shared" si="1"/>
        <v>1</v>
      </c>
      <c r="AHU11" s="269" t="s">
        <v>10</v>
      </c>
    </row>
    <row r="12" spans="2:905" ht="23.4" customHeight="1" x14ac:dyDescent="0.7">
      <c r="B12" s="268" t="s">
        <v>12</v>
      </c>
      <c r="C12" s="269" t="s">
        <v>13</v>
      </c>
      <c r="D12" s="271">
        <v>590116464.31000006</v>
      </c>
      <c r="E12" s="271">
        <v>15302765.619999999</v>
      </c>
      <c r="F12" s="271">
        <v>21633439.199999999</v>
      </c>
      <c r="G12" s="271">
        <v>2446800.84</v>
      </c>
      <c r="H12" s="271">
        <v>58035117.390000001</v>
      </c>
      <c r="I12" s="271">
        <v>31314738.830000002</v>
      </c>
      <c r="J12" s="271">
        <v>113035312.36</v>
      </c>
      <c r="K12" s="271">
        <v>17151166.09</v>
      </c>
      <c r="L12" s="271">
        <v>12855341.17</v>
      </c>
      <c r="M12" s="271">
        <v>9275688.9299999978</v>
      </c>
      <c r="N12" s="271">
        <v>10671447.040000003</v>
      </c>
      <c r="O12" s="271">
        <v>6480580.21</v>
      </c>
      <c r="P12" s="271">
        <v>20566440.310000002</v>
      </c>
      <c r="Q12" s="271">
        <v>3574746.98</v>
      </c>
      <c r="R12" s="271">
        <v>2932616.5300000003</v>
      </c>
      <c r="S12" s="271">
        <v>18364113.039999999</v>
      </c>
      <c r="T12" s="271">
        <v>29724141.130000003</v>
      </c>
      <c r="U12" s="271">
        <v>2145929.63</v>
      </c>
      <c r="V12" s="271">
        <v>397394566.92999995</v>
      </c>
      <c r="W12" s="271">
        <v>63642150.68</v>
      </c>
      <c r="X12" s="271">
        <v>4966844.8699999992</v>
      </c>
      <c r="Y12" s="271">
        <v>63123395.429999992</v>
      </c>
      <c r="Z12" s="271">
        <v>15227271.390000001</v>
      </c>
      <c r="AA12" s="271">
        <v>23314699.829999998</v>
      </c>
      <c r="AB12" s="271">
        <v>6525457.7000000002</v>
      </c>
      <c r="AC12" s="271">
        <v>142422251.53</v>
      </c>
      <c r="AD12" s="271">
        <v>42681789.219999999</v>
      </c>
      <c r="AE12" s="271">
        <v>6110511.0800000001</v>
      </c>
      <c r="AF12" s="271">
        <v>53579905.649999999</v>
      </c>
      <c r="AG12" s="271">
        <v>12072501.26</v>
      </c>
      <c r="AH12" s="271">
        <v>151489989.99000001</v>
      </c>
      <c r="AI12" s="271">
        <v>54237339.530000001</v>
      </c>
      <c r="AJ12" s="271">
        <v>18822680.190000001</v>
      </c>
      <c r="AK12" s="271">
        <v>6739322.169999999</v>
      </c>
      <c r="AL12" s="271">
        <v>4903339.7299999995</v>
      </c>
      <c r="AM12" s="271">
        <v>22036461.489999998</v>
      </c>
      <c r="AN12" s="271">
        <v>25496005.759999998</v>
      </c>
      <c r="AO12" s="271">
        <v>27118957.589999996</v>
      </c>
      <c r="AP12" s="271">
        <v>6767538.4000000004</v>
      </c>
      <c r="AQ12" s="271">
        <v>6075527.0600000005</v>
      </c>
      <c r="AR12" s="271">
        <v>3572337.1800000006</v>
      </c>
      <c r="AS12" s="271">
        <v>2515057.4899999998</v>
      </c>
      <c r="AT12" s="271">
        <v>199290793.84000006</v>
      </c>
      <c r="AU12" s="271">
        <v>1613302.74</v>
      </c>
      <c r="AV12" s="271">
        <v>2287693.0500000003</v>
      </c>
      <c r="AW12" s="271">
        <v>3847344.9899999998</v>
      </c>
      <c r="AX12" s="271">
        <v>9924829.3399999999</v>
      </c>
      <c r="AY12" s="271">
        <v>13979819.330000002</v>
      </c>
      <c r="AZ12" s="271">
        <v>2981514.15</v>
      </c>
      <c r="BA12" s="271">
        <v>3710845.44</v>
      </c>
      <c r="BB12" s="271">
        <v>1574117.99</v>
      </c>
      <c r="BC12" s="271">
        <v>2222519.5499999993</v>
      </c>
      <c r="BD12" s="271">
        <v>2163278.9500000002</v>
      </c>
      <c r="BE12" s="271">
        <v>2365249.12</v>
      </c>
      <c r="BF12" s="271">
        <v>31658746.400000002</v>
      </c>
      <c r="BG12" s="271">
        <v>1063902.05</v>
      </c>
      <c r="BH12" s="271">
        <v>1164452.5900000001</v>
      </c>
      <c r="BI12" s="271">
        <v>186251278.63999999</v>
      </c>
      <c r="BJ12" s="271">
        <v>65465694.619999997</v>
      </c>
      <c r="BK12" s="271">
        <v>17652965.079999998</v>
      </c>
      <c r="BL12" s="271">
        <v>5786518.6100000003</v>
      </c>
      <c r="BM12" s="271">
        <v>13726341.440000001</v>
      </c>
      <c r="BN12" s="271">
        <v>8854586.129999999</v>
      </c>
      <c r="BO12" s="271">
        <v>9394736.9499999993</v>
      </c>
      <c r="BP12" s="271">
        <v>2696965.25</v>
      </c>
      <c r="BQ12" s="271">
        <v>1021137.8300000001</v>
      </c>
      <c r="BR12" s="271">
        <v>141101776.47999999</v>
      </c>
      <c r="BS12" s="271">
        <v>4429696.04</v>
      </c>
      <c r="BT12" s="271">
        <v>5886524.79</v>
      </c>
      <c r="BU12" s="271">
        <v>7254331.5499999998</v>
      </c>
      <c r="BV12" s="271">
        <v>4333706.2700000005</v>
      </c>
      <c r="BW12" s="271">
        <v>3339587.2399999998</v>
      </c>
      <c r="BX12" s="271">
        <v>2321232.25</v>
      </c>
      <c r="BY12" s="271">
        <v>4348578.66</v>
      </c>
      <c r="BZ12" s="271">
        <v>115623727.31000002</v>
      </c>
      <c r="CA12" s="271">
        <v>6860334.5600000005</v>
      </c>
      <c r="CB12" s="271">
        <v>22919325.07</v>
      </c>
      <c r="CC12" s="271">
        <v>24513063.59</v>
      </c>
      <c r="CD12" s="271">
        <v>2007759.08</v>
      </c>
      <c r="CE12" s="271">
        <v>5624748.6699999999</v>
      </c>
      <c r="CF12" s="271">
        <v>12307534.030000001</v>
      </c>
      <c r="CG12" s="271">
        <v>321112130.61000001</v>
      </c>
      <c r="CH12" s="271">
        <v>6465596.2700000005</v>
      </c>
      <c r="CI12" s="271">
        <v>42752341.980000004</v>
      </c>
      <c r="CJ12" s="271">
        <v>2008882</v>
      </c>
      <c r="CK12" s="271">
        <v>5609063.5600000005</v>
      </c>
      <c r="CL12" s="271">
        <v>2524437.1</v>
      </c>
      <c r="CM12" s="271">
        <v>6307874.5300000012</v>
      </c>
      <c r="CN12" s="271">
        <v>11253588.460000001</v>
      </c>
      <c r="CO12" s="271">
        <v>1053233.8400000001</v>
      </c>
      <c r="CP12" s="271">
        <v>2707262.6</v>
      </c>
      <c r="CQ12" s="271">
        <v>1889079.05</v>
      </c>
      <c r="CR12" s="271">
        <v>6326024.8399999999</v>
      </c>
      <c r="CS12" s="271">
        <v>2324320.35</v>
      </c>
      <c r="CT12" s="271">
        <v>217942987.41999999</v>
      </c>
      <c r="CU12" s="271">
        <v>6378333.2199999997</v>
      </c>
      <c r="CV12" s="271">
        <v>5843671.3700000001</v>
      </c>
      <c r="CW12" s="271">
        <v>10445972.58</v>
      </c>
      <c r="CX12" s="271">
        <v>1492862.02</v>
      </c>
      <c r="CY12" s="271">
        <v>15406739.880000001</v>
      </c>
      <c r="CZ12" s="271">
        <v>5736784.6199999992</v>
      </c>
      <c r="DA12" s="271">
        <v>6314907.7799999993</v>
      </c>
      <c r="DB12" s="271">
        <v>137656636.73000005</v>
      </c>
      <c r="DC12" s="271">
        <v>385873003.56</v>
      </c>
      <c r="DD12" s="271">
        <v>29019147.519999996</v>
      </c>
      <c r="DE12" s="271">
        <v>10946663.770000001</v>
      </c>
      <c r="DF12" s="271">
        <v>52213172.700000003</v>
      </c>
      <c r="DG12" s="271">
        <v>51705064.920000002</v>
      </c>
      <c r="DH12" s="271">
        <v>115624181.08000001</v>
      </c>
      <c r="DI12" s="271">
        <v>77234496.11999999</v>
      </c>
      <c r="DJ12" s="271">
        <v>16082379.57</v>
      </c>
      <c r="DK12" s="271">
        <v>489537767.56999999</v>
      </c>
      <c r="DL12" s="271">
        <v>6248478.8699999992</v>
      </c>
      <c r="DM12" s="271">
        <v>13344620.649999999</v>
      </c>
      <c r="DN12" s="271">
        <v>7615389.9900000002</v>
      </c>
      <c r="DO12" s="271">
        <v>10966273.350000001</v>
      </c>
      <c r="DP12" s="271">
        <v>10658908.359999999</v>
      </c>
      <c r="DQ12" s="271">
        <v>32519493.670000002</v>
      </c>
      <c r="DR12" s="271">
        <v>6327589.5499999998</v>
      </c>
      <c r="DS12" s="271">
        <v>10479197.07</v>
      </c>
      <c r="DT12" s="271">
        <v>113719278.85000002</v>
      </c>
      <c r="DU12" s="271">
        <v>9616159.2300000004</v>
      </c>
      <c r="DV12" s="271">
        <v>67816033.809999987</v>
      </c>
      <c r="DW12" s="271">
        <v>56103917.379999988</v>
      </c>
      <c r="DX12" s="271">
        <v>27071698</v>
      </c>
      <c r="DY12" s="271">
        <v>7873108.1699999999</v>
      </c>
      <c r="DZ12" s="271">
        <v>41034718.769999996</v>
      </c>
      <c r="EA12" s="271">
        <v>3205486.48</v>
      </c>
      <c r="EB12" s="271">
        <v>14197047.08</v>
      </c>
      <c r="EC12" s="271">
        <v>13097443.35</v>
      </c>
      <c r="ED12" s="271">
        <v>21358197.049999997</v>
      </c>
      <c r="EE12" s="271">
        <v>84945013.559999987</v>
      </c>
      <c r="EF12" s="271">
        <v>128882861.27</v>
      </c>
      <c r="EG12" s="271">
        <v>3418433.53</v>
      </c>
      <c r="EH12" s="271">
        <v>6667887.8899999997</v>
      </c>
      <c r="EI12" s="271">
        <v>3606999.54</v>
      </c>
      <c r="EJ12" s="271">
        <v>15026310.84</v>
      </c>
      <c r="EK12" s="271">
        <v>43473502.130000003</v>
      </c>
      <c r="EL12" s="271">
        <v>2367104.69</v>
      </c>
      <c r="EM12" s="271">
        <v>2841957.8200000003</v>
      </c>
      <c r="EN12" s="271">
        <v>216978828.94</v>
      </c>
      <c r="EO12" s="271">
        <v>25707297.169999998</v>
      </c>
      <c r="EP12" s="271">
        <v>13733101.710000001</v>
      </c>
      <c r="EQ12" s="271">
        <v>5426333.330000001</v>
      </c>
      <c r="ER12" s="271">
        <v>4559813.74</v>
      </c>
      <c r="ES12" s="271">
        <v>3697158.01</v>
      </c>
      <c r="ET12" s="271">
        <v>30794842.530000001</v>
      </c>
      <c r="EU12" s="271">
        <v>25826298.789999999</v>
      </c>
      <c r="EV12" s="271">
        <v>20674152.640000001</v>
      </c>
      <c r="EW12" s="271">
        <v>351553574.92000008</v>
      </c>
      <c r="EX12" s="271">
        <v>1437336.38</v>
      </c>
      <c r="EY12" s="271">
        <v>15022714.450000001</v>
      </c>
      <c r="EZ12" s="271">
        <v>5874796.0699999994</v>
      </c>
      <c r="FA12" s="271">
        <v>11943635.6</v>
      </c>
      <c r="FB12" s="271">
        <v>14331954.07</v>
      </c>
      <c r="FC12" s="271">
        <v>15306649.210000001</v>
      </c>
      <c r="FD12" s="271">
        <v>3904505.13</v>
      </c>
      <c r="FE12" s="271">
        <v>11323250.209999999</v>
      </c>
      <c r="FF12" s="271">
        <v>9803742.3900000006</v>
      </c>
      <c r="FG12" s="271">
        <v>3226800.0700000003</v>
      </c>
      <c r="FH12" s="271">
        <v>20523204.309999999</v>
      </c>
      <c r="FI12" s="271">
        <v>52990308.649999999</v>
      </c>
      <c r="FJ12" s="271">
        <v>3328156.39</v>
      </c>
      <c r="FK12" s="271">
        <v>3426136.1100000003</v>
      </c>
      <c r="FL12" s="271">
        <v>6165504.0499999998</v>
      </c>
      <c r="FM12" s="271">
        <v>22842394.27</v>
      </c>
      <c r="FN12" s="271">
        <v>4602252.82</v>
      </c>
      <c r="FO12" s="271">
        <v>2355163.88</v>
      </c>
      <c r="FP12" s="271">
        <v>447567</v>
      </c>
      <c r="FQ12" s="271">
        <v>207119998.69</v>
      </c>
      <c r="FR12" s="271">
        <v>8159071</v>
      </c>
      <c r="FS12" s="271">
        <v>27224241.359999999</v>
      </c>
      <c r="FT12" s="271">
        <v>24856115.770000003</v>
      </c>
      <c r="FU12" s="271">
        <v>7835843.3200000003</v>
      </c>
      <c r="FV12" s="271">
        <v>16064392.85</v>
      </c>
      <c r="FW12" s="271">
        <v>11329757.32</v>
      </c>
      <c r="FX12" s="271">
        <v>7105204.0099999998</v>
      </c>
      <c r="FY12" s="271">
        <v>7909746.2199999997</v>
      </c>
      <c r="FZ12" s="271">
        <v>3788218.83</v>
      </c>
      <c r="GA12" s="271">
        <v>10757389.73</v>
      </c>
      <c r="GB12" s="271">
        <v>5159496.7699999996</v>
      </c>
      <c r="GC12" s="271">
        <v>2470599.37</v>
      </c>
      <c r="GD12" s="271">
        <v>2064163</v>
      </c>
      <c r="GE12" s="271">
        <v>105332705.32999998</v>
      </c>
      <c r="GF12" s="271">
        <v>26065993.079999998</v>
      </c>
      <c r="GG12" s="271">
        <v>9304390.5600000005</v>
      </c>
      <c r="GH12" s="271">
        <v>10826933.699999999</v>
      </c>
      <c r="GI12" s="271">
        <v>15496831.640000001</v>
      </c>
      <c r="GJ12" s="271">
        <v>7309829.2499999991</v>
      </c>
      <c r="GK12" s="271">
        <v>4756605.34</v>
      </c>
      <c r="GL12" s="271">
        <v>22234038.229999997</v>
      </c>
      <c r="GM12" s="271">
        <v>11091344.119999999</v>
      </c>
      <c r="GN12" s="271">
        <v>2750614.34</v>
      </c>
      <c r="GO12" s="271">
        <v>3692626.49</v>
      </c>
      <c r="GP12" s="271">
        <v>1500384.5</v>
      </c>
      <c r="GQ12" s="271">
        <v>124818537.16000001</v>
      </c>
      <c r="GR12" s="271">
        <v>13879335.610000001</v>
      </c>
      <c r="GS12" s="271">
        <v>3702625.73</v>
      </c>
      <c r="GT12" s="271">
        <v>17370998.710000001</v>
      </c>
      <c r="GU12" s="271">
        <v>546682.21</v>
      </c>
      <c r="GV12" s="271">
        <v>4726486.1800000006</v>
      </c>
      <c r="GW12" s="271">
        <v>9085009.9699999988</v>
      </c>
      <c r="GX12" s="271">
        <v>2158826.7899999996</v>
      </c>
      <c r="GY12" s="271">
        <v>154997705.94</v>
      </c>
      <c r="GZ12" s="271">
        <v>1971154.0899999999</v>
      </c>
      <c r="HA12" s="271">
        <v>61949349.149999999</v>
      </c>
      <c r="HB12" s="271">
        <v>6447383.1100000003</v>
      </c>
      <c r="HC12" s="271">
        <v>500657055.08000004</v>
      </c>
      <c r="HD12" s="271">
        <v>110883748.71000001</v>
      </c>
      <c r="HE12" s="271">
        <v>59046281.420000009</v>
      </c>
      <c r="HF12" s="271">
        <v>146914948.06</v>
      </c>
      <c r="HG12" s="271">
        <v>33259677.579999994</v>
      </c>
      <c r="HH12" s="271">
        <v>70524494.739999995</v>
      </c>
      <c r="HI12" s="271">
        <v>50639350.489999995</v>
      </c>
      <c r="HJ12" s="271">
        <v>378603108.92000008</v>
      </c>
      <c r="HK12" s="271">
        <v>22624874.48</v>
      </c>
      <c r="HL12" s="271">
        <v>53830851.170000002</v>
      </c>
      <c r="HM12" s="271">
        <v>14757264.419999998</v>
      </c>
      <c r="HN12" s="271">
        <v>27472044.210000001</v>
      </c>
      <c r="HO12" s="271">
        <v>83634818.290000007</v>
      </c>
      <c r="HP12" s="271">
        <v>17587284.48</v>
      </c>
      <c r="HQ12" s="271">
        <v>74055117.800000012</v>
      </c>
      <c r="HR12" s="271">
        <v>308484517.70000005</v>
      </c>
      <c r="HS12" s="271">
        <v>56131057.600000001</v>
      </c>
      <c r="HT12" s="271">
        <v>4993587.3899999997</v>
      </c>
      <c r="HU12" s="271">
        <v>13626392.84</v>
      </c>
      <c r="HV12" s="271">
        <v>6498834.1400000006</v>
      </c>
      <c r="HW12" s="271">
        <v>11430859.619999999</v>
      </c>
      <c r="HX12" s="271">
        <v>25264304.559999999</v>
      </c>
      <c r="HY12" s="271">
        <v>6587830.25</v>
      </c>
      <c r="HZ12" s="271">
        <v>59908465.169999994</v>
      </c>
      <c r="IA12" s="271">
        <v>5735102.8700000001</v>
      </c>
      <c r="IB12" s="271">
        <v>8973890.7599999979</v>
      </c>
      <c r="IC12" s="271">
        <v>81401231.189999998</v>
      </c>
      <c r="ID12" s="271">
        <v>6707460.5599999996</v>
      </c>
      <c r="IE12" s="271">
        <v>99622712.50999999</v>
      </c>
      <c r="IF12" s="271">
        <v>3508518.76</v>
      </c>
      <c r="IG12" s="271">
        <v>3542767.7</v>
      </c>
      <c r="IH12" s="271">
        <v>114626227.59</v>
      </c>
      <c r="II12" s="271">
        <v>21971319.43</v>
      </c>
      <c r="IJ12" s="271">
        <v>19731104.060000002</v>
      </c>
      <c r="IK12" s="271">
        <v>20216238.090000004</v>
      </c>
      <c r="IL12" s="271">
        <v>28946095.969999999</v>
      </c>
      <c r="IM12" s="271">
        <v>69038255.040000007</v>
      </c>
      <c r="IN12" s="271">
        <v>6336784.6500000004</v>
      </c>
      <c r="IO12" s="271">
        <v>3465676.89</v>
      </c>
      <c r="IP12" s="271">
        <v>20021289.849999998</v>
      </c>
      <c r="IQ12" s="271">
        <v>7226496.79</v>
      </c>
      <c r="IR12" s="271">
        <v>8135190.9799999995</v>
      </c>
      <c r="IS12" s="271">
        <v>353513932.35000002</v>
      </c>
      <c r="IT12" s="271">
        <v>83931004.400000006</v>
      </c>
      <c r="IU12" s="271">
        <v>69744864.479999989</v>
      </c>
      <c r="IV12" s="271">
        <v>20747158.25</v>
      </c>
      <c r="IW12" s="271">
        <v>8611732.2699999996</v>
      </c>
      <c r="IX12" s="271">
        <v>3532184.41</v>
      </c>
      <c r="IY12" s="271">
        <v>3318873.88</v>
      </c>
      <c r="IZ12" s="271">
        <v>7784233.75</v>
      </c>
      <c r="JA12" s="271">
        <v>18938282.729999997</v>
      </c>
      <c r="JB12" s="271">
        <v>6065527.5700000003</v>
      </c>
      <c r="JC12" s="271">
        <v>6488927</v>
      </c>
      <c r="JD12" s="271">
        <v>4782856.99</v>
      </c>
      <c r="JE12" s="271">
        <v>166464196.59999999</v>
      </c>
      <c r="JF12" s="271">
        <v>42624692.82</v>
      </c>
      <c r="JG12" s="271">
        <v>5391195.3399999999</v>
      </c>
      <c r="JH12" s="271">
        <v>2695110.4</v>
      </c>
      <c r="JI12" s="271">
        <v>5691505.4300000006</v>
      </c>
      <c r="JJ12" s="271">
        <v>11031061.949999999</v>
      </c>
      <c r="JK12" s="271">
        <v>256744982.42000002</v>
      </c>
      <c r="JL12" s="271">
        <v>174648747.55999997</v>
      </c>
      <c r="JM12" s="271">
        <v>63053445.960000001</v>
      </c>
      <c r="JN12" s="271">
        <v>112754673.45</v>
      </c>
      <c r="JO12" s="271">
        <v>31530227.489999998</v>
      </c>
      <c r="JP12" s="271">
        <v>12366814.73</v>
      </c>
      <c r="JQ12" s="271">
        <v>20015806.59</v>
      </c>
      <c r="JR12" s="271">
        <v>386765362.50999999</v>
      </c>
      <c r="JS12" s="271">
        <v>280144979.89999998</v>
      </c>
      <c r="JT12" s="271">
        <v>21257243.060000002</v>
      </c>
      <c r="JU12" s="271">
        <v>12694661.489999998</v>
      </c>
      <c r="JV12" s="271">
        <v>60982561.470000006</v>
      </c>
      <c r="JW12" s="271">
        <v>9043854.3100000024</v>
      </c>
      <c r="JX12" s="271">
        <v>39962860.209999993</v>
      </c>
      <c r="JY12" s="271">
        <v>67552899.620000005</v>
      </c>
      <c r="JZ12" s="271">
        <v>71188171.519999996</v>
      </c>
      <c r="KA12" s="271">
        <v>13798920.989999998</v>
      </c>
      <c r="KB12" s="271">
        <v>10093541.490000002</v>
      </c>
      <c r="KC12" s="271">
        <v>13428014.91</v>
      </c>
      <c r="KD12" s="271">
        <v>4684123.37</v>
      </c>
      <c r="KE12" s="271">
        <v>2074170.5599999998</v>
      </c>
      <c r="KF12" s="271">
        <v>7344814.9899999993</v>
      </c>
      <c r="KG12" s="271">
        <v>12500217.560000001</v>
      </c>
      <c r="KH12" s="271">
        <v>1001825458.86</v>
      </c>
      <c r="KI12" s="271">
        <v>21590180.57</v>
      </c>
      <c r="KJ12" s="271">
        <v>15668705.43</v>
      </c>
      <c r="KK12" s="271">
        <v>42726488.260000005</v>
      </c>
      <c r="KL12" s="271">
        <v>11618893.869999999</v>
      </c>
      <c r="KM12" s="271">
        <v>11767461.75</v>
      </c>
      <c r="KN12" s="271">
        <v>106318494.86</v>
      </c>
      <c r="KO12" s="271">
        <v>25121723.530000001</v>
      </c>
      <c r="KP12" s="271">
        <v>31251620.659999996</v>
      </c>
      <c r="KQ12" s="271">
        <v>134837231.06</v>
      </c>
      <c r="KR12" s="271">
        <v>20094992.759999998</v>
      </c>
      <c r="KS12" s="271">
        <v>34183415.719999999</v>
      </c>
      <c r="KT12" s="271">
        <v>65572181.980000004</v>
      </c>
      <c r="KU12" s="271">
        <v>31069173.020000003</v>
      </c>
      <c r="KV12" s="271">
        <v>66947096.670000009</v>
      </c>
      <c r="KW12" s="271">
        <v>525032927.53000009</v>
      </c>
      <c r="KX12" s="271">
        <v>47933394.129999995</v>
      </c>
      <c r="KY12" s="271">
        <v>353648107.40000004</v>
      </c>
      <c r="KZ12" s="271">
        <v>25802171.850000001</v>
      </c>
      <c r="LA12" s="271">
        <v>31893735.93</v>
      </c>
      <c r="LB12" s="271">
        <v>100544321.79000001</v>
      </c>
      <c r="LC12" s="271">
        <v>70311136.070000008</v>
      </c>
      <c r="LD12" s="271">
        <v>80428289.379999995</v>
      </c>
      <c r="LE12" s="271">
        <v>20756795.300000001</v>
      </c>
      <c r="LF12" s="271">
        <v>15638208.48</v>
      </c>
      <c r="LG12" s="271">
        <v>290079618.95999998</v>
      </c>
      <c r="LH12" s="271">
        <v>110580469.92</v>
      </c>
      <c r="LI12" s="271">
        <v>258916500.91999999</v>
      </c>
      <c r="LJ12" s="271">
        <v>94720893.979999989</v>
      </c>
      <c r="LK12" s="271">
        <v>79676008.049999982</v>
      </c>
      <c r="LL12" s="271">
        <v>10566280.769999998</v>
      </c>
      <c r="LM12" s="271">
        <v>7097976.8899999997</v>
      </c>
      <c r="LN12" s="271">
        <v>28577831.340000004</v>
      </c>
      <c r="LO12" s="271">
        <v>13063784.18</v>
      </c>
      <c r="LP12" s="271">
        <v>38996925.329999998</v>
      </c>
      <c r="LQ12" s="271">
        <v>6393063.9999999991</v>
      </c>
      <c r="LR12" s="271">
        <v>271610001.00000006</v>
      </c>
      <c r="LS12" s="271">
        <v>12152615.870000001</v>
      </c>
      <c r="LT12" s="271">
        <v>9126299.5599999987</v>
      </c>
      <c r="LU12" s="271">
        <v>663427730.13999999</v>
      </c>
      <c r="LV12" s="271">
        <v>427845608.37</v>
      </c>
      <c r="LW12" s="271">
        <v>585969252.01999998</v>
      </c>
      <c r="LX12" s="271">
        <v>150015430.06</v>
      </c>
      <c r="LY12" s="271">
        <v>34209674.670000002</v>
      </c>
      <c r="LZ12" s="271">
        <v>70195251.530000001</v>
      </c>
      <c r="MA12" s="271">
        <v>50878178.950000003</v>
      </c>
      <c r="MB12" s="271">
        <v>21425946.709999997</v>
      </c>
      <c r="MC12" s="271">
        <v>46340141.939999998</v>
      </c>
      <c r="MD12" s="271">
        <v>55726690.989999995</v>
      </c>
      <c r="ME12" s="271">
        <v>65283458.689999998</v>
      </c>
      <c r="MF12" s="271">
        <v>18042329.899999999</v>
      </c>
      <c r="MG12" s="271">
        <v>451349213.63</v>
      </c>
      <c r="MH12" s="271">
        <v>11957438.209999999</v>
      </c>
      <c r="MI12" s="271">
        <v>4573074.7599999988</v>
      </c>
      <c r="MJ12" s="271">
        <v>5871430.4399999995</v>
      </c>
      <c r="MK12" s="271">
        <v>4416007.03</v>
      </c>
      <c r="ML12" s="271">
        <v>25497400.779999997</v>
      </c>
      <c r="MM12" s="271">
        <v>8036723.6699999999</v>
      </c>
      <c r="MN12" s="271">
        <v>7247202.0799999991</v>
      </c>
      <c r="MO12" s="271">
        <v>29050852.780000005</v>
      </c>
      <c r="MP12" s="271">
        <v>5226578.3600000003</v>
      </c>
      <c r="MQ12" s="271">
        <v>4453811.17</v>
      </c>
      <c r="MR12" s="271">
        <v>7828507.2599999998</v>
      </c>
      <c r="MS12" s="271">
        <v>540161213.5</v>
      </c>
      <c r="MT12" s="271">
        <v>6804942.3099999996</v>
      </c>
      <c r="MU12" s="271">
        <v>54025934.719999999</v>
      </c>
      <c r="MV12" s="271">
        <v>43344937.780000001</v>
      </c>
      <c r="MW12" s="271">
        <v>39051933.990000002</v>
      </c>
      <c r="MX12" s="271">
        <v>18680697.5</v>
      </c>
      <c r="MY12" s="271">
        <v>177804699.30000001</v>
      </c>
      <c r="MZ12" s="271">
        <v>31509272.240000002</v>
      </c>
      <c r="NA12" s="271">
        <v>26165041.640000001</v>
      </c>
      <c r="NB12" s="271">
        <v>10537003.970000001</v>
      </c>
      <c r="NC12" s="271">
        <v>3392151.75</v>
      </c>
      <c r="ND12" s="271">
        <v>751456973.86000001</v>
      </c>
      <c r="NE12" s="271">
        <v>146408025.23000002</v>
      </c>
      <c r="NF12" s="271">
        <v>11547076.85</v>
      </c>
      <c r="NG12" s="271">
        <v>293630248.76999998</v>
      </c>
      <c r="NH12" s="271">
        <v>11190083.330000002</v>
      </c>
      <c r="NI12" s="271">
        <v>30963471.810000002</v>
      </c>
      <c r="NJ12" s="271">
        <v>94337447.520000026</v>
      </c>
      <c r="NK12" s="271">
        <v>106542517.48</v>
      </c>
      <c r="NL12" s="271">
        <v>1376781.54</v>
      </c>
      <c r="NM12" s="271">
        <v>33157300.129999995</v>
      </c>
      <c r="NN12" s="271">
        <v>29615043.280000001</v>
      </c>
      <c r="NO12" s="271">
        <v>25359292.300000001</v>
      </c>
      <c r="NP12" s="271">
        <v>160793845.44999999</v>
      </c>
      <c r="NQ12" s="271">
        <v>17420290.840000004</v>
      </c>
      <c r="NR12" s="271">
        <v>10653310.08</v>
      </c>
      <c r="NS12" s="271">
        <v>10986475.810000001</v>
      </c>
      <c r="NT12" s="271">
        <v>8391378.1899999995</v>
      </c>
      <c r="NU12" s="271">
        <v>950613.47</v>
      </c>
      <c r="NV12" s="271">
        <v>8377470.8700000001</v>
      </c>
      <c r="NW12" s="271">
        <v>401530076.5999999</v>
      </c>
      <c r="NX12" s="271">
        <v>46743056.119999997</v>
      </c>
      <c r="NY12" s="271">
        <v>7976631.6700000009</v>
      </c>
      <c r="NZ12" s="271">
        <v>16732494.57</v>
      </c>
      <c r="OA12" s="271">
        <v>6277599.1099999994</v>
      </c>
      <c r="OB12" s="271">
        <v>35739466.390000001</v>
      </c>
      <c r="OC12" s="271">
        <v>3288940.07</v>
      </c>
      <c r="OD12" s="271">
        <v>689100587.45999992</v>
      </c>
      <c r="OE12" s="271">
        <v>62561049.50999999</v>
      </c>
      <c r="OF12" s="271">
        <v>14071205.740000002</v>
      </c>
      <c r="OG12" s="271">
        <v>106370160.98</v>
      </c>
      <c r="OH12" s="271">
        <v>21603657.720000003</v>
      </c>
      <c r="OI12" s="271">
        <v>51977146.840000004</v>
      </c>
      <c r="OJ12" s="271">
        <v>20834287.700000003</v>
      </c>
      <c r="OK12" s="271">
        <v>4913478.4000000004</v>
      </c>
      <c r="OL12" s="271">
        <v>30548004.02</v>
      </c>
      <c r="OM12" s="271">
        <v>1283530228.28</v>
      </c>
      <c r="ON12" s="271">
        <v>104437694.79000001</v>
      </c>
      <c r="OO12" s="271">
        <v>179985637.03999999</v>
      </c>
      <c r="OP12" s="271">
        <v>35575897.799999997</v>
      </c>
      <c r="OQ12" s="271">
        <v>44798644.030000001</v>
      </c>
      <c r="OR12" s="271">
        <v>20740416.379999999</v>
      </c>
      <c r="OS12" s="271">
        <v>242271697.68000001</v>
      </c>
      <c r="OT12" s="271">
        <v>9426339.4899999984</v>
      </c>
      <c r="OU12" s="271">
        <v>30879283.449999992</v>
      </c>
      <c r="OV12" s="271">
        <v>23154129.620000001</v>
      </c>
      <c r="OW12" s="271">
        <v>18357654.859999999</v>
      </c>
      <c r="OX12" s="271">
        <v>149891768.23000002</v>
      </c>
      <c r="OY12" s="271">
        <v>8377004.5700000003</v>
      </c>
      <c r="OZ12" s="271">
        <v>24338606.620000005</v>
      </c>
      <c r="PA12" s="271">
        <v>6003752.1000000006</v>
      </c>
      <c r="PB12" s="271">
        <v>205173958.77000001</v>
      </c>
      <c r="PC12" s="271">
        <v>3660086.1599999997</v>
      </c>
      <c r="PD12" s="271">
        <v>13632782.41</v>
      </c>
      <c r="PE12" s="271">
        <v>5139695.2300000004</v>
      </c>
      <c r="PF12" s="271">
        <v>5001882.9800000004</v>
      </c>
      <c r="PG12" s="271">
        <v>162480488.75999996</v>
      </c>
      <c r="PH12" s="271">
        <v>5010209.38</v>
      </c>
      <c r="PI12" s="271">
        <v>11747666.109999998</v>
      </c>
      <c r="PJ12" s="271">
        <v>13009505.549999999</v>
      </c>
      <c r="PK12" s="271">
        <v>12072776.15</v>
      </c>
      <c r="PL12" s="271">
        <v>7758727.9799999995</v>
      </c>
      <c r="PM12" s="271">
        <v>22008711.329999998</v>
      </c>
      <c r="PN12" s="271">
        <v>7280472.9699999997</v>
      </c>
      <c r="PO12" s="271">
        <v>28696631.490000002</v>
      </c>
      <c r="PP12" s="271">
        <v>2984568.13</v>
      </c>
      <c r="PQ12" s="271">
        <v>11213250.720000001</v>
      </c>
      <c r="PR12" s="271">
        <v>7901389.0899999999</v>
      </c>
      <c r="PS12" s="271">
        <v>27526060.149999999</v>
      </c>
      <c r="PT12" s="271">
        <v>468196863.11000007</v>
      </c>
      <c r="PU12" s="271">
        <v>5121438.76</v>
      </c>
      <c r="PV12" s="271">
        <v>18496587.740000002</v>
      </c>
      <c r="PW12" s="271">
        <v>14599224.35</v>
      </c>
      <c r="PX12" s="271">
        <v>130809805.83</v>
      </c>
      <c r="PY12" s="271">
        <v>12194145.629999999</v>
      </c>
      <c r="PZ12" s="271">
        <v>9936195.5700000003</v>
      </c>
      <c r="QA12" s="271">
        <v>5271178.3500000006</v>
      </c>
      <c r="QB12" s="271">
        <v>18514941.289999999</v>
      </c>
      <c r="QC12" s="271">
        <v>13887074.379999999</v>
      </c>
      <c r="QD12" s="271">
        <v>95091845.049999997</v>
      </c>
      <c r="QE12" s="271">
        <v>5916413.8099999996</v>
      </c>
      <c r="QF12" s="271">
        <v>12620340.469999999</v>
      </c>
      <c r="QG12" s="271">
        <v>6684882.6699999999</v>
      </c>
      <c r="QH12" s="271">
        <v>10022674.870000001</v>
      </c>
      <c r="QI12" s="271">
        <v>16540075.669999998</v>
      </c>
      <c r="QJ12" s="271">
        <v>4273919.84</v>
      </c>
      <c r="QK12" s="271">
        <v>3335047.7800000003</v>
      </c>
      <c r="QL12" s="271">
        <v>7404280.8499999996</v>
      </c>
      <c r="QM12" s="271">
        <v>17011413.329999998</v>
      </c>
      <c r="QN12" s="271">
        <v>36942720.770000003</v>
      </c>
      <c r="QO12" s="271">
        <v>4663748.95</v>
      </c>
      <c r="QP12" s="271">
        <v>989292.75</v>
      </c>
      <c r="QQ12" s="271">
        <v>1530258.15</v>
      </c>
      <c r="QR12" s="271">
        <v>7375627.46</v>
      </c>
      <c r="QS12" s="271">
        <v>2166118.96</v>
      </c>
      <c r="QT12" s="271">
        <v>455053913.48999995</v>
      </c>
      <c r="QU12" s="271">
        <v>2542506.98</v>
      </c>
      <c r="QV12" s="271">
        <v>12475031.52</v>
      </c>
      <c r="QW12" s="271">
        <v>4634041.68</v>
      </c>
      <c r="QX12" s="271">
        <v>4594946.0899999989</v>
      </c>
      <c r="QY12" s="271">
        <v>16330331.049999999</v>
      </c>
      <c r="QZ12" s="271">
        <v>3486039.07</v>
      </c>
      <c r="RA12" s="271">
        <v>12663322.139999999</v>
      </c>
      <c r="RB12" s="271">
        <v>24057984.310000002</v>
      </c>
      <c r="RC12" s="271">
        <v>8079604.9400000004</v>
      </c>
      <c r="RD12" s="271">
        <v>14290351.83</v>
      </c>
      <c r="RE12" s="271">
        <v>3705940.12</v>
      </c>
      <c r="RF12" s="271">
        <v>6199422.7000000002</v>
      </c>
      <c r="RG12" s="271">
        <v>524939699.13</v>
      </c>
      <c r="RH12" s="271">
        <v>92270192.159999996</v>
      </c>
      <c r="RI12" s="271">
        <v>6843945.0899999999</v>
      </c>
      <c r="RJ12" s="271">
        <v>24970271.110000003</v>
      </c>
      <c r="RK12" s="271">
        <v>27963045.600000001</v>
      </c>
      <c r="RL12" s="271">
        <v>49778321.009999998</v>
      </c>
      <c r="RM12" s="271">
        <v>83791742.700000003</v>
      </c>
      <c r="RN12" s="271">
        <v>5299239.6499999994</v>
      </c>
      <c r="RO12" s="271">
        <v>5001370.76</v>
      </c>
      <c r="RP12" s="271">
        <v>63773520.769999996</v>
      </c>
      <c r="RQ12" s="271">
        <v>114065714.49000001</v>
      </c>
      <c r="RR12" s="271">
        <v>2868441.4699999997</v>
      </c>
      <c r="RS12" s="271">
        <v>3719250.01</v>
      </c>
      <c r="RT12" s="271">
        <v>11107243.49</v>
      </c>
      <c r="RU12" s="271">
        <v>2079956.21</v>
      </c>
      <c r="RV12" s="271">
        <v>3093552.43</v>
      </c>
      <c r="RW12" s="271">
        <v>18771850.819999997</v>
      </c>
      <c r="RX12" s="271">
        <v>35911014.240000002</v>
      </c>
      <c r="RY12" s="271">
        <v>3292523.29</v>
      </c>
      <c r="RZ12" s="271">
        <v>25950962.469999999</v>
      </c>
      <c r="SA12" s="271">
        <v>131988755.24000001</v>
      </c>
      <c r="SB12" s="271">
        <v>10744912.120000001</v>
      </c>
      <c r="SC12" s="271">
        <v>19088874.25</v>
      </c>
      <c r="SD12" s="271">
        <v>8288535.9299999997</v>
      </c>
      <c r="SE12" s="271">
        <v>2397791.4700000002</v>
      </c>
      <c r="SF12" s="271">
        <v>16379182.030000001</v>
      </c>
      <c r="SG12" s="271">
        <v>19071529.18</v>
      </c>
      <c r="SH12" s="271">
        <v>33480735.099999998</v>
      </c>
      <c r="SI12" s="271">
        <v>18973799.450000003</v>
      </c>
      <c r="SJ12" s="271">
        <v>30115004.130000003</v>
      </c>
      <c r="SK12" s="271">
        <v>52103611.859999992</v>
      </c>
      <c r="SL12" s="271">
        <v>2627018.98</v>
      </c>
      <c r="SM12" s="271">
        <v>126518806.39</v>
      </c>
      <c r="SN12" s="271">
        <v>13504198.800000001</v>
      </c>
      <c r="SO12" s="271">
        <v>27311987.129999999</v>
      </c>
      <c r="SP12" s="271">
        <v>43721458.949999996</v>
      </c>
      <c r="SQ12" s="271">
        <v>4954990.41</v>
      </c>
      <c r="SR12" s="271">
        <v>11055044.019999998</v>
      </c>
      <c r="SS12" s="271">
        <v>8891917.5099999998</v>
      </c>
      <c r="ST12" s="271">
        <v>7985139.1999999993</v>
      </c>
      <c r="SU12" s="271">
        <v>108202603.60999998</v>
      </c>
      <c r="SV12" s="271">
        <v>12083597.380000001</v>
      </c>
      <c r="SW12" s="271">
        <v>13192836.99</v>
      </c>
      <c r="SX12" s="271">
        <v>4822477.43</v>
      </c>
      <c r="SY12" s="271">
        <v>3573961.02</v>
      </c>
      <c r="SZ12" s="271">
        <v>5352893.53</v>
      </c>
      <c r="TA12" s="271">
        <v>14480484.549999999</v>
      </c>
      <c r="TB12" s="271">
        <v>51486866.270000003</v>
      </c>
      <c r="TC12" s="271">
        <v>4339144.7699999996</v>
      </c>
      <c r="TD12" s="271">
        <v>3787989.77</v>
      </c>
      <c r="TE12" s="271">
        <v>10335903.950000001</v>
      </c>
      <c r="TF12" s="271">
        <v>12846106.830000002</v>
      </c>
      <c r="TG12" s="271">
        <v>8094966.1000000006</v>
      </c>
      <c r="TH12" s="271">
        <v>3917502.2100000004</v>
      </c>
      <c r="TI12" s="271">
        <v>315603866.57999998</v>
      </c>
      <c r="TJ12" s="271">
        <v>7008752.2400000002</v>
      </c>
      <c r="TK12" s="271">
        <v>3482947.39</v>
      </c>
      <c r="TL12" s="271">
        <v>58190763.119999997</v>
      </c>
      <c r="TM12" s="271">
        <v>26318640.809999999</v>
      </c>
      <c r="TN12" s="271">
        <v>21928041.890000001</v>
      </c>
      <c r="TO12" s="271">
        <v>2612200.2199999997</v>
      </c>
      <c r="TP12" s="271">
        <v>57606533.189999998</v>
      </c>
      <c r="TQ12" s="271">
        <v>22230508.780000001</v>
      </c>
      <c r="TR12" s="271">
        <v>54812525.950000003</v>
      </c>
      <c r="TS12" s="271">
        <v>36231090.299999997</v>
      </c>
      <c r="TT12" s="271">
        <v>21183651.73</v>
      </c>
      <c r="TU12" s="271">
        <v>5525642.5900000008</v>
      </c>
      <c r="TV12" s="271">
        <v>7511373.1900000004</v>
      </c>
      <c r="TW12" s="271">
        <v>13930399.52</v>
      </c>
      <c r="TX12" s="271">
        <v>9004412.8300000019</v>
      </c>
      <c r="TY12" s="271">
        <v>141332890.12</v>
      </c>
      <c r="TZ12" s="271">
        <v>6079043.8200000003</v>
      </c>
      <c r="UA12" s="271">
        <v>166584875.35000002</v>
      </c>
      <c r="UB12" s="271">
        <v>26247519.559999999</v>
      </c>
      <c r="UC12" s="271">
        <v>5622720.1299999999</v>
      </c>
      <c r="UD12" s="271">
        <v>10191889.920000002</v>
      </c>
      <c r="UE12" s="271">
        <v>104424106.13000001</v>
      </c>
      <c r="UF12" s="271">
        <v>5979145.46</v>
      </c>
      <c r="UG12" s="271">
        <v>2752123.6</v>
      </c>
      <c r="UH12" s="271">
        <v>2836078.11</v>
      </c>
      <c r="UI12" s="271">
        <v>6413400.2299999995</v>
      </c>
      <c r="UJ12" s="271">
        <v>159157632.99000001</v>
      </c>
      <c r="UK12" s="271">
        <v>19889598.109999999</v>
      </c>
      <c r="UL12" s="271">
        <v>9431205.5100000016</v>
      </c>
      <c r="UM12" s="271">
        <v>7459357.1699999999</v>
      </c>
      <c r="UN12" s="271">
        <v>16417123.140000001</v>
      </c>
      <c r="UO12" s="271">
        <v>22915762.380000003</v>
      </c>
      <c r="UP12" s="271">
        <v>888729208.67000008</v>
      </c>
      <c r="UQ12" s="271">
        <v>20094818.23</v>
      </c>
      <c r="UR12" s="271">
        <v>22564144.579999998</v>
      </c>
      <c r="US12" s="271">
        <v>154450257.56999999</v>
      </c>
      <c r="UT12" s="271">
        <v>25307146.800000001</v>
      </c>
      <c r="UU12" s="271">
        <v>10392033.26</v>
      </c>
      <c r="UV12" s="271">
        <v>39530016.170000002</v>
      </c>
      <c r="UW12" s="271">
        <v>6246509.2599999998</v>
      </c>
      <c r="UX12" s="271">
        <v>8285915.8300000001</v>
      </c>
      <c r="UY12" s="271">
        <v>11449770.629999999</v>
      </c>
      <c r="UZ12" s="271">
        <v>5581873.6600000001</v>
      </c>
      <c r="VA12" s="271">
        <v>39895836.340000004</v>
      </c>
      <c r="VB12" s="271">
        <v>8630329.3499999996</v>
      </c>
      <c r="VC12" s="271">
        <v>31666575.5</v>
      </c>
      <c r="VD12" s="271">
        <v>5153110.8900000006</v>
      </c>
      <c r="VE12" s="271">
        <v>7097493.1500000004</v>
      </c>
      <c r="VF12" s="271">
        <v>6994632.5200000005</v>
      </c>
      <c r="VG12" s="271">
        <v>8838932.3300000001</v>
      </c>
      <c r="VH12" s="271">
        <v>71543011.50999999</v>
      </c>
      <c r="VI12" s="271">
        <v>3162149.1399999997</v>
      </c>
      <c r="VJ12" s="271">
        <v>11227783.99</v>
      </c>
      <c r="VK12" s="271">
        <v>2305945.85</v>
      </c>
      <c r="VL12" s="271">
        <v>255785273.71999997</v>
      </c>
      <c r="VM12" s="271">
        <v>6743734.6000000006</v>
      </c>
      <c r="VN12" s="271">
        <v>17084869.120000001</v>
      </c>
      <c r="VO12" s="271">
        <v>12489107.209999999</v>
      </c>
      <c r="VP12" s="271">
        <v>28268496.250000007</v>
      </c>
      <c r="VQ12" s="271">
        <v>26750418.119999997</v>
      </c>
      <c r="VR12" s="271">
        <v>10030204.939999999</v>
      </c>
      <c r="VS12" s="271">
        <v>17233450.66</v>
      </c>
      <c r="VT12" s="271">
        <v>11279727.129999999</v>
      </c>
      <c r="VU12" s="271">
        <v>142081766.79000002</v>
      </c>
      <c r="VV12" s="271">
        <v>8993356.8000000007</v>
      </c>
      <c r="VW12" s="271">
        <v>44131922.230000004</v>
      </c>
      <c r="VX12" s="271">
        <v>10051577.42</v>
      </c>
      <c r="VY12" s="271">
        <v>4351989.42</v>
      </c>
      <c r="VZ12" s="271">
        <v>13093202.039999999</v>
      </c>
      <c r="WA12" s="271">
        <v>1413856480.51</v>
      </c>
      <c r="WB12" s="271">
        <v>12337997.66</v>
      </c>
      <c r="WC12" s="271">
        <v>21016161.940000001</v>
      </c>
      <c r="WD12" s="271">
        <v>7319589.8300000001</v>
      </c>
      <c r="WE12" s="271">
        <v>15512342.169999998</v>
      </c>
      <c r="WF12" s="271">
        <v>16293302.02</v>
      </c>
      <c r="WG12" s="271">
        <v>32533511.339999996</v>
      </c>
      <c r="WH12" s="271">
        <v>56678195.520000003</v>
      </c>
      <c r="WI12" s="271">
        <v>7995229.5199999996</v>
      </c>
      <c r="WJ12" s="271">
        <v>26266903.040000003</v>
      </c>
      <c r="WK12" s="271">
        <v>22127925.600000001</v>
      </c>
      <c r="WL12" s="271">
        <v>38917344.909999996</v>
      </c>
      <c r="WM12" s="271">
        <v>21142829.23</v>
      </c>
      <c r="WN12" s="271">
        <v>40306288.620000005</v>
      </c>
      <c r="WO12" s="271">
        <v>73888521.149999991</v>
      </c>
      <c r="WP12" s="271">
        <v>5912046.9800000004</v>
      </c>
      <c r="WQ12" s="271">
        <v>9127785.4600000009</v>
      </c>
      <c r="WR12" s="271">
        <v>24931882.810000002</v>
      </c>
      <c r="WS12" s="271">
        <v>5937465.4799999995</v>
      </c>
      <c r="WT12" s="271">
        <v>35632602.229999997</v>
      </c>
      <c r="WU12" s="271">
        <v>221350598.01000002</v>
      </c>
      <c r="WV12" s="271">
        <v>4965825.2300000004</v>
      </c>
      <c r="WW12" s="271">
        <v>17533042.219999999</v>
      </c>
      <c r="WX12" s="271">
        <v>1917846.38</v>
      </c>
      <c r="WY12" s="271">
        <v>10985797.369999999</v>
      </c>
      <c r="WZ12" s="271">
        <v>9327223.9999999981</v>
      </c>
      <c r="XA12" s="271">
        <v>5223165.72</v>
      </c>
      <c r="XB12" s="271">
        <v>2594066.5</v>
      </c>
      <c r="XC12" s="271">
        <v>103874732.12</v>
      </c>
      <c r="XD12" s="271">
        <v>3009882.35</v>
      </c>
      <c r="XE12" s="271">
        <v>9644971.2799999993</v>
      </c>
      <c r="XF12" s="271">
        <v>1678315.57</v>
      </c>
      <c r="XG12" s="271">
        <v>1759949.38</v>
      </c>
      <c r="XH12" s="271">
        <v>669918005.54999995</v>
      </c>
      <c r="XI12" s="271">
        <v>50837327.920000002</v>
      </c>
      <c r="XJ12" s="271">
        <v>38381364.739999995</v>
      </c>
      <c r="XK12" s="271">
        <v>86056508.069999993</v>
      </c>
      <c r="XL12" s="271">
        <v>28046134.499999996</v>
      </c>
      <c r="XM12" s="271">
        <v>40780812.840000004</v>
      </c>
      <c r="XN12" s="271">
        <v>86295032.100000009</v>
      </c>
      <c r="XO12" s="271">
        <v>29038602.660000004</v>
      </c>
      <c r="XP12" s="271">
        <v>9829826.2999999989</v>
      </c>
      <c r="XQ12" s="271">
        <v>75190712.079999983</v>
      </c>
      <c r="XR12" s="271">
        <v>67322226.239999995</v>
      </c>
      <c r="XS12" s="271">
        <v>9152960.0299999993</v>
      </c>
      <c r="XT12" s="271">
        <v>7105236.4199999999</v>
      </c>
      <c r="XU12" s="271">
        <v>6215590.6600000001</v>
      </c>
      <c r="XV12" s="271">
        <v>18965385.660000004</v>
      </c>
      <c r="XW12" s="271">
        <v>14738512.720000001</v>
      </c>
      <c r="XX12" s="271">
        <v>10323763.499999998</v>
      </c>
      <c r="XY12" s="271">
        <v>6687052.7699999996</v>
      </c>
      <c r="XZ12" s="271">
        <v>5004174.7399999993</v>
      </c>
      <c r="YA12" s="271">
        <v>14137210.520000001</v>
      </c>
      <c r="YB12" s="271">
        <v>20611727.449999999</v>
      </c>
      <c r="YC12" s="271">
        <v>7158739.2800000003</v>
      </c>
      <c r="YD12" s="271">
        <v>17306164.689999998</v>
      </c>
      <c r="YE12" s="271">
        <v>527156639.69000006</v>
      </c>
      <c r="YF12" s="271">
        <v>29003760.340000004</v>
      </c>
      <c r="YG12" s="271">
        <v>99278285.400000006</v>
      </c>
      <c r="YH12" s="271">
        <v>31793187.970000003</v>
      </c>
      <c r="YI12" s="271">
        <v>78172764.420000002</v>
      </c>
      <c r="YJ12" s="271">
        <v>21009356.68</v>
      </c>
      <c r="YK12" s="271">
        <v>87367363.489999995</v>
      </c>
      <c r="YL12" s="271">
        <v>29060103.889999997</v>
      </c>
      <c r="YM12" s="271">
        <v>138803847.41</v>
      </c>
      <c r="YN12" s="271">
        <v>44364112.239999995</v>
      </c>
      <c r="YO12" s="271">
        <v>22915661.230000004</v>
      </c>
      <c r="YP12" s="271">
        <v>4477466.5699999994</v>
      </c>
      <c r="YQ12" s="271">
        <v>11998761.639999999</v>
      </c>
      <c r="YR12" s="271">
        <v>3339128.91</v>
      </c>
      <c r="YS12" s="271">
        <v>7240009.9500000002</v>
      </c>
      <c r="YT12" s="271">
        <v>18174426.359999999</v>
      </c>
      <c r="YU12" s="271">
        <v>3076342.94</v>
      </c>
      <c r="YV12" s="271">
        <v>115804492.92999999</v>
      </c>
      <c r="YW12" s="271">
        <v>18456635.390000001</v>
      </c>
      <c r="YX12" s="271">
        <v>4094841.57</v>
      </c>
      <c r="YY12" s="271">
        <v>8523197.9899999984</v>
      </c>
      <c r="YZ12" s="271">
        <v>7719024.4400000004</v>
      </c>
      <c r="ZA12" s="271">
        <v>3696302.31</v>
      </c>
      <c r="ZB12" s="271">
        <v>2645375.88</v>
      </c>
      <c r="ZC12" s="271">
        <v>170523420.66999999</v>
      </c>
      <c r="ZD12" s="271">
        <v>4510032.4800000004</v>
      </c>
      <c r="ZE12" s="271">
        <v>10574563.280000001</v>
      </c>
      <c r="ZF12" s="271">
        <v>12474648.609999999</v>
      </c>
      <c r="ZG12" s="271">
        <v>4904665.37</v>
      </c>
      <c r="ZH12" s="271">
        <v>21517539.969999999</v>
      </c>
      <c r="ZI12" s="271">
        <v>11261614.460000001</v>
      </c>
      <c r="ZJ12" s="271">
        <v>18049478.140000001</v>
      </c>
      <c r="ZK12" s="271">
        <v>36646135.890000001</v>
      </c>
      <c r="ZL12" s="271">
        <v>159455301.59</v>
      </c>
      <c r="ZM12" s="271">
        <v>15328537.100000001</v>
      </c>
      <c r="ZN12" s="271">
        <v>10229231.550000001</v>
      </c>
      <c r="ZO12" s="271">
        <v>88206194.879999995</v>
      </c>
      <c r="ZP12" s="271">
        <v>25851243.619999997</v>
      </c>
      <c r="ZQ12" s="271">
        <v>10659253.640000001</v>
      </c>
      <c r="ZR12" s="271">
        <v>9741658.6199999992</v>
      </c>
      <c r="ZS12" s="271">
        <v>25177736.689999998</v>
      </c>
      <c r="ZT12" s="271">
        <v>13059852.550000001</v>
      </c>
      <c r="ZU12" s="271">
        <v>22870120.82</v>
      </c>
      <c r="ZV12" s="271">
        <v>878481.17</v>
      </c>
      <c r="ZW12" s="271">
        <v>13446280.380000001</v>
      </c>
      <c r="ZX12" s="271">
        <v>3563855.36</v>
      </c>
      <c r="ZY12" s="271">
        <v>6386835.4299999997</v>
      </c>
      <c r="ZZ12" s="271">
        <v>15733757.029999999</v>
      </c>
      <c r="AAA12" s="271">
        <v>3245040.0399999996</v>
      </c>
      <c r="AAB12" s="271">
        <v>19113728.309999999</v>
      </c>
      <c r="AAC12" s="271">
        <v>15067459.77</v>
      </c>
      <c r="AAD12" s="271">
        <v>7053917.5600000015</v>
      </c>
      <c r="AAE12" s="271">
        <v>9642754.620000001</v>
      </c>
      <c r="AAF12" s="271">
        <v>2019145.6</v>
      </c>
      <c r="AAG12" s="271">
        <v>6991356.3899999997</v>
      </c>
      <c r="AAH12" s="271">
        <v>164550040.07000002</v>
      </c>
      <c r="AAI12" s="271">
        <v>4401992.1399999997</v>
      </c>
      <c r="AAJ12" s="271">
        <v>9814173.4499999993</v>
      </c>
      <c r="AAK12" s="271">
        <v>7361533.9400000004</v>
      </c>
      <c r="AAL12" s="271">
        <v>4061833.93</v>
      </c>
      <c r="AAM12" s="271">
        <v>10283683.91</v>
      </c>
      <c r="AAN12" s="271">
        <v>2551443.04</v>
      </c>
      <c r="AAO12" s="271">
        <v>887601218.27999997</v>
      </c>
      <c r="AAP12" s="271">
        <v>19720871.010000002</v>
      </c>
      <c r="AAQ12" s="271">
        <v>40935897.539999999</v>
      </c>
      <c r="AAR12" s="271">
        <v>92305036.719999999</v>
      </c>
      <c r="AAS12" s="271">
        <v>15660810.710000001</v>
      </c>
      <c r="AAT12" s="271">
        <v>20129772.989999998</v>
      </c>
      <c r="AAU12" s="271">
        <v>16807570.640000001</v>
      </c>
      <c r="AAV12" s="271">
        <v>17096574.379999999</v>
      </c>
      <c r="AAW12" s="271">
        <v>54520191.909999996</v>
      </c>
      <c r="AAX12" s="271">
        <v>9712526.2200000007</v>
      </c>
      <c r="AAY12" s="271">
        <v>34527273.170000002</v>
      </c>
      <c r="AAZ12" s="271">
        <v>140550747.28</v>
      </c>
      <c r="ABA12" s="271">
        <v>46150668.760000005</v>
      </c>
      <c r="ABB12" s="271">
        <v>23644966.709999997</v>
      </c>
      <c r="ABC12" s="271">
        <v>12955088.020000003</v>
      </c>
      <c r="ABD12" s="271">
        <v>6084789.1799999997</v>
      </c>
      <c r="ABE12" s="271">
        <v>4672364.4799999995</v>
      </c>
      <c r="ABF12" s="271">
        <v>12538516.440000001</v>
      </c>
      <c r="ABG12" s="271">
        <v>4853964.6000000006</v>
      </c>
      <c r="ABH12" s="271">
        <v>97005117.180000007</v>
      </c>
      <c r="ABI12" s="271">
        <v>52652826.280000001</v>
      </c>
      <c r="ABJ12" s="271">
        <v>9384344.6300000008</v>
      </c>
      <c r="ABK12" s="271">
        <v>10336428.559999999</v>
      </c>
      <c r="ABL12" s="271">
        <v>29301991.379999999</v>
      </c>
      <c r="ABM12" s="271">
        <v>6451222.25</v>
      </c>
      <c r="ABN12" s="271">
        <v>17533366.91</v>
      </c>
      <c r="ABO12" s="271">
        <v>225373394.02000004</v>
      </c>
      <c r="ABP12" s="271">
        <v>8297187.8300000001</v>
      </c>
      <c r="ABQ12" s="271">
        <v>31167134.960000001</v>
      </c>
      <c r="ABR12" s="271">
        <v>28794842.699999999</v>
      </c>
      <c r="ABS12" s="271">
        <v>27062148.779999997</v>
      </c>
      <c r="ABT12" s="271">
        <v>39409421.160000004</v>
      </c>
      <c r="ABU12" s="271">
        <v>3186489.56</v>
      </c>
      <c r="ABV12" s="271">
        <v>15872327.719999999</v>
      </c>
      <c r="ABW12" s="271">
        <v>1403307.9</v>
      </c>
      <c r="ABX12" s="271">
        <v>112035581.26000001</v>
      </c>
      <c r="ABY12" s="271">
        <v>16802340.84</v>
      </c>
      <c r="ABZ12" s="271">
        <v>24417464.060000002</v>
      </c>
      <c r="ACA12" s="271">
        <v>4674652.3899999997</v>
      </c>
      <c r="ACB12" s="271">
        <v>8581803.8100000005</v>
      </c>
      <c r="ACC12" s="271">
        <v>124083682.06999999</v>
      </c>
      <c r="ACD12" s="271">
        <v>5992470.7299999995</v>
      </c>
      <c r="ACE12" s="271">
        <v>13113427.98</v>
      </c>
      <c r="ACF12" s="271">
        <v>3929277.17</v>
      </c>
      <c r="ACG12" s="271">
        <v>16129249.720000003</v>
      </c>
      <c r="ACH12" s="271">
        <v>17554061.43</v>
      </c>
      <c r="ACI12" s="271">
        <v>215004671.41000003</v>
      </c>
      <c r="ACJ12" s="271">
        <v>8387364.9799999995</v>
      </c>
      <c r="ACK12" s="271">
        <v>8088961.5800000001</v>
      </c>
      <c r="ACL12" s="271">
        <v>10855277.549999999</v>
      </c>
      <c r="ACM12" s="271">
        <v>3604360.69</v>
      </c>
      <c r="ACN12" s="271">
        <v>5454291.1500000004</v>
      </c>
      <c r="ACO12" s="271">
        <v>7786373.4800000004</v>
      </c>
      <c r="ACP12" s="271">
        <v>111736095.69</v>
      </c>
      <c r="ACQ12" s="271">
        <v>70229950.860000014</v>
      </c>
      <c r="ACR12" s="271">
        <v>6366653.0599999996</v>
      </c>
      <c r="ACS12" s="271">
        <v>8466851.1500000004</v>
      </c>
      <c r="ACT12" s="271">
        <v>13249002.99</v>
      </c>
      <c r="ACU12" s="271">
        <v>5156615.25</v>
      </c>
      <c r="ACV12" s="271">
        <v>242484254.23999998</v>
      </c>
      <c r="ACW12" s="271">
        <v>11288931.989999998</v>
      </c>
      <c r="ACX12" s="271">
        <v>6678443.8499999987</v>
      </c>
      <c r="ACY12" s="271">
        <v>2540987.94</v>
      </c>
      <c r="ACZ12" s="271">
        <v>2723355.56</v>
      </c>
      <c r="ADA12" s="271">
        <v>6593551.9200000009</v>
      </c>
      <c r="ADB12" s="271">
        <v>1809144.5</v>
      </c>
      <c r="ADC12" s="271">
        <v>2570630.5399999996</v>
      </c>
      <c r="ADD12" s="271">
        <v>3417319.5300000003</v>
      </c>
      <c r="ADE12" s="271">
        <v>4248612.7699999996</v>
      </c>
      <c r="ADF12" s="271">
        <v>99445729.370000005</v>
      </c>
      <c r="ADG12" s="271">
        <v>53953060.969999999</v>
      </c>
      <c r="ADH12" s="271">
        <v>2010970.55</v>
      </c>
      <c r="ADI12" s="271">
        <v>3042398.03</v>
      </c>
      <c r="ADJ12" s="271">
        <v>21950542.890000001</v>
      </c>
      <c r="ADK12" s="271">
        <v>1493302.48</v>
      </c>
      <c r="ADL12" s="271">
        <v>11301431.779999999</v>
      </c>
      <c r="ADM12" s="271">
        <v>3889941.9499999997</v>
      </c>
      <c r="ADN12" s="271">
        <v>8217628.4699999997</v>
      </c>
      <c r="ADO12" s="271">
        <v>518112562.34000003</v>
      </c>
      <c r="ADP12" s="271">
        <v>37947774.07</v>
      </c>
      <c r="ADQ12" s="271">
        <v>30335715.999999996</v>
      </c>
      <c r="ADR12" s="271">
        <v>11289224.339999998</v>
      </c>
      <c r="ADS12" s="271">
        <v>152999392.20999998</v>
      </c>
      <c r="ADT12" s="271">
        <v>7299086.0899999999</v>
      </c>
      <c r="ADU12" s="271">
        <v>21218760.970000003</v>
      </c>
      <c r="ADV12" s="271">
        <v>12750758.419999998</v>
      </c>
      <c r="ADW12" s="271">
        <v>11093702.26</v>
      </c>
      <c r="ADX12" s="271">
        <v>9535084.870000001</v>
      </c>
      <c r="ADY12" s="271">
        <v>516856506.66999996</v>
      </c>
      <c r="ADZ12" s="271">
        <v>97379437.849999994</v>
      </c>
      <c r="AEA12" s="271">
        <v>106211694.27999999</v>
      </c>
      <c r="AEB12" s="271">
        <v>14753472.1</v>
      </c>
      <c r="AEC12" s="271">
        <v>28323590.920000002</v>
      </c>
      <c r="AED12" s="271">
        <v>46987104.68</v>
      </c>
      <c r="AEE12" s="271">
        <v>31664084.650000002</v>
      </c>
      <c r="AEF12" s="271">
        <v>17777007.789999999</v>
      </c>
      <c r="AEG12" s="271">
        <v>7432230.0199999996</v>
      </c>
      <c r="AEH12" s="271">
        <v>17542036.48</v>
      </c>
      <c r="AEI12" s="271">
        <v>21931521.710000001</v>
      </c>
      <c r="AEJ12" s="271">
        <v>13978059.26</v>
      </c>
      <c r="AEK12" s="271">
        <v>11626141.809999999</v>
      </c>
      <c r="AEL12" s="271">
        <v>11844060.99</v>
      </c>
      <c r="AEM12" s="271">
        <v>24625757.090000004</v>
      </c>
      <c r="AEN12" s="271">
        <v>19195660.169999998</v>
      </c>
      <c r="AEO12" s="271">
        <v>4075834.2500000005</v>
      </c>
      <c r="AEP12" s="271">
        <v>30618026.409999996</v>
      </c>
      <c r="AEQ12" s="271">
        <v>8867937.2800000012</v>
      </c>
      <c r="AER12" s="271">
        <v>19300890.02</v>
      </c>
      <c r="AES12" s="271">
        <v>284508746.82999998</v>
      </c>
      <c r="AET12" s="271">
        <v>10195258.460000001</v>
      </c>
      <c r="AEU12" s="271">
        <v>58770628.980000004</v>
      </c>
      <c r="AEV12" s="271">
        <v>10820433.66</v>
      </c>
      <c r="AEW12" s="271">
        <v>10868664.93</v>
      </c>
      <c r="AEX12" s="271">
        <v>42778603.660000004</v>
      </c>
      <c r="AEY12" s="271">
        <v>2992272.91</v>
      </c>
      <c r="AEZ12" s="271">
        <v>7875057.8600000003</v>
      </c>
      <c r="AFA12" s="271">
        <v>4174547.3099999996</v>
      </c>
      <c r="AFB12" s="271">
        <v>3397535.4</v>
      </c>
      <c r="AFC12" s="271">
        <v>221888246.41</v>
      </c>
      <c r="AFD12" s="271">
        <v>77042271.650000006</v>
      </c>
      <c r="AFE12" s="271">
        <v>32354547.759999998</v>
      </c>
      <c r="AFF12" s="271">
        <v>24329183.840000004</v>
      </c>
      <c r="AFG12" s="271">
        <v>100020569.77</v>
      </c>
      <c r="AFH12" s="271">
        <v>9488175.0800000001</v>
      </c>
      <c r="AFI12" s="271">
        <v>14040476.700000001</v>
      </c>
      <c r="AFJ12" s="271">
        <v>16241219.630000001</v>
      </c>
      <c r="AFK12" s="271">
        <v>1350935.7400000002</v>
      </c>
      <c r="AFL12" s="271">
        <v>8751617.959999999</v>
      </c>
      <c r="AFM12" s="271">
        <v>4382367.51</v>
      </c>
      <c r="AFN12" s="271">
        <v>1910121.74</v>
      </c>
      <c r="AFO12" s="271">
        <v>24787636.759999998</v>
      </c>
      <c r="AFP12" s="271">
        <v>473649991.43000007</v>
      </c>
      <c r="AFQ12" s="271">
        <v>55047232.719999999</v>
      </c>
      <c r="AFR12" s="271">
        <v>5588281.5699999994</v>
      </c>
      <c r="AFS12" s="271">
        <v>22778667.48</v>
      </c>
      <c r="AFT12" s="271">
        <v>21356750.280000001</v>
      </c>
      <c r="AFU12" s="271">
        <v>18552895.32</v>
      </c>
      <c r="AFV12" s="271">
        <v>5943438.2699999996</v>
      </c>
      <c r="AFW12" s="271">
        <v>31812314.620000001</v>
      </c>
      <c r="AFX12" s="271">
        <v>8060271.3599999985</v>
      </c>
      <c r="AFY12" s="271">
        <v>6024515.3200000003</v>
      </c>
      <c r="AFZ12" s="271">
        <v>84713680.179999992</v>
      </c>
      <c r="AGA12" s="271">
        <v>14777512.82</v>
      </c>
      <c r="AGB12" s="271">
        <v>373352775.92000002</v>
      </c>
      <c r="AGC12" s="271">
        <v>50305464.559999995</v>
      </c>
      <c r="AGD12" s="271">
        <v>14406252.079999998</v>
      </c>
      <c r="AGE12" s="271">
        <v>7114481.3199999994</v>
      </c>
      <c r="AGF12" s="271">
        <v>90485690.25999999</v>
      </c>
      <c r="AGG12" s="271">
        <v>7375598.6900000004</v>
      </c>
      <c r="AGH12" s="271">
        <v>5774232.29</v>
      </c>
      <c r="AGI12" s="271">
        <v>16468296.18</v>
      </c>
      <c r="AGJ12" s="271">
        <v>1965489.1699999997</v>
      </c>
      <c r="AGK12" s="271">
        <v>9087590.629999999</v>
      </c>
      <c r="AGL12" s="271">
        <v>3216992.86</v>
      </c>
      <c r="AGM12" s="271">
        <v>277762506.50999999</v>
      </c>
      <c r="AGN12" s="271">
        <v>107050438.82000001</v>
      </c>
      <c r="AGO12" s="271">
        <v>111564083.56</v>
      </c>
      <c r="AGP12" s="271">
        <v>7774251.7999999998</v>
      </c>
      <c r="AGQ12" s="271">
        <v>66479817.629999995</v>
      </c>
      <c r="AGR12" s="271">
        <v>83645720.769999996</v>
      </c>
      <c r="AGS12" s="271">
        <v>1356562.8</v>
      </c>
      <c r="AGT12" s="271">
        <v>15599696.029999999</v>
      </c>
      <c r="AGU12" s="271">
        <v>513260144.99000001</v>
      </c>
      <c r="AGV12" s="271">
        <v>461624752.74000001</v>
      </c>
      <c r="AGW12" s="271">
        <v>15648572</v>
      </c>
      <c r="AGX12" s="271">
        <v>72919044.040000007</v>
      </c>
      <c r="AGY12" s="271">
        <v>166287288.90000001</v>
      </c>
      <c r="AGZ12" s="271">
        <v>84633503.070000008</v>
      </c>
      <c r="AHA12" s="271">
        <v>46111579.509999998</v>
      </c>
      <c r="AHB12" s="271">
        <v>11254534.01</v>
      </c>
      <c r="AHC12" s="271">
        <v>9054111.8499999978</v>
      </c>
      <c r="AHD12" s="271">
        <v>30980896.369999997</v>
      </c>
      <c r="AHE12" s="271">
        <v>79319341.650000006</v>
      </c>
      <c r="AHF12" s="271">
        <v>62311748.120000005</v>
      </c>
      <c r="AHG12" s="271">
        <v>8426167.1400000006</v>
      </c>
      <c r="AHH12" s="271">
        <v>27412083.239999998</v>
      </c>
      <c r="AHI12" s="271">
        <v>35531755.149999999</v>
      </c>
      <c r="AHJ12" s="271">
        <v>9159006.2300000004</v>
      </c>
      <c r="AHK12" s="271">
        <v>13372511.199999999</v>
      </c>
      <c r="AHL12" s="271">
        <v>135080989.53999999</v>
      </c>
      <c r="AHM12" s="271">
        <v>5835655.54</v>
      </c>
      <c r="AHN12" s="271">
        <v>5042249.5599999996</v>
      </c>
      <c r="AHO12" s="271">
        <v>3985292.4900000007</v>
      </c>
      <c r="AHP12" s="271">
        <v>14166037.450000001</v>
      </c>
      <c r="AHQ12" s="294">
        <v>4270834.01</v>
      </c>
      <c r="AHR12" s="329">
        <v>4926159.2699999996</v>
      </c>
      <c r="AHS12" s="294">
        <f t="shared" si="0"/>
        <v>49525310134.549995</v>
      </c>
      <c r="AHT12" s="269" t="b">
        <f t="shared" si="1"/>
        <v>1</v>
      </c>
      <c r="AHU12" s="269" t="s">
        <v>12</v>
      </c>
    </row>
    <row r="13" spans="2:905" ht="23.4" customHeight="1" x14ac:dyDescent="0.7">
      <c r="B13" s="268" t="s">
        <v>14</v>
      </c>
      <c r="C13" s="269" t="s">
        <v>15</v>
      </c>
      <c r="D13" s="271">
        <v>669653838.97000003</v>
      </c>
      <c r="E13" s="271">
        <v>56045592.880000003</v>
      </c>
      <c r="F13" s="271">
        <v>86833899.909999996</v>
      </c>
      <c r="G13" s="271">
        <v>35306992.159999996</v>
      </c>
      <c r="H13" s="271">
        <v>101743059.81999999</v>
      </c>
      <c r="I13" s="271">
        <v>51536085.109999999</v>
      </c>
      <c r="J13" s="271">
        <v>83400466.239999995</v>
      </c>
      <c r="K13" s="271">
        <v>55804096.460000001</v>
      </c>
      <c r="L13" s="271">
        <v>54189655.170000002</v>
      </c>
      <c r="M13" s="271">
        <v>45796294.560000002</v>
      </c>
      <c r="N13" s="271">
        <v>30430532.25</v>
      </c>
      <c r="O13" s="271">
        <v>34456268.18</v>
      </c>
      <c r="P13" s="271">
        <v>26812258.379999999</v>
      </c>
      <c r="Q13" s="271">
        <v>39094393.329999998</v>
      </c>
      <c r="R13" s="271">
        <v>38063884.299999997</v>
      </c>
      <c r="S13" s="271">
        <v>56603371.299999997</v>
      </c>
      <c r="T13" s="271">
        <v>51514729.520000003</v>
      </c>
      <c r="U13" s="271">
        <v>9264864.8399999999</v>
      </c>
      <c r="V13" s="271">
        <v>556094366.09000003</v>
      </c>
      <c r="W13" s="271">
        <v>144277547.37</v>
      </c>
      <c r="X13" s="271">
        <v>35899843.219999999</v>
      </c>
      <c r="Y13" s="271">
        <v>52335461.640000001</v>
      </c>
      <c r="Z13" s="271">
        <v>60828783.549999997</v>
      </c>
      <c r="AA13" s="271">
        <v>52123632.079999998</v>
      </c>
      <c r="AB13" s="271">
        <v>29740786.52</v>
      </c>
      <c r="AC13" s="271">
        <v>130441397.31999999</v>
      </c>
      <c r="AD13" s="271">
        <v>58126308.490000002</v>
      </c>
      <c r="AE13" s="271">
        <v>42281211.93</v>
      </c>
      <c r="AF13" s="271">
        <v>119484966.97</v>
      </c>
      <c r="AG13" s="271">
        <v>51766612.329999998</v>
      </c>
      <c r="AH13" s="271">
        <v>105816796</v>
      </c>
      <c r="AI13" s="271">
        <v>74995428.989999995</v>
      </c>
      <c r="AJ13" s="271">
        <v>34613616.939999998</v>
      </c>
      <c r="AK13" s="271">
        <v>26698738.300000001</v>
      </c>
      <c r="AL13" s="271">
        <v>36449634.060000002</v>
      </c>
      <c r="AM13" s="271">
        <v>56230426.689999998</v>
      </c>
      <c r="AN13" s="271">
        <v>21484641.940000001</v>
      </c>
      <c r="AO13" s="271">
        <v>37765170.960000001</v>
      </c>
      <c r="AP13" s="271">
        <v>43493002.479999997</v>
      </c>
      <c r="AQ13" s="271">
        <v>34415106.939999998</v>
      </c>
      <c r="AR13" s="271">
        <v>29944085.48</v>
      </c>
      <c r="AS13" s="271">
        <v>17473165.859999999</v>
      </c>
      <c r="AT13" s="271">
        <v>390078604.75999999</v>
      </c>
      <c r="AU13" s="271">
        <v>21977815.16</v>
      </c>
      <c r="AV13" s="271">
        <v>18835673.539999999</v>
      </c>
      <c r="AW13" s="271">
        <v>34236991.479999997</v>
      </c>
      <c r="AX13" s="271">
        <v>44497924.759999998</v>
      </c>
      <c r="AY13" s="271">
        <v>66013195.880000003</v>
      </c>
      <c r="AZ13" s="271">
        <v>26937559.460000001</v>
      </c>
      <c r="BA13" s="271">
        <v>32001517.420000002</v>
      </c>
      <c r="BB13" s="271">
        <v>25019133.940000001</v>
      </c>
      <c r="BC13" s="271">
        <v>27522552.41</v>
      </c>
      <c r="BD13" s="271">
        <v>15019021.58</v>
      </c>
      <c r="BE13" s="271">
        <v>18709976.77</v>
      </c>
      <c r="BF13" s="271">
        <v>97191182.349999994</v>
      </c>
      <c r="BG13" s="271">
        <v>17182659.699999999</v>
      </c>
      <c r="BH13" s="271">
        <v>18470490.32</v>
      </c>
      <c r="BI13" s="271">
        <v>318000493.82999998</v>
      </c>
      <c r="BJ13" s="271">
        <v>211165584.52000001</v>
      </c>
      <c r="BK13" s="271">
        <v>51875030.960000001</v>
      </c>
      <c r="BL13" s="271">
        <v>35922838.700000003</v>
      </c>
      <c r="BM13" s="271">
        <v>70914864.519999996</v>
      </c>
      <c r="BN13" s="271">
        <v>53141143.859999999</v>
      </c>
      <c r="BO13" s="271">
        <v>48365026.920000002</v>
      </c>
      <c r="BP13" s="271">
        <v>8986201.9299999997</v>
      </c>
      <c r="BQ13" s="271">
        <v>9926221.5299999993</v>
      </c>
      <c r="BR13" s="271">
        <v>404773754.5</v>
      </c>
      <c r="BS13" s="271">
        <v>59431919.560000002</v>
      </c>
      <c r="BT13" s="271">
        <v>40385614.299999997</v>
      </c>
      <c r="BU13" s="271">
        <v>63088437.57</v>
      </c>
      <c r="BV13" s="271">
        <v>50221543.329999998</v>
      </c>
      <c r="BW13" s="271">
        <v>37243655.509999998</v>
      </c>
      <c r="BX13" s="271">
        <v>39268527.18</v>
      </c>
      <c r="BY13" s="271">
        <v>63297077.359999999</v>
      </c>
      <c r="BZ13" s="271">
        <v>143887662.53999999</v>
      </c>
      <c r="CA13" s="271">
        <v>31181163.260000002</v>
      </c>
      <c r="CB13" s="271">
        <v>48775308.159999996</v>
      </c>
      <c r="CC13" s="271">
        <v>74549676.510000005</v>
      </c>
      <c r="CD13" s="271">
        <v>27113146.699999999</v>
      </c>
      <c r="CE13" s="271">
        <v>27631499.879999999</v>
      </c>
      <c r="CF13" s="271">
        <v>25077377.960000001</v>
      </c>
      <c r="CG13" s="271">
        <v>680177956.11000001</v>
      </c>
      <c r="CH13" s="271">
        <v>49521863.869999997</v>
      </c>
      <c r="CI13" s="271">
        <v>87291826.349999994</v>
      </c>
      <c r="CJ13" s="271">
        <v>39743777.340000004</v>
      </c>
      <c r="CK13" s="271">
        <v>41072443.229999997</v>
      </c>
      <c r="CL13" s="271">
        <v>53032523.039999999</v>
      </c>
      <c r="CM13" s="271">
        <v>42481589.509999998</v>
      </c>
      <c r="CN13" s="271">
        <v>68497919.230000004</v>
      </c>
      <c r="CO13" s="271">
        <v>24916973</v>
      </c>
      <c r="CP13" s="271">
        <v>49541772.189999998</v>
      </c>
      <c r="CQ13" s="271">
        <v>32959487.140000001</v>
      </c>
      <c r="CR13" s="271">
        <v>61493418.229999997</v>
      </c>
      <c r="CS13" s="271">
        <v>37387564.880000003</v>
      </c>
      <c r="CT13" s="271">
        <v>340918818.31999999</v>
      </c>
      <c r="CU13" s="271">
        <v>38746060.189999998</v>
      </c>
      <c r="CV13" s="271">
        <v>47536856.68</v>
      </c>
      <c r="CW13" s="271">
        <v>63218988.630000003</v>
      </c>
      <c r="CX13" s="271">
        <v>33718891.079999998</v>
      </c>
      <c r="CY13" s="271">
        <v>60548821.530000001</v>
      </c>
      <c r="CZ13" s="271">
        <v>36349641.18</v>
      </c>
      <c r="DA13" s="271">
        <v>19073982.579999998</v>
      </c>
      <c r="DB13" s="271">
        <v>244288997.30000001</v>
      </c>
      <c r="DC13" s="271">
        <v>260247372.44999999</v>
      </c>
      <c r="DD13" s="271">
        <v>47817161.670000002</v>
      </c>
      <c r="DE13" s="271">
        <v>36743191.810000002</v>
      </c>
      <c r="DF13" s="271">
        <v>71603480.760000005</v>
      </c>
      <c r="DG13" s="271">
        <v>45498571.689999998</v>
      </c>
      <c r="DH13" s="271">
        <v>43374857.740000002</v>
      </c>
      <c r="DI13" s="271">
        <v>43140051.969999999</v>
      </c>
      <c r="DJ13" s="271">
        <v>19586718.73</v>
      </c>
      <c r="DK13" s="271">
        <v>772684287.38</v>
      </c>
      <c r="DL13" s="271">
        <v>40976371.880000003</v>
      </c>
      <c r="DM13" s="271">
        <v>63314742.289999999</v>
      </c>
      <c r="DN13" s="271">
        <v>55117958.060000002</v>
      </c>
      <c r="DO13" s="271">
        <v>60945374.450000003</v>
      </c>
      <c r="DP13" s="271">
        <v>51021595.460000001</v>
      </c>
      <c r="DQ13" s="271">
        <v>83389551.739999995</v>
      </c>
      <c r="DR13" s="271">
        <v>47241742.93</v>
      </c>
      <c r="DS13" s="271">
        <v>71108971.670000002</v>
      </c>
      <c r="DT13" s="271">
        <v>360434796.14999998</v>
      </c>
      <c r="DU13" s="271">
        <v>57997292.359999999</v>
      </c>
      <c r="DV13" s="271">
        <v>100443675.31</v>
      </c>
      <c r="DW13" s="271">
        <v>112754703.62</v>
      </c>
      <c r="DX13" s="271">
        <v>45577635.740000002</v>
      </c>
      <c r="DY13" s="271">
        <v>66092841.5</v>
      </c>
      <c r="DZ13" s="271">
        <v>59237538.119999997</v>
      </c>
      <c r="EA13" s="271">
        <v>17060170.800000001</v>
      </c>
      <c r="EB13" s="271">
        <v>36107026.039999999</v>
      </c>
      <c r="EC13" s="271">
        <v>38739332.140000001</v>
      </c>
      <c r="ED13" s="271">
        <v>79708279.129999995</v>
      </c>
      <c r="EE13" s="271">
        <v>241101693.47999999</v>
      </c>
      <c r="EF13" s="271">
        <v>214028140.19999999</v>
      </c>
      <c r="EG13" s="271">
        <v>48751415.240000002</v>
      </c>
      <c r="EH13" s="271">
        <v>47341033.310000002</v>
      </c>
      <c r="EI13" s="271">
        <v>53195454.420000002</v>
      </c>
      <c r="EJ13" s="271">
        <v>61332158.759999998</v>
      </c>
      <c r="EK13" s="271">
        <v>89673893.950000003</v>
      </c>
      <c r="EL13" s="271">
        <v>33123572.469999999</v>
      </c>
      <c r="EM13" s="271">
        <v>38988109.920000002</v>
      </c>
      <c r="EN13" s="271">
        <v>511601690.25</v>
      </c>
      <c r="EO13" s="271">
        <v>45522990.539999999</v>
      </c>
      <c r="EP13" s="271">
        <v>39622693.270000003</v>
      </c>
      <c r="EQ13" s="271">
        <v>38827418.600000001</v>
      </c>
      <c r="ER13" s="271">
        <v>24197184.309999999</v>
      </c>
      <c r="ES13" s="271">
        <v>24179054.920000002</v>
      </c>
      <c r="ET13" s="271">
        <v>52182360.450000003</v>
      </c>
      <c r="EU13" s="271">
        <v>48962146.490000002</v>
      </c>
      <c r="EV13" s="271">
        <v>34603872.840000004</v>
      </c>
      <c r="EW13" s="271">
        <v>346011568.79000002</v>
      </c>
      <c r="EX13" s="271">
        <v>23030225.16</v>
      </c>
      <c r="EY13" s="271">
        <v>35013532.579999998</v>
      </c>
      <c r="EZ13" s="271">
        <v>47871215.700000003</v>
      </c>
      <c r="FA13" s="271">
        <v>71296909.730000004</v>
      </c>
      <c r="FB13" s="271">
        <v>54679518.170000002</v>
      </c>
      <c r="FC13" s="271">
        <v>53905270.07</v>
      </c>
      <c r="FD13" s="271">
        <v>34174076.020000003</v>
      </c>
      <c r="FE13" s="271">
        <v>29641288.609999999</v>
      </c>
      <c r="FF13" s="271">
        <v>23134266.280000001</v>
      </c>
      <c r="FG13" s="271">
        <v>22944430</v>
      </c>
      <c r="FH13" s="271">
        <v>13601663</v>
      </c>
      <c r="FI13" s="271">
        <v>265418799.97999999</v>
      </c>
      <c r="FJ13" s="271">
        <v>38927971.439999998</v>
      </c>
      <c r="FK13" s="271">
        <v>42388112.909999996</v>
      </c>
      <c r="FL13" s="271">
        <v>42007816.130000003</v>
      </c>
      <c r="FM13" s="271">
        <v>61520402.460000001</v>
      </c>
      <c r="FN13" s="271">
        <v>52279704.890000001</v>
      </c>
      <c r="FO13" s="271">
        <v>14751892.58</v>
      </c>
      <c r="FP13" s="271">
        <v>6634512.5800000001</v>
      </c>
      <c r="FQ13" s="271">
        <v>593214192.32000005</v>
      </c>
      <c r="FR13" s="271">
        <v>34578464.560000002</v>
      </c>
      <c r="FS13" s="271">
        <v>55265991.049999997</v>
      </c>
      <c r="FT13" s="271">
        <v>49149064.920000002</v>
      </c>
      <c r="FU13" s="271">
        <v>72344355.819999993</v>
      </c>
      <c r="FV13" s="271">
        <v>34286113.390000001</v>
      </c>
      <c r="FW13" s="271">
        <v>80326978.870000005</v>
      </c>
      <c r="FX13" s="271">
        <v>47817737.560000002</v>
      </c>
      <c r="FY13" s="271">
        <v>50634580.469999999</v>
      </c>
      <c r="FZ13" s="271">
        <v>38427116.670000002</v>
      </c>
      <c r="GA13" s="271">
        <v>77532806.099999994</v>
      </c>
      <c r="GB13" s="271">
        <v>40455339.340000004</v>
      </c>
      <c r="GC13" s="271">
        <v>26177416.93</v>
      </c>
      <c r="GD13" s="271">
        <v>10714015</v>
      </c>
      <c r="GE13" s="271">
        <v>349387288.94</v>
      </c>
      <c r="GF13" s="271">
        <v>31651530</v>
      </c>
      <c r="GG13" s="271">
        <v>40263072.280000001</v>
      </c>
      <c r="GH13" s="271">
        <v>70850229.530000001</v>
      </c>
      <c r="GI13" s="271">
        <v>42598287.509999998</v>
      </c>
      <c r="GJ13" s="271">
        <v>37829562.25</v>
      </c>
      <c r="GK13" s="271">
        <v>39788470.469999999</v>
      </c>
      <c r="GL13" s="271">
        <v>85910230.060000002</v>
      </c>
      <c r="GM13" s="271">
        <v>31547192.579999998</v>
      </c>
      <c r="GN13" s="271">
        <v>12113531.939999999</v>
      </c>
      <c r="GO13" s="271">
        <v>10377777.74</v>
      </c>
      <c r="GP13" s="271">
        <v>10893858.960000001</v>
      </c>
      <c r="GQ13" s="271">
        <v>244309158.03</v>
      </c>
      <c r="GR13" s="271">
        <v>58471435.380000003</v>
      </c>
      <c r="GS13" s="271">
        <v>40009671.75</v>
      </c>
      <c r="GT13" s="271">
        <v>59311334.049999997</v>
      </c>
      <c r="GU13" s="271">
        <v>20898735.34</v>
      </c>
      <c r="GV13" s="271">
        <v>45422308.770000003</v>
      </c>
      <c r="GW13" s="271">
        <v>41625361.479999997</v>
      </c>
      <c r="GX13" s="271">
        <v>28470427.100000001</v>
      </c>
      <c r="GY13" s="271">
        <v>276085099.31999999</v>
      </c>
      <c r="GZ13" s="271">
        <v>32245260.420000002</v>
      </c>
      <c r="HA13" s="271">
        <v>70695139.670000002</v>
      </c>
      <c r="HB13" s="271">
        <v>48910103.659999996</v>
      </c>
      <c r="HC13" s="271">
        <v>474371899.24000001</v>
      </c>
      <c r="HD13" s="271">
        <v>70563295.939999998</v>
      </c>
      <c r="HE13" s="271">
        <v>78347455.629999995</v>
      </c>
      <c r="HF13" s="271">
        <v>80696983.310000002</v>
      </c>
      <c r="HG13" s="271">
        <v>61696635.520000003</v>
      </c>
      <c r="HH13" s="271">
        <v>82160513.040000007</v>
      </c>
      <c r="HI13" s="271">
        <v>14613121.23</v>
      </c>
      <c r="HJ13" s="271">
        <v>332495808.10000002</v>
      </c>
      <c r="HK13" s="271">
        <v>68219808.030000001</v>
      </c>
      <c r="HL13" s="271">
        <v>73927913.659999996</v>
      </c>
      <c r="HM13" s="271">
        <v>58013979.43</v>
      </c>
      <c r="HN13" s="271">
        <v>35027478.539999999</v>
      </c>
      <c r="HO13" s="271">
        <v>40654740.159999996</v>
      </c>
      <c r="HP13" s="271">
        <v>52589858.560000002</v>
      </c>
      <c r="HQ13" s="271">
        <v>26661160.449999999</v>
      </c>
      <c r="HR13" s="271">
        <v>421735907.23000002</v>
      </c>
      <c r="HS13" s="271">
        <v>169963646.41999999</v>
      </c>
      <c r="HT13" s="271">
        <v>50493306.490000002</v>
      </c>
      <c r="HU13" s="271">
        <v>35949242.909999996</v>
      </c>
      <c r="HV13" s="271">
        <v>33869118.159999996</v>
      </c>
      <c r="HW13" s="271">
        <v>36268102.590000004</v>
      </c>
      <c r="HX13" s="271">
        <v>74608250.420000002</v>
      </c>
      <c r="HY13" s="271">
        <v>33100435.920000002</v>
      </c>
      <c r="HZ13" s="271">
        <v>35216637.32</v>
      </c>
      <c r="IA13" s="271">
        <v>34075048.93</v>
      </c>
      <c r="IB13" s="271">
        <v>39921653.840000004</v>
      </c>
      <c r="IC13" s="271">
        <v>49872378.18</v>
      </c>
      <c r="ID13" s="271">
        <v>22422249.120000001</v>
      </c>
      <c r="IE13" s="271">
        <v>39335859.200000003</v>
      </c>
      <c r="IF13" s="271">
        <v>23108041.670000002</v>
      </c>
      <c r="IG13" s="271">
        <v>28687738.920000002</v>
      </c>
      <c r="IH13" s="271">
        <v>357021683.33999997</v>
      </c>
      <c r="II13" s="271">
        <v>167838366.47999999</v>
      </c>
      <c r="IJ13" s="271">
        <v>54705181.119999997</v>
      </c>
      <c r="IK13" s="271">
        <v>84327014.090000004</v>
      </c>
      <c r="IL13" s="271">
        <v>97383275.290000007</v>
      </c>
      <c r="IM13" s="271">
        <v>47749330.32</v>
      </c>
      <c r="IN13" s="271">
        <v>39581763.130000003</v>
      </c>
      <c r="IO13" s="271">
        <v>23730466.780000001</v>
      </c>
      <c r="IP13" s="271">
        <v>29466720.390000001</v>
      </c>
      <c r="IQ13" s="271">
        <v>29467178.370000001</v>
      </c>
      <c r="IR13" s="271">
        <v>34486330.140000001</v>
      </c>
      <c r="IS13" s="271">
        <v>530486556.91000003</v>
      </c>
      <c r="IT13" s="271">
        <v>256567928.13</v>
      </c>
      <c r="IU13" s="271">
        <v>76171174.730000004</v>
      </c>
      <c r="IV13" s="271">
        <v>46986790.689999998</v>
      </c>
      <c r="IW13" s="271">
        <v>38323480.340000004</v>
      </c>
      <c r="IX13" s="271">
        <v>23258060</v>
      </c>
      <c r="IY13" s="271">
        <v>38090107.509999998</v>
      </c>
      <c r="IZ13" s="271">
        <v>23048921.960000001</v>
      </c>
      <c r="JA13" s="271">
        <v>32979629.510000002</v>
      </c>
      <c r="JB13" s="271">
        <v>43527777.990000002</v>
      </c>
      <c r="JC13" s="271">
        <v>39480250.969999999</v>
      </c>
      <c r="JD13" s="271">
        <v>31752559.670000002</v>
      </c>
      <c r="JE13" s="271">
        <v>244274782.09999999</v>
      </c>
      <c r="JF13" s="271">
        <v>176085802.44</v>
      </c>
      <c r="JG13" s="271">
        <v>43140635.329999998</v>
      </c>
      <c r="JH13" s="271">
        <v>41490879.149999999</v>
      </c>
      <c r="JI13" s="271">
        <v>30674986.800000001</v>
      </c>
      <c r="JJ13" s="271">
        <v>34635824.32</v>
      </c>
      <c r="JK13" s="271">
        <v>254643554.13</v>
      </c>
      <c r="JL13" s="271">
        <v>29540968.469999999</v>
      </c>
      <c r="JM13" s="271">
        <v>43502198.219999999</v>
      </c>
      <c r="JN13" s="271">
        <v>55403354.140000001</v>
      </c>
      <c r="JO13" s="271">
        <v>40724158.579999998</v>
      </c>
      <c r="JP13" s="271">
        <v>73351727.439999998</v>
      </c>
      <c r="JQ13" s="271">
        <v>31661844.469999999</v>
      </c>
      <c r="JR13" s="271">
        <v>342044142.74000001</v>
      </c>
      <c r="JS13" s="271">
        <v>199383772.13</v>
      </c>
      <c r="JT13" s="271">
        <v>36747564.350000001</v>
      </c>
      <c r="JU13" s="271">
        <v>23478820.32</v>
      </c>
      <c r="JV13" s="271">
        <v>56140800.189999998</v>
      </c>
      <c r="JW13" s="271">
        <v>22739548.379999999</v>
      </c>
      <c r="JX13" s="271">
        <v>98820674.549999997</v>
      </c>
      <c r="JY13" s="271">
        <v>51760782.490000002</v>
      </c>
      <c r="JZ13" s="271">
        <v>31883912.23</v>
      </c>
      <c r="KA13" s="271">
        <v>55566634.399999999</v>
      </c>
      <c r="KB13" s="271">
        <v>36967956.210000001</v>
      </c>
      <c r="KC13" s="271">
        <v>38250288.18</v>
      </c>
      <c r="KD13" s="271">
        <v>26422695.390000001</v>
      </c>
      <c r="KE13" s="271">
        <v>14734010</v>
      </c>
      <c r="KF13" s="271">
        <v>27887613.43</v>
      </c>
      <c r="KG13" s="271">
        <v>0</v>
      </c>
      <c r="KH13" s="271">
        <v>554720403.20000005</v>
      </c>
      <c r="KI13" s="271">
        <v>72340625.780000001</v>
      </c>
      <c r="KJ13" s="271">
        <v>47401306.640000001</v>
      </c>
      <c r="KK13" s="271">
        <v>57171344.509999998</v>
      </c>
      <c r="KL13" s="271">
        <v>45373846.409999996</v>
      </c>
      <c r="KM13" s="271">
        <v>41953869.289999999</v>
      </c>
      <c r="KN13" s="271">
        <v>86898178.219999999</v>
      </c>
      <c r="KO13" s="271">
        <v>41276231.43</v>
      </c>
      <c r="KP13" s="271">
        <v>36327929.850000001</v>
      </c>
      <c r="KQ13" s="271">
        <v>191990469.59</v>
      </c>
      <c r="KR13" s="271">
        <v>39866150</v>
      </c>
      <c r="KS13" s="271">
        <v>50385659.960000001</v>
      </c>
      <c r="KT13" s="271">
        <v>84705729.709999993</v>
      </c>
      <c r="KU13" s="271">
        <v>36337330</v>
      </c>
      <c r="KV13" s="271">
        <v>45306157.130000003</v>
      </c>
      <c r="KW13" s="271">
        <v>204126302.28999999</v>
      </c>
      <c r="KX13" s="271">
        <v>57097907.340000004</v>
      </c>
      <c r="KY13" s="271">
        <v>363462674.14999998</v>
      </c>
      <c r="KZ13" s="271">
        <v>39337589.020000003</v>
      </c>
      <c r="LA13" s="271">
        <v>35856902.229999997</v>
      </c>
      <c r="LB13" s="271">
        <v>67636364.090000004</v>
      </c>
      <c r="LC13" s="271">
        <v>65390231.310000002</v>
      </c>
      <c r="LD13" s="271">
        <v>48852717.649999999</v>
      </c>
      <c r="LE13" s="271">
        <v>40989714.770000003</v>
      </c>
      <c r="LF13" s="271">
        <v>27372128.870000001</v>
      </c>
      <c r="LG13" s="271">
        <v>594482442.72000003</v>
      </c>
      <c r="LH13" s="271">
        <v>175444907.96000001</v>
      </c>
      <c r="LI13" s="271">
        <v>241293206.97999999</v>
      </c>
      <c r="LJ13" s="271">
        <v>197286762.47</v>
      </c>
      <c r="LK13" s="271">
        <v>43306184.280000001</v>
      </c>
      <c r="LL13" s="271">
        <v>51618266.93</v>
      </c>
      <c r="LM13" s="271">
        <v>35464767.350000001</v>
      </c>
      <c r="LN13" s="271">
        <v>63699740.149999999</v>
      </c>
      <c r="LO13" s="271">
        <v>32057286.309999999</v>
      </c>
      <c r="LP13" s="271">
        <v>57340522.210000001</v>
      </c>
      <c r="LQ13" s="271">
        <v>11570588.68</v>
      </c>
      <c r="LR13" s="271">
        <v>266609735.43000001</v>
      </c>
      <c r="LS13" s="271">
        <v>80347986.760000005</v>
      </c>
      <c r="LT13" s="271">
        <v>47488077.439999998</v>
      </c>
      <c r="LU13" s="271">
        <v>457246849.14999998</v>
      </c>
      <c r="LV13" s="271">
        <v>179039017.88999999</v>
      </c>
      <c r="LW13" s="271">
        <v>490898396.25999999</v>
      </c>
      <c r="LX13" s="271">
        <v>196287837.34999999</v>
      </c>
      <c r="LY13" s="271">
        <v>75096802.920000002</v>
      </c>
      <c r="LZ13" s="271">
        <v>68018632.980000004</v>
      </c>
      <c r="MA13" s="271">
        <v>64807220.049999997</v>
      </c>
      <c r="MB13" s="271">
        <v>57605949.229999997</v>
      </c>
      <c r="MC13" s="271">
        <v>58513431.909999996</v>
      </c>
      <c r="MD13" s="271">
        <v>56221023.439999998</v>
      </c>
      <c r="ME13" s="271">
        <v>98816513.989999995</v>
      </c>
      <c r="MF13" s="271">
        <v>36548640.729999997</v>
      </c>
      <c r="MG13" s="271">
        <v>575236993.84000003</v>
      </c>
      <c r="MH13" s="271">
        <v>39690910.649999999</v>
      </c>
      <c r="MI13" s="271">
        <v>28612895.989999998</v>
      </c>
      <c r="MJ13" s="271">
        <v>29558413.98</v>
      </c>
      <c r="MK13" s="271">
        <v>27899339.210000001</v>
      </c>
      <c r="ML13" s="271">
        <v>43270385.549999997</v>
      </c>
      <c r="MM13" s="271">
        <v>33007299.440000001</v>
      </c>
      <c r="MN13" s="271">
        <v>32596129.899999999</v>
      </c>
      <c r="MO13" s="271">
        <v>49942995.420000002</v>
      </c>
      <c r="MP13" s="271">
        <v>26731842.48</v>
      </c>
      <c r="MQ13" s="271">
        <v>30816017</v>
      </c>
      <c r="MR13" s="271">
        <v>30983996.390000001</v>
      </c>
      <c r="MS13" s="271">
        <v>436262781.36000001</v>
      </c>
      <c r="MT13" s="271">
        <v>33204643.059999999</v>
      </c>
      <c r="MU13" s="271">
        <v>46572586.07</v>
      </c>
      <c r="MV13" s="271">
        <v>68293793</v>
      </c>
      <c r="MW13" s="271">
        <v>71167160.579999998</v>
      </c>
      <c r="MX13" s="271">
        <v>46650363.719999999</v>
      </c>
      <c r="MY13" s="271">
        <v>78691380.049899995</v>
      </c>
      <c r="MZ13" s="271">
        <v>77207332.459999993</v>
      </c>
      <c r="NA13" s="271">
        <v>46210815.890000001</v>
      </c>
      <c r="NB13" s="271">
        <v>21166094.530000001</v>
      </c>
      <c r="NC13" s="271">
        <v>12774386.58</v>
      </c>
      <c r="ND13" s="271">
        <v>667010847.61000001</v>
      </c>
      <c r="NE13" s="271">
        <v>90741410.579999998</v>
      </c>
      <c r="NF13" s="271">
        <v>34210787.060000002</v>
      </c>
      <c r="NG13" s="271">
        <v>200950470.16</v>
      </c>
      <c r="NH13" s="271">
        <v>34358951.810000002</v>
      </c>
      <c r="NI13" s="271">
        <v>70418501</v>
      </c>
      <c r="NJ13" s="271">
        <v>129988490.67</v>
      </c>
      <c r="NK13" s="271">
        <v>122290452.12</v>
      </c>
      <c r="NL13" s="271">
        <v>13959827.199999999</v>
      </c>
      <c r="NM13" s="271">
        <v>61593523.590000004</v>
      </c>
      <c r="NN13" s="271">
        <v>47337000.119999997</v>
      </c>
      <c r="NO13" s="271">
        <v>17566335</v>
      </c>
      <c r="NP13" s="271">
        <v>253055854.5</v>
      </c>
      <c r="NQ13" s="271">
        <v>37843073.829999998</v>
      </c>
      <c r="NR13" s="271">
        <v>36371869.770000003</v>
      </c>
      <c r="NS13" s="271">
        <v>34787204.07</v>
      </c>
      <c r="NT13" s="271">
        <v>34100671.479999997</v>
      </c>
      <c r="NU13" s="271">
        <v>9366797.5800000001</v>
      </c>
      <c r="NV13" s="271">
        <v>16872255.48</v>
      </c>
      <c r="NW13" s="271">
        <v>384484185.89999998</v>
      </c>
      <c r="NX13" s="271">
        <v>144963834.11000001</v>
      </c>
      <c r="NY13" s="271">
        <v>36463955.880000003</v>
      </c>
      <c r="NZ13" s="271">
        <v>32876308.649999999</v>
      </c>
      <c r="OA13" s="271">
        <v>44798816.810000002</v>
      </c>
      <c r="OB13" s="271">
        <v>57518875.350000001</v>
      </c>
      <c r="OC13" s="271">
        <v>26030389.829999998</v>
      </c>
      <c r="OD13" s="271">
        <v>434413943.72000003</v>
      </c>
      <c r="OE13" s="271">
        <v>130048908.79000001</v>
      </c>
      <c r="OF13" s="271">
        <v>60382773.859999999</v>
      </c>
      <c r="OG13" s="271">
        <v>131419537.45999999</v>
      </c>
      <c r="OH13" s="271">
        <v>41206018.299999997</v>
      </c>
      <c r="OI13" s="271">
        <v>61788133.490000002</v>
      </c>
      <c r="OJ13" s="271">
        <v>44458891</v>
      </c>
      <c r="OK13" s="271">
        <v>22596014.879999999</v>
      </c>
      <c r="OL13" s="271">
        <v>15979673.33</v>
      </c>
      <c r="OM13" s="271">
        <v>381394332.52999997</v>
      </c>
      <c r="ON13" s="271">
        <v>103814369.38</v>
      </c>
      <c r="OO13" s="271">
        <v>119249651.2</v>
      </c>
      <c r="OP13" s="271">
        <v>66175310.189999998</v>
      </c>
      <c r="OQ13" s="271">
        <v>47628818.189999998</v>
      </c>
      <c r="OR13" s="271">
        <v>18887635.280000001</v>
      </c>
      <c r="OS13" s="271">
        <v>228775315.34</v>
      </c>
      <c r="OT13" s="271">
        <v>31637943.82</v>
      </c>
      <c r="OU13" s="271">
        <v>31901200.809999999</v>
      </c>
      <c r="OV13" s="271">
        <v>51603201.020000003</v>
      </c>
      <c r="OW13" s="271">
        <v>56551933.560000002</v>
      </c>
      <c r="OX13" s="271">
        <v>100774214.76000001</v>
      </c>
      <c r="OY13" s="271">
        <v>35386629.039999999</v>
      </c>
      <c r="OZ13" s="271">
        <v>13677189.52</v>
      </c>
      <c r="PA13" s="271">
        <v>14952827.42</v>
      </c>
      <c r="PB13" s="271">
        <v>369507462.01999998</v>
      </c>
      <c r="PC13" s="271">
        <v>30028672.640000001</v>
      </c>
      <c r="PD13" s="271">
        <v>87823183</v>
      </c>
      <c r="PE13" s="271">
        <v>29460291.649999999</v>
      </c>
      <c r="PF13" s="271">
        <v>52780115.090000004</v>
      </c>
      <c r="PG13" s="271">
        <v>98909387.040000007</v>
      </c>
      <c r="PH13" s="271">
        <v>35290006.460000001</v>
      </c>
      <c r="PI13" s="271">
        <v>33898195.890000001</v>
      </c>
      <c r="PJ13" s="271">
        <v>42648039.68</v>
      </c>
      <c r="PK13" s="271">
        <v>35300014.909999996</v>
      </c>
      <c r="PL13" s="271">
        <v>40790276.340000004</v>
      </c>
      <c r="PM13" s="271">
        <v>55027136.350000001</v>
      </c>
      <c r="PN13" s="271">
        <v>33634259.219999999</v>
      </c>
      <c r="PO13" s="271">
        <v>102213167.33</v>
      </c>
      <c r="PP13" s="271">
        <v>11472135.32</v>
      </c>
      <c r="PQ13" s="271">
        <v>14192221</v>
      </c>
      <c r="PR13" s="271">
        <v>10737158.550000001</v>
      </c>
      <c r="PS13" s="271">
        <v>12197885.189999999</v>
      </c>
      <c r="PT13" s="271">
        <v>808144899.35000002</v>
      </c>
      <c r="PU13" s="271">
        <v>51743812.479999997</v>
      </c>
      <c r="PV13" s="271">
        <v>49506542.119999997</v>
      </c>
      <c r="PW13" s="271">
        <v>72250701.260000005</v>
      </c>
      <c r="PX13" s="271">
        <v>149134640.40000001</v>
      </c>
      <c r="PY13" s="271">
        <v>49980726.590000004</v>
      </c>
      <c r="PZ13" s="271">
        <v>105348299.23999999</v>
      </c>
      <c r="QA13" s="271">
        <v>47321479.149999999</v>
      </c>
      <c r="QB13" s="271">
        <v>96802243.590000004</v>
      </c>
      <c r="QC13" s="271">
        <v>31940682.489999998</v>
      </c>
      <c r="QD13" s="271">
        <v>88459013.370000005</v>
      </c>
      <c r="QE13" s="271">
        <v>32966810.84</v>
      </c>
      <c r="QF13" s="271">
        <v>39177294.880000003</v>
      </c>
      <c r="QG13" s="271">
        <v>54998128.079999998</v>
      </c>
      <c r="QH13" s="271">
        <v>73257871.290000007</v>
      </c>
      <c r="QI13" s="271">
        <v>76741414.609999999</v>
      </c>
      <c r="QJ13" s="271">
        <v>45453108.479999997</v>
      </c>
      <c r="QK13" s="271">
        <v>40980079.229999997</v>
      </c>
      <c r="QL13" s="271">
        <v>33671040.32</v>
      </c>
      <c r="QM13" s="271">
        <v>78734520.530000001</v>
      </c>
      <c r="QN13" s="271">
        <v>85176048.450000003</v>
      </c>
      <c r="QO13" s="271">
        <v>34291716.740000002</v>
      </c>
      <c r="QP13" s="271">
        <v>8941952.1500000004</v>
      </c>
      <c r="QQ13" s="271">
        <v>6512587.7400000002</v>
      </c>
      <c r="QR13" s="271">
        <v>8266980</v>
      </c>
      <c r="QS13" s="271">
        <v>8020863.7000000002</v>
      </c>
      <c r="QT13" s="271">
        <v>408635667.39999998</v>
      </c>
      <c r="QU13" s="271">
        <v>32442775.640000001</v>
      </c>
      <c r="QV13" s="271">
        <v>85895566.420000002</v>
      </c>
      <c r="QW13" s="271">
        <v>58815195.189999998</v>
      </c>
      <c r="QX13" s="271">
        <v>53336620</v>
      </c>
      <c r="QY13" s="271">
        <v>77719970.969999999</v>
      </c>
      <c r="QZ13" s="271">
        <v>35271321.75</v>
      </c>
      <c r="RA13" s="271">
        <v>74900991.620000005</v>
      </c>
      <c r="RB13" s="271">
        <v>82881403.230000004</v>
      </c>
      <c r="RC13" s="271">
        <v>34438200</v>
      </c>
      <c r="RD13" s="271">
        <v>26686010</v>
      </c>
      <c r="RE13" s="271">
        <v>11853112</v>
      </c>
      <c r="RF13" s="271">
        <v>11197569.68</v>
      </c>
      <c r="RG13" s="271">
        <v>559056083.60000002</v>
      </c>
      <c r="RH13" s="271">
        <v>65854474.899999999</v>
      </c>
      <c r="RI13" s="271">
        <v>36150698.969999999</v>
      </c>
      <c r="RJ13" s="271">
        <v>49286596.600000001</v>
      </c>
      <c r="RK13" s="271">
        <v>47422385.130000003</v>
      </c>
      <c r="RL13" s="271">
        <v>50797479.299999997</v>
      </c>
      <c r="RM13" s="271">
        <v>84061069.269999996</v>
      </c>
      <c r="RN13" s="271">
        <v>35223340.619999997</v>
      </c>
      <c r="RO13" s="271">
        <v>42161243.170000002</v>
      </c>
      <c r="RP13" s="271">
        <v>77484917.079999998</v>
      </c>
      <c r="RQ13" s="271">
        <v>86329158.819999993</v>
      </c>
      <c r="RR13" s="271">
        <v>35333836.100000001</v>
      </c>
      <c r="RS13" s="271">
        <v>24241296.890000001</v>
      </c>
      <c r="RT13" s="271">
        <v>41497543.439999998</v>
      </c>
      <c r="RU13" s="271">
        <v>24730405.52</v>
      </c>
      <c r="RV13" s="271">
        <v>33669264.840000004</v>
      </c>
      <c r="RW13" s="271">
        <v>46268774.060000002</v>
      </c>
      <c r="RX13" s="271">
        <v>792280</v>
      </c>
      <c r="RY13" s="271">
        <v>465398.48</v>
      </c>
      <c r="RZ13" s="271">
        <v>605924.48</v>
      </c>
      <c r="SA13" s="271">
        <v>284269246.19999999</v>
      </c>
      <c r="SB13" s="271">
        <v>35521513.82</v>
      </c>
      <c r="SC13" s="271">
        <v>41587588.93</v>
      </c>
      <c r="SD13" s="271">
        <v>41181121.840000004</v>
      </c>
      <c r="SE13" s="271">
        <v>23599251.449999999</v>
      </c>
      <c r="SF13" s="271">
        <v>43731593.420000002</v>
      </c>
      <c r="SG13" s="271">
        <v>57437345.350000001</v>
      </c>
      <c r="SH13" s="271">
        <v>58918436.82</v>
      </c>
      <c r="SI13" s="271">
        <v>36700894.090000004</v>
      </c>
      <c r="SJ13" s="271">
        <v>32016170.579999998</v>
      </c>
      <c r="SK13" s="271">
        <v>80350165.939999998</v>
      </c>
      <c r="SL13" s="271">
        <v>7136010</v>
      </c>
      <c r="SM13" s="271">
        <v>127524464.27</v>
      </c>
      <c r="SN13" s="271">
        <v>31689717.82</v>
      </c>
      <c r="SO13" s="271">
        <v>36929430.049999997</v>
      </c>
      <c r="SP13" s="271">
        <v>56074816.649999999</v>
      </c>
      <c r="SQ13" s="271">
        <v>38097304.469999999</v>
      </c>
      <c r="SR13" s="271">
        <v>30379975.09</v>
      </c>
      <c r="SS13" s="271">
        <v>34395976.07</v>
      </c>
      <c r="ST13" s="271">
        <v>18622254.890000001</v>
      </c>
      <c r="SU13" s="271">
        <v>319023080.85000002</v>
      </c>
      <c r="SV13" s="271">
        <v>23940029.140000001</v>
      </c>
      <c r="SW13" s="271">
        <v>43769225.399999999</v>
      </c>
      <c r="SX13" s="271">
        <v>29247899.129999999</v>
      </c>
      <c r="SY13" s="271">
        <v>19255621.07</v>
      </c>
      <c r="SZ13" s="271">
        <v>29176191.239999998</v>
      </c>
      <c r="TA13" s="271">
        <v>31533344.670000002</v>
      </c>
      <c r="TB13" s="271">
        <v>91757804.840000004</v>
      </c>
      <c r="TC13" s="271">
        <v>32928581.57</v>
      </c>
      <c r="TD13" s="271">
        <v>28748699.809999999</v>
      </c>
      <c r="TE13" s="271">
        <v>31317408.18</v>
      </c>
      <c r="TF13" s="271">
        <v>54673344.420000002</v>
      </c>
      <c r="TG13" s="271">
        <v>27632594.57</v>
      </c>
      <c r="TH13" s="271">
        <v>17825662.260000002</v>
      </c>
      <c r="TI13" s="271">
        <v>488815141.12</v>
      </c>
      <c r="TJ13" s="271">
        <v>34478098.560000002</v>
      </c>
      <c r="TK13" s="271">
        <v>27841967.98</v>
      </c>
      <c r="TL13" s="271">
        <v>65443132.670000002</v>
      </c>
      <c r="TM13" s="271">
        <v>62744979.850000001</v>
      </c>
      <c r="TN13" s="271">
        <v>36746096.520000003</v>
      </c>
      <c r="TO13" s="271">
        <v>19910571.73</v>
      </c>
      <c r="TP13" s="271">
        <v>86631259.5</v>
      </c>
      <c r="TQ13" s="271">
        <v>33182229.32</v>
      </c>
      <c r="TR13" s="271">
        <v>51311739.060000002</v>
      </c>
      <c r="TS13" s="271">
        <v>63853466.119999997</v>
      </c>
      <c r="TT13" s="271">
        <v>32250804.050000001</v>
      </c>
      <c r="TU13" s="271">
        <v>26355751.640000001</v>
      </c>
      <c r="TV13" s="271">
        <v>42319684.439999998</v>
      </c>
      <c r="TW13" s="271">
        <v>30401200.27</v>
      </c>
      <c r="TX13" s="271">
        <v>26234595.379999999</v>
      </c>
      <c r="TY13" s="271">
        <v>141800276.69</v>
      </c>
      <c r="TZ13" s="271">
        <v>27985225.059999999</v>
      </c>
      <c r="UA13" s="271">
        <v>295432877.60000002</v>
      </c>
      <c r="UB13" s="271">
        <v>77512730.560000002</v>
      </c>
      <c r="UC13" s="271">
        <v>35458222.689999998</v>
      </c>
      <c r="UD13" s="271">
        <v>26795474.329999998</v>
      </c>
      <c r="UE13" s="271">
        <v>141980511.22</v>
      </c>
      <c r="UF13" s="271">
        <v>22198930</v>
      </c>
      <c r="UG13" s="271">
        <v>10932683.220000001</v>
      </c>
      <c r="UH13" s="271">
        <v>16629947.9</v>
      </c>
      <c r="UI13" s="271">
        <v>14228513.33</v>
      </c>
      <c r="UJ13" s="271">
        <v>201699581.5</v>
      </c>
      <c r="UK13" s="271">
        <v>54474314.460000001</v>
      </c>
      <c r="UL13" s="271">
        <v>40898546.039999999</v>
      </c>
      <c r="UM13" s="271">
        <v>59904080.119999997</v>
      </c>
      <c r="UN13" s="271">
        <v>38840202.75</v>
      </c>
      <c r="UO13" s="271">
        <v>22517449.739999998</v>
      </c>
      <c r="UP13" s="271">
        <v>736149774.30999994</v>
      </c>
      <c r="UQ13" s="271">
        <v>43143823.460000001</v>
      </c>
      <c r="UR13" s="271">
        <v>46298541.520000003</v>
      </c>
      <c r="US13" s="271">
        <v>125896278.28</v>
      </c>
      <c r="UT13" s="271">
        <v>13824092.26</v>
      </c>
      <c r="UU13" s="271">
        <v>35732854.210000001</v>
      </c>
      <c r="UV13" s="271">
        <v>84545934.099999994</v>
      </c>
      <c r="UW13" s="271">
        <v>32992738.48</v>
      </c>
      <c r="UX13" s="271">
        <v>24351588.079999998</v>
      </c>
      <c r="UY13" s="271">
        <v>33481066.77</v>
      </c>
      <c r="UZ13" s="271">
        <v>44523322.140000001</v>
      </c>
      <c r="VA13" s="271">
        <v>73210835.310000002</v>
      </c>
      <c r="VB13" s="271">
        <v>48181062.439999998</v>
      </c>
      <c r="VC13" s="271">
        <v>62308691.460000001</v>
      </c>
      <c r="VD13" s="271">
        <v>24541534.050000001</v>
      </c>
      <c r="VE13" s="271">
        <v>28326449.899999999</v>
      </c>
      <c r="VF13" s="271">
        <v>16165553.199999999</v>
      </c>
      <c r="VG13" s="271">
        <v>27473666.77</v>
      </c>
      <c r="VH13" s="271">
        <v>77041385.930000007</v>
      </c>
      <c r="VI13" s="271">
        <v>11255010.279999999</v>
      </c>
      <c r="VJ13" s="271">
        <v>12935556.640000001</v>
      </c>
      <c r="VK13" s="271">
        <v>13451862.039999999</v>
      </c>
      <c r="VL13" s="271">
        <v>387460006.08999997</v>
      </c>
      <c r="VM13" s="271">
        <v>48467030.659999996</v>
      </c>
      <c r="VN13" s="271">
        <v>48058767.350000001</v>
      </c>
      <c r="VO13" s="271">
        <v>55148035.479999997</v>
      </c>
      <c r="VP13" s="271">
        <v>69772073.969999999</v>
      </c>
      <c r="VQ13" s="271">
        <v>64575002.299999997</v>
      </c>
      <c r="VR13" s="271">
        <v>52158371.289999999</v>
      </c>
      <c r="VS13" s="271">
        <v>42308651.460000001</v>
      </c>
      <c r="VT13" s="271">
        <v>37612752.399999999</v>
      </c>
      <c r="VU13" s="271">
        <v>121112596.06</v>
      </c>
      <c r="VV13" s="271">
        <v>37215499.770000003</v>
      </c>
      <c r="VW13" s="271">
        <v>73420207.230000004</v>
      </c>
      <c r="VX13" s="271">
        <v>36494330.93</v>
      </c>
      <c r="VY13" s="271">
        <v>27631289.609999999</v>
      </c>
      <c r="VZ13" s="271">
        <v>31718636.780000001</v>
      </c>
      <c r="WA13" s="271">
        <v>1041816172.73</v>
      </c>
      <c r="WB13" s="271">
        <v>74939827.180000007</v>
      </c>
      <c r="WC13" s="271">
        <v>49787420.710000001</v>
      </c>
      <c r="WD13" s="271">
        <v>48658933.079999998</v>
      </c>
      <c r="WE13" s="271">
        <v>30717670.969999999</v>
      </c>
      <c r="WF13" s="271">
        <v>61094301.130000003</v>
      </c>
      <c r="WG13" s="271">
        <v>77316152.810000002</v>
      </c>
      <c r="WH13" s="271">
        <v>77985285.640000001</v>
      </c>
      <c r="WI13" s="271">
        <v>55721142.740000002</v>
      </c>
      <c r="WJ13" s="271">
        <v>72245174.859999999</v>
      </c>
      <c r="WK13" s="271">
        <v>49424997.020000003</v>
      </c>
      <c r="WL13" s="271">
        <v>87844926.420000002</v>
      </c>
      <c r="WM13" s="271">
        <v>55437678.210000001</v>
      </c>
      <c r="WN13" s="271">
        <v>81253805.799999997</v>
      </c>
      <c r="WO13" s="271">
        <v>94157562.829999998</v>
      </c>
      <c r="WP13" s="271">
        <v>50093895.82</v>
      </c>
      <c r="WQ13" s="271">
        <v>62569966.109999999</v>
      </c>
      <c r="WR13" s="271">
        <v>71367759.730000004</v>
      </c>
      <c r="WS13" s="271">
        <v>45816866.979999997</v>
      </c>
      <c r="WT13" s="271">
        <v>90819434.819999993</v>
      </c>
      <c r="WU13" s="271">
        <v>165101628.56</v>
      </c>
      <c r="WV13" s="271">
        <v>50618039.289999999</v>
      </c>
      <c r="WW13" s="271">
        <v>33663569.939999998</v>
      </c>
      <c r="WX13" s="271">
        <v>32051439.52</v>
      </c>
      <c r="WY13" s="271">
        <v>37987388.810000002</v>
      </c>
      <c r="WZ13" s="271">
        <v>24276341.260000002</v>
      </c>
      <c r="XA13" s="271">
        <v>29570104.82</v>
      </c>
      <c r="XB13" s="271">
        <v>27351510.760000002</v>
      </c>
      <c r="XC13" s="271">
        <v>123282567.7</v>
      </c>
      <c r="XD13" s="271">
        <v>16070229.66</v>
      </c>
      <c r="XE13" s="271">
        <v>10485664.83</v>
      </c>
      <c r="XF13" s="271">
        <v>11243225.16</v>
      </c>
      <c r="XG13" s="271">
        <v>10638359.189999999</v>
      </c>
      <c r="XH13" s="271">
        <v>552015837.5</v>
      </c>
      <c r="XI13" s="271">
        <v>52249025.469999999</v>
      </c>
      <c r="XJ13" s="271">
        <v>54643707.600000001</v>
      </c>
      <c r="XK13" s="271">
        <v>213518049.25999999</v>
      </c>
      <c r="XL13" s="271">
        <v>56494028.990000002</v>
      </c>
      <c r="XM13" s="271">
        <v>60085611.789999999</v>
      </c>
      <c r="XN13" s="271">
        <v>96907247.680000007</v>
      </c>
      <c r="XO13" s="271">
        <v>41369933.969999999</v>
      </c>
      <c r="XP13" s="271">
        <v>49799051.049999997</v>
      </c>
      <c r="XQ13" s="271">
        <v>87269183.890000001</v>
      </c>
      <c r="XR13" s="271">
        <v>62819171.710000001</v>
      </c>
      <c r="XS13" s="271">
        <v>34251685.539999999</v>
      </c>
      <c r="XT13" s="271">
        <v>31338253.23</v>
      </c>
      <c r="XU13" s="271">
        <v>34067761.390000001</v>
      </c>
      <c r="XV13" s="271">
        <v>31492445.16</v>
      </c>
      <c r="XW13" s="271">
        <v>32839271.899999999</v>
      </c>
      <c r="XX13" s="271">
        <v>21362233.890000001</v>
      </c>
      <c r="XY13" s="271">
        <v>26358849.559999999</v>
      </c>
      <c r="XZ13" s="271">
        <v>26261495.16</v>
      </c>
      <c r="YA13" s="271">
        <v>25667815.59</v>
      </c>
      <c r="YB13" s="271">
        <v>25478867.219999999</v>
      </c>
      <c r="YC13" s="271">
        <v>17075096.129999999</v>
      </c>
      <c r="YD13" s="271">
        <v>17100336.449999999</v>
      </c>
      <c r="YE13" s="271">
        <v>630290535.11000001</v>
      </c>
      <c r="YF13" s="271">
        <v>42567218.770000003</v>
      </c>
      <c r="YG13" s="271">
        <v>73149333.920000002</v>
      </c>
      <c r="YH13" s="271">
        <v>46424457.359999999</v>
      </c>
      <c r="YI13" s="271">
        <v>128029681.44</v>
      </c>
      <c r="YJ13" s="271">
        <v>47980834.369999997</v>
      </c>
      <c r="YK13" s="271">
        <v>74003447.909999996</v>
      </c>
      <c r="YL13" s="271">
        <v>30532407.239999998</v>
      </c>
      <c r="YM13" s="271">
        <v>85480355.719999999</v>
      </c>
      <c r="YN13" s="271">
        <v>80471001.650000006</v>
      </c>
      <c r="YO13" s="271">
        <v>58572292.18</v>
      </c>
      <c r="YP13" s="271">
        <v>34603194.109999999</v>
      </c>
      <c r="YQ13" s="271">
        <v>29083335.399999999</v>
      </c>
      <c r="YR13" s="271">
        <v>25230152.260000002</v>
      </c>
      <c r="YS13" s="271">
        <v>16762706.77</v>
      </c>
      <c r="YT13" s="271">
        <v>13926577.09</v>
      </c>
      <c r="YU13" s="271">
        <v>9709007.0899999999</v>
      </c>
      <c r="YV13" s="271">
        <v>261862136.72</v>
      </c>
      <c r="YW13" s="271">
        <v>45677952.159999996</v>
      </c>
      <c r="YX13" s="271">
        <v>42526320.649999999</v>
      </c>
      <c r="YY13" s="271">
        <v>34338424.409999996</v>
      </c>
      <c r="YZ13" s="271">
        <v>44862680.640000001</v>
      </c>
      <c r="ZA13" s="271">
        <v>32247395</v>
      </c>
      <c r="ZB13" s="271">
        <v>33290490</v>
      </c>
      <c r="ZC13" s="271">
        <v>291835542.89999998</v>
      </c>
      <c r="ZD13" s="271">
        <v>35363014.280000001</v>
      </c>
      <c r="ZE13" s="271">
        <v>42196833.439999998</v>
      </c>
      <c r="ZF13" s="271">
        <v>56253525.789999999</v>
      </c>
      <c r="ZG13" s="271">
        <v>32065256.27</v>
      </c>
      <c r="ZH13" s="271">
        <v>42983319.759999998</v>
      </c>
      <c r="ZI13" s="271">
        <v>30461270</v>
      </c>
      <c r="ZJ13" s="271">
        <v>28159124.690000001</v>
      </c>
      <c r="ZK13" s="271">
        <v>88601305.099999994</v>
      </c>
      <c r="ZL13" s="271">
        <v>432465504.74000001</v>
      </c>
      <c r="ZM13" s="271">
        <v>30301150.649999999</v>
      </c>
      <c r="ZN13" s="271">
        <v>80455409.629999995</v>
      </c>
      <c r="ZO13" s="271">
        <v>128919165.34</v>
      </c>
      <c r="ZP13" s="271">
        <v>87203884.719999999</v>
      </c>
      <c r="ZQ13" s="271">
        <v>40048755.159999996</v>
      </c>
      <c r="ZR13" s="271">
        <v>43527066.329999998</v>
      </c>
      <c r="ZS13" s="271">
        <v>77174639.890000001</v>
      </c>
      <c r="ZT13" s="271">
        <v>77916814.950000003</v>
      </c>
      <c r="ZU13" s="271">
        <v>92272523.620000005</v>
      </c>
      <c r="ZV13" s="271">
        <v>32150428.859999999</v>
      </c>
      <c r="ZW13" s="271">
        <v>32739287.280000001</v>
      </c>
      <c r="ZX13" s="271">
        <v>28024659.329999998</v>
      </c>
      <c r="ZY13" s="271">
        <v>43543544.539999999</v>
      </c>
      <c r="ZZ13" s="271">
        <v>36616066.780000001</v>
      </c>
      <c r="AAA13" s="271">
        <v>36435263.539999999</v>
      </c>
      <c r="AAB13" s="271">
        <v>33659491.670000002</v>
      </c>
      <c r="AAC13" s="271">
        <v>19083072.25</v>
      </c>
      <c r="AAD13" s="271">
        <v>21701042.899999999</v>
      </c>
      <c r="AAE13" s="271">
        <v>16096276.66</v>
      </c>
      <c r="AAF13" s="271">
        <v>15688527.33</v>
      </c>
      <c r="AAG13" s="271">
        <v>13404004.58</v>
      </c>
      <c r="AAH13" s="271">
        <v>225131665.27000001</v>
      </c>
      <c r="AAI13" s="271">
        <v>31903655</v>
      </c>
      <c r="AAJ13" s="271">
        <v>31915917.449999999</v>
      </c>
      <c r="AAK13" s="271">
        <v>39035592.789999999</v>
      </c>
      <c r="AAL13" s="271">
        <v>36637927.119999997</v>
      </c>
      <c r="AAM13" s="271">
        <v>37523753.18</v>
      </c>
      <c r="AAN13" s="271">
        <v>30430695.48</v>
      </c>
      <c r="AAO13" s="271">
        <v>982488976.26999998</v>
      </c>
      <c r="AAP13" s="271">
        <v>39318145.68</v>
      </c>
      <c r="AAQ13" s="271">
        <v>22335755.059999999</v>
      </c>
      <c r="AAR13" s="271">
        <v>65426375.520000003</v>
      </c>
      <c r="AAS13" s="271">
        <v>48244846.350000001</v>
      </c>
      <c r="AAT13" s="271">
        <v>36147075.060000002</v>
      </c>
      <c r="AAU13" s="271">
        <v>36445294.259999998</v>
      </c>
      <c r="AAV13" s="271">
        <v>45003536.530000001</v>
      </c>
      <c r="AAW13" s="271">
        <v>64147446.450000003</v>
      </c>
      <c r="AAX13" s="271">
        <v>23336044</v>
      </c>
      <c r="AAY13" s="271">
        <v>48628088.670000002</v>
      </c>
      <c r="AAZ13" s="271">
        <v>138297304.01999998</v>
      </c>
      <c r="ABA13" s="271">
        <v>77133884.75</v>
      </c>
      <c r="ABB13" s="271">
        <v>27690664</v>
      </c>
      <c r="ABC13" s="271">
        <v>30426606.879999999</v>
      </c>
      <c r="ABD13" s="271">
        <v>36615036.57</v>
      </c>
      <c r="ABE13" s="271">
        <v>22423067.239999998</v>
      </c>
      <c r="ABF13" s="271">
        <v>27406270.73</v>
      </c>
      <c r="ABG13" s="271">
        <v>19476634.350000001</v>
      </c>
      <c r="ABH13" s="271">
        <v>167568145.09</v>
      </c>
      <c r="ABI13" s="271">
        <v>115346336.40000001</v>
      </c>
      <c r="ABJ13" s="271">
        <v>17283887.100000001</v>
      </c>
      <c r="ABK13" s="271">
        <v>13175273.73</v>
      </c>
      <c r="ABL13" s="271">
        <v>16656320</v>
      </c>
      <c r="ABM13" s="271">
        <v>11505390.73</v>
      </c>
      <c r="ABN13" s="271">
        <v>17165753.98</v>
      </c>
      <c r="ABO13" s="271">
        <v>254911269.31999999</v>
      </c>
      <c r="ABP13" s="271">
        <v>43908842.469999999</v>
      </c>
      <c r="ABQ13" s="271">
        <v>23510120.02</v>
      </c>
      <c r="ABR13" s="271">
        <v>51088785.280000001</v>
      </c>
      <c r="ABS13" s="271">
        <v>56652488.200000003</v>
      </c>
      <c r="ABT13" s="271">
        <v>36749016.439999998</v>
      </c>
      <c r="ABU13" s="271">
        <v>35028622.990000002</v>
      </c>
      <c r="ABV13" s="271">
        <v>48576345.240000002</v>
      </c>
      <c r="ABW13" s="271">
        <v>9767296.2100000009</v>
      </c>
      <c r="ABX13" s="271">
        <v>341872396.81999999</v>
      </c>
      <c r="ABY13" s="271">
        <v>31358425.039999999</v>
      </c>
      <c r="ABZ13" s="271">
        <v>56521249.990000002</v>
      </c>
      <c r="ACA13" s="271">
        <v>39038135.189999998</v>
      </c>
      <c r="ACB13" s="271">
        <v>25355505.239999998</v>
      </c>
      <c r="ACC13" s="271">
        <v>91160213.840000004</v>
      </c>
      <c r="ACD13" s="271">
        <v>22378851.98</v>
      </c>
      <c r="ACE13" s="271">
        <v>44177481.909999996</v>
      </c>
      <c r="ACF13" s="271">
        <v>28891242</v>
      </c>
      <c r="ACG13" s="271">
        <v>58128084.670000002</v>
      </c>
      <c r="ACH13" s="271">
        <v>28728647.829999998</v>
      </c>
      <c r="ACI13" s="271">
        <v>648576047.01999998</v>
      </c>
      <c r="ACJ13" s="271">
        <v>42666852.490000002</v>
      </c>
      <c r="ACK13" s="271">
        <v>50801047.329999998</v>
      </c>
      <c r="ACL13" s="271">
        <v>77687477.689999998</v>
      </c>
      <c r="ACM13" s="271">
        <v>33771713.549999997</v>
      </c>
      <c r="ACN13" s="271">
        <v>45525162.469999999</v>
      </c>
      <c r="ACO13" s="271">
        <v>58824208.329999998</v>
      </c>
      <c r="ACP13" s="271">
        <v>122667756.09999999</v>
      </c>
      <c r="ACQ13" s="271">
        <v>169606248.83000001</v>
      </c>
      <c r="ACR13" s="271">
        <v>44563925.329999998</v>
      </c>
      <c r="ACS13" s="271">
        <v>43103493.759999998</v>
      </c>
      <c r="ACT13" s="271">
        <v>64085840.090000004</v>
      </c>
      <c r="ACU13" s="271">
        <v>50564802.600000001</v>
      </c>
      <c r="ACV13" s="271">
        <v>113411772.58</v>
      </c>
      <c r="ACW13" s="271">
        <v>38479061.490000002</v>
      </c>
      <c r="ACX13" s="271">
        <v>52562755.340000004</v>
      </c>
      <c r="ACY13" s="271">
        <v>34089660.420000002</v>
      </c>
      <c r="ACZ13" s="271">
        <v>20737577.710000001</v>
      </c>
      <c r="ADA13" s="271">
        <v>30029738.390000001</v>
      </c>
      <c r="ADB13" s="271">
        <v>16716241.51</v>
      </c>
      <c r="ADC13" s="271">
        <v>9293325.5099999998</v>
      </c>
      <c r="ADD13" s="271">
        <v>12387521.52</v>
      </c>
      <c r="ADE13" s="271">
        <v>18084817.260000002</v>
      </c>
      <c r="ADF13" s="271">
        <v>180704310.75</v>
      </c>
      <c r="ADG13" s="271">
        <v>158682607.44</v>
      </c>
      <c r="ADH13" s="271">
        <v>28956629.710000001</v>
      </c>
      <c r="ADI13" s="271">
        <v>30750641.620000001</v>
      </c>
      <c r="ADJ13" s="271">
        <v>42885014.369999997</v>
      </c>
      <c r="ADK13" s="271">
        <v>21235972.100000001</v>
      </c>
      <c r="ADL13" s="271">
        <v>37995937.560000002</v>
      </c>
      <c r="ADM13" s="271">
        <v>34194448.100000001</v>
      </c>
      <c r="ADN13" s="271">
        <v>37833343.560000002</v>
      </c>
      <c r="ADO13" s="271">
        <v>478072435.83999997</v>
      </c>
      <c r="ADP13" s="271">
        <v>72061039.670000002</v>
      </c>
      <c r="ADQ13" s="271">
        <v>78184557.140000001</v>
      </c>
      <c r="ADR13" s="271">
        <v>0</v>
      </c>
      <c r="ADS13" s="271">
        <v>220202155.13999999</v>
      </c>
      <c r="ADT13" s="271">
        <v>25408438.460000001</v>
      </c>
      <c r="ADU13" s="271">
        <v>29239732.390000001</v>
      </c>
      <c r="ADV13" s="271">
        <v>48233435.130000003</v>
      </c>
      <c r="ADW13" s="271">
        <v>20466701.539999999</v>
      </c>
      <c r="ADX13" s="271">
        <v>4647100.32</v>
      </c>
      <c r="ADY13" s="271">
        <v>696972636.92999995</v>
      </c>
      <c r="ADZ13" s="271">
        <v>116926465.76000001</v>
      </c>
      <c r="AEA13" s="271">
        <v>90946400.129999995</v>
      </c>
      <c r="AEB13" s="271">
        <v>35536331.649999999</v>
      </c>
      <c r="AEC13" s="271">
        <v>20888930.649999999</v>
      </c>
      <c r="AED13" s="271">
        <v>52333936.899999999</v>
      </c>
      <c r="AEE13" s="271">
        <v>40199093.299999997</v>
      </c>
      <c r="AEF13" s="271">
        <v>38462647.409999996</v>
      </c>
      <c r="AEG13" s="271">
        <v>28137339.77</v>
      </c>
      <c r="AEH13" s="271">
        <v>29981866.449999999</v>
      </c>
      <c r="AEI13" s="271">
        <v>34944969.600000001</v>
      </c>
      <c r="AEJ13" s="271">
        <v>59478751.350000001</v>
      </c>
      <c r="AEK13" s="271">
        <v>35300872.229999997</v>
      </c>
      <c r="AEL13" s="271">
        <v>34168832.869999997</v>
      </c>
      <c r="AEM13" s="271">
        <v>47931101.140000001</v>
      </c>
      <c r="AEN13" s="271">
        <v>52863671.369999997</v>
      </c>
      <c r="AEO13" s="271">
        <v>28505665.530000001</v>
      </c>
      <c r="AEP13" s="271">
        <v>63532516.020000003</v>
      </c>
      <c r="AEQ13" s="271">
        <v>20006536.969999999</v>
      </c>
      <c r="AER13" s="271">
        <v>57954161.780000001</v>
      </c>
      <c r="AES13" s="271">
        <v>462823518.98000002</v>
      </c>
      <c r="AET13" s="271">
        <v>67698559.200000003</v>
      </c>
      <c r="AEU13" s="271">
        <v>69978402.170000002</v>
      </c>
      <c r="AEV13" s="271">
        <v>47070947.810000002</v>
      </c>
      <c r="AEW13" s="271">
        <v>40202834.68</v>
      </c>
      <c r="AEX13" s="271">
        <v>92498099.150000006</v>
      </c>
      <c r="AEY13" s="271">
        <v>47622612.07</v>
      </c>
      <c r="AEZ13" s="271">
        <v>60466960.159999996</v>
      </c>
      <c r="AFA13" s="271">
        <v>38879206.689999998</v>
      </c>
      <c r="AFB13" s="271">
        <v>16384154.4</v>
      </c>
      <c r="AFC13" s="271">
        <v>353027928.37</v>
      </c>
      <c r="AFD13" s="271">
        <v>229359412.77000001</v>
      </c>
      <c r="AFE13" s="271">
        <v>73094483.739999995</v>
      </c>
      <c r="AFF13" s="271">
        <v>76974426.140000001</v>
      </c>
      <c r="AFG13" s="271">
        <v>107914396.98999999</v>
      </c>
      <c r="AFH13" s="271">
        <v>85917460.099999994</v>
      </c>
      <c r="AFI13" s="271">
        <v>56521825.340000004</v>
      </c>
      <c r="AFJ13" s="271">
        <v>74394368.359999999</v>
      </c>
      <c r="AFK13" s="271">
        <v>45976434.109999999</v>
      </c>
      <c r="AFL13" s="271">
        <v>69774083.930000007</v>
      </c>
      <c r="AFM13" s="271">
        <v>58250155.43</v>
      </c>
      <c r="AFN13" s="271">
        <v>56532929.579999998</v>
      </c>
      <c r="AFO13" s="271">
        <v>78977838.379999995</v>
      </c>
      <c r="AFP13" s="271">
        <v>401141045.33999997</v>
      </c>
      <c r="AFQ13" s="271">
        <v>103424262.41</v>
      </c>
      <c r="AFR13" s="271">
        <v>68059826.769999996</v>
      </c>
      <c r="AFS13" s="271">
        <v>64110662.68</v>
      </c>
      <c r="AFT13" s="271">
        <v>64188616.200000003</v>
      </c>
      <c r="AFU13" s="271">
        <v>48151965.359999999</v>
      </c>
      <c r="AFV13" s="271">
        <v>41480598.579999998</v>
      </c>
      <c r="AFW13" s="271">
        <v>84225675.900000006</v>
      </c>
      <c r="AFX13" s="271">
        <v>73098008.359999999</v>
      </c>
      <c r="AFY13" s="271">
        <v>40303759.380000003</v>
      </c>
      <c r="AFZ13" s="271">
        <v>84949610.549999997</v>
      </c>
      <c r="AGA13" s="271">
        <v>40476918.600000001</v>
      </c>
      <c r="AGB13" s="271">
        <v>368643769.80000001</v>
      </c>
      <c r="AGC13" s="271">
        <v>30863648.739999998</v>
      </c>
      <c r="AGD13" s="271">
        <v>44671718.490000002</v>
      </c>
      <c r="AGE13" s="271">
        <v>45248472.630000003</v>
      </c>
      <c r="AGF13" s="271">
        <v>89196631.370000005</v>
      </c>
      <c r="AGG13" s="271">
        <v>41372409.68</v>
      </c>
      <c r="AGH13" s="271">
        <v>38870247.759999998</v>
      </c>
      <c r="AGI13" s="271">
        <v>42093698.689999998</v>
      </c>
      <c r="AGJ13" s="271">
        <v>34847757.520000003</v>
      </c>
      <c r="AGK13" s="271">
        <v>48179435.159999996</v>
      </c>
      <c r="AGL13" s="271">
        <v>20683359.030000001</v>
      </c>
      <c r="AGM13" s="271">
        <v>550234750.97000003</v>
      </c>
      <c r="AGN13" s="271">
        <v>148954920.56999999</v>
      </c>
      <c r="AGO13" s="271">
        <v>66110725.049999997</v>
      </c>
      <c r="AGP13" s="271">
        <v>40067558.880000003</v>
      </c>
      <c r="AGQ13" s="271">
        <v>80702403.950000003</v>
      </c>
      <c r="AGR13" s="271">
        <v>72527875.569999993</v>
      </c>
      <c r="AGS13" s="271">
        <v>36419972.450000003</v>
      </c>
      <c r="AGT13" s="271">
        <v>29631165.010000002</v>
      </c>
      <c r="AGU13" s="271">
        <v>727836385.05999994</v>
      </c>
      <c r="AGV13" s="271">
        <v>443957913.57999998</v>
      </c>
      <c r="AGW13" s="271">
        <v>51070311.729999997</v>
      </c>
      <c r="AGX13" s="271">
        <v>104521912.05</v>
      </c>
      <c r="AGY13" s="271">
        <v>117278512.94</v>
      </c>
      <c r="AGZ13" s="271">
        <v>83043649.409999996</v>
      </c>
      <c r="AHA13" s="271">
        <v>75699498.879999995</v>
      </c>
      <c r="AHB13" s="271">
        <v>60675481.469999999</v>
      </c>
      <c r="AHC13" s="271">
        <v>23156949.030000001</v>
      </c>
      <c r="AHD13" s="271">
        <v>54159909.439999998</v>
      </c>
      <c r="AHE13" s="271">
        <v>53650389.899999999</v>
      </c>
      <c r="AHF13" s="271">
        <v>36285971.829999998</v>
      </c>
      <c r="AHG13" s="271">
        <v>34847520.270000003</v>
      </c>
      <c r="AHH13" s="271">
        <v>30630839.190000001</v>
      </c>
      <c r="AHI13" s="271">
        <v>37484528.18</v>
      </c>
      <c r="AHJ13" s="271">
        <v>50074625.380000003</v>
      </c>
      <c r="AHK13" s="271">
        <v>32962581.440000001</v>
      </c>
      <c r="AHL13" s="271">
        <v>283070219.64999998</v>
      </c>
      <c r="AHM13" s="271">
        <v>54954109.020000003</v>
      </c>
      <c r="AHN13" s="271">
        <v>58672317.25</v>
      </c>
      <c r="AHO13" s="271">
        <v>48400818.340000004</v>
      </c>
      <c r="AHP13" s="271">
        <v>77719349.670000002</v>
      </c>
      <c r="AHQ13" s="294">
        <v>48700667.289999999</v>
      </c>
      <c r="AHR13" s="331">
        <v>14579213.869999999</v>
      </c>
      <c r="AHS13" s="294">
        <f t="shared" si="0"/>
        <v>74666066994.549866</v>
      </c>
      <c r="AHT13" s="269" t="b">
        <f t="shared" si="1"/>
        <v>1</v>
      </c>
      <c r="AHU13" s="269" t="s">
        <v>14</v>
      </c>
    </row>
    <row r="14" spans="2:905" ht="23.4" customHeight="1" x14ac:dyDescent="0.7">
      <c r="B14" s="268" t="s">
        <v>16</v>
      </c>
      <c r="C14" s="269" t="s">
        <v>17</v>
      </c>
      <c r="D14" s="271">
        <v>319102083.56999999</v>
      </c>
      <c r="E14" s="271">
        <v>16616055.91</v>
      </c>
      <c r="F14" s="271">
        <v>16642929.310000001</v>
      </c>
      <c r="G14" s="271">
        <v>5353703.71</v>
      </c>
      <c r="H14" s="271">
        <v>27784291.300000001</v>
      </c>
      <c r="I14" s="271">
        <v>13044712.02</v>
      </c>
      <c r="J14" s="271">
        <v>23591252.93</v>
      </c>
      <c r="K14" s="271">
        <v>12716446.34</v>
      </c>
      <c r="L14" s="271">
        <v>13048327.799999999</v>
      </c>
      <c r="M14" s="271">
        <v>12375813.17</v>
      </c>
      <c r="N14" s="271">
        <v>5253900.41</v>
      </c>
      <c r="O14" s="271">
        <v>7785664.5599999996</v>
      </c>
      <c r="P14" s="271">
        <v>8842146.2599999998</v>
      </c>
      <c r="Q14" s="271">
        <v>7541597.6000000006</v>
      </c>
      <c r="R14" s="271">
        <v>9999652.5299999993</v>
      </c>
      <c r="S14" s="271">
        <v>15912214.51</v>
      </c>
      <c r="T14" s="271">
        <v>7852349.4800000004</v>
      </c>
      <c r="U14" s="271">
        <v>3018417.4699999997</v>
      </c>
      <c r="V14" s="271">
        <v>331360028.75999993</v>
      </c>
      <c r="W14" s="271">
        <v>70606702.629999995</v>
      </c>
      <c r="X14" s="271">
        <v>15072486.879999999</v>
      </c>
      <c r="Y14" s="271">
        <v>20236710.52</v>
      </c>
      <c r="Z14" s="271">
        <v>22309414.609999999</v>
      </c>
      <c r="AA14" s="271">
        <v>17284621.420000002</v>
      </c>
      <c r="AB14" s="271">
        <v>6830381.7800000003</v>
      </c>
      <c r="AC14" s="271">
        <v>44409530.50999999</v>
      </c>
      <c r="AD14" s="271">
        <v>19667899.309999999</v>
      </c>
      <c r="AE14" s="271">
        <v>20147525.859999999</v>
      </c>
      <c r="AF14" s="271">
        <v>52817965.880000003</v>
      </c>
      <c r="AG14" s="271">
        <v>23130994.27</v>
      </c>
      <c r="AH14" s="271">
        <v>72513680.780000001</v>
      </c>
      <c r="AI14" s="271">
        <v>34539536.230000004</v>
      </c>
      <c r="AJ14" s="271">
        <v>13850551.060000001</v>
      </c>
      <c r="AK14" s="271">
        <v>16170708.259999998</v>
      </c>
      <c r="AL14" s="271">
        <v>13237306.23</v>
      </c>
      <c r="AM14" s="271">
        <v>17306623.800000001</v>
      </c>
      <c r="AN14" s="271">
        <v>7648259.3300000001</v>
      </c>
      <c r="AO14" s="271">
        <v>11724417.529999999</v>
      </c>
      <c r="AP14" s="271">
        <v>13441160.620000001</v>
      </c>
      <c r="AQ14" s="271">
        <v>9988547.9800000004</v>
      </c>
      <c r="AR14" s="271">
        <v>18353226.010000002</v>
      </c>
      <c r="AS14" s="271">
        <v>14771841.67</v>
      </c>
      <c r="AT14" s="271">
        <v>105901742.53</v>
      </c>
      <c r="AU14" s="271">
        <v>6519057.5999999996</v>
      </c>
      <c r="AV14" s="271">
        <v>5168921.4000000004</v>
      </c>
      <c r="AW14" s="271">
        <v>9253446.4000000004</v>
      </c>
      <c r="AX14" s="271">
        <v>18838595.98</v>
      </c>
      <c r="AY14" s="271">
        <v>18825172.359999999</v>
      </c>
      <c r="AZ14" s="271">
        <v>6846785.7300000004</v>
      </c>
      <c r="BA14" s="271">
        <v>9052512.1099999994</v>
      </c>
      <c r="BB14" s="271">
        <v>6566366.8800000008</v>
      </c>
      <c r="BC14" s="271">
        <v>9603749.9000000004</v>
      </c>
      <c r="BD14" s="271">
        <v>6808787.2700000005</v>
      </c>
      <c r="BE14" s="271">
        <v>6988500.5500000007</v>
      </c>
      <c r="BF14" s="271">
        <v>88159998.230000004</v>
      </c>
      <c r="BG14" s="271">
        <v>8657660.5199999996</v>
      </c>
      <c r="BH14" s="271">
        <v>4886705.78</v>
      </c>
      <c r="BI14" s="271">
        <v>143469898.38</v>
      </c>
      <c r="BJ14" s="271">
        <v>80992868.909999996</v>
      </c>
      <c r="BK14" s="271">
        <v>24951178.350000001</v>
      </c>
      <c r="BL14" s="271">
        <v>13785574.51</v>
      </c>
      <c r="BM14" s="271">
        <v>24823770.75</v>
      </c>
      <c r="BN14" s="271">
        <v>21930239.270000003</v>
      </c>
      <c r="BO14" s="271">
        <v>21765884.919999998</v>
      </c>
      <c r="BP14" s="271">
        <v>14740661.5</v>
      </c>
      <c r="BQ14" s="271">
        <v>13097477.609999999</v>
      </c>
      <c r="BR14" s="271">
        <v>117579206.50000001</v>
      </c>
      <c r="BS14" s="271">
        <v>13521774.640000001</v>
      </c>
      <c r="BT14" s="271">
        <v>12269317.870000001</v>
      </c>
      <c r="BU14" s="271">
        <v>23321975.66</v>
      </c>
      <c r="BV14" s="271">
        <v>16920780.670000002</v>
      </c>
      <c r="BW14" s="271">
        <v>9622086.3599999994</v>
      </c>
      <c r="BX14" s="271">
        <v>11549916.299999999</v>
      </c>
      <c r="BY14" s="271">
        <v>33475651.68</v>
      </c>
      <c r="BZ14" s="271">
        <v>77284661.030000001</v>
      </c>
      <c r="CA14" s="271">
        <v>12631339.02</v>
      </c>
      <c r="CB14" s="271">
        <v>21766935.699999999</v>
      </c>
      <c r="CC14" s="271">
        <v>46043018.029999994</v>
      </c>
      <c r="CD14" s="271">
        <v>9887984.8699999992</v>
      </c>
      <c r="CE14" s="271">
        <v>8509622.9400000013</v>
      </c>
      <c r="CF14" s="271">
        <v>14051766.17</v>
      </c>
      <c r="CG14" s="271">
        <v>222233374.79000002</v>
      </c>
      <c r="CH14" s="271">
        <v>17267900.759999998</v>
      </c>
      <c r="CI14" s="271">
        <v>45638471.329999998</v>
      </c>
      <c r="CJ14" s="271">
        <v>10218715.27</v>
      </c>
      <c r="CK14" s="271">
        <v>13931367.300000001</v>
      </c>
      <c r="CL14" s="271">
        <v>16860238.420000002</v>
      </c>
      <c r="CM14" s="271">
        <v>11380408.24</v>
      </c>
      <c r="CN14" s="271">
        <v>26572895.109999996</v>
      </c>
      <c r="CO14" s="271">
        <v>4823387.7100000009</v>
      </c>
      <c r="CP14" s="271">
        <v>15264903.490000002</v>
      </c>
      <c r="CQ14" s="271">
        <v>7896942.9800000004</v>
      </c>
      <c r="CR14" s="271">
        <v>17268744.52</v>
      </c>
      <c r="CS14" s="271">
        <v>7656289.3399999999</v>
      </c>
      <c r="CT14" s="271">
        <v>116659729.48</v>
      </c>
      <c r="CU14" s="271">
        <v>8308495.0399999991</v>
      </c>
      <c r="CV14" s="271">
        <v>11569494.110000001</v>
      </c>
      <c r="CW14" s="271">
        <v>17225856.920000002</v>
      </c>
      <c r="CX14" s="271">
        <v>8022500.9699999997</v>
      </c>
      <c r="CY14" s="271">
        <v>39050397.849999994</v>
      </c>
      <c r="CZ14" s="271">
        <v>10031411.48</v>
      </c>
      <c r="DA14" s="271">
        <v>4710786.7799999993</v>
      </c>
      <c r="DB14" s="271">
        <v>121120580.75</v>
      </c>
      <c r="DC14" s="271">
        <v>188178613.83000001</v>
      </c>
      <c r="DD14" s="271">
        <v>18189057.880000003</v>
      </c>
      <c r="DE14" s="271">
        <v>13233632.100000001</v>
      </c>
      <c r="DF14" s="271">
        <v>22521828.98</v>
      </c>
      <c r="DG14" s="271">
        <v>30131430.659999996</v>
      </c>
      <c r="DH14" s="271">
        <v>19388593.66</v>
      </c>
      <c r="DI14" s="271">
        <v>94658629.519999996</v>
      </c>
      <c r="DJ14" s="271">
        <v>11571961.199999999</v>
      </c>
      <c r="DK14" s="271">
        <v>242546521.01000002</v>
      </c>
      <c r="DL14" s="271">
        <v>14760299.390000001</v>
      </c>
      <c r="DM14" s="271">
        <v>21823331.84</v>
      </c>
      <c r="DN14" s="271">
        <v>13564028.960000001</v>
      </c>
      <c r="DO14" s="271">
        <v>21566173.27</v>
      </c>
      <c r="DP14" s="271">
        <v>9694314.4299999997</v>
      </c>
      <c r="DQ14" s="271">
        <v>18116005.77</v>
      </c>
      <c r="DR14" s="271">
        <v>13188668.02</v>
      </c>
      <c r="DS14" s="271">
        <v>31772187.459999997</v>
      </c>
      <c r="DT14" s="271">
        <v>80282916.210000008</v>
      </c>
      <c r="DU14" s="271">
        <v>14926653.060000001</v>
      </c>
      <c r="DV14" s="271">
        <v>110987722.97999999</v>
      </c>
      <c r="DW14" s="271">
        <v>45689482.439999998</v>
      </c>
      <c r="DX14" s="271">
        <v>11320925.940000001</v>
      </c>
      <c r="DY14" s="271">
        <v>12992497.039999999</v>
      </c>
      <c r="DZ14" s="271">
        <v>27715236.830000002</v>
      </c>
      <c r="EA14" s="271">
        <v>8142876.8399999999</v>
      </c>
      <c r="EB14" s="271">
        <v>10651816.789999999</v>
      </c>
      <c r="EC14" s="271">
        <v>22188159.899999999</v>
      </c>
      <c r="ED14" s="271">
        <v>30847363.780000001</v>
      </c>
      <c r="EE14" s="271">
        <v>86109617.120000005</v>
      </c>
      <c r="EF14" s="271">
        <v>78588215.129999995</v>
      </c>
      <c r="EG14" s="271">
        <v>8005830.7300000004</v>
      </c>
      <c r="EH14" s="271">
        <v>11967337.35</v>
      </c>
      <c r="EI14" s="271">
        <v>10486716.52</v>
      </c>
      <c r="EJ14" s="271">
        <v>15430104.800000001</v>
      </c>
      <c r="EK14" s="271">
        <v>17006394.420000002</v>
      </c>
      <c r="EL14" s="271">
        <v>7280059.21</v>
      </c>
      <c r="EM14" s="271">
        <v>10784234.390000001</v>
      </c>
      <c r="EN14" s="271">
        <v>166415916.63999996</v>
      </c>
      <c r="EO14" s="271">
        <v>15493738.329999998</v>
      </c>
      <c r="EP14" s="271">
        <v>13333355.01</v>
      </c>
      <c r="EQ14" s="271">
        <v>15242333.220000003</v>
      </c>
      <c r="ER14" s="271">
        <v>12858756.029999999</v>
      </c>
      <c r="ES14" s="271">
        <v>12026987.199999999</v>
      </c>
      <c r="ET14" s="271">
        <v>25233105.989999998</v>
      </c>
      <c r="EU14" s="271">
        <v>11304729.689999999</v>
      </c>
      <c r="EV14" s="271">
        <v>7911272.0200000005</v>
      </c>
      <c r="EW14" s="271">
        <v>190500519.34999996</v>
      </c>
      <c r="EX14" s="271">
        <v>3487467.1900000004</v>
      </c>
      <c r="EY14" s="271">
        <v>10977302.27</v>
      </c>
      <c r="EZ14" s="271">
        <v>19740593.469999999</v>
      </c>
      <c r="FA14" s="271">
        <v>24442854.469999999</v>
      </c>
      <c r="FB14" s="271">
        <v>18138763.309999999</v>
      </c>
      <c r="FC14" s="271">
        <v>14224104.82</v>
      </c>
      <c r="FD14" s="271">
        <v>11284605.52</v>
      </c>
      <c r="FE14" s="271">
        <v>6919669.0999999996</v>
      </c>
      <c r="FF14" s="271">
        <v>6647500.9100000001</v>
      </c>
      <c r="FG14" s="271">
        <v>6671304.75</v>
      </c>
      <c r="FH14" s="271">
        <v>7259703.870000001</v>
      </c>
      <c r="FI14" s="271">
        <v>67062252.100000001</v>
      </c>
      <c r="FJ14" s="271">
        <v>9843875.8000000007</v>
      </c>
      <c r="FK14" s="271">
        <v>11256735.619999999</v>
      </c>
      <c r="FL14" s="271">
        <v>7844650.0800000001</v>
      </c>
      <c r="FM14" s="271">
        <v>13830594</v>
      </c>
      <c r="FN14" s="271">
        <v>11769852.510000002</v>
      </c>
      <c r="FO14" s="271">
        <v>7216075.9400000004</v>
      </c>
      <c r="FP14" s="271">
        <v>3029112.77</v>
      </c>
      <c r="FQ14" s="271">
        <v>237783416.25</v>
      </c>
      <c r="FR14" s="271">
        <v>11242705.25</v>
      </c>
      <c r="FS14" s="271">
        <v>20242044.050000001</v>
      </c>
      <c r="FT14" s="271">
        <v>65837794.369999997</v>
      </c>
      <c r="FU14" s="271">
        <v>24360343.289999999</v>
      </c>
      <c r="FV14" s="271">
        <v>8898281.8200000003</v>
      </c>
      <c r="FW14" s="271">
        <v>25584609.77</v>
      </c>
      <c r="FX14" s="271">
        <v>17254159.550000001</v>
      </c>
      <c r="FY14" s="271">
        <v>18025211.780000001</v>
      </c>
      <c r="FZ14" s="271">
        <v>8224119.6500000004</v>
      </c>
      <c r="GA14" s="271">
        <v>29843977.18</v>
      </c>
      <c r="GB14" s="271">
        <v>17628315.5</v>
      </c>
      <c r="GC14" s="271">
        <v>9347956.2100000009</v>
      </c>
      <c r="GD14" s="271">
        <v>5259857.24</v>
      </c>
      <c r="GE14" s="271">
        <v>128613591.53999999</v>
      </c>
      <c r="GF14" s="271">
        <v>12564841.719999999</v>
      </c>
      <c r="GG14" s="271">
        <v>6254494.3799999999</v>
      </c>
      <c r="GH14" s="271">
        <v>15089876.279999999</v>
      </c>
      <c r="GI14" s="271">
        <v>9476552.2599999998</v>
      </c>
      <c r="GJ14" s="271">
        <v>21186819.370000001</v>
      </c>
      <c r="GK14" s="271">
        <v>6107826.0899999999</v>
      </c>
      <c r="GL14" s="271">
        <v>38040518.209999993</v>
      </c>
      <c r="GM14" s="271">
        <v>10635236.530000001</v>
      </c>
      <c r="GN14" s="271">
        <v>13652675.889999999</v>
      </c>
      <c r="GO14" s="271">
        <v>13876014.829999998</v>
      </c>
      <c r="GP14" s="271">
        <v>10686204.15</v>
      </c>
      <c r="GQ14" s="271">
        <v>140301205.72</v>
      </c>
      <c r="GR14" s="271">
        <v>19831231.539999999</v>
      </c>
      <c r="GS14" s="271">
        <v>9394573.5899999999</v>
      </c>
      <c r="GT14" s="271">
        <v>19740534.199999999</v>
      </c>
      <c r="GU14" s="271">
        <v>5927302.6899999995</v>
      </c>
      <c r="GV14" s="271">
        <v>23155039.52</v>
      </c>
      <c r="GW14" s="271">
        <v>15905412.98</v>
      </c>
      <c r="GX14" s="271">
        <v>11819741.359999999</v>
      </c>
      <c r="GY14" s="271">
        <v>72976585.079999998</v>
      </c>
      <c r="GZ14" s="271">
        <v>6592761.1799999997</v>
      </c>
      <c r="HA14" s="271">
        <v>16554054.57</v>
      </c>
      <c r="HB14" s="271">
        <v>17308270.190000001</v>
      </c>
      <c r="HC14" s="271">
        <v>403881552.95000005</v>
      </c>
      <c r="HD14" s="271">
        <v>25095971.490000002</v>
      </c>
      <c r="HE14" s="271">
        <v>55348604.219999999</v>
      </c>
      <c r="HF14" s="271">
        <v>34384729.140000001</v>
      </c>
      <c r="HG14" s="271">
        <v>28317238.43</v>
      </c>
      <c r="HH14" s="271">
        <v>25849949.560000002</v>
      </c>
      <c r="HI14" s="271">
        <v>25077076.52</v>
      </c>
      <c r="HJ14" s="271">
        <v>103706612.16</v>
      </c>
      <c r="HK14" s="271">
        <v>24605143.66</v>
      </c>
      <c r="HL14" s="271">
        <v>43765691.359999999</v>
      </c>
      <c r="HM14" s="271">
        <v>28196107.140000001</v>
      </c>
      <c r="HN14" s="271">
        <v>20313008.43</v>
      </c>
      <c r="HO14" s="271">
        <v>22907187.460000001</v>
      </c>
      <c r="HP14" s="271">
        <v>16478809.279999999</v>
      </c>
      <c r="HQ14" s="271">
        <v>19063973.939999998</v>
      </c>
      <c r="HR14" s="271">
        <v>178837119.79000002</v>
      </c>
      <c r="HS14" s="271">
        <v>52611607.899999999</v>
      </c>
      <c r="HT14" s="271">
        <v>14188668.210000001</v>
      </c>
      <c r="HU14" s="271">
        <v>5837032.6100000003</v>
      </c>
      <c r="HV14" s="271">
        <v>8808087.870000001</v>
      </c>
      <c r="HW14" s="271">
        <v>4936530.6100000003</v>
      </c>
      <c r="HX14" s="271">
        <v>19638974.280000001</v>
      </c>
      <c r="HY14" s="271">
        <v>6911626.6899999995</v>
      </c>
      <c r="HZ14" s="271">
        <v>9708830.1799999997</v>
      </c>
      <c r="IA14" s="271">
        <v>10209707.109999999</v>
      </c>
      <c r="IB14" s="271">
        <v>6748867.5</v>
      </c>
      <c r="IC14" s="271">
        <v>30123086.030000005</v>
      </c>
      <c r="ID14" s="271">
        <v>4027308.73</v>
      </c>
      <c r="IE14" s="271">
        <v>21432839.599999994</v>
      </c>
      <c r="IF14" s="271">
        <v>5627513.1500000004</v>
      </c>
      <c r="IG14" s="271">
        <v>5568081.7800000003</v>
      </c>
      <c r="IH14" s="271">
        <v>120462560.3</v>
      </c>
      <c r="II14" s="271">
        <v>38381056.809999995</v>
      </c>
      <c r="IJ14" s="271">
        <v>18178811.800000001</v>
      </c>
      <c r="IK14" s="271">
        <v>24181982.41</v>
      </c>
      <c r="IL14" s="271">
        <v>24705903.559999999</v>
      </c>
      <c r="IM14" s="271">
        <v>41132705.240000002</v>
      </c>
      <c r="IN14" s="271">
        <v>11880843.399999999</v>
      </c>
      <c r="IO14" s="271">
        <v>4607493.5</v>
      </c>
      <c r="IP14" s="271">
        <v>5126539.88</v>
      </c>
      <c r="IQ14" s="271">
        <v>4503430.46</v>
      </c>
      <c r="IR14" s="271">
        <v>4971405.29</v>
      </c>
      <c r="IS14" s="271">
        <v>193993996.93000004</v>
      </c>
      <c r="IT14" s="271">
        <v>56440109.939999998</v>
      </c>
      <c r="IU14" s="271">
        <v>46151821.520000003</v>
      </c>
      <c r="IV14" s="271">
        <v>20632161.049999997</v>
      </c>
      <c r="IW14" s="271">
        <v>10292992.859999999</v>
      </c>
      <c r="IX14" s="271">
        <v>2168918.08</v>
      </c>
      <c r="IY14" s="271">
        <v>8662093.120000001</v>
      </c>
      <c r="IZ14" s="271">
        <v>3726366.9799999995</v>
      </c>
      <c r="JA14" s="271">
        <v>7748710.9900000002</v>
      </c>
      <c r="JB14" s="271">
        <v>13031995.880000001</v>
      </c>
      <c r="JC14" s="271">
        <v>12764209.290000001</v>
      </c>
      <c r="JD14" s="271">
        <v>6360482.21</v>
      </c>
      <c r="JE14" s="271">
        <v>69739006.060000002</v>
      </c>
      <c r="JF14" s="271">
        <v>40551645.120000005</v>
      </c>
      <c r="JG14" s="271">
        <v>8106156.9299999997</v>
      </c>
      <c r="JH14" s="271">
        <v>19905781.640000001</v>
      </c>
      <c r="JI14" s="271">
        <v>4879385.12</v>
      </c>
      <c r="JJ14" s="271">
        <v>9231929.9299999997</v>
      </c>
      <c r="JK14" s="271">
        <v>97081383.189999998</v>
      </c>
      <c r="JL14" s="271">
        <v>10475442.41</v>
      </c>
      <c r="JM14" s="271">
        <v>12985197.409999998</v>
      </c>
      <c r="JN14" s="271">
        <v>19577230.870000001</v>
      </c>
      <c r="JO14" s="271">
        <v>8200069.4500000002</v>
      </c>
      <c r="JP14" s="271">
        <v>20891729.43</v>
      </c>
      <c r="JQ14" s="271">
        <v>7937169.9800000004</v>
      </c>
      <c r="JR14" s="271">
        <v>196703613.29999998</v>
      </c>
      <c r="JS14" s="271">
        <v>80356364.320000008</v>
      </c>
      <c r="JT14" s="271">
        <v>5846336.3799999999</v>
      </c>
      <c r="JU14" s="271">
        <v>6607879.6400000006</v>
      </c>
      <c r="JV14" s="271">
        <v>14253419.17</v>
      </c>
      <c r="JW14" s="271">
        <v>6624529.8800000008</v>
      </c>
      <c r="JX14" s="271">
        <v>66758997.810000002</v>
      </c>
      <c r="JY14" s="271">
        <v>17670537.649999999</v>
      </c>
      <c r="JZ14" s="271">
        <v>13467549.420000002</v>
      </c>
      <c r="KA14" s="271">
        <v>16795572.640000001</v>
      </c>
      <c r="KB14" s="271">
        <v>11764554.74</v>
      </c>
      <c r="KC14" s="271">
        <v>14889898.630000001</v>
      </c>
      <c r="KD14" s="271">
        <v>8492222.8900000006</v>
      </c>
      <c r="KE14" s="271">
        <v>9175496.1699999999</v>
      </c>
      <c r="KF14" s="271">
        <v>7706757.3599999994</v>
      </c>
      <c r="KG14" s="271">
        <v>2573718.86</v>
      </c>
      <c r="KH14" s="271">
        <v>292076897.71000004</v>
      </c>
      <c r="KI14" s="271">
        <v>41323917.270000003</v>
      </c>
      <c r="KJ14" s="271">
        <v>19798656.510000005</v>
      </c>
      <c r="KK14" s="271">
        <v>10313025.210000001</v>
      </c>
      <c r="KL14" s="271">
        <v>28390880.789999999</v>
      </c>
      <c r="KM14" s="271">
        <v>10177489.210000001</v>
      </c>
      <c r="KN14" s="271">
        <v>70832145.019999981</v>
      </c>
      <c r="KO14" s="271">
        <v>9416012.2300000004</v>
      </c>
      <c r="KP14" s="271">
        <v>21637075.43</v>
      </c>
      <c r="KQ14" s="271">
        <v>75958343.660000011</v>
      </c>
      <c r="KR14" s="271">
        <v>8001613.6099999994</v>
      </c>
      <c r="KS14" s="271">
        <v>13843174.75</v>
      </c>
      <c r="KT14" s="271">
        <v>30278199.48</v>
      </c>
      <c r="KU14" s="271">
        <v>7524637.2299999995</v>
      </c>
      <c r="KV14" s="271">
        <v>17242544.259999998</v>
      </c>
      <c r="KW14" s="271">
        <v>82804833.960000008</v>
      </c>
      <c r="KX14" s="271">
        <v>15186689.800000001</v>
      </c>
      <c r="KY14" s="271">
        <v>155413274.02000001</v>
      </c>
      <c r="KZ14" s="271">
        <v>11843838.139999999</v>
      </c>
      <c r="LA14" s="271">
        <v>6665154.25</v>
      </c>
      <c r="LB14" s="271">
        <v>15068303.890000001</v>
      </c>
      <c r="LC14" s="271">
        <v>23196631.030000001</v>
      </c>
      <c r="LD14" s="271">
        <v>12856372.539999999</v>
      </c>
      <c r="LE14" s="271">
        <v>13274886</v>
      </c>
      <c r="LF14" s="271">
        <v>5942786.5099999998</v>
      </c>
      <c r="LG14" s="271">
        <v>250640338.27000004</v>
      </c>
      <c r="LH14" s="271">
        <v>53289289.390000001</v>
      </c>
      <c r="LI14" s="271">
        <v>87864712.75</v>
      </c>
      <c r="LJ14" s="271">
        <v>69463547.939999998</v>
      </c>
      <c r="LK14" s="271">
        <v>8630384.8200000003</v>
      </c>
      <c r="LL14" s="271">
        <v>14914554.060000001</v>
      </c>
      <c r="LM14" s="271">
        <v>8489452.4399999995</v>
      </c>
      <c r="LN14" s="271">
        <v>16123655.289999999</v>
      </c>
      <c r="LO14" s="271">
        <v>5034024.2300000004</v>
      </c>
      <c r="LP14" s="271">
        <v>20324934</v>
      </c>
      <c r="LQ14" s="271">
        <v>4957503.92</v>
      </c>
      <c r="LR14" s="271">
        <v>135842902.20999998</v>
      </c>
      <c r="LS14" s="271">
        <v>13172947.48</v>
      </c>
      <c r="LT14" s="271">
        <v>21412238.75</v>
      </c>
      <c r="LU14" s="271">
        <v>192337128.59999996</v>
      </c>
      <c r="LV14" s="271">
        <v>175344690.75</v>
      </c>
      <c r="LW14" s="271">
        <v>161390910.08000001</v>
      </c>
      <c r="LX14" s="271">
        <v>38987100.419999994</v>
      </c>
      <c r="LY14" s="271">
        <v>19801740.390000001</v>
      </c>
      <c r="LZ14" s="271">
        <v>34266633.93</v>
      </c>
      <c r="MA14" s="271">
        <v>49653539.109999985</v>
      </c>
      <c r="MB14" s="271">
        <v>8861517.8100000005</v>
      </c>
      <c r="MC14" s="271">
        <v>17431975.380000003</v>
      </c>
      <c r="MD14" s="271">
        <v>12495619.469999999</v>
      </c>
      <c r="ME14" s="271">
        <v>35410647.869999997</v>
      </c>
      <c r="MF14" s="271">
        <v>10544251.459999999</v>
      </c>
      <c r="MG14" s="271">
        <v>526218765.79000002</v>
      </c>
      <c r="MH14" s="271">
        <v>13359518.939999999</v>
      </c>
      <c r="MI14" s="271">
        <v>5656297.21</v>
      </c>
      <c r="MJ14" s="271">
        <v>9914653.0199999996</v>
      </c>
      <c r="MK14" s="271">
        <v>9668247.7899999991</v>
      </c>
      <c r="ML14" s="271">
        <v>12039371.280000001</v>
      </c>
      <c r="MM14" s="271">
        <v>9618275.6400000006</v>
      </c>
      <c r="MN14" s="271">
        <v>10258108.059999999</v>
      </c>
      <c r="MO14" s="271">
        <v>25127965.41</v>
      </c>
      <c r="MP14" s="271">
        <v>6692173.8700000001</v>
      </c>
      <c r="MQ14" s="271">
        <v>10888253.57</v>
      </c>
      <c r="MR14" s="271">
        <v>5359343.74</v>
      </c>
      <c r="MS14" s="271">
        <v>196354024.05000004</v>
      </c>
      <c r="MT14" s="271">
        <v>9318895.6500000004</v>
      </c>
      <c r="MU14" s="271">
        <v>21143265.950000003</v>
      </c>
      <c r="MV14" s="271">
        <v>18421565.870000005</v>
      </c>
      <c r="MW14" s="271">
        <v>12696248.42</v>
      </c>
      <c r="MX14" s="271">
        <v>15032175.390000001</v>
      </c>
      <c r="MY14" s="271">
        <v>44439842.269900002</v>
      </c>
      <c r="MZ14" s="271">
        <v>30134068.199999999</v>
      </c>
      <c r="NA14" s="271">
        <v>17685457</v>
      </c>
      <c r="NB14" s="271">
        <v>5332717.37</v>
      </c>
      <c r="NC14" s="271">
        <v>8536112.4800000004</v>
      </c>
      <c r="ND14" s="271">
        <v>494075146.60000002</v>
      </c>
      <c r="NE14" s="271">
        <v>87358777.329999998</v>
      </c>
      <c r="NF14" s="271">
        <v>12019217.99</v>
      </c>
      <c r="NG14" s="271">
        <v>242054939.66000003</v>
      </c>
      <c r="NH14" s="271">
        <v>10755346.48</v>
      </c>
      <c r="NI14" s="271">
        <v>38247261.049999997</v>
      </c>
      <c r="NJ14" s="271">
        <v>92883811.379999995</v>
      </c>
      <c r="NK14" s="271">
        <v>68424846.859999999</v>
      </c>
      <c r="NL14" s="271">
        <v>6266675.4800000004</v>
      </c>
      <c r="NM14" s="271">
        <v>16169905.939999999</v>
      </c>
      <c r="NN14" s="271">
        <v>14192748.77</v>
      </c>
      <c r="NO14" s="271">
        <v>10528281.59</v>
      </c>
      <c r="NP14" s="271">
        <v>79017580.840000004</v>
      </c>
      <c r="NQ14" s="271">
        <v>5920299.9900000002</v>
      </c>
      <c r="NR14" s="271">
        <v>6989307.6500000004</v>
      </c>
      <c r="NS14" s="271">
        <v>6853824.9499999993</v>
      </c>
      <c r="NT14" s="271">
        <v>6790504.8600000003</v>
      </c>
      <c r="NU14" s="271">
        <v>3169720.78</v>
      </c>
      <c r="NV14" s="271">
        <v>4867114.8600000003</v>
      </c>
      <c r="NW14" s="271">
        <v>361306944.25999999</v>
      </c>
      <c r="NX14" s="271">
        <v>42098371.780000001</v>
      </c>
      <c r="NY14" s="271">
        <v>9778917.7300000004</v>
      </c>
      <c r="NZ14" s="271">
        <v>10111840.300000001</v>
      </c>
      <c r="OA14" s="271">
        <v>10114119.530000001</v>
      </c>
      <c r="OB14" s="271">
        <v>24360503.800000001</v>
      </c>
      <c r="OC14" s="271">
        <v>5493013.9199999999</v>
      </c>
      <c r="OD14" s="271">
        <v>215736031.03999999</v>
      </c>
      <c r="OE14" s="271">
        <v>57432742.419999994</v>
      </c>
      <c r="OF14" s="271">
        <v>23699773.990000002</v>
      </c>
      <c r="OG14" s="271">
        <v>53947646.649999999</v>
      </c>
      <c r="OH14" s="271">
        <v>20518989.350000001</v>
      </c>
      <c r="OI14" s="271">
        <v>13067004.579999998</v>
      </c>
      <c r="OJ14" s="271">
        <v>14703662.34</v>
      </c>
      <c r="OK14" s="271">
        <v>3421863.37</v>
      </c>
      <c r="OL14" s="271">
        <v>3749093.9899999998</v>
      </c>
      <c r="OM14" s="271">
        <v>157019669.59</v>
      </c>
      <c r="ON14" s="271">
        <v>39268907.450000003</v>
      </c>
      <c r="OO14" s="271">
        <v>144793306.91</v>
      </c>
      <c r="OP14" s="271">
        <v>20695353.920000002</v>
      </c>
      <c r="OQ14" s="271">
        <v>17028164.039999999</v>
      </c>
      <c r="OR14" s="271">
        <v>14362254.08</v>
      </c>
      <c r="OS14" s="271">
        <v>115115543.42000002</v>
      </c>
      <c r="OT14" s="271">
        <v>11267327.9</v>
      </c>
      <c r="OU14" s="271">
        <v>8281046.4299999997</v>
      </c>
      <c r="OV14" s="271">
        <v>15611236.84</v>
      </c>
      <c r="OW14" s="271">
        <v>15908652.120000001</v>
      </c>
      <c r="OX14" s="271">
        <v>117062723.61000001</v>
      </c>
      <c r="OY14" s="271">
        <v>9428347.2699999996</v>
      </c>
      <c r="OZ14" s="271">
        <v>13299584.41</v>
      </c>
      <c r="PA14" s="271">
        <v>23513452.48</v>
      </c>
      <c r="PB14" s="271">
        <v>182631642.73000002</v>
      </c>
      <c r="PC14" s="271">
        <v>8817266.9600000009</v>
      </c>
      <c r="PD14" s="271">
        <v>40240376.019999996</v>
      </c>
      <c r="PE14" s="271">
        <v>12712363.83</v>
      </c>
      <c r="PF14" s="271">
        <v>10976875.859999999</v>
      </c>
      <c r="PG14" s="271">
        <v>25636120.259999998</v>
      </c>
      <c r="PH14" s="271">
        <v>13507317.190000001</v>
      </c>
      <c r="PI14" s="271">
        <v>17725183.210000001</v>
      </c>
      <c r="PJ14" s="271">
        <v>16494225.17</v>
      </c>
      <c r="PK14" s="271">
        <v>17060707.870000001</v>
      </c>
      <c r="PL14" s="271">
        <v>10699532.73</v>
      </c>
      <c r="PM14" s="271">
        <v>24588614.760000002</v>
      </c>
      <c r="PN14" s="271">
        <v>15475468.01</v>
      </c>
      <c r="PO14" s="271">
        <v>63320657.380000003</v>
      </c>
      <c r="PP14" s="271">
        <v>3354721.8</v>
      </c>
      <c r="PQ14" s="271">
        <v>10155322.57</v>
      </c>
      <c r="PR14" s="271">
        <v>2663340.9500000002</v>
      </c>
      <c r="PS14" s="271">
        <v>8698244.4000000004</v>
      </c>
      <c r="PT14" s="271">
        <v>362039016.66000003</v>
      </c>
      <c r="PU14" s="271">
        <v>4155086.75</v>
      </c>
      <c r="PV14" s="271">
        <v>18314110.219999999</v>
      </c>
      <c r="PW14" s="271">
        <v>7508469.1099999994</v>
      </c>
      <c r="PX14" s="271">
        <v>53338034.079999998</v>
      </c>
      <c r="PY14" s="271">
        <v>10428652.1</v>
      </c>
      <c r="PZ14" s="271">
        <v>19194879.09</v>
      </c>
      <c r="QA14" s="271">
        <v>10809008.739999998</v>
      </c>
      <c r="QB14" s="271">
        <v>42459207.329999998</v>
      </c>
      <c r="QC14" s="271">
        <v>1992335.0299999998</v>
      </c>
      <c r="QD14" s="271">
        <v>25736625.960000001</v>
      </c>
      <c r="QE14" s="271">
        <v>6316472.9800000004</v>
      </c>
      <c r="QF14" s="271">
        <v>6224945.71</v>
      </c>
      <c r="QG14" s="271">
        <v>17073900.16</v>
      </c>
      <c r="QH14" s="271">
        <v>10043083.620000001</v>
      </c>
      <c r="QI14" s="271">
        <v>13844075.309999999</v>
      </c>
      <c r="QJ14" s="271">
        <v>2495683.7800000003</v>
      </c>
      <c r="QK14" s="271">
        <v>9640541.120000001</v>
      </c>
      <c r="QL14" s="271">
        <v>7883519.9800000004</v>
      </c>
      <c r="QM14" s="271">
        <v>25106006.27</v>
      </c>
      <c r="QN14" s="271">
        <v>39095437.140000001</v>
      </c>
      <c r="QO14" s="271">
        <v>11533752.02</v>
      </c>
      <c r="QP14" s="271">
        <v>17325633.899999999</v>
      </c>
      <c r="QQ14" s="271">
        <v>2610079.2200000002</v>
      </c>
      <c r="QR14" s="271">
        <v>8914569.4900000002</v>
      </c>
      <c r="QS14" s="271">
        <v>1079618.8</v>
      </c>
      <c r="QT14" s="271">
        <v>114453527.05000001</v>
      </c>
      <c r="QU14" s="271">
        <v>9575762.75</v>
      </c>
      <c r="QV14" s="271">
        <v>23994708.66</v>
      </c>
      <c r="QW14" s="271">
        <v>9818988.25</v>
      </c>
      <c r="QX14" s="271">
        <v>11331999.189999999</v>
      </c>
      <c r="QY14" s="271">
        <v>24860210.190000001</v>
      </c>
      <c r="QZ14" s="271">
        <v>18140225.899999999</v>
      </c>
      <c r="RA14" s="271">
        <v>28540820.789999999</v>
      </c>
      <c r="RB14" s="271">
        <v>16353931.32</v>
      </c>
      <c r="RC14" s="271">
        <v>8459120.7699999996</v>
      </c>
      <c r="RD14" s="271">
        <v>7829944.5800000001</v>
      </c>
      <c r="RE14" s="271">
        <v>9497347.25</v>
      </c>
      <c r="RF14" s="271">
        <v>5654114.3100000005</v>
      </c>
      <c r="RG14" s="271">
        <v>198216618.24000004</v>
      </c>
      <c r="RH14" s="271">
        <v>43475995.119999997</v>
      </c>
      <c r="RI14" s="271">
        <v>7496011.8600000003</v>
      </c>
      <c r="RJ14" s="271">
        <v>14627902.039999999</v>
      </c>
      <c r="RK14" s="271">
        <v>11774204.41</v>
      </c>
      <c r="RL14" s="271">
        <v>22077774.600000001</v>
      </c>
      <c r="RM14" s="271">
        <v>41436598.32</v>
      </c>
      <c r="RN14" s="271">
        <v>8591070.6900000013</v>
      </c>
      <c r="RO14" s="271">
        <v>18816949.399999999</v>
      </c>
      <c r="RP14" s="271">
        <v>19840528.09</v>
      </c>
      <c r="RQ14" s="271">
        <v>34398137.530000001</v>
      </c>
      <c r="RR14" s="271">
        <v>14264329.859999999</v>
      </c>
      <c r="RS14" s="271">
        <v>7585518.0800000001</v>
      </c>
      <c r="RT14" s="271">
        <v>17036284.300000001</v>
      </c>
      <c r="RU14" s="271">
        <v>4525272.4400000004</v>
      </c>
      <c r="RV14" s="271">
        <v>12115658.550000001</v>
      </c>
      <c r="RW14" s="271">
        <v>12770412.890000001</v>
      </c>
      <c r="RX14" s="271">
        <v>10133154.76</v>
      </c>
      <c r="RY14" s="271">
        <v>9342385.4600000009</v>
      </c>
      <c r="RZ14" s="271">
        <v>10718890.710000001</v>
      </c>
      <c r="SA14" s="271">
        <v>83581002.589999989</v>
      </c>
      <c r="SB14" s="271">
        <v>3627362.85</v>
      </c>
      <c r="SC14" s="271">
        <v>10276175.84</v>
      </c>
      <c r="SD14" s="271">
        <v>10804817.140000001</v>
      </c>
      <c r="SE14" s="271">
        <v>13518496.49</v>
      </c>
      <c r="SF14" s="271">
        <v>6637373.6600000001</v>
      </c>
      <c r="SG14" s="271">
        <v>15426014.370000001</v>
      </c>
      <c r="SH14" s="271">
        <v>18089853.239999998</v>
      </c>
      <c r="SI14" s="271">
        <v>6482398.2800000003</v>
      </c>
      <c r="SJ14" s="271">
        <v>26324712.98</v>
      </c>
      <c r="SK14" s="271">
        <v>35445828.560000002</v>
      </c>
      <c r="SL14" s="271">
        <v>4472828.01</v>
      </c>
      <c r="SM14" s="271">
        <v>94351629.13000001</v>
      </c>
      <c r="SN14" s="271">
        <v>12707650.010000002</v>
      </c>
      <c r="SO14" s="271">
        <v>10638852.91</v>
      </c>
      <c r="SP14" s="271">
        <v>20286136.370000001</v>
      </c>
      <c r="SQ14" s="271">
        <v>11736327.32</v>
      </c>
      <c r="SR14" s="271">
        <v>14081563.719999999</v>
      </c>
      <c r="SS14" s="271">
        <v>12499502.389999999</v>
      </c>
      <c r="ST14" s="271">
        <v>4026811.32</v>
      </c>
      <c r="SU14" s="271">
        <v>103981289.78</v>
      </c>
      <c r="SV14" s="271">
        <v>9407927.1899999995</v>
      </c>
      <c r="SW14" s="271">
        <v>9154884.879999999</v>
      </c>
      <c r="SX14" s="271">
        <v>4750747.1099999994</v>
      </c>
      <c r="SY14" s="271">
        <v>7072531.2400000002</v>
      </c>
      <c r="SZ14" s="271">
        <v>6721702.5099999998</v>
      </c>
      <c r="TA14" s="271">
        <v>2406873.0700000003</v>
      </c>
      <c r="TB14" s="271">
        <v>28593430.579999998</v>
      </c>
      <c r="TC14" s="271">
        <v>6705978.7699999996</v>
      </c>
      <c r="TD14" s="271">
        <v>10481819.26</v>
      </c>
      <c r="TE14" s="271">
        <v>16156910.58</v>
      </c>
      <c r="TF14" s="271">
        <v>24195350.590000004</v>
      </c>
      <c r="TG14" s="271">
        <v>8811926.3999999985</v>
      </c>
      <c r="TH14" s="271">
        <v>5678901.7800000003</v>
      </c>
      <c r="TI14" s="271">
        <v>194358151.27999997</v>
      </c>
      <c r="TJ14" s="271">
        <v>9972738.2400000002</v>
      </c>
      <c r="TK14" s="271">
        <v>6945990.7599999998</v>
      </c>
      <c r="TL14" s="271">
        <v>13956299.68</v>
      </c>
      <c r="TM14" s="271">
        <v>16017285.469999999</v>
      </c>
      <c r="TN14" s="271">
        <v>14568037.439999999</v>
      </c>
      <c r="TO14" s="271">
        <v>4302244.1900000004</v>
      </c>
      <c r="TP14" s="271">
        <v>50605078.780000001</v>
      </c>
      <c r="TQ14" s="271">
        <v>7668907.8900000006</v>
      </c>
      <c r="TR14" s="271">
        <v>14778631.779999999</v>
      </c>
      <c r="TS14" s="271">
        <v>16739734.129999999</v>
      </c>
      <c r="TT14" s="271">
        <v>12046166.109999999</v>
      </c>
      <c r="TU14" s="271">
        <v>7333882.0800000001</v>
      </c>
      <c r="TV14" s="271">
        <v>18920998.920000002</v>
      </c>
      <c r="TW14" s="271">
        <v>9245728.7699999996</v>
      </c>
      <c r="TX14" s="271">
        <v>9401764.3499999996</v>
      </c>
      <c r="TY14" s="271">
        <v>43564064.769999996</v>
      </c>
      <c r="TZ14" s="271">
        <v>16492588.189999999</v>
      </c>
      <c r="UA14" s="271">
        <v>70692072.189999998</v>
      </c>
      <c r="UB14" s="271">
        <v>26743798.93</v>
      </c>
      <c r="UC14" s="271">
        <v>8352521.1500000004</v>
      </c>
      <c r="UD14" s="271">
        <v>19122831.400000002</v>
      </c>
      <c r="UE14" s="271">
        <v>93974419.819999993</v>
      </c>
      <c r="UF14" s="271">
        <v>7967976.2800000003</v>
      </c>
      <c r="UG14" s="271">
        <v>8292078.6400000006</v>
      </c>
      <c r="UH14" s="271">
        <v>7999349.9800000004</v>
      </c>
      <c r="UI14" s="271">
        <v>6447776.0700000003</v>
      </c>
      <c r="UJ14" s="271">
        <v>103553500.34999999</v>
      </c>
      <c r="UK14" s="271">
        <v>23504021.73</v>
      </c>
      <c r="UL14" s="271">
        <v>17355454.079999998</v>
      </c>
      <c r="UM14" s="271">
        <v>21544775.5</v>
      </c>
      <c r="UN14" s="271">
        <v>14360386.330000002</v>
      </c>
      <c r="UO14" s="271">
        <v>12790118.539999999</v>
      </c>
      <c r="UP14" s="271">
        <v>297831977.90999997</v>
      </c>
      <c r="UQ14" s="271">
        <v>23484327.009999998</v>
      </c>
      <c r="UR14" s="271">
        <v>12162478.800000001</v>
      </c>
      <c r="US14" s="271">
        <v>80684085.299999997</v>
      </c>
      <c r="UT14" s="271">
        <v>4231614.6399999997</v>
      </c>
      <c r="UU14" s="271">
        <v>10748302.600000001</v>
      </c>
      <c r="UV14" s="271">
        <v>26395781.149999999</v>
      </c>
      <c r="UW14" s="271">
        <v>8880649.3399999999</v>
      </c>
      <c r="UX14" s="271">
        <v>11493661.210000001</v>
      </c>
      <c r="UY14" s="271">
        <v>12827263.17</v>
      </c>
      <c r="UZ14" s="271">
        <v>17130387.57</v>
      </c>
      <c r="VA14" s="271">
        <v>31503253.57</v>
      </c>
      <c r="VB14" s="271">
        <v>16256973.969999999</v>
      </c>
      <c r="VC14" s="271">
        <v>29733727.600000001</v>
      </c>
      <c r="VD14" s="271">
        <v>6583327.8000000007</v>
      </c>
      <c r="VE14" s="271">
        <v>9023609.0500000007</v>
      </c>
      <c r="VF14" s="271">
        <v>7793066.8399999999</v>
      </c>
      <c r="VG14" s="271">
        <v>7747146.0500000007</v>
      </c>
      <c r="VH14" s="271">
        <v>33833474.399999999</v>
      </c>
      <c r="VI14" s="271">
        <v>14471785.17</v>
      </c>
      <c r="VJ14" s="271">
        <v>7977091.7400000002</v>
      </c>
      <c r="VK14" s="271">
        <v>3520001.79</v>
      </c>
      <c r="VL14" s="271">
        <v>144606524.97</v>
      </c>
      <c r="VM14" s="271">
        <v>12145367.9</v>
      </c>
      <c r="VN14" s="271">
        <v>10299987.73</v>
      </c>
      <c r="VO14" s="271">
        <v>15286649.66</v>
      </c>
      <c r="VP14" s="271">
        <v>17733355.440000001</v>
      </c>
      <c r="VQ14" s="271">
        <v>13942722.43</v>
      </c>
      <c r="VR14" s="271">
        <v>31780399.039999995</v>
      </c>
      <c r="VS14" s="271">
        <v>10736629.140000001</v>
      </c>
      <c r="VT14" s="271">
        <v>15313002.969999999</v>
      </c>
      <c r="VU14" s="271">
        <v>41550653.079999998</v>
      </c>
      <c r="VV14" s="271">
        <v>13627312.5</v>
      </c>
      <c r="VW14" s="271">
        <v>17813375.939999998</v>
      </c>
      <c r="VX14" s="271">
        <v>15314016.289999999</v>
      </c>
      <c r="VY14" s="271">
        <v>9223951.5199999996</v>
      </c>
      <c r="VZ14" s="271">
        <v>9634078.4499999993</v>
      </c>
      <c r="WA14" s="271">
        <v>1254814613.0800002</v>
      </c>
      <c r="WB14" s="271">
        <v>21543273.759999998</v>
      </c>
      <c r="WC14" s="271">
        <v>12809838.25</v>
      </c>
      <c r="WD14" s="271">
        <v>7169731.7300000004</v>
      </c>
      <c r="WE14" s="271">
        <v>12217119.260000002</v>
      </c>
      <c r="WF14" s="271">
        <v>15254277.33</v>
      </c>
      <c r="WG14" s="271">
        <v>34693212.689999998</v>
      </c>
      <c r="WH14" s="271">
        <v>28603824.399999999</v>
      </c>
      <c r="WI14" s="271">
        <v>14723578.35</v>
      </c>
      <c r="WJ14" s="271">
        <v>30642237.809999995</v>
      </c>
      <c r="WK14" s="271">
        <v>10399693.01</v>
      </c>
      <c r="WL14" s="271">
        <v>68462380.729999989</v>
      </c>
      <c r="WM14" s="271">
        <v>16298571.57</v>
      </c>
      <c r="WN14" s="271">
        <v>52437626.659999996</v>
      </c>
      <c r="WO14" s="271">
        <v>29525029.699999999</v>
      </c>
      <c r="WP14" s="271">
        <v>10217908.98</v>
      </c>
      <c r="WQ14" s="271">
        <v>16690627.259999998</v>
      </c>
      <c r="WR14" s="271">
        <v>40755483.530000001</v>
      </c>
      <c r="WS14" s="271">
        <v>17281677.07</v>
      </c>
      <c r="WT14" s="271">
        <v>33549514.530000001</v>
      </c>
      <c r="WU14" s="271">
        <v>95008738.579999998</v>
      </c>
      <c r="WV14" s="271">
        <v>11582094.799999999</v>
      </c>
      <c r="WW14" s="271">
        <v>14289342.689999999</v>
      </c>
      <c r="WX14" s="271">
        <v>5946032.4399999995</v>
      </c>
      <c r="WY14" s="271">
        <v>17727892.579999998</v>
      </c>
      <c r="WZ14" s="271">
        <v>7863668.25</v>
      </c>
      <c r="XA14" s="271">
        <v>5839058.9699999997</v>
      </c>
      <c r="XB14" s="271">
        <v>10399210.550000001</v>
      </c>
      <c r="XC14" s="271">
        <v>25640463.34</v>
      </c>
      <c r="XD14" s="271">
        <v>9013204.3000000007</v>
      </c>
      <c r="XE14" s="271">
        <v>5098207.21</v>
      </c>
      <c r="XF14" s="271">
        <v>4023808.9</v>
      </c>
      <c r="XG14" s="271">
        <v>9741877.4699999988</v>
      </c>
      <c r="XH14" s="271">
        <v>223611552.97000003</v>
      </c>
      <c r="XI14" s="271">
        <v>30578376.100000001</v>
      </c>
      <c r="XJ14" s="271">
        <v>16159972.379999999</v>
      </c>
      <c r="XK14" s="271">
        <v>69195253.74000001</v>
      </c>
      <c r="XL14" s="271">
        <v>32665407.620000005</v>
      </c>
      <c r="XM14" s="271">
        <v>24124814.509999998</v>
      </c>
      <c r="XN14" s="271">
        <v>37282758.549999997</v>
      </c>
      <c r="XO14" s="271">
        <v>20025216.620000001</v>
      </c>
      <c r="XP14" s="271">
        <v>15666023.629999999</v>
      </c>
      <c r="XQ14" s="271">
        <v>43039383.18</v>
      </c>
      <c r="XR14" s="271">
        <v>92440474.379999995</v>
      </c>
      <c r="XS14" s="271">
        <v>10049673.99</v>
      </c>
      <c r="XT14" s="271">
        <v>41813835</v>
      </c>
      <c r="XU14" s="271">
        <v>20325588.719999999</v>
      </c>
      <c r="XV14" s="271">
        <v>13116736.65</v>
      </c>
      <c r="XW14" s="271">
        <v>11678286.940000001</v>
      </c>
      <c r="XX14" s="271">
        <v>22779679.07</v>
      </c>
      <c r="XY14" s="271">
        <v>13997434.629999999</v>
      </c>
      <c r="XZ14" s="271">
        <v>9551234.2800000012</v>
      </c>
      <c r="YA14" s="271">
        <v>11152253.149999999</v>
      </c>
      <c r="YB14" s="271">
        <v>9074595.5599999987</v>
      </c>
      <c r="YC14" s="271">
        <v>8864463.6600000001</v>
      </c>
      <c r="YD14" s="271">
        <v>12637404.16</v>
      </c>
      <c r="YE14" s="271">
        <v>270090313.33000004</v>
      </c>
      <c r="YF14" s="271">
        <v>18193930.300000001</v>
      </c>
      <c r="YG14" s="271">
        <v>13835885.370000001</v>
      </c>
      <c r="YH14" s="271">
        <v>16339934.029999999</v>
      </c>
      <c r="YI14" s="271">
        <v>46157751.340000004</v>
      </c>
      <c r="YJ14" s="271">
        <v>31182842.91</v>
      </c>
      <c r="YK14" s="271">
        <v>38634806.349999994</v>
      </c>
      <c r="YL14" s="271">
        <v>8051878.2000000011</v>
      </c>
      <c r="YM14" s="271">
        <v>206306423.02000001</v>
      </c>
      <c r="YN14" s="271">
        <v>21729862.170000002</v>
      </c>
      <c r="YO14" s="271">
        <v>8686906.4000000004</v>
      </c>
      <c r="YP14" s="271">
        <v>30577500.710000001</v>
      </c>
      <c r="YQ14" s="271">
        <v>8263690.1099999994</v>
      </c>
      <c r="YR14" s="271">
        <v>7249572.5499999998</v>
      </c>
      <c r="YS14" s="271">
        <v>8502856.2899999991</v>
      </c>
      <c r="YT14" s="271">
        <v>22581896.050000001</v>
      </c>
      <c r="YU14" s="271">
        <v>23954762.580000002</v>
      </c>
      <c r="YV14" s="271">
        <v>101725075.49999999</v>
      </c>
      <c r="YW14" s="271">
        <v>25080988.91</v>
      </c>
      <c r="YX14" s="271">
        <v>14791784.709999999</v>
      </c>
      <c r="YY14" s="271">
        <v>15000739</v>
      </c>
      <c r="YZ14" s="271">
        <v>21902288.810000002</v>
      </c>
      <c r="ZA14" s="271">
        <v>13305519.939999999</v>
      </c>
      <c r="ZB14" s="271">
        <v>8810718.2599999998</v>
      </c>
      <c r="ZC14" s="271">
        <v>71255726.439999998</v>
      </c>
      <c r="ZD14" s="271">
        <v>8282398.3499999996</v>
      </c>
      <c r="ZE14" s="271">
        <v>13349089.829999998</v>
      </c>
      <c r="ZF14" s="271">
        <v>14903983.66</v>
      </c>
      <c r="ZG14" s="271">
        <v>10779006.98</v>
      </c>
      <c r="ZH14" s="271">
        <v>17223212.369999997</v>
      </c>
      <c r="ZI14" s="271">
        <v>15950502.899999999</v>
      </c>
      <c r="ZJ14" s="271">
        <v>9527876.6400000006</v>
      </c>
      <c r="ZK14" s="271">
        <v>18506262.490000002</v>
      </c>
      <c r="ZL14" s="271">
        <v>293285855.53000003</v>
      </c>
      <c r="ZM14" s="271">
        <v>7513410.21</v>
      </c>
      <c r="ZN14" s="271">
        <v>23952596.050000001</v>
      </c>
      <c r="ZO14" s="271">
        <v>67504077.909999996</v>
      </c>
      <c r="ZP14" s="271">
        <v>24383498.219999999</v>
      </c>
      <c r="ZQ14" s="271">
        <v>11595236.27</v>
      </c>
      <c r="ZR14" s="271">
        <v>16586987.65</v>
      </c>
      <c r="ZS14" s="271">
        <v>23765376.550000001</v>
      </c>
      <c r="ZT14" s="271">
        <v>30779293.77</v>
      </c>
      <c r="ZU14" s="271">
        <v>41307975.850000001</v>
      </c>
      <c r="ZV14" s="271">
        <v>6286836.3099999996</v>
      </c>
      <c r="ZW14" s="271">
        <v>9398431.5199999996</v>
      </c>
      <c r="ZX14" s="271">
        <v>8047505.7999999998</v>
      </c>
      <c r="ZY14" s="271">
        <v>11486431.34</v>
      </c>
      <c r="ZZ14" s="271">
        <v>10638395.93</v>
      </c>
      <c r="AAA14" s="271">
        <v>8330226.2600000016</v>
      </c>
      <c r="AAB14" s="271">
        <v>10395968.33</v>
      </c>
      <c r="AAC14" s="271">
        <v>6413583.2300000004</v>
      </c>
      <c r="AAD14" s="271">
        <v>14492478.120000001</v>
      </c>
      <c r="AAE14" s="271">
        <v>10601947.220000001</v>
      </c>
      <c r="AAF14" s="271">
        <v>14013670.560000001</v>
      </c>
      <c r="AAG14" s="271">
        <v>8809077.2800000012</v>
      </c>
      <c r="AAH14" s="271">
        <v>54449105.149999999</v>
      </c>
      <c r="AAI14" s="271">
        <v>8944261.9499999993</v>
      </c>
      <c r="AAJ14" s="271">
        <v>10614297.450000001</v>
      </c>
      <c r="AAK14" s="271">
        <v>10265778.16</v>
      </c>
      <c r="AAL14" s="271">
        <v>11068455.52</v>
      </c>
      <c r="AAM14" s="271">
        <v>16892634.93</v>
      </c>
      <c r="AAN14" s="271">
        <v>8938256.3699999992</v>
      </c>
      <c r="AAO14" s="271">
        <v>423753623.50999993</v>
      </c>
      <c r="AAP14" s="271">
        <v>14322195</v>
      </c>
      <c r="AAQ14" s="271">
        <v>13748226.190000001</v>
      </c>
      <c r="AAR14" s="271">
        <v>27808450.859999999</v>
      </c>
      <c r="AAS14" s="271">
        <v>23144658.300000001</v>
      </c>
      <c r="AAT14" s="271">
        <v>9997386.9299999997</v>
      </c>
      <c r="AAU14" s="271">
        <v>19744418.809999999</v>
      </c>
      <c r="AAV14" s="271">
        <v>10305945.309999999</v>
      </c>
      <c r="AAW14" s="271">
        <v>53795982.350000001</v>
      </c>
      <c r="AAX14" s="271">
        <v>22929115.329999998</v>
      </c>
      <c r="AAY14" s="271">
        <v>28345616.339999996</v>
      </c>
      <c r="AAZ14" s="271">
        <v>71354038.899999991</v>
      </c>
      <c r="ABA14" s="271">
        <v>53876381.43</v>
      </c>
      <c r="ABB14" s="271">
        <v>19180509.310000002</v>
      </c>
      <c r="ABC14" s="271">
        <v>9688744.370000001</v>
      </c>
      <c r="ABD14" s="271">
        <v>12102627.199999999</v>
      </c>
      <c r="ABE14" s="271">
        <v>3727936.23</v>
      </c>
      <c r="ABF14" s="271">
        <v>7257010.6400000006</v>
      </c>
      <c r="ABG14" s="271">
        <v>15308273.67</v>
      </c>
      <c r="ABH14" s="271">
        <v>140643343.27000001</v>
      </c>
      <c r="ABI14" s="271">
        <v>92246585.499999985</v>
      </c>
      <c r="ABJ14" s="271">
        <v>6645100.3200000003</v>
      </c>
      <c r="ABK14" s="271">
        <v>13585546.539999999</v>
      </c>
      <c r="ABL14" s="271">
        <v>13899736.32</v>
      </c>
      <c r="ABM14" s="271">
        <v>12224080.370000001</v>
      </c>
      <c r="ABN14" s="271">
        <v>15665368.17</v>
      </c>
      <c r="ABO14" s="271">
        <v>100286669.47999997</v>
      </c>
      <c r="ABP14" s="271">
        <v>7191956.8799999999</v>
      </c>
      <c r="ABQ14" s="271">
        <v>13023540.550000001</v>
      </c>
      <c r="ABR14" s="271">
        <v>20318860.5</v>
      </c>
      <c r="ABS14" s="271">
        <v>11169216.960000001</v>
      </c>
      <c r="ABT14" s="271">
        <v>9205117.8300000001</v>
      </c>
      <c r="ABU14" s="271">
        <v>17652985.57</v>
      </c>
      <c r="ABV14" s="271">
        <v>11888822.810000001</v>
      </c>
      <c r="ABW14" s="271">
        <v>2016539.6099999999</v>
      </c>
      <c r="ABX14" s="271">
        <v>109417796.47</v>
      </c>
      <c r="ABY14" s="271">
        <v>11553715.76</v>
      </c>
      <c r="ABZ14" s="271">
        <v>14302896.76</v>
      </c>
      <c r="ACA14" s="271">
        <v>13411049.02</v>
      </c>
      <c r="ACB14" s="271">
        <v>9329023.0700000003</v>
      </c>
      <c r="ACC14" s="271">
        <v>86601872.489999995</v>
      </c>
      <c r="ACD14" s="271">
        <v>11804737.65</v>
      </c>
      <c r="ACE14" s="271">
        <v>10026044.140000001</v>
      </c>
      <c r="ACF14" s="271">
        <v>7318197.3700000001</v>
      </c>
      <c r="ACG14" s="271">
        <v>12193808.66</v>
      </c>
      <c r="ACH14" s="271">
        <v>8872073.5700000003</v>
      </c>
      <c r="ACI14" s="271">
        <v>330449804.11000001</v>
      </c>
      <c r="ACJ14" s="271">
        <v>5034884.9399999995</v>
      </c>
      <c r="ACK14" s="271">
        <v>12471773.790000001</v>
      </c>
      <c r="ACL14" s="271">
        <v>18096193.43</v>
      </c>
      <c r="ACM14" s="271">
        <v>8089918</v>
      </c>
      <c r="ACN14" s="271">
        <v>18233206.039999999</v>
      </c>
      <c r="ACO14" s="271">
        <v>8358730.1699999999</v>
      </c>
      <c r="ACP14" s="271">
        <v>38923071.189999998</v>
      </c>
      <c r="ACQ14" s="271">
        <v>72655510.469999999</v>
      </c>
      <c r="ACR14" s="271">
        <v>10191428.029999999</v>
      </c>
      <c r="ACS14" s="271">
        <v>7268471.7400000002</v>
      </c>
      <c r="ACT14" s="271">
        <v>16075727.129999999</v>
      </c>
      <c r="ACU14" s="271">
        <v>3892365.5099999993</v>
      </c>
      <c r="ACV14" s="271">
        <v>55713511.169999994</v>
      </c>
      <c r="ACW14" s="271">
        <v>13812031.76</v>
      </c>
      <c r="ACX14" s="271">
        <v>13639307.310000001</v>
      </c>
      <c r="ACY14" s="271">
        <v>5322551.43</v>
      </c>
      <c r="ACZ14" s="271">
        <v>6808448.2699999996</v>
      </c>
      <c r="ADA14" s="271">
        <v>7812452.71</v>
      </c>
      <c r="ADB14" s="271">
        <v>5033053.4000000004</v>
      </c>
      <c r="ADC14" s="271">
        <v>10570476.120000001</v>
      </c>
      <c r="ADD14" s="271">
        <v>2236267.5</v>
      </c>
      <c r="ADE14" s="271">
        <v>7281287.1600000001</v>
      </c>
      <c r="ADF14" s="271">
        <v>49204070.060000002</v>
      </c>
      <c r="ADG14" s="271">
        <v>50204553.350000001</v>
      </c>
      <c r="ADH14" s="271">
        <v>9804116.1999999993</v>
      </c>
      <c r="ADI14" s="271">
        <v>7686161.5199999996</v>
      </c>
      <c r="ADJ14" s="271">
        <v>10598478.75</v>
      </c>
      <c r="ADK14" s="271">
        <v>4804084.8099999996</v>
      </c>
      <c r="ADL14" s="271">
        <v>15699345.49</v>
      </c>
      <c r="ADM14" s="271">
        <v>8505267.879999999</v>
      </c>
      <c r="ADN14" s="271">
        <v>20148332.550000001</v>
      </c>
      <c r="ADO14" s="271">
        <v>338509326.28000003</v>
      </c>
      <c r="ADP14" s="271">
        <v>27853830.749999996</v>
      </c>
      <c r="ADQ14" s="271">
        <v>29871576.389999997</v>
      </c>
      <c r="ADR14" s="271">
        <v>35893176.579999998</v>
      </c>
      <c r="ADS14" s="271">
        <v>58121331.540000007</v>
      </c>
      <c r="ADT14" s="271">
        <v>9385321.879999999</v>
      </c>
      <c r="ADU14" s="271">
        <v>10933259.309999999</v>
      </c>
      <c r="ADV14" s="271">
        <v>5918419.9699999997</v>
      </c>
      <c r="ADW14" s="271">
        <v>9049004.9299999997</v>
      </c>
      <c r="ADX14" s="271">
        <v>3333644.7199999997</v>
      </c>
      <c r="ADY14" s="271">
        <v>326217121.63000005</v>
      </c>
      <c r="ADZ14" s="271">
        <v>37248555.769999996</v>
      </c>
      <c r="AEA14" s="271">
        <v>49563071.93</v>
      </c>
      <c r="AEB14" s="271">
        <v>9109845.2400000002</v>
      </c>
      <c r="AEC14" s="271">
        <v>7784566.6100000003</v>
      </c>
      <c r="AED14" s="271">
        <v>16620530.24</v>
      </c>
      <c r="AEE14" s="271">
        <v>9417762.7199999988</v>
      </c>
      <c r="AEF14" s="271">
        <v>16155877.879999999</v>
      </c>
      <c r="AEG14" s="271">
        <v>9007883.4800000004</v>
      </c>
      <c r="AEH14" s="271">
        <v>10038160.109999999</v>
      </c>
      <c r="AEI14" s="271">
        <v>21443633.48</v>
      </c>
      <c r="AEJ14" s="271">
        <v>13329987.620000001</v>
      </c>
      <c r="AEK14" s="271">
        <v>10969167.93</v>
      </c>
      <c r="AEL14" s="271">
        <v>9815411.0500000007</v>
      </c>
      <c r="AEM14" s="271">
        <v>11541964.279999999</v>
      </c>
      <c r="AEN14" s="271">
        <v>22754477.050000001</v>
      </c>
      <c r="AEO14" s="271">
        <v>9911580.7800000012</v>
      </c>
      <c r="AEP14" s="271">
        <v>31792776.140000001</v>
      </c>
      <c r="AEQ14" s="271">
        <v>7160298.1600000001</v>
      </c>
      <c r="AER14" s="271">
        <v>23571268.710000001</v>
      </c>
      <c r="AES14" s="271">
        <v>234260723.53999999</v>
      </c>
      <c r="AET14" s="271">
        <v>16730823.309999999</v>
      </c>
      <c r="AEU14" s="271">
        <v>26910159.530000001</v>
      </c>
      <c r="AEV14" s="271">
        <v>14727640.710000001</v>
      </c>
      <c r="AEW14" s="271">
        <v>10439427.210000001</v>
      </c>
      <c r="AEX14" s="271">
        <v>8350657.3399999999</v>
      </c>
      <c r="AEY14" s="271">
        <v>8067137.5300000003</v>
      </c>
      <c r="AEZ14" s="271">
        <v>14954519.960000001</v>
      </c>
      <c r="AFA14" s="271">
        <v>9316080.3100000005</v>
      </c>
      <c r="AFB14" s="271">
        <v>5492887.5999999996</v>
      </c>
      <c r="AFC14" s="271">
        <v>138878781.88999999</v>
      </c>
      <c r="AFD14" s="271">
        <v>66813241.939999998</v>
      </c>
      <c r="AFE14" s="271">
        <v>18556982.580000002</v>
      </c>
      <c r="AFF14" s="271">
        <v>10704202.800000001</v>
      </c>
      <c r="AFG14" s="271">
        <v>19486298.060000002</v>
      </c>
      <c r="AFH14" s="271">
        <v>13309162.140000001</v>
      </c>
      <c r="AFI14" s="271">
        <v>8609415.5500000007</v>
      </c>
      <c r="AFJ14" s="271">
        <v>12133410.640000001</v>
      </c>
      <c r="AFK14" s="271">
        <v>5686761.9199999999</v>
      </c>
      <c r="AFL14" s="271">
        <v>8731365.6099999994</v>
      </c>
      <c r="AFM14" s="271">
        <v>10303679.949999999</v>
      </c>
      <c r="AFN14" s="271">
        <v>11196000.600000001</v>
      </c>
      <c r="AFO14" s="271">
        <v>18720917.82</v>
      </c>
      <c r="AFP14" s="271">
        <v>106156426.73</v>
      </c>
      <c r="AFQ14" s="271">
        <v>27727397.039999999</v>
      </c>
      <c r="AFR14" s="271">
        <v>25541468.84</v>
      </c>
      <c r="AFS14" s="271">
        <v>21726425.390000001</v>
      </c>
      <c r="AFT14" s="271">
        <v>11892573.390000001</v>
      </c>
      <c r="AFU14" s="271">
        <v>15864344.34</v>
      </c>
      <c r="AFV14" s="271">
        <v>6749722.6699999999</v>
      </c>
      <c r="AFW14" s="271">
        <v>24680874.060000002</v>
      </c>
      <c r="AFX14" s="271">
        <v>23547377.359999999</v>
      </c>
      <c r="AFY14" s="271">
        <v>9918357.5700000003</v>
      </c>
      <c r="AFZ14" s="271">
        <v>24058807.68</v>
      </c>
      <c r="AGA14" s="271">
        <v>11473550.350000001</v>
      </c>
      <c r="AGB14" s="271">
        <v>157869232.61000001</v>
      </c>
      <c r="AGC14" s="271">
        <v>11793157.66</v>
      </c>
      <c r="AGD14" s="271">
        <v>14587076.23</v>
      </c>
      <c r="AGE14" s="271">
        <v>7249585.4899999993</v>
      </c>
      <c r="AGF14" s="271">
        <v>20627985.890000001</v>
      </c>
      <c r="AGG14" s="271">
        <v>11041828.85</v>
      </c>
      <c r="AGH14" s="271">
        <v>6244573.4299999997</v>
      </c>
      <c r="AGI14" s="271">
        <v>14142429.02</v>
      </c>
      <c r="AGJ14" s="271">
        <v>6045607.1699999999</v>
      </c>
      <c r="AGK14" s="271">
        <v>9028527.3599999994</v>
      </c>
      <c r="AGL14" s="271">
        <v>5999819.7599999998</v>
      </c>
      <c r="AGM14" s="271">
        <v>238624656.61000001</v>
      </c>
      <c r="AGN14" s="271">
        <v>42646281.5</v>
      </c>
      <c r="AGO14" s="271">
        <v>33963262.359999999</v>
      </c>
      <c r="AGP14" s="271">
        <v>8530896.6099999994</v>
      </c>
      <c r="AGQ14" s="271">
        <v>29298092.57</v>
      </c>
      <c r="AGR14" s="271">
        <v>26679352.979999997</v>
      </c>
      <c r="AGS14" s="271">
        <v>12692529.120000001</v>
      </c>
      <c r="AGT14" s="271">
        <v>18667744.52</v>
      </c>
      <c r="AGU14" s="271">
        <v>252351538</v>
      </c>
      <c r="AGV14" s="271">
        <v>138934276</v>
      </c>
      <c r="AGW14" s="271">
        <v>8762586.6900000013</v>
      </c>
      <c r="AGX14" s="271">
        <v>37603898.390000001</v>
      </c>
      <c r="AGY14" s="271">
        <v>44495500.359999999</v>
      </c>
      <c r="AGZ14" s="271">
        <v>31927643</v>
      </c>
      <c r="AHA14" s="271">
        <v>17013735.189999998</v>
      </c>
      <c r="AHB14" s="271">
        <v>14101889.43</v>
      </c>
      <c r="AHC14" s="271">
        <v>5394849.7300000004</v>
      </c>
      <c r="AHD14" s="271">
        <v>8505622.4500000011</v>
      </c>
      <c r="AHE14" s="271">
        <v>31258130.279999997</v>
      </c>
      <c r="AHF14" s="271">
        <v>16818245.379999999</v>
      </c>
      <c r="AHG14" s="271">
        <v>6719946.2499999991</v>
      </c>
      <c r="AHH14" s="271">
        <v>17601981.93</v>
      </c>
      <c r="AHI14" s="271">
        <v>14526457.1</v>
      </c>
      <c r="AHJ14" s="271">
        <v>6072146.1500000004</v>
      </c>
      <c r="AHK14" s="271">
        <v>7569196.0399999991</v>
      </c>
      <c r="AHL14" s="271">
        <v>85457815.150000006</v>
      </c>
      <c r="AHM14" s="271">
        <v>9144650.8999999985</v>
      </c>
      <c r="AHN14" s="271">
        <v>7538318.4300000006</v>
      </c>
      <c r="AHO14" s="271">
        <v>8609848.2899999991</v>
      </c>
      <c r="AHP14" s="271">
        <v>21811010.490000002</v>
      </c>
      <c r="AHQ14" s="294">
        <v>9649994.7300000023</v>
      </c>
      <c r="AHR14" s="329">
        <v>4242208.76</v>
      </c>
      <c r="AHS14" s="294">
        <f t="shared" si="0"/>
        <v>31065920846.719887</v>
      </c>
      <c r="AHT14" s="269" t="b">
        <f t="shared" si="1"/>
        <v>1</v>
      </c>
      <c r="AHU14" s="269" t="s">
        <v>16</v>
      </c>
    </row>
    <row r="15" spans="2:905" ht="23.4" customHeight="1" x14ac:dyDescent="0.7">
      <c r="B15" s="268" t="s">
        <v>1144</v>
      </c>
      <c r="C15" s="269" t="s">
        <v>1147</v>
      </c>
      <c r="D15" s="271">
        <v>3234439306.7799997</v>
      </c>
      <c r="E15" s="271">
        <v>0</v>
      </c>
      <c r="F15" s="271">
        <v>0</v>
      </c>
      <c r="G15" s="271">
        <v>0</v>
      </c>
      <c r="H15" s="271">
        <v>0</v>
      </c>
      <c r="I15" s="271">
        <v>0</v>
      </c>
      <c r="J15" s="271">
        <v>0</v>
      </c>
      <c r="K15" s="271">
        <v>0</v>
      </c>
      <c r="L15" s="271">
        <v>0</v>
      </c>
      <c r="M15" s="271">
        <v>0</v>
      </c>
      <c r="N15" s="271">
        <v>0</v>
      </c>
      <c r="O15" s="271">
        <v>0</v>
      </c>
      <c r="P15" s="271">
        <v>0</v>
      </c>
      <c r="Q15" s="271">
        <v>0</v>
      </c>
      <c r="R15" s="271">
        <v>0</v>
      </c>
      <c r="S15" s="271">
        <v>0</v>
      </c>
      <c r="T15" s="271">
        <v>0</v>
      </c>
      <c r="U15" s="271">
        <v>0</v>
      </c>
      <c r="V15" s="271">
        <v>2385214294.8400002</v>
      </c>
      <c r="W15" s="271">
        <v>433395</v>
      </c>
      <c r="X15" s="271">
        <v>0</v>
      </c>
      <c r="Y15" s="271">
        <v>0</v>
      </c>
      <c r="Z15" s="271">
        <v>0</v>
      </c>
      <c r="AA15" s="271">
        <v>0</v>
      </c>
      <c r="AB15" s="271">
        <v>0</v>
      </c>
      <c r="AC15" s="271">
        <v>768483</v>
      </c>
      <c r="AD15" s="271">
        <v>0</v>
      </c>
      <c r="AE15" s="271">
        <v>0</v>
      </c>
      <c r="AF15" s="271">
        <v>0</v>
      </c>
      <c r="AG15" s="271">
        <v>0</v>
      </c>
      <c r="AH15" s="271">
        <v>0</v>
      </c>
      <c r="AI15" s="271">
        <v>0</v>
      </c>
      <c r="AJ15" s="271">
        <v>0</v>
      </c>
      <c r="AK15" s="271">
        <v>0</v>
      </c>
      <c r="AL15" s="271">
        <v>0</v>
      </c>
      <c r="AM15" s="271">
        <v>0</v>
      </c>
      <c r="AN15" s="271">
        <v>0</v>
      </c>
      <c r="AO15" s="271">
        <v>0</v>
      </c>
      <c r="AP15" s="271">
        <v>0</v>
      </c>
      <c r="AQ15" s="271">
        <v>0</v>
      </c>
      <c r="AR15" s="271">
        <v>0</v>
      </c>
      <c r="AS15" s="271">
        <v>0</v>
      </c>
      <c r="AT15" s="271">
        <v>0</v>
      </c>
      <c r="AU15" s="271">
        <v>0</v>
      </c>
      <c r="AV15" s="271">
        <v>0</v>
      </c>
      <c r="AW15" s="271">
        <v>0</v>
      </c>
      <c r="AX15" s="271">
        <v>0</v>
      </c>
      <c r="AY15" s="271">
        <v>0</v>
      </c>
      <c r="AZ15" s="271">
        <v>0</v>
      </c>
      <c r="BA15" s="271">
        <v>0</v>
      </c>
      <c r="BB15" s="271">
        <v>0</v>
      </c>
      <c r="BC15" s="271">
        <v>0</v>
      </c>
      <c r="BD15" s="271">
        <v>0</v>
      </c>
      <c r="BE15" s="271">
        <v>0</v>
      </c>
      <c r="BF15" s="271">
        <v>0</v>
      </c>
      <c r="BG15" s="271">
        <v>0</v>
      </c>
      <c r="BH15" s="271">
        <v>0</v>
      </c>
      <c r="BI15" s="271">
        <v>296196635.34000003</v>
      </c>
      <c r="BJ15" s="271">
        <v>342007387.24000001</v>
      </c>
      <c r="BK15" s="271">
        <v>0</v>
      </c>
      <c r="BL15" s="271">
        <v>0</v>
      </c>
      <c r="BM15" s="271">
        <v>0</v>
      </c>
      <c r="BN15" s="271">
        <v>0</v>
      </c>
      <c r="BO15" s="271">
        <v>0</v>
      </c>
      <c r="BP15" s="271">
        <v>0</v>
      </c>
      <c r="BQ15" s="271">
        <v>0</v>
      </c>
      <c r="BR15" s="271">
        <v>1232419504.0700002</v>
      </c>
      <c r="BS15" s="271">
        <v>0</v>
      </c>
      <c r="BT15" s="271">
        <v>0</v>
      </c>
      <c r="BU15" s="271">
        <v>0</v>
      </c>
      <c r="BV15" s="271">
        <v>0</v>
      </c>
      <c r="BW15" s="271">
        <v>0</v>
      </c>
      <c r="BX15" s="271">
        <v>0</v>
      </c>
      <c r="BY15" s="271">
        <v>0</v>
      </c>
      <c r="BZ15" s="271">
        <v>500000</v>
      </c>
      <c r="CA15" s="271">
        <v>0</v>
      </c>
      <c r="CB15" s="271">
        <v>0</v>
      </c>
      <c r="CC15" s="271">
        <v>0</v>
      </c>
      <c r="CD15" s="271">
        <v>0</v>
      </c>
      <c r="CE15" s="271">
        <v>0</v>
      </c>
      <c r="CF15" s="271">
        <v>0</v>
      </c>
      <c r="CG15" s="271">
        <v>1516204776.75</v>
      </c>
      <c r="CH15" s="271">
        <v>0</v>
      </c>
      <c r="CI15" s="271">
        <v>0</v>
      </c>
      <c r="CJ15" s="271">
        <v>0</v>
      </c>
      <c r="CK15" s="271">
        <v>0</v>
      </c>
      <c r="CL15" s="271">
        <v>0</v>
      </c>
      <c r="CM15" s="271">
        <v>0</v>
      </c>
      <c r="CN15" s="271">
        <v>0</v>
      </c>
      <c r="CO15" s="271">
        <v>0</v>
      </c>
      <c r="CP15" s="271">
        <v>0</v>
      </c>
      <c r="CQ15" s="271">
        <v>0</v>
      </c>
      <c r="CR15" s="271">
        <v>0</v>
      </c>
      <c r="CS15" s="271">
        <v>0</v>
      </c>
      <c r="CT15" s="271">
        <v>0</v>
      </c>
      <c r="CU15" s="271">
        <v>0</v>
      </c>
      <c r="CV15" s="271">
        <v>0</v>
      </c>
      <c r="CW15" s="271">
        <v>0</v>
      </c>
      <c r="CX15" s="271">
        <v>0</v>
      </c>
      <c r="CY15" s="271">
        <v>0</v>
      </c>
      <c r="CZ15" s="271">
        <v>0</v>
      </c>
      <c r="DA15" s="271">
        <v>0</v>
      </c>
      <c r="DB15" s="271">
        <v>29667247.34</v>
      </c>
      <c r="DC15" s="271">
        <v>21601200.840000004</v>
      </c>
      <c r="DD15" s="271">
        <v>0</v>
      </c>
      <c r="DE15" s="271">
        <v>0</v>
      </c>
      <c r="DF15" s="271">
        <v>0</v>
      </c>
      <c r="DG15" s="271">
        <v>0</v>
      </c>
      <c r="DH15" s="271">
        <v>0</v>
      </c>
      <c r="DI15" s="271">
        <v>0</v>
      </c>
      <c r="DJ15" s="271">
        <v>0</v>
      </c>
      <c r="DK15" s="271">
        <v>890692040.07000005</v>
      </c>
      <c r="DL15" s="271">
        <v>0</v>
      </c>
      <c r="DM15" s="271">
        <v>0</v>
      </c>
      <c r="DN15" s="271">
        <v>0</v>
      </c>
      <c r="DO15" s="271">
        <v>0</v>
      </c>
      <c r="DP15" s="271">
        <v>0</v>
      </c>
      <c r="DQ15" s="271">
        <v>0</v>
      </c>
      <c r="DR15" s="271">
        <v>0</v>
      </c>
      <c r="DS15" s="271">
        <v>0</v>
      </c>
      <c r="DT15" s="271">
        <v>197800</v>
      </c>
      <c r="DU15" s="271">
        <v>0</v>
      </c>
      <c r="DV15" s="271">
        <v>0</v>
      </c>
      <c r="DW15" s="271">
        <v>0</v>
      </c>
      <c r="DX15" s="271">
        <v>0</v>
      </c>
      <c r="DY15" s="271">
        <v>0</v>
      </c>
      <c r="DZ15" s="271">
        <v>0</v>
      </c>
      <c r="EA15" s="271">
        <v>0</v>
      </c>
      <c r="EB15" s="271">
        <v>0</v>
      </c>
      <c r="EC15" s="271">
        <v>0</v>
      </c>
      <c r="ED15" s="271">
        <v>0</v>
      </c>
      <c r="EE15" s="271">
        <v>133934159.68000001</v>
      </c>
      <c r="EF15" s="271">
        <v>227764695.13999999</v>
      </c>
      <c r="EG15" s="271">
        <v>0</v>
      </c>
      <c r="EH15" s="271">
        <v>0</v>
      </c>
      <c r="EI15" s="271">
        <v>0</v>
      </c>
      <c r="EJ15" s="271">
        <v>0</v>
      </c>
      <c r="EK15" s="271">
        <v>0</v>
      </c>
      <c r="EL15" s="271">
        <v>0</v>
      </c>
      <c r="EM15" s="271">
        <v>0</v>
      </c>
      <c r="EN15" s="271">
        <v>769960676.72000003</v>
      </c>
      <c r="EO15" s="271">
        <v>0</v>
      </c>
      <c r="EP15" s="271">
        <v>0</v>
      </c>
      <c r="EQ15" s="271">
        <v>0</v>
      </c>
      <c r="ER15" s="271">
        <v>0</v>
      </c>
      <c r="ES15" s="271">
        <v>0</v>
      </c>
      <c r="ET15" s="271">
        <v>0</v>
      </c>
      <c r="EU15" s="271">
        <v>0</v>
      </c>
      <c r="EV15" s="271">
        <v>0</v>
      </c>
      <c r="EW15" s="271">
        <v>0</v>
      </c>
      <c r="EX15" s="271">
        <v>0</v>
      </c>
      <c r="EY15" s="271">
        <v>0</v>
      </c>
      <c r="EZ15" s="271">
        <v>0</v>
      </c>
      <c r="FA15" s="271">
        <v>0</v>
      </c>
      <c r="FB15" s="271">
        <v>0</v>
      </c>
      <c r="FC15" s="271">
        <v>0</v>
      </c>
      <c r="FD15" s="271">
        <v>0</v>
      </c>
      <c r="FE15" s="271">
        <v>0</v>
      </c>
      <c r="FF15" s="271">
        <v>0</v>
      </c>
      <c r="FG15" s="271">
        <v>0</v>
      </c>
      <c r="FH15" s="271">
        <v>0</v>
      </c>
      <c r="FI15" s="271">
        <v>345003600</v>
      </c>
      <c r="FJ15" s="271">
        <v>0</v>
      </c>
      <c r="FK15" s="271">
        <v>0</v>
      </c>
      <c r="FL15" s="271">
        <v>0</v>
      </c>
      <c r="FM15" s="271">
        <v>0</v>
      </c>
      <c r="FN15" s="271">
        <v>0</v>
      </c>
      <c r="FO15" s="271">
        <v>0</v>
      </c>
      <c r="FP15" s="271">
        <v>0</v>
      </c>
      <c r="FQ15" s="271">
        <v>0</v>
      </c>
      <c r="FR15" s="271">
        <v>0</v>
      </c>
      <c r="FS15" s="271">
        <v>0</v>
      </c>
      <c r="FT15" s="271">
        <v>0</v>
      </c>
      <c r="FU15" s="271">
        <v>0</v>
      </c>
      <c r="FV15" s="271">
        <v>0</v>
      </c>
      <c r="FW15" s="271">
        <v>0</v>
      </c>
      <c r="FX15" s="271">
        <v>0</v>
      </c>
      <c r="FY15" s="271">
        <v>0</v>
      </c>
      <c r="FZ15" s="271">
        <v>0</v>
      </c>
      <c r="GA15" s="271">
        <v>0</v>
      </c>
      <c r="GB15" s="271">
        <v>0</v>
      </c>
      <c r="GC15" s="271">
        <v>279575</v>
      </c>
      <c r="GD15" s="271">
        <v>0</v>
      </c>
      <c r="GE15" s="271">
        <v>15435000</v>
      </c>
      <c r="GF15" s="271">
        <v>0</v>
      </c>
      <c r="GG15" s="271">
        <v>0</v>
      </c>
      <c r="GH15" s="271">
        <v>0</v>
      </c>
      <c r="GI15" s="271">
        <v>0</v>
      </c>
      <c r="GJ15" s="271">
        <v>0</v>
      </c>
      <c r="GK15" s="271">
        <v>750</v>
      </c>
      <c r="GL15" s="271">
        <v>0</v>
      </c>
      <c r="GM15" s="271">
        <v>0</v>
      </c>
      <c r="GN15" s="271">
        <v>0</v>
      </c>
      <c r="GO15" s="271">
        <v>0</v>
      </c>
      <c r="GP15" s="271">
        <v>0</v>
      </c>
      <c r="GQ15" s="271">
        <v>0</v>
      </c>
      <c r="GR15" s="271">
        <v>0</v>
      </c>
      <c r="GS15" s="271">
        <v>0</v>
      </c>
      <c r="GT15" s="271">
        <v>0</v>
      </c>
      <c r="GU15" s="271">
        <v>0</v>
      </c>
      <c r="GV15" s="271">
        <v>0</v>
      </c>
      <c r="GW15" s="271">
        <v>0</v>
      </c>
      <c r="GX15" s="271">
        <v>0</v>
      </c>
      <c r="GY15" s="271">
        <v>0</v>
      </c>
      <c r="GZ15" s="271">
        <v>0</v>
      </c>
      <c r="HA15" s="271">
        <v>0</v>
      </c>
      <c r="HB15" s="271">
        <v>0</v>
      </c>
      <c r="HC15" s="271">
        <v>0</v>
      </c>
      <c r="HD15" s="271">
        <v>0</v>
      </c>
      <c r="HE15" s="271">
        <v>0</v>
      </c>
      <c r="HF15" s="271">
        <v>0</v>
      </c>
      <c r="HG15" s="271">
        <v>0</v>
      </c>
      <c r="HH15" s="271">
        <v>0</v>
      </c>
      <c r="HI15" s="271">
        <v>0</v>
      </c>
      <c r="HJ15" s="271">
        <v>12124689.140000001</v>
      </c>
      <c r="HK15" s="271">
        <v>0</v>
      </c>
      <c r="HL15" s="271">
        <v>0</v>
      </c>
      <c r="HM15" s="271">
        <v>0</v>
      </c>
      <c r="HN15" s="271">
        <v>0</v>
      </c>
      <c r="HO15" s="271">
        <v>0</v>
      </c>
      <c r="HP15" s="271">
        <v>0</v>
      </c>
      <c r="HQ15" s="271">
        <v>0</v>
      </c>
      <c r="HR15" s="271">
        <v>0</v>
      </c>
      <c r="HS15" s="271">
        <v>0</v>
      </c>
      <c r="HT15" s="271">
        <v>0</v>
      </c>
      <c r="HU15" s="271">
        <v>0</v>
      </c>
      <c r="HV15" s="271">
        <v>0</v>
      </c>
      <c r="HW15" s="271">
        <v>0</v>
      </c>
      <c r="HX15" s="271">
        <v>0</v>
      </c>
      <c r="HY15" s="271">
        <v>0</v>
      </c>
      <c r="HZ15" s="271">
        <v>0</v>
      </c>
      <c r="IA15" s="271">
        <v>0</v>
      </c>
      <c r="IB15" s="271">
        <v>0</v>
      </c>
      <c r="IC15" s="271">
        <v>0</v>
      </c>
      <c r="ID15" s="271">
        <v>0</v>
      </c>
      <c r="IE15" s="271">
        <v>0</v>
      </c>
      <c r="IF15" s="271">
        <v>0</v>
      </c>
      <c r="IG15" s="271">
        <v>0</v>
      </c>
      <c r="IH15" s="271">
        <v>0</v>
      </c>
      <c r="II15" s="271">
        <v>132609673.34999999</v>
      </c>
      <c r="IJ15" s="271">
        <v>0</v>
      </c>
      <c r="IK15" s="271">
        <v>0</v>
      </c>
      <c r="IL15" s="271">
        <v>0</v>
      </c>
      <c r="IM15" s="271">
        <v>0</v>
      </c>
      <c r="IN15" s="271">
        <v>0</v>
      </c>
      <c r="IO15" s="271">
        <v>0</v>
      </c>
      <c r="IP15" s="271">
        <v>0</v>
      </c>
      <c r="IQ15" s="271">
        <v>0</v>
      </c>
      <c r="IR15" s="271">
        <v>0</v>
      </c>
      <c r="IS15" s="271">
        <v>189860</v>
      </c>
      <c r="IT15" s="271">
        <v>122140</v>
      </c>
      <c r="IU15" s="271">
        <v>0</v>
      </c>
      <c r="IV15" s="271">
        <v>0</v>
      </c>
      <c r="IW15" s="271">
        <v>0</v>
      </c>
      <c r="IX15" s="271">
        <v>0</v>
      </c>
      <c r="IY15" s="271">
        <v>0</v>
      </c>
      <c r="IZ15" s="271">
        <v>0</v>
      </c>
      <c r="JA15" s="271">
        <v>0</v>
      </c>
      <c r="JB15" s="271">
        <v>0</v>
      </c>
      <c r="JC15" s="271">
        <v>0</v>
      </c>
      <c r="JD15" s="271">
        <v>0</v>
      </c>
      <c r="JE15" s="271">
        <v>435986887.97000003</v>
      </c>
      <c r="JF15" s="271">
        <v>0</v>
      </c>
      <c r="JG15" s="271">
        <v>0</v>
      </c>
      <c r="JH15" s="271">
        <v>0</v>
      </c>
      <c r="JI15" s="271">
        <v>0</v>
      </c>
      <c r="JJ15" s="271">
        <v>0</v>
      </c>
      <c r="JK15" s="271">
        <v>115960774.25999999</v>
      </c>
      <c r="JL15" s="271">
        <v>1950000</v>
      </c>
      <c r="JM15" s="271">
        <v>0</v>
      </c>
      <c r="JN15" s="271">
        <v>0</v>
      </c>
      <c r="JO15" s="271">
        <v>0</v>
      </c>
      <c r="JP15" s="271">
        <v>0</v>
      </c>
      <c r="JQ15" s="271">
        <v>0</v>
      </c>
      <c r="JR15" s="271">
        <v>407964993.56999999</v>
      </c>
      <c r="JS15" s="271">
        <v>0</v>
      </c>
      <c r="JT15" s="271">
        <v>0</v>
      </c>
      <c r="JU15" s="271">
        <v>0</v>
      </c>
      <c r="JV15" s="271">
        <v>0</v>
      </c>
      <c r="JW15" s="271">
        <v>0</v>
      </c>
      <c r="JX15" s="271">
        <v>0</v>
      </c>
      <c r="JY15" s="271">
        <v>0</v>
      </c>
      <c r="JZ15" s="271">
        <v>0</v>
      </c>
      <c r="KA15" s="271">
        <v>0</v>
      </c>
      <c r="KB15" s="271">
        <v>0</v>
      </c>
      <c r="KC15" s="271">
        <v>0</v>
      </c>
      <c r="KD15" s="271">
        <v>0</v>
      </c>
      <c r="KE15" s="271">
        <v>0</v>
      </c>
      <c r="KF15" s="271">
        <v>0</v>
      </c>
      <c r="KG15" s="271">
        <v>0</v>
      </c>
      <c r="KH15" s="271">
        <v>0</v>
      </c>
      <c r="KI15" s="271">
        <v>0</v>
      </c>
      <c r="KJ15" s="271">
        <v>0</v>
      </c>
      <c r="KK15" s="271">
        <v>0</v>
      </c>
      <c r="KL15" s="271">
        <v>0</v>
      </c>
      <c r="KM15" s="271">
        <v>0</v>
      </c>
      <c r="KN15" s="271">
        <v>0</v>
      </c>
      <c r="KO15" s="271">
        <v>0</v>
      </c>
      <c r="KP15" s="271">
        <v>0</v>
      </c>
      <c r="KQ15" s="271">
        <v>97797503.459999993</v>
      </c>
      <c r="KR15" s="271">
        <v>0</v>
      </c>
      <c r="KS15" s="271">
        <v>0</v>
      </c>
      <c r="KT15" s="271">
        <v>0</v>
      </c>
      <c r="KU15" s="271">
        <v>0</v>
      </c>
      <c r="KV15" s="271">
        <v>0</v>
      </c>
      <c r="KW15" s="271">
        <v>0</v>
      </c>
      <c r="KX15" s="271">
        <v>0</v>
      </c>
      <c r="KY15" s="271">
        <v>11251580.52</v>
      </c>
      <c r="KZ15" s="271">
        <v>0</v>
      </c>
      <c r="LA15" s="271">
        <v>0</v>
      </c>
      <c r="LB15" s="271">
        <v>0</v>
      </c>
      <c r="LC15" s="271">
        <v>0</v>
      </c>
      <c r="LD15" s="271">
        <v>0</v>
      </c>
      <c r="LE15" s="271">
        <v>0</v>
      </c>
      <c r="LF15" s="271">
        <v>0</v>
      </c>
      <c r="LG15" s="271">
        <v>0</v>
      </c>
      <c r="LH15" s="271">
        <v>0</v>
      </c>
      <c r="LI15" s="271">
        <v>0</v>
      </c>
      <c r="LJ15" s="271">
        <v>0</v>
      </c>
      <c r="LK15" s="271">
        <v>0</v>
      </c>
      <c r="LL15" s="271">
        <v>0</v>
      </c>
      <c r="LM15" s="271">
        <v>0</v>
      </c>
      <c r="LN15" s="271">
        <v>0</v>
      </c>
      <c r="LO15" s="271">
        <v>0</v>
      </c>
      <c r="LP15" s="271">
        <v>0</v>
      </c>
      <c r="LQ15" s="271">
        <v>0</v>
      </c>
      <c r="LR15" s="271">
        <v>0</v>
      </c>
      <c r="LS15" s="271">
        <v>0</v>
      </c>
      <c r="LT15" s="271">
        <v>138834.88</v>
      </c>
      <c r="LU15" s="271">
        <v>0</v>
      </c>
      <c r="LV15" s="271">
        <v>127235816.76000001</v>
      </c>
      <c r="LW15" s="271">
        <v>9759.24</v>
      </c>
      <c r="LX15" s="271">
        <v>0</v>
      </c>
      <c r="LY15" s="271">
        <v>0</v>
      </c>
      <c r="LZ15" s="271">
        <v>0</v>
      </c>
      <c r="MA15" s="271">
        <v>0</v>
      </c>
      <c r="MB15" s="271">
        <v>0</v>
      </c>
      <c r="MC15" s="271">
        <v>0</v>
      </c>
      <c r="MD15" s="271">
        <v>0</v>
      </c>
      <c r="ME15" s="271">
        <v>0</v>
      </c>
      <c r="MF15" s="271">
        <v>0</v>
      </c>
      <c r="MG15" s="271">
        <v>224078188.36000001</v>
      </c>
      <c r="MH15" s="271">
        <v>0</v>
      </c>
      <c r="MI15" s="271">
        <v>0</v>
      </c>
      <c r="MJ15" s="271">
        <v>0</v>
      </c>
      <c r="MK15" s="271">
        <v>0</v>
      </c>
      <c r="ML15" s="271">
        <v>0</v>
      </c>
      <c r="MM15" s="271">
        <v>0</v>
      </c>
      <c r="MN15" s="271">
        <v>0</v>
      </c>
      <c r="MO15" s="271">
        <v>0</v>
      </c>
      <c r="MP15" s="271">
        <v>0</v>
      </c>
      <c r="MQ15" s="271">
        <v>0</v>
      </c>
      <c r="MR15" s="271">
        <v>0</v>
      </c>
      <c r="MS15" s="271">
        <v>1165902995.74</v>
      </c>
      <c r="MT15" s="271">
        <v>0</v>
      </c>
      <c r="MU15" s="271">
        <v>0</v>
      </c>
      <c r="MV15" s="271">
        <v>0</v>
      </c>
      <c r="MW15" s="271">
        <v>0</v>
      </c>
      <c r="MX15" s="271">
        <v>0</v>
      </c>
      <c r="MY15" s="271">
        <v>0</v>
      </c>
      <c r="MZ15" s="271">
        <v>0</v>
      </c>
      <c r="NA15" s="271">
        <v>0</v>
      </c>
      <c r="NB15" s="271">
        <v>0</v>
      </c>
      <c r="NC15" s="271">
        <v>0</v>
      </c>
      <c r="ND15" s="271">
        <v>1164066336.3</v>
      </c>
      <c r="NE15" s="271">
        <v>0</v>
      </c>
      <c r="NF15" s="271">
        <v>0</v>
      </c>
      <c r="NG15" s="271">
        <v>0</v>
      </c>
      <c r="NH15" s="271">
        <v>0</v>
      </c>
      <c r="NI15" s="271">
        <v>0</v>
      </c>
      <c r="NJ15" s="271">
        <v>0</v>
      </c>
      <c r="NK15" s="271">
        <v>0</v>
      </c>
      <c r="NL15" s="271">
        <v>0</v>
      </c>
      <c r="NM15" s="271">
        <v>0</v>
      </c>
      <c r="NN15" s="271">
        <v>0</v>
      </c>
      <c r="NO15" s="271">
        <v>0</v>
      </c>
      <c r="NP15" s="271">
        <v>88690500.840000004</v>
      </c>
      <c r="NQ15" s="271">
        <v>0</v>
      </c>
      <c r="NR15" s="271">
        <v>0</v>
      </c>
      <c r="NS15" s="271">
        <v>0</v>
      </c>
      <c r="NT15" s="271">
        <v>0</v>
      </c>
      <c r="NU15" s="271">
        <v>0</v>
      </c>
      <c r="NV15" s="271">
        <v>0</v>
      </c>
      <c r="NW15" s="271">
        <v>1085482845.1899998</v>
      </c>
      <c r="NX15" s="271">
        <v>41440</v>
      </c>
      <c r="NY15" s="271">
        <v>0</v>
      </c>
      <c r="NZ15" s="271">
        <v>0</v>
      </c>
      <c r="OA15" s="271">
        <v>0</v>
      </c>
      <c r="OB15" s="271">
        <v>0</v>
      </c>
      <c r="OC15" s="271">
        <v>0</v>
      </c>
      <c r="OD15" s="271">
        <v>89843.87</v>
      </c>
      <c r="OE15" s="271">
        <v>545153.69999999995</v>
      </c>
      <c r="OF15" s="271">
        <v>0</v>
      </c>
      <c r="OG15" s="271">
        <v>9053089.75</v>
      </c>
      <c r="OH15" s="271">
        <v>0</v>
      </c>
      <c r="OI15" s="271">
        <v>0</v>
      </c>
      <c r="OJ15" s="271">
        <v>0</v>
      </c>
      <c r="OK15" s="271">
        <v>0</v>
      </c>
      <c r="OL15" s="271">
        <v>0</v>
      </c>
      <c r="OM15" s="271">
        <v>0</v>
      </c>
      <c r="ON15" s="271">
        <v>0</v>
      </c>
      <c r="OO15" s="271">
        <v>0</v>
      </c>
      <c r="OP15" s="271">
        <v>0</v>
      </c>
      <c r="OQ15" s="271">
        <v>0</v>
      </c>
      <c r="OR15" s="271">
        <v>0</v>
      </c>
      <c r="OS15" s="271">
        <v>406575</v>
      </c>
      <c r="OT15" s="271">
        <v>0</v>
      </c>
      <c r="OU15" s="271">
        <v>0</v>
      </c>
      <c r="OV15" s="271">
        <v>0</v>
      </c>
      <c r="OW15" s="271">
        <v>0</v>
      </c>
      <c r="OX15" s="271">
        <v>0</v>
      </c>
      <c r="OY15" s="271">
        <v>0</v>
      </c>
      <c r="OZ15" s="271">
        <v>0</v>
      </c>
      <c r="PA15" s="271">
        <v>0</v>
      </c>
      <c r="PB15" s="271">
        <v>0</v>
      </c>
      <c r="PC15" s="271">
        <v>0</v>
      </c>
      <c r="PD15" s="271">
        <v>0</v>
      </c>
      <c r="PE15" s="271">
        <v>0</v>
      </c>
      <c r="PF15" s="271">
        <v>0</v>
      </c>
      <c r="PG15" s="271">
        <v>0</v>
      </c>
      <c r="PH15" s="271">
        <v>0</v>
      </c>
      <c r="PI15" s="271">
        <v>0</v>
      </c>
      <c r="PJ15" s="271">
        <v>0</v>
      </c>
      <c r="PK15" s="271">
        <v>0</v>
      </c>
      <c r="PL15" s="271">
        <v>0</v>
      </c>
      <c r="PM15" s="271">
        <v>0</v>
      </c>
      <c r="PN15" s="271">
        <v>0</v>
      </c>
      <c r="PO15" s="271">
        <v>0</v>
      </c>
      <c r="PP15" s="271">
        <v>0</v>
      </c>
      <c r="PQ15" s="271">
        <v>0</v>
      </c>
      <c r="PR15" s="271">
        <v>0</v>
      </c>
      <c r="PS15" s="271">
        <v>0</v>
      </c>
      <c r="PT15" s="271">
        <v>0</v>
      </c>
      <c r="PU15" s="271">
        <v>0</v>
      </c>
      <c r="PV15" s="271">
        <v>0</v>
      </c>
      <c r="PW15" s="271">
        <v>0</v>
      </c>
      <c r="PX15" s="271">
        <v>0</v>
      </c>
      <c r="PY15" s="271">
        <v>0</v>
      </c>
      <c r="PZ15" s="271">
        <v>0</v>
      </c>
      <c r="QA15" s="271">
        <v>0</v>
      </c>
      <c r="QB15" s="271">
        <v>0</v>
      </c>
      <c r="QC15" s="271">
        <v>0</v>
      </c>
      <c r="QD15" s="271">
        <v>0</v>
      </c>
      <c r="QE15" s="271">
        <v>0</v>
      </c>
      <c r="QF15" s="271">
        <v>0</v>
      </c>
      <c r="QG15" s="271">
        <v>0</v>
      </c>
      <c r="QH15" s="271">
        <v>0</v>
      </c>
      <c r="QI15" s="271">
        <v>0</v>
      </c>
      <c r="QJ15" s="271">
        <v>0</v>
      </c>
      <c r="QK15" s="271">
        <v>0</v>
      </c>
      <c r="QL15" s="271">
        <v>0</v>
      </c>
      <c r="QM15" s="271">
        <v>0</v>
      </c>
      <c r="QN15" s="271">
        <v>8724272.8900000006</v>
      </c>
      <c r="QO15" s="271">
        <v>0</v>
      </c>
      <c r="QP15" s="271">
        <v>99600</v>
      </c>
      <c r="QQ15" s="271">
        <v>0</v>
      </c>
      <c r="QR15" s="271">
        <v>0</v>
      </c>
      <c r="QS15" s="271">
        <v>52350</v>
      </c>
      <c r="QT15" s="271">
        <v>514650</v>
      </c>
      <c r="QU15" s="271">
        <v>0</v>
      </c>
      <c r="QV15" s="271">
        <v>0</v>
      </c>
      <c r="QW15" s="271">
        <v>0</v>
      </c>
      <c r="QX15" s="271">
        <v>0</v>
      </c>
      <c r="QY15" s="271">
        <v>0</v>
      </c>
      <c r="QZ15" s="271">
        <v>0</v>
      </c>
      <c r="RA15" s="271">
        <v>0</v>
      </c>
      <c r="RB15" s="271">
        <v>0</v>
      </c>
      <c r="RC15" s="271">
        <v>0</v>
      </c>
      <c r="RD15" s="271">
        <v>0</v>
      </c>
      <c r="RE15" s="271">
        <v>0</v>
      </c>
      <c r="RF15" s="271">
        <v>0</v>
      </c>
      <c r="RG15" s="271">
        <v>500000</v>
      </c>
      <c r="RH15" s="271">
        <v>0</v>
      </c>
      <c r="RI15" s="271">
        <v>0</v>
      </c>
      <c r="RJ15" s="271">
        <v>0</v>
      </c>
      <c r="RK15" s="271">
        <v>0</v>
      </c>
      <c r="RL15" s="271">
        <v>0</v>
      </c>
      <c r="RM15" s="271">
        <v>0</v>
      </c>
      <c r="RN15" s="271">
        <v>0</v>
      </c>
      <c r="RO15" s="271">
        <v>0</v>
      </c>
      <c r="RP15" s="271">
        <v>0</v>
      </c>
      <c r="RQ15" s="271">
        <v>0</v>
      </c>
      <c r="RR15" s="271">
        <v>0</v>
      </c>
      <c r="RS15" s="271">
        <v>0</v>
      </c>
      <c r="RT15" s="271">
        <v>0</v>
      </c>
      <c r="RU15" s="271">
        <v>0</v>
      </c>
      <c r="RV15" s="271">
        <v>0</v>
      </c>
      <c r="RW15" s="271">
        <v>0</v>
      </c>
      <c r="RX15" s="271">
        <v>0</v>
      </c>
      <c r="RY15" s="271">
        <v>0</v>
      </c>
      <c r="RZ15" s="271">
        <v>0</v>
      </c>
      <c r="SA15" s="271">
        <v>1384683</v>
      </c>
      <c r="SB15" s="271">
        <v>0</v>
      </c>
      <c r="SC15" s="271">
        <v>0</v>
      </c>
      <c r="SD15" s="271">
        <v>0</v>
      </c>
      <c r="SE15" s="271">
        <v>0</v>
      </c>
      <c r="SF15" s="271">
        <v>0</v>
      </c>
      <c r="SG15" s="271">
        <v>0</v>
      </c>
      <c r="SH15" s="271">
        <v>0</v>
      </c>
      <c r="SI15" s="271">
        <v>0</v>
      </c>
      <c r="SJ15" s="271">
        <v>0</v>
      </c>
      <c r="SK15" s="271">
        <v>0</v>
      </c>
      <c r="SL15" s="271">
        <v>0</v>
      </c>
      <c r="SM15" s="271">
        <v>0</v>
      </c>
      <c r="SN15" s="271">
        <v>0</v>
      </c>
      <c r="SO15" s="271">
        <v>0</v>
      </c>
      <c r="SP15" s="271">
        <v>0</v>
      </c>
      <c r="SQ15" s="271">
        <v>0</v>
      </c>
      <c r="SR15" s="271">
        <v>0</v>
      </c>
      <c r="SS15" s="271">
        <v>0</v>
      </c>
      <c r="ST15" s="271">
        <v>0</v>
      </c>
      <c r="SU15" s="271">
        <v>0</v>
      </c>
      <c r="SV15" s="271">
        <v>0</v>
      </c>
      <c r="SW15" s="271">
        <v>0</v>
      </c>
      <c r="SX15" s="271">
        <v>0</v>
      </c>
      <c r="SY15" s="271">
        <v>0</v>
      </c>
      <c r="SZ15" s="271">
        <v>0</v>
      </c>
      <c r="TA15" s="271">
        <v>0</v>
      </c>
      <c r="TB15" s="271">
        <v>0</v>
      </c>
      <c r="TC15" s="271">
        <v>0</v>
      </c>
      <c r="TD15" s="271">
        <v>0</v>
      </c>
      <c r="TE15" s="271">
        <v>0</v>
      </c>
      <c r="TF15" s="271">
        <v>0</v>
      </c>
      <c r="TG15" s="271">
        <v>0</v>
      </c>
      <c r="TH15" s="271">
        <v>0</v>
      </c>
      <c r="TI15" s="271">
        <v>0</v>
      </c>
      <c r="TJ15" s="271">
        <v>0</v>
      </c>
      <c r="TK15" s="271">
        <v>0</v>
      </c>
      <c r="TL15" s="271">
        <v>0</v>
      </c>
      <c r="TM15" s="271">
        <v>0</v>
      </c>
      <c r="TN15" s="271">
        <v>0</v>
      </c>
      <c r="TO15" s="271">
        <v>0</v>
      </c>
      <c r="TP15" s="271">
        <v>0</v>
      </c>
      <c r="TQ15" s="271">
        <v>0</v>
      </c>
      <c r="TR15" s="271">
        <v>0</v>
      </c>
      <c r="TS15" s="271">
        <v>0</v>
      </c>
      <c r="TT15" s="271">
        <v>0</v>
      </c>
      <c r="TU15" s="271">
        <v>0</v>
      </c>
      <c r="TV15" s="271">
        <v>0</v>
      </c>
      <c r="TW15" s="271">
        <v>0</v>
      </c>
      <c r="TX15" s="271">
        <v>0</v>
      </c>
      <c r="TY15" s="271">
        <v>0</v>
      </c>
      <c r="TZ15" s="271">
        <v>0</v>
      </c>
      <c r="UA15" s="271">
        <v>0</v>
      </c>
      <c r="UB15" s="271">
        <v>0</v>
      </c>
      <c r="UC15" s="271">
        <v>0</v>
      </c>
      <c r="UD15" s="271">
        <v>0</v>
      </c>
      <c r="UE15" s="271">
        <v>0</v>
      </c>
      <c r="UF15" s="271">
        <v>0</v>
      </c>
      <c r="UG15" s="271">
        <v>0</v>
      </c>
      <c r="UH15" s="271">
        <v>0</v>
      </c>
      <c r="UI15" s="271">
        <v>0</v>
      </c>
      <c r="UJ15" s="271">
        <v>2016230.48</v>
      </c>
      <c r="UK15" s="271">
        <v>0</v>
      </c>
      <c r="UL15" s="271">
        <v>0</v>
      </c>
      <c r="UM15" s="271">
        <v>0</v>
      </c>
      <c r="UN15" s="271">
        <v>0</v>
      </c>
      <c r="UO15" s="271">
        <v>0</v>
      </c>
      <c r="UP15" s="271">
        <v>6352644.1500000004</v>
      </c>
      <c r="UQ15" s="271">
        <v>0</v>
      </c>
      <c r="UR15" s="271">
        <v>0</v>
      </c>
      <c r="US15" s="271">
        <v>0</v>
      </c>
      <c r="UT15" s="271">
        <v>0</v>
      </c>
      <c r="UU15" s="271">
        <v>0</v>
      </c>
      <c r="UV15" s="271">
        <v>0</v>
      </c>
      <c r="UW15" s="271">
        <v>0</v>
      </c>
      <c r="UX15" s="271">
        <v>0</v>
      </c>
      <c r="UY15" s="271">
        <v>0</v>
      </c>
      <c r="UZ15" s="271">
        <v>0</v>
      </c>
      <c r="VA15" s="271">
        <v>0</v>
      </c>
      <c r="VB15" s="271">
        <v>0</v>
      </c>
      <c r="VC15" s="271">
        <v>0</v>
      </c>
      <c r="VD15" s="271">
        <v>0</v>
      </c>
      <c r="VE15" s="271">
        <v>0</v>
      </c>
      <c r="VF15" s="271">
        <v>0</v>
      </c>
      <c r="VG15" s="271">
        <v>0</v>
      </c>
      <c r="VH15" s="271">
        <v>0</v>
      </c>
      <c r="VI15" s="271">
        <v>0</v>
      </c>
      <c r="VJ15" s="271">
        <v>0</v>
      </c>
      <c r="VK15" s="271">
        <v>0</v>
      </c>
      <c r="VL15" s="271">
        <v>17199000</v>
      </c>
      <c r="VM15" s="271">
        <v>0</v>
      </c>
      <c r="VN15" s="271">
        <v>0</v>
      </c>
      <c r="VO15" s="271">
        <v>235870</v>
      </c>
      <c r="VP15" s="271">
        <v>0</v>
      </c>
      <c r="VQ15" s="271">
        <v>0</v>
      </c>
      <c r="VR15" s="271">
        <v>0</v>
      </c>
      <c r="VS15" s="271">
        <v>0</v>
      </c>
      <c r="VT15" s="271">
        <v>0</v>
      </c>
      <c r="VU15" s="271">
        <v>0</v>
      </c>
      <c r="VV15" s="271">
        <v>0</v>
      </c>
      <c r="VW15" s="271">
        <v>0</v>
      </c>
      <c r="VX15" s="271">
        <v>0</v>
      </c>
      <c r="VY15" s="271">
        <v>0</v>
      </c>
      <c r="VZ15" s="271">
        <v>0</v>
      </c>
      <c r="WA15" s="271">
        <v>38578200</v>
      </c>
      <c r="WB15" s="271">
        <v>0</v>
      </c>
      <c r="WC15" s="271">
        <v>0</v>
      </c>
      <c r="WD15" s="271">
        <v>0</v>
      </c>
      <c r="WE15" s="271">
        <v>0</v>
      </c>
      <c r="WF15" s="271">
        <v>0</v>
      </c>
      <c r="WG15" s="271">
        <v>0</v>
      </c>
      <c r="WH15" s="271">
        <v>0</v>
      </c>
      <c r="WI15" s="271">
        <v>0</v>
      </c>
      <c r="WJ15" s="271">
        <v>0</v>
      </c>
      <c r="WK15" s="271">
        <v>0</v>
      </c>
      <c r="WL15" s="271">
        <v>0</v>
      </c>
      <c r="WM15" s="271">
        <v>0</v>
      </c>
      <c r="WN15" s="271">
        <v>0</v>
      </c>
      <c r="WO15" s="271">
        <v>0</v>
      </c>
      <c r="WP15" s="271">
        <v>0</v>
      </c>
      <c r="WQ15" s="271">
        <v>0</v>
      </c>
      <c r="WR15" s="271">
        <v>0</v>
      </c>
      <c r="WS15" s="271">
        <v>0</v>
      </c>
      <c r="WT15" s="271">
        <v>0</v>
      </c>
      <c r="WU15" s="271">
        <v>0</v>
      </c>
      <c r="WV15" s="271">
        <v>0</v>
      </c>
      <c r="WW15" s="271">
        <v>0</v>
      </c>
      <c r="WX15" s="271">
        <v>0</v>
      </c>
      <c r="WY15" s="271">
        <v>0</v>
      </c>
      <c r="WZ15" s="271">
        <v>0</v>
      </c>
      <c r="XA15" s="271">
        <v>0</v>
      </c>
      <c r="XB15" s="271">
        <v>0</v>
      </c>
      <c r="XC15" s="271">
        <v>9743100</v>
      </c>
      <c r="XD15" s="271">
        <v>0</v>
      </c>
      <c r="XE15" s="271">
        <v>0</v>
      </c>
      <c r="XF15" s="271">
        <v>0</v>
      </c>
      <c r="XG15" s="271">
        <v>0</v>
      </c>
      <c r="XH15" s="271">
        <v>27547135.52</v>
      </c>
      <c r="XI15" s="271">
        <v>0</v>
      </c>
      <c r="XJ15" s="271">
        <v>0</v>
      </c>
      <c r="XK15" s="271">
        <v>0</v>
      </c>
      <c r="XL15" s="271">
        <v>0</v>
      </c>
      <c r="XM15" s="271">
        <v>0</v>
      </c>
      <c r="XN15" s="271">
        <v>0</v>
      </c>
      <c r="XO15" s="271">
        <v>0</v>
      </c>
      <c r="XP15" s="271">
        <v>0</v>
      </c>
      <c r="XQ15" s="271">
        <v>0</v>
      </c>
      <c r="XR15" s="271">
        <v>0</v>
      </c>
      <c r="XS15" s="271">
        <v>0</v>
      </c>
      <c r="XT15" s="271">
        <v>0</v>
      </c>
      <c r="XU15" s="271">
        <v>0</v>
      </c>
      <c r="XV15" s="271">
        <v>0</v>
      </c>
      <c r="XW15" s="271">
        <v>0</v>
      </c>
      <c r="XX15" s="271">
        <v>0</v>
      </c>
      <c r="XY15" s="271">
        <v>0</v>
      </c>
      <c r="XZ15" s="271">
        <v>0</v>
      </c>
      <c r="YA15" s="271">
        <v>0</v>
      </c>
      <c r="YB15" s="271">
        <v>0</v>
      </c>
      <c r="YC15" s="271">
        <v>0</v>
      </c>
      <c r="YD15" s="271">
        <v>0</v>
      </c>
      <c r="YE15" s="271">
        <v>0</v>
      </c>
      <c r="YF15" s="271">
        <v>0</v>
      </c>
      <c r="YG15" s="271">
        <v>0</v>
      </c>
      <c r="YH15" s="271">
        <v>0</v>
      </c>
      <c r="YI15" s="271">
        <v>9216307.5</v>
      </c>
      <c r="YJ15" s="271">
        <v>0</v>
      </c>
      <c r="YK15" s="271">
        <v>0</v>
      </c>
      <c r="YL15" s="271">
        <v>0</v>
      </c>
      <c r="YM15" s="271">
        <v>0</v>
      </c>
      <c r="YN15" s="271">
        <v>0</v>
      </c>
      <c r="YO15" s="271">
        <v>0</v>
      </c>
      <c r="YP15" s="271">
        <v>0</v>
      </c>
      <c r="YQ15" s="271">
        <v>0</v>
      </c>
      <c r="YR15" s="271">
        <v>0</v>
      </c>
      <c r="YS15" s="271">
        <v>0</v>
      </c>
      <c r="YT15" s="271">
        <v>0</v>
      </c>
      <c r="YU15" s="271">
        <v>0</v>
      </c>
      <c r="YV15" s="271">
        <v>174836126.40000001</v>
      </c>
      <c r="YW15" s="271">
        <v>0</v>
      </c>
      <c r="YX15" s="271">
        <v>0</v>
      </c>
      <c r="YY15" s="271">
        <v>0</v>
      </c>
      <c r="YZ15" s="271">
        <v>0</v>
      </c>
      <c r="ZA15" s="271">
        <v>0</v>
      </c>
      <c r="ZB15" s="271">
        <v>1234862.0800000001</v>
      </c>
      <c r="ZC15" s="271">
        <v>162734.23000000001</v>
      </c>
      <c r="ZD15" s="271">
        <v>0</v>
      </c>
      <c r="ZE15" s="271">
        <v>0</v>
      </c>
      <c r="ZF15" s="271">
        <v>0</v>
      </c>
      <c r="ZG15" s="271">
        <v>0</v>
      </c>
      <c r="ZH15" s="271">
        <v>0</v>
      </c>
      <c r="ZI15" s="271">
        <v>0</v>
      </c>
      <c r="ZJ15" s="271">
        <v>0</v>
      </c>
      <c r="ZK15" s="271">
        <v>0</v>
      </c>
      <c r="ZL15" s="271">
        <v>19484969</v>
      </c>
      <c r="ZM15" s="271">
        <v>0</v>
      </c>
      <c r="ZN15" s="271">
        <v>0</v>
      </c>
      <c r="ZO15" s="271">
        <v>0</v>
      </c>
      <c r="ZP15" s="271">
        <v>0</v>
      </c>
      <c r="ZQ15" s="271">
        <v>0</v>
      </c>
      <c r="ZR15" s="271">
        <v>0</v>
      </c>
      <c r="ZS15" s="271">
        <v>0</v>
      </c>
      <c r="ZT15" s="271">
        <v>0</v>
      </c>
      <c r="ZU15" s="271">
        <v>0</v>
      </c>
      <c r="ZV15" s="271">
        <v>0</v>
      </c>
      <c r="ZW15" s="271">
        <v>0</v>
      </c>
      <c r="ZX15" s="271">
        <v>0</v>
      </c>
      <c r="ZY15" s="271">
        <v>0</v>
      </c>
      <c r="ZZ15" s="271">
        <v>0</v>
      </c>
      <c r="AAA15" s="271">
        <v>0</v>
      </c>
      <c r="AAB15" s="271">
        <v>0</v>
      </c>
      <c r="AAC15" s="271">
        <v>0</v>
      </c>
      <c r="AAD15" s="271">
        <v>0</v>
      </c>
      <c r="AAE15" s="271">
        <v>0</v>
      </c>
      <c r="AAF15" s="271">
        <v>0</v>
      </c>
      <c r="AAG15" s="271">
        <v>0</v>
      </c>
      <c r="AAH15" s="271">
        <v>0</v>
      </c>
      <c r="AAI15" s="271">
        <v>0</v>
      </c>
      <c r="AAJ15" s="271">
        <v>0</v>
      </c>
      <c r="AAK15" s="271">
        <v>0</v>
      </c>
      <c r="AAL15" s="271">
        <v>0</v>
      </c>
      <c r="AAM15" s="271">
        <v>0</v>
      </c>
      <c r="AAN15" s="271">
        <v>0</v>
      </c>
      <c r="AAO15" s="271">
        <v>42417701.850000001</v>
      </c>
      <c r="AAP15" s="271">
        <v>0</v>
      </c>
      <c r="AAQ15" s="271">
        <v>0</v>
      </c>
      <c r="AAR15" s="271">
        <v>0</v>
      </c>
      <c r="AAS15" s="271">
        <v>0</v>
      </c>
      <c r="AAT15" s="271">
        <v>0</v>
      </c>
      <c r="AAU15" s="271">
        <v>0</v>
      </c>
      <c r="AAV15" s="271">
        <v>0</v>
      </c>
      <c r="AAW15" s="271">
        <v>0</v>
      </c>
      <c r="AAX15" s="271">
        <v>0</v>
      </c>
      <c r="AAY15" s="271">
        <v>0</v>
      </c>
      <c r="AAZ15" s="271">
        <v>0</v>
      </c>
      <c r="ABA15" s="271">
        <v>0</v>
      </c>
      <c r="ABB15" s="271">
        <v>0</v>
      </c>
      <c r="ABC15" s="271">
        <v>0</v>
      </c>
      <c r="ABD15" s="271">
        <v>0</v>
      </c>
      <c r="ABE15" s="271">
        <v>0</v>
      </c>
      <c r="ABF15" s="271">
        <v>0</v>
      </c>
      <c r="ABG15" s="271">
        <v>0</v>
      </c>
      <c r="ABH15" s="271">
        <v>0</v>
      </c>
      <c r="ABI15" s="271">
        <v>0</v>
      </c>
      <c r="ABJ15" s="271">
        <v>0</v>
      </c>
      <c r="ABK15" s="271">
        <v>0</v>
      </c>
      <c r="ABL15" s="271">
        <v>0</v>
      </c>
      <c r="ABM15" s="271">
        <v>0</v>
      </c>
      <c r="ABN15" s="271">
        <v>0</v>
      </c>
      <c r="ABO15" s="271">
        <v>0</v>
      </c>
      <c r="ABP15" s="271">
        <v>0</v>
      </c>
      <c r="ABQ15" s="271">
        <v>0</v>
      </c>
      <c r="ABR15" s="271">
        <v>0</v>
      </c>
      <c r="ABS15" s="271">
        <v>0</v>
      </c>
      <c r="ABT15" s="271">
        <v>0</v>
      </c>
      <c r="ABU15" s="271">
        <v>0</v>
      </c>
      <c r="ABV15" s="271">
        <v>0</v>
      </c>
      <c r="ABW15" s="271">
        <v>0</v>
      </c>
      <c r="ABX15" s="271">
        <v>0</v>
      </c>
      <c r="ABY15" s="271">
        <v>0</v>
      </c>
      <c r="ABZ15" s="271">
        <v>0</v>
      </c>
      <c r="ACA15" s="271">
        <v>0</v>
      </c>
      <c r="ACB15" s="271">
        <v>0</v>
      </c>
      <c r="ACC15" s="271">
        <v>0</v>
      </c>
      <c r="ACD15" s="271">
        <v>0</v>
      </c>
      <c r="ACE15" s="271">
        <v>0</v>
      </c>
      <c r="ACF15" s="271">
        <v>0</v>
      </c>
      <c r="ACG15" s="271">
        <v>0</v>
      </c>
      <c r="ACH15" s="271">
        <v>0</v>
      </c>
      <c r="ACI15" s="271">
        <v>27482800</v>
      </c>
      <c r="ACJ15" s="271">
        <v>0</v>
      </c>
      <c r="ACK15" s="271">
        <v>0</v>
      </c>
      <c r="ACL15" s="271">
        <v>0</v>
      </c>
      <c r="ACM15" s="271">
        <v>0</v>
      </c>
      <c r="ACN15" s="271">
        <v>0</v>
      </c>
      <c r="ACO15" s="271">
        <v>0</v>
      </c>
      <c r="ACP15" s="271">
        <v>0</v>
      </c>
      <c r="ACQ15" s="271">
        <v>0</v>
      </c>
      <c r="ACR15" s="271">
        <v>0</v>
      </c>
      <c r="ACS15" s="271">
        <v>0</v>
      </c>
      <c r="ACT15" s="271">
        <v>0</v>
      </c>
      <c r="ACU15" s="271">
        <v>0</v>
      </c>
      <c r="ACV15" s="271">
        <v>0</v>
      </c>
      <c r="ACW15" s="271">
        <v>0</v>
      </c>
      <c r="ACX15" s="271">
        <v>0</v>
      </c>
      <c r="ACY15" s="271">
        <v>0</v>
      </c>
      <c r="ACZ15" s="271">
        <v>0</v>
      </c>
      <c r="ADA15" s="271">
        <v>0</v>
      </c>
      <c r="ADB15" s="271">
        <v>0</v>
      </c>
      <c r="ADC15" s="271">
        <v>0</v>
      </c>
      <c r="ADD15" s="271">
        <v>0</v>
      </c>
      <c r="ADE15" s="271">
        <v>0</v>
      </c>
      <c r="ADF15" s="271">
        <v>6905324.1500000004</v>
      </c>
      <c r="ADG15" s="271">
        <v>85932355.930000007</v>
      </c>
      <c r="ADH15" s="271">
        <v>0</v>
      </c>
      <c r="ADI15" s="271">
        <v>0</v>
      </c>
      <c r="ADJ15" s="271">
        <v>0</v>
      </c>
      <c r="ADK15" s="271">
        <v>0</v>
      </c>
      <c r="ADL15" s="271">
        <v>0</v>
      </c>
      <c r="ADM15" s="271">
        <v>0</v>
      </c>
      <c r="ADN15" s="271">
        <v>0</v>
      </c>
      <c r="ADO15" s="271">
        <v>89311998.469999999</v>
      </c>
      <c r="ADP15" s="271">
        <v>0</v>
      </c>
      <c r="ADQ15" s="271">
        <v>0</v>
      </c>
      <c r="ADR15" s="271">
        <v>0</v>
      </c>
      <c r="ADS15" s="271">
        <v>98002898.790000007</v>
      </c>
      <c r="ADT15" s="271">
        <v>0</v>
      </c>
      <c r="ADU15" s="271">
        <v>0</v>
      </c>
      <c r="ADV15" s="271">
        <v>0</v>
      </c>
      <c r="ADW15" s="271">
        <v>0</v>
      </c>
      <c r="ADX15" s="271">
        <v>0</v>
      </c>
      <c r="ADY15" s="271">
        <v>0</v>
      </c>
      <c r="ADZ15" s="271">
        <v>0</v>
      </c>
      <c r="AEA15" s="271">
        <v>0</v>
      </c>
      <c r="AEB15" s="271">
        <v>0</v>
      </c>
      <c r="AEC15" s="271">
        <v>0</v>
      </c>
      <c r="AED15" s="271">
        <v>0</v>
      </c>
      <c r="AEE15" s="271">
        <v>0</v>
      </c>
      <c r="AEF15" s="271">
        <v>0</v>
      </c>
      <c r="AEG15" s="271">
        <v>2744611.4</v>
      </c>
      <c r="AEH15" s="271">
        <v>0</v>
      </c>
      <c r="AEI15" s="271">
        <v>0</v>
      </c>
      <c r="AEJ15" s="271">
        <v>0</v>
      </c>
      <c r="AEK15" s="271">
        <v>0</v>
      </c>
      <c r="AEL15" s="271">
        <v>0</v>
      </c>
      <c r="AEM15" s="271">
        <v>0</v>
      </c>
      <c r="AEN15" s="271">
        <v>0</v>
      </c>
      <c r="AEO15" s="271">
        <v>0</v>
      </c>
      <c r="AEP15" s="271">
        <v>0</v>
      </c>
      <c r="AEQ15" s="271">
        <v>0</v>
      </c>
      <c r="AER15" s="271">
        <v>0</v>
      </c>
      <c r="AES15" s="271">
        <v>471716805.92000002</v>
      </c>
      <c r="AET15" s="271">
        <v>0</v>
      </c>
      <c r="AEU15" s="271">
        <v>0</v>
      </c>
      <c r="AEV15" s="271">
        <v>0</v>
      </c>
      <c r="AEW15" s="271">
        <v>0</v>
      </c>
      <c r="AEX15" s="271">
        <v>0</v>
      </c>
      <c r="AEY15" s="271">
        <v>0</v>
      </c>
      <c r="AEZ15" s="271">
        <v>0</v>
      </c>
      <c r="AFA15" s="271">
        <v>0</v>
      </c>
      <c r="AFB15" s="271">
        <v>0</v>
      </c>
      <c r="AFC15" s="271">
        <v>7957301.1600000001</v>
      </c>
      <c r="AFD15" s="271">
        <v>17854.849999999999</v>
      </c>
      <c r="AFE15" s="271">
        <v>0</v>
      </c>
      <c r="AFF15" s="271">
        <v>0</v>
      </c>
      <c r="AFG15" s="271">
        <v>0</v>
      </c>
      <c r="AFH15" s="271">
        <v>0</v>
      </c>
      <c r="AFI15" s="271">
        <v>0</v>
      </c>
      <c r="AFJ15" s="271">
        <v>0</v>
      </c>
      <c r="AFK15" s="271">
        <v>0</v>
      </c>
      <c r="AFL15" s="271">
        <v>0</v>
      </c>
      <c r="AFM15" s="271">
        <v>0</v>
      </c>
      <c r="AFN15" s="271">
        <v>0</v>
      </c>
      <c r="AFO15" s="271">
        <v>0</v>
      </c>
      <c r="AFP15" s="271">
        <v>0</v>
      </c>
      <c r="AFQ15" s="271">
        <v>0</v>
      </c>
      <c r="AFR15" s="271">
        <v>0</v>
      </c>
      <c r="AFS15" s="271">
        <v>0</v>
      </c>
      <c r="AFT15" s="271">
        <v>0</v>
      </c>
      <c r="AFU15" s="271">
        <v>0</v>
      </c>
      <c r="AFV15" s="271">
        <v>0</v>
      </c>
      <c r="AFW15" s="271">
        <v>0</v>
      </c>
      <c r="AFX15" s="271">
        <v>0</v>
      </c>
      <c r="AFY15" s="271">
        <v>0</v>
      </c>
      <c r="AFZ15" s="271">
        <v>0</v>
      </c>
      <c r="AGA15" s="271">
        <v>0</v>
      </c>
      <c r="AGB15" s="271">
        <v>123788960.57000001</v>
      </c>
      <c r="AGC15" s="271">
        <v>0</v>
      </c>
      <c r="AGD15" s="271">
        <v>0</v>
      </c>
      <c r="AGE15" s="271">
        <v>0</v>
      </c>
      <c r="AGF15" s="271">
        <v>0</v>
      </c>
      <c r="AGG15" s="271">
        <v>0</v>
      </c>
      <c r="AGH15" s="271">
        <v>0</v>
      </c>
      <c r="AGI15" s="271">
        <v>0</v>
      </c>
      <c r="AGJ15" s="271">
        <v>0</v>
      </c>
      <c r="AGK15" s="271">
        <v>0</v>
      </c>
      <c r="AGL15" s="271">
        <v>0</v>
      </c>
      <c r="AGM15" s="271">
        <v>18410000</v>
      </c>
      <c r="AGN15" s="271">
        <v>0</v>
      </c>
      <c r="AGO15" s="271">
        <v>0</v>
      </c>
      <c r="AGP15" s="271">
        <v>0</v>
      </c>
      <c r="AGQ15" s="271">
        <v>0</v>
      </c>
      <c r="AGR15" s="271">
        <v>0</v>
      </c>
      <c r="AGS15" s="271">
        <v>0</v>
      </c>
      <c r="AGT15" s="271">
        <v>0</v>
      </c>
      <c r="AGU15" s="271">
        <v>34545000</v>
      </c>
      <c r="AGV15" s="271">
        <v>21462000</v>
      </c>
      <c r="AGW15" s="271">
        <v>0</v>
      </c>
      <c r="AGX15" s="271">
        <v>0</v>
      </c>
      <c r="AGY15" s="271">
        <v>0</v>
      </c>
      <c r="AGZ15" s="271">
        <v>0</v>
      </c>
      <c r="AHA15" s="271">
        <v>0</v>
      </c>
      <c r="AHB15" s="271">
        <v>0</v>
      </c>
      <c r="AHC15" s="271">
        <v>0</v>
      </c>
      <c r="AHD15" s="271">
        <v>0</v>
      </c>
      <c r="AHE15" s="271">
        <v>0</v>
      </c>
      <c r="AHF15" s="271">
        <v>0</v>
      </c>
      <c r="AHG15" s="271">
        <v>0</v>
      </c>
      <c r="AHH15" s="271">
        <v>0</v>
      </c>
      <c r="AHI15" s="271">
        <v>0</v>
      </c>
      <c r="AHJ15" s="271">
        <v>0</v>
      </c>
      <c r="AHK15" s="271">
        <v>0</v>
      </c>
      <c r="AHL15" s="271">
        <v>1071380.58</v>
      </c>
      <c r="AHM15" s="271">
        <v>0</v>
      </c>
      <c r="AHN15" s="271">
        <v>0</v>
      </c>
      <c r="AHO15" s="271">
        <v>0</v>
      </c>
      <c r="AHP15" s="271">
        <v>0</v>
      </c>
      <c r="AHQ15" s="294">
        <v>0</v>
      </c>
      <c r="AHR15" s="331">
        <v>0</v>
      </c>
      <c r="AHS15" s="294">
        <f t="shared" si="0"/>
        <v>17874069738.629997</v>
      </c>
      <c r="AHT15" s="269" t="b">
        <f t="shared" si="1"/>
        <v>1</v>
      </c>
      <c r="AHU15" s="269" t="s">
        <v>1144</v>
      </c>
    </row>
    <row r="16" spans="2:905" ht="23.4" customHeight="1" x14ac:dyDescent="0.7">
      <c r="B16" s="268" t="s">
        <v>18</v>
      </c>
      <c r="C16" s="269" t="s">
        <v>644</v>
      </c>
      <c r="D16" s="271">
        <v>178000953.67000002</v>
      </c>
      <c r="E16" s="271">
        <v>3446114.77</v>
      </c>
      <c r="F16" s="271">
        <v>13700678.41</v>
      </c>
      <c r="G16" s="271">
        <v>4313493.2799999993</v>
      </c>
      <c r="H16" s="271">
        <v>13031059.050000001</v>
      </c>
      <c r="I16" s="271">
        <v>8975992.2699999996</v>
      </c>
      <c r="J16" s="271">
        <v>42599609.840000004</v>
      </c>
      <c r="K16" s="271">
        <v>6222001.2400000002</v>
      </c>
      <c r="L16" s="271">
        <v>7827017.96</v>
      </c>
      <c r="M16" s="271">
        <v>8907189.4000000004</v>
      </c>
      <c r="N16" s="271">
        <v>3282604.9</v>
      </c>
      <c r="O16" s="271">
        <v>2828984</v>
      </c>
      <c r="P16" s="271">
        <v>11053261.050000001</v>
      </c>
      <c r="Q16" s="271">
        <v>9682565.9499999993</v>
      </c>
      <c r="R16" s="271">
        <v>2555362.98</v>
      </c>
      <c r="S16" s="271">
        <v>15105008.940000001</v>
      </c>
      <c r="T16" s="271">
        <v>4794080.96</v>
      </c>
      <c r="U16" s="271">
        <v>2540780.02</v>
      </c>
      <c r="V16" s="271">
        <v>169234801.94</v>
      </c>
      <c r="W16" s="271">
        <v>16290467.58</v>
      </c>
      <c r="X16" s="271">
        <v>1619308</v>
      </c>
      <c r="Y16" s="271">
        <v>4842803.5999999996</v>
      </c>
      <c r="Z16" s="271">
        <v>10154000.189999999</v>
      </c>
      <c r="AA16" s="271">
        <v>3140185.96</v>
      </c>
      <c r="AB16" s="271">
        <v>1299803.55</v>
      </c>
      <c r="AC16" s="271">
        <v>13096430.109999999</v>
      </c>
      <c r="AD16" s="271">
        <v>25378743.740000002</v>
      </c>
      <c r="AE16" s="271">
        <v>5067195.33</v>
      </c>
      <c r="AF16" s="271">
        <v>22629389.780000001</v>
      </c>
      <c r="AG16" s="271">
        <v>1596000</v>
      </c>
      <c r="AH16" s="271">
        <v>13429741.460000001</v>
      </c>
      <c r="AI16" s="271">
        <v>4501328.59</v>
      </c>
      <c r="AJ16" s="271">
        <v>3525864.84</v>
      </c>
      <c r="AK16" s="271">
        <v>2922186.87</v>
      </c>
      <c r="AL16" s="271">
        <v>2155569.85</v>
      </c>
      <c r="AM16" s="271">
        <v>2188387.35</v>
      </c>
      <c r="AN16" s="271">
        <v>853411.13</v>
      </c>
      <c r="AO16" s="271">
        <v>3243505.4</v>
      </c>
      <c r="AP16" s="271">
        <v>6715920.6099999994</v>
      </c>
      <c r="AQ16" s="271">
        <v>2515279.4700000002</v>
      </c>
      <c r="AR16" s="271">
        <v>2972344.91</v>
      </c>
      <c r="AS16" s="271">
        <v>684957.44</v>
      </c>
      <c r="AT16" s="271">
        <v>17981861.949999999</v>
      </c>
      <c r="AU16" s="271">
        <v>3295164.27</v>
      </c>
      <c r="AV16" s="271">
        <v>1125684.31</v>
      </c>
      <c r="AW16" s="271">
        <v>3302167.52</v>
      </c>
      <c r="AX16" s="271">
        <v>2025218.88</v>
      </c>
      <c r="AY16" s="271">
        <v>3316627.87</v>
      </c>
      <c r="AZ16" s="271">
        <v>1785040.25</v>
      </c>
      <c r="BA16" s="271">
        <v>837597.77</v>
      </c>
      <c r="BB16" s="271">
        <v>456787.81</v>
      </c>
      <c r="BC16" s="271">
        <v>2501000</v>
      </c>
      <c r="BD16" s="271">
        <v>875084.01</v>
      </c>
      <c r="BE16" s="271">
        <v>880003.8</v>
      </c>
      <c r="BF16" s="271">
        <v>7351320.9500000002</v>
      </c>
      <c r="BG16" s="271">
        <v>1770794.09</v>
      </c>
      <c r="BH16" s="271">
        <v>222000</v>
      </c>
      <c r="BI16" s="271">
        <v>126039129.95999999</v>
      </c>
      <c r="BJ16" s="271">
        <v>30537550.59</v>
      </c>
      <c r="BK16" s="271">
        <v>7848664.4399999995</v>
      </c>
      <c r="BL16" s="271">
        <v>3584104.71</v>
      </c>
      <c r="BM16" s="271">
        <v>2522400</v>
      </c>
      <c r="BN16" s="271">
        <v>5037809.59</v>
      </c>
      <c r="BO16" s="271">
        <v>4638121.3499999996</v>
      </c>
      <c r="BP16" s="271">
        <v>2447618.6</v>
      </c>
      <c r="BQ16" s="271">
        <v>1342135.56</v>
      </c>
      <c r="BR16" s="271">
        <v>90235270.079999998</v>
      </c>
      <c r="BS16" s="271">
        <v>2390760.7400000002</v>
      </c>
      <c r="BT16" s="271">
        <v>1983528.22</v>
      </c>
      <c r="BU16" s="271">
        <v>2237009.36</v>
      </c>
      <c r="BV16" s="271">
        <v>2403006.81</v>
      </c>
      <c r="BW16" s="271">
        <v>3311772.46</v>
      </c>
      <c r="BX16" s="271">
        <v>957392.44</v>
      </c>
      <c r="BY16" s="271">
        <v>2107735.33</v>
      </c>
      <c r="BZ16" s="271">
        <v>14769570.310000001</v>
      </c>
      <c r="CA16" s="271">
        <v>1108788.92</v>
      </c>
      <c r="CB16" s="271">
        <v>2183897.61</v>
      </c>
      <c r="CC16" s="271">
        <v>4205721.91</v>
      </c>
      <c r="CD16" s="271">
        <v>1000091.49</v>
      </c>
      <c r="CE16" s="271">
        <v>2902187.74</v>
      </c>
      <c r="CF16" s="271">
        <v>1532801.21</v>
      </c>
      <c r="CG16" s="271">
        <v>13412717.51</v>
      </c>
      <c r="CH16" s="271">
        <v>4906492.33</v>
      </c>
      <c r="CI16" s="271">
        <v>30851806.34</v>
      </c>
      <c r="CJ16" s="271">
        <v>967045.9</v>
      </c>
      <c r="CK16" s="271">
        <v>4106219.83</v>
      </c>
      <c r="CL16" s="271">
        <v>6957687.1200000001</v>
      </c>
      <c r="CM16" s="271">
        <v>18095314.800000001</v>
      </c>
      <c r="CN16" s="271">
        <v>18659659.030000001</v>
      </c>
      <c r="CO16" s="271">
        <v>732400.04</v>
      </c>
      <c r="CP16" s="271">
        <v>5038115.75</v>
      </c>
      <c r="CQ16" s="271">
        <v>2510118.4500000002</v>
      </c>
      <c r="CR16" s="271">
        <v>2358946.2999999998</v>
      </c>
      <c r="CS16" s="271">
        <v>7521696.1699999999</v>
      </c>
      <c r="CT16" s="271">
        <v>19730541.640000001</v>
      </c>
      <c r="CU16" s="271">
        <v>3223195.45</v>
      </c>
      <c r="CV16" s="271">
        <v>6507132.3300000001</v>
      </c>
      <c r="CW16" s="271">
        <v>3309955.64</v>
      </c>
      <c r="CX16" s="271">
        <v>2754235.44</v>
      </c>
      <c r="CY16" s="271">
        <v>9686132.0999999996</v>
      </c>
      <c r="CZ16" s="271">
        <v>2219321.9299999997</v>
      </c>
      <c r="DA16" s="271">
        <v>2725099.45</v>
      </c>
      <c r="DB16" s="271">
        <v>38724537.759999998</v>
      </c>
      <c r="DC16" s="271">
        <v>40522258.590000004</v>
      </c>
      <c r="DD16" s="271">
        <v>5181000</v>
      </c>
      <c r="DE16" s="271">
        <v>5888478.1899999995</v>
      </c>
      <c r="DF16" s="271">
        <v>14555544.970000001</v>
      </c>
      <c r="DG16" s="271">
        <v>11305412.1</v>
      </c>
      <c r="DH16" s="271">
        <v>9903363.0500000007</v>
      </c>
      <c r="DI16" s="271">
        <v>2697015.72</v>
      </c>
      <c r="DJ16" s="271">
        <v>2809000</v>
      </c>
      <c r="DK16" s="271">
        <v>207713266.44</v>
      </c>
      <c r="DL16" s="271">
        <v>3987229.34</v>
      </c>
      <c r="DM16" s="271">
        <v>5984867.7400000002</v>
      </c>
      <c r="DN16" s="271">
        <v>2880262.71</v>
      </c>
      <c r="DO16" s="271">
        <v>3352339.39</v>
      </c>
      <c r="DP16" s="271">
        <v>4138598.71</v>
      </c>
      <c r="DQ16" s="271">
        <v>0</v>
      </c>
      <c r="DR16" s="271">
        <v>2160996.38</v>
      </c>
      <c r="DS16" s="271">
        <v>99186699.230000004</v>
      </c>
      <c r="DT16" s="271">
        <v>255142572.31999999</v>
      </c>
      <c r="DU16" s="271">
        <v>8088784.96</v>
      </c>
      <c r="DV16" s="271">
        <v>21195205.73</v>
      </c>
      <c r="DW16" s="271">
        <v>14570697.98</v>
      </c>
      <c r="DX16" s="271">
        <v>2698400</v>
      </c>
      <c r="DY16" s="271">
        <v>11039321.07</v>
      </c>
      <c r="DZ16" s="271">
        <v>5971000</v>
      </c>
      <c r="EA16" s="271">
        <v>8611547.5099999998</v>
      </c>
      <c r="EB16" s="271">
        <v>4035843.49</v>
      </c>
      <c r="EC16" s="271">
        <v>1405697.78</v>
      </c>
      <c r="ED16" s="271">
        <v>47193381.82</v>
      </c>
      <c r="EE16" s="271">
        <v>23839087.990000002</v>
      </c>
      <c r="EF16" s="271">
        <v>74659145.040000007</v>
      </c>
      <c r="EG16" s="271">
        <v>4704152.8</v>
      </c>
      <c r="EH16" s="271">
        <v>8092777.79</v>
      </c>
      <c r="EI16" s="271">
        <v>7792561.4900000002</v>
      </c>
      <c r="EJ16" s="271">
        <v>6700833.4000000004</v>
      </c>
      <c r="EK16" s="271">
        <v>17458126.98</v>
      </c>
      <c r="EL16" s="271">
        <v>5003448.8</v>
      </c>
      <c r="EM16" s="271">
        <v>3323901.94</v>
      </c>
      <c r="EN16" s="271">
        <v>86562013.079999998</v>
      </c>
      <c r="EO16" s="271">
        <v>1516392.96</v>
      </c>
      <c r="EP16" s="271">
        <v>5839752.7599999998</v>
      </c>
      <c r="EQ16" s="271">
        <v>4349747.3499999996</v>
      </c>
      <c r="ER16" s="271">
        <v>3494820.5700000003</v>
      </c>
      <c r="ES16" s="271">
        <v>2430639.35</v>
      </c>
      <c r="ET16" s="271">
        <v>4419141.51</v>
      </c>
      <c r="EU16" s="271">
        <v>8909123.1899999995</v>
      </c>
      <c r="EV16" s="271">
        <v>5222239.12</v>
      </c>
      <c r="EW16" s="271">
        <v>82681052.049999997</v>
      </c>
      <c r="EX16" s="271">
        <v>3959695.17</v>
      </c>
      <c r="EY16" s="271">
        <v>14129246.379999999</v>
      </c>
      <c r="EZ16" s="271">
        <v>4114701.07</v>
      </c>
      <c r="FA16" s="271">
        <v>18824881.59</v>
      </c>
      <c r="FB16" s="271">
        <v>15581379.449999999</v>
      </c>
      <c r="FC16" s="271">
        <v>4209890.03</v>
      </c>
      <c r="FD16" s="271">
        <v>5823683.5299999993</v>
      </c>
      <c r="FE16" s="271">
        <v>9749794.4499999993</v>
      </c>
      <c r="FF16" s="271">
        <v>7844134.29</v>
      </c>
      <c r="FG16" s="271">
        <v>4790669.0199999996</v>
      </c>
      <c r="FH16" s="271">
        <v>3628096.83</v>
      </c>
      <c r="FI16" s="271">
        <v>59957903.68</v>
      </c>
      <c r="FJ16" s="271">
        <v>3789668</v>
      </c>
      <c r="FK16" s="271">
        <v>2828088.08</v>
      </c>
      <c r="FL16" s="271">
        <v>1866125.44</v>
      </c>
      <c r="FM16" s="271">
        <v>7358949.04</v>
      </c>
      <c r="FN16" s="271">
        <v>2405407.48</v>
      </c>
      <c r="FO16" s="271">
        <v>4525400</v>
      </c>
      <c r="FP16" s="271">
        <v>1989499.22</v>
      </c>
      <c r="FQ16" s="271">
        <v>464766004.95000005</v>
      </c>
      <c r="FR16" s="271">
        <v>6029968.2300000004</v>
      </c>
      <c r="FS16" s="271">
        <v>16676011.129999999</v>
      </c>
      <c r="FT16" s="271">
        <v>8747361.1600000001</v>
      </c>
      <c r="FU16" s="271">
        <v>8950597.0099999998</v>
      </c>
      <c r="FV16" s="271">
        <v>7127161.5199999996</v>
      </c>
      <c r="FW16" s="271">
        <v>15194357.9</v>
      </c>
      <c r="FX16" s="271">
        <v>8011194.4399999995</v>
      </c>
      <c r="FY16" s="271">
        <v>7856584.5300000003</v>
      </c>
      <c r="FZ16" s="271">
        <v>6003461.5899999999</v>
      </c>
      <c r="GA16" s="271">
        <v>16876518.390000001</v>
      </c>
      <c r="GB16" s="271">
        <v>13353141.890000001</v>
      </c>
      <c r="GC16" s="271">
        <v>10715655.25</v>
      </c>
      <c r="GD16" s="271">
        <v>3826419.26</v>
      </c>
      <c r="GE16" s="271">
        <v>73212974.400000006</v>
      </c>
      <c r="GF16" s="271">
        <v>7103548.7000000002</v>
      </c>
      <c r="GG16" s="271">
        <v>5722682.2599999998</v>
      </c>
      <c r="GH16" s="271">
        <v>5571241.9500000002</v>
      </c>
      <c r="GI16" s="271">
        <v>7181627.1500000004</v>
      </c>
      <c r="GJ16" s="271">
        <v>2520710.0499999998</v>
      </c>
      <c r="GK16" s="271">
        <v>4316986.08</v>
      </c>
      <c r="GL16" s="271">
        <v>12602702.75</v>
      </c>
      <c r="GM16" s="271">
        <v>6006429.6799999997</v>
      </c>
      <c r="GN16" s="271">
        <v>4451315.55</v>
      </c>
      <c r="GO16" s="271">
        <v>3787279.7800000003</v>
      </c>
      <c r="GP16" s="271">
        <v>3330990.48</v>
      </c>
      <c r="GQ16" s="271">
        <v>155524288.06</v>
      </c>
      <c r="GR16" s="271">
        <v>13208689.77</v>
      </c>
      <c r="GS16" s="271">
        <v>9135419.7799999993</v>
      </c>
      <c r="GT16" s="271">
        <v>1894520.05</v>
      </c>
      <c r="GU16" s="271">
        <v>2852853.55</v>
      </c>
      <c r="GV16" s="271">
        <v>2788221.25</v>
      </c>
      <c r="GW16" s="271">
        <v>3857760.01</v>
      </c>
      <c r="GX16" s="271">
        <v>1514500</v>
      </c>
      <c r="GY16" s="271">
        <v>23239792.440000001</v>
      </c>
      <c r="GZ16" s="271">
        <v>828006.89</v>
      </c>
      <c r="HA16" s="271">
        <v>5733675.0899999999</v>
      </c>
      <c r="HB16" s="271">
        <v>8656699.5</v>
      </c>
      <c r="HC16" s="271">
        <v>97876534.819999993</v>
      </c>
      <c r="HD16" s="271">
        <v>7630024.04</v>
      </c>
      <c r="HE16" s="271">
        <v>5091515</v>
      </c>
      <c r="HF16" s="271">
        <v>4413301.5</v>
      </c>
      <c r="HG16" s="271">
        <v>7176639.2999999998</v>
      </c>
      <c r="HH16" s="271">
        <v>4841906.04</v>
      </c>
      <c r="HI16" s="271">
        <v>3207032.24</v>
      </c>
      <c r="HJ16" s="271">
        <v>354018548.57999998</v>
      </c>
      <c r="HK16" s="271">
        <v>62968444.439999998</v>
      </c>
      <c r="HL16" s="271">
        <v>8364933.5499999998</v>
      </c>
      <c r="HM16" s="271">
        <v>1490739.83</v>
      </c>
      <c r="HN16" s="271">
        <v>3358618.4699999997</v>
      </c>
      <c r="HO16" s="271">
        <v>1443018.94</v>
      </c>
      <c r="HP16" s="271">
        <v>4786457.08</v>
      </c>
      <c r="HQ16" s="271">
        <v>1799662.77</v>
      </c>
      <c r="HR16" s="271">
        <v>26281184.949999999</v>
      </c>
      <c r="HS16" s="271">
        <v>25666008.530000001</v>
      </c>
      <c r="HT16" s="271">
        <v>1835771.01</v>
      </c>
      <c r="HU16" s="271">
        <v>1576202.88</v>
      </c>
      <c r="HV16" s="271">
        <v>2973278.9699999997</v>
      </c>
      <c r="HW16" s="271">
        <v>3966100</v>
      </c>
      <c r="HX16" s="271">
        <v>3370000</v>
      </c>
      <c r="HY16" s="271">
        <v>2189259.73</v>
      </c>
      <c r="HZ16" s="271">
        <v>2401444.91</v>
      </c>
      <c r="IA16" s="271">
        <v>2617404.3600000003</v>
      </c>
      <c r="IB16" s="271">
        <v>5262493.84</v>
      </c>
      <c r="IC16" s="271">
        <v>50464578.549999997</v>
      </c>
      <c r="ID16" s="271">
        <v>1504532.8</v>
      </c>
      <c r="IE16" s="271">
        <v>1900331.35</v>
      </c>
      <c r="IF16" s="271">
        <v>968167.58</v>
      </c>
      <c r="IG16" s="271">
        <v>396721.98</v>
      </c>
      <c r="IH16" s="271">
        <v>31813065.449999999</v>
      </c>
      <c r="II16" s="271">
        <v>15801804.640000001</v>
      </c>
      <c r="IJ16" s="271">
        <v>9064760.7199999988</v>
      </c>
      <c r="IK16" s="271">
        <v>7497406.8399999999</v>
      </c>
      <c r="IL16" s="271">
        <v>6725244.5300000003</v>
      </c>
      <c r="IM16" s="271">
        <v>1518827.44</v>
      </c>
      <c r="IN16" s="271">
        <v>1899752.92</v>
      </c>
      <c r="IO16" s="271">
        <v>1229836.1000000001</v>
      </c>
      <c r="IP16" s="271">
        <v>1510657.16</v>
      </c>
      <c r="IQ16" s="271">
        <v>1663446.88</v>
      </c>
      <c r="IR16" s="271">
        <v>4196514.26</v>
      </c>
      <c r="IS16" s="271">
        <v>73508951.180000007</v>
      </c>
      <c r="IT16" s="271">
        <v>31067611.109999999</v>
      </c>
      <c r="IU16" s="271">
        <v>2487620.84</v>
      </c>
      <c r="IV16" s="271">
        <v>2163416.31</v>
      </c>
      <c r="IW16" s="271">
        <v>0</v>
      </c>
      <c r="IX16" s="271">
        <v>16959300</v>
      </c>
      <c r="IY16" s="271">
        <v>1206738.27</v>
      </c>
      <c r="IZ16" s="271">
        <v>2417300</v>
      </c>
      <c r="JA16" s="271">
        <v>612502.98</v>
      </c>
      <c r="JB16" s="271">
        <v>3362511.18</v>
      </c>
      <c r="JC16" s="271">
        <v>930000</v>
      </c>
      <c r="JD16" s="271">
        <v>1338098</v>
      </c>
      <c r="JE16" s="271">
        <v>28084568.699999999</v>
      </c>
      <c r="JF16" s="271">
        <v>8389595.1500000004</v>
      </c>
      <c r="JG16" s="271">
        <v>1192384.6599999999</v>
      </c>
      <c r="JH16" s="271">
        <v>1402300</v>
      </c>
      <c r="JI16" s="271">
        <v>1550799.45</v>
      </c>
      <c r="JJ16" s="271">
        <v>1685304.33</v>
      </c>
      <c r="JK16" s="271">
        <v>22414384.190000001</v>
      </c>
      <c r="JL16" s="271">
        <v>5589542.54</v>
      </c>
      <c r="JM16" s="271">
        <v>1287597.77</v>
      </c>
      <c r="JN16" s="271">
        <v>6291712.8200000003</v>
      </c>
      <c r="JO16" s="271">
        <v>2386367.7000000002</v>
      </c>
      <c r="JP16" s="271">
        <v>3171271.47</v>
      </c>
      <c r="JQ16" s="271">
        <v>2965069.84</v>
      </c>
      <c r="JR16" s="271">
        <v>51327823.859999999</v>
      </c>
      <c r="JS16" s="271">
        <v>44119428.590000004</v>
      </c>
      <c r="JT16" s="271">
        <v>1504232.45</v>
      </c>
      <c r="JU16" s="271">
        <v>607745.17000000004</v>
      </c>
      <c r="JV16" s="271">
        <v>4192663.73</v>
      </c>
      <c r="JW16" s="271">
        <v>1284533.48</v>
      </c>
      <c r="JX16" s="271">
        <v>4461291.74</v>
      </c>
      <c r="JY16" s="271">
        <v>4082986.38</v>
      </c>
      <c r="JZ16" s="271">
        <v>3122212.5300000003</v>
      </c>
      <c r="KA16" s="271">
        <v>6036029.1400000006</v>
      </c>
      <c r="KB16" s="271">
        <v>1332598.18</v>
      </c>
      <c r="KC16" s="271">
        <v>4253885.47</v>
      </c>
      <c r="KD16" s="271">
        <v>1243238.48</v>
      </c>
      <c r="KE16" s="271">
        <v>314737.7</v>
      </c>
      <c r="KF16" s="271">
        <v>3058677.8600000003</v>
      </c>
      <c r="KG16" s="271">
        <v>1431703.06</v>
      </c>
      <c r="KH16" s="271">
        <v>59984117.600000001</v>
      </c>
      <c r="KI16" s="271">
        <v>7779043.8899999997</v>
      </c>
      <c r="KJ16" s="271">
        <v>7020388.0999999996</v>
      </c>
      <c r="KK16" s="271">
        <v>5113498.3099999996</v>
      </c>
      <c r="KL16" s="271">
        <v>2112212.91</v>
      </c>
      <c r="KM16" s="271">
        <v>2022832.61</v>
      </c>
      <c r="KN16" s="271">
        <v>6427077.5899999999</v>
      </c>
      <c r="KO16" s="271">
        <v>14300000</v>
      </c>
      <c r="KP16" s="271">
        <v>1777616.02</v>
      </c>
      <c r="KQ16" s="271">
        <v>26615863.07</v>
      </c>
      <c r="KR16" s="271">
        <v>4180037.51</v>
      </c>
      <c r="KS16" s="271">
        <v>4405296.08</v>
      </c>
      <c r="KT16" s="271">
        <v>143015139.91999999</v>
      </c>
      <c r="KU16" s="271">
        <v>2331527.21</v>
      </c>
      <c r="KV16" s="271">
        <v>3127609.34</v>
      </c>
      <c r="KW16" s="271">
        <v>30901852.310000002</v>
      </c>
      <c r="KX16" s="271">
        <v>3486307.79</v>
      </c>
      <c r="KY16" s="271">
        <v>17888617.350000001</v>
      </c>
      <c r="KZ16" s="271">
        <v>2361691.7999999998</v>
      </c>
      <c r="LA16" s="271">
        <v>3574001.35</v>
      </c>
      <c r="LB16" s="271">
        <v>6668899.6699999999</v>
      </c>
      <c r="LC16" s="271">
        <v>4284341.83</v>
      </c>
      <c r="LD16" s="271">
        <v>2055381.58</v>
      </c>
      <c r="LE16" s="271">
        <v>1399730.91</v>
      </c>
      <c r="LF16" s="271">
        <v>3314143.7</v>
      </c>
      <c r="LG16" s="271">
        <v>295972372.32999998</v>
      </c>
      <c r="LH16" s="271">
        <v>26641747.690000001</v>
      </c>
      <c r="LI16" s="271">
        <v>46046290.619999997</v>
      </c>
      <c r="LJ16" s="271">
        <v>54231763.609999999</v>
      </c>
      <c r="LK16" s="271">
        <v>1981386.41</v>
      </c>
      <c r="LL16" s="271">
        <v>3616576.21</v>
      </c>
      <c r="LM16" s="271">
        <v>1754311.5</v>
      </c>
      <c r="LN16" s="271">
        <v>10518327.1</v>
      </c>
      <c r="LO16" s="271">
        <v>6451127.0899999999</v>
      </c>
      <c r="LP16" s="271">
        <v>32647120.620000001</v>
      </c>
      <c r="LQ16" s="271">
        <v>3465242.3099999996</v>
      </c>
      <c r="LR16" s="271">
        <v>69910142.230000004</v>
      </c>
      <c r="LS16" s="271">
        <v>3362440.21</v>
      </c>
      <c r="LT16" s="271">
        <v>5017965.38</v>
      </c>
      <c r="LU16" s="271">
        <v>45511051.870000005</v>
      </c>
      <c r="LV16" s="271">
        <v>33586604.210000001</v>
      </c>
      <c r="LW16" s="271">
        <v>71180063.409999996</v>
      </c>
      <c r="LX16" s="271">
        <v>42592663.200000003</v>
      </c>
      <c r="LY16" s="271">
        <v>15492452.16</v>
      </c>
      <c r="LZ16" s="271">
        <v>87699098.469999999</v>
      </c>
      <c r="MA16" s="271">
        <v>15398757.83</v>
      </c>
      <c r="MB16" s="271">
        <v>7705953.6299999999</v>
      </c>
      <c r="MC16" s="271">
        <v>14436583.060000001</v>
      </c>
      <c r="MD16" s="271">
        <v>4620107.63</v>
      </c>
      <c r="ME16" s="271">
        <v>58121073.950000003</v>
      </c>
      <c r="MF16" s="271">
        <v>3802578.59</v>
      </c>
      <c r="MG16" s="271">
        <v>171753392.31</v>
      </c>
      <c r="MH16" s="271">
        <v>1399390.37</v>
      </c>
      <c r="MI16" s="271">
        <v>1748864.03</v>
      </c>
      <c r="MJ16" s="271">
        <v>2136774.3199999998</v>
      </c>
      <c r="MK16" s="271">
        <v>5962022.5300000003</v>
      </c>
      <c r="ML16" s="271">
        <v>2432413.7000000002</v>
      </c>
      <c r="MM16" s="271">
        <v>4679614.04</v>
      </c>
      <c r="MN16" s="271">
        <v>4947939.3</v>
      </c>
      <c r="MO16" s="271">
        <v>4873864.3900000006</v>
      </c>
      <c r="MP16" s="271">
        <v>2187015.2200000002</v>
      </c>
      <c r="MQ16" s="271">
        <v>2707791.17</v>
      </c>
      <c r="MR16" s="271">
        <v>6958992.8300000001</v>
      </c>
      <c r="MS16" s="271">
        <v>108920919.59</v>
      </c>
      <c r="MT16" s="271">
        <v>2576808.02</v>
      </c>
      <c r="MU16" s="271">
        <v>4342536.25</v>
      </c>
      <c r="MV16" s="271">
        <v>5894036.6799999997</v>
      </c>
      <c r="MW16" s="271">
        <v>4741418.5</v>
      </c>
      <c r="MX16" s="271">
        <v>2664892.5499999998</v>
      </c>
      <c r="MY16" s="271">
        <v>7890575.8600000003</v>
      </c>
      <c r="MZ16" s="271">
        <v>20923056.990000002</v>
      </c>
      <c r="NA16" s="271">
        <v>2257950</v>
      </c>
      <c r="NB16" s="271">
        <v>935435.06</v>
      </c>
      <c r="NC16" s="271">
        <v>2352654.33</v>
      </c>
      <c r="ND16" s="271">
        <v>172240305.03999999</v>
      </c>
      <c r="NE16" s="271">
        <v>12573800.91</v>
      </c>
      <c r="NF16" s="271">
        <v>7997249.8600000003</v>
      </c>
      <c r="NG16" s="271">
        <v>66062440.530000001</v>
      </c>
      <c r="NH16" s="271">
        <v>1170298.6499999999</v>
      </c>
      <c r="NI16" s="271">
        <v>13416076.280000001</v>
      </c>
      <c r="NJ16" s="271">
        <v>24463775.68</v>
      </c>
      <c r="NK16" s="271">
        <v>21056223.420000002</v>
      </c>
      <c r="NL16" s="271">
        <v>1074416.71</v>
      </c>
      <c r="NM16" s="271">
        <v>3843800</v>
      </c>
      <c r="NN16" s="271">
        <v>10216729.379999999</v>
      </c>
      <c r="NO16" s="271">
        <v>5013805.1500000004</v>
      </c>
      <c r="NP16" s="271">
        <v>81551050.849999994</v>
      </c>
      <c r="NQ16" s="271">
        <v>1356332.26</v>
      </c>
      <c r="NR16" s="271">
        <v>4439061.83</v>
      </c>
      <c r="NS16" s="271">
        <v>3345497.38</v>
      </c>
      <c r="NT16" s="271">
        <v>2196430.4299999997</v>
      </c>
      <c r="NU16" s="271">
        <v>460000</v>
      </c>
      <c r="NV16" s="271">
        <v>3327317.57</v>
      </c>
      <c r="NW16" s="271">
        <v>86948578</v>
      </c>
      <c r="NX16" s="271">
        <v>5446055.3200000003</v>
      </c>
      <c r="NY16" s="271">
        <v>1620432.67</v>
      </c>
      <c r="NZ16" s="271">
        <v>939879.24</v>
      </c>
      <c r="OA16" s="271">
        <v>1750557.3</v>
      </c>
      <c r="OB16" s="271">
        <v>3103565.9</v>
      </c>
      <c r="OC16" s="271">
        <v>1244391.57</v>
      </c>
      <c r="OD16" s="271">
        <v>69611543.969999999</v>
      </c>
      <c r="OE16" s="271">
        <v>24147607.050000001</v>
      </c>
      <c r="OF16" s="271">
        <v>3301224.41</v>
      </c>
      <c r="OG16" s="271">
        <v>30938518.350000001</v>
      </c>
      <c r="OH16" s="271">
        <v>9895572.1099999994</v>
      </c>
      <c r="OI16" s="271">
        <v>4073660.74</v>
      </c>
      <c r="OJ16" s="271">
        <v>3607402.51</v>
      </c>
      <c r="OK16" s="271">
        <v>1317193.75</v>
      </c>
      <c r="OL16" s="271">
        <v>2632501.64</v>
      </c>
      <c r="OM16" s="271">
        <v>100011145.46000001</v>
      </c>
      <c r="ON16" s="271">
        <v>13114610.93</v>
      </c>
      <c r="OO16" s="271">
        <v>18829638.149999999</v>
      </c>
      <c r="OP16" s="271">
        <v>3187321.32</v>
      </c>
      <c r="OQ16" s="271">
        <v>3914303.8099999996</v>
      </c>
      <c r="OR16" s="271">
        <v>2086949.54</v>
      </c>
      <c r="OS16" s="271">
        <v>145752760.25</v>
      </c>
      <c r="OT16" s="271">
        <v>1812099.35</v>
      </c>
      <c r="OU16" s="271">
        <v>2419625.1800000002</v>
      </c>
      <c r="OV16" s="271">
        <v>4069062.34</v>
      </c>
      <c r="OW16" s="271">
        <v>4109199.44</v>
      </c>
      <c r="OX16" s="271">
        <v>43282850.380000003</v>
      </c>
      <c r="OY16" s="271">
        <v>2022723.45</v>
      </c>
      <c r="OZ16" s="271">
        <v>1524158.04</v>
      </c>
      <c r="PA16" s="271">
        <v>1802724.12</v>
      </c>
      <c r="PB16" s="271">
        <v>45344300</v>
      </c>
      <c r="PC16" s="271">
        <v>1324273.76</v>
      </c>
      <c r="PD16" s="271">
        <v>5466902.2800000003</v>
      </c>
      <c r="PE16" s="271">
        <v>677357.86</v>
      </c>
      <c r="PF16" s="271">
        <v>2537129.9900000002</v>
      </c>
      <c r="PG16" s="271">
        <v>5973200</v>
      </c>
      <c r="PH16" s="271">
        <v>2688039.66</v>
      </c>
      <c r="PI16" s="271">
        <v>2041340.61</v>
      </c>
      <c r="PJ16" s="271">
        <v>2637534.19</v>
      </c>
      <c r="PK16" s="271">
        <v>2493565.7999999998</v>
      </c>
      <c r="PL16" s="271">
        <v>2467598.86</v>
      </c>
      <c r="PM16" s="271">
        <v>4369081</v>
      </c>
      <c r="PN16" s="271">
        <v>2057444.14</v>
      </c>
      <c r="PO16" s="271">
        <v>24895786.490000002</v>
      </c>
      <c r="PP16" s="271">
        <v>5659152.4800000004</v>
      </c>
      <c r="PQ16" s="271">
        <v>4005742.45</v>
      </c>
      <c r="PR16" s="271">
        <v>1691428.49</v>
      </c>
      <c r="PS16" s="271">
        <v>706243.32000000007</v>
      </c>
      <c r="PT16" s="271">
        <v>257833958.42000002</v>
      </c>
      <c r="PU16" s="271">
        <v>0</v>
      </c>
      <c r="PV16" s="271">
        <v>3223266.63</v>
      </c>
      <c r="PW16" s="271">
        <v>4618970.7699999996</v>
      </c>
      <c r="PX16" s="271">
        <v>33602251.57</v>
      </c>
      <c r="PY16" s="271">
        <v>2425270.59</v>
      </c>
      <c r="PZ16" s="271">
        <v>5623833.9900000002</v>
      </c>
      <c r="QA16" s="271">
        <v>21800</v>
      </c>
      <c r="QB16" s="271">
        <v>6209081.1500000004</v>
      </c>
      <c r="QC16" s="271">
        <v>2615212.84</v>
      </c>
      <c r="QD16" s="271">
        <v>6847266.8399999999</v>
      </c>
      <c r="QE16" s="271">
        <v>2298134.59</v>
      </c>
      <c r="QF16" s="271">
        <v>4270436.92</v>
      </c>
      <c r="QG16" s="271">
        <v>3708527.87</v>
      </c>
      <c r="QH16" s="271">
        <v>3881229.27</v>
      </c>
      <c r="QI16" s="271">
        <v>4260259.18</v>
      </c>
      <c r="QJ16" s="271">
        <v>2655234.34</v>
      </c>
      <c r="QK16" s="271">
        <v>7570430.6799999997</v>
      </c>
      <c r="QL16" s="271">
        <v>2356102.5300000003</v>
      </c>
      <c r="QM16" s="271">
        <v>4124047.23</v>
      </c>
      <c r="QN16" s="271">
        <v>20523661.890000001</v>
      </c>
      <c r="QO16" s="271">
        <v>2490636.29</v>
      </c>
      <c r="QP16" s="271">
        <v>1720644.61</v>
      </c>
      <c r="QQ16" s="271">
        <v>2392108.85</v>
      </c>
      <c r="QR16" s="271">
        <v>1937375.73</v>
      </c>
      <c r="QS16" s="271">
        <v>1782709.48</v>
      </c>
      <c r="QT16" s="271">
        <v>83947460.340000004</v>
      </c>
      <c r="QU16" s="271">
        <v>2735285.56</v>
      </c>
      <c r="QV16" s="271">
        <v>6886000</v>
      </c>
      <c r="QW16" s="271">
        <v>9114778.4000000004</v>
      </c>
      <c r="QX16" s="271">
        <v>3482630.35</v>
      </c>
      <c r="QY16" s="271">
        <v>36580824.18</v>
      </c>
      <c r="QZ16" s="271">
        <v>9322692.5099999998</v>
      </c>
      <c r="RA16" s="271">
        <v>35497715.719999999</v>
      </c>
      <c r="RB16" s="271">
        <v>8405325.6699999999</v>
      </c>
      <c r="RC16" s="271">
        <v>1528536.56</v>
      </c>
      <c r="RD16" s="271">
        <v>6981149</v>
      </c>
      <c r="RE16" s="271">
        <v>4192381.15</v>
      </c>
      <c r="RF16" s="271">
        <v>14190224.529999999</v>
      </c>
      <c r="RG16" s="271">
        <v>160771835.11000001</v>
      </c>
      <c r="RH16" s="271">
        <v>13593418.76</v>
      </c>
      <c r="RI16" s="271">
        <v>4727449.3499999996</v>
      </c>
      <c r="RJ16" s="271">
        <v>11631096.09</v>
      </c>
      <c r="RK16" s="271">
        <v>4992043.05</v>
      </c>
      <c r="RL16" s="271">
        <v>12129701.699999999</v>
      </c>
      <c r="RM16" s="271">
        <v>18936145.629999999</v>
      </c>
      <c r="RN16" s="271">
        <v>13404163.48</v>
      </c>
      <c r="RO16" s="271">
        <v>4726970.2200000007</v>
      </c>
      <c r="RP16" s="271">
        <v>24970865.84</v>
      </c>
      <c r="RQ16" s="271">
        <v>34188281.799999997</v>
      </c>
      <c r="RR16" s="271">
        <v>4440925.08</v>
      </c>
      <c r="RS16" s="271">
        <v>7619198.2799999993</v>
      </c>
      <c r="RT16" s="271">
        <v>4200982.6500000004</v>
      </c>
      <c r="RU16" s="271">
        <v>5869615.6400000006</v>
      </c>
      <c r="RV16" s="271">
        <v>3309048.25</v>
      </c>
      <c r="RW16" s="271">
        <v>5493352.5499999998</v>
      </c>
      <c r="RX16" s="271">
        <v>5484136.6699999999</v>
      </c>
      <c r="RY16" s="271">
        <v>4576299.09</v>
      </c>
      <c r="RZ16" s="271">
        <v>4514256.9000000004</v>
      </c>
      <c r="SA16" s="271">
        <v>114110326.63</v>
      </c>
      <c r="SB16" s="271">
        <v>6068991.5</v>
      </c>
      <c r="SC16" s="271">
        <v>1402937.65</v>
      </c>
      <c r="SD16" s="271">
        <v>3243200.54</v>
      </c>
      <c r="SE16" s="271">
        <v>4395227.4399999995</v>
      </c>
      <c r="SF16" s="271">
        <v>1634546</v>
      </c>
      <c r="SG16" s="271">
        <v>4677255</v>
      </c>
      <c r="SH16" s="271">
        <v>8567035.5899999999</v>
      </c>
      <c r="SI16" s="271">
        <v>2517012.27</v>
      </c>
      <c r="SJ16" s="271">
        <v>2051366.9</v>
      </c>
      <c r="SK16" s="271">
        <v>26311512.23</v>
      </c>
      <c r="SL16" s="271">
        <v>571748.31000000006</v>
      </c>
      <c r="SM16" s="271">
        <v>40122730.439999998</v>
      </c>
      <c r="SN16" s="271">
        <v>4476696.95</v>
      </c>
      <c r="SO16" s="271">
        <v>1543779.92</v>
      </c>
      <c r="SP16" s="271">
        <v>2443040.84</v>
      </c>
      <c r="SQ16" s="271">
        <v>8200524.1899999995</v>
      </c>
      <c r="SR16" s="271">
        <v>2181049.85</v>
      </c>
      <c r="SS16" s="271">
        <v>1010719.65</v>
      </c>
      <c r="ST16" s="271">
        <v>3077194.51</v>
      </c>
      <c r="SU16" s="271">
        <v>85454605.260000005</v>
      </c>
      <c r="SV16" s="271">
        <v>2315064.9</v>
      </c>
      <c r="SW16" s="271">
        <v>3469160.08</v>
      </c>
      <c r="SX16" s="271">
        <v>1952569.11</v>
      </c>
      <c r="SY16" s="271">
        <v>723388.68</v>
      </c>
      <c r="SZ16" s="271">
        <v>1301575.46</v>
      </c>
      <c r="TA16" s="271">
        <v>2144292.2999999998</v>
      </c>
      <c r="TB16" s="271">
        <v>9505065</v>
      </c>
      <c r="TC16" s="271">
        <v>1863501.8</v>
      </c>
      <c r="TD16" s="271">
        <v>2099610.37</v>
      </c>
      <c r="TE16" s="271">
        <v>2871301.77</v>
      </c>
      <c r="TF16" s="271">
        <v>2945756.75</v>
      </c>
      <c r="TG16" s="271">
        <v>1748261.34</v>
      </c>
      <c r="TH16" s="271">
        <v>1627730.39</v>
      </c>
      <c r="TI16" s="271">
        <v>94946335.579999998</v>
      </c>
      <c r="TJ16" s="271">
        <v>2874440.55</v>
      </c>
      <c r="TK16" s="271">
        <v>2070834.23</v>
      </c>
      <c r="TL16" s="271">
        <v>3554234.42</v>
      </c>
      <c r="TM16" s="271">
        <v>3956560.4</v>
      </c>
      <c r="TN16" s="271">
        <v>7259924.1400000006</v>
      </c>
      <c r="TO16" s="271">
        <v>3445705.41</v>
      </c>
      <c r="TP16" s="271">
        <v>7824681.5599999996</v>
      </c>
      <c r="TQ16" s="271">
        <v>2796687.65</v>
      </c>
      <c r="TR16" s="271">
        <v>4316855.4800000004</v>
      </c>
      <c r="TS16" s="271">
        <v>15394753.27</v>
      </c>
      <c r="TT16" s="271">
        <v>3434233.68</v>
      </c>
      <c r="TU16" s="271">
        <v>2095822.21</v>
      </c>
      <c r="TV16" s="271">
        <v>2108681.1800000002</v>
      </c>
      <c r="TW16" s="271">
        <v>3098256.05</v>
      </c>
      <c r="TX16" s="271">
        <v>7969414.7400000002</v>
      </c>
      <c r="TY16" s="271">
        <v>24701613.77</v>
      </c>
      <c r="TZ16" s="271">
        <v>5647210.2199999997</v>
      </c>
      <c r="UA16" s="271">
        <v>27630648.75</v>
      </c>
      <c r="UB16" s="271">
        <v>23968321.259999998</v>
      </c>
      <c r="UC16" s="271">
        <v>6880043.7999999998</v>
      </c>
      <c r="UD16" s="271">
        <v>5433062.25</v>
      </c>
      <c r="UE16" s="271">
        <v>97951494.930000007</v>
      </c>
      <c r="UF16" s="271">
        <v>982672.26</v>
      </c>
      <c r="UG16" s="271">
        <v>6672926.6100000003</v>
      </c>
      <c r="UH16" s="271">
        <v>2252795.44</v>
      </c>
      <c r="UI16" s="271">
        <v>5757874.9900000002</v>
      </c>
      <c r="UJ16" s="271">
        <v>24601064.559999999</v>
      </c>
      <c r="UK16" s="271">
        <v>10948960</v>
      </c>
      <c r="UL16" s="271">
        <v>6837054</v>
      </c>
      <c r="UM16" s="271">
        <v>3982841.19</v>
      </c>
      <c r="UN16" s="271">
        <v>6565552.1299999999</v>
      </c>
      <c r="UO16" s="271">
        <v>5148645.58</v>
      </c>
      <c r="UP16" s="271">
        <v>113284819.81</v>
      </c>
      <c r="UQ16" s="271">
        <v>3396461.7</v>
      </c>
      <c r="UR16" s="271">
        <v>2071597.68</v>
      </c>
      <c r="US16" s="271">
        <v>30310451.629999999</v>
      </c>
      <c r="UT16" s="271">
        <v>2086840.15</v>
      </c>
      <c r="UU16" s="271">
        <v>7920573.6399999997</v>
      </c>
      <c r="UV16" s="271">
        <v>59694350.5</v>
      </c>
      <c r="UW16" s="271">
        <v>6623500</v>
      </c>
      <c r="UX16" s="271">
        <v>5057498</v>
      </c>
      <c r="UY16" s="271">
        <v>5218300</v>
      </c>
      <c r="UZ16" s="271">
        <v>233450</v>
      </c>
      <c r="VA16" s="271">
        <v>31094249</v>
      </c>
      <c r="VB16" s="271">
        <v>3939346.48</v>
      </c>
      <c r="VC16" s="271">
        <v>15720484.880000001</v>
      </c>
      <c r="VD16" s="271">
        <v>4996692.88</v>
      </c>
      <c r="VE16" s="271">
        <v>1061042.03</v>
      </c>
      <c r="VF16" s="271">
        <v>958031.55</v>
      </c>
      <c r="VG16" s="271">
        <v>1416828.26</v>
      </c>
      <c r="VH16" s="271">
        <v>28153583.59</v>
      </c>
      <c r="VI16" s="271">
        <v>1610720.39</v>
      </c>
      <c r="VJ16" s="271">
        <v>864664.61</v>
      </c>
      <c r="VK16" s="271">
        <v>3165788.86</v>
      </c>
      <c r="VL16" s="271">
        <v>49970982.090000004</v>
      </c>
      <c r="VM16" s="271">
        <v>3291428.68</v>
      </c>
      <c r="VN16" s="271">
        <v>7228848.5</v>
      </c>
      <c r="VO16" s="271">
        <v>11678939.41</v>
      </c>
      <c r="VP16" s="271">
        <v>13373666.98</v>
      </c>
      <c r="VQ16" s="271">
        <v>3907000</v>
      </c>
      <c r="VR16" s="271">
        <v>7035768.5700000003</v>
      </c>
      <c r="VS16" s="271">
        <v>8412004.4299999997</v>
      </c>
      <c r="VT16" s="271">
        <v>2587945.61</v>
      </c>
      <c r="VU16" s="271">
        <v>30153165.870000001</v>
      </c>
      <c r="VV16" s="271">
        <v>2630519.1</v>
      </c>
      <c r="VW16" s="271">
        <v>191916.5</v>
      </c>
      <c r="VX16" s="271">
        <v>4098009.71</v>
      </c>
      <c r="VY16" s="271">
        <v>2000000</v>
      </c>
      <c r="VZ16" s="271">
        <v>3377578.77</v>
      </c>
      <c r="WA16" s="271">
        <v>203752861.44999999</v>
      </c>
      <c r="WB16" s="271">
        <v>31132409.579999998</v>
      </c>
      <c r="WC16" s="271">
        <v>6756010.1899999995</v>
      </c>
      <c r="WD16" s="271">
        <v>3838500.55</v>
      </c>
      <c r="WE16" s="271">
        <v>4383435.62</v>
      </c>
      <c r="WF16" s="271">
        <v>7052600</v>
      </c>
      <c r="WG16" s="271">
        <v>15239406.390000001</v>
      </c>
      <c r="WH16" s="271">
        <v>7992013.0999999996</v>
      </c>
      <c r="WI16" s="271">
        <v>5804985.7799999993</v>
      </c>
      <c r="WJ16" s="271">
        <v>6555201.6799999997</v>
      </c>
      <c r="WK16" s="271">
        <v>2135945.08</v>
      </c>
      <c r="WL16" s="271">
        <v>23656661.75</v>
      </c>
      <c r="WM16" s="271">
        <v>5361999.4400000004</v>
      </c>
      <c r="WN16" s="271">
        <v>7946863.5</v>
      </c>
      <c r="WO16" s="271">
        <v>17953300</v>
      </c>
      <c r="WP16" s="271">
        <v>9342247.2699999996</v>
      </c>
      <c r="WQ16" s="271">
        <v>3768121.18</v>
      </c>
      <c r="WR16" s="271">
        <v>4322945.68</v>
      </c>
      <c r="WS16" s="271">
        <v>3456643</v>
      </c>
      <c r="WT16" s="271">
        <v>11460135.34</v>
      </c>
      <c r="WU16" s="271">
        <v>29965638.170000002</v>
      </c>
      <c r="WV16" s="271">
        <v>2949910.47</v>
      </c>
      <c r="WW16" s="271">
        <v>1990248.91</v>
      </c>
      <c r="WX16" s="271">
        <v>2985080.54</v>
      </c>
      <c r="WY16" s="271">
        <v>10546698.880000001</v>
      </c>
      <c r="WZ16" s="271">
        <v>4246601.3499999996</v>
      </c>
      <c r="XA16" s="271">
        <v>3466232.98</v>
      </c>
      <c r="XB16" s="271">
        <v>6647071.9700000007</v>
      </c>
      <c r="XC16" s="271">
        <v>134395461.5</v>
      </c>
      <c r="XD16" s="271">
        <v>3294941.19</v>
      </c>
      <c r="XE16" s="271">
        <v>701319.51</v>
      </c>
      <c r="XF16" s="271">
        <v>1696072.1</v>
      </c>
      <c r="XG16" s="271">
        <v>1602356.12</v>
      </c>
      <c r="XH16" s="271">
        <v>101120827.19999999</v>
      </c>
      <c r="XI16" s="271">
        <v>4524828.2699999996</v>
      </c>
      <c r="XJ16" s="271">
        <v>4469451.08</v>
      </c>
      <c r="XK16" s="271">
        <v>24746788</v>
      </c>
      <c r="XL16" s="271">
        <v>3985159.09</v>
      </c>
      <c r="XM16" s="271">
        <v>5097853.18</v>
      </c>
      <c r="XN16" s="271">
        <v>8470829.4900000002</v>
      </c>
      <c r="XO16" s="271">
        <v>3139490.67</v>
      </c>
      <c r="XP16" s="271">
        <v>3388824.39</v>
      </c>
      <c r="XQ16" s="271">
        <v>7256786.4400000004</v>
      </c>
      <c r="XR16" s="271">
        <v>5628345.46</v>
      </c>
      <c r="XS16" s="271">
        <v>2394210.9700000002</v>
      </c>
      <c r="XT16" s="271">
        <v>1756794.52</v>
      </c>
      <c r="XU16" s="271">
        <v>2468076.91</v>
      </c>
      <c r="XV16" s="271">
        <v>2425699.2400000002</v>
      </c>
      <c r="XW16" s="271">
        <v>2039475.31</v>
      </c>
      <c r="XX16" s="271">
        <v>1612129.2</v>
      </c>
      <c r="XY16" s="271">
        <v>3655391.25</v>
      </c>
      <c r="XZ16" s="271">
        <v>1827550.23</v>
      </c>
      <c r="YA16" s="271">
        <v>2720341.6</v>
      </c>
      <c r="YB16" s="271">
        <v>2246608.7400000002</v>
      </c>
      <c r="YC16" s="271">
        <v>1505036.19</v>
      </c>
      <c r="YD16" s="271">
        <v>1545125.95</v>
      </c>
      <c r="YE16" s="271">
        <v>72937253.49000001</v>
      </c>
      <c r="YF16" s="271">
        <v>3821530.58</v>
      </c>
      <c r="YG16" s="271">
        <v>3911905.72</v>
      </c>
      <c r="YH16" s="271">
        <v>3092953.21</v>
      </c>
      <c r="YI16" s="271">
        <v>20175836.300000001</v>
      </c>
      <c r="YJ16" s="271">
        <v>3215710</v>
      </c>
      <c r="YK16" s="271">
        <v>8893942.1600000001</v>
      </c>
      <c r="YL16" s="271">
        <v>3386037.88</v>
      </c>
      <c r="YM16" s="271">
        <v>9440616.6899999995</v>
      </c>
      <c r="YN16" s="271">
        <v>7460265.2000000002</v>
      </c>
      <c r="YO16" s="271">
        <v>4725953.25</v>
      </c>
      <c r="YP16" s="271">
        <v>2689701.7</v>
      </c>
      <c r="YQ16" s="271">
        <v>2019303.93</v>
      </c>
      <c r="YR16" s="271">
        <v>4482465.1100000003</v>
      </c>
      <c r="YS16" s="271">
        <v>4024267.08</v>
      </c>
      <c r="YT16" s="271">
        <v>2827287.36</v>
      </c>
      <c r="YU16" s="271">
        <v>1852913.22</v>
      </c>
      <c r="YV16" s="271">
        <v>32325337.399999999</v>
      </c>
      <c r="YW16" s="271">
        <v>5241689.05</v>
      </c>
      <c r="YX16" s="271">
        <v>3755128.99</v>
      </c>
      <c r="YY16" s="271">
        <v>2209522.65</v>
      </c>
      <c r="YZ16" s="271">
        <v>1581750.45</v>
      </c>
      <c r="ZA16" s="271">
        <v>1289444.43</v>
      </c>
      <c r="ZB16" s="271">
        <v>3608358.54</v>
      </c>
      <c r="ZC16" s="271">
        <v>45341654.350000001</v>
      </c>
      <c r="ZD16" s="271">
        <v>3316088.3</v>
      </c>
      <c r="ZE16" s="271">
        <v>2784187.8</v>
      </c>
      <c r="ZF16" s="271">
        <v>3144600</v>
      </c>
      <c r="ZG16" s="271">
        <v>2703700</v>
      </c>
      <c r="ZH16" s="271">
        <v>4684108.55</v>
      </c>
      <c r="ZI16" s="271">
        <v>2495000</v>
      </c>
      <c r="ZJ16" s="271">
        <v>2082235.88</v>
      </c>
      <c r="ZK16" s="271">
        <v>9832291.0299999993</v>
      </c>
      <c r="ZL16" s="271">
        <v>103186993.66999999</v>
      </c>
      <c r="ZM16" s="271">
        <v>3040057.31</v>
      </c>
      <c r="ZN16" s="271">
        <v>3233768.5</v>
      </c>
      <c r="ZO16" s="271">
        <v>24691574.050000001</v>
      </c>
      <c r="ZP16" s="271">
        <v>4353332.87</v>
      </c>
      <c r="ZQ16" s="271">
        <v>2868279.9</v>
      </c>
      <c r="ZR16" s="271">
        <v>3349856.6</v>
      </c>
      <c r="ZS16" s="271">
        <v>3406191.72</v>
      </c>
      <c r="ZT16" s="271">
        <v>2726926.86</v>
      </c>
      <c r="ZU16" s="271">
        <v>4655267.1500000004</v>
      </c>
      <c r="ZV16" s="271">
        <v>1968075.09</v>
      </c>
      <c r="ZW16" s="271">
        <v>3266047.86</v>
      </c>
      <c r="ZX16" s="271">
        <v>9350937.2400000002</v>
      </c>
      <c r="ZY16" s="271">
        <v>3018154.49</v>
      </c>
      <c r="ZZ16" s="271">
        <v>2713327.88</v>
      </c>
      <c r="AAA16" s="271">
        <v>2325006.73</v>
      </c>
      <c r="AAB16" s="271">
        <v>5340138.3100000005</v>
      </c>
      <c r="AAC16" s="271">
        <v>2740259.94</v>
      </c>
      <c r="AAD16" s="271">
        <v>5213812.5</v>
      </c>
      <c r="AAE16" s="271">
        <v>2890484.03</v>
      </c>
      <c r="AAF16" s="271">
        <v>2518855.7999999998</v>
      </c>
      <c r="AAG16" s="271">
        <v>1185509.97</v>
      </c>
      <c r="AAH16" s="271">
        <v>225806130.50999999</v>
      </c>
      <c r="AAI16" s="271">
        <v>2582835.84</v>
      </c>
      <c r="AAJ16" s="271">
        <v>2566865.75</v>
      </c>
      <c r="AAK16" s="271">
        <v>1737522.42</v>
      </c>
      <c r="AAL16" s="271">
        <v>1514831.69</v>
      </c>
      <c r="AAM16" s="271">
        <v>2013000</v>
      </c>
      <c r="AAN16" s="271">
        <v>4273170.0999999996</v>
      </c>
      <c r="AAO16" s="271">
        <v>117572508.7</v>
      </c>
      <c r="AAP16" s="271">
        <v>4796371.84</v>
      </c>
      <c r="AAQ16" s="271">
        <v>3095209.46</v>
      </c>
      <c r="AAR16" s="271">
        <v>5902145.8200000003</v>
      </c>
      <c r="AAS16" s="271">
        <v>3667980</v>
      </c>
      <c r="AAT16" s="271">
        <v>3811044.88</v>
      </c>
      <c r="AAU16" s="271">
        <v>4400212.5199999996</v>
      </c>
      <c r="AAV16" s="271">
        <v>8928315.7400000002</v>
      </c>
      <c r="AAW16" s="271">
        <v>9349156.2699999996</v>
      </c>
      <c r="AAX16" s="271">
        <v>1893622.56</v>
      </c>
      <c r="AAY16" s="271">
        <v>4567567.09</v>
      </c>
      <c r="AAZ16" s="271">
        <v>19338567.32</v>
      </c>
      <c r="ABA16" s="271">
        <v>10975493.09</v>
      </c>
      <c r="ABB16" s="271">
        <v>1098454</v>
      </c>
      <c r="ABC16" s="271">
        <v>5484866.2400000002</v>
      </c>
      <c r="ABD16" s="271">
        <v>5712380</v>
      </c>
      <c r="ABE16" s="271">
        <v>1026200.11</v>
      </c>
      <c r="ABF16" s="271">
        <v>3938236.34</v>
      </c>
      <c r="ABG16" s="271">
        <v>1894822.45</v>
      </c>
      <c r="ABH16" s="271">
        <v>14336292.57</v>
      </c>
      <c r="ABI16" s="271">
        <v>49677420.140000001</v>
      </c>
      <c r="ABJ16" s="271">
        <v>3714435.8</v>
      </c>
      <c r="ABK16" s="271">
        <v>2314500</v>
      </c>
      <c r="ABL16" s="271">
        <v>2872325.17</v>
      </c>
      <c r="ABM16" s="271">
        <v>1478617.17</v>
      </c>
      <c r="ABN16" s="271">
        <v>1737717.7</v>
      </c>
      <c r="ABO16" s="271">
        <v>90357878.530000001</v>
      </c>
      <c r="ABP16" s="271">
        <v>2967061.9</v>
      </c>
      <c r="ABQ16" s="271">
        <v>3000000</v>
      </c>
      <c r="ABR16" s="271">
        <v>4687462.04</v>
      </c>
      <c r="ABS16" s="271">
        <v>3629800</v>
      </c>
      <c r="ABT16" s="271">
        <v>3133356.99</v>
      </c>
      <c r="ABU16" s="271">
        <v>500000</v>
      </c>
      <c r="ABV16" s="271">
        <v>2217241.54</v>
      </c>
      <c r="ABW16" s="271">
        <v>6700434.79</v>
      </c>
      <c r="ABX16" s="271">
        <v>58325754.439999998</v>
      </c>
      <c r="ABY16" s="271">
        <v>2924158.7199999997</v>
      </c>
      <c r="ABZ16" s="271">
        <v>13981426.559999999</v>
      </c>
      <c r="ACA16" s="271">
        <v>2747072.48</v>
      </c>
      <c r="ACB16" s="271">
        <v>3466258.6799999997</v>
      </c>
      <c r="ACC16" s="271">
        <v>3858120.02</v>
      </c>
      <c r="ACD16" s="271">
        <v>1458116.41</v>
      </c>
      <c r="ACE16" s="271">
        <v>8784592.5600000005</v>
      </c>
      <c r="ACF16" s="271">
        <v>2857541.74</v>
      </c>
      <c r="ACG16" s="271">
        <v>6228184.6899999995</v>
      </c>
      <c r="ACH16" s="271">
        <v>2132164.54</v>
      </c>
      <c r="ACI16" s="271">
        <v>317094484.94999999</v>
      </c>
      <c r="ACJ16" s="271">
        <v>2594614.8199999998</v>
      </c>
      <c r="ACK16" s="271">
        <v>6795377.0700000003</v>
      </c>
      <c r="ACL16" s="271">
        <v>15766723.09</v>
      </c>
      <c r="ACM16" s="271">
        <v>1305015.1100000001</v>
      </c>
      <c r="ACN16" s="271">
        <v>2418052.2000000002</v>
      </c>
      <c r="ACO16" s="271">
        <v>7775843.5999999996</v>
      </c>
      <c r="ACP16" s="271">
        <v>25052248.559999999</v>
      </c>
      <c r="ACQ16" s="271">
        <v>44733900</v>
      </c>
      <c r="ACR16" s="271">
        <v>6045071.3600000003</v>
      </c>
      <c r="ACS16" s="271">
        <v>3842080.94</v>
      </c>
      <c r="ACT16" s="271">
        <v>7975095.9000000004</v>
      </c>
      <c r="ACU16" s="271">
        <v>4099303</v>
      </c>
      <c r="ACV16" s="271">
        <v>78973809.50999999</v>
      </c>
      <c r="ACW16" s="271">
        <v>3280503.81</v>
      </c>
      <c r="ACX16" s="271">
        <v>1851090.92</v>
      </c>
      <c r="ACY16" s="271">
        <v>3304494.1</v>
      </c>
      <c r="ACZ16" s="271">
        <v>5379842.9900000002</v>
      </c>
      <c r="ADA16" s="271">
        <v>2030864.34</v>
      </c>
      <c r="ADB16" s="271">
        <v>1609085.74</v>
      </c>
      <c r="ADC16" s="271">
        <v>4399358.07</v>
      </c>
      <c r="ADD16" s="271">
        <v>2798549.57</v>
      </c>
      <c r="ADE16" s="271">
        <v>1723323.96</v>
      </c>
      <c r="ADF16" s="271">
        <v>26017496.829999998</v>
      </c>
      <c r="ADG16" s="271">
        <v>24145675.689999998</v>
      </c>
      <c r="ADH16" s="271">
        <v>4116681.5</v>
      </c>
      <c r="ADI16" s="271">
        <v>2967938.65</v>
      </c>
      <c r="ADJ16" s="271">
        <v>2573524.8199999998</v>
      </c>
      <c r="ADK16" s="271">
        <v>1223035.43</v>
      </c>
      <c r="ADL16" s="271">
        <v>778136.37</v>
      </c>
      <c r="ADM16" s="271">
        <v>4304538.17</v>
      </c>
      <c r="ADN16" s="271">
        <v>0</v>
      </c>
      <c r="ADO16" s="271">
        <v>180896819.92000002</v>
      </c>
      <c r="ADP16" s="271">
        <v>10275354.25</v>
      </c>
      <c r="ADQ16" s="271">
        <v>16510945.99</v>
      </c>
      <c r="ADR16" s="271">
        <v>4675649.28</v>
      </c>
      <c r="ADS16" s="271">
        <v>98066909.960000008</v>
      </c>
      <c r="ADT16" s="271">
        <v>535067.43999999994</v>
      </c>
      <c r="ADU16" s="271">
        <v>1998768.39</v>
      </c>
      <c r="ADV16" s="271">
        <v>1068730.06</v>
      </c>
      <c r="ADW16" s="271">
        <v>2709541.73</v>
      </c>
      <c r="ADX16" s="271">
        <v>81230.83</v>
      </c>
      <c r="ADY16" s="271">
        <v>43436744.620000005</v>
      </c>
      <c r="ADZ16" s="271">
        <v>4654453.38</v>
      </c>
      <c r="AEA16" s="271">
        <v>18041010.490000002</v>
      </c>
      <c r="AEB16" s="271">
        <v>5477426.6699999999</v>
      </c>
      <c r="AEC16" s="271">
        <v>1471321.19</v>
      </c>
      <c r="AED16" s="271">
        <v>2043800</v>
      </c>
      <c r="AEE16" s="271">
        <v>3033277.53</v>
      </c>
      <c r="AEF16" s="271">
        <v>3191750.81</v>
      </c>
      <c r="AEG16" s="271">
        <v>1070095.6100000001</v>
      </c>
      <c r="AEH16" s="271">
        <v>4995634.9400000004</v>
      </c>
      <c r="AEI16" s="271">
        <v>2755563.65</v>
      </c>
      <c r="AEJ16" s="271">
        <v>12141161.470000001</v>
      </c>
      <c r="AEK16" s="271">
        <v>1801702.84</v>
      </c>
      <c r="AEL16" s="271">
        <v>2898406.36</v>
      </c>
      <c r="AEM16" s="271">
        <v>5528620.4900000002</v>
      </c>
      <c r="AEN16" s="271">
        <v>3116417.38</v>
      </c>
      <c r="AEO16" s="271">
        <v>2298557.37</v>
      </c>
      <c r="AEP16" s="271">
        <v>2409344.86</v>
      </c>
      <c r="AEQ16" s="271">
        <v>2131429.62</v>
      </c>
      <c r="AER16" s="271">
        <v>24601871.030000001</v>
      </c>
      <c r="AES16" s="271">
        <v>151556763.43000001</v>
      </c>
      <c r="AET16" s="271">
        <v>11402173.379999999</v>
      </c>
      <c r="AEU16" s="271">
        <v>2638179.83</v>
      </c>
      <c r="AEV16" s="271">
        <v>6334991.1200000001</v>
      </c>
      <c r="AEW16" s="271">
        <v>1800613</v>
      </c>
      <c r="AEX16" s="271">
        <v>4878764</v>
      </c>
      <c r="AEY16" s="271">
        <v>4052637.52</v>
      </c>
      <c r="AEZ16" s="271">
        <v>2347607.23</v>
      </c>
      <c r="AFA16" s="271">
        <v>2429296.2199999997</v>
      </c>
      <c r="AFB16" s="271">
        <v>10977906.43</v>
      </c>
      <c r="AFC16" s="271">
        <v>43834390.370000005</v>
      </c>
      <c r="AFD16" s="271">
        <v>11376370.129999999</v>
      </c>
      <c r="AFE16" s="271">
        <v>6058527.2400000002</v>
      </c>
      <c r="AFF16" s="271">
        <v>3797304.21</v>
      </c>
      <c r="AFG16" s="271">
        <v>5511182.4199999999</v>
      </c>
      <c r="AFH16" s="271">
        <v>3299075.55</v>
      </c>
      <c r="AFI16" s="271">
        <v>1844284.06</v>
      </c>
      <c r="AFJ16" s="271">
        <v>2386759.3199999998</v>
      </c>
      <c r="AFK16" s="271">
        <v>1690200</v>
      </c>
      <c r="AFL16" s="271">
        <v>-1339493.27</v>
      </c>
      <c r="AFM16" s="271">
        <v>2771369.06</v>
      </c>
      <c r="AFN16" s="271">
        <v>4583183.6500000004</v>
      </c>
      <c r="AFO16" s="271">
        <v>2171813.92</v>
      </c>
      <c r="AFP16" s="271">
        <v>50727130.910000004</v>
      </c>
      <c r="AFQ16" s="271">
        <v>2612238.5699999998</v>
      </c>
      <c r="AFR16" s="271">
        <v>0</v>
      </c>
      <c r="AFS16" s="271">
        <v>1433635.32</v>
      </c>
      <c r="AFT16" s="271">
        <v>1387437.25</v>
      </c>
      <c r="AFU16" s="271">
        <v>1105125.74</v>
      </c>
      <c r="AFV16" s="271">
        <v>2028112.51</v>
      </c>
      <c r="AFW16" s="271">
        <v>3244232.14</v>
      </c>
      <c r="AFX16" s="271">
        <v>4612081.59</v>
      </c>
      <c r="AFY16" s="271">
        <v>1465963.24</v>
      </c>
      <c r="AFZ16" s="271">
        <v>3804521.39</v>
      </c>
      <c r="AGA16" s="271">
        <v>900288.66</v>
      </c>
      <c r="AGB16" s="271">
        <v>35961340.230000004</v>
      </c>
      <c r="AGC16" s="271">
        <v>4382467.5199999996</v>
      </c>
      <c r="AGD16" s="271">
        <v>2356800.04</v>
      </c>
      <c r="AGE16" s="271">
        <v>5925116</v>
      </c>
      <c r="AGF16" s="271">
        <v>22866949.449999999</v>
      </c>
      <c r="AGG16" s="271">
        <v>7207235.4399999995</v>
      </c>
      <c r="AGH16" s="271">
        <v>2214128</v>
      </c>
      <c r="AGI16" s="271">
        <v>4068540.46</v>
      </c>
      <c r="AGJ16" s="271">
        <v>1385949.42</v>
      </c>
      <c r="AGK16" s="271">
        <v>2375590.6799999997</v>
      </c>
      <c r="AGL16" s="271">
        <v>7916653.3200000003</v>
      </c>
      <c r="AGM16" s="271">
        <v>82238661.120000005</v>
      </c>
      <c r="AGN16" s="271">
        <v>12282205.109999999</v>
      </c>
      <c r="AGO16" s="271">
        <v>3847401</v>
      </c>
      <c r="AGP16" s="271">
        <v>1560440.51</v>
      </c>
      <c r="AGQ16" s="271">
        <v>4756858.46</v>
      </c>
      <c r="AGR16" s="271">
        <v>5056759.87</v>
      </c>
      <c r="AGS16" s="271">
        <v>974363.93</v>
      </c>
      <c r="AGT16" s="271">
        <v>2014081.8</v>
      </c>
      <c r="AGU16" s="271">
        <v>257623531.90000001</v>
      </c>
      <c r="AGV16" s="271">
        <v>38217701.689999998</v>
      </c>
      <c r="AGW16" s="271">
        <v>2874893.89</v>
      </c>
      <c r="AGX16" s="271">
        <v>12182713.449999999</v>
      </c>
      <c r="AGY16" s="271">
        <v>20556946.32</v>
      </c>
      <c r="AGZ16" s="271">
        <v>8112339.5999999996</v>
      </c>
      <c r="AHA16" s="271">
        <v>3705411.74</v>
      </c>
      <c r="AHB16" s="271">
        <v>8653980.3599999994</v>
      </c>
      <c r="AHC16" s="271">
        <v>2975138.54</v>
      </c>
      <c r="AHD16" s="271">
        <v>4776042.54</v>
      </c>
      <c r="AHE16" s="271">
        <v>9663640.8099999987</v>
      </c>
      <c r="AHF16" s="271">
        <v>2335574.33</v>
      </c>
      <c r="AHG16" s="271">
        <v>2995903.14</v>
      </c>
      <c r="AHH16" s="271">
        <v>7317531.8200000003</v>
      </c>
      <c r="AHI16" s="271">
        <v>27477750.559999999</v>
      </c>
      <c r="AHJ16" s="271">
        <v>2833247.01</v>
      </c>
      <c r="AHK16" s="271">
        <v>6022101.7599999998</v>
      </c>
      <c r="AHL16" s="271">
        <v>48337252.659999996</v>
      </c>
      <c r="AHM16" s="271">
        <v>2354869.4900000002</v>
      </c>
      <c r="AHN16" s="271">
        <v>5620300</v>
      </c>
      <c r="AHO16" s="271">
        <v>4882889.5600000005</v>
      </c>
      <c r="AHP16" s="271">
        <v>16449222.02</v>
      </c>
      <c r="AHQ16" s="294">
        <v>7149980.0099999998</v>
      </c>
      <c r="AHR16" s="329">
        <v>3332681.08</v>
      </c>
      <c r="AHS16" s="294">
        <f t="shared" si="0"/>
        <v>13933218762.410004</v>
      </c>
      <c r="AHT16" s="269" t="b">
        <f t="shared" si="1"/>
        <v>1</v>
      </c>
      <c r="AHU16" s="269" t="s">
        <v>18</v>
      </c>
    </row>
    <row r="17" spans="1:905" s="273" customFormat="1" ht="23.4" customHeight="1" x14ac:dyDescent="0.7">
      <c r="A17" s="272"/>
      <c r="B17" s="272"/>
      <c r="C17" s="273" t="s">
        <v>632</v>
      </c>
      <c r="D17" s="274">
        <f t="shared" ref="D17:BO17" si="2">SUM(D5:D16)</f>
        <v>6622768842.9200001</v>
      </c>
      <c r="E17" s="274">
        <f t="shared" si="2"/>
        <v>212649132.64999998</v>
      </c>
      <c r="F17" s="274">
        <f t="shared" si="2"/>
        <v>332203385.02000004</v>
      </c>
      <c r="G17" s="274">
        <f t="shared" si="2"/>
        <v>94220138.74999997</v>
      </c>
      <c r="H17" s="274">
        <f t="shared" si="2"/>
        <v>415019748.84000009</v>
      </c>
      <c r="I17" s="274">
        <f t="shared" si="2"/>
        <v>174213510.57000005</v>
      </c>
      <c r="J17" s="274">
        <f t="shared" si="2"/>
        <v>406619195.38999999</v>
      </c>
      <c r="K17" s="274">
        <f t="shared" si="2"/>
        <v>188678576.38</v>
      </c>
      <c r="L17" s="274">
        <f t="shared" si="2"/>
        <v>189166688.53000003</v>
      </c>
      <c r="M17" s="274">
        <f t="shared" si="2"/>
        <v>159843572.09</v>
      </c>
      <c r="N17" s="274">
        <f t="shared" si="2"/>
        <v>98935965.480000004</v>
      </c>
      <c r="O17" s="274">
        <f t="shared" si="2"/>
        <v>108022440.95000002</v>
      </c>
      <c r="P17" s="274">
        <f t="shared" si="2"/>
        <v>141222469.60000002</v>
      </c>
      <c r="Q17" s="274">
        <f t="shared" si="2"/>
        <v>112261109.37999998</v>
      </c>
      <c r="R17" s="274">
        <f t="shared" si="2"/>
        <v>100270965.30999999</v>
      </c>
      <c r="S17" s="274">
        <f t="shared" si="2"/>
        <v>255359297.02999997</v>
      </c>
      <c r="T17" s="274">
        <f t="shared" si="2"/>
        <v>262446367.62999997</v>
      </c>
      <c r="U17" s="274">
        <f t="shared" si="2"/>
        <v>66955110.550000004</v>
      </c>
      <c r="V17" s="274">
        <f t="shared" si="2"/>
        <v>5553305234.6400003</v>
      </c>
      <c r="W17" s="274">
        <f t="shared" si="2"/>
        <v>614388747.22000003</v>
      </c>
      <c r="X17" s="274">
        <f t="shared" si="2"/>
        <v>129805117.04999998</v>
      </c>
      <c r="Y17" s="274">
        <f t="shared" si="2"/>
        <v>246007559.42000002</v>
      </c>
      <c r="Z17" s="274">
        <f t="shared" si="2"/>
        <v>183443798.74000001</v>
      </c>
      <c r="AA17" s="274">
        <f t="shared" si="2"/>
        <v>199207190.55000004</v>
      </c>
      <c r="AB17" s="274">
        <f t="shared" si="2"/>
        <v>77691985.849999994</v>
      </c>
      <c r="AC17" s="274">
        <f t="shared" si="2"/>
        <v>615424440.54000008</v>
      </c>
      <c r="AD17" s="274">
        <f t="shared" si="2"/>
        <v>249572458.66000003</v>
      </c>
      <c r="AE17" s="274">
        <f t="shared" si="2"/>
        <v>127365421.87999997</v>
      </c>
      <c r="AF17" s="274">
        <f t="shared" si="2"/>
        <v>500315085.19999993</v>
      </c>
      <c r="AG17" s="274">
        <f t="shared" si="2"/>
        <v>161953258.15000001</v>
      </c>
      <c r="AH17" s="274">
        <f t="shared" si="2"/>
        <v>656460534.18999994</v>
      </c>
      <c r="AI17" s="274">
        <f t="shared" si="2"/>
        <v>255226281.95000008</v>
      </c>
      <c r="AJ17" s="274">
        <f t="shared" si="2"/>
        <v>141298583.61000001</v>
      </c>
      <c r="AK17" s="274">
        <f t="shared" si="2"/>
        <v>92629843.879999995</v>
      </c>
      <c r="AL17" s="274">
        <f t="shared" si="2"/>
        <v>149502700.03</v>
      </c>
      <c r="AM17" s="274">
        <f t="shared" si="2"/>
        <v>167221067.91</v>
      </c>
      <c r="AN17" s="274">
        <f t="shared" si="2"/>
        <v>90135457.969999999</v>
      </c>
      <c r="AO17" s="274">
        <f t="shared" si="2"/>
        <v>132416595.77000001</v>
      </c>
      <c r="AP17" s="274">
        <f t="shared" si="2"/>
        <v>120726830.51000001</v>
      </c>
      <c r="AQ17" s="274">
        <f t="shared" si="2"/>
        <v>92751659.939999998</v>
      </c>
      <c r="AR17" s="274">
        <f t="shared" si="2"/>
        <v>97385108.939999983</v>
      </c>
      <c r="AS17" s="274">
        <f t="shared" si="2"/>
        <v>65377060.649999991</v>
      </c>
      <c r="AT17" s="274">
        <f t="shared" si="2"/>
        <v>1456829595.28</v>
      </c>
      <c r="AU17" s="274">
        <f t="shared" si="2"/>
        <v>62029941.920000002</v>
      </c>
      <c r="AV17" s="274">
        <f t="shared" si="2"/>
        <v>51208886.019999996</v>
      </c>
      <c r="AW17" s="274">
        <f t="shared" si="2"/>
        <v>95895255.179999992</v>
      </c>
      <c r="AX17" s="274">
        <f t="shared" si="2"/>
        <v>149911615.39999998</v>
      </c>
      <c r="AY17" s="274">
        <f t="shared" si="2"/>
        <v>206018799.26999998</v>
      </c>
      <c r="AZ17" s="274">
        <f t="shared" si="2"/>
        <v>71259915.849999994</v>
      </c>
      <c r="BA17" s="274">
        <f t="shared" si="2"/>
        <v>82525643.039999992</v>
      </c>
      <c r="BB17" s="274">
        <f t="shared" si="2"/>
        <v>64634228.960000008</v>
      </c>
      <c r="BC17" s="274">
        <f t="shared" si="2"/>
        <v>67466749.939999998</v>
      </c>
      <c r="BD17" s="274">
        <f t="shared" si="2"/>
        <v>49551186.579999998</v>
      </c>
      <c r="BE17" s="274">
        <f t="shared" si="2"/>
        <v>51459427.079999998</v>
      </c>
      <c r="BF17" s="274">
        <f t="shared" si="2"/>
        <v>401994400.19</v>
      </c>
      <c r="BG17" s="274">
        <f t="shared" si="2"/>
        <v>45895792.140000001</v>
      </c>
      <c r="BH17" s="274">
        <f t="shared" si="2"/>
        <v>53285049.880000003</v>
      </c>
      <c r="BI17" s="274">
        <f t="shared" si="2"/>
        <v>1618919686.54</v>
      </c>
      <c r="BJ17" s="274">
        <f t="shared" si="2"/>
        <v>998849470.80000019</v>
      </c>
      <c r="BK17" s="274">
        <f t="shared" si="2"/>
        <v>168028713.88000003</v>
      </c>
      <c r="BL17" s="274">
        <f t="shared" si="2"/>
        <v>97914832.470000014</v>
      </c>
      <c r="BM17" s="274">
        <f t="shared" si="2"/>
        <v>195240841.77999997</v>
      </c>
      <c r="BN17" s="274">
        <f t="shared" si="2"/>
        <v>164096804.38</v>
      </c>
      <c r="BO17" s="274">
        <f t="shared" si="2"/>
        <v>123088866.55</v>
      </c>
      <c r="BP17" s="274">
        <f t="shared" ref="BP17:EA17" si="3">SUM(BP5:BP16)</f>
        <v>54718052.790000014</v>
      </c>
      <c r="BQ17" s="274">
        <f t="shared" si="3"/>
        <v>44945328.250000007</v>
      </c>
      <c r="BR17" s="274">
        <f t="shared" si="3"/>
        <v>2827139429.5799999</v>
      </c>
      <c r="BS17" s="274">
        <f t="shared" si="3"/>
        <v>164045553.64000005</v>
      </c>
      <c r="BT17" s="274">
        <f t="shared" si="3"/>
        <v>134520749.59999996</v>
      </c>
      <c r="BU17" s="274">
        <f t="shared" si="3"/>
        <v>180486927.77999997</v>
      </c>
      <c r="BV17" s="274">
        <f t="shared" si="3"/>
        <v>149809897.62000003</v>
      </c>
      <c r="BW17" s="274">
        <f t="shared" si="3"/>
        <v>124575120.81999999</v>
      </c>
      <c r="BX17" s="274">
        <f t="shared" si="3"/>
        <v>78139256.309999987</v>
      </c>
      <c r="BY17" s="274">
        <f t="shared" si="3"/>
        <v>149713024.08000001</v>
      </c>
      <c r="BZ17" s="274">
        <f t="shared" si="3"/>
        <v>516026854.34999996</v>
      </c>
      <c r="CA17" s="274">
        <f t="shared" si="3"/>
        <v>97786530.500000015</v>
      </c>
      <c r="CB17" s="274">
        <f t="shared" si="3"/>
        <v>159750004.63999999</v>
      </c>
      <c r="CC17" s="274">
        <f t="shared" si="3"/>
        <v>289051107.83999997</v>
      </c>
      <c r="CD17" s="274">
        <f t="shared" si="3"/>
        <v>93310755.700000003</v>
      </c>
      <c r="CE17" s="274">
        <f t="shared" si="3"/>
        <v>96466359.50999999</v>
      </c>
      <c r="CF17" s="274">
        <f t="shared" si="3"/>
        <v>80924264.00999999</v>
      </c>
      <c r="CG17" s="274">
        <f t="shared" si="3"/>
        <v>4536179837.4300003</v>
      </c>
      <c r="CH17" s="274">
        <f t="shared" si="3"/>
        <v>128432235.11999999</v>
      </c>
      <c r="CI17" s="274">
        <f t="shared" si="3"/>
        <v>403737907.42999995</v>
      </c>
      <c r="CJ17" s="274">
        <f t="shared" si="3"/>
        <v>104602986.62</v>
      </c>
      <c r="CK17" s="274">
        <f t="shared" si="3"/>
        <v>135013362.27999997</v>
      </c>
      <c r="CL17" s="274">
        <f t="shared" si="3"/>
        <v>135454543.09999999</v>
      </c>
      <c r="CM17" s="274">
        <f t="shared" si="3"/>
        <v>135192955.47</v>
      </c>
      <c r="CN17" s="274">
        <f t="shared" si="3"/>
        <v>234654268.43999994</v>
      </c>
      <c r="CO17" s="274">
        <f t="shared" si="3"/>
        <v>58608187.230000004</v>
      </c>
      <c r="CP17" s="274">
        <f t="shared" si="3"/>
        <v>143543326.06999996</v>
      </c>
      <c r="CQ17" s="274">
        <f t="shared" si="3"/>
        <v>92157824.100000009</v>
      </c>
      <c r="CR17" s="274">
        <f t="shared" si="3"/>
        <v>148324091.62000003</v>
      </c>
      <c r="CS17" s="274">
        <f t="shared" si="3"/>
        <v>102695513.80999999</v>
      </c>
      <c r="CT17" s="274">
        <f t="shared" si="3"/>
        <v>1320381005.96</v>
      </c>
      <c r="CU17" s="274">
        <f t="shared" si="3"/>
        <v>109028262.68999998</v>
      </c>
      <c r="CV17" s="274">
        <f t="shared" si="3"/>
        <v>130337616.08999999</v>
      </c>
      <c r="CW17" s="274">
        <f t="shared" si="3"/>
        <v>205194265.09000003</v>
      </c>
      <c r="CX17" s="274">
        <f t="shared" si="3"/>
        <v>91351122.939999998</v>
      </c>
      <c r="CY17" s="274">
        <f t="shared" si="3"/>
        <v>223222763.44999999</v>
      </c>
      <c r="CZ17" s="274">
        <f t="shared" si="3"/>
        <v>82249710.670000017</v>
      </c>
      <c r="DA17" s="274">
        <f t="shared" si="3"/>
        <v>64081171.43</v>
      </c>
      <c r="DB17" s="274">
        <f t="shared" si="3"/>
        <v>992693548.32000005</v>
      </c>
      <c r="DC17" s="274">
        <f t="shared" si="3"/>
        <v>1449742665.7099998</v>
      </c>
      <c r="DD17" s="274">
        <f t="shared" si="3"/>
        <v>152247452.41999999</v>
      </c>
      <c r="DE17" s="274">
        <f t="shared" si="3"/>
        <v>119565437.26000002</v>
      </c>
      <c r="DF17" s="274">
        <f t="shared" si="3"/>
        <v>271963328.47999996</v>
      </c>
      <c r="DG17" s="274">
        <f t="shared" si="3"/>
        <v>229412084.19</v>
      </c>
      <c r="DH17" s="274">
        <f t="shared" si="3"/>
        <v>279173750.67000008</v>
      </c>
      <c r="DI17" s="274">
        <f t="shared" si="3"/>
        <v>312947633.46999997</v>
      </c>
      <c r="DJ17" s="274">
        <f t="shared" si="3"/>
        <v>99930255.510000005</v>
      </c>
      <c r="DK17" s="274">
        <f t="shared" si="3"/>
        <v>4434141416.250001</v>
      </c>
      <c r="DL17" s="274">
        <f t="shared" si="3"/>
        <v>150857019.03000006</v>
      </c>
      <c r="DM17" s="274">
        <f t="shared" si="3"/>
        <v>231787043.65000004</v>
      </c>
      <c r="DN17" s="274">
        <f t="shared" si="3"/>
        <v>178485541.75</v>
      </c>
      <c r="DO17" s="274">
        <f t="shared" si="3"/>
        <v>232904661.37000003</v>
      </c>
      <c r="DP17" s="274">
        <f t="shared" si="3"/>
        <v>153203979.02000004</v>
      </c>
      <c r="DQ17" s="274">
        <f t="shared" si="3"/>
        <v>318456883.87</v>
      </c>
      <c r="DR17" s="274">
        <f t="shared" si="3"/>
        <v>155517753.86000001</v>
      </c>
      <c r="DS17" s="274">
        <f t="shared" si="3"/>
        <v>397277434.48000002</v>
      </c>
      <c r="DT17" s="274">
        <f t="shared" si="3"/>
        <v>1623152605.49</v>
      </c>
      <c r="DU17" s="274">
        <f t="shared" si="3"/>
        <v>196350224.15000007</v>
      </c>
      <c r="DV17" s="274">
        <f t="shared" si="3"/>
        <v>536250116.57000005</v>
      </c>
      <c r="DW17" s="274">
        <f t="shared" si="3"/>
        <v>541038437.84000015</v>
      </c>
      <c r="DX17" s="274">
        <f t="shared" si="3"/>
        <v>184974833.09999996</v>
      </c>
      <c r="DY17" s="274">
        <f t="shared" si="3"/>
        <v>262791534.47999999</v>
      </c>
      <c r="DZ17" s="274">
        <f t="shared" si="3"/>
        <v>241732505.04999998</v>
      </c>
      <c r="EA17" s="274">
        <f t="shared" si="3"/>
        <v>74439450.650000006</v>
      </c>
      <c r="EB17" s="274">
        <f t="shared" ref="EB17:GM17" si="4">SUM(EB5:EB16)</f>
        <v>139441175.52000001</v>
      </c>
      <c r="EC17" s="274">
        <f t="shared" si="4"/>
        <v>138772915.39000002</v>
      </c>
      <c r="ED17" s="274">
        <f t="shared" si="4"/>
        <v>295345113.32000005</v>
      </c>
      <c r="EE17" s="274">
        <f t="shared" si="4"/>
        <v>953502530.72000003</v>
      </c>
      <c r="EF17" s="274">
        <f t="shared" si="4"/>
        <v>1060163630.5299999</v>
      </c>
      <c r="EG17" s="274">
        <f t="shared" si="4"/>
        <v>133432899.18000001</v>
      </c>
      <c r="EH17" s="274">
        <f t="shared" si="4"/>
        <v>146774756.41999996</v>
      </c>
      <c r="EI17" s="274">
        <f t="shared" si="4"/>
        <v>143315829.80000001</v>
      </c>
      <c r="EJ17" s="274">
        <f t="shared" si="4"/>
        <v>211712059.98000002</v>
      </c>
      <c r="EK17" s="274">
        <f t="shared" si="4"/>
        <v>288339232.52000004</v>
      </c>
      <c r="EL17" s="274">
        <f t="shared" si="4"/>
        <v>89304161.949999988</v>
      </c>
      <c r="EM17" s="274">
        <f t="shared" si="4"/>
        <v>128317567.20000002</v>
      </c>
      <c r="EN17" s="274">
        <f t="shared" si="4"/>
        <v>2655348470.2799997</v>
      </c>
      <c r="EO17" s="274">
        <f t="shared" si="4"/>
        <v>158241645.56000003</v>
      </c>
      <c r="EP17" s="274">
        <f t="shared" si="4"/>
        <v>139395781.96000001</v>
      </c>
      <c r="EQ17" s="274">
        <f t="shared" si="4"/>
        <v>144288650.06</v>
      </c>
      <c r="ER17" s="274">
        <f t="shared" si="4"/>
        <v>91886239.310000002</v>
      </c>
      <c r="ES17" s="274">
        <f t="shared" si="4"/>
        <v>80804386.299999997</v>
      </c>
      <c r="ET17" s="274">
        <f t="shared" si="4"/>
        <v>216717646.36000001</v>
      </c>
      <c r="EU17" s="274">
        <f t="shared" si="4"/>
        <v>213467008.75999999</v>
      </c>
      <c r="EV17" s="274">
        <f t="shared" si="4"/>
        <v>137537947.33999997</v>
      </c>
      <c r="EW17" s="274">
        <f t="shared" si="4"/>
        <v>1625514247.95</v>
      </c>
      <c r="EX17" s="274">
        <f t="shared" si="4"/>
        <v>62306765.590000004</v>
      </c>
      <c r="EY17" s="274">
        <f t="shared" si="4"/>
        <v>144341775.61999997</v>
      </c>
      <c r="EZ17" s="274">
        <f t="shared" si="4"/>
        <v>212179670.98999998</v>
      </c>
      <c r="FA17" s="274">
        <f t="shared" si="4"/>
        <v>292255492.49999994</v>
      </c>
      <c r="FB17" s="274">
        <f t="shared" si="4"/>
        <v>235818186.42000002</v>
      </c>
      <c r="FC17" s="274">
        <f t="shared" si="4"/>
        <v>181958317.85999998</v>
      </c>
      <c r="FD17" s="274">
        <f t="shared" si="4"/>
        <v>122193141.53000002</v>
      </c>
      <c r="FE17" s="274">
        <f t="shared" si="4"/>
        <v>113101984.15000001</v>
      </c>
      <c r="FF17" s="274">
        <f t="shared" si="4"/>
        <v>108616413.90000002</v>
      </c>
      <c r="FG17" s="274">
        <f t="shared" si="4"/>
        <v>96606389.199999988</v>
      </c>
      <c r="FH17" s="274">
        <f t="shared" si="4"/>
        <v>85332270</v>
      </c>
      <c r="FI17" s="274">
        <f t="shared" si="4"/>
        <v>1178546534.28</v>
      </c>
      <c r="FJ17" s="274">
        <f t="shared" si="4"/>
        <v>95092658.769999996</v>
      </c>
      <c r="FK17" s="274">
        <f t="shared" si="4"/>
        <v>100202197.98</v>
      </c>
      <c r="FL17" s="274">
        <f t="shared" si="4"/>
        <v>100937857.72999999</v>
      </c>
      <c r="FM17" s="274">
        <f t="shared" si="4"/>
        <v>183001229.58999997</v>
      </c>
      <c r="FN17" s="274">
        <f t="shared" si="4"/>
        <v>143964940.21000001</v>
      </c>
      <c r="FO17" s="274">
        <f t="shared" si="4"/>
        <v>58995395.139999978</v>
      </c>
      <c r="FP17" s="274">
        <f t="shared" si="4"/>
        <v>28133315.009999994</v>
      </c>
      <c r="FQ17" s="274">
        <f t="shared" si="4"/>
        <v>3192032471.8500004</v>
      </c>
      <c r="FR17" s="274">
        <f t="shared" si="4"/>
        <v>120403765.39000002</v>
      </c>
      <c r="FS17" s="274">
        <f t="shared" si="4"/>
        <v>206610676.81</v>
      </c>
      <c r="FT17" s="274">
        <f t="shared" si="4"/>
        <v>231943606.17999998</v>
      </c>
      <c r="FU17" s="274">
        <f t="shared" si="4"/>
        <v>227545861.02999994</v>
      </c>
      <c r="FV17" s="274">
        <f t="shared" si="4"/>
        <v>114080406.58</v>
      </c>
      <c r="FW17" s="274">
        <f t="shared" si="4"/>
        <v>290896098.56999999</v>
      </c>
      <c r="FX17" s="274">
        <f t="shared" si="4"/>
        <v>179344100.59999996</v>
      </c>
      <c r="FY17" s="274">
        <f t="shared" si="4"/>
        <v>203499103.19999996</v>
      </c>
      <c r="FZ17" s="274">
        <f t="shared" si="4"/>
        <v>146578458.98000002</v>
      </c>
      <c r="GA17" s="274">
        <f t="shared" si="4"/>
        <v>317097763.28000003</v>
      </c>
      <c r="GB17" s="274">
        <f t="shared" si="4"/>
        <v>147592215.13999993</v>
      </c>
      <c r="GC17" s="274">
        <f t="shared" si="4"/>
        <v>125432721.29999998</v>
      </c>
      <c r="GD17" s="274">
        <f t="shared" si="4"/>
        <v>73244217.219999999</v>
      </c>
      <c r="GE17" s="274">
        <f t="shared" si="4"/>
        <v>1200287000.49</v>
      </c>
      <c r="GF17" s="274">
        <f t="shared" si="4"/>
        <v>138711645.91</v>
      </c>
      <c r="GG17" s="274">
        <f t="shared" si="4"/>
        <v>116034386.19000001</v>
      </c>
      <c r="GH17" s="274">
        <f t="shared" si="4"/>
        <v>291829880.29999995</v>
      </c>
      <c r="GI17" s="274">
        <f t="shared" si="4"/>
        <v>143751926.89999998</v>
      </c>
      <c r="GJ17" s="274">
        <f t="shared" si="4"/>
        <v>146520969.72000003</v>
      </c>
      <c r="GK17" s="274">
        <f t="shared" si="4"/>
        <v>119847454.86999999</v>
      </c>
      <c r="GL17" s="274">
        <f t="shared" si="4"/>
        <v>312313689.63999993</v>
      </c>
      <c r="GM17" s="274">
        <f t="shared" si="4"/>
        <v>104753797.72</v>
      </c>
      <c r="GN17" s="274">
        <f t="shared" ref="GN17:IY17" si="5">SUM(GN5:GN16)</f>
        <v>62473164.940000005</v>
      </c>
      <c r="GO17" s="274">
        <f t="shared" si="5"/>
        <v>50597024.989999995</v>
      </c>
      <c r="GP17" s="274">
        <f t="shared" si="5"/>
        <v>48316501.269999996</v>
      </c>
      <c r="GQ17" s="274">
        <f t="shared" si="5"/>
        <v>1163886296.0799999</v>
      </c>
      <c r="GR17" s="274">
        <f t="shared" si="5"/>
        <v>190115715.96000001</v>
      </c>
      <c r="GS17" s="274">
        <f t="shared" si="5"/>
        <v>109327649.08</v>
      </c>
      <c r="GT17" s="274">
        <f t="shared" si="5"/>
        <v>216010009.75</v>
      </c>
      <c r="GU17" s="274">
        <f t="shared" si="5"/>
        <v>51140050.299999997</v>
      </c>
      <c r="GV17" s="274">
        <f t="shared" si="5"/>
        <v>184253828.41000003</v>
      </c>
      <c r="GW17" s="274">
        <f t="shared" si="5"/>
        <v>157276228.76999998</v>
      </c>
      <c r="GX17" s="274">
        <f t="shared" si="5"/>
        <v>86732159.239999995</v>
      </c>
      <c r="GY17" s="274">
        <f t="shared" si="5"/>
        <v>984850370.43999994</v>
      </c>
      <c r="GZ17" s="274">
        <f t="shared" si="5"/>
        <v>87284849.88000001</v>
      </c>
      <c r="HA17" s="274">
        <f t="shared" si="5"/>
        <v>221729932.87999997</v>
      </c>
      <c r="HB17" s="274">
        <f t="shared" si="5"/>
        <v>198211980.28999999</v>
      </c>
      <c r="HC17" s="274">
        <f t="shared" si="5"/>
        <v>3091930508.6700006</v>
      </c>
      <c r="HD17" s="274">
        <f t="shared" si="5"/>
        <v>328452355.91000003</v>
      </c>
      <c r="HE17" s="274">
        <f t="shared" si="5"/>
        <v>340742681.71000004</v>
      </c>
      <c r="HF17" s="274">
        <f t="shared" si="5"/>
        <v>425704107.25</v>
      </c>
      <c r="HG17" s="274">
        <f t="shared" si="5"/>
        <v>248588871.87000003</v>
      </c>
      <c r="HH17" s="274">
        <f t="shared" si="5"/>
        <v>334583441.38</v>
      </c>
      <c r="HI17" s="274">
        <f t="shared" si="5"/>
        <v>155397958.68000001</v>
      </c>
      <c r="HJ17" s="274">
        <f t="shared" si="5"/>
        <v>1840721569.4500003</v>
      </c>
      <c r="HK17" s="274">
        <f t="shared" si="5"/>
        <v>322825411.30999994</v>
      </c>
      <c r="HL17" s="274">
        <f t="shared" si="5"/>
        <v>444519439.72999996</v>
      </c>
      <c r="HM17" s="274">
        <f t="shared" si="5"/>
        <v>204731484.75000003</v>
      </c>
      <c r="HN17" s="274">
        <f t="shared" si="5"/>
        <v>153412001.39000002</v>
      </c>
      <c r="HO17" s="274">
        <f t="shared" si="5"/>
        <v>258943396.08000001</v>
      </c>
      <c r="HP17" s="274">
        <f t="shared" si="5"/>
        <v>199117666.01999998</v>
      </c>
      <c r="HQ17" s="274">
        <f t="shared" si="5"/>
        <v>159446295.75000003</v>
      </c>
      <c r="HR17" s="274">
        <f t="shared" si="5"/>
        <v>1720378088.0749998</v>
      </c>
      <c r="HS17" s="274">
        <f t="shared" si="5"/>
        <v>581225410.19999993</v>
      </c>
      <c r="HT17" s="274">
        <f t="shared" si="5"/>
        <v>159599373.47</v>
      </c>
      <c r="HU17" s="274">
        <f t="shared" si="5"/>
        <v>118565539.83000001</v>
      </c>
      <c r="HV17" s="274">
        <f t="shared" si="5"/>
        <v>123855721.75000003</v>
      </c>
      <c r="HW17" s="274">
        <f t="shared" si="5"/>
        <v>82484960.410000011</v>
      </c>
      <c r="HX17" s="274">
        <f t="shared" si="5"/>
        <v>370070013</v>
      </c>
      <c r="HY17" s="274">
        <f t="shared" si="5"/>
        <v>113027547.31</v>
      </c>
      <c r="HZ17" s="274">
        <f t="shared" si="5"/>
        <v>151137883.28</v>
      </c>
      <c r="IA17" s="274">
        <f t="shared" si="5"/>
        <v>111435887.38000001</v>
      </c>
      <c r="IB17" s="274">
        <f t="shared" si="5"/>
        <v>145669876.98000002</v>
      </c>
      <c r="IC17" s="274">
        <f t="shared" si="5"/>
        <v>337693740.76000005</v>
      </c>
      <c r="ID17" s="274">
        <f t="shared" si="5"/>
        <v>52227444.579999991</v>
      </c>
      <c r="IE17" s="274">
        <f t="shared" si="5"/>
        <v>316459702.63</v>
      </c>
      <c r="IF17" s="274">
        <f t="shared" si="5"/>
        <v>89850406.109999999</v>
      </c>
      <c r="IG17" s="274">
        <f t="shared" si="5"/>
        <v>63520675.899999999</v>
      </c>
      <c r="IH17" s="274">
        <f t="shared" si="5"/>
        <v>1371495044.0900002</v>
      </c>
      <c r="II17" s="274">
        <f t="shared" si="5"/>
        <v>570935419.28000009</v>
      </c>
      <c r="IJ17" s="274">
        <f t="shared" si="5"/>
        <v>180259991.71000001</v>
      </c>
      <c r="IK17" s="274">
        <f t="shared" si="5"/>
        <v>271743705.58999997</v>
      </c>
      <c r="IL17" s="274">
        <f t="shared" si="5"/>
        <v>390246253.02000004</v>
      </c>
      <c r="IM17" s="274">
        <f t="shared" si="5"/>
        <v>201791889.02000001</v>
      </c>
      <c r="IN17" s="274">
        <f t="shared" si="5"/>
        <v>109130950.34000002</v>
      </c>
      <c r="IO17" s="274">
        <f t="shared" si="5"/>
        <v>71649918.610000014</v>
      </c>
      <c r="IP17" s="274">
        <f t="shared" si="5"/>
        <v>94657227.289999992</v>
      </c>
      <c r="IQ17" s="274">
        <f t="shared" si="5"/>
        <v>88045762.949999988</v>
      </c>
      <c r="IR17" s="274">
        <f t="shared" si="5"/>
        <v>99137758.950000018</v>
      </c>
      <c r="IS17" s="274">
        <f t="shared" si="5"/>
        <v>2615471668.1099992</v>
      </c>
      <c r="IT17" s="274">
        <f t="shared" si="5"/>
        <v>748648431.18999994</v>
      </c>
      <c r="IU17" s="274">
        <f t="shared" si="5"/>
        <v>295197952.58999991</v>
      </c>
      <c r="IV17" s="274">
        <f t="shared" si="5"/>
        <v>140280868.10000002</v>
      </c>
      <c r="IW17" s="274">
        <f t="shared" si="5"/>
        <v>143265219.43000001</v>
      </c>
      <c r="IX17" s="274">
        <f t="shared" si="5"/>
        <v>85012419.959999993</v>
      </c>
      <c r="IY17" s="274">
        <f t="shared" si="5"/>
        <v>95468839.859999999</v>
      </c>
      <c r="IZ17" s="274">
        <f t="shared" ref="IZ17:LK17" si="6">SUM(IZ5:IZ16)</f>
        <v>63137848.209999993</v>
      </c>
      <c r="JA17" s="274">
        <f t="shared" si="6"/>
        <v>82080563.290000007</v>
      </c>
      <c r="JB17" s="274">
        <f t="shared" si="6"/>
        <v>136267101.18000001</v>
      </c>
      <c r="JC17" s="274">
        <f t="shared" si="6"/>
        <v>173855570.47</v>
      </c>
      <c r="JD17" s="274">
        <f t="shared" si="6"/>
        <v>82199428.970000014</v>
      </c>
      <c r="JE17" s="274">
        <f t="shared" si="6"/>
        <v>1239757135.7300003</v>
      </c>
      <c r="JF17" s="274">
        <f t="shared" si="6"/>
        <v>391042974.33999997</v>
      </c>
      <c r="JG17" s="274">
        <f t="shared" si="6"/>
        <v>96420495.130000025</v>
      </c>
      <c r="JH17" s="274">
        <f t="shared" si="6"/>
        <v>100563522.33</v>
      </c>
      <c r="JI17" s="274">
        <f t="shared" si="6"/>
        <v>76024298.630000025</v>
      </c>
      <c r="JJ17" s="274">
        <f t="shared" si="6"/>
        <v>88495203.269999996</v>
      </c>
      <c r="JK17" s="274">
        <f t="shared" si="6"/>
        <v>1116789632.02</v>
      </c>
      <c r="JL17" s="274">
        <f t="shared" si="6"/>
        <v>252293612.80999997</v>
      </c>
      <c r="JM17" s="274">
        <f t="shared" si="6"/>
        <v>185827859.34000003</v>
      </c>
      <c r="JN17" s="274">
        <f t="shared" si="6"/>
        <v>283914391.03999996</v>
      </c>
      <c r="JO17" s="274">
        <f t="shared" si="6"/>
        <v>125249911.34999999</v>
      </c>
      <c r="JP17" s="274">
        <f t="shared" si="6"/>
        <v>312850350.89000005</v>
      </c>
      <c r="JQ17" s="274">
        <f t="shared" si="6"/>
        <v>86998956.340000018</v>
      </c>
      <c r="JR17" s="274">
        <f t="shared" si="6"/>
        <v>2322582520.96</v>
      </c>
      <c r="JS17" s="274">
        <f t="shared" si="6"/>
        <v>1167268435.6899998</v>
      </c>
      <c r="JT17" s="274">
        <f t="shared" si="6"/>
        <v>126839330.17999999</v>
      </c>
      <c r="JU17" s="274">
        <f t="shared" si="6"/>
        <v>63678903.980000004</v>
      </c>
      <c r="JV17" s="274">
        <f t="shared" si="6"/>
        <v>234330271.94999999</v>
      </c>
      <c r="JW17" s="274">
        <f t="shared" si="6"/>
        <v>58644318.149999999</v>
      </c>
      <c r="JX17" s="274">
        <f t="shared" si="6"/>
        <v>408648758.57999998</v>
      </c>
      <c r="JY17" s="274">
        <f t="shared" si="6"/>
        <v>236600949.10000002</v>
      </c>
      <c r="JZ17" s="274">
        <f t="shared" si="6"/>
        <v>150283457.94</v>
      </c>
      <c r="KA17" s="274">
        <f t="shared" si="6"/>
        <v>158186021.45999998</v>
      </c>
      <c r="KB17" s="274">
        <f t="shared" si="6"/>
        <v>117938397.51000001</v>
      </c>
      <c r="KC17" s="274">
        <f t="shared" si="6"/>
        <v>134813966.15000001</v>
      </c>
      <c r="KD17" s="274">
        <f t="shared" si="6"/>
        <v>81230924.129999995</v>
      </c>
      <c r="KE17" s="274">
        <f t="shared" si="6"/>
        <v>42006100.43</v>
      </c>
      <c r="KF17" s="274">
        <f t="shared" si="6"/>
        <v>91295140.540000021</v>
      </c>
      <c r="KG17" s="274">
        <f t="shared" si="6"/>
        <v>45520668.680000007</v>
      </c>
      <c r="KH17" s="274">
        <f t="shared" si="6"/>
        <v>3128099203.6699996</v>
      </c>
      <c r="KI17" s="274">
        <f t="shared" si="6"/>
        <v>328053161.93999994</v>
      </c>
      <c r="KJ17" s="274">
        <f t="shared" si="6"/>
        <v>162118837.74999997</v>
      </c>
      <c r="KK17" s="274">
        <f t="shared" si="6"/>
        <v>197026081.07999998</v>
      </c>
      <c r="KL17" s="274">
        <f t="shared" si="6"/>
        <v>178651793.48999995</v>
      </c>
      <c r="KM17" s="274">
        <f t="shared" si="6"/>
        <v>158144656.85000002</v>
      </c>
      <c r="KN17" s="274">
        <f t="shared" si="6"/>
        <v>492883340.15999991</v>
      </c>
      <c r="KO17" s="274">
        <f t="shared" si="6"/>
        <v>157397693.47</v>
      </c>
      <c r="KP17" s="274">
        <f t="shared" si="6"/>
        <v>134678292.32000002</v>
      </c>
      <c r="KQ17" s="274">
        <f t="shared" si="6"/>
        <v>892201354.4400003</v>
      </c>
      <c r="KR17" s="274">
        <f t="shared" si="6"/>
        <v>174612881.15999997</v>
      </c>
      <c r="KS17" s="274">
        <f t="shared" si="6"/>
        <v>192397353.90000001</v>
      </c>
      <c r="KT17" s="274">
        <f t="shared" si="6"/>
        <v>589905699.08000004</v>
      </c>
      <c r="KU17" s="274">
        <f t="shared" si="6"/>
        <v>126327346.83000001</v>
      </c>
      <c r="KV17" s="274">
        <f t="shared" si="6"/>
        <v>234937309.73000002</v>
      </c>
      <c r="KW17" s="274">
        <f t="shared" si="6"/>
        <v>1652850081.22</v>
      </c>
      <c r="KX17" s="274">
        <f t="shared" si="6"/>
        <v>227764363.28999999</v>
      </c>
      <c r="KY17" s="274">
        <f t="shared" si="6"/>
        <v>1503950512.04</v>
      </c>
      <c r="KZ17" s="274">
        <f t="shared" si="6"/>
        <v>187038418.47</v>
      </c>
      <c r="LA17" s="274">
        <f t="shared" si="6"/>
        <v>126884759.03</v>
      </c>
      <c r="LB17" s="274">
        <f t="shared" si="6"/>
        <v>351799202.76000005</v>
      </c>
      <c r="LC17" s="274">
        <f t="shared" si="6"/>
        <v>301247178.85999995</v>
      </c>
      <c r="LD17" s="274">
        <f t="shared" si="6"/>
        <v>241224418.04999998</v>
      </c>
      <c r="LE17" s="274">
        <f t="shared" si="6"/>
        <v>229013233.74000004</v>
      </c>
      <c r="LF17" s="274">
        <f t="shared" si="6"/>
        <v>188099249.05999997</v>
      </c>
      <c r="LG17" s="274">
        <f t="shared" si="6"/>
        <v>3095563558.48</v>
      </c>
      <c r="LH17" s="274">
        <f t="shared" si="6"/>
        <v>648573456.36000013</v>
      </c>
      <c r="LI17" s="274">
        <f t="shared" si="6"/>
        <v>1031786990.8599999</v>
      </c>
      <c r="LJ17" s="274">
        <f t="shared" si="6"/>
        <v>763795774.06000006</v>
      </c>
      <c r="LK17" s="274">
        <f t="shared" si="6"/>
        <v>189884112.24999997</v>
      </c>
      <c r="LL17" s="274">
        <f t="shared" ref="LL17:NW17" si="7">SUM(LL5:LL16)</f>
        <v>130342163.20999999</v>
      </c>
      <c r="LM17" s="274">
        <f t="shared" si="7"/>
        <v>88108888.810000002</v>
      </c>
      <c r="LN17" s="274">
        <f t="shared" si="7"/>
        <v>191399729.94999996</v>
      </c>
      <c r="LO17" s="274">
        <f t="shared" si="7"/>
        <v>102972889.30000001</v>
      </c>
      <c r="LP17" s="274">
        <f t="shared" si="7"/>
        <v>267705860.06999999</v>
      </c>
      <c r="LQ17" s="274">
        <f t="shared" si="7"/>
        <v>74380020.299999997</v>
      </c>
      <c r="LR17" s="274">
        <f t="shared" si="7"/>
        <v>1086203246.3099999</v>
      </c>
      <c r="LS17" s="274">
        <f t="shared" si="7"/>
        <v>169797816.56</v>
      </c>
      <c r="LT17" s="274">
        <f t="shared" si="7"/>
        <v>118215435.62999997</v>
      </c>
      <c r="LU17" s="274">
        <f t="shared" si="7"/>
        <v>2728152979.5899997</v>
      </c>
      <c r="LV17" s="274">
        <f t="shared" si="7"/>
        <v>1503949429.6200001</v>
      </c>
      <c r="LW17" s="274">
        <f t="shared" si="7"/>
        <v>2740150405.5</v>
      </c>
      <c r="LX17" s="274">
        <f t="shared" si="7"/>
        <v>728633400.9000001</v>
      </c>
      <c r="LY17" s="274">
        <f t="shared" si="7"/>
        <v>302356059.40250003</v>
      </c>
      <c r="LZ17" s="274">
        <f t="shared" si="7"/>
        <v>424096186.09000003</v>
      </c>
      <c r="MA17" s="274">
        <f t="shared" si="7"/>
        <v>267475232.95999998</v>
      </c>
      <c r="MB17" s="274">
        <f t="shared" si="7"/>
        <v>180671373.71999997</v>
      </c>
      <c r="MC17" s="274">
        <f t="shared" si="7"/>
        <v>230970012.89999998</v>
      </c>
      <c r="MD17" s="274">
        <f t="shared" si="7"/>
        <v>273854832.94999993</v>
      </c>
      <c r="ME17" s="274">
        <f t="shared" si="7"/>
        <v>445837530.65000004</v>
      </c>
      <c r="MF17" s="274">
        <f t="shared" si="7"/>
        <v>128450881.31000002</v>
      </c>
      <c r="MG17" s="274">
        <f t="shared" si="7"/>
        <v>3433068826.4600005</v>
      </c>
      <c r="MH17" s="274">
        <f t="shared" si="7"/>
        <v>164728733.03</v>
      </c>
      <c r="MI17" s="274">
        <f t="shared" si="7"/>
        <v>101652180.87</v>
      </c>
      <c r="MJ17" s="274">
        <f t="shared" si="7"/>
        <v>95701286.879999995</v>
      </c>
      <c r="MK17" s="274">
        <f t="shared" si="7"/>
        <v>100420715.09999999</v>
      </c>
      <c r="ML17" s="274">
        <f t="shared" si="7"/>
        <v>160275536.46999994</v>
      </c>
      <c r="MM17" s="274">
        <f t="shared" si="7"/>
        <v>107988816.98000002</v>
      </c>
      <c r="MN17" s="274">
        <f t="shared" si="7"/>
        <v>116070595.29000001</v>
      </c>
      <c r="MO17" s="274">
        <f t="shared" si="7"/>
        <v>216837207.59000003</v>
      </c>
      <c r="MP17" s="274">
        <f t="shared" si="7"/>
        <v>115985971.59000002</v>
      </c>
      <c r="MQ17" s="274">
        <f t="shared" si="7"/>
        <v>108557289.81999998</v>
      </c>
      <c r="MR17" s="274">
        <f t="shared" si="7"/>
        <v>111900675.03000003</v>
      </c>
      <c r="MS17" s="274">
        <f t="shared" si="7"/>
        <v>3220917754.52</v>
      </c>
      <c r="MT17" s="274">
        <f t="shared" si="7"/>
        <v>128793121.01000001</v>
      </c>
      <c r="MU17" s="274">
        <f t="shared" si="7"/>
        <v>275261816.81999999</v>
      </c>
      <c r="MV17" s="274">
        <f t="shared" si="7"/>
        <v>304850947.75999993</v>
      </c>
      <c r="MW17" s="274">
        <f t="shared" si="7"/>
        <v>246818227.08000001</v>
      </c>
      <c r="MX17" s="274">
        <f t="shared" si="7"/>
        <v>192931291.17999995</v>
      </c>
      <c r="MY17" s="274">
        <f t="shared" si="7"/>
        <v>525147190.32959998</v>
      </c>
      <c r="MZ17" s="274">
        <f t="shared" si="7"/>
        <v>326835958.38999999</v>
      </c>
      <c r="NA17" s="274">
        <f t="shared" si="7"/>
        <v>204172499.25999999</v>
      </c>
      <c r="NB17" s="274">
        <f t="shared" si="7"/>
        <v>62733284.32</v>
      </c>
      <c r="NC17" s="274">
        <f t="shared" si="7"/>
        <v>56824146.25999999</v>
      </c>
      <c r="ND17" s="274">
        <f t="shared" si="7"/>
        <v>5405243125.0500002</v>
      </c>
      <c r="NE17" s="274">
        <f t="shared" si="7"/>
        <v>690910555.63000011</v>
      </c>
      <c r="NF17" s="274">
        <f t="shared" si="7"/>
        <v>128399111.75000001</v>
      </c>
      <c r="NG17" s="274">
        <f t="shared" si="7"/>
        <v>1511971766.4000003</v>
      </c>
      <c r="NH17" s="274">
        <f t="shared" si="7"/>
        <v>99758916.220000014</v>
      </c>
      <c r="NI17" s="274">
        <f t="shared" si="7"/>
        <v>307943176.89999998</v>
      </c>
      <c r="NJ17" s="274">
        <f t="shared" si="7"/>
        <v>702813473.19000006</v>
      </c>
      <c r="NK17" s="274">
        <f t="shared" si="7"/>
        <v>619415424.41000009</v>
      </c>
      <c r="NL17" s="274">
        <f t="shared" si="7"/>
        <v>42883452.419999994</v>
      </c>
      <c r="NM17" s="274">
        <f t="shared" si="7"/>
        <v>307035897.26999992</v>
      </c>
      <c r="NN17" s="274">
        <f t="shared" si="7"/>
        <v>197923694</v>
      </c>
      <c r="NO17" s="274">
        <f t="shared" si="7"/>
        <v>126139190.16</v>
      </c>
      <c r="NP17" s="274">
        <f t="shared" si="7"/>
        <v>1006745950.1700002</v>
      </c>
      <c r="NQ17" s="274">
        <f t="shared" si="7"/>
        <v>116283242.47000001</v>
      </c>
      <c r="NR17" s="274">
        <f t="shared" si="7"/>
        <v>111994895.37</v>
      </c>
      <c r="NS17" s="274">
        <f t="shared" si="7"/>
        <v>113149126.42569999</v>
      </c>
      <c r="NT17" s="274">
        <f t="shared" si="7"/>
        <v>96020607.710000008</v>
      </c>
      <c r="NU17" s="274">
        <f t="shared" si="7"/>
        <v>29092741.950000003</v>
      </c>
      <c r="NV17" s="274">
        <f t="shared" si="7"/>
        <v>58416757.190000005</v>
      </c>
      <c r="NW17" s="274">
        <f t="shared" si="7"/>
        <v>3203186276.1900001</v>
      </c>
      <c r="NX17" s="274">
        <f t="shared" ref="NX17:QI17" si="8">SUM(NX5:NX16)</f>
        <v>642794441.86000013</v>
      </c>
      <c r="NY17" s="274">
        <f t="shared" si="8"/>
        <v>118013983.49999997</v>
      </c>
      <c r="NZ17" s="274">
        <f t="shared" si="8"/>
        <v>103782922.12</v>
      </c>
      <c r="OA17" s="274">
        <f t="shared" si="8"/>
        <v>134704168.33000004</v>
      </c>
      <c r="OB17" s="274">
        <f t="shared" si="8"/>
        <v>208686955.47</v>
      </c>
      <c r="OC17" s="274">
        <f t="shared" si="8"/>
        <v>81191767.260000005</v>
      </c>
      <c r="OD17" s="274">
        <f t="shared" si="8"/>
        <v>2479439005.0799994</v>
      </c>
      <c r="OE17" s="274">
        <f t="shared" si="8"/>
        <v>512486880.37000006</v>
      </c>
      <c r="OF17" s="274">
        <f t="shared" si="8"/>
        <v>189965802.68999997</v>
      </c>
      <c r="OG17" s="274">
        <f t="shared" si="8"/>
        <v>608388641.75000012</v>
      </c>
      <c r="OH17" s="274">
        <f t="shared" si="8"/>
        <v>172235320.17000002</v>
      </c>
      <c r="OI17" s="274">
        <f t="shared" si="8"/>
        <v>264082577.51000005</v>
      </c>
      <c r="OJ17" s="274">
        <f t="shared" si="8"/>
        <v>332382910.78999996</v>
      </c>
      <c r="OK17" s="274">
        <f t="shared" si="8"/>
        <v>86107624.989999995</v>
      </c>
      <c r="OL17" s="274">
        <f t="shared" si="8"/>
        <v>110656266.41999999</v>
      </c>
      <c r="OM17" s="274">
        <f t="shared" si="8"/>
        <v>2957360343.7799997</v>
      </c>
      <c r="ON17" s="274">
        <f t="shared" si="8"/>
        <v>436563548.64999998</v>
      </c>
      <c r="OO17" s="274">
        <f t="shared" si="8"/>
        <v>856876247.16000009</v>
      </c>
      <c r="OP17" s="274">
        <f t="shared" si="8"/>
        <v>255023724.37</v>
      </c>
      <c r="OQ17" s="274">
        <f t="shared" si="8"/>
        <v>217121501.76000002</v>
      </c>
      <c r="OR17" s="274">
        <f t="shared" si="8"/>
        <v>129155794.50000001</v>
      </c>
      <c r="OS17" s="274">
        <f t="shared" si="8"/>
        <v>1433427607.8500004</v>
      </c>
      <c r="OT17" s="274">
        <f t="shared" si="8"/>
        <v>103446525.75999999</v>
      </c>
      <c r="OU17" s="274">
        <f t="shared" si="8"/>
        <v>132136763.53000003</v>
      </c>
      <c r="OV17" s="274">
        <f t="shared" si="8"/>
        <v>212025707.63000005</v>
      </c>
      <c r="OW17" s="274">
        <f t="shared" si="8"/>
        <v>226199060.74000004</v>
      </c>
      <c r="OX17" s="274">
        <f t="shared" si="8"/>
        <v>792607961.3900001</v>
      </c>
      <c r="OY17" s="274">
        <f t="shared" si="8"/>
        <v>132617995.65999997</v>
      </c>
      <c r="OZ17" s="274">
        <f t="shared" si="8"/>
        <v>102038041.12000002</v>
      </c>
      <c r="PA17" s="274">
        <f t="shared" si="8"/>
        <v>111970660.42000002</v>
      </c>
      <c r="PB17" s="274">
        <f t="shared" si="8"/>
        <v>1769477588.4000001</v>
      </c>
      <c r="PC17" s="274">
        <f t="shared" si="8"/>
        <v>91073746.890000001</v>
      </c>
      <c r="PD17" s="274">
        <f t="shared" si="8"/>
        <v>280792542.55999994</v>
      </c>
      <c r="PE17" s="274">
        <f t="shared" si="8"/>
        <v>79980702.200000003</v>
      </c>
      <c r="PF17" s="274">
        <f t="shared" si="8"/>
        <v>191089438.63</v>
      </c>
      <c r="PG17" s="274">
        <f t="shared" si="8"/>
        <v>451345737.31999999</v>
      </c>
      <c r="PH17" s="274">
        <f t="shared" si="8"/>
        <v>113177570.26000002</v>
      </c>
      <c r="PI17" s="274">
        <f t="shared" si="8"/>
        <v>136630191.47000003</v>
      </c>
      <c r="PJ17" s="274">
        <f t="shared" si="8"/>
        <v>157421134.63999996</v>
      </c>
      <c r="PK17" s="274">
        <f t="shared" si="8"/>
        <v>143166115.85000002</v>
      </c>
      <c r="PL17" s="274">
        <f t="shared" si="8"/>
        <v>180553466.31000003</v>
      </c>
      <c r="PM17" s="274">
        <f t="shared" si="8"/>
        <v>264318535.72</v>
      </c>
      <c r="PN17" s="274">
        <f t="shared" si="8"/>
        <v>103140932.76000002</v>
      </c>
      <c r="PO17" s="274">
        <f t="shared" si="8"/>
        <v>508222877.64000005</v>
      </c>
      <c r="PP17" s="274">
        <f t="shared" si="8"/>
        <v>80038834.220000014</v>
      </c>
      <c r="PQ17" s="274">
        <f t="shared" si="8"/>
        <v>75756219.12999998</v>
      </c>
      <c r="PR17" s="274">
        <f t="shared" si="8"/>
        <v>49808145.530000009</v>
      </c>
      <c r="PS17" s="274">
        <f t="shared" si="8"/>
        <v>85496532.810000017</v>
      </c>
      <c r="PT17" s="274">
        <f t="shared" si="8"/>
        <v>3681447042.7599993</v>
      </c>
      <c r="PU17" s="274">
        <f t="shared" si="8"/>
        <v>119752045.44999999</v>
      </c>
      <c r="PV17" s="274">
        <f t="shared" si="8"/>
        <v>130693419.85999998</v>
      </c>
      <c r="PW17" s="274">
        <f t="shared" si="8"/>
        <v>188830409.36000004</v>
      </c>
      <c r="PX17" s="274">
        <f t="shared" si="8"/>
        <v>894499601.3900001</v>
      </c>
      <c r="PY17" s="274">
        <f t="shared" si="8"/>
        <v>158501328.24999997</v>
      </c>
      <c r="PZ17" s="274">
        <f t="shared" si="8"/>
        <v>278739922.71000004</v>
      </c>
      <c r="QA17" s="274">
        <f t="shared" si="8"/>
        <v>126896222.52</v>
      </c>
      <c r="QB17" s="274">
        <f t="shared" si="8"/>
        <v>354693356.77999997</v>
      </c>
      <c r="QC17" s="274">
        <f t="shared" si="8"/>
        <v>83708449.700000003</v>
      </c>
      <c r="QD17" s="274">
        <f t="shared" si="8"/>
        <v>376797905.65999997</v>
      </c>
      <c r="QE17" s="274">
        <f t="shared" si="8"/>
        <v>99396287.900000021</v>
      </c>
      <c r="QF17" s="274">
        <f t="shared" si="8"/>
        <v>127941486.62999997</v>
      </c>
      <c r="QG17" s="274">
        <f t="shared" si="8"/>
        <v>173189681.96000001</v>
      </c>
      <c r="QH17" s="274">
        <f t="shared" si="8"/>
        <v>175677676.79000005</v>
      </c>
      <c r="QI17" s="274">
        <f t="shared" si="8"/>
        <v>211502988.86000001</v>
      </c>
      <c r="QJ17" s="274">
        <f t="shared" ref="QJ17:SU17" si="9">SUM(QJ5:QJ16)</f>
        <v>104931293.29999998</v>
      </c>
      <c r="QK17" s="274">
        <f t="shared" si="9"/>
        <v>119738801.60000002</v>
      </c>
      <c r="QL17" s="274">
        <f t="shared" si="9"/>
        <v>82520733.700000018</v>
      </c>
      <c r="QM17" s="274">
        <f t="shared" si="9"/>
        <v>300494729.75</v>
      </c>
      <c r="QN17" s="274">
        <f t="shared" si="9"/>
        <v>392329806.65999991</v>
      </c>
      <c r="QO17" s="274">
        <f t="shared" si="9"/>
        <v>91798937.430000007</v>
      </c>
      <c r="QP17" s="274">
        <f t="shared" si="9"/>
        <v>49434730.490000002</v>
      </c>
      <c r="QQ17" s="274">
        <f t="shared" si="9"/>
        <v>32907594.829999998</v>
      </c>
      <c r="QR17" s="274">
        <f t="shared" si="9"/>
        <v>54561311.800000004</v>
      </c>
      <c r="QS17" s="274">
        <f t="shared" si="9"/>
        <v>38434227.879999995</v>
      </c>
      <c r="QT17" s="274">
        <f t="shared" si="9"/>
        <v>2114224940.9199996</v>
      </c>
      <c r="QU17" s="274">
        <f t="shared" si="9"/>
        <v>100487110.19</v>
      </c>
      <c r="QV17" s="274">
        <f t="shared" si="9"/>
        <v>349869520.5</v>
      </c>
      <c r="QW17" s="274">
        <f t="shared" si="9"/>
        <v>140906678.35000002</v>
      </c>
      <c r="QX17" s="274">
        <f t="shared" si="9"/>
        <v>144543084.44000003</v>
      </c>
      <c r="QY17" s="274">
        <f t="shared" si="9"/>
        <v>356631783.79999995</v>
      </c>
      <c r="QZ17" s="274">
        <f t="shared" si="9"/>
        <v>143017279.53</v>
      </c>
      <c r="RA17" s="274">
        <f t="shared" si="9"/>
        <v>323576004.13999999</v>
      </c>
      <c r="RB17" s="274">
        <f t="shared" si="9"/>
        <v>263837673.22999999</v>
      </c>
      <c r="RC17" s="274">
        <f t="shared" si="9"/>
        <v>97202114.620000005</v>
      </c>
      <c r="RD17" s="274">
        <f t="shared" si="9"/>
        <v>103295419.41</v>
      </c>
      <c r="RE17" s="274">
        <f t="shared" si="9"/>
        <v>114538809.60000001</v>
      </c>
      <c r="RF17" s="274">
        <f t="shared" si="9"/>
        <v>61075870.579999998</v>
      </c>
      <c r="RG17" s="274">
        <f t="shared" si="9"/>
        <v>3034994991.3800006</v>
      </c>
      <c r="RH17" s="274">
        <f t="shared" si="9"/>
        <v>377131209.07999998</v>
      </c>
      <c r="RI17" s="274">
        <f t="shared" si="9"/>
        <v>148091044.36000001</v>
      </c>
      <c r="RJ17" s="274">
        <f t="shared" si="9"/>
        <v>197600302.38</v>
      </c>
      <c r="RK17" s="274">
        <f t="shared" si="9"/>
        <v>219669310.76999998</v>
      </c>
      <c r="RL17" s="274">
        <f t="shared" si="9"/>
        <v>229985747.34999993</v>
      </c>
      <c r="RM17" s="274">
        <f t="shared" si="9"/>
        <v>428486287.64999998</v>
      </c>
      <c r="RN17" s="274">
        <f t="shared" si="9"/>
        <v>137463500.66</v>
      </c>
      <c r="RO17" s="274">
        <f t="shared" si="9"/>
        <v>171518148.27999997</v>
      </c>
      <c r="RP17" s="274">
        <f t="shared" si="9"/>
        <v>375823779.22999984</v>
      </c>
      <c r="RQ17" s="274">
        <f t="shared" si="9"/>
        <v>472566178.97999996</v>
      </c>
      <c r="RR17" s="274">
        <f t="shared" si="9"/>
        <v>100681678.72999999</v>
      </c>
      <c r="RS17" s="274">
        <f t="shared" si="9"/>
        <v>95868165.519999981</v>
      </c>
      <c r="RT17" s="274">
        <f t="shared" si="9"/>
        <v>146457745.66999999</v>
      </c>
      <c r="RU17" s="274">
        <f t="shared" si="9"/>
        <v>81811234.960000008</v>
      </c>
      <c r="RV17" s="274">
        <f t="shared" si="9"/>
        <v>109218480.91000001</v>
      </c>
      <c r="RW17" s="274">
        <f t="shared" si="9"/>
        <v>147385616.42000002</v>
      </c>
      <c r="RX17" s="274">
        <f t="shared" si="9"/>
        <v>105137981.07000001</v>
      </c>
      <c r="RY17" s="274">
        <f t="shared" si="9"/>
        <v>48890459.540000007</v>
      </c>
      <c r="RZ17" s="274">
        <f t="shared" si="9"/>
        <v>83660866.949999988</v>
      </c>
      <c r="SA17" s="274">
        <f t="shared" si="9"/>
        <v>1038603592.0699999</v>
      </c>
      <c r="SB17" s="274">
        <f t="shared" si="9"/>
        <v>147832011.36000001</v>
      </c>
      <c r="SC17" s="274">
        <f t="shared" si="9"/>
        <v>133004994.19000003</v>
      </c>
      <c r="SD17" s="274">
        <f t="shared" si="9"/>
        <v>114758536.46000001</v>
      </c>
      <c r="SE17" s="274">
        <f t="shared" si="9"/>
        <v>91450848.949999988</v>
      </c>
      <c r="SF17" s="274">
        <f t="shared" si="9"/>
        <v>133787336.65000001</v>
      </c>
      <c r="SG17" s="274">
        <f t="shared" si="9"/>
        <v>163588157.17999998</v>
      </c>
      <c r="SH17" s="274">
        <f t="shared" si="9"/>
        <v>258387458.09</v>
      </c>
      <c r="SI17" s="274">
        <f t="shared" si="9"/>
        <v>133518994.5</v>
      </c>
      <c r="SJ17" s="274">
        <f t="shared" si="9"/>
        <v>167272529.21999997</v>
      </c>
      <c r="SK17" s="274">
        <f t="shared" si="9"/>
        <v>338447778.32999998</v>
      </c>
      <c r="SL17" s="274">
        <f t="shared" si="9"/>
        <v>50021900.209999993</v>
      </c>
      <c r="SM17" s="274">
        <f t="shared" si="9"/>
        <v>824278223.68000007</v>
      </c>
      <c r="SN17" s="274">
        <f t="shared" si="9"/>
        <v>133099598.49000001</v>
      </c>
      <c r="SO17" s="274">
        <f t="shared" si="9"/>
        <v>165926217.24000001</v>
      </c>
      <c r="SP17" s="274">
        <f t="shared" si="9"/>
        <v>235115879.95999998</v>
      </c>
      <c r="SQ17" s="274">
        <f t="shared" si="9"/>
        <v>129099058.13999999</v>
      </c>
      <c r="SR17" s="274">
        <f t="shared" si="9"/>
        <v>131320361.68000002</v>
      </c>
      <c r="SS17" s="274">
        <f t="shared" si="9"/>
        <v>139045796.35999995</v>
      </c>
      <c r="ST17" s="274">
        <f t="shared" si="9"/>
        <v>62295599.799999997</v>
      </c>
      <c r="SU17" s="274">
        <f t="shared" si="9"/>
        <v>1333312251.5300002</v>
      </c>
      <c r="SV17" s="274">
        <f t="shared" ref="SV17:VG17" si="10">SUM(SV5:SV16)</f>
        <v>99548656.799999997</v>
      </c>
      <c r="SW17" s="274">
        <f t="shared" si="10"/>
        <v>162377339.51000002</v>
      </c>
      <c r="SX17" s="274">
        <f t="shared" si="10"/>
        <v>106390237.16999999</v>
      </c>
      <c r="SY17" s="274">
        <f t="shared" si="10"/>
        <v>59629011.319999993</v>
      </c>
      <c r="SZ17" s="274">
        <f t="shared" si="10"/>
        <v>83092898.63000001</v>
      </c>
      <c r="TA17" s="274">
        <f t="shared" si="10"/>
        <v>90883773.290000007</v>
      </c>
      <c r="TB17" s="274">
        <f t="shared" si="10"/>
        <v>317934998.98999995</v>
      </c>
      <c r="TC17" s="274">
        <f t="shared" si="10"/>
        <v>89014714.810000002</v>
      </c>
      <c r="TD17" s="274">
        <f t="shared" si="10"/>
        <v>96876858.110000014</v>
      </c>
      <c r="TE17" s="274">
        <f t="shared" si="10"/>
        <v>137706029.14000005</v>
      </c>
      <c r="TF17" s="274">
        <f t="shared" si="10"/>
        <v>192110628.10999998</v>
      </c>
      <c r="TG17" s="274">
        <f t="shared" si="10"/>
        <v>101148213.84</v>
      </c>
      <c r="TH17" s="274">
        <f t="shared" si="10"/>
        <v>69717312.280000001</v>
      </c>
      <c r="TI17" s="274">
        <f t="shared" si="10"/>
        <v>2571739429.6700001</v>
      </c>
      <c r="TJ17" s="274">
        <f t="shared" si="10"/>
        <v>160413752.85000002</v>
      </c>
      <c r="TK17" s="274">
        <f t="shared" si="10"/>
        <v>88752226.88000001</v>
      </c>
      <c r="TL17" s="274">
        <f t="shared" si="10"/>
        <v>256947598.74999997</v>
      </c>
      <c r="TM17" s="274">
        <f t="shared" si="10"/>
        <v>203555905.79000005</v>
      </c>
      <c r="TN17" s="274">
        <f t="shared" si="10"/>
        <v>134277967.64999998</v>
      </c>
      <c r="TO17" s="274">
        <f t="shared" si="10"/>
        <v>56761970.919999987</v>
      </c>
      <c r="TP17" s="274">
        <f t="shared" si="10"/>
        <v>605577526.28999996</v>
      </c>
      <c r="TQ17" s="274">
        <f t="shared" si="10"/>
        <v>133496507.46000002</v>
      </c>
      <c r="TR17" s="274">
        <f t="shared" si="10"/>
        <v>226813520.33000004</v>
      </c>
      <c r="TS17" s="274">
        <f t="shared" si="10"/>
        <v>268118242.93000004</v>
      </c>
      <c r="TT17" s="274">
        <f t="shared" si="10"/>
        <v>115166556.58000001</v>
      </c>
      <c r="TU17" s="274">
        <f t="shared" si="10"/>
        <v>78899927.840000004</v>
      </c>
      <c r="TV17" s="274">
        <f t="shared" si="10"/>
        <v>135309952.76000002</v>
      </c>
      <c r="TW17" s="274">
        <f t="shared" si="10"/>
        <v>101870550.67999999</v>
      </c>
      <c r="TX17" s="274">
        <f t="shared" si="10"/>
        <v>141297599.34999999</v>
      </c>
      <c r="TY17" s="274">
        <f t="shared" si="10"/>
        <v>701254382.09000015</v>
      </c>
      <c r="TZ17" s="274">
        <f t="shared" si="10"/>
        <v>122241306.72999999</v>
      </c>
      <c r="UA17" s="274">
        <f t="shared" si="10"/>
        <v>1212980188.23</v>
      </c>
      <c r="UB17" s="274">
        <f t="shared" si="10"/>
        <v>299602983.53000003</v>
      </c>
      <c r="UC17" s="274">
        <f t="shared" si="10"/>
        <v>99119808.090000018</v>
      </c>
      <c r="UD17" s="274">
        <f t="shared" si="10"/>
        <v>114498966.83</v>
      </c>
      <c r="UE17" s="274">
        <f t="shared" si="10"/>
        <v>793354292.48000002</v>
      </c>
      <c r="UF17" s="274">
        <f t="shared" si="10"/>
        <v>84594878.220000014</v>
      </c>
      <c r="UG17" s="274">
        <f t="shared" si="10"/>
        <v>54789212.550000004</v>
      </c>
      <c r="UH17" s="274">
        <f t="shared" si="10"/>
        <v>75994407.620000005</v>
      </c>
      <c r="UI17" s="274">
        <f t="shared" si="10"/>
        <v>86378283.190000013</v>
      </c>
      <c r="UJ17" s="274">
        <f t="shared" si="10"/>
        <v>942876440.53999984</v>
      </c>
      <c r="UK17" s="274">
        <f t="shared" si="10"/>
        <v>219407884.51999998</v>
      </c>
      <c r="UL17" s="274">
        <f t="shared" si="10"/>
        <v>165121353.81999999</v>
      </c>
      <c r="UM17" s="274">
        <f t="shared" si="10"/>
        <v>226359559.63</v>
      </c>
      <c r="UN17" s="274">
        <f t="shared" si="10"/>
        <v>174725316.12000003</v>
      </c>
      <c r="UO17" s="274">
        <f t="shared" si="10"/>
        <v>128017510.80999999</v>
      </c>
      <c r="UP17" s="274">
        <f t="shared" si="10"/>
        <v>4232193371.8800001</v>
      </c>
      <c r="UQ17" s="274">
        <f t="shared" si="10"/>
        <v>184561770.97999996</v>
      </c>
      <c r="UR17" s="274">
        <f t="shared" si="10"/>
        <v>168574424.75000003</v>
      </c>
      <c r="US17" s="274">
        <f t="shared" si="10"/>
        <v>746907387.76999998</v>
      </c>
      <c r="UT17" s="274">
        <f t="shared" si="10"/>
        <v>62625984.559999995</v>
      </c>
      <c r="UU17" s="274">
        <f t="shared" si="10"/>
        <v>140557611.28999999</v>
      </c>
      <c r="UV17" s="274">
        <f t="shared" si="10"/>
        <v>417573558.82999992</v>
      </c>
      <c r="UW17" s="274">
        <f t="shared" si="10"/>
        <v>102928792.08000003</v>
      </c>
      <c r="UX17" s="274">
        <f t="shared" si="10"/>
        <v>109951741.72</v>
      </c>
      <c r="UY17" s="274">
        <f t="shared" si="10"/>
        <v>133655243.78999999</v>
      </c>
      <c r="UZ17" s="274">
        <f t="shared" si="10"/>
        <v>168565934.04999998</v>
      </c>
      <c r="VA17" s="274">
        <f t="shared" si="10"/>
        <v>365224303.80000001</v>
      </c>
      <c r="VB17" s="274">
        <f t="shared" si="10"/>
        <v>184613328.59999999</v>
      </c>
      <c r="VC17" s="274">
        <f t="shared" si="10"/>
        <v>293859441.5800001</v>
      </c>
      <c r="VD17" s="274">
        <f t="shared" si="10"/>
        <v>85835073.439999998</v>
      </c>
      <c r="VE17" s="274">
        <f t="shared" si="10"/>
        <v>86569840.029999986</v>
      </c>
      <c r="VF17" s="274">
        <f t="shared" si="10"/>
        <v>74519663.760000005</v>
      </c>
      <c r="VG17" s="274">
        <f t="shared" si="10"/>
        <v>90351147.700000003</v>
      </c>
      <c r="VH17" s="274">
        <f t="shared" ref="VH17:XS17" si="11">SUM(VH5:VH16)</f>
        <v>408165867.90999997</v>
      </c>
      <c r="VI17" s="274">
        <f t="shared" si="11"/>
        <v>78146249.63000001</v>
      </c>
      <c r="VJ17" s="274">
        <f t="shared" si="11"/>
        <v>75617026.150000006</v>
      </c>
      <c r="VK17" s="274">
        <f t="shared" si="11"/>
        <v>51520522.499999993</v>
      </c>
      <c r="VL17" s="274">
        <f t="shared" si="11"/>
        <v>1935128286.3899999</v>
      </c>
      <c r="VM17" s="274">
        <f t="shared" si="11"/>
        <v>134950706.86000001</v>
      </c>
      <c r="VN17" s="274">
        <f t="shared" si="11"/>
        <v>138682692.93000001</v>
      </c>
      <c r="VO17" s="274">
        <f t="shared" si="11"/>
        <v>239972409.13</v>
      </c>
      <c r="VP17" s="274">
        <f t="shared" si="11"/>
        <v>292706650.22000003</v>
      </c>
      <c r="VQ17" s="274">
        <f t="shared" si="11"/>
        <v>235780139.81999999</v>
      </c>
      <c r="VR17" s="274">
        <f t="shared" si="11"/>
        <v>188486565.69</v>
      </c>
      <c r="VS17" s="274">
        <f t="shared" si="11"/>
        <v>136075610.19999999</v>
      </c>
      <c r="VT17" s="274">
        <f t="shared" si="11"/>
        <v>138336412.05000001</v>
      </c>
      <c r="VU17" s="274">
        <f t="shared" si="11"/>
        <v>671200057.06000018</v>
      </c>
      <c r="VV17" s="274">
        <f t="shared" si="11"/>
        <v>122866140.35000002</v>
      </c>
      <c r="VW17" s="274">
        <f t="shared" si="11"/>
        <v>424846279.45000011</v>
      </c>
      <c r="VX17" s="274">
        <f t="shared" si="11"/>
        <v>151979522.91999999</v>
      </c>
      <c r="VY17" s="274">
        <f t="shared" si="11"/>
        <v>106281406.19999997</v>
      </c>
      <c r="VZ17" s="274">
        <f t="shared" si="11"/>
        <v>91682169.689999983</v>
      </c>
      <c r="WA17" s="274">
        <f t="shared" si="11"/>
        <v>6684549520.8599997</v>
      </c>
      <c r="WB17" s="274">
        <f t="shared" si="11"/>
        <v>271646783.19999999</v>
      </c>
      <c r="WC17" s="274">
        <f t="shared" si="11"/>
        <v>180291006.31999999</v>
      </c>
      <c r="WD17" s="274">
        <f t="shared" si="11"/>
        <v>161906452.38999996</v>
      </c>
      <c r="WE17" s="274">
        <f t="shared" si="11"/>
        <v>110256924.58000003</v>
      </c>
      <c r="WF17" s="274">
        <f t="shared" si="11"/>
        <v>178909841.39999998</v>
      </c>
      <c r="WG17" s="274">
        <f t="shared" si="11"/>
        <v>290486064.65999997</v>
      </c>
      <c r="WH17" s="274">
        <f t="shared" si="11"/>
        <v>329133206.06000006</v>
      </c>
      <c r="WI17" s="274">
        <f t="shared" si="11"/>
        <v>189906916.34999996</v>
      </c>
      <c r="WJ17" s="274">
        <f t="shared" si="11"/>
        <v>257425784.39000005</v>
      </c>
      <c r="WK17" s="274">
        <f t="shared" si="11"/>
        <v>147139971.55000001</v>
      </c>
      <c r="WL17" s="274">
        <f t="shared" si="11"/>
        <v>438368281.31099999</v>
      </c>
      <c r="WM17" s="274">
        <f t="shared" si="11"/>
        <v>200046699.46000001</v>
      </c>
      <c r="WN17" s="274">
        <f t="shared" si="11"/>
        <v>298999288.91999996</v>
      </c>
      <c r="WO17" s="274">
        <f t="shared" si="11"/>
        <v>491357777.86999995</v>
      </c>
      <c r="WP17" s="274">
        <f t="shared" si="11"/>
        <v>206394828.18999997</v>
      </c>
      <c r="WQ17" s="274">
        <f t="shared" si="11"/>
        <v>207817418.77999997</v>
      </c>
      <c r="WR17" s="274">
        <f t="shared" si="11"/>
        <v>238784331.37000003</v>
      </c>
      <c r="WS17" s="274">
        <f t="shared" si="11"/>
        <v>120648777.19999996</v>
      </c>
      <c r="WT17" s="274">
        <f t="shared" si="11"/>
        <v>362930757.45999986</v>
      </c>
      <c r="WU17" s="274">
        <f t="shared" si="11"/>
        <v>1001517624.8800001</v>
      </c>
      <c r="WV17" s="274">
        <f t="shared" si="11"/>
        <v>157117033.10000002</v>
      </c>
      <c r="WW17" s="274">
        <f t="shared" si="11"/>
        <v>116251703.88000001</v>
      </c>
      <c r="WX17" s="274">
        <f t="shared" si="11"/>
        <v>98791102.320000008</v>
      </c>
      <c r="WY17" s="274">
        <f t="shared" si="11"/>
        <v>136513813.05000001</v>
      </c>
      <c r="WZ17" s="274">
        <f t="shared" si="11"/>
        <v>118534386.63999999</v>
      </c>
      <c r="XA17" s="274">
        <f t="shared" si="11"/>
        <v>93140858.060000017</v>
      </c>
      <c r="XB17" s="274">
        <f t="shared" si="11"/>
        <v>109313319.76000001</v>
      </c>
      <c r="XC17" s="274">
        <f t="shared" si="11"/>
        <v>802686433.44999993</v>
      </c>
      <c r="XD17" s="274">
        <f t="shared" si="11"/>
        <v>70859408.139999986</v>
      </c>
      <c r="XE17" s="274">
        <f t="shared" si="11"/>
        <v>60274676.68999999</v>
      </c>
      <c r="XF17" s="274">
        <f t="shared" si="11"/>
        <v>56043856.519999996</v>
      </c>
      <c r="XG17" s="274">
        <f t="shared" si="11"/>
        <v>65189843.429999992</v>
      </c>
      <c r="XH17" s="274">
        <f t="shared" si="11"/>
        <v>3249418218.73</v>
      </c>
      <c r="XI17" s="274">
        <f t="shared" si="11"/>
        <v>279609252.44999999</v>
      </c>
      <c r="XJ17" s="274">
        <f t="shared" si="11"/>
        <v>252004141.98000002</v>
      </c>
      <c r="XK17" s="274">
        <f t="shared" si="11"/>
        <v>848049808.65999985</v>
      </c>
      <c r="XL17" s="274">
        <f t="shared" si="11"/>
        <v>227963530.76999998</v>
      </c>
      <c r="XM17" s="274">
        <f t="shared" si="11"/>
        <v>266591759.97</v>
      </c>
      <c r="XN17" s="274">
        <f t="shared" si="11"/>
        <v>486884053.36000013</v>
      </c>
      <c r="XO17" s="274">
        <f t="shared" si="11"/>
        <v>231785824.99000001</v>
      </c>
      <c r="XP17" s="274">
        <f t="shared" si="11"/>
        <v>188114162.28000003</v>
      </c>
      <c r="XQ17" s="274">
        <f t="shared" si="11"/>
        <v>466759725.45999992</v>
      </c>
      <c r="XR17" s="274">
        <f t="shared" si="11"/>
        <v>446449080.25999993</v>
      </c>
      <c r="XS17" s="274">
        <f t="shared" si="11"/>
        <v>129020668.77999996</v>
      </c>
      <c r="XT17" s="274">
        <f t="shared" ref="XT17:AAE17" si="12">SUM(XT5:XT16)</f>
        <v>146787646.84</v>
      </c>
      <c r="XU17" s="274">
        <f t="shared" si="12"/>
        <v>185448516.60000002</v>
      </c>
      <c r="XV17" s="274">
        <f t="shared" si="12"/>
        <v>137734255.11000001</v>
      </c>
      <c r="XW17" s="274">
        <f t="shared" si="12"/>
        <v>110707565.15000001</v>
      </c>
      <c r="XX17" s="274">
        <f t="shared" si="12"/>
        <v>105028795.08</v>
      </c>
      <c r="XY17" s="274">
        <f t="shared" si="12"/>
        <v>121213665.22000001</v>
      </c>
      <c r="XZ17" s="274">
        <f t="shared" si="12"/>
        <v>99710707.650000006</v>
      </c>
      <c r="YA17" s="274">
        <f t="shared" si="12"/>
        <v>110839071.92999998</v>
      </c>
      <c r="YB17" s="274">
        <f t="shared" si="12"/>
        <v>118046041.42999999</v>
      </c>
      <c r="YC17" s="274">
        <f t="shared" si="12"/>
        <v>100223365.89999998</v>
      </c>
      <c r="YD17" s="274">
        <f t="shared" si="12"/>
        <v>100321105.28999999</v>
      </c>
      <c r="YE17" s="274">
        <f t="shared" si="12"/>
        <v>3250344172.1800003</v>
      </c>
      <c r="YF17" s="274">
        <f t="shared" si="12"/>
        <v>186032693.77000007</v>
      </c>
      <c r="YG17" s="274">
        <f t="shared" si="12"/>
        <v>381852574.95000011</v>
      </c>
      <c r="YH17" s="274">
        <f t="shared" si="12"/>
        <v>173793772.85000002</v>
      </c>
      <c r="YI17" s="274">
        <f t="shared" si="12"/>
        <v>761173120.41999996</v>
      </c>
      <c r="YJ17" s="274">
        <f t="shared" si="12"/>
        <v>269776484.92999995</v>
      </c>
      <c r="YK17" s="274">
        <f t="shared" si="12"/>
        <v>380720852.3300001</v>
      </c>
      <c r="YL17" s="274">
        <f t="shared" si="12"/>
        <v>132827052.34999999</v>
      </c>
      <c r="YM17" s="274">
        <f t="shared" si="12"/>
        <v>849458790.13000011</v>
      </c>
      <c r="YN17" s="274">
        <f t="shared" si="12"/>
        <v>411921527.24000001</v>
      </c>
      <c r="YO17" s="274">
        <f t="shared" si="12"/>
        <v>218642718.07000002</v>
      </c>
      <c r="YP17" s="274">
        <f t="shared" si="12"/>
        <v>175207042.40999997</v>
      </c>
      <c r="YQ17" s="274">
        <f t="shared" si="12"/>
        <v>120649052.74999999</v>
      </c>
      <c r="YR17" s="274">
        <f t="shared" si="12"/>
        <v>131171218.78999999</v>
      </c>
      <c r="YS17" s="274">
        <f t="shared" si="12"/>
        <v>109289110.47999997</v>
      </c>
      <c r="YT17" s="274">
        <f t="shared" si="12"/>
        <v>138959095.13000003</v>
      </c>
      <c r="YU17" s="274">
        <f t="shared" si="12"/>
        <v>118512800.15999997</v>
      </c>
      <c r="YV17" s="274">
        <f t="shared" si="12"/>
        <v>1139826181.5300002</v>
      </c>
      <c r="YW17" s="274">
        <f t="shared" si="12"/>
        <v>156813811.92000002</v>
      </c>
      <c r="YX17" s="274">
        <f t="shared" si="12"/>
        <v>139648304.63</v>
      </c>
      <c r="YY17" s="274">
        <f t="shared" si="12"/>
        <v>122039555.78000002</v>
      </c>
      <c r="YZ17" s="274">
        <f t="shared" si="12"/>
        <v>155145491.51999998</v>
      </c>
      <c r="ZA17" s="274">
        <f t="shared" si="12"/>
        <v>83245781.609999999</v>
      </c>
      <c r="ZB17" s="274">
        <f t="shared" si="12"/>
        <v>92591577.770000026</v>
      </c>
      <c r="ZC17" s="274">
        <f t="shared" si="12"/>
        <v>1203853274.9599998</v>
      </c>
      <c r="ZD17" s="274">
        <f t="shared" si="12"/>
        <v>98866980.359999999</v>
      </c>
      <c r="ZE17" s="274">
        <f t="shared" si="12"/>
        <v>156488561.19</v>
      </c>
      <c r="ZF17" s="274">
        <f t="shared" si="12"/>
        <v>191793442.73000002</v>
      </c>
      <c r="ZG17" s="274">
        <f t="shared" si="12"/>
        <v>103504526.09</v>
      </c>
      <c r="ZH17" s="274">
        <f t="shared" si="12"/>
        <v>147695950.72</v>
      </c>
      <c r="ZI17" s="274">
        <f t="shared" si="12"/>
        <v>98395301.25999999</v>
      </c>
      <c r="ZJ17" s="274">
        <f t="shared" si="12"/>
        <v>87238609.810000002</v>
      </c>
      <c r="ZK17" s="274">
        <f t="shared" si="12"/>
        <v>362580999.77999997</v>
      </c>
      <c r="ZL17" s="274">
        <f t="shared" si="12"/>
        <v>2287277384.96</v>
      </c>
      <c r="ZM17" s="274">
        <f t="shared" si="12"/>
        <v>108880044.46000002</v>
      </c>
      <c r="ZN17" s="274">
        <f t="shared" si="12"/>
        <v>268306914.54999998</v>
      </c>
      <c r="ZO17" s="274">
        <f t="shared" si="12"/>
        <v>692388167.09999979</v>
      </c>
      <c r="ZP17" s="274">
        <f t="shared" si="12"/>
        <v>326424376.27999997</v>
      </c>
      <c r="ZQ17" s="274">
        <f t="shared" si="12"/>
        <v>113988241.29000002</v>
      </c>
      <c r="ZR17" s="274">
        <f t="shared" si="12"/>
        <v>151147371.22999999</v>
      </c>
      <c r="ZS17" s="274">
        <f t="shared" si="12"/>
        <v>267589291.47</v>
      </c>
      <c r="ZT17" s="274">
        <f t="shared" si="12"/>
        <v>300039500.98000002</v>
      </c>
      <c r="ZU17" s="274">
        <f t="shared" si="12"/>
        <v>337634440.63999999</v>
      </c>
      <c r="ZV17" s="274">
        <f t="shared" si="12"/>
        <v>83199323.310000017</v>
      </c>
      <c r="ZW17" s="274">
        <f t="shared" si="12"/>
        <v>134469921.29000002</v>
      </c>
      <c r="ZX17" s="274">
        <f t="shared" si="12"/>
        <v>123391512.38</v>
      </c>
      <c r="ZY17" s="274">
        <f t="shared" si="12"/>
        <v>170788108.05000004</v>
      </c>
      <c r="ZZ17" s="274">
        <f t="shared" si="12"/>
        <v>122149615.97</v>
      </c>
      <c r="AAA17" s="274">
        <f t="shared" si="12"/>
        <v>117730187.71000001</v>
      </c>
      <c r="AAB17" s="274">
        <f t="shared" si="12"/>
        <v>137418302.32999998</v>
      </c>
      <c r="AAC17" s="274">
        <f t="shared" si="12"/>
        <v>92758941.589999989</v>
      </c>
      <c r="AAD17" s="274">
        <f t="shared" si="12"/>
        <v>150622592.33000001</v>
      </c>
      <c r="AAE17" s="274">
        <f t="shared" si="12"/>
        <v>112005186.34999999</v>
      </c>
      <c r="AAF17" s="274">
        <f t="shared" ref="AAF17:ACQ17" si="13">SUM(AAF5:AAF16)</f>
        <v>90407704.350000009</v>
      </c>
      <c r="AAG17" s="274">
        <f t="shared" si="13"/>
        <v>60518468.739999995</v>
      </c>
      <c r="AAH17" s="274">
        <f t="shared" si="13"/>
        <v>1170096173.1099999</v>
      </c>
      <c r="AAI17" s="274">
        <f t="shared" si="13"/>
        <v>100829278.55</v>
      </c>
      <c r="AAJ17" s="274">
        <f t="shared" si="13"/>
        <v>122976942.39999999</v>
      </c>
      <c r="AAK17" s="274">
        <f t="shared" si="13"/>
        <v>107588859.55999999</v>
      </c>
      <c r="AAL17" s="274">
        <f t="shared" si="13"/>
        <v>97325758.289999992</v>
      </c>
      <c r="AAM17" s="274">
        <f t="shared" si="13"/>
        <v>167509794.85999998</v>
      </c>
      <c r="AAN17" s="274">
        <f t="shared" si="13"/>
        <v>95059477.290000021</v>
      </c>
      <c r="AAO17" s="274">
        <f t="shared" si="13"/>
        <v>4554969069.8699999</v>
      </c>
      <c r="AAP17" s="274">
        <f t="shared" si="13"/>
        <v>151538927.41999999</v>
      </c>
      <c r="AAQ17" s="274">
        <f t="shared" si="13"/>
        <v>123771190.99000001</v>
      </c>
      <c r="AAR17" s="274">
        <f t="shared" si="13"/>
        <v>345836963.45000005</v>
      </c>
      <c r="AAS17" s="274">
        <f t="shared" si="13"/>
        <v>201351667.69</v>
      </c>
      <c r="AAT17" s="274">
        <f t="shared" si="13"/>
        <v>137543068.98000002</v>
      </c>
      <c r="AAU17" s="274">
        <f t="shared" si="13"/>
        <v>162912835.93000004</v>
      </c>
      <c r="AAV17" s="274">
        <f t="shared" si="13"/>
        <v>196265104.16000006</v>
      </c>
      <c r="AAW17" s="274">
        <f t="shared" si="13"/>
        <v>412285637.98999995</v>
      </c>
      <c r="AAX17" s="274">
        <f t="shared" si="13"/>
        <v>122580448.08999999</v>
      </c>
      <c r="AAY17" s="274">
        <f t="shared" si="13"/>
        <v>223384257.39000005</v>
      </c>
      <c r="AAZ17" s="274">
        <f t="shared" si="13"/>
        <v>697721180.18000007</v>
      </c>
      <c r="ABA17" s="274">
        <f t="shared" si="13"/>
        <v>374557709.71000004</v>
      </c>
      <c r="ABB17" s="274">
        <f t="shared" si="13"/>
        <v>99330016.770000011</v>
      </c>
      <c r="ABC17" s="274">
        <f t="shared" si="13"/>
        <v>128070523.64999999</v>
      </c>
      <c r="ABD17" s="274">
        <f t="shared" si="13"/>
        <v>124047428.65000002</v>
      </c>
      <c r="ABE17" s="274">
        <f t="shared" si="13"/>
        <v>81623304.239999995</v>
      </c>
      <c r="ABF17" s="274">
        <f t="shared" si="13"/>
        <v>139886181.78</v>
      </c>
      <c r="ABG17" s="274">
        <f t="shared" si="13"/>
        <v>84817162.190000013</v>
      </c>
      <c r="ABH17" s="274">
        <f t="shared" si="13"/>
        <v>942095625.70000005</v>
      </c>
      <c r="ABI17" s="274">
        <f t="shared" si="13"/>
        <v>733333952.66000009</v>
      </c>
      <c r="ABJ17" s="274">
        <f t="shared" si="13"/>
        <v>95686601.459999993</v>
      </c>
      <c r="ABK17" s="274">
        <f t="shared" si="13"/>
        <v>81206802.730000019</v>
      </c>
      <c r="ABL17" s="274">
        <f t="shared" si="13"/>
        <v>100714534.11</v>
      </c>
      <c r="ABM17" s="274">
        <f t="shared" si="13"/>
        <v>79306623.280000016</v>
      </c>
      <c r="ABN17" s="274">
        <f t="shared" si="13"/>
        <v>87499223.040000007</v>
      </c>
      <c r="ABO17" s="274">
        <f t="shared" si="13"/>
        <v>1223425424.1500001</v>
      </c>
      <c r="ABP17" s="274">
        <f t="shared" si="13"/>
        <v>140731742.33000001</v>
      </c>
      <c r="ABQ17" s="274">
        <f t="shared" si="13"/>
        <v>106990755.22</v>
      </c>
      <c r="ABR17" s="274">
        <f t="shared" si="13"/>
        <v>240252419.67000002</v>
      </c>
      <c r="ABS17" s="274">
        <f t="shared" si="13"/>
        <v>188218496.98000005</v>
      </c>
      <c r="ABT17" s="274">
        <f t="shared" si="13"/>
        <v>152485761.05000001</v>
      </c>
      <c r="ABU17" s="274">
        <f t="shared" si="13"/>
        <v>114483833.74000001</v>
      </c>
      <c r="ABV17" s="274">
        <f t="shared" si="13"/>
        <v>147642879.46000001</v>
      </c>
      <c r="ABW17" s="274">
        <f t="shared" si="13"/>
        <v>38388398.479999997</v>
      </c>
      <c r="ABX17" s="274">
        <f t="shared" si="13"/>
        <v>1469603030.0200002</v>
      </c>
      <c r="ABY17" s="274">
        <f t="shared" si="13"/>
        <v>127958784.89</v>
      </c>
      <c r="ABZ17" s="274">
        <f t="shared" si="13"/>
        <v>210775970.62999997</v>
      </c>
      <c r="ACA17" s="274">
        <f t="shared" si="13"/>
        <v>100683131.76999998</v>
      </c>
      <c r="ACB17" s="274">
        <f t="shared" si="13"/>
        <v>80030968.120000005</v>
      </c>
      <c r="ACC17" s="274">
        <f t="shared" si="13"/>
        <v>438442575.38</v>
      </c>
      <c r="ACD17" s="274">
        <f t="shared" si="13"/>
        <v>80884354.680000007</v>
      </c>
      <c r="ACE17" s="274">
        <f t="shared" si="13"/>
        <v>114615620.65000001</v>
      </c>
      <c r="ACF17" s="274">
        <f t="shared" si="13"/>
        <v>95057300.63000001</v>
      </c>
      <c r="ACG17" s="274">
        <f t="shared" si="13"/>
        <v>206278611.68000001</v>
      </c>
      <c r="ACH17" s="274">
        <f t="shared" si="13"/>
        <v>94944109.039999977</v>
      </c>
      <c r="ACI17" s="274">
        <f t="shared" si="13"/>
        <v>3266156836.8299994</v>
      </c>
      <c r="ACJ17" s="274">
        <f t="shared" si="13"/>
        <v>100865842.61999999</v>
      </c>
      <c r="ACK17" s="274">
        <f t="shared" si="13"/>
        <v>135904286.83000004</v>
      </c>
      <c r="ACL17" s="274">
        <f t="shared" si="13"/>
        <v>217531771.13000003</v>
      </c>
      <c r="ACM17" s="274">
        <f t="shared" si="13"/>
        <v>82384418.679999992</v>
      </c>
      <c r="ACN17" s="274">
        <f t="shared" si="13"/>
        <v>130821005.39999999</v>
      </c>
      <c r="ACO17" s="274">
        <f t="shared" si="13"/>
        <v>157573172.75</v>
      </c>
      <c r="ACP17" s="274">
        <f t="shared" si="13"/>
        <v>606751019.0999999</v>
      </c>
      <c r="ACQ17" s="274">
        <f t="shared" si="13"/>
        <v>827877343.41000021</v>
      </c>
      <c r="ACR17" s="274">
        <f t="shared" ref="ACR17:AFC17" si="14">SUM(ACR5:ACR16)</f>
        <v>104231683.36000001</v>
      </c>
      <c r="ACS17" s="274">
        <f t="shared" si="14"/>
        <v>152956287.70000002</v>
      </c>
      <c r="ACT17" s="274">
        <f t="shared" si="14"/>
        <v>218109984.61999997</v>
      </c>
      <c r="ACU17" s="274">
        <f t="shared" si="14"/>
        <v>141056429.36999997</v>
      </c>
      <c r="ACV17" s="274">
        <f t="shared" si="14"/>
        <v>926344044.66999984</v>
      </c>
      <c r="ACW17" s="274">
        <f t="shared" si="14"/>
        <v>118999709.52999999</v>
      </c>
      <c r="ACX17" s="274">
        <f t="shared" si="14"/>
        <v>141207164.69999999</v>
      </c>
      <c r="ACY17" s="274">
        <f t="shared" si="14"/>
        <v>98814750</v>
      </c>
      <c r="ACZ17" s="274">
        <f t="shared" si="14"/>
        <v>71270361.669999987</v>
      </c>
      <c r="ADA17" s="274">
        <f t="shared" si="14"/>
        <v>80446877.670000002</v>
      </c>
      <c r="ADB17" s="274">
        <f t="shared" si="14"/>
        <v>60731033.810000002</v>
      </c>
      <c r="ADC17" s="274">
        <f t="shared" si="14"/>
        <v>62252328.57</v>
      </c>
      <c r="ADD17" s="274">
        <f t="shared" si="14"/>
        <v>56067329.529999994</v>
      </c>
      <c r="ADE17" s="274">
        <f t="shared" si="14"/>
        <v>73782839.530000001</v>
      </c>
      <c r="ADF17" s="274">
        <f t="shared" si="14"/>
        <v>578009478.30999994</v>
      </c>
      <c r="ADG17" s="274">
        <f t="shared" si="14"/>
        <v>553986986.20000005</v>
      </c>
      <c r="ADH17" s="274">
        <f t="shared" si="14"/>
        <v>74700367.539999992</v>
      </c>
      <c r="ADI17" s="274">
        <f t="shared" si="14"/>
        <v>61639095.910000004</v>
      </c>
      <c r="ADJ17" s="274">
        <f t="shared" si="14"/>
        <v>114640721.35999998</v>
      </c>
      <c r="ADK17" s="274">
        <f t="shared" si="14"/>
        <v>45288026.620000005</v>
      </c>
      <c r="ADL17" s="274">
        <f t="shared" si="14"/>
        <v>97629498.600000009</v>
      </c>
      <c r="ADM17" s="274">
        <f t="shared" si="14"/>
        <v>80429863.769999996</v>
      </c>
      <c r="ADN17" s="274">
        <f t="shared" si="14"/>
        <v>122819516.47</v>
      </c>
      <c r="ADO17" s="274">
        <f t="shared" si="14"/>
        <v>2819411262.4100003</v>
      </c>
      <c r="ADP17" s="274">
        <f t="shared" si="14"/>
        <v>258589965.08999997</v>
      </c>
      <c r="ADQ17" s="274">
        <f t="shared" si="14"/>
        <v>264413797.70999998</v>
      </c>
      <c r="ADR17" s="274">
        <f t="shared" si="14"/>
        <v>116994483.25999999</v>
      </c>
      <c r="ADS17" s="274">
        <f t="shared" si="14"/>
        <v>1026421164.92</v>
      </c>
      <c r="ADT17" s="274">
        <f t="shared" si="14"/>
        <v>61747101.319999993</v>
      </c>
      <c r="ADU17" s="274">
        <f t="shared" si="14"/>
        <v>89849830.019999996</v>
      </c>
      <c r="ADV17" s="274">
        <f t="shared" si="14"/>
        <v>109484296.02000001</v>
      </c>
      <c r="ADW17" s="274">
        <f t="shared" si="14"/>
        <v>65245134.230000004</v>
      </c>
      <c r="ADX17" s="274">
        <f t="shared" si="14"/>
        <v>40722090.630000003</v>
      </c>
      <c r="ADY17" s="274">
        <f t="shared" si="14"/>
        <v>3124476265.6499996</v>
      </c>
      <c r="ADZ17" s="274">
        <f t="shared" si="14"/>
        <v>524626271.48999995</v>
      </c>
      <c r="AEA17" s="274">
        <f t="shared" si="14"/>
        <v>434575733.62</v>
      </c>
      <c r="AEB17" s="274">
        <f t="shared" si="14"/>
        <v>108054507.30000001</v>
      </c>
      <c r="AEC17" s="274">
        <f t="shared" si="14"/>
        <v>117411783.92999999</v>
      </c>
      <c r="AED17" s="274">
        <f t="shared" si="14"/>
        <v>219710984.59000003</v>
      </c>
      <c r="AEE17" s="274">
        <f t="shared" si="14"/>
        <v>139382762.19000003</v>
      </c>
      <c r="AEF17" s="274">
        <f t="shared" si="14"/>
        <v>132526567.96999998</v>
      </c>
      <c r="AEG17" s="274">
        <f t="shared" si="14"/>
        <v>87915233.540000007</v>
      </c>
      <c r="AEH17" s="274">
        <f t="shared" si="14"/>
        <v>119980584.24000001</v>
      </c>
      <c r="AEI17" s="274">
        <f t="shared" si="14"/>
        <v>133674798.09000002</v>
      </c>
      <c r="AEJ17" s="274">
        <f t="shared" si="14"/>
        <v>238145727.02000004</v>
      </c>
      <c r="AEK17" s="274">
        <f t="shared" si="14"/>
        <v>93872758.939999998</v>
      </c>
      <c r="AEL17" s="274">
        <f t="shared" si="14"/>
        <v>130575716.03999999</v>
      </c>
      <c r="AEM17" s="274">
        <f t="shared" si="14"/>
        <v>169969414.05000004</v>
      </c>
      <c r="AEN17" s="274">
        <f t="shared" si="14"/>
        <v>188363269.94</v>
      </c>
      <c r="AEO17" s="274">
        <f t="shared" si="14"/>
        <v>89480584.579999983</v>
      </c>
      <c r="AEP17" s="274">
        <f t="shared" si="14"/>
        <v>260411435.63000005</v>
      </c>
      <c r="AEQ17" s="274">
        <f t="shared" si="14"/>
        <v>75011638.450000003</v>
      </c>
      <c r="AER17" s="274">
        <f t="shared" si="14"/>
        <v>252992326.07000002</v>
      </c>
      <c r="AES17" s="274">
        <f t="shared" si="14"/>
        <v>2526160373.0899997</v>
      </c>
      <c r="AET17" s="274">
        <f t="shared" si="14"/>
        <v>227653413.22999996</v>
      </c>
      <c r="AEU17" s="274">
        <f t="shared" si="14"/>
        <v>276799038.40000004</v>
      </c>
      <c r="AEV17" s="274">
        <f t="shared" si="14"/>
        <v>159116438.64000002</v>
      </c>
      <c r="AEW17" s="274">
        <f t="shared" si="14"/>
        <v>112979810.10999998</v>
      </c>
      <c r="AEX17" s="274">
        <f t="shared" si="14"/>
        <v>337159509.61000001</v>
      </c>
      <c r="AEY17" s="274">
        <f t="shared" si="14"/>
        <v>121108172.13000001</v>
      </c>
      <c r="AEZ17" s="274">
        <f t="shared" si="14"/>
        <v>155445850.97999996</v>
      </c>
      <c r="AFA17" s="274">
        <f t="shared" si="14"/>
        <v>112303306.02</v>
      </c>
      <c r="AFB17" s="274">
        <f t="shared" si="14"/>
        <v>68438762.919999987</v>
      </c>
      <c r="AFC17" s="274">
        <f t="shared" si="14"/>
        <v>1268055344.2600002</v>
      </c>
      <c r="AFD17" s="274">
        <f t="shared" ref="AFD17:AHO17" si="15">SUM(AFD5:AFD16)</f>
        <v>692123037.56999993</v>
      </c>
      <c r="AFE17" s="274">
        <f t="shared" si="15"/>
        <v>236755345.47</v>
      </c>
      <c r="AFF17" s="274">
        <f t="shared" si="15"/>
        <v>188023475</v>
      </c>
      <c r="AFG17" s="274">
        <f t="shared" si="15"/>
        <v>353914779.01999998</v>
      </c>
      <c r="AFH17" s="274">
        <f t="shared" si="15"/>
        <v>204240649.71000004</v>
      </c>
      <c r="AFI17" s="274">
        <f t="shared" si="15"/>
        <v>140680839.36000001</v>
      </c>
      <c r="AFJ17" s="274">
        <f t="shared" si="15"/>
        <v>176980572.46999997</v>
      </c>
      <c r="AFK17" s="274">
        <f t="shared" si="15"/>
        <v>104328915.78</v>
      </c>
      <c r="AFL17" s="274">
        <f t="shared" si="15"/>
        <v>154399993.41999999</v>
      </c>
      <c r="AFM17" s="274">
        <f t="shared" si="15"/>
        <v>147203739.42999998</v>
      </c>
      <c r="AFN17" s="274">
        <f t="shared" si="15"/>
        <v>139531646.88</v>
      </c>
      <c r="AFO17" s="274">
        <f t="shared" si="15"/>
        <v>192506856.17999995</v>
      </c>
      <c r="AFP17" s="274">
        <f t="shared" si="15"/>
        <v>1655590533.9000001</v>
      </c>
      <c r="AFQ17" s="274">
        <f t="shared" si="15"/>
        <v>300428771.59000003</v>
      </c>
      <c r="AFR17" s="274">
        <f t="shared" si="15"/>
        <v>215500928.87999997</v>
      </c>
      <c r="AFS17" s="274">
        <f t="shared" si="15"/>
        <v>169997869.44999999</v>
      </c>
      <c r="AFT17" s="274">
        <f t="shared" si="15"/>
        <v>166390381.01999998</v>
      </c>
      <c r="AFU17" s="274">
        <f t="shared" si="15"/>
        <v>136117230.63000003</v>
      </c>
      <c r="AFV17" s="274">
        <f t="shared" si="15"/>
        <v>95164735.170000002</v>
      </c>
      <c r="AFW17" s="274">
        <f t="shared" si="15"/>
        <v>242923243.07000005</v>
      </c>
      <c r="AFX17" s="274">
        <f t="shared" si="15"/>
        <v>268812736.14999998</v>
      </c>
      <c r="AFY17" s="274">
        <f t="shared" si="15"/>
        <v>102757625.90000002</v>
      </c>
      <c r="AFZ17" s="274">
        <f t="shared" si="15"/>
        <v>305686122.25</v>
      </c>
      <c r="AGA17" s="274">
        <f t="shared" si="15"/>
        <v>112786483.21000001</v>
      </c>
      <c r="AGB17" s="274">
        <f t="shared" si="15"/>
        <v>1795443332.9999998</v>
      </c>
      <c r="AGC17" s="274">
        <f t="shared" si="15"/>
        <v>159939821.64000002</v>
      </c>
      <c r="AGD17" s="274">
        <f t="shared" si="15"/>
        <v>139948772.62</v>
      </c>
      <c r="AGE17" s="274">
        <f t="shared" si="15"/>
        <v>128719355.63999997</v>
      </c>
      <c r="AGF17" s="274">
        <f t="shared" si="15"/>
        <v>381604363.27999997</v>
      </c>
      <c r="AGG17" s="274">
        <f t="shared" si="15"/>
        <v>136406991.72999999</v>
      </c>
      <c r="AGH17" s="274">
        <f t="shared" si="15"/>
        <v>88741197.800000012</v>
      </c>
      <c r="AGI17" s="274">
        <f t="shared" si="15"/>
        <v>137204351.72999999</v>
      </c>
      <c r="AGJ17" s="274">
        <f t="shared" si="15"/>
        <v>86373042.980000019</v>
      </c>
      <c r="AGK17" s="274">
        <f t="shared" si="15"/>
        <v>121511555.82999998</v>
      </c>
      <c r="AGL17" s="274">
        <f t="shared" si="15"/>
        <v>82027088.890000015</v>
      </c>
      <c r="AGM17" s="274">
        <f t="shared" si="15"/>
        <v>2232518705.8800001</v>
      </c>
      <c r="AGN17" s="274">
        <f t="shared" si="15"/>
        <v>497181596.49000001</v>
      </c>
      <c r="AGO17" s="274">
        <f t="shared" si="15"/>
        <v>304301290.38000005</v>
      </c>
      <c r="AGP17" s="274">
        <f t="shared" si="15"/>
        <v>116786113.39000002</v>
      </c>
      <c r="AGQ17" s="274">
        <f t="shared" si="15"/>
        <v>290939864.84000003</v>
      </c>
      <c r="AGR17" s="274">
        <f t="shared" si="15"/>
        <v>282027094.11000001</v>
      </c>
      <c r="AGS17" s="274">
        <f t="shared" si="15"/>
        <v>90546115.020000011</v>
      </c>
      <c r="AGT17" s="274">
        <f t="shared" si="15"/>
        <v>127295378.10000001</v>
      </c>
      <c r="AGU17" s="274">
        <f t="shared" si="15"/>
        <v>3095638589.7500005</v>
      </c>
      <c r="AGV17" s="274">
        <f t="shared" si="15"/>
        <v>2177745813.7399998</v>
      </c>
      <c r="AGW17" s="274">
        <f t="shared" si="15"/>
        <v>133369997.68999998</v>
      </c>
      <c r="AGX17" s="274">
        <f t="shared" si="15"/>
        <v>363801744.25</v>
      </c>
      <c r="AGY17" s="274">
        <f t="shared" si="15"/>
        <v>546457467.92000008</v>
      </c>
      <c r="AGZ17" s="274">
        <f t="shared" si="15"/>
        <v>317519200.93000007</v>
      </c>
      <c r="AHA17" s="274">
        <f t="shared" si="15"/>
        <v>239554700.95000002</v>
      </c>
      <c r="AHB17" s="274">
        <f t="shared" si="15"/>
        <v>210027466.76000005</v>
      </c>
      <c r="AHC17" s="274">
        <f t="shared" si="15"/>
        <v>73698959.320000008</v>
      </c>
      <c r="AHD17" s="274">
        <f t="shared" si="15"/>
        <v>166653476.32999995</v>
      </c>
      <c r="AHE17" s="274">
        <f t="shared" si="15"/>
        <v>255297105.98000008</v>
      </c>
      <c r="AHF17" s="274">
        <f t="shared" si="15"/>
        <v>187023323.37000003</v>
      </c>
      <c r="AHG17" s="274">
        <f t="shared" si="15"/>
        <v>97852647.600000009</v>
      </c>
      <c r="AHH17" s="274">
        <f t="shared" si="15"/>
        <v>135236021.41999999</v>
      </c>
      <c r="AHI17" s="274">
        <f t="shared" si="15"/>
        <v>164750549.40000001</v>
      </c>
      <c r="AHJ17" s="274">
        <f t="shared" si="15"/>
        <v>221047831.12000006</v>
      </c>
      <c r="AHK17" s="274">
        <f t="shared" si="15"/>
        <v>107434368.00999998</v>
      </c>
      <c r="AHL17" s="274">
        <f t="shared" si="15"/>
        <v>905182621.56999993</v>
      </c>
      <c r="AHM17" s="274">
        <f t="shared" si="15"/>
        <v>111179425.61</v>
      </c>
      <c r="AHN17" s="274">
        <f t="shared" si="15"/>
        <v>122045923.86000003</v>
      </c>
      <c r="AHO17" s="274">
        <f t="shared" si="15"/>
        <v>109549993.5</v>
      </c>
      <c r="AHP17" s="274">
        <f t="shared" ref="AHP17" si="16">SUM(AHP5:AHP16)</f>
        <v>229746620.92000005</v>
      </c>
      <c r="AHQ17" s="274">
        <f t="shared" ref="AHQ17:AHS17" si="17">SUM(AHQ5:AHQ16)</f>
        <v>108053620.22000001</v>
      </c>
      <c r="AHR17" s="274">
        <f t="shared" si="17"/>
        <v>66601685.849999979</v>
      </c>
      <c r="AHS17" s="274">
        <f t="shared" si="17"/>
        <v>344565647058.82361</v>
      </c>
      <c r="AHT17" s="269" t="b">
        <f t="shared" si="1"/>
        <v>1</v>
      </c>
      <c r="AHU17" s="269"/>
    </row>
    <row r="18" spans="1:905" ht="23.4" customHeight="1" x14ac:dyDescent="0.7">
      <c r="B18" s="268" t="s">
        <v>19</v>
      </c>
      <c r="C18" s="269" t="s">
        <v>20</v>
      </c>
      <c r="D18" s="271">
        <v>681350806.35000002</v>
      </c>
      <c r="E18" s="271">
        <v>21396729.34</v>
      </c>
      <c r="F18" s="271">
        <v>35693415.93</v>
      </c>
      <c r="G18" s="271">
        <v>5800409</v>
      </c>
      <c r="H18" s="271">
        <v>52127351.780000001</v>
      </c>
      <c r="I18" s="271">
        <v>18863874.469999999</v>
      </c>
      <c r="J18" s="271">
        <v>47033922.619999997</v>
      </c>
      <c r="K18" s="271">
        <v>11359082.470000001</v>
      </c>
      <c r="L18" s="271">
        <v>23705399.899999999</v>
      </c>
      <c r="M18" s="271">
        <v>14331062.4</v>
      </c>
      <c r="N18" s="271">
        <v>6714017.04</v>
      </c>
      <c r="O18" s="271">
        <v>9207983.3699999992</v>
      </c>
      <c r="P18" s="271">
        <v>10701562.01</v>
      </c>
      <c r="Q18" s="271">
        <v>5564851.7599999998</v>
      </c>
      <c r="R18" s="271">
        <v>5407771.2999999998</v>
      </c>
      <c r="S18" s="271">
        <v>17217369.170000002</v>
      </c>
      <c r="T18" s="271">
        <v>24639944.579999998</v>
      </c>
      <c r="U18" s="271">
        <v>3553981.63</v>
      </c>
      <c r="V18" s="271">
        <v>552825582.57000005</v>
      </c>
      <c r="W18" s="271">
        <v>65623093.68</v>
      </c>
      <c r="X18" s="271">
        <v>7445780.2999999998</v>
      </c>
      <c r="Y18" s="271">
        <v>32602653.75</v>
      </c>
      <c r="Z18" s="271">
        <v>13048594.84</v>
      </c>
      <c r="AA18" s="271">
        <v>20541442.210000001</v>
      </c>
      <c r="AB18" s="271">
        <v>4265601.55</v>
      </c>
      <c r="AC18" s="271">
        <v>81903095.329999998</v>
      </c>
      <c r="AD18" s="271">
        <v>17123199.48</v>
      </c>
      <c r="AE18" s="271">
        <v>13099156.07</v>
      </c>
      <c r="AF18" s="271">
        <v>72114964.099999994</v>
      </c>
      <c r="AG18" s="271">
        <v>12367191.35</v>
      </c>
      <c r="AH18" s="271">
        <v>53987135.719999999</v>
      </c>
      <c r="AI18" s="271">
        <v>42752968.149999999</v>
      </c>
      <c r="AJ18" s="271">
        <v>22498997.870000001</v>
      </c>
      <c r="AK18" s="271">
        <v>5612460.1600000001</v>
      </c>
      <c r="AL18" s="271">
        <v>9841681.8399999999</v>
      </c>
      <c r="AM18" s="271">
        <v>15667680.060000001</v>
      </c>
      <c r="AN18" s="271">
        <v>6864135.2300000004</v>
      </c>
      <c r="AO18" s="271">
        <v>14365944.41</v>
      </c>
      <c r="AP18" s="271">
        <v>8183373.8700000001</v>
      </c>
      <c r="AQ18" s="271">
        <v>6334942.8099999996</v>
      </c>
      <c r="AR18" s="271">
        <v>5330489.55</v>
      </c>
      <c r="AS18" s="271">
        <v>2228405.9300000002</v>
      </c>
      <c r="AT18" s="271">
        <v>222981797.72</v>
      </c>
      <c r="AU18" s="271">
        <v>3344216.73</v>
      </c>
      <c r="AV18" s="271">
        <v>3230861.84</v>
      </c>
      <c r="AW18" s="271">
        <v>7286266.5300000003</v>
      </c>
      <c r="AX18" s="271">
        <v>12245854.389999999</v>
      </c>
      <c r="AY18" s="271">
        <v>15185047.039999999</v>
      </c>
      <c r="AZ18" s="271">
        <v>5197922.72</v>
      </c>
      <c r="BA18" s="271">
        <v>7176711.2800000003</v>
      </c>
      <c r="BB18" s="271">
        <v>3951860.71</v>
      </c>
      <c r="BC18" s="271">
        <v>3666991.23</v>
      </c>
      <c r="BD18" s="271">
        <v>2951224.45</v>
      </c>
      <c r="BE18" s="271">
        <v>2423866.2799999998</v>
      </c>
      <c r="BF18" s="271">
        <v>44927908.25</v>
      </c>
      <c r="BG18" s="271">
        <v>1149688.68</v>
      </c>
      <c r="BH18" s="271">
        <v>3309837.09</v>
      </c>
      <c r="BI18" s="271">
        <v>179709631.07999998</v>
      </c>
      <c r="BJ18" s="271">
        <v>88802080.370000005</v>
      </c>
      <c r="BK18" s="271">
        <v>22764079.23</v>
      </c>
      <c r="BL18" s="271">
        <v>9807961.0600000005</v>
      </c>
      <c r="BM18" s="271">
        <v>30272776.479999997</v>
      </c>
      <c r="BN18" s="271">
        <v>22227614.469999999</v>
      </c>
      <c r="BO18" s="271">
        <v>16629132.199999999</v>
      </c>
      <c r="BP18" s="271">
        <v>7935471.5</v>
      </c>
      <c r="BQ18" s="271">
        <v>6774744.7400000002</v>
      </c>
      <c r="BR18" s="271">
        <v>339277602.57999998</v>
      </c>
      <c r="BS18" s="271">
        <v>19871665.73</v>
      </c>
      <c r="BT18" s="271">
        <v>12290581.420000002</v>
      </c>
      <c r="BU18" s="271">
        <v>13903168.73</v>
      </c>
      <c r="BV18" s="271">
        <v>21209057.359999999</v>
      </c>
      <c r="BW18" s="271">
        <v>17550923.600000001</v>
      </c>
      <c r="BX18" s="271">
        <v>2776914.37</v>
      </c>
      <c r="BY18" s="271">
        <v>11739226.01</v>
      </c>
      <c r="BZ18" s="271">
        <v>62529303.710000001</v>
      </c>
      <c r="CA18" s="271">
        <v>8877210.1099999994</v>
      </c>
      <c r="CB18" s="271">
        <v>13085057.25</v>
      </c>
      <c r="CC18" s="271">
        <v>24093687.5</v>
      </c>
      <c r="CD18" s="271">
        <v>8660148.5</v>
      </c>
      <c r="CE18" s="271">
        <v>4118859.1</v>
      </c>
      <c r="CF18" s="271">
        <v>6006097.1299999999</v>
      </c>
      <c r="CG18" s="271">
        <v>535532697.44999999</v>
      </c>
      <c r="CH18" s="271">
        <v>11239367.74</v>
      </c>
      <c r="CI18" s="271">
        <v>37044221.469999999</v>
      </c>
      <c r="CJ18" s="271">
        <v>8813076.6199999992</v>
      </c>
      <c r="CK18" s="271">
        <v>10518597.26</v>
      </c>
      <c r="CL18" s="271">
        <v>9526182.5899999999</v>
      </c>
      <c r="CM18" s="271">
        <v>10962454.439999999</v>
      </c>
      <c r="CN18" s="271">
        <v>19755676.379999999</v>
      </c>
      <c r="CO18" s="271">
        <v>4597022.62</v>
      </c>
      <c r="CP18" s="271">
        <v>10202291.84</v>
      </c>
      <c r="CQ18" s="271">
        <v>8162689.4699999997</v>
      </c>
      <c r="CR18" s="271">
        <v>8972533.5099999998</v>
      </c>
      <c r="CS18" s="271">
        <v>8119825.7000000002</v>
      </c>
      <c r="CT18" s="271">
        <v>196641480.72999999</v>
      </c>
      <c r="CU18" s="271">
        <v>9099449.5</v>
      </c>
      <c r="CV18" s="271">
        <v>9851033.0299999993</v>
      </c>
      <c r="CW18" s="271">
        <v>17603551.23</v>
      </c>
      <c r="CX18" s="271">
        <v>7665290.3600000003</v>
      </c>
      <c r="CY18" s="271">
        <v>19077895.239999998</v>
      </c>
      <c r="CZ18" s="271">
        <v>6327589.96</v>
      </c>
      <c r="DA18" s="271">
        <v>8551810.9000000004</v>
      </c>
      <c r="DB18" s="271">
        <v>126416082.38</v>
      </c>
      <c r="DC18" s="271">
        <v>199913596.02000001</v>
      </c>
      <c r="DD18" s="271">
        <v>11668344.960000001</v>
      </c>
      <c r="DE18" s="271">
        <v>8719448.0299999993</v>
      </c>
      <c r="DF18" s="271">
        <v>22320140.300000001</v>
      </c>
      <c r="DG18" s="271">
        <v>20968768.420000002</v>
      </c>
      <c r="DH18" s="271">
        <v>14264170.119999999</v>
      </c>
      <c r="DI18" s="271">
        <v>32371279.82</v>
      </c>
      <c r="DJ18" s="271">
        <v>9920384.5099999998</v>
      </c>
      <c r="DK18" s="271">
        <v>720544284.88999999</v>
      </c>
      <c r="DL18" s="271">
        <v>10967825.130000001</v>
      </c>
      <c r="DM18" s="271">
        <v>16087257.26</v>
      </c>
      <c r="DN18" s="271">
        <v>14711430.82</v>
      </c>
      <c r="DO18" s="271">
        <v>20064101.199999999</v>
      </c>
      <c r="DP18" s="271">
        <v>14685032.630000001</v>
      </c>
      <c r="DQ18" s="271">
        <v>30387593.359999999</v>
      </c>
      <c r="DR18" s="271">
        <v>12334797.33</v>
      </c>
      <c r="DS18" s="271">
        <v>24821731.469999999</v>
      </c>
      <c r="DT18" s="271">
        <v>195755370.05000001</v>
      </c>
      <c r="DU18" s="271">
        <v>20055588.629999999</v>
      </c>
      <c r="DV18" s="271">
        <v>89013517.790000007</v>
      </c>
      <c r="DW18" s="271">
        <v>44460050.020000003</v>
      </c>
      <c r="DX18" s="271">
        <v>23974937.989999998</v>
      </c>
      <c r="DY18" s="271">
        <v>28117025.710000001</v>
      </c>
      <c r="DZ18" s="271">
        <v>27319057.649999999</v>
      </c>
      <c r="EA18" s="271">
        <v>5093435.96</v>
      </c>
      <c r="EB18" s="271">
        <v>14943352.27</v>
      </c>
      <c r="EC18" s="271">
        <v>8819771.5700000003</v>
      </c>
      <c r="ED18" s="271">
        <v>28810128.48</v>
      </c>
      <c r="EE18" s="271">
        <v>92416412.030000001</v>
      </c>
      <c r="EF18" s="271">
        <v>78301716.480000004</v>
      </c>
      <c r="EG18" s="271">
        <v>6317034.4900000002</v>
      </c>
      <c r="EH18" s="271">
        <v>13290422.449999999</v>
      </c>
      <c r="EI18" s="271">
        <v>14829022.09</v>
      </c>
      <c r="EJ18" s="271">
        <v>29414863.32</v>
      </c>
      <c r="EK18" s="271">
        <v>34628705.289999999</v>
      </c>
      <c r="EL18" s="271">
        <v>8573270.4900000002</v>
      </c>
      <c r="EM18" s="271">
        <v>14615941.630000001</v>
      </c>
      <c r="EN18" s="271">
        <v>376771225.95999998</v>
      </c>
      <c r="EO18" s="271">
        <v>17490420.489999998</v>
      </c>
      <c r="EP18" s="271">
        <v>9740897.8300000001</v>
      </c>
      <c r="EQ18" s="271">
        <v>11141967.6</v>
      </c>
      <c r="ER18" s="271">
        <v>3086571.01</v>
      </c>
      <c r="ES18" s="271">
        <v>6196006.46</v>
      </c>
      <c r="ET18" s="271">
        <v>22617038.449999999</v>
      </c>
      <c r="EU18" s="271">
        <v>28806276.579999998</v>
      </c>
      <c r="EV18" s="271">
        <v>13972791.949999999</v>
      </c>
      <c r="EW18" s="271">
        <v>231129142.44</v>
      </c>
      <c r="EX18" s="271">
        <v>4586492.59</v>
      </c>
      <c r="EY18" s="271">
        <v>10567119.869999999</v>
      </c>
      <c r="EZ18" s="271">
        <v>11793730.24</v>
      </c>
      <c r="FA18" s="271">
        <v>30610294.890000001</v>
      </c>
      <c r="FB18" s="271">
        <v>29278845.629999999</v>
      </c>
      <c r="FC18" s="271">
        <v>10105322.890000001</v>
      </c>
      <c r="FD18" s="271">
        <v>11428524.789999999</v>
      </c>
      <c r="FE18" s="271">
        <v>7147975.9400000004</v>
      </c>
      <c r="FF18" s="271">
        <v>6805548.8799999999</v>
      </c>
      <c r="FG18" s="271">
        <v>6828614.6600000001</v>
      </c>
      <c r="FH18" s="271">
        <v>4218491.8499999996</v>
      </c>
      <c r="FI18" s="271">
        <v>125304315.63</v>
      </c>
      <c r="FJ18" s="271">
        <v>7331913.5999999996</v>
      </c>
      <c r="FK18" s="271">
        <v>4515823.82</v>
      </c>
      <c r="FL18" s="271">
        <v>6547491.5099999998</v>
      </c>
      <c r="FM18" s="271">
        <v>14436636.880000001</v>
      </c>
      <c r="FN18" s="271">
        <v>10817622.880000001</v>
      </c>
      <c r="FO18" s="271">
        <v>3730298.1</v>
      </c>
      <c r="FP18" s="271">
        <v>2486350.4500000002</v>
      </c>
      <c r="FQ18" s="271">
        <v>584559366.12</v>
      </c>
      <c r="FR18" s="271">
        <v>8602490.8300000001</v>
      </c>
      <c r="FS18" s="271">
        <v>23197826.68</v>
      </c>
      <c r="FT18" s="271">
        <v>15265578.92</v>
      </c>
      <c r="FU18" s="271">
        <v>21602526.379999999</v>
      </c>
      <c r="FV18" s="271">
        <v>8766872.3800000008</v>
      </c>
      <c r="FW18" s="271">
        <v>29706430.43</v>
      </c>
      <c r="FX18" s="271">
        <v>17888855.859999999</v>
      </c>
      <c r="FY18" s="271">
        <v>13785202.75</v>
      </c>
      <c r="FZ18" s="271">
        <v>14382907.970000001</v>
      </c>
      <c r="GA18" s="271">
        <v>30139244.640000001</v>
      </c>
      <c r="GB18" s="271">
        <v>13421392.98</v>
      </c>
      <c r="GC18" s="271">
        <v>17908734.100000001</v>
      </c>
      <c r="GD18" s="271">
        <v>7727477.0599999996</v>
      </c>
      <c r="GE18" s="271">
        <v>158974918.81999999</v>
      </c>
      <c r="GF18" s="271">
        <v>6490855.4000000004</v>
      </c>
      <c r="GG18" s="271">
        <v>8347324.9800000004</v>
      </c>
      <c r="GH18" s="271">
        <v>27619922.289999999</v>
      </c>
      <c r="GI18" s="271">
        <v>10848058.550000001</v>
      </c>
      <c r="GJ18" s="271">
        <v>9775990.9100000001</v>
      </c>
      <c r="GK18" s="271">
        <v>9322920.7699999996</v>
      </c>
      <c r="GL18" s="271">
        <v>39254029.009999998</v>
      </c>
      <c r="GM18" s="271">
        <v>5648354.1100000003</v>
      </c>
      <c r="GN18" s="271">
        <v>4063688.81</v>
      </c>
      <c r="GO18" s="271">
        <v>3796360.27</v>
      </c>
      <c r="GP18" s="271">
        <v>4142366.2</v>
      </c>
      <c r="GQ18" s="271">
        <v>106169975.03</v>
      </c>
      <c r="GR18" s="271">
        <v>22087827.809999999</v>
      </c>
      <c r="GS18" s="271">
        <v>5389495.3899999997</v>
      </c>
      <c r="GT18" s="271">
        <v>17815492.129999999</v>
      </c>
      <c r="GU18" s="271">
        <v>2845811.16</v>
      </c>
      <c r="GV18" s="271">
        <v>12256816.66</v>
      </c>
      <c r="GW18" s="271">
        <v>23890139.879999999</v>
      </c>
      <c r="GX18" s="271">
        <v>9967738.8699999992</v>
      </c>
      <c r="GY18" s="271">
        <v>127256502.8</v>
      </c>
      <c r="GZ18" s="271">
        <v>5630856.9900000002</v>
      </c>
      <c r="HA18" s="271">
        <v>23239476.68</v>
      </c>
      <c r="HB18" s="271">
        <v>11155884.15</v>
      </c>
      <c r="HC18" s="271">
        <v>572299652.38999999</v>
      </c>
      <c r="HD18" s="271">
        <v>21731279.73</v>
      </c>
      <c r="HE18" s="271">
        <v>40265248.240000002</v>
      </c>
      <c r="HF18" s="271">
        <v>27283804.5</v>
      </c>
      <c r="HG18" s="271">
        <v>19313527.969999999</v>
      </c>
      <c r="HH18" s="271">
        <v>37982132.600000001</v>
      </c>
      <c r="HI18" s="271">
        <v>2830263.02</v>
      </c>
      <c r="HJ18" s="271">
        <v>260628331.34</v>
      </c>
      <c r="HK18" s="271">
        <v>23948544.579999998</v>
      </c>
      <c r="HL18" s="271">
        <v>31918502.239999998</v>
      </c>
      <c r="HM18" s="271">
        <v>16957686.77</v>
      </c>
      <c r="HN18" s="271">
        <v>15662300.34</v>
      </c>
      <c r="HO18" s="271">
        <v>14551529.640000001</v>
      </c>
      <c r="HP18" s="271">
        <v>14417140.470000001</v>
      </c>
      <c r="HQ18" s="271">
        <v>5711268.6500000004</v>
      </c>
      <c r="HR18" s="271">
        <v>325371392.43000001</v>
      </c>
      <c r="HS18" s="271">
        <v>51644030.149999999</v>
      </c>
      <c r="HT18" s="271">
        <v>9017902.5600000005</v>
      </c>
      <c r="HU18" s="271">
        <v>7919435.9699999997</v>
      </c>
      <c r="HV18" s="271">
        <v>7779514.0300000003</v>
      </c>
      <c r="HW18" s="271">
        <v>4657469.82</v>
      </c>
      <c r="HX18" s="271">
        <v>51805288.240000002</v>
      </c>
      <c r="HY18" s="271">
        <v>11919077.1</v>
      </c>
      <c r="HZ18" s="271">
        <v>7772893.3499999996</v>
      </c>
      <c r="IA18" s="271">
        <v>8517034.1899999995</v>
      </c>
      <c r="IB18" s="271">
        <v>8057796.6600000001</v>
      </c>
      <c r="IC18" s="271">
        <v>13427034.380000001</v>
      </c>
      <c r="ID18" s="271">
        <v>2323197.37</v>
      </c>
      <c r="IE18" s="271">
        <v>7155742.6799999997</v>
      </c>
      <c r="IF18" s="271">
        <v>3944863.52</v>
      </c>
      <c r="IG18" s="271">
        <v>3398130.59</v>
      </c>
      <c r="IH18" s="271">
        <v>213968450.06</v>
      </c>
      <c r="II18" s="271">
        <v>49867873.75</v>
      </c>
      <c r="IJ18" s="271">
        <v>16563467.16</v>
      </c>
      <c r="IK18" s="271">
        <v>33754367.759999998</v>
      </c>
      <c r="IL18" s="271">
        <v>38762934.619999997</v>
      </c>
      <c r="IM18" s="271">
        <v>18101305.399999999</v>
      </c>
      <c r="IN18" s="271">
        <v>8213895.3200000003</v>
      </c>
      <c r="IO18" s="271">
        <v>4295272.78</v>
      </c>
      <c r="IP18" s="271">
        <v>4115318.41</v>
      </c>
      <c r="IQ18" s="271">
        <v>5945933.2199999997</v>
      </c>
      <c r="IR18" s="271">
        <v>6918497.4400000004</v>
      </c>
      <c r="IS18" s="271">
        <v>472023493.75</v>
      </c>
      <c r="IT18" s="271">
        <v>72516792.760000005</v>
      </c>
      <c r="IU18" s="271">
        <v>14571119.289999999</v>
      </c>
      <c r="IV18" s="271">
        <v>10550611.17</v>
      </c>
      <c r="IW18" s="271">
        <v>5328593.1900000004</v>
      </c>
      <c r="IX18" s="271">
        <v>2277162.27</v>
      </c>
      <c r="IY18" s="271">
        <v>6872368.3600000003</v>
      </c>
      <c r="IZ18" s="271">
        <v>2187599.92</v>
      </c>
      <c r="JA18" s="271">
        <v>6294547.75</v>
      </c>
      <c r="JB18" s="271">
        <v>7002520.6699999999</v>
      </c>
      <c r="JC18" s="271">
        <v>7219103.75</v>
      </c>
      <c r="JD18" s="271">
        <v>5018743.09</v>
      </c>
      <c r="JE18" s="271">
        <v>106479499.61</v>
      </c>
      <c r="JF18" s="271">
        <v>30999138.469999999</v>
      </c>
      <c r="JG18" s="271">
        <v>7210370.8399999999</v>
      </c>
      <c r="JH18" s="271">
        <v>14451782.029999999</v>
      </c>
      <c r="JI18" s="271">
        <v>3250259.55</v>
      </c>
      <c r="JJ18" s="271">
        <v>3476954.82</v>
      </c>
      <c r="JK18" s="271">
        <v>97058133.579999998</v>
      </c>
      <c r="JL18" s="271">
        <v>4841495.45</v>
      </c>
      <c r="JM18" s="271">
        <v>7983858.2199999997</v>
      </c>
      <c r="JN18" s="271">
        <v>12042345.970000001</v>
      </c>
      <c r="JO18" s="271">
        <v>8059787.0899999999</v>
      </c>
      <c r="JP18" s="271">
        <v>15836520.189999999</v>
      </c>
      <c r="JQ18" s="271">
        <v>4312163.4000000004</v>
      </c>
      <c r="JR18" s="271">
        <v>258373467.41</v>
      </c>
      <c r="JS18" s="271">
        <v>80053698.140000001</v>
      </c>
      <c r="JT18" s="271">
        <v>11451537.93</v>
      </c>
      <c r="JU18" s="271">
        <v>5234231.0199999996</v>
      </c>
      <c r="JV18" s="271">
        <v>16148153.26</v>
      </c>
      <c r="JW18" s="271">
        <v>2430429.85</v>
      </c>
      <c r="JX18" s="271">
        <v>45756174.789999999</v>
      </c>
      <c r="JY18" s="271">
        <v>22532154.239999998</v>
      </c>
      <c r="JZ18" s="271">
        <v>8831835.6600000001</v>
      </c>
      <c r="KA18" s="271">
        <v>18436212.34</v>
      </c>
      <c r="KB18" s="271">
        <v>11289048.93</v>
      </c>
      <c r="KC18" s="271">
        <v>9194770.1500000004</v>
      </c>
      <c r="KD18" s="271">
        <v>2972542.93</v>
      </c>
      <c r="KE18" s="271">
        <v>1571922.13</v>
      </c>
      <c r="KF18" s="271">
        <v>5614194.3899999997</v>
      </c>
      <c r="KG18" s="271">
        <v>4496159.04</v>
      </c>
      <c r="KH18" s="271">
        <v>513045799.23000002</v>
      </c>
      <c r="KI18" s="271">
        <v>61711281.259999998</v>
      </c>
      <c r="KJ18" s="271">
        <v>14643048.84</v>
      </c>
      <c r="KK18" s="271">
        <v>17380562.899999999</v>
      </c>
      <c r="KL18" s="271">
        <v>14531620.98</v>
      </c>
      <c r="KM18" s="271">
        <v>14204512.539999999</v>
      </c>
      <c r="KN18" s="271">
        <v>60133116.149999999</v>
      </c>
      <c r="KO18" s="271">
        <v>12723589.25</v>
      </c>
      <c r="KP18" s="271">
        <v>6359487.9000000004</v>
      </c>
      <c r="KQ18" s="271">
        <v>112375727.95999999</v>
      </c>
      <c r="KR18" s="271">
        <v>12391063.02</v>
      </c>
      <c r="KS18" s="271">
        <v>17019319.210000001</v>
      </c>
      <c r="KT18" s="271">
        <v>49103404.32</v>
      </c>
      <c r="KU18" s="271">
        <v>8150335.4699999997</v>
      </c>
      <c r="KV18" s="271">
        <v>24132379.789999999</v>
      </c>
      <c r="KW18" s="271">
        <v>243496178.5</v>
      </c>
      <c r="KX18" s="271">
        <v>17316419.129999999</v>
      </c>
      <c r="KY18" s="271">
        <v>214097747.49000001</v>
      </c>
      <c r="KZ18" s="271">
        <v>11167338.939999999</v>
      </c>
      <c r="LA18" s="271">
        <v>3565248.6999999997</v>
      </c>
      <c r="LB18" s="271">
        <v>39560191.359999999</v>
      </c>
      <c r="LC18" s="271">
        <v>30869765.379999999</v>
      </c>
      <c r="LD18" s="271">
        <v>28076551.600000001</v>
      </c>
      <c r="LE18" s="271">
        <v>27049107.529999997</v>
      </c>
      <c r="LF18" s="271">
        <v>14723895.84</v>
      </c>
      <c r="LG18" s="271">
        <v>749012053.72000003</v>
      </c>
      <c r="LH18" s="271">
        <v>81832613.200000003</v>
      </c>
      <c r="LI18" s="271">
        <v>118356485.78</v>
      </c>
      <c r="LJ18" s="271">
        <v>92796092.390000001</v>
      </c>
      <c r="LK18" s="271">
        <v>22498530.960000001</v>
      </c>
      <c r="LL18" s="271">
        <v>10940201.09</v>
      </c>
      <c r="LM18" s="271">
        <v>6903116.6399999997</v>
      </c>
      <c r="LN18" s="271">
        <v>9644261.4700000007</v>
      </c>
      <c r="LO18" s="271">
        <v>8383282.0899999999</v>
      </c>
      <c r="LP18" s="271">
        <v>32827087.739999998</v>
      </c>
      <c r="LQ18" s="271">
        <v>5701444.6399999997</v>
      </c>
      <c r="LR18" s="271">
        <v>198119823.99000001</v>
      </c>
      <c r="LS18" s="271">
        <v>12923592.92</v>
      </c>
      <c r="LT18" s="271">
        <v>7240011.6600000001</v>
      </c>
      <c r="LU18" s="271">
        <v>267206444.68000001</v>
      </c>
      <c r="LV18" s="271">
        <v>133596749.48999999</v>
      </c>
      <c r="LW18" s="271">
        <v>554439167.26999998</v>
      </c>
      <c r="LX18" s="271">
        <v>66161935.759999998</v>
      </c>
      <c r="LY18" s="271">
        <v>50540073.829999998</v>
      </c>
      <c r="LZ18" s="271">
        <v>34644676.560000002</v>
      </c>
      <c r="MA18" s="271">
        <v>28149857.640000001</v>
      </c>
      <c r="MB18" s="271">
        <v>26284673.699999999</v>
      </c>
      <c r="MC18" s="271">
        <v>25400333.140000001</v>
      </c>
      <c r="MD18" s="271">
        <v>37316242.07</v>
      </c>
      <c r="ME18" s="271">
        <v>49473272.649999999</v>
      </c>
      <c r="MF18" s="271">
        <v>10236719.23</v>
      </c>
      <c r="MG18" s="271">
        <v>366905227.39999998</v>
      </c>
      <c r="MH18" s="271">
        <v>23161231.850000001</v>
      </c>
      <c r="MI18" s="271">
        <v>4577525.2</v>
      </c>
      <c r="MJ18" s="271">
        <v>4916280.4000000004</v>
      </c>
      <c r="MK18" s="271">
        <v>5860459.1500000004</v>
      </c>
      <c r="ML18" s="271">
        <v>12311860.48</v>
      </c>
      <c r="MM18" s="271">
        <v>5682922.8899999997</v>
      </c>
      <c r="MN18" s="271">
        <v>10959994.380000001</v>
      </c>
      <c r="MO18" s="271">
        <v>24101344.940000001</v>
      </c>
      <c r="MP18" s="271">
        <v>8604048.8599999994</v>
      </c>
      <c r="MQ18" s="271">
        <v>4815270.8899999997</v>
      </c>
      <c r="MR18" s="271">
        <v>11054569.52</v>
      </c>
      <c r="MS18" s="271">
        <v>291296850.17000002</v>
      </c>
      <c r="MT18" s="271">
        <v>10012270.01</v>
      </c>
      <c r="MU18" s="271">
        <v>12809366.74</v>
      </c>
      <c r="MV18" s="271">
        <v>37387020.539999999</v>
      </c>
      <c r="MW18" s="271">
        <v>16848217.789999999</v>
      </c>
      <c r="MX18" s="271">
        <v>13528820.289999999</v>
      </c>
      <c r="MY18" s="271">
        <v>23133135.9899</v>
      </c>
      <c r="MZ18" s="271">
        <v>19416476.300000001</v>
      </c>
      <c r="NA18" s="271">
        <v>14285618.360000001</v>
      </c>
      <c r="NB18" s="271">
        <v>6445262.1300000008</v>
      </c>
      <c r="NC18" s="271">
        <v>2779675.31</v>
      </c>
      <c r="ND18" s="271">
        <v>897797850.16999996</v>
      </c>
      <c r="NE18" s="271">
        <v>40724380.020000003</v>
      </c>
      <c r="NF18" s="271">
        <v>6752337.9299999997</v>
      </c>
      <c r="NG18" s="271">
        <v>166238226.34</v>
      </c>
      <c r="NH18" s="271">
        <v>7244593.9100000001</v>
      </c>
      <c r="NI18" s="271">
        <v>23404973.93</v>
      </c>
      <c r="NJ18" s="271">
        <v>68042253.340000004</v>
      </c>
      <c r="NK18" s="271">
        <v>44129125.979999997</v>
      </c>
      <c r="NL18" s="271">
        <v>1880600.42</v>
      </c>
      <c r="NM18" s="271">
        <v>23833779</v>
      </c>
      <c r="NN18" s="271">
        <v>14545960.060000001</v>
      </c>
      <c r="NO18" s="271">
        <v>6529562.7400000002</v>
      </c>
      <c r="NP18" s="271">
        <v>94241098.230000004</v>
      </c>
      <c r="NQ18" s="271">
        <v>15595098.609999999</v>
      </c>
      <c r="NR18" s="271">
        <v>7636193.0700000003</v>
      </c>
      <c r="NS18" s="271">
        <v>9044263.5600000005</v>
      </c>
      <c r="NT18" s="271">
        <v>6379653.46</v>
      </c>
      <c r="NU18" s="271">
        <v>790366.92</v>
      </c>
      <c r="NV18" s="271">
        <v>2773532.75</v>
      </c>
      <c r="NW18" s="271">
        <v>282335421.68000001</v>
      </c>
      <c r="NX18" s="271">
        <v>58142020.290000007</v>
      </c>
      <c r="NY18" s="271">
        <v>9451212.9800000004</v>
      </c>
      <c r="NZ18" s="271">
        <v>5541266.3200000003</v>
      </c>
      <c r="OA18" s="271">
        <v>6030912.5999999996</v>
      </c>
      <c r="OB18" s="271">
        <v>13688556.859999999</v>
      </c>
      <c r="OC18" s="271">
        <v>3476806.15</v>
      </c>
      <c r="OD18" s="271">
        <v>413431805.67000002</v>
      </c>
      <c r="OE18" s="271">
        <v>35870392.030000001</v>
      </c>
      <c r="OF18" s="271">
        <v>20365927.859999999</v>
      </c>
      <c r="OG18" s="271">
        <v>63909497.020000003</v>
      </c>
      <c r="OH18" s="271">
        <v>10564161.029999999</v>
      </c>
      <c r="OI18" s="271">
        <v>30833119.559999999</v>
      </c>
      <c r="OJ18" s="271">
        <v>23842559.32</v>
      </c>
      <c r="OK18" s="271">
        <v>5116557.6399999997</v>
      </c>
      <c r="OL18" s="271">
        <v>4547494.3499999996</v>
      </c>
      <c r="OM18" s="271">
        <v>258112919.97999999</v>
      </c>
      <c r="ON18" s="271">
        <v>40274792.549999997</v>
      </c>
      <c r="OO18" s="271">
        <v>68998134.010000005</v>
      </c>
      <c r="OP18" s="271">
        <v>28388864</v>
      </c>
      <c r="OQ18" s="271">
        <v>21227156.48</v>
      </c>
      <c r="OR18" s="271">
        <v>5218090.21</v>
      </c>
      <c r="OS18" s="271">
        <v>151928609.15000001</v>
      </c>
      <c r="OT18" s="271">
        <v>7727508.9799999995</v>
      </c>
      <c r="OU18" s="271">
        <v>13638575.940000001</v>
      </c>
      <c r="OV18" s="271">
        <v>15134886.08</v>
      </c>
      <c r="OW18" s="271">
        <v>29274530.049999997</v>
      </c>
      <c r="OX18" s="271">
        <v>51293406.270000003</v>
      </c>
      <c r="OY18" s="271">
        <v>18583953.280000001</v>
      </c>
      <c r="OZ18" s="271">
        <v>4385770.9399999995</v>
      </c>
      <c r="PA18" s="271">
        <v>4110030.84</v>
      </c>
      <c r="PB18" s="271">
        <v>244568710.53999999</v>
      </c>
      <c r="PC18" s="271">
        <v>7920083.9199999999</v>
      </c>
      <c r="PD18" s="271">
        <v>41807746.509999998</v>
      </c>
      <c r="PE18" s="271">
        <v>5983234.4100000001</v>
      </c>
      <c r="PF18" s="271">
        <v>21964364.289999999</v>
      </c>
      <c r="PG18" s="271">
        <v>55090260.990000002</v>
      </c>
      <c r="PH18" s="271">
        <v>12568878.9</v>
      </c>
      <c r="PI18" s="271">
        <v>14649204.83</v>
      </c>
      <c r="PJ18" s="271">
        <v>14565146.98</v>
      </c>
      <c r="PK18" s="271">
        <v>17012679.02</v>
      </c>
      <c r="PL18" s="271">
        <v>23564707</v>
      </c>
      <c r="PM18" s="271">
        <v>28501384.789999999</v>
      </c>
      <c r="PN18" s="271">
        <v>11348248.1</v>
      </c>
      <c r="PO18" s="271">
        <v>60845152.090000004</v>
      </c>
      <c r="PP18" s="271">
        <v>13856302.140000001</v>
      </c>
      <c r="PQ18" s="271">
        <v>10399380.82</v>
      </c>
      <c r="PR18" s="271">
        <v>6829587.6100000003</v>
      </c>
      <c r="PS18" s="271">
        <v>9661951.8000000007</v>
      </c>
      <c r="PT18" s="271">
        <v>795149475.37</v>
      </c>
      <c r="PU18" s="271">
        <v>9946224.8100000005</v>
      </c>
      <c r="PV18" s="271">
        <v>15396429.529999999</v>
      </c>
      <c r="PW18" s="271">
        <v>19687711.219999999</v>
      </c>
      <c r="PX18" s="271">
        <v>95942213.019999996</v>
      </c>
      <c r="PY18" s="271">
        <v>9233650.7200000007</v>
      </c>
      <c r="PZ18" s="271">
        <v>26851363.859999999</v>
      </c>
      <c r="QA18" s="271">
        <v>7570984.8899999997</v>
      </c>
      <c r="QB18" s="271">
        <v>30257177.940000001</v>
      </c>
      <c r="QC18" s="271">
        <v>9638848.5800000001</v>
      </c>
      <c r="QD18" s="271">
        <v>20533858.879999999</v>
      </c>
      <c r="QE18" s="271">
        <v>4946885.16</v>
      </c>
      <c r="QF18" s="271">
        <v>9529020.9800000004</v>
      </c>
      <c r="QG18" s="271">
        <v>11766907.67</v>
      </c>
      <c r="QH18" s="271">
        <v>15089864.619999999</v>
      </c>
      <c r="QI18" s="271">
        <v>20303880.43</v>
      </c>
      <c r="QJ18" s="271">
        <v>7818577.46</v>
      </c>
      <c r="QK18" s="271">
        <v>7653542.79</v>
      </c>
      <c r="QL18" s="271">
        <v>5102793.4800000004</v>
      </c>
      <c r="QM18" s="271">
        <v>27791499.969999999</v>
      </c>
      <c r="QN18" s="271">
        <v>27491280.289999999</v>
      </c>
      <c r="QO18" s="271">
        <v>6374212.6900000004</v>
      </c>
      <c r="QP18" s="271">
        <v>3478561.88</v>
      </c>
      <c r="QQ18" s="271">
        <v>2969589.16</v>
      </c>
      <c r="QR18" s="271">
        <v>8280996.3899999997</v>
      </c>
      <c r="QS18" s="271">
        <v>2899135.77</v>
      </c>
      <c r="QT18" s="271">
        <v>210851118.97</v>
      </c>
      <c r="QU18" s="271">
        <v>4493653.0999999996</v>
      </c>
      <c r="QV18" s="271">
        <v>23193007.219999999</v>
      </c>
      <c r="QW18" s="271">
        <v>10055314.99</v>
      </c>
      <c r="QX18" s="271">
        <v>9823013.2899999991</v>
      </c>
      <c r="QY18" s="271">
        <v>30004989.84</v>
      </c>
      <c r="QZ18" s="271">
        <v>10352450.539999999</v>
      </c>
      <c r="RA18" s="271">
        <v>31077813.09</v>
      </c>
      <c r="RB18" s="271">
        <v>16247977.789999999</v>
      </c>
      <c r="RC18" s="271">
        <v>9023389.4600000009</v>
      </c>
      <c r="RD18" s="271">
        <v>5284656.41</v>
      </c>
      <c r="RE18" s="271">
        <v>5462629.46</v>
      </c>
      <c r="RF18" s="271">
        <v>2711885.45</v>
      </c>
      <c r="RG18" s="271">
        <v>495803303.73000002</v>
      </c>
      <c r="RH18" s="271">
        <v>31468350.640000001</v>
      </c>
      <c r="RI18" s="271">
        <v>15307168.109999999</v>
      </c>
      <c r="RJ18" s="271">
        <v>13235614.949999999</v>
      </c>
      <c r="RK18" s="271">
        <v>21897959.140000001</v>
      </c>
      <c r="RL18" s="271">
        <v>18542850.920000002</v>
      </c>
      <c r="RM18" s="271">
        <v>42019796.049999997</v>
      </c>
      <c r="RN18" s="271">
        <v>12883847.34</v>
      </c>
      <c r="RO18" s="271">
        <v>16081039.77</v>
      </c>
      <c r="RP18" s="271">
        <v>56641680.850000001</v>
      </c>
      <c r="RQ18" s="271">
        <v>50732067.200000003</v>
      </c>
      <c r="RR18" s="271">
        <v>4580425.91</v>
      </c>
      <c r="RS18" s="271">
        <v>6588936.8799999999</v>
      </c>
      <c r="RT18" s="271">
        <v>8181817.2999999998</v>
      </c>
      <c r="RU18" s="271">
        <v>5023159.49</v>
      </c>
      <c r="RV18" s="271">
        <v>5692911.3600000003</v>
      </c>
      <c r="RW18" s="271">
        <v>19457424.170000002</v>
      </c>
      <c r="RX18" s="271">
        <v>9367373.6199999992</v>
      </c>
      <c r="RY18" s="271">
        <v>4385397.93</v>
      </c>
      <c r="RZ18" s="271">
        <v>4270526.0199999996</v>
      </c>
      <c r="SA18" s="271">
        <v>138003311.87</v>
      </c>
      <c r="SB18" s="271">
        <v>11391270.640000001</v>
      </c>
      <c r="SC18" s="271">
        <v>6760949.5</v>
      </c>
      <c r="SD18" s="271">
        <v>8921924.9199999999</v>
      </c>
      <c r="SE18" s="271">
        <v>4742641.2699999996</v>
      </c>
      <c r="SF18" s="271">
        <v>13423902.66</v>
      </c>
      <c r="SG18" s="271">
        <v>11979252.83</v>
      </c>
      <c r="SH18" s="271">
        <v>34212612.869999997</v>
      </c>
      <c r="SI18" s="271">
        <v>17337433.690000001</v>
      </c>
      <c r="SJ18" s="271">
        <v>23362241.989999998</v>
      </c>
      <c r="SK18" s="271">
        <v>28464846.260000002</v>
      </c>
      <c r="SL18" s="271">
        <v>4139045.38</v>
      </c>
      <c r="SM18" s="271">
        <v>94036272.650000006</v>
      </c>
      <c r="SN18" s="271">
        <v>13408385.41</v>
      </c>
      <c r="SO18" s="271">
        <v>13781836.609999999</v>
      </c>
      <c r="SP18" s="271">
        <v>29283706.460000001</v>
      </c>
      <c r="SQ18" s="271">
        <v>9279560.2599999998</v>
      </c>
      <c r="SR18" s="271">
        <v>11480974.460000001</v>
      </c>
      <c r="SS18" s="271">
        <v>10935497.18</v>
      </c>
      <c r="ST18" s="271">
        <v>5213663.99</v>
      </c>
      <c r="SU18" s="271">
        <v>209505354.43000001</v>
      </c>
      <c r="SV18" s="271">
        <v>5795876.7800000003</v>
      </c>
      <c r="SW18" s="271">
        <v>25350077.550000001</v>
      </c>
      <c r="SX18" s="271">
        <v>8706102.7699999996</v>
      </c>
      <c r="SY18" s="271">
        <v>4358313.7300000004</v>
      </c>
      <c r="SZ18" s="271">
        <v>5920433.6500000004</v>
      </c>
      <c r="TA18" s="271">
        <v>10755345.189999999</v>
      </c>
      <c r="TB18" s="271">
        <v>46479802.049999997</v>
      </c>
      <c r="TC18" s="271">
        <v>5467668.1799999997</v>
      </c>
      <c r="TD18" s="271">
        <v>4996645.5199999996</v>
      </c>
      <c r="TE18" s="271">
        <v>9277793.9399999995</v>
      </c>
      <c r="TF18" s="271">
        <v>24856431.050000001</v>
      </c>
      <c r="TG18" s="271">
        <v>7489677.0499999998</v>
      </c>
      <c r="TH18" s="271">
        <v>5610453.2800000003</v>
      </c>
      <c r="TI18" s="271">
        <v>521423243.88999999</v>
      </c>
      <c r="TJ18" s="271">
        <v>8287901.7300000004</v>
      </c>
      <c r="TK18" s="271">
        <v>6087687.5199999996</v>
      </c>
      <c r="TL18" s="271">
        <v>22675864.02</v>
      </c>
      <c r="TM18" s="271">
        <v>15229356.699999999</v>
      </c>
      <c r="TN18" s="271">
        <v>11680385.57</v>
      </c>
      <c r="TO18" s="271">
        <v>2959946.08</v>
      </c>
      <c r="TP18" s="271">
        <v>54021658.420000002</v>
      </c>
      <c r="TQ18" s="271">
        <v>8268694.7000000002</v>
      </c>
      <c r="TR18" s="271">
        <v>18233646.09</v>
      </c>
      <c r="TS18" s="271">
        <v>20029436.170000002</v>
      </c>
      <c r="TT18" s="271">
        <v>6921157.3499999996</v>
      </c>
      <c r="TU18" s="271">
        <v>3982884.19</v>
      </c>
      <c r="TV18" s="271">
        <v>8508949.3499999996</v>
      </c>
      <c r="TW18" s="271">
        <v>8797352.4600000009</v>
      </c>
      <c r="TX18" s="271">
        <v>7089960.8399999999</v>
      </c>
      <c r="TY18" s="271">
        <v>112496039.11</v>
      </c>
      <c r="TZ18" s="271">
        <v>6583313.9199999999</v>
      </c>
      <c r="UA18" s="271">
        <v>229642701.28</v>
      </c>
      <c r="UB18" s="271">
        <v>27629771.719999999</v>
      </c>
      <c r="UC18" s="271">
        <v>7095649.2300000004</v>
      </c>
      <c r="UD18" s="271">
        <v>8374101.2400000002</v>
      </c>
      <c r="UE18" s="271">
        <v>70189830.569999993</v>
      </c>
      <c r="UF18" s="271">
        <v>5057893.46</v>
      </c>
      <c r="UG18" s="271">
        <v>1896603.99</v>
      </c>
      <c r="UH18" s="271">
        <v>8383663.7599999998</v>
      </c>
      <c r="UI18" s="271">
        <v>7580868.6799999997</v>
      </c>
      <c r="UJ18" s="271">
        <v>96388091.180000007</v>
      </c>
      <c r="UK18" s="271">
        <v>17948335.120000001</v>
      </c>
      <c r="UL18" s="271">
        <v>12479993.93</v>
      </c>
      <c r="UM18" s="271">
        <v>19521014.350000001</v>
      </c>
      <c r="UN18" s="271">
        <v>17126877.109999999</v>
      </c>
      <c r="UO18" s="271">
        <v>8737986.6099999994</v>
      </c>
      <c r="UP18" s="271">
        <v>863806934.98000002</v>
      </c>
      <c r="UQ18" s="271">
        <v>14166921.84</v>
      </c>
      <c r="UR18" s="271">
        <v>12513029.25</v>
      </c>
      <c r="US18" s="271">
        <v>83765337.239999995</v>
      </c>
      <c r="UT18" s="271">
        <v>3645858.13</v>
      </c>
      <c r="UU18" s="271">
        <v>11058477.140000001</v>
      </c>
      <c r="UV18" s="271">
        <v>41717129.859999999</v>
      </c>
      <c r="UW18" s="271">
        <v>7562021.4199999999</v>
      </c>
      <c r="UX18" s="271">
        <v>7064680.5</v>
      </c>
      <c r="UY18" s="271">
        <v>9390946.2599999998</v>
      </c>
      <c r="UZ18" s="271">
        <v>10952564.869999999</v>
      </c>
      <c r="VA18" s="271">
        <v>36778314.649999999</v>
      </c>
      <c r="VB18" s="271">
        <v>15313076.42</v>
      </c>
      <c r="VC18" s="271">
        <v>30941213.16</v>
      </c>
      <c r="VD18" s="271">
        <v>4320702.63</v>
      </c>
      <c r="VE18" s="271">
        <v>5170477.9400000004</v>
      </c>
      <c r="VF18" s="271">
        <v>6157709.2199999997</v>
      </c>
      <c r="VG18" s="271">
        <v>5459589.4000000004</v>
      </c>
      <c r="VH18" s="271">
        <v>36446345.350000001</v>
      </c>
      <c r="VI18" s="271">
        <v>3776168.25</v>
      </c>
      <c r="VJ18" s="271">
        <v>3713684.76</v>
      </c>
      <c r="VK18" s="271">
        <v>3821341.35</v>
      </c>
      <c r="VL18" s="271">
        <v>301892891.25999999</v>
      </c>
      <c r="VM18" s="271">
        <v>21121788.440000001</v>
      </c>
      <c r="VN18" s="271">
        <v>9348383.9399999995</v>
      </c>
      <c r="VO18" s="271">
        <v>31979768.539999999</v>
      </c>
      <c r="VP18" s="271">
        <v>43618365.299999997</v>
      </c>
      <c r="VQ18" s="271">
        <v>37841717.960000001</v>
      </c>
      <c r="VR18" s="271">
        <v>17063853.350000001</v>
      </c>
      <c r="VS18" s="271">
        <v>19163711.59</v>
      </c>
      <c r="VT18" s="271">
        <v>11405332.82</v>
      </c>
      <c r="VU18" s="271">
        <v>55935422.289999999</v>
      </c>
      <c r="VV18" s="271">
        <v>11301579.73</v>
      </c>
      <c r="VW18" s="271">
        <v>53727371.479999997</v>
      </c>
      <c r="VX18" s="271">
        <v>14889702.119999999</v>
      </c>
      <c r="VY18" s="271">
        <v>7049223.0099999998</v>
      </c>
      <c r="VZ18" s="271">
        <v>5554932.5</v>
      </c>
      <c r="WA18" s="271">
        <v>1362137404.53</v>
      </c>
      <c r="WB18" s="271">
        <v>27262580.420000002</v>
      </c>
      <c r="WC18" s="271">
        <v>16346596.779999999</v>
      </c>
      <c r="WD18" s="271">
        <v>16448406.02</v>
      </c>
      <c r="WE18" s="271">
        <v>8360589.0700000003</v>
      </c>
      <c r="WF18" s="271">
        <v>16115334.25</v>
      </c>
      <c r="WG18" s="271">
        <v>37634930.729999997</v>
      </c>
      <c r="WH18" s="271">
        <v>58628325.289999999</v>
      </c>
      <c r="WI18" s="271">
        <v>15840085.02</v>
      </c>
      <c r="WJ18" s="271">
        <v>23777430.109999999</v>
      </c>
      <c r="WK18" s="271">
        <v>20009364.960000001</v>
      </c>
      <c r="WL18" s="271">
        <v>65163536.899999999</v>
      </c>
      <c r="WM18" s="271">
        <v>15606070.720000001</v>
      </c>
      <c r="WN18" s="271">
        <v>46516482.159999996</v>
      </c>
      <c r="WO18" s="271">
        <v>95045370.200000003</v>
      </c>
      <c r="WP18" s="271">
        <v>32265960.859999999</v>
      </c>
      <c r="WQ18" s="271">
        <v>19225467.899999999</v>
      </c>
      <c r="WR18" s="271">
        <v>33326419.41</v>
      </c>
      <c r="WS18" s="271">
        <v>7728100.0199999996</v>
      </c>
      <c r="WT18" s="271">
        <v>58360418.07</v>
      </c>
      <c r="WU18" s="271">
        <v>103728019.34999999</v>
      </c>
      <c r="WV18" s="271">
        <v>13859584.199999999</v>
      </c>
      <c r="WW18" s="271">
        <v>17264216.760000002</v>
      </c>
      <c r="WX18" s="271">
        <v>7543528.2199999997</v>
      </c>
      <c r="WY18" s="271">
        <v>7254921.25</v>
      </c>
      <c r="WZ18" s="271">
        <v>12936173.52</v>
      </c>
      <c r="XA18" s="271">
        <v>8029829.9500000002</v>
      </c>
      <c r="XB18" s="271">
        <v>9772894.5299999993</v>
      </c>
      <c r="XC18" s="271">
        <v>61442792.409999996</v>
      </c>
      <c r="XD18" s="271">
        <v>6429266.0800000001</v>
      </c>
      <c r="XE18" s="271">
        <v>9791994.3000000007</v>
      </c>
      <c r="XF18" s="271">
        <v>3970690.35</v>
      </c>
      <c r="XG18" s="271">
        <v>5972511.3300000001</v>
      </c>
      <c r="XH18" s="271">
        <v>567633245.88999999</v>
      </c>
      <c r="XI18" s="271">
        <v>17461966.850000001</v>
      </c>
      <c r="XJ18" s="271">
        <v>20613783.870000001</v>
      </c>
      <c r="XK18" s="271">
        <v>100239685.36</v>
      </c>
      <c r="XL18" s="271">
        <v>17189116.829999998</v>
      </c>
      <c r="XM18" s="271">
        <v>22938205.52</v>
      </c>
      <c r="XN18" s="271">
        <v>34970104.25</v>
      </c>
      <c r="XO18" s="271">
        <v>14417850.26</v>
      </c>
      <c r="XP18" s="271">
        <v>12200051.109999999</v>
      </c>
      <c r="XQ18" s="271">
        <v>35687993.600000001</v>
      </c>
      <c r="XR18" s="271">
        <v>27393044.390000001</v>
      </c>
      <c r="XS18" s="271">
        <v>9428755.9299999997</v>
      </c>
      <c r="XT18" s="271">
        <v>8505954.3399999999</v>
      </c>
      <c r="XU18" s="271">
        <v>19658765</v>
      </c>
      <c r="XV18" s="271">
        <v>10157240.289999999</v>
      </c>
      <c r="XW18" s="271">
        <v>6003133.0300000003</v>
      </c>
      <c r="XX18" s="271">
        <v>6434361.5099999998</v>
      </c>
      <c r="XY18" s="271">
        <v>6274108.0599999996</v>
      </c>
      <c r="XZ18" s="271">
        <v>7282824.8499999996</v>
      </c>
      <c r="YA18" s="271">
        <v>7789395.9000000004</v>
      </c>
      <c r="YB18" s="271">
        <v>8380837.6600000001</v>
      </c>
      <c r="YC18" s="271">
        <v>6838924.25</v>
      </c>
      <c r="YD18" s="271">
        <v>5016727.3600000003</v>
      </c>
      <c r="YE18" s="271">
        <v>760446313.64999998</v>
      </c>
      <c r="YF18" s="271">
        <v>24121821.739999998</v>
      </c>
      <c r="YG18" s="271">
        <v>31085505.879999999</v>
      </c>
      <c r="YH18" s="271">
        <v>17911911.559999999</v>
      </c>
      <c r="YI18" s="271">
        <v>93184234.159999996</v>
      </c>
      <c r="YJ18" s="271">
        <v>23537900.91</v>
      </c>
      <c r="YK18" s="271">
        <v>39437150.060000002</v>
      </c>
      <c r="YL18" s="271">
        <v>10131391.68</v>
      </c>
      <c r="YM18" s="271">
        <v>60906378.920000002</v>
      </c>
      <c r="YN18" s="271">
        <v>31073012.059999999</v>
      </c>
      <c r="YO18" s="271">
        <v>15893268.140000001</v>
      </c>
      <c r="YP18" s="271">
        <v>9769448.4000000004</v>
      </c>
      <c r="YQ18" s="271">
        <v>16375996.699999999</v>
      </c>
      <c r="YR18" s="271">
        <v>14996907.43</v>
      </c>
      <c r="YS18" s="271">
        <v>12011071.08</v>
      </c>
      <c r="YT18" s="271">
        <v>6296134.2800000003</v>
      </c>
      <c r="YU18" s="271">
        <v>13675510.48</v>
      </c>
      <c r="YV18" s="271">
        <v>147629494.86000001</v>
      </c>
      <c r="YW18" s="271">
        <v>8105688.54</v>
      </c>
      <c r="YX18" s="271">
        <v>7851173.29</v>
      </c>
      <c r="YY18" s="271">
        <v>5859224.9299999997</v>
      </c>
      <c r="YZ18" s="271">
        <v>12377293.42</v>
      </c>
      <c r="ZA18" s="271">
        <v>4228554.8</v>
      </c>
      <c r="ZB18" s="271">
        <v>4874863.57</v>
      </c>
      <c r="ZC18" s="271">
        <v>194637628.03</v>
      </c>
      <c r="ZD18" s="271">
        <v>6430703.8399999999</v>
      </c>
      <c r="ZE18" s="271">
        <v>12088131.640000001</v>
      </c>
      <c r="ZF18" s="271">
        <v>27691834.640000001</v>
      </c>
      <c r="ZG18" s="271">
        <v>7760880.5499999998</v>
      </c>
      <c r="ZH18" s="271">
        <v>9883354.0600000005</v>
      </c>
      <c r="ZI18" s="271">
        <v>4569987.75</v>
      </c>
      <c r="ZJ18" s="271">
        <v>7321103.7300000004</v>
      </c>
      <c r="ZK18" s="271">
        <v>48907112.350000001</v>
      </c>
      <c r="ZL18" s="271">
        <v>391488930.77999997</v>
      </c>
      <c r="ZM18" s="271">
        <v>8255376.5499999998</v>
      </c>
      <c r="ZN18" s="271">
        <v>42651359.869999997</v>
      </c>
      <c r="ZO18" s="271">
        <v>97737376.030000001</v>
      </c>
      <c r="ZP18" s="271">
        <v>34788706.789999999</v>
      </c>
      <c r="ZQ18" s="271">
        <v>8862170.4399999995</v>
      </c>
      <c r="ZR18" s="271">
        <v>15907483.92</v>
      </c>
      <c r="ZS18" s="271">
        <v>28475977.569999997</v>
      </c>
      <c r="ZT18" s="271">
        <v>28034093.969999999</v>
      </c>
      <c r="ZU18" s="271">
        <v>33145162.870000001</v>
      </c>
      <c r="ZV18" s="271">
        <v>4664812.92</v>
      </c>
      <c r="ZW18" s="271">
        <v>8987258.2400000002</v>
      </c>
      <c r="ZX18" s="271">
        <v>16308186.27</v>
      </c>
      <c r="ZY18" s="271">
        <v>22783244</v>
      </c>
      <c r="ZZ18" s="271">
        <v>6555156.4199999999</v>
      </c>
      <c r="AAA18" s="271">
        <v>9148643.2400000002</v>
      </c>
      <c r="AAB18" s="271">
        <v>11311050.460000001</v>
      </c>
      <c r="AAC18" s="271">
        <v>3351751.15</v>
      </c>
      <c r="AAD18" s="271">
        <v>11921593.84</v>
      </c>
      <c r="AAE18" s="271">
        <v>7086198.5999999996</v>
      </c>
      <c r="AAF18" s="271">
        <v>4637187.4400000004</v>
      </c>
      <c r="AAG18" s="271">
        <v>6041588.0899999999</v>
      </c>
      <c r="AAH18" s="271">
        <v>203448148.88</v>
      </c>
      <c r="AAI18" s="271">
        <v>8409560.4399999995</v>
      </c>
      <c r="AAJ18" s="271">
        <v>10466631.310000001</v>
      </c>
      <c r="AAK18" s="271">
        <v>7762854.2599999998</v>
      </c>
      <c r="AAL18" s="271">
        <v>6920468.1200000001</v>
      </c>
      <c r="AAM18" s="271">
        <v>17901611.640000001</v>
      </c>
      <c r="AAN18" s="271">
        <v>8743302.1699999999</v>
      </c>
      <c r="AAO18" s="271">
        <v>1006919726.54</v>
      </c>
      <c r="AAP18" s="271">
        <v>16224004.91</v>
      </c>
      <c r="AAQ18" s="271">
        <v>6910553.9900000002</v>
      </c>
      <c r="AAR18" s="271">
        <v>37403717.210000001</v>
      </c>
      <c r="AAS18" s="271">
        <v>22611782.530000001</v>
      </c>
      <c r="AAT18" s="271">
        <v>17729306.239999998</v>
      </c>
      <c r="AAU18" s="271">
        <v>13479672.5</v>
      </c>
      <c r="AAV18" s="271">
        <v>22411497.440000001</v>
      </c>
      <c r="AAW18" s="271">
        <v>63692510.979999997</v>
      </c>
      <c r="AAX18" s="271">
        <v>10627734.34</v>
      </c>
      <c r="AAY18" s="271">
        <v>19441114.530000001</v>
      </c>
      <c r="AAZ18" s="271">
        <v>101399331.3</v>
      </c>
      <c r="ABA18" s="271">
        <v>51812976.880000003</v>
      </c>
      <c r="ABB18" s="271">
        <v>5055435.13</v>
      </c>
      <c r="ABC18" s="271">
        <v>10477716.57</v>
      </c>
      <c r="ABD18" s="271">
        <v>13036860.289999999</v>
      </c>
      <c r="ABE18" s="271">
        <v>9467450.3900000006</v>
      </c>
      <c r="ABF18" s="271">
        <v>15516143.380000001</v>
      </c>
      <c r="ABG18" s="271">
        <v>8545236.2699999996</v>
      </c>
      <c r="ABH18" s="271">
        <v>83463205.719999999</v>
      </c>
      <c r="ABI18" s="271">
        <v>60513465.560000002</v>
      </c>
      <c r="ABJ18" s="271">
        <v>7901875.0999999996</v>
      </c>
      <c r="ABK18" s="271">
        <v>7712180.7999999998</v>
      </c>
      <c r="ABL18" s="271">
        <v>5568057.3399999999</v>
      </c>
      <c r="ABM18" s="271">
        <v>3900576.7</v>
      </c>
      <c r="ABN18" s="271">
        <v>5158944.25</v>
      </c>
      <c r="ABO18" s="271">
        <v>171252907.75</v>
      </c>
      <c r="ABP18" s="271">
        <v>11011598.550000001</v>
      </c>
      <c r="ABQ18" s="271">
        <v>8041911.9199999999</v>
      </c>
      <c r="ABR18" s="271">
        <v>19178983.859999999</v>
      </c>
      <c r="ABS18" s="271">
        <v>10532722.52</v>
      </c>
      <c r="ABT18" s="271">
        <v>8326426</v>
      </c>
      <c r="ABU18" s="271">
        <v>7547213.1200000001</v>
      </c>
      <c r="ABV18" s="271">
        <v>10106633.619999999</v>
      </c>
      <c r="ABW18" s="271">
        <v>498726.62</v>
      </c>
      <c r="ABX18" s="271">
        <v>171573320.31999999</v>
      </c>
      <c r="ABY18" s="271">
        <v>8558823.1999999993</v>
      </c>
      <c r="ABZ18" s="271">
        <v>25071103.350000001</v>
      </c>
      <c r="ACA18" s="271">
        <v>5967323.2300000004</v>
      </c>
      <c r="ACB18" s="271">
        <v>4424072.26</v>
      </c>
      <c r="ACC18" s="271">
        <v>32261927.800000001</v>
      </c>
      <c r="ACD18" s="271">
        <v>5001416.88</v>
      </c>
      <c r="ACE18" s="271">
        <v>7230227.0499999998</v>
      </c>
      <c r="ACF18" s="271">
        <v>5284920.4800000004</v>
      </c>
      <c r="ACG18" s="271">
        <v>17814977.73</v>
      </c>
      <c r="ACH18" s="271">
        <v>4417825.93</v>
      </c>
      <c r="ACI18" s="271">
        <v>445386279.76999998</v>
      </c>
      <c r="ACJ18" s="271">
        <v>6629527.6900000004</v>
      </c>
      <c r="ACK18" s="271">
        <v>13223485.220000001</v>
      </c>
      <c r="ACL18" s="271">
        <v>19940060.960000001</v>
      </c>
      <c r="ACM18" s="271">
        <v>8858180.6799999997</v>
      </c>
      <c r="ACN18" s="271">
        <v>9856065.9900000002</v>
      </c>
      <c r="ACO18" s="271">
        <v>19415374.629999999</v>
      </c>
      <c r="ACP18" s="271">
        <v>64872740.030000001</v>
      </c>
      <c r="ACQ18" s="271">
        <v>103018098.48999999</v>
      </c>
      <c r="ACR18" s="271">
        <v>6594269.7599999998</v>
      </c>
      <c r="ACS18" s="271">
        <v>14752515.48</v>
      </c>
      <c r="ACT18" s="271">
        <v>10949516.85</v>
      </c>
      <c r="ACU18" s="271">
        <v>17759737.350000001</v>
      </c>
      <c r="ACV18" s="271">
        <v>56640374.850000001</v>
      </c>
      <c r="ACW18" s="271">
        <v>10042981.09</v>
      </c>
      <c r="ACX18" s="271">
        <v>10134351.550000001</v>
      </c>
      <c r="ACY18" s="271">
        <v>4050789.59</v>
      </c>
      <c r="ACZ18" s="271">
        <v>2636060.9</v>
      </c>
      <c r="ADA18" s="271">
        <v>9126383.3399999999</v>
      </c>
      <c r="ADB18" s="271">
        <v>4720969.8499999996</v>
      </c>
      <c r="ADC18" s="271">
        <v>4385966.9000000004</v>
      </c>
      <c r="ADD18" s="271">
        <v>5560074.2999999998</v>
      </c>
      <c r="ADE18" s="271">
        <v>11272089.359999999</v>
      </c>
      <c r="ADF18" s="271">
        <v>73301239.010000005</v>
      </c>
      <c r="ADG18" s="271">
        <v>56883303.18</v>
      </c>
      <c r="ADH18" s="271">
        <v>3461677.53</v>
      </c>
      <c r="ADI18" s="271">
        <v>2702303.03</v>
      </c>
      <c r="ADJ18" s="271">
        <v>22125967.52</v>
      </c>
      <c r="ADK18" s="271">
        <v>1395869.17</v>
      </c>
      <c r="ADL18" s="271">
        <v>6699509.1699999999</v>
      </c>
      <c r="ADM18" s="271">
        <v>5525232.8700000001</v>
      </c>
      <c r="ADN18" s="271">
        <v>7352164.5499999998</v>
      </c>
      <c r="ADO18" s="271">
        <v>360662991.33999997</v>
      </c>
      <c r="ADP18" s="271">
        <v>16582858.199999999</v>
      </c>
      <c r="ADQ18" s="271">
        <v>21742325.43</v>
      </c>
      <c r="ADR18" s="271">
        <v>3027870.81</v>
      </c>
      <c r="ADS18" s="271">
        <v>75482018.930000007</v>
      </c>
      <c r="ADT18" s="271">
        <v>2519742.41</v>
      </c>
      <c r="ADU18" s="271">
        <v>3312078.1</v>
      </c>
      <c r="ADV18" s="271">
        <v>6798825.5999999996</v>
      </c>
      <c r="ADW18" s="271">
        <v>2377618.31</v>
      </c>
      <c r="ADX18" s="271">
        <v>1009043.54</v>
      </c>
      <c r="ADY18" s="271">
        <v>728912486.63999999</v>
      </c>
      <c r="ADZ18" s="271">
        <v>42835460.18</v>
      </c>
      <c r="AEA18" s="271">
        <v>35852377.590000004</v>
      </c>
      <c r="AEB18" s="271">
        <v>7920343.9400000004</v>
      </c>
      <c r="AEC18" s="271">
        <v>8174945.5</v>
      </c>
      <c r="AED18" s="271">
        <v>33137039.800000001</v>
      </c>
      <c r="AEE18" s="271">
        <v>11129770.25</v>
      </c>
      <c r="AEF18" s="271">
        <v>10180692.66</v>
      </c>
      <c r="AEG18" s="271">
        <v>5754910.0999999996</v>
      </c>
      <c r="AEH18" s="271">
        <v>12928353.859999999</v>
      </c>
      <c r="AEI18" s="271">
        <v>14425363.43</v>
      </c>
      <c r="AEJ18" s="271">
        <v>21105778.079999998</v>
      </c>
      <c r="AEK18" s="271">
        <v>7745050.6299999999</v>
      </c>
      <c r="AEL18" s="271">
        <v>11881771.050000001</v>
      </c>
      <c r="AEM18" s="271">
        <v>17646087.280000001</v>
      </c>
      <c r="AEN18" s="271">
        <v>16504110.550000001</v>
      </c>
      <c r="AEO18" s="271">
        <v>4198328.18</v>
      </c>
      <c r="AEP18" s="271">
        <v>25807772.960000001</v>
      </c>
      <c r="AEQ18" s="271">
        <v>6335333.71</v>
      </c>
      <c r="AER18" s="271">
        <v>16854298.600000001</v>
      </c>
      <c r="AES18" s="271">
        <v>323829493.44999999</v>
      </c>
      <c r="AET18" s="271">
        <v>23079557.219999999</v>
      </c>
      <c r="AEU18" s="271">
        <v>22058146.670000002</v>
      </c>
      <c r="AEV18" s="271">
        <v>12431051.41</v>
      </c>
      <c r="AEW18" s="271">
        <v>9297418.6999999993</v>
      </c>
      <c r="AEX18" s="271">
        <v>33864697.159999996</v>
      </c>
      <c r="AEY18" s="271">
        <v>9977911.4000000004</v>
      </c>
      <c r="AEZ18" s="271">
        <v>15619109.9</v>
      </c>
      <c r="AFA18" s="271">
        <v>11764710.92</v>
      </c>
      <c r="AFB18" s="271">
        <v>3274660.65</v>
      </c>
      <c r="AFC18" s="271">
        <v>157233589.37</v>
      </c>
      <c r="AFD18" s="271">
        <v>77221358.710000008</v>
      </c>
      <c r="AFE18" s="271">
        <v>25046134.609999999</v>
      </c>
      <c r="AFF18" s="271">
        <v>11256421.119999999</v>
      </c>
      <c r="AFG18" s="271">
        <v>13732607.42</v>
      </c>
      <c r="AFH18" s="271">
        <v>11303094.609999999</v>
      </c>
      <c r="AFI18" s="271">
        <v>6104328.7699999996</v>
      </c>
      <c r="AFJ18" s="271">
        <v>9342788.2699999996</v>
      </c>
      <c r="AFK18" s="271">
        <v>5333149.41</v>
      </c>
      <c r="AFL18" s="271">
        <v>6933234.6399999997</v>
      </c>
      <c r="AFM18" s="271">
        <v>6108078.5300000003</v>
      </c>
      <c r="AFN18" s="271">
        <v>7157448.2199999997</v>
      </c>
      <c r="AFO18" s="271">
        <v>7895511.5999999996</v>
      </c>
      <c r="AFP18" s="271">
        <v>142322526.08000001</v>
      </c>
      <c r="AFQ18" s="271">
        <v>12521040.609999999</v>
      </c>
      <c r="AFR18" s="271">
        <v>9626003.9299999997</v>
      </c>
      <c r="AFS18" s="271">
        <v>5500488.5099999998</v>
      </c>
      <c r="AFT18" s="271">
        <v>6647760.4100000001</v>
      </c>
      <c r="AFU18" s="271">
        <v>3593438.97</v>
      </c>
      <c r="AFV18" s="271">
        <v>3397027.27</v>
      </c>
      <c r="AFW18" s="271">
        <v>11508177.58</v>
      </c>
      <c r="AFX18" s="271">
        <v>7768399.8600000003</v>
      </c>
      <c r="AFY18" s="271">
        <v>7793189.4800000004</v>
      </c>
      <c r="AFZ18" s="271">
        <v>16834000.77</v>
      </c>
      <c r="AGA18" s="271">
        <v>4529432.38</v>
      </c>
      <c r="AGB18" s="271">
        <v>299853220.60000002</v>
      </c>
      <c r="AGC18" s="271">
        <v>12713791.1</v>
      </c>
      <c r="AGD18" s="271">
        <v>8862237.4600000009</v>
      </c>
      <c r="AGE18" s="271">
        <v>8057107.6699999999</v>
      </c>
      <c r="AGF18" s="271">
        <v>26123921.920000002</v>
      </c>
      <c r="AGG18" s="271">
        <v>9617788.0500000007</v>
      </c>
      <c r="AGH18" s="271">
        <v>3904339.49</v>
      </c>
      <c r="AGI18" s="271">
        <v>15339515.09</v>
      </c>
      <c r="AGJ18" s="271">
        <v>4945707.17</v>
      </c>
      <c r="AGK18" s="271">
        <v>7306424.9199999999</v>
      </c>
      <c r="AGL18" s="271">
        <v>3482817.71</v>
      </c>
      <c r="AGM18" s="271">
        <v>262889899.92999998</v>
      </c>
      <c r="AGN18" s="271">
        <v>25016424.789999999</v>
      </c>
      <c r="AGO18" s="271">
        <v>8780068.2400000002</v>
      </c>
      <c r="AGP18" s="271">
        <v>7908630.3200000003</v>
      </c>
      <c r="AGQ18" s="271">
        <v>14780425.810000001</v>
      </c>
      <c r="AGR18" s="271">
        <v>6510842.8899999997</v>
      </c>
      <c r="AGS18" s="271">
        <v>3783451.1300000004</v>
      </c>
      <c r="AGT18" s="271">
        <v>4264068.1099999994</v>
      </c>
      <c r="AGU18" s="271">
        <v>449503786.31999999</v>
      </c>
      <c r="AGV18" s="271">
        <v>468570957.94</v>
      </c>
      <c r="AGW18" s="271">
        <v>10032394.93</v>
      </c>
      <c r="AGX18" s="271">
        <v>34100293.390000001</v>
      </c>
      <c r="AGY18" s="271">
        <v>64419238.950000003</v>
      </c>
      <c r="AGZ18" s="271">
        <v>17234719.620000001</v>
      </c>
      <c r="AHA18" s="271">
        <v>16012932.640000001</v>
      </c>
      <c r="AHB18" s="271">
        <v>30847182.359999999</v>
      </c>
      <c r="AHC18" s="271">
        <v>5649185.0200000005</v>
      </c>
      <c r="AHD18" s="271">
        <v>11031558.26</v>
      </c>
      <c r="AHE18" s="271">
        <v>29598765.170000002</v>
      </c>
      <c r="AHF18" s="271">
        <v>9981638.4800000004</v>
      </c>
      <c r="AHG18" s="271">
        <v>5230440.83</v>
      </c>
      <c r="AHH18" s="271">
        <v>7468709.4500000002</v>
      </c>
      <c r="AHI18" s="271">
        <v>8794576.9600000009</v>
      </c>
      <c r="AHJ18" s="271">
        <v>7904107.2400000002</v>
      </c>
      <c r="AHK18" s="271">
        <v>5830733.8499999996</v>
      </c>
      <c r="AHL18" s="271">
        <v>108622659.73</v>
      </c>
      <c r="AHM18" s="271">
        <v>5701477.8700000001</v>
      </c>
      <c r="AHN18" s="271">
        <v>6880339.0499999998</v>
      </c>
      <c r="AHO18" s="271">
        <v>4425255.42</v>
      </c>
      <c r="AHP18" s="271">
        <v>19458821.84</v>
      </c>
      <c r="AHQ18" s="294">
        <v>5267280.72</v>
      </c>
      <c r="AHR18" s="329">
        <v>4798123.7699999996</v>
      </c>
      <c r="AHS18" s="294">
        <f>SUM(D18:AHR18)</f>
        <v>41596085803.489822</v>
      </c>
      <c r="AHT18" s="269" t="b">
        <f t="shared" si="1"/>
        <v>1</v>
      </c>
      <c r="AHU18" s="273" t="s">
        <v>19</v>
      </c>
    </row>
    <row r="19" spans="1:905" ht="23.4" customHeight="1" x14ac:dyDescent="0.7">
      <c r="B19" s="268" t="s">
        <v>21</v>
      </c>
      <c r="C19" s="269" t="s">
        <v>22</v>
      </c>
      <c r="D19" s="271">
        <v>312465960.17000002</v>
      </c>
      <c r="E19" s="271">
        <v>3706292.47</v>
      </c>
      <c r="F19" s="271">
        <v>6160974.1399999997</v>
      </c>
      <c r="G19" s="271">
        <v>1277477.8899999999</v>
      </c>
      <c r="H19" s="271">
        <v>25075644.699999999</v>
      </c>
      <c r="I19" s="271">
        <v>2648933.77</v>
      </c>
      <c r="J19" s="271">
        <v>17605517.469999999</v>
      </c>
      <c r="K19" s="271">
        <v>3823710.09</v>
      </c>
      <c r="L19" s="271">
        <v>4380293.18</v>
      </c>
      <c r="M19" s="271">
        <v>3619709.12</v>
      </c>
      <c r="N19" s="271">
        <v>2660987.02</v>
      </c>
      <c r="O19" s="271">
        <v>1993197.75</v>
      </c>
      <c r="P19" s="271">
        <v>4367688.43</v>
      </c>
      <c r="Q19" s="271">
        <v>1939139.27</v>
      </c>
      <c r="R19" s="271">
        <v>2183936.02</v>
      </c>
      <c r="S19" s="271">
        <v>8144184.4699999997</v>
      </c>
      <c r="T19" s="271">
        <v>3363352.97</v>
      </c>
      <c r="U19" s="271">
        <v>659691.18000000005</v>
      </c>
      <c r="V19" s="271">
        <v>262330233.78</v>
      </c>
      <c r="W19" s="271">
        <v>36777087.219999999</v>
      </c>
      <c r="X19" s="271">
        <v>3848984.45</v>
      </c>
      <c r="Y19" s="271">
        <v>6028448.46</v>
      </c>
      <c r="Z19" s="271">
        <v>3464204.66</v>
      </c>
      <c r="AA19" s="271">
        <v>3671873.06</v>
      </c>
      <c r="AB19" s="271">
        <v>1065260.55</v>
      </c>
      <c r="AC19" s="271">
        <v>40514261.120000005</v>
      </c>
      <c r="AD19" s="271">
        <v>5112690.9700000007</v>
      </c>
      <c r="AE19" s="271">
        <v>2910584.6100000003</v>
      </c>
      <c r="AF19" s="271">
        <v>21763589.129999999</v>
      </c>
      <c r="AG19" s="271">
        <v>4519570.88</v>
      </c>
      <c r="AH19" s="271">
        <v>44311386.289999999</v>
      </c>
      <c r="AI19" s="271">
        <v>6336322.4399999995</v>
      </c>
      <c r="AJ19" s="271">
        <v>2891699.32</v>
      </c>
      <c r="AK19" s="271">
        <v>2264446.14</v>
      </c>
      <c r="AL19" s="271">
        <v>3370234.36</v>
      </c>
      <c r="AM19" s="271">
        <v>3059172.71</v>
      </c>
      <c r="AN19" s="271">
        <v>1741242.15</v>
      </c>
      <c r="AO19" s="271">
        <v>2107473.0299999998</v>
      </c>
      <c r="AP19" s="271">
        <v>1179620.74</v>
      </c>
      <c r="AQ19" s="271">
        <v>1471331.6600000001</v>
      </c>
      <c r="AR19" s="271">
        <v>1381017.43</v>
      </c>
      <c r="AS19" s="271">
        <v>875914.55999999994</v>
      </c>
      <c r="AT19" s="271">
        <v>142030685.95999998</v>
      </c>
      <c r="AU19" s="271">
        <v>1299673.24</v>
      </c>
      <c r="AV19" s="271">
        <v>819079.66</v>
      </c>
      <c r="AW19" s="271">
        <v>1424791.3199999998</v>
      </c>
      <c r="AX19" s="271">
        <v>3625618.3</v>
      </c>
      <c r="AY19" s="271">
        <v>4634134.92</v>
      </c>
      <c r="AZ19" s="271">
        <v>1355751.73</v>
      </c>
      <c r="BA19" s="271">
        <v>1830414.8800000001</v>
      </c>
      <c r="BB19" s="271">
        <v>829800.12999999989</v>
      </c>
      <c r="BC19" s="271">
        <v>1040258.63</v>
      </c>
      <c r="BD19" s="271">
        <v>1182378.69</v>
      </c>
      <c r="BE19" s="271">
        <v>715121.83</v>
      </c>
      <c r="BF19" s="271">
        <v>16310312.890000001</v>
      </c>
      <c r="BG19" s="271">
        <v>553766.75</v>
      </c>
      <c r="BH19" s="271">
        <v>1012248.25</v>
      </c>
      <c r="BI19" s="271">
        <v>62407419.07</v>
      </c>
      <c r="BJ19" s="271">
        <v>47698825.850000001</v>
      </c>
      <c r="BK19" s="271">
        <v>4030736.94</v>
      </c>
      <c r="BL19" s="271">
        <v>1454786.04</v>
      </c>
      <c r="BM19" s="271">
        <v>2996918.36</v>
      </c>
      <c r="BN19" s="271">
        <v>4071447.43</v>
      </c>
      <c r="BO19" s="271">
        <v>3083280.0900000003</v>
      </c>
      <c r="BP19" s="271">
        <v>1068678.8600000001</v>
      </c>
      <c r="BQ19" s="271">
        <v>251254.12</v>
      </c>
      <c r="BR19" s="271">
        <v>122334535.36</v>
      </c>
      <c r="BS19" s="271">
        <v>2364739.61</v>
      </c>
      <c r="BT19" s="271">
        <v>3994881.79</v>
      </c>
      <c r="BU19" s="271">
        <v>3078394.66</v>
      </c>
      <c r="BV19" s="271">
        <v>2003701.0799999998</v>
      </c>
      <c r="BW19" s="271">
        <v>1801616.5</v>
      </c>
      <c r="BX19" s="271">
        <v>1359150.2</v>
      </c>
      <c r="BY19" s="271">
        <v>2682545.9300000002</v>
      </c>
      <c r="BZ19" s="271">
        <v>26140235.879999999</v>
      </c>
      <c r="CA19" s="271">
        <v>2807416.56</v>
      </c>
      <c r="CB19" s="271">
        <v>4619226.66</v>
      </c>
      <c r="CC19" s="271">
        <v>9223204.870000001</v>
      </c>
      <c r="CD19" s="271">
        <v>1447267.74</v>
      </c>
      <c r="CE19" s="271">
        <v>1931818.7999999998</v>
      </c>
      <c r="CF19" s="271">
        <v>1017808.11</v>
      </c>
      <c r="CG19" s="271">
        <v>409402559.53999996</v>
      </c>
      <c r="CH19" s="271">
        <v>3829462.09</v>
      </c>
      <c r="CI19" s="271">
        <v>22560222.809999999</v>
      </c>
      <c r="CJ19" s="271">
        <v>1743606.69</v>
      </c>
      <c r="CK19" s="271">
        <v>2723697.11</v>
      </c>
      <c r="CL19" s="271">
        <v>2110344.89</v>
      </c>
      <c r="CM19" s="271">
        <v>2583274.5199999996</v>
      </c>
      <c r="CN19" s="271">
        <v>5845054.96</v>
      </c>
      <c r="CO19" s="271">
        <v>548718.43999999994</v>
      </c>
      <c r="CP19" s="271">
        <v>1616386.6099999999</v>
      </c>
      <c r="CQ19" s="271">
        <v>2082408.87</v>
      </c>
      <c r="CR19" s="271">
        <v>2824925.39</v>
      </c>
      <c r="CS19" s="271">
        <v>1872361.88</v>
      </c>
      <c r="CT19" s="271">
        <v>109118348.07000001</v>
      </c>
      <c r="CU19" s="271">
        <v>1813918.97</v>
      </c>
      <c r="CV19" s="271">
        <v>2385229.59</v>
      </c>
      <c r="CW19" s="271">
        <v>5502698.9800000004</v>
      </c>
      <c r="CX19" s="271">
        <v>1013665.76</v>
      </c>
      <c r="CY19" s="271">
        <v>5205091.32</v>
      </c>
      <c r="CZ19" s="271">
        <v>1830517.1300000001</v>
      </c>
      <c r="DA19" s="271">
        <v>1421981.85</v>
      </c>
      <c r="DB19" s="271">
        <v>84001938.589999989</v>
      </c>
      <c r="DC19" s="271">
        <v>72029186.730000004</v>
      </c>
      <c r="DD19" s="271">
        <v>5433098.79</v>
      </c>
      <c r="DE19" s="271">
        <v>2381728.89</v>
      </c>
      <c r="DF19" s="271">
        <v>6769123.5499999998</v>
      </c>
      <c r="DG19" s="271">
        <v>5339337.99</v>
      </c>
      <c r="DH19" s="271">
        <v>7927129.9500000002</v>
      </c>
      <c r="DI19" s="271">
        <v>11179952.24</v>
      </c>
      <c r="DJ19" s="271">
        <v>1920649.2</v>
      </c>
      <c r="DK19" s="271">
        <v>453652867.43000001</v>
      </c>
      <c r="DL19" s="271">
        <v>3075893.29</v>
      </c>
      <c r="DM19" s="271">
        <v>5931976.8599999994</v>
      </c>
      <c r="DN19" s="271">
        <v>8329740.6699999999</v>
      </c>
      <c r="DO19" s="271">
        <v>4449209.47</v>
      </c>
      <c r="DP19" s="271">
        <v>2993526.67</v>
      </c>
      <c r="DQ19" s="271">
        <v>10793940.68</v>
      </c>
      <c r="DR19" s="271">
        <v>3929439.23</v>
      </c>
      <c r="DS19" s="271">
        <v>12550834.630000001</v>
      </c>
      <c r="DT19" s="271">
        <v>132464583.87</v>
      </c>
      <c r="DU19" s="271">
        <v>7158666.6699999999</v>
      </c>
      <c r="DV19" s="271">
        <v>20786771.800000001</v>
      </c>
      <c r="DW19" s="271">
        <v>33876171.240000002</v>
      </c>
      <c r="DX19" s="271">
        <v>7520743.9400000004</v>
      </c>
      <c r="DY19" s="271">
        <v>10026309.99</v>
      </c>
      <c r="DZ19" s="271">
        <v>4002315.31</v>
      </c>
      <c r="EA19" s="271">
        <v>1478326.76</v>
      </c>
      <c r="EB19" s="271">
        <v>4003110.6</v>
      </c>
      <c r="EC19" s="271">
        <v>5836656.6399999997</v>
      </c>
      <c r="ED19" s="271">
        <v>6889617.7199999997</v>
      </c>
      <c r="EE19" s="271">
        <v>55990895.099999994</v>
      </c>
      <c r="EF19" s="271">
        <v>43473874.899999999</v>
      </c>
      <c r="EG19" s="271">
        <v>3522094.52</v>
      </c>
      <c r="EH19" s="271">
        <v>3521734.1399999997</v>
      </c>
      <c r="EI19" s="271">
        <v>4623320.66</v>
      </c>
      <c r="EJ19" s="271">
        <v>6161873.46</v>
      </c>
      <c r="EK19" s="271">
        <v>7309266.21</v>
      </c>
      <c r="EL19" s="271">
        <v>2342860.7599999998</v>
      </c>
      <c r="EM19" s="271">
        <v>4337851.84</v>
      </c>
      <c r="EN19" s="271">
        <v>157575490.78999999</v>
      </c>
      <c r="EO19" s="271">
        <v>2043472.48</v>
      </c>
      <c r="EP19" s="271">
        <v>2940913.5900000003</v>
      </c>
      <c r="EQ19" s="271">
        <v>3286510.9699999997</v>
      </c>
      <c r="ER19" s="271">
        <v>1810352.7</v>
      </c>
      <c r="ES19" s="271">
        <v>1082587.49</v>
      </c>
      <c r="ET19" s="271">
        <v>6409411.8399999999</v>
      </c>
      <c r="EU19" s="271">
        <v>3270977.42</v>
      </c>
      <c r="EV19" s="271">
        <v>1852407.47</v>
      </c>
      <c r="EW19" s="271">
        <v>155878154.71000001</v>
      </c>
      <c r="EX19" s="271">
        <v>1522905.46</v>
      </c>
      <c r="EY19" s="271">
        <v>3197567.69</v>
      </c>
      <c r="EZ19" s="271">
        <v>10328784.970000001</v>
      </c>
      <c r="FA19" s="271">
        <v>10219245.779999999</v>
      </c>
      <c r="FB19" s="271">
        <v>9140921.0899999999</v>
      </c>
      <c r="FC19" s="271">
        <v>7012874.25</v>
      </c>
      <c r="FD19" s="271">
        <v>5487599.0800000001</v>
      </c>
      <c r="FE19" s="271">
        <v>4649592.82</v>
      </c>
      <c r="FF19" s="271">
        <v>3459866.15</v>
      </c>
      <c r="FG19" s="271">
        <v>3055840.46</v>
      </c>
      <c r="FH19" s="271">
        <v>3102765.0300000003</v>
      </c>
      <c r="FI19" s="271">
        <v>46225644.030000001</v>
      </c>
      <c r="FJ19" s="271">
        <v>2437381.09</v>
      </c>
      <c r="FK19" s="271">
        <v>1449783.08</v>
      </c>
      <c r="FL19" s="271">
        <v>1542970.08</v>
      </c>
      <c r="FM19" s="271">
        <v>2958089.5300000003</v>
      </c>
      <c r="FN19" s="271">
        <v>4370915.58</v>
      </c>
      <c r="FO19" s="271">
        <v>1464447.39</v>
      </c>
      <c r="FP19" s="271">
        <v>243712.64000000001</v>
      </c>
      <c r="FQ19" s="271">
        <v>303814244.24000001</v>
      </c>
      <c r="FR19" s="271">
        <v>2628764.46</v>
      </c>
      <c r="FS19" s="271">
        <v>7618184.3700000001</v>
      </c>
      <c r="FT19" s="271">
        <v>4223150.68</v>
      </c>
      <c r="FU19" s="271">
        <v>6936265.3499999996</v>
      </c>
      <c r="FV19" s="271">
        <v>2315532.09</v>
      </c>
      <c r="FW19" s="271">
        <v>7198570.8100000005</v>
      </c>
      <c r="FX19" s="271">
        <v>4020200.06</v>
      </c>
      <c r="FY19" s="271">
        <v>3735472.31</v>
      </c>
      <c r="FZ19" s="271">
        <v>3437384.22</v>
      </c>
      <c r="GA19" s="271">
        <v>17415692.400000002</v>
      </c>
      <c r="GB19" s="271">
        <v>3453891.49</v>
      </c>
      <c r="GC19" s="271">
        <v>2739977.14</v>
      </c>
      <c r="GD19" s="271">
        <v>1223509.47</v>
      </c>
      <c r="GE19" s="271">
        <v>86668220.150000006</v>
      </c>
      <c r="GF19" s="271">
        <v>2509273.02</v>
      </c>
      <c r="GG19" s="271">
        <v>2148736</v>
      </c>
      <c r="GH19" s="271">
        <v>18154118.510000002</v>
      </c>
      <c r="GI19" s="271">
        <v>2813489.73</v>
      </c>
      <c r="GJ19" s="271">
        <v>2768551.09</v>
      </c>
      <c r="GK19" s="271">
        <v>2303895.81</v>
      </c>
      <c r="GL19" s="271">
        <v>15609836.300000001</v>
      </c>
      <c r="GM19" s="271">
        <v>1853944.76</v>
      </c>
      <c r="GN19" s="271">
        <v>981426.19000000006</v>
      </c>
      <c r="GO19" s="271">
        <v>1161747.71</v>
      </c>
      <c r="GP19" s="271">
        <v>1079477.1800000002</v>
      </c>
      <c r="GQ19" s="271">
        <v>63040855.059999995</v>
      </c>
      <c r="GR19" s="271">
        <v>3775316.88</v>
      </c>
      <c r="GS19" s="271">
        <v>1900856.45</v>
      </c>
      <c r="GT19" s="271">
        <v>7911375.6699999999</v>
      </c>
      <c r="GU19" s="271">
        <v>932150.03</v>
      </c>
      <c r="GV19" s="271">
        <v>3043210.84</v>
      </c>
      <c r="GW19" s="271">
        <v>3918018.47</v>
      </c>
      <c r="GX19" s="271">
        <v>2508607.61</v>
      </c>
      <c r="GY19" s="271">
        <v>66153078.619999997</v>
      </c>
      <c r="GZ19" s="271">
        <v>1446702.6</v>
      </c>
      <c r="HA19" s="271">
        <v>4900644.92</v>
      </c>
      <c r="HB19" s="271">
        <v>3058727.98</v>
      </c>
      <c r="HC19" s="271">
        <v>193789204.99000001</v>
      </c>
      <c r="HD19" s="271">
        <v>3538227.27</v>
      </c>
      <c r="HE19" s="271">
        <v>12843254.119999999</v>
      </c>
      <c r="HF19" s="271">
        <v>17840094.689999998</v>
      </c>
      <c r="HG19" s="271">
        <v>6639848.7400000002</v>
      </c>
      <c r="HH19" s="271">
        <v>11748270.9</v>
      </c>
      <c r="HI19" s="271">
        <v>937516.45</v>
      </c>
      <c r="HJ19" s="271">
        <v>137885646.45999998</v>
      </c>
      <c r="HK19" s="271">
        <v>7618596.4500000002</v>
      </c>
      <c r="HL19" s="271">
        <v>17210976.609999999</v>
      </c>
      <c r="HM19" s="271">
        <v>5648454.8200000003</v>
      </c>
      <c r="HN19" s="271">
        <v>3253300.61</v>
      </c>
      <c r="HO19" s="271">
        <v>3448964.56</v>
      </c>
      <c r="HP19" s="271">
        <v>7869191.3300000001</v>
      </c>
      <c r="HQ19" s="271">
        <v>2747122.74</v>
      </c>
      <c r="HR19" s="271">
        <v>145811716.63999999</v>
      </c>
      <c r="HS19" s="271">
        <v>29581628.239999998</v>
      </c>
      <c r="HT19" s="271">
        <v>4146657.72</v>
      </c>
      <c r="HU19" s="271">
        <v>1923082.02</v>
      </c>
      <c r="HV19" s="271">
        <v>2234467.5099999998</v>
      </c>
      <c r="HW19" s="271">
        <v>1803367.93</v>
      </c>
      <c r="HX19" s="271">
        <v>9262061.8900000006</v>
      </c>
      <c r="HY19" s="271">
        <v>3853601.39</v>
      </c>
      <c r="HZ19" s="271">
        <v>1451409.36</v>
      </c>
      <c r="IA19" s="271">
        <v>4905022.28</v>
      </c>
      <c r="IB19" s="271">
        <v>2374332.4700000002</v>
      </c>
      <c r="IC19" s="271">
        <v>5868013.4900000002</v>
      </c>
      <c r="ID19" s="271">
        <v>908814.8</v>
      </c>
      <c r="IE19" s="271">
        <v>4824664.55</v>
      </c>
      <c r="IF19" s="271">
        <v>2201425.36</v>
      </c>
      <c r="IG19" s="271">
        <v>1493210.3</v>
      </c>
      <c r="IH19" s="271">
        <v>111920919.34</v>
      </c>
      <c r="II19" s="271">
        <v>23952429.5</v>
      </c>
      <c r="IJ19" s="271">
        <v>5399219.7400000002</v>
      </c>
      <c r="IK19" s="271">
        <v>14293142.57</v>
      </c>
      <c r="IL19" s="271">
        <v>19062627.16</v>
      </c>
      <c r="IM19" s="271">
        <v>4264639.6100000003</v>
      </c>
      <c r="IN19" s="271">
        <v>2394648.79</v>
      </c>
      <c r="IO19" s="271">
        <v>2437927.79</v>
      </c>
      <c r="IP19" s="271">
        <v>1788937.6</v>
      </c>
      <c r="IQ19" s="271">
        <v>2740809.17</v>
      </c>
      <c r="IR19" s="271">
        <v>1886373</v>
      </c>
      <c r="IS19" s="271">
        <v>238699183.06999999</v>
      </c>
      <c r="IT19" s="271">
        <v>51860846.859999999</v>
      </c>
      <c r="IU19" s="271">
        <v>9155635.4199999999</v>
      </c>
      <c r="IV19" s="271">
        <v>3596981.93</v>
      </c>
      <c r="IW19" s="271">
        <v>3146022.32</v>
      </c>
      <c r="IX19" s="271">
        <v>953658.84</v>
      </c>
      <c r="IY19" s="271">
        <v>3366800.9315999998</v>
      </c>
      <c r="IZ19" s="271">
        <v>1005388.65</v>
      </c>
      <c r="JA19" s="271">
        <v>1486043.42</v>
      </c>
      <c r="JB19" s="271">
        <v>2365587.23</v>
      </c>
      <c r="JC19" s="271">
        <v>4413581.1899999995</v>
      </c>
      <c r="JD19" s="271">
        <v>2063205.51</v>
      </c>
      <c r="JE19" s="271">
        <v>38648483.280000001</v>
      </c>
      <c r="JF19" s="271">
        <v>12065643.310000001</v>
      </c>
      <c r="JG19" s="271">
        <v>1602220.33</v>
      </c>
      <c r="JH19" s="271">
        <v>1357322.17</v>
      </c>
      <c r="JI19" s="271">
        <v>1405727.58</v>
      </c>
      <c r="JJ19" s="271">
        <v>1019422.88</v>
      </c>
      <c r="JK19" s="271">
        <v>60502287.32</v>
      </c>
      <c r="JL19" s="271">
        <v>2035633.07</v>
      </c>
      <c r="JM19" s="271">
        <v>2823264.54</v>
      </c>
      <c r="JN19" s="271">
        <v>6363195.7399999993</v>
      </c>
      <c r="JO19" s="271">
        <v>1757804.28</v>
      </c>
      <c r="JP19" s="271">
        <v>5205480.0200000005</v>
      </c>
      <c r="JQ19" s="271">
        <v>1224263.75</v>
      </c>
      <c r="JR19" s="271">
        <v>112522763.25</v>
      </c>
      <c r="JS19" s="271">
        <v>38269486.810000002</v>
      </c>
      <c r="JT19" s="271">
        <v>2929144.86</v>
      </c>
      <c r="JU19" s="271">
        <v>2338572.8899999997</v>
      </c>
      <c r="JV19" s="271">
        <v>7195545.4400000004</v>
      </c>
      <c r="JW19" s="271">
        <v>1456485.65</v>
      </c>
      <c r="JX19" s="271">
        <v>16146978.93</v>
      </c>
      <c r="JY19" s="271">
        <v>11867655.91</v>
      </c>
      <c r="JZ19" s="271">
        <v>2106913.06</v>
      </c>
      <c r="KA19" s="271">
        <v>5859138.9299999997</v>
      </c>
      <c r="KB19" s="271">
        <v>4536078.75</v>
      </c>
      <c r="KC19" s="271">
        <v>4044903.35</v>
      </c>
      <c r="KD19" s="271">
        <v>1346180.96</v>
      </c>
      <c r="KE19" s="271">
        <v>485750.72</v>
      </c>
      <c r="KF19" s="271">
        <v>1840628.33</v>
      </c>
      <c r="KG19" s="271">
        <v>2224925.59</v>
      </c>
      <c r="KH19" s="271">
        <v>261854631.66999999</v>
      </c>
      <c r="KI19" s="271">
        <v>13002954.790000001</v>
      </c>
      <c r="KJ19" s="271">
        <v>5319129.45</v>
      </c>
      <c r="KK19" s="271">
        <v>2633397.0100000002</v>
      </c>
      <c r="KL19" s="271">
        <v>11763824.039999999</v>
      </c>
      <c r="KM19" s="271">
        <v>5902324.4299999997</v>
      </c>
      <c r="KN19" s="271">
        <v>42378147.409999996</v>
      </c>
      <c r="KO19" s="271">
        <v>3221649.59</v>
      </c>
      <c r="KP19" s="271">
        <v>2294117.6800000002</v>
      </c>
      <c r="KQ19" s="271">
        <v>50397029.469999999</v>
      </c>
      <c r="KR19" s="271">
        <v>2457411.64</v>
      </c>
      <c r="KS19" s="271">
        <v>3454441.52</v>
      </c>
      <c r="KT19" s="271">
        <v>25849349.16</v>
      </c>
      <c r="KU19" s="271">
        <v>1779887.64</v>
      </c>
      <c r="KV19" s="271">
        <v>4725327.37</v>
      </c>
      <c r="KW19" s="271">
        <v>101822831.27</v>
      </c>
      <c r="KX19" s="271">
        <v>6189156.4900000002</v>
      </c>
      <c r="KY19" s="271">
        <v>85728879.620000005</v>
      </c>
      <c r="KZ19" s="271">
        <v>4306263.53</v>
      </c>
      <c r="LA19" s="271">
        <v>2040850.09</v>
      </c>
      <c r="LB19" s="271">
        <v>6399602.5699999994</v>
      </c>
      <c r="LC19" s="271">
        <v>4354788.3100000005</v>
      </c>
      <c r="LD19" s="271">
        <v>2091535.54</v>
      </c>
      <c r="LE19" s="271">
        <v>2946611.68</v>
      </c>
      <c r="LF19" s="271">
        <v>2442027.4500000002</v>
      </c>
      <c r="LG19" s="271">
        <v>238610118.59</v>
      </c>
      <c r="LH19" s="271">
        <v>21982577.280000001</v>
      </c>
      <c r="LI19" s="271">
        <v>57319760.589999996</v>
      </c>
      <c r="LJ19" s="271">
        <v>37042905.530000001</v>
      </c>
      <c r="LK19" s="271">
        <v>8547073.7199999988</v>
      </c>
      <c r="LL19" s="271">
        <v>2784217.1</v>
      </c>
      <c r="LM19" s="271">
        <v>1404469.02</v>
      </c>
      <c r="LN19" s="271">
        <v>3511760.34</v>
      </c>
      <c r="LO19" s="271">
        <v>4786230.24</v>
      </c>
      <c r="LP19" s="271">
        <v>7158855.4100000001</v>
      </c>
      <c r="LQ19" s="271">
        <v>1952138.9</v>
      </c>
      <c r="LR19" s="271">
        <v>59875095.109999999</v>
      </c>
      <c r="LS19" s="271">
        <v>4121070.61</v>
      </c>
      <c r="LT19" s="271">
        <v>1473790.43</v>
      </c>
      <c r="LU19" s="271">
        <v>162883839.02000001</v>
      </c>
      <c r="LV19" s="271">
        <v>70548806.960000008</v>
      </c>
      <c r="LW19" s="271">
        <v>188655488.07999998</v>
      </c>
      <c r="LX19" s="271">
        <v>36213022.399999999</v>
      </c>
      <c r="LY19" s="271">
        <v>11655109</v>
      </c>
      <c r="LZ19" s="271">
        <v>9400995.0999999996</v>
      </c>
      <c r="MA19" s="271">
        <v>5197923.9400000004</v>
      </c>
      <c r="MB19" s="271">
        <v>3723791.21</v>
      </c>
      <c r="MC19" s="271">
        <v>6084064.3499999996</v>
      </c>
      <c r="MD19" s="271">
        <v>12158497.930000002</v>
      </c>
      <c r="ME19" s="271">
        <v>26950018.52</v>
      </c>
      <c r="MF19" s="271">
        <v>3151603.62</v>
      </c>
      <c r="MG19" s="271">
        <v>233828296.11000001</v>
      </c>
      <c r="MH19" s="271">
        <v>4259116.99</v>
      </c>
      <c r="MI19" s="271">
        <v>2628961.36</v>
      </c>
      <c r="MJ19" s="271">
        <v>1567088.47</v>
      </c>
      <c r="MK19" s="271">
        <v>1417148.73</v>
      </c>
      <c r="ML19" s="271">
        <v>4698519.28</v>
      </c>
      <c r="MM19" s="271">
        <v>2221080.42</v>
      </c>
      <c r="MN19" s="271">
        <v>2463454.7999999998</v>
      </c>
      <c r="MO19" s="271">
        <v>7508625.7299999995</v>
      </c>
      <c r="MP19" s="271">
        <v>2862029.02</v>
      </c>
      <c r="MQ19" s="271">
        <v>2148417.65</v>
      </c>
      <c r="MR19" s="271">
        <v>2751410.74</v>
      </c>
      <c r="MS19" s="271">
        <v>105595467.75</v>
      </c>
      <c r="MT19" s="271">
        <v>3826022.89</v>
      </c>
      <c r="MU19" s="271">
        <v>5029061.4000000004</v>
      </c>
      <c r="MV19" s="271">
        <v>8309942.5600000005</v>
      </c>
      <c r="MW19" s="271">
        <v>13807034.16</v>
      </c>
      <c r="MX19" s="271">
        <v>2448942.77</v>
      </c>
      <c r="MY19" s="271">
        <v>20504679.199900001</v>
      </c>
      <c r="MZ19" s="271">
        <v>10804830.08</v>
      </c>
      <c r="NA19" s="271">
        <v>3652723.3</v>
      </c>
      <c r="NB19" s="271">
        <v>1330955.68</v>
      </c>
      <c r="NC19" s="271">
        <v>1242528.4099999999</v>
      </c>
      <c r="ND19" s="271">
        <v>296011191.66000003</v>
      </c>
      <c r="NE19" s="271">
        <v>26294884.43</v>
      </c>
      <c r="NF19" s="271">
        <v>3113270.12</v>
      </c>
      <c r="NG19" s="271">
        <v>78036199.529999986</v>
      </c>
      <c r="NH19" s="271">
        <v>2292164.9700000002</v>
      </c>
      <c r="NI19" s="271">
        <v>7780842.46</v>
      </c>
      <c r="NJ19" s="271">
        <v>44352620.310000002</v>
      </c>
      <c r="NK19" s="271">
        <v>24201332.559999999</v>
      </c>
      <c r="NL19" s="271">
        <v>1268039.6200000001</v>
      </c>
      <c r="NM19" s="271">
        <v>5813536.3999999994</v>
      </c>
      <c r="NN19" s="271">
        <v>5596262.8499999996</v>
      </c>
      <c r="NO19" s="271">
        <v>5333369.08</v>
      </c>
      <c r="NP19" s="271">
        <v>33102245.729999997</v>
      </c>
      <c r="NQ19" s="271">
        <v>703027.7</v>
      </c>
      <c r="NR19" s="271">
        <v>1476374.96</v>
      </c>
      <c r="NS19" s="271">
        <v>1729860.6099999999</v>
      </c>
      <c r="NT19" s="271">
        <v>799930.48</v>
      </c>
      <c r="NU19" s="271">
        <v>346808.02</v>
      </c>
      <c r="NV19" s="271">
        <v>1854782.33</v>
      </c>
      <c r="NW19" s="271">
        <v>97259440.020000011</v>
      </c>
      <c r="NX19" s="271">
        <v>45588732.68</v>
      </c>
      <c r="NY19" s="271">
        <v>3325056.4799999995</v>
      </c>
      <c r="NZ19" s="271">
        <v>1945466.7100000002</v>
      </c>
      <c r="OA19" s="271">
        <v>2621496.4900000002</v>
      </c>
      <c r="OB19" s="271">
        <v>5000921.2699999996</v>
      </c>
      <c r="OC19" s="271">
        <v>1094168.31</v>
      </c>
      <c r="OD19" s="271">
        <v>177185122.14000002</v>
      </c>
      <c r="OE19" s="271">
        <v>28499542.16</v>
      </c>
      <c r="OF19" s="271">
        <v>3560478.79</v>
      </c>
      <c r="OG19" s="271">
        <v>24374588.699999999</v>
      </c>
      <c r="OH19" s="271">
        <v>2900561.02</v>
      </c>
      <c r="OI19" s="271">
        <v>4181093.23</v>
      </c>
      <c r="OJ19" s="271">
        <v>10142756.4</v>
      </c>
      <c r="OK19" s="271">
        <v>1528409.96</v>
      </c>
      <c r="OL19" s="271">
        <v>3614484.5</v>
      </c>
      <c r="OM19" s="271">
        <v>142527970.84999999</v>
      </c>
      <c r="ON19" s="271">
        <v>21846569.800000001</v>
      </c>
      <c r="OO19" s="271">
        <v>54492985.799999997</v>
      </c>
      <c r="OP19" s="271">
        <v>8244130.5099999998</v>
      </c>
      <c r="OQ19" s="271">
        <v>8243056.9400000004</v>
      </c>
      <c r="OR19" s="271">
        <v>4204843.83</v>
      </c>
      <c r="OS19" s="271">
        <v>61924722.280000001</v>
      </c>
      <c r="OT19" s="271">
        <v>2157133.8899999997</v>
      </c>
      <c r="OU19" s="271">
        <v>3450093.1500000004</v>
      </c>
      <c r="OV19" s="271">
        <v>3243836.13</v>
      </c>
      <c r="OW19" s="271">
        <v>4967905.4700000007</v>
      </c>
      <c r="OX19" s="271">
        <v>21222956.890000001</v>
      </c>
      <c r="OY19" s="271">
        <v>3032439.3</v>
      </c>
      <c r="OZ19" s="271">
        <v>2005702.62</v>
      </c>
      <c r="PA19" s="271">
        <v>1442789.25</v>
      </c>
      <c r="PB19" s="271">
        <v>97280535.129999995</v>
      </c>
      <c r="PC19" s="271">
        <v>2379555.44</v>
      </c>
      <c r="PD19" s="271">
        <v>7200869.0999999996</v>
      </c>
      <c r="PE19" s="271">
        <v>1856120.67</v>
      </c>
      <c r="PF19" s="271">
        <v>6034915.8200000003</v>
      </c>
      <c r="PG19" s="271">
        <v>12206865.890000001</v>
      </c>
      <c r="PH19" s="271">
        <v>3321902.1</v>
      </c>
      <c r="PI19" s="271">
        <v>4324219.75</v>
      </c>
      <c r="PJ19" s="271">
        <v>4149176.93</v>
      </c>
      <c r="PK19" s="271">
        <v>4590842.1900000004</v>
      </c>
      <c r="PL19" s="271">
        <v>4746699</v>
      </c>
      <c r="PM19" s="271">
        <v>6927730.0800000001</v>
      </c>
      <c r="PN19" s="271">
        <v>2745025.0300000003</v>
      </c>
      <c r="PO19" s="271">
        <v>28525358.489999998</v>
      </c>
      <c r="PP19" s="271">
        <v>2901363.63</v>
      </c>
      <c r="PQ19" s="271">
        <v>1965105.97</v>
      </c>
      <c r="PR19" s="271">
        <v>1426256.89</v>
      </c>
      <c r="PS19" s="271">
        <v>1668917.31</v>
      </c>
      <c r="PT19" s="271">
        <v>318212833.04000002</v>
      </c>
      <c r="PU19" s="271">
        <v>4819832.29</v>
      </c>
      <c r="PV19" s="271">
        <v>3180659.21</v>
      </c>
      <c r="PW19" s="271">
        <v>8612333.7699999996</v>
      </c>
      <c r="PX19" s="271">
        <v>57456054.18</v>
      </c>
      <c r="PY19" s="271">
        <v>4191017.51</v>
      </c>
      <c r="PZ19" s="271">
        <v>13271925.74</v>
      </c>
      <c r="QA19" s="271">
        <v>3017084.11</v>
      </c>
      <c r="QB19" s="271">
        <v>14175649.879999999</v>
      </c>
      <c r="QC19" s="271">
        <v>1858855.83</v>
      </c>
      <c r="QD19" s="271">
        <v>11771334.460000001</v>
      </c>
      <c r="QE19" s="271">
        <v>5211363.3</v>
      </c>
      <c r="QF19" s="271">
        <v>5022817.91</v>
      </c>
      <c r="QG19" s="271">
        <v>5291127.24</v>
      </c>
      <c r="QH19" s="271">
        <v>7333008.2300000004</v>
      </c>
      <c r="QI19" s="271">
        <v>4146996.32</v>
      </c>
      <c r="QJ19" s="271">
        <v>3712560.94</v>
      </c>
      <c r="QK19" s="271">
        <v>2901538.24</v>
      </c>
      <c r="QL19" s="271">
        <v>1839813.97</v>
      </c>
      <c r="QM19" s="271">
        <v>14637589.68</v>
      </c>
      <c r="QN19" s="271">
        <v>31438727.41</v>
      </c>
      <c r="QO19" s="271">
        <v>2103262.5</v>
      </c>
      <c r="QP19" s="271">
        <v>1204312.94</v>
      </c>
      <c r="QQ19" s="271">
        <v>760287.02</v>
      </c>
      <c r="QR19" s="271">
        <v>1825714.78</v>
      </c>
      <c r="QS19" s="271">
        <v>1956710.3900000001</v>
      </c>
      <c r="QT19" s="271">
        <v>129373762.52</v>
      </c>
      <c r="QU19" s="271">
        <v>2985194.47</v>
      </c>
      <c r="QV19" s="271">
        <v>9093815.8399999999</v>
      </c>
      <c r="QW19" s="271">
        <v>3078002.81</v>
      </c>
      <c r="QX19" s="271">
        <v>6471798.3000000007</v>
      </c>
      <c r="QY19" s="271">
        <v>15552567.9</v>
      </c>
      <c r="QZ19" s="271">
        <v>4684029.79</v>
      </c>
      <c r="RA19" s="271">
        <v>7885813.3300000001</v>
      </c>
      <c r="RB19" s="271">
        <v>6922996.8200000003</v>
      </c>
      <c r="RC19" s="271">
        <v>2837717.61</v>
      </c>
      <c r="RD19" s="271">
        <v>7947287.8600000003</v>
      </c>
      <c r="RE19" s="271">
        <v>3500887.84</v>
      </c>
      <c r="RF19" s="271">
        <v>1357477.48</v>
      </c>
      <c r="RG19" s="271">
        <v>258366621.56</v>
      </c>
      <c r="RH19" s="271">
        <v>19843002.68</v>
      </c>
      <c r="RI19" s="271">
        <v>3807605.25</v>
      </c>
      <c r="RJ19" s="271">
        <v>6170528.2899999991</v>
      </c>
      <c r="RK19" s="271">
        <v>3992525.38</v>
      </c>
      <c r="RL19" s="271">
        <v>8770993.2699999996</v>
      </c>
      <c r="RM19" s="271">
        <v>20204181.850000001</v>
      </c>
      <c r="RN19" s="271">
        <v>3630826.99</v>
      </c>
      <c r="RO19" s="271">
        <v>4336235.05</v>
      </c>
      <c r="RP19" s="271">
        <v>16741303.540000001</v>
      </c>
      <c r="RQ19" s="271">
        <v>21147418.09</v>
      </c>
      <c r="RR19" s="271">
        <v>2556954.85</v>
      </c>
      <c r="RS19" s="271">
        <v>2153988.2599999998</v>
      </c>
      <c r="RT19" s="271">
        <v>6464317.8200000003</v>
      </c>
      <c r="RU19" s="271">
        <v>1978560.61</v>
      </c>
      <c r="RV19" s="271">
        <v>2659498.2000000002</v>
      </c>
      <c r="RW19" s="271">
        <v>3276718.51</v>
      </c>
      <c r="RX19" s="271">
        <v>2059105.3599999999</v>
      </c>
      <c r="RY19" s="271">
        <v>1484277.13</v>
      </c>
      <c r="RZ19" s="271">
        <v>2227392.9500000002</v>
      </c>
      <c r="SA19" s="271">
        <v>71788481.159999996</v>
      </c>
      <c r="SB19" s="271">
        <v>6391300.0999999996</v>
      </c>
      <c r="SC19" s="271">
        <v>3774918.63</v>
      </c>
      <c r="SD19" s="271">
        <v>1440888.45</v>
      </c>
      <c r="SE19" s="271">
        <v>2552697.9700000002</v>
      </c>
      <c r="SF19" s="271">
        <v>6876261.7200000007</v>
      </c>
      <c r="SG19" s="271">
        <v>3363236.18</v>
      </c>
      <c r="SH19" s="271">
        <v>10780596.699999999</v>
      </c>
      <c r="SI19" s="271">
        <v>2041336.56</v>
      </c>
      <c r="SJ19" s="271">
        <v>2987076.35</v>
      </c>
      <c r="SK19" s="271">
        <v>15645442.84</v>
      </c>
      <c r="SL19" s="271">
        <v>885933.43</v>
      </c>
      <c r="SM19" s="271">
        <v>62320094.450000003</v>
      </c>
      <c r="SN19" s="271">
        <v>4866795.7300000004</v>
      </c>
      <c r="SO19" s="271">
        <v>5751034.9699999997</v>
      </c>
      <c r="SP19" s="271">
        <v>13140595.85</v>
      </c>
      <c r="SQ19" s="271">
        <v>2562257.12</v>
      </c>
      <c r="SR19" s="271">
        <v>4161965.84</v>
      </c>
      <c r="SS19" s="271">
        <v>2272669.08</v>
      </c>
      <c r="ST19" s="271">
        <v>1438040.46</v>
      </c>
      <c r="SU19" s="271">
        <v>131211467.91000001</v>
      </c>
      <c r="SV19" s="271">
        <v>3154104.74</v>
      </c>
      <c r="SW19" s="271">
        <v>6184351.6100000003</v>
      </c>
      <c r="SX19" s="271">
        <v>4701822.0999999996</v>
      </c>
      <c r="SY19" s="271">
        <v>1438869.64</v>
      </c>
      <c r="SZ19" s="271">
        <v>2123488.98</v>
      </c>
      <c r="TA19" s="271">
        <v>3373583.14</v>
      </c>
      <c r="TB19" s="271">
        <v>10138784.300000001</v>
      </c>
      <c r="TC19" s="271">
        <v>3124060.32</v>
      </c>
      <c r="TD19" s="271">
        <v>3405018.51</v>
      </c>
      <c r="TE19" s="271">
        <v>5419497.3200000003</v>
      </c>
      <c r="TF19" s="271">
        <v>7498655.1600000001</v>
      </c>
      <c r="TG19" s="271">
        <v>3880326.75</v>
      </c>
      <c r="TH19" s="271">
        <v>2100633.7999999998</v>
      </c>
      <c r="TI19" s="271">
        <v>298113918.10000002</v>
      </c>
      <c r="TJ19" s="271">
        <v>6038290.5999999996</v>
      </c>
      <c r="TK19" s="271">
        <v>3263980.45</v>
      </c>
      <c r="TL19" s="271">
        <v>11792286.229999999</v>
      </c>
      <c r="TM19" s="271">
        <v>8553787.0899999999</v>
      </c>
      <c r="TN19" s="271">
        <v>3106854.58</v>
      </c>
      <c r="TO19" s="271">
        <v>935937.71</v>
      </c>
      <c r="TP19" s="271">
        <v>30466353.73</v>
      </c>
      <c r="TQ19" s="271">
        <v>2291047.5499999998</v>
      </c>
      <c r="TR19" s="271">
        <v>8365670.1100000003</v>
      </c>
      <c r="TS19" s="271">
        <v>10966636.33</v>
      </c>
      <c r="TT19" s="271">
        <v>3635444.64</v>
      </c>
      <c r="TU19" s="271">
        <v>2314214.3699999996</v>
      </c>
      <c r="TV19" s="271">
        <v>2793953.22</v>
      </c>
      <c r="TW19" s="271">
        <v>3794777.29</v>
      </c>
      <c r="TX19" s="271">
        <v>3375949.67</v>
      </c>
      <c r="TY19" s="271">
        <v>27126078.710000001</v>
      </c>
      <c r="TZ19" s="271">
        <v>4583087.68</v>
      </c>
      <c r="UA19" s="271">
        <v>92429760.219999999</v>
      </c>
      <c r="UB19" s="271">
        <v>10122989.85</v>
      </c>
      <c r="UC19" s="271">
        <v>2635480.2400000002</v>
      </c>
      <c r="UD19" s="271">
        <v>2538171.38</v>
      </c>
      <c r="UE19" s="271">
        <v>74373839.480000004</v>
      </c>
      <c r="UF19" s="271">
        <v>1884901.87</v>
      </c>
      <c r="UG19" s="271">
        <v>1456574.11</v>
      </c>
      <c r="UH19" s="271">
        <v>3417208.3800000004</v>
      </c>
      <c r="UI19" s="271">
        <v>3941485.83</v>
      </c>
      <c r="UJ19" s="271">
        <v>57961425.419999994</v>
      </c>
      <c r="UK19" s="271">
        <v>6364335.0899999999</v>
      </c>
      <c r="UL19" s="271">
        <v>3814476.08</v>
      </c>
      <c r="UM19" s="271">
        <v>10405119.74</v>
      </c>
      <c r="UN19" s="271">
        <v>4802525.67</v>
      </c>
      <c r="UO19" s="271">
        <v>2740605.3499999996</v>
      </c>
      <c r="UP19" s="271">
        <v>451472850.38</v>
      </c>
      <c r="UQ19" s="271">
        <v>6347238.25</v>
      </c>
      <c r="UR19" s="271">
        <v>6312437.6100000003</v>
      </c>
      <c r="US19" s="271">
        <v>38331125.699999996</v>
      </c>
      <c r="UT19" s="271">
        <v>929622.65</v>
      </c>
      <c r="UU19" s="271">
        <v>4157801.76</v>
      </c>
      <c r="UV19" s="271">
        <v>15632195.560000001</v>
      </c>
      <c r="UW19" s="271">
        <v>3115917.14</v>
      </c>
      <c r="UX19" s="271">
        <v>4779068.3099999996</v>
      </c>
      <c r="UY19" s="271">
        <v>3865137.28</v>
      </c>
      <c r="UZ19" s="271">
        <v>4876210.33</v>
      </c>
      <c r="VA19" s="271">
        <v>12702784.15</v>
      </c>
      <c r="VB19" s="271">
        <v>6312377.7300000004</v>
      </c>
      <c r="VC19" s="271">
        <v>13632889.640000001</v>
      </c>
      <c r="VD19" s="271">
        <v>3423956.34</v>
      </c>
      <c r="VE19" s="271">
        <v>2082864.75</v>
      </c>
      <c r="VF19" s="271">
        <v>2204914.14</v>
      </c>
      <c r="VG19" s="271">
        <v>3672860.23</v>
      </c>
      <c r="VH19" s="271">
        <v>20748634.390000001</v>
      </c>
      <c r="VI19" s="271">
        <v>3257253.36</v>
      </c>
      <c r="VJ19" s="271">
        <v>3356540.64</v>
      </c>
      <c r="VK19" s="271">
        <v>1103381.33</v>
      </c>
      <c r="VL19" s="271">
        <v>164327456.34999999</v>
      </c>
      <c r="VM19" s="271">
        <v>3610723.8000000003</v>
      </c>
      <c r="VN19" s="271">
        <v>4639480.2300000004</v>
      </c>
      <c r="VO19" s="271">
        <v>6381185.3200000003</v>
      </c>
      <c r="VP19" s="271">
        <v>17296953.490000002</v>
      </c>
      <c r="VQ19" s="271">
        <v>8674199.959999999</v>
      </c>
      <c r="VR19" s="271">
        <v>4625424.08</v>
      </c>
      <c r="VS19" s="271">
        <v>4447250.47</v>
      </c>
      <c r="VT19" s="271">
        <v>7238717.2599999998</v>
      </c>
      <c r="VU19" s="271">
        <v>37768378.799999997</v>
      </c>
      <c r="VV19" s="271">
        <v>3343666.79</v>
      </c>
      <c r="VW19" s="271">
        <v>9934770.5699999984</v>
      </c>
      <c r="VX19" s="271">
        <v>4232020.6500000004</v>
      </c>
      <c r="VY19" s="271">
        <v>3033437.17</v>
      </c>
      <c r="VZ19" s="271">
        <v>2377234.29</v>
      </c>
      <c r="WA19" s="271">
        <v>712416580.26999998</v>
      </c>
      <c r="WB19" s="271">
        <v>9844234.8099999987</v>
      </c>
      <c r="WC19" s="271">
        <v>7678625.9699999997</v>
      </c>
      <c r="WD19" s="271">
        <v>3264324.5199999996</v>
      </c>
      <c r="WE19" s="271">
        <v>3083919.52</v>
      </c>
      <c r="WF19" s="271">
        <v>6103052.4399999995</v>
      </c>
      <c r="WG19" s="271">
        <v>13618273.609999999</v>
      </c>
      <c r="WH19" s="271">
        <v>9827844.0899999999</v>
      </c>
      <c r="WI19" s="271">
        <v>5894806.2400000002</v>
      </c>
      <c r="WJ19" s="271">
        <v>8498138.1799999997</v>
      </c>
      <c r="WK19" s="271">
        <v>4703063.96</v>
      </c>
      <c r="WL19" s="271">
        <v>19946318.149999999</v>
      </c>
      <c r="WM19" s="271">
        <v>4297822.99</v>
      </c>
      <c r="WN19" s="271">
        <v>9577744.1400000006</v>
      </c>
      <c r="WO19" s="271">
        <v>22191407.600000001</v>
      </c>
      <c r="WP19" s="271">
        <v>3586383.9299999997</v>
      </c>
      <c r="WQ19" s="271">
        <v>5301731.66</v>
      </c>
      <c r="WR19" s="271">
        <v>6937208.9000000004</v>
      </c>
      <c r="WS19" s="271">
        <v>3578494.4299999997</v>
      </c>
      <c r="WT19" s="271">
        <v>17817660.34</v>
      </c>
      <c r="WU19" s="271">
        <v>74874958.980000004</v>
      </c>
      <c r="WV19" s="271">
        <v>3702982.48</v>
      </c>
      <c r="WW19" s="271">
        <v>2929071.33</v>
      </c>
      <c r="WX19" s="271">
        <v>3332284.11</v>
      </c>
      <c r="WY19" s="271">
        <v>3809207.86</v>
      </c>
      <c r="WZ19" s="271">
        <v>3191754.29</v>
      </c>
      <c r="XA19" s="271">
        <v>4395283.8099999996</v>
      </c>
      <c r="XB19" s="271">
        <v>3378811.31</v>
      </c>
      <c r="XC19" s="271">
        <v>56787706.240000002</v>
      </c>
      <c r="XD19" s="271">
        <v>2336908.2799999998</v>
      </c>
      <c r="XE19" s="271">
        <v>1716419.31</v>
      </c>
      <c r="XF19" s="271">
        <v>1386212.97</v>
      </c>
      <c r="XG19" s="271">
        <v>1935698.52</v>
      </c>
      <c r="XH19" s="271">
        <v>262600036.37</v>
      </c>
      <c r="XI19" s="271">
        <v>6528156.75</v>
      </c>
      <c r="XJ19" s="271">
        <v>7908517.8799999999</v>
      </c>
      <c r="XK19" s="271">
        <v>42232236.890000001</v>
      </c>
      <c r="XL19" s="271">
        <v>6317263.0300000003</v>
      </c>
      <c r="XM19" s="271">
        <v>5797837.6099999994</v>
      </c>
      <c r="XN19" s="271">
        <v>22673310.489999998</v>
      </c>
      <c r="XO19" s="271">
        <v>5454955.9800000004</v>
      </c>
      <c r="XP19" s="271">
        <v>4731645.07</v>
      </c>
      <c r="XQ19" s="271">
        <v>10990544.98</v>
      </c>
      <c r="XR19" s="271">
        <v>10906397.800000001</v>
      </c>
      <c r="XS19" s="271">
        <v>2291873.7199999997</v>
      </c>
      <c r="XT19" s="271">
        <v>3070931.99</v>
      </c>
      <c r="XU19" s="271">
        <v>4112833.17</v>
      </c>
      <c r="XV19" s="271">
        <v>3097785.02</v>
      </c>
      <c r="XW19" s="271">
        <v>2612220.42</v>
      </c>
      <c r="XX19" s="271">
        <v>2367674.27</v>
      </c>
      <c r="XY19" s="271">
        <v>3500074.01</v>
      </c>
      <c r="XZ19" s="271">
        <v>2453921.9099999997</v>
      </c>
      <c r="YA19" s="271">
        <v>2670283.02</v>
      </c>
      <c r="YB19" s="271">
        <v>3346154.6</v>
      </c>
      <c r="YC19" s="271">
        <v>3052047.79</v>
      </c>
      <c r="YD19" s="271">
        <v>2933912.13</v>
      </c>
      <c r="YE19" s="271">
        <v>279439698.30000001</v>
      </c>
      <c r="YF19" s="271">
        <v>3304011.2199999997</v>
      </c>
      <c r="YG19" s="271">
        <v>12673573.4</v>
      </c>
      <c r="YH19" s="271">
        <v>4491033.93</v>
      </c>
      <c r="YI19" s="271">
        <v>30247742.970000003</v>
      </c>
      <c r="YJ19" s="271">
        <v>5976617.5099999998</v>
      </c>
      <c r="YK19" s="271">
        <v>9797494.0100000016</v>
      </c>
      <c r="YL19" s="271">
        <v>1481992.02</v>
      </c>
      <c r="YM19" s="271">
        <v>55454446.310000002</v>
      </c>
      <c r="YN19" s="271">
        <v>20312355.170000002</v>
      </c>
      <c r="YO19" s="271">
        <v>5795955.6699999999</v>
      </c>
      <c r="YP19" s="271">
        <v>4481732.74</v>
      </c>
      <c r="YQ19" s="271">
        <v>4236338.26</v>
      </c>
      <c r="YR19" s="271">
        <v>3155831.1900000004</v>
      </c>
      <c r="YS19" s="271">
        <v>3174672.54</v>
      </c>
      <c r="YT19" s="271">
        <v>4200344.46</v>
      </c>
      <c r="YU19" s="271">
        <v>3248306.58</v>
      </c>
      <c r="YV19" s="271">
        <v>77510688.409999996</v>
      </c>
      <c r="YW19" s="271">
        <v>2210810.08</v>
      </c>
      <c r="YX19" s="271">
        <v>1804880.41</v>
      </c>
      <c r="YY19" s="271">
        <v>1286083.43</v>
      </c>
      <c r="YZ19" s="271">
        <v>6026135.6399999997</v>
      </c>
      <c r="ZA19" s="271">
        <v>1703391.29</v>
      </c>
      <c r="ZB19" s="271">
        <v>1510095.13</v>
      </c>
      <c r="ZC19" s="271">
        <v>78206424.75</v>
      </c>
      <c r="ZD19" s="271">
        <v>2597428.3200000003</v>
      </c>
      <c r="ZE19" s="271">
        <v>3520378.32</v>
      </c>
      <c r="ZF19" s="271">
        <v>5118660.6099999994</v>
      </c>
      <c r="ZG19" s="271">
        <v>2870837.62</v>
      </c>
      <c r="ZH19" s="271">
        <v>3191562.58</v>
      </c>
      <c r="ZI19" s="271">
        <v>2096757.7799999998</v>
      </c>
      <c r="ZJ19" s="271">
        <v>1589287.12</v>
      </c>
      <c r="ZK19" s="271">
        <v>12085084.02</v>
      </c>
      <c r="ZL19" s="271">
        <v>180705321.12</v>
      </c>
      <c r="ZM19" s="271">
        <v>4913288.59</v>
      </c>
      <c r="ZN19" s="271">
        <v>9742104.5299999993</v>
      </c>
      <c r="ZO19" s="271">
        <v>38436478.400000006</v>
      </c>
      <c r="ZP19" s="271">
        <v>14101680.380000001</v>
      </c>
      <c r="ZQ19" s="271">
        <v>2094375.89</v>
      </c>
      <c r="ZR19" s="271">
        <v>8090411.0899999999</v>
      </c>
      <c r="ZS19" s="271">
        <v>10062867.33</v>
      </c>
      <c r="ZT19" s="271">
        <v>10168094.5</v>
      </c>
      <c r="ZU19" s="271">
        <v>14444007.41</v>
      </c>
      <c r="ZV19" s="271">
        <v>2807651.4499999997</v>
      </c>
      <c r="ZW19" s="271">
        <v>2200012.2800000003</v>
      </c>
      <c r="ZX19" s="271">
        <v>4423752.95</v>
      </c>
      <c r="ZY19" s="271">
        <v>5612006.2700000005</v>
      </c>
      <c r="ZZ19" s="271">
        <v>3991846.69</v>
      </c>
      <c r="AAA19" s="271">
        <v>4186843.99</v>
      </c>
      <c r="AAB19" s="271">
        <v>3812681.38</v>
      </c>
      <c r="AAC19" s="271">
        <v>1907147.49</v>
      </c>
      <c r="AAD19" s="271">
        <v>4476930.8100000005</v>
      </c>
      <c r="AAE19" s="271">
        <v>2253179.35</v>
      </c>
      <c r="AAF19" s="271">
        <v>3055444.14</v>
      </c>
      <c r="AAG19" s="271">
        <v>2809976.38</v>
      </c>
      <c r="AAH19" s="271">
        <v>52500928.789999999</v>
      </c>
      <c r="AAI19" s="271">
        <v>3573805.6100000003</v>
      </c>
      <c r="AAJ19" s="271">
        <v>5382296.1100000003</v>
      </c>
      <c r="AAK19" s="271">
        <v>3132635.91</v>
      </c>
      <c r="AAL19" s="271">
        <v>3547754.67</v>
      </c>
      <c r="AAM19" s="271">
        <v>5764749.9199999999</v>
      </c>
      <c r="AAN19" s="271">
        <v>3775980.86</v>
      </c>
      <c r="AAO19" s="271">
        <v>526590423</v>
      </c>
      <c r="AAP19" s="271">
        <v>5698803.6799999997</v>
      </c>
      <c r="AAQ19" s="271">
        <v>3932105.99</v>
      </c>
      <c r="AAR19" s="271">
        <v>9075067.5800000001</v>
      </c>
      <c r="AAS19" s="271">
        <v>7993438.4000000004</v>
      </c>
      <c r="AAT19" s="271">
        <v>3697305.13</v>
      </c>
      <c r="AAU19" s="271">
        <v>6500988.6200000001</v>
      </c>
      <c r="AAV19" s="271">
        <v>13718799.09</v>
      </c>
      <c r="AAW19" s="271">
        <v>29461251.16</v>
      </c>
      <c r="AAX19" s="271">
        <v>4891000.9399999995</v>
      </c>
      <c r="AAY19" s="271">
        <v>7644080.3099999996</v>
      </c>
      <c r="AAZ19" s="271">
        <v>47082099.530000001</v>
      </c>
      <c r="ABA19" s="271">
        <v>16961879.25</v>
      </c>
      <c r="ABB19" s="271">
        <v>1616141.68</v>
      </c>
      <c r="ABC19" s="271">
        <v>4990992.58</v>
      </c>
      <c r="ABD19" s="271">
        <v>4545885.3499999996</v>
      </c>
      <c r="ABE19" s="271">
        <v>3282658.1100000003</v>
      </c>
      <c r="ABF19" s="271">
        <v>4069307.11</v>
      </c>
      <c r="ABG19" s="271">
        <v>4047884.33</v>
      </c>
      <c r="ABH19" s="271">
        <v>62937283.890000001</v>
      </c>
      <c r="ABI19" s="271">
        <v>47756976.099999994</v>
      </c>
      <c r="ABJ19" s="271">
        <v>3780449.31</v>
      </c>
      <c r="ABK19" s="271">
        <v>4597322.5</v>
      </c>
      <c r="ABL19" s="271">
        <v>2268990.66</v>
      </c>
      <c r="ABM19" s="271">
        <v>2284973.31</v>
      </c>
      <c r="ABN19" s="271">
        <v>2357573.0699999998</v>
      </c>
      <c r="ABO19" s="271">
        <v>80514215.209999993</v>
      </c>
      <c r="ABP19" s="271">
        <v>4083567.32</v>
      </c>
      <c r="ABQ19" s="271">
        <v>2175627.69</v>
      </c>
      <c r="ABR19" s="271">
        <v>5085982.3199999994</v>
      </c>
      <c r="ABS19" s="271">
        <v>3461358.54</v>
      </c>
      <c r="ABT19" s="271">
        <v>2541301.75</v>
      </c>
      <c r="ABU19" s="271">
        <v>1763826.04</v>
      </c>
      <c r="ABV19" s="271">
        <v>3522049.67</v>
      </c>
      <c r="ABW19" s="271">
        <v>395539.52</v>
      </c>
      <c r="ABX19" s="271">
        <v>85265877.549999997</v>
      </c>
      <c r="ABY19" s="271">
        <v>2756282.56</v>
      </c>
      <c r="ABZ19" s="271">
        <v>13454654.700000001</v>
      </c>
      <c r="ACA19" s="271">
        <v>2277839.8199999998</v>
      </c>
      <c r="ACB19" s="271">
        <v>2248734.73</v>
      </c>
      <c r="ACC19" s="271">
        <v>20265596.490000002</v>
      </c>
      <c r="ACD19" s="271">
        <v>1489423.69</v>
      </c>
      <c r="ACE19" s="271">
        <v>2400497.69</v>
      </c>
      <c r="ACF19" s="271">
        <v>2918952.3400000003</v>
      </c>
      <c r="ACG19" s="271">
        <v>4341905.84</v>
      </c>
      <c r="ACH19" s="271">
        <v>2599335.5</v>
      </c>
      <c r="ACI19" s="271">
        <v>260916277.94</v>
      </c>
      <c r="ACJ19" s="271">
        <v>2725406.08</v>
      </c>
      <c r="ACK19" s="271">
        <v>3014858.8400000003</v>
      </c>
      <c r="ACL19" s="271">
        <v>5544074.5200000005</v>
      </c>
      <c r="ACM19" s="271">
        <v>1582530.29</v>
      </c>
      <c r="ACN19" s="271">
        <v>2021865.21</v>
      </c>
      <c r="ACO19" s="271">
        <v>4416052.8100000005</v>
      </c>
      <c r="ACP19" s="271">
        <v>44828628.079999998</v>
      </c>
      <c r="ACQ19" s="271">
        <v>54959092.560000002</v>
      </c>
      <c r="ACR19" s="271">
        <v>1956799.45</v>
      </c>
      <c r="ACS19" s="271">
        <v>5054353.55</v>
      </c>
      <c r="ACT19" s="271">
        <v>4756594.5500000007</v>
      </c>
      <c r="ACU19" s="271">
        <v>5308963.7200000007</v>
      </c>
      <c r="ACV19" s="271">
        <v>51646704.029999994</v>
      </c>
      <c r="ACW19" s="271">
        <v>6171044.0299999993</v>
      </c>
      <c r="ACX19" s="271">
        <v>2915702.22</v>
      </c>
      <c r="ACY19" s="271">
        <v>2230100.9500000002</v>
      </c>
      <c r="ACZ19" s="271">
        <v>1120744.1499999999</v>
      </c>
      <c r="ADA19" s="271">
        <v>1566142.91</v>
      </c>
      <c r="ADB19" s="271">
        <v>1746398.01</v>
      </c>
      <c r="ADC19" s="271">
        <v>1320870.73</v>
      </c>
      <c r="ADD19" s="271">
        <v>1958626.2000000002</v>
      </c>
      <c r="ADE19" s="271">
        <v>1647338.25</v>
      </c>
      <c r="ADF19" s="271">
        <v>27414270.100000001</v>
      </c>
      <c r="ADG19" s="271">
        <v>24742959.649999999</v>
      </c>
      <c r="ADH19" s="271">
        <v>1170727.6399999999</v>
      </c>
      <c r="ADI19" s="271">
        <v>863792.03</v>
      </c>
      <c r="ADJ19" s="271">
        <v>1571479.61</v>
      </c>
      <c r="ADK19" s="271">
        <v>482164.88</v>
      </c>
      <c r="ADL19" s="271">
        <v>2430160.7400000002</v>
      </c>
      <c r="ADM19" s="271">
        <v>1621803.53</v>
      </c>
      <c r="ADN19" s="271">
        <v>2427487.5699999998</v>
      </c>
      <c r="ADO19" s="271">
        <v>286677144.56999999</v>
      </c>
      <c r="ADP19" s="271">
        <v>9202258.4299999997</v>
      </c>
      <c r="ADQ19" s="271">
        <v>12437323.34</v>
      </c>
      <c r="ADR19" s="271">
        <v>1880754.17</v>
      </c>
      <c r="ADS19" s="271">
        <v>43040492.140000001</v>
      </c>
      <c r="ADT19" s="271">
        <v>1130092.57</v>
      </c>
      <c r="ADU19" s="271">
        <v>1206245.22</v>
      </c>
      <c r="ADV19" s="271">
        <v>2690945.51</v>
      </c>
      <c r="ADW19" s="271">
        <v>1567796.66</v>
      </c>
      <c r="ADX19" s="271">
        <v>451671.59</v>
      </c>
      <c r="ADY19" s="271">
        <v>325580413.20999998</v>
      </c>
      <c r="ADZ19" s="271">
        <v>37138245.630000003</v>
      </c>
      <c r="AEA19" s="271">
        <v>25504195.109999999</v>
      </c>
      <c r="AEB19" s="271">
        <v>2959218.33</v>
      </c>
      <c r="AEC19" s="271">
        <v>3427943.11</v>
      </c>
      <c r="AED19" s="271">
        <v>8859510.2400000002</v>
      </c>
      <c r="AEE19" s="271">
        <v>2729265.9400000004</v>
      </c>
      <c r="AEF19" s="271">
        <v>3649224.15</v>
      </c>
      <c r="AEG19" s="271">
        <v>2839119.68</v>
      </c>
      <c r="AEH19" s="271">
        <v>3428052.04</v>
      </c>
      <c r="AEI19" s="271">
        <v>3186205.24</v>
      </c>
      <c r="AEJ19" s="271">
        <v>4603804.46</v>
      </c>
      <c r="AEK19" s="271">
        <v>2369314.64</v>
      </c>
      <c r="AEL19" s="271">
        <v>4211188.9400000004</v>
      </c>
      <c r="AEM19" s="271">
        <v>6745374.3600000003</v>
      </c>
      <c r="AEN19" s="271">
        <v>5076315.0599999996</v>
      </c>
      <c r="AEO19" s="271">
        <v>1974710.8399999999</v>
      </c>
      <c r="AEP19" s="271">
        <v>18049460.629999999</v>
      </c>
      <c r="AEQ19" s="271">
        <v>1646019.34</v>
      </c>
      <c r="AER19" s="271">
        <v>7201126.0700000003</v>
      </c>
      <c r="AES19" s="271">
        <v>169039710.36999997</v>
      </c>
      <c r="AET19" s="271">
        <v>6622380.0700000003</v>
      </c>
      <c r="AEU19" s="271">
        <v>5632504.8200000003</v>
      </c>
      <c r="AEV19" s="271">
        <v>3609061.4799999995</v>
      </c>
      <c r="AEW19" s="271">
        <v>3521268.49</v>
      </c>
      <c r="AEX19" s="271">
        <v>13992496.379999999</v>
      </c>
      <c r="AEY19" s="271">
        <v>3722933.01</v>
      </c>
      <c r="AEZ19" s="271">
        <v>6493310.2800000003</v>
      </c>
      <c r="AFA19" s="271">
        <v>3187667.53</v>
      </c>
      <c r="AFB19" s="271">
        <v>1517754.86</v>
      </c>
      <c r="AFC19" s="271">
        <v>75913356.129999995</v>
      </c>
      <c r="AFD19" s="271">
        <v>30176786.219999999</v>
      </c>
      <c r="AFE19" s="271">
        <v>4872536.47</v>
      </c>
      <c r="AFF19" s="271">
        <v>3873689.69</v>
      </c>
      <c r="AFG19" s="271">
        <v>9122522.540000001</v>
      </c>
      <c r="AFH19" s="271">
        <v>4562166.4799999995</v>
      </c>
      <c r="AFI19" s="271">
        <v>3748976.88</v>
      </c>
      <c r="AFJ19" s="271">
        <v>3136321.35</v>
      </c>
      <c r="AFK19" s="271">
        <v>1684413.12</v>
      </c>
      <c r="AFL19" s="271">
        <v>2817118.49</v>
      </c>
      <c r="AFM19" s="271">
        <v>5670715.4800000004</v>
      </c>
      <c r="AFN19" s="271">
        <v>3756736.38</v>
      </c>
      <c r="AFO19" s="271">
        <v>3099594.53</v>
      </c>
      <c r="AFP19" s="271">
        <v>72637397.189999998</v>
      </c>
      <c r="AFQ19" s="271">
        <v>6950511.1200000001</v>
      </c>
      <c r="AFR19" s="271">
        <v>5343717.8000000007</v>
      </c>
      <c r="AFS19" s="271">
        <v>1877059.97</v>
      </c>
      <c r="AFT19" s="271">
        <v>2511536.2599999998</v>
      </c>
      <c r="AFU19" s="271">
        <v>2029057.85</v>
      </c>
      <c r="AFV19" s="271">
        <v>1105016.1400000001</v>
      </c>
      <c r="AFW19" s="271">
        <v>4414119.45</v>
      </c>
      <c r="AFX19" s="271">
        <v>9927829.5199999996</v>
      </c>
      <c r="AFY19" s="271">
        <v>2063061.01</v>
      </c>
      <c r="AFZ19" s="271">
        <v>11627456.74</v>
      </c>
      <c r="AGA19" s="271">
        <v>2270936.63</v>
      </c>
      <c r="AGB19" s="271">
        <v>80109817.719999999</v>
      </c>
      <c r="AGC19" s="271">
        <v>2186445.6</v>
      </c>
      <c r="AGD19" s="271">
        <v>3303539.78</v>
      </c>
      <c r="AGE19" s="271">
        <v>2993246.05</v>
      </c>
      <c r="AGF19" s="271">
        <v>9303991.2199999988</v>
      </c>
      <c r="AGG19" s="271">
        <v>2564356.1</v>
      </c>
      <c r="AGH19" s="271">
        <v>1881154.24</v>
      </c>
      <c r="AGI19" s="271">
        <v>3611516.4800000004</v>
      </c>
      <c r="AGJ19" s="271">
        <v>1549295.95</v>
      </c>
      <c r="AGK19" s="271">
        <v>1804089.58</v>
      </c>
      <c r="AGL19" s="271">
        <v>2682269.8199999998</v>
      </c>
      <c r="AGM19" s="271">
        <v>183804150.47</v>
      </c>
      <c r="AGN19" s="271">
        <v>12946505.350000001</v>
      </c>
      <c r="AGO19" s="271">
        <v>5708578.5499999998</v>
      </c>
      <c r="AGP19" s="271">
        <v>1604481.69</v>
      </c>
      <c r="AGQ19" s="271">
        <v>7982011.9199999999</v>
      </c>
      <c r="AGR19" s="271">
        <v>6980201.0600000005</v>
      </c>
      <c r="AGS19" s="271">
        <v>1719167.8</v>
      </c>
      <c r="AGT19" s="271">
        <v>4108693.6</v>
      </c>
      <c r="AGU19" s="271">
        <v>292498003.43000001</v>
      </c>
      <c r="AGV19" s="271">
        <v>109356866.75</v>
      </c>
      <c r="AGW19" s="271">
        <v>2601981.9</v>
      </c>
      <c r="AGX19" s="271">
        <v>5452507.9199999999</v>
      </c>
      <c r="AGY19" s="271">
        <v>16898888.690000001</v>
      </c>
      <c r="AGZ19" s="271">
        <v>5428526.3099999996</v>
      </c>
      <c r="AHA19" s="271">
        <v>4326254.5599999996</v>
      </c>
      <c r="AHB19" s="271">
        <v>5863525.1599999992</v>
      </c>
      <c r="AHC19" s="271">
        <v>1064110.8999999999</v>
      </c>
      <c r="AHD19" s="271">
        <v>4691431.92</v>
      </c>
      <c r="AHE19" s="271">
        <v>5571627.6500000004</v>
      </c>
      <c r="AHF19" s="271">
        <v>3837675.04</v>
      </c>
      <c r="AHG19" s="271">
        <v>1725794.2999999998</v>
      </c>
      <c r="AHH19" s="271">
        <v>2775569.1999999997</v>
      </c>
      <c r="AHI19" s="271">
        <v>2497578.4900000002</v>
      </c>
      <c r="AHJ19" s="271">
        <v>3556686.1599999997</v>
      </c>
      <c r="AHK19" s="271">
        <v>2836931</v>
      </c>
      <c r="AHL19" s="271">
        <v>48197554.079999998</v>
      </c>
      <c r="AHM19" s="271">
        <v>4667559.2</v>
      </c>
      <c r="AHN19" s="271">
        <v>2012249.96</v>
      </c>
      <c r="AHO19" s="271">
        <v>2932718.74</v>
      </c>
      <c r="AHP19" s="271">
        <v>7456196.0700000003</v>
      </c>
      <c r="AHQ19" s="294">
        <v>1940605.4200000002</v>
      </c>
      <c r="AHR19" s="331">
        <v>1772573.65</v>
      </c>
      <c r="AHS19" s="294">
        <f t="shared" ref="AHS19:AHS32" si="18">SUM(D19:AHR19)</f>
        <v>18723446733.841499</v>
      </c>
      <c r="AHT19" s="269" t="b">
        <f t="shared" si="1"/>
        <v>1</v>
      </c>
      <c r="AHU19" s="269" t="s">
        <v>21</v>
      </c>
    </row>
    <row r="20" spans="1:905" ht="23.4" customHeight="1" x14ac:dyDescent="0.7">
      <c r="B20" s="268" t="s">
        <v>665</v>
      </c>
      <c r="C20" s="269" t="s">
        <v>666</v>
      </c>
      <c r="D20" s="271">
        <v>3297691.96</v>
      </c>
      <c r="E20" s="271">
        <v>659844.43000000005</v>
      </c>
      <c r="F20" s="271">
        <v>631005.5</v>
      </c>
      <c r="G20" s="271">
        <v>247388.53</v>
      </c>
      <c r="H20" s="271">
        <v>1404829.31</v>
      </c>
      <c r="I20" s="271">
        <v>508225.12</v>
      </c>
      <c r="J20" s="271">
        <v>1758451.98</v>
      </c>
      <c r="K20" s="271">
        <v>607400.39</v>
      </c>
      <c r="L20" s="271">
        <v>976414.34</v>
      </c>
      <c r="M20" s="271">
        <v>1081150.51</v>
      </c>
      <c r="N20" s="271">
        <v>467721.72</v>
      </c>
      <c r="O20" s="271">
        <v>449202.91</v>
      </c>
      <c r="P20" s="271">
        <v>1396764.05</v>
      </c>
      <c r="Q20" s="271">
        <v>354736.34</v>
      </c>
      <c r="R20" s="271">
        <v>230978.8</v>
      </c>
      <c r="S20" s="271">
        <v>459565.57</v>
      </c>
      <c r="T20" s="271">
        <v>338999.67</v>
      </c>
      <c r="U20" s="271">
        <v>267267.73</v>
      </c>
      <c r="V20" s="271">
        <v>2324951.9900000002</v>
      </c>
      <c r="W20" s="271">
        <v>340410.75</v>
      </c>
      <c r="X20" s="271">
        <v>172164.87</v>
      </c>
      <c r="Y20" s="271">
        <v>687018.38</v>
      </c>
      <c r="Z20" s="271">
        <v>538646.05000000005</v>
      </c>
      <c r="AA20" s="271">
        <v>606383.57999999996</v>
      </c>
      <c r="AB20" s="271">
        <v>259231.7</v>
      </c>
      <c r="AC20" s="271">
        <v>2509261.1</v>
      </c>
      <c r="AD20" s="271">
        <v>533783.14</v>
      </c>
      <c r="AE20" s="271">
        <v>276530.58</v>
      </c>
      <c r="AF20" s="271">
        <v>466983.5</v>
      </c>
      <c r="AG20" s="271">
        <v>240495.58</v>
      </c>
      <c r="AH20" s="271">
        <v>773862.75</v>
      </c>
      <c r="AI20" s="271">
        <v>508604.04</v>
      </c>
      <c r="AJ20" s="271">
        <v>115594</v>
      </c>
      <c r="AK20" s="271">
        <v>51775.29</v>
      </c>
      <c r="AL20" s="271">
        <v>515231.38</v>
      </c>
      <c r="AM20" s="271">
        <v>262031.05</v>
      </c>
      <c r="AN20" s="271">
        <v>202688.85</v>
      </c>
      <c r="AO20" s="271">
        <v>77169.990000000005</v>
      </c>
      <c r="AP20" s="271">
        <v>383180.11</v>
      </c>
      <c r="AQ20" s="271">
        <v>275145.67</v>
      </c>
      <c r="AR20" s="271">
        <v>149303.48000000001</v>
      </c>
      <c r="AS20" s="271">
        <v>94283.15</v>
      </c>
      <c r="AT20" s="271">
        <v>3768954.82</v>
      </c>
      <c r="AU20" s="271">
        <v>192419.3</v>
      </c>
      <c r="AV20" s="271">
        <v>122840.52</v>
      </c>
      <c r="AW20" s="271">
        <v>200663.5</v>
      </c>
      <c r="AX20" s="271">
        <v>720153.75</v>
      </c>
      <c r="AY20" s="271">
        <v>452292.04</v>
      </c>
      <c r="AZ20" s="271">
        <v>311476.42</v>
      </c>
      <c r="BA20" s="271">
        <v>165267.88</v>
      </c>
      <c r="BB20" s="271">
        <v>74081.97</v>
      </c>
      <c r="BC20" s="271">
        <v>117438.88</v>
      </c>
      <c r="BD20" s="271">
        <v>133722.29999999999</v>
      </c>
      <c r="BE20" s="271">
        <v>0</v>
      </c>
      <c r="BF20" s="271">
        <v>710563.32</v>
      </c>
      <c r="BG20" s="271">
        <v>48211.43</v>
      </c>
      <c r="BH20" s="271">
        <v>220886.98</v>
      </c>
      <c r="BI20" s="271">
        <v>655147.1</v>
      </c>
      <c r="BJ20" s="271">
        <v>860879.12</v>
      </c>
      <c r="BK20" s="271">
        <v>200706.32</v>
      </c>
      <c r="BL20" s="271">
        <v>173815.33</v>
      </c>
      <c r="BM20" s="271">
        <v>220101.42</v>
      </c>
      <c r="BN20" s="271">
        <v>518405.11</v>
      </c>
      <c r="BO20" s="271">
        <v>145699.76999999999</v>
      </c>
      <c r="BP20" s="271">
        <v>98531.09</v>
      </c>
      <c r="BQ20" s="271">
        <v>92106.09</v>
      </c>
      <c r="BR20" s="271">
        <v>1684781.35</v>
      </c>
      <c r="BS20" s="271">
        <v>369646.56</v>
      </c>
      <c r="BT20" s="271">
        <v>156843.31</v>
      </c>
      <c r="BU20" s="271">
        <v>302337.93</v>
      </c>
      <c r="BV20" s="271">
        <v>203507.37</v>
      </c>
      <c r="BW20" s="271">
        <v>294390.26</v>
      </c>
      <c r="BX20" s="271">
        <v>143802.07</v>
      </c>
      <c r="BY20" s="271">
        <v>180112.03</v>
      </c>
      <c r="BZ20" s="271">
        <v>728165.45</v>
      </c>
      <c r="CA20" s="271">
        <v>458407.65</v>
      </c>
      <c r="CB20" s="271">
        <v>609445.14</v>
      </c>
      <c r="CC20" s="271">
        <v>486975.83</v>
      </c>
      <c r="CD20" s="271">
        <v>235629.5</v>
      </c>
      <c r="CE20" s="271">
        <v>324994.76</v>
      </c>
      <c r="CF20" s="271">
        <v>268193.84999999998</v>
      </c>
      <c r="CG20" s="271">
        <v>3992512.02</v>
      </c>
      <c r="CH20" s="271">
        <v>319935.59000000003</v>
      </c>
      <c r="CI20" s="271">
        <v>2149373.87</v>
      </c>
      <c r="CJ20" s="271">
        <v>340244.08</v>
      </c>
      <c r="CK20" s="271">
        <v>448017.97</v>
      </c>
      <c r="CL20" s="271">
        <v>245308.63</v>
      </c>
      <c r="CM20" s="271">
        <v>200980.19</v>
      </c>
      <c r="CN20" s="271">
        <v>347490.16</v>
      </c>
      <c r="CO20" s="271">
        <v>152599.87</v>
      </c>
      <c r="CP20" s="271">
        <v>250899.68</v>
      </c>
      <c r="CQ20" s="271">
        <v>186643.49</v>
      </c>
      <c r="CR20" s="271">
        <v>425567.05</v>
      </c>
      <c r="CS20" s="271">
        <v>259503.86</v>
      </c>
      <c r="CT20" s="271">
        <v>773613.82</v>
      </c>
      <c r="CU20" s="271">
        <v>226004.26</v>
      </c>
      <c r="CV20" s="271">
        <v>336766.31</v>
      </c>
      <c r="CW20" s="271">
        <v>364221.06</v>
      </c>
      <c r="CX20" s="271">
        <v>214823.01</v>
      </c>
      <c r="CY20" s="271">
        <v>527795.84</v>
      </c>
      <c r="CZ20" s="271">
        <v>212189.83</v>
      </c>
      <c r="DA20" s="271">
        <v>191689.85</v>
      </c>
      <c r="DB20" s="271">
        <v>740232.8</v>
      </c>
      <c r="DC20" s="271">
        <v>1947387.25</v>
      </c>
      <c r="DD20" s="271">
        <v>421832.87</v>
      </c>
      <c r="DE20" s="271">
        <v>566262.5</v>
      </c>
      <c r="DF20" s="271">
        <v>204525.16</v>
      </c>
      <c r="DG20" s="271">
        <v>531445.42000000004</v>
      </c>
      <c r="DH20" s="271">
        <v>445103.91</v>
      </c>
      <c r="DI20" s="271">
        <v>886613.58</v>
      </c>
      <c r="DJ20" s="271">
        <v>299574.71000000002</v>
      </c>
      <c r="DK20" s="271">
        <v>4596432.4400000004</v>
      </c>
      <c r="DL20" s="271">
        <v>211495.79</v>
      </c>
      <c r="DM20" s="271">
        <v>322859.05</v>
      </c>
      <c r="DN20" s="271">
        <v>214385.59</v>
      </c>
      <c r="DO20" s="271">
        <v>497541.39</v>
      </c>
      <c r="DP20" s="271">
        <v>155099.35999999999</v>
      </c>
      <c r="DQ20" s="271">
        <v>1131330.3899999999</v>
      </c>
      <c r="DR20" s="271">
        <v>921518.95</v>
      </c>
      <c r="DS20" s="271">
        <v>321969</v>
      </c>
      <c r="DT20" s="271">
        <v>606818.1</v>
      </c>
      <c r="DU20" s="271">
        <v>170850.3</v>
      </c>
      <c r="DV20" s="271">
        <v>376204.1</v>
      </c>
      <c r="DW20" s="271">
        <v>466422.4</v>
      </c>
      <c r="DX20" s="271">
        <v>247375.08</v>
      </c>
      <c r="DY20" s="271">
        <v>516138.26</v>
      </c>
      <c r="DZ20" s="271">
        <v>179881.64</v>
      </c>
      <c r="EA20" s="271">
        <v>184112.94</v>
      </c>
      <c r="EB20" s="271">
        <v>488426.55</v>
      </c>
      <c r="EC20" s="271">
        <v>436435.71</v>
      </c>
      <c r="ED20" s="271">
        <v>675832.47</v>
      </c>
      <c r="EE20" s="271">
        <v>570092.66</v>
      </c>
      <c r="EF20" s="271">
        <v>541246.11</v>
      </c>
      <c r="EG20" s="271">
        <v>426451.63</v>
      </c>
      <c r="EH20" s="271">
        <v>471104.51</v>
      </c>
      <c r="EI20" s="271">
        <v>619468.62</v>
      </c>
      <c r="EJ20" s="271">
        <v>859311.4</v>
      </c>
      <c r="EK20" s="271">
        <v>1016668.52</v>
      </c>
      <c r="EL20" s="271">
        <v>199154.82</v>
      </c>
      <c r="EM20" s="271">
        <v>487090.02</v>
      </c>
      <c r="EN20" s="271">
        <v>1663612.08</v>
      </c>
      <c r="EO20" s="271">
        <v>641221.52</v>
      </c>
      <c r="EP20" s="271">
        <v>872352.41</v>
      </c>
      <c r="EQ20" s="271">
        <v>347401.95</v>
      </c>
      <c r="ER20" s="271">
        <v>490021.74</v>
      </c>
      <c r="ES20" s="271">
        <v>198101.34</v>
      </c>
      <c r="ET20" s="271">
        <v>735364.36</v>
      </c>
      <c r="EU20" s="271">
        <v>632165.76</v>
      </c>
      <c r="EV20" s="271">
        <v>312209.99</v>
      </c>
      <c r="EW20" s="271">
        <v>1751916.58</v>
      </c>
      <c r="EX20" s="271">
        <v>303599.71999999997</v>
      </c>
      <c r="EY20" s="271">
        <v>123090.8</v>
      </c>
      <c r="EZ20" s="271">
        <v>389350.05</v>
      </c>
      <c r="FA20" s="271">
        <v>389237.2</v>
      </c>
      <c r="FB20" s="271">
        <v>337156.61</v>
      </c>
      <c r="FC20" s="271">
        <v>390613.49</v>
      </c>
      <c r="FD20" s="271">
        <v>141487.09</v>
      </c>
      <c r="FE20" s="271">
        <v>391226.45</v>
      </c>
      <c r="FF20" s="271">
        <v>51384.25</v>
      </c>
      <c r="FG20" s="271">
        <v>91687.95</v>
      </c>
      <c r="FH20" s="271">
        <v>199349.43</v>
      </c>
      <c r="FI20" s="271">
        <v>1324058.49</v>
      </c>
      <c r="FJ20" s="271">
        <v>106813.7</v>
      </c>
      <c r="FK20" s="271">
        <v>246603.22</v>
      </c>
      <c r="FL20" s="271">
        <v>245762.47</v>
      </c>
      <c r="FM20" s="271">
        <v>691140.33</v>
      </c>
      <c r="FN20" s="271">
        <v>330988.39</v>
      </c>
      <c r="FO20" s="271">
        <v>140707</v>
      </c>
      <c r="FP20" s="271">
        <v>147413.01</v>
      </c>
      <c r="FQ20" s="271">
        <v>4418530.88</v>
      </c>
      <c r="FR20" s="271">
        <v>1372841.36</v>
      </c>
      <c r="FS20" s="271">
        <v>83612.179999999993</v>
      </c>
      <c r="FT20" s="271">
        <v>365370.61</v>
      </c>
      <c r="FU20" s="271">
        <v>192168.54</v>
      </c>
      <c r="FV20" s="271">
        <v>168504.22</v>
      </c>
      <c r="FW20" s="271">
        <v>1033628.28</v>
      </c>
      <c r="FX20" s="271">
        <v>333934.94</v>
      </c>
      <c r="FY20" s="271">
        <v>600469.94999999995</v>
      </c>
      <c r="FZ20" s="271">
        <v>333695.31</v>
      </c>
      <c r="GA20" s="271">
        <v>301157.78000000003</v>
      </c>
      <c r="GB20" s="271">
        <v>344133.24</v>
      </c>
      <c r="GC20" s="271">
        <v>284705.59999999998</v>
      </c>
      <c r="GD20" s="271">
        <v>270123.89</v>
      </c>
      <c r="GE20" s="271">
        <v>1901170.23</v>
      </c>
      <c r="GF20" s="271">
        <v>444717.75</v>
      </c>
      <c r="GG20" s="271">
        <v>329021.87</v>
      </c>
      <c r="GH20" s="271">
        <v>996427.09</v>
      </c>
      <c r="GI20" s="271">
        <v>387231.05</v>
      </c>
      <c r="GJ20" s="271">
        <v>615837.9</v>
      </c>
      <c r="GK20" s="271">
        <v>126399.73</v>
      </c>
      <c r="GL20" s="271">
        <v>537936.11</v>
      </c>
      <c r="GM20" s="271">
        <v>93795.4</v>
      </c>
      <c r="GN20" s="271">
        <v>179870.76</v>
      </c>
      <c r="GO20" s="271">
        <v>139141.31</v>
      </c>
      <c r="GP20" s="271">
        <v>151748.54999999999</v>
      </c>
      <c r="GQ20" s="271">
        <v>661011.52</v>
      </c>
      <c r="GR20" s="271">
        <v>1722985.94</v>
      </c>
      <c r="GS20" s="271">
        <v>296721.3</v>
      </c>
      <c r="GT20" s="271">
        <v>584225.9</v>
      </c>
      <c r="GU20" s="271">
        <v>242202.78</v>
      </c>
      <c r="GV20" s="271">
        <v>318845.90999999997</v>
      </c>
      <c r="GW20" s="271">
        <v>264090.11</v>
      </c>
      <c r="GX20" s="271">
        <v>151819.39000000001</v>
      </c>
      <c r="GY20" s="271">
        <v>522987.94</v>
      </c>
      <c r="GZ20" s="271">
        <v>320749.27</v>
      </c>
      <c r="HA20" s="271">
        <v>236013.87</v>
      </c>
      <c r="HB20" s="271">
        <v>109553.61</v>
      </c>
      <c r="HC20" s="271">
        <v>1544006.62</v>
      </c>
      <c r="HD20" s="271">
        <v>1812767.9</v>
      </c>
      <c r="HE20" s="271">
        <v>911879.04</v>
      </c>
      <c r="HF20" s="271">
        <v>1107553.1599999999</v>
      </c>
      <c r="HG20" s="271">
        <v>250898.2</v>
      </c>
      <c r="HH20" s="271">
        <v>696951.7</v>
      </c>
      <c r="HI20" s="271">
        <v>184624.46</v>
      </c>
      <c r="HJ20" s="271">
        <v>1356456.91</v>
      </c>
      <c r="HK20" s="271">
        <v>134617.75</v>
      </c>
      <c r="HL20" s="271">
        <v>381844.98</v>
      </c>
      <c r="HM20" s="271">
        <v>269493.40999999997</v>
      </c>
      <c r="HN20" s="271">
        <v>364652.43</v>
      </c>
      <c r="HO20" s="271">
        <v>157698.09</v>
      </c>
      <c r="HP20" s="271">
        <v>539142.04</v>
      </c>
      <c r="HQ20" s="271">
        <v>183743.89</v>
      </c>
      <c r="HR20" s="271">
        <v>1274505.79</v>
      </c>
      <c r="HS20" s="271">
        <v>490560.52</v>
      </c>
      <c r="HT20" s="271">
        <v>249139.96</v>
      </c>
      <c r="HU20" s="271">
        <v>120070.43</v>
      </c>
      <c r="HV20" s="271">
        <v>212685.46</v>
      </c>
      <c r="HW20" s="271">
        <v>153012.51999999999</v>
      </c>
      <c r="HX20" s="271">
        <v>550637.66</v>
      </c>
      <c r="HY20" s="271">
        <v>255887.81</v>
      </c>
      <c r="HZ20" s="271">
        <v>164831.01</v>
      </c>
      <c r="IA20" s="271">
        <v>77958</v>
      </c>
      <c r="IB20" s="271">
        <v>249222.75</v>
      </c>
      <c r="IC20" s="271">
        <v>703356.18</v>
      </c>
      <c r="ID20" s="271">
        <v>65753.240000000005</v>
      </c>
      <c r="IE20" s="271">
        <v>74442.399999999994</v>
      </c>
      <c r="IF20" s="271">
        <v>140610.14000000001</v>
      </c>
      <c r="IG20" s="271">
        <v>49424.15</v>
      </c>
      <c r="IH20" s="271">
        <v>840362.05</v>
      </c>
      <c r="II20" s="271">
        <v>345570</v>
      </c>
      <c r="IJ20" s="271">
        <v>470645.39</v>
      </c>
      <c r="IK20" s="271">
        <v>296591.26</v>
      </c>
      <c r="IL20" s="271">
        <v>763300.63</v>
      </c>
      <c r="IM20" s="271">
        <v>449036.03</v>
      </c>
      <c r="IN20" s="271">
        <v>111971.32</v>
      </c>
      <c r="IO20" s="271">
        <v>170414.27</v>
      </c>
      <c r="IP20" s="271">
        <v>229530.38</v>
      </c>
      <c r="IQ20" s="271">
        <v>347388.3</v>
      </c>
      <c r="IR20" s="271">
        <v>189554.09</v>
      </c>
      <c r="IS20" s="271">
        <v>1244841.1100000001</v>
      </c>
      <c r="IT20" s="271">
        <v>865374.61</v>
      </c>
      <c r="IU20" s="271">
        <v>440397.36</v>
      </c>
      <c r="IV20" s="271">
        <v>313629.90000000002</v>
      </c>
      <c r="IW20" s="271">
        <v>156812.15</v>
      </c>
      <c r="IX20" s="271">
        <v>129106.17</v>
      </c>
      <c r="IY20" s="271">
        <v>380303.13</v>
      </c>
      <c r="IZ20" s="271">
        <v>115717.87</v>
      </c>
      <c r="JA20" s="271">
        <v>120453.09</v>
      </c>
      <c r="JB20" s="271">
        <v>242783.29</v>
      </c>
      <c r="JC20" s="271">
        <v>349660.61</v>
      </c>
      <c r="JD20" s="271">
        <v>441599.68</v>
      </c>
      <c r="JE20" s="271">
        <v>1441152.12</v>
      </c>
      <c r="JF20" s="271">
        <v>276592.95</v>
      </c>
      <c r="JG20" s="271">
        <v>218456.07</v>
      </c>
      <c r="JH20" s="271">
        <v>169752.06</v>
      </c>
      <c r="JI20" s="271">
        <v>248467.5</v>
      </c>
      <c r="JJ20" s="271">
        <v>307162.09000000003</v>
      </c>
      <c r="JK20" s="271">
        <v>1204250.05</v>
      </c>
      <c r="JL20" s="271">
        <v>121167.62</v>
      </c>
      <c r="JM20" s="271">
        <v>457832.19</v>
      </c>
      <c r="JN20" s="271">
        <v>396919.77</v>
      </c>
      <c r="JO20" s="271">
        <v>61825</v>
      </c>
      <c r="JP20" s="271">
        <v>310863.52</v>
      </c>
      <c r="JQ20" s="271">
        <v>233710.12</v>
      </c>
      <c r="JR20" s="271">
        <v>1800850.8</v>
      </c>
      <c r="JS20" s="271">
        <v>748616.5</v>
      </c>
      <c r="JT20" s="271">
        <v>283621.34000000003</v>
      </c>
      <c r="JU20" s="271">
        <v>87919.94</v>
      </c>
      <c r="JV20" s="271">
        <v>515074.11</v>
      </c>
      <c r="JW20" s="271">
        <v>179983.34</v>
      </c>
      <c r="JX20" s="271">
        <v>881796.88</v>
      </c>
      <c r="JY20" s="271">
        <v>898347.89</v>
      </c>
      <c r="JZ20" s="271">
        <v>332012.21000000002</v>
      </c>
      <c r="KA20" s="271">
        <v>270698.65000000002</v>
      </c>
      <c r="KB20" s="271">
        <v>420156.66</v>
      </c>
      <c r="KC20" s="271">
        <v>370753.42</v>
      </c>
      <c r="KD20" s="271">
        <v>124327.15</v>
      </c>
      <c r="KE20" s="271">
        <v>71801.91</v>
      </c>
      <c r="KF20" s="271">
        <v>314215.28999999998</v>
      </c>
      <c r="KG20" s="271">
        <v>128480.2</v>
      </c>
      <c r="KH20" s="271">
        <v>2289096.4700000002</v>
      </c>
      <c r="KI20" s="271">
        <v>213764.01</v>
      </c>
      <c r="KJ20" s="271">
        <v>351829.77</v>
      </c>
      <c r="KK20" s="271">
        <v>603945.62</v>
      </c>
      <c r="KL20" s="271">
        <v>148344.25</v>
      </c>
      <c r="KM20" s="271">
        <v>208812.67</v>
      </c>
      <c r="KN20" s="271">
        <v>1231228.98</v>
      </c>
      <c r="KO20" s="271">
        <v>94521.54</v>
      </c>
      <c r="KP20" s="271">
        <v>356599.96</v>
      </c>
      <c r="KQ20" s="271">
        <v>662907.35</v>
      </c>
      <c r="KR20" s="271">
        <v>198472.28</v>
      </c>
      <c r="KS20" s="271">
        <v>214794.48</v>
      </c>
      <c r="KT20" s="271">
        <v>960524.76</v>
      </c>
      <c r="KU20" s="271">
        <v>489712.84</v>
      </c>
      <c r="KV20" s="271">
        <v>268624.57</v>
      </c>
      <c r="KW20" s="271">
        <v>2447001.88</v>
      </c>
      <c r="KX20" s="271">
        <v>452680.5</v>
      </c>
      <c r="KY20" s="271">
        <v>646461.1</v>
      </c>
      <c r="KZ20" s="271">
        <v>71110.320000000007</v>
      </c>
      <c r="LA20" s="271">
        <v>161689.49</v>
      </c>
      <c r="LB20" s="271">
        <v>217240.66</v>
      </c>
      <c r="LC20" s="271">
        <v>1283282.6100000001</v>
      </c>
      <c r="LD20" s="271">
        <v>237635.63</v>
      </c>
      <c r="LE20" s="271">
        <v>345294.51</v>
      </c>
      <c r="LF20" s="271">
        <v>420018.98</v>
      </c>
      <c r="LG20" s="271">
        <v>4763366.04</v>
      </c>
      <c r="LH20" s="271">
        <v>1491154.26</v>
      </c>
      <c r="LI20" s="271">
        <v>604327.47</v>
      </c>
      <c r="LJ20" s="271">
        <v>1490309.01</v>
      </c>
      <c r="LK20" s="271">
        <v>2600823.1800000002</v>
      </c>
      <c r="LL20" s="271">
        <v>360253.65</v>
      </c>
      <c r="LM20" s="271">
        <v>193939.98</v>
      </c>
      <c r="LN20" s="271">
        <v>1085733.68</v>
      </c>
      <c r="LO20" s="271">
        <v>237893.61</v>
      </c>
      <c r="LP20" s="271">
        <v>412863.74</v>
      </c>
      <c r="LQ20" s="271">
        <v>431438.55</v>
      </c>
      <c r="LR20" s="271">
        <v>345532.84</v>
      </c>
      <c r="LS20" s="271">
        <v>192863.54</v>
      </c>
      <c r="LT20" s="271">
        <v>197720.09</v>
      </c>
      <c r="LU20" s="271">
        <v>1050081.1299999999</v>
      </c>
      <c r="LV20" s="271">
        <v>513666.61</v>
      </c>
      <c r="LW20" s="271">
        <v>725251.13</v>
      </c>
      <c r="LX20" s="271">
        <v>413110.02</v>
      </c>
      <c r="LY20" s="271">
        <v>650625.06999999995</v>
      </c>
      <c r="LZ20" s="271">
        <v>765456.83</v>
      </c>
      <c r="MA20" s="271">
        <v>405716.07</v>
      </c>
      <c r="MB20" s="271">
        <v>198730.93</v>
      </c>
      <c r="MC20" s="271">
        <v>399277.22</v>
      </c>
      <c r="MD20" s="271">
        <v>425857.91</v>
      </c>
      <c r="ME20" s="271">
        <v>587560.17000000004</v>
      </c>
      <c r="MF20" s="271">
        <v>545864.46</v>
      </c>
      <c r="MG20" s="271">
        <v>2354011.66</v>
      </c>
      <c r="MH20" s="271">
        <v>445525.84</v>
      </c>
      <c r="MI20" s="271">
        <v>330722.09000000003</v>
      </c>
      <c r="MJ20" s="271">
        <v>178205.13</v>
      </c>
      <c r="MK20" s="271">
        <v>223762.74</v>
      </c>
      <c r="ML20" s="271">
        <v>336897.17</v>
      </c>
      <c r="MM20" s="271">
        <v>279050.37</v>
      </c>
      <c r="MN20" s="271">
        <v>457211.65</v>
      </c>
      <c r="MO20" s="271">
        <v>304901.89</v>
      </c>
      <c r="MP20" s="271">
        <v>139462.04</v>
      </c>
      <c r="MQ20" s="271">
        <v>120971.29</v>
      </c>
      <c r="MR20" s="271">
        <v>209116.98</v>
      </c>
      <c r="MS20" s="271">
        <v>428987.17</v>
      </c>
      <c r="MT20" s="271">
        <v>397673.7</v>
      </c>
      <c r="MU20" s="271">
        <v>210337.62</v>
      </c>
      <c r="MV20" s="271">
        <v>252576.06</v>
      </c>
      <c r="MW20" s="271">
        <v>294620.39</v>
      </c>
      <c r="MX20" s="271">
        <v>169701.31</v>
      </c>
      <c r="MY20" s="271">
        <v>808468.08</v>
      </c>
      <c r="MZ20" s="271">
        <v>397666.44</v>
      </c>
      <c r="NA20" s="271">
        <v>224531.86</v>
      </c>
      <c r="NB20" s="271">
        <v>180597.11</v>
      </c>
      <c r="NC20" s="271">
        <v>112182.39999999999</v>
      </c>
      <c r="ND20" s="271">
        <v>2632028.08</v>
      </c>
      <c r="NE20" s="271">
        <v>1937562.06</v>
      </c>
      <c r="NF20" s="271">
        <v>277938.08</v>
      </c>
      <c r="NG20" s="271">
        <v>561187.55000000005</v>
      </c>
      <c r="NH20" s="271">
        <v>217470.24</v>
      </c>
      <c r="NI20" s="271">
        <v>738454.79</v>
      </c>
      <c r="NJ20" s="271">
        <v>1464687.42</v>
      </c>
      <c r="NK20" s="271">
        <v>1506318.36</v>
      </c>
      <c r="NL20" s="271">
        <v>52758.78</v>
      </c>
      <c r="NM20" s="271">
        <v>165032.78</v>
      </c>
      <c r="NN20" s="271">
        <v>277838.75</v>
      </c>
      <c r="NO20" s="271">
        <v>92581.08</v>
      </c>
      <c r="NP20" s="271">
        <v>1847539.97</v>
      </c>
      <c r="NQ20" s="271">
        <v>343103.09</v>
      </c>
      <c r="NR20" s="271">
        <v>420635.21</v>
      </c>
      <c r="NS20" s="271">
        <v>355654.55</v>
      </c>
      <c r="NT20" s="271">
        <v>206735.1</v>
      </c>
      <c r="NU20" s="271">
        <v>66354.66</v>
      </c>
      <c r="NV20" s="271">
        <v>93055.24</v>
      </c>
      <c r="NW20" s="271">
        <v>5704696</v>
      </c>
      <c r="NX20" s="271">
        <v>473029.97</v>
      </c>
      <c r="NY20" s="271">
        <v>859278.94</v>
      </c>
      <c r="NZ20" s="271">
        <v>154596.76</v>
      </c>
      <c r="OA20" s="271">
        <v>520537.5</v>
      </c>
      <c r="OB20" s="271">
        <v>178523.15</v>
      </c>
      <c r="OC20" s="271">
        <v>513533.21</v>
      </c>
      <c r="OD20" s="271">
        <v>2388099.41</v>
      </c>
      <c r="OE20" s="271">
        <v>429172.45</v>
      </c>
      <c r="OF20" s="271">
        <v>335150.78999999998</v>
      </c>
      <c r="OG20" s="271">
        <v>691984.04</v>
      </c>
      <c r="OH20" s="271">
        <v>228767.49</v>
      </c>
      <c r="OI20" s="271">
        <v>415813.64</v>
      </c>
      <c r="OJ20" s="271">
        <v>62868.13</v>
      </c>
      <c r="OK20" s="271">
        <v>52313.57</v>
      </c>
      <c r="OL20" s="271">
        <v>307832.88</v>
      </c>
      <c r="OM20" s="271">
        <v>1664357.4</v>
      </c>
      <c r="ON20" s="271">
        <v>245978.69</v>
      </c>
      <c r="OO20" s="271">
        <v>1270342.57</v>
      </c>
      <c r="OP20" s="271">
        <v>318271.28999999998</v>
      </c>
      <c r="OQ20" s="271">
        <v>66959.3</v>
      </c>
      <c r="OR20" s="271">
        <v>200053.77</v>
      </c>
      <c r="OS20" s="271">
        <v>1075856.1599999999</v>
      </c>
      <c r="OT20" s="271">
        <v>76325.759999999995</v>
      </c>
      <c r="OU20" s="271">
        <v>297313.37</v>
      </c>
      <c r="OV20" s="271">
        <v>539838.80000000005</v>
      </c>
      <c r="OW20" s="271">
        <v>366671.82</v>
      </c>
      <c r="OX20" s="271">
        <v>247577</v>
      </c>
      <c r="OY20" s="271">
        <v>203105.05</v>
      </c>
      <c r="OZ20" s="271">
        <v>297473.34000000003</v>
      </c>
      <c r="PA20" s="271">
        <v>195843.55</v>
      </c>
      <c r="PB20" s="271">
        <v>1948607.44</v>
      </c>
      <c r="PC20" s="271">
        <v>121066.99</v>
      </c>
      <c r="PD20" s="271">
        <v>449013</v>
      </c>
      <c r="PE20" s="271">
        <v>190353.13</v>
      </c>
      <c r="PF20" s="271">
        <v>602464.61</v>
      </c>
      <c r="PG20" s="271">
        <v>274030.42</v>
      </c>
      <c r="PH20" s="271">
        <v>132092.85999999999</v>
      </c>
      <c r="PI20" s="271">
        <v>171512.36</v>
      </c>
      <c r="PJ20" s="271">
        <v>155563.53</v>
      </c>
      <c r="PK20" s="271">
        <v>318172.73</v>
      </c>
      <c r="PL20" s="271">
        <v>228758.67</v>
      </c>
      <c r="PM20" s="271">
        <v>1209147.8600000001</v>
      </c>
      <c r="PN20" s="271">
        <v>265853.8</v>
      </c>
      <c r="PO20" s="271">
        <v>631972.57999999996</v>
      </c>
      <c r="PP20" s="271">
        <v>220374.6</v>
      </c>
      <c r="PQ20" s="271">
        <v>218489.59</v>
      </c>
      <c r="PR20" s="271">
        <v>134521.17000000001</v>
      </c>
      <c r="PS20" s="271">
        <v>217098.67</v>
      </c>
      <c r="PT20" s="271">
        <v>2582438.33</v>
      </c>
      <c r="PU20" s="271">
        <v>444208.96</v>
      </c>
      <c r="PV20" s="271">
        <v>260347.38</v>
      </c>
      <c r="PW20" s="271">
        <v>356426.15</v>
      </c>
      <c r="PX20" s="271">
        <v>1498264.61</v>
      </c>
      <c r="PY20" s="271">
        <v>315930.59999999998</v>
      </c>
      <c r="PZ20" s="271">
        <v>690637.51</v>
      </c>
      <c r="QA20" s="271">
        <v>140268.84</v>
      </c>
      <c r="QB20" s="271">
        <v>161367.54999999999</v>
      </c>
      <c r="QC20" s="271">
        <v>260867.91</v>
      </c>
      <c r="QD20" s="271">
        <v>490718.21</v>
      </c>
      <c r="QE20" s="271">
        <v>235800.72</v>
      </c>
      <c r="QF20" s="271">
        <v>265097.93</v>
      </c>
      <c r="QG20" s="271">
        <v>466366</v>
      </c>
      <c r="QH20" s="271">
        <v>336208</v>
      </c>
      <c r="QI20" s="271">
        <v>1017041.51</v>
      </c>
      <c r="QJ20" s="271">
        <v>566265.38</v>
      </c>
      <c r="QK20" s="271">
        <v>155717.04999999999</v>
      </c>
      <c r="QL20" s="271">
        <v>254376.3</v>
      </c>
      <c r="QM20" s="271">
        <v>1123754.52</v>
      </c>
      <c r="QN20" s="271">
        <v>330622.08000000002</v>
      </c>
      <c r="QO20" s="271">
        <v>200918</v>
      </c>
      <c r="QP20" s="271">
        <v>88835.44</v>
      </c>
      <c r="QQ20" s="271">
        <v>108296.85</v>
      </c>
      <c r="QR20" s="271">
        <v>249771.4</v>
      </c>
      <c r="QS20" s="271">
        <v>212454.07</v>
      </c>
      <c r="QT20" s="271">
        <v>3337501.82</v>
      </c>
      <c r="QU20" s="271">
        <v>448676.52</v>
      </c>
      <c r="QV20" s="271">
        <v>741230.9</v>
      </c>
      <c r="QW20" s="271">
        <v>223814.5</v>
      </c>
      <c r="QX20" s="271">
        <v>726680.25</v>
      </c>
      <c r="QY20" s="271">
        <v>954508.26</v>
      </c>
      <c r="QZ20" s="271">
        <v>196599</v>
      </c>
      <c r="RA20" s="271">
        <v>607419.32999999996</v>
      </c>
      <c r="RB20" s="271">
        <v>968709.69</v>
      </c>
      <c r="RC20" s="271">
        <v>368834.54</v>
      </c>
      <c r="RD20" s="271">
        <v>448998.31</v>
      </c>
      <c r="RE20" s="271">
        <v>479383.15</v>
      </c>
      <c r="RF20" s="271">
        <v>177085.75</v>
      </c>
      <c r="RG20" s="271">
        <v>739918.39</v>
      </c>
      <c r="RH20" s="271">
        <v>1197092.29</v>
      </c>
      <c r="RI20" s="271">
        <v>176626.03</v>
      </c>
      <c r="RJ20" s="271">
        <v>664387.18999999994</v>
      </c>
      <c r="RK20" s="271">
        <v>151636.26999999999</v>
      </c>
      <c r="RL20" s="271">
        <v>500490.85</v>
      </c>
      <c r="RM20" s="271">
        <v>1898816.33</v>
      </c>
      <c r="RN20" s="271">
        <v>217080</v>
      </c>
      <c r="RO20" s="271">
        <v>315255.5</v>
      </c>
      <c r="RP20" s="271">
        <v>618874.81999999995</v>
      </c>
      <c r="RQ20" s="271">
        <v>953298.12</v>
      </c>
      <c r="RR20" s="271">
        <v>330077.65999999997</v>
      </c>
      <c r="RS20" s="271">
        <v>203314</v>
      </c>
      <c r="RT20" s="271">
        <v>417645</v>
      </c>
      <c r="RU20" s="271">
        <v>162649.5</v>
      </c>
      <c r="RV20" s="271">
        <v>550203.72</v>
      </c>
      <c r="RW20" s="271">
        <v>295762.92</v>
      </c>
      <c r="RX20" s="271">
        <v>184273.4</v>
      </c>
      <c r="RY20" s="271">
        <v>135079.01</v>
      </c>
      <c r="RZ20" s="271">
        <v>187974.7</v>
      </c>
      <c r="SA20" s="271">
        <v>2196535.91</v>
      </c>
      <c r="SB20" s="271">
        <v>200859.87</v>
      </c>
      <c r="SC20" s="271">
        <v>310791.61</v>
      </c>
      <c r="SD20" s="271">
        <v>210155.51999999999</v>
      </c>
      <c r="SE20" s="271">
        <v>354692.53</v>
      </c>
      <c r="SF20" s="271">
        <v>546230.91</v>
      </c>
      <c r="SG20" s="271">
        <v>671093.1</v>
      </c>
      <c r="SH20" s="271">
        <v>250198.06</v>
      </c>
      <c r="SI20" s="271">
        <v>397708.08</v>
      </c>
      <c r="SJ20" s="271">
        <v>119860.71</v>
      </c>
      <c r="SK20" s="271">
        <v>1754155.2</v>
      </c>
      <c r="SL20" s="271">
        <v>97456.639999999999</v>
      </c>
      <c r="SM20" s="271">
        <v>1986150.12</v>
      </c>
      <c r="SN20" s="271">
        <v>513164.67</v>
      </c>
      <c r="SO20" s="271">
        <v>464151.03</v>
      </c>
      <c r="SP20" s="271">
        <v>471975</v>
      </c>
      <c r="SQ20" s="271">
        <v>333161.52</v>
      </c>
      <c r="SR20" s="271">
        <v>887834.94</v>
      </c>
      <c r="SS20" s="271">
        <v>418730.07</v>
      </c>
      <c r="ST20" s="271">
        <v>215230.02</v>
      </c>
      <c r="SU20" s="271">
        <v>1087008.68</v>
      </c>
      <c r="SV20" s="271">
        <v>359003</v>
      </c>
      <c r="SW20" s="271">
        <v>663121.37</v>
      </c>
      <c r="SX20" s="271">
        <v>321619.86</v>
      </c>
      <c r="SY20" s="271">
        <v>373945.51</v>
      </c>
      <c r="SZ20" s="271">
        <v>250445.3</v>
      </c>
      <c r="TA20" s="271">
        <v>618042.09</v>
      </c>
      <c r="TB20" s="271">
        <v>487681.63</v>
      </c>
      <c r="TC20" s="271">
        <v>199264.84</v>
      </c>
      <c r="TD20" s="271">
        <v>163388.84</v>
      </c>
      <c r="TE20" s="271">
        <v>507646.38</v>
      </c>
      <c r="TF20" s="271">
        <v>468295.41</v>
      </c>
      <c r="TG20" s="271">
        <v>376827.15</v>
      </c>
      <c r="TH20" s="271">
        <v>259335.44</v>
      </c>
      <c r="TI20" s="271">
        <v>2866913.05</v>
      </c>
      <c r="TJ20" s="271">
        <v>251132.49</v>
      </c>
      <c r="TK20" s="271">
        <v>145551.5</v>
      </c>
      <c r="TL20" s="271">
        <v>831913.68</v>
      </c>
      <c r="TM20" s="271">
        <v>492314</v>
      </c>
      <c r="TN20" s="271">
        <v>328866.13</v>
      </c>
      <c r="TO20" s="271">
        <v>208423.66</v>
      </c>
      <c r="TP20" s="271">
        <v>2530791.5699999998</v>
      </c>
      <c r="TQ20" s="271">
        <v>725427.92</v>
      </c>
      <c r="TR20" s="271">
        <v>515947.07</v>
      </c>
      <c r="TS20" s="271">
        <v>701824.42</v>
      </c>
      <c r="TT20" s="271">
        <v>488646.08</v>
      </c>
      <c r="TU20" s="271">
        <v>335917.61</v>
      </c>
      <c r="TV20" s="271">
        <v>221032.41</v>
      </c>
      <c r="TW20" s="271">
        <v>509564.03</v>
      </c>
      <c r="TX20" s="271">
        <v>229031.38</v>
      </c>
      <c r="TY20" s="271">
        <v>2691482.34</v>
      </c>
      <c r="TZ20" s="271">
        <v>358567.15</v>
      </c>
      <c r="UA20" s="271">
        <v>977716.39</v>
      </c>
      <c r="UB20" s="271">
        <v>336169.89</v>
      </c>
      <c r="UC20" s="271">
        <v>254605.2</v>
      </c>
      <c r="UD20" s="271">
        <v>76608.5</v>
      </c>
      <c r="UE20" s="271">
        <v>1406193.89</v>
      </c>
      <c r="UF20" s="271">
        <v>181262.39</v>
      </c>
      <c r="UG20" s="271">
        <v>230167.06</v>
      </c>
      <c r="UH20" s="271">
        <v>79243.490000000005</v>
      </c>
      <c r="UI20" s="271">
        <v>223619</v>
      </c>
      <c r="UJ20" s="271">
        <v>895647.44</v>
      </c>
      <c r="UK20" s="271">
        <v>736933.96</v>
      </c>
      <c r="UL20" s="271">
        <v>394981.91</v>
      </c>
      <c r="UM20" s="271">
        <v>1553740.5</v>
      </c>
      <c r="UN20" s="271">
        <v>408459.81</v>
      </c>
      <c r="UO20" s="271">
        <v>289082.08</v>
      </c>
      <c r="UP20" s="271">
        <v>1677173.44</v>
      </c>
      <c r="UQ20" s="271">
        <v>245488.57</v>
      </c>
      <c r="UR20" s="271">
        <v>516799.47</v>
      </c>
      <c r="US20" s="271">
        <v>1129486.2</v>
      </c>
      <c r="UT20" s="271">
        <v>10328</v>
      </c>
      <c r="UU20" s="271">
        <v>306986.15000000002</v>
      </c>
      <c r="UV20" s="271">
        <v>972382.11</v>
      </c>
      <c r="UW20" s="271">
        <v>433114.78</v>
      </c>
      <c r="UX20" s="271">
        <v>457128.03</v>
      </c>
      <c r="UY20" s="271">
        <v>308838.23</v>
      </c>
      <c r="UZ20" s="271">
        <v>831590.48</v>
      </c>
      <c r="VA20" s="271">
        <v>690483.18</v>
      </c>
      <c r="VB20" s="271">
        <v>274055</v>
      </c>
      <c r="VC20" s="271">
        <v>848060.75</v>
      </c>
      <c r="VD20" s="271">
        <v>242884.05</v>
      </c>
      <c r="VE20" s="271">
        <v>365546.44</v>
      </c>
      <c r="VF20" s="271">
        <v>142851</v>
      </c>
      <c r="VG20" s="271">
        <v>164328.09</v>
      </c>
      <c r="VH20" s="271">
        <v>889364.22</v>
      </c>
      <c r="VI20" s="271">
        <v>169470</v>
      </c>
      <c r="VJ20" s="271">
        <v>263280.09999999998</v>
      </c>
      <c r="VK20" s="271">
        <v>254741.75</v>
      </c>
      <c r="VL20" s="271">
        <v>2053347.77</v>
      </c>
      <c r="VM20" s="271">
        <v>329622.68</v>
      </c>
      <c r="VN20" s="271">
        <v>116476.6</v>
      </c>
      <c r="VO20" s="271">
        <v>790113.01</v>
      </c>
      <c r="VP20" s="271">
        <v>525605.57999999996</v>
      </c>
      <c r="VQ20" s="271">
        <v>885923.57</v>
      </c>
      <c r="VR20" s="271">
        <v>378358.31</v>
      </c>
      <c r="VS20" s="271">
        <v>201854.44</v>
      </c>
      <c r="VT20" s="271">
        <v>391395.13</v>
      </c>
      <c r="VU20" s="271">
        <v>2056238.72</v>
      </c>
      <c r="VV20" s="271">
        <v>736703.59</v>
      </c>
      <c r="VW20" s="271">
        <v>1218415.78</v>
      </c>
      <c r="VX20" s="271">
        <v>772878.25</v>
      </c>
      <c r="VY20" s="271">
        <v>347806.13</v>
      </c>
      <c r="VZ20" s="271">
        <v>534577.76</v>
      </c>
      <c r="WA20" s="271">
        <v>9547702.3200000003</v>
      </c>
      <c r="WB20" s="271">
        <v>767275.98</v>
      </c>
      <c r="WC20" s="271">
        <v>458062.12</v>
      </c>
      <c r="WD20" s="271">
        <v>694751.32</v>
      </c>
      <c r="WE20" s="271">
        <v>520403.71</v>
      </c>
      <c r="WF20" s="271">
        <v>733435.59</v>
      </c>
      <c r="WG20" s="271">
        <v>1110842.48</v>
      </c>
      <c r="WH20" s="271">
        <v>792112.43</v>
      </c>
      <c r="WI20" s="271">
        <v>1286573.08</v>
      </c>
      <c r="WJ20" s="271">
        <v>601171.79</v>
      </c>
      <c r="WK20" s="271">
        <v>793696.38</v>
      </c>
      <c r="WL20" s="271">
        <v>756862.12</v>
      </c>
      <c r="WM20" s="271">
        <v>1080543.95</v>
      </c>
      <c r="WN20" s="271">
        <v>952102.77</v>
      </c>
      <c r="WO20" s="271">
        <v>1176849.49</v>
      </c>
      <c r="WP20" s="271">
        <v>389424.9</v>
      </c>
      <c r="WQ20" s="271">
        <v>683539.71</v>
      </c>
      <c r="WR20" s="271">
        <v>856447.67</v>
      </c>
      <c r="WS20" s="271">
        <v>278995.48</v>
      </c>
      <c r="WT20" s="271">
        <v>803179.1</v>
      </c>
      <c r="WU20" s="271">
        <v>1110114.3899999999</v>
      </c>
      <c r="WV20" s="271">
        <v>472438.41</v>
      </c>
      <c r="WW20" s="271">
        <v>347290.83</v>
      </c>
      <c r="WX20" s="271">
        <v>354874.53</v>
      </c>
      <c r="WY20" s="271">
        <v>394778.18</v>
      </c>
      <c r="WZ20" s="271">
        <v>814164.05</v>
      </c>
      <c r="XA20" s="271">
        <v>300650.94</v>
      </c>
      <c r="XB20" s="271">
        <v>457988.07</v>
      </c>
      <c r="XC20" s="271">
        <v>2496339.59</v>
      </c>
      <c r="XD20" s="271">
        <v>512265.97</v>
      </c>
      <c r="XE20" s="271">
        <v>306236.38</v>
      </c>
      <c r="XF20" s="271">
        <v>252681.1</v>
      </c>
      <c r="XG20" s="271">
        <v>203582.98</v>
      </c>
      <c r="XH20" s="271">
        <v>3525278.41</v>
      </c>
      <c r="XI20" s="271">
        <v>480576.65</v>
      </c>
      <c r="XJ20" s="271">
        <v>994506.84</v>
      </c>
      <c r="XK20" s="271">
        <v>1346535.95</v>
      </c>
      <c r="XL20" s="271">
        <v>484647.58</v>
      </c>
      <c r="XM20" s="271">
        <v>918826.44</v>
      </c>
      <c r="XN20" s="271">
        <v>880269.3</v>
      </c>
      <c r="XO20" s="271">
        <v>895099.11</v>
      </c>
      <c r="XP20" s="271">
        <v>601739.43000000005</v>
      </c>
      <c r="XQ20" s="271">
        <v>1757669.32</v>
      </c>
      <c r="XR20" s="271">
        <v>1122607.3999999999</v>
      </c>
      <c r="XS20" s="271">
        <v>601466.65</v>
      </c>
      <c r="XT20" s="271">
        <v>186778.93</v>
      </c>
      <c r="XU20" s="271">
        <v>278469.64</v>
      </c>
      <c r="XV20" s="271">
        <v>348619.19</v>
      </c>
      <c r="XW20" s="271">
        <v>310094.40000000002</v>
      </c>
      <c r="XX20" s="271">
        <v>556177.46</v>
      </c>
      <c r="XY20" s="271">
        <v>373639.56</v>
      </c>
      <c r="XZ20" s="271">
        <v>422801.63</v>
      </c>
      <c r="YA20" s="271">
        <v>317921.19</v>
      </c>
      <c r="YB20" s="271">
        <v>360350.2</v>
      </c>
      <c r="YC20" s="271">
        <v>305129.95</v>
      </c>
      <c r="YD20" s="271">
        <v>722973.24</v>
      </c>
      <c r="YE20" s="271">
        <v>4172638.55</v>
      </c>
      <c r="YF20" s="271">
        <v>340621.19</v>
      </c>
      <c r="YG20" s="271">
        <v>699913.89</v>
      </c>
      <c r="YH20" s="271">
        <v>622182.38</v>
      </c>
      <c r="YI20" s="271">
        <v>1219987.1200000001</v>
      </c>
      <c r="YJ20" s="271">
        <v>459170.66</v>
      </c>
      <c r="YK20" s="271">
        <v>827657.54</v>
      </c>
      <c r="YL20" s="271">
        <v>201789.12</v>
      </c>
      <c r="YM20" s="271">
        <v>1478712.51</v>
      </c>
      <c r="YN20" s="271">
        <v>796904.28</v>
      </c>
      <c r="YO20" s="271">
        <v>496136.05</v>
      </c>
      <c r="YP20" s="271">
        <v>557867.09</v>
      </c>
      <c r="YQ20" s="271">
        <v>538291.65</v>
      </c>
      <c r="YR20" s="271">
        <v>364753.46</v>
      </c>
      <c r="YS20" s="271">
        <v>221464.79</v>
      </c>
      <c r="YT20" s="271">
        <v>267318.99</v>
      </c>
      <c r="YU20" s="271">
        <v>534185.79</v>
      </c>
      <c r="YV20" s="271">
        <v>1176354.57</v>
      </c>
      <c r="YW20" s="271">
        <v>493484.88</v>
      </c>
      <c r="YX20" s="271">
        <v>459141.05</v>
      </c>
      <c r="YY20" s="271">
        <v>617545.9</v>
      </c>
      <c r="YZ20" s="271">
        <v>333567.53999999998</v>
      </c>
      <c r="ZA20" s="271">
        <v>356258.19</v>
      </c>
      <c r="ZB20" s="271">
        <v>292066.34000000003</v>
      </c>
      <c r="ZC20" s="271">
        <v>898181.88</v>
      </c>
      <c r="ZD20" s="271">
        <v>302800.77</v>
      </c>
      <c r="ZE20" s="271">
        <v>183980.79</v>
      </c>
      <c r="ZF20" s="271">
        <v>395056</v>
      </c>
      <c r="ZG20" s="271">
        <v>174076.77</v>
      </c>
      <c r="ZH20" s="271">
        <v>554889.18000000005</v>
      </c>
      <c r="ZI20" s="271">
        <v>162515.65</v>
      </c>
      <c r="ZJ20" s="271">
        <v>137346.79</v>
      </c>
      <c r="ZK20" s="271">
        <v>294914.52</v>
      </c>
      <c r="ZL20" s="271">
        <v>997491.4</v>
      </c>
      <c r="ZM20" s="271">
        <v>321303.84000000003</v>
      </c>
      <c r="ZN20" s="271">
        <v>400544.93</v>
      </c>
      <c r="ZO20" s="271">
        <v>557668.53</v>
      </c>
      <c r="ZP20" s="271">
        <v>655831.81000000006</v>
      </c>
      <c r="ZQ20" s="271">
        <v>307369.7</v>
      </c>
      <c r="ZR20" s="271">
        <v>276227</v>
      </c>
      <c r="ZS20" s="271">
        <v>1558587.96</v>
      </c>
      <c r="ZT20" s="271">
        <v>918751.8</v>
      </c>
      <c r="ZU20" s="271">
        <v>542046.17000000004</v>
      </c>
      <c r="ZV20" s="271">
        <v>303575.44</v>
      </c>
      <c r="ZW20" s="271">
        <v>267565.03000000003</v>
      </c>
      <c r="ZX20" s="271">
        <v>149536.56</v>
      </c>
      <c r="ZY20" s="271">
        <v>270145.01</v>
      </c>
      <c r="ZZ20" s="271">
        <v>787104.59</v>
      </c>
      <c r="AAA20" s="271">
        <v>168394.76</v>
      </c>
      <c r="AAB20" s="271">
        <v>295556.92</v>
      </c>
      <c r="AAC20" s="271">
        <v>96655.88</v>
      </c>
      <c r="AAD20" s="271">
        <v>386231.5</v>
      </c>
      <c r="AAE20" s="271">
        <v>543671.75</v>
      </c>
      <c r="AAF20" s="271">
        <v>334410.83</v>
      </c>
      <c r="AAG20" s="271">
        <v>126196.67</v>
      </c>
      <c r="AAH20" s="271">
        <v>1408107.38</v>
      </c>
      <c r="AAI20" s="271">
        <v>126955.9</v>
      </c>
      <c r="AAJ20" s="271">
        <v>491678.52</v>
      </c>
      <c r="AAK20" s="271">
        <v>453877.46</v>
      </c>
      <c r="AAL20" s="271">
        <v>367319.27</v>
      </c>
      <c r="AAM20" s="271">
        <v>346720.57</v>
      </c>
      <c r="AAN20" s="271">
        <v>278773.81</v>
      </c>
      <c r="AAO20" s="271">
        <v>2535737.38</v>
      </c>
      <c r="AAP20" s="271">
        <v>512403.02</v>
      </c>
      <c r="AAQ20" s="271">
        <v>264741.33</v>
      </c>
      <c r="AAR20" s="271">
        <v>289804.78999999998</v>
      </c>
      <c r="AAS20" s="271">
        <v>899178.43</v>
      </c>
      <c r="AAT20" s="271">
        <v>293667.46999999997</v>
      </c>
      <c r="AAU20" s="271">
        <v>339438.21</v>
      </c>
      <c r="AAV20" s="271">
        <v>755465.85</v>
      </c>
      <c r="AAW20" s="271">
        <v>511728.98</v>
      </c>
      <c r="AAX20" s="271">
        <v>384296.97</v>
      </c>
      <c r="AAY20" s="271">
        <v>527810.41</v>
      </c>
      <c r="AAZ20" s="271">
        <v>785817.5</v>
      </c>
      <c r="ABA20" s="271">
        <v>1773751.83</v>
      </c>
      <c r="ABB20" s="271">
        <v>121737.74</v>
      </c>
      <c r="ABC20" s="271">
        <v>269915.09999999998</v>
      </c>
      <c r="ABD20" s="271">
        <v>123402.31</v>
      </c>
      <c r="ABE20" s="271">
        <v>258996.06</v>
      </c>
      <c r="ABF20" s="271">
        <v>328203.65000000002</v>
      </c>
      <c r="ABG20" s="271">
        <v>386218.25</v>
      </c>
      <c r="ABH20" s="271">
        <v>3314494.13</v>
      </c>
      <c r="ABI20" s="271">
        <v>1505735.76</v>
      </c>
      <c r="ABJ20" s="271">
        <v>324946.53000000003</v>
      </c>
      <c r="ABK20" s="271">
        <v>298862.52</v>
      </c>
      <c r="ABL20" s="271">
        <v>256734.1</v>
      </c>
      <c r="ABM20" s="271">
        <v>102497</v>
      </c>
      <c r="ABN20" s="271">
        <v>159672.75</v>
      </c>
      <c r="ABO20" s="271">
        <v>1549045.69</v>
      </c>
      <c r="ABP20" s="271">
        <v>311406.94</v>
      </c>
      <c r="ABQ20" s="271">
        <v>162346.54999999999</v>
      </c>
      <c r="ABR20" s="271">
        <v>448472.54</v>
      </c>
      <c r="ABS20" s="271">
        <v>777060.68</v>
      </c>
      <c r="ABT20" s="271">
        <v>337472.67</v>
      </c>
      <c r="ABU20" s="271">
        <v>189429.36</v>
      </c>
      <c r="ABV20" s="271">
        <v>897073.01</v>
      </c>
      <c r="ABW20" s="271">
        <v>14549.4</v>
      </c>
      <c r="ABX20" s="271">
        <v>2632688.7599999998</v>
      </c>
      <c r="ABY20" s="271">
        <v>173209.53</v>
      </c>
      <c r="ABZ20" s="271">
        <v>651723.64</v>
      </c>
      <c r="ACA20" s="271">
        <v>68642.759999999995</v>
      </c>
      <c r="ACB20" s="271">
        <v>118402.12</v>
      </c>
      <c r="ACC20" s="271">
        <v>1645807.42</v>
      </c>
      <c r="ACD20" s="271">
        <v>419166.59</v>
      </c>
      <c r="ACE20" s="271">
        <v>512949.46</v>
      </c>
      <c r="ACF20" s="271">
        <v>389464.48</v>
      </c>
      <c r="ACG20" s="271">
        <v>882766.17</v>
      </c>
      <c r="ACH20" s="271">
        <v>345603.54</v>
      </c>
      <c r="ACI20" s="271">
        <v>2365864.67</v>
      </c>
      <c r="ACJ20" s="271">
        <v>316182.78000000003</v>
      </c>
      <c r="ACK20" s="271">
        <v>282103.8</v>
      </c>
      <c r="ACL20" s="271">
        <v>334959.09999999998</v>
      </c>
      <c r="ACM20" s="271">
        <v>222926.26</v>
      </c>
      <c r="ACN20" s="271">
        <v>1198603.02</v>
      </c>
      <c r="ACO20" s="271">
        <v>1177029.23</v>
      </c>
      <c r="ACP20" s="271">
        <v>1735907.07</v>
      </c>
      <c r="ACQ20" s="271">
        <v>2279322.86</v>
      </c>
      <c r="ACR20" s="271">
        <v>748742.77</v>
      </c>
      <c r="ACS20" s="271">
        <v>657764.1</v>
      </c>
      <c r="ACT20" s="271">
        <v>655830.21</v>
      </c>
      <c r="ACU20" s="271">
        <v>206127.52</v>
      </c>
      <c r="ACV20" s="271">
        <v>1130161.8799999999</v>
      </c>
      <c r="ACW20" s="271">
        <v>130374.35</v>
      </c>
      <c r="ACX20" s="271">
        <v>243217.25</v>
      </c>
      <c r="ACY20" s="271">
        <v>897412.6</v>
      </c>
      <c r="ACZ20" s="271">
        <v>185078.67</v>
      </c>
      <c r="ADA20" s="271">
        <v>160125.43</v>
      </c>
      <c r="ADB20" s="271">
        <v>470935.08</v>
      </c>
      <c r="ADC20" s="271">
        <v>190282.49</v>
      </c>
      <c r="ADD20" s="271">
        <v>222838.79</v>
      </c>
      <c r="ADE20" s="271">
        <v>472436.36</v>
      </c>
      <c r="ADF20" s="271">
        <v>878473.23</v>
      </c>
      <c r="ADG20" s="271">
        <v>314436.75</v>
      </c>
      <c r="ADH20" s="271">
        <v>460904.54</v>
      </c>
      <c r="ADI20" s="271">
        <v>120813.25</v>
      </c>
      <c r="ADJ20" s="271">
        <v>940281.2</v>
      </c>
      <c r="ADK20" s="271">
        <v>319248.75</v>
      </c>
      <c r="ADL20" s="271">
        <v>210476.68</v>
      </c>
      <c r="ADM20" s="271">
        <v>175535.43</v>
      </c>
      <c r="ADN20" s="271">
        <v>313364.01</v>
      </c>
      <c r="ADO20" s="271">
        <v>8835288.6099999994</v>
      </c>
      <c r="ADP20" s="271">
        <v>755757.06</v>
      </c>
      <c r="ADQ20" s="271">
        <v>1719884.55</v>
      </c>
      <c r="ADR20" s="271">
        <v>269580.15000000002</v>
      </c>
      <c r="ADS20" s="271">
        <v>2712109.36</v>
      </c>
      <c r="ADT20" s="271">
        <v>112614.55</v>
      </c>
      <c r="ADU20" s="271">
        <v>211464.9</v>
      </c>
      <c r="ADV20" s="271">
        <v>379403.35</v>
      </c>
      <c r="ADW20" s="271">
        <v>213400.84</v>
      </c>
      <c r="ADX20" s="271">
        <v>101463.58</v>
      </c>
      <c r="ADY20" s="271">
        <v>445065.92</v>
      </c>
      <c r="ADZ20" s="271">
        <v>1249029.51</v>
      </c>
      <c r="AEA20" s="271">
        <v>1581641.29</v>
      </c>
      <c r="AEB20" s="271">
        <v>222881.45</v>
      </c>
      <c r="AEC20" s="271">
        <v>739962.43</v>
      </c>
      <c r="AED20" s="271">
        <v>481981.99</v>
      </c>
      <c r="AEE20" s="271">
        <v>61926.1</v>
      </c>
      <c r="AEF20" s="271">
        <v>214565.54</v>
      </c>
      <c r="AEG20" s="271">
        <v>503349.88</v>
      </c>
      <c r="AEH20" s="271">
        <v>189275.7</v>
      </c>
      <c r="AEI20" s="271">
        <v>1211279.02</v>
      </c>
      <c r="AEJ20" s="271">
        <v>279021.42</v>
      </c>
      <c r="AEK20" s="271">
        <v>302888.11</v>
      </c>
      <c r="AEL20" s="271">
        <v>213559.37</v>
      </c>
      <c r="AEM20" s="271">
        <v>489053.81</v>
      </c>
      <c r="AEN20" s="271">
        <v>516145.37</v>
      </c>
      <c r="AEO20" s="271">
        <v>362373.88</v>
      </c>
      <c r="AEP20" s="271">
        <v>385552.23</v>
      </c>
      <c r="AEQ20" s="271">
        <v>377197.34</v>
      </c>
      <c r="AER20" s="271">
        <v>1715104.89</v>
      </c>
      <c r="AES20" s="271">
        <v>1462772.66</v>
      </c>
      <c r="AET20" s="271">
        <v>711708.51</v>
      </c>
      <c r="AEU20" s="271">
        <v>447652.35</v>
      </c>
      <c r="AEV20" s="271">
        <v>1770661.71</v>
      </c>
      <c r="AEW20" s="271">
        <v>584519.84</v>
      </c>
      <c r="AEX20" s="271">
        <v>1040750.33</v>
      </c>
      <c r="AEY20" s="271">
        <v>509724.93</v>
      </c>
      <c r="AEZ20" s="271">
        <v>182002.33</v>
      </c>
      <c r="AFA20" s="271">
        <v>221418.36</v>
      </c>
      <c r="AFB20" s="271">
        <v>66748.740000000005</v>
      </c>
      <c r="AFC20" s="271">
        <v>504198.26</v>
      </c>
      <c r="AFD20" s="271">
        <v>354451.96</v>
      </c>
      <c r="AFE20" s="271">
        <v>1732043.92</v>
      </c>
      <c r="AFF20" s="271">
        <v>1444140.21</v>
      </c>
      <c r="AFG20" s="271">
        <v>1813405.02</v>
      </c>
      <c r="AFH20" s="271">
        <v>2110597.9500000002</v>
      </c>
      <c r="AFI20" s="271">
        <v>237149.79</v>
      </c>
      <c r="AFJ20" s="271">
        <v>556699.79</v>
      </c>
      <c r="AFK20" s="271">
        <v>359167.06</v>
      </c>
      <c r="AFL20" s="271">
        <v>394070.63</v>
      </c>
      <c r="AFM20" s="271">
        <v>417565.72</v>
      </c>
      <c r="AFN20" s="271">
        <v>285823.32</v>
      </c>
      <c r="AFO20" s="271">
        <v>189515.01</v>
      </c>
      <c r="AFP20" s="271">
        <v>1990235.9</v>
      </c>
      <c r="AFQ20" s="271">
        <v>527777.61</v>
      </c>
      <c r="AFR20" s="271">
        <v>517740.96</v>
      </c>
      <c r="AFS20" s="271">
        <v>590870.5</v>
      </c>
      <c r="AFT20" s="271">
        <v>432730.04</v>
      </c>
      <c r="AFU20" s="271">
        <v>425489.73</v>
      </c>
      <c r="AFV20" s="271">
        <v>203223.71</v>
      </c>
      <c r="AFW20" s="271">
        <v>900116.03</v>
      </c>
      <c r="AFX20" s="271">
        <v>503465.05</v>
      </c>
      <c r="AFY20" s="271">
        <v>95986.72</v>
      </c>
      <c r="AFZ20" s="271">
        <v>286268.88</v>
      </c>
      <c r="AGA20" s="271">
        <v>510054.07</v>
      </c>
      <c r="AGB20" s="271">
        <v>5848766.04</v>
      </c>
      <c r="AGC20" s="271">
        <v>494299.18</v>
      </c>
      <c r="AGD20" s="271">
        <v>466376.01</v>
      </c>
      <c r="AGE20" s="271">
        <v>485816.09</v>
      </c>
      <c r="AGF20" s="271">
        <v>1165727.1299999999</v>
      </c>
      <c r="AGG20" s="271">
        <v>440811.98</v>
      </c>
      <c r="AGH20" s="271">
        <v>253874.92</v>
      </c>
      <c r="AGI20" s="271">
        <v>201120.56</v>
      </c>
      <c r="AGJ20" s="271">
        <v>374115.35</v>
      </c>
      <c r="AGK20" s="271">
        <v>228069.7</v>
      </c>
      <c r="AGL20" s="271">
        <v>39310.980000000003</v>
      </c>
      <c r="AGM20" s="271">
        <v>2447431.94</v>
      </c>
      <c r="AGN20" s="271">
        <v>535158.54</v>
      </c>
      <c r="AGO20" s="271">
        <v>795900.91</v>
      </c>
      <c r="AGP20" s="271">
        <v>285996.34999999998</v>
      </c>
      <c r="AGQ20" s="271">
        <v>309338.95</v>
      </c>
      <c r="AGR20" s="271">
        <v>100010.03</v>
      </c>
      <c r="AGS20" s="271">
        <v>86011.1</v>
      </c>
      <c r="AGT20" s="271">
        <v>188379.86</v>
      </c>
      <c r="AGU20" s="271">
        <v>4225971.93</v>
      </c>
      <c r="AGV20" s="271">
        <v>1406057.95</v>
      </c>
      <c r="AGW20" s="271">
        <v>506738.9</v>
      </c>
      <c r="AGX20" s="271">
        <v>857934.36</v>
      </c>
      <c r="AGY20" s="271">
        <v>516709.46</v>
      </c>
      <c r="AGZ20" s="271">
        <v>455299.25</v>
      </c>
      <c r="AHA20" s="271">
        <v>562751.27</v>
      </c>
      <c r="AHB20" s="271">
        <v>308231.53000000003</v>
      </c>
      <c r="AHC20" s="271">
        <v>81763.679999999993</v>
      </c>
      <c r="AHD20" s="271">
        <v>556259.78</v>
      </c>
      <c r="AHE20" s="271">
        <v>386651.52</v>
      </c>
      <c r="AHF20" s="271">
        <v>239431.42</v>
      </c>
      <c r="AHG20" s="271">
        <v>441751.79</v>
      </c>
      <c r="AHH20" s="271">
        <v>157119.32999999999</v>
      </c>
      <c r="AHI20" s="271">
        <v>173852.31</v>
      </c>
      <c r="AHJ20" s="271">
        <v>539022.28</v>
      </c>
      <c r="AHK20" s="271">
        <v>105789.72</v>
      </c>
      <c r="AHL20" s="271">
        <v>2415809.2400000002</v>
      </c>
      <c r="AHM20" s="271">
        <v>49973.5</v>
      </c>
      <c r="AHN20" s="271">
        <v>388811.24</v>
      </c>
      <c r="AHO20" s="271">
        <v>332767.81</v>
      </c>
      <c r="AHP20" s="271">
        <v>729501.68</v>
      </c>
      <c r="AHQ20" s="294">
        <v>164804.76</v>
      </c>
      <c r="AHR20" s="329">
        <v>253033.28</v>
      </c>
      <c r="AHS20" s="294">
        <f t="shared" si="18"/>
        <v>549785122.35999954</v>
      </c>
      <c r="AHT20" s="269" t="b">
        <f t="shared" si="1"/>
        <v>1</v>
      </c>
      <c r="AHU20" s="269" t="s">
        <v>665</v>
      </c>
    </row>
    <row r="21" spans="1:905" ht="23.4" customHeight="1" x14ac:dyDescent="0.7">
      <c r="B21" s="268" t="s">
        <v>23</v>
      </c>
      <c r="C21" s="269" t="s">
        <v>24</v>
      </c>
      <c r="D21" s="271">
        <v>58602543.859999999</v>
      </c>
      <c r="E21" s="271">
        <v>6828578.25</v>
      </c>
      <c r="F21" s="271">
        <v>5894562.4000000004</v>
      </c>
      <c r="G21" s="271">
        <v>1875532.49</v>
      </c>
      <c r="H21" s="271">
        <v>2785777.6</v>
      </c>
      <c r="I21" s="271">
        <v>2113442.46</v>
      </c>
      <c r="J21" s="271">
        <v>10666546.529999999</v>
      </c>
      <c r="K21" s="271">
        <v>4865004.78</v>
      </c>
      <c r="L21" s="271">
        <v>6469631.5999999996</v>
      </c>
      <c r="M21" s="271">
        <v>3909380.58</v>
      </c>
      <c r="N21" s="271">
        <v>2141105.7999999998</v>
      </c>
      <c r="O21" s="271">
        <v>2544436.7799999998</v>
      </c>
      <c r="P21" s="271">
        <v>2267082.5</v>
      </c>
      <c r="Q21" s="271">
        <v>2357765.67</v>
      </c>
      <c r="R21" s="271">
        <v>1081932.3999999999</v>
      </c>
      <c r="S21" s="271">
        <v>7630713.9400000004</v>
      </c>
      <c r="T21" s="271">
        <v>767810.1</v>
      </c>
      <c r="U21" s="271">
        <v>1039750.81</v>
      </c>
      <c r="V21" s="271">
        <v>128927797.13</v>
      </c>
      <c r="W21" s="271">
        <v>10042120.43</v>
      </c>
      <c r="X21" s="271">
        <v>4356829.55</v>
      </c>
      <c r="Y21" s="271">
        <v>8684713.0800000001</v>
      </c>
      <c r="Z21" s="271">
        <v>3482955.45</v>
      </c>
      <c r="AA21" s="271">
        <v>3078106.75</v>
      </c>
      <c r="AB21" s="271">
        <v>1136579.1599999999</v>
      </c>
      <c r="AC21" s="271">
        <v>22695507.84</v>
      </c>
      <c r="AD21" s="271">
        <v>6277053.8200000003</v>
      </c>
      <c r="AE21" s="271">
        <v>4804273.7699999996</v>
      </c>
      <c r="AF21" s="271">
        <v>26878765.940000001</v>
      </c>
      <c r="AG21" s="271">
        <v>2222854.5</v>
      </c>
      <c r="AH21" s="271">
        <v>26684771.379999999</v>
      </c>
      <c r="AI21" s="271">
        <v>3732258.17</v>
      </c>
      <c r="AJ21" s="271">
        <v>4035279.81</v>
      </c>
      <c r="AK21" s="271">
        <v>1510580.4</v>
      </c>
      <c r="AL21" s="271">
        <v>3828591.39</v>
      </c>
      <c r="AM21" s="271">
        <v>6605017.7599999998</v>
      </c>
      <c r="AN21" s="271">
        <v>2100285.75</v>
      </c>
      <c r="AO21" s="271">
        <v>4885632.6100000003</v>
      </c>
      <c r="AP21" s="271">
        <v>1325348.81</v>
      </c>
      <c r="AQ21" s="271">
        <v>1371925</v>
      </c>
      <c r="AR21" s="271">
        <v>1380742.98</v>
      </c>
      <c r="AS21" s="271">
        <v>445845.01</v>
      </c>
      <c r="AT21" s="271">
        <v>79087872</v>
      </c>
      <c r="AU21" s="271">
        <v>936234.2</v>
      </c>
      <c r="AV21" s="271">
        <v>1023560.7</v>
      </c>
      <c r="AW21" s="271">
        <v>2776237.17</v>
      </c>
      <c r="AX21" s="271">
        <v>3266639.2</v>
      </c>
      <c r="AY21" s="271">
        <v>5403296.6799999997</v>
      </c>
      <c r="AZ21" s="271">
        <v>1897900.7</v>
      </c>
      <c r="BA21" s="271">
        <v>2977372.19</v>
      </c>
      <c r="BB21" s="271">
        <v>765938</v>
      </c>
      <c r="BC21" s="271">
        <v>1207665.8999999999</v>
      </c>
      <c r="BD21" s="271">
        <v>645478.6</v>
      </c>
      <c r="BE21" s="271">
        <v>865101.63</v>
      </c>
      <c r="BF21" s="271">
        <v>9193359.4299999997</v>
      </c>
      <c r="BG21" s="271">
        <v>555098.77</v>
      </c>
      <c r="BH21" s="271">
        <v>1468849.6</v>
      </c>
      <c r="BI21" s="271">
        <v>46476723.359999999</v>
      </c>
      <c r="BJ21" s="271">
        <v>15623526.039999999</v>
      </c>
      <c r="BK21" s="271">
        <v>2266731.96</v>
      </c>
      <c r="BL21" s="271">
        <v>1216254.18</v>
      </c>
      <c r="BM21" s="271">
        <v>4001555.04</v>
      </c>
      <c r="BN21" s="271">
        <v>2590062.4300000002</v>
      </c>
      <c r="BO21" s="271">
        <v>1217558.08</v>
      </c>
      <c r="BP21" s="271">
        <v>216199.4</v>
      </c>
      <c r="BQ21" s="271">
        <v>901159.88</v>
      </c>
      <c r="BR21" s="271">
        <v>49508083.770000003</v>
      </c>
      <c r="BS21" s="271">
        <v>1524532.94</v>
      </c>
      <c r="BT21" s="271">
        <v>2424542.06</v>
      </c>
      <c r="BU21" s="271">
        <v>2401024.65</v>
      </c>
      <c r="BV21" s="271">
        <v>1436099.11</v>
      </c>
      <c r="BW21" s="271">
        <v>1019730.4</v>
      </c>
      <c r="BX21" s="271">
        <v>1784892.15</v>
      </c>
      <c r="BY21" s="271">
        <v>1739618.16</v>
      </c>
      <c r="BZ21" s="271">
        <v>15064937.85</v>
      </c>
      <c r="CA21" s="271">
        <v>2222187.9500000002</v>
      </c>
      <c r="CB21" s="271">
        <v>3454246.45</v>
      </c>
      <c r="CC21" s="271">
        <v>12725820.289999999</v>
      </c>
      <c r="CD21" s="271">
        <v>2378464.2799999998</v>
      </c>
      <c r="CE21" s="271">
        <v>2149100</v>
      </c>
      <c r="CF21" s="271">
        <v>2513844.6</v>
      </c>
      <c r="CG21" s="271">
        <v>105451883.20999999</v>
      </c>
      <c r="CH21" s="271">
        <v>2948943.4</v>
      </c>
      <c r="CI21" s="271">
        <v>13320116.789999999</v>
      </c>
      <c r="CJ21" s="271">
        <v>1801395.44</v>
      </c>
      <c r="CK21" s="271">
        <v>2797727.4</v>
      </c>
      <c r="CL21" s="271">
        <v>2839614.36</v>
      </c>
      <c r="CM21" s="271">
        <v>3656248.26</v>
      </c>
      <c r="CN21" s="271">
        <v>6413592.0999999996</v>
      </c>
      <c r="CO21" s="271">
        <v>756685.24</v>
      </c>
      <c r="CP21" s="271">
        <v>1988032.76</v>
      </c>
      <c r="CQ21" s="271">
        <v>1918937.41</v>
      </c>
      <c r="CR21" s="271">
        <v>3355815.24</v>
      </c>
      <c r="CS21" s="271">
        <v>2455479.1</v>
      </c>
      <c r="CT21" s="271">
        <v>52074447.280000001</v>
      </c>
      <c r="CU21" s="271">
        <v>1968572.8</v>
      </c>
      <c r="CV21" s="271">
        <v>4352790</v>
      </c>
      <c r="CW21" s="271">
        <v>4507732.16</v>
      </c>
      <c r="CX21" s="271">
        <v>1273873</v>
      </c>
      <c r="CY21" s="271">
        <v>4802891.25</v>
      </c>
      <c r="CZ21" s="271">
        <v>1121092.8999999999</v>
      </c>
      <c r="DA21" s="271">
        <v>2326310.25</v>
      </c>
      <c r="DB21" s="271">
        <v>43014792.07</v>
      </c>
      <c r="DC21" s="271">
        <v>49881874.960000001</v>
      </c>
      <c r="DD21" s="271">
        <v>3999348.4</v>
      </c>
      <c r="DE21" s="271">
        <v>2593153.9</v>
      </c>
      <c r="DF21" s="271">
        <v>7424786.5</v>
      </c>
      <c r="DG21" s="271">
        <v>5729562.5</v>
      </c>
      <c r="DH21" s="271">
        <v>9262387.6300000008</v>
      </c>
      <c r="DI21" s="271">
        <v>9414382.9000000004</v>
      </c>
      <c r="DJ21" s="271">
        <v>2915126</v>
      </c>
      <c r="DK21" s="271">
        <v>93225398.430000007</v>
      </c>
      <c r="DL21" s="271">
        <v>4489163.25</v>
      </c>
      <c r="DM21" s="271">
        <v>7071321</v>
      </c>
      <c r="DN21" s="271">
        <v>4448765.1100000003</v>
      </c>
      <c r="DO21" s="271">
        <v>8332526.4500000002</v>
      </c>
      <c r="DP21" s="271">
        <v>5035951.25</v>
      </c>
      <c r="DQ21" s="271">
        <v>10978268.800000001</v>
      </c>
      <c r="DR21" s="271">
        <v>4218590.9000000004</v>
      </c>
      <c r="DS21" s="271">
        <v>9154960.0500000007</v>
      </c>
      <c r="DT21" s="271">
        <v>40317122.149999999</v>
      </c>
      <c r="DU21" s="271">
        <v>6430878.46</v>
      </c>
      <c r="DV21" s="271">
        <v>17319038.510000002</v>
      </c>
      <c r="DW21" s="271">
        <v>16658491.029999999</v>
      </c>
      <c r="DX21" s="271">
        <v>7835745.3399999999</v>
      </c>
      <c r="DY21" s="271">
        <v>13741580.1</v>
      </c>
      <c r="DZ21" s="271">
        <v>7868650.5999999996</v>
      </c>
      <c r="EA21" s="271">
        <v>1961976.15</v>
      </c>
      <c r="EB21" s="271">
        <v>4425247.3</v>
      </c>
      <c r="EC21" s="271">
        <v>5127922.67</v>
      </c>
      <c r="ED21" s="271">
        <v>8472262.8000000007</v>
      </c>
      <c r="EE21" s="271">
        <v>27358405.100000001</v>
      </c>
      <c r="EF21" s="271">
        <v>30731742.600000001</v>
      </c>
      <c r="EG21" s="271">
        <v>5574749</v>
      </c>
      <c r="EH21" s="271">
        <v>6157709.5700000003</v>
      </c>
      <c r="EI21" s="271">
        <v>6225808</v>
      </c>
      <c r="EJ21" s="271">
        <v>10000399.35</v>
      </c>
      <c r="EK21" s="271">
        <v>9388831.3000000007</v>
      </c>
      <c r="EL21" s="271">
        <v>4389253.5</v>
      </c>
      <c r="EM21" s="271">
        <v>6108887.8399999999</v>
      </c>
      <c r="EN21" s="271">
        <v>51281581.609999999</v>
      </c>
      <c r="EO21" s="271">
        <v>4060685.23</v>
      </c>
      <c r="EP21" s="271">
        <v>4260932.6100000003</v>
      </c>
      <c r="EQ21" s="271">
        <v>5547894.6600000001</v>
      </c>
      <c r="ER21" s="271">
        <v>1580879.85</v>
      </c>
      <c r="ES21" s="271">
        <v>1778152.08</v>
      </c>
      <c r="ET21" s="271">
        <v>6438854.2699999996</v>
      </c>
      <c r="EU21" s="271">
        <v>8524072.3599999994</v>
      </c>
      <c r="EV21" s="271">
        <v>4687003.7699999996</v>
      </c>
      <c r="EW21" s="271">
        <v>85438294.549999997</v>
      </c>
      <c r="EX21" s="271">
        <v>3163435</v>
      </c>
      <c r="EY21" s="271">
        <v>7132271.5</v>
      </c>
      <c r="EZ21" s="271">
        <v>17738492.859999999</v>
      </c>
      <c r="FA21" s="271">
        <v>13978601</v>
      </c>
      <c r="FB21" s="271">
        <v>18338636.199999999</v>
      </c>
      <c r="FC21" s="271">
        <v>7713344.1699999999</v>
      </c>
      <c r="FD21" s="271">
        <v>7866216.4500000002</v>
      </c>
      <c r="FE21" s="271">
        <v>7532470</v>
      </c>
      <c r="FF21" s="271">
        <v>6600727.9000000004</v>
      </c>
      <c r="FG21" s="271">
        <v>5362828</v>
      </c>
      <c r="FH21" s="271">
        <v>4498275.8</v>
      </c>
      <c r="FI21" s="271">
        <v>29057023.469999999</v>
      </c>
      <c r="FJ21" s="271">
        <v>1256906.8500000001</v>
      </c>
      <c r="FK21" s="271">
        <v>2122795.9</v>
      </c>
      <c r="FL21" s="271">
        <v>2542317.7599999998</v>
      </c>
      <c r="FM21" s="271">
        <v>4399178.5</v>
      </c>
      <c r="FN21" s="271">
        <v>3890851.37</v>
      </c>
      <c r="FO21" s="271">
        <v>2095249.77</v>
      </c>
      <c r="FP21" s="271">
        <v>968826.9</v>
      </c>
      <c r="FQ21" s="271">
        <v>104165307.17</v>
      </c>
      <c r="FR21" s="271">
        <v>2390494.7000000002</v>
      </c>
      <c r="FS21" s="271">
        <v>4142978.58</v>
      </c>
      <c r="FT21" s="271">
        <v>8594293.3000000007</v>
      </c>
      <c r="FU21" s="271">
        <v>5581176.2599999998</v>
      </c>
      <c r="FV21" s="271">
        <v>3084799.3</v>
      </c>
      <c r="FW21" s="271">
        <v>8362107.75</v>
      </c>
      <c r="FX21" s="271">
        <v>3781357.38</v>
      </c>
      <c r="FY21" s="271">
        <v>6025357.2199999997</v>
      </c>
      <c r="FZ21" s="271">
        <v>4460886.5</v>
      </c>
      <c r="GA21" s="271">
        <v>11011166.6</v>
      </c>
      <c r="GB21" s="271">
        <v>2862462.32</v>
      </c>
      <c r="GC21" s="271">
        <v>7845189.6699999999</v>
      </c>
      <c r="GD21" s="271">
        <v>2343297.85</v>
      </c>
      <c r="GE21" s="271">
        <v>56676432.090000004</v>
      </c>
      <c r="GF21" s="271">
        <v>2176496.59</v>
      </c>
      <c r="GG21" s="271">
        <v>2233844.2599999998</v>
      </c>
      <c r="GH21" s="271">
        <v>5654211.1799999997</v>
      </c>
      <c r="GI21" s="271">
        <v>2791498.72</v>
      </c>
      <c r="GJ21" s="271">
        <v>2011228.03</v>
      </c>
      <c r="GK21" s="271">
        <v>2805116.17</v>
      </c>
      <c r="GL21" s="271">
        <v>8310740.75</v>
      </c>
      <c r="GM21" s="271">
        <v>1907134.77</v>
      </c>
      <c r="GN21" s="271">
        <v>1546237.6</v>
      </c>
      <c r="GO21" s="271">
        <v>1418115.4</v>
      </c>
      <c r="GP21" s="271">
        <v>935737.48</v>
      </c>
      <c r="GQ21" s="271">
        <v>30592737.75</v>
      </c>
      <c r="GR21" s="271">
        <v>6648281.7999999998</v>
      </c>
      <c r="GS21" s="271">
        <v>3701149.9</v>
      </c>
      <c r="GT21" s="271">
        <v>6615108.2699999996</v>
      </c>
      <c r="GU21" s="271">
        <v>1611705.5</v>
      </c>
      <c r="GV21" s="271">
        <v>3870540.7</v>
      </c>
      <c r="GW21" s="271">
        <v>4527953.78</v>
      </c>
      <c r="GX21" s="271">
        <v>1740905.1</v>
      </c>
      <c r="GY21" s="271">
        <v>26465735.84</v>
      </c>
      <c r="GZ21" s="271">
        <v>1002109.08</v>
      </c>
      <c r="HA21" s="271">
        <v>4468990.2</v>
      </c>
      <c r="HB21" s="271">
        <v>3899938.82</v>
      </c>
      <c r="HC21" s="271">
        <v>85024173.640000001</v>
      </c>
      <c r="HD21" s="271">
        <v>1440520.18</v>
      </c>
      <c r="HE21" s="271">
        <v>11757452.359999999</v>
      </c>
      <c r="HF21" s="271">
        <v>7317525.9000000004</v>
      </c>
      <c r="HG21" s="271">
        <v>8274855.9500000002</v>
      </c>
      <c r="HH21" s="271">
        <v>11300284.26</v>
      </c>
      <c r="HI21" s="271">
        <v>2923633.54</v>
      </c>
      <c r="HJ21" s="271">
        <v>59222436.469999999</v>
      </c>
      <c r="HK21" s="271">
        <v>8388569.2800000003</v>
      </c>
      <c r="HL21" s="271">
        <v>17838348.719999999</v>
      </c>
      <c r="HM21" s="271">
        <v>5056963.91</v>
      </c>
      <c r="HN21" s="271">
        <v>4249751.62</v>
      </c>
      <c r="HO21" s="271">
        <v>3478050.6</v>
      </c>
      <c r="HP21" s="271">
        <v>5317175.5</v>
      </c>
      <c r="HQ21" s="271">
        <v>1396350.53</v>
      </c>
      <c r="HR21" s="271">
        <v>107841686.73</v>
      </c>
      <c r="HS21" s="271">
        <v>12515847.470000001</v>
      </c>
      <c r="HT21" s="271">
        <v>4254880.5</v>
      </c>
      <c r="HU21" s="271">
        <v>2721351.47</v>
      </c>
      <c r="HV21" s="271">
        <v>4986742.5199999996</v>
      </c>
      <c r="HW21" s="271">
        <v>2774531.52</v>
      </c>
      <c r="HX21" s="271">
        <v>23265598.800000001</v>
      </c>
      <c r="HY21" s="271">
        <v>3812504.45</v>
      </c>
      <c r="HZ21" s="271">
        <v>4326123.95</v>
      </c>
      <c r="IA21" s="271">
        <v>2788135.6</v>
      </c>
      <c r="IB21" s="271">
        <v>2886964.88</v>
      </c>
      <c r="IC21" s="271">
        <v>3086606.5</v>
      </c>
      <c r="ID21" s="271">
        <v>1079815.1000000001</v>
      </c>
      <c r="IE21" s="271">
        <v>3395437.75</v>
      </c>
      <c r="IF21" s="271">
        <v>2250227.9</v>
      </c>
      <c r="IG21" s="271">
        <v>1824423.9</v>
      </c>
      <c r="IH21" s="271">
        <v>49479641.950000003</v>
      </c>
      <c r="II21" s="271">
        <v>15238573.34</v>
      </c>
      <c r="IJ21" s="271">
        <v>9360463</v>
      </c>
      <c r="IK21" s="271">
        <v>11074117.949999999</v>
      </c>
      <c r="IL21" s="271">
        <v>13484165</v>
      </c>
      <c r="IM21" s="271">
        <v>3920184.75</v>
      </c>
      <c r="IN21" s="271">
        <v>2925196.5</v>
      </c>
      <c r="IO21" s="271">
        <v>2973650.25</v>
      </c>
      <c r="IP21" s="271">
        <v>2693089.95</v>
      </c>
      <c r="IQ21" s="271">
        <v>4242926.4000000004</v>
      </c>
      <c r="IR21" s="271">
        <v>3145093.83</v>
      </c>
      <c r="IS21" s="271">
        <v>113744781.48999999</v>
      </c>
      <c r="IT21" s="271">
        <v>13317612.130000001</v>
      </c>
      <c r="IU21" s="271">
        <v>12968247.27</v>
      </c>
      <c r="IV21" s="271">
        <v>8073742.8499999996</v>
      </c>
      <c r="IW21" s="271">
        <v>3898425</v>
      </c>
      <c r="IX21" s="271">
        <v>239940.07</v>
      </c>
      <c r="IY21" s="271">
        <v>1998258.5</v>
      </c>
      <c r="IZ21" s="271">
        <v>1555389.4</v>
      </c>
      <c r="JA21" s="271">
        <v>1489121.6</v>
      </c>
      <c r="JB21" s="271">
        <v>4895980.4000000004</v>
      </c>
      <c r="JC21" s="271">
        <v>6861629.4800000004</v>
      </c>
      <c r="JD21" s="271">
        <v>2214120.67</v>
      </c>
      <c r="JE21" s="271">
        <v>30680838.34</v>
      </c>
      <c r="JF21" s="271">
        <v>5945834.2199999997</v>
      </c>
      <c r="JG21" s="271">
        <v>1408367.5</v>
      </c>
      <c r="JH21" s="271">
        <v>1585518</v>
      </c>
      <c r="JI21" s="271">
        <v>1060463</v>
      </c>
      <c r="JJ21" s="271">
        <v>729665.2</v>
      </c>
      <c r="JK21" s="271">
        <v>38327632.409999996</v>
      </c>
      <c r="JL21" s="271">
        <v>1611595.65</v>
      </c>
      <c r="JM21" s="271">
        <v>2406066.0299999998</v>
      </c>
      <c r="JN21" s="271">
        <v>37114529</v>
      </c>
      <c r="JO21" s="271">
        <v>1806250.48</v>
      </c>
      <c r="JP21" s="271">
        <v>3725307.99</v>
      </c>
      <c r="JQ21" s="271">
        <v>1210190.8999999999</v>
      </c>
      <c r="JR21" s="271">
        <v>98699829.599999994</v>
      </c>
      <c r="JS21" s="271">
        <v>40064269.609999999</v>
      </c>
      <c r="JT21" s="271">
        <v>2171381.1</v>
      </c>
      <c r="JU21" s="271">
        <v>2107532.4</v>
      </c>
      <c r="JV21" s="271">
        <v>6136684.9800000004</v>
      </c>
      <c r="JW21" s="271">
        <v>1476314.35</v>
      </c>
      <c r="JX21" s="271">
        <v>9212053.5500000007</v>
      </c>
      <c r="JY21" s="271">
        <v>6974759.96</v>
      </c>
      <c r="JZ21" s="271">
        <v>2660145.9900000002</v>
      </c>
      <c r="KA21" s="271">
        <v>4173563.65</v>
      </c>
      <c r="KB21" s="271">
        <v>3708430.26</v>
      </c>
      <c r="KC21" s="271">
        <v>4807553.37</v>
      </c>
      <c r="KD21" s="271">
        <v>1319833</v>
      </c>
      <c r="KE21" s="271">
        <v>564430</v>
      </c>
      <c r="KF21" s="271">
        <v>3102592.85</v>
      </c>
      <c r="KG21" s="271">
        <v>1739392.55</v>
      </c>
      <c r="KH21" s="271">
        <v>115155465</v>
      </c>
      <c r="KI21" s="271">
        <v>6895426.0999999996</v>
      </c>
      <c r="KJ21" s="271">
        <v>6514156.3099999996</v>
      </c>
      <c r="KK21" s="271">
        <v>3078248.89</v>
      </c>
      <c r="KL21" s="271">
        <v>2937454.82</v>
      </c>
      <c r="KM21" s="271">
        <v>3488052.68</v>
      </c>
      <c r="KN21" s="271">
        <v>15340100.15</v>
      </c>
      <c r="KO21" s="271">
        <v>2709639.83</v>
      </c>
      <c r="KP21" s="271">
        <v>2666161.29</v>
      </c>
      <c r="KQ21" s="271">
        <v>51800380.130000003</v>
      </c>
      <c r="KR21" s="271">
        <v>3326410.1</v>
      </c>
      <c r="KS21" s="271">
        <v>3076926.11</v>
      </c>
      <c r="KT21" s="271">
        <v>9448731.4100000001</v>
      </c>
      <c r="KU21" s="271">
        <v>2586326.17</v>
      </c>
      <c r="KV21" s="271">
        <v>5392197.4500000002</v>
      </c>
      <c r="KW21" s="271">
        <v>73760577.069999993</v>
      </c>
      <c r="KX21" s="271">
        <v>5150291.8099999996</v>
      </c>
      <c r="KY21" s="271">
        <v>65470762.469999999</v>
      </c>
      <c r="KZ21" s="271">
        <v>5004897.51</v>
      </c>
      <c r="LA21" s="271">
        <v>2544403.17</v>
      </c>
      <c r="LB21" s="271">
        <v>12852700.52</v>
      </c>
      <c r="LC21" s="271">
        <v>7951738.4900000002</v>
      </c>
      <c r="LD21" s="271">
        <v>5407800</v>
      </c>
      <c r="LE21" s="271">
        <v>6953291.2999999998</v>
      </c>
      <c r="LF21" s="271">
        <v>5048608.76</v>
      </c>
      <c r="LG21" s="271">
        <v>144013414.31</v>
      </c>
      <c r="LH21" s="271">
        <v>7786168.0499999998</v>
      </c>
      <c r="LI21" s="271">
        <v>40108922.950000003</v>
      </c>
      <c r="LJ21" s="271">
        <v>10643838.66</v>
      </c>
      <c r="LK21" s="271">
        <v>3459489.3</v>
      </c>
      <c r="LL21" s="271">
        <v>2724006.9</v>
      </c>
      <c r="LM21" s="271">
        <v>1955990.79</v>
      </c>
      <c r="LN21" s="271">
        <v>5846395.9800000004</v>
      </c>
      <c r="LO21" s="271">
        <v>2192861.2999999998</v>
      </c>
      <c r="LP21" s="271">
        <v>8476436.6600000001</v>
      </c>
      <c r="LQ21" s="271">
        <v>1990880.56</v>
      </c>
      <c r="LR21" s="271">
        <v>65340399.140000001</v>
      </c>
      <c r="LS21" s="271">
        <v>2325075.65</v>
      </c>
      <c r="LT21" s="271">
        <v>1356488.63</v>
      </c>
      <c r="LU21" s="271">
        <v>207865510.47</v>
      </c>
      <c r="LV21" s="271">
        <v>42975981.210000001</v>
      </c>
      <c r="LW21" s="271">
        <v>118291383.29000001</v>
      </c>
      <c r="LX21" s="271">
        <v>21384797.800000001</v>
      </c>
      <c r="LY21" s="271">
        <v>6925367.2199999997</v>
      </c>
      <c r="LZ21" s="271">
        <v>9293058.3000000007</v>
      </c>
      <c r="MA21" s="271">
        <v>3945226.74</v>
      </c>
      <c r="MB21" s="271">
        <v>4182238.79</v>
      </c>
      <c r="MC21" s="271">
        <v>6100934.46</v>
      </c>
      <c r="MD21" s="271">
        <v>3774263.38</v>
      </c>
      <c r="ME21" s="271">
        <v>8293502.0099999998</v>
      </c>
      <c r="MF21" s="271">
        <v>2349439.89</v>
      </c>
      <c r="MG21" s="271">
        <v>189736501.69999999</v>
      </c>
      <c r="MH21" s="271">
        <v>4707734.04</v>
      </c>
      <c r="MI21" s="271">
        <v>1991714.6</v>
      </c>
      <c r="MJ21" s="271">
        <v>4073938.74</v>
      </c>
      <c r="MK21" s="271">
        <v>1953595.5</v>
      </c>
      <c r="ML21" s="271">
        <v>5622730.4199999999</v>
      </c>
      <c r="MM21" s="271">
        <v>3512338.9</v>
      </c>
      <c r="MN21" s="271">
        <v>2394608.21</v>
      </c>
      <c r="MO21" s="271">
        <v>5311522</v>
      </c>
      <c r="MP21" s="271">
        <v>3226266.3</v>
      </c>
      <c r="MQ21" s="271">
        <v>2831606.05</v>
      </c>
      <c r="MR21" s="271">
        <v>3610091.45</v>
      </c>
      <c r="MS21" s="271">
        <v>73822463.510000005</v>
      </c>
      <c r="MT21" s="271">
        <v>4186759.91</v>
      </c>
      <c r="MU21" s="271">
        <v>3240136</v>
      </c>
      <c r="MV21" s="271">
        <v>4372368.0599999996</v>
      </c>
      <c r="MW21" s="271">
        <v>6613243.3799999999</v>
      </c>
      <c r="MX21" s="271">
        <v>3155830.44</v>
      </c>
      <c r="MY21" s="271">
        <v>6532357.9100000001</v>
      </c>
      <c r="MZ21" s="271">
        <v>3961692.1</v>
      </c>
      <c r="NA21" s="271">
        <v>2816940.4</v>
      </c>
      <c r="NB21" s="271">
        <v>1267977.8999999999</v>
      </c>
      <c r="NC21" s="271">
        <v>1212278.3</v>
      </c>
      <c r="ND21" s="271">
        <v>279920795.50999999</v>
      </c>
      <c r="NE21" s="271">
        <v>12028837.869999999</v>
      </c>
      <c r="NF21" s="271">
        <v>3105956</v>
      </c>
      <c r="NG21" s="271">
        <v>154706533.97999999</v>
      </c>
      <c r="NH21" s="271">
        <v>2614493.79</v>
      </c>
      <c r="NI21" s="271">
        <v>2534280.25</v>
      </c>
      <c r="NJ21" s="271">
        <v>14802703.800000001</v>
      </c>
      <c r="NK21" s="271">
        <v>14070906.310000001</v>
      </c>
      <c r="NL21" s="271">
        <v>471005</v>
      </c>
      <c r="NM21" s="271">
        <v>7919185.0800000001</v>
      </c>
      <c r="NN21" s="271">
        <v>2648027.4</v>
      </c>
      <c r="NO21" s="271">
        <v>1876452.5</v>
      </c>
      <c r="NP21" s="271">
        <v>99987997.629999995</v>
      </c>
      <c r="NQ21" s="271">
        <v>3479268.5300000003</v>
      </c>
      <c r="NR21" s="271">
        <v>2325491.2599999998</v>
      </c>
      <c r="NS21" s="271">
        <v>2378596.5</v>
      </c>
      <c r="NT21" s="271">
        <v>1423778.25</v>
      </c>
      <c r="NU21" s="271">
        <v>511564.58</v>
      </c>
      <c r="NV21" s="271">
        <v>1400089.53</v>
      </c>
      <c r="NW21" s="271">
        <v>131589490.42</v>
      </c>
      <c r="NX21" s="271">
        <v>25781532</v>
      </c>
      <c r="NY21" s="271">
        <v>2878786.4</v>
      </c>
      <c r="NZ21" s="271">
        <v>3068155.5</v>
      </c>
      <c r="OA21" s="271">
        <v>3951309.5</v>
      </c>
      <c r="OB21" s="271">
        <v>4332243.22</v>
      </c>
      <c r="OC21" s="271">
        <v>1781809.8</v>
      </c>
      <c r="OD21" s="271">
        <v>250444640.15000001</v>
      </c>
      <c r="OE21" s="271">
        <v>13281604.300000001</v>
      </c>
      <c r="OF21" s="271">
        <v>4526359.46</v>
      </c>
      <c r="OG21" s="271">
        <v>18090954.149999999</v>
      </c>
      <c r="OH21" s="271">
        <v>3494299.36</v>
      </c>
      <c r="OI21" s="271">
        <v>4376785.9000000004</v>
      </c>
      <c r="OJ21" s="271">
        <v>6610926.2800000003</v>
      </c>
      <c r="OK21" s="271">
        <v>2676993.6</v>
      </c>
      <c r="OL21" s="271">
        <v>2149789.8199999998</v>
      </c>
      <c r="OM21" s="271">
        <v>229265881.72999999</v>
      </c>
      <c r="ON21" s="271">
        <v>13238850.83</v>
      </c>
      <c r="OO21" s="271">
        <v>15835303.25</v>
      </c>
      <c r="OP21" s="271">
        <v>12277799.779999999</v>
      </c>
      <c r="OQ21" s="271">
        <v>7190272.9299999997</v>
      </c>
      <c r="OR21" s="271">
        <v>3462499.8</v>
      </c>
      <c r="OS21" s="271">
        <v>118208213.3</v>
      </c>
      <c r="OT21" s="271">
        <v>1285543.1800000002</v>
      </c>
      <c r="OU21" s="271">
        <v>1093967.55</v>
      </c>
      <c r="OV21" s="271">
        <v>4664375.07</v>
      </c>
      <c r="OW21" s="271">
        <v>4146551.8299999996</v>
      </c>
      <c r="OX21" s="271">
        <v>34031156.25</v>
      </c>
      <c r="OY21" s="271">
        <v>2750577.73</v>
      </c>
      <c r="OZ21" s="271">
        <v>1662591.05</v>
      </c>
      <c r="PA21" s="271">
        <v>1897458.19</v>
      </c>
      <c r="PB21" s="271">
        <v>122726832.08</v>
      </c>
      <c r="PC21" s="271">
        <v>4673631.5</v>
      </c>
      <c r="PD21" s="271">
        <v>6794056.7300000004</v>
      </c>
      <c r="PE21" s="271">
        <v>1784033.7</v>
      </c>
      <c r="PF21" s="271">
        <v>5805319.4400000004</v>
      </c>
      <c r="PG21" s="271">
        <v>37016488.780000001</v>
      </c>
      <c r="PH21" s="271">
        <v>3917047.5</v>
      </c>
      <c r="PI21" s="271">
        <v>5205847.45</v>
      </c>
      <c r="PJ21" s="271">
        <v>6467501.5</v>
      </c>
      <c r="PK21" s="271">
        <v>4610156</v>
      </c>
      <c r="PL21" s="271">
        <v>10542613.92</v>
      </c>
      <c r="PM21" s="271">
        <v>9590337.4600000009</v>
      </c>
      <c r="PN21" s="271">
        <v>3813371</v>
      </c>
      <c r="PO21" s="271">
        <v>16252512.109999999</v>
      </c>
      <c r="PP21" s="271">
        <v>3241211.05</v>
      </c>
      <c r="PQ21" s="271">
        <v>2805444.03</v>
      </c>
      <c r="PR21" s="271">
        <v>2116955.7999999998</v>
      </c>
      <c r="PS21" s="271">
        <v>2237401.63</v>
      </c>
      <c r="PT21" s="271">
        <v>144229390.83000001</v>
      </c>
      <c r="PU21" s="271">
        <v>2255739.48</v>
      </c>
      <c r="PV21" s="271">
        <v>2672609.86</v>
      </c>
      <c r="PW21" s="271">
        <v>7194404.5</v>
      </c>
      <c r="PX21" s="271">
        <v>30468324.129999999</v>
      </c>
      <c r="PY21" s="271">
        <v>5178309.8</v>
      </c>
      <c r="PZ21" s="271">
        <v>9704955.6400000006</v>
      </c>
      <c r="QA21" s="271">
        <v>1615433.08</v>
      </c>
      <c r="QB21" s="271">
        <v>8083694.46</v>
      </c>
      <c r="QC21" s="271">
        <v>2979395.07</v>
      </c>
      <c r="QD21" s="271">
        <v>10168873.1</v>
      </c>
      <c r="QE21" s="271">
        <v>2104510.1800000002</v>
      </c>
      <c r="QF21" s="271">
        <v>5751650.5</v>
      </c>
      <c r="QG21" s="271">
        <v>5158525.82</v>
      </c>
      <c r="QH21" s="271">
        <v>6515422.1100000003</v>
      </c>
      <c r="QI21" s="271">
        <v>5125792.09</v>
      </c>
      <c r="QJ21" s="271">
        <v>3030145.35</v>
      </c>
      <c r="QK21" s="271">
        <v>2543128.87</v>
      </c>
      <c r="QL21" s="271">
        <v>2227299.23</v>
      </c>
      <c r="QM21" s="271">
        <v>8817930.6500000004</v>
      </c>
      <c r="QN21" s="271">
        <v>8402403.1400000006</v>
      </c>
      <c r="QO21" s="271">
        <v>1432191</v>
      </c>
      <c r="QP21" s="271">
        <v>1518507.98</v>
      </c>
      <c r="QQ21" s="271">
        <v>1855200.82</v>
      </c>
      <c r="QR21" s="271">
        <v>1144013</v>
      </c>
      <c r="QS21" s="271">
        <v>1282252.48</v>
      </c>
      <c r="QT21" s="271">
        <v>58437734.350000001</v>
      </c>
      <c r="QU21" s="271">
        <v>1650569.6</v>
      </c>
      <c r="QV21" s="271">
        <v>10334137.76</v>
      </c>
      <c r="QW21" s="271">
        <v>4401727.2</v>
      </c>
      <c r="QX21" s="271">
        <v>6625633.5</v>
      </c>
      <c r="QY21" s="271">
        <v>9021239.9800000004</v>
      </c>
      <c r="QZ21" s="271">
        <v>9330298.5600000005</v>
      </c>
      <c r="RA21" s="271">
        <v>5807194</v>
      </c>
      <c r="RB21" s="271">
        <v>10749813.449999999</v>
      </c>
      <c r="RC21" s="271">
        <v>2203058.25</v>
      </c>
      <c r="RD21" s="271">
        <v>3974424.8</v>
      </c>
      <c r="RE21" s="271">
        <v>1750482.92</v>
      </c>
      <c r="RF21" s="271">
        <v>1832373</v>
      </c>
      <c r="RG21" s="271">
        <v>114701628.52</v>
      </c>
      <c r="RH21" s="271">
        <v>14904026.59</v>
      </c>
      <c r="RI21" s="271">
        <v>2624877.4</v>
      </c>
      <c r="RJ21" s="271">
        <v>5611170.0999999996</v>
      </c>
      <c r="RK21" s="271">
        <v>4517406.8</v>
      </c>
      <c r="RL21" s="271">
        <v>7671992.9500000002</v>
      </c>
      <c r="RM21" s="271">
        <v>12126344.699999999</v>
      </c>
      <c r="RN21" s="271">
        <v>4608107</v>
      </c>
      <c r="RO21" s="271">
        <v>5665936.4100000001</v>
      </c>
      <c r="RP21" s="271">
        <v>13938597</v>
      </c>
      <c r="RQ21" s="271">
        <v>15816893.24</v>
      </c>
      <c r="RR21" s="271">
        <v>1782170.88</v>
      </c>
      <c r="RS21" s="271">
        <v>1756935.5</v>
      </c>
      <c r="RT21" s="271">
        <v>7085521.5199999996</v>
      </c>
      <c r="RU21" s="271">
        <v>3495150.6</v>
      </c>
      <c r="RV21" s="271">
        <v>1941087.6</v>
      </c>
      <c r="RW21" s="271">
        <v>4216784</v>
      </c>
      <c r="RX21" s="271">
        <v>2433640</v>
      </c>
      <c r="RY21" s="271">
        <v>1999797.2</v>
      </c>
      <c r="RZ21" s="271">
        <v>2080585</v>
      </c>
      <c r="SA21" s="271">
        <v>53403903.390000001</v>
      </c>
      <c r="SB21" s="271">
        <v>2700473.25</v>
      </c>
      <c r="SC21" s="271">
        <v>5466826.4000000004</v>
      </c>
      <c r="SD21" s="271">
        <v>4924884.2</v>
      </c>
      <c r="SE21" s="271">
        <v>2338642</v>
      </c>
      <c r="SF21" s="271">
        <v>4717361.5</v>
      </c>
      <c r="SG21" s="271">
        <v>6037246.4900000002</v>
      </c>
      <c r="SH21" s="271">
        <v>7471679.1500000004</v>
      </c>
      <c r="SI21" s="271">
        <v>6125438.0199999996</v>
      </c>
      <c r="SJ21" s="271">
        <v>7725538.2999999998</v>
      </c>
      <c r="SK21" s="271">
        <v>10029005.5</v>
      </c>
      <c r="SL21" s="271">
        <v>3021662.75</v>
      </c>
      <c r="SM21" s="271">
        <v>24592911.170000002</v>
      </c>
      <c r="SN21" s="271">
        <v>4348959.5</v>
      </c>
      <c r="SO21" s="271">
        <v>4877042.0999999996</v>
      </c>
      <c r="SP21" s="271">
        <v>10589540.310000001</v>
      </c>
      <c r="SQ21" s="271">
        <v>3608783</v>
      </c>
      <c r="SR21" s="271">
        <v>2593438.65</v>
      </c>
      <c r="SS21" s="271">
        <v>3464367</v>
      </c>
      <c r="ST21" s="271">
        <v>1104729.75</v>
      </c>
      <c r="SU21" s="271">
        <v>31930436.260000002</v>
      </c>
      <c r="SV21" s="271">
        <v>2324682.6800000002</v>
      </c>
      <c r="SW21" s="271">
        <v>5583798.2999999998</v>
      </c>
      <c r="SX21" s="271">
        <v>3469848.6</v>
      </c>
      <c r="SY21" s="271">
        <v>2623978.9500000002</v>
      </c>
      <c r="SZ21" s="271">
        <v>1996834</v>
      </c>
      <c r="TA21" s="271">
        <v>4516133.75</v>
      </c>
      <c r="TB21" s="271">
        <v>12180946.550000001</v>
      </c>
      <c r="TC21" s="271">
        <v>2136540</v>
      </c>
      <c r="TD21" s="271">
        <v>3133246.24</v>
      </c>
      <c r="TE21" s="271">
        <v>6340966.4500000002</v>
      </c>
      <c r="TF21" s="271">
        <v>4256468.17</v>
      </c>
      <c r="TG21" s="271">
        <v>3132197.25</v>
      </c>
      <c r="TH21" s="271">
        <v>2098043.44</v>
      </c>
      <c r="TI21" s="271">
        <v>83492961.980000004</v>
      </c>
      <c r="TJ21" s="271">
        <v>4525396.6500000004</v>
      </c>
      <c r="TK21" s="271">
        <v>2767089</v>
      </c>
      <c r="TL21" s="271">
        <v>5951324.2199999997</v>
      </c>
      <c r="TM21" s="271">
        <v>7991311.5800000001</v>
      </c>
      <c r="TN21" s="271">
        <v>4025743.5</v>
      </c>
      <c r="TO21" s="271">
        <v>1193532</v>
      </c>
      <c r="TP21" s="271">
        <v>18275005.219999999</v>
      </c>
      <c r="TQ21" s="271">
        <v>3533837.43</v>
      </c>
      <c r="TR21" s="271">
        <v>4977293.6500000004</v>
      </c>
      <c r="TS21" s="271">
        <v>7490274.9699999997</v>
      </c>
      <c r="TT21" s="271">
        <v>2692531</v>
      </c>
      <c r="TU21" s="271">
        <v>2550358.85</v>
      </c>
      <c r="TV21" s="271">
        <v>4213972.9000000004</v>
      </c>
      <c r="TW21" s="271">
        <v>3826817.75</v>
      </c>
      <c r="TX21" s="271">
        <v>3044714.15</v>
      </c>
      <c r="TY21" s="271">
        <v>35585979.890000001</v>
      </c>
      <c r="TZ21" s="271">
        <v>2549902.46</v>
      </c>
      <c r="UA21" s="271">
        <v>43359582.700000003</v>
      </c>
      <c r="UB21" s="271">
        <v>8496650.4900000002</v>
      </c>
      <c r="UC21" s="271">
        <v>2301892.35</v>
      </c>
      <c r="UD21" s="271">
        <v>3631751.6</v>
      </c>
      <c r="UE21" s="271">
        <v>16650074.390000001</v>
      </c>
      <c r="UF21" s="271">
        <v>2707483.22</v>
      </c>
      <c r="UG21" s="271">
        <v>1417636.49</v>
      </c>
      <c r="UH21" s="271">
        <v>2693493.64</v>
      </c>
      <c r="UI21" s="271">
        <v>2745522.5</v>
      </c>
      <c r="UJ21" s="271">
        <v>46039035.25</v>
      </c>
      <c r="UK21" s="271">
        <v>6736874.2199999997</v>
      </c>
      <c r="UL21" s="271">
        <v>4133964.07</v>
      </c>
      <c r="UM21" s="271">
        <v>6314480.9199999999</v>
      </c>
      <c r="UN21" s="271">
        <v>3849958.8</v>
      </c>
      <c r="UO21" s="271">
        <v>4689016.53</v>
      </c>
      <c r="UP21" s="271">
        <v>149264342.88</v>
      </c>
      <c r="UQ21" s="271">
        <v>7149183</v>
      </c>
      <c r="UR21" s="271">
        <v>5201304.8</v>
      </c>
      <c r="US21" s="271">
        <v>30581182.420000002</v>
      </c>
      <c r="UT21" s="271">
        <v>205016</v>
      </c>
      <c r="UU21" s="271">
        <v>5570043.75</v>
      </c>
      <c r="UV21" s="271">
        <v>14930745.960000001</v>
      </c>
      <c r="UW21" s="271">
        <v>3713939.1</v>
      </c>
      <c r="UX21" s="271">
        <v>5268713</v>
      </c>
      <c r="UY21" s="271">
        <v>5266988.2300000004</v>
      </c>
      <c r="UZ21" s="271">
        <v>6567585</v>
      </c>
      <c r="VA21" s="271">
        <v>16203005.130000001</v>
      </c>
      <c r="VB21" s="271">
        <v>5346969.51</v>
      </c>
      <c r="VC21" s="271">
        <v>9252153.9499999993</v>
      </c>
      <c r="VD21" s="271">
        <v>2448069</v>
      </c>
      <c r="VE21" s="271">
        <v>3580829.06</v>
      </c>
      <c r="VF21" s="271">
        <v>4401378.4000000004</v>
      </c>
      <c r="VG21" s="271">
        <v>3142891.53</v>
      </c>
      <c r="VH21" s="271">
        <v>20178179.059999999</v>
      </c>
      <c r="VI21" s="271">
        <v>2395410.06</v>
      </c>
      <c r="VJ21" s="271">
        <v>2411659.61</v>
      </c>
      <c r="VK21" s="271">
        <v>1519516</v>
      </c>
      <c r="VL21" s="271">
        <v>84041320.5</v>
      </c>
      <c r="VM21" s="271">
        <v>4096663</v>
      </c>
      <c r="VN21" s="271">
        <v>3645590.05</v>
      </c>
      <c r="VO21" s="271">
        <v>4704589.5</v>
      </c>
      <c r="VP21" s="271">
        <v>12670681</v>
      </c>
      <c r="VQ21" s="271">
        <v>7703792.0499999998</v>
      </c>
      <c r="VR21" s="271">
        <v>4376343.8</v>
      </c>
      <c r="VS21" s="271">
        <v>4714142.6500000004</v>
      </c>
      <c r="VT21" s="271">
        <v>5914727.5999999996</v>
      </c>
      <c r="VU21" s="271">
        <v>39390463.539999999</v>
      </c>
      <c r="VV21" s="271">
        <v>5015303.7</v>
      </c>
      <c r="VW21" s="271">
        <v>10464458</v>
      </c>
      <c r="VX21" s="271">
        <v>5790903.29</v>
      </c>
      <c r="VY21" s="271">
        <v>3200195.04</v>
      </c>
      <c r="VZ21" s="271">
        <v>2846261</v>
      </c>
      <c r="WA21" s="271">
        <v>404531672.31</v>
      </c>
      <c r="WB21" s="271">
        <v>10284283.43</v>
      </c>
      <c r="WC21" s="271">
        <v>5572480.3499999996</v>
      </c>
      <c r="WD21" s="271">
        <v>4695608.25</v>
      </c>
      <c r="WE21" s="271">
        <v>2847350</v>
      </c>
      <c r="WF21" s="271">
        <v>5982790.0999999996</v>
      </c>
      <c r="WG21" s="271">
        <v>9812087.4499999993</v>
      </c>
      <c r="WH21" s="271">
        <v>10330285.449999999</v>
      </c>
      <c r="WI21" s="271">
        <v>5556805.5499999998</v>
      </c>
      <c r="WJ21" s="271">
        <v>8213156.6399999997</v>
      </c>
      <c r="WK21" s="271">
        <v>3528470.82</v>
      </c>
      <c r="WL21" s="271">
        <v>26862153.850000001</v>
      </c>
      <c r="WM21" s="271">
        <v>8197509.9500000002</v>
      </c>
      <c r="WN21" s="271">
        <v>8865542.2699999996</v>
      </c>
      <c r="WO21" s="271">
        <v>15439512.07</v>
      </c>
      <c r="WP21" s="271">
        <v>5731220.2599999998</v>
      </c>
      <c r="WQ21" s="271">
        <v>4554024.96</v>
      </c>
      <c r="WR21" s="271">
        <v>5078445.51</v>
      </c>
      <c r="WS21" s="271">
        <v>3850415.7</v>
      </c>
      <c r="WT21" s="271">
        <v>10824807.68</v>
      </c>
      <c r="WU21" s="271">
        <v>88943297.030000001</v>
      </c>
      <c r="WV21" s="271">
        <v>5072144.9400000004</v>
      </c>
      <c r="WW21" s="271">
        <v>2490788.9</v>
      </c>
      <c r="WX21" s="271">
        <v>2372770</v>
      </c>
      <c r="WY21" s="271">
        <v>2721253.51</v>
      </c>
      <c r="WZ21" s="271">
        <v>3002907.25</v>
      </c>
      <c r="XA21" s="271">
        <v>2480552.35</v>
      </c>
      <c r="XB21" s="271">
        <v>1956799.76</v>
      </c>
      <c r="XC21" s="271">
        <v>34039493.5</v>
      </c>
      <c r="XD21" s="271">
        <v>3060950.68</v>
      </c>
      <c r="XE21" s="271">
        <v>1579327.7</v>
      </c>
      <c r="XF21" s="271">
        <v>1328156.5</v>
      </c>
      <c r="XG21" s="271">
        <v>1761882.1</v>
      </c>
      <c r="XH21" s="271">
        <v>56788565.579999998</v>
      </c>
      <c r="XI21" s="271">
        <v>7670878.4800000004</v>
      </c>
      <c r="XJ21" s="271">
        <v>9279093.1099999994</v>
      </c>
      <c r="XK21" s="271">
        <v>32355965.52</v>
      </c>
      <c r="XL21" s="271">
        <v>5648226.9000000004</v>
      </c>
      <c r="XM21" s="271">
        <v>8481140.1999999993</v>
      </c>
      <c r="XN21" s="271">
        <v>11512942.83</v>
      </c>
      <c r="XO21" s="271">
        <v>4100342.5</v>
      </c>
      <c r="XP21" s="271">
        <v>5926432.7599999998</v>
      </c>
      <c r="XQ21" s="271">
        <v>13079501.029999999</v>
      </c>
      <c r="XR21" s="271">
        <v>20164655.25</v>
      </c>
      <c r="XS21" s="271">
        <v>3169746.5</v>
      </c>
      <c r="XT21" s="271">
        <v>4222356.01</v>
      </c>
      <c r="XU21" s="271">
        <v>4566882.25</v>
      </c>
      <c r="XV21" s="271">
        <v>2820110</v>
      </c>
      <c r="XW21" s="271">
        <v>2695648</v>
      </c>
      <c r="XX21" s="271">
        <v>2210511.1</v>
      </c>
      <c r="XY21" s="271">
        <v>3577754.93</v>
      </c>
      <c r="XZ21" s="271">
        <v>3091263.74</v>
      </c>
      <c r="YA21" s="271">
        <v>2712405</v>
      </c>
      <c r="YB21" s="271">
        <v>3723256.7</v>
      </c>
      <c r="YC21" s="271">
        <v>2705987.5</v>
      </c>
      <c r="YD21" s="271">
        <v>5832005.9000000004</v>
      </c>
      <c r="YE21" s="271">
        <v>122762568.95</v>
      </c>
      <c r="YF21" s="271">
        <v>5315917.55</v>
      </c>
      <c r="YG21" s="271">
        <v>11549015.9</v>
      </c>
      <c r="YH21" s="271">
        <v>3481362.91</v>
      </c>
      <c r="YI21" s="271">
        <v>27548016.199999999</v>
      </c>
      <c r="YJ21" s="271">
        <v>6051357.5499999998</v>
      </c>
      <c r="YK21" s="271">
        <v>9792447.4000000004</v>
      </c>
      <c r="YL21" s="271">
        <v>3324878.4</v>
      </c>
      <c r="YM21" s="271">
        <v>37321789.020000003</v>
      </c>
      <c r="YN21" s="271">
        <v>11525478.25</v>
      </c>
      <c r="YO21" s="271">
        <v>4167291.88</v>
      </c>
      <c r="YP21" s="271">
        <v>2871735.5</v>
      </c>
      <c r="YQ21" s="271">
        <v>3396576.1</v>
      </c>
      <c r="YR21" s="271">
        <v>2771784.2</v>
      </c>
      <c r="YS21" s="271">
        <v>3493495.16</v>
      </c>
      <c r="YT21" s="271">
        <v>3497313.5</v>
      </c>
      <c r="YU21" s="271">
        <v>2253916.87</v>
      </c>
      <c r="YV21" s="271">
        <v>34855573.68</v>
      </c>
      <c r="YW21" s="271">
        <v>3104850.32</v>
      </c>
      <c r="YX21" s="271">
        <v>1276020.33</v>
      </c>
      <c r="YY21" s="271">
        <v>3289691.6</v>
      </c>
      <c r="YZ21" s="271">
        <v>3879544.8</v>
      </c>
      <c r="ZA21" s="271">
        <v>1716028.39</v>
      </c>
      <c r="ZB21" s="271">
        <v>3788710</v>
      </c>
      <c r="ZC21" s="271">
        <v>23457839.309999999</v>
      </c>
      <c r="ZD21" s="271">
        <v>2327437.75</v>
      </c>
      <c r="ZE21" s="271">
        <v>4576485.83</v>
      </c>
      <c r="ZF21" s="271">
        <v>3822083.36</v>
      </c>
      <c r="ZG21" s="271">
        <v>2479641.16</v>
      </c>
      <c r="ZH21" s="271">
        <v>3956731</v>
      </c>
      <c r="ZI21" s="271">
        <v>1861411</v>
      </c>
      <c r="ZJ21" s="271">
        <v>1895962</v>
      </c>
      <c r="ZK21" s="271">
        <v>9144444.0999999996</v>
      </c>
      <c r="ZL21" s="271">
        <v>119591664.04000001</v>
      </c>
      <c r="ZM21" s="271">
        <v>3052672.06</v>
      </c>
      <c r="ZN21" s="271">
        <v>8221502.5899999999</v>
      </c>
      <c r="ZO21" s="271">
        <v>47041309.399999999</v>
      </c>
      <c r="ZP21" s="271">
        <v>15355099.380000001</v>
      </c>
      <c r="ZQ21" s="271">
        <v>4261648.3499999996</v>
      </c>
      <c r="ZR21" s="271">
        <v>5921527.2400000002</v>
      </c>
      <c r="ZS21" s="271">
        <v>7875477.5199999996</v>
      </c>
      <c r="ZT21" s="271">
        <v>5638086</v>
      </c>
      <c r="ZU21" s="271">
        <v>11522697.960000001</v>
      </c>
      <c r="ZV21" s="271">
        <v>1373975.5</v>
      </c>
      <c r="ZW21" s="271">
        <v>2681629.15</v>
      </c>
      <c r="ZX21" s="271">
        <v>4292476.79</v>
      </c>
      <c r="ZY21" s="271">
        <v>15687197.109999999</v>
      </c>
      <c r="ZZ21" s="271">
        <v>2809825.1</v>
      </c>
      <c r="AAA21" s="271">
        <v>3394408.81</v>
      </c>
      <c r="AAB21" s="271">
        <v>3148548.82</v>
      </c>
      <c r="AAC21" s="271">
        <v>1893631.6</v>
      </c>
      <c r="AAD21" s="271">
        <v>4254505.58</v>
      </c>
      <c r="AAE21" s="271">
        <v>2664013.31</v>
      </c>
      <c r="AAF21" s="271">
        <v>2366508.6</v>
      </c>
      <c r="AAG21" s="271">
        <v>1760673.93</v>
      </c>
      <c r="AAH21" s="271">
        <v>24032084.920000002</v>
      </c>
      <c r="AAI21" s="271">
        <v>2373601</v>
      </c>
      <c r="AAJ21" s="271">
        <v>4199452</v>
      </c>
      <c r="AAK21" s="271">
        <v>2803748.02</v>
      </c>
      <c r="AAL21" s="271">
        <v>1868951.5</v>
      </c>
      <c r="AAM21" s="271">
        <v>7531365</v>
      </c>
      <c r="AAN21" s="271">
        <v>2864482.94</v>
      </c>
      <c r="AAO21" s="271">
        <v>210280603.69</v>
      </c>
      <c r="AAP21" s="271">
        <v>5019862.1500000004</v>
      </c>
      <c r="AAQ21" s="271">
        <v>1914894.18</v>
      </c>
      <c r="AAR21" s="271">
        <v>13133964.73</v>
      </c>
      <c r="AAS21" s="271">
        <v>6232674.5</v>
      </c>
      <c r="AAT21" s="271">
        <v>4063723.74</v>
      </c>
      <c r="AAU21" s="271">
        <v>5398321.1500000004</v>
      </c>
      <c r="AAV21" s="271">
        <v>8805891.0099999998</v>
      </c>
      <c r="AAW21" s="271">
        <v>17530728.52</v>
      </c>
      <c r="AAX21" s="271">
        <v>3324932.57</v>
      </c>
      <c r="AAY21" s="271">
        <v>5776763.3200000003</v>
      </c>
      <c r="AAZ21" s="271">
        <v>28864157.32</v>
      </c>
      <c r="ABA21" s="271">
        <v>13606955.9</v>
      </c>
      <c r="ABB21" s="271">
        <v>1520890.48</v>
      </c>
      <c r="ABC21" s="271">
        <v>3872063.59</v>
      </c>
      <c r="ABD21" s="271">
        <v>2839516.85</v>
      </c>
      <c r="ABE21" s="271">
        <v>1546474.37</v>
      </c>
      <c r="ABF21" s="271">
        <v>3146593.11</v>
      </c>
      <c r="ABG21" s="271">
        <v>2179840.86</v>
      </c>
      <c r="ABH21" s="271">
        <v>33625696.159999996</v>
      </c>
      <c r="ABI21" s="271">
        <v>24987232.550000001</v>
      </c>
      <c r="ABJ21" s="271">
        <v>2600993.6</v>
      </c>
      <c r="ABK21" s="271">
        <v>1737981.05</v>
      </c>
      <c r="ABL21" s="271">
        <v>1336417.31</v>
      </c>
      <c r="ABM21" s="271">
        <v>1465212.4</v>
      </c>
      <c r="ABN21" s="271">
        <v>1546348.1</v>
      </c>
      <c r="ABO21" s="271">
        <v>58540729.450000003</v>
      </c>
      <c r="ABP21" s="271">
        <v>5074004.38</v>
      </c>
      <c r="ABQ21" s="271">
        <v>3105584.28</v>
      </c>
      <c r="ABR21" s="271">
        <v>9718244.1400000006</v>
      </c>
      <c r="ABS21" s="271">
        <v>6268373.4000000004</v>
      </c>
      <c r="ABT21" s="271">
        <v>2558763.7000000002</v>
      </c>
      <c r="ABU21" s="271">
        <v>4567027.12</v>
      </c>
      <c r="ABV21" s="271">
        <v>4815239.0999999996</v>
      </c>
      <c r="ABW21" s="271">
        <v>1104761.54</v>
      </c>
      <c r="ABX21" s="271">
        <v>92930596.689999998</v>
      </c>
      <c r="ABY21" s="271">
        <v>11159073.869999999</v>
      </c>
      <c r="ABZ21" s="271">
        <v>8068088</v>
      </c>
      <c r="ACA21" s="271">
        <v>2841439.65</v>
      </c>
      <c r="ACB21" s="271">
        <v>3520443.03</v>
      </c>
      <c r="ACC21" s="271">
        <v>29939328.199999999</v>
      </c>
      <c r="ACD21" s="271">
        <v>3700585.22</v>
      </c>
      <c r="ACE21" s="271">
        <v>4046330.5</v>
      </c>
      <c r="ACF21" s="271">
        <v>5030743</v>
      </c>
      <c r="ACG21" s="271">
        <v>8305737.2000000002</v>
      </c>
      <c r="ACH21" s="271">
        <v>2883447.24</v>
      </c>
      <c r="ACI21" s="271">
        <v>68928389.459999993</v>
      </c>
      <c r="ACJ21" s="271">
        <v>3846583.35</v>
      </c>
      <c r="ACK21" s="271">
        <v>6843855.4000000004</v>
      </c>
      <c r="ACL21" s="271">
        <v>5980194.5</v>
      </c>
      <c r="ACM21" s="271">
        <v>2635639</v>
      </c>
      <c r="ACN21" s="271">
        <v>3462535.2</v>
      </c>
      <c r="ACO21" s="271">
        <v>4870295.5</v>
      </c>
      <c r="ACP21" s="271">
        <v>59608773.740000002</v>
      </c>
      <c r="ACQ21" s="271">
        <v>32889239.010000002</v>
      </c>
      <c r="ACR21" s="271">
        <v>2710474</v>
      </c>
      <c r="ACS21" s="271">
        <v>6280830.3799999999</v>
      </c>
      <c r="ACT21" s="271">
        <v>7295422.5</v>
      </c>
      <c r="ACU21" s="271">
        <v>7522816.71</v>
      </c>
      <c r="ACV21" s="271">
        <v>89066764.640000001</v>
      </c>
      <c r="ACW21" s="271">
        <v>6813969</v>
      </c>
      <c r="ACX21" s="271">
        <v>4836688.38</v>
      </c>
      <c r="ACY21" s="271">
        <v>1224972.25</v>
      </c>
      <c r="ACZ21" s="271">
        <v>3193593.63</v>
      </c>
      <c r="ADA21" s="271">
        <v>3613498</v>
      </c>
      <c r="ADB21" s="271">
        <v>3259400.8</v>
      </c>
      <c r="ADC21" s="271">
        <v>1727075.64</v>
      </c>
      <c r="ADD21" s="271">
        <v>2494645</v>
      </c>
      <c r="ADE21" s="271">
        <v>3215575.2</v>
      </c>
      <c r="ADF21" s="271">
        <v>26482088.66</v>
      </c>
      <c r="ADG21" s="271">
        <v>24014206.899999999</v>
      </c>
      <c r="ADH21" s="271">
        <v>952410</v>
      </c>
      <c r="ADI21" s="271">
        <v>313726.96999999997</v>
      </c>
      <c r="ADJ21" s="271">
        <v>2214256.15</v>
      </c>
      <c r="ADK21" s="271">
        <v>117055</v>
      </c>
      <c r="ADL21" s="271">
        <v>2324250.59</v>
      </c>
      <c r="ADM21" s="271">
        <v>2552278.7799999998</v>
      </c>
      <c r="ADN21" s="271">
        <v>4242862</v>
      </c>
      <c r="ADO21" s="271">
        <v>134801693.02000001</v>
      </c>
      <c r="ADP21" s="271">
        <v>6589573.1699999999</v>
      </c>
      <c r="ADQ21" s="271">
        <v>6741807.0499999998</v>
      </c>
      <c r="ADR21" s="271">
        <v>2066441.75</v>
      </c>
      <c r="ADS21" s="271">
        <v>21266249.41</v>
      </c>
      <c r="ADT21" s="271">
        <v>1323984.32</v>
      </c>
      <c r="ADU21" s="271">
        <v>1890625.77</v>
      </c>
      <c r="ADV21" s="271">
        <v>5306451.84</v>
      </c>
      <c r="ADW21" s="271">
        <v>1615200</v>
      </c>
      <c r="ADX21" s="271">
        <v>525368.5</v>
      </c>
      <c r="ADY21" s="271">
        <v>148355803.56999999</v>
      </c>
      <c r="ADZ21" s="271">
        <v>21426337.57</v>
      </c>
      <c r="AEA21" s="271">
        <v>13429457.73</v>
      </c>
      <c r="AEB21" s="271">
        <v>3026390.16</v>
      </c>
      <c r="AEC21" s="271">
        <v>4939643.5599999996</v>
      </c>
      <c r="AED21" s="271">
        <v>5920118.8499999996</v>
      </c>
      <c r="AEE21" s="271">
        <v>3733563.9</v>
      </c>
      <c r="AEF21" s="271">
        <v>4828240.0999999996</v>
      </c>
      <c r="AEG21" s="271">
        <v>2435299.09</v>
      </c>
      <c r="AEH21" s="271">
        <v>2967353.52</v>
      </c>
      <c r="AEI21" s="271">
        <v>3258459.2</v>
      </c>
      <c r="AEJ21" s="271">
        <v>11820938.199999999</v>
      </c>
      <c r="AEK21" s="271">
        <v>2514935.4700000002</v>
      </c>
      <c r="AEL21" s="271">
        <v>5251153.16</v>
      </c>
      <c r="AEM21" s="271">
        <v>5926511.8700000001</v>
      </c>
      <c r="AEN21" s="271">
        <v>6528871.4500000002</v>
      </c>
      <c r="AEO21" s="271">
        <v>2030398.81</v>
      </c>
      <c r="AEP21" s="271">
        <v>10688351</v>
      </c>
      <c r="AEQ21" s="271">
        <v>2254380.2200000002</v>
      </c>
      <c r="AER21" s="271">
        <v>9896145.8000000007</v>
      </c>
      <c r="AES21" s="271">
        <v>72659069.609999999</v>
      </c>
      <c r="AET21" s="271">
        <v>9787860.5399999991</v>
      </c>
      <c r="AEU21" s="271">
        <v>5637646.25</v>
      </c>
      <c r="AEV21" s="271">
        <v>5476354.8499999996</v>
      </c>
      <c r="AEW21" s="271">
        <v>3374610.38</v>
      </c>
      <c r="AEX21" s="271">
        <v>11344347.619999999</v>
      </c>
      <c r="AEY21" s="271">
        <v>3827370.55</v>
      </c>
      <c r="AEZ21" s="271">
        <v>5198272</v>
      </c>
      <c r="AFA21" s="271">
        <v>3094420.04</v>
      </c>
      <c r="AFB21" s="271">
        <v>2682571.4</v>
      </c>
      <c r="AFC21" s="271">
        <v>59399237.600000001</v>
      </c>
      <c r="AFD21" s="271">
        <v>17845403.780000001</v>
      </c>
      <c r="AFE21" s="271">
        <v>18427954.75</v>
      </c>
      <c r="AFF21" s="271">
        <v>5878197.2000000002</v>
      </c>
      <c r="AFG21" s="271">
        <v>17559088.649999999</v>
      </c>
      <c r="AFH21" s="271">
        <v>7490502.6600000001</v>
      </c>
      <c r="AFI21" s="271">
        <v>4612618.7</v>
      </c>
      <c r="AFJ21" s="271">
        <v>8257519.5</v>
      </c>
      <c r="AFK21" s="271">
        <v>2699301.72</v>
      </c>
      <c r="AFL21" s="271">
        <v>10166301.039999999</v>
      </c>
      <c r="AFM21" s="271">
        <v>6467009</v>
      </c>
      <c r="AFN21" s="271">
        <v>4443346.55</v>
      </c>
      <c r="AFO21" s="271">
        <v>5145611.58</v>
      </c>
      <c r="AFP21" s="271">
        <v>105936557.31999999</v>
      </c>
      <c r="AFQ21" s="271">
        <v>8282250.9000000004</v>
      </c>
      <c r="AFR21" s="271">
        <v>5809599.1500000004</v>
      </c>
      <c r="AFS21" s="271">
        <v>4645838.29</v>
      </c>
      <c r="AFT21" s="271">
        <v>7197877.9800000004</v>
      </c>
      <c r="AFU21" s="271">
        <v>4003234.34</v>
      </c>
      <c r="AFV21" s="271">
        <v>3887798.7</v>
      </c>
      <c r="AFW21" s="271">
        <v>6217051</v>
      </c>
      <c r="AFX21" s="271">
        <v>8838451.6099999994</v>
      </c>
      <c r="AFY21" s="271">
        <v>2561062.1</v>
      </c>
      <c r="AFZ21" s="271">
        <v>7494645.5999999996</v>
      </c>
      <c r="AGA21" s="271">
        <v>3600526.27</v>
      </c>
      <c r="AGB21" s="271">
        <v>23408808.18</v>
      </c>
      <c r="AGC21" s="271">
        <v>1713318.9</v>
      </c>
      <c r="AGD21" s="271">
        <v>3540350.57</v>
      </c>
      <c r="AGE21" s="271">
        <v>1812648</v>
      </c>
      <c r="AGF21" s="271">
        <v>6259942.5499999998</v>
      </c>
      <c r="AGG21" s="271">
        <v>2833111.38</v>
      </c>
      <c r="AGH21" s="271">
        <v>1499336.76</v>
      </c>
      <c r="AGI21" s="271">
        <v>2220645.5</v>
      </c>
      <c r="AGJ21" s="271">
        <v>1951616.2</v>
      </c>
      <c r="AGK21" s="271">
        <v>2856546.84</v>
      </c>
      <c r="AGL21" s="271">
        <v>2428707.21</v>
      </c>
      <c r="AGM21" s="271">
        <v>113364786.37</v>
      </c>
      <c r="AGN21" s="271">
        <v>11142837.449999999</v>
      </c>
      <c r="AGO21" s="271">
        <v>6735464.5</v>
      </c>
      <c r="AGP21" s="271">
        <v>2539313.89</v>
      </c>
      <c r="AGQ21" s="271">
        <v>18202650.98</v>
      </c>
      <c r="AGR21" s="271">
        <v>5265776.18</v>
      </c>
      <c r="AGS21" s="271">
        <v>2495158.5699999998</v>
      </c>
      <c r="AGT21" s="271">
        <v>2412886.06</v>
      </c>
      <c r="AGU21" s="271">
        <v>146921141.65000001</v>
      </c>
      <c r="AGV21" s="271">
        <v>64750388.719999999</v>
      </c>
      <c r="AGW21" s="271">
        <v>2214390.15</v>
      </c>
      <c r="AGX21" s="271">
        <v>6755910.5199999996</v>
      </c>
      <c r="AGY21" s="271">
        <v>61560967.450000003</v>
      </c>
      <c r="AGZ21" s="271">
        <v>5797300.5999999996</v>
      </c>
      <c r="AHA21" s="271">
        <v>2895405.2</v>
      </c>
      <c r="AHB21" s="271">
        <v>5027790.3499999996</v>
      </c>
      <c r="AHC21" s="271">
        <v>1831786.5</v>
      </c>
      <c r="AHD21" s="271">
        <v>3888392.01</v>
      </c>
      <c r="AHE21" s="271">
        <v>8508250</v>
      </c>
      <c r="AHF21" s="271">
        <v>2334799.2999999998</v>
      </c>
      <c r="AHG21" s="271">
        <v>3360819.8</v>
      </c>
      <c r="AHH21" s="271">
        <v>4490879.54</v>
      </c>
      <c r="AHI21" s="271">
        <v>2332161.5</v>
      </c>
      <c r="AHJ21" s="271">
        <v>2729408.1</v>
      </c>
      <c r="AHK21" s="271">
        <v>1503895.98</v>
      </c>
      <c r="AHL21" s="271">
        <v>23560838.170000002</v>
      </c>
      <c r="AHM21" s="271">
        <v>3318431</v>
      </c>
      <c r="AHN21" s="271">
        <v>3478550</v>
      </c>
      <c r="AHO21" s="271">
        <v>3840172.35</v>
      </c>
      <c r="AHP21" s="271">
        <v>9473005.8800000008</v>
      </c>
      <c r="AHQ21" s="294">
        <v>3298001.35</v>
      </c>
      <c r="AHR21" s="331">
        <v>2396920</v>
      </c>
      <c r="AHS21" s="294">
        <f t="shared" si="18"/>
        <v>12356426306.950006</v>
      </c>
      <c r="AHT21" s="269" t="b">
        <f t="shared" si="1"/>
        <v>1</v>
      </c>
      <c r="AHU21" s="269" t="s">
        <v>23</v>
      </c>
    </row>
    <row r="22" spans="1:905" ht="23.4" customHeight="1" x14ac:dyDescent="0.7">
      <c r="B22" s="268" t="s">
        <v>25</v>
      </c>
      <c r="C22" s="269" t="s">
        <v>26</v>
      </c>
      <c r="D22" s="271">
        <v>669719561.27999985</v>
      </c>
      <c r="E22" s="271">
        <v>56045725.370000005</v>
      </c>
      <c r="F22" s="271">
        <v>86891996.469999999</v>
      </c>
      <c r="G22" s="271">
        <v>35329532.359999999</v>
      </c>
      <c r="H22" s="271">
        <v>101808674.94000001</v>
      </c>
      <c r="I22" s="271">
        <v>51548691.109999999</v>
      </c>
      <c r="J22" s="271">
        <v>83400466.239999995</v>
      </c>
      <c r="K22" s="271">
        <v>55814878.879999995</v>
      </c>
      <c r="L22" s="271">
        <v>54197218.770000011</v>
      </c>
      <c r="M22" s="271">
        <v>45811696.560000002</v>
      </c>
      <c r="N22" s="271">
        <v>30430532.25</v>
      </c>
      <c r="O22" s="271">
        <v>34466054.18</v>
      </c>
      <c r="P22" s="271">
        <v>26812258.379999999</v>
      </c>
      <c r="Q22" s="271">
        <v>39098847.309999995</v>
      </c>
      <c r="R22" s="271">
        <v>38089220.199999996</v>
      </c>
      <c r="S22" s="271">
        <v>56591581.299999997</v>
      </c>
      <c r="T22" s="271">
        <v>51551422.160000004</v>
      </c>
      <c r="U22" s="271">
        <v>9264864.8399999999</v>
      </c>
      <c r="V22" s="271">
        <v>555953657.74999988</v>
      </c>
      <c r="W22" s="271">
        <v>144249175.65000001</v>
      </c>
      <c r="X22" s="271">
        <v>35878843.219999999</v>
      </c>
      <c r="Y22" s="271">
        <v>52371538.439999998</v>
      </c>
      <c r="Z22" s="271">
        <v>60847484.769999996</v>
      </c>
      <c r="AA22" s="271">
        <v>52131195.68</v>
      </c>
      <c r="AB22" s="271">
        <v>29764936.700000003</v>
      </c>
      <c r="AC22" s="271">
        <v>130355397.32000001</v>
      </c>
      <c r="AD22" s="271">
        <v>58009680.850000001</v>
      </c>
      <c r="AE22" s="271">
        <v>42255211.93</v>
      </c>
      <c r="AF22" s="271">
        <v>119521288.50999999</v>
      </c>
      <c r="AG22" s="271">
        <v>51796676.869999997</v>
      </c>
      <c r="AH22" s="271">
        <v>105846023.53999999</v>
      </c>
      <c r="AI22" s="271">
        <v>75004495.029999986</v>
      </c>
      <c r="AJ22" s="271">
        <v>34606616.939999998</v>
      </c>
      <c r="AK22" s="271">
        <v>26708823.099999994</v>
      </c>
      <c r="AL22" s="271">
        <v>36418839.260000005</v>
      </c>
      <c r="AM22" s="271">
        <v>56279345.530000001</v>
      </c>
      <c r="AN22" s="271">
        <v>21456641.940000001</v>
      </c>
      <c r="AO22" s="271">
        <v>37804010.160000004</v>
      </c>
      <c r="AP22" s="271">
        <v>43453258.200000003</v>
      </c>
      <c r="AQ22" s="271">
        <v>34397308.159999996</v>
      </c>
      <c r="AR22" s="271">
        <v>29944085.48</v>
      </c>
      <c r="AS22" s="271">
        <v>17473165.859999999</v>
      </c>
      <c r="AT22" s="271">
        <v>389931604.75999999</v>
      </c>
      <c r="AU22" s="271">
        <v>21977815.16</v>
      </c>
      <c r="AV22" s="271">
        <v>18835673.540000003</v>
      </c>
      <c r="AW22" s="271">
        <v>34236991.480000004</v>
      </c>
      <c r="AX22" s="271">
        <v>44497924.760000005</v>
      </c>
      <c r="AY22" s="271">
        <v>66013195.879999995</v>
      </c>
      <c r="AZ22" s="271">
        <v>26937559.459999997</v>
      </c>
      <c r="BA22" s="271">
        <v>32001517.420000002</v>
      </c>
      <c r="BB22" s="271">
        <v>25019133.939999998</v>
      </c>
      <c r="BC22" s="271">
        <v>27522552.409999996</v>
      </c>
      <c r="BD22" s="271">
        <v>15019021.580000002</v>
      </c>
      <c r="BE22" s="271">
        <v>18709976.77</v>
      </c>
      <c r="BF22" s="271">
        <v>97226570.949999988</v>
      </c>
      <c r="BG22" s="271">
        <v>17182659.699999999</v>
      </c>
      <c r="BH22" s="271">
        <v>18470490.32</v>
      </c>
      <c r="BI22" s="271">
        <v>319036344.06999993</v>
      </c>
      <c r="BJ22" s="271">
        <v>211281578.99999997</v>
      </c>
      <c r="BK22" s="271">
        <v>51870908.300000004</v>
      </c>
      <c r="BL22" s="271">
        <v>35922838.700000003</v>
      </c>
      <c r="BM22" s="271">
        <v>70949704.24000001</v>
      </c>
      <c r="BN22" s="271">
        <v>53166797.219999999</v>
      </c>
      <c r="BO22" s="271">
        <v>48365026.920000002</v>
      </c>
      <c r="BP22" s="271">
        <v>8986201.9299999997</v>
      </c>
      <c r="BQ22" s="271">
        <v>9926221.5300000012</v>
      </c>
      <c r="BR22" s="271">
        <v>404963971.77999997</v>
      </c>
      <c r="BS22" s="271">
        <v>59431919.560000002</v>
      </c>
      <c r="BT22" s="271">
        <v>40388365.539999999</v>
      </c>
      <c r="BU22" s="271">
        <v>63131277.57</v>
      </c>
      <c r="BV22" s="271">
        <v>50269943.549999997</v>
      </c>
      <c r="BW22" s="271">
        <v>37243655.510000005</v>
      </c>
      <c r="BX22" s="271">
        <v>39259527.18</v>
      </c>
      <c r="BY22" s="271">
        <v>63314828.600000001</v>
      </c>
      <c r="BZ22" s="271">
        <v>144105920.37</v>
      </c>
      <c r="CA22" s="271">
        <v>31152388.259999998</v>
      </c>
      <c r="CB22" s="271">
        <v>48795752.56000001</v>
      </c>
      <c r="CC22" s="271">
        <v>74551776.510000005</v>
      </c>
      <c r="CD22" s="271">
        <v>27113146.699999999</v>
      </c>
      <c r="CE22" s="271">
        <v>27625326.68</v>
      </c>
      <c r="CF22" s="271">
        <v>25077377.960000001</v>
      </c>
      <c r="CG22" s="271">
        <v>679641901.1099999</v>
      </c>
      <c r="CH22" s="271">
        <v>49511103.869999997</v>
      </c>
      <c r="CI22" s="271">
        <v>87281826.350000009</v>
      </c>
      <c r="CJ22" s="271">
        <v>39736777.340000004</v>
      </c>
      <c r="CK22" s="271">
        <v>41048443.229999997</v>
      </c>
      <c r="CL22" s="271">
        <v>53020523.040000007</v>
      </c>
      <c r="CM22" s="271">
        <v>42471909.50999999</v>
      </c>
      <c r="CN22" s="271">
        <v>68489919.229999989</v>
      </c>
      <c r="CO22" s="271">
        <v>24900973</v>
      </c>
      <c r="CP22" s="271">
        <v>49537772.189999998</v>
      </c>
      <c r="CQ22" s="271">
        <v>32950367.52</v>
      </c>
      <c r="CR22" s="271">
        <v>61485418.229999989</v>
      </c>
      <c r="CS22" s="271">
        <v>37374564.879999995</v>
      </c>
      <c r="CT22" s="271">
        <v>341144404.10000002</v>
      </c>
      <c r="CU22" s="271">
        <v>38746060.189999998</v>
      </c>
      <c r="CV22" s="271">
        <v>47536856.679999992</v>
      </c>
      <c r="CW22" s="271">
        <v>63218988.629999995</v>
      </c>
      <c r="CX22" s="271">
        <v>33718891.079999998</v>
      </c>
      <c r="CY22" s="271">
        <v>60611887.350000001</v>
      </c>
      <c r="CZ22" s="271">
        <v>36349641.18</v>
      </c>
      <c r="DA22" s="271">
        <v>19073982.579999998</v>
      </c>
      <c r="DB22" s="271">
        <v>244108230.18000001</v>
      </c>
      <c r="DC22" s="271">
        <v>260086189</v>
      </c>
      <c r="DD22" s="271">
        <v>47838976.950000003</v>
      </c>
      <c r="DE22" s="271">
        <v>36743191.810000002</v>
      </c>
      <c r="DF22" s="271">
        <v>71603480.75999999</v>
      </c>
      <c r="DG22" s="271">
        <v>45498571.689999998</v>
      </c>
      <c r="DH22" s="271">
        <v>43372420.540000007</v>
      </c>
      <c r="DI22" s="271">
        <v>42857478.600000001</v>
      </c>
      <c r="DJ22" s="271">
        <v>19586718.730000004</v>
      </c>
      <c r="DK22" s="271">
        <v>773141623.20000005</v>
      </c>
      <c r="DL22" s="271">
        <v>40976371.879999995</v>
      </c>
      <c r="DM22" s="271">
        <v>63320120.990000002</v>
      </c>
      <c r="DN22" s="271">
        <v>55168078.800000004</v>
      </c>
      <c r="DO22" s="271">
        <v>60984323.690000005</v>
      </c>
      <c r="DP22" s="271">
        <v>51042805.460000001</v>
      </c>
      <c r="DQ22" s="271">
        <v>83422449.75</v>
      </c>
      <c r="DR22" s="271">
        <v>47257664.530000001</v>
      </c>
      <c r="DS22" s="271">
        <v>71108971.670000017</v>
      </c>
      <c r="DT22" s="271">
        <v>360722368.54999989</v>
      </c>
      <c r="DU22" s="271">
        <v>58048495.509999998</v>
      </c>
      <c r="DV22" s="271">
        <v>100485450.78999999</v>
      </c>
      <c r="DW22" s="271">
        <v>112734123.82000001</v>
      </c>
      <c r="DX22" s="271">
        <v>45712035.739999995</v>
      </c>
      <c r="DY22" s="271">
        <v>67583677.400000006</v>
      </c>
      <c r="DZ22" s="271">
        <v>59260228.919999987</v>
      </c>
      <c r="EA22" s="271">
        <v>17060170.800000001</v>
      </c>
      <c r="EB22" s="271">
        <v>36162066.039999999</v>
      </c>
      <c r="EC22" s="271">
        <v>38738688.940000005</v>
      </c>
      <c r="ED22" s="271">
        <v>79708279.13000001</v>
      </c>
      <c r="EE22" s="271">
        <v>241133138.58000001</v>
      </c>
      <c r="EF22" s="271">
        <v>213883061.77000001</v>
      </c>
      <c r="EG22" s="271">
        <v>48758195.24000001</v>
      </c>
      <c r="EH22" s="271">
        <v>47369343.280000001</v>
      </c>
      <c r="EI22" s="271">
        <v>53219356.740000002</v>
      </c>
      <c r="EJ22" s="271">
        <v>61414238.560000002</v>
      </c>
      <c r="EK22" s="271">
        <v>89749136.469999999</v>
      </c>
      <c r="EL22" s="271">
        <v>33123572.470000003</v>
      </c>
      <c r="EM22" s="271">
        <v>39116205.25</v>
      </c>
      <c r="EN22" s="271">
        <v>512215929.46000004</v>
      </c>
      <c r="EO22" s="271">
        <v>45508140.539999999</v>
      </c>
      <c r="EP22" s="271">
        <v>40068823.699999996</v>
      </c>
      <c r="EQ22" s="271">
        <v>38818328.599999994</v>
      </c>
      <c r="ER22" s="271">
        <v>24197184.310000002</v>
      </c>
      <c r="ES22" s="271">
        <v>24179054.919999998</v>
      </c>
      <c r="ET22" s="271">
        <v>52511567.300000004</v>
      </c>
      <c r="EU22" s="271">
        <v>49008887.030000001</v>
      </c>
      <c r="EV22" s="271">
        <v>34603872.839999996</v>
      </c>
      <c r="EW22" s="271">
        <v>351252758.07000005</v>
      </c>
      <c r="EX22" s="271">
        <v>23054184.98</v>
      </c>
      <c r="EY22" s="271">
        <v>34999532.579999998</v>
      </c>
      <c r="EZ22" s="271">
        <v>47859215.699999996</v>
      </c>
      <c r="FA22" s="271">
        <v>71352436.670000017</v>
      </c>
      <c r="FB22" s="271">
        <v>54688762.57</v>
      </c>
      <c r="FC22" s="271">
        <v>53908570.07</v>
      </c>
      <c r="FD22" s="271">
        <v>34160076.020000003</v>
      </c>
      <c r="FE22" s="271">
        <v>29645315.809999999</v>
      </c>
      <c r="FF22" s="271">
        <v>23121516.279999997</v>
      </c>
      <c r="FG22" s="271">
        <v>22932430</v>
      </c>
      <c r="FH22" s="271">
        <v>13582163</v>
      </c>
      <c r="FI22" s="271">
        <v>265687333.53999999</v>
      </c>
      <c r="FJ22" s="271">
        <v>38988883.75</v>
      </c>
      <c r="FK22" s="271">
        <v>42416465.239999995</v>
      </c>
      <c r="FL22" s="271">
        <v>42007816.130000003</v>
      </c>
      <c r="FM22" s="271">
        <v>61520402.460000001</v>
      </c>
      <c r="FN22" s="271">
        <v>52292283.890000001</v>
      </c>
      <c r="FO22" s="271">
        <v>14751892.58</v>
      </c>
      <c r="FP22" s="271">
        <v>6634512.5800000001</v>
      </c>
      <c r="FQ22" s="271">
        <v>593129253.31999993</v>
      </c>
      <c r="FR22" s="271">
        <v>34566464.560000002</v>
      </c>
      <c r="FS22" s="271">
        <v>55232991.049999997</v>
      </c>
      <c r="FT22" s="271">
        <v>49125064.920000002</v>
      </c>
      <c r="FU22" s="271">
        <v>72344355.820000008</v>
      </c>
      <c r="FV22" s="271">
        <v>34286113.389999993</v>
      </c>
      <c r="FW22" s="271">
        <v>80327439.870000005</v>
      </c>
      <c r="FX22" s="271">
        <v>47802737.560000002</v>
      </c>
      <c r="FY22" s="271">
        <v>50616580.470000006</v>
      </c>
      <c r="FZ22" s="271">
        <v>38659152.419999994</v>
      </c>
      <c r="GA22" s="271">
        <v>77511806.099999994</v>
      </c>
      <c r="GB22" s="271">
        <v>40443339.339999996</v>
      </c>
      <c r="GC22" s="271">
        <v>26177416.930000003</v>
      </c>
      <c r="GD22" s="271">
        <v>10708015</v>
      </c>
      <c r="GE22" s="271">
        <v>348027399.63000005</v>
      </c>
      <c r="GF22" s="271">
        <v>31674725.949999996</v>
      </c>
      <c r="GG22" s="271">
        <v>40263072.280000001</v>
      </c>
      <c r="GH22" s="271">
        <v>70860131.530000001</v>
      </c>
      <c r="GI22" s="271">
        <v>42454259.609999999</v>
      </c>
      <c r="GJ22" s="271">
        <v>37999652.250000007</v>
      </c>
      <c r="GK22" s="271">
        <v>38528298.690000005</v>
      </c>
      <c r="GL22" s="271">
        <v>85989634.430000007</v>
      </c>
      <c r="GM22" s="271">
        <v>31547192.579999998</v>
      </c>
      <c r="GN22" s="271">
        <v>12113531.940000001</v>
      </c>
      <c r="GO22" s="271">
        <v>10460165.640000001</v>
      </c>
      <c r="GP22" s="271">
        <v>10892359.859999999</v>
      </c>
      <c r="GQ22" s="271">
        <v>244354925.99000001</v>
      </c>
      <c r="GR22" s="271">
        <v>58176832.960000001</v>
      </c>
      <c r="GS22" s="271">
        <v>40023730.799999997</v>
      </c>
      <c r="GT22" s="271">
        <v>59311334.049999997</v>
      </c>
      <c r="GU22" s="271">
        <v>20950301.250000004</v>
      </c>
      <c r="GV22" s="271">
        <v>45422308.770000003</v>
      </c>
      <c r="GW22" s="271">
        <v>41634067.480000004</v>
      </c>
      <c r="GX22" s="271">
        <v>28470427.100000001</v>
      </c>
      <c r="GY22" s="271">
        <v>276690254.31999999</v>
      </c>
      <c r="GZ22" s="271">
        <v>32217360.420000002</v>
      </c>
      <c r="HA22" s="271">
        <v>70695139.670000002</v>
      </c>
      <c r="HB22" s="271">
        <v>48910103.660000004</v>
      </c>
      <c r="HC22" s="271">
        <v>474409525.63000005</v>
      </c>
      <c r="HD22" s="271">
        <v>70546974.539999992</v>
      </c>
      <c r="HE22" s="271">
        <v>79646270.570000008</v>
      </c>
      <c r="HF22" s="271">
        <v>81221483.700000003</v>
      </c>
      <c r="HG22" s="271">
        <v>61686195.519999996</v>
      </c>
      <c r="HH22" s="271">
        <v>80373562.640000015</v>
      </c>
      <c r="HI22" s="271">
        <v>14491393.229999999</v>
      </c>
      <c r="HJ22" s="271">
        <v>332475270.91999996</v>
      </c>
      <c r="HK22" s="271">
        <v>68254095.530000001</v>
      </c>
      <c r="HL22" s="271">
        <v>73395006.510000005</v>
      </c>
      <c r="HM22" s="271">
        <v>58013979.43</v>
      </c>
      <c r="HN22" s="271">
        <v>35466947.269999996</v>
      </c>
      <c r="HO22" s="271">
        <v>40641271.419999994</v>
      </c>
      <c r="HP22" s="271">
        <v>52589858.560000002</v>
      </c>
      <c r="HQ22" s="271">
        <v>26929013.520000003</v>
      </c>
      <c r="HR22" s="271">
        <v>421687907.23000008</v>
      </c>
      <c r="HS22" s="271">
        <v>170615546.19</v>
      </c>
      <c r="HT22" s="271">
        <v>50493604.489999995</v>
      </c>
      <c r="HU22" s="271">
        <v>35949167.910000004</v>
      </c>
      <c r="HV22" s="271">
        <v>33909336.360000007</v>
      </c>
      <c r="HW22" s="271">
        <v>36308662.649999999</v>
      </c>
      <c r="HX22" s="271">
        <v>74614411.219999999</v>
      </c>
      <c r="HY22" s="271">
        <v>33119785.319999997</v>
      </c>
      <c r="HZ22" s="271">
        <v>35235318.679999992</v>
      </c>
      <c r="IA22" s="271">
        <v>34075048.93</v>
      </c>
      <c r="IB22" s="271">
        <v>39938303.359999999</v>
      </c>
      <c r="IC22" s="271">
        <v>49877294.179999992</v>
      </c>
      <c r="ID22" s="271">
        <v>22502649.119999994</v>
      </c>
      <c r="IE22" s="271">
        <v>39331193.300000004</v>
      </c>
      <c r="IF22" s="271">
        <v>23161106.859999999</v>
      </c>
      <c r="IG22" s="271">
        <v>28687738.920000002</v>
      </c>
      <c r="IH22" s="271">
        <v>356989194.78000003</v>
      </c>
      <c r="II22" s="271">
        <v>167816075.24000001</v>
      </c>
      <c r="IJ22" s="271">
        <v>54776515.120000005</v>
      </c>
      <c r="IK22" s="271">
        <v>84350269.790000007</v>
      </c>
      <c r="IL22" s="271">
        <v>95163368.060000002</v>
      </c>
      <c r="IM22" s="271">
        <v>47749330.32</v>
      </c>
      <c r="IN22" s="271">
        <v>40057093.689999998</v>
      </c>
      <c r="IO22" s="271">
        <v>24382315.160000004</v>
      </c>
      <c r="IP22" s="271">
        <v>29119821.25</v>
      </c>
      <c r="IQ22" s="271">
        <v>28732208.07</v>
      </c>
      <c r="IR22" s="271">
        <v>34486330.140000001</v>
      </c>
      <c r="IS22" s="271">
        <v>531068994.13000005</v>
      </c>
      <c r="IT22" s="271">
        <v>256567928.13000005</v>
      </c>
      <c r="IU22" s="271">
        <v>76118369.329999998</v>
      </c>
      <c r="IV22" s="271">
        <v>46986790.689999998</v>
      </c>
      <c r="IW22" s="271">
        <v>38323480.339999996</v>
      </c>
      <c r="IX22" s="271">
        <v>23266760</v>
      </c>
      <c r="IY22" s="271">
        <v>38082607.510000005</v>
      </c>
      <c r="IZ22" s="271">
        <v>23048921.959999997</v>
      </c>
      <c r="JA22" s="271">
        <v>32978879.509999998</v>
      </c>
      <c r="JB22" s="271">
        <v>42668892.990000002</v>
      </c>
      <c r="JC22" s="271">
        <v>38200979.240000017</v>
      </c>
      <c r="JD22" s="271">
        <v>31789263.540000003</v>
      </c>
      <c r="JE22" s="271">
        <v>244034307.40000001</v>
      </c>
      <c r="JF22" s="271">
        <v>176085802.44000003</v>
      </c>
      <c r="JG22" s="271">
        <v>43141237.530000001</v>
      </c>
      <c r="JH22" s="271">
        <v>38359649.280000001</v>
      </c>
      <c r="JI22" s="271">
        <v>30674986.800000001</v>
      </c>
      <c r="JJ22" s="271">
        <v>36414186.619999997</v>
      </c>
      <c r="JK22" s="271">
        <v>254893080.13</v>
      </c>
      <c r="JL22" s="271">
        <v>29557768.470000003</v>
      </c>
      <c r="JM22" s="271">
        <v>43502198.219999999</v>
      </c>
      <c r="JN22" s="271">
        <v>55426763.490000002</v>
      </c>
      <c r="JO22" s="271">
        <v>40751204.519999996</v>
      </c>
      <c r="JP22" s="271">
        <v>73351727.439999998</v>
      </c>
      <c r="JQ22" s="271">
        <v>31661844.469999999</v>
      </c>
      <c r="JR22" s="271">
        <v>344833412.09999996</v>
      </c>
      <c r="JS22" s="271">
        <v>199457162.27000001</v>
      </c>
      <c r="JT22" s="271">
        <v>36748164.350000001</v>
      </c>
      <c r="JU22" s="271">
        <v>23482420.32</v>
      </c>
      <c r="JV22" s="271">
        <v>56140800.189999998</v>
      </c>
      <c r="JW22" s="271">
        <v>21782717.199999999</v>
      </c>
      <c r="JX22" s="271">
        <v>98834993.550000012</v>
      </c>
      <c r="JY22" s="271">
        <v>51792373.199999996</v>
      </c>
      <c r="JZ22" s="271">
        <v>31883912.230000004</v>
      </c>
      <c r="KA22" s="271">
        <v>55576697.719999999</v>
      </c>
      <c r="KB22" s="271">
        <v>36973477.410000004</v>
      </c>
      <c r="KC22" s="271">
        <v>38250288.18</v>
      </c>
      <c r="KD22" s="271">
        <v>26422695.390000001</v>
      </c>
      <c r="KE22" s="271">
        <v>14734010</v>
      </c>
      <c r="KF22" s="271">
        <v>27887613.43</v>
      </c>
      <c r="KG22" s="271">
        <v>0</v>
      </c>
      <c r="KH22" s="271">
        <v>555377606.3599999</v>
      </c>
      <c r="KI22" s="271">
        <v>72356674.38000001</v>
      </c>
      <c r="KJ22" s="271">
        <v>47401306.639999993</v>
      </c>
      <c r="KK22" s="271">
        <v>57171344.509999998</v>
      </c>
      <c r="KL22" s="271">
        <v>45375408.810000002</v>
      </c>
      <c r="KM22" s="271">
        <v>41963038.430000007</v>
      </c>
      <c r="KN22" s="271">
        <v>86898178.219999999</v>
      </c>
      <c r="KO22" s="271">
        <v>39016247.43</v>
      </c>
      <c r="KP22" s="271">
        <v>36331829.850000001</v>
      </c>
      <c r="KQ22" s="271">
        <v>192118609.59</v>
      </c>
      <c r="KR22" s="271">
        <v>39866150</v>
      </c>
      <c r="KS22" s="271">
        <v>50384075.960000001</v>
      </c>
      <c r="KT22" s="271">
        <v>84705729.709999993</v>
      </c>
      <c r="KU22" s="271">
        <v>36340134.799999997</v>
      </c>
      <c r="KV22" s="271">
        <v>45290157.130000003</v>
      </c>
      <c r="KW22" s="271">
        <v>203916525.29999998</v>
      </c>
      <c r="KX22" s="271">
        <v>57095486.359999999</v>
      </c>
      <c r="KY22" s="271">
        <v>363442634.14999998</v>
      </c>
      <c r="KZ22" s="271">
        <v>41720852.780000001</v>
      </c>
      <c r="LA22" s="271">
        <v>35856902.230000004</v>
      </c>
      <c r="LB22" s="271">
        <v>67697082.090000004</v>
      </c>
      <c r="LC22" s="271">
        <v>65390231.309999995</v>
      </c>
      <c r="LD22" s="271">
        <v>49092065.649999999</v>
      </c>
      <c r="LE22" s="271">
        <v>40972352.769999996</v>
      </c>
      <c r="LF22" s="271">
        <v>32573543.07</v>
      </c>
      <c r="LG22" s="271">
        <v>594909561.11000001</v>
      </c>
      <c r="LH22" s="271">
        <v>175445841.56</v>
      </c>
      <c r="LI22" s="271">
        <v>241293206.97999999</v>
      </c>
      <c r="LJ22" s="271">
        <v>197246304.95000002</v>
      </c>
      <c r="LK22" s="271">
        <v>44784711.280000001</v>
      </c>
      <c r="LL22" s="271">
        <v>52125136.929999992</v>
      </c>
      <c r="LM22" s="271">
        <v>35073560.030000001</v>
      </c>
      <c r="LN22" s="271">
        <v>60181822.149999999</v>
      </c>
      <c r="LO22" s="271">
        <v>32057286.309999995</v>
      </c>
      <c r="LP22" s="271">
        <v>57349117.909999996</v>
      </c>
      <c r="LQ22" s="271">
        <v>11862053.68</v>
      </c>
      <c r="LR22" s="271">
        <v>266759427.79000005</v>
      </c>
      <c r="LS22" s="271">
        <v>80386438.760000005</v>
      </c>
      <c r="LT22" s="271">
        <v>47488077.440000005</v>
      </c>
      <c r="LU22" s="271">
        <v>463651065.72000003</v>
      </c>
      <c r="LV22" s="271">
        <v>181787405.60999998</v>
      </c>
      <c r="LW22" s="271">
        <v>490898396.25999999</v>
      </c>
      <c r="LX22" s="271">
        <v>196310635.03</v>
      </c>
      <c r="LY22" s="271">
        <v>75123838.960000008</v>
      </c>
      <c r="LZ22" s="271">
        <v>68017732.979999989</v>
      </c>
      <c r="MA22" s="271">
        <v>64830304.030000001</v>
      </c>
      <c r="MB22" s="271">
        <v>57605949.229999997</v>
      </c>
      <c r="MC22" s="271">
        <v>58312810.43</v>
      </c>
      <c r="MD22" s="271">
        <v>56241465.810000002</v>
      </c>
      <c r="ME22" s="271">
        <v>98846296.980000004</v>
      </c>
      <c r="MF22" s="271">
        <v>36295341.590000004</v>
      </c>
      <c r="MG22" s="271">
        <v>575654836.50000012</v>
      </c>
      <c r="MH22" s="271">
        <v>39687583.600000001</v>
      </c>
      <c r="MI22" s="271">
        <v>28605895.989999998</v>
      </c>
      <c r="MJ22" s="271">
        <v>29563456.380000003</v>
      </c>
      <c r="MK22" s="271">
        <v>27892339.209999997</v>
      </c>
      <c r="ML22" s="271">
        <v>43021466.199999996</v>
      </c>
      <c r="MM22" s="271">
        <v>32767299.440000001</v>
      </c>
      <c r="MN22" s="271">
        <v>32609367.759999998</v>
      </c>
      <c r="MO22" s="271">
        <v>49938462.329999998</v>
      </c>
      <c r="MP22" s="271">
        <v>26766657.68</v>
      </c>
      <c r="MQ22" s="271">
        <v>30804538.199999999</v>
      </c>
      <c r="MR22" s="271">
        <v>30999462.289999999</v>
      </c>
      <c r="MS22" s="271">
        <v>436260861.26999998</v>
      </c>
      <c r="MT22" s="271">
        <v>33204643.060000002</v>
      </c>
      <c r="MU22" s="271">
        <v>46572586.07</v>
      </c>
      <c r="MV22" s="271">
        <v>69551070.469999999</v>
      </c>
      <c r="MW22" s="271">
        <v>71168510.579999998</v>
      </c>
      <c r="MX22" s="271">
        <v>46526369.780000009</v>
      </c>
      <c r="MY22" s="271">
        <v>78849636.050000012</v>
      </c>
      <c r="MZ22" s="271">
        <v>77220831.460000008</v>
      </c>
      <c r="NA22" s="271">
        <v>46298145.890000001</v>
      </c>
      <c r="NB22" s="271">
        <v>20480462.41</v>
      </c>
      <c r="NC22" s="271">
        <v>12777086.58</v>
      </c>
      <c r="ND22" s="271">
        <v>667057004.93999994</v>
      </c>
      <c r="NE22" s="271">
        <v>91540520.579999998</v>
      </c>
      <c r="NF22" s="271">
        <v>34210787.060000002</v>
      </c>
      <c r="NG22" s="271">
        <v>201083336.76000005</v>
      </c>
      <c r="NH22" s="271">
        <v>34488110.079999998</v>
      </c>
      <c r="NI22" s="271">
        <v>70523060.710000008</v>
      </c>
      <c r="NJ22" s="271">
        <v>130033740.67000002</v>
      </c>
      <c r="NK22" s="271">
        <v>122425341.65000001</v>
      </c>
      <c r="NL22" s="271">
        <v>13959827.199999999</v>
      </c>
      <c r="NM22" s="271">
        <v>62251753.800000004</v>
      </c>
      <c r="NN22" s="271">
        <v>47167875.119999997</v>
      </c>
      <c r="NO22" s="271">
        <v>17863225</v>
      </c>
      <c r="NP22" s="271">
        <v>253381714.44</v>
      </c>
      <c r="NQ22" s="271">
        <v>37830220.100000001</v>
      </c>
      <c r="NR22" s="271">
        <v>36385029.769999996</v>
      </c>
      <c r="NS22" s="271">
        <v>34787204.07</v>
      </c>
      <c r="NT22" s="271">
        <v>34100671.480000004</v>
      </c>
      <c r="NU22" s="271">
        <v>9366797.5799999982</v>
      </c>
      <c r="NV22" s="271">
        <v>16872255.48</v>
      </c>
      <c r="NW22" s="271">
        <v>414423777.55000007</v>
      </c>
      <c r="NX22" s="271">
        <v>150186573.45999998</v>
      </c>
      <c r="NY22" s="271">
        <v>37755849.700000003</v>
      </c>
      <c r="NZ22" s="271">
        <v>32869244.649999999</v>
      </c>
      <c r="OA22" s="271">
        <v>45018990.060000002</v>
      </c>
      <c r="OB22" s="271">
        <v>57520385.349999994</v>
      </c>
      <c r="OC22" s="271">
        <v>26856348.159999996</v>
      </c>
      <c r="OD22" s="271">
        <v>433987391.23000002</v>
      </c>
      <c r="OE22" s="271">
        <v>129316251.78999999</v>
      </c>
      <c r="OF22" s="271">
        <v>60430804.859999999</v>
      </c>
      <c r="OG22" s="271">
        <v>131255977.87</v>
      </c>
      <c r="OH22" s="271">
        <v>41209098.700000003</v>
      </c>
      <c r="OI22" s="271">
        <v>62294041.090000004</v>
      </c>
      <c r="OJ22" s="271">
        <v>44458891</v>
      </c>
      <c r="OK22" s="271">
        <v>21586837.969999999</v>
      </c>
      <c r="OL22" s="271">
        <v>16328113.33</v>
      </c>
      <c r="OM22" s="271">
        <v>381614179.52999991</v>
      </c>
      <c r="ON22" s="271">
        <v>103826934.13000001</v>
      </c>
      <c r="OO22" s="271">
        <v>119315073.94</v>
      </c>
      <c r="OP22" s="271">
        <v>66189932.969999991</v>
      </c>
      <c r="OQ22" s="271">
        <v>48265981.390000008</v>
      </c>
      <c r="OR22" s="271">
        <v>18889285.280000001</v>
      </c>
      <c r="OS22" s="271">
        <v>228934271.50000003</v>
      </c>
      <c r="OT22" s="271">
        <v>31678037.84</v>
      </c>
      <c r="OU22" s="271">
        <v>31943619.91</v>
      </c>
      <c r="OV22" s="271">
        <v>51708067.379999995</v>
      </c>
      <c r="OW22" s="271">
        <v>56586471.120000005</v>
      </c>
      <c r="OX22" s="271">
        <v>100917896.40000002</v>
      </c>
      <c r="OY22" s="271">
        <v>35388129.039999999</v>
      </c>
      <c r="OZ22" s="271">
        <v>13677189.52</v>
      </c>
      <c r="PA22" s="271">
        <v>14952827.42</v>
      </c>
      <c r="PB22" s="271">
        <v>370157234.52000004</v>
      </c>
      <c r="PC22" s="271">
        <v>30024007.100000001</v>
      </c>
      <c r="PD22" s="271">
        <v>87857659.359999999</v>
      </c>
      <c r="PE22" s="271">
        <v>29460291.649999999</v>
      </c>
      <c r="PF22" s="271">
        <v>52962384.590000004</v>
      </c>
      <c r="PG22" s="271">
        <v>98909387.039999992</v>
      </c>
      <c r="PH22" s="271">
        <v>35290006.460000001</v>
      </c>
      <c r="PI22" s="271">
        <v>33917402.790000007</v>
      </c>
      <c r="PJ22" s="271">
        <v>42648039.68</v>
      </c>
      <c r="PK22" s="271">
        <v>35300014.910000004</v>
      </c>
      <c r="PL22" s="271">
        <v>40796283.660000004</v>
      </c>
      <c r="PM22" s="271">
        <v>55027136.349999994</v>
      </c>
      <c r="PN22" s="271">
        <v>33634259.219999999</v>
      </c>
      <c r="PO22" s="271">
        <v>102247556.53</v>
      </c>
      <c r="PP22" s="271">
        <v>11472135.32</v>
      </c>
      <c r="PQ22" s="271">
        <v>14192221</v>
      </c>
      <c r="PR22" s="271">
        <v>10737158.550000001</v>
      </c>
      <c r="PS22" s="271">
        <v>12179585.189999999</v>
      </c>
      <c r="PT22" s="271">
        <v>807968257.00999987</v>
      </c>
      <c r="PU22" s="271">
        <v>51989977.090000004</v>
      </c>
      <c r="PV22" s="271">
        <v>52754849.619999997</v>
      </c>
      <c r="PW22" s="271">
        <v>72300255.919999987</v>
      </c>
      <c r="PX22" s="271">
        <v>149120640.39999998</v>
      </c>
      <c r="PY22" s="271">
        <v>49952226.589999996</v>
      </c>
      <c r="PZ22" s="271">
        <v>105358799.23999998</v>
      </c>
      <c r="QA22" s="271">
        <v>47509304.149999999</v>
      </c>
      <c r="QB22" s="271">
        <v>96678338.890000015</v>
      </c>
      <c r="QC22" s="271">
        <v>30041447.490000002</v>
      </c>
      <c r="QD22" s="271">
        <v>88459013.370000005</v>
      </c>
      <c r="QE22" s="271">
        <v>32966810.84</v>
      </c>
      <c r="QF22" s="271">
        <v>38149119.509999998</v>
      </c>
      <c r="QG22" s="271">
        <v>55017817.739999995</v>
      </c>
      <c r="QH22" s="271">
        <v>73359136.289999992</v>
      </c>
      <c r="QI22" s="271">
        <v>76675727.170000002</v>
      </c>
      <c r="QJ22" s="271">
        <v>45453108.479999997</v>
      </c>
      <c r="QK22" s="271">
        <v>40980079.229999997</v>
      </c>
      <c r="QL22" s="271">
        <v>33691244.32</v>
      </c>
      <c r="QM22" s="271">
        <v>78857653.730000004</v>
      </c>
      <c r="QN22" s="271">
        <v>85172082.210000008</v>
      </c>
      <c r="QO22" s="271">
        <v>34304961.720000006</v>
      </c>
      <c r="QP22" s="271">
        <v>8941952.1500000004</v>
      </c>
      <c r="QQ22" s="271">
        <v>6513787.7400000002</v>
      </c>
      <c r="QR22" s="271">
        <v>8266980</v>
      </c>
      <c r="QS22" s="271">
        <v>7038492.5</v>
      </c>
      <c r="QT22" s="271">
        <v>408884815.57000005</v>
      </c>
      <c r="QU22" s="271">
        <v>32622530.640000001</v>
      </c>
      <c r="QV22" s="271">
        <v>85852386.419999987</v>
      </c>
      <c r="QW22" s="271">
        <v>58828495.189999998</v>
      </c>
      <c r="QX22" s="271">
        <v>53348701</v>
      </c>
      <c r="QY22" s="271">
        <v>77718916.969999999</v>
      </c>
      <c r="QZ22" s="271">
        <v>35270421.75</v>
      </c>
      <c r="RA22" s="271">
        <v>74984201.620000005</v>
      </c>
      <c r="RB22" s="271">
        <v>82881403.230000004</v>
      </c>
      <c r="RC22" s="271">
        <v>34437300</v>
      </c>
      <c r="RD22" s="271">
        <v>26668550</v>
      </c>
      <c r="RE22" s="271">
        <v>11847412</v>
      </c>
      <c r="RF22" s="271">
        <v>11197569.68</v>
      </c>
      <c r="RG22" s="271">
        <v>540805336.24000013</v>
      </c>
      <c r="RH22" s="271">
        <v>65824474.899999991</v>
      </c>
      <c r="RI22" s="271">
        <v>36150698.969999999</v>
      </c>
      <c r="RJ22" s="271">
        <v>49381858.200000003</v>
      </c>
      <c r="RK22" s="271">
        <v>47545480.640000001</v>
      </c>
      <c r="RL22" s="271">
        <v>50797479.299999997</v>
      </c>
      <c r="RM22" s="271">
        <v>84023069.270000011</v>
      </c>
      <c r="RN22" s="271">
        <v>35199932.240000002</v>
      </c>
      <c r="RO22" s="271">
        <v>42067870.270000003</v>
      </c>
      <c r="RP22" s="271">
        <v>77484917.080000013</v>
      </c>
      <c r="RQ22" s="271">
        <v>86299158.820000008</v>
      </c>
      <c r="RR22" s="271">
        <v>35333836.100000001</v>
      </c>
      <c r="RS22" s="271">
        <v>24221296.890000001</v>
      </c>
      <c r="RT22" s="271">
        <v>41605879.799999997</v>
      </c>
      <c r="RU22" s="271">
        <v>24711405.52</v>
      </c>
      <c r="RV22" s="271">
        <v>33669264.840000004</v>
      </c>
      <c r="RW22" s="271">
        <v>46259774.059999995</v>
      </c>
      <c r="RX22" s="271">
        <v>774280</v>
      </c>
      <c r="RY22" s="271">
        <v>504025.18</v>
      </c>
      <c r="RZ22" s="271">
        <v>595424.48</v>
      </c>
      <c r="SA22" s="271">
        <v>274559302.90999997</v>
      </c>
      <c r="SB22" s="271">
        <v>35521513.820000008</v>
      </c>
      <c r="SC22" s="271">
        <v>41623663.210000001</v>
      </c>
      <c r="SD22" s="271">
        <v>41181121.839999996</v>
      </c>
      <c r="SE22" s="271">
        <v>23573751.450000003</v>
      </c>
      <c r="SF22" s="271">
        <v>43731593.419999994</v>
      </c>
      <c r="SG22" s="271">
        <v>57467749.150000006</v>
      </c>
      <c r="SH22" s="271">
        <v>58918436.820000008</v>
      </c>
      <c r="SI22" s="271">
        <v>36700894.089999996</v>
      </c>
      <c r="SJ22" s="271">
        <v>32016170.579999998</v>
      </c>
      <c r="SK22" s="271">
        <v>80390293.799999997</v>
      </c>
      <c r="SL22" s="271">
        <v>7136010</v>
      </c>
      <c r="SM22" s="271">
        <v>127436657.27000003</v>
      </c>
      <c r="SN22" s="271">
        <v>31689717.82</v>
      </c>
      <c r="SO22" s="271">
        <v>36964147.369999997</v>
      </c>
      <c r="SP22" s="271">
        <v>56095102.789999999</v>
      </c>
      <c r="SQ22" s="271">
        <v>38098042.589999996</v>
      </c>
      <c r="SR22" s="271">
        <v>30386135.890000001</v>
      </c>
      <c r="SS22" s="271">
        <v>34395976.07</v>
      </c>
      <c r="ST22" s="271">
        <v>18622254.890000004</v>
      </c>
      <c r="SU22" s="271">
        <v>319163158.60000002</v>
      </c>
      <c r="SV22" s="271">
        <v>23940029.139999997</v>
      </c>
      <c r="SW22" s="271">
        <v>43794580.989999995</v>
      </c>
      <c r="SX22" s="271">
        <v>29247899.129999999</v>
      </c>
      <c r="SY22" s="271">
        <v>19255621.07</v>
      </c>
      <c r="SZ22" s="271">
        <v>29176191.239999995</v>
      </c>
      <c r="TA22" s="271">
        <v>31558741.470000003</v>
      </c>
      <c r="TB22" s="271">
        <v>91715314.309999987</v>
      </c>
      <c r="TC22" s="271">
        <v>32952437.569999997</v>
      </c>
      <c r="TD22" s="271">
        <v>28748699.810000002</v>
      </c>
      <c r="TE22" s="271">
        <v>31336734.18</v>
      </c>
      <c r="TF22" s="271">
        <v>54701474.520000003</v>
      </c>
      <c r="TG22" s="271">
        <v>27632594.57</v>
      </c>
      <c r="TH22" s="271">
        <v>17825662.259999998</v>
      </c>
      <c r="TI22" s="271">
        <v>489296798.32999998</v>
      </c>
      <c r="TJ22" s="271">
        <v>34478938.959999993</v>
      </c>
      <c r="TK22" s="271">
        <v>27841967.98</v>
      </c>
      <c r="TL22" s="271">
        <v>65443132.670000002</v>
      </c>
      <c r="TM22" s="271">
        <v>62776728.079999991</v>
      </c>
      <c r="TN22" s="271">
        <v>36765928.380000003</v>
      </c>
      <c r="TO22" s="271">
        <v>19909101.73</v>
      </c>
      <c r="TP22" s="271">
        <v>86705721.109999999</v>
      </c>
      <c r="TQ22" s="271">
        <v>33239850.48</v>
      </c>
      <c r="TR22" s="271">
        <v>51363460.729999989</v>
      </c>
      <c r="TS22" s="271">
        <v>63896726.400000006</v>
      </c>
      <c r="TT22" s="271">
        <v>32280585.59</v>
      </c>
      <c r="TU22" s="271">
        <v>26360373.84</v>
      </c>
      <c r="TV22" s="271">
        <v>42319684.439999998</v>
      </c>
      <c r="TW22" s="271">
        <v>30424916.270000003</v>
      </c>
      <c r="TX22" s="271">
        <v>26234595.379999999</v>
      </c>
      <c r="TY22" s="271">
        <v>141912227.08999997</v>
      </c>
      <c r="TZ22" s="271">
        <v>28015700.029999997</v>
      </c>
      <c r="UA22" s="271">
        <v>295531785.62</v>
      </c>
      <c r="UB22" s="271">
        <v>77513757.359999999</v>
      </c>
      <c r="UC22" s="271">
        <v>35446222.689999998</v>
      </c>
      <c r="UD22" s="271">
        <v>26795474.330000002</v>
      </c>
      <c r="UE22" s="271">
        <v>141983412.74000004</v>
      </c>
      <c r="UF22" s="271">
        <v>22198930</v>
      </c>
      <c r="UG22" s="271">
        <v>10932683.219999999</v>
      </c>
      <c r="UH22" s="271">
        <v>16629947.9</v>
      </c>
      <c r="UI22" s="271">
        <v>14228513.33</v>
      </c>
      <c r="UJ22" s="271">
        <v>201596552.54000002</v>
      </c>
      <c r="UK22" s="271">
        <v>54493835.040000007</v>
      </c>
      <c r="UL22" s="271">
        <v>40910864.760000005</v>
      </c>
      <c r="UM22" s="271">
        <v>59920852.32</v>
      </c>
      <c r="UN22" s="271">
        <v>38840202.75</v>
      </c>
      <c r="UO22" s="271">
        <v>22517449.739999998</v>
      </c>
      <c r="UP22" s="271">
        <v>736614936.56000006</v>
      </c>
      <c r="UQ22" s="271">
        <v>43143723.460000001</v>
      </c>
      <c r="UR22" s="271">
        <v>46298541.519999996</v>
      </c>
      <c r="US22" s="271">
        <v>125787094.19</v>
      </c>
      <c r="UT22" s="271">
        <v>13824092.26</v>
      </c>
      <c r="UU22" s="271">
        <v>35760083.510000005</v>
      </c>
      <c r="UV22" s="271">
        <v>84545934.099999994</v>
      </c>
      <c r="UW22" s="271">
        <v>32992738.48</v>
      </c>
      <c r="UX22" s="271">
        <v>24378315.02</v>
      </c>
      <c r="UY22" s="271">
        <v>33481066.77</v>
      </c>
      <c r="UZ22" s="271">
        <v>44523322.139999993</v>
      </c>
      <c r="VA22" s="271">
        <v>73246169.310000002</v>
      </c>
      <c r="VB22" s="271">
        <v>48178154.960000001</v>
      </c>
      <c r="VC22" s="271">
        <v>62338289.460000001</v>
      </c>
      <c r="VD22" s="271">
        <v>24547694.850000005</v>
      </c>
      <c r="VE22" s="271">
        <v>28326449.899999999</v>
      </c>
      <c r="VF22" s="271">
        <v>16165553.199999999</v>
      </c>
      <c r="VG22" s="271">
        <v>27473666.77</v>
      </c>
      <c r="VH22" s="271">
        <v>77071643.090000018</v>
      </c>
      <c r="VI22" s="271">
        <v>11255010.280000001</v>
      </c>
      <c r="VJ22" s="271">
        <v>12954795.339999998</v>
      </c>
      <c r="VK22" s="271">
        <v>13474652.039999999</v>
      </c>
      <c r="VL22" s="271">
        <v>404352865.81</v>
      </c>
      <c r="VM22" s="271">
        <v>48484270.660000004</v>
      </c>
      <c r="VN22" s="271">
        <v>48058767.350000001</v>
      </c>
      <c r="VO22" s="271">
        <v>55239755.479999997</v>
      </c>
      <c r="VP22" s="271">
        <v>69312385.11999999</v>
      </c>
      <c r="VQ22" s="271">
        <v>64575002.29999999</v>
      </c>
      <c r="VR22" s="271">
        <v>52158371.289999999</v>
      </c>
      <c r="VS22" s="271">
        <v>42308651.460000001</v>
      </c>
      <c r="VT22" s="271">
        <v>37612752.399999999</v>
      </c>
      <c r="VU22" s="271">
        <v>121112596.06</v>
      </c>
      <c r="VV22" s="271">
        <v>41357933.819999993</v>
      </c>
      <c r="VW22" s="271">
        <v>70617175.100000009</v>
      </c>
      <c r="VX22" s="271">
        <v>36421441.930000007</v>
      </c>
      <c r="VY22" s="271">
        <v>27631289.609999999</v>
      </c>
      <c r="VZ22" s="271">
        <v>31661376.779999997</v>
      </c>
      <c r="WA22" s="271">
        <v>1040094642.73</v>
      </c>
      <c r="WB22" s="271">
        <v>74939827.179999992</v>
      </c>
      <c r="WC22" s="271">
        <v>49787420.710000008</v>
      </c>
      <c r="WD22" s="271">
        <v>48658933.079999998</v>
      </c>
      <c r="WE22" s="271">
        <v>30717670.969999999</v>
      </c>
      <c r="WF22" s="271">
        <v>61094301.130000003</v>
      </c>
      <c r="WG22" s="271">
        <v>77316152.809999987</v>
      </c>
      <c r="WH22" s="271">
        <v>78001860.519999996</v>
      </c>
      <c r="WI22" s="271">
        <v>55721142.74000001</v>
      </c>
      <c r="WJ22" s="271">
        <v>72245174.860000014</v>
      </c>
      <c r="WK22" s="271">
        <v>49424997.020000003</v>
      </c>
      <c r="WL22" s="271">
        <v>87844926.420000002</v>
      </c>
      <c r="WM22" s="271">
        <v>55437678.210000001</v>
      </c>
      <c r="WN22" s="271">
        <v>81448551.799999997</v>
      </c>
      <c r="WO22" s="271">
        <v>94157562.829999998</v>
      </c>
      <c r="WP22" s="271">
        <v>50093895.819999993</v>
      </c>
      <c r="WQ22" s="271">
        <v>62736586.110000007</v>
      </c>
      <c r="WR22" s="271">
        <v>71367759.730000004</v>
      </c>
      <c r="WS22" s="271">
        <v>45816866.979999997</v>
      </c>
      <c r="WT22" s="271">
        <v>90815484.820000008</v>
      </c>
      <c r="WU22" s="271">
        <v>165101494.62</v>
      </c>
      <c r="WV22" s="271">
        <v>50618039.289999999</v>
      </c>
      <c r="WW22" s="271">
        <v>33663569.940000005</v>
      </c>
      <c r="WX22" s="271">
        <v>32208279.52</v>
      </c>
      <c r="WY22" s="271">
        <v>36799668.380000003</v>
      </c>
      <c r="WZ22" s="271">
        <v>24643264.260000002</v>
      </c>
      <c r="XA22" s="271">
        <v>29574604.82</v>
      </c>
      <c r="XB22" s="271">
        <v>27351510.760000002</v>
      </c>
      <c r="XC22" s="271">
        <v>107312028.59999999</v>
      </c>
      <c r="XD22" s="271">
        <v>16070229.66</v>
      </c>
      <c r="XE22" s="271">
        <v>10485664.83</v>
      </c>
      <c r="XF22" s="271">
        <v>11243225.16</v>
      </c>
      <c r="XG22" s="271">
        <v>10638359.189999999</v>
      </c>
      <c r="XH22" s="271">
        <v>551659610.11000001</v>
      </c>
      <c r="XI22" s="271">
        <v>52261223.520000003</v>
      </c>
      <c r="XJ22" s="271">
        <v>54644868.399999999</v>
      </c>
      <c r="XK22" s="271">
        <v>213418309.67000002</v>
      </c>
      <c r="XL22" s="271">
        <v>56507611.649999999</v>
      </c>
      <c r="XM22" s="271">
        <v>60100219.989999995</v>
      </c>
      <c r="XN22" s="271">
        <v>97002808.940000013</v>
      </c>
      <c r="XO22" s="271">
        <v>41402516.609999999</v>
      </c>
      <c r="XP22" s="271">
        <v>49812413.369999997</v>
      </c>
      <c r="XQ22" s="271">
        <v>87313237.25</v>
      </c>
      <c r="XR22" s="271">
        <v>62873950.810000002</v>
      </c>
      <c r="XS22" s="271">
        <v>34266855.140000001</v>
      </c>
      <c r="XT22" s="271">
        <v>31343401.629999999</v>
      </c>
      <c r="XU22" s="271">
        <v>34095968.43</v>
      </c>
      <c r="XV22" s="271">
        <v>31507614.760000002</v>
      </c>
      <c r="XW22" s="271">
        <v>32850945.879999995</v>
      </c>
      <c r="XX22" s="271">
        <v>21346314.289999999</v>
      </c>
      <c r="XY22" s="271">
        <v>26346349.559999999</v>
      </c>
      <c r="XZ22" s="271">
        <v>26251995.16</v>
      </c>
      <c r="YA22" s="271">
        <v>25655815.59</v>
      </c>
      <c r="YB22" s="271">
        <v>25464867.219999999</v>
      </c>
      <c r="YC22" s="271">
        <v>17058096.130000003</v>
      </c>
      <c r="YD22" s="271">
        <v>17090336.449999999</v>
      </c>
      <c r="YE22" s="271">
        <v>614316469.13999987</v>
      </c>
      <c r="YF22" s="271">
        <v>42608778.009999998</v>
      </c>
      <c r="YG22" s="271">
        <v>73149333.920000002</v>
      </c>
      <c r="YH22" s="271">
        <v>46424457.359999992</v>
      </c>
      <c r="YI22" s="271">
        <v>127913926.44000001</v>
      </c>
      <c r="YJ22" s="271">
        <v>47996236.370000005</v>
      </c>
      <c r="YK22" s="271">
        <v>74014896.87000002</v>
      </c>
      <c r="YL22" s="271">
        <v>30512607.240000002</v>
      </c>
      <c r="YM22" s="271">
        <v>85953775.829999998</v>
      </c>
      <c r="YN22" s="271">
        <v>80508535.309999987</v>
      </c>
      <c r="YO22" s="271">
        <v>58616925.520000003</v>
      </c>
      <c r="YP22" s="271">
        <v>34635603.439999998</v>
      </c>
      <c r="YQ22" s="271">
        <v>29083335.399999999</v>
      </c>
      <c r="YR22" s="271">
        <v>25230152.259999998</v>
      </c>
      <c r="YS22" s="271">
        <v>16785783.609999999</v>
      </c>
      <c r="YT22" s="271">
        <v>13926577.09</v>
      </c>
      <c r="YU22" s="271">
        <v>9709007.0899999999</v>
      </c>
      <c r="YV22" s="271">
        <v>261862136.72000006</v>
      </c>
      <c r="YW22" s="271">
        <v>45677952.159999996</v>
      </c>
      <c r="YX22" s="271">
        <v>42139660.650000006</v>
      </c>
      <c r="YY22" s="271">
        <v>34332144.409999996</v>
      </c>
      <c r="YZ22" s="271">
        <v>44860640.640000001</v>
      </c>
      <c r="ZA22" s="271">
        <v>32132770</v>
      </c>
      <c r="ZB22" s="271">
        <v>33290490</v>
      </c>
      <c r="ZC22" s="271">
        <v>291493076.94</v>
      </c>
      <c r="ZD22" s="271">
        <v>35363014.279999994</v>
      </c>
      <c r="ZE22" s="271">
        <v>42196833.440000005</v>
      </c>
      <c r="ZF22" s="271">
        <v>56284912.390000001</v>
      </c>
      <c r="ZG22" s="271">
        <v>32584527.41</v>
      </c>
      <c r="ZH22" s="271">
        <v>42983319.760000005</v>
      </c>
      <c r="ZI22" s="271">
        <v>30537820</v>
      </c>
      <c r="ZJ22" s="271">
        <v>28145249.689999998</v>
      </c>
      <c r="ZK22" s="271">
        <v>88655965.099999994</v>
      </c>
      <c r="ZL22" s="271">
        <v>432353554.34999996</v>
      </c>
      <c r="ZM22" s="271">
        <v>30307300.649999999</v>
      </c>
      <c r="ZN22" s="271">
        <v>80458409.63000001</v>
      </c>
      <c r="ZO22" s="271">
        <v>129005919.52</v>
      </c>
      <c r="ZP22" s="271">
        <v>87668213.719999999</v>
      </c>
      <c r="ZQ22" s="271">
        <v>40537238.159999996</v>
      </c>
      <c r="ZR22" s="271">
        <v>43530195.259999998</v>
      </c>
      <c r="ZS22" s="271">
        <v>77102168.959999993</v>
      </c>
      <c r="ZT22" s="271">
        <v>77954608.649999991</v>
      </c>
      <c r="ZU22" s="271">
        <v>92463885.819999993</v>
      </c>
      <c r="ZV22" s="271">
        <v>32150428.859999992</v>
      </c>
      <c r="ZW22" s="271">
        <v>32744612.279999997</v>
      </c>
      <c r="ZX22" s="271">
        <v>28024659.329999998</v>
      </c>
      <c r="ZY22" s="271">
        <v>43564402.869999997</v>
      </c>
      <c r="ZZ22" s="271">
        <v>36625666.579999998</v>
      </c>
      <c r="AAA22" s="271">
        <v>36471964.259999998</v>
      </c>
      <c r="AAB22" s="271">
        <v>33659491.670000002</v>
      </c>
      <c r="AAC22" s="271">
        <v>19063272.25</v>
      </c>
      <c r="AAD22" s="271">
        <v>21739802.899999999</v>
      </c>
      <c r="AAE22" s="271">
        <v>16121815.66</v>
      </c>
      <c r="AAF22" s="271">
        <v>15659087.33</v>
      </c>
      <c r="AAG22" s="271">
        <v>13404004.58</v>
      </c>
      <c r="AAH22" s="271">
        <v>225138461.45999998</v>
      </c>
      <c r="AAI22" s="271">
        <v>32084187.399999999</v>
      </c>
      <c r="AAJ22" s="271">
        <v>33487529.509999998</v>
      </c>
      <c r="AAK22" s="271">
        <v>39035592.789999999</v>
      </c>
      <c r="AAL22" s="271">
        <v>36637552.120000005</v>
      </c>
      <c r="AAM22" s="271">
        <v>37659606.18</v>
      </c>
      <c r="AAN22" s="271">
        <v>30430095.48</v>
      </c>
      <c r="AAO22" s="271">
        <v>982522143.93000007</v>
      </c>
      <c r="AAP22" s="271">
        <v>39318145.68</v>
      </c>
      <c r="AAQ22" s="271">
        <v>22335755.059999999</v>
      </c>
      <c r="AAR22" s="271">
        <v>65426375.519999996</v>
      </c>
      <c r="AAS22" s="271">
        <v>48244846.349999994</v>
      </c>
      <c r="AAT22" s="271">
        <v>36752435.060000002</v>
      </c>
      <c r="AAU22" s="271">
        <v>36641376.630000003</v>
      </c>
      <c r="AAV22" s="271">
        <v>45006959.119999997</v>
      </c>
      <c r="AAW22" s="271">
        <v>64149943.649999999</v>
      </c>
      <c r="AAX22" s="271">
        <v>23336044</v>
      </c>
      <c r="AAY22" s="271">
        <v>48628088.670000002</v>
      </c>
      <c r="AAZ22" s="271">
        <v>138307420.16</v>
      </c>
      <c r="ABA22" s="271">
        <v>69682645.349999994</v>
      </c>
      <c r="ABB22" s="271">
        <v>27616464</v>
      </c>
      <c r="ABC22" s="271">
        <v>28010561.880000003</v>
      </c>
      <c r="ABD22" s="271">
        <v>36694559.899999999</v>
      </c>
      <c r="ABE22" s="271">
        <v>22423067.239999998</v>
      </c>
      <c r="ABF22" s="271">
        <v>26341801.920000002</v>
      </c>
      <c r="ABG22" s="271">
        <v>19476634.350000001</v>
      </c>
      <c r="ABH22" s="271">
        <v>167622463.25000006</v>
      </c>
      <c r="ABI22" s="271">
        <v>115428974.13</v>
      </c>
      <c r="ABJ22" s="271">
        <v>16983214.030000001</v>
      </c>
      <c r="ABK22" s="271">
        <v>13175273.73</v>
      </c>
      <c r="ABL22" s="271">
        <v>16656320</v>
      </c>
      <c r="ABM22" s="271">
        <v>11504970.530000001</v>
      </c>
      <c r="ABN22" s="271">
        <v>17165753.979999997</v>
      </c>
      <c r="ABO22" s="271">
        <v>254862395.31999996</v>
      </c>
      <c r="ABP22" s="271">
        <v>43908842.469999999</v>
      </c>
      <c r="ABQ22" s="271">
        <v>23482280.02</v>
      </c>
      <c r="ABR22" s="271">
        <v>51088785.279999994</v>
      </c>
      <c r="ABS22" s="271">
        <v>56652488.199999996</v>
      </c>
      <c r="ABT22" s="271">
        <v>36749016.440000005</v>
      </c>
      <c r="ABU22" s="271">
        <v>34975340.989999995</v>
      </c>
      <c r="ABV22" s="271">
        <v>48576345.239999995</v>
      </c>
      <c r="ABW22" s="271">
        <v>9767296.2100000009</v>
      </c>
      <c r="ABX22" s="271">
        <v>337937113.09000003</v>
      </c>
      <c r="ABY22" s="271">
        <v>31358425.039999999</v>
      </c>
      <c r="ABZ22" s="271">
        <v>56522599.990000002</v>
      </c>
      <c r="ACA22" s="271">
        <v>38781555.18999999</v>
      </c>
      <c r="ACB22" s="271">
        <v>25345425.239999998</v>
      </c>
      <c r="ACC22" s="271">
        <v>91164634.49000001</v>
      </c>
      <c r="ACD22" s="271">
        <v>22312799.379999999</v>
      </c>
      <c r="ACE22" s="271">
        <v>44257338.909999996</v>
      </c>
      <c r="ACF22" s="271">
        <v>28872242</v>
      </c>
      <c r="ACG22" s="271">
        <v>58129584.670000002</v>
      </c>
      <c r="ACH22" s="271">
        <v>28728647.829999998</v>
      </c>
      <c r="ACI22" s="271">
        <v>648916611.55999982</v>
      </c>
      <c r="ACJ22" s="271">
        <v>40361745.440000005</v>
      </c>
      <c r="ACK22" s="271">
        <v>50801047.329999998</v>
      </c>
      <c r="ACL22" s="271">
        <v>77661857.689999998</v>
      </c>
      <c r="ACM22" s="271">
        <v>33962348.549999997</v>
      </c>
      <c r="ACN22" s="271">
        <v>45512539.469999999</v>
      </c>
      <c r="ACO22" s="271">
        <v>57200924.079999998</v>
      </c>
      <c r="ACP22" s="271">
        <v>122661156.10000001</v>
      </c>
      <c r="ACQ22" s="271">
        <v>169500631.05999997</v>
      </c>
      <c r="ACR22" s="271">
        <v>44563925.330000006</v>
      </c>
      <c r="ACS22" s="271">
        <v>42736625.320000008</v>
      </c>
      <c r="ACT22" s="271">
        <v>64077560.090000004</v>
      </c>
      <c r="ACU22" s="271">
        <v>50643672.600000001</v>
      </c>
      <c r="ACV22" s="271">
        <v>113411772.58</v>
      </c>
      <c r="ACW22" s="271">
        <v>38433341.490000002</v>
      </c>
      <c r="ACX22" s="271">
        <v>52551875.339999996</v>
      </c>
      <c r="ACY22" s="271">
        <v>33190548.260000002</v>
      </c>
      <c r="ACZ22" s="271">
        <v>20737577.710000001</v>
      </c>
      <c r="ADA22" s="271">
        <v>30029738.389999997</v>
      </c>
      <c r="ADB22" s="271">
        <v>17690520.220000003</v>
      </c>
      <c r="ADC22" s="271">
        <v>9234825.5099999998</v>
      </c>
      <c r="ADD22" s="271">
        <v>12387521.520000001</v>
      </c>
      <c r="ADE22" s="271">
        <v>18084817.259999998</v>
      </c>
      <c r="ADF22" s="271">
        <v>180422714.38</v>
      </c>
      <c r="ADG22" s="271">
        <v>158847549.41999999</v>
      </c>
      <c r="ADH22" s="271">
        <v>28956629.710000001</v>
      </c>
      <c r="ADI22" s="271">
        <v>29957997.119999997</v>
      </c>
      <c r="ADJ22" s="271">
        <v>42887764.369999997</v>
      </c>
      <c r="ADK22" s="271">
        <v>20504277.390000001</v>
      </c>
      <c r="ADL22" s="271">
        <v>38227189.25</v>
      </c>
      <c r="ADM22" s="271">
        <v>34936445</v>
      </c>
      <c r="ADN22" s="271">
        <v>37832515.559999995</v>
      </c>
      <c r="ADO22" s="271">
        <v>478073935.84000003</v>
      </c>
      <c r="ADP22" s="271">
        <v>72039274.50999999</v>
      </c>
      <c r="ADQ22" s="271">
        <v>78176545.609999985</v>
      </c>
      <c r="ADR22" s="271">
        <v>0</v>
      </c>
      <c r="ADS22" s="271">
        <v>220864092.78000003</v>
      </c>
      <c r="ADT22" s="271">
        <v>25408438.459999997</v>
      </c>
      <c r="ADU22" s="271">
        <v>29239732.390000001</v>
      </c>
      <c r="ADV22" s="271">
        <v>48233435.129999995</v>
      </c>
      <c r="ADW22" s="271">
        <v>20466701.540000003</v>
      </c>
      <c r="ADX22" s="271">
        <v>4665683.6500000004</v>
      </c>
      <c r="ADY22" s="271">
        <v>697178264.32000005</v>
      </c>
      <c r="ADZ22" s="271">
        <v>117035687.72000001</v>
      </c>
      <c r="AEA22" s="271">
        <v>90946400.129999995</v>
      </c>
      <c r="AEB22" s="271">
        <v>35578331.280000001</v>
      </c>
      <c r="AEC22" s="271">
        <v>21668424.649999999</v>
      </c>
      <c r="AED22" s="271">
        <v>52299618.659999996</v>
      </c>
      <c r="AEE22" s="271">
        <v>40199093.299999997</v>
      </c>
      <c r="AEF22" s="271">
        <v>38458327.409999996</v>
      </c>
      <c r="AEG22" s="271">
        <v>27396575.670000002</v>
      </c>
      <c r="AEH22" s="271">
        <v>29982316.449999999</v>
      </c>
      <c r="AEI22" s="271">
        <v>34943569.600000001</v>
      </c>
      <c r="AEJ22" s="271">
        <v>59404804.210000001</v>
      </c>
      <c r="AEK22" s="271">
        <v>35339904.509999998</v>
      </c>
      <c r="AEL22" s="271">
        <v>34168832.870000005</v>
      </c>
      <c r="AEM22" s="271">
        <v>47941185.939999998</v>
      </c>
      <c r="AEN22" s="271">
        <v>52863671.369999997</v>
      </c>
      <c r="AEO22" s="271">
        <v>28506178.93</v>
      </c>
      <c r="AEP22" s="271">
        <v>62125415.980000004</v>
      </c>
      <c r="AEQ22" s="271">
        <v>20021296.969999999</v>
      </c>
      <c r="AER22" s="271">
        <v>57959642.980000004</v>
      </c>
      <c r="AES22" s="271">
        <v>462699168.98000002</v>
      </c>
      <c r="AET22" s="271">
        <v>67394601</v>
      </c>
      <c r="AEU22" s="271">
        <v>69958122.170000002</v>
      </c>
      <c r="AEV22" s="271">
        <v>47070947.810000002</v>
      </c>
      <c r="AEW22" s="271">
        <v>40248321.479999989</v>
      </c>
      <c r="AEX22" s="271">
        <v>92492119.149999991</v>
      </c>
      <c r="AEY22" s="271">
        <v>46829412.069999993</v>
      </c>
      <c r="AEZ22" s="271">
        <v>60440740.159999996</v>
      </c>
      <c r="AFA22" s="271">
        <v>38879206.689999998</v>
      </c>
      <c r="AFB22" s="271">
        <v>16453274.399999999</v>
      </c>
      <c r="AFC22" s="271">
        <v>337090043.56999993</v>
      </c>
      <c r="AFD22" s="271">
        <v>215374080.48000002</v>
      </c>
      <c r="AFE22" s="271">
        <v>68613070.11999999</v>
      </c>
      <c r="AFF22" s="271">
        <v>71363998.030000016</v>
      </c>
      <c r="AFG22" s="271">
        <v>101137052.21000001</v>
      </c>
      <c r="AFH22" s="271">
        <v>79968885.5</v>
      </c>
      <c r="AFI22" s="271">
        <v>49400642.539999999</v>
      </c>
      <c r="AFJ22" s="271">
        <v>69344945.280000001</v>
      </c>
      <c r="AFK22" s="271">
        <v>42899386.25999999</v>
      </c>
      <c r="AFL22" s="271">
        <v>65687565.669999994</v>
      </c>
      <c r="AFM22" s="271">
        <v>54234212.200000003</v>
      </c>
      <c r="AFN22" s="271">
        <v>52792200.159999996</v>
      </c>
      <c r="AFO22" s="271">
        <v>73767748.549999997</v>
      </c>
      <c r="AFP22" s="271">
        <v>375474401.00999999</v>
      </c>
      <c r="AFQ22" s="271">
        <v>97608089.939999998</v>
      </c>
      <c r="AFR22" s="271">
        <v>63757910.840000004</v>
      </c>
      <c r="AFS22" s="271">
        <v>60204249.18</v>
      </c>
      <c r="AFT22" s="271">
        <v>60133493.460000001</v>
      </c>
      <c r="AFU22" s="271">
        <v>44962958.159999996</v>
      </c>
      <c r="AFV22" s="271">
        <v>38788073.600000001</v>
      </c>
      <c r="AFW22" s="271">
        <v>79245375.909999996</v>
      </c>
      <c r="AFX22" s="271">
        <v>68674592.870000005</v>
      </c>
      <c r="AFY22" s="271">
        <v>37555606.130000003</v>
      </c>
      <c r="AFZ22" s="271">
        <v>79760439.260000005</v>
      </c>
      <c r="AGA22" s="271">
        <v>37937148</v>
      </c>
      <c r="AGB22" s="271">
        <v>368358617.2899999</v>
      </c>
      <c r="AGC22" s="271">
        <v>30863648.739999998</v>
      </c>
      <c r="AGD22" s="271">
        <v>44637898.490000002</v>
      </c>
      <c r="AGE22" s="271">
        <v>45234272.630000003</v>
      </c>
      <c r="AGF22" s="271">
        <v>89154111.370000005</v>
      </c>
      <c r="AGG22" s="271">
        <v>41328441.68</v>
      </c>
      <c r="AGH22" s="271">
        <v>38865207.759999998</v>
      </c>
      <c r="AGI22" s="271">
        <v>42082178.690000005</v>
      </c>
      <c r="AGJ22" s="271">
        <v>34832877.520000003</v>
      </c>
      <c r="AGK22" s="271">
        <v>48137355.159999996</v>
      </c>
      <c r="AGL22" s="271">
        <v>20683359.030000001</v>
      </c>
      <c r="AGM22" s="271">
        <v>554971264.35000002</v>
      </c>
      <c r="AGN22" s="271">
        <v>140667011.69999999</v>
      </c>
      <c r="AGO22" s="271">
        <v>61511588.050000004</v>
      </c>
      <c r="AGP22" s="271">
        <v>36663240.88000001</v>
      </c>
      <c r="AGQ22" s="271">
        <v>74794381.239999995</v>
      </c>
      <c r="AGR22" s="271">
        <v>68038097.719999999</v>
      </c>
      <c r="AGS22" s="271">
        <v>34027895.789999999</v>
      </c>
      <c r="AGT22" s="271">
        <v>27629513.009999998</v>
      </c>
      <c r="AGU22" s="271">
        <v>726981074.01000011</v>
      </c>
      <c r="AGV22" s="271">
        <v>443583087.52999985</v>
      </c>
      <c r="AGW22" s="271">
        <v>51036250.919999994</v>
      </c>
      <c r="AGX22" s="271">
        <v>99726901.969999999</v>
      </c>
      <c r="AGY22" s="271">
        <v>110094879.36</v>
      </c>
      <c r="AGZ22" s="271">
        <v>77542072.230000019</v>
      </c>
      <c r="AHA22" s="271">
        <v>71638082.74000001</v>
      </c>
      <c r="AHB22" s="271">
        <v>60549397.900000006</v>
      </c>
      <c r="AHC22" s="271">
        <v>23102318.75</v>
      </c>
      <c r="AHD22" s="271">
        <v>53856779.439999998</v>
      </c>
      <c r="AHE22" s="271">
        <v>50955306.68</v>
      </c>
      <c r="AHF22" s="271">
        <v>36441612.31000001</v>
      </c>
      <c r="AHG22" s="271">
        <v>34847520.270000003</v>
      </c>
      <c r="AHH22" s="271">
        <v>30716545.400000002</v>
      </c>
      <c r="AHI22" s="271">
        <v>37311800.179999992</v>
      </c>
      <c r="AHJ22" s="271">
        <v>49668425.380000003</v>
      </c>
      <c r="AHK22" s="271">
        <v>32851221.440000001</v>
      </c>
      <c r="AHL22" s="271">
        <v>282602661.99999994</v>
      </c>
      <c r="AHM22" s="271">
        <v>54964823.399999999</v>
      </c>
      <c r="AHN22" s="271">
        <v>58696786.550000004</v>
      </c>
      <c r="AHO22" s="271">
        <v>48350898.339999996</v>
      </c>
      <c r="AHP22" s="271">
        <v>77707109.670000017</v>
      </c>
      <c r="AHQ22" s="294">
        <v>48692267.289999999</v>
      </c>
      <c r="AHR22" s="329">
        <v>14567793.870000001</v>
      </c>
      <c r="AHS22" s="294">
        <f t="shared" si="18"/>
        <v>74460381896.999985</v>
      </c>
      <c r="AHT22" s="269" t="b">
        <f t="shared" si="1"/>
        <v>1</v>
      </c>
      <c r="AHU22" s="269" t="s">
        <v>25</v>
      </c>
    </row>
    <row r="23" spans="1:905" ht="23.4" customHeight="1" x14ac:dyDescent="0.7">
      <c r="B23" s="268" t="s">
        <v>27</v>
      </c>
      <c r="C23" s="269" t="s">
        <v>28</v>
      </c>
      <c r="D23" s="271">
        <v>152365811.30000001</v>
      </c>
      <c r="E23" s="271">
        <v>13444344.010000002</v>
      </c>
      <c r="F23" s="271">
        <v>16282434</v>
      </c>
      <c r="G23" s="271">
        <v>10642629.75</v>
      </c>
      <c r="H23" s="271">
        <v>34419715.100000001</v>
      </c>
      <c r="I23" s="271">
        <v>12906561.26</v>
      </c>
      <c r="J23" s="271">
        <v>25390128</v>
      </c>
      <c r="K23" s="271">
        <v>19163669.259999998</v>
      </c>
      <c r="L23" s="271">
        <v>19730626.759999998</v>
      </c>
      <c r="M23" s="271">
        <v>17446153</v>
      </c>
      <c r="N23" s="271">
        <v>10195597</v>
      </c>
      <c r="O23" s="271">
        <v>9008493.5</v>
      </c>
      <c r="P23" s="271">
        <v>12693665</v>
      </c>
      <c r="Q23" s="271">
        <v>10205968</v>
      </c>
      <c r="R23" s="271">
        <v>9182927.1999999993</v>
      </c>
      <c r="S23" s="271">
        <v>16993057.149999999</v>
      </c>
      <c r="T23" s="271">
        <v>12873588.550000001</v>
      </c>
      <c r="U23" s="271">
        <v>5825143.4500000002</v>
      </c>
      <c r="V23" s="271">
        <v>115948559.78999999</v>
      </c>
      <c r="W23" s="271">
        <v>40893642.780000001</v>
      </c>
      <c r="X23" s="271">
        <v>11179389.92</v>
      </c>
      <c r="Y23" s="271">
        <v>18910439.890000001</v>
      </c>
      <c r="Z23" s="271">
        <v>14930092.52</v>
      </c>
      <c r="AA23" s="271">
        <v>10321989.960000001</v>
      </c>
      <c r="AB23" s="271">
        <v>7497739.1099999994</v>
      </c>
      <c r="AC23" s="271">
        <v>44181586.019999996</v>
      </c>
      <c r="AD23" s="271">
        <v>19206173.939999998</v>
      </c>
      <c r="AE23" s="271">
        <v>11079641.639999999</v>
      </c>
      <c r="AF23" s="271">
        <v>31487332.550000001</v>
      </c>
      <c r="AG23" s="271">
        <v>10295262.43</v>
      </c>
      <c r="AH23" s="271">
        <v>38537600.969999999</v>
      </c>
      <c r="AI23" s="271">
        <v>18750261.23</v>
      </c>
      <c r="AJ23" s="271">
        <v>13723555.77</v>
      </c>
      <c r="AK23" s="271">
        <v>7883875.7700000005</v>
      </c>
      <c r="AL23" s="271">
        <v>18446376.350000001</v>
      </c>
      <c r="AM23" s="271">
        <v>12838805</v>
      </c>
      <c r="AN23" s="271">
        <v>8209448.4699999997</v>
      </c>
      <c r="AO23" s="271">
        <v>9969389.7699999996</v>
      </c>
      <c r="AP23" s="271">
        <v>8784152.5600000005</v>
      </c>
      <c r="AQ23" s="271">
        <v>9008860.1199999992</v>
      </c>
      <c r="AR23" s="271">
        <v>5744128.29</v>
      </c>
      <c r="AS23" s="271">
        <v>8211455.9000000004</v>
      </c>
      <c r="AT23" s="271">
        <v>101313972.46000001</v>
      </c>
      <c r="AU23" s="271">
        <v>5091285</v>
      </c>
      <c r="AV23" s="271">
        <v>4602956.6100000003</v>
      </c>
      <c r="AW23" s="271">
        <v>6478580</v>
      </c>
      <c r="AX23" s="271">
        <v>9681530</v>
      </c>
      <c r="AY23" s="271">
        <v>14124894.280000001</v>
      </c>
      <c r="AZ23" s="271">
        <v>7191447</v>
      </c>
      <c r="BA23" s="271">
        <v>7312991.6400000006</v>
      </c>
      <c r="BB23" s="271">
        <v>4523977.42</v>
      </c>
      <c r="BC23" s="271">
        <v>5308779</v>
      </c>
      <c r="BD23" s="271">
        <v>3307719.02</v>
      </c>
      <c r="BE23" s="271">
        <v>4014484.5</v>
      </c>
      <c r="BF23" s="271">
        <v>22206097</v>
      </c>
      <c r="BG23" s="271">
        <v>3354147</v>
      </c>
      <c r="BH23" s="271">
        <v>3654216.16</v>
      </c>
      <c r="BI23" s="271">
        <v>48818116.5</v>
      </c>
      <c r="BJ23" s="271">
        <v>28669185</v>
      </c>
      <c r="BK23" s="271">
        <v>8044264.0800000001</v>
      </c>
      <c r="BL23" s="271">
        <v>7818086.1799999997</v>
      </c>
      <c r="BM23" s="271">
        <v>10244963.83</v>
      </c>
      <c r="BN23" s="271">
        <v>7810685.5299999993</v>
      </c>
      <c r="BO23" s="271">
        <v>7373564</v>
      </c>
      <c r="BP23" s="271">
        <v>2023812</v>
      </c>
      <c r="BQ23" s="271">
        <v>1663659.5</v>
      </c>
      <c r="BR23" s="271">
        <v>60963384</v>
      </c>
      <c r="BS23" s="271">
        <v>9951160.6600000001</v>
      </c>
      <c r="BT23" s="271">
        <v>9728399</v>
      </c>
      <c r="BU23" s="271">
        <v>10152802.800000001</v>
      </c>
      <c r="BV23" s="271">
        <v>9271719</v>
      </c>
      <c r="BW23" s="271">
        <v>7950721.2000000002</v>
      </c>
      <c r="BX23" s="271">
        <v>6323875.5</v>
      </c>
      <c r="BY23" s="271">
        <v>9383293</v>
      </c>
      <c r="BZ23" s="271">
        <v>28430357.27</v>
      </c>
      <c r="CA23" s="271">
        <v>7897934.6800000006</v>
      </c>
      <c r="CB23" s="271">
        <v>12873044.600000001</v>
      </c>
      <c r="CC23" s="271">
        <v>25484003.649999999</v>
      </c>
      <c r="CD23" s="271">
        <v>8145070.4000000004</v>
      </c>
      <c r="CE23" s="271">
        <v>11537721.91</v>
      </c>
      <c r="CF23" s="271">
        <v>7755091</v>
      </c>
      <c r="CG23" s="271">
        <v>103999360.10000002</v>
      </c>
      <c r="CH23" s="271">
        <v>7087959.4399999995</v>
      </c>
      <c r="CI23" s="271">
        <v>21505332.009999998</v>
      </c>
      <c r="CJ23" s="271">
        <v>7133924</v>
      </c>
      <c r="CK23" s="271">
        <v>7264967</v>
      </c>
      <c r="CL23" s="271">
        <v>6199193.8700000001</v>
      </c>
      <c r="CM23" s="271">
        <v>8102179.1899999995</v>
      </c>
      <c r="CN23" s="271">
        <v>14169465.01</v>
      </c>
      <c r="CO23" s="271">
        <v>4094037.8</v>
      </c>
      <c r="CP23" s="271">
        <v>7878708.2899999991</v>
      </c>
      <c r="CQ23" s="271">
        <v>8051229.5</v>
      </c>
      <c r="CR23" s="271">
        <v>7133459.6200000001</v>
      </c>
      <c r="CS23" s="271">
        <v>5315064.84</v>
      </c>
      <c r="CT23" s="271">
        <v>70764424.780000001</v>
      </c>
      <c r="CU23" s="271">
        <v>7720671.7000000002</v>
      </c>
      <c r="CV23" s="271">
        <v>4717074</v>
      </c>
      <c r="CW23" s="271">
        <v>20091405.98</v>
      </c>
      <c r="CX23" s="271">
        <v>5605357.3900000006</v>
      </c>
      <c r="CY23" s="271">
        <v>18847580.619999997</v>
      </c>
      <c r="CZ23" s="271">
        <v>5399730</v>
      </c>
      <c r="DA23" s="271">
        <v>3669280.66</v>
      </c>
      <c r="DB23" s="271">
        <v>36972823.870000005</v>
      </c>
      <c r="DC23" s="271">
        <v>78896131</v>
      </c>
      <c r="DD23" s="271">
        <v>11922608.399999999</v>
      </c>
      <c r="DE23" s="271">
        <v>11535281.23</v>
      </c>
      <c r="DF23" s="271">
        <v>23063820.59</v>
      </c>
      <c r="DG23" s="271">
        <v>25028678.800000001</v>
      </c>
      <c r="DH23" s="271">
        <v>23358642</v>
      </c>
      <c r="DI23" s="271">
        <v>25207847.550000001</v>
      </c>
      <c r="DJ23" s="271">
        <v>7603909</v>
      </c>
      <c r="DK23" s="271">
        <v>165107813</v>
      </c>
      <c r="DL23" s="271">
        <v>10484071</v>
      </c>
      <c r="DM23" s="271">
        <v>12749057.779999999</v>
      </c>
      <c r="DN23" s="271">
        <v>6946872.7200000007</v>
      </c>
      <c r="DO23" s="271">
        <v>12110708.68</v>
      </c>
      <c r="DP23" s="271">
        <v>10824142.24</v>
      </c>
      <c r="DQ23" s="271">
        <v>14539291.779999999</v>
      </c>
      <c r="DR23" s="271">
        <v>9498461.1899999995</v>
      </c>
      <c r="DS23" s="271">
        <v>18498734.98</v>
      </c>
      <c r="DT23" s="271">
        <v>90413757.549999997</v>
      </c>
      <c r="DU23" s="271">
        <v>14456094</v>
      </c>
      <c r="DV23" s="271">
        <v>32873102.73</v>
      </c>
      <c r="DW23" s="271">
        <v>48150002.5</v>
      </c>
      <c r="DX23" s="271">
        <v>13322572.66</v>
      </c>
      <c r="DY23" s="271">
        <v>29290903.68</v>
      </c>
      <c r="DZ23" s="271">
        <v>17367492.98</v>
      </c>
      <c r="EA23" s="271">
        <v>5365476.8099999996</v>
      </c>
      <c r="EB23" s="271">
        <v>10020719.07</v>
      </c>
      <c r="EC23" s="271">
        <v>10555642.73</v>
      </c>
      <c r="ED23" s="271">
        <v>17762843</v>
      </c>
      <c r="EE23" s="271">
        <v>33578732.549999997</v>
      </c>
      <c r="EF23" s="271">
        <v>40839650.039999999</v>
      </c>
      <c r="EG23" s="271">
        <v>9307780.9600000009</v>
      </c>
      <c r="EH23" s="271">
        <v>13849983</v>
      </c>
      <c r="EI23" s="271">
        <v>7121460.1500000004</v>
      </c>
      <c r="EJ23" s="271">
        <v>10749096.620000001</v>
      </c>
      <c r="EK23" s="271">
        <v>14578001.609999999</v>
      </c>
      <c r="EL23" s="271">
        <v>5342834</v>
      </c>
      <c r="EM23" s="271">
        <v>7586308.1200000001</v>
      </c>
      <c r="EN23" s="271">
        <v>109984417.86</v>
      </c>
      <c r="EO23" s="271">
        <v>8773568.6199999992</v>
      </c>
      <c r="EP23" s="271">
        <v>9049493.2899999991</v>
      </c>
      <c r="EQ23" s="271">
        <v>10624985.77</v>
      </c>
      <c r="ER23" s="271">
        <v>6529805</v>
      </c>
      <c r="ES23" s="271">
        <v>4905040.3900000006</v>
      </c>
      <c r="ET23" s="271">
        <v>14723925.999999998</v>
      </c>
      <c r="EU23" s="271">
        <v>8109485.0300000003</v>
      </c>
      <c r="EV23" s="271">
        <v>9481117</v>
      </c>
      <c r="EW23" s="271">
        <v>70636047.909999996</v>
      </c>
      <c r="EX23" s="271">
        <v>4199908.1500000004</v>
      </c>
      <c r="EY23" s="271">
        <v>9440238.1400000006</v>
      </c>
      <c r="EZ23" s="271">
        <v>9999203.5</v>
      </c>
      <c r="FA23" s="271">
        <v>14830485.379999999</v>
      </c>
      <c r="FB23" s="271">
        <v>14950721.09</v>
      </c>
      <c r="FC23" s="271">
        <v>10939145.5</v>
      </c>
      <c r="FD23" s="271">
        <v>9295503.1600000001</v>
      </c>
      <c r="FE23" s="271">
        <v>7975396</v>
      </c>
      <c r="FF23" s="271">
        <v>6772420.9299999997</v>
      </c>
      <c r="FG23" s="271">
        <v>9224287.8499999996</v>
      </c>
      <c r="FH23" s="271">
        <v>5560035</v>
      </c>
      <c r="FI23" s="271">
        <v>41916052</v>
      </c>
      <c r="FJ23" s="271">
        <v>6667491</v>
      </c>
      <c r="FK23" s="271">
        <v>6849785.9299999997</v>
      </c>
      <c r="FL23" s="271">
        <v>5624616.8300000001</v>
      </c>
      <c r="FM23" s="271">
        <v>12768443.710000001</v>
      </c>
      <c r="FN23" s="271">
        <v>10886324.300000001</v>
      </c>
      <c r="FO23" s="271">
        <v>5638257.8399999999</v>
      </c>
      <c r="FP23" s="271">
        <v>3060330</v>
      </c>
      <c r="FQ23" s="271">
        <v>123571267.59</v>
      </c>
      <c r="FR23" s="271">
        <v>11452879</v>
      </c>
      <c r="FS23" s="271">
        <v>13096122</v>
      </c>
      <c r="FT23" s="271">
        <v>12550288.239999998</v>
      </c>
      <c r="FU23" s="271">
        <v>18461050</v>
      </c>
      <c r="FV23" s="271">
        <v>9864094.2699999996</v>
      </c>
      <c r="FW23" s="271">
        <v>20166171.100000001</v>
      </c>
      <c r="FX23" s="271">
        <v>12707484</v>
      </c>
      <c r="FY23" s="271">
        <v>11405915.039999999</v>
      </c>
      <c r="FZ23" s="271">
        <v>9921226.9700000007</v>
      </c>
      <c r="GA23" s="271">
        <v>17947707.5</v>
      </c>
      <c r="GB23" s="271">
        <v>10590388.57</v>
      </c>
      <c r="GC23" s="271">
        <v>8845532.0600000005</v>
      </c>
      <c r="GD23" s="271">
        <v>5261629.5</v>
      </c>
      <c r="GE23" s="271">
        <v>51615363.219999999</v>
      </c>
      <c r="GF23" s="271">
        <v>6878843.8100000005</v>
      </c>
      <c r="GG23" s="271">
        <v>6272721.2500000009</v>
      </c>
      <c r="GH23" s="271">
        <v>14678075.360000001</v>
      </c>
      <c r="GI23" s="271">
        <v>10607149.240000002</v>
      </c>
      <c r="GJ23" s="271">
        <v>8667553.6899999995</v>
      </c>
      <c r="GK23" s="271">
        <v>8157971.3000000007</v>
      </c>
      <c r="GL23" s="271">
        <v>17042925.729999997</v>
      </c>
      <c r="GM23" s="271">
        <v>6097846.0800000001</v>
      </c>
      <c r="GN23" s="271">
        <v>3702643.3800000004</v>
      </c>
      <c r="GO23" s="271">
        <v>3516437.63</v>
      </c>
      <c r="GP23" s="271">
        <v>3025384.4</v>
      </c>
      <c r="GQ23" s="271">
        <v>31659801</v>
      </c>
      <c r="GR23" s="271">
        <v>14585775.49</v>
      </c>
      <c r="GS23" s="271">
        <v>9718990.75</v>
      </c>
      <c r="GT23" s="271">
        <v>17320544.379999999</v>
      </c>
      <c r="GU23" s="271">
        <v>3959917.3</v>
      </c>
      <c r="GV23" s="271">
        <v>12540816.720000001</v>
      </c>
      <c r="GW23" s="271">
        <v>12024459.819999998</v>
      </c>
      <c r="GX23" s="271">
        <v>6355696.6200000001</v>
      </c>
      <c r="GY23" s="271">
        <v>31413831.159999996</v>
      </c>
      <c r="GZ23" s="271">
        <v>3230980.52</v>
      </c>
      <c r="HA23" s="271">
        <v>10066361.49</v>
      </c>
      <c r="HB23" s="271">
        <v>6686658.6600000001</v>
      </c>
      <c r="HC23" s="271">
        <v>100803050</v>
      </c>
      <c r="HD23" s="271">
        <v>21642863</v>
      </c>
      <c r="HE23" s="271">
        <v>21160911.75</v>
      </c>
      <c r="HF23" s="271">
        <v>12848295.780000001</v>
      </c>
      <c r="HG23" s="271">
        <v>12976579.779999999</v>
      </c>
      <c r="HH23" s="271">
        <v>24734872</v>
      </c>
      <c r="HI23" s="271">
        <v>4530419.25</v>
      </c>
      <c r="HJ23" s="271">
        <v>88207692.539999992</v>
      </c>
      <c r="HK23" s="271">
        <v>12771034.289999999</v>
      </c>
      <c r="HL23" s="271">
        <v>11160539.75</v>
      </c>
      <c r="HM23" s="271">
        <v>8405758.25</v>
      </c>
      <c r="HN23" s="271">
        <v>7000160.3499999996</v>
      </c>
      <c r="HO23" s="271">
        <v>6925094</v>
      </c>
      <c r="HP23" s="271">
        <v>9184497.5399999991</v>
      </c>
      <c r="HQ23" s="271">
        <v>8198966.2999999998</v>
      </c>
      <c r="HR23" s="271">
        <v>88005768.450000003</v>
      </c>
      <c r="HS23" s="271">
        <v>26915844.16</v>
      </c>
      <c r="HT23" s="271">
        <v>6712490</v>
      </c>
      <c r="HU23" s="271">
        <v>4512891.2300000004</v>
      </c>
      <c r="HV23" s="271">
        <v>5885303.8100000005</v>
      </c>
      <c r="HW23" s="271">
        <v>3167794</v>
      </c>
      <c r="HX23" s="271">
        <v>11109047.73</v>
      </c>
      <c r="HY23" s="271">
        <v>5748309.6899999995</v>
      </c>
      <c r="HZ23" s="271">
        <v>4827580.59</v>
      </c>
      <c r="IA23" s="271">
        <v>6972414</v>
      </c>
      <c r="IB23" s="271">
        <v>6055632</v>
      </c>
      <c r="IC23" s="271">
        <v>11281467.790000001</v>
      </c>
      <c r="ID23" s="271">
        <v>2907189.9</v>
      </c>
      <c r="IE23" s="271">
        <v>10746869</v>
      </c>
      <c r="IF23" s="271">
        <v>4466137.54</v>
      </c>
      <c r="IG23" s="271">
        <v>4457469.42</v>
      </c>
      <c r="IH23" s="271">
        <v>68767439.810000002</v>
      </c>
      <c r="II23" s="271">
        <v>27742172.449999999</v>
      </c>
      <c r="IJ23" s="271">
        <v>10310883.239999998</v>
      </c>
      <c r="IK23" s="271">
        <v>11366748.710000001</v>
      </c>
      <c r="IL23" s="271">
        <v>31235506.859999999</v>
      </c>
      <c r="IM23" s="271">
        <v>9846545.0500000007</v>
      </c>
      <c r="IN23" s="271">
        <v>8695756.0899999999</v>
      </c>
      <c r="IO23" s="271">
        <v>6439606</v>
      </c>
      <c r="IP23" s="271">
        <v>6963968.5899999999</v>
      </c>
      <c r="IQ23" s="271">
        <v>5880098</v>
      </c>
      <c r="IR23" s="271">
        <v>6075435.25</v>
      </c>
      <c r="IS23" s="271">
        <v>108153419</v>
      </c>
      <c r="IT23" s="271">
        <v>40338410.129999995</v>
      </c>
      <c r="IU23" s="271">
        <v>12966771</v>
      </c>
      <c r="IV23" s="271">
        <v>10465402</v>
      </c>
      <c r="IW23" s="271">
        <v>7555850.0700000003</v>
      </c>
      <c r="IX23" s="271">
        <v>4265489.5999999996</v>
      </c>
      <c r="IY23" s="271">
        <v>9184595.4499999993</v>
      </c>
      <c r="IZ23" s="271">
        <v>4950799.0500000007</v>
      </c>
      <c r="JA23" s="271">
        <v>5228250</v>
      </c>
      <c r="JB23" s="271">
        <v>10340216</v>
      </c>
      <c r="JC23" s="271">
        <v>14788800</v>
      </c>
      <c r="JD23" s="271">
        <v>8668815</v>
      </c>
      <c r="JE23" s="271">
        <v>37218699.5</v>
      </c>
      <c r="JF23" s="271">
        <v>21768717.440000001</v>
      </c>
      <c r="JG23" s="271">
        <v>2924830</v>
      </c>
      <c r="JH23" s="271">
        <v>3146650.99</v>
      </c>
      <c r="JI23" s="271">
        <v>4669477.26</v>
      </c>
      <c r="JJ23" s="271">
        <v>2602603.9900000002</v>
      </c>
      <c r="JK23" s="271">
        <v>45072108.659999996</v>
      </c>
      <c r="JL23" s="271">
        <v>6340922</v>
      </c>
      <c r="JM23" s="271">
        <v>8319707.6600000001</v>
      </c>
      <c r="JN23" s="271">
        <v>10897151.82</v>
      </c>
      <c r="JO23" s="271">
        <v>6495097.8100000005</v>
      </c>
      <c r="JP23" s="271">
        <v>14170581.379999999</v>
      </c>
      <c r="JQ23" s="271">
        <v>4022163</v>
      </c>
      <c r="JR23" s="271">
        <v>77277610</v>
      </c>
      <c r="JS23" s="271">
        <v>38830192.700000003</v>
      </c>
      <c r="JT23" s="271">
        <v>7857256</v>
      </c>
      <c r="JU23" s="271">
        <v>5196566.0999999996</v>
      </c>
      <c r="JV23" s="271">
        <v>11921116</v>
      </c>
      <c r="JW23" s="271">
        <v>3601738</v>
      </c>
      <c r="JX23" s="271">
        <v>22289163</v>
      </c>
      <c r="JY23" s="271">
        <v>13633831</v>
      </c>
      <c r="JZ23" s="271">
        <v>8079181</v>
      </c>
      <c r="KA23" s="271">
        <v>10678988.870000001</v>
      </c>
      <c r="KB23" s="271">
        <v>7781538.1300000008</v>
      </c>
      <c r="KC23" s="271">
        <v>8644801</v>
      </c>
      <c r="KD23" s="271">
        <v>8907623.2300000004</v>
      </c>
      <c r="KE23" s="271">
        <v>3484209</v>
      </c>
      <c r="KF23" s="271">
        <v>6248434.5</v>
      </c>
      <c r="KG23" s="271">
        <v>1999400</v>
      </c>
      <c r="KH23" s="271">
        <v>140901547.36000001</v>
      </c>
      <c r="KI23" s="271">
        <v>20696306.080000002</v>
      </c>
      <c r="KJ23" s="271">
        <v>8834815.2699999996</v>
      </c>
      <c r="KK23" s="271">
        <v>13504660.02</v>
      </c>
      <c r="KL23" s="271">
        <v>14552332.580000002</v>
      </c>
      <c r="KM23" s="271">
        <v>7408215.1399999997</v>
      </c>
      <c r="KN23" s="271">
        <v>33406262.909999996</v>
      </c>
      <c r="KO23" s="271">
        <v>6851762.1899999995</v>
      </c>
      <c r="KP23" s="271">
        <v>8390708.3900000006</v>
      </c>
      <c r="KQ23" s="271">
        <v>50034561.25</v>
      </c>
      <c r="KR23" s="271">
        <v>13406743</v>
      </c>
      <c r="KS23" s="271">
        <v>15026768.76</v>
      </c>
      <c r="KT23" s="271">
        <v>23784695</v>
      </c>
      <c r="KU23" s="271">
        <v>8305500.6699999999</v>
      </c>
      <c r="KV23" s="271">
        <v>24248314.989999998</v>
      </c>
      <c r="KW23" s="271">
        <v>77572887.899999991</v>
      </c>
      <c r="KX23" s="271">
        <v>16388444.5</v>
      </c>
      <c r="KY23" s="271">
        <v>63238689.229999997</v>
      </c>
      <c r="KZ23" s="271">
        <v>6083761.9000000004</v>
      </c>
      <c r="LA23" s="271">
        <v>5721850</v>
      </c>
      <c r="LB23" s="271">
        <v>22630317.359999999</v>
      </c>
      <c r="LC23" s="271">
        <v>16698716.27</v>
      </c>
      <c r="LD23" s="271">
        <v>8204543</v>
      </c>
      <c r="LE23" s="271">
        <v>8551709.1799999997</v>
      </c>
      <c r="LF23" s="271">
        <v>8274596.3700000001</v>
      </c>
      <c r="LG23" s="271">
        <v>142829388.5</v>
      </c>
      <c r="LH23" s="271">
        <v>31619975.25</v>
      </c>
      <c r="LI23" s="271">
        <v>39225912.32</v>
      </c>
      <c r="LJ23" s="271">
        <v>33931894.660000004</v>
      </c>
      <c r="LK23" s="271">
        <v>14919887.49</v>
      </c>
      <c r="LL23" s="271">
        <v>7422307.9699999997</v>
      </c>
      <c r="LM23" s="271">
        <v>6355805</v>
      </c>
      <c r="LN23" s="271">
        <v>11216272.439999999</v>
      </c>
      <c r="LO23" s="271">
        <v>6842592.7000000002</v>
      </c>
      <c r="LP23" s="271">
        <v>12406069.5</v>
      </c>
      <c r="LQ23" s="271">
        <v>6464603.3099999996</v>
      </c>
      <c r="LR23" s="271">
        <v>40838447.510000005</v>
      </c>
      <c r="LS23" s="271">
        <v>8549070.6099999994</v>
      </c>
      <c r="LT23" s="271">
        <v>4806669</v>
      </c>
      <c r="LU23" s="271">
        <v>156826354.35999998</v>
      </c>
      <c r="LV23" s="271">
        <v>48133027.600000001</v>
      </c>
      <c r="LW23" s="271">
        <v>101991154</v>
      </c>
      <c r="LX23" s="271">
        <v>35212654.519999996</v>
      </c>
      <c r="LY23" s="271">
        <v>17396397.370000001</v>
      </c>
      <c r="LZ23" s="271">
        <v>17631317.640000001</v>
      </c>
      <c r="MA23" s="271">
        <v>12242042.109999999</v>
      </c>
      <c r="MB23" s="271">
        <v>12012254.42</v>
      </c>
      <c r="MC23" s="271">
        <v>8824788</v>
      </c>
      <c r="MD23" s="271">
        <v>12243146</v>
      </c>
      <c r="ME23" s="271">
        <v>31318795.620000001</v>
      </c>
      <c r="MF23" s="271">
        <v>8965697.5999999996</v>
      </c>
      <c r="MG23" s="271">
        <v>146190265.5</v>
      </c>
      <c r="MH23" s="271">
        <v>9292099.5899999999</v>
      </c>
      <c r="MI23" s="271">
        <v>5038330.01</v>
      </c>
      <c r="MJ23" s="271">
        <v>5016560.57</v>
      </c>
      <c r="MK23" s="271">
        <v>5242983.0999999996</v>
      </c>
      <c r="ML23" s="271">
        <v>10040541.510000002</v>
      </c>
      <c r="MM23" s="271">
        <v>9026676.9100000001</v>
      </c>
      <c r="MN23" s="271">
        <v>9122221.1900000013</v>
      </c>
      <c r="MO23" s="271">
        <v>11962519</v>
      </c>
      <c r="MP23" s="271">
        <v>7683960.96</v>
      </c>
      <c r="MQ23" s="271">
        <v>6981255.0600000005</v>
      </c>
      <c r="MR23" s="271">
        <v>5694875</v>
      </c>
      <c r="MS23" s="271">
        <v>82894171.959999993</v>
      </c>
      <c r="MT23" s="271">
        <v>10019723.65</v>
      </c>
      <c r="MU23" s="271">
        <v>8487452.25</v>
      </c>
      <c r="MV23" s="271">
        <v>15511139</v>
      </c>
      <c r="MW23" s="271">
        <v>15997334.75</v>
      </c>
      <c r="MX23" s="271">
        <v>9759124.5</v>
      </c>
      <c r="MY23" s="271">
        <v>24133262.43</v>
      </c>
      <c r="MZ23" s="271">
        <v>16142236</v>
      </c>
      <c r="NA23" s="271">
        <v>11838636</v>
      </c>
      <c r="NB23" s="271">
        <v>3545418</v>
      </c>
      <c r="NC23" s="271">
        <v>3255951</v>
      </c>
      <c r="ND23" s="271">
        <v>209352832.42999998</v>
      </c>
      <c r="NE23" s="271">
        <v>29883433.369999997</v>
      </c>
      <c r="NF23" s="271">
        <v>5628805</v>
      </c>
      <c r="NG23" s="271">
        <v>75633375.299999997</v>
      </c>
      <c r="NH23" s="271">
        <v>7073272.6299999999</v>
      </c>
      <c r="NI23" s="271">
        <v>24229361.490000002</v>
      </c>
      <c r="NJ23" s="271">
        <v>43891694.75</v>
      </c>
      <c r="NK23" s="271">
        <v>34833941.439999998</v>
      </c>
      <c r="NL23" s="271">
        <v>2287515</v>
      </c>
      <c r="NM23" s="271">
        <v>10505249.789999999</v>
      </c>
      <c r="NN23" s="271">
        <v>7246788.8700000001</v>
      </c>
      <c r="NO23" s="271">
        <v>9880934.9800000004</v>
      </c>
      <c r="NP23" s="271">
        <v>52325719.630000003</v>
      </c>
      <c r="NQ23" s="271">
        <v>6441277.9900000002</v>
      </c>
      <c r="NR23" s="271">
        <v>7837776.1600000001</v>
      </c>
      <c r="NS23" s="271">
        <v>6940821.5899999999</v>
      </c>
      <c r="NT23" s="271">
        <v>7406652.0299999993</v>
      </c>
      <c r="NU23" s="271">
        <v>3369313.1</v>
      </c>
      <c r="NV23" s="271">
        <v>5562879.4300000006</v>
      </c>
      <c r="NW23" s="271">
        <v>68116783.810000017</v>
      </c>
      <c r="NX23" s="271">
        <v>38292736.380000003</v>
      </c>
      <c r="NY23" s="271">
        <v>7426091</v>
      </c>
      <c r="NZ23" s="271">
        <v>4240456.4000000004</v>
      </c>
      <c r="OA23" s="271">
        <v>6714003.7300000004</v>
      </c>
      <c r="OB23" s="271">
        <v>11233235.370000001</v>
      </c>
      <c r="OC23" s="271">
        <v>4998640.6900000004</v>
      </c>
      <c r="OD23" s="271">
        <v>86347261.239999995</v>
      </c>
      <c r="OE23" s="271">
        <v>24794571.890000001</v>
      </c>
      <c r="OF23" s="271">
        <v>11559223.020000001</v>
      </c>
      <c r="OG23" s="271">
        <v>37528564.140000001</v>
      </c>
      <c r="OH23" s="271">
        <v>9533460.9699999988</v>
      </c>
      <c r="OI23" s="271">
        <v>12536659.699999999</v>
      </c>
      <c r="OJ23" s="271">
        <v>15155343.600000001</v>
      </c>
      <c r="OK23" s="271">
        <v>5418383.8799999999</v>
      </c>
      <c r="OL23" s="271">
        <v>6343887.6000000006</v>
      </c>
      <c r="OM23" s="271">
        <v>98417464.599999994</v>
      </c>
      <c r="ON23" s="271">
        <v>32515774.240000002</v>
      </c>
      <c r="OO23" s="271">
        <v>36458336.030000001</v>
      </c>
      <c r="OP23" s="271">
        <v>23875773.420000002</v>
      </c>
      <c r="OQ23" s="271">
        <v>12619792</v>
      </c>
      <c r="OR23" s="271">
        <v>8833057.6699999999</v>
      </c>
      <c r="OS23" s="271">
        <v>69408757.5</v>
      </c>
      <c r="OT23" s="271">
        <v>8142759.6900000004</v>
      </c>
      <c r="OU23" s="271">
        <v>8257061</v>
      </c>
      <c r="OV23" s="271">
        <v>14914478.91</v>
      </c>
      <c r="OW23" s="271">
        <v>13662064</v>
      </c>
      <c r="OX23" s="271">
        <v>27170047</v>
      </c>
      <c r="OY23" s="271">
        <v>7699498.9100000001</v>
      </c>
      <c r="OZ23" s="271">
        <v>6433596.3499999996</v>
      </c>
      <c r="PA23" s="271">
        <v>5716101.96</v>
      </c>
      <c r="PB23" s="271">
        <v>78582184.25</v>
      </c>
      <c r="PC23" s="271">
        <v>7162923.4500000002</v>
      </c>
      <c r="PD23" s="271">
        <v>18182553.59</v>
      </c>
      <c r="PE23" s="271">
        <v>3477242.1</v>
      </c>
      <c r="PF23" s="271">
        <v>11787938.359999999</v>
      </c>
      <c r="PG23" s="271">
        <v>23060106.629999999</v>
      </c>
      <c r="PH23" s="271">
        <v>7216356.2999999998</v>
      </c>
      <c r="PI23" s="271">
        <v>5583368</v>
      </c>
      <c r="PJ23" s="271">
        <v>10941369.030000001</v>
      </c>
      <c r="PK23" s="271">
        <v>8611373.7699999996</v>
      </c>
      <c r="PL23" s="271">
        <v>10277969.09</v>
      </c>
      <c r="PM23" s="271">
        <v>19715040</v>
      </c>
      <c r="PN23" s="271">
        <v>5116499</v>
      </c>
      <c r="PO23" s="271">
        <v>31424666.130000003</v>
      </c>
      <c r="PP23" s="271">
        <v>7158000.9500000002</v>
      </c>
      <c r="PQ23" s="271">
        <v>3753620</v>
      </c>
      <c r="PR23" s="271">
        <v>2188771.64</v>
      </c>
      <c r="PS23" s="271">
        <v>7608399.5</v>
      </c>
      <c r="PT23" s="271">
        <v>240655260.32999998</v>
      </c>
      <c r="PU23" s="271">
        <v>10709205.77</v>
      </c>
      <c r="PV23" s="271">
        <v>8006608.2000000002</v>
      </c>
      <c r="PW23" s="271">
        <v>13201566.449999999</v>
      </c>
      <c r="PX23" s="271">
        <v>74161404.449999988</v>
      </c>
      <c r="PY23" s="271">
        <v>17487259.469999999</v>
      </c>
      <c r="PZ23" s="271">
        <v>30789372</v>
      </c>
      <c r="QA23" s="271">
        <v>9093311</v>
      </c>
      <c r="QB23" s="271">
        <v>23230702.91</v>
      </c>
      <c r="QC23" s="271">
        <v>7347392.2000000002</v>
      </c>
      <c r="QD23" s="271">
        <v>19833353.579999998</v>
      </c>
      <c r="QE23" s="271">
        <v>9113825.3399999999</v>
      </c>
      <c r="QF23" s="271">
        <v>9253389.2599999998</v>
      </c>
      <c r="QG23" s="271">
        <v>13164592</v>
      </c>
      <c r="QH23" s="271">
        <v>12090379</v>
      </c>
      <c r="QI23" s="271">
        <v>10214487.199999999</v>
      </c>
      <c r="QJ23" s="271">
        <v>11042989.6</v>
      </c>
      <c r="QK23" s="271">
        <v>9266996</v>
      </c>
      <c r="QL23" s="271">
        <v>8334188</v>
      </c>
      <c r="QM23" s="271">
        <v>23250762.75</v>
      </c>
      <c r="QN23" s="271">
        <v>24785826.869999997</v>
      </c>
      <c r="QO23" s="271">
        <v>6955152</v>
      </c>
      <c r="QP23" s="271">
        <v>4214828</v>
      </c>
      <c r="QQ23" s="271">
        <v>3953866.68</v>
      </c>
      <c r="QR23" s="271">
        <v>2818146.94</v>
      </c>
      <c r="QS23" s="271">
        <v>3244290.6100000003</v>
      </c>
      <c r="QT23" s="271">
        <v>95834930.420000002</v>
      </c>
      <c r="QU23" s="271">
        <v>7474283</v>
      </c>
      <c r="QV23" s="271">
        <v>17219258.23</v>
      </c>
      <c r="QW23" s="271">
        <v>8643114.5999999996</v>
      </c>
      <c r="QX23" s="271">
        <v>9465583.9900000002</v>
      </c>
      <c r="QY23" s="271">
        <v>21793228.719999999</v>
      </c>
      <c r="QZ23" s="271">
        <v>10188494.18</v>
      </c>
      <c r="RA23" s="271">
        <v>16605673.130000001</v>
      </c>
      <c r="RB23" s="271">
        <v>18760120.199999999</v>
      </c>
      <c r="RC23" s="271">
        <v>6091554.6600000001</v>
      </c>
      <c r="RD23" s="271">
        <v>7868500</v>
      </c>
      <c r="RE23" s="271">
        <v>7267978</v>
      </c>
      <c r="RF23" s="271">
        <v>5429444.7799999993</v>
      </c>
      <c r="RG23" s="271">
        <v>156732203.67000002</v>
      </c>
      <c r="RH23" s="271">
        <v>18283823.960000001</v>
      </c>
      <c r="RI23" s="271">
        <v>8302870</v>
      </c>
      <c r="RJ23" s="271">
        <v>12366802.879999999</v>
      </c>
      <c r="RK23" s="271">
        <v>9693757.1699999999</v>
      </c>
      <c r="RL23" s="271">
        <v>12124082.859999999</v>
      </c>
      <c r="RM23" s="271">
        <v>25585721</v>
      </c>
      <c r="RN23" s="271">
        <v>7817338.0099999998</v>
      </c>
      <c r="RO23" s="271">
        <v>10594465.9</v>
      </c>
      <c r="RP23" s="271">
        <v>16644920.5</v>
      </c>
      <c r="RQ23" s="271">
        <v>18540129</v>
      </c>
      <c r="RR23" s="271">
        <v>5555636.3200000003</v>
      </c>
      <c r="RS23" s="271">
        <v>4790415.32</v>
      </c>
      <c r="RT23" s="271">
        <v>8146065.7300000004</v>
      </c>
      <c r="RU23" s="271">
        <v>6605633.0600000005</v>
      </c>
      <c r="RV23" s="271">
        <v>6705400.5</v>
      </c>
      <c r="RW23" s="271">
        <v>5536572.71</v>
      </c>
      <c r="RX23" s="271">
        <v>3003549.52</v>
      </c>
      <c r="RY23" s="271">
        <v>3469775.5</v>
      </c>
      <c r="RZ23" s="271">
        <v>4488130</v>
      </c>
      <c r="SA23" s="271">
        <v>62019906.850000001</v>
      </c>
      <c r="SB23" s="271">
        <v>11196940</v>
      </c>
      <c r="SC23" s="271">
        <v>10053650.85</v>
      </c>
      <c r="SD23" s="271">
        <v>7969975</v>
      </c>
      <c r="SE23" s="271">
        <v>7485941.46</v>
      </c>
      <c r="SF23" s="271">
        <v>10434700.85</v>
      </c>
      <c r="SG23" s="271">
        <v>6922767.25</v>
      </c>
      <c r="SH23" s="271">
        <v>16049453.84</v>
      </c>
      <c r="SI23" s="271">
        <v>9544301</v>
      </c>
      <c r="SJ23" s="271">
        <v>11659145.1</v>
      </c>
      <c r="SK23" s="271">
        <v>17209987.289999999</v>
      </c>
      <c r="SL23" s="271">
        <v>3549500</v>
      </c>
      <c r="SM23" s="271">
        <v>52352835.619999997</v>
      </c>
      <c r="SN23" s="271">
        <v>8841564</v>
      </c>
      <c r="SO23" s="271">
        <v>10783144.879999999</v>
      </c>
      <c r="SP23" s="271">
        <v>13567050.1</v>
      </c>
      <c r="SQ23" s="271">
        <v>9198597.4699999988</v>
      </c>
      <c r="SR23" s="271">
        <v>8843827</v>
      </c>
      <c r="SS23" s="271">
        <v>8127012</v>
      </c>
      <c r="ST23" s="271">
        <v>4872153</v>
      </c>
      <c r="SU23" s="271">
        <v>73493983.939999998</v>
      </c>
      <c r="SV23" s="271">
        <v>6835823.5</v>
      </c>
      <c r="SW23" s="271">
        <v>14371995.93</v>
      </c>
      <c r="SX23" s="271">
        <v>8841618</v>
      </c>
      <c r="SY23" s="271">
        <v>5170853.5</v>
      </c>
      <c r="SZ23" s="271">
        <v>6426459.5</v>
      </c>
      <c r="TA23" s="271">
        <v>6143174</v>
      </c>
      <c r="TB23" s="271">
        <v>20479745</v>
      </c>
      <c r="TC23" s="271">
        <v>5373642.5</v>
      </c>
      <c r="TD23" s="271">
        <v>5935985</v>
      </c>
      <c r="TE23" s="271">
        <v>7738920.4900000002</v>
      </c>
      <c r="TF23" s="271">
        <v>15579624</v>
      </c>
      <c r="TG23" s="271">
        <v>7187748</v>
      </c>
      <c r="TH23" s="271">
        <v>5144490.6400000006</v>
      </c>
      <c r="TI23" s="271">
        <v>156257607.30000001</v>
      </c>
      <c r="TJ23" s="271">
        <v>9845253.9100000001</v>
      </c>
      <c r="TK23" s="271">
        <v>7792063.1600000001</v>
      </c>
      <c r="TL23" s="271">
        <v>18446215.279999997</v>
      </c>
      <c r="TM23" s="271">
        <v>14922621.32</v>
      </c>
      <c r="TN23" s="271">
        <v>10424656.030000001</v>
      </c>
      <c r="TO23" s="271">
        <v>6523150.5</v>
      </c>
      <c r="TP23" s="271">
        <v>37788826</v>
      </c>
      <c r="TQ23" s="271">
        <v>11490075</v>
      </c>
      <c r="TR23" s="271">
        <v>21529984.09</v>
      </c>
      <c r="TS23" s="271">
        <v>17395693.07</v>
      </c>
      <c r="TT23" s="271">
        <v>10077776</v>
      </c>
      <c r="TU23" s="271">
        <v>5821501.5200000005</v>
      </c>
      <c r="TV23" s="271">
        <v>10900308.440000001</v>
      </c>
      <c r="TW23" s="271">
        <v>8118599.04</v>
      </c>
      <c r="TX23" s="271">
        <v>9356525</v>
      </c>
      <c r="TY23" s="271">
        <v>36686227.200000003</v>
      </c>
      <c r="TZ23" s="271">
        <v>8467803.5</v>
      </c>
      <c r="UA23" s="271">
        <v>58820651.060000002</v>
      </c>
      <c r="UB23" s="271">
        <v>15443121</v>
      </c>
      <c r="UC23" s="271">
        <v>6180061.3399999999</v>
      </c>
      <c r="UD23" s="271">
        <v>11551629.859999999</v>
      </c>
      <c r="UE23" s="271">
        <v>56968804</v>
      </c>
      <c r="UF23" s="271">
        <v>6345373.3700000001</v>
      </c>
      <c r="UG23" s="271">
        <v>5287439.2300000004</v>
      </c>
      <c r="UH23" s="271">
        <v>8277735.5600000005</v>
      </c>
      <c r="UI23" s="271">
        <v>8700851.9400000013</v>
      </c>
      <c r="UJ23" s="271">
        <v>37375522</v>
      </c>
      <c r="UK23" s="271">
        <v>12429684.1</v>
      </c>
      <c r="UL23" s="271">
        <v>8901935.2699999996</v>
      </c>
      <c r="UM23" s="271">
        <v>13786207.18</v>
      </c>
      <c r="UN23" s="271">
        <v>6392768.2599999998</v>
      </c>
      <c r="UO23" s="271">
        <v>10617656.619999999</v>
      </c>
      <c r="UP23" s="271">
        <v>192136548</v>
      </c>
      <c r="UQ23" s="271">
        <v>12746157.710000001</v>
      </c>
      <c r="UR23" s="271">
        <v>12613088.66</v>
      </c>
      <c r="US23" s="271">
        <v>39753097.590000004</v>
      </c>
      <c r="UT23" s="271">
        <v>3209886.23</v>
      </c>
      <c r="UU23" s="271">
        <v>9339429</v>
      </c>
      <c r="UV23" s="271">
        <v>24543812.220000003</v>
      </c>
      <c r="UW23" s="271">
        <v>7494674</v>
      </c>
      <c r="UX23" s="271">
        <v>8505807.1600000001</v>
      </c>
      <c r="UY23" s="271">
        <v>8291299</v>
      </c>
      <c r="UZ23" s="271">
        <v>11265659.32</v>
      </c>
      <c r="VA23" s="271">
        <v>24294553.859999999</v>
      </c>
      <c r="VB23" s="271">
        <v>11349215.859999999</v>
      </c>
      <c r="VC23" s="271">
        <v>24937407.539999999</v>
      </c>
      <c r="VD23" s="271">
        <v>7694232.6500000004</v>
      </c>
      <c r="VE23" s="271">
        <v>6342633.6699999999</v>
      </c>
      <c r="VF23" s="271">
        <v>7663125.8499999996</v>
      </c>
      <c r="VG23" s="271">
        <v>6171948</v>
      </c>
      <c r="VH23" s="271">
        <v>28459738.940000001</v>
      </c>
      <c r="VI23" s="271">
        <v>6069247.5199999996</v>
      </c>
      <c r="VJ23" s="271">
        <v>6232874.5499999998</v>
      </c>
      <c r="VK23" s="271">
        <v>3466922</v>
      </c>
      <c r="VL23" s="271">
        <v>74799500.640000001</v>
      </c>
      <c r="VM23" s="271">
        <v>8440685.3599999994</v>
      </c>
      <c r="VN23" s="271">
        <v>8805033</v>
      </c>
      <c r="VO23" s="271">
        <v>14128764.530000001</v>
      </c>
      <c r="VP23" s="271">
        <v>21541612.66</v>
      </c>
      <c r="VQ23" s="271">
        <v>12628930</v>
      </c>
      <c r="VR23" s="271">
        <v>13930551.5</v>
      </c>
      <c r="VS23" s="271">
        <v>7808133.1200000001</v>
      </c>
      <c r="VT23" s="271">
        <v>10774260.5</v>
      </c>
      <c r="VU23" s="271">
        <v>36549130.219999999</v>
      </c>
      <c r="VV23" s="271">
        <v>8873979.8500000015</v>
      </c>
      <c r="VW23" s="271">
        <v>13683435.800000001</v>
      </c>
      <c r="VX23" s="271">
        <v>10525750</v>
      </c>
      <c r="VY23" s="271">
        <v>7566250.5</v>
      </c>
      <c r="VZ23" s="271">
        <v>7023798.7800000003</v>
      </c>
      <c r="WA23" s="271">
        <v>303646986.87</v>
      </c>
      <c r="WB23" s="271">
        <v>22844284.379999999</v>
      </c>
      <c r="WC23" s="271">
        <v>17407362</v>
      </c>
      <c r="WD23" s="271">
        <v>8714454.7599999998</v>
      </c>
      <c r="WE23" s="271">
        <v>11002145.49</v>
      </c>
      <c r="WF23" s="271">
        <v>12200873.26</v>
      </c>
      <c r="WG23" s="271">
        <v>18742941</v>
      </c>
      <c r="WH23" s="271">
        <v>25138400</v>
      </c>
      <c r="WI23" s="271">
        <v>13748130.659999998</v>
      </c>
      <c r="WJ23" s="271">
        <v>15840264.129999999</v>
      </c>
      <c r="WK23" s="271">
        <v>12655500</v>
      </c>
      <c r="WL23" s="271">
        <v>26281990.989999998</v>
      </c>
      <c r="WM23" s="271">
        <v>15190562</v>
      </c>
      <c r="WN23" s="271">
        <v>19793451</v>
      </c>
      <c r="WO23" s="271">
        <v>30782652.949999999</v>
      </c>
      <c r="WP23" s="271">
        <v>14670512</v>
      </c>
      <c r="WQ23" s="271">
        <v>14161078.25</v>
      </c>
      <c r="WR23" s="271">
        <v>16694767.9</v>
      </c>
      <c r="WS23" s="271">
        <v>9123863.879999999</v>
      </c>
      <c r="WT23" s="271">
        <v>26851861.149999999</v>
      </c>
      <c r="WU23" s="271">
        <v>60468900.640000001</v>
      </c>
      <c r="WV23" s="271">
        <v>14757320</v>
      </c>
      <c r="WW23" s="271">
        <v>8883313</v>
      </c>
      <c r="WX23" s="271">
        <v>8917581</v>
      </c>
      <c r="WY23" s="271">
        <v>10842278.5</v>
      </c>
      <c r="WZ23" s="271">
        <v>8884447</v>
      </c>
      <c r="XA23" s="271">
        <v>10419661</v>
      </c>
      <c r="XB23" s="271">
        <v>10263316.09</v>
      </c>
      <c r="XC23" s="271">
        <v>29617938.239999998</v>
      </c>
      <c r="XD23" s="271">
        <v>8577559.4100000001</v>
      </c>
      <c r="XE23" s="271">
        <v>4356820</v>
      </c>
      <c r="XF23" s="271">
        <v>4511663.3099999996</v>
      </c>
      <c r="XG23" s="271">
        <v>5343167.2300000004</v>
      </c>
      <c r="XH23" s="271">
        <v>157712483.05000001</v>
      </c>
      <c r="XI23" s="271">
        <v>15522994.309999999</v>
      </c>
      <c r="XJ23" s="271">
        <v>16168812.6</v>
      </c>
      <c r="XK23" s="271">
        <v>54597324.820000008</v>
      </c>
      <c r="XL23" s="271">
        <v>13506518.359999999</v>
      </c>
      <c r="XM23" s="271">
        <v>17315635.75</v>
      </c>
      <c r="XN23" s="271">
        <v>24973880</v>
      </c>
      <c r="XO23" s="271">
        <v>15019538</v>
      </c>
      <c r="XP23" s="271">
        <v>13654548.640000001</v>
      </c>
      <c r="XQ23" s="271">
        <v>27508540.930000003</v>
      </c>
      <c r="XR23" s="271">
        <v>20371380.920000002</v>
      </c>
      <c r="XS23" s="271">
        <v>10189232.84</v>
      </c>
      <c r="XT23" s="271">
        <v>7726936</v>
      </c>
      <c r="XU23" s="271">
        <v>9028509</v>
      </c>
      <c r="XV23" s="271">
        <v>10886039</v>
      </c>
      <c r="XW23" s="271">
        <v>10254754.77</v>
      </c>
      <c r="XX23" s="271">
        <v>6630841.2199999997</v>
      </c>
      <c r="XY23" s="271">
        <v>8113133.6499999994</v>
      </c>
      <c r="XZ23" s="271">
        <v>8505438.0999999996</v>
      </c>
      <c r="YA23" s="271">
        <v>8091088.3100000005</v>
      </c>
      <c r="YB23" s="271">
        <v>8360179</v>
      </c>
      <c r="YC23" s="271">
        <v>8717379.1999999993</v>
      </c>
      <c r="YD23" s="271">
        <v>6183856</v>
      </c>
      <c r="YE23" s="271">
        <v>163699677.5</v>
      </c>
      <c r="YF23" s="271">
        <v>11878517</v>
      </c>
      <c r="YG23" s="271">
        <v>17929068</v>
      </c>
      <c r="YH23" s="271">
        <v>7786239.5999999996</v>
      </c>
      <c r="YI23" s="271">
        <v>43625229.480000004</v>
      </c>
      <c r="YJ23" s="271">
        <v>15003279.899999999</v>
      </c>
      <c r="YK23" s="271">
        <v>20108634.170000002</v>
      </c>
      <c r="YL23" s="271">
        <v>9191683</v>
      </c>
      <c r="YM23" s="271">
        <v>40146501.980000004</v>
      </c>
      <c r="YN23" s="271">
        <v>28472273</v>
      </c>
      <c r="YO23" s="271">
        <v>18610217.440000001</v>
      </c>
      <c r="YP23" s="271">
        <v>11368795.309999999</v>
      </c>
      <c r="YQ23" s="271">
        <v>8495202</v>
      </c>
      <c r="YR23" s="271">
        <v>9635165.9100000001</v>
      </c>
      <c r="YS23" s="271">
        <v>6425854.9399999995</v>
      </c>
      <c r="YT23" s="271">
        <v>7046996.3399999999</v>
      </c>
      <c r="YU23" s="271">
        <v>5429363</v>
      </c>
      <c r="YV23" s="271">
        <v>47462192.210000001</v>
      </c>
      <c r="YW23" s="271">
        <v>6263205.5499999998</v>
      </c>
      <c r="YX23" s="271">
        <v>6267152</v>
      </c>
      <c r="YY23" s="271">
        <v>5585003.9299999997</v>
      </c>
      <c r="YZ23" s="271">
        <v>6321784</v>
      </c>
      <c r="ZA23" s="271">
        <v>3541069.4299999997</v>
      </c>
      <c r="ZB23" s="271">
        <v>6720316</v>
      </c>
      <c r="ZC23" s="271">
        <v>59456841</v>
      </c>
      <c r="ZD23" s="271">
        <v>6265568</v>
      </c>
      <c r="ZE23" s="271">
        <v>11885182.199999999</v>
      </c>
      <c r="ZF23" s="271">
        <v>10379752.99</v>
      </c>
      <c r="ZG23" s="271">
        <v>6107747</v>
      </c>
      <c r="ZH23" s="271">
        <v>8951577.8000000007</v>
      </c>
      <c r="ZI23" s="271">
        <v>5214051.55</v>
      </c>
      <c r="ZJ23" s="271">
        <v>4749160.22</v>
      </c>
      <c r="ZK23" s="271">
        <v>24268379</v>
      </c>
      <c r="ZL23" s="271">
        <v>136707708</v>
      </c>
      <c r="ZM23" s="271">
        <v>6134958.5</v>
      </c>
      <c r="ZN23" s="271">
        <v>11286461.199999999</v>
      </c>
      <c r="ZO23" s="271">
        <v>34181725.619999997</v>
      </c>
      <c r="ZP23" s="271">
        <v>23569962.189999998</v>
      </c>
      <c r="ZQ23" s="271">
        <v>8595235</v>
      </c>
      <c r="ZR23" s="271">
        <v>10171149</v>
      </c>
      <c r="ZS23" s="271">
        <v>18488332.949999999</v>
      </c>
      <c r="ZT23" s="271">
        <v>15148498</v>
      </c>
      <c r="ZU23" s="271">
        <v>17469870.049999997</v>
      </c>
      <c r="ZV23" s="271">
        <v>5166430.82</v>
      </c>
      <c r="ZW23" s="271">
        <v>6170890</v>
      </c>
      <c r="ZX23" s="271">
        <v>7070765.5800000001</v>
      </c>
      <c r="ZY23" s="271">
        <v>10787523.5</v>
      </c>
      <c r="ZZ23" s="271">
        <v>7538322</v>
      </c>
      <c r="AAA23" s="271">
        <v>9386987</v>
      </c>
      <c r="AAB23" s="271">
        <v>6620939</v>
      </c>
      <c r="AAC23" s="271">
        <v>6376176.5</v>
      </c>
      <c r="AAD23" s="271">
        <v>6143449.75</v>
      </c>
      <c r="AAE23" s="271">
        <v>5854042.7699999996</v>
      </c>
      <c r="AAF23" s="271">
        <v>6143036.0499999998</v>
      </c>
      <c r="AAG23" s="271">
        <v>4908376.5</v>
      </c>
      <c r="AAH23" s="271">
        <v>54536534.689999998</v>
      </c>
      <c r="AAI23" s="271">
        <v>8447317</v>
      </c>
      <c r="AAJ23" s="271">
        <v>7871223.5</v>
      </c>
      <c r="AAK23" s="271">
        <v>8536097.4399999995</v>
      </c>
      <c r="AAL23" s="271">
        <v>6333171.7999999998</v>
      </c>
      <c r="AAM23" s="271">
        <v>11409076</v>
      </c>
      <c r="AAN23" s="271">
        <v>6447400</v>
      </c>
      <c r="AAO23" s="271">
        <v>193584708.66999999</v>
      </c>
      <c r="AAP23" s="271">
        <v>12676503</v>
      </c>
      <c r="AAQ23" s="271">
        <v>8501800</v>
      </c>
      <c r="AAR23" s="271">
        <v>18158376.5</v>
      </c>
      <c r="AAS23" s="271">
        <v>14304770.140000001</v>
      </c>
      <c r="AAT23" s="271">
        <v>8639820</v>
      </c>
      <c r="AAU23" s="271">
        <v>14358256</v>
      </c>
      <c r="AAV23" s="271">
        <v>14076114.84</v>
      </c>
      <c r="AAW23" s="271">
        <v>34475686</v>
      </c>
      <c r="AAX23" s="271">
        <v>10216006</v>
      </c>
      <c r="AAY23" s="271">
        <v>13351976.779999999</v>
      </c>
      <c r="AAZ23" s="271">
        <v>54204509.5</v>
      </c>
      <c r="ABA23" s="271">
        <v>26949635.899999999</v>
      </c>
      <c r="ABB23" s="271">
        <v>7554116</v>
      </c>
      <c r="ABC23" s="271">
        <v>8712641.5099999998</v>
      </c>
      <c r="ABD23" s="271">
        <v>9060520.3900000006</v>
      </c>
      <c r="ABE23" s="271">
        <v>7649761</v>
      </c>
      <c r="ABF23" s="271">
        <v>10950235</v>
      </c>
      <c r="ABG23" s="271">
        <v>8525098.8599999994</v>
      </c>
      <c r="ABH23" s="271">
        <v>75334849</v>
      </c>
      <c r="ABI23" s="271">
        <v>57110824.130000003</v>
      </c>
      <c r="ABJ23" s="271">
        <v>6374611</v>
      </c>
      <c r="ABK23" s="271">
        <v>6051590.8099999996</v>
      </c>
      <c r="ABL23" s="271">
        <v>4936508</v>
      </c>
      <c r="ABM23" s="271">
        <v>4543297.66</v>
      </c>
      <c r="ABN23" s="271">
        <v>4484296</v>
      </c>
      <c r="ABO23" s="271">
        <v>84967536.75999999</v>
      </c>
      <c r="ABP23" s="271">
        <v>10456674.02</v>
      </c>
      <c r="ABQ23" s="271">
        <v>6545876.2199999997</v>
      </c>
      <c r="ABR23" s="271">
        <v>13497746.620000001</v>
      </c>
      <c r="ABS23" s="271">
        <v>13136986.060000001</v>
      </c>
      <c r="ABT23" s="271">
        <v>8398995.8399999999</v>
      </c>
      <c r="ABU23" s="271">
        <v>8048565.1800000006</v>
      </c>
      <c r="ABV23" s="271">
        <v>9089624.4199999999</v>
      </c>
      <c r="ABW23" s="271">
        <v>1910045</v>
      </c>
      <c r="ABX23" s="271">
        <v>87464101.200000003</v>
      </c>
      <c r="ABY23" s="271">
        <v>4706371.8999999994</v>
      </c>
      <c r="ABZ23" s="271">
        <v>8374203.9199999999</v>
      </c>
      <c r="ACA23" s="271">
        <v>4316585.38</v>
      </c>
      <c r="ACB23" s="271">
        <v>4990102.18</v>
      </c>
      <c r="ACC23" s="271">
        <v>21150200.5</v>
      </c>
      <c r="ACD23" s="271">
        <v>5469910.8499999996</v>
      </c>
      <c r="ACE23" s="271">
        <v>7747861.5</v>
      </c>
      <c r="ACF23" s="271">
        <v>5144352.16</v>
      </c>
      <c r="ACG23" s="271">
        <v>7863381.0099999998</v>
      </c>
      <c r="ACH23" s="271">
        <v>3665735.32</v>
      </c>
      <c r="ACI23" s="271">
        <v>161890905.68000001</v>
      </c>
      <c r="ACJ23" s="271">
        <v>6388423</v>
      </c>
      <c r="ACK23" s="271">
        <v>6754639.9900000002</v>
      </c>
      <c r="ACL23" s="271">
        <v>13155843</v>
      </c>
      <c r="ACM23" s="271">
        <v>5402977.6799999997</v>
      </c>
      <c r="ACN23" s="271">
        <v>7971737</v>
      </c>
      <c r="ACO23" s="271">
        <v>16097637</v>
      </c>
      <c r="ACP23" s="271">
        <v>41432357.789999999</v>
      </c>
      <c r="ACQ23" s="271">
        <v>39033928.840000004</v>
      </c>
      <c r="ACR23" s="271">
        <v>7519145.0100000007</v>
      </c>
      <c r="ACS23" s="271">
        <v>12285259.75</v>
      </c>
      <c r="ACT23" s="271">
        <v>10601701.210000001</v>
      </c>
      <c r="ACU23" s="271">
        <v>8502284</v>
      </c>
      <c r="ACV23" s="271">
        <v>23440235.25</v>
      </c>
      <c r="ACW23" s="271">
        <v>8012087</v>
      </c>
      <c r="ACX23" s="271">
        <v>9971588</v>
      </c>
      <c r="ACY23" s="271">
        <v>5877984</v>
      </c>
      <c r="ACZ23" s="271">
        <v>8076604.3799999999</v>
      </c>
      <c r="ADA23" s="271">
        <v>2925312</v>
      </c>
      <c r="ADB23" s="271">
        <v>4708146.5</v>
      </c>
      <c r="ADC23" s="271">
        <v>6161841.96</v>
      </c>
      <c r="ADD23" s="271">
        <v>3616758.92</v>
      </c>
      <c r="ADE23" s="271">
        <v>4980915.76</v>
      </c>
      <c r="ADF23" s="271">
        <v>31517548.77</v>
      </c>
      <c r="ADG23" s="271">
        <v>21859562.539999999</v>
      </c>
      <c r="ADH23" s="271">
        <v>3204270.5199999996</v>
      </c>
      <c r="ADI23" s="271">
        <v>3771784.98</v>
      </c>
      <c r="ADJ23" s="271">
        <v>6114897.8999999994</v>
      </c>
      <c r="ADK23" s="271">
        <v>2148816.4500000002</v>
      </c>
      <c r="ADL23" s="271">
        <v>4014009.82</v>
      </c>
      <c r="ADM23" s="271">
        <v>4111341.53</v>
      </c>
      <c r="ADN23" s="271">
        <v>7329837.4299999997</v>
      </c>
      <c r="ADO23" s="271">
        <v>172162021.55000001</v>
      </c>
      <c r="ADP23" s="271">
        <v>22375457.709999997</v>
      </c>
      <c r="ADQ23" s="271">
        <v>22057658.25</v>
      </c>
      <c r="ADR23" s="271">
        <v>13460432.52</v>
      </c>
      <c r="ADS23" s="271">
        <v>47957545.039999999</v>
      </c>
      <c r="ADT23" s="271">
        <v>4409004.96</v>
      </c>
      <c r="ADU23" s="271">
        <v>6607275.5099999998</v>
      </c>
      <c r="ADV23" s="271">
        <v>9242778.1600000001</v>
      </c>
      <c r="ADW23" s="271">
        <v>7127420</v>
      </c>
      <c r="ADX23" s="271">
        <v>3810856.09</v>
      </c>
      <c r="ADY23" s="271">
        <v>142894991.31</v>
      </c>
      <c r="ADZ23" s="271">
        <v>43682962.909999996</v>
      </c>
      <c r="AEA23" s="271">
        <v>36972006.939999998</v>
      </c>
      <c r="AEB23" s="271">
        <v>8065607.9100000001</v>
      </c>
      <c r="AEC23" s="271">
        <v>16227290.260000002</v>
      </c>
      <c r="AED23" s="271">
        <v>18444944.400000002</v>
      </c>
      <c r="AEE23" s="271">
        <v>14816167.08</v>
      </c>
      <c r="AEF23" s="271">
        <v>12552966.42</v>
      </c>
      <c r="AEG23" s="271">
        <v>15177008.390000001</v>
      </c>
      <c r="AEH23" s="271">
        <v>10601922.210000001</v>
      </c>
      <c r="AEI23" s="271">
        <v>15717548.300000001</v>
      </c>
      <c r="AEJ23" s="271">
        <v>16963555.030000001</v>
      </c>
      <c r="AEK23" s="271">
        <v>8959999</v>
      </c>
      <c r="AEL23" s="271">
        <v>17840771</v>
      </c>
      <c r="AEM23" s="271">
        <v>13640723.210000001</v>
      </c>
      <c r="AEN23" s="271">
        <v>10490308.359999999</v>
      </c>
      <c r="AEO23" s="271">
        <v>11173882.609999999</v>
      </c>
      <c r="AEP23" s="271">
        <v>22468499.43</v>
      </c>
      <c r="AEQ23" s="271">
        <v>10532890</v>
      </c>
      <c r="AER23" s="271">
        <v>12437759.549999999</v>
      </c>
      <c r="AES23" s="271">
        <v>119172639.09</v>
      </c>
      <c r="AET23" s="271">
        <v>16251865</v>
      </c>
      <c r="AEU23" s="271">
        <v>14722736.84</v>
      </c>
      <c r="AEV23" s="271">
        <v>8895505.75</v>
      </c>
      <c r="AEW23" s="271">
        <v>9799709</v>
      </c>
      <c r="AEX23" s="271">
        <v>26478856.039999999</v>
      </c>
      <c r="AEY23" s="271">
        <v>8323099.8600000003</v>
      </c>
      <c r="AEZ23" s="271">
        <v>9048768.75</v>
      </c>
      <c r="AFA23" s="271">
        <v>10178080</v>
      </c>
      <c r="AFB23" s="271">
        <v>7409637.0999999996</v>
      </c>
      <c r="AFC23" s="271">
        <v>54521261.399999999</v>
      </c>
      <c r="AFD23" s="271">
        <v>33606489.609999999</v>
      </c>
      <c r="AFE23" s="271">
        <v>14421086.32</v>
      </c>
      <c r="AFF23" s="271">
        <v>12612476</v>
      </c>
      <c r="AFG23" s="271">
        <v>22201048.02</v>
      </c>
      <c r="AFH23" s="271">
        <v>13201336.34</v>
      </c>
      <c r="AFI23" s="271">
        <v>12562769</v>
      </c>
      <c r="AFJ23" s="271">
        <v>10892975</v>
      </c>
      <c r="AFK23" s="271">
        <v>8341552</v>
      </c>
      <c r="AFL23" s="271">
        <v>7491679.7400000002</v>
      </c>
      <c r="AFM23" s="271">
        <v>14088873.380000001</v>
      </c>
      <c r="AFN23" s="271">
        <v>6169903</v>
      </c>
      <c r="AFO23" s="271">
        <v>8579936.8000000007</v>
      </c>
      <c r="AFP23" s="271">
        <v>58084764.399999999</v>
      </c>
      <c r="AFQ23" s="271">
        <v>16493192.35</v>
      </c>
      <c r="AFR23" s="271">
        <v>13490931.76</v>
      </c>
      <c r="AFS23" s="271">
        <v>9293094.0000000019</v>
      </c>
      <c r="AFT23" s="271">
        <v>11536805.32</v>
      </c>
      <c r="AFU23" s="271">
        <v>9550314.2300000004</v>
      </c>
      <c r="AFV23" s="271">
        <v>5730707.3599999994</v>
      </c>
      <c r="AFW23" s="271">
        <v>11411456</v>
      </c>
      <c r="AFX23" s="271">
        <v>13676124.859999999</v>
      </c>
      <c r="AFY23" s="271">
        <v>6522946.3099999996</v>
      </c>
      <c r="AFZ23" s="271">
        <v>15486818.270000001</v>
      </c>
      <c r="AGA23" s="271">
        <v>7070188.6699999999</v>
      </c>
      <c r="AGB23" s="271">
        <v>87960085.400000006</v>
      </c>
      <c r="AGC23" s="271">
        <v>6535212.5899999999</v>
      </c>
      <c r="AGD23" s="271">
        <v>9032537.6400000006</v>
      </c>
      <c r="AGE23" s="271">
        <v>8693246.4399999995</v>
      </c>
      <c r="AGF23" s="271">
        <v>15741190.879999999</v>
      </c>
      <c r="AGG23" s="271">
        <v>11104218</v>
      </c>
      <c r="AGH23" s="271">
        <v>4895515</v>
      </c>
      <c r="AGI23" s="271">
        <v>8383073.8599999994</v>
      </c>
      <c r="AGJ23" s="271">
        <v>5582942.6200000001</v>
      </c>
      <c r="AGK23" s="271">
        <v>7922087.8399999999</v>
      </c>
      <c r="AGL23" s="271">
        <v>6871364.1699999999</v>
      </c>
      <c r="AGM23" s="271">
        <v>92009696.219999999</v>
      </c>
      <c r="AGN23" s="271">
        <v>18360189.18</v>
      </c>
      <c r="AGO23" s="271">
        <v>12946883.23</v>
      </c>
      <c r="AGP23" s="271">
        <v>10698921.9</v>
      </c>
      <c r="AGQ23" s="271">
        <v>22333345.439999998</v>
      </c>
      <c r="AGR23" s="271">
        <v>14885033.530000001</v>
      </c>
      <c r="AGS23" s="271">
        <v>8667184.5600000005</v>
      </c>
      <c r="AGT23" s="271">
        <v>14145508.529999999</v>
      </c>
      <c r="AGU23" s="271">
        <v>153987941.27000001</v>
      </c>
      <c r="AGV23" s="271">
        <v>98910999.090000004</v>
      </c>
      <c r="AGW23" s="271">
        <v>10338598.369999999</v>
      </c>
      <c r="AGX23" s="271">
        <v>21496477.440000001</v>
      </c>
      <c r="AGY23" s="271">
        <v>22893232.169999998</v>
      </c>
      <c r="AGZ23" s="271">
        <v>20391229</v>
      </c>
      <c r="AHA23" s="271">
        <v>13822902.07</v>
      </c>
      <c r="AHB23" s="271">
        <v>15607668.689999999</v>
      </c>
      <c r="AHC23" s="271">
        <v>8385273</v>
      </c>
      <c r="AHD23" s="271">
        <v>14099844.34</v>
      </c>
      <c r="AHE23" s="271">
        <v>14323508.15</v>
      </c>
      <c r="AHF23" s="271">
        <v>8565723.0800000001</v>
      </c>
      <c r="AHG23" s="271">
        <v>8647617.1999999993</v>
      </c>
      <c r="AHH23" s="271">
        <v>8164223.2000000002</v>
      </c>
      <c r="AHI23" s="271">
        <v>9236245</v>
      </c>
      <c r="AHJ23" s="271">
        <v>7237184.8900000006</v>
      </c>
      <c r="AHK23" s="271">
        <v>8468105.0299999993</v>
      </c>
      <c r="AHL23" s="271">
        <v>40917479.050000004</v>
      </c>
      <c r="AHM23" s="271">
        <v>4931508.8600000003</v>
      </c>
      <c r="AHN23" s="271">
        <v>5817399.04</v>
      </c>
      <c r="AHO23" s="271">
        <v>7969599.8399999999</v>
      </c>
      <c r="AHP23" s="271">
        <v>13347295.609999999</v>
      </c>
      <c r="AHQ23" s="294">
        <v>4102437.94</v>
      </c>
      <c r="AHR23" s="331">
        <v>5840790.8800000008</v>
      </c>
      <c r="AHS23" s="294">
        <f t="shared" si="18"/>
        <v>17788093430.680004</v>
      </c>
      <c r="AHT23" s="269" t="b">
        <f t="shared" si="1"/>
        <v>1</v>
      </c>
      <c r="AHU23" s="269" t="s">
        <v>27</v>
      </c>
    </row>
    <row r="24" spans="1:905" ht="23.4" customHeight="1" x14ac:dyDescent="0.7">
      <c r="B24" s="268" t="s">
        <v>29</v>
      </c>
      <c r="C24" s="269" t="s">
        <v>30</v>
      </c>
      <c r="D24" s="271">
        <v>475203049</v>
      </c>
      <c r="E24" s="271">
        <v>26559720</v>
      </c>
      <c r="F24" s="271">
        <v>39864841.829999998</v>
      </c>
      <c r="G24" s="271">
        <v>13973442</v>
      </c>
      <c r="H24" s="271">
        <v>58074030.5</v>
      </c>
      <c r="I24" s="271">
        <v>22574720</v>
      </c>
      <c r="J24" s="271">
        <v>46398374.329999998</v>
      </c>
      <c r="K24" s="271">
        <v>31292880.960000001</v>
      </c>
      <c r="L24" s="271">
        <v>30561711.289999999</v>
      </c>
      <c r="M24" s="271">
        <v>19334105</v>
      </c>
      <c r="N24" s="271">
        <v>21336740</v>
      </c>
      <c r="O24" s="271">
        <v>16924610</v>
      </c>
      <c r="P24" s="271">
        <v>25847123.75</v>
      </c>
      <c r="Q24" s="271">
        <v>16004457.5</v>
      </c>
      <c r="R24" s="271">
        <v>14759387.5</v>
      </c>
      <c r="S24" s="271">
        <v>36980991.25</v>
      </c>
      <c r="T24" s="271">
        <v>18531517.25</v>
      </c>
      <c r="U24" s="271">
        <v>10133582.5</v>
      </c>
      <c r="V24" s="271">
        <v>389725639.99000001</v>
      </c>
      <c r="W24" s="271">
        <v>111036997.28</v>
      </c>
      <c r="X24" s="271">
        <v>26412827.84</v>
      </c>
      <c r="Y24" s="271">
        <v>40030898.079999998</v>
      </c>
      <c r="Z24" s="271">
        <v>26280691</v>
      </c>
      <c r="AA24" s="271">
        <v>29256599.949999999</v>
      </c>
      <c r="AB24" s="271">
        <v>17107459</v>
      </c>
      <c r="AC24" s="271">
        <v>114673721.72</v>
      </c>
      <c r="AD24" s="271">
        <v>38793431.829999998</v>
      </c>
      <c r="AE24" s="271">
        <v>18573737.309999999</v>
      </c>
      <c r="AF24" s="271">
        <v>72193330.140000001</v>
      </c>
      <c r="AG24" s="271">
        <v>24850442.600000001</v>
      </c>
      <c r="AH24" s="271">
        <v>89776482.520000011</v>
      </c>
      <c r="AI24" s="271">
        <v>38398930.409999996</v>
      </c>
      <c r="AJ24" s="271">
        <v>25553313.759999998</v>
      </c>
      <c r="AK24" s="271">
        <v>18108506.639999997</v>
      </c>
      <c r="AL24" s="271">
        <v>40297619.919999994</v>
      </c>
      <c r="AM24" s="271">
        <v>27852699.5</v>
      </c>
      <c r="AN24" s="271">
        <v>19098282.93</v>
      </c>
      <c r="AO24" s="271">
        <v>22583547.98</v>
      </c>
      <c r="AP24" s="271">
        <v>19527462.539999999</v>
      </c>
      <c r="AQ24" s="271">
        <v>15075543.350000001</v>
      </c>
      <c r="AR24" s="271">
        <v>15531065.92</v>
      </c>
      <c r="AS24" s="271">
        <v>14893186</v>
      </c>
      <c r="AT24" s="271">
        <v>169021472.80000001</v>
      </c>
      <c r="AU24" s="271">
        <v>12078985</v>
      </c>
      <c r="AV24" s="271">
        <v>11672980</v>
      </c>
      <c r="AW24" s="271">
        <v>17460900</v>
      </c>
      <c r="AX24" s="271">
        <v>22307142.5</v>
      </c>
      <c r="AY24" s="271">
        <v>30934614</v>
      </c>
      <c r="AZ24" s="271">
        <v>12488771.5</v>
      </c>
      <c r="BA24" s="271">
        <v>12143290</v>
      </c>
      <c r="BB24" s="271">
        <v>10737688.219999999</v>
      </c>
      <c r="BC24" s="271">
        <v>12945097.5</v>
      </c>
      <c r="BD24" s="271">
        <v>11548825</v>
      </c>
      <c r="BE24" s="271">
        <v>11711484.5</v>
      </c>
      <c r="BF24" s="271">
        <v>54385763.5</v>
      </c>
      <c r="BG24" s="271">
        <v>11242162.5</v>
      </c>
      <c r="BH24" s="271">
        <v>6329642</v>
      </c>
      <c r="BI24" s="271">
        <v>137105119.5</v>
      </c>
      <c r="BJ24" s="271">
        <v>85783635.75</v>
      </c>
      <c r="BK24" s="271">
        <v>19449393.18</v>
      </c>
      <c r="BL24" s="271">
        <v>15830189.35</v>
      </c>
      <c r="BM24" s="271">
        <v>22103253.219999999</v>
      </c>
      <c r="BN24" s="271">
        <v>19457678.5</v>
      </c>
      <c r="BO24" s="271">
        <v>12245909</v>
      </c>
      <c r="BP24" s="271">
        <v>4023502</v>
      </c>
      <c r="BQ24" s="271">
        <v>3259375.5</v>
      </c>
      <c r="BR24" s="271">
        <v>168109616.25</v>
      </c>
      <c r="BS24" s="271">
        <v>19663478.329999998</v>
      </c>
      <c r="BT24" s="271">
        <v>20036742.75</v>
      </c>
      <c r="BU24" s="271">
        <v>18430855</v>
      </c>
      <c r="BV24" s="271">
        <v>17059179</v>
      </c>
      <c r="BW24" s="271">
        <v>17835335.52</v>
      </c>
      <c r="BX24" s="271">
        <v>12776703.5</v>
      </c>
      <c r="BY24" s="271">
        <v>17339884.5</v>
      </c>
      <c r="BZ24" s="271">
        <v>74529315.00999999</v>
      </c>
      <c r="CA24" s="271">
        <v>21195946</v>
      </c>
      <c r="CB24" s="271">
        <v>28969107.640000001</v>
      </c>
      <c r="CC24" s="271">
        <v>57488437.490000002</v>
      </c>
      <c r="CD24" s="271">
        <v>19115670.670000002</v>
      </c>
      <c r="CE24" s="271">
        <v>19398741</v>
      </c>
      <c r="CF24" s="271">
        <v>16877360</v>
      </c>
      <c r="CG24" s="271">
        <v>356022259.81999999</v>
      </c>
      <c r="CH24" s="271">
        <v>14596782.5</v>
      </c>
      <c r="CI24" s="271">
        <v>60721737.5</v>
      </c>
      <c r="CJ24" s="271">
        <v>14618030.199999999</v>
      </c>
      <c r="CK24" s="271">
        <v>20794066.5</v>
      </c>
      <c r="CL24" s="271">
        <v>16286306.5</v>
      </c>
      <c r="CM24" s="271">
        <v>17824458.25</v>
      </c>
      <c r="CN24" s="271">
        <v>34762862.670000002</v>
      </c>
      <c r="CO24" s="271">
        <v>9879863.3399999999</v>
      </c>
      <c r="CP24" s="271">
        <v>15539211.5</v>
      </c>
      <c r="CQ24" s="271">
        <v>13779519</v>
      </c>
      <c r="CR24" s="271">
        <v>17880231.5</v>
      </c>
      <c r="CS24" s="271">
        <v>12741764</v>
      </c>
      <c r="CT24" s="271">
        <v>157073243.5</v>
      </c>
      <c r="CU24" s="271">
        <v>13295972.5</v>
      </c>
      <c r="CV24" s="271">
        <v>14724149</v>
      </c>
      <c r="CW24" s="271">
        <v>37117491.5</v>
      </c>
      <c r="CX24" s="271">
        <v>17058562.5</v>
      </c>
      <c r="CY24" s="271">
        <v>21617066.75</v>
      </c>
      <c r="CZ24" s="271">
        <v>11144102</v>
      </c>
      <c r="DA24" s="271">
        <v>9723514.5</v>
      </c>
      <c r="DB24" s="271">
        <v>107820087.69999999</v>
      </c>
      <c r="DC24" s="271">
        <v>156289407.03999999</v>
      </c>
      <c r="DD24" s="271">
        <v>20035482.510000002</v>
      </c>
      <c r="DE24" s="271">
        <v>15913039.959999999</v>
      </c>
      <c r="DF24" s="271">
        <v>42413832.759999998</v>
      </c>
      <c r="DG24" s="271">
        <v>44991994</v>
      </c>
      <c r="DH24" s="271">
        <v>37342633</v>
      </c>
      <c r="DI24" s="271">
        <v>45843444.140000001</v>
      </c>
      <c r="DJ24" s="271">
        <v>15545847.27</v>
      </c>
      <c r="DK24" s="271">
        <v>402335385.48000002</v>
      </c>
      <c r="DL24" s="271">
        <v>19305723</v>
      </c>
      <c r="DM24" s="271">
        <v>26953942.5</v>
      </c>
      <c r="DN24" s="271">
        <v>19243872.030000001</v>
      </c>
      <c r="DO24" s="271">
        <v>21153125.82</v>
      </c>
      <c r="DP24" s="271">
        <v>19571419.23</v>
      </c>
      <c r="DQ24" s="271">
        <v>43429168.590000004</v>
      </c>
      <c r="DR24" s="271">
        <v>21016597.030000001</v>
      </c>
      <c r="DS24" s="271">
        <v>53519228.560000002</v>
      </c>
      <c r="DT24" s="271">
        <v>189794846.89000002</v>
      </c>
      <c r="DU24" s="271">
        <v>29220349</v>
      </c>
      <c r="DV24" s="271">
        <v>74403801.25</v>
      </c>
      <c r="DW24" s="271">
        <v>87616797.5</v>
      </c>
      <c r="DX24" s="271">
        <v>27273869.300000001</v>
      </c>
      <c r="DY24" s="271">
        <v>48221455.5</v>
      </c>
      <c r="DZ24" s="271">
        <v>34255040</v>
      </c>
      <c r="EA24" s="271">
        <v>12446837.5</v>
      </c>
      <c r="EB24" s="271">
        <v>22592885</v>
      </c>
      <c r="EC24" s="271">
        <v>23721797</v>
      </c>
      <c r="ED24" s="271">
        <v>38211786</v>
      </c>
      <c r="EE24" s="271">
        <v>79401766.109999999</v>
      </c>
      <c r="EF24" s="271">
        <v>87990074.090000004</v>
      </c>
      <c r="EG24" s="271">
        <v>16644601.66</v>
      </c>
      <c r="EH24" s="271">
        <v>17222844.5</v>
      </c>
      <c r="EI24" s="271">
        <v>16401155.560000001</v>
      </c>
      <c r="EJ24" s="271">
        <v>24867575.5</v>
      </c>
      <c r="EK24" s="271">
        <v>34021972.93</v>
      </c>
      <c r="EL24" s="271">
        <v>11169185</v>
      </c>
      <c r="EM24" s="271">
        <v>15947715</v>
      </c>
      <c r="EN24" s="271">
        <v>221133846.31</v>
      </c>
      <c r="EO24" s="271">
        <v>17520936</v>
      </c>
      <c r="EP24" s="271">
        <v>17806573.399999999</v>
      </c>
      <c r="EQ24" s="271">
        <v>21128038.25</v>
      </c>
      <c r="ER24" s="271">
        <v>12984325.5</v>
      </c>
      <c r="ES24" s="271">
        <v>11768829</v>
      </c>
      <c r="ET24" s="271">
        <v>27078112.779999997</v>
      </c>
      <c r="EU24" s="271">
        <v>22741783.120000001</v>
      </c>
      <c r="EV24" s="271">
        <v>15931346</v>
      </c>
      <c r="EW24" s="271">
        <v>196596015.94</v>
      </c>
      <c r="EX24" s="271">
        <v>8216096.8799999999</v>
      </c>
      <c r="EY24" s="271">
        <v>16271879</v>
      </c>
      <c r="EZ24" s="271">
        <v>21331305.379999999</v>
      </c>
      <c r="FA24" s="271">
        <v>35146329.75</v>
      </c>
      <c r="FB24" s="271">
        <v>31334214.719999999</v>
      </c>
      <c r="FC24" s="271">
        <v>21534382.75</v>
      </c>
      <c r="FD24" s="271">
        <v>16164363</v>
      </c>
      <c r="FE24" s="271">
        <v>14369806.6</v>
      </c>
      <c r="FF24" s="271">
        <v>14061454.210000001</v>
      </c>
      <c r="FG24" s="271">
        <v>14393025</v>
      </c>
      <c r="FH24" s="271">
        <v>11151744</v>
      </c>
      <c r="FI24" s="271">
        <v>95831939.079999998</v>
      </c>
      <c r="FJ24" s="271">
        <v>12440717</v>
      </c>
      <c r="FK24" s="271">
        <v>10926676</v>
      </c>
      <c r="FL24" s="271">
        <v>12416303</v>
      </c>
      <c r="FM24" s="271">
        <v>19188384.579999998</v>
      </c>
      <c r="FN24" s="271">
        <v>18936114</v>
      </c>
      <c r="FO24" s="271">
        <v>11161784</v>
      </c>
      <c r="FP24" s="271">
        <v>2403623</v>
      </c>
      <c r="FQ24" s="271">
        <v>260598274.28999999</v>
      </c>
      <c r="FR24" s="271">
        <v>14316132.75</v>
      </c>
      <c r="FS24" s="271">
        <v>25173847.5</v>
      </c>
      <c r="FT24" s="271">
        <v>25502861.620000001</v>
      </c>
      <c r="FU24" s="271">
        <v>35239168.989999995</v>
      </c>
      <c r="FV24" s="271">
        <v>18695786.75</v>
      </c>
      <c r="FW24" s="271">
        <v>46705514.880000003</v>
      </c>
      <c r="FX24" s="271">
        <v>24995035</v>
      </c>
      <c r="FY24" s="271">
        <v>23379019.100000001</v>
      </c>
      <c r="FZ24" s="271">
        <v>17613634.609999999</v>
      </c>
      <c r="GA24" s="271">
        <v>42910532.829999998</v>
      </c>
      <c r="GB24" s="271">
        <v>18616106.84</v>
      </c>
      <c r="GC24" s="271">
        <v>18923087.5</v>
      </c>
      <c r="GD24" s="271">
        <v>12210777</v>
      </c>
      <c r="GE24" s="271">
        <v>169276657.39999998</v>
      </c>
      <c r="GF24" s="271">
        <v>15548983.25</v>
      </c>
      <c r="GG24" s="271">
        <v>13118942.440000001</v>
      </c>
      <c r="GH24" s="271">
        <v>31971174.149999999</v>
      </c>
      <c r="GI24" s="271">
        <v>19524983.830000002</v>
      </c>
      <c r="GJ24" s="271">
        <v>13018388.08</v>
      </c>
      <c r="GK24" s="271">
        <v>16244103</v>
      </c>
      <c r="GL24" s="271">
        <v>45650994.910000004</v>
      </c>
      <c r="GM24" s="271">
        <v>13407139.949999999</v>
      </c>
      <c r="GN24" s="271">
        <v>7813977.1600000001</v>
      </c>
      <c r="GO24" s="271">
        <v>7155564.0799999991</v>
      </c>
      <c r="GP24" s="271">
        <v>7539621.25</v>
      </c>
      <c r="GQ24" s="271">
        <v>82876250</v>
      </c>
      <c r="GR24" s="271">
        <v>27454486</v>
      </c>
      <c r="GS24" s="271">
        <v>13740255.5</v>
      </c>
      <c r="GT24" s="271">
        <v>37512935</v>
      </c>
      <c r="GU24" s="271">
        <v>7536370</v>
      </c>
      <c r="GV24" s="271">
        <v>26736830.98</v>
      </c>
      <c r="GW24" s="271">
        <v>23270192</v>
      </c>
      <c r="GX24" s="271">
        <v>17306870.07</v>
      </c>
      <c r="GY24" s="271">
        <v>79322246.120000005</v>
      </c>
      <c r="GZ24" s="271">
        <v>8421528.5399999991</v>
      </c>
      <c r="HA24" s="271">
        <v>25173308.34</v>
      </c>
      <c r="HB24" s="271">
        <v>18422675</v>
      </c>
      <c r="HC24" s="271">
        <v>302568534.25</v>
      </c>
      <c r="HD24" s="271">
        <v>47617928.159999996</v>
      </c>
      <c r="HE24" s="271">
        <v>47706159.490000002</v>
      </c>
      <c r="HF24" s="271">
        <v>51475828.920000002</v>
      </c>
      <c r="HG24" s="271">
        <v>28992764.629999999</v>
      </c>
      <c r="HH24" s="271">
        <v>55315846.5</v>
      </c>
      <c r="HI24" s="271">
        <v>14546323.52</v>
      </c>
      <c r="HJ24" s="271">
        <v>221009819.62</v>
      </c>
      <c r="HK24" s="271">
        <v>33874279.829999998</v>
      </c>
      <c r="HL24" s="271">
        <v>42505078.739999995</v>
      </c>
      <c r="HM24" s="271">
        <v>25828483.850000001</v>
      </c>
      <c r="HN24" s="271">
        <v>20055306</v>
      </c>
      <c r="HO24" s="271">
        <v>19020462</v>
      </c>
      <c r="HP24" s="271">
        <v>30517056.539999999</v>
      </c>
      <c r="HQ24" s="271">
        <v>26408234</v>
      </c>
      <c r="HR24" s="271">
        <v>221310611.73000002</v>
      </c>
      <c r="HS24" s="271">
        <v>72464824.209999993</v>
      </c>
      <c r="HT24" s="271">
        <v>14533227.5</v>
      </c>
      <c r="HU24" s="271">
        <v>10621162.5</v>
      </c>
      <c r="HV24" s="271">
        <v>15830266.25</v>
      </c>
      <c r="HW24" s="271">
        <v>8628870</v>
      </c>
      <c r="HX24" s="271">
        <v>35302355.5</v>
      </c>
      <c r="HY24" s="271">
        <v>13198905.5</v>
      </c>
      <c r="HZ24" s="271">
        <v>15460090.5</v>
      </c>
      <c r="IA24" s="271">
        <v>13705837.5</v>
      </c>
      <c r="IB24" s="271">
        <v>11942218.5</v>
      </c>
      <c r="IC24" s="271">
        <v>28239218.75</v>
      </c>
      <c r="ID24" s="271">
        <v>7771132.5</v>
      </c>
      <c r="IE24" s="271">
        <v>21649905.5</v>
      </c>
      <c r="IF24" s="271">
        <v>8068876.9199999999</v>
      </c>
      <c r="IG24" s="271">
        <v>8320616.25</v>
      </c>
      <c r="IH24" s="271">
        <v>171053183.75</v>
      </c>
      <c r="II24" s="271">
        <v>56733559.009999998</v>
      </c>
      <c r="IJ24" s="271">
        <v>19353851.25</v>
      </c>
      <c r="IK24" s="271">
        <v>32497834</v>
      </c>
      <c r="IL24" s="271">
        <v>58174779</v>
      </c>
      <c r="IM24" s="271">
        <v>16564865.9</v>
      </c>
      <c r="IN24" s="271">
        <v>14549344.25</v>
      </c>
      <c r="IO24" s="271">
        <v>10777444.75</v>
      </c>
      <c r="IP24" s="271">
        <v>12477357.859999999</v>
      </c>
      <c r="IQ24" s="271">
        <v>13309903.5</v>
      </c>
      <c r="IR24" s="271">
        <v>12039529</v>
      </c>
      <c r="IS24" s="271">
        <v>278466135.84000003</v>
      </c>
      <c r="IT24" s="271">
        <v>75416828.890000001</v>
      </c>
      <c r="IU24" s="271">
        <v>32397425.32</v>
      </c>
      <c r="IV24" s="271">
        <v>24018482.93</v>
      </c>
      <c r="IW24" s="271">
        <v>21470182.75</v>
      </c>
      <c r="IX24" s="271">
        <v>7360324</v>
      </c>
      <c r="IY24" s="271">
        <v>16258314.26</v>
      </c>
      <c r="IZ24" s="271">
        <v>8097351</v>
      </c>
      <c r="JA24" s="271">
        <v>10920373</v>
      </c>
      <c r="JB24" s="271">
        <v>16430207.5</v>
      </c>
      <c r="JC24" s="271">
        <v>21598424.609999999</v>
      </c>
      <c r="JD24" s="271">
        <v>13533724.279999999</v>
      </c>
      <c r="JE24" s="271">
        <v>80815595.5</v>
      </c>
      <c r="JF24" s="271">
        <v>41593792.710000001</v>
      </c>
      <c r="JG24" s="271">
        <v>12400451</v>
      </c>
      <c r="JH24" s="271">
        <v>15518339</v>
      </c>
      <c r="JI24" s="271">
        <v>7966166</v>
      </c>
      <c r="JJ24" s="271">
        <v>10523003.5</v>
      </c>
      <c r="JK24" s="271">
        <v>91356531.25</v>
      </c>
      <c r="JL24" s="271">
        <v>15413493.5</v>
      </c>
      <c r="JM24" s="271">
        <v>19039969.5</v>
      </c>
      <c r="JN24" s="271">
        <v>23881787</v>
      </c>
      <c r="JO24" s="271">
        <v>15850251.5</v>
      </c>
      <c r="JP24" s="271">
        <v>37476142.350000001</v>
      </c>
      <c r="JQ24" s="271">
        <v>13256199</v>
      </c>
      <c r="JR24" s="271">
        <v>200121847.75999999</v>
      </c>
      <c r="JS24" s="271">
        <v>110487721.49000001</v>
      </c>
      <c r="JT24" s="271">
        <v>13860881</v>
      </c>
      <c r="JU24" s="271">
        <v>11797896.75</v>
      </c>
      <c r="JV24" s="271">
        <v>20789840.66</v>
      </c>
      <c r="JW24" s="271">
        <v>10024243.75</v>
      </c>
      <c r="JX24" s="271">
        <v>55571882.75</v>
      </c>
      <c r="JY24" s="271">
        <v>39884278.079999998</v>
      </c>
      <c r="JZ24" s="271">
        <v>21347846</v>
      </c>
      <c r="KA24" s="271">
        <v>19613703</v>
      </c>
      <c r="KB24" s="271">
        <v>18392973.75</v>
      </c>
      <c r="KC24" s="271">
        <v>18034514</v>
      </c>
      <c r="KD24" s="271">
        <v>15969719</v>
      </c>
      <c r="KE24" s="271">
        <v>7200185</v>
      </c>
      <c r="KF24" s="271">
        <v>14675988.5</v>
      </c>
      <c r="KG24" s="271">
        <v>4786944.67</v>
      </c>
      <c r="KH24" s="271">
        <v>426025627.25</v>
      </c>
      <c r="KI24" s="271">
        <v>28160072.969999999</v>
      </c>
      <c r="KJ24" s="271">
        <v>20480582.75</v>
      </c>
      <c r="KK24" s="271">
        <v>13482922</v>
      </c>
      <c r="KL24" s="271">
        <v>18428127.5</v>
      </c>
      <c r="KM24" s="271">
        <v>15892753</v>
      </c>
      <c r="KN24" s="271">
        <v>79438648.260000005</v>
      </c>
      <c r="KO24" s="271">
        <v>16105946</v>
      </c>
      <c r="KP24" s="271">
        <v>12168920</v>
      </c>
      <c r="KQ24" s="271">
        <v>105920644.02000001</v>
      </c>
      <c r="KR24" s="271">
        <v>17049694.25</v>
      </c>
      <c r="KS24" s="271">
        <v>26210487.27</v>
      </c>
      <c r="KT24" s="271">
        <v>58828515.25</v>
      </c>
      <c r="KU24" s="271">
        <v>17562507</v>
      </c>
      <c r="KV24" s="271">
        <v>26731530.740000002</v>
      </c>
      <c r="KW24" s="271">
        <v>185266290.38</v>
      </c>
      <c r="KX24" s="271">
        <v>29471936</v>
      </c>
      <c r="KY24" s="271">
        <v>138712101.36000001</v>
      </c>
      <c r="KZ24" s="271">
        <v>16369330.1</v>
      </c>
      <c r="LA24" s="271">
        <v>13487703.25</v>
      </c>
      <c r="LB24" s="271">
        <v>32826143.25</v>
      </c>
      <c r="LC24" s="271">
        <v>36685866.759999998</v>
      </c>
      <c r="LD24" s="271">
        <v>21552462</v>
      </c>
      <c r="LE24" s="271">
        <v>23254849.5</v>
      </c>
      <c r="LF24" s="271">
        <v>11136537</v>
      </c>
      <c r="LG24" s="271">
        <v>343433490.13999999</v>
      </c>
      <c r="LH24" s="271">
        <v>66385142.109999999</v>
      </c>
      <c r="LI24" s="271">
        <v>92642586</v>
      </c>
      <c r="LJ24" s="271">
        <v>72653773.25</v>
      </c>
      <c r="LK24" s="271">
        <v>25128786.380000003</v>
      </c>
      <c r="LL24" s="271">
        <v>16028093.5</v>
      </c>
      <c r="LM24" s="271">
        <v>11882890.4</v>
      </c>
      <c r="LN24" s="271">
        <v>23734121.34</v>
      </c>
      <c r="LO24" s="271">
        <v>12105991.25</v>
      </c>
      <c r="LP24" s="271">
        <v>29606806</v>
      </c>
      <c r="LQ24" s="271">
        <v>13342634.75</v>
      </c>
      <c r="LR24" s="271">
        <v>102845449.92</v>
      </c>
      <c r="LS24" s="271">
        <v>15584522.5</v>
      </c>
      <c r="LT24" s="271">
        <v>17703220</v>
      </c>
      <c r="LU24" s="271">
        <v>266228125.89999998</v>
      </c>
      <c r="LV24" s="271">
        <v>132171600.81999999</v>
      </c>
      <c r="LW24" s="271">
        <v>220231750.5</v>
      </c>
      <c r="LX24" s="271">
        <v>82864233</v>
      </c>
      <c r="LY24" s="271">
        <v>36934224.5</v>
      </c>
      <c r="LZ24" s="271">
        <v>39172000.5</v>
      </c>
      <c r="MA24" s="271">
        <v>22340216.73</v>
      </c>
      <c r="MB24" s="271">
        <v>18011448.25</v>
      </c>
      <c r="MC24" s="271">
        <v>23264695</v>
      </c>
      <c r="MD24" s="271">
        <v>22080166</v>
      </c>
      <c r="ME24" s="271">
        <v>51091774</v>
      </c>
      <c r="MF24" s="271">
        <v>19581641</v>
      </c>
      <c r="MG24" s="271">
        <v>368415234.76999998</v>
      </c>
      <c r="MH24" s="271">
        <v>24002510.419999998</v>
      </c>
      <c r="MI24" s="271">
        <v>11114148.5</v>
      </c>
      <c r="MJ24" s="271">
        <v>13015909.09</v>
      </c>
      <c r="MK24" s="271">
        <v>13062628.25</v>
      </c>
      <c r="ML24" s="271">
        <v>23296132.800000001</v>
      </c>
      <c r="MM24" s="271">
        <v>16420657.74</v>
      </c>
      <c r="MN24" s="271">
        <v>15671220</v>
      </c>
      <c r="MO24" s="271">
        <v>33294934.25</v>
      </c>
      <c r="MP24" s="271">
        <v>18858264</v>
      </c>
      <c r="MQ24" s="271">
        <v>18405921</v>
      </c>
      <c r="MR24" s="271">
        <v>13380244.25</v>
      </c>
      <c r="MS24" s="271">
        <v>259179799.09999999</v>
      </c>
      <c r="MT24" s="271">
        <v>25479542</v>
      </c>
      <c r="MU24" s="271">
        <v>32159279.75</v>
      </c>
      <c r="MV24" s="271">
        <v>39609104</v>
      </c>
      <c r="MW24" s="271">
        <v>29545574.5</v>
      </c>
      <c r="MX24" s="271">
        <v>25997176.98</v>
      </c>
      <c r="MY24" s="271">
        <v>58682629.359999999</v>
      </c>
      <c r="MZ24" s="271">
        <v>40524827</v>
      </c>
      <c r="NA24" s="271">
        <v>27838026</v>
      </c>
      <c r="NB24" s="271">
        <v>12351251.5</v>
      </c>
      <c r="NC24" s="271">
        <v>8281330</v>
      </c>
      <c r="ND24" s="271">
        <v>470464345</v>
      </c>
      <c r="NE24" s="271">
        <v>75798741.659999996</v>
      </c>
      <c r="NF24" s="271">
        <v>17472634.280000001</v>
      </c>
      <c r="NG24" s="271">
        <v>169491407.07999998</v>
      </c>
      <c r="NH24" s="271">
        <v>16650610.289999999</v>
      </c>
      <c r="NI24" s="271">
        <v>43432927.409999996</v>
      </c>
      <c r="NJ24" s="271">
        <v>83231470.25</v>
      </c>
      <c r="NK24" s="271">
        <v>77524200.219999999</v>
      </c>
      <c r="NL24" s="271">
        <v>11371892.75</v>
      </c>
      <c r="NM24" s="271">
        <v>30163318.66</v>
      </c>
      <c r="NN24" s="271">
        <v>24552965.670000002</v>
      </c>
      <c r="NO24" s="271">
        <v>20377769.66</v>
      </c>
      <c r="NP24" s="271">
        <v>96710492.75</v>
      </c>
      <c r="NQ24" s="271">
        <v>17132940.25</v>
      </c>
      <c r="NR24" s="271">
        <v>15199467.59</v>
      </c>
      <c r="NS24" s="271">
        <v>15318201</v>
      </c>
      <c r="NT24" s="271">
        <v>11873249.300000001</v>
      </c>
      <c r="NU24" s="271">
        <v>10600475.1</v>
      </c>
      <c r="NV24" s="271">
        <v>13902318.35</v>
      </c>
      <c r="NW24" s="271">
        <v>195671706.32999998</v>
      </c>
      <c r="NX24" s="271">
        <v>121052518.07999998</v>
      </c>
      <c r="NY24" s="271">
        <v>18728529.059999999</v>
      </c>
      <c r="NZ24" s="271">
        <v>12459442.5</v>
      </c>
      <c r="OA24" s="271">
        <v>14813150.550000001</v>
      </c>
      <c r="OB24" s="271">
        <v>34908925</v>
      </c>
      <c r="OC24" s="271">
        <v>11730399.75</v>
      </c>
      <c r="OD24" s="271">
        <v>219463335.23000002</v>
      </c>
      <c r="OE24" s="271">
        <v>65090587</v>
      </c>
      <c r="OF24" s="271">
        <v>21182150.109999999</v>
      </c>
      <c r="OG24" s="271">
        <v>68861513.060000002</v>
      </c>
      <c r="OH24" s="271">
        <v>20651912.300000001</v>
      </c>
      <c r="OI24" s="271">
        <v>28815337.5</v>
      </c>
      <c r="OJ24" s="271">
        <v>32402267.5</v>
      </c>
      <c r="OK24" s="271">
        <v>12898320.039999999</v>
      </c>
      <c r="OL24" s="271">
        <v>18123816.620000001</v>
      </c>
      <c r="OM24" s="271">
        <v>270193193.10000002</v>
      </c>
      <c r="ON24" s="271">
        <v>75051637.370000005</v>
      </c>
      <c r="OO24" s="271">
        <v>105531164.7</v>
      </c>
      <c r="OP24" s="271">
        <v>34515370.730000004</v>
      </c>
      <c r="OQ24" s="271">
        <v>32561324.75</v>
      </c>
      <c r="OR24" s="271">
        <v>17264938.5</v>
      </c>
      <c r="OS24" s="271">
        <v>156616203.63</v>
      </c>
      <c r="OT24" s="271">
        <v>13317214.5</v>
      </c>
      <c r="OU24" s="271">
        <v>18058088.5</v>
      </c>
      <c r="OV24" s="271">
        <v>25435917</v>
      </c>
      <c r="OW24" s="271">
        <v>25158115.380000003</v>
      </c>
      <c r="OX24" s="271">
        <v>67474690.5</v>
      </c>
      <c r="OY24" s="271">
        <v>19225159</v>
      </c>
      <c r="OZ24" s="271">
        <v>13538750</v>
      </c>
      <c r="PA24" s="271">
        <v>11853909.5</v>
      </c>
      <c r="PB24" s="271">
        <v>201191245.18000001</v>
      </c>
      <c r="PC24" s="271">
        <v>15680463</v>
      </c>
      <c r="PD24" s="271">
        <v>44700592.560000002</v>
      </c>
      <c r="PE24" s="271">
        <v>11784671.300000001</v>
      </c>
      <c r="PF24" s="271">
        <v>28595844.5</v>
      </c>
      <c r="PG24" s="271">
        <v>54669814.159999996</v>
      </c>
      <c r="PH24" s="271">
        <v>18338080.02</v>
      </c>
      <c r="PI24" s="271">
        <v>15371717</v>
      </c>
      <c r="PJ24" s="271">
        <v>23703089.75</v>
      </c>
      <c r="PK24" s="271">
        <v>22464122.5</v>
      </c>
      <c r="PL24" s="271">
        <v>24087384.5</v>
      </c>
      <c r="PM24" s="271">
        <v>36111612.519999996</v>
      </c>
      <c r="PN24" s="271">
        <v>12982628.129999999</v>
      </c>
      <c r="PO24" s="271">
        <v>68658393.25</v>
      </c>
      <c r="PP24" s="271">
        <v>16559863.550000001</v>
      </c>
      <c r="PQ24" s="271">
        <v>12750485</v>
      </c>
      <c r="PR24" s="271">
        <v>9322604</v>
      </c>
      <c r="PS24" s="271">
        <v>9575660.75</v>
      </c>
      <c r="PT24" s="271">
        <v>581591316.50999999</v>
      </c>
      <c r="PU24" s="271">
        <v>15064625.870000001</v>
      </c>
      <c r="PV24" s="271">
        <v>18178421.5</v>
      </c>
      <c r="PW24" s="271">
        <v>26784122.5</v>
      </c>
      <c r="PX24" s="271">
        <v>109824674.25</v>
      </c>
      <c r="PY24" s="271">
        <v>29301586.780000001</v>
      </c>
      <c r="PZ24" s="271">
        <v>40807470</v>
      </c>
      <c r="QA24" s="271">
        <v>26008990</v>
      </c>
      <c r="QB24" s="271">
        <v>48887803.5</v>
      </c>
      <c r="QC24" s="271">
        <v>12320457</v>
      </c>
      <c r="QD24" s="271">
        <v>46088923.710000001</v>
      </c>
      <c r="QE24" s="271">
        <v>16631422.75</v>
      </c>
      <c r="QF24" s="271">
        <v>16730943.75</v>
      </c>
      <c r="QG24" s="271">
        <v>29213858</v>
      </c>
      <c r="QH24" s="271">
        <v>27869111.25</v>
      </c>
      <c r="QI24" s="271">
        <v>31031039</v>
      </c>
      <c r="QJ24" s="271">
        <v>17740836</v>
      </c>
      <c r="QK24" s="271">
        <v>18564726.210000001</v>
      </c>
      <c r="QL24" s="271">
        <v>12984155</v>
      </c>
      <c r="QM24" s="271">
        <v>49424694.07</v>
      </c>
      <c r="QN24" s="271">
        <v>51107176</v>
      </c>
      <c r="QO24" s="271">
        <v>15472737</v>
      </c>
      <c r="QP24" s="271">
        <v>7905469</v>
      </c>
      <c r="QQ24" s="271">
        <v>8247793</v>
      </c>
      <c r="QR24" s="271">
        <v>8222585</v>
      </c>
      <c r="QS24" s="271">
        <v>5681514.1299999999</v>
      </c>
      <c r="QT24" s="271">
        <v>262686258</v>
      </c>
      <c r="QU24" s="271">
        <v>14286538</v>
      </c>
      <c r="QV24" s="271">
        <v>41878334</v>
      </c>
      <c r="QW24" s="271">
        <v>24116404</v>
      </c>
      <c r="QX24" s="271">
        <v>26279638</v>
      </c>
      <c r="QY24" s="271">
        <v>55372882.5</v>
      </c>
      <c r="QZ24" s="271">
        <v>22500255</v>
      </c>
      <c r="RA24" s="271">
        <v>43300785</v>
      </c>
      <c r="RB24" s="271">
        <v>41502063.75</v>
      </c>
      <c r="RC24" s="271">
        <v>18928209</v>
      </c>
      <c r="RD24" s="271">
        <v>17040119</v>
      </c>
      <c r="RE24" s="271">
        <v>19003151.890000001</v>
      </c>
      <c r="RF24" s="271">
        <v>9576270</v>
      </c>
      <c r="RG24" s="271">
        <v>412398606.72000003</v>
      </c>
      <c r="RH24" s="271">
        <v>62810190.600000001</v>
      </c>
      <c r="RI24" s="271">
        <v>19405541</v>
      </c>
      <c r="RJ24" s="271">
        <v>35201685.159999996</v>
      </c>
      <c r="RK24" s="271">
        <v>26677878.210000001</v>
      </c>
      <c r="RL24" s="271">
        <v>30591824.68</v>
      </c>
      <c r="RM24" s="271">
        <v>91517530</v>
      </c>
      <c r="RN24" s="271">
        <v>18906094</v>
      </c>
      <c r="RO24" s="271">
        <v>28503153.5</v>
      </c>
      <c r="RP24" s="271">
        <v>57099271</v>
      </c>
      <c r="RQ24" s="271">
        <v>69107089</v>
      </c>
      <c r="RR24" s="271">
        <v>22143175.5</v>
      </c>
      <c r="RS24" s="271">
        <v>14673535</v>
      </c>
      <c r="RT24" s="271">
        <v>23939933.25</v>
      </c>
      <c r="RU24" s="271">
        <v>14172795.560000001</v>
      </c>
      <c r="RV24" s="271">
        <v>20670146</v>
      </c>
      <c r="RW24" s="271">
        <v>20932940</v>
      </c>
      <c r="RX24" s="271">
        <v>19506345</v>
      </c>
      <c r="RY24" s="271">
        <v>8060904.25</v>
      </c>
      <c r="RZ24" s="271">
        <v>19780307</v>
      </c>
      <c r="SA24" s="271">
        <v>133343317.00999999</v>
      </c>
      <c r="SB24" s="271">
        <v>15141186</v>
      </c>
      <c r="SC24" s="271">
        <v>16026023</v>
      </c>
      <c r="SD24" s="271">
        <v>18077797.5</v>
      </c>
      <c r="SE24" s="271">
        <v>12103777.5</v>
      </c>
      <c r="SF24" s="271">
        <v>19854180.75</v>
      </c>
      <c r="SG24" s="271">
        <v>24374347.509999998</v>
      </c>
      <c r="SH24" s="271">
        <v>34452987.280000001</v>
      </c>
      <c r="SI24" s="271">
        <v>18553067.5</v>
      </c>
      <c r="SJ24" s="271">
        <v>18147449.5</v>
      </c>
      <c r="SK24" s="271">
        <v>43968155.439999998</v>
      </c>
      <c r="SL24" s="271">
        <v>10167697.5</v>
      </c>
      <c r="SM24" s="271">
        <v>93496929.63000001</v>
      </c>
      <c r="SN24" s="271">
        <v>19637282.5</v>
      </c>
      <c r="SO24" s="271">
        <v>31572209.559999999</v>
      </c>
      <c r="SP24" s="271">
        <v>43785528.170000002</v>
      </c>
      <c r="SQ24" s="271">
        <v>19524351.75</v>
      </c>
      <c r="SR24" s="271">
        <v>23171301.649999999</v>
      </c>
      <c r="SS24" s="271">
        <v>20594181.920000002</v>
      </c>
      <c r="ST24" s="271">
        <v>11689137.16</v>
      </c>
      <c r="SU24" s="271">
        <v>165058368.86000001</v>
      </c>
      <c r="SV24" s="271">
        <v>14637239</v>
      </c>
      <c r="SW24" s="271">
        <v>25893399.420000002</v>
      </c>
      <c r="SX24" s="271">
        <v>21321733.039999999</v>
      </c>
      <c r="SY24" s="271">
        <v>13066501.5</v>
      </c>
      <c r="SZ24" s="271">
        <v>13015265.5</v>
      </c>
      <c r="TA24" s="271">
        <v>15601558</v>
      </c>
      <c r="TB24" s="271">
        <v>42929585.960000001</v>
      </c>
      <c r="TC24" s="271">
        <v>18141597.5</v>
      </c>
      <c r="TD24" s="271">
        <v>16905331</v>
      </c>
      <c r="TE24" s="271">
        <v>25833391.5</v>
      </c>
      <c r="TF24" s="271">
        <v>30371439.75</v>
      </c>
      <c r="TG24" s="271">
        <v>17269883.5</v>
      </c>
      <c r="TH24" s="271">
        <v>13753355</v>
      </c>
      <c r="TI24" s="271">
        <v>299854154.13</v>
      </c>
      <c r="TJ24" s="271">
        <v>18957406.75</v>
      </c>
      <c r="TK24" s="271">
        <v>14522289.5</v>
      </c>
      <c r="TL24" s="271">
        <v>29642525</v>
      </c>
      <c r="TM24" s="271">
        <v>28774230.670000002</v>
      </c>
      <c r="TN24" s="271">
        <v>18102210.5</v>
      </c>
      <c r="TO24" s="271">
        <v>9823927</v>
      </c>
      <c r="TP24" s="271">
        <v>60847393</v>
      </c>
      <c r="TQ24" s="271">
        <v>16537760.5</v>
      </c>
      <c r="TR24" s="271">
        <v>32641655.899999999</v>
      </c>
      <c r="TS24" s="271">
        <v>25651828</v>
      </c>
      <c r="TT24" s="271">
        <v>15136446.5</v>
      </c>
      <c r="TU24" s="271">
        <v>12265540.699999999</v>
      </c>
      <c r="TV24" s="271">
        <v>16567929</v>
      </c>
      <c r="TW24" s="271">
        <v>15202781</v>
      </c>
      <c r="TX24" s="271">
        <v>15201772</v>
      </c>
      <c r="TY24" s="271">
        <v>79596237.5</v>
      </c>
      <c r="TZ24" s="271">
        <v>14614809.5</v>
      </c>
      <c r="UA24" s="271">
        <v>155690988.07999998</v>
      </c>
      <c r="UB24" s="271">
        <v>46328354</v>
      </c>
      <c r="UC24" s="271">
        <v>15501960</v>
      </c>
      <c r="UD24" s="271">
        <v>19952605</v>
      </c>
      <c r="UE24" s="271">
        <v>112304667</v>
      </c>
      <c r="UF24" s="271">
        <v>16176788</v>
      </c>
      <c r="UG24" s="271">
        <v>12545127.75</v>
      </c>
      <c r="UH24" s="271">
        <v>18398834</v>
      </c>
      <c r="UI24" s="271">
        <v>14308458.949999999</v>
      </c>
      <c r="UJ24" s="271">
        <v>120629064.89</v>
      </c>
      <c r="UK24" s="271">
        <v>34312001.5</v>
      </c>
      <c r="UL24" s="271">
        <v>19715504</v>
      </c>
      <c r="UM24" s="271">
        <v>44850158.399999999</v>
      </c>
      <c r="UN24" s="271">
        <v>25635292.5</v>
      </c>
      <c r="UO24" s="271">
        <v>18239172.5</v>
      </c>
      <c r="UP24" s="271">
        <v>524889513.05000001</v>
      </c>
      <c r="UQ24" s="271">
        <v>20885466</v>
      </c>
      <c r="UR24" s="271">
        <v>26171649.600000001</v>
      </c>
      <c r="US24" s="271">
        <v>92156171.930000007</v>
      </c>
      <c r="UT24" s="271">
        <v>5331216.5</v>
      </c>
      <c r="UU24" s="271">
        <v>22171131.5</v>
      </c>
      <c r="UV24" s="271">
        <v>54001336.759999998</v>
      </c>
      <c r="UW24" s="271">
        <v>15451693</v>
      </c>
      <c r="UX24" s="271">
        <v>20044606.25</v>
      </c>
      <c r="UY24" s="271">
        <v>18828853.75</v>
      </c>
      <c r="UZ24" s="271">
        <v>22859454.5</v>
      </c>
      <c r="VA24" s="271">
        <v>47310587</v>
      </c>
      <c r="VB24" s="271">
        <v>28704971.5</v>
      </c>
      <c r="VC24" s="271">
        <v>46242871</v>
      </c>
      <c r="VD24" s="271">
        <v>16943508.5</v>
      </c>
      <c r="VE24" s="271">
        <v>16337008</v>
      </c>
      <c r="VF24" s="271">
        <v>16818036</v>
      </c>
      <c r="VG24" s="271">
        <v>16339414</v>
      </c>
      <c r="VH24" s="271">
        <v>63269183.5</v>
      </c>
      <c r="VI24" s="271">
        <v>12911786.42</v>
      </c>
      <c r="VJ24" s="271">
        <v>12823176.5</v>
      </c>
      <c r="VK24" s="271">
        <v>8024193.5</v>
      </c>
      <c r="VL24" s="271">
        <v>251215249</v>
      </c>
      <c r="VM24" s="271">
        <v>16586251</v>
      </c>
      <c r="VN24" s="271">
        <v>16730882.5</v>
      </c>
      <c r="VO24" s="271">
        <v>27750897.199999999</v>
      </c>
      <c r="VP24" s="271">
        <v>40496662.980000004</v>
      </c>
      <c r="VQ24" s="271">
        <v>34265442</v>
      </c>
      <c r="VR24" s="271">
        <v>22744123</v>
      </c>
      <c r="VS24" s="271">
        <v>15391891</v>
      </c>
      <c r="VT24" s="271">
        <v>16830429</v>
      </c>
      <c r="VU24" s="271">
        <v>77721122.219999999</v>
      </c>
      <c r="VV24" s="271">
        <v>17072985.5</v>
      </c>
      <c r="VW24" s="271">
        <v>35157927</v>
      </c>
      <c r="VX24" s="271">
        <v>18503698.5</v>
      </c>
      <c r="VY24" s="271">
        <v>15435837.5</v>
      </c>
      <c r="VZ24" s="271">
        <v>13972150.73</v>
      </c>
      <c r="WA24" s="271">
        <v>773353962.59000003</v>
      </c>
      <c r="WB24" s="271">
        <v>38449618.840000004</v>
      </c>
      <c r="WC24" s="271">
        <v>29073087.5</v>
      </c>
      <c r="WD24" s="271">
        <v>23542382.399999999</v>
      </c>
      <c r="WE24" s="271">
        <v>15795350</v>
      </c>
      <c r="WF24" s="271">
        <v>30845477.579999998</v>
      </c>
      <c r="WG24" s="271">
        <v>44994655</v>
      </c>
      <c r="WH24" s="271">
        <v>47091138.75</v>
      </c>
      <c r="WI24" s="271">
        <v>25134123.77</v>
      </c>
      <c r="WJ24" s="271">
        <v>38588440.879999995</v>
      </c>
      <c r="WK24" s="271">
        <v>22617325.5</v>
      </c>
      <c r="WL24" s="271">
        <v>68851195.580000013</v>
      </c>
      <c r="WM24" s="271">
        <v>31007124.25</v>
      </c>
      <c r="WN24" s="271">
        <v>45031772.5</v>
      </c>
      <c r="WO24" s="271">
        <v>72977814.390000001</v>
      </c>
      <c r="WP24" s="271">
        <v>23803253</v>
      </c>
      <c r="WQ24" s="271">
        <v>30356126.75</v>
      </c>
      <c r="WR24" s="271">
        <v>39392325.030000001</v>
      </c>
      <c r="WS24" s="271">
        <v>15093767</v>
      </c>
      <c r="WT24" s="271">
        <v>52375750.75</v>
      </c>
      <c r="WU24" s="271">
        <v>124269167.45999999</v>
      </c>
      <c r="WV24" s="271">
        <v>25599265</v>
      </c>
      <c r="WW24" s="271">
        <v>20678671.5</v>
      </c>
      <c r="WX24" s="271">
        <v>14353590</v>
      </c>
      <c r="WY24" s="271">
        <v>19586691</v>
      </c>
      <c r="WZ24" s="271">
        <v>18171618.75</v>
      </c>
      <c r="XA24" s="271">
        <v>17822349</v>
      </c>
      <c r="XB24" s="271">
        <v>16986086.25</v>
      </c>
      <c r="XC24" s="271">
        <v>100218925.90000001</v>
      </c>
      <c r="XD24" s="271">
        <v>12945580.5</v>
      </c>
      <c r="XE24" s="271">
        <v>10303796.73</v>
      </c>
      <c r="XF24" s="271">
        <v>9768380</v>
      </c>
      <c r="XG24" s="271">
        <v>12232933.75</v>
      </c>
      <c r="XH24" s="271">
        <v>413077552</v>
      </c>
      <c r="XI24" s="271">
        <v>33863691.25</v>
      </c>
      <c r="XJ24" s="271">
        <v>34166312</v>
      </c>
      <c r="XK24" s="271">
        <v>134623080.61000001</v>
      </c>
      <c r="XL24" s="271">
        <v>29865943</v>
      </c>
      <c r="XM24" s="271">
        <v>42102399.5</v>
      </c>
      <c r="XN24" s="271">
        <v>59023787</v>
      </c>
      <c r="XO24" s="271">
        <v>30937442.5</v>
      </c>
      <c r="XP24" s="271">
        <v>28967540</v>
      </c>
      <c r="XQ24" s="271">
        <v>62548021.5</v>
      </c>
      <c r="XR24" s="271">
        <v>44260584.350000001</v>
      </c>
      <c r="XS24" s="271">
        <v>18484357.5</v>
      </c>
      <c r="XT24" s="271">
        <v>17925454.25</v>
      </c>
      <c r="XU24" s="271">
        <v>23545909</v>
      </c>
      <c r="XV24" s="271">
        <v>21561207</v>
      </c>
      <c r="XW24" s="271">
        <v>15065887.5</v>
      </c>
      <c r="XX24" s="271">
        <v>15968621.890000001</v>
      </c>
      <c r="XY24" s="271">
        <v>20394508.949999999</v>
      </c>
      <c r="XZ24" s="271">
        <v>17996401.5</v>
      </c>
      <c r="YA24" s="271">
        <v>19348253</v>
      </c>
      <c r="YB24" s="271">
        <v>17137176.759999998</v>
      </c>
      <c r="YC24" s="271">
        <v>14994919.25</v>
      </c>
      <c r="YD24" s="271">
        <v>19766018</v>
      </c>
      <c r="YE24" s="271">
        <v>360308775</v>
      </c>
      <c r="YF24" s="271">
        <v>25955191</v>
      </c>
      <c r="YG24" s="271">
        <v>48765191</v>
      </c>
      <c r="YH24" s="271">
        <v>19513926</v>
      </c>
      <c r="YI24" s="271">
        <v>94022728.939999998</v>
      </c>
      <c r="YJ24" s="271">
        <v>36020877.75</v>
      </c>
      <c r="YK24" s="271">
        <v>58320712.149999999</v>
      </c>
      <c r="YL24" s="271">
        <v>16064373</v>
      </c>
      <c r="YM24" s="271">
        <v>89902653.5</v>
      </c>
      <c r="YN24" s="271">
        <v>58447680</v>
      </c>
      <c r="YO24" s="271">
        <v>32218148</v>
      </c>
      <c r="YP24" s="271">
        <v>21820519.5</v>
      </c>
      <c r="YQ24" s="271">
        <v>19437385.5</v>
      </c>
      <c r="YR24" s="271">
        <v>20911762</v>
      </c>
      <c r="YS24" s="271">
        <v>10719909</v>
      </c>
      <c r="YT24" s="271">
        <v>13793820.4</v>
      </c>
      <c r="YU24" s="271">
        <v>15159854.199999999</v>
      </c>
      <c r="YV24" s="271">
        <v>138039106.34</v>
      </c>
      <c r="YW24" s="271">
        <v>22815742.16</v>
      </c>
      <c r="YX24" s="271">
        <v>17699066</v>
      </c>
      <c r="YY24" s="271">
        <v>17838044</v>
      </c>
      <c r="YZ24" s="271">
        <v>20807969.329999998</v>
      </c>
      <c r="ZA24" s="271">
        <v>16478159</v>
      </c>
      <c r="ZB24" s="271">
        <v>18157832</v>
      </c>
      <c r="ZC24" s="271">
        <v>157088821.24000001</v>
      </c>
      <c r="ZD24" s="271">
        <v>10806518.25</v>
      </c>
      <c r="ZE24" s="271">
        <v>22409862.25</v>
      </c>
      <c r="ZF24" s="271">
        <v>23060706.5</v>
      </c>
      <c r="ZG24" s="271">
        <v>12446928.52</v>
      </c>
      <c r="ZH24" s="271">
        <v>19914171.449999999</v>
      </c>
      <c r="ZI24" s="271">
        <v>12022908.75</v>
      </c>
      <c r="ZJ24" s="271">
        <v>13027069.719999999</v>
      </c>
      <c r="ZK24" s="271">
        <v>47799784</v>
      </c>
      <c r="ZL24" s="271">
        <v>352703740.5</v>
      </c>
      <c r="ZM24" s="271">
        <v>14800411.5</v>
      </c>
      <c r="ZN24" s="271">
        <v>36143139</v>
      </c>
      <c r="ZO24" s="271">
        <v>83391032</v>
      </c>
      <c r="ZP24" s="271">
        <v>47637300</v>
      </c>
      <c r="ZQ24" s="271">
        <v>17888510.640000001</v>
      </c>
      <c r="ZR24" s="271">
        <v>20683116</v>
      </c>
      <c r="ZS24" s="271">
        <v>40356766</v>
      </c>
      <c r="ZT24" s="271">
        <v>34456694</v>
      </c>
      <c r="ZU24" s="271">
        <v>59410532.32</v>
      </c>
      <c r="ZV24" s="271">
        <v>11847810</v>
      </c>
      <c r="ZW24" s="271">
        <v>15433225</v>
      </c>
      <c r="ZX24" s="271">
        <v>17574111.060000002</v>
      </c>
      <c r="ZY24" s="271">
        <v>20824749</v>
      </c>
      <c r="ZZ24" s="271">
        <v>17727467</v>
      </c>
      <c r="AAA24" s="271">
        <v>18503317.469999999</v>
      </c>
      <c r="AAB24" s="271">
        <v>23374128.84</v>
      </c>
      <c r="AAC24" s="271">
        <v>14629200</v>
      </c>
      <c r="AAD24" s="271">
        <v>13592558.800000001</v>
      </c>
      <c r="AAE24" s="271">
        <v>12255048.5</v>
      </c>
      <c r="AAF24" s="271">
        <v>12514839</v>
      </c>
      <c r="AAG24" s="271">
        <v>9941794.5</v>
      </c>
      <c r="AAH24" s="271">
        <v>126101242.00999999</v>
      </c>
      <c r="AAI24" s="271">
        <v>22053185.25</v>
      </c>
      <c r="AAJ24" s="271">
        <v>26979604</v>
      </c>
      <c r="AAK24" s="271">
        <v>19857282</v>
      </c>
      <c r="AAL24" s="271">
        <v>18920793.5</v>
      </c>
      <c r="AAM24" s="271">
        <v>29227308.5</v>
      </c>
      <c r="AAN24" s="271">
        <v>15944192.5</v>
      </c>
      <c r="AAO24" s="271">
        <v>578871694.88999999</v>
      </c>
      <c r="AAP24" s="271">
        <v>29102325</v>
      </c>
      <c r="AAQ24" s="271">
        <v>18995569.5</v>
      </c>
      <c r="AAR24" s="271">
        <v>33799467.009999998</v>
      </c>
      <c r="AAS24" s="271">
        <v>31378338</v>
      </c>
      <c r="AAT24" s="271">
        <v>26309084</v>
      </c>
      <c r="AAU24" s="271">
        <v>28942437.759999998</v>
      </c>
      <c r="AAV24" s="271">
        <v>37843013.5</v>
      </c>
      <c r="AAW24" s="271">
        <v>65687917</v>
      </c>
      <c r="AAX24" s="271">
        <v>22507232</v>
      </c>
      <c r="AAY24" s="271">
        <v>30007395.100000001</v>
      </c>
      <c r="AAZ24" s="271">
        <v>110021158</v>
      </c>
      <c r="ABA24" s="271">
        <v>53879551.75</v>
      </c>
      <c r="ABB24" s="271">
        <v>18598117.5</v>
      </c>
      <c r="ABC24" s="271">
        <v>22804919.5</v>
      </c>
      <c r="ABD24" s="271">
        <v>21062710.5</v>
      </c>
      <c r="ABE24" s="271">
        <v>10335986</v>
      </c>
      <c r="ABF24" s="271">
        <v>25366812.5</v>
      </c>
      <c r="ABG24" s="271">
        <v>13606842</v>
      </c>
      <c r="ABH24" s="271">
        <v>130332176</v>
      </c>
      <c r="ABI24" s="271">
        <v>86769754.829999998</v>
      </c>
      <c r="ABJ24" s="271">
        <v>15364504</v>
      </c>
      <c r="ABK24" s="271">
        <v>13539440.5</v>
      </c>
      <c r="ABL24" s="271">
        <v>13602711</v>
      </c>
      <c r="ABM24" s="271">
        <v>12803368.26</v>
      </c>
      <c r="ABN24" s="271">
        <v>11506456</v>
      </c>
      <c r="ABO24" s="271">
        <v>131520630.62</v>
      </c>
      <c r="ABP24" s="271">
        <v>23033542.759999998</v>
      </c>
      <c r="ABQ24" s="271">
        <v>22740188</v>
      </c>
      <c r="ABR24" s="271">
        <v>28595332.420000002</v>
      </c>
      <c r="ABS24" s="271">
        <v>27809608.5</v>
      </c>
      <c r="ABT24" s="271">
        <v>19491648</v>
      </c>
      <c r="ABU24" s="271">
        <v>15511744</v>
      </c>
      <c r="ABV24" s="271">
        <v>19620436</v>
      </c>
      <c r="ABW24" s="271">
        <v>11887554</v>
      </c>
      <c r="ABX24" s="271">
        <v>163748556.97</v>
      </c>
      <c r="ABY24" s="271">
        <v>12551858.27</v>
      </c>
      <c r="ABZ24" s="271">
        <v>27612121</v>
      </c>
      <c r="ACA24" s="271">
        <v>15669494.25</v>
      </c>
      <c r="ACB24" s="271">
        <v>15647820.01</v>
      </c>
      <c r="ACC24" s="271">
        <v>60628461</v>
      </c>
      <c r="ACD24" s="271">
        <v>10063581.75</v>
      </c>
      <c r="ACE24" s="271">
        <v>15500495.75</v>
      </c>
      <c r="ACF24" s="271">
        <v>19918308.280000001</v>
      </c>
      <c r="ACG24" s="271">
        <v>26633907</v>
      </c>
      <c r="ACH24" s="271">
        <v>13955625</v>
      </c>
      <c r="ACI24" s="271">
        <v>373264680.02999997</v>
      </c>
      <c r="ACJ24" s="271">
        <v>15274555.5</v>
      </c>
      <c r="ACK24" s="271">
        <v>23653100.009999998</v>
      </c>
      <c r="ACL24" s="271">
        <v>34903923</v>
      </c>
      <c r="ACM24" s="271">
        <v>18113881</v>
      </c>
      <c r="ACN24" s="271">
        <v>24648601</v>
      </c>
      <c r="ACO24" s="271">
        <v>34846078.5</v>
      </c>
      <c r="ACP24" s="271">
        <v>105618357.68000001</v>
      </c>
      <c r="ACQ24" s="271">
        <v>116248428.93000001</v>
      </c>
      <c r="ACR24" s="271">
        <v>19701277</v>
      </c>
      <c r="ACS24" s="271">
        <v>27285139.560000002</v>
      </c>
      <c r="ACT24" s="271">
        <v>36194723.5</v>
      </c>
      <c r="ACU24" s="271">
        <v>19504345</v>
      </c>
      <c r="ACV24" s="271">
        <v>103527582.95999999</v>
      </c>
      <c r="ACW24" s="271">
        <v>21137321</v>
      </c>
      <c r="ACX24" s="271">
        <v>24804375</v>
      </c>
      <c r="ACY24" s="271">
        <v>21063476</v>
      </c>
      <c r="ACZ24" s="271">
        <v>13802031</v>
      </c>
      <c r="ADA24" s="271">
        <v>17306809</v>
      </c>
      <c r="ADB24" s="271">
        <v>15383000</v>
      </c>
      <c r="ADC24" s="271">
        <v>13803183.870000001</v>
      </c>
      <c r="ADD24" s="271">
        <v>11239840</v>
      </c>
      <c r="ADE24" s="271">
        <v>12852123.48</v>
      </c>
      <c r="ADF24" s="271">
        <v>77391761</v>
      </c>
      <c r="ADG24" s="271">
        <v>76660296.810000002</v>
      </c>
      <c r="ADH24" s="271">
        <v>10613332.5</v>
      </c>
      <c r="ADI24" s="271">
        <v>10694534.960000001</v>
      </c>
      <c r="ADJ24" s="271">
        <v>15350548</v>
      </c>
      <c r="ADK24" s="271">
        <v>7720695</v>
      </c>
      <c r="ADL24" s="271">
        <v>19501146.68</v>
      </c>
      <c r="ADM24" s="271">
        <v>11767813.030000001</v>
      </c>
      <c r="ADN24" s="271">
        <v>16372992.5</v>
      </c>
      <c r="ADO24" s="271">
        <v>369943971.54999995</v>
      </c>
      <c r="ADP24" s="271">
        <v>56170863.150000006</v>
      </c>
      <c r="ADQ24" s="271">
        <v>52382139.770000003</v>
      </c>
      <c r="ADR24" s="271">
        <v>19466342</v>
      </c>
      <c r="ADS24" s="271">
        <v>109877761.5</v>
      </c>
      <c r="ADT24" s="271">
        <v>11964795</v>
      </c>
      <c r="ADU24" s="271">
        <v>16502524.32</v>
      </c>
      <c r="ADV24" s="271">
        <v>20061991.02</v>
      </c>
      <c r="ADW24" s="271">
        <v>13506916.879999999</v>
      </c>
      <c r="ADX24" s="271">
        <v>11930955</v>
      </c>
      <c r="ADY24" s="271">
        <v>387208780.60000002</v>
      </c>
      <c r="ADZ24" s="271">
        <v>106237754.78</v>
      </c>
      <c r="AEA24" s="271">
        <v>62464172.880000003</v>
      </c>
      <c r="AEB24" s="271">
        <v>17085300.289999999</v>
      </c>
      <c r="AEC24" s="271">
        <v>26362451</v>
      </c>
      <c r="AED24" s="271">
        <v>37216268</v>
      </c>
      <c r="AEE24" s="271">
        <v>20870405.289999999</v>
      </c>
      <c r="AEF24" s="271">
        <v>21307166.259999998</v>
      </c>
      <c r="AEG24" s="271">
        <v>16337370.029999999</v>
      </c>
      <c r="AEH24" s="271">
        <v>16514638</v>
      </c>
      <c r="AEI24" s="271">
        <v>18695485.800000001</v>
      </c>
      <c r="AEJ24" s="271">
        <v>30608508.280000001</v>
      </c>
      <c r="AEK24" s="271">
        <v>18734001</v>
      </c>
      <c r="AEL24" s="271">
        <v>19023155.25</v>
      </c>
      <c r="AEM24" s="271">
        <v>25691135.560000002</v>
      </c>
      <c r="AEN24" s="271">
        <v>26173512.539999999</v>
      </c>
      <c r="AEO24" s="271">
        <v>18300542.850000001</v>
      </c>
      <c r="AEP24" s="271">
        <v>40069356.289999999</v>
      </c>
      <c r="AEQ24" s="271">
        <v>16381449</v>
      </c>
      <c r="AER24" s="271">
        <v>38639105.710000001</v>
      </c>
      <c r="AES24" s="271">
        <v>229222683.88999999</v>
      </c>
      <c r="AET24" s="271">
        <v>35821620.75</v>
      </c>
      <c r="AEU24" s="271">
        <v>34731499.210000001</v>
      </c>
      <c r="AEV24" s="271">
        <v>23490404.399999999</v>
      </c>
      <c r="AEW24" s="271">
        <v>15036613</v>
      </c>
      <c r="AEX24" s="271">
        <v>36724661.5</v>
      </c>
      <c r="AEY24" s="271">
        <v>17838219</v>
      </c>
      <c r="AEZ24" s="271">
        <v>21012825.630000003</v>
      </c>
      <c r="AFA24" s="271">
        <v>18753355.25</v>
      </c>
      <c r="AFB24" s="271">
        <v>11080212.5</v>
      </c>
      <c r="AFC24" s="271">
        <v>211463239.53</v>
      </c>
      <c r="AFD24" s="271">
        <v>121507049.98</v>
      </c>
      <c r="AFE24" s="271">
        <v>48490777.359999999</v>
      </c>
      <c r="AFF24" s="271">
        <v>35088025.089999996</v>
      </c>
      <c r="AFG24" s="271">
        <v>63992940.089999996</v>
      </c>
      <c r="AFH24" s="271">
        <v>50234869.299999997</v>
      </c>
      <c r="AFI24" s="271">
        <v>37611128.060000002</v>
      </c>
      <c r="AFJ24" s="271">
        <v>37832334.339999996</v>
      </c>
      <c r="AFK24" s="271">
        <v>23052054.589999996</v>
      </c>
      <c r="AFL24" s="271">
        <v>41289588.100000001</v>
      </c>
      <c r="AFM24" s="271">
        <v>33582762.280000001</v>
      </c>
      <c r="AFN24" s="271">
        <v>34351760.850000001</v>
      </c>
      <c r="AFO24" s="271">
        <v>37822866.549999997</v>
      </c>
      <c r="AFP24" s="271">
        <v>253164683.09999999</v>
      </c>
      <c r="AFQ24" s="271">
        <v>64843646.36999999</v>
      </c>
      <c r="AFR24" s="271">
        <v>48659315.049999997</v>
      </c>
      <c r="AFS24" s="271">
        <v>36060194.159999996</v>
      </c>
      <c r="AFT24" s="271">
        <v>43189934.140000001</v>
      </c>
      <c r="AFU24" s="271">
        <v>32572976</v>
      </c>
      <c r="AFV24" s="271">
        <v>23750846.109999999</v>
      </c>
      <c r="AFW24" s="271">
        <v>48558526.390000001</v>
      </c>
      <c r="AFX24" s="271">
        <v>49442756.25</v>
      </c>
      <c r="AFY24" s="271">
        <v>27647934.740000002</v>
      </c>
      <c r="AFZ24" s="271">
        <v>58313721.839999996</v>
      </c>
      <c r="AGA24" s="271">
        <v>27218150.649999999</v>
      </c>
      <c r="AGB24" s="271">
        <v>173826051.03</v>
      </c>
      <c r="AGC24" s="271">
        <v>18294432</v>
      </c>
      <c r="AGD24" s="271">
        <v>13461298.24</v>
      </c>
      <c r="AGE24" s="271">
        <v>14215933</v>
      </c>
      <c r="AGF24" s="271">
        <v>40094833.5</v>
      </c>
      <c r="AGG24" s="271">
        <v>19943032</v>
      </c>
      <c r="AGH24" s="271">
        <v>11905627</v>
      </c>
      <c r="AGI24" s="271">
        <v>18560391.280000001</v>
      </c>
      <c r="AGJ24" s="271">
        <v>15969668</v>
      </c>
      <c r="AGK24" s="271">
        <v>14230368.5</v>
      </c>
      <c r="AGL24" s="271">
        <v>14235734</v>
      </c>
      <c r="AGM24" s="271">
        <v>272487059.16999996</v>
      </c>
      <c r="AGN24" s="271">
        <v>84213677.810000002</v>
      </c>
      <c r="AGO24" s="271">
        <v>53389800.5</v>
      </c>
      <c r="AGP24" s="271">
        <v>26199064.5</v>
      </c>
      <c r="AGQ24" s="271">
        <v>60184146.590000004</v>
      </c>
      <c r="AGR24" s="271">
        <v>44954445.009999998</v>
      </c>
      <c r="AGS24" s="271">
        <v>24112415.949999999</v>
      </c>
      <c r="AGT24" s="271">
        <v>31244412.030000001</v>
      </c>
      <c r="AGU24" s="271">
        <v>377190245.09000003</v>
      </c>
      <c r="AGV24" s="271">
        <v>231359297.75</v>
      </c>
      <c r="AGW24" s="271">
        <v>20098580.810000002</v>
      </c>
      <c r="AGX24" s="271">
        <v>62372076.280000009</v>
      </c>
      <c r="AGY24" s="271">
        <v>86481772.090000004</v>
      </c>
      <c r="AGZ24" s="271">
        <v>49016638.700000003</v>
      </c>
      <c r="AHA24" s="271">
        <v>46496797.850000001</v>
      </c>
      <c r="AHB24" s="271">
        <v>26228165.350000001</v>
      </c>
      <c r="AHC24" s="271">
        <v>12990031</v>
      </c>
      <c r="AHD24" s="271">
        <v>25380789.960000001</v>
      </c>
      <c r="AHE24" s="271">
        <v>32601744.52</v>
      </c>
      <c r="AHF24" s="271">
        <v>20167720.18</v>
      </c>
      <c r="AHG24" s="271">
        <v>17039601</v>
      </c>
      <c r="AHH24" s="271">
        <v>22465032.27</v>
      </c>
      <c r="AHI24" s="271">
        <v>18958862</v>
      </c>
      <c r="AHJ24" s="271">
        <v>16388956</v>
      </c>
      <c r="AHK24" s="271">
        <v>16352158.199999999</v>
      </c>
      <c r="AHL24" s="271">
        <v>92983995</v>
      </c>
      <c r="AHM24" s="271">
        <v>13681307</v>
      </c>
      <c r="AHN24" s="271">
        <v>15551806</v>
      </c>
      <c r="AHO24" s="271">
        <v>17162409.5</v>
      </c>
      <c r="AHP24" s="271">
        <v>30749817</v>
      </c>
      <c r="AHQ24" s="294">
        <v>15026719</v>
      </c>
      <c r="AHR24" s="329">
        <v>13960365</v>
      </c>
      <c r="AHS24" s="294">
        <f t="shared" si="18"/>
        <v>41957325340.179924</v>
      </c>
      <c r="AHT24" s="269" t="b">
        <f t="shared" si="1"/>
        <v>1</v>
      </c>
      <c r="AHU24" s="269" t="s">
        <v>29</v>
      </c>
    </row>
    <row r="25" spans="1:905" ht="23.4" customHeight="1" x14ac:dyDescent="0.7">
      <c r="B25" s="268" t="s">
        <v>31</v>
      </c>
      <c r="C25" s="269" t="s">
        <v>32</v>
      </c>
      <c r="D25" s="271">
        <v>49124360.039999999</v>
      </c>
      <c r="E25" s="271">
        <v>9746751.6999999993</v>
      </c>
      <c r="F25" s="271">
        <v>7168549.0700000003</v>
      </c>
      <c r="G25" s="271">
        <v>2735855.06</v>
      </c>
      <c r="H25" s="271">
        <v>9898535.3899999987</v>
      </c>
      <c r="I25" s="271">
        <v>4890652.26</v>
      </c>
      <c r="J25" s="271">
        <v>8890142.5399999991</v>
      </c>
      <c r="K25" s="271">
        <v>4789434.2699999996</v>
      </c>
      <c r="L25" s="271">
        <v>6548255.5999999996</v>
      </c>
      <c r="M25" s="271">
        <v>4003084.4399999995</v>
      </c>
      <c r="N25" s="271">
        <v>2184341.7400000002</v>
      </c>
      <c r="O25" s="271">
        <v>3082969.39</v>
      </c>
      <c r="P25" s="271">
        <v>3172863.7199999997</v>
      </c>
      <c r="Q25" s="271">
        <v>3953987.2399999998</v>
      </c>
      <c r="R25" s="271">
        <v>3465123.47</v>
      </c>
      <c r="S25" s="271">
        <v>4123949.35</v>
      </c>
      <c r="T25" s="271">
        <v>4291641.51</v>
      </c>
      <c r="U25" s="271">
        <v>1298443.6299999999</v>
      </c>
      <c r="V25" s="271">
        <v>70519122.38000001</v>
      </c>
      <c r="W25" s="271">
        <v>10599588.029999999</v>
      </c>
      <c r="X25" s="271">
        <v>2488772.44</v>
      </c>
      <c r="Y25" s="271">
        <v>4058073.22</v>
      </c>
      <c r="Z25" s="271">
        <v>3900749.78</v>
      </c>
      <c r="AA25" s="271">
        <v>4055893.7600000007</v>
      </c>
      <c r="AB25" s="271">
        <v>1727571.83</v>
      </c>
      <c r="AC25" s="271">
        <v>12270156.640000001</v>
      </c>
      <c r="AD25" s="271">
        <v>3407679.31</v>
      </c>
      <c r="AE25" s="271">
        <v>3778534.8</v>
      </c>
      <c r="AF25" s="271">
        <v>7576189.0700000003</v>
      </c>
      <c r="AG25" s="271">
        <v>2686379.24</v>
      </c>
      <c r="AH25" s="271">
        <v>10359798.359999999</v>
      </c>
      <c r="AI25" s="271">
        <v>4879573.2399999993</v>
      </c>
      <c r="AJ25" s="271">
        <v>3004644.84</v>
      </c>
      <c r="AK25" s="271">
        <v>2013814.49</v>
      </c>
      <c r="AL25" s="271">
        <v>2699530.06</v>
      </c>
      <c r="AM25" s="271">
        <v>3396643.9</v>
      </c>
      <c r="AN25" s="271">
        <v>1579997.09</v>
      </c>
      <c r="AO25" s="271">
        <v>2539594.04</v>
      </c>
      <c r="AP25" s="271">
        <v>2551641.9900000002</v>
      </c>
      <c r="AQ25" s="271">
        <v>1914850.2500000002</v>
      </c>
      <c r="AR25" s="271">
        <v>1842953.07</v>
      </c>
      <c r="AS25" s="271">
        <v>1110185.6800000002</v>
      </c>
      <c r="AT25" s="271">
        <v>25770403.84</v>
      </c>
      <c r="AU25" s="271">
        <v>1366497.3699999999</v>
      </c>
      <c r="AV25" s="271">
        <v>1782115.85</v>
      </c>
      <c r="AW25" s="271">
        <v>1641282.6</v>
      </c>
      <c r="AX25" s="271">
        <v>2579761.9400000004</v>
      </c>
      <c r="AY25" s="271">
        <v>3147632.69</v>
      </c>
      <c r="AZ25" s="271">
        <v>1332419.26</v>
      </c>
      <c r="BA25" s="271">
        <v>2516705.29</v>
      </c>
      <c r="BB25" s="271">
        <v>1570652.44</v>
      </c>
      <c r="BC25" s="271">
        <v>1253300.1299999999</v>
      </c>
      <c r="BD25" s="271">
        <v>840156.57000000007</v>
      </c>
      <c r="BE25" s="271">
        <v>1280703.98</v>
      </c>
      <c r="BF25" s="271">
        <v>6194721.9900000002</v>
      </c>
      <c r="BG25" s="271">
        <v>1040851.75</v>
      </c>
      <c r="BH25" s="271">
        <v>1606183.1800000002</v>
      </c>
      <c r="BI25" s="271">
        <v>49679857.700000003</v>
      </c>
      <c r="BJ25" s="271">
        <v>33840189.469999999</v>
      </c>
      <c r="BK25" s="271">
        <v>4025202.95</v>
      </c>
      <c r="BL25" s="271">
        <v>3197644.73</v>
      </c>
      <c r="BM25" s="271">
        <v>4368794.49</v>
      </c>
      <c r="BN25" s="271">
        <v>5398031.0800000001</v>
      </c>
      <c r="BO25" s="271">
        <v>5469735.7400000002</v>
      </c>
      <c r="BP25" s="271">
        <v>869210.63</v>
      </c>
      <c r="BQ25" s="271">
        <v>905872.41999999993</v>
      </c>
      <c r="BR25" s="271">
        <v>39715528.960000001</v>
      </c>
      <c r="BS25" s="271">
        <v>3512008.2</v>
      </c>
      <c r="BT25" s="271">
        <v>3288393.3</v>
      </c>
      <c r="BU25" s="271">
        <v>3298850.7300000004</v>
      </c>
      <c r="BV25" s="271">
        <v>2878204.27</v>
      </c>
      <c r="BW25" s="271">
        <v>1994801.1</v>
      </c>
      <c r="BX25" s="271">
        <v>1836951.7100000002</v>
      </c>
      <c r="BY25" s="271">
        <v>3259155.89</v>
      </c>
      <c r="BZ25" s="271">
        <v>6080205.9199999999</v>
      </c>
      <c r="CA25" s="271">
        <v>2216443.2999999998</v>
      </c>
      <c r="CB25" s="271">
        <v>2654618.4699999997</v>
      </c>
      <c r="CC25" s="271">
        <v>7812397.2499999991</v>
      </c>
      <c r="CD25" s="271">
        <v>1841167</v>
      </c>
      <c r="CE25" s="271">
        <v>2057684.18</v>
      </c>
      <c r="CF25" s="271">
        <v>2285818.0499999998</v>
      </c>
      <c r="CG25" s="271">
        <v>47820533.499999993</v>
      </c>
      <c r="CH25" s="271">
        <v>4812914.76</v>
      </c>
      <c r="CI25" s="271">
        <v>15146153.66</v>
      </c>
      <c r="CJ25" s="271">
        <v>3250649.38</v>
      </c>
      <c r="CK25" s="271">
        <v>5249289.7</v>
      </c>
      <c r="CL25" s="271">
        <v>5190761.66</v>
      </c>
      <c r="CM25" s="271">
        <v>4075105.84</v>
      </c>
      <c r="CN25" s="271">
        <v>6841463.6799999997</v>
      </c>
      <c r="CO25" s="271">
        <v>2067722.3800000001</v>
      </c>
      <c r="CP25" s="271">
        <v>5014862.6500000004</v>
      </c>
      <c r="CQ25" s="271">
        <v>3122592.3899999997</v>
      </c>
      <c r="CR25" s="271">
        <v>5524717.8100000005</v>
      </c>
      <c r="CS25" s="271">
        <v>4130381.96</v>
      </c>
      <c r="CT25" s="271">
        <v>28723494.849999998</v>
      </c>
      <c r="CU25" s="271">
        <v>3116935.9999999995</v>
      </c>
      <c r="CV25" s="271">
        <v>3771479.87</v>
      </c>
      <c r="CW25" s="271">
        <v>4034181.3899999997</v>
      </c>
      <c r="CX25" s="271">
        <v>3235164.73</v>
      </c>
      <c r="CY25" s="271">
        <v>5249080.42</v>
      </c>
      <c r="CZ25" s="271">
        <v>3054349.9100000006</v>
      </c>
      <c r="DA25" s="271">
        <v>1689623.15</v>
      </c>
      <c r="DB25" s="271">
        <v>15088378.73</v>
      </c>
      <c r="DC25" s="271">
        <v>57142883.799999997</v>
      </c>
      <c r="DD25" s="271">
        <v>6226731.3300000001</v>
      </c>
      <c r="DE25" s="271">
        <v>6129463.6399999997</v>
      </c>
      <c r="DF25" s="271">
        <v>10780506.550000001</v>
      </c>
      <c r="DG25" s="271">
        <v>3786573.3100000005</v>
      </c>
      <c r="DH25" s="271">
        <v>9452811.2199999988</v>
      </c>
      <c r="DI25" s="271">
        <v>3319247.8299999996</v>
      </c>
      <c r="DJ25" s="271">
        <v>1612909</v>
      </c>
      <c r="DK25" s="271">
        <v>49721897.110000007</v>
      </c>
      <c r="DL25" s="271">
        <v>5679996.1600000001</v>
      </c>
      <c r="DM25" s="271">
        <v>3897892.7900000005</v>
      </c>
      <c r="DN25" s="271">
        <v>4071428.6700000004</v>
      </c>
      <c r="DO25" s="271">
        <v>6221397.9100000001</v>
      </c>
      <c r="DP25" s="271">
        <v>4262524.92</v>
      </c>
      <c r="DQ25" s="271">
        <v>7001090.8200000003</v>
      </c>
      <c r="DR25" s="271">
        <v>2923717.23</v>
      </c>
      <c r="DS25" s="271">
        <v>7793366.4100000001</v>
      </c>
      <c r="DT25" s="271">
        <v>24700936.170000002</v>
      </c>
      <c r="DU25" s="271">
        <v>3456960.1799999997</v>
      </c>
      <c r="DV25" s="271">
        <v>6930119.6500000004</v>
      </c>
      <c r="DW25" s="271">
        <v>8344799.4300000006</v>
      </c>
      <c r="DX25" s="271">
        <v>3134269.77</v>
      </c>
      <c r="DY25" s="271">
        <v>4885966.72</v>
      </c>
      <c r="DZ25" s="271">
        <v>3798415.94</v>
      </c>
      <c r="EA25" s="271">
        <v>1940077.43</v>
      </c>
      <c r="EB25" s="271">
        <v>2436186.34</v>
      </c>
      <c r="EC25" s="271">
        <v>2148107.48</v>
      </c>
      <c r="ED25" s="271">
        <v>5309298.67</v>
      </c>
      <c r="EE25" s="271">
        <v>14100757.059999999</v>
      </c>
      <c r="EF25" s="271">
        <v>13804692.02</v>
      </c>
      <c r="EG25" s="271">
        <v>2532683.7200000002</v>
      </c>
      <c r="EH25" s="271">
        <v>3026324.48</v>
      </c>
      <c r="EI25" s="271">
        <v>2346879.7999999998</v>
      </c>
      <c r="EJ25" s="271">
        <v>3537145.79</v>
      </c>
      <c r="EK25" s="271">
        <v>4844021.3999999994</v>
      </c>
      <c r="EL25" s="271">
        <v>1993436.26</v>
      </c>
      <c r="EM25" s="271">
        <v>2067606.81</v>
      </c>
      <c r="EN25" s="271">
        <v>37060686.469999999</v>
      </c>
      <c r="EO25" s="271">
        <v>2245954.37</v>
      </c>
      <c r="EP25" s="271">
        <v>1867517.03</v>
      </c>
      <c r="EQ25" s="271">
        <v>4786127.6500000004</v>
      </c>
      <c r="ER25" s="271">
        <v>4049638.73</v>
      </c>
      <c r="ES25" s="271">
        <v>3084043.4400000004</v>
      </c>
      <c r="ET25" s="271">
        <v>8878906.9499999993</v>
      </c>
      <c r="EU25" s="271">
        <v>2417921.3099999996</v>
      </c>
      <c r="EV25" s="271">
        <v>2097575.6100000003</v>
      </c>
      <c r="EW25" s="271">
        <v>55294231.82</v>
      </c>
      <c r="EX25" s="271">
        <v>1222408.8999999999</v>
      </c>
      <c r="EY25" s="271">
        <v>2101052.83</v>
      </c>
      <c r="EZ25" s="271">
        <v>3154878.07</v>
      </c>
      <c r="FA25" s="271">
        <v>6789115.6300000008</v>
      </c>
      <c r="FB25" s="271">
        <v>3610995.1399999997</v>
      </c>
      <c r="FC25" s="271">
        <v>4735959.790000001</v>
      </c>
      <c r="FD25" s="271">
        <v>3046124.3099999996</v>
      </c>
      <c r="FE25" s="271">
        <v>1924510.3199999998</v>
      </c>
      <c r="FF25" s="271">
        <v>2145755.71</v>
      </c>
      <c r="FG25" s="271">
        <v>1933224.5</v>
      </c>
      <c r="FH25" s="271">
        <v>1074913.3</v>
      </c>
      <c r="FI25" s="271">
        <v>15193073.460000001</v>
      </c>
      <c r="FJ25" s="271">
        <v>2081946.69</v>
      </c>
      <c r="FK25" s="271">
        <v>2198193.31</v>
      </c>
      <c r="FL25" s="271">
        <v>1954035.18</v>
      </c>
      <c r="FM25" s="271">
        <v>2858399.13</v>
      </c>
      <c r="FN25" s="271">
        <v>2914159.21</v>
      </c>
      <c r="FO25" s="271">
        <v>1236633.33</v>
      </c>
      <c r="FP25" s="271">
        <v>518856.7</v>
      </c>
      <c r="FQ25" s="271">
        <v>42575965.93</v>
      </c>
      <c r="FR25" s="271">
        <v>3275046.15</v>
      </c>
      <c r="FS25" s="271">
        <v>6669676.9199999999</v>
      </c>
      <c r="FT25" s="271">
        <v>5715097.7200000007</v>
      </c>
      <c r="FU25" s="271">
        <v>7454699.4100000001</v>
      </c>
      <c r="FV25" s="271">
        <v>2035809.35</v>
      </c>
      <c r="FW25" s="271">
        <v>10514512.35</v>
      </c>
      <c r="FX25" s="271">
        <v>7386330.5899999999</v>
      </c>
      <c r="FY25" s="271">
        <v>9863243.879999999</v>
      </c>
      <c r="FZ25" s="271">
        <v>2378248.59</v>
      </c>
      <c r="GA25" s="271">
        <v>11274555.710000001</v>
      </c>
      <c r="GB25" s="271">
        <v>4040085.99</v>
      </c>
      <c r="GC25" s="271">
        <v>2908669.61</v>
      </c>
      <c r="GD25" s="271">
        <v>1795292.46</v>
      </c>
      <c r="GE25" s="271">
        <v>30039220.280000001</v>
      </c>
      <c r="GF25" s="271">
        <v>2570999.3499999996</v>
      </c>
      <c r="GG25" s="271">
        <v>2468640.2800000003</v>
      </c>
      <c r="GH25" s="271">
        <v>5675642.5800000001</v>
      </c>
      <c r="GI25" s="271">
        <v>2823021.02</v>
      </c>
      <c r="GJ25" s="271">
        <v>3502556.1900000004</v>
      </c>
      <c r="GK25" s="271">
        <v>2061934.0800000003</v>
      </c>
      <c r="GL25" s="271">
        <v>8320792.5700000003</v>
      </c>
      <c r="GM25" s="271">
        <v>5918778.0300000003</v>
      </c>
      <c r="GN25" s="271">
        <v>2865160.25</v>
      </c>
      <c r="GO25" s="271">
        <v>3399359.46</v>
      </c>
      <c r="GP25" s="271">
        <v>2073744.5099999998</v>
      </c>
      <c r="GQ25" s="271">
        <v>17992918.579999998</v>
      </c>
      <c r="GR25" s="271">
        <v>3978041.16</v>
      </c>
      <c r="GS25" s="271">
        <v>5684993.5600000005</v>
      </c>
      <c r="GT25" s="271">
        <v>4987157.3100000005</v>
      </c>
      <c r="GU25" s="271">
        <v>2326272.4900000002</v>
      </c>
      <c r="GV25" s="271">
        <v>3363853.9099999997</v>
      </c>
      <c r="GW25" s="271">
        <v>3165749.4600000004</v>
      </c>
      <c r="GX25" s="271">
        <v>1691784.52</v>
      </c>
      <c r="GY25" s="271">
        <v>11717543.190000001</v>
      </c>
      <c r="GZ25" s="271">
        <v>352687.75</v>
      </c>
      <c r="HA25" s="271">
        <v>918334.91999999993</v>
      </c>
      <c r="HB25" s="271">
        <v>881015.95</v>
      </c>
      <c r="HC25" s="271">
        <v>133624374.3</v>
      </c>
      <c r="HD25" s="271">
        <v>4678297.2700000005</v>
      </c>
      <c r="HE25" s="271">
        <v>5234297.9099999992</v>
      </c>
      <c r="HF25" s="271">
        <v>3991543.71</v>
      </c>
      <c r="HG25" s="271">
        <v>9165317.2100000009</v>
      </c>
      <c r="HH25" s="271">
        <v>6709851.8000000007</v>
      </c>
      <c r="HI25" s="271">
        <v>10483595.4</v>
      </c>
      <c r="HJ25" s="271">
        <v>20446592.48</v>
      </c>
      <c r="HK25" s="271">
        <v>13745927.300000001</v>
      </c>
      <c r="HL25" s="271">
        <v>16938297.009999998</v>
      </c>
      <c r="HM25" s="271">
        <v>19739061.739999998</v>
      </c>
      <c r="HN25" s="271">
        <v>6114276.4199999999</v>
      </c>
      <c r="HO25" s="271">
        <v>15343002.52</v>
      </c>
      <c r="HP25" s="271">
        <v>8991432.6400000006</v>
      </c>
      <c r="HQ25" s="271">
        <v>1883843.16</v>
      </c>
      <c r="HR25" s="271">
        <v>58281049.689999998</v>
      </c>
      <c r="HS25" s="271">
        <v>10714622.399999999</v>
      </c>
      <c r="HT25" s="271">
        <v>2956132.6599999997</v>
      </c>
      <c r="HU25" s="271">
        <v>1749991.6500000001</v>
      </c>
      <c r="HV25" s="271">
        <v>2024750.3400000003</v>
      </c>
      <c r="HW25" s="271">
        <v>1518821.2199999997</v>
      </c>
      <c r="HX25" s="271">
        <v>3685656.08</v>
      </c>
      <c r="HY25" s="271">
        <v>1930644.45</v>
      </c>
      <c r="HZ25" s="271">
        <v>1674898.34</v>
      </c>
      <c r="IA25" s="271">
        <v>3318422.52</v>
      </c>
      <c r="IB25" s="271">
        <v>2283781.86</v>
      </c>
      <c r="IC25" s="271">
        <v>2766928.1</v>
      </c>
      <c r="ID25" s="271">
        <v>1375269.31</v>
      </c>
      <c r="IE25" s="271">
        <v>2362310.4200000004</v>
      </c>
      <c r="IF25" s="271">
        <v>1320381.2</v>
      </c>
      <c r="IG25" s="271">
        <v>1323983.07</v>
      </c>
      <c r="IH25" s="271">
        <v>21399707.75</v>
      </c>
      <c r="II25" s="271">
        <v>10715141.709999997</v>
      </c>
      <c r="IJ25" s="271">
        <v>2940130.48</v>
      </c>
      <c r="IK25" s="271">
        <v>8373356.4900000002</v>
      </c>
      <c r="IL25" s="271">
        <v>4449662.79</v>
      </c>
      <c r="IM25" s="271">
        <v>914953.5</v>
      </c>
      <c r="IN25" s="271">
        <v>2640997.77</v>
      </c>
      <c r="IO25" s="271">
        <v>780247.5</v>
      </c>
      <c r="IP25" s="271">
        <v>4277140.8600000003</v>
      </c>
      <c r="IQ25" s="271">
        <v>1058643.6600000001</v>
      </c>
      <c r="IR25" s="271">
        <v>2175363.9500000002</v>
      </c>
      <c r="IS25" s="271">
        <v>46612311.329999998</v>
      </c>
      <c r="IT25" s="271">
        <v>18398159.760000002</v>
      </c>
      <c r="IU25" s="271">
        <v>4603058.1400000006</v>
      </c>
      <c r="IV25" s="271">
        <v>4121539.67</v>
      </c>
      <c r="IW25" s="271">
        <v>1987539.4700000002</v>
      </c>
      <c r="IX25" s="271">
        <v>1097781.8999999999</v>
      </c>
      <c r="IY25" s="271">
        <v>3365544.65</v>
      </c>
      <c r="IZ25" s="271">
        <v>1866204.2599999998</v>
      </c>
      <c r="JA25" s="271">
        <v>2317150.0300000003</v>
      </c>
      <c r="JB25" s="271">
        <v>4449447.75</v>
      </c>
      <c r="JC25" s="271">
        <v>2794194.59</v>
      </c>
      <c r="JD25" s="271">
        <v>2589807.44</v>
      </c>
      <c r="JE25" s="271">
        <v>19340823.280000001</v>
      </c>
      <c r="JF25" s="271">
        <v>9383748.4199999999</v>
      </c>
      <c r="JG25" s="271">
        <v>2210677.83</v>
      </c>
      <c r="JH25" s="271">
        <v>1893123.3800000001</v>
      </c>
      <c r="JI25" s="271">
        <v>1563347.98</v>
      </c>
      <c r="JJ25" s="271">
        <v>2787047.7199999997</v>
      </c>
      <c r="JK25" s="271">
        <v>39592767.780000001</v>
      </c>
      <c r="JL25" s="271">
        <v>1442920.5699999998</v>
      </c>
      <c r="JM25" s="271">
        <v>2550143.16</v>
      </c>
      <c r="JN25" s="271">
        <v>3391919.09</v>
      </c>
      <c r="JO25" s="271">
        <v>1783759.66</v>
      </c>
      <c r="JP25" s="271">
        <v>4333490.5599999996</v>
      </c>
      <c r="JQ25" s="271">
        <v>1675790.35</v>
      </c>
      <c r="JR25" s="271">
        <v>24030735.039999999</v>
      </c>
      <c r="JS25" s="271">
        <v>12712584.960000001</v>
      </c>
      <c r="JT25" s="271">
        <v>1174133.78</v>
      </c>
      <c r="JU25" s="271">
        <v>1536406.32</v>
      </c>
      <c r="JV25" s="271">
        <v>3586871.85</v>
      </c>
      <c r="JW25" s="271">
        <v>1232947.1800000002</v>
      </c>
      <c r="JX25" s="271">
        <v>5305571.88</v>
      </c>
      <c r="JY25" s="271">
        <v>3083351.94</v>
      </c>
      <c r="JZ25" s="271">
        <v>1558898.03</v>
      </c>
      <c r="KA25" s="271">
        <v>6734528.75</v>
      </c>
      <c r="KB25" s="271">
        <v>1868180.9099999997</v>
      </c>
      <c r="KC25" s="271">
        <v>6867104.2599999998</v>
      </c>
      <c r="KD25" s="271">
        <v>1459746.3200000003</v>
      </c>
      <c r="KE25" s="271">
        <v>220710</v>
      </c>
      <c r="KF25" s="271">
        <v>3049736.47</v>
      </c>
      <c r="KG25" s="271">
        <v>70175</v>
      </c>
      <c r="KH25" s="271">
        <v>52355867.329999998</v>
      </c>
      <c r="KI25" s="271">
        <v>9217191.3100000005</v>
      </c>
      <c r="KJ25" s="271">
        <v>2537917.9700000002</v>
      </c>
      <c r="KK25" s="271">
        <v>3106735.3200000003</v>
      </c>
      <c r="KL25" s="271">
        <v>2646917.5299999998</v>
      </c>
      <c r="KM25" s="271">
        <v>2472000.7699999996</v>
      </c>
      <c r="KN25" s="271">
        <v>8259671.7200000007</v>
      </c>
      <c r="KO25" s="271">
        <v>2879228.42</v>
      </c>
      <c r="KP25" s="271">
        <v>2632243.1100000003</v>
      </c>
      <c r="KQ25" s="271">
        <v>16033365.850000001</v>
      </c>
      <c r="KR25" s="271">
        <v>3703221.5300000003</v>
      </c>
      <c r="KS25" s="271">
        <v>3097008.48</v>
      </c>
      <c r="KT25" s="271">
        <v>10445131.16</v>
      </c>
      <c r="KU25" s="271">
        <v>3677956.41</v>
      </c>
      <c r="KV25" s="271">
        <v>2840524.4000000004</v>
      </c>
      <c r="KW25" s="271">
        <v>15216971.189999999</v>
      </c>
      <c r="KX25" s="271">
        <v>4506245.42</v>
      </c>
      <c r="KY25" s="271">
        <v>22886009.32</v>
      </c>
      <c r="KZ25" s="271">
        <v>2252222.4500000002</v>
      </c>
      <c r="LA25" s="271">
        <v>1923708.67</v>
      </c>
      <c r="LB25" s="271">
        <v>3923565.5199999996</v>
      </c>
      <c r="LC25" s="271">
        <v>4153626.17</v>
      </c>
      <c r="LD25" s="271">
        <v>2898130.1</v>
      </c>
      <c r="LE25" s="271">
        <v>2539805.46</v>
      </c>
      <c r="LF25" s="271">
        <v>1796821.32</v>
      </c>
      <c r="LG25" s="271">
        <v>48990501.329999998</v>
      </c>
      <c r="LH25" s="271">
        <v>11483669.27</v>
      </c>
      <c r="LI25" s="271">
        <v>17911889.960000001</v>
      </c>
      <c r="LJ25" s="271">
        <v>16186298.48</v>
      </c>
      <c r="LK25" s="271">
        <v>3145618.54</v>
      </c>
      <c r="LL25" s="271">
        <v>2118953.4900000002</v>
      </c>
      <c r="LM25" s="271">
        <v>1126376.1299999999</v>
      </c>
      <c r="LN25" s="271">
        <v>4514663.1899999995</v>
      </c>
      <c r="LO25" s="271">
        <v>2009177.53</v>
      </c>
      <c r="LP25" s="271">
        <v>4283249</v>
      </c>
      <c r="LQ25" s="271">
        <v>1266285.6400000001</v>
      </c>
      <c r="LR25" s="271">
        <v>17256041.93</v>
      </c>
      <c r="LS25" s="271">
        <v>2610752</v>
      </c>
      <c r="LT25" s="271">
        <v>1766577.6</v>
      </c>
      <c r="LU25" s="271">
        <v>76019096.120000005</v>
      </c>
      <c r="LV25" s="271">
        <v>24405794.390000001</v>
      </c>
      <c r="LW25" s="271">
        <v>29661338.099999998</v>
      </c>
      <c r="LX25" s="271">
        <v>11835514.83</v>
      </c>
      <c r="LY25" s="271">
        <v>5617591.5899999999</v>
      </c>
      <c r="LZ25" s="271">
        <v>4776464.5599999996</v>
      </c>
      <c r="MA25" s="271">
        <v>4951830.83</v>
      </c>
      <c r="MB25" s="271">
        <v>3174061.35</v>
      </c>
      <c r="MC25" s="271">
        <v>3394958.3200000003</v>
      </c>
      <c r="MD25" s="271">
        <v>3128564.16</v>
      </c>
      <c r="ME25" s="271">
        <v>9108826.370000001</v>
      </c>
      <c r="MF25" s="271">
        <v>2173531.4099999997</v>
      </c>
      <c r="MG25" s="271">
        <v>59421388.759999998</v>
      </c>
      <c r="MH25" s="271">
        <v>3390470.8599999994</v>
      </c>
      <c r="MI25" s="271">
        <v>1541166.88</v>
      </c>
      <c r="MJ25" s="271">
        <v>4337535.24</v>
      </c>
      <c r="MK25" s="271">
        <v>1677195.06</v>
      </c>
      <c r="ML25" s="271">
        <v>3681773.59</v>
      </c>
      <c r="MM25" s="271">
        <v>2036119.8399999999</v>
      </c>
      <c r="MN25" s="271">
        <v>2757131.33</v>
      </c>
      <c r="MO25" s="271">
        <v>6062214.6500000004</v>
      </c>
      <c r="MP25" s="271">
        <v>1879739.06</v>
      </c>
      <c r="MQ25" s="271">
        <v>2024603.86</v>
      </c>
      <c r="MR25" s="271">
        <v>1248279.5300000003</v>
      </c>
      <c r="MS25" s="271">
        <v>27407726.84</v>
      </c>
      <c r="MT25" s="271">
        <v>3233593.19</v>
      </c>
      <c r="MU25" s="271">
        <v>6850454.9000000004</v>
      </c>
      <c r="MV25" s="271">
        <v>4417879.93</v>
      </c>
      <c r="MW25" s="271">
        <v>3460887.48</v>
      </c>
      <c r="MX25" s="271">
        <v>1077280.94</v>
      </c>
      <c r="MY25" s="271">
        <v>2093625.1600000001</v>
      </c>
      <c r="MZ25" s="271">
        <v>4232817.74</v>
      </c>
      <c r="NA25" s="271">
        <v>2774796.52</v>
      </c>
      <c r="NB25" s="271">
        <v>1221605.25</v>
      </c>
      <c r="NC25" s="271">
        <v>858757.83</v>
      </c>
      <c r="ND25" s="271">
        <v>90324236.389999986</v>
      </c>
      <c r="NE25" s="271">
        <v>6218332.5499999998</v>
      </c>
      <c r="NF25" s="271">
        <v>6656537.0700000003</v>
      </c>
      <c r="NG25" s="271">
        <v>133919348.05999999</v>
      </c>
      <c r="NH25" s="271">
        <v>6069958.9000000004</v>
      </c>
      <c r="NI25" s="271">
        <v>9915885.8800000008</v>
      </c>
      <c r="NJ25" s="271">
        <v>13733686.920000002</v>
      </c>
      <c r="NK25" s="271">
        <v>20816701.32</v>
      </c>
      <c r="NL25" s="271">
        <v>866053.70000000007</v>
      </c>
      <c r="NM25" s="271">
        <v>2145730.81</v>
      </c>
      <c r="NN25" s="271">
        <v>4106490.06</v>
      </c>
      <c r="NO25" s="271">
        <v>3362333.5</v>
      </c>
      <c r="NP25" s="271">
        <v>14521964.390000001</v>
      </c>
      <c r="NQ25" s="271">
        <v>1474793.48</v>
      </c>
      <c r="NR25" s="271">
        <v>1734352.3800000001</v>
      </c>
      <c r="NS25" s="271">
        <v>1784641.1199999999</v>
      </c>
      <c r="NT25" s="271">
        <v>1646060.88</v>
      </c>
      <c r="NU25" s="271">
        <v>518845.49</v>
      </c>
      <c r="NV25" s="271">
        <v>1225664.3200000003</v>
      </c>
      <c r="NW25" s="271">
        <v>53800138.309999995</v>
      </c>
      <c r="NX25" s="271">
        <v>8122151.9999999991</v>
      </c>
      <c r="NY25" s="271">
        <v>2685129.8600000003</v>
      </c>
      <c r="NZ25" s="271">
        <v>596022.30000000005</v>
      </c>
      <c r="OA25" s="271">
        <v>2224818.8199999998</v>
      </c>
      <c r="OB25" s="271">
        <v>3253780.7300000004</v>
      </c>
      <c r="OC25" s="271">
        <v>1717055.56</v>
      </c>
      <c r="OD25" s="271">
        <v>27355873.789999999</v>
      </c>
      <c r="OE25" s="271">
        <v>13081912.48</v>
      </c>
      <c r="OF25" s="271">
        <v>6910822.6299999999</v>
      </c>
      <c r="OG25" s="271">
        <v>7683842.959999999</v>
      </c>
      <c r="OH25" s="271">
        <v>4395297.8599999994</v>
      </c>
      <c r="OI25" s="271">
        <v>4294895.7999999989</v>
      </c>
      <c r="OJ25" s="271">
        <v>3011129.6</v>
      </c>
      <c r="OK25" s="271">
        <v>1216812.9100000001</v>
      </c>
      <c r="OL25" s="271">
        <v>1725604.8699999999</v>
      </c>
      <c r="OM25" s="271">
        <v>25687484.729999997</v>
      </c>
      <c r="ON25" s="271">
        <v>7882997.5899999999</v>
      </c>
      <c r="OO25" s="271">
        <v>16399869.540000001</v>
      </c>
      <c r="OP25" s="271">
        <v>9386639.2699999996</v>
      </c>
      <c r="OQ25" s="271">
        <v>4470560.1400000006</v>
      </c>
      <c r="OR25" s="271">
        <v>7572280.0700000003</v>
      </c>
      <c r="OS25" s="271">
        <v>46788596.230000004</v>
      </c>
      <c r="OT25" s="271">
        <v>2768087.6799999997</v>
      </c>
      <c r="OU25" s="271">
        <v>2798879.89</v>
      </c>
      <c r="OV25" s="271">
        <v>5136086.6899999995</v>
      </c>
      <c r="OW25" s="271">
        <v>4935418.7</v>
      </c>
      <c r="OX25" s="271">
        <v>15486661.050000001</v>
      </c>
      <c r="OY25" s="271">
        <v>3358204.0300000003</v>
      </c>
      <c r="OZ25" s="271">
        <v>2107976.13</v>
      </c>
      <c r="PA25" s="271">
        <v>2268263.38</v>
      </c>
      <c r="PB25" s="271">
        <v>20164967.789999999</v>
      </c>
      <c r="PC25" s="271">
        <v>1857506.15</v>
      </c>
      <c r="PD25" s="271">
        <v>5124821.76</v>
      </c>
      <c r="PE25" s="271">
        <v>1554161.39</v>
      </c>
      <c r="PF25" s="271">
        <v>4110716.23</v>
      </c>
      <c r="PG25" s="271">
        <v>6190243.7000000002</v>
      </c>
      <c r="PH25" s="271">
        <v>1833881.02</v>
      </c>
      <c r="PI25" s="271">
        <v>1956318.57</v>
      </c>
      <c r="PJ25" s="271">
        <v>2409817.9</v>
      </c>
      <c r="PK25" s="271">
        <v>2356682.5300000003</v>
      </c>
      <c r="PL25" s="271">
        <v>2646183.5</v>
      </c>
      <c r="PM25" s="271">
        <v>3269493.49</v>
      </c>
      <c r="PN25" s="271">
        <v>3249294.7600000002</v>
      </c>
      <c r="PO25" s="271">
        <v>6246925.8100000005</v>
      </c>
      <c r="PP25" s="271">
        <v>931934.51</v>
      </c>
      <c r="PQ25" s="271">
        <v>655846.94000000006</v>
      </c>
      <c r="PR25" s="271">
        <v>595366.18000000005</v>
      </c>
      <c r="PS25" s="271">
        <v>693318.90999999992</v>
      </c>
      <c r="PT25" s="271">
        <v>53170622</v>
      </c>
      <c r="PU25" s="271">
        <v>957594.68</v>
      </c>
      <c r="PV25" s="271">
        <v>778256</v>
      </c>
      <c r="PW25" s="271">
        <v>3885575.04</v>
      </c>
      <c r="PX25" s="271">
        <v>9510657.1699999999</v>
      </c>
      <c r="PY25" s="271">
        <v>3817488.73</v>
      </c>
      <c r="PZ25" s="271">
        <v>5828752.0500000007</v>
      </c>
      <c r="QA25" s="271">
        <v>1847863.12</v>
      </c>
      <c r="QB25" s="271">
        <v>3799125.7199999997</v>
      </c>
      <c r="QC25" s="271">
        <v>1172515.71</v>
      </c>
      <c r="QD25" s="271">
        <v>8843913.7799999993</v>
      </c>
      <c r="QE25" s="271">
        <v>2025703.8900000001</v>
      </c>
      <c r="QF25" s="271">
        <v>1942839.27</v>
      </c>
      <c r="QG25" s="271">
        <v>3545238.3000000003</v>
      </c>
      <c r="QH25" s="271">
        <v>3875424.7600000002</v>
      </c>
      <c r="QI25" s="271">
        <v>3754740.12</v>
      </c>
      <c r="QJ25" s="271">
        <v>1200633.73</v>
      </c>
      <c r="QK25" s="271">
        <v>939303.37</v>
      </c>
      <c r="QL25" s="271">
        <v>1795987.6199999999</v>
      </c>
      <c r="QM25" s="271">
        <v>7026232.0700000003</v>
      </c>
      <c r="QN25" s="271">
        <v>7357859.1100000003</v>
      </c>
      <c r="QO25" s="271">
        <v>4469266.7</v>
      </c>
      <c r="QP25" s="271">
        <v>5513647.1299999999</v>
      </c>
      <c r="QQ25" s="271">
        <v>718950.40000000002</v>
      </c>
      <c r="QR25" s="271">
        <v>533477.66</v>
      </c>
      <c r="QS25" s="271">
        <v>999833.03</v>
      </c>
      <c r="QT25" s="271">
        <v>29396752.280000001</v>
      </c>
      <c r="QU25" s="271">
        <v>582411.9</v>
      </c>
      <c r="QV25" s="271">
        <v>3463245.1799999997</v>
      </c>
      <c r="QW25" s="271">
        <v>786260.26</v>
      </c>
      <c r="QX25" s="271">
        <v>926121.22</v>
      </c>
      <c r="QY25" s="271">
        <v>3143934.84</v>
      </c>
      <c r="QZ25" s="271">
        <v>737644.47</v>
      </c>
      <c r="RA25" s="271">
        <v>2664120.12</v>
      </c>
      <c r="RB25" s="271">
        <v>1215001.3</v>
      </c>
      <c r="RC25" s="271">
        <v>417668.6</v>
      </c>
      <c r="RD25" s="271">
        <v>630775.06000000006</v>
      </c>
      <c r="RE25" s="271">
        <v>322280</v>
      </c>
      <c r="RF25" s="271">
        <v>401706.5</v>
      </c>
      <c r="RG25" s="271">
        <v>38106794.169999994</v>
      </c>
      <c r="RH25" s="271">
        <v>4673944.97</v>
      </c>
      <c r="RI25" s="271">
        <v>546858.6</v>
      </c>
      <c r="RJ25" s="271">
        <v>2929579.92</v>
      </c>
      <c r="RK25" s="271">
        <v>702157.10000000009</v>
      </c>
      <c r="RL25" s="271">
        <v>2720600.8000000003</v>
      </c>
      <c r="RM25" s="271">
        <v>993802.92</v>
      </c>
      <c r="RN25" s="271">
        <v>2220476.2800000003</v>
      </c>
      <c r="RO25" s="271">
        <v>2423468.4899999998</v>
      </c>
      <c r="RP25" s="271">
        <v>1921453.2</v>
      </c>
      <c r="RQ25" s="271">
        <v>1810343.0499999998</v>
      </c>
      <c r="RR25" s="271">
        <v>2155714.75</v>
      </c>
      <c r="RS25" s="271">
        <v>1383556.5</v>
      </c>
      <c r="RT25" s="271">
        <v>2183542.3199999998</v>
      </c>
      <c r="RU25" s="271">
        <v>376620.6</v>
      </c>
      <c r="RV25" s="271">
        <v>2025299.08</v>
      </c>
      <c r="RW25" s="271">
        <v>2367629.2999999998</v>
      </c>
      <c r="RX25" s="271">
        <v>215970.97</v>
      </c>
      <c r="RY25" s="271">
        <v>297759</v>
      </c>
      <c r="RZ25" s="271">
        <v>262126.08000000002</v>
      </c>
      <c r="SA25" s="271">
        <v>19039326.060000002</v>
      </c>
      <c r="SB25" s="271">
        <v>1702318.6700000002</v>
      </c>
      <c r="SC25" s="271">
        <v>5356928.32</v>
      </c>
      <c r="SD25" s="271">
        <v>5984576.2599999998</v>
      </c>
      <c r="SE25" s="271">
        <v>3711606.94</v>
      </c>
      <c r="SF25" s="271">
        <v>4970082.1300000008</v>
      </c>
      <c r="SG25" s="271">
        <v>8170922.7699999996</v>
      </c>
      <c r="SH25" s="271">
        <v>4541224.2100000009</v>
      </c>
      <c r="SI25" s="271">
        <v>5357402.88</v>
      </c>
      <c r="SJ25" s="271">
        <v>2112677.96</v>
      </c>
      <c r="SK25" s="271">
        <v>13562445.6</v>
      </c>
      <c r="SL25" s="271">
        <v>5239005.4000000004</v>
      </c>
      <c r="SM25" s="271">
        <v>9149737.540000001</v>
      </c>
      <c r="SN25" s="271">
        <v>1769181.58</v>
      </c>
      <c r="SO25" s="271">
        <v>2319352.0099999998</v>
      </c>
      <c r="SP25" s="271">
        <v>3509890.92</v>
      </c>
      <c r="SQ25" s="271">
        <v>2241767.81</v>
      </c>
      <c r="SR25" s="271">
        <v>1722166.8900000001</v>
      </c>
      <c r="SS25" s="271">
        <v>2077737.1099999999</v>
      </c>
      <c r="ST25" s="271">
        <v>980416.29</v>
      </c>
      <c r="SU25" s="271">
        <v>20355171.07</v>
      </c>
      <c r="SV25" s="271">
        <v>1414438.29</v>
      </c>
      <c r="SW25" s="271">
        <v>3019762.54</v>
      </c>
      <c r="SX25" s="271">
        <v>1809488.7999999998</v>
      </c>
      <c r="SY25" s="271">
        <v>1902437.9</v>
      </c>
      <c r="SZ25" s="271">
        <v>1439774.53</v>
      </c>
      <c r="TA25" s="271">
        <v>1139862.75</v>
      </c>
      <c r="TB25" s="271">
        <v>4753130.6799999988</v>
      </c>
      <c r="TC25" s="271">
        <v>1337498.83</v>
      </c>
      <c r="TD25" s="271">
        <v>1656593.78</v>
      </c>
      <c r="TE25" s="271">
        <v>2109319.58</v>
      </c>
      <c r="TF25" s="271">
        <v>3204528.37</v>
      </c>
      <c r="TG25" s="271">
        <v>1492901.95</v>
      </c>
      <c r="TH25" s="271">
        <v>982436.92</v>
      </c>
      <c r="TI25" s="271">
        <v>32819038.739999995</v>
      </c>
      <c r="TJ25" s="271">
        <v>2033639.95</v>
      </c>
      <c r="TK25" s="271">
        <v>1770778.47</v>
      </c>
      <c r="TL25" s="271">
        <v>3685149.39</v>
      </c>
      <c r="TM25" s="271">
        <v>5857509.2800000003</v>
      </c>
      <c r="TN25" s="271">
        <v>7696454</v>
      </c>
      <c r="TO25" s="271">
        <v>1660367</v>
      </c>
      <c r="TP25" s="271">
        <v>6752299.9299999997</v>
      </c>
      <c r="TQ25" s="271">
        <v>3150582.1100000003</v>
      </c>
      <c r="TR25" s="271">
        <v>3785796.0300000003</v>
      </c>
      <c r="TS25" s="271">
        <v>5757234.1600000001</v>
      </c>
      <c r="TT25" s="271">
        <v>3197448.5700000003</v>
      </c>
      <c r="TU25" s="271">
        <v>1539941.29</v>
      </c>
      <c r="TV25" s="271">
        <v>2599549.83</v>
      </c>
      <c r="TW25" s="271">
        <v>2158712.9</v>
      </c>
      <c r="TX25" s="271">
        <v>3000786.4000000004</v>
      </c>
      <c r="TY25" s="271">
        <v>11908822.529999999</v>
      </c>
      <c r="TZ25" s="271">
        <v>2704492.66</v>
      </c>
      <c r="UA25" s="271">
        <v>19904851.210000001</v>
      </c>
      <c r="UB25" s="271">
        <v>9360910.25</v>
      </c>
      <c r="UC25" s="271">
        <v>3730203.63</v>
      </c>
      <c r="UD25" s="271">
        <v>3479328.04</v>
      </c>
      <c r="UE25" s="271">
        <v>15271640.08</v>
      </c>
      <c r="UF25" s="271">
        <v>2284619</v>
      </c>
      <c r="UG25" s="271">
        <v>1638307.38</v>
      </c>
      <c r="UH25" s="271">
        <v>1206185.9400000002</v>
      </c>
      <c r="UI25" s="271">
        <v>1160982.3</v>
      </c>
      <c r="UJ25" s="271">
        <v>17107606.939999998</v>
      </c>
      <c r="UK25" s="271">
        <v>8844571.1400000006</v>
      </c>
      <c r="UL25" s="271">
        <v>7216089</v>
      </c>
      <c r="UM25" s="271">
        <v>9409635.9499999993</v>
      </c>
      <c r="UN25" s="271">
        <v>4686875.2</v>
      </c>
      <c r="UO25" s="271">
        <v>3195903.86</v>
      </c>
      <c r="UP25" s="271">
        <v>77907805.25999999</v>
      </c>
      <c r="UQ25" s="271">
        <v>10287528.74</v>
      </c>
      <c r="UR25" s="271">
        <v>2883093.64</v>
      </c>
      <c r="US25" s="271">
        <v>24422546.41</v>
      </c>
      <c r="UT25" s="271">
        <v>792876.57</v>
      </c>
      <c r="UU25" s="271">
        <v>2573562.62</v>
      </c>
      <c r="UV25" s="271">
        <v>5278283.7200000007</v>
      </c>
      <c r="UW25" s="271">
        <v>2155154.9300000002</v>
      </c>
      <c r="UX25" s="271">
        <v>1656306.0899999999</v>
      </c>
      <c r="UY25" s="271">
        <v>4371787.58</v>
      </c>
      <c r="UZ25" s="271">
        <v>2651511.2800000003</v>
      </c>
      <c r="VA25" s="271">
        <v>14490563.370000001</v>
      </c>
      <c r="VB25" s="271">
        <v>5715165.2400000002</v>
      </c>
      <c r="VC25" s="271">
        <v>3735335.25</v>
      </c>
      <c r="VD25" s="271">
        <v>1509044.42</v>
      </c>
      <c r="VE25" s="271">
        <v>2810813.93</v>
      </c>
      <c r="VF25" s="271">
        <v>1171600.02</v>
      </c>
      <c r="VG25" s="271">
        <v>1462224.7599999998</v>
      </c>
      <c r="VH25" s="271">
        <v>6433536.0199999996</v>
      </c>
      <c r="VI25" s="271">
        <v>2675518.9500000002</v>
      </c>
      <c r="VJ25" s="271">
        <v>912041.96000000008</v>
      </c>
      <c r="VK25" s="271">
        <v>959934.89999999991</v>
      </c>
      <c r="VL25" s="271">
        <v>24669734.5</v>
      </c>
      <c r="VM25" s="271">
        <v>2830713.5</v>
      </c>
      <c r="VN25" s="271">
        <v>3927072.77</v>
      </c>
      <c r="VO25" s="271">
        <v>3931929.5300000003</v>
      </c>
      <c r="VP25" s="271">
        <v>4340312.78</v>
      </c>
      <c r="VQ25" s="271">
        <v>3402172.6900000004</v>
      </c>
      <c r="VR25" s="271">
        <v>3352123.9899999998</v>
      </c>
      <c r="VS25" s="271">
        <v>2460382.1</v>
      </c>
      <c r="VT25" s="271">
        <v>2066284.92</v>
      </c>
      <c r="VU25" s="271">
        <v>8526421.4100000001</v>
      </c>
      <c r="VV25" s="271">
        <v>2377453.5399999996</v>
      </c>
      <c r="VW25" s="271">
        <v>3826012.5800000005</v>
      </c>
      <c r="VX25" s="271">
        <v>3155770.56</v>
      </c>
      <c r="VY25" s="271">
        <v>1780223.97</v>
      </c>
      <c r="VZ25" s="271">
        <v>1904698.9099999997</v>
      </c>
      <c r="WA25" s="271">
        <v>68735016.830000013</v>
      </c>
      <c r="WB25" s="271">
        <v>4195837.9399999995</v>
      </c>
      <c r="WC25" s="271">
        <v>3396290.27</v>
      </c>
      <c r="WD25" s="271">
        <v>2062958.24</v>
      </c>
      <c r="WE25" s="271">
        <v>1657823.85</v>
      </c>
      <c r="WF25" s="271">
        <v>3423561.2600000002</v>
      </c>
      <c r="WG25" s="271">
        <v>4351487.21</v>
      </c>
      <c r="WH25" s="271">
        <v>5202632.79</v>
      </c>
      <c r="WI25" s="271">
        <v>2754312.2199999997</v>
      </c>
      <c r="WJ25" s="271">
        <v>3792203.77</v>
      </c>
      <c r="WK25" s="271">
        <v>2639077.5099999998</v>
      </c>
      <c r="WL25" s="271">
        <v>8123497.8100000005</v>
      </c>
      <c r="WM25" s="271">
        <v>3498073.5599999996</v>
      </c>
      <c r="WN25" s="271">
        <v>4492562.18</v>
      </c>
      <c r="WO25" s="271">
        <v>5874779.1899999995</v>
      </c>
      <c r="WP25" s="271">
        <v>686165.5</v>
      </c>
      <c r="WQ25" s="271">
        <v>3638213.76</v>
      </c>
      <c r="WR25" s="271">
        <v>2410432.5</v>
      </c>
      <c r="WS25" s="271">
        <v>4851266.22</v>
      </c>
      <c r="WT25" s="271">
        <v>5558257.6699999999</v>
      </c>
      <c r="WU25" s="271">
        <v>112748718.09</v>
      </c>
      <c r="WV25" s="271">
        <v>2990215.82</v>
      </c>
      <c r="WW25" s="271">
        <v>1997821.4400000002</v>
      </c>
      <c r="WX25" s="271">
        <v>520010</v>
      </c>
      <c r="WY25" s="271">
        <v>1718587.46</v>
      </c>
      <c r="WZ25" s="271">
        <v>1653534.84</v>
      </c>
      <c r="XA25" s="271">
        <v>1691938.7000000002</v>
      </c>
      <c r="XB25" s="271">
        <v>2114257.31</v>
      </c>
      <c r="XC25" s="271">
        <v>7567325.71</v>
      </c>
      <c r="XD25" s="271">
        <v>1165717.5</v>
      </c>
      <c r="XE25" s="271">
        <v>238267</v>
      </c>
      <c r="XF25" s="271">
        <v>790548.15999999992</v>
      </c>
      <c r="XG25" s="271">
        <v>1194488.31</v>
      </c>
      <c r="XH25" s="271">
        <v>44768960.359999999</v>
      </c>
      <c r="XI25" s="271">
        <v>5006257.1500000004</v>
      </c>
      <c r="XJ25" s="271">
        <v>5873033.1099999994</v>
      </c>
      <c r="XK25" s="271">
        <v>17278194.219999999</v>
      </c>
      <c r="XL25" s="271">
        <v>3637851.7</v>
      </c>
      <c r="XM25" s="271">
        <v>4370048.57</v>
      </c>
      <c r="XN25" s="271">
        <v>12207908.440000001</v>
      </c>
      <c r="XO25" s="271">
        <v>5144325.3</v>
      </c>
      <c r="XP25" s="271">
        <v>3726088.23</v>
      </c>
      <c r="XQ25" s="271">
        <v>8622643.7200000007</v>
      </c>
      <c r="XR25" s="271">
        <v>5951605.1499999994</v>
      </c>
      <c r="XS25" s="271">
        <v>2597197.17</v>
      </c>
      <c r="XT25" s="271">
        <v>3652574.81</v>
      </c>
      <c r="XU25" s="271">
        <v>2801469.4</v>
      </c>
      <c r="XV25" s="271">
        <v>2639510.5999999996</v>
      </c>
      <c r="XW25" s="271">
        <v>3272697.69</v>
      </c>
      <c r="XX25" s="271">
        <v>1818688.3699999999</v>
      </c>
      <c r="XY25" s="271">
        <v>2327626.38</v>
      </c>
      <c r="XZ25" s="271">
        <v>2607845.37</v>
      </c>
      <c r="YA25" s="271">
        <v>2197835.9899999998</v>
      </c>
      <c r="YB25" s="271">
        <v>1694789.4700000002</v>
      </c>
      <c r="YC25" s="271">
        <v>1595340.51</v>
      </c>
      <c r="YD25" s="271">
        <v>1814181.33</v>
      </c>
      <c r="YE25" s="271">
        <v>40843096.719999999</v>
      </c>
      <c r="YF25" s="271">
        <v>2436797.71</v>
      </c>
      <c r="YG25" s="271">
        <v>4254330.3699999992</v>
      </c>
      <c r="YH25" s="271">
        <v>2719269.21</v>
      </c>
      <c r="YI25" s="271">
        <v>8112138.8899999997</v>
      </c>
      <c r="YJ25" s="271">
        <v>3418959.23</v>
      </c>
      <c r="YK25" s="271">
        <v>4631356.2300000004</v>
      </c>
      <c r="YL25" s="271">
        <v>1969022.32</v>
      </c>
      <c r="YM25" s="271">
        <v>6338316.8499999996</v>
      </c>
      <c r="YN25" s="271">
        <v>6075794.5800000001</v>
      </c>
      <c r="YO25" s="271">
        <v>4093603.65</v>
      </c>
      <c r="YP25" s="271">
        <v>3455340.6900000004</v>
      </c>
      <c r="YQ25" s="271">
        <v>1670167.18</v>
      </c>
      <c r="YR25" s="271">
        <v>1683601</v>
      </c>
      <c r="YS25" s="271">
        <v>1109999.6299999999</v>
      </c>
      <c r="YT25" s="271">
        <v>1159738.72</v>
      </c>
      <c r="YU25" s="271">
        <v>790832.78</v>
      </c>
      <c r="YV25" s="271">
        <v>16878203.129999999</v>
      </c>
      <c r="YW25" s="271">
        <v>4454225.16</v>
      </c>
      <c r="YX25" s="271">
        <v>7337600.959999999</v>
      </c>
      <c r="YY25" s="271">
        <v>4723288.68</v>
      </c>
      <c r="YZ25" s="271">
        <v>10681749.33</v>
      </c>
      <c r="ZA25" s="271">
        <v>1839655.63</v>
      </c>
      <c r="ZB25" s="271">
        <v>2844811.88</v>
      </c>
      <c r="ZC25" s="271">
        <v>18764910.599999998</v>
      </c>
      <c r="ZD25" s="271">
        <v>3343665.7399999998</v>
      </c>
      <c r="ZE25" s="271">
        <v>2849326.4699999997</v>
      </c>
      <c r="ZF25" s="271">
        <v>3330481.57</v>
      </c>
      <c r="ZG25" s="271">
        <v>6346403.1400000006</v>
      </c>
      <c r="ZH25" s="271">
        <v>2828571.77</v>
      </c>
      <c r="ZI25" s="271">
        <v>2592986.48</v>
      </c>
      <c r="ZJ25" s="271">
        <v>1980302.7899999998</v>
      </c>
      <c r="ZK25" s="271">
        <v>7036995.9899999984</v>
      </c>
      <c r="ZL25" s="271">
        <v>78691289.629999995</v>
      </c>
      <c r="ZM25" s="271">
        <v>2870549.78</v>
      </c>
      <c r="ZN25" s="271">
        <v>4430402.5600000005</v>
      </c>
      <c r="ZO25" s="271">
        <v>7896254.8300000001</v>
      </c>
      <c r="ZP25" s="271">
        <v>4781849.88</v>
      </c>
      <c r="ZQ25" s="271">
        <v>6081106.9500000002</v>
      </c>
      <c r="ZR25" s="271">
        <v>11299933.23</v>
      </c>
      <c r="ZS25" s="271">
        <v>4406262.49</v>
      </c>
      <c r="ZT25" s="271">
        <v>4668027.1099999994</v>
      </c>
      <c r="ZU25" s="271">
        <v>5808901.5299999993</v>
      </c>
      <c r="ZV25" s="271">
        <v>1929945.86</v>
      </c>
      <c r="ZW25" s="271">
        <v>2302952.83</v>
      </c>
      <c r="ZX25" s="271">
        <v>1668898.85</v>
      </c>
      <c r="ZY25" s="271">
        <v>2683527.6300000004</v>
      </c>
      <c r="ZZ25" s="271">
        <v>3094553.9400000004</v>
      </c>
      <c r="AAA25" s="271">
        <v>2212241.81</v>
      </c>
      <c r="AAB25" s="271">
        <v>1935899.87</v>
      </c>
      <c r="AAC25" s="271">
        <v>1813223.7400000002</v>
      </c>
      <c r="AAD25" s="271">
        <v>3708876.5599999996</v>
      </c>
      <c r="AAE25" s="271">
        <v>1251845.42</v>
      </c>
      <c r="AAF25" s="271">
        <v>2556127.44</v>
      </c>
      <c r="AAG25" s="271">
        <v>1178214.73</v>
      </c>
      <c r="AAH25" s="271">
        <v>19272413.469999999</v>
      </c>
      <c r="AAI25" s="271">
        <v>2347674.7599999998</v>
      </c>
      <c r="AAJ25" s="271">
        <v>2747787.91</v>
      </c>
      <c r="AAK25" s="271">
        <v>2742655.36</v>
      </c>
      <c r="AAL25" s="271">
        <v>2514883.58</v>
      </c>
      <c r="AAM25" s="271">
        <v>3460641.0999999996</v>
      </c>
      <c r="AAN25" s="271">
        <v>2003342.37</v>
      </c>
      <c r="AAO25" s="271">
        <v>73731729.519999996</v>
      </c>
      <c r="AAP25" s="271">
        <v>5849657.9700000007</v>
      </c>
      <c r="AAQ25" s="271">
        <v>6429007.0699999994</v>
      </c>
      <c r="AAR25" s="271">
        <v>8550659.5700000003</v>
      </c>
      <c r="AAS25" s="271">
        <v>3596909.15</v>
      </c>
      <c r="AAT25" s="271">
        <v>2333955.04</v>
      </c>
      <c r="AAU25" s="271">
        <v>6417564.5199999996</v>
      </c>
      <c r="AAV25" s="271">
        <v>2696157.46</v>
      </c>
      <c r="AAW25" s="271">
        <v>13052577.48</v>
      </c>
      <c r="AAX25" s="271">
        <v>10454968.120000001</v>
      </c>
      <c r="AAY25" s="271">
        <v>13286016.189999999</v>
      </c>
      <c r="AAZ25" s="271">
        <v>10164337.879999999</v>
      </c>
      <c r="ABA25" s="271">
        <v>5062018.54</v>
      </c>
      <c r="ABB25" s="271">
        <v>1654106.7200000002</v>
      </c>
      <c r="ABC25" s="271">
        <v>1902662.5499999998</v>
      </c>
      <c r="ABD25" s="271">
        <v>2371835.77</v>
      </c>
      <c r="ABE25" s="271">
        <v>1629736.07</v>
      </c>
      <c r="ABF25" s="271">
        <v>2260870.59</v>
      </c>
      <c r="ABG25" s="271">
        <v>4057375.2299999995</v>
      </c>
      <c r="ABH25" s="271">
        <v>39715559.200000003</v>
      </c>
      <c r="ABI25" s="271">
        <v>36995390.789999999</v>
      </c>
      <c r="ABJ25" s="271">
        <v>1318397.6999999997</v>
      </c>
      <c r="ABK25" s="271">
        <v>978829.2</v>
      </c>
      <c r="ABL25" s="271">
        <v>5308582.5</v>
      </c>
      <c r="ABM25" s="271">
        <v>2913220.36</v>
      </c>
      <c r="ABN25" s="271">
        <v>5811699.5300000003</v>
      </c>
      <c r="ABO25" s="271">
        <v>30840209.259999998</v>
      </c>
      <c r="ABP25" s="271">
        <v>2477628.7200000002</v>
      </c>
      <c r="ABQ25" s="271">
        <v>1381973.6</v>
      </c>
      <c r="ABR25" s="271">
        <v>3868586.85</v>
      </c>
      <c r="ABS25" s="271">
        <v>4343896.9700000007</v>
      </c>
      <c r="ABT25" s="271">
        <v>3170347.01</v>
      </c>
      <c r="ABU25" s="271">
        <v>2199795.7999999998</v>
      </c>
      <c r="ABV25" s="271">
        <v>4022186</v>
      </c>
      <c r="ABW25" s="271">
        <v>934917.88</v>
      </c>
      <c r="ABX25" s="271">
        <v>45195166.960000001</v>
      </c>
      <c r="ABY25" s="271">
        <v>1592386.8</v>
      </c>
      <c r="ABZ25" s="271">
        <v>5765218.5999999996</v>
      </c>
      <c r="ACA25" s="271">
        <v>2113376.5499999998</v>
      </c>
      <c r="ACB25" s="271">
        <v>1837542.46</v>
      </c>
      <c r="ACC25" s="271">
        <v>5378121.9199999999</v>
      </c>
      <c r="ACD25" s="271">
        <v>2164122.9299999997</v>
      </c>
      <c r="ACE25" s="271">
        <v>3625526.0700000003</v>
      </c>
      <c r="ACF25" s="271">
        <v>2093812.7999999998</v>
      </c>
      <c r="ACG25" s="271">
        <v>3294506.5300000003</v>
      </c>
      <c r="ACH25" s="271">
        <v>1710309.07</v>
      </c>
      <c r="ACI25" s="271">
        <v>42259892.899999991</v>
      </c>
      <c r="ACJ25" s="271">
        <v>2497055.0499999998</v>
      </c>
      <c r="ACK25" s="271">
        <v>3980146.0200000005</v>
      </c>
      <c r="ACL25" s="271">
        <v>6829516.2699999996</v>
      </c>
      <c r="ACM25" s="271">
        <v>1987634.68</v>
      </c>
      <c r="ACN25" s="271">
        <v>3237008.15</v>
      </c>
      <c r="ACO25" s="271">
        <v>3392424</v>
      </c>
      <c r="ACP25" s="271">
        <v>9849542.4499999993</v>
      </c>
      <c r="ACQ25" s="271">
        <v>5015705.75</v>
      </c>
      <c r="ACR25" s="271">
        <v>2116744.9699999997</v>
      </c>
      <c r="ACS25" s="271">
        <v>2525451.66</v>
      </c>
      <c r="ACT25" s="271">
        <v>2294891.17</v>
      </c>
      <c r="ACU25" s="271">
        <v>793858.24</v>
      </c>
      <c r="ACV25" s="271">
        <v>21217246.629999999</v>
      </c>
      <c r="ACW25" s="271">
        <v>2108571.7999999998</v>
      </c>
      <c r="ACX25" s="271">
        <v>2835720.76</v>
      </c>
      <c r="ACY25" s="271">
        <v>1972370.0700000003</v>
      </c>
      <c r="ACZ25" s="271">
        <v>2062258.5999999999</v>
      </c>
      <c r="ADA25" s="271">
        <v>1831132.79</v>
      </c>
      <c r="ADB25" s="271">
        <v>1122021.6100000001</v>
      </c>
      <c r="ADC25" s="271">
        <v>816875.22</v>
      </c>
      <c r="ADD25" s="271">
        <v>861969.64</v>
      </c>
      <c r="ADE25" s="271">
        <v>2319690.92</v>
      </c>
      <c r="ADF25" s="271">
        <v>12129271.560000001</v>
      </c>
      <c r="ADG25" s="271">
        <v>9933543.040000001</v>
      </c>
      <c r="ADH25" s="271">
        <v>1624040.1199999999</v>
      </c>
      <c r="ADI25" s="271">
        <v>1564084.0999999999</v>
      </c>
      <c r="ADJ25" s="271">
        <v>3766436.06</v>
      </c>
      <c r="ADK25" s="271">
        <v>1353043.77</v>
      </c>
      <c r="ADL25" s="271">
        <v>2156711.52</v>
      </c>
      <c r="ADM25" s="271">
        <v>1745123.76</v>
      </c>
      <c r="ADN25" s="271">
        <v>2172139.83</v>
      </c>
      <c r="ADO25" s="271">
        <v>88364064.719999999</v>
      </c>
      <c r="ADP25" s="271">
        <v>4893022.16</v>
      </c>
      <c r="ADQ25" s="271">
        <v>5531566.5599999996</v>
      </c>
      <c r="ADR25" s="271">
        <v>623882</v>
      </c>
      <c r="ADS25" s="271">
        <v>13916330.229999997</v>
      </c>
      <c r="ADT25" s="271">
        <v>2598708.46</v>
      </c>
      <c r="ADU25" s="271">
        <v>482899.19</v>
      </c>
      <c r="ADV25" s="271">
        <v>2501318.5400000005</v>
      </c>
      <c r="ADW25" s="271">
        <v>778157.04</v>
      </c>
      <c r="ADX25" s="271">
        <v>1077240.81</v>
      </c>
      <c r="ADY25" s="271">
        <v>67902773.629999995</v>
      </c>
      <c r="ADZ25" s="271">
        <v>8995520.8599999994</v>
      </c>
      <c r="AEA25" s="271">
        <v>12579286.899999999</v>
      </c>
      <c r="AEB25" s="271">
        <v>3975547.69</v>
      </c>
      <c r="AEC25" s="271">
        <v>1303650.3400000001</v>
      </c>
      <c r="AED25" s="271">
        <v>5706679.0899999999</v>
      </c>
      <c r="AEE25" s="271">
        <v>4146298.8799999999</v>
      </c>
      <c r="AEF25" s="271">
        <v>4742646.87</v>
      </c>
      <c r="AEG25" s="271">
        <v>3868009.75</v>
      </c>
      <c r="AEH25" s="271">
        <v>3408292.83</v>
      </c>
      <c r="AEI25" s="271">
        <v>1734428.45</v>
      </c>
      <c r="AEJ25" s="271">
        <v>3659423.12</v>
      </c>
      <c r="AEK25" s="271">
        <v>2382247.1899999995</v>
      </c>
      <c r="AEL25" s="271">
        <v>4108811.13</v>
      </c>
      <c r="AEM25" s="271">
        <v>4209545.5299999993</v>
      </c>
      <c r="AEN25" s="271">
        <v>4129529.59</v>
      </c>
      <c r="AEO25" s="271">
        <v>3289632.9800000004</v>
      </c>
      <c r="AEP25" s="271">
        <v>5976836.54</v>
      </c>
      <c r="AEQ25" s="271">
        <v>1923846.0599999998</v>
      </c>
      <c r="AER25" s="271">
        <v>9769039.4699999988</v>
      </c>
      <c r="AES25" s="271">
        <v>52044365.989999995</v>
      </c>
      <c r="AET25" s="271">
        <v>4501767.42</v>
      </c>
      <c r="AEU25" s="271">
        <v>5132197.38</v>
      </c>
      <c r="AEV25" s="271">
        <v>2955380.9999999995</v>
      </c>
      <c r="AEW25" s="271">
        <v>2717772.71</v>
      </c>
      <c r="AEX25" s="271">
        <v>5876407.9699999997</v>
      </c>
      <c r="AEY25" s="271">
        <v>3366971.5300000003</v>
      </c>
      <c r="AEZ25" s="271">
        <v>3301224.84</v>
      </c>
      <c r="AFA25" s="271">
        <v>2381329</v>
      </c>
      <c r="AFB25" s="271">
        <v>1267369.5</v>
      </c>
      <c r="AFC25" s="271">
        <v>20054200.640000001</v>
      </c>
      <c r="AFD25" s="271">
        <v>13716663.539999999</v>
      </c>
      <c r="AFE25" s="271">
        <v>3399521.47</v>
      </c>
      <c r="AFF25" s="271">
        <v>3363025.0900000003</v>
      </c>
      <c r="AFG25" s="271">
        <v>4294621.93</v>
      </c>
      <c r="AFH25" s="271">
        <v>4607595.4399999995</v>
      </c>
      <c r="AFI25" s="271">
        <v>2722460.96</v>
      </c>
      <c r="AFJ25" s="271">
        <v>4622617.04</v>
      </c>
      <c r="AFK25" s="271">
        <v>1923782.63</v>
      </c>
      <c r="AFL25" s="271">
        <v>2917056.41</v>
      </c>
      <c r="AFM25" s="271">
        <v>2539825.12</v>
      </c>
      <c r="AFN25" s="271">
        <v>2661499.98</v>
      </c>
      <c r="AFO25" s="271">
        <v>3639514.75</v>
      </c>
      <c r="AFP25" s="271">
        <v>21248113.330000002</v>
      </c>
      <c r="AFQ25" s="271">
        <v>5272203.6899999995</v>
      </c>
      <c r="AFR25" s="271">
        <v>3836161.38</v>
      </c>
      <c r="AFS25" s="271">
        <v>3031217.82</v>
      </c>
      <c r="AFT25" s="271">
        <v>2744572.48</v>
      </c>
      <c r="AFU25" s="271">
        <v>9010275.1699999999</v>
      </c>
      <c r="AFV25" s="271">
        <v>1718604.75</v>
      </c>
      <c r="AFW25" s="271">
        <v>12854936.1</v>
      </c>
      <c r="AFX25" s="271">
        <v>10847990.109999999</v>
      </c>
      <c r="AFY25" s="271">
        <v>1372323.81</v>
      </c>
      <c r="AFZ25" s="271">
        <v>12155751.550000001</v>
      </c>
      <c r="AGA25" s="271">
        <v>2225109.8199999998</v>
      </c>
      <c r="AGB25" s="271">
        <v>26289576.830000002</v>
      </c>
      <c r="AGC25" s="271">
        <v>1864525.48</v>
      </c>
      <c r="AGD25" s="271">
        <v>2393746.33</v>
      </c>
      <c r="AGE25" s="271">
        <v>3174771.67</v>
      </c>
      <c r="AGF25" s="271">
        <v>5409716.1200000001</v>
      </c>
      <c r="AGG25" s="271">
        <v>6498335.0099999998</v>
      </c>
      <c r="AGH25" s="271">
        <v>3577756.04</v>
      </c>
      <c r="AGI25" s="271">
        <v>2235010.87</v>
      </c>
      <c r="AGJ25" s="271">
        <v>1936649.2799999998</v>
      </c>
      <c r="AGK25" s="271">
        <v>6000554.8600000003</v>
      </c>
      <c r="AGL25" s="271">
        <v>1504670.11</v>
      </c>
      <c r="AGM25" s="271">
        <v>33266595.990000002</v>
      </c>
      <c r="AGN25" s="271">
        <v>8042560.1900000004</v>
      </c>
      <c r="AGO25" s="271">
        <v>3420885.46</v>
      </c>
      <c r="AGP25" s="271">
        <v>2092044.3900000001</v>
      </c>
      <c r="AGQ25" s="271">
        <v>4260633.55</v>
      </c>
      <c r="AGR25" s="271">
        <v>3294200.88</v>
      </c>
      <c r="AGS25" s="271">
        <v>1942989.1400000001</v>
      </c>
      <c r="AGT25" s="271">
        <v>1888459.1300000001</v>
      </c>
      <c r="AGU25" s="271">
        <v>48870921.560000002</v>
      </c>
      <c r="AGV25" s="271">
        <v>32321298.639999997</v>
      </c>
      <c r="AGW25" s="271">
        <v>2334127.56</v>
      </c>
      <c r="AGX25" s="271">
        <v>4888624.47</v>
      </c>
      <c r="AGY25" s="271">
        <v>11387236.41</v>
      </c>
      <c r="AGZ25" s="271">
        <v>6494359.379999999</v>
      </c>
      <c r="AHA25" s="271">
        <v>5388393.2300000004</v>
      </c>
      <c r="AHB25" s="271">
        <v>3537197.2600000002</v>
      </c>
      <c r="AHC25" s="271">
        <v>1514014.9500000002</v>
      </c>
      <c r="AHD25" s="271">
        <v>2046643.15</v>
      </c>
      <c r="AHE25" s="271">
        <v>6405316.4399999995</v>
      </c>
      <c r="AHF25" s="271">
        <v>1558206.77</v>
      </c>
      <c r="AHG25" s="271">
        <v>2078237.2300000002</v>
      </c>
      <c r="AHH25" s="271">
        <v>1594601.4200000002</v>
      </c>
      <c r="AHI25" s="271">
        <v>2166316.09</v>
      </c>
      <c r="AHJ25" s="271">
        <v>2044125.66</v>
      </c>
      <c r="AHK25" s="271">
        <v>2214852.96</v>
      </c>
      <c r="AHL25" s="271">
        <v>36790013.329999998</v>
      </c>
      <c r="AHM25" s="271">
        <v>2267406.4499999997</v>
      </c>
      <c r="AHN25" s="271">
        <v>3044433.3299999996</v>
      </c>
      <c r="AHO25" s="271">
        <v>2731415.28</v>
      </c>
      <c r="AHP25" s="271">
        <v>4555663.75</v>
      </c>
      <c r="AHQ25" s="294">
        <v>2613597.3100000005</v>
      </c>
      <c r="AHR25" s="331">
        <v>1071865.73</v>
      </c>
      <c r="AHS25" s="294">
        <f t="shared" si="18"/>
        <v>6548401379.2100019</v>
      </c>
      <c r="AHT25" s="269" t="b">
        <f t="shared" si="1"/>
        <v>1</v>
      </c>
      <c r="AHU25" s="269" t="s">
        <v>31</v>
      </c>
    </row>
    <row r="26" spans="1:905" ht="23.4" customHeight="1" x14ac:dyDescent="0.7">
      <c r="B26" s="268" t="s">
        <v>33</v>
      </c>
      <c r="C26" s="269" t="s">
        <v>34</v>
      </c>
      <c r="D26" s="271">
        <v>280044363.82999998</v>
      </c>
      <c r="E26" s="271">
        <v>6123099.9900000002</v>
      </c>
      <c r="F26" s="271">
        <v>47324830.750000007</v>
      </c>
      <c r="G26" s="271">
        <v>2466158.33</v>
      </c>
      <c r="H26" s="271">
        <v>43454313.359999999</v>
      </c>
      <c r="I26" s="271">
        <v>3687797.05</v>
      </c>
      <c r="J26" s="271">
        <v>24636343.039999995</v>
      </c>
      <c r="K26" s="271">
        <v>5651665.1100000003</v>
      </c>
      <c r="L26" s="271">
        <v>5769231.3099999996</v>
      </c>
      <c r="M26" s="271">
        <v>2631327.29</v>
      </c>
      <c r="N26" s="271">
        <v>3395456.61</v>
      </c>
      <c r="O26" s="271">
        <v>5758091.25</v>
      </c>
      <c r="P26" s="271">
        <v>8608980.25</v>
      </c>
      <c r="Q26" s="271">
        <v>5344795.6800000006</v>
      </c>
      <c r="R26" s="271">
        <v>3249397.4999999995</v>
      </c>
      <c r="S26" s="271">
        <v>32089100.169999998</v>
      </c>
      <c r="T26" s="271">
        <v>86299161.689999998</v>
      </c>
      <c r="U26" s="271">
        <v>1918126.12</v>
      </c>
      <c r="V26" s="271">
        <v>342467807.03000003</v>
      </c>
      <c r="W26" s="271">
        <v>46955206.390000008</v>
      </c>
      <c r="X26" s="271">
        <v>7254095.2299999995</v>
      </c>
      <c r="Y26" s="271">
        <v>15560469.58</v>
      </c>
      <c r="Z26" s="271">
        <v>6626020.8799999999</v>
      </c>
      <c r="AA26" s="271">
        <v>11327132.52</v>
      </c>
      <c r="AB26" s="271">
        <v>4089872.4000000004</v>
      </c>
      <c r="AC26" s="271">
        <v>71600041.909999996</v>
      </c>
      <c r="AD26" s="271">
        <v>11389828.08</v>
      </c>
      <c r="AE26" s="271">
        <v>7649724.3099999996</v>
      </c>
      <c r="AF26" s="271">
        <v>47650634.149999991</v>
      </c>
      <c r="AG26" s="271">
        <v>7909905.5799999991</v>
      </c>
      <c r="AH26" s="271">
        <v>40647780.460000001</v>
      </c>
      <c r="AI26" s="271">
        <v>20231927.439999998</v>
      </c>
      <c r="AJ26" s="271">
        <v>7860000.3100000005</v>
      </c>
      <c r="AK26" s="271">
        <v>6276235.2199999997</v>
      </c>
      <c r="AL26" s="271">
        <v>8372131.4399999995</v>
      </c>
      <c r="AM26" s="271">
        <v>8257777.6099999994</v>
      </c>
      <c r="AN26" s="271">
        <v>6011294.0199999996</v>
      </c>
      <c r="AO26" s="271">
        <v>7463921.4500000002</v>
      </c>
      <c r="AP26" s="271">
        <v>7521455.2599999998</v>
      </c>
      <c r="AQ26" s="271">
        <v>3510012.3400000003</v>
      </c>
      <c r="AR26" s="271">
        <v>7851687.6100000003</v>
      </c>
      <c r="AS26" s="271">
        <v>2043665.37</v>
      </c>
      <c r="AT26" s="271">
        <v>60596642.379999995</v>
      </c>
      <c r="AU26" s="271">
        <v>2650294.09</v>
      </c>
      <c r="AV26" s="271">
        <v>1375711.26</v>
      </c>
      <c r="AW26" s="271">
        <v>6199397.4699999997</v>
      </c>
      <c r="AX26" s="271">
        <v>7313237.79</v>
      </c>
      <c r="AY26" s="271">
        <v>6448054.3199999994</v>
      </c>
      <c r="AZ26" s="271">
        <v>2845629.75</v>
      </c>
      <c r="BA26" s="271">
        <v>2439655.7200000002</v>
      </c>
      <c r="BB26" s="271">
        <v>2713617.65</v>
      </c>
      <c r="BC26" s="271">
        <v>3243116.0300000003</v>
      </c>
      <c r="BD26" s="271">
        <v>2261877.5699999998</v>
      </c>
      <c r="BE26" s="271">
        <v>1552201.44</v>
      </c>
      <c r="BF26" s="271">
        <v>42938959.840000004</v>
      </c>
      <c r="BG26" s="271">
        <v>1934649.05</v>
      </c>
      <c r="BH26" s="271">
        <v>2133867.88</v>
      </c>
      <c r="BI26" s="271">
        <v>57880945.079999998</v>
      </c>
      <c r="BJ26" s="271">
        <v>34232164.060000002</v>
      </c>
      <c r="BK26" s="271">
        <v>3994753.76</v>
      </c>
      <c r="BL26" s="271">
        <v>3239877.5600000005</v>
      </c>
      <c r="BM26" s="271">
        <v>4463409.4400000004</v>
      </c>
      <c r="BN26" s="271">
        <v>6826940.2199999997</v>
      </c>
      <c r="BO26" s="271">
        <v>5185854.78</v>
      </c>
      <c r="BP26" s="271">
        <v>4042585</v>
      </c>
      <c r="BQ26" s="271">
        <v>962012.82000000007</v>
      </c>
      <c r="BR26" s="271">
        <v>101346690.04000001</v>
      </c>
      <c r="BS26" s="271">
        <v>12203699.73</v>
      </c>
      <c r="BT26" s="271">
        <v>4336250.95</v>
      </c>
      <c r="BU26" s="271">
        <v>7221570.9499999993</v>
      </c>
      <c r="BV26" s="271">
        <v>3607507.31</v>
      </c>
      <c r="BW26" s="271">
        <v>5940634.9200000009</v>
      </c>
      <c r="BX26" s="271">
        <v>2587402.6500000004</v>
      </c>
      <c r="BY26" s="271">
        <v>4990549.8899999997</v>
      </c>
      <c r="BZ26" s="271">
        <v>18679036.920000002</v>
      </c>
      <c r="CA26" s="271">
        <v>5674972.9100000001</v>
      </c>
      <c r="CB26" s="271">
        <v>8616787.5</v>
      </c>
      <c r="CC26" s="271">
        <v>15163704.279999997</v>
      </c>
      <c r="CD26" s="271">
        <v>6644369.46</v>
      </c>
      <c r="CE26" s="271">
        <v>4775084.58</v>
      </c>
      <c r="CF26" s="271">
        <v>3392042.1799999997</v>
      </c>
      <c r="CG26" s="271">
        <v>140256535.87999997</v>
      </c>
      <c r="CH26" s="271">
        <v>20810587.169999998</v>
      </c>
      <c r="CI26" s="271">
        <v>38825963.5</v>
      </c>
      <c r="CJ26" s="271">
        <v>8919447.9800000004</v>
      </c>
      <c r="CK26" s="271">
        <v>14502098.4</v>
      </c>
      <c r="CL26" s="271">
        <v>9867694.2299999986</v>
      </c>
      <c r="CM26" s="271">
        <v>7851763.6999999993</v>
      </c>
      <c r="CN26" s="271">
        <v>12735129.529999999</v>
      </c>
      <c r="CO26" s="271">
        <v>3831002.8099999996</v>
      </c>
      <c r="CP26" s="271">
        <v>11521509.08</v>
      </c>
      <c r="CQ26" s="271">
        <v>8732697.4199999999</v>
      </c>
      <c r="CR26" s="271">
        <v>8676966.8599999994</v>
      </c>
      <c r="CS26" s="271">
        <v>7295222.2499999991</v>
      </c>
      <c r="CT26" s="271">
        <v>67142997.129999995</v>
      </c>
      <c r="CU26" s="271">
        <v>4027518.6</v>
      </c>
      <c r="CV26" s="271">
        <v>5929889.3099999996</v>
      </c>
      <c r="CW26" s="271">
        <v>12467422.639999999</v>
      </c>
      <c r="CX26" s="271">
        <v>3519893.4699999997</v>
      </c>
      <c r="CY26" s="271">
        <v>14745229.899999999</v>
      </c>
      <c r="CZ26" s="271">
        <v>4473474.9800000004</v>
      </c>
      <c r="DA26" s="271">
        <v>4750878.8599999994</v>
      </c>
      <c r="DB26" s="271">
        <v>54945960.799999997</v>
      </c>
      <c r="DC26" s="271">
        <v>64566506.829999998</v>
      </c>
      <c r="DD26" s="271">
        <v>7719007.8899999997</v>
      </c>
      <c r="DE26" s="271">
        <v>4377549.34</v>
      </c>
      <c r="DF26" s="271">
        <v>16002510.549999999</v>
      </c>
      <c r="DG26" s="271">
        <v>13420580.639999999</v>
      </c>
      <c r="DH26" s="271">
        <v>10167138.24</v>
      </c>
      <c r="DI26" s="271">
        <v>11187189.640000001</v>
      </c>
      <c r="DJ26" s="271">
        <v>5575919.9700000007</v>
      </c>
      <c r="DK26" s="271">
        <v>217339269.29000002</v>
      </c>
      <c r="DL26" s="271">
        <v>3773279.48</v>
      </c>
      <c r="DM26" s="271">
        <v>5855018.1500000004</v>
      </c>
      <c r="DN26" s="271">
        <v>8059672.129999999</v>
      </c>
      <c r="DO26" s="271">
        <v>7174991.629999999</v>
      </c>
      <c r="DP26" s="271">
        <v>3964267.27</v>
      </c>
      <c r="DQ26" s="271">
        <v>18030876.280000001</v>
      </c>
      <c r="DR26" s="271">
        <v>5574664.5499999998</v>
      </c>
      <c r="DS26" s="271">
        <v>12699131.890000001</v>
      </c>
      <c r="DT26" s="271">
        <v>93757682.180000007</v>
      </c>
      <c r="DU26" s="271">
        <v>8856050.6600000001</v>
      </c>
      <c r="DV26" s="271">
        <v>26792015.34</v>
      </c>
      <c r="DW26" s="271">
        <v>39418608.109999992</v>
      </c>
      <c r="DX26" s="271">
        <v>12513232.329999998</v>
      </c>
      <c r="DY26" s="271">
        <v>11012155.560000001</v>
      </c>
      <c r="DZ26" s="271">
        <v>10313009.420000002</v>
      </c>
      <c r="EA26" s="271">
        <v>1833768</v>
      </c>
      <c r="EB26" s="271">
        <v>7628294.4299999997</v>
      </c>
      <c r="EC26" s="271">
        <v>10490881.130000001</v>
      </c>
      <c r="ED26" s="271">
        <v>25055823.489999998</v>
      </c>
      <c r="EE26" s="271">
        <v>39246473.350000001</v>
      </c>
      <c r="EF26" s="271">
        <v>41555920.43</v>
      </c>
      <c r="EG26" s="271">
        <v>9500199.0099999998</v>
      </c>
      <c r="EH26" s="271">
        <v>7449459.2000000011</v>
      </c>
      <c r="EI26" s="271">
        <v>9044052.3900000006</v>
      </c>
      <c r="EJ26" s="271">
        <v>10773509.619999999</v>
      </c>
      <c r="EK26" s="271">
        <v>21511958.510000002</v>
      </c>
      <c r="EL26" s="271">
        <v>3410065.85</v>
      </c>
      <c r="EM26" s="271">
        <v>9804701.0099999998</v>
      </c>
      <c r="EN26" s="271">
        <v>97243859.49000001</v>
      </c>
      <c r="EO26" s="271">
        <v>5907865.9100000001</v>
      </c>
      <c r="EP26" s="271">
        <v>6110064.9499999993</v>
      </c>
      <c r="EQ26" s="271">
        <v>5388605.0600000005</v>
      </c>
      <c r="ER26" s="271">
        <v>8678033.0500000007</v>
      </c>
      <c r="ES26" s="271">
        <v>3147091.2399999998</v>
      </c>
      <c r="ET26" s="271">
        <v>7105306.8799999999</v>
      </c>
      <c r="EU26" s="271">
        <v>16856258.16</v>
      </c>
      <c r="EV26" s="271">
        <v>5726607.3999999994</v>
      </c>
      <c r="EW26" s="271">
        <v>96169694.799999997</v>
      </c>
      <c r="EX26" s="271">
        <v>2648402.5299999998</v>
      </c>
      <c r="EY26" s="271">
        <v>3997922.19</v>
      </c>
      <c r="EZ26" s="271">
        <v>6871885.4199999999</v>
      </c>
      <c r="FA26" s="271">
        <v>6704193.71</v>
      </c>
      <c r="FB26" s="271">
        <v>9315506.3900000006</v>
      </c>
      <c r="FC26" s="271">
        <v>6656629.3199999994</v>
      </c>
      <c r="FD26" s="271">
        <v>3988202.17</v>
      </c>
      <c r="FE26" s="271">
        <v>3021703.0100000002</v>
      </c>
      <c r="FF26" s="271">
        <v>4021402.6500000004</v>
      </c>
      <c r="FG26" s="271">
        <v>3206276.12</v>
      </c>
      <c r="FH26" s="271">
        <v>4404506.9400000004</v>
      </c>
      <c r="FI26" s="271">
        <v>51613570.460000001</v>
      </c>
      <c r="FJ26" s="271">
        <v>4307681.54</v>
      </c>
      <c r="FK26" s="271">
        <v>4242777.3999999994</v>
      </c>
      <c r="FL26" s="271">
        <v>2733659.0700000003</v>
      </c>
      <c r="FM26" s="271">
        <v>8869638.8600000013</v>
      </c>
      <c r="FN26" s="271">
        <v>8366777.2800000012</v>
      </c>
      <c r="FO26" s="271">
        <v>4123100.1400000006</v>
      </c>
      <c r="FP26" s="271">
        <v>2176960.25</v>
      </c>
      <c r="FQ26" s="271">
        <v>204501302.22999999</v>
      </c>
      <c r="FR26" s="271">
        <v>6159994.4800000004</v>
      </c>
      <c r="FS26" s="271">
        <v>2658961.7399999998</v>
      </c>
      <c r="FT26" s="271">
        <v>5741504.8099999996</v>
      </c>
      <c r="FU26" s="271">
        <v>10223963.59</v>
      </c>
      <c r="FV26" s="271">
        <v>4876865.04</v>
      </c>
      <c r="FW26" s="271">
        <v>9033285.0899999999</v>
      </c>
      <c r="FX26" s="271">
        <v>4304242.22</v>
      </c>
      <c r="FY26" s="271">
        <v>3791759.86</v>
      </c>
      <c r="FZ26" s="271">
        <v>6382617.9800000004</v>
      </c>
      <c r="GA26" s="271">
        <v>9837565.3900000006</v>
      </c>
      <c r="GB26" s="271">
        <v>3197729.19</v>
      </c>
      <c r="GC26" s="271">
        <v>4635497.3500000006</v>
      </c>
      <c r="GD26" s="271">
        <v>2893759.65</v>
      </c>
      <c r="GE26" s="271">
        <v>67459813.909999996</v>
      </c>
      <c r="GF26" s="271">
        <v>4520653.53</v>
      </c>
      <c r="GG26" s="271">
        <v>6511948.669999999</v>
      </c>
      <c r="GH26" s="271">
        <v>34162121.140000008</v>
      </c>
      <c r="GI26" s="271">
        <v>8741749.5300000012</v>
      </c>
      <c r="GJ26" s="271">
        <v>5709754.7699999996</v>
      </c>
      <c r="GK26" s="271">
        <v>6867611.1399999997</v>
      </c>
      <c r="GL26" s="271">
        <v>16979280.73</v>
      </c>
      <c r="GM26" s="271">
        <v>5534555.9100000001</v>
      </c>
      <c r="GN26" s="271">
        <v>3834776.32</v>
      </c>
      <c r="GO26" s="271">
        <v>3114480.1300000004</v>
      </c>
      <c r="GP26" s="271">
        <v>2683623.7000000002</v>
      </c>
      <c r="GQ26" s="271">
        <v>55220972.649999999</v>
      </c>
      <c r="GR26" s="271">
        <v>6637210.1600000001</v>
      </c>
      <c r="GS26" s="271">
        <v>2936066.7299999995</v>
      </c>
      <c r="GT26" s="271">
        <v>7093890.2899999991</v>
      </c>
      <c r="GU26" s="271">
        <v>1767562.4800000002</v>
      </c>
      <c r="GV26" s="271">
        <v>6385967.0099999998</v>
      </c>
      <c r="GW26" s="271">
        <v>5539899.2599999998</v>
      </c>
      <c r="GX26" s="271">
        <v>2426295.38</v>
      </c>
      <c r="GY26" s="271">
        <v>66192761.050000004</v>
      </c>
      <c r="GZ26" s="271">
        <v>6490787.1900000004</v>
      </c>
      <c r="HA26" s="271">
        <v>5383629.0600000005</v>
      </c>
      <c r="HB26" s="271">
        <v>10849585.479999999</v>
      </c>
      <c r="HC26" s="271">
        <v>147958438.86000001</v>
      </c>
      <c r="HD26" s="271">
        <v>139703970.03999999</v>
      </c>
      <c r="HE26" s="271">
        <v>50769987.550000004</v>
      </c>
      <c r="HF26" s="271">
        <v>13970621.02</v>
      </c>
      <c r="HG26" s="271">
        <v>20691760.66</v>
      </c>
      <c r="HH26" s="271">
        <v>25074359.760000002</v>
      </c>
      <c r="HI26" s="271">
        <v>5014603.6600000011</v>
      </c>
      <c r="HJ26" s="271">
        <v>69495135.520000011</v>
      </c>
      <c r="HK26" s="271">
        <v>17270383.569999997</v>
      </c>
      <c r="HL26" s="271">
        <v>32831139.719999999</v>
      </c>
      <c r="HM26" s="271">
        <v>16109313.51</v>
      </c>
      <c r="HN26" s="271">
        <v>7574186.7599999998</v>
      </c>
      <c r="HO26" s="271">
        <v>12824872.869999999</v>
      </c>
      <c r="HP26" s="271">
        <v>17668812.950000003</v>
      </c>
      <c r="HQ26" s="271">
        <v>7840506.790000001</v>
      </c>
      <c r="HR26" s="271">
        <v>115145284.36999999</v>
      </c>
      <c r="HS26" s="271">
        <v>27472147.780000001</v>
      </c>
      <c r="HT26" s="271">
        <v>4316627.72</v>
      </c>
      <c r="HU26" s="271">
        <v>3268437.5700000003</v>
      </c>
      <c r="HV26" s="271">
        <v>8247593.5699999994</v>
      </c>
      <c r="HW26" s="271">
        <v>5238579.3099999996</v>
      </c>
      <c r="HX26" s="271">
        <v>9896618.7199999988</v>
      </c>
      <c r="HY26" s="271">
        <v>5685735.6600000001</v>
      </c>
      <c r="HZ26" s="271">
        <v>5677693.8799999999</v>
      </c>
      <c r="IA26" s="271">
        <v>4650286.92</v>
      </c>
      <c r="IB26" s="271">
        <v>9130653.3699999992</v>
      </c>
      <c r="IC26" s="271">
        <v>12783579.050000001</v>
      </c>
      <c r="ID26" s="271">
        <v>3045876.09</v>
      </c>
      <c r="IE26" s="271">
        <v>21916497.149999999</v>
      </c>
      <c r="IF26" s="271">
        <v>3765898.6799999997</v>
      </c>
      <c r="IG26" s="271">
        <v>4449995.2</v>
      </c>
      <c r="IH26" s="271">
        <v>64155583.809999995</v>
      </c>
      <c r="II26" s="271">
        <v>27162772.209999997</v>
      </c>
      <c r="IJ26" s="271">
        <v>9563471.2199999988</v>
      </c>
      <c r="IK26" s="271">
        <v>10596157.319999998</v>
      </c>
      <c r="IL26" s="271">
        <v>32178249.940000001</v>
      </c>
      <c r="IM26" s="271">
        <v>4981924.5699999994</v>
      </c>
      <c r="IN26" s="271">
        <v>5923345.9800000004</v>
      </c>
      <c r="IO26" s="271">
        <v>2636179.7599999998</v>
      </c>
      <c r="IP26" s="271">
        <v>8149966.5699999994</v>
      </c>
      <c r="IQ26" s="271">
        <v>5385048.7599999998</v>
      </c>
      <c r="IR26" s="271">
        <v>4820314.13</v>
      </c>
      <c r="IS26" s="271">
        <v>130624416.45</v>
      </c>
      <c r="IT26" s="271">
        <v>45444127.569999993</v>
      </c>
      <c r="IU26" s="271">
        <v>9932010.040000001</v>
      </c>
      <c r="IV26" s="271">
        <v>8355029.3199999994</v>
      </c>
      <c r="IW26" s="271">
        <v>5987345.4100000011</v>
      </c>
      <c r="IX26" s="271">
        <v>4055373.4199999995</v>
      </c>
      <c r="IY26" s="271">
        <v>6395338.71</v>
      </c>
      <c r="IZ26" s="271">
        <v>3020340.5100000002</v>
      </c>
      <c r="JA26" s="271">
        <v>3399277.7199999997</v>
      </c>
      <c r="JB26" s="271">
        <v>6407914.9200000009</v>
      </c>
      <c r="JC26" s="271">
        <v>9459238.8500000015</v>
      </c>
      <c r="JD26" s="271">
        <v>3675365.15</v>
      </c>
      <c r="JE26" s="271">
        <v>37801528.900000006</v>
      </c>
      <c r="JF26" s="271">
        <v>22230755.369999997</v>
      </c>
      <c r="JG26" s="271">
        <v>6218914.9100000001</v>
      </c>
      <c r="JH26" s="271">
        <v>8471937.7300000004</v>
      </c>
      <c r="JI26" s="271">
        <v>3125422.83</v>
      </c>
      <c r="JJ26" s="271">
        <v>3991074.9899999998</v>
      </c>
      <c r="JK26" s="271">
        <v>42881570.669999994</v>
      </c>
      <c r="JL26" s="271">
        <v>4783758.9400000004</v>
      </c>
      <c r="JM26" s="271">
        <v>4499063.03</v>
      </c>
      <c r="JN26" s="271">
        <v>26369598.659999996</v>
      </c>
      <c r="JO26" s="271">
        <v>4497754.05</v>
      </c>
      <c r="JP26" s="271">
        <v>8634386.4900000021</v>
      </c>
      <c r="JQ26" s="271">
        <v>5310245.6199999992</v>
      </c>
      <c r="JR26" s="271">
        <v>112705288.15000001</v>
      </c>
      <c r="JS26" s="271">
        <v>50674925.730000004</v>
      </c>
      <c r="JT26" s="271">
        <v>5678561.7200000007</v>
      </c>
      <c r="JU26" s="271">
        <v>2616746.84</v>
      </c>
      <c r="JV26" s="271">
        <v>8822045.2599999998</v>
      </c>
      <c r="JW26" s="271">
        <v>992189.87</v>
      </c>
      <c r="JX26" s="271">
        <v>34350944.420000002</v>
      </c>
      <c r="JY26" s="271">
        <v>17731930.469999999</v>
      </c>
      <c r="JZ26" s="271">
        <v>8531389.1500000004</v>
      </c>
      <c r="KA26" s="271">
        <v>3586622.78</v>
      </c>
      <c r="KB26" s="271">
        <v>9018455.5300000012</v>
      </c>
      <c r="KC26" s="271">
        <v>11505804.049999999</v>
      </c>
      <c r="KD26" s="271">
        <v>3340900.04</v>
      </c>
      <c r="KE26" s="271">
        <v>1792187.87</v>
      </c>
      <c r="KF26" s="271">
        <v>3533617.9899999998</v>
      </c>
      <c r="KG26" s="271">
        <v>3001146.42</v>
      </c>
      <c r="KH26" s="271">
        <v>172679576.23000002</v>
      </c>
      <c r="KI26" s="271">
        <v>22383906.110000003</v>
      </c>
      <c r="KJ26" s="271">
        <v>16518726.470000001</v>
      </c>
      <c r="KK26" s="271">
        <v>8891115.3699999992</v>
      </c>
      <c r="KL26" s="271">
        <v>10635187.9</v>
      </c>
      <c r="KM26" s="271">
        <v>12315508.340000002</v>
      </c>
      <c r="KN26" s="271">
        <v>44956525.970000006</v>
      </c>
      <c r="KO26" s="271">
        <v>6564400.6900000004</v>
      </c>
      <c r="KP26" s="271">
        <v>5250049.3899999997</v>
      </c>
      <c r="KQ26" s="271">
        <v>51855160.940000005</v>
      </c>
      <c r="KR26" s="271">
        <v>5514613.3800000008</v>
      </c>
      <c r="KS26" s="271">
        <v>5259138.4700000007</v>
      </c>
      <c r="KT26" s="271">
        <v>56988018.220000006</v>
      </c>
      <c r="KU26" s="271">
        <v>9069502.0600000005</v>
      </c>
      <c r="KV26" s="271">
        <v>6716978.8799999999</v>
      </c>
      <c r="KW26" s="271">
        <v>153064126.91</v>
      </c>
      <c r="KX26" s="271">
        <v>10728569.199999999</v>
      </c>
      <c r="KY26" s="271">
        <v>67427168.460000008</v>
      </c>
      <c r="KZ26" s="271">
        <v>10669958.859999999</v>
      </c>
      <c r="LA26" s="271">
        <v>2178428.2399999998</v>
      </c>
      <c r="LB26" s="271">
        <v>18889581.68</v>
      </c>
      <c r="LC26" s="271">
        <v>16210903.020000001</v>
      </c>
      <c r="LD26" s="271">
        <v>3966948.38</v>
      </c>
      <c r="LE26" s="271">
        <v>4861683.5199999986</v>
      </c>
      <c r="LF26" s="271">
        <v>6464398.29</v>
      </c>
      <c r="LG26" s="271">
        <v>189908755.04999998</v>
      </c>
      <c r="LH26" s="271">
        <v>27315996.359999999</v>
      </c>
      <c r="LI26" s="271">
        <v>81822727.810000002</v>
      </c>
      <c r="LJ26" s="271">
        <v>40291600.390000001</v>
      </c>
      <c r="LK26" s="271">
        <v>8783524.8900000006</v>
      </c>
      <c r="LL26" s="271">
        <v>7021024.2700000005</v>
      </c>
      <c r="LM26" s="271">
        <v>5099146.9799999995</v>
      </c>
      <c r="LN26" s="271">
        <v>7577894.2600000007</v>
      </c>
      <c r="LO26" s="271">
        <v>4083154.36</v>
      </c>
      <c r="LP26" s="271">
        <v>9697463.9799999986</v>
      </c>
      <c r="LQ26" s="271">
        <v>5732169.7799999993</v>
      </c>
      <c r="LR26" s="271">
        <v>46956452.660000004</v>
      </c>
      <c r="LS26" s="271">
        <v>5537589.4100000001</v>
      </c>
      <c r="LT26" s="271">
        <v>4272192.09</v>
      </c>
      <c r="LU26" s="271">
        <v>344868519.56999999</v>
      </c>
      <c r="LV26" s="271">
        <v>87145032.530000016</v>
      </c>
      <c r="LW26" s="271">
        <v>144608074.73000002</v>
      </c>
      <c r="LX26" s="271">
        <v>40836698.899999991</v>
      </c>
      <c r="LY26" s="271">
        <v>17888579.73</v>
      </c>
      <c r="LZ26" s="271">
        <v>36594978.950000003</v>
      </c>
      <c r="MA26" s="271">
        <v>14054891.649999999</v>
      </c>
      <c r="MB26" s="271">
        <v>11126828.98</v>
      </c>
      <c r="MC26" s="271">
        <v>8588896.3699999992</v>
      </c>
      <c r="MD26" s="271">
        <v>11848121.77</v>
      </c>
      <c r="ME26" s="271">
        <v>16573124.41</v>
      </c>
      <c r="MF26" s="271">
        <v>6733780.7499999991</v>
      </c>
      <c r="MG26" s="271">
        <v>200920901</v>
      </c>
      <c r="MH26" s="271">
        <v>8642017.4299999997</v>
      </c>
      <c r="MI26" s="271">
        <v>3628655.6799999997</v>
      </c>
      <c r="MJ26" s="271">
        <v>5035964.7699999996</v>
      </c>
      <c r="MK26" s="271">
        <v>4742725.4000000004</v>
      </c>
      <c r="ML26" s="271">
        <v>4806180.3199999994</v>
      </c>
      <c r="MM26" s="271">
        <v>5303824.1400000006</v>
      </c>
      <c r="MN26" s="271">
        <v>3570347.5</v>
      </c>
      <c r="MO26" s="271">
        <v>9554987.7899999991</v>
      </c>
      <c r="MP26" s="271">
        <v>6760763.2800000012</v>
      </c>
      <c r="MQ26" s="271">
        <v>5132672.5</v>
      </c>
      <c r="MR26" s="271">
        <v>3334757.1030000001</v>
      </c>
      <c r="MS26" s="271">
        <v>98723948.989999995</v>
      </c>
      <c r="MT26" s="271">
        <v>8695840.040000001</v>
      </c>
      <c r="MU26" s="271">
        <v>21500982.200000003</v>
      </c>
      <c r="MV26" s="271">
        <v>13494921.469999999</v>
      </c>
      <c r="MW26" s="271">
        <v>12662301.639999999</v>
      </c>
      <c r="MX26" s="271">
        <v>22140646.66</v>
      </c>
      <c r="MY26" s="271">
        <v>19356866.819900002</v>
      </c>
      <c r="MZ26" s="271">
        <v>25054828.229999997</v>
      </c>
      <c r="NA26" s="271">
        <v>6682880.3900000006</v>
      </c>
      <c r="NB26" s="271">
        <v>2938092.96</v>
      </c>
      <c r="NC26" s="271">
        <v>2916657.8800000004</v>
      </c>
      <c r="ND26" s="271">
        <v>185668652.17000002</v>
      </c>
      <c r="NE26" s="271">
        <v>41662276.369999997</v>
      </c>
      <c r="NF26" s="271">
        <v>11316901.949999999</v>
      </c>
      <c r="NG26" s="271">
        <v>122542014.19999999</v>
      </c>
      <c r="NH26" s="271">
        <v>4687314.49</v>
      </c>
      <c r="NI26" s="271">
        <v>22439066.699999999</v>
      </c>
      <c r="NJ26" s="271">
        <v>33321644.579999994</v>
      </c>
      <c r="NK26" s="271">
        <v>72559646.74000001</v>
      </c>
      <c r="NL26" s="271">
        <v>4429063.05</v>
      </c>
      <c r="NM26" s="271">
        <v>29084937.18</v>
      </c>
      <c r="NN26" s="271">
        <v>23744751.989999998</v>
      </c>
      <c r="NO26" s="271">
        <v>9530119.6109999996</v>
      </c>
      <c r="NP26" s="271">
        <v>34520500.730000004</v>
      </c>
      <c r="NQ26" s="271">
        <v>6991860.4100000001</v>
      </c>
      <c r="NR26" s="271">
        <v>5420135.0999999996</v>
      </c>
      <c r="NS26" s="271">
        <v>4946135.6500000004</v>
      </c>
      <c r="NT26" s="271">
        <v>3446263.08</v>
      </c>
      <c r="NU26" s="271">
        <v>3775625.4099999997</v>
      </c>
      <c r="NV26" s="271">
        <v>4806293.6899999995</v>
      </c>
      <c r="NW26" s="271">
        <v>128703383.58000001</v>
      </c>
      <c r="NX26" s="271">
        <v>30889747.710000001</v>
      </c>
      <c r="NY26" s="271">
        <v>9972442.5099999979</v>
      </c>
      <c r="NZ26" s="271">
        <v>3753136.61</v>
      </c>
      <c r="OA26" s="271">
        <v>3176899.06</v>
      </c>
      <c r="OB26" s="271">
        <v>9385590.6500000004</v>
      </c>
      <c r="OC26" s="271">
        <v>5640225.6400000006</v>
      </c>
      <c r="OD26" s="271">
        <v>284447310.87999994</v>
      </c>
      <c r="OE26" s="271">
        <v>35468469.93</v>
      </c>
      <c r="OF26" s="271">
        <v>10967501.500000002</v>
      </c>
      <c r="OG26" s="271">
        <v>46895239.619999997</v>
      </c>
      <c r="OH26" s="271">
        <v>24144535.039999999</v>
      </c>
      <c r="OI26" s="271">
        <v>6042942.2400000002</v>
      </c>
      <c r="OJ26" s="271">
        <v>18385907.079999998</v>
      </c>
      <c r="OK26" s="271">
        <v>8334952.1399999997</v>
      </c>
      <c r="OL26" s="271">
        <v>7221440.6099999994</v>
      </c>
      <c r="OM26" s="271">
        <v>232387113.28000003</v>
      </c>
      <c r="ON26" s="271">
        <v>41742820.280000001</v>
      </c>
      <c r="OO26" s="271">
        <v>146639335.31999999</v>
      </c>
      <c r="OP26" s="271">
        <v>16356456.079999998</v>
      </c>
      <c r="OQ26" s="271">
        <v>18830793.349999998</v>
      </c>
      <c r="OR26" s="271">
        <v>8886464.0499999989</v>
      </c>
      <c r="OS26" s="271">
        <v>84009088.320000008</v>
      </c>
      <c r="OT26" s="271">
        <v>6269000.5700000003</v>
      </c>
      <c r="OU26" s="271">
        <v>4075057.8600000003</v>
      </c>
      <c r="OV26" s="271">
        <v>7052646.0799999991</v>
      </c>
      <c r="OW26" s="271">
        <v>6411894.3200000003</v>
      </c>
      <c r="OX26" s="271">
        <v>36549974.910000004</v>
      </c>
      <c r="OY26" s="271">
        <v>7859719.4500000002</v>
      </c>
      <c r="OZ26" s="271">
        <v>6326424.9000000004</v>
      </c>
      <c r="PA26" s="271">
        <v>4373682.04</v>
      </c>
      <c r="PB26" s="271">
        <v>105861007.65999998</v>
      </c>
      <c r="PC26" s="271">
        <v>3450476.3</v>
      </c>
      <c r="PD26" s="271">
        <v>18864724.689999998</v>
      </c>
      <c r="PE26" s="271">
        <v>1551112.5100000002</v>
      </c>
      <c r="PF26" s="271">
        <v>16442879.73</v>
      </c>
      <c r="PG26" s="271">
        <v>9695332.1000000015</v>
      </c>
      <c r="PH26" s="271">
        <v>3045619.99</v>
      </c>
      <c r="PI26" s="271">
        <v>3426527.7500000005</v>
      </c>
      <c r="PJ26" s="271">
        <v>9103621.2100000009</v>
      </c>
      <c r="PK26" s="271">
        <v>10490445.030000001</v>
      </c>
      <c r="PL26" s="271">
        <v>16791731.550000001</v>
      </c>
      <c r="PM26" s="271">
        <v>22702636.41</v>
      </c>
      <c r="PN26" s="271">
        <v>3425539.59</v>
      </c>
      <c r="PO26" s="271">
        <v>16526710.490000002</v>
      </c>
      <c r="PP26" s="271">
        <v>7682490.330000001</v>
      </c>
      <c r="PQ26" s="271">
        <v>1798049.29</v>
      </c>
      <c r="PR26" s="271">
        <v>2628426.69</v>
      </c>
      <c r="PS26" s="271">
        <v>2714242.33</v>
      </c>
      <c r="PT26" s="271">
        <v>208454728.71000001</v>
      </c>
      <c r="PU26" s="271">
        <v>5419581.3300000001</v>
      </c>
      <c r="PV26" s="271">
        <v>5072249.3900000006</v>
      </c>
      <c r="PW26" s="271">
        <v>5361397.2300000004</v>
      </c>
      <c r="PX26" s="271">
        <v>82474326.190000013</v>
      </c>
      <c r="PY26" s="271">
        <v>5694339.8200000003</v>
      </c>
      <c r="PZ26" s="271">
        <v>7622241.1400000006</v>
      </c>
      <c r="QA26" s="271">
        <v>4821206.2799999993</v>
      </c>
      <c r="QB26" s="271">
        <v>19669625.039999999</v>
      </c>
      <c r="QC26" s="271">
        <v>4284433.3100000005</v>
      </c>
      <c r="QD26" s="271">
        <v>22246454.16</v>
      </c>
      <c r="QE26" s="271">
        <v>2651115.27</v>
      </c>
      <c r="QF26" s="271">
        <v>18485862.560000002</v>
      </c>
      <c r="QG26" s="271">
        <v>7505945.3199999994</v>
      </c>
      <c r="QH26" s="271">
        <v>7390427.2699999996</v>
      </c>
      <c r="QI26" s="271">
        <v>19236769.889999997</v>
      </c>
      <c r="QJ26" s="271">
        <v>2487700.0099999998</v>
      </c>
      <c r="QK26" s="271">
        <v>2966376.93</v>
      </c>
      <c r="QL26" s="271">
        <v>1739916.02</v>
      </c>
      <c r="QM26" s="271">
        <v>9729750.8100000005</v>
      </c>
      <c r="QN26" s="271">
        <v>35825284.93</v>
      </c>
      <c r="QO26" s="271">
        <v>3390059.7800000003</v>
      </c>
      <c r="QP26" s="271">
        <v>1417768.0499999998</v>
      </c>
      <c r="QQ26" s="271">
        <v>1591021.7000000002</v>
      </c>
      <c r="QR26" s="271">
        <v>5964366.9399999995</v>
      </c>
      <c r="QS26" s="271">
        <v>2061103.29</v>
      </c>
      <c r="QT26" s="271">
        <v>172621150.49000001</v>
      </c>
      <c r="QU26" s="271">
        <v>3788862.23</v>
      </c>
      <c r="QV26" s="271">
        <v>37811760.93</v>
      </c>
      <c r="QW26" s="271">
        <v>4345793.78</v>
      </c>
      <c r="QX26" s="271">
        <v>10696365.680000002</v>
      </c>
      <c r="QY26" s="271">
        <v>31759296.57</v>
      </c>
      <c r="QZ26" s="271">
        <v>3843718.7399999998</v>
      </c>
      <c r="RA26" s="271">
        <v>6516051.3300000001</v>
      </c>
      <c r="RB26" s="271">
        <v>28899222.070000004</v>
      </c>
      <c r="RC26" s="271">
        <v>3502696.8699999996</v>
      </c>
      <c r="RD26" s="271">
        <v>2910269.87</v>
      </c>
      <c r="RE26" s="271">
        <v>3342927.0700000003</v>
      </c>
      <c r="RF26" s="271">
        <v>4299561.8600000003</v>
      </c>
      <c r="RG26" s="271">
        <v>118043623.21000001</v>
      </c>
      <c r="RH26" s="271">
        <v>15042756.27</v>
      </c>
      <c r="RI26" s="271">
        <v>21317496.73</v>
      </c>
      <c r="RJ26" s="271">
        <v>7888761.1199999992</v>
      </c>
      <c r="RK26" s="271">
        <v>21786876.870000001</v>
      </c>
      <c r="RL26" s="271">
        <v>20548104.57</v>
      </c>
      <c r="RM26" s="271">
        <v>21836791.390000001</v>
      </c>
      <c r="RN26" s="271">
        <v>5337968.33</v>
      </c>
      <c r="RO26" s="271">
        <v>9603475.790000001</v>
      </c>
      <c r="RP26" s="271">
        <v>16785732.560000002</v>
      </c>
      <c r="RQ26" s="271">
        <v>21360095.73</v>
      </c>
      <c r="RR26" s="271">
        <v>2869515.04</v>
      </c>
      <c r="RS26" s="271">
        <v>4580830.43</v>
      </c>
      <c r="RT26" s="271">
        <v>7845082.96</v>
      </c>
      <c r="RU26" s="271">
        <v>4037698.8699999996</v>
      </c>
      <c r="RV26" s="271">
        <v>5969871.4500000002</v>
      </c>
      <c r="RW26" s="271">
        <v>7105087.1600000001</v>
      </c>
      <c r="RX26" s="271">
        <v>5001672.2</v>
      </c>
      <c r="RY26" s="271">
        <v>3034634.77</v>
      </c>
      <c r="RZ26" s="271">
        <v>5837613.0699999994</v>
      </c>
      <c r="SA26" s="271">
        <v>66051356.850000001</v>
      </c>
      <c r="SB26" s="271">
        <v>6461345.1799999997</v>
      </c>
      <c r="SC26" s="271">
        <v>5672827.0499999998</v>
      </c>
      <c r="SD26" s="271">
        <v>4515037.55</v>
      </c>
      <c r="SE26" s="271">
        <v>2870182.4799999995</v>
      </c>
      <c r="SF26" s="271">
        <v>3407800.92</v>
      </c>
      <c r="SG26" s="271">
        <v>6687573.9000000004</v>
      </c>
      <c r="SH26" s="271">
        <v>23047983.719999999</v>
      </c>
      <c r="SI26" s="271">
        <v>6155958.9399999995</v>
      </c>
      <c r="SJ26" s="271">
        <v>6524729.5499999998</v>
      </c>
      <c r="SK26" s="271">
        <v>24936081.250000004</v>
      </c>
      <c r="SL26" s="271">
        <v>1784228.11</v>
      </c>
      <c r="SM26" s="271">
        <v>68610384.279999986</v>
      </c>
      <c r="SN26" s="271">
        <v>8226369</v>
      </c>
      <c r="SO26" s="271">
        <v>11070332.76</v>
      </c>
      <c r="SP26" s="271">
        <v>13594440.799999999</v>
      </c>
      <c r="SQ26" s="271">
        <v>5112764.99</v>
      </c>
      <c r="SR26" s="271">
        <v>9332142.2600000016</v>
      </c>
      <c r="SS26" s="271">
        <v>4568625.5399999991</v>
      </c>
      <c r="ST26" s="271">
        <v>2956404.2</v>
      </c>
      <c r="SU26" s="271">
        <v>106761108.72</v>
      </c>
      <c r="SV26" s="271">
        <v>2311076.5699999998</v>
      </c>
      <c r="SW26" s="271">
        <v>5545968.3899999997</v>
      </c>
      <c r="SX26" s="271">
        <v>6748250</v>
      </c>
      <c r="SY26" s="271">
        <v>1708622.1700000002</v>
      </c>
      <c r="SZ26" s="271">
        <v>1939870.41</v>
      </c>
      <c r="TA26" s="271">
        <v>1866427.3</v>
      </c>
      <c r="TB26" s="271">
        <v>11491393.23</v>
      </c>
      <c r="TC26" s="271">
        <v>2051004.19</v>
      </c>
      <c r="TD26" s="271">
        <v>5669541.1600000001</v>
      </c>
      <c r="TE26" s="271">
        <v>7962607.1299999999</v>
      </c>
      <c r="TF26" s="271">
        <v>13347699.390000001</v>
      </c>
      <c r="TG26" s="271">
        <v>3635421.5799999996</v>
      </c>
      <c r="TH26" s="271">
        <v>3108000.14</v>
      </c>
      <c r="TI26" s="271">
        <v>185363594.83999997</v>
      </c>
      <c r="TJ26" s="271">
        <v>3319904.6500000004</v>
      </c>
      <c r="TK26" s="271">
        <v>2297022.42</v>
      </c>
      <c r="TL26" s="271">
        <v>5262963.26</v>
      </c>
      <c r="TM26" s="271">
        <v>4958116.34</v>
      </c>
      <c r="TN26" s="271">
        <v>2951214.91</v>
      </c>
      <c r="TO26" s="271">
        <v>2260843.38</v>
      </c>
      <c r="TP26" s="271">
        <v>56593325.359999999</v>
      </c>
      <c r="TQ26" s="271">
        <v>3297915.49</v>
      </c>
      <c r="TR26" s="271">
        <v>9706100.209999999</v>
      </c>
      <c r="TS26" s="271">
        <v>14508172.92</v>
      </c>
      <c r="TT26" s="271">
        <v>3367037.85</v>
      </c>
      <c r="TU26" s="271">
        <v>2444211.6599999997</v>
      </c>
      <c r="TV26" s="271">
        <v>3972600.53</v>
      </c>
      <c r="TW26" s="271">
        <v>5177308.7499999991</v>
      </c>
      <c r="TX26" s="271">
        <v>4059668.4499999997</v>
      </c>
      <c r="TY26" s="271">
        <v>58320889.109999999</v>
      </c>
      <c r="TZ26" s="271">
        <v>2990824.7199999997</v>
      </c>
      <c r="UA26" s="271">
        <v>82760437.450000003</v>
      </c>
      <c r="UB26" s="271">
        <v>24325078.699999999</v>
      </c>
      <c r="UC26" s="271">
        <v>3344357.82</v>
      </c>
      <c r="UD26" s="271">
        <v>2626766.0699999998</v>
      </c>
      <c r="UE26" s="271">
        <v>51799769.370000005</v>
      </c>
      <c r="UF26" s="271">
        <v>3483724.26</v>
      </c>
      <c r="UG26" s="271">
        <v>1799346.22</v>
      </c>
      <c r="UH26" s="271">
        <v>4656410.79</v>
      </c>
      <c r="UI26" s="271">
        <v>3643179.18</v>
      </c>
      <c r="UJ26" s="271">
        <v>38044759.009999998</v>
      </c>
      <c r="UK26" s="271">
        <v>12834995.73</v>
      </c>
      <c r="UL26" s="271">
        <v>7495956.8599999994</v>
      </c>
      <c r="UM26" s="271">
        <v>12015448.93</v>
      </c>
      <c r="UN26" s="271">
        <v>9964726.0800000001</v>
      </c>
      <c r="UO26" s="271">
        <v>7774629.46</v>
      </c>
      <c r="UP26" s="271">
        <v>249560609.06</v>
      </c>
      <c r="UQ26" s="271">
        <v>11791557.569999998</v>
      </c>
      <c r="UR26" s="271">
        <v>4675330.4400000004</v>
      </c>
      <c r="US26" s="271">
        <v>84224986.75</v>
      </c>
      <c r="UT26" s="271">
        <v>5304002.54</v>
      </c>
      <c r="UU26" s="271">
        <v>15797883.92</v>
      </c>
      <c r="UV26" s="271">
        <v>25757577.009999998</v>
      </c>
      <c r="UW26" s="271">
        <v>2546214.4700000002</v>
      </c>
      <c r="UX26" s="271">
        <v>9612303.459999999</v>
      </c>
      <c r="UY26" s="271">
        <v>6132570.3899999997</v>
      </c>
      <c r="UZ26" s="271">
        <v>6015200.7299999995</v>
      </c>
      <c r="VA26" s="271">
        <v>37554920.460000001</v>
      </c>
      <c r="VB26" s="271">
        <v>6628853.3499999996</v>
      </c>
      <c r="VC26" s="271">
        <v>19696646.220000003</v>
      </c>
      <c r="VD26" s="271">
        <v>4884068.9000000004</v>
      </c>
      <c r="VE26" s="271">
        <v>3069711.3000000003</v>
      </c>
      <c r="VF26" s="271">
        <v>1713086.8900000001</v>
      </c>
      <c r="VG26" s="271">
        <v>2553631.08</v>
      </c>
      <c r="VH26" s="271">
        <v>33602498.789999999</v>
      </c>
      <c r="VI26" s="271">
        <v>5382307.3199999994</v>
      </c>
      <c r="VJ26" s="271">
        <v>3124307.04</v>
      </c>
      <c r="VK26" s="271">
        <v>1751799.8399999999</v>
      </c>
      <c r="VL26" s="271">
        <v>110725282.92999999</v>
      </c>
      <c r="VM26" s="271">
        <v>7446215.9199999999</v>
      </c>
      <c r="VN26" s="271">
        <v>5134187.5999999996</v>
      </c>
      <c r="VO26" s="271">
        <v>49725414.700000003</v>
      </c>
      <c r="VP26" s="271">
        <v>33998015.079999998</v>
      </c>
      <c r="VQ26" s="271">
        <v>28146339.669999998</v>
      </c>
      <c r="VR26" s="271">
        <v>14748232.439999999</v>
      </c>
      <c r="VS26" s="271">
        <v>5864821.1900000004</v>
      </c>
      <c r="VT26" s="271">
        <v>2557690.4899999998</v>
      </c>
      <c r="VU26" s="271">
        <v>71252277.500000015</v>
      </c>
      <c r="VV26" s="271">
        <v>5374968.75</v>
      </c>
      <c r="VW26" s="271">
        <v>17873401.949999999</v>
      </c>
      <c r="VX26" s="271">
        <v>6644838.6900000004</v>
      </c>
      <c r="VY26" s="271">
        <v>4357115.6300000008</v>
      </c>
      <c r="VZ26" s="271">
        <v>4174017.5900000003</v>
      </c>
      <c r="WA26" s="271">
        <v>477957575.26000005</v>
      </c>
      <c r="WB26" s="271">
        <v>7270345.4500000002</v>
      </c>
      <c r="WC26" s="271">
        <v>5966877.8100000005</v>
      </c>
      <c r="WD26" s="271">
        <v>2368384.66</v>
      </c>
      <c r="WE26" s="271">
        <v>3231085.49</v>
      </c>
      <c r="WF26" s="271">
        <v>8624240.2400000002</v>
      </c>
      <c r="WG26" s="271">
        <v>12404722.369999999</v>
      </c>
      <c r="WH26" s="271">
        <v>13683840.559999999</v>
      </c>
      <c r="WI26" s="271">
        <v>5153253.43</v>
      </c>
      <c r="WJ26" s="271">
        <v>8631595.9999999981</v>
      </c>
      <c r="WK26" s="271">
        <v>4296834.26</v>
      </c>
      <c r="WL26" s="271">
        <v>30047967.5</v>
      </c>
      <c r="WM26" s="271">
        <v>6217375.8400000008</v>
      </c>
      <c r="WN26" s="271">
        <v>16495297.75</v>
      </c>
      <c r="WO26" s="271">
        <v>32323976.470000003</v>
      </c>
      <c r="WP26" s="271">
        <v>4629950.0199999996</v>
      </c>
      <c r="WQ26" s="271">
        <v>8255740.6700000009</v>
      </c>
      <c r="WR26" s="271">
        <v>15342066.52</v>
      </c>
      <c r="WS26" s="271">
        <v>5322535.25</v>
      </c>
      <c r="WT26" s="271">
        <v>16096572.790000001</v>
      </c>
      <c r="WU26" s="271">
        <v>77606745.060000002</v>
      </c>
      <c r="WV26" s="271">
        <v>4347677.7600000007</v>
      </c>
      <c r="WW26" s="271">
        <v>3438635.24</v>
      </c>
      <c r="WX26" s="271">
        <v>3833114.56</v>
      </c>
      <c r="WY26" s="271">
        <v>6450801.7699999986</v>
      </c>
      <c r="WZ26" s="271">
        <v>4242852.26</v>
      </c>
      <c r="XA26" s="271">
        <v>2645277.9900000002</v>
      </c>
      <c r="XB26" s="271">
        <v>3013109.23</v>
      </c>
      <c r="XC26" s="271">
        <v>67147460.850000009</v>
      </c>
      <c r="XD26" s="271">
        <v>3220270.79</v>
      </c>
      <c r="XE26" s="271">
        <v>2964222.2600000002</v>
      </c>
      <c r="XF26" s="271">
        <v>3521721.61</v>
      </c>
      <c r="XG26" s="271">
        <v>3948628.32</v>
      </c>
      <c r="XH26" s="271">
        <v>264774871.83999997</v>
      </c>
      <c r="XI26" s="271">
        <v>8689225.3599999994</v>
      </c>
      <c r="XJ26" s="271">
        <v>7674905.6299999999</v>
      </c>
      <c r="XK26" s="271">
        <v>67014876.659999996</v>
      </c>
      <c r="XL26" s="271">
        <v>7849494.7499999991</v>
      </c>
      <c r="XM26" s="271">
        <v>5903284.0999999996</v>
      </c>
      <c r="XN26" s="271">
        <v>33411761.940000001</v>
      </c>
      <c r="XO26" s="271">
        <v>6525319.4700000007</v>
      </c>
      <c r="XP26" s="271">
        <v>8697163.2799999993</v>
      </c>
      <c r="XQ26" s="271">
        <v>25605595.459999997</v>
      </c>
      <c r="XR26" s="271">
        <v>18837370.479999997</v>
      </c>
      <c r="XS26" s="271">
        <v>7421465.4699999997</v>
      </c>
      <c r="XT26" s="271">
        <v>3853659.91</v>
      </c>
      <c r="XU26" s="271">
        <v>6450642.2000000002</v>
      </c>
      <c r="XV26" s="271">
        <v>2562733.1800000002</v>
      </c>
      <c r="XW26" s="271">
        <v>3860178.98</v>
      </c>
      <c r="XX26" s="271">
        <v>4176438.13</v>
      </c>
      <c r="XY26" s="271">
        <v>4491111.22</v>
      </c>
      <c r="XZ26" s="271">
        <v>2974603.11</v>
      </c>
      <c r="YA26" s="271">
        <v>3864220.4</v>
      </c>
      <c r="YB26" s="271">
        <v>4006668.39</v>
      </c>
      <c r="YC26" s="271">
        <v>4295595.3499999996</v>
      </c>
      <c r="YD26" s="271">
        <v>3319677.1</v>
      </c>
      <c r="YE26" s="271">
        <v>183440343.59000003</v>
      </c>
      <c r="YF26" s="271">
        <v>3848809.9800000004</v>
      </c>
      <c r="YG26" s="271">
        <v>29331959.400000002</v>
      </c>
      <c r="YH26" s="271">
        <v>5649587.629999999</v>
      </c>
      <c r="YI26" s="271">
        <v>40506539.280000001</v>
      </c>
      <c r="YJ26" s="271">
        <v>6542856.2999999998</v>
      </c>
      <c r="YK26" s="271">
        <v>12298028.669999998</v>
      </c>
      <c r="YL26" s="271">
        <v>2529987.1799999997</v>
      </c>
      <c r="YM26" s="271">
        <v>49081302.090000004</v>
      </c>
      <c r="YN26" s="271">
        <v>38145514.390000008</v>
      </c>
      <c r="YO26" s="271">
        <v>10024152.140000001</v>
      </c>
      <c r="YP26" s="271">
        <v>2989073.08</v>
      </c>
      <c r="YQ26" s="271">
        <v>3035780.08</v>
      </c>
      <c r="YR26" s="271">
        <v>5083215.3</v>
      </c>
      <c r="YS26" s="271">
        <v>4410180.99</v>
      </c>
      <c r="YT26" s="271">
        <v>3464993.46</v>
      </c>
      <c r="YU26" s="271">
        <v>2382969.2999999998</v>
      </c>
      <c r="YV26" s="271">
        <v>55940103.330000006</v>
      </c>
      <c r="YW26" s="271">
        <v>9256103.4299999997</v>
      </c>
      <c r="YX26" s="271">
        <v>12046484.789999999</v>
      </c>
      <c r="YY26" s="271">
        <v>4821526.6400000006</v>
      </c>
      <c r="YZ26" s="271">
        <v>12045806.479999999</v>
      </c>
      <c r="ZA26" s="271">
        <v>2049508.7699999998</v>
      </c>
      <c r="ZB26" s="271">
        <v>4567490.0399999991</v>
      </c>
      <c r="ZC26" s="271">
        <v>82012196.88000001</v>
      </c>
      <c r="ZD26" s="271">
        <v>5750664.3099999996</v>
      </c>
      <c r="ZE26" s="271">
        <v>13628105.890000001</v>
      </c>
      <c r="ZF26" s="271">
        <v>12949035.91</v>
      </c>
      <c r="ZG26" s="271">
        <v>2282913.5</v>
      </c>
      <c r="ZH26" s="271">
        <v>2390314.77</v>
      </c>
      <c r="ZI26" s="271">
        <v>2764333.89</v>
      </c>
      <c r="ZJ26" s="271">
        <v>4321522.53</v>
      </c>
      <c r="ZK26" s="271">
        <v>22341219.200000003</v>
      </c>
      <c r="ZL26" s="271">
        <v>177436818.55999997</v>
      </c>
      <c r="ZM26" s="271">
        <v>6278329.3799999999</v>
      </c>
      <c r="ZN26" s="271">
        <v>18614553.009999998</v>
      </c>
      <c r="ZO26" s="271">
        <v>64333365.510000005</v>
      </c>
      <c r="ZP26" s="271">
        <v>27531724.670000002</v>
      </c>
      <c r="ZQ26" s="271">
        <v>3575723.5300000003</v>
      </c>
      <c r="ZR26" s="271">
        <v>8358934.0800000001</v>
      </c>
      <c r="ZS26" s="271">
        <v>9271803.1699999999</v>
      </c>
      <c r="ZT26" s="271">
        <v>28644633.109999999</v>
      </c>
      <c r="ZU26" s="271">
        <v>14738685.559999999</v>
      </c>
      <c r="ZV26" s="271">
        <v>2117808.1</v>
      </c>
      <c r="ZW26" s="271">
        <v>4532133.71</v>
      </c>
      <c r="ZX26" s="271">
        <v>8083688.54</v>
      </c>
      <c r="ZY26" s="271">
        <v>21829355.16</v>
      </c>
      <c r="ZZ26" s="271">
        <v>4795588.25</v>
      </c>
      <c r="AAA26" s="271">
        <v>3476336</v>
      </c>
      <c r="AAB26" s="271">
        <v>4325423.0199999996</v>
      </c>
      <c r="AAC26" s="271">
        <v>8580198.9199999999</v>
      </c>
      <c r="AAD26" s="271">
        <v>7606944.7399999993</v>
      </c>
      <c r="AAE26" s="271">
        <v>4141816.37</v>
      </c>
      <c r="AAF26" s="271">
        <v>2662423.36</v>
      </c>
      <c r="AAG26" s="271">
        <v>3784309.78</v>
      </c>
      <c r="AAH26" s="271">
        <v>70407214.679999992</v>
      </c>
      <c r="AAI26" s="271">
        <v>5651532.9400000004</v>
      </c>
      <c r="AAJ26" s="271">
        <v>15160747.77</v>
      </c>
      <c r="AAK26" s="271">
        <v>5161827.6700000009</v>
      </c>
      <c r="AAL26" s="271">
        <v>3262988.2399999998</v>
      </c>
      <c r="AAM26" s="271">
        <v>13321457.279999999</v>
      </c>
      <c r="AAN26" s="271">
        <v>4816658.0799999991</v>
      </c>
      <c r="AAO26" s="271">
        <v>167933516.11000001</v>
      </c>
      <c r="AAP26" s="271">
        <v>7831954.1199999992</v>
      </c>
      <c r="AAQ26" s="271">
        <v>3702777.68</v>
      </c>
      <c r="AAR26" s="271">
        <v>24642559.710000001</v>
      </c>
      <c r="AAS26" s="271">
        <v>20685640.130000003</v>
      </c>
      <c r="AAT26" s="271">
        <v>4797366.37</v>
      </c>
      <c r="AAU26" s="271">
        <v>5110774.71</v>
      </c>
      <c r="AAV26" s="271">
        <v>5464659.9400000004</v>
      </c>
      <c r="AAW26" s="271">
        <v>28506516.390000001</v>
      </c>
      <c r="AAX26" s="271">
        <v>5135325.13</v>
      </c>
      <c r="AAY26" s="271">
        <v>14964454.799999999</v>
      </c>
      <c r="AAZ26" s="271">
        <v>40953338.329999998</v>
      </c>
      <c r="ABA26" s="271">
        <v>19991403.380000003</v>
      </c>
      <c r="ABB26" s="271">
        <v>1305855.19</v>
      </c>
      <c r="ABC26" s="271">
        <v>6177382.3799999999</v>
      </c>
      <c r="ABD26" s="271">
        <v>1967268.6500000001</v>
      </c>
      <c r="ABE26" s="271">
        <v>2435586.06</v>
      </c>
      <c r="ABF26" s="271">
        <v>8238011.2300000004</v>
      </c>
      <c r="ABG26" s="271">
        <v>3112361.34</v>
      </c>
      <c r="ABH26" s="271">
        <v>74402471.159999982</v>
      </c>
      <c r="ABI26" s="271">
        <v>81090510.930000007</v>
      </c>
      <c r="ABJ26" s="271">
        <v>3611819.0300000003</v>
      </c>
      <c r="ABK26" s="271">
        <v>4253753.49</v>
      </c>
      <c r="ABL26" s="271">
        <v>3519655.0900000003</v>
      </c>
      <c r="ABM26" s="271">
        <v>4328905.1999999993</v>
      </c>
      <c r="ABN26" s="271">
        <v>3266189.89</v>
      </c>
      <c r="ABO26" s="271">
        <v>60819339.699999988</v>
      </c>
      <c r="ABP26" s="271">
        <v>7490578.7000000002</v>
      </c>
      <c r="ABQ26" s="271">
        <v>4205635.57</v>
      </c>
      <c r="ABR26" s="271">
        <v>6912922.1000000006</v>
      </c>
      <c r="ABS26" s="271">
        <v>7219503.1099999994</v>
      </c>
      <c r="ABT26" s="271">
        <v>5163712.3100000005</v>
      </c>
      <c r="ABU26" s="271">
        <v>2488853.4800000004</v>
      </c>
      <c r="ABV26" s="271">
        <v>4668297.78</v>
      </c>
      <c r="ABW26" s="271">
        <v>1671159.47</v>
      </c>
      <c r="ABX26" s="271">
        <v>72463588.120000005</v>
      </c>
      <c r="ABY26" s="271">
        <v>4618698.0199999996</v>
      </c>
      <c r="ABZ26" s="271">
        <v>11556449.15</v>
      </c>
      <c r="ACA26" s="271">
        <v>3973681.18</v>
      </c>
      <c r="ACB26" s="271">
        <v>4651946.2799999993</v>
      </c>
      <c r="ACC26" s="271">
        <v>23866744.029999997</v>
      </c>
      <c r="ACD26" s="271">
        <v>4672561.2799999993</v>
      </c>
      <c r="ACE26" s="271">
        <v>5498800.9800000004</v>
      </c>
      <c r="ACF26" s="271">
        <v>4745756.79</v>
      </c>
      <c r="ACG26" s="271">
        <v>8994316.2100000009</v>
      </c>
      <c r="ACH26" s="271">
        <v>4089621.71</v>
      </c>
      <c r="ACI26" s="271">
        <v>138820796.69</v>
      </c>
      <c r="ACJ26" s="271">
        <v>4553152.82</v>
      </c>
      <c r="ACK26" s="271">
        <v>5621140.9500000002</v>
      </c>
      <c r="ACL26" s="271">
        <v>11245094.209999999</v>
      </c>
      <c r="ACM26" s="271">
        <v>3418178.93</v>
      </c>
      <c r="ACN26" s="271">
        <v>5293831.58</v>
      </c>
      <c r="ACO26" s="271">
        <v>7282821.5099999998</v>
      </c>
      <c r="ACP26" s="271">
        <v>29823362.199999999</v>
      </c>
      <c r="ACQ26" s="271">
        <v>90778390.549999997</v>
      </c>
      <c r="ACR26" s="271">
        <v>5692698.8899999997</v>
      </c>
      <c r="ACS26" s="271">
        <v>7851902.2599999998</v>
      </c>
      <c r="ACT26" s="271">
        <v>8124216.0100000007</v>
      </c>
      <c r="ACU26" s="271">
        <v>5275692.1800000006</v>
      </c>
      <c r="ACV26" s="271">
        <v>42542186.609999999</v>
      </c>
      <c r="ACW26" s="271">
        <v>6730457.2299999995</v>
      </c>
      <c r="ACX26" s="271">
        <v>2097079.74</v>
      </c>
      <c r="ACY26" s="271">
        <v>4977396.2899999991</v>
      </c>
      <c r="ACZ26" s="271">
        <v>2713774</v>
      </c>
      <c r="ADA26" s="271">
        <v>3244542.9999999995</v>
      </c>
      <c r="ADB26" s="271">
        <v>3109671.42</v>
      </c>
      <c r="ADC26" s="271">
        <v>4946513.09</v>
      </c>
      <c r="ADD26" s="271">
        <v>6204529.71</v>
      </c>
      <c r="ADE26" s="271">
        <v>7304246.1800000006</v>
      </c>
      <c r="ADF26" s="271">
        <v>16748727.410000002</v>
      </c>
      <c r="ADG26" s="271">
        <v>19989385.089999996</v>
      </c>
      <c r="ADH26" s="271">
        <v>4068412.25</v>
      </c>
      <c r="ADI26" s="271">
        <v>3536351.9400000004</v>
      </c>
      <c r="ADJ26" s="271">
        <v>5073383.0999999996</v>
      </c>
      <c r="ADK26" s="271">
        <v>2813972.5999999996</v>
      </c>
      <c r="ADL26" s="271">
        <v>4307296.07</v>
      </c>
      <c r="ADM26" s="271">
        <v>3178692.45</v>
      </c>
      <c r="ADN26" s="271">
        <v>3988732.9899999998</v>
      </c>
      <c r="ADO26" s="271">
        <v>176037900.09</v>
      </c>
      <c r="ADP26" s="271">
        <v>18157558.970000003</v>
      </c>
      <c r="ADQ26" s="271">
        <v>11843345.809999999</v>
      </c>
      <c r="ADR26" s="271">
        <v>3597707.83</v>
      </c>
      <c r="ADS26" s="271">
        <v>61018519.660000004</v>
      </c>
      <c r="ADT26" s="271">
        <v>2071795.7999999998</v>
      </c>
      <c r="ADU26" s="271">
        <v>3398940.2399999993</v>
      </c>
      <c r="ADV26" s="271">
        <v>6105621.129999999</v>
      </c>
      <c r="ADW26" s="271">
        <v>5375688.1599999992</v>
      </c>
      <c r="ADX26" s="271">
        <v>4981314.3899999997</v>
      </c>
      <c r="ADY26" s="271">
        <v>213862169.52000001</v>
      </c>
      <c r="ADZ26" s="271">
        <v>32615207.609999996</v>
      </c>
      <c r="AEA26" s="271">
        <v>26121472.48</v>
      </c>
      <c r="AEB26" s="271">
        <v>5036648.4799999995</v>
      </c>
      <c r="AEC26" s="271">
        <v>7741130.2299999995</v>
      </c>
      <c r="AED26" s="271">
        <v>8462291.3599999994</v>
      </c>
      <c r="AEE26" s="271">
        <v>5828262.5800000001</v>
      </c>
      <c r="AEF26" s="271">
        <v>6749898.46</v>
      </c>
      <c r="AEG26" s="271">
        <v>8262740.9199999999</v>
      </c>
      <c r="AEH26" s="271">
        <v>4386113.46</v>
      </c>
      <c r="AEI26" s="271">
        <v>6151865.9199999999</v>
      </c>
      <c r="AEJ26" s="271">
        <v>5468195.4399999995</v>
      </c>
      <c r="AEK26" s="271">
        <v>2179597.0999999996</v>
      </c>
      <c r="AEL26" s="271">
        <v>14154693.450000001</v>
      </c>
      <c r="AEM26" s="271">
        <v>9622734</v>
      </c>
      <c r="AEN26" s="271">
        <v>15603110.450000001</v>
      </c>
      <c r="AEO26" s="271">
        <v>4008815.01</v>
      </c>
      <c r="AEP26" s="271">
        <v>36880934.710000001</v>
      </c>
      <c r="AEQ26" s="271">
        <v>2940329.5000000005</v>
      </c>
      <c r="AER26" s="271">
        <v>21746363.209999997</v>
      </c>
      <c r="AES26" s="271">
        <v>98896657.210000008</v>
      </c>
      <c r="AET26" s="271">
        <v>9221190.75</v>
      </c>
      <c r="AEU26" s="271">
        <v>8961856.1500000004</v>
      </c>
      <c r="AEV26" s="271">
        <v>7547118.79</v>
      </c>
      <c r="AEW26" s="271">
        <v>5751747.6899999995</v>
      </c>
      <c r="AEX26" s="271">
        <v>22331731.879999999</v>
      </c>
      <c r="AEY26" s="271">
        <v>3724677.9499999997</v>
      </c>
      <c r="AEZ26" s="271">
        <v>3643711.1700000004</v>
      </c>
      <c r="AFA26" s="271">
        <v>6885267.7499999991</v>
      </c>
      <c r="AFB26" s="271">
        <v>3532213.57</v>
      </c>
      <c r="AFC26" s="271">
        <v>86466520.260000005</v>
      </c>
      <c r="AFD26" s="271">
        <v>18524401.43</v>
      </c>
      <c r="AFE26" s="271">
        <v>6133280.1900000004</v>
      </c>
      <c r="AFF26" s="271">
        <v>7085619.21</v>
      </c>
      <c r="AFG26" s="271">
        <v>12212322.239999998</v>
      </c>
      <c r="AFH26" s="271">
        <v>7211106.21</v>
      </c>
      <c r="AFI26" s="271">
        <v>3709637.85</v>
      </c>
      <c r="AFJ26" s="271">
        <v>4051662.31</v>
      </c>
      <c r="AFK26" s="271">
        <v>7928223.9100000001</v>
      </c>
      <c r="AFL26" s="271">
        <v>6324641.2599999998</v>
      </c>
      <c r="AFM26" s="271">
        <v>4829425.3899999997</v>
      </c>
      <c r="AFN26" s="271">
        <v>4998609.629999999</v>
      </c>
      <c r="AFO26" s="271">
        <v>13644151.33</v>
      </c>
      <c r="AFP26" s="271">
        <v>31152910.73</v>
      </c>
      <c r="AFQ26" s="271">
        <v>12324806.020000001</v>
      </c>
      <c r="AFR26" s="271">
        <v>2345797.69</v>
      </c>
      <c r="AFS26" s="271">
        <v>4416335.4400000004</v>
      </c>
      <c r="AFT26" s="271">
        <v>6766614.4300000006</v>
      </c>
      <c r="AFU26" s="271">
        <v>3882273.94</v>
      </c>
      <c r="AFV26" s="271">
        <v>2585345.8600000003</v>
      </c>
      <c r="AFW26" s="271">
        <v>11408013.659999998</v>
      </c>
      <c r="AFX26" s="271">
        <v>10411179.68</v>
      </c>
      <c r="AFY26" s="271">
        <v>2611134.3899999997</v>
      </c>
      <c r="AFZ26" s="271">
        <v>4810265.67</v>
      </c>
      <c r="AGA26" s="271">
        <v>3401323.42</v>
      </c>
      <c r="AGB26" s="271">
        <v>87470706.819999993</v>
      </c>
      <c r="AGC26" s="271">
        <v>4914162.0000000009</v>
      </c>
      <c r="AGD26" s="271">
        <v>3599295.57</v>
      </c>
      <c r="AGE26" s="271">
        <v>3339837.8600000003</v>
      </c>
      <c r="AGF26" s="271">
        <v>27418205.689999998</v>
      </c>
      <c r="AGG26" s="271">
        <v>5162003.6899999995</v>
      </c>
      <c r="AGH26" s="271">
        <v>2253790.6</v>
      </c>
      <c r="AGI26" s="271">
        <v>3847286.7</v>
      </c>
      <c r="AGJ26" s="271">
        <v>2965947.2499999995</v>
      </c>
      <c r="AGK26" s="271">
        <v>2860150.9099999997</v>
      </c>
      <c r="AGL26" s="271">
        <v>4082454.1100000003</v>
      </c>
      <c r="AGM26" s="271">
        <v>94033067.100000009</v>
      </c>
      <c r="AGN26" s="271">
        <v>25210561.010000002</v>
      </c>
      <c r="AGO26" s="271">
        <v>10074619.619999999</v>
      </c>
      <c r="AGP26" s="271">
        <v>3883429.85</v>
      </c>
      <c r="AGQ26" s="271">
        <v>5253266.46</v>
      </c>
      <c r="AGR26" s="271">
        <v>6042733.2800000012</v>
      </c>
      <c r="AGS26" s="271">
        <v>2195054.36</v>
      </c>
      <c r="AGT26" s="271">
        <v>4314319.5500000007</v>
      </c>
      <c r="AGU26" s="271">
        <v>162588510.99999997</v>
      </c>
      <c r="AGV26" s="271">
        <v>125432483.09000002</v>
      </c>
      <c r="AGW26" s="271">
        <v>5991460.379999999</v>
      </c>
      <c r="AGX26" s="271">
        <v>5476568.1500000004</v>
      </c>
      <c r="AGY26" s="271">
        <v>11561748.249999998</v>
      </c>
      <c r="AGZ26" s="271">
        <v>5149610.71</v>
      </c>
      <c r="AHA26" s="271">
        <v>8709086.0600000005</v>
      </c>
      <c r="AHB26" s="271">
        <v>9391421.0899999999</v>
      </c>
      <c r="AHC26" s="271">
        <v>1703412.8599999999</v>
      </c>
      <c r="AHD26" s="271">
        <v>5964882.209999999</v>
      </c>
      <c r="AHE26" s="271">
        <v>7815249.7899999991</v>
      </c>
      <c r="AHF26" s="271">
        <v>5964903.4900000002</v>
      </c>
      <c r="AHG26" s="271">
        <v>6525175.2000000002</v>
      </c>
      <c r="AHH26" s="271">
        <v>6443672.1899999995</v>
      </c>
      <c r="AHI26" s="271">
        <v>5282668.5</v>
      </c>
      <c r="AHJ26" s="271">
        <v>5887115.8600000003</v>
      </c>
      <c r="AHK26" s="271">
        <v>5985914.6200000001</v>
      </c>
      <c r="AHL26" s="271">
        <v>58155062.779999994</v>
      </c>
      <c r="AHM26" s="271">
        <v>5437612</v>
      </c>
      <c r="AHN26" s="271">
        <v>3175798.31</v>
      </c>
      <c r="AHO26" s="271">
        <v>3336444.83</v>
      </c>
      <c r="AHP26" s="271">
        <v>11478272.640000001</v>
      </c>
      <c r="AHQ26" s="294">
        <v>5210623.8100000005</v>
      </c>
      <c r="AHR26" s="329">
        <v>3729325.61</v>
      </c>
      <c r="AHS26" s="294">
        <f t="shared" si="18"/>
        <v>19236941401.573883</v>
      </c>
      <c r="AHT26" s="269" t="b">
        <f t="shared" si="1"/>
        <v>1</v>
      </c>
      <c r="AHU26" s="269" t="s">
        <v>33</v>
      </c>
    </row>
    <row r="27" spans="1:905" ht="23.4" customHeight="1" x14ac:dyDescent="0.7">
      <c r="B27" s="268" t="s">
        <v>35</v>
      </c>
      <c r="C27" s="269" t="s">
        <v>36</v>
      </c>
      <c r="D27" s="271">
        <v>62586509.640000001</v>
      </c>
      <c r="E27" s="271">
        <v>3638377.87</v>
      </c>
      <c r="F27" s="271">
        <v>5325905.4800000004</v>
      </c>
      <c r="G27" s="271">
        <v>1970228.1900000002</v>
      </c>
      <c r="H27" s="271">
        <v>9515307.1799999997</v>
      </c>
      <c r="I27" s="271">
        <v>3297699.4899999998</v>
      </c>
      <c r="J27" s="271">
        <v>7899042.7499999991</v>
      </c>
      <c r="K27" s="271">
        <v>3763343.39</v>
      </c>
      <c r="L27" s="271">
        <v>3607160.75</v>
      </c>
      <c r="M27" s="271">
        <v>2449412.1300000004</v>
      </c>
      <c r="N27" s="271">
        <v>1794325.43</v>
      </c>
      <c r="O27" s="271">
        <v>2012776.37</v>
      </c>
      <c r="P27" s="271">
        <v>1930374.44</v>
      </c>
      <c r="Q27" s="271">
        <v>1968820.2</v>
      </c>
      <c r="R27" s="271">
        <v>1776037.79</v>
      </c>
      <c r="S27" s="271">
        <v>4106339.6999999997</v>
      </c>
      <c r="T27" s="271">
        <v>4482308.1999999993</v>
      </c>
      <c r="U27" s="271">
        <v>951336.72</v>
      </c>
      <c r="V27" s="271">
        <v>45323893.280000001</v>
      </c>
      <c r="W27" s="271">
        <v>12083255.440000001</v>
      </c>
      <c r="X27" s="271">
        <v>1668179.7899999998</v>
      </c>
      <c r="Y27" s="271">
        <v>3969308.97</v>
      </c>
      <c r="Z27" s="271">
        <v>2571327.5</v>
      </c>
      <c r="AA27" s="271">
        <v>3008517.09</v>
      </c>
      <c r="AB27" s="271">
        <v>1564928.4200000002</v>
      </c>
      <c r="AC27" s="271">
        <v>14741249.909999998</v>
      </c>
      <c r="AD27" s="271">
        <v>3644088</v>
      </c>
      <c r="AE27" s="271">
        <v>1548280.6300000001</v>
      </c>
      <c r="AF27" s="271">
        <v>7258438.8699999992</v>
      </c>
      <c r="AG27" s="271">
        <v>2283377.7200000002</v>
      </c>
      <c r="AH27" s="271">
        <v>10347997.620000001</v>
      </c>
      <c r="AI27" s="271">
        <v>4402631.3000000007</v>
      </c>
      <c r="AJ27" s="271">
        <v>2870952.96</v>
      </c>
      <c r="AK27" s="271">
        <v>1604458.2200000002</v>
      </c>
      <c r="AL27" s="271">
        <v>1840033.1900000002</v>
      </c>
      <c r="AM27" s="271">
        <v>2604541.6100000003</v>
      </c>
      <c r="AN27" s="271">
        <v>1216531.1399999999</v>
      </c>
      <c r="AO27" s="271">
        <v>2026914.98</v>
      </c>
      <c r="AP27" s="271">
        <v>2044724.38</v>
      </c>
      <c r="AQ27" s="271">
        <v>1292579.9799999997</v>
      </c>
      <c r="AR27" s="271">
        <v>911879.05000000016</v>
      </c>
      <c r="AS27" s="271">
        <v>1242208.3</v>
      </c>
      <c r="AT27" s="271">
        <v>24788744.150000002</v>
      </c>
      <c r="AU27" s="271">
        <v>1251901.8999999999</v>
      </c>
      <c r="AV27" s="271">
        <v>896804.74999999988</v>
      </c>
      <c r="AW27" s="271">
        <v>2005650.56</v>
      </c>
      <c r="AX27" s="271">
        <v>2534780.35</v>
      </c>
      <c r="AY27" s="271">
        <v>3516862.07</v>
      </c>
      <c r="AZ27" s="271">
        <v>1478670.37</v>
      </c>
      <c r="BA27" s="271">
        <v>1335899.32</v>
      </c>
      <c r="BB27" s="271">
        <v>1035461.34</v>
      </c>
      <c r="BC27" s="271">
        <v>1120075.44</v>
      </c>
      <c r="BD27" s="271">
        <v>882314.46</v>
      </c>
      <c r="BE27" s="271">
        <v>1038735.09</v>
      </c>
      <c r="BF27" s="271">
        <v>5336993.37</v>
      </c>
      <c r="BG27" s="271">
        <v>766897.97000000009</v>
      </c>
      <c r="BH27" s="271">
        <v>696224.38</v>
      </c>
      <c r="BI27" s="271">
        <v>20357921.34</v>
      </c>
      <c r="BJ27" s="271">
        <v>12551803.369999999</v>
      </c>
      <c r="BK27" s="271">
        <v>2064578.66</v>
      </c>
      <c r="BL27" s="271">
        <v>1276125.73</v>
      </c>
      <c r="BM27" s="271">
        <v>2967649.46</v>
      </c>
      <c r="BN27" s="271">
        <v>2550171.9900000002</v>
      </c>
      <c r="BO27" s="271">
        <v>1307995.17</v>
      </c>
      <c r="BP27" s="271">
        <v>325608.99</v>
      </c>
      <c r="BQ27" s="271">
        <v>490597.04000000004</v>
      </c>
      <c r="BR27" s="271">
        <v>23145413.629999999</v>
      </c>
      <c r="BS27" s="271">
        <v>3080777.12</v>
      </c>
      <c r="BT27" s="271">
        <v>3169875.33</v>
      </c>
      <c r="BU27" s="271">
        <v>3379807.7700000005</v>
      </c>
      <c r="BV27" s="271">
        <v>2467958.04</v>
      </c>
      <c r="BW27" s="271">
        <v>2007066.17</v>
      </c>
      <c r="BX27" s="271">
        <v>1757412.06</v>
      </c>
      <c r="BY27" s="271">
        <v>2386387.67</v>
      </c>
      <c r="BZ27" s="271">
        <v>10574992.720000001</v>
      </c>
      <c r="CA27" s="271">
        <v>1296901.1700000002</v>
      </c>
      <c r="CB27" s="271">
        <v>3121753.5300000003</v>
      </c>
      <c r="CC27" s="271">
        <v>7011778.3500000006</v>
      </c>
      <c r="CD27" s="271">
        <v>1725406.37</v>
      </c>
      <c r="CE27" s="271">
        <v>1383272.6600000001</v>
      </c>
      <c r="CF27" s="271">
        <v>1752759.1900000002</v>
      </c>
      <c r="CG27" s="271">
        <v>58682325.590000004</v>
      </c>
      <c r="CH27" s="271">
        <v>2140391.1800000002</v>
      </c>
      <c r="CI27" s="271">
        <v>7617186.21</v>
      </c>
      <c r="CJ27" s="271">
        <v>1586074.19</v>
      </c>
      <c r="CK27" s="271">
        <v>2140135.5300000003</v>
      </c>
      <c r="CL27" s="271">
        <v>1922059.82</v>
      </c>
      <c r="CM27" s="271">
        <v>1828846.72</v>
      </c>
      <c r="CN27" s="271">
        <v>5025328.5299999993</v>
      </c>
      <c r="CO27" s="271">
        <v>1309633.26</v>
      </c>
      <c r="CP27" s="271">
        <v>1764189.8000000003</v>
      </c>
      <c r="CQ27" s="271">
        <v>1663805.59</v>
      </c>
      <c r="CR27" s="271">
        <v>2189834.85</v>
      </c>
      <c r="CS27" s="271">
        <v>1666095.3599999999</v>
      </c>
      <c r="CT27" s="271">
        <v>21415482.890000001</v>
      </c>
      <c r="CU27" s="271">
        <v>1747882.3499999999</v>
      </c>
      <c r="CV27" s="271">
        <v>1723077.6500000001</v>
      </c>
      <c r="CW27" s="271">
        <v>3924743.8200000003</v>
      </c>
      <c r="CX27" s="271">
        <v>1099633.4400000002</v>
      </c>
      <c r="CY27" s="271">
        <v>3274364.3000000003</v>
      </c>
      <c r="CZ27" s="271">
        <v>1724629.37</v>
      </c>
      <c r="DA27" s="271">
        <v>883256.69</v>
      </c>
      <c r="DB27" s="271">
        <v>15749804.140000001</v>
      </c>
      <c r="DC27" s="271">
        <v>28191654.209999997</v>
      </c>
      <c r="DD27" s="271">
        <v>1570411.04</v>
      </c>
      <c r="DE27" s="271">
        <v>1909432.5499999998</v>
      </c>
      <c r="DF27" s="271">
        <v>3202495</v>
      </c>
      <c r="DG27" s="271">
        <v>2649246.23</v>
      </c>
      <c r="DH27" s="271">
        <v>2325310.0699999998</v>
      </c>
      <c r="DI27" s="271">
        <v>3103234.06</v>
      </c>
      <c r="DJ27" s="271">
        <v>1440723.8599999999</v>
      </c>
      <c r="DK27" s="271">
        <v>72259038.979999989</v>
      </c>
      <c r="DL27" s="271">
        <v>2479575.0499999998</v>
      </c>
      <c r="DM27" s="271">
        <v>3744911.13</v>
      </c>
      <c r="DN27" s="271">
        <v>3619350.02</v>
      </c>
      <c r="DO27" s="271">
        <v>4036958.16</v>
      </c>
      <c r="DP27" s="271">
        <v>3940727.65</v>
      </c>
      <c r="DQ27" s="271">
        <v>5576787.9699999997</v>
      </c>
      <c r="DR27" s="271">
        <v>3120490.68</v>
      </c>
      <c r="DS27" s="271">
        <v>4416589.01</v>
      </c>
      <c r="DT27" s="271">
        <v>25400929.809999999</v>
      </c>
      <c r="DU27" s="271">
        <v>3833308.1099999994</v>
      </c>
      <c r="DV27" s="271">
        <v>8360310.5700000012</v>
      </c>
      <c r="DW27" s="271">
        <v>15954489.439999999</v>
      </c>
      <c r="DX27" s="271">
        <v>3439704.23</v>
      </c>
      <c r="DY27" s="271">
        <v>6164317.8099999996</v>
      </c>
      <c r="DZ27" s="271">
        <v>3664819.8899999997</v>
      </c>
      <c r="EA27" s="271">
        <v>861823.5</v>
      </c>
      <c r="EB27" s="271">
        <v>2448441.33</v>
      </c>
      <c r="EC27" s="271">
        <v>1309047.3400000001</v>
      </c>
      <c r="ED27" s="271">
        <v>4167157.6599999997</v>
      </c>
      <c r="EE27" s="271">
        <v>13921753.879999999</v>
      </c>
      <c r="EF27" s="271">
        <v>12194384.279999999</v>
      </c>
      <c r="EG27" s="271">
        <v>2448143.56</v>
      </c>
      <c r="EH27" s="271">
        <v>3295058.5</v>
      </c>
      <c r="EI27" s="271">
        <v>2172435.46</v>
      </c>
      <c r="EJ27" s="271">
        <v>3255785.1</v>
      </c>
      <c r="EK27" s="271">
        <v>3955498.2399999998</v>
      </c>
      <c r="EL27" s="271">
        <v>1849601.62</v>
      </c>
      <c r="EM27" s="271">
        <v>2643558.2599999998</v>
      </c>
      <c r="EN27" s="271">
        <v>34394199.440000005</v>
      </c>
      <c r="EO27" s="271">
        <v>2867682.6999999997</v>
      </c>
      <c r="EP27" s="271">
        <v>2379006.4499999997</v>
      </c>
      <c r="EQ27" s="271">
        <v>2718762.95</v>
      </c>
      <c r="ER27" s="271">
        <v>1964583.36</v>
      </c>
      <c r="ES27" s="271">
        <v>1195567.52</v>
      </c>
      <c r="ET27" s="271">
        <v>4266326.8899999997</v>
      </c>
      <c r="EU27" s="271">
        <v>3682456.32</v>
      </c>
      <c r="EV27" s="271">
        <v>1771667.75</v>
      </c>
      <c r="EW27" s="271">
        <v>23330504.82</v>
      </c>
      <c r="EX27" s="271">
        <v>1490754.19</v>
      </c>
      <c r="EY27" s="271">
        <v>2768197.12</v>
      </c>
      <c r="EZ27" s="271">
        <v>3675692.62</v>
      </c>
      <c r="FA27" s="271">
        <v>5324801.8900000006</v>
      </c>
      <c r="FB27" s="271">
        <v>3775574.3400000003</v>
      </c>
      <c r="FC27" s="271">
        <v>3943348.42</v>
      </c>
      <c r="FD27" s="271">
        <v>2888711.25</v>
      </c>
      <c r="FE27" s="271">
        <v>2208611.13</v>
      </c>
      <c r="FF27" s="271">
        <v>1952941.9000000001</v>
      </c>
      <c r="FG27" s="271">
        <v>1895196.5599999998</v>
      </c>
      <c r="FH27" s="271">
        <v>1893586.4000000001</v>
      </c>
      <c r="FI27" s="271">
        <v>25645238.149999999</v>
      </c>
      <c r="FJ27" s="271">
        <v>1982451.35</v>
      </c>
      <c r="FK27" s="271">
        <v>2166017.2400000002</v>
      </c>
      <c r="FL27" s="271">
        <v>1700737.6600000001</v>
      </c>
      <c r="FM27" s="271">
        <v>4082700.98</v>
      </c>
      <c r="FN27" s="271">
        <v>3478964.78</v>
      </c>
      <c r="FO27" s="271">
        <v>1038625.56</v>
      </c>
      <c r="FP27" s="271">
        <v>572690.5</v>
      </c>
      <c r="FQ27" s="271">
        <v>44554166.530000001</v>
      </c>
      <c r="FR27" s="271">
        <v>1975460.22</v>
      </c>
      <c r="FS27" s="271">
        <v>3754973.0900000003</v>
      </c>
      <c r="FT27" s="271">
        <v>3591663.34</v>
      </c>
      <c r="FU27" s="271">
        <v>3788252.97</v>
      </c>
      <c r="FV27" s="271">
        <v>2865250.3400000003</v>
      </c>
      <c r="FW27" s="271">
        <v>6264218.1400000006</v>
      </c>
      <c r="FX27" s="271">
        <v>3350820.71</v>
      </c>
      <c r="FY27" s="271">
        <v>3642311.5500000003</v>
      </c>
      <c r="FZ27" s="271">
        <v>2671257.3000000007</v>
      </c>
      <c r="GA27" s="271">
        <v>6133810.04</v>
      </c>
      <c r="GB27" s="271">
        <v>2871075.6100000003</v>
      </c>
      <c r="GC27" s="271">
        <v>2033615.06</v>
      </c>
      <c r="GD27" s="271">
        <v>997216.97</v>
      </c>
      <c r="GE27" s="271">
        <v>21403944.359999999</v>
      </c>
      <c r="GF27" s="271">
        <v>2147431</v>
      </c>
      <c r="GG27" s="271">
        <v>1839054.5799999998</v>
      </c>
      <c r="GH27" s="271">
        <v>6234976.8200000003</v>
      </c>
      <c r="GI27" s="271">
        <v>2789036.79</v>
      </c>
      <c r="GJ27" s="271">
        <v>2301305.63</v>
      </c>
      <c r="GK27" s="271">
        <v>2965311.49</v>
      </c>
      <c r="GL27" s="271">
        <v>4857631.46</v>
      </c>
      <c r="GM27" s="271">
        <v>1954991.0499999998</v>
      </c>
      <c r="GN27" s="271">
        <v>1126544.1100000001</v>
      </c>
      <c r="GO27" s="271">
        <v>996624.16</v>
      </c>
      <c r="GP27" s="271">
        <v>902614.15999999992</v>
      </c>
      <c r="GQ27" s="271">
        <v>10014522.58</v>
      </c>
      <c r="GR27" s="271">
        <v>4846611.4399999995</v>
      </c>
      <c r="GS27" s="271">
        <v>2716691.64</v>
      </c>
      <c r="GT27" s="271">
        <v>6027930.6300000008</v>
      </c>
      <c r="GU27" s="271">
        <v>991432.3600000001</v>
      </c>
      <c r="GV27" s="271">
        <v>2284453.25</v>
      </c>
      <c r="GW27" s="271">
        <v>3583224.91</v>
      </c>
      <c r="GX27" s="271">
        <v>1623727.6</v>
      </c>
      <c r="GY27" s="271">
        <v>16942947.469999999</v>
      </c>
      <c r="GZ27" s="271">
        <v>2883649.5700000003</v>
      </c>
      <c r="HA27" s="271">
        <v>3963042.27</v>
      </c>
      <c r="HB27" s="271">
        <v>2779910.14</v>
      </c>
      <c r="HC27" s="271">
        <v>37916753.829999998</v>
      </c>
      <c r="HD27" s="271">
        <v>6160150.1800000006</v>
      </c>
      <c r="HE27" s="271">
        <v>6583115.7400000002</v>
      </c>
      <c r="HF27" s="271">
        <v>4613280.1100000003</v>
      </c>
      <c r="HG27" s="271">
        <v>4482814.22</v>
      </c>
      <c r="HH27" s="271">
        <v>5080702.74</v>
      </c>
      <c r="HI27" s="271">
        <v>2000363.66</v>
      </c>
      <c r="HJ27" s="271">
        <v>28738672.879999999</v>
      </c>
      <c r="HK27" s="271">
        <v>3660140.94</v>
      </c>
      <c r="HL27" s="271">
        <v>6557969.9399999995</v>
      </c>
      <c r="HM27" s="271">
        <v>2043362.9000000001</v>
      </c>
      <c r="HN27" s="271">
        <v>2127483.4900000002</v>
      </c>
      <c r="HO27" s="271">
        <v>2066743.29</v>
      </c>
      <c r="HP27" s="271">
        <v>3777661.43</v>
      </c>
      <c r="HQ27" s="271">
        <v>2143483.9099999997</v>
      </c>
      <c r="HR27" s="271">
        <v>31551774.509999998</v>
      </c>
      <c r="HS27" s="271">
        <v>14788957.310000001</v>
      </c>
      <c r="HT27" s="271">
        <v>2515008.19</v>
      </c>
      <c r="HU27" s="271">
        <v>3145335.7</v>
      </c>
      <c r="HV27" s="271">
        <v>1713655.5699999998</v>
      </c>
      <c r="HW27" s="271">
        <v>1468994.5</v>
      </c>
      <c r="HX27" s="271">
        <v>6384586.6799999997</v>
      </c>
      <c r="HY27" s="271">
        <v>2074723.68</v>
      </c>
      <c r="HZ27" s="271">
        <v>2080065.4000000001</v>
      </c>
      <c r="IA27" s="271">
        <v>2130598.5699999998</v>
      </c>
      <c r="IB27" s="271">
        <v>1989818.02</v>
      </c>
      <c r="IC27" s="271">
        <v>4379907.3900000006</v>
      </c>
      <c r="ID27" s="271">
        <v>1094190.6100000001</v>
      </c>
      <c r="IE27" s="271">
        <v>3205795.3000000003</v>
      </c>
      <c r="IF27" s="271">
        <v>1902750.28</v>
      </c>
      <c r="IG27" s="271">
        <v>1446373.79</v>
      </c>
      <c r="IH27" s="271">
        <v>28744368.52</v>
      </c>
      <c r="II27" s="271">
        <v>11529825.919999998</v>
      </c>
      <c r="IJ27" s="271">
        <v>2375011.69</v>
      </c>
      <c r="IK27" s="271">
        <v>5351066.6499999994</v>
      </c>
      <c r="IL27" s="271">
        <v>9111756.120000001</v>
      </c>
      <c r="IM27" s="271">
        <v>2837664.33</v>
      </c>
      <c r="IN27" s="271">
        <v>2472482.9899999998</v>
      </c>
      <c r="IO27" s="271">
        <v>2008607.82</v>
      </c>
      <c r="IP27" s="271">
        <v>1617831.06</v>
      </c>
      <c r="IQ27" s="271">
        <v>1819401.8499999999</v>
      </c>
      <c r="IR27" s="271">
        <v>2028458.48</v>
      </c>
      <c r="IS27" s="271">
        <v>46200410.520000003</v>
      </c>
      <c r="IT27" s="271">
        <v>13949221.070000002</v>
      </c>
      <c r="IU27" s="271">
        <v>3893796.66</v>
      </c>
      <c r="IV27" s="271">
        <v>3479671.4</v>
      </c>
      <c r="IW27" s="271">
        <v>1936150.75</v>
      </c>
      <c r="IX27" s="271">
        <v>1323204.2599999998</v>
      </c>
      <c r="IY27" s="271">
        <v>2671244.17</v>
      </c>
      <c r="IZ27" s="271">
        <v>1141554.21</v>
      </c>
      <c r="JA27" s="271">
        <v>1707599.75</v>
      </c>
      <c r="JB27" s="271">
        <v>2216650.94</v>
      </c>
      <c r="JC27" s="271">
        <v>3537406.37</v>
      </c>
      <c r="JD27" s="271">
        <v>1526141.9200000002</v>
      </c>
      <c r="JE27" s="271">
        <v>15861462.01</v>
      </c>
      <c r="JF27" s="271">
        <v>8092505.3499999996</v>
      </c>
      <c r="JG27" s="271">
        <v>1991387.32</v>
      </c>
      <c r="JH27" s="271">
        <v>1564526.7799999998</v>
      </c>
      <c r="JI27" s="271">
        <v>1802565.1900000002</v>
      </c>
      <c r="JJ27" s="271">
        <v>1132980.1300000001</v>
      </c>
      <c r="JK27" s="271">
        <v>18206483.650000002</v>
      </c>
      <c r="JL27" s="271">
        <v>2275479.0100000002</v>
      </c>
      <c r="JM27" s="271">
        <v>2079793.6</v>
      </c>
      <c r="JN27" s="271">
        <v>3786342.35</v>
      </c>
      <c r="JO27" s="271">
        <v>2112868.09</v>
      </c>
      <c r="JP27" s="271">
        <v>4094854.96</v>
      </c>
      <c r="JQ27" s="271">
        <v>1928617.81</v>
      </c>
      <c r="JR27" s="271">
        <v>34445111.869999997</v>
      </c>
      <c r="JS27" s="271">
        <v>12600946.609999999</v>
      </c>
      <c r="JT27" s="271">
        <v>2993964.43</v>
      </c>
      <c r="JU27" s="271">
        <v>1361334.93</v>
      </c>
      <c r="JV27" s="271">
        <v>2853826.4899999998</v>
      </c>
      <c r="JW27" s="271">
        <v>961376.09</v>
      </c>
      <c r="JX27" s="271">
        <v>8447550.0700000003</v>
      </c>
      <c r="JY27" s="271">
        <v>4841109.74</v>
      </c>
      <c r="JZ27" s="271">
        <v>2577416.0500000003</v>
      </c>
      <c r="KA27" s="271">
        <v>3116966</v>
      </c>
      <c r="KB27" s="271">
        <v>2378384.29</v>
      </c>
      <c r="KC27" s="271">
        <v>3323409.5799999996</v>
      </c>
      <c r="KD27" s="271">
        <v>1346529.21</v>
      </c>
      <c r="KE27" s="271">
        <v>838458.71000000008</v>
      </c>
      <c r="KF27" s="271">
        <v>1718792.37</v>
      </c>
      <c r="KG27" s="271">
        <v>1292725.0899999999</v>
      </c>
      <c r="KH27" s="271">
        <v>54649226.929999992</v>
      </c>
      <c r="KI27" s="271">
        <v>6061023.3900000006</v>
      </c>
      <c r="KJ27" s="271">
        <v>2954298.6100000003</v>
      </c>
      <c r="KK27" s="271">
        <v>2898820.9000000004</v>
      </c>
      <c r="KL27" s="271">
        <v>3813134.15</v>
      </c>
      <c r="KM27" s="271">
        <v>4430621.2939999998</v>
      </c>
      <c r="KN27" s="271">
        <v>11878513.32</v>
      </c>
      <c r="KO27" s="271">
        <v>1787888.45</v>
      </c>
      <c r="KP27" s="271">
        <v>2094974.14</v>
      </c>
      <c r="KQ27" s="271">
        <v>18788036.529999997</v>
      </c>
      <c r="KR27" s="271">
        <v>2731728.24</v>
      </c>
      <c r="KS27" s="271">
        <v>3640142.0300000003</v>
      </c>
      <c r="KT27" s="271">
        <v>7848643.8699999992</v>
      </c>
      <c r="KU27" s="271">
        <v>1913151.39</v>
      </c>
      <c r="KV27" s="271">
        <v>4289796.4400000004</v>
      </c>
      <c r="KW27" s="271">
        <v>36571635.509999998</v>
      </c>
      <c r="KX27" s="271">
        <v>4318190.9499999993</v>
      </c>
      <c r="KY27" s="271">
        <v>31806190.259999998</v>
      </c>
      <c r="KZ27" s="271">
        <v>3148482.74</v>
      </c>
      <c r="LA27" s="271">
        <v>1648512.25</v>
      </c>
      <c r="LB27" s="271">
        <v>7555658.8999999994</v>
      </c>
      <c r="LC27" s="271">
        <v>5268936.18</v>
      </c>
      <c r="LD27" s="271">
        <v>2919149.67</v>
      </c>
      <c r="LE27" s="271">
        <v>3008299.87</v>
      </c>
      <c r="LF27" s="271">
        <v>2094458.5000000002</v>
      </c>
      <c r="LG27" s="271">
        <v>41074449.680000007</v>
      </c>
      <c r="LH27" s="271">
        <v>15410217.600000001</v>
      </c>
      <c r="LI27" s="271">
        <v>12416867.899999999</v>
      </c>
      <c r="LJ27" s="271">
        <v>15886870.060000002</v>
      </c>
      <c r="LK27" s="271">
        <v>2541088.6700000004</v>
      </c>
      <c r="LL27" s="271">
        <v>2222215.85</v>
      </c>
      <c r="LM27" s="271">
        <v>2355617.8199999998</v>
      </c>
      <c r="LN27" s="271">
        <v>3198160.08</v>
      </c>
      <c r="LO27" s="271">
        <v>1102535.8599999999</v>
      </c>
      <c r="LP27" s="271">
        <v>3279664.3299999996</v>
      </c>
      <c r="LQ27" s="271">
        <v>1341332.8399999999</v>
      </c>
      <c r="LR27" s="271">
        <v>17164255.260000002</v>
      </c>
      <c r="LS27" s="271">
        <v>3849966.21</v>
      </c>
      <c r="LT27" s="271">
        <v>2499141.7199999997</v>
      </c>
      <c r="LU27" s="271">
        <v>49142339.330000006</v>
      </c>
      <c r="LV27" s="271">
        <v>22212034.98</v>
      </c>
      <c r="LW27" s="271">
        <v>34595402.560000002</v>
      </c>
      <c r="LX27" s="271">
        <v>13291915.5</v>
      </c>
      <c r="LY27" s="271">
        <v>6646385.6600000001</v>
      </c>
      <c r="LZ27" s="271">
        <v>6287824.6899999995</v>
      </c>
      <c r="MA27" s="271">
        <v>3079424.4899999998</v>
      </c>
      <c r="MB27" s="271">
        <v>3810514.57</v>
      </c>
      <c r="MC27" s="271">
        <v>3327300.27</v>
      </c>
      <c r="MD27" s="271">
        <v>3650044.3099999996</v>
      </c>
      <c r="ME27" s="271">
        <v>10585032.280000001</v>
      </c>
      <c r="MF27" s="271">
        <v>2511888.6599999997</v>
      </c>
      <c r="MG27" s="271">
        <v>43403075.539999999</v>
      </c>
      <c r="MH27" s="271">
        <v>2843085.5500000003</v>
      </c>
      <c r="MI27" s="271">
        <v>1149449.06</v>
      </c>
      <c r="MJ27" s="271">
        <v>1786643.95</v>
      </c>
      <c r="MK27" s="271">
        <v>1348999.0199999998</v>
      </c>
      <c r="ML27" s="271">
        <v>2650055.0800000005</v>
      </c>
      <c r="MM27" s="271">
        <v>2108111.9500000002</v>
      </c>
      <c r="MN27" s="271">
        <v>1782230.0599999998</v>
      </c>
      <c r="MO27" s="271">
        <v>3431163.7299999995</v>
      </c>
      <c r="MP27" s="271">
        <v>2259496.7299999995</v>
      </c>
      <c r="MQ27" s="271">
        <v>2428202.87</v>
      </c>
      <c r="MR27" s="271">
        <v>1881915.72</v>
      </c>
      <c r="MS27" s="271">
        <v>38588652.729999997</v>
      </c>
      <c r="MT27" s="271">
        <v>2597239.38</v>
      </c>
      <c r="MU27" s="271">
        <v>2473887.2000000002</v>
      </c>
      <c r="MV27" s="271">
        <v>3467230.15</v>
      </c>
      <c r="MW27" s="271">
        <v>5100700.76</v>
      </c>
      <c r="MX27" s="271">
        <v>2964836.9899999998</v>
      </c>
      <c r="MY27" s="271">
        <v>8630626.1699000001</v>
      </c>
      <c r="MZ27" s="271">
        <v>5785775.0899999999</v>
      </c>
      <c r="NA27" s="271">
        <v>3024668.17</v>
      </c>
      <c r="NB27" s="271">
        <v>1150875.5599999998</v>
      </c>
      <c r="NC27" s="271">
        <v>818626.35</v>
      </c>
      <c r="ND27" s="271">
        <v>69509405.429999992</v>
      </c>
      <c r="NE27" s="271">
        <v>7646384.04</v>
      </c>
      <c r="NF27" s="271">
        <v>2184537.2599999998</v>
      </c>
      <c r="NG27" s="271">
        <v>23595921.719999999</v>
      </c>
      <c r="NH27" s="271">
        <v>2324164.64</v>
      </c>
      <c r="NI27" s="271">
        <v>5974372.0999999996</v>
      </c>
      <c r="NJ27" s="271">
        <v>13158765.889999999</v>
      </c>
      <c r="NK27" s="271">
        <v>12029973.720000001</v>
      </c>
      <c r="NL27" s="271">
        <v>1541194.63</v>
      </c>
      <c r="NM27" s="271">
        <v>5098661.7600000007</v>
      </c>
      <c r="NN27" s="271">
        <v>3749706.4400000004</v>
      </c>
      <c r="NO27" s="271">
        <v>2603010.7799999998</v>
      </c>
      <c r="NP27" s="271">
        <v>18498103.470000003</v>
      </c>
      <c r="NQ27" s="271">
        <v>1862413.6500000001</v>
      </c>
      <c r="NR27" s="271">
        <v>1801721.3599999999</v>
      </c>
      <c r="NS27" s="271">
        <v>2237929.35</v>
      </c>
      <c r="NT27" s="271">
        <v>1664023.3399999999</v>
      </c>
      <c r="NU27" s="271">
        <v>700023.32</v>
      </c>
      <c r="NV27" s="271">
        <v>1192184.46</v>
      </c>
      <c r="NW27" s="271">
        <v>34922139.340000004</v>
      </c>
      <c r="NX27" s="271">
        <v>13787761.640000001</v>
      </c>
      <c r="NY27" s="271">
        <v>2293273.2499999995</v>
      </c>
      <c r="NZ27" s="271">
        <v>1775233.4500000002</v>
      </c>
      <c r="OA27" s="271">
        <v>2393926.3800000004</v>
      </c>
      <c r="OB27" s="271">
        <v>4006071.0300000003</v>
      </c>
      <c r="OC27" s="271">
        <v>2057068.6400000001</v>
      </c>
      <c r="OD27" s="271">
        <v>50942911.259999998</v>
      </c>
      <c r="OE27" s="271">
        <v>7408428.2700000005</v>
      </c>
      <c r="OF27" s="271">
        <v>5675722.8699999992</v>
      </c>
      <c r="OG27" s="271">
        <v>10157272.060000001</v>
      </c>
      <c r="OH27" s="271">
        <v>2377138.77</v>
      </c>
      <c r="OI27" s="271">
        <v>3610707.5100000002</v>
      </c>
      <c r="OJ27" s="271">
        <v>4082051.22</v>
      </c>
      <c r="OK27" s="271">
        <v>1475271.93</v>
      </c>
      <c r="OL27" s="271">
        <v>1434081.1600000001</v>
      </c>
      <c r="OM27" s="271">
        <v>36541497.030000001</v>
      </c>
      <c r="ON27" s="271">
        <v>13410935.129999999</v>
      </c>
      <c r="OO27" s="271">
        <v>12685008.109999998</v>
      </c>
      <c r="OP27" s="271">
        <v>5241749.0599999996</v>
      </c>
      <c r="OQ27" s="271">
        <v>4599986.3899999997</v>
      </c>
      <c r="OR27" s="271">
        <v>1415245.7999999998</v>
      </c>
      <c r="OS27" s="271">
        <v>22338525.859999999</v>
      </c>
      <c r="OT27" s="271">
        <v>1835933.1300000001</v>
      </c>
      <c r="OU27" s="271">
        <v>1982181.26</v>
      </c>
      <c r="OV27" s="271">
        <v>5847739.3900000006</v>
      </c>
      <c r="OW27" s="271">
        <v>4611570.5900000008</v>
      </c>
      <c r="OX27" s="271">
        <v>9986725.5400000028</v>
      </c>
      <c r="OY27" s="271">
        <v>3227592.1900000004</v>
      </c>
      <c r="OZ27" s="271">
        <v>927670.39</v>
      </c>
      <c r="PA27" s="271">
        <v>1432125.45</v>
      </c>
      <c r="PB27" s="271">
        <v>34352769.07</v>
      </c>
      <c r="PC27" s="271">
        <v>1991792.72</v>
      </c>
      <c r="PD27" s="271">
        <v>4712350.1900000004</v>
      </c>
      <c r="PE27" s="271">
        <v>1364834.27</v>
      </c>
      <c r="PF27" s="271">
        <v>3714558.32</v>
      </c>
      <c r="PG27" s="271">
        <v>5768793.0899999999</v>
      </c>
      <c r="PH27" s="271">
        <v>2436777.13</v>
      </c>
      <c r="PI27" s="271">
        <v>1916345.3399999999</v>
      </c>
      <c r="PJ27" s="271">
        <v>2245204.4900000002</v>
      </c>
      <c r="PK27" s="271">
        <v>2429502.4</v>
      </c>
      <c r="PL27" s="271">
        <v>3527915.17</v>
      </c>
      <c r="PM27" s="271">
        <v>3350547.2500000005</v>
      </c>
      <c r="PN27" s="271">
        <v>1485553.45</v>
      </c>
      <c r="PO27" s="271">
        <v>6999003.1900000004</v>
      </c>
      <c r="PP27" s="271">
        <v>1410517.31</v>
      </c>
      <c r="PQ27" s="271">
        <v>1049579.08</v>
      </c>
      <c r="PR27" s="271">
        <v>827776.44000000006</v>
      </c>
      <c r="PS27" s="271">
        <v>1179097.76</v>
      </c>
      <c r="PT27" s="271">
        <v>76779269.62000002</v>
      </c>
      <c r="PU27" s="271">
        <v>1906593.38</v>
      </c>
      <c r="PV27" s="271">
        <v>2205858.62</v>
      </c>
      <c r="PW27" s="271">
        <v>3845333.8899999997</v>
      </c>
      <c r="PX27" s="271">
        <v>20216492.34</v>
      </c>
      <c r="PY27" s="271">
        <v>4047970.65</v>
      </c>
      <c r="PZ27" s="271">
        <v>4703000.2799999993</v>
      </c>
      <c r="QA27" s="271">
        <v>1999328.34</v>
      </c>
      <c r="QB27" s="271">
        <v>7425448.8399999999</v>
      </c>
      <c r="QC27" s="271">
        <v>1965773.3</v>
      </c>
      <c r="QD27" s="271">
        <v>6082181.0900000008</v>
      </c>
      <c r="QE27" s="271">
        <v>2153846.12</v>
      </c>
      <c r="QF27" s="271">
        <v>2640944.9900000002</v>
      </c>
      <c r="QG27" s="271">
        <v>4103839.5900000003</v>
      </c>
      <c r="QH27" s="271">
        <v>2872208.4899999998</v>
      </c>
      <c r="QI27" s="271">
        <v>3539186.2299999995</v>
      </c>
      <c r="QJ27" s="271">
        <v>2287415.5500000003</v>
      </c>
      <c r="QK27" s="271">
        <v>2406330.3400000003</v>
      </c>
      <c r="QL27" s="271">
        <v>1409867.1900000002</v>
      </c>
      <c r="QM27" s="271">
        <v>6186212.4900000002</v>
      </c>
      <c r="QN27" s="271">
        <v>7634858.29</v>
      </c>
      <c r="QO27" s="271">
        <v>1796635.57</v>
      </c>
      <c r="QP27" s="271">
        <v>785047.44</v>
      </c>
      <c r="QQ27" s="271">
        <v>718270.99</v>
      </c>
      <c r="QR27" s="271">
        <v>547788.49</v>
      </c>
      <c r="QS27" s="271">
        <v>753254.76</v>
      </c>
      <c r="QT27" s="271">
        <v>36206760.280000001</v>
      </c>
      <c r="QU27" s="271">
        <v>1596144.59</v>
      </c>
      <c r="QV27" s="271">
        <v>5947723.6699999999</v>
      </c>
      <c r="QW27" s="271">
        <v>2426428.1300000004</v>
      </c>
      <c r="QX27" s="271">
        <v>2993187.16</v>
      </c>
      <c r="QY27" s="271">
        <v>7511710.4400000004</v>
      </c>
      <c r="QZ27" s="271">
        <v>2729714.02</v>
      </c>
      <c r="RA27" s="271">
        <v>4764407.8899999997</v>
      </c>
      <c r="RB27" s="271">
        <v>5386892</v>
      </c>
      <c r="RC27" s="271">
        <v>1871069.78</v>
      </c>
      <c r="RD27" s="271">
        <v>1619738.07</v>
      </c>
      <c r="RE27" s="271">
        <v>1288826.24</v>
      </c>
      <c r="RF27" s="271">
        <v>885633.73</v>
      </c>
      <c r="RG27" s="271">
        <v>41734485.020000003</v>
      </c>
      <c r="RH27" s="271">
        <v>4569392.83</v>
      </c>
      <c r="RI27" s="271">
        <v>1748001.3</v>
      </c>
      <c r="RJ27" s="271">
        <v>2614848.98</v>
      </c>
      <c r="RK27" s="271">
        <v>1442484.35</v>
      </c>
      <c r="RL27" s="271">
        <v>2436984.3999999994</v>
      </c>
      <c r="RM27" s="271">
        <v>6573538.0800000001</v>
      </c>
      <c r="RN27" s="271">
        <v>2102640.67</v>
      </c>
      <c r="RO27" s="271">
        <v>2710150.6700000004</v>
      </c>
      <c r="RP27" s="271">
        <v>6625449.8900000006</v>
      </c>
      <c r="RQ27" s="271">
        <v>4553686.3599999994</v>
      </c>
      <c r="RR27" s="271">
        <v>1543341.91</v>
      </c>
      <c r="RS27" s="271">
        <v>1440332.36</v>
      </c>
      <c r="RT27" s="271">
        <v>2307144.9300000002</v>
      </c>
      <c r="RU27" s="271">
        <v>1206378.7999999998</v>
      </c>
      <c r="RV27" s="271">
        <v>1555935.84</v>
      </c>
      <c r="RW27" s="271">
        <v>2222755.83</v>
      </c>
      <c r="RX27" s="271">
        <v>1000831.97</v>
      </c>
      <c r="RY27" s="271">
        <v>1007201.2899999999</v>
      </c>
      <c r="RZ27" s="271">
        <v>876195.95000000007</v>
      </c>
      <c r="SA27" s="271">
        <v>20399383.66</v>
      </c>
      <c r="SB27" s="271">
        <v>2619279.7800000003</v>
      </c>
      <c r="SC27" s="271">
        <v>2723704.74</v>
      </c>
      <c r="SD27" s="271">
        <v>1453446.5699999998</v>
      </c>
      <c r="SE27" s="271">
        <v>1333069.49</v>
      </c>
      <c r="SF27" s="271">
        <v>2493087.25</v>
      </c>
      <c r="SG27" s="271">
        <v>2108567.4000000004</v>
      </c>
      <c r="SH27" s="271">
        <v>5700844.0899999999</v>
      </c>
      <c r="SI27" s="271">
        <v>2329902.37</v>
      </c>
      <c r="SJ27" s="271">
        <v>2532894.3299999996</v>
      </c>
      <c r="SK27" s="271">
        <v>5552737.1999999993</v>
      </c>
      <c r="SL27" s="271">
        <v>671832.58999999985</v>
      </c>
      <c r="SM27" s="271">
        <v>14036798.82</v>
      </c>
      <c r="SN27" s="271">
        <v>2823627.95</v>
      </c>
      <c r="SO27" s="271">
        <v>2977395.0999999996</v>
      </c>
      <c r="SP27" s="271">
        <v>4364896.7</v>
      </c>
      <c r="SQ27" s="271">
        <v>2455268.3800000004</v>
      </c>
      <c r="SR27" s="271">
        <v>2054563.34</v>
      </c>
      <c r="SS27" s="271">
        <v>2080498.95</v>
      </c>
      <c r="ST27" s="271">
        <v>1118111.3700000001</v>
      </c>
      <c r="SU27" s="271">
        <v>21649243.749999996</v>
      </c>
      <c r="SV27" s="271">
        <v>1592692.6</v>
      </c>
      <c r="SW27" s="271">
        <v>3008026.6500000004</v>
      </c>
      <c r="SX27" s="271">
        <v>3555136.16</v>
      </c>
      <c r="SY27" s="271">
        <v>1063393.92</v>
      </c>
      <c r="SZ27" s="271">
        <v>994441.07000000007</v>
      </c>
      <c r="TA27" s="271">
        <v>1828279.8</v>
      </c>
      <c r="TB27" s="271">
        <v>5600672.1699999999</v>
      </c>
      <c r="TC27" s="271">
        <v>1832552.8</v>
      </c>
      <c r="TD27" s="271">
        <v>1215952.3899999999</v>
      </c>
      <c r="TE27" s="271">
        <v>2357346.79</v>
      </c>
      <c r="TF27" s="271">
        <v>2396773.0400000005</v>
      </c>
      <c r="TG27" s="271">
        <v>1734011.6400000001</v>
      </c>
      <c r="TH27" s="271">
        <v>1102842.23</v>
      </c>
      <c r="TI27" s="271">
        <v>49433527.259999998</v>
      </c>
      <c r="TJ27" s="271">
        <v>2099219.9699999997</v>
      </c>
      <c r="TK27" s="271">
        <v>2113659.16</v>
      </c>
      <c r="TL27" s="271">
        <v>4450672.1800000006</v>
      </c>
      <c r="TM27" s="271">
        <v>4258886.95</v>
      </c>
      <c r="TN27" s="271">
        <v>2479168.0200000005</v>
      </c>
      <c r="TO27" s="271">
        <v>934066.2</v>
      </c>
      <c r="TP27" s="271">
        <v>9720374.1900000013</v>
      </c>
      <c r="TQ27" s="271">
        <v>2185751.4900000002</v>
      </c>
      <c r="TR27" s="271">
        <v>4518999.22</v>
      </c>
      <c r="TS27" s="271">
        <v>4165352.15</v>
      </c>
      <c r="TT27" s="271">
        <v>1842187.3</v>
      </c>
      <c r="TU27" s="271">
        <v>1656457.1700000002</v>
      </c>
      <c r="TV27" s="271">
        <v>2315272.8100000005</v>
      </c>
      <c r="TW27" s="271">
        <v>1959379.81</v>
      </c>
      <c r="TX27" s="271">
        <v>1827640.6400000001</v>
      </c>
      <c r="TY27" s="271">
        <v>15405401.750000002</v>
      </c>
      <c r="TZ27" s="271">
        <v>1844926.25</v>
      </c>
      <c r="UA27" s="271">
        <v>20049044.889999997</v>
      </c>
      <c r="UB27" s="271">
        <v>5176558.4800000004</v>
      </c>
      <c r="UC27" s="271">
        <v>1434351.2299999997</v>
      </c>
      <c r="UD27" s="271">
        <v>1902482.36</v>
      </c>
      <c r="UE27" s="271">
        <v>11486970.359999999</v>
      </c>
      <c r="UF27" s="271">
        <v>1112735.68</v>
      </c>
      <c r="UG27" s="271">
        <v>645137.71000000008</v>
      </c>
      <c r="UH27" s="271">
        <v>1547987.6099999999</v>
      </c>
      <c r="UI27" s="271">
        <v>1400352.41</v>
      </c>
      <c r="UJ27" s="271">
        <v>20614495.799999997</v>
      </c>
      <c r="UK27" s="271">
        <v>4788109.0200000005</v>
      </c>
      <c r="UL27" s="271">
        <v>2874405.29</v>
      </c>
      <c r="UM27" s="271">
        <v>4156260.4099999997</v>
      </c>
      <c r="UN27" s="271">
        <v>2705851.16</v>
      </c>
      <c r="UO27" s="271">
        <v>2101192.3200000003</v>
      </c>
      <c r="UP27" s="271">
        <v>65037891.860000007</v>
      </c>
      <c r="UQ27" s="271">
        <v>3576344.8599999994</v>
      </c>
      <c r="UR27" s="271">
        <v>2663658.3200000003</v>
      </c>
      <c r="US27" s="271">
        <v>16343441.24</v>
      </c>
      <c r="UT27" s="271">
        <v>841313.27</v>
      </c>
      <c r="UU27" s="271">
        <v>2832721.24</v>
      </c>
      <c r="UV27" s="271">
        <v>7585315.8799999999</v>
      </c>
      <c r="UW27" s="271">
        <v>2153718.62</v>
      </c>
      <c r="UX27" s="271">
        <v>2154587.56</v>
      </c>
      <c r="UY27" s="271">
        <v>2197718.5099999998</v>
      </c>
      <c r="UZ27" s="271">
        <v>2737846.23</v>
      </c>
      <c r="VA27" s="271">
        <v>6096528.5000000009</v>
      </c>
      <c r="VB27" s="271">
        <v>4118513.85</v>
      </c>
      <c r="VC27" s="271">
        <v>6443625.9900000002</v>
      </c>
      <c r="VD27" s="271">
        <v>2114011.7700000005</v>
      </c>
      <c r="VE27" s="271">
        <v>1904859.86</v>
      </c>
      <c r="VF27" s="271">
        <v>1628158.5300000003</v>
      </c>
      <c r="VG27" s="271">
        <v>1762670.22</v>
      </c>
      <c r="VH27" s="271">
        <v>7447955.8700000001</v>
      </c>
      <c r="VI27" s="271">
        <v>1011968.53</v>
      </c>
      <c r="VJ27" s="271">
        <v>1438499.83</v>
      </c>
      <c r="VK27" s="271">
        <v>829425.14</v>
      </c>
      <c r="VL27" s="271">
        <v>33503458.200000003</v>
      </c>
      <c r="VM27" s="271">
        <v>2522497.36</v>
      </c>
      <c r="VN27" s="271">
        <v>2484285.3199999998</v>
      </c>
      <c r="VO27" s="271">
        <v>4529686.8600000013</v>
      </c>
      <c r="VP27" s="271">
        <v>8327404.3699999992</v>
      </c>
      <c r="VQ27" s="271">
        <v>5951161.1799999997</v>
      </c>
      <c r="VR27" s="271">
        <v>4655137.42</v>
      </c>
      <c r="VS27" s="271">
        <v>3486876.8099999996</v>
      </c>
      <c r="VT27" s="271">
        <v>2500917.2800000003</v>
      </c>
      <c r="VU27" s="271">
        <v>12436035.4</v>
      </c>
      <c r="VV27" s="271">
        <v>2475205.52</v>
      </c>
      <c r="VW27" s="271">
        <v>5707656.0700000003</v>
      </c>
      <c r="VX27" s="271">
        <v>2767251.69</v>
      </c>
      <c r="VY27" s="271">
        <v>1924996.8900000001</v>
      </c>
      <c r="VZ27" s="271">
        <v>1518565.23</v>
      </c>
      <c r="WA27" s="271">
        <v>107169065.22</v>
      </c>
      <c r="WB27" s="271">
        <v>4902656.9300000006</v>
      </c>
      <c r="WC27" s="271">
        <v>4174970.43</v>
      </c>
      <c r="WD27" s="271">
        <v>3090578.6300000004</v>
      </c>
      <c r="WE27" s="271">
        <v>2037722.58</v>
      </c>
      <c r="WF27" s="271">
        <v>4595296.08</v>
      </c>
      <c r="WG27" s="271">
        <v>5134446.04</v>
      </c>
      <c r="WH27" s="271">
        <v>6499408.9699999997</v>
      </c>
      <c r="WI27" s="271">
        <v>3194618.6599999997</v>
      </c>
      <c r="WJ27" s="271">
        <v>5410212.6199999992</v>
      </c>
      <c r="WK27" s="271">
        <v>2608442.7900000005</v>
      </c>
      <c r="WL27" s="271">
        <v>12046969.51</v>
      </c>
      <c r="WM27" s="271">
        <v>3946124.3400000003</v>
      </c>
      <c r="WN27" s="271">
        <v>6631240.9700000007</v>
      </c>
      <c r="WO27" s="271">
        <v>8854983.959999999</v>
      </c>
      <c r="WP27" s="271">
        <v>3081148.48</v>
      </c>
      <c r="WQ27" s="271">
        <v>3959167.92</v>
      </c>
      <c r="WR27" s="271">
        <v>4888891.41</v>
      </c>
      <c r="WS27" s="271">
        <v>1887929.25</v>
      </c>
      <c r="WT27" s="271">
        <v>6722820.3500000006</v>
      </c>
      <c r="WU27" s="271">
        <v>18489479.210000001</v>
      </c>
      <c r="WV27" s="271">
        <v>2968246.82</v>
      </c>
      <c r="WW27" s="271">
        <v>1747979.73</v>
      </c>
      <c r="WX27" s="271">
        <v>1908052.25</v>
      </c>
      <c r="WY27" s="271">
        <v>2137179.2200000002</v>
      </c>
      <c r="WZ27" s="271">
        <v>1621012.8499999999</v>
      </c>
      <c r="XA27" s="271">
        <v>1677649.49</v>
      </c>
      <c r="XB27" s="271">
        <v>1811408.02</v>
      </c>
      <c r="XC27" s="271">
        <v>12255936.280000001</v>
      </c>
      <c r="XD27" s="271">
        <v>1575382.94</v>
      </c>
      <c r="XE27" s="271">
        <v>997281.55999999994</v>
      </c>
      <c r="XF27" s="271">
        <v>1333000.8699999999</v>
      </c>
      <c r="XG27" s="271">
        <v>1577088.2</v>
      </c>
      <c r="XH27" s="271">
        <v>53724503.130000003</v>
      </c>
      <c r="XI27" s="271">
        <v>4743060.330000001</v>
      </c>
      <c r="XJ27" s="271">
        <v>4094541.0599999996</v>
      </c>
      <c r="XK27" s="271">
        <v>16529729.52</v>
      </c>
      <c r="XL27" s="271">
        <v>3485159.56</v>
      </c>
      <c r="XM27" s="271">
        <v>5959968.2700000005</v>
      </c>
      <c r="XN27" s="271">
        <v>6884844.1299999999</v>
      </c>
      <c r="XO27" s="271">
        <v>3511972.4600000004</v>
      </c>
      <c r="XP27" s="271">
        <v>3105722.36</v>
      </c>
      <c r="XQ27" s="271">
        <v>7292589.5899999989</v>
      </c>
      <c r="XR27" s="271">
        <v>5395591.9100000011</v>
      </c>
      <c r="XS27" s="271">
        <v>2045477.08</v>
      </c>
      <c r="XT27" s="271">
        <v>2355651.4900000002</v>
      </c>
      <c r="XU27" s="271">
        <v>2403001.9700000002</v>
      </c>
      <c r="XV27" s="271">
        <v>1858627.28</v>
      </c>
      <c r="XW27" s="271">
        <v>2231957.6100000003</v>
      </c>
      <c r="XX27" s="271">
        <v>1523133.98</v>
      </c>
      <c r="XY27" s="271">
        <v>1852731.48</v>
      </c>
      <c r="XZ27" s="271">
        <v>2176846.0299999998</v>
      </c>
      <c r="YA27" s="271">
        <v>1567408.61</v>
      </c>
      <c r="YB27" s="271">
        <v>1608869.0399999998</v>
      </c>
      <c r="YC27" s="271">
        <v>1365395.2000000002</v>
      </c>
      <c r="YD27" s="271">
        <v>1623292.0400000003</v>
      </c>
      <c r="YE27" s="271">
        <v>52679765.650000006</v>
      </c>
      <c r="YF27" s="271">
        <v>2687045.82</v>
      </c>
      <c r="YG27" s="271">
        <v>5506832.8399999999</v>
      </c>
      <c r="YH27" s="271">
        <v>2869540.8400000003</v>
      </c>
      <c r="YI27" s="271">
        <v>9390239.3100000005</v>
      </c>
      <c r="YJ27" s="271">
        <v>3511887.39</v>
      </c>
      <c r="YK27" s="271">
        <v>6322401.5199999996</v>
      </c>
      <c r="YL27" s="271">
        <v>2418384.7799999998</v>
      </c>
      <c r="YM27" s="271">
        <v>9018504.8699999992</v>
      </c>
      <c r="YN27" s="271">
        <v>10732298.960000001</v>
      </c>
      <c r="YO27" s="271">
        <v>4364397.38</v>
      </c>
      <c r="YP27" s="271">
        <v>3064390.4599999995</v>
      </c>
      <c r="YQ27" s="271">
        <v>2424709.42</v>
      </c>
      <c r="YR27" s="271">
        <v>1751341.57</v>
      </c>
      <c r="YS27" s="271">
        <v>1535406.8299999998</v>
      </c>
      <c r="YT27" s="271">
        <v>1842429.42</v>
      </c>
      <c r="YU27" s="271">
        <v>1885702.74</v>
      </c>
      <c r="YV27" s="271">
        <v>18540949.379999999</v>
      </c>
      <c r="YW27" s="271">
        <v>2053243.24</v>
      </c>
      <c r="YX27" s="271">
        <v>2007734.1199999999</v>
      </c>
      <c r="YY27" s="271">
        <v>1423629.08</v>
      </c>
      <c r="YZ27" s="271">
        <v>2210001.46</v>
      </c>
      <c r="ZA27" s="271">
        <v>1224622.6500000001</v>
      </c>
      <c r="ZB27" s="271">
        <v>1627075.9</v>
      </c>
      <c r="ZC27" s="271">
        <v>20953236.09</v>
      </c>
      <c r="ZD27" s="271">
        <v>1675536.8</v>
      </c>
      <c r="ZE27" s="271">
        <v>2597722.2999999998</v>
      </c>
      <c r="ZF27" s="271">
        <v>2274305.39</v>
      </c>
      <c r="ZG27" s="271">
        <v>1727197.7</v>
      </c>
      <c r="ZH27" s="271">
        <v>1841352.3</v>
      </c>
      <c r="ZI27" s="271">
        <v>1298874.2500000002</v>
      </c>
      <c r="ZJ27" s="271">
        <v>1363579.12</v>
      </c>
      <c r="ZK27" s="271">
        <v>7154408.4300000006</v>
      </c>
      <c r="ZL27" s="271">
        <v>48973629.109999999</v>
      </c>
      <c r="ZM27" s="271">
        <v>1764257.93</v>
      </c>
      <c r="ZN27" s="271">
        <v>4030125.0400000005</v>
      </c>
      <c r="ZO27" s="271">
        <v>9927306.1300000008</v>
      </c>
      <c r="ZP27" s="271">
        <v>7194340.8999999994</v>
      </c>
      <c r="ZQ27" s="271">
        <v>2110535.86</v>
      </c>
      <c r="ZR27" s="271">
        <v>3329682.2399999998</v>
      </c>
      <c r="ZS27" s="271">
        <v>4944552.8900000006</v>
      </c>
      <c r="ZT27" s="271">
        <v>4731418.9999999991</v>
      </c>
      <c r="ZU27" s="271">
        <v>7934731.25</v>
      </c>
      <c r="ZV27" s="271">
        <v>1159683.9000000001</v>
      </c>
      <c r="ZW27" s="271">
        <v>2122429.41</v>
      </c>
      <c r="ZX27" s="271">
        <v>1861634.76</v>
      </c>
      <c r="ZY27" s="271">
        <v>2992994.06</v>
      </c>
      <c r="ZZ27" s="271">
        <v>2221606.08</v>
      </c>
      <c r="AAA27" s="271">
        <v>1865241.62</v>
      </c>
      <c r="AAB27" s="271">
        <v>2006845.58</v>
      </c>
      <c r="AAC27" s="271">
        <v>1229858.1000000001</v>
      </c>
      <c r="AAD27" s="271">
        <v>2073803.2799999998</v>
      </c>
      <c r="AAE27" s="271">
        <v>1511591.73</v>
      </c>
      <c r="AAF27" s="271">
        <v>1073299.0899999999</v>
      </c>
      <c r="AAG27" s="271">
        <v>1213689.05</v>
      </c>
      <c r="AAH27" s="271">
        <v>20331709.25</v>
      </c>
      <c r="AAI27" s="271">
        <v>2365013.0600000005</v>
      </c>
      <c r="AAJ27" s="271">
        <v>2590682.84</v>
      </c>
      <c r="AAK27" s="271">
        <v>2225826.1599999997</v>
      </c>
      <c r="AAL27" s="271">
        <v>2023690.4300000002</v>
      </c>
      <c r="AAM27" s="271">
        <v>2464118.0299999993</v>
      </c>
      <c r="AAN27" s="271">
        <v>1659954.8800000001</v>
      </c>
      <c r="AAO27" s="271">
        <v>75089465.200000003</v>
      </c>
      <c r="AAP27" s="271">
        <v>2380725.5999999996</v>
      </c>
      <c r="AAQ27" s="271">
        <v>1763850.93</v>
      </c>
      <c r="AAR27" s="271">
        <v>4856627.43</v>
      </c>
      <c r="AAS27" s="271">
        <v>4142165.8199999994</v>
      </c>
      <c r="AAT27" s="271">
        <v>1854542.94</v>
      </c>
      <c r="AAU27" s="271">
        <v>4231053.28</v>
      </c>
      <c r="AAV27" s="271">
        <v>4415430.8499999996</v>
      </c>
      <c r="AAW27" s="271">
        <v>9594090.8800000008</v>
      </c>
      <c r="AAX27" s="271">
        <v>2910732.67</v>
      </c>
      <c r="AAY27" s="271">
        <v>3315391.82</v>
      </c>
      <c r="AAZ27" s="271">
        <v>14210502.26</v>
      </c>
      <c r="ABA27" s="271">
        <v>6795696.0100000007</v>
      </c>
      <c r="ABB27" s="271">
        <v>1369830.84</v>
      </c>
      <c r="ABC27" s="271">
        <v>2700249.3899999997</v>
      </c>
      <c r="ABD27" s="271">
        <v>1979835.77</v>
      </c>
      <c r="ABE27" s="271">
        <v>1397483.2</v>
      </c>
      <c r="ABF27" s="271">
        <v>2656460.75</v>
      </c>
      <c r="ABG27" s="271">
        <v>1438734.88</v>
      </c>
      <c r="ABH27" s="271">
        <v>22737816.990000006</v>
      </c>
      <c r="ABI27" s="271">
        <v>6985182.1299999999</v>
      </c>
      <c r="ABJ27" s="271">
        <v>1279394.77</v>
      </c>
      <c r="ABK27" s="271">
        <v>1460424.82</v>
      </c>
      <c r="ABL27" s="271">
        <v>1227855.26</v>
      </c>
      <c r="ABM27" s="271">
        <v>1171403.2000000002</v>
      </c>
      <c r="ABN27" s="271">
        <v>917798.21000000008</v>
      </c>
      <c r="ABO27" s="271">
        <v>22788055.209999997</v>
      </c>
      <c r="ABP27" s="271">
        <v>3415957.52</v>
      </c>
      <c r="ABQ27" s="271">
        <v>1578952.14</v>
      </c>
      <c r="ABR27" s="271">
        <v>3645106</v>
      </c>
      <c r="ABS27" s="271">
        <v>3209299.39</v>
      </c>
      <c r="ABT27" s="271">
        <v>1981468.7</v>
      </c>
      <c r="ABU27" s="271">
        <v>1745754.2</v>
      </c>
      <c r="ABV27" s="271">
        <v>2683974.7999999998</v>
      </c>
      <c r="ABW27" s="271">
        <v>814800.15</v>
      </c>
      <c r="ABX27" s="271">
        <v>33112113.840000004</v>
      </c>
      <c r="ABY27" s="271">
        <v>1294187.31</v>
      </c>
      <c r="ABZ27" s="271">
        <v>3524660.4099999997</v>
      </c>
      <c r="ACA27" s="271">
        <v>1915299.27</v>
      </c>
      <c r="ACB27" s="271">
        <v>1734487.12</v>
      </c>
      <c r="ACC27" s="271">
        <v>7477396.3300000001</v>
      </c>
      <c r="ACD27" s="271">
        <v>1630553.81</v>
      </c>
      <c r="ACE27" s="271">
        <v>1491226.4799999997</v>
      </c>
      <c r="ACF27" s="271">
        <v>1762294.7100000002</v>
      </c>
      <c r="ACG27" s="271">
        <v>2645730.34</v>
      </c>
      <c r="ACH27" s="271">
        <v>1876105.2300000002</v>
      </c>
      <c r="ACI27" s="271">
        <v>66421249.539999999</v>
      </c>
      <c r="ACJ27" s="271">
        <v>1887405.45</v>
      </c>
      <c r="ACK27" s="271">
        <v>1786872.17</v>
      </c>
      <c r="ACL27" s="271">
        <v>3419786.88</v>
      </c>
      <c r="ACM27" s="271">
        <v>1285284.6800000002</v>
      </c>
      <c r="ACN27" s="271">
        <v>2783969.3800000004</v>
      </c>
      <c r="ACO27" s="271">
        <v>4125747.56</v>
      </c>
      <c r="ACP27" s="271">
        <v>11999761.67</v>
      </c>
      <c r="ACQ27" s="271">
        <v>18682280.82</v>
      </c>
      <c r="ACR27" s="271">
        <v>2557608.7799999998</v>
      </c>
      <c r="ACS27" s="271">
        <v>3473784.5</v>
      </c>
      <c r="ACT27" s="271">
        <v>4563417.76</v>
      </c>
      <c r="ACU27" s="271">
        <v>2957275.1000000006</v>
      </c>
      <c r="ACV27" s="271">
        <v>11276841.380000001</v>
      </c>
      <c r="ACW27" s="271">
        <v>2618110.2600000002</v>
      </c>
      <c r="ACX27" s="271">
        <v>2268610.4299999997</v>
      </c>
      <c r="ACY27" s="271">
        <v>1731578.7999999998</v>
      </c>
      <c r="ACZ27" s="271">
        <v>1391263</v>
      </c>
      <c r="ADA27" s="271">
        <v>1536932.15</v>
      </c>
      <c r="ADB27" s="271">
        <v>1388205.02</v>
      </c>
      <c r="ADC27" s="271">
        <v>1375791.27</v>
      </c>
      <c r="ADD27" s="271">
        <v>887888.08000000007</v>
      </c>
      <c r="ADE27" s="271">
        <v>1149583.0399999998</v>
      </c>
      <c r="ADF27" s="271">
        <v>12438024.419999998</v>
      </c>
      <c r="ADG27" s="271">
        <v>11032522.32</v>
      </c>
      <c r="ADH27" s="271">
        <v>1039939.74</v>
      </c>
      <c r="ADI27" s="271">
        <v>963414</v>
      </c>
      <c r="ADJ27" s="271">
        <v>2464760.5499999998</v>
      </c>
      <c r="ADK27" s="271">
        <v>876404.29</v>
      </c>
      <c r="ADL27" s="271">
        <v>1637605.2</v>
      </c>
      <c r="ADM27" s="271">
        <v>1883701.9300000002</v>
      </c>
      <c r="ADN27" s="271">
        <v>1222701.5900000003</v>
      </c>
      <c r="ADO27" s="271">
        <v>46279559.900000006</v>
      </c>
      <c r="ADP27" s="271">
        <v>7511332.75</v>
      </c>
      <c r="ADQ27" s="271">
        <v>5808330.080000001</v>
      </c>
      <c r="ADR27" s="271">
        <v>1426235.5199999998</v>
      </c>
      <c r="ADS27" s="271">
        <v>16343731.67</v>
      </c>
      <c r="ADT27" s="271">
        <v>1169146.5699999998</v>
      </c>
      <c r="ADU27" s="271">
        <v>1659288.1300000001</v>
      </c>
      <c r="ADV27" s="271">
        <v>2493677.2399999998</v>
      </c>
      <c r="ADW27" s="271">
        <v>1606596.1600000001</v>
      </c>
      <c r="ADX27" s="271">
        <v>1218377.0499999998</v>
      </c>
      <c r="ADY27" s="271">
        <v>53540531.57</v>
      </c>
      <c r="ADZ27" s="271">
        <v>11177127.4</v>
      </c>
      <c r="AEA27" s="271">
        <v>7370446.0300000003</v>
      </c>
      <c r="AEB27" s="271">
        <v>2170015.0099999998</v>
      </c>
      <c r="AEC27" s="271">
        <v>3193828.79</v>
      </c>
      <c r="AED27" s="271">
        <v>3999880.77</v>
      </c>
      <c r="AEE27" s="271">
        <v>2689837.0100000002</v>
      </c>
      <c r="AEF27" s="271">
        <v>2755240.25</v>
      </c>
      <c r="AEG27" s="271">
        <v>2189750.15</v>
      </c>
      <c r="AEH27" s="271">
        <v>1962255.62</v>
      </c>
      <c r="AEI27" s="271">
        <v>3134055.0599999996</v>
      </c>
      <c r="AEJ27" s="271">
        <v>3710025.6599999997</v>
      </c>
      <c r="AEK27" s="271">
        <v>1811034.41</v>
      </c>
      <c r="AEL27" s="271">
        <v>2642252.56</v>
      </c>
      <c r="AEM27" s="271">
        <v>3573006.5999999996</v>
      </c>
      <c r="AEN27" s="271">
        <v>3501166.77</v>
      </c>
      <c r="AEO27" s="271">
        <v>1891854.92</v>
      </c>
      <c r="AEP27" s="271">
        <v>4201284.1900000004</v>
      </c>
      <c r="AEQ27" s="271">
        <v>1751264.47</v>
      </c>
      <c r="AER27" s="271">
        <v>4180112.44</v>
      </c>
      <c r="AES27" s="271">
        <v>27146983.98</v>
      </c>
      <c r="AET27" s="271">
        <v>2526472.52</v>
      </c>
      <c r="AEU27" s="271">
        <v>3599892.01</v>
      </c>
      <c r="AEV27" s="271">
        <v>2053241.2200000002</v>
      </c>
      <c r="AEW27" s="271">
        <v>1911903.47</v>
      </c>
      <c r="AEX27" s="271">
        <v>6890588.6900000004</v>
      </c>
      <c r="AEY27" s="271">
        <v>1676661.8800000001</v>
      </c>
      <c r="AEZ27" s="271">
        <v>2609940.1599999997</v>
      </c>
      <c r="AFA27" s="271">
        <v>1828365.3099999998</v>
      </c>
      <c r="AFB27" s="271">
        <v>1237310.42</v>
      </c>
      <c r="AFC27" s="271">
        <v>23557146.530000001</v>
      </c>
      <c r="AFD27" s="271">
        <v>13876433.949999999</v>
      </c>
      <c r="AFE27" s="271">
        <v>3773898.8</v>
      </c>
      <c r="AFF27" s="271">
        <v>2836983.83</v>
      </c>
      <c r="AFG27" s="271">
        <v>5245506.6400000006</v>
      </c>
      <c r="AFH27" s="271">
        <v>4704571.8899999997</v>
      </c>
      <c r="AFI27" s="271">
        <v>2891337.92</v>
      </c>
      <c r="AFJ27" s="271">
        <v>2424123.42</v>
      </c>
      <c r="AFK27" s="271">
        <v>1325369.76</v>
      </c>
      <c r="AFL27" s="271">
        <v>2382749.1399999997</v>
      </c>
      <c r="AFM27" s="271">
        <v>2824459.04</v>
      </c>
      <c r="AFN27" s="271">
        <v>2022123.25</v>
      </c>
      <c r="AFO27" s="271">
        <v>2841600.1799999997</v>
      </c>
      <c r="AFP27" s="271">
        <v>27995011.5</v>
      </c>
      <c r="AFQ27" s="271">
        <v>4630422.1399999997</v>
      </c>
      <c r="AFR27" s="271">
        <v>2669226.0300000003</v>
      </c>
      <c r="AFS27" s="271">
        <v>1504341.33</v>
      </c>
      <c r="AFT27" s="271">
        <v>2492634.85</v>
      </c>
      <c r="AFU27" s="271">
        <v>2105403.11</v>
      </c>
      <c r="AFV27" s="271">
        <v>1691314.86</v>
      </c>
      <c r="AFW27" s="271">
        <v>3103477.4000000004</v>
      </c>
      <c r="AFX27" s="271">
        <v>3663367.4499999997</v>
      </c>
      <c r="AFY27" s="271">
        <v>1945376.85</v>
      </c>
      <c r="AFZ27" s="271">
        <v>3996166.32</v>
      </c>
      <c r="AGA27" s="271">
        <v>1845119.06</v>
      </c>
      <c r="AGB27" s="271">
        <v>34756250.609999999</v>
      </c>
      <c r="AGC27" s="271">
        <v>1085111.6900000002</v>
      </c>
      <c r="AGD27" s="271">
        <v>2058141.5</v>
      </c>
      <c r="AGE27" s="271">
        <v>1747801.1099999999</v>
      </c>
      <c r="AGF27" s="271">
        <v>4190111.22</v>
      </c>
      <c r="AGG27" s="271">
        <v>2160114.54</v>
      </c>
      <c r="AGH27" s="271">
        <v>1395098.3699999999</v>
      </c>
      <c r="AGI27" s="271">
        <v>1573208.5799999998</v>
      </c>
      <c r="AGJ27" s="271">
        <v>1469693.43</v>
      </c>
      <c r="AGK27" s="271">
        <v>2131636.15</v>
      </c>
      <c r="AGL27" s="271">
        <v>1898363.84</v>
      </c>
      <c r="AGM27" s="271">
        <v>33340425.09</v>
      </c>
      <c r="AGN27" s="271">
        <v>5225229.59</v>
      </c>
      <c r="AGO27" s="271">
        <v>2691169</v>
      </c>
      <c r="AGP27" s="271">
        <v>1807736.45</v>
      </c>
      <c r="AGQ27" s="271">
        <v>4940472.16</v>
      </c>
      <c r="AGR27" s="271">
        <v>3631244.8699999996</v>
      </c>
      <c r="AGS27" s="271">
        <v>1686176.34</v>
      </c>
      <c r="AGT27" s="271">
        <v>1827071.5899999999</v>
      </c>
      <c r="AGU27" s="271">
        <v>49177785.609999999</v>
      </c>
      <c r="AGV27" s="271">
        <v>34781304.909999996</v>
      </c>
      <c r="AGW27" s="271">
        <v>1691150.51</v>
      </c>
      <c r="AGX27" s="271">
        <v>2662145.9899999998</v>
      </c>
      <c r="AGY27" s="271">
        <v>7068927.46</v>
      </c>
      <c r="AGZ27" s="271">
        <v>4000230.93</v>
      </c>
      <c r="AHA27" s="271">
        <v>3953967.0600000005</v>
      </c>
      <c r="AHB27" s="271">
        <v>2939917.46</v>
      </c>
      <c r="AHC27" s="271">
        <v>1351587.5699999998</v>
      </c>
      <c r="AHD27" s="271">
        <v>3802820.39</v>
      </c>
      <c r="AHE27" s="271">
        <v>3453625.5100000002</v>
      </c>
      <c r="AHF27" s="271">
        <v>1462000.62</v>
      </c>
      <c r="AHG27" s="271">
        <v>1962608.4100000001</v>
      </c>
      <c r="AHH27" s="271">
        <v>1856459.44</v>
      </c>
      <c r="AHI27" s="271">
        <v>1952028.17</v>
      </c>
      <c r="AHJ27" s="271">
        <v>2259085.61</v>
      </c>
      <c r="AHK27" s="271">
        <v>1444097.3</v>
      </c>
      <c r="AHL27" s="271">
        <v>19426900.030000001</v>
      </c>
      <c r="AHM27" s="271">
        <v>1620448.23</v>
      </c>
      <c r="AHN27" s="271">
        <v>1876168.8</v>
      </c>
      <c r="AHO27" s="271">
        <v>1931277.3599999999</v>
      </c>
      <c r="AHP27" s="271">
        <v>4098259.1999999997</v>
      </c>
      <c r="AHQ27" s="294">
        <v>1922851.5999999999</v>
      </c>
      <c r="AHR27" s="331">
        <v>1217609.6399999999</v>
      </c>
      <c r="AHS27" s="294">
        <f t="shared" si="18"/>
        <v>5616988340.3939037</v>
      </c>
      <c r="AHT27" s="269" t="b">
        <f t="shared" si="1"/>
        <v>1</v>
      </c>
      <c r="AHU27" s="269" t="s">
        <v>35</v>
      </c>
    </row>
    <row r="28" spans="1:905" ht="23.4" customHeight="1" x14ac:dyDescent="0.7">
      <c r="B28" s="268" t="s">
        <v>37</v>
      </c>
      <c r="C28" s="269" t="s">
        <v>38</v>
      </c>
      <c r="D28" s="271">
        <v>58982515.390000001</v>
      </c>
      <c r="E28" s="271">
        <v>6133812.4900000002</v>
      </c>
      <c r="F28" s="271">
        <v>8064153.3200000012</v>
      </c>
      <c r="G28" s="271">
        <v>2448746.36</v>
      </c>
      <c r="H28" s="271">
        <v>13208773.840000002</v>
      </c>
      <c r="I28" s="271">
        <v>3262908.29</v>
      </c>
      <c r="J28" s="271">
        <v>8788407.709999999</v>
      </c>
      <c r="K28" s="271">
        <v>7210421.0200000005</v>
      </c>
      <c r="L28" s="271">
        <v>7094400.6199999992</v>
      </c>
      <c r="M28" s="271">
        <v>8276395.5800000001</v>
      </c>
      <c r="N28" s="271">
        <v>3792182.41</v>
      </c>
      <c r="O28" s="271">
        <v>3935178.16</v>
      </c>
      <c r="P28" s="271">
        <v>5769524.2599999998</v>
      </c>
      <c r="Q28" s="271">
        <v>3145528.41</v>
      </c>
      <c r="R28" s="271">
        <v>3215055.7700000005</v>
      </c>
      <c r="S28" s="271">
        <v>7468212.5499999998</v>
      </c>
      <c r="T28" s="271">
        <v>6219027.9199999999</v>
      </c>
      <c r="U28" s="271">
        <v>1480822.87</v>
      </c>
      <c r="V28" s="271">
        <v>60848292.600000009</v>
      </c>
      <c r="W28" s="271">
        <v>13970011.390000001</v>
      </c>
      <c r="X28" s="271">
        <v>4997572.6199999992</v>
      </c>
      <c r="Y28" s="271">
        <v>4601241.17</v>
      </c>
      <c r="Z28" s="271">
        <v>3960733.8499999996</v>
      </c>
      <c r="AA28" s="271">
        <v>3026126.62</v>
      </c>
      <c r="AB28" s="271">
        <v>2101168.1399999997</v>
      </c>
      <c r="AC28" s="271">
        <v>11312354.560000001</v>
      </c>
      <c r="AD28" s="271">
        <v>5068468.3800000008</v>
      </c>
      <c r="AE28" s="271">
        <v>1744877.94</v>
      </c>
      <c r="AF28" s="271">
        <v>10087219.5</v>
      </c>
      <c r="AG28" s="271">
        <v>1305164.0799999998</v>
      </c>
      <c r="AH28" s="271">
        <v>17911134.940000001</v>
      </c>
      <c r="AI28" s="271">
        <v>3972673.5600000005</v>
      </c>
      <c r="AJ28" s="271">
        <v>2978166.86</v>
      </c>
      <c r="AK28" s="271">
        <v>1966881.95</v>
      </c>
      <c r="AL28" s="271">
        <v>9699757.3599999994</v>
      </c>
      <c r="AM28" s="271">
        <v>2352933.0300000003</v>
      </c>
      <c r="AN28" s="271">
        <v>3642014.94</v>
      </c>
      <c r="AO28" s="271">
        <v>3232288.61</v>
      </c>
      <c r="AP28" s="271">
        <v>3160922.15</v>
      </c>
      <c r="AQ28" s="271">
        <v>2218955.33</v>
      </c>
      <c r="AR28" s="271">
        <v>1505030.4200000002</v>
      </c>
      <c r="AS28" s="271">
        <v>1478358.6400000001</v>
      </c>
      <c r="AT28" s="271">
        <v>44572179.93</v>
      </c>
      <c r="AU28" s="271">
        <v>2102945.56</v>
      </c>
      <c r="AV28" s="271">
        <v>2040089.6300000001</v>
      </c>
      <c r="AW28" s="271">
        <v>2442639.3400000003</v>
      </c>
      <c r="AX28" s="271">
        <v>5166803.8399999989</v>
      </c>
      <c r="AY28" s="271">
        <v>4445266.0500000007</v>
      </c>
      <c r="AZ28" s="271">
        <v>2402569.14</v>
      </c>
      <c r="BA28" s="271">
        <v>3375727.7</v>
      </c>
      <c r="BB28" s="271">
        <v>2199713.48</v>
      </c>
      <c r="BC28" s="271">
        <v>2284144.7000000002</v>
      </c>
      <c r="BD28" s="271">
        <v>1705355.5899999999</v>
      </c>
      <c r="BE28" s="271">
        <v>2161644.6</v>
      </c>
      <c r="BF28" s="271">
        <v>10445142.85</v>
      </c>
      <c r="BG28" s="271">
        <v>1443487.07</v>
      </c>
      <c r="BH28" s="271">
        <v>1249958.99</v>
      </c>
      <c r="BI28" s="271">
        <v>11562958.649999999</v>
      </c>
      <c r="BJ28" s="271">
        <v>21976388.5</v>
      </c>
      <c r="BK28" s="271">
        <v>3212203.91</v>
      </c>
      <c r="BL28" s="271">
        <v>1738502.45</v>
      </c>
      <c r="BM28" s="271">
        <v>3734213.71</v>
      </c>
      <c r="BN28" s="271">
        <v>4664675.42</v>
      </c>
      <c r="BO28" s="271">
        <v>2493644.0499999998</v>
      </c>
      <c r="BP28" s="271">
        <v>1181838.43</v>
      </c>
      <c r="BQ28" s="271">
        <v>516666.26999999996</v>
      </c>
      <c r="BR28" s="271">
        <v>35967744.149999999</v>
      </c>
      <c r="BS28" s="271">
        <v>3360498.1500000004</v>
      </c>
      <c r="BT28" s="271">
        <v>3685196.21</v>
      </c>
      <c r="BU28" s="271">
        <v>2502425.87</v>
      </c>
      <c r="BV28" s="271">
        <v>2817998.79</v>
      </c>
      <c r="BW28" s="271">
        <v>2952655.8200000003</v>
      </c>
      <c r="BX28" s="271">
        <v>2133074.3600000003</v>
      </c>
      <c r="BY28" s="271">
        <v>4888948.6399999997</v>
      </c>
      <c r="BZ28" s="271">
        <v>13195993.35</v>
      </c>
      <c r="CA28" s="271">
        <v>2249057.7999999998</v>
      </c>
      <c r="CB28" s="271">
        <v>8256507.4100000001</v>
      </c>
      <c r="CC28" s="271">
        <v>9337661.120000001</v>
      </c>
      <c r="CD28" s="271">
        <v>2486776.3199999998</v>
      </c>
      <c r="CE28" s="271">
        <v>3941543.36</v>
      </c>
      <c r="CF28" s="271">
        <v>2603481.46</v>
      </c>
      <c r="CG28" s="271">
        <v>58019360.400000006</v>
      </c>
      <c r="CH28" s="271">
        <v>3895798.2799999993</v>
      </c>
      <c r="CI28" s="271">
        <v>11527088.57</v>
      </c>
      <c r="CJ28" s="271">
        <v>3481446</v>
      </c>
      <c r="CK28" s="271">
        <v>4608963.9400000004</v>
      </c>
      <c r="CL28" s="271">
        <v>2697745.02</v>
      </c>
      <c r="CM28" s="271">
        <v>2077152.82</v>
      </c>
      <c r="CN28" s="271">
        <v>5235277.6399999997</v>
      </c>
      <c r="CO28" s="271">
        <v>1541111.31</v>
      </c>
      <c r="CP28" s="271">
        <v>2519443.6</v>
      </c>
      <c r="CQ28" s="271">
        <v>3027804.2600000002</v>
      </c>
      <c r="CR28" s="271">
        <v>2520967.11</v>
      </c>
      <c r="CS28" s="271">
        <v>2057328.1999999997</v>
      </c>
      <c r="CT28" s="271">
        <v>34700774.759999998</v>
      </c>
      <c r="CU28" s="271">
        <v>1671663.5100000002</v>
      </c>
      <c r="CV28" s="271">
        <v>2175273.0699999998</v>
      </c>
      <c r="CW28" s="271">
        <v>5026284.08</v>
      </c>
      <c r="CX28" s="271">
        <v>1710656.06</v>
      </c>
      <c r="CY28" s="271">
        <v>2620511.13</v>
      </c>
      <c r="CZ28" s="271">
        <v>2118198.59</v>
      </c>
      <c r="DA28" s="271">
        <v>1670410.6400000001</v>
      </c>
      <c r="DB28" s="271">
        <v>23236702.610000003</v>
      </c>
      <c r="DC28" s="271">
        <v>33398833.780000001</v>
      </c>
      <c r="DD28" s="271">
        <v>3318251.5899999994</v>
      </c>
      <c r="DE28" s="271">
        <v>2931331.05</v>
      </c>
      <c r="DF28" s="271">
        <v>11276409.109999999</v>
      </c>
      <c r="DG28" s="271">
        <v>8123753.8999999994</v>
      </c>
      <c r="DH28" s="271">
        <v>8520674.5700000003</v>
      </c>
      <c r="DI28" s="271">
        <v>27100726.019999996</v>
      </c>
      <c r="DJ28" s="271">
        <v>3424602.57</v>
      </c>
      <c r="DK28" s="271">
        <v>86901543.070000008</v>
      </c>
      <c r="DL28" s="271">
        <v>9137087.370000001</v>
      </c>
      <c r="DM28" s="271">
        <v>5683181.9400000004</v>
      </c>
      <c r="DN28" s="271">
        <v>4130263.7600000002</v>
      </c>
      <c r="DO28" s="271">
        <v>4671246.2300000004</v>
      </c>
      <c r="DP28" s="271">
        <v>4962357.24</v>
      </c>
      <c r="DQ28" s="271">
        <v>5871510.5200000005</v>
      </c>
      <c r="DR28" s="271">
        <v>4043791.77</v>
      </c>
      <c r="DS28" s="271">
        <v>11635751.029999999</v>
      </c>
      <c r="DT28" s="271">
        <v>55914874.18</v>
      </c>
      <c r="DU28" s="271">
        <v>5368284.13</v>
      </c>
      <c r="DV28" s="271">
        <v>18793954.870000001</v>
      </c>
      <c r="DW28" s="271">
        <v>16865518.039999999</v>
      </c>
      <c r="DX28" s="271">
        <v>5079079.6100000003</v>
      </c>
      <c r="DY28" s="271">
        <v>11375455.789999999</v>
      </c>
      <c r="DZ28" s="271">
        <v>7273671.8700000001</v>
      </c>
      <c r="EA28" s="271">
        <v>2412088.75</v>
      </c>
      <c r="EB28" s="271">
        <v>4581707.6100000003</v>
      </c>
      <c r="EC28" s="271">
        <v>4666964.9400000004</v>
      </c>
      <c r="ED28" s="271">
        <v>7807713.96</v>
      </c>
      <c r="EE28" s="271">
        <v>18245186.359999999</v>
      </c>
      <c r="EF28" s="271">
        <v>16817058.299999997</v>
      </c>
      <c r="EG28" s="271">
        <v>1749538.35</v>
      </c>
      <c r="EH28" s="271">
        <v>4138058.85</v>
      </c>
      <c r="EI28" s="271">
        <v>3391998.5500000003</v>
      </c>
      <c r="EJ28" s="271">
        <v>6891384.6299999999</v>
      </c>
      <c r="EK28" s="271">
        <v>8389008.5099999998</v>
      </c>
      <c r="EL28" s="271">
        <v>1803706.5</v>
      </c>
      <c r="EM28" s="271">
        <v>2550251.4</v>
      </c>
      <c r="EN28" s="271">
        <v>42420627.609999999</v>
      </c>
      <c r="EO28" s="271">
        <v>5056649.2700000005</v>
      </c>
      <c r="EP28" s="271">
        <v>3723385.54</v>
      </c>
      <c r="EQ28" s="271">
        <v>3786577.4499999997</v>
      </c>
      <c r="ER28" s="271">
        <v>3242777.7300000004</v>
      </c>
      <c r="ES28" s="271">
        <v>2273111</v>
      </c>
      <c r="ET28" s="271">
        <v>7841241.9699999988</v>
      </c>
      <c r="EU28" s="271">
        <v>3775611.88</v>
      </c>
      <c r="EV28" s="271">
        <v>2252692.52</v>
      </c>
      <c r="EW28" s="271">
        <v>32846606.559999999</v>
      </c>
      <c r="EX28" s="271">
        <v>2074437.98</v>
      </c>
      <c r="EY28" s="271">
        <v>4538830.63</v>
      </c>
      <c r="EZ28" s="271">
        <v>7244746.7999999998</v>
      </c>
      <c r="FA28" s="271">
        <v>10445049.02</v>
      </c>
      <c r="FB28" s="271">
        <v>7830998.4500000002</v>
      </c>
      <c r="FC28" s="271">
        <v>4832218.3100000005</v>
      </c>
      <c r="FD28" s="271">
        <v>5934627.5899999999</v>
      </c>
      <c r="FE28" s="271">
        <v>3452576.04</v>
      </c>
      <c r="FF28" s="271">
        <v>4498402.8</v>
      </c>
      <c r="FG28" s="271">
        <v>3344141.97</v>
      </c>
      <c r="FH28" s="271">
        <v>4747440.96</v>
      </c>
      <c r="FI28" s="271">
        <v>15093313.850000001</v>
      </c>
      <c r="FJ28" s="271">
        <v>2018069.41</v>
      </c>
      <c r="FK28" s="271">
        <v>1684342.31</v>
      </c>
      <c r="FL28" s="271">
        <v>1539413.74</v>
      </c>
      <c r="FM28" s="271">
        <v>10488287.59</v>
      </c>
      <c r="FN28" s="271">
        <v>3297105.74</v>
      </c>
      <c r="FO28" s="271">
        <v>1250442.51</v>
      </c>
      <c r="FP28" s="271">
        <v>572648.85</v>
      </c>
      <c r="FQ28" s="271">
        <v>70914851.109999999</v>
      </c>
      <c r="FR28" s="271">
        <v>2274469.44</v>
      </c>
      <c r="FS28" s="271">
        <v>3768621.49</v>
      </c>
      <c r="FT28" s="271">
        <v>6992375.5300000003</v>
      </c>
      <c r="FU28" s="271">
        <v>5742268.7400000002</v>
      </c>
      <c r="FV28" s="271">
        <v>2601631.0100000002</v>
      </c>
      <c r="FW28" s="271">
        <v>10345621.91</v>
      </c>
      <c r="FX28" s="271">
        <v>4599625.16</v>
      </c>
      <c r="FY28" s="271">
        <v>5274843.96</v>
      </c>
      <c r="FZ28" s="271">
        <v>2679495.6</v>
      </c>
      <c r="GA28" s="271">
        <v>8042237.5299999993</v>
      </c>
      <c r="GB28" s="271">
        <v>3349028.87</v>
      </c>
      <c r="GC28" s="271">
        <v>3237399.33</v>
      </c>
      <c r="GD28" s="271">
        <v>1561083.78</v>
      </c>
      <c r="GE28" s="271">
        <v>32809298.800000001</v>
      </c>
      <c r="GF28" s="271">
        <v>2868384.4699999997</v>
      </c>
      <c r="GG28" s="271">
        <v>2186730.69</v>
      </c>
      <c r="GH28" s="271">
        <v>8012929.419999999</v>
      </c>
      <c r="GI28" s="271">
        <v>3316001.3099999996</v>
      </c>
      <c r="GJ28" s="271">
        <v>9452995.4800000004</v>
      </c>
      <c r="GK28" s="271">
        <v>2621083.9699999997</v>
      </c>
      <c r="GL28" s="271">
        <v>8977625.620000001</v>
      </c>
      <c r="GM28" s="271">
        <v>1722615.26</v>
      </c>
      <c r="GN28" s="271">
        <v>1746880.7</v>
      </c>
      <c r="GO28" s="271">
        <v>1713443.4</v>
      </c>
      <c r="GP28" s="271">
        <v>1022433.28</v>
      </c>
      <c r="GQ28" s="271">
        <v>18923232.870000001</v>
      </c>
      <c r="GR28" s="271">
        <v>4650383.3</v>
      </c>
      <c r="GS28" s="271">
        <v>2504338.5300000003</v>
      </c>
      <c r="GT28" s="271">
        <v>8702501.4299999997</v>
      </c>
      <c r="GU28" s="271">
        <v>927004.67999999993</v>
      </c>
      <c r="GV28" s="271">
        <v>3762203.6599999997</v>
      </c>
      <c r="GW28" s="271">
        <v>4282828.3</v>
      </c>
      <c r="GX28" s="271">
        <v>2141819.09</v>
      </c>
      <c r="GY28" s="271">
        <v>20054192.27</v>
      </c>
      <c r="GZ28" s="271">
        <v>2428072.3099999996</v>
      </c>
      <c r="HA28" s="271">
        <v>5837522.1699999999</v>
      </c>
      <c r="HB28" s="271">
        <v>3041832.5900000003</v>
      </c>
      <c r="HC28" s="271">
        <v>110978196.36</v>
      </c>
      <c r="HD28" s="271">
        <v>4869929.74</v>
      </c>
      <c r="HE28" s="271">
        <v>7348453.6500000004</v>
      </c>
      <c r="HF28" s="271">
        <v>3076192.19</v>
      </c>
      <c r="HG28" s="271">
        <v>2797598.54</v>
      </c>
      <c r="HH28" s="271">
        <v>4963823.7799999993</v>
      </c>
      <c r="HI28" s="271">
        <v>2413835.12</v>
      </c>
      <c r="HJ28" s="271">
        <v>34532399.630000003</v>
      </c>
      <c r="HK28" s="271">
        <v>7171778.290000001</v>
      </c>
      <c r="HL28" s="271">
        <v>15633274.289999999</v>
      </c>
      <c r="HM28" s="271">
        <v>5248501.47</v>
      </c>
      <c r="HN28" s="271">
        <v>2781293.66</v>
      </c>
      <c r="HO28" s="271">
        <v>3960613.55</v>
      </c>
      <c r="HP28" s="271">
        <v>6810562.830000001</v>
      </c>
      <c r="HQ28" s="271">
        <v>3238196.5700000003</v>
      </c>
      <c r="HR28" s="271">
        <v>39126240</v>
      </c>
      <c r="HS28" s="271">
        <v>8327617.7400000002</v>
      </c>
      <c r="HT28" s="271">
        <v>2950787.1700000004</v>
      </c>
      <c r="HU28" s="271">
        <v>3782294.12</v>
      </c>
      <c r="HV28" s="271">
        <v>3336613.48</v>
      </c>
      <c r="HW28" s="271">
        <v>1843045.96</v>
      </c>
      <c r="HX28" s="271">
        <v>6680153.3800000008</v>
      </c>
      <c r="HY28" s="271">
        <v>3198025.28</v>
      </c>
      <c r="HZ28" s="271">
        <v>3298383.1700000004</v>
      </c>
      <c r="IA28" s="271">
        <v>4367825.29</v>
      </c>
      <c r="IB28" s="271">
        <v>3663197.36</v>
      </c>
      <c r="IC28" s="271">
        <v>6500832.0600000005</v>
      </c>
      <c r="ID28" s="271">
        <v>1139400.93</v>
      </c>
      <c r="IE28" s="271">
        <v>5183120.42</v>
      </c>
      <c r="IF28" s="271">
        <v>2413625.5900000003</v>
      </c>
      <c r="IG28" s="271">
        <v>1858208.0499999998</v>
      </c>
      <c r="IH28" s="271">
        <v>42212680.419999994</v>
      </c>
      <c r="II28" s="271">
        <v>12285714.540000001</v>
      </c>
      <c r="IJ28" s="271">
        <v>4819168.2</v>
      </c>
      <c r="IK28" s="271">
        <v>9876029.7899999991</v>
      </c>
      <c r="IL28" s="271">
        <v>10593472.719999999</v>
      </c>
      <c r="IM28" s="271">
        <v>3299138.38</v>
      </c>
      <c r="IN28" s="271">
        <v>3777876.98</v>
      </c>
      <c r="IO28" s="271">
        <v>2417925.8199999998</v>
      </c>
      <c r="IP28" s="271">
        <v>3156697.12</v>
      </c>
      <c r="IQ28" s="271">
        <v>3033437.75</v>
      </c>
      <c r="IR28" s="271">
        <v>2563942.12</v>
      </c>
      <c r="IS28" s="271">
        <v>39235758.910000004</v>
      </c>
      <c r="IT28" s="271">
        <v>25510164.559999999</v>
      </c>
      <c r="IU28" s="271">
        <v>7009900.1600000001</v>
      </c>
      <c r="IV28" s="271">
        <v>4256569.9499999993</v>
      </c>
      <c r="IW28" s="271">
        <v>3813694.8800000004</v>
      </c>
      <c r="IX28" s="271">
        <v>1264326.1099999999</v>
      </c>
      <c r="IY28" s="271">
        <v>3081096.0520000001</v>
      </c>
      <c r="IZ28" s="271">
        <v>1301055.1499999999</v>
      </c>
      <c r="JA28" s="271">
        <v>2426508.6799999997</v>
      </c>
      <c r="JB28" s="271">
        <v>3363228.36</v>
      </c>
      <c r="JC28" s="271">
        <v>4612851.82</v>
      </c>
      <c r="JD28" s="271">
        <v>2485884.3200000003</v>
      </c>
      <c r="JE28" s="271">
        <v>19040152.48</v>
      </c>
      <c r="JF28" s="271">
        <v>11350467.710000001</v>
      </c>
      <c r="JG28" s="271">
        <v>1146585.9500000002</v>
      </c>
      <c r="JH28" s="271">
        <v>1579054.2999999998</v>
      </c>
      <c r="JI28" s="271">
        <v>1710733.2399999998</v>
      </c>
      <c r="JJ28" s="271">
        <v>1046617.2299999999</v>
      </c>
      <c r="JK28" s="271">
        <v>21461116.84</v>
      </c>
      <c r="JL28" s="271">
        <v>5063412.2</v>
      </c>
      <c r="JM28" s="271">
        <v>3787002.4299999997</v>
      </c>
      <c r="JN28" s="271">
        <v>5801837.0999999996</v>
      </c>
      <c r="JO28" s="271">
        <v>2206840.89</v>
      </c>
      <c r="JP28" s="271">
        <v>7292315.3600000003</v>
      </c>
      <c r="JQ28" s="271">
        <v>1069130.24</v>
      </c>
      <c r="JR28" s="271">
        <v>42954948.700000003</v>
      </c>
      <c r="JS28" s="271">
        <v>23442194.299999997</v>
      </c>
      <c r="JT28" s="271">
        <v>4963354.53</v>
      </c>
      <c r="JU28" s="271">
        <v>2791488.19</v>
      </c>
      <c r="JV28" s="271">
        <v>6159616.8599999994</v>
      </c>
      <c r="JW28" s="271">
        <v>1761151.77</v>
      </c>
      <c r="JX28" s="271">
        <v>15619175.75</v>
      </c>
      <c r="JY28" s="271">
        <v>6088538.7400000002</v>
      </c>
      <c r="JZ28" s="271">
        <v>9579891.0800000001</v>
      </c>
      <c r="KA28" s="271">
        <v>5815129.5700000003</v>
      </c>
      <c r="KB28" s="271">
        <v>4871599.28</v>
      </c>
      <c r="KC28" s="271">
        <v>5827953.1300000008</v>
      </c>
      <c r="KD28" s="271">
        <v>3127421.42</v>
      </c>
      <c r="KE28" s="271">
        <v>811147.91999999993</v>
      </c>
      <c r="KF28" s="271">
        <v>3901450.8699999996</v>
      </c>
      <c r="KG28" s="271">
        <v>3786734.2800000003</v>
      </c>
      <c r="KH28" s="271">
        <v>68605094.49999997</v>
      </c>
      <c r="KI28" s="271">
        <v>6001230.3499999996</v>
      </c>
      <c r="KJ28" s="271">
        <v>4358433.99</v>
      </c>
      <c r="KK28" s="271">
        <v>6354737.4299999997</v>
      </c>
      <c r="KL28" s="271">
        <v>4151391.5</v>
      </c>
      <c r="KM28" s="271">
        <v>5247115.3100000005</v>
      </c>
      <c r="KN28" s="271">
        <v>15439061.439999998</v>
      </c>
      <c r="KO28" s="271">
        <v>2447883.61</v>
      </c>
      <c r="KP28" s="271">
        <v>3417706.6599999997</v>
      </c>
      <c r="KQ28" s="271">
        <v>23337724.309999999</v>
      </c>
      <c r="KR28" s="271">
        <v>3699514.37</v>
      </c>
      <c r="KS28" s="271">
        <v>4820186.87</v>
      </c>
      <c r="KT28" s="271">
        <v>20750118.82</v>
      </c>
      <c r="KU28" s="271">
        <v>4302646.91</v>
      </c>
      <c r="KV28" s="271">
        <v>8927403.5600000005</v>
      </c>
      <c r="KW28" s="271">
        <v>45201150.939999998</v>
      </c>
      <c r="KX28" s="271">
        <v>8816548.5600000005</v>
      </c>
      <c r="KY28" s="271">
        <v>36248277.479999997</v>
      </c>
      <c r="KZ28" s="271">
        <v>4849679.9000000004</v>
      </c>
      <c r="LA28" s="271">
        <v>3181422.5999999996</v>
      </c>
      <c r="LB28" s="271">
        <v>7158399.4800000004</v>
      </c>
      <c r="LC28" s="271">
        <v>7217897.7999999998</v>
      </c>
      <c r="LD28" s="271">
        <v>3813847.71</v>
      </c>
      <c r="LE28" s="271">
        <v>3849375.76</v>
      </c>
      <c r="LF28" s="271">
        <v>3741210.79</v>
      </c>
      <c r="LG28" s="271">
        <v>88951743.070000008</v>
      </c>
      <c r="LH28" s="271">
        <v>14280396.579999998</v>
      </c>
      <c r="LI28" s="271">
        <v>25879013.259999998</v>
      </c>
      <c r="LJ28" s="271">
        <v>17193740.189999998</v>
      </c>
      <c r="LK28" s="271">
        <v>6884647.5100000007</v>
      </c>
      <c r="LL28" s="271">
        <v>3792006.17</v>
      </c>
      <c r="LM28" s="271">
        <v>2272308.6500000004</v>
      </c>
      <c r="LN28" s="271">
        <v>4830405.01</v>
      </c>
      <c r="LO28" s="271">
        <v>2847831.06</v>
      </c>
      <c r="LP28" s="271">
        <v>6201549.0500000007</v>
      </c>
      <c r="LQ28" s="271">
        <v>1755855.96</v>
      </c>
      <c r="LR28" s="271">
        <v>25440479.859999999</v>
      </c>
      <c r="LS28" s="271">
        <v>3714207.61</v>
      </c>
      <c r="LT28" s="271">
        <v>3216167.62</v>
      </c>
      <c r="LU28" s="271">
        <v>60638548.949999988</v>
      </c>
      <c r="LV28" s="271">
        <v>16796998.960000001</v>
      </c>
      <c r="LW28" s="271">
        <v>34588177.230000004</v>
      </c>
      <c r="LX28" s="271">
        <v>9290540.4699999988</v>
      </c>
      <c r="LY28" s="271">
        <v>7829554.879999999</v>
      </c>
      <c r="LZ28" s="271">
        <v>11227259.279999997</v>
      </c>
      <c r="MA28" s="271">
        <v>7462651.2699999996</v>
      </c>
      <c r="MB28" s="271">
        <v>4140570.1999999997</v>
      </c>
      <c r="MC28" s="271">
        <v>9359780.0600000005</v>
      </c>
      <c r="MD28" s="271">
        <v>7044126.0799999991</v>
      </c>
      <c r="ME28" s="271">
        <v>16162905.469999999</v>
      </c>
      <c r="MF28" s="271">
        <v>5596061.7699999996</v>
      </c>
      <c r="MG28" s="271">
        <v>74619693.859999999</v>
      </c>
      <c r="MH28" s="271">
        <v>3803318.88</v>
      </c>
      <c r="MI28" s="271">
        <v>1674363.3</v>
      </c>
      <c r="MJ28" s="271">
        <v>1984264.5499999998</v>
      </c>
      <c r="MK28" s="271">
        <v>1453465.84</v>
      </c>
      <c r="ML28" s="271">
        <v>4786795.5600000005</v>
      </c>
      <c r="MM28" s="271">
        <v>3535025.7199999997</v>
      </c>
      <c r="MN28" s="271">
        <v>4235565.6099999994</v>
      </c>
      <c r="MO28" s="271">
        <v>7583662.5699999994</v>
      </c>
      <c r="MP28" s="271">
        <v>3433481.75</v>
      </c>
      <c r="MQ28" s="271">
        <v>3330109.68</v>
      </c>
      <c r="MR28" s="271">
        <v>2327319.8000000003</v>
      </c>
      <c r="MS28" s="271">
        <v>47608297.880000003</v>
      </c>
      <c r="MT28" s="271">
        <v>4168338.3099999996</v>
      </c>
      <c r="MU28" s="271">
        <v>4509396.7300000004</v>
      </c>
      <c r="MV28" s="271">
        <v>8849141.790000001</v>
      </c>
      <c r="MW28" s="271">
        <v>8074204.2200000007</v>
      </c>
      <c r="MX28" s="271">
        <v>3244472.2</v>
      </c>
      <c r="MY28" s="271">
        <v>13330429.390000001</v>
      </c>
      <c r="MZ28" s="271">
        <v>7661431.9200000009</v>
      </c>
      <c r="NA28" s="271">
        <v>6439200.5100000007</v>
      </c>
      <c r="NB28" s="271">
        <v>1396323.9499999997</v>
      </c>
      <c r="NC28" s="271">
        <v>1625666.8</v>
      </c>
      <c r="ND28" s="271">
        <v>101301327.08</v>
      </c>
      <c r="NE28" s="271">
        <v>19440508.68</v>
      </c>
      <c r="NF28" s="271">
        <v>2967981.16</v>
      </c>
      <c r="NG28" s="271">
        <v>27848537.850000001</v>
      </c>
      <c r="NH28" s="271">
        <v>3477952.0599999996</v>
      </c>
      <c r="NI28" s="271">
        <v>7963560.4100000001</v>
      </c>
      <c r="NJ28" s="271">
        <v>17286790.66</v>
      </c>
      <c r="NK28" s="271">
        <v>10089085.909999998</v>
      </c>
      <c r="NL28" s="271">
        <v>1111530.24</v>
      </c>
      <c r="NM28" s="271">
        <v>3732716.92</v>
      </c>
      <c r="NN28" s="271">
        <v>4801459.78</v>
      </c>
      <c r="NO28" s="271">
        <v>3863585.9099999997</v>
      </c>
      <c r="NP28" s="271">
        <v>22863264.350000001</v>
      </c>
      <c r="NQ28" s="271">
        <v>2846338.7199999997</v>
      </c>
      <c r="NR28" s="271">
        <v>3207496.09</v>
      </c>
      <c r="NS28" s="271">
        <v>3271085.5999999996</v>
      </c>
      <c r="NT28" s="271">
        <v>1987488.1600000001</v>
      </c>
      <c r="NU28" s="271">
        <v>581120.5</v>
      </c>
      <c r="NV28" s="271">
        <v>1822197.32</v>
      </c>
      <c r="NW28" s="271">
        <v>47067181.950000003</v>
      </c>
      <c r="NX28" s="271">
        <v>13980240.210000001</v>
      </c>
      <c r="NY28" s="271">
        <v>3065657.2800000003</v>
      </c>
      <c r="NZ28" s="271">
        <v>1924359.42</v>
      </c>
      <c r="OA28" s="271">
        <v>2494815.9299999997</v>
      </c>
      <c r="OB28" s="271">
        <v>5596743.6799999997</v>
      </c>
      <c r="OC28" s="271">
        <v>2140471.16</v>
      </c>
      <c r="OD28" s="271">
        <v>52055044.990000002</v>
      </c>
      <c r="OE28" s="271">
        <v>20718439.609999999</v>
      </c>
      <c r="OF28" s="271">
        <v>6398621.8999999994</v>
      </c>
      <c r="OG28" s="271">
        <v>18571439.540000003</v>
      </c>
      <c r="OH28" s="271">
        <v>4604286.04</v>
      </c>
      <c r="OI28" s="271">
        <v>6283750.5499999998</v>
      </c>
      <c r="OJ28" s="271">
        <v>5317303.79</v>
      </c>
      <c r="OK28" s="271">
        <v>1703912.9300000002</v>
      </c>
      <c r="OL28" s="271">
        <v>3184140.82</v>
      </c>
      <c r="OM28" s="271">
        <v>67071886</v>
      </c>
      <c r="ON28" s="271">
        <v>14906990.050000001</v>
      </c>
      <c r="OO28" s="271">
        <v>21700608.220000003</v>
      </c>
      <c r="OP28" s="271">
        <v>9961543.6099999994</v>
      </c>
      <c r="OQ28" s="271">
        <v>5986905.1500000004</v>
      </c>
      <c r="OR28" s="271">
        <v>2191339.92</v>
      </c>
      <c r="OS28" s="271">
        <v>25887957.659999996</v>
      </c>
      <c r="OT28" s="271">
        <v>2874657.66</v>
      </c>
      <c r="OU28" s="271">
        <v>4640558.96</v>
      </c>
      <c r="OV28" s="271">
        <v>4370677.93</v>
      </c>
      <c r="OW28" s="271">
        <v>6539714.1799999997</v>
      </c>
      <c r="OX28" s="271">
        <v>14914872.59</v>
      </c>
      <c r="OY28" s="271">
        <v>3116633.57</v>
      </c>
      <c r="OZ28" s="271">
        <v>3122959.4299999997</v>
      </c>
      <c r="PA28" s="271">
        <v>3335282.6</v>
      </c>
      <c r="PB28" s="271">
        <v>35611422.75</v>
      </c>
      <c r="PC28" s="271">
        <v>4327921.05</v>
      </c>
      <c r="PD28" s="271">
        <v>7893150.3200000003</v>
      </c>
      <c r="PE28" s="271">
        <v>1431349.09</v>
      </c>
      <c r="PF28" s="271">
        <v>6314832.7000000002</v>
      </c>
      <c r="PG28" s="271">
        <v>13253946.359999999</v>
      </c>
      <c r="PH28" s="271">
        <v>4693601.67</v>
      </c>
      <c r="PI28" s="271">
        <v>3828412.29</v>
      </c>
      <c r="PJ28" s="271">
        <v>5396800.7400000002</v>
      </c>
      <c r="PK28" s="271">
        <v>3462807.4</v>
      </c>
      <c r="PL28" s="271">
        <v>4325813.53</v>
      </c>
      <c r="PM28" s="271">
        <v>10936777.220000001</v>
      </c>
      <c r="PN28" s="271">
        <v>2809546.5</v>
      </c>
      <c r="PO28" s="271">
        <v>11389311.099999998</v>
      </c>
      <c r="PP28" s="271">
        <v>3895754.25</v>
      </c>
      <c r="PQ28" s="271">
        <v>2178684.2999999998</v>
      </c>
      <c r="PR28" s="271">
        <v>1475429.65</v>
      </c>
      <c r="PS28" s="271">
        <v>3506590.67</v>
      </c>
      <c r="PT28" s="271">
        <v>105693892.93000001</v>
      </c>
      <c r="PU28" s="271">
        <v>2564489.9700000002</v>
      </c>
      <c r="PV28" s="271">
        <v>3262247.2699999996</v>
      </c>
      <c r="PW28" s="271">
        <v>7708289.2599999998</v>
      </c>
      <c r="PX28" s="271">
        <v>13277556.869999999</v>
      </c>
      <c r="PY28" s="271">
        <v>6746190.0199999996</v>
      </c>
      <c r="PZ28" s="271">
        <v>14491854.699999999</v>
      </c>
      <c r="QA28" s="271">
        <v>4197164.95</v>
      </c>
      <c r="QB28" s="271">
        <v>10609382.42</v>
      </c>
      <c r="QC28" s="271">
        <v>2955732.88</v>
      </c>
      <c r="QD28" s="271">
        <v>9098097.8100000005</v>
      </c>
      <c r="QE28" s="271">
        <v>3206835.2600000002</v>
      </c>
      <c r="QF28" s="271">
        <v>6211725.8799999999</v>
      </c>
      <c r="QG28" s="271">
        <v>3949027.7</v>
      </c>
      <c r="QH28" s="271">
        <v>7704533.9299999997</v>
      </c>
      <c r="QI28" s="271">
        <v>5103386.2899999991</v>
      </c>
      <c r="QJ28" s="271">
        <v>3959414.62</v>
      </c>
      <c r="QK28" s="271">
        <v>2819866.75</v>
      </c>
      <c r="QL28" s="271">
        <v>2481763.7800000003</v>
      </c>
      <c r="QM28" s="271">
        <v>7097978.1399999997</v>
      </c>
      <c r="QN28" s="271">
        <v>10546847.979999999</v>
      </c>
      <c r="QO28" s="271">
        <v>2592373.5499999998</v>
      </c>
      <c r="QP28" s="271">
        <v>1421717.51</v>
      </c>
      <c r="QQ28" s="271">
        <v>1071526.25</v>
      </c>
      <c r="QR28" s="271">
        <v>2852759.89</v>
      </c>
      <c r="QS28" s="271">
        <v>907258.6</v>
      </c>
      <c r="QT28" s="271">
        <v>46920779.350000001</v>
      </c>
      <c r="QU28" s="271">
        <v>3552838.4099999997</v>
      </c>
      <c r="QV28" s="271">
        <v>11368228.060000001</v>
      </c>
      <c r="QW28" s="271">
        <v>3779888.08</v>
      </c>
      <c r="QX28" s="271">
        <v>8409243.2800000012</v>
      </c>
      <c r="QY28" s="271">
        <v>9794333.9199999999</v>
      </c>
      <c r="QZ28" s="271">
        <v>5874127.1099999994</v>
      </c>
      <c r="RA28" s="271">
        <v>10852366</v>
      </c>
      <c r="RB28" s="271">
        <v>6116044.6900000004</v>
      </c>
      <c r="RC28" s="271">
        <v>3072380.35</v>
      </c>
      <c r="RD28" s="271">
        <v>4792510.2</v>
      </c>
      <c r="RE28" s="271">
        <v>2575443.75</v>
      </c>
      <c r="RF28" s="271">
        <v>3128244.2800000003</v>
      </c>
      <c r="RG28" s="271">
        <v>63973579.429999992</v>
      </c>
      <c r="RH28" s="271">
        <v>16780616.180000003</v>
      </c>
      <c r="RI28" s="271">
        <v>4872069.2699999996</v>
      </c>
      <c r="RJ28" s="271">
        <v>7283144.7000000002</v>
      </c>
      <c r="RK28" s="271">
        <v>3781437.2</v>
      </c>
      <c r="RL28" s="271">
        <v>5806823.4500000002</v>
      </c>
      <c r="RM28" s="271">
        <v>15471181.589999998</v>
      </c>
      <c r="RN28" s="271">
        <v>4940167.07</v>
      </c>
      <c r="RO28" s="271">
        <v>5802578.5</v>
      </c>
      <c r="RP28" s="271">
        <v>10813827.6</v>
      </c>
      <c r="RQ28" s="271">
        <v>11991365.359999999</v>
      </c>
      <c r="RR28" s="271">
        <v>2279313.69</v>
      </c>
      <c r="RS28" s="271">
        <v>2816398</v>
      </c>
      <c r="RT28" s="271">
        <v>3749534.76</v>
      </c>
      <c r="RU28" s="271">
        <v>3460316.4499999997</v>
      </c>
      <c r="RV28" s="271">
        <v>5179677.22</v>
      </c>
      <c r="RW28" s="271">
        <v>5766740.1799999997</v>
      </c>
      <c r="RX28" s="271">
        <v>2761745.46</v>
      </c>
      <c r="RY28" s="271">
        <v>2470073.84</v>
      </c>
      <c r="RZ28" s="271">
        <v>1863318.81</v>
      </c>
      <c r="SA28" s="271">
        <v>28806804.240000002</v>
      </c>
      <c r="SB28" s="271">
        <v>4415726.0299999993</v>
      </c>
      <c r="SC28" s="271">
        <v>4557177.34</v>
      </c>
      <c r="SD28" s="271">
        <v>3765604.7199999997</v>
      </c>
      <c r="SE28" s="271">
        <v>3907277.84</v>
      </c>
      <c r="SF28" s="271">
        <v>3786131.6</v>
      </c>
      <c r="SG28" s="271">
        <v>5296078.29</v>
      </c>
      <c r="SH28" s="271">
        <v>6202071.9900000002</v>
      </c>
      <c r="SI28" s="271">
        <v>5297907.62</v>
      </c>
      <c r="SJ28" s="271">
        <v>7810021.5600000005</v>
      </c>
      <c r="SK28" s="271">
        <v>10502504.17</v>
      </c>
      <c r="SL28" s="271">
        <v>1704103.86</v>
      </c>
      <c r="SM28" s="271">
        <v>20198614.949999999</v>
      </c>
      <c r="SN28" s="271">
        <v>4641940.1099999994</v>
      </c>
      <c r="SO28" s="271">
        <v>8877064.9499999993</v>
      </c>
      <c r="SP28" s="271">
        <v>9961282.0800000001</v>
      </c>
      <c r="SQ28" s="271">
        <v>4860851.26</v>
      </c>
      <c r="SR28" s="271">
        <v>6956036.6100000003</v>
      </c>
      <c r="SS28" s="271">
        <v>4728003.37</v>
      </c>
      <c r="ST28" s="271">
        <v>2582833.6</v>
      </c>
      <c r="SU28" s="271">
        <v>45972233.390000001</v>
      </c>
      <c r="SV28" s="271">
        <v>4109635.14</v>
      </c>
      <c r="SW28" s="271">
        <v>8951043.2699999996</v>
      </c>
      <c r="SX28" s="271">
        <v>6103831.7000000002</v>
      </c>
      <c r="SY28" s="271">
        <v>2575729.96</v>
      </c>
      <c r="SZ28" s="271">
        <v>4492280.49</v>
      </c>
      <c r="TA28" s="271">
        <v>4825632.8900000006</v>
      </c>
      <c r="TB28" s="271">
        <v>14679528.569999998</v>
      </c>
      <c r="TC28" s="271">
        <v>4665435.1399999997</v>
      </c>
      <c r="TD28" s="271">
        <v>4629869.38</v>
      </c>
      <c r="TE28" s="271">
        <v>9564997.0700000003</v>
      </c>
      <c r="TF28" s="271">
        <v>5927127.4199999999</v>
      </c>
      <c r="TG28" s="271">
        <v>5531779.0200000005</v>
      </c>
      <c r="TH28" s="271">
        <v>3754159.6799999997</v>
      </c>
      <c r="TI28" s="271">
        <v>69615809.489999995</v>
      </c>
      <c r="TJ28" s="271">
        <v>5989156.0299999993</v>
      </c>
      <c r="TK28" s="271">
        <v>3913082.76</v>
      </c>
      <c r="TL28" s="271">
        <v>9082195.6999999993</v>
      </c>
      <c r="TM28" s="271">
        <v>7396199.8899999997</v>
      </c>
      <c r="TN28" s="271">
        <v>5171461.0999999996</v>
      </c>
      <c r="TO28" s="271">
        <v>1820442.5699999998</v>
      </c>
      <c r="TP28" s="271">
        <v>26826254.859999999</v>
      </c>
      <c r="TQ28" s="271">
        <v>5376000.0999999996</v>
      </c>
      <c r="TR28" s="271">
        <v>14815025.25</v>
      </c>
      <c r="TS28" s="271">
        <v>10439701.17</v>
      </c>
      <c r="TT28" s="271">
        <v>5087063.5999999996</v>
      </c>
      <c r="TU28" s="271">
        <v>3803949.93</v>
      </c>
      <c r="TV28" s="271">
        <v>3304075.95</v>
      </c>
      <c r="TW28" s="271">
        <v>4546031.84</v>
      </c>
      <c r="TX28" s="271">
        <v>4829205.68</v>
      </c>
      <c r="TY28" s="271">
        <v>15077168.279999999</v>
      </c>
      <c r="TZ28" s="271">
        <v>3368314.48</v>
      </c>
      <c r="UA28" s="271">
        <v>27975141.43</v>
      </c>
      <c r="UB28" s="271">
        <v>6084906.7299999995</v>
      </c>
      <c r="UC28" s="271">
        <v>2254198.5199999996</v>
      </c>
      <c r="UD28" s="271">
        <v>3900861.2399999998</v>
      </c>
      <c r="UE28" s="271">
        <v>21665332.079999998</v>
      </c>
      <c r="UF28" s="271">
        <v>2792549.05</v>
      </c>
      <c r="UG28" s="271">
        <v>1188278.8999999999</v>
      </c>
      <c r="UH28" s="271">
        <v>3405696.59</v>
      </c>
      <c r="UI28" s="271">
        <v>3361118.58</v>
      </c>
      <c r="UJ28" s="271">
        <v>22921947.949999999</v>
      </c>
      <c r="UK28" s="271">
        <v>8036962.5500000007</v>
      </c>
      <c r="UL28" s="271">
        <v>5094604.29</v>
      </c>
      <c r="UM28" s="271">
        <v>7732695.3799999999</v>
      </c>
      <c r="UN28" s="271">
        <v>6923767</v>
      </c>
      <c r="UO28" s="271">
        <v>5902179.8300000001</v>
      </c>
      <c r="UP28" s="271">
        <v>114323528.23999999</v>
      </c>
      <c r="UQ28" s="271">
        <v>6479688.3700000001</v>
      </c>
      <c r="UR28" s="271">
        <v>8512156.75</v>
      </c>
      <c r="US28" s="271">
        <v>25303415.449999999</v>
      </c>
      <c r="UT28" s="271">
        <v>1624597.44</v>
      </c>
      <c r="UU28" s="271">
        <v>4361348.9800000004</v>
      </c>
      <c r="UV28" s="271">
        <v>12010396.57</v>
      </c>
      <c r="UW28" s="271">
        <v>4120757.2</v>
      </c>
      <c r="UX28" s="271">
        <v>4061252.56</v>
      </c>
      <c r="UY28" s="271">
        <v>5381875.5700000003</v>
      </c>
      <c r="UZ28" s="271">
        <v>13694961.439999999</v>
      </c>
      <c r="VA28" s="271">
        <v>10810123.109999999</v>
      </c>
      <c r="VB28" s="271">
        <v>9676849.5599999987</v>
      </c>
      <c r="VC28" s="271">
        <v>9521033.0799999982</v>
      </c>
      <c r="VD28" s="271">
        <v>2801320.4400000004</v>
      </c>
      <c r="VE28" s="271">
        <v>3958191.4000000004</v>
      </c>
      <c r="VF28" s="271">
        <v>3241291.13</v>
      </c>
      <c r="VG28" s="271">
        <v>4366114.6899999995</v>
      </c>
      <c r="VH28" s="271">
        <v>15350200.360000003</v>
      </c>
      <c r="VI28" s="271">
        <v>3385022.8200000003</v>
      </c>
      <c r="VJ28" s="271">
        <v>2226426.91</v>
      </c>
      <c r="VK28" s="271">
        <v>1374884.4600000002</v>
      </c>
      <c r="VL28" s="271">
        <v>43151049.929999992</v>
      </c>
      <c r="VM28" s="271">
        <v>4312656.83</v>
      </c>
      <c r="VN28" s="271">
        <v>5980671.6699999999</v>
      </c>
      <c r="VO28" s="271">
        <v>6116043.0800000001</v>
      </c>
      <c r="VP28" s="271">
        <v>11477601.649999999</v>
      </c>
      <c r="VQ28" s="271">
        <v>5983308.4900000002</v>
      </c>
      <c r="VR28" s="271">
        <v>5707278.5199999996</v>
      </c>
      <c r="VS28" s="271">
        <v>5292401.1100000003</v>
      </c>
      <c r="VT28" s="271">
        <v>5059762.08</v>
      </c>
      <c r="VU28" s="271">
        <v>17181148.41</v>
      </c>
      <c r="VV28" s="271">
        <v>4004972.04</v>
      </c>
      <c r="VW28" s="271">
        <v>6534712.1300000008</v>
      </c>
      <c r="VX28" s="271">
        <v>6521399.0800000001</v>
      </c>
      <c r="VY28" s="271">
        <v>4369585.75</v>
      </c>
      <c r="VZ28" s="271">
        <v>2741344.0199999996</v>
      </c>
      <c r="WA28" s="271">
        <v>133327106.48999999</v>
      </c>
      <c r="WB28" s="271">
        <v>8549546.379999999</v>
      </c>
      <c r="WC28" s="271">
        <v>7821940.8499999996</v>
      </c>
      <c r="WD28" s="271">
        <v>4617476.97</v>
      </c>
      <c r="WE28" s="271">
        <v>5435951.3300000001</v>
      </c>
      <c r="WF28" s="271">
        <v>7604189.3399999999</v>
      </c>
      <c r="WG28" s="271">
        <v>7273071.6400000006</v>
      </c>
      <c r="WH28" s="271">
        <v>9400195.3899999987</v>
      </c>
      <c r="WI28" s="271">
        <v>4066959.1100000003</v>
      </c>
      <c r="WJ28" s="271">
        <v>8687025.7200000007</v>
      </c>
      <c r="WK28" s="271">
        <v>3421879.02</v>
      </c>
      <c r="WL28" s="271">
        <v>17298128.98</v>
      </c>
      <c r="WM28" s="271">
        <v>5947957.4199999999</v>
      </c>
      <c r="WN28" s="271">
        <v>6708099.2699999996</v>
      </c>
      <c r="WO28" s="271">
        <v>9242533.959999999</v>
      </c>
      <c r="WP28" s="271">
        <v>9544019.7299999986</v>
      </c>
      <c r="WQ28" s="271">
        <v>6205873.629999999</v>
      </c>
      <c r="WR28" s="271">
        <v>9049091.9100000001</v>
      </c>
      <c r="WS28" s="271">
        <v>3271150.7399999998</v>
      </c>
      <c r="WT28" s="271">
        <v>16963405.48</v>
      </c>
      <c r="WU28" s="271">
        <v>34256986.640000001</v>
      </c>
      <c r="WV28" s="271">
        <v>4865437.9200000009</v>
      </c>
      <c r="WW28" s="271">
        <v>3268225.2800000003</v>
      </c>
      <c r="WX28" s="271">
        <v>3807830.96</v>
      </c>
      <c r="WY28" s="271">
        <v>4547197.5199999996</v>
      </c>
      <c r="WZ28" s="271">
        <v>2796228.94</v>
      </c>
      <c r="XA28" s="271">
        <v>4190188.86</v>
      </c>
      <c r="XB28" s="271">
        <v>2875823.49</v>
      </c>
      <c r="XC28" s="271">
        <v>15832933.060000001</v>
      </c>
      <c r="XD28" s="271">
        <v>3331315.8400000003</v>
      </c>
      <c r="XE28" s="271">
        <v>2579996.4500000002</v>
      </c>
      <c r="XF28" s="271">
        <v>3597871.85</v>
      </c>
      <c r="XG28" s="271">
        <v>2549050.7399999998</v>
      </c>
      <c r="XH28" s="271">
        <v>85559567.280000001</v>
      </c>
      <c r="XI28" s="271">
        <v>10167720.289999999</v>
      </c>
      <c r="XJ28" s="271">
        <v>8869764.4500000011</v>
      </c>
      <c r="XK28" s="271">
        <v>29762989.609999999</v>
      </c>
      <c r="XL28" s="271">
        <v>4199804.7799999993</v>
      </c>
      <c r="XM28" s="271">
        <v>6617814.2800000003</v>
      </c>
      <c r="XN28" s="271">
        <v>14398321.810000001</v>
      </c>
      <c r="XO28" s="271">
        <v>6534423.5999999996</v>
      </c>
      <c r="XP28" s="271">
        <v>7241994.7400000002</v>
      </c>
      <c r="XQ28" s="271">
        <v>9375667.3899999987</v>
      </c>
      <c r="XR28" s="271">
        <v>9605486.6699999999</v>
      </c>
      <c r="XS28" s="271">
        <v>3357444.2</v>
      </c>
      <c r="XT28" s="271">
        <v>4447424.24</v>
      </c>
      <c r="XU28" s="271">
        <v>5678954.8099999996</v>
      </c>
      <c r="XV28" s="271">
        <v>4494056.54</v>
      </c>
      <c r="XW28" s="271">
        <v>2923101.4</v>
      </c>
      <c r="XX28" s="271">
        <v>2704965.21</v>
      </c>
      <c r="XY28" s="271">
        <v>4378932.07</v>
      </c>
      <c r="XZ28" s="271">
        <v>3080656.66</v>
      </c>
      <c r="YA28" s="271">
        <v>3610739.6399999997</v>
      </c>
      <c r="YB28" s="271">
        <v>3329909.41</v>
      </c>
      <c r="YC28" s="271">
        <v>3174655.5999999996</v>
      </c>
      <c r="YD28" s="271">
        <v>3574591.58</v>
      </c>
      <c r="YE28" s="271">
        <v>72574678.260000005</v>
      </c>
      <c r="YF28" s="271">
        <v>5408851.6000000006</v>
      </c>
      <c r="YG28" s="271">
        <v>12175311.6</v>
      </c>
      <c r="YH28" s="271">
        <v>4419138.74</v>
      </c>
      <c r="YI28" s="271">
        <v>17413489.350000001</v>
      </c>
      <c r="YJ28" s="271">
        <v>9759252.9800000004</v>
      </c>
      <c r="YK28" s="271">
        <v>11248368.9</v>
      </c>
      <c r="YL28" s="271">
        <v>4336976.3</v>
      </c>
      <c r="YM28" s="271">
        <v>33325105.899999999</v>
      </c>
      <c r="YN28" s="271">
        <v>16177387.960000001</v>
      </c>
      <c r="YO28" s="271">
        <v>11540477.24</v>
      </c>
      <c r="YP28" s="271">
        <v>4594810.6500000004</v>
      </c>
      <c r="YQ28" s="271">
        <v>5920063.2799999993</v>
      </c>
      <c r="YR28" s="271">
        <v>3886701.08</v>
      </c>
      <c r="YS28" s="271">
        <v>4171509.21</v>
      </c>
      <c r="YT28" s="271">
        <v>4264490.33</v>
      </c>
      <c r="YU28" s="271">
        <v>3798686.7199999997</v>
      </c>
      <c r="YV28" s="271">
        <v>27778694.460000001</v>
      </c>
      <c r="YW28" s="271">
        <v>6292831.8999999994</v>
      </c>
      <c r="YX28" s="271">
        <v>2375219.59</v>
      </c>
      <c r="YY28" s="271">
        <v>1742360.25</v>
      </c>
      <c r="YZ28" s="271">
        <v>2711919.1</v>
      </c>
      <c r="ZA28" s="271">
        <v>2265755.67</v>
      </c>
      <c r="ZB28" s="271">
        <v>2149635.84</v>
      </c>
      <c r="ZC28" s="271">
        <v>34842403.880000003</v>
      </c>
      <c r="ZD28" s="271">
        <v>2125205.6</v>
      </c>
      <c r="ZE28" s="271">
        <v>10780013.849999998</v>
      </c>
      <c r="ZF28" s="271">
        <v>4181087.39</v>
      </c>
      <c r="ZG28" s="271">
        <v>4387678.83</v>
      </c>
      <c r="ZH28" s="271">
        <v>4019756.92</v>
      </c>
      <c r="ZI28" s="271">
        <v>3570532.37</v>
      </c>
      <c r="ZJ28" s="271">
        <v>2407902.15</v>
      </c>
      <c r="ZK28" s="271">
        <v>11686441.150000002</v>
      </c>
      <c r="ZL28" s="271">
        <v>92051206.799999997</v>
      </c>
      <c r="ZM28" s="271">
        <v>3552407.91</v>
      </c>
      <c r="ZN28" s="271">
        <v>7407711.71</v>
      </c>
      <c r="ZO28" s="271">
        <v>23087423.399999999</v>
      </c>
      <c r="ZP28" s="271">
        <v>11349745.91</v>
      </c>
      <c r="ZQ28" s="271">
        <v>5010608.49</v>
      </c>
      <c r="ZR28" s="271">
        <v>8014929.4499999993</v>
      </c>
      <c r="ZS28" s="271">
        <v>13194349.23</v>
      </c>
      <c r="ZT28" s="271">
        <v>12490954.440000001</v>
      </c>
      <c r="ZU28" s="271">
        <v>9144976.6699999999</v>
      </c>
      <c r="ZV28" s="271">
        <v>1720716.85</v>
      </c>
      <c r="ZW28" s="271">
        <v>9812425.6600000001</v>
      </c>
      <c r="ZX28" s="271">
        <v>5444197.5500000007</v>
      </c>
      <c r="ZY28" s="271">
        <v>6863653.7799999993</v>
      </c>
      <c r="ZZ28" s="271">
        <v>6397995.6800000006</v>
      </c>
      <c r="AAA28" s="271">
        <v>4690762.26</v>
      </c>
      <c r="AAB28" s="271">
        <v>7333138.959999999</v>
      </c>
      <c r="AAC28" s="271">
        <v>4639392.1300000008</v>
      </c>
      <c r="AAD28" s="271">
        <v>6311207.54</v>
      </c>
      <c r="AAE28" s="271">
        <v>3942101.75</v>
      </c>
      <c r="AAF28" s="271">
        <v>3113007.8</v>
      </c>
      <c r="AAG28" s="271">
        <v>2235175.77</v>
      </c>
      <c r="AAH28" s="271">
        <v>25694370.259999998</v>
      </c>
      <c r="AAI28" s="271">
        <v>5186696.66</v>
      </c>
      <c r="AAJ28" s="271">
        <v>4700924.33</v>
      </c>
      <c r="AAK28" s="271">
        <v>4380238.9499999993</v>
      </c>
      <c r="AAL28" s="271">
        <v>2862551.64</v>
      </c>
      <c r="AAM28" s="271">
        <v>10747766.34</v>
      </c>
      <c r="AAN28" s="271">
        <v>2303736.36</v>
      </c>
      <c r="AAO28" s="271">
        <v>93316166.189999998</v>
      </c>
      <c r="AAP28" s="271">
        <v>7479671.8999999994</v>
      </c>
      <c r="AAQ28" s="271">
        <v>3603696.7199999997</v>
      </c>
      <c r="AAR28" s="271">
        <v>17958074.289999999</v>
      </c>
      <c r="AAS28" s="271">
        <v>5042532.87</v>
      </c>
      <c r="AAT28" s="271">
        <v>6230784.4699999997</v>
      </c>
      <c r="AAU28" s="271">
        <v>6513414.4399999995</v>
      </c>
      <c r="AAV28" s="271">
        <v>9222192.2599999998</v>
      </c>
      <c r="AAW28" s="271">
        <v>15773890.43</v>
      </c>
      <c r="AAX28" s="271">
        <v>5848553.1500000004</v>
      </c>
      <c r="AAY28" s="271">
        <v>7555605.5800000001</v>
      </c>
      <c r="AAZ28" s="271">
        <v>16069737.380000001</v>
      </c>
      <c r="ABA28" s="271">
        <v>11628762.15</v>
      </c>
      <c r="ABB28" s="271">
        <v>2328219.4699999997</v>
      </c>
      <c r="ABC28" s="271">
        <v>6318177.6099999994</v>
      </c>
      <c r="ABD28" s="271">
        <v>2941014.25</v>
      </c>
      <c r="ABE28" s="271">
        <v>2632315.7200000002</v>
      </c>
      <c r="ABF28" s="271">
        <v>6816083.6800000006</v>
      </c>
      <c r="ABG28" s="271">
        <v>3894647.1900000004</v>
      </c>
      <c r="ABH28" s="271">
        <v>42248600.239999995</v>
      </c>
      <c r="ABI28" s="271">
        <v>18194079.579999998</v>
      </c>
      <c r="ABJ28" s="271">
        <v>3689643.5</v>
      </c>
      <c r="ABK28" s="271">
        <v>3076845.66</v>
      </c>
      <c r="ABL28" s="271">
        <v>2029765.71</v>
      </c>
      <c r="ABM28" s="271">
        <v>2662810.81</v>
      </c>
      <c r="ABN28" s="271">
        <v>1829823.4300000002</v>
      </c>
      <c r="ABO28" s="271">
        <v>37302981.120000005</v>
      </c>
      <c r="ABP28" s="271">
        <v>4312927.129999999</v>
      </c>
      <c r="ABQ28" s="271">
        <v>2562147.1</v>
      </c>
      <c r="ABR28" s="271">
        <v>5981968.1099999994</v>
      </c>
      <c r="ABS28" s="271">
        <v>3088771.8099999996</v>
      </c>
      <c r="ABT28" s="271">
        <v>3088917.81</v>
      </c>
      <c r="ABU28" s="271">
        <v>2109401.02</v>
      </c>
      <c r="ABV28" s="271">
        <v>1842075.89</v>
      </c>
      <c r="ABW28" s="271">
        <v>713506.7</v>
      </c>
      <c r="ABX28" s="271">
        <v>32375505.710000001</v>
      </c>
      <c r="ABY28" s="271">
        <v>1637514.06</v>
      </c>
      <c r="ABZ28" s="271">
        <v>6270495.0999999996</v>
      </c>
      <c r="ACA28" s="271">
        <v>1846782.8099999998</v>
      </c>
      <c r="ACB28" s="271">
        <v>3452851.7399999998</v>
      </c>
      <c r="ACC28" s="271">
        <v>11773909.889999999</v>
      </c>
      <c r="ACD28" s="271">
        <v>1136227.56</v>
      </c>
      <c r="ACE28" s="271">
        <v>2612694.69</v>
      </c>
      <c r="ACF28" s="271">
        <v>2263323.3999999994</v>
      </c>
      <c r="ACG28" s="271">
        <v>4118753.91</v>
      </c>
      <c r="ACH28" s="271">
        <v>2518049.7999999998</v>
      </c>
      <c r="ACI28" s="271">
        <v>86121622.209999993</v>
      </c>
      <c r="ACJ28" s="271">
        <v>3419735.18</v>
      </c>
      <c r="ACK28" s="271">
        <v>3258361.36</v>
      </c>
      <c r="ACL28" s="271">
        <v>5847138.4500000002</v>
      </c>
      <c r="ACM28" s="271">
        <v>1350020.8</v>
      </c>
      <c r="ACN28" s="271">
        <v>3997559.6799999997</v>
      </c>
      <c r="ACO28" s="271">
        <v>6206566.29</v>
      </c>
      <c r="ACP28" s="271">
        <v>21860084.469999999</v>
      </c>
      <c r="ACQ28" s="271">
        <v>8696169.6399999987</v>
      </c>
      <c r="ACR28" s="271">
        <v>3208925.26</v>
      </c>
      <c r="ACS28" s="271">
        <v>3187571.5700000003</v>
      </c>
      <c r="ACT28" s="271">
        <v>3715352.9</v>
      </c>
      <c r="ACU28" s="271">
        <v>5678449.1600000001</v>
      </c>
      <c r="ACV28" s="271">
        <v>12799313.699999999</v>
      </c>
      <c r="ACW28" s="271">
        <v>4742758.76</v>
      </c>
      <c r="ACX28" s="271">
        <v>4120891.3200000003</v>
      </c>
      <c r="ACY28" s="271">
        <v>3919460.6000000006</v>
      </c>
      <c r="ACZ28" s="271">
        <v>3093556.46</v>
      </c>
      <c r="ADA28" s="271">
        <v>2374815.0499999998</v>
      </c>
      <c r="ADB28" s="271">
        <v>2217269.67</v>
      </c>
      <c r="ADC28" s="271">
        <v>2208788.0099999998</v>
      </c>
      <c r="ADD28" s="271">
        <v>1682333.1199999999</v>
      </c>
      <c r="ADE28" s="271">
        <v>1163452.21</v>
      </c>
      <c r="ADF28" s="271">
        <v>15792055.83</v>
      </c>
      <c r="ADG28" s="271">
        <v>12001213.6</v>
      </c>
      <c r="ADH28" s="271">
        <v>2624601.64</v>
      </c>
      <c r="ADI28" s="271">
        <v>678168.72999999986</v>
      </c>
      <c r="ADJ28" s="271">
        <v>2335260.58</v>
      </c>
      <c r="ADK28" s="271">
        <v>616016.76</v>
      </c>
      <c r="ADL28" s="271">
        <v>3542050.2</v>
      </c>
      <c r="ADM28" s="271">
        <v>1123151.4000000001</v>
      </c>
      <c r="ADN28" s="271">
        <v>1954462.5499999998</v>
      </c>
      <c r="ADO28" s="271">
        <v>53672092.880000003</v>
      </c>
      <c r="ADP28" s="271">
        <v>3966794.95</v>
      </c>
      <c r="ADQ28" s="271">
        <v>6010265.3399999999</v>
      </c>
      <c r="ADR28" s="271">
        <v>856031.37</v>
      </c>
      <c r="ADS28" s="271">
        <v>30916289.239999998</v>
      </c>
      <c r="ADT28" s="271">
        <v>1250000.55</v>
      </c>
      <c r="ADU28" s="271">
        <v>3854891.4099999997</v>
      </c>
      <c r="ADV28" s="271">
        <v>7107669</v>
      </c>
      <c r="ADW28" s="271">
        <v>2870305.1100000003</v>
      </c>
      <c r="ADX28" s="271">
        <v>698530</v>
      </c>
      <c r="ADY28" s="271">
        <v>57345573.57</v>
      </c>
      <c r="ADZ28" s="271">
        <v>19410849.999999996</v>
      </c>
      <c r="AEA28" s="271">
        <v>10976381.01</v>
      </c>
      <c r="AEB28" s="271">
        <v>3416571.43</v>
      </c>
      <c r="AEC28" s="271">
        <v>4710492.42</v>
      </c>
      <c r="AED28" s="271">
        <v>4555763.1999999993</v>
      </c>
      <c r="AEE28" s="271">
        <v>2651225.37</v>
      </c>
      <c r="AEF28" s="271">
        <v>5800949.5800000001</v>
      </c>
      <c r="AEG28" s="271">
        <v>1779478.49</v>
      </c>
      <c r="AEH28" s="271">
        <v>1924951.93</v>
      </c>
      <c r="AEI28" s="271">
        <v>4557676.96</v>
      </c>
      <c r="AEJ28" s="271">
        <v>2620417.5</v>
      </c>
      <c r="AEK28" s="271">
        <v>1175629.6200000001</v>
      </c>
      <c r="AEL28" s="271">
        <v>4176628.79</v>
      </c>
      <c r="AEM28" s="271">
        <v>6344576.7199999997</v>
      </c>
      <c r="AEN28" s="271">
        <v>3196265.59</v>
      </c>
      <c r="AEO28" s="271">
        <v>2142566.38</v>
      </c>
      <c r="AEP28" s="271">
        <v>6850381.9399999995</v>
      </c>
      <c r="AEQ28" s="271">
        <v>1477828.95</v>
      </c>
      <c r="AER28" s="271">
        <v>6627814.5899999999</v>
      </c>
      <c r="AES28" s="271">
        <v>53425222.349999994</v>
      </c>
      <c r="AET28" s="271">
        <v>4490923.8</v>
      </c>
      <c r="AEU28" s="271">
        <v>11517858.809999999</v>
      </c>
      <c r="AEV28" s="271">
        <v>9075449.7699999996</v>
      </c>
      <c r="AEW28" s="271">
        <v>4006242.21</v>
      </c>
      <c r="AEX28" s="271">
        <v>10482576.889999999</v>
      </c>
      <c r="AEY28" s="271">
        <v>4787200.13</v>
      </c>
      <c r="AEZ28" s="271">
        <v>5300638.16</v>
      </c>
      <c r="AFA28" s="271">
        <v>3619581.1099999994</v>
      </c>
      <c r="AFB28" s="271">
        <v>2998822.06</v>
      </c>
      <c r="AFC28" s="271">
        <v>45138145.100000009</v>
      </c>
      <c r="AFD28" s="271">
        <v>24717568.120000001</v>
      </c>
      <c r="AFE28" s="271">
        <v>11413826.819999998</v>
      </c>
      <c r="AFF28" s="271">
        <v>5002151.0699999994</v>
      </c>
      <c r="AFG28" s="271">
        <v>15864900.01</v>
      </c>
      <c r="AFH28" s="271">
        <v>9124305.7100000009</v>
      </c>
      <c r="AFI28" s="271">
        <v>5853994.79</v>
      </c>
      <c r="AFJ28" s="271">
        <v>6134075.4699999997</v>
      </c>
      <c r="AFK28" s="271">
        <v>3745273.23</v>
      </c>
      <c r="AFL28" s="271">
        <v>4393561.24</v>
      </c>
      <c r="AFM28" s="271">
        <v>7151126.1099999994</v>
      </c>
      <c r="AFN28" s="271">
        <v>5890599.8200000003</v>
      </c>
      <c r="AFO28" s="271">
        <v>3870291.8899999997</v>
      </c>
      <c r="AFP28" s="271">
        <v>32383170.189999998</v>
      </c>
      <c r="AFQ28" s="271">
        <v>10446081.41</v>
      </c>
      <c r="AFR28" s="271">
        <v>8456843.370000001</v>
      </c>
      <c r="AFS28" s="271">
        <v>4349456.53</v>
      </c>
      <c r="AFT28" s="271">
        <v>6505072.5499999998</v>
      </c>
      <c r="AFU28" s="271">
        <v>6317603.96</v>
      </c>
      <c r="AFV28" s="271">
        <v>4251481.7</v>
      </c>
      <c r="AFW28" s="271">
        <v>14615367.32</v>
      </c>
      <c r="AFX28" s="271">
        <v>11319334.43</v>
      </c>
      <c r="AFY28" s="271">
        <v>2580666.77</v>
      </c>
      <c r="AFZ28" s="271">
        <v>7698766.3900000006</v>
      </c>
      <c r="AGA28" s="271">
        <v>4236087.41</v>
      </c>
      <c r="AGB28" s="271">
        <v>47918503.479999997</v>
      </c>
      <c r="AGC28" s="271">
        <v>1877937.4500000002</v>
      </c>
      <c r="AGD28" s="271">
        <v>3031141.24</v>
      </c>
      <c r="AGE28" s="271">
        <v>2909436.01</v>
      </c>
      <c r="AGF28" s="271">
        <v>6433817.8600000003</v>
      </c>
      <c r="AGG28" s="271">
        <v>3025611.82</v>
      </c>
      <c r="AGH28" s="271">
        <v>1247710.73</v>
      </c>
      <c r="AGI28" s="271">
        <v>2856127.4299999997</v>
      </c>
      <c r="AGJ28" s="271">
        <v>2427011.5300000003</v>
      </c>
      <c r="AGK28" s="271">
        <v>3451923</v>
      </c>
      <c r="AGL28" s="271">
        <v>1749101.15</v>
      </c>
      <c r="AGM28" s="271">
        <v>46843706.409999996</v>
      </c>
      <c r="AGN28" s="271">
        <v>8850128.3699999992</v>
      </c>
      <c r="AGO28" s="271">
        <v>7528180.8899999997</v>
      </c>
      <c r="AGP28" s="271">
        <v>4025542.58</v>
      </c>
      <c r="AGQ28" s="271">
        <v>16005537.879999999</v>
      </c>
      <c r="AGR28" s="271">
        <v>9477173.3399999999</v>
      </c>
      <c r="AGS28" s="271">
        <v>2872925.7399999998</v>
      </c>
      <c r="AGT28" s="271">
        <v>7623174.2999999998</v>
      </c>
      <c r="AGU28" s="271">
        <v>63904433.950000003</v>
      </c>
      <c r="AGV28" s="271">
        <v>39864246.670000002</v>
      </c>
      <c r="AGW28" s="271">
        <v>5571896.2999999998</v>
      </c>
      <c r="AGX28" s="271">
        <v>11833655.049999999</v>
      </c>
      <c r="AGY28" s="271">
        <v>10853631.279999999</v>
      </c>
      <c r="AGZ28" s="271">
        <v>11150367.530000001</v>
      </c>
      <c r="AHA28" s="271">
        <v>7709525.3200000003</v>
      </c>
      <c r="AHB28" s="271">
        <v>4542448.1500000004</v>
      </c>
      <c r="AHC28" s="271">
        <v>2222627.25</v>
      </c>
      <c r="AHD28" s="271">
        <v>6110964.9100000001</v>
      </c>
      <c r="AHE28" s="271">
        <v>6953164.9800000004</v>
      </c>
      <c r="AHF28" s="271">
        <v>4555190.57</v>
      </c>
      <c r="AHG28" s="271">
        <v>2010404.21</v>
      </c>
      <c r="AHH28" s="271">
        <v>2936546.33</v>
      </c>
      <c r="AHI28" s="271">
        <v>4091964</v>
      </c>
      <c r="AHJ28" s="271">
        <v>5218995.16</v>
      </c>
      <c r="AHK28" s="271">
        <v>2167062.63</v>
      </c>
      <c r="AHL28" s="271">
        <v>21510420.84</v>
      </c>
      <c r="AHM28" s="271">
        <v>2223989.2200000002</v>
      </c>
      <c r="AHN28" s="271">
        <v>3381770.72</v>
      </c>
      <c r="AHO28" s="271">
        <v>3187221.2600000002</v>
      </c>
      <c r="AHP28" s="271">
        <v>5807606.3100000005</v>
      </c>
      <c r="AHQ28" s="294">
        <v>2926975.04</v>
      </c>
      <c r="AHR28" s="329">
        <v>1822193.91</v>
      </c>
      <c r="AHS28" s="294">
        <f t="shared" si="18"/>
        <v>8619910098.541996</v>
      </c>
      <c r="AHT28" s="269" t="b">
        <f t="shared" si="1"/>
        <v>1</v>
      </c>
      <c r="AHU28" s="269" t="s">
        <v>37</v>
      </c>
    </row>
    <row r="29" spans="1:905" ht="23.4" customHeight="1" x14ac:dyDescent="0.7">
      <c r="B29" s="268" t="s">
        <v>39</v>
      </c>
      <c r="C29" s="269" t="s">
        <v>40</v>
      </c>
      <c r="D29" s="271">
        <v>245239093.69999996</v>
      </c>
      <c r="E29" s="271">
        <v>10900068.010000002</v>
      </c>
      <c r="F29" s="271">
        <v>20231349.490000002</v>
      </c>
      <c r="G29" s="271">
        <v>6739163.1900000004</v>
      </c>
      <c r="H29" s="271">
        <v>39083751.489999995</v>
      </c>
      <c r="I29" s="271">
        <v>8762158.0300000031</v>
      </c>
      <c r="J29" s="271">
        <v>22594300.619999997</v>
      </c>
      <c r="K29" s="271">
        <v>16299957.510000002</v>
      </c>
      <c r="L29" s="271">
        <v>13051203.749999998</v>
      </c>
      <c r="M29" s="271">
        <v>10394430.269999998</v>
      </c>
      <c r="N29" s="271">
        <v>2213211.6900000004</v>
      </c>
      <c r="O29" s="271">
        <v>5759719.1899999995</v>
      </c>
      <c r="P29" s="271">
        <v>9206978.3399999999</v>
      </c>
      <c r="Q29" s="271">
        <v>7278751.7800000003</v>
      </c>
      <c r="R29" s="271">
        <v>6602149.1199999982</v>
      </c>
      <c r="S29" s="271">
        <v>11519303.02</v>
      </c>
      <c r="T29" s="271">
        <v>9143348.4299999978</v>
      </c>
      <c r="U29" s="271">
        <v>4952626.09</v>
      </c>
      <c r="V29" s="271">
        <v>227627821.60000002</v>
      </c>
      <c r="W29" s="271">
        <v>32108250.349999998</v>
      </c>
      <c r="X29" s="271">
        <v>12930748</v>
      </c>
      <c r="Y29" s="271">
        <v>15832537.190000001</v>
      </c>
      <c r="Z29" s="271">
        <v>7942090.4500000002</v>
      </c>
      <c r="AA29" s="271">
        <v>7659014.7999999998</v>
      </c>
      <c r="AB29" s="271">
        <v>1637461.3199999998</v>
      </c>
      <c r="AC29" s="271">
        <v>34261932.050000004</v>
      </c>
      <c r="AD29" s="271">
        <v>14860149.819999998</v>
      </c>
      <c r="AE29" s="271">
        <v>3813865.19</v>
      </c>
      <c r="AF29" s="271">
        <v>19643542.789999995</v>
      </c>
      <c r="AG29" s="271">
        <v>9348876.5000000019</v>
      </c>
      <c r="AH29" s="271">
        <v>50452596.950000003</v>
      </c>
      <c r="AI29" s="271">
        <v>8330448.790000001</v>
      </c>
      <c r="AJ29" s="271">
        <v>13603850.449999999</v>
      </c>
      <c r="AK29" s="271">
        <v>7320352.9900000012</v>
      </c>
      <c r="AL29" s="271">
        <v>11572029.030000001</v>
      </c>
      <c r="AM29" s="271">
        <v>5064847.1100000003</v>
      </c>
      <c r="AN29" s="271">
        <v>7464464.290000001</v>
      </c>
      <c r="AO29" s="271">
        <v>3863155.4299999992</v>
      </c>
      <c r="AP29" s="271">
        <v>7055750.2000000011</v>
      </c>
      <c r="AQ29" s="271">
        <v>3760584.1100000003</v>
      </c>
      <c r="AR29" s="271">
        <v>3789236.65</v>
      </c>
      <c r="AS29" s="271">
        <v>7953233.8799999999</v>
      </c>
      <c r="AT29" s="271">
        <v>91996128.370000005</v>
      </c>
      <c r="AU29" s="271">
        <v>2430784.7699999996</v>
      </c>
      <c r="AV29" s="271">
        <v>3004110.56</v>
      </c>
      <c r="AW29" s="271">
        <v>2389107.7200000002</v>
      </c>
      <c r="AX29" s="271">
        <v>6733440.0500000007</v>
      </c>
      <c r="AY29" s="271">
        <v>8003372.75</v>
      </c>
      <c r="AZ29" s="271">
        <v>2022322.5</v>
      </c>
      <c r="BA29" s="271">
        <v>3434270.06</v>
      </c>
      <c r="BB29" s="271">
        <v>3571962.09</v>
      </c>
      <c r="BC29" s="271">
        <v>2466763.77</v>
      </c>
      <c r="BD29" s="271">
        <v>3336901.2799999993</v>
      </c>
      <c r="BE29" s="271">
        <v>3137402.9499999993</v>
      </c>
      <c r="BF29" s="271">
        <v>23991515.880000006</v>
      </c>
      <c r="BG29" s="271">
        <v>3502793.68</v>
      </c>
      <c r="BH29" s="271">
        <v>2490477.79</v>
      </c>
      <c r="BI29" s="271">
        <v>55608707.829999998</v>
      </c>
      <c r="BJ29" s="271">
        <v>42254694.370000005</v>
      </c>
      <c r="BK29" s="271">
        <v>7320239.8200000003</v>
      </c>
      <c r="BL29" s="271">
        <v>4556850.71</v>
      </c>
      <c r="BM29" s="271">
        <v>8123542.3800000018</v>
      </c>
      <c r="BN29" s="271">
        <v>7117315.6499999994</v>
      </c>
      <c r="BO29" s="271">
        <v>7484618.1599999992</v>
      </c>
      <c r="BP29" s="271">
        <v>3922858.4699999993</v>
      </c>
      <c r="BQ29" s="271">
        <v>2588213.4499999993</v>
      </c>
      <c r="BR29" s="271">
        <v>123584564.87</v>
      </c>
      <c r="BS29" s="271">
        <v>8840757.4100000001</v>
      </c>
      <c r="BT29" s="271">
        <v>7272579.3699999992</v>
      </c>
      <c r="BU29" s="271">
        <v>6686962.0199999996</v>
      </c>
      <c r="BV29" s="271">
        <v>5961326.79</v>
      </c>
      <c r="BW29" s="271">
        <v>5119668.6399999987</v>
      </c>
      <c r="BX29" s="271">
        <v>3361132.83</v>
      </c>
      <c r="BY29" s="271">
        <v>9400863.4299999978</v>
      </c>
      <c r="BZ29" s="271">
        <v>49197590.660000011</v>
      </c>
      <c r="CA29" s="271">
        <v>6954757.0700000003</v>
      </c>
      <c r="CB29" s="271">
        <v>11063794.490000002</v>
      </c>
      <c r="CC29" s="271">
        <v>22572971.610000003</v>
      </c>
      <c r="CD29" s="271">
        <v>3539115.8800000004</v>
      </c>
      <c r="CE29" s="271">
        <v>4854764.8099999987</v>
      </c>
      <c r="CF29" s="271">
        <v>5463275.5000000009</v>
      </c>
      <c r="CG29" s="271">
        <v>235691231.24999994</v>
      </c>
      <c r="CH29" s="271">
        <v>8565017.370000001</v>
      </c>
      <c r="CI29" s="271">
        <v>26802844.540000003</v>
      </c>
      <c r="CJ29" s="271">
        <v>4178371.8399999994</v>
      </c>
      <c r="CK29" s="271">
        <v>5887482.9199999999</v>
      </c>
      <c r="CL29" s="271">
        <v>3463411.4200000004</v>
      </c>
      <c r="CM29" s="271">
        <v>5492648.0199999996</v>
      </c>
      <c r="CN29" s="271">
        <v>26109785.57</v>
      </c>
      <c r="CO29" s="271">
        <v>2618412.34</v>
      </c>
      <c r="CP29" s="271">
        <v>5419461.5499999998</v>
      </c>
      <c r="CQ29" s="271">
        <v>4821175.84</v>
      </c>
      <c r="CR29" s="271">
        <v>4131744.2300000004</v>
      </c>
      <c r="CS29" s="271">
        <v>3784050.0899999994</v>
      </c>
      <c r="CT29" s="271">
        <v>71318024.069999978</v>
      </c>
      <c r="CU29" s="271">
        <v>4389292.2700000005</v>
      </c>
      <c r="CV29" s="271">
        <v>4788414.6599999992</v>
      </c>
      <c r="CW29" s="271">
        <v>11254084.27</v>
      </c>
      <c r="CX29" s="271">
        <v>4620797.55</v>
      </c>
      <c r="CY29" s="271">
        <v>12488186.430000002</v>
      </c>
      <c r="CZ29" s="271">
        <v>4027864.67</v>
      </c>
      <c r="DA29" s="271">
        <v>3749389.879999999</v>
      </c>
      <c r="DB29" s="271">
        <v>84465680.789999977</v>
      </c>
      <c r="DC29" s="271">
        <v>77894352.799999997</v>
      </c>
      <c r="DD29" s="271">
        <v>8511667.5199999996</v>
      </c>
      <c r="DE29" s="271">
        <v>5600164.9999999981</v>
      </c>
      <c r="DF29" s="271">
        <v>25910266.700000003</v>
      </c>
      <c r="DG29" s="271">
        <v>20442046.460000001</v>
      </c>
      <c r="DH29" s="271">
        <v>16340868.76</v>
      </c>
      <c r="DI29" s="271">
        <v>13764262.270000001</v>
      </c>
      <c r="DJ29" s="271">
        <v>8485696.5300000012</v>
      </c>
      <c r="DK29" s="271">
        <v>283741634.27999991</v>
      </c>
      <c r="DL29" s="271">
        <v>8628646.1999999974</v>
      </c>
      <c r="DM29" s="271">
        <v>15062086.93</v>
      </c>
      <c r="DN29" s="271">
        <v>12804947.589999998</v>
      </c>
      <c r="DO29" s="271">
        <v>10106553.629999999</v>
      </c>
      <c r="DP29" s="271">
        <v>9106859.6400000006</v>
      </c>
      <c r="DQ29" s="271">
        <v>16442537.200000003</v>
      </c>
      <c r="DR29" s="271">
        <v>7872450.2400000012</v>
      </c>
      <c r="DS29" s="271">
        <v>32836791.440000001</v>
      </c>
      <c r="DT29" s="271">
        <v>102443168.10999998</v>
      </c>
      <c r="DU29" s="271">
        <v>8301471.6000000006</v>
      </c>
      <c r="DV29" s="271">
        <v>24464853.600000001</v>
      </c>
      <c r="DW29" s="271">
        <v>34976267.760000005</v>
      </c>
      <c r="DX29" s="271">
        <v>7381482.3300000001</v>
      </c>
      <c r="DY29" s="271">
        <v>8962129.7899999991</v>
      </c>
      <c r="DZ29" s="271">
        <v>7472106.1899999995</v>
      </c>
      <c r="EA29" s="271">
        <v>5550403.790000001</v>
      </c>
      <c r="EB29" s="271">
        <v>6317792.0699999994</v>
      </c>
      <c r="EC29" s="271">
        <v>7374663.4799999995</v>
      </c>
      <c r="ED29" s="271">
        <v>22257325.170000002</v>
      </c>
      <c r="EE29" s="271">
        <v>74286568.150000006</v>
      </c>
      <c r="EF29" s="271">
        <v>48392609.629999995</v>
      </c>
      <c r="EG29" s="271">
        <v>5246225.1400000006</v>
      </c>
      <c r="EH29" s="271">
        <v>7948017.2399999993</v>
      </c>
      <c r="EI29" s="271">
        <v>5559255.75</v>
      </c>
      <c r="EJ29" s="271">
        <v>7486184.8300000001</v>
      </c>
      <c r="EK29" s="271">
        <v>16523622.039999999</v>
      </c>
      <c r="EL29" s="271">
        <v>5256512.919999999</v>
      </c>
      <c r="EM29" s="271">
        <v>8059288.5499999998</v>
      </c>
      <c r="EN29" s="271">
        <v>109574800.81999999</v>
      </c>
      <c r="EO29" s="271">
        <v>7163349.0100000007</v>
      </c>
      <c r="EP29" s="271">
        <v>6993448.4400000004</v>
      </c>
      <c r="EQ29" s="271">
        <v>5882874.8300000001</v>
      </c>
      <c r="ER29" s="271">
        <v>6366329.0500000007</v>
      </c>
      <c r="ES29" s="271">
        <v>5980096.7300000004</v>
      </c>
      <c r="ET29" s="271">
        <v>9553035.5700000003</v>
      </c>
      <c r="EU29" s="271">
        <v>10360378.609999999</v>
      </c>
      <c r="EV29" s="271">
        <v>3995944.7899999991</v>
      </c>
      <c r="EW29" s="271">
        <v>96379786.350000009</v>
      </c>
      <c r="EX29" s="271">
        <v>4245285.3500000006</v>
      </c>
      <c r="EY29" s="271">
        <v>8282397.2199999988</v>
      </c>
      <c r="EZ29" s="271">
        <v>11050827.93</v>
      </c>
      <c r="FA29" s="271">
        <v>25078929.800000004</v>
      </c>
      <c r="FB29" s="271">
        <v>16199958.909999998</v>
      </c>
      <c r="FC29" s="271">
        <v>9540266.4700000007</v>
      </c>
      <c r="FD29" s="271">
        <v>6457632.0299999993</v>
      </c>
      <c r="FE29" s="271">
        <v>5392307.1799999997</v>
      </c>
      <c r="FF29" s="271">
        <v>5874917.4899999993</v>
      </c>
      <c r="FG29" s="271">
        <v>6505781.870000001</v>
      </c>
      <c r="FH29" s="271">
        <v>8998307.3300000001</v>
      </c>
      <c r="FI29" s="271">
        <v>86023762.329999998</v>
      </c>
      <c r="FJ29" s="271">
        <v>5881034.3899999997</v>
      </c>
      <c r="FK29" s="271">
        <v>7159387.6900000023</v>
      </c>
      <c r="FL29" s="271">
        <v>4832864.5199999996</v>
      </c>
      <c r="FM29" s="271">
        <v>15748986.710000003</v>
      </c>
      <c r="FN29" s="271">
        <v>6080514.5100000007</v>
      </c>
      <c r="FO29" s="271">
        <v>5417241.3300000001</v>
      </c>
      <c r="FP29" s="271">
        <v>3861208</v>
      </c>
      <c r="FQ29" s="271">
        <v>221701888.13000003</v>
      </c>
      <c r="FR29" s="271">
        <v>3711920.95</v>
      </c>
      <c r="FS29" s="271">
        <v>13004130.750000002</v>
      </c>
      <c r="FT29" s="271">
        <v>6860736.4700000016</v>
      </c>
      <c r="FU29" s="271">
        <v>13953468.109999999</v>
      </c>
      <c r="FV29" s="271">
        <v>7212698.040000001</v>
      </c>
      <c r="FW29" s="271">
        <v>22632199.100000001</v>
      </c>
      <c r="FX29" s="271">
        <v>11390516.699999999</v>
      </c>
      <c r="FY29" s="271">
        <v>9773088.0600000005</v>
      </c>
      <c r="FZ29" s="271">
        <v>7046209.8600000003</v>
      </c>
      <c r="GA29" s="271">
        <v>22059498.789999999</v>
      </c>
      <c r="GB29" s="271">
        <v>8587922.9399999995</v>
      </c>
      <c r="GC29" s="271">
        <v>7763104.6199999992</v>
      </c>
      <c r="GD29" s="271">
        <v>6934649.2000000002</v>
      </c>
      <c r="GE29" s="271">
        <v>90549970.830000013</v>
      </c>
      <c r="GF29" s="271">
        <v>6268472.8000000007</v>
      </c>
      <c r="GG29" s="271">
        <v>5091900.5</v>
      </c>
      <c r="GH29" s="271">
        <v>14375577.320000002</v>
      </c>
      <c r="GI29" s="271">
        <v>5571091.5</v>
      </c>
      <c r="GJ29" s="271">
        <v>8928348.0500000007</v>
      </c>
      <c r="GK29" s="271">
        <v>4960451.2700000005</v>
      </c>
      <c r="GL29" s="271">
        <v>16530362.08</v>
      </c>
      <c r="GM29" s="271">
        <v>5100554.9300000016</v>
      </c>
      <c r="GN29" s="271">
        <v>4695636.57</v>
      </c>
      <c r="GO29" s="271">
        <v>4023352.6100000003</v>
      </c>
      <c r="GP29" s="271">
        <v>4351338.3199999994</v>
      </c>
      <c r="GQ29" s="271">
        <v>61833618.740000002</v>
      </c>
      <c r="GR29" s="271">
        <v>10220582.59</v>
      </c>
      <c r="GS29" s="271">
        <v>7936200.3899999997</v>
      </c>
      <c r="GT29" s="271">
        <v>12956538.16</v>
      </c>
      <c r="GU29" s="271">
        <v>2896749.04</v>
      </c>
      <c r="GV29" s="271">
        <v>8726829.9399999995</v>
      </c>
      <c r="GW29" s="271">
        <v>8922425.7100000009</v>
      </c>
      <c r="GX29" s="271">
        <v>6114757.4199999999</v>
      </c>
      <c r="GY29" s="271">
        <v>38001666.270000003</v>
      </c>
      <c r="GZ29" s="271">
        <v>6142681.4800000004</v>
      </c>
      <c r="HA29" s="271">
        <v>10440912.539999999</v>
      </c>
      <c r="HB29" s="271">
        <v>10846318.609999999</v>
      </c>
      <c r="HC29" s="271">
        <v>180764979.92999998</v>
      </c>
      <c r="HD29" s="271">
        <v>42161798.640000008</v>
      </c>
      <c r="HE29" s="271">
        <v>25538286.580000002</v>
      </c>
      <c r="HF29" s="271">
        <v>39641728.940000005</v>
      </c>
      <c r="HG29" s="271">
        <v>13836433.389999999</v>
      </c>
      <c r="HH29" s="271">
        <v>27453748.280000001</v>
      </c>
      <c r="HI29" s="271">
        <v>11367870.700000001</v>
      </c>
      <c r="HJ29" s="271">
        <v>91077303.320000008</v>
      </c>
      <c r="HK29" s="271">
        <v>12390987.709999999</v>
      </c>
      <c r="HL29" s="271">
        <v>41049820.109999999</v>
      </c>
      <c r="HM29" s="271">
        <v>6187973.9900000002</v>
      </c>
      <c r="HN29" s="271">
        <v>6915595.7600000007</v>
      </c>
      <c r="HO29" s="271">
        <v>4361459.62</v>
      </c>
      <c r="HP29" s="271">
        <v>7940842.6399999997</v>
      </c>
      <c r="HQ29" s="271">
        <v>5508816.7199999997</v>
      </c>
      <c r="HR29" s="271">
        <v>95186036.019999996</v>
      </c>
      <c r="HS29" s="271">
        <v>41369997.390000001</v>
      </c>
      <c r="HT29" s="271">
        <v>3688740.22</v>
      </c>
      <c r="HU29" s="271">
        <v>8791683.6799999997</v>
      </c>
      <c r="HV29" s="271">
        <v>5173731.7199999988</v>
      </c>
      <c r="HW29" s="271">
        <v>2793562.77</v>
      </c>
      <c r="HX29" s="271">
        <v>13016718.630000003</v>
      </c>
      <c r="HY29" s="271">
        <v>3205376.6899999995</v>
      </c>
      <c r="HZ29" s="271">
        <v>6486369.7199999997</v>
      </c>
      <c r="IA29" s="271">
        <v>4780112.83</v>
      </c>
      <c r="IB29" s="271">
        <v>6191943.5300000003</v>
      </c>
      <c r="IC29" s="271">
        <v>10525499.349999996</v>
      </c>
      <c r="ID29" s="271">
        <v>2897146.89</v>
      </c>
      <c r="IE29" s="271">
        <v>7671141.6300000008</v>
      </c>
      <c r="IF29" s="271">
        <v>5429166.5899999999</v>
      </c>
      <c r="IG29" s="271">
        <v>4110577.4400000004</v>
      </c>
      <c r="IH29" s="271">
        <v>64743164.099999994</v>
      </c>
      <c r="II29" s="271">
        <v>28392807.140000001</v>
      </c>
      <c r="IJ29" s="271">
        <v>8757428.7999999989</v>
      </c>
      <c r="IK29" s="271">
        <v>14561108.529999999</v>
      </c>
      <c r="IL29" s="271">
        <v>20270085.84</v>
      </c>
      <c r="IM29" s="271">
        <v>3458972.21</v>
      </c>
      <c r="IN29" s="271">
        <v>3890873.8899999997</v>
      </c>
      <c r="IO29" s="271">
        <v>2762759.8800000004</v>
      </c>
      <c r="IP29" s="271">
        <v>4304358.99</v>
      </c>
      <c r="IQ29" s="271">
        <v>4344456.24</v>
      </c>
      <c r="IR29" s="271">
        <v>3844845.0000000005</v>
      </c>
      <c r="IS29" s="271">
        <v>156064827.56999999</v>
      </c>
      <c r="IT29" s="271">
        <v>45068990.159999996</v>
      </c>
      <c r="IU29" s="271">
        <v>7850848.3799999999</v>
      </c>
      <c r="IV29" s="271">
        <v>5983223.0999999996</v>
      </c>
      <c r="IW29" s="271">
        <v>4951781.0399999991</v>
      </c>
      <c r="IX29" s="271">
        <v>1427221.88</v>
      </c>
      <c r="IY29" s="271">
        <v>3587966.3800000004</v>
      </c>
      <c r="IZ29" s="271">
        <v>2060211.2400000002</v>
      </c>
      <c r="JA29" s="271">
        <v>3605987.0100000002</v>
      </c>
      <c r="JB29" s="271">
        <v>8416130.8200000003</v>
      </c>
      <c r="JC29" s="271">
        <v>5560264.9100000001</v>
      </c>
      <c r="JD29" s="271">
        <v>3544689.03</v>
      </c>
      <c r="JE29" s="271">
        <v>42397691.350000009</v>
      </c>
      <c r="JF29" s="271">
        <v>25993545.789999999</v>
      </c>
      <c r="JG29" s="271">
        <v>3116356.8999999994</v>
      </c>
      <c r="JH29" s="271">
        <v>3416436.1500000004</v>
      </c>
      <c r="JI29" s="271">
        <v>4291953.6100000003</v>
      </c>
      <c r="JJ29" s="271">
        <v>4041507.1300000004</v>
      </c>
      <c r="JK29" s="271">
        <v>39989715.879999995</v>
      </c>
      <c r="JL29" s="271">
        <v>5169460.2000000011</v>
      </c>
      <c r="JM29" s="271">
        <v>7244444.4000000004</v>
      </c>
      <c r="JN29" s="271">
        <v>12485067.780000001</v>
      </c>
      <c r="JO29" s="271">
        <v>3477459.2999999993</v>
      </c>
      <c r="JP29" s="271">
        <v>13124874.929999998</v>
      </c>
      <c r="JQ29" s="271">
        <v>3997377.0600000005</v>
      </c>
      <c r="JR29" s="271">
        <v>143186516.34999999</v>
      </c>
      <c r="JS29" s="271">
        <v>24381646.169999998</v>
      </c>
      <c r="JT29" s="271">
        <v>7464185.0600000005</v>
      </c>
      <c r="JU29" s="271">
        <v>4124360.1300000004</v>
      </c>
      <c r="JV29" s="271">
        <v>11530708.4</v>
      </c>
      <c r="JW29" s="271">
        <v>3996072.4499999997</v>
      </c>
      <c r="JX29" s="271">
        <v>34595983.440000013</v>
      </c>
      <c r="JY29" s="271">
        <v>9035425.5299999993</v>
      </c>
      <c r="JZ29" s="271">
        <v>8115726.9200000009</v>
      </c>
      <c r="KA29" s="271">
        <v>13090553.26</v>
      </c>
      <c r="KB29" s="271">
        <v>2448159.4700000007</v>
      </c>
      <c r="KC29" s="271">
        <v>11529623.579999998</v>
      </c>
      <c r="KD29" s="271">
        <v>1899590.26</v>
      </c>
      <c r="KE29" s="271">
        <v>3620029.6700000004</v>
      </c>
      <c r="KF29" s="271">
        <v>9643611.7799999993</v>
      </c>
      <c r="KG29" s="271">
        <v>8087297.7400000012</v>
      </c>
      <c r="KH29" s="271">
        <v>174638013.41999999</v>
      </c>
      <c r="KI29" s="271">
        <v>34981684.710000001</v>
      </c>
      <c r="KJ29" s="271">
        <v>11157689.59</v>
      </c>
      <c r="KK29" s="271">
        <v>5689489.2000000002</v>
      </c>
      <c r="KL29" s="271">
        <v>12833178.49</v>
      </c>
      <c r="KM29" s="271">
        <v>8079214.1900000004</v>
      </c>
      <c r="KN29" s="271">
        <v>35314491.18</v>
      </c>
      <c r="KO29" s="271">
        <v>5841108.9299999997</v>
      </c>
      <c r="KP29" s="271">
        <v>5048446.99</v>
      </c>
      <c r="KQ29" s="271">
        <v>49097845.120000005</v>
      </c>
      <c r="KR29" s="271">
        <v>5357298.33</v>
      </c>
      <c r="KS29" s="271">
        <v>8717226.5200000014</v>
      </c>
      <c r="KT29" s="271">
        <v>32794555.93</v>
      </c>
      <c r="KU29" s="271">
        <v>7820145.7899999991</v>
      </c>
      <c r="KV29" s="271">
        <v>10421178.289999999</v>
      </c>
      <c r="KW29" s="271">
        <v>114608949.3</v>
      </c>
      <c r="KX29" s="271">
        <v>8764509.0399999991</v>
      </c>
      <c r="KY29" s="271">
        <v>94631252.920000002</v>
      </c>
      <c r="KZ29" s="271">
        <v>5888123.9200000009</v>
      </c>
      <c r="LA29" s="271">
        <v>3664980.7600000002</v>
      </c>
      <c r="LB29" s="271">
        <v>15210191.76</v>
      </c>
      <c r="LC29" s="271">
        <v>19794284.940000001</v>
      </c>
      <c r="LD29" s="271">
        <v>4615465.21</v>
      </c>
      <c r="LE29" s="271">
        <v>5954938.6600000001</v>
      </c>
      <c r="LF29" s="271">
        <v>4488136.9399999995</v>
      </c>
      <c r="LG29" s="271">
        <v>91950128.030000016</v>
      </c>
      <c r="LH29" s="271">
        <v>39240245.230000004</v>
      </c>
      <c r="LI29" s="271">
        <v>52921315.060000002</v>
      </c>
      <c r="LJ29" s="271">
        <v>42563558.969999999</v>
      </c>
      <c r="LK29" s="271">
        <v>10029178.120000001</v>
      </c>
      <c r="LL29" s="271">
        <v>5327292.0100000007</v>
      </c>
      <c r="LM29" s="271">
        <v>3862924.8999999994</v>
      </c>
      <c r="LN29" s="271">
        <v>9257620.3399999999</v>
      </c>
      <c r="LO29" s="271">
        <v>662344.59000000008</v>
      </c>
      <c r="LP29" s="271">
        <v>7296143.7799999984</v>
      </c>
      <c r="LQ29" s="271">
        <v>7521899.96</v>
      </c>
      <c r="LR29" s="271">
        <v>83262205.890000001</v>
      </c>
      <c r="LS29" s="271">
        <v>8907693.3999999985</v>
      </c>
      <c r="LT29" s="271">
        <v>6911765.6599999992</v>
      </c>
      <c r="LU29" s="271">
        <v>51422868.240000002</v>
      </c>
      <c r="LV29" s="271">
        <v>35758286.300000004</v>
      </c>
      <c r="LW29" s="271">
        <v>164731760.16000003</v>
      </c>
      <c r="LX29" s="271">
        <v>38690388.789999999</v>
      </c>
      <c r="LY29" s="271">
        <v>20752580.059999999</v>
      </c>
      <c r="LZ29" s="271">
        <v>16671660.969999997</v>
      </c>
      <c r="MA29" s="271">
        <v>14147011.51</v>
      </c>
      <c r="MB29" s="271">
        <v>7019851.4950000001</v>
      </c>
      <c r="MC29" s="271">
        <v>11355442.799999999</v>
      </c>
      <c r="MD29" s="271">
        <v>22640637.009999998</v>
      </c>
      <c r="ME29" s="271">
        <v>20165812.140000001</v>
      </c>
      <c r="MF29" s="271">
        <v>10033191.789999999</v>
      </c>
      <c r="MG29" s="271">
        <v>212770145.18000004</v>
      </c>
      <c r="MH29" s="271">
        <v>7871506.7800000012</v>
      </c>
      <c r="MI29" s="271">
        <v>4277000.2899999991</v>
      </c>
      <c r="MJ29" s="271">
        <v>4162825.0300000003</v>
      </c>
      <c r="MK29" s="271">
        <v>4359436.72</v>
      </c>
      <c r="ML29" s="271">
        <v>6195265.5899999999</v>
      </c>
      <c r="MM29" s="271">
        <v>7761078.419999999</v>
      </c>
      <c r="MN29" s="271">
        <v>8189269.7399999993</v>
      </c>
      <c r="MO29" s="271">
        <v>14013947.449999999</v>
      </c>
      <c r="MP29" s="271">
        <v>6721084.8799999999</v>
      </c>
      <c r="MQ29" s="271">
        <v>5864564.1199999992</v>
      </c>
      <c r="MR29" s="271">
        <v>9114544.8500000015</v>
      </c>
      <c r="MS29" s="271">
        <v>110897504.83999999</v>
      </c>
      <c r="MT29" s="271">
        <v>10067167.659999998</v>
      </c>
      <c r="MU29" s="271">
        <v>8555519.25</v>
      </c>
      <c r="MV29" s="271">
        <v>12452044.670000002</v>
      </c>
      <c r="MW29" s="271">
        <v>6486502.2000000002</v>
      </c>
      <c r="MX29" s="271">
        <v>1390903.33</v>
      </c>
      <c r="MY29" s="271">
        <v>31436506.831699997</v>
      </c>
      <c r="MZ29" s="271">
        <v>19306633.599999998</v>
      </c>
      <c r="NA29" s="271">
        <v>7859034.540000001</v>
      </c>
      <c r="NB29" s="271">
        <v>2353139.7800000003</v>
      </c>
      <c r="NC29" s="271">
        <v>2838125.6700000004</v>
      </c>
      <c r="ND29" s="271">
        <v>209265484.24999997</v>
      </c>
      <c r="NE29" s="271">
        <v>35645568.350000001</v>
      </c>
      <c r="NF29" s="271">
        <v>6742446.5099999998</v>
      </c>
      <c r="NG29" s="271">
        <v>93576008.239999995</v>
      </c>
      <c r="NH29" s="271">
        <v>3931080.6599999992</v>
      </c>
      <c r="NI29" s="271">
        <v>18187143.539999999</v>
      </c>
      <c r="NJ29" s="271">
        <v>48676847.200000003</v>
      </c>
      <c r="NK29" s="271">
        <v>43340747.879999995</v>
      </c>
      <c r="NL29" s="271">
        <v>3321984.67</v>
      </c>
      <c r="NM29" s="271">
        <v>10082789.888899999</v>
      </c>
      <c r="NN29" s="271">
        <v>10743231.649999999</v>
      </c>
      <c r="NO29" s="271">
        <v>8445147.7599999998</v>
      </c>
      <c r="NP29" s="271">
        <v>74524415.680000007</v>
      </c>
      <c r="NQ29" s="271">
        <v>3894631.75</v>
      </c>
      <c r="NR29" s="271">
        <v>4673336.2699999996</v>
      </c>
      <c r="NS29" s="271">
        <v>4118674.24</v>
      </c>
      <c r="NT29" s="271">
        <v>2750762.96</v>
      </c>
      <c r="NU29" s="271">
        <v>1160036.2299999997</v>
      </c>
      <c r="NV29" s="271">
        <v>3431294.8699999992</v>
      </c>
      <c r="NW29" s="271">
        <v>138047294.95999998</v>
      </c>
      <c r="NX29" s="271">
        <v>40315467.839999996</v>
      </c>
      <c r="NY29" s="271">
        <v>5577864.6400000006</v>
      </c>
      <c r="NZ29" s="271">
        <v>3632711.09</v>
      </c>
      <c r="OA29" s="271">
        <v>5886312.3500000006</v>
      </c>
      <c r="OB29" s="271">
        <v>12514246.560000001</v>
      </c>
      <c r="OC29" s="271">
        <v>3236223.9699999997</v>
      </c>
      <c r="OD29" s="271">
        <v>101245926.27999999</v>
      </c>
      <c r="OE29" s="271">
        <v>51750044.359999999</v>
      </c>
      <c r="OF29" s="271">
        <v>19253564.160000008</v>
      </c>
      <c r="OG29" s="271">
        <v>46662832.090000004</v>
      </c>
      <c r="OH29" s="271">
        <v>7846460.9900000012</v>
      </c>
      <c r="OI29" s="271">
        <v>6749472.1200000001</v>
      </c>
      <c r="OJ29" s="271">
        <v>8131322.6699999999</v>
      </c>
      <c r="OK29" s="271">
        <v>1760274.72</v>
      </c>
      <c r="OL29" s="271">
        <v>3725669.79</v>
      </c>
      <c r="OM29" s="271">
        <v>127968355.29000001</v>
      </c>
      <c r="ON29" s="271">
        <v>33919132.220000006</v>
      </c>
      <c r="OO29" s="271">
        <v>42953063.869999997</v>
      </c>
      <c r="OP29" s="271">
        <v>12878773</v>
      </c>
      <c r="OQ29" s="271">
        <v>10319609.49</v>
      </c>
      <c r="OR29" s="271">
        <v>7174854.8900000006</v>
      </c>
      <c r="OS29" s="271">
        <v>76076019.430000007</v>
      </c>
      <c r="OT29" s="271">
        <v>5027901.870000001</v>
      </c>
      <c r="OU29" s="271">
        <v>8557449.2100000009</v>
      </c>
      <c r="OV29" s="271">
        <v>12884448.48</v>
      </c>
      <c r="OW29" s="271">
        <v>8776628.1099999994</v>
      </c>
      <c r="OX29" s="271">
        <v>26292246.979999997</v>
      </c>
      <c r="OY29" s="271">
        <v>6603017.0799999991</v>
      </c>
      <c r="OZ29" s="271">
        <v>5366765.6100000003</v>
      </c>
      <c r="PA29" s="271">
        <v>7531533.7299999995</v>
      </c>
      <c r="PB29" s="271">
        <v>56475595.769999996</v>
      </c>
      <c r="PC29" s="271">
        <v>4031773.6500000004</v>
      </c>
      <c r="PD29" s="271">
        <v>9238470.3000000026</v>
      </c>
      <c r="PE29" s="271">
        <v>2868055.5700000003</v>
      </c>
      <c r="PF29" s="271">
        <v>6646601.5599999996</v>
      </c>
      <c r="PG29" s="271">
        <v>20987498.149999999</v>
      </c>
      <c r="PH29" s="271">
        <v>3705793.5900000003</v>
      </c>
      <c r="PI29" s="271">
        <v>3635334.3099999996</v>
      </c>
      <c r="PJ29" s="271">
        <v>7862389.129999999</v>
      </c>
      <c r="PK29" s="271">
        <v>7134148.6599999992</v>
      </c>
      <c r="PL29" s="271">
        <v>7071185.9700000007</v>
      </c>
      <c r="PM29" s="271">
        <v>16666382.149999995</v>
      </c>
      <c r="PN29" s="271">
        <v>4495672.0500000007</v>
      </c>
      <c r="PO29" s="271">
        <v>29014052.870000001</v>
      </c>
      <c r="PP29" s="271">
        <v>5818302.879999999</v>
      </c>
      <c r="PQ29" s="271">
        <v>5179410.3600000003</v>
      </c>
      <c r="PR29" s="271">
        <v>3094453.28</v>
      </c>
      <c r="PS29" s="271">
        <v>4744376.74</v>
      </c>
      <c r="PT29" s="271">
        <v>351843098.76999998</v>
      </c>
      <c r="PU29" s="271">
        <v>8997270.040000001</v>
      </c>
      <c r="PV29" s="271">
        <v>5277734.3100000005</v>
      </c>
      <c r="PW29" s="271">
        <v>7731563.8799999999</v>
      </c>
      <c r="PX29" s="271">
        <v>89371767.179999992</v>
      </c>
      <c r="PY29" s="271">
        <v>8956805.9900000002</v>
      </c>
      <c r="PZ29" s="271">
        <v>16040402</v>
      </c>
      <c r="QA29" s="271">
        <v>8476273.790000001</v>
      </c>
      <c r="QB29" s="271">
        <v>12830371.65</v>
      </c>
      <c r="QC29" s="271">
        <v>4091216.7600000002</v>
      </c>
      <c r="QD29" s="271">
        <v>11772140.890000001</v>
      </c>
      <c r="QE29" s="271">
        <v>4340852.26</v>
      </c>
      <c r="QF29" s="271">
        <v>5507239.7799999993</v>
      </c>
      <c r="QG29" s="271">
        <v>15122725.460000001</v>
      </c>
      <c r="QH29" s="271">
        <v>6839499.4000000004</v>
      </c>
      <c r="QI29" s="271">
        <v>11028322.160000004</v>
      </c>
      <c r="QJ29" s="271">
        <v>4044486.4200000004</v>
      </c>
      <c r="QK29" s="271">
        <v>5941730.4399999985</v>
      </c>
      <c r="QL29" s="271">
        <v>5295958.12</v>
      </c>
      <c r="QM29" s="271">
        <v>12991843.35</v>
      </c>
      <c r="QN29" s="271">
        <v>21455021.010000002</v>
      </c>
      <c r="QO29" s="271">
        <v>3016503.8400000003</v>
      </c>
      <c r="QP29" s="271">
        <v>3941613.7600000002</v>
      </c>
      <c r="QQ29" s="271">
        <v>2598711.9700000002</v>
      </c>
      <c r="QR29" s="271">
        <v>4340555.5299999993</v>
      </c>
      <c r="QS29" s="271">
        <v>3749205.7300000004</v>
      </c>
      <c r="QT29" s="271">
        <v>110094951.05999999</v>
      </c>
      <c r="QU29" s="271">
        <v>5110886.5000000009</v>
      </c>
      <c r="QV29" s="271">
        <v>14633068.65</v>
      </c>
      <c r="QW29" s="271">
        <v>6639220.8099999996</v>
      </c>
      <c r="QX29" s="271">
        <v>9297878.5900000017</v>
      </c>
      <c r="QY29" s="271">
        <v>27594101.91</v>
      </c>
      <c r="QZ29" s="271">
        <v>4286883.379999999</v>
      </c>
      <c r="RA29" s="271">
        <v>19581097.830000002</v>
      </c>
      <c r="RB29" s="271">
        <v>13013355.26</v>
      </c>
      <c r="RC29" s="271">
        <v>4167839.4600000004</v>
      </c>
      <c r="RD29" s="271">
        <v>5778790.8499999996</v>
      </c>
      <c r="RE29" s="271">
        <v>5156786.0999999996</v>
      </c>
      <c r="RF29" s="271">
        <v>5530932.1300000008</v>
      </c>
      <c r="RG29" s="271">
        <v>248120991.03000003</v>
      </c>
      <c r="RH29" s="271">
        <v>24980382.199999999</v>
      </c>
      <c r="RI29" s="271">
        <v>4950177.6800000006</v>
      </c>
      <c r="RJ29" s="271">
        <v>10615142.299999997</v>
      </c>
      <c r="RK29" s="271">
        <v>7443108.1499999994</v>
      </c>
      <c r="RL29" s="271">
        <v>10847648.140000002</v>
      </c>
      <c r="RM29" s="271">
        <v>27098700.470000006</v>
      </c>
      <c r="RN29" s="271">
        <v>5098578.0200000014</v>
      </c>
      <c r="RO29" s="271">
        <v>10539579.550000001</v>
      </c>
      <c r="RP29" s="271">
        <v>29048526.060000002</v>
      </c>
      <c r="RQ29" s="271">
        <v>21397409.16</v>
      </c>
      <c r="RR29" s="271">
        <v>5305412.3600000003</v>
      </c>
      <c r="RS29" s="271">
        <v>4941725.33</v>
      </c>
      <c r="RT29" s="271">
        <v>6427054.5899999999</v>
      </c>
      <c r="RU29" s="271">
        <v>5098719.0100000007</v>
      </c>
      <c r="RV29" s="271">
        <v>5645297.6100000003</v>
      </c>
      <c r="RW29" s="271">
        <v>4708699.92</v>
      </c>
      <c r="RX29" s="271">
        <v>5729003.5099999998</v>
      </c>
      <c r="RY29" s="271">
        <v>5124055.6100000003</v>
      </c>
      <c r="RZ29" s="271">
        <v>5445576.5</v>
      </c>
      <c r="SA29" s="271">
        <v>74604952.519999981</v>
      </c>
      <c r="SB29" s="271">
        <v>4755901.0100000007</v>
      </c>
      <c r="SC29" s="271">
        <v>3983279.86</v>
      </c>
      <c r="SD29" s="271">
        <v>5807025.8400000008</v>
      </c>
      <c r="SE29" s="271">
        <v>2869924.31</v>
      </c>
      <c r="SF29" s="271">
        <v>5313303.2800000012</v>
      </c>
      <c r="SG29" s="271">
        <v>5737752.29</v>
      </c>
      <c r="SH29" s="271">
        <v>11538499.699999999</v>
      </c>
      <c r="SI29" s="271">
        <v>3968999.2699999996</v>
      </c>
      <c r="SJ29" s="271">
        <v>10760259.449999999</v>
      </c>
      <c r="SK29" s="271">
        <v>19927812.370000001</v>
      </c>
      <c r="SL29" s="271">
        <v>5130816.9000000004</v>
      </c>
      <c r="SM29" s="271">
        <v>64374132.75999999</v>
      </c>
      <c r="SN29" s="271">
        <v>7467517.0300000003</v>
      </c>
      <c r="SO29" s="271">
        <v>6612809.290000001</v>
      </c>
      <c r="SP29" s="271">
        <v>14142415.09</v>
      </c>
      <c r="SQ29" s="271">
        <v>6623106.4299999997</v>
      </c>
      <c r="SR29" s="271">
        <v>8090551.2799999993</v>
      </c>
      <c r="SS29" s="271">
        <v>3543081.32</v>
      </c>
      <c r="ST29" s="271">
        <v>4046435.34</v>
      </c>
      <c r="SU29" s="271">
        <v>96029350.900000021</v>
      </c>
      <c r="SV29" s="271">
        <v>6611588.46</v>
      </c>
      <c r="SW29" s="271">
        <v>8240905.1600000001</v>
      </c>
      <c r="SX29" s="271">
        <v>7213609.2599999998</v>
      </c>
      <c r="SY29" s="271">
        <v>3466433.98</v>
      </c>
      <c r="SZ29" s="271">
        <v>3793251.4900000007</v>
      </c>
      <c r="TA29" s="271">
        <v>6608867.7599999998</v>
      </c>
      <c r="TB29" s="271">
        <v>19057227.18</v>
      </c>
      <c r="TC29" s="271">
        <v>5926927.0899999999</v>
      </c>
      <c r="TD29" s="271">
        <v>6241767.8400000008</v>
      </c>
      <c r="TE29" s="271">
        <v>6342845.1999999993</v>
      </c>
      <c r="TF29" s="271">
        <v>11265437.77</v>
      </c>
      <c r="TG29" s="271">
        <v>7485781.6800000006</v>
      </c>
      <c r="TH29" s="271">
        <v>6136111.709999999</v>
      </c>
      <c r="TI29" s="271">
        <v>187063758.40000004</v>
      </c>
      <c r="TJ29" s="271">
        <v>8807396.5499999989</v>
      </c>
      <c r="TK29" s="271">
        <v>4430626.57</v>
      </c>
      <c r="TL29" s="271">
        <v>8706472.2499999981</v>
      </c>
      <c r="TM29" s="271">
        <v>12078580.099999998</v>
      </c>
      <c r="TN29" s="271">
        <v>7336593.5699999994</v>
      </c>
      <c r="TO29" s="271">
        <v>4704278.46</v>
      </c>
      <c r="TP29" s="271">
        <v>49781805.889999993</v>
      </c>
      <c r="TQ29" s="271">
        <v>7429470.9199999999</v>
      </c>
      <c r="TR29" s="271">
        <v>12311209.32</v>
      </c>
      <c r="TS29" s="271">
        <v>15084279.129999999</v>
      </c>
      <c r="TT29" s="271">
        <v>5181718.5200000005</v>
      </c>
      <c r="TU29" s="271">
        <v>5658469.7200000007</v>
      </c>
      <c r="TV29" s="271">
        <v>7552470.6800000006</v>
      </c>
      <c r="TW29" s="271">
        <v>6837228.3099999996</v>
      </c>
      <c r="TX29" s="271">
        <v>7410150.9000000004</v>
      </c>
      <c r="TY29" s="271">
        <v>50711954.990000002</v>
      </c>
      <c r="TZ29" s="271">
        <v>9488254.2499999981</v>
      </c>
      <c r="UA29" s="271">
        <v>86214352.890000001</v>
      </c>
      <c r="UB29" s="271">
        <v>17701137.850000005</v>
      </c>
      <c r="UC29" s="271">
        <v>4130015.55</v>
      </c>
      <c r="UD29" s="271">
        <v>15213905.59</v>
      </c>
      <c r="UE29" s="271">
        <v>74130817.50999999</v>
      </c>
      <c r="UF29" s="271">
        <v>3499557.8</v>
      </c>
      <c r="UG29" s="271">
        <v>5491039.0300000003</v>
      </c>
      <c r="UH29" s="271">
        <v>4987680.3299999991</v>
      </c>
      <c r="UI29" s="271">
        <v>7339171.0100000016</v>
      </c>
      <c r="UJ29" s="271">
        <v>60327193.57</v>
      </c>
      <c r="UK29" s="271">
        <v>10419281.769999998</v>
      </c>
      <c r="UL29" s="271">
        <v>9999749.0800000001</v>
      </c>
      <c r="UM29" s="271">
        <v>12091960.299999999</v>
      </c>
      <c r="UN29" s="271">
        <v>7161077.2600000007</v>
      </c>
      <c r="UO29" s="271">
        <v>10932177.100000001</v>
      </c>
      <c r="UP29" s="271">
        <v>204377789.51999998</v>
      </c>
      <c r="UQ29" s="271">
        <v>8432561.5000000019</v>
      </c>
      <c r="UR29" s="271">
        <v>4426531.6799999988</v>
      </c>
      <c r="US29" s="271">
        <v>46426526.43999999</v>
      </c>
      <c r="UT29" s="271">
        <v>3300087.2499999995</v>
      </c>
      <c r="UU29" s="271">
        <v>7163053.9999999991</v>
      </c>
      <c r="UV29" s="271">
        <v>21184108.98</v>
      </c>
      <c r="UW29" s="271">
        <v>5772317.8399999989</v>
      </c>
      <c r="UX29" s="271">
        <v>6638838.9299999997</v>
      </c>
      <c r="UY29" s="271">
        <v>5286889.5699999994</v>
      </c>
      <c r="UZ29" s="271">
        <v>7866095.3200000012</v>
      </c>
      <c r="VA29" s="271">
        <v>26819704.989999998</v>
      </c>
      <c r="VB29" s="271">
        <v>8352926.7000000002</v>
      </c>
      <c r="VC29" s="271">
        <v>20762101.379999995</v>
      </c>
      <c r="VD29" s="271">
        <v>4585016.1199999992</v>
      </c>
      <c r="VE29" s="271">
        <v>4091601.35</v>
      </c>
      <c r="VF29" s="271">
        <v>5602910.7499999991</v>
      </c>
      <c r="VG29" s="271">
        <v>3997437.6700000004</v>
      </c>
      <c r="VH29" s="271">
        <v>32884058.809999995</v>
      </c>
      <c r="VI29" s="271">
        <v>8500480.3100000005</v>
      </c>
      <c r="VJ29" s="271">
        <v>5859589.46</v>
      </c>
      <c r="VK29" s="271">
        <v>2769317.28</v>
      </c>
      <c r="VL29" s="271">
        <v>112706484.25000001</v>
      </c>
      <c r="VM29" s="271">
        <v>5288959.9200000009</v>
      </c>
      <c r="VN29" s="271">
        <v>6824582.4199999999</v>
      </c>
      <c r="VO29" s="271">
        <v>11895962.6</v>
      </c>
      <c r="VP29" s="271">
        <v>7271902.8599999994</v>
      </c>
      <c r="VQ29" s="271">
        <v>12238414.879999999</v>
      </c>
      <c r="VR29" s="271">
        <v>7950703.959999999</v>
      </c>
      <c r="VS29" s="271">
        <v>6031650.3199999984</v>
      </c>
      <c r="VT29" s="271">
        <v>6402026.9400000004</v>
      </c>
      <c r="VU29" s="271">
        <v>29643679.670000002</v>
      </c>
      <c r="VV29" s="271">
        <v>6848682.1099999985</v>
      </c>
      <c r="VW29" s="271">
        <v>13716826.220000003</v>
      </c>
      <c r="VX29" s="271">
        <v>10166748.110000001</v>
      </c>
      <c r="VY29" s="271">
        <v>5795839.7199999997</v>
      </c>
      <c r="VZ29" s="271">
        <v>4559729.67</v>
      </c>
      <c r="WA29" s="271">
        <v>396716267.44</v>
      </c>
      <c r="WB29" s="271">
        <v>12865653.09</v>
      </c>
      <c r="WC29" s="271">
        <v>7193827.7899999991</v>
      </c>
      <c r="WD29" s="271">
        <v>7017196.4400000013</v>
      </c>
      <c r="WE29" s="271">
        <v>6239089.2000000002</v>
      </c>
      <c r="WF29" s="271">
        <v>12411043.750000002</v>
      </c>
      <c r="WG29" s="271">
        <v>22587633.710000001</v>
      </c>
      <c r="WH29" s="271">
        <v>14422982.930000002</v>
      </c>
      <c r="WI29" s="271">
        <v>12304753.359999999</v>
      </c>
      <c r="WJ29" s="271">
        <v>12602881.32</v>
      </c>
      <c r="WK29" s="271">
        <v>3940208.9199999995</v>
      </c>
      <c r="WL29" s="271">
        <v>39996634.160000004</v>
      </c>
      <c r="WM29" s="271">
        <v>13600383.199999999</v>
      </c>
      <c r="WN29" s="271">
        <v>23569415.760000005</v>
      </c>
      <c r="WO29" s="271">
        <v>28952724.539999999</v>
      </c>
      <c r="WP29" s="271">
        <v>8450937.0200000014</v>
      </c>
      <c r="WQ29" s="271">
        <v>9136380.75</v>
      </c>
      <c r="WR29" s="271">
        <v>8851901.4000000004</v>
      </c>
      <c r="WS29" s="271">
        <v>8091669.79</v>
      </c>
      <c r="WT29" s="271">
        <v>18658972.010000002</v>
      </c>
      <c r="WU29" s="271">
        <v>64535688.790000007</v>
      </c>
      <c r="WV29" s="271">
        <v>5499644.0099999998</v>
      </c>
      <c r="WW29" s="271">
        <v>4053908.37</v>
      </c>
      <c r="WX29" s="271">
        <v>17326077.409999996</v>
      </c>
      <c r="WY29" s="271">
        <v>9259460.9400000013</v>
      </c>
      <c r="WZ29" s="271">
        <v>11568720.620000003</v>
      </c>
      <c r="XA29" s="271">
        <v>6237249.9900000002</v>
      </c>
      <c r="XB29" s="271">
        <v>13150285.109999999</v>
      </c>
      <c r="XC29" s="271">
        <v>44424300.670000002</v>
      </c>
      <c r="XD29" s="271">
        <v>6729512.7999999989</v>
      </c>
      <c r="XE29" s="271">
        <v>6850572.1400000006</v>
      </c>
      <c r="XF29" s="271">
        <v>6222168.1600000001</v>
      </c>
      <c r="XG29" s="271">
        <v>4343350.1499999994</v>
      </c>
      <c r="XH29" s="271">
        <v>172167587.07999998</v>
      </c>
      <c r="XI29" s="271">
        <v>16978182.449999999</v>
      </c>
      <c r="XJ29" s="271">
        <v>10390209.000000002</v>
      </c>
      <c r="XK29" s="271">
        <v>50332755.659999996</v>
      </c>
      <c r="XL29" s="271">
        <v>10094265.34</v>
      </c>
      <c r="XM29" s="271">
        <v>14480377.609999998</v>
      </c>
      <c r="XN29" s="271">
        <v>24204323.649999999</v>
      </c>
      <c r="XO29" s="271">
        <v>10379625.32</v>
      </c>
      <c r="XP29" s="271">
        <v>6355120.4399999985</v>
      </c>
      <c r="XQ29" s="271">
        <v>28929423.609999999</v>
      </c>
      <c r="XR29" s="271">
        <v>20535829.739999998</v>
      </c>
      <c r="XS29" s="271">
        <v>5842372.0599999996</v>
      </c>
      <c r="XT29" s="271">
        <v>6066740.8399999999</v>
      </c>
      <c r="XU29" s="271">
        <v>7651927.9500000002</v>
      </c>
      <c r="XV29" s="271">
        <v>6939759.3700000001</v>
      </c>
      <c r="XW29" s="271">
        <v>5358754.0599999996</v>
      </c>
      <c r="XX29" s="271">
        <v>5056687.8999999985</v>
      </c>
      <c r="XY29" s="271">
        <v>7174971.3500000006</v>
      </c>
      <c r="XZ29" s="271">
        <v>5353571.1999999983</v>
      </c>
      <c r="YA29" s="271">
        <v>6008754.8000000007</v>
      </c>
      <c r="YB29" s="271">
        <v>5351405.28</v>
      </c>
      <c r="YC29" s="271">
        <v>6487416.8500000006</v>
      </c>
      <c r="YD29" s="271">
        <v>6187702.1100000003</v>
      </c>
      <c r="YE29" s="271">
        <v>82366486.850000009</v>
      </c>
      <c r="YF29" s="271">
        <v>8559577.7799999975</v>
      </c>
      <c r="YG29" s="271">
        <v>17950682.68</v>
      </c>
      <c r="YH29" s="271">
        <v>10233277.960000001</v>
      </c>
      <c r="YI29" s="271">
        <v>11084196.65</v>
      </c>
      <c r="YJ29" s="271">
        <v>13240714.263999999</v>
      </c>
      <c r="YK29" s="271">
        <v>16677519.35</v>
      </c>
      <c r="YL29" s="271">
        <v>7062322.1600000001</v>
      </c>
      <c r="YM29" s="271">
        <v>32587044.830000002</v>
      </c>
      <c r="YN29" s="271">
        <v>22548427.960000001</v>
      </c>
      <c r="YO29" s="271">
        <v>14151875.120000003</v>
      </c>
      <c r="YP29" s="271">
        <v>7086638.3100000005</v>
      </c>
      <c r="YQ29" s="271">
        <v>5491480.4999999991</v>
      </c>
      <c r="YR29" s="271">
        <v>10178285.779999999</v>
      </c>
      <c r="YS29" s="271">
        <v>5886292.8099999996</v>
      </c>
      <c r="YT29" s="271">
        <v>7429133.4100000001</v>
      </c>
      <c r="YU29" s="271">
        <v>8025435.4500000002</v>
      </c>
      <c r="YV29" s="271">
        <v>69823241.519999996</v>
      </c>
      <c r="YW29" s="271">
        <v>6425088.5299999984</v>
      </c>
      <c r="YX29" s="271">
        <v>7326831.1199999982</v>
      </c>
      <c r="YY29" s="271">
        <v>6213184.6799999988</v>
      </c>
      <c r="YZ29" s="271">
        <v>7497693.3399999989</v>
      </c>
      <c r="ZA29" s="271">
        <v>4850247.1100000003</v>
      </c>
      <c r="ZB29" s="271">
        <v>4919149.2800000012</v>
      </c>
      <c r="ZC29" s="271">
        <v>67968669.000000015</v>
      </c>
      <c r="ZD29" s="271">
        <v>4537997.6100000003</v>
      </c>
      <c r="ZE29" s="271">
        <v>6954283.049999998</v>
      </c>
      <c r="ZF29" s="271">
        <v>8845381.0600000005</v>
      </c>
      <c r="ZG29" s="271">
        <v>4512022.6500000004</v>
      </c>
      <c r="ZH29" s="271">
        <v>5102834.2199999988</v>
      </c>
      <c r="ZI29" s="271">
        <v>6410324.7199999997</v>
      </c>
      <c r="ZJ29" s="271">
        <v>5602514.8999999994</v>
      </c>
      <c r="ZK29" s="271">
        <v>16851095.470000003</v>
      </c>
      <c r="ZL29" s="271">
        <v>148137763.55000004</v>
      </c>
      <c r="ZM29" s="271">
        <v>7778899.1100000013</v>
      </c>
      <c r="ZN29" s="271">
        <v>15618928.33</v>
      </c>
      <c r="ZO29" s="271">
        <v>52066216.970000006</v>
      </c>
      <c r="ZP29" s="271">
        <v>15381450.559999999</v>
      </c>
      <c r="ZQ29" s="271">
        <v>6268928.25</v>
      </c>
      <c r="ZR29" s="271">
        <v>7084869.96</v>
      </c>
      <c r="ZS29" s="271">
        <v>23173193.430000003</v>
      </c>
      <c r="ZT29" s="271">
        <v>15849946.67</v>
      </c>
      <c r="ZU29" s="271">
        <v>25923221.130000003</v>
      </c>
      <c r="ZV29" s="271">
        <v>4497628.7</v>
      </c>
      <c r="ZW29" s="271">
        <v>8056130.1500000004</v>
      </c>
      <c r="ZX29" s="271">
        <v>3603278</v>
      </c>
      <c r="ZY29" s="271">
        <v>7043230.5199999996</v>
      </c>
      <c r="ZZ29" s="271">
        <v>6604681.9099999992</v>
      </c>
      <c r="AAA29" s="271">
        <v>6621749.2599999998</v>
      </c>
      <c r="AAB29" s="271">
        <v>7047826.620000001</v>
      </c>
      <c r="AAC29" s="271">
        <v>5220100.96</v>
      </c>
      <c r="AAD29" s="271">
        <v>10898501.700000001</v>
      </c>
      <c r="AAE29" s="271">
        <v>8062704.1499999985</v>
      </c>
      <c r="AAF29" s="271">
        <v>5845868.1799999997</v>
      </c>
      <c r="AAG29" s="271">
        <v>5778646.7000000002</v>
      </c>
      <c r="AAH29" s="271">
        <v>22962634.18</v>
      </c>
      <c r="AAI29" s="271">
        <v>6893217.1100000013</v>
      </c>
      <c r="AAJ29" s="271">
        <v>4891769.33</v>
      </c>
      <c r="AAK29" s="271">
        <v>5322529.96</v>
      </c>
      <c r="AAL29" s="271">
        <v>4669398.8499999996</v>
      </c>
      <c r="AAM29" s="271">
        <v>7846991.8799999999</v>
      </c>
      <c r="AAN29" s="271">
        <v>5735525.5</v>
      </c>
      <c r="AAO29" s="271">
        <v>299286663.35999995</v>
      </c>
      <c r="AAP29" s="271">
        <v>7537424.830000001</v>
      </c>
      <c r="AAQ29" s="271">
        <v>5981682.3700000001</v>
      </c>
      <c r="AAR29" s="271">
        <v>13906710.199999999</v>
      </c>
      <c r="AAS29" s="271">
        <v>11839208.729999997</v>
      </c>
      <c r="AAT29" s="271">
        <v>4620015.3000000007</v>
      </c>
      <c r="AAU29" s="271">
        <v>6186142.1899999995</v>
      </c>
      <c r="AAV29" s="271">
        <v>17219074.099999998</v>
      </c>
      <c r="AAW29" s="271">
        <v>31939939.319999997</v>
      </c>
      <c r="AAX29" s="271">
        <v>6868656.8499999996</v>
      </c>
      <c r="AAY29" s="271">
        <v>9773629.8399999999</v>
      </c>
      <c r="AAZ29" s="271">
        <v>54814088.349999987</v>
      </c>
      <c r="ABA29" s="271">
        <v>31937532.560000002</v>
      </c>
      <c r="ABB29" s="271">
        <v>6180243.2399999993</v>
      </c>
      <c r="ABC29" s="271">
        <v>12153385.279999999</v>
      </c>
      <c r="ABD29" s="271">
        <v>6396656.3200000003</v>
      </c>
      <c r="ABE29" s="271">
        <v>4021062.4199999995</v>
      </c>
      <c r="ABF29" s="271">
        <v>6070496.9699999997</v>
      </c>
      <c r="ABG29" s="271">
        <v>5154070.6900000004</v>
      </c>
      <c r="ABH29" s="271">
        <v>62193672.460000001</v>
      </c>
      <c r="ABI29" s="271">
        <v>55836350.370000005</v>
      </c>
      <c r="ABJ29" s="271">
        <v>6178466.54</v>
      </c>
      <c r="ABK29" s="271">
        <v>6725341.1900000004</v>
      </c>
      <c r="ABL29" s="271">
        <v>7154751.9399999995</v>
      </c>
      <c r="ABM29" s="271">
        <v>7910212.0199999996</v>
      </c>
      <c r="ABN29" s="271">
        <v>6877902.3499999996</v>
      </c>
      <c r="ABO29" s="271">
        <v>94332277.700000003</v>
      </c>
      <c r="ABP29" s="271">
        <v>6483828.8900000015</v>
      </c>
      <c r="ABQ29" s="271">
        <v>9122322.1899999995</v>
      </c>
      <c r="ABR29" s="271">
        <v>12188995.300000001</v>
      </c>
      <c r="ABS29" s="271">
        <v>9754930.9600000009</v>
      </c>
      <c r="ABT29" s="271">
        <v>6315149.4199999999</v>
      </c>
      <c r="ABU29" s="271">
        <v>6507451.0599999996</v>
      </c>
      <c r="ABV29" s="271">
        <v>8728338.0999999996</v>
      </c>
      <c r="ABW29" s="271">
        <v>4069861.4199999995</v>
      </c>
      <c r="ABX29" s="271">
        <v>56696350.149999999</v>
      </c>
      <c r="ABY29" s="271">
        <v>3812210.7800000007</v>
      </c>
      <c r="ABZ29" s="271">
        <v>11165760.799999999</v>
      </c>
      <c r="ACA29" s="271">
        <v>4333050.3099999996</v>
      </c>
      <c r="ACB29" s="271">
        <v>3544083.6199999996</v>
      </c>
      <c r="ACC29" s="271">
        <v>22679379.169999998</v>
      </c>
      <c r="ACD29" s="271">
        <v>9367115.3100000024</v>
      </c>
      <c r="ACE29" s="271">
        <v>6605700.6600000011</v>
      </c>
      <c r="ACF29" s="271">
        <v>4399723.67</v>
      </c>
      <c r="ACG29" s="271">
        <v>4817760.6899999995</v>
      </c>
      <c r="ACH29" s="271">
        <v>3335648.14</v>
      </c>
      <c r="ACI29" s="271">
        <v>156359137.79000002</v>
      </c>
      <c r="ACJ29" s="271">
        <v>4042980.89</v>
      </c>
      <c r="ACK29" s="271">
        <v>8084542.580000001</v>
      </c>
      <c r="ACL29" s="271">
        <v>14490583.83</v>
      </c>
      <c r="ACM29" s="271">
        <v>5589182.089999998</v>
      </c>
      <c r="ACN29" s="271">
        <v>8437621.8200000003</v>
      </c>
      <c r="ACO29" s="271">
        <v>7908813.3900000006</v>
      </c>
      <c r="ACP29" s="271">
        <v>42621113.130000003</v>
      </c>
      <c r="ACQ29" s="271">
        <v>62512717.70000001</v>
      </c>
      <c r="ACR29" s="271">
        <v>6208791.6699999999</v>
      </c>
      <c r="ACS29" s="271">
        <v>4743948.72</v>
      </c>
      <c r="ACT29" s="271">
        <v>10194202.699999999</v>
      </c>
      <c r="ACU29" s="271">
        <v>11515440.75</v>
      </c>
      <c r="ACV29" s="271">
        <v>75301954.019999996</v>
      </c>
      <c r="ACW29" s="271">
        <v>7770735.6100000003</v>
      </c>
      <c r="ACX29" s="271">
        <v>8700443.459999999</v>
      </c>
      <c r="ACY29" s="271">
        <v>5575207.7999999989</v>
      </c>
      <c r="ACZ29" s="271">
        <v>5654367.3600000013</v>
      </c>
      <c r="ADA29" s="271">
        <v>5639180.2999999989</v>
      </c>
      <c r="ADB29" s="271">
        <v>6846889.8900000006</v>
      </c>
      <c r="ADC29" s="271">
        <v>7129426.790000001</v>
      </c>
      <c r="ADD29" s="271">
        <v>3860593.8600000003</v>
      </c>
      <c r="ADE29" s="271">
        <v>6734356.4500000002</v>
      </c>
      <c r="ADF29" s="271">
        <v>32062367.960000001</v>
      </c>
      <c r="ADG29" s="271">
        <v>28804385.059999999</v>
      </c>
      <c r="ADH29" s="271">
        <v>15810163.159999998</v>
      </c>
      <c r="ADI29" s="271">
        <v>3497325</v>
      </c>
      <c r="ADJ29" s="271">
        <v>3882435.74</v>
      </c>
      <c r="ADK29" s="271">
        <v>2840261.59</v>
      </c>
      <c r="ADL29" s="271">
        <v>8003722.7699999996</v>
      </c>
      <c r="ADM29" s="271">
        <v>2394185.83</v>
      </c>
      <c r="ADN29" s="271">
        <v>5447477</v>
      </c>
      <c r="ADO29" s="271">
        <v>175437428.97999999</v>
      </c>
      <c r="ADP29" s="271">
        <v>34970387.140000001</v>
      </c>
      <c r="ADQ29" s="271">
        <v>22443914.490000002</v>
      </c>
      <c r="ADR29" s="271">
        <v>8357796.1099999994</v>
      </c>
      <c r="ADS29" s="271">
        <v>63479089.79999999</v>
      </c>
      <c r="ADT29" s="271">
        <v>4341408.4300000006</v>
      </c>
      <c r="ADU29" s="271">
        <v>5504823.5</v>
      </c>
      <c r="ADV29" s="271">
        <v>11162258.34</v>
      </c>
      <c r="ADW29" s="271">
        <v>3639558.12</v>
      </c>
      <c r="ADX29" s="271">
        <v>3410521.76</v>
      </c>
      <c r="ADY29" s="271">
        <v>215093334.28</v>
      </c>
      <c r="ADZ29" s="271">
        <v>28118990.91</v>
      </c>
      <c r="AEA29" s="271">
        <v>27598282.900000002</v>
      </c>
      <c r="AEB29" s="271">
        <v>10106428.200000001</v>
      </c>
      <c r="AEC29" s="271">
        <v>4208610.78</v>
      </c>
      <c r="AED29" s="271">
        <v>8903462.1600000001</v>
      </c>
      <c r="AEE29" s="271">
        <v>9582630.6100000013</v>
      </c>
      <c r="AEF29" s="271">
        <v>9330476.8100000005</v>
      </c>
      <c r="AEG29" s="271">
        <v>8240918.2600000007</v>
      </c>
      <c r="AEH29" s="271">
        <v>5478279.0799999991</v>
      </c>
      <c r="AEI29" s="271">
        <v>4258591.88</v>
      </c>
      <c r="AEJ29" s="271">
        <v>10315853.520000001</v>
      </c>
      <c r="AEK29" s="271">
        <v>4392074.97</v>
      </c>
      <c r="AEL29" s="271">
        <v>4626456.0699999994</v>
      </c>
      <c r="AEM29" s="271">
        <v>7449041.4199999999</v>
      </c>
      <c r="AEN29" s="271">
        <v>8027545.7000000011</v>
      </c>
      <c r="AEO29" s="271">
        <v>4988790.54</v>
      </c>
      <c r="AEP29" s="271">
        <v>20206279.449999999</v>
      </c>
      <c r="AEQ29" s="271">
        <v>6590686.5</v>
      </c>
      <c r="AER29" s="271">
        <v>26726378.809999999</v>
      </c>
      <c r="AES29" s="271">
        <v>147139242.77000001</v>
      </c>
      <c r="AET29" s="271">
        <v>11506241.060000001</v>
      </c>
      <c r="AEU29" s="271">
        <v>13929666.25</v>
      </c>
      <c r="AEV29" s="271">
        <v>9458894.2600000016</v>
      </c>
      <c r="AEW29" s="271">
        <v>5509965.1100000003</v>
      </c>
      <c r="AEX29" s="271">
        <v>20501830.879999999</v>
      </c>
      <c r="AEY29" s="271">
        <v>5653702.7999999998</v>
      </c>
      <c r="AEZ29" s="271">
        <v>8060383.8900000006</v>
      </c>
      <c r="AFA29" s="271">
        <v>4977946.5799999991</v>
      </c>
      <c r="AFB29" s="271">
        <v>7375256.2999999998</v>
      </c>
      <c r="AFC29" s="271">
        <v>124411828.00000001</v>
      </c>
      <c r="AFD29" s="271">
        <v>67863809.599999994</v>
      </c>
      <c r="AFE29" s="271">
        <v>17777499.949999999</v>
      </c>
      <c r="AFF29" s="271">
        <v>11881173.790000001</v>
      </c>
      <c r="AFG29" s="271">
        <v>13766194.650000004</v>
      </c>
      <c r="AFH29" s="271">
        <v>11205524.290000001</v>
      </c>
      <c r="AFI29" s="271">
        <v>6989086.7299999986</v>
      </c>
      <c r="AFJ29" s="271">
        <v>6244820.3699999992</v>
      </c>
      <c r="AFK29" s="271">
        <v>7263342.1100000031</v>
      </c>
      <c r="AFL29" s="271">
        <v>6309084.8500000006</v>
      </c>
      <c r="AFM29" s="271">
        <v>5410482.5899999989</v>
      </c>
      <c r="AFN29" s="271">
        <v>10165792.029999999</v>
      </c>
      <c r="AFO29" s="271">
        <v>16183818.749999996</v>
      </c>
      <c r="AFP29" s="271">
        <v>97523778.159999996</v>
      </c>
      <c r="AFQ29" s="271">
        <v>10303416.889999999</v>
      </c>
      <c r="AFR29" s="271">
        <v>4598064.6099999994</v>
      </c>
      <c r="AFS29" s="271">
        <v>6325574.8299999991</v>
      </c>
      <c r="AFT29" s="271">
        <v>7080892.7000000011</v>
      </c>
      <c r="AFU29" s="271">
        <v>6173773.8600000003</v>
      </c>
      <c r="AFV29" s="271">
        <v>6290221.1700000009</v>
      </c>
      <c r="AFW29" s="271">
        <v>12413831.970000001</v>
      </c>
      <c r="AFX29" s="271">
        <v>13727557.209999999</v>
      </c>
      <c r="AFY29" s="271">
        <v>5987165.2899999991</v>
      </c>
      <c r="AFZ29" s="271">
        <v>19339331.850000001</v>
      </c>
      <c r="AGA29" s="271">
        <v>6147830.2200000016</v>
      </c>
      <c r="AGB29" s="271">
        <v>74276787.870000005</v>
      </c>
      <c r="AGC29" s="271">
        <v>6200889.8000000007</v>
      </c>
      <c r="AGD29" s="271">
        <v>4835061.7599999998</v>
      </c>
      <c r="AGE29" s="271">
        <v>4385772.9899999993</v>
      </c>
      <c r="AGF29" s="271">
        <v>18934467.069999997</v>
      </c>
      <c r="AGG29" s="271">
        <v>6009942.6700000009</v>
      </c>
      <c r="AGH29" s="271">
        <v>2811041.4399999995</v>
      </c>
      <c r="AGI29" s="271">
        <v>4234989.83</v>
      </c>
      <c r="AGJ29" s="271">
        <v>3829733.0500000003</v>
      </c>
      <c r="AGK29" s="271">
        <v>4835214.28</v>
      </c>
      <c r="AGL29" s="271">
        <v>7517467.71</v>
      </c>
      <c r="AGM29" s="271">
        <v>204216046.89999995</v>
      </c>
      <c r="AGN29" s="271">
        <v>37508336.770000003</v>
      </c>
      <c r="AGO29" s="271">
        <v>9781225.4699999988</v>
      </c>
      <c r="AGP29" s="271">
        <v>5618601.8900000015</v>
      </c>
      <c r="AGQ29" s="271">
        <v>17270076.030000001</v>
      </c>
      <c r="AGR29" s="271">
        <v>17525086.399999999</v>
      </c>
      <c r="AGS29" s="271">
        <v>7617446.4900000012</v>
      </c>
      <c r="AGT29" s="271">
        <v>6236460.3599999994</v>
      </c>
      <c r="AGU29" s="271">
        <v>218329589.75999996</v>
      </c>
      <c r="AGV29" s="271">
        <v>104386042.80999999</v>
      </c>
      <c r="AGW29" s="271">
        <v>7898767.9099999983</v>
      </c>
      <c r="AGX29" s="271">
        <v>12385120.219999999</v>
      </c>
      <c r="AGY29" s="271">
        <v>31967414.630000006</v>
      </c>
      <c r="AGZ29" s="271">
        <v>12256858.050000001</v>
      </c>
      <c r="AHA29" s="271">
        <v>13230120.26</v>
      </c>
      <c r="AHB29" s="271">
        <v>8906364.6300000008</v>
      </c>
      <c r="AHC29" s="271">
        <v>3916671.04</v>
      </c>
      <c r="AHD29" s="271">
        <v>10237772.850000003</v>
      </c>
      <c r="AHE29" s="271">
        <v>16783000.129999999</v>
      </c>
      <c r="AHF29" s="271">
        <v>7996017.0800000001</v>
      </c>
      <c r="AHG29" s="271">
        <v>6639991.4499999993</v>
      </c>
      <c r="AHH29" s="271">
        <v>8912327.1399999969</v>
      </c>
      <c r="AHI29" s="271">
        <v>6046250.8699999992</v>
      </c>
      <c r="AHJ29" s="271">
        <v>4897689.2400000012</v>
      </c>
      <c r="AHK29" s="271">
        <v>8070146.6700000018</v>
      </c>
      <c r="AHL29" s="271">
        <v>48342134.31000001</v>
      </c>
      <c r="AHM29" s="271">
        <v>4244892.9700000007</v>
      </c>
      <c r="AHN29" s="271">
        <v>4382697.6100000003</v>
      </c>
      <c r="AHO29" s="271">
        <v>6996538.7700000005</v>
      </c>
      <c r="AHP29" s="271">
        <v>9864416.8499999996</v>
      </c>
      <c r="AHQ29" s="294">
        <v>4942033.4800000014</v>
      </c>
      <c r="AHR29" s="331">
        <v>5791200.2700000014</v>
      </c>
      <c r="AHS29" s="294">
        <f t="shared" si="18"/>
        <v>19061978611.479626</v>
      </c>
      <c r="AHT29" s="269" t="b">
        <f t="shared" si="1"/>
        <v>1</v>
      </c>
      <c r="AHU29" s="269" t="s">
        <v>39</v>
      </c>
    </row>
    <row r="30" spans="1:905" ht="23.4" customHeight="1" x14ac:dyDescent="0.7">
      <c r="B30" s="268" t="s">
        <v>667</v>
      </c>
      <c r="C30" s="269" t="s">
        <v>668</v>
      </c>
      <c r="D30" s="271">
        <v>2727118.74</v>
      </c>
      <c r="E30" s="271">
        <v>116230.95000000001</v>
      </c>
      <c r="F30" s="271">
        <v>649217.88</v>
      </c>
      <c r="G30" s="271">
        <v>15570.76</v>
      </c>
      <c r="H30" s="271">
        <v>421684.12</v>
      </c>
      <c r="I30" s="271">
        <v>236666.91</v>
      </c>
      <c r="J30" s="271">
        <v>228556.87</v>
      </c>
      <c r="K30" s="271">
        <v>47729.08</v>
      </c>
      <c r="L30" s="271">
        <v>19671.5</v>
      </c>
      <c r="M30" s="271">
        <v>66302.260000000009</v>
      </c>
      <c r="N30" s="271">
        <v>160169.24000000002</v>
      </c>
      <c r="O30" s="271">
        <v>100160.06</v>
      </c>
      <c r="P30" s="271">
        <v>96350.049999999988</v>
      </c>
      <c r="Q30" s="271">
        <v>101194.98000000001</v>
      </c>
      <c r="R30" s="271">
        <v>18576.28</v>
      </c>
      <c r="S30" s="271">
        <v>22854.95</v>
      </c>
      <c r="T30" s="271">
        <v>48860.639999999999</v>
      </c>
      <c r="U30" s="271">
        <v>25012.94</v>
      </c>
      <c r="V30" s="271">
        <v>21439980.940000001</v>
      </c>
      <c r="W30" s="271">
        <v>458996.1</v>
      </c>
      <c r="X30" s="271">
        <v>64162.710000000006</v>
      </c>
      <c r="Y30" s="271">
        <v>260825.49</v>
      </c>
      <c r="Z30" s="271">
        <v>77412.009999999995</v>
      </c>
      <c r="AA30" s="271">
        <v>19050.829999999998</v>
      </c>
      <c r="AB30" s="271">
        <v>14423.779999999999</v>
      </c>
      <c r="AC30" s="271">
        <v>908348.62</v>
      </c>
      <c r="AD30" s="271">
        <v>102719.82999999999</v>
      </c>
      <c r="AE30" s="271">
        <v>9251.23</v>
      </c>
      <c r="AF30" s="271">
        <v>664010.05999999994</v>
      </c>
      <c r="AG30" s="271">
        <v>43877.09</v>
      </c>
      <c r="AH30" s="271">
        <v>820597.8899999999</v>
      </c>
      <c r="AI30" s="271">
        <v>9473.26</v>
      </c>
      <c r="AJ30" s="271">
        <v>157546.71999999997</v>
      </c>
      <c r="AK30" s="271">
        <v>357612.63</v>
      </c>
      <c r="AL30" s="271">
        <v>336424.79</v>
      </c>
      <c r="AM30" s="271">
        <v>447156.63</v>
      </c>
      <c r="AN30" s="271">
        <v>87538.02</v>
      </c>
      <c r="AO30" s="271">
        <v>172516.98</v>
      </c>
      <c r="AP30" s="271">
        <v>22484.43</v>
      </c>
      <c r="AQ30" s="271">
        <v>16454.830000000002</v>
      </c>
      <c r="AR30" s="271">
        <v>14739.71</v>
      </c>
      <c r="AS30" s="271">
        <v>33340.44</v>
      </c>
      <c r="AT30" s="271">
        <v>6109802.2599999998</v>
      </c>
      <c r="AU30" s="271">
        <v>11601.039999999999</v>
      </c>
      <c r="AV30" s="271">
        <v>80836.100000000006</v>
      </c>
      <c r="AW30" s="271">
        <v>212906.74</v>
      </c>
      <c r="AX30" s="271">
        <v>226166.44</v>
      </c>
      <c r="AY30" s="271">
        <v>151726.91999999998</v>
      </c>
      <c r="AZ30" s="271">
        <v>74513.78</v>
      </c>
      <c r="BA30" s="271">
        <v>170861.96</v>
      </c>
      <c r="BB30" s="271">
        <v>76581.26999999999</v>
      </c>
      <c r="BC30" s="271">
        <v>15268.08</v>
      </c>
      <c r="BD30" s="271">
        <v>50527</v>
      </c>
      <c r="BE30" s="271">
        <v>107709.76999999999</v>
      </c>
      <c r="BF30" s="271">
        <v>726547.87</v>
      </c>
      <c r="BG30" s="271">
        <v>8938.18</v>
      </c>
      <c r="BH30" s="271">
        <v>496135.3</v>
      </c>
      <c r="BI30" s="271">
        <v>713592.83</v>
      </c>
      <c r="BJ30" s="271">
        <v>227413.40000000002</v>
      </c>
      <c r="BK30" s="271">
        <v>4188.96</v>
      </c>
      <c r="BL30" s="271">
        <v>2885.6000000000004</v>
      </c>
      <c r="BM30" s="271">
        <v>52141.54</v>
      </c>
      <c r="BN30" s="271">
        <v>2623.9</v>
      </c>
      <c r="BO30" s="271">
        <v>966.06999999999994</v>
      </c>
      <c r="BP30" s="271">
        <v>198.9</v>
      </c>
      <c r="BQ30" s="271">
        <v>19.5</v>
      </c>
      <c r="BR30" s="271">
        <v>172941.64</v>
      </c>
      <c r="BS30" s="271">
        <v>4455.66</v>
      </c>
      <c r="BT30" s="271">
        <v>10657.43</v>
      </c>
      <c r="BU30" s="271">
        <v>13084.21</v>
      </c>
      <c r="BV30" s="271">
        <v>4326</v>
      </c>
      <c r="BW30" s="271">
        <v>624.9</v>
      </c>
      <c r="BX30" s="271">
        <v>8082.3</v>
      </c>
      <c r="BY30" s="271">
        <v>5025.66</v>
      </c>
      <c r="BZ30" s="271">
        <v>20258104.590000004</v>
      </c>
      <c r="CA30" s="271">
        <v>2523875.5499999998</v>
      </c>
      <c r="CB30" s="271">
        <v>1570191.8499999996</v>
      </c>
      <c r="CC30" s="271">
        <v>4962272.75</v>
      </c>
      <c r="CD30" s="271">
        <v>195272.49999999997</v>
      </c>
      <c r="CE30" s="271">
        <v>1326401.81</v>
      </c>
      <c r="CF30" s="271">
        <v>4609826.0999999996</v>
      </c>
      <c r="CG30" s="271">
        <v>1104605.58</v>
      </c>
      <c r="CH30" s="271">
        <v>45818.31</v>
      </c>
      <c r="CI30" s="271">
        <v>689417.98</v>
      </c>
      <c r="CJ30" s="271">
        <v>25184.98</v>
      </c>
      <c r="CK30" s="271">
        <v>71251.100000000006</v>
      </c>
      <c r="CL30" s="271">
        <v>5947.25</v>
      </c>
      <c r="CM30" s="271">
        <v>14729.320000000002</v>
      </c>
      <c r="CN30" s="271">
        <v>4274.21</v>
      </c>
      <c r="CO30" s="271">
        <v>735.57</v>
      </c>
      <c r="CP30" s="271">
        <v>24239.19</v>
      </c>
      <c r="CQ30" s="271">
        <v>10201.570000000002</v>
      </c>
      <c r="CR30" s="271">
        <v>31022.690000000002</v>
      </c>
      <c r="CS30" s="271">
        <v>243.25</v>
      </c>
      <c r="CT30" s="271">
        <v>682001.45</v>
      </c>
      <c r="CU30" s="271">
        <v>31588.91</v>
      </c>
      <c r="CV30" s="271">
        <v>36713.380000000005</v>
      </c>
      <c r="CW30" s="271">
        <v>11892.31</v>
      </c>
      <c r="CX30" s="271">
        <v>23607.93</v>
      </c>
      <c r="CY30" s="271">
        <v>316743.00000000006</v>
      </c>
      <c r="CZ30" s="271">
        <v>13223.52</v>
      </c>
      <c r="DA30" s="271">
        <v>7846.62</v>
      </c>
      <c r="DB30" s="271">
        <v>11474212.35</v>
      </c>
      <c r="DC30" s="271">
        <v>2037739.87</v>
      </c>
      <c r="DD30" s="271">
        <v>45539.37000000001</v>
      </c>
      <c r="DE30" s="271">
        <v>63655.96</v>
      </c>
      <c r="DF30" s="271">
        <v>2751854.4400000004</v>
      </c>
      <c r="DG30" s="271">
        <v>144151.63</v>
      </c>
      <c r="DH30" s="271">
        <v>1608920.3499999999</v>
      </c>
      <c r="DI30" s="271">
        <v>580619.04</v>
      </c>
      <c r="DJ30" s="271">
        <v>26535.219999999998</v>
      </c>
      <c r="DK30" s="271">
        <v>44804604.599999994</v>
      </c>
      <c r="DL30" s="271">
        <v>96672.960000000006</v>
      </c>
      <c r="DM30" s="271">
        <v>101121.41</v>
      </c>
      <c r="DN30" s="271">
        <v>117588.16</v>
      </c>
      <c r="DO30" s="271">
        <v>246422.29</v>
      </c>
      <c r="DP30" s="271">
        <v>1721599.75</v>
      </c>
      <c r="DQ30" s="271">
        <v>1441199.8699999999</v>
      </c>
      <c r="DR30" s="271">
        <v>1557863.0799999998</v>
      </c>
      <c r="DS30" s="271">
        <v>548076.32999999996</v>
      </c>
      <c r="DT30" s="271">
        <v>24997.200000000001</v>
      </c>
      <c r="DU30" s="271">
        <v>620963.29999999993</v>
      </c>
      <c r="DV30" s="271">
        <v>135621.43</v>
      </c>
      <c r="DW30" s="271">
        <v>448788.57000000007</v>
      </c>
      <c r="DX30" s="271">
        <v>0</v>
      </c>
      <c r="DY30" s="271">
        <v>16640.240000000002</v>
      </c>
      <c r="DZ30" s="271">
        <v>28357.65</v>
      </c>
      <c r="EA30" s="271">
        <v>32060.420000000002</v>
      </c>
      <c r="EB30" s="271">
        <v>19473.719999999998</v>
      </c>
      <c r="EC30" s="271">
        <v>12282.390000000001</v>
      </c>
      <c r="ED30" s="271">
        <v>160750.08000000002</v>
      </c>
      <c r="EE30" s="271">
        <v>178817.76</v>
      </c>
      <c r="EF30" s="271">
        <v>225202.69</v>
      </c>
      <c r="EG30" s="271">
        <v>40897.15</v>
      </c>
      <c r="EH30" s="271">
        <v>5026.16</v>
      </c>
      <c r="EI30" s="271">
        <v>57692.38</v>
      </c>
      <c r="EJ30" s="271">
        <v>456833.9</v>
      </c>
      <c r="EK30" s="271">
        <v>118490.65</v>
      </c>
      <c r="EL30" s="271">
        <v>181677.18</v>
      </c>
      <c r="EM30" s="271">
        <v>0</v>
      </c>
      <c r="EN30" s="271">
        <v>697238.52</v>
      </c>
      <c r="EO30" s="271">
        <v>18090.670000000002</v>
      </c>
      <c r="EP30" s="271">
        <v>23156.720000000001</v>
      </c>
      <c r="EQ30" s="271">
        <v>53969.65</v>
      </c>
      <c r="ER30" s="271">
        <v>385.21999999999997</v>
      </c>
      <c r="ES30" s="271">
        <v>6148.82</v>
      </c>
      <c r="ET30" s="271">
        <v>75649.010000000009</v>
      </c>
      <c r="EU30" s="271">
        <v>532268.69000000006</v>
      </c>
      <c r="EV30" s="271">
        <v>116200.32000000001</v>
      </c>
      <c r="EW30" s="271">
        <v>15224260.23</v>
      </c>
      <c r="EX30" s="271">
        <v>150327.27000000002</v>
      </c>
      <c r="EY30" s="271">
        <v>71564.44</v>
      </c>
      <c r="EZ30" s="271">
        <v>377455.67000000004</v>
      </c>
      <c r="FA30" s="271">
        <v>38417.9</v>
      </c>
      <c r="FB30" s="271">
        <v>173486.74</v>
      </c>
      <c r="FC30" s="271">
        <v>26367.140000000003</v>
      </c>
      <c r="FD30" s="271">
        <v>54176.399999999994</v>
      </c>
      <c r="FE30" s="271">
        <v>50083.32</v>
      </c>
      <c r="FF30" s="271">
        <v>34163.589999999997</v>
      </c>
      <c r="FG30" s="271">
        <v>12525.920000000002</v>
      </c>
      <c r="FH30" s="271">
        <v>304732.64999999997</v>
      </c>
      <c r="FI30" s="271">
        <v>5171880</v>
      </c>
      <c r="FJ30" s="271">
        <v>0</v>
      </c>
      <c r="FK30" s="271">
        <v>89712.56</v>
      </c>
      <c r="FL30" s="271">
        <v>36655.07</v>
      </c>
      <c r="FM30" s="271">
        <v>431962.4</v>
      </c>
      <c r="FN30" s="271">
        <v>68626.320000000007</v>
      </c>
      <c r="FO30" s="271">
        <v>4144.1400000000003</v>
      </c>
      <c r="FP30" s="271">
        <v>6681.3799999999992</v>
      </c>
      <c r="FQ30" s="271">
        <v>1045816.83</v>
      </c>
      <c r="FR30" s="271">
        <v>0</v>
      </c>
      <c r="FS30" s="271">
        <v>11416.68</v>
      </c>
      <c r="FT30" s="271">
        <v>5878.46</v>
      </c>
      <c r="FU30" s="271">
        <v>0</v>
      </c>
      <c r="FV30" s="271">
        <v>20094.61</v>
      </c>
      <c r="FW30" s="271">
        <v>0</v>
      </c>
      <c r="FX30" s="271">
        <v>0</v>
      </c>
      <c r="FY30" s="271">
        <v>3154.43</v>
      </c>
      <c r="FZ30" s="271">
        <v>44200.6</v>
      </c>
      <c r="GA30" s="271">
        <v>24581.45</v>
      </c>
      <c r="GB30" s="271">
        <v>62321.869999999995</v>
      </c>
      <c r="GC30" s="271">
        <v>0</v>
      </c>
      <c r="GD30" s="271">
        <v>0</v>
      </c>
      <c r="GE30" s="271">
        <v>124620.89</v>
      </c>
      <c r="GF30" s="271">
        <v>128107.5</v>
      </c>
      <c r="GG30" s="271">
        <v>2530.59</v>
      </c>
      <c r="GH30" s="271">
        <v>0</v>
      </c>
      <c r="GI30" s="271">
        <v>700977.16999999993</v>
      </c>
      <c r="GJ30" s="271">
        <v>0</v>
      </c>
      <c r="GK30" s="271">
        <v>312511.82</v>
      </c>
      <c r="GL30" s="271">
        <v>3179.16</v>
      </c>
      <c r="GM30" s="271">
        <v>6813</v>
      </c>
      <c r="GN30" s="271">
        <v>12078.44</v>
      </c>
      <c r="GO30" s="271">
        <v>-75199.31</v>
      </c>
      <c r="GP30" s="271">
        <v>2812.58</v>
      </c>
      <c r="GQ30" s="271">
        <v>602850.12</v>
      </c>
      <c r="GR30" s="271">
        <v>37789.46</v>
      </c>
      <c r="GS30" s="271">
        <v>9194.2800000000007</v>
      </c>
      <c r="GT30" s="271">
        <v>170562.59999999998</v>
      </c>
      <c r="GU30" s="271">
        <v>3611.5700000000006</v>
      </c>
      <c r="GV30" s="271">
        <v>56525.08</v>
      </c>
      <c r="GW30" s="271">
        <v>67032.13</v>
      </c>
      <c r="GX30" s="271">
        <v>27769.37</v>
      </c>
      <c r="GY30" s="271">
        <v>14666854.160000002</v>
      </c>
      <c r="GZ30" s="271">
        <v>0</v>
      </c>
      <c r="HA30" s="271">
        <v>0</v>
      </c>
      <c r="HB30" s="271">
        <v>181593</v>
      </c>
      <c r="HC30" s="271">
        <v>1396690.17</v>
      </c>
      <c r="HD30" s="271">
        <v>9444.25</v>
      </c>
      <c r="HE30" s="271">
        <v>-165304.88</v>
      </c>
      <c r="HF30" s="271">
        <v>276678.93</v>
      </c>
      <c r="HG30" s="271">
        <v>0</v>
      </c>
      <c r="HH30" s="271">
        <v>0</v>
      </c>
      <c r="HI30" s="271">
        <v>182992.72999999998</v>
      </c>
      <c r="HJ30" s="271">
        <v>8192151.6500000004</v>
      </c>
      <c r="HK30" s="271">
        <v>162589.16</v>
      </c>
      <c r="HL30" s="271">
        <v>513083.79</v>
      </c>
      <c r="HM30" s="271">
        <v>400000</v>
      </c>
      <c r="HN30" s="271">
        <v>152834.15</v>
      </c>
      <c r="HO30" s="271">
        <v>42725.66</v>
      </c>
      <c r="HP30" s="271">
        <v>256326.43</v>
      </c>
      <c r="HQ30" s="271">
        <v>247846.06999999998</v>
      </c>
      <c r="HR30" s="271">
        <v>214893.09</v>
      </c>
      <c r="HS30" s="271">
        <v>12531.68</v>
      </c>
      <c r="HT30" s="271">
        <v>2954.4</v>
      </c>
      <c r="HU30" s="271">
        <v>-41758.21</v>
      </c>
      <c r="HV30" s="271">
        <v>55027.42</v>
      </c>
      <c r="HW30" s="271">
        <v>0</v>
      </c>
      <c r="HX30" s="271">
        <v>52381.440000000002</v>
      </c>
      <c r="HY30" s="271">
        <v>36491.64</v>
      </c>
      <c r="HZ30" s="271">
        <v>16040.5</v>
      </c>
      <c r="IA30" s="271">
        <v>79515.360000000001</v>
      </c>
      <c r="IB30" s="271">
        <v>2784.5</v>
      </c>
      <c r="IC30" s="271">
        <v>358407.62</v>
      </c>
      <c r="ID30" s="271">
        <v>6460.88</v>
      </c>
      <c r="IE30" s="271">
        <v>0</v>
      </c>
      <c r="IF30" s="271">
        <v>0</v>
      </c>
      <c r="IG30" s="271">
        <v>3810.88</v>
      </c>
      <c r="IH30" s="271">
        <v>7946659.8999999994</v>
      </c>
      <c r="II30" s="271">
        <v>173567.76</v>
      </c>
      <c r="IJ30" s="271">
        <v>20890.239999999998</v>
      </c>
      <c r="IK30" s="271">
        <v>25899.38</v>
      </c>
      <c r="IL30" s="271">
        <v>162461.75</v>
      </c>
      <c r="IM30" s="271">
        <v>13102.66</v>
      </c>
      <c r="IN30" s="271">
        <v>24288.670000000002</v>
      </c>
      <c r="IO30" s="271">
        <v>129323.74</v>
      </c>
      <c r="IP30" s="271">
        <v>74152.170000000013</v>
      </c>
      <c r="IQ30" s="271">
        <v>30013.309999999998</v>
      </c>
      <c r="IR30" s="271">
        <v>33376.18</v>
      </c>
      <c r="IS30" s="271">
        <v>29763798.75</v>
      </c>
      <c r="IT30" s="271">
        <v>0</v>
      </c>
      <c r="IU30" s="271">
        <v>209037.95</v>
      </c>
      <c r="IV30" s="271">
        <v>20461.38</v>
      </c>
      <c r="IW30" s="271">
        <v>271993</v>
      </c>
      <c r="IX30" s="271">
        <v>0</v>
      </c>
      <c r="IY30" s="271">
        <v>9379.0499999999993</v>
      </c>
      <c r="IZ30" s="271">
        <v>18990.86</v>
      </c>
      <c r="JA30" s="271">
        <v>24012.78</v>
      </c>
      <c r="JB30" s="271">
        <v>228264.52</v>
      </c>
      <c r="JC30" s="271">
        <v>143009.43</v>
      </c>
      <c r="JD30" s="271">
        <v>113941.98</v>
      </c>
      <c r="JE30" s="271">
        <v>9766861.9100000001</v>
      </c>
      <c r="JF30" s="271">
        <v>83868.850000000006</v>
      </c>
      <c r="JG30" s="271">
        <v>4654.42</v>
      </c>
      <c r="JH30" s="271">
        <v>9197.43</v>
      </c>
      <c r="JI30" s="271">
        <v>85.45</v>
      </c>
      <c r="JJ30" s="271">
        <v>20462.580000000002</v>
      </c>
      <c r="JK30" s="271">
        <v>2612808.3899999997</v>
      </c>
      <c r="JL30" s="271">
        <v>68925.539999999994</v>
      </c>
      <c r="JM30" s="271">
        <v>4358.28</v>
      </c>
      <c r="JN30" s="271">
        <v>20034.07</v>
      </c>
      <c r="JO30" s="271">
        <v>0</v>
      </c>
      <c r="JP30" s="271">
        <v>224663.25</v>
      </c>
      <c r="JQ30" s="271">
        <v>7983.8</v>
      </c>
      <c r="JR30" s="271">
        <v>20604659.460000001</v>
      </c>
      <c r="JS30" s="271">
        <v>0</v>
      </c>
      <c r="JT30" s="271">
        <v>730546</v>
      </c>
      <c r="JU30" s="271">
        <v>0</v>
      </c>
      <c r="JV30" s="271">
        <v>507830.22</v>
      </c>
      <c r="JW30" s="271">
        <v>0</v>
      </c>
      <c r="JX30" s="271">
        <v>159944.97</v>
      </c>
      <c r="JY30" s="271">
        <v>0</v>
      </c>
      <c r="JZ30" s="271">
        <v>0</v>
      </c>
      <c r="KA30" s="271">
        <v>0</v>
      </c>
      <c r="KB30" s="271">
        <v>0</v>
      </c>
      <c r="KC30" s="271">
        <v>0</v>
      </c>
      <c r="KD30" s="271">
        <v>0</v>
      </c>
      <c r="KE30" s="271">
        <v>326258.03000000003</v>
      </c>
      <c r="KF30" s="271">
        <v>0</v>
      </c>
      <c r="KG30" s="271">
        <v>0</v>
      </c>
      <c r="KH30" s="271">
        <v>3529668.21</v>
      </c>
      <c r="KI30" s="271">
        <v>2853.03</v>
      </c>
      <c r="KJ30" s="271">
        <v>0</v>
      </c>
      <c r="KK30" s="271">
        <v>23619.4</v>
      </c>
      <c r="KL30" s="271">
        <v>9522.4500000000007</v>
      </c>
      <c r="KM30" s="271">
        <v>145705.34</v>
      </c>
      <c r="KN30" s="271">
        <v>8718.9699999999993</v>
      </c>
      <c r="KO30" s="271">
        <v>203010.82</v>
      </c>
      <c r="KP30" s="271">
        <v>17572.25</v>
      </c>
      <c r="KQ30" s="271">
        <v>393169.06</v>
      </c>
      <c r="KR30" s="271">
        <v>21037.809999999998</v>
      </c>
      <c r="KS30" s="271">
        <v>68829.38</v>
      </c>
      <c r="KT30" s="271">
        <v>0</v>
      </c>
      <c r="KU30" s="271">
        <v>12315.2</v>
      </c>
      <c r="KV30" s="271">
        <v>390555.04000000004</v>
      </c>
      <c r="KW30" s="271">
        <v>619768.52</v>
      </c>
      <c r="KX30" s="271">
        <v>455410.05</v>
      </c>
      <c r="KY30" s="271">
        <v>525362.75</v>
      </c>
      <c r="KZ30" s="271">
        <v>0</v>
      </c>
      <c r="LA30" s="271">
        <v>18106</v>
      </c>
      <c r="LB30" s="271">
        <v>1691715.3499999999</v>
      </c>
      <c r="LC30" s="271">
        <v>0</v>
      </c>
      <c r="LD30" s="271">
        <v>0</v>
      </c>
      <c r="LE30" s="271">
        <v>0</v>
      </c>
      <c r="LF30" s="271">
        <v>0</v>
      </c>
      <c r="LG30" s="271">
        <v>7046262.2199999997</v>
      </c>
      <c r="LH30" s="271">
        <v>60050.31</v>
      </c>
      <c r="LI30" s="271">
        <v>19886.39</v>
      </c>
      <c r="LJ30" s="271">
        <v>1386892.13</v>
      </c>
      <c r="LK30" s="271">
        <v>35058.78</v>
      </c>
      <c r="LL30" s="271">
        <v>30355.68</v>
      </c>
      <c r="LM30" s="271">
        <v>117278.21</v>
      </c>
      <c r="LN30" s="271">
        <v>0</v>
      </c>
      <c r="LO30" s="271">
        <v>0</v>
      </c>
      <c r="LP30" s="271">
        <v>134034.54999999999</v>
      </c>
      <c r="LQ30" s="271">
        <v>0</v>
      </c>
      <c r="LR30" s="271">
        <v>20455</v>
      </c>
      <c r="LS30" s="271">
        <v>0</v>
      </c>
      <c r="LT30" s="271">
        <v>0</v>
      </c>
      <c r="LU30" s="271">
        <v>9913225.3600000013</v>
      </c>
      <c r="LV30" s="271">
        <v>1876518.2400000002</v>
      </c>
      <c r="LW30" s="271">
        <v>7095441.1900000004</v>
      </c>
      <c r="LX30" s="271">
        <v>25643.21</v>
      </c>
      <c r="LY30" s="271">
        <v>20065.66</v>
      </c>
      <c r="LZ30" s="271">
        <v>737399.11</v>
      </c>
      <c r="MA30" s="271">
        <v>24747</v>
      </c>
      <c r="MB30" s="271">
        <v>0</v>
      </c>
      <c r="MC30" s="271">
        <v>54639.12</v>
      </c>
      <c r="MD30" s="271">
        <v>58149.58</v>
      </c>
      <c r="ME30" s="271">
        <v>302929.64</v>
      </c>
      <c r="MF30" s="271">
        <v>0</v>
      </c>
      <c r="MG30" s="271">
        <v>15284691.319999998</v>
      </c>
      <c r="MH30" s="271">
        <v>209389.55</v>
      </c>
      <c r="MI30" s="271">
        <v>17398.16</v>
      </c>
      <c r="MJ30" s="271">
        <v>17655.829999999998</v>
      </c>
      <c r="MK30" s="271">
        <v>49779.299999999996</v>
      </c>
      <c r="ML30" s="271">
        <v>77581.09</v>
      </c>
      <c r="MM30" s="271">
        <v>68171.070000000007</v>
      </c>
      <c r="MN30" s="271">
        <v>7170.98</v>
      </c>
      <c r="MO30" s="271">
        <v>28296.93</v>
      </c>
      <c r="MP30" s="271">
        <v>6878.3700000000008</v>
      </c>
      <c r="MQ30" s="271">
        <v>205775.24</v>
      </c>
      <c r="MR30" s="271">
        <v>60139.929999999993</v>
      </c>
      <c r="MS30" s="271">
        <v>3151415.98</v>
      </c>
      <c r="MT30" s="271">
        <v>0</v>
      </c>
      <c r="MU30" s="271">
        <v>1681039.13</v>
      </c>
      <c r="MV30" s="271">
        <v>1020814.6699999999</v>
      </c>
      <c r="MW30" s="271">
        <v>198942.89</v>
      </c>
      <c r="MX30" s="271">
        <v>943819.78</v>
      </c>
      <c r="MY30" s="271">
        <v>1330001</v>
      </c>
      <c r="MZ30" s="271">
        <v>2019279.95</v>
      </c>
      <c r="NA30" s="271">
        <v>541479.48</v>
      </c>
      <c r="NB30" s="271">
        <v>93928.92</v>
      </c>
      <c r="NC30" s="271">
        <v>165913.42000000001</v>
      </c>
      <c r="ND30" s="271">
        <v>7823715.1300000008</v>
      </c>
      <c r="NE30" s="271">
        <v>3507307.38</v>
      </c>
      <c r="NF30" s="271">
        <v>83109.760000000009</v>
      </c>
      <c r="NG30" s="271">
        <v>596639.14</v>
      </c>
      <c r="NH30" s="271">
        <v>234975.78</v>
      </c>
      <c r="NI30" s="271">
        <v>595199.79999999993</v>
      </c>
      <c r="NJ30" s="271">
        <v>69250.5</v>
      </c>
      <c r="NK30" s="271">
        <v>15069.019999999999</v>
      </c>
      <c r="NL30" s="271">
        <v>144862.29000000004</v>
      </c>
      <c r="NM30" s="271">
        <v>45585.08</v>
      </c>
      <c r="NN30" s="271">
        <v>1247535.25</v>
      </c>
      <c r="NO30" s="271">
        <v>69597</v>
      </c>
      <c r="NP30" s="271">
        <v>4063748.7699999996</v>
      </c>
      <c r="NQ30" s="271">
        <v>50844.32</v>
      </c>
      <c r="NR30" s="271">
        <v>154230.49</v>
      </c>
      <c r="NS30" s="271">
        <v>91108.7</v>
      </c>
      <c r="NT30" s="271">
        <v>19369.28</v>
      </c>
      <c r="NU30" s="271">
        <v>1737.6</v>
      </c>
      <c r="NV30" s="271">
        <v>18224.560000000001</v>
      </c>
      <c r="NW30" s="271">
        <v>1580371.29</v>
      </c>
      <c r="NX30" s="271">
        <v>698842.41999999993</v>
      </c>
      <c r="NY30" s="271">
        <v>231842.75</v>
      </c>
      <c r="NZ30" s="271">
        <v>1157292.8</v>
      </c>
      <c r="OA30" s="271">
        <v>283587.3</v>
      </c>
      <c r="OB30" s="271">
        <v>2162354.85</v>
      </c>
      <c r="OC30" s="271">
        <v>195267.27</v>
      </c>
      <c r="OD30" s="271">
        <v>1037496.26</v>
      </c>
      <c r="OE30" s="271">
        <v>3222449.8199999994</v>
      </c>
      <c r="OF30" s="271">
        <v>67651.48000000001</v>
      </c>
      <c r="OG30" s="271">
        <v>13142070.17</v>
      </c>
      <c r="OH30" s="271">
        <v>561497.42999999993</v>
      </c>
      <c r="OI30" s="271">
        <v>1594962.15</v>
      </c>
      <c r="OJ30" s="271">
        <v>214579.34</v>
      </c>
      <c r="OK30" s="271">
        <v>56057.599999999999</v>
      </c>
      <c r="OL30" s="271">
        <v>428347.04</v>
      </c>
      <c r="OM30" s="271">
        <v>2801423</v>
      </c>
      <c r="ON30" s="271">
        <v>1415504.76</v>
      </c>
      <c r="OO30" s="271">
        <v>0</v>
      </c>
      <c r="OP30" s="271">
        <v>-343825.25</v>
      </c>
      <c r="OQ30" s="271">
        <v>137880.63</v>
      </c>
      <c r="OR30" s="271">
        <v>176332.43</v>
      </c>
      <c r="OS30" s="271">
        <v>415303.14</v>
      </c>
      <c r="OT30" s="271">
        <v>25224</v>
      </c>
      <c r="OU30" s="271">
        <v>19096.419999999998</v>
      </c>
      <c r="OV30" s="271">
        <v>47262</v>
      </c>
      <c r="OW30" s="271">
        <v>24519</v>
      </c>
      <c r="OX30" s="271">
        <v>5686846.7300000004</v>
      </c>
      <c r="OY30" s="271">
        <v>41289.949999999997</v>
      </c>
      <c r="OZ30" s="271">
        <v>43777.3</v>
      </c>
      <c r="PA30" s="271">
        <v>23747.329999999998</v>
      </c>
      <c r="PB30" s="271">
        <v>9886821.9000000004</v>
      </c>
      <c r="PC30" s="271">
        <v>247548</v>
      </c>
      <c r="PD30" s="271">
        <v>245516.18</v>
      </c>
      <c r="PE30" s="271">
        <v>24114.959999999999</v>
      </c>
      <c r="PF30" s="271">
        <v>517322.19000000006</v>
      </c>
      <c r="PG30" s="271">
        <v>0</v>
      </c>
      <c r="PH30" s="271">
        <v>295143.63</v>
      </c>
      <c r="PI30" s="271">
        <v>29724.44</v>
      </c>
      <c r="PJ30" s="271">
        <v>47612.34</v>
      </c>
      <c r="PK30" s="271">
        <v>404237.01</v>
      </c>
      <c r="PL30" s="271">
        <v>395060</v>
      </c>
      <c r="PM30" s="271">
        <v>105285.13</v>
      </c>
      <c r="PN30" s="271">
        <v>54002.400000000001</v>
      </c>
      <c r="PO30" s="271">
        <v>3054455.21</v>
      </c>
      <c r="PP30" s="271">
        <v>5915.57</v>
      </c>
      <c r="PQ30" s="271">
        <v>19702.669999999998</v>
      </c>
      <c r="PR30" s="271">
        <v>80090.7</v>
      </c>
      <c r="PS30" s="271">
        <v>130533.33</v>
      </c>
      <c r="PT30" s="271">
        <v>1243209.93</v>
      </c>
      <c r="PU30" s="271">
        <v>1924677.34</v>
      </c>
      <c r="PV30" s="271">
        <v>1226792.8999999999</v>
      </c>
      <c r="PW30" s="271">
        <v>0</v>
      </c>
      <c r="PX30" s="271">
        <v>58669.72</v>
      </c>
      <c r="PY30" s="271">
        <v>0</v>
      </c>
      <c r="PZ30" s="271">
        <v>29557.59</v>
      </c>
      <c r="QA30" s="271">
        <v>234683.25</v>
      </c>
      <c r="QB30" s="271">
        <v>7127.7800000000007</v>
      </c>
      <c r="QC30" s="271">
        <v>0</v>
      </c>
      <c r="QD30" s="271">
        <v>196759.80000000002</v>
      </c>
      <c r="QE30" s="271">
        <v>19318.95</v>
      </c>
      <c r="QF30" s="271">
        <v>0</v>
      </c>
      <c r="QG30" s="271">
        <v>90</v>
      </c>
      <c r="QH30" s="271">
        <v>1439203.3199999998</v>
      </c>
      <c r="QI30" s="271">
        <v>3274.76</v>
      </c>
      <c r="QJ30" s="271">
        <v>39089.29</v>
      </c>
      <c r="QK30" s="271">
        <v>18219.84</v>
      </c>
      <c r="QL30" s="271">
        <v>0</v>
      </c>
      <c r="QM30" s="271">
        <v>2269934.36</v>
      </c>
      <c r="QN30" s="271">
        <v>213488.12</v>
      </c>
      <c r="QO30" s="271">
        <v>32114.29</v>
      </c>
      <c r="QP30" s="271">
        <v>96201.58</v>
      </c>
      <c r="QQ30" s="271">
        <v>11177.79</v>
      </c>
      <c r="QR30" s="271">
        <v>0</v>
      </c>
      <c r="QS30" s="271">
        <v>0</v>
      </c>
      <c r="QT30" s="271">
        <v>23659092.600000001</v>
      </c>
      <c r="QU30" s="271">
        <v>7418.25</v>
      </c>
      <c r="QV30" s="271">
        <v>259418.53</v>
      </c>
      <c r="QW30" s="271">
        <v>14193.630000000001</v>
      </c>
      <c r="QX30" s="271">
        <v>125639.92</v>
      </c>
      <c r="QY30" s="271">
        <v>382996.42</v>
      </c>
      <c r="QZ30" s="271">
        <v>8397.5299999999988</v>
      </c>
      <c r="RA30" s="271">
        <v>0</v>
      </c>
      <c r="RB30" s="271">
        <v>106742</v>
      </c>
      <c r="RC30" s="271">
        <v>91756.409999999989</v>
      </c>
      <c r="RD30" s="271">
        <v>2814.37</v>
      </c>
      <c r="RE30" s="271">
        <v>15755.95</v>
      </c>
      <c r="RF30" s="271">
        <v>16200.62</v>
      </c>
      <c r="RG30" s="271">
        <v>71369.279999999999</v>
      </c>
      <c r="RH30" s="271">
        <v>133778.13999999998</v>
      </c>
      <c r="RI30" s="271">
        <v>2514.59</v>
      </c>
      <c r="RJ30" s="271">
        <v>35884.429999999993</v>
      </c>
      <c r="RK30" s="271">
        <v>482507.78</v>
      </c>
      <c r="RL30" s="271">
        <v>112044.45000000001</v>
      </c>
      <c r="RM30" s="271">
        <v>353851.18</v>
      </c>
      <c r="RN30" s="271">
        <v>6816.52</v>
      </c>
      <c r="RO30" s="271">
        <v>99057.180000000008</v>
      </c>
      <c r="RP30" s="271">
        <v>46281.39</v>
      </c>
      <c r="RQ30" s="271">
        <v>154770.17000000001</v>
      </c>
      <c r="RR30" s="271">
        <v>277103.25</v>
      </c>
      <c r="RS30" s="271">
        <v>61466.62</v>
      </c>
      <c r="RT30" s="271">
        <v>302457.48</v>
      </c>
      <c r="RU30" s="271">
        <v>52754.63</v>
      </c>
      <c r="RV30" s="271">
        <v>33584.17</v>
      </c>
      <c r="RW30" s="271">
        <v>18897.650000000001</v>
      </c>
      <c r="RX30" s="271">
        <v>11164.84</v>
      </c>
      <c r="RY30" s="271">
        <v>485185.10000000003</v>
      </c>
      <c r="RZ30" s="271">
        <v>2764.7</v>
      </c>
      <c r="SA30" s="271">
        <v>1765679.65</v>
      </c>
      <c r="SB30" s="271">
        <v>105741.98999999999</v>
      </c>
      <c r="SC30" s="271">
        <v>54363.85</v>
      </c>
      <c r="SD30" s="271">
        <v>50318.23</v>
      </c>
      <c r="SE30" s="271">
        <v>31265.550000000003</v>
      </c>
      <c r="SF30" s="271">
        <v>26461.49</v>
      </c>
      <c r="SG30" s="271">
        <v>50304.37</v>
      </c>
      <c r="SH30" s="271">
        <v>508928.53</v>
      </c>
      <c r="SI30" s="271">
        <v>118868.25</v>
      </c>
      <c r="SJ30" s="271">
        <v>1536078.88</v>
      </c>
      <c r="SK30" s="271">
        <v>193183.91</v>
      </c>
      <c r="SL30" s="271">
        <v>47007.91</v>
      </c>
      <c r="SM30" s="271">
        <v>952855.99</v>
      </c>
      <c r="SN30" s="271">
        <v>121920.86</v>
      </c>
      <c r="SO30" s="271">
        <v>127811.73000000001</v>
      </c>
      <c r="SP30" s="271">
        <v>784728.24</v>
      </c>
      <c r="SQ30" s="271">
        <v>317841.21000000002</v>
      </c>
      <c r="SR30" s="271">
        <v>32554.420000000002</v>
      </c>
      <c r="SS30" s="271">
        <v>184771.6</v>
      </c>
      <c r="ST30" s="271">
        <v>46472.549999999996</v>
      </c>
      <c r="SU30" s="271">
        <v>3194994.17</v>
      </c>
      <c r="SV30" s="271">
        <v>29271.629999999997</v>
      </c>
      <c r="SW30" s="271">
        <v>216411.85</v>
      </c>
      <c r="SX30" s="271">
        <v>186564.55</v>
      </c>
      <c r="SY30" s="271">
        <v>13898</v>
      </c>
      <c r="SZ30" s="271">
        <v>37114.04</v>
      </c>
      <c r="TA30" s="271">
        <v>266492.07999999996</v>
      </c>
      <c r="TB30" s="271">
        <v>361671.51999999996</v>
      </c>
      <c r="TC30" s="271">
        <v>109978.07999999999</v>
      </c>
      <c r="TD30" s="271">
        <v>79116.569999999992</v>
      </c>
      <c r="TE30" s="271">
        <v>94360.320000000007</v>
      </c>
      <c r="TF30" s="271">
        <v>10128.84</v>
      </c>
      <c r="TG30" s="271">
        <v>28670.48</v>
      </c>
      <c r="TH30" s="271">
        <v>73206.179999999993</v>
      </c>
      <c r="TI30" s="271">
        <v>4365562.6500000004</v>
      </c>
      <c r="TJ30" s="271">
        <v>65010.47</v>
      </c>
      <c r="TK30" s="271">
        <v>56267.08</v>
      </c>
      <c r="TL30" s="271">
        <v>339710.62</v>
      </c>
      <c r="TM30" s="271">
        <v>96256.34</v>
      </c>
      <c r="TN30" s="271">
        <v>27769.120000000003</v>
      </c>
      <c r="TO30" s="271">
        <v>8451.2799999999988</v>
      </c>
      <c r="TP30" s="271">
        <v>597317.57999999996</v>
      </c>
      <c r="TQ30" s="271">
        <v>131864.81</v>
      </c>
      <c r="TR30" s="271">
        <v>124858.15000000001</v>
      </c>
      <c r="TS30" s="271">
        <v>68651.73000000001</v>
      </c>
      <c r="TT30" s="271">
        <v>29346.36</v>
      </c>
      <c r="TU30" s="271">
        <v>8267.2199999999993</v>
      </c>
      <c r="TV30" s="271">
        <v>111697.58000000002</v>
      </c>
      <c r="TW30" s="271">
        <v>118255.7</v>
      </c>
      <c r="TX30" s="271">
        <v>89325.440000000002</v>
      </c>
      <c r="TY30" s="271">
        <v>936745.33000000007</v>
      </c>
      <c r="TZ30" s="271">
        <v>19599.440000000002</v>
      </c>
      <c r="UA30" s="271">
        <v>2216755.7000000002</v>
      </c>
      <c r="UB30" s="271">
        <v>279916.18</v>
      </c>
      <c r="UC30" s="271">
        <v>24289.35</v>
      </c>
      <c r="UD30" s="271">
        <v>92610.25</v>
      </c>
      <c r="UE30" s="271">
        <v>28976061.470000003</v>
      </c>
      <c r="UF30" s="271">
        <v>13681.38</v>
      </c>
      <c r="UG30" s="271">
        <v>11252.74</v>
      </c>
      <c r="UH30" s="271">
        <v>126935.37</v>
      </c>
      <c r="UI30" s="271">
        <v>432389.39</v>
      </c>
      <c r="UJ30" s="271">
        <v>638239.5</v>
      </c>
      <c r="UK30" s="271">
        <v>391511.95999999996</v>
      </c>
      <c r="UL30" s="271">
        <v>44790.57</v>
      </c>
      <c r="UM30" s="271">
        <v>128517.52</v>
      </c>
      <c r="UN30" s="271">
        <v>122213.14000000001</v>
      </c>
      <c r="UO30" s="271">
        <v>804348.35</v>
      </c>
      <c r="UP30" s="271">
        <v>3110312.3600000003</v>
      </c>
      <c r="UQ30" s="271">
        <v>71499.42</v>
      </c>
      <c r="UR30" s="271">
        <v>861205.05</v>
      </c>
      <c r="US30" s="271">
        <v>1906445.87</v>
      </c>
      <c r="UT30" s="271">
        <v>528629.88</v>
      </c>
      <c r="UU30" s="271">
        <v>104013.57999999999</v>
      </c>
      <c r="UV30" s="271">
        <v>311270.57</v>
      </c>
      <c r="UW30" s="271">
        <v>29511.360000000001</v>
      </c>
      <c r="UX30" s="271">
        <v>151934.78999999998</v>
      </c>
      <c r="UY30" s="271">
        <v>122395.57999999999</v>
      </c>
      <c r="UZ30" s="271">
        <v>252903.02</v>
      </c>
      <c r="VA30" s="271">
        <v>282666.26</v>
      </c>
      <c r="VB30" s="271">
        <v>242163.87999999998</v>
      </c>
      <c r="VC30" s="271">
        <v>202769.77</v>
      </c>
      <c r="VD30" s="271">
        <v>13280.93</v>
      </c>
      <c r="VE30" s="271">
        <v>54327.32</v>
      </c>
      <c r="VF30" s="271">
        <v>40847.19</v>
      </c>
      <c r="VG30" s="271">
        <v>26860.57</v>
      </c>
      <c r="VH30" s="271">
        <v>435063.33</v>
      </c>
      <c r="VI30" s="271">
        <v>72357.59</v>
      </c>
      <c r="VJ30" s="271">
        <v>50902.13</v>
      </c>
      <c r="VK30" s="271">
        <v>110537.03</v>
      </c>
      <c r="VL30" s="271">
        <v>525863.66</v>
      </c>
      <c r="VM30" s="271">
        <v>126571.28</v>
      </c>
      <c r="VN30" s="271">
        <v>94069.17</v>
      </c>
      <c r="VO30" s="271">
        <v>13123.51</v>
      </c>
      <c r="VP30" s="271">
        <v>578394.48</v>
      </c>
      <c r="VQ30" s="271">
        <v>171235.26</v>
      </c>
      <c r="VR30" s="271">
        <v>158716.20000000001</v>
      </c>
      <c r="VS30" s="271">
        <v>110285.08</v>
      </c>
      <c r="VT30" s="271">
        <v>499017.02</v>
      </c>
      <c r="VU30" s="271">
        <v>710245.24</v>
      </c>
      <c r="VV30" s="271">
        <v>54623.53</v>
      </c>
      <c r="VW30" s="271">
        <v>437427.82500000001</v>
      </c>
      <c r="VX30" s="271">
        <v>61482.879999999997</v>
      </c>
      <c r="VY30" s="271">
        <v>166260.24</v>
      </c>
      <c r="VZ30" s="271">
        <v>150676.68000000002</v>
      </c>
      <c r="WA30" s="271">
        <v>4584957.07</v>
      </c>
      <c r="WB30" s="271">
        <v>36245.96</v>
      </c>
      <c r="WC30" s="271">
        <v>193673.79</v>
      </c>
      <c r="WD30" s="271">
        <v>874666</v>
      </c>
      <c r="WE30" s="271">
        <v>119586.97</v>
      </c>
      <c r="WF30" s="271">
        <v>27312.14</v>
      </c>
      <c r="WG30" s="271">
        <v>35412.75</v>
      </c>
      <c r="WH30" s="271">
        <v>565122.68000000005</v>
      </c>
      <c r="WI30" s="271">
        <v>19789.84</v>
      </c>
      <c r="WJ30" s="271">
        <v>51741.710000000006</v>
      </c>
      <c r="WK30" s="271">
        <v>154006.38</v>
      </c>
      <c r="WL30" s="271">
        <v>56213.72</v>
      </c>
      <c r="WM30" s="271">
        <v>427231.21</v>
      </c>
      <c r="WN30" s="271">
        <v>179010.12</v>
      </c>
      <c r="WO30" s="271">
        <v>68402.7</v>
      </c>
      <c r="WP30" s="271">
        <v>229767.57</v>
      </c>
      <c r="WQ30" s="271">
        <v>345643.45</v>
      </c>
      <c r="WR30" s="271">
        <v>539503.32999999996</v>
      </c>
      <c r="WS30" s="271">
        <v>58762.559999999998</v>
      </c>
      <c r="WT30" s="271">
        <v>10535.6</v>
      </c>
      <c r="WU30" s="271">
        <v>686348.09</v>
      </c>
      <c r="WV30" s="271">
        <v>6251.88</v>
      </c>
      <c r="WW30" s="271">
        <v>0</v>
      </c>
      <c r="WX30" s="271">
        <v>501713.36</v>
      </c>
      <c r="WY30" s="271">
        <v>0</v>
      </c>
      <c r="WZ30" s="271">
        <v>49323.240000000005</v>
      </c>
      <c r="XA30" s="271">
        <v>75283.710000000006</v>
      </c>
      <c r="XB30" s="271">
        <v>13974.77</v>
      </c>
      <c r="XC30" s="271">
        <v>769792.76</v>
      </c>
      <c r="XD30" s="271">
        <v>43027.89</v>
      </c>
      <c r="XE30" s="271">
        <v>1716.68</v>
      </c>
      <c r="XF30" s="271">
        <v>2756</v>
      </c>
      <c r="XG30" s="271">
        <v>29706.16</v>
      </c>
      <c r="XH30" s="271">
        <v>4263324.75</v>
      </c>
      <c r="XI30" s="271">
        <v>36514.47</v>
      </c>
      <c r="XJ30" s="271">
        <v>23210.010000000002</v>
      </c>
      <c r="XK30" s="271">
        <v>289001.71999999997</v>
      </c>
      <c r="XL30" s="271">
        <v>25216.920000000002</v>
      </c>
      <c r="XM30" s="271">
        <v>56730.759999999995</v>
      </c>
      <c r="XN30" s="271">
        <v>157773.13999999998</v>
      </c>
      <c r="XO30" s="271">
        <v>67292.429999999993</v>
      </c>
      <c r="XP30" s="271">
        <v>10920.53</v>
      </c>
      <c r="XQ30" s="271">
        <v>37448.410000000003</v>
      </c>
      <c r="XR30" s="271">
        <v>78522.509999999995</v>
      </c>
      <c r="XS30" s="271">
        <v>17345.91</v>
      </c>
      <c r="XT30" s="271">
        <v>10942.460000000001</v>
      </c>
      <c r="XU30" s="271">
        <v>12664.01</v>
      </c>
      <c r="XV30" s="271">
        <v>24605.14</v>
      </c>
      <c r="XW30" s="271">
        <v>11816.54</v>
      </c>
      <c r="XX30" s="271">
        <v>20272.3</v>
      </c>
      <c r="XY30" s="271">
        <v>22858.97</v>
      </c>
      <c r="XZ30" s="271">
        <v>10282.98</v>
      </c>
      <c r="YA30" s="271">
        <v>29661.409999999996</v>
      </c>
      <c r="YB30" s="271">
        <v>28826.16</v>
      </c>
      <c r="YC30" s="271">
        <v>11762.509999999998</v>
      </c>
      <c r="YD30" s="271">
        <v>10107.4</v>
      </c>
      <c r="YE30" s="271">
        <v>7956743.9199999999</v>
      </c>
      <c r="YF30" s="271">
        <v>86481.36</v>
      </c>
      <c r="YG30" s="271">
        <v>207031.89</v>
      </c>
      <c r="YH30" s="271">
        <v>106903.76999999999</v>
      </c>
      <c r="YI30" s="271">
        <v>1274547.2099999997</v>
      </c>
      <c r="YJ30" s="271">
        <v>506419.95999999996</v>
      </c>
      <c r="YK30" s="271">
        <v>337582.30000000005</v>
      </c>
      <c r="YL30" s="271">
        <v>135427.1948</v>
      </c>
      <c r="YM30" s="271">
        <v>11732.36</v>
      </c>
      <c r="YN30" s="271">
        <v>607769.35000000009</v>
      </c>
      <c r="YO30" s="271">
        <v>120344.83</v>
      </c>
      <c r="YP30" s="271">
        <v>84469.67</v>
      </c>
      <c r="YQ30" s="271">
        <v>556436.03</v>
      </c>
      <c r="YR30" s="271">
        <v>115642.59</v>
      </c>
      <c r="YS30" s="271">
        <v>69708.52</v>
      </c>
      <c r="YT30" s="271">
        <v>96087.700000000012</v>
      </c>
      <c r="YU30" s="271">
        <v>22443.87</v>
      </c>
      <c r="YV30" s="271">
        <v>419362.86</v>
      </c>
      <c r="YW30" s="271">
        <v>46863.14</v>
      </c>
      <c r="YX30" s="271">
        <v>117132.74</v>
      </c>
      <c r="YY30" s="271">
        <v>3106362.71</v>
      </c>
      <c r="YZ30" s="271">
        <v>232621.37</v>
      </c>
      <c r="ZA30" s="271">
        <v>66663.58</v>
      </c>
      <c r="ZB30" s="271">
        <v>145774.65</v>
      </c>
      <c r="ZC30" s="271">
        <v>6312631.7199999997</v>
      </c>
      <c r="ZD30" s="271">
        <v>138662.68</v>
      </c>
      <c r="ZE30" s="271">
        <v>410575.30999999994</v>
      </c>
      <c r="ZF30" s="271">
        <v>32151.53</v>
      </c>
      <c r="ZG30" s="271">
        <v>25610.34</v>
      </c>
      <c r="ZH30" s="271">
        <v>10745.539999999999</v>
      </c>
      <c r="ZI30" s="271">
        <v>6427.4800000000005</v>
      </c>
      <c r="ZJ30" s="271">
        <v>115845.41</v>
      </c>
      <c r="ZK30" s="271">
        <v>2735438.0300000003</v>
      </c>
      <c r="ZL30" s="271">
        <v>176208.16</v>
      </c>
      <c r="ZM30" s="271">
        <v>1343.6100000000001</v>
      </c>
      <c r="ZN30" s="271">
        <v>380813.76</v>
      </c>
      <c r="ZO30" s="271">
        <v>563352.01</v>
      </c>
      <c r="ZP30" s="271">
        <v>280708.03999999998</v>
      </c>
      <c r="ZQ30" s="271">
        <v>4316.32</v>
      </c>
      <c r="ZR30" s="271">
        <v>57025</v>
      </c>
      <c r="ZS30" s="271">
        <v>305481.95999999996</v>
      </c>
      <c r="ZT30" s="271">
        <v>22542.23</v>
      </c>
      <c r="ZU30" s="271">
        <v>79648.7</v>
      </c>
      <c r="ZV30" s="271">
        <v>1766.48</v>
      </c>
      <c r="ZW30" s="271">
        <v>63553.350000000006</v>
      </c>
      <c r="ZX30" s="271">
        <v>121560.82</v>
      </c>
      <c r="ZY30" s="271">
        <v>15393.650000000001</v>
      </c>
      <c r="ZZ30" s="271">
        <v>35505.01</v>
      </c>
      <c r="AAA30" s="271">
        <v>141721.32199999999</v>
      </c>
      <c r="AAB30" s="271">
        <v>1051303.8700000001</v>
      </c>
      <c r="AAC30" s="271">
        <v>42786.090000000004</v>
      </c>
      <c r="AAD30" s="271">
        <v>898.71</v>
      </c>
      <c r="AAE30" s="271">
        <v>52104.94</v>
      </c>
      <c r="AAF30" s="271">
        <v>15623.86</v>
      </c>
      <c r="AAG30" s="271">
        <v>7808.51</v>
      </c>
      <c r="AAH30" s="271">
        <v>8349</v>
      </c>
      <c r="AAI30" s="271">
        <v>54671.600000000006</v>
      </c>
      <c r="AAJ30" s="271">
        <v>99507.26999999999</v>
      </c>
      <c r="AAK30" s="271">
        <v>838470.92</v>
      </c>
      <c r="AAL30" s="271">
        <v>708716.1</v>
      </c>
      <c r="AAM30" s="271">
        <v>294989.95999999996</v>
      </c>
      <c r="AAN30" s="271">
        <v>14268.76</v>
      </c>
      <c r="AAO30" s="271">
        <v>4481399.46</v>
      </c>
      <c r="AAP30" s="271">
        <v>1340.82</v>
      </c>
      <c r="AAQ30" s="271">
        <v>192508.09</v>
      </c>
      <c r="AAR30" s="271">
        <v>5584.51</v>
      </c>
      <c r="AAS30" s="271">
        <v>23803.89</v>
      </c>
      <c r="AAT30" s="271">
        <v>25459.57</v>
      </c>
      <c r="AAU30" s="271">
        <v>1564.76</v>
      </c>
      <c r="AAV30" s="271">
        <v>606247.85</v>
      </c>
      <c r="AAW30" s="271">
        <v>3086506.66</v>
      </c>
      <c r="AAX30" s="271">
        <v>497522.25000000006</v>
      </c>
      <c r="AAY30" s="271">
        <v>8576.5499999999993</v>
      </c>
      <c r="AAZ30" s="271">
        <v>64523.360000000001</v>
      </c>
      <c r="ABA30" s="271">
        <v>27008.159999999996</v>
      </c>
      <c r="ABB30" s="271">
        <v>5385.35</v>
      </c>
      <c r="ABC30" s="271">
        <v>154078.17000000001</v>
      </c>
      <c r="ABD30" s="271">
        <v>18184.77</v>
      </c>
      <c r="ABE30" s="271">
        <v>2765.12</v>
      </c>
      <c r="ABF30" s="271">
        <v>53088.100000000006</v>
      </c>
      <c r="ABG30" s="271">
        <v>9942.1400000000012</v>
      </c>
      <c r="ABH30" s="271">
        <v>818902.40000000014</v>
      </c>
      <c r="ABI30" s="271">
        <v>186403.21999999997</v>
      </c>
      <c r="ABJ30" s="271">
        <v>93346.58</v>
      </c>
      <c r="ABK30" s="271">
        <v>112891.48000000001</v>
      </c>
      <c r="ABL30" s="271">
        <v>14526.68</v>
      </c>
      <c r="ABM30" s="271">
        <v>35075.020000000004</v>
      </c>
      <c r="ABN30" s="271">
        <v>0</v>
      </c>
      <c r="ABO30" s="271">
        <v>3789465.6000000001</v>
      </c>
      <c r="ABP30" s="271">
        <v>140862.26</v>
      </c>
      <c r="ABQ30" s="271">
        <v>319106.2</v>
      </c>
      <c r="ABR30" s="271">
        <v>124568.56</v>
      </c>
      <c r="ABS30" s="271">
        <v>0</v>
      </c>
      <c r="ABT30" s="271">
        <v>0</v>
      </c>
      <c r="ABU30" s="271">
        <v>0</v>
      </c>
      <c r="ABV30" s="271">
        <v>0</v>
      </c>
      <c r="ABW30" s="271">
        <v>0</v>
      </c>
      <c r="ABX30" s="271">
        <v>6550274.4699999997</v>
      </c>
      <c r="ABY30" s="271">
        <v>614092.84</v>
      </c>
      <c r="ABZ30" s="271">
        <v>277516.39</v>
      </c>
      <c r="ACA30" s="271">
        <v>919262</v>
      </c>
      <c r="ACB30" s="271">
        <v>80457.8</v>
      </c>
      <c r="ACC30" s="271">
        <v>297230.88</v>
      </c>
      <c r="ACD30" s="271">
        <v>0</v>
      </c>
      <c r="ACE30" s="271">
        <v>169615.96000000002</v>
      </c>
      <c r="ACF30" s="271">
        <v>57273.240000000005</v>
      </c>
      <c r="ACG30" s="271">
        <v>3245232.54</v>
      </c>
      <c r="ACH30" s="271">
        <v>365780.76</v>
      </c>
      <c r="ACI30" s="271">
        <v>205082.28</v>
      </c>
      <c r="ACJ30" s="271">
        <v>38873.050000000003</v>
      </c>
      <c r="ACK30" s="271">
        <v>1454.56</v>
      </c>
      <c r="ACL30" s="271">
        <v>0</v>
      </c>
      <c r="ACM30" s="271">
        <v>0</v>
      </c>
      <c r="ACN30" s="271">
        <v>59347.5</v>
      </c>
      <c r="ACO30" s="271">
        <v>0</v>
      </c>
      <c r="ACP30" s="271">
        <v>777892.29999999993</v>
      </c>
      <c r="ACQ30" s="271">
        <v>0</v>
      </c>
      <c r="ACR30" s="271">
        <v>0</v>
      </c>
      <c r="ACS30" s="271">
        <v>0</v>
      </c>
      <c r="ACT30" s="271">
        <v>1635981.6800000002</v>
      </c>
      <c r="ACU30" s="271">
        <v>-609856.47</v>
      </c>
      <c r="ACV30" s="271">
        <v>0</v>
      </c>
      <c r="ACW30" s="271">
        <v>27919</v>
      </c>
      <c r="ACX30" s="271">
        <v>333484.79999999999</v>
      </c>
      <c r="ACY30" s="271">
        <v>0</v>
      </c>
      <c r="ACZ30" s="271">
        <v>113589.9</v>
      </c>
      <c r="ADA30" s="271">
        <v>46594.65</v>
      </c>
      <c r="ADB30" s="271">
        <v>0</v>
      </c>
      <c r="ADC30" s="271">
        <v>45</v>
      </c>
      <c r="ADD30" s="271">
        <v>17223.5</v>
      </c>
      <c r="ADE30" s="271">
        <v>0</v>
      </c>
      <c r="ADF30" s="271">
        <v>1680510.92</v>
      </c>
      <c r="ADG30" s="271">
        <v>701403.58000000007</v>
      </c>
      <c r="ADH30" s="271">
        <v>5865.52</v>
      </c>
      <c r="ADI30" s="271">
        <v>210919.15</v>
      </c>
      <c r="ADJ30" s="271">
        <v>0</v>
      </c>
      <c r="ADK30" s="271">
        <v>720429.78</v>
      </c>
      <c r="ADL30" s="271">
        <v>65490.770000000004</v>
      </c>
      <c r="ADM30" s="271">
        <v>143667.01</v>
      </c>
      <c r="ADN30" s="271">
        <v>183419.94</v>
      </c>
      <c r="ADO30" s="271">
        <v>18859391.190000001</v>
      </c>
      <c r="ADP30" s="271">
        <v>0</v>
      </c>
      <c r="ADQ30" s="271">
        <v>0</v>
      </c>
      <c r="ADR30" s="271">
        <v>0</v>
      </c>
      <c r="ADS30" s="271">
        <v>0</v>
      </c>
      <c r="ADT30" s="271">
        <v>144845.97</v>
      </c>
      <c r="ADU30" s="271">
        <v>0</v>
      </c>
      <c r="ADV30" s="271">
        <v>4690148.9499999993</v>
      </c>
      <c r="ADW30" s="271">
        <v>0</v>
      </c>
      <c r="ADX30" s="271">
        <v>0</v>
      </c>
      <c r="ADY30" s="271">
        <v>1439850.7400000002</v>
      </c>
      <c r="ADZ30" s="271">
        <v>102983.44</v>
      </c>
      <c r="AEA30" s="271">
        <v>125894.34</v>
      </c>
      <c r="AEB30" s="271">
        <v>172580.33</v>
      </c>
      <c r="AEC30" s="271">
        <v>403170.89</v>
      </c>
      <c r="AED30" s="271">
        <v>57383.5</v>
      </c>
      <c r="AEE30" s="271">
        <v>111055.26999999999</v>
      </c>
      <c r="AEF30" s="271">
        <v>99473.040000000008</v>
      </c>
      <c r="AEG30" s="271">
        <v>147353.26</v>
      </c>
      <c r="AEH30" s="271">
        <v>29247.739999999998</v>
      </c>
      <c r="AEI30" s="271">
        <v>1125053.26</v>
      </c>
      <c r="AEJ30" s="271">
        <v>4061941.4</v>
      </c>
      <c r="AEK30" s="271">
        <v>0</v>
      </c>
      <c r="AEL30" s="271">
        <v>258937.84999999998</v>
      </c>
      <c r="AEM30" s="271">
        <v>68860.679999999993</v>
      </c>
      <c r="AEN30" s="271">
        <v>373397.18</v>
      </c>
      <c r="AEO30" s="271">
        <v>251397.08</v>
      </c>
      <c r="AEP30" s="271">
        <v>342011.1</v>
      </c>
      <c r="AEQ30" s="271">
        <v>0</v>
      </c>
      <c r="AER30" s="271">
        <v>629835.17999999993</v>
      </c>
      <c r="AES30" s="271">
        <v>38821331.850000009</v>
      </c>
      <c r="AET30" s="271">
        <v>1957.65</v>
      </c>
      <c r="AEU30" s="271">
        <v>78461.69</v>
      </c>
      <c r="AEV30" s="271">
        <v>7849.3099999999995</v>
      </c>
      <c r="AEW30" s="271">
        <v>11223.8</v>
      </c>
      <c r="AEX30" s="271">
        <v>322640.42000000004</v>
      </c>
      <c r="AEY30" s="271">
        <v>11372.29</v>
      </c>
      <c r="AEZ30" s="271">
        <v>25567.040000000001</v>
      </c>
      <c r="AFA30" s="271">
        <v>24648.2</v>
      </c>
      <c r="AFB30" s="271">
        <v>14367.32</v>
      </c>
      <c r="AFC30" s="271">
        <v>410071.26</v>
      </c>
      <c r="AFD30" s="271">
        <v>161519.28</v>
      </c>
      <c r="AFE30" s="271">
        <v>16489.03</v>
      </c>
      <c r="AFF30" s="271">
        <v>14357.95</v>
      </c>
      <c r="AFG30" s="271">
        <v>5838.9</v>
      </c>
      <c r="AFH30" s="271">
        <v>4331.6099999999997</v>
      </c>
      <c r="AFI30" s="271">
        <v>1809.54</v>
      </c>
      <c r="AFJ30" s="271">
        <v>2168.61</v>
      </c>
      <c r="AFK30" s="271">
        <v>0</v>
      </c>
      <c r="AFL30" s="271">
        <v>21239.41</v>
      </c>
      <c r="AFM30" s="271">
        <v>0</v>
      </c>
      <c r="AFN30" s="271">
        <v>3166.14</v>
      </c>
      <c r="AFO30" s="271">
        <v>3973.2999999999997</v>
      </c>
      <c r="AFP30" s="271">
        <v>3510718.19</v>
      </c>
      <c r="AFQ30" s="271">
        <v>19807.5</v>
      </c>
      <c r="AFR30" s="271">
        <v>19354.68</v>
      </c>
      <c r="AFS30" s="271">
        <v>36948.129999999997</v>
      </c>
      <c r="AFT30" s="271">
        <v>35281.08</v>
      </c>
      <c r="AFU30" s="271">
        <v>21228.99</v>
      </c>
      <c r="AFV30" s="271">
        <v>0</v>
      </c>
      <c r="AFW30" s="271">
        <v>31974.420000000002</v>
      </c>
      <c r="AFX30" s="271">
        <v>24666.17</v>
      </c>
      <c r="AFY30" s="271">
        <v>5956.11</v>
      </c>
      <c r="AFZ30" s="271">
        <v>75600.45</v>
      </c>
      <c r="AGA30" s="271">
        <v>35698.32</v>
      </c>
      <c r="AGB30" s="271">
        <v>2120278.1799999997</v>
      </c>
      <c r="AGC30" s="271">
        <v>501169.86</v>
      </c>
      <c r="AGD30" s="271">
        <v>21518.499999999996</v>
      </c>
      <c r="AGE30" s="271">
        <v>223454.65</v>
      </c>
      <c r="AGF30" s="271">
        <v>110133.15000000001</v>
      </c>
      <c r="AGG30" s="271">
        <v>2198.0100000000002</v>
      </c>
      <c r="AGH30" s="271">
        <v>4631.58</v>
      </c>
      <c r="AGI30" s="271">
        <v>14713.22</v>
      </c>
      <c r="AGJ30" s="271">
        <v>-95524.43</v>
      </c>
      <c r="AGK30" s="271">
        <v>17838.660000000003</v>
      </c>
      <c r="AGL30" s="271">
        <v>7313.28</v>
      </c>
      <c r="AGM30" s="271">
        <v>410139.20999999996</v>
      </c>
      <c r="AGN30" s="271">
        <v>140145.49</v>
      </c>
      <c r="AGO30" s="271">
        <v>1866.54</v>
      </c>
      <c r="AGP30" s="271">
        <v>2478.81</v>
      </c>
      <c r="AGQ30" s="271">
        <v>2123.1</v>
      </c>
      <c r="AGR30" s="271">
        <v>3529.8</v>
      </c>
      <c r="AGS30" s="271">
        <v>1089.33</v>
      </c>
      <c r="AGT30" s="271">
        <v>1273.92</v>
      </c>
      <c r="AGU30" s="271">
        <v>1056588.77</v>
      </c>
      <c r="AGV30" s="271">
        <v>432450.46</v>
      </c>
      <c r="AGW30" s="271">
        <v>80883</v>
      </c>
      <c r="AGX30" s="271">
        <v>71111.53</v>
      </c>
      <c r="AGY30" s="271">
        <v>2315506.35</v>
      </c>
      <c r="AGZ30" s="271">
        <v>97458.2</v>
      </c>
      <c r="AHA30" s="271">
        <v>77467.19</v>
      </c>
      <c r="AHB30" s="271">
        <v>87887.540000000008</v>
      </c>
      <c r="AHC30" s="271">
        <v>109337.55</v>
      </c>
      <c r="AHD30" s="271">
        <v>18321.79</v>
      </c>
      <c r="AHE30" s="271">
        <v>122733.18999999999</v>
      </c>
      <c r="AHF30" s="271">
        <v>316277.15000000002</v>
      </c>
      <c r="AHG30" s="271">
        <v>131512.29999999999</v>
      </c>
      <c r="AHH30" s="271">
        <v>166535.70000000001</v>
      </c>
      <c r="AHI30" s="271">
        <v>46099.97</v>
      </c>
      <c r="AHJ30" s="271">
        <v>2962978.22</v>
      </c>
      <c r="AHK30" s="271">
        <v>238976.87000000002</v>
      </c>
      <c r="AHL30" s="271">
        <v>353753.07</v>
      </c>
      <c r="AHM30" s="271">
        <v>34412.89</v>
      </c>
      <c r="AHN30" s="271">
        <v>47875.479999999996</v>
      </c>
      <c r="AHO30" s="271">
        <v>29665.86</v>
      </c>
      <c r="AHP30" s="271">
        <v>232118.2</v>
      </c>
      <c r="AHQ30" s="294">
        <v>11716.43</v>
      </c>
      <c r="AHR30" s="329">
        <v>14851.480000000001</v>
      </c>
      <c r="AHS30" s="294">
        <f t="shared" si="18"/>
        <v>691010929.2317996</v>
      </c>
      <c r="AHT30" s="269" t="b">
        <f t="shared" si="1"/>
        <v>1</v>
      </c>
      <c r="AHU30" s="269" t="s">
        <v>667</v>
      </c>
    </row>
    <row r="31" spans="1:905" ht="23.4" customHeight="1" x14ac:dyDescent="0.7">
      <c r="B31" s="268" t="s">
        <v>41</v>
      </c>
      <c r="C31" s="269" t="s">
        <v>42</v>
      </c>
      <c r="D31" s="271">
        <v>72666268.189999983</v>
      </c>
      <c r="E31" s="271">
        <v>44162873.130000003</v>
      </c>
      <c r="F31" s="271">
        <v>35313913.730000004</v>
      </c>
      <c r="G31" s="271">
        <v>15041948.640000001</v>
      </c>
      <c r="H31" s="271">
        <v>33562206.890000001</v>
      </c>
      <c r="I31" s="271">
        <v>18673031.329999998</v>
      </c>
      <c r="J31" s="271">
        <v>49870903.75</v>
      </c>
      <c r="K31" s="271">
        <v>37399539.439999998</v>
      </c>
      <c r="L31" s="271">
        <v>26500378.290000003</v>
      </c>
      <c r="M31" s="271">
        <v>23484897.199999999</v>
      </c>
      <c r="N31" s="271">
        <v>9818013.2599999998</v>
      </c>
      <c r="O31" s="271">
        <v>12744164.77</v>
      </c>
      <c r="P31" s="271">
        <v>38256967.810000002</v>
      </c>
      <c r="Q31" s="271">
        <v>13921867.300000001</v>
      </c>
      <c r="R31" s="271">
        <v>13115679.93</v>
      </c>
      <c r="S31" s="271">
        <v>32277103.609999999</v>
      </c>
      <c r="T31" s="271">
        <v>21251638.469999999</v>
      </c>
      <c r="U31" s="271">
        <v>12045381.690000001</v>
      </c>
      <c r="V31" s="271">
        <v>86114311.819999993</v>
      </c>
      <c r="W31" s="271">
        <v>22561662.91</v>
      </c>
      <c r="X31" s="271">
        <v>14234381.33</v>
      </c>
      <c r="Y31" s="271">
        <v>41857501.289999992</v>
      </c>
      <c r="Z31" s="271">
        <v>23266740.130000003</v>
      </c>
      <c r="AA31" s="271">
        <v>32587024.5</v>
      </c>
      <c r="AB31" s="271">
        <v>6378518.5</v>
      </c>
      <c r="AC31" s="271">
        <v>21816067.5</v>
      </c>
      <c r="AD31" s="271">
        <v>50753435.189999998</v>
      </c>
      <c r="AE31" s="271">
        <v>12073032.630000001</v>
      </c>
      <c r="AF31" s="271">
        <v>24930389.960000001</v>
      </c>
      <c r="AG31" s="271">
        <v>30282354.960000001</v>
      </c>
      <c r="AH31" s="271">
        <v>62695764.32</v>
      </c>
      <c r="AI31" s="271">
        <v>22905547.460000001</v>
      </c>
      <c r="AJ31" s="271">
        <v>15652493.52</v>
      </c>
      <c r="AK31" s="271">
        <v>5889409.0599999996</v>
      </c>
      <c r="AL31" s="271">
        <v>20188152.66</v>
      </c>
      <c r="AM31" s="271">
        <v>21496522.829999998</v>
      </c>
      <c r="AN31" s="271">
        <v>21767335.949999999</v>
      </c>
      <c r="AO31" s="271">
        <v>14644013.950000001</v>
      </c>
      <c r="AP31" s="271">
        <v>14066368.039999999</v>
      </c>
      <c r="AQ31" s="271">
        <v>10739503.67</v>
      </c>
      <c r="AR31" s="271">
        <v>11684960.890000001</v>
      </c>
      <c r="AS31" s="271">
        <v>4251356.1099999994</v>
      </c>
      <c r="AT31" s="271">
        <v>10726688.77</v>
      </c>
      <c r="AU31" s="271">
        <v>6782609.1499999994</v>
      </c>
      <c r="AV31" s="271">
        <v>5504549.7999999998</v>
      </c>
      <c r="AW31" s="271">
        <v>3042462.63</v>
      </c>
      <c r="AX31" s="271">
        <v>24960676.370000001</v>
      </c>
      <c r="AY31" s="271">
        <v>45828889.729999997</v>
      </c>
      <c r="AZ31" s="271">
        <v>5483272.2699999996</v>
      </c>
      <c r="BA31" s="271">
        <v>9996405.1899999995</v>
      </c>
      <c r="BB31" s="271">
        <v>8838214.8300000001</v>
      </c>
      <c r="BC31" s="271">
        <v>3824972.76</v>
      </c>
      <c r="BD31" s="271">
        <v>2885733.71</v>
      </c>
      <c r="BE31" s="271">
        <v>4978309.93</v>
      </c>
      <c r="BF31" s="271">
        <v>13537647.640000001</v>
      </c>
      <c r="BG31" s="271">
        <v>4555050</v>
      </c>
      <c r="BH31" s="271">
        <v>10477920.75</v>
      </c>
      <c r="BI31" s="271">
        <v>24068574.07</v>
      </c>
      <c r="BJ31" s="271">
        <v>8664325.620000001</v>
      </c>
      <c r="BK31" s="271">
        <v>24510110.550000001</v>
      </c>
      <c r="BL31" s="271">
        <v>5621582.25</v>
      </c>
      <c r="BM31" s="271">
        <v>24699268.380000003</v>
      </c>
      <c r="BN31" s="271">
        <v>20830456.699999999</v>
      </c>
      <c r="BO31" s="271">
        <v>9727614.9100000001</v>
      </c>
      <c r="BP31" s="271">
        <v>12987618.640000001</v>
      </c>
      <c r="BQ31" s="271">
        <v>7061969.9900000002</v>
      </c>
      <c r="BR31" s="271">
        <v>25956943.09</v>
      </c>
      <c r="BS31" s="271">
        <v>20649930.009999998</v>
      </c>
      <c r="BT31" s="271">
        <v>26679824.050000001</v>
      </c>
      <c r="BU31" s="271">
        <v>41097123.469999999</v>
      </c>
      <c r="BV31" s="271">
        <v>29935007.030000001</v>
      </c>
      <c r="BW31" s="271">
        <v>22876975.650000002</v>
      </c>
      <c r="BX31" s="271">
        <v>3894872.91</v>
      </c>
      <c r="BY31" s="271">
        <v>14325812.880000001</v>
      </c>
      <c r="BZ31" s="271">
        <v>10658608.779999999</v>
      </c>
      <c r="CA31" s="271">
        <v>5197300.4099999992</v>
      </c>
      <c r="CB31" s="271">
        <v>10731359.040000001</v>
      </c>
      <c r="CC31" s="271">
        <v>15976909.32</v>
      </c>
      <c r="CD31" s="271">
        <v>5658641.4199999999</v>
      </c>
      <c r="CE31" s="271">
        <v>9802639.4400000013</v>
      </c>
      <c r="CF31" s="271">
        <v>5521622.8600000003</v>
      </c>
      <c r="CG31" s="271">
        <v>107157402.42</v>
      </c>
      <c r="CH31" s="271">
        <v>9612688.0799999982</v>
      </c>
      <c r="CI31" s="271">
        <v>15126934.609999999</v>
      </c>
      <c r="CJ31" s="271">
        <v>9578990.2899999991</v>
      </c>
      <c r="CK31" s="271">
        <v>14712558.23</v>
      </c>
      <c r="CL31" s="271">
        <v>15700681.98</v>
      </c>
      <c r="CM31" s="271">
        <v>13049337.489999998</v>
      </c>
      <c r="CN31" s="271">
        <v>16820942.149999999</v>
      </c>
      <c r="CO31" s="271">
        <v>4845256.03</v>
      </c>
      <c r="CP31" s="271">
        <v>26365689.850000001</v>
      </c>
      <c r="CQ31" s="271">
        <v>9633592.25</v>
      </c>
      <c r="CR31" s="271">
        <v>18284596.699999999</v>
      </c>
      <c r="CS31" s="271">
        <v>11917903.82</v>
      </c>
      <c r="CT31" s="271">
        <v>19087542.509999998</v>
      </c>
      <c r="CU31" s="271">
        <v>15877219.23</v>
      </c>
      <c r="CV31" s="271">
        <v>21378841.539999999</v>
      </c>
      <c r="CW31" s="271">
        <v>27364804.009999998</v>
      </c>
      <c r="CX31" s="271">
        <v>6849573.0499999998</v>
      </c>
      <c r="CY31" s="271">
        <v>31114290.700000003</v>
      </c>
      <c r="CZ31" s="271">
        <v>9223047.6999999993</v>
      </c>
      <c r="DA31" s="271">
        <v>9840497.7100000009</v>
      </c>
      <c r="DB31" s="271">
        <v>33782895.659999996</v>
      </c>
      <c r="DC31" s="271">
        <v>73036008.920000002</v>
      </c>
      <c r="DD31" s="271">
        <v>12405682.17</v>
      </c>
      <c r="DE31" s="271">
        <v>8274388.3399999999</v>
      </c>
      <c r="DF31" s="271">
        <v>16721010.550000001</v>
      </c>
      <c r="DG31" s="271">
        <v>22313357.75</v>
      </c>
      <c r="DH31" s="271">
        <v>27405997.539999999</v>
      </c>
      <c r="DI31" s="271">
        <v>48479664.730000004</v>
      </c>
      <c r="DJ31" s="271">
        <v>5968024.0899999999</v>
      </c>
      <c r="DK31" s="271">
        <v>142669667.27000001</v>
      </c>
      <c r="DL31" s="271">
        <v>20008180.48</v>
      </c>
      <c r="DM31" s="271">
        <v>54539234.950000003</v>
      </c>
      <c r="DN31" s="271">
        <v>28791255.690000001</v>
      </c>
      <c r="DO31" s="271">
        <v>52941857.969999999</v>
      </c>
      <c r="DP31" s="271">
        <v>20552709.57</v>
      </c>
      <c r="DQ31" s="271">
        <v>62476799.189999998</v>
      </c>
      <c r="DR31" s="271">
        <v>24663611.949999999</v>
      </c>
      <c r="DS31" s="271">
        <v>34728387.920000002</v>
      </c>
      <c r="DT31" s="271">
        <v>23890579.600000001</v>
      </c>
      <c r="DU31" s="271">
        <v>6236779.9399999995</v>
      </c>
      <c r="DV31" s="271">
        <v>22508739.840000004</v>
      </c>
      <c r="DW31" s="271">
        <v>10367301.34</v>
      </c>
      <c r="DX31" s="271">
        <v>4989390.12</v>
      </c>
      <c r="DY31" s="271">
        <v>8358862.75</v>
      </c>
      <c r="DZ31" s="271">
        <v>9258111.9900000002</v>
      </c>
      <c r="EA31" s="271">
        <v>7583150.7299999995</v>
      </c>
      <c r="EB31" s="271">
        <v>6115729.25</v>
      </c>
      <c r="EC31" s="271">
        <v>3573387.0400000005</v>
      </c>
      <c r="ED31" s="271">
        <v>6164194.5899999999</v>
      </c>
      <c r="EE31" s="271">
        <v>6452125.1200000001</v>
      </c>
      <c r="EF31" s="271">
        <v>22270059.370000001</v>
      </c>
      <c r="EG31" s="271">
        <v>11021905.84</v>
      </c>
      <c r="EH31" s="271">
        <v>14927477.01</v>
      </c>
      <c r="EI31" s="271">
        <v>14762593.76</v>
      </c>
      <c r="EJ31" s="271">
        <v>13364122.600000001</v>
      </c>
      <c r="EK31" s="271">
        <v>16995861.530000001</v>
      </c>
      <c r="EL31" s="271">
        <v>4918104.6500000004</v>
      </c>
      <c r="EM31" s="271">
        <v>8009614.7199999997</v>
      </c>
      <c r="EN31" s="271">
        <v>32185747.019999996</v>
      </c>
      <c r="EO31" s="271">
        <v>23414135.220000003</v>
      </c>
      <c r="EP31" s="271">
        <v>21815200.91</v>
      </c>
      <c r="EQ31" s="271">
        <v>18605186.719999999</v>
      </c>
      <c r="ER31" s="271">
        <v>7974521.7000000002</v>
      </c>
      <c r="ES31" s="271">
        <v>6905970.3600000003</v>
      </c>
      <c r="ET31" s="271">
        <v>38157392.019999996</v>
      </c>
      <c r="EU31" s="271">
        <v>35109643.960000001</v>
      </c>
      <c r="EV31" s="271">
        <v>18594972.960000001</v>
      </c>
      <c r="EW31" s="271">
        <v>30582467.629999999</v>
      </c>
      <c r="EX31" s="271">
        <v>5426826.8699999992</v>
      </c>
      <c r="EY31" s="271">
        <v>14798544.939999998</v>
      </c>
      <c r="EZ31" s="271">
        <v>23266785.210000001</v>
      </c>
      <c r="FA31" s="271">
        <v>29165894.450000003</v>
      </c>
      <c r="FB31" s="271">
        <v>21184672.640000001</v>
      </c>
      <c r="FC31" s="271">
        <v>21886984.149999999</v>
      </c>
      <c r="FD31" s="271">
        <v>12202999.500000002</v>
      </c>
      <c r="FE31" s="271">
        <v>9381796.6199999992</v>
      </c>
      <c r="FF31" s="271">
        <v>9313801.9100000001</v>
      </c>
      <c r="FG31" s="271">
        <v>8090593.5600000005</v>
      </c>
      <c r="FH31" s="271">
        <v>10731241.029999999</v>
      </c>
      <c r="FI31" s="271">
        <v>3569254.92</v>
      </c>
      <c r="FJ31" s="271">
        <v>9351598.620000001</v>
      </c>
      <c r="FK31" s="271">
        <v>6133642.0700000003</v>
      </c>
      <c r="FL31" s="271">
        <v>8994952.8499999996</v>
      </c>
      <c r="FM31" s="271">
        <v>12464021.089999998</v>
      </c>
      <c r="FN31" s="271">
        <v>15922226.68</v>
      </c>
      <c r="FO31" s="271">
        <v>5180006.96</v>
      </c>
      <c r="FP31" s="271">
        <v>5792336.25</v>
      </c>
      <c r="FQ31" s="271">
        <v>63130494.210000001</v>
      </c>
      <c r="FR31" s="271">
        <v>14212258.98</v>
      </c>
      <c r="FS31" s="271">
        <v>20967266.539999999</v>
      </c>
      <c r="FT31" s="271">
        <v>17158999.710000001</v>
      </c>
      <c r="FU31" s="271">
        <v>26516168.449999999</v>
      </c>
      <c r="FV31" s="271">
        <v>10301811.43</v>
      </c>
      <c r="FW31" s="271">
        <v>20744039.369999997</v>
      </c>
      <c r="FX31" s="271">
        <v>27516575.830000002</v>
      </c>
      <c r="FY31" s="271">
        <v>28425304.66</v>
      </c>
      <c r="FZ31" s="271">
        <v>21779548.57</v>
      </c>
      <c r="GA31" s="271">
        <v>29062884.550000001</v>
      </c>
      <c r="GB31" s="271">
        <v>13453591.659999998</v>
      </c>
      <c r="GC31" s="271">
        <v>13524880.569999998</v>
      </c>
      <c r="GD31" s="271">
        <v>10133964.640000001</v>
      </c>
      <c r="GE31" s="271">
        <v>33117471.680000003</v>
      </c>
      <c r="GF31" s="271">
        <v>5190657.66</v>
      </c>
      <c r="GG31" s="271">
        <v>7994963.7699999996</v>
      </c>
      <c r="GH31" s="271">
        <v>9966609.8000000007</v>
      </c>
      <c r="GI31" s="271">
        <v>7280842.0999999996</v>
      </c>
      <c r="GJ31" s="271">
        <v>5836467.8599999994</v>
      </c>
      <c r="GK31" s="271">
        <v>4458781.57</v>
      </c>
      <c r="GL31" s="271">
        <v>15224353.790000001</v>
      </c>
      <c r="GM31" s="271">
        <v>5640709.4900000002</v>
      </c>
      <c r="GN31" s="271">
        <v>7365225.1600000001</v>
      </c>
      <c r="GO31" s="271">
        <v>2549010</v>
      </c>
      <c r="GP31" s="271">
        <v>5421571.5899999999</v>
      </c>
      <c r="GQ31" s="271">
        <v>6544986.9000000004</v>
      </c>
      <c r="GR31" s="271">
        <v>6645485.6600000001</v>
      </c>
      <c r="GS31" s="271">
        <v>4170665.4799999995</v>
      </c>
      <c r="GT31" s="271">
        <v>13105786.67</v>
      </c>
      <c r="GU31" s="271">
        <v>3362925.17</v>
      </c>
      <c r="GV31" s="271">
        <v>10068870.74</v>
      </c>
      <c r="GW31" s="271">
        <v>6871651.4100000001</v>
      </c>
      <c r="GX31" s="271">
        <v>4274668.17</v>
      </c>
      <c r="GY31" s="271">
        <v>11581517.91</v>
      </c>
      <c r="GZ31" s="271">
        <v>6153733.1799999997</v>
      </c>
      <c r="HA31" s="271">
        <v>13542999.25</v>
      </c>
      <c r="HB31" s="271">
        <v>12345277.34</v>
      </c>
      <c r="HC31" s="271">
        <v>28175979.02</v>
      </c>
      <c r="HD31" s="271">
        <v>13412403.4</v>
      </c>
      <c r="HE31" s="271">
        <v>32958175.75</v>
      </c>
      <c r="HF31" s="271">
        <v>30244382.419999998</v>
      </c>
      <c r="HG31" s="271">
        <v>32816931.379999999</v>
      </c>
      <c r="HH31" s="271">
        <v>25219465.440000001</v>
      </c>
      <c r="HI31" s="271">
        <v>9920557.9000000004</v>
      </c>
      <c r="HJ31" s="271">
        <v>24486954.66</v>
      </c>
      <c r="HK31" s="271">
        <v>43368650.82</v>
      </c>
      <c r="HL31" s="271">
        <v>10906295.82</v>
      </c>
      <c r="HM31" s="271">
        <v>8651016.3599999994</v>
      </c>
      <c r="HN31" s="271">
        <v>6026759.5800000001</v>
      </c>
      <c r="HO31" s="271">
        <v>6842915.4399999995</v>
      </c>
      <c r="HP31" s="271">
        <v>11720849.24</v>
      </c>
      <c r="HQ31" s="271">
        <v>5454286.6999999993</v>
      </c>
      <c r="HR31" s="271">
        <v>56901814.719999999</v>
      </c>
      <c r="HS31" s="271">
        <v>11713756.220000001</v>
      </c>
      <c r="HT31" s="271">
        <v>7846642.0099999998</v>
      </c>
      <c r="HU31" s="271">
        <v>6547034.6900000004</v>
      </c>
      <c r="HV31" s="271">
        <v>5874132.3400000008</v>
      </c>
      <c r="HW31" s="271">
        <v>6754656.54</v>
      </c>
      <c r="HX31" s="271">
        <v>18805412.669999998</v>
      </c>
      <c r="HY31" s="271">
        <v>6721748.8199999994</v>
      </c>
      <c r="HZ31" s="271">
        <v>9754197.9799999986</v>
      </c>
      <c r="IA31" s="271">
        <v>9801153.5999999978</v>
      </c>
      <c r="IB31" s="271">
        <v>9809753.1799999997</v>
      </c>
      <c r="IC31" s="271">
        <v>14845288.84</v>
      </c>
      <c r="ID31" s="271">
        <v>4295406.2699999996</v>
      </c>
      <c r="IE31" s="271">
        <v>13349221.200000001</v>
      </c>
      <c r="IF31" s="271">
        <v>418818.75</v>
      </c>
      <c r="IG31" s="271">
        <v>2850275.6</v>
      </c>
      <c r="IH31" s="271">
        <v>13620379.899999999</v>
      </c>
      <c r="II31" s="271">
        <v>4780421.6099999994</v>
      </c>
      <c r="IJ31" s="271">
        <v>12463498.539999999</v>
      </c>
      <c r="IK31" s="271">
        <v>11348862.98</v>
      </c>
      <c r="IL31" s="271">
        <v>8091870.79</v>
      </c>
      <c r="IM31" s="271">
        <v>6347196.0600000005</v>
      </c>
      <c r="IN31" s="271">
        <v>6712516.7800000003</v>
      </c>
      <c r="IO31" s="271">
        <v>3703405.49</v>
      </c>
      <c r="IP31" s="271">
        <v>3364003.2800000003</v>
      </c>
      <c r="IQ31" s="271">
        <v>3161708.56</v>
      </c>
      <c r="IR31" s="271">
        <v>4284713.59</v>
      </c>
      <c r="IS31" s="271">
        <v>28053805.579999998</v>
      </c>
      <c r="IT31" s="271">
        <v>6281878.75</v>
      </c>
      <c r="IU31" s="271">
        <v>5996723.0700000003</v>
      </c>
      <c r="IV31" s="271">
        <v>11017719.85</v>
      </c>
      <c r="IW31" s="271">
        <v>1281094.6800000002</v>
      </c>
      <c r="IX31" s="271">
        <v>850326.91</v>
      </c>
      <c r="IY31" s="271">
        <v>7278008.5699999994</v>
      </c>
      <c r="IZ31" s="271">
        <v>1526060.43</v>
      </c>
      <c r="JA31" s="271">
        <v>2580790.38</v>
      </c>
      <c r="JB31" s="271">
        <v>6497634.1799999997</v>
      </c>
      <c r="JC31" s="271">
        <v>4445726.3900000006</v>
      </c>
      <c r="JD31" s="271">
        <v>3674909</v>
      </c>
      <c r="JE31" s="271">
        <v>10806414.300000001</v>
      </c>
      <c r="JF31" s="271">
        <v>6675786.75</v>
      </c>
      <c r="JG31" s="271">
        <v>11695097.310000001</v>
      </c>
      <c r="JH31" s="271">
        <v>6930173.79</v>
      </c>
      <c r="JI31" s="271">
        <v>5197320.54</v>
      </c>
      <c r="JJ31" s="271">
        <v>2455812.25</v>
      </c>
      <c r="JK31" s="271">
        <v>12416213.120000001</v>
      </c>
      <c r="JL31" s="271">
        <v>6490083.1099999994</v>
      </c>
      <c r="JM31" s="271">
        <v>3787310.2</v>
      </c>
      <c r="JN31" s="271">
        <v>18385766.18</v>
      </c>
      <c r="JO31" s="271">
        <v>10259188.799999999</v>
      </c>
      <c r="JP31" s="271">
        <v>8650310.3699999992</v>
      </c>
      <c r="JQ31" s="271">
        <v>4056156.36</v>
      </c>
      <c r="JR31" s="271">
        <v>33979491.290000007</v>
      </c>
      <c r="JS31" s="271">
        <v>35984739.409999996</v>
      </c>
      <c r="JT31" s="271">
        <v>2217684</v>
      </c>
      <c r="JU31" s="271">
        <v>1334295.6299999999</v>
      </c>
      <c r="JV31" s="271">
        <v>13745545.710000001</v>
      </c>
      <c r="JW31" s="271">
        <v>1778644</v>
      </c>
      <c r="JX31" s="271">
        <v>26151873.859999999</v>
      </c>
      <c r="JY31" s="271">
        <v>3549096.05</v>
      </c>
      <c r="JZ31" s="271">
        <v>27959288.449999999</v>
      </c>
      <c r="KA31" s="271">
        <v>7242380.8499999996</v>
      </c>
      <c r="KB31" s="271">
        <v>7054235.8899999997</v>
      </c>
      <c r="KC31" s="271">
        <v>4452580.37</v>
      </c>
      <c r="KD31" s="271">
        <v>67519053.349999994</v>
      </c>
      <c r="KE31" s="271">
        <v>1070563.75</v>
      </c>
      <c r="KF31" s="271">
        <v>4124757.27</v>
      </c>
      <c r="KG31" s="271">
        <v>1393694.56</v>
      </c>
      <c r="KH31" s="271">
        <v>64231807.200000003</v>
      </c>
      <c r="KI31" s="271">
        <v>35674259.979999997</v>
      </c>
      <c r="KJ31" s="271">
        <v>13345942.800000001</v>
      </c>
      <c r="KK31" s="271">
        <v>25283541.559999999</v>
      </c>
      <c r="KL31" s="271">
        <v>17416861.18</v>
      </c>
      <c r="KM31" s="271">
        <v>17936055.940000001</v>
      </c>
      <c r="KN31" s="271">
        <v>48268446.649999999</v>
      </c>
      <c r="KO31" s="271">
        <v>13542725.66</v>
      </c>
      <c r="KP31" s="271">
        <v>7533560.0300000003</v>
      </c>
      <c r="KQ31" s="271">
        <v>17174411.27</v>
      </c>
      <c r="KR31" s="271">
        <v>19093031.079999998</v>
      </c>
      <c r="KS31" s="271">
        <v>14509043.680000002</v>
      </c>
      <c r="KT31" s="271">
        <v>16999334.050000001</v>
      </c>
      <c r="KU31" s="271">
        <v>7527962.5700000003</v>
      </c>
      <c r="KV31" s="271">
        <v>13877362.140000001</v>
      </c>
      <c r="KW31" s="271">
        <v>17862828.27</v>
      </c>
      <c r="KX31" s="271">
        <v>7878952.7599999998</v>
      </c>
      <c r="KY31" s="271">
        <v>15925437.060000002</v>
      </c>
      <c r="KZ31" s="271">
        <v>7944540.4800000004</v>
      </c>
      <c r="LA31" s="271">
        <v>4092823</v>
      </c>
      <c r="LB31" s="271">
        <v>13140807.299999999</v>
      </c>
      <c r="LC31" s="271">
        <v>26831599.66</v>
      </c>
      <c r="LD31" s="271">
        <v>19084654.350000001</v>
      </c>
      <c r="LE31" s="271">
        <v>34259698.549999997</v>
      </c>
      <c r="LF31" s="271">
        <v>4478434.78</v>
      </c>
      <c r="LG31" s="271">
        <v>127476136.41</v>
      </c>
      <c r="LH31" s="271">
        <v>37437696.890000001</v>
      </c>
      <c r="LI31" s="271">
        <v>16326285.069999998</v>
      </c>
      <c r="LJ31" s="271">
        <v>32024319.210000005</v>
      </c>
      <c r="LK31" s="271">
        <v>25705879.850000001</v>
      </c>
      <c r="LL31" s="271">
        <v>9295343.2999999989</v>
      </c>
      <c r="LM31" s="271">
        <v>4849089.08</v>
      </c>
      <c r="LN31" s="271">
        <v>21780019.510000002</v>
      </c>
      <c r="LO31" s="271">
        <v>6362914.0899999999</v>
      </c>
      <c r="LP31" s="271">
        <v>20406922.759999998</v>
      </c>
      <c r="LQ31" s="271">
        <v>12212243.1</v>
      </c>
      <c r="LR31" s="271">
        <v>16784946.629999999</v>
      </c>
      <c r="LS31" s="271">
        <v>2011334.45</v>
      </c>
      <c r="LT31" s="271">
        <v>5280178.43</v>
      </c>
      <c r="LU31" s="271">
        <v>21021262.98</v>
      </c>
      <c r="LV31" s="271">
        <v>15330180.42</v>
      </c>
      <c r="LW31" s="271">
        <v>23554721.770000003</v>
      </c>
      <c r="LX31" s="271">
        <v>33329134.82</v>
      </c>
      <c r="LY31" s="271">
        <v>12816430.08</v>
      </c>
      <c r="LZ31" s="271">
        <v>13803687.5</v>
      </c>
      <c r="MA31" s="271">
        <v>17680649.050000001</v>
      </c>
      <c r="MB31" s="271">
        <v>9045444.7599999998</v>
      </c>
      <c r="MC31" s="271">
        <v>14893909.1</v>
      </c>
      <c r="MD31" s="271">
        <v>10504717.15</v>
      </c>
      <c r="ME31" s="271">
        <v>21510917.57</v>
      </c>
      <c r="MF31" s="271">
        <v>10006841.810000001</v>
      </c>
      <c r="MG31" s="271">
        <v>44420461.059999987</v>
      </c>
      <c r="MH31" s="271">
        <v>32321285.960000001</v>
      </c>
      <c r="MI31" s="271">
        <v>22876608.5</v>
      </c>
      <c r="MJ31" s="271">
        <v>11722868.75</v>
      </c>
      <c r="MK31" s="271">
        <v>15293832.57</v>
      </c>
      <c r="ML31" s="271">
        <v>22233296.350000001</v>
      </c>
      <c r="MM31" s="271">
        <v>18727096.100000001</v>
      </c>
      <c r="MN31" s="271">
        <v>17505480.949999999</v>
      </c>
      <c r="MO31" s="271">
        <v>26903370.449999999</v>
      </c>
      <c r="MP31" s="271">
        <v>21777742.079999998</v>
      </c>
      <c r="MQ31" s="271">
        <v>22000201.25</v>
      </c>
      <c r="MR31" s="271">
        <v>18918894</v>
      </c>
      <c r="MS31" s="271">
        <v>76745477.00999999</v>
      </c>
      <c r="MT31" s="271">
        <v>6814566.4100000001</v>
      </c>
      <c r="MU31" s="271">
        <v>11715823.199999999</v>
      </c>
      <c r="MV31" s="271">
        <v>20346895.390000001</v>
      </c>
      <c r="MW31" s="271">
        <v>23497498.670000002</v>
      </c>
      <c r="MX31" s="271">
        <v>8485159</v>
      </c>
      <c r="MY31" s="271">
        <v>18956187.5</v>
      </c>
      <c r="MZ31" s="271">
        <v>10941824</v>
      </c>
      <c r="NA31" s="271">
        <v>5509946.2999999998</v>
      </c>
      <c r="NB31" s="271">
        <v>3476148.55</v>
      </c>
      <c r="NC31" s="271">
        <v>3987015.85</v>
      </c>
      <c r="ND31" s="271">
        <v>80458326.840000004</v>
      </c>
      <c r="NE31" s="271">
        <v>23705088.52</v>
      </c>
      <c r="NF31" s="271">
        <v>2398338.5</v>
      </c>
      <c r="NG31" s="271">
        <v>41333287.560000002</v>
      </c>
      <c r="NH31" s="271">
        <v>5095349.75</v>
      </c>
      <c r="NI31" s="271">
        <v>18992008.799999997</v>
      </c>
      <c r="NJ31" s="271">
        <v>22904178</v>
      </c>
      <c r="NK31" s="271">
        <v>25421584.849999998</v>
      </c>
      <c r="NL31" s="271">
        <v>944348.45</v>
      </c>
      <c r="NM31" s="271">
        <v>14009653.890000001</v>
      </c>
      <c r="NN31" s="271">
        <v>10898734.039999999</v>
      </c>
      <c r="NO31" s="271">
        <v>3992760.6500000004</v>
      </c>
      <c r="NP31" s="271">
        <v>13636308.040000001</v>
      </c>
      <c r="NQ31" s="271">
        <v>7717008.6800000006</v>
      </c>
      <c r="NR31" s="271">
        <v>19070856.66</v>
      </c>
      <c r="NS31" s="271">
        <v>11266909.569999998</v>
      </c>
      <c r="NT31" s="271">
        <v>9873153</v>
      </c>
      <c r="NU31" s="271">
        <v>1159077.1499999999</v>
      </c>
      <c r="NV31" s="271">
        <v>4401041.96</v>
      </c>
      <c r="NW31" s="271">
        <v>175945641.70999998</v>
      </c>
      <c r="NX31" s="271">
        <v>16998780.850000001</v>
      </c>
      <c r="NY31" s="271">
        <v>12415629.320000002</v>
      </c>
      <c r="NZ31" s="271">
        <v>12013695.220000001</v>
      </c>
      <c r="OA31" s="271">
        <v>21513051.5</v>
      </c>
      <c r="OB31" s="271">
        <v>25314976.469999999</v>
      </c>
      <c r="OC31" s="271">
        <v>7939186.7000000002</v>
      </c>
      <c r="OD31" s="271">
        <v>51611697.889999993</v>
      </c>
      <c r="OE31" s="271">
        <v>4757033.75</v>
      </c>
      <c r="OF31" s="271">
        <v>7905367.6099999994</v>
      </c>
      <c r="OG31" s="271">
        <v>9255495.4499999993</v>
      </c>
      <c r="OH31" s="271">
        <v>10146897.719999999</v>
      </c>
      <c r="OI31" s="271">
        <v>14435349.27</v>
      </c>
      <c r="OJ31" s="271">
        <v>5830032.7300000004</v>
      </c>
      <c r="OK31" s="271">
        <v>1523301.03</v>
      </c>
      <c r="OL31" s="271">
        <v>7862214.8499999996</v>
      </c>
      <c r="OM31" s="271">
        <v>84850384.659999996</v>
      </c>
      <c r="ON31" s="271">
        <v>11314630.34</v>
      </c>
      <c r="OO31" s="271">
        <v>56795793.079999998</v>
      </c>
      <c r="OP31" s="271">
        <v>20513953.059999999</v>
      </c>
      <c r="OQ31" s="271">
        <v>19779287.390000001</v>
      </c>
      <c r="OR31" s="271">
        <v>18039921.25</v>
      </c>
      <c r="OS31" s="271">
        <v>16434008.459999999</v>
      </c>
      <c r="OT31" s="271">
        <v>6165380.0599999996</v>
      </c>
      <c r="OU31" s="271">
        <v>9559337.8699999992</v>
      </c>
      <c r="OV31" s="271">
        <v>10347880.07</v>
      </c>
      <c r="OW31" s="271">
        <v>30125921</v>
      </c>
      <c r="OX31" s="271">
        <v>11336267.75</v>
      </c>
      <c r="OY31" s="271">
        <v>10370448.41</v>
      </c>
      <c r="OZ31" s="271">
        <v>5930127.1399999997</v>
      </c>
      <c r="PA31" s="271">
        <v>3736458.5</v>
      </c>
      <c r="PB31" s="271">
        <v>58938324.600000001</v>
      </c>
      <c r="PC31" s="271">
        <v>2999326.3000000003</v>
      </c>
      <c r="PD31" s="271">
        <v>2686125.25</v>
      </c>
      <c r="PE31" s="271">
        <v>1058375.3400000001</v>
      </c>
      <c r="PF31" s="271">
        <v>2422137.0699999998</v>
      </c>
      <c r="PG31" s="271">
        <v>7790931.7999999998</v>
      </c>
      <c r="PH31" s="271">
        <v>4203433.8899999997</v>
      </c>
      <c r="PI31" s="271">
        <v>1127268.44</v>
      </c>
      <c r="PJ31" s="271">
        <v>6055018.1799999997</v>
      </c>
      <c r="PK31" s="271">
        <v>1257524.3799999999</v>
      </c>
      <c r="PL31" s="271">
        <v>6738775.2599999998</v>
      </c>
      <c r="PM31" s="271">
        <v>3337462.63</v>
      </c>
      <c r="PN31" s="271">
        <v>1634310.6</v>
      </c>
      <c r="PO31" s="271">
        <v>10524898.100000001</v>
      </c>
      <c r="PP31" s="271">
        <v>724376.39</v>
      </c>
      <c r="PQ31" s="271">
        <v>3303994.23</v>
      </c>
      <c r="PR31" s="271">
        <v>448272.5</v>
      </c>
      <c r="PS31" s="271">
        <v>567527.5</v>
      </c>
      <c r="PT31" s="271">
        <v>36991750.219999999</v>
      </c>
      <c r="PU31" s="271">
        <v>2262611.16</v>
      </c>
      <c r="PV31" s="271">
        <v>1210089</v>
      </c>
      <c r="PW31" s="271">
        <v>8130196.8000000007</v>
      </c>
      <c r="PX31" s="271">
        <v>2234221.4</v>
      </c>
      <c r="PY31" s="271">
        <v>12243784.07</v>
      </c>
      <c r="PZ31" s="271">
        <v>271130</v>
      </c>
      <c r="QA31" s="271">
        <v>4872769.76</v>
      </c>
      <c r="QB31" s="271">
        <v>22916915.98</v>
      </c>
      <c r="QC31" s="271">
        <v>3248800.23</v>
      </c>
      <c r="QD31" s="271">
        <v>14528117.289999999</v>
      </c>
      <c r="QE31" s="271">
        <v>7923375.0800000001</v>
      </c>
      <c r="QF31" s="271">
        <v>6476517.8599999994</v>
      </c>
      <c r="QG31" s="271">
        <v>15447295.740000002</v>
      </c>
      <c r="QH31" s="271">
        <v>3827282.5</v>
      </c>
      <c r="QI31" s="271">
        <v>10010651.210000001</v>
      </c>
      <c r="QJ31" s="271">
        <v>1470476.76</v>
      </c>
      <c r="QK31" s="271">
        <v>9529970.1300000008</v>
      </c>
      <c r="QL31" s="271">
        <v>2831023.51</v>
      </c>
      <c r="QM31" s="271">
        <v>8466605.4499999993</v>
      </c>
      <c r="QN31" s="271">
        <v>5214542.1400000006</v>
      </c>
      <c r="QO31" s="271">
        <v>674010</v>
      </c>
      <c r="QP31" s="271">
        <v>236625</v>
      </c>
      <c r="QQ31" s="271">
        <v>565714.4</v>
      </c>
      <c r="QR31" s="271">
        <v>3771458.7800000003</v>
      </c>
      <c r="QS31" s="271">
        <v>65292</v>
      </c>
      <c r="QT31" s="271">
        <v>38042193.390000001</v>
      </c>
      <c r="QU31" s="271">
        <v>4597346.42</v>
      </c>
      <c r="QV31" s="271">
        <v>6896987.4399999995</v>
      </c>
      <c r="QW31" s="271">
        <v>7635386.4500000002</v>
      </c>
      <c r="QX31" s="271">
        <v>4997242.4800000004</v>
      </c>
      <c r="QY31" s="271">
        <v>11835233.41</v>
      </c>
      <c r="QZ31" s="271">
        <v>4952283.04</v>
      </c>
      <c r="RA31" s="271">
        <v>1632750</v>
      </c>
      <c r="RB31" s="271">
        <v>7392819.8599999994</v>
      </c>
      <c r="RC31" s="271">
        <v>6293350.1500000004</v>
      </c>
      <c r="RD31" s="271">
        <v>5140859.25</v>
      </c>
      <c r="RE31" s="271">
        <v>2203047</v>
      </c>
      <c r="RF31" s="271">
        <v>2876779.75</v>
      </c>
      <c r="RG31" s="271">
        <v>29991860.840000004</v>
      </c>
      <c r="RH31" s="271">
        <v>7598335.71</v>
      </c>
      <c r="RI31" s="271">
        <v>7474274.9500000002</v>
      </c>
      <c r="RJ31" s="271">
        <v>10778361.810000001</v>
      </c>
      <c r="RK31" s="271">
        <v>16471120.57</v>
      </c>
      <c r="RL31" s="271">
        <v>8550089.25</v>
      </c>
      <c r="RM31" s="271">
        <v>12895835.710000001</v>
      </c>
      <c r="RN31" s="271">
        <v>8279781.5</v>
      </c>
      <c r="RO31" s="271">
        <v>7965533</v>
      </c>
      <c r="RP31" s="271">
        <v>15000604.33</v>
      </c>
      <c r="RQ31" s="271">
        <v>6215990.25</v>
      </c>
      <c r="RR31" s="271">
        <v>912158.8</v>
      </c>
      <c r="RS31" s="271">
        <v>4398851.16</v>
      </c>
      <c r="RT31" s="271">
        <v>18921302.469999999</v>
      </c>
      <c r="RU31" s="271">
        <v>4267985.1899999995</v>
      </c>
      <c r="RV31" s="271">
        <v>7976662.8599999994</v>
      </c>
      <c r="RW31" s="271">
        <v>6773617.2699999996</v>
      </c>
      <c r="RX31" s="271">
        <v>4023163.29</v>
      </c>
      <c r="RY31" s="271">
        <v>7904372.3899999997</v>
      </c>
      <c r="RZ31" s="271">
        <v>3335770.4</v>
      </c>
      <c r="SA31" s="271">
        <v>4048200.1</v>
      </c>
      <c r="SB31" s="271">
        <v>7408155.8499999996</v>
      </c>
      <c r="SC31" s="271">
        <v>10018740.399999999</v>
      </c>
      <c r="SD31" s="271">
        <v>7007462.25</v>
      </c>
      <c r="SE31" s="271">
        <v>3778543</v>
      </c>
      <c r="SF31" s="271">
        <v>14774395.710000001</v>
      </c>
      <c r="SG31" s="271">
        <v>16312403.950000001</v>
      </c>
      <c r="SH31" s="271">
        <v>15152103.73</v>
      </c>
      <c r="SI31" s="271">
        <v>8032972.7800000003</v>
      </c>
      <c r="SJ31" s="271">
        <v>10156702.67</v>
      </c>
      <c r="SK31" s="271">
        <v>19755584.829999998</v>
      </c>
      <c r="SL31" s="271">
        <v>4246687.3499999996</v>
      </c>
      <c r="SM31" s="271">
        <v>30984354.93</v>
      </c>
      <c r="SN31" s="271">
        <v>14955011.649999999</v>
      </c>
      <c r="SO31" s="271">
        <v>22098721.340000004</v>
      </c>
      <c r="SP31" s="271">
        <v>10583574.050000001</v>
      </c>
      <c r="SQ31" s="271">
        <v>8480087.1300000008</v>
      </c>
      <c r="SR31" s="271">
        <v>8786474.6099999994</v>
      </c>
      <c r="SS31" s="271">
        <v>6667259.5899999999</v>
      </c>
      <c r="ST31" s="271">
        <v>3957510.3599999994</v>
      </c>
      <c r="SU31" s="271">
        <v>13872964.389999999</v>
      </c>
      <c r="SV31" s="271">
        <v>6635825.9699999997</v>
      </c>
      <c r="SW31" s="271">
        <v>10928243.68</v>
      </c>
      <c r="SX31" s="271">
        <v>11843611.34</v>
      </c>
      <c r="SY31" s="271">
        <v>3002283.42</v>
      </c>
      <c r="SZ31" s="271">
        <v>8984379.2200000007</v>
      </c>
      <c r="TA31" s="271">
        <v>2127148</v>
      </c>
      <c r="TB31" s="271">
        <v>18942215.82</v>
      </c>
      <c r="TC31" s="271">
        <v>4125142.43</v>
      </c>
      <c r="TD31" s="271">
        <v>6968664.75</v>
      </c>
      <c r="TE31" s="271">
        <v>10327699.5</v>
      </c>
      <c r="TF31" s="271">
        <v>13736212.920000002</v>
      </c>
      <c r="TG31" s="271">
        <v>10426102.369999999</v>
      </c>
      <c r="TH31" s="271">
        <v>3748752.5</v>
      </c>
      <c r="TI31" s="271">
        <v>103227951.21000001</v>
      </c>
      <c r="TJ31" s="271">
        <v>6134351.8700000001</v>
      </c>
      <c r="TK31" s="271">
        <v>1589336.3</v>
      </c>
      <c r="TL31" s="271">
        <v>23353629.069999997</v>
      </c>
      <c r="TM31" s="271">
        <v>6936975.2800000003</v>
      </c>
      <c r="TN31" s="271">
        <v>6345288.3099999996</v>
      </c>
      <c r="TO31" s="271">
        <v>1180220.01</v>
      </c>
      <c r="TP31" s="271">
        <v>15336579.449999999</v>
      </c>
      <c r="TQ31" s="271">
        <v>3947671.01</v>
      </c>
      <c r="TR31" s="271">
        <v>5584473.6600000001</v>
      </c>
      <c r="TS31" s="271">
        <v>9059840.7400000021</v>
      </c>
      <c r="TT31" s="271">
        <v>2435418.15</v>
      </c>
      <c r="TU31" s="271">
        <v>2187527.75</v>
      </c>
      <c r="TV31" s="271">
        <v>2645454.16</v>
      </c>
      <c r="TW31" s="271">
        <v>2290281.25</v>
      </c>
      <c r="TX31" s="271">
        <v>2730637.51</v>
      </c>
      <c r="TY31" s="271">
        <v>11432093.220000001</v>
      </c>
      <c r="TZ31" s="271">
        <v>2950767.49</v>
      </c>
      <c r="UA31" s="271">
        <v>12020249.1</v>
      </c>
      <c r="UB31" s="271">
        <v>20175448.050000001</v>
      </c>
      <c r="UC31" s="271">
        <v>9743674.8900000006</v>
      </c>
      <c r="UD31" s="271">
        <v>6687647.2999999998</v>
      </c>
      <c r="UE31" s="271">
        <v>33893090.530000001</v>
      </c>
      <c r="UF31" s="271">
        <v>3275346.75</v>
      </c>
      <c r="UG31" s="271">
        <v>3347369.88</v>
      </c>
      <c r="UH31" s="271">
        <v>9753470.75</v>
      </c>
      <c r="UI31" s="271">
        <v>11283082.5</v>
      </c>
      <c r="UJ31" s="271">
        <v>49970574.780000001</v>
      </c>
      <c r="UK31" s="271">
        <v>11017245.989999998</v>
      </c>
      <c r="UL31" s="271">
        <v>8915111.2399999984</v>
      </c>
      <c r="UM31" s="271">
        <v>9520574.5199999996</v>
      </c>
      <c r="UN31" s="271">
        <v>8078536.1600000001</v>
      </c>
      <c r="UO31" s="271">
        <v>4801418.6400000006</v>
      </c>
      <c r="UP31" s="271">
        <v>60382438.790000007</v>
      </c>
      <c r="UQ31" s="271">
        <v>21556503.57</v>
      </c>
      <c r="UR31" s="271">
        <v>21020413.650000002</v>
      </c>
      <c r="US31" s="271">
        <v>26666074.43</v>
      </c>
      <c r="UT31" s="271">
        <v>2235925</v>
      </c>
      <c r="UU31" s="271">
        <v>10048809.33</v>
      </c>
      <c r="UV31" s="271">
        <v>19366428.550000001</v>
      </c>
      <c r="UW31" s="271">
        <v>7790698.75</v>
      </c>
      <c r="UX31" s="271">
        <v>8243307.4800000004</v>
      </c>
      <c r="UY31" s="271">
        <v>15597315.620000001</v>
      </c>
      <c r="UZ31" s="271">
        <v>13752638.26</v>
      </c>
      <c r="VA31" s="271">
        <v>26317742.68</v>
      </c>
      <c r="VB31" s="271">
        <v>11674949.58</v>
      </c>
      <c r="VC31" s="271">
        <v>19606774.82</v>
      </c>
      <c r="VD31" s="271">
        <v>8778866.6400000006</v>
      </c>
      <c r="VE31" s="271">
        <v>6581988.3399999999</v>
      </c>
      <c r="VF31" s="271">
        <v>3428264.23</v>
      </c>
      <c r="VG31" s="271">
        <v>5611303.5</v>
      </c>
      <c r="VH31" s="271">
        <v>21560868.430000003</v>
      </c>
      <c r="VI31" s="271">
        <v>8752102.0299999993</v>
      </c>
      <c r="VJ31" s="271">
        <v>8015980.4400000004</v>
      </c>
      <c r="VK31" s="271">
        <v>2212965.6399999997</v>
      </c>
      <c r="VL31" s="271">
        <v>23534550.490000002</v>
      </c>
      <c r="VM31" s="271">
        <v>4922816.33</v>
      </c>
      <c r="VN31" s="271">
        <v>10322170.210000001</v>
      </c>
      <c r="VO31" s="271">
        <v>21940249.02</v>
      </c>
      <c r="VP31" s="271">
        <v>5578041.8700000001</v>
      </c>
      <c r="VQ31" s="271">
        <v>10664735.010000002</v>
      </c>
      <c r="VR31" s="271">
        <v>12713248.740000002</v>
      </c>
      <c r="VS31" s="271">
        <v>6771259.6200000001</v>
      </c>
      <c r="VT31" s="271">
        <v>9418216.0299999993</v>
      </c>
      <c r="VU31" s="271">
        <v>17384029.350000001</v>
      </c>
      <c r="VV31" s="271">
        <v>10002175.550000001</v>
      </c>
      <c r="VW31" s="271">
        <v>9920923.4000000004</v>
      </c>
      <c r="VX31" s="271">
        <v>14788767.57</v>
      </c>
      <c r="VY31" s="271">
        <v>4891536.6100000003</v>
      </c>
      <c r="VZ31" s="271">
        <v>3463828.4899999998</v>
      </c>
      <c r="WA31" s="271">
        <v>70016147.719999999</v>
      </c>
      <c r="WB31" s="271">
        <v>9392904.9199999999</v>
      </c>
      <c r="WC31" s="271">
        <v>8200588</v>
      </c>
      <c r="WD31" s="271">
        <v>13849130.739999998</v>
      </c>
      <c r="WE31" s="271">
        <v>7312009.6200000001</v>
      </c>
      <c r="WF31" s="271">
        <v>5515585.1500000004</v>
      </c>
      <c r="WG31" s="271">
        <v>9250363.3200000003</v>
      </c>
      <c r="WH31" s="271">
        <v>14637018.6</v>
      </c>
      <c r="WI31" s="271">
        <v>9905233.6500000004</v>
      </c>
      <c r="WJ31" s="271">
        <v>17477183.02</v>
      </c>
      <c r="WK31" s="271">
        <v>4140910.92</v>
      </c>
      <c r="WL31" s="271">
        <v>8517930.120000001</v>
      </c>
      <c r="WM31" s="271">
        <v>12829563.370000001</v>
      </c>
      <c r="WN31" s="271">
        <v>10548678.460000001</v>
      </c>
      <c r="WO31" s="271">
        <v>9372256.1799999997</v>
      </c>
      <c r="WP31" s="271">
        <v>8696163.6799999997</v>
      </c>
      <c r="WQ31" s="271">
        <v>15897432.5</v>
      </c>
      <c r="WR31" s="271">
        <v>9997195.9499999993</v>
      </c>
      <c r="WS31" s="271">
        <v>5800814.6000000006</v>
      </c>
      <c r="WT31" s="271">
        <v>14113668.350000001</v>
      </c>
      <c r="WU31" s="271">
        <v>27378372.800000001</v>
      </c>
      <c r="WV31" s="271">
        <v>3568585.92</v>
      </c>
      <c r="WW31" s="271">
        <v>8835552.5</v>
      </c>
      <c r="WX31" s="271">
        <v>987580.42999999993</v>
      </c>
      <c r="WY31" s="271">
        <v>4628587.59</v>
      </c>
      <c r="WZ31" s="271">
        <v>2897200.2</v>
      </c>
      <c r="XA31" s="271">
        <v>3409650.13</v>
      </c>
      <c r="XB31" s="271">
        <v>5051094.8100000005</v>
      </c>
      <c r="XC31" s="271">
        <v>16425134.84</v>
      </c>
      <c r="XD31" s="271">
        <v>3973138.82</v>
      </c>
      <c r="XE31" s="271">
        <v>6245275.1699999999</v>
      </c>
      <c r="XF31" s="271">
        <v>4365140.9400000004</v>
      </c>
      <c r="XG31" s="271">
        <v>2178796</v>
      </c>
      <c r="XH31" s="271">
        <v>29698437.459999997</v>
      </c>
      <c r="XI31" s="271">
        <v>26110198.789999999</v>
      </c>
      <c r="XJ31" s="271">
        <v>40083766.140000001</v>
      </c>
      <c r="XK31" s="271">
        <v>31372886.280000001</v>
      </c>
      <c r="XL31" s="271">
        <v>19871328.359999999</v>
      </c>
      <c r="XM31" s="271">
        <v>24460274.189999998</v>
      </c>
      <c r="XN31" s="271">
        <v>49574908.150000006</v>
      </c>
      <c r="XO31" s="271">
        <v>40117412.269999996</v>
      </c>
      <c r="XP31" s="271">
        <v>17043206.07</v>
      </c>
      <c r="XQ31" s="271">
        <v>42645382.130000003</v>
      </c>
      <c r="XR31" s="271">
        <v>51059108.189999998</v>
      </c>
      <c r="XS31" s="271">
        <v>15361156.040000001</v>
      </c>
      <c r="XT31" s="271">
        <v>8950496.25</v>
      </c>
      <c r="XU31" s="271">
        <v>17395520.600000001</v>
      </c>
      <c r="XV31" s="271">
        <v>18441233.849999998</v>
      </c>
      <c r="XW31" s="271">
        <v>16226158.949999999</v>
      </c>
      <c r="XX31" s="271">
        <v>7561180</v>
      </c>
      <c r="XY31" s="271">
        <v>13731581.190000001</v>
      </c>
      <c r="XZ31" s="271">
        <v>10518014.139999999</v>
      </c>
      <c r="YA31" s="271">
        <v>8510425.3200000003</v>
      </c>
      <c r="YB31" s="271">
        <v>15059744.279999999</v>
      </c>
      <c r="YC31" s="271">
        <v>15086121.189999999</v>
      </c>
      <c r="YD31" s="271">
        <v>23716608.48</v>
      </c>
      <c r="YE31" s="271">
        <v>107405603.42999999</v>
      </c>
      <c r="YF31" s="271">
        <v>10101226.549999999</v>
      </c>
      <c r="YG31" s="271">
        <v>11933100.860000001</v>
      </c>
      <c r="YH31" s="271">
        <v>7434095.25</v>
      </c>
      <c r="YI31" s="271">
        <v>1138207.5</v>
      </c>
      <c r="YJ31" s="271">
        <v>14311826.939999999</v>
      </c>
      <c r="YK31" s="271">
        <v>10577258.85</v>
      </c>
      <c r="YL31" s="271">
        <v>9084154.5600000005</v>
      </c>
      <c r="YM31" s="271">
        <v>16076270.560000001</v>
      </c>
      <c r="YN31" s="271">
        <v>18415705.719999999</v>
      </c>
      <c r="YO31" s="271">
        <v>10998121.51</v>
      </c>
      <c r="YP31" s="271">
        <v>14532558.42</v>
      </c>
      <c r="YQ31" s="271">
        <v>8012462.1600000001</v>
      </c>
      <c r="YR31" s="271">
        <v>2992338.16</v>
      </c>
      <c r="YS31" s="271">
        <v>10637974.560000001</v>
      </c>
      <c r="YT31" s="271">
        <v>7634287.25</v>
      </c>
      <c r="YU31" s="271">
        <v>5838541.1299999999</v>
      </c>
      <c r="YV31" s="271">
        <v>7537382.2599999998</v>
      </c>
      <c r="YW31" s="271">
        <v>14005689.530000001</v>
      </c>
      <c r="YX31" s="271">
        <v>13076948</v>
      </c>
      <c r="YY31" s="271">
        <v>7865260.25</v>
      </c>
      <c r="YZ31" s="271">
        <v>11736351.23</v>
      </c>
      <c r="ZA31" s="271">
        <v>4687973</v>
      </c>
      <c r="ZB31" s="271">
        <v>6393201.7199999997</v>
      </c>
      <c r="ZC31" s="271">
        <v>47709415.329999998</v>
      </c>
      <c r="ZD31" s="271">
        <v>1721260</v>
      </c>
      <c r="ZE31" s="271">
        <v>7425426.8200000003</v>
      </c>
      <c r="ZF31" s="271">
        <v>4835895</v>
      </c>
      <c r="ZG31" s="271">
        <v>5845907.2300000004</v>
      </c>
      <c r="ZH31" s="271">
        <v>6253383.75</v>
      </c>
      <c r="ZI31" s="271">
        <v>2027647.93</v>
      </c>
      <c r="ZJ31" s="271">
        <v>2358194.4699999997</v>
      </c>
      <c r="ZK31" s="271">
        <v>2802042.35</v>
      </c>
      <c r="ZL31" s="271">
        <v>51549897.849999994</v>
      </c>
      <c r="ZM31" s="271">
        <v>4876112.93</v>
      </c>
      <c r="ZN31" s="271">
        <v>8806219.5600000005</v>
      </c>
      <c r="ZO31" s="271">
        <v>28089643.359999999</v>
      </c>
      <c r="ZP31" s="271">
        <v>17607324.599999998</v>
      </c>
      <c r="ZQ31" s="271">
        <v>6191654.29</v>
      </c>
      <c r="ZR31" s="271">
        <v>7824514.4699999997</v>
      </c>
      <c r="ZS31" s="271">
        <v>14828325.880000001</v>
      </c>
      <c r="ZT31" s="271">
        <v>8440659.3399999999</v>
      </c>
      <c r="ZU31" s="271">
        <v>23194405.449999999</v>
      </c>
      <c r="ZV31" s="271">
        <v>5221759.5500000007</v>
      </c>
      <c r="ZW31" s="271">
        <v>8270281.0499999998</v>
      </c>
      <c r="ZX31" s="271">
        <v>6298370.1399999997</v>
      </c>
      <c r="ZY31" s="271">
        <v>9137839.8900000006</v>
      </c>
      <c r="ZZ31" s="271">
        <v>8945166.120000001</v>
      </c>
      <c r="AAA31" s="271">
        <v>7993023.8000000007</v>
      </c>
      <c r="AAB31" s="271">
        <v>9876386.1999999993</v>
      </c>
      <c r="AAC31" s="271">
        <v>7561654.4500000002</v>
      </c>
      <c r="AAD31" s="271">
        <v>7131182.0999999996</v>
      </c>
      <c r="AAE31" s="271">
        <v>7724012.79</v>
      </c>
      <c r="AAF31" s="271">
        <v>7623318.3499999996</v>
      </c>
      <c r="AAG31" s="271">
        <v>8612477.0700000003</v>
      </c>
      <c r="AAH31" s="271">
        <v>33125645.309999995</v>
      </c>
      <c r="AAI31" s="271">
        <v>4049800.75</v>
      </c>
      <c r="AAJ31" s="271">
        <v>1672441.1600000001</v>
      </c>
      <c r="AAK31" s="271">
        <v>2045059.5499999998</v>
      </c>
      <c r="AAL31" s="271">
        <v>3907379.8</v>
      </c>
      <c r="AAM31" s="271">
        <v>9781381.5</v>
      </c>
      <c r="AAN31" s="271">
        <v>6662826.3899999997</v>
      </c>
      <c r="AAO31" s="271">
        <v>37914711.090000004</v>
      </c>
      <c r="AAP31" s="271">
        <v>6146690.5</v>
      </c>
      <c r="AAQ31" s="271">
        <v>3951689.76</v>
      </c>
      <c r="AAR31" s="271">
        <v>18777475.129999999</v>
      </c>
      <c r="AAS31" s="271">
        <v>8430634.2800000012</v>
      </c>
      <c r="AAT31" s="271">
        <v>6311357.5099999998</v>
      </c>
      <c r="AAU31" s="271">
        <v>13269930.470000001</v>
      </c>
      <c r="AAV31" s="271">
        <v>6527030.25</v>
      </c>
      <c r="AAW31" s="271">
        <v>17225048.170000002</v>
      </c>
      <c r="AAX31" s="271">
        <v>4913219</v>
      </c>
      <c r="AAY31" s="271">
        <v>14401194.870000001</v>
      </c>
      <c r="AAZ31" s="271">
        <v>10702149.25</v>
      </c>
      <c r="ABA31" s="271">
        <v>24646873.68</v>
      </c>
      <c r="ABB31" s="271">
        <v>5929122.2600000007</v>
      </c>
      <c r="ABC31" s="271">
        <v>6589547.4100000001</v>
      </c>
      <c r="ABD31" s="271">
        <v>5314535.6000000006</v>
      </c>
      <c r="ABE31" s="271">
        <v>922152.99</v>
      </c>
      <c r="ABF31" s="271">
        <v>6101078.4000000004</v>
      </c>
      <c r="ABG31" s="271">
        <v>5949363.6500000004</v>
      </c>
      <c r="ABH31" s="271">
        <v>13232577.699999999</v>
      </c>
      <c r="ABI31" s="271">
        <v>34461433.420000002</v>
      </c>
      <c r="ABJ31" s="271">
        <v>4597399.25</v>
      </c>
      <c r="ABK31" s="271">
        <v>6705929.1900000004</v>
      </c>
      <c r="ABL31" s="271">
        <v>5420530.1899999995</v>
      </c>
      <c r="ABM31" s="271">
        <v>7510004.7999999998</v>
      </c>
      <c r="ABN31" s="271">
        <v>3033567</v>
      </c>
      <c r="ABO31" s="271">
        <v>25029352.610000003</v>
      </c>
      <c r="ABP31" s="271">
        <v>18281185.25</v>
      </c>
      <c r="ABQ31" s="271">
        <v>3392761.56</v>
      </c>
      <c r="ABR31" s="271">
        <v>33938437.649999999</v>
      </c>
      <c r="ABS31" s="271">
        <v>23417256.870000001</v>
      </c>
      <c r="ABT31" s="271">
        <v>14134969.91</v>
      </c>
      <c r="ABU31" s="271">
        <v>8314055.1899999995</v>
      </c>
      <c r="ABV31" s="271">
        <v>21742540.280000001</v>
      </c>
      <c r="ABW31" s="271">
        <v>930354</v>
      </c>
      <c r="ABX31" s="271">
        <v>44696145.539999999</v>
      </c>
      <c r="ABY31" s="271">
        <v>2185392.2800000003</v>
      </c>
      <c r="ABZ31" s="271">
        <v>16738191.199999999</v>
      </c>
      <c r="ACA31" s="271">
        <v>1721981.92</v>
      </c>
      <c r="ACB31" s="271">
        <v>2490878.38</v>
      </c>
      <c r="ACC31" s="271">
        <v>10891664.890000001</v>
      </c>
      <c r="ACD31" s="271">
        <v>2977280.86</v>
      </c>
      <c r="ACE31" s="271">
        <v>3441608.2</v>
      </c>
      <c r="ACF31" s="271">
        <v>7494151.4900000002</v>
      </c>
      <c r="ACG31" s="271">
        <v>11700563.029999999</v>
      </c>
      <c r="ACH31" s="271">
        <v>4205420.8499999996</v>
      </c>
      <c r="ACI31" s="271">
        <v>49248801.07</v>
      </c>
      <c r="ACJ31" s="271">
        <v>1730746.7</v>
      </c>
      <c r="ACK31" s="271">
        <v>3380364.66</v>
      </c>
      <c r="ACL31" s="271">
        <v>3489437.65</v>
      </c>
      <c r="ACM31" s="271">
        <v>605471.94999999995</v>
      </c>
      <c r="ACN31" s="271">
        <v>1747101.5</v>
      </c>
      <c r="ACO31" s="271">
        <v>4777398.9000000004</v>
      </c>
      <c r="ACP31" s="271">
        <v>20767105.949999999</v>
      </c>
      <c r="ACQ31" s="271">
        <v>24707677.440000001</v>
      </c>
      <c r="ACR31" s="271">
        <v>389872</v>
      </c>
      <c r="ACS31" s="271">
        <v>1938762.54</v>
      </c>
      <c r="ACT31" s="271">
        <v>4205086.13</v>
      </c>
      <c r="ACU31" s="271">
        <v>1216409</v>
      </c>
      <c r="ACV31" s="271">
        <v>15344752.129999999</v>
      </c>
      <c r="ACW31" s="271">
        <v>2796461</v>
      </c>
      <c r="ACX31" s="271">
        <v>6251520.6600000001</v>
      </c>
      <c r="ACY31" s="271">
        <v>2049770.1300000001</v>
      </c>
      <c r="ACZ31" s="271">
        <v>1509706.26</v>
      </c>
      <c r="ADA31" s="271">
        <v>2333380.86</v>
      </c>
      <c r="ADB31" s="271">
        <v>145192</v>
      </c>
      <c r="ADC31" s="271">
        <v>1129930.9700000002</v>
      </c>
      <c r="ADD31" s="271">
        <v>4994548.1899999995</v>
      </c>
      <c r="ADE31" s="271">
        <v>3075513</v>
      </c>
      <c r="ADF31" s="271">
        <v>6836194.3100000005</v>
      </c>
      <c r="ADG31" s="271">
        <v>5232506.83</v>
      </c>
      <c r="ADH31" s="271">
        <v>4811840.38</v>
      </c>
      <c r="ADI31" s="271">
        <v>1254905.78</v>
      </c>
      <c r="ADJ31" s="271">
        <v>1895342.18</v>
      </c>
      <c r="ADK31" s="271">
        <v>1789118</v>
      </c>
      <c r="ADL31" s="271">
        <v>4532053.6100000003</v>
      </c>
      <c r="ADM31" s="271">
        <v>2907258.57</v>
      </c>
      <c r="ADN31" s="271">
        <v>6617266.4699999997</v>
      </c>
      <c r="ADO31" s="271">
        <v>174270239.03000003</v>
      </c>
      <c r="ADP31" s="271">
        <v>4810380.4800000004</v>
      </c>
      <c r="ADQ31" s="271">
        <v>5805834.1100000003</v>
      </c>
      <c r="ADR31" s="271">
        <v>490320.2</v>
      </c>
      <c r="ADS31" s="271">
        <v>17905470.509999998</v>
      </c>
      <c r="ADT31" s="271">
        <v>999364.53</v>
      </c>
      <c r="ADU31" s="271">
        <v>3492293.6899999995</v>
      </c>
      <c r="ADV31" s="271">
        <v>8760021.1999999993</v>
      </c>
      <c r="ADW31" s="271">
        <v>1188013.56</v>
      </c>
      <c r="ADX31" s="271">
        <v>46702</v>
      </c>
      <c r="ADY31" s="271">
        <v>89980303.790000007</v>
      </c>
      <c r="ADZ31" s="271">
        <v>4310480.82</v>
      </c>
      <c r="AEA31" s="271">
        <v>17125538.939999998</v>
      </c>
      <c r="AEB31" s="271">
        <v>2684023.4500000002</v>
      </c>
      <c r="AEC31" s="271">
        <v>3020091.37</v>
      </c>
      <c r="AED31" s="271">
        <v>10839991.51</v>
      </c>
      <c r="AEE31" s="271">
        <v>4199774.91</v>
      </c>
      <c r="AEF31" s="271">
        <v>3734305.13</v>
      </c>
      <c r="AEG31" s="271">
        <v>2769817.32</v>
      </c>
      <c r="AEH31" s="271">
        <v>2990165.82</v>
      </c>
      <c r="AEI31" s="271">
        <v>2969260.44</v>
      </c>
      <c r="AEJ31" s="271">
        <v>16623300.800000001</v>
      </c>
      <c r="AEK31" s="271">
        <v>3125931.52</v>
      </c>
      <c r="AEL31" s="271">
        <v>6705875.1699999999</v>
      </c>
      <c r="AEM31" s="271">
        <v>6856142.3899999997</v>
      </c>
      <c r="AEN31" s="271">
        <v>2867612.92</v>
      </c>
      <c r="AEO31" s="271">
        <v>3228790.45</v>
      </c>
      <c r="AEP31" s="271">
        <v>6338428.2000000002</v>
      </c>
      <c r="AEQ31" s="271">
        <v>3083854.3299999996</v>
      </c>
      <c r="AER31" s="271">
        <v>3609826.0500000003</v>
      </c>
      <c r="AES31" s="271">
        <v>37939957.369999997</v>
      </c>
      <c r="AET31" s="271">
        <v>23512937.940000001</v>
      </c>
      <c r="AEU31" s="271">
        <v>18513720.990000002</v>
      </c>
      <c r="AEV31" s="271">
        <v>23075486.140000001</v>
      </c>
      <c r="AEW31" s="271">
        <v>11949468.709999999</v>
      </c>
      <c r="AEX31" s="271">
        <v>45012624.569999993</v>
      </c>
      <c r="AEY31" s="271">
        <v>18518886.690000001</v>
      </c>
      <c r="AEZ31" s="271">
        <v>16391354.73</v>
      </c>
      <c r="AFA31" s="271">
        <v>17477332.359999999</v>
      </c>
      <c r="AFB31" s="271">
        <v>7692390.79</v>
      </c>
      <c r="AFC31" s="271">
        <v>16138525.969999999</v>
      </c>
      <c r="AFD31" s="271">
        <v>7301426.1200000001</v>
      </c>
      <c r="AFE31" s="271">
        <v>7365731.04</v>
      </c>
      <c r="AFF31" s="271">
        <v>6147973.6100000003</v>
      </c>
      <c r="AFG31" s="271">
        <v>9390914.0299999993</v>
      </c>
      <c r="AFH31" s="271">
        <v>6024035.5099999998</v>
      </c>
      <c r="AFI31" s="271">
        <v>4510972.54</v>
      </c>
      <c r="AFJ31" s="271">
        <v>9022703.9199999999</v>
      </c>
      <c r="AFK31" s="271">
        <v>3954394.01</v>
      </c>
      <c r="AFL31" s="271">
        <v>6267993.04</v>
      </c>
      <c r="AFM31" s="271">
        <v>3229362.87</v>
      </c>
      <c r="AFN31" s="271">
        <v>3283215.91</v>
      </c>
      <c r="AFO31" s="271">
        <v>4798038.8100000005</v>
      </c>
      <c r="AFP31" s="271">
        <v>7581820.4800000004</v>
      </c>
      <c r="AFQ31" s="271">
        <v>7561358.79</v>
      </c>
      <c r="AFR31" s="271">
        <v>11857272.91</v>
      </c>
      <c r="AFS31" s="271">
        <v>5828066.5899999999</v>
      </c>
      <c r="AFT31" s="271">
        <v>7651088.3500000006</v>
      </c>
      <c r="AFU31" s="271">
        <v>4352458.71</v>
      </c>
      <c r="AFV31" s="271">
        <v>2771205.12</v>
      </c>
      <c r="AFW31" s="271">
        <v>13548575.880000001</v>
      </c>
      <c r="AFX31" s="271">
        <v>14986511.010000002</v>
      </c>
      <c r="AFY31" s="271">
        <v>3863506.75</v>
      </c>
      <c r="AFZ31" s="271">
        <v>7604748.1600000001</v>
      </c>
      <c r="AGA31" s="271">
        <v>3880493.6399999997</v>
      </c>
      <c r="AGB31" s="271">
        <v>126975409.70999999</v>
      </c>
      <c r="AGC31" s="271">
        <v>16119062.250000002</v>
      </c>
      <c r="AGD31" s="271">
        <v>21308738.559999999</v>
      </c>
      <c r="AGE31" s="271">
        <v>13993927.92</v>
      </c>
      <c r="AGF31" s="271">
        <v>38309078.350000001</v>
      </c>
      <c r="AGG31" s="271">
        <v>17570410.23</v>
      </c>
      <c r="AGH31" s="271">
        <v>7103656.29</v>
      </c>
      <c r="AGI31" s="271">
        <v>17761404.550000001</v>
      </c>
      <c r="AGJ31" s="271">
        <v>9325258.7200000007</v>
      </c>
      <c r="AGK31" s="271">
        <v>18449222.699999999</v>
      </c>
      <c r="AGL31" s="271">
        <v>13316657.25</v>
      </c>
      <c r="AGM31" s="271">
        <v>33535841.619999997</v>
      </c>
      <c r="AGN31" s="271">
        <v>7585836.0899999999</v>
      </c>
      <c r="AGO31" s="271">
        <v>15532775.550000001</v>
      </c>
      <c r="AGP31" s="271">
        <v>6166324.2999999998</v>
      </c>
      <c r="AGQ31" s="271">
        <v>15903633.279999999</v>
      </c>
      <c r="AGR31" s="271">
        <v>14392819</v>
      </c>
      <c r="AGS31" s="271">
        <v>4214975.2</v>
      </c>
      <c r="AGT31" s="271">
        <v>7890431.1799999997</v>
      </c>
      <c r="AGU31" s="271">
        <v>66373654.520000003</v>
      </c>
      <c r="AGV31" s="271">
        <v>18452555.390000001</v>
      </c>
      <c r="AGW31" s="271">
        <v>6349887.7599999998</v>
      </c>
      <c r="AGX31" s="271">
        <v>28240526.850000001</v>
      </c>
      <c r="AGY31" s="271">
        <v>10067754.600000001</v>
      </c>
      <c r="AGZ31" s="271">
        <v>9900577.6799999978</v>
      </c>
      <c r="AHA31" s="271">
        <v>8838281.0099999998</v>
      </c>
      <c r="AHB31" s="271">
        <v>19076877.510000002</v>
      </c>
      <c r="AHC31" s="271">
        <v>4686573.1500000004</v>
      </c>
      <c r="AHD31" s="271">
        <v>7547542.1399999997</v>
      </c>
      <c r="AHE31" s="271">
        <v>15341107.109999999</v>
      </c>
      <c r="AHF31" s="271">
        <v>2251746.15</v>
      </c>
      <c r="AHG31" s="271">
        <v>5958939.1100000003</v>
      </c>
      <c r="AHH31" s="271">
        <v>10567091.879999999</v>
      </c>
      <c r="AHI31" s="271">
        <v>9328428.040000001</v>
      </c>
      <c r="AHJ31" s="271">
        <v>8495365.0300000012</v>
      </c>
      <c r="AHK31" s="271">
        <v>9277840.2699999996</v>
      </c>
      <c r="AHL31" s="271">
        <v>18586611.18</v>
      </c>
      <c r="AHM31" s="271">
        <v>9672031.6599999983</v>
      </c>
      <c r="AHN31" s="271">
        <v>8632899.3100000005</v>
      </c>
      <c r="AHO31" s="271">
        <v>5874998.1000000006</v>
      </c>
      <c r="AHP31" s="271">
        <v>16931025.270000003</v>
      </c>
      <c r="AHQ31" s="294">
        <v>7403731.3700000001</v>
      </c>
      <c r="AHR31" s="331">
        <v>5937884.3200000003</v>
      </c>
      <c r="AHS31" s="294">
        <f t="shared" si="18"/>
        <v>13215917949.050028</v>
      </c>
      <c r="AHT31" s="269" t="b">
        <f t="shared" si="1"/>
        <v>1</v>
      </c>
      <c r="AHU31" s="269" t="s">
        <v>41</v>
      </c>
    </row>
    <row r="32" spans="1:905" ht="23.4" customHeight="1" x14ac:dyDescent="0.7">
      <c r="B32" s="268" t="s">
        <v>1145</v>
      </c>
      <c r="C32" s="269" t="s">
        <v>1146</v>
      </c>
      <c r="D32" s="271">
        <v>3240564188.3299999</v>
      </c>
      <c r="E32" s="271">
        <v>0</v>
      </c>
      <c r="F32" s="271">
        <v>0</v>
      </c>
      <c r="G32" s="271">
        <v>0</v>
      </c>
      <c r="H32" s="271">
        <v>0</v>
      </c>
      <c r="I32" s="271">
        <v>0</v>
      </c>
      <c r="J32" s="271">
        <v>0</v>
      </c>
      <c r="K32" s="271">
        <v>0</v>
      </c>
      <c r="L32" s="271">
        <v>0</v>
      </c>
      <c r="M32" s="271">
        <v>0</v>
      </c>
      <c r="N32" s="271">
        <v>0</v>
      </c>
      <c r="O32" s="271">
        <v>0</v>
      </c>
      <c r="P32" s="271">
        <v>0</v>
      </c>
      <c r="Q32" s="271">
        <v>0</v>
      </c>
      <c r="R32" s="271">
        <v>0</v>
      </c>
      <c r="S32" s="271">
        <v>0</v>
      </c>
      <c r="T32" s="271">
        <v>0</v>
      </c>
      <c r="U32" s="271">
        <v>0</v>
      </c>
      <c r="V32" s="271">
        <v>2391644459.3499999</v>
      </c>
      <c r="W32" s="271">
        <v>453906.45</v>
      </c>
      <c r="X32" s="271">
        <v>0</v>
      </c>
      <c r="Y32" s="271">
        <v>0</v>
      </c>
      <c r="Z32" s="271">
        <v>0</v>
      </c>
      <c r="AA32" s="271">
        <v>0</v>
      </c>
      <c r="AB32" s="271">
        <v>0</v>
      </c>
      <c r="AC32" s="271">
        <v>783697.23</v>
      </c>
      <c r="AD32" s="271">
        <v>0</v>
      </c>
      <c r="AE32" s="271">
        <v>0</v>
      </c>
      <c r="AF32" s="271">
        <v>0</v>
      </c>
      <c r="AG32" s="271">
        <v>0</v>
      </c>
      <c r="AH32" s="271">
        <v>0</v>
      </c>
      <c r="AI32" s="271">
        <v>0</v>
      </c>
      <c r="AJ32" s="271">
        <v>0</v>
      </c>
      <c r="AK32" s="271">
        <v>0</v>
      </c>
      <c r="AL32" s="271">
        <v>0</v>
      </c>
      <c r="AM32" s="271">
        <v>0</v>
      </c>
      <c r="AN32" s="271">
        <v>0</v>
      </c>
      <c r="AO32" s="271">
        <v>0</v>
      </c>
      <c r="AP32" s="271">
        <v>0</v>
      </c>
      <c r="AQ32" s="271">
        <v>0</v>
      </c>
      <c r="AR32" s="271">
        <v>0</v>
      </c>
      <c r="AS32" s="271">
        <v>0</v>
      </c>
      <c r="AT32" s="271">
        <v>0</v>
      </c>
      <c r="AU32" s="271">
        <v>0</v>
      </c>
      <c r="AV32" s="271">
        <v>0</v>
      </c>
      <c r="AW32" s="271">
        <v>0</v>
      </c>
      <c r="AX32" s="271">
        <v>0</v>
      </c>
      <c r="AY32" s="271">
        <v>0</v>
      </c>
      <c r="AZ32" s="271">
        <v>0</v>
      </c>
      <c r="BA32" s="271">
        <v>0</v>
      </c>
      <c r="BB32" s="271">
        <v>0</v>
      </c>
      <c r="BC32" s="271">
        <v>0</v>
      </c>
      <c r="BD32" s="271">
        <v>0</v>
      </c>
      <c r="BE32" s="271">
        <v>0</v>
      </c>
      <c r="BF32" s="271">
        <v>0</v>
      </c>
      <c r="BG32" s="271">
        <v>0</v>
      </c>
      <c r="BH32" s="271">
        <v>0</v>
      </c>
      <c r="BI32" s="271">
        <v>296714987.22999996</v>
      </c>
      <c r="BJ32" s="271">
        <v>342066084.75</v>
      </c>
      <c r="BK32" s="271">
        <v>0</v>
      </c>
      <c r="BL32" s="271">
        <v>0</v>
      </c>
      <c r="BM32" s="271">
        <v>0</v>
      </c>
      <c r="BN32" s="271">
        <v>0</v>
      </c>
      <c r="BO32" s="271">
        <v>0</v>
      </c>
      <c r="BP32" s="271">
        <v>0</v>
      </c>
      <c r="BQ32" s="271">
        <v>0</v>
      </c>
      <c r="BR32" s="271">
        <v>1232685318.2600002</v>
      </c>
      <c r="BS32" s="271">
        <v>0</v>
      </c>
      <c r="BT32" s="271">
        <v>0</v>
      </c>
      <c r="BU32" s="271">
        <v>0</v>
      </c>
      <c r="BV32" s="271">
        <v>0</v>
      </c>
      <c r="BW32" s="271">
        <v>0</v>
      </c>
      <c r="BX32" s="271">
        <v>0</v>
      </c>
      <c r="BY32" s="271">
        <v>0</v>
      </c>
      <c r="BZ32" s="271">
        <v>1598800.8</v>
      </c>
      <c r="CA32" s="271">
        <v>0</v>
      </c>
      <c r="CB32" s="271">
        <v>0</v>
      </c>
      <c r="CC32" s="271">
        <v>0</v>
      </c>
      <c r="CD32" s="271">
        <v>0</v>
      </c>
      <c r="CE32" s="271">
        <v>0</v>
      </c>
      <c r="CF32" s="271">
        <v>0</v>
      </c>
      <c r="CG32" s="271">
        <v>1520342104.4400001</v>
      </c>
      <c r="CH32" s="271">
        <v>0</v>
      </c>
      <c r="CI32" s="271">
        <v>0</v>
      </c>
      <c r="CJ32" s="271">
        <v>0</v>
      </c>
      <c r="CK32" s="271">
        <v>0</v>
      </c>
      <c r="CL32" s="271">
        <v>0</v>
      </c>
      <c r="CM32" s="271">
        <v>0</v>
      </c>
      <c r="CN32" s="271">
        <v>0</v>
      </c>
      <c r="CO32" s="271">
        <v>0</v>
      </c>
      <c r="CP32" s="271">
        <v>0</v>
      </c>
      <c r="CQ32" s="271">
        <v>0</v>
      </c>
      <c r="CR32" s="271">
        <v>0</v>
      </c>
      <c r="CS32" s="271">
        <v>0</v>
      </c>
      <c r="CT32" s="271">
        <v>0</v>
      </c>
      <c r="CU32" s="271">
        <v>0</v>
      </c>
      <c r="CV32" s="271">
        <v>0</v>
      </c>
      <c r="CW32" s="271">
        <v>0</v>
      </c>
      <c r="CX32" s="271">
        <v>0</v>
      </c>
      <c r="CY32" s="271">
        <v>0</v>
      </c>
      <c r="CZ32" s="271">
        <v>0</v>
      </c>
      <c r="DA32" s="271">
        <v>0</v>
      </c>
      <c r="DB32" s="271">
        <v>39358187.939999998</v>
      </c>
      <c r="DC32" s="271">
        <v>25149912.800000001</v>
      </c>
      <c r="DD32" s="271">
        <v>0</v>
      </c>
      <c r="DE32" s="271">
        <v>0</v>
      </c>
      <c r="DF32" s="271">
        <v>0</v>
      </c>
      <c r="DG32" s="271">
        <v>0</v>
      </c>
      <c r="DH32" s="271">
        <v>0</v>
      </c>
      <c r="DI32" s="271">
        <v>0</v>
      </c>
      <c r="DJ32" s="271">
        <v>0</v>
      </c>
      <c r="DK32" s="271">
        <v>892519468.25999999</v>
      </c>
      <c r="DL32" s="271">
        <v>0</v>
      </c>
      <c r="DM32" s="271">
        <v>0</v>
      </c>
      <c r="DN32" s="271">
        <v>0</v>
      </c>
      <c r="DO32" s="271">
        <v>0</v>
      </c>
      <c r="DP32" s="271">
        <v>0</v>
      </c>
      <c r="DQ32" s="271">
        <v>0</v>
      </c>
      <c r="DR32" s="271">
        <v>0</v>
      </c>
      <c r="DS32" s="271">
        <v>0</v>
      </c>
      <c r="DT32" s="271">
        <v>211368.25</v>
      </c>
      <c r="DU32" s="271">
        <v>0</v>
      </c>
      <c r="DV32" s="271">
        <v>0</v>
      </c>
      <c r="DW32" s="271">
        <v>0</v>
      </c>
      <c r="DX32" s="271">
        <v>0</v>
      </c>
      <c r="DY32" s="271">
        <v>0</v>
      </c>
      <c r="DZ32" s="271">
        <v>0</v>
      </c>
      <c r="EA32" s="271">
        <v>0</v>
      </c>
      <c r="EB32" s="271">
        <v>0</v>
      </c>
      <c r="EC32" s="271">
        <v>0</v>
      </c>
      <c r="ED32" s="271">
        <v>0</v>
      </c>
      <c r="EE32" s="271">
        <v>137507776.21000001</v>
      </c>
      <c r="EF32" s="271">
        <v>228074354.49000001</v>
      </c>
      <c r="EG32" s="271">
        <v>0</v>
      </c>
      <c r="EH32" s="271">
        <v>0</v>
      </c>
      <c r="EI32" s="271">
        <v>0</v>
      </c>
      <c r="EJ32" s="271">
        <v>0</v>
      </c>
      <c r="EK32" s="271">
        <v>0</v>
      </c>
      <c r="EL32" s="271">
        <v>0</v>
      </c>
      <c r="EM32" s="271">
        <v>0</v>
      </c>
      <c r="EN32" s="271">
        <v>769665092.02999997</v>
      </c>
      <c r="EO32" s="271">
        <v>0</v>
      </c>
      <c r="EP32" s="271">
        <v>0</v>
      </c>
      <c r="EQ32" s="271">
        <v>0</v>
      </c>
      <c r="ER32" s="271">
        <v>0</v>
      </c>
      <c r="ES32" s="271">
        <v>0</v>
      </c>
      <c r="ET32" s="271">
        <v>0</v>
      </c>
      <c r="EU32" s="271">
        <v>0</v>
      </c>
      <c r="EV32" s="271">
        <v>0</v>
      </c>
      <c r="EW32" s="271">
        <v>186591.18</v>
      </c>
      <c r="EX32" s="271">
        <v>0</v>
      </c>
      <c r="EY32" s="271">
        <v>0</v>
      </c>
      <c r="EZ32" s="271">
        <v>0</v>
      </c>
      <c r="FA32" s="271">
        <v>0</v>
      </c>
      <c r="FB32" s="271">
        <v>0</v>
      </c>
      <c r="FC32" s="271">
        <v>0</v>
      </c>
      <c r="FD32" s="271">
        <v>0</v>
      </c>
      <c r="FE32" s="271">
        <v>0</v>
      </c>
      <c r="FF32" s="271">
        <v>0</v>
      </c>
      <c r="FG32" s="271">
        <v>0</v>
      </c>
      <c r="FH32" s="271">
        <v>0</v>
      </c>
      <c r="FI32" s="271">
        <v>345635112.67000002</v>
      </c>
      <c r="FJ32" s="271">
        <v>0</v>
      </c>
      <c r="FK32" s="271">
        <v>0</v>
      </c>
      <c r="FL32" s="271">
        <v>0</v>
      </c>
      <c r="FM32" s="271">
        <v>439000</v>
      </c>
      <c r="FN32" s="271">
        <v>0</v>
      </c>
      <c r="FO32" s="271">
        <v>0</v>
      </c>
      <c r="FP32" s="271">
        <v>0</v>
      </c>
      <c r="FQ32" s="271">
        <v>0</v>
      </c>
      <c r="FR32" s="271">
        <v>0</v>
      </c>
      <c r="FS32" s="271">
        <v>0</v>
      </c>
      <c r="FT32" s="271">
        <v>0</v>
      </c>
      <c r="FU32" s="271">
        <v>0</v>
      </c>
      <c r="FV32" s="271">
        <v>0</v>
      </c>
      <c r="FW32" s="271">
        <v>0</v>
      </c>
      <c r="FX32" s="271">
        <v>0</v>
      </c>
      <c r="FY32" s="271">
        <v>0</v>
      </c>
      <c r="FZ32" s="271">
        <v>0</v>
      </c>
      <c r="GA32" s="271">
        <v>0</v>
      </c>
      <c r="GB32" s="271">
        <v>0</v>
      </c>
      <c r="GC32" s="271">
        <v>279575</v>
      </c>
      <c r="GD32" s="271">
        <v>0</v>
      </c>
      <c r="GE32" s="271">
        <v>15656826.65</v>
      </c>
      <c r="GF32" s="271">
        <v>0</v>
      </c>
      <c r="GG32" s="271">
        <v>0</v>
      </c>
      <c r="GH32" s="271">
        <v>0</v>
      </c>
      <c r="GI32" s="271">
        <v>0</v>
      </c>
      <c r="GJ32" s="271">
        <v>0</v>
      </c>
      <c r="GK32" s="271">
        <v>0</v>
      </c>
      <c r="GL32" s="271">
        <v>0</v>
      </c>
      <c r="GM32" s="271">
        <v>0</v>
      </c>
      <c r="GN32" s="271">
        <v>0</v>
      </c>
      <c r="GO32" s="271">
        <v>0</v>
      </c>
      <c r="GP32" s="271">
        <v>0</v>
      </c>
      <c r="GQ32" s="271">
        <v>1111886.7</v>
      </c>
      <c r="GR32" s="271">
        <v>0</v>
      </c>
      <c r="GS32" s="271">
        <v>0</v>
      </c>
      <c r="GT32" s="271">
        <v>0</v>
      </c>
      <c r="GU32" s="271">
        <v>0</v>
      </c>
      <c r="GV32" s="271">
        <v>0</v>
      </c>
      <c r="GW32" s="271">
        <v>0</v>
      </c>
      <c r="GX32" s="271">
        <v>0</v>
      </c>
      <c r="GY32" s="271">
        <v>0</v>
      </c>
      <c r="GZ32" s="271">
        <v>0</v>
      </c>
      <c r="HA32" s="271">
        <v>0</v>
      </c>
      <c r="HB32" s="271">
        <v>0</v>
      </c>
      <c r="HC32" s="271">
        <v>2127303.84</v>
      </c>
      <c r="HD32" s="271">
        <v>0</v>
      </c>
      <c r="HE32" s="271">
        <v>0</v>
      </c>
      <c r="HF32" s="271">
        <v>0</v>
      </c>
      <c r="HG32" s="271">
        <v>0</v>
      </c>
      <c r="HH32" s="271">
        <v>0</v>
      </c>
      <c r="HI32" s="271">
        <v>0</v>
      </c>
      <c r="HJ32" s="271">
        <v>6482.42</v>
      </c>
      <c r="HK32" s="271">
        <v>0</v>
      </c>
      <c r="HL32" s="271">
        <v>0</v>
      </c>
      <c r="HM32" s="271">
        <v>0</v>
      </c>
      <c r="HN32" s="271">
        <v>823.23</v>
      </c>
      <c r="HO32" s="271">
        <v>0</v>
      </c>
      <c r="HP32" s="271">
        <v>0</v>
      </c>
      <c r="HQ32" s="271">
        <v>0</v>
      </c>
      <c r="HR32" s="271">
        <v>106325.74</v>
      </c>
      <c r="HS32" s="271">
        <v>5585.57</v>
      </c>
      <c r="HT32" s="271">
        <v>0</v>
      </c>
      <c r="HU32" s="271">
        <v>0</v>
      </c>
      <c r="HV32" s="271">
        <v>0</v>
      </c>
      <c r="HW32" s="271">
        <v>0</v>
      </c>
      <c r="HX32" s="271">
        <v>0</v>
      </c>
      <c r="HY32" s="271">
        <v>0</v>
      </c>
      <c r="HZ32" s="271">
        <v>0</v>
      </c>
      <c r="IA32" s="271">
        <v>0</v>
      </c>
      <c r="IB32" s="271">
        <v>0</v>
      </c>
      <c r="IC32" s="271">
        <v>0</v>
      </c>
      <c r="ID32" s="271">
        <v>0</v>
      </c>
      <c r="IE32" s="271">
        <v>0</v>
      </c>
      <c r="IF32" s="271">
        <v>0</v>
      </c>
      <c r="IG32" s="271">
        <v>0</v>
      </c>
      <c r="IH32" s="271">
        <v>98676.28</v>
      </c>
      <c r="II32" s="271">
        <v>132856868.77</v>
      </c>
      <c r="IJ32" s="271">
        <v>0</v>
      </c>
      <c r="IK32" s="271">
        <v>0</v>
      </c>
      <c r="IL32" s="271">
        <v>0</v>
      </c>
      <c r="IM32" s="271">
        <v>0</v>
      </c>
      <c r="IN32" s="271">
        <v>0</v>
      </c>
      <c r="IO32" s="271">
        <v>0</v>
      </c>
      <c r="IP32" s="271">
        <v>0</v>
      </c>
      <c r="IQ32" s="271">
        <v>0</v>
      </c>
      <c r="IR32" s="271">
        <v>0</v>
      </c>
      <c r="IS32" s="271">
        <v>191511.22</v>
      </c>
      <c r="IT32" s="271">
        <v>124843.55</v>
      </c>
      <c r="IU32" s="271">
        <v>0</v>
      </c>
      <c r="IV32" s="271">
        <v>0</v>
      </c>
      <c r="IW32" s="271">
        <v>0</v>
      </c>
      <c r="IX32" s="271">
        <v>0</v>
      </c>
      <c r="IY32" s="271">
        <v>0</v>
      </c>
      <c r="IZ32" s="271">
        <v>0</v>
      </c>
      <c r="JA32" s="271">
        <v>0</v>
      </c>
      <c r="JB32" s="271">
        <v>0</v>
      </c>
      <c r="JC32" s="271">
        <v>0</v>
      </c>
      <c r="JD32" s="271">
        <v>0</v>
      </c>
      <c r="JE32" s="271">
        <v>438030252.59000003</v>
      </c>
      <c r="JF32" s="271">
        <v>0</v>
      </c>
      <c r="JG32" s="271">
        <v>0</v>
      </c>
      <c r="JH32" s="271">
        <v>0</v>
      </c>
      <c r="JI32" s="271">
        <v>0</v>
      </c>
      <c r="JJ32" s="271">
        <v>0</v>
      </c>
      <c r="JK32" s="271">
        <v>116515722.89</v>
      </c>
      <c r="JL32" s="271">
        <v>0</v>
      </c>
      <c r="JM32" s="271">
        <v>0</v>
      </c>
      <c r="JN32" s="271">
        <v>0</v>
      </c>
      <c r="JO32" s="271">
        <v>0</v>
      </c>
      <c r="JP32" s="271">
        <v>0</v>
      </c>
      <c r="JQ32" s="271">
        <v>0</v>
      </c>
      <c r="JR32" s="271">
        <v>408368314.41999996</v>
      </c>
      <c r="JS32" s="271">
        <v>59658</v>
      </c>
      <c r="JT32" s="271">
        <v>0</v>
      </c>
      <c r="JU32" s="271">
        <v>0</v>
      </c>
      <c r="JV32" s="271">
        <v>0</v>
      </c>
      <c r="JW32" s="271">
        <v>0</v>
      </c>
      <c r="JX32" s="271">
        <v>0</v>
      </c>
      <c r="JY32" s="271">
        <v>0</v>
      </c>
      <c r="JZ32" s="271">
        <v>0</v>
      </c>
      <c r="KA32" s="271">
        <v>0</v>
      </c>
      <c r="KB32" s="271">
        <v>0</v>
      </c>
      <c r="KC32" s="271">
        <v>0</v>
      </c>
      <c r="KD32" s="271">
        <v>0</v>
      </c>
      <c r="KE32" s="271">
        <v>0</v>
      </c>
      <c r="KF32" s="271">
        <v>0</v>
      </c>
      <c r="KG32" s="271">
        <v>0</v>
      </c>
      <c r="KH32" s="271">
        <v>367756.93</v>
      </c>
      <c r="KI32" s="271">
        <v>0</v>
      </c>
      <c r="KJ32" s="271">
        <v>0</v>
      </c>
      <c r="KK32" s="271">
        <v>0</v>
      </c>
      <c r="KL32" s="271">
        <v>0</v>
      </c>
      <c r="KM32" s="271">
        <v>0</v>
      </c>
      <c r="KN32" s="271">
        <v>0</v>
      </c>
      <c r="KO32" s="271">
        <v>0</v>
      </c>
      <c r="KP32" s="271">
        <v>0</v>
      </c>
      <c r="KQ32" s="271">
        <v>97797503.459999993</v>
      </c>
      <c r="KR32" s="271">
        <v>0</v>
      </c>
      <c r="KS32" s="271">
        <v>0</v>
      </c>
      <c r="KT32" s="271">
        <v>0</v>
      </c>
      <c r="KU32" s="271">
        <v>0</v>
      </c>
      <c r="KV32" s="271">
        <v>0</v>
      </c>
      <c r="KW32" s="271">
        <v>1611893.57</v>
      </c>
      <c r="KX32" s="271">
        <v>0</v>
      </c>
      <c r="KY32" s="271">
        <v>11251580.52</v>
      </c>
      <c r="KZ32" s="271">
        <v>0</v>
      </c>
      <c r="LA32" s="271">
        <v>0</v>
      </c>
      <c r="LB32" s="271">
        <v>0</v>
      </c>
      <c r="LC32" s="271">
        <v>0</v>
      </c>
      <c r="LD32" s="271">
        <v>0</v>
      </c>
      <c r="LE32" s="271">
        <v>0</v>
      </c>
      <c r="LF32" s="271">
        <v>0</v>
      </c>
      <c r="LG32" s="271">
        <v>1293299.96</v>
      </c>
      <c r="LH32" s="271">
        <v>1025422.35</v>
      </c>
      <c r="LI32" s="271">
        <v>0</v>
      </c>
      <c r="LJ32" s="271">
        <v>0</v>
      </c>
      <c r="LK32" s="271">
        <v>0</v>
      </c>
      <c r="LL32" s="271">
        <v>0</v>
      </c>
      <c r="LM32" s="271">
        <v>0</v>
      </c>
      <c r="LN32" s="271">
        <v>0</v>
      </c>
      <c r="LO32" s="271">
        <v>0</v>
      </c>
      <c r="LP32" s="271">
        <v>0</v>
      </c>
      <c r="LQ32" s="271">
        <v>0</v>
      </c>
      <c r="LR32" s="271">
        <v>319876.62</v>
      </c>
      <c r="LS32" s="271">
        <v>0</v>
      </c>
      <c r="LT32" s="271">
        <v>0</v>
      </c>
      <c r="LU32" s="271">
        <v>956080.9</v>
      </c>
      <c r="LV32" s="271">
        <v>128391852.81</v>
      </c>
      <c r="LW32" s="271">
        <v>97360.82</v>
      </c>
      <c r="LX32" s="271">
        <v>0</v>
      </c>
      <c r="LY32" s="271">
        <v>0</v>
      </c>
      <c r="LZ32" s="271">
        <v>0</v>
      </c>
      <c r="MA32" s="271">
        <v>0</v>
      </c>
      <c r="MB32" s="271">
        <v>0</v>
      </c>
      <c r="MC32" s="271">
        <v>0</v>
      </c>
      <c r="MD32" s="271">
        <v>0</v>
      </c>
      <c r="ME32" s="271">
        <v>0</v>
      </c>
      <c r="MF32" s="271">
        <v>0</v>
      </c>
      <c r="MG32" s="271">
        <v>224261857.72</v>
      </c>
      <c r="MH32" s="271">
        <v>0</v>
      </c>
      <c r="MI32" s="271">
        <v>0</v>
      </c>
      <c r="MJ32" s="271">
        <v>0</v>
      </c>
      <c r="MK32" s="271">
        <v>0</v>
      </c>
      <c r="ML32" s="271">
        <v>0</v>
      </c>
      <c r="MM32" s="271">
        <v>0</v>
      </c>
      <c r="MN32" s="271">
        <v>0</v>
      </c>
      <c r="MO32" s="271">
        <v>0</v>
      </c>
      <c r="MP32" s="271">
        <v>0</v>
      </c>
      <c r="MQ32" s="271">
        <v>0</v>
      </c>
      <c r="MR32" s="271">
        <v>0</v>
      </c>
      <c r="MS32" s="271">
        <v>1166817282.3200002</v>
      </c>
      <c r="MT32" s="271">
        <v>0</v>
      </c>
      <c r="MU32" s="271">
        <v>0</v>
      </c>
      <c r="MV32" s="271">
        <v>30000</v>
      </c>
      <c r="MW32" s="271">
        <v>8120.92</v>
      </c>
      <c r="MX32" s="271">
        <v>0</v>
      </c>
      <c r="MY32" s="271">
        <v>0</v>
      </c>
      <c r="MZ32" s="271">
        <v>2374.2199999999998</v>
      </c>
      <c r="NA32" s="271">
        <v>0</v>
      </c>
      <c r="NB32" s="271">
        <v>0</v>
      </c>
      <c r="NC32" s="271">
        <v>0</v>
      </c>
      <c r="ND32" s="271">
        <v>1165129750.0999999</v>
      </c>
      <c r="NE32" s="271">
        <v>0</v>
      </c>
      <c r="NF32" s="271">
        <v>0</v>
      </c>
      <c r="NG32" s="271">
        <v>45464.95</v>
      </c>
      <c r="NH32" s="271">
        <v>0</v>
      </c>
      <c r="NI32" s="271">
        <v>0</v>
      </c>
      <c r="NJ32" s="271">
        <v>0</v>
      </c>
      <c r="NK32" s="271">
        <v>0</v>
      </c>
      <c r="NL32" s="271">
        <v>0</v>
      </c>
      <c r="NM32" s="271">
        <v>570</v>
      </c>
      <c r="NN32" s="271">
        <v>0</v>
      </c>
      <c r="NO32" s="271">
        <v>0</v>
      </c>
      <c r="NP32" s="271">
        <v>92315226.879999995</v>
      </c>
      <c r="NQ32" s="271">
        <v>0</v>
      </c>
      <c r="NR32" s="271">
        <v>0</v>
      </c>
      <c r="NS32" s="271">
        <v>0</v>
      </c>
      <c r="NT32" s="271">
        <v>0</v>
      </c>
      <c r="NU32" s="271">
        <v>0</v>
      </c>
      <c r="NV32" s="271">
        <v>0</v>
      </c>
      <c r="NW32" s="271">
        <v>1083218341</v>
      </c>
      <c r="NX32" s="271">
        <v>0</v>
      </c>
      <c r="NY32" s="271">
        <v>0</v>
      </c>
      <c r="NZ32" s="271">
        <v>0</v>
      </c>
      <c r="OA32" s="271">
        <v>0</v>
      </c>
      <c r="OB32" s="271">
        <v>0</v>
      </c>
      <c r="OC32" s="271">
        <v>0</v>
      </c>
      <c r="OD32" s="271">
        <v>0</v>
      </c>
      <c r="OE32" s="271">
        <v>582527.10000000009</v>
      </c>
      <c r="OF32" s="271">
        <v>0</v>
      </c>
      <c r="OG32" s="271">
        <v>2085256.6</v>
      </c>
      <c r="OH32" s="271">
        <v>0</v>
      </c>
      <c r="OI32" s="271">
        <v>0</v>
      </c>
      <c r="OJ32" s="271">
        <v>0</v>
      </c>
      <c r="OK32" s="271">
        <v>0</v>
      </c>
      <c r="OL32" s="271">
        <v>0</v>
      </c>
      <c r="OM32" s="271">
        <v>292185.45</v>
      </c>
      <c r="ON32" s="271">
        <v>0</v>
      </c>
      <c r="OO32" s="271">
        <v>0</v>
      </c>
      <c r="OP32" s="271">
        <v>0</v>
      </c>
      <c r="OQ32" s="271">
        <v>0</v>
      </c>
      <c r="OR32" s="271">
        <v>0</v>
      </c>
      <c r="OS32" s="271">
        <v>538492.23</v>
      </c>
      <c r="OT32" s="271">
        <v>0</v>
      </c>
      <c r="OU32" s="271">
        <v>0</v>
      </c>
      <c r="OV32" s="271">
        <v>0</v>
      </c>
      <c r="OW32" s="271">
        <v>0</v>
      </c>
      <c r="OX32" s="271">
        <v>0</v>
      </c>
      <c r="OY32" s="271">
        <v>0</v>
      </c>
      <c r="OZ32" s="271">
        <v>0</v>
      </c>
      <c r="PA32" s="271">
        <v>0</v>
      </c>
      <c r="PB32" s="271">
        <v>2459953.6800000002</v>
      </c>
      <c r="PC32" s="271">
        <v>0</v>
      </c>
      <c r="PD32" s="271">
        <v>0</v>
      </c>
      <c r="PE32" s="271">
        <v>0</v>
      </c>
      <c r="PF32" s="271">
        <v>0</v>
      </c>
      <c r="PG32" s="271">
        <v>0</v>
      </c>
      <c r="PH32" s="271">
        <v>0</v>
      </c>
      <c r="PI32" s="271">
        <v>0</v>
      </c>
      <c r="PJ32" s="271">
        <v>0</v>
      </c>
      <c r="PK32" s="271">
        <v>0</v>
      </c>
      <c r="PL32" s="271">
        <v>0</v>
      </c>
      <c r="PM32" s="271">
        <v>0</v>
      </c>
      <c r="PN32" s="271">
        <v>0</v>
      </c>
      <c r="PO32" s="271">
        <v>0</v>
      </c>
      <c r="PP32" s="271">
        <v>0</v>
      </c>
      <c r="PQ32" s="271">
        <v>0</v>
      </c>
      <c r="PR32" s="271">
        <v>0</v>
      </c>
      <c r="PS32" s="271">
        <v>0</v>
      </c>
      <c r="PT32" s="271">
        <v>3877043.5</v>
      </c>
      <c r="PU32" s="271">
        <v>0</v>
      </c>
      <c r="PV32" s="271">
        <v>0</v>
      </c>
      <c r="PW32" s="271">
        <v>0</v>
      </c>
      <c r="PX32" s="271">
        <v>0</v>
      </c>
      <c r="PY32" s="271">
        <v>0</v>
      </c>
      <c r="PZ32" s="271">
        <v>0</v>
      </c>
      <c r="QA32" s="271">
        <v>0</v>
      </c>
      <c r="QB32" s="271">
        <v>0</v>
      </c>
      <c r="QC32" s="271">
        <v>0</v>
      </c>
      <c r="QD32" s="271">
        <v>0</v>
      </c>
      <c r="QE32" s="271">
        <v>0</v>
      </c>
      <c r="QF32" s="271">
        <v>0</v>
      </c>
      <c r="QG32" s="271">
        <v>0</v>
      </c>
      <c r="QH32" s="271">
        <v>0</v>
      </c>
      <c r="QI32" s="271">
        <v>0</v>
      </c>
      <c r="QJ32" s="271">
        <v>0</v>
      </c>
      <c r="QK32" s="271">
        <v>0</v>
      </c>
      <c r="QL32" s="271">
        <v>0</v>
      </c>
      <c r="QM32" s="271">
        <v>0</v>
      </c>
      <c r="QN32" s="271">
        <v>8793945.8900000006</v>
      </c>
      <c r="QO32" s="271">
        <v>0</v>
      </c>
      <c r="QP32" s="271">
        <v>0</v>
      </c>
      <c r="QQ32" s="271">
        <v>0</v>
      </c>
      <c r="QR32" s="271">
        <v>0</v>
      </c>
      <c r="QS32" s="271">
        <v>0</v>
      </c>
      <c r="QT32" s="271">
        <v>2531478.7999999998</v>
      </c>
      <c r="QU32" s="271">
        <v>0</v>
      </c>
      <c r="QV32" s="271">
        <v>0</v>
      </c>
      <c r="QW32" s="271">
        <v>0</v>
      </c>
      <c r="QX32" s="271">
        <v>0</v>
      </c>
      <c r="QY32" s="271">
        <v>0</v>
      </c>
      <c r="QZ32" s="271">
        <v>0</v>
      </c>
      <c r="RA32" s="271">
        <v>0</v>
      </c>
      <c r="RB32" s="271">
        <v>0</v>
      </c>
      <c r="RC32" s="271">
        <v>0</v>
      </c>
      <c r="RD32" s="271">
        <v>0</v>
      </c>
      <c r="RE32" s="271">
        <v>0</v>
      </c>
      <c r="RF32" s="271">
        <v>0</v>
      </c>
      <c r="RG32" s="271">
        <v>804229.27</v>
      </c>
      <c r="RH32" s="271">
        <v>0</v>
      </c>
      <c r="RI32" s="271">
        <v>0</v>
      </c>
      <c r="RJ32" s="271">
        <v>0</v>
      </c>
      <c r="RK32" s="271">
        <v>0</v>
      </c>
      <c r="RL32" s="271">
        <v>0</v>
      </c>
      <c r="RM32" s="271">
        <v>0</v>
      </c>
      <c r="RN32" s="271">
        <v>0</v>
      </c>
      <c r="RO32" s="271">
        <v>0</v>
      </c>
      <c r="RP32" s="271">
        <v>0</v>
      </c>
      <c r="RQ32" s="271">
        <v>0</v>
      </c>
      <c r="RR32" s="271">
        <v>0</v>
      </c>
      <c r="RS32" s="271">
        <v>0</v>
      </c>
      <c r="RT32" s="271">
        <v>0</v>
      </c>
      <c r="RU32" s="271">
        <v>0</v>
      </c>
      <c r="RV32" s="271">
        <v>0</v>
      </c>
      <c r="RW32" s="271">
        <v>0</v>
      </c>
      <c r="RX32" s="271">
        <v>0</v>
      </c>
      <c r="RY32" s="271">
        <v>0</v>
      </c>
      <c r="RZ32" s="271">
        <v>0</v>
      </c>
      <c r="SA32" s="271">
        <v>3171909.48</v>
      </c>
      <c r="SB32" s="271">
        <v>0</v>
      </c>
      <c r="SC32" s="271">
        <v>0</v>
      </c>
      <c r="SD32" s="271">
        <v>0</v>
      </c>
      <c r="SE32" s="271">
        <v>0</v>
      </c>
      <c r="SF32" s="271">
        <v>0</v>
      </c>
      <c r="SG32" s="271">
        <v>0</v>
      </c>
      <c r="SH32" s="271">
        <v>0</v>
      </c>
      <c r="SI32" s="271">
        <v>0</v>
      </c>
      <c r="SJ32" s="271">
        <v>0</v>
      </c>
      <c r="SK32" s="271">
        <v>0</v>
      </c>
      <c r="SL32" s="271">
        <v>0</v>
      </c>
      <c r="SM32" s="271">
        <v>0</v>
      </c>
      <c r="SN32" s="271">
        <v>0</v>
      </c>
      <c r="SO32" s="271">
        <v>0</v>
      </c>
      <c r="SP32" s="271">
        <v>0</v>
      </c>
      <c r="SQ32" s="271">
        <v>0</v>
      </c>
      <c r="SR32" s="271">
        <v>0</v>
      </c>
      <c r="SS32" s="271">
        <v>0</v>
      </c>
      <c r="ST32" s="271">
        <v>0</v>
      </c>
      <c r="SU32" s="271">
        <v>2384956.87</v>
      </c>
      <c r="SV32" s="271">
        <v>0</v>
      </c>
      <c r="SW32" s="271">
        <v>0</v>
      </c>
      <c r="SX32" s="271">
        <v>0</v>
      </c>
      <c r="SY32" s="271">
        <v>0</v>
      </c>
      <c r="SZ32" s="271">
        <v>0</v>
      </c>
      <c r="TA32" s="271">
        <v>0</v>
      </c>
      <c r="TB32" s="271">
        <v>0</v>
      </c>
      <c r="TC32" s="271">
        <v>0</v>
      </c>
      <c r="TD32" s="271">
        <v>0</v>
      </c>
      <c r="TE32" s="271">
        <v>0</v>
      </c>
      <c r="TF32" s="271">
        <v>0</v>
      </c>
      <c r="TG32" s="271">
        <v>0</v>
      </c>
      <c r="TH32" s="271">
        <v>0</v>
      </c>
      <c r="TI32" s="271">
        <v>36396.67</v>
      </c>
      <c r="TJ32" s="271">
        <v>0</v>
      </c>
      <c r="TK32" s="271">
        <v>0</v>
      </c>
      <c r="TL32" s="271">
        <v>0</v>
      </c>
      <c r="TM32" s="271">
        <v>0</v>
      </c>
      <c r="TN32" s="271">
        <v>0</v>
      </c>
      <c r="TO32" s="271">
        <v>0</v>
      </c>
      <c r="TP32" s="271">
        <v>0</v>
      </c>
      <c r="TQ32" s="271">
        <v>0</v>
      </c>
      <c r="TR32" s="271">
        <v>0</v>
      </c>
      <c r="TS32" s="271">
        <v>0</v>
      </c>
      <c r="TT32" s="271">
        <v>0</v>
      </c>
      <c r="TU32" s="271">
        <v>0</v>
      </c>
      <c r="TV32" s="271">
        <v>0</v>
      </c>
      <c r="TW32" s="271">
        <v>0</v>
      </c>
      <c r="TX32" s="271">
        <v>0</v>
      </c>
      <c r="TY32" s="271">
        <v>666.87</v>
      </c>
      <c r="TZ32" s="271">
        <v>0</v>
      </c>
      <c r="UA32" s="271">
        <v>3357028.24</v>
      </c>
      <c r="UB32" s="271">
        <v>0</v>
      </c>
      <c r="UC32" s="271">
        <v>0</v>
      </c>
      <c r="UD32" s="271">
        <v>0</v>
      </c>
      <c r="UE32" s="271">
        <v>0</v>
      </c>
      <c r="UF32" s="271">
        <v>0</v>
      </c>
      <c r="UG32" s="271">
        <v>0</v>
      </c>
      <c r="UH32" s="271">
        <v>0</v>
      </c>
      <c r="UI32" s="271">
        <v>0</v>
      </c>
      <c r="UJ32" s="271">
        <v>3855934.3100000005</v>
      </c>
      <c r="UK32" s="271">
        <v>0</v>
      </c>
      <c r="UL32" s="271">
        <v>0</v>
      </c>
      <c r="UM32" s="271">
        <v>0</v>
      </c>
      <c r="UN32" s="271">
        <v>0</v>
      </c>
      <c r="UO32" s="271">
        <v>0</v>
      </c>
      <c r="UP32" s="271">
        <v>8577133</v>
      </c>
      <c r="UQ32" s="271">
        <v>0</v>
      </c>
      <c r="UR32" s="271">
        <v>0</v>
      </c>
      <c r="US32" s="271">
        <v>36212.57</v>
      </c>
      <c r="UT32" s="271">
        <v>0</v>
      </c>
      <c r="UU32" s="271">
        <v>0</v>
      </c>
      <c r="UV32" s="271">
        <v>0</v>
      </c>
      <c r="UW32" s="271">
        <v>0</v>
      </c>
      <c r="UX32" s="271">
        <v>0</v>
      </c>
      <c r="UY32" s="271">
        <v>0</v>
      </c>
      <c r="UZ32" s="271">
        <v>0</v>
      </c>
      <c r="VA32" s="271">
        <v>0</v>
      </c>
      <c r="VB32" s="271">
        <v>0</v>
      </c>
      <c r="VC32" s="271">
        <v>0</v>
      </c>
      <c r="VD32" s="271">
        <v>0</v>
      </c>
      <c r="VE32" s="271">
        <v>0</v>
      </c>
      <c r="VF32" s="271">
        <v>0</v>
      </c>
      <c r="VG32" s="271">
        <v>0</v>
      </c>
      <c r="VH32" s="271">
        <v>0</v>
      </c>
      <c r="VI32" s="271">
        <v>0</v>
      </c>
      <c r="VJ32" s="271">
        <v>0</v>
      </c>
      <c r="VK32" s="271">
        <v>0</v>
      </c>
      <c r="VL32" s="271">
        <v>17669358.390000001</v>
      </c>
      <c r="VM32" s="271">
        <v>0</v>
      </c>
      <c r="VN32" s="271">
        <v>0</v>
      </c>
      <c r="VO32" s="271">
        <v>0</v>
      </c>
      <c r="VP32" s="271">
        <v>0</v>
      </c>
      <c r="VQ32" s="271">
        <v>0</v>
      </c>
      <c r="VR32" s="271">
        <v>0</v>
      </c>
      <c r="VS32" s="271">
        <v>0</v>
      </c>
      <c r="VT32" s="271">
        <v>0</v>
      </c>
      <c r="VU32" s="271">
        <v>0</v>
      </c>
      <c r="VV32" s="271">
        <v>0</v>
      </c>
      <c r="VW32" s="271">
        <v>0</v>
      </c>
      <c r="VX32" s="271">
        <v>0</v>
      </c>
      <c r="VY32" s="271">
        <v>0</v>
      </c>
      <c r="VZ32" s="271">
        <v>0</v>
      </c>
      <c r="WA32" s="271">
        <v>42742876.030000001</v>
      </c>
      <c r="WB32" s="271">
        <v>0</v>
      </c>
      <c r="WC32" s="271">
        <v>0</v>
      </c>
      <c r="WD32" s="271">
        <v>0</v>
      </c>
      <c r="WE32" s="271">
        <v>0</v>
      </c>
      <c r="WF32" s="271">
        <v>0</v>
      </c>
      <c r="WG32" s="271">
        <v>0</v>
      </c>
      <c r="WH32" s="271">
        <v>0</v>
      </c>
      <c r="WI32" s="271">
        <v>0</v>
      </c>
      <c r="WJ32" s="271">
        <v>0</v>
      </c>
      <c r="WK32" s="271">
        <v>0</v>
      </c>
      <c r="WL32" s="271">
        <v>0</v>
      </c>
      <c r="WM32" s="271">
        <v>0</v>
      </c>
      <c r="WN32" s="271">
        <v>0</v>
      </c>
      <c r="WO32" s="271">
        <v>0</v>
      </c>
      <c r="WP32" s="271">
        <v>0</v>
      </c>
      <c r="WQ32" s="271">
        <v>353640</v>
      </c>
      <c r="WR32" s="271">
        <v>0</v>
      </c>
      <c r="WS32" s="271">
        <v>0</v>
      </c>
      <c r="WT32" s="271">
        <v>0</v>
      </c>
      <c r="WU32" s="271">
        <v>6111</v>
      </c>
      <c r="WV32" s="271">
        <v>0</v>
      </c>
      <c r="WW32" s="271">
        <v>0</v>
      </c>
      <c r="WX32" s="271">
        <v>0</v>
      </c>
      <c r="WY32" s="271">
        <v>0</v>
      </c>
      <c r="WZ32" s="271">
        <v>0</v>
      </c>
      <c r="XA32" s="271">
        <v>0</v>
      </c>
      <c r="XB32" s="271">
        <v>0</v>
      </c>
      <c r="XC32" s="271">
        <v>0</v>
      </c>
      <c r="XD32" s="271">
        <v>0</v>
      </c>
      <c r="XE32" s="271">
        <v>0</v>
      </c>
      <c r="XF32" s="271">
        <v>0</v>
      </c>
      <c r="XG32" s="271">
        <v>0</v>
      </c>
      <c r="XH32" s="271">
        <v>39263931.899999999</v>
      </c>
      <c r="XI32" s="271">
        <v>0</v>
      </c>
      <c r="XJ32" s="271">
        <v>0</v>
      </c>
      <c r="XK32" s="271">
        <v>87573.92</v>
      </c>
      <c r="XL32" s="271">
        <v>0</v>
      </c>
      <c r="XM32" s="271">
        <v>0</v>
      </c>
      <c r="XN32" s="271">
        <v>0</v>
      </c>
      <c r="XO32" s="271">
        <v>0</v>
      </c>
      <c r="XP32" s="271">
        <v>0</v>
      </c>
      <c r="XQ32" s="271">
        <v>0</v>
      </c>
      <c r="XR32" s="271">
        <v>0</v>
      </c>
      <c r="XS32" s="271">
        <v>0</v>
      </c>
      <c r="XT32" s="271">
        <v>0</v>
      </c>
      <c r="XU32" s="271">
        <v>0</v>
      </c>
      <c r="XV32" s="271">
        <v>0</v>
      </c>
      <c r="XW32" s="271">
        <v>0</v>
      </c>
      <c r="XX32" s="271">
        <v>0</v>
      </c>
      <c r="XY32" s="271">
        <v>0</v>
      </c>
      <c r="XZ32" s="271">
        <v>0</v>
      </c>
      <c r="YA32" s="271">
        <v>0</v>
      </c>
      <c r="YB32" s="271">
        <v>0</v>
      </c>
      <c r="YC32" s="271">
        <v>0</v>
      </c>
      <c r="YD32" s="271">
        <v>0</v>
      </c>
      <c r="YE32" s="271">
        <v>421605.75</v>
      </c>
      <c r="YF32" s="271">
        <v>0</v>
      </c>
      <c r="YG32" s="271">
        <v>0</v>
      </c>
      <c r="YH32" s="271">
        <v>0</v>
      </c>
      <c r="YI32" s="271">
        <v>9082932.5</v>
      </c>
      <c r="YJ32" s="271">
        <v>0</v>
      </c>
      <c r="YK32" s="271">
        <v>0</v>
      </c>
      <c r="YL32" s="271">
        <v>0</v>
      </c>
      <c r="YM32" s="271">
        <v>0</v>
      </c>
      <c r="YN32" s="271">
        <v>0</v>
      </c>
      <c r="YO32" s="271">
        <v>0</v>
      </c>
      <c r="YP32" s="271">
        <v>0</v>
      </c>
      <c r="YQ32" s="271">
        <v>0</v>
      </c>
      <c r="YR32" s="271">
        <v>0</v>
      </c>
      <c r="YS32" s="271">
        <v>0</v>
      </c>
      <c r="YT32" s="271">
        <v>0</v>
      </c>
      <c r="YU32" s="271">
        <v>0</v>
      </c>
      <c r="YV32" s="271">
        <v>175018100.37</v>
      </c>
      <c r="YW32" s="271">
        <v>0</v>
      </c>
      <c r="YX32" s="271">
        <v>0</v>
      </c>
      <c r="YY32" s="271">
        <v>0</v>
      </c>
      <c r="YZ32" s="271">
        <v>0</v>
      </c>
      <c r="ZA32" s="271">
        <v>0</v>
      </c>
      <c r="ZB32" s="271">
        <v>0</v>
      </c>
      <c r="ZC32" s="271">
        <v>804401.58</v>
      </c>
      <c r="ZD32" s="271">
        <v>0</v>
      </c>
      <c r="ZE32" s="271">
        <v>0</v>
      </c>
      <c r="ZF32" s="271">
        <v>0</v>
      </c>
      <c r="ZG32" s="271">
        <v>0</v>
      </c>
      <c r="ZH32" s="271">
        <v>0</v>
      </c>
      <c r="ZI32" s="271">
        <v>0</v>
      </c>
      <c r="ZJ32" s="271">
        <v>0</v>
      </c>
      <c r="ZK32" s="271">
        <v>0</v>
      </c>
      <c r="ZL32" s="271">
        <v>20550287.440000001</v>
      </c>
      <c r="ZM32" s="271">
        <v>0</v>
      </c>
      <c r="ZN32" s="271">
        <v>0</v>
      </c>
      <c r="ZO32" s="271">
        <v>0</v>
      </c>
      <c r="ZP32" s="271">
        <v>0</v>
      </c>
      <c r="ZQ32" s="271">
        <v>0</v>
      </c>
      <c r="ZR32" s="271">
        <v>0</v>
      </c>
      <c r="ZS32" s="271">
        <v>0</v>
      </c>
      <c r="ZT32" s="271">
        <v>0</v>
      </c>
      <c r="ZU32" s="271">
        <v>0</v>
      </c>
      <c r="ZV32" s="271">
        <v>0</v>
      </c>
      <c r="ZW32" s="271">
        <v>0</v>
      </c>
      <c r="ZX32" s="271">
        <v>0</v>
      </c>
      <c r="ZY32" s="271">
        <v>0</v>
      </c>
      <c r="ZZ32" s="271">
        <v>0</v>
      </c>
      <c r="AAA32" s="271">
        <v>0</v>
      </c>
      <c r="AAB32" s="271">
        <v>0</v>
      </c>
      <c r="AAC32" s="271">
        <v>0</v>
      </c>
      <c r="AAD32" s="271">
        <v>0</v>
      </c>
      <c r="AAE32" s="271">
        <v>0</v>
      </c>
      <c r="AAF32" s="271">
        <v>0</v>
      </c>
      <c r="AAG32" s="271">
        <v>0</v>
      </c>
      <c r="AAH32" s="271">
        <v>61398.66</v>
      </c>
      <c r="AAI32" s="271">
        <v>0</v>
      </c>
      <c r="AAJ32" s="271">
        <v>0</v>
      </c>
      <c r="AAK32" s="271">
        <v>0</v>
      </c>
      <c r="AAL32" s="271">
        <v>0</v>
      </c>
      <c r="AAM32" s="271">
        <v>0</v>
      </c>
      <c r="AAN32" s="271">
        <v>0</v>
      </c>
      <c r="AAO32" s="271">
        <v>46408462.159999996</v>
      </c>
      <c r="AAP32" s="271">
        <v>0</v>
      </c>
      <c r="AAQ32" s="271">
        <v>0</v>
      </c>
      <c r="AAR32" s="271">
        <v>0</v>
      </c>
      <c r="AAS32" s="271">
        <v>0</v>
      </c>
      <c r="AAT32" s="271">
        <v>0</v>
      </c>
      <c r="AAU32" s="271">
        <v>0</v>
      </c>
      <c r="AAV32" s="271">
        <v>0</v>
      </c>
      <c r="AAW32" s="271">
        <v>0</v>
      </c>
      <c r="AAX32" s="271">
        <v>0</v>
      </c>
      <c r="AAY32" s="271">
        <v>0</v>
      </c>
      <c r="AAZ32" s="271">
        <v>0</v>
      </c>
      <c r="ABA32" s="271">
        <v>0</v>
      </c>
      <c r="ABB32" s="271">
        <v>0</v>
      </c>
      <c r="ABC32" s="271">
        <v>0</v>
      </c>
      <c r="ABD32" s="271">
        <v>0</v>
      </c>
      <c r="ABE32" s="271">
        <v>0</v>
      </c>
      <c r="ABF32" s="271">
        <v>0</v>
      </c>
      <c r="ABG32" s="271">
        <v>0</v>
      </c>
      <c r="ABH32" s="271">
        <v>0</v>
      </c>
      <c r="ABI32" s="271">
        <v>2529</v>
      </c>
      <c r="ABJ32" s="271">
        <v>0</v>
      </c>
      <c r="ABK32" s="271">
        <v>0</v>
      </c>
      <c r="ABL32" s="271">
        <v>0</v>
      </c>
      <c r="ABM32" s="271">
        <v>0</v>
      </c>
      <c r="ABN32" s="271">
        <v>0</v>
      </c>
      <c r="ABO32" s="271">
        <v>3300092.08</v>
      </c>
      <c r="ABP32" s="271">
        <v>0</v>
      </c>
      <c r="ABQ32" s="271">
        <v>0</v>
      </c>
      <c r="ABR32" s="271">
        <v>0</v>
      </c>
      <c r="ABS32" s="271">
        <v>0</v>
      </c>
      <c r="ABT32" s="271">
        <v>0</v>
      </c>
      <c r="ABU32" s="271">
        <v>0</v>
      </c>
      <c r="ABV32" s="271">
        <v>0</v>
      </c>
      <c r="ABW32" s="271">
        <v>0</v>
      </c>
      <c r="ABX32" s="271">
        <v>59920.27</v>
      </c>
      <c r="ABY32" s="271">
        <v>0</v>
      </c>
      <c r="ABZ32" s="271">
        <v>0</v>
      </c>
      <c r="ACA32" s="271">
        <v>0</v>
      </c>
      <c r="ACB32" s="271">
        <v>0</v>
      </c>
      <c r="ACC32" s="271">
        <v>0</v>
      </c>
      <c r="ACD32" s="271">
        <v>0</v>
      </c>
      <c r="ACE32" s="271">
        <v>0</v>
      </c>
      <c r="ACF32" s="271">
        <v>0</v>
      </c>
      <c r="ACG32" s="271">
        <v>0</v>
      </c>
      <c r="ACH32" s="271">
        <v>0</v>
      </c>
      <c r="ACI32" s="271">
        <v>27482800</v>
      </c>
      <c r="ACJ32" s="271">
        <v>0</v>
      </c>
      <c r="ACK32" s="271">
        <v>0</v>
      </c>
      <c r="ACL32" s="271">
        <v>0</v>
      </c>
      <c r="ACM32" s="271">
        <v>0</v>
      </c>
      <c r="ACN32" s="271">
        <v>0</v>
      </c>
      <c r="ACO32" s="271">
        <v>0</v>
      </c>
      <c r="ACP32" s="271">
        <v>0</v>
      </c>
      <c r="ACQ32" s="271">
        <v>0</v>
      </c>
      <c r="ACR32" s="271">
        <v>0</v>
      </c>
      <c r="ACS32" s="271">
        <v>0</v>
      </c>
      <c r="ACT32" s="271">
        <v>0</v>
      </c>
      <c r="ACU32" s="271">
        <v>0</v>
      </c>
      <c r="ACV32" s="271">
        <v>0</v>
      </c>
      <c r="ACW32" s="271">
        <v>0</v>
      </c>
      <c r="ACX32" s="271">
        <v>0</v>
      </c>
      <c r="ACY32" s="271">
        <v>0</v>
      </c>
      <c r="ACZ32" s="271">
        <v>0</v>
      </c>
      <c r="ADA32" s="271">
        <v>0</v>
      </c>
      <c r="ADB32" s="271">
        <v>0</v>
      </c>
      <c r="ADC32" s="271">
        <v>0</v>
      </c>
      <c r="ADD32" s="271">
        <v>0</v>
      </c>
      <c r="ADE32" s="271">
        <v>0</v>
      </c>
      <c r="ADF32" s="271">
        <v>6978170.1200000001</v>
      </c>
      <c r="ADG32" s="271">
        <v>86013649.190000013</v>
      </c>
      <c r="ADH32" s="271">
        <v>0</v>
      </c>
      <c r="ADI32" s="271">
        <v>0</v>
      </c>
      <c r="ADJ32" s="271">
        <v>0</v>
      </c>
      <c r="ADK32" s="271">
        <v>0</v>
      </c>
      <c r="ADL32" s="271">
        <v>0</v>
      </c>
      <c r="ADM32" s="271">
        <v>0</v>
      </c>
      <c r="ADN32" s="271">
        <v>0</v>
      </c>
      <c r="ADO32" s="271">
        <v>120023858.09999999</v>
      </c>
      <c r="ADP32" s="271">
        <v>0</v>
      </c>
      <c r="ADQ32" s="271">
        <v>0</v>
      </c>
      <c r="ADR32" s="271">
        <v>0</v>
      </c>
      <c r="ADS32" s="271">
        <v>79178016.050000012</v>
      </c>
      <c r="ADT32" s="271">
        <v>0</v>
      </c>
      <c r="ADU32" s="271">
        <v>0</v>
      </c>
      <c r="ADV32" s="271">
        <v>0</v>
      </c>
      <c r="ADW32" s="271">
        <v>0</v>
      </c>
      <c r="ADX32" s="271">
        <v>0</v>
      </c>
      <c r="ADY32" s="271">
        <v>2190071.9900000002</v>
      </c>
      <c r="ADZ32" s="271">
        <v>0</v>
      </c>
      <c r="AEA32" s="271">
        <v>0</v>
      </c>
      <c r="AEB32" s="271">
        <v>0</v>
      </c>
      <c r="AEC32" s="271">
        <v>0</v>
      </c>
      <c r="AED32" s="271">
        <v>0</v>
      </c>
      <c r="AEE32" s="271">
        <v>0</v>
      </c>
      <c r="AEF32" s="271">
        <v>0</v>
      </c>
      <c r="AEG32" s="271">
        <v>0</v>
      </c>
      <c r="AEH32" s="271">
        <v>0</v>
      </c>
      <c r="AEI32" s="271">
        <v>0</v>
      </c>
      <c r="AEJ32" s="271">
        <v>0</v>
      </c>
      <c r="AEK32" s="271">
        <v>0</v>
      </c>
      <c r="AEL32" s="271">
        <v>0</v>
      </c>
      <c r="AEM32" s="271">
        <v>0</v>
      </c>
      <c r="AEN32" s="271">
        <v>0</v>
      </c>
      <c r="AEO32" s="271">
        <v>0</v>
      </c>
      <c r="AEP32" s="271">
        <v>0</v>
      </c>
      <c r="AEQ32" s="271">
        <v>0</v>
      </c>
      <c r="AER32" s="271">
        <v>0</v>
      </c>
      <c r="AES32" s="271">
        <v>471680989</v>
      </c>
      <c r="AET32" s="271">
        <v>0</v>
      </c>
      <c r="AEU32" s="271">
        <v>0</v>
      </c>
      <c r="AEV32" s="271">
        <v>0</v>
      </c>
      <c r="AEW32" s="271">
        <v>0</v>
      </c>
      <c r="AEX32" s="271">
        <v>0</v>
      </c>
      <c r="AEY32" s="271">
        <v>0</v>
      </c>
      <c r="AEZ32" s="271">
        <v>0</v>
      </c>
      <c r="AFA32" s="271">
        <v>0</v>
      </c>
      <c r="AFB32" s="271">
        <v>0</v>
      </c>
      <c r="AFC32" s="271">
        <v>8447697.8599999994</v>
      </c>
      <c r="AFD32" s="271">
        <v>1791429.77</v>
      </c>
      <c r="AFE32" s="271">
        <v>0</v>
      </c>
      <c r="AFF32" s="271">
        <v>0</v>
      </c>
      <c r="AFG32" s="271">
        <v>0</v>
      </c>
      <c r="AFH32" s="271">
        <v>0</v>
      </c>
      <c r="AFI32" s="271">
        <v>0</v>
      </c>
      <c r="AFJ32" s="271">
        <v>0</v>
      </c>
      <c r="AFK32" s="271">
        <v>0</v>
      </c>
      <c r="AFL32" s="271">
        <v>0</v>
      </c>
      <c r="AFM32" s="271">
        <v>0</v>
      </c>
      <c r="AFN32" s="271">
        <v>0</v>
      </c>
      <c r="AFO32" s="271">
        <v>0</v>
      </c>
      <c r="AFP32" s="271">
        <v>96387</v>
      </c>
      <c r="AFQ32" s="271">
        <v>0</v>
      </c>
      <c r="AFR32" s="271">
        <v>0</v>
      </c>
      <c r="AFS32" s="271">
        <v>0</v>
      </c>
      <c r="AFT32" s="271">
        <v>0</v>
      </c>
      <c r="AFU32" s="271">
        <v>0</v>
      </c>
      <c r="AFV32" s="271">
        <v>0</v>
      </c>
      <c r="AFW32" s="271">
        <v>0</v>
      </c>
      <c r="AFX32" s="271">
        <v>0</v>
      </c>
      <c r="AFY32" s="271">
        <v>0</v>
      </c>
      <c r="AFZ32" s="271">
        <v>0</v>
      </c>
      <c r="AGA32" s="271">
        <v>0</v>
      </c>
      <c r="AGB32" s="271">
        <v>126444428.56999999</v>
      </c>
      <c r="AGC32" s="271">
        <v>0</v>
      </c>
      <c r="AGD32" s="271">
        <v>0</v>
      </c>
      <c r="AGE32" s="271">
        <v>0</v>
      </c>
      <c r="AGF32" s="271">
        <v>0</v>
      </c>
      <c r="AGG32" s="271">
        <v>0</v>
      </c>
      <c r="AGH32" s="271">
        <v>0</v>
      </c>
      <c r="AGI32" s="271">
        <v>0</v>
      </c>
      <c r="AGJ32" s="271">
        <v>0</v>
      </c>
      <c r="AGK32" s="271">
        <v>0</v>
      </c>
      <c r="AGL32" s="271">
        <v>0</v>
      </c>
      <c r="AGM32" s="271">
        <v>21876715.649999999</v>
      </c>
      <c r="AGN32" s="271">
        <v>75137</v>
      </c>
      <c r="AGO32" s="271">
        <v>0</v>
      </c>
      <c r="AGP32" s="271">
        <v>0</v>
      </c>
      <c r="AGQ32" s="271">
        <v>0</v>
      </c>
      <c r="AGR32" s="271">
        <v>0</v>
      </c>
      <c r="AGS32" s="271">
        <v>0</v>
      </c>
      <c r="AGT32" s="271">
        <v>0</v>
      </c>
      <c r="AGU32" s="271">
        <v>34545000</v>
      </c>
      <c r="AGV32" s="271">
        <v>21462000</v>
      </c>
      <c r="AGW32" s="271">
        <v>0</v>
      </c>
      <c r="AGX32" s="271">
        <v>0</v>
      </c>
      <c r="AGY32" s="271">
        <v>0</v>
      </c>
      <c r="AGZ32" s="271">
        <v>0</v>
      </c>
      <c r="AHA32" s="271">
        <v>0</v>
      </c>
      <c r="AHB32" s="271">
        <v>0</v>
      </c>
      <c r="AHC32" s="271">
        <v>0</v>
      </c>
      <c r="AHD32" s="271">
        <v>0</v>
      </c>
      <c r="AHE32" s="271">
        <v>0</v>
      </c>
      <c r="AHF32" s="271">
        <v>0</v>
      </c>
      <c r="AHG32" s="271">
        <v>0</v>
      </c>
      <c r="AHH32" s="271">
        <v>0</v>
      </c>
      <c r="AHI32" s="271">
        <v>0</v>
      </c>
      <c r="AHJ32" s="271">
        <v>0</v>
      </c>
      <c r="AHK32" s="271">
        <v>0</v>
      </c>
      <c r="AHL32" s="271">
        <v>1369072.72</v>
      </c>
      <c r="AHM32" s="271">
        <v>0</v>
      </c>
      <c r="AHN32" s="271">
        <v>0</v>
      </c>
      <c r="AHO32" s="271">
        <v>0</v>
      </c>
      <c r="AHP32" s="271">
        <v>0</v>
      </c>
      <c r="AHQ32" s="294">
        <v>0</v>
      </c>
      <c r="AHR32" s="329">
        <v>0</v>
      </c>
      <c r="AHS32" s="294">
        <f t="shared" si="18"/>
        <v>17964956678.190002</v>
      </c>
      <c r="AHT32" s="269" t="b">
        <f t="shared" si="1"/>
        <v>1</v>
      </c>
      <c r="AHU32" s="269" t="s">
        <v>1145</v>
      </c>
    </row>
    <row r="33" spans="1:905" s="273" customFormat="1" ht="24.6" x14ac:dyDescent="0.7">
      <c r="A33" s="272"/>
      <c r="B33" s="272"/>
      <c r="C33" s="273" t="s">
        <v>650</v>
      </c>
      <c r="D33" s="332">
        <f>SUM(D18:D32)</f>
        <v>6364939841.7799988</v>
      </c>
      <c r="E33" s="332">
        <f t="shared" ref="E33:BP33" si="19">SUM(E18:E32)</f>
        <v>209462448.00999999</v>
      </c>
      <c r="F33" s="332">
        <f t="shared" si="19"/>
        <v>315497149.98999995</v>
      </c>
      <c r="G33" s="332">
        <f t="shared" si="19"/>
        <v>100564082.55</v>
      </c>
      <c r="H33" s="332">
        <f t="shared" si="19"/>
        <v>424840596.19999999</v>
      </c>
      <c r="I33" s="332">
        <f t="shared" si="19"/>
        <v>153975361.55000001</v>
      </c>
      <c r="J33" s="332">
        <f t="shared" si="19"/>
        <v>355161104.44999993</v>
      </c>
      <c r="K33" s="332">
        <f t="shared" si="19"/>
        <v>202088716.65000001</v>
      </c>
      <c r="L33" s="332">
        <f t="shared" si="19"/>
        <v>202611597.66</v>
      </c>
      <c r="M33" s="332">
        <f t="shared" si="19"/>
        <v>156839106.34</v>
      </c>
      <c r="N33" s="332">
        <f t="shared" si="19"/>
        <v>97304401.209999993</v>
      </c>
      <c r="O33" s="332">
        <f t="shared" si="19"/>
        <v>107987037.67999999</v>
      </c>
      <c r="P33" s="332">
        <f t="shared" si="19"/>
        <v>151128182.99000001</v>
      </c>
      <c r="Q33" s="332">
        <f t="shared" si="19"/>
        <v>111240711.44</v>
      </c>
      <c r="R33" s="332">
        <f t="shared" si="19"/>
        <v>102378173.28</v>
      </c>
      <c r="S33" s="332">
        <f t="shared" si="19"/>
        <v>235624326.19999999</v>
      </c>
      <c r="T33" s="332">
        <f t="shared" si="19"/>
        <v>243802622.13999999</v>
      </c>
      <c r="U33" s="332">
        <f t="shared" si="19"/>
        <v>53416032.199999988</v>
      </c>
      <c r="V33" s="332">
        <f t="shared" si="19"/>
        <v>5254022112</v>
      </c>
      <c r="W33" s="332">
        <f t="shared" si="19"/>
        <v>548153404.85000002</v>
      </c>
      <c r="X33" s="332">
        <f t="shared" si="19"/>
        <v>132932732.27000001</v>
      </c>
      <c r="Y33" s="332">
        <f t="shared" si="19"/>
        <v>245455666.98999998</v>
      </c>
      <c r="Z33" s="332">
        <f t="shared" si="19"/>
        <v>170937743.88999996</v>
      </c>
      <c r="AA33" s="332">
        <f t="shared" si="19"/>
        <v>181290351.31000006</v>
      </c>
      <c r="AB33" s="332">
        <f t="shared" si="19"/>
        <v>78610752.159999996</v>
      </c>
      <c r="AC33" s="332">
        <f t="shared" si="19"/>
        <v>604526678.86999989</v>
      </c>
      <c r="AD33" s="332">
        <f t="shared" si="19"/>
        <v>234282382.64000002</v>
      </c>
      <c r="AE33" s="332">
        <f t="shared" si="19"/>
        <v>123616702.63999999</v>
      </c>
      <c r="AF33" s="332">
        <f t="shared" si="19"/>
        <v>462236678.26999992</v>
      </c>
      <c r="AG33" s="332">
        <f t="shared" si="19"/>
        <v>160152429.37999997</v>
      </c>
      <c r="AH33" s="332">
        <f t="shared" si="19"/>
        <v>553152933.70999992</v>
      </c>
      <c r="AI33" s="332">
        <f t="shared" si="19"/>
        <v>250216114.51999998</v>
      </c>
      <c r="AJ33" s="332">
        <f t="shared" si="19"/>
        <v>149552713.13</v>
      </c>
      <c r="AK33" s="332">
        <f t="shared" si="19"/>
        <v>87569232.060000002</v>
      </c>
      <c r="AL33" s="332">
        <f t="shared" si="19"/>
        <v>167426633.03</v>
      </c>
      <c r="AM33" s="332">
        <f t="shared" si="19"/>
        <v>166185174.33000004</v>
      </c>
      <c r="AN33" s="332">
        <f t="shared" si="19"/>
        <v>101441900.77000001</v>
      </c>
      <c r="AO33" s="332">
        <f t="shared" si="19"/>
        <v>125735573.39000002</v>
      </c>
      <c r="AP33" s="332">
        <f t="shared" si="19"/>
        <v>119259743.28000003</v>
      </c>
      <c r="AQ33" s="332">
        <f t="shared" si="19"/>
        <v>91387997.280000001</v>
      </c>
      <c r="AR33" s="332">
        <f t="shared" si="19"/>
        <v>87061320.530000001</v>
      </c>
      <c r="AS33" s="332">
        <f t="shared" si="19"/>
        <v>62334604.829999991</v>
      </c>
      <c r="AT33" s="332">
        <f t="shared" si="19"/>
        <v>1372696950.22</v>
      </c>
      <c r="AU33" s="332">
        <f t="shared" si="19"/>
        <v>61517262.50999999</v>
      </c>
      <c r="AV33" s="332">
        <f t="shared" si="19"/>
        <v>54992170.820000008</v>
      </c>
      <c r="AW33" s="332">
        <f t="shared" si="19"/>
        <v>87797877.059999987</v>
      </c>
      <c r="AX33" s="332">
        <f t="shared" si="19"/>
        <v>145859729.68000001</v>
      </c>
      <c r="AY33" s="332">
        <f t="shared" si="19"/>
        <v>208289279.36999997</v>
      </c>
      <c r="AZ33" s="332">
        <f t="shared" si="19"/>
        <v>71020226.599999994</v>
      </c>
      <c r="BA33" s="332">
        <f t="shared" si="19"/>
        <v>86877090.530000001</v>
      </c>
      <c r="BB33" s="332">
        <f t="shared" si="19"/>
        <v>65908683.489999987</v>
      </c>
      <c r="BC33" s="332">
        <f t="shared" si="19"/>
        <v>66016424.460000001</v>
      </c>
      <c r="BD33" s="332">
        <f t="shared" si="19"/>
        <v>46751235.82</v>
      </c>
      <c r="BE33" s="332">
        <f t="shared" si="19"/>
        <v>52696743.269999996</v>
      </c>
      <c r="BF33" s="332">
        <f t="shared" si="19"/>
        <v>348132104.77999997</v>
      </c>
      <c r="BG33" s="332">
        <f t="shared" si="19"/>
        <v>47338402.529999994</v>
      </c>
      <c r="BH33" s="332">
        <f t="shared" si="19"/>
        <v>53616938.670000009</v>
      </c>
      <c r="BI33" s="332">
        <f t="shared" si="19"/>
        <v>1310796045.4100001</v>
      </c>
      <c r="BJ33" s="332">
        <f t="shared" si="19"/>
        <v>974532774.67000008</v>
      </c>
      <c r="BK33" s="332">
        <f t="shared" si="19"/>
        <v>153758098.61999997</v>
      </c>
      <c r="BL33" s="332">
        <f t="shared" si="19"/>
        <v>91857399.870000005</v>
      </c>
      <c r="BM33" s="332">
        <f t="shared" si="19"/>
        <v>189198291.99000001</v>
      </c>
      <c r="BN33" s="332">
        <f t="shared" si="19"/>
        <v>157232905.64999998</v>
      </c>
      <c r="BO33" s="332">
        <f t="shared" si="19"/>
        <v>120730598.93999998</v>
      </c>
      <c r="BP33" s="332">
        <f t="shared" si="19"/>
        <v>47682315.839999996</v>
      </c>
      <c r="BQ33" s="332">
        <f t="shared" ref="BQ33:EB33" si="20">SUM(BQ18:BQ32)</f>
        <v>35393872.850000001</v>
      </c>
      <c r="BR33" s="332">
        <f t="shared" si="20"/>
        <v>2729417119.7300005</v>
      </c>
      <c r="BS33" s="332">
        <f t="shared" si="20"/>
        <v>164829269.66999999</v>
      </c>
      <c r="BT33" s="332">
        <f t="shared" si="20"/>
        <v>137463132.51000002</v>
      </c>
      <c r="BU33" s="332">
        <f t="shared" si="20"/>
        <v>175599686.36000001</v>
      </c>
      <c r="BV33" s="332">
        <f t="shared" si="20"/>
        <v>149125534.70000002</v>
      </c>
      <c r="BW33" s="332">
        <f t="shared" si="20"/>
        <v>124588800.19000001</v>
      </c>
      <c r="BX33" s="332">
        <f t="shared" si="20"/>
        <v>80003793.789999992</v>
      </c>
      <c r="BY33" s="332">
        <f t="shared" si="20"/>
        <v>145636252.28999999</v>
      </c>
      <c r="BZ33" s="332">
        <f t="shared" si="20"/>
        <v>481771569.28000003</v>
      </c>
      <c r="CA33" s="332">
        <f t="shared" si="20"/>
        <v>100724799.42</v>
      </c>
      <c r="CB33" s="332">
        <f t="shared" si="20"/>
        <v>158420892.59</v>
      </c>
      <c r="CC33" s="332">
        <f t="shared" si="20"/>
        <v>286891600.81999999</v>
      </c>
      <c r="CD33" s="332">
        <f t="shared" si="20"/>
        <v>89186146.73999998</v>
      </c>
      <c r="CE33" s="332">
        <f t="shared" si="20"/>
        <v>95227953.090000004</v>
      </c>
      <c r="CF33" s="332">
        <f t="shared" si="20"/>
        <v>85144597.98999998</v>
      </c>
      <c r="CG33" s="332">
        <f t="shared" si="20"/>
        <v>4363117272.3100004</v>
      </c>
      <c r="CH33" s="332">
        <f t="shared" si="20"/>
        <v>139416769.78000003</v>
      </c>
      <c r="CI33" s="332">
        <f t="shared" si="20"/>
        <v>360318419.87000006</v>
      </c>
      <c r="CJ33" s="332">
        <f t="shared" si="20"/>
        <v>105207219.03</v>
      </c>
      <c r="CK33" s="332">
        <f t="shared" si="20"/>
        <v>132767296.29000001</v>
      </c>
      <c r="CL33" s="332">
        <f t="shared" si="20"/>
        <v>129075775.26000001</v>
      </c>
      <c r="CM33" s="332">
        <f t="shared" si="20"/>
        <v>120191088.26999997</v>
      </c>
      <c r="CN33" s="332">
        <f t="shared" si="20"/>
        <v>222556261.81999999</v>
      </c>
      <c r="CO33" s="332">
        <f t="shared" si="20"/>
        <v>61143774.010000013</v>
      </c>
      <c r="CP33" s="332">
        <f t="shared" si="20"/>
        <v>139642698.59</v>
      </c>
      <c r="CQ33" s="332">
        <f t="shared" si="20"/>
        <v>98143664.579999998</v>
      </c>
      <c r="CR33" s="332">
        <f t="shared" si="20"/>
        <v>143437800.78999999</v>
      </c>
      <c r="CS33" s="332">
        <f t="shared" si="20"/>
        <v>98989789.189999998</v>
      </c>
      <c r="CT33" s="332">
        <f t="shared" si="20"/>
        <v>1170660279.9400001</v>
      </c>
      <c r="CU33" s="332">
        <f t="shared" si="20"/>
        <v>103732750.78999999</v>
      </c>
      <c r="CV33" s="332">
        <f t="shared" si="20"/>
        <v>123707588.08999997</v>
      </c>
      <c r="CW33" s="332">
        <f t="shared" si="20"/>
        <v>212489502.06</v>
      </c>
      <c r="CX33" s="332">
        <f t="shared" si="20"/>
        <v>87609789.329999998</v>
      </c>
      <c r="CY33" s="332">
        <f t="shared" si="20"/>
        <v>200498614.25</v>
      </c>
      <c r="CZ33" s="332">
        <f t="shared" si="20"/>
        <v>87019651.74000001</v>
      </c>
      <c r="DA33" s="332">
        <f t="shared" si="20"/>
        <v>67550474.140000001</v>
      </c>
      <c r="DB33" s="332">
        <f t="shared" si="20"/>
        <v>921176010.6099999</v>
      </c>
      <c r="DC33" s="332">
        <f t="shared" si="20"/>
        <v>1180461665.01</v>
      </c>
      <c r="DD33" s="332">
        <f t="shared" si="20"/>
        <v>141116983.79000002</v>
      </c>
      <c r="DE33" s="332">
        <f t="shared" si="20"/>
        <v>107738092.19999999</v>
      </c>
      <c r="DF33" s="332">
        <f t="shared" si="20"/>
        <v>260444762.52000004</v>
      </c>
      <c r="DG33" s="332">
        <f t="shared" si="20"/>
        <v>218968068.73999998</v>
      </c>
      <c r="DH33" s="332">
        <f t="shared" si="20"/>
        <v>211794207.89999998</v>
      </c>
      <c r="DI33" s="332">
        <f t="shared" si="20"/>
        <v>275295942.42000002</v>
      </c>
      <c r="DJ33" s="332">
        <f t="shared" si="20"/>
        <v>84326620.659999996</v>
      </c>
      <c r="DK33" s="332">
        <f t="shared" si="20"/>
        <v>4402560927.7300005</v>
      </c>
      <c r="DL33" s="332">
        <f t="shared" si="20"/>
        <v>139313981.03999999</v>
      </c>
      <c r="DM33" s="332">
        <f t="shared" si="20"/>
        <v>221319982.74000001</v>
      </c>
      <c r="DN33" s="332">
        <f t="shared" si="20"/>
        <v>170657651.75999999</v>
      </c>
      <c r="DO33" s="332">
        <f t="shared" si="20"/>
        <v>212990964.51999995</v>
      </c>
      <c r="DP33" s="332">
        <f t="shared" si="20"/>
        <v>152819022.88</v>
      </c>
      <c r="DQ33" s="332">
        <f t="shared" si="20"/>
        <v>311522845.20000005</v>
      </c>
      <c r="DR33" s="332">
        <f t="shared" si="20"/>
        <v>148933658.66</v>
      </c>
      <c r="DS33" s="332">
        <f t="shared" si="20"/>
        <v>294634524.39000005</v>
      </c>
      <c r="DT33" s="332">
        <f t="shared" si="20"/>
        <v>1336419402.6599996</v>
      </c>
      <c r="DU33" s="332">
        <f t="shared" si="20"/>
        <v>172214740.48999998</v>
      </c>
      <c r="DV33" s="332">
        <f t="shared" si="20"/>
        <v>443243502.26999998</v>
      </c>
      <c r="DW33" s="332">
        <f t="shared" si="20"/>
        <v>470337831.19999999</v>
      </c>
      <c r="DX33" s="332">
        <f t="shared" si="20"/>
        <v>162424438.44</v>
      </c>
      <c r="DY33" s="332">
        <f t="shared" si="20"/>
        <v>248272619.30000001</v>
      </c>
      <c r="DZ33" s="332">
        <f t="shared" si="20"/>
        <v>192061160.04999998</v>
      </c>
      <c r="EA33" s="332">
        <f t="shared" si="20"/>
        <v>63803709.539999999</v>
      </c>
      <c r="EB33" s="332">
        <f t="shared" si="20"/>
        <v>122183431.58000001</v>
      </c>
      <c r="EC33" s="332">
        <f t="shared" ref="EC33:GN33" si="21">SUM(EC18:EC32)</f>
        <v>122812249.06000002</v>
      </c>
      <c r="ED33" s="332">
        <f t="shared" si="21"/>
        <v>251453013.22000003</v>
      </c>
      <c r="EE33" s="332">
        <f t="shared" si="21"/>
        <v>834388900.0200001</v>
      </c>
      <c r="EF33" s="332">
        <f t="shared" si="21"/>
        <v>879095647.19999993</v>
      </c>
      <c r="EG33" s="332">
        <f t="shared" si="21"/>
        <v>123090500.27000001</v>
      </c>
      <c r="EH33" s="332">
        <f t="shared" si="21"/>
        <v>142672562.88999999</v>
      </c>
      <c r="EI33" s="332">
        <f t="shared" si="21"/>
        <v>140374499.91</v>
      </c>
      <c r="EJ33" s="332">
        <f t="shared" si="21"/>
        <v>189232324.68000001</v>
      </c>
      <c r="EK33" s="332">
        <f t="shared" si="21"/>
        <v>263031043.21000004</v>
      </c>
      <c r="EL33" s="332">
        <f t="shared" si="21"/>
        <v>84553236.020000026</v>
      </c>
      <c r="EM33" s="332">
        <f t="shared" si="21"/>
        <v>121335020.45000002</v>
      </c>
      <c r="EN33" s="332">
        <f t="shared" si="21"/>
        <v>2553868355.4699998</v>
      </c>
      <c r="EO33" s="332">
        <f t="shared" si="21"/>
        <v>142712172.03</v>
      </c>
      <c r="EP33" s="332">
        <f t="shared" si="21"/>
        <v>127651766.87</v>
      </c>
      <c r="EQ33" s="332">
        <f t="shared" si="21"/>
        <v>132117232.11000001</v>
      </c>
      <c r="ER33" s="332">
        <f t="shared" si="21"/>
        <v>82955408.950000003</v>
      </c>
      <c r="ES33" s="332">
        <f t="shared" si="21"/>
        <v>72699800.790000007</v>
      </c>
      <c r="ET33" s="332">
        <f t="shared" si="21"/>
        <v>206392134.28999996</v>
      </c>
      <c r="EU33" s="332">
        <f t="shared" si="21"/>
        <v>193828186.22999999</v>
      </c>
      <c r="EV33" s="332">
        <f t="shared" si="21"/>
        <v>115396410.37</v>
      </c>
      <c r="EW33" s="332">
        <f t="shared" si="21"/>
        <v>1442696473.5899999</v>
      </c>
      <c r="EX33" s="332">
        <f t="shared" si="21"/>
        <v>62305065.869999997</v>
      </c>
      <c r="EY33" s="332">
        <f t="shared" si="21"/>
        <v>118290208.94999999</v>
      </c>
      <c r="EZ33" s="332">
        <f t="shared" si="21"/>
        <v>175082354.41999999</v>
      </c>
      <c r="FA33" s="332">
        <f t="shared" si="21"/>
        <v>260073033.07000005</v>
      </c>
      <c r="FB33" s="332">
        <f t="shared" si="21"/>
        <v>220160450.51999998</v>
      </c>
      <c r="FC33" s="332">
        <f t="shared" si="21"/>
        <v>163226026.72</v>
      </c>
      <c r="FD33" s="332">
        <f t="shared" si="21"/>
        <v>119116242.84000002</v>
      </c>
      <c r="FE33" s="332">
        <f t="shared" si="21"/>
        <v>97143371.23999998</v>
      </c>
      <c r="FF33" s="332">
        <f t="shared" si="21"/>
        <v>88714304.649999991</v>
      </c>
      <c r="FG33" s="332">
        <f t="shared" si="21"/>
        <v>86876454.420000002</v>
      </c>
      <c r="FH33" s="332">
        <f t="shared" si="21"/>
        <v>74467552.719999984</v>
      </c>
      <c r="FI33" s="332">
        <f t="shared" si="21"/>
        <v>1153291572.0800002</v>
      </c>
      <c r="FJ33" s="332">
        <f t="shared" si="21"/>
        <v>94852888.989999995</v>
      </c>
      <c r="FK33" s="332">
        <f t="shared" si="21"/>
        <v>92202005.770000011</v>
      </c>
      <c r="FL33" s="332">
        <f t="shared" si="21"/>
        <v>92719595.869999975</v>
      </c>
      <c r="FM33" s="332">
        <f t="shared" si="21"/>
        <v>171345272.75</v>
      </c>
      <c r="FN33" s="332">
        <f t="shared" si="21"/>
        <v>141653474.92999998</v>
      </c>
      <c r="FO33" s="332">
        <f t="shared" si="21"/>
        <v>57232830.649999999</v>
      </c>
      <c r="FP33" s="332">
        <f t="shared" si="21"/>
        <v>29446150.510000002</v>
      </c>
      <c r="FQ33" s="332">
        <f t="shared" si="21"/>
        <v>2622680728.5800004</v>
      </c>
      <c r="FR33" s="332">
        <f t="shared" si="21"/>
        <v>106939217.88000001</v>
      </c>
      <c r="FS33" s="332">
        <f t="shared" si="21"/>
        <v>179380609.57000002</v>
      </c>
      <c r="FT33" s="332">
        <f t="shared" si="21"/>
        <v>161692864.33000001</v>
      </c>
      <c r="FU33" s="332">
        <f t="shared" si="21"/>
        <v>228035532.60999995</v>
      </c>
      <c r="FV33" s="332">
        <f t="shared" si="21"/>
        <v>107095862.22</v>
      </c>
      <c r="FW33" s="332">
        <f t="shared" si="21"/>
        <v>273033739.07999998</v>
      </c>
      <c r="FX33" s="332">
        <f t="shared" si="21"/>
        <v>170077716.00999999</v>
      </c>
      <c r="FY33" s="332">
        <f t="shared" si="21"/>
        <v>170321723.23999998</v>
      </c>
      <c r="FZ33" s="332">
        <f t="shared" si="21"/>
        <v>131790466.5</v>
      </c>
      <c r="GA33" s="332">
        <f t="shared" si="21"/>
        <v>283672441.31</v>
      </c>
      <c r="GB33" s="332">
        <f t="shared" si="21"/>
        <v>125293470.91</v>
      </c>
      <c r="GC33" s="332">
        <f t="shared" si="21"/>
        <v>117107384.54000001</v>
      </c>
      <c r="GD33" s="332">
        <f t="shared" si="21"/>
        <v>64060796.469999999</v>
      </c>
      <c r="GE33" s="332">
        <f t="shared" si="21"/>
        <v>1164301328.9400003</v>
      </c>
      <c r="GF33" s="332">
        <f t="shared" si="21"/>
        <v>89418602.079999983</v>
      </c>
      <c r="GG33" s="332">
        <f t="shared" si="21"/>
        <v>98809432.159999996</v>
      </c>
      <c r="GH33" s="332">
        <f t="shared" si="21"/>
        <v>248361917.19000003</v>
      </c>
      <c r="GI33" s="332">
        <f t="shared" si="21"/>
        <v>120649390.15000001</v>
      </c>
      <c r="GJ33" s="332">
        <f t="shared" si="21"/>
        <v>110588629.92999999</v>
      </c>
      <c r="GK33" s="332">
        <f t="shared" si="21"/>
        <v>101736390.80999997</v>
      </c>
      <c r="GL33" s="332">
        <f t="shared" si="21"/>
        <v>283289322.65000004</v>
      </c>
      <c r="GM33" s="332">
        <f t="shared" si="21"/>
        <v>86434425.319999993</v>
      </c>
      <c r="GN33" s="332">
        <f t="shared" si="21"/>
        <v>52047677.390000001</v>
      </c>
      <c r="GO33" s="332">
        <f t="shared" ref="GO33:IZ33" si="22">SUM(GO18:GO32)</f>
        <v>43368602.489999987</v>
      </c>
      <c r="GP33" s="332">
        <f t="shared" si="22"/>
        <v>44224833.060000002</v>
      </c>
      <c r="GQ33" s="332">
        <f t="shared" si="22"/>
        <v>731600545.49000013</v>
      </c>
      <c r="GR33" s="332">
        <f t="shared" si="22"/>
        <v>171467610.65000001</v>
      </c>
      <c r="GS33" s="332">
        <f t="shared" si="22"/>
        <v>100729350.70000002</v>
      </c>
      <c r="GT33" s="332">
        <f t="shared" si="22"/>
        <v>200115382.48999995</v>
      </c>
      <c r="GU33" s="332">
        <f t="shared" si="22"/>
        <v>50354015.81000001</v>
      </c>
      <c r="GV33" s="332">
        <f t="shared" si="22"/>
        <v>138838074.17000002</v>
      </c>
      <c r="GW33" s="332">
        <f t="shared" si="22"/>
        <v>141961732.71999997</v>
      </c>
      <c r="GX33" s="332">
        <f t="shared" si="22"/>
        <v>84802886.310000002</v>
      </c>
      <c r="GY33" s="332">
        <f t="shared" si="22"/>
        <v>786982119.11999989</v>
      </c>
      <c r="GZ33" s="332">
        <f t="shared" si="22"/>
        <v>76721898.900000006</v>
      </c>
      <c r="HA33" s="332">
        <f t="shared" si="22"/>
        <v>178866375.37999997</v>
      </c>
      <c r="HB33" s="332">
        <f t="shared" si="22"/>
        <v>133169074.99000001</v>
      </c>
      <c r="HC33" s="332">
        <f t="shared" si="22"/>
        <v>2373380863.8299999</v>
      </c>
      <c r="HD33" s="332">
        <f t="shared" si="22"/>
        <v>379326554.29999995</v>
      </c>
      <c r="HE33" s="332">
        <f t="shared" si="22"/>
        <v>342558187.87</v>
      </c>
      <c r="HF33" s="332">
        <f t="shared" si="22"/>
        <v>294909013.97000003</v>
      </c>
      <c r="HG33" s="332">
        <f t="shared" si="22"/>
        <v>221925526.18999997</v>
      </c>
      <c r="HH33" s="332">
        <f t="shared" si="22"/>
        <v>316653872.40000004</v>
      </c>
      <c r="HI33" s="332">
        <f t="shared" si="22"/>
        <v>81827992.640000001</v>
      </c>
      <c r="HJ33" s="332">
        <f t="shared" si="22"/>
        <v>1377761346.8200002</v>
      </c>
      <c r="HK33" s="332">
        <f t="shared" si="22"/>
        <v>252760195.49999997</v>
      </c>
      <c r="HL33" s="332">
        <f t="shared" si="22"/>
        <v>318840178.23000002</v>
      </c>
      <c r="HM33" s="332">
        <f t="shared" si="22"/>
        <v>178560050.41000003</v>
      </c>
      <c r="HN33" s="332">
        <f t="shared" si="22"/>
        <v>117745671.67000002</v>
      </c>
      <c r="HO33" s="332">
        <f t="shared" si="22"/>
        <v>133665403.26000001</v>
      </c>
      <c r="HP33" s="332">
        <f t="shared" si="22"/>
        <v>177600550.14000002</v>
      </c>
      <c r="HQ33" s="332">
        <f t="shared" si="22"/>
        <v>97891679.549999997</v>
      </c>
      <c r="HR33" s="332">
        <f t="shared" si="22"/>
        <v>1707817007.1400001</v>
      </c>
      <c r="HS33" s="332">
        <f t="shared" si="22"/>
        <v>478633497.03000003</v>
      </c>
      <c r="HT33" s="332">
        <f t="shared" si="22"/>
        <v>113684795.09999999</v>
      </c>
      <c r="HU33" s="332">
        <f t="shared" si="22"/>
        <v>91010180.730000004</v>
      </c>
      <c r="HV33" s="332">
        <f t="shared" si="22"/>
        <v>97263820.38000001</v>
      </c>
      <c r="HW33" s="332">
        <f t="shared" si="22"/>
        <v>77111368.739999995</v>
      </c>
      <c r="HX33" s="332">
        <f t="shared" si="22"/>
        <v>264430928.63999999</v>
      </c>
      <c r="HY33" s="332">
        <f t="shared" si="22"/>
        <v>94760817.479999989</v>
      </c>
      <c r="HZ33" s="332">
        <f t="shared" si="22"/>
        <v>98225896.430000007</v>
      </c>
      <c r="IA33" s="332">
        <f t="shared" si="22"/>
        <v>100169365.58999999</v>
      </c>
      <c r="IB33" s="332">
        <f t="shared" si="22"/>
        <v>104576402.44</v>
      </c>
      <c r="IC33" s="332">
        <f t="shared" si="22"/>
        <v>164643433.67999998</v>
      </c>
      <c r="ID33" s="332">
        <f t="shared" si="22"/>
        <v>51412303.00999999</v>
      </c>
      <c r="IE33" s="332">
        <f t="shared" si="22"/>
        <v>140866341.29999998</v>
      </c>
      <c r="IF33" s="332">
        <f t="shared" si="22"/>
        <v>59483889.330000013</v>
      </c>
      <c r="IG33" s="332">
        <f t="shared" si="22"/>
        <v>64274237.560000002</v>
      </c>
      <c r="IH33" s="332">
        <f t="shared" si="22"/>
        <v>1215940412.4200001</v>
      </c>
      <c r="II33" s="332">
        <f t="shared" si="22"/>
        <v>569593372.95000005</v>
      </c>
      <c r="IJ33" s="332">
        <f t="shared" si="22"/>
        <v>157174644.06999999</v>
      </c>
      <c r="IK33" s="332">
        <f t="shared" si="22"/>
        <v>247765553.17999998</v>
      </c>
      <c r="IL33" s="332">
        <f t="shared" si="22"/>
        <v>341504241.27999997</v>
      </c>
      <c r="IM33" s="332">
        <f t="shared" si="22"/>
        <v>122748858.76999998</v>
      </c>
      <c r="IN33" s="332">
        <f t="shared" si="22"/>
        <v>102390289.02</v>
      </c>
      <c r="IO33" s="332">
        <f t="shared" si="22"/>
        <v>65915081.010000005</v>
      </c>
      <c r="IP33" s="332">
        <f t="shared" si="22"/>
        <v>82332174.090000004</v>
      </c>
      <c r="IQ33" s="332">
        <f t="shared" si="22"/>
        <v>80031976.790000007</v>
      </c>
      <c r="IR33" s="332">
        <f t="shared" si="22"/>
        <v>84491826.200000018</v>
      </c>
      <c r="IS33" s="332">
        <f t="shared" si="22"/>
        <v>2220147688.7199998</v>
      </c>
      <c r="IT33" s="332">
        <f t="shared" si="22"/>
        <v>665661178.92999995</v>
      </c>
      <c r="IU33" s="332">
        <f t="shared" si="22"/>
        <v>198113339.38999996</v>
      </c>
      <c r="IV33" s="332">
        <f t="shared" si="22"/>
        <v>141239856.13999999</v>
      </c>
      <c r="IW33" s="332">
        <f t="shared" si="22"/>
        <v>100108965.04999998</v>
      </c>
      <c r="IX33" s="332">
        <f t="shared" si="22"/>
        <v>48510675.43</v>
      </c>
      <c r="IY33" s="332">
        <f t="shared" si="22"/>
        <v>102531825.7236</v>
      </c>
      <c r="IZ33" s="332">
        <f t="shared" si="22"/>
        <v>51895584.50999999</v>
      </c>
      <c r="JA33" s="332">
        <f t="shared" ref="JA33:LL33" si="23">SUM(JA18:JA32)</f>
        <v>74578994.719999999</v>
      </c>
      <c r="JB33" s="332">
        <f t="shared" si="23"/>
        <v>115525459.56999999</v>
      </c>
      <c r="JC33" s="332">
        <f t="shared" si="23"/>
        <v>123984871.24000002</v>
      </c>
      <c r="JD33" s="332">
        <f t="shared" si="23"/>
        <v>81340210.609999999</v>
      </c>
      <c r="JE33" s="332">
        <f t="shared" si="23"/>
        <v>1132363762.5699999</v>
      </c>
      <c r="JF33" s="332">
        <f t="shared" si="23"/>
        <v>372546199.78000009</v>
      </c>
      <c r="JG33" s="332">
        <f t="shared" si="23"/>
        <v>95289607.910000011</v>
      </c>
      <c r="JH33" s="332">
        <f t="shared" si="23"/>
        <v>98453463.090000018</v>
      </c>
      <c r="JI33" s="332">
        <f t="shared" si="23"/>
        <v>66966976.529999994</v>
      </c>
      <c r="JJ33" s="332">
        <f t="shared" si="23"/>
        <v>70548501.129999995</v>
      </c>
      <c r="JK33" s="332">
        <f t="shared" si="23"/>
        <v>882090422.61999989</v>
      </c>
      <c r="JL33" s="332">
        <f t="shared" si="23"/>
        <v>85216115.330000013</v>
      </c>
      <c r="JM33" s="332">
        <f t="shared" si="23"/>
        <v>108485011.45999999</v>
      </c>
      <c r="JN33" s="332">
        <f t="shared" si="23"/>
        <v>216363258.01999998</v>
      </c>
      <c r="JO33" s="332">
        <f t="shared" si="23"/>
        <v>99120091.469999999</v>
      </c>
      <c r="JP33" s="332">
        <f t="shared" si="23"/>
        <v>196431518.81000003</v>
      </c>
      <c r="JQ33" s="332">
        <f t="shared" si="23"/>
        <v>73965835.879999995</v>
      </c>
      <c r="JR33" s="332">
        <f t="shared" si="23"/>
        <v>1913904846.1999998</v>
      </c>
      <c r="JS33" s="332">
        <f t="shared" si="23"/>
        <v>667767842.69999993</v>
      </c>
      <c r="JT33" s="332">
        <f t="shared" si="23"/>
        <v>100524416.10000001</v>
      </c>
      <c r="JU33" s="332">
        <f t="shared" si="23"/>
        <v>64009771.460000001</v>
      </c>
      <c r="JV33" s="332">
        <f t="shared" si="23"/>
        <v>166053659.42999998</v>
      </c>
      <c r="JW33" s="332">
        <f t="shared" si="23"/>
        <v>51674293.500000007</v>
      </c>
      <c r="JX33" s="332">
        <f t="shared" si="23"/>
        <v>373324087.84000003</v>
      </c>
      <c r="JY33" s="332">
        <f t="shared" si="23"/>
        <v>191912852.75</v>
      </c>
      <c r="JZ33" s="332">
        <f t="shared" si="23"/>
        <v>133564455.83000001</v>
      </c>
      <c r="KA33" s="332">
        <f t="shared" si="23"/>
        <v>154195184.36999997</v>
      </c>
      <c r="KB33" s="332">
        <f t="shared" si="23"/>
        <v>110740719.26000002</v>
      </c>
      <c r="KC33" s="332">
        <f t="shared" si="23"/>
        <v>126854058.44</v>
      </c>
      <c r="KD33" s="332">
        <f t="shared" si="23"/>
        <v>135756162.25999999</v>
      </c>
      <c r="KE33" s="332">
        <f t="shared" si="23"/>
        <v>36791664.710000001</v>
      </c>
      <c r="KF33" s="332">
        <f t="shared" si="23"/>
        <v>85655634.040000007</v>
      </c>
      <c r="KG33" s="332">
        <f t="shared" si="23"/>
        <v>33007075.140000001</v>
      </c>
      <c r="KH33" s="332">
        <f t="shared" si="23"/>
        <v>2605706784.0899997</v>
      </c>
      <c r="KI33" s="332">
        <f t="shared" si="23"/>
        <v>317358628.47000003</v>
      </c>
      <c r="KJ33" s="332">
        <f t="shared" si="23"/>
        <v>154417878.45999998</v>
      </c>
      <c r="KK33" s="332">
        <f t="shared" si="23"/>
        <v>160103140.13000003</v>
      </c>
      <c r="KL33" s="332">
        <f t="shared" si="23"/>
        <v>159243306.18000001</v>
      </c>
      <c r="KM33" s="332">
        <f t="shared" si="23"/>
        <v>139693930.074</v>
      </c>
      <c r="KN33" s="332">
        <f t="shared" si="23"/>
        <v>482951111.3300001</v>
      </c>
      <c r="KO33" s="332">
        <f t="shared" si="23"/>
        <v>113989602.41</v>
      </c>
      <c r="KP33" s="332">
        <f t="shared" si="23"/>
        <v>94562377.640000001</v>
      </c>
      <c r="KQ33" s="332">
        <f t="shared" si="23"/>
        <v>837787076.30999994</v>
      </c>
      <c r="KR33" s="332">
        <f t="shared" si="23"/>
        <v>128816389.02999999</v>
      </c>
      <c r="KS33" s="332">
        <f t="shared" si="23"/>
        <v>155498388.74000001</v>
      </c>
      <c r="KT33" s="332">
        <f t="shared" si="23"/>
        <v>398506751.66000003</v>
      </c>
      <c r="KU33" s="332">
        <f t="shared" si="23"/>
        <v>109538084.92000002</v>
      </c>
      <c r="KV33" s="332">
        <f t="shared" si="23"/>
        <v>178252330.78999996</v>
      </c>
      <c r="KW33" s="332">
        <f t="shared" si="23"/>
        <v>1273039616.51</v>
      </c>
      <c r="KX33" s="332">
        <f t="shared" si="23"/>
        <v>177532840.76999995</v>
      </c>
      <c r="KY33" s="332">
        <f t="shared" si="23"/>
        <v>1212038554.1900001</v>
      </c>
      <c r="KZ33" s="332">
        <f t="shared" si="23"/>
        <v>119476563.43000001</v>
      </c>
      <c r="LA33" s="332">
        <f t="shared" si="23"/>
        <v>80086628.450000003</v>
      </c>
      <c r="LB33" s="332">
        <f t="shared" si="23"/>
        <v>249753197.80000001</v>
      </c>
      <c r="LC33" s="332">
        <f t="shared" si="23"/>
        <v>242711636.90000001</v>
      </c>
      <c r="LD33" s="332">
        <f t="shared" si="23"/>
        <v>151960788.83999997</v>
      </c>
      <c r="LE33" s="332">
        <f t="shared" si="23"/>
        <v>164547018.28999999</v>
      </c>
      <c r="LF33" s="332">
        <f t="shared" si="23"/>
        <v>97682688.090000004</v>
      </c>
      <c r="LG33" s="332">
        <f t="shared" si="23"/>
        <v>2814262668.1599998</v>
      </c>
      <c r="LH33" s="332">
        <f t="shared" si="23"/>
        <v>532797166.30000007</v>
      </c>
      <c r="LI33" s="332">
        <f t="shared" si="23"/>
        <v>796849187.53999996</v>
      </c>
      <c r="LJ33" s="332">
        <f t="shared" si="23"/>
        <v>611338397.88000011</v>
      </c>
      <c r="LK33" s="332">
        <f t="shared" si="23"/>
        <v>179064298.66999999</v>
      </c>
      <c r="LL33" s="332">
        <f t="shared" si="23"/>
        <v>122191407.90999998</v>
      </c>
      <c r="LM33" s="332">
        <f t="shared" ref="LM33:NX33" si="24">SUM(LM18:LM32)</f>
        <v>83452513.629999995</v>
      </c>
      <c r="LN33" s="332">
        <f t="shared" si="24"/>
        <v>166379129.78999999</v>
      </c>
      <c r="LO33" s="332">
        <f t="shared" si="24"/>
        <v>83674094.99000001</v>
      </c>
      <c r="LP33" s="332">
        <f t="shared" si="24"/>
        <v>199536264.41</v>
      </c>
      <c r="LQ33" s="332">
        <f t="shared" si="24"/>
        <v>71574981.670000002</v>
      </c>
      <c r="LR33" s="332">
        <f t="shared" si="24"/>
        <v>941328890.14999998</v>
      </c>
      <c r="LS33" s="332">
        <f t="shared" si="24"/>
        <v>150714177.67000002</v>
      </c>
      <c r="LT33" s="332">
        <f t="shared" si="24"/>
        <v>104212000.37</v>
      </c>
      <c r="LU33" s="332">
        <f t="shared" si="24"/>
        <v>2139693362.7299995</v>
      </c>
      <c r="LV33" s="332">
        <f t="shared" si="24"/>
        <v>941643936.92999983</v>
      </c>
      <c r="LW33" s="332">
        <f t="shared" si="24"/>
        <v>2114164867.0899997</v>
      </c>
      <c r="LX33" s="332">
        <f t="shared" si="24"/>
        <v>585860225.04999995</v>
      </c>
      <c r="LY33" s="332">
        <f t="shared" si="24"/>
        <v>270796823.61000001</v>
      </c>
      <c r="LZ33" s="332">
        <f t="shared" si="24"/>
        <v>269024512.97000003</v>
      </c>
      <c r="MA33" s="332">
        <f t="shared" si="24"/>
        <v>198512493.06000003</v>
      </c>
      <c r="MB33" s="332">
        <f t="shared" si="24"/>
        <v>160336357.88499996</v>
      </c>
      <c r="MC33" s="332">
        <f t="shared" si="24"/>
        <v>179361828.64000002</v>
      </c>
      <c r="MD33" s="332">
        <f t="shared" si="24"/>
        <v>203113999.16000003</v>
      </c>
      <c r="ME33" s="332">
        <f t="shared" si="24"/>
        <v>360970767.82999998</v>
      </c>
      <c r="MF33" s="332">
        <f t="shared" si="24"/>
        <v>118181603.58000001</v>
      </c>
      <c r="MG33" s="332">
        <f t="shared" si="24"/>
        <v>2758186588.0799999</v>
      </c>
      <c r="MH33" s="332">
        <f t="shared" si="24"/>
        <v>164636877.34</v>
      </c>
      <c r="MI33" s="332">
        <f t="shared" si="24"/>
        <v>89451939.61999999</v>
      </c>
      <c r="MJ33" s="332">
        <f t="shared" si="24"/>
        <v>87379196.900000006</v>
      </c>
      <c r="MK33" s="332">
        <f t="shared" si="24"/>
        <v>84578350.590000004</v>
      </c>
      <c r="ML33" s="332">
        <f t="shared" si="24"/>
        <v>143759095.44</v>
      </c>
      <c r="MM33" s="332">
        <f t="shared" si="24"/>
        <v>109449453.91</v>
      </c>
      <c r="MN33" s="332">
        <f t="shared" si="24"/>
        <v>111725274.16</v>
      </c>
      <c r="MO33" s="332">
        <f t="shared" si="24"/>
        <v>199999953.70999995</v>
      </c>
      <c r="MP33" s="332">
        <f t="shared" si="24"/>
        <v>110979875.01000001</v>
      </c>
      <c r="MQ33" s="332">
        <f t="shared" si="24"/>
        <v>107094109.66000001</v>
      </c>
      <c r="MR33" s="332">
        <f t="shared" si="24"/>
        <v>104585621.16300002</v>
      </c>
      <c r="MS33" s="332">
        <f t="shared" si="24"/>
        <v>2819418907.5200005</v>
      </c>
      <c r="MT33" s="332">
        <f t="shared" si="24"/>
        <v>122703380.20999999</v>
      </c>
      <c r="MU33" s="332">
        <f t="shared" si="24"/>
        <v>165795322.43999997</v>
      </c>
      <c r="MV33" s="332">
        <f t="shared" si="24"/>
        <v>239072148.75999999</v>
      </c>
      <c r="MW33" s="332">
        <f t="shared" si="24"/>
        <v>213763694.32999995</v>
      </c>
      <c r="MX33" s="332">
        <f t="shared" si="24"/>
        <v>141833084.97</v>
      </c>
      <c r="MY33" s="332">
        <f t="shared" si="24"/>
        <v>307778411.89129996</v>
      </c>
      <c r="MZ33" s="332">
        <f t="shared" si="24"/>
        <v>243473524.12999997</v>
      </c>
      <c r="NA33" s="332">
        <f t="shared" si="24"/>
        <v>139786627.72000003</v>
      </c>
      <c r="NB33" s="332">
        <f t="shared" si="24"/>
        <v>58232039.70000001</v>
      </c>
      <c r="NC33" s="332">
        <f t="shared" si="24"/>
        <v>42871795.799999997</v>
      </c>
      <c r="ND33" s="332">
        <f t="shared" si="24"/>
        <v>4732716945.1799994</v>
      </c>
      <c r="NE33" s="332">
        <f t="shared" si="24"/>
        <v>416033825.88000005</v>
      </c>
      <c r="NF33" s="332">
        <f t="shared" si="24"/>
        <v>102911580.68000001</v>
      </c>
      <c r="NG33" s="332">
        <f t="shared" si="24"/>
        <v>1289207488.26</v>
      </c>
      <c r="NH33" s="332">
        <f t="shared" si="24"/>
        <v>96401512.189999998</v>
      </c>
      <c r="NI33" s="332">
        <f t="shared" si="24"/>
        <v>256711138.26999998</v>
      </c>
      <c r="NJ33" s="332">
        <f t="shared" si="24"/>
        <v>534970334.29000002</v>
      </c>
      <c r="NK33" s="332">
        <f t="shared" si="24"/>
        <v>502963975.96000004</v>
      </c>
      <c r="NL33" s="332">
        <f t="shared" si="24"/>
        <v>43650675.800000004</v>
      </c>
      <c r="NM33" s="332">
        <f t="shared" si="24"/>
        <v>204852501.03890002</v>
      </c>
      <c r="NN33" s="332">
        <f t="shared" si="24"/>
        <v>161327627.92999998</v>
      </c>
      <c r="NO33" s="332">
        <f t="shared" si="24"/>
        <v>93820450.251000002</v>
      </c>
      <c r="NP33" s="332">
        <f t="shared" si="24"/>
        <v>906540340.68999994</v>
      </c>
      <c r="NQ33" s="332">
        <f t="shared" si="24"/>
        <v>106362827.28000002</v>
      </c>
      <c r="NR33" s="332">
        <f t="shared" si="24"/>
        <v>107343096.36999997</v>
      </c>
      <c r="NS33" s="332">
        <f t="shared" si="24"/>
        <v>98271086.109999985</v>
      </c>
      <c r="NT33" s="332">
        <f t="shared" si="24"/>
        <v>83577790.800000012</v>
      </c>
      <c r="NU33" s="332">
        <f t="shared" si="24"/>
        <v>32948145.659999996</v>
      </c>
      <c r="NV33" s="332">
        <f t="shared" si="24"/>
        <v>59355814.289999999</v>
      </c>
      <c r="NW33" s="332">
        <f t="shared" si="24"/>
        <v>2858385807.9499998</v>
      </c>
      <c r="NX33" s="332">
        <f t="shared" si="24"/>
        <v>564310135.52999985</v>
      </c>
      <c r="NY33" s="332">
        <f t="shared" ref="NY33:QJ33" si="25">SUM(NY18:NY32)</f>
        <v>116666644.17000002</v>
      </c>
      <c r="NZ33" s="332">
        <f t="shared" si="25"/>
        <v>85131079.729999989</v>
      </c>
      <c r="OA33" s="332">
        <f t="shared" si="25"/>
        <v>117643811.77</v>
      </c>
      <c r="OB33" s="332">
        <f t="shared" si="25"/>
        <v>189096554.19</v>
      </c>
      <c r="OC33" s="332">
        <f t="shared" si="25"/>
        <v>73377205.00999999</v>
      </c>
      <c r="OD33" s="332">
        <f t="shared" si="25"/>
        <v>2151943916.4199996</v>
      </c>
      <c r="OE33" s="332">
        <f t="shared" si="25"/>
        <v>434271426.94000006</v>
      </c>
      <c r="OF33" s="332">
        <f t="shared" si="25"/>
        <v>179139347.03999996</v>
      </c>
      <c r="OG33" s="332">
        <f t="shared" si="25"/>
        <v>499166527.47000003</v>
      </c>
      <c r="OH33" s="332">
        <f t="shared" si="25"/>
        <v>142658374.71999997</v>
      </c>
      <c r="OI33" s="332">
        <f t="shared" si="25"/>
        <v>186464930.26000005</v>
      </c>
      <c r="OJ33" s="332">
        <f t="shared" si="25"/>
        <v>177647938.65999994</v>
      </c>
      <c r="OK33" s="332">
        <f t="shared" si="25"/>
        <v>65348399.919999994</v>
      </c>
      <c r="OL33" s="332">
        <f t="shared" si="25"/>
        <v>76996918.24000001</v>
      </c>
      <c r="OM33" s="332">
        <f t="shared" si="25"/>
        <v>1959396296.6299996</v>
      </c>
      <c r="ON33" s="332">
        <f t="shared" si="25"/>
        <v>411593547.98000002</v>
      </c>
      <c r="OO33" s="332">
        <f t="shared" si="25"/>
        <v>699075018.44000018</v>
      </c>
      <c r="OP33" s="332">
        <f t="shared" si="25"/>
        <v>247805431.53000003</v>
      </c>
      <c r="OQ33" s="332">
        <f t="shared" si="25"/>
        <v>194299566.32999998</v>
      </c>
      <c r="OR33" s="332">
        <f t="shared" si="25"/>
        <v>103529207.47000001</v>
      </c>
      <c r="OS33" s="332">
        <f t="shared" si="25"/>
        <v>1060584624.85</v>
      </c>
      <c r="OT33" s="332">
        <f t="shared" si="25"/>
        <v>89350708.810000002</v>
      </c>
      <c r="OU33" s="332">
        <f t="shared" si="25"/>
        <v>108371280.89</v>
      </c>
      <c r="OV33" s="332">
        <f t="shared" si="25"/>
        <v>161328140.00999996</v>
      </c>
      <c r="OW33" s="332">
        <f t="shared" si="25"/>
        <v>195587975.56999999</v>
      </c>
      <c r="OX33" s="332">
        <f t="shared" si="25"/>
        <v>422611325.86000007</v>
      </c>
      <c r="OY33" s="332">
        <f t="shared" si="25"/>
        <v>121459766.98999999</v>
      </c>
      <c r="OZ33" s="332">
        <f t="shared" si="25"/>
        <v>65826774.719999999</v>
      </c>
      <c r="PA33" s="332">
        <f t="shared" si="25"/>
        <v>62870053.740000002</v>
      </c>
      <c r="PB33" s="332">
        <f t="shared" si="25"/>
        <v>1440206212.3600001</v>
      </c>
      <c r="PC33" s="332">
        <f t="shared" si="25"/>
        <v>86868075.570000008</v>
      </c>
      <c r="PD33" s="332">
        <f t="shared" si="25"/>
        <v>255757649.53999999</v>
      </c>
      <c r="PE33" s="332">
        <f t="shared" si="25"/>
        <v>64387950.090000018</v>
      </c>
      <c r="PF33" s="332">
        <f t="shared" si="25"/>
        <v>167922279.40999997</v>
      </c>
      <c r="PG33" s="332">
        <f t="shared" si="25"/>
        <v>344913699.10999995</v>
      </c>
      <c r="PH33" s="332">
        <f t="shared" si="25"/>
        <v>100998615.05999999</v>
      </c>
      <c r="PI33" s="332">
        <f t="shared" si="25"/>
        <v>95143203.320000008</v>
      </c>
      <c r="PJ33" s="332">
        <f t="shared" si="25"/>
        <v>135750351.39000002</v>
      </c>
      <c r="PK33" s="332">
        <f t="shared" si="25"/>
        <v>120442708.53000002</v>
      </c>
      <c r="PL33" s="332">
        <f t="shared" si="25"/>
        <v>155741080.81999999</v>
      </c>
      <c r="PM33" s="332">
        <f t="shared" si="25"/>
        <v>217450973.34</v>
      </c>
      <c r="PN33" s="332">
        <f t="shared" si="25"/>
        <v>87059803.63000001</v>
      </c>
      <c r="PO33" s="332">
        <f t="shared" si="25"/>
        <v>392340967.95000005</v>
      </c>
      <c r="PP33" s="332">
        <f t="shared" si="25"/>
        <v>75878542.480000004</v>
      </c>
      <c r="PQ33" s="332">
        <f t="shared" si="25"/>
        <v>60270013.279999986</v>
      </c>
      <c r="PR33" s="332">
        <f t="shared" si="25"/>
        <v>41905671.100000001</v>
      </c>
      <c r="PS33" s="332">
        <f t="shared" si="25"/>
        <v>56684702.089999996</v>
      </c>
      <c r="PT33" s="332">
        <f t="shared" si="25"/>
        <v>3728442587.0999994</v>
      </c>
      <c r="PU33" s="332">
        <f t="shared" si="25"/>
        <v>119262632.17000002</v>
      </c>
      <c r="PV33" s="332">
        <f t="shared" si="25"/>
        <v>119483152.79000001</v>
      </c>
      <c r="PW33" s="332">
        <f t="shared" si="25"/>
        <v>184799176.60999995</v>
      </c>
      <c r="PX33" s="332">
        <f t="shared" si="25"/>
        <v>735615265.90999997</v>
      </c>
      <c r="PY33" s="332">
        <f t="shared" si="25"/>
        <v>157166560.75000003</v>
      </c>
      <c r="PZ33" s="332">
        <f t="shared" si="25"/>
        <v>276461461.74999994</v>
      </c>
      <c r="QA33" s="332">
        <f t="shared" si="25"/>
        <v>121404665.56000002</v>
      </c>
      <c r="QB33" s="332">
        <f t="shared" si="25"/>
        <v>298732732.56</v>
      </c>
      <c r="QC33" s="332">
        <f t="shared" si="25"/>
        <v>82165736.270000011</v>
      </c>
      <c r="QD33" s="332">
        <f t="shared" si="25"/>
        <v>270113740.13000005</v>
      </c>
      <c r="QE33" s="332">
        <f t="shared" si="25"/>
        <v>93531665.12000002</v>
      </c>
      <c r="QF33" s="332">
        <f t="shared" si="25"/>
        <v>125967170.17999999</v>
      </c>
      <c r="QG33" s="332">
        <f t="shared" si="25"/>
        <v>169753356.57999998</v>
      </c>
      <c r="QH33" s="332">
        <f t="shared" si="25"/>
        <v>176541709.17000002</v>
      </c>
      <c r="QI33" s="332">
        <f t="shared" si="25"/>
        <v>201191294.38</v>
      </c>
      <c r="QJ33" s="332">
        <f t="shared" si="25"/>
        <v>104853699.59000002</v>
      </c>
      <c r="QK33" s="332">
        <f t="shared" ref="QK33:SV33" si="26">SUM(QK18:QK32)</f>
        <v>106687526.19000001</v>
      </c>
      <c r="QL33" s="332">
        <f t="shared" si="26"/>
        <v>79988386.540000007</v>
      </c>
      <c r="QM33" s="332">
        <f t="shared" si="26"/>
        <v>257672442.03999999</v>
      </c>
      <c r="QN33" s="332">
        <f t="shared" si="26"/>
        <v>325769965.47000003</v>
      </c>
      <c r="QO33" s="332">
        <f t="shared" si="26"/>
        <v>82814398.640000015</v>
      </c>
      <c r="QP33" s="332">
        <f t="shared" si="26"/>
        <v>40765087.859999992</v>
      </c>
      <c r="QQ33" s="332">
        <f t="shared" si="26"/>
        <v>31684194.769999992</v>
      </c>
      <c r="QR33" s="332">
        <f t="shared" si="26"/>
        <v>48818614.800000004</v>
      </c>
      <c r="QS33" s="332">
        <f t="shared" si="26"/>
        <v>30850797.360000003</v>
      </c>
      <c r="QT33" s="332">
        <f t="shared" si="26"/>
        <v>1628879279.8999999</v>
      </c>
      <c r="QU33" s="332">
        <f t="shared" si="26"/>
        <v>83197353.629999995</v>
      </c>
      <c r="QV33" s="332">
        <f t="shared" si="26"/>
        <v>268692602.82999998</v>
      </c>
      <c r="QW33" s="332">
        <f t="shared" si="26"/>
        <v>134974044.42999998</v>
      </c>
      <c r="QX33" s="332">
        <f t="shared" si="26"/>
        <v>150186726.66</v>
      </c>
      <c r="QY33" s="332">
        <f t="shared" si="26"/>
        <v>302439941.68000007</v>
      </c>
      <c r="QZ33" s="332">
        <f t="shared" si="26"/>
        <v>114955317.10999998</v>
      </c>
      <c r="RA33" s="332">
        <f t="shared" si="26"/>
        <v>226279692.67000002</v>
      </c>
      <c r="RB33" s="332">
        <f t="shared" si="26"/>
        <v>240163162.11000001</v>
      </c>
      <c r="RC33" s="332">
        <f t="shared" si="26"/>
        <v>93306825.139999986</v>
      </c>
      <c r="RD33" s="332">
        <f t="shared" si="26"/>
        <v>90108294.049999997</v>
      </c>
      <c r="RE33" s="332">
        <f t="shared" si="26"/>
        <v>64216991.370000012</v>
      </c>
      <c r="RF33" s="332">
        <f t="shared" si="26"/>
        <v>49421165.009999998</v>
      </c>
      <c r="RG33" s="332">
        <f t="shared" si="26"/>
        <v>2520394551.0800009</v>
      </c>
      <c r="RH33" s="332">
        <f t="shared" si="26"/>
        <v>288110167.95999998</v>
      </c>
      <c r="RI33" s="332">
        <f t="shared" si="26"/>
        <v>126686779.88</v>
      </c>
      <c r="RJ33" s="332">
        <f t="shared" si="26"/>
        <v>164777770.02999997</v>
      </c>
      <c r="RK33" s="332">
        <f t="shared" si="26"/>
        <v>166586335.63</v>
      </c>
      <c r="RL33" s="332">
        <f t="shared" si="26"/>
        <v>180022009.88999999</v>
      </c>
      <c r="RM33" s="332">
        <f t="shared" si="26"/>
        <v>362599160.53999996</v>
      </c>
      <c r="RN33" s="332">
        <f t="shared" si="26"/>
        <v>111249653.97</v>
      </c>
      <c r="RO33" s="332">
        <f t="shared" si="26"/>
        <v>146707799.58000001</v>
      </c>
      <c r="RP33" s="332">
        <f t="shared" si="26"/>
        <v>319411439.81999999</v>
      </c>
      <c r="RQ33" s="332">
        <f t="shared" si="26"/>
        <v>330079713.55000013</v>
      </c>
      <c r="RR33" s="332">
        <f t="shared" si="26"/>
        <v>87624837.019999996</v>
      </c>
      <c r="RS33" s="332">
        <f t="shared" si="26"/>
        <v>74011582.25</v>
      </c>
      <c r="RT33" s="332">
        <f t="shared" si="26"/>
        <v>137577299.93000001</v>
      </c>
      <c r="RU33" s="332">
        <f t="shared" si="26"/>
        <v>74649827.890000001</v>
      </c>
      <c r="RV33" s="332">
        <f t="shared" si="26"/>
        <v>100274840.45</v>
      </c>
      <c r="RW33" s="332">
        <f t="shared" si="26"/>
        <v>128939403.67999998</v>
      </c>
      <c r="RX33" s="332">
        <f t="shared" si="26"/>
        <v>56072119.140000001</v>
      </c>
      <c r="RY33" s="332">
        <f t="shared" si="26"/>
        <v>40362538.199999996</v>
      </c>
      <c r="RZ33" s="332">
        <f t="shared" si="26"/>
        <v>51253705.660000004</v>
      </c>
      <c r="SA33" s="332">
        <f t="shared" si="26"/>
        <v>953202371.66000009</v>
      </c>
      <c r="SB33" s="332">
        <f t="shared" si="26"/>
        <v>110012012.19</v>
      </c>
      <c r="SC33" s="332">
        <f t="shared" si="26"/>
        <v>116383844.75999999</v>
      </c>
      <c r="SD33" s="332">
        <f t="shared" si="26"/>
        <v>111310218.84999999</v>
      </c>
      <c r="SE33" s="332">
        <f t="shared" si="26"/>
        <v>71654013.789999992</v>
      </c>
      <c r="SF33" s="332">
        <f t="shared" si="26"/>
        <v>134355494.18999997</v>
      </c>
      <c r="SG33" s="332">
        <f t="shared" si="26"/>
        <v>155179295.47999999</v>
      </c>
      <c r="SH33" s="332">
        <f t="shared" si="26"/>
        <v>228827620.69</v>
      </c>
      <c r="SI33" s="332">
        <f t="shared" si="26"/>
        <v>121962191.05</v>
      </c>
      <c r="SJ33" s="332">
        <f t="shared" si="26"/>
        <v>137450846.92999998</v>
      </c>
      <c r="SK33" s="332">
        <f t="shared" si="26"/>
        <v>291892235.65999997</v>
      </c>
      <c r="SL33" s="332">
        <f t="shared" si="26"/>
        <v>47820987.819999993</v>
      </c>
      <c r="SM33" s="332">
        <f t="shared" si="26"/>
        <v>664528730.18000007</v>
      </c>
      <c r="SN33" s="332">
        <f t="shared" si="26"/>
        <v>123311437.81</v>
      </c>
      <c r="SO33" s="332">
        <f t="shared" si="26"/>
        <v>158277053.69999999</v>
      </c>
      <c r="SP33" s="332">
        <f t="shared" si="26"/>
        <v>223874726.56000003</v>
      </c>
      <c r="SQ33" s="332">
        <f t="shared" si="26"/>
        <v>112696440.91999997</v>
      </c>
      <c r="SR33" s="332">
        <f t="shared" si="26"/>
        <v>118499967.84000002</v>
      </c>
      <c r="SS33" s="332">
        <f t="shared" si="26"/>
        <v>104058410.8</v>
      </c>
      <c r="ST33" s="332">
        <f t="shared" si="26"/>
        <v>58843392.980000004</v>
      </c>
      <c r="SU33" s="332">
        <f t="shared" si="26"/>
        <v>1241669801.9400005</v>
      </c>
      <c r="SV33" s="332">
        <f t="shared" si="26"/>
        <v>79751287.499999985</v>
      </c>
      <c r="SW33" s="332">
        <f t="shared" ref="SW33:VH33" si="27">SUM(SW18:SW32)</f>
        <v>161751686.71000001</v>
      </c>
      <c r="SX33" s="332">
        <f t="shared" si="27"/>
        <v>114071135.31</v>
      </c>
      <c r="SY33" s="332">
        <f t="shared" si="27"/>
        <v>60020883.25</v>
      </c>
      <c r="SZ33" s="332">
        <f t="shared" si="27"/>
        <v>80590229.419999987</v>
      </c>
      <c r="TA33" s="332">
        <f t="shared" si="27"/>
        <v>91229288.219999999</v>
      </c>
      <c r="TB33" s="332">
        <f t="shared" si="27"/>
        <v>299297698.96999991</v>
      </c>
      <c r="TC33" s="332">
        <f t="shared" si="27"/>
        <v>87443749.469999999</v>
      </c>
      <c r="TD33" s="332">
        <f t="shared" si="27"/>
        <v>89749820.789999992</v>
      </c>
      <c r="TE33" s="332">
        <f t="shared" si="27"/>
        <v>125214125.84999998</v>
      </c>
      <c r="TF33" s="332">
        <f t="shared" si="27"/>
        <v>187620295.81</v>
      </c>
      <c r="TG33" s="332">
        <f t="shared" si="27"/>
        <v>97303922.99000001</v>
      </c>
      <c r="TH33" s="332">
        <f t="shared" si="27"/>
        <v>65697483.219999999</v>
      </c>
      <c r="TI33" s="332">
        <f t="shared" si="27"/>
        <v>2483231236.04</v>
      </c>
      <c r="TJ33" s="332">
        <f t="shared" si="27"/>
        <v>110833000.58</v>
      </c>
      <c r="TK33" s="332">
        <f t="shared" si="27"/>
        <v>78591401.870000005</v>
      </c>
      <c r="TL33" s="332">
        <f t="shared" si="27"/>
        <v>209664053.56999996</v>
      </c>
      <c r="TM33" s="332">
        <f t="shared" si="27"/>
        <v>180322873.61999997</v>
      </c>
      <c r="TN33" s="332">
        <f t="shared" si="27"/>
        <v>116442593.71999998</v>
      </c>
      <c r="TO33" s="332">
        <f t="shared" si="27"/>
        <v>54122687.580000006</v>
      </c>
      <c r="TP33" s="332">
        <f t="shared" si="27"/>
        <v>456243706.31</v>
      </c>
      <c r="TQ33" s="332">
        <f t="shared" si="27"/>
        <v>101605949.50999999</v>
      </c>
      <c r="TR33" s="332">
        <f t="shared" si="27"/>
        <v>188474119.47999999</v>
      </c>
      <c r="TS33" s="332">
        <f t="shared" si="27"/>
        <v>205215651.35999998</v>
      </c>
      <c r="TT33" s="332">
        <f t="shared" si="27"/>
        <v>92372807.509999976</v>
      </c>
      <c r="TU33" s="332">
        <f t="shared" si="27"/>
        <v>70929615.819999993</v>
      </c>
      <c r="TV33" s="332">
        <f t="shared" si="27"/>
        <v>108026951.30000001</v>
      </c>
      <c r="TW33" s="332">
        <f t="shared" si="27"/>
        <v>93762006.400000021</v>
      </c>
      <c r="TX33" s="332">
        <f t="shared" si="27"/>
        <v>88479963.440000013</v>
      </c>
      <c r="TY33" s="332">
        <f t="shared" si="27"/>
        <v>599888013.91999996</v>
      </c>
      <c r="TZ33" s="332">
        <f t="shared" si="27"/>
        <v>88540363.529999986</v>
      </c>
      <c r="UA33" s="332">
        <f t="shared" si="27"/>
        <v>1130951046.26</v>
      </c>
      <c r="UB33" s="332">
        <f t="shared" si="27"/>
        <v>268974770.54999995</v>
      </c>
      <c r="UC33" s="332">
        <f t="shared" si="27"/>
        <v>94076962.039999977</v>
      </c>
      <c r="UD33" s="332">
        <f t="shared" si="27"/>
        <v>106823942.75999999</v>
      </c>
      <c r="UE33" s="332">
        <f t="shared" si="27"/>
        <v>711100503.47000003</v>
      </c>
      <c r="UF33" s="332">
        <f t="shared" si="27"/>
        <v>71014846.229999989</v>
      </c>
      <c r="UG33" s="332">
        <f t="shared" si="27"/>
        <v>47886963.710000008</v>
      </c>
      <c r="UH33" s="332">
        <f t="shared" si="27"/>
        <v>83564494.109999999</v>
      </c>
      <c r="UI33" s="332">
        <f t="shared" si="27"/>
        <v>80349595.599999994</v>
      </c>
      <c r="UJ33" s="332">
        <f t="shared" si="27"/>
        <v>774366090.58000004</v>
      </c>
      <c r="UK33" s="332">
        <f t="shared" si="27"/>
        <v>189354677.19000006</v>
      </c>
      <c r="UL33" s="332">
        <f t="shared" si="27"/>
        <v>131992426.34999999</v>
      </c>
      <c r="UM33" s="332">
        <f t="shared" si="27"/>
        <v>211406666.42000005</v>
      </c>
      <c r="UN33" s="332">
        <f t="shared" si="27"/>
        <v>136699130.90000001</v>
      </c>
      <c r="UO33" s="332">
        <f t="shared" si="27"/>
        <v>103342818.98999999</v>
      </c>
      <c r="UP33" s="332">
        <f t="shared" si="27"/>
        <v>3703139807.3800001</v>
      </c>
      <c r="UQ33" s="332">
        <f t="shared" si="27"/>
        <v>166879862.85999998</v>
      </c>
      <c r="UR33" s="332">
        <f t="shared" si="27"/>
        <v>154669240.44</v>
      </c>
      <c r="US33" s="332">
        <f t="shared" si="27"/>
        <v>636833144.43000007</v>
      </c>
      <c r="UT33" s="332">
        <f t="shared" si="27"/>
        <v>41783451.719999999</v>
      </c>
      <c r="UU33" s="332">
        <f t="shared" si="27"/>
        <v>131245346.48</v>
      </c>
      <c r="UV33" s="332">
        <f t="shared" si="27"/>
        <v>327836917.85000002</v>
      </c>
      <c r="UW33" s="332">
        <f t="shared" si="27"/>
        <v>95332471.090000018</v>
      </c>
      <c r="UX33" s="332">
        <f t="shared" si="27"/>
        <v>103016849.14000002</v>
      </c>
      <c r="UY33" s="332">
        <f t="shared" si="27"/>
        <v>118523682.33999999</v>
      </c>
      <c r="UZ33" s="332">
        <f t="shared" si="27"/>
        <v>148847542.91999999</v>
      </c>
      <c r="VA33" s="332">
        <f t="shared" si="27"/>
        <v>333598146.6500001</v>
      </c>
      <c r="VB33" s="332">
        <f t="shared" si="27"/>
        <v>161888243.13999999</v>
      </c>
      <c r="VC33" s="332">
        <f t="shared" si="27"/>
        <v>268161172.01000002</v>
      </c>
      <c r="VD33" s="332">
        <f t="shared" si="27"/>
        <v>84306657.24000001</v>
      </c>
      <c r="VE33" s="332">
        <f t="shared" si="27"/>
        <v>84677303.260000005</v>
      </c>
      <c r="VF33" s="332">
        <f t="shared" si="27"/>
        <v>70379726.550000012</v>
      </c>
      <c r="VG33" s="332">
        <f t="shared" si="27"/>
        <v>82204940.50999999</v>
      </c>
      <c r="VH33" s="332">
        <f t="shared" si="27"/>
        <v>364777270.16000003</v>
      </c>
      <c r="VI33" s="332">
        <f t="shared" ref="VI33:XT33" si="28">SUM(VI18:VI32)</f>
        <v>69614103.440000013</v>
      </c>
      <c r="VJ33" s="332">
        <f t="shared" si="28"/>
        <v>63383759.269999996</v>
      </c>
      <c r="VK33" s="332">
        <f t="shared" si="28"/>
        <v>41673612.259999998</v>
      </c>
      <c r="VL33" s="332">
        <f t="shared" si="28"/>
        <v>1649168413.6800003</v>
      </c>
      <c r="VM33" s="332">
        <f t="shared" si="28"/>
        <v>130120436.08000001</v>
      </c>
      <c r="VN33" s="332">
        <f t="shared" si="28"/>
        <v>126111652.82999998</v>
      </c>
      <c r="VO33" s="332">
        <f t="shared" si="28"/>
        <v>239127482.88000003</v>
      </c>
      <c r="VP33" s="332">
        <f t="shared" si="28"/>
        <v>277033939.22000003</v>
      </c>
      <c r="VQ33" s="332">
        <f t="shared" si="28"/>
        <v>233132375.01999995</v>
      </c>
      <c r="VR33" s="332">
        <f t="shared" si="28"/>
        <v>164562466.59999999</v>
      </c>
      <c r="VS33" s="332">
        <f t="shared" si="28"/>
        <v>124053310.95999999</v>
      </c>
      <c r="VT33" s="332">
        <f t="shared" si="28"/>
        <v>118671529.46999998</v>
      </c>
      <c r="VU33" s="332">
        <f t="shared" si="28"/>
        <v>527667188.8300001</v>
      </c>
      <c r="VV33" s="332">
        <f t="shared" si="28"/>
        <v>118840234.02</v>
      </c>
      <c r="VW33" s="332">
        <f t="shared" si="28"/>
        <v>252820513.905</v>
      </c>
      <c r="VX33" s="332">
        <f t="shared" si="28"/>
        <v>135242653.31999999</v>
      </c>
      <c r="VY33" s="332">
        <f t="shared" si="28"/>
        <v>87549597.769999996</v>
      </c>
      <c r="VZ33" s="332">
        <f t="shared" si="28"/>
        <v>82483192.430000007</v>
      </c>
      <c r="WA33" s="332">
        <f t="shared" si="28"/>
        <v>5906977963.6799994</v>
      </c>
      <c r="WB33" s="332">
        <f t="shared" si="28"/>
        <v>231605295.70999998</v>
      </c>
      <c r="WC33" s="332">
        <f t="shared" si="28"/>
        <v>163271804.36999997</v>
      </c>
      <c r="WD33" s="332">
        <f t="shared" si="28"/>
        <v>139899252.02999997</v>
      </c>
      <c r="WE33" s="332">
        <f t="shared" si="28"/>
        <v>98360697.799999982</v>
      </c>
      <c r="WF33" s="332">
        <f t="shared" si="28"/>
        <v>175276492.31</v>
      </c>
      <c r="WG33" s="332">
        <f t="shared" si="28"/>
        <v>264267020.11999997</v>
      </c>
      <c r="WH33" s="332">
        <f t="shared" si="28"/>
        <v>294221168.44999999</v>
      </c>
      <c r="WI33" s="332">
        <f t="shared" si="28"/>
        <v>160580587.33000004</v>
      </c>
      <c r="WJ33" s="332">
        <f t="shared" si="28"/>
        <v>224416620.75000003</v>
      </c>
      <c r="WK33" s="332">
        <f t="shared" si="28"/>
        <v>134933778.44</v>
      </c>
      <c r="WL33" s="332">
        <f t="shared" si="28"/>
        <v>411794325.81000006</v>
      </c>
      <c r="WM33" s="332">
        <f t="shared" si="28"/>
        <v>177284021.00999999</v>
      </c>
      <c r="WN33" s="332">
        <f t="shared" si="28"/>
        <v>280809951.14999998</v>
      </c>
      <c r="WO33" s="332">
        <f t="shared" si="28"/>
        <v>426460826.52999997</v>
      </c>
      <c r="WP33" s="332">
        <f t="shared" si="28"/>
        <v>165858802.76999998</v>
      </c>
      <c r="WQ33" s="332">
        <f t="shared" si="28"/>
        <v>184810648.01999995</v>
      </c>
      <c r="WR33" s="332">
        <f t="shared" si="28"/>
        <v>224732457.17000002</v>
      </c>
      <c r="WS33" s="332">
        <f t="shared" si="28"/>
        <v>114754631.89999999</v>
      </c>
      <c r="WT33" s="332">
        <f t="shared" si="28"/>
        <v>335973394.16000009</v>
      </c>
      <c r="WU33" s="332">
        <f t="shared" si="28"/>
        <v>954204402.1500001</v>
      </c>
      <c r="WV33" s="332">
        <f t="shared" si="28"/>
        <v>138327834.44999996</v>
      </c>
      <c r="WW33" s="332">
        <f t="shared" si="28"/>
        <v>109599044.82000001</v>
      </c>
      <c r="WX33" s="332">
        <f t="shared" si="28"/>
        <v>97967286.349999994</v>
      </c>
      <c r="WY33" s="332">
        <f t="shared" si="28"/>
        <v>110150613.17999999</v>
      </c>
      <c r="WZ33" s="332">
        <f t="shared" si="28"/>
        <v>96473202.070000008</v>
      </c>
      <c r="XA33" s="332">
        <f t="shared" si="28"/>
        <v>92950170.73999998</v>
      </c>
      <c r="XB33" s="332">
        <f t="shared" si="28"/>
        <v>98197359.50999999</v>
      </c>
      <c r="XC33" s="332">
        <f t="shared" si="28"/>
        <v>556338108.6500001</v>
      </c>
      <c r="XD33" s="332">
        <f t="shared" si="28"/>
        <v>69971127.159999996</v>
      </c>
      <c r="XE33" s="332">
        <f t="shared" si="28"/>
        <v>58417590.510000005</v>
      </c>
      <c r="XF33" s="332">
        <f t="shared" si="28"/>
        <v>52294216.979999989</v>
      </c>
      <c r="XG33" s="332">
        <f t="shared" si="28"/>
        <v>53909242.979999997</v>
      </c>
      <c r="XH33" s="332">
        <f t="shared" si="28"/>
        <v>2707217955.2100005</v>
      </c>
      <c r="XI33" s="332">
        <f t="shared" si="28"/>
        <v>205520646.64999998</v>
      </c>
      <c r="XJ33" s="332">
        <f t="shared" si="28"/>
        <v>220785324.09999996</v>
      </c>
      <c r="XK33" s="332">
        <f t="shared" si="28"/>
        <v>791481146.40999985</v>
      </c>
      <c r="XL33" s="332">
        <f t="shared" si="28"/>
        <v>178682448.75999999</v>
      </c>
      <c r="XM33" s="332">
        <f t="shared" si="28"/>
        <v>219502762.78999996</v>
      </c>
      <c r="XN33" s="332">
        <f t="shared" si="28"/>
        <v>391876944.06999993</v>
      </c>
      <c r="XO33" s="332">
        <f t="shared" si="28"/>
        <v>184508115.81</v>
      </c>
      <c r="XP33" s="332">
        <f t="shared" si="28"/>
        <v>162074586.03</v>
      </c>
      <c r="XQ33" s="332">
        <f t="shared" si="28"/>
        <v>361394258.92000002</v>
      </c>
      <c r="XR33" s="332">
        <f t="shared" si="28"/>
        <v>298556135.56999993</v>
      </c>
      <c r="XS33" s="332">
        <f t="shared" si="28"/>
        <v>115074746.21000001</v>
      </c>
      <c r="XT33" s="332">
        <f t="shared" si="28"/>
        <v>102319303.14999999</v>
      </c>
      <c r="XU33" s="332">
        <f t="shared" ref="XU33:AAF33" si="29">SUM(XU18:XU32)</f>
        <v>137681517.43000004</v>
      </c>
      <c r="XV33" s="332">
        <f t="shared" si="29"/>
        <v>117339141.22</v>
      </c>
      <c r="XW33" s="332">
        <f t="shared" si="29"/>
        <v>103677349.23000002</v>
      </c>
      <c r="XX33" s="332">
        <f t="shared" si="29"/>
        <v>78375867.62999998</v>
      </c>
      <c r="XY33" s="332">
        <f t="shared" si="29"/>
        <v>102559381.38</v>
      </c>
      <c r="XZ33" s="332">
        <f t="shared" si="29"/>
        <v>92726466.38000001</v>
      </c>
      <c r="YA33" s="332">
        <f t="shared" si="29"/>
        <v>92374208.180000007</v>
      </c>
      <c r="YB33" s="332">
        <f t="shared" si="29"/>
        <v>97853034.170000002</v>
      </c>
      <c r="YC33" s="332">
        <f t="shared" si="29"/>
        <v>85688771.280000001</v>
      </c>
      <c r="YD33" s="332">
        <f t="shared" si="29"/>
        <v>97791989.120000005</v>
      </c>
      <c r="YE33" s="332">
        <f t="shared" si="29"/>
        <v>2852834465.2600002</v>
      </c>
      <c r="YF33" s="332">
        <f t="shared" si="29"/>
        <v>146653648.50999999</v>
      </c>
      <c r="YG33" s="332">
        <f t="shared" si="29"/>
        <v>277210851.63</v>
      </c>
      <c r="YH33" s="332">
        <f t="shared" si="29"/>
        <v>133662927.13999997</v>
      </c>
      <c r="YI33" s="332">
        <f t="shared" si="29"/>
        <v>515764156</v>
      </c>
      <c r="YJ33" s="332">
        <f t="shared" si="29"/>
        <v>186337357.71399999</v>
      </c>
      <c r="YK33" s="332">
        <f t="shared" si="29"/>
        <v>274391508.02000004</v>
      </c>
      <c r="YL33" s="332">
        <f t="shared" si="29"/>
        <v>98444988.95480001</v>
      </c>
      <c r="YM33" s="332">
        <f t="shared" si="29"/>
        <v>517602535.53000009</v>
      </c>
      <c r="YN33" s="332">
        <f t="shared" si="29"/>
        <v>343839136.99000001</v>
      </c>
      <c r="YO33" s="332">
        <f t="shared" si="29"/>
        <v>191090914.57000002</v>
      </c>
      <c r="YP33" s="332">
        <f t="shared" si="29"/>
        <v>121312983.26000001</v>
      </c>
      <c r="YQ33" s="332">
        <f t="shared" si="29"/>
        <v>108674224.26000001</v>
      </c>
      <c r="YR33" s="332">
        <f t="shared" si="29"/>
        <v>102757481.92999999</v>
      </c>
      <c r="YS33" s="332">
        <f t="shared" si="29"/>
        <v>80653323.670000002</v>
      </c>
      <c r="YT33" s="332">
        <f t="shared" si="29"/>
        <v>74919665.349999994</v>
      </c>
      <c r="YU33" s="332">
        <f t="shared" si="29"/>
        <v>72754756</v>
      </c>
      <c r="YV33" s="332">
        <f t="shared" si="29"/>
        <v>1080471584.1000001</v>
      </c>
      <c r="YW33" s="332">
        <f t="shared" si="29"/>
        <v>131205778.62</v>
      </c>
      <c r="YX33" s="332">
        <f t="shared" si="29"/>
        <v>121785045.05</v>
      </c>
      <c r="YY33" s="332">
        <f t="shared" si="29"/>
        <v>98703350.48999998</v>
      </c>
      <c r="YZ33" s="332">
        <f t="shared" si="29"/>
        <v>141723077.67999998</v>
      </c>
      <c r="ZA33" s="332">
        <f t="shared" si="29"/>
        <v>77140657.510000005</v>
      </c>
      <c r="ZB33" s="332">
        <f t="shared" si="29"/>
        <v>91281512.349999994</v>
      </c>
      <c r="ZC33" s="332">
        <f t="shared" si="29"/>
        <v>1084606678.23</v>
      </c>
      <c r="ZD33" s="332">
        <f t="shared" si="29"/>
        <v>83386463.949999988</v>
      </c>
      <c r="ZE33" s="332">
        <f t="shared" si="29"/>
        <v>141506308.16</v>
      </c>
      <c r="ZF33" s="332">
        <f t="shared" si="29"/>
        <v>163201344.33999997</v>
      </c>
      <c r="ZG33" s="332">
        <f t="shared" si="29"/>
        <v>89552372.420000017</v>
      </c>
      <c r="ZH33" s="332">
        <f t="shared" si="29"/>
        <v>111882565.10000001</v>
      </c>
      <c r="ZI33" s="332">
        <f t="shared" si="29"/>
        <v>75136579.600000009</v>
      </c>
      <c r="ZJ33" s="332">
        <f t="shared" si="29"/>
        <v>75015040.639999986</v>
      </c>
      <c r="ZK33" s="332">
        <f t="shared" si="29"/>
        <v>301763323.71000004</v>
      </c>
      <c r="ZL33" s="332">
        <f t="shared" si="29"/>
        <v>2232115511.2899995</v>
      </c>
      <c r="ZM33" s="332">
        <f t="shared" si="29"/>
        <v>94907212.340000004</v>
      </c>
      <c r="ZN33" s="332">
        <f t="shared" si="29"/>
        <v>248192275.72</v>
      </c>
      <c r="ZO33" s="332">
        <f t="shared" si="29"/>
        <v>616315071.70999992</v>
      </c>
      <c r="ZP33" s="332">
        <f t="shared" si="29"/>
        <v>307903938.83000004</v>
      </c>
      <c r="ZQ33" s="332">
        <f t="shared" si="29"/>
        <v>111789421.86999999</v>
      </c>
      <c r="ZR33" s="332">
        <f t="shared" si="29"/>
        <v>150549997.94</v>
      </c>
      <c r="ZS33" s="332">
        <f t="shared" si="29"/>
        <v>254044147.33999997</v>
      </c>
      <c r="ZT33" s="332">
        <f t="shared" si="29"/>
        <v>247167008.81999996</v>
      </c>
      <c r="ZU33" s="332">
        <f t="shared" si="29"/>
        <v>315822772.88999993</v>
      </c>
      <c r="ZV33" s="332">
        <f t="shared" si="29"/>
        <v>74963994.429999992</v>
      </c>
      <c r="ZW33" s="332">
        <f t="shared" si="29"/>
        <v>103645098.13999997</v>
      </c>
      <c r="ZX33" s="332">
        <f t="shared" si="29"/>
        <v>104925117.19999999</v>
      </c>
      <c r="ZY33" s="332">
        <f t="shared" si="29"/>
        <v>170095262.44999999</v>
      </c>
      <c r="ZZ33" s="332">
        <f t="shared" si="29"/>
        <v>108130485.37</v>
      </c>
      <c r="AAA33" s="332">
        <f t="shared" si="29"/>
        <v>108261635.60200001</v>
      </c>
      <c r="AAB33" s="332">
        <f t="shared" si="29"/>
        <v>115799221.21000001</v>
      </c>
      <c r="AAC33" s="332">
        <f t="shared" si="29"/>
        <v>76405049.260000005</v>
      </c>
      <c r="AAD33" s="332">
        <f t="shared" si="29"/>
        <v>100246487.80999999</v>
      </c>
      <c r="AAE33" s="332">
        <f t="shared" si="29"/>
        <v>73464147.089999989</v>
      </c>
      <c r="AAF33" s="332">
        <f t="shared" si="29"/>
        <v>67600181.469999999</v>
      </c>
      <c r="AAG33" s="332">
        <f t="shared" ref="AAG33:ACR33" si="30">SUM(AAG18:AAG32)</f>
        <v>61802932.259999998</v>
      </c>
      <c r="AAH33" s="332">
        <f t="shared" si="30"/>
        <v>879029242.9399997</v>
      </c>
      <c r="AAI33" s="332">
        <f t="shared" si="30"/>
        <v>103617219.47999999</v>
      </c>
      <c r="AAJ33" s="332">
        <f t="shared" si="30"/>
        <v>120742275.55999999</v>
      </c>
      <c r="AAK33" s="332">
        <f t="shared" si="30"/>
        <v>104298696.44999999</v>
      </c>
      <c r="AAL33" s="332">
        <f t="shared" si="30"/>
        <v>94545619.61999999</v>
      </c>
      <c r="AAM33" s="332">
        <f t="shared" si="30"/>
        <v>157757783.90000001</v>
      </c>
      <c r="AAN33" s="332">
        <f t="shared" si="30"/>
        <v>91680540.099999994</v>
      </c>
      <c r="AAO33" s="332">
        <f t="shared" si="30"/>
        <v>4299467151.1900005</v>
      </c>
      <c r="AAP33" s="332">
        <f t="shared" si="30"/>
        <v>145779513.18000001</v>
      </c>
      <c r="AAQ33" s="332">
        <f t="shared" si="30"/>
        <v>88480632.670000017</v>
      </c>
      <c r="AAR33" s="332">
        <f t="shared" si="30"/>
        <v>265984464.17999995</v>
      </c>
      <c r="AAS33" s="332">
        <f t="shared" si="30"/>
        <v>185425923.21999997</v>
      </c>
      <c r="AAT33" s="332">
        <f t="shared" si="30"/>
        <v>123658822.84</v>
      </c>
      <c r="AAU33" s="332">
        <f t="shared" si="30"/>
        <v>147390935.24000001</v>
      </c>
      <c r="AAV33" s="332">
        <f t="shared" si="30"/>
        <v>188768533.55999997</v>
      </c>
      <c r="AAW33" s="332">
        <f t="shared" si="30"/>
        <v>394688335.62</v>
      </c>
      <c r="AAX33" s="332">
        <f t="shared" si="30"/>
        <v>111916223.98999999</v>
      </c>
      <c r="AAY33" s="332">
        <f t="shared" si="30"/>
        <v>188682098.77000004</v>
      </c>
      <c r="AAZ33" s="332">
        <f t="shared" si="30"/>
        <v>627643170.12</v>
      </c>
      <c r="ABA33" s="332">
        <f t="shared" si="30"/>
        <v>334756691.33999997</v>
      </c>
      <c r="ABB33" s="332">
        <f t="shared" si="30"/>
        <v>80855665.599999994</v>
      </c>
      <c r="ABC33" s="332">
        <f t="shared" si="30"/>
        <v>115134293.51999998</v>
      </c>
      <c r="ABD33" s="332">
        <f t="shared" si="30"/>
        <v>108352786.71999998</v>
      </c>
      <c r="ABE33" s="332">
        <f t="shared" si="30"/>
        <v>68005494.75</v>
      </c>
      <c r="ABF33" s="332">
        <f t="shared" si="30"/>
        <v>117915186.39000002</v>
      </c>
      <c r="ABG33" s="332">
        <f t="shared" si="30"/>
        <v>80384250.040000007</v>
      </c>
      <c r="ABH33" s="332">
        <f t="shared" si="30"/>
        <v>811979768.30000019</v>
      </c>
      <c r="ABI33" s="332">
        <f t="shared" si="30"/>
        <v>627824842.5</v>
      </c>
      <c r="ABJ33" s="332">
        <f t="shared" si="30"/>
        <v>74099060.940000013</v>
      </c>
      <c r="ABK33" s="332">
        <f t="shared" si="30"/>
        <v>70426666.940000013</v>
      </c>
      <c r="ABL33" s="332">
        <f t="shared" si="30"/>
        <v>69301405.780000001</v>
      </c>
      <c r="ABM33" s="332">
        <f t="shared" si="30"/>
        <v>63136527.270000003</v>
      </c>
      <c r="ABN33" s="332">
        <f t="shared" si="30"/>
        <v>64116024.560000002</v>
      </c>
      <c r="ABO33" s="332">
        <f t="shared" si="30"/>
        <v>1061409234.0800002</v>
      </c>
      <c r="ABP33" s="332">
        <f t="shared" si="30"/>
        <v>140482604.91</v>
      </c>
      <c r="ABQ33" s="332">
        <f t="shared" si="30"/>
        <v>88816713.039999992</v>
      </c>
      <c r="ABR33" s="332">
        <f t="shared" si="30"/>
        <v>194274131.75000003</v>
      </c>
      <c r="ABS33" s="332">
        <f t="shared" si="30"/>
        <v>169672257.01000002</v>
      </c>
      <c r="ABT33" s="332">
        <f t="shared" si="30"/>
        <v>112258189.56000002</v>
      </c>
      <c r="ABU33" s="332">
        <f t="shared" si="30"/>
        <v>95968456.560000002</v>
      </c>
      <c r="ABV33" s="332">
        <f t="shared" si="30"/>
        <v>140314813.90999997</v>
      </c>
      <c r="ABW33" s="332">
        <f t="shared" si="30"/>
        <v>34713071.909999996</v>
      </c>
      <c r="ABX33" s="332">
        <f t="shared" si="30"/>
        <v>1232701319.6400003</v>
      </c>
      <c r="ABY33" s="332">
        <f t="shared" si="30"/>
        <v>87018526.459999993</v>
      </c>
      <c r="ABZ33" s="332">
        <f t="shared" si="30"/>
        <v>195052786.25</v>
      </c>
      <c r="ACA33" s="332">
        <f t="shared" si="30"/>
        <v>86746314.320000008</v>
      </c>
      <c r="ACB33" s="332">
        <f t="shared" si="30"/>
        <v>74087246.969999984</v>
      </c>
      <c r="ACC33" s="332">
        <f t="shared" si="30"/>
        <v>339420403.00999999</v>
      </c>
      <c r="ACD33" s="332">
        <f t="shared" si="30"/>
        <v>70404746.109999999</v>
      </c>
      <c r="ACE33" s="332">
        <f t="shared" si="30"/>
        <v>105140873.90000001</v>
      </c>
      <c r="ACF33" s="332">
        <f t="shared" si="30"/>
        <v>90375318.839999989</v>
      </c>
      <c r="ACG33" s="332">
        <f t="shared" si="30"/>
        <v>162789122.87</v>
      </c>
      <c r="ACH33" s="332">
        <f t="shared" si="30"/>
        <v>74697155.919999987</v>
      </c>
      <c r="ACI33" s="332">
        <f t="shared" si="30"/>
        <v>2528588391.5900006</v>
      </c>
      <c r="ACJ33" s="332">
        <f t="shared" si="30"/>
        <v>93712372.980000019</v>
      </c>
      <c r="ACK33" s="332">
        <f t="shared" si="30"/>
        <v>130685972.89</v>
      </c>
      <c r="ACL33" s="332">
        <f t="shared" si="30"/>
        <v>202842470.06</v>
      </c>
      <c r="ACM33" s="332">
        <f t="shared" si="30"/>
        <v>85014256.590000018</v>
      </c>
      <c r="ACN33" s="332">
        <f t="shared" si="30"/>
        <v>120228386.5</v>
      </c>
      <c r="ACO33" s="332">
        <f t="shared" si="30"/>
        <v>171717163.40000001</v>
      </c>
      <c r="ACP33" s="332">
        <f t="shared" si="30"/>
        <v>578456782.65999997</v>
      </c>
      <c r="ACQ33" s="332">
        <f t="shared" si="30"/>
        <v>728321683.65000021</v>
      </c>
      <c r="ACR33" s="332">
        <f t="shared" si="30"/>
        <v>103969274.89</v>
      </c>
      <c r="ACS33" s="332">
        <f t="shared" ref="ACS33:AFD33" si="31">SUM(ACS18:ACS32)</f>
        <v>132773909.39000003</v>
      </c>
      <c r="ACT33" s="332">
        <f t="shared" si="31"/>
        <v>169264497.25999996</v>
      </c>
      <c r="ACU33" s="332">
        <f t="shared" si="31"/>
        <v>136275214.85999998</v>
      </c>
      <c r="ACV33" s="332">
        <f t="shared" si="31"/>
        <v>617345890.65999997</v>
      </c>
      <c r="ACW33" s="332">
        <f t="shared" si="31"/>
        <v>117536131.62000002</v>
      </c>
      <c r="ACX33" s="332">
        <f t="shared" si="31"/>
        <v>132065548.90999997</v>
      </c>
      <c r="ACY33" s="332">
        <f t="shared" si="31"/>
        <v>88761067.339999974</v>
      </c>
      <c r="ACZ33" s="332">
        <f t="shared" si="31"/>
        <v>66290206.020000003</v>
      </c>
      <c r="ADA33" s="332">
        <f t="shared" si="31"/>
        <v>81734587.86999999</v>
      </c>
      <c r="ADB33" s="332">
        <f t="shared" si="31"/>
        <v>62808620.070000008</v>
      </c>
      <c r="ADC33" s="332">
        <f t="shared" si="31"/>
        <v>54431417.449999996</v>
      </c>
      <c r="ADD33" s="332">
        <f t="shared" si="31"/>
        <v>55989390.829999998</v>
      </c>
      <c r="ADE33" s="332">
        <f t="shared" si="31"/>
        <v>74272137.469999984</v>
      </c>
      <c r="ADF33" s="332">
        <f t="shared" si="31"/>
        <v>522073417.68000001</v>
      </c>
      <c r="ADG33" s="332">
        <f t="shared" si="31"/>
        <v>537030923.96000004</v>
      </c>
      <c r="ADH33" s="332">
        <f t="shared" si="31"/>
        <v>78804815.249999985</v>
      </c>
      <c r="ADI33" s="332">
        <f t="shared" si="31"/>
        <v>60130121.039999992</v>
      </c>
      <c r="ADJ33" s="332">
        <f t="shared" si="31"/>
        <v>110622812.95999999</v>
      </c>
      <c r="ADK33" s="332">
        <f t="shared" si="31"/>
        <v>43697373.430000007</v>
      </c>
      <c r="ADL33" s="332">
        <f t="shared" si="31"/>
        <v>97651673.070000008</v>
      </c>
      <c r="ADM33" s="332">
        <f t="shared" si="31"/>
        <v>74066231.120000005</v>
      </c>
      <c r="ADN33" s="332">
        <f t="shared" si="31"/>
        <v>97457423.989999995</v>
      </c>
      <c r="ADO33" s="332">
        <f t="shared" si="31"/>
        <v>2664101581.3700004</v>
      </c>
      <c r="ADP33" s="332">
        <f t="shared" si="31"/>
        <v>258025518.67999998</v>
      </c>
      <c r="ADQ33" s="332">
        <f t="shared" si="31"/>
        <v>252700940.39000002</v>
      </c>
      <c r="ADR33" s="332">
        <f t="shared" si="31"/>
        <v>55523394.43</v>
      </c>
      <c r="ADS33" s="332">
        <f t="shared" si="31"/>
        <v>803957716.31999993</v>
      </c>
      <c r="ADT33" s="332">
        <f t="shared" si="31"/>
        <v>59443942.579999991</v>
      </c>
      <c r="ADU33" s="332">
        <f t="shared" si="31"/>
        <v>77363082.370000005</v>
      </c>
      <c r="ADV33" s="332">
        <f t="shared" si="31"/>
        <v>135534545.00999999</v>
      </c>
      <c r="ADW33" s="332">
        <f t="shared" si="31"/>
        <v>62333372.380000003</v>
      </c>
      <c r="ADX33" s="332">
        <f t="shared" si="31"/>
        <v>33927727.960000001</v>
      </c>
      <c r="ADY33" s="332">
        <f t="shared" si="31"/>
        <v>3131930414.6599998</v>
      </c>
      <c r="ADZ33" s="332">
        <f t="shared" si="31"/>
        <v>474336639.34000003</v>
      </c>
      <c r="AEA33" s="332">
        <f t="shared" si="31"/>
        <v>368647554.26999992</v>
      </c>
      <c r="AEB33" s="332">
        <f t="shared" si="31"/>
        <v>102419887.95</v>
      </c>
      <c r="AEC33" s="332">
        <f t="shared" si="31"/>
        <v>106121635.33000003</v>
      </c>
      <c r="AED33" s="332">
        <f t="shared" si="31"/>
        <v>198884933.52999997</v>
      </c>
      <c r="AEE33" s="332">
        <f t="shared" si="31"/>
        <v>122749276.48999998</v>
      </c>
      <c r="AEF33" s="332">
        <f t="shared" si="31"/>
        <v>124404172.67999999</v>
      </c>
      <c r="AEG33" s="332">
        <f t="shared" si="31"/>
        <v>97701700.99000001</v>
      </c>
      <c r="AEH33" s="332">
        <f t="shared" si="31"/>
        <v>96791218.25999999</v>
      </c>
      <c r="AEI33" s="332">
        <f t="shared" si="31"/>
        <v>115368842.56</v>
      </c>
      <c r="AEJ33" s="332">
        <f t="shared" si="31"/>
        <v>191245567.12000003</v>
      </c>
      <c r="AEK33" s="332">
        <f t="shared" si="31"/>
        <v>91032608.169999987</v>
      </c>
      <c r="AEL33" s="332">
        <f t="shared" si="31"/>
        <v>129264086.66000001</v>
      </c>
      <c r="AEM33" s="332">
        <f t="shared" si="31"/>
        <v>156203979.36999997</v>
      </c>
      <c r="AEN33" s="332">
        <f t="shared" si="31"/>
        <v>155851562.89999998</v>
      </c>
      <c r="AEO33" s="332">
        <f t="shared" si="31"/>
        <v>86348263.460000008</v>
      </c>
      <c r="AEP33" s="332">
        <f t="shared" si="31"/>
        <v>260390564.64999998</v>
      </c>
      <c r="AEQ33" s="332">
        <f t="shared" si="31"/>
        <v>75316376.390000001</v>
      </c>
      <c r="AER33" s="332">
        <f t="shared" si="31"/>
        <v>217992553.35000002</v>
      </c>
      <c r="AES33" s="332">
        <f t="shared" si="31"/>
        <v>2305180288.5699997</v>
      </c>
      <c r="AET33" s="332">
        <f t="shared" si="31"/>
        <v>215431084.23000002</v>
      </c>
      <c r="AEU33" s="332">
        <f t="shared" si="31"/>
        <v>214921961.59</v>
      </c>
      <c r="AEV33" s="332">
        <f t="shared" si="31"/>
        <v>156917407.90000001</v>
      </c>
      <c r="AEW33" s="332">
        <f t="shared" si="31"/>
        <v>113720784.58999996</v>
      </c>
      <c r="AEX33" s="332">
        <f t="shared" si="31"/>
        <v>327356329.47999996</v>
      </c>
      <c r="AEY33" s="332">
        <f t="shared" si="31"/>
        <v>128768144.08999999</v>
      </c>
      <c r="AEZ33" s="332">
        <f t="shared" si="31"/>
        <v>157327849.03999996</v>
      </c>
      <c r="AFA33" s="332">
        <f t="shared" si="31"/>
        <v>123273329.09999999</v>
      </c>
      <c r="AFB33" s="332">
        <f t="shared" si="31"/>
        <v>66602589.609999999</v>
      </c>
      <c r="AFC33" s="332">
        <f t="shared" si="31"/>
        <v>1220749061.4799998</v>
      </c>
      <c r="AFD33" s="332">
        <f t="shared" si="31"/>
        <v>644038872.55000007</v>
      </c>
      <c r="AFE33" s="332">
        <f t="shared" ref="AFE33:AHP33" si="32">SUM(AFE18:AFE32)</f>
        <v>231483850.84999999</v>
      </c>
      <c r="AFF33" s="332">
        <f t="shared" si="32"/>
        <v>177848231.89000002</v>
      </c>
      <c r="AFG33" s="332">
        <f t="shared" si="32"/>
        <v>290338962.34999996</v>
      </c>
      <c r="AFH33" s="332">
        <f t="shared" si="32"/>
        <v>211752923.5</v>
      </c>
      <c r="AFI33" s="332">
        <f t="shared" si="32"/>
        <v>140956914.06999996</v>
      </c>
      <c r="AFJ33" s="332">
        <f t="shared" si="32"/>
        <v>171865754.66999999</v>
      </c>
      <c r="AFK33" s="332">
        <f t="shared" si="32"/>
        <v>110509409.81</v>
      </c>
      <c r="AFL33" s="332">
        <f t="shared" si="32"/>
        <v>163395883.65999997</v>
      </c>
      <c r="AFM33" s="332">
        <f t="shared" si="32"/>
        <v>146553897.71000001</v>
      </c>
      <c r="AFN33" s="332">
        <f t="shared" si="32"/>
        <v>137982225.23999998</v>
      </c>
      <c r="AFO33" s="332">
        <f t="shared" si="32"/>
        <v>181482173.63000003</v>
      </c>
      <c r="AFP33" s="332">
        <f t="shared" si="32"/>
        <v>1231102474.5800002</v>
      </c>
      <c r="AFQ33" s="332">
        <f t="shared" si="32"/>
        <v>257784605.33999994</v>
      </c>
      <c r="AFR33" s="332">
        <f t="shared" si="32"/>
        <v>180987940.16</v>
      </c>
      <c r="AFS33" s="332">
        <f t="shared" si="32"/>
        <v>143663735.28</v>
      </c>
      <c r="AFT33" s="332">
        <f t="shared" si="32"/>
        <v>164926294.05000001</v>
      </c>
      <c r="AFU33" s="332">
        <f t="shared" si="32"/>
        <v>129000487.01999998</v>
      </c>
      <c r="AFV33" s="332">
        <f t="shared" si="32"/>
        <v>96170866.350000009</v>
      </c>
      <c r="AFW33" s="332">
        <f t="shared" si="32"/>
        <v>230230999.10999998</v>
      </c>
      <c r="AFX33" s="332">
        <f t="shared" si="32"/>
        <v>223812226.07999998</v>
      </c>
      <c r="AFY33" s="332">
        <f t="shared" si="32"/>
        <v>102605916.45999999</v>
      </c>
      <c r="AFZ33" s="332">
        <f t="shared" si="32"/>
        <v>245483981.74999994</v>
      </c>
      <c r="AGA33" s="332">
        <f t="shared" si="32"/>
        <v>104908098.55999999</v>
      </c>
      <c r="AGB33" s="332">
        <f t="shared" si="32"/>
        <v>1565617308.3299999</v>
      </c>
      <c r="AGC33" s="332">
        <f t="shared" si="32"/>
        <v>105364006.64</v>
      </c>
      <c r="AGD33" s="332">
        <f t="shared" si="32"/>
        <v>120551881.64999999</v>
      </c>
      <c r="AGE33" s="332">
        <f t="shared" si="32"/>
        <v>111267272.09</v>
      </c>
      <c r="AGF33" s="332">
        <f t="shared" si="32"/>
        <v>288649248.03000003</v>
      </c>
      <c r="AGG33" s="332">
        <f t="shared" si="32"/>
        <v>128260375.16000001</v>
      </c>
      <c r="AGH33" s="332">
        <f t="shared" si="32"/>
        <v>81598740.220000014</v>
      </c>
      <c r="AGI33" s="332">
        <f t="shared" si="32"/>
        <v>122921182.64000002</v>
      </c>
      <c r="AGJ33" s="332">
        <f t="shared" si="32"/>
        <v>87064991.640000001</v>
      </c>
      <c r="AGK33" s="332">
        <f t="shared" si="32"/>
        <v>120231483.09999999</v>
      </c>
      <c r="AGL33" s="332">
        <f t="shared" si="32"/>
        <v>80499590.370000005</v>
      </c>
      <c r="AGM33" s="332">
        <f t="shared" si="32"/>
        <v>1949496826.4199996</v>
      </c>
      <c r="AGN33" s="332">
        <f t="shared" si="32"/>
        <v>385519739.32999992</v>
      </c>
      <c r="AGO33" s="332">
        <f t="shared" si="32"/>
        <v>198899006.51000002</v>
      </c>
      <c r="AGP33" s="332">
        <f t="shared" si="32"/>
        <v>109495807.8</v>
      </c>
      <c r="AGQ33" s="332">
        <f t="shared" si="32"/>
        <v>262222043.38999999</v>
      </c>
      <c r="AGR33" s="332">
        <f t="shared" si="32"/>
        <v>201101193.99000001</v>
      </c>
      <c r="AGS33" s="332">
        <f t="shared" si="32"/>
        <v>95421941.5</v>
      </c>
      <c r="AGT33" s="332">
        <f t="shared" si="32"/>
        <v>113774651.22999999</v>
      </c>
      <c r="AGU33" s="332">
        <f t="shared" si="32"/>
        <v>2796154648.8699999</v>
      </c>
      <c r="AGV33" s="332">
        <f t="shared" si="32"/>
        <v>1795070037.7</v>
      </c>
      <c r="AGW33" s="332">
        <f t="shared" si="32"/>
        <v>126747109.40000001</v>
      </c>
      <c r="AGX33" s="332">
        <f t="shared" si="32"/>
        <v>296319854.14000005</v>
      </c>
      <c r="AGY33" s="332">
        <f t="shared" si="32"/>
        <v>448087907.1500001</v>
      </c>
      <c r="AGZ33" s="332">
        <f t="shared" si="32"/>
        <v>224915248.19000006</v>
      </c>
      <c r="AHA33" s="332">
        <f t="shared" si="32"/>
        <v>203661966.45999998</v>
      </c>
      <c r="AHB33" s="332">
        <f t="shared" si="32"/>
        <v>192914074.97999999</v>
      </c>
      <c r="AHC33" s="332">
        <f t="shared" si="32"/>
        <v>68608693.219999999</v>
      </c>
      <c r="AHD33" s="332">
        <f t="shared" si="32"/>
        <v>149234003.14999998</v>
      </c>
      <c r="AHE33" s="332">
        <f t="shared" si="32"/>
        <v>198820050.83999997</v>
      </c>
      <c r="AHF33" s="332">
        <f t="shared" si="32"/>
        <v>105672941.64</v>
      </c>
      <c r="AHG33" s="332">
        <f t="shared" si="32"/>
        <v>96600413.099999994</v>
      </c>
      <c r="AHH33" s="332">
        <f t="shared" si="32"/>
        <v>108715312.48999999</v>
      </c>
      <c r="AHI33" s="332">
        <f t="shared" si="32"/>
        <v>108218832.08000001</v>
      </c>
      <c r="AHJ33" s="332">
        <f t="shared" si="32"/>
        <v>119789144.83</v>
      </c>
      <c r="AHK33" s="332">
        <f t="shared" si="32"/>
        <v>97347726.539999992</v>
      </c>
      <c r="AHL33" s="332">
        <f t="shared" si="32"/>
        <v>803834965.53000009</v>
      </c>
      <c r="AHM33" s="332">
        <f t="shared" si="32"/>
        <v>112815874.25</v>
      </c>
      <c r="AHN33" s="332">
        <f t="shared" si="32"/>
        <v>117367585.40000002</v>
      </c>
      <c r="AHO33" s="332">
        <f t="shared" si="32"/>
        <v>109101383.45999999</v>
      </c>
      <c r="AHP33" s="332">
        <f t="shared" si="32"/>
        <v>211889109.96999997</v>
      </c>
      <c r="AHQ33" s="332">
        <f t="shared" ref="AHQ33:AHS33" si="33">SUM(AHQ18:AHQ32)</f>
        <v>103523645.52000001</v>
      </c>
      <c r="AHR33" s="332">
        <f t="shared" si="33"/>
        <v>63174531.409999996</v>
      </c>
      <c r="AHS33" s="332">
        <f t="shared" si="33"/>
        <v>298387650022.17242</v>
      </c>
      <c r="AHT33" s="269" t="b">
        <f t="shared" si="1"/>
        <v>1</v>
      </c>
      <c r="AHU33" s="269"/>
    </row>
    <row r="34" spans="1:905" s="273" customFormat="1" ht="24.6" x14ac:dyDescent="0.7">
      <c r="A34" s="272"/>
      <c r="B34" s="272"/>
      <c r="C34" s="269"/>
      <c r="D34" s="297" t="s">
        <v>5883</v>
      </c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P34" s="297"/>
      <c r="AHQ34" s="330"/>
      <c r="AHR34" s="331"/>
      <c r="AHS34" s="330"/>
      <c r="AHT34" s="269" t="b">
        <f t="shared" si="1"/>
        <v>1</v>
      </c>
      <c r="AHU34" s="269"/>
    </row>
    <row r="35" spans="1:905" s="273" customFormat="1" ht="24.6" x14ac:dyDescent="0.7">
      <c r="A35" s="272"/>
      <c r="B35" s="272" t="s">
        <v>43</v>
      </c>
      <c r="C35" s="269" t="s">
        <v>6318</v>
      </c>
      <c r="D35" s="297">
        <v>828390546.56000018</v>
      </c>
      <c r="E35" s="297">
        <v>9004534.9199999981</v>
      </c>
      <c r="F35" s="297">
        <v>22721199.680000011</v>
      </c>
      <c r="G35" s="297">
        <v>1321451.5499999975</v>
      </c>
      <c r="H35" s="297">
        <v>50015209.019999996</v>
      </c>
      <c r="I35" s="297">
        <v>15456026.680000003</v>
      </c>
      <c r="J35" s="297">
        <v>342040891.88999993</v>
      </c>
      <c r="K35" s="297">
        <v>77102451.560000017</v>
      </c>
      <c r="L35" s="297">
        <v>3435458.7500000061</v>
      </c>
      <c r="M35" s="297">
        <v>10741264.090000004</v>
      </c>
      <c r="N35" s="297">
        <v>-86484.01999999526</v>
      </c>
      <c r="O35" s="297">
        <v>5452747.4499999974</v>
      </c>
      <c r="P35" s="297">
        <v>82560986.989999965</v>
      </c>
      <c r="Q35" s="297">
        <v>1374425.8900000015</v>
      </c>
      <c r="R35" s="297">
        <v>1461914.0100000016</v>
      </c>
      <c r="S35" s="297">
        <v>-7903211.9399999995</v>
      </c>
      <c r="T35" s="297">
        <v>47254495.689999998</v>
      </c>
      <c r="U35" s="297">
        <v>-967885.69000000088</v>
      </c>
      <c r="V35" s="297">
        <v>1149089206.9600003</v>
      </c>
      <c r="W35" s="297">
        <v>61524217.61999999</v>
      </c>
      <c r="X35" s="297">
        <v>25251961.949999992</v>
      </c>
      <c r="Y35" s="297">
        <v>117718269.58000003</v>
      </c>
      <c r="Z35" s="297">
        <v>8816973.9100000076</v>
      </c>
      <c r="AA35" s="297">
        <v>15379601.230000002</v>
      </c>
      <c r="AB35" s="297">
        <v>2005120.0299999854</v>
      </c>
      <c r="AC35" s="297">
        <v>-6480720.7599999765</v>
      </c>
      <c r="AD35" s="297">
        <v>26107965.709999997</v>
      </c>
      <c r="AE35" s="297">
        <v>-20127261.379999999</v>
      </c>
      <c r="AF35" s="297">
        <v>-8103600.5599999996</v>
      </c>
      <c r="AG35" s="297">
        <v>-2108747.4300000155</v>
      </c>
      <c r="AH35" s="297">
        <v>87459828.509999976</v>
      </c>
      <c r="AI35" s="297">
        <v>-22449316.360000003</v>
      </c>
      <c r="AJ35" s="297">
        <v>2128773.5400000047</v>
      </c>
      <c r="AK35" s="297">
        <v>3750512.8499999898</v>
      </c>
      <c r="AL35" s="297">
        <v>60464987.549999975</v>
      </c>
      <c r="AM35" s="297">
        <v>-142077.73999997473</v>
      </c>
      <c r="AN35" s="297">
        <v>51475988.440000027</v>
      </c>
      <c r="AO35" s="297">
        <v>9475128.9099999908</v>
      </c>
      <c r="AP35" s="297">
        <v>584941.05000000517</v>
      </c>
      <c r="AQ35" s="297">
        <v>1409589.0900000019</v>
      </c>
      <c r="AR35" s="297">
        <v>1676392.1199999992</v>
      </c>
      <c r="AS35" s="297">
        <v>-1103667.9700000023</v>
      </c>
      <c r="AT35" s="297">
        <v>298477887.20999998</v>
      </c>
      <c r="AU35" s="297">
        <v>7327597.0699999966</v>
      </c>
      <c r="AV35" s="297">
        <v>9495818.2399999984</v>
      </c>
      <c r="AW35" s="297">
        <v>13968420.379999999</v>
      </c>
      <c r="AX35" s="297">
        <v>4094558.7599999951</v>
      </c>
      <c r="AY35" s="297">
        <v>1439214.4499999979</v>
      </c>
      <c r="AZ35" s="297">
        <v>15236807.049999997</v>
      </c>
      <c r="BA35" s="297">
        <v>5905852.9299999969</v>
      </c>
      <c r="BB35" s="297">
        <v>9182598.2300000023</v>
      </c>
      <c r="BC35" s="297">
        <v>9551594.2100000046</v>
      </c>
      <c r="BD35" s="297">
        <v>12136259.560000002</v>
      </c>
      <c r="BE35" s="297">
        <v>1506321.0100000002</v>
      </c>
      <c r="BF35" s="297">
        <v>26444658.680000018</v>
      </c>
      <c r="BG35" s="297">
        <v>4798686.9799999986</v>
      </c>
      <c r="BH35" s="297">
        <v>21336402.259999987</v>
      </c>
      <c r="BI35" s="297">
        <v>181495510.00000009</v>
      </c>
      <c r="BJ35" s="297">
        <v>75958418.709999949</v>
      </c>
      <c r="BK35" s="297">
        <v>14459720.590000002</v>
      </c>
      <c r="BL35" s="297">
        <v>6464996.1899999995</v>
      </c>
      <c r="BM35" s="297">
        <v>622151.96000000124</v>
      </c>
      <c r="BN35" s="297">
        <v>14435887.279999992</v>
      </c>
      <c r="BO35" s="297">
        <v>4299505.5100000054</v>
      </c>
      <c r="BP35" s="297">
        <v>7884253.8599999975</v>
      </c>
      <c r="BQ35" s="297">
        <v>9264624.7099999972</v>
      </c>
      <c r="BR35" s="297">
        <v>334885425.87000006</v>
      </c>
      <c r="BS35" s="297">
        <v>17922162.699999999</v>
      </c>
      <c r="BT35" s="297">
        <v>11438014.579999998</v>
      </c>
      <c r="BU35" s="297">
        <v>5653900.0400000084</v>
      </c>
      <c r="BV35" s="297">
        <v>3611008.4700000035</v>
      </c>
      <c r="BW35" s="297">
        <v>4756561.4899999984</v>
      </c>
      <c r="BX35" s="297">
        <v>5022252.5000000009</v>
      </c>
      <c r="BY35" s="297">
        <v>9921569.0499999989</v>
      </c>
      <c r="BZ35" s="297">
        <v>90465431.789999962</v>
      </c>
      <c r="CA35" s="297">
        <v>614464.67999999563</v>
      </c>
      <c r="CB35" s="297">
        <v>-485551.1899999911</v>
      </c>
      <c r="CC35" s="297">
        <v>318899.06000000972</v>
      </c>
      <c r="CD35" s="297">
        <v>4830770.0299999965</v>
      </c>
      <c r="CE35" s="297">
        <v>8079800.4700000109</v>
      </c>
      <c r="CF35" s="297">
        <v>55143.789999999295</v>
      </c>
      <c r="CG35" s="297">
        <v>1944681934.6199996</v>
      </c>
      <c r="CH35" s="297">
        <v>14441982.990000008</v>
      </c>
      <c r="CI35" s="297">
        <v>61875547.340000011</v>
      </c>
      <c r="CJ35" s="297">
        <v>11064951.009999996</v>
      </c>
      <c r="CK35" s="297">
        <v>31240125.20000001</v>
      </c>
      <c r="CL35" s="297">
        <v>12731738.219999997</v>
      </c>
      <c r="CM35" s="297">
        <v>18804854.179999992</v>
      </c>
      <c r="CN35" s="297">
        <v>29498119.710000001</v>
      </c>
      <c r="CO35" s="297">
        <v>12439508.309999999</v>
      </c>
      <c r="CP35" s="297">
        <v>9295989.0200000051</v>
      </c>
      <c r="CQ35" s="297">
        <v>6897288.8200000031</v>
      </c>
      <c r="CR35" s="297">
        <v>14765393.499999989</v>
      </c>
      <c r="CS35" s="297">
        <v>16846213.199999999</v>
      </c>
      <c r="CT35" s="297">
        <v>321804173.89999998</v>
      </c>
      <c r="CU35" s="297">
        <v>24724763.569999993</v>
      </c>
      <c r="CV35" s="297">
        <v>18113928.050000004</v>
      </c>
      <c r="CW35" s="297">
        <v>4726744.9199999887</v>
      </c>
      <c r="CX35" s="297">
        <v>20497244.140000001</v>
      </c>
      <c r="CY35" s="297">
        <v>6241993.1099999938</v>
      </c>
      <c r="CZ35" s="297">
        <v>3468968.8500000015</v>
      </c>
      <c r="DA35" s="297">
        <v>9795107.2099999972</v>
      </c>
      <c r="DB35" s="297">
        <v>142404373.16999993</v>
      </c>
      <c r="DC35" s="297">
        <v>390967516.33999985</v>
      </c>
      <c r="DD35" s="297">
        <v>10929279.49000001</v>
      </c>
      <c r="DE35" s="297">
        <v>13353378.44999999</v>
      </c>
      <c r="DF35" s="297">
        <v>29585317.43999999</v>
      </c>
      <c r="DG35" s="297">
        <v>26595963.150000006</v>
      </c>
      <c r="DH35" s="297">
        <v>69523106.929999977</v>
      </c>
      <c r="DI35" s="297">
        <v>8800021.2600000091</v>
      </c>
      <c r="DJ35" s="297">
        <v>35486153.00999999</v>
      </c>
      <c r="DK35" s="297">
        <v>1022117654.79</v>
      </c>
      <c r="DL35" s="297">
        <v>18036858.769999985</v>
      </c>
      <c r="DM35" s="297">
        <v>30772098.370000001</v>
      </c>
      <c r="DN35" s="297">
        <v>55238434.769999981</v>
      </c>
      <c r="DO35" s="297">
        <v>31743869.029999997</v>
      </c>
      <c r="DP35" s="297">
        <v>16627283.09999999</v>
      </c>
      <c r="DQ35" s="297">
        <v>57992349.449999966</v>
      </c>
      <c r="DR35" s="297">
        <v>39231336.190100007</v>
      </c>
      <c r="DS35" s="297">
        <v>91854667.050000012</v>
      </c>
      <c r="DT35" s="297">
        <v>251611438.92999995</v>
      </c>
      <c r="DU35" s="297">
        <v>9462226.8299999963</v>
      </c>
      <c r="DV35" s="297">
        <v>44494947.54999996</v>
      </c>
      <c r="DW35" s="297">
        <v>55254578.460000031</v>
      </c>
      <c r="DX35" s="297">
        <v>24547607.120000001</v>
      </c>
      <c r="DY35" s="297">
        <v>3649514.9800000181</v>
      </c>
      <c r="DZ35" s="297">
        <v>34952756.159999996</v>
      </c>
      <c r="EA35" s="297">
        <v>20004622.979999993</v>
      </c>
      <c r="EB35" s="297">
        <v>14588456.16</v>
      </c>
      <c r="EC35" s="297">
        <v>23077981.949999984</v>
      </c>
      <c r="ED35" s="297">
        <v>-9248276.6300000027</v>
      </c>
      <c r="EE35" s="297">
        <v>274480433.81999999</v>
      </c>
      <c r="EF35" s="297">
        <v>304223998.61999995</v>
      </c>
      <c r="EG35" s="297">
        <v>24219838.429999992</v>
      </c>
      <c r="EH35" s="297">
        <v>10025069.90000001</v>
      </c>
      <c r="EI35" s="297">
        <v>22710947.570000011</v>
      </c>
      <c r="EJ35" s="297">
        <v>21681589.989999987</v>
      </c>
      <c r="EK35" s="297">
        <v>37649128.980000004</v>
      </c>
      <c r="EL35" s="297">
        <v>7621010.0299999965</v>
      </c>
      <c r="EM35" s="297">
        <v>26240462.860000003</v>
      </c>
      <c r="EN35" s="297">
        <v>302022319.07000029</v>
      </c>
      <c r="EO35" s="297">
        <v>17885514.289999999</v>
      </c>
      <c r="EP35" s="297">
        <v>4343909.7100000065</v>
      </c>
      <c r="EQ35" s="297">
        <v>16032167.590000005</v>
      </c>
      <c r="ER35" s="297">
        <v>7217803.5600000005</v>
      </c>
      <c r="ES35" s="297">
        <v>16694106.510000002</v>
      </c>
      <c r="ET35" s="297">
        <v>9353310.3400000148</v>
      </c>
      <c r="EU35" s="297">
        <v>26049434.849999998</v>
      </c>
      <c r="EV35" s="297">
        <v>21636931.599999987</v>
      </c>
      <c r="EW35" s="297">
        <v>214191206.41000003</v>
      </c>
      <c r="EX35" s="297">
        <v>31566066.000000007</v>
      </c>
      <c r="EY35" s="297">
        <v>40688234.430000007</v>
      </c>
      <c r="EZ35" s="297">
        <v>45339801.370000005</v>
      </c>
      <c r="FA35" s="297">
        <v>50519757.019999959</v>
      </c>
      <c r="FB35" s="297">
        <v>29201123.600000016</v>
      </c>
      <c r="FC35" s="297">
        <v>46486385.560000032</v>
      </c>
      <c r="FD35" s="297">
        <v>14297535.260000002</v>
      </c>
      <c r="FE35" s="297">
        <v>30480332.470000006</v>
      </c>
      <c r="FF35" s="297">
        <v>45024089.510000005</v>
      </c>
      <c r="FG35" s="297">
        <v>25745172.229999993</v>
      </c>
      <c r="FH35" s="297">
        <v>22116838.860000003</v>
      </c>
      <c r="FI35" s="297">
        <v>124521719.45999998</v>
      </c>
      <c r="FJ35" s="297">
        <v>13919911.980000004</v>
      </c>
      <c r="FK35" s="297">
        <v>19736216.179999996</v>
      </c>
      <c r="FL35" s="297">
        <v>24671598.229999997</v>
      </c>
      <c r="FM35" s="297">
        <v>22869502.880000003</v>
      </c>
      <c r="FN35" s="297">
        <v>30504916.609999999</v>
      </c>
      <c r="FO35" s="297">
        <v>4785015.589999998</v>
      </c>
      <c r="FP35" s="297">
        <v>10644465.989999996</v>
      </c>
      <c r="FQ35" s="297">
        <v>1030865607.1699992</v>
      </c>
      <c r="FR35" s="297">
        <v>19172465.52</v>
      </c>
      <c r="FS35" s="297">
        <v>44487606.340000004</v>
      </c>
      <c r="FT35" s="297">
        <v>23158039.219999991</v>
      </c>
      <c r="FU35" s="297">
        <v>26508789.129999999</v>
      </c>
      <c r="FV35" s="297">
        <v>22474673.140000012</v>
      </c>
      <c r="FW35" s="297">
        <v>20788652.609999999</v>
      </c>
      <c r="FX35" s="297">
        <v>-2282956.9200000023</v>
      </c>
      <c r="FY35" s="297">
        <v>52756124.169999979</v>
      </c>
      <c r="FZ35" s="297">
        <v>53041569.359999992</v>
      </c>
      <c r="GA35" s="297">
        <v>47031848.160000063</v>
      </c>
      <c r="GB35" s="297">
        <v>13282994.859999999</v>
      </c>
      <c r="GC35" s="297">
        <v>25603344</v>
      </c>
      <c r="GD35" s="297">
        <v>34371587.139999986</v>
      </c>
      <c r="GE35" s="297">
        <v>153427643.04000008</v>
      </c>
      <c r="GF35" s="297">
        <v>50322721.899999999</v>
      </c>
      <c r="GG35" s="297">
        <v>34947181.539999999</v>
      </c>
      <c r="GH35" s="297">
        <v>53858293.699999966</v>
      </c>
      <c r="GI35" s="297">
        <v>33050223.639999993</v>
      </c>
      <c r="GJ35" s="297">
        <v>45445479.039999999</v>
      </c>
      <c r="GK35" s="297">
        <v>20030591.689999998</v>
      </c>
      <c r="GL35" s="297">
        <v>56389270.749999933</v>
      </c>
      <c r="GM35" s="297">
        <v>24856605.259999987</v>
      </c>
      <c r="GN35" s="297">
        <v>13999607.990000004</v>
      </c>
      <c r="GO35" s="297">
        <v>10677082.949999999</v>
      </c>
      <c r="GP35" s="297">
        <v>8052963.6800000016</v>
      </c>
      <c r="GQ35" s="297">
        <v>419330033</v>
      </c>
      <c r="GR35" s="297">
        <v>86700897.489999995</v>
      </c>
      <c r="GS35" s="297">
        <v>20389694.329999994</v>
      </c>
      <c r="GT35" s="297">
        <v>53991209.840000011</v>
      </c>
      <c r="GU35" s="297">
        <v>6275966.2599999951</v>
      </c>
      <c r="GV35" s="297">
        <v>55867173.62000002</v>
      </c>
      <c r="GW35" s="297">
        <v>30316167.60000002</v>
      </c>
      <c r="GX35" s="297">
        <v>17149420.140000004</v>
      </c>
      <c r="GY35" s="297">
        <v>253439446.85999995</v>
      </c>
      <c r="GZ35" s="297">
        <v>24174681.119999997</v>
      </c>
      <c r="HA35" s="297">
        <v>37117478.570000008</v>
      </c>
      <c r="HB35" s="297">
        <v>49316771.579999976</v>
      </c>
      <c r="HC35" s="297">
        <v>598290192.31000054</v>
      </c>
      <c r="HD35" s="297">
        <v>103881626.54000007</v>
      </c>
      <c r="HE35" s="297">
        <v>10140005.669999974</v>
      </c>
      <c r="HF35" s="297">
        <v>120324673.31999996</v>
      </c>
      <c r="HG35" s="297">
        <v>60721552.799999997</v>
      </c>
      <c r="HH35" s="297">
        <v>127463753.70999998</v>
      </c>
      <c r="HI35" s="297">
        <v>80163087.240000024</v>
      </c>
      <c r="HJ35" s="297">
        <v>848167746.62999976</v>
      </c>
      <c r="HK35" s="297">
        <v>10586153.559999984</v>
      </c>
      <c r="HL35" s="297">
        <v>147749926.19000003</v>
      </c>
      <c r="HM35" s="297">
        <v>104219386.33000001</v>
      </c>
      <c r="HN35" s="297">
        <v>23952841.220000003</v>
      </c>
      <c r="HO35" s="297">
        <v>144789395.81999987</v>
      </c>
      <c r="HP35" s="297">
        <v>57485920.440000027</v>
      </c>
      <c r="HQ35" s="297">
        <v>51738801.430000022</v>
      </c>
      <c r="HR35" s="297">
        <v>372786722.56499964</v>
      </c>
      <c r="HS35" s="297">
        <v>70068472.349999934</v>
      </c>
      <c r="HT35" s="297">
        <v>50134801.199999966</v>
      </c>
      <c r="HU35" s="297">
        <v>44452169.819999993</v>
      </c>
      <c r="HV35" s="297">
        <v>39235933.13000001</v>
      </c>
      <c r="HW35" s="297">
        <v>9169951.8300000019</v>
      </c>
      <c r="HX35" s="297">
        <v>115698141.75000001</v>
      </c>
      <c r="HY35" s="297">
        <v>22936633.119999994</v>
      </c>
      <c r="HZ35" s="297">
        <v>60634197.219999984</v>
      </c>
      <c r="IA35" s="297">
        <v>22000435.630000014</v>
      </c>
      <c r="IB35" s="297">
        <v>57558041.37000002</v>
      </c>
      <c r="IC35" s="297">
        <v>165281886.74999997</v>
      </c>
      <c r="ID35" s="297">
        <v>6224585.6399999941</v>
      </c>
      <c r="IE35" s="297">
        <v>182406799.69000006</v>
      </c>
      <c r="IF35" s="297">
        <v>34789984.469999999</v>
      </c>
      <c r="IG35" s="297">
        <v>7197146.9399999958</v>
      </c>
      <c r="IH35" s="297">
        <v>321307987.46999985</v>
      </c>
      <c r="II35" s="297">
        <v>15966653.99999998</v>
      </c>
      <c r="IJ35" s="297">
        <v>32856251.480000004</v>
      </c>
      <c r="IK35" s="297">
        <v>29992405.920000002</v>
      </c>
      <c r="IL35" s="297">
        <v>8426381.160000002</v>
      </c>
      <c r="IM35" s="297">
        <v>63027876.940000042</v>
      </c>
      <c r="IN35" s="297">
        <v>10027747.539999999</v>
      </c>
      <c r="IO35" s="297">
        <v>7163666.6800000025</v>
      </c>
      <c r="IP35" s="297">
        <v>22837900.599999987</v>
      </c>
      <c r="IQ35" s="297">
        <v>3456137.85</v>
      </c>
      <c r="IR35" s="297">
        <v>57228785.970000014</v>
      </c>
      <c r="IS35" s="297">
        <v>729134218.48000014</v>
      </c>
      <c r="IT35" s="297">
        <v>42526535.669999957</v>
      </c>
      <c r="IU35" s="297">
        <v>82390979.60999997</v>
      </c>
      <c r="IV35" s="297">
        <v>14070553.370000003</v>
      </c>
      <c r="IW35" s="297">
        <v>105017499.93000002</v>
      </c>
      <c r="IX35" s="297">
        <v>45094949.38000001</v>
      </c>
      <c r="IY35" s="297">
        <v>10548082.306399999</v>
      </c>
      <c r="IZ35" s="297">
        <v>24603663.059999999</v>
      </c>
      <c r="JA35" s="297">
        <v>17947721.179999996</v>
      </c>
      <c r="JB35" s="297">
        <v>25307125.899999991</v>
      </c>
      <c r="JC35" s="297">
        <v>77323531.220000014</v>
      </c>
      <c r="JD35" s="297">
        <v>14011229.409999987</v>
      </c>
      <c r="JE35" s="297">
        <v>218703473.80000001</v>
      </c>
      <c r="JF35" s="297">
        <v>44573884.740000032</v>
      </c>
      <c r="JG35" s="297">
        <v>4415608.0000000056</v>
      </c>
      <c r="JH35" s="297">
        <v>264445.41999999993</v>
      </c>
      <c r="JI35" s="297">
        <v>8182890.5500000026</v>
      </c>
      <c r="JJ35" s="297">
        <v>23905646.460000001</v>
      </c>
      <c r="JK35" s="297">
        <v>296882947.85999995</v>
      </c>
      <c r="JL35" s="297">
        <v>162306046.10999995</v>
      </c>
      <c r="JM35" s="297">
        <v>80745973.569999963</v>
      </c>
      <c r="JN35" s="297">
        <v>101852438.91000003</v>
      </c>
      <c r="JO35" s="297">
        <v>25721669.670000009</v>
      </c>
      <c r="JP35" s="297">
        <v>111701723.92000003</v>
      </c>
      <c r="JQ35" s="297">
        <v>15150065.010000005</v>
      </c>
      <c r="JR35" s="297">
        <v>540219398.04999995</v>
      </c>
      <c r="JS35" s="297">
        <v>490354482.26000005</v>
      </c>
      <c r="JT35" s="297">
        <v>54300595.350000009</v>
      </c>
      <c r="JU35" s="297">
        <v>8792356.839999998</v>
      </c>
      <c r="JV35" s="297">
        <v>77955919.730000004</v>
      </c>
      <c r="JW35" s="297">
        <v>14387109.330000004</v>
      </c>
      <c r="JX35" s="297">
        <v>53056994.150000013</v>
      </c>
      <c r="JY35" s="297">
        <v>69347531.270000026</v>
      </c>
      <c r="JZ35" s="297">
        <v>57758200.670000024</v>
      </c>
      <c r="KA35" s="297">
        <v>13328292.530000011</v>
      </c>
      <c r="KB35" s="297">
        <v>35702121.079999998</v>
      </c>
      <c r="KC35" s="297">
        <v>20598543.199999999</v>
      </c>
      <c r="KD35" s="297">
        <v>6614358.179999996</v>
      </c>
      <c r="KE35" s="297">
        <v>12659616.729999999</v>
      </c>
      <c r="KF35" s="297">
        <v>19757806.480000008</v>
      </c>
      <c r="KG35" s="297">
        <v>17278276.48</v>
      </c>
      <c r="KH35" s="297">
        <v>1215671446.1100011</v>
      </c>
      <c r="KI35" s="297">
        <v>30529486.399999991</v>
      </c>
      <c r="KJ35" s="297">
        <v>49634982.120000012</v>
      </c>
      <c r="KK35" s="297">
        <v>38363739.07</v>
      </c>
      <c r="KL35" s="297">
        <v>86102650.750000015</v>
      </c>
      <c r="KM35" s="297">
        <v>112235347.56599998</v>
      </c>
      <c r="KN35" s="297">
        <v>44671263.670000002</v>
      </c>
      <c r="KO35" s="297">
        <v>58829350.660000004</v>
      </c>
      <c r="KP35" s="297">
        <v>47841960.169999972</v>
      </c>
      <c r="KQ35" s="297">
        <v>109585984.34000006</v>
      </c>
      <c r="KR35" s="297">
        <v>50039992.660000034</v>
      </c>
      <c r="KS35" s="297">
        <v>33960303.789999977</v>
      </c>
      <c r="KT35" s="297">
        <v>61627187.950000018</v>
      </c>
      <c r="KU35" s="297">
        <v>24662042.139999986</v>
      </c>
      <c r="KV35" s="297">
        <v>55455179.979999997</v>
      </c>
      <c r="KW35" s="297">
        <v>380846228.85999984</v>
      </c>
      <c r="KX35" s="297">
        <v>132850036.28999999</v>
      </c>
      <c r="KY35" s="297">
        <v>491264392.01999956</v>
      </c>
      <c r="KZ35" s="297">
        <v>68769388.179999962</v>
      </c>
      <c r="LA35" s="297">
        <v>49863548.06000001</v>
      </c>
      <c r="LB35" s="297">
        <v>96566373.680000007</v>
      </c>
      <c r="LC35" s="297">
        <v>78819100.349999994</v>
      </c>
      <c r="LD35" s="297">
        <v>92238504.219999999</v>
      </c>
      <c r="LE35" s="297">
        <v>71917311.87999998</v>
      </c>
      <c r="LF35" s="297">
        <v>98033523.599999979</v>
      </c>
      <c r="LG35" s="297">
        <v>893635547.29000044</v>
      </c>
      <c r="LH35" s="297">
        <v>107092465.38000003</v>
      </c>
      <c r="LI35" s="297">
        <v>323475773.59000003</v>
      </c>
      <c r="LJ35" s="297">
        <v>222300212.20999995</v>
      </c>
      <c r="LK35" s="297">
        <v>31951795.279999986</v>
      </c>
      <c r="LL35" s="297">
        <v>1061608.3299999945</v>
      </c>
      <c r="LM35" s="297">
        <v>3972205.1500000041</v>
      </c>
      <c r="LN35" s="297">
        <v>28120045.489999987</v>
      </c>
      <c r="LO35" s="297">
        <v>11567612.620000001</v>
      </c>
      <c r="LP35" s="297">
        <v>36756736.440000013</v>
      </c>
      <c r="LQ35" s="297">
        <v>5426381.7000000002</v>
      </c>
      <c r="LR35" s="297">
        <v>102022721.98999999</v>
      </c>
      <c r="LS35" s="297">
        <v>34236039.579999991</v>
      </c>
      <c r="LT35" s="297">
        <v>34953155.50999999</v>
      </c>
      <c r="LU35" s="297">
        <v>1041124301.2500001</v>
      </c>
      <c r="LV35" s="297">
        <v>631095908.42999995</v>
      </c>
      <c r="LW35" s="297">
        <v>795411919.20000029</v>
      </c>
      <c r="LX35" s="297">
        <v>203361096.76999995</v>
      </c>
      <c r="LY35" s="297">
        <v>39197710.952499993</v>
      </c>
      <c r="LZ35" s="297">
        <v>109328250.46000013</v>
      </c>
      <c r="MA35" s="297">
        <v>87754920.63000004</v>
      </c>
      <c r="MB35" s="297">
        <v>59862664.710000001</v>
      </c>
      <c r="MC35" s="297">
        <v>89087302.419999942</v>
      </c>
      <c r="MD35" s="297">
        <v>166935058.90999991</v>
      </c>
      <c r="ME35" s="297">
        <v>26190484.380000021</v>
      </c>
      <c r="MF35" s="297">
        <v>38042603.550000019</v>
      </c>
      <c r="MG35" s="297">
        <v>493263984.53000039</v>
      </c>
      <c r="MH35" s="297">
        <v>39075657.079999991</v>
      </c>
      <c r="MI35" s="297">
        <v>40039177.61999999</v>
      </c>
      <c r="MJ35" s="297">
        <v>31012235.379999992</v>
      </c>
      <c r="MK35" s="297">
        <v>40355286.979999997</v>
      </c>
      <c r="ML35" s="297">
        <v>34823069.539999999</v>
      </c>
      <c r="MM35" s="297">
        <v>4340390.3399999971</v>
      </c>
      <c r="MN35" s="297">
        <v>24362180.449999999</v>
      </c>
      <c r="MO35" s="297">
        <v>26220373.100000005</v>
      </c>
      <c r="MP35" s="297">
        <v>27817684.46999998</v>
      </c>
      <c r="MQ35" s="297">
        <v>15081179.959999997</v>
      </c>
      <c r="MR35" s="297">
        <v>40086398.656999983</v>
      </c>
      <c r="MS35" s="297">
        <v>653188500.3900001</v>
      </c>
      <c r="MT35" s="297">
        <v>24574264.919999998</v>
      </c>
      <c r="MU35" s="297">
        <v>193973882.78</v>
      </c>
      <c r="MV35" s="297">
        <v>70384979.499999985</v>
      </c>
      <c r="MW35" s="297">
        <v>66982765.439999983</v>
      </c>
      <c r="MX35" s="297">
        <v>89580177.169999987</v>
      </c>
      <c r="MY35" s="297">
        <v>287771386.91860014</v>
      </c>
      <c r="MZ35" s="297">
        <v>57216120.300000004</v>
      </c>
      <c r="NA35" s="297">
        <v>68641652.189999983</v>
      </c>
      <c r="NB35" s="297">
        <v>6877191.4000000069</v>
      </c>
      <c r="NC35" s="297">
        <v>37951446.400000013</v>
      </c>
      <c r="ND35" s="297">
        <v>2205719543.2999992</v>
      </c>
      <c r="NE35" s="297">
        <v>421481534.07999998</v>
      </c>
      <c r="NF35" s="297">
        <v>45453931.579999991</v>
      </c>
      <c r="NG35" s="297">
        <v>466960414.87000024</v>
      </c>
      <c r="NH35" s="297">
        <v>22278078.610000014</v>
      </c>
      <c r="NI35" s="297">
        <v>107290849.00999989</v>
      </c>
      <c r="NJ35" s="297">
        <v>330268553.76999992</v>
      </c>
      <c r="NK35" s="297">
        <v>253049626.42999968</v>
      </c>
      <c r="NL35" s="297">
        <v>30399675.799999997</v>
      </c>
      <c r="NM35" s="297">
        <v>240712365.15000001</v>
      </c>
      <c r="NN35" s="297">
        <v>104315590.97999999</v>
      </c>
      <c r="NO35" s="297">
        <v>69551578.399000034</v>
      </c>
      <c r="NP35" s="297">
        <v>266890230.12999988</v>
      </c>
      <c r="NQ35" s="297">
        <v>28709927.770000003</v>
      </c>
      <c r="NR35" s="297">
        <v>13637462.09</v>
      </c>
      <c r="NS35" s="297">
        <v>35384898.01570002</v>
      </c>
      <c r="NT35" s="297">
        <v>31052665.870000005</v>
      </c>
      <c r="NU35" s="297">
        <v>9406138.8699999992</v>
      </c>
      <c r="NV35" s="297">
        <v>20050265.349999994</v>
      </c>
      <c r="NW35" s="297">
        <v>480276240.39000046</v>
      </c>
      <c r="NX35" s="297">
        <v>236642645.30999973</v>
      </c>
      <c r="NY35" s="297">
        <v>24969980.739999995</v>
      </c>
      <c r="NZ35" s="297">
        <v>20706327.850000031</v>
      </c>
      <c r="OA35" s="297">
        <v>34726683.370000005</v>
      </c>
      <c r="OB35" s="297">
        <v>25610206.269999992</v>
      </c>
      <c r="OC35" s="297">
        <v>11580580.959999992</v>
      </c>
      <c r="OD35" s="297">
        <v>998499542.24000013</v>
      </c>
      <c r="OE35" s="297">
        <v>45027905.299999952</v>
      </c>
      <c r="OF35" s="297">
        <v>57371913.919999979</v>
      </c>
      <c r="OG35" s="297">
        <v>197080891.32999998</v>
      </c>
      <c r="OH35" s="297">
        <v>31910712.569999997</v>
      </c>
      <c r="OI35" s="297">
        <v>150439378.2599999</v>
      </c>
      <c r="OJ35" s="297">
        <v>162892666.98999998</v>
      </c>
      <c r="OK35" s="297">
        <v>36082045.459999986</v>
      </c>
      <c r="OL35" s="297">
        <v>126301952.98999995</v>
      </c>
      <c r="OM35" s="297">
        <v>1046479982.9599998</v>
      </c>
      <c r="ON35" s="297">
        <v>140967732.01999998</v>
      </c>
      <c r="OO35" s="297">
        <v>657204728.08999991</v>
      </c>
      <c r="OP35" s="297">
        <v>46621947.73999998</v>
      </c>
      <c r="OQ35" s="297">
        <v>32474443.769999988</v>
      </c>
      <c r="OR35" s="297">
        <v>100532682.57000001</v>
      </c>
      <c r="OS35" s="297">
        <v>646645281.59000027</v>
      </c>
      <c r="OT35" s="297">
        <v>26823315.219999999</v>
      </c>
      <c r="OU35" s="297">
        <v>92494432.650000021</v>
      </c>
      <c r="OV35" s="297">
        <v>69599320.12000002</v>
      </c>
      <c r="OW35" s="297">
        <v>67344497.110000044</v>
      </c>
      <c r="OX35" s="297">
        <v>339458151.62000006</v>
      </c>
      <c r="OY35" s="297">
        <v>44426094.910000004</v>
      </c>
      <c r="OZ35" s="297">
        <v>59023602.350000039</v>
      </c>
      <c r="PA35" s="297">
        <v>57088690.910000004</v>
      </c>
      <c r="PB35" s="297">
        <v>357200427.10000002</v>
      </c>
      <c r="PC35" s="297">
        <v>18260965.459999997</v>
      </c>
      <c r="PD35" s="297">
        <v>5938812.6600000206</v>
      </c>
      <c r="PE35" s="297">
        <v>12770876.560000008</v>
      </c>
      <c r="PF35" s="297">
        <v>43522696.659999996</v>
      </c>
      <c r="PG35" s="297">
        <v>133337236.36999995</v>
      </c>
      <c r="PH35" s="297">
        <v>16476942.779999992</v>
      </c>
      <c r="PI35" s="297">
        <v>33863862.88000001</v>
      </c>
      <c r="PJ35" s="297">
        <v>20420896.269999996</v>
      </c>
      <c r="PK35" s="297">
        <v>18505634.649999995</v>
      </c>
      <c r="PL35" s="297">
        <v>65118796.030000001</v>
      </c>
      <c r="PM35" s="297">
        <v>74482362.949999973</v>
      </c>
      <c r="PN35" s="297">
        <v>10015191.92999999</v>
      </c>
      <c r="PO35" s="297">
        <v>98218929.839999974</v>
      </c>
      <c r="PP35" s="297">
        <v>9784493.2400000021</v>
      </c>
      <c r="PQ35" s="297">
        <v>14591931.669999996</v>
      </c>
      <c r="PR35" s="297">
        <v>11439266.459999997</v>
      </c>
      <c r="PS35" s="297">
        <v>26111044.979999993</v>
      </c>
      <c r="PT35" s="297">
        <v>671227064.14000022</v>
      </c>
      <c r="PU35" s="297">
        <v>41319203.099999987</v>
      </c>
      <c r="PV35" s="297">
        <v>2049257.3600000022</v>
      </c>
      <c r="PW35" s="297">
        <v>36371055.830000006</v>
      </c>
      <c r="PX35" s="297">
        <v>174505103.03000015</v>
      </c>
      <c r="PY35" s="297">
        <v>4643914.3299999991</v>
      </c>
      <c r="PZ35" s="297">
        <v>21058990.770000011</v>
      </c>
      <c r="QA35" s="297">
        <v>21936719.25999999</v>
      </c>
      <c r="QB35" s="297">
        <v>70506267.400000006</v>
      </c>
      <c r="QC35" s="297">
        <v>11908336.019999996</v>
      </c>
      <c r="QD35" s="297">
        <v>130971005.59999993</v>
      </c>
      <c r="QE35" s="297">
        <v>2556319.1699999939</v>
      </c>
      <c r="QF35" s="297">
        <v>13442203.119999995</v>
      </c>
      <c r="QG35" s="297">
        <v>45708049.379999995</v>
      </c>
      <c r="QH35" s="297">
        <v>26349315.79999999</v>
      </c>
      <c r="QI35" s="297">
        <v>53957748.949999958</v>
      </c>
      <c r="QJ35" s="297">
        <v>1355377.4100000085</v>
      </c>
      <c r="QK35" s="297">
        <v>3609805.3800000036</v>
      </c>
      <c r="QL35" s="297">
        <v>457176.0299999984</v>
      </c>
      <c r="QM35" s="297">
        <v>32585336.120000023</v>
      </c>
      <c r="QN35" s="297">
        <v>60142789.579999998</v>
      </c>
      <c r="QO35" s="297">
        <v>5856476.8099999987</v>
      </c>
      <c r="QP35" s="297">
        <v>2952399.2599999979</v>
      </c>
      <c r="QQ35" s="297">
        <v>1370279.2400000009</v>
      </c>
      <c r="QR35" s="297">
        <v>1809022.6299999992</v>
      </c>
      <c r="QS35" s="297">
        <v>15177677.229999999</v>
      </c>
      <c r="QT35" s="297">
        <v>730117159.88999987</v>
      </c>
      <c r="QU35" s="297">
        <v>18792446.399999991</v>
      </c>
      <c r="QV35" s="297">
        <v>115817511.38999999</v>
      </c>
      <c r="QW35" s="297">
        <v>29973058.519999981</v>
      </c>
      <c r="QX35" s="297">
        <v>23707554.559999995</v>
      </c>
      <c r="QY35" s="297">
        <v>170129057.28</v>
      </c>
      <c r="QZ35" s="297">
        <v>22112350.190000005</v>
      </c>
      <c r="RA35" s="297">
        <v>95012179.820000052</v>
      </c>
      <c r="RB35" s="297">
        <v>121759579.92000003</v>
      </c>
      <c r="RC35" s="297">
        <v>20712095.040000003</v>
      </c>
      <c r="RD35" s="297">
        <v>20551391.429999996</v>
      </c>
      <c r="RE35" s="297">
        <v>73488866.450000033</v>
      </c>
      <c r="RF35" s="297">
        <v>11997435.979999997</v>
      </c>
      <c r="RG35" s="297">
        <v>982984463.28999996</v>
      </c>
      <c r="RH35" s="297">
        <v>90224414.789999992</v>
      </c>
      <c r="RI35" s="297">
        <v>41170350.669999987</v>
      </c>
      <c r="RJ35" s="297">
        <v>78517024.549999967</v>
      </c>
      <c r="RK35" s="297">
        <v>44331045.109999985</v>
      </c>
      <c r="RL35" s="297">
        <v>46386140.320000008</v>
      </c>
      <c r="RM35" s="297">
        <v>34569994.339999966</v>
      </c>
      <c r="RN35" s="297">
        <v>33132327.979999989</v>
      </c>
      <c r="RO35" s="297">
        <v>45919106.329999991</v>
      </c>
      <c r="RP35" s="297">
        <v>35476134.200000003</v>
      </c>
      <c r="RQ35" s="297">
        <v>135823184.15000001</v>
      </c>
      <c r="RR35" s="297">
        <v>30850729.090000011</v>
      </c>
      <c r="RS35" s="297">
        <v>23331933.460000016</v>
      </c>
      <c r="RT35" s="297">
        <v>13625523.709999984</v>
      </c>
      <c r="RU35" s="297">
        <v>7072813.6299999971</v>
      </c>
      <c r="RV35" s="297">
        <v>18131043.139999993</v>
      </c>
      <c r="RW35" s="297">
        <v>19844806.309999987</v>
      </c>
      <c r="RX35" s="297">
        <v>63730816.019999966</v>
      </c>
      <c r="RY35" s="297">
        <v>3452679.0199999968</v>
      </c>
      <c r="RZ35" s="297">
        <v>32286073.379999999</v>
      </c>
      <c r="SA35" s="297">
        <v>219967012.38999996</v>
      </c>
      <c r="SB35" s="297">
        <v>64141127.809999995</v>
      </c>
      <c r="SC35" s="297">
        <v>37578639.110000007</v>
      </c>
      <c r="SD35" s="297">
        <v>23752789.790000014</v>
      </c>
      <c r="SE35" s="297">
        <v>21672245.870000001</v>
      </c>
      <c r="SF35" s="297">
        <v>14865949.22000001</v>
      </c>
      <c r="SG35" s="297">
        <v>33095511.20000001</v>
      </c>
      <c r="SH35" s="297">
        <v>80261258.38000004</v>
      </c>
      <c r="SI35" s="297">
        <v>37632474.57</v>
      </c>
      <c r="SJ35" s="297">
        <v>69459144.220000014</v>
      </c>
      <c r="SK35" s="297">
        <v>12035253.280000009</v>
      </c>
      <c r="SL35" s="297">
        <v>14317303.109999994</v>
      </c>
      <c r="SM35" s="297">
        <v>196280184.90000001</v>
      </c>
      <c r="SN35" s="297">
        <v>36084688.50999999</v>
      </c>
      <c r="SO35" s="297">
        <v>24538188.049999997</v>
      </c>
      <c r="SP35" s="297">
        <v>60557963.88000004</v>
      </c>
      <c r="SQ35" s="297">
        <v>42325495.160000004</v>
      </c>
      <c r="SR35" s="297">
        <v>35659631.219999999</v>
      </c>
      <c r="SS35" s="297">
        <v>51145987.870000005</v>
      </c>
      <c r="ST35" s="297">
        <v>12257555.100000003</v>
      </c>
      <c r="SU35" s="297">
        <v>100629103.65000015</v>
      </c>
      <c r="SV35" s="297">
        <v>31183802.020000018</v>
      </c>
      <c r="SW35" s="297">
        <v>45406540.310000002</v>
      </c>
      <c r="SX35" s="297">
        <v>18547203.690000016</v>
      </c>
      <c r="SY35" s="297">
        <v>8193176.5600000005</v>
      </c>
      <c r="SZ35" s="297">
        <v>17662506.319999997</v>
      </c>
      <c r="TA35" s="297">
        <v>18536037.910000004</v>
      </c>
      <c r="TB35" s="297">
        <v>17560238.199999992</v>
      </c>
      <c r="TC35" s="297">
        <v>7388826.2600000026</v>
      </c>
      <c r="TD35" s="297">
        <v>15384709.939999994</v>
      </c>
      <c r="TE35" s="297">
        <v>35522288.769999981</v>
      </c>
      <c r="TF35" s="297">
        <v>9807875.0500000194</v>
      </c>
      <c r="TG35" s="297">
        <v>59382168.609999999</v>
      </c>
      <c r="TH35" s="297">
        <v>13441696.609999999</v>
      </c>
      <c r="TI35" s="297">
        <v>207617142.30000019</v>
      </c>
      <c r="TJ35" s="297">
        <v>64115397.770000018</v>
      </c>
      <c r="TK35" s="297">
        <v>23803526.269999996</v>
      </c>
      <c r="TL35" s="297">
        <v>51511834.240000039</v>
      </c>
      <c r="TM35" s="297">
        <v>21715561.049999997</v>
      </c>
      <c r="TN35" s="297">
        <v>21406336.809999999</v>
      </c>
      <c r="TO35" s="297">
        <v>9449720.8100000024</v>
      </c>
      <c r="TP35" s="297">
        <v>186030182.21000001</v>
      </c>
      <c r="TQ35" s="297">
        <v>49058747.829999991</v>
      </c>
      <c r="TR35" s="297">
        <v>36509225.63000001</v>
      </c>
      <c r="TS35" s="297">
        <v>36448361.650000013</v>
      </c>
      <c r="TT35" s="297">
        <v>33761901.619999997</v>
      </c>
      <c r="TU35" s="297">
        <v>12453488.219999995</v>
      </c>
      <c r="TV35" s="297">
        <v>21373808.769999988</v>
      </c>
      <c r="TW35" s="297">
        <v>17353215.750000004</v>
      </c>
      <c r="TX35" s="297">
        <v>63408708.879999995</v>
      </c>
      <c r="TY35" s="297">
        <v>154037372.64000005</v>
      </c>
      <c r="TZ35" s="297">
        <v>33063638.049999997</v>
      </c>
      <c r="UA35" s="297">
        <v>467613306.42000008</v>
      </c>
      <c r="UB35" s="297">
        <v>44894809.029999979</v>
      </c>
      <c r="UC35" s="297">
        <v>-1955705.9100000025</v>
      </c>
      <c r="UD35" s="297">
        <v>8154412.5899999971</v>
      </c>
      <c r="UE35" s="297">
        <v>-74005379.579999998</v>
      </c>
      <c r="UF35" s="297">
        <v>27468562.04000001</v>
      </c>
      <c r="UG35" s="297">
        <v>2860240.0600000028</v>
      </c>
      <c r="UH35" s="297">
        <v>31275345.289999988</v>
      </c>
      <c r="UI35" s="297">
        <v>10390304.779999994</v>
      </c>
      <c r="UJ35" s="297">
        <v>235665652.75999996</v>
      </c>
      <c r="UK35" s="297">
        <v>22401572.500000004</v>
      </c>
      <c r="UL35" s="297">
        <v>27798739.520000007</v>
      </c>
      <c r="UM35" s="297">
        <v>13986837.209999997</v>
      </c>
      <c r="UN35" s="297">
        <v>35942357.659999989</v>
      </c>
      <c r="UO35" s="297">
        <v>22183351.82</v>
      </c>
      <c r="UP35" s="297">
        <v>1326786732.0700004</v>
      </c>
      <c r="UQ35" s="297">
        <v>13769318.900000006</v>
      </c>
      <c r="UR35" s="297">
        <v>16249996.890000002</v>
      </c>
      <c r="US35" s="297">
        <v>79539909.10999991</v>
      </c>
      <c r="UT35" s="297">
        <v>24499053.990000002</v>
      </c>
      <c r="UU35" s="297">
        <v>11362642.519999994</v>
      </c>
      <c r="UV35" s="297">
        <v>20827254.530000009</v>
      </c>
      <c r="UW35" s="297">
        <v>9701551.3699999973</v>
      </c>
      <c r="UX35" s="297">
        <v>713696.44999999902</v>
      </c>
      <c r="UY35" s="297">
        <v>26534626.450000003</v>
      </c>
      <c r="UZ35" s="297">
        <v>29718609.18</v>
      </c>
      <c r="VA35" s="297">
        <v>36894081.179999977</v>
      </c>
      <c r="VB35" s="297">
        <v>50192636.680000022</v>
      </c>
      <c r="VC35" s="297">
        <v>56122590.489999987</v>
      </c>
      <c r="VD35" s="297">
        <v>6850635.0300000003</v>
      </c>
      <c r="VE35" s="297">
        <v>8668913.5100000035</v>
      </c>
      <c r="VF35" s="297">
        <v>11991214.379999986</v>
      </c>
      <c r="VG35" s="297">
        <v>11112419.140000002</v>
      </c>
      <c r="VH35" s="297">
        <v>31456561.180000007</v>
      </c>
      <c r="VI35" s="297">
        <v>3842278.590000005</v>
      </c>
      <c r="VJ35" s="297">
        <v>21957799.710000001</v>
      </c>
      <c r="VK35" s="297">
        <v>32395487.130000006</v>
      </c>
      <c r="VL35" s="297">
        <v>503919397.59000063</v>
      </c>
      <c r="VM35" s="297">
        <v>21643542.859999996</v>
      </c>
      <c r="VN35" s="297">
        <v>39666963.960000001</v>
      </c>
      <c r="VO35" s="297">
        <v>8822531.1499999929</v>
      </c>
      <c r="VP35" s="297">
        <v>34768303.650000006</v>
      </c>
      <c r="VQ35" s="297">
        <v>33713868.61999999</v>
      </c>
      <c r="VR35" s="297">
        <v>16738933.990000006</v>
      </c>
      <c r="VS35" s="297">
        <v>15295359.820000006</v>
      </c>
      <c r="VT35" s="297">
        <v>45996778.270000018</v>
      </c>
      <c r="VU35" s="297">
        <v>167213974.75000003</v>
      </c>
      <c r="VV35" s="297">
        <v>13494326.239999989</v>
      </c>
      <c r="VW35" s="297">
        <v>259297908.37500015</v>
      </c>
      <c r="VX35" s="297">
        <v>23900392.440000001</v>
      </c>
      <c r="VY35" s="297">
        <v>56852397.570000015</v>
      </c>
      <c r="VZ35" s="297">
        <v>13257260.349999998</v>
      </c>
      <c r="WA35" s="297">
        <v>2195857698.6900005</v>
      </c>
      <c r="WB35" s="297">
        <v>53915204.980000012</v>
      </c>
      <c r="WC35" s="297">
        <v>82104711.950000018</v>
      </c>
      <c r="WD35" s="297">
        <v>63128088.839999959</v>
      </c>
      <c r="WE35" s="297">
        <v>31986233.28999998</v>
      </c>
      <c r="WF35" s="297">
        <v>14190348.129999997</v>
      </c>
      <c r="WG35" s="297">
        <v>45210391.870000035</v>
      </c>
      <c r="WH35" s="297">
        <v>66562092.409999989</v>
      </c>
      <c r="WI35" s="297">
        <v>74895849.780000001</v>
      </c>
      <c r="WJ35" s="297">
        <v>40904101.23999998</v>
      </c>
      <c r="WK35" s="297">
        <v>24264275.480000008</v>
      </c>
      <c r="WL35" s="297">
        <v>44871094.010999978</v>
      </c>
      <c r="WM35" s="297">
        <v>62184259.669999979</v>
      </c>
      <c r="WN35" s="297">
        <v>61249027.119999982</v>
      </c>
      <c r="WO35" s="297">
        <v>139281256.08000007</v>
      </c>
      <c r="WP35" s="297">
        <v>73755124.389999971</v>
      </c>
      <c r="WQ35" s="297">
        <v>56445442.909999967</v>
      </c>
      <c r="WR35" s="297">
        <v>53007538.100000031</v>
      </c>
      <c r="WS35" s="297">
        <v>19675463.540000007</v>
      </c>
      <c r="WT35" s="297">
        <v>66101323.669999942</v>
      </c>
      <c r="WU35" s="297">
        <v>116859502.54999985</v>
      </c>
      <c r="WV35" s="297">
        <v>20913536.449999988</v>
      </c>
      <c r="WW35" s="297">
        <v>25783397.579999994</v>
      </c>
      <c r="WX35" s="297">
        <v>57139728.319999985</v>
      </c>
      <c r="WY35" s="297">
        <v>42683391.799999997</v>
      </c>
      <c r="WZ35" s="297">
        <v>32963049.76000002</v>
      </c>
      <c r="XA35" s="297">
        <v>12953118.11999999</v>
      </c>
      <c r="XB35" s="297">
        <v>29683773.760000002</v>
      </c>
      <c r="XC35" s="297">
        <v>349681793.14999998</v>
      </c>
      <c r="XD35" s="297">
        <v>15924806.689999992</v>
      </c>
      <c r="XE35" s="297">
        <v>24770951.140000001</v>
      </c>
      <c r="XF35" s="297">
        <v>20658076.119999997</v>
      </c>
      <c r="XG35" s="297">
        <v>33147357.179999974</v>
      </c>
      <c r="XH35" s="297">
        <v>1442482503.5800011</v>
      </c>
      <c r="XI35" s="297">
        <v>90659836.649999976</v>
      </c>
      <c r="XJ35" s="297">
        <v>116561870.01999997</v>
      </c>
      <c r="XK35" s="297">
        <v>144507546.38</v>
      </c>
      <c r="XL35" s="297">
        <v>57041969.45000001</v>
      </c>
      <c r="XM35" s="297">
        <v>73699827.129999965</v>
      </c>
      <c r="XN35" s="297">
        <v>127941921.86999996</v>
      </c>
      <c r="XO35" s="297">
        <v>116499862.75</v>
      </c>
      <c r="XP35" s="297">
        <v>40815918.940000005</v>
      </c>
      <c r="XQ35" s="297">
        <v>125028100.93999995</v>
      </c>
      <c r="XR35" s="297">
        <v>122805902.41000003</v>
      </c>
      <c r="XS35" s="297">
        <v>26851133.929999992</v>
      </c>
      <c r="XT35" s="297">
        <v>32724374.250000004</v>
      </c>
      <c r="XU35" s="297">
        <v>59431869.600000016</v>
      </c>
      <c r="XV35" s="297">
        <v>70813338.909999982</v>
      </c>
      <c r="XW35" s="297">
        <v>15451981.91</v>
      </c>
      <c r="XX35" s="297">
        <v>34128231.569999985</v>
      </c>
      <c r="XY35" s="297">
        <v>29586019.38000001</v>
      </c>
      <c r="XZ35" s="297">
        <v>19581575.359999999</v>
      </c>
      <c r="YA35" s="297">
        <v>33727003.50999999</v>
      </c>
      <c r="YB35" s="297">
        <v>34795373.549999982</v>
      </c>
      <c r="YC35" s="297">
        <v>75311177.470000014</v>
      </c>
      <c r="YD35" s="297">
        <v>54254975.269999988</v>
      </c>
      <c r="YE35" s="297">
        <v>1032154523.36</v>
      </c>
      <c r="YF35" s="297">
        <v>50966531.270000011</v>
      </c>
      <c r="YG35" s="297">
        <v>157966657.21000004</v>
      </c>
      <c r="YH35" s="297">
        <v>94743414.870000005</v>
      </c>
      <c r="YI35" s="297">
        <v>301550038.15000004</v>
      </c>
      <c r="YJ35" s="297">
        <v>116905222.74999999</v>
      </c>
      <c r="YK35" s="297">
        <v>156610068.83000001</v>
      </c>
      <c r="YL35" s="297">
        <v>57998314.675199986</v>
      </c>
      <c r="YM35" s="297">
        <v>204156982.07000002</v>
      </c>
      <c r="YN35" s="297">
        <v>119293682.94</v>
      </c>
      <c r="YO35" s="297">
        <v>84793419.929999977</v>
      </c>
      <c r="YP35" s="297">
        <v>56182157.830000013</v>
      </c>
      <c r="YQ35" s="297">
        <v>42197500.700000003</v>
      </c>
      <c r="YR35" s="297">
        <v>51532744.270000011</v>
      </c>
      <c r="YS35" s="297">
        <v>91584035.730000004</v>
      </c>
      <c r="YT35" s="297">
        <v>110883359.48999998</v>
      </c>
      <c r="YU35" s="297">
        <v>52320253.349999994</v>
      </c>
      <c r="YV35" s="297">
        <v>227213573.59999999</v>
      </c>
      <c r="YW35" s="297">
        <v>25537192.620000005</v>
      </c>
      <c r="YX35" s="297">
        <v>42608212.120000005</v>
      </c>
      <c r="YY35" s="297">
        <v>22180532.159999993</v>
      </c>
      <c r="YZ35" s="297">
        <v>29208383.629999992</v>
      </c>
      <c r="ZA35" s="297">
        <v>17471023.260000005</v>
      </c>
      <c r="ZB35" s="297">
        <v>26984775.239999998</v>
      </c>
      <c r="ZC35" s="297">
        <v>359371406.00000006</v>
      </c>
      <c r="ZD35" s="297">
        <v>22900847.249999996</v>
      </c>
      <c r="ZE35" s="297">
        <v>52060065.370000005</v>
      </c>
      <c r="ZF35" s="297">
        <v>34162435.890000001</v>
      </c>
      <c r="ZG35" s="297">
        <v>45399860.080000006</v>
      </c>
      <c r="ZH35" s="297">
        <v>33328262.75000003</v>
      </c>
      <c r="ZI35" s="297">
        <v>19314978.440000005</v>
      </c>
      <c r="ZJ35" s="297">
        <v>22009483.840000004</v>
      </c>
      <c r="ZK35" s="297">
        <v>92527946.329999983</v>
      </c>
      <c r="ZL35" s="297">
        <v>355436589.45000005</v>
      </c>
      <c r="ZM35" s="297">
        <v>38991548.079999991</v>
      </c>
      <c r="ZN35" s="297">
        <v>72662703.209999979</v>
      </c>
      <c r="ZO35" s="297">
        <v>311617011.75999987</v>
      </c>
      <c r="ZP35" s="297">
        <v>116075833.52</v>
      </c>
      <c r="ZQ35" s="297">
        <v>45274960.26000002</v>
      </c>
      <c r="ZR35" s="297">
        <v>42955640.539999999</v>
      </c>
      <c r="ZS35" s="297">
        <v>151557499.95000002</v>
      </c>
      <c r="ZT35" s="297">
        <v>363291824.02999979</v>
      </c>
      <c r="ZU35" s="297">
        <v>29083831.639999978</v>
      </c>
      <c r="ZV35" s="297">
        <v>45494033.749999978</v>
      </c>
      <c r="ZW35" s="297">
        <v>79131704.590000018</v>
      </c>
      <c r="ZX35" s="297">
        <v>30824343.709999997</v>
      </c>
      <c r="ZY35" s="297">
        <v>29826301.310000002</v>
      </c>
      <c r="ZZ35" s="297">
        <v>23094775.790000003</v>
      </c>
      <c r="AAA35" s="297">
        <v>26766135.127999995</v>
      </c>
      <c r="AAB35" s="297">
        <v>43745627.75999999</v>
      </c>
      <c r="AAC35" s="297">
        <v>32141078.060000002</v>
      </c>
      <c r="AAD35" s="297">
        <v>69782938.370000064</v>
      </c>
      <c r="AAE35" s="297">
        <v>73068287.780000001</v>
      </c>
      <c r="AAF35" s="297">
        <v>29243240.690000005</v>
      </c>
      <c r="AAG35" s="297">
        <v>26595490.069999997</v>
      </c>
      <c r="AAH35" s="297">
        <v>155414124.43999994</v>
      </c>
      <c r="AAI35" s="297">
        <v>6861433.0399999972</v>
      </c>
      <c r="AAJ35" s="297">
        <v>18918513.069999997</v>
      </c>
      <c r="AAK35" s="297">
        <v>6847480.1999999965</v>
      </c>
      <c r="AAL35" s="297">
        <v>16408960.539999999</v>
      </c>
      <c r="AAM35" s="297">
        <v>4302106.5899999905</v>
      </c>
      <c r="AAN35" s="297">
        <v>14475519.480000004</v>
      </c>
      <c r="AAO35" s="297">
        <v>1525584173.9299986</v>
      </c>
      <c r="AAP35" s="297">
        <v>8929253.4100000076</v>
      </c>
      <c r="AAQ35" s="297">
        <v>51827816.500000007</v>
      </c>
      <c r="AAR35" s="297">
        <v>127282392.31999998</v>
      </c>
      <c r="AAS35" s="297">
        <v>18465148.750000004</v>
      </c>
      <c r="AAT35" s="297">
        <v>70221728.769999981</v>
      </c>
      <c r="AAU35" s="297">
        <v>34034133.140000001</v>
      </c>
      <c r="AAV35" s="297">
        <v>38543173.080000013</v>
      </c>
      <c r="AAW35" s="297">
        <v>51824685.589999966</v>
      </c>
      <c r="AAX35" s="297">
        <v>16755729.050000001</v>
      </c>
      <c r="AAY35" s="297">
        <v>29247734.529999997</v>
      </c>
      <c r="AAZ35" s="297">
        <v>81369358.329999864</v>
      </c>
      <c r="ABA35" s="297">
        <v>44059998.850000016</v>
      </c>
      <c r="ABB35" s="297">
        <v>9496513.879999999</v>
      </c>
      <c r="ABC35" s="297">
        <v>6952983.0099999961</v>
      </c>
      <c r="ABD35" s="297">
        <v>19360330.420000009</v>
      </c>
      <c r="ABE35" s="297">
        <v>36481506.479999982</v>
      </c>
      <c r="ABF35" s="297">
        <v>53801728.669999979</v>
      </c>
      <c r="ABG35" s="297">
        <v>6921730.5899999933</v>
      </c>
      <c r="ABH35" s="297">
        <v>132949096.55999994</v>
      </c>
      <c r="ABI35" s="297">
        <v>21968099.759999983</v>
      </c>
      <c r="ABJ35" s="297">
        <v>38122286.020000011</v>
      </c>
      <c r="ABK35" s="297">
        <v>15994322.080000004</v>
      </c>
      <c r="ABL35" s="297">
        <v>33175409.639999993</v>
      </c>
      <c r="ABM35" s="297">
        <v>43369660.199999996</v>
      </c>
      <c r="ABN35" s="297">
        <v>35983962.370000012</v>
      </c>
      <c r="ABO35" s="297">
        <v>211485926.45000008</v>
      </c>
      <c r="ABP35" s="297">
        <v>59617416.940000035</v>
      </c>
      <c r="ABQ35" s="297">
        <v>14670512.979999997</v>
      </c>
      <c r="ABR35" s="297">
        <v>70488965.069999963</v>
      </c>
      <c r="ABS35" s="297">
        <v>22762564.519999996</v>
      </c>
      <c r="ABT35" s="297">
        <v>55858413.809999987</v>
      </c>
      <c r="ABU35" s="297">
        <v>19936825.190000001</v>
      </c>
      <c r="ABV35" s="297">
        <v>14629380.82</v>
      </c>
      <c r="ABW35" s="297">
        <v>31298236.580000002</v>
      </c>
      <c r="ABX35" s="297">
        <v>135705176.72000009</v>
      </c>
      <c r="ABY35" s="297">
        <v>65951829.20000001</v>
      </c>
      <c r="ABZ35" s="297">
        <v>58973752.539999962</v>
      </c>
      <c r="ACA35" s="297">
        <v>9718140.0399999972</v>
      </c>
      <c r="ACB35" s="297">
        <v>17988828.630000003</v>
      </c>
      <c r="ACC35" s="297">
        <v>64952336.589999996</v>
      </c>
      <c r="ACD35" s="297">
        <v>24406733.020000011</v>
      </c>
      <c r="ACE35" s="297">
        <v>16588027.719999995</v>
      </c>
      <c r="ACF35" s="297">
        <v>8164560.6800000034</v>
      </c>
      <c r="ACG35" s="297">
        <v>50741981.150000028</v>
      </c>
      <c r="ACH35" s="297">
        <v>20514905.819999997</v>
      </c>
      <c r="ACI35" s="297">
        <v>1126922082.1499999</v>
      </c>
      <c r="ACJ35" s="297">
        <v>7551466.1600000001</v>
      </c>
      <c r="ACK35" s="297">
        <v>2402561.0700000008</v>
      </c>
      <c r="ACL35" s="297">
        <v>7830072.7700000098</v>
      </c>
      <c r="ACM35" s="297">
        <v>4130633.479999993</v>
      </c>
      <c r="ACN35" s="297">
        <v>-1539413.0200000021</v>
      </c>
      <c r="ACO35" s="297">
        <v>31862589.870000001</v>
      </c>
      <c r="ACP35" s="297">
        <v>154373775.06999993</v>
      </c>
      <c r="ACQ35" s="297">
        <v>196625168.15000007</v>
      </c>
      <c r="ACR35" s="297">
        <v>841775.7199999966</v>
      </c>
      <c r="ACS35" s="297">
        <v>46563268.649999984</v>
      </c>
      <c r="ACT35" s="297">
        <v>68254522.040000021</v>
      </c>
      <c r="ACU35" s="297">
        <v>8799712.4000000115</v>
      </c>
      <c r="ACV35" s="297">
        <v>418110670.27000004</v>
      </c>
      <c r="ACW35" s="297">
        <v>3512510.3499999959</v>
      </c>
      <c r="ACX35" s="297">
        <v>30470781.020000022</v>
      </c>
      <c r="ACY35" s="297">
        <v>38415474.450000003</v>
      </c>
      <c r="ACZ35" s="297">
        <v>-2347309.8000000007</v>
      </c>
      <c r="ADA35" s="297">
        <v>883796.5600000018</v>
      </c>
      <c r="ADB35" s="297">
        <v>7062093.0699999966</v>
      </c>
      <c r="ADC35" s="297">
        <v>-283679.06000000448</v>
      </c>
      <c r="ADD35" s="297">
        <v>21227879.66</v>
      </c>
      <c r="ADE35" s="297">
        <v>45195779.079999998</v>
      </c>
      <c r="ADF35" s="297">
        <v>52773710.770000003</v>
      </c>
      <c r="ADG35" s="297">
        <v>43361836.250000015</v>
      </c>
      <c r="ADH35" s="297">
        <v>20859556.879999999</v>
      </c>
      <c r="ADI35" s="297">
        <v>5654697.8399999952</v>
      </c>
      <c r="ADJ35" s="297">
        <v>872880.7799999998</v>
      </c>
      <c r="ADK35" s="297">
        <v>10339404.269999996</v>
      </c>
      <c r="ADL35" s="297">
        <v>25533457.649999999</v>
      </c>
      <c r="ADM35" s="297">
        <v>13123114.899999999</v>
      </c>
      <c r="ADN35" s="297">
        <v>15286248.420000002</v>
      </c>
      <c r="ADO35" s="297">
        <v>142343009.37999982</v>
      </c>
      <c r="ADP35" s="297">
        <v>95018554.290000051</v>
      </c>
      <c r="ADQ35" s="297">
        <v>23890866.06000001</v>
      </c>
      <c r="ADR35" s="297">
        <v>37624072.170000017</v>
      </c>
      <c r="ADS35" s="297">
        <v>123780861.21000004</v>
      </c>
      <c r="ADT35" s="297">
        <v>3570515.4799999995</v>
      </c>
      <c r="ADU35" s="297">
        <v>17613468.719999991</v>
      </c>
      <c r="ADV35" s="297">
        <v>21382762.650000013</v>
      </c>
      <c r="ADW35" s="297">
        <v>3306879.8800000027</v>
      </c>
      <c r="ADX35" s="297">
        <v>14112923.479999997</v>
      </c>
      <c r="ADY35" s="297">
        <v>329724651.38999981</v>
      </c>
      <c r="ADZ35" s="297">
        <v>115705628.71999992</v>
      </c>
      <c r="AEA35" s="297">
        <v>42167230.32000003</v>
      </c>
      <c r="AEB35" s="297">
        <v>19018974.330000002</v>
      </c>
      <c r="AEC35" s="297">
        <v>23931788.980000015</v>
      </c>
      <c r="AED35" s="297">
        <v>39258393.740000054</v>
      </c>
      <c r="AEE35" s="297">
        <v>24064565.729999982</v>
      </c>
      <c r="AEF35" s="297">
        <v>15739793.79999999</v>
      </c>
      <c r="AEG35" s="297">
        <v>2552055.9300000039</v>
      </c>
      <c r="AEH35" s="297">
        <v>48052259.220000006</v>
      </c>
      <c r="AEI35" s="297">
        <v>14867556.260000007</v>
      </c>
      <c r="AEJ35" s="297">
        <v>51237292.679999955</v>
      </c>
      <c r="AEK35" s="297">
        <v>17682949.159999996</v>
      </c>
      <c r="AEL35" s="297">
        <v>7832144.9999999907</v>
      </c>
      <c r="AEM35" s="297">
        <v>20293850.459999979</v>
      </c>
      <c r="AEN35" s="297">
        <v>48658686.109999992</v>
      </c>
      <c r="AEO35" s="297">
        <v>9280342.1700000037</v>
      </c>
      <c r="AEP35" s="297">
        <v>670457</v>
      </c>
      <c r="AEQ35" s="297">
        <v>12683286.229999999</v>
      </c>
      <c r="AER35" s="297">
        <v>32956088.99000001</v>
      </c>
      <c r="AES35" s="297">
        <v>564223702.24999988</v>
      </c>
      <c r="AET35" s="297">
        <v>27131270.259999987</v>
      </c>
      <c r="AEU35" s="297">
        <v>80638076.150000036</v>
      </c>
      <c r="AEV35" s="297">
        <v>8641651.4300000034</v>
      </c>
      <c r="AEW35" s="297">
        <v>5849282.7799999937</v>
      </c>
      <c r="AEX35" s="297">
        <v>40334062.959999971</v>
      </c>
      <c r="AEY35" s="297">
        <v>7749476.6599999759</v>
      </c>
      <c r="AEZ35" s="297">
        <v>8168136.7800000133</v>
      </c>
      <c r="AFA35" s="297">
        <v>-609566.78000000061</v>
      </c>
      <c r="AFB35" s="297">
        <v>6626779.0099999961</v>
      </c>
      <c r="AFC35" s="297">
        <v>273930121.77999979</v>
      </c>
      <c r="AFD35" s="297">
        <v>219178690.48000008</v>
      </c>
      <c r="AFE35" s="297">
        <v>33003388.629999988</v>
      </c>
      <c r="AFF35" s="297">
        <v>22970792.77999999</v>
      </c>
      <c r="AFG35" s="297">
        <v>108862894.45999999</v>
      </c>
      <c r="AFH35" s="297">
        <v>58982615.480000019</v>
      </c>
      <c r="AFI35" s="297">
        <v>8644626.6300000083</v>
      </c>
      <c r="AFJ35" s="297">
        <v>8921430.1499999985</v>
      </c>
      <c r="AFK35" s="297">
        <v>26326639.600000013</v>
      </c>
      <c r="AFL35" s="297">
        <v>5727078.6199999861</v>
      </c>
      <c r="AFM35" s="297">
        <v>13117262.789999999</v>
      </c>
      <c r="AFN35" s="297">
        <v>5864135.3699999889</v>
      </c>
      <c r="AFO35" s="297">
        <v>14639288.42</v>
      </c>
      <c r="AFP35" s="297">
        <v>574928968.88000023</v>
      </c>
      <c r="AFQ35" s="297">
        <v>40520304.670000017</v>
      </c>
      <c r="AFR35" s="297">
        <v>61011211.780000001</v>
      </c>
      <c r="AFS35" s="297">
        <v>13508279.139999995</v>
      </c>
      <c r="AFT35" s="297">
        <v>15990264.370000005</v>
      </c>
      <c r="AFU35" s="297">
        <v>29792957.550000012</v>
      </c>
      <c r="AFV35" s="297">
        <v>20298267.829999998</v>
      </c>
      <c r="AFW35" s="297">
        <v>44695845.509999983</v>
      </c>
      <c r="AFX35" s="297">
        <v>54478815.410000004</v>
      </c>
      <c r="AFY35" s="297">
        <v>12566290.450000005</v>
      </c>
      <c r="AFZ35" s="297">
        <v>61061148.970000029</v>
      </c>
      <c r="AGA35" s="297">
        <v>39235983.179999992</v>
      </c>
      <c r="AGB35" s="297">
        <v>410541003.94999993</v>
      </c>
      <c r="AGC35" s="297">
        <v>70925564.679999962</v>
      </c>
      <c r="AGD35" s="297">
        <v>14485272.229999999</v>
      </c>
      <c r="AGE35" s="297">
        <v>29472502.310000002</v>
      </c>
      <c r="AGF35" s="297">
        <v>99719224.179999992</v>
      </c>
      <c r="AGG35" s="297">
        <v>7799896.3400000092</v>
      </c>
      <c r="AGH35" s="297">
        <v>17240016.019999996</v>
      </c>
      <c r="AGI35" s="297">
        <v>13682799.85</v>
      </c>
      <c r="AGJ35" s="297">
        <v>9587384.3999999929</v>
      </c>
      <c r="AGK35" s="297">
        <v>11269398.860000009</v>
      </c>
      <c r="AGL35" s="297">
        <v>5851652.3300000019</v>
      </c>
      <c r="AGM35" s="297">
        <v>900365661.01999974</v>
      </c>
      <c r="AGN35" s="297">
        <v>126668269.77999997</v>
      </c>
      <c r="AGO35" s="297">
        <v>119485406.45000002</v>
      </c>
      <c r="AGP35" s="297">
        <v>21415300.300000001</v>
      </c>
      <c r="AGQ35" s="297">
        <v>66430065.889999993</v>
      </c>
      <c r="AGR35" s="297">
        <v>94185854.159999996</v>
      </c>
      <c r="AGS35" s="297">
        <v>183952.37000000011</v>
      </c>
      <c r="AGT35" s="297">
        <v>40113829.020000003</v>
      </c>
      <c r="AGU35" s="297">
        <v>547961176.76999974</v>
      </c>
      <c r="AGV35" s="297">
        <v>444677381.90000063</v>
      </c>
      <c r="AGW35" s="297">
        <v>5530925.4800000004</v>
      </c>
      <c r="AGX35" s="297">
        <v>152116698.13000003</v>
      </c>
      <c r="AGY35" s="297">
        <v>130531615.55999999</v>
      </c>
      <c r="AGZ35" s="297">
        <v>87325221.029999986</v>
      </c>
      <c r="AHA35" s="297">
        <v>34463826.820000008</v>
      </c>
      <c r="AHB35" s="297">
        <v>29168144.060000017</v>
      </c>
      <c r="AHC35" s="297">
        <v>10911750.769999998</v>
      </c>
      <c r="AHD35" s="297">
        <v>31729483.800000004</v>
      </c>
      <c r="AHE35" s="297">
        <v>70393701.510000005</v>
      </c>
      <c r="AHF35" s="297">
        <v>93566259.849999979</v>
      </c>
      <c r="AHG35" s="297">
        <v>4752040.92</v>
      </c>
      <c r="AHH35" s="297">
        <v>27376988.960000005</v>
      </c>
      <c r="AHI35" s="297">
        <v>37212080.189999998</v>
      </c>
      <c r="AHJ35" s="297">
        <v>103293006.43999998</v>
      </c>
      <c r="AHK35" s="297">
        <v>7012477.9099999992</v>
      </c>
      <c r="AHL35" s="297">
        <v>91805307.800000012</v>
      </c>
      <c r="AHM35" s="297">
        <v>24072997.789999995</v>
      </c>
      <c r="AHN35" s="297">
        <v>18828235.77999999</v>
      </c>
      <c r="AHO35" s="297">
        <v>1072063.219999999</v>
      </c>
      <c r="AHP35" s="297">
        <v>21411363.499999996</v>
      </c>
      <c r="AHQ35" s="330">
        <v>15060360.660000006</v>
      </c>
      <c r="AHR35" s="331">
        <v>2573879.640000008</v>
      </c>
      <c r="AHS35" s="330">
        <f>SUM(D35:AHR35)</f>
        <v>83496741714.559418</v>
      </c>
      <c r="AHT35" s="269" t="b">
        <f t="shared" si="1"/>
        <v>1</v>
      </c>
      <c r="AHU35" s="269" t="s">
        <v>43</v>
      </c>
    </row>
    <row r="36" spans="1:905" s="273" customFormat="1" ht="24.6" x14ac:dyDescent="0.7">
      <c r="A36" s="272"/>
      <c r="B36" s="272" t="s">
        <v>44</v>
      </c>
      <c r="C36" s="269" t="s">
        <v>6319</v>
      </c>
      <c r="D36" s="297">
        <v>726929966.90999997</v>
      </c>
      <c r="E36" s="297">
        <v>24331484.620000001</v>
      </c>
      <c r="F36" s="297">
        <v>35744936.840000004</v>
      </c>
      <c r="G36" s="297">
        <v>5475209.25</v>
      </c>
      <c r="H36" s="297">
        <v>39070984.009999998</v>
      </c>
      <c r="I36" s="297">
        <v>7904950.1200000001</v>
      </c>
      <c r="J36" s="297">
        <v>366952313.79000002</v>
      </c>
      <c r="K36" s="297">
        <v>80085986.320000008</v>
      </c>
      <c r="L36" s="297">
        <v>16804037.210000001</v>
      </c>
      <c r="M36" s="297">
        <v>10177354.530000001</v>
      </c>
      <c r="N36" s="297">
        <v>7644940.9500000002</v>
      </c>
      <c r="O36" s="297">
        <v>7540552.3899999997</v>
      </c>
      <c r="P36" s="297">
        <v>117454622.70999999</v>
      </c>
      <c r="Q36" s="297">
        <v>9028928.8000000007</v>
      </c>
      <c r="R36" s="297">
        <v>4346830.5</v>
      </c>
      <c r="S36" s="297">
        <v>25881757.32</v>
      </c>
      <c r="T36" s="297">
        <v>30012445.93</v>
      </c>
      <c r="U36" s="297">
        <v>3254233.7499999995</v>
      </c>
      <c r="V36" s="297">
        <v>890690163.92999995</v>
      </c>
      <c r="W36" s="297">
        <v>56923022.989999995</v>
      </c>
      <c r="X36" s="297">
        <v>28621583.339999996</v>
      </c>
      <c r="Y36" s="297">
        <v>108420385.34999999</v>
      </c>
      <c r="Z36" s="297">
        <v>21917360.529999994</v>
      </c>
      <c r="AA36" s="297">
        <v>30766846.66</v>
      </c>
      <c r="AB36" s="297">
        <v>20584435.949999999</v>
      </c>
      <c r="AC36" s="297">
        <v>51724824.709999993</v>
      </c>
      <c r="AD36" s="297">
        <v>42055462.250000007</v>
      </c>
      <c r="AE36" s="297">
        <v>14194024.549999999</v>
      </c>
      <c r="AF36" s="297">
        <v>42946391.069999993</v>
      </c>
      <c r="AG36" s="297">
        <v>33887738.229999997</v>
      </c>
      <c r="AH36" s="297">
        <v>98255783.820000008</v>
      </c>
      <c r="AI36" s="297">
        <v>23691247.420000002</v>
      </c>
      <c r="AJ36" s="297">
        <v>18491577.91</v>
      </c>
      <c r="AK36" s="297">
        <v>14906518.109999999</v>
      </c>
      <c r="AL36" s="297">
        <v>70046471.299999997</v>
      </c>
      <c r="AM36" s="297">
        <v>15176308.74</v>
      </c>
      <c r="AN36" s="297">
        <v>76900359.590000004</v>
      </c>
      <c r="AO36" s="297">
        <v>25145556.989999998</v>
      </c>
      <c r="AP36" s="297">
        <v>7184427.5900000008</v>
      </c>
      <c r="AQ36" s="297">
        <v>9677308.0399999991</v>
      </c>
      <c r="AR36" s="297">
        <v>27100079.440000001</v>
      </c>
      <c r="AS36" s="297">
        <v>7967993.79</v>
      </c>
      <c r="AT36" s="297">
        <v>125147701.75999999</v>
      </c>
      <c r="AU36" s="297">
        <v>8457981.7300000004</v>
      </c>
      <c r="AV36" s="297">
        <v>12378674.310000001</v>
      </c>
      <c r="AW36" s="297">
        <v>11823923.559999999</v>
      </c>
      <c r="AX36" s="297">
        <v>10145625.740000002</v>
      </c>
      <c r="AY36" s="297">
        <v>15390520.890000001</v>
      </c>
      <c r="AZ36" s="297">
        <v>14432597.23</v>
      </c>
      <c r="BA36" s="297">
        <v>6802786.54</v>
      </c>
      <c r="BB36" s="297">
        <v>10023690.68</v>
      </c>
      <c r="BC36" s="297">
        <v>9253350.9199999999</v>
      </c>
      <c r="BD36" s="297">
        <v>13007890.130000001</v>
      </c>
      <c r="BE36" s="297">
        <v>6791728.9799999986</v>
      </c>
      <c r="BF36" s="297">
        <v>16970371.289999999</v>
      </c>
      <c r="BG36" s="297">
        <v>7006008.1699999999</v>
      </c>
      <c r="BH36" s="297">
        <v>30119765.059999999</v>
      </c>
      <c r="BI36" s="297">
        <v>240944575.16</v>
      </c>
      <c r="BJ36" s="297">
        <v>97396852.359999999</v>
      </c>
      <c r="BK36" s="297">
        <v>20730463.059999999</v>
      </c>
      <c r="BL36" s="297">
        <v>8814172.1899999995</v>
      </c>
      <c r="BM36" s="297">
        <v>14167546.840000002</v>
      </c>
      <c r="BN36" s="297">
        <v>13136206.59</v>
      </c>
      <c r="BO36" s="297">
        <v>7011489.8399999989</v>
      </c>
      <c r="BP36" s="297">
        <v>8830625.9800000004</v>
      </c>
      <c r="BQ36" s="297">
        <v>8266143.5999999996</v>
      </c>
      <c r="BR36" s="297">
        <v>243398702.66</v>
      </c>
      <c r="BS36" s="297">
        <v>10680106.559999999</v>
      </c>
      <c r="BT36" s="297">
        <v>7071398.5100000007</v>
      </c>
      <c r="BU36" s="297">
        <v>13821818.460000001</v>
      </c>
      <c r="BV36" s="297">
        <v>8264864.8999999994</v>
      </c>
      <c r="BW36" s="297">
        <v>4430994.59</v>
      </c>
      <c r="BX36" s="297">
        <v>5741748.6600000001</v>
      </c>
      <c r="BY36" s="297">
        <v>7329479.8800000008</v>
      </c>
      <c r="BZ36" s="297">
        <v>100099665.35999998</v>
      </c>
      <c r="CA36" s="297">
        <v>5539463.4000000004</v>
      </c>
      <c r="CB36" s="297">
        <v>6375984.2199999997</v>
      </c>
      <c r="CC36" s="297">
        <v>10651960.080000002</v>
      </c>
      <c r="CD36" s="297">
        <v>5333743.4800000004</v>
      </c>
      <c r="CE36" s="297">
        <v>9122984.8900000006</v>
      </c>
      <c r="CF36" s="297">
        <v>5969271.3300000001</v>
      </c>
      <c r="CG36" s="297">
        <v>1523751770.6299999</v>
      </c>
      <c r="CH36" s="297">
        <v>19464956.790000003</v>
      </c>
      <c r="CI36" s="297">
        <v>53687452.109999999</v>
      </c>
      <c r="CJ36" s="297">
        <v>12724475.210000001</v>
      </c>
      <c r="CK36" s="297">
        <v>33012379.740000002</v>
      </c>
      <c r="CL36" s="297">
        <v>13915791.369999999</v>
      </c>
      <c r="CM36" s="297">
        <v>19302974.879999999</v>
      </c>
      <c r="CN36" s="297">
        <v>34736763.349999994</v>
      </c>
      <c r="CO36" s="297">
        <v>13808153.669999998</v>
      </c>
      <c r="CP36" s="297">
        <v>14057146.780000001</v>
      </c>
      <c r="CQ36" s="297">
        <v>11103208.030000001</v>
      </c>
      <c r="CR36" s="297">
        <v>16651295.099999998</v>
      </c>
      <c r="CS36" s="297">
        <v>17472025.700000003</v>
      </c>
      <c r="CT36" s="297">
        <v>279056924.42000002</v>
      </c>
      <c r="CU36" s="297">
        <v>27706441.359999999</v>
      </c>
      <c r="CV36" s="297">
        <v>26853365.080000002</v>
      </c>
      <c r="CW36" s="297">
        <v>17796311.440000001</v>
      </c>
      <c r="CX36" s="297">
        <v>20050188.359999999</v>
      </c>
      <c r="CY36" s="297">
        <v>16345054.85</v>
      </c>
      <c r="CZ36" s="297">
        <v>8748464.1999999993</v>
      </c>
      <c r="DA36" s="297">
        <v>14685314.66</v>
      </c>
      <c r="DB36" s="297">
        <v>158112817.13</v>
      </c>
      <c r="DC36" s="297">
        <v>343988170.79999995</v>
      </c>
      <c r="DD36" s="297">
        <v>8378034.1800000006</v>
      </c>
      <c r="DE36" s="297">
        <v>17850295.77</v>
      </c>
      <c r="DF36" s="297">
        <v>21070881.210000001</v>
      </c>
      <c r="DG36" s="297">
        <v>32634555.600000001</v>
      </c>
      <c r="DH36" s="297">
        <v>23396835.32</v>
      </c>
      <c r="DI36" s="297">
        <v>6808060.9399999995</v>
      </c>
      <c r="DJ36" s="297">
        <v>32826953.789999999</v>
      </c>
      <c r="DK36" s="297">
        <v>1158824888.24</v>
      </c>
      <c r="DL36" s="297">
        <v>16264483.079999998</v>
      </c>
      <c r="DM36" s="297">
        <v>24376848.619999997</v>
      </c>
      <c r="DN36" s="297">
        <v>50719414.629999995</v>
      </c>
      <c r="DO36" s="297">
        <v>14108023.3599</v>
      </c>
      <c r="DP36" s="297">
        <v>13000511.529999997</v>
      </c>
      <c r="DQ36" s="297">
        <v>53964677.490000002</v>
      </c>
      <c r="DR36" s="297">
        <v>40017418.219999999</v>
      </c>
      <c r="DS36" s="297">
        <v>66736115.900000006</v>
      </c>
      <c r="DT36" s="297">
        <v>273086197.96999997</v>
      </c>
      <c r="DU36" s="297">
        <v>12040891.039999999</v>
      </c>
      <c r="DV36" s="297">
        <v>39913925.659999996</v>
      </c>
      <c r="DW36" s="297">
        <v>57262968.299999997</v>
      </c>
      <c r="DX36" s="297">
        <v>30046558.039999999</v>
      </c>
      <c r="DY36" s="297">
        <v>7761874.9299999997</v>
      </c>
      <c r="DZ36" s="297">
        <v>23276279.979999997</v>
      </c>
      <c r="EA36" s="297">
        <v>19237228.460000001</v>
      </c>
      <c r="EB36" s="297">
        <v>13136062.969999999</v>
      </c>
      <c r="EC36" s="297">
        <v>19040376.310000002</v>
      </c>
      <c r="ED36" s="297">
        <v>17920914.899999995</v>
      </c>
      <c r="EE36" s="297">
        <v>222018432.70999998</v>
      </c>
      <c r="EF36" s="297">
        <v>178921832.37999997</v>
      </c>
      <c r="EG36" s="297">
        <v>31704427.550000001</v>
      </c>
      <c r="EH36" s="297">
        <v>15637336.24</v>
      </c>
      <c r="EI36" s="297">
        <v>33754327.939999998</v>
      </c>
      <c r="EJ36" s="297">
        <v>26190444.59</v>
      </c>
      <c r="EK36" s="297">
        <v>28121829.25</v>
      </c>
      <c r="EL36" s="297">
        <v>15261368.540000001</v>
      </c>
      <c r="EM36" s="297">
        <v>30721976.469999999</v>
      </c>
      <c r="EN36" s="297">
        <v>202705438.28</v>
      </c>
      <c r="EO36" s="297">
        <v>6823261.5</v>
      </c>
      <c r="EP36" s="297">
        <v>9091662.0800000001</v>
      </c>
      <c r="EQ36" s="297">
        <v>6861624.2799999993</v>
      </c>
      <c r="ER36" s="297">
        <v>7344818.3900000006</v>
      </c>
      <c r="ES36" s="297">
        <v>13507538.299999999</v>
      </c>
      <c r="ET36" s="297">
        <v>17382144.780000001</v>
      </c>
      <c r="EU36" s="297">
        <v>21759751.68</v>
      </c>
      <c r="EV36" s="297">
        <v>11838048.149999999</v>
      </c>
      <c r="EW36" s="297">
        <v>153203828.85999998</v>
      </c>
      <c r="EX36" s="297">
        <v>32991642.129999999</v>
      </c>
      <c r="EY36" s="297">
        <v>29586401.350000001</v>
      </c>
      <c r="EZ36" s="297">
        <v>14336003.679999998</v>
      </c>
      <c r="FA36" s="297">
        <v>26235482.73</v>
      </c>
      <c r="FB36" s="297">
        <v>30903517.120000001</v>
      </c>
      <c r="FC36" s="297">
        <v>43650818</v>
      </c>
      <c r="FD36" s="297">
        <v>21465849.66</v>
      </c>
      <c r="FE36" s="297">
        <v>27084806.91</v>
      </c>
      <c r="FF36" s="297">
        <v>39595605.560000002</v>
      </c>
      <c r="FG36" s="297">
        <v>16817537.109999999</v>
      </c>
      <c r="FH36" s="297">
        <v>11100467.030000001</v>
      </c>
      <c r="FI36" s="297">
        <v>154993694.54999998</v>
      </c>
      <c r="FJ36" s="297">
        <v>17124869.379999999</v>
      </c>
      <c r="FK36" s="297">
        <v>16502578.699999999</v>
      </c>
      <c r="FL36" s="297">
        <v>19062318.16</v>
      </c>
      <c r="FM36" s="297">
        <v>28655383.579999998</v>
      </c>
      <c r="FN36" s="297">
        <v>34017457.859999999</v>
      </c>
      <c r="FO36" s="297">
        <v>10203293.300000001</v>
      </c>
      <c r="FP36" s="297">
        <v>14717236.83</v>
      </c>
      <c r="FQ36" s="297">
        <v>1003568538.2799999</v>
      </c>
      <c r="FR36" s="297">
        <v>18716041.270000003</v>
      </c>
      <c r="FS36" s="297">
        <v>36888454.380000003</v>
      </c>
      <c r="FT36" s="297">
        <v>22481178.75</v>
      </c>
      <c r="FU36" s="297">
        <v>42538683.719999999</v>
      </c>
      <c r="FV36" s="297">
        <v>11937070.689999999</v>
      </c>
      <c r="FW36" s="297">
        <v>37084282.480000004</v>
      </c>
      <c r="FX36" s="297">
        <v>22245598.550000004</v>
      </c>
      <c r="FY36" s="297">
        <v>39979162.630000003</v>
      </c>
      <c r="FZ36" s="297">
        <v>39710508.57</v>
      </c>
      <c r="GA36" s="297">
        <v>56001528.559999995</v>
      </c>
      <c r="GB36" s="297">
        <v>11863899.640000001</v>
      </c>
      <c r="GC36" s="297">
        <v>31295734.839999996</v>
      </c>
      <c r="GD36" s="297">
        <v>38138894.299999997</v>
      </c>
      <c r="GE36" s="297">
        <v>248573182.47</v>
      </c>
      <c r="GF36" s="297">
        <v>12648113.459999999</v>
      </c>
      <c r="GG36" s="297">
        <v>26067344.620000001</v>
      </c>
      <c r="GH36" s="297">
        <v>45197404.200000003</v>
      </c>
      <c r="GI36" s="297">
        <v>20693685.349999998</v>
      </c>
      <c r="GJ36" s="297">
        <v>16955984.300000001</v>
      </c>
      <c r="GK36" s="297">
        <v>13390075.270000001</v>
      </c>
      <c r="GL36" s="297">
        <v>44494094.139999993</v>
      </c>
      <c r="GM36" s="297">
        <v>11761680.149999999</v>
      </c>
      <c r="GN36" s="297">
        <v>13686070.020000001</v>
      </c>
      <c r="GO36" s="297">
        <v>7012454.25</v>
      </c>
      <c r="GP36" s="297">
        <v>8794234.0399999991</v>
      </c>
      <c r="GQ36" s="297">
        <v>265264542.07999998</v>
      </c>
      <c r="GR36" s="297">
        <v>71512594.010000005</v>
      </c>
      <c r="GS36" s="297">
        <v>17084745.18</v>
      </c>
      <c r="GT36" s="297">
        <v>21775011.150000002</v>
      </c>
      <c r="GU36" s="297">
        <v>4097216.9899999998</v>
      </c>
      <c r="GV36" s="297">
        <v>26838908.400000002</v>
      </c>
      <c r="GW36" s="297">
        <v>22362500.510000002</v>
      </c>
      <c r="GX36" s="297">
        <v>14879196.93</v>
      </c>
      <c r="GY36" s="297">
        <v>121765460.79000001</v>
      </c>
      <c r="GZ36" s="297">
        <v>7244086.7600000007</v>
      </c>
      <c r="HA36" s="297">
        <v>22940686.280000001</v>
      </c>
      <c r="HB36" s="297">
        <v>9656769.2199999988</v>
      </c>
      <c r="HC36" s="297">
        <v>458613332.21999985</v>
      </c>
      <c r="HD36" s="297">
        <v>215859147.80000007</v>
      </c>
      <c r="HE36" s="297">
        <v>54624514.359999992</v>
      </c>
      <c r="HF36" s="297">
        <v>96898968.86999999</v>
      </c>
      <c r="HG36" s="297">
        <v>72392238.799999997</v>
      </c>
      <c r="HH36" s="297">
        <v>132090973.31</v>
      </c>
      <c r="HI36" s="297">
        <v>35483060.32</v>
      </c>
      <c r="HJ36" s="297">
        <v>601052064.04999995</v>
      </c>
      <c r="HK36" s="297">
        <v>54090675.130000003</v>
      </c>
      <c r="HL36" s="297">
        <v>87776972.510000005</v>
      </c>
      <c r="HM36" s="297">
        <v>93073632.739999995</v>
      </c>
      <c r="HN36" s="297">
        <v>22106326.890000001</v>
      </c>
      <c r="HO36" s="297">
        <v>57022104.139999986</v>
      </c>
      <c r="HP36" s="297">
        <v>59392214.050000004</v>
      </c>
      <c r="HQ36" s="297">
        <v>33225824.239999998</v>
      </c>
      <c r="HR36" s="297">
        <v>247422619.44909999</v>
      </c>
      <c r="HS36" s="297">
        <v>96277120.920000002</v>
      </c>
      <c r="HT36" s="297">
        <v>23775100.369999997</v>
      </c>
      <c r="HU36" s="297">
        <v>31133236.859999999</v>
      </c>
      <c r="HV36" s="297">
        <v>24547329.160000004</v>
      </c>
      <c r="HW36" s="297">
        <v>16082696.420000004</v>
      </c>
      <c r="HX36" s="297">
        <v>81369702.879999995</v>
      </c>
      <c r="HY36" s="297">
        <v>15312878.380000001</v>
      </c>
      <c r="HZ36" s="297">
        <v>28335132.379999995</v>
      </c>
      <c r="IA36" s="297">
        <v>18929200.740000002</v>
      </c>
      <c r="IB36" s="297">
        <v>27517513.540000003</v>
      </c>
      <c r="IC36" s="297">
        <v>63882236</v>
      </c>
      <c r="ID36" s="297">
        <v>6205909.129999999</v>
      </c>
      <c r="IE36" s="297">
        <v>71504790.170000017</v>
      </c>
      <c r="IF36" s="297">
        <v>5293074.41</v>
      </c>
      <c r="IG36" s="297">
        <v>6869207.7599999998</v>
      </c>
      <c r="IH36" s="297">
        <v>215582727.20999998</v>
      </c>
      <c r="II36" s="297">
        <v>94763345.36999999</v>
      </c>
      <c r="IJ36" s="297">
        <v>34893769.350000001</v>
      </c>
      <c r="IK36" s="297">
        <v>69624960.050000012</v>
      </c>
      <c r="IL36" s="297">
        <v>41971612.039999992</v>
      </c>
      <c r="IM36" s="297">
        <v>41677868.750000015</v>
      </c>
      <c r="IN36" s="297">
        <v>13433476.16</v>
      </c>
      <c r="IO36" s="297">
        <v>7011207.6100000003</v>
      </c>
      <c r="IP36" s="297">
        <v>16707632.83</v>
      </c>
      <c r="IQ36" s="297">
        <v>15411534.609999999</v>
      </c>
      <c r="IR36" s="297">
        <v>64619007.750000007</v>
      </c>
      <c r="IS36" s="297">
        <v>244788042.32999998</v>
      </c>
      <c r="IT36" s="297">
        <v>162693917.68000001</v>
      </c>
      <c r="IU36" s="297">
        <v>19350123.030000001</v>
      </c>
      <c r="IV36" s="297">
        <v>29648539.020000007</v>
      </c>
      <c r="IW36" s="297">
        <v>58664390.080000006</v>
      </c>
      <c r="IX36" s="297">
        <v>25994836.57</v>
      </c>
      <c r="IY36" s="297">
        <v>18162610.370000001</v>
      </c>
      <c r="IZ36" s="297">
        <v>14098128.349999998</v>
      </c>
      <c r="JA36" s="297">
        <v>8813848.0500000026</v>
      </c>
      <c r="JB36" s="297">
        <v>26179577</v>
      </c>
      <c r="JC36" s="297">
        <v>38533344.670000002</v>
      </c>
      <c r="JD36" s="297">
        <v>7199866.459999999</v>
      </c>
      <c r="JE36" s="297">
        <v>74795218.449999988</v>
      </c>
      <c r="JF36" s="297">
        <v>47498837.63000001</v>
      </c>
      <c r="JG36" s="297">
        <v>23168667.869999997</v>
      </c>
      <c r="JH36" s="297">
        <v>13843847.67</v>
      </c>
      <c r="JI36" s="297">
        <v>10841304.390000001</v>
      </c>
      <c r="JJ36" s="297">
        <v>10456148.040000001</v>
      </c>
      <c r="JK36" s="297">
        <v>200160687.69</v>
      </c>
      <c r="JL36" s="297">
        <v>9131501.7300000004</v>
      </c>
      <c r="JM36" s="297">
        <v>22970321.5</v>
      </c>
      <c r="JN36" s="297">
        <v>98302763.370000005</v>
      </c>
      <c r="JO36" s="297">
        <v>20705613.400000002</v>
      </c>
      <c r="JP36" s="297">
        <v>17675062.43</v>
      </c>
      <c r="JQ36" s="297">
        <v>11128851.560000001</v>
      </c>
      <c r="JR36" s="297">
        <v>398863491.96999997</v>
      </c>
      <c r="JS36" s="297">
        <v>111811311.40000001</v>
      </c>
      <c r="JT36" s="297">
        <v>41564945.390000008</v>
      </c>
      <c r="JU36" s="297">
        <v>8830370.0700000003</v>
      </c>
      <c r="JV36" s="297">
        <v>24893369.18</v>
      </c>
      <c r="JW36" s="297">
        <v>8526071.25</v>
      </c>
      <c r="JX36" s="297">
        <v>47771519.369999997</v>
      </c>
      <c r="JY36" s="297">
        <v>49729708.989999995</v>
      </c>
      <c r="JZ36" s="297">
        <v>39870521.99000001</v>
      </c>
      <c r="KA36" s="297">
        <v>12252348.08</v>
      </c>
      <c r="KB36" s="297">
        <v>38681252.079999998</v>
      </c>
      <c r="KC36" s="297">
        <v>23382883.209999997</v>
      </c>
      <c r="KD36" s="297">
        <v>10724342.91</v>
      </c>
      <c r="KE36" s="297">
        <v>13551203.920000002</v>
      </c>
      <c r="KF36" s="297">
        <v>16723852.66</v>
      </c>
      <c r="KG36" s="297">
        <v>15253917.730000002</v>
      </c>
      <c r="KH36" s="297">
        <v>968689813.07000005</v>
      </c>
      <c r="KI36" s="297">
        <v>45524455.269999996</v>
      </c>
      <c r="KJ36" s="297">
        <v>55228607.260000005</v>
      </c>
      <c r="KK36" s="297">
        <v>17722453.709999997</v>
      </c>
      <c r="KL36" s="297">
        <v>73840751.179999992</v>
      </c>
      <c r="KM36" s="297">
        <v>95787982.309999987</v>
      </c>
      <c r="KN36" s="297">
        <v>76408778.780000001</v>
      </c>
      <c r="KO36" s="297">
        <v>36267387.409999996</v>
      </c>
      <c r="KP36" s="297">
        <v>29259387.039999999</v>
      </c>
      <c r="KQ36" s="297">
        <v>161600112.50999996</v>
      </c>
      <c r="KR36" s="297">
        <v>23030293.809999999</v>
      </c>
      <c r="KS36" s="297">
        <v>33421491.349999998</v>
      </c>
      <c r="KT36" s="297">
        <v>54995324.099999994</v>
      </c>
      <c r="KU36" s="297">
        <v>23430476.050000001</v>
      </c>
      <c r="KV36" s="297">
        <v>28854151.419999998</v>
      </c>
      <c r="KW36" s="297">
        <v>237344904.93000001</v>
      </c>
      <c r="KX36" s="297">
        <v>109534775.48</v>
      </c>
      <c r="KY36" s="297">
        <v>516844603.09000003</v>
      </c>
      <c r="KZ36" s="297">
        <v>69138530.929999992</v>
      </c>
      <c r="LA36" s="297">
        <v>17567743.500000004</v>
      </c>
      <c r="LB36" s="297">
        <v>51938940.43999999</v>
      </c>
      <c r="LC36" s="297">
        <v>37815731.840000004</v>
      </c>
      <c r="LD36" s="297">
        <v>20295659.670000006</v>
      </c>
      <c r="LE36" s="297">
        <v>19771502.669999994</v>
      </c>
      <c r="LF36" s="297">
        <v>41734172.339999989</v>
      </c>
      <c r="LG36" s="297">
        <v>430202422.25999993</v>
      </c>
      <c r="LH36" s="297">
        <v>99951755.00999999</v>
      </c>
      <c r="LI36" s="297">
        <v>161026904.24000001</v>
      </c>
      <c r="LJ36" s="297">
        <v>138326455.52999997</v>
      </c>
      <c r="LK36" s="297">
        <v>27867948.140000001</v>
      </c>
      <c r="LL36" s="297">
        <v>14440215.16</v>
      </c>
      <c r="LM36" s="297">
        <v>3701161.24</v>
      </c>
      <c r="LN36" s="297">
        <v>40063390.889999993</v>
      </c>
      <c r="LO36" s="297">
        <v>4508336.29</v>
      </c>
      <c r="LP36" s="297">
        <v>21984704.100000001</v>
      </c>
      <c r="LQ36" s="297">
        <v>9570038.0800000019</v>
      </c>
      <c r="LR36" s="297">
        <v>85226454.329999998</v>
      </c>
      <c r="LS36" s="297">
        <v>26828497.599999998</v>
      </c>
      <c r="LT36" s="297">
        <v>27419142.129999999</v>
      </c>
      <c r="LU36" s="297">
        <v>1078341291.1200001</v>
      </c>
      <c r="LV36" s="297">
        <v>361240231.42000002</v>
      </c>
      <c r="LW36" s="297">
        <v>561264844.77999997</v>
      </c>
      <c r="LX36" s="297">
        <v>107776489.35000001</v>
      </c>
      <c r="LY36" s="297">
        <v>31228778.550000001</v>
      </c>
      <c r="LZ36" s="297">
        <v>63601091.68</v>
      </c>
      <c r="MA36" s="297">
        <v>68560171.50999999</v>
      </c>
      <c r="MB36" s="297">
        <v>54628514.760000005</v>
      </c>
      <c r="MC36" s="297">
        <v>73091066.429999977</v>
      </c>
      <c r="MD36" s="297">
        <v>120255028.19</v>
      </c>
      <c r="ME36" s="297">
        <v>58663315.120000012</v>
      </c>
      <c r="MF36" s="297">
        <v>44771992.06000001</v>
      </c>
      <c r="MG36" s="297">
        <v>343785791.95999998</v>
      </c>
      <c r="MH36" s="297">
        <v>35960009.780000001</v>
      </c>
      <c r="MI36" s="297">
        <v>42599093.570000008</v>
      </c>
      <c r="MJ36" s="297">
        <v>25515589.52</v>
      </c>
      <c r="MK36" s="297">
        <v>36181963.330000006</v>
      </c>
      <c r="ML36" s="297">
        <v>28345542.190000001</v>
      </c>
      <c r="MM36" s="297">
        <v>12848485.99</v>
      </c>
      <c r="MN36" s="297">
        <v>23762324.099999998</v>
      </c>
      <c r="MO36" s="297">
        <v>34945845.939999998</v>
      </c>
      <c r="MP36" s="297">
        <v>32215382.060000002</v>
      </c>
      <c r="MQ36" s="297">
        <v>20528358.109999999</v>
      </c>
      <c r="MR36" s="297">
        <v>38222501.090000004</v>
      </c>
      <c r="MS36" s="297">
        <v>556815781.36000001</v>
      </c>
      <c r="MT36" s="297">
        <v>32108568.809999999</v>
      </c>
      <c r="MU36" s="297">
        <v>81240797.019999996</v>
      </c>
      <c r="MV36" s="297">
        <v>26470990.77</v>
      </c>
      <c r="MW36" s="297">
        <v>73882852.939999998</v>
      </c>
      <c r="MX36" s="297">
        <v>39632156.790000007</v>
      </c>
      <c r="MY36" s="297">
        <v>126068630.89110003</v>
      </c>
      <c r="MZ36" s="297">
        <v>30812699.309999999</v>
      </c>
      <c r="NA36" s="297">
        <v>25485145.84</v>
      </c>
      <c r="NB36" s="297">
        <v>7994656.1200000001</v>
      </c>
      <c r="NC36" s="297">
        <v>35216959.780000009</v>
      </c>
      <c r="ND36" s="297">
        <v>1478628609.5700002</v>
      </c>
      <c r="NE36" s="297">
        <v>254510482.08000001</v>
      </c>
      <c r="NF36" s="297">
        <v>37237301.879999995</v>
      </c>
      <c r="NG36" s="297">
        <v>539557175.88</v>
      </c>
      <c r="NH36" s="297">
        <v>27907815.569999997</v>
      </c>
      <c r="NI36" s="297">
        <v>88978903.420000002</v>
      </c>
      <c r="NJ36" s="297">
        <v>337950110.02999997</v>
      </c>
      <c r="NK36" s="297">
        <v>243729321.78999999</v>
      </c>
      <c r="NL36" s="297">
        <v>30874416.820000004</v>
      </c>
      <c r="NM36" s="297">
        <v>187084036.74999997</v>
      </c>
      <c r="NN36" s="297">
        <v>92010464.169999987</v>
      </c>
      <c r="NO36" s="297">
        <v>55841572.080000006</v>
      </c>
      <c r="NP36" s="297">
        <v>197118706.24999997</v>
      </c>
      <c r="NQ36" s="297">
        <v>18213289.91</v>
      </c>
      <c r="NR36" s="297">
        <v>16225595.01</v>
      </c>
      <c r="NS36" s="297">
        <v>21803437.41</v>
      </c>
      <c r="NT36" s="297">
        <v>22906501.43</v>
      </c>
      <c r="NU36" s="297">
        <v>9600780.2399999984</v>
      </c>
      <c r="NV36" s="297">
        <v>14603976.91</v>
      </c>
      <c r="NW36" s="297">
        <v>484264024.10000002</v>
      </c>
      <c r="NX36" s="297">
        <v>152089831.32999998</v>
      </c>
      <c r="NY36" s="297">
        <v>26481357.389999997</v>
      </c>
      <c r="NZ36" s="297">
        <v>9658644.4100000001</v>
      </c>
      <c r="OA36" s="297">
        <v>24006125.48</v>
      </c>
      <c r="OB36" s="297">
        <v>21755841.559999999</v>
      </c>
      <c r="OC36" s="297">
        <v>9641721.5299999993</v>
      </c>
      <c r="OD36" s="297">
        <v>886287315.33000004</v>
      </c>
      <c r="OE36" s="297">
        <v>38923829.309999995</v>
      </c>
      <c r="OF36" s="297">
        <v>44242649.039999999</v>
      </c>
      <c r="OG36" s="297">
        <v>53279234.869999997</v>
      </c>
      <c r="OH36" s="297">
        <v>13448196.539999999</v>
      </c>
      <c r="OI36" s="297">
        <v>85716498.390000001</v>
      </c>
      <c r="OJ36" s="297">
        <v>53993208.319999993</v>
      </c>
      <c r="OK36" s="297">
        <v>11547372.58</v>
      </c>
      <c r="OL36" s="297">
        <v>121004044.81000002</v>
      </c>
      <c r="OM36" s="297">
        <v>430451866.36000007</v>
      </c>
      <c r="ON36" s="297">
        <v>141127522.16000003</v>
      </c>
      <c r="OO36" s="297">
        <v>822093204.24000001</v>
      </c>
      <c r="OP36" s="297">
        <v>60910843.800000004</v>
      </c>
      <c r="OQ36" s="297">
        <v>40673880.909999996</v>
      </c>
      <c r="OR36" s="297">
        <v>119827150.11999999</v>
      </c>
      <c r="OS36" s="297">
        <v>483989937.61000001</v>
      </c>
      <c r="OT36" s="297">
        <v>29616019.390000001</v>
      </c>
      <c r="OU36" s="297">
        <v>77252664.860000014</v>
      </c>
      <c r="OV36" s="297">
        <v>41941390.010000005</v>
      </c>
      <c r="OW36" s="297">
        <v>54626785.070000015</v>
      </c>
      <c r="OX36" s="297">
        <v>119369643.69999997</v>
      </c>
      <c r="OY36" s="297">
        <v>37629545.520000003</v>
      </c>
      <c r="OZ36" s="297">
        <v>40055127.750000007</v>
      </c>
      <c r="PA36" s="297">
        <v>35418356.829999998</v>
      </c>
      <c r="PB36" s="297">
        <v>258480061.47999996</v>
      </c>
      <c r="PC36" s="297">
        <v>15491449.640000001</v>
      </c>
      <c r="PD36" s="297">
        <v>15178653.810000001</v>
      </c>
      <c r="PE36" s="297">
        <v>10215201.899999999</v>
      </c>
      <c r="PF36" s="297">
        <v>34140479.420000002</v>
      </c>
      <c r="PG36" s="297">
        <v>74289008.109999999</v>
      </c>
      <c r="PH36" s="297">
        <v>12451011.4</v>
      </c>
      <c r="PI36" s="297">
        <v>10129170.67</v>
      </c>
      <c r="PJ36" s="297">
        <v>25348223.780000001</v>
      </c>
      <c r="PK36" s="297">
        <v>14347506.23</v>
      </c>
      <c r="PL36" s="297">
        <v>48093064.239999995</v>
      </c>
      <c r="PM36" s="297">
        <v>49774318.820000008</v>
      </c>
      <c r="PN36" s="297">
        <v>6920252.1199999992</v>
      </c>
      <c r="PO36" s="297">
        <v>46711435.960000001</v>
      </c>
      <c r="PP36" s="297">
        <v>9050039.4399999995</v>
      </c>
      <c r="PQ36" s="297">
        <v>13538851.859999999</v>
      </c>
      <c r="PR36" s="297">
        <v>9227921.5500000007</v>
      </c>
      <c r="PS36" s="297">
        <v>5928117.2300000004</v>
      </c>
      <c r="PT36" s="297">
        <v>803977322.01999998</v>
      </c>
      <c r="PU36" s="297">
        <v>48418375.409999996</v>
      </c>
      <c r="PV36" s="297">
        <v>4961079.18</v>
      </c>
      <c r="PW36" s="297">
        <v>29534874.190000001</v>
      </c>
      <c r="PX36" s="297">
        <v>121606636.76000001</v>
      </c>
      <c r="PY36" s="297">
        <v>13238638.1</v>
      </c>
      <c r="PZ36" s="297">
        <v>53205008.699999996</v>
      </c>
      <c r="QA36" s="297">
        <v>10611684.390000001</v>
      </c>
      <c r="QB36" s="297">
        <v>91250483.819999993</v>
      </c>
      <c r="QC36" s="297">
        <v>9168049.8699999992</v>
      </c>
      <c r="QD36" s="297">
        <v>63449386.329999998</v>
      </c>
      <c r="QE36" s="297">
        <v>11938237.73</v>
      </c>
      <c r="QF36" s="297">
        <v>9808640.620000001</v>
      </c>
      <c r="QG36" s="297">
        <v>49671351.449999996</v>
      </c>
      <c r="QH36" s="297">
        <v>8608944.7200000007</v>
      </c>
      <c r="QI36" s="297">
        <v>34308060.960000001</v>
      </c>
      <c r="QJ36" s="297">
        <v>16150716.84</v>
      </c>
      <c r="QK36" s="297">
        <v>10593772.32</v>
      </c>
      <c r="QL36" s="297">
        <v>5351430.7200000007</v>
      </c>
      <c r="QM36" s="297">
        <v>27718545.020000003</v>
      </c>
      <c r="QN36" s="297">
        <v>60037205.36999999</v>
      </c>
      <c r="QO36" s="297">
        <v>9870573.8699999992</v>
      </c>
      <c r="QP36" s="297">
        <v>4106969.4499999997</v>
      </c>
      <c r="QQ36" s="297">
        <v>4007743.6799999997</v>
      </c>
      <c r="QR36" s="297">
        <v>2944877.8499999996</v>
      </c>
      <c r="QS36" s="297">
        <v>19538043.869999997</v>
      </c>
      <c r="QT36" s="297">
        <v>298279345.38</v>
      </c>
      <c r="QU36" s="297">
        <v>7813041.2999999998</v>
      </c>
      <c r="QV36" s="297">
        <v>59954234.780000001</v>
      </c>
      <c r="QW36" s="297">
        <v>25753662.609999999</v>
      </c>
      <c r="QX36" s="297">
        <v>16983319.299999997</v>
      </c>
      <c r="QY36" s="297">
        <v>147443397.73000002</v>
      </c>
      <c r="QZ36" s="297">
        <v>18701980.18</v>
      </c>
      <c r="RA36" s="297">
        <v>50618799.380000003</v>
      </c>
      <c r="RB36" s="297">
        <v>97879818.030000001</v>
      </c>
      <c r="RC36" s="297">
        <v>20918436.09</v>
      </c>
      <c r="RD36" s="297">
        <v>11892401.870000001</v>
      </c>
      <c r="RE36" s="297">
        <v>38081332.100000001</v>
      </c>
      <c r="RF36" s="297">
        <v>13162911.16</v>
      </c>
      <c r="RG36" s="297">
        <v>931996510.18000007</v>
      </c>
      <c r="RH36" s="297">
        <v>33804319.649999999</v>
      </c>
      <c r="RI36" s="297">
        <v>12328208.6</v>
      </c>
      <c r="RJ36" s="297">
        <v>48941108.479999997</v>
      </c>
      <c r="RK36" s="297">
        <v>4824266.3400000008</v>
      </c>
      <c r="RL36" s="297">
        <v>24381798.889999997</v>
      </c>
      <c r="RM36" s="297">
        <v>15004660.610000001</v>
      </c>
      <c r="RN36" s="297">
        <v>33086918.559999999</v>
      </c>
      <c r="RO36" s="297">
        <v>37032541.060000002</v>
      </c>
      <c r="RP36" s="297">
        <v>11913824.48</v>
      </c>
      <c r="RQ36" s="297">
        <v>62257654.109999999</v>
      </c>
      <c r="RR36" s="297">
        <v>16167602.159999998</v>
      </c>
      <c r="RS36" s="297">
        <v>14394478.5</v>
      </c>
      <c r="RT36" s="297">
        <v>18179204.280000001</v>
      </c>
      <c r="RU36" s="297">
        <v>11278968.119999999</v>
      </c>
      <c r="RV36" s="297">
        <v>8189394.1599999992</v>
      </c>
      <c r="RW36" s="297">
        <v>10486159.139999999</v>
      </c>
      <c r="RX36" s="297">
        <v>16570436.27</v>
      </c>
      <c r="RY36" s="297">
        <v>4744458.53</v>
      </c>
      <c r="RZ36" s="297">
        <v>9486593.2599999998</v>
      </c>
      <c r="SA36" s="297">
        <v>117170533.86999999</v>
      </c>
      <c r="SB36" s="297">
        <v>24976422.880000003</v>
      </c>
      <c r="SC36" s="297">
        <v>21182152.890000001</v>
      </c>
      <c r="SD36" s="297">
        <v>24463622.579999998</v>
      </c>
      <c r="SE36" s="297">
        <v>16879668.499999996</v>
      </c>
      <c r="SF36" s="297">
        <v>18310857.340000004</v>
      </c>
      <c r="SG36" s="297">
        <v>32907613.43</v>
      </c>
      <c r="SH36" s="297">
        <v>35504037.010000005</v>
      </c>
      <c r="SI36" s="297">
        <v>33530020.07</v>
      </c>
      <c r="SJ36" s="297">
        <v>31780442.620000001</v>
      </c>
      <c r="SK36" s="297">
        <v>19150288.48</v>
      </c>
      <c r="SL36" s="297">
        <v>4146603.39</v>
      </c>
      <c r="SM36" s="297">
        <v>125421509.49999999</v>
      </c>
      <c r="SN36" s="297">
        <v>31053140.029999997</v>
      </c>
      <c r="SO36" s="297">
        <v>23266303.170000002</v>
      </c>
      <c r="SP36" s="297">
        <v>33643132.090000004</v>
      </c>
      <c r="SQ36" s="297">
        <v>29552801.460000001</v>
      </c>
      <c r="SR36" s="297">
        <v>23236390.409999996</v>
      </c>
      <c r="SS36" s="297">
        <v>26353240.910000004</v>
      </c>
      <c r="ST36" s="297">
        <v>18323983.940000001</v>
      </c>
      <c r="SU36" s="297">
        <v>108141901.98999999</v>
      </c>
      <c r="SV36" s="297">
        <v>14939655.98</v>
      </c>
      <c r="SW36" s="297">
        <v>24657742.52</v>
      </c>
      <c r="SX36" s="297">
        <v>23302812.27</v>
      </c>
      <c r="SY36" s="297">
        <v>6993452.7199999997</v>
      </c>
      <c r="SZ36" s="297">
        <v>15318314.920000002</v>
      </c>
      <c r="TA36" s="297">
        <v>5119682.78</v>
      </c>
      <c r="TB36" s="297">
        <v>28396500.289999999</v>
      </c>
      <c r="TC36" s="297">
        <v>7254647.1799999997</v>
      </c>
      <c r="TD36" s="297">
        <v>8766040.4299999997</v>
      </c>
      <c r="TE36" s="297">
        <v>22898515.989999998</v>
      </c>
      <c r="TF36" s="297">
        <v>24462818.440000001</v>
      </c>
      <c r="TG36" s="297">
        <v>52867879.429999992</v>
      </c>
      <c r="TH36" s="297">
        <v>9858313.7100000009</v>
      </c>
      <c r="TI36" s="297">
        <v>300673512.92000002</v>
      </c>
      <c r="TJ36" s="297">
        <v>17261205.469999999</v>
      </c>
      <c r="TK36" s="297">
        <v>25377599.949999999</v>
      </c>
      <c r="TL36" s="297">
        <v>26033540.219999999</v>
      </c>
      <c r="TM36" s="297">
        <v>6224826.6599999992</v>
      </c>
      <c r="TN36" s="297">
        <v>9467886.8200000003</v>
      </c>
      <c r="TO36" s="297">
        <v>10058573.27</v>
      </c>
      <c r="TP36" s="297">
        <v>39733134.370000005</v>
      </c>
      <c r="TQ36" s="297">
        <v>16773627.819999998</v>
      </c>
      <c r="TR36" s="297">
        <v>10055328.919999998</v>
      </c>
      <c r="TS36" s="297">
        <v>3085604.99</v>
      </c>
      <c r="TT36" s="297">
        <v>24016874.23</v>
      </c>
      <c r="TU36" s="297">
        <v>8015780.9299999997</v>
      </c>
      <c r="TV36" s="297">
        <v>8544306.2899999991</v>
      </c>
      <c r="TW36" s="297">
        <v>23927718.57</v>
      </c>
      <c r="TX36" s="297">
        <v>15340313.84</v>
      </c>
      <c r="TY36" s="297">
        <v>90454183.090000004</v>
      </c>
      <c r="TZ36" s="297">
        <v>13235471.629999999</v>
      </c>
      <c r="UA36" s="297">
        <v>330691458.59999996</v>
      </c>
      <c r="UB36" s="297">
        <v>27074699.950000003</v>
      </c>
      <c r="UC36" s="297">
        <v>10766565.359999999</v>
      </c>
      <c r="UD36" s="297">
        <v>6392228.3199999994</v>
      </c>
      <c r="UE36" s="297">
        <v>31899717.300000004</v>
      </c>
      <c r="UF36" s="297">
        <v>15747576</v>
      </c>
      <c r="UG36" s="297">
        <v>6083146.1699999999</v>
      </c>
      <c r="UH36" s="297">
        <v>34635979.399999999</v>
      </c>
      <c r="UI36" s="297">
        <v>4042784.92</v>
      </c>
      <c r="UJ36" s="297">
        <v>175323760.85999998</v>
      </c>
      <c r="UK36" s="297">
        <v>23531643.66</v>
      </c>
      <c r="UL36" s="297">
        <v>18046230.760000002</v>
      </c>
      <c r="UM36" s="297">
        <v>19404146.41</v>
      </c>
      <c r="UN36" s="297">
        <v>18969801.669999998</v>
      </c>
      <c r="UO36" s="297">
        <v>15600545.750000002</v>
      </c>
      <c r="UP36" s="297">
        <v>803629177.35000002</v>
      </c>
      <c r="UQ36" s="297">
        <v>24301941.639999997</v>
      </c>
      <c r="UR36" s="297">
        <v>17879425.48</v>
      </c>
      <c r="US36" s="297">
        <v>31442527.309999999</v>
      </c>
      <c r="UT36" s="297">
        <v>5992645.6299999999</v>
      </c>
      <c r="UU36" s="297">
        <v>9347068.5199999996</v>
      </c>
      <c r="UV36" s="297">
        <v>35869741.910000004</v>
      </c>
      <c r="UW36" s="297">
        <v>10262284.24</v>
      </c>
      <c r="UX36" s="297">
        <v>5414103.5099999998</v>
      </c>
      <c r="UY36" s="297">
        <v>31394873.530000001</v>
      </c>
      <c r="UZ36" s="297">
        <v>15717333.68</v>
      </c>
      <c r="VA36" s="297">
        <v>35330366.609999999</v>
      </c>
      <c r="VB36" s="297">
        <v>43030581.299999997</v>
      </c>
      <c r="VC36" s="297">
        <v>53623877.359999999</v>
      </c>
      <c r="VD36" s="297">
        <v>19294200.600000001</v>
      </c>
      <c r="VE36" s="297">
        <v>15916599.18</v>
      </c>
      <c r="VF36" s="297">
        <v>21734015.43</v>
      </c>
      <c r="VG36" s="297">
        <v>9531231.75</v>
      </c>
      <c r="VH36" s="297">
        <v>29171443.960000001</v>
      </c>
      <c r="VI36" s="297">
        <v>3938312.11</v>
      </c>
      <c r="VJ36" s="297">
        <v>14165031.560000001</v>
      </c>
      <c r="VK36" s="297">
        <v>18865333.950000003</v>
      </c>
      <c r="VL36" s="297">
        <v>356621958.62</v>
      </c>
      <c r="VM36" s="297">
        <v>27353190.880000003</v>
      </c>
      <c r="VN36" s="297">
        <v>43052490.850000001</v>
      </c>
      <c r="VO36" s="297">
        <v>38376902.089999996</v>
      </c>
      <c r="VP36" s="297">
        <v>41932689.710000001</v>
      </c>
      <c r="VQ36" s="297">
        <v>31737558.779999997</v>
      </c>
      <c r="VR36" s="297">
        <v>28333542.910000004</v>
      </c>
      <c r="VS36" s="297">
        <v>7283347.4100000001</v>
      </c>
      <c r="VT36" s="297">
        <v>40474229.690000005</v>
      </c>
      <c r="VU36" s="297">
        <v>124170200.71000001</v>
      </c>
      <c r="VV36" s="297">
        <v>17331675.52</v>
      </c>
      <c r="VW36" s="297">
        <v>77622188.949999988</v>
      </c>
      <c r="VX36" s="297">
        <v>28211508.289999999</v>
      </c>
      <c r="VY36" s="297">
        <v>42927621.310000002</v>
      </c>
      <c r="VZ36" s="297">
        <v>6099665.6600000001</v>
      </c>
      <c r="WA36" s="297">
        <v>1855599514.3199997</v>
      </c>
      <c r="WB36" s="297">
        <v>41750877.299999997</v>
      </c>
      <c r="WC36" s="297">
        <v>64889808.179999992</v>
      </c>
      <c r="WD36" s="297">
        <v>35098356.419999994</v>
      </c>
      <c r="WE36" s="297">
        <v>20089197.310000002</v>
      </c>
      <c r="WF36" s="297">
        <v>15600224.189999999</v>
      </c>
      <c r="WG36" s="297">
        <v>35680362.510000005</v>
      </c>
      <c r="WH36" s="297">
        <v>35084552.68</v>
      </c>
      <c r="WI36" s="297">
        <v>52028964.020000003</v>
      </c>
      <c r="WJ36" s="297">
        <v>35783551.689999998</v>
      </c>
      <c r="WK36" s="297">
        <v>10661711.780000001</v>
      </c>
      <c r="WL36" s="297">
        <v>31596703.741</v>
      </c>
      <c r="WM36" s="297">
        <v>37030918.130000003</v>
      </c>
      <c r="WN36" s="297">
        <v>62583339.309999995</v>
      </c>
      <c r="WO36" s="297">
        <v>65614311.999999993</v>
      </c>
      <c r="WP36" s="297">
        <v>43206293.110000007</v>
      </c>
      <c r="WQ36" s="297">
        <v>31496209.769999996</v>
      </c>
      <c r="WR36" s="297">
        <v>34778106.210000001</v>
      </c>
      <c r="WS36" s="297">
        <v>12341672.680000002</v>
      </c>
      <c r="WT36" s="297">
        <v>46956787.029999994</v>
      </c>
      <c r="WU36" s="297">
        <v>161463089.28</v>
      </c>
      <c r="WV36" s="297">
        <v>18064740.650000002</v>
      </c>
      <c r="WW36" s="297">
        <v>35080572.559999995</v>
      </c>
      <c r="WX36" s="297">
        <v>22209213.290000003</v>
      </c>
      <c r="WY36" s="297">
        <v>29244576.080000002</v>
      </c>
      <c r="WZ36" s="297">
        <v>12988664.91</v>
      </c>
      <c r="XA36" s="297">
        <v>10257228.719999999</v>
      </c>
      <c r="XB36" s="297">
        <v>28870528.089999992</v>
      </c>
      <c r="XC36" s="297">
        <v>179822475.50999999</v>
      </c>
      <c r="XD36" s="297">
        <v>9763948.9000000004</v>
      </c>
      <c r="XE36" s="297">
        <v>25274900.27</v>
      </c>
      <c r="XF36" s="297">
        <v>18090552.530000001</v>
      </c>
      <c r="XG36" s="297">
        <v>22418084.27</v>
      </c>
      <c r="XH36" s="297">
        <v>926962677.68000007</v>
      </c>
      <c r="XI36" s="297">
        <v>38114800.789999999</v>
      </c>
      <c r="XJ36" s="297">
        <v>113878321.52</v>
      </c>
      <c r="XK36" s="297">
        <v>91954378.49000001</v>
      </c>
      <c r="XL36" s="297">
        <v>28683287.619999997</v>
      </c>
      <c r="XM36" s="297">
        <v>22377704.82</v>
      </c>
      <c r="XN36" s="297">
        <v>37714117.909999996</v>
      </c>
      <c r="XO36" s="297">
        <v>88736864.340000004</v>
      </c>
      <c r="XP36" s="297">
        <v>16360423.620000001</v>
      </c>
      <c r="XQ36" s="297">
        <v>38519007.699999996</v>
      </c>
      <c r="XR36" s="297">
        <v>69642960.13000001</v>
      </c>
      <c r="XS36" s="297">
        <v>19526885.420000002</v>
      </c>
      <c r="XT36" s="297">
        <v>19374334.969999999</v>
      </c>
      <c r="XU36" s="297">
        <v>25150615.23</v>
      </c>
      <c r="XV36" s="297">
        <v>59302710.499999993</v>
      </c>
      <c r="XW36" s="297">
        <v>13236896.119999999</v>
      </c>
      <c r="XX36" s="297">
        <v>19116590.129999999</v>
      </c>
      <c r="XY36" s="297">
        <v>22782592.449999999</v>
      </c>
      <c r="XZ36" s="297">
        <v>14598355.359999999</v>
      </c>
      <c r="YA36" s="297">
        <v>17633042.879999999</v>
      </c>
      <c r="YB36" s="297">
        <v>16018723.08</v>
      </c>
      <c r="YC36" s="297">
        <v>65093639.570000008</v>
      </c>
      <c r="YD36" s="297">
        <v>47138560.020000003</v>
      </c>
      <c r="YE36" s="297">
        <v>747626357.86000013</v>
      </c>
      <c r="YF36" s="297">
        <v>35059145.810000002</v>
      </c>
      <c r="YG36" s="297">
        <v>79686711.310000002</v>
      </c>
      <c r="YH36" s="297">
        <v>68666140.300000012</v>
      </c>
      <c r="YI36" s="297">
        <v>140567208.21000001</v>
      </c>
      <c r="YJ36" s="297">
        <v>20667982.59</v>
      </c>
      <c r="YK36" s="297">
        <v>89852402.469999999</v>
      </c>
      <c r="YL36" s="297">
        <v>24911062.170000002</v>
      </c>
      <c r="YM36" s="297">
        <v>34617448.149999999</v>
      </c>
      <c r="YN36" s="297">
        <v>53835178.299999997</v>
      </c>
      <c r="YO36" s="297">
        <v>46777195.909999996</v>
      </c>
      <c r="YP36" s="297">
        <v>26395395.669999998</v>
      </c>
      <c r="YQ36" s="297">
        <v>49426741.760000005</v>
      </c>
      <c r="YR36" s="297">
        <v>26406974.759999998</v>
      </c>
      <c r="YS36" s="297">
        <v>75963877.850000009</v>
      </c>
      <c r="YT36" s="297">
        <v>92393030.909999996</v>
      </c>
      <c r="YU36" s="297">
        <v>36395103.309999995</v>
      </c>
      <c r="YV36" s="297">
        <v>185452252.92999998</v>
      </c>
      <c r="YW36" s="297">
        <v>14525598.059999999</v>
      </c>
      <c r="YX36" s="297">
        <v>26602803.280000001</v>
      </c>
      <c r="YY36" s="297">
        <v>21847326.140000001</v>
      </c>
      <c r="YZ36" s="297">
        <v>11353249.41</v>
      </c>
      <c r="ZA36" s="297">
        <v>14869523.920000002</v>
      </c>
      <c r="ZB36" s="297">
        <v>22313467.189999998</v>
      </c>
      <c r="ZC36" s="297">
        <v>124780963.71999998</v>
      </c>
      <c r="ZD36" s="297">
        <v>11332031.319999998</v>
      </c>
      <c r="ZE36" s="297">
        <v>37521190.350000001</v>
      </c>
      <c r="ZF36" s="297">
        <v>8346712.25</v>
      </c>
      <c r="ZG36" s="297">
        <v>39979954.780000001</v>
      </c>
      <c r="ZH36" s="297">
        <v>5436632.9000000004</v>
      </c>
      <c r="ZI36" s="297">
        <v>13912874.910000002</v>
      </c>
      <c r="ZJ36" s="297">
        <v>12783414.280000001</v>
      </c>
      <c r="ZK36" s="297">
        <v>34010973.869999997</v>
      </c>
      <c r="ZL36" s="297">
        <v>372080671.75</v>
      </c>
      <c r="ZM36" s="297">
        <v>26260912.549999993</v>
      </c>
      <c r="ZN36" s="297">
        <v>69430442.860000014</v>
      </c>
      <c r="ZO36" s="297">
        <v>262272344.17999998</v>
      </c>
      <c r="ZP36" s="297">
        <v>103114424.63000001</v>
      </c>
      <c r="ZQ36" s="297">
        <v>49595564.49000001</v>
      </c>
      <c r="ZR36" s="297">
        <v>42245598.829999998</v>
      </c>
      <c r="ZS36" s="297">
        <v>142926416.37000003</v>
      </c>
      <c r="ZT36" s="297">
        <v>321496418.74000001</v>
      </c>
      <c r="ZU36" s="297">
        <v>31967204.169999998</v>
      </c>
      <c r="ZV36" s="297">
        <v>38873833.219999999</v>
      </c>
      <c r="ZW36" s="297">
        <v>40491241.960000001</v>
      </c>
      <c r="ZX36" s="297">
        <v>22284987.340000004</v>
      </c>
      <c r="ZY36" s="297">
        <v>32105349.440000005</v>
      </c>
      <c r="ZZ36" s="297">
        <v>14881741.090000002</v>
      </c>
      <c r="AAA36" s="297">
        <v>23390486.949999999</v>
      </c>
      <c r="AAB36" s="297">
        <v>26535693.960000001</v>
      </c>
      <c r="AAC36" s="297">
        <v>12240006.379999999</v>
      </c>
      <c r="AAD36" s="297">
        <v>34931871.579999998</v>
      </c>
      <c r="AAE36" s="297">
        <v>50269846.82</v>
      </c>
      <c r="AAF36" s="297">
        <v>8377457.2999999998</v>
      </c>
      <c r="AAG36" s="297">
        <v>25371539.850000001</v>
      </c>
      <c r="AAH36" s="297">
        <v>112482629.69999999</v>
      </c>
      <c r="AAI36" s="297">
        <v>14835131.07</v>
      </c>
      <c r="AAJ36" s="297">
        <v>19216703.579999998</v>
      </c>
      <c r="AAK36" s="297">
        <v>4999221.88</v>
      </c>
      <c r="AAL36" s="297">
        <v>14979832.149999999</v>
      </c>
      <c r="AAM36" s="297">
        <v>8213801.5199999996</v>
      </c>
      <c r="AAN36" s="297">
        <v>13044055.180000002</v>
      </c>
      <c r="AAO36" s="297">
        <v>1564131295.6799998</v>
      </c>
      <c r="AAP36" s="297">
        <v>18802643.740000002</v>
      </c>
      <c r="AAQ36" s="297">
        <v>29265755.91</v>
      </c>
      <c r="AAR36" s="297">
        <v>65537084.079999998</v>
      </c>
      <c r="AAS36" s="297">
        <v>48826692.119999997</v>
      </c>
      <c r="AAT36" s="297">
        <v>53555427.25</v>
      </c>
      <c r="AAU36" s="297">
        <v>24291609.09</v>
      </c>
      <c r="AAV36" s="297">
        <v>35418777.009999998</v>
      </c>
      <c r="AAW36" s="297">
        <v>60927980.469999999</v>
      </c>
      <c r="AAX36" s="297">
        <v>26325565.939999998</v>
      </c>
      <c r="AAY36" s="297">
        <v>24707961.25</v>
      </c>
      <c r="AAZ36" s="297">
        <v>108643969.63999999</v>
      </c>
      <c r="ABA36" s="297">
        <v>39171081.130000003</v>
      </c>
      <c r="ABB36" s="297">
        <v>5040493.5299999993</v>
      </c>
      <c r="ABC36" s="297">
        <v>12237893.060000001</v>
      </c>
      <c r="ABD36" s="297">
        <v>17926158.199999999</v>
      </c>
      <c r="ABE36" s="297">
        <v>22435922.109999999</v>
      </c>
      <c r="ABF36" s="297">
        <v>30848862.739999998</v>
      </c>
      <c r="ABG36" s="297">
        <v>11835678.279999999</v>
      </c>
      <c r="ABH36" s="297">
        <v>85442571.709999993</v>
      </c>
      <c r="ABI36" s="297">
        <v>45619373.060000002</v>
      </c>
      <c r="ABJ36" s="297">
        <v>43237862.509999998</v>
      </c>
      <c r="ABK36" s="297">
        <v>8599886.8800000008</v>
      </c>
      <c r="ABL36" s="297">
        <v>14490994.720000001</v>
      </c>
      <c r="ABM36" s="297">
        <v>35464584.610000007</v>
      </c>
      <c r="ABN36" s="297">
        <v>18499064</v>
      </c>
      <c r="ABO36" s="297">
        <v>251736064.59000003</v>
      </c>
      <c r="ABP36" s="297">
        <v>66871950.210000001</v>
      </c>
      <c r="ABQ36" s="297">
        <v>5439715.96</v>
      </c>
      <c r="ABR36" s="297">
        <v>76080105.209999993</v>
      </c>
      <c r="ABS36" s="297">
        <v>23049956.32</v>
      </c>
      <c r="ABT36" s="297">
        <v>23286454.48</v>
      </c>
      <c r="ABU36" s="297">
        <v>16138378.57</v>
      </c>
      <c r="ABV36" s="297">
        <v>15051891.969999999</v>
      </c>
      <c r="ABW36" s="297">
        <v>31987465.030000001</v>
      </c>
      <c r="ABX36" s="297">
        <v>219893543.58000004</v>
      </c>
      <c r="ABY36" s="297">
        <v>31415539.02</v>
      </c>
      <c r="ABZ36" s="297">
        <v>57909985.57</v>
      </c>
      <c r="ACA36" s="297">
        <v>11957701.48</v>
      </c>
      <c r="ACB36" s="297">
        <v>19384232.91</v>
      </c>
      <c r="ACC36" s="297">
        <v>65657399.840000004</v>
      </c>
      <c r="ACD36" s="297">
        <v>5921746.8499999996</v>
      </c>
      <c r="ACE36" s="297">
        <v>12106298.33</v>
      </c>
      <c r="ACF36" s="297">
        <v>9576983.950000003</v>
      </c>
      <c r="ACG36" s="297">
        <v>27581075.530000001</v>
      </c>
      <c r="ACH36" s="297">
        <v>15188414.149999999</v>
      </c>
      <c r="ACI36" s="297">
        <v>601061541.51999998</v>
      </c>
      <c r="ACJ36" s="297">
        <v>10821926.060000001</v>
      </c>
      <c r="ACK36" s="297">
        <v>13095796.15</v>
      </c>
      <c r="ACL36" s="297">
        <v>32055401.739999998</v>
      </c>
      <c r="ACM36" s="297">
        <v>13004665.839999998</v>
      </c>
      <c r="ACN36" s="297">
        <v>24431154.16</v>
      </c>
      <c r="ACO36" s="297">
        <v>40913688.810000002</v>
      </c>
      <c r="ACP36" s="297">
        <v>245511205.92999998</v>
      </c>
      <c r="ACQ36" s="297">
        <v>263426520.26000002</v>
      </c>
      <c r="ACR36" s="297">
        <v>17103414.390000001</v>
      </c>
      <c r="ACS36" s="297">
        <v>47544716.629999995</v>
      </c>
      <c r="ACT36" s="297">
        <v>59891392.100000001</v>
      </c>
      <c r="ACU36" s="297">
        <v>24302279.550000008</v>
      </c>
      <c r="ACV36" s="297">
        <v>305201946.58999997</v>
      </c>
      <c r="ACW36" s="297">
        <v>12360451.74</v>
      </c>
      <c r="ACX36" s="297">
        <v>33512902.70000001</v>
      </c>
      <c r="ACY36" s="297">
        <v>56423579.789999999</v>
      </c>
      <c r="ACZ36" s="297">
        <v>10624034.520000001</v>
      </c>
      <c r="ADA36" s="297">
        <v>14281657.109999999</v>
      </c>
      <c r="ADB36" s="297">
        <v>6808844.5599999996</v>
      </c>
      <c r="ADC36" s="297">
        <v>15055430.029999999</v>
      </c>
      <c r="ADD36" s="297">
        <v>28657039.609999999</v>
      </c>
      <c r="ADE36" s="297">
        <v>49980896.380000003</v>
      </c>
      <c r="ADF36" s="297">
        <v>28117860.940000001</v>
      </c>
      <c r="ADG36" s="297">
        <v>35693193.68</v>
      </c>
      <c r="ADH36" s="297">
        <v>20934030.109999999</v>
      </c>
      <c r="ADI36" s="297">
        <v>10080316.579999998</v>
      </c>
      <c r="ADJ36" s="297">
        <v>13671003.610000001</v>
      </c>
      <c r="ADK36" s="297">
        <v>16664912.030000001</v>
      </c>
      <c r="ADL36" s="297">
        <v>28568242.650000006</v>
      </c>
      <c r="ADM36" s="297">
        <v>23822242.050000001</v>
      </c>
      <c r="ADN36" s="297">
        <v>18034292.27</v>
      </c>
      <c r="ADO36" s="297">
        <v>381891445.55000001</v>
      </c>
      <c r="ADP36" s="297">
        <v>128335052.19000003</v>
      </c>
      <c r="ADQ36" s="297">
        <v>43704062.050000004</v>
      </c>
      <c r="ADR36" s="297">
        <v>21888745.379999999</v>
      </c>
      <c r="ADS36" s="297">
        <v>131398490.26000002</v>
      </c>
      <c r="ADT36" s="297">
        <v>1626778.9100000001</v>
      </c>
      <c r="ADU36" s="297">
        <v>9263354.3499999996</v>
      </c>
      <c r="ADV36" s="297">
        <v>27773216.960000005</v>
      </c>
      <c r="ADW36" s="297">
        <v>889228.57999999984</v>
      </c>
      <c r="ADX36" s="297">
        <v>9816214.8500000015</v>
      </c>
      <c r="ADY36" s="297">
        <v>534516532.85000002</v>
      </c>
      <c r="ADZ36" s="297">
        <v>151381770.56999999</v>
      </c>
      <c r="AEA36" s="297">
        <v>25685079.970000003</v>
      </c>
      <c r="AEB36" s="297">
        <v>40670923.710000001</v>
      </c>
      <c r="AEC36" s="297">
        <v>16847452.309999999</v>
      </c>
      <c r="AED36" s="297">
        <v>33434683.430000007</v>
      </c>
      <c r="AEE36" s="297">
        <v>19333455.799999997</v>
      </c>
      <c r="AEF36" s="297">
        <v>22831586.350000001</v>
      </c>
      <c r="AEG36" s="297">
        <v>9512740.9799999986</v>
      </c>
      <c r="AEH36" s="297">
        <v>48398405.300000004</v>
      </c>
      <c r="AEI36" s="297">
        <v>17457841.850000001</v>
      </c>
      <c r="AEJ36" s="297">
        <v>35652236.589999996</v>
      </c>
      <c r="AEK36" s="297">
        <v>12718240.549999999</v>
      </c>
      <c r="AEL36" s="297">
        <v>12799697.239999998</v>
      </c>
      <c r="AEM36" s="297">
        <v>22878089.640000001</v>
      </c>
      <c r="AEN36" s="297">
        <v>28662938.049999997</v>
      </c>
      <c r="AEO36" s="297">
        <v>12500605.699999999</v>
      </c>
      <c r="AEP36" s="297">
        <v>33785886.700000003</v>
      </c>
      <c r="AEQ36" s="297">
        <v>4629950.84</v>
      </c>
      <c r="AER36" s="297">
        <v>35020374.810000002</v>
      </c>
      <c r="AES36" s="297">
        <v>430104028.70000005</v>
      </c>
      <c r="AET36" s="297">
        <v>41256316.620000005</v>
      </c>
      <c r="AEU36" s="297">
        <v>48778957.850000001</v>
      </c>
      <c r="AEV36" s="297">
        <v>22177446.57</v>
      </c>
      <c r="AEW36" s="297">
        <v>11540949.950000001</v>
      </c>
      <c r="AEX36" s="297">
        <v>61905216.149999991</v>
      </c>
      <c r="AEY36" s="297">
        <v>26370284.379999995</v>
      </c>
      <c r="AEZ36" s="297">
        <v>24041126.599999998</v>
      </c>
      <c r="AFA36" s="297">
        <v>17535580.689999998</v>
      </c>
      <c r="AFB36" s="297">
        <v>12245711.35</v>
      </c>
      <c r="AFC36" s="297">
        <v>309423841.75999993</v>
      </c>
      <c r="AFD36" s="297">
        <v>139063565.52000004</v>
      </c>
      <c r="AFE36" s="297">
        <v>24702252.499999996</v>
      </c>
      <c r="AFF36" s="297">
        <v>18271485.609999996</v>
      </c>
      <c r="AFG36" s="297">
        <v>40384454.669999994</v>
      </c>
      <c r="AFH36" s="297">
        <v>74859168.620000005</v>
      </c>
      <c r="AFI36" s="297">
        <v>16027839.540000003</v>
      </c>
      <c r="AFJ36" s="297">
        <v>12989740.24</v>
      </c>
      <c r="AFK36" s="297">
        <v>22899774.770000003</v>
      </c>
      <c r="AFL36" s="297">
        <v>24366094.129999999</v>
      </c>
      <c r="AFM36" s="297">
        <v>6215655.2800000003</v>
      </c>
      <c r="AFN36" s="297">
        <v>9636588.8799999971</v>
      </c>
      <c r="AFO36" s="297">
        <v>19453969.73</v>
      </c>
      <c r="AFP36" s="297">
        <v>357047755.77999997</v>
      </c>
      <c r="AFQ36" s="297">
        <v>22678032.400000006</v>
      </c>
      <c r="AFR36" s="297">
        <v>44272281.690000005</v>
      </c>
      <c r="AFS36" s="297">
        <v>14889173.039999999</v>
      </c>
      <c r="AFT36" s="297">
        <v>23543199.480000004</v>
      </c>
      <c r="AFU36" s="297">
        <v>30658255.470000003</v>
      </c>
      <c r="AFV36" s="297">
        <v>22333593.809999999</v>
      </c>
      <c r="AFW36" s="297">
        <v>41607112.909999996</v>
      </c>
      <c r="AFX36" s="297">
        <v>21482421.100000001</v>
      </c>
      <c r="AFY36" s="297">
        <v>15560982.690000003</v>
      </c>
      <c r="AFZ36" s="297">
        <v>34138917.299999997</v>
      </c>
      <c r="AGA36" s="297">
        <v>31904073.970000003</v>
      </c>
      <c r="AGB36" s="297">
        <v>393171356.53000003</v>
      </c>
      <c r="AGC36" s="297">
        <v>32186528.409999996</v>
      </c>
      <c r="AGD36" s="297">
        <v>11026685.079999998</v>
      </c>
      <c r="AGE36" s="297">
        <v>28492896.380000003</v>
      </c>
      <c r="AGF36" s="297">
        <v>65463107.610000007</v>
      </c>
      <c r="AGG36" s="297">
        <v>15872889.92</v>
      </c>
      <c r="AGH36" s="297">
        <v>10000939.439999998</v>
      </c>
      <c r="AGI36" s="297">
        <v>13235523.01</v>
      </c>
      <c r="AGJ36" s="297">
        <v>9818951.8999999985</v>
      </c>
      <c r="AGK36" s="297">
        <v>14914512.990000002</v>
      </c>
      <c r="AGL36" s="297">
        <v>10359835.73</v>
      </c>
      <c r="AGM36" s="297">
        <v>714162543.38999963</v>
      </c>
      <c r="AGN36" s="297">
        <v>65567600.799999982</v>
      </c>
      <c r="AGO36" s="297">
        <v>23755201.530000001</v>
      </c>
      <c r="AGP36" s="297">
        <v>18724772.369999997</v>
      </c>
      <c r="AGQ36" s="297">
        <v>54895497.880000003</v>
      </c>
      <c r="AGR36" s="297">
        <v>38420535.729999997</v>
      </c>
      <c r="AGS36" s="297">
        <v>13890822.869999999</v>
      </c>
      <c r="AGT36" s="297">
        <v>30585394.920000002</v>
      </c>
      <c r="AGU36" s="297">
        <v>489231384.40000004</v>
      </c>
      <c r="AGV36" s="297">
        <v>540904427.49000013</v>
      </c>
      <c r="AGW36" s="297">
        <v>12819656.949999999</v>
      </c>
      <c r="AGX36" s="297">
        <v>114901894.03</v>
      </c>
      <c r="AGY36" s="297">
        <v>98443559.25999999</v>
      </c>
      <c r="AGZ36" s="297">
        <v>35670439.279999994</v>
      </c>
      <c r="AHA36" s="297">
        <v>9767697.0999999996</v>
      </c>
      <c r="AHB36" s="297">
        <v>31018798.949999999</v>
      </c>
      <c r="AHC36" s="297">
        <v>8627293.9100000001</v>
      </c>
      <c r="AHD36" s="297">
        <v>38724389.350000001</v>
      </c>
      <c r="AHE36" s="297">
        <v>60273243.739999995</v>
      </c>
      <c r="AHF36" s="297">
        <v>80497058.36999999</v>
      </c>
      <c r="AHG36" s="297">
        <v>9745350.6799999997</v>
      </c>
      <c r="AHH36" s="297">
        <v>22350839.809999999</v>
      </c>
      <c r="AHI36" s="297">
        <v>23230273.289999995</v>
      </c>
      <c r="AHJ36" s="297">
        <v>7796140.6899999995</v>
      </c>
      <c r="AHK36" s="297">
        <v>6205027.2799999993</v>
      </c>
      <c r="AHL36" s="297">
        <v>91498450.039999992</v>
      </c>
      <c r="AHM36" s="297">
        <v>28144304.25</v>
      </c>
      <c r="AHN36" s="297">
        <v>24262540.95999999</v>
      </c>
      <c r="AHO36" s="297">
        <v>9559530.7899999991</v>
      </c>
      <c r="AHP36" s="297">
        <v>27245296.239999998</v>
      </c>
      <c r="AHQ36" s="330">
        <v>18874810.23</v>
      </c>
      <c r="AHR36" s="331">
        <v>16635405.34</v>
      </c>
      <c r="AHS36" s="330">
        <f t="shared" ref="AHS36:AHS37" si="34">SUM(D36:AHR36)</f>
        <v>66285038319.821037</v>
      </c>
      <c r="AHT36" s="269" t="b">
        <f t="shared" si="1"/>
        <v>1</v>
      </c>
      <c r="AHU36" s="273" t="s">
        <v>44</v>
      </c>
    </row>
    <row r="37" spans="1:905" s="273" customFormat="1" ht="24.6" x14ac:dyDescent="0.7">
      <c r="A37" s="272"/>
      <c r="B37" s="272" t="s">
        <v>653</v>
      </c>
      <c r="C37" s="269" t="s">
        <v>6320</v>
      </c>
      <c r="D37" s="297">
        <v>-185687637.36000001</v>
      </c>
      <c r="E37" s="297">
        <v>-32625369.149999999</v>
      </c>
      <c r="F37" s="297">
        <v>-55902491.469999991</v>
      </c>
      <c r="G37" s="297">
        <v>-8628021.6199999992</v>
      </c>
      <c r="H37" s="297">
        <v>-53637755.619999997</v>
      </c>
      <c r="I37" s="297">
        <v>-8674467.7400000002</v>
      </c>
      <c r="J37" s="297">
        <v>-67329534.999999985</v>
      </c>
      <c r="K37" s="297">
        <v>-10403497.25</v>
      </c>
      <c r="L37" s="297">
        <v>-22859489.639999997</v>
      </c>
      <c r="M37" s="297">
        <v>-20865398.600000001</v>
      </c>
      <c r="N37" s="297">
        <v>-19968872.159999996</v>
      </c>
      <c r="O37" s="297">
        <v>-14340392.220000001</v>
      </c>
      <c r="P37" s="297">
        <v>-65272961.409999996</v>
      </c>
      <c r="Q37" s="297">
        <v>-14960626.77</v>
      </c>
      <c r="R37" s="297">
        <v>-9457812.9299999978</v>
      </c>
      <c r="S37" s="297">
        <v>-51765080.43</v>
      </c>
      <c r="T37" s="297">
        <v>-17421222.990000002</v>
      </c>
      <c r="U37" s="297">
        <v>-9645587.0699999984</v>
      </c>
      <c r="V37" s="297">
        <v>-422538504.74000001</v>
      </c>
      <c r="W37" s="297">
        <v>-94102965.499999985</v>
      </c>
      <c r="X37" s="297">
        <v>-15542162.219999999</v>
      </c>
      <c r="Y37" s="297">
        <v>-14369225.440000001</v>
      </c>
      <c r="Z37" s="297">
        <v>-31625993.810000002</v>
      </c>
      <c r="AA37" s="297">
        <v>-32203342.830000006</v>
      </c>
      <c r="AB37" s="297">
        <v>-28294395.280000001</v>
      </c>
      <c r="AC37" s="297">
        <v>-177880832.43000001</v>
      </c>
      <c r="AD37" s="297">
        <v>-48036851.160000011</v>
      </c>
      <c r="AE37" s="297">
        <v>-51298717.449999996</v>
      </c>
      <c r="AF37" s="297">
        <v>-162296117.94000003</v>
      </c>
      <c r="AG37" s="297">
        <v>-43907139.299999997</v>
      </c>
      <c r="AH37" s="297">
        <v>-129491421.08999997</v>
      </c>
      <c r="AI37" s="297">
        <v>-71932099.210000008</v>
      </c>
      <c r="AJ37" s="297">
        <v>-26980470.489999991</v>
      </c>
      <c r="AK37" s="297">
        <v>-21348384.619999997</v>
      </c>
      <c r="AL37" s="297">
        <v>-24000059.990000002</v>
      </c>
      <c r="AM37" s="297">
        <v>-45453142.210000001</v>
      </c>
      <c r="AN37" s="297">
        <v>-33162585.929999996</v>
      </c>
      <c r="AO37" s="297">
        <v>-29127667.489999998</v>
      </c>
      <c r="AP37" s="297">
        <v>-19271132.710000005</v>
      </c>
      <c r="AQ37" s="297">
        <v>-19662729.440000001</v>
      </c>
      <c r="AR37" s="297">
        <v>-30963099.5</v>
      </c>
      <c r="AS37" s="297">
        <v>-18303335.469999999</v>
      </c>
      <c r="AT37" s="297">
        <v>-141655507.14999998</v>
      </c>
      <c r="AU37" s="297">
        <v>-4608444.7700000005</v>
      </c>
      <c r="AV37" s="297">
        <v>-6444850.3600000013</v>
      </c>
      <c r="AW37" s="297">
        <v>-9491182.0199999996</v>
      </c>
      <c r="AX37" s="297">
        <v>-21694477.75</v>
      </c>
      <c r="AY37" s="297">
        <v>-28175908.840000004</v>
      </c>
      <c r="AZ37" s="297">
        <v>-4159066.11</v>
      </c>
      <c r="BA37" s="297">
        <v>-6243905.7700000005</v>
      </c>
      <c r="BB37" s="297">
        <v>-2909741.4099999997</v>
      </c>
      <c r="BC37" s="297">
        <v>-5738761.7999999998</v>
      </c>
      <c r="BD37" s="297">
        <v>-4136259.77</v>
      </c>
      <c r="BE37" s="297">
        <v>-8901575.040000001</v>
      </c>
      <c r="BF37" s="297">
        <v>-46671593.870000005</v>
      </c>
      <c r="BG37" s="297">
        <v>-4224400.3900000006</v>
      </c>
      <c r="BH37" s="297">
        <v>-11609491.669999998</v>
      </c>
      <c r="BI37" s="297">
        <v>-240674779.27000001</v>
      </c>
      <c r="BJ37" s="297">
        <v>-96918236.679999977</v>
      </c>
      <c r="BK37" s="297">
        <v>-24977455.890000004</v>
      </c>
      <c r="BL37" s="297">
        <v>-13034194.810000001</v>
      </c>
      <c r="BM37" s="297">
        <v>-33729116.390000001</v>
      </c>
      <c r="BN37" s="297">
        <v>-17182325.449999999</v>
      </c>
      <c r="BO37" s="297">
        <v>-13956753.460000003</v>
      </c>
      <c r="BP37" s="297">
        <v>-5342231.8900000006</v>
      </c>
      <c r="BQ37" s="297">
        <v>-3246585.0000000005</v>
      </c>
      <c r="BR37" s="297">
        <v>-128890907.89000002</v>
      </c>
      <c r="BS37" s="297">
        <v>-6108269.9399999995</v>
      </c>
      <c r="BT37" s="297">
        <v>-6547792.6400000006</v>
      </c>
      <c r="BU37" s="297">
        <v>-17118162.450000003</v>
      </c>
      <c r="BV37" s="297">
        <v>-11537651.680000002</v>
      </c>
      <c r="BW37" s="297">
        <v>-7813592.7500000009</v>
      </c>
      <c r="BX37" s="297">
        <v>-6269218.0600000005</v>
      </c>
      <c r="BY37" s="297">
        <v>-8040118.9000000004</v>
      </c>
      <c r="BZ37" s="297">
        <v>-98460412.73300001</v>
      </c>
      <c r="CA37" s="297">
        <v>-19917043.779999997</v>
      </c>
      <c r="CB37" s="297">
        <v>-27960115.630000003</v>
      </c>
      <c r="CC37" s="297">
        <v>-49707870.989999995</v>
      </c>
      <c r="CD37" s="297">
        <v>-15367709.790000003</v>
      </c>
      <c r="CE37" s="297">
        <v>-12709717.99</v>
      </c>
      <c r="CF37" s="297">
        <v>-13691932.740000002</v>
      </c>
      <c r="CG37" s="297">
        <v>-82918885.979999989</v>
      </c>
      <c r="CH37" s="297">
        <v>-12541973.670000002</v>
      </c>
      <c r="CI37" s="297">
        <v>-38518894.149999999</v>
      </c>
      <c r="CJ37" s="297">
        <v>-7180687.71</v>
      </c>
      <c r="CK37" s="297">
        <v>-12141668.790000001</v>
      </c>
      <c r="CL37" s="297">
        <v>-14481748.159999998</v>
      </c>
      <c r="CM37" s="297">
        <v>-8710007.370000001</v>
      </c>
      <c r="CN37" s="297">
        <v>-21739399.099999998</v>
      </c>
      <c r="CO37" s="297">
        <v>-3644592.2</v>
      </c>
      <c r="CP37" s="297">
        <v>-14140497.039999999</v>
      </c>
      <c r="CQ37" s="297">
        <v>-9094485.8300000019</v>
      </c>
      <c r="CR37" s="297">
        <v>-11744872.509999998</v>
      </c>
      <c r="CS37" s="297">
        <v>-8729872.4699999988</v>
      </c>
      <c r="CT37" s="297">
        <v>-173430229.38999999</v>
      </c>
      <c r="CU37" s="297">
        <v>-7313899.6899999995</v>
      </c>
      <c r="CV37" s="297">
        <v>-15986861.08</v>
      </c>
      <c r="CW37" s="297">
        <v>-34793932.930000007</v>
      </c>
      <c r="CX37" s="297">
        <v>-4226518.7200000007</v>
      </c>
      <c r="CY37" s="297">
        <v>-24215941.079999998</v>
      </c>
      <c r="CZ37" s="297">
        <v>-10936101.380000001</v>
      </c>
      <c r="DA37" s="297">
        <v>-8364873.0200000005</v>
      </c>
      <c r="DB37" s="297">
        <v>-155339693.21000001</v>
      </c>
      <c r="DC37" s="297">
        <v>-271587028.53999996</v>
      </c>
      <c r="DD37" s="297">
        <v>-20341697.809999999</v>
      </c>
      <c r="DE37" s="297">
        <v>-22662987.52</v>
      </c>
      <c r="DF37" s="297">
        <v>-27464327.949999999</v>
      </c>
      <c r="DG37" s="297">
        <v>-30634751.649999999</v>
      </c>
      <c r="DH37" s="297">
        <v>-45075194.850000001</v>
      </c>
      <c r="DI37" s="297">
        <v>-31947935.659999996</v>
      </c>
      <c r="DJ37" s="297">
        <v>-17007791.229999997</v>
      </c>
      <c r="DK37" s="297">
        <v>-409683177.09999996</v>
      </c>
      <c r="DL37" s="297">
        <v>-17365881.459999997</v>
      </c>
      <c r="DM37" s="297">
        <v>-27160837.879999995</v>
      </c>
      <c r="DN37" s="297">
        <v>-19008860.890000001</v>
      </c>
      <c r="DO37" s="297">
        <v>-16544145.889800001</v>
      </c>
      <c r="DP37" s="297">
        <v>-16991860.310000002</v>
      </c>
      <c r="DQ37" s="297">
        <v>-51452722.93999999</v>
      </c>
      <c r="DR37" s="297">
        <v>-14174953.779900001</v>
      </c>
      <c r="DS37" s="297">
        <v>-33869326.030000001</v>
      </c>
      <c r="DT37" s="297">
        <v>-268874695.25000006</v>
      </c>
      <c r="DU37" s="297">
        <v>-38665557.339999996</v>
      </c>
      <c r="DV37" s="297">
        <v>-78328861.640000001</v>
      </c>
      <c r="DW37" s="297">
        <v>-93124245.070000008</v>
      </c>
      <c r="DX37" s="297">
        <v>-35129699.830000006</v>
      </c>
      <c r="DY37" s="297">
        <v>-41644518.299999997</v>
      </c>
      <c r="DZ37" s="297">
        <v>-33147228.850000001</v>
      </c>
      <c r="EA37" s="297">
        <v>-8036298.5699999994</v>
      </c>
      <c r="EB37" s="297">
        <v>-23758044.280000005</v>
      </c>
      <c r="EC37" s="297">
        <v>-16421282.090000002</v>
      </c>
      <c r="ED37" s="297">
        <v>-58997542.82</v>
      </c>
      <c r="EE37" s="297">
        <v>-87374356.969999984</v>
      </c>
      <c r="EF37" s="297">
        <v>-70826239.079999998</v>
      </c>
      <c r="EG37" s="297">
        <v>-19503797.129999995</v>
      </c>
      <c r="EH37" s="297">
        <v>-18740136.259999998</v>
      </c>
      <c r="EI37" s="297">
        <v>-21681842.650000002</v>
      </c>
      <c r="EJ37" s="297">
        <v>-33573437.990000002</v>
      </c>
      <c r="EK37" s="297">
        <v>-35495550.999999993</v>
      </c>
      <c r="EL37" s="297">
        <v>-15881082.440000001</v>
      </c>
      <c r="EM37" s="297">
        <v>-19731008.999999996</v>
      </c>
      <c r="EN37" s="297">
        <v>-271166145.25999993</v>
      </c>
      <c r="EO37" s="297">
        <v>-23012652.139999997</v>
      </c>
      <c r="EP37" s="297">
        <v>-27177324.439999994</v>
      </c>
      <c r="EQ37" s="297">
        <v>-17100821.489999998</v>
      </c>
      <c r="ER37" s="297">
        <v>-13211007.029999999</v>
      </c>
      <c r="ES37" s="297">
        <v>-7694793.1199999992</v>
      </c>
      <c r="ET37" s="297">
        <v>-52839165.060000002</v>
      </c>
      <c r="EU37" s="297">
        <v>-30973730.330000002</v>
      </c>
      <c r="EV37" s="297">
        <v>-24202089.450000007</v>
      </c>
      <c r="EW37" s="297">
        <v>-310008344.70999992</v>
      </c>
      <c r="EX37" s="297">
        <v>-5007573.6399999997</v>
      </c>
      <c r="EY37" s="297">
        <v>-16090326.960000001</v>
      </c>
      <c r="EZ37" s="297">
        <v>-18908442.489999998</v>
      </c>
      <c r="FA37" s="297">
        <v>-37899661.910000004</v>
      </c>
      <c r="FB37" s="297">
        <v>-53032251.699999996</v>
      </c>
      <c r="FC37" s="297">
        <v>-24779251.169999998</v>
      </c>
      <c r="FD37" s="297">
        <v>-18896567.679999996</v>
      </c>
      <c r="FE37" s="297">
        <v>-13704948.210000001</v>
      </c>
      <c r="FF37" s="297">
        <v>-13410311.98</v>
      </c>
      <c r="FG37" s="297">
        <v>-8663939.2999999989</v>
      </c>
      <c r="FH37" s="297">
        <v>-11796989.640000001</v>
      </c>
      <c r="FI37" s="297">
        <v>-101306451.26000001</v>
      </c>
      <c r="FJ37" s="297">
        <v>-9648324.1899999995</v>
      </c>
      <c r="FK37" s="297">
        <v>-2271110.4899999998</v>
      </c>
      <c r="FL37" s="297">
        <v>-5405358.6999999993</v>
      </c>
      <c r="FM37" s="297">
        <v>-23733151.43</v>
      </c>
      <c r="FN37" s="297">
        <v>-15417555.150000002</v>
      </c>
      <c r="FO37" s="297">
        <v>-7631906.0099999998</v>
      </c>
      <c r="FP37" s="297">
        <v>-5295525.43</v>
      </c>
      <c r="FQ37" s="297">
        <v>-401976834.25000006</v>
      </c>
      <c r="FR37" s="297">
        <v>-17026353.48</v>
      </c>
      <c r="FS37" s="297">
        <v>-30445658.579999998</v>
      </c>
      <c r="FT37" s="297">
        <v>-30489167.140000001</v>
      </c>
      <c r="FU37" s="297">
        <v>-25960622.91</v>
      </c>
      <c r="FV37" s="297">
        <v>-10663090.499999998</v>
      </c>
      <c r="FW37" s="297">
        <v>-57347544.199999996</v>
      </c>
      <c r="FX37" s="297">
        <v>-46785530.469999999</v>
      </c>
      <c r="FY37" s="297">
        <v>-31103025.330000002</v>
      </c>
      <c r="FZ37" s="297">
        <v>-17329708.190000005</v>
      </c>
      <c r="GA37" s="297">
        <v>-63831532.160000011</v>
      </c>
      <c r="GB37" s="297">
        <v>-23997529.309999995</v>
      </c>
      <c r="GC37" s="297">
        <v>-15053820.460000001</v>
      </c>
      <c r="GD37" s="297">
        <v>-7658703.0399999991</v>
      </c>
      <c r="GE37" s="297">
        <v>-191277601.83999997</v>
      </c>
      <c r="GF37" s="297">
        <v>-8518345.7700000014</v>
      </c>
      <c r="GG37" s="297">
        <v>-4914010.7399999993</v>
      </c>
      <c r="GH37" s="297">
        <v>-57601364.160000004</v>
      </c>
      <c r="GI37" s="297">
        <v>-18221828.329999998</v>
      </c>
      <c r="GJ37" s="297">
        <v>-9057675.4199999999</v>
      </c>
      <c r="GK37" s="297">
        <v>-14434501.240000004</v>
      </c>
      <c r="GL37" s="297">
        <v>-24354624.419999998</v>
      </c>
      <c r="GM37" s="297">
        <v>-8786620.6999999993</v>
      </c>
      <c r="GN37" s="297">
        <v>-9049673.2200000007</v>
      </c>
      <c r="GO37" s="297">
        <v>-7460201.8599999994</v>
      </c>
      <c r="GP37" s="297">
        <v>-7082924.9200000009</v>
      </c>
      <c r="GQ37" s="297">
        <v>-153947850.47999999</v>
      </c>
      <c r="GR37" s="297">
        <v>-7836153.5600000005</v>
      </c>
      <c r="GS37" s="297">
        <v>-11690462.049999999</v>
      </c>
      <c r="GT37" s="297">
        <v>-24068785.050000001</v>
      </c>
      <c r="GU37" s="297">
        <v>-3073460.4400000004</v>
      </c>
      <c r="GV37" s="297">
        <v>-13960913.57</v>
      </c>
      <c r="GW37" s="297">
        <v>-13568776.950000001</v>
      </c>
      <c r="GX37" s="297">
        <v>-11822974.840000002</v>
      </c>
      <c r="GY37" s="297">
        <v>-138571884.14999998</v>
      </c>
      <c r="GZ37" s="297">
        <v>-6583540.8799999999</v>
      </c>
      <c r="HA37" s="297">
        <v>-36131286.910000004</v>
      </c>
      <c r="HB37" s="297">
        <v>-29876727.93</v>
      </c>
      <c r="HC37" s="297">
        <v>-636513308.31000006</v>
      </c>
      <c r="HD37" s="297">
        <v>-163363913.69000003</v>
      </c>
      <c r="HE37" s="297">
        <v>-83317331.879999995</v>
      </c>
      <c r="HF37" s="297">
        <v>-90269295.080000028</v>
      </c>
      <c r="HG37" s="297">
        <v>-45603374.820000008</v>
      </c>
      <c r="HH37" s="297">
        <v>-59801066.960000001</v>
      </c>
      <c r="HI37" s="297">
        <v>-31771126.739999998</v>
      </c>
      <c r="HJ37" s="297">
        <v>-337227592.67000008</v>
      </c>
      <c r="HK37" s="297">
        <v>-69923654.889999986</v>
      </c>
      <c r="HL37" s="297">
        <v>-105630433.37</v>
      </c>
      <c r="HM37" s="297">
        <v>-50471931.18</v>
      </c>
      <c r="HN37" s="297">
        <v>-30826040.620000005</v>
      </c>
      <c r="HO37" s="297">
        <v>-35309569.93</v>
      </c>
      <c r="HP37" s="297">
        <v>-50648468.070000008</v>
      </c>
      <c r="HQ37" s="297">
        <v>-42627033.199999996</v>
      </c>
      <c r="HR37" s="297">
        <v>-372542425.43910009</v>
      </c>
      <c r="HS37" s="297">
        <v>-157061688.41000006</v>
      </c>
      <c r="HT37" s="297">
        <v>-24778481.27</v>
      </c>
      <c r="HU37" s="297">
        <v>-14449885.610000001</v>
      </c>
      <c r="HV37" s="297">
        <v>-26155620.820000004</v>
      </c>
      <c r="HW37" s="297">
        <v>-20992151.339999996</v>
      </c>
      <c r="HX37" s="297">
        <v>-61278321.779999994</v>
      </c>
      <c r="HY37" s="297">
        <v>-32968846.440000001</v>
      </c>
      <c r="HZ37" s="297">
        <v>-27113316.09</v>
      </c>
      <c r="IA37" s="297">
        <v>-18332069.010000002</v>
      </c>
      <c r="IB37" s="297">
        <v>-15600602.190000001</v>
      </c>
      <c r="IC37" s="297">
        <v>-26576587.789999999</v>
      </c>
      <c r="ID37" s="297">
        <v>-7724749.330000001</v>
      </c>
      <c r="IE37" s="297">
        <v>-20609607.559999999</v>
      </c>
      <c r="IF37" s="297">
        <v>-12705600.720000001</v>
      </c>
      <c r="IG37" s="297">
        <v>-9107462.6799999997</v>
      </c>
      <c r="IH37" s="297">
        <v>-325345165.01000005</v>
      </c>
      <c r="II37" s="297">
        <v>-46463208.86999999</v>
      </c>
      <c r="IJ37" s="297">
        <v>-18822059.629999999</v>
      </c>
      <c r="IK37" s="297">
        <v>-73761444.030000001</v>
      </c>
      <c r="IL37" s="297">
        <v>-107907259.50000001</v>
      </c>
      <c r="IM37" s="297">
        <v>-37366466.289999999</v>
      </c>
      <c r="IN37" s="297">
        <v>-11596101.220000003</v>
      </c>
      <c r="IO37" s="297">
        <v>-14421699.869999999</v>
      </c>
      <c r="IP37" s="297">
        <v>-16336943.26</v>
      </c>
      <c r="IQ37" s="297">
        <v>-26319265.580000006</v>
      </c>
      <c r="IR37" s="297">
        <v>-18801293.420000002</v>
      </c>
      <c r="IS37" s="297">
        <v>-494028889</v>
      </c>
      <c r="IT37" s="297">
        <v>-355822434.49000007</v>
      </c>
      <c r="IU37" s="297">
        <v>-12530279.15</v>
      </c>
      <c r="IV37" s="297">
        <v>-33812533.530000001</v>
      </c>
      <c r="IW37" s="297">
        <v>-19870406.449999999</v>
      </c>
      <c r="IX37" s="297">
        <v>-10054793.51</v>
      </c>
      <c r="IY37" s="297">
        <v>-21899364.860000003</v>
      </c>
      <c r="IZ37" s="297">
        <v>-5589827.54</v>
      </c>
      <c r="JA37" s="297">
        <v>-12906189.52</v>
      </c>
      <c r="JB37" s="297">
        <v>-20948349.279999997</v>
      </c>
      <c r="JC37" s="297">
        <v>-48069386.909999996</v>
      </c>
      <c r="JD37" s="297">
        <v>-16855151.680000003</v>
      </c>
      <c r="JE37" s="297">
        <v>-64616471.930000007</v>
      </c>
      <c r="JF37" s="297">
        <v>-73828448.930000007</v>
      </c>
      <c r="JG37" s="297">
        <v>-25110206.430000003</v>
      </c>
      <c r="JH37" s="297">
        <v>-20027897.670000002</v>
      </c>
      <c r="JI37" s="297">
        <v>-15858947.949999997</v>
      </c>
      <c r="JJ37" s="297">
        <v>-9737130.2100000009</v>
      </c>
      <c r="JK37" s="297">
        <v>-282315443.58999997</v>
      </c>
      <c r="JL37" s="297">
        <v>-23308388.029999997</v>
      </c>
      <c r="JM37" s="297">
        <v>-32184933.350000005</v>
      </c>
      <c r="JN37" s="297">
        <v>-82512819.120000005</v>
      </c>
      <c r="JO37" s="297">
        <v>-34253636.090000004</v>
      </c>
      <c r="JP37" s="297">
        <v>-58269871.149999984</v>
      </c>
      <c r="JQ37" s="297">
        <v>-18584716.5</v>
      </c>
      <c r="JR37" s="297">
        <v>-232901235.74000001</v>
      </c>
      <c r="JS37" s="297">
        <v>-145640672.84999996</v>
      </c>
      <c r="JT37" s="297">
        <v>-16197490.089999996</v>
      </c>
      <c r="JU37" s="297">
        <v>-7280031.4299999997</v>
      </c>
      <c r="JV37" s="297">
        <v>-16814441.370000001</v>
      </c>
      <c r="JW37" s="297">
        <v>-4978236.3899999997</v>
      </c>
      <c r="JX37" s="297">
        <v>-67842077.109999985</v>
      </c>
      <c r="JY37" s="297">
        <v>-23533483.729999997</v>
      </c>
      <c r="JZ37" s="297">
        <v>-18421725.619999997</v>
      </c>
      <c r="KA37" s="297">
        <v>-18476759.530000001</v>
      </c>
      <c r="KB37" s="297">
        <v>-12007314.470000001</v>
      </c>
      <c r="KC37" s="297">
        <v>-15016249.620000001</v>
      </c>
      <c r="KD37" s="297">
        <v>-9065765.8499999996</v>
      </c>
      <c r="KE37" s="297">
        <v>-3044163.9299999997</v>
      </c>
      <c r="KF37" s="297">
        <v>-7631728.2100000009</v>
      </c>
      <c r="KG37" s="297">
        <v>-9537427.7699999996</v>
      </c>
      <c r="KH37" s="297">
        <v>-663334143.51000011</v>
      </c>
      <c r="KI37" s="297">
        <v>-62839634.900000006</v>
      </c>
      <c r="KJ37" s="297">
        <v>-25267431.549999997</v>
      </c>
      <c r="KK37" s="297">
        <v>-23766510.590000004</v>
      </c>
      <c r="KL37" s="297">
        <v>-12073528.919</v>
      </c>
      <c r="KM37" s="297">
        <v>-25000994.639999997</v>
      </c>
      <c r="KN37" s="297">
        <v>-84267623.290000007</v>
      </c>
      <c r="KO37" s="297">
        <v>-14044117.41</v>
      </c>
      <c r="KP37" s="297">
        <v>-16600917.629999999</v>
      </c>
      <c r="KQ37" s="297">
        <v>-202435093.23000002</v>
      </c>
      <c r="KR37" s="297">
        <v>-24068446.420000002</v>
      </c>
      <c r="KS37" s="297">
        <v>-25201580.579999998</v>
      </c>
      <c r="KT37" s="297">
        <v>-103517272.72</v>
      </c>
      <c r="KU37" s="297">
        <v>-28682914.289999999</v>
      </c>
      <c r="KV37" s="297">
        <v>-32149238.210000001</v>
      </c>
      <c r="KW37" s="297">
        <v>-217521726.46000004</v>
      </c>
      <c r="KX37" s="297">
        <v>-27393691.219999999</v>
      </c>
      <c r="KY37" s="297">
        <v>-282575412.89999998</v>
      </c>
      <c r="KZ37" s="297">
        <v>-16768265.5</v>
      </c>
      <c r="LA37" s="297">
        <v>-10376918.51</v>
      </c>
      <c r="LB37" s="297">
        <v>-28512289.210000001</v>
      </c>
      <c r="LC37" s="297">
        <v>-35967345.120000012</v>
      </c>
      <c r="LD37" s="297">
        <v>-23059663.16</v>
      </c>
      <c r="LE37" s="297">
        <v>-19440093.920000002</v>
      </c>
      <c r="LF37" s="297">
        <v>-20221812.109999999</v>
      </c>
      <c r="LG37" s="297">
        <v>-660640826.91999972</v>
      </c>
      <c r="LH37" s="297">
        <v>-152355512.67999998</v>
      </c>
      <c r="LI37" s="297">
        <v>-72221609.469999999</v>
      </c>
      <c r="LJ37" s="297">
        <v>-132172709.28999998</v>
      </c>
      <c r="LK37" s="297">
        <v>-31979155.309999991</v>
      </c>
      <c r="LL37" s="297">
        <v>-26014182.919999998</v>
      </c>
      <c r="LM37" s="297">
        <v>-12517074.41</v>
      </c>
      <c r="LN37" s="297">
        <v>-36057317.640000001</v>
      </c>
      <c r="LO37" s="297">
        <v>-17339408.349999998</v>
      </c>
      <c r="LP37" s="297">
        <v>-41814034.120000005</v>
      </c>
      <c r="LQ37" s="297">
        <v>-9332852.8099999987</v>
      </c>
      <c r="LR37" s="297">
        <v>-194435105.80000001</v>
      </c>
      <c r="LS37" s="297">
        <v>-20781837.120000001</v>
      </c>
      <c r="LT37" s="297">
        <v>-10877775.529999999</v>
      </c>
      <c r="LU37" s="297">
        <v>-439697497.50999999</v>
      </c>
      <c r="LV37" s="297">
        <v>-166718225.14000008</v>
      </c>
      <c r="LW37" s="297">
        <v>-479052820.83000004</v>
      </c>
      <c r="LX37" s="297">
        <v>-118623339.56999998</v>
      </c>
      <c r="LY37" s="297">
        <v>-42325812.600000001</v>
      </c>
      <c r="LZ37" s="297">
        <v>-61187171.56000001</v>
      </c>
      <c r="MA37" s="297">
        <v>-42922413.259999998</v>
      </c>
      <c r="MB37" s="297">
        <v>-32632078.960000001</v>
      </c>
      <c r="MC37" s="297">
        <v>-45297444.969999991</v>
      </c>
      <c r="MD37" s="297">
        <v>-35445761.100000001</v>
      </c>
      <c r="ME37" s="297">
        <v>-98334517.450000003</v>
      </c>
      <c r="MF37" s="297">
        <v>-27097700.900000002</v>
      </c>
      <c r="MG37" s="297">
        <v>-513834916.61999995</v>
      </c>
      <c r="MH37" s="297">
        <v>-17488251.050000001</v>
      </c>
      <c r="MI37" s="297">
        <v>-10239344.279999999</v>
      </c>
      <c r="MJ37" s="297">
        <v>-5335949.8499999996</v>
      </c>
      <c r="MK37" s="297">
        <v>-6368437.6500000004</v>
      </c>
      <c r="ML37" s="297">
        <v>-14861374.109999999</v>
      </c>
      <c r="MM37" s="297">
        <v>-18755458.459999997</v>
      </c>
      <c r="MN37" s="297">
        <v>-9540939.3900000006</v>
      </c>
      <c r="MO37" s="297">
        <v>-30714299.990000002</v>
      </c>
      <c r="MP37" s="297">
        <v>-14532490.039999997</v>
      </c>
      <c r="MQ37" s="297">
        <v>-15062521.269999998</v>
      </c>
      <c r="MR37" s="297">
        <v>-10933681.620000001</v>
      </c>
      <c r="MS37" s="297">
        <v>-358572248.18000001</v>
      </c>
      <c r="MT37" s="297">
        <v>-27225503.390000001</v>
      </c>
      <c r="MU37" s="297">
        <v>-34021763.68</v>
      </c>
      <c r="MV37" s="297">
        <v>-42383345.790000007</v>
      </c>
      <c r="MW37" s="297">
        <v>-59950524.890000001</v>
      </c>
      <c r="MX37" s="297">
        <v>-24414062.229999997</v>
      </c>
      <c r="MY37" s="297">
        <v>-63375935.709199995</v>
      </c>
      <c r="MZ37" s="297">
        <v>-62033932.210000008</v>
      </c>
      <c r="NA37" s="297">
        <v>-37484079.829999991</v>
      </c>
      <c r="NB37" s="297">
        <v>-15571242.479999999</v>
      </c>
      <c r="NC37" s="297">
        <v>-5657707.6599999983</v>
      </c>
      <c r="ND37" s="297">
        <v>-765655302.94000006</v>
      </c>
      <c r="NE37" s="297">
        <v>-56421842.530000009</v>
      </c>
      <c r="NF37" s="297">
        <v>-16779306.43</v>
      </c>
      <c r="NG37" s="297">
        <v>-365031167.20000011</v>
      </c>
      <c r="NH37" s="297">
        <v>-24359767.720000003</v>
      </c>
      <c r="NI37" s="297">
        <v>-45573734.32</v>
      </c>
      <c r="NJ37" s="297">
        <v>-156640588.27000004</v>
      </c>
      <c r="NK37" s="297">
        <v>-164086168.89999998</v>
      </c>
      <c r="NL37" s="297">
        <v>-4084528.63</v>
      </c>
      <c r="NM37" s="297">
        <v>-57606238.159999996</v>
      </c>
      <c r="NN37" s="297">
        <v>-20332020.219999999</v>
      </c>
      <c r="NO37" s="297">
        <v>-19168195.771000002</v>
      </c>
      <c r="NP37" s="297">
        <v>-91409801.910000011</v>
      </c>
      <c r="NQ37" s="297">
        <v>-8818208.879999999</v>
      </c>
      <c r="NR37" s="297">
        <v>-15378273.069999998</v>
      </c>
      <c r="NS37" s="297">
        <v>-7549836.5600000005</v>
      </c>
      <c r="NT37" s="297">
        <v>-5461062.9299999997</v>
      </c>
      <c r="NU37" s="297">
        <v>-2375392.1399999997</v>
      </c>
      <c r="NV37" s="297">
        <v>-4173113</v>
      </c>
      <c r="NW37" s="297">
        <v>-410318074.67999995</v>
      </c>
      <c r="NX37" s="297">
        <v>-182546050.41</v>
      </c>
      <c r="NY37" s="297">
        <v>-23658637.529999997</v>
      </c>
      <c r="NZ37" s="297">
        <v>-22587119.739999995</v>
      </c>
      <c r="OA37" s="297">
        <v>-17596846.129999999</v>
      </c>
      <c r="OB37" s="297">
        <v>-41454747.490000002</v>
      </c>
      <c r="OC37" s="297">
        <v>-19801008.419999998</v>
      </c>
      <c r="OD37" s="297">
        <v>-384052399.90999997</v>
      </c>
      <c r="OE37" s="297">
        <v>-137429061.90000001</v>
      </c>
      <c r="OF37" s="297">
        <v>-29187258.949999996</v>
      </c>
      <c r="OG37" s="297">
        <v>-112979839.71000001</v>
      </c>
      <c r="OH37" s="297">
        <v>-33812587.059999995</v>
      </c>
      <c r="OI37" s="297">
        <v>-33597499.989999995</v>
      </c>
      <c r="OJ37" s="297">
        <v>-91749222.829999998</v>
      </c>
      <c r="OK37" s="297">
        <v>-15397487.469999999</v>
      </c>
      <c r="OL37" s="297">
        <v>-41390936.410000004</v>
      </c>
      <c r="OM37" s="297">
        <v>-334235881.66000003</v>
      </c>
      <c r="ON37" s="297">
        <v>-95472988.670000017</v>
      </c>
      <c r="OO37" s="297">
        <v>-242981904.56999999</v>
      </c>
      <c r="OP37" s="297">
        <v>-44986492.290000007</v>
      </c>
      <c r="OQ37" s="297">
        <v>-51840235.170000002</v>
      </c>
      <c r="OR37" s="297">
        <v>-33272711.27</v>
      </c>
      <c r="OS37" s="297">
        <v>-158028902.82000002</v>
      </c>
      <c r="OT37" s="297">
        <v>-18045965.780000005</v>
      </c>
      <c r="OU37" s="297">
        <v>-18892421.210000001</v>
      </c>
      <c r="OV37" s="297">
        <v>-13303128.599999998</v>
      </c>
      <c r="OW37" s="297">
        <v>-19015159.980000004</v>
      </c>
      <c r="OX37" s="297">
        <v>-82231330.199999988</v>
      </c>
      <c r="OY37" s="297">
        <v>-16875638.969999999</v>
      </c>
      <c r="OZ37" s="297">
        <v>-10501474.879999999</v>
      </c>
      <c r="PA37" s="297">
        <v>-15163413.16</v>
      </c>
      <c r="PB37" s="297">
        <v>-245246142.67000002</v>
      </c>
      <c r="PC37" s="297">
        <v>-8433547.2300000004</v>
      </c>
      <c r="PD37" s="297">
        <v>-58280986.830000006</v>
      </c>
      <c r="PE37" s="297">
        <v>-10140429.140000001</v>
      </c>
      <c r="PF37" s="297">
        <v>-14126009.680000002</v>
      </c>
      <c r="PG37" s="297">
        <v>-42897236.140000001</v>
      </c>
      <c r="PH37" s="297">
        <v>-17617571.350000001</v>
      </c>
      <c r="PI37" s="297">
        <v>-17117404.850000001</v>
      </c>
      <c r="PJ37" s="297">
        <v>-23531739.41</v>
      </c>
      <c r="PK37" s="297">
        <v>-19642577.010000005</v>
      </c>
      <c r="PL37" s="297">
        <v>-14101493.819999998</v>
      </c>
      <c r="PM37" s="297">
        <v>-37502488.730000004</v>
      </c>
      <c r="PN37" s="297">
        <v>-15106046.490000002</v>
      </c>
      <c r="PO37" s="297">
        <v>-74292867.360000014</v>
      </c>
      <c r="PP37" s="297">
        <v>-11545850.900000002</v>
      </c>
      <c r="PQ37" s="297">
        <v>-11278519.119999999</v>
      </c>
      <c r="PR37" s="297">
        <v>-12471128.960000001</v>
      </c>
      <c r="PS37" s="297">
        <v>-7392356.1600000001</v>
      </c>
      <c r="PT37" s="297">
        <v>-813174653.00000012</v>
      </c>
      <c r="PU37" s="297">
        <v>-40773317.340000011</v>
      </c>
      <c r="PV37" s="297">
        <v>-20627658.720000003</v>
      </c>
      <c r="PW37" s="297">
        <v>-12280060.939999999</v>
      </c>
      <c r="PX37" s="297">
        <v>-188477201.03999996</v>
      </c>
      <c r="PY37" s="297">
        <v>-36069119.099999994</v>
      </c>
      <c r="PZ37" s="297">
        <v>-67913187.86999999</v>
      </c>
      <c r="QA37" s="297">
        <v>-16756298.369999999</v>
      </c>
      <c r="QB37" s="297">
        <v>-67233199.939999998</v>
      </c>
      <c r="QC37" s="297">
        <v>-8910221.4100000001</v>
      </c>
      <c r="QD37" s="297">
        <v>-56240259.410000004</v>
      </c>
      <c r="QE37" s="297">
        <v>-23806616.710000005</v>
      </c>
      <c r="QF37" s="297">
        <v>-11196297.52</v>
      </c>
      <c r="QG37" s="297">
        <v>-18252158.82</v>
      </c>
      <c r="QH37" s="297">
        <v>-41637012.020000011</v>
      </c>
      <c r="QI37" s="297">
        <v>-17818082.199999999</v>
      </c>
      <c r="QJ37" s="297">
        <v>-27213203.489999991</v>
      </c>
      <c r="QK37" s="297">
        <v>-24138568.659999996</v>
      </c>
      <c r="QL37" s="297">
        <v>-17767890.029999997</v>
      </c>
      <c r="QM37" s="297">
        <v>-69224636.499999985</v>
      </c>
      <c r="QN37" s="297">
        <v>-71222835.469999999</v>
      </c>
      <c r="QO37" s="297">
        <v>-16240139.650000004</v>
      </c>
      <c r="QP37" s="297">
        <v>-5060823.1000000006</v>
      </c>
      <c r="QQ37" s="297">
        <v>-10378642.880000001</v>
      </c>
      <c r="QR37" s="297">
        <v>-4597725.0200000005</v>
      </c>
      <c r="QS37" s="297">
        <v>-9616721.0000000019</v>
      </c>
      <c r="QT37" s="297">
        <v>-280970271.1099999</v>
      </c>
      <c r="QU37" s="297">
        <v>-8634939.2300000004</v>
      </c>
      <c r="QV37" s="297">
        <v>-57249553.640000001</v>
      </c>
      <c r="QW37" s="297">
        <v>-6584276.4299999997</v>
      </c>
      <c r="QX37" s="297">
        <v>-13705827.66</v>
      </c>
      <c r="QY37" s="297">
        <v>-57257311.969999984</v>
      </c>
      <c r="QZ37" s="297">
        <v>-23815329.129999995</v>
      </c>
      <c r="RA37" s="297">
        <v>-39070443.420000002</v>
      </c>
      <c r="RB37" s="297">
        <v>-27724854.180000003</v>
      </c>
      <c r="RC37" s="297">
        <v>-24022595.389999997</v>
      </c>
      <c r="RD37" s="297">
        <v>-13752608.539999999</v>
      </c>
      <c r="RE37" s="297">
        <v>-4990650.8499999996</v>
      </c>
      <c r="RF37" s="297">
        <v>-12314215.570000002</v>
      </c>
      <c r="RG37" s="297">
        <v>-446869241.46999991</v>
      </c>
      <c r="RH37" s="297">
        <v>-81082568.639999986</v>
      </c>
      <c r="RI37" s="297">
        <v>-22115940.310000002</v>
      </c>
      <c r="RJ37" s="297">
        <v>-22406335.910000004</v>
      </c>
      <c r="RK37" s="297">
        <v>-35229340.389999993</v>
      </c>
      <c r="RL37" s="297">
        <v>-62038779.550000012</v>
      </c>
      <c r="RM37" s="297">
        <v>-117654512.02000001</v>
      </c>
      <c r="RN37" s="297">
        <v>-19037023.529999997</v>
      </c>
      <c r="RO37" s="297">
        <v>-20877004.219999999</v>
      </c>
      <c r="RP37" s="297">
        <v>-68484915.819999993</v>
      </c>
      <c r="RQ37" s="297">
        <v>-90568555.460000008</v>
      </c>
      <c r="RR37" s="297">
        <v>-26743875.220000003</v>
      </c>
      <c r="RS37" s="297">
        <v>-20742898.890000001</v>
      </c>
      <c r="RT37" s="297">
        <v>-32439249.469999999</v>
      </c>
      <c r="RU37" s="297">
        <v>-16333326.83</v>
      </c>
      <c r="RV37" s="297">
        <v>-17305910.780000001</v>
      </c>
      <c r="RW37" s="297">
        <v>-24626281.700000007</v>
      </c>
      <c r="RX37" s="297">
        <v>-17317339.16</v>
      </c>
      <c r="RY37" s="297">
        <v>-11103246.159999998</v>
      </c>
      <c r="RZ37" s="297">
        <v>-13978438.959999999</v>
      </c>
      <c r="SA37" s="297">
        <v>-194493504.03000003</v>
      </c>
      <c r="SB37" s="297">
        <v>-11675440.329999998</v>
      </c>
      <c r="SC37" s="297">
        <v>-18423586.389999997</v>
      </c>
      <c r="SD37" s="297">
        <v>-23575937.619999997</v>
      </c>
      <c r="SE37" s="297">
        <v>-12478192.219999999</v>
      </c>
      <c r="SF37" s="297">
        <v>-27398721.599999998</v>
      </c>
      <c r="SG37" s="297">
        <v>-28819297.07</v>
      </c>
      <c r="SH37" s="297">
        <v>-29625540.16</v>
      </c>
      <c r="SI37" s="297">
        <v>-19098938.419999998</v>
      </c>
      <c r="SJ37" s="297">
        <v>-13621060.100000001</v>
      </c>
      <c r="SK37" s="297">
        <v>-86238978.070000008</v>
      </c>
      <c r="SL37" s="297">
        <v>-7583787.5800000001</v>
      </c>
      <c r="SM37" s="297">
        <v>-105075280.19</v>
      </c>
      <c r="SN37" s="297">
        <v>-19744252.249999996</v>
      </c>
      <c r="SO37" s="297">
        <v>-28019270.739999998</v>
      </c>
      <c r="SP37" s="297">
        <v>-44452355.730000004</v>
      </c>
      <c r="SQ37" s="297">
        <v>-13911197.08</v>
      </c>
      <c r="SR37" s="297">
        <v>-8993334.1399999987</v>
      </c>
      <c r="SS37" s="297">
        <v>-21959722.470000003</v>
      </c>
      <c r="ST37" s="297">
        <v>-15734229.389999999</v>
      </c>
      <c r="SU37" s="297">
        <v>-287229472.67000002</v>
      </c>
      <c r="SV37" s="297">
        <v>-9887546.040000001</v>
      </c>
      <c r="SW37" s="297">
        <v>-22308143.559999999</v>
      </c>
      <c r="SX37" s="297">
        <v>-22179195.609999999</v>
      </c>
      <c r="SY37" s="297">
        <v>-4934518.78</v>
      </c>
      <c r="SZ37" s="297">
        <v>-6161390.1699999999</v>
      </c>
      <c r="TA37" s="297">
        <v>-4418789</v>
      </c>
      <c r="TB37" s="297">
        <v>-64660083.089999996</v>
      </c>
      <c r="TC37" s="297">
        <v>-13593458.98</v>
      </c>
      <c r="TD37" s="297">
        <v>-13541744.979999999</v>
      </c>
      <c r="TE37" s="297">
        <v>-11790626.349999998</v>
      </c>
      <c r="TF37" s="297">
        <v>-35341995.450000003</v>
      </c>
      <c r="TG37" s="297">
        <v>-9859121.4399999995</v>
      </c>
      <c r="TH37" s="297">
        <v>-9012525.5299999993</v>
      </c>
      <c r="TI37" s="297">
        <v>-637384252.69000006</v>
      </c>
      <c r="TJ37" s="297">
        <v>-17835267.560000006</v>
      </c>
      <c r="TK37" s="297">
        <v>-19753271.480000004</v>
      </c>
      <c r="TL37" s="297">
        <v>-68329937.090000004</v>
      </c>
      <c r="TM37" s="297">
        <v>-25252089.370000001</v>
      </c>
      <c r="TN37" s="297">
        <v>-10556358.299999999</v>
      </c>
      <c r="TO37" s="297">
        <v>-10524148.17</v>
      </c>
      <c r="TP37" s="297">
        <v>-72029371.12999998</v>
      </c>
      <c r="TQ37" s="297">
        <v>-14561884.32</v>
      </c>
      <c r="TR37" s="297">
        <v>-35971791.989999995</v>
      </c>
      <c r="TS37" s="297">
        <v>-37480071.909999996</v>
      </c>
      <c r="TT37" s="297">
        <v>-15604717.470000001</v>
      </c>
      <c r="TU37" s="297">
        <v>-10381459.27</v>
      </c>
      <c r="TV37" s="297">
        <v>-20341833</v>
      </c>
      <c r="TW37" s="297">
        <v>-26302540.040000003</v>
      </c>
      <c r="TX37" s="297">
        <v>-7164548.3099999996</v>
      </c>
      <c r="TY37" s="297">
        <v>-110646491.16999999</v>
      </c>
      <c r="TZ37" s="297">
        <v>-6665999.71</v>
      </c>
      <c r="UA37" s="297">
        <v>-150895276.86000001</v>
      </c>
      <c r="UB37" s="297">
        <v>-63073772.599999994</v>
      </c>
      <c r="UC37" s="297">
        <v>-28027773.669999998</v>
      </c>
      <c r="UD37" s="297">
        <v>-21774467.34</v>
      </c>
      <c r="UE37" s="297">
        <v>-264802083.41</v>
      </c>
      <c r="UF37" s="297">
        <v>-12191640.579999998</v>
      </c>
      <c r="UG37" s="297">
        <v>-15259016.200000001</v>
      </c>
      <c r="UH37" s="297">
        <v>-28164130.59</v>
      </c>
      <c r="UI37" s="297">
        <v>-17642622.890000004</v>
      </c>
      <c r="UJ37" s="297">
        <v>-159812939.45000008</v>
      </c>
      <c r="UK37" s="297">
        <v>-49867044.380000003</v>
      </c>
      <c r="UL37" s="297">
        <v>-34922094.93</v>
      </c>
      <c r="UM37" s="297">
        <v>-50452872.710000001</v>
      </c>
      <c r="UN37" s="297">
        <v>-29709742.119999994</v>
      </c>
      <c r="UO37" s="297">
        <v>-30752904.629999995</v>
      </c>
      <c r="UP37" s="297">
        <v>-609573244.08999991</v>
      </c>
      <c r="UQ37" s="297">
        <v>-40643894.829999991</v>
      </c>
      <c r="UR37" s="297">
        <v>-29765191.170000002</v>
      </c>
      <c r="US37" s="297">
        <v>-176959124.31999993</v>
      </c>
      <c r="UT37" s="297">
        <v>-9539903.8999999985</v>
      </c>
      <c r="UU37" s="297">
        <v>-24668699.350000001</v>
      </c>
      <c r="UV37" s="297">
        <v>-92681483.609999985</v>
      </c>
      <c r="UW37" s="297">
        <v>-14577206.149999999</v>
      </c>
      <c r="UX37" s="297">
        <v>-21632345.940000001</v>
      </c>
      <c r="UY37" s="297">
        <v>-22203314.719999999</v>
      </c>
      <c r="UZ37" s="297">
        <v>-36469244.669999994</v>
      </c>
      <c r="VA37" s="297">
        <v>-71535339.219999999</v>
      </c>
      <c r="VB37" s="297">
        <v>-33399706.91</v>
      </c>
      <c r="VC37" s="297">
        <v>-38537159.830000006</v>
      </c>
      <c r="VD37" s="297">
        <v>-22796347.119999997</v>
      </c>
      <c r="VE37" s="297">
        <v>-25198455.190000005</v>
      </c>
      <c r="VF37" s="297">
        <v>-24980341.150000002</v>
      </c>
      <c r="VG37" s="297">
        <v>-16649795.749999998</v>
      </c>
      <c r="VH37" s="297">
        <v>-79052455.689999998</v>
      </c>
      <c r="VI37" s="297">
        <v>-17621804.050000001</v>
      </c>
      <c r="VJ37" s="297">
        <v>-10372051.76</v>
      </c>
      <c r="VK37" s="297">
        <v>-7861752.6100000003</v>
      </c>
      <c r="VL37" s="297">
        <v>-410353791.69000006</v>
      </c>
      <c r="VM37" s="297">
        <v>-22694445.990000002</v>
      </c>
      <c r="VN37" s="297">
        <v>-29592864.620000001</v>
      </c>
      <c r="VO37" s="297">
        <v>-52587178.38000001</v>
      </c>
      <c r="VP37" s="297">
        <v>-69804342.579999998</v>
      </c>
      <c r="VQ37" s="297">
        <v>-49118378.120000005</v>
      </c>
      <c r="VR37" s="297">
        <v>-38573203.659999996</v>
      </c>
      <c r="VS37" s="297">
        <v>-9678248.620000001</v>
      </c>
      <c r="VT37" s="297">
        <v>-26006302.130000003</v>
      </c>
      <c r="VU37" s="297">
        <v>-147825803.91</v>
      </c>
      <c r="VV37" s="297">
        <v>-15457788.440000001</v>
      </c>
      <c r="VW37" s="297">
        <v>-39805712.900000006</v>
      </c>
      <c r="VX37" s="297">
        <v>-27963036.889999997</v>
      </c>
      <c r="VY37" s="297">
        <v>-5919237.9499999993</v>
      </c>
      <c r="VZ37" s="297">
        <v>-12651382.390000001</v>
      </c>
      <c r="WA37" s="297">
        <v>-660295536.93000007</v>
      </c>
      <c r="WB37" s="297">
        <v>-30531040.410000004</v>
      </c>
      <c r="WC37" s="297">
        <v>-18416249.120000001</v>
      </c>
      <c r="WD37" s="297">
        <v>-15430389.650000002</v>
      </c>
      <c r="WE37" s="297">
        <v>-9804359.1199999992</v>
      </c>
      <c r="WF37" s="297">
        <v>-27051026.170000006</v>
      </c>
      <c r="WG37" s="297">
        <v>-48790881.199999996</v>
      </c>
      <c r="WH37" s="297">
        <v>-32192836.740000002</v>
      </c>
      <c r="WI37" s="297">
        <v>-21454792.109999996</v>
      </c>
      <c r="WJ37" s="297">
        <v>-50807550.720000014</v>
      </c>
      <c r="WK37" s="297">
        <v>-13813670.359999999</v>
      </c>
      <c r="WL37" s="297">
        <v>-58151060.440000005</v>
      </c>
      <c r="WM37" s="297">
        <v>-15801176.029999999</v>
      </c>
      <c r="WN37" s="297">
        <v>-56047043.240000017</v>
      </c>
      <c r="WO37" s="297">
        <v>-71937241.829999998</v>
      </c>
      <c r="WP37" s="297">
        <v>-16772094.76</v>
      </c>
      <c r="WQ37" s="297">
        <v>-27228886.760000002</v>
      </c>
      <c r="WR37" s="297">
        <v>-32200653.210000001</v>
      </c>
      <c r="WS37" s="297">
        <v>-10024725.820000002</v>
      </c>
      <c r="WT37" s="297">
        <v>-42327427.709999986</v>
      </c>
      <c r="WU37" s="297">
        <v>-259839342.38999996</v>
      </c>
      <c r="WV37" s="297">
        <v>-29597323.689999994</v>
      </c>
      <c r="WW37" s="297">
        <v>-21120914.510000005</v>
      </c>
      <c r="WX37" s="297">
        <v>-14456742.1</v>
      </c>
      <c r="WY37" s="297">
        <v>-13515079.720000004</v>
      </c>
      <c r="WZ37" s="297">
        <v>-19266040.789999999</v>
      </c>
      <c r="XA37" s="297">
        <v>-8666091.3899999987</v>
      </c>
      <c r="XB37" s="297">
        <v>-15717474.100000001</v>
      </c>
      <c r="XC37" s="297">
        <v>-100838179.59999998</v>
      </c>
      <c r="XD37" s="297">
        <v>-14851754.239999998</v>
      </c>
      <c r="XE37" s="297">
        <v>-7387322.2700000014</v>
      </c>
      <c r="XF37" s="297">
        <v>-7591449.2999999998</v>
      </c>
      <c r="XG37" s="297">
        <v>-16917163.919999998</v>
      </c>
      <c r="XH37" s="297">
        <v>-249461725.60999998</v>
      </c>
      <c r="XI37" s="297">
        <v>-35796780.629999995</v>
      </c>
      <c r="XJ37" s="297">
        <v>-42044721.530000001</v>
      </c>
      <c r="XK37" s="297">
        <v>-166207825.80000004</v>
      </c>
      <c r="XL37" s="297">
        <v>-19362225.930000003</v>
      </c>
      <c r="XM37" s="297">
        <v>-19774057.560000002</v>
      </c>
      <c r="XN37" s="297">
        <v>-72835714.370000005</v>
      </c>
      <c r="XO37" s="297">
        <v>-21734092.149999999</v>
      </c>
      <c r="XP37" s="297">
        <v>-22802899.849999998</v>
      </c>
      <c r="XQ37" s="297">
        <v>-65753465.729999997</v>
      </c>
      <c r="XR37" s="297">
        <v>-58267874.670000009</v>
      </c>
      <c r="XS37" s="297">
        <v>-19387860.27</v>
      </c>
      <c r="XT37" s="297">
        <v>-17929475.700000007</v>
      </c>
      <c r="XU37" s="297">
        <v>-13188004.6</v>
      </c>
      <c r="XV37" s="297">
        <v>-15694948.310000002</v>
      </c>
      <c r="XW37" s="297">
        <v>-14605917.449999999</v>
      </c>
      <c r="XX37" s="297">
        <v>-9265630.0900000017</v>
      </c>
      <c r="XY37" s="297">
        <v>-17832374.779999997</v>
      </c>
      <c r="XZ37" s="297">
        <v>-10139317.49</v>
      </c>
      <c r="YA37" s="297">
        <v>-8160013.919999999</v>
      </c>
      <c r="YB37" s="297">
        <v>-10887708.33</v>
      </c>
      <c r="YC37" s="297">
        <v>-16296628.699999999</v>
      </c>
      <c r="YD37" s="297">
        <v>-16240186.5</v>
      </c>
      <c r="YE37" s="297">
        <v>-344285190.17999995</v>
      </c>
      <c r="YF37" s="297">
        <v>-23126497.079999994</v>
      </c>
      <c r="YG37" s="297">
        <v>-53167180.479999997</v>
      </c>
      <c r="YH37" s="297">
        <v>-12112039.92</v>
      </c>
      <c r="YI37" s="297">
        <v>-100503068.73999999</v>
      </c>
      <c r="YJ37" s="297">
        <v>-16188405.910000002</v>
      </c>
      <c r="YK37" s="297">
        <v>-48508039.309999987</v>
      </c>
      <c r="YL37" s="297">
        <v>-8768460.1999999993</v>
      </c>
      <c r="YM37" s="297">
        <v>-118585345.02</v>
      </c>
      <c r="YN37" s="297">
        <v>-52471152.359999999</v>
      </c>
      <c r="YO37" s="297">
        <v>-15671751.580000002</v>
      </c>
      <c r="YP37" s="297">
        <v>-13928593.07</v>
      </c>
      <c r="YQ37" s="297">
        <v>-24588834.670000002</v>
      </c>
      <c r="YR37" s="297">
        <v>-7788313.1400000006</v>
      </c>
      <c r="YS37" s="297">
        <v>-10191592.299999999</v>
      </c>
      <c r="YT37" s="297">
        <v>-24448834.800000001</v>
      </c>
      <c r="YU37" s="297">
        <v>-8416008.5099999998</v>
      </c>
      <c r="YV37" s="297">
        <v>-135523880.00999999</v>
      </c>
      <c r="YW37" s="297">
        <v>-18216867.180000003</v>
      </c>
      <c r="YX37" s="297">
        <v>-10597953.75</v>
      </c>
      <c r="YY37" s="297">
        <v>-9787653.2899999991</v>
      </c>
      <c r="YZ37" s="297">
        <v>-13804559.250000002</v>
      </c>
      <c r="ZA37" s="297">
        <v>-11501631.930000002</v>
      </c>
      <c r="ZB37" s="297">
        <v>-6117536.2299999995</v>
      </c>
      <c r="ZC37" s="297">
        <v>-157376042.50000003</v>
      </c>
      <c r="ZD37" s="297">
        <v>-6609551.3399999999</v>
      </c>
      <c r="ZE37" s="297">
        <v>-17093590.219999999</v>
      </c>
      <c r="ZF37" s="297">
        <v>-15841777.660000002</v>
      </c>
      <c r="ZG37" s="297">
        <v>-12420844.08</v>
      </c>
      <c r="ZH37" s="297">
        <v>-10164094.390000001</v>
      </c>
      <c r="ZI37" s="297">
        <v>-17548397.629999999</v>
      </c>
      <c r="ZJ37" s="297">
        <v>-9835758.75</v>
      </c>
      <c r="ZK37" s="297">
        <v>-75640222.840000004</v>
      </c>
      <c r="ZL37" s="297">
        <v>-423775096.3299998</v>
      </c>
      <c r="ZM37" s="297">
        <v>-12612464.26</v>
      </c>
      <c r="ZN37" s="297">
        <v>-37254017.530000001</v>
      </c>
      <c r="ZO37" s="297">
        <v>-81870462.960000023</v>
      </c>
      <c r="ZP37" s="297">
        <v>-44395214.389999993</v>
      </c>
      <c r="ZQ37" s="297">
        <v>-14314478.34</v>
      </c>
      <c r="ZR37" s="297">
        <v>-23521261.050000001</v>
      </c>
      <c r="ZS37" s="297">
        <v>-41617835.159999996</v>
      </c>
      <c r="ZT37" s="297">
        <v>-30616724.109999999</v>
      </c>
      <c r="ZU37" s="297">
        <v>-66942879.620000012</v>
      </c>
      <c r="ZV37" s="297">
        <v>-7510519.7999999989</v>
      </c>
      <c r="ZW37" s="297">
        <v>-22850932.780000001</v>
      </c>
      <c r="ZX37" s="297">
        <v>-13288533.510000002</v>
      </c>
      <c r="ZY37" s="297">
        <v>-33538396.43</v>
      </c>
      <c r="ZZ37" s="297">
        <v>-13496824.949999999</v>
      </c>
      <c r="AAA37" s="297">
        <v>-15962702.879999999</v>
      </c>
      <c r="AAB37" s="297">
        <v>-15953035.479999999</v>
      </c>
      <c r="AAC37" s="297">
        <v>-7646778.1400000006</v>
      </c>
      <c r="AAD37" s="297">
        <v>-29769940.720000003</v>
      </c>
      <c r="AAE37" s="297">
        <v>-11064352.949999999</v>
      </c>
      <c r="AAF37" s="297">
        <v>-6749544.2699999996</v>
      </c>
      <c r="AAG37" s="297">
        <v>-10665868.9</v>
      </c>
      <c r="AAH37" s="297">
        <v>-111723343.34</v>
      </c>
      <c r="AAI37" s="297">
        <v>-18007452.780000001</v>
      </c>
      <c r="AAJ37" s="297">
        <v>-23851049.789999995</v>
      </c>
      <c r="AAK37" s="297">
        <v>-17633600.830000002</v>
      </c>
      <c r="AAL37" s="297">
        <v>-9907728.4800000004</v>
      </c>
      <c r="AAM37" s="297">
        <v>-35104109.310000002</v>
      </c>
      <c r="AAN37" s="297">
        <v>-5489466.5300000003</v>
      </c>
      <c r="AAO37" s="297">
        <v>-942139662.49000001</v>
      </c>
      <c r="AAP37" s="297">
        <v>-34089773.120000005</v>
      </c>
      <c r="AAQ37" s="297">
        <v>-22670680.469999999</v>
      </c>
      <c r="AAR37" s="297">
        <v>-46302229.670000002</v>
      </c>
      <c r="AAS37" s="297">
        <v>-57538152.25</v>
      </c>
      <c r="AAT37" s="297">
        <v>-11726616.26</v>
      </c>
      <c r="AAU37" s="297">
        <v>-22464510.499999996</v>
      </c>
      <c r="AAV37" s="297">
        <v>-36983055.75999999</v>
      </c>
      <c r="AAW37" s="297">
        <v>-120019014.93000001</v>
      </c>
      <c r="AAX37" s="297">
        <v>-26345480.130000003</v>
      </c>
      <c r="AAY37" s="297">
        <v>-41877886.369999997</v>
      </c>
      <c r="AAZ37" s="297">
        <v>-193445142.09000003</v>
      </c>
      <c r="ABA37" s="297">
        <v>-48784685.780000001</v>
      </c>
      <c r="ABB37" s="297">
        <v>-17096705.370000001</v>
      </c>
      <c r="ABC37" s="297">
        <v>-27419754.309999995</v>
      </c>
      <c r="ABD37" s="297">
        <v>-23709104.089999996</v>
      </c>
      <c r="ABE37" s="297">
        <v>-8005117.1399999987</v>
      </c>
      <c r="ABF37" s="297">
        <v>-15355260.34</v>
      </c>
      <c r="ABG37" s="297">
        <v>-17196626.23</v>
      </c>
      <c r="ABH37" s="297">
        <v>-145779413.98000005</v>
      </c>
      <c r="ABI37" s="297">
        <v>-134564420.19</v>
      </c>
      <c r="ABJ37" s="297">
        <v>-23769586.100000001</v>
      </c>
      <c r="ABK37" s="297">
        <v>-13312373.9</v>
      </c>
      <c r="ABL37" s="297">
        <v>-20265937.130000003</v>
      </c>
      <c r="ABM37" s="297">
        <v>-9314983.6600000001</v>
      </c>
      <c r="ABN37" s="297">
        <v>-11423993.65</v>
      </c>
      <c r="ABO37" s="297">
        <v>-219725166.36000001</v>
      </c>
      <c r="ABP37" s="297">
        <v>-17766596.760000002</v>
      </c>
      <c r="ABQ37" s="297">
        <v>-25193201.370000001</v>
      </c>
      <c r="ABR37" s="297">
        <v>-36915630.669999994</v>
      </c>
      <c r="ABS37" s="297">
        <v>-32202067.75</v>
      </c>
      <c r="ABT37" s="297">
        <v>-16282565.32</v>
      </c>
      <c r="ABU37" s="297">
        <v>-10532900.280000001</v>
      </c>
      <c r="ABV37" s="297">
        <v>-17254365.449999999</v>
      </c>
      <c r="ABW37" s="297">
        <v>-1819708.9200000002</v>
      </c>
      <c r="ABX37" s="297">
        <v>-502683075.15000004</v>
      </c>
      <c r="ABY37" s="297">
        <v>-16004399.92</v>
      </c>
      <c r="ABZ37" s="297">
        <v>-25067373.959999997</v>
      </c>
      <c r="ACA37" s="297">
        <v>-9849288.9699999988</v>
      </c>
      <c r="ACB37" s="297">
        <v>-16858095.18</v>
      </c>
      <c r="ACC37" s="297">
        <v>-126091847.48999998</v>
      </c>
      <c r="ACD37" s="297">
        <v>-5334582.32</v>
      </c>
      <c r="ACE37" s="297">
        <v>-12747511.839999998</v>
      </c>
      <c r="ACF37" s="297">
        <v>-14859851.669999998</v>
      </c>
      <c r="ACG37" s="297">
        <v>-31540557.169999998</v>
      </c>
      <c r="ACH37" s="297">
        <v>-21637979.660000004</v>
      </c>
      <c r="ACI37" s="297">
        <v>-316455432.66000003</v>
      </c>
      <c r="ACJ37" s="297">
        <v>-15882743.43</v>
      </c>
      <c r="ACK37" s="297">
        <v>-28749665.289999995</v>
      </c>
      <c r="ACL37" s="297">
        <v>-49503996.190000005</v>
      </c>
      <c r="ACM37" s="297">
        <v>-12978116.689999999</v>
      </c>
      <c r="ACN37" s="297">
        <v>-51847501.760000005</v>
      </c>
      <c r="ACO37" s="297">
        <v>-18557836.470000003</v>
      </c>
      <c r="ACP37" s="297">
        <v>-160561851.08999997</v>
      </c>
      <c r="ACQ37" s="297">
        <v>-166795267.06000003</v>
      </c>
      <c r="ACR37" s="297">
        <v>-31021808.23</v>
      </c>
      <c r="ACS37" s="297">
        <v>-57224960.130000003</v>
      </c>
      <c r="ACT37" s="297">
        <v>-46548532.870000005</v>
      </c>
      <c r="ACU37" s="297">
        <v>-28862572.110000003</v>
      </c>
      <c r="ACV37" s="297">
        <v>-105394284.53</v>
      </c>
      <c r="ACW37" s="297">
        <v>-23725454.27</v>
      </c>
      <c r="ACX37" s="297">
        <v>-18972581.91</v>
      </c>
      <c r="ACY37" s="297">
        <v>-24923081.140000001</v>
      </c>
      <c r="ACZ37" s="297">
        <v>-21088335.309999999</v>
      </c>
      <c r="ADA37" s="297">
        <v>-19213064.449999999</v>
      </c>
      <c r="ADB37" s="297">
        <v>-10505365.409999998</v>
      </c>
      <c r="ADC37" s="297">
        <v>-25200140.150000002</v>
      </c>
      <c r="ADD37" s="297">
        <v>-11333680.190000003</v>
      </c>
      <c r="ADE37" s="297">
        <v>-11462999.690000001</v>
      </c>
      <c r="ADF37" s="297">
        <v>-104654217.94000001</v>
      </c>
      <c r="ADG37" s="297">
        <v>-59647117.279999986</v>
      </c>
      <c r="ADH37" s="297">
        <v>-4916717.6500000013</v>
      </c>
      <c r="ADI37" s="297">
        <v>-11786602.84</v>
      </c>
      <c r="ADJ37" s="297">
        <v>-31562618.920000002</v>
      </c>
      <c r="ADK37" s="297">
        <v>-14517305.220000001</v>
      </c>
      <c r="ADL37" s="297">
        <v>-19930830.899999999</v>
      </c>
      <c r="ADM37" s="297">
        <v>-18004936.539999999</v>
      </c>
      <c r="ADN37" s="297">
        <v>-33928301</v>
      </c>
      <c r="ADO37" s="297">
        <v>-551650207.38000011</v>
      </c>
      <c r="ADP37" s="297">
        <v>-79660705.200000003</v>
      </c>
      <c r="ADQ37" s="297">
        <v>-44645834.680000007</v>
      </c>
      <c r="ADR37" s="297">
        <v>-4460287.2300000004</v>
      </c>
      <c r="ADS37" s="297">
        <v>-161131792.48999998</v>
      </c>
      <c r="ADT37" s="297">
        <v>-7172994.6299999999</v>
      </c>
      <c r="ADU37" s="297">
        <v>-21629823.899999999</v>
      </c>
      <c r="ADV37" s="297">
        <v>-18926752.16</v>
      </c>
      <c r="ADW37" s="297">
        <v>-8276595.3300000001</v>
      </c>
      <c r="ADX37" s="297">
        <v>-5822981.040000001</v>
      </c>
      <c r="ADY37" s="297">
        <v>-616613811.97000003</v>
      </c>
      <c r="ADZ37" s="297">
        <v>-162250085.32999998</v>
      </c>
      <c r="AEA37" s="297">
        <v>-101837250.94999999</v>
      </c>
      <c r="AEB37" s="297">
        <v>-35848188.780000001</v>
      </c>
      <c r="AEC37" s="297">
        <v>-19712271</v>
      </c>
      <c r="AED37" s="297">
        <v>-47358698.759999998</v>
      </c>
      <c r="AEE37" s="297">
        <v>-33465348.029999997</v>
      </c>
      <c r="AEF37" s="297">
        <v>-23740596.610000003</v>
      </c>
      <c r="AEG37" s="297">
        <v>-14997730.100000001</v>
      </c>
      <c r="AEH37" s="297">
        <v>-14263362.280000003</v>
      </c>
      <c r="AEI37" s="297">
        <v>-39308561.959999993</v>
      </c>
      <c r="AEJ37" s="297">
        <v>-18346541.929999992</v>
      </c>
      <c r="AEK37" s="297">
        <v>-11346607.319999998</v>
      </c>
      <c r="AEL37" s="297">
        <v>-23904329.649999999</v>
      </c>
      <c r="AEM37" s="297">
        <v>-32987971.289999999</v>
      </c>
      <c r="AEN37" s="297">
        <v>-33728495.469999991</v>
      </c>
      <c r="AEO37" s="297">
        <v>-8384319.4699999997</v>
      </c>
      <c r="AEP37" s="297">
        <v>-76409583.899999991</v>
      </c>
      <c r="AEQ37" s="297">
        <v>-6396714.9800000004</v>
      </c>
      <c r="AER37" s="297">
        <v>-61544051.82</v>
      </c>
      <c r="AES37" s="297">
        <v>-252607591.70000014</v>
      </c>
      <c r="AET37" s="297">
        <v>-42987756.829999991</v>
      </c>
      <c r="AEU37" s="297">
        <v>-25464716.950000003</v>
      </c>
      <c r="AEV37" s="297">
        <v>-31574799.5</v>
      </c>
      <c r="AEW37" s="297">
        <v>-16465332.290000001</v>
      </c>
      <c r="AEX37" s="297">
        <v>-82269201.289999977</v>
      </c>
      <c r="AEY37" s="297">
        <v>-29588446.219999999</v>
      </c>
      <c r="AEZ37" s="297">
        <v>-32027676.359999996</v>
      </c>
      <c r="AFA37" s="297">
        <v>-26954943.710000001</v>
      </c>
      <c r="AFB37" s="297">
        <v>-12458084.330000002</v>
      </c>
      <c r="AFC37" s="297">
        <v>-262821302.67000002</v>
      </c>
      <c r="AFD37" s="297">
        <v>-45334700.380000003</v>
      </c>
      <c r="AFE37" s="297">
        <v>-32245127.109999999</v>
      </c>
      <c r="AFF37" s="297">
        <v>-20689794.810000002</v>
      </c>
      <c r="AFG37" s="297">
        <v>-34869721.810000002</v>
      </c>
      <c r="AFH37" s="297">
        <v>-28454241.189999998</v>
      </c>
      <c r="AFI37" s="297">
        <v>-20864379.68</v>
      </c>
      <c r="AFJ37" s="297">
        <v>-20806892.25</v>
      </c>
      <c r="AFK37" s="297">
        <v>-12652751.529999999</v>
      </c>
      <c r="AFL37" s="297">
        <v>-29458553.349999998</v>
      </c>
      <c r="AFM37" s="297">
        <v>-16985275.5</v>
      </c>
      <c r="AFN37" s="297">
        <v>-14573696.77</v>
      </c>
      <c r="AFO37" s="297">
        <v>-31158308.130000003</v>
      </c>
      <c r="AFP37" s="297">
        <v>-244660853.61000001</v>
      </c>
      <c r="AFQ37" s="297">
        <v>-51028750.299999997</v>
      </c>
      <c r="AFR37" s="297">
        <v>-43752310.200000003</v>
      </c>
      <c r="AFS37" s="297">
        <v>-26998544.340000011</v>
      </c>
      <c r="AFT37" s="297">
        <v>-30489036.130000003</v>
      </c>
      <c r="AFU37" s="297">
        <v>-30072269.010000002</v>
      </c>
      <c r="AFV37" s="297">
        <v>-12037456.77</v>
      </c>
      <c r="AFW37" s="297">
        <v>-42948690.689999998</v>
      </c>
      <c r="AFX37" s="297">
        <v>-54816104.559999995</v>
      </c>
      <c r="AFY37" s="297">
        <v>-15808457.859999999</v>
      </c>
      <c r="AFZ37" s="297">
        <v>-66160207.340000004</v>
      </c>
      <c r="AGA37" s="297">
        <v>-16319193.27</v>
      </c>
      <c r="AGB37" s="297">
        <v>-169170972.56</v>
      </c>
      <c r="AGC37" s="297">
        <v>-21112217.43</v>
      </c>
      <c r="AGD37" s="297">
        <v>-18269268.709999997</v>
      </c>
      <c r="AGE37" s="297">
        <v>-18713248.59</v>
      </c>
      <c r="AGF37" s="297">
        <v>-46052903.740000017</v>
      </c>
      <c r="AGG37" s="297">
        <v>-24527923.07</v>
      </c>
      <c r="AGH37" s="297">
        <v>-9952895.4900000002</v>
      </c>
      <c r="AGI37" s="297">
        <v>-12799039.82</v>
      </c>
      <c r="AGJ37" s="297">
        <v>-9196058.2300000004</v>
      </c>
      <c r="AGK37" s="297">
        <v>-15417004.770000001</v>
      </c>
      <c r="AGL37" s="297">
        <v>-16403896.550000001</v>
      </c>
      <c r="AGM37" s="297">
        <v>-157026519.04999998</v>
      </c>
      <c r="AGN37" s="297">
        <v>-49052631.439999998</v>
      </c>
      <c r="AGO37" s="297">
        <v>-31051752.860000007</v>
      </c>
      <c r="AGP37" s="297">
        <v>-11105093.289999997</v>
      </c>
      <c r="AGQ37" s="297">
        <v>-37281762.31000001</v>
      </c>
      <c r="AGR37" s="297">
        <v>-38166314.060000002</v>
      </c>
      <c r="AGS37" s="297">
        <v>-19089478.829999998</v>
      </c>
      <c r="AGT37" s="297">
        <v>-18431512.140000001</v>
      </c>
      <c r="AGU37" s="297">
        <v>-475279952.24000001</v>
      </c>
      <c r="AGV37" s="297">
        <v>-511950808.74000001</v>
      </c>
      <c r="AGW37" s="297">
        <v>-25758016.120000008</v>
      </c>
      <c r="AGX37" s="297">
        <v>-36824491.860000007</v>
      </c>
      <c r="AGY37" s="297">
        <v>-70847197.039999992</v>
      </c>
      <c r="AGZ37" s="297">
        <v>-14349630.410000002</v>
      </c>
      <c r="AHA37" s="297">
        <v>-23882535.699999999</v>
      </c>
      <c r="AHB37" s="297">
        <v>-30443827.460000001</v>
      </c>
      <c r="AHC37" s="297">
        <v>-7321030.2700000005</v>
      </c>
      <c r="AHD37" s="297">
        <v>-45661781.759999998</v>
      </c>
      <c r="AHE37" s="297">
        <v>-45243332.380000003</v>
      </c>
      <c r="AHF37" s="297">
        <v>-21700216.870000001</v>
      </c>
      <c r="AHG37" s="297">
        <v>-12754733.34</v>
      </c>
      <c r="AHH37" s="297">
        <v>-25303281.82</v>
      </c>
      <c r="AHI37" s="297">
        <v>-9948465.1699999981</v>
      </c>
      <c r="AHJ37" s="297">
        <v>-11160880.219999999</v>
      </c>
      <c r="AHK37" s="297">
        <v>-18328081.489999998</v>
      </c>
      <c r="AHL37" s="297">
        <v>-165958521.68000001</v>
      </c>
      <c r="AHM37" s="297">
        <v>-10276109.899999999</v>
      </c>
      <c r="AHN37" s="297">
        <v>-12835276.609999999</v>
      </c>
      <c r="AHO37" s="297">
        <v>-12864904.66</v>
      </c>
      <c r="AHP37" s="297">
        <v>-24135164.989999998</v>
      </c>
      <c r="AHQ37" s="330">
        <v>-10418254.089999998</v>
      </c>
      <c r="AHR37" s="331">
        <v>-19150849.91</v>
      </c>
      <c r="AHS37" s="330">
        <f t="shared" si="34"/>
        <v>-52112287585.731003</v>
      </c>
      <c r="AHT37" s="269" t="b">
        <f t="shared" si="1"/>
        <v>1</v>
      </c>
      <c r="AHU37" s="273" t="s">
        <v>653</v>
      </c>
    </row>
    <row r="38" spans="1:905" s="273" customFormat="1" ht="24.6" x14ac:dyDescent="0.7">
      <c r="A38" s="272"/>
      <c r="B38" s="272"/>
      <c r="C38" s="269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  <c r="GT38" s="297"/>
      <c r="GU38" s="297"/>
      <c r="GV38" s="297"/>
      <c r="GW38" s="297"/>
      <c r="GX38" s="297"/>
      <c r="GY38" s="297"/>
      <c r="GZ38" s="297"/>
      <c r="HA38" s="297"/>
      <c r="HB38" s="297"/>
      <c r="HC38" s="297"/>
      <c r="HD38" s="297"/>
      <c r="HE38" s="297"/>
      <c r="HF38" s="297"/>
      <c r="HG38" s="297"/>
      <c r="HH38" s="297"/>
      <c r="HI38" s="297"/>
      <c r="HJ38" s="297"/>
      <c r="HK38" s="297"/>
      <c r="HL38" s="297"/>
      <c r="HM38" s="297"/>
      <c r="HN38" s="297"/>
      <c r="HO38" s="297"/>
      <c r="HP38" s="297"/>
      <c r="HQ38" s="297"/>
      <c r="HR38" s="297"/>
      <c r="HS38" s="297"/>
      <c r="HT38" s="297"/>
      <c r="HU38" s="297"/>
      <c r="HV38" s="297"/>
      <c r="HW38" s="297"/>
      <c r="HX38" s="297"/>
      <c r="HY38" s="297"/>
      <c r="HZ38" s="297"/>
      <c r="IA38" s="297"/>
      <c r="IB38" s="297"/>
      <c r="IC38" s="297"/>
      <c r="ID38" s="297"/>
      <c r="IE38" s="297"/>
      <c r="IF38" s="297"/>
      <c r="IG38" s="297"/>
      <c r="IH38" s="297"/>
      <c r="II38" s="297"/>
      <c r="IJ38" s="297"/>
      <c r="IK38" s="297"/>
      <c r="IL38" s="297"/>
      <c r="IM38" s="297"/>
      <c r="IN38" s="297"/>
      <c r="IO38" s="297"/>
      <c r="IP38" s="297"/>
      <c r="IQ38" s="297"/>
      <c r="IR38" s="297"/>
      <c r="IS38" s="297"/>
      <c r="IT38" s="297"/>
      <c r="IU38" s="297"/>
      <c r="IV38" s="297"/>
      <c r="IW38" s="297"/>
      <c r="IX38" s="297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97"/>
      <c r="JP38" s="297"/>
      <c r="JQ38" s="297"/>
      <c r="JR38" s="297"/>
      <c r="JS38" s="297"/>
      <c r="JT38" s="297"/>
      <c r="JU38" s="297"/>
      <c r="JV38" s="297"/>
      <c r="JW38" s="297"/>
      <c r="JX38" s="297"/>
      <c r="JY38" s="297"/>
      <c r="JZ38" s="297"/>
      <c r="KA38" s="297"/>
      <c r="KB38" s="297"/>
      <c r="KC38" s="297"/>
      <c r="KD38" s="297"/>
      <c r="KE38" s="297"/>
      <c r="KF38" s="297"/>
      <c r="KG38" s="297"/>
      <c r="KH38" s="297"/>
      <c r="KI38" s="297"/>
      <c r="KJ38" s="297"/>
      <c r="KK38" s="297"/>
      <c r="KL38" s="297"/>
      <c r="KM38" s="297"/>
      <c r="KN38" s="297"/>
      <c r="KO38" s="297"/>
      <c r="KP38" s="297"/>
      <c r="KQ38" s="297"/>
      <c r="KR38" s="297"/>
      <c r="KS38" s="297"/>
      <c r="KT38" s="297"/>
      <c r="KU38" s="297"/>
      <c r="KV38" s="297"/>
      <c r="KW38" s="297"/>
      <c r="KX38" s="297"/>
      <c r="KY38" s="297"/>
      <c r="KZ38" s="297"/>
      <c r="LA38" s="297"/>
      <c r="LB38" s="297"/>
      <c r="LC38" s="297"/>
      <c r="LD38" s="297"/>
      <c r="LE38" s="297"/>
      <c r="LF38" s="297"/>
      <c r="LG38" s="297"/>
      <c r="LH38" s="297"/>
      <c r="LI38" s="297"/>
      <c r="LJ38" s="297"/>
      <c r="LK38" s="297"/>
      <c r="LL38" s="297"/>
      <c r="LM38" s="297"/>
      <c r="LN38" s="297"/>
      <c r="LO38" s="297"/>
      <c r="LP38" s="297"/>
      <c r="LQ38" s="297"/>
      <c r="LR38" s="297"/>
      <c r="LS38" s="297"/>
      <c r="LT38" s="297"/>
      <c r="LU38" s="297"/>
      <c r="LV38" s="297"/>
      <c r="LW38" s="297"/>
      <c r="LX38" s="297"/>
      <c r="LY38" s="297"/>
      <c r="LZ38" s="297"/>
      <c r="MA38" s="297"/>
      <c r="MB38" s="297"/>
      <c r="MC38" s="297"/>
      <c r="MD38" s="297"/>
      <c r="ME38" s="297"/>
      <c r="MF38" s="297"/>
      <c r="MG38" s="297"/>
      <c r="MH38" s="297"/>
      <c r="MI38" s="297"/>
      <c r="MJ38" s="297"/>
      <c r="MK38" s="297"/>
      <c r="ML38" s="297"/>
      <c r="MM38" s="297"/>
      <c r="MN38" s="297"/>
      <c r="MO38" s="297"/>
      <c r="MP38" s="297"/>
      <c r="MQ38" s="297"/>
      <c r="MR38" s="297"/>
      <c r="MS38" s="297"/>
      <c r="MT38" s="297"/>
      <c r="MU38" s="297"/>
      <c r="MV38" s="297"/>
      <c r="MW38" s="297"/>
      <c r="MX38" s="297"/>
      <c r="MY38" s="297"/>
      <c r="MZ38" s="297"/>
      <c r="NA38" s="297"/>
      <c r="NB38" s="297"/>
      <c r="NC38" s="297"/>
      <c r="ND38" s="297"/>
      <c r="NE38" s="297"/>
      <c r="NF38" s="297"/>
      <c r="NG38" s="297"/>
      <c r="NH38" s="297"/>
      <c r="NI38" s="297"/>
      <c r="NJ38" s="297"/>
      <c r="NK38" s="297"/>
      <c r="NL38" s="297"/>
      <c r="NM38" s="297"/>
      <c r="NN38" s="297"/>
      <c r="NO38" s="297"/>
      <c r="NP38" s="297"/>
      <c r="NQ38" s="297"/>
      <c r="NR38" s="297"/>
      <c r="NS38" s="297"/>
      <c r="NT38" s="297"/>
      <c r="NU38" s="297"/>
      <c r="NV38" s="297"/>
      <c r="NW38" s="297"/>
      <c r="NX38" s="297"/>
      <c r="NY38" s="297"/>
      <c r="NZ38" s="297"/>
      <c r="OA38" s="297"/>
      <c r="OB38" s="297"/>
      <c r="OC38" s="297"/>
      <c r="OD38" s="297"/>
      <c r="OE38" s="297"/>
      <c r="OF38" s="297"/>
      <c r="OG38" s="297"/>
      <c r="OH38" s="297"/>
      <c r="OI38" s="297"/>
      <c r="OJ38" s="297"/>
      <c r="OK38" s="297"/>
      <c r="OL38" s="297"/>
      <c r="OM38" s="297"/>
      <c r="ON38" s="297"/>
      <c r="OO38" s="297"/>
      <c r="OP38" s="297"/>
      <c r="OQ38" s="297"/>
      <c r="OR38" s="297"/>
      <c r="OS38" s="297"/>
      <c r="OT38" s="297"/>
      <c r="OU38" s="297"/>
      <c r="OV38" s="297"/>
      <c r="OW38" s="297"/>
      <c r="OX38" s="297"/>
      <c r="OY38" s="297"/>
      <c r="OZ38" s="297"/>
      <c r="PA38" s="297"/>
      <c r="PB38" s="297"/>
      <c r="PC38" s="297"/>
      <c r="PD38" s="297"/>
      <c r="PE38" s="297"/>
      <c r="PF38" s="297"/>
      <c r="PG38" s="297"/>
      <c r="PH38" s="297"/>
      <c r="PI38" s="297"/>
      <c r="PJ38" s="297"/>
      <c r="PK38" s="297"/>
      <c r="PL38" s="297"/>
      <c r="PM38" s="297"/>
      <c r="PN38" s="297"/>
      <c r="PO38" s="297"/>
      <c r="PP38" s="297"/>
      <c r="PQ38" s="297"/>
      <c r="PR38" s="297"/>
      <c r="PS38" s="297"/>
      <c r="PT38" s="297"/>
      <c r="PU38" s="297"/>
      <c r="PV38" s="297"/>
      <c r="PW38" s="297"/>
      <c r="PX38" s="297"/>
      <c r="PY38" s="297"/>
      <c r="PZ38" s="297"/>
      <c r="QA38" s="297"/>
      <c r="QB38" s="297"/>
      <c r="QC38" s="297"/>
      <c r="QD38" s="297"/>
      <c r="QE38" s="297"/>
      <c r="QF38" s="297"/>
      <c r="QG38" s="297"/>
      <c r="QH38" s="297"/>
      <c r="QI38" s="297"/>
      <c r="QJ38" s="297"/>
      <c r="QK38" s="297"/>
      <c r="QL38" s="297"/>
      <c r="QM38" s="297"/>
      <c r="QN38" s="297"/>
      <c r="QO38" s="297"/>
      <c r="QP38" s="297"/>
      <c r="QQ38" s="297"/>
      <c r="QR38" s="297"/>
      <c r="QS38" s="297"/>
      <c r="QT38" s="297"/>
      <c r="QU38" s="297"/>
      <c r="QV38" s="297"/>
      <c r="QW38" s="297"/>
      <c r="QX38" s="297"/>
      <c r="QY38" s="297"/>
      <c r="QZ38" s="297"/>
      <c r="RA38" s="297"/>
      <c r="RB38" s="297"/>
      <c r="RC38" s="297"/>
      <c r="RD38" s="297"/>
      <c r="RE38" s="297"/>
      <c r="RF38" s="297"/>
      <c r="RG38" s="297"/>
      <c r="RH38" s="297"/>
      <c r="RI38" s="297"/>
      <c r="RJ38" s="297"/>
      <c r="RK38" s="297"/>
      <c r="RL38" s="297"/>
      <c r="RM38" s="297"/>
      <c r="RN38" s="297"/>
      <c r="RO38" s="297"/>
      <c r="RP38" s="297"/>
      <c r="RQ38" s="297"/>
      <c r="RR38" s="297"/>
      <c r="RS38" s="297"/>
      <c r="RT38" s="297"/>
      <c r="RU38" s="297"/>
      <c r="RV38" s="297"/>
      <c r="RW38" s="297"/>
      <c r="RX38" s="297"/>
      <c r="RY38" s="297"/>
      <c r="RZ38" s="297"/>
      <c r="SA38" s="297"/>
      <c r="SB38" s="297"/>
      <c r="SC38" s="297"/>
      <c r="SD38" s="297"/>
      <c r="SE38" s="297"/>
      <c r="SF38" s="297"/>
      <c r="SG38" s="297"/>
      <c r="SH38" s="297"/>
      <c r="SI38" s="297"/>
      <c r="SJ38" s="297"/>
      <c r="SK38" s="297"/>
      <c r="SL38" s="297"/>
      <c r="SM38" s="297"/>
      <c r="SN38" s="297"/>
      <c r="SO38" s="297"/>
      <c r="SP38" s="297"/>
      <c r="SQ38" s="297"/>
      <c r="SR38" s="297"/>
      <c r="SS38" s="297"/>
      <c r="ST38" s="297"/>
      <c r="SU38" s="297"/>
      <c r="SV38" s="297"/>
      <c r="SW38" s="297"/>
      <c r="SX38" s="297"/>
      <c r="SY38" s="297"/>
      <c r="SZ38" s="297"/>
      <c r="TA38" s="297"/>
      <c r="TB38" s="297"/>
      <c r="TC38" s="297"/>
      <c r="TD38" s="297"/>
      <c r="TE38" s="297"/>
      <c r="TF38" s="297"/>
      <c r="TG38" s="297"/>
      <c r="TH38" s="297"/>
      <c r="TI38" s="297"/>
      <c r="TJ38" s="297"/>
      <c r="TK38" s="297"/>
      <c r="TL38" s="297"/>
      <c r="TM38" s="297"/>
      <c r="TN38" s="297"/>
      <c r="TO38" s="297"/>
      <c r="TP38" s="297"/>
      <c r="TQ38" s="297"/>
      <c r="TR38" s="297"/>
      <c r="TS38" s="297"/>
      <c r="TT38" s="297"/>
      <c r="TU38" s="297"/>
      <c r="TV38" s="297"/>
      <c r="TW38" s="297"/>
      <c r="TX38" s="297"/>
      <c r="TY38" s="297"/>
      <c r="TZ38" s="297"/>
      <c r="UA38" s="297"/>
      <c r="UB38" s="297"/>
      <c r="UC38" s="297"/>
      <c r="UD38" s="297"/>
      <c r="UE38" s="297"/>
      <c r="UF38" s="297"/>
      <c r="UG38" s="297"/>
      <c r="UH38" s="297"/>
      <c r="UI38" s="297"/>
      <c r="UJ38" s="297"/>
      <c r="UK38" s="297"/>
      <c r="UL38" s="297"/>
      <c r="UM38" s="297"/>
      <c r="UN38" s="297"/>
      <c r="UO38" s="297"/>
      <c r="UP38" s="297"/>
      <c r="UQ38" s="297"/>
      <c r="UR38" s="297"/>
      <c r="US38" s="297"/>
      <c r="UT38" s="297"/>
      <c r="UU38" s="297"/>
      <c r="UV38" s="297"/>
      <c r="UW38" s="297"/>
      <c r="UX38" s="297"/>
      <c r="UY38" s="297"/>
      <c r="UZ38" s="297"/>
      <c r="VA38" s="297"/>
      <c r="VB38" s="297"/>
      <c r="VC38" s="297"/>
      <c r="VD38" s="297"/>
      <c r="VE38" s="297"/>
      <c r="VF38" s="297"/>
      <c r="VG38" s="297"/>
      <c r="VH38" s="297"/>
      <c r="VI38" s="297"/>
      <c r="VJ38" s="297"/>
      <c r="VK38" s="297"/>
      <c r="VL38" s="297"/>
      <c r="VM38" s="297"/>
      <c r="VN38" s="297"/>
      <c r="VO38" s="297"/>
      <c r="VP38" s="297"/>
      <c r="VQ38" s="297"/>
      <c r="VR38" s="297"/>
      <c r="VS38" s="297"/>
      <c r="VT38" s="297"/>
      <c r="VU38" s="297"/>
      <c r="VV38" s="297"/>
      <c r="VW38" s="297"/>
      <c r="VX38" s="297"/>
      <c r="VY38" s="297"/>
      <c r="VZ38" s="297"/>
      <c r="WA38" s="297"/>
      <c r="WB38" s="297"/>
      <c r="WC38" s="297"/>
      <c r="WD38" s="297"/>
      <c r="WE38" s="297"/>
      <c r="WF38" s="297"/>
      <c r="WG38" s="297"/>
      <c r="WH38" s="297"/>
      <c r="WI38" s="297"/>
      <c r="WJ38" s="297"/>
      <c r="WK38" s="297"/>
      <c r="WL38" s="297"/>
      <c r="WM38" s="297"/>
      <c r="WN38" s="297"/>
      <c r="WO38" s="297"/>
      <c r="WP38" s="297"/>
      <c r="WQ38" s="297"/>
      <c r="WR38" s="297"/>
      <c r="WS38" s="297"/>
      <c r="WT38" s="297"/>
      <c r="WU38" s="297"/>
      <c r="WV38" s="297"/>
      <c r="WW38" s="297"/>
      <c r="WX38" s="297"/>
      <c r="WY38" s="297"/>
      <c r="WZ38" s="297"/>
      <c r="XA38" s="297"/>
      <c r="XB38" s="297"/>
      <c r="XC38" s="297"/>
      <c r="XD38" s="297"/>
      <c r="XE38" s="297"/>
      <c r="XF38" s="297"/>
      <c r="XG38" s="297"/>
      <c r="XH38" s="297"/>
      <c r="XI38" s="297"/>
      <c r="XJ38" s="297"/>
      <c r="XK38" s="297"/>
      <c r="XL38" s="297"/>
      <c r="XM38" s="297"/>
      <c r="XN38" s="297"/>
      <c r="XO38" s="297"/>
      <c r="XP38" s="297"/>
      <c r="XQ38" s="297"/>
      <c r="XR38" s="297"/>
      <c r="XS38" s="297"/>
      <c r="XT38" s="297"/>
      <c r="XU38" s="297"/>
      <c r="XV38" s="297"/>
      <c r="XW38" s="297"/>
      <c r="XX38" s="297"/>
      <c r="XY38" s="297"/>
      <c r="XZ38" s="297"/>
      <c r="YA38" s="297"/>
      <c r="YB38" s="297"/>
      <c r="YC38" s="297"/>
      <c r="YD38" s="297"/>
      <c r="YE38" s="297"/>
      <c r="YF38" s="297"/>
      <c r="YG38" s="297"/>
      <c r="YH38" s="297"/>
      <c r="YI38" s="297"/>
      <c r="YJ38" s="297"/>
      <c r="YK38" s="297"/>
      <c r="YL38" s="297"/>
      <c r="YM38" s="297"/>
      <c r="YN38" s="297"/>
      <c r="YO38" s="297"/>
      <c r="YP38" s="297"/>
      <c r="YQ38" s="297"/>
      <c r="YR38" s="297"/>
      <c r="YS38" s="297"/>
      <c r="YT38" s="297"/>
      <c r="YU38" s="297"/>
      <c r="YV38" s="297"/>
      <c r="YW38" s="297"/>
      <c r="YX38" s="297"/>
      <c r="YY38" s="297"/>
      <c r="YZ38" s="297"/>
      <c r="ZA38" s="297"/>
      <c r="ZB38" s="297"/>
      <c r="ZC38" s="297"/>
      <c r="ZD38" s="297"/>
      <c r="ZE38" s="297"/>
      <c r="ZF38" s="297"/>
      <c r="ZG38" s="297"/>
      <c r="ZH38" s="297"/>
      <c r="ZI38" s="297"/>
      <c r="ZJ38" s="297"/>
      <c r="ZK38" s="297"/>
      <c r="ZL38" s="297"/>
      <c r="ZM38" s="297"/>
      <c r="ZN38" s="297"/>
      <c r="ZO38" s="297"/>
      <c r="ZP38" s="297"/>
      <c r="ZQ38" s="297"/>
      <c r="ZR38" s="297"/>
      <c r="ZS38" s="297"/>
      <c r="ZT38" s="297"/>
      <c r="ZU38" s="297"/>
      <c r="ZV38" s="297"/>
      <c r="ZW38" s="297"/>
      <c r="ZX38" s="297"/>
      <c r="ZY38" s="297"/>
      <c r="ZZ38" s="297"/>
      <c r="AAA38" s="297"/>
      <c r="AAB38" s="297"/>
      <c r="AAC38" s="297"/>
      <c r="AAD38" s="297"/>
      <c r="AAE38" s="297"/>
      <c r="AAF38" s="297"/>
      <c r="AAG38" s="297"/>
      <c r="AAH38" s="297"/>
      <c r="AAI38" s="297"/>
      <c r="AAJ38" s="297"/>
      <c r="AAK38" s="297"/>
      <c r="AAL38" s="297"/>
      <c r="AAM38" s="297"/>
      <c r="AAN38" s="297"/>
      <c r="AAO38" s="297"/>
      <c r="AAP38" s="297"/>
      <c r="AAQ38" s="297"/>
      <c r="AAR38" s="297"/>
      <c r="AAS38" s="297"/>
      <c r="AAT38" s="297"/>
      <c r="AAU38" s="297"/>
      <c r="AAV38" s="297"/>
      <c r="AAW38" s="297"/>
      <c r="AAX38" s="297"/>
      <c r="AAY38" s="297"/>
      <c r="AAZ38" s="297"/>
      <c r="ABA38" s="297"/>
      <c r="ABB38" s="297"/>
      <c r="ABC38" s="297"/>
      <c r="ABD38" s="297"/>
      <c r="ABE38" s="297"/>
      <c r="ABF38" s="297"/>
      <c r="ABG38" s="297"/>
      <c r="ABH38" s="297"/>
      <c r="ABI38" s="297"/>
      <c r="ABJ38" s="297"/>
      <c r="ABK38" s="297"/>
      <c r="ABL38" s="297"/>
      <c r="ABM38" s="297"/>
      <c r="ABN38" s="297"/>
      <c r="ABO38" s="297"/>
      <c r="ABP38" s="297"/>
      <c r="ABQ38" s="297"/>
      <c r="ABR38" s="297"/>
      <c r="ABS38" s="297"/>
      <c r="ABT38" s="297"/>
      <c r="ABU38" s="297"/>
      <c r="ABV38" s="297"/>
      <c r="ABW38" s="297"/>
      <c r="ABX38" s="297"/>
      <c r="ABY38" s="297"/>
      <c r="ABZ38" s="297"/>
      <c r="ACA38" s="297"/>
      <c r="ACB38" s="297"/>
      <c r="ACC38" s="297"/>
      <c r="ACD38" s="297"/>
      <c r="ACE38" s="297"/>
      <c r="ACF38" s="297"/>
      <c r="ACG38" s="297"/>
      <c r="ACH38" s="297"/>
      <c r="ACI38" s="297"/>
      <c r="ACJ38" s="297"/>
      <c r="ACK38" s="297"/>
      <c r="ACL38" s="297"/>
      <c r="ACM38" s="297"/>
      <c r="ACN38" s="297"/>
      <c r="ACO38" s="297"/>
      <c r="ACP38" s="297"/>
      <c r="ACQ38" s="297"/>
      <c r="ACR38" s="297"/>
      <c r="ACS38" s="297"/>
      <c r="ACT38" s="297"/>
      <c r="ACU38" s="297"/>
      <c r="ACV38" s="297"/>
      <c r="ACW38" s="297"/>
      <c r="ACX38" s="297"/>
      <c r="ACY38" s="297"/>
      <c r="ACZ38" s="297"/>
      <c r="ADA38" s="297"/>
      <c r="ADB38" s="297"/>
      <c r="ADC38" s="297"/>
      <c r="ADD38" s="297"/>
      <c r="ADE38" s="297"/>
      <c r="ADF38" s="297"/>
      <c r="ADG38" s="297"/>
      <c r="ADH38" s="297"/>
      <c r="ADI38" s="297"/>
      <c r="ADJ38" s="297"/>
      <c r="ADK38" s="297"/>
      <c r="ADL38" s="297"/>
      <c r="ADM38" s="297"/>
      <c r="ADN38" s="297"/>
      <c r="ADO38" s="297"/>
      <c r="ADP38" s="297"/>
      <c r="ADQ38" s="297"/>
      <c r="ADR38" s="297"/>
      <c r="ADS38" s="297"/>
      <c r="ADT38" s="297"/>
      <c r="ADU38" s="297"/>
      <c r="ADV38" s="297"/>
      <c r="ADW38" s="297"/>
      <c r="ADX38" s="297"/>
      <c r="ADY38" s="297"/>
      <c r="ADZ38" s="297"/>
      <c r="AEA38" s="297"/>
      <c r="AEB38" s="297"/>
      <c r="AEC38" s="297"/>
      <c r="AED38" s="297"/>
      <c r="AEE38" s="297"/>
      <c r="AEF38" s="297"/>
      <c r="AEG38" s="297"/>
      <c r="AEH38" s="297"/>
      <c r="AEI38" s="297"/>
      <c r="AEJ38" s="297"/>
      <c r="AEK38" s="297"/>
      <c r="AEL38" s="297"/>
      <c r="AEM38" s="297"/>
      <c r="AEN38" s="297"/>
      <c r="AEO38" s="297"/>
      <c r="AEP38" s="297"/>
      <c r="AEQ38" s="297"/>
      <c r="AER38" s="297"/>
      <c r="AES38" s="297"/>
      <c r="AET38" s="297"/>
      <c r="AEU38" s="297"/>
      <c r="AEV38" s="297"/>
      <c r="AEW38" s="297"/>
      <c r="AEX38" s="297"/>
      <c r="AEY38" s="297"/>
      <c r="AEZ38" s="297"/>
      <c r="AFA38" s="297"/>
      <c r="AFB38" s="297"/>
      <c r="AFC38" s="297"/>
      <c r="AFD38" s="297"/>
      <c r="AFE38" s="297"/>
      <c r="AFF38" s="297"/>
      <c r="AFG38" s="297"/>
      <c r="AFH38" s="297"/>
      <c r="AFI38" s="297"/>
      <c r="AFJ38" s="297"/>
      <c r="AFK38" s="297"/>
      <c r="AFL38" s="297"/>
      <c r="AFM38" s="297"/>
      <c r="AFN38" s="297"/>
      <c r="AFO38" s="297"/>
      <c r="AFP38" s="297"/>
      <c r="AFQ38" s="297"/>
      <c r="AFR38" s="297"/>
      <c r="AFS38" s="297"/>
      <c r="AFT38" s="297"/>
      <c r="AFU38" s="297"/>
      <c r="AFV38" s="297"/>
      <c r="AFW38" s="297"/>
      <c r="AFX38" s="297"/>
      <c r="AFY38" s="297"/>
      <c r="AFZ38" s="297"/>
      <c r="AGA38" s="297"/>
      <c r="AGB38" s="297"/>
      <c r="AGC38" s="297"/>
      <c r="AGD38" s="297"/>
      <c r="AGE38" s="297"/>
      <c r="AGF38" s="297"/>
      <c r="AGG38" s="297"/>
      <c r="AGH38" s="297"/>
      <c r="AGI38" s="297"/>
      <c r="AGJ38" s="297"/>
      <c r="AGK38" s="297"/>
      <c r="AGL38" s="297"/>
      <c r="AGM38" s="297"/>
      <c r="AGN38" s="297"/>
      <c r="AGO38" s="297"/>
      <c r="AGP38" s="297"/>
      <c r="AGQ38" s="297"/>
      <c r="AGR38" s="297"/>
      <c r="AGS38" s="297"/>
      <c r="AGT38" s="297"/>
      <c r="AGU38" s="297"/>
      <c r="AGV38" s="297"/>
      <c r="AGW38" s="297"/>
      <c r="AGX38" s="297"/>
      <c r="AGY38" s="297"/>
      <c r="AGZ38" s="297"/>
      <c r="AHA38" s="297"/>
      <c r="AHB38" s="297"/>
      <c r="AHC38" s="297"/>
      <c r="AHD38" s="297"/>
      <c r="AHE38" s="297"/>
      <c r="AHF38" s="297"/>
      <c r="AHG38" s="297"/>
      <c r="AHH38" s="297"/>
      <c r="AHI38" s="297"/>
      <c r="AHJ38" s="297"/>
      <c r="AHK38" s="297"/>
      <c r="AHL38" s="297"/>
      <c r="AHM38" s="297"/>
      <c r="AHN38" s="297"/>
      <c r="AHO38" s="297"/>
      <c r="AHP38" s="297"/>
      <c r="AHQ38" s="297"/>
      <c r="AHR38" s="297"/>
      <c r="AHS38" s="297"/>
    </row>
    <row r="39" spans="1:905" s="273" customFormat="1" ht="24.6" x14ac:dyDescent="0.7">
      <c r="A39" s="272"/>
      <c r="B39" s="272"/>
      <c r="C39" s="6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  <c r="EQ39" s="297"/>
      <c r="ER39" s="297"/>
      <c r="ES39" s="297"/>
      <c r="ET39" s="297"/>
      <c r="EU39" s="297"/>
      <c r="EV39" s="297"/>
      <c r="EW39" s="297"/>
      <c r="EX39" s="297"/>
      <c r="EY39" s="297"/>
      <c r="EZ39" s="297"/>
      <c r="FA39" s="297"/>
      <c r="FB39" s="297"/>
      <c r="FC39" s="297"/>
      <c r="FD39" s="297"/>
      <c r="FE39" s="297"/>
      <c r="FF39" s="297"/>
      <c r="FG39" s="297"/>
      <c r="FH39" s="297"/>
      <c r="FI39" s="297"/>
      <c r="FJ39" s="297"/>
      <c r="FK39" s="297"/>
      <c r="FL39" s="297"/>
      <c r="FM39" s="297"/>
      <c r="FN39" s="297"/>
      <c r="FO39" s="297"/>
      <c r="FP39" s="297"/>
      <c r="FQ39" s="297"/>
      <c r="FR39" s="297"/>
      <c r="FS39" s="297"/>
      <c r="FT39" s="297"/>
      <c r="FU39" s="297"/>
      <c r="FV39" s="297"/>
      <c r="FW39" s="297"/>
      <c r="FX39" s="297"/>
      <c r="FY39" s="297"/>
      <c r="FZ39" s="297"/>
      <c r="GA39" s="297"/>
      <c r="GB39" s="297"/>
      <c r="GC39" s="297"/>
      <c r="GD39" s="297"/>
      <c r="GE39" s="297"/>
      <c r="GF39" s="297"/>
      <c r="GG39" s="297"/>
      <c r="GH39" s="297"/>
      <c r="GI39" s="297"/>
      <c r="GJ39" s="297"/>
      <c r="GK39" s="297"/>
      <c r="GL39" s="297"/>
      <c r="GM39" s="297"/>
      <c r="GN39" s="297"/>
      <c r="GO39" s="297"/>
      <c r="GP39" s="297"/>
      <c r="GQ39" s="297"/>
      <c r="GR39" s="297"/>
      <c r="GS39" s="297"/>
      <c r="GT39" s="297"/>
      <c r="GU39" s="297"/>
      <c r="GV39" s="297"/>
      <c r="GW39" s="297"/>
      <c r="GX39" s="297"/>
      <c r="GY39" s="297"/>
      <c r="GZ39" s="297"/>
      <c r="HA39" s="297"/>
      <c r="HB39" s="297"/>
      <c r="HC39" s="297"/>
      <c r="HD39" s="297"/>
      <c r="HE39" s="297"/>
      <c r="HF39" s="297"/>
      <c r="HG39" s="297"/>
      <c r="HH39" s="297"/>
      <c r="HI39" s="297"/>
      <c r="HJ39" s="297"/>
      <c r="HK39" s="297"/>
      <c r="HL39" s="297"/>
      <c r="HM39" s="297"/>
      <c r="HN39" s="297"/>
      <c r="HO39" s="297"/>
      <c r="HP39" s="297"/>
      <c r="HQ39" s="297"/>
      <c r="HR39" s="297"/>
      <c r="HS39" s="297"/>
      <c r="HT39" s="297"/>
      <c r="HU39" s="297"/>
      <c r="HV39" s="297"/>
      <c r="HW39" s="297"/>
      <c r="HX39" s="297"/>
      <c r="HY39" s="297"/>
      <c r="HZ39" s="297"/>
      <c r="IA39" s="297"/>
      <c r="IB39" s="297"/>
      <c r="IC39" s="297"/>
      <c r="ID39" s="297"/>
      <c r="IE39" s="297"/>
      <c r="IF39" s="297"/>
      <c r="IG39" s="297"/>
      <c r="IH39" s="297"/>
      <c r="II39" s="297"/>
      <c r="IJ39" s="297"/>
      <c r="IK39" s="297"/>
      <c r="IL39" s="297"/>
      <c r="IM39" s="297"/>
      <c r="IN39" s="297"/>
      <c r="IO39" s="297"/>
      <c r="IP39" s="297"/>
      <c r="IQ39" s="297"/>
      <c r="IR39" s="297"/>
      <c r="IS39" s="297"/>
      <c r="IT39" s="297"/>
      <c r="IU39" s="297"/>
      <c r="IV39" s="297"/>
      <c r="IW39" s="297"/>
      <c r="IX39" s="297"/>
      <c r="IY39" s="297"/>
      <c r="IZ39" s="297"/>
      <c r="JA39" s="297"/>
      <c r="JB39" s="297"/>
      <c r="JC39" s="297"/>
      <c r="JD39" s="297"/>
      <c r="JE39" s="297"/>
      <c r="JF39" s="297"/>
      <c r="JG39" s="297"/>
      <c r="JH39" s="297"/>
      <c r="JI39" s="297"/>
      <c r="JJ39" s="297"/>
      <c r="JK39" s="297"/>
      <c r="JL39" s="297"/>
      <c r="JM39" s="297"/>
      <c r="JN39" s="297"/>
      <c r="JO39" s="297"/>
      <c r="JP39" s="297"/>
      <c r="JQ39" s="297"/>
      <c r="JR39" s="297"/>
      <c r="JS39" s="297"/>
      <c r="JT39" s="297"/>
      <c r="JU39" s="297"/>
      <c r="JV39" s="297"/>
      <c r="JW39" s="297"/>
      <c r="JX39" s="297"/>
      <c r="JY39" s="297"/>
      <c r="JZ39" s="297"/>
      <c r="KA39" s="297"/>
      <c r="KB39" s="297"/>
      <c r="KC39" s="297"/>
      <c r="KD39" s="297"/>
      <c r="KE39" s="297"/>
      <c r="KF39" s="297"/>
      <c r="KG39" s="297"/>
      <c r="KH39" s="297"/>
      <c r="KI39" s="297"/>
      <c r="KJ39" s="297"/>
      <c r="KK39" s="297"/>
      <c r="KL39" s="297"/>
      <c r="KM39" s="297"/>
      <c r="KN39" s="297"/>
      <c r="KO39" s="297"/>
      <c r="KP39" s="297"/>
      <c r="KQ39" s="297"/>
      <c r="KR39" s="297"/>
      <c r="KS39" s="297"/>
      <c r="KT39" s="297"/>
      <c r="KU39" s="297"/>
      <c r="KV39" s="297"/>
      <c r="KW39" s="297"/>
      <c r="KX39" s="297"/>
      <c r="KY39" s="297"/>
      <c r="KZ39" s="297"/>
      <c r="LA39" s="297"/>
      <c r="LB39" s="297"/>
      <c r="LC39" s="297"/>
      <c r="LD39" s="297"/>
      <c r="LE39" s="297"/>
      <c r="LF39" s="297"/>
      <c r="LG39" s="297"/>
      <c r="LH39" s="297"/>
      <c r="LI39" s="297"/>
      <c r="LJ39" s="297"/>
      <c r="LK39" s="297"/>
      <c r="LL39" s="297"/>
      <c r="LM39" s="297"/>
      <c r="LN39" s="297"/>
      <c r="LO39" s="297"/>
      <c r="LP39" s="297"/>
      <c r="LQ39" s="297"/>
      <c r="LR39" s="297"/>
      <c r="LS39" s="297"/>
      <c r="LT39" s="297"/>
      <c r="LU39" s="297"/>
      <c r="LV39" s="297"/>
      <c r="LW39" s="297"/>
      <c r="LX39" s="297"/>
      <c r="LY39" s="297"/>
      <c r="LZ39" s="297"/>
      <c r="MA39" s="297"/>
      <c r="MB39" s="297"/>
      <c r="MC39" s="297"/>
      <c r="MD39" s="297"/>
      <c r="ME39" s="297"/>
      <c r="MF39" s="297"/>
      <c r="MG39" s="297"/>
      <c r="MH39" s="297"/>
      <c r="MI39" s="297"/>
      <c r="MJ39" s="297"/>
      <c r="MK39" s="297"/>
      <c r="ML39" s="297"/>
      <c r="MM39" s="297"/>
      <c r="MN39" s="297"/>
      <c r="MO39" s="297"/>
      <c r="MP39" s="297"/>
      <c r="MQ39" s="297"/>
      <c r="MR39" s="297"/>
      <c r="MS39" s="297"/>
      <c r="MT39" s="297"/>
      <c r="MU39" s="297"/>
      <c r="MV39" s="297"/>
      <c r="MW39" s="297"/>
      <c r="MX39" s="297"/>
      <c r="MY39" s="297"/>
      <c r="MZ39" s="297"/>
      <c r="NA39" s="297"/>
      <c r="NB39" s="297"/>
      <c r="NC39" s="297"/>
      <c r="ND39" s="297"/>
      <c r="NE39" s="297"/>
      <c r="NF39" s="297"/>
      <c r="NG39" s="297"/>
      <c r="NH39" s="297"/>
      <c r="NI39" s="297"/>
      <c r="NJ39" s="297"/>
      <c r="NK39" s="297"/>
      <c r="NL39" s="297"/>
      <c r="NM39" s="297"/>
      <c r="NN39" s="297"/>
      <c r="NO39" s="297"/>
      <c r="NP39" s="297"/>
      <c r="NQ39" s="297"/>
      <c r="NR39" s="297"/>
      <c r="NS39" s="297"/>
      <c r="NT39" s="297"/>
      <c r="NU39" s="297"/>
      <c r="NV39" s="297"/>
      <c r="NW39" s="297"/>
      <c r="NX39" s="297"/>
      <c r="NY39" s="297"/>
      <c r="NZ39" s="297"/>
      <c r="OA39" s="297"/>
      <c r="OB39" s="297"/>
      <c r="OC39" s="297"/>
      <c r="OD39" s="297"/>
      <c r="OE39" s="297"/>
      <c r="OF39" s="297"/>
      <c r="OG39" s="297"/>
      <c r="OH39" s="297"/>
      <c r="OI39" s="297"/>
      <c r="OJ39" s="297"/>
      <c r="OK39" s="297"/>
      <c r="OL39" s="297"/>
      <c r="OM39" s="297"/>
      <c r="ON39" s="297"/>
      <c r="OO39" s="297"/>
      <c r="OP39" s="297"/>
      <c r="OQ39" s="297"/>
      <c r="OR39" s="297"/>
      <c r="OS39" s="297"/>
      <c r="OT39" s="297"/>
      <c r="OU39" s="297"/>
      <c r="OV39" s="297"/>
      <c r="OW39" s="297"/>
      <c r="OX39" s="297"/>
      <c r="OY39" s="297"/>
      <c r="OZ39" s="297"/>
      <c r="PA39" s="297"/>
      <c r="PB39" s="297"/>
      <c r="PC39" s="297"/>
      <c r="PD39" s="297"/>
      <c r="PE39" s="297"/>
      <c r="PF39" s="297"/>
      <c r="PG39" s="297"/>
      <c r="PH39" s="297"/>
      <c r="PI39" s="297"/>
      <c r="PJ39" s="297"/>
      <c r="PK39" s="297"/>
      <c r="PL39" s="297"/>
      <c r="PM39" s="297"/>
      <c r="PN39" s="297"/>
      <c r="PO39" s="297"/>
      <c r="PP39" s="297"/>
      <c r="PQ39" s="297"/>
      <c r="PR39" s="297"/>
      <c r="PS39" s="297"/>
      <c r="PT39" s="297"/>
      <c r="PU39" s="297"/>
      <c r="PV39" s="297"/>
      <c r="PW39" s="297"/>
      <c r="PX39" s="297"/>
      <c r="PY39" s="297"/>
      <c r="PZ39" s="297"/>
      <c r="QA39" s="297"/>
      <c r="QB39" s="297"/>
      <c r="QC39" s="297"/>
      <c r="QD39" s="297"/>
      <c r="QE39" s="297"/>
      <c r="QF39" s="297"/>
      <c r="QG39" s="297"/>
      <c r="QH39" s="297"/>
      <c r="QI39" s="297"/>
      <c r="QJ39" s="297"/>
      <c r="QK39" s="297"/>
      <c r="QL39" s="297"/>
      <c r="QM39" s="297"/>
      <c r="QN39" s="297"/>
      <c r="QO39" s="297"/>
      <c r="QP39" s="297"/>
      <c r="QQ39" s="297"/>
      <c r="QR39" s="297"/>
      <c r="QS39" s="297"/>
      <c r="QT39" s="297"/>
      <c r="QU39" s="297"/>
      <c r="QV39" s="297"/>
      <c r="QW39" s="297"/>
      <c r="QX39" s="297"/>
      <c r="QY39" s="297"/>
      <c r="QZ39" s="297"/>
      <c r="RA39" s="297"/>
      <c r="RB39" s="297"/>
      <c r="RC39" s="297"/>
      <c r="RD39" s="297"/>
      <c r="RE39" s="297"/>
      <c r="RF39" s="297"/>
      <c r="RG39" s="297"/>
      <c r="RH39" s="297"/>
      <c r="RI39" s="297"/>
      <c r="RJ39" s="297"/>
      <c r="RK39" s="297"/>
      <c r="RL39" s="297"/>
      <c r="RM39" s="297"/>
      <c r="RN39" s="297"/>
      <c r="RO39" s="297"/>
      <c r="RP39" s="297"/>
      <c r="RQ39" s="297"/>
      <c r="RR39" s="297"/>
      <c r="RS39" s="297"/>
      <c r="RT39" s="297"/>
      <c r="RU39" s="297"/>
      <c r="RV39" s="297"/>
      <c r="RW39" s="297"/>
      <c r="RX39" s="297"/>
      <c r="RY39" s="297"/>
      <c r="RZ39" s="297"/>
      <c r="SA39" s="297"/>
      <c r="SB39" s="297"/>
      <c r="SC39" s="297"/>
      <c r="SD39" s="297"/>
      <c r="SE39" s="297"/>
      <c r="SF39" s="297"/>
      <c r="SG39" s="297"/>
      <c r="SH39" s="297"/>
      <c r="SI39" s="297"/>
      <c r="SJ39" s="297"/>
      <c r="SK39" s="297"/>
      <c r="SL39" s="297"/>
      <c r="SM39" s="297"/>
      <c r="SN39" s="297"/>
      <c r="SO39" s="297"/>
      <c r="SP39" s="297"/>
      <c r="SQ39" s="297"/>
      <c r="SR39" s="297"/>
      <c r="SS39" s="297"/>
      <c r="ST39" s="297"/>
      <c r="SU39" s="297"/>
      <c r="SV39" s="297"/>
      <c r="SW39" s="297"/>
      <c r="SX39" s="297"/>
      <c r="SY39" s="297"/>
      <c r="SZ39" s="297"/>
      <c r="TA39" s="297"/>
      <c r="TB39" s="297"/>
      <c r="TC39" s="297"/>
      <c r="TD39" s="297"/>
      <c r="TE39" s="297"/>
      <c r="TF39" s="297"/>
      <c r="TG39" s="297"/>
      <c r="TH39" s="297"/>
      <c r="TI39" s="297"/>
      <c r="TJ39" s="297"/>
      <c r="TK39" s="297"/>
      <c r="TL39" s="297"/>
      <c r="TM39" s="297"/>
      <c r="TN39" s="297"/>
      <c r="TO39" s="297"/>
      <c r="TP39" s="297"/>
      <c r="TQ39" s="297"/>
      <c r="TR39" s="297"/>
      <c r="TS39" s="297"/>
      <c r="TT39" s="297"/>
      <c r="TU39" s="297"/>
      <c r="TV39" s="297"/>
      <c r="TW39" s="297"/>
      <c r="TX39" s="297"/>
      <c r="TY39" s="297"/>
      <c r="TZ39" s="297"/>
      <c r="UA39" s="297"/>
      <c r="UB39" s="297"/>
      <c r="UC39" s="297"/>
      <c r="UD39" s="297"/>
      <c r="UE39" s="297"/>
      <c r="UF39" s="297"/>
      <c r="UG39" s="297"/>
      <c r="UH39" s="297"/>
      <c r="UI39" s="297"/>
      <c r="UJ39" s="297"/>
      <c r="UK39" s="297"/>
      <c r="UL39" s="297"/>
      <c r="UM39" s="297"/>
      <c r="UN39" s="297"/>
      <c r="UO39" s="297"/>
      <c r="UP39" s="297"/>
      <c r="UQ39" s="297"/>
      <c r="UR39" s="297"/>
      <c r="US39" s="297"/>
      <c r="UT39" s="297"/>
      <c r="UU39" s="297"/>
      <c r="UV39" s="297"/>
      <c r="UW39" s="297"/>
      <c r="UX39" s="297"/>
      <c r="UY39" s="297"/>
      <c r="UZ39" s="297"/>
      <c r="VA39" s="297"/>
      <c r="VB39" s="297"/>
      <c r="VC39" s="297"/>
      <c r="VD39" s="297"/>
      <c r="VE39" s="297"/>
      <c r="VF39" s="297"/>
      <c r="VG39" s="297"/>
      <c r="VH39" s="297"/>
      <c r="VI39" s="297"/>
      <c r="VJ39" s="297"/>
      <c r="VK39" s="297"/>
      <c r="VL39" s="297"/>
      <c r="VM39" s="297"/>
      <c r="VN39" s="297"/>
      <c r="VO39" s="297"/>
      <c r="VP39" s="297"/>
      <c r="VQ39" s="297"/>
      <c r="VR39" s="297"/>
      <c r="VS39" s="297"/>
      <c r="VT39" s="297"/>
      <c r="VU39" s="297"/>
      <c r="VV39" s="297"/>
      <c r="VW39" s="297"/>
      <c r="VX39" s="297"/>
      <c r="VY39" s="297"/>
      <c r="VZ39" s="297"/>
      <c r="WA39" s="297"/>
      <c r="WB39" s="297"/>
      <c r="WC39" s="297"/>
      <c r="WD39" s="297"/>
      <c r="WE39" s="297"/>
      <c r="WF39" s="297"/>
      <c r="WG39" s="297"/>
      <c r="WH39" s="297"/>
      <c r="WI39" s="297"/>
      <c r="WJ39" s="297"/>
      <c r="WK39" s="297"/>
      <c r="WL39" s="297"/>
      <c r="WM39" s="297"/>
      <c r="WN39" s="297"/>
      <c r="WO39" s="297"/>
      <c r="WP39" s="297"/>
      <c r="WQ39" s="297"/>
      <c r="WR39" s="297"/>
      <c r="WS39" s="297"/>
      <c r="WT39" s="297"/>
      <c r="WU39" s="297"/>
      <c r="WV39" s="297"/>
      <c r="WW39" s="297"/>
      <c r="WX39" s="297"/>
      <c r="WY39" s="297"/>
      <c r="WZ39" s="297"/>
      <c r="XA39" s="297"/>
      <c r="XB39" s="297"/>
      <c r="XC39" s="297"/>
      <c r="XD39" s="297"/>
      <c r="XE39" s="297"/>
      <c r="XF39" s="297"/>
      <c r="XG39" s="297"/>
      <c r="XH39" s="297"/>
      <c r="XI39" s="297"/>
      <c r="XJ39" s="297"/>
      <c r="XK39" s="297"/>
      <c r="XL39" s="297"/>
      <c r="XM39" s="297"/>
      <c r="XN39" s="297"/>
      <c r="XO39" s="297"/>
      <c r="XP39" s="297"/>
      <c r="XQ39" s="297"/>
      <c r="XR39" s="297"/>
      <c r="XS39" s="297"/>
      <c r="XT39" s="297"/>
      <c r="XU39" s="297"/>
      <c r="XV39" s="297"/>
      <c r="XW39" s="297"/>
      <c r="XX39" s="297"/>
      <c r="XY39" s="297"/>
      <c r="XZ39" s="297"/>
      <c r="YA39" s="297"/>
      <c r="YB39" s="297"/>
      <c r="YC39" s="297"/>
      <c r="YD39" s="297"/>
      <c r="YE39" s="297"/>
      <c r="YF39" s="297"/>
      <c r="YG39" s="297"/>
      <c r="YH39" s="297"/>
      <c r="YI39" s="297"/>
      <c r="YJ39" s="297"/>
      <c r="YK39" s="297"/>
      <c r="YL39" s="297"/>
      <c r="YM39" s="297"/>
      <c r="YN39" s="297"/>
      <c r="YO39" s="297"/>
      <c r="YP39" s="297"/>
      <c r="YQ39" s="297"/>
      <c r="YR39" s="297"/>
      <c r="YS39" s="297"/>
      <c r="YT39" s="297"/>
      <c r="YU39" s="297"/>
      <c r="YV39" s="297"/>
      <c r="YW39" s="297"/>
      <c r="YX39" s="297"/>
      <c r="YY39" s="297"/>
      <c r="YZ39" s="297"/>
      <c r="ZA39" s="297"/>
      <c r="ZB39" s="297"/>
      <c r="ZC39" s="297"/>
      <c r="ZD39" s="297"/>
      <c r="ZE39" s="297"/>
      <c r="ZF39" s="297"/>
      <c r="ZG39" s="297"/>
      <c r="ZH39" s="297"/>
      <c r="ZI39" s="297"/>
      <c r="ZJ39" s="297"/>
      <c r="ZK39" s="297"/>
      <c r="ZL39" s="297"/>
      <c r="ZM39" s="297"/>
      <c r="ZN39" s="297"/>
      <c r="ZO39" s="297"/>
      <c r="ZP39" s="297"/>
      <c r="ZQ39" s="297"/>
      <c r="ZR39" s="297"/>
      <c r="ZS39" s="297"/>
      <c r="ZT39" s="297"/>
      <c r="ZU39" s="297"/>
      <c r="ZV39" s="297"/>
      <c r="ZW39" s="297"/>
      <c r="ZX39" s="297"/>
      <c r="ZY39" s="297"/>
      <c r="ZZ39" s="297"/>
      <c r="AAA39" s="297"/>
      <c r="AAB39" s="297"/>
      <c r="AAC39" s="297"/>
      <c r="AAD39" s="297"/>
      <c r="AAE39" s="297"/>
      <c r="AAF39" s="297"/>
      <c r="AAG39" s="297"/>
      <c r="AAH39" s="297"/>
      <c r="AAI39" s="297"/>
      <c r="AAJ39" s="297"/>
      <c r="AAK39" s="297"/>
      <c r="AAL39" s="297"/>
      <c r="AAM39" s="297"/>
      <c r="AAN39" s="297"/>
      <c r="AAO39" s="297"/>
      <c r="AAP39" s="297"/>
      <c r="AAQ39" s="297"/>
      <c r="AAR39" s="297"/>
      <c r="AAS39" s="297"/>
      <c r="AAT39" s="297"/>
      <c r="AAU39" s="297"/>
      <c r="AAV39" s="297"/>
      <c r="AAW39" s="297"/>
      <c r="AAX39" s="297"/>
      <c r="AAY39" s="297"/>
      <c r="AAZ39" s="297"/>
      <c r="ABA39" s="297"/>
      <c r="ABB39" s="297"/>
      <c r="ABC39" s="297"/>
      <c r="ABD39" s="297"/>
      <c r="ABE39" s="297"/>
      <c r="ABF39" s="297"/>
      <c r="ABG39" s="297"/>
      <c r="ABH39" s="297"/>
      <c r="ABI39" s="297"/>
      <c r="ABJ39" s="297"/>
      <c r="ABK39" s="297"/>
      <c r="ABL39" s="297"/>
      <c r="ABM39" s="297"/>
      <c r="ABN39" s="297"/>
      <c r="ABO39" s="297"/>
      <c r="ABP39" s="297"/>
      <c r="ABQ39" s="297"/>
      <c r="ABR39" s="297"/>
      <c r="ABS39" s="297"/>
      <c r="ABT39" s="297"/>
      <c r="ABU39" s="297"/>
      <c r="ABV39" s="297"/>
      <c r="ABW39" s="297"/>
      <c r="ABX39" s="297"/>
      <c r="ABY39" s="297"/>
      <c r="ABZ39" s="297"/>
      <c r="ACA39" s="297"/>
      <c r="ACB39" s="297"/>
      <c r="ACC39" s="297"/>
      <c r="ACD39" s="297"/>
      <c r="ACE39" s="297"/>
      <c r="ACF39" s="297"/>
      <c r="ACG39" s="297"/>
      <c r="ACH39" s="297"/>
      <c r="ACI39" s="297"/>
      <c r="ACJ39" s="297"/>
      <c r="ACK39" s="297"/>
      <c r="ACL39" s="297"/>
      <c r="ACM39" s="297"/>
      <c r="ACN39" s="297"/>
      <c r="ACO39" s="297"/>
      <c r="ACP39" s="297"/>
      <c r="ACQ39" s="297"/>
      <c r="ACR39" s="297"/>
      <c r="ACS39" s="297"/>
      <c r="ACT39" s="297"/>
      <c r="ACU39" s="297"/>
      <c r="ACV39" s="297"/>
      <c r="ACW39" s="297"/>
      <c r="ACX39" s="297"/>
      <c r="ACY39" s="297"/>
      <c r="ACZ39" s="297"/>
      <c r="ADA39" s="297"/>
      <c r="ADB39" s="297"/>
      <c r="ADC39" s="297"/>
      <c r="ADD39" s="297"/>
      <c r="ADE39" s="297"/>
      <c r="ADF39" s="297"/>
      <c r="ADG39" s="297"/>
      <c r="ADH39" s="297"/>
      <c r="ADI39" s="297"/>
      <c r="ADJ39" s="297"/>
      <c r="ADK39" s="297"/>
      <c r="ADL39" s="297"/>
      <c r="ADM39" s="297"/>
      <c r="ADN39" s="297"/>
      <c r="ADO39" s="297"/>
      <c r="ADP39" s="297"/>
      <c r="ADQ39" s="297"/>
      <c r="ADR39" s="297"/>
      <c r="ADS39" s="297"/>
      <c r="ADT39" s="297"/>
      <c r="ADU39" s="297"/>
      <c r="ADV39" s="297"/>
      <c r="ADW39" s="297"/>
      <c r="ADX39" s="297"/>
      <c r="ADY39" s="297"/>
      <c r="ADZ39" s="297"/>
      <c r="AEA39" s="297"/>
      <c r="AEB39" s="297"/>
      <c r="AEC39" s="297"/>
      <c r="AED39" s="297"/>
      <c r="AEE39" s="297"/>
      <c r="AEF39" s="297"/>
      <c r="AEG39" s="297"/>
      <c r="AEH39" s="297"/>
      <c r="AEI39" s="297"/>
      <c r="AEJ39" s="297"/>
      <c r="AEK39" s="297"/>
      <c r="AEL39" s="297"/>
      <c r="AEM39" s="297"/>
      <c r="AEN39" s="297"/>
      <c r="AEO39" s="297"/>
      <c r="AEP39" s="297"/>
      <c r="AEQ39" s="297"/>
      <c r="AER39" s="297"/>
      <c r="AES39" s="297"/>
      <c r="AET39" s="297"/>
      <c r="AEU39" s="297"/>
      <c r="AEV39" s="297"/>
      <c r="AEW39" s="297"/>
      <c r="AEX39" s="297"/>
      <c r="AEY39" s="297"/>
      <c r="AEZ39" s="297"/>
      <c r="AFA39" s="297"/>
      <c r="AFB39" s="297"/>
      <c r="AFC39" s="297"/>
      <c r="AFD39" s="297"/>
      <c r="AFE39" s="297"/>
      <c r="AFF39" s="297"/>
      <c r="AFG39" s="297"/>
      <c r="AFH39" s="297"/>
      <c r="AFI39" s="297"/>
      <c r="AFJ39" s="297"/>
      <c r="AFK39" s="297"/>
      <c r="AFL39" s="297"/>
      <c r="AFM39" s="297"/>
      <c r="AFN39" s="297"/>
      <c r="AFO39" s="297"/>
      <c r="AFP39" s="297"/>
      <c r="AFQ39" s="297"/>
      <c r="AFR39" s="297"/>
      <c r="AFS39" s="297"/>
      <c r="AFT39" s="297"/>
      <c r="AFU39" s="297"/>
      <c r="AFV39" s="297"/>
      <c r="AFW39" s="297"/>
      <c r="AFX39" s="297"/>
      <c r="AFY39" s="297"/>
      <c r="AFZ39" s="297"/>
      <c r="AGA39" s="297"/>
      <c r="AGB39" s="297"/>
      <c r="AGC39" s="297"/>
      <c r="AGD39" s="297"/>
      <c r="AGE39" s="297"/>
      <c r="AGF39" s="297"/>
      <c r="AGG39" s="297"/>
      <c r="AGH39" s="297"/>
      <c r="AGI39" s="297"/>
      <c r="AGJ39" s="297"/>
      <c r="AGK39" s="297"/>
      <c r="AGL39" s="297"/>
      <c r="AGM39" s="297"/>
      <c r="AGN39" s="297"/>
      <c r="AGO39" s="297"/>
      <c r="AGP39" s="297"/>
      <c r="AGQ39" s="297"/>
      <c r="AGR39" s="297"/>
      <c r="AGS39" s="297"/>
      <c r="AGT39" s="297"/>
      <c r="AGU39" s="297"/>
      <c r="AGV39" s="297"/>
      <c r="AGW39" s="297"/>
      <c r="AGX39" s="297"/>
      <c r="AGY39" s="297"/>
      <c r="AGZ39" s="297"/>
      <c r="AHA39" s="297"/>
      <c r="AHB39" s="297"/>
      <c r="AHC39" s="297"/>
      <c r="AHD39" s="297"/>
      <c r="AHE39" s="297"/>
      <c r="AHF39" s="297"/>
      <c r="AHG39" s="297"/>
      <c r="AHH39" s="297"/>
      <c r="AHI39" s="297"/>
      <c r="AHJ39" s="297"/>
      <c r="AHK39" s="297"/>
      <c r="AHL39" s="297"/>
      <c r="AHM39" s="297"/>
      <c r="AHN39" s="297"/>
      <c r="AHO39" s="297"/>
      <c r="AHP39" s="297"/>
      <c r="AHQ39" s="297"/>
      <c r="AHR39" s="297"/>
      <c r="AHS39" s="297"/>
    </row>
    <row r="40" spans="1:905" x14ac:dyDescent="0.95">
      <c r="AHU40" s="273"/>
    </row>
    <row r="41" spans="1:905" x14ac:dyDescent="0.95">
      <c r="C41" s="269" t="s">
        <v>6240</v>
      </c>
      <c r="AHU41" s="273"/>
    </row>
    <row r="42" spans="1:905" ht="24.6" x14ac:dyDescent="0.7">
      <c r="AHR42" s="268"/>
      <c r="AHU42" s="273"/>
    </row>
    <row r="43" spans="1:905" ht="24.6" x14ac:dyDescent="0.7">
      <c r="B43" s="268" t="s">
        <v>6033</v>
      </c>
      <c r="C43" s="269" t="s">
        <v>6034</v>
      </c>
      <c r="D43" s="269" t="s">
        <v>2606</v>
      </c>
      <c r="E43" s="269" t="s">
        <v>2610</v>
      </c>
      <c r="F43" s="269" t="s">
        <v>2614</v>
      </c>
      <c r="G43" s="269" t="s">
        <v>2618</v>
      </c>
      <c r="H43" s="269" t="s">
        <v>2622</v>
      </c>
      <c r="I43" s="269" t="s">
        <v>2626</v>
      </c>
      <c r="J43" s="269" t="s">
        <v>2630</v>
      </c>
      <c r="K43" s="269" t="s">
        <v>2634</v>
      </c>
      <c r="L43" s="269" t="s">
        <v>2638</v>
      </c>
      <c r="M43" s="269" t="s">
        <v>2642</v>
      </c>
      <c r="N43" s="269" t="s">
        <v>2646</v>
      </c>
      <c r="O43" s="269" t="s">
        <v>2650</v>
      </c>
      <c r="P43" s="269" t="s">
        <v>2654</v>
      </c>
      <c r="Q43" s="269" t="s">
        <v>2658</v>
      </c>
      <c r="R43" s="269" t="s">
        <v>2662</v>
      </c>
      <c r="S43" s="269" t="s">
        <v>2666</v>
      </c>
      <c r="T43" s="269" t="s">
        <v>2670</v>
      </c>
      <c r="U43" s="269" t="s">
        <v>2674</v>
      </c>
      <c r="V43" s="269" t="s">
        <v>2290</v>
      </c>
      <c r="W43" s="269" t="s">
        <v>2298</v>
      </c>
      <c r="X43" s="269" t="s">
        <v>2306</v>
      </c>
      <c r="Y43" s="269" t="s">
        <v>2313</v>
      </c>
      <c r="Z43" s="269" t="s">
        <v>2318</v>
      </c>
      <c r="AA43" s="269" t="s">
        <v>2322</v>
      </c>
      <c r="AB43" s="269" t="s">
        <v>2326</v>
      </c>
      <c r="AC43" s="269" t="s">
        <v>2330</v>
      </c>
      <c r="AD43" s="269" t="s">
        <v>2334</v>
      </c>
      <c r="AE43" s="269" t="s">
        <v>2338</v>
      </c>
      <c r="AF43" s="269" t="s">
        <v>2342</v>
      </c>
      <c r="AG43" s="269" t="s">
        <v>2347</v>
      </c>
      <c r="AH43" s="269" t="s">
        <v>2351</v>
      </c>
      <c r="AI43" s="269" t="s">
        <v>2355</v>
      </c>
      <c r="AJ43" s="269" t="s">
        <v>2359</v>
      </c>
      <c r="AK43" s="269" t="s">
        <v>2363</v>
      </c>
      <c r="AL43" s="269" t="s">
        <v>2367</v>
      </c>
      <c r="AM43" s="269" t="s">
        <v>2371</v>
      </c>
      <c r="AN43" s="269" t="s">
        <v>2375</v>
      </c>
      <c r="AO43" s="269" t="s">
        <v>2379</v>
      </c>
      <c r="AP43" s="269" t="s">
        <v>2383</v>
      </c>
      <c r="AQ43" s="269" t="s">
        <v>2387</v>
      </c>
      <c r="AR43" s="269" t="s">
        <v>2391</v>
      </c>
      <c r="AS43" s="269" t="s">
        <v>2395</v>
      </c>
      <c r="AT43" s="269" t="s">
        <v>2513</v>
      </c>
      <c r="AU43" s="269" t="s">
        <v>2516</v>
      </c>
      <c r="AV43" s="269" t="s">
        <v>2520</v>
      </c>
      <c r="AW43" s="269" t="s">
        <v>2524</v>
      </c>
      <c r="AX43" s="269" t="s">
        <v>2528</v>
      </c>
      <c r="AY43" s="269" t="s">
        <v>2532</v>
      </c>
      <c r="AZ43" s="269" t="s">
        <v>2536</v>
      </c>
      <c r="BA43" s="269" t="s">
        <v>2540</v>
      </c>
      <c r="BB43" s="269" t="s">
        <v>2544</v>
      </c>
      <c r="BC43" s="269" t="s">
        <v>2548</v>
      </c>
      <c r="BD43" s="269" t="s">
        <v>2552</v>
      </c>
      <c r="BE43" s="269" t="s">
        <v>2556</v>
      </c>
      <c r="BF43" s="269" t="s">
        <v>2560</v>
      </c>
      <c r="BG43" s="269" t="s">
        <v>2564</v>
      </c>
      <c r="BH43" s="269" t="s">
        <v>2568</v>
      </c>
      <c r="BI43" s="269" t="s">
        <v>2571</v>
      </c>
      <c r="BJ43" s="269" t="s">
        <v>2574</v>
      </c>
      <c r="BK43" s="269" t="s">
        <v>2578</v>
      </c>
      <c r="BL43" s="269" t="s">
        <v>2582</v>
      </c>
      <c r="BM43" s="269" t="s">
        <v>2586</v>
      </c>
      <c r="BN43" s="269" t="s">
        <v>2590</v>
      </c>
      <c r="BO43" s="269" t="s">
        <v>2594</v>
      </c>
      <c r="BP43" s="269" t="s">
        <v>2598</v>
      </c>
      <c r="BQ43" s="269" t="s">
        <v>2602</v>
      </c>
      <c r="BR43" s="269" t="s">
        <v>2482</v>
      </c>
      <c r="BS43" s="269" t="s">
        <v>2485</v>
      </c>
      <c r="BT43" s="269" t="s">
        <v>2489</v>
      </c>
      <c r="BU43" s="269" t="s">
        <v>2493</v>
      </c>
      <c r="BV43" s="269" t="s">
        <v>2497</v>
      </c>
      <c r="BW43" s="269" t="s">
        <v>2501</v>
      </c>
      <c r="BX43" s="269" t="s">
        <v>2505</v>
      </c>
      <c r="BY43" s="269" t="s">
        <v>2509</v>
      </c>
      <c r="BZ43" s="269" t="s">
        <v>2678</v>
      </c>
      <c r="CA43" s="269" t="s">
        <v>2682</v>
      </c>
      <c r="CB43" s="269" t="s">
        <v>2686</v>
      </c>
      <c r="CC43" s="269" t="s">
        <v>2690</v>
      </c>
      <c r="CD43" s="269" t="s">
        <v>2694</v>
      </c>
      <c r="CE43" s="269" t="s">
        <v>2698</v>
      </c>
      <c r="CF43" s="269" t="s">
        <v>2702</v>
      </c>
      <c r="CG43" s="269" t="s">
        <v>2431</v>
      </c>
      <c r="CH43" s="269" t="s">
        <v>2434</v>
      </c>
      <c r="CI43" s="269" t="s">
        <v>2438</v>
      </c>
      <c r="CJ43" s="269" t="s">
        <v>2442</v>
      </c>
      <c r="CK43" s="269" t="s">
        <v>2446</v>
      </c>
      <c r="CL43" s="269" t="s">
        <v>2450</v>
      </c>
      <c r="CM43" s="269" t="s">
        <v>2454</v>
      </c>
      <c r="CN43" s="269" t="s">
        <v>2458</v>
      </c>
      <c r="CO43" s="269" t="s">
        <v>2462</v>
      </c>
      <c r="CP43" s="269" t="s">
        <v>2466</v>
      </c>
      <c r="CQ43" s="269" t="s">
        <v>2470</v>
      </c>
      <c r="CR43" s="269" t="s">
        <v>2474</v>
      </c>
      <c r="CS43" s="269" t="s">
        <v>2478</v>
      </c>
      <c r="CT43" s="269" t="s">
        <v>2400</v>
      </c>
      <c r="CU43" s="269" t="s">
        <v>2403</v>
      </c>
      <c r="CV43" s="269" t="s">
        <v>2407</v>
      </c>
      <c r="CW43" s="269" t="s">
        <v>2411</v>
      </c>
      <c r="CX43" s="269" t="s">
        <v>2415</v>
      </c>
      <c r="CY43" s="269" t="s">
        <v>2419</v>
      </c>
      <c r="CZ43" s="269" t="s">
        <v>2423</v>
      </c>
      <c r="DA43" s="269" t="s">
        <v>2427</v>
      </c>
      <c r="DB43" s="269" t="s">
        <v>2741</v>
      </c>
      <c r="DC43" s="269" t="s">
        <v>2745</v>
      </c>
      <c r="DD43" s="269" t="s">
        <v>2749</v>
      </c>
      <c r="DE43" s="269" t="s">
        <v>2753</v>
      </c>
      <c r="DF43" s="269" t="s">
        <v>2757</v>
      </c>
      <c r="DG43" s="269" t="s">
        <v>2761</v>
      </c>
      <c r="DH43" s="269" t="s">
        <v>2765</v>
      </c>
      <c r="DI43" s="269" t="s">
        <v>2769</v>
      </c>
      <c r="DJ43" s="269" t="s">
        <v>2773</v>
      </c>
      <c r="DK43" s="269" t="s">
        <v>2812</v>
      </c>
      <c r="DL43" s="269" t="s">
        <v>2816</v>
      </c>
      <c r="DM43" s="269" t="s">
        <v>2820</v>
      </c>
      <c r="DN43" s="269" t="s">
        <v>2824</v>
      </c>
      <c r="DO43" s="269" t="s">
        <v>2828</v>
      </c>
      <c r="DP43" s="269" t="s">
        <v>2832</v>
      </c>
      <c r="DQ43" s="269" t="s">
        <v>2836</v>
      </c>
      <c r="DR43" s="269" t="s">
        <v>2840</v>
      </c>
      <c r="DS43" s="269" t="s">
        <v>2844</v>
      </c>
      <c r="DT43" s="269" t="s">
        <v>2848</v>
      </c>
      <c r="DU43" s="269" t="s">
        <v>2851</v>
      </c>
      <c r="DV43" s="269" t="s">
        <v>2855</v>
      </c>
      <c r="DW43" s="269" t="s">
        <v>2859</v>
      </c>
      <c r="DX43" s="269" t="s">
        <v>2863</v>
      </c>
      <c r="DY43" s="269" t="s">
        <v>2867</v>
      </c>
      <c r="DZ43" s="269" t="s">
        <v>2871</v>
      </c>
      <c r="EA43" s="269" t="s">
        <v>2875</v>
      </c>
      <c r="EB43" s="269" t="s">
        <v>2879</v>
      </c>
      <c r="EC43" s="269" t="s">
        <v>2883</v>
      </c>
      <c r="ED43" s="269" t="s">
        <v>2887</v>
      </c>
      <c r="EE43" s="269" t="s">
        <v>2777</v>
      </c>
      <c r="EF43" s="269" t="s">
        <v>2780</v>
      </c>
      <c r="EG43" s="269" t="s">
        <v>2784</v>
      </c>
      <c r="EH43" s="269" t="s">
        <v>2788</v>
      </c>
      <c r="EI43" s="269" t="s">
        <v>2792</v>
      </c>
      <c r="EJ43" s="269" t="s">
        <v>2796</v>
      </c>
      <c r="EK43" s="269" t="s">
        <v>2800</v>
      </c>
      <c r="EL43" s="269" t="s">
        <v>2804</v>
      </c>
      <c r="EM43" s="269" t="s">
        <v>2808</v>
      </c>
      <c r="EN43" s="269" t="s">
        <v>2706</v>
      </c>
      <c r="EO43" s="269" t="s">
        <v>2709</v>
      </c>
      <c r="EP43" s="269" t="s">
        <v>2713</v>
      </c>
      <c r="EQ43" s="269" t="s">
        <v>2717</v>
      </c>
      <c r="ER43" s="269" t="s">
        <v>2721</v>
      </c>
      <c r="ES43" s="269" t="s">
        <v>2725</v>
      </c>
      <c r="ET43" s="269" t="s">
        <v>2729</v>
      </c>
      <c r="EU43" s="269" t="s">
        <v>2733</v>
      </c>
      <c r="EV43" s="269" t="s">
        <v>2737</v>
      </c>
      <c r="EW43" s="269" t="s">
        <v>3008</v>
      </c>
      <c r="EX43" s="269" t="s">
        <v>3011</v>
      </c>
      <c r="EY43" s="269" t="s">
        <v>3015</v>
      </c>
      <c r="EZ43" s="269" t="s">
        <v>3019</v>
      </c>
      <c r="FA43" s="269" t="s">
        <v>3023</v>
      </c>
      <c r="FB43" s="269" t="s">
        <v>3027</v>
      </c>
      <c r="FC43" s="269" t="s">
        <v>3031</v>
      </c>
      <c r="FD43" s="269" t="s">
        <v>3035</v>
      </c>
      <c r="FE43" s="269" t="s">
        <v>3039</v>
      </c>
      <c r="FF43" s="269" t="s">
        <v>3043</v>
      </c>
      <c r="FG43" s="269" t="s">
        <v>3047</v>
      </c>
      <c r="FH43" s="269" t="s">
        <v>3051</v>
      </c>
      <c r="FI43" s="269" t="s">
        <v>2891</v>
      </c>
      <c r="FJ43" s="269" t="s">
        <v>2895</v>
      </c>
      <c r="FK43" s="269" t="s">
        <v>2899</v>
      </c>
      <c r="FL43" s="269" t="s">
        <v>2903</v>
      </c>
      <c r="FM43" s="269" t="s">
        <v>2907</v>
      </c>
      <c r="FN43" s="269" t="s">
        <v>2911</v>
      </c>
      <c r="FO43" s="269" t="s">
        <v>2915</v>
      </c>
      <c r="FP43" s="269" t="s">
        <v>2918</v>
      </c>
      <c r="FQ43" s="269" t="s">
        <v>2921</v>
      </c>
      <c r="FR43" s="269" t="s">
        <v>2925</v>
      </c>
      <c r="FS43" s="269" t="s">
        <v>2929</v>
      </c>
      <c r="FT43" s="269" t="s">
        <v>2933</v>
      </c>
      <c r="FU43" s="269" t="s">
        <v>2937</v>
      </c>
      <c r="FV43" s="269" t="s">
        <v>2941</v>
      </c>
      <c r="FW43" s="269" t="s">
        <v>2945</v>
      </c>
      <c r="FX43" s="269" t="s">
        <v>2949</v>
      </c>
      <c r="FY43" s="269" t="s">
        <v>2953</v>
      </c>
      <c r="FZ43" s="269" t="s">
        <v>2957</v>
      </c>
      <c r="GA43" s="269" t="s">
        <v>2961</v>
      </c>
      <c r="GB43" s="269" t="s">
        <v>2965</v>
      </c>
      <c r="GC43" s="269" t="s">
        <v>2969</v>
      </c>
      <c r="GD43" s="269" t="s">
        <v>2973</v>
      </c>
      <c r="GE43" s="269" t="s">
        <v>3054</v>
      </c>
      <c r="GF43" s="269" t="s">
        <v>3057</v>
      </c>
      <c r="GG43" s="269" t="s">
        <v>3061</v>
      </c>
      <c r="GH43" s="269" t="s">
        <v>3065</v>
      </c>
      <c r="GI43" s="269" t="s">
        <v>3069</v>
      </c>
      <c r="GJ43" s="269" t="s">
        <v>3073</v>
      </c>
      <c r="GK43" s="269" t="s">
        <v>3077</v>
      </c>
      <c r="GL43" s="269" t="s">
        <v>3081</v>
      </c>
      <c r="GM43" s="269" t="s">
        <v>3085</v>
      </c>
      <c r="GN43" s="269" t="s">
        <v>3089</v>
      </c>
      <c r="GO43" s="269" t="s">
        <v>3093</v>
      </c>
      <c r="GP43" s="269" t="s">
        <v>3097</v>
      </c>
      <c r="GQ43" s="269" t="s">
        <v>2977</v>
      </c>
      <c r="GR43" s="269" t="s">
        <v>2980</v>
      </c>
      <c r="GS43" s="269" t="s">
        <v>2984</v>
      </c>
      <c r="GT43" s="269" t="s">
        <v>2988</v>
      </c>
      <c r="GU43" s="269" t="s">
        <v>2992</v>
      </c>
      <c r="GV43" s="269" t="s">
        <v>2996</v>
      </c>
      <c r="GW43" s="269" t="s">
        <v>3000</v>
      </c>
      <c r="GX43" s="269" t="s">
        <v>3004</v>
      </c>
      <c r="GY43" s="269" t="s">
        <v>3364</v>
      </c>
      <c r="GZ43" s="269" t="s">
        <v>3367</v>
      </c>
      <c r="HA43" s="269" t="s">
        <v>3371</v>
      </c>
      <c r="HB43" s="269" t="s">
        <v>3375</v>
      </c>
      <c r="HC43" s="269" t="s">
        <v>3101</v>
      </c>
      <c r="HD43" s="269" t="s">
        <v>3105</v>
      </c>
      <c r="HE43" s="269" t="s">
        <v>3109</v>
      </c>
      <c r="HF43" s="269" t="s">
        <v>3113</v>
      </c>
      <c r="HG43" s="269" t="s">
        <v>3117</v>
      </c>
      <c r="HH43" s="269" t="s">
        <v>3121</v>
      </c>
      <c r="HI43" s="269" t="s">
        <v>3125</v>
      </c>
      <c r="HJ43" s="269" t="s">
        <v>3129</v>
      </c>
      <c r="HK43" s="269" t="s">
        <v>3132</v>
      </c>
      <c r="HL43" s="269" t="s">
        <v>3136</v>
      </c>
      <c r="HM43" s="269" t="s">
        <v>3140</v>
      </c>
      <c r="HN43" s="269" t="s">
        <v>3144</v>
      </c>
      <c r="HO43" s="269" t="s">
        <v>3148</v>
      </c>
      <c r="HP43" s="269" t="s">
        <v>3152</v>
      </c>
      <c r="HQ43" s="269" t="s">
        <v>3156</v>
      </c>
      <c r="HR43" s="269" t="s">
        <v>3160</v>
      </c>
      <c r="HS43" s="269" t="s">
        <v>3163</v>
      </c>
      <c r="HT43" s="269" t="s">
        <v>3167</v>
      </c>
      <c r="HU43" s="269" t="s">
        <v>3171</v>
      </c>
      <c r="HV43" s="269" t="s">
        <v>3175</v>
      </c>
      <c r="HW43" s="269" t="s">
        <v>3179</v>
      </c>
      <c r="HX43" s="269" t="s">
        <v>3183</v>
      </c>
      <c r="HY43" s="269" t="s">
        <v>3187</v>
      </c>
      <c r="HZ43" s="269" t="s">
        <v>3191</v>
      </c>
      <c r="IA43" s="269" t="s">
        <v>3195</v>
      </c>
      <c r="IB43" s="269" t="s">
        <v>3199</v>
      </c>
      <c r="IC43" s="269" t="s">
        <v>3203</v>
      </c>
      <c r="ID43" s="269" t="s">
        <v>3207</v>
      </c>
      <c r="IE43" s="269" t="s">
        <v>3211</v>
      </c>
      <c r="IF43" s="269" t="s">
        <v>3215</v>
      </c>
      <c r="IG43" s="269" t="s">
        <v>3219</v>
      </c>
      <c r="IH43" s="269" t="s">
        <v>3250</v>
      </c>
      <c r="II43" s="269" t="s">
        <v>3254</v>
      </c>
      <c r="IJ43" s="269" t="s">
        <v>3258</v>
      </c>
      <c r="IK43" s="269" t="s">
        <v>3262</v>
      </c>
      <c r="IL43" s="269" t="s">
        <v>3266</v>
      </c>
      <c r="IM43" s="269" t="s">
        <v>3270</v>
      </c>
      <c r="IN43" s="269" t="s">
        <v>3274</v>
      </c>
      <c r="IO43" s="269" t="s">
        <v>3278</v>
      </c>
      <c r="IP43" s="269" t="s">
        <v>3282</v>
      </c>
      <c r="IQ43" s="269" t="s">
        <v>3286</v>
      </c>
      <c r="IR43" s="269" t="s">
        <v>3290</v>
      </c>
      <c r="IS43" s="269" t="s">
        <v>3317</v>
      </c>
      <c r="IT43" s="269" t="s">
        <v>3320</v>
      </c>
      <c r="IU43" s="269" t="s">
        <v>3324</v>
      </c>
      <c r="IV43" s="269" t="s">
        <v>3328</v>
      </c>
      <c r="IW43" s="269" t="s">
        <v>3332</v>
      </c>
      <c r="IX43" s="269" t="s">
        <v>3336</v>
      </c>
      <c r="IY43" s="269" t="s">
        <v>3340</v>
      </c>
      <c r="IZ43" s="269" t="s">
        <v>3344</v>
      </c>
      <c r="JA43" s="269" t="s">
        <v>3348</v>
      </c>
      <c r="JB43" s="269" t="s">
        <v>3352</v>
      </c>
      <c r="JC43" s="269" t="s">
        <v>3356</v>
      </c>
      <c r="JD43" s="269" t="s">
        <v>3360</v>
      </c>
      <c r="JE43" s="269" t="s">
        <v>3294</v>
      </c>
      <c r="JF43" s="269" t="s">
        <v>3297</v>
      </c>
      <c r="JG43" s="269" t="s">
        <v>3301</v>
      </c>
      <c r="JH43" s="269" t="s">
        <v>3305</v>
      </c>
      <c r="JI43" s="269" t="s">
        <v>3309</v>
      </c>
      <c r="JJ43" s="269" t="s">
        <v>3313</v>
      </c>
      <c r="JK43" s="269" t="s">
        <v>3223</v>
      </c>
      <c r="JL43" s="269" t="s">
        <v>3226</v>
      </c>
      <c r="JM43" s="269" t="s">
        <v>3230</v>
      </c>
      <c r="JN43" s="269" t="s">
        <v>3234</v>
      </c>
      <c r="JO43" s="269" t="s">
        <v>3238</v>
      </c>
      <c r="JP43" s="269" t="s">
        <v>3242</v>
      </c>
      <c r="JQ43" s="269" t="s">
        <v>3246</v>
      </c>
      <c r="JR43" s="269" t="s">
        <v>3422</v>
      </c>
      <c r="JS43" s="269" t="s">
        <v>3426</v>
      </c>
      <c r="JT43" s="269" t="s">
        <v>3430</v>
      </c>
      <c r="JU43" s="269" t="s">
        <v>3434</v>
      </c>
      <c r="JV43" s="269" t="s">
        <v>3438</v>
      </c>
      <c r="JW43" s="269" t="s">
        <v>3442</v>
      </c>
      <c r="JX43" s="269" t="s">
        <v>3446</v>
      </c>
      <c r="JY43" s="269" t="s">
        <v>3450</v>
      </c>
      <c r="JZ43" s="269" t="s">
        <v>3454</v>
      </c>
      <c r="KA43" s="269" t="s">
        <v>3458</v>
      </c>
      <c r="KB43" s="269" t="s">
        <v>3462</v>
      </c>
      <c r="KC43" s="269" t="s">
        <v>3466</v>
      </c>
      <c r="KD43" s="269" t="s">
        <v>3470</v>
      </c>
      <c r="KE43" s="269" t="s">
        <v>3474</v>
      </c>
      <c r="KF43" s="269" t="s">
        <v>3478</v>
      </c>
      <c r="KG43" s="269" t="s">
        <v>5918</v>
      </c>
      <c r="KH43" s="269" t="s">
        <v>3522</v>
      </c>
      <c r="KI43" s="269" t="s">
        <v>3525</v>
      </c>
      <c r="KJ43" s="269" t="s">
        <v>3529</v>
      </c>
      <c r="KK43" s="269" t="s">
        <v>3533</v>
      </c>
      <c r="KL43" s="269" t="s">
        <v>3537</v>
      </c>
      <c r="KM43" s="269" t="s">
        <v>3541</v>
      </c>
      <c r="KN43" s="269" t="s">
        <v>3545</v>
      </c>
      <c r="KO43" s="269" t="s">
        <v>3549</v>
      </c>
      <c r="KP43" s="269" t="s">
        <v>3553</v>
      </c>
      <c r="KQ43" s="269" t="s">
        <v>3608</v>
      </c>
      <c r="KR43" s="269" t="s">
        <v>3611</v>
      </c>
      <c r="KS43" s="269" t="s">
        <v>3615</v>
      </c>
      <c r="KT43" s="269" t="s">
        <v>3619</v>
      </c>
      <c r="KU43" s="269" t="s">
        <v>3623</v>
      </c>
      <c r="KV43" s="269" t="s">
        <v>3627</v>
      </c>
      <c r="KW43" s="269" t="s">
        <v>3631</v>
      </c>
      <c r="KX43" s="269" t="s">
        <v>3635</v>
      </c>
      <c r="KY43" s="269" t="s">
        <v>3576</v>
      </c>
      <c r="KZ43" s="269" t="s">
        <v>3580</v>
      </c>
      <c r="LA43" s="269" t="s">
        <v>3584</v>
      </c>
      <c r="LB43" s="269" t="s">
        <v>3588</v>
      </c>
      <c r="LC43" s="269" t="s">
        <v>3592</v>
      </c>
      <c r="LD43" s="269" t="s">
        <v>3596</v>
      </c>
      <c r="LE43" s="269" t="s">
        <v>3600</v>
      </c>
      <c r="LF43" s="269" t="s">
        <v>3604</v>
      </c>
      <c r="LG43" s="269" t="s">
        <v>3379</v>
      </c>
      <c r="LH43" s="269" t="s">
        <v>3382</v>
      </c>
      <c r="LI43" s="269" t="s">
        <v>3386</v>
      </c>
      <c r="LJ43" s="269" t="s">
        <v>3390</v>
      </c>
      <c r="LK43" s="269" t="s">
        <v>3394</v>
      </c>
      <c r="LL43" s="269" t="s">
        <v>3398</v>
      </c>
      <c r="LM43" s="269" t="s">
        <v>3402</v>
      </c>
      <c r="LN43" s="269" t="s">
        <v>3406</v>
      </c>
      <c r="LO43" s="269" t="s">
        <v>3410</v>
      </c>
      <c r="LP43" s="269" t="s">
        <v>3414</v>
      </c>
      <c r="LQ43" s="269" t="s">
        <v>3418</v>
      </c>
      <c r="LR43" s="269" t="s">
        <v>3564</v>
      </c>
      <c r="LS43" s="269" t="s">
        <v>3568</v>
      </c>
      <c r="LT43" s="269" t="s">
        <v>3572</v>
      </c>
      <c r="LU43" s="269" t="s">
        <v>3557</v>
      </c>
      <c r="LV43" s="269" t="s">
        <v>3560</v>
      </c>
      <c r="LW43" s="269" t="s">
        <v>3482</v>
      </c>
      <c r="LX43" s="269" t="s">
        <v>3486</v>
      </c>
      <c r="LY43" s="269" t="s">
        <v>3490</v>
      </c>
      <c r="LZ43" s="269" t="s">
        <v>3494</v>
      </c>
      <c r="MA43" s="269" t="s">
        <v>3498</v>
      </c>
      <c r="MB43" s="269" t="s">
        <v>3502</v>
      </c>
      <c r="MC43" s="269" t="s">
        <v>3506</v>
      </c>
      <c r="MD43" s="269" t="s">
        <v>3510</v>
      </c>
      <c r="ME43" s="269" t="s">
        <v>3514</v>
      </c>
      <c r="MF43" s="269" t="s">
        <v>3518</v>
      </c>
      <c r="MG43" s="269" t="s">
        <v>3742</v>
      </c>
      <c r="MH43" s="269" t="s">
        <v>3746</v>
      </c>
      <c r="MI43" s="269" t="s">
        <v>3750</v>
      </c>
      <c r="MJ43" s="269" t="s">
        <v>3754</v>
      </c>
      <c r="MK43" s="269" t="s">
        <v>3758</v>
      </c>
      <c r="ML43" s="269" t="s">
        <v>3762</v>
      </c>
      <c r="MM43" s="269" t="s">
        <v>3766</v>
      </c>
      <c r="MN43" s="269" t="s">
        <v>3770</v>
      </c>
      <c r="MO43" s="269" t="s">
        <v>3774</v>
      </c>
      <c r="MP43" s="269" t="s">
        <v>3778</v>
      </c>
      <c r="MQ43" s="269" t="s">
        <v>3782</v>
      </c>
      <c r="MR43" s="269" t="s">
        <v>3786</v>
      </c>
      <c r="MS43" s="269" t="s">
        <v>3817</v>
      </c>
      <c r="MT43" s="269" t="s">
        <v>3821</v>
      </c>
      <c r="MU43" s="269" t="s">
        <v>3825</v>
      </c>
      <c r="MV43" s="269" t="s">
        <v>3829</v>
      </c>
      <c r="MW43" s="269" t="s">
        <v>3833</v>
      </c>
      <c r="MX43" s="269" t="s">
        <v>3837</v>
      </c>
      <c r="MY43" s="269" t="s">
        <v>3841</v>
      </c>
      <c r="MZ43" s="269" t="s">
        <v>3845</v>
      </c>
      <c r="NA43" s="269" t="s">
        <v>3849</v>
      </c>
      <c r="NB43" s="269" t="s">
        <v>3853</v>
      </c>
      <c r="NC43" s="269" t="s">
        <v>3857</v>
      </c>
      <c r="ND43" s="269" t="s">
        <v>3661</v>
      </c>
      <c r="NE43" s="269" t="s">
        <v>3664</v>
      </c>
      <c r="NF43" s="269" t="s">
        <v>3668</v>
      </c>
      <c r="NG43" s="269" t="s">
        <v>3672</v>
      </c>
      <c r="NH43" s="269" t="s">
        <v>3676</v>
      </c>
      <c r="NI43" s="269" t="s">
        <v>3680</v>
      </c>
      <c r="NJ43" s="269" t="s">
        <v>3684</v>
      </c>
      <c r="NK43" s="269" t="s">
        <v>3688</v>
      </c>
      <c r="NL43" s="269" t="s">
        <v>3692</v>
      </c>
      <c r="NM43" s="269" t="s">
        <v>3696</v>
      </c>
      <c r="NN43" s="269" t="s">
        <v>3700</v>
      </c>
      <c r="NO43" s="269" t="s">
        <v>3704</v>
      </c>
      <c r="NP43" s="269" t="s">
        <v>3790</v>
      </c>
      <c r="NQ43" s="269" t="s">
        <v>3793</v>
      </c>
      <c r="NR43" s="269" t="s">
        <v>3797</v>
      </c>
      <c r="NS43" s="269" t="s">
        <v>3801</v>
      </c>
      <c r="NT43" s="269" t="s">
        <v>3805</v>
      </c>
      <c r="NU43" s="269" t="s">
        <v>3809</v>
      </c>
      <c r="NV43" s="269" t="s">
        <v>3813</v>
      </c>
      <c r="NW43" s="269" t="s">
        <v>3861</v>
      </c>
      <c r="NX43" s="269" t="s">
        <v>3865</v>
      </c>
      <c r="NY43" s="269" t="s">
        <v>3869</v>
      </c>
      <c r="NZ43" s="269" t="s">
        <v>3873</v>
      </c>
      <c r="OA43" s="269" t="s">
        <v>3877</v>
      </c>
      <c r="OB43" s="269" t="s">
        <v>3881</v>
      </c>
      <c r="OC43" s="269" t="s">
        <v>3885</v>
      </c>
      <c r="OD43" s="269" t="s">
        <v>3707</v>
      </c>
      <c r="OE43" s="269" t="s">
        <v>3710</v>
      </c>
      <c r="OF43" s="269" t="s">
        <v>3714</v>
      </c>
      <c r="OG43" s="269" t="s">
        <v>3718</v>
      </c>
      <c r="OH43" s="269" t="s">
        <v>3722</v>
      </c>
      <c r="OI43" s="269" t="s">
        <v>3726</v>
      </c>
      <c r="OJ43" s="269" t="s">
        <v>3730</v>
      </c>
      <c r="OK43" s="269" t="s">
        <v>3734</v>
      </c>
      <c r="OL43" s="269" t="s">
        <v>3738</v>
      </c>
      <c r="OM43" s="269" t="s">
        <v>3639</v>
      </c>
      <c r="ON43" s="269" t="s">
        <v>3642</v>
      </c>
      <c r="OO43" s="269" t="s">
        <v>3646</v>
      </c>
      <c r="OP43" s="269" t="s">
        <v>3650</v>
      </c>
      <c r="OQ43" s="269" t="s">
        <v>3654</v>
      </c>
      <c r="OR43" s="269" t="s">
        <v>3658</v>
      </c>
      <c r="OS43" s="269" t="s">
        <v>3889</v>
      </c>
      <c r="OT43" s="269" t="s">
        <v>3893</v>
      </c>
      <c r="OU43" s="269" t="s">
        <v>3897</v>
      </c>
      <c r="OV43" s="269" t="s">
        <v>3901</v>
      </c>
      <c r="OW43" s="269" t="s">
        <v>3905</v>
      </c>
      <c r="OX43" s="269" t="s">
        <v>3909</v>
      </c>
      <c r="OY43" s="269" t="s">
        <v>3913</v>
      </c>
      <c r="OZ43" s="269" t="s">
        <v>3917</v>
      </c>
      <c r="PA43" s="269" t="s">
        <v>3921</v>
      </c>
      <c r="PB43" s="269" t="s">
        <v>4156</v>
      </c>
      <c r="PC43" s="269" t="s">
        <v>4159</v>
      </c>
      <c r="PD43" s="269" t="s">
        <v>4163</v>
      </c>
      <c r="PE43" s="269" t="s">
        <v>4166</v>
      </c>
      <c r="PF43" s="269" t="s">
        <v>4170</v>
      </c>
      <c r="PG43" s="269" t="s">
        <v>4174</v>
      </c>
      <c r="PH43" s="269" t="s">
        <v>4178</v>
      </c>
      <c r="PI43" s="269" t="s">
        <v>4182</v>
      </c>
      <c r="PJ43" s="269" t="s">
        <v>4186</v>
      </c>
      <c r="PK43" s="269" t="s">
        <v>4190</v>
      </c>
      <c r="PL43" s="269" t="s">
        <v>4194</v>
      </c>
      <c r="PM43" s="269" t="s">
        <v>4198</v>
      </c>
      <c r="PN43" s="269" t="s">
        <v>4202</v>
      </c>
      <c r="PO43" s="269" t="s">
        <v>4206</v>
      </c>
      <c r="PP43" s="269" t="s">
        <v>4210</v>
      </c>
      <c r="PQ43" s="269" t="s">
        <v>4214</v>
      </c>
      <c r="PR43" s="269" t="s">
        <v>4218</v>
      </c>
      <c r="PS43" s="269" t="s">
        <v>4222</v>
      </c>
      <c r="PT43" s="269" t="s">
        <v>3925</v>
      </c>
      <c r="PU43" s="269" t="s">
        <v>3928</v>
      </c>
      <c r="PV43" s="269" t="s">
        <v>3932</v>
      </c>
      <c r="PW43" s="269" t="s">
        <v>3936</v>
      </c>
      <c r="PX43" s="269" t="s">
        <v>3940</v>
      </c>
      <c r="PY43" s="269" t="s">
        <v>3944</v>
      </c>
      <c r="PZ43" s="269" t="s">
        <v>3948</v>
      </c>
      <c r="QA43" s="269" t="s">
        <v>3952</v>
      </c>
      <c r="QB43" s="269" t="s">
        <v>3956</v>
      </c>
      <c r="QC43" s="269" t="s">
        <v>3960</v>
      </c>
      <c r="QD43" s="269" t="s">
        <v>3964</v>
      </c>
      <c r="QE43" s="269" t="s">
        <v>3968</v>
      </c>
      <c r="QF43" s="269" t="s">
        <v>3972</v>
      </c>
      <c r="QG43" s="269" t="s">
        <v>3976</v>
      </c>
      <c r="QH43" s="269" t="s">
        <v>3980</v>
      </c>
      <c r="QI43" s="269" t="s">
        <v>3984</v>
      </c>
      <c r="QJ43" s="269" t="s">
        <v>3988</v>
      </c>
      <c r="QK43" s="269" t="s">
        <v>3992</v>
      </c>
      <c r="QL43" s="269" t="s">
        <v>3996</v>
      </c>
      <c r="QM43" s="269" t="s">
        <v>4000</v>
      </c>
      <c r="QN43" s="269" t="s">
        <v>4004</v>
      </c>
      <c r="QO43" s="269" t="s">
        <v>4008</v>
      </c>
      <c r="QP43" s="269" t="s">
        <v>4012</v>
      </c>
      <c r="QQ43" s="269" t="s">
        <v>4016</v>
      </c>
      <c r="QR43" s="269" t="s">
        <v>4020</v>
      </c>
      <c r="QS43" s="269" t="s">
        <v>4024</v>
      </c>
      <c r="QT43" s="269" t="s">
        <v>4028</v>
      </c>
      <c r="QU43" s="269" t="s">
        <v>4031</v>
      </c>
      <c r="QV43" s="269" t="s">
        <v>4035</v>
      </c>
      <c r="QW43" s="269" t="s">
        <v>4039</v>
      </c>
      <c r="QX43" s="269" t="s">
        <v>4043</v>
      </c>
      <c r="QY43" s="269" t="s">
        <v>4047</v>
      </c>
      <c r="QZ43" s="269" t="s">
        <v>4051</v>
      </c>
      <c r="RA43" s="269" t="s">
        <v>4055</v>
      </c>
      <c r="RB43" s="269" t="s">
        <v>4059</v>
      </c>
      <c r="RC43" s="269" t="s">
        <v>4063</v>
      </c>
      <c r="RD43" s="269" t="s">
        <v>4067</v>
      </c>
      <c r="RE43" s="269" t="s">
        <v>4071</v>
      </c>
      <c r="RF43" s="269" t="s">
        <v>4075</v>
      </c>
      <c r="RG43" s="269" t="s">
        <v>4079</v>
      </c>
      <c r="RH43" s="269" t="s">
        <v>4082</v>
      </c>
      <c r="RI43" s="269" t="s">
        <v>4086</v>
      </c>
      <c r="RJ43" s="269" t="s">
        <v>4090</v>
      </c>
      <c r="RK43" s="269" t="s">
        <v>4094</v>
      </c>
      <c r="RL43" s="269" t="s">
        <v>4098</v>
      </c>
      <c r="RM43" s="269" t="s">
        <v>4102</v>
      </c>
      <c r="RN43" s="269" t="s">
        <v>4106</v>
      </c>
      <c r="RO43" s="269" t="s">
        <v>4110</v>
      </c>
      <c r="RP43" s="269" t="s">
        <v>4114</v>
      </c>
      <c r="RQ43" s="269" t="s">
        <v>4118</v>
      </c>
      <c r="RR43" s="269" t="s">
        <v>4122</v>
      </c>
      <c r="RS43" s="269" t="s">
        <v>4126</v>
      </c>
      <c r="RT43" s="269" t="s">
        <v>4130</v>
      </c>
      <c r="RU43" s="269" t="s">
        <v>4134</v>
      </c>
      <c r="RV43" s="269" t="s">
        <v>4138</v>
      </c>
      <c r="RW43" s="269" t="s">
        <v>4142</v>
      </c>
      <c r="RX43" s="269" t="s">
        <v>4146</v>
      </c>
      <c r="RY43" s="269" t="s">
        <v>4149</v>
      </c>
      <c r="RZ43" s="269" t="s">
        <v>4153</v>
      </c>
      <c r="SA43" s="269" t="s">
        <v>4522</v>
      </c>
      <c r="SB43" s="269" t="s">
        <v>4525</v>
      </c>
      <c r="SC43" s="269" t="s">
        <v>4529</v>
      </c>
      <c r="SD43" s="269" t="s">
        <v>4533</v>
      </c>
      <c r="SE43" s="269" t="s">
        <v>4537</v>
      </c>
      <c r="SF43" s="269" t="s">
        <v>4541</v>
      </c>
      <c r="SG43" s="269" t="s">
        <v>4545</v>
      </c>
      <c r="SH43" s="269" t="s">
        <v>4549</v>
      </c>
      <c r="SI43" s="269" t="s">
        <v>4553</v>
      </c>
      <c r="SJ43" s="269" t="s">
        <v>4557</v>
      </c>
      <c r="SK43" s="269" t="s">
        <v>4561</v>
      </c>
      <c r="SL43" s="269" t="s">
        <v>4565</v>
      </c>
      <c r="SM43" s="269" t="s">
        <v>4226</v>
      </c>
      <c r="SN43" s="269" t="s">
        <v>4229</v>
      </c>
      <c r="SO43" s="269" t="s">
        <v>4233</v>
      </c>
      <c r="SP43" s="269" t="s">
        <v>4237</v>
      </c>
      <c r="SQ43" s="269" t="s">
        <v>4241</v>
      </c>
      <c r="SR43" s="269" t="s">
        <v>4245</v>
      </c>
      <c r="SS43" s="269" t="s">
        <v>4249</v>
      </c>
      <c r="ST43" s="269" t="s">
        <v>4253</v>
      </c>
      <c r="SU43" s="269" t="s">
        <v>4361</v>
      </c>
      <c r="SV43" s="269" t="s">
        <v>4364</v>
      </c>
      <c r="SW43" s="269" t="s">
        <v>4368</v>
      </c>
      <c r="SX43" s="269" t="s">
        <v>4372</v>
      </c>
      <c r="SY43" s="269" t="s">
        <v>4376</v>
      </c>
      <c r="SZ43" s="269" t="s">
        <v>4380</v>
      </c>
      <c r="TA43" s="269" t="s">
        <v>4384</v>
      </c>
      <c r="TB43" s="269" t="s">
        <v>4388</v>
      </c>
      <c r="TC43" s="269" t="s">
        <v>4392</v>
      </c>
      <c r="TD43" s="269" t="s">
        <v>4396</v>
      </c>
      <c r="TE43" s="269" t="s">
        <v>4400</v>
      </c>
      <c r="TF43" s="269" t="s">
        <v>4404</v>
      </c>
      <c r="TG43" s="269" t="s">
        <v>4408</v>
      </c>
      <c r="TH43" s="269" t="s">
        <v>4412</v>
      </c>
      <c r="TI43" s="269" t="s">
        <v>4451</v>
      </c>
      <c r="TJ43" s="269" t="s">
        <v>4454</v>
      </c>
      <c r="TK43" s="269" t="s">
        <v>4458</v>
      </c>
      <c r="TL43" s="269" t="s">
        <v>4462</v>
      </c>
      <c r="TM43" s="269" t="s">
        <v>4466</v>
      </c>
      <c r="TN43" s="269" t="s">
        <v>4470</v>
      </c>
      <c r="TO43" s="269" t="s">
        <v>4474</v>
      </c>
      <c r="TP43" s="269" t="s">
        <v>4478</v>
      </c>
      <c r="TQ43" s="269" t="s">
        <v>4482</v>
      </c>
      <c r="TR43" s="269" t="s">
        <v>4486</v>
      </c>
      <c r="TS43" s="269" t="s">
        <v>4490</v>
      </c>
      <c r="TT43" s="269" t="s">
        <v>4494</v>
      </c>
      <c r="TU43" s="269" t="s">
        <v>4498</v>
      </c>
      <c r="TV43" s="269" t="s">
        <v>4502</v>
      </c>
      <c r="TW43" s="269" t="s">
        <v>4506</v>
      </c>
      <c r="TX43" s="269" t="s">
        <v>4510</v>
      </c>
      <c r="TY43" s="269" t="s">
        <v>4514</v>
      </c>
      <c r="TZ43" s="269" t="s">
        <v>4518</v>
      </c>
      <c r="UA43" s="269" t="s">
        <v>4416</v>
      </c>
      <c r="UB43" s="269" t="s">
        <v>4419</v>
      </c>
      <c r="UC43" s="269" t="s">
        <v>4423</v>
      </c>
      <c r="UD43" s="269" t="s">
        <v>4427</v>
      </c>
      <c r="UE43" s="269" t="s">
        <v>4431</v>
      </c>
      <c r="UF43" s="269" t="s">
        <v>4435</v>
      </c>
      <c r="UG43" s="269" t="s">
        <v>4439</v>
      </c>
      <c r="UH43" s="269" t="s">
        <v>4443</v>
      </c>
      <c r="UI43" s="269" t="s">
        <v>4447</v>
      </c>
      <c r="UJ43" s="269" t="s">
        <v>4257</v>
      </c>
      <c r="UK43" s="269" t="s">
        <v>4260</v>
      </c>
      <c r="UL43" s="269" t="s">
        <v>4264</v>
      </c>
      <c r="UM43" s="269" t="s">
        <v>4268</v>
      </c>
      <c r="UN43" s="269" t="s">
        <v>4272</v>
      </c>
      <c r="UO43" s="269" t="s">
        <v>4276</v>
      </c>
      <c r="UP43" s="269" t="s">
        <v>4280</v>
      </c>
      <c r="UQ43" s="269" t="s">
        <v>4283</v>
      </c>
      <c r="UR43" s="269" t="s">
        <v>4287</v>
      </c>
      <c r="US43" s="269" t="s">
        <v>4291</v>
      </c>
      <c r="UT43" s="269" t="s">
        <v>4295</v>
      </c>
      <c r="UU43" s="269" t="s">
        <v>4299</v>
      </c>
      <c r="UV43" s="269" t="s">
        <v>4303</v>
      </c>
      <c r="UW43" s="269" t="s">
        <v>4307</v>
      </c>
      <c r="UX43" s="269" t="s">
        <v>4311</v>
      </c>
      <c r="UY43" s="269" t="s">
        <v>4315</v>
      </c>
      <c r="UZ43" s="269" t="s">
        <v>4319</v>
      </c>
      <c r="VA43" s="269" t="s">
        <v>4323</v>
      </c>
      <c r="VB43" s="269" t="s">
        <v>4327</v>
      </c>
      <c r="VC43" s="269" t="s">
        <v>4331</v>
      </c>
      <c r="VD43" s="269" t="s">
        <v>4335</v>
      </c>
      <c r="VE43" s="269" t="s">
        <v>4339</v>
      </c>
      <c r="VF43" s="269" t="s">
        <v>4343</v>
      </c>
      <c r="VG43" s="269" t="s">
        <v>4347</v>
      </c>
      <c r="VH43" s="269" t="s">
        <v>4351</v>
      </c>
      <c r="VI43" s="269" t="s">
        <v>4355</v>
      </c>
      <c r="VJ43" s="269" t="s">
        <v>4358</v>
      </c>
      <c r="VK43" s="269" t="s">
        <v>4850</v>
      </c>
      <c r="VL43" s="269" t="s">
        <v>4853</v>
      </c>
      <c r="VM43" s="269" t="s">
        <v>4856</v>
      </c>
      <c r="VN43" s="269" t="s">
        <v>4860</v>
      </c>
      <c r="VO43" s="269" t="s">
        <v>4864</v>
      </c>
      <c r="VP43" s="269" t="s">
        <v>4868</v>
      </c>
      <c r="VQ43" s="269" t="s">
        <v>4872</v>
      </c>
      <c r="VR43" s="269" t="s">
        <v>4876</v>
      </c>
      <c r="VS43" s="269" t="s">
        <v>4880</v>
      </c>
      <c r="VT43" s="269" t="s">
        <v>4884</v>
      </c>
      <c r="VU43" s="269" t="s">
        <v>4888</v>
      </c>
      <c r="VV43" s="269" t="s">
        <v>4892</v>
      </c>
      <c r="VW43" s="269" t="s">
        <v>4896</v>
      </c>
      <c r="VX43" s="269" t="s">
        <v>4900</v>
      </c>
      <c r="VY43" s="269" t="s">
        <v>4904</v>
      </c>
      <c r="VZ43" s="269" t="s">
        <v>4908</v>
      </c>
      <c r="WA43" s="269" t="s">
        <v>4569</v>
      </c>
      <c r="WB43" s="269" t="s">
        <v>4573</v>
      </c>
      <c r="WC43" s="269" t="s">
        <v>4577</v>
      </c>
      <c r="WD43" s="269" t="s">
        <v>4581</v>
      </c>
      <c r="WE43" s="269" t="s">
        <v>4585</v>
      </c>
      <c r="WF43" s="269" t="s">
        <v>4589</v>
      </c>
      <c r="WG43" s="269" t="s">
        <v>4593</v>
      </c>
      <c r="WH43" s="269" t="s">
        <v>4597</v>
      </c>
      <c r="WI43" s="269" t="s">
        <v>4601</v>
      </c>
      <c r="WJ43" s="269" t="s">
        <v>4605</v>
      </c>
      <c r="WK43" s="269" t="s">
        <v>4609</v>
      </c>
      <c r="WL43" s="269" t="s">
        <v>4613</v>
      </c>
      <c r="WM43" s="269" t="s">
        <v>4617</v>
      </c>
      <c r="WN43" s="269" t="s">
        <v>4621</v>
      </c>
      <c r="WO43" s="269" t="s">
        <v>4625</v>
      </c>
      <c r="WP43" s="269" t="s">
        <v>4629</v>
      </c>
      <c r="WQ43" s="269" t="s">
        <v>4633</v>
      </c>
      <c r="WR43" s="269" t="s">
        <v>4637</v>
      </c>
      <c r="WS43" s="269" t="s">
        <v>4641</v>
      </c>
      <c r="WT43" s="269" t="s">
        <v>4645</v>
      </c>
      <c r="WU43" s="269" t="s">
        <v>4649</v>
      </c>
      <c r="WV43" s="269" t="s">
        <v>4653</v>
      </c>
      <c r="WW43" s="269" t="s">
        <v>4657</v>
      </c>
      <c r="WX43" s="269" t="s">
        <v>4661</v>
      </c>
      <c r="WY43" s="269" t="s">
        <v>4665</v>
      </c>
      <c r="WZ43" s="269" t="s">
        <v>4669</v>
      </c>
      <c r="XA43" s="269" t="s">
        <v>4673</v>
      </c>
      <c r="XB43" s="269" t="s">
        <v>4677</v>
      </c>
      <c r="XC43" s="269" t="s">
        <v>4681</v>
      </c>
      <c r="XD43" s="269" t="s">
        <v>4685</v>
      </c>
      <c r="XE43" s="269" t="s">
        <v>4688</v>
      </c>
      <c r="XF43" s="269" t="s">
        <v>4691</v>
      </c>
      <c r="XG43" s="269" t="s">
        <v>4694</v>
      </c>
      <c r="XH43" s="269" t="s">
        <v>4697</v>
      </c>
      <c r="XI43" s="269" t="s">
        <v>4700</v>
      </c>
      <c r="XJ43" s="269" t="s">
        <v>4704</v>
      </c>
      <c r="XK43" s="269" t="s">
        <v>4708</v>
      </c>
      <c r="XL43" s="269" t="s">
        <v>4712</v>
      </c>
      <c r="XM43" s="269" t="s">
        <v>4716</v>
      </c>
      <c r="XN43" s="269" t="s">
        <v>4720</v>
      </c>
      <c r="XO43" s="269" t="s">
        <v>4724</v>
      </c>
      <c r="XP43" s="269" t="s">
        <v>4728</v>
      </c>
      <c r="XQ43" s="269" t="s">
        <v>4732</v>
      </c>
      <c r="XR43" s="269" t="s">
        <v>4736</v>
      </c>
      <c r="XS43" s="269" t="s">
        <v>4740</v>
      </c>
      <c r="XT43" s="269" t="s">
        <v>4744</v>
      </c>
      <c r="XU43" s="269" t="s">
        <v>4748</v>
      </c>
      <c r="XV43" s="269" t="s">
        <v>4752</v>
      </c>
      <c r="XW43" s="269" t="s">
        <v>4756</v>
      </c>
      <c r="XX43" s="269" t="s">
        <v>4760</v>
      </c>
      <c r="XY43" s="269" t="s">
        <v>4764</v>
      </c>
      <c r="XZ43" s="269" t="s">
        <v>4768</v>
      </c>
      <c r="YA43" s="269" t="s">
        <v>4772</v>
      </c>
      <c r="YB43" s="269" t="s">
        <v>4776</v>
      </c>
      <c r="YC43" s="269" t="s">
        <v>4779</v>
      </c>
      <c r="YD43" s="269" t="s">
        <v>4783</v>
      </c>
      <c r="YE43" s="269" t="s">
        <v>4786</v>
      </c>
      <c r="YF43" s="269" t="s">
        <v>4789</v>
      </c>
      <c r="YG43" s="269" t="s">
        <v>4793</v>
      </c>
      <c r="YH43" s="269" t="s">
        <v>4797</v>
      </c>
      <c r="YI43" s="269" t="s">
        <v>4801</v>
      </c>
      <c r="YJ43" s="269" t="s">
        <v>4805</v>
      </c>
      <c r="YK43" s="269" t="s">
        <v>4809</v>
      </c>
      <c r="YL43" s="269" t="s">
        <v>4813</v>
      </c>
      <c r="YM43" s="269" t="s">
        <v>4817</v>
      </c>
      <c r="YN43" s="269" t="s">
        <v>4821</v>
      </c>
      <c r="YO43" s="269" t="s">
        <v>4825</v>
      </c>
      <c r="YP43" s="269" t="s">
        <v>4829</v>
      </c>
      <c r="YQ43" s="269" t="s">
        <v>4833</v>
      </c>
      <c r="YR43" s="269" t="s">
        <v>4837</v>
      </c>
      <c r="YS43" s="269" t="s">
        <v>4841</v>
      </c>
      <c r="YT43" s="269" t="s">
        <v>4844</v>
      </c>
      <c r="YU43" s="269" t="s">
        <v>4847</v>
      </c>
      <c r="YV43" s="269" t="s">
        <v>5161</v>
      </c>
      <c r="YW43" s="269" t="s">
        <v>5164</v>
      </c>
      <c r="YX43" s="269" t="s">
        <v>5168</v>
      </c>
      <c r="YY43" s="269" t="s">
        <v>5172</v>
      </c>
      <c r="YZ43" s="269" t="s">
        <v>5176</v>
      </c>
      <c r="ZA43" s="269" t="s">
        <v>5180</v>
      </c>
      <c r="ZB43" s="269" t="s">
        <v>5184</v>
      </c>
      <c r="ZC43" s="269" t="s">
        <v>5099</v>
      </c>
      <c r="ZD43" s="269" t="s">
        <v>5102</v>
      </c>
      <c r="ZE43" s="269" t="s">
        <v>5106</v>
      </c>
      <c r="ZF43" s="269" t="s">
        <v>5110</v>
      </c>
      <c r="ZG43" s="269" t="s">
        <v>5114</v>
      </c>
      <c r="ZH43" s="269" t="s">
        <v>5118</v>
      </c>
      <c r="ZI43" s="269" t="s">
        <v>5122</v>
      </c>
      <c r="ZJ43" s="269" t="s">
        <v>5126</v>
      </c>
      <c r="ZK43" s="269" t="s">
        <v>5130</v>
      </c>
      <c r="ZL43" s="269" t="s">
        <v>4912</v>
      </c>
      <c r="ZM43" s="269" t="s">
        <v>4915</v>
      </c>
      <c r="ZN43" s="269" t="s">
        <v>4919</v>
      </c>
      <c r="ZO43" s="269" t="s">
        <v>4923</v>
      </c>
      <c r="ZP43" s="269" t="s">
        <v>4927</v>
      </c>
      <c r="ZQ43" s="269" t="s">
        <v>4931</v>
      </c>
      <c r="ZR43" s="269" t="s">
        <v>4935</v>
      </c>
      <c r="ZS43" s="269" t="s">
        <v>4939</v>
      </c>
      <c r="ZT43" s="269" t="s">
        <v>4943</v>
      </c>
      <c r="ZU43" s="269" t="s">
        <v>4947</v>
      </c>
      <c r="ZV43" s="269" t="s">
        <v>4951</v>
      </c>
      <c r="ZW43" s="269" t="s">
        <v>4955</v>
      </c>
      <c r="ZX43" s="269" t="s">
        <v>4959</v>
      </c>
      <c r="ZY43" s="269" t="s">
        <v>4963</v>
      </c>
      <c r="ZZ43" s="269" t="s">
        <v>4967</v>
      </c>
      <c r="AAA43" s="269" t="s">
        <v>4971</v>
      </c>
      <c r="AAB43" s="269" t="s">
        <v>4975</v>
      </c>
      <c r="AAC43" s="269" t="s">
        <v>4979</v>
      </c>
      <c r="AAD43" s="269" t="s">
        <v>4983</v>
      </c>
      <c r="AAE43" s="269" t="s">
        <v>4987</v>
      </c>
      <c r="AAF43" s="269" t="s">
        <v>4991</v>
      </c>
      <c r="AAG43" s="269" t="s">
        <v>4994</v>
      </c>
      <c r="AAH43" s="269" t="s">
        <v>5134</v>
      </c>
      <c r="AAI43" s="269" t="s">
        <v>5137</v>
      </c>
      <c r="AAJ43" s="269" t="s">
        <v>5141</v>
      </c>
      <c r="AAK43" s="269" t="s">
        <v>5145</v>
      </c>
      <c r="AAL43" s="269" t="s">
        <v>5149</v>
      </c>
      <c r="AAM43" s="269" t="s">
        <v>5153</v>
      </c>
      <c r="AAN43" s="269" t="s">
        <v>5157</v>
      </c>
      <c r="AAO43" s="269" t="s">
        <v>4998</v>
      </c>
      <c r="AAP43" s="269" t="s">
        <v>5002</v>
      </c>
      <c r="AAQ43" s="269" t="s">
        <v>5006</v>
      </c>
      <c r="AAR43" s="269" t="s">
        <v>5010</v>
      </c>
      <c r="AAS43" s="269" t="s">
        <v>5014</v>
      </c>
      <c r="AAT43" s="269" t="s">
        <v>5018</v>
      </c>
      <c r="AAU43" s="269" t="s">
        <v>5022</v>
      </c>
      <c r="AAV43" s="269" t="s">
        <v>5026</v>
      </c>
      <c r="AAW43" s="269" t="s">
        <v>5030</v>
      </c>
      <c r="AAX43" s="269" t="s">
        <v>5034</v>
      </c>
      <c r="AAY43" s="269" t="s">
        <v>5038</v>
      </c>
      <c r="AAZ43" s="269" t="s">
        <v>5042</v>
      </c>
      <c r="ABA43" s="269" t="s">
        <v>5046</v>
      </c>
      <c r="ABB43" s="269" t="s">
        <v>5050</v>
      </c>
      <c r="ABC43" s="269" t="s">
        <v>5054</v>
      </c>
      <c r="ABD43" s="269" t="s">
        <v>5058</v>
      </c>
      <c r="ABE43" s="269" t="s">
        <v>5062</v>
      </c>
      <c r="ABF43" s="269" t="s">
        <v>5066</v>
      </c>
      <c r="ABG43" s="269" t="s">
        <v>5070</v>
      </c>
      <c r="ABH43" s="269" t="s">
        <v>5074</v>
      </c>
      <c r="ABI43" s="269" t="s">
        <v>5078</v>
      </c>
      <c r="ABJ43" s="269" t="s">
        <v>5082</v>
      </c>
      <c r="ABK43" s="269" t="s">
        <v>5086</v>
      </c>
      <c r="ABL43" s="269" t="s">
        <v>5090</v>
      </c>
      <c r="ABM43" s="269" t="s">
        <v>5093</v>
      </c>
      <c r="ABN43" s="269" t="s">
        <v>5096</v>
      </c>
      <c r="ABO43" s="269" t="s">
        <v>5278</v>
      </c>
      <c r="ABP43" s="269" t="s">
        <v>5281</v>
      </c>
      <c r="ABQ43" s="269" t="s">
        <v>5285</v>
      </c>
      <c r="ABR43" s="269" t="s">
        <v>5289</v>
      </c>
      <c r="ABS43" s="269" t="s">
        <v>5293</v>
      </c>
      <c r="ABT43" s="269" t="s">
        <v>5297</v>
      </c>
      <c r="ABU43" s="269" t="s">
        <v>5301</v>
      </c>
      <c r="ABV43" s="269" t="s">
        <v>5305</v>
      </c>
      <c r="ABW43" s="269" t="s">
        <v>5309</v>
      </c>
      <c r="ABX43" s="269" t="s">
        <v>5456</v>
      </c>
      <c r="ABY43" s="269" t="s">
        <v>5460</v>
      </c>
      <c r="ABZ43" s="269" t="s">
        <v>5464</v>
      </c>
      <c r="ACA43" s="269" t="s">
        <v>5468</v>
      </c>
      <c r="ACB43" s="269" t="s">
        <v>5472</v>
      </c>
      <c r="ACC43" s="269" t="s">
        <v>5476</v>
      </c>
      <c r="ACD43" s="269" t="s">
        <v>5480</v>
      </c>
      <c r="ACE43" s="269" t="s">
        <v>5484</v>
      </c>
      <c r="ACF43" s="269" t="s">
        <v>5488</v>
      </c>
      <c r="ACG43" s="269" t="s">
        <v>5492</v>
      </c>
      <c r="ACH43" s="269" t="s">
        <v>5496</v>
      </c>
      <c r="ACI43" s="269" t="s">
        <v>5188</v>
      </c>
      <c r="ACJ43" s="269" t="s">
        <v>5192</v>
      </c>
      <c r="ACK43" s="269" t="s">
        <v>5196</v>
      </c>
      <c r="ACL43" s="269" t="s">
        <v>5200</v>
      </c>
      <c r="ACM43" s="269" t="s">
        <v>5204</v>
      </c>
      <c r="ACN43" s="269" t="s">
        <v>5208</v>
      </c>
      <c r="ACO43" s="269" t="s">
        <v>5212</v>
      </c>
      <c r="ACP43" s="269" t="s">
        <v>5216</v>
      </c>
      <c r="ACQ43" s="269" t="s">
        <v>5220</v>
      </c>
      <c r="ACR43" s="269" t="s">
        <v>5224</v>
      </c>
      <c r="ACS43" s="269" t="s">
        <v>5228</v>
      </c>
      <c r="ACT43" s="269" t="s">
        <v>5232</v>
      </c>
      <c r="ACU43" s="269" t="s">
        <v>5236</v>
      </c>
      <c r="ACV43" s="269" t="s">
        <v>5240</v>
      </c>
      <c r="ACW43" s="269" t="s">
        <v>5244</v>
      </c>
      <c r="ACX43" s="269" t="s">
        <v>5248</v>
      </c>
      <c r="ACY43" s="269" t="s">
        <v>5252</v>
      </c>
      <c r="ACZ43" s="269" t="s">
        <v>5256</v>
      </c>
      <c r="ADA43" s="269" t="s">
        <v>5260</v>
      </c>
      <c r="ADB43" s="269" t="s">
        <v>5264</v>
      </c>
      <c r="ADC43" s="269" t="s">
        <v>5266</v>
      </c>
      <c r="ADD43" s="269" t="s">
        <v>5270</v>
      </c>
      <c r="ADE43" s="269" t="s">
        <v>5274</v>
      </c>
      <c r="ADF43" s="269" t="s">
        <v>5313</v>
      </c>
      <c r="ADG43" s="269" t="s">
        <v>5316</v>
      </c>
      <c r="ADH43" s="269" t="s">
        <v>5320</v>
      </c>
      <c r="ADI43" s="269" t="s">
        <v>5324</v>
      </c>
      <c r="ADJ43" s="269" t="s">
        <v>5328</v>
      </c>
      <c r="ADK43" s="269" t="s">
        <v>5332</v>
      </c>
      <c r="ADL43" s="269" t="s">
        <v>5334</v>
      </c>
      <c r="ADM43" s="269" t="s">
        <v>5338</v>
      </c>
      <c r="ADN43" s="269" t="s">
        <v>5342</v>
      </c>
      <c r="ADO43" s="269" t="s">
        <v>5346</v>
      </c>
      <c r="ADP43" s="269" t="s">
        <v>5350</v>
      </c>
      <c r="ADQ43" s="269" t="s">
        <v>5354</v>
      </c>
      <c r="ADR43" s="269" t="s">
        <v>5913</v>
      </c>
      <c r="ADS43" s="269" t="s">
        <v>5437</v>
      </c>
      <c r="ADT43" s="269" t="s">
        <v>5440</v>
      </c>
      <c r="ADU43" s="269" t="s">
        <v>5444</v>
      </c>
      <c r="ADV43" s="269" t="s">
        <v>5448</v>
      </c>
      <c r="ADW43" s="269" t="s">
        <v>5452</v>
      </c>
      <c r="ADX43" s="269" t="s">
        <v>5924</v>
      </c>
      <c r="ADY43" s="269" t="s">
        <v>5358</v>
      </c>
      <c r="ADZ43" s="269" t="s">
        <v>5361</v>
      </c>
      <c r="AEA43" s="269" t="s">
        <v>5365</v>
      </c>
      <c r="AEB43" s="269" t="s">
        <v>5369</v>
      </c>
      <c r="AEC43" s="269" t="s">
        <v>5373</v>
      </c>
      <c r="AED43" s="269" t="s">
        <v>5377</v>
      </c>
      <c r="AEE43" s="269" t="s">
        <v>5381</v>
      </c>
      <c r="AEF43" s="269" t="s">
        <v>5385</v>
      </c>
      <c r="AEG43" s="269" t="s">
        <v>5389</v>
      </c>
      <c r="AEH43" s="269" t="s">
        <v>5393</v>
      </c>
      <c r="AEI43" s="269" t="s">
        <v>5397</v>
      </c>
      <c r="AEJ43" s="269" t="s">
        <v>5401</v>
      </c>
      <c r="AEK43" s="269" t="s">
        <v>5405</v>
      </c>
      <c r="AEL43" s="269" t="s">
        <v>5409</v>
      </c>
      <c r="AEM43" s="269" t="s">
        <v>5413</v>
      </c>
      <c r="AEN43" s="269" t="s">
        <v>5417</v>
      </c>
      <c r="AEO43" s="269" t="s">
        <v>5421</v>
      </c>
      <c r="AEP43" s="269" t="s">
        <v>5425</v>
      </c>
      <c r="AEQ43" s="269" t="s">
        <v>5429</v>
      </c>
      <c r="AER43" s="269" t="s">
        <v>5433</v>
      </c>
      <c r="AES43" s="269" t="s">
        <v>5594</v>
      </c>
      <c r="AET43" s="269" t="s">
        <v>5597</v>
      </c>
      <c r="AEU43" s="269" t="s">
        <v>5601</v>
      </c>
      <c r="AEV43" s="269" t="s">
        <v>5605</v>
      </c>
      <c r="AEW43" s="269" t="s">
        <v>5609</v>
      </c>
      <c r="AEX43" s="269" t="s">
        <v>5613</v>
      </c>
      <c r="AEY43" s="269" t="s">
        <v>5617</v>
      </c>
      <c r="AEZ43" s="269" t="s">
        <v>5621</v>
      </c>
      <c r="AFA43" s="269" t="s">
        <v>5625</v>
      </c>
      <c r="AFB43" s="269" t="s">
        <v>5629</v>
      </c>
      <c r="AFC43" s="269" t="s">
        <v>5754</v>
      </c>
      <c r="AFD43" s="269" t="s">
        <v>5758</v>
      </c>
      <c r="AFE43" s="269" t="s">
        <v>5762</v>
      </c>
      <c r="AFF43" s="269" t="s">
        <v>5766</v>
      </c>
      <c r="AFG43" s="269" t="s">
        <v>5770</v>
      </c>
      <c r="AFH43" s="269" t="s">
        <v>5774</v>
      </c>
      <c r="AFI43" s="269" t="s">
        <v>5778</v>
      </c>
      <c r="AFJ43" s="269" t="s">
        <v>5782</v>
      </c>
      <c r="AFK43" s="269" t="s">
        <v>5786</v>
      </c>
      <c r="AFL43" s="269" t="s">
        <v>5790</v>
      </c>
      <c r="AFM43" s="269" t="s">
        <v>5794</v>
      </c>
      <c r="AFN43" s="269" t="s">
        <v>5798</v>
      </c>
      <c r="AFO43" s="269" t="s">
        <v>5802</v>
      </c>
      <c r="AFP43" s="269" t="s">
        <v>5676</v>
      </c>
      <c r="AFQ43" s="269" t="s">
        <v>5679</v>
      </c>
      <c r="AFR43" s="269" t="s">
        <v>5683</v>
      </c>
      <c r="AFS43" s="269" t="s">
        <v>5687</v>
      </c>
      <c r="AFT43" s="269" t="s">
        <v>5691</v>
      </c>
      <c r="AFU43" s="269" t="s">
        <v>5695</v>
      </c>
      <c r="AFV43" s="269" t="s">
        <v>5699</v>
      </c>
      <c r="AFW43" s="269" t="s">
        <v>5703</v>
      </c>
      <c r="AFX43" s="269" t="s">
        <v>5707</v>
      </c>
      <c r="AFY43" s="269" t="s">
        <v>5711</v>
      </c>
      <c r="AFZ43" s="269" t="s">
        <v>5715</v>
      </c>
      <c r="AGA43" s="269" t="s">
        <v>5719</v>
      </c>
      <c r="AGB43" s="269" t="s">
        <v>5633</v>
      </c>
      <c r="AGC43" s="269" t="s">
        <v>5636</v>
      </c>
      <c r="AGD43" s="269" t="s">
        <v>5640</v>
      </c>
      <c r="AGE43" s="269" t="s">
        <v>5644</v>
      </c>
      <c r="AGF43" s="269" t="s">
        <v>5648</v>
      </c>
      <c r="AGG43" s="269" t="s">
        <v>5652</v>
      </c>
      <c r="AGH43" s="269" t="s">
        <v>5656</v>
      </c>
      <c r="AGI43" s="269" t="s">
        <v>5660</v>
      </c>
      <c r="AGJ43" s="269" t="s">
        <v>5664</v>
      </c>
      <c r="AGK43" s="269" t="s">
        <v>5668</v>
      </c>
      <c r="AGL43" s="269" t="s">
        <v>5672</v>
      </c>
      <c r="AGM43" s="269" t="s">
        <v>5723</v>
      </c>
      <c r="AGN43" s="269" t="s">
        <v>5726</v>
      </c>
      <c r="AGO43" s="269" t="s">
        <v>5730</v>
      </c>
      <c r="AGP43" s="269" t="s">
        <v>5734</v>
      </c>
      <c r="AGQ43" s="269" t="s">
        <v>5738</v>
      </c>
      <c r="AGR43" s="269" t="s">
        <v>5742</v>
      </c>
      <c r="AGS43" s="269" t="s">
        <v>5746</v>
      </c>
      <c r="AGT43" s="269" t="s">
        <v>5750</v>
      </c>
      <c r="AGU43" s="269" t="s">
        <v>5500</v>
      </c>
      <c r="AGV43" s="269" t="s">
        <v>5504</v>
      </c>
      <c r="AGW43" s="269" t="s">
        <v>5507</v>
      </c>
      <c r="AGX43" s="269" t="s">
        <v>5511</v>
      </c>
      <c r="AGY43" s="269" t="s">
        <v>5515</v>
      </c>
      <c r="AGZ43" s="269" t="s">
        <v>5519</v>
      </c>
      <c r="AHA43" s="269" t="s">
        <v>5523</v>
      </c>
      <c r="AHB43" s="269" t="s">
        <v>5527</v>
      </c>
      <c r="AHC43" s="269" t="s">
        <v>5531</v>
      </c>
      <c r="AHD43" s="269" t="s">
        <v>5535</v>
      </c>
      <c r="AHE43" s="269" t="s">
        <v>5539</v>
      </c>
      <c r="AHF43" s="269" t="s">
        <v>5543</v>
      </c>
      <c r="AHG43" s="269" t="s">
        <v>5547</v>
      </c>
      <c r="AHH43" s="269" t="s">
        <v>5551</v>
      </c>
      <c r="AHI43" s="269" t="s">
        <v>5555</v>
      </c>
      <c r="AHJ43" s="269" t="s">
        <v>5559</v>
      </c>
      <c r="AHK43" s="269" t="s">
        <v>5563</v>
      </c>
      <c r="AHL43" s="269" t="s">
        <v>5567</v>
      </c>
      <c r="AHM43" s="269" t="s">
        <v>5570</v>
      </c>
      <c r="AHN43" s="269" t="s">
        <v>5574</v>
      </c>
      <c r="AHO43" s="269" t="s">
        <v>5578</v>
      </c>
      <c r="AHP43" s="269" t="s">
        <v>5582</v>
      </c>
      <c r="AHQ43" s="269" t="s">
        <v>5586</v>
      </c>
      <c r="AHR43" s="268" t="s">
        <v>5590</v>
      </c>
    </row>
    <row r="44" spans="1:905" ht="24.6" x14ac:dyDescent="0.7">
      <c r="B44" s="268" t="s">
        <v>6035</v>
      </c>
      <c r="C44" s="269" t="s">
        <v>6036</v>
      </c>
      <c r="D44" s="294">
        <v>0</v>
      </c>
      <c r="E44" s="294">
        <v>3955</v>
      </c>
      <c r="F44" s="294">
        <v>71083.399999999994</v>
      </c>
      <c r="G44" s="294">
        <v>8629</v>
      </c>
      <c r="H44" s="294">
        <v>23355.75</v>
      </c>
      <c r="I44" s="294">
        <v>1000</v>
      </c>
      <c r="J44" s="294">
        <v>25226</v>
      </c>
      <c r="K44" s="294">
        <v>0</v>
      </c>
      <c r="L44" s="294">
        <v>0</v>
      </c>
      <c r="M44" s="294">
        <v>140</v>
      </c>
      <c r="N44" s="294">
        <v>0</v>
      </c>
      <c r="O44" s="294">
        <v>27457</v>
      </c>
      <c r="P44" s="294">
        <v>181229.8</v>
      </c>
      <c r="Q44" s="294">
        <v>77961</v>
      </c>
      <c r="R44" s="294">
        <v>1870</v>
      </c>
      <c r="S44" s="294">
        <v>2423</v>
      </c>
      <c r="T44" s="294">
        <v>1040</v>
      </c>
      <c r="U44" s="294">
        <v>25505</v>
      </c>
      <c r="V44" s="294">
        <v>157160</v>
      </c>
      <c r="W44" s="294">
        <v>0</v>
      </c>
      <c r="X44" s="294">
        <v>8643</v>
      </c>
      <c r="Y44" s="294">
        <v>0</v>
      </c>
      <c r="Z44" s="294">
        <v>0</v>
      </c>
      <c r="AA44" s="294">
        <v>826</v>
      </c>
      <c r="AB44" s="294">
        <v>0</v>
      </c>
      <c r="AC44" s="294">
        <v>0</v>
      </c>
      <c r="AD44" s="294">
        <v>0</v>
      </c>
      <c r="AE44" s="294">
        <v>1650</v>
      </c>
      <c r="AF44" s="294">
        <v>200587</v>
      </c>
      <c r="AG44" s="294">
        <v>26143</v>
      </c>
      <c r="AH44" s="294">
        <v>61668</v>
      </c>
      <c r="AI44" s="294">
        <v>0</v>
      </c>
      <c r="AJ44" s="294">
        <v>50.19</v>
      </c>
      <c r="AK44" s="294">
        <v>0</v>
      </c>
      <c r="AL44" s="294">
        <v>1200</v>
      </c>
      <c r="AM44" s="294">
        <v>6748</v>
      </c>
      <c r="AN44" s="294">
        <v>2430.9</v>
      </c>
      <c r="AO44" s="294">
        <v>4000</v>
      </c>
      <c r="AP44" s="294">
        <v>22000</v>
      </c>
      <c r="AQ44" s="294">
        <v>11425.82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13616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2684</v>
      </c>
      <c r="BE44" s="294">
        <v>1160</v>
      </c>
      <c r="BF44" s="294">
        <v>0</v>
      </c>
      <c r="BG44" s="294">
        <v>0</v>
      </c>
      <c r="BH44" s="294">
        <v>0</v>
      </c>
      <c r="BI44" s="294">
        <v>37940</v>
      </c>
      <c r="BJ44" s="294">
        <v>0</v>
      </c>
      <c r="BK44" s="294">
        <v>13431</v>
      </c>
      <c r="BL44" s="294">
        <v>2405</v>
      </c>
      <c r="BM44" s="294">
        <v>3600</v>
      </c>
      <c r="BN44" s="294">
        <v>7549</v>
      </c>
      <c r="BO44" s="294">
        <v>12018.75</v>
      </c>
      <c r="BP44" s="294">
        <v>2770</v>
      </c>
      <c r="BQ44" s="294">
        <v>4726</v>
      </c>
      <c r="BR44" s="294">
        <v>0</v>
      </c>
      <c r="BS44" s="294">
        <v>28102</v>
      </c>
      <c r="BT44" s="294">
        <v>10769.47</v>
      </c>
      <c r="BU44" s="294">
        <v>0</v>
      </c>
      <c r="BV44" s="294">
        <v>8765</v>
      </c>
      <c r="BW44" s="294">
        <v>0</v>
      </c>
      <c r="BX44" s="294">
        <v>0</v>
      </c>
      <c r="BY44" s="294">
        <v>0</v>
      </c>
      <c r="BZ44" s="294">
        <v>4430</v>
      </c>
      <c r="CA44" s="294">
        <v>0</v>
      </c>
      <c r="CB44" s="294">
        <v>0</v>
      </c>
      <c r="CC44" s="294">
        <v>0</v>
      </c>
      <c r="CD44" s="294">
        <v>0</v>
      </c>
      <c r="CE44" s="294">
        <v>0</v>
      </c>
      <c r="CF44" s="294">
        <v>0</v>
      </c>
      <c r="CG44" s="294">
        <v>0</v>
      </c>
      <c r="CH44" s="294">
        <v>3131</v>
      </c>
      <c r="CI44" s="294">
        <v>282628.25</v>
      </c>
      <c r="CJ44" s="294">
        <v>0</v>
      </c>
      <c r="CK44" s="294">
        <v>1756.5</v>
      </c>
      <c r="CL44" s="294">
        <v>900</v>
      </c>
      <c r="CM44" s="294">
        <v>5058</v>
      </c>
      <c r="CN44" s="294">
        <v>90</v>
      </c>
      <c r="CO44" s="294">
        <v>298</v>
      </c>
      <c r="CP44" s="294">
        <v>0</v>
      </c>
      <c r="CQ44" s="294">
        <v>0</v>
      </c>
      <c r="CR44" s="294">
        <v>0</v>
      </c>
      <c r="CS44" s="294">
        <v>662.75</v>
      </c>
      <c r="CT44" s="294">
        <v>50754.75</v>
      </c>
      <c r="CU44" s="294">
        <v>0</v>
      </c>
      <c r="CV44" s="294">
        <v>224.66</v>
      </c>
      <c r="CW44" s="294">
        <v>0</v>
      </c>
      <c r="CX44" s="294">
        <v>205.8</v>
      </c>
      <c r="CY44" s="294">
        <v>3104</v>
      </c>
      <c r="CZ44" s="294">
        <v>2442</v>
      </c>
      <c r="DA44" s="294">
        <v>1190</v>
      </c>
      <c r="DB44" s="294">
        <v>0</v>
      </c>
      <c r="DC44" s="294">
        <v>0</v>
      </c>
      <c r="DD44" s="294">
        <v>0</v>
      </c>
      <c r="DE44" s="294">
        <v>0</v>
      </c>
      <c r="DF44" s="294">
        <v>0</v>
      </c>
      <c r="DG44" s="294">
        <v>0</v>
      </c>
      <c r="DH44" s="294">
        <v>0</v>
      </c>
      <c r="DI44" s="294">
        <v>0</v>
      </c>
      <c r="DJ44" s="294">
        <v>0</v>
      </c>
      <c r="DK44" s="294">
        <v>170192.14</v>
      </c>
      <c r="DL44" s="294">
        <v>0</v>
      </c>
      <c r="DM44" s="294">
        <v>0</v>
      </c>
      <c r="DN44" s="294">
        <v>0</v>
      </c>
      <c r="DO44" s="294">
        <v>0</v>
      </c>
      <c r="DP44" s="294">
        <v>0</v>
      </c>
      <c r="DQ44" s="294">
        <v>135</v>
      </c>
      <c r="DR44" s="294">
        <v>0</v>
      </c>
      <c r="DS44" s="294">
        <v>0</v>
      </c>
      <c r="DT44" s="294">
        <v>27000</v>
      </c>
      <c r="DU44" s="294">
        <v>788.5</v>
      </c>
      <c r="DV44" s="294">
        <v>15074</v>
      </c>
      <c r="DW44" s="294">
        <v>0</v>
      </c>
      <c r="DX44" s="294">
        <v>6736</v>
      </c>
      <c r="DY44" s="294">
        <v>0</v>
      </c>
      <c r="DZ44" s="294">
        <v>0</v>
      </c>
      <c r="EA44" s="294">
        <v>0</v>
      </c>
      <c r="EB44" s="294">
        <v>0</v>
      </c>
      <c r="EC44" s="294">
        <v>0</v>
      </c>
      <c r="ED44" s="294">
        <v>1710</v>
      </c>
      <c r="EE44" s="294">
        <v>19292.25</v>
      </c>
      <c r="EF44" s="294">
        <v>38492.75</v>
      </c>
      <c r="EG44" s="294">
        <v>0</v>
      </c>
      <c r="EH44" s="294">
        <v>0</v>
      </c>
      <c r="EI44" s="294">
        <v>0</v>
      </c>
      <c r="EJ44" s="294">
        <v>0</v>
      </c>
      <c r="EK44" s="294">
        <v>4</v>
      </c>
      <c r="EL44" s="294">
        <v>0</v>
      </c>
      <c r="EM44" s="294">
        <v>0</v>
      </c>
      <c r="EN44" s="294">
        <v>0</v>
      </c>
      <c r="EO44" s="294">
        <v>0</v>
      </c>
      <c r="EP44" s="294">
        <v>0</v>
      </c>
      <c r="EQ44" s="294">
        <v>0</v>
      </c>
      <c r="ER44" s="294">
        <v>0</v>
      </c>
      <c r="ES44" s="294">
        <v>0</v>
      </c>
      <c r="ET44" s="294">
        <v>0</v>
      </c>
      <c r="EU44" s="294">
        <v>0</v>
      </c>
      <c r="EV44" s="294">
        <v>0</v>
      </c>
      <c r="EW44" s="294">
        <v>51745</v>
      </c>
      <c r="EX44" s="294">
        <v>398912.07</v>
      </c>
      <c r="EY44" s="294">
        <v>570</v>
      </c>
      <c r="EZ44" s="294">
        <v>8081</v>
      </c>
      <c r="FA44" s="294">
        <v>0</v>
      </c>
      <c r="FB44" s="294">
        <v>16380</v>
      </c>
      <c r="FC44" s="294">
        <v>0</v>
      </c>
      <c r="FD44" s="294">
        <v>664202.23</v>
      </c>
      <c r="FE44" s="294">
        <v>0</v>
      </c>
      <c r="FF44" s="294">
        <v>50786</v>
      </c>
      <c r="FG44" s="294">
        <v>193771.36</v>
      </c>
      <c r="FH44" s="294">
        <v>12681</v>
      </c>
      <c r="FI44" s="294">
        <v>31714</v>
      </c>
      <c r="FJ44" s="294">
        <v>0</v>
      </c>
      <c r="FK44" s="294">
        <v>0</v>
      </c>
      <c r="FL44" s="294">
        <v>3440.79</v>
      </c>
      <c r="FM44" s="294">
        <v>5417.86</v>
      </c>
      <c r="FN44" s="294">
        <v>0</v>
      </c>
      <c r="FO44" s="294">
        <v>0</v>
      </c>
      <c r="FP44" s="294">
        <v>0</v>
      </c>
      <c r="FQ44" s="294">
        <v>0</v>
      </c>
      <c r="FR44" s="294">
        <v>0</v>
      </c>
      <c r="FS44" s="294">
        <v>4416</v>
      </c>
      <c r="FT44" s="294">
        <v>0</v>
      </c>
      <c r="FU44" s="294">
        <v>0</v>
      </c>
      <c r="FV44" s="294">
        <v>0</v>
      </c>
      <c r="FW44" s="294">
        <v>0</v>
      </c>
      <c r="FX44" s="294">
        <v>3905</v>
      </c>
      <c r="FY44" s="294">
        <v>0</v>
      </c>
      <c r="FZ44" s="294">
        <v>0</v>
      </c>
      <c r="GA44" s="294">
        <v>0</v>
      </c>
      <c r="GB44" s="294">
        <v>0</v>
      </c>
      <c r="GC44" s="294">
        <v>37.380000000000003</v>
      </c>
      <c r="GD44" s="294">
        <v>0</v>
      </c>
      <c r="GE44" s="294">
        <v>0</v>
      </c>
      <c r="GF44" s="294">
        <v>280</v>
      </c>
      <c r="GG44" s="294">
        <v>548.5</v>
      </c>
      <c r="GH44" s="294">
        <v>30347</v>
      </c>
      <c r="GI44" s="294">
        <v>2607</v>
      </c>
      <c r="GJ44" s="294">
        <v>0</v>
      </c>
      <c r="GK44" s="294">
        <v>440</v>
      </c>
      <c r="GL44" s="294">
        <v>0</v>
      </c>
      <c r="GM44" s="294">
        <v>0</v>
      </c>
      <c r="GN44" s="294">
        <v>0</v>
      </c>
      <c r="GO44" s="294">
        <v>1100</v>
      </c>
      <c r="GP44" s="294">
        <v>2655</v>
      </c>
      <c r="GQ44" s="294">
        <v>28344.5</v>
      </c>
      <c r="GR44" s="294">
        <v>0</v>
      </c>
      <c r="GS44" s="294">
        <v>0</v>
      </c>
      <c r="GT44" s="294">
        <v>0</v>
      </c>
      <c r="GU44" s="294">
        <v>0</v>
      </c>
      <c r="GV44" s="294">
        <v>0</v>
      </c>
      <c r="GW44" s="294">
        <v>0</v>
      </c>
      <c r="GX44" s="294">
        <v>0</v>
      </c>
      <c r="GY44" s="294">
        <v>94168</v>
      </c>
      <c r="GZ44" s="294">
        <v>0</v>
      </c>
      <c r="HA44" s="294">
        <v>8940</v>
      </c>
      <c r="HB44" s="294">
        <v>18795.87</v>
      </c>
      <c r="HC44" s="294">
        <v>17137.5</v>
      </c>
      <c r="HD44" s="294">
        <v>0</v>
      </c>
      <c r="HE44" s="294">
        <v>1533257.51</v>
      </c>
      <c r="HF44" s="294">
        <v>84550</v>
      </c>
      <c r="HG44" s="294">
        <v>0</v>
      </c>
      <c r="HH44" s="294">
        <v>0</v>
      </c>
      <c r="HI44" s="294">
        <v>90</v>
      </c>
      <c r="HJ44" s="294">
        <v>240517</v>
      </c>
      <c r="HK44" s="294">
        <v>17990</v>
      </c>
      <c r="HL44" s="294">
        <v>103195.66</v>
      </c>
      <c r="HM44" s="294">
        <v>3547</v>
      </c>
      <c r="HN44" s="294">
        <v>241913.15</v>
      </c>
      <c r="HO44" s="294">
        <v>0</v>
      </c>
      <c r="HP44" s="294">
        <v>0</v>
      </c>
      <c r="HQ44" s="294">
        <v>7959</v>
      </c>
      <c r="HR44" s="294">
        <v>0</v>
      </c>
      <c r="HS44" s="294">
        <v>25824</v>
      </c>
      <c r="HT44" s="294">
        <v>27287.43</v>
      </c>
      <c r="HU44" s="294">
        <v>24834</v>
      </c>
      <c r="HV44" s="294">
        <v>4300</v>
      </c>
      <c r="HW44" s="294">
        <v>25623</v>
      </c>
      <c r="HX44" s="294">
        <v>11648</v>
      </c>
      <c r="HY44" s="294">
        <v>5827</v>
      </c>
      <c r="HZ44" s="294">
        <v>59652</v>
      </c>
      <c r="IA44" s="294">
        <v>0</v>
      </c>
      <c r="IB44" s="294">
        <v>7044</v>
      </c>
      <c r="IC44" s="294">
        <v>24239.01</v>
      </c>
      <c r="ID44" s="294">
        <v>0</v>
      </c>
      <c r="IE44" s="294">
        <v>257</v>
      </c>
      <c r="IF44" s="294">
        <v>8918.5</v>
      </c>
      <c r="IG44" s="294">
        <v>61285</v>
      </c>
      <c r="IH44" s="294">
        <v>0</v>
      </c>
      <c r="II44" s="294">
        <v>0</v>
      </c>
      <c r="IJ44" s="294">
        <v>0</v>
      </c>
      <c r="IK44" s="294">
        <v>0</v>
      </c>
      <c r="IL44" s="294">
        <v>0</v>
      </c>
      <c r="IM44" s="294">
        <v>0</v>
      </c>
      <c r="IN44" s="294">
        <v>29872</v>
      </c>
      <c r="IO44" s="294">
        <v>1019</v>
      </c>
      <c r="IP44" s="294">
        <v>0</v>
      </c>
      <c r="IQ44" s="294">
        <v>0</v>
      </c>
      <c r="IR44" s="294">
        <v>0</v>
      </c>
      <c r="IS44" s="294">
        <v>394981</v>
      </c>
      <c r="IT44" s="294">
        <v>0</v>
      </c>
      <c r="IU44" s="294">
        <v>0</v>
      </c>
      <c r="IV44" s="294">
        <v>0</v>
      </c>
      <c r="IW44" s="294">
        <v>0</v>
      </c>
      <c r="IX44" s="294">
        <v>0</v>
      </c>
      <c r="IY44" s="294">
        <v>1110</v>
      </c>
      <c r="IZ44" s="294">
        <v>0</v>
      </c>
      <c r="JA44" s="294">
        <v>0</v>
      </c>
      <c r="JB44" s="294">
        <v>0</v>
      </c>
      <c r="JC44" s="294">
        <v>67169</v>
      </c>
      <c r="JD44" s="294">
        <v>300</v>
      </c>
      <c r="JE44" s="294">
        <v>68533.75</v>
      </c>
      <c r="JF44" s="294">
        <v>12068</v>
      </c>
      <c r="JG44" s="294">
        <v>25857.64</v>
      </c>
      <c r="JH44" s="294">
        <v>17717</v>
      </c>
      <c r="JI44" s="294">
        <v>27073.5</v>
      </c>
      <c r="JJ44" s="294">
        <v>1520</v>
      </c>
      <c r="JK44" s="294">
        <v>57636.9</v>
      </c>
      <c r="JL44" s="294">
        <v>5712</v>
      </c>
      <c r="JM44" s="294">
        <v>26277.5</v>
      </c>
      <c r="JN44" s="294"/>
      <c r="JO44" s="294">
        <v>0</v>
      </c>
      <c r="JP44" s="294">
        <v>1001</v>
      </c>
      <c r="JQ44" s="294">
        <v>1781.75</v>
      </c>
      <c r="JR44" s="294">
        <v>50549</v>
      </c>
      <c r="JS44" s="294">
        <v>0</v>
      </c>
      <c r="JT44" s="294">
        <v>0</v>
      </c>
      <c r="JU44" s="294">
        <v>3952</v>
      </c>
      <c r="JV44" s="294">
        <v>0</v>
      </c>
      <c r="JW44" s="294">
        <v>2173</v>
      </c>
      <c r="JX44" s="294">
        <v>600</v>
      </c>
      <c r="JY44" s="294">
        <v>0</v>
      </c>
      <c r="JZ44" s="294">
        <v>0</v>
      </c>
      <c r="KA44" s="294">
        <v>345358.02</v>
      </c>
      <c r="KB44" s="294">
        <v>0</v>
      </c>
      <c r="KC44" s="294">
        <v>2561</v>
      </c>
      <c r="KD44" s="294">
        <v>2351</v>
      </c>
      <c r="KE44" s="294">
        <v>5829</v>
      </c>
      <c r="KF44" s="294">
        <v>10416</v>
      </c>
      <c r="KG44" s="294">
        <v>0</v>
      </c>
      <c r="KH44" s="294">
        <v>196661</v>
      </c>
      <c r="KI44" s="294">
        <v>0</v>
      </c>
      <c r="KJ44" s="294">
        <v>0</v>
      </c>
      <c r="KK44" s="294">
        <v>7273</v>
      </c>
      <c r="KL44" s="294">
        <v>770</v>
      </c>
      <c r="KM44" s="294">
        <v>7212</v>
      </c>
      <c r="KN44" s="294">
        <v>109277</v>
      </c>
      <c r="KO44" s="294">
        <v>5437.36</v>
      </c>
      <c r="KP44" s="294">
        <v>0</v>
      </c>
      <c r="KQ44" s="294">
        <v>1041000.25</v>
      </c>
      <c r="KR44" s="294">
        <v>0</v>
      </c>
      <c r="KS44" s="294">
        <v>1610</v>
      </c>
      <c r="KT44" s="294">
        <v>0</v>
      </c>
      <c r="KU44" s="294">
        <v>0</v>
      </c>
      <c r="KV44" s="294">
        <v>0</v>
      </c>
      <c r="KW44" s="294">
        <v>0</v>
      </c>
      <c r="KX44" s="294">
        <v>678.73</v>
      </c>
      <c r="KY44" s="294">
        <v>298359.56</v>
      </c>
      <c r="KZ44" s="294">
        <v>0</v>
      </c>
      <c r="LA44" s="294">
        <v>90719.94</v>
      </c>
      <c r="LB44" s="294">
        <v>3</v>
      </c>
      <c r="LC44" s="294">
        <v>40500</v>
      </c>
      <c r="LD44" s="294">
        <v>53930.21</v>
      </c>
      <c r="LE44" s="294">
        <v>0</v>
      </c>
      <c r="LF44" s="294">
        <v>7481</v>
      </c>
      <c r="LG44" s="294">
        <v>9309</v>
      </c>
      <c r="LH44" s="294">
        <v>0</v>
      </c>
      <c r="LI44" s="294">
        <v>64611</v>
      </c>
      <c r="LJ44" s="294">
        <v>72639.5</v>
      </c>
      <c r="LK44" s="294">
        <v>0</v>
      </c>
      <c r="LL44" s="294">
        <v>0</v>
      </c>
      <c r="LM44" s="294">
        <v>261385.53</v>
      </c>
      <c r="LN44" s="294">
        <v>33420.14</v>
      </c>
      <c r="LO44" s="294">
        <v>343091</v>
      </c>
      <c r="LP44" s="294">
        <v>40719.800000000003</v>
      </c>
      <c r="LQ44" s="294">
        <v>42157</v>
      </c>
      <c r="LR44" s="294">
        <v>0</v>
      </c>
      <c r="LS44" s="294">
        <v>0</v>
      </c>
      <c r="LT44" s="294">
        <v>0</v>
      </c>
      <c r="LU44" s="294">
        <v>0</v>
      </c>
      <c r="LV44" s="294">
        <v>0</v>
      </c>
      <c r="LW44" s="294">
        <v>69269</v>
      </c>
      <c r="LX44" s="294">
        <v>51122</v>
      </c>
      <c r="LY44" s="294">
        <v>7392.5</v>
      </c>
      <c r="LZ44" s="294">
        <v>8290</v>
      </c>
      <c r="MA44" s="294">
        <v>3060</v>
      </c>
      <c r="MB44" s="294">
        <v>5335</v>
      </c>
      <c r="MC44" s="294">
        <v>3760</v>
      </c>
      <c r="MD44" s="294">
        <v>3914</v>
      </c>
      <c r="ME44" s="294">
        <v>2635</v>
      </c>
      <c r="MF44" s="294">
        <v>6390.8</v>
      </c>
      <c r="MG44" s="294">
        <v>207439</v>
      </c>
      <c r="MH44" s="294">
        <v>0</v>
      </c>
      <c r="MI44" s="294">
        <v>3645.07</v>
      </c>
      <c r="MJ44" s="294">
        <v>0</v>
      </c>
      <c r="MK44" s="294">
        <v>0</v>
      </c>
      <c r="ML44" s="294">
        <v>1930</v>
      </c>
      <c r="MM44" s="294">
        <v>0</v>
      </c>
      <c r="MN44" s="294">
        <v>0</v>
      </c>
      <c r="MO44" s="294">
        <v>10362</v>
      </c>
      <c r="MP44" s="294">
        <v>0</v>
      </c>
      <c r="MQ44" s="294">
        <v>0</v>
      </c>
      <c r="MR44" s="294">
        <v>0</v>
      </c>
      <c r="MS44" s="294">
        <v>0</v>
      </c>
      <c r="MT44" s="294">
        <v>0</v>
      </c>
      <c r="MU44" s="294">
        <v>0</v>
      </c>
      <c r="MV44" s="294">
        <v>0</v>
      </c>
      <c r="MW44" s="294">
        <v>0</v>
      </c>
      <c r="MX44" s="294">
        <v>159120</v>
      </c>
      <c r="MY44" s="294">
        <v>0</v>
      </c>
      <c r="MZ44" s="294">
        <v>30</v>
      </c>
      <c r="NA44" s="294">
        <v>0</v>
      </c>
      <c r="NB44" s="294">
        <v>0</v>
      </c>
      <c r="NC44" s="294">
        <v>0</v>
      </c>
      <c r="ND44" s="294">
        <v>0</v>
      </c>
      <c r="NE44" s="294">
        <v>0</v>
      </c>
      <c r="NF44" s="294">
        <v>0</v>
      </c>
      <c r="NG44" s="294">
        <v>0</v>
      </c>
      <c r="NH44" s="294">
        <v>0</v>
      </c>
      <c r="NI44" s="294">
        <v>0</v>
      </c>
      <c r="NJ44" s="294">
        <v>0</v>
      </c>
      <c r="NK44" s="294">
        <v>0</v>
      </c>
      <c r="NL44" s="294">
        <v>0</v>
      </c>
      <c r="NM44" s="294"/>
      <c r="NN44" s="294">
        <v>0</v>
      </c>
      <c r="NO44" s="294">
        <v>0</v>
      </c>
      <c r="NP44" s="294">
        <v>13454</v>
      </c>
      <c r="NQ44" s="294">
        <v>0</v>
      </c>
      <c r="NR44" s="294">
        <v>0</v>
      </c>
      <c r="NS44" s="294">
        <v>0</v>
      </c>
      <c r="NT44" s="294">
        <v>0</v>
      </c>
      <c r="NU44" s="294">
        <v>0</v>
      </c>
      <c r="NV44" s="294">
        <v>0</v>
      </c>
      <c r="NW44" s="294">
        <v>160027.75</v>
      </c>
      <c r="NX44" s="294">
        <v>0</v>
      </c>
      <c r="NY44" s="294">
        <v>0</v>
      </c>
      <c r="NZ44" s="294">
        <v>0</v>
      </c>
      <c r="OA44" s="294">
        <v>0</v>
      </c>
      <c r="OB44" s="294">
        <v>8597</v>
      </c>
      <c r="OC44" s="294">
        <v>0</v>
      </c>
      <c r="OD44" s="294">
        <v>0</v>
      </c>
      <c r="OE44" s="294">
        <v>0</v>
      </c>
      <c r="OF44" s="294">
        <v>2909.5</v>
      </c>
      <c r="OG44" s="294">
        <v>4864</v>
      </c>
      <c r="OH44" s="294">
        <v>8505</v>
      </c>
      <c r="OI44" s="294">
        <v>8125</v>
      </c>
      <c r="OJ44" s="294">
        <v>3049.25</v>
      </c>
      <c r="OK44" s="294">
        <v>2911</v>
      </c>
      <c r="OL44" s="294">
        <v>9201</v>
      </c>
      <c r="OM44" s="294">
        <v>0</v>
      </c>
      <c r="ON44" s="294">
        <v>0</v>
      </c>
      <c r="OO44" s="294">
        <v>0</v>
      </c>
      <c r="OP44" s="294">
        <v>0</v>
      </c>
      <c r="OQ44" s="294">
        <v>0</v>
      </c>
      <c r="OR44" s="294">
        <v>0</v>
      </c>
      <c r="OS44" s="294">
        <v>57322</v>
      </c>
      <c r="OT44" s="294">
        <v>3279</v>
      </c>
      <c r="OU44" s="294">
        <v>34903.4</v>
      </c>
      <c r="OV44" s="294">
        <v>21184</v>
      </c>
      <c r="OW44" s="294">
        <v>1350</v>
      </c>
      <c r="OX44" s="294">
        <v>0</v>
      </c>
      <c r="OY44" s="294">
        <v>2677</v>
      </c>
      <c r="OZ44" s="294">
        <v>0</v>
      </c>
      <c r="PA44" s="294">
        <v>0</v>
      </c>
      <c r="PB44" s="294">
        <v>0</v>
      </c>
      <c r="PC44" s="294">
        <v>0</v>
      </c>
      <c r="PD44" s="294">
        <v>0</v>
      </c>
      <c r="PE44" s="294">
        <v>0</v>
      </c>
      <c r="PF44" s="294">
        <v>0</v>
      </c>
      <c r="PG44" s="294">
        <v>0</v>
      </c>
      <c r="PH44" s="294">
        <v>0</v>
      </c>
      <c r="PI44" s="294">
        <v>0</v>
      </c>
      <c r="PJ44" s="294">
        <v>0</v>
      </c>
      <c r="PK44" s="294">
        <v>0</v>
      </c>
      <c r="PL44" s="294">
        <v>0</v>
      </c>
      <c r="PM44" s="294">
        <v>0</v>
      </c>
      <c r="PN44" s="294">
        <v>4</v>
      </c>
      <c r="PO44" s="294">
        <v>0</v>
      </c>
      <c r="PP44" s="294">
        <v>0</v>
      </c>
      <c r="PQ44" s="294">
        <v>0</v>
      </c>
      <c r="PR44" s="294">
        <v>0</v>
      </c>
      <c r="PS44" s="294">
        <v>0</v>
      </c>
      <c r="PT44" s="294">
        <v>0</v>
      </c>
      <c r="PU44" s="294">
        <v>35001.5</v>
      </c>
      <c r="PV44" s="294">
        <v>1150</v>
      </c>
      <c r="PW44" s="294">
        <v>0</v>
      </c>
      <c r="PX44" s="294">
        <v>0</v>
      </c>
      <c r="PY44" s="294">
        <v>5670</v>
      </c>
      <c r="PZ44" s="294">
        <v>0</v>
      </c>
      <c r="QA44" s="294">
        <v>3687</v>
      </c>
      <c r="QB44" s="294">
        <v>0</v>
      </c>
      <c r="QC44" s="294">
        <v>0</v>
      </c>
      <c r="QD44" s="294">
        <v>0</v>
      </c>
      <c r="QE44" s="294">
        <v>0</v>
      </c>
      <c r="QF44" s="294">
        <v>0</v>
      </c>
      <c r="QG44" s="294">
        <v>0</v>
      </c>
      <c r="QH44" s="294">
        <v>0</v>
      </c>
      <c r="QI44" s="294">
        <v>0</v>
      </c>
      <c r="QJ44" s="294">
        <v>0</v>
      </c>
      <c r="QK44" s="294">
        <v>0</v>
      </c>
      <c r="QL44" s="294">
        <v>0</v>
      </c>
      <c r="QM44" s="294">
        <v>0</v>
      </c>
      <c r="QN44" s="294">
        <v>0</v>
      </c>
      <c r="QO44" s="294">
        <v>0</v>
      </c>
      <c r="QP44" s="294">
        <v>0</v>
      </c>
      <c r="QQ44" s="294">
        <v>4094</v>
      </c>
      <c r="QR44" s="294"/>
      <c r="QS44" s="294">
        <v>0</v>
      </c>
      <c r="QT44" s="294">
        <v>0</v>
      </c>
      <c r="QU44" s="294">
        <v>7095</v>
      </c>
      <c r="QV44" s="294">
        <v>0</v>
      </c>
      <c r="QW44" s="294">
        <v>3460</v>
      </c>
      <c r="QX44" s="294">
        <v>3360</v>
      </c>
      <c r="QY44" s="294">
        <v>0</v>
      </c>
      <c r="QZ44" s="294">
        <v>0</v>
      </c>
      <c r="RA44" s="294">
        <v>0</v>
      </c>
      <c r="RB44" s="294">
        <v>0</v>
      </c>
      <c r="RC44" s="294">
        <v>0</v>
      </c>
      <c r="RD44" s="294">
        <v>0</v>
      </c>
      <c r="RE44" s="294">
        <v>2317</v>
      </c>
      <c r="RF44" s="294">
        <v>0</v>
      </c>
      <c r="RG44" s="294">
        <v>336152.25</v>
      </c>
      <c r="RH44" s="294">
        <v>0</v>
      </c>
      <c r="RI44" s="294">
        <v>0</v>
      </c>
      <c r="RJ44" s="294">
        <v>0</v>
      </c>
      <c r="RK44" s="294">
        <v>0</v>
      </c>
      <c r="RL44" s="294">
        <v>140400</v>
      </c>
      <c r="RM44" s="294">
        <v>6136.06</v>
      </c>
      <c r="RN44" s="294">
        <v>0</v>
      </c>
      <c r="RO44" s="294">
        <v>610</v>
      </c>
      <c r="RP44" s="294">
        <v>0</v>
      </c>
      <c r="RQ44" s="294">
        <v>0</v>
      </c>
      <c r="RR44" s="294">
        <v>114740</v>
      </c>
      <c r="RS44" s="294">
        <v>0</v>
      </c>
      <c r="RT44" s="294">
        <v>0</v>
      </c>
      <c r="RU44" s="294">
        <v>18000</v>
      </c>
      <c r="RV44" s="294">
        <v>1070</v>
      </c>
      <c r="RW44" s="294">
        <v>9241</v>
      </c>
      <c r="RX44" s="294">
        <v>0</v>
      </c>
      <c r="RY44" s="294">
        <v>0</v>
      </c>
      <c r="RZ44" s="294">
        <v>1010</v>
      </c>
      <c r="SA44" s="294">
        <v>0</v>
      </c>
      <c r="SB44" s="294">
        <v>0</v>
      </c>
      <c r="SC44" s="294">
        <v>0</v>
      </c>
      <c r="SD44" s="294">
        <v>0</v>
      </c>
      <c r="SE44" s="294">
        <v>0</v>
      </c>
      <c r="SF44" s="294">
        <v>0</v>
      </c>
      <c r="SG44" s="294">
        <v>0</v>
      </c>
      <c r="SH44" s="294">
        <v>0</v>
      </c>
      <c r="SI44" s="294">
        <v>0</v>
      </c>
      <c r="SJ44" s="294">
        <v>15051.25</v>
      </c>
      <c r="SK44" s="294">
        <v>27756</v>
      </c>
      <c r="SL44" s="294">
        <v>0</v>
      </c>
      <c r="SM44" s="294">
        <v>74695</v>
      </c>
      <c r="SN44" s="294">
        <v>1871</v>
      </c>
      <c r="SO44" s="294">
        <v>3426</v>
      </c>
      <c r="SP44" s="294">
        <v>0</v>
      </c>
      <c r="SQ44" s="294">
        <v>0</v>
      </c>
      <c r="SR44" s="294">
        <v>3081</v>
      </c>
      <c r="SS44" s="294">
        <v>0</v>
      </c>
      <c r="ST44" s="294">
        <v>0</v>
      </c>
      <c r="SU44" s="294">
        <v>0</v>
      </c>
      <c r="SV44" s="294">
        <v>335.51</v>
      </c>
      <c r="SW44" s="294">
        <v>0</v>
      </c>
      <c r="SX44" s="294">
        <v>0</v>
      </c>
      <c r="SY44" s="294">
        <v>0</v>
      </c>
      <c r="SZ44" s="294">
        <v>3250</v>
      </c>
      <c r="TA44" s="294">
        <v>0</v>
      </c>
      <c r="TB44" s="294">
        <v>0</v>
      </c>
      <c r="TC44" s="294">
        <v>0</v>
      </c>
      <c r="TD44" s="294">
        <v>0</v>
      </c>
      <c r="TE44" s="294">
        <v>0</v>
      </c>
      <c r="TF44" s="294">
        <v>7631</v>
      </c>
      <c r="TG44" s="294">
        <v>0</v>
      </c>
      <c r="TH44" s="294">
        <v>0</v>
      </c>
      <c r="TI44" s="294">
        <v>0</v>
      </c>
      <c r="TJ44" s="294">
        <v>0</v>
      </c>
      <c r="TK44" s="294">
        <v>0</v>
      </c>
      <c r="TL44" s="294">
        <v>0</v>
      </c>
      <c r="TM44" s="294">
        <v>0</v>
      </c>
      <c r="TN44" s="294">
        <v>0</v>
      </c>
      <c r="TO44" s="294">
        <v>0</v>
      </c>
      <c r="TP44" s="294">
        <v>24500</v>
      </c>
      <c r="TQ44" s="294">
        <v>0</v>
      </c>
      <c r="TR44" s="294">
        <v>0</v>
      </c>
      <c r="TS44" s="294">
        <v>0</v>
      </c>
      <c r="TT44" s="294">
        <v>0</v>
      </c>
      <c r="TU44" s="294">
        <v>0</v>
      </c>
      <c r="TV44" s="294">
        <v>0</v>
      </c>
      <c r="TW44" s="294">
        <v>0</v>
      </c>
      <c r="TX44" s="294">
        <v>0</v>
      </c>
      <c r="TY44" s="294">
        <v>0</v>
      </c>
      <c r="TZ44" s="294">
        <v>0</v>
      </c>
      <c r="UA44" s="294">
        <v>0</v>
      </c>
      <c r="UB44" s="294">
        <v>41995.05</v>
      </c>
      <c r="UC44" s="294">
        <v>0</v>
      </c>
      <c r="UD44" s="294">
        <v>0</v>
      </c>
      <c r="UE44" s="294">
        <v>0</v>
      </c>
      <c r="UF44" s="294">
        <v>0</v>
      </c>
      <c r="UG44" s="294">
        <v>0</v>
      </c>
      <c r="UH44" s="294">
        <v>0</v>
      </c>
      <c r="UI44" s="294">
        <v>260</v>
      </c>
      <c r="UJ44" s="294">
        <v>0</v>
      </c>
      <c r="UK44" s="294">
        <v>256.07</v>
      </c>
      <c r="UL44" s="294">
        <v>152400</v>
      </c>
      <c r="UM44" s="294">
        <v>0</v>
      </c>
      <c r="UN44" s="294">
        <v>0</v>
      </c>
      <c r="UO44" s="294">
        <v>0</v>
      </c>
      <c r="UP44" s="294">
        <v>0</v>
      </c>
      <c r="UQ44" s="294">
        <v>0</v>
      </c>
      <c r="UR44" s="294">
        <v>0</v>
      </c>
      <c r="US44" s="294">
        <v>0</v>
      </c>
      <c r="UT44" s="294">
        <v>0</v>
      </c>
      <c r="UU44" s="294">
        <v>0</v>
      </c>
      <c r="UV44" s="294">
        <v>0</v>
      </c>
      <c r="UW44" s="294">
        <v>0</v>
      </c>
      <c r="UX44" s="294">
        <v>3950</v>
      </c>
      <c r="UY44" s="294">
        <v>20407.75</v>
      </c>
      <c r="UZ44" s="294">
        <v>0</v>
      </c>
      <c r="VA44" s="294">
        <v>0</v>
      </c>
      <c r="VB44" s="294">
        <v>0</v>
      </c>
      <c r="VC44" s="294">
        <v>0</v>
      </c>
      <c r="VD44" s="294">
        <v>0</v>
      </c>
      <c r="VE44" s="294">
        <v>0</v>
      </c>
      <c r="VF44" s="294">
        <v>0</v>
      </c>
      <c r="VG44" s="294">
        <v>0</v>
      </c>
      <c r="VH44" s="294">
        <v>0</v>
      </c>
      <c r="VI44" s="294">
        <v>0</v>
      </c>
      <c r="VJ44" s="294">
        <v>0</v>
      </c>
      <c r="VK44" s="294">
        <v>0</v>
      </c>
      <c r="VL44" s="294">
        <v>0</v>
      </c>
      <c r="VM44" s="294">
        <v>0</v>
      </c>
      <c r="VN44" s="294">
        <v>390</v>
      </c>
      <c r="VO44" s="294">
        <v>0</v>
      </c>
      <c r="VP44" s="294">
        <v>0</v>
      </c>
      <c r="VQ44" s="294">
        <v>3419</v>
      </c>
      <c r="VR44" s="294">
        <v>2750</v>
      </c>
      <c r="VS44" s="294">
        <v>0</v>
      </c>
      <c r="VT44" s="294">
        <v>0</v>
      </c>
      <c r="VU44" s="294">
        <v>0</v>
      </c>
      <c r="VV44" s="294">
        <v>1766.17</v>
      </c>
      <c r="VW44" s="294">
        <v>62943</v>
      </c>
      <c r="VX44" s="294">
        <v>8706</v>
      </c>
      <c r="VY44" s="294">
        <v>0</v>
      </c>
      <c r="VZ44" s="294">
        <v>0</v>
      </c>
      <c r="WA44" s="294">
        <v>0</v>
      </c>
      <c r="WB44" s="294">
        <v>36</v>
      </c>
      <c r="WC44" s="294">
        <v>0</v>
      </c>
      <c r="WD44" s="294">
        <v>5973.33</v>
      </c>
      <c r="WE44" s="294">
        <v>0</v>
      </c>
      <c r="WF44" s="294">
        <v>0</v>
      </c>
      <c r="WG44" s="294">
        <v>56828</v>
      </c>
      <c r="WH44" s="294">
        <v>0</v>
      </c>
      <c r="WI44" s="294">
        <v>0</v>
      </c>
      <c r="WJ44" s="294">
        <v>0</v>
      </c>
      <c r="WK44" s="294">
        <v>0</v>
      </c>
      <c r="WL44" s="294">
        <v>0</v>
      </c>
      <c r="WM44" s="294">
        <v>0</v>
      </c>
      <c r="WN44" s="294">
        <v>0</v>
      </c>
      <c r="WO44" s="294">
        <v>0</v>
      </c>
      <c r="WP44" s="294">
        <v>0</v>
      </c>
      <c r="WQ44" s="294">
        <v>0</v>
      </c>
      <c r="WR44" s="294">
        <v>0</v>
      </c>
      <c r="WS44" s="294">
        <v>314</v>
      </c>
      <c r="WT44" s="294">
        <v>93862.5</v>
      </c>
      <c r="WU44" s="294">
        <v>5000</v>
      </c>
      <c r="WV44" s="294">
        <v>365</v>
      </c>
      <c r="WW44" s="294">
        <v>0</v>
      </c>
      <c r="WX44" s="294">
        <v>0</v>
      </c>
      <c r="WY44" s="294">
        <v>5000</v>
      </c>
      <c r="WZ44" s="294">
        <v>424600</v>
      </c>
      <c r="XA44" s="294">
        <v>5790</v>
      </c>
      <c r="XB44" s="294">
        <v>0</v>
      </c>
      <c r="XC44" s="294">
        <v>0</v>
      </c>
      <c r="XD44" s="294">
        <v>0</v>
      </c>
      <c r="XE44" s="294">
        <v>0</v>
      </c>
      <c r="XF44" s="294">
        <v>5000</v>
      </c>
      <c r="XG44" s="294">
        <v>32125</v>
      </c>
      <c r="XH44" s="294">
        <v>0</v>
      </c>
      <c r="XI44" s="294">
        <v>0</v>
      </c>
      <c r="XJ44" s="294">
        <v>0</v>
      </c>
      <c r="XK44" s="294">
        <v>0</v>
      </c>
      <c r="XL44" s="294">
        <v>2000</v>
      </c>
      <c r="XM44" s="294">
        <v>0</v>
      </c>
      <c r="XN44" s="294">
        <v>0</v>
      </c>
      <c r="XO44" s="294">
        <v>0</v>
      </c>
      <c r="XP44" s="294">
        <v>0</v>
      </c>
      <c r="XQ44" s="294">
        <v>0</v>
      </c>
      <c r="XR44" s="294">
        <v>0</v>
      </c>
      <c r="XS44" s="294">
        <v>0</v>
      </c>
      <c r="XT44" s="294">
        <v>0</v>
      </c>
      <c r="XU44" s="294">
        <v>0</v>
      </c>
      <c r="XV44" s="294">
        <v>0</v>
      </c>
      <c r="XW44" s="294">
        <v>0</v>
      </c>
      <c r="XX44" s="294">
        <v>0</v>
      </c>
      <c r="XY44" s="294">
        <v>0</v>
      </c>
      <c r="XZ44" s="294">
        <v>0</v>
      </c>
      <c r="YA44" s="294">
        <v>0</v>
      </c>
      <c r="YB44" s="294">
        <v>0</v>
      </c>
      <c r="YC44" s="294">
        <v>0</v>
      </c>
      <c r="YD44" s="294">
        <v>0</v>
      </c>
      <c r="YE44" s="294">
        <v>0</v>
      </c>
      <c r="YF44" s="294">
        <v>0</v>
      </c>
      <c r="YG44" s="294">
        <v>0</v>
      </c>
      <c r="YH44" s="294">
        <v>0</v>
      </c>
      <c r="YI44" s="294">
        <v>0</v>
      </c>
      <c r="YJ44" s="294">
        <v>0</v>
      </c>
      <c r="YK44" s="294">
        <v>0</v>
      </c>
      <c r="YL44" s="294">
        <v>0</v>
      </c>
      <c r="YM44" s="294">
        <v>0</v>
      </c>
      <c r="YN44" s="294">
        <v>0</v>
      </c>
      <c r="YO44" s="294">
        <v>0</v>
      </c>
      <c r="YP44" s="294">
        <v>0</v>
      </c>
      <c r="YQ44" s="294">
        <v>0</v>
      </c>
      <c r="YR44" s="294">
        <v>0</v>
      </c>
      <c r="YS44" s="294">
        <v>0</v>
      </c>
      <c r="YT44" s="294">
        <v>0</v>
      </c>
      <c r="YU44" s="294">
        <v>0</v>
      </c>
      <c r="YV44" s="294">
        <v>0</v>
      </c>
      <c r="YW44" s="294">
        <v>0</v>
      </c>
      <c r="YX44" s="294">
        <v>0</v>
      </c>
      <c r="YY44" s="294">
        <v>0</v>
      </c>
      <c r="YZ44" s="294">
        <v>0</v>
      </c>
      <c r="ZA44" s="294">
        <v>1846</v>
      </c>
      <c r="ZB44" s="294">
        <v>5505</v>
      </c>
      <c r="ZC44" s="294">
        <v>185069.67</v>
      </c>
      <c r="ZD44" s="294">
        <v>5000</v>
      </c>
      <c r="ZE44" s="294">
        <v>6445</v>
      </c>
      <c r="ZF44" s="294">
        <v>0</v>
      </c>
      <c r="ZG44" s="294">
        <v>0</v>
      </c>
      <c r="ZH44" s="294">
        <v>2506</v>
      </c>
      <c r="ZI44" s="294">
        <v>0</v>
      </c>
      <c r="ZJ44" s="294">
        <v>0</v>
      </c>
      <c r="ZK44" s="294">
        <v>22820.83</v>
      </c>
      <c r="ZL44" s="294">
        <v>0</v>
      </c>
      <c r="ZM44" s="294">
        <v>0</v>
      </c>
      <c r="ZN44" s="294">
        <v>0</v>
      </c>
      <c r="ZO44" s="294">
        <v>0</v>
      </c>
      <c r="ZP44" s="294">
        <v>902.4</v>
      </c>
      <c r="ZQ44" s="294">
        <v>0</v>
      </c>
      <c r="ZR44" s="294">
        <v>0</v>
      </c>
      <c r="ZS44" s="294">
        <v>0</v>
      </c>
      <c r="ZT44" s="294">
        <v>0</v>
      </c>
      <c r="ZU44" s="294">
        <v>0</v>
      </c>
      <c r="ZV44" s="294">
        <v>0</v>
      </c>
      <c r="ZW44" s="294">
        <v>0</v>
      </c>
      <c r="ZX44" s="294">
        <v>0</v>
      </c>
      <c r="ZY44" s="294">
        <v>0</v>
      </c>
      <c r="ZZ44" s="294">
        <v>0</v>
      </c>
      <c r="AAA44" s="294">
        <v>0</v>
      </c>
      <c r="AAB44" s="294">
        <v>0</v>
      </c>
      <c r="AAC44" s="294">
        <v>0</v>
      </c>
      <c r="AAD44" s="294">
        <v>0</v>
      </c>
      <c r="AAE44" s="294">
        <v>0</v>
      </c>
      <c r="AAF44" s="294">
        <v>0</v>
      </c>
      <c r="AAG44" s="294">
        <v>0</v>
      </c>
      <c r="AAH44" s="294">
        <v>0</v>
      </c>
      <c r="AAI44" s="294">
        <v>0</v>
      </c>
      <c r="AAJ44" s="294">
        <v>0</v>
      </c>
      <c r="AAK44" s="294">
        <v>0</v>
      </c>
      <c r="AAL44" s="294">
        <v>0</v>
      </c>
      <c r="AAM44" s="294">
        <v>0</v>
      </c>
      <c r="AAN44" s="294">
        <v>286218.49</v>
      </c>
      <c r="AAO44" s="294">
        <v>0</v>
      </c>
      <c r="AAP44" s="294">
        <v>0</v>
      </c>
      <c r="AAQ44" s="294">
        <v>0</v>
      </c>
      <c r="AAR44" s="294">
        <v>0</v>
      </c>
      <c r="AAS44" s="294">
        <v>0</v>
      </c>
      <c r="AAT44" s="294">
        <v>0</v>
      </c>
      <c r="AAU44" s="294">
        <v>0</v>
      </c>
      <c r="AAV44" s="294">
        <v>0</v>
      </c>
      <c r="AAW44" s="294">
        <v>5496.64</v>
      </c>
      <c r="AAX44" s="294">
        <v>0</v>
      </c>
      <c r="AAY44" s="294">
        <v>0</v>
      </c>
      <c r="AAZ44" s="294">
        <v>0</v>
      </c>
      <c r="ABA44" s="294">
        <v>0</v>
      </c>
      <c r="ABB44" s="294">
        <v>0</v>
      </c>
      <c r="ABC44" s="294">
        <v>0</v>
      </c>
      <c r="ABD44" s="294">
        <v>2560</v>
      </c>
      <c r="ABE44" s="294">
        <v>0</v>
      </c>
      <c r="ABF44" s="294">
        <v>0</v>
      </c>
      <c r="ABG44" s="294">
        <v>0</v>
      </c>
      <c r="ABH44" s="294">
        <v>13600</v>
      </c>
      <c r="ABI44" s="294">
        <v>1129</v>
      </c>
      <c r="ABJ44" s="294">
        <v>0</v>
      </c>
      <c r="ABK44" s="294">
        <v>0</v>
      </c>
      <c r="ABL44" s="294">
        <v>0</v>
      </c>
      <c r="ABM44" s="294">
        <v>0</v>
      </c>
      <c r="ABN44" s="294">
        <v>0</v>
      </c>
      <c r="ABO44" s="294">
        <v>253495.55</v>
      </c>
      <c r="ABP44" s="294">
        <v>5600</v>
      </c>
      <c r="ABQ44" s="294">
        <v>895632.68</v>
      </c>
      <c r="ABR44" s="294">
        <v>0</v>
      </c>
      <c r="ABS44" s="294">
        <v>0</v>
      </c>
      <c r="ABT44" s="294">
        <v>0</v>
      </c>
      <c r="ABU44" s="294">
        <v>0</v>
      </c>
      <c r="ABV44" s="294">
        <v>0</v>
      </c>
      <c r="ABW44" s="294">
        <v>2270</v>
      </c>
      <c r="ABX44" s="294">
        <v>0</v>
      </c>
      <c r="ABY44" s="294">
        <v>142030</v>
      </c>
      <c r="ABZ44" s="294">
        <v>522972.5</v>
      </c>
      <c r="ACA44" s="294">
        <v>0</v>
      </c>
      <c r="ACB44" s="294">
        <v>120137.93</v>
      </c>
      <c r="ACC44" s="294">
        <v>50000</v>
      </c>
      <c r="ACD44" s="294">
        <v>133998.5</v>
      </c>
      <c r="ACE44" s="294">
        <v>0</v>
      </c>
      <c r="ACF44" s="294">
        <v>0</v>
      </c>
      <c r="ACG44" s="294">
        <v>0</v>
      </c>
      <c r="ACH44" s="294">
        <v>0</v>
      </c>
      <c r="ACI44" s="294">
        <v>0</v>
      </c>
      <c r="ACJ44" s="294">
        <v>0</v>
      </c>
      <c r="ACK44" s="294">
        <v>0</v>
      </c>
      <c r="ACL44" s="294">
        <v>0</v>
      </c>
      <c r="ACM44" s="294">
        <v>0</v>
      </c>
      <c r="ACN44" s="294">
        <v>0</v>
      </c>
      <c r="ACO44" s="294">
        <v>0</v>
      </c>
      <c r="ACP44" s="294">
        <v>0</v>
      </c>
      <c r="ACQ44" s="294">
        <v>0</v>
      </c>
      <c r="ACR44" s="294">
        <v>0</v>
      </c>
      <c r="ACS44" s="294">
        <v>0</v>
      </c>
      <c r="ACT44" s="294">
        <v>0</v>
      </c>
      <c r="ACU44" s="294">
        <v>0</v>
      </c>
      <c r="ACV44" s="294">
        <v>0</v>
      </c>
      <c r="ACW44" s="294">
        <v>0</v>
      </c>
      <c r="ACX44" s="294">
        <v>0</v>
      </c>
      <c r="ACY44" s="294">
        <v>0</v>
      </c>
      <c r="ACZ44" s="294">
        <v>0</v>
      </c>
      <c r="ADA44" s="294">
        <v>0</v>
      </c>
      <c r="ADB44" s="294">
        <v>0</v>
      </c>
      <c r="ADC44" s="294">
        <v>0</v>
      </c>
      <c r="ADD44" s="294">
        <v>0</v>
      </c>
      <c r="ADE44" s="294">
        <v>0</v>
      </c>
      <c r="ADF44" s="294">
        <v>0</v>
      </c>
      <c r="ADG44" s="294">
        <v>0</v>
      </c>
      <c r="ADH44" s="294">
        <v>0</v>
      </c>
      <c r="ADI44" s="294">
        <v>16712</v>
      </c>
      <c r="ADJ44" s="294">
        <v>0</v>
      </c>
      <c r="ADK44" s="294">
        <v>0</v>
      </c>
      <c r="ADL44" s="294">
        <v>0</v>
      </c>
      <c r="ADM44" s="294">
        <v>0</v>
      </c>
      <c r="ADN44" s="294">
        <v>0</v>
      </c>
      <c r="ADO44" s="294">
        <v>0</v>
      </c>
      <c r="ADP44" s="294">
        <v>0</v>
      </c>
      <c r="ADQ44" s="294">
        <v>0</v>
      </c>
      <c r="ADR44" s="294">
        <v>68356.399999999994</v>
      </c>
      <c r="ADS44" s="294">
        <v>0</v>
      </c>
      <c r="ADT44" s="294">
        <v>0</v>
      </c>
      <c r="ADU44" s="294">
        <v>0</v>
      </c>
      <c r="ADV44" s="294">
        <v>0</v>
      </c>
      <c r="ADW44" s="294">
        <v>211331.75</v>
      </c>
      <c r="ADX44" s="294">
        <v>0</v>
      </c>
      <c r="ADY44" s="294">
        <v>97500</v>
      </c>
      <c r="ADZ44" s="294">
        <v>140698.9</v>
      </c>
      <c r="AEA44" s="294">
        <v>0</v>
      </c>
      <c r="AEB44" s="294">
        <v>0</v>
      </c>
      <c r="AEC44" s="294">
        <v>0</v>
      </c>
      <c r="AED44" s="294">
        <v>0.46</v>
      </c>
      <c r="AEE44" s="294">
        <v>0</v>
      </c>
      <c r="AEF44" s="294">
        <v>0</v>
      </c>
      <c r="AEG44" s="294">
        <v>0</v>
      </c>
      <c r="AEH44" s="294">
        <v>0</v>
      </c>
      <c r="AEI44" s="294">
        <v>0</v>
      </c>
      <c r="AEJ44" s="294">
        <v>0</v>
      </c>
      <c r="AEK44" s="294">
        <v>0</v>
      </c>
      <c r="AEL44" s="294">
        <v>0</v>
      </c>
      <c r="AEM44" s="294">
        <v>0</v>
      </c>
      <c r="AEN44" s="294">
        <v>0</v>
      </c>
      <c r="AEO44" s="294">
        <v>48772.5</v>
      </c>
      <c r="AEP44" s="294">
        <v>0</v>
      </c>
      <c r="AEQ44" s="294">
        <v>0</v>
      </c>
      <c r="AER44" s="294">
        <v>100</v>
      </c>
      <c r="AES44" s="294">
        <v>0</v>
      </c>
      <c r="AET44" s="294">
        <v>0</v>
      </c>
      <c r="AEU44" s="294">
        <v>0</v>
      </c>
      <c r="AEV44" s="294">
        <v>0</v>
      </c>
      <c r="AEW44" s="294">
        <v>0</v>
      </c>
      <c r="AEX44" s="294">
        <v>0</v>
      </c>
      <c r="AEY44" s="294">
        <v>0</v>
      </c>
      <c r="AEZ44" s="294">
        <v>0</v>
      </c>
      <c r="AFA44" s="294">
        <v>0</v>
      </c>
      <c r="AFB44" s="294">
        <v>0</v>
      </c>
      <c r="AFC44" s="294">
        <v>8244.7000000000007</v>
      </c>
      <c r="AFD44" s="294">
        <v>0</v>
      </c>
      <c r="AFE44" s="294">
        <v>26228.92</v>
      </c>
      <c r="AFF44" s="294">
        <v>4230.33</v>
      </c>
      <c r="AFG44" s="294">
        <v>166.28</v>
      </c>
      <c r="AFH44" s="294">
        <v>0</v>
      </c>
      <c r="AFI44" s="294">
        <v>0</v>
      </c>
      <c r="AFJ44" s="294">
        <v>0</v>
      </c>
      <c r="AFK44" s="294">
        <v>86796.01</v>
      </c>
      <c r="AFL44" s="294">
        <v>578.26</v>
      </c>
      <c r="AFM44" s="294">
        <v>370</v>
      </c>
      <c r="AFN44" s="294">
        <v>9371</v>
      </c>
      <c r="AFO44" s="294">
        <v>19898.5</v>
      </c>
      <c r="AFP44" s="294">
        <v>0</v>
      </c>
      <c r="AFQ44" s="294">
        <v>0</v>
      </c>
      <c r="AFR44" s="294">
        <v>1898.27</v>
      </c>
      <c r="AFS44" s="294">
        <v>0</v>
      </c>
      <c r="AFT44" s="294">
        <v>0</v>
      </c>
      <c r="AFU44" s="294">
        <v>105088.91</v>
      </c>
      <c r="AFV44" s="294">
        <v>15269.87</v>
      </c>
      <c r="AFW44" s="294">
        <v>12325.33</v>
      </c>
      <c r="AFX44" s="294">
        <v>19745.18</v>
      </c>
      <c r="AFY44" s="294">
        <v>38661</v>
      </c>
      <c r="AFZ44" s="294">
        <v>16105.41</v>
      </c>
      <c r="AGA44" s="294">
        <v>19905.66</v>
      </c>
      <c r="AGB44" s="294">
        <v>0</v>
      </c>
      <c r="AGC44" s="294">
        <v>18050</v>
      </c>
      <c r="AGD44" s="294">
        <v>0</v>
      </c>
      <c r="AGE44" s="294">
        <v>5000</v>
      </c>
      <c r="AGF44" s="294">
        <v>0</v>
      </c>
      <c r="AGG44" s="294">
        <v>690</v>
      </c>
      <c r="AGH44" s="294">
        <v>14126.75</v>
      </c>
      <c r="AGI44" s="294">
        <v>0</v>
      </c>
      <c r="AGJ44" s="294">
        <v>0</v>
      </c>
      <c r="AGK44" s="294">
        <v>36030.75</v>
      </c>
      <c r="AGL44" s="294">
        <v>64659</v>
      </c>
      <c r="AGM44" s="294">
        <v>97532</v>
      </c>
      <c r="AGN44" s="294">
        <v>0</v>
      </c>
      <c r="AGO44" s="294">
        <v>15204</v>
      </c>
      <c r="AGP44" s="294">
        <v>1985</v>
      </c>
      <c r="AGQ44" s="294">
        <v>5000</v>
      </c>
      <c r="AGR44" s="294">
        <v>85726.02</v>
      </c>
      <c r="AGS44" s="294">
        <v>1129</v>
      </c>
      <c r="AGT44" s="294">
        <v>486</v>
      </c>
      <c r="AGU44" s="294">
        <v>0</v>
      </c>
      <c r="AGV44" s="294">
        <v>0</v>
      </c>
      <c r="AGW44" s="294">
        <v>0</v>
      </c>
      <c r="AGX44" s="294">
        <v>0</v>
      </c>
      <c r="AGY44" s="294">
        <v>2800</v>
      </c>
      <c r="AGZ44" s="294">
        <v>0</v>
      </c>
      <c r="AHA44" s="294">
        <v>0</v>
      </c>
      <c r="AHB44" s="294">
        <v>0</v>
      </c>
      <c r="AHC44" s="294">
        <v>0</v>
      </c>
      <c r="AHD44" s="294">
        <v>0</v>
      </c>
      <c r="AHE44" s="294">
        <v>0</v>
      </c>
      <c r="AHF44" s="294">
        <v>9112</v>
      </c>
      <c r="AHG44" s="294">
        <v>0</v>
      </c>
      <c r="AHH44" s="294">
        <v>0</v>
      </c>
      <c r="AHI44" s="294">
        <v>0</v>
      </c>
      <c r="AHJ44" s="294">
        <v>3167</v>
      </c>
      <c r="AHK44" s="294">
        <v>0</v>
      </c>
      <c r="AHL44" s="294">
        <v>0</v>
      </c>
      <c r="AHM44" s="294">
        <v>0</v>
      </c>
      <c r="AHN44" s="294">
        <v>20000</v>
      </c>
      <c r="AHO44" s="294">
        <v>0</v>
      </c>
      <c r="AHP44" s="294">
        <v>60000</v>
      </c>
      <c r="AHQ44" s="294">
        <v>0</v>
      </c>
      <c r="AHR44" s="331">
        <v>20000</v>
      </c>
      <c r="AHS44" s="294">
        <f>SUM(D44:AHR44)</f>
        <v>16575363.890000002</v>
      </c>
    </row>
    <row r="45" spans="1:905" ht="24.6" x14ac:dyDescent="0.7">
      <c r="B45" s="268" t="s">
        <v>6037</v>
      </c>
      <c r="C45" s="269" t="s">
        <v>6038</v>
      </c>
      <c r="D45" s="294">
        <v>20764944.73</v>
      </c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>
        <v>73595279.319999993</v>
      </c>
      <c r="W45" s="294">
        <v>893638</v>
      </c>
      <c r="X45" s="294"/>
      <c r="Y45" s="294"/>
      <c r="Z45" s="294"/>
      <c r="AA45" s="294"/>
      <c r="AB45" s="294"/>
      <c r="AC45" s="294">
        <v>763715</v>
      </c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>
        <v>45097396.729999997</v>
      </c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>
        <v>16275942.57</v>
      </c>
      <c r="BJ45" s="294">
        <v>6142506.4699999997</v>
      </c>
      <c r="BK45" s="294"/>
      <c r="BL45" s="294"/>
      <c r="BM45" s="294"/>
      <c r="BN45" s="294"/>
      <c r="BO45" s="294"/>
      <c r="BP45" s="294"/>
      <c r="BQ45" s="294"/>
      <c r="BR45" s="294">
        <v>169247065.34</v>
      </c>
      <c r="BS45" s="294"/>
      <c r="BT45" s="294"/>
      <c r="BU45" s="294"/>
      <c r="BV45" s="294"/>
      <c r="BW45" s="294"/>
      <c r="BX45" s="294"/>
      <c r="BY45" s="294"/>
      <c r="BZ45" s="294">
        <v>5262640.5</v>
      </c>
      <c r="CA45" s="294"/>
      <c r="CB45" s="294"/>
      <c r="CC45" s="294"/>
      <c r="CD45" s="294"/>
      <c r="CE45" s="294"/>
      <c r="CF45" s="294"/>
      <c r="CG45" s="294">
        <v>424295017.57999998</v>
      </c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>
        <v>115505506.8</v>
      </c>
      <c r="CU45" s="294"/>
      <c r="CV45" s="294"/>
      <c r="CW45" s="294"/>
      <c r="CX45" s="294"/>
      <c r="CY45" s="294"/>
      <c r="CZ45" s="294"/>
      <c r="DA45" s="294"/>
      <c r="DB45" s="294">
        <v>3420028.54</v>
      </c>
      <c r="DC45" s="294">
        <v>4109678.98</v>
      </c>
      <c r="DD45" s="294"/>
      <c r="DE45" s="294"/>
      <c r="DF45" s="294"/>
      <c r="DG45" s="294"/>
      <c r="DH45" s="294"/>
      <c r="DI45" s="294"/>
      <c r="DJ45" s="294"/>
      <c r="DK45" s="294">
        <v>54699374.079999998</v>
      </c>
      <c r="DL45" s="294"/>
      <c r="DM45" s="294"/>
      <c r="DN45" s="294"/>
      <c r="DO45" s="294"/>
      <c r="DP45" s="294"/>
      <c r="DQ45" s="294"/>
      <c r="DR45" s="294"/>
      <c r="DS45" s="294"/>
      <c r="DT45" s="294">
        <v>39760635.700000003</v>
      </c>
      <c r="DU45" s="294"/>
      <c r="DV45" s="294"/>
      <c r="DW45" s="294">
        <v>284706.5</v>
      </c>
      <c r="DX45" s="294"/>
      <c r="DY45" s="294"/>
      <c r="DZ45" s="294"/>
      <c r="EA45" s="294"/>
      <c r="EB45" s="294"/>
      <c r="EC45" s="294"/>
      <c r="ED45" s="294"/>
      <c r="EE45" s="294">
        <v>28152598.379999999</v>
      </c>
      <c r="EF45" s="294">
        <v>45405545.560000002</v>
      </c>
      <c r="EG45" s="294"/>
      <c r="EH45" s="294"/>
      <c r="EI45" s="294">
        <v>813364.72</v>
      </c>
      <c r="EJ45" s="294"/>
      <c r="EK45" s="294"/>
      <c r="EL45" s="294"/>
      <c r="EM45" s="294"/>
      <c r="EN45" s="294">
        <v>33874109.189999998</v>
      </c>
      <c r="EO45" s="294"/>
      <c r="EP45" s="294"/>
      <c r="EQ45" s="294"/>
      <c r="ER45" s="294"/>
      <c r="ES45" s="294"/>
      <c r="ET45" s="294"/>
      <c r="EU45" s="294"/>
      <c r="EV45" s="294"/>
      <c r="EW45" s="294">
        <v>23729332.5</v>
      </c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94"/>
      <c r="FI45" s="294">
        <v>126339493.39</v>
      </c>
      <c r="FJ45" s="294"/>
      <c r="FK45" s="294"/>
      <c r="FL45" s="294"/>
      <c r="FM45" s="294"/>
      <c r="FN45" s="294"/>
      <c r="FO45" s="294"/>
      <c r="FP45" s="294"/>
      <c r="FQ45" s="294">
        <v>180869285.78999999</v>
      </c>
      <c r="FR45" s="294"/>
      <c r="FS45" s="294"/>
      <c r="FT45" s="294"/>
      <c r="FU45" s="294"/>
      <c r="FV45" s="294"/>
      <c r="FW45" s="294"/>
      <c r="FX45" s="294"/>
      <c r="FY45" s="294"/>
      <c r="FZ45" s="294"/>
      <c r="GA45" s="294"/>
      <c r="GB45" s="294"/>
      <c r="GC45" s="294"/>
      <c r="GD45" s="294"/>
      <c r="GE45" s="294">
        <v>44170217.530000001</v>
      </c>
      <c r="GF45" s="294"/>
      <c r="GG45" s="294"/>
      <c r="GH45" s="294"/>
      <c r="GI45" s="294"/>
      <c r="GJ45" s="294"/>
      <c r="GK45" s="294"/>
      <c r="GL45" s="294"/>
      <c r="GM45" s="294"/>
      <c r="GN45" s="294"/>
      <c r="GO45" s="294"/>
      <c r="GP45" s="294"/>
      <c r="GQ45" s="294">
        <v>103713192.48</v>
      </c>
      <c r="GR45" s="294"/>
      <c r="GS45" s="294"/>
      <c r="GT45" s="294"/>
      <c r="GU45" s="294"/>
      <c r="GV45" s="294"/>
      <c r="GW45" s="294"/>
      <c r="GX45" s="294"/>
      <c r="GY45" s="294">
        <v>16700722.76</v>
      </c>
      <c r="GZ45" s="294"/>
      <c r="HA45" s="294"/>
      <c r="HB45" s="294"/>
      <c r="HC45" s="294">
        <v>34261026.969999999</v>
      </c>
      <c r="HD45" s="294"/>
      <c r="HE45" s="294"/>
      <c r="HF45" s="294"/>
      <c r="HG45" s="294"/>
      <c r="HH45" s="294"/>
      <c r="HI45" s="294"/>
      <c r="HJ45" s="294">
        <v>14384316.18</v>
      </c>
      <c r="HK45" s="294"/>
      <c r="HL45" s="294"/>
      <c r="HM45" s="294"/>
      <c r="HN45" s="294"/>
      <c r="HO45" s="294"/>
      <c r="HP45" s="294"/>
      <c r="HQ45" s="294"/>
      <c r="HR45" s="294">
        <v>30342031.778999999</v>
      </c>
      <c r="HS45" s="294">
        <v>3587070.76</v>
      </c>
      <c r="HT45" s="294"/>
      <c r="HU45" s="294"/>
      <c r="HV45" s="294"/>
      <c r="HW45" s="294"/>
      <c r="HX45" s="294"/>
      <c r="HY45" s="294"/>
      <c r="HZ45" s="294"/>
      <c r="IA45" s="294"/>
      <c r="IB45" s="294"/>
      <c r="IC45" s="294"/>
      <c r="ID45" s="294"/>
      <c r="IE45" s="294"/>
      <c r="IF45" s="294"/>
      <c r="IG45" s="294"/>
      <c r="IH45" s="294">
        <v>47994572.68</v>
      </c>
      <c r="II45" s="294">
        <v>9526.1</v>
      </c>
      <c r="IJ45" s="294"/>
      <c r="IK45" s="294"/>
      <c r="IL45" s="294"/>
      <c r="IM45" s="294"/>
      <c r="IN45" s="294"/>
      <c r="IO45" s="294"/>
      <c r="IP45" s="294"/>
      <c r="IQ45" s="294"/>
      <c r="IR45" s="294"/>
      <c r="IS45" s="294">
        <v>14959258.859999999</v>
      </c>
      <c r="IT45" s="294">
        <v>24004381.920000002</v>
      </c>
      <c r="IU45" s="294"/>
      <c r="IV45" s="294"/>
      <c r="IW45" s="294"/>
      <c r="IX45" s="294"/>
      <c r="IY45" s="294"/>
      <c r="IZ45" s="294"/>
      <c r="JA45" s="294"/>
      <c r="JB45" s="294"/>
      <c r="JC45" s="294"/>
      <c r="JD45" s="294"/>
      <c r="JE45" s="294">
        <v>4061256.65</v>
      </c>
      <c r="JF45" s="294">
        <v>1124050.9099999999</v>
      </c>
      <c r="JG45" s="294"/>
      <c r="JH45" s="294"/>
      <c r="JI45" s="294"/>
      <c r="JJ45" s="294"/>
      <c r="JK45" s="294">
        <v>28293827.199999999</v>
      </c>
      <c r="JL45" s="294"/>
      <c r="JM45" s="294"/>
      <c r="JN45" s="294"/>
      <c r="JO45" s="294"/>
      <c r="JP45" s="294"/>
      <c r="JQ45" s="294"/>
      <c r="JR45" s="294">
        <v>16136202.779999999</v>
      </c>
      <c r="JS45" s="294">
        <v>3928604.46</v>
      </c>
      <c r="JT45" s="294"/>
      <c r="JU45" s="294"/>
      <c r="JV45" s="294"/>
      <c r="JW45" s="294"/>
      <c r="JX45" s="294"/>
      <c r="JY45" s="294"/>
      <c r="JZ45" s="294"/>
      <c r="KA45" s="294"/>
      <c r="KB45" s="294"/>
      <c r="KC45" s="294"/>
      <c r="KD45" s="294"/>
      <c r="KE45" s="294"/>
      <c r="KF45" s="294"/>
      <c r="KG45" s="294"/>
      <c r="KH45" s="294">
        <v>126130108.97</v>
      </c>
      <c r="KI45" s="294"/>
      <c r="KJ45" s="294"/>
      <c r="KK45" s="294"/>
      <c r="KL45" s="294"/>
      <c r="KM45" s="294"/>
      <c r="KN45" s="294"/>
      <c r="KO45" s="294"/>
      <c r="KP45" s="294"/>
      <c r="KQ45" s="294">
        <v>57564918.170000002</v>
      </c>
      <c r="KR45" s="294"/>
      <c r="KS45" s="294"/>
      <c r="KT45" s="294"/>
      <c r="KU45" s="294"/>
      <c r="KV45" s="294"/>
      <c r="KW45" s="294"/>
      <c r="KX45" s="294"/>
      <c r="KY45" s="294">
        <v>350899341.10000002</v>
      </c>
      <c r="KZ45" s="294"/>
      <c r="LA45" s="294"/>
      <c r="LB45" s="294"/>
      <c r="LC45" s="294"/>
      <c r="LD45" s="294"/>
      <c r="LE45" s="294"/>
      <c r="LF45" s="294"/>
      <c r="LG45" s="294">
        <v>75424455.329999998</v>
      </c>
      <c r="LH45" s="294">
        <v>1729714.06</v>
      </c>
      <c r="LI45" s="294">
        <v>17559065.379999999</v>
      </c>
      <c r="LJ45" s="294">
        <v>3576737.1</v>
      </c>
      <c r="LK45" s="294"/>
      <c r="LL45" s="294"/>
      <c r="LM45" s="294"/>
      <c r="LN45" s="294"/>
      <c r="LO45" s="294"/>
      <c r="LP45" s="294"/>
      <c r="LQ45" s="294"/>
      <c r="LR45" s="294">
        <v>2514997.42</v>
      </c>
      <c r="LS45" s="294"/>
      <c r="LT45" s="294"/>
      <c r="LU45" s="294">
        <v>38041879.450000003</v>
      </c>
      <c r="LV45" s="294">
        <v>50610653.439999998</v>
      </c>
      <c r="LW45" s="294">
        <v>8548204.5500000007</v>
      </c>
      <c r="LX45" s="294">
        <v>2303390.67</v>
      </c>
      <c r="LY45" s="294"/>
      <c r="LZ45" s="294"/>
      <c r="MA45" s="294"/>
      <c r="MB45" s="294"/>
      <c r="MC45" s="294"/>
      <c r="MD45" s="294"/>
      <c r="ME45" s="294"/>
      <c r="MF45" s="294"/>
      <c r="MG45" s="294">
        <v>36050075.519999996</v>
      </c>
      <c r="MH45" s="294"/>
      <c r="MI45" s="294"/>
      <c r="MJ45" s="294"/>
      <c r="MK45" s="294"/>
      <c r="ML45" s="294"/>
      <c r="MM45" s="294"/>
      <c r="MN45" s="294"/>
      <c r="MO45" s="294"/>
      <c r="MP45" s="294"/>
      <c r="MQ45" s="294"/>
      <c r="MR45" s="294"/>
      <c r="MS45" s="294">
        <v>7680334.1900000004</v>
      </c>
      <c r="MT45" s="294"/>
      <c r="MU45" s="294"/>
      <c r="MV45" s="294"/>
      <c r="MW45" s="294"/>
      <c r="MX45" s="294"/>
      <c r="MY45" s="294"/>
      <c r="MZ45" s="294"/>
      <c r="NA45" s="294"/>
      <c r="NB45" s="294"/>
      <c r="NC45" s="294"/>
      <c r="ND45" s="294">
        <v>146543005.81</v>
      </c>
      <c r="NE45" s="294"/>
      <c r="NF45" s="294"/>
      <c r="NG45" s="294">
        <v>28971617.16</v>
      </c>
      <c r="NH45" s="294"/>
      <c r="NI45" s="294"/>
      <c r="NJ45" s="294"/>
      <c r="NK45" s="294"/>
      <c r="NL45" s="294"/>
      <c r="NM45" s="294"/>
      <c r="NN45" s="294"/>
      <c r="NO45" s="294"/>
      <c r="NP45" s="294">
        <v>37427306.270000003</v>
      </c>
      <c r="NQ45" s="294"/>
      <c r="NR45" s="294"/>
      <c r="NS45" s="294"/>
      <c r="NT45" s="294"/>
      <c r="NU45" s="294"/>
      <c r="NV45" s="294"/>
      <c r="NW45" s="294">
        <v>30355213.25</v>
      </c>
      <c r="NX45" s="294"/>
      <c r="NY45" s="294"/>
      <c r="NZ45" s="294"/>
      <c r="OA45" s="294"/>
      <c r="OB45" s="294"/>
      <c r="OC45" s="294"/>
      <c r="OD45" s="294">
        <v>47213376.729999997</v>
      </c>
      <c r="OE45" s="294">
        <v>878344</v>
      </c>
      <c r="OF45" s="294"/>
      <c r="OG45" s="294">
        <v>2520786.65</v>
      </c>
      <c r="OH45" s="294">
        <v>539781</v>
      </c>
      <c r="OI45" s="294"/>
      <c r="OJ45" s="294"/>
      <c r="OK45" s="294"/>
      <c r="OL45" s="294"/>
      <c r="OM45" s="294">
        <v>33263784</v>
      </c>
      <c r="ON45" s="294"/>
      <c r="OO45" s="294"/>
      <c r="OP45" s="294"/>
      <c r="OQ45" s="294"/>
      <c r="OR45" s="294"/>
      <c r="OS45" s="294">
        <v>12247027.48</v>
      </c>
      <c r="OT45" s="294"/>
      <c r="OU45" s="294"/>
      <c r="OV45" s="294"/>
      <c r="OW45" s="294"/>
      <c r="OX45" s="294">
        <v>772722</v>
      </c>
      <c r="OY45" s="294"/>
      <c r="OZ45" s="294"/>
      <c r="PA45" s="294"/>
      <c r="PB45" s="294">
        <v>20351676.199999999</v>
      </c>
      <c r="PC45" s="294">
        <v>275073.43</v>
      </c>
      <c r="PD45" s="294"/>
      <c r="PE45" s="294"/>
      <c r="PF45" s="294"/>
      <c r="PG45" s="294"/>
      <c r="PH45" s="294"/>
      <c r="PI45" s="294"/>
      <c r="PJ45" s="294"/>
      <c r="PK45" s="294"/>
      <c r="PL45" s="294"/>
      <c r="PM45" s="294"/>
      <c r="PN45" s="294"/>
      <c r="PO45" s="294"/>
      <c r="PP45" s="294"/>
      <c r="PQ45" s="294"/>
      <c r="PR45" s="294"/>
      <c r="PS45" s="294"/>
      <c r="PT45" s="294">
        <v>184970669.31</v>
      </c>
      <c r="PU45" s="294"/>
      <c r="PV45" s="294"/>
      <c r="PW45" s="294"/>
      <c r="PX45" s="294">
        <v>650440</v>
      </c>
      <c r="PY45" s="294"/>
      <c r="PZ45" s="294"/>
      <c r="QA45" s="294"/>
      <c r="QB45" s="294"/>
      <c r="QC45" s="294"/>
      <c r="QD45" s="294"/>
      <c r="QE45" s="294"/>
      <c r="QF45" s="294"/>
      <c r="QG45" s="294"/>
      <c r="QH45" s="294"/>
      <c r="QI45" s="294"/>
      <c r="QJ45" s="294"/>
      <c r="QK45" s="294"/>
      <c r="QL45" s="294"/>
      <c r="QM45" s="294"/>
      <c r="QN45" s="294">
        <v>2638346.08</v>
      </c>
      <c r="QO45" s="294"/>
      <c r="QP45" s="294"/>
      <c r="QQ45" s="294"/>
      <c r="QR45" s="294"/>
      <c r="QS45" s="294"/>
      <c r="QT45" s="294">
        <v>49285849.939999998</v>
      </c>
      <c r="QU45" s="294"/>
      <c r="QV45" s="294"/>
      <c r="QW45" s="294"/>
      <c r="QX45" s="294"/>
      <c r="QY45" s="294"/>
      <c r="QZ45" s="294"/>
      <c r="RA45" s="294"/>
      <c r="RB45" s="294">
        <v>1169307</v>
      </c>
      <c r="RC45" s="294"/>
      <c r="RD45" s="294"/>
      <c r="RE45" s="294"/>
      <c r="RF45" s="294"/>
      <c r="RG45" s="294">
        <v>109330987.06</v>
      </c>
      <c r="RH45" s="294"/>
      <c r="RI45" s="294"/>
      <c r="RJ45" s="294"/>
      <c r="RK45" s="294"/>
      <c r="RL45" s="294"/>
      <c r="RM45" s="294"/>
      <c r="RN45" s="294"/>
      <c r="RO45" s="294">
        <v>505205.25</v>
      </c>
      <c r="RP45" s="294"/>
      <c r="RQ45" s="294"/>
      <c r="RR45" s="294"/>
      <c r="RS45" s="294"/>
      <c r="RT45" s="294"/>
      <c r="RU45" s="294"/>
      <c r="RV45" s="294">
        <v>195170</v>
      </c>
      <c r="RW45" s="294"/>
      <c r="RX45" s="294"/>
      <c r="RY45" s="294"/>
      <c r="RZ45" s="294">
        <v>191908.97</v>
      </c>
      <c r="SA45" s="294">
        <v>9691529.1199999992</v>
      </c>
      <c r="SB45" s="294"/>
      <c r="SC45" s="294"/>
      <c r="SD45" s="294"/>
      <c r="SE45" s="294"/>
      <c r="SF45" s="294"/>
      <c r="SG45" s="294"/>
      <c r="SH45" s="294"/>
      <c r="SI45" s="294"/>
      <c r="SJ45" s="294"/>
      <c r="SK45" s="294"/>
      <c r="SL45" s="294"/>
      <c r="SM45" s="294">
        <v>1717242.85</v>
      </c>
      <c r="SN45" s="294"/>
      <c r="SO45" s="294"/>
      <c r="SP45" s="294"/>
      <c r="SQ45" s="294"/>
      <c r="SR45" s="294"/>
      <c r="SS45" s="294"/>
      <c r="ST45" s="294"/>
      <c r="SU45" s="294">
        <v>2137652</v>
      </c>
      <c r="SV45" s="294"/>
      <c r="SW45" s="294"/>
      <c r="SX45" s="294"/>
      <c r="SY45" s="294"/>
      <c r="SZ45" s="294"/>
      <c r="TA45" s="294"/>
      <c r="TB45" s="294"/>
      <c r="TC45" s="294"/>
      <c r="TD45" s="294"/>
      <c r="TE45" s="294"/>
      <c r="TF45" s="294"/>
      <c r="TG45" s="294"/>
      <c r="TH45" s="294"/>
      <c r="TI45" s="294">
        <v>35878004.280000001</v>
      </c>
      <c r="TJ45" s="294"/>
      <c r="TK45" s="294"/>
      <c r="TL45" s="294"/>
      <c r="TM45" s="294"/>
      <c r="TN45" s="294"/>
      <c r="TO45" s="294"/>
      <c r="TP45" s="294">
        <v>393050</v>
      </c>
      <c r="TQ45" s="294"/>
      <c r="TR45" s="294"/>
      <c r="TS45" s="294"/>
      <c r="TT45" s="294"/>
      <c r="TU45" s="294"/>
      <c r="TV45" s="294"/>
      <c r="TW45" s="294"/>
      <c r="TX45" s="294"/>
      <c r="TY45" s="294">
        <v>2501878</v>
      </c>
      <c r="TZ45" s="294"/>
      <c r="UA45" s="294">
        <v>3103667.74</v>
      </c>
      <c r="UB45" s="294"/>
      <c r="UC45" s="294"/>
      <c r="UD45" s="294"/>
      <c r="UE45" s="294"/>
      <c r="UF45" s="294"/>
      <c r="UG45" s="294">
        <v>60737</v>
      </c>
      <c r="UH45" s="294"/>
      <c r="UI45" s="294"/>
      <c r="UJ45" s="294">
        <v>2306774.46</v>
      </c>
      <c r="UK45" s="294"/>
      <c r="UL45" s="294"/>
      <c r="UM45" s="294"/>
      <c r="UN45" s="294"/>
      <c r="UO45" s="294"/>
      <c r="UP45" s="294">
        <v>63099761.850000001</v>
      </c>
      <c r="UQ45" s="294"/>
      <c r="UR45" s="294"/>
      <c r="US45" s="294"/>
      <c r="UT45" s="294"/>
      <c r="UU45" s="294"/>
      <c r="UV45" s="294"/>
      <c r="UW45" s="294"/>
      <c r="UX45" s="294"/>
      <c r="UY45" s="294"/>
      <c r="UZ45" s="294"/>
      <c r="VA45" s="294"/>
      <c r="VB45" s="294"/>
      <c r="VC45" s="294"/>
      <c r="VD45" s="294"/>
      <c r="VE45" s="294"/>
      <c r="VF45" s="294"/>
      <c r="VG45" s="294"/>
      <c r="VH45" s="294"/>
      <c r="VI45" s="294"/>
      <c r="VJ45" s="294"/>
      <c r="VK45" s="294"/>
      <c r="VL45" s="294">
        <v>130284296.19</v>
      </c>
      <c r="VM45" s="294"/>
      <c r="VN45" s="294"/>
      <c r="VO45" s="294"/>
      <c r="VP45" s="294"/>
      <c r="VQ45" s="294"/>
      <c r="VR45" s="294"/>
      <c r="VS45" s="294"/>
      <c r="VT45" s="294"/>
      <c r="VU45" s="294">
        <v>53400507.609999999</v>
      </c>
      <c r="VV45" s="294"/>
      <c r="VW45" s="294"/>
      <c r="VX45" s="294"/>
      <c r="VY45" s="294"/>
      <c r="VZ45" s="294"/>
      <c r="WA45" s="294">
        <v>107660342.34999999</v>
      </c>
      <c r="WB45" s="294"/>
      <c r="WC45" s="294"/>
      <c r="WD45" s="294"/>
      <c r="WE45" s="294"/>
      <c r="WF45" s="294"/>
      <c r="WG45" s="294"/>
      <c r="WH45" s="294"/>
      <c r="WI45" s="294"/>
      <c r="WJ45" s="294"/>
      <c r="WK45" s="294"/>
      <c r="WL45" s="294"/>
      <c r="WM45" s="294"/>
      <c r="WN45" s="294"/>
      <c r="WO45" s="294">
        <v>5195707</v>
      </c>
      <c r="WP45" s="294"/>
      <c r="WQ45" s="294"/>
      <c r="WR45" s="294"/>
      <c r="WS45" s="294"/>
      <c r="WT45" s="294"/>
      <c r="WU45" s="294"/>
      <c r="WV45" s="294"/>
      <c r="WW45" s="294"/>
      <c r="WX45" s="294"/>
      <c r="WY45" s="294"/>
      <c r="WZ45" s="294"/>
      <c r="XA45" s="294"/>
      <c r="XB45" s="294"/>
      <c r="XC45" s="294"/>
      <c r="XD45" s="294"/>
      <c r="XE45" s="294"/>
      <c r="XF45" s="294"/>
      <c r="XG45" s="294"/>
      <c r="XH45" s="294">
        <v>466870873.61000001</v>
      </c>
      <c r="XI45" s="294"/>
      <c r="XJ45" s="294"/>
      <c r="XK45" s="294">
        <v>5450432.8300000001</v>
      </c>
      <c r="XL45" s="294"/>
      <c r="XM45" s="294"/>
      <c r="XN45" s="294"/>
      <c r="XO45" s="294"/>
      <c r="XP45" s="294"/>
      <c r="XQ45" s="294"/>
      <c r="XR45" s="294"/>
      <c r="XS45" s="294"/>
      <c r="XT45" s="294"/>
      <c r="XU45" s="294"/>
      <c r="XV45" s="294"/>
      <c r="XW45" s="294"/>
      <c r="XX45" s="294"/>
      <c r="XY45" s="294"/>
      <c r="XZ45" s="294">
        <v>804315</v>
      </c>
      <c r="YA45" s="294"/>
      <c r="YB45" s="294"/>
      <c r="YC45" s="294"/>
      <c r="YD45" s="294"/>
      <c r="YE45" s="294">
        <v>426076387.27999997</v>
      </c>
      <c r="YF45" s="294"/>
      <c r="YG45" s="294"/>
      <c r="YH45" s="294"/>
      <c r="YI45" s="294">
        <v>537814.39</v>
      </c>
      <c r="YJ45" s="294"/>
      <c r="YK45" s="294"/>
      <c r="YL45" s="294"/>
      <c r="YM45" s="294"/>
      <c r="YN45" s="294"/>
      <c r="YO45" s="294"/>
      <c r="YP45" s="294"/>
      <c r="YQ45" s="294"/>
      <c r="YR45" s="294"/>
      <c r="YS45" s="294"/>
      <c r="YT45" s="294"/>
      <c r="YU45" s="294"/>
      <c r="YV45" s="294">
        <v>27000117.739999998</v>
      </c>
      <c r="YW45" s="294"/>
      <c r="YX45" s="294"/>
      <c r="YY45" s="294"/>
      <c r="YZ45" s="294"/>
      <c r="ZA45" s="294"/>
      <c r="ZB45" s="294">
        <v>106226</v>
      </c>
      <c r="ZC45" s="294">
        <v>8527574.1600000001</v>
      </c>
      <c r="ZD45" s="294"/>
      <c r="ZE45" s="294"/>
      <c r="ZF45" s="294"/>
      <c r="ZG45" s="294"/>
      <c r="ZH45" s="294"/>
      <c r="ZI45" s="294"/>
      <c r="ZJ45" s="294"/>
      <c r="ZK45" s="294"/>
      <c r="ZL45" s="294">
        <v>4266582.68</v>
      </c>
      <c r="ZM45" s="294">
        <v>412649.5</v>
      </c>
      <c r="ZN45" s="294"/>
      <c r="ZO45" s="294">
        <v>10352109.300000001</v>
      </c>
      <c r="ZP45" s="294"/>
      <c r="ZQ45" s="294"/>
      <c r="ZR45" s="294"/>
      <c r="ZS45" s="294"/>
      <c r="ZT45" s="294"/>
      <c r="ZU45" s="294"/>
      <c r="ZV45" s="294"/>
      <c r="ZW45" s="294"/>
      <c r="ZX45" s="294"/>
      <c r="ZY45" s="294"/>
      <c r="ZZ45" s="294"/>
      <c r="AAA45" s="294"/>
      <c r="AAB45" s="294">
        <v>297273.62</v>
      </c>
      <c r="AAC45" s="294"/>
      <c r="AAD45" s="294"/>
      <c r="AAE45" s="294"/>
      <c r="AAF45" s="294"/>
      <c r="AAG45" s="294"/>
      <c r="AAH45" s="294">
        <v>15526106.310000001</v>
      </c>
      <c r="AAI45" s="294"/>
      <c r="AAJ45" s="294"/>
      <c r="AAK45" s="294"/>
      <c r="AAL45" s="294"/>
      <c r="AAM45" s="294"/>
      <c r="AAN45" s="294"/>
      <c r="AAO45" s="294">
        <v>162651822.83000001</v>
      </c>
      <c r="AAP45" s="294"/>
      <c r="AAQ45" s="294"/>
      <c r="AAR45" s="294"/>
      <c r="AAS45" s="294"/>
      <c r="AAT45" s="294"/>
      <c r="AAU45" s="294"/>
      <c r="AAV45" s="294"/>
      <c r="AAW45" s="294"/>
      <c r="AAX45" s="294"/>
      <c r="AAY45" s="294"/>
      <c r="AAZ45" s="294">
        <v>49800</v>
      </c>
      <c r="ABA45" s="294"/>
      <c r="ABB45" s="294"/>
      <c r="ABC45" s="294">
        <v>0</v>
      </c>
      <c r="ABD45" s="294"/>
      <c r="ABE45" s="294"/>
      <c r="ABF45" s="294"/>
      <c r="ABG45" s="294"/>
      <c r="ABH45" s="294">
        <v>6030619.71</v>
      </c>
      <c r="ABI45" s="294">
        <v>3754927.57</v>
      </c>
      <c r="ABJ45" s="294"/>
      <c r="ABK45" s="294">
        <v>0</v>
      </c>
      <c r="ABL45" s="294"/>
      <c r="ABM45" s="294"/>
      <c r="ABN45" s="294"/>
      <c r="ABO45" s="294">
        <v>133645975.12</v>
      </c>
      <c r="ABP45" s="294"/>
      <c r="ABQ45" s="294"/>
      <c r="ABR45" s="294"/>
      <c r="ABS45" s="294"/>
      <c r="ABT45" s="294"/>
      <c r="ABU45" s="294"/>
      <c r="ABV45" s="294"/>
      <c r="ABW45" s="294"/>
      <c r="ABX45" s="294">
        <v>14532070.5</v>
      </c>
      <c r="ABY45" s="294"/>
      <c r="ABZ45" s="294"/>
      <c r="ACA45" s="294"/>
      <c r="ACB45" s="294"/>
      <c r="ACC45" s="294"/>
      <c r="ACD45" s="294"/>
      <c r="ACE45" s="294"/>
      <c r="ACF45" s="294"/>
      <c r="ACG45" s="294"/>
      <c r="ACH45" s="294"/>
      <c r="ACI45" s="294">
        <v>146845024.44999999</v>
      </c>
      <c r="ACJ45" s="294"/>
      <c r="ACK45" s="294"/>
      <c r="ACL45" s="294"/>
      <c r="ACM45" s="294"/>
      <c r="ACN45" s="294"/>
      <c r="ACO45" s="294"/>
      <c r="ACP45" s="294"/>
      <c r="ACQ45" s="294">
        <v>3269279</v>
      </c>
      <c r="ACR45" s="294"/>
      <c r="ACS45" s="294"/>
      <c r="ACT45" s="294"/>
      <c r="ACU45" s="294"/>
      <c r="ACV45" s="294">
        <v>59069381.950000003</v>
      </c>
      <c r="ACW45" s="294"/>
      <c r="ACX45" s="294"/>
      <c r="ACY45" s="294"/>
      <c r="ACZ45" s="294"/>
      <c r="ADA45" s="294"/>
      <c r="ADB45" s="294"/>
      <c r="ADC45" s="294"/>
      <c r="ADD45" s="294"/>
      <c r="ADE45" s="294"/>
      <c r="ADF45" s="294">
        <v>4383683.3499999996</v>
      </c>
      <c r="ADG45" s="294">
        <v>6635391.7599999998</v>
      </c>
      <c r="ADH45" s="294"/>
      <c r="ADI45" s="294"/>
      <c r="ADJ45" s="294">
        <v>0</v>
      </c>
      <c r="ADK45" s="294"/>
      <c r="ADL45" s="294"/>
      <c r="ADM45" s="294"/>
      <c r="ADN45" s="294"/>
      <c r="ADO45" s="294">
        <v>19189739.52</v>
      </c>
      <c r="ADP45" s="294"/>
      <c r="ADQ45" s="294"/>
      <c r="ADR45" s="294"/>
      <c r="ADS45" s="294">
        <v>22961728.890000001</v>
      </c>
      <c r="ADT45" s="294"/>
      <c r="ADU45" s="294"/>
      <c r="ADV45" s="294"/>
      <c r="ADW45" s="294"/>
      <c r="ADX45" s="294"/>
      <c r="ADY45" s="294">
        <v>31777842.699999999</v>
      </c>
      <c r="ADZ45" s="294">
        <v>3409297.92</v>
      </c>
      <c r="AEA45" s="294"/>
      <c r="AEB45" s="294"/>
      <c r="AEC45" s="294"/>
      <c r="AED45" s="294"/>
      <c r="AEE45" s="294"/>
      <c r="AEF45" s="294"/>
      <c r="AEG45" s="294"/>
      <c r="AEH45" s="294"/>
      <c r="AEI45" s="294"/>
      <c r="AEJ45" s="294"/>
      <c r="AEK45" s="294"/>
      <c r="AEL45" s="294"/>
      <c r="AEM45" s="294"/>
      <c r="AEN45" s="294"/>
      <c r="AEO45" s="294"/>
      <c r="AEP45" s="294"/>
      <c r="AEQ45" s="294"/>
      <c r="AER45" s="294"/>
      <c r="AES45" s="294">
        <v>104397950.76000001</v>
      </c>
      <c r="AET45" s="294"/>
      <c r="AEU45" s="294"/>
      <c r="AEV45" s="294"/>
      <c r="AEW45" s="294"/>
      <c r="AEX45" s="294"/>
      <c r="AEY45" s="294"/>
      <c r="AEZ45" s="294"/>
      <c r="AFA45" s="294"/>
      <c r="AFB45" s="294"/>
      <c r="AFC45" s="294">
        <v>12000277.699999999</v>
      </c>
      <c r="AFD45" s="294">
        <v>7835444.1699999999</v>
      </c>
      <c r="AFE45" s="294"/>
      <c r="AFF45" s="294"/>
      <c r="AFG45" s="294"/>
      <c r="AFH45" s="294"/>
      <c r="AFI45" s="294"/>
      <c r="AFJ45" s="294"/>
      <c r="AFK45" s="294"/>
      <c r="AFL45" s="294"/>
      <c r="AFM45" s="294"/>
      <c r="AFN45" s="294"/>
      <c r="AFO45" s="294"/>
      <c r="AFP45" s="294">
        <v>13183200.75</v>
      </c>
      <c r="AFQ45" s="294"/>
      <c r="AFR45" s="294"/>
      <c r="AFS45" s="294"/>
      <c r="AFT45" s="294"/>
      <c r="AFU45" s="294"/>
      <c r="AFV45" s="294"/>
      <c r="AFW45" s="294"/>
      <c r="AFX45" s="294"/>
      <c r="AFY45" s="294"/>
      <c r="AFZ45" s="294"/>
      <c r="AGA45" s="294"/>
      <c r="AGB45" s="294">
        <v>14925986.32</v>
      </c>
      <c r="AGC45" s="294"/>
      <c r="AGD45" s="294"/>
      <c r="AGE45" s="294"/>
      <c r="AGF45" s="294"/>
      <c r="AGG45" s="294"/>
      <c r="AGH45" s="294"/>
      <c r="AGI45" s="294"/>
      <c r="AGJ45" s="294"/>
      <c r="AGK45" s="294"/>
      <c r="AGL45" s="294"/>
      <c r="AGM45" s="294">
        <v>25046477.209999997</v>
      </c>
      <c r="AGN45" s="294">
        <v>2442278.5699999998</v>
      </c>
      <c r="AGO45" s="294"/>
      <c r="AGP45" s="294"/>
      <c r="AGQ45" s="294"/>
      <c r="AGR45" s="294"/>
      <c r="AGS45" s="294"/>
      <c r="AGT45" s="294"/>
      <c r="AGU45" s="294">
        <v>34787558.25</v>
      </c>
      <c r="AGV45" s="294">
        <v>8553699.3399999999</v>
      </c>
      <c r="AGW45" s="294"/>
      <c r="AGX45" s="294"/>
      <c r="AGY45" s="294"/>
      <c r="AGZ45" s="294"/>
      <c r="AHA45" s="294"/>
      <c r="AHB45" s="294"/>
      <c r="AHC45" s="294"/>
      <c r="AHD45" s="294"/>
      <c r="AHE45" s="294"/>
      <c r="AHF45" s="294"/>
      <c r="AHG45" s="294"/>
      <c r="AHH45" s="294"/>
      <c r="AHI45" s="294"/>
      <c r="AHJ45" s="294"/>
      <c r="AHK45" s="294"/>
      <c r="AHL45" s="294">
        <v>20368566.68</v>
      </c>
      <c r="AHM45" s="294"/>
      <c r="AHN45" s="294"/>
      <c r="AHO45" s="294"/>
      <c r="AHP45" s="294"/>
      <c r="AHQ45" s="294"/>
      <c r="AHR45" s="331"/>
      <c r="AHS45" s="294">
        <f t="shared" ref="AHS45:AHS57" si="35">SUM(D45:AHR45)</f>
        <v>5541311177.2190008</v>
      </c>
    </row>
    <row r="46" spans="1:905" ht="24.6" x14ac:dyDescent="0.7">
      <c r="B46" s="268" t="s">
        <v>6039</v>
      </c>
      <c r="C46" s="269" t="s">
        <v>6040</v>
      </c>
      <c r="D46" s="294"/>
      <c r="E46" s="294">
        <v>307740</v>
      </c>
      <c r="F46" s="294">
        <v>15364987.18</v>
      </c>
      <c r="G46" s="294">
        <v>269661.5</v>
      </c>
      <c r="H46" s="294">
        <v>897481.2</v>
      </c>
      <c r="I46" s="294">
        <v>437012.17</v>
      </c>
      <c r="J46" s="294">
        <v>39633112.409999996</v>
      </c>
      <c r="K46" s="294">
        <v>5056291.9400000004</v>
      </c>
      <c r="L46" s="294">
        <v>332487</v>
      </c>
      <c r="M46" s="294">
        <v>206326.5</v>
      </c>
      <c r="N46" s="294">
        <v>22743</v>
      </c>
      <c r="O46" s="294">
        <v>309992.75</v>
      </c>
      <c r="P46" s="294">
        <v>249793.55</v>
      </c>
      <c r="Q46" s="294">
        <v>347837</v>
      </c>
      <c r="R46" s="294">
        <v>203092</v>
      </c>
      <c r="S46" s="294"/>
      <c r="T46" s="294">
        <v>614319</v>
      </c>
      <c r="U46" s="294">
        <v>165979.5</v>
      </c>
      <c r="V46" s="294"/>
      <c r="W46" s="294"/>
      <c r="X46" s="294">
        <v>509939.93</v>
      </c>
      <c r="Y46" s="294">
        <v>118289</v>
      </c>
      <c r="Z46" s="294">
        <v>247750</v>
      </c>
      <c r="AA46" s="294">
        <v>425881.45</v>
      </c>
      <c r="AB46" s="294">
        <v>165923</v>
      </c>
      <c r="AC46" s="294"/>
      <c r="AD46" s="294">
        <v>385905.81</v>
      </c>
      <c r="AE46" s="294">
        <v>429322.03</v>
      </c>
      <c r="AF46" s="294">
        <v>360512</v>
      </c>
      <c r="AG46" s="294">
        <v>373082.9</v>
      </c>
      <c r="AH46" s="294">
        <v>1231836.9099999999</v>
      </c>
      <c r="AI46" s="294">
        <v>512816.2</v>
      </c>
      <c r="AJ46" s="294">
        <v>306237.76</v>
      </c>
      <c r="AK46" s="294">
        <v>215166</v>
      </c>
      <c r="AL46" s="294">
        <v>254411</v>
      </c>
      <c r="AM46" s="294"/>
      <c r="AN46" s="294">
        <v>150575</v>
      </c>
      <c r="AO46" s="294">
        <v>382591</v>
      </c>
      <c r="AP46" s="294">
        <v>442650</v>
      </c>
      <c r="AQ46" s="294">
        <v>313631</v>
      </c>
      <c r="AR46" s="294">
        <v>190130</v>
      </c>
      <c r="AS46" s="294">
        <v>88684.14</v>
      </c>
      <c r="AT46" s="294"/>
      <c r="AU46" s="294">
        <v>24485</v>
      </c>
      <c r="AV46" s="294">
        <v>76172.25</v>
      </c>
      <c r="AW46" s="294">
        <v>76779</v>
      </c>
      <c r="AX46" s="294">
        <v>202800</v>
      </c>
      <c r="AY46" s="294">
        <v>167298</v>
      </c>
      <c r="AZ46" s="294">
        <v>70703</v>
      </c>
      <c r="BA46" s="294">
        <v>17400</v>
      </c>
      <c r="BB46" s="294">
        <v>26622.5</v>
      </c>
      <c r="BC46" s="294">
        <v>52437</v>
      </c>
      <c r="BD46" s="294">
        <v>60100</v>
      </c>
      <c r="BE46" s="294"/>
      <c r="BF46" s="294">
        <v>44200</v>
      </c>
      <c r="BG46" s="294">
        <v>64445</v>
      </c>
      <c r="BH46" s="294">
        <v>198525</v>
      </c>
      <c r="BI46" s="294"/>
      <c r="BJ46" s="294"/>
      <c r="BK46" s="294">
        <v>194773.21</v>
      </c>
      <c r="BL46" s="294">
        <v>181446.86</v>
      </c>
      <c r="BM46" s="294">
        <v>495718.87</v>
      </c>
      <c r="BN46" s="294">
        <v>320416.03000000003</v>
      </c>
      <c r="BO46" s="294">
        <v>164304.6</v>
      </c>
      <c r="BP46" s="294"/>
      <c r="BQ46" s="294"/>
      <c r="BR46" s="294">
        <v>0</v>
      </c>
      <c r="BS46" s="294">
        <v>111705</v>
      </c>
      <c r="BT46" s="294">
        <v>322179</v>
      </c>
      <c r="BU46" s="294">
        <v>121788</v>
      </c>
      <c r="BV46" s="294">
        <v>408527</v>
      </c>
      <c r="BW46" s="294">
        <v>56450</v>
      </c>
      <c r="BX46" s="294">
        <v>85018.5</v>
      </c>
      <c r="BY46" s="294">
        <v>191760.34</v>
      </c>
      <c r="BZ46" s="294"/>
      <c r="CA46" s="294">
        <v>96550</v>
      </c>
      <c r="CB46" s="294">
        <v>153250</v>
      </c>
      <c r="CC46" s="294">
        <v>201944.75</v>
      </c>
      <c r="CD46" s="294">
        <v>289326.2</v>
      </c>
      <c r="CE46" s="294">
        <v>147849</v>
      </c>
      <c r="CF46" s="294"/>
      <c r="CG46" s="294"/>
      <c r="CH46" s="294">
        <v>501367</v>
      </c>
      <c r="CI46" s="294">
        <v>1064484.8</v>
      </c>
      <c r="CJ46" s="294">
        <v>117873</v>
      </c>
      <c r="CK46" s="294">
        <v>1044539</v>
      </c>
      <c r="CL46" s="294">
        <v>268135.2</v>
      </c>
      <c r="CM46" s="294">
        <v>387252</v>
      </c>
      <c r="CN46" s="294">
        <v>551903.9</v>
      </c>
      <c r="CO46" s="294">
        <v>102288.5</v>
      </c>
      <c r="CP46" s="294">
        <v>140103.49</v>
      </c>
      <c r="CQ46" s="294">
        <v>24503.88</v>
      </c>
      <c r="CR46" s="294">
        <v>206835.20000000001</v>
      </c>
      <c r="CS46" s="294">
        <v>290419</v>
      </c>
      <c r="CT46" s="294"/>
      <c r="CU46" s="294">
        <v>120657.5</v>
      </c>
      <c r="CV46" s="294"/>
      <c r="CW46" s="294"/>
      <c r="CX46" s="294">
        <v>219622.39999999999</v>
      </c>
      <c r="CY46" s="294">
        <v>276605</v>
      </c>
      <c r="CZ46" s="294">
        <v>49213.5</v>
      </c>
      <c r="DA46" s="294">
        <v>195885</v>
      </c>
      <c r="DB46" s="294"/>
      <c r="DC46" s="294"/>
      <c r="DD46" s="294">
        <v>219871.45</v>
      </c>
      <c r="DE46" s="294">
        <v>10000</v>
      </c>
      <c r="DF46" s="294">
        <v>74238.5</v>
      </c>
      <c r="DG46" s="294">
        <v>606968</v>
      </c>
      <c r="DH46" s="294"/>
      <c r="DI46" s="294">
        <v>562855</v>
      </c>
      <c r="DJ46" s="294">
        <v>501361</v>
      </c>
      <c r="DK46" s="294"/>
      <c r="DL46" s="294">
        <v>1140000</v>
      </c>
      <c r="DM46" s="294">
        <v>9507465</v>
      </c>
      <c r="DN46" s="294">
        <v>7631245</v>
      </c>
      <c r="DO46" s="294">
        <v>303220</v>
      </c>
      <c r="DP46" s="294">
        <v>1113750</v>
      </c>
      <c r="DQ46" s="294">
        <v>2000000</v>
      </c>
      <c r="DR46" s="294">
        <v>816105</v>
      </c>
      <c r="DS46" s="294">
        <v>3517880</v>
      </c>
      <c r="DT46" s="294"/>
      <c r="DU46" s="294">
        <v>213915</v>
      </c>
      <c r="DV46" s="294">
        <v>212093</v>
      </c>
      <c r="DW46" s="294"/>
      <c r="DX46" s="294">
        <v>115604</v>
      </c>
      <c r="DY46" s="294">
        <v>275788</v>
      </c>
      <c r="DZ46" s="294"/>
      <c r="EA46" s="294"/>
      <c r="EB46" s="294">
        <v>474929.5</v>
      </c>
      <c r="EC46" s="294">
        <v>240750</v>
      </c>
      <c r="ED46" s="294">
        <v>148750</v>
      </c>
      <c r="EE46" s="294"/>
      <c r="EF46" s="294"/>
      <c r="EG46" s="294">
        <v>2346814.29</v>
      </c>
      <c r="EH46" s="294">
        <v>1211890.22</v>
      </c>
      <c r="EI46" s="294">
        <v>716597.95</v>
      </c>
      <c r="EJ46" s="294">
        <v>497250</v>
      </c>
      <c r="EK46" s="294">
        <v>2000000</v>
      </c>
      <c r="EL46" s="294">
        <v>439044</v>
      </c>
      <c r="EM46" s="294">
        <v>2000000</v>
      </c>
      <c r="EN46" s="294"/>
      <c r="EO46" s="294">
        <v>862622.75</v>
      </c>
      <c r="EP46" s="294">
        <v>357167.93</v>
      </c>
      <c r="EQ46" s="294">
        <v>352960</v>
      </c>
      <c r="ER46" s="294">
        <v>224047</v>
      </c>
      <c r="ES46" s="294">
        <v>229074</v>
      </c>
      <c r="ET46" s="294">
        <v>2016330.25</v>
      </c>
      <c r="EU46" s="294">
        <v>4299810.05</v>
      </c>
      <c r="EV46" s="294">
        <v>241409</v>
      </c>
      <c r="EW46" s="294"/>
      <c r="EX46" s="294">
        <v>151819.25</v>
      </c>
      <c r="EY46" s="294">
        <v>10952941.5</v>
      </c>
      <c r="EZ46" s="294">
        <v>1969214.6</v>
      </c>
      <c r="FA46" s="294">
        <v>5366391</v>
      </c>
      <c r="FB46" s="294">
        <v>647492</v>
      </c>
      <c r="FC46" s="294">
        <v>1120534.2</v>
      </c>
      <c r="FD46" s="294">
        <v>2599919.84</v>
      </c>
      <c r="FE46" s="294">
        <v>107663</v>
      </c>
      <c r="FF46" s="294">
        <v>59312.1</v>
      </c>
      <c r="FG46" s="294">
        <v>327910</v>
      </c>
      <c r="FH46" s="294">
        <v>12</v>
      </c>
      <c r="FI46" s="294"/>
      <c r="FJ46" s="294">
        <v>214940</v>
      </c>
      <c r="FK46" s="294">
        <v>215987</v>
      </c>
      <c r="FL46" s="294">
        <v>124563.6</v>
      </c>
      <c r="FM46" s="294">
        <v>2519429</v>
      </c>
      <c r="FN46" s="294">
        <v>393694.7</v>
      </c>
      <c r="FO46" s="294">
        <v>398590.81</v>
      </c>
      <c r="FP46" s="294">
        <v>217885</v>
      </c>
      <c r="FQ46" s="294"/>
      <c r="FR46" s="294">
        <v>9758148.9800000004</v>
      </c>
      <c r="FS46" s="294">
        <v>143.30000000000001</v>
      </c>
      <c r="FT46" s="294">
        <v>5668811.6600000001</v>
      </c>
      <c r="FU46" s="294">
        <v>9627</v>
      </c>
      <c r="FV46" s="294">
        <v>1917597.5</v>
      </c>
      <c r="FW46" s="294">
        <v>4825617.76</v>
      </c>
      <c r="FX46" s="294">
        <v>2403953</v>
      </c>
      <c r="FY46" s="294">
        <v>341284.8</v>
      </c>
      <c r="FZ46" s="294">
        <v>8539742.0999999996</v>
      </c>
      <c r="GA46" s="294">
        <v>6509270.1500000004</v>
      </c>
      <c r="GB46" s="294">
        <v>425050.2</v>
      </c>
      <c r="GC46" s="294">
        <v>1601063</v>
      </c>
      <c r="GD46" s="294">
        <v>5123101</v>
      </c>
      <c r="GE46" s="294"/>
      <c r="GF46" s="294">
        <v>233583.1</v>
      </c>
      <c r="GG46" s="294">
        <v>4715691.62</v>
      </c>
      <c r="GH46" s="294">
        <v>2073463.3</v>
      </c>
      <c r="GI46" s="294">
        <v>5649879.71</v>
      </c>
      <c r="GJ46" s="294">
        <v>4210449.47</v>
      </c>
      <c r="GK46" s="294">
        <v>3824088</v>
      </c>
      <c r="GL46" s="294">
        <v>16950360.640000001</v>
      </c>
      <c r="GM46" s="294">
        <v>6586538.46</v>
      </c>
      <c r="GN46" s="294">
        <v>30705</v>
      </c>
      <c r="GO46" s="294">
        <v>47044.83</v>
      </c>
      <c r="GP46" s="294">
        <v>561350</v>
      </c>
      <c r="GQ46" s="294"/>
      <c r="GR46" s="294">
        <v>32567615.09</v>
      </c>
      <c r="GS46" s="294">
        <v>4424868.79</v>
      </c>
      <c r="GT46" s="294">
        <v>3349264.68</v>
      </c>
      <c r="GU46" s="294">
        <v>1030483.55</v>
      </c>
      <c r="GV46" s="294">
        <v>2542981.9900000002</v>
      </c>
      <c r="GW46" s="294">
        <v>1220425.8400000001</v>
      </c>
      <c r="GX46" s="294">
        <v>511376.83</v>
      </c>
      <c r="GY46" s="294"/>
      <c r="GZ46" s="294"/>
      <c r="HA46" s="294"/>
      <c r="HB46" s="294"/>
      <c r="HC46" s="294"/>
      <c r="HD46" s="294">
        <v>2376459.56</v>
      </c>
      <c r="HE46" s="294">
        <v>7572042.0499999998</v>
      </c>
      <c r="HF46" s="294"/>
      <c r="HG46" s="294"/>
      <c r="HH46" s="294">
        <v>7276945.8899999997</v>
      </c>
      <c r="HI46" s="294"/>
      <c r="HJ46" s="294">
        <v>7447204.0800000001</v>
      </c>
      <c r="HK46" s="294">
        <v>104605</v>
      </c>
      <c r="HL46" s="294">
        <v>813696.04</v>
      </c>
      <c r="HM46" s="294">
        <v>110876</v>
      </c>
      <c r="HN46" s="294">
        <v>13317.33</v>
      </c>
      <c r="HO46" s="294"/>
      <c r="HP46" s="294">
        <v>54253.56</v>
      </c>
      <c r="HQ46" s="294">
        <v>87200</v>
      </c>
      <c r="HR46" s="294"/>
      <c r="HS46" s="294"/>
      <c r="HT46" s="294"/>
      <c r="HU46" s="294"/>
      <c r="HV46" s="294">
        <v>326300.5</v>
      </c>
      <c r="HW46" s="294">
        <v>461835</v>
      </c>
      <c r="HX46" s="294">
        <v>1541256.34</v>
      </c>
      <c r="HY46" s="294">
        <v>233105</v>
      </c>
      <c r="HZ46" s="294">
        <v>217291.62</v>
      </c>
      <c r="IA46" s="294">
        <v>608310.19999999995</v>
      </c>
      <c r="IB46" s="294">
        <v>180022.3</v>
      </c>
      <c r="IC46" s="294">
        <v>674423.65</v>
      </c>
      <c r="ID46" s="294">
        <v>21941.200000000001</v>
      </c>
      <c r="IE46" s="294">
        <v>756553</v>
      </c>
      <c r="IF46" s="294">
        <v>3500</v>
      </c>
      <c r="IG46" s="294">
        <v>30000</v>
      </c>
      <c r="IH46" s="294"/>
      <c r="II46" s="294"/>
      <c r="IJ46" s="294">
        <v>89335</v>
      </c>
      <c r="IK46" s="294">
        <v>179944</v>
      </c>
      <c r="IL46" s="294">
        <v>625651.64</v>
      </c>
      <c r="IM46" s="294">
        <v>14158512.050000001</v>
      </c>
      <c r="IN46" s="294">
        <v>125481</v>
      </c>
      <c r="IO46" s="294">
        <v>27500</v>
      </c>
      <c r="IP46" s="294">
        <v>141540</v>
      </c>
      <c r="IQ46" s="294">
        <v>74480</v>
      </c>
      <c r="IR46" s="294">
        <v>1896030.25</v>
      </c>
      <c r="IS46" s="294"/>
      <c r="IT46" s="294"/>
      <c r="IU46" s="294">
        <v>1000000</v>
      </c>
      <c r="IV46" s="294"/>
      <c r="IW46" s="294">
        <v>20000</v>
      </c>
      <c r="IX46" s="294"/>
      <c r="IY46" s="294"/>
      <c r="IZ46" s="294">
        <v>7000000</v>
      </c>
      <c r="JA46" s="294">
        <v>300000</v>
      </c>
      <c r="JB46" s="294"/>
      <c r="JC46" s="294"/>
      <c r="JD46" s="294"/>
      <c r="JE46" s="294"/>
      <c r="JF46" s="294"/>
      <c r="JG46" s="294">
        <v>1488923.13</v>
      </c>
      <c r="JH46" s="294">
        <v>55666</v>
      </c>
      <c r="JI46" s="294"/>
      <c r="JJ46" s="294">
        <v>94865</v>
      </c>
      <c r="JK46" s="294"/>
      <c r="JL46" s="294"/>
      <c r="JM46" s="294"/>
      <c r="JN46" s="294"/>
      <c r="JO46" s="294"/>
      <c r="JP46" s="294"/>
      <c r="JQ46" s="294"/>
      <c r="JR46" s="294"/>
      <c r="JS46" s="294"/>
      <c r="JT46" s="294">
        <v>274581</v>
      </c>
      <c r="JU46" s="294"/>
      <c r="JV46" s="294">
        <v>724504</v>
      </c>
      <c r="JW46" s="294">
        <v>153400</v>
      </c>
      <c r="JX46" s="294">
        <v>173555</v>
      </c>
      <c r="JY46" s="294">
        <v>392016</v>
      </c>
      <c r="JZ46" s="294"/>
      <c r="KA46" s="294">
        <v>357365</v>
      </c>
      <c r="KB46" s="294"/>
      <c r="KC46" s="294">
        <v>477520</v>
      </c>
      <c r="KD46" s="294"/>
      <c r="KE46" s="294">
        <v>49800</v>
      </c>
      <c r="KF46" s="294">
        <v>190332.75</v>
      </c>
      <c r="KG46" s="294"/>
      <c r="KH46" s="294"/>
      <c r="KI46" s="294"/>
      <c r="KJ46" s="294">
        <v>23264141.5</v>
      </c>
      <c r="KK46" s="294">
        <v>1950856.32</v>
      </c>
      <c r="KL46" s="294">
        <v>21427158.850000001</v>
      </c>
      <c r="KM46" s="294">
        <v>71130000</v>
      </c>
      <c r="KN46" s="294">
        <v>36019341.5</v>
      </c>
      <c r="KO46" s="294">
        <v>3000000</v>
      </c>
      <c r="KP46" s="294"/>
      <c r="KQ46" s="294"/>
      <c r="KR46" s="294"/>
      <c r="KS46" s="294"/>
      <c r="KT46" s="294"/>
      <c r="KU46" s="294"/>
      <c r="KV46" s="294"/>
      <c r="KW46" s="294"/>
      <c r="KX46" s="294"/>
      <c r="KY46" s="294"/>
      <c r="KZ46" s="294"/>
      <c r="LA46" s="294">
        <v>410765.18</v>
      </c>
      <c r="LB46" s="294">
        <v>28000000</v>
      </c>
      <c r="LC46" s="294">
        <v>838189.14</v>
      </c>
      <c r="LD46" s="294"/>
      <c r="LE46" s="294">
        <v>294946</v>
      </c>
      <c r="LF46" s="294">
        <v>0</v>
      </c>
      <c r="LG46" s="294"/>
      <c r="LH46" s="294"/>
      <c r="LI46" s="294"/>
      <c r="LJ46" s="294"/>
      <c r="LK46" s="294">
        <v>521543</v>
      </c>
      <c r="LL46" s="294">
        <v>169875</v>
      </c>
      <c r="LM46" s="294"/>
      <c r="LN46" s="294">
        <v>66810</v>
      </c>
      <c r="LO46" s="294">
        <v>695232</v>
      </c>
      <c r="LP46" s="294">
        <v>163285.5</v>
      </c>
      <c r="LQ46" s="294">
        <v>263530</v>
      </c>
      <c r="LR46" s="294"/>
      <c r="LS46" s="294">
        <v>2818.95</v>
      </c>
      <c r="LT46" s="294"/>
      <c r="LU46" s="294"/>
      <c r="LV46" s="294"/>
      <c r="LW46" s="294"/>
      <c r="LX46" s="294"/>
      <c r="LY46" s="294">
        <v>331379</v>
      </c>
      <c r="LZ46" s="294">
        <v>2577121.5</v>
      </c>
      <c r="MA46" s="294">
        <v>801552.1</v>
      </c>
      <c r="MB46" s="294"/>
      <c r="MC46" s="294">
        <v>421034.5</v>
      </c>
      <c r="MD46" s="294">
        <v>1683982</v>
      </c>
      <c r="ME46" s="294">
        <v>6493803</v>
      </c>
      <c r="MF46" s="294">
        <v>549341.6</v>
      </c>
      <c r="MG46" s="294"/>
      <c r="MH46" s="294"/>
      <c r="MI46" s="294">
        <v>100365</v>
      </c>
      <c r="MJ46" s="294"/>
      <c r="MK46" s="294">
        <v>178655</v>
      </c>
      <c r="ML46" s="294">
        <v>466472</v>
      </c>
      <c r="MM46" s="294"/>
      <c r="MN46" s="294">
        <v>267069.59999999998</v>
      </c>
      <c r="MO46" s="294">
        <v>161405.9</v>
      </c>
      <c r="MP46" s="294">
        <v>278875</v>
      </c>
      <c r="MQ46" s="294">
        <v>800000</v>
      </c>
      <c r="MR46" s="294">
        <v>2728973.5</v>
      </c>
      <c r="MS46" s="294"/>
      <c r="MT46" s="294">
        <v>5151722</v>
      </c>
      <c r="MU46" s="294">
        <v>19458480.670000002</v>
      </c>
      <c r="MV46" s="294">
        <v>867306</v>
      </c>
      <c r="MW46" s="294">
        <v>35020234.649999999</v>
      </c>
      <c r="MX46" s="294">
        <v>1753731</v>
      </c>
      <c r="MY46" s="294">
        <v>50061391.609999999</v>
      </c>
      <c r="MZ46" s="294">
        <v>3999047.87</v>
      </c>
      <c r="NA46" s="294">
        <v>4947328.95</v>
      </c>
      <c r="NB46" s="294">
        <v>5661000</v>
      </c>
      <c r="NC46" s="294">
        <v>1233946</v>
      </c>
      <c r="ND46" s="294"/>
      <c r="NE46" s="294">
        <v>12604254.23</v>
      </c>
      <c r="NF46" s="294">
        <v>1008903.91</v>
      </c>
      <c r="NG46" s="294"/>
      <c r="NH46" s="294">
        <v>110048</v>
      </c>
      <c r="NI46" s="294">
        <v>11351136.550000001</v>
      </c>
      <c r="NJ46" s="294">
        <v>23174094.850000001</v>
      </c>
      <c r="NK46" s="294">
        <v>4945071.43</v>
      </c>
      <c r="NL46" s="294">
        <v>3977256.3</v>
      </c>
      <c r="NM46" s="294">
        <v>7270537.54</v>
      </c>
      <c r="NN46" s="294">
        <v>1581947.08</v>
      </c>
      <c r="NO46" s="294">
        <v>188017</v>
      </c>
      <c r="NP46" s="294"/>
      <c r="NQ46" s="294"/>
      <c r="NR46" s="294"/>
      <c r="NS46" s="294"/>
      <c r="NT46" s="294"/>
      <c r="NU46" s="294"/>
      <c r="NV46" s="294"/>
      <c r="NW46" s="294"/>
      <c r="NX46" s="294">
        <v>750837.25</v>
      </c>
      <c r="NY46" s="294"/>
      <c r="NZ46" s="294"/>
      <c r="OA46" s="294"/>
      <c r="OB46" s="294"/>
      <c r="OC46" s="294"/>
      <c r="OD46" s="294"/>
      <c r="OE46" s="294"/>
      <c r="OF46" s="294">
        <v>4304706.9800000004</v>
      </c>
      <c r="OG46" s="294"/>
      <c r="OH46" s="294"/>
      <c r="OI46" s="294">
        <v>2846157</v>
      </c>
      <c r="OJ46" s="294"/>
      <c r="OK46" s="294">
        <v>721978.75</v>
      </c>
      <c r="OL46" s="294">
        <v>131494.70000000001</v>
      </c>
      <c r="OM46" s="294"/>
      <c r="ON46" s="294">
        <v>2000000</v>
      </c>
      <c r="OO46" s="294">
        <v>16860017.789999999</v>
      </c>
      <c r="OP46" s="294">
        <v>2000000</v>
      </c>
      <c r="OQ46" s="294">
        <v>1269803.3500000001</v>
      </c>
      <c r="OR46" s="294">
        <v>339354.58</v>
      </c>
      <c r="OS46" s="294"/>
      <c r="OT46" s="294"/>
      <c r="OU46" s="294">
        <v>605596.42000000004</v>
      </c>
      <c r="OV46" s="294"/>
      <c r="OW46" s="294">
        <v>126727</v>
      </c>
      <c r="OX46" s="294"/>
      <c r="OY46" s="294">
        <v>374136.95</v>
      </c>
      <c r="OZ46" s="294">
        <v>485337.65</v>
      </c>
      <c r="PA46" s="294"/>
      <c r="PB46" s="294"/>
      <c r="PC46" s="294"/>
      <c r="PD46" s="294">
        <v>127181</v>
      </c>
      <c r="PE46" s="294">
        <v>35000</v>
      </c>
      <c r="PF46" s="294">
        <v>524795</v>
      </c>
      <c r="PG46" s="294">
        <v>317155</v>
      </c>
      <c r="PH46" s="294">
        <v>191378</v>
      </c>
      <c r="PI46" s="294">
        <v>82580</v>
      </c>
      <c r="PJ46" s="294">
        <v>257676.73</v>
      </c>
      <c r="PK46" s="294">
        <v>150445</v>
      </c>
      <c r="PL46" s="294">
        <v>558916.96</v>
      </c>
      <c r="PM46" s="294">
        <v>774507.78</v>
      </c>
      <c r="PN46" s="294">
        <v>108040</v>
      </c>
      <c r="PO46" s="294">
        <v>1027528.36</v>
      </c>
      <c r="PP46" s="294">
        <v>390571</v>
      </c>
      <c r="PQ46" s="294">
        <v>266515.84999999998</v>
      </c>
      <c r="PR46" s="294">
        <v>167934</v>
      </c>
      <c r="PS46" s="294">
        <v>241808.5</v>
      </c>
      <c r="PT46" s="294"/>
      <c r="PU46" s="294"/>
      <c r="PV46" s="294"/>
      <c r="PW46" s="294"/>
      <c r="PX46" s="294"/>
      <c r="PY46" s="294"/>
      <c r="PZ46" s="294">
        <v>1200000</v>
      </c>
      <c r="QA46" s="294"/>
      <c r="QB46" s="294">
        <v>49900</v>
      </c>
      <c r="QC46" s="294"/>
      <c r="QD46" s="294">
        <v>48650</v>
      </c>
      <c r="QE46" s="294">
        <v>8025</v>
      </c>
      <c r="QF46" s="294">
        <v>351040</v>
      </c>
      <c r="QG46" s="294">
        <v>32500</v>
      </c>
      <c r="QH46" s="294"/>
      <c r="QI46" s="294"/>
      <c r="QJ46" s="294"/>
      <c r="QK46" s="294"/>
      <c r="QL46" s="294"/>
      <c r="QM46" s="294">
        <v>961132.24</v>
      </c>
      <c r="QN46" s="294"/>
      <c r="QO46" s="294"/>
      <c r="QP46" s="294"/>
      <c r="QQ46" s="294">
        <v>32665</v>
      </c>
      <c r="QR46" s="294"/>
      <c r="QS46" s="294"/>
      <c r="QT46" s="294"/>
      <c r="QU46" s="294">
        <v>272340</v>
      </c>
      <c r="QV46" s="294">
        <v>1311200</v>
      </c>
      <c r="QW46" s="294">
        <v>321553</v>
      </c>
      <c r="QX46" s="294">
        <v>120200</v>
      </c>
      <c r="QY46" s="294">
        <v>600000</v>
      </c>
      <c r="QZ46" s="294">
        <v>200000</v>
      </c>
      <c r="RA46" s="294"/>
      <c r="RB46" s="294"/>
      <c r="RC46" s="294">
        <v>101708.5</v>
      </c>
      <c r="RD46" s="294">
        <v>143961.79999999999</v>
      </c>
      <c r="RE46" s="294">
        <v>186250</v>
      </c>
      <c r="RF46" s="294">
        <v>168950</v>
      </c>
      <c r="RG46" s="294"/>
      <c r="RH46" s="294">
        <v>737990</v>
      </c>
      <c r="RI46" s="294">
        <v>56750</v>
      </c>
      <c r="RJ46" s="294">
        <v>206875</v>
      </c>
      <c r="RK46" s="294">
        <v>199720</v>
      </c>
      <c r="RL46" s="294">
        <v>83825</v>
      </c>
      <c r="RM46" s="294"/>
      <c r="RN46" s="294">
        <v>209310</v>
      </c>
      <c r="RO46" s="294"/>
      <c r="RP46" s="294">
        <v>1267480.94</v>
      </c>
      <c r="RQ46" s="294">
        <v>1746970.25</v>
      </c>
      <c r="RR46" s="294">
        <v>41384</v>
      </c>
      <c r="RS46" s="294">
        <v>170490</v>
      </c>
      <c r="RT46" s="294">
        <v>88650</v>
      </c>
      <c r="RU46" s="294">
        <v>280054.5</v>
      </c>
      <c r="RV46" s="294"/>
      <c r="RW46" s="294">
        <v>306783</v>
      </c>
      <c r="RX46" s="294">
        <v>104300</v>
      </c>
      <c r="RY46" s="294">
        <v>94530</v>
      </c>
      <c r="RZ46" s="294"/>
      <c r="SA46" s="294"/>
      <c r="SB46" s="294">
        <v>214036</v>
      </c>
      <c r="SC46" s="294">
        <v>17000</v>
      </c>
      <c r="SD46" s="294">
        <v>0</v>
      </c>
      <c r="SE46" s="294"/>
      <c r="SF46" s="294"/>
      <c r="SG46" s="294"/>
      <c r="SH46" s="294">
        <v>53605</v>
      </c>
      <c r="SI46" s="294">
        <v>216813</v>
      </c>
      <c r="SJ46" s="294">
        <v>224305</v>
      </c>
      <c r="SK46" s="294">
        <v>165225</v>
      </c>
      <c r="SL46" s="294">
        <v>29950</v>
      </c>
      <c r="SM46" s="294"/>
      <c r="SN46" s="294">
        <v>421531.05</v>
      </c>
      <c r="SO46" s="294">
        <v>694327.1</v>
      </c>
      <c r="SP46" s="294">
        <v>493650.35</v>
      </c>
      <c r="SQ46" s="294">
        <v>310312.95</v>
      </c>
      <c r="SR46" s="294">
        <v>442279.95</v>
      </c>
      <c r="SS46" s="294">
        <v>106109</v>
      </c>
      <c r="ST46" s="294">
        <v>174880.1</v>
      </c>
      <c r="SU46" s="294"/>
      <c r="SV46" s="294">
        <v>219175</v>
      </c>
      <c r="SW46" s="294">
        <v>240212</v>
      </c>
      <c r="SX46" s="294">
        <v>194975</v>
      </c>
      <c r="SY46" s="294">
        <v>49865</v>
      </c>
      <c r="SZ46" s="294">
        <v>106705</v>
      </c>
      <c r="TA46" s="294">
        <v>175345</v>
      </c>
      <c r="TB46" s="294">
        <v>304230.5</v>
      </c>
      <c r="TC46" s="294">
        <v>126970</v>
      </c>
      <c r="TD46" s="294">
        <v>179294.5</v>
      </c>
      <c r="TE46" s="294">
        <v>74941</v>
      </c>
      <c r="TF46" s="294">
        <v>496715.5</v>
      </c>
      <c r="TG46" s="294">
        <v>150650</v>
      </c>
      <c r="TH46" s="294">
        <v>90925</v>
      </c>
      <c r="TI46" s="294"/>
      <c r="TJ46" s="294">
        <v>77425</v>
      </c>
      <c r="TK46" s="294">
        <v>104266</v>
      </c>
      <c r="TL46" s="294">
        <v>279411</v>
      </c>
      <c r="TM46" s="294">
        <v>141030</v>
      </c>
      <c r="TN46" s="294">
        <v>98995</v>
      </c>
      <c r="TO46" s="294">
        <v>129348</v>
      </c>
      <c r="TP46" s="294"/>
      <c r="TQ46" s="294">
        <v>159280</v>
      </c>
      <c r="TR46" s="294">
        <v>333231</v>
      </c>
      <c r="TS46" s="294">
        <v>361403</v>
      </c>
      <c r="TT46" s="294">
        <v>96911</v>
      </c>
      <c r="TU46" s="294">
        <v>57665</v>
      </c>
      <c r="TV46" s="294">
        <v>60900</v>
      </c>
      <c r="TW46" s="294">
        <v>236161.6</v>
      </c>
      <c r="TX46" s="294">
        <v>209638.5</v>
      </c>
      <c r="TY46" s="294"/>
      <c r="TZ46" s="294">
        <v>193807</v>
      </c>
      <c r="UA46" s="294"/>
      <c r="UB46" s="294">
        <v>488064</v>
      </c>
      <c r="UC46" s="294">
        <v>103175</v>
      </c>
      <c r="UD46" s="294">
        <v>118888.55</v>
      </c>
      <c r="UE46" s="294">
        <v>3018300.32</v>
      </c>
      <c r="UF46" s="294">
        <v>106703</v>
      </c>
      <c r="UG46" s="294"/>
      <c r="UH46" s="294">
        <v>107689</v>
      </c>
      <c r="UI46" s="294">
        <v>309678</v>
      </c>
      <c r="UJ46" s="294"/>
      <c r="UK46" s="294">
        <v>99540</v>
      </c>
      <c r="UL46" s="294">
        <v>293282.15000000002</v>
      </c>
      <c r="UM46" s="294">
        <v>84760.2</v>
      </c>
      <c r="UN46" s="294">
        <v>177726</v>
      </c>
      <c r="UO46" s="294">
        <v>202336</v>
      </c>
      <c r="UP46" s="294"/>
      <c r="UQ46" s="294">
        <v>336400</v>
      </c>
      <c r="UR46" s="294"/>
      <c r="US46" s="294">
        <v>1032512.37</v>
      </c>
      <c r="UT46" s="294"/>
      <c r="UU46" s="294">
        <v>71435</v>
      </c>
      <c r="UV46" s="294">
        <v>414782</v>
      </c>
      <c r="UW46" s="294">
        <v>21000</v>
      </c>
      <c r="UX46" s="294">
        <v>722855.25</v>
      </c>
      <c r="UY46" s="294">
        <v>260590.7</v>
      </c>
      <c r="UZ46" s="294">
        <v>132680</v>
      </c>
      <c r="VA46" s="294">
        <v>185000</v>
      </c>
      <c r="VB46" s="294">
        <v>340381.93</v>
      </c>
      <c r="VC46" s="294"/>
      <c r="VD46" s="294">
        <v>178966.55</v>
      </c>
      <c r="VE46" s="294">
        <v>124386</v>
      </c>
      <c r="VF46" s="294"/>
      <c r="VG46" s="294">
        <v>73752.399999999994</v>
      </c>
      <c r="VH46" s="294">
        <v>674346</v>
      </c>
      <c r="VI46" s="294">
        <v>186150</v>
      </c>
      <c r="VJ46" s="294">
        <v>156069.78</v>
      </c>
      <c r="VK46" s="294"/>
      <c r="VL46" s="294"/>
      <c r="VM46" s="294"/>
      <c r="VN46" s="294">
        <v>149630</v>
      </c>
      <c r="VO46" s="294">
        <v>300000</v>
      </c>
      <c r="VP46" s="294">
        <v>187170</v>
      </c>
      <c r="VQ46" s="294">
        <v>248901</v>
      </c>
      <c r="VR46" s="294">
        <v>502172.98</v>
      </c>
      <c r="VS46" s="294">
        <v>176325</v>
      </c>
      <c r="VT46" s="294"/>
      <c r="VU46" s="294">
        <v>4369677.3</v>
      </c>
      <c r="VV46" s="294">
        <v>1000000</v>
      </c>
      <c r="VW46" s="294">
        <v>10048859.050000001</v>
      </c>
      <c r="VX46" s="294"/>
      <c r="VY46" s="294"/>
      <c r="VZ46" s="294"/>
      <c r="WA46" s="294"/>
      <c r="WB46" s="294">
        <v>3602244.7</v>
      </c>
      <c r="WC46" s="294">
        <v>12000000</v>
      </c>
      <c r="WD46" s="294">
        <v>9100000</v>
      </c>
      <c r="WE46" s="294">
        <v>1273058.3</v>
      </c>
      <c r="WF46" s="294">
        <v>2531360.7999999998</v>
      </c>
      <c r="WG46" s="294">
        <v>2772033</v>
      </c>
      <c r="WH46" s="294">
        <v>291870</v>
      </c>
      <c r="WI46" s="294">
        <v>1199707.32</v>
      </c>
      <c r="WJ46" s="294">
        <v>2128373</v>
      </c>
      <c r="WK46" s="294">
        <v>249510</v>
      </c>
      <c r="WL46" s="294">
        <v>2755920</v>
      </c>
      <c r="WM46" s="294">
        <v>1024500</v>
      </c>
      <c r="WN46" s="294">
        <v>751410.5</v>
      </c>
      <c r="WO46" s="294"/>
      <c r="WP46" s="294">
        <v>3210000</v>
      </c>
      <c r="WQ46" s="294">
        <v>4606422.92</v>
      </c>
      <c r="WR46" s="294">
        <v>1431789.58</v>
      </c>
      <c r="WS46" s="294"/>
      <c r="WT46" s="294">
        <v>42933674.5</v>
      </c>
      <c r="WU46" s="294">
        <v>57286686.030000001</v>
      </c>
      <c r="WV46" s="294">
        <v>500000</v>
      </c>
      <c r="WW46" s="294">
        <v>15800</v>
      </c>
      <c r="WX46" s="294">
        <v>208534.3</v>
      </c>
      <c r="WY46" s="294">
        <v>3600000</v>
      </c>
      <c r="WZ46" s="294">
        <v>1679491.57</v>
      </c>
      <c r="XA46" s="294">
        <v>2522470</v>
      </c>
      <c r="XB46" s="294">
        <v>661315</v>
      </c>
      <c r="XC46" s="294">
        <v>12456913.050000001</v>
      </c>
      <c r="XD46" s="294">
        <v>330005</v>
      </c>
      <c r="XE46" s="294">
        <v>314192</v>
      </c>
      <c r="XF46" s="294">
        <v>200000</v>
      </c>
      <c r="XG46" s="294">
        <v>326456.31</v>
      </c>
      <c r="XH46" s="294"/>
      <c r="XI46" s="294">
        <v>7185738.6500000004</v>
      </c>
      <c r="XJ46" s="294">
        <v>2375117.5</v>
      </c>
      <c r="XK46" s="294"/>
      <c r="XL46" s="294">
        <v>6753630.3799999999</v>
      </c>
      <c r="XM46" s="294">
        <v>1715577</v>
      </c>
      <c r="XN46" s="294">
        <v>1107460</v>
      </c>
      <c r="XO46" s="294">
        <v>5465750</v>
      </c>
      <c r="XP46" s="294">
        <v>1021520</v>
      </c>
      <c r="XQ46" s="294">
        <v>2263056.75</v>
      </c>
      <c r="XR46" s="294">
        <v>969863.95</v>
      </c>
      <c r="XS46" s="294">
        <v>1861800.25</v>
      </c>
      <c r="XT46" s="294">
        <v>756678</v>
      </c>
      <c r="XU46" s="294">
        <v>990960.9</v>
      </c>
      <c r="XV46" s="294">
        <v>1858200</v>
      </c>
      <c r="XW46" s="294">
        <v>1086156</v>
      </c>
      <c r="XX46" s="294">
        <v>2289553</v>
      </c>
      <c r="XY46" s="294">
        <v>1548417.75</v>
      </c>
      <c r="XZ46" s="294"/>
      <c r="YA46" s="294">
        <v>1667495.2</v>
      </c>
      <c r="YB46" s="294">
        <v>1632475</v>
      </c>
      <c r="YC46" s="294">
        <v>987714.95</v>
      </c>
      <c r="YD46" s="294">
        <v>1918265</v>
      </c>
      <c r="YE46" s="294"/>
      <c r="YF46" s="294">
        <v>523665</v>
      </c>
      <c r="YG46" s="294">
        <v>203790</v>
      </c>
      <c r="YH46" s="294">
        <v>591095</v>
      </c>
      <c r="YI46" s="294">
        <v>3562397.9</v>
      </c>
      <c r="YJ46" s="294">
        <v>935692.2</v>
      </c>
      <c r="YK46" s="294">
        <v>129480</v>
      </c>
      <c r="YL46" s="294">
        <v>110000</v>
      </c>
      <c r="YM46" s="294">
        <v>1252763.7</v>
      </c>
      <c r="YN46" s="294">
        <v>1118069.33</v>
      </c>
      <c r="YO46" s="294">
        <v>303350</v>
      </c>
      <c r="YP46" s="294">
        <v>1000000</v>
      </c>
      <c r="YQ46" s="294">
        <v>132090</v>
      </c>
      <c r="YR46" s="294">
        <v>130000</v>
      </c>
      <c r="YS46" s="294">
        <v>44315</v>
      </c>
      <c r="YT46" s="294">
        <v>100000</v>
      </c>
      <c r="YU46" s="294">
        <v>336700</v>
      </c>
      <c r="YV46" s="294"/>
      <c r="YW46" s="294">
        <v>4251278</v>
      </c>
      <c r="YX46" s="294">
        <v>815777</v>
      </c>
      <c r="YY46" s="294">
        <v>210700</v>
      </c>
      <c r="YZ46" s="294">
        <v>166045</v>
      </c>
      <c r="ZA46" s="294">
        <v>93256</v>
      </c>
      <c r="ZB46" s="294"/>
      <c r="ZC46" s="294"/>
      <c r="ZD46" s="294">
        <v>43265</v>
      </c>
      <c r="ZE46" s="294">
        <v>558050</v>
      </c>
      <c r="ZF46" s="294">
        <v>293505</v>
      </c>
      <c r="ZG46" s="294">
        <v>49650</v>
      </c>
      <c r="ZH46" s="294">
        <v>213660</v>
      </c>
      <c r="ZI46" s="294">
        <v>186835</v>
      </c>
      <c r="ZJ46" s="294">
        <v>166000</v>
      </c>
      <c r="ZK46" s="294">
        <v>155728</v>
      </c>
      <c r="ZL46" s="294"/>
      <c r="ZM46" s="294">
        <v>1083222</v>
      </c>
      <c r="ZN46" s="294">
        <v>180000</v>
      </c>
      <c r="ZO46" s="294">
        <v>0</v>
      </c>
      <c r="ZP46" s="294">
        <v>3034926.7</v>
      </c>
      <c r="ZQ46" s="294">
        <v>1308589.2</v>
      </c>
      <c r="ZR46" s="294">
        <v>551196.94999999995</v>
      </c>
      <c r="ZS46" s="294">
        <v>1841546.2</v>
      </c>
      <c r="ZT46" s="294">
        <v>82140719.290000007</v>
      </c>
      <c r="ZU46" s="294">
        <v>1457820.25</v>
      </c>
      <c r="ZV46" s="294">
        <v>1052437</v>
      </c>
      <c r="ZW46" s="294">
        <v>8584052</v>
      </c>
      <c r="ZX46" s="294">
        <v>1476157.25</v>
      </c>
      <c r="ZY46" s="294">
        <v>1964325.47</v>
      </c>
      <c r="ZZ46" s="294">
        <v>586702</v>
      </c>
      <c r="AAA46" s="294">
        <v>2194676.7000000002</v>
      </c>
      <c r="AAB46" s="294"/>
      <c r="AAC46" s="294">
        <v>300000</v>
      </c>
      <c r="AAD46" s="294">
        <v>278310</v>
      </c>
      <c r="AAE46" s="294">
        <v>1192823</v>
      </c>
      <c r="AAF46" s="294">
        <v>20000</v>
      </c>
      <c r="AAG46" s="294">
        <v>122375</v>
      </c>
      <c r="AAH46" s="294"/>
      <c r="AAI46" s="294">
        <v>299057.8</v>
      </c>
      <c r="AAJ46" s="294">
        <v>775580.25</v>
      </c>
      <c r="AAK46" s="294">
        <v>263478</v>
      </c>
      <c r="AAL46" s="294">
        <v>185291</v>
      </c>
      <c r="AAM46" s="294">
        <v>614615.25</v>
      </c>
      <c r="AAN46" s="294">
        <v>513225.75</v>
      </c>
      <c r="AAO46" s="294"/>
      <c r="AAP46" s="294">
        <v>398800</v>
      </c>
      <c r="AAQ46" s="294">
        <v>984450</v>
      </c>
      <c r="AAR46" s="294">
        <v>70900</v>
      </c>
      <c r="AAS46" s="294">
        <v>496619</v>
      </c>
      <c r="AAT46" s="294">
        <v>262721</v>
      </c>
      <c r="AAU46" s="294">
        <v>671072</v>
      </c>
      <c r="AAV46" s="294">
        <v>1837278.8</v>
      </c>
      <c r="AAW46" s="294">
        <v>3740914</v>
      </c>
      <c r="AAX46" s="294">
        <v>1568450.41</v>
      </c>
      <c r="AAY46" s="294">
        <v>1413687</v>
      </c>
      <c r="AAZ46" s="294"/>
      <c r="ABA46" s="294">
        <v>271600</v>
      </c>
      <c r="ABB46" s="294">
        <v>366376</v>
      </c>
      <c r="ABC46" s="294">
        <v>621162.4</v>
      </c>
      <c r="ABD46" s="294"/>
      <c r="ABE46" s="294"/>
      <c r="ABF46" s="294"/>
      <c r="ABG46" s="294"/>
      <c r="ABH46" s="294"/>
      <c r="ABI46" s="294"/>
      <c r="ABJ46" s="294">
        <v>744486.91</v>
      </c>
      <c r="ABK46" s="294">
        <v>455408</v>
      </c>
      <c r="ABL46" s="294">
        <v>362085</v>
      </c>
      <c r="ABM46" s="294">
        <v>473662.48</v>
      </c>
      <c r="ABN46" s="294">
        <v>407611.5</v>
      </c>
      <c r="ABO46" s="294"/>
      <c r="ABP46" s="294">
        <v>664578.94999999995</v>
      </c>
      <c r="ABQ46" s="294">
        <v>223305</v>
      </c>
      <c r="ABR46" s="294">
        <v>3712713.23</v>
      </c>
      <c r="ABS46" s="294">
        <v>438315.17</v>
      </c>
      <c r="ABT46" s="294">
        <v>277342</v>
      </c>
      <c r="ABU46" s="294">
        <v>185892</v>
      </c>
      <c r="ABV46" s="294">
        <v>306306</v>
      </c>
      <c r="ABW46" s="294">
        <v>50740</v>
      </c>
      <c r="ABX46" s="294"/>
      <c r="ABY46" s="294">
        <v>2079775</v>
      </c>
      <c r="ABZ46" s="294">
        <v>843402.81</v>
      </c>
      <c r="ACA46" s="294">
        <v>514363.86</v>
      </c>
      <c r="ACB46" s="294">
        <v>274346</v>
      </c>
      <c r="ACC46" s="294">
        <v>1516965</v>
      </c>
      <c r="ACD46" s="294">
        <v>21450</v>
      </c>
      <c r="ACE46" s="294">
        <v>621342.19999999995</v>
      </c>
      <c r="ACF46" s="294">
        <v>349703</v>
      </c>
      <c r="ACG46" s="294">
        <v>881025.9</v>
      </c>
      <c r="ACH46" s="294">
        <v>74207.5</v>
      </c>
      <c r="ACI46" s="294"/>
      <c r="ACJ46" s="294">
        <v>162240</v>
      </c>
      <c r="ACK46" s="294">
        <v>294065.13</v>
      </c>
      <c r="ACL46" s="294">
        <v>25554</v>
      </c>
      <c r="ACM46" s="294"/>
      <c r="ACN46" s="294">
        <v>213525</v>
      </c>
      <c r="ACO46" s="294"/>
      <c r="ACP46" s="294">
        <v>6807406.2000000002</v>
      </c>
      <c r="ACQ46" s="294"/>
      <c r="ACR46" s="294">
        <v>184150</v>
      </c>
      <c r="ACS46" s="294"/>
      <c r="ACT46" s="294">
        <v>172983.5</v>
      </c>
      <c r="ACU46" s="294"/>
      <c r="ACV46" s="294"/>
      <c r="ACW46" s="294">
        <v>314139</v>
      </c>
      <c r="ACX46" s="294">
        <v>172267.5</v>
      </c>
      <c r="ACY46" s="294"/>
      <c r="ACZ46" s="294">
        <v>305792.5</v>
      </c>
      <c r="ADA46" s="294">
        <v>117668</v>
      </c>
      <c r="ADB46" s="294"/>
      <c r="ADC46" s="294">
        <v>412119</v>
      </c>
      <c r="ADD46" s="294">
        <v>292075</v>
      </c>
      <c r="ADE46" s="294">
        <v>554565.03</v>
      </c>
      <c r="ADF46" s="294"/>
      <c r="ADG46" s="294"/>
      <c r="ADH46" s="294"/>
      <c r="ADI46" s="294">
        <v>149700</v>
      </c>
      <c r="ADJ46" s="294">
        <v>180010</v>
      </c>
      <c r="ADK46" s="294"/>
      <c r="ADL46" s="294">
        <v>15800</v>
      </c>
      <c r="ADM46" s="294">
        <v>133200</v>
      </c>
      <c r="ADN46" s="294"/>
      <c r="ADO46" s="294"/>
      <c r="ADP46" s="294">
        <v>33650</v>
      </c>
      <c r="ADQ46" s="294">
        <v>1136497.78</v>
      </c>
      <c r="ADR46" s="294"/>
      <c r="ADS46" s="294"/>
      <c r="ADT46" s="294">
        <v>168119.5</v>
      </c>
      <c r="ADU46" s="294">
        <v>264507</v>
      </c>
      <c r="ADV46" s="294">
        <v>211925.07</v>
      </c>
      <c r="ADW46" s="294">
        <v>287384.5</v>
      </c>
      <c r="ADX46" s="294"/>
      <c r="ADY46" s="294"/>
      <c r="ADZ46" s="294"/>
      <c r="AEA46" s="294">
        <v>1039075.75</v>
      </c>
      <c r="AEB46" s="294">
        <v>191597.5</v>
      </c>
      <c r="AEC46" s="294"/>
      <c r="AED46" s="294">
        <v>419422.5</v>
      </c>
      <c r="AEE46" s="294">
        <v>134515</v>
      </c>
      <c r="AEF46" s="294">
        <v>738155.5</v>
      </c>
      <c r="AEG46" s="294">
        <v>198322.95</v>
      </c>
      <c r="AEH46" s="294">
        <v>360461.62</v>
      </c>
      <c r="AEI46" s="294">
        <v>406830.64</v>
      </c>
      <c r="AEJ46" s="294">
        <v>436851</v>
      </c>
      <c r="AEK46" s="294">
        <v>45372.6</v>
      </c>
      <c r="AEL46" s="294">
        <v>550487.56999999995</v>
      </c>
      <c r="AEM46" s="294">
        <v>415360.75</v>
      </c>
      <c r="AEN46" s="294">
        <v>412600</v>
      </c>
      <c r="AEO46" s="294">
        <v>136585</v>
      </c>
      <c r="AEP46" s="294">
        <v>1252428</v>
      </c>
      <c r="AEQ46" s="294">
        <v>161210</v>
      </c>
      <c r="AER46" s="294">
        <v>775118.22</v>
      </c>
      <c r="AES46" s="294"/>
      <c r="AET46" s="294">
        <v>1721900.6</v>
      </c>
      <c r="AEU46" s="294">
        <v>1509855.46</v>
      </c>
      <c r="AEV46" s="294"/>
      <c r="AEW46" s="294">
        <v>1654702.04</v>
      </c>
      <c r="AEX46" s="294">
        <v>7921742.7699999996</v>
      </c>
      <c r="AEY46" s="294">
        <v>478590.3</v>
      </c>
      <c r="AEZ46" s="294">
        <v>389809.6</v>
      </c>
      <c r="AFA46" s="294">
        <v>297619.34999999998</v>
      </c>
      <c r="AFB46" s="294">
        <v>544444.25</v>
      </c>
      <c r="AFC46" s="294">
        <v>0</v>
      </c>
      <c r="AFD46" s="294"/>
      <c r="AFE46" s="294">
        <v>655930</v>
      </c>
      <c r="AFF46" s="294">
        <v>719531.55</v>
      </c>
      <c r="AFG46" s="294">
        <v>2405381.1</v>
      </c>
      <c r="AFH46" s="294">
        <v>2446279.7000000002</v>
      </c>
      <c r="AFI46" s="294">
        <v>1331913.3999999999</v>
      </c>
      <c r="AFJ46" s="294">
        <v>306370</v>
      </c>
      <c r="AFK46" s="294">
        <v>358103.6</v>
      </c>
      <c r="AFL46" s="294">
        <v>3845642.82</v>
      </c>
      <c r="AFM46" s="294">
        <v>1200864.3</v>
      </c>
      <c r="AFN46" s="294">
        <v>916805.1</v>
      </c>
      <c r="AFO46" s="294">
        <v>484411</v>
      </c>
      <c r="AFP46" s="294"/>
      <c r="AFQ46" s="294">
        <v>400000</v>
      </c>
      <c r="AFR46" s="294">
        <v>100000</v>
      </c>
      <c r="AFS46" s="294">
        <v>160000</v>
      </c>
      <c r="AFT46" s="294">
        <v>3026619.0300000003</v>
      </c>
      <c r="AFU46" s="294">
        <v>200000</v>
      </c>
      <c r="AFV46" s="294">
        <v>50000</v>
      </c>
      <c r="AFW46" s="294">
        <v>200000</v>
      </c>
      <c r="AFX46" s="294">
        <v>3164966.52</v>
      </c>
      <c r="AFY46" s="294">
        <v>60000</v>
      </c>
      <c r="AFZ46" s="294">
        <v>1802446.5</v>
      </c>
      <c r="AGA46" s="294">
        <v>796597</v>
      </c>
      <c r="AGB46" s="294"/>
      <c r="AGC46" s="294">
        <v>651085.19999999995</v>
      </c>
      <c r="AGD46" s="294">
        <v>2062398.4</v>
      </c>
      <c r="AGE46" s="294">
        <v>534340.9</v>
      </c>
      <c r="AGF46" s="294">
        <v>1562874.65</v>
      </c>
      <c r="AGG46" s="294">
        <v>879484.8</v>
      </c>
      <c r="AGH46" s="294">
        <v>61205</v>
      </c>
      <c r="AGI46" s="294">
        <v>166471.5</v>
      </c>
      <c r="AGJ46" s="294">
        <v>664561.4</v>
      </c>
      <c r="AGK46" s="294">
        <v>2100900</v>
      </c>
      <c r="AGL46" s="294">
        <v>317085</v>
      </c>
      <c r="AGM46" s="294"/>
      <c r="AGN46" s="294"/>
      <c r="AGO46" s="294">
        <v>838883.4</v>
      </c>
      <c r="AGP46" s="294">
        <v>193072.6</v>
      </c>
      <c r="AGQ46" s="294">
        <v>42720.95</v>
      </c>
      <c r="AGR46" s="294">
        <v>930190.74</v>
      </c>
      <c r="AGS46" s="294">
        <v>54020.6</v>
      </c>
      <c r="AGT46" s="294">
        <v>469763</v>
      </c>
      <c r="AGU46" s="294"/>
      <c r="AGV46" s="294"/>
      <c r="AGW46" s="294">
        <v>515565.3</v>
      </c>
      <c r="AGX46" s="294">
        <v>788718.5</v>
      </c>
      <c r="AGY46" s="294">
        <v>502625</v>
      </c>
      <c r="AGZ46" s="294">
        <v>654353.94999999995</v>
      </c>
      <c r="AHA46" s="294">
        <v>936698.3</v>
      </c>
      <c r="AHB46" s="294">
        <v>733841</v>
      </c>
      <c r="AHC46" s="294">
        <v>252320</v>
      </c>
      <c r="AHD46" s="294">
        <v>3012244</v>
      </c>
      <c r="AHE46" s="294">
        <v>146909.5</v>
      </c>
      <c r="AHF46" s="294">
        <v>167122</v>
      </c>
      <c r="AHG46" s="294"/>
      <c r="AHH46" s="294">
        <v>114800</v>
      </c>
      <c r="AHI46" s="294">
        <v>405358</v>
      </c>
      <c r="AHJ46" s="294">
        <v>291367</v>
      </c>
      <c r="AHK46" s="294">
        <v>392352</v>
      </c>
      <c r="AHL46" s="294"/>
      <c r="AHM46" s="294">
        <v>434962</v>
      </c>
      <c r="AHN46" s="294">
        <v>749796</v>
      </c>
      <c r="AHO46" s="294">
        <v>382426.95</v>
      </c>
      <c r="AHP46" s="294">
        <v>1735041</v>
      </c>
      <c r="AHQ46" s="294">
        <v>1051700.6100000001</v>
      </c>
      <c r="AHR46" s="331">
        <v>529947.5</v>
      </c>
      <c r="AHS46" s="294">
        <f t="shared" si="35"/>
        <v>1300963696.5500002</v>
      </c>
    </row>
    <row r="47" spans="1:905" ht="24.6" x14ac:dyDescent="0.7">
      <c r="B47" s="268" t="s">
        <v>6041</v>
      </c>
      <c r="C47" s="269" t="s">
        <v>6042</v>
      </c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>
        <v>1394927.65</v>
      </c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>
        <v>2358284.1</v>
      </c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>
        <v>1061785</v>
      </c>
      <c r="DE47" s="294"/>
      <c r="DF47" s="294"/>
      <c r="DG47" s="294"/>
      <c r="DH47" s="294"/>
      <c r="DI47" s="294"/>
      <c r="DJ47" s="294"/>
      <c r="DK47" s="294"/>
      <c r="DL47" s="294"/>
      <c r="DM47" s="294"/>
      <c r="DN47" s="294"/>
      <c r="DO47" s="294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294"/>
      <c r="EC47" s="294"/>
      <c r="ED47" s="294"/>
      <c r="EE47" s="294"/>
      <c r="EF47" s="294"/>
      <c r="EG47" s="294"/>
      <c r="EH47" s="294"/>
      <c r="EI47" s="294"/>
      <c r="EJ47" s="294"/>
      <c r="EK47" s="294"/>
      <c r="EL47" s="294"/>
      <c r="EM47" s="294"/>
      <c r="EN47" s="294"/>
      <c r="EO47" s="294"/>
      <c r="EP47" s="294"/>
      <c r="EQ47" s="294"/>
      <c r="ER47" s="294"/>
      <c r="ES47" s="294"/>
      <c r="ET47" s="294"/>
      <c r="EU47" s="294"/>
      <c r="EV47" s="294"/>
      <c r="EW47" s="294"/>
      <c r="EX47" s="294"/>
      <c r="EY47" s="294"/>
      <c r="EZ47" s="294"/>
      <c r="FA47" s="294"/>
      <c r="FB47" s="294"/>
      <c r="FC47" s="294"/>
      <c r="FD47" s="294"/>
      <c r="FE47" s="294"/>
      <c r="FF47" s="294"/>
      <c r="FG47" s="294"/>
      <c r="FH47" s="294"/>
      <c r="FI47" s="294"/>
      <c r="FJ47" s="294"/>
      <c r="FK47" s="294"/>
      <c r="FL47" s="294"/>
      <c r="FM47" s="294"/>
      <c r="FN47" s="294"/>
      <c r="FO47" s="294"/>
      <c r="FP47" s="294"/>
      <c r="FQ47" s="294"/>
      <c r="FR47" s="294"/>
      <c r="FS47" s="294"/>
      <c r="FT47" s="294"/>
      <c r="FU47" s="294"/>
      <c r="FV47" s="294"/>
      <c r="FW47" s="294"/>
      <c r="FX47" s="294"/>
      <c r="FY47" s="294"/>
      <c r="FZ47" s="294"/>
      <c r="GA47" s="294"/>
      <c r="GB47" s="294"/>
      <c r="GC47" s="294"/>
      <c r="GD47" s="294"/>
      <c r="GE47" s="294"/>
      <c r="GF47" s="294"/>
      <c r="GG47" s="294"/>
      <c r="GH47" s="294"/>
      <c r="GI47" s="294"/>
      <c r="GJ47" s="294"/>
      <c r="GK47" s="294"/>
      <c r="GL47" s="294"/>
      <c r="GM47" s="294"/>
      <c r="GN47" s="294"/>
      <c r="GO47" s="294"/>
      <c r="GP47" s="294"/>
      <c r="GQ47" s="294"/>
      <c r="GR47" s="294"/>
      <c r="GS47" s="294"/>
      <c r="GT47" s="294"/>
      <c r="GU47" s="294">
        <v>75898</v>
      </c>
      <c r="GV47" s="294"/>
      <c r="GW47" s="294"/>
      <c r="GX47" s="294"/>
      <c r="GY47" s="294"/>
      <c r="GZ47" s="294"/>
      <c r="HA47" s="294"/>
      <c r="HB47" s="294"/>
      <c r="HC47" s="294">
        <v>7018497.5</v>
      </c>
      <c r="HD47" s="294"/>
      <c r="HE47" s="294"/>
      <c r="HF47" s="294">
        <v>3053647</v>
      </c>
      <c r="HG47" s="294"/>
      <c r="HH47" s="294"/>
      <c r="HI47" s="294"/>
      <c r="HJ47" s="294"/>
      <c r="HK47" s="294"/>
      <c r="HL47" s="294"/>
      <c r="HM47" s="294"/>
      <c r="HN47" s="294"/>
      <c r="HO47" s="294"/>
      <c r="HP47" s="294"/>
      <c r="HQ47" s="294"/>
      <c r="HR47" s="294">
        <v>2731980</v>
      </c>
      <c r="HS47" s="294"/>
      <c r="HT47" s="294"/>
      <c r="HU47" s="294"/>
      <c r="HV47" s="294"/>
      <c r="HW47" s="294"/>
      <c r="HX47" s="294"/>
      <c r="HY47" s="294"/>
      <c r="HZ47" s="294"/>
      <c r="IA47" s="294"/>
      <c r="IB47" s="294"/>
      <c r="IC47" s="294"/>
      <c r="ID47" s="294"/>
      <c r="IE47" s="294"/>
      <c r="IF47" s="294"/>
      <c r="IG47" s="294"/>
      <c r="IH47" s="294"/>
      <c r="II47" s="294">
        <v>1689573.8</v>
      </c>
      <c r="IJ47" s="294"/>
      <c r="IK47" s="294"/>
      <c r="IL47" s="294"/>
      <c r="IM47" s="294"/>
      <c r="IN47" s="294"/>
      <c r="IO47" s="294"/>
      <c r="IP47" s="294"/>
      <c r="IQ47" s="294"/>
      <c r="IR47" s="294"/>
      <c r="IS47" s="294"/>
      <c r="IT47" s="294"/>
      <c r="IU47" s="294"/>
      <c r="IV47" s="294"/>
      <c r="IW47" s="294"/>
      <c r="IX47" s="294"/>
      <c r="IY47" s="294"/>
      <c r="IZ47" s="294"/>
      <c r="JA47" s="294"/>
      <c r="JB47" s="294"/>
      <c r="JC47" s="294"/>
      <c r="JD47" s="294"/>
      <c r="JE47" s="294"/>
      <c r="JF47" s="294"/>
      <c r="JG47" s="294"/>
      <c r="JH47" s="294"/>
      <c r="JI47" s="294"/>
      <c r="JJ47" s="294"/>
      <c r="JK47" s="294"/>
      <c r="JL47" s="294"/>
      <c r="JM47" s="294"/>
      <c r="JN47" s="294"/>
      <c r="JO47" s="294"/>
      <c r="JP47" s="294"/>
      <c r="JQ47" s="294"/>
      <c r="JR47" s="294"/>
      <c r="JS47" s="294"/>
      <c r="JT47" s="294"/>
      <c r="JU47" s="294"/>
      <c r="JV47" s="294"/>
      <c r="JW47" s="294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294"/>
      <c r="KK47" s="294"/>
      <c r="KL47" s="294"/>
      <c r="KM47" s="294"/>
      <c r="KN47" s="294"/>
      <c r="KO47" s="294"/>
      <c r="KP47" s="294"/>
      <c r="KQ47" s="294"/>
      <c r="KR47" s="294"/>
      <c r="KS47" s="294"/>
      <c r="KT47" s="294"/>
      <c r="KU47" s="294"/>
      <c r="KV47" s="294"/>
      <c r="KW47" s="294"/>
      <c r="KX47" s="294"/>
      <c r="KY47" s="294"/>
      <c r="KZ47" s="294"/>
      <c r="LA47" s="294"/>
      <c r="LB47" s="294"/>
      <c r="LC47" s="294"/>
      <c r="LD47" s="294"/>
      <c r="LE47" s="294"/>
      <c r="LF47" s="294"/>
      <c r="LG47" s="294"/>
      <c r="LH47" s="294"/>
      <c r="LI47" s="294">
        <v>1097085.5</v>
      </c>
      <c r="LJ47" s="294"/>
      <c r="LK47" s="294"/>
      <c r="LL47" s="294"/>
      <c r="LM47" s="294"/>
      <c r="LN47" s="294"/>
      <c r="LO47" s="294"/>
      <c r="LP47" s="294"/>
      <c r="LQ47" s="294"/>
      <c r="LR47" s="294"/>
      <c r="LS47" s="294"/>
      <c r="LT47" s="294"/>
      <c r="LU47" s="294"/>
      <c r="LV47" s="294"/>
      <c r="LW47" s="294"/>
      <c r="LX47" s="294"/>
      <c r="LY47" s="294"/>
      <c r="LZ47" s="294"/>
      <c r="MA47" s="294"/>
      <c r="MB47" s="294"/>
      <c r="MC47" s="294"/>
      <c r="MD47" s="294"/>
      <c r="ME47" s="294"/>
      <c r="MF47" s="294"/>
      <c r="MG47" s="294"/>
      <c r="MH47" s="294"/>
      <c r="MI47" s="294"/>
      <c r="MJ47" s="294"/>
      <c r="MK47" s="294"/>
      <c r="ML47" s="294"/>
      <c r="MM47" s="294"/>
      <c r="MN47" s="294"/>
      <c r="MO47" s="294"/>
      <c r="MP47" s="294"/>
      <c r="MQ47" s="294"/>
      <c r="MR47" s="294"/>
      <c r="MS47" s="294"/>
      <c r="MT47" s="294"/>
      <c r="MU47" s="294"/>
      <c r="MV47" s="294"/>
      <c r="MW47" s="294"/>
      <c r="MX47" s="294"/>
      <c r="MY47" s="294"/>
      <c r="MZ47" s="294"/>
      <c r="NA47" s="294"/>
      <c r="NB47" s="294"/>
      <c r="NC47" s="294"/>
      <c r="ND47" s="294"/>
      <c r="NE47" s="294"/>
      <c r="NF47" s="294"/>
      <c r="NG47" s="294"/>
      <c r="NH47" s="294"/>
      <c r="NI47" s="294"/>
      <c r="NJ47" s="294"/>
      <c r="NK47" s="294"/>
      <c r="NL47" s="294"/>
      <c r="NM47" s="294"/>
      <c r="NN47" s="294"/>
      <c r="NO47" s="294"/>
      <c r="NP47" s="294"/>
      <c r="NQ47" s="294"/>
      <c r="NR47" s="294"/>
      <c r="NS47" s="294"/>
      <c r="NT47" s="294"/>
      <c r="NU47" s="294"/>
      <c r="NV47" s="294"/>
      <c r="NW47" s="294"/>
      <c r="NX47" s="294"/>
      <c r="NY47" s="294"/>
      <c r="NZ47" s="294"/>
      <c r="OA47" s="294"/>
      <c r="OB47" s="294"/>
      <c r="OC47" s="294"/>
      <c r="OD47" s="294"/>
      <c r="OE47" s="294"/>
      <c r="OF47" s="294"/>
      <c r="OG47" s="294"/>
      <c r="OH47" s="294"/>
      <c r="OI47" s="294"/>
      <c r="OJ47" s="294"/>
      <c r="OK47" s="294"/>
      <c r="OL47" s="294"/>
      <c r="OM47" s="294"/>
      <c r="ON47" s="294"/>
      <c r="OO47" s="294"/>
      <c r="OP47" s="294"/>
      <c r="OQ47" s="294"/>
      <c r="OR47" s="294"/>
      <c r="OS47" s="294">
        <v>3422250.99</v>
      </c>
      <c r="OT47" s="294"/>
      <c r="OU47" s="294"/>
      <c r="OV47" s="294"/>
      <c r="OW47" s="294"/>
      <c r="OX47" s="294"/>
      <c r="OY47" s="294"/>
      <c r="OZ47" s="294"/>
      <c r="PA47" s="294"/>
      <c r="PB47" s="294"/>
      <c r="PC47" s="294"/>
      <c r="PD47" s="294"/>
      <c r="PE47" s="294"/>
      <c r="PF47" s="294"/>
      <c r="PG47" s="294"/>
      <c r="PH47" s="294"/>
      <c r="PI47" s="294"/>
      <c r="PJ47" s="294"/>
      <c r="PK47" s="294"/>
      <c r="PL47" s="294"/>
      <c r="PM47" s="294"/>
      <c r="PN47" s="294"/>
      <c r="PO47" s="294"/>
      <c r="PP47" s="294"/>
      <c r="PQ47" s="294"/>
      <c r="PR47" s="294"/>
      <c r="PS47" s="294"/>
      <c r="PT47" s="294"/>
      <c r="PU47" s="294"/>
      <c r="PV47" s="294"/>
      <c r="PW47" s="294"/>
      <c r="PX47" s="294"/>
      <c r="PY47" s="294"/>
      <c r="PZ47" s="294"/>
      <c r="QA47" s="294"/>
      <c r="QB47" s="294"/>
      <c r="QC47" s="294"/>
      <c r="QD47" s="294"/>
      <c r="QE47" s="294"/>
      <c r="QF47" s="294"/>
      <c r="QG47" s="294"/>
      <c r="QH47" s="294"/>
      <c r="QI47" s="294"/>
      <c r="QJ47" s="294"/>
      <c r="QK47" s="294"/>
      <c r="QL47" s="294"/>
      <c r="QM47" s="294"/>
      <c r="QN47" s="294"/>
      <c r="QO47" s="294"/>
      <c r="QP47" s="294"/>
      <c r="QQ47" s="294"/>
      <c r="QR47" s="294"/>
      <c r="QS47" s="294"/>
      <c r="QT47" s="294"/>
      <c r="QU47" s="294"/>
      <c r="QV47" s="294"/>
      <c r="QW47" s="294"/>
      <c r="QX47" s="294"/>
      <c r="QY47" s="294"/>
      <c r="QZ47" s="294"/>
      <c r="RA47" s="294"/>
      <c r="RB47" s="294"/>
      <c r="RC47" s="294"/>
      <c r="RD47" s="294"/>
      <c r="RE47" s="294"/>
      <c r="RF47" s="294"/>
      <c r="RG47" s="294"/>
      <c r="RH47" s="294"/>
      <c r="RI47" s="294"/>
      <c r="RJ47" s="294"/>
      <c r="RK47" s="294"/>
      <c r="RL47" s="294"/>
      <c r="RM47" s="294"/>
      <c r="RN47" s="294"/>
      <c r="RO47" s="294"/>
      <c r="RP47" s="294"/>
      <c r="RQ47" s="294"/>
      <c r="RR47" s="294"/>
      <c r="RS47" s="294"/>
      <c r="RT47" s="294"/>
      <c r="RU47" s="294"/>
      <c r="RV47" s="294"/>
      <c r="RW47" s="294"/>
      <c r="RX47" s="294"/>
      <c r="RY47" s="294"/>
      <c r="RZ47" s="294"/>
      <c r="SA47" s="294"/>
      <c r="SB47" s="294"/>
      <c r="SC47" s="294"/>
      <c r="SD47" s="294"/>
      <c r="SE47" s="294"/>
      <c r="SF47" s="294"/>
      <c r="SG47" s="294"/>
      <c r="SH47" s="294"/>
      <c r="SI47" s="294"/>
      <c r="SJ47" s="294"/>
      <c r="SK47" s="294"/>
      <c r="SL47" s="294"/>
      <c r="SM47" s="294"/>
      <c r="SN47" s="294"/>
      <c r="SO47" s="294"/>
      <c r="SP47" s="294"/>
      <c r="SQ47" s="294"/>
      <c r="SR47" s="294"/>
      <c r="SS47" s="294"/>
      <c r="ST47" s="294"/>
      <c r="SU47" s="294"/>
      <c r="SV47" s="294"/>
      <c r="SW47" s="294"/>
      <c r="SX47" s="294"/>
      <c r="SY47" s="294"/>
      <c r="SZ47" s="294"/>
      <c r="TA47" s="294"/>
      <c r="TB47" s="294"/>
      <c r="TC47" s="294"/>
      <c r="TD47" s="294"/>
      <c r="TE47" s="294"/>
      <c r="TF47" s="294"/>
      <c r="TG47" s="294"/>
      <c r="TH47" s="294"/>
      <c r="TI47" s="294"/>
      <c r="TJ47" s="294"/>
      <c r="TK47" s="294"/>
      <c r="TL47" s="294"/>
      <c r="TM47" s="294"/>
      <c r="TN47" s="294"/>
      <c r="TO47" s="294"/>
      <c r="TP47" s="294"/>
      <c r="TQ47" s="294"/>
      <c r="TR47" s="294"/>
      <c r="TS47" s="294"/>
      <c r="TT47" s="294"/>
      <c r="TU47" s="294"/>
      <c r="TV47" s="294"/>
      <c r="TW47" s="294"/>
      <c r="TX47" s="294"/>
      <c r="TY47" s="294"/>
      <c r="TZ47" s="294"/>
      <c r="UA47" s="294"/>
      <c r="UB47" s="294"/>
      <c r="UC47" s="294"/>
      <c r="UD47" s="294"/>
      <c r="UE47" s="294"/>
      <c r="UF47" s="294"/>
      <c r="UG47" s="294"/>
      <c r="UH47" s="294"/>
      <c r="UI47" s="294"/>
      <c r="UJ47" s="294"/>
      <c r="UK47" s="294"/>
      <c r="UL47" s="294"/>
      <c r="UM47" s="294"/>
      <c r="UN47" s="294"/>
      <c r="UO47" s="294"/>
      <c r="UP47" s="294"/>
      <c r="UQ47" s="294"/>
      <c r="UR47" s="294"/>
      <c r="US47" s="294"/>
      <c r="UT47" s="294"/>
      <c r="UU47" s="294"/>
      <c r="UV47" s="294"/>
      <c r="UW47" s="294"/>
      <c r="UX47" s="294"/>
      <c r="UY47" s="294"/>
      <c r="UZ47" s="294"/>
      <c r="VA47" s="294"/>
      <c r="VB47" s="294"/>
      <c r="VC47" s="294"/>
      <c r="VD47" s="294"/>
      <c r="VE47" s="294"/>
      <c r="VF47" s="294"/>
      <c r="VG47" s="294"/>
      <c r="VH47" s="294"/>
      <c r="VI47" s="294"/>
      <c r="VJ47" s="294"/>
      <c r="VK47" s="294"/>
      <c r="VL47" s="294"/>
      <c r="VM47" s="294"/>
      <c r="VN47" s="294"/>
      <c r="VO47" s="294"/>
      <c r="VP47" s="294"/>
      <c r="VQ47" s="294"/>
      <c r="VR47" s="294"/>
      <c r="VS47" s="294"/>
      <c r="VT47" s="294"/>
      <c r="VU47" s="294"/>
      <c r="VV47" s="294"/>
      <c r="VW47" s="294"/>
      <c r="VX47" s="294"/>
      <c r="VY47" s="294"/>
      <c r="VZ47" s="294"/>
      <c r="WA47" s="294"/>
      <c r="WB47" s="294"/>
      <c r="WC47" s="294"/>
      <c r="WD47" s="294"/>
      <c r="WE47" s="294"/>
      <c r="WF47" s="294"/>
      <c r="WG47" s="294"/>
      <c r="WH47" s="294"/>
      <c r="WI47" s="294"/>
      <c r="WJ47" s="294"/>
      <c r="WK47" s="294"/>
      <c r="WL47" s="294"/>
      <c r="WM47" s="294"/>
      <c r="WN47" s="294"/>
      <c r="WO47" s="294"/>
      <c r="WP47" s="294"/>
      <c r="WQ47" s="294"/>
      <c r="WR47" s="294"/>
      <c r="WS47" s="294"/>
      <c r="WT47" s="294"/>
      <c r="WU47" s="294"/>
      <c r="WV47" s="294"/>
      <c r="WW47" s="294"/>
      <c r="WX47" s="294"/>
      <c r="WY47" s="294"/>
      <c r="WZ47" s="294"/>
      <c r="XA47" s="294"/>
      <c r="XB47" s="294"/>
      <c r="XC47" s="294">
        <v>141300000</v>
      </c>
      <c r="XD47" s="294"/>
      <c r="XE47" s="294"/>
      <c r="XF47" s="294"/>
      <c r="XG47" s="294"/>
      <c r="XH47" s="294"/>
      <c r="XI47" s="294"/>
      <c r="XJ47" s="294"/>
      <c r="XK47" s="294"/>
      <c r="XL47" s="294"/>
      <c r="XM47" s="294"/>
      <c r="XN47" s="294"/>
      <c r="XO47" s="294"/>
      <c r="XP47" s="294"/>
      <c r="XQ47" s="294"/>
      <c r="XR47" s="294"/>
      <c r="XS47" s="294"/>
      <c r="XT47" s="294"/>
      <c r="XU47" s="294"/>
      <c r="XV47" s="294"/>
      <c r="XW47" s="294"/>
      <c r="XX47" s="294"/>
      <c r="XY47" s="294"/>
      <c r="XZ47" s="294"/>
      <c r="YA47" s="294"/>
      <c r="YB47" s="294"/>
      <c r="YC47" s="294"/>
      <c r="YD47" s="294"/>
      <c r="YE47" s="294"/>
      <c r="YF47" s="294"/>
      <c r="YG47" s="294"/>
      <c r="YH47" s="294"/>
      <c r="YI47" s="294"/>
      <c r="YJ47" s="294"/>
      <c r="YK47" s="294"/>
      <c r="YL47" s="294"/>
      <c r="YM47" s="294"/>
      <c r="YN47" s="294"/>
      <c r="YO47" s="294"/>
      <c r="YP47" s="294"/>
      <c r="YQ47" s="294"/>
      <c r="YR47" s="294"/>
      <c r="YS47" s="294"/>
      <c r="YT47" s="294"/>
      <c r="YU47" s="294"/>
      <c r="YV47" s="294"/>
      <c r="YW47" s="294"/>
      <c r="YX47" s="294"/>
      <c r="YY47" s="294"/>
      <c r="YZ47" s="294"/>
      <c r="ZA47" s="294"/>
      <c r="ZB47" s="294"/>
      <c r="ZC47" s="294"/>
      <c r="ZD47" s="294"/>
      <c r="ZE47" s="294"/>
      <c r="ZF47" s="294"/>
      <c r="ZG47" s="294"/>
      <c r="ZH47" s="294"/>
      <c r="ZI47" s="294"/>
      <c r="ZJ47" s="294"/>
      <c r="ZK47" s="294"/>
      <c r="ZL47" s="294"/>
      <c r="ZM47" s="294"/>
      <c r="ZN47" s="294"/>
      <c r="ZO47" s="294"/>
      <c r="ZP47" s="294"/>
      <c r="ZQ47" s="294"/>
      <c r="ZR47" s="294"/>
      <c r="ZS47" s="294"/>
      <c r="ZT47" s="294"/>
      <c r="ZU47" s="294"/>
      <c r="ZV47" s="294"/>
      <c r="ZW47" s="294"/>
      <c r="ZX47" s="294"/>
      <c r="ZY47" s="294"/>
      <c r="ZZ47" s="294"/>
      <c r="AAA47" s="294"/>
      <c r="AAB47" s="294"/>
      <c r="AAC47" s="294"/>
      <c r="AAD47" s="294"/>
      <c r="AAE47" s="294"/>
      <c r="AAF47" s="294"/>
      <c r="AAG47" s="294"/>
      <c r="AAH47" s="294"/>
      <c r="AAI47" s="294"/>
      <c r="AAJ47" s="294"/>
      <c r="AAK47" s="294"/>
      <c r="AAL47" s="294"/>
      <c r="AAM47" s="294"/>
      <c r="AAN47" s="294"/>
      <c r="AAO47" s="294"/>
      <c r="AAP47" s="294"/>
      <c r="AAQ47" s="294"/>
      <c r="AAR47" s="294"/>
      <c r="AAS47" s="294"/>
      <c r="AAT47" s="294"/>
      <c r="AAU47" s="294"/>
      <c r="AAV47" s="294"/>
      <c r="AAW47" s="294"/>
      <c r="AAX47" s="294"/>
      <c r="AAY47" s="294"/>
      <c r="AAZ47" s="294"/>
      <c r="ABA47" s="294"/>
      <c r="ABB47" s="294"/>
      <c r="ABC47" s="294">
        <v>0</v>
      </c>
      <c r="ABD47" s="294"/>
      <c r="ABE47" s="294"/>
      <c r="ABF47" s="294"/>
      <c r="ABG47" s="294"/>
      <c r="ABH47" s="294"/>
      <c r="ABI47" s="294"/>
      <c r="ABJ47" s="294"/>
      <c r="ABK47" s="294">
        <v>0</v>
      </c>
      <c r="ABL47" s="294"/>
      <c r="ABM47" s="294"/>
      <c r="ABN47" s="294"/>
      <c r="ABO47" s="294"/>
      <c r="ABP47" s="294"/>
      <c r="ABQ47" s="294"/>
      <c r="ABR47" s="294"/>
      <c r="ABS47" s="294"/>
      <c r="ABT47" s="294"/>
      <c r="ABU47" s="294"/>
      <c r="ABV47" s="294"/>
      <c r="ABW47" s="294"/>
      <c r="ABX47" s="294"/>
      <c r="ABY47" s="294"/>
      <c r="ABZ47" s="294"/>
      <c r="ACA47" s="294"/>
      <c r="ACB47" s="294"/>
      <c r="ACC47" s="294"/>
      <c r="ACD47" s="294"/>
      <c r="ACE47" s="294"/>
      <c r="ACF47" s="294"/>
      <c r="ACG47" s="294"/>
      <c r="ACH47" s="294"/>
      <c r="ACI47" s="294"/>
      <c r="ACJ47" s="294"/>
      <c r="ACK47" s="294"/>
      <c r="ACL47" s="294"/>
      <c r="ACM47" s="294"/>
      <c r="ACN47" s="294"/>
      <c r="ACO47" s="294"/>
      <c r="ACP47" s="294"/>
      <c r="ACQ47" s="294"/>
      <c r="ACR47" s="294"/>
      <c r="ACS47" s="294"/>
      <c r="ACT47" s="294"/>
      <c r="ACU47" s="294"/>
      <c r="ACV47" s="294"/>
      <c r="ACW47" s="294"/>
      <c r="ACX47" s="294"/>
      <c r="ACY47" s="294"/>
      <c r="ACZ47" s="294"/>
      <c r="ADA47" s="294"/>
      <c r="ADB47" s="294"/>
      <c r="ADC47" s="294"/>
      <c r="ADD47" s="294"/>
      <c r="ADE47" s="294"/>
      <c r="ADF47" s="294"/>
      <c r="ADG47" s="294"/>
      <c r="ADH47" s="294"/>
      <c r="ADI47" s="294"/>
      <c r="ADJ47" s="294"/>
      <c r="ADK47" s="294"/>
      <c r="ADL47" s="294"/>
      <c r="ADM47" s="294"/>
      <c r="ADN47" s="294"/>
      <c r="ADO47" s="294"/>
      <c r="ADP47" s="294"/>
      <c r="ADQ47" s="294"/>
      <c r="ADR47" s="294"/>
      <c r="ADS47" s="294"/>
      <c r="ADT47" s="294"/>
      <c r="ADU47" s="294"/>
      <c r="ADV47" s="294"/>
      <c r="ADW47" s="294"/>
      <c r="ADX47" s="294"/>
      <c r="ADY47" s="294"/>
      <c r="ADZ47" s="294"/>
      <c r="AEA47" s="294"/>
      <c r="AEB47" s="294"/>
      <c r="AEC47" s="294"/>
      <c r="AED47" s="294"/>
      <c r="AEE47" s="294"/>
      <c r="AEF47" s="294"/>
      <c r="AEG47" s="294"/>
      <c r="AEH47" s="294"/>
      <c r="AEI47" s="294"/>
      <c r="AEJ47" s="294"/>
      <c r="AEK47" s="294"/>
      <c r="AEL47" s="294"/>
      <c r="AEM47" s="294"/>
      <c r="AEN47" s="294"/>
      <c r="AEO47" s="294"/>
      <c r="AEP47" s="294"/>
      <c r="AEQ47" s="294"/>
      <c r="AER47" s="294"/>
      <c r="AES47" s="294"/>
      <c r="AET47" s="294"/>
      <c r="AEU47" s="294"/>
      <c r="AEV47" s="294"/>
      <c r="AEW47" s="294"/>
      <c r="AEX47" s="294"/>
      <c r="AEY47" s="294"/>
      <c r="AEZ47" s="294"/>
      <c r="AFA47" s="294"/>
      <c r="AFB47" s="294"/>
      <c r="AFC47" s="294"/>
      <c r="AFD47" s="294"/>
      <c r="AFE47" s="294"/>
      <c r="AFF47" s="294"/>
      <c r="AFG47" s="294"/>
      <c r="AFH47" s="294"/>
      <c r="AFI47" s="294"/>
      <c r="AFJ47" s="294"/>
      <c r="AFK47" s="294"/>
      <c r="AFL47" s="294"/>
      <c r="AFM47" s="294"/>
      <c r="AFN47" s="294"/>
      <c r="AFO47" s="294"/>
      <c r="AFP47" s="294"/>
      <c r="AFQ47" s="294"/>
      <c r="AFR47" s="294"/>
      <c r="AFS47" s="294"/>
      <c r="AFT47" s="294"/>
      <c r="AFU47" s="294"/>
      <c r="AFV47" s="294"/>
      <c r="AFW47" s="294"/>
      <c r="AFX47" s="294"/>
      <c r="AFY47" s="294"/>
      <c r="AFZ47" s="294"/>
      <c r="AGA47" s="294"/>
      <c r="AGB47" s="294"/>
      <c r="AGC47" s="294"/>
      <c r="AGD47" s="294"/>
      <c r="AGE47" s="294"/>
      <c r="AGF47" s="294"/>
      <c r="AGG47" s="294"/>
      <c r="AGH47" s="294"/>
      <c r="AGI47" s="294"/>
      <c r="AGJ47" s="294"/>
      <c r="AGK47" s="294"/>
      <c r="AGL47" s="294"/>
      <c r="AGM47" s="294"/>
      <c r="AGN47" s="294"/>
      <c r="AGO47" s="294"/>
      <c r="AGP47" s="294"/>
      <c r="AGQ47" s="294"/>
      <c r="AGR47" s="294"/>
      <c r="AGS47" s="294"/>
      <c r="AGT47" s="294"/>
      <c r="AGU47" s="294"/>
      <c r="AGV47" s="294"/>
      <c r="AGW47" s="294"/>
      <c r="AGX47" s="294"/>
      <c r="AGY47" s="294"/>
      <c r="AGZ47" s="294"/>
      <c r="AHA47" s="294"/>
      <c r="AHB47" s="294"/>
      <c r="AHC47" s="294"/>
      <c r="AHD47" s="294"/>
      <c r="AHE47" s="294"/>
      <c r="AHF47" s="294"/>
      <c r="AHG47" s="294"/>
      <c r="AHH47" s="294"/>
      <c r="AHI47" s="294"/>
      <c r="AHJ47" s="294"/>
      <c r="AHK47" s="294"/>
      <c r="AHL47" s="294"/>
      <c r="AHM47" s="294"/>
      <c r="AHN47" s="294"/>
      <c r="AHO47" s="294"/>
      <c r="AHP47" s="294"/>
      <c r="AHQ47" s="294"/>
      <c r="AHR47" s="331"/>
      <c r="AHS47" s="294">
        <f t="shared" si="35"/>
        <v>165203929.53999999</v>
      </c>
    </row>
    <row r="48" spans="1:905" ht="24.6" x14ac:dyDescent="0.7">
      <c r="B48" s="268" t="s">
        <v>6043</v>
      </c>
      <c r="C48" s="269" t="s">
        <v>6044</v>
      </c>
      <c r="D48" s="294">
        <v>0</v>
      </c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>
        <v>160609</v>
      </c>
      <c r="W48" s="294">
        <v>0</v>
      </c>
      <c r="X48" s="294"/>
      <c r="Y48" s="294"/>
      <c r="Z48" s="294"/>
      <c r="AA48" s="294"/>
      <c r="AB48" s="294"/>
      <c r="AC48" s="294">
        <v>0</v>
      </c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>
        <v>0</v>
      </c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294"/>
      <c r="DL48" s="294"/>
      <c r="DM48" s="294"/>
      <c r="DN48" s="294"/>
      <c r="DO48" s="294"/>
      <c r="DP48" s="294"/>
      <c r="DQ48" s="294"/>
      <c r="DR48" s="294"/>
      <c r="DS48" s="294"/>
      <c r="DT48" s="294">
        <v>184535055.89999998</v>
      </c>
      <c r="DU48" s="294"/>
      <c r="DV48" s="294"/>
      <c r="DW48" s="294"/>
      <c r="DX48" s="294"/>
      <c r="DY48" s="294"/>
      <c r="DZ48" s="294"/>
      <c r="EA48" s="294"/>
      <c r="EB48" s="294"/>
      <c r="EC48" s="294"/>
      <c r="ED48" s="294"/>
      <c r="EE48" s="294"/>
      <c r="EF48" s="294"/>
      <c r="EG48" s="294"/>
      <c r="EH48" s="294"/>
      <c r="EI48" s="294"/>
      <c r="EJ48" s="294"/>
      <c r="EK48" s="294"/>
      <c r="EL48" s="294"/>
      <c r="EM48" s="294"/>
      <c r="EN48" s="294"/>
      <c r="EO48" s="294"/>
      <c r="EP48" s="294"/>
      <c r="EQ48" s="294"/>
      <c r="ER48" s="294"/>
      <c r="ES48" s="294"/>
      <c r="ET48" s="294"/>
      <c r="EU48" s="294"/>
      <c r="EV48" s="294"/>
      <c r="EW48" s="294"/>
      <c r="EX48" s="294"/>
      <c r="EY48" s="294"/>
      <c r="EZ48" s="294"/>
      <c r="FA48" s="294"/>
      <c r="FB48" s="294"/>
      <c r="FC48" s="294"/>
      <c r="FD48" s="294"/>
      <c r="FE48" s="294"/>
      <c r="FF48" s="294"/>
      <c r="FG48" s="294"/>
      <c r="FH48" s="294"/>
      <c r="FI48" s="294"/>
      <c r="FJ48" s="294"/>
      <c r="FK48" s="294"/>
      <c r="FL48" s="294"/>
      <c r="FM48" s="294"/>
      <c r="FN48" s="294"/>
      <c r="FO48" s="294"/>
      <c r="FP48" s="294"/>
      <c r="FQ48" s="294"/>
      <c r="FR48" s="294"/>
      <c r="FS48" s="294"/>
      <c r="FT48" s="294"/>
      <c r="FU48" s="294"/>
      <c r="FV48" s="294"/>
      <c r="FW48" s="294"/>
      <c r="FX48" s="294"/>
      <c r="FY48" s="294"/>
      <c r="FZ48" s="294"/>
      <c r="GA48" s="294">
        <v>0</v>
      </c>
      <c r="GB48" s="294"/>
      <c r="GC48" s="294"/>
      <c r="GD48" s="294">
        <v>0</v>
      </c>
      <c r="GE48" s="294"/>
      <c r="GF48" s="294"/>
      <c r="GG48" s="294"/>
      <c r="GH48" s="294"/>
      <c r="GI48" s="294"/>
      <c r="GJ48" s="294"/>
      <c r="GK48" s="294"/>
      <c r="GL48" s="294"/>
      <c r="GM48" s="294"/>
      <c r="GN48" s="294"/>
      <c r="GO48" s="294"/>
      <c r="GP48" s="294"/>
      <c r="GQ48" s="294"/>
      <c r="GR48" s="294"/>
      <c r="GS48" s="294"/>
      <c r="GT48" s="294"/>
      <c r="GU48" s="294"/>
      <c r="GV48" s="294"/>
      <c r="GW48" s="294"/>
      <c r="GX48" s="294"/>
      <c r="GY48" s="294"/>
      <c r="GZ48" s="294"/>
      <c r="HA48" s="294"/>
      <c r="HB48" s="294"/>
      <c r="HC48" s="294">
        <v>22818</v>
      </c>
      <c r="HD48" s="294"/>
      <c r="HE48" s="294"/>
      <c r="HF48" s="294"/>
      <c r="HG48" s="294"/>
      <c r="HH48" s="294"/>
      <c r="HI48" s="294"/>
      <c r="HJ48" s="294"/>
      <c r="HK48" s="294"/>
      <c r="HL48" s="294"/>
      <c r="HM48" s="294"/>
      <c r="HN48" s="294"/>
      <c r="HO48" s="294"/>
      <c r="HP48" s="294"/>
      <c r="HQ48" s="294"/>
      <c r="HR48" s="294"/>
      <c r="HS48" s="294"/>
      <c r="HT48" s="294"/>
      <c r="HU48" s="294"/>
      <c r="HV48" s="294"/>
      <c r="HW48" s="294"/>
      <c r="HX48" s="294"/>
      <c r="HY48" s="294"/>
      <c r="HZ48" s="294"/>
      <c r="IA48" s="294"/>
      <c r="IB48" s="294"/>
      <c r="IC48" s="294"/>
      <c r="ID48" s="294"/>
      <c r="IE48" s="294"/>
      <c r="IF48" s="294"/>
      <c r="IG48" s="294"/>
      <c r="IH48" s="294"/>
      <c r="II48" s="294"/>
      <c r="IJ48" s="294"/>
      <c r="IK48" s="294"/>
      <c r="IL48" s="294"/>
      <c r="IM48" s="294"/>
      <c r="IN48" s="294"/>
      <c r="IO48" s="294"/>
      <c r="IP48" s="294"/>
      <c r="IQ48" s="294"/>
      <c r="IR48" s="294"/>
      <c r="IS48" s="294"/>
      <c r="IT48" s="294"/>
      <c r="IU48" s="294"/>
      <c r="IV48" s="294"/>
      <c r="IW48" s="294"/>
      <c r="IX48" s="294"/>
      <c r="IY48" s="294"/>
      <c r="IZ48" s="294"/>
      <c r="JA48" s="294"/>
      <c r="JB48" s="294"/>
      <c r="JC48" s="294"/>
      <c r="JD48" s="294"/>
      <c r="JE48" s="294"/>
      <c r="JF48" s="294"/>
      <c r="JG48" s="294"/>
      <c r="JH48" s="294"/>
      <c r="JI48" s="294"/>
      <c r="JJ48" s="294"/>
      <c r="JK48" s="294">
        <v>732.51</v>
      </c>
      <c r="JL48" s="294"/>
      <c r="JM48" s="294"/>
      <c r="JN48" s="294"/>
      <c r="JO48" s="294"/>
      <c r="JP48" s="294"/>
      <c r="JQ48" s="294"/>
      <c r="JR48" s="294"/>
      <c r="JS48" s="294"/>
      <c r="JT48" s="294"/>
      <c r="JU48" s="294"/>
      <c r="JV48" s="294"/>
      <c r="JW48" s="294"/>
      <c r="JX48" s="294"/>
      <c r="JY48" s="294"/>
      <c r="JZ48" s="294"/>
      <c r="KA48" s="294"/>
      <c r="KB48" s="294"/>
      <c r="KC48" s="294"/>
      <c r="KD48" s="294"/>
      <c r="KE48" s="294"/>
      <c r="KF48" s="294"/>
      <c r="KG48" s="294"/>
      <c r="KH48" s="294"/>
      <c r="KI48" s="294"/>
      <c r="KJ48" s="294"/>
      <c r="KK48" s="294"/>
      <c r="KL48" s="294"/>
      <c r="KM48" s="294"/>
      <c r="KN48" s="294"/>
      <c r="KO48" s="294"/>
      <c r="KP48" s="294"/>
      <c r="KQ48" s="294"/>
      <c r="KR48" s="294"/>
      <c r="KS48" s="294"/>
      <c r="KT48" s="294"/>
      <c r="KU48" s="294"/>
      <c r="KV48" s="294"/>
      <c r="KW48" s="294"/>
      <c r="KX48" s="294"/>
      <c r="KY48" s="294">
        <v>0</v>
      </c>
      <c r="KZ48" s="294"/>
      <c r="LA48" s="294"/>
      <c r="LB48" s="294"/>
      <c r="LC48" s="294"/>
      <c r="LD48" s="294"/>
      <c r="LE48" s="294"/>
      <c r="LF48" s="294"/>
      <c r="LG48" s="294">
        <v>0</v>
      </c>
      <c r="LH48" s="294"/>
      <c r="LI48" s="294">
        <v>0</v>
      </c>
      <c r="LJ48" s="294"/>
      <c r="LK48" s="294"/>
      <c r="LL48" s="294"/>
      <c r="LM48" s="294"/>
      <c r="LN48" s="294"/>
      <c r="LO48" s="294"/>
      <c r="LP48" s="294"/>
      <c r="LQ48" s="294"/>
      <c r="LR48" s="294">
        <v>0</v>
      </c>
      <c r="LS48" s="294"/>
      <c r="LT48" s="294"/>
      <c r="LU48" s="294"/>
      <c r="LV48" s="294"/>
      <c r="LW48" s="294"/>
      <c r="LX48" s="294"/>
      <c r="LY48" s="294"/>
      <c r="LZ48" s="294"/>
      <c r="MA48" s="294"/>
      <c r="MB48" s="294"/>
      <c r="MC48" s="294"/>
      <c r="MD48" s="294"/>
      <c r="ME48" s="294"/>
      <c r="MF48" s="294"/>
      <c r="MG48" s="294">
        <v>0</v>
      </c>
      <c r="MH48" s="294"/>
      <c r="MI48" s="294"/>
      <c r="MJ48" s="294"/>
      <c r="MK48" s="294"/>
      <c r="ML48" s="294"/>
      <c r="MM48" s="294"/>
      <c r="MN48" s="294"/>
      <c r="MO48" s="294"/>
      <c r="MP48" s="294"/>
      <c r="MQ48" s="294"/>
      <c r="MR48" s="294"/>
      <c r="MS48" s="294"/>
      <c r="MT48" s="294"/>
      <c r="MU48" s="294"/>
      <c r="MV48" s="294"/>
      <c r="MW48" s="294"/>
      <c r="MX48" s="294"/>
      <c r="MY48" s="294"/>
      <c r="MZ48" s="294"/>
      <c r="NA48" s="294"/>
      <c r="NB48" s="294"/>
      <c r="NC48" s="294"/>
      <c r="ND48" s="294"/>
      <c r="NE48" s="294"/>
      <c r="NF48" s="294"/>
      <c r="NG48" s="294">
        <v>0</v>
      </c>
      <c r="NH48" s="294"/>
      <c r="NI48" s="294"/>
      <c r="NJ48" s="294"/>
      <c r="NK48" s="294"/>
      <c r="NL48" s="294"/>
      <c r="NM48" s="294"/>
      <c r="NN48" s="294"/>
      <c r="NO48" s="294"/>
      <c r="NP48" s="294"/>
      <c r="NQ48" s="294"/>
      <c r="NR48" s="294"/>
      <c r="NS48" s="294"/>
      <c r="NT48" s="294"/>
      <c r="NU48" s="294"/>
      <c r="NV48" s="294"/>
      <c r="NW48" s="294">
        <v>0</v>
      </c>
      <c r="NX48" s="294">
        <v>193039.24</v>
      </c>
      <c r="NY48" s="294"/>
      <c r="NZ48" s="294"/>
      <c r="OA48" s="294"/>
      <c r="OB48" s="294"/>
      <c r="OC48" s="294"/>
      <c r="OD48" s="294"/>
      <c r="OE48" s="294"/>
      <c r="OF48" s="294"/>
      <c r="OG48" s="294">
        <v>0</v>
      </c>
      <c r="OH48" s="294"/>
      <c r="OI48" s="294"/>
      <c r="OJ48" s="294"/>
      <c r="OK48" s="294"/>
      <c r="OL48" s="294"/>
      <c r="OM48" s="294"/>
      <c r="ON48" s="294"/>
      <c r="OO48" s="294"/>
      <c r="OP48" s="294"/>
      <c r="OQ48" s="294"/>
      <c r="OR48" s="294"/>
      <c r="OS48" s="294"/>
      <c r="OT48" s="294"/>
      <c r="OU48" s="294"/>
      <c r="OV48" s="294"/>
      <c r="OW48" s="294"/>
      <c r="OX48" s="294"/>
      <c r="OY48" s="294"/>
      <c r="OZ48" s="294"/>
      <c r="PA48" s="294"/>
      <c r="PB48" s="294"/>
      <c r="PC48" s="294"/>
      <c r="PD48" s="294"/>
      <c r="PE48" s="294"/>
      <c r="PF48" s="294"/>
      <c r="PG48" s="294"/>
      <c r="PH48" s="294"/>
      <c r="PI48" s="294"/>
      <c r="PJ48" s="294"/>
      <c r="PK48" s="294"/>
      <c r="PL48" s="294"/>
      <c r="PM48" s="294"/>
      <c r="PN48" s="294"/>
      <c r="PO48" s="294"/>
      <c r="PP48" s="294"/>
      <c r="PQ48" s="294"/>
      <c r="PR48" s="294"/>
      <c r="PS48" s="294"/>
      <c r="PT48" s="294">
        <v>0</v>
      </c>
      <c r="PU48" s="294"/>
      <c r="PV48" s="294">
        <v>399099.22000000003</v>
      </c>
      <c r="PW48" s="294"/>
      <c r="PX48" s="294"/>
      <c r="PY48" s="294"/>
      <c r="PZ48" s="294"/>
      <c r="QA48" s="294"/>
      <c r="QB48" s="294"/>
      <c r="QC48" s="294"/>
      <c r="QD48" s="294"/>
      <c r="QE48" s="294"/>
      <c r="QF48" s="294"/>
      <c r="QG48" s="294"/>
      <c r="QH48" s="294"/>
      <c r="QI48" s="294"/>
      <c r="QJ48" s="294"/>
      <c r="QK48" s="294"/>
      <c r="QL48" s="294"/>
      <c r="QM48" s="294"/>
      <c r="QN48" s="294"/>
      <c r="QO48" s="294"/>
      <c r="QP48" s="294">
        <v>179076</v>
      </c>
      <c r="QQ48" s="294"/>
      <c r="QR48" s="294"/>
      <c r="QS48" s="294"/>
      <c r="QT48" s="294"/>
      <c r="QU48" s="294"/>
      <c r="QV48" s="294"/>
      <c r="QW48" s="294"/>
      <c r="QX48" s="294">
        <v>1616074.44</v>
      </c>
      <c r="QY48" s="294"/>
      <c r="QZ48" s="294"/>
      <c r="RA48" s="294"/>
      <c r="RB48" s="294"/>
      <c r="RC48" s="294"/>
      <c r="RD48" s="294"/>
      <c r="RE48" s="294"/>
      <c r="RF48" s="294"/>
      <c r="RG48" s="294"/>
      <c r="RH48" s="294"/>
      <c r="RI48" s="294"/>
      <c r="RJ48" s="294"/>
      <c r="RK48" s="294"/>
      <c r="RL48" s="294"/>
      <c r="RM48" s="294"/>
      <c r="RN48" s="294"/>
      <c r="RO48" s="294"/>
      <c r="RP48" s="294"/>
      <c r="RQ48" s="294"/>
      <c r="RR48" s="294"/>
      <c r="RS48" s="294"/>
      <c r="RT48" s="294"/>
      <c r="RU48" s="294"/>
      <c r="RV48" s="294"/>
      <c r="RW48" s="294"/>
      <c r="RX48" s="294"/>
      <c r="RY48" s="294"/>
      <c r="RZ48" s="294"/>
      <c r="SA48" s="294"/>
      <c r="SB48" s="294"/>
      <c r="SC48" s="294"/>
      <c r="SD48" s="294"/>
      <c r="SE48" s="294"/>
      <c r="SF48" s="294"/>
      <c r="SG48" s="294"/>
      <c r="SH48" s="294"/>
      <c r="SI48" s="294"/>
      <c r="SJ48" s="294"/>
      <c r="SK48" s="294"/>
      <c r="SL48" s="294"/>
      <c r="SM48" s="294"/>
      <c r="SN48" s="294"/>
      <c r="SO48" s="294"/>
      <c r="SP48" s="294"/>
      <c r="SQ48" s="294"/>
      <c r="SR48" s="294"/>
      <c r="SS48" s="294"/>
      <c r="ST48" s="294"/>
      <c r="SU48" s="294"/>
      <c r="SV48" s="294"/>
      <c r="SW48" s="294"/>
      <c r="SX48" s="294"/>
      <c r="SY48" s="294"/>
      <c r="SZ48" s="294"/>
      <c r="TA48" s="294"/>
      <c r="TB48" s="294"/>
      <c r="TC48" s="294"/>
      <c r="TD48" s="294"/>
      <c r="TE48" s="294"/>
      <c r="TF48" s="294"/>
      <c r="TG48" s="294"/>
      <c r="TH48" s="294"/>
      <c r="TI48" s="294">
        <v>9353</v>
      </c>
      <c r="TJ48" s="294"/>
      <c r="TK48" s="294"/>
      <c r="TL48" s="294"/>
      <c r="TM48" s="294"/>
      <c r="TN48" s="294"/>
      <c r="TO48" s="294"/>
      <c r="TP48" s="294"/>
      <c r="TQ48" s="294"/>
      <c r="TR48" s="294"/>
      <c r="TS48" s="294"/>
      <c r="TT48" s="294">
        <v>0</v>
      </c>
      <c r="TU48" s="294"/>
      <c r="TV48" s="294"/>
      <c r="TW48" s="294"/>
      <c r="TX48" s="294"/>
      <c r="TY48" s="294"/>
      <c r="TZ48" s="294"/>
      <c r="UA48" s="294">
        <v>91308</v>
      </c>
      <c r="UB48" s="294"/>
      <c r="UC48" s="294"/>
      <c r="UD48" s="294"/>
      <c r="UE48" s="294"/>
      <c r="UF48" s="294"/>
      <c r="UG48" s="294"/>
      <c r="UH48" s="294"/>
      <c r="UI48" s="294"/>
      <c r="UJ48" s="294"/>
      <c r="UK48" s="294"/>
      <c r="UL48" s="294"/>
      <c r="UM48" s="294"/>
      <c r="UN48" s="294"/>
      <c r="UO48" s="294"/>
      <c r="UP48" s="294">
        <v>0</v>
      </c>
      <c r="UQ48" s="294"/>
      <c r="UR48" s="294"/>
      <c r="US48" s="294"/>
      <c r="UT48" s="294"/>
      <c r="UU48" s="294"/>
      <c r="UV48" s="294"/>
      <c r="UW48" s="294"/>
      <c r="UX48" s="294"/>
      <c r="UY48" s="294"/>
      <c r="UZ48" s="294"/>
      <c r="VA48" s="294"/>
      <c r="VB48" s="294"/>
      <c r="VC48" s="294"/>
      <c r="VD48" s="294"/>
      <c r="VE48" s="294"/>
      <c r="VF48" s="294"/>
      <c r="VG48" s="294"/>
      <c r="VH48" s="294"/>
      <c r="VI48" s="294"/>
      <c r="VJ48" s="294"/>
      <c r="VK48" s="294"/>
      <c r="VL48" s="294"/>
      <c r="VM48" s="294"/>
      <c r="VN48" s="294"/>
      <c r="VO48" s="294"/>
      <c r="VP48" s="294"/>
      <c r="VQ48" s="294"/>
      <c r="VR48" s="294"/>
      <c r="VS48" s="294"/>
      <c r="VT48" s="294"/>
      <c r="VU48" s="294"/>
      <c r="VV48" s="294"/>
      <c r="VW48" s="294"/>
      <c r="VX48" s="294"/>
      <c r="VY48" s="294"/>
      <c r="VZ48" s="294"/>
      <c r="WA48" s="294"/>
      <c r="WB48" s="294"/>
      <c r="WC48" s="294"/>
      <c r="WD48" s="294"/>
      <c r="WE48" s="294"/>
      <c r="WF48" s="294"/>
      <c r="WG48" s="294"/>
      <c r="WH48" s="294"/>
      <c r="WI48" s="294"/>
      <c r="WJ48" s="294"/>
      <c r="WK48" s="294"/>
      <c r="WL48" s="294"/>
      <c r="WM48" s="294"/>
      <c r="WN48" s="294"/>
      <c r="WO48" s="294"/>
      <c r="WP48" s="294"/>
      <c r="WQ48" s="294"/>
      <c r="WR48" s="294"/>
      <c r="WS48" s="294"/>
      <c r="WT48" s="294"/>
      <c r="WU48" s="294">
        <v>0</v>
      </c>
      <c r="WV48" s="294"/>
      <c r="WW48" s="294"/>
      <c r="WX48" s="294"/>
      <c r="WY48" s="294"/>
      <c r="WZ48" s="294"/>
      <c r="XA48" s="294"/>
      <c r="XB48" s="294"/>
      <c r="XC48" s="294"/>
      <c r="XD48" s="294"/>
      <c r="XE48" s="294"/>
      <c r="XF48" s="294"/>
      <c r="XG48" s="294"/>
      <c r="XH48" s="294">
        <v>0</v>
      </c>
      <c r="XI48" s="294"/>
      <c r="XJ48" s="294"/>
      <c r="XK48" s="294"/>
      <c r="XL48" s="294"/>
      <c r="XM48" s="294"/>
      <c r="XN48" s="294"/>
      <c r="XO48" s="294"/>
      <c r="XP48" s="294"/>
      <c r="XQ48" s="294"/>
      <c r="XR48" s="294"/>
      <c r="XS48" s="294"/>
      <c r="XT48" s="294"/>
      <c r="XU48" s="294"/>
      <c r="XV48" s="294"/>
      <c r="XW48" s="294"/>
      <c r="XX48" s="294"/>
      <c r="XY48" s="294"/>
      <c r="XZ48" s="294"/>
      <c r="YA48" s="294"/>
      <c r="YB48" s="294"/>
      <c r="YC48" s="294"/>
      <c r="YD48" s="294"/>
      <c r="YE48" s="294"/>
      <c r="YF48" s="294"/>
      <c r="YG48" s="294"/>
      <c r="YH48" s="294"/>
      <c r="YI48" s="294"/>
      <c r="YJ48" s="294"/>
      <c r="YK48" s="294"/>
      <c r="YL48" s="294"/>
      <c r="YM48" s="294"/>
      <c r="YN48" s="294"/>
      <c r="YO48" s="294"/>
      <c r="YP48" s="294"/>
      <c r="YQ48" s="294"/>
      <c r="YR48" s="294"/>
      <c r="YS48" s="294"/>
      <c r="YT48" s="294"/>
      <c r="YU48" s="294"/>
      <c r="YV48" s="294">
        <v>16739</v>
      </c>
      <c r="YW48" s="294"/>
      <c r="YX48" s="294"/>
      <c r="YY48" s="294"/>
      <c r="YZ48" s="294"/>
      <c r="ZA48" s="294"/>
      <c r="ZB48" s="294"/>
      <c r="ZC48" s="294">
        <v>0</v>
      </c>
      <c r="ZD48" s="294"/>
      <c r="ZE48" s="294"/>
      <c r="ZF48" s="294"/>
      <c r="ZG48" s="294"/>
      <c r="ZH48" s="294"/>
      <c r="ZI48" s="294"/>
      <c r="ZJ48" s="294"/>
      <c r="ZK48" s="294"/>
      <c r="ZL48" s="294"/>
      <c r="ZM48" s="294"/>
      <c r="ZN48" s="294"/>
      <c r="ZO48" s="294"/>
      <c r="ZP48" s="294"/>
      <c r="ZQ48" s="294"/>
      <c r="ZR48" s="294"/>
      <c r="ZS48" s="294"/>
      <c r="ZT48" s="294"/>
      <c r="ZU48" s="294"/>
      <c r="ZV48" s="294"/>
      <c r="ZW48" s="294"/>
      <c r="ZX48" s="294"/>
      <c r="ZY48" s="294"/>
      <c r="ZZ48" s="294"/>
      <c r="AAA48" s="294"/>
      <c r="AAB48" s="294"/>
      <c r="AAC48" s="294"/>
      <c r="AAD48" s="294"/>
      <c r="AAE48" s="294"/>
      <c r="AAF48" s="294"/>
      <c r="AAG48" s="294"/>
      <c r="AAH48" s="294"/>
      <c r="AAI48" s="294"/>
      <c r="AAJ48" s="294"/>
      <c r="AAK48" s="294"/>
      <c r="AAL48" s="294"/>
      <c r="AAM48" s="294"/>
      <c r="AAN48" s="294"/>
      <c r="AAO48" s="294">
        <v>0</v>
      </c>
      <c r="AAP48" s="294"/>
      <c r="AAQ48" s="294"/>
      <c r="AAR48" s="294"/>
      <c r="AAS48" s="294"/>
      <c r="AAT48" s="294"/>
      <c r="AAU48" s="294"/>
      <c r="AAV48" s="294"/>
      <c r="AAW48" s="294"/>
      <c r="AAX48" s="294"/>
      <c r="AAY48" s="294"/>
      <c r="AAZ48" s="294"/>
      <c r="ABA48" s="294"/>
      <c r="ABB48" s="294"/>
      <c r="ABC48" s="294">
        <v>0</v>
      </c>
      <c r="ABD48" s="294"/>
      <c r="ABE48" s="294"/>
      <c r="ABF48" s="294"/>
      <c r="ABG48" s="294"/>
      <c r="ABH48" s="294"/>
      <c r="ABI48" s="294"/>
      <c r="ABJ48" s="294"/>
      <c r="ABK48" s="294">
        <v>0</v>
      </c>
      <c r="ABL48" s="294"/>
      <c r="ABM48" s="294"/>
      <c r="ABN48" s="294"/>
      <c r="ABO48" s="294"/>
      <c r="ABP48" s="294"/>
      <c r="ABQ48" s="294"/>
      <c r="ABR48" s="294"/>
      <c r="ABS48" s="294"/>
      <c r="ABT48" s="294"/>
      <c r="ABU48" s="294"/>
      <c r="ABV48" s="294"/>
      <c r="ABW48" s="294"/>
      <c r="ABX48" s="294"/>
      <c r="ABY48" s="294"/>
      <c r="ABZ48" s="294"/>
      <c r="ACA48" s="294"/>
      <c r="ACB48" s="294"/>
      <c r="ACC48" s="294"/>
      <c r="ACD48" s="294">
        <v>516.84000000000015</v>
      </c>
      <c r="ACE48" s="294"/>
      <c r="ACF48" s="294"/>
      <c r="ACG48" s="294"/>
      <c r="ACH48" s="294"/>
      <c r="ACI48" s="294"/>
      <c r="ACJ48" s="294"/>
      <c r="ACK48" s="294"/>
      <c r="ACL48" s="294"/>
      <c r="ACM48" s="294"/>
      <c r="ACN48" s="294"/>
      <c r="ACO48" s="294"/>
      <c r="ACP48" s="294"/>
      <c r="ACQ48" s="294"/>
      <c r="ACR48" s="294"/>
      <c r="ACS48" s="294"/>
      <c r="ACT48" s="294"/>
      <c r="ACU48" s="294"/>
      <c r="ACV48" s="294"/>
      <c r="ACW48" s="294"/>
      <c r="ACX48" s="294"/>
      <c r="ACY48" s="294"/>
      <c r="ACZ48" s="294"/>
      <c r="ADA48" s="294"/>
      <c r="ADB48" s="294"/>
      <c r="ADC48" s="294"/>
      <c r="ADD48" s="294"/>
      <c r="ADE48" s="294"/>
      <c r="ADF48" s="294"/>
      <c r="ADG48" s="294">
        <v>5506.77</v>
      </c>
      <c r="ADH48" s="294"/>
      <c r="ADI48" s="294"/>
      <c r="ADJ48" s="294"/>
      <c r="ADK48" s="294"/>
      <c r="ADL48" s="294"/>
      <c r="ADM48" s="294"/>
      <c r="ADN48" s="294"/>
      <c r="ADO48" s="294"/>
      <c r="ADP48" s="294"/>
      <c r="ADQ48" s="294">
        <v>27311991.940000001</v>
      </c>
      <c r="ADR48" s="294"/>
      <c r="ADS48" s="294"/>
      <c r="ADT48" s="294"/>
      <c r="ADU48" s="294"/>
      <c r="ADV48" s="294"/>
      <c r="ADW48" s="294"/>
      <c r="ADX48" s="294"/>
      <c r="ADY48" s="294">
        <v>0</v>
      </c>
      <c r="ADZ48" s="294"/>
      <c r="AEA48" s="294"/>
      <c r="AEB48" s="294"/>
      <c r="AEC48" s="294"/>
      <c r="AED48" s="294"/>
      <c r="AEE48" s="294"/>
      <c r="AEF48" s="294"/>
      <c r="AEG48" s="294"/>
      <c r="AEH48" s="294"/>
      <c r="AEI48" s="294"/>
      <c r="AEJ48" s="294"/>
      <c r="AEK48" s="294"/>
      <c r="AEL48" s="294"/>
      <c r="AEM48" s="294"/>
      <c r="AEN48" s="294"/>
      <c r="AEO48" s="294"/>
      <c r="AEP48" s="294"/>
      <c r="AEQ48" s="294"/>
      <c r="AER48" s="294"/>
      <c r="AES48" s="294"/>
      <c r="AET48" s="294"/>
      <c r="AEU48" s="294"/>
      <c r="AEV48" s="294"/>
      <c r="AEW48" s="294"/>
      <c r="AEX48" s="294"/>
      <c r="AEY48" s="294"/>
      <c r="AEZ48" s="294"/>
      <c r="AFA48" s="294"/>
      <c r="AFB48" s="294"/>
      <c r="AFC48" s="294"/>
      <c r="AFD48" s="294"/>
      <c r="AFE48" s="294"/>
      <c r="AFF48" s="294"/>
      <c r="AFG48" s="294"/>
      <c r="AFH48" s="294"/>
      <c r="AFI48" s="294"/>
      <c r="AFJ48" s="294"/>
      <c r="AFK48" s="294"/>
      <c r="AFL48" s="294"/>
      <c r="AFM48" s="294"/>
      <c r="AFN48" s="294"/>
      <c r="AFO48" s="294"/>
      <c r="AFP48" s="294"/>
      <c r="AFQ48" s="294"/>
      <c r="AFR48" s="294"/>
      <c r="AFS48" s="294"/>
      <c r="AFT48" s="294"/>
      <c r="AFU48" s="294"/>
      <c r="AFV48" s="294"/>
      <c r="AFW48" s="294"/>
      <c r="AFX48" s="294"/>
      <c r="AFY48" s="294"/>
      <c r="AFZ48" s="294"/>
      <c r="AGA48" s="294"/>
      <c r="AGB48" s="294">
        <v>0</v>
      </c>
      <c r="AGC48" s="294"/>
      <c r="AGD48" s="294"/>
      <c r="AGE48" s="294"/>
      <c r="AGF48" s="294"/>
      <c r="AGG48" s="294"/>
      <c r="AGH48" s="294"/>
      <c r="AGI48" s="294"/>
      <c r="AGJ48" s="294"/>
      <c r="AGK48" s="294"/>
      <c r="AGL48" s="294"/>
      <c r="AGM48" s="294"/>
      <c r="AGN48" s="294"/>
      <c r="AGO48" s="294"/>
      <c r="AGP48" s="294"/>
      <c r="AGQ48" s="294"/>
      <c r="AGR48" s="294"/>
      <c r="AGS48" s="294"/>
      <c r="AGT48" s="294"/>
      <c r="AGU48" s="294"/>
      <c r="AGV48" s="294"/>
      <c r="AGW48" s="294"/>
      <c r="AGX48" s="294"/>
      <c r="AGY48" s="294"/>
      <c r="AGZ48" s="294"/>
      <c r="AHA48" s="294"/>
      <c r="AHB48" s="294"/>
      <c r="AHC48" s="294"/>
      <c r="AHD48" s="294"/>
      <c r="AHE48" s="294"/>
      <c r="AHF48" s="294">
        <v>57109562.780000001</v>
      </c>
      <c r="AHG48" s="294"/>
      <c r="AHH48" s="294"/>
      <c r="AHI48" s="294"/>
      <c r="AHJ48" s="294"/>
      <c r="AHK48" s="294"/>
      <c r="AHL48" s="294"/>
      <c r="AHM48" s="294"/>
      <c r="AHN48" s="294"/>
      <c r="AHO48" s="294"/>
      <c r="AHP48" s="294"/>
      <c r="AHQ48" s="294"/>
      <c r="AHR48" s="331"/>
      <c r="AHS48" s="294">
        <f t="shared" si="35"/>
        <v>271651482.63999999</v>
      </c>
    </row>
    <row r="49" spans="1:907" ht="24.6" x14ac:dyDescent="0.7">
      <c r="B49" s="268" t="s">
        <v>6045</v>
      </c>
      <c r="C49" s="6" t="s">
        <v>6046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294"/>
      <c r="AHQ49" s="294"/>
      <c r="AHR49" s="331"/>
      <c r="AHS49" s="294">
        <f t="shared" si="35"/>
        <v>1048862.1000000001</v>
      </c>
    </row>
    <row r="50" spans="1:907" ht="24.6" x14ac:dyDescent="0.7">
      <c r="B50" s="268" t="s">
        <v>6047</v>
      </c>
      <c r="C50" s="269" t="s">
        <v>6048</v>
      </c>
      <c r="D50" s="294"/>
      <c r="E50" s="294">
        <v>5716</v>
      </c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>
        <v>0</v>
      </c>
      <c r="W50" s="294"/>
      <c r="X50" s="294"/>
      <c r="Y50" s="294"/>
      <c r="Z50" s="294">
        <v>857410.72</v>
      </c>
      <c r="AA50" s="294"/>
      <c r="AB50" s="294"/>
      <c r="AC50" s="294"/>
      <c r="AD50" s="294"/>
      <c r="AE50" s="294"/>
      <c r="AF50" s="294"/>
      <c r="AG50" s="294"/>
      <c r="AH50" s="294">
        <v>255037</v>
      </c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>
        <v>869775.87</v>
      </c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>
        <v>41966</v>
      </c>
      <c r="BJ50" s="294">
        <v>2235969</v>
      </c>
      <c r="BK50" s="294"/>
      <c r="BL50" s="294"/>
      <c r="BM50" s="294"/>
      <c r="BN50" s="294"/>
      <c r="BO50" s="294"/>
      <c r="BP50" s="294"/>
      <c r="BQ50" s="294"/>
      <c r="BR50" s="294">
        <v>0</v>
      </c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>
        <v>0</v>
      </c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>
        <v>0</v>
      </c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294">
        <v>8288.99</v>
      </c>
      <c r="DL50" s="294"/>
      <c r="DM50" s="294">
        <v>0</v>
      </c>
      <c r="DN50" s="294"/>
      <c r="DO50" s="294"/>
      <c r="DP50" s="294"/>
      <c r="DQ50" s="294">
        <v>0</v>
      </c>
      <c r="DR50" s="294">
        <v>0</v>
      </c>
      <c r="DS50" s="294">
        <v>0</v>
      </c>
      <c r="DT50" s="294">
        <v>21000</v>
      </c>
      <c r="DU50" s="294"/>
      <c r="DV50" s="294">
        <v>0</v>
      </c>
      <c r="DW50" s="294"/>
      <c r="DX50" s="294">
        <v>0</v>
      </c>
      <c r="DY50" s="294"/>
      <c r="DZ50" s="294">
        <v>0</v>
      </c>
      <c r="EA50" s="294">
        <v>12935</v>
      </c>
      <c r="EB50" s="294"/>
      <c r="EC50" s="294"/>
      <c r="ED50" s="294"/>
      <c r="EE50" s="294">
        <v>0</v>
      </c>
      <c r="EF50" s="294">
        <v>0</v>
      </c>
      <c r="EG50" s="294"/>
      <c r="EH50" s="294"/>
      <c r="EI50" s="294"/>
      <c r="EJ50" s="294">
        <v>202399.5</v>
      </c>
      <c r="EK50" s="294"/>
      <c r="EL50" s="294"/>
      <c r="EM50" s="294"/>
      <c r="EN50" s="294">
        <v>113005</v>
      </c>
      <c r="EO50" s="294"/>
      <c r="EP50" s="294"/>
      <c r="EQ50" s="294"/>
      <c r="ER50" s="294"/>
      <c r="ES50" s="294"/>
      <c r="ET50" s="294"/>
      <c r="EU50" s="294">
        <v>0</v>
      </c>
      <c r="EV50" s="294"/>
      <c r="EW50" s="294">
        <v>0</v>
      </c>
      <c r="EX50" s="294">
        <v>0</v>
      </c>
      <c r="EY50" s="294">
        <v>0</v>
      </c>
      <c r="EZ50" s="294">
        <v>0</v>
      </c>
      <c r="FA50" s="294">
        <v>0</v>
      </c>
      <c r="FB50" s="294">
        <v>0</v>
      </c>
      <c r="FC50" s="294">
        <v>0</v>
      </c>
      <c r="FD50" s="294">
        <v>0</v>
      </c>
      <c r="FE50" s="294">
        <v>0</v>
      </c>
      <c r="FF50" s="294">
        <v>0</v>
      </c>
      <c r="FG50" s="294">
        <v>0</v>
      </c>
      <c r="FH50" s="294">
        <v>0</v>
      </c>
      <c r="FI50" s="294"/>
      <c r="FJ50" s="294"/>
      <c r="FK50" s="294"/>
      <c r="FL50" s="294"/>
      <c r="FM50" s="294"/>
      <c r="FN50" s="294"/>
      <c r="FO50" s="294"/>
      <c r="FP50" s="294"/>
      <c r="FQ50" s="294">
        <v>0</v>
      </c>
      <c r="FR50" s="294"/>
      <c r="FS50" s="294"/>
      <c r="FT50" s="294"/>
      <c r="FU50" s="294"/>
      <c r="FV50" s="294"/>
      <c r="FW50" s="294"/>
      <c r="FX50" s="294"/>
      <c r="FY50" s="294"/>
      <c r="FZ50" s="294"/>
      <c r="GA50" s="294"/>
      <c r="GB50" s="294"/>
      <c r="GC50" s="294"/>
      <c r="GD50" s="294"/>
      <c r="GE50" s="294">
        <v>2148270.9500000002</v>
      </c>
      <c r="GF50" s="294"/>
      <c r="GG50" s="294"/>
      <c r="GH50" s="294"/>
      <c r="GI50" s="294"/>
      <c r="GJ50" s="294"/>
      <c r="GK50" s="294">
        <v>3311110.1</v>
      </c>
      <c r="GL50" s="294"/>
      <c r="GM50" s="294"/>
      <c r="GN50" s="294"/>
      <c r="GO50" s="294"/>
      <c r="GP50" s="294">
        <v>3184214.17</v>
      </c>
      <c r="GQ50" s="294">
        <v>552604.42000000004</v>
      </c>
      <c r="GR50" s="294">
        <v>0</v>
      </c>
      <c r="GS50" s="294"/>
      <c r="GT50" s="294"/>
      <c r="GU50" s="294"/>
      <c r="GV50" s="294"/>
      <c r="GW50" s="294"/>
      <c r="GX50" s="294"/>
      <c r="GY50" s="294"/>
      <c r="GZ50" s="294"/>
      <c r="HA50" s="294"/>
      <c r="HB50" s="294">
        <v>1482500</v>
      </c>
      <c r="HC50" s="294">
        <v>0</v>
      </c>
      <c r="HD50" s="294"/>
      <c r="HE50" s="294">
        <v>1159.27</v>
      </c>
      <c r="HF50" s="294"/>
      <c r="HG50" s="294"/>
      <c r="HH50" s="294">
        <v>73258225.790000007</v>
      </c>
      <c r="HI50" s="294"/>
      <c r="HJ50" s="294">
        <v>5371393.7599999998</v>
      </c>
      <c r="HK50" s="294"/>
      <c r="HL50" s="294"/>
      <c r="HM50" s="294"/>
      <c r="HN50" s="294"/>
      <c r="HO50" s="294"/>
      <c r="HP50" s="294"/>
      <c r="HQ50" s="294"/>
      <c r="HR50" s="294"/>
      <c r="HS50" s="294">
        <v>113537.46</v>
      </c>
      <c r="HT50" s="294"/>
      <c r="HU50" s="294"/>
      <c r="HV50" s="294"/>
      <c r="HW50" s="294"/>
      <c r="HX50" s="294"/>
      <c r="HY50" s="294"/>
      <c r="HZ50" s="294"/>
      <c r="IA50" s="294"/>
      <c r="IB50" s="294"/>
      <c r="IC50" s="294">
        <v>118031.5</v>
      </c>
      <c r="ID50" s="294"/>
      <c r="IE50" s="294"/>
      <c r="IF50" s="294">
        <v>132.16999999999999</v>
      </c>
      <c r="IG50" s="294"/>
      <c r="IH50" s="294">
        <v>0</v>
      </c>
      <c r="II50" s="294">
        <v>170973</v>
      </c>
      <c r="IJ50" s="294">
        <v>0</v>
      </c>
      <c r="IK50" s="294">
        <v>1270</v>
      </c>
      <c r="IL50" s="294">
        <v>0</v>
      </c>
      <c r="IM50" s="294"/>
      <c r="IN50" s="294">
        <v>0</v>
      </c>
      <c r="IO50" s="294"/>
      <c r="IP50" s="294">
        <v>0</v>
      </c>
      <c r="IQ50" s="294"/>
      <c r="IR50" s="294">
        <v>0</v>
      </c>
      <c r="IS50" s="294">
        <v>1129.17</v>
      </c>
      <c r="IT50" s="294">
        <v>1157565.25</v>
      </c>
      <c r="IU50" s="294">
        <v>0</v>
      </c>
      <c r="IV50" s="294">
        <v>0</v>
      </c>
      <c r="IW50" s="294">
        <v>0</v>
      </c>
      <c r="IX50" s="294">
        <v>0</v>
      </c>
      <c r="IY50" s="294">
        <v>1188.6400000000001</v>
      </c>
      <c r="IZ50" s="294">
        <v>0</v>
      </c>
      <c r="JA50" s="294">
        <v>0</v>
      </c>
      <c r="JB50" s="294">
        <v>0</v>
      </c>
      <c r="JC50" s="294">
        <v>0</v>
      </c>
      <c r="JD50" s="294">
        <v>0</v>
      </c>
      <c r="JE50" s="294">
        <v>0</v>
      </c>
      <c r="JF50" s="294"/>
      <c r="JG50" s="294"/>
      <c r="JH50" s="294">
        <v>1135570.42</v>
      </c>
      <c r="JI50" s="294"/>
      <c r="JJ50" s="294">
        <v>127797.79</v>
      </c>
      <c r="JK50" s="294">
        <v>1061843.8500000001</v>
      </c>
      <c r="JL50" s="294"/>
      <c r="JM50" s="294"/>
      <c r="JN50" s="294"/>
      <c r="JO50" s="294">
        <v>681.25</v>
      </c>
      <c r="JP50" s="294"/>
      <c r="JQ50" s="294"/>
      <c r="JR50" s="294">
        <v>3716950.2</v>
      </c>
      <c r="JS50" s="294">
        <v>1445630.98</v>
      </c>
      <c r="JT50" s="294"/>
      <c r="JU50" s="294"/>
      <c r="JV50" s="294"/>
      <c r="JW50" s="294"/>
      <c r="JX50" s="294"/>
      <c r="JY50" s="294"/>
      <c r="JZ50" s="294"/>
      <c r="KA50" s="294"/>
      <c r="KB50" s="294">
        <v>320</v>
      </c>
      <c r="KC50" s="294"/>
      <c r="KD50" s="294"/>
      <c r="KE50" s="294"/>
      <c r="KF50" s="294"/>
      <c r="KG50" s="294"/>
      <c r="KH50" s="294">
        <v>0</v>
      </c>
      <c r="KI50" s="294"/>
      <c r="KJ50" s="294">
        <v>0</v>
      </c>
      <c r="KK50" s="294"/>
      <c r="KL50" s="294"/>
      <c r="KM50" s="294"/>
      <c r="KN50" s="294"/>
      <c r="KO50" s="294"/>
      <c r="KP50" s="294"/>
      <c r="KQ50" s="294"/>
      <c r="KR50" s="294"/>
      <c r="KS50" s="294"/>
      <c r="KT50" s="294"/>
      <c r="KU50" s="294"/>
      <c r="KV50" s="294"/>
      <c r="KW50" s="294"/>
      <c r="KX50" s="294"/>
      <c r="KY50" s="294">
        <v>0</v>
      </c>
      <c r="KZ50" s="294"/>
      <c r="LA50" s="294"/>
      <c r="LB50" s="294"/>
      <c r="LC50" s="294"/>
      <c r="LD50" s="294"/>
      <c r="LE50" s="294"/>
      <c r="LF50" s="294"/>
      <c r="LG50" s="294"/>
      <c r="LH50" s="294"/>
      <c r="LI50" s="294"/>
      <c r="LJ50" s="294"/>
      <c r="LK50" s="294"/>
      <c r="LL50" s="294"/>
      <c r="LM50" s="294">
        <v>151554.07</v>
      </c>
      <c r="LN50" s="294"/>
      <c r="LO50" s="294"/>
      <c r="LP50" s="294"/>
      <c r="LQ50" s="294"/>
      <c r="LR50" s="294"/>
      <c r="LS50" s="294"/>
      <c r="LT50" s="294"/>
      <c r="LU50" s="294"/>
      <c r="LV50" s="294"/>
      <c r="LW50" s="294">
        <v>0</v>
      </c>
      <c r="LX50" s="294">
        <v>97007</v>
      </c>
      <c r="LY50" s="294"/>
      <c r="LZ50" s="294"/>
      <c r="MA50" s="294"/>
      <c r="MB50" s="294"/>
      <c r="MC50" s="294"/>
      <c r="MD50" s="294"/>
      <c r="ME50" s="294"/>
      <c r="MF50" s="294"/>
      <c r="MG50" s="294">
        <v>1605850.47</v>
      </c>
      <c r="MH50" s="294"/>
      <c r="MI50" s="294"/>
      <c r="MJ50" s="294"/>
      <c r="MK50" s="294"/>
      <c r="ML50" s="294"/>
      <c r="MM50" s="294"/>
      <c r="MN50" s="294"/>
      <c r="MO50" s="294"/>
      <c r="MP50" s="294"/>
      <c r="MQ50" s="294"/>
      <c r="MR50" s="294"/>
      <c r="MS50" s="294">
        <v>0</v>
      </c>
      <c r="MT50" s="294"/>
      <c r="MU50" s="294"/>
      <c r="MV50" s="294"/>
      <c r="MW50" s="294"/>
      <c r="MX50" s="294"/>
      <c r="MY50" s="294"/>
      <c r="MZ50" s="294"/>
      <c r="NA50" s="294"/>
      <c r="NB50" s="294"/>
      <c r="NC50" s="294"/>
      <c r="ND50" s="294">
        <v>22598891</v>
      </c>
      <c r="NE50" s="294"/>
      <c r="NF50" s="294"/>
      <c r="NG50" s="294"/>
      <c r="NH50" s="294"/>
      <c r="NI50" s="294"/>
      <c r="NJ50" s="294"/>
      <c r="NK50" s="294"/>
      <c r="NL50" s="294">
        <v>47500</v>
      </c>
      <c r="NM50" s="294"/>
      <c r="NN50" s="294"/>
      <c r="NO50" s="294"/>
      <c r="NP50" s="294">
        <v>102010.35</v>
      </c>
      <c r="NQ50" s="294">
        <v>0</v>
      </c>
      <c r="NR50" s="294"/>
      <c r="NS50" s="294"/>
      <c r="NT50" s="294"/>
      <c r="NU50" s="294"/>
      <c r="NV50" s="294"/>
      <c r="NW50" s="294"/>
      <c r="NX50" s="294"/>
      <c r="NY50" s="294"/>
      <c r="NZ50" s="294"/>
      <c r="OA50" s="294"/>
      <c r="OB50" s="294"/>
      <c r="OC50" s="294">
        <v>2319.9499999999998</v>
      </c>
      <c r="OD50" s="294">
        <v>0</v>
      </c>
      <c r="OE50" s="294"/>
      <c r="OF50" s="294"/>
      <c r="OG50" s="294"/>
      <c r="OH50" s="294"/>
      <c r="OI50" s="294">
        <v>9271791.3599999994</v>
      </c>
      <c r="OJ50" s="294"/>
      <c r="OK50" s="294"/>
      <c r="OL50" s="294"/>
      <c r="OM50" s="294">
        <v>170688.67</v>
      </c>
      <c r="ON50" s="294">
        <v>0</v>
      </c>
      <c r="OO50" s="294">
        <v>0</v>
      </c>
      <c r="OP50" s="294">
        <v>0</v>
      </c>
      <c r="OQ50" s="294">
        <v>0</v>
      </c>
      <c r="OR50" s="294">
        <v>0</v>
      </c>
      <c r="OS50" s="294">
        <v>3202257</v>
      </c>
      <c r="OT50" s="294"/>
      <c r="OU50" s="294"/>
      <c r="OV50" s="294"/>
      <c r="OW50" s="294"/>
      <c r="OX50" s="294"/>
      <c r="OY50" s="294"/>
      <c r="OZ50" s="294"/>
      <c r="PA50" s="294"/>
      <c r="PB50" s="294">
        <v>0</v>
      </c>
      <c r="PC50" s="294"/>
      <c r="PD50" s="294"/>
      <c r="PE50" s="294"/>
      <c r="PF50" s="294"/>
      <c r="PG50" s="294"/>
      <c r="PH50" s="294">
        <v>0</v>
      </c>
      <c r="PI50" s="294">
        <v>0</v>
      </c>
      <c r="PJ50" s="294"/>
      <c r="PK50" s="294">
        <v>0</v>
      </c>
      <c r="PL50" s="294"/>
      <c r="PM50" s="294">
        <v>0</v>
      </c>
      <c r="PN50" s="294"/>
      <c r="PO50" s="294">
        <v>56051</v>
      </c>
      <c r="PP50" s="294"/>
      <c r="PQ50" s="294"/>
      <c r="PR50" s="294"/>
      <c r="PS50" s="294"/>
      <c r="PT50" s="294"/>
      <c r="PU50" s="294">
        <v>8216.3799999999992</v>
      </c>
      <c r="PV50" s="294">
        <v>0</v>
      </c>
      <c r="PW50" s="294">
        <v>0</v>
      </c>
      <c r="PX50" s="294">
        <v>0</v>
      </c>
      <c r="PY50" s="294">
        <v>0</v>
      </c>
      <c r="PZ50" s="294"/>
      <c r="QA50" s="294">
        <v>500</v>
      </c>
      <c r="QB50" s="294">
        <v>0</v>
      </c>
      <c r="QC50" s="294">
        <v>0</v>
      </c>
      <c r="QD50" s="294">
        <v>0</v>
      </c>
      <c r="QE50" s="294">
        <v>0</v>
      </c>
      <c r="QF50" s="294">
        <v>0</v>
      </c>
      <c r="QG50" s="294">
        <v>0</v>
      </c>
      <c r="QH50" s="294">
        <v>0</v>
      </c>
      <c r="QI50" s="294">
        <v>0</v>
      </c>
      <c r="QJ50" s="294">
        <v>0</v>
      </c>
      <c r="QK50" s="294">
        <v>0</v>
      </c>
      <c r="QL50" s="294">
        <v>0</v>
      </c>
      <c r="QM50" s="294">
        <v>0</v>
      </c>
      <c r="QN50" s="294">
        <v>0</v>
      </c>
      <c r="QO50" s="294">
        <v>0</v>
      </c>
      <c r="QP50" s="294">
        <v>0</v>
      </c>
      <c r="QQ50" s="294">
        <v>148500.01</v>
      </c>
      <c r="QR50" s="294">
        <v>872747.48</v>
      </c>
      <c r="QS50" s="294">
        <v>0</v>
      </c>
      <c r="QT50" s="294">
        <v>0</v>
      </c>
      <c r="QU50" s="294"/>
      <c r="QV50" s="294"/>
      <c r="QW50" s="294"/>
      <c r="QX50" s="294"/>
      <c r="QY50" s="294"/>
      <c r="QZ50" s="294"/>
      <c r="RA50" s="294"/>
      <c r="RB50" s="294"/>
      <c r="RC50" s="294"/>
      <c r="RD50" s="294">
        <v>55656</v>
      </c>
      <c r="RE50" s="294"/>
      <c r="RF50" s="294"/>
      <c r="RG50" s="294">
        <v>0</v>
      </c>
      <c r="RH50" s="294"/>
      <c r="RI50" s="294"/>
      <c r="RJ50" s="294"/>
      <c r="RK50" s="294"/>
      <c r="RL50" s="294"/>
      <c r="RM50" s="294"/>
      <c r="RN50" s="294"/>
      <c r="RO50" s="294"/>
      <c r="RP50" s="294"/>
      <c r="RQ50" s="294"/>
      <c r="RR50" s="294"/>
      <c r="RS50" s="294">
        <v>306586.57</v>
      </c>
      <c r="RT50" s="294"/>
      <c r="RU50" s="294"/>
      <c r="RV50" s="294"/>
      <c r="RW50" s="294"/>
      <c r="RX50" s="294"/>
      <c r="RY50" s="294"/>
      <c r="RZ50" s="294"/>
      <c r="SA50" s="294">
        <v>3763467.1500000004</v>
      </c>
      <c r="SB50" s="294"/>
      <c r="SC50" s="294"/>
      <c r="SD50" s="294"/>
      <c r="SE50" s="294"/>
      <c r="SF50" s="294"/>
      <c r="SG50" s="294">
        <v>4704182.25</v>
      </c>
      <c r="SH50" s="294"/>
      <c r="SI50" s="294"/>
      <c r="SJ50" s="294"/>
      <c r="SK50" s="294"/>
      <c r="SL50" s="294"/>
      <c r="SM50" s="294"/>
      <c r="SN50" s="294"/>
      <c r="SO50" s="294"/>
      <c r="SP50" s="294"/>
      <c r="SQ50" s="294"/>
      <c r="SR50" s="294"/>
      <c r="SS50" s="294"/>
      <c r="ST50" s="294"/>
      <c r="SU50" s="294"/>
      <c r="SV50" s="294"/>
      <c r="SW50" s="294"/>
      <c r="SX50" s="294"/>
      <c r="SY50" s="294"/>
      <c r="SZ50" s="294"/>
      <c r="TA50" s="294"/>
      <c r="TB50" s="294"/>
      <c r="TC50" s="294"/>
      <c r="TD50" s="294"/>
      <c r="TE50" s="294"/>
      <c r="TF50" s="294"/>
      <c r="TG50" s="294"/>
      <c r="TH50" s="294"/>
      <c r="TI50" s="294"/>
      <c r="TJ50" s="294"/>
      <c r="TK50" s="294"/>
      <c r="TL50" s="294"/>
      <c r="TM50" s="294"/>
      <c r="TN50" s="294"/>
      <c r="TO50" s="294"/>
      <c r="TP50" s="294"/>
      <c r="TQ50" s="294"/>
      <c r="TR50" s="294"/>
      <c r="TS50" s="294"/>
      <c r="TT50" s="294"/>
      <c r="TU50" s="294"/>
      <c r="TV50" s="294"/>
      <c r="TW50" s="294"/>
      <c r="TX50" s="294"/>
      <c r="TY50" s="294"/>
      <c r="TZ50" s="294"/>
      <c r="UA50" s="294">
        <v>8378826.0300000003</v>
      </c>
      <c r="UB50" s="294">
        <v>0</v>
      </c>
      <c r="UC50" s="294"/>
      <c r="UD50" s="294"/>
      <c r="UE50" s="294"/>
      <c r="UF50" s="294"/>
      <c r="UG50" s="294"/>
      <c r="UH50" s="294"/>
      <c r="UI50" s="294"/>
      <c r="UJ50" s="294">
        <v>0</v>
      </c>
      <c r="UK50" s="294"/>
      <c r="UL50" s="294"/>
      <c r="UM50" s="294"/>
      <c r="UN50" s="294"/>
      <c r="UO50" s="294"/>
      <c r="UP50" s="294">
        <v>99875.68</v>
      </c>
      <c r="UQ50" s="294"/>
      <c r="UR50" s="294"/>
      <c r="US50" s="294">
        <v>0</v>
      </c>
      <c r="UT50" s="294"/>
      <c r="UU50" s="294"/>
      <c r="UV50" s="294"/>
      <c r="UW50" s="294"/>
      <c r="UX50" s="294"/>
      <c r="UY50" s="294"/>
      <c r="UZ50" s="294"/>
      <c r="VA50" s="294"/>
      <c r="VB50" s="294"/>
      <c r="VC50" s="294"/>
      <c r="VD50" s="294">
        <v>295149.14</v>
      </c>
      <c r="VE50" s="294"/>
      <c r="VF50" s="294"/>
      <c r="VG50" s="294"/>
      <c r="VH50" s="294"/>
      <c r="VI50" s="294"/>
      <c r="VJ50" s="294"/>
      <c r="VK50" s="294"/>
      <c r="VL50" s="294">
        <v>0</v>
      </c>
      <c r="VM50" s="294"/>
      <c r="VN50" s="294"/>
      <c r="VO50" s="294"/>
      <c r="VP50" s="294">
        <v>1238690</v>
      </c>
      <c r="VQ50" s="294"/>
      <c r="VR50" s="294"/>
      <c r="VS50" s="294"/>
      <c r="VT50" s="294"/>
      <c r="VU50" s="294"/>
      <c r="VV50" s="294"/>
      <c r="VW50" s="294">
        <v>418599</v>
      </c>
      <c r="VX50" s="294"/>
      <c r="VY50" s="294"/>
      <c r="VZ50" s="294"/>
      <c r="WA50" s="294">
        <v>0</v>
      </c>
      <c r="WB50" s="294"/>
      <c r="WC50" s="294"/>
      <c r="WD50" s="294"/>
      <c r="WE50" s="294"/>
      <c r="WF50" s="294"/>
      <c r="WG50" s="294"/>
      <c r="WH50" s="294"/>
      <c r="WI50" s="294"/>
      <c r="WJ50" s="294"/>
      <c r="WK50" s="294">
        <v>500</v>
      </c>
      <c r="WL50" s="294"/>
      <c r="WM50" s="294"/>
      <c r="WN50" s="294">
        <v>1622368.22</v>
      </c>
      <c r="WO50" s="294"/>
      <c r="WP50" s="294"/>
      <c r="WQ50" s="294"/>
      <c r="WR50" s="294"/>
      <c r="WS50" s="294"/>
      <c r="WT50" s="294"/>
      <c r="WU50" s="294"/>
      <c r="WV50" s="294"/>
      <c r="WW50" s="294"/>
      <c r="WX50" s="294"/>
      <c r="WY50" s="294">
        <v>24726621.010000002</v>
      </c>
      <c r="WZ50" s="294"/>
      <c r="XA50" s="294"/>
      <c r="XB50" s="294"/>
      <c r="XC50" s="294"/>
      <c r="XD50" s="294"/>
      <c r="XE50" s="294"/>
      <c r="XF50" s="294"/>
      <c r="XG50" s="294"/>
      <c r="XH50" s="294">
        <v>22382</v>
      </c>
      <c r="XI50" s="294"/>
      <c r="XJ50" s="294"/>
      <c r="XK50" s="294"/>
      <c r="XL50" s="294"/>
      <c r="XM50" s="294"/>
      <c r="XN50" s="294"/>
      <c r="XO50" s="294"/>
      <c r="XP50" s="294"/>
      <c r="XQ50" s="294"/>
      <c r="XR50" s="294"/>
      <c r="XS50" s="294"/>
      <c r="XT50" s="294"/>
      <c r="XU50" s="294"/>
      <c r="XV50" s="294"/>
      <c r="XW50" s="294"/>
      <c r="XX50" s="294"/>
      <c r="XY50" s="294"/>
      <c r="XZ50" s="294"/>
      <c r="YA50" s="294"/>
      <c r="YB50" s="294"/>
      <c r="YC50" s="294"/>
      <c r="YD50" s="294"/>
      <c r="YE50" s="294"/>
      <c r="YF50" s="294"/>
      <c r="YG50" s="294"/>
      <c r="YH50" s="294"/>
      <c r="YI50" s="294">
        <v>0</v>
      </c>
      <c r="YJ50" s="294"/>
      <c r="YK50" s="294"/>
      <c r="YL50" s="294"/>
      <c r="YM50" s="294"/>
      <c r="YN50" s="294"/>
      <c r="YO50" s="294"/>
      <c r="YP50" s="294"/>
      <c r="YQ50" s="294"/>
      <c r="YR50" s="294"/>
      <c r="YS50" s="294"/>
      <c r="YT50" s="294"/>
      <c r="YU50" s="294"/>
      <c r="YV50" s="294">
        <v>0</v>
      </c>
      <c r="YW50" s="294"/>
      <c r="YX50" s="294"/>
      <c r="YY50" s="294"/>
      <c r="YZ50" s="294"/>
      <c r="ZA50" s="294"/>
      <c r="ZB50" s="294"/>
      <c r="ZC50" s="294">
        <v>0</v>
      </c>
      <c r="ZD50" s="294"/>
      <c r="ZE50" s="294"/>
      <c r="ZF50" s="294"/>
      <c r="ZG50" s="294"/>
      <c r="ZH50" s="294">
        <v>0</v>
      </c>
      <c r="ZI50" s="294"/>
      <c r="ZJ50" s="294"/>
      <c r="ZK50" s="294"/>
      <c r="ZL50" s="294">
        <v>0</v>
      </c>
      <c r="ZM50" s="294"/>
      <c r="ZN50" s="294"/>
      <c r="ZO50" s="294"/>
      <c r="ZP50" s="294"/>
      <c r="ZQ50" s="294"/>
      <c r="ZR50" s="294"/>
      <c r="ZS50" s="294"/>
      <c r="ZT50" s="294"/>
      <c r="ZU50" s="294"/>
      <c r="ZV50" s="294"/>
      <c r="ZW50" s="294"/>
      <c r="ZX50" s="294"/>
      <c r="ZY50" s="294">
        <v>2400</v>
      </c>
      <c r="ZZ50" s="294"/>
      <c r="AAA50" s="294"/>
      <c r="AAB50" s="294">
        <v>0</v>
      </c>
      <c r="AAC50" s="294"/>
      <c r="AAD50" s="294"/>
      <c r="AAE50" s="294"/>
      <c r="AAF50" s="294"/>
      <c r="AAG50" s="294"/>
      <c r="AAH50" s="294">
        <v>332550.68</v>
      </c>
      <c r="AAI50" s="294"/>
      <c r="AAJ50" s="294"/>
      <c r="AAK50" s="294"/>
      <c r="AAL50" s="294"/>
      <c r="AAM50" s="294"/>
      <c r="AAN50" s="294"/>
      <c r="AAO50" s="294"/>
      <c r="AAP50" s="294"/>
      <c r="AAQ50" s="294"/>
      <c r="AAR50" s="294"/>
      <c r="AAS50" s="294"/>
      <c r="AAT50" s="294"/>
      <c r="AAU50" s="294">
        <v>0</v>
      </c>
      <c r="AAV50" s="294"/>
      <c r="AAW50" s="294">
        <v>49200</v>
      </c>
      <c r="AAX50" s="294"/>
      <c r="AAY50" s="294">
        <v>10187.049999999999</v>
      </c>
      <c r="AAZ50" s="294">
        <v>1000</v>
      </c>
      <c r="ABA50" s="294"/>
      <c r="ABB50" s="294">
        <v>0</v>
      </c>
      <c r="ABC50" s="294">
        <v>0</v>
      </c>
      <c r="ABD50" s="294"/>
      <c r="ABE50" s="294"/>
      <c r="ABF50" s="294"/>
      <c r="ABG50" s="294"/>
      <c r="ABH50" s="294"/>
      <c r="ABI50" s="294"/>
      <c r="ABJ50" s="294"/>
      <c r="ABK50" s="294">
        <v>0</v>
      </c>
      <c r="ABL50" s="294"/>
      <c r="ABM50" s="294"/>
      <c r="ABN50" s="294"/>
      <c r="ABO50" s="294">
        <v>0</v>
      </c>
      <c r="ABP50" s="294"/>
      <c r="ABQ50" s="294"/>
      <c r="ABR50" s="294"/>
      <c r="ABS50" s="294"/>
      <c r="ABT50" s="294"/>
      <c r="ABU50" s="294"/>
      <c r="ABV50" s="294">
        <v>0</v>
      </c>
      <c r="ABW50" s="294"/>
      <c r="ABX50" s="294"/>
      <c r="ABY50" s="294">
        <v>6068341.8100000005</v>
      </c>
      <c r="ABZ50" s="294"/>
      <c r="ACA50" s="294"/>
      <c r="ACB50" s="294"/>
      <c r="ACC50" s="294">
        <v>25200</v>
      </c>
      <c r="ACD50" s="294"/>
      <c r="ACE50" s="294"/>
      <c r="ACF50" s="294"/>
      <c r="ACG50" s="294"/>
      <c r="ACH50" s="294"/>
      <c r="ACI50" s="294">
        <v>8755345.2699999996</v>
      </c>
      <c r="ACJ50" s="294"/>
      <c r="ACK50" s="294"/>
      <c r="ACL50" s="294">
        <v>14655.57</v>
      </c>
      <c r="ACM50" s="294">
        <v>1615524.29</v>
      </c>
      <c r="ACN50" s="294"/>
      <c r="ACO50" s="294">
        <v>28926.77</v>
      </c>
      <c r="ACP50" s="294"/>
      <c r="ACQ50" s="294"/>
      <c r="ACR50" s="294"/>
      <c r="ACS50" s="294"/>
      <c r="ACT50" s="294"/>
      <c r="ACU50" s="294"/>
      <c r="ACV50" s="294">
        <v>0</v>
      </c>
      <c r="ACW50" s="294"/>
      <c r="ACX50" s="294"/>
      <c r="ACY50" s="294"/>
      <c r="ACZ50" s="294"/>
      <c r="ADA50" s="294"/>
      <c r="ADB50" s="294"/>
      <c r="ADC50" s="294"/>
      <c r="ADD50" s="294"/>
      <c r="ADE50" s="294"/>
      <c r="ADF50" s="294">
        <v>84334.2</v>
      </c>
      <c r="ADG50" s="294">
        <v>2154543.5</v>
      </c>
      <c r="ADH50" s="294"/>
      <c r="ADI50" s="294"/>
      <c r="ADJ50" s="294"/>
      <c r="ADK50" s="294">
        <v>0</v>
      </c>
      <c r="ADL50" s="294"/>
      <c r="ADM50" s="294"/>
      <c r="ADN50" s="294"/>
      <c r="ADO50" s="294">
        <v>264000</v>
      </c>
      <c r="ADP50" s="294"/>
      <c r="ADQ50" s="294"/>
      <c r="ADR50" s="294"/>
      <c r="ADS50" s="294"/>
      <c r="ADT50" s="294"/>
      <c r="ADU50" s="294"/>
      <c r="ADV50" s="294"/>
      <c r="ADW50" s="294"/>
      <c r="ADX50" s="294">
        <v>10884</v>
      </c>
      <c r="ADY50" s="294">
        <v>0</v>
      </c>
      <c r="ADZ50" s="294">
        <v>0</v>
      </c>
      <c r="AEA50" s="294"/>
      <c r="AEB50" s="294"/>
      <c r="AEC50" s="294"/>
      <c r="AED50" s="294"/>
      <c r="AEE50" s="294"/>
      <c r="AEF50" s="294"/>
      <c r="AEG50" s="294">
        <v>1759.51</v>
      </c>
      <c r="AEH50" s="294"/>
      <c r="AEI50" s="294"/>
      <c r="AEJ50" s="294"/>
      <c r="AEK50" s="294"/>
      <c r="AEL50" s="294"/>
      <c r="AEM50" s="294"/>
      <c r="AEN50" s="294"/>
      <c r="AEO50" s="294"/>
      <c r="AEP50" s="294"/>
      <c r="AEQ50" s="294"/>
      <c r="AER50" s="294"/>
      <c r="AES50" s="294">
        <v>0</v>
      </c>
      <c r="AET50" s="294"/>
      <c r="AEU50" s="294"/>
      <c r="AEV50" s="294"/>
      <c r="AEW50" s="294"/>
      <c r="AEX50" s="294"/>
      <c r="AEY50" s="294"/>
      <c r="AEZ50" s="294"/>
      <c r="AFA50" s="294"/>
      <c r="AFB50" s="294"/>
      <c r="AFC50" s="294">
        <v>146717.38</v>
      </c>
      <c r="AFD50" s="294"/>
      <c r="AFE50" s="294"/>
      <c r="AFF50" s="294">
        <v>2027578.42</v>
      </c>
      <c r="AFG50" s="294"/>
      <c r="AFH50" s="294"/>
      <c r="AFI50" s="294"/>
      <c r="AFJ50" s="294"/>
      <c r="AFK50" s="294"/>
      <c r="AFL50" s="294"/>
      <c r="AFM50" s="294"/>
      <c r="AFN50" s="294"/>
      <c r="AFO50" s="294"/>
      <c r="AFP50" s="294">
        <v>24811733.350000001</v>
      </c>
      <c r="AFQ50" s="294"/>
      <c r="AFR50" s="294"/>
      <c r="AFS50" s="294">
        <v>1288294.57</v>
      </c>
      <c r="AFT50" s="294">
        <v>14912.46</v>
      </c>
      <c r="AFU50" s="294"/>
      <c r="AFV50" s="294">
        <v>486118.72</v>
      </c>
      <c r="AFW50" s="294"/>
      <c r="AFX50" s="294">
        <v>260407</v>
      </c>
      <c r="AFY50" s="294">
        <v>2446262.41</v>
      </c>
      <c r="AFZ50" s="294">
        <v>303578.65000000002</v>
      </c>
      <c r="AGA50" s="294"/>
      <c r="AGB50" s="294"/>
      <c r="AGC50" s="294"/>
      <c r="AGD50" s="294"/>
      <c r="AGE50" s="294"/>
      <c r="AGF50" s="294"/>
      <c r="AGG50" s="294"/>
      <c r="AGH50" s="294"/>
      <c r="AGI50" s="294"/>
      <c r="AGJ50" s="294"/>
      <c r="AGK50" s="294"/>
      <c r="AGL50" s="294"/>
      <c r="AGM50" s="294">
        <v>892194</v>
      </c>
      <c r="AGN50" s="294"/>
      <c r="AGO50" s="294"/>
      <c r="AGP50" s="294"/>
      <c r="AGQ50" s="294"/>
      <c r="AGR50" s="294"/>
      <c r="AGS50" s="294"/>
      <c r="AGT50" s="294"/>
      <c r="AGU50" s="294">
        <v>782391.87</v>
      </c>
      <c r="AGV50" s="294">
        <v>78332.639999999999</v>
      </c>
      <c r="AGW50" s="294"/>
      <c r="AGX50" s="294"/>
      <c r="AGY50" s="294"/>
      <c r="AGZ50" s="294"/>
      <c r="AHA50" s="294"/>
      <c r="AHB50" s="294"/>
      <c r="AHC50" s="294"/>
      <c r="AHD50" s="294"/>
      <c r="AHE50" s="294"/>
      <c r="AHF50" s="294"/>
      <c r="AHG50" s="294">
        <v>1489805.99</v>
      </c>
      <c r="AHH50" s="294">
        <v>456309.8</v>
      </c>
      <c r="AHI50" s="294"/>
      <c r="AHJ50" s="294"/>
      <c r="AHK50" s="294"/>
      <c r="AHL50" s="294">
        <v>1172858</v>
      </c>
      <c r="AHM50" s="294"/>
      <c r="AHN50" s="294"/>
      <c r="AHO50" s="294"/>
      <c r="AHP50" s="294"/>
      <c r="AHQ50" s="294"/>
      <c r="AHR50" s="331"/>
      <c r="AHS50" s="294">
        <f t="shared" si="35"/>
        <v>243030738.91999996</v>
      </c>
    </row>
    <row r="51" spans="1:907" ht="24.6" x14ac:dyDescent="0.7">
      <c r="B51" s="268" t="s">
        <v>6049</v>
      </c>
      <c r="C51" s="269" t="s">
        <v>6050</v>
      </c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>
        <v>0</v>
      </c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>
        <v>0</v>
      </c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>
        <v>0</v>
      </c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>
        <v>0</v>
      </c>
      <c r="CU51" s="294">
        <v>487149.52</v>
      </c>
      <c r="CV51" s="294"/>
      <c r="CW51" s="294"/>
      <c r="CX51" s="294">
        <v>10205.39</v>
      </c>
      <c r="CY51" s="294"/>
      <c r="CZ51" s="294"/>
      <c r="DA51" s="294">
        <v>647493</v>
      </c>
      <c r="DB51" s="294"/>
      <c r="DC51" s="294"/>
      <c r="DD51" s="294"/>
      <c r="DE51" s="294"/>
      <c r="DF51" s="294"/>
      <c r="DG51" s="294"/>
      <c r="DH51" s="294"/>
      <c r="DI51" s="294"/>
      <c r="DJ51" s="294"/>
      <c r="DK51" s="294"/>
      <c r="DL51" s="294"/>
      <c r="DM51" s="294"/>
      <c r="DN51" s="294"/>
      <c r="DO51" s="294"/>
      <c r="DP51" s="294"/>
      <c r="DQ51" s="294"/>
      <c r="DR51" s="294"/>
      <c r="DS51" s="294">
        <v>0</v>
      </c>
      <c r="DT51" s="294">
        <v>30354653.559999999</v>
      </c>
      <c r="DU51" s="294"/>
      <c r="DV51" s="294"/>
      <c r="DW51" s="294"/>
      <c r="DX51" s="294"/>
      <c r="DY51" s="294"/>
      <c r="DZ51" s="294"/>
      <c r="EA51" s="294"/>
      <c r="EB51" s="294"/>
      <c r="EC51" s="294"/>
      <c r="ED51" s="294"/>
      <c r="EE51" s="294">
        <v>0</v>
      </c>
      <c r="EF51" s="294">
        <v>0</v>
      </c>
      <c r="EG51" s="294"/>
      <c r="EH51" s="294"/>
      <c r="EI51" s="294"/>
      <c r="EJ51" s="294"/>
      <c r="EK51" s="294"/>
      <c r="EL51" s="294"/>
      <c r="EM51" s="294"/>
      <c r="EN51" s="294">
        <v>0</v>
      </c>
      <c r="EO51" s="294"/>
      <c r="EP51" s="294"/>
      <c r="EQ51" s="294"/>
      <c r="ER51" s="294"/>
      <c r="ES51" s="294"/>
      <c r="ET51" s="294"/>
      <c r="EU51" s="294"/>
      <c r="EV51" s="294"/>
      <c r="EW51" s="294">
        <v>0</v>
      </c>
      <c r="EX51" s="294"/>
      <c r="EY51" s="294">
        <v>0</v>
      </c>
      <c r="EZ51" s="294"/>
      <c r="FA51" s="294">
        <v>0</v>
      </c>
      <c r="FB51" s="294">
        <v>0</v>
      </c>
      <c r="FC51" s="294">
        <v>0</v>
      </c>
      <c r="FD51" s="294">
        <v>0</v>
      </c>
      <c r="FE51" s="294">
        <v>0</v>
      </c>
      <c r="FF51" s="294"/>
      <c r="FG51" s="294">
        <v>0</v>
      </c>
      <c r="FH51" s="294"/>
      <c r="FI51" s="294"/>
      <c r="FJ51" s="294"/>
      <c r="FK51" s="294"/>
      <c r="FL51" s="294"/>
      <c r="FM51" s="294">
        <v>4119399.39</v>
      </c>
      <c r="FN51" s="294"/>
      <c r="FO51" s="294"/>
      <c r="FP51" s="294"/>
      <c r="FQ51" s="294"/>
      <c r="FR51" s="294"/>
      <c r="FS51" s="294"/>
      <c r="FT51" s="294"/>
      <c r="FU51" s="294"/>
      <c r="FV51" s="294"/>
      <c r="FW51" s="294"/>
      <c r="FX51" s="294"/>
      <c r="FY51" s="294"/>
      <c r="FZ51" s="294"/>
      <c r="GA51" s="294"/>
      <c r="GB51" s="294"/>
      <c r="GC51" s="294"/>
      <c r="GD51" s="294"/>
      <c r="GE51" s="294"/>
      <c r="GF51" s="294"/>
      <c r="GG51" s="294"/>
      <c r="GH51" s="294"/>
      <c r="GI51" s="294"/>
      <c r="GJ51" s="294"/>
      <c r="GK51" s="294">
        <v>3723315.33</v>
      </c>
      <c r="GL51" s="294">
        <v>174856.2</v>
      </c>
      <c r="GM51" s="294"/>
      <c r="GN51" s="294"/>
      <c r="GO51" s="294">
        <v>29306.92</v>
      </c>
      <c r="GP51" s="294"/>
      <c r="GQ51" s="294"/>
      <c r="GR51" s="294"/>
      <c r="GS51" s="294"/>
      <c r="GT51" s="294"/>
      <c r="GU51" s="294"/>
      <c r="GV51" s="294"/>
      <c r="GW51" s="294"/>
      <c r="GX51" s="294"/>
      <c r="GY51" s="294"/>
      <c r="GZ51" s="294"/>
      <c r="HA51" s="294"/>
      <c r="HB51" s="294"/>
      <c r="HC51" s="294"/>
      <c r="HD51" s="294"/>
      <c r="HE51" s="294"/>
      <c r="HF51" s="294"/>
      <c r="HG51" s="294"/>
      <c r="HH51" s="294">
        <v>8448516.3499999996</v>
      </c>
      <c r="HI51" s="294"/>
      <c r="HJ51" s="294"/>
      <c r="HK51" s="294"/>
      <c r="HL51" s="294"/>
      <c r="HM51" s="294">
        <v>14909934.08</v>
      </c>
      <c r="HN51" s="294"/>
      <c r="HO51" s="294"/>
      <c r="HP51" s="294"/>
      <c r="HQ51" s="294"/>
      <c r="HR51" s="294"/>
      <c r="HS51" s="294"/>
      <c r="HT51" s="294"/>
      <c r="HU51" s="294"/>
      <c r="HV51" s="294"/>
      <c r="HW51" s="294"/>
      <c r="HX51" s="294"/>
      <c r="HY51" s="294"/>
      <c r="HZ51" s="294"/>
      <c r="IA51" s="294"/>
      <c r="IB51" s="294"/>
      <c r="IC51" s="294">
        <v>2031424.25</v>
      </c>
      <c r="ID51" s="294"/>
      <c r="IE51" s="294"/>
      <c r="IF51" s="294"/>
      <c r="IG51" s="294"/>
      <c r="IH51" s="294">
        <v>0</v>
      </c>
      <c r="II51" s="294"/>
      <c r="IJ51" s="294">
        <v>0</v>
      </c>
      <c r="IK51" s="294">
        <v>392.52</v>
      </c>
      <c r="IL51" s="294">
        <v>0</v>
      </c>
      <c r="IM51" s="294"/>
      <c r="IN51" s="294">
        <v>0</v>
      </c>
      <c r="IO51" s="294"/>
      <c r="IP51" s="294"/>
      <c r="IQ51" s="294"/>
      <c r="IR51" s="294"/>
      <c r="IS51" s="294">
        <v>0</v>
      </c>
      <c r="IT51" s="294"/>
      <c r="IU51" s="294"/>
      <c r="IV51" s="294"/>
      <c r="IW51" s="294"/>
      <c r="IX51" s="294"/>
      <c r="IY51" s="294"/>
      <c r="IZ51" s="294"/>
      <c r="JA51" s="294"/>
      <c r="JB51" s="294"/>
      <c r="JC51" s="294"/>
      <c r="JD51" s="294">
        <v>0</v>
      </c>
      <c r="JE51" s="294">
        <v>1000</v>
      </c>
      <c r="JF51" s="294"/>
      <c r="JG51" s="294"/>
      <c r="JH51" s="294">
        <v>832704.44</v>
      </c>
      <c r="JI51" s="294"/>
      <c r="JJ51" s="294"/>
      <c r="JK51" s="294">
        <v>877003.5</v>
      </c>
      <c r="JL51" s="294"/>
      <c r="JM51" s="294"/>
      <c r="JN51" s="294"/>
      <c r="JO51" s="294"/>
      <c r="JP51" s="294"/>
      <c r="JQ51" s="294"/>
      <c r="JR51" s="294"/>
      <c r="JS51" s="294"/>
      <c r="JT51" s="294"/>
      <c r="JU51" s="294"/>
      <c r="JV51" s="294"/>
      <c r="JW51" s="294"/>
      <c r="JX51" s="294"/>
      <c r="JY51" s="294"/>
      <c r="JZ51" s="294"/>
      <c r="KA51" s="294"/>
      <c r="KB51" s="294"/>
      <c r="KC51" s="294"/>
      <c r="KD51" s="294"/>
      <c r="KE51" s="294"/>
      <c r="KF51" s="294"/>
      <c r="KG51" s="294"/>
      <c r="KH51" s="294">
        <v>0</v>
      </c>
      <c r="KI51" s="294"/>
      <c r="KJ51" s="294"/>
      <c r="KK51" s="294"/>
      <c r="KL51" s="294"/>
      <c r="KM51" s="294"/>
      <c r="KN51" s="294"/>
      <c r="KO51" s="294"/>
      <c r="KP51" s="294"/>
      <c r="KQ51" s="294"/>
      <c r="KR51" s="294"/>
      <c r="KS51" s="294"/>
      <c r="KT51" s="294"/>
      <c r="KU51" s="294"/>
      <c r="KV51" s="294"/>
      <c r="KW51" s="294"/>
      <c r="KX51" s="294"/>
      <c r="KY51" s="294">
        <v>0</v>
      </c>
      <c r="KZ51" s="294"/>
      <c r="LA51" s="294"/>
      <c r="LB51" s="294"/>
      <c r="LC51" s="294"/>
      <c r="LD51" s="294"/>
      <c r="LE51" s="294"/>
      <c r="LF51" s="294"/>
      <c r="LG51" s="294"/>
      <c r="LH51" s="294">
        <v>25971</v>
      </c>
      <c r="LI51" s="294"/>
      <c r="LJ51" s="294"/>
      <c r="LK51" s="294"/>
      <c r="LL51" s="294"/>
      <c r="LM51" s="294"/>
      <c r="LN51" s="294"/>
      <c r="LO51" s="294"/>
      <c r="LP51" s="294"/>
      <c r="LQ51" s="294"/>
      <c r="LR51" s="294"/>
      <c r="LS51" s="294"/>
      <c r="LT51" s="294"/>
      <c r="LU51" s="294"/>
      <c r="LV51" s="294"/>
      <c r="LW51" s="294"/>
      <c r="LX51" s="294"/>
      <c r="LY51" s="294"/>
      <c r="LZ51" s="294"/>
      <c r="MA51" s="294"/>
      <c r="MB51" s="294"/>
      <c r="MC51" s="294"/>
      <c r="MD51" s="294"/>
      <c r="ME51" s="294"/>
      <c r="MF51" s="294"/>
      <c r="MG51" s="294"/>
      <c r="MH51" s="294"/>
      <c r="MI51" s="294"/>
      <c r="MJ51" s="294"/>
      <c r="MK51" s="294"/>
      <c r="ML51" s="294"/>
      <c r="MM51" s="294"/>
      <c r="MN51" s="294"/>
      <c r="MO51" s="294"/>
      <c r="MP51" s="294"/>
      <c r="MQ51" s="294"/>
      <c r="MR51" s="294"/>
      <c r="MS51" s="294"/>
      <c r="MT51" s="294"/>
      <c r="MU51" s="294"/>
      <c r="MV51" s="294"/>
      <c r="MW51" s="294"/>
      <c r="MX51" s="294"/>
      <c r="MY51" s="294"/>
      <c r="MZ51" s="294"/>
      <c r="NA51" s="294"/>
      <c r="NB51" s="294"/>
      <c r="NC51" s="294"/>
      <c r="ND51" s="294">
        <v>0</v>
      </c>
      <c r="NE51" s="294"/>
      <c r="NF51" s="294"/>
      <c r="NG51" s="294"/>
      <c r="NH51" s="294"/>
      <c r="NI51" s="294"/>
      <c r="NJ51" s="294"/>
      <c r="NK51" s="294"/>
      <c r="NL51" s="294"/>
      <c r="NM51" s="294"/>
      <c r="NN51" s="294"/>
      <c r="NO51" s="294"/>
      <c r="NP51" s="294">
        <v>0</v>
      </c>
      <c r="NQ51" s="294"/>
      <c r="NR51" s="294"/>
      <c r="NS51" s="294"/>
      <c r="NT51" s="294"/>
      <c r="NU51" s="294"/>
      <c r="NV51" s="294"/>
      <c r="NW51" s="294"/>
      <c r="NX51" s="294"/>
      <c r="NY51" s="294"/>
      <c r="NZ51" s="294"/>
      <c r="OA51" s="294"/>
      <c r="OB51" s="294"/>
      <c r="OC51" s="294"/>
      <c r="OD51" s="294">
        <v>0</v>
      </c>
      <c r="OE51" s="294"/>
      <c r="OF51" s="294"/>
      <c r="OG51" s="294"/>
      <c r="OH51" s="294"/>
      <c r="OI51" s="294"/>
      <c r="OJ51" s="294"/>
      <c r="OK51" s="294"/>
      <c r="OL51" s="294"/>
      <c r="OM51" s="294"/>
      <c r="ON51" s="294"/>
      <c r="OO51" s="294"/>
      <c r="OP51" s="294"/>
      <c r="OQ51" s="294"/>
      <c r="OR51" s="294"/>
      <c r="OS51" s="294"/>
      <c r="OT51" s="294"/>
      <c r="OU51" s="294"/>
      <c r="OV51" s="294"/>
      <c r="OW51" s="294"/>
      <c r="OX51" s="294"/>
      <c r="OY51" s="294"/>
      <c r="OZ51" s="294"/>
      <c r="PA51" s="294"/>
      <c r="PB51" s="294">
        <v>0</v>
      </c>
      <c r="PC51" s="294"/>
      <c r="PD51" s="294"/>
      <c r="PE51" s="294"/>
      <c r="PF51" s="294"/>
      <c r="PG51" s="294"/>
      <c r="PH51" s="294"/>
      <c r="PI51" s="294"/>
      <c r="PJ51" s="294"/>
      <c r="PK51" s="294">
        <v>0</v>
      </c>
      <c r="PL51" s="294"/>
      <c r="PM51" s="294"/>
      <c r="PN51" s="294"/>
      <c r="PO51" s="294"/>
      <c r="PP51" s="294"/>
      <c r="PQ51" s="294"/>
      <c r="PR51" s="294"/>
      <c r="PS51" s="294"/>
      <c r="PT51" s="294"/>
      <c r="PU51" s="294"/>
      <c r="PV51" s="294">
        <v>0</v>
      </c>
      <c r="PW51" s="294">
        <v>0</v>
      </c>
      <c r="PX51" s="294"/>
      <c r="PY51" s="294"/>
      <c r="PZ51" s="294"/>
      <c r="QA51" s="294">
        <v>4132165.53</v>
      </c>
      <c r="QB51" s="294"/>
      <c r="QC51" s="294"/>
      <c r="QD51" s="294"/>
      <c r="QE51" s="294"/>
      <c r="QF51" s="294"/>
      <c r="QG51" s="294"/>
      <c r="QH51" s="294"/>
      <c r="QI51" s="294"/>
      <c r="QJ51" s="294"/>
      <c r="QK51" s="294"/>
      <c r="QL51" s="294"/>
      <c r="QM51" s="294"/>
      <c r="QN51" s="294"/>
      <c r="QO51" s="294"/>
      <c r="QP51" s="294"/>
      <c r="QQ51" s="294"/>
      <c r="QR51" s="294"/>
      <c r="QS51" s="294"/>
      <c r="QT51" s="294">
        <v>0</v>
      </c>
      <c r="QU51" s="294"/>
      <c r="QV51" s="294"/>
      <c r="QW51" s="294"/>
      <c r="QX51" s="294"/>
      <c r="QY51" s="294"/>
      <c r="QZ51" s="294"/>
      <c r="RA51" s="294"/>
      <c r="RB51" s="294"/>
      <c r="RC51" s="294"/>
      <c r="RD51" s="294"/>
      <c r="RE51" s="294"/>
      <c r="RF51" s="294"/>
      <c r="RG51" s="294">
        <v>0</v>
      </c>
      <c r="RH51" s="294"/>
      <c r="RI51" s="294"/>
      <c r="RJ51" s="294"/>
      <c r="RK51" s="294"/>
      <c r="RL51" s="294"/>
      <c r="RM51" s="294"/>
      <c r="RN51" s="294"/>
      <c r="RO51" s="294"/>
      <c r="RP51" s="294"/>
      <c r="RQ51" s="294"/>
      <c r="RR51" s="294"/>
      <c r="RS51" s="294"/>
      <c r="RT51" s="294"/>
      <c r="RU51" s="294"/>
      <c r="RV51" s="294"/>
      <c r="RW51" s="294"/>
      <c r="RX51" s="294"/>
      <c r="RY51" s="294"/>
      <c r="RZ51" s="294"/>
      <c r="SA51" s="294">
        <v>2985382.02</v>
      </c>
      <c r="SB51" s="294"/>
      <c r="SC51" s="294"/>
      <c r="SD51" s="294"/>
      <c r="SE51" s="294"/>
      <c r="SF51" s="294"/>
      <c r="SG51" s="294"/>
      <c r="SH51" s="294"/>
      <c r="SI51" s="294"/>
      <c r="SJ51" s="294"/>
      <c r="SK51" s="294"/>
      <c r="SL51" s="294"/>
      <c r="SM51" s="294"/>
      <c r="SN51" s="294"/>
      <c r="SO51" s="294"/>
      <c r="SP51" s="294"/>
      <c r="SQ51" s="294"/>
      <c r="SR51" s="294"/>
      <c r="SS51" s="294"/>
      <c r="ST51" s="294"/>
      <c r="SU51" s="294"/>
      <c r="SV51" s="294"/>
      <c r="SW51" s="294"/>
      <c r="SX51" s="294"/>
      <c r="SY51" s="294"/>
      <c r="SZ51" s="294"/>
      <c r="TA51" s="294"/>
      <c r="TB51" s="294"/>
      <c r="TC51" s="294"/>
      <c r="TD51" s="294"/>
      <c r="TE51" s="294"/>
      <c r="TF51" s="294"/>
      <c r="TG51" s="294"/>
      <c r="TH51" s="294"/>
      <c r="TI51" s="294"/>
      <c r="TJ51" s="294"/>
      <c r="TK51" s="294"/>
      <c r="TL51" s="294"/>
      <c r="TM51" s="294"/>
      <c r="TN51" s="294"/>
      <c r="TO51" s="294"/>
      <c r="TP51" s="294"/>
      <c r="TQ51" s="294"/>
      <c r="TR51" s="294"/>
      <c r="TS51" s="294"/>
      <c r="TT51" s="294"/>
      <c r="TU51" s="294"/>
      <c r="TV51" s="294"/>
      <c r="TW51" s="294"/>
      <c r="TX51" s="294"/>
      <c r="TY51" s="294"/>
      <c r="TZ51" s="294"/>
      <c r="UA51" s="294">
        <v>0</v>
      </c>
      <c r="UB51" s="294">
        <v>0</v>
      </c>
      <c r="UC51" s="294"/>
      <c r="UD51" s="294"/>
      <c r="UE51" s="294"/>
      <c r="UF51" s="294"/>
      <c r="UG51" s="294"/>
      <c r="UH51" s="294"/>
      <c r="UI51" s="294"/>
      <c r="UJ51" s="294">
        <v>0</v>
      </c>
      <c r="UK51" s="294"/>
      <c r="UL51" s="294"/>
      <c r="UM51" s="294"/>
      <c r="UN51" s="294"/>
      <c r="UO51" s="294"/>
      <c r="UP51" s="294"/>
      <c r="UQ51" s="294"/>
      <c r="UR51" s="294"/>
      <c r="US51" s="294"/>
      <c r="UT51" s="294"/>
      <c r="UU51" s="294"/>
      <c r="UV51" s="294"/>
      <c r="UW51" s="294"/>
      <c r="UX51" s="294"/>
      <c r="UY51" s="294"/>
      <c r="UZ51" s="294"/>
      <c r="VA51" s="294"/>
      <c r="VB51" s="294"/>
      <c r="VC51" s="294"/>
      <c r="VD51" s="294"/>
      <c r="VE51" s="294"/>
      <c r="VF51" s="294"/>
      <c r="VG51" s="294"/>
      <c r="VH51" s="294">
        <v>2101371.4300000002</v>
      </c>
      <c r="VI51" s="294"/>
      <c r="VJ51" s="294"/>
      <c r="VK51" s="294"/>
      <c r="VL51" s="294"/>
      <c r="VM51" s="294"/>
      <c r="VN51" s="294"/>
      <c r="VO51" s="294"/>
      <c r="VP51" s="294"/>
      <c r="VQ51" s="294"/>
      <c r="VR51" s="294"/>
      <c r="VS51" s="294"/>
      <c r="VT51" s="294"/>
      <c r="VU51" s="294"/>
      <c r="VV51" s="294"/>
      <c r="VW51" s="294"/>
      <c r="VX51" s="294"/>
      <c r="VY51" s="294"/>
      <c r="VZ51" s="294"/>
      <c r="WA51" s="294">
        <v>0</v>
      </c>
      <c r="WB51" s="294"/>
      <c r="WC51" s="294"/>
      <c r="WD51" s="294"/>
      <c r="WE51" s="294"/>
      <c r="WF51" s="294"/>
      <c r="WG51" s="294"/>
      <c r="WH51" s="294"/>
      <c r="WI51" s="294"/>
      <c r="WJ51" s="294"/>
      <c r="WK51" s="294"/>
      <c r="WL51" s="294"/>
      <c r="WM51" s="294"/>
      <c r="WN51" s="294"/>
      <c r="WO51" s="294"/>
      <c r="WP51" s="294"/>
      <c r="WQ51" s="294"/>
      <c r="WR51" s="294"/>
      <c r="WS51" s="294"/>
      <c r="WT51" s="294"/>
      <c r="WU51" s="294"/>
      <c r="WV51" s="294"/>
      <c r="WW51" s="294"/>
      <c r="WX51" s="294"/>
      <c r="WY51" s="294"/>
      <c r="WZ51" s="294"/>
      <c r="XA51" s="294"/>
      <c r="XB51" s="294"/>
      <c r="XC51" s="294"/>
      <c r="XD51" s="294"/>
      <c r="XE51" s="294"/>
      <c r="XF51" s="294"/>
      <c r="XG51" s="294"/>
      <c r="XH51" s="294"/>
      <c r="XI51" s="294"/>
      <c r="XJ51" s="294"/>
      <c r="XK51" s="294"/>
      <c r="XL51" s="294"/>
      <c r="XM51" s="294"/>
      <c r="XN51" s="294"/>
      <c r="XO51" s="294"/>
      <c r="XP51" s="294"/>
      <c r="XQ51" s="294"/>
      <c r="XR51" s="294"/>
      <c r="XS51" s="294"/>
      <c r="XT51" s="294"/>
      <c r="XU51" s="294"/>
      <c r="XV51" s="294"/>
      <c r="XW51" s="294"/>
      <c r="XX51" s="294"/>
      <c r="XY51" s="294"/>
      <c r="XZ51" s="294"/>
      <c r="YA51" s="294"/>
      <c r="YB51" s="294"/>
      <c r="YC51" s="294"/>
      <c r="YD51" s="294"/>
      <c r="YE51" s="294"/>
      <c r="YF51" s="294"/>
      <c r="YG51" s="294"/>
      <c r="YH51" s="294"/>
      <c r="YI51" s="294"/>
      <c r="YJ51" s="294"/>
      <c r="YK51" s="294"/>
      <c r="YL51" s="294"/>
      <c r="YM51" s="294"/>
      <c r="YN51" s="294"/>
      <c r="YO51" s="294"/>
      <c r="YP51" s="294"/>
      <c r="YQ51" s="294"/>
      <c r="YR51" s="294"/>
      <c r="YS51" s="294"/>
      <c r="YT51" s="294"/>
      <c r="YU51" s="294"/>
      <c r="YV51" s="294">
        <v>0</v>
      </c>
      <c r="YW51" s="294"/>
      <c r="YX51" s="294"/>
      <c r="YY51" s="294"/>
      <c r="YZ51" s="294"/>
      <c r="ZA51" s="294"/>
      <c r="ZB51" s="294"/>
      <c r="ZC51" s="294">
        <v>4811125.37</v>
      </c>
      <c r="ZD51" s="294"/>
      <c r="ZE51" s="294"/>
      <c r="ZF51" s="294"/>
      <c r="ZG51" s="294"/>
      <c r="ZH51" s="294">
        <v>0</v>
      </c>
      <c r="ZI51" s="294"/>
      <c r="ZJ51" s="294"/>
      <c r="ZK51" s="294"/>
      <c r="ZL51" s="294"/>
      <c r="ZM51" s="294"/>
      <c r="ZN51" s="294"/>
      <c r="ZO51" s="294"/>
      <c r="ZP51" s="294"/>
      <c r="ZQ51" s="294"/>
      <c r="ZR51" s="294"/>
      <c r="ZS51" s="294"/>
      <c r="ZT51" s="294"/>
      <c r="ZU51" s="294"/>
      <c r="ZV51" s="294"/>
      <c r="ZW51" s="294"/>
      <c r="ZX51" s="294"/>
      <c r="ZY51" s="294"/>
      <c r="ZZ51" s="294"/>
      <c r="AAA51" s="294"/>
      <c r="AAB51" s="294"/>
      <c r="AAC51" s="294"/>
      <c r="AAD51" s="294"/>
      <c r="AAE51" s="294"/>
      <c r="AAF51" s="294"/>
      <c r="AAG51" s="294"/>
      <c r="AAH51" s="294"/>
      <c r="AAI51" s="294"/>
      <c r="AAJ51" s="294"/>
      <c r="AAK51" s="294"/>
      <c r="AAL51" s="294"/>
      <c r="AAM51" s="294"/>
      <c r="AAN51" s="294"/>
      <c r="AAO51" s="294"/>
      <c r="AAP51" s="294"/>
      <c r="AAQ51" s="294"/>
      <c r="AAR51" s="294"/>
      <c r="AAS51" s="294"/>
      <c r="AAT51" s="294"/>
      <c r="AAU51" s="294"/>
      <c r="AAV51" s="294"/>
      <c r="AAW51" s="294"/>
      <c r="AAX51" s="294"/>
      <c r="AAY51" s="294"/>
      <c r="AAZ51" s="294">
        <v>0</v>
      </c>
      <c r="ABA51" s="294"/>
      <c r="ABB51" s="294"/>
      <c r="ABC51" s="294">
        <v>0</v>
      </c>
      <c r="ABD51" s="294"/>
      <c r="ABE51" s="294"/>
      <c r="ABF51" s="294"/>
      <c r="ABG51" s="294"/>
      <c r="ABH51" s="294"/>
      <c r="ABI51" s="294"/>
      <c r="ABJ51" s="294"/>
      <c r="ABK51" s="294">
        <v>0</v>
      </c>
      <c r="ABL51" s="294"/>
      <c r="ABM51" s="294"/>
      <c r="ABN51" s="294"/>
      <c r="ABO51" s="294"/>
      <c r="ABP51" s="294"/>
      <c r="ABQ51" s="294"/>
      <c r="ABR51" s="294">
        <v>54283177.079999998</v>
      </c>
      <c r="ABS51" s="294"/>
      <c r="ABT51" s="294"/>
      <c r="ABU51" s="294"/>
      <c r="ABV51" s="294">
        <v>835930.99</v>
      </c>
      <c r="ABW51" s="294"/>
      <c r="ABX51" s="294"/>
      <c r="ABY51" s="294"/>
      <c r="ABZ51" s="294"/>
      <c r="ACA51" s="294"/>
      <c r="ACB51" s="294"/>
      <c r="ACC51" s="294"/>
      <c r="ACD51" s="294"/>
      <c r="ACE51" s="294"/>
      <c r="ACF51" s="294"/>
      <c r="ACG51" s="294"/>
      <c r="ACH51" s="294"/>
      <c r="ACI51" s="294">
        <v>0</v>
      </c>
      <c r="ACJ51" s="294"/>
      <c r="ACK51" s="294"/>
      <c r="ACL51" s="294"/>
      <c r="ACM51" s="294">
        <v>860852</v>
      </c>
      <c r="ACN51" s="294">
        <v>995591</v>
      </c>
      <c r="ACO51" s="294"/>
      <c r="ACP51" s="294"/>
      <c r="ACQ51" s="294"/>
      <c r="ACR51" s="294"/>
      <c r="ACS51" s="294"/>
      <c r="ACT51" s="294"/>
      <c r="ACU51" s="294"/>
      <c r="ACV51" s="294"/>
      <c r="ACW51" s="294"/>
      <c r="ACX51" s="294"/>
      <c r="ACY51" s="294"/>
      <c r="ACZ51" s="294"/>
      <c r="ADA51" s="294"/>
      <c r="ADB51" s="294"/>
      <c r="ADC51" s="294"/>
      <c r="ADD51" s="294"/>
      <c r="ADE51" s="294"/>
      <c r="ADF51" s="294"/>
      <c r="ADG51" s="294"/>
      <c r="ADH51" s="294"/>
      <c r="ADI51" s="294"/>
      <c r="ADJ51" s="294"/>
      <c r="ADK51" s="294"/>
      <c r="ADL51" s="294"/>
      <c r="ADM51" s="294"/>
      <c r="ADN51" s="294"/>
      <c r="ADO51" s="294"/>
      <c r="ADP51" s="294"/>
      <c r="ADQ51" s="294"/>
      <c r="ADR51" s="294"/>
      <c r="ADS51" s="294"/>
      <c r="ADT51" s="294"/>
      <c r="ADU51" s="294"/>
      <c r="ADV51" s="294"/>
      <c r="ADW51" s="294"/>
      <c r="ADX51" s="294"/>
      <c r="ADY51" s="294"/>
      <c r="ADZ51" s="294">
        <v>0</v>
      </c>
      <c r="AEA51" s="294"/>
      <c r="AEB51" s="294"/>
      <c r="AEC51" s="294"/>
      <c r="AED51" s="294"/>
      <c r="AEE51" s="294"/>
      <c r="AEF51" s="294"/>
      <c r="AEG51" s="294"/>
      <c r="AEH51" s="294"/>
      <c r="AEI51" s="294"/>
      <c r="AEJ51" s="294"/>
      <c r="AEK51" s="294"/>
      <c r="AEL51" s="294"/>
      <c r="AEM51" s="294"/>
      <c r="AEN51" s="294"/>
      <c r="AEO51" s="294"/>
      <c r="AEP51" s="294"/>
      <c r="AEQ51" s="294"/>
      <c r="AER51" s="294"/>
      <c r="AES51" s="294">
        <v>0</v>
      </c>
      <c r="AET51" s="294"/>
      <c r="AEU51" s="294"/>
      <c r="AEV51" s="294"/>
      <c r="AEW51" s="294"/>
      <c r="AEX51" s="294"/>
      <c r="AEY51" s="294"/>
      <c r="AEZ51" s="294"/>
      <c r="AFA51" s="294"/>
      <c r="AFB51" s="294"/>
      <c r="AFC51" s="294"/>
      <c r="AFD51" s="294"/>
      <c r="AFE51" s="294"/>
      <c r="AFF51" s="294"/>
      <c r="AFG51" s="294"/>
      <c r="AFH51" s="294"/>
      <c r="AFI51" s="294"/>
      <c r="AFJ51" s="294"/>
      <c r="AFK51" s="294"/>
      <c r="AFL51" s="294"/>
      <c r="AFM51" s="294"/>
      <c r="AFN51" s="294"/>
      <c r="AFO51" s="294"/>
      <c r="AFP51" s="294"/>
      <c r="AFQ51" s="294"/>
      <c r="AFR51" s="294"/>
      <c r="AFS51" s="294"/>
      <c r="AFT51" s="294"/>
      <c r="AFU51" s="294"/>
      <c r="AFV51" s="294"/>
      <c r="AFW51" s="294"/>
      <c r="AFX51" s="294"/>
      <c r="AFY51" s="294"/>
      <c r="AFZ51" s="294"/>
      <c r="AGA51" s="294"/>
      <c r="AGB51" s="294"/>
      <c r="AGC51" s="294"/>
      <c r="AGD51" s="294"/>
      <c r="AGE51" s="294"/>
      <c r="AGF51" s="294"/>
      <c r="AGG51" s="294"/>
      <c r="AGH51" s="294"/>
      <c r="AGI51" s="294"/>
      <c r="AGJ51" s="294"/>
      <c r="AGK51" s="294"/>
      <c r="AGL51" s="294"/>
      <c r="AGM51" s="294"/>
      <c r="AGN51" s="294"/>
      <c r="AGO51" s="294"/>
      <c r="AGP51" s="294"/>
      <c r="AGQ51" s="294"/>
      <c r="AGR51" s="294"/>
      <c r="AGS51" s="294"/>
      <c r="AGT51" s="294"/>
      <c r="AGU51" s="294"/>
      <c r="AGV51" s="294"/>
      <c r="AGW51" s="294"/>
      <c r="AGX51" s="294"/>
      <c r="AGY51" s="294"/>
      <c r="AGZ51" s="294"/>
      <c r="AHA51" s="294"/>
      <c r="AHB51" s="294"/>
      <c r="AHC51" s="294"/>
      <c r="AHD51" s="294"/>
      <c r="AHE51" s="294"/>
      <c r="AHF51" s="294"/>
      <c r="AHG51" s="294"/>
      <c r="AHH51" s="294"/>
      <c r="AHI51" s="294"/>
      <c r="AHJ51" s="294"/>
      <c r="AHK51" s="294"/>
      <c r="AHL51" s="294"/>
      <c r="AHM51" s="294"/>
      <c r="AHN51" s="294"/>
      <c r="AHO51" s="294"/>
      <c r="AHP51" s="294"/>
      <c r="AHQ51" s="294"/>
      <c r="AHR51" s="331"/>
      <c r="AHS51" s="294">
        <f t="shared" si="35"/>
        <v>137678920.87</v>
      </c>
    </row>
    <row r="52" spans="1:907" ht="24.6" x14ac:dyDescent="0.7">
      <c r="B52" s="268" t="s">
        <v>6051</v>
      </c>
      <c r="C52" s="269" t="s">
        <v>6052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>
        <v>5569621.29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>
        <v>0</v>
      </c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>
        <v>1521.56</v>
      </c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>
        <v>0</v>
      </c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>
        <v>0</v>
      </c>
      <c r="CU52" s="294"/>
      <c r="CV52" s="294"/>
      <c r="CW52" s="294"/>
      <c r="CX52" s="294">
        <v>42594.21</v>
      </c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294"/>
      <c r="DL52" s="294"/>
      <c r="DM52" s="294">
        <v>0</v>
      </c>
      <c r="DN52" s="294"/>
      <c r="DO52" s="294"/>
      <c r="DP52" s="294"/>
      <c r="DQ52" s="294"/>
      <c r="DR52" s="294"/>
      <c r="DS52" s="294"/>
      <c r="DT52" s="294">
        <v>18387852.809999999</v>
      </c>
      <c r="DU52" s="294"/>
      <c r="DV52" s="294">
        <v>61500</v>
      </c>
      <c r="DW52" s="294"/>
      <c r="DX52" s="294"/>
      <c r="DY52" s="294"/>
      <c r="DZ52" s="294">
        <v>0</v>
      </c>
      <c r="EA52" s="294">
        <v>0</v>
      </c>
      <c r="EB52" s="294"/>
      <c r="EC52" s="294"/>
      <c r="ED52" s="294"/>
      <c r="EE52" s="294">
        <v>0</v>
      </c>
      <c r="EF52" s="294">
        <v>0</v>
      </c>
      <c r="EG52" s="294">
        <v>2773.59</v>
      </c>
      <c r="EH52" s="294"/>
      <c r="EI52" s="294"/>
      <c r="EJ52" s="294"/>
      <c r="EK52" s="294"/>
      <c r="EL52" s="294"/>
      <c r="EM52" s="294"/>
      <c r="EN52" s="294">
        <v>0</v>
      </c>
      <c r="EO52" s="294"/>
      <c r="EP52" s="294"/>
      <c r="EQ52" s="294"/>
      <c r="ER52" s="294"/>
      <c r="ES52" s="294"/>
      <c r="ET52" s="294"/>
      <c r="EU52" s="294">
        <v>0</v>
      </c>
      <c r="EV52" s="294"/>
      <c r="EW52" s="294">
        <v>0</v>
      </c>
      <c r="EX52" s="294"/>
      <c r="EY52" s="294">
        <v>0</v>
      </c>
      <c r="EZ52" s="294"/>
      <c r="FA52" s="294"/>
      <c r="FB52" s="294">
        <v>0</v>
      </c>
      <c r="FC52" s="294">
        <v>0</v>
      </c>
      <c r="FD52" s="294">
        <v>0</v>
      </c>
      <c r="FE52" s="294">
        <v>0</v>
      </c>
      <c r="FF52" s="294"/>
      <c r="FG52" s="294">
        <v>0</v>
      </c>
      <c r="FH52" s="294"/>
      <c r="FI52" s="294"/>
      <c r="FJ52" s="294"/>
      <c r="FK52" s="294"/>
      <c r="FL52" s="294"/>
      <c r="FM52" s="294">
        <v>667123.02</v>
      </c>
      <c r="FN52" s="294"/>
      <c r="FO52" s="294"/>
      <c r="FP52" s="294"/>
      <c r="FQ52" s="294"/>
      <c r="FR52" s="294"/>
      <c r="FS52" s="294"/>
      <c r="FT52" s="294"/>
      <c r="FU52" s="294"/>
      <c r="FV52" s="294"/>
      <c r="FW52" s="294"/>
      <c r="FX52" s="294"/>
      <c r="FY52" s="294"/>
      <c r="FZ52" s="294"/>
      <c r="GA52" s="294"/>
      <c r="GB52" s="294"/>
      <c r="GC52" s="294"/>
      <c r="GD52" s="294"/>
      <c r="GE52" s="294"/>
      <c r="GF52" s="294">
        <v>275110</v>
      </c>
      <c r="GG52" s="294"/>
      <c r="GH52" s="294"/>
      <c r="GI52" s="294"/>
      <c r="GJ52" s="294"/>
      <c r="GK52" s="294">
        <v>12302.15</v>
      </c>
      <c r="GL52" s="294">
        <v>384016.9</v>
      </c>
      <c r="GM52" s="294"/>
      <c r="GN52" s="294"/>
      <c r="GO52" s="294"/>
      <c r="GP52" s="294"/>
      <c r="GQ52" s="294"/>
      <c r="GR52" s="294"/>
      <c r="GS52" s="294"/>
      <c r="GT52" s="294"/>
      <c r="GU52" s="294"/>
      <c r="GV52" s="294"/>
      <c r="GW52" s="294"/>
      <c r="GX52" s="294"/>
      <c r="GY52" s="294"/>
      <c r="GZ52" s="294"/>
      <c r="HA52" s="294"/>
      <c r="HB52" s="294"/>
      <c r="HC52" s="294"/>
      <c r="HD52" s="294"/>
      <c r="HE52" s="294"/>
      <c r="HF52" s="294"/>
      <c r="HG52" s="294"/>
      <c r="HH52" s="294">
        <v>4745680.18</v>
      </c>
      <c r="HI52" s="294"/>
      <c r="HJ52" s="294"/>
      <c r="HK52" s="294"/>
      <c r="HL52" s="294"/>
      <c r="HM52" s="294"/>
      <c r="HN52" s="294"/>
      <c r="HO52" s="294"/>
      <c r="HP52" s="294"/>
      <c r="HQ52" s="294"/>
      <c r="HR52" s="294">
        <v>375</v>
      </c>
      <c r="HS52" s="294"/>
      <c r="HT52" s="294"/>
      <c r="HU52" s="294"/>
      <c r="HV52" s="294"/>
      <c r="HW52" s="294"/>
      <c r="HX52" s="294"/>
      <c r="HY52" s="294"/>
      <c r="HZ52" s="294"/>
      <c r="IA52" s="294"/>
      <c r="IB52" s="294"/>
      <c r="IC52" s="294"/>
      <c r="ID52" s="294"/>
      <c r="IE52" s="294"/>
      <c r="IF52" s="294"/>
      <c r="IG52" s="294"/>
      <c r="IH52" s="294"/>
      <c r="II52" s="294"/>
      <c r="IJ52" s="294">
        <v>0</v>
      </c>
      <c r="IK52" s="294">
        <v>0</v>
      </c>
      <c r="IL52" s="294">
        <v>0</v>
      </c>
      <c r="IM52" s="294"/>
      <c r="IN52" s="294">
        <v>0</v>
      </c>
      <c r="IO52" s="294"/>
      <c r="IP52" s="294"/>
      <c r="IQ52" s="294"/>
      <c r="IR52" s="294"/>
      <c r="IS52" s="294"/>
      <c r="IT52" s="294">
        <v>0</v>
      </c>
      <c r="IU52" s="294"/>
      <c r="IV52" s="294"/>
      <c r="IW52" s="294"/>
      <c r="IX52" s="294"/>
      <c r="IY52" s="294"/>
      <c r="IZ52" s="294"/>
      <c r="JA52" s="294"/>
      <c r="JB52" s="294"/>
      <c r="JC52" s="294"/>
      <c r="JD52" s="294">
        <v>0</v>
      </c>
      <c r="JE52" s="294"/>
      <c r="JF52" s="294"/>
      <c r="JG52" s="294"/>
      <c r="JH52" s="294"/>
      <c r="JI52" s="294"/>
      <c r="JJ52" s="294"/>
      <c r="JK52" s="294">
        <v>2985341.72</v>
      </c>
      <c r="JL52" s="294"/>
      <c r="JM52" s="294"/>
      <c r="JN52" s="294"/>
      <c r="JO52" s="294"/>
      <c r="JP52" s="294"/>
      <c r="JQ52" s="294"/>
      <c r="JR52" s="294"/>
      <c r="JS52" s="294">
        <v>0</v>
      </c>
      <c r="JT52" s="294"/>
      <c r="JU52" s="294"/>
      <c r="JV52" s="294"/>
      <c r="JW52" s="294"/>
      <c r="JX52" s="294"/>
      <c r="JY52" s="294"/>
      <c r="JZ52" s="294"/>
      <c r="KA52" s="294"/>
      <c r="KB52" s="294"/>
      <c r="KC52" s="294"/>
      <c r="KD52" s="294"/>
      <c r="KE52" s="294"/>
      <c r="KF52" s="294"/>
      <c r="KG52" s="294"/>
      <c r="KH52" s="294"/>
      <c r="KI52" s="294"/>
      <c r="KJ52" s="294"/>
      <c r="KK52" s="294"/>
      <c r="KL52" s="294"/>
      <c r="KM52" s="294"/>
      <c r="KN52" s="294"/>
      <c r="KO52" s="294"/>
      <c r="KP52" s="294"/>
      <c r="KQ52" s="294"/>
      <c r="KR52" s="294"/>
      <c r="KS52" s="294"/>
      <c r="KT52" s="294"/>
      <c r="KU52" s="294"/>
      <c r="KV52" s="294"/>
      <c r="KW52" s="294"/>
      <c r="KX52" s="294"/>
      <c r="KY52" s="294">
        <v>0</v>
      </c>
      <c r="KZ52" s="294"/>
      <c r="LA52" s="294"/>
      <c r="LB52" s="294"/>
      <c r="LC52" s="294"/>
      <c r="LD52" s="294"/>
      <c r="LE52" s="294"/>
      <c r="LF52" s="294"/>
      <c r="LG52" s="294"/>
      <c r="LH52" s="294"/>
      <c r="LI52" s="294"/>
      <c r="LJ52" s="294"/>
      <c r="LK52" s="294"/>
      <c r="LL52" s="294"/>
      <c r="LM52" s="294"/>
      <c r="LN52" s="294"/>
      <c r="LO52" s="294"/>
      <c r="LP52" s="294"/>
      <c r="LQ52" s="294"/>
      <c r="LR52" s="294"/>
      <c r="LS52" s="294"/>
      <c r="LT52" s="294"/>
      <c r="LU52" s="294"/>
      <c r="LV52" s="294"/>
      <c r="LW52" s="294"/>
      <c r="LX52" s="294">
        <v>41073.47</v>
      </c>
      <c r="LY52" s="294"/>
      <c r="LZ52" s="294"/>
      <c r="MA52" s="294"/>
      <c r="MB52" s="294"/>
      <c r="MC52" s="294"/>
      <c r="MD52" s="294"/>
      <c r="ME52" s="294"/>
      <c r="MF52" s="294"/>
      <c r="MG52" s="294"/>
      <c r="MH52" s="294">
        <v>1869366</v>
      </c>
      <c r="MI52" s="294"/>
      <c r="MJ52" s="294"/>
      <c r="MK52" s="294"/>
      <c r="ML52" s="294"/>
      <c r="MM52" s="294"/>
      <c r="MN52" s="294"/>
      <c r="MO52" s="294"/>
      <c r="MP52" s="294"/>
      <c r="MQ52" s="294"/>
      <c r="MR52" s="294"/>
      <c r="MS52" s="294"/>
      <c r="MT52" s="294"/>
      <c r="MU52" s="294"/>
      <c r="MV52" s="294"/>
      <c r="MW52" s="294"/>
      <c r="MX52" s="294"/>
      <c r="MY52" s="294"/>
      <c r="MZ52" s="294"/>
      <c r="NA52" s="294"/>
      <c r="NB52" s="294"/>
      <c r="NC52" s="294"/>
      <c r="ND52" s="294">
        <v>0</v>
      </c>
      <c r="NE52" s="294"/>
      <c r="NF52" s="294"/>
      <c r="NG52" s="294"/>
      <c r="NH52" s="294"/>
      <c r="NI52" s="294"/>
      <c r="NJ52" s="294"/>
      <c r="NK52" s="294"/>
      <c r="NL52" s="294"/>
      <c r="NM52" s="294"/>
      <c r="NN52" s="294"/>
      <c r="NO52" s="294"/>
      <c r="NP52" s="294">
        <v>0</v>
      </c>
      <c r="NQ52" s="294"/>
      <c r="NR52" s="294"/>
      <c r="NS52" s="294"/>
      <c r="NT52" s="294"/>
      <c r="NU52" s="294"/>
      <c r="NV52" s="294"/>
      <c r="NW52" s="294"/>
      <c r="NX52" s="294"/>
      <c r="NY52" s="294"/>
      <c r="NZ52" s="294"/>
      <c r="OA52" s="294"/>
      <c r="OB52" s="294"/>
      <c r="OC52" s="294"/>
      <c r="OD52" s="294"/>
      <c r="OE52" s="294"/>
      <c r="OF52" s="294"/>
      <c r="OG52" s="294"/>
      <c r="OH52" s="294"/>
      <c r="OI52" s="294"/>
      <c r="OJ52" s="294"/>
      <c r="OK52" s="294"/>
      <c r="OL52" s="294"/>
      <c r="OM52" s="294"/>
      <c r="ON52" s="294">
        <v>0</v>
      </c>
      <c r="OO52" s="294"/>
      <c r="OP52" s="294">
        <v>1671935.13</v>
      </c>
      <c r="OQ52" s="294">
        <v>0</v>
      </c>
      <c r="OR52" s="294">
        <v>0</v>
      </c>
      <c r="OS52" s="294"/>
      <c r="OT52" s="294"/>
      <c r="OU52" s="294"/>
      <c r="OV52" s="294"/>
      <c r="OW52" s="294"/>
      <c r="OX52" s="294"/>
      <c r="OY52" s="294"/>
      <c r="OZ52" s="294"/>
      <c r="PA52" s="294"/>
      <c r="PB52" s="294">
        <v>0</v>
      </c>
      <c r="PC52" s="294"/>
      <c r="PD52" s="294"/>
      <c r="PE52" s="294"/>
      <c r="PF52" s="294"/>
      <c r="PG52" s="294"/>
      <c r="PH52" s="294"/>
      <c r="PI52" s="294"/>
      <c r="PJ52" s="294"/>
      <c r="PK52" s="294"/>
      <c r="PL52" s="294"/>
      <c r="PM52" s="294">
        <v>0</v>
      </c>
      <c r="PN52" s="294"/>
      <c r="PO52" s="294">
        <v>0</v>
      </c>
      <c r="PP52" s="294"/>
      <c r="PQ52" s="294"/>
      <c r="PR52" s="294"/>
      <c r="PS52" s="294"/>
      <c r="PT52" s="294">
        <v>2650502.12</v>
      </c>
      <c r="PU52" s="294"/>
      <c r="PV52" s="294"/>
      <c r="PW52" s="294"/>
      <c r="PX52" s="294"/>
      <c r="PY52" s="294"/>
      <c r="PZ52" s="294"/>
      <c r="QA52" s="294"/>
      <c r="QB52" s="294">
        <v>0</v>
      </c>
      <c r="QC52" s="294"/>
      <c r="QD52" s="294">
        <v>0</v>
      </c>
      <c r="QE52" s="294"/>
      <c r="QF52" s="294"/>
      <c r="QG52" s="294"/>
      <c r="QH52" s="294"/>
      <c r="QI52" s="294">
        <v>0</v>
      </c>
      <c r="QJ52" s="294"/>
      <c r="QK52" s="294">
        <v>0</v>
      </c>
      <c r="QL52" s="294"/>
      <c r="QM52" s="294"/>
      <c r="QN52" s="294"/>
      <c r="QO52" s="294"/>
      <c r="QP52" s="294"/>
      <c r="QQ52" s="294"/>
      <c r="QR52" s="294"/>
      <c r="QS52" s="294"/>
      <c r="QT52" s="294">
        <v>0</v>
      </c>
      <c r="QU52" s="294"/>
      <c r="QV52" s="294"/>
      <c r="QW52" s="294"/>
      <c r="QX52" s="294"/>
      <c r="QY52" s="294"/>
      <c r="QZ52" s="294"/>
      <c r="RA52" s="294"/>
      <c r="RB52" s="294"/>
      <c r="RC52" s="294"/>
      <c r="RD52" s="294"/>
      <c r="RE52" s="294"/>
      <c r="RF52" s="294"/>
      <c r="RG52" s="294"/>
      <c r="RH52" s="294"/>
      <c r="RI52" s="294"/>
      <c r="RJ52" s="294"/>
      <c r="RK52" s="294"/>
      <c r="RL52" s="294"/>
      <c r="RM52" s="294"/>
      <c r="RN52" s="294"/>
      <c r="RO52" s="294"/>
      <c r="RP52" s="294"/>
      <c r="RQ52" s="294"/>
      <c r="RR52" s="294"/>
      <c r="RS52" s="294"/>
      <c r="RT52" s="294">
        <v>48400</v>
      </c>
      <c r="RU52" s="294"/>
      <c r="RV52" s="294"/>
      <c r="RW52" s="294"/>
      <c r="RX52" s="294"/>
      <c r="RY52" s="294"/>
      <c r="RZ52" s="294"/>
      <c r="SA52" s="294"/>
      <c r="SB52" s="294"/>
      <c r="SC52" s="294"/>
      <c r="SD52" s="294"/>
      <c r="SE52" s="294"/>
      <c r="SF52" s="294"/>
      <c r="SG52" s="294"/>
      <c r="SH52" s="294"/>
      <c r="SI52" s="294"/>
      <c r="SJ52" s="294"/>
      <c r="SK52" s="294"/>
      <c r="SL52" s="294"/>
      <c r="SM52" s="294"/>
      <c r="SN52" s="294"/>
      <c r="SO52" s="294"/>
      <c r="SP52" s="294"/>
      <c r="SQ52" s="294"/>
      <c r="SR52" s="294"/>
      <c r="SS52" s="294"/>
      <c r="ST52" s="294"/>
      <c r="SU52" s="294"/>
      <c r="SV52" s="294"/>
      <c r="SW52" s="294"/>
      <c r="SX52" s="294"/>
      <c r="SY52" s="294"/>
      <c r="SZ52" s="294"/>
      <c r="TA52" s="294"/>
      <c r="TB52" s="294"/>
      <c r="TC52" s="294"/>
      <c r="TD52" s="294"/>
      <c r="TE52" s="294"/>
      <c r="TF52" s="294"/>
      <c r="TG52" s="294"/>
      <c r="TH52" s="294"/>
      <c r="TI52" s="294"/>
      <c r="TJ52" s="294"/>
      <c r="TK52" s="294"/>
      <c r="TL52" s="294"/>
      <c r="TM52" s="294"/>
      <c r="TN52" s="294"/>
      <c r="TO52" s="294"/>
      <c r="TP52" s="294"/>
      <c r="TQ52" s="294"/>
      <c r="TR52" s="294"/>
      <c r="TS52" s="294"/>
      <c r="TT52" s="294"/>
      <c r="TU52" s="294"/>
      <c r="TV52" s="294"/>
      <c r="TW52" s="294"/>
      <c r="TX52" s="294"/>
      <c r="TY52" s="294"/>
      <c r="TZ52" s="294"/>
      <c r="UA52" s="294"/>
      <c r="UB52" s="294">
        <v>0</v>
      </c>
      <c r="UC52" s="294"/>
      <c r="UD52" s="294"/>
      <c r="UE52" s="294"/>
      <c r="UF52" s="294"/>
      <c r="UG52" s="294"/>
      <c r="UH52" s="294"/>
      <c r="UI52" s="294"/>
      <c r="UJ52" s="294">
        <v>0</v>
      </c>
      <c r="UK52" s="294"/>
      <c r="UL52" s="294"/>
      <c r="UM52" s="294"/>
      <c r="UN52" s="294"/>
      <c r="UO52" s="294"/>
      <c r="UP52" s="294">
        <v>1579110</v>
      </c>
      <c r="UQ52" s="294"/>
      <c r="UR52" s="294"/>
      <c r="US52" s="294"/>
      <c r="UT52" s="294"/>
      <c r="UU52" s="294"/>
      <c r="UV52" s="294"/>
      <c r="UW52" s="294"/>
      <c r="UX52" s="294"/>
      <c r="UY52" s="294"/>
      <c r="UZ52" s="294"/>
      <c r="VA52" s="294"/>
      <c r="VB52" s="294"/>
      <c r="VC52" s="294"/>
      <c r="VD52" s="294"/>
      <c r="VE52" s="294"/>
      <c r="VF52" s="294"/>
      <c r="VG52" s="294"/>
      <c r="VH52" s="294">
        <v>0</v>
      </c>
      <c r="VI52" s="294"/>
      <c r="VJ52" s="294"/>
      <c r="VK52" s="294"/>
      <c r="VL52" s="294"/>
      <c r="VM52" s="294"/>
      <c r="VN52" s="294"/>
      <c r="VO52" s="294"/>
      <c r="VP52" s="294"/>
      <c r="VQ52" s="294"/>
      <c r="VR52" s="294"/>
      <c r="VS52" s="294"/>
      <c r="VT52" s="294"/>
      <c r="VU52" s="294"/>
      <c r="VV52" s="294"/>
      <c r="VW52" s="294"/>
      <c r="VX52" s="294"/>
      <c r="VY52" s="294"/>
      <c r="VZ52" s="294"/>
      <c r="WA52" s="294">
        <v>0</v>
      </c>
      <c r="WB52" s="294"/>
      <c r="WC52" s="294"/>
      <c r="WD52" s="294"/>
      <c r="WE52" s="294"/>
      <c r="WF52" s="294"/>
      <c r="WG52" s="294"/>
      <c r="WH52" s="294"/>
      <c r="WI52" s="294"/>
      <c r="WJ52" s="294"/>
      <c r="WK52" s="294"/>
      <c r="WL52" s="294"/>
      <c r="WM52" s="294"/>
      <c r="WN52" s="294"/>
      <c r="WO52" s="294"/>
      <c r="WP52" s="294"/>
      <c r="WQ52" s="294"/>
      <c r="WR52" s="294"/>
      <c r="WS52" s="294"/>
      <c r="WT52" s="294"/>
      <c r="WU52" s="294"/>
      <c r="WV52" s="294"/>
      <c r="WW52" s="294"/>
      <c r="WX52" s="294"/>
      <c r="WY52" s="294"/>
      <c r="WZ52" s="294"/>
      <c r="XA52" s="294"/>
      <c r="XB52" s="294"/>
      <c r="XC52" s="294"/>
      <c r="XD52" s="294"/>
      <c r="XE52" s="294"/>
      <c r="XF52" s="294"/>
      <c r="XG52" s="294"/>
      <c r="XH52" s="294"/>
      <c r="XI52" s="294"/>
      <c r="XJ52" s="294"/>
      <c r="XK52" s="294"/>
      <c r="XL52" s="294"/>
      <c r="XM52" s="294"/>
      <c r="XN52" s="294"/>
      <c r="XO52" s="294"/>
      <c r="XP52" s="294"/>
      <c r="XQ52" s="294"/>
      <c r="XR52" s="294"/>
      <c r="XS52" s="294"/>
      <c r="XT52" s="294"/>
      <c r="XU52" s="294"/>
      <c r="XV52" s="294"/>
      <c r="XW52" s="294"/>
      <c r="XX52" s="294"/>
      <c r="XY52" s="294"/>
      <c r="XZ52" s="294"/>
      <c r="YA52" s="294"/>
      <c r="YB52" s="294"/>
      <c r="YC52" s="294"/>
      <c r="YD52" s="294"/>
      <c r="YE52" s="294"/>
      <c r="YF52" s="294"/>
      <c r="YG52" s="294"/>
      <c r="YH52" s="294"/>
      <c r="YI52" s="294"/>
      <c r="YJ52" s="294"/>
      <c r="YK52" s="294"/>
      <c r="YL52" s="294"/>
      <c r="YM52" s="294"/>
      <c r="YN52" s="294"/>
      <c r="YO52" s="294"/>
      <c r="YP52" s="294"/>
      <c r="YQ52" s="294"/>
      <c r="YR52" s="294"/>
      <c r="YS52" s="294"/>
      <c r="YT52" s="294"/>
      <c r="YU52" s="294"/>
      <c r="YV52" s="294">
        <v>0</v>
      </c>
      <c r="YW52" s="294"/>
      <c r="YX52" s="294"/>
      <c r="YY52" s="294"/>
      <c r="YZ52" s="294"/>
      <c r="ZA52" s="294"/>
      <c r="ZB52" s="294"/>
      <c r="ZC52" s="294">
        <v>0</v>
      </c>
      <c r="ZD52" s="294"/>
      <c r="ZE52" s="294"/>
      <c r="ZF52" s="294"/>
      <c r="ZG52" s="294"/>
      <c r="ZH52" s="294"/>
      <c r="ZI52" s="294"/>
      <c r="ZJ52" s="294"/>
      <c r="ZK52" s="294"/>
      <c r="ZL52" s="294">
        <v>0</v>
      </c>
      <c r="ZM52" s="294"/>
      <c r="ZN52" s="294"/>
      <c r="ZO52" s="294"/>
      <c r="ZP52" s="294"/>
      <c r="ZQ52" s="294"/>
      <c r="ZR52" s="294"/>
      <c r="ZS52" s="294"/>
      <c r="ZT52" s="294"/>
      <c r="ZU52" s="294"/>
      <c r="ZV52" s="294"/>
      <c r="ZW52" s="294"/>
      <c r="ZX52" s="294"/>
      <c r="ZY52" s="294"/>
      <c r="ZZ52" s="294"/>
      <c r="AAA52" s="294"/>
      <c r="AAB52" s="294"/>
      <c r="AAC52" s="294"/>
      <c r="AAD52" s="294"/>
      <c r="AAE52" s="294"/>
      <c r="AAF52" s="294"/>
      <c r="AAG52" s="294"/>
      <c r="AAH52" s="294"/>
      <c r="AAI52" s="294"/>
      <c r="AAJ52" s="294"/>
      <c r="AAK52" s="294"/>
      <c r="AAL52" s="294"/>
      <c r="AAM52" s="294"/>
      <c r="AAN52" s="294"/>
      <c r="AAO52" s="294"/>
      <c r="AAP52" s="294"/>
      <c r="AAQ52" s="294"/>
      <c r="AAR52" s="294"/>
      <c r="AAS52" s="294"/>
      <c r="AAT52" s="294"/>
      <c r="AAU52" s="294"/>
      <c r="AAV52" s="294"/>
      <c r="AAW52" s="294"/>
      <c r="AAX52" s="294"/>
      <c r="AAY52" s="294"/>
      <c r="AAZ52" s="294"/>
      <c r="ABA52" s="294">
        <v>176257.6</v>
      </c>
      <c r="ABB52" s="294"/>
      <c r="ABC52" s="294">
        <v>0</v>
      </c>
      <c r="ABD52" s="294"/>
      <c r="ABE52" s="294"/>
      <c r="ABF52" s="294"/>
      <c r="ABG52" s="294"/>
      <c r="ABH52" s="294"/>
      <c r="ABI52" s="294">
        <v>0</v>
      </c>
      <c r="ABJ52" s="294"/>
      <c r="ABK52" s="294">
        <v>0</v>
      </c>
      <c r="ABL52" s="294"/>
      <c r="ABM52" s="294"/>
      <c r="ABN52" s="294"/>
      <c r="ABO52" s="294"/>
      <c r="ABP52" s="294"/>
      <c r="ABQ52" s="294"/>
      <c r="ABR52" s="294"/>
      <c r="ABS52" s="294"/>
      <c r="ABT52" s="294"/>
      <c r="ABU52" s="294"/>
      <c r="ABV52" s="294"/>
      <c r="ABW52" s="294"/>
      <c r="ABX52" s="294"/>
      <c r="ABY52" s="294"/>
      <c r="ABZ52" s="294"/>
      <c r="ACA52" s="294"/>
      <c r="ACB52" s="294"/>
      <c r="ACC52" s="294"/>
      <c r="ACD52" s="294"/>
      <c r="ACE52" s="294"/>
      <c r="ACF52" s="294"/>
      <c r="ACG52" s="294"/>
      <c r="ACH52" s="294"/>
      <c r="ACI52" s="294">
        <v>0</v>
      </c>
      <c r="ACJ52" s="294"/>
      <c r="ACK52" s="294"/>
      <c r="ACL52" s="294"/>
      <c r="ACM52" s="294">
        <v>3180448.23</v>
      </c>
      <c r="ACN52" s="294"/>
      <c r="ACO52" s="294"/>
      <c r="ACP52" s="294"/>
      <c r="ACQ52" s="294"/>
      <c r="ACR52" s="294"/>
      <c r="ACS52" s="294">
        <v>7500</v>
      </c>
      <c r="ACT52" s="294"/>
      <c r="ACU52" s="294"/>
      <c r="ACV52" s="294"/>
      <c r="ACW52" s="294"/>
      <c r="ACX52" s="294"/>
      <c r="ACY52" s="294"/>
      <c r="ACZ52" s="294"/>
      <c r="ADA52" s="294"/>
      <c r="ADB52" s="294">
        <v>1229798.3799999999</v>
      </c>
      <c r="ADC52" s="294"/>
      <c r="ADD52" s="294"/>
      <c r="ADE52" s="294"/>
      <c r="ADF52" s="294"/>
      <c r="ADG52" s="294"/>
      <c r="ADH52" s="294"/>
      <c r="ADI52" s="294"/>
      <c r="ADJ52" s="294"/>
      <c r="ADK52" s="294"/>
      <c r="ADL52" s="294"/>
      <c r="ADM52" s="294"/>
      <c r="ADN52" s="294"/>
      <c r="ADO52" s="294">
        <v>12393022.84</v>
      </c>
      <c r="ADP52" s="294">
        <v>0</v>
      </c>
      <c r="ADQ52" s="294"/>
      <c r="ADR52" s="294"/>
      <c r="ADS52" s="294"/>
      <c r="ADT52" s="294"/>
      <c r="ADU52" s="294"/>
      <c r="ADV52" s="294"/>
      <c r="ADW52" s="294"/>
      <c r="ADX52" s="294"/>
      <c r="ADY52" s="294">
        <v>0</v>
      </c>
      <c r="ADZ52" s="294">
        <v>0</v>
      </c>
      <c r="AEA52" s="294"/>
      <c r="AEB52" s="294"/>
      <c r="AEC52" s="294"/>
      <c r="AED52" s="294"/>
      <c r="AEE52" s="294"/>
      <c r="AEF52" s="294"/>
      <c r="AEG52" s="294">
        <v>897583.31</v>
      </c>
      <c r="AEH52" s="294"/>
      <c r="AEI52" s="294"/>
      <c r="AEJ52" s="294"/>
      <c r="AEK52" s="294"/>
      <c r="AEL52" s="294"/>
      <c r="AEM52" s="294"/>
      <c r="AEN52" s="294"/>
      <c r="AEO52" s="294"/>
      <c r="AEP52" s="294"/>
      <c r="AEQ52" s="294"/>
      <c r="AER52" s="294"/>
      <c r="AES52" s="294">
        <v>0</v>
      </c>
      <c r="AET52" s="294"/>
      <c r="AEU52" s="294"/>
      <c r="AEV52" s="294"/>
      <c r="AEW52" s="294"/>
      <c r="AEX52" s="294"/>
      <c r="AEY52" s="294"/>
      <c r="AEZ52" s="294"/>
      <c r="AFA52" s="294"/>
      <c r="AFB52" s="294"/>
      <c r="AFC52" s="294"/>
      <c r="AFD52" s="294"/>
      <c r="AFE52" s="294"/>
      <c r="AFF52" s="294"/>
      <c r="AFG52" s="294"/>
      <c r="AFH52" s="294"/>
      <c r="AFI52" s="294"/>
      <c r="AFJ52" s="294"/>
      <c r="AFK52" s="294">
        <v>3566601.81</v>
      </c>
      <c r="AFL52" s="294"/>
      <c r="AFM52" s="294"/>
      <c r="AFN52" s="294"/>
      <c r="AFO52" s="294"/>
      <c r="AFP52" s="294"/>
      <c r="AFQ52" s="294"/>
      <c r="AFR52" s="294"/>
      <c r="AFS52" s="294"/>
      <c r="AFT52" s="294"/>
      <c r="AFU52" s="294"/>
      <c r="AFV52" s="294"/>
      <c r="AFW52" s="294"/>
      <c r="AFX52" s="294"/>
      <c r="AFY52" s="294"/>
      <c r="AFZ52" s="294"/>
      <c r="AGA52" s="294"/>
      <c r="AGB52" s="294"/>
      <c r="AGC52" s="294"/>
      <c r="AGD52" s="294"/>
      <c r="AGE52" s="294"/>
      <c r="AGF52" s="294"/>
      <c r="AGG52" s="294"/>
      <c r="AGH52" s="294"/>
      <c r="AGI52" s="294"/>
      <c r="AGJ52" s="294"/>
      <c r="AGK52" s="294"/>
      <c r="AGL52" s="294"/>
      <c r="AGM52" s="294"/>
      <c r="AGN52" s="294"/>
      <c r="AGO52" s="294"/>
      <c r="AGP52" s="294"/>
      <c r="AGQ52" s="294"/>
      <c r="AGR52" s="294"/>
      <c r="AGS52" s="294"/>
      <c r="AGT52" s="294"/>
      <c r="AGU52" s="294"/>
      <c r="AGV52" s="294"/>
      <c r="AGW52" s="294"/>
      <c r="AGX52" s="294"/>
      <c r="AGY52" s="294"/>
      <c r="AGZ52" s="294"/>
      <c r="AHA52" s="294"/>
      <c r="AHB52" s="294"/>
      <c r="AHC52" s="294"/>
      <c r="AHD52" s="294"/>
      <c r="AHE52" s="294"/>
      <c r="AHF52" s="294"/>
      <c r="AHG52" s="294"/>
      <c r="AHH52" s="294"/>
      <c r="AHI52" s="294"/>
      <c r="AHJ52" s="294"/>
      <c r="AHK52" s="294"/>
      <c r="AHL52" s="294"/>
      <c r="AHM52" s="294"/>
      <c r="AHN52" s="294"/>
      <c r="AHO52" s="294"/>
      <c r="AHP52" s="294"/>
      <c r="AHQ52" s="294"/>
      <c r="AHR52" s="331"/>
      <c r="AHS52" s="294">
        <f t="shared" si="35"/>
        <v>62447411.319999993</v>
      </c>
    </row>
    <row r="53" spans="1:907" ht="24.6" x14ac:dyDescent="0.7">
      <c r="B53" s="268" t="s">
        <v>6053</v>
      </c>
      <c r="C53" s="269" t="s">
        <v>6054</v>
      </c>
      <c r="D53" s="294">
        <v>639500236.87</v>
      </c>
      <c r="E53" s="294">
        <v>18458714.920000002</v>
      </c>
      <c r="F53" s="294">
        <v>17556601.760000002</v>
      </c>
      <c r="G53" s="294">
        <v>3032125.69</v>
      </c>
      <c r="H53" s="294">
        <v>25826742.469999999</v>
      </c>
      <c r="I53" s="294">
        <v>6897727.2199999997</v>
      </c>
      <c r="J53" s="294">
        <v>233883647.44</v>
      </c>
      <c r="K53" s="294">
        <v>70645000.230000004</v>
      </c>
      <c r="L53" s="294">
        <v>10293213.390000001</v>
      </c>
      <c r="M53" s="294">
        <v>9184046.5700000003</v>
      </c>
      <c r="N53" s="294">
        <v>7155600.3200000003</v>
      </c>
      <c r="O53" s="294">
        <v>6846249.2599999998</v>
      </c>
      <c r="P53" s="294">
        <v>81790944.700000003</v>
      </c>
      <c r="Q53" s="294">
        <v>6206377.0599999996</v>
      </c>
      <c r="R53" s="294">
        <v>2955509.64</v>
      </c>
      <c r="S53" s="294">
        <v>19088252.010000002</v>
      </c>
      <c r="T53" s="294">
        <v>23271146.719999999</v>
      </c>
      <c r="U53" s="294">
        <v>1918527.43</v>
      </c>
      <c r="V53" s="294">
        <v>631968276.42999995</v>
      </c>
      <c r="W53" s="294">
        <v>54801967.620000005</v>
      </c>
      <c r="X53" s="294">
        <v>24358517.789999999</v>
      </c>
      <c r="Y53" s="294">
        <v>107221675.28</v>
      </c>
      <c r="Z53" s="294">
        <v>17457709.07</v>
      </c>
      <c r="AA53" s="294">
        <v>27237147.080000002</v>
      </c>
      <c r="AB53" s="294">
        <v>11262656.01</v>
      </c>
      <c r="AC53" s="294">
        <v>38604169.93</v>
      </c>
      <c r="AD53" s="294">
        <v>31262111.520000003</v>
      </c>
      <c r="AE53" s="294">
        <v>7391155.7699999996</v>
      </c>
      <c r="AF53" s="294">
        <v>20428798.16</v>
      </c>
      <c r="AG53" s="294">
        <v>27318778.949999999</v>
      </c>
      <c r="AH53" s="294">
        <v>76199136.450000003</v>
      </c>
      <c r="AI53" s="294">
        <v>16080806.370000001</v>
      </c>
      <c r="AJ53" s="294">
        <v>17402673.23</v>
      </c>
      <c r="AK53" s="294">
        <v>14028063.789999999</v>
      </c>
      <c r="AL53" s="294">
        <v>67360300.319999993</v>
      </c>
      <c r="AM53" s="294">
        <v>5183104.51</v>
      </c>
      <c r="AN53" s="294">
        <v>49305225.230000004</v>
      </c>
      <c r="AO53" s="294">
        <v>17530876.110000003</v>
      </c>
      <c r="AP53" s="294">
        <v>5639428.9200000009</v>
      </c>
      <c r="AQ53" s="294">
        <v>8681562.5299999993</v>
      </c>
      <c r="AR53" s="294">
        <v>21927255.030000001</v>
      </c>
      <c r="AS53" s="294">
        <v>7292631.7799999993</v>
      </c>
      <c r="AT53" s="294">
        <v>67356643.019999996</v>
      </c>
      <c r="AU53" s="294">
        <v>7826163.7300000004</v>
      </c>
      <c r="AV53" s="294">
        <v>8163962.7400000002</v>
      </c>
      <c r="AW53" s="294">
        <v>11075744.369999999</v>
      </c>
      <c r="AX53" s="294">
        <v>8536736.5999999996</v>
      </c>
      <c r="AY53" s="294">
        <v>14448193.990000002</v>
      </c>
      <c r="AZ53" s="294">
        <v>12461023.190000001</v>
      </c>
      <c r="BA53" s="294">
        <v>6663330.9800000004</v>
      </c>
      <c r="BB53" s="294">
        <v>9994868.1799999997</v>
      </c>
      <c r="BC53" s="294">
        <v>9125930.9199999999</v>
      </c>
      <c r="BD53" s="294">
        <v>12571105.609999999</v>
      </c>
      <c r="BE53" s="294">
        <v>6391198.9699999997</v>
      </c>
      <c r="BF53" s="294">
        <v>7987406</v>
      </c>
      <c r="BG53" s="294">
        <v>5903698.5100000007</v>
      </c>
      <c r="BH53" s="294">
        <v>24541295.439999998</v>
      </c>
      <c r="BI53" s="294">
        <v>193327005.59999999</v>
      </c>
      <c r="BJ53" s="294">
        <v>70802813.349999994</v>
      </c>
      <c r="BK53" s="294">
        <v>15425017.970000003</v>
      </c>
      <c r="BL53" s="294">
        <v>7898390.7599999988</v>
      </c>
      <c r="BM53" s="294">
        <v>12838385.67</v>
      </c>
      <c r="BN53" s="294">
        <v>9305302.4400000013</v>
      </c>
      <c r="BO53" s="294">
        <v>4136906.78</v>
      </c>
      <c r="BP53" s="294">
        <v>7342779.1799999997</v>
      </c>
      <c r="BQ53" s="294">
        <v>7430207</v>
      </c>
      <c r="BR53" s="294">
        <v>22859537.079999998</v>
      </c>
      <c r="BS53" s="294">
        <v>9498889.8800000008</v>
      </c>
      <c r="BT53" s="294">
        <v>6603577.9399999995</v>
      </c>
      <c r="BU53" s="294">
        <v>12516418.890000001</v>
      </c>
      <c r="BV53" s="294">
        <v>7751693.9000000004</v>
      </c>
      <c r="BW53" s="294">
        <v>3688784.13</v>
      </c>
      <c r="BX53" s="294">
        <v>2977772.38</v>
      </c>
      <c r="BY53" s="294">
        <v>5664604.25</v>
      </c>
      <c r="BZ53" s="294">
        <v>72178778.810000002</v>
      </c>
      <c r="CA53" s="294">
        <v>5159399.9000000004</v>
      </c>
      <c r="CB53" s="294">
        <v>6222734.2200000007</v>
      </c>
      <c r="CC53" s="294">
        <v>10134610.939999999</v>
      </c>
      <c r="CD53" s="294">
        <v>5044417.2799999993</v>
      </c>
      <c r="CE53" s="294">
        <v>8950717.8899999987</v>
      </c>
      <c r="CF53" s="294">
        <v>5628503.4699999997</v>
      </c>
      <c r="CG53" s="294">
        <v>1034236443.3</v>
      </c>
      <c r="CH53" s="294">
        <v>18070372.66</v>
      </c>
      <c r="CI53" s="294">
        <v>51677331.469999999</v>
      </c>
      <c r="CJ53" s="294">
        <v>12433510.810000001</v>
      </c>
      <c r="CK53" s="294">
        <v>31567712.170000002</v>
      </c>
      <c r="CL53" s="294">
        <v>12975405.73</v>
      </c>
      <c r="CM53" s="294">
        <v>18561895.43</v>
      </c>
      <c r="CN53" s="294">
        <v>34152096.909999996</v>
      </c>
      <c r="CO53" s="294">
        <v>13585739.119999999</v>
      </c>
      <c r="CP53" s="294">
        <v>13728517.83</v>
      </c>
      <c r="CQ53" s="294">
        <v>11053284.43</v>
      </c>
      <c r="CR53" s="294">
        <v>15147205.17</v>
      </c>
      <c r="CS53" s="294">
        <v>15307651.810000001</v>
      </c>
      <c r="CT53" s="294">
        <v>79793098.650000006</v>
      </c>
      <c r="CU53" s="294">
        <v>24830619.620000001</v>
      </c>
      <c r="CV53" s="294">
        <v>24254033.690000001</v>
      </c>
      <c r="CW53" s="294">
        <v>13988518.51</v>
      </c>
      <c r="CX53" s="294">
        <v>19028698.18</v>
      </c>
      <c r="CY53" s="294">
        <v>14843525.32</v>
      </c>
      <c r="CZ53" s="294">
        <v>6999880.0899999999</v>
      </c>
      <c r="DA53" s="294">
        <v>12933922.08</v>
      </c>
      <c r="DB53" s="294">
        <v>135189619.18000001</v>
      </c>
      <c r="DC53" s="294">
        <v>196631291.38</v>
      </c>
      <c r="DD53" s="294">
        <v>6712322.4100000001</v>
      </c>
      <c r="DE53" s="294">
        <v>9584961.6999999993</v>
      </c>
      <c r="DF53" s="294">
        <v>18560953.23</v>
      </c>
      <c r="DG53" s="294">
        <v>24786344.210000001</v>
      </c>
      <c r="DH53" s="294">
        <v>5141110.6500000004</v>
      </c>
      <c r="DI53" s="294">
        <v>5112070.46</v>
      </c>
      <c r="DJ53" s="294">
        <v>24693439.75</v>
      </c>
      <c r="DK53" s="294">
        <v>830113796.56000006</v>
      </c>
      <c r="DL53" s="294">
        <v>14702441.260000002</v>
      </c>
      <c r="DM53" s="294">
        <v>13669369.91</v>
      </c>
      <c r="DN53" s="294">
        <v>41046818.93</v>
      </c>
      <c r="DO53" s="294">
        <v>12686421.209899999</v>
      </c>
      <c r="DP53" s="294">
        <v>11025737.710000001</v>
      </c>
      <c r="DQ53" s="294">
        <v>38284500.370000005</v>
      </c>
      <c r="DR53" s="294">
        <v>38685734.920000002</v>
      </c>
      <c r="DS53" s="294">
        <v>55829646.450000003</v>
      </c>
      <c r="DT53" s="294"/>
      <c r="DU53" s="294">
        <v>8625308.129999999</v>
      </c>
      <c r="DV53" s="294">
        <v>27071240.149999999</v>
      </c>
      <c r="DW53" s="294">
        <v>56102806.149999991</v>
      </c>
      <c r="DX53" s="294">
        <v>28865454.529999997</v>
      </c>
      <c r="DY53" s="294">
        <v>7157517.9299999997</v>
      </c>
      <c r="DZ53" s="294">
        <v>19862976.82</v>
      </c>
      <c r="EA53" s="294">
        <v>18335829.440000001</v>
      </c>
      <c r="EB53" s="294">
        <v>10879631.449999999</v>
      </c>
      <c r="EC53" s="294">
        <v>17761780.710000001</v>
      </c>
      <c r="ED53" s="294">
        <v>14121847.350000001</v>
      </c>
      <c r="EE53" s="294">
        <v>158112684.97999999</v>
      </c>
      <c r="EF53" s="294">
        <v>123019973.2</v>
      </c>
      <c r="EG53" s="294">
        <v>17898708.109999999</v>
      </c>
      <c r="EH53" s="294">
        <v>6947077.4100000001</v>
      </c>
      <c r="EI53" s="294">
        <v>27161048.91</v>
      </c>
      <c r="EJ53" s="294">
        <v>24613446.510000002</v>
      </c>
      <c r="EK53" s="294">
        <v>24281345.100000001</v>
      </c>
      <c r="EL53" s="294">
        <v>10114840.9</v>
      </c>
      <c r="EM53" s="294">
        <v>23196193.73</v>
      </c>
      <c r="EN53" s="294">
        <v>77016556.849999994</v>
      </c>
      <c r="EO53" s="294">
        <v>5519247.0199999996</v>
      </c>
      <c r="EP53" s="294">
        <v>7363360.6600000001</v>
      </c>
      <c r="EQ53" s="294">
        <v>5314725.3</v>
      </c>
      <c r="ER53" s="294">
        <v>6359313.0300000003</v>
      </c>
      <c r="ES53" s="294">
        <v>11947782.32</v>
      </c>
      <c r="ET53" s="294">
        <v>13010036.380000001</v>
      </c>
      <c r="EU53" s="294">
        <v>11342202.43</v>
      </c>
      <c r="EV53" s="294">
        <v>8485334.6199999992</v>
      </c>
      <c r="EW53" s="294">
        <v>89449435.069999993</v>
      </c>
      <c r="EX53" s="294">
        <v>32039533</v>
      </c>
      <c r="EY53" s="294">
        <v>16103042.48</v>
      </c>
      <c r="EZ53" s="294">
        <v>12072081.789999999</v>
      </c>
      <c r="FA53" s="294">
        <v>20269229.690000001</v>
      </c>
      <c r="FB53" s="294">
        <v>28986434.600000001</v>
      </c>
      <c r="FC53" s="294">
        <v>32756904.66</v>
      </c>
      <c r="FD53" s="294">
        <v>14504150.27</v>
      </c>
      <c r="FE53" s="294">
        <v>24455990.34</v>
      </c>
      <c r="FF53" s="294">
        <v>34456277.579999998</v>
      </c>
      <c r="FG53" s="294">
        <v>15572352.99</v>
      </c>
      <c r="FH53" s="294">
        <v>6206297.1799999997</v>
      </c>
      <c r="FI53" s="294">
        <v>12878248.27</v>
      </c>
      <c r="FJ53" s="294">
        <v>16597587.379999999</v>
      </c>
      <c r="FK53" s="294">
        <v>15975670.939999999</v>
      </c>
      <c r="FL53" s="294">
        <v>13475687.739999998</v>
      </c>
      <c r="FM53" s="294">
        <v>18641223.289999999</v>
      </c>
      <c r="FN53" s="294">
        <v>33373564.430000003</v>
      </c>
      <c r="FO53" s="294">
        <v>6462313.2599999998</v>
      </c>
      <c r="FP53" s="294">
        <v>14499351.83</v>
      </c>
      <c r="FQ53" s="294">
        <v>692713639.05999994</v>
      </c>
      <c r="FR53" s="294">
        <v>3410112.8</v>
      </c>
      <c r="FS53" s="294">
        <v>33154694.690000001</v>
      </c>
      <c r="FT53" s="294">
        <v>11493537.35</v>
      </c>
      <c r="FU53" s="294">
        <v>40346892.600000001</v>
      </c>
      <c r="FV53" s="294">
        <v>9403031.6500000004</v>
      </c>
      <c r="FW53" s="294">
        <v>25487948.550000001</v>
      </c>
      <c r="FX53" s="294">
        <v>14717584.630000001</v>
      </c>
      <c r="FY53" s="294">
        <v>39077294.130000003</v>
      </c>
      <c r="FZ53" s="294">
        <v>31041832.800000001</v>
      </c>
      <c r="GA53" s="294">
        <v>44749759.409999996</v>
      </c>
      <c r="GB53" s="294">
        <v>7677304.3399999999</v>
      </c>
      <c r="GC53" s="294">
        <v>24531763.579999998</v>
      </c>
      <c r="GD53" s="294">
        <v>28807228.989999998</v>
      </c>
      <c r="GE53" s="294">
        <v>149573574.83000001</v>
      </c>
      <c r="GF53" s="294">
        <v>8110602.0999999996</v>
      </c>
      <c r="GG53" s="294">
        <v>20923135.809999999</v>
      </c>
      <c r="GH53" s="294">
        <v>25579402.440000001</v>
      </c>
      <c r="GI53" s="294">
        <v>12138674.58</v>
      </c>
      <c r="GJ53" s="294">
        <v>7311050.3700000001</v>
      </c>
      <c r="GK53" s="294">
        <v>3661.26</v>
      </c>
      <c r="GL53" s="294">
        <v>25672513.260000002</v>
      </c>
      <c r="GM53" s="294">
        <v>4769381.42</v>
      </c>
      <c r="GN53" s="294">
        <v>10820926.460000001</v>
      </c>
      <c r="GO53" s="294">
        <v>5574705.7599999998</v>
      </c>
      <c r="GP53" s="294">
        <v>2135725.7999999998</v>
      </c>
      <c r="GQ53" s="294">
        <v>108712053.05</v>
      </c>
      <c r="GR53" s="294">
        <v>38878074.060000002</v>
      </c>
      <c r="GS53" s="294">
        <v>12628946.300000001</v>
      </c>
      <c r="GT53" s="294">
        <v>18026814.760000002</v>
      </c>
      <c r="GU53" s="294">
        <v>2868090.63</v>
      </c>
      <c r="GV53" s="294">
        <v>21751747.68</v>
      </c>
      <c r="GW53" s="294">
        <v>20792930.030000001</v>
      </c>
      <c r="GX53" s="294">
        <v>14078640.439999999</v>
      </c>
      <c r="GY53" s="294">
        <v>89439372.460000008</v>
      </c>
      <c r="GZ53" s="294">
        <v>7150934.370000001</v>
      </c>
      <c r="HA53" s="294">
        <v>15480606.65</v>
      </c>
      <c r="HB53" s="294">
        <v>6578770.0099999998</v>
      </c>
      <c r="HC53" s="294">
        <v>358402572.00999993</v>
      </c>
      <c r="HD53" s="294">
        <v>199181974.66000006</v>
      </c>
      <c r="HE53" s="294">
        <v>22270466.41</v>
      </c>
      <c r="HF53" s="294">
        <v>69546780.949999988</v>
      </c>
      <c r="HG53" s="294">
        <v>57988544.219999999</v>
      </c>
      <c r="HH53" s="294">
        <v>28258559.550000004</v>
      </c>
      <c r="HI53" s="294">
        <v>28823455.979999997</v>
      </c>
      <c r="HJ53" s="294">
        <v>413868133.36000001</v>
      </c>
      <c r="HK53" s="294">
        <v>30591860.570000004</v>
      </c>
      <c r="HL53" s="294">
        <v>70951691.689999998</v>
      </c>
      <c r="HM53" s="294">
        <v>73685107.019999996</v>
      </c>
      <c r="HN53" s="294">
        <v>14506291.83</v>
      </c>
      <c r="HO53" s="294">
        <v>42970043.949999996</v>
      </c>
      <c r="HP53" s="294">
        <v>39551727.609999999</v>
      </c>
      <c r="HQ53" s="294">
        <v>22759453.43</v>
      </c>
      <c r="HR53" s="294">
        <v>67673304.610100001</v>
      </c>
      <c r="HS53" s="294">
        <v>67334218.950000003</v>
      </c>
      <c r="HT53" s="294">
        <v>23439092.439999998</v>
      </c>
      <c r="HU53" s="294">
        <v>26693736.059999999</v>
      </c>
      <c r="HV53" s="294">
        <v>19661163.250000004</v>
      </c>
      <c r="HW53" s="294">
        <v>14508342.180000003</v>
      </c>
      <c r="HX53" s="294">
        <v>72913974.13000001</v>
      </c>
      <c r="HY53" s="294">
        <v>12983332.200000001</v>
      </c>
      <c r="HZ53" s="294">
        <v>25817300.039999999</v>
      </c>
      <c r="IA53" s="294">
        <v>17501858.540000003</v>
      </c>
      <c r="IB53" s="294">
        <v>23261898.740000002</v>
      </c>
      <c r="IC53" s="294">
        <v>59124419.930000007</v>
      </c>
      <c r="ID53" s="294">
        <v>5660689.4099999992</v>
      </c>
      <c r="IE53" s="294">
        <v>68250761.220000014</v>
      </c>
      <c r="IF53" s="294">
        <v>4257439.68</v>
      </c>
      <c r="IG53" s="294">
        <v>6653043.7599999998</v>
      </c>
      <c r="IH53" s="294">
        <v>37694196.640000001</v>
      </c>
      <c r="II53" s="294">
        <v>44173894.390000001</v>
      </c>
      <c r="IJ53" s="294">
        <v>29734369.780000001</v>
      </c>
      <c r="IK53" s="294">
        <v>64775295.089999996</v>
      </c>
      <c r="IL53" s="294">
        <v>38974031.179999992</v>
      </c>
      <c r="IM53" s="294">
        <v>23399397.34</v>
      </c>
      <c r="IN53" s="294">
        <v>12645112.91</v>
      </c>
      <c r="IO53" s="294">
        <v>5247568.58</v>
      </c>
      <c r="IP53" s="294">
        <v>15244437.58</v>
      </c>
      <c r="IQ53" s="294">
        <v>1080445.49</v>
      </c>
      <c r="IR53" s="294">
        <v>60413977.840000004</v>
      </c>
      <c r="IS53" s="294">
        <v>157703889.40000001</v>
      </c>
      <c r="IT53" s="294">
        <v>12464461.940000001</v>
      </c>
      <c r="IU53" s="294">
        <v>16870001.969999999</v>
      </c>
      <c r="IV53" s="294">
        <v>23741209.070000004</v>
      </c>
      <c r="IW53" s="294">
        <v>51843800.900000006</v>
      </c>
      <c r="IX53" s="294">
        <v>25970792.25</v>
      </c>
      <c r="IY53" s="294">
        <v>16903240.82</v>
      </c>
      <c r="IZ53" s="294">
        <v>6902339.6399999987</v>
      </c>
      <c r="JA53" s="294">
        <v>7077200.5000000009</v>
      </c>
      <c r="JB53" s="294">
        <v>24988018.140000001</v>
      </c>
      <c r="JC53" s="294">
        <v>32576051.980000004</v>
      </c>
      <c r="JD53" s="294">
        <v>6900685.4899999993</v>
      </c>
      <c r="JE53" s="294">
        <v>50810809.919999994</v>
      </c>
      <c r="JF53" s="294">
        <v>32838098.150000002</v>
      </c>
      <c r="JG53" s="294">
        <v>19188903.529999997</v>
      </c>
      <c r="JH53" s="294">
        <v>11794357.970000001</v>
      </c>
      <c r="JI53" s="294">
        <v>10675877.890000001</v>
      </c>
      <c r="JJ53" s="294">
        <v>7264078.75</v>
      </c>
      <c r="JK53" s="294">
        <v>96898189.930000007</v>
      </c>
      <c r="JL53" s="294">
        <v>9079989.7300000004</v>
      </c>
      <c r="JM53" s="294">
        <v>21930889</v>
      </c>
      <c r="JN53" s="294">
        <v>61149581.289999999</v>
      </c>
      <c r="JO53" s="294">
        <v>19421577.93</v>
      </c>
      <c r="JP53" s="294">
        <v>14648826.65</v>
      </c>
      <c r="JQ53" s="294">
        <v>10584005.449999999</v>
      </c>
      <c r="JR53" s="294">
        <v>279198761.15999997</v>
      </c>
      <c r="JS53" s="294">
        <v>43946596.200000003</v>
      </c>
      <c r="JT53" s="294">
        <v>33236702.359999999</v>
      </c>
      <c r="JU53" s="294">
        <v>6359792.5599999996</v>
      </c>
      <c r="JV53" s="294">
        <v>22253985.859999999</v>
      </c>
      <c r="JW53" s="294">
        <v>6827332.6999999993</v>
      </c>
      <c r="JX53" s="294">
        <v>40414982.179999992</v>
      </c>
      <c r="JY53" s="294">
        <v>47380287.350000001</v>
      </c>
      <c r="JZ53" s="294">
        <v>34910716.969999999</v>
      </c>
      <c r="KA53" s="294">
        <v>10505367.039999999</v>
      </c>
      <c r="KB53" s="294">
        <v>31460472.140000001</v>
      </c>
      <c r="KC53" s="294">
        <v>21420747.490000002</v>
      </c>
      <c r="KD53" s="294">
        <v>10068675.91</v>
      </c>
      <c r="KE53" s="294">
        <v>13340410.210000001</v>
      </c>
      <c r="KF53" s="294">
        <v>15388303.939999999</v>
      </c>
      <c r="KG53" s="294">
        <v>13202766.290000001</v>
      </c>
      <c r="KH53" s="294">
        <v>622237338.3499999</v>
      </c>
      <c r="KI53" s="294">
        <v>36678175.399999999</v>
      </c>
      <c r="KJ53" s="294">
        <v>9306281.2300000004</v>
      </c>
      <c r="KK53" s="294">
        <v>11930128.75</v>
      </c>
      <c r="KL53" s="294">
        <v>45443190.800999999</v>
      </c>
      <c r="KM53" s="294">
        <v>977825.45</v>
      </c>
      <c r="KN53" s="294">
        <v>33362603.809999999</v>
      </c>
      <c r="KO53" s="294">
        <v>27848248.859999999</v>
      </c>
      <c r="KP53" s="294">
        <v>28132176.34</v>
      </c>
      <c r="KQ53" s="294">
        <v>56293668.43999999</v>
      </c>
      <c r="KR53" s="294">
        <v>20498412.359999999</v>
      </c>
      <c r="KS53" s="294">
        <v>31758218.760000002</v>
      </c>
      <c r="KT53" s="294">
        <v>44099848.789999999</v>
      </c>
      <c r="KU53" s="294">
        <v>15570118.699999999</v>
      </c>
      <c r="KV53" s="294">
        <v>25254879.129999999</v>
      </c>
      <c r="KW53" s="294">
        <v>212777433.05000001</v>
      </c>
      <c r="KX53" s="294">
        <v>104256661.17</v>
      </c>
      <c r="KY53" s="294">
        <v>52673114.43</v>
      </c>
      <c r="KZ53" s="294">
        <v>64433887.5</v>
      </c>
      <c r="LA53" s="294">
        <v>2330195.34</v>
      </c>
      <c r="LB53" s="294">
        <v>19781165.629999999</v>
      </c>
      <c r="LC53" s="294">
        <v>4053795.02</v>
      </c>
      <c r="LD53" s="294">
        <v>20126144.459999997</v>
      </c>
      <c r="LE53" s="294">
        <v>13452392.039999999</v>
      </c>
      <c r="LF53" s="294">
        <v>21300254.050000001</v>
      </c>
      <c r="LG53" s="294">
        <v>270283735.71999997</v>
      </c>
      <c r="LH53" s="294">
        <v>88804969.820000008</v>
      </c>
      <c r="LI53" s="294">
        <v>106360037.28</v>
      </c>
      <c r="LJ53" s="294">
        <v>74906552.379999995</v>
      </c>
      <c r="LK53" s="294">
        <v>25184263.969999999</v>
      </c>
      <c r="LL53" s="294">
        <v>9699184.8200000003</v>
      </c>
      <c r="LM53" s="294">
        <v>2712111.4000000004</v>
      </c>
      <c r="LN53" s="294">
        <v>31447545.399999999</v>
      </c>
      <c r="LO53" s="294">
        <v>2843364.25</v>
      </c>
      <c r="LP53" s="294">
        <v>15573100.999999998</v>
      </c>
      <c r="LQ53" s="294">
        <v>8146230.2000000011</v>
      </c>
      <c r="LR53" s="294">
        <v>49060067.509999998</v>
      </c>
      <c r="LS53" s="294">
        <v>22652220.93</v>
      </c>
      <c r="LT53" s="294">
        <v>25911904.390000001</v>
      </c>
      <c r="LU53" s="294">
        <v>920701135.17000008</v>
      </c>
      <c r="LV53" s="294">
        <v>214690272.73000002</v>
      </c>
      <c r="LW53" s="294">
        <v>453807474.70999998</v>
      </c>
      <c r="LX53" s="294">
        <v>96546641.560000017</v>
      </c>
      <c r="LY53" s="294">
        <v>29504713.230000004</v>
      </c>
      <c r="LZ53" s="294">
        <v>52106651.090000004</v>
      </c>
      <c r="MA53" s="294">
        <v>63721778.660000004</v>
      </c>
      <c r="MB53" s="294">
        <v>52815915.489999995</v>
      </c>
      <c r="MC53" s="294">
        <v>70094278.849999994</v>
      </c>
      <c r="MD53" s="294">
        <v>116394824.86000001</v>
      </c>
      <c r="ME53" s="294">
        <v>42364359.82</v>
      </c>
      <c r="MF53" s="294">
        <v>43244046.010000005</v>
      </c>
      <c r="MG53" s="294">
        <v>196776518.25</v>
      </c>
      <c r="MH53" s="294">
        <v>24512285.390000001</v>
      </c>
      <c r="MI53" s="294">
        <v>42190721.160000004</v>
      </c>
      <c r="MJ53" s="294">
        <v>24826255.309999999</v>
      </c>
      <c r="MK53" s="294">
        <v>35975786.330000006</v>
      </c>
      <c r="ML53" s="294">
        <v>25228030.670000002</v>
      </c>
      <c r="MM53" s="294">
        <v>10344990.99</v>
      </c>
      <c r="MN53" s="294">
        <v>22332982.229999997</v>
      </c>
      <c r="MO53" s="294">
        <v>29417592.849999998</v>
      </c>
      <c r="MP53" s="294">
        <v>29642904.630000003</v>
      </c>
      <c r="MQ53" s="294">
        <v>17480226.440000001</v>
      </c>
      <c r="MR53" s="294">
        <v>34196558.559999995</v>
      </c>
      <c r="MS53" s="294">
        <v>370517716.44</v>
      </c>
      <c r="MT53" s="294">
        <v>22604424.73</v>
      </c>
      <c r="MU53" s="294">
        <v>57779461.569999993</v>
      </c>
      <c r="MV53" s="294">
        <v>24841272.77</v>
      </c>
      <c r="MW53" s="294">
        <v>19497136.48</v>
      </c>
      <c r="MX53" s="294">
        <v>34339664.789999999</v>
      </c>
      <c r="MY53" s="294">
        <v>64655123.550999992</v>
      </c>
      <c r="MZ53" s="294">
        <v>20750027.039999999</v>
      </c>
      <c r="NA53" s="294">
        <v>9001567.6600000001</v>
      </c>
      <c r="NB53" s="294">
        <v>1752166.95</v>
      </c>
      <c r="NC53" s="294">
        <v>32831893.34</v>
      </c>
      <c r="ND53" s="294">
        <v>888555921.42999995</v>
      </c>
      <c r="NE53" s="294">
        <v>193611914.13</v>
      </c>
      <c r="NF53" s="294">
        <v>30057225.970000003</v>
      </c>
      <c r="NG53" s="294">
        <v>462137940.37999994</v>
      </c>
      <c r="NH53" s="294">
        <v>19781459.869999997</v>
      </c>
      <c r="NI53" s="294">
        <v>53943614.439999998</v>
      </c>
      <c r="NJ53" s="294">
        <v>209006967.06</v>
      </c>
      <c r="NK53" s="294">
        <v>170781119.78000003</v>
      </c>
      <c r="NL53" s="294">
        <v>25811423.919999998</v>
      </c>
      <c r="NM53" s="294">
        <v>157192281.45999998</v>
      </c>
      <c r="NN53" s="294">
        <v>75487828.609999999</v>
      </c>
      <c r="NO53" s="294">
        <v>48740567.109999999</v>
      </c>
      <c r="NP53" s="294">
        <v>114680722.31</v>
      </c>
      <c r="NQ53" s="294">
        <v>13877139.9</v>
      </c>
      <c r="NR53" s="294">
        <v>11026311.83</v>
      </c>
      <c r="NS53" s="294">
        <v>18194607.580000002</v>
      </c>
      <c r="NT53" s="294">
        <v>20557526.979999997</v>
      </c>
      <c r="NU53" s="294">
        <v>9235491.0999999978</v>
      </c>
      <c r="NV53" s="294">
        <v>13632514.759999998</v>
      </c>
      <c r="NW53" s="294">
        <v>352382947.30000001</v>
      </c>
      <c r="NX53" s="294">
        <v>58942112.170000002</v>
      </c>
      <c r="NY53" s="294">
        <v>22197209.259999998</v>
      </c>
      <c r="NZ53" s="294">
        <v>8112041.4300000006</v>
      </c>
      <c r="OA53" s="294">
        <v>23436378.48</v>
      </c>
      <c r="OB53" s="294">
        <v>19887059.609999999</v>
      </c>
      <c r="OC53" s="294">
        <v>8500240</v>
      </c>
      <c r="OD53" s="294">
        <v>364422833.66000003</v>
      </c>
      <c r="OE53" s="294">
        <v>26996928.809999999</v>
      </c>
      <c r="OF53" s="294">
        <v>23437921.66</v>
      </c>
      <c r="OG53" s="294">
        <v>28549565.259999998</v>
      </c>
      <c r="OH53" s="294">
        <v>6249688.1299999999</v>
      </c>
      <c r="OI53" s="294">
        <v>62573740.93</v>
      </c>
      <c r="OJ53" s="294">
        <v>53990108.629999995</v>
      </c>
      <c r="OK53" s="294">
        <v>9880904.7799999993</v>
      </c>
      <c r="OL53" s="294">
        <v>98934608.310000002</v>
      </c>
      <c r="OM53" s="294">
        <v>313541997.88000005</v>
      </c>
      <c r="ON53" s="294">
        <v>79519652.329999998</v>
      </c>
      <c r="OO53" s="294">
        <v>745683068.30999994</v>
      </c>
      <c r="OP53" s="294">
        <v>47481524.960000001</v>
      </c>
      <c r="OQ53" s="294">
        <v>11649069.270000001</v>
      </c>
      <c r="OR53" s="294">
        <v>119441174.66</v>
      </c>
      <c r="OS53" s="294">
        <v>426374334.94999999</v>
      </c>
      <c r="OT53" s="294">
        <v>22523663.68</v>
      </c>
      <c r="OU53" s="294">
        <v>66278750.590000011</v>
      </c>
      <c r="OV53" s="294">
        <v>39059278.009999998</v>
      </c>
      <c r="OW53" s="294">
        <v>39500017.99000001</v>
      </c>
      <c r="OX53" s="294">
        <v>21265673.499999996</v>
      </c>
      <c r="OY53" s="294">
        <v>32225053.849999998</v>
      </c>
      <c r="OZ53" s="294">
        <v>38867517</v>
      </c>
      <c r="PA53" s="294">
        <v>21998135.710000001</v>
      </c>
      <c r="PB53" s="294">
        <v>159749809.12</v>
      </c>
      <c r="PC53" s="294">
        <v>13811075.07</v>
      </c>
      <c r="PD53" s="294">
        <v>14879178.810000001</v>
      </c>
      <c r="PE53" s="294">
        <v>10165784.75</v>
      </c>
      <c r="PF53" s="294">
        <v>32260002.710000001</v>
      </c>
      <c r="PG53" s="294">
        <v>68837886.799999997</v>
      </c>
      <c r="PH53" s="294">
        <v>11455697.960000001</v>
      </c>
      <c r="PI53" s="294">
        <v>9458368.75</v>
      </c>
      <c r="PJ53" s="294">
        <v>24980120.800000001</v>
      </c>
      <c r="PK53" s="294">
        <v>14134496.380000001</v>
      </c>
      <c r="PL53" s="294">
        <v>39608903.399999999</v>
      </c>
      <c r="PM53" s="294">
        <v>37370920.649999999</v>
      </c>
      <c r="PN53" s="294">
        <v>5090606.97</v>
      </c>
      <c r="PO53" s="294">
        <v>14072343.210000001</v>
      </c>
      <c r="PP53" s="294">
        <v>6077402.0800000001</v>
      </c>
      <c r="PQ53" s="294">
        <v>12959840.689999999</v>
      </c>
      <c r="PR53" s="294">
        <v>7818913.0499999998</v>
      </c>
      <c r="PS53" s="294">
        <v>5675341.6900000004</v>
      </c>
      <c r="PT53" s="294">
        <v>302992152.25</v>
      </c>
      <c r="PU53" s="294">
        <v>19288439.810000002</v>
      </c>
      <c r="PV53" s="294">
        <v>2099776.5</v>
      </c>
      <c r="PW53" s="294">
        <v>28837510.41</v>
      </c>
      <c r="PX53" s="294">
        <v>78860493.38000001</v>
      </c>
      <c r="PY53" s="294">
        <v>13127533.1</v>
      </c>
      <c r="PZ53" s="294">
        <v>40636524.239999995</v>
      </c>
      <c r="QA53" s="294">
        <v>1451708.8</v>
      </c>
      <c r="QB53" s="294">
        <v>87262390</v>
      </c>
      <c r="QC53" s="294">
        <v>8491224.3900000006</v>
      </c>
      <c r="QD53" s="294">
        <v>35196486.390000001</v>
      </c>
      <c r="QE53" s="294">
        <v>10921823.809999997</v>
      </c>
      <c r="QF53" s="294">
        <v>8930946.4800000004</v>
      </c>
      <c r="QG53" s="294">
        <v>40959298.75</v>
      </c>
      <c r="QH53" s="294">
        <v>7952177.9000000004</v>
      </c>
      <c r="QI53" s="294">
        <v>30434222.719999999</v>
      </c>
      <c r="QJ53" s="294">
        <v>14956029.889999999</v>
      </c>
      <c r="QK53" s="294">
        <v>8131224.3599999994</v>
      </c>
      <c r="QL53" s="294">
        <v>3643615.68</v>
      </c>
      <c r="QM53" s="294">
        <v>24919504.690000001</v>
      </c>
      <c r="QN53" s="294">
        <v>53708073.689999998</v>
      </c>
      <c r="QO53" s="294">
        <v>8388785.4600000009</v>
      </c>
      <c r="QP53" s="294">
        <v>3066798.05</v>
      </c>
      <c r="QQ53" s="294">
        <v>3095995.64</v>
      </c>
      <c r="QR53" s="294">
        <v>1490786.15</v>
      </c>
      <c r="QS53" s="294">
        <v>16368258.210000001</v>
      </c>
      <c r="QT53" s="294">
        <v>165442079.12</v>
      </c>
      <c r="QU53" s="294">
        <v>7415256.2999999998</v>
      </c>
      <c r="QV53" s="294">
        <v>57903034.780000001</v>
      </c>
      <c r="QW53" s="294">
        <v>25187681.239999998</v>
      </c>
      <c r="QX53" s="294">
        <v>12611717.779999999</v>
      </c>
      <c r="QY53" s="294">
        <v>145405735.30000001</v>
      </c>
      <c r="QZ53" s="294">
        <v>18113437.18</v>
      </c>
      <c r="RA53" s="294">
        <v>47139503.170000002</v>
      </c>
      <c r="RB53" s="294">
        <v>95025061.030000001</v>
      </c>
      <c r="RC53" s="294">
        <v>18124817.440000001</v>
      </c>
      <c r="RD53" s="294">
        <v>11678717.07</v>
      </c>
      <c r="RE53" s="294">
        <v>37237852.460000001</v>
      </c>
      <c r="RF53" s="294">
        <v>10736033.25</v>
      </c>
      <c r="RG53" s="294">
        <v>765818838.65999997</v>
      </c>
      <c r="RH53" s="294">
        <v>30968933.780000001</v>
      </c>
      <c r="RI53" s="294">
        <v>12133783.1</v>
      </c>
      <c r="RJ53" s="294">
        <v>44769826.960000001</v>
      </c>
      <c r="RK53" s="294">
        <v>4077236.15</v>
      </c>
      <c r="RL53" s="294">
        <v>24078921.829999998</v>
      </c>
      <c r="RM53" s="294">
        <v>10698542.720000001</v>
      </c>
      <c r="RN53" s="294">
        <v>31454592.579999998</v>
      </c>
      <c r="RO53" s="294">
        <v>34593194.240000002</v>
      </c>
      <c r="RP53" s="294">
        <v>9444366.4000000004</v>
      </c>
      <c r="RQ53" s="294">
        <v>55795686.539999999</v>
      </c>
      <c r="RR53" s="294">
        <v>13967685.779999999</v>
      </c>
      <c r="RS53" s="294">
        <v>10030065.01</v>
      </c>
      <c r="RT53" s="294">
        <v>17546432.75</v>
      </c>
      <c r="RU53" s="294">
        <v>10392429.449999999</v>
      </c>
      <c r="RV53" s="294">
        <v>6744346.7599999998</v>
      </c>
      <c r="RW53" s="294">
        <v>9099951.4499999993</v>
      </c>
      <c r="RX53" s="294">
        <v>1657546.67</v>
      </c>
      <c r="RY53" s="294">
        <v>980445.81</v>
      </c>
      <c r="RZ53" s="294">
        <v>5123963.9800000004</v>
      </c>
      <c r="SA53" s="294">
        <v>54514913.32</v>
      </c>
      <c r="SB53" s="294">
        <v>24301848.880000003</v>
      </c>
      <c r="SC53" s="294">
        <v>16927588.149999999</v>
      </c>
      <c r="SD53" s="294">
        <v>22446719.82</v>
      </c>
      <c r="SE53" s="294">
        <v>15817483.809999999</v>
      </c>
      <c r="SF53" s="294">
        <v>14397865.15</v>
      </c>
      <c r="SG53" s="294">
        <v>26117480.879999999</v>
      </c>
      <c r="SH53" s="294">
        <v>32974864.990000002</v>
      </c>
      <c r="SI53" s="294">
        <v>30768565.030000005</v>
      </c>
      <c r="SJ53" s="294">
        <v>29997500.370000001</v>
      </c>
      <c r="SK53" s="294">
        <v>11751276.289999999</v>
      </c>
      <c r="SL53" s="294">
        <v>3431192.55</v>
      </c>
      <c r="SM53" s="294">
        <v>100311113.84999999</v>
      </c>
      <c r="SN53" s="294">
        <v>28382492.579999998</v>
      </c>
      <c r="SO53" s="294">
        <v>20983550.359999999</v>
      </c>
      <c r="SP53" s="294">
        <v>26474527.690000001</v>
      </c>
      <c r="SQ53" s="294">
        <v>26997024.890000001</v>
      </c>
      <c r="SR53" s="294">
        <v>20227155.27</v>
      </c>
      <c r="SS53" s="294">
        <v>21073221.420000002</v>
      </c>
      <c r="ST53" s="294">
        <v>17999059.050000001</v>
      </c>
      <c r="SU53" s="294">
        <v>70144768.349999994</v>
      </c>
      <c r="SV53" s="294">
        <v>12592850.960000001</v>
      </c>
      <c r="SW53" s="294">
        <v>22578396.52</v>
      </c>
      <c r="SX53" s="294">
        <v>18815694.629999999</v>
      </c>
      <c r="SY53" s="294">
        <v>6843853.2699999996</v>
      </c>
      <c r="SZ53" s="294">
        <v>14874251.710000001</v>
      </c>
      <c r="TA53" s="294">
        <v>4944337.78</v>
      </c>
      <c r="TB53" s="294">
        <v>27907945.789999999</v>
      </c>
      <c r="TC53" s="294">
        <v>6923951.79</v>
      </c>
      <c r="TD53" s="294">
        <v>7396864.1600000001</v>
      </c>
      <c r="TE53" s="294">
        <v>22415914.16</v>
      </c>
      <c r="TF53" s="294">
        <v>23170540.82</v>
      </c>
      <c r="TG53" s="294">
        <v>52097042.789999999</v>
      </c>
      <c r="TH53" s="294">
        <v>9670466.9000000004</v>
      </c>
      <c r="TI53" s="294">
        <v>168717677.81</v>
      </c>
      <c r="TJ53" s="294">
        <v>16436320.779999999</v>
      </c>
      <c r="TK53" s="294">
        <v>24783021.449999999</v>
      </c>
      <c r="TL53" s="294">
        <v>25269776.16</v>
      </c>
      <c r="TM53" s="294">
        <v>5304194.5999999996</v>
      </c>
      <c r="TN53" s="294">
        <v>9221310.1899999995</v>
      </c>
      <c r="TO53" s="294">
        <v>9777015.2699999996</v>
      </c>
      <c r="TP53" s="294">
        <v>37367514.100000001</v>
      </c>
      <c r="TQ53" s="294">
        <v>14785493.369999999</v>
      </c>
      <c r="TR53" s="294">
        <v>9290448.0199999996</v>
      </c>
      <c r="TS53" s="294">
        <v>2326864.31</v>
      </c>
      <c r="TT53" s="294">
        <v>22679980.73</v>
      </c>
      <c r="TU53" s="294">
        <v>7743865.0999999996</v>
      </c>
      <c r="TV53" s="294">
        <v>7631573.5899999999</v>
      </c>
      <c r="TW53" s="294">
        <v>20708066.609999999</v>
      </c>
      <c r="TX53" s="294">
        <v>15112742.529999999</v>
      </c>
      <c r="TY53" s="294">
        <v>71915885.980000004</v>
      </c>
      <c r="TZ53" s="294">
        <v>11887795.93</v>
      </c>
      <c r="UA53" s="294">
        <v>292907544.75</v>
      </c>
      <c r="UB53" s="294">
        <v>21911301.91</v>
      </c>
      <c r="UC53" s="294">
        <v>7419463.6699999999</v>
      </c>
      <c r="UD53" s="294">
        <v>5232490.2699999996</v>
      </c>
      <c r="UE53" s="294">
        <v>10757728.07</v>
      </c>
      <c r="UF53" s="294">
        <v>15640873</v>
      </c>
      <c r="UG53" s="294">
        <v>3480430.56</v>
      </c>
      <c r="UH53" s="294">
        <v>28531953.699999999</v>
      </c>
      <c r="UI53" s="294">
        <v>3026004.83</v>
      </c>
      <c r="UJ53" s="294">
        <v>162720206.32999998</v>
      </c>
      <c r="UK53" s="294">
        <v>22359345.43</v>
      </c>
      <c r="UL53" s="294">
        <v>16112992.940000001</v>
      </c>
      <c r="UM53" s="294">
        <v>19016283.900000002</v>
      </c>
      <c r="UN53" s="294">
        <v>18579662.449999999</v>
      </c>
      <c r="UO53" s="294">
        <v>12085528.260000002</v>
      </c>
      <c r="UP53" s="294">
        <v>608473168.82000005</v>
      </c>
      <c r="UQ53" s="294">
        <v>22583447.399999999</v>
      </c>
      <c r="UR53" s="294">
        <v>17879425.48</v>
      </c>
      <c r="US53" s="294">
        <v>22297513.719999999</v>
      </c>
      <c r="UT53" s="294">
        <v>5992645.6299999999</v>
      </c>
      <c r="UU53" s="294">
        <v>7115582.3899999997</v>
      </c>
      <c r="UV53" s="294">
        <v>30945945.48</v>
      </c>
      <c r="UW53" s="294">
        <v>8972006.9100000001</v>
      </c>
      <c r="UX53" s="294">
        <v>4662698.26</v>
      </c>
      <c r="UY53" s="294">
        <v>25357150.699999999</v>
      </c>
      <c r="UZ53" s="294">
        <v>14617616.91</v>
      </c>
      <c r="VA53" s="294">
        <v>26867744.140000001</v>
      </c>
      <c r="VB53" s="294">
        <v>36802966.359999999</v>
      </c>
      <c r="VC53" s="294">
        <v>47364812.990000002</v>
      </c>
      <c r="VD53" s="294">
        <v>14476816.300000001</v>
      </c>
      <c r="VE53" s="294">
        <v>12014261.6</v>
      </c>
      <c r="VF53" s="294">
        <v>14824497.26</v>
      </c>
      <c r="VG53" s="294">
        <v>8379549.3499999996</v>
      </c>
      <c r="VH53" s="294">
        <v>19788073.850000001</v>
      </c>
      <c r="VI53" s="294">
        <v>3288606.55</v>
      </c>
      <c r="VJ53" s="294">
        <v>13633258.140000001</v>
      </c>
      <c r="VK53" s="294">
        <v>14994284.560000001</v>
      </c>
      <c r="VL53" s="294">
        <v>181922730.28999996</v>
      </c>
      <c r="VM53" s="294">
        <v>26814789.77</v>
      </c>
      <c r="VN53" s="294">
        <v>39645438.5</v>
      </c>
      <c r="VO53" s="294">
        <v>23932556.57</v>
      </c>
      <c r="VP53" s="294">
        <v>39239632.959999993</v>
      </c>
      <c r="VQ53" s="294">
        <v>22624301.600000001</v>
      </c>
      <c r="VR53" s="294">
        <v>25746714.27</v>
      </c>
      <c r="VS53" s="294">
        <v>6830439.5499999998</v>
      </c>
      <c r="VT53" s="294">
        <v>36611490.270000003</v>
      </c>
      <c r="VU53" s="294">
        <v>54551923.799999997</v>
      </c>
      <c r="VV53" s="294">
        <v>15315103.67</v>
      </c>
      <c r="VW53" s="294">
        <v>59772690.500000007</v>
      </c>
      <c r="VX53" s="294">
        <v>20936507.02</v>
      </c>
      <c r="VY53" s="294">
        <v>42908247.060000002</v>
      </c>
      <c r="VZ53" s="294">
        <v>4883181.04</v>
      </c>
      <c r="WA53" s="294">
        <v>1474191838.5999999</v>
      </c>
      <c r="WB53" s="294">
        <v>34197832.019999996</v>
      </c>
      <c r="WC53" s="294">
        <v>46718914.239999995</v>
      </c>
      <c r="WD53" s="294">
        <v>23099521.089999996</v>
      </c>
      <c r="WE53" s="294">
        <v>18816137.09</v>
      </c>
      <c r="WF53" s="294">
        <v>11772000.640000001</v>
      </c>
      <c r="WG53" s="294">
        <v>30274152.290000003</v>
      </c>
      <c r="WH53" s="294">
        <v>33089278.990000002</v>
      </c>
      <c r="WI53" s="294">
        <v>48765056.839999996</v>
      </c>
      <c r="WJ53" s="294">
        <v>27382206.93</v>
      </c>
      <c r="WK53" s="294">
        <v>10171890.430000002</v>
      </c>
      <c r="WL53" s="294">
        <v>26848087.511</v>
      </c>
      <c r="WM53" s="294">
        <v>30353378.57</v>
      </c>
      <c r="WN53" s="294">
        <v>33936812.210000001</v>
      </c>
      <c r="WO53" s="294">
        <v>55250732.769999996</v>
      </c>
      <c r="WP53" s="294">
        <v>39562638.850000009</v>
      </c>
      <c r="WQ53" s="294">
        <v>23545425.73</v>
      </c>
      <c r="WR53" s="294">
        <v>31841004.039999999</v>
      </c>
      <c r="WS53" s="294">
        <v>11523975.550000001</v>
      </c>
      <c r="WT53" s="294">
        <v>3487052.45</v>
      </c>
      <c r="WU53" s="294">
        <v>80274584.180000007</v>
      </c>
      <c r="WV53" s="294">
        <v>17173467.350000001</v>
      </c>
      <c r="WW53" s="294">
        <v>32841921.459999997</v>
      </c>
      <c r="WX53" s="294">
        <v>21555289.440000001</v>
      </c>
      <c r="WY53" s="294"/>
      <c r="WZ53" s="294">
        <v>8491805.4699999988</v>
      </c>
      <c r="XA53" s="294">
        <v>7684168.7199999997</v>
      </c>
      <c r="XB53" s="294">
        <v>26171025.940000001</v>
      </c>
      <c r="XC53" s="294">
        <v>20541563.060000002</v>
      </c>
      <c r="XD53" s="294">
        <v>7314942.8500000006</v>
      </c>
      <c r="XE53" s="294">
        <v>23334358.140000001</v>
      </c>
      <c r="XF53" s="294">
        <v>17066439.259999998</v>
      </c>
      <c r="XG53" s="294">
        <v>17344322.620000001</v>
      </c>
      <c r="XH53" s="294">
        <v>401252552.08999997</v>
      </c>
      <c r="XI53" s="294">
        <v>28434517.16</v>
      </c>
      <c r="XJ53" s="294">
        <v>111052767.02</v>
      </c>
      <c r="XK53" s="294">
        <v>45313539.560000002</v>
      </c>
      <c r="XL53" s="294">
        <v>21267963.329999998</v>
      </c>
      <c r="XM53" s="294">
        <v>18972398.329999998</v>
      </c>
      <c r="XN53" s="294">
        <v>34457446.369999997</v>
      </c>
      <c r="XO53" s="294">
        <v>82667261.480000004</v>
      </c>
      <c r="XP53" s="294">
        <v>14570443.220000001</v>
      </c>
      <c r="XQ53" s="294">
        <v>34112411.619999997</v>
      </c>
      <c r="XR53" s="294">
        <v>65819885.200000003</v>
      </c>
      <c r="XS53" s="294">
        <v>16984449.800000001</v>
      </c>
      <c r="XT53" s="294">
        <v>18447695.32</v>
      </c>
      <c r="XU53" s="294">
        <v>23517516.670000002</v>
      </c>
      <c r="XV53" s="294">
        <v>55844284.979999997</v>
      </c>
      <c r="XW53" s="294">
        <v>11786001.35</v>
      </c>
      <c r="XX53" s="294">
        <v>16367689.699999999</v>
      </c>
      <c r="XY53" s="294">
        <v>20556483.199999999</v>
      </c>
      <c r="XZ53" s="294">
        <v>13277750.32</v>
      </c>
      <c r="YA53" s="294">
        <v>15582294.789999999</v>
      </c>
      <c r="YB53" s="294">
        <v>14036791.08</v>
      </c>
      <c r="YC53" s="294">
        <v>62355607.310000002</v>
      </c>
      <c r="YD53" s="294">
        <v>44639040.020000003</v>
      </c>
      <c r="YE53" s="294">
        <v>213705896.71999997</v>
      </c>
      <c r="YF53" s="294">
        <v>34308743.43</v>
      </c>
      <c r="YG53" s="294">
        <v>79477586.310000002</v>
      </c>
      <c r="YH53" s="294">
        <v>67835435.299999997</v>
      </c>
      <c r="YI53" s="294">
        <v>130908859.70000002</v>
      </c>
      <c r="YJ53" s="294">
        <v>19660090.390000001</v>
      </c>
      <c r="YK53" s="294">
        <v>89722922.469999999</v>
      </c>
      <c r="YL53" s="294">
        <v>24801062.170000002</v>
      </c>
      <c r="YM53" s="294">
        <v>32578336.450000003</v>
      </c>
      <c r="YN53" s="294">
        <v>51908083.969999999</v>
      </c>
      <c r="YO53" s="294">
        <v>45577919.910000004</v>
      </c>
      <c r="YP53" s="294">
        <v>23752030.219999999</v>
      </c>
      <c r="YQ53" s="294">
        <v>48249651.760000005</v>
      </c>
      <c r="YR53" s="294">
        <v>26252874.759999998</v>
      </c>
      <c r="YS53" s="294">
        <v>75575036.830000013</v>
      </c>
      <c r="YT53" s="294">
        <v>91549531.700000003</v>
      </c>
      <c r="YU53" s="294">
        <v>34752237.43</v>
      </c>
      <c r="YV53" s="294">
        <v>67987254.769999996</v>
      </c>
      <c r="YW53" s="294">
        <v>7198508.3500000006</v>
      </c>
      <c r="YX53" s="294">
        <v>19464349.490000002</v>
      </c>
      <c r="YY53" s="294">
        <v>21636626.140000004</v>
      </c>
      <c r="YZ53" s="294">
        <v>8097508.1699999999</v>
      </c>
      <c r="ZA53" s="294">
        <v>13675843.789999999</v>
      </c>
      <c r="ZB53" s="294">
        <v>21558900.549999997</v>
      </c>
      <c r="ZC53" s="294">
        <v>76232492.629999995</v>
      </c>
      <c r="ZD53" s="294">
        <v>6915872.7199999997</v>
      </c>
      <c r="ZE53" s="294">
        <v>29702906.98</v>
      </c>
      <c r="ZF53" s="294">
        <v>4979972.9000000004</v>
      </c>
      <c r="ZG53" s="294">
        <v>38507713.420000002</v>
      </c>
      <c r="ZH53" s="294">
        <v>4468202.7300000004</v>
      </c>
      <c r="ZI53" s="294">
        <v>4007149.38</v>
      </c>
      <c r="ZJ53" s="294">
        <v>6328618.7400000002</v>
      </c>
      <c r="ZK53" s="294">
        <v>9622144.9100000001</v>
      </c>
      <c r="ZL53" s="294">
        <v>311852352.95999998</v>
      </c>
      <c r="ZM53" s="294">
        <v>19576204.73</v>
      </c>
      <c r="ZN53" s="294">
        <v>35645048.390000001</v>
      </c>
      <c r="ZO53" s="294">
        <v>194744615.15000001</v>
      </c>
      <c r="ZP53" s="294">
        <v>88641299.439999983</v>
      </c>
      <c r="ZQ53" s="294">
        <v>33493352.420000002</v>
      </c>
      <c r="ZR53" s="294">
        <v>24293898.68</v>
      </c>
      <c r="ZS53" s="294">
        <v>118316617.91</v>
      </c>
      <c r="ZT53" s="294">
        <v>193289316.07999998</v>
      </c>
      <c r="ZU53" s="294">
        <v>18701839.199999999</v>
      </c>
      <c r="ZV53" s="294">
        <v>35581610.229999997</v>
      </c>
      <c r="ZW53" s="294">
        <v>14444303.739999998</v>
      </c>
      <c r="ZX53" s="294">
        <v>12854013.949999999</v>
      </c>
      <c r="ZY53" s="294">
        <v>16512483.949999999</v>
      </c>
      <c r="ZZ53" s="294">
        <v>7399259.9100000001</v>
      </c>
      <c r="AAA53" s="294">
        <v>19025378.979999997</v>
      </c>
      <c r="AAB53" s="294">
        <v>6912058.71</v>
      </c>
      <c r="AAC53" s="294">
        <v>10064571.689999999</v>
      </c>
      <c r="AAD53" s="294">
        <v>23608906.140000001</v>
      </c>
      <c r="AAE53" s="294">
        <v>39597467.510000005</v>
      </c>
      <c r="AAF53" s="294">
        <v>5861922.5800000001</v>
      </c>
      <c r="AAG53" s="294">
        <v>20748268.399999999</v>
      </c>
      <c r="AAH53" s="294">
        <v>78021759.659999996</v>
      </c>
      <c r="AAI53" s="294">
        <v>12602763.809999999</v>
      </c>
      <c r="AAJ53" s="294">
        <v>18313116.41</v>
      </c>
      <c r="AAK53" s="294">
        <v>3339332.9299999997</v>
      </c>
      <c r="AAL53" s="294">
        <v>14217975.92</v>
      </c>
      <c r="AAM53" s="294">
        <v>4266019.5999999996</v>
      </c>
      <c r="AAN53" s="294">
        <v>10542168.140000001</v>
      </c>
      <c r="AAO53" s="294">
        <v>1161924241.1499999</v>
      </c>
      <c r="AAP53" s="294">
        <v>17412618.780000001</v>
      </c>
      <c r="AAQ53" s="294">
        <v>27641331.66</v>
      </c>
      <c r="AAR53" s="294">
        <v>61943222.100000001</v>
      </c>
      <c r="AAS53" s="294">
        <v>47945373.119999997</v>
      </c>
      <c r="AAT53" s="294">
        <v>53182100.030000001</v>
      </c>
      <c r="AAU53" s="294">
        <v>23265429.57</v>
      </c>
      <c r="AAV53" s="294">
        <v>32171759.91</v>
      </c>
      <c r="AAW53" s="294">
        <v>53899379.579999998</v>
      </c>
      <c r="AAX53" s="294">
        <v>23644924.049999997</v>
      </c>
      <c r="AAY53" s="294">
        <v>22016988.969999999</v>
      </c>
      <c r="AAZ53" s="294">
        <v>68311507.239999995</v>
      </c>
      <c r="ABA53" s="294">
        <v>38220203.380000003</v>
      </c>
      <c r="ABB53" s="294">
        <v>3354859.7399999998</v>
      </c>
      <c r="ABC53" s="294">
        <v>11100474.17</v>
      </c>
      <c r="ABD53" s="294">
        <v>17499901.960000001</v>
      </c>
      <c r="ABE53" s="294">
        <v>21123348.039999999</v>
      </c>
      <c r="ABF53" s="294">
        <v>24097273.629999999</v>
      </c>
      <c r="ABG53" s="294">
        <v>11313832.25</v>
      </c>
      <c r="ABH53" s="294">
        <v>75583611.560000002</v>
      </c>
      <c r="ABI53" s="294">
        <v>33696518.799999997</v>
      </c>
      <c r="ABJ53" s="294">
        <v>41613951.350000001</v>
      </c>
      <c r="ABK53" s="294">
        <v>7680499.8799999999</v>
      </c>
      <c r="ABL53" s="294">
        <v>14128909.720000003</v>
      </c>
      <c r="ABM53" s="294">
        <v>34038309.090000004</v>
      </c>
      <c r="ABN53" s="294">
        <v>17556332.510000002</v>
      </c>
      <c r="ABO53" s="294">
        <v>83855256.370000005</v>
      </c>
      <c r="ABP53" s="294">
        <v>38037316.25</v>
      </c>
      <c r="ABQ53" s="294">
        <v>3038906.92</v>
      </c>
      <c r="ABR53" s="294">
        <v>14817592.050000001</v>
      </c>
      <c r="ABS53" s="294">
        <v>20522299.190000001</v>
      </c>
      <c r="ABT53" s="294">
        <v>22080164.420000002</v>
      </c>
      <c r="ABU53" s="294">
        <v>12141984.899999999</v>
      </c>
      <c r="ABV53" s="294">
        <v>9692551.1099999994</v>
      </c>
      <c r="ABW53" s="294">
        <v>31934455.030000001</v>
      </c>
      <c r="ABX53" s="294">
        <v>59392586.369999997</v>
      </c>
      <c r="ABY53" s="294">
        <v>18572538.579999998</v>
      </c>
      <c r="ABZ53" s="294">
        <v>35140369.210000001</v>
      </c>
      <c r="ACA53" s="294">
        <v>7477308.7199999997</v>
      </c>
      <c r="ACB53" s="294">
        <v>10882041.030000001</v>
      </c>
      <c r="ACC53" s="294">
        <v>58713829.789999992</v>
      </c>
      <c r="ACD53" s="294">
        <v>5665648.5099999998</v>
      </c>
      <c r="ACE53" s="294">
        <v>8351960.4000000004</v>
      </c>
      <c r="ACF53" s="294">
        <v>7901406.8799999999</v>
      </c>
      <c r="ACG53" s="294">
        <v>19022552.340000004</v>
      </c>
      <c r="ACH53" s="294">
        <v>6160762.7199999997</v>
      </c>
      <c r="ACI53" s="294">
        <v>245193888.94</v>
      </c>
      <c r="ACJ53" s="294">
        <v>3930492.31</v>
      </c>
      <c r="ACK53" s="294">
        <v>11017945.66</v>
      </c>
      <c r="ACL53" s="294">
        <v>30624052.020000003</v>
      </c>
      <c r="ACM53" s="294">
        <v>7347841.3200000003</v>
      </c>
      <c r="ACN53" s="294">
        <v>23222038.16</v>
      </c>
      <c r="ACO53" s="294">
        <v>37845348.710000001</v>
      </c>
      <c r="ACP53" s="294">
        <v>202578569.75</v>
      </c>
      <c r="ACQ53" s="294">
        <v>35547588.390000001</v>
      </c>
      <c r="ACR53" s="294">
        <v>15146881.449999999</v>
      </c>
      <c r="ACS53" s="294">
        <v>26674455.450000003</v>
      </c>
      <c r="ACT53" s="294">
        <v>56891863.75</v>
      </c>
      <c r="ACU53" s="294">
        <v>24302279.550000001</v>
      </c>
      <c r="ACV53" s="294">
        <v>234980209.75</v>
      </c>
      <c r="ACW53" s="294">
        <v>7012698.709999999</v>
      </c>
      <c r="ACX53" s="294">
        <v>31095896.27</v>
      </c>
      <c r="ACY53" s="294">
        <v>54447924.100000009</v>
      </c>
      <c r="ACZ53" s="294">
        <v>8999793.5899999999</v>
      </c>
      <c r="ADA53" s="294">
        <v>14084936.91</v>
      </c>
      <c r="ADB53" s="294">
        <v>5579046.1799999997</v>
      </c>
      <c r="ADC53" s="294">
        <v>11129220.639999999</v>
      </c>
      <c r="ADD53" s="294">
        <v>26751697.719999999</v>
      </c>
      <c r="ADE53" s="294">
        <v>48325371.350000001</v>
      </c>
      <c r="ADF53" s="294">
        <v>11815996.68</v>
      </c>
      <c r="ADG53" s="294">
        <v>9325595.2799999993</v>
      </c>
      <c r="ADH53" s="294">
        <v>16532277.749999998</v>
      </c>
      <c r="ADI53" s="294">
        <v>8541471.4699999988</v>
      </c>
      <c r="ADJ53" s="294">
        <v>10810682.039999999</v>
      </c>
      <c r="ADK53" s="294">
        <v>3596836.49</v>
      </c>
      <c r="ADL53" s="294">
        <v>18086097.449999999</v>
      </c>
      <c r="ADM53" s="294">
        <v>20950571.379999995</v>
      </c>
      <c r="ADN53" s="294">
        <v>10063144.109999999</v>
      </c>
      <c r="ADO53" s="294">
        <v>165092211.68000001</v>
      </c>
      <c r="ADP53" s="294">
        <v>86583190.13000001</v>
      </c>
      <c r="ADQ53" s="294"/>
      <c r="ADR53" s="294">
        <v>20455953.07</v>
      </c>
      <c r="ADS53" s="294">
        <v>70157505.700000003</v>
      </c>
      <c r="ADT53" s="294">
        <v>1257514.03</v>
      </c>
      <c r="ADU53" s="294">
        <v>7388088.3900000006</v>
      </c>
      <c r="ADV53" s="294">
        <v>26388458.109999999</v>
      </c>
      <c r="ADW53" s="294">
        <v>345959.86</v>
      </c>
      <c r="ADX53" s="294">
        <v>9720275.8500000015</v>
      </c>
      <c r="ADY53" s="294">
        <v>203137574.26000002</v>
      </c>
      <c r="ADZ53" s="294">
        <v>120484592.8</v>
      </c>
      <c r="AEA53" s="294">
        <v>13178422.68</v>
      </c>
      <c r="AEB53" s="294">
        <v>31548289.570000004</v>
      </c>
      <c r="AEC53" s="294">
        <v>7466906.96</v>
      </c>
      <c r="AED53" s="294">
        <v>28608383.190000001</v>
      </c>
      <c r="AEE53" s="294">
        <v>15650307.02</v>
      </c>
      <c r="AEF53" s="294">
        <v>20384567.07</v>
      </c>
      <c r="AEG53" s="294">
        <v>2921689.54</v>
      </c>
      <c r="AEH53" s="294">
        <v>11523955.290000001</v>
      </c>
      <c r="AEI53" s="294">
        <v>14213158.090000002</v>
      </c>
      <c r="AEJ53" s="294">
        <v>33237943.879999999</v>
      </c>
      <c r="AEK53" s="294">
        <v>8992297.0999999996</v>
      </c>
      <c r="AEL53" s="294">
        <v>6078783.5500000007</v>
      </c>
      <c r="AEM53" s="294">
        <v>19510581.510000002</v>
      </c>
      <c r="AEN53" s="294">
        <v>22852809.740000002</v>
      </c>
      <c r="AEO53" s="294">
        <v>11073221.449999999</v>
      </c>
      <c r="AEP53" s="294">
        <v>26516255.16</v>
      </c>
      <c r="AEQ53" s="294">
        <v>3914376.99</v>
      </c>
      <c r="AER53" s="294">
        <v>18947901.620000001</v>
      </c>
      <c r="AES53" s="294">
        <v>252850869.43000001</v>
      </c>
      <c r="AET53" s="294">
        <v>35578656.130000003</v>
      </c>
      <c r="AEU53" s="294">
        <v>45908802.429999992</v>
      </c>
      <c r="AEV53" s="294">
        <v>18571782.82</v>
      </c>
      <c r="AEW53" s="294">
        <v>7719889.9500000002</v>
      </c>
      <c r="AEX53" s="294">
        <v>37592531.439999998</v>
      </c>
      <c r="AEY53" s="294">
        <v>23352138.389999997</v>
      </c>
      <c r="AEZ53" s="294">
        <v>21926263.23</v>
      </c>
      <c r="AFA53" s="294">
        <v>16408762.49</v>
      </c>
      <c r="AFB53" s="294">
        <v>10764287.52</v>
      </c>
      <c r="AFC53" s="294">
        <v>268297931.33000001</v>
      </c>
      <c r="AFD53" s="294">
        <v>67202407.359999999</v>
      </c>
      <c r="AFE53" s="294">
        <v>23898124.740000002</v>
      </c>
      <c r="AFF53" s="294">
        <v>11614118.289999999</v>
      </c>
      <c r="AFG53" s="294">
        <v>37202764.810000002</v>
      </c>
      <c r="AFH53" s="294">
        <v>71623757.039999992</v>
      </c>
      <c r="AFI53" s="294">
        <v>13795692.690000001</v>
      </c>
      <c r="AFJ53" s="294">
        <v>11686245.050000001</v>
      </c>
      <c r="AFK53" s="294">
        <v>8234979.4799999995</v>
      </c>
      <c r="AFL53" s="294">
        <v>20519873.050000001</v>
      </c>
      <c r="AFM53" s="294">
        <v>2203675.4099999997</v>
      </c>
      <c r="AFN53" s="294">
        <v>8031618.6699999999</v>
      </c>
      <c r="AFO53" s="294">
        <v>16628541.499999998</v>
      </c>
      <c r="AFP53" s="294">
        <v>287514898.34000003</v>
      </c>
      <c r="AFQ53" s="294">
        <v>21435010.969999999</v>
      </c>
      <c r="AFR53" s="294">
        <v>42846032.780000001</v>
      </c>
      <c r="AFS53" s="294">
        <v>12976136.91</v>
      </c>
      <c r="AFT53" s="294">
        <v>20113744.960000001</v>
      </c>
      <c r="AFU53" s="294">
        <v>29855785.849999998</v>
      </c>
      <c r="AFV53" s="294">
        <v>21760480.219999999</v>
      </c>
      <c r="AFW53" s="294">
        <v>39136280.420000002</v>
      </c>
      <c r="AFX53" s="294">
        <v>17104044.140000001</v>
      </c>
      <c r="AFY53" s="294">
        <v>12809388.550000001</v>
      </c>
      <c r="AFZ53" s="294">
        <v>26636080.140000001</v>
      </c>
      <c r="AGA53" s="294">
        <v>31082918.310000002</v>
      </c>
      <c r="AGB53" s="294">
        <v>302318813.99000001</v>
      </c>
      <c r="AGC53" s="294">
        <v>28461229.239999998</v>
      </c>
      <c r="AGD53" s="294">
        <v>8173174.3099999996</v>
      </c>
      <c r="AGE53" s="294">
        <v>27315422.910000004</v>
      </c>
      <c r="AGF53" s="294">
        <v>61911301.68</v>
      </c>
      <c r="AGG53" s="294">
        <v>14273649.079999998</v>
      </c>
      <c r="AGH53" s="294">
        <v>7519196.3800000008</v>
      </c>
      <c r="AGI53" s="294">
        <v>8222133.3800000008</v>
      </c>
      <c r="AGJ53" s="294">
        <v>8778658.5600000005</v>
      </c>
      <c r="AGK53" s="294">
        <v>11556833.369999999</v>
      </c>
      <c r="AGL53" s="294">
        <v>9584159.5899999999</v>
      </c>
      <c r="AGM53" s="294">
        <v>629224442.84999979</v>
      </c>
      <c r="AGN53" s="294">
        <v>55765174.729999989</v>
      </c>
      <c r="AGO53" s="294">
        <v>19368119.140000001</v>
      </c>
      <c r="AGP53" s="294">
        <v>16750212.98</v>
      </c>
      <c r="AGQ53" s="294">
        <v>53095622.590000004</v>
      </c>
      <c r="AGR53" s="294">
        <v>35419323.799999997</v>
      </c>
      <c r="AGS53" s="294">
        <v>9360660.4000000004</v>
      </c>
      <c r="AGT53" s="294">
        <v>28324524.729999997</v>
      </c>
      <c r="AGU53" s="294">
        <v>393425786.70999998</v>
      </c>
      <c r="AGV53" s="294">
        <v>458530387.26000011</v>
      </c>
      <c r="AGW53" s="294">
        <v>7961803.669999999</v>
      </c>
      <c r="AGX53" s="294">
        <v>42915275.359999999</v>
      </c>
      <c r="AGY53" s="294">
        <v>95567748.770000011</v>
      </c>
      <c r="AGZ53" s="294">
        <v>32023105.679999996</v>
      </c>
      <c r="AHA53" s="294">
        <v>7354161.4900000002</v>
      </c>
      <c r="AHB53" s="294">
        <v>28825414.829999998</v>
      </c>
      <c r="AHC53" s="294">
        <v>8025284.0499999989</v>
      </c>
      <c r="AHD53" s="294">
        <v>31808425.32</v>
      </c>
      <c r="AHE53" s="294">
        <v>51783847.119999997</v>
      </c>
      <c r="AHF53" s="294"/>
      <c r="AHG53" s="294">
        <v>7736085.7699999996</v>
      </c>
      <c r="AHH53" s="294">
        <v>14518310.920000002</v>
      </c>
      <c r="AHI53" s="294">
        <v>21844292.57</v>
      </c>
      <c r="AHJ53" s="294">
        <v>1677695.93</v>
      </c>
      <c r="AHK53" s="294">
        <v>3929379.8899999997</v>
      </c>
      <c r="AHL53" s="294">
        <v>49469292.560000002</v>
      </c>
      <c r="AHM53" s="294">
        <v>25710316.700000003</v>
      </c>
      <c r="AHN53" s="294">
        <v>20075633.390000001</v>
      </c>
      <c r="AHO53" s="294">
        <v>9111782.8399999999</v>
      </c>
      <c r="AHP53" s="294">
        <v>21589562.699999999</v>
      </c>
      <c r="AHQ53" s="294">
        <v>16058850.18</v>
      </c>
      <c r="AHR53" s="331">
        <v>14710501.699999999</v>
      </c>
      <c r="AHS53" s="294">
        <f t="shared" si="35"/>
        <v>45969190296.552986</v>
      </c>
    </row>
    <row r="54" spans="1:907" ht="24.6" x14ac:dyDescent="0.7">
      <c r="B54" s="268" t="s">
        <v>6055</v>
      </c>
      <c r="C54" s="269" t="s">
        <v>6056</v>
      </c>
      <c r="D54" s="294">
        <v>25784348.379999999</v>
      </c>
      <c r="E54" s="294">
        <v>2447386.0099999998</v>
      </c>
      <c r="F54" s="294">
        <v>2599167.83</v>
      </c>
      <c r="G54" s="294">
        <v>1221192.31</v>
      </c>
      <c r="H54" s="294">
        <v>5732480.0199999996</v>
      </c>
      <c r="I54" s="294">
        <v>454539.32</v>
      </c>
      <c r="J54" s="294">
        <v>67042643.049999997</v>
      </c>
      <c r="K54" s="294">
        <v>4384694.1500000004</v>
      </c>
      <c r="L54" s="294">
        <v>5662883.04</v>
      </c>
      <c r="M54" s="294">
        <v>435699.58</v>
      </c>
      <c r="N54" s="294">
        <v>457470.17</v>
      </c>
      <c r="O54" s="294">
        <v>349606.7</v>
      </c>
      <c r="P54" s="294">
        <v>33909696.420000002</v>
      </c>
      <c r="Q54" s="294">
        <v>2027587.11</v>
      </c>
      <c r="R54" s="294">
        <v>1031380.83</v>
      </c>
      <c r="S54" s="294">
        <v>306713.46000000002</v>
      </c>
      <c r="T54" s="294">
        <v>6062940.21</v>
      </c>
      <c r="U54" s="294">
        <v>938554.69</v>
      </c>
      <c r="V54" s="294">
        <v>107411492.02</v>
      </c>
      <c r="W54" s="294">
        <v>89980.5</v>
      </c>
      <c r="X54" s="294">
        <v>3624482.62</v>
      </c>
      <c r="Y54" s="294">
        <v>14403</v>
      </c>
      <c r="Z54" s="294">
        <v>3030773.5300000003</v>
      </c>
      <c r="AA54" s="294">
        <v>2566889.35</v>
      </c>
      <c r="AB54" s="294">
        <v>6829667.9699999997</v>
      </c>
      <c r="AC54" s="294">
        <v>11841744.780000001</v>
      </c>
      <c r="AD54" s="294">
        <v>9500018.2699999996</v>
      </c>
      <c r="AE54" s="294">
        <v>5452854.0599999996</v>
      </c>
      <c r="AF54" s="294">
        <v>20088647.23</v>
      </c>
      <c r="AG54" s="294">
        <v>5781672.7800000003</v>
      </c>
      <c r="AH54" s="294">
        <v>4732424.08</v>
      </c>
      <c r="AI54" s="294">
        <v>6351203.8499999996</v>
      </c>
      <c r="AJ54" s="294">
        <v>452702.97</v>
      </c>
      <c r="AK54" s="294">
        <v>577234.47</v>
      </c>
      <c r="AL54" s="294">
        <v>133904.79999999999</v>
      </c>
      <c r="AM54" s="294">
        <v>9448908.4499999993</v>
      </c>
      <c r="AN54" s="294">
        <v>27214442.459999997</v>
      </c>
      <c r="AO54" s="294">
        <v>6937857.6799999997</v>
      </c>
      <c r="AP54" s="294">
        <v>919136.97</v>
      </c>
      <c r="AQ54" s="294">
        <v>642239.68999999994</v>
      </c>
      <c r="AR54" s="294">
        <v>2725742.39</v>
      </c>
      <c r="AS54" s="294">
        <v>568677.87</v>
      </c>
      <c r="AT54" s="294">
        <v>8092051.0999999996</v>
      </c>
      <c r="AU54" s="294">
        <v>603733</v>
      </c>
      <c r="AV54" s="294">
        <v>2894523.35</v>
      </c>
      <c r="AW54" s="294">
        <v>437395.99</v>
      </c>
      <c r="AX54" s="294">
        <v>1392473.1400000001</v>
      </c>
      <c r="AY54" s="294">
        <v>685784.9</v>
      </c>
      <c r="AZ54" s="294">
        <v>832225</v>
      </c>
      <c r="BA54" s="294">
        <v>47483.56</v>
      </c>
      <c r="BB54" s="294">
        <v>0</v>
      </c>
      <c r="BC54" s="294"/>
      <c r="BD54" s="294">
        <v>144690</v>
      </c>
      <c r="BE54" s="294">
        <v>338265.01</v>
      </c>
      <c r="BF54" s="294">
        <v>2000000</v>
      </c>
      <c r="BG54" s="294">
        <v>1031354.66</v>
      </c>
      <c r="BH54" s="294">
        <v>1949153.87</v>
      </c>
      <c r="BI54" s="294">
        <v>10314487.91</v>
      </c>
      <c r="BJ54" s="294">
        <v>10764201.640000001</v>
      </c>
      <c r="BK54" s="294">
        <v>4217556.59</v>
      </c>
      <c r="BL54" s="294">
        <v>363704.81</v>
      </c>
      <c r="BM54" s="294">
        <v>136804.99</v>
      </c>
      <c r="BN54" s="294">
        <v>2781313.61</v>
      </c>
      <c r="BO54" s="294">
        <v>2026134.34</v>
      </c>
      <c r="BP54" s="294">
        <v>1146958.31</v>
      </c>
      <c r="BQ54" s="294">
        <v>778586.58</v>
      </c>
      <c r="BR54" s="294">
        <v>8664490.2699999996</v>
      </c>
      <c r="BS54" s="294">
        <v>244146.62</v>
      </c>
      <c r="BT54" s="294">
        <v>82872.98000000001</v>
      </c>
      <c r="BU54" s="294">
        <v>1094271.5699999998</v>
      </c>
      <c r="BV54" s="294">
        <v>85310</v>
      </c>
      <c r="BW54" s="294">
        <v>613949.46</v>
      </c>
      <c r="BX54" s="294">
        <v>1090465.1600000001</v>
      </c>
      <c r="BY54" s="294">
        <v>980989</v>
      </c>
      <c r="BZ54" s="294">
        <v>20964177.57</v>
      </c>
      <c r="CA54" s="294">
        <v>283513.5</v>
      </c>
      <c r="CB54" s="294">
        <v>0</v>
      </c>
      <c r="CC54" s="294">
        <v>213190.39</v>
      </c>
      <c r="CD54" s="294">
        <v>0</v>
      </c>
      <c r="CE54" s="294">
        <v>12298</v>
      </c>
      <c r="CF54" s="294">
        <v>266716.86</v>
      </c>
      <c r="CG54" s="294">
        <v>20193994.93</v>
      </c>
      <c r="CH54" s="294">
        <v>446582.6</v>
      </c>
      <c r="CI54" s="294">
        <v>245286.1</v>
      </c>
      <c r="CJ54" s="294">
        <v>73379.600000000006</v>
      </c>
      <c r="CK54" s="294">
        <v>209561.73</v>
      </c>
      <c r="CL54" s="294">
        <v>274122.84999999998</v>
      </c>
      <c r="CM54" s="294">
        <v>149019.45000000001</v>
      </c>
      <c r="CN54" s="294">
        <v>32672.54</v>
      </c>
      <c r="CO54" s="294">
        <v>10696.04</v>
      </c>
      <c r="CP54" s="294">
        <v>101312.46</v>
      </c>
      <c r="CQ54" s="294">
        <v>4358.22</v>
      </c>
      <c r="CR54" s="294">
        <v>1058246.1200000001</v>
      </c>
      <c r="CS54" s="294">
        <v>1254421.52</v>
      </c>
      <c r="CT54" s="294">
        <v>56700275.109999999</v>
      </c>
      <c r="CU54" s="294">
        <v>1878310.16</v>
      </c>
      <c r="CV54" s="294">
        <v>2485059.73</v>
      </c>
      <c r="CW54" s="294">
        <v>2004526.0800000001</v>
      </c>
      <c r="CX54" s="294">
        <v>681100.08</v>
      </c>
      <c r="CY54" s="294">
        <v>1077368.83</v>
      </c>
      <c r="CZ54" s="294">
        <v>861115.68</v>
      </c>
      <c r="DA54" s="294">
        <v>828600.38</v>
      </c>
      <c r="DB54" s="294">
        <v>18503340.77</v>
      </c>
      <c r="DC54" s="294">
        <v>94934317.680000007</v>
      </c>
      <c r="DD54" s="294">
        <v>17501</v>
      </c>
      <c r="DE54" s="294">
        <v>3155783.17</v>
      </c>
      <c r="DF54" s="294">
        <v>1642126.72</v>
      </c>
      <c r="DG54" s="294">
        <v>3044400.16</v>
      </c>
      <c r="DH54" s="294">
        <v>14900926.77</v>
      </c>
      <c r="DI54" s="294">
        <v>555610.42000000004</v>
      </c>
      <c r="DJ54" s="294">
        <v>5791684.0499999998</v>
      </c>
      <c r="DK54" s="294">
        <v>72562889.770000011</v>
      </c>
      <c r="DL54" s="294">
        <v>422041.82</v>
      </c>
      <c r="DM54" s="294">
        <v>797314.71000000008</v>
      </c>
      <c r="DN54" s="294">
        <v>713160.54</v>
      </c>
      <c r="DO54" s="294">
        <v>677670.48</v>
      </c>
      <c r="DP54" s="294">
        <v>678130.71</v>
      </c>
      <c r="DQ54" s="294">
        <v>5020381.3999999994</v>
      </c>
      <c r="DR54" s="294">
        <v>396281.3</v>
      </c>
      <c r="DS54" s="294">
        <v>6566038.4900000002</v>
      </c>
      <c r="DT54" s="294"/>
      <c r="DU54" s="294">
        <v>3200879.41</v>
      </c>
      <c r="DV54" s="294">
        <v>2498594.1</v>
      </c>
      <c r="DW54" s="294">
        <v>333251.65000000002</v>
      </c>
      <c r="DX54" s="294">
        <v>637835.51</v>
      </c>
      <c r="DY54" s="294">
        <v>328569</v>
      </c>
      <c r="DZ54" s="294">
        <v>3017346.16</v>
      </c>
      <c r="EA54" s="294">
        <v>230154.02</v>
      </c>
      <c r="EB54" s="294">
        <v>1072065.76</v>
      </c>
      <c r="EC54" s="294">
        <v>1037845.6</v>
      </c>
      <c r="ED54" s="294">
        <v>116645.61</v>
      </c>
      <c r="EE54" s="294">
        <v>10206210.699999999</v>
      </c>
      <c r="EF54" s="294">
        <v>9332413.1400000006</v>
      </c>
      <c r="EG54" s="294">
        <v>10958093.33</v>
      </c>
      <c r="EH54" s="294">
        <v>7303550.6100000003</v>
      </c>
      <c r="EI54" s="294">
        <v>2362789.52</v>
      </c>
      <c r="EJ54" s="294">
        <v>447913.58</v>
      </c>
      <c r="EK54" s="294">
        <v>1207322.18</v>
      </c>
      <c r="EL54" s="294">
        <v>3472686.32</v>
      </c>
      <c r="EM54" s="294">
        <v>4420087.74</v>
      </c>
      <c r="EN54" s="294">
        <v>37797575.43</v>
      </c>
      <c r="EO54" s="294">
        <v>231536.36</v>
      </c>
      <c r="EP54" s="294">
        <v>1321600.49</v>
      </c>
      <c r="EQ54" s="294">
        <v>1193938.98</v>
      </c>
      <c r="ER54" s="294">
        <v>412833.95</v>
      </c>
      <c r="ES54" s="294">
        <v>714315.61</v>
      </c>
      <c r="ET54" s="294">
        <v>1393081.08</v>
      </c>
      <c r="EU54" s="294">
        <v>4279879.1399999997</v>
      </c>
      <c r="EV54" s="294">
        <v>343560.93</v>
      </c>
      <c r="EW54" s="294">
        <v>18189735.02</v>
      </c>
      <c r="EX54" s="294">
        <v>274982.81</v>
      </c>
      <c r="EY54" s="294">
        <v>191851.38</v>
      </c>
      <c r="EZ54" s="294">
        <v>212126.29</v>
      </c>
      <c r="FA54" s="294">
        <v>192665.04</v>
      </c>
      <c r="FB54" s="294">
        <v>823423.5</v>
      </c>
      <c r="FC54" s="294">
        <v>9187384.6400000006</v>
      </c>
      <c r="FD54" s="294">
        <v>3643107.32</v>
      </c>
      <c r="FE54" s="294">
        <v>1302093.1100000001</v>
      </c>
      <c r="FF54" s="294">
        <v>3854940.54</v>
      </c>
      <c r="FG54" s="294">
        <v>648954.15</v>
      </c>
      <c r="FH54" s="294">
        <v>4390069.87</v>
      </c>
      <c r="FI54" s="294">
        <v>11707550.23</v>
      </c>
      <c r="FJ54" s="294">
        <v>284598</v>
      </c>
      <c r="FK54" s="294">
        <v>310920.76</v>
      </c>
      <c r="FL54" s="294">
        <v>5092582.78</v>
      </c>
      <c r="FM54" s="294"/>
      <c r="FN54" s="294">
        <v>250198.73</v>
      </c>
      <c r="FO54" s="294">
        <v>2629875.34</v>
      </c>
      <c r="FP54" s="294">
        <v>0</v>
      </c>
      <c r="FQ54" s="294">
        <v>119900441.04000001</v>
      </c>
      <c r="FR54" s="294">
        <v>4883240.49</v>
      </c>
      <c r="FS54" s="294">
        <v>3612285.19</v>
      </c>
      <c r="FT54" s="294">
        <v>5282129.74</v>
      </c>
      <c r="FU54" s="294">
        <v>1152159.97</v>
      </c>
      <c r="FV54" s="294">
        <v>181818.84</v>
      </c>
      <c r="FW54" s="294">
        <v>2431214.7000000002</v>
      </c>
      <c r="FX54" s="294">
        <v>4852045.92</v>
      </c>
      <c r="FY54" s="294">
        <v>559291.69999999995</v>
      </c>
      <c r="FZ54" s="294">
        <v>127018.67</v>
      </c>
      <c r="GA54" s="294">
        <v>4622599</v>
      </c>
      <c r="GB54" s="294">
        <v>3329846.1</v>
      </c>
      <c r="GC54" s="294">
        <v>4693210.34</v>
      </c>
      <c r="GD54" s="294">
        <v>3444782.29</v>
      </c>
      <c r="GE54" s="294">
        <v>11366481.5</v>
      </c>
      <c r="GF54" s="294">
        <v>3981233.31</v>
      </c>
      <c r="GG54" s="294">
        <v>382815.59</v>
      </c>
      <c r="GH54" s="294">
        <v>3296046.47</v>
      </c>
      <c r="GI54" s="294">
        <v>2691444.86</v>
      </c>
      <c r="GJ54" s="294">
        <v>5414164.46</v>
      </c>
      <c r="GK54" s="294">
        <v>2041921.96</v>
      </c>
      <c r="GL54" s="294">
        <v>1109825.23</v>
      </c>
      <c r="GM54" s="294">
        <v>376053.27</v>
      </c>
      <c r="GN54" s="294">
        <v>2081891.56</v>
      </c>
      <c r="GO54" s="294">
        <v>1249343.96</v>
      </c>
      <c r="GP54" s="294">
        <v>2459711.9700000002</v>
      </c>
      <c r="GQ54" s="294">
        <v>30378154.140000001</v>
      </c>
      <c r="GR54" s="294">
        <v>0</v>
      </c>
      <c r="GS54" s="294"/>
      <c r="GT54" s="294">
        <v>17100</v>
      </c>
      <c r="GU54" s="294">
        <v>39131.339999999997</v>
      </c>
      <c r="GV54" s="294">
        <v>2055236.23</v>
      </c>
      <c r="GW54" s="294"/>
      <c r="GX54" s="294">
        <v>0</v>
      </c>
      <c r="GY54" s="294">
        <v>14837806.490000002</v>
      </c>
      <c r="GZ54" s="294">
        <v>4617.3900000000003</v>
      </c>
      <c r="HA54" s="294">
        <v>4437186.7699999996</v>
      </c>
      <c r="HB54" s="294">
        <v>1354511</v>
      </c>
      <c r="HC54" s="294">
        <v>56457157.230000004</v>
      </c>
      <c r="HD54" s="294">
        <v>12300713.58</v>
      </c>
      <c r="HE54" s="294">
        <v>22732864.969999999</v>
      </c>
      <c r="HF54" s="294">
        <v>23367225.449999999</v>
      </c>
      <c r="HG54" s="294">
        <v>13575595.470000001</v>
      </c>
      <c r="HH54" s="294"/>
      <c r="HI54" s="294">
        <v>6068767.3399999999</v>
      </c>
      <c r="HJ54" s="294">
        <v>146532241.26000002</v>
      </c>
      <c r="HK54" s="294">
        <v>23104759.48</v>
      </c>
      <c r="HL54" s="294">
        <v>11229048.07</v>
      </c>
      <c r="HM54" s="294">
        <v>4286103.76</v>
      </c>
      <c r="HN54" s="294">
        <v>6699949.3799999999</v>
      </c>
      <c r="HO54" s="294">
        <v>12821708.99</v>
      </c>
      <c r="HP54" s="294">
        <v>13111806.380000001</v>
      </c>
      <c r="HQ54" s="294">
        <v>10168165.949999999</v>
      </c>
      <c r="HR54" s="294">
        <v>135388899.94</v>
      </c>
      <c r="HS54" s="294">
        <v>25003299.460000001</v>
      </c>
      <c r="HT54" s="294">
        <v>308720.5</v>
      </c>
      <c r="HU54" s="294">
        <v>281436.61</v>
      </c>
      <c r="HV54" s="294">
        <v>3878966.96</v>
      </c>
      <c r="HW54" s="294">
        <v>1086896.24</v>
      </c>
      <c r="HX54" s="294">
        <v>6475037.8100000005</v>
      </c>
      <c r="HY54" s="294">
        <v>1820269.1800000002</v>
      </c>
      <c r="HZ54" s="294">
        <v>2193368.6799999997</v>
      </c>
      <c r="IA54" s="294">
        <v>253659</v>
      </c>
      <c r="IB54" s="294">
        <v>4068548.5</v>
      </c>
      <c r="IC54" s="294">
        <v>1817000</v>
      </c>
      <c r="ID54" s="294">
        <v>384228.52</v>
      </c>
      <c r="IE54" s="294">
        <v>2497218.9500000002</v>
      </c>
      <c r="IF54" s="294">
        <v>1017984.06</v>
      </c>
      <c r="IG54" s="294">
        <v>74649</v>
      </c>
      <c r="IH54" s="294">
        <v>128305813.45</v>
      </c>
      <c r="II54" s="294">
        <v>38473120.200000003</v>
      </c>
      <c r="IJ54" s="294">
        <v>3694534.08</v>
      </c>
      <c r="IK54" s="294">
        <v>4153188.9</v>
      </c>
      <c r="IL54" s="294">
        <v>1069114.3600000001</v>
      </c>
      <c r="IM54" s="294">
        <v>3451719.42</v>
      </c>
      <c r="IN54" s="294">
        <v>44060.55</v>
      </c>
      <c r="IO54" s="294">
        <v>599054.91999999993</v>
      </c>
      <c r="IP54" s="294">
        <v>832179.25</v>
      </c>
      <c r="IQ54" s="294">
        <v>13456889.609999999</v>
      </c>
      <c r="IR54" s="294">
        <v>2297299.81</v>
      </c>
      <c r="IS54" s="294">
        <v>58976822.450000003</v>
      </c>
      <c r="IT54" s="294">
        <v>125067508.57000001</v>
      </c>
      <c r="IU54" s="294">
        <v>1333272.1200000001</v>
      </c>
      <c r="IV54" s="294">
        <v>3716099.73</v>
      </c>
      <c r="IW54" s="294">
        <v>5826748.8099999996</v>
      </c>
      <c r="IX54" s="294">
        <v>4570</v>
      </c>
      <c r="IY54" s="294">
        <v>905722.74</v>
      </c>
      <c r="IZ54" s="294">
        <v>28652.15</v>
      </c>
      <c r="JA54" s="294">
        <v>548880.78</v>
      </c>
      <c r="JB54" s="294">
        <v>0</v>
      </c>
      <c r="JC54" s="294">
        <v>5532445.6899999995</v>
      </c>
      <c r="JD54" s="294">
        <v>282655</v>
      </c>
      <c r="JE54" s="294">
        <v>16408837.560000001</v>
      </c>
      <c r="JF54" s="294">
        <v>12817906.850000001</v>
      </c>
      <c r="JG54" s="294">
        <v>1820778.77</v>
      </c>
      <c r="JH54" s="294"/>
      <c r="JI54" s="294">
        <v>58353</v>
      </c>
      <c r="JJ54" s="294">
        <v>780852.31</v>
      </c>
      <c r="JK54" s="294">
        <v>61958096.630000003</v>
      </c>
      <c r="JL54" s="294">
        <v>43000</v>
      </c>
      <c r="JM54" s="294">
        <v>0</v>
      </c>
      <c r="JN54" s="294">
        <v>674890.22</v>
      </c>
      <c r="JO54" s="294">
        <v>829656.76</v>
      </c>
      <c r="JP54" s="294"/>
      <c r="JQ54" s="294">
        <v>499158.56</v>
      </c>
      <c r="JR54" s="294">
        <v>99761028.829999998</v>
      </c>
      <c r="JS54" s="294">
        <v>62490479.760000005</v>
      </c>
      <c r="JT54" s="294">
        <v>7855833.9699999997</v>
      </c>
      <c r="JU54" s="294">
        <v>1617488.01</v>
      </c>
      <c r="JV54" s="294">
        <v>1808906.32</v>
      </c>
      <c r="JW54" s="294">
        <v>500165.55</v>
      </c>
      <c r="JX54" s="294">
        <v>6726047.1299999999</v>
      </c>
      <c r="JY54" s="294">
        <v>1957405.64</v>
      </c>
      <c r="JZ54" s="294">
        <v>4778493.42</v>
      </c>
      <c r="KA54" s="294">
        <v>1043023.45</v>
      </c>
      <c r="KB54" s="294">
        <v>5907936.3300000001</v>
      </c>
      <c r="KC54" s="294">
        <v>1481092.87</v>
      </c>
      <c r="KD54" s="294">
        <v>0</v>
      </c>
      <c r="KE54" s="294">
        <v>152152.21</v>
      </c>
      <c r="KF54" s="294">
        <v>1100839.97</v>
      </c>
      <c r="KG54" s="294">
        <v>1611281.23</v>
      </c>
      <c r="KH54" s="294">
        <v>181066153.70999998</v>
      </c>
      <c r="KI54" s="294">
        <v>8846279.8699999992</v>
      </c>
      <c r="KJ54" s="294">
        <v>19456423.690000001</v>
      </c>
      <c r="KK54" s="294">
        <v>3834195.64</v>
      </c>
      <c r="KL54" s="294">
        <v>6839631.5290000001</v>
      </c>
      <c r="KM54" s="294">
        <v>23464329.34</v>
      </c>
      <c r="KN54" s="294">
        <v>6722056.4699999997</v>
      </c>
      <c r="KO54" s="294">
        <v>4545651.22</v>
      </c>
      <c r="KP54" s="294">
        <v>1127210.7</v>
      </c>
      <c r="KQ54" s="294">
        <v>44944516.810000002</v>
      </c>
      <c r="KR54" s="294">
        <v>1895417.8900000001</v>
      </c>
      <c r="KS54" s="294">
        <v>1634913.01</v>
      </c>
      <c r="KT54" s="294">
        <v>9407535.25</v>
      </c>
      <c r="KU54" s="294">
        <v>7343345.3499999996</v>
      </c>
      <c r="KV54" s="294">
        <v>3008370.68</v>
      </c>
      <c r="KW54" s="294">
        <v>24450359.449999999</v>
      </c>
      <c r="KX54" s="294">
        <v>4573779.7799999993</v>
      </c>
      <c r="KY54" s="294">
        <v>85348053.239999995</v>
      </c>
      <c r="KZ54" s="294">
        <v>4704643.43</v>
      </c>
      <c r="LA54" s="294">
        <v>14509366.59</v>
      </c>
      <c r="LB54" s="294">
        <v>4157771.8099999996</v>
      </c>
      <c r="LC54" s="294">
        <v>5195957.0500000007</v>
      </c>
      <c r="LD54" s="294">
        <v>85160</v>
      </c>
      <c r="LE54" s="294">
        <v>3913478.74</v>
      </c>
      <c r="LF54" s="294">
        <v>19437975.599999998</v>
      </c>
      <c r="LG54" s="294">
        <v>80321372.00999999</v>
      </c>
      <c r="LH54" s="294">
        <v>8199862.3199999994</v>
      </c>
      <c r="LI54" s="294">
        <v>31296112.73</v>
      </c>
      <c r="LJ54" s="294">
        <v>59356457.219999999</v>
      </c>
      <c r="LK54" s="294">
        <v>2133441.17</v>
      </c>
      <c r="LL54" s="294">
        <v>4289601.88</v>
      </c>
      <c r="LM54" s="294">
        <v>576110.24</v>
      </c>
      <c r="LN54" s="294">
        <v>7744979.4500000002</v>
      </c>
      <c r="LO54" s="294">
        <v>86550.8</v>
      </c>
      <c r="LP54" s="294">
        <v>6092597.8000000007</v>
      </c>
      <c r="LQ54" s="294">
        <v>1118120.8799999999</v>
      </c>
      <c r="LR54" s="294">
        <v>32262104.949999999</v>
      </c>
      <c r="LS54" s="294">
        <v>4173457.72</v>
      </c>
      <c r="LT54" s="294">
        <v>1149937.74</v>
      </c>
      <c r="LU54" s="294">
        <v>114158031.45</v>
      </c>
      <c r="LV54" s="294">
        <v>32930821.489999998</v>
      </c>
      <c r="LW54" s="294">
        <v>86056748.159999996</v>
      </c>
      <c r="LX54" s="294">
        <v>8016297.96</v>
      </c>
      <c r="LY54" s="294">
        <v>1381249.82</v>
      </c>
      <c r="LZ54" s="294">
        <v>3943399.12</v>
      </c>
      <c r="MA54" s="294">
        <v>2202752.34</v>
      </c>
      <c r="MB54" s="294">
        <v>1807264.27</v>
      </c>
      <c r="MC54" s="294">
        <v>2062747.8800000001</v>
      </c>
      <c r="MD54" s="294">
        <v>1241994.24</v>
      </c>
      <c r="ME54" s="294">
        <v>9149613.1799999997</v>
      </c>
      <c r="MF54" s="294">
        <v>859461.59</v>
      </c>
      <c r="MG54" s="294">
        <v>22840095.509999998</v>
      </c>
      <c r="MH54" s="294">
        <v>9578358.3900000006</v>
      </c>
      <c r="MI54" s="294">
        <v>34178.339999999997</v>
      </c>
      <c r="MJ54" s="294">
        <v>216311</v>
      </c>
      <c r="MK54" s="294">
        <v>27522</v>
      </c>
      <c r="ML54" s="294">
        <v>1717682.54</v>
      </c>
      <c r="MM54" s="294">
        <v>235495</v>
      </c>
      <c r="MN54" s="294">
        <v>648994.05000000005</v>
      </c>
      <c r="MO54" s="294">
        <v>2312154.86</v>
      </c>
      <c r="MP54" s="294">
        <v>2135952.4300000002</v>
      </c>
      <c r="MQ54" s="294">
        <v>1673481.67</v>
      </c>
      <c r="MR54" s="294">
        <v>922065</v>
      </c>
      <c r="MS54" s="294">
        <v>98255984.230000004</v>
      </c>
      <c r="MT54" s="294">
        <v>4280697.92</v>
      </c>
      <c r="MU54" s="294">
        <v>3921854.7800000003</v>
      </c>
      <c r="MV54" s="294">
        <v>762412</v>
      </c>
      <c r="MW54" s="294">
        <v>18696592.669999998</v>
      </c>
      <c r="MX54" s="294">
        <v>2856351.86</v>
      </c>
      <c r="MY54" s="294">
        <v>10704586.6701</v>
      </c>
      <c r="MZ54" s="294">
        <v>5903984.4100000001</v>
      </c>
      <c r="NA54" s="294">
        <v>10996911.74</v>
      </c>
      <c r="NB54" s="294">
        <v>521945.17</v>
      </c>
      <c r="NC54" s="294">
        <v>640484.42000000004</v>
      </c>
      <c r="ND54" s="294">
        <v>319018196.88999999</v>
      </c>
      <c r="NE54" s="294">
        <v>48294313.720000006</v>
      </c>
      <c r="NF54" s="294">
        <v>6171172</v>
      </c>
      <c r="NG54" s="294">
        <v>48447618.340000004</v>
      </c>
      <c r="NH54" s="294">
        <v>8016307.7000000002</v>
      </c>
      <c r="NI54" s="294">
        <v>16695325.389999999</v>
      </c>
      <c r="NJ54" s="294">
        <v>90260339.479999989</v>
      </c>
      <c r="NK54" s="294">
        <v>60338142.240000002</v>
      </c>
      <c r="NL54" s="294">
        <v>1038236.6</v>
      </c>
      <c r="NM54" s="294">
        <v>22480585.960000001</v>
      </c>
      <c r="NN54" s="294">
        <v>14895352.48</v>
      </c>
      <c r="NO54" s="294">
        <v>6173721.8499999996</v>
      </c>
      <c r="NP54" s="294">
        <v>36949864.619999997</v>
      </c>
      <c r="NQ54" s="294">
        <v>4041269.99</v>
      </c>
      <c r="NR54" s="294">
        <v>5199283.18</v>
      </c>
      <c r="NS54" s="294">
        <v>3590199.3499999996</v>
      </c>
      <c r="NT54" s="294">
        <v>1830211.85</v>
      </c>
      <c r="NU54" s="294">
        <v>365275.08</v>
      </c>
      <c r="NV54" s="294">
        <v>887642.15</v>
      </c>
      <c r="NW54" s="294">
        <v>87719707.329999998</v>
      </c>
      <c r="NX54" s="294">
        <v>76699743.560000002</v>
      </c>
      <c r="NY54" s="294">
        <v>2351738.1300000004</v>
      </c>
      <c r="NZ54" s="294">
        <v>1110404.94</v>
      </c>
      <c r="OA54" s="294">
        <v>464747</v>
      </c>
      <c r="OB54" s="294">
        <v>722315</v>
      </c>
      <c r="OC54" s="294">
        <v>1139161.58</v>
      </c>
      <c r="OD54" s="294">
        <v>450733647.22000003</v>
      </c>
      <c r="OE54" s="294">
        <v>9002228.6799999997</v>
      </c>
      <c r="OF54" s="294">
        <v>14724985.029999999</v>
      </c>
      <c r="OG54" s="294">
        <v>20493334.310000002</v>
      </c>
      <c r="OH54" s="294">
        <v>5873650.4100000001</v>
      </c>
      <c r="OI54" s="294">
        <v>10762806.469999999</v>
      </c>
      <c r="OJ54" s="294"/>
      <c r="OK54" s="294">
        <v>841578.04999999993</v>
      </c>
      <c r="OL54" s="294">
        <v>21928740.800000001</v>
      </c>
      <c r="OM54" s="294">
        <v>82989118.299999997</v>
      </c>
      <c r="ON54" s="294">
        <v>59607869.829999998</v>
      </c>
      <c r="OO54" s="294">
        <v>59001542.139999993</v>
      </c>
      <c r="OP54" s="294">
        <v>7111222.7100000009</v>
      </c>
      <c r="OQ54" s="294">
        <v>26929454.649999999</v>
      </c>
      <c r="OR54" s="294">
        <v>2800</v>
      </c>
      <c r="OS54" s="294">
        <v>21057367.439999998</v>
      </c>
      <c r="OT54" s="294">
        <v>6606972.1200000001</v>
      </c>
      <c r="OU54" s="294">
        <v>9251565.8699999992</v>
      </c>
      <c r="OV54" s="294">
        <v>1706113.84</v>
      </c>
      <c r="OW54" s="294">
        <v>13179621.34</v>
      </c>
      <c r="OX54" s="294">
        <v>73968885.170000002</v>
      </c>
      <c r="OY54" s="294">
        <v>2776474.2</v>
      </c>
      <c r="OZ54" s="294">
        <v>226730.1</v>
      </c>
      <c r="PA54" s="294">
        <v>4061913.98</v>
      </c>
      <c r="PB54" s="294">
        <v>38084147.030000001</v>
      </c>
      <c r="PC54" s="294">
        <v>1405301.14</v>
      </c>
      <c r="PD54" s="294">
        <v>0</v>
      </c>
      <c r="PE54" s="294">
        <v>14124</v>
      </c>
      <c r="PF54" s="294">
        <v>1355681.71</v>
      </c>
      <c r="PG54" s="294">
        <v>4224648.3099999996</v>
      </c>
      <c r="PH54" s="294">
        <v>781935.44</v>
      </c>
      <c r="PI54" s="294">
        <v>357561.92</v>
      </c>
      <c r="PJ54" s="294">
        <v>9600</v>
      </c>
      <c r="PK54" s="294">
        <v>42764.85</v>
      </c>
      <c r="PL54" s="294">
        <v>3693058.29</v>
      </c>
      <c r="PM54" s="294">
        <v>4808288.59</v>
      </c>
      <c r="PN54" s="294">
        <v>323851.51</v>
      </c>
      <c r="PO54" s="294">
        <v>12304368.99</v>
      </c>
      <c r="PP54" s="294">
        <v>2411026.36</v>
      </c>
      <c r="PQ54" s="294">
        <v>312495.32</v>
      </c>
      <c r="PR54" s="294">
        <v>1241074.5</v>
      </c>
      <c r="PS54" s="294">
        <v>10967.04</v>
      </c>
      <c r="PT54" s="294">
        <v>267187108.43000001</v>
      </c>
      <c r="PU54" s="294">
        <v>29086717.719999999</v>
      </c>
      <c r="PV54" s="294">
        <v>2461053.46</v>
      </c>
      <c r="PW54" s="294">
        <v>697363.78</v>
      </c>
      <c r="PX54" s="294">
        <v>42047503.379999995</v>
      </c>
      <c r="PY54" s="294">
        <v>19485</v>
      </c>
      <c r="PZ54" s="294">
        <v>10175757.460000001</v>
      </c>
      <c r="QA54" s="294">
        <v>795765.66999999993</v>
      </c>
      <c r="QB54" s="294">
        <v>3756093.82</v>
      </c>
      <c r="QC54" s="294"/>
      <c r="QD54" s="294">
        <v>27135272.93</v>
      </c>
      <c r="QE54" s="294">
        <v>988751.19</v>
      </c>
      <c r="QF54" s="294">
        <v>177454.14</v>
      </c>
      <c r="QG54" s="294">
        <v>5730217.0800000001</v>
      </c>
      <c r="QH54" s="294">
        <v>656766.81999999995</v>
      </c>
      <c r="QI54" s="294">
        <v>3873838.24</v>
      </c>
      <c r="QJ54" s="294">
        <v>657090</v>
      </c>
      <c r="QK54" s="294">
        <v>2362547.96</v>
      </c>
      <c r="QL54" s="294">
        <v>1635815.04</v>
      </c>
      <c r="QM54" s="294">
        <v>1837908.0899999999</v>
      </c>
      <c r="QN54" s="294">
        <v>2389991.36</v>
      </c>
      <c r="QO54" s="294">
        <v>1427288.41</v>
      </c>
      <c r="QP54" s="294">
        <v>601433.56999999995</v>
      </c>
      <c r="QQ54" s="294">
        <v>726489.03</v>
      </c>
      <c r="QR54" s="294">
        <v>510227.22</v>
      </c>
      <c r="QS54" s="294">
        <v>2868940.66</v>
      </c>
      <c r="QT54" s="294">
        <v>30082755.760000002</v>
      </c>
      <c r="QU54" s="294">
        <v>0</v>
      </c>
      <c r="QV54" s="294">
        <v>740000</v>
      </c>
      <c r="QW54" s="294">
        <v>190808.37</v>
      </c>
      <c r="QX54" s="294">
        <v>2631967.08</v>
      </c>
      <c r="QY54" s="294">
        <v>1139515.43</v>
      </c>
      <c r="QZ54" s="294">
        <v>376743</v>
      </c>
      <c r="RA54" s="294">
        <v>1866405</v>
      </c>
      <c r="RB54" s="294">
        <v>1685450</v>
      </c>
      <c r="RC54" s="294">
        <v>2516666.15</v>
      </c>
      <c r="RD54" s="294">
        <v>14067</v>
      </c>
      <c r="RE54" s="294">
        <v>476380.64</v>
      </c>
      <c r="RF54" s="294">
        <v>2213479.31</v>
      </c>
      <c r="RG54" s="294">
        <v>38156161.009999998</v>
      </c>
      <c r="RH54" s="294">
        <v>356012.55</v>
      </c>
      <c r="RI54" s="294">
        <v>10175</v>
      </c>
      <c r="RJ54" s="294">
        <v>205211.98</v>
      </c>
      <c r="RK54" s="294">
        <v>20313.189999999999</v>
      </c>
      <c r="RL54" s="294">
        <v>78652.06</v>
      </c>
      <c r="RM54" s="294">
        <v>1483049.56</v>
      </c>
      <c r="RN54" s="294">
        <v>1203509.6000000001</v>
      </c>
      <c r="RO54" s="294">
        <v>1165568.57</v>
      </c>
      <c r="RP54" s="294">
        <v>950652.14</v>
      </c>
      <c r="RQ54" s="294">
        <v>4193801.42</v>
      </c>
      <c r="RR54" s="294">
        <v>1928212.03</v>
      </c>
      <c r="RS54" s="294">
        <v>3849639.92</v>
      </c>
      <c r="RT54" s="294">
        <v>495721.53</v>
      </c>
      <c r="RU54" s="294">
        <v>588484.17000000004</v>
      </c>
      <c r="RV54" s="294">
        <v>1213403.52</v>
      </c>
      <c r="RW54" s="294">
        <v>1070183.69</v>
      </c>
      <c r="RX54" s="294">
        <v>14787889.6</v>
      </c>
      <c r="RY54" s="294">
        <v>3669186.11</v>
      </c>
      <c r="RZ54" s="294">
        <v>4005110.31</v>
      </c>
      <c r="SA54" s="294">
        <v>39547152.259999998</v>
      </c>
      <c r="SB54" s="294">
        <v>39468</v>
      </c>
      <c r="SC54" s="294">
        <v>3963134.74</v>
      </c>
      <c r="SD54" s="294">
        <v>1767652.7599999998</v>
      </c>
      <c r="SE54" s="294">
        <v>486834.69</v>
      </c>
      <c r="SF54" s="294">
        <v>1637777.83</v>
      </c>
      <c r="SG54" s="294">
        <v>1111679.8700000001</v>
      </c>
      <c r="SH54" s="294">
        <v>1312930.7</v>
      </c>
      <c r="SI54" s="294">
        <v>1932767.04</v>
      </c>
      <c r="SJ54" s="294">
        <v>1373536</v>
      </c>
      <c r="SK54" s="294">
        <v>5837573.4400000004</v>
      </c>
      <c r="SL54" s="294">
        <v>416592.4</v>
      </c>
      <c r="SM54" s="294">
        <v>15304779.32</v>
      </c>
      <c r="SN54" s="294">
        <v>80153.039999999994</v>
      </c>
      <c r="SO54" s="294">
        <v>346509</v>
      </c>
      <c r="SP54" s="294">
        <v>5386540.0499999998</v>
      </c>
      <c r="SQ54" s="294">
        <v>1046293.7</v>
      </c>
      <c r="SR54" s="294">
        <v>1280775.56</v>
      </c>
      <c r="SS54" s="294">
        <v>2212884.0299999998</v>
      </c>
      <c r="ST54" s="294">
        <v>150044.79</v>
      </c>
      <c r="SU54" s="294">
        <v>35667981.640000001</v>
      </c>
      <c r="SV54" s="294">
        <v>1211992.07</v>
      </c>
      <c r="SW54" s="294">
        <v>1693512.24</v>
      </c>
      <c r="SX54" s="294">
        <v>2806869.57</v>
      </c>
      <c r="SY54" s="294">
        <v>9734.4500000000007</v>
      </c>
      <c r="SZ54" s="294">
        <v>278908.21000000002</v>
      </c>
      <c r="TA54" s="294">
        <v>0</v>
      </c>
      <c r="TB54" s="294">
        <v>95924</v>
      </c>
      <c r="TC54" s="294">
        <v>52329.39</v>
      </c>
      <c r="TD54" s="294">
        <v>415096.77</v>
      </c>
      <c r="TE54" s="294">
        <v>154522.82999999999</v>
      </c>
      <c r="TF54" s="294">
        <v>341840.68</v>
      </c>
      <c r="TG54" s="294">
        <v>50860.480000000003</v>
      </c>
      <c r="TH54" s="294">
        <v>35815.17</v>
      </c>
      <c r="TI54" s="294">
        <v>89462614.109999999</v>
      </c>
      <c r="TJ54" s="294">
        <v>603166.6</v>
      </c>
      <c r="TK54" s="294">
        <v>325512.5</v>
      </c>
      <c r="TL54" s="294">
        <v>29713.06</v>
      </c>
      <c r="TM54" s="294">
        <v>325509.68</v>
      </c>
      <c r="TN54" s="294">
        <v>65331.63</v>
      </c>
      <c r="TO54" s="294">
        <v>51154</v>
      </c>
      <c r="TP54" s="294">
        <v>137380.84</v>
      </c>
      <c r="TQ54" s="294">
        <v>1484064.41</v>
      </c>
      <c r="TR54" s="294">
        <v>87303.53</v>
      </c>
      <c r="TS54" s="294">
        <v>246257.68</v>
      </c>
      <c r="TT54" s="294">
        <v>1157582.5</v>
      </c>
      <c r="TU54" s="294">
        <v>27800.83</v>
      </c>
      <c r="TV54" s="294">
        <v>302966.7</v>
      </c>
      <c r="TW54" s="294">
        <v>2749450.36</v>
      </c>
      <c r="TX54" s="294">
        <v>17932.810000000001</v>
      </c>
      <c r="TY54" s="294">
        <v>14741192.359999999</v>
      </c>
      <c r="TZ54" s="294">
        <v>945868.7</v>
      </c>
      <c r="UA54" s="294">
        <v>25739612.079999998</v>
      </c>
      <c r="UB54" s="294">
        <v>3933238.99</v>
      </c>
      <c r="UC54" s="294">
        <v>24144.45</v>
      </c>
      <c r="UD54" s="294">
        <v>128629.3</v>
      </c>
      <c r="UE54" s="294">
        <v>11383595.74</v>
      </c>
      <c r="UF54" s="294">
        <v>0</v>
      </c>
      <c r="UG54" s="294">
        <v>0</v>
      </c>
      <c r="UH54" s="294">
        <v>5943092.7000000002</v>
      </c>
      <c r="UI54" s="294">
        <v>228488.19</v>
      </c>
      <c r="UJ54" s="294">
        <v>9631783.0700000003</v>
      </c>
      <c r="UK54" s="294">
        <v>476024.16</v>
      </c>
      <c r="UL54" s="294">
        <v>1321308.8700000001</v>
      </c>
      <c r="UM54" s="294">
        <v>51332.31</v>
      </c>
      <c r="UN54" s="294">
        <v>34374.22</v>
      </c>
      <c r="UO54" s="294">
        <v>2209844.9899999998</v>
      </c>
      <c r="UP54" s="294">
        <v>98303870.379999995</v>
      </c>
      <c r="UQ54" s="294">
        <v>1226345.45</v>
      </c>
      <c r="UR54" s="294">
        <v>0</v>
      </c>
      <c r="US54" s="294">
        <v>7262274.7400000002</v>
      </c>
      <c r="UT54" s="294">
        <v>0</v>
      </c>
      <c r="UU54" s="294">
        <v>1888221.84</v>
      </c>
      <c r="UV54" s="294">
        <v>2949046.98</v>
      </c>
      <c r="UW54" s="294">
        <v>1217501.33</v>
      </c>
      <c r="UX54" s="294">
        <v>0</v>
      </c>
      <c r="UY54" s="294">
        <v>5205649.46</v>
      </c>
      <c r="UZ54" s="294">
        <v>111316.66</v>
      </c>
      <c r="VA54" s="294">
        <v>7788417.4699999997</v>
      </c>
      <c r="VB54" s="294">
        <v>4715566.01</v>
      </c>
      <c r="VC54" s="294">
        <v>6075887.4299999997</v>
      </c>
      <c r="VD54" s="294">
        <v>4230850.6100000003</v>
      </c>
      <c r="VE54" s="294">
        <v>2625419.6</v>
      </c>
      <c r="VF54" s="294">
        <v>6202988.4000000004</v>
      </c>
      <c r="VG54" s="294">
        <v>790994.65</v>
      </c>
      <c r="VH54" s="294">
        <v>5439214.1799999997</v>
      </c>
      <c r="VI54" s="294">
        <v>97292</v>
      </c>
      <c r="VJ54" s="294">
        <v>332753.64</v>
      </c>
      <c r="VK54" s="294">
        <v>1217929.3899999999</v>
      </c>
      <c r="VL54" s="294">
        <v>41293657.210000001</v>
      </c>
      <c r="VM54" s="294">
        <v>56165.1</v>
      </c>
      <c r="VN54" s="294">
        <v>2687973.0500000003</v>
      </c>
      <c r="VO54" s="294">
        <v>11344345.52</v>
      </c>
      <c r="VP54" s="294">
        <v>1267196.75</v>
      </c>
      <c r="VQ54" s="294">
        <v>564345</v>
      </c>
      <c r="VR54" s="294">
        <v>1172494.23</v>
      </c>
      <c r="VS54" s="294">
        <v>54699.25</v>
      </c>
      <c r="VT54" s="294">
        <v>2388568.7799999998</v>
      </c>
      <c r="VU54" s="294">
        <v>10999962.699999999</v>
      </c>
      <c r="VV54" s="294">
        <v>118779</v>
      </c>
      <c r="VW54" s="294">
        <v>0</v>
      </c>
      <c r="VX54" s="294">
        <v>3034454.81</v>
      </c>
      <c r="VY54" s="294">
        <v>0</v>
      </c>
      <c r="VZ54" s="294">
        <v>200000</v>
      </c>
      <c r="WA54" s="294">
        <v>268547041.10000002</v>
      </c>
      <c r="WB54" s="294">
        <v>3016662.58</v>
      </c>
      <c r="WC54" s="294">
        <v>3685392.14</v>
      </c>
      <c r="WD54" s="294">
        <v>520000</v>
      </c>
      <c r="WE54" s="294"/>
      <c r="WF54" s="294">
        <v>147958</v>
      </c>
      <c r="WG54" s="294">
        <v>2138011.2199999997</v>
      </c>
      <c r="WH54" s="294">
        <v>480166.33</v>
      </c>
      <c r="WI54" s="294">
        <v>1593480.24</v>
      </c>
      <c r="WJ54" s="294">
        <v>3774105.89</v>
      </c>
      <c r="WK54" s="294">
        <v>110287.94</v>
      </c>
      <c r="WL54" s="294">
        <v>552737.06999999995</v>
      </c>
      <c r="WM54" s="294">
        <v>5270889.91</v>
      </c>
      <c r="WN54" s="294">
        <v>23348781.989999998</v>
      </c>
      <c r="WO54" s="294">
        <v>2474903.56</v>
      </c>
      <c r="WP54" s="294"/>
      <c r="WQ54" s="294">
        <v>3117351.4499999997</v>
      </c>
      <c r="WR54" s="294">
        <v>711022.59</v>
      </c>
      <c r="WS54" s="294">
        <v>159015.64000000001</v>
      </c>
      <c r="WT54" s="294">
        <v>292420.46999999997</v>
      </c>
      <c r="WU54" s="294">
        <v>21526104.330000002</v>
      </c>
      <c r="WV54" s="294">
        <v>254158.3</v>
      </c>
      <c r="WW54" s="294">
        <v>3000</v>
      </c>
      <c r="WX54" s="294">
        <v>145706</v>
      </c>
      <c r="WY54" s="294">
        <v>432330.84</v>
      </c>
      <c r="WZ54" s="294">
        <v>543299.75</v>
      </c>
      <c r="XA54" s="294">
        <v>0</v>
      </c>
      <c r="XB54" s="294">
        <v>1294060.1499999999</v>
      </c>
      <c r="XC54" s="294">
        <v>5523999.3999999994</v>
      </c>
      <c r="XD54" s="294">
        <v>891704.66</v>
      </c>
      <c r="XE54" s="294">
        <v>1626350.13</v>
      </c>
      <c r="XF54" s="294"/>
      <c r="XG54" s="294">
        <v>4619055.34</v>
      </c>
      <c r="XH54" s="294">
        <v>57861122.039999999</v>
      </c>
      <c r="XI54" s="294">
        <v>1174019.18</v>
      </c>
      <c r="XJ54" s="294">
        <v>0</v>
      </c>
      <c r="XK54" s="294">
        <v>35473463.229999997</v>
      </c>
      <c r="XL54" s="294">
        <v>0</v>
      </c>
      <c r="XM54" s="294">
        <v>330.05</v>
      </c>
      <c r="XN54" s="294">
        <v>789509</v>
      </c>
      <c r="XO54" s="294">
        <v>19518.82</v>
      </c>
      <c r="XP54" s="294">
        <v>149474.4</v>
      </c>
      <c r="XQ54" s="294">
        <v>4118.37</v>
      </c>
      <c r="XR54" s="294">
        <v>0</v>
      </c>
      <c r="XS54" s="294">
        <v>3362.37</v>
      </c>
      <c r="XT54" s="294">
        <v>0</v>
      </c>
      <c r="XU54" s="294">
        <v>1186.6600000000001</v>
      </c>
      <c r="XV54" s="294">
        <v>392162.22</v>
      </c>
      <c r="XW54" s="294">
        <v>1732.76</v>
      </c>
      <c r="XX54" s="294">
        <v>1447.29</v>
      </c>
      <c r="XY54" s="294">
        <v>3721.06</v>
      </c>
      <c r="XZ54" s="294">
        <v>0</v>
      </c>
      <c r="YA54" s="294">
        <v>0</v>
      </c>
      <c r="YB54" s="294">
        <v>0</v>
      </c>
      <c r="YC54" s="294">
        <v>0</v>
      </c>
      <c r="YD54" s="294">
        <v>123384</v>
      </c>
      <c r="YE54" s="294">
        <v>98576432.24000001</v>
      </c>
      <c r="YF54" s="294">
        <v>0</v>
      </c>
      <c r="YG54" s="294">
        <v>0</v>
      </c>
      <c r="YH54" s="294">
        <v>0</v>
      </c>
      <c r="YI54" s="294">
        <v>2788330.59</v>
      </c>
      <c r="YJ54" s="294"/>
      <c r="YK54" s="294">
        <v>0</v>
      </c>
      <c r="YL54" s="294">
        <v>0</v>
      </c>
      <c r="YM54" s="294">
        <v>0</v>
      </c>
      <c r="YN54" s="294">
        <v>0</v>
      </c>
      <c r="YO54" s="294">
        <v>373988</v>
      </c>
      <c r="YP54" s="294">
        <v>485510.45</v>
      </c>
      <c r="YQ54" s="294">
        <v>450000</v>
      </c>
      <c r="YR54" s="294">
        <v>0</v>
      </c>
      <c r="YS54" s="294">
        <v>0</v>
      </c>
      <c r="YT54" s="294">
        <v>0</v>
      </c>
      <c r="YU54" s="294">
        <v>1102725.8799999999</v>
      </c>
      <c r="YV54" s="294">
        <v>52266109.060000002</v>
      </c>
      <c r="YW54" s="294">
        <v>1544736.71</v>
      </c>
      <c r="YX54" s="294">
        <v>2254061.21</v>
      </c>
      <c r="YY54" s="294">
        <v>0</v>
      </c>
      <c r="YZ54" s="294">
        <v>2442712.2400000002</v>
      </c>
      <c r="ZA54" s="294">
        <v>1028188.34</v>
      </c>
      <c r="ZB54" s="294">
        <v>481733.41</v>
      </c>
      <c r="ZC54" s="294">
        <v>34583210.18</v>
      </c>
      <c r="ZD54" s="294">
        <v>4366507.57</v>
      </c>
      <c r="ZE54" s="294">
        <v>6742366.75</v>
      </c>
      <c r="ZF54" s="294">
        <v>3050734.35</v>
      </c>
      <c r="ZG54" s="294">
        <v>701943.74</v>
      </c>
      <c r="ZH54" s="294">
        <v>752264.17</v>
      </c>
      <c r="ZI54" s="294">
        <v>8596796.5800000001</v>
      </c>
      <c r="ZJ54" s="294">
        <v>4937529.08</v>
      </c>
      <c r="ZK54" s="294">
        <v>23020089.59</v>
      </c>
      <c r="ZL54" s="294">
        <v>41631508.950000003</v>
      </c>
      <c r="ZM54" s="294">
        <v>3607490.72</v>
      </c>
      <c r="ZN54" s="294">
        <v>33393864.25</v>
      </c>
      <c r="ZO54" s="294">
        <v>54129499.170000002</v>
      </c>
      <c r="ZP54" s="294">
        <v>9241300.9700000007</v>
      </c>
      <c r="ZQ54" s="294">
        <v>10972926.68</v>
      </c>
      <c r="ZR54" s="294">
        <v>17213888.199999999</v>
      </c>
      <c r="ZS54" s="294">
        <v>12374391.460000001</v>
      </c>
      <c r="ZT54" s="294">
        <v>42832692.030000001</v>
      </c>
      <c r="ZU54" s="294">
        <v>8587281.129999999</v>
      </c>
      <c r="ZV54" s="294">
        <v>1788535.13</v>
      </c>
      <c r="ZW54" s="294">
        <v>16256941.609999999</v>
      </c>
      <c r="ZX54" s="294">
        <v>7591642.3600000003</v>
      </c>
      <c r="ZY54" s="294">
        <v>11608429.379999999</v>
      </c>
      <c r="ZZ54" s="294">
        <v>5633135.04</v>
      </c>
      <c r="AAA54" s="294">
        <v>2170431.27</v>
      </c>
      <c r="AAB54" s="294">
        <v>18063251.150000002</v>
      </c>
      <c r="AAC54" s="294">
        <v>1875434.69</v>
      </c>
      <c r="AAD54" s="294">
        <v>8492399.4000000004</v>
      </c>
      <c r="AAE54" s="294">
        <v>6715398.6799999997</v>
      </c>
      <c r="AAF54" s="294">
        <v>1104388.1300000001</v>
      </c>
      <c r="AAG54" s="294">
        <v>4197197.3099999996</v>
      </c>
      <c r="AAH54" s="294">
        <v>13331232.199999999</v>
      </c>
      <c r="AAI54" s="294">
        <v>1038974</v>
      </c>
      <c r="AAJ54" s="294">
        <v>0</v>
      </c>
      <c r="AAK54" s="294">
        <v>21472</v>
      </c>
      <c r="AAL54" s="294">
        <v>36369.75</v>
      </c>
      <c r="AAM54" s="294">
        <v>0</v>
      </c>
      <c r="AAN54" s="294">
        <v>2608</v>
      </c>
      <c r="AAO54" s="294">
        <v>142424903.13999999</v>
      </c>
      <c r="AAP54" s="294">
        <v>415029.96</v>
      </c>
      <c r="AAQ54" s="294">
        <v>2200</v>
      </c>
      <c r="AAR54" s="294">
        <v>3355421.98</v>
      </c>
      <c r="AAS54" s="294">
        <v>0</v>
      </c>
      <c r="AAT54" s="294">
        <v>0</v>
      </c>
      <c r="AAU54" s="294">
        <v>185307.51999999999</v>
      </c>
      <c r="AAV54" s="294">
        <v>1409738.3</v>
      </c>
      <c r="AAW54" s="294">
        <v>3200</v>
      </c>
      <c r="AAX54" s="294">
        <v>826992.25</v>
      </c>
      <c r="AAY54" s="294">
        <v>0</v>
      </c>
      <c r="AAZ54" s="294">
        <v>39995662.399999999</v>
      </c>
      <c r="ABA54" s="294">
        <v>491620.15</v>
      </c>
      <c r="ABB54" s="294">
        <v>960527.29</v>
      </c>
      <c r="ABC54" s="294">
        <v>4400</v>
      </c>
      <c r="ABD54" s="294">
        <v>423696.24</v>
      </c>
      <c r="ABE54" s="294">
        <v>608189.48</v>
      </c>
      <c r="ABF54" s="294">
        <v>0</v>
      </c>
      <c r="ABG54" s="294">
        <v>9600</v>
      </c>
      <c r="ABH54" s="294">
        <v>0</v>
      </c>
      <c r="ABI54" s="294">
        <v>7725514.4699999997</v>
      </c>
      <c r="ABJ54" s="294">
        <v>0</v>
      </c>
      <c r="ABK54" s="294">
        <v>9753.7000000000007</v>
      </c>
      <c r="ABL54" s="294">
        <v>0</v>
      </c>
      <c r="ABM54" s="294">
        <v>636430.77</v>
      </c>
      <c r="ABN54" s="294">
        <v>532119.99</v>
      </c>
      <c r="ABO54" s="294">
        <v>16546263.15</v>
      </c>
      <c r="ABP54" s="294">
        <v>22378603.879999999</v>
      </c>
      <c r="ABQ54" s="294">
        <v>994480.61</v>
      </c>
      <c r="ABR54" s="294"/>
      <c r="ABS54" s="294">
        <v>1741842.88</v>
      </c>
      <c r="ABT54" s="294">
        <v>817738</v>
      </c>
      <c r="ABU54" s="294">
        <v>2946309.25</v>
      </c>
      <c r="ABV54" s="294">
        <v>2921679.43</v>
      </c>
      <c r="ABW54" s="294"/>
      <c r="ABX54" s="294">
        <v>141870658.95000002</v>
      </c>
      <c r="ABY54" s="294">
        <v>4265720.63</v>
      </c>
      <c r="ABZ54" s="294">
        <v>13455470.199999999</v>
      </c>
      <c r="ACA54" s="294">
        <v>3898288.9000000004</v>
      </c>
      <c r="ACB54" s="294">
        <v>8029589.9500000011</v>
      </c>
      <c r="ACC54" s="294">
        <v>4802384.0500000007</v>
      </c>
      <c r="ACD54" s="294"/>
      <c r="ACE54" s="294">
        <v>2311328.0699999998</v>
      </c>
      <c r="ACF54" s="294">
        <v>1185078</v>
      </c>
      <c r="ACG54" s="294">
        <v>7341503.2899999991</v>
      </c>
      <c r="ACH54" s="294">
        <v>8294098</v>
      </c>
      <c r="ACI54" s="294">
        <v>39067331.210000001</v>
      </c>
      <c r="ACJ54" s="294">
        <v>6503304.75</v>
      </c>
      <c r="ACK54" s="294">
        <v>1435461.56</v>
      </c>
      <c r="ACL54" s="294">
        <v>1391140.15</v>
      </c>
      <c r="ACM54" s="294"/>
      <c r="ACN54" s="294"/>
      <c r="ACO54" s="294">
        <v>2697089.06</v>
      </c>
      <c r="ACP54" s="294">
        <v>25544394.449999999</v>
      </c>
      <c r="ACQ54" s="294">
        <v>224541542.13000003</v>
      </c>
      <c r="ACR54" s="294">
        <v>1479036.94</v>
      </c>
      <c r="ACS54" s="294">
        <v>10736524.789999999</v>
      </c>
      <c r="ACT54" s="294">
        <v>2826544.85</v>
      </c>
      <c r="ACU54" s="294">
        <v>0</v>
      </c>
      <c r="ACV54" s="294">
        <v>10684824.52</v>
      </c>
      <c r="ACW54" s="294">
        <v>1870392.14</v>
      </c>
      <c r="ACX54" s="294">
        <v>956023.64</v>
      </c>
      <c r="ACY54" s="294">
        <v>1709401.94</v>
      </c>
      <c r="ACZ54" s="294">
        <v>1040614.5700000001</v>
      </c>
      <c r="ADA54" s="294">
        <v>22513</v>
      </c>
      <c r="ADB54" s="294"/>
      <c r="ADC54" s="294">
        <v>1125000</v>
      </c>
      <c r="ADD54" s="294">
        <v>813266.89</v>
      </c>
      <c r="ADE54" s="294">
        <v>960000</v>
      </c>
      <c r="ADF54" s="294">
        <v>11833846.710000001</v>
      </c>
      <c r="ADG54" s="294">
        <v>16126058.51</v>
      </c>
      <c r="ADH54" s="294">
        <v>2273172.79</v>
      </c>
      <c r="ADI54" s="294">
        <v>1090024.6000000001</v>
      </c>
      <c r="ADJ54" s="294">
        <v>2680311.5699999998</v>
      </c>
      <c r="ADK54" s="294">
        <v>10674493.16</v>
      </c>
      <c r="ADL54" s="294">
        <v>8839987.9199999999</v>
      </c>
      <c r="ADM54" s="294">
        <v>2659120.9300000002</v>
      </c>
      <c r="ADN54" s="294">
        <v>7517658.2300000004</v>
      </c>
      <c r="ADO54" s="294">
        <v>148634654.30000001</v>
      </c>
      <c r="ADP54" s="294">
        <v>40472669.43</v>
      </c>
      <c r="ADQ54" s="294">
        <v>14378983.379999999</v>
      </c>
      <c r="ADR54" s="294">
        <v>-24700</v>
      </c>
      <c r="ADS54" s="294">
        <v>28402368.780000001</v>
      </c>
      <c r="ADT54" s="294">
        <v>183731.56</v>
      </c>
      <c r="ADU54" s="294">
        <v>1610758.96</v>
      </c>
      <c r="ADV54" s="294">
        <v>1172833.78</v>
      </c>
      <c r="ADW54" s="294">
        <v>0</v>
      </c>
      <c r="ADX54" s="294">
        <v>31980</v>
      </c>
      <c r="ADY54" s="294">
        <v>137053433.78000003</v>
      </c>
      <c r="ADZ54" s="294">
        <v>20638349.460000001</v>
      </c>
      <c r="AEA54" s="294">
        <v>11047630.67</v>
      </c>
      <c r="AEB54" s="294">
        <v>7221230.5700000003</v>
      </c>
      <c r="AEC54" s="294">
        <v>5050533.3599999994</v>
      </c>
      <c r="AED54" s="294">
        <v>2039575.68</v>
      </c>
      <c r="AEE54" s="294">
        <v>2690539.09</v>
      </c>
      <c r="AEF54" s="294">
        <v>1473395.5</v>
      </c>
      <c r="AEG54" s="294">
        <v>4518039.8900000006</v>
      </c>
      <c r="AEH54" s="294">
        <v>36513988.390000001</v>
      </c>
      <c r="AEI54" s="294">
        <v>2099000</v>
      </c>
      <c r="AEJ54" s="294">
        <v>1977441.71</v>
      </c>
      <c r="AEK54" s="294">
        <v>2719898.14</v>
      </c>
      <c r="AEL54" s="294">
        <v>5837226.1199999992</v>
      </c>
      <c r="AEM54" s="294">
        <v>2433898.37</v>
      </c>
      <c r="AEN54" s="294">
        <v>5397528.3100000005</v>
      </c>
      <c r="AEO54" s="294">
        <v>1188796.75</v>
      </c>
      <c r="AEP54" s="294">
        <v>5536253.54</v>
      </c>
      <c r="AEQ54" s="294">
        <v>505673.45</v>
      </c>
      <c r="AER54" s="294">
        <v>13182602.93</v>
      </c>
      <c r="AES54" s="294">
        <v>15852358.470000001</v>
      </c>
      <c r="AET54" s="294">
        <v>2749206.78</v>
      </c>
      <c r="AEU54" s="294">
        <v>731188.48</v>
      </c>
      <c r="AEV54" s="294">
        <v>2737828.56</v>
      </c>
      <c r="AEW54" s="294">
        <v>1465874.85</v>
      </c>
      <c r="AEX54" s="294">
        <v>15695596.939999999</v>
      </c>
      <c r="AEY54" s="294">
        <v>2236810.11</v>
      </c>
      <c r="AEZ54" s="294">
        <v>847903.69</v>
      </c>
      <c r="AFA54" s="294">
        <v>497685.83</v>
      </c>
      <c r="AFB54" s="294">
        <v>18218.2</v>
      </c>
      <c r="AFC54" s="294">
        <v>18474282.240000002</v>
      </c>
      <c r="AFD54" s="294">
        <v>10372258.09</v>
      </c>
      <c r="AFE54" s="294">
        <v>121968.84</v>
      </c>
      <c r="AFF54" s="294">
        <v>2235108.04</v>
      </c>
      <c r="AFG54" s="294">
        <v>776142.48</v>
      </c>
      <c r="AFH54" s="294">
        <v>388453.42</v>
      </c>
      <c r="AFI54" s="294">
        <v>291959.88</v>
      </c>
      <c r="AFJ54" s="294">
        <v>997125.19000000006</v>
      </c>
      <c r="AFK54" s="294">
        <v>10653293.870000001</v>
      </c>
      <c r="AFL54" s="294">
        <v>0</v>
      </c>
      <c r="AFM54" s="294">
        <v>2160498.5299999998</v>
      </c>
      <c r="AFN54" s="294">
        <v>0</v>
      </c>
      <c r="AFO54" s="294">
        <v>1275808.8899999999</v>
      </c>
      <c r="AFP54" s="294">
        <v>19046552.190000001</v>
      </c>
      <c r="AFQ54" s="294">
        <v>798421.43</v>
      </c>
      <c r="AFR54" s="294">
        <v>912700</v>
      </c>
      <c r="AFS54" s="294">
        <v>309513.63999999996</v>
      </c>
      <c r="AFT54" s="294">
        <v>10808.75</v>
      </c>
      <c r="AFU54" s="294">
        <v>425150.67</v>
      </c>
      <c r="AFV54" s="294">
        <v>0</v>
      </c>
      <c r="AFW54" s="294">
        <v>2181874.4699999997</v>
      </c>
      <c r="AFX54" s="294">
        <v>933258.26</v>
      </c>
      <c r="AFY54" s="294">
        <v>206670.73</v>
      </c>
      <c r="AFZ54" s="294">
        <v>4316381.5999999996</v>
      </c>
      <c r="AGA54" s="294">
        <v>0</v>
      </c>
      <c r="AGB54" s="294">
        <v>16272538.970000001</v>
      </c>
      <c r="AGC54" s="294">
        <v>2730016.91</v>
      </c>
      <c r="AGD54" s="294"/>
      <c r="AGE54" s="294">
        <v>364564.41</v>
      </c>
      <c r="AGF54" s="294">
        <v>1988443.28</v>
      </c>
      <c r="AGG54" s="294">
        <v>388695.98</v>
      </c>
      <c r="AGH54" s="294">
        <v>2132683.7799999998</v>
      </c>
      <c r="AGI54" s="294">
        <v>2691930.39</v>
      </c>
      <c r="AGJ54" s="294">
        <v>0</v>
      </c>
      <c r="AGK54" s="294">
        <v>935621.73</v>
      </c>
      <c r="AGL54" s="294">
        <v>213324.35</v>
      </c>
      <c r="AGM54" s="294">
        <v>14240425.609999999</v>
      </c>
      <c r="AGN54" s="294">
        <v>5572946.0300000003</v>
      </c>
      <c r="AGO54" s="294">
        <v>275687</v>
      </c>
      <c r="AGP54" s="294">
        <v>1713131.52</v>
      </c>
      <c r="AGQ54" s="294">
        <v>1673822.34</v>
      </c>
      <c r="AGR54" s="294">
        <v>1967964.06</v>
      </c>
      <c r="AGS54" s="294">
        <v>4367284.8499999996</v>
      </c>
      <c r="AGT54" s="294">
        <v>1739061.19</v>
      </c>
      <c r="AGU54" s="294">
        <v>57265332.859999999</v>
      </c>
      <c r="AGV54" s="294">
        <v>68586294.99000001</v>
      </c>
      <c r="AGW54" s="294">
        <v>2016901.02</v>
      </c>
      <c r="AGX54" s="294">
        <v>488205.03</v>
      </c>
      <c r="AGY54" s="294">
        <v>1123825.1499999999</v>
      </c>
      <c r="AGZ54" s="294">
        <v>2314047.75</v>
      </c>
      <c r="AHA54" s="294">
        <v>1071516.31</v>
      </c>
      <c r="AHB54" s="294">
        <v>1392787.12</v>
      </c>
      <c r="AHC54" s="294">
        <v>312024</v>
      </c>
      <c r="AHD54" s="294">
        <v>3452670.03</v>
      </c>
      <c r="AHE54" s="294">
        <v>8342061.9800000004</v>
      </c>
      <c r="AHF54" s="294">
        <v>22807040.699999999</v>
      </c>
      <c r="AHG54" s="294">
        <v>399742.4</v>
      </c>
      <c r="AHH54" s="294">
        <v>6830358.5800000001</v>
      </c>
      <c r="AHI54" s="294">
        <v>816424.85000000009</v>
      </c>
      <c r="AHJ54" s="294">
        <v>4211888.93</v>
      </c>
      <c r="AHK54" s="294">
        <v>1649269.16</v>
      </c>
      <c r="AHL54" s="294">
        <v>19037935.219999999</v>
      </c>
      <c r="AHM54" s="294">
        <v>858665.55</v>
      </c>
      <c r="AHN54" s="294">
        <v>3035460.4899999998</v>
      </c>
      <c r="AHO54" s="294">
        <v>0</v>
      </c>
      <c r="AHP54" s="294">
        <v>3555582.66</v>
      </c>
      <c r="AHQ54" s="294">
        <v>349658.99</v>
      </c>
      <c r="AHR54" s="331">
        <v>1141633.8400000001</v>
      </c>
      <c r="AHS54" s="294">
        <f t="shared" si="35"/>
        <v>9344603163.599102</v>
      </c>
    </row>
    <row r="55" spans="1:907" ht="24.6" x14ac:dyDescent="0.7">
      <c r="B55" s="268" t="s">
        <v>6057</v>
      </c>
      <c r="C55" s="269" t="s">
        <v>6058</v>
      </c>
      <c r="D55" s="294">
        <v>40880436.93</v>
      </c>
      <c r="E55" s="294">
        <v>3107972.69</v>
      </c>
      <c r="F55" s="294">
        <v>153096.67000000001</v>
      </c>
      <c r="G55" s="294">
        <v>943600.75</v>
      </c>
      <c r="H55" s="294">
        <v>6590924.5700000003</v>
      </c>
      <c r="I55" s="294">
        <v>114671.41</v>
      </c>
      <c r="J55" s="294">
        <v>26367684.890000001</v>
      </c>
      <c r="K55" s="294"/>
      <c r="L55" s="294">
        <v>515453.78</v>
      </c>
      <c r="M55" s="294">
        <v>351141.88</v>
      </c>
      <c r="N55" s="294">
        <v>9127.4599999999991</v>
      </c>
      <c r="O55" s="294">
        <v>7246.68</v>
      </c>
      <c r="P55" s="294">
        <v>1322958.24</v>
      </c>
      <c r="Q55" s="294">
        <v>369166.63</v>
      </c>
      <c r="R55" s="294">
        <v>154978.03</v>
      </c>
      <c r="S55" s="294">
        <v>914747.56</v>
      </c>
      <c r="T55" s="294">
        <v>63000</v>
      </c>
      <c r="U55" s="294">
        <v>205667.13</v>
      </c>
      <c r="V55" s="294">
        <v>77397347.159999996</v>
      </c>
      <c r="W55" s="294">
        <v>1137436.8699999999</v>
      </c>
      <c r="X55" s="294">
        <v>120000</v>
      </c>
      <c r="Y55" s="294">
        <v>1066018.07</v>
      </c>
      <c r="Z55" s="294">
        <v>323717.21000000002</v>
      </c>
      <c r="AA55" s="294">
        <v>536102.78</v>
      </c>
      <c r="AB55" s="294">
        <v>2326188.9700000002</v>
      </c>
      <c r="AC55" s="294">
        <v>515195</v>
      </c>
      <c r="AD55" s="294">
        <v>907426.64999999991</v>
      </c>
      <c r="AE55" s="294">
        <v>919042.69</v>
      </c>
      <c r="AF55" s="294">
        <v>1867846.6800000002</v>
      </c>
      <c r="AG55" s="294">
        <v>388060.6</v>
      </c>
      <c r="AH55" s="294">
        <v>15775681.380000001</v>
      </c>
      <c r="AI55" s="294">
        <v>746421</v>
      </c>
      <c r="AJ55" s="294">
        <v>329913.76</v>
      </c>
      <c r="AK55" s="294">
        <v>86053.85</v>
      </c>
      <c r="AL55" s="294">
        <v>2296655.1799999997</v>
      </c>
      <c r="AM55" s="294">
        <v>537547.78</v>
      </c>
      <c r="AN55" s="294">
        <v>227686</v>
      </c>
      <c r="AO55" s="294">
        <v>290232.2</v>
      </c>
      <c r="AP55" s="294">
        <v>161211.70000000001</v>
      </c>
      <c r="AQ55" s="294">
        <v>28449</v>
      </c>
      <c r="AR55" s="294">
        <v>2256952.0199999996</v>
      </c>
      <c r="AS55" s="294">
        <v>18000</v>
      </c>
      <c r="AT55" s="294">
        <v>2336907.39</v>
      </c>
      <c r="AU55" s="294">
        <v>3600</v>
      </c>
      <c r="AV55" s="294">
        <v>1244015.97</v>
      </c>
      <c r="AW55" s="294">
        <v>234004.2</v>
      </c>
      <c r="AX55" s="294"/>
      <c r="AY55" s="294">
        <v>89244</v>
      </c>
      <c r="AZ55" s="294">
        <v>1068646.04</v>
      </c>
      <c r="BA55" s="294">
        <v>74572</v>
      </c>
      <c r="BB55" s="294">
        <v>2200</v>
      </c>
      <c r="BC55" s="294">
        <v>74983</v>
      </c>
      <c r="BD55" s="294">
        <v>229310.52</v>
      </c>
      <c r="BE55" s="294">
        <v>61105</v>
      </c>
      <c r="BF55" s="294">
        <v>6938765.29</v>
      </c>
      <c r="BG55" s="294">
        <v>6510</v>
      </c>
      <c r="BH55" s="294">
        <v>3430790.75</v>
      </c>
      <c r="BI55" s="294">
        <v>18588948.98</v>
      </c>
      <c r="BJ55" s="294">
        <v>7451361.8999999994</v>
      </c>
      <c r="BK55" s="294">
        <v>879684.29</v>
      </c>
      <c r="BL55" s="294">
        <v>368224.76</v>
      </c>
      <c r="BM55" s="294">
        <v>693037.31</v>
      </c>
      <c r="BN55" s="294">
        <v>721625.51</v>
      </c>
      <c r="BO55" s="294">
        <v>672125.37</v>
      </c>
      <c r="BP55" s="294">
        <v>338118.49</v>
      </c>
      <c r="BQ55" s="294">
        <v>52624.020000000004</v>
      </c>
      <c r="BR55" s="294">
        <v>42626088.409999996</v>
      </c>
      <c r="BS55" s="294">
        <v>797263.06</v>
      </c>
      <c r="BT55" s="294">
        <v>51999.12</v>
      </c>
      <c r="BU55" s="294">
        <v>89340</v>
      </c>
      <c r="BV55" s="294">
        <v>10569</v>
      </c>
      <c r="BW55" s="294">
        <v>71811</v>
      </c>
      <c r="BX55" s="294">
        <v>1588492.6199999999</v>
      </c>
      <c r="BY55" s="294">
        <v>492126.29</v>
      </c>
      <c r="BZ55" s="294">
        <v>1689638.48</v>
      </c>
      <c r="CA55" s="294"/>
      <c r="CB55" s="294"/>
      <c r="CC55" s="294">
        <v>102214</v>
      </c>
      <c r="CD55" s="294"/>
      <c r="CE55" s="294">
        <v>12120</v>
      </c>
      <c r="CF55" s="294">
        <v>74051</v>
      </c>
      <c r="CG55" s="294">
        <v>45026314.82</v>
      </c>
      <c r="CH55" s="294">
        <v>443503.53</v>
      </c>
      <c r="CI55" s="294">
        <v>417721.49</v>
      </c>
      <c r="CJ55" s="294">
        <v>99711.8</v>
      </c>
      <c r="CK55" s="294">
        <v>188810.34</v>
      </c>
      <c r="CL55" s="294">
        <v>397227.59</v>
      </c>
      <c r="CM55" s="294">
        <v>199750</v>
      </c>
      <c r="CN55" s="294"/>
      <c r="CO55" s="294">
        <v>109132.01</v>
      </c>
      <c r="CP55" s="294">
        <v>87213</v>
      </c>
      <c r="CQ55" s="294">
        <v>21061.5</v>
      </c>
      <c r="CR55" s="294">
        <v>239008.61</v>
      </c>
      <c r="CS55" s="294">
        <v>618870.62</v>
      </c>
      <c r="CT55" s="294">
        <v>27007289.109999999</v>
      </c>
      <c r="CU55" s="294">
        <v>389704.56</v>
      </c>
      <c r="CV55" s="294">
        <v>114047</v>
      </c>
      <c r="CW55" s="294">
        <v>1803266.85</v>
      </c>
      <c r="CX55" s="294">
        <v>67762.3</v>
      </c>
      <c r="CY55" s="294">
        <v>144451.70000000001</v>
      </c>
      <c r="CZ55" s="294">
        <v>835812.93</v>
      </c>
      <c r="DA55" s="294">
        <v>78224.2</v>
      </c>
      <c r="DB55" s="294">
        <v>999828.64</v>
      </c>
      <c r="DC55" s="294">
        <v>48005261.859999999</v>
      </c>
      <c r="DD55" s="294">
        <v>366554.32</v>
      </c>
      <c r="DE55" s="294">
        <v>5099550.9000000004</v>
      </c>
      <c r="DF55" s="294">
        <v>793562.76</v>
      </c>
      <c r="DG55" s="294">
        <v>4196843.2300000004</v>
      </c>
      <c r="DH55" s="294">
        <v>3354797.9</v>
      </c>
      <c r="DI55" s="294">
        <v>577525.06000000006</v>
      </c>
      <c r="DJ55" s="294">
        <v>1840468.99</v>
      </c>
      <c r="DK55" s="294">
        <v>56088522.909999996</v>
      </c>
      <c r="DL55" s="294">
        <v>0</v>
      </c>
      <c r="DM55" s="294">
        <v>402699</v>
      </c>
      <c r="DN55" s="294">
        <v>1328190.1599999999</v>
      </c>
      <c r="DO55" s="294">
        <v>440711.67</v>
      </c>
      <c r="DP55" s="294">
        <v>182893.11</v>
      </c>
      <c r="DQ55" s="294">
        <v>8659660.7200000007</v>
      </c>
      <c r="DR55" s="294">
        <v>119297</v>
      </c>
      <c r="DS55" s="294">
        <v>822550.96</v>
      </c>
      <c r="DT55" s="294"/>
      <c r="DU55" s="294">
        <v>0</v>
      </c>
      <c r="DV55" s="294">
        <v>10055424.41</v>
      </c>
      <c r="DW55" s="294">
        <v>542204</v>
      </c>
      <c r="DX55" s="294">
        <v>420928</v>
      </c>
      <c r="DY55" s="294"/>
      <c r="DZ55" s="294">
        <v>395957</v>
      </c>
      <c r="EA55" s="294">
        <v>658310</v>
      </c>
      <c r="EB55" s="294">
        <v>709436.26</v>
      </c>
      <c r="EC55" s="294">
        <v>0</v>
      </c>
      <c r="ED55" s="294">
        <v>3531961.94</v>
      </c>
      <c r="EE55" s="294">
        <v>25504385.149999999</v>
      </c>
      <c r="EF55" s="294">
        <v>1125407.73</v>
      </c>
      <c r="EG55" s="294">
        <v>498038.23</v>
      </c>
      <c r="EH55" s="294">
        <v>174818</v>
      </c>
      <c r="EI55" s="294">
        <v>2700526.84</v>
      </c>
      <c r="EJ55" s="294">
        <v>429435</v>
      </c>
      <c r="EK55" s="294">
        <v>633157.97</v>
      </c>
      <c r="EL55" s="294">
        <v>1234797.32</v>
      </c>
      <c r="EM55" s="294">
        <v>1105695</v>
      </c>
      <c r="EN55" s="294">
        <v>53904191.810000002</v>
      </c>
      <c r="EO55" s="294">
        <v>209855.37</v>
      </c>
      <c r="EP55" s="294">
        <v>49533</v>
      </c>
      <c r="EQ55" s="294"/>
      <c r="ER55" s="294">
        <v>348624.41</v>
      </c>
      <c r="ES55" s="294">
        <v>616366.37</v>
      </c>
      <c r="ET55" s="294">
        <v>962697.07</v>
      </c>
      <c r="EU55" s="294">
        <v>1837860.06</v>
      </c>
      <c r="EV55" s="294">
        <v>2767743.6</v>
      </c>
      <c r="EW55" s="294">
        <v>21783581.27</v>
      </c>
      <c r="EX55" s="294">
        <v>126395</v>
      </c>
      <c r="EY55" s="294">
        <v>2337995.9900000002</v>
      </c>
      <c r="EZ55" s="294">
        <v>74500</v>
      </c>
      <c r="FA55" s="294">
        <v>407197</v>
      </c>
      <c r="FB55" s="294">
        <v>429787.02</v>
      </c>
      <c r="FC55" s="294">
        <v>585994.5</v>
      </c>
      <c r="FD55" s="294">
        <v>54470</v>
      </c>
      <c r="FE55" s="294">
        <v>1219060.46</v>
      </c>
      <c r="FF55" s="294">
        <v>1174289.3400000001</v>
      </c>
      <c r="FG55" s="294">
        <v>74548.61</v>
      </c>
      <c r="FH55" s="294">
        <v>491406.98</v>
      </c>
      <c r="FI55" s="294">
        <v>4036688.66</v>
      </c>
      <c r="FJ55" s="294">
        <v>27744</v>
      </c>
      <c r="FK55" s="294"/>
      <c r="FL55" s="294">
        <v>366043.25</v>
      </c>
      <c r="FM55" s="294">
        <v>2702791.02</v>
      </c>
      <c r="FN55" s="294">
        <v>0</v>
      </c>
      <c r="FO55" s="294">
        <v>712513.89</v>
      </c>
      <c r="FP55" s="294">
        <v>0</v>
      </c>
      <c r="FQ55" s="294">
        <v>10085172.390000001</v>
      </c>
      <c r="FR55" s="294">
        <v>664539</v>
      </c>
      <c r="FS55" s="294">
        <v>116915.2</v>
      </c>
      <c r="FT55" s="294">
        <v>36700</v>
      </c>
      <c r="FU55" s="294">
        <v>1030004.15</v>
      </c>
      <c r="FV55" s="294">
        <v>434622.7</v>
      </c>
      <c r="FW55" s="294">
        <v>4339501.47</v>
      </c>
      <c r="FX55" s="294">
        <v>268110</v>
      </c>
      <c r="FY55" s="294">
        <v>1292</v>
      </c>
      <c r="FZ55" s="294">
        <v>1915</v>
      </c>
      <c r="GA55" s="294">
        <v>119900</v>
      </c>
      <c r="GB55" s="294">
        <v>431699</v>
      </c>
      <c r="GC55" s="294">
        <v>469660.54</v>
      </c>
      <c r="GD55" s="294">
        <v>763782.02</v>
      </c>
      <c r="GE55" s="294">
        <v>41314637.659999996</v>
      </c>
      <c r="GF55" s="294">
        <v>47304.95</v>
      </c>
      <c r="GG55" s="294">
        <v>45153.1</v>
      </c>
      <c r="GH55" s="294">
        <v>14218144.99</v>
      </c>
      <c r="GI55" s="294">
        <v>211079.2</v>
      </c>
      <c r="GJ55" s="294">
        <v>20320</v>
      </c>
      <c r="GK55" s="294">
        <v>473236.47</v>
      </c>
      <c r="GL55" s="294">
        <v>202521.91</v>
      </c>
      <c r="GM55" s="294">
        <v>29707</v>
      </c>
      <c r="GN55" s="294">
        <v>752547</v>
      </c>
      <c r="GO55" s="294">
        <v>110952.78</v>
      </c>
      <c r="GP55" s="294">
        <v>450577.1</v>
      </c>
      <c r="GQ55" s="294">
        <v>21880193.489999998</v>
      </c>
      <c r="GR55" s="294">
        <v>66904.86</v>
      </c>
      <c r="GS55" s="294">
        <v>30930.09</v>
      </c>
      <c r="GT55" s="294">
        <v>381831.71</v>
      </c>
      <c r="GU55" s="294">
        <v>83613.47</v>
      </c>
      <c r="GV55" s="294">
        <v>488942.5</v>
      </c>
      <c r="GW55" s="294">
        <v>349144.64</v>
      </c>
      <c r="GX55" s="294">
        <v>289179.65999999997</v>
      </c>
      <c r="GY55" s="294">
        <v>677490</v>
      </c>
      <c r="GZ55" s="294">
        <v>88535</v>
      </c>
      <c r="HA55" s="294">
        <v>3013952.86</v>
      </c>
      <c r="HB55" s="294">
        <v>222192.34</v>
      </c>
      <c r="HC55" s="294">
        <v>2434123.0100000002</v>
      </c>
      <c r="HD55" s="294">
        <v>2000000</v>
      </c>
      <c r="HE55" s="294">
        <v>514724.15</v>
      </c>
      <c r="HF55" s="294">
        <v>846765.47</v>
      </c>
      <c r="HG55" s="294">
        <v>828099.11</v>
      </c>
      <c r="HH55" s="294">
        <v>10103045.550000001</v>
      </c>
      <c r="HI55" s="294">
        <v>590747</v>
      </c>
      <c r="HJ55" s="294">
        <v>3306432.25</v>
      </c>
      <c r="HK55" s="294">
        <v>271460.08</v>
      </c>
      <c r="HL55" s="294">
        <v>4679341.05</v>
      </c>
      <c r="HM55" s="294">
        <v>78064.88</v>
      </c>
      <c r="HN55" s="294">
        <v>644855.19999999995</v>
      </c>
      <c r="HO55" s="294">
        <v>1230351.2000000002</v>
      </c>
      <c r="HP55" s="294">
        <v>6674426.5</v>
      </c>
      <c r="HQ55" s="294">
        <v>203045.86</v>
      </c>
      <c r="HR55" s="294">
        <v>11286028.119999999</v>
      </c>
      <c r="HS55" s="294">
        <v>213170.28999999998</v>
      </c>
      <c r="HT55" s="294"/>
      <c r="HU55" s="294">
        <v>4133230.19</v>
      </c>
      <c r="HV55" s="294">
        <v>676598.45</v>
      </c>
      <c r="HW55" s="294"/>
      <c r="HX55" s="294">
        <v>427786.6</v>
      </c>
      <c r="HY55" s="294">
        <v>270345</v>
      </c>
      <c r="HZ55" s="294">
        <v>47520.04</v>
      </c>
      <c r="IA55" s="294">
        <v>565373</v>
      </c>
      <c r="IB55" s="294">
        <v>0</v>
      </c>
      <c r="IC55" s="294">
        <v>92697.66</v>
      </c>
      <c r="ID55" s="294">
        <v>139050</v>
      </c>
      <c r="IE55" s="294"/>
      <c r="IF55" s="294">
        <v>5100</v>
      </c>
      <c r="IG55" s="294">
        <v>50230</v>
      </c>
      <c r="IH55" s="294">
        <v>1588144.44</v>
      </c>
      <c r="II55" s="294">
        <v>10246257.880000001</v>
      </c>
      <c r="IJ55" s="294">
        <v>1375530.49</v>
      </c>
      <c r="IK55" s="294">
        <v>514869.54</v>
      </c>
      <c r="IL55" s="294">
        <v>1302814.8599999999</v>
      </c>
      <c r="IM55" s="294">
        <v>668239.93999999994</v>
      </c>
      <c r="IN55" s="294">
        <v>588949.69999999995</v>
      </c>
      <c r="IO55" s="294">
        <v>1136065.1099999999</v>
      </c>
      <c r="IP55" s="294">
        <v>489476</v>
      </c>
      <c r="IQ55" s="294">
        <v>799719.51</v>
      </c>
      <c r="IR55" s="294">
        <v>11699.85</v>
      </c>
      <c r="IS55" s="294">
        <v>12751961.449999999</v>
      </c>
      <c r="IT55" s="294">
        <v>0</v>
      </c>
      <c r="IU55" s="294">
        <v>146848.94</v>
      </c>
      <c r="IV55" s="294">
        <v>2191230.2199999997</v>
      </c>
      <c r="IW55" s="294">
        <v>973840.37</v>
      </c>
      <c r="IX55" s="294">
        <v>19474.32</v>
      </c>
      <c r="IY55" s="294">
        <v>351348.17000000004</v>
      </c>
      <c r="IZ55" s="294">
        <v>167136.56</v>
      </c>
      <c r="JA55" s="294">
        <v>887766.77</v>
      </c>
      <c r="JB55" s="294">
        <v>1191558.8600000001</v>
      </c>
      <c r="JC55" s="294">
        <v>357678</v>
      </c>
      <c r="JD55" s="294">
        <v>16225.970000000001</v>
      </c>
      <c r="JE55" s="294">
        <v>3444780.5700000003</v>
      </c>
      <c r="JF55" s="294">
        <v>681178.08000000007</v>
      </c>
      <c r="JG55" s="294">
        <v>644204.80000000005</v>
      </c>
      <c r="JH55" s="294">
        <v>7831.84</v>
      </c>
      <c r="JI55" s="294">
        <v>80000</v>
      </c>
      <c r="JJ55" s="294">
        <v>2187034.19</v>
      </c>
      <c r="JK55" s="294">
        <v>7074922.5999999996</v>
      </c>
      <c r="JL55" s="294">
        <v>2800</v>
      </c>
      <c r="JM55" s="294">
        <v>1013155</v>
      </c>
      <c r="JN55" s="294">
        <v>5256200.4400000004</v>
      </c>
      <c r="JO55" s="294">
        <v>453697.46</v>
      </c>
      <c r="JP55" s="294">
        <v>3025234.78</v>
      </c>
      <c r="JQ55" s="294">
        <v>43905.8</v>
      </c>
      <c r="JR55" s="294"/>
      <c r="JS55" s="294">
        <v>0</v>
      </c>
      <c r="JT55" s="294">
        <v>197828.06</v>
      </c>
      <c r="JU55" s="294">
        <v>849137.5</v>
      </c>
      <c r="JV55" s="294">
        <v>105973</v>
      </c>
      <c r="JW55" s="294">
        <v>1043000</v>
      </c>
      <c r="JX55" s="294">
        <v>456335.06</v>
      </c>
      <c r="JY55" s="294"/>
      <c r="JZ55" s="294">
        <v>181311.6</v>
      </c>
      <c r="KA55" s="294">
        <v>1234.57</v>
      </c>
      <c r="KB55" s="294">
        <v>1312523.6100000001</v>
      </c>
      <c r="KC55" s="294">
        <v>961.85</v>
      </c>
      <c r="KD55" s="294">
        <v>653316</v>
      </c>
      <c r="KE55" s="294">
        <v>3012.5</v>
      </c>
      <c r="KF55" s="294">
        <v>33960</v>
      </c>
      <c r="KG55" s="294">
        <v>439870.21</v>
      </c>
      <c r="KH55" s="294">
        <v>39059551.040000007</v>
      </c>
      <c r="KI55" s="294"/>
      <c r="KJ55" s="294">
        <v>3201760.84</v>
      </c>
      <c r="KK55" s="294"/>
      <c r="KL55" s="294">
        <v>130000</v>
      </c>
      <c r="KM55" s="294">
        <v>208615.52</v>
      </c>
      <c r="KN55" s="294">
        <v>195500</v>
      </c>
      <c r="KO55" s="294">
        <v>868049.97</v>
      </c>
      <c r="KP55" s="294">
        <v>0</v>
      </c>
      <c r="KQ55" s="294">
        <v>756008.84000000008</v>
      </c>
      <c r="KR55" s="294">
        <v>636463.56000000006</v>
      </c>
      <c r="KS55" s="294">
        <v>26749.58</v>
      </c>
      <c r="KT55" s="294">
        <v>1487940.06</v>
      </c>
      <c r="KU55" s="294">
        <v>517012</v>
      </c>
      <c r="KV55" s="294">
        <v>590901.61</v>
      </c>
      <c r="KW55" s="294"/>
      <c r="KX55" s="294">
        <v>703655.8</v>
      </c>
      <c r="KY55" s="294">
        <v>22120800.18</v>
      </c>
      <c r="KZ55" s="294"/>
      <c r="LA55" s="294">
        <v>226696.45</v>
      </c>
      <c r="LB55" s="294"/>
      <c r="LC55" s="294">
        <v>27687290.630000003</v>
      </c>
      <c r="LD55" s="294">
        <v>30425</v>
      </c>
      <c r="LE55" s="294">
        <v>2110685.8899999997</v>
      </c>
      <c r="LF55" s="294">
        <v>988461.69</v>
      </c>
      <c r="LG55" s="294">
        <v>4163550.1999999997</v>
      </c>
      <c r="LH55" s="294">
        <v>709909.02999999991</v>
      </c>
      <c r="LI55" s="294">
        <v>4649992.3499999996</v>
      </c>
      <c r="LJ55" s="294">
        <v>414069.32999999996</v>
      </c>
      <c r="LK55" s="294">
        <v>28700</v>
      </c>
      <c r="LL55" s="294">
        <v>281553.46000000002</v>
      </c>
      <c r="LM55" s="294"/>
      <c r="LN55" s="294">
        <v>770635.89999999991</v>
      </c>
      <c r="LO55" s="294">
        <v>540098.24</v>
      </c>
      <c r="LP55" s="294">
        <v>115000</v>
      </c>
      <c r="LQ55" s="294"/>
      <c r="LR55" s="294">
        <v>1389284.45</v>
      </c>
      <c r="LS55" s="294"/>
      <c r="LT55" s="294">
        <v>357300</v>
      </c>
      <c r="LU55" s="294">
        <v>5440245.0499999998</v>
      </c>
      <c r="LV55" s="294">
        <v>63008483.759999998</v>
      </c>
      <c r="LW55" s="294">
        <v>11638804.439999999</v>
      </c>
      <c r="LX55" s="294">
        <v>720956.69</v>
      </c>
      <c r="LY55" s="294">
        <v>4044</v>
      </c>
      <c r="LZ55" s="294">
        <v>4965629.97</v>
      </c>
      <c r="MA55" s="294">
        <v>1831028.41</v>
      </c>
      <c r="MB55" s="294"/>
      <c r="MC55" s="294">
        <v>509245.19999999995</v>
      </c>
      <c r="MD55" s="294">
        <v>930313.09</v>
      </c>
      <c r="ME55" s="294">
        <v>652904.12</v>
      </c>
      <c r="MF55" s="294">
        <v>112752.06</v>
      </c>
      <c r="MG55" s="294">
        <v>86305813.209999993</v>
      </c>
      <c r="MH55" s="294"/>
      <c r="MI55" s="294">
        <v>270184</v>
      </c>
      <c r="MJ55" s="294">
        <v>473023.20999999996</v>
      </c>
      <c r="MK55" s="294">
        <v>0</v>
      </c>
      <c r="ML55" s="294">
        <v>931426.98</v>
      </c>
      <c r="MM55" s="294">
        <v>2268000</v>
      </c>
      <c r="MN55" s="294">
        <v>513278.22000000003</v>
      </c>
      <c r="MO55" s="294">
        <v>3044330.33</v>
      </c>
      <c r="MP55" s="294">
        <v>157650</v>
      </c>
      <c r="MQ55" s="294">
        <v>574650</v>
      </c>
      <c r="MR55" s="294">
        <v>374904.03</v>
      </c>
      <c r="MS55" s="294">
        <v>80361746.499999985</v>
      </c>
      <c r="MT55" s="294">
        <v>71724.160000000003</v>
      </c>
      <c r="MU55" s="294">
        <v>81000</v>
      </c>
      <c r="MV55" s="294"/>
      <c r="MW55" s="294">
        <v>668889.14</v>
      </c>
      <c r="MX55" s="294">
        <v>523289.14</v>
      </c>
      <c r="MY55" s="294">
        <v>647529.06000000006</v>
      </c>
      <c r="MZ55" s="294">
        <v>159609.99</v>
      </c>
      <c r="NA55" s="294">
        <v>539337.49</v>
      </c>
      <c r="NB55" s="294">
        <v>59544</v>
      </c>
      <c r="NC55" s="294">
        <v>510636.02</v>
      </c>
      <c r="ND55" s="294">
        <v>101912594.43999998</v>
      </c>
      <c r="NE55" s="294"/>
      <c r="NF55" s="294">
        <v>0</v>
      </c>
      <c r="NG55" s="294">
        <v>0</v>
      </c>
      <c r="NH55" s="294"/>
      <c r="NI55" s="294">
        <v>6988827.04</v>
      </c>
      <c r="NJ55" s="294">
        <v>15508708.640000001</v>
      </c>
      <c r="NK55" s="294">
        <v>7664988.3400000008</v>
      </c>
      <c r="NL55" s="294">
        <v>0</v>
      </c>
      <c r="NM55" s="294">
        <v>140631.79</v>
      </c>
      <c r="NN55" s="294">
        <v>45336</v>
      </c>
      <c r="NO55" s="294">
        <v>739266.12</v>
      </c>
      <c r="NP55" s="294">
        <v>7945348.6999999993</v>
      </c>
      <c r="NQ55" s="294">
        <v>294880.02</v>
      </c>
      <c r="NR55" s="294"/>
      <c r="NS55" s="294">
        <v>18630.48</v>
      </c>
      <c r="NT55" s="294">
        <v>518762.6</v>
      </c>
      <c r="NU55" s="294">
        <v>14.06</v>
      </c>
      <c r="NV55" s="294">
        <v>83820</v>
      </c>
      <c r="NW55" s="294">
        <v>13573620.470000001</v>
      </c>
      <c r="NX55" s="294">
        <v>15504099.109999999</v>
      </c>
      <c r="NY55" s="294">
        <v>1932410</v>
      </c>
      <c r="NZ55" s="294">
        <v>436198.04</v>
      </c>
      <c r="OA55" s="294">
        <v>105000</v>
      </c>
      <c r="OB55" s="294">
        <v>1137869.95</v>
      </c>
      <c r="OC55" s="294"/>
      <c r="OD55" s="294">
        <v>23917457.719999999</v>
      </c>
      <c r="OE55" s="294">
        <v>2046327.82</v>
      </c>
      <c r="OF55" s="294">
        <v>1772125.87</v>
      </c>
      <c r="OG55" s="294">
        <v>1710684.65</v>
      </c>
      <c r="OH55" s="294">
        <v>776572</v>
      </c>
      <c r="OI55" s="294">
        <v>253877.63</v>
      </c>
      <c r="OJ55" s="294">
        <v>50.44</v>
      </c>
      <c r="OK55" s="294">
        <v>100000</v>
      </c>
      <c r="OL55" s="294"/>
      <c r="OM55" s="294">
        <v>486277.51</v>
      </c>
      <c r="ON55" s="294"/>
      <c r="OO55" s="294">
        <v>548576</v>
      </c>
      <c r="OP55" s="294">
        <v>2646161</v>
      </c>
      <c r="OQ55" s="294">
        <v>825553.64</v>
      </c>
      <c r="OR55" s="294">
        <v>43820.88</v>
      </c>
      <c r="OS55" s="294">
        <v>17629377.75</v>
      </c>
      <c r="OT55" s="294">
        <v>482104.59</v>
      </c>
      <c r="OU55" s="294">
        <v>1081848.58</v>
      </c>
      <c r="OV55" s="294">
        <v>1154814.1599999999</v>
      </c>
      <c r="OW55" s="294">
        <v>1819068.74</v>
      </c>
      <c r="OX55" s="294">
        <v>23362363.029999997</v>
      </c>
      <c r="OY55" s="294">
        <v>2251203.52</v>
      </c>
      <c r="OZ55" s="294">
        <v>475543</v>
      </c>
      <c r="PA55" s="294">
        <v>9358307.1400000006</v>
      </c>
      <c r="PB55" s="294">
        <v>40294429.129999995</v>
      </c>
      <c r="PC55" s="294"/>
      <c r="PD55" s="294">
        <v>172294</v>
      </c>
      <c r="PE55" s="294">
        <v>293.14999999999998</v>
      </c>
      <c r="PF55" s="294"/>
      <c r="PG55" s="294">
        <v>909318</v>
      </c>
      <c r="PH55" s="294">
        <v>22000</v>
      </c>
      <c r="PI55" s="294">
        <v>230660</v>
      </c>
      <c r="PJ55" s="294">
        <v>100826.25</v>
      </c>
      <c r="PK55" s="294">
        <v>19800</v>
      </c>
      <c r="PL55" s="294">
        <v>4232185.59</v>
      </c>
      <c r="PM55" s="294">
        <v>6820601.7999999998</v>
      </c>
      <c r="PN55" s="294">
        <v>1397749.64</v>
      </c>
      <c r="PO55" s="294">
        <v>19251144.399999999</v>
      </c>
      <c r="PP55" s="294">
        <v>171040</v>
      </c>
      <c r="PQ55" s="294"/>
      <c r="PR55" s="294"/>
      <c r="PS55" s="294">
        <v>0</v>
      </c>
      <c r="PT55" s="294">
        <v>46176889.909999996</v>
      </c>
      <c r="PU55" s="294"/>
      <c r="PV55" s="294"/>
      <c r="PW55" s="294"/>
      <c r="PX55" s="294">
        <v>48200</v>
      </c>
      <c r="PY55" s="294">
        <v>85950</v>
      </c>
      <c r="PZ55" s="294">
        <v>1192727</v>
      </c>
      <c r="QA55" s="294">
        <v>4227857.3899999997</v>
      </c>
      <c r="QB55" s="294">
        <v>182100</v>
      </c>
      <c r="QC55" s="294">
        <v>676825.48</v>
      </c>
      <c r="QD55" s="294">
        <v>1068977.01</v>
      </c>
      <c r="QE55" s="294">
        <v>19637.73</v>
      </c>
      <c r="QF55" s="294">
        <v>349200</v>
      </c>
      <c r="QG55" s="294">
        <v>2949335.62</v>
      </c>
      <c r="QH55" s="294"/>
      <c r="QI55" s="294"/>
      <c r="QJ55" s="294">
        <v>537596.94999999995</v>
      </c>
      <c r="QK55" s="294">
        <v>100000</v>
      </c>
      <c r="QL55" s="294">
        <v>72000</v>
      </c>
      <c r="QM55" s="294"/>
      <c r="QN55" s="294">
        <v>1300794.24</v>
      </c>
      <c r="QO55" s="294">
        <v>54500</v>
      </c>
      <c r="QP55" s="294">
        <v>259661.83</v>
      </c>
      <c r="QQ55" s="294"/>
      <c r="QR55" s="294">
        <v>71117</v>
      </c>
      <c r="QS55" s="294">
        <v>300845</v>
      </c>
      <c r="QT55" s="294">
        <v>52199004.219999999</v>
      </c>
      <c r="QU55" s="294">
        <v>118350</v>
      </c>
      <c r="QV55" s="294"/>
      <c r="QW55" s="294">
        <v>50160</v>
      </c>
      <c r="QX55" s="294"/>
      <c r="QY55" s="294">
        <v>298147</v>
      </c>
      <c r="QZ55" s="294">
        <v>11800</v>
      </c>
      <c r="RA55" s="294">
        <v>1612891.21</v>
      </c>
      <c r="RB55" s="294"/>
      <c r="RC55" s="294">
        <v>175244</v>
      </c>
      <c r="RD55" s="294"/>
      <c r="RE55" s="294">
        <v>178532</v>
      </c>
      <c r="RF55" s="294">
        <v>44448.6</v>
      </c>
      <c r="RG55" s="294">
        <v>18354371.199999999</v>
      </c>
      <c r="RH55" s="294">
        <v>1741383.32</v>
      </c>
      <c r="RI55" s="294">
        <v>127500.5</v>
      </c>
      <c r="RJ55" s="294">
        <v>3759194.54</v>
      </c>
      <c r="RK55" s="294">
        <v>526997</v>
      </c>
      <c r="RL55" s="294"/>
      <c r="RM55" s="294">
        <v>2816932.27</v>
      </c>
      <c r="RN55" s="294">
        <v>219506.38</v>
      </c>
      <c r="RO55" s="294">
        <v>767963</v>
      </c>
      <c r="RP55" s="294">
        <v>251325</v>
      </c>
      <c r="RQ55" s="294">
        <v>521195.9</v>
      </c>
      <c r="RR55" s="294">
        <v>115580.35</v>
      </c>
      <c r="RS55" s="294">
        <v>37697</v>
      </c>
      <c r="RT55" s="294"/>
      <c r="RU55" s="294"/>
      <c r="RV55" s="294">
        <v>35403.879999999997</v>
      </c>
      <c r="RW55" s="294">
        <v>0</v>
      </c>
      <c r="RX55" s="294">
        <v>20700</v>
      </c>
      <c r="RY55" s="294">
        <v>296.61</v>
      </c>
      <c r="RZ55" s="294">
        <v>164600</v>
      </c>
      <c r="SA55" s="294">
        <v>6668090</v>
      </c>
      <c r="SB55" s="294">
        <v>421070</v>
      </c>
      <c r="SC55" s="294">
        <v>274430</v>
      </c>
      <c r="SD55" s="294">
        <v>249250</v>
      </c>
      <c r="SE55" s="294">
        <v>575350</v>
      </c>
      <c r="SF55" s="294">
        <v>2275214.36</v>
      </c>
      <c r="SG55" s="294">
        <v>974270.43</v>
      </c>
      <c r="SH55" s="294">
        <v>1162636.3199999998</v>
      </c>
      <c r="SI55" s="294">
        <v>611875</v>
      </c>
      <c r="SJ55" s="294">
        <v>170050</v>
      </c>
      <c r="SK55" s="294">
        <v>1368457.75</v>
      </c>
      <c r="SL55" s="294">
        <v>268868.44</v>
      </c>
      <c r="SM55" s="294">
        <v>8013678.4800000004</v>
      </c>
      <c r="SN55" s="294">
        <v>2167092.36</v>
      </c>
      <c r="SO55" s="294">
        <v>1238490.71</v>
      </c>
      <c r="SP55" s="294">
        <v>1288414</v>
      </c>
      <c r="SQ55" s="294">
        <v>1199169.92</v>
      </c>
      <c r="SR55" s="294">
        <v>1283098.6299999999</v>
      </c>
      <c r="SS55" s="294">
        <v>2961026.46</v>
      </c>
      <c r="ST55" s="294">
        <v>0</v>
      </c>
      <c r="SU55" s="294">
        <v>191500</v>
      </c>
      <c r="SV55" s="294">
        <v>915302.44</v>
      </c>
      <c r="SW55" s="294">
        <v>145621.76000000001</v>
      </c>
      <c r="SX55" s="294">
        <v>1485273.07</v>
      </c>
      <c r="SY55" s="294">
        <v>90000</v>
      </c>
      <c r="SZ55" s="294">
        <v>55200</v>
      </c>
      <c r="TA55" s="294"/>
      <c r="TB55" s="294">
        <v>88400</v>
      </c>
      <c r="TC55" s="294">
        <v>151396</v>
      </c>
      <c r="TD55" s="294">
        <v>774785</v>
      </c>
      <c r="TE55" s="294">
        <v>253138</v>
      </c>
      <c r="TF55" s="294">
        <v>446090.44</v>
      </c>
      <c r="TG55" s="294">
        <v>569326.16</v>
      </c>
      <c r="TH55" s="294">
        <v>61106.64</v>
      </c>
      <c r="TI55" s="294">
        <v>6605863.7199999997</v>
      </c>
      <c r="TJ55" s="294">
        <v>144293.09</v>
      </c>
      <c r="TK55" s="294">
        <v>164800</v>
      </c>
      <c r="TL55" s="294">
        <v>454640</v>
      </c>
      <c r="TM55" s="294">
        <v>454092.38</v>
      </c>
      <c r="TN55" s="294">
        <v>82250</v>
      </c>
      <c r="TO55" s="294">
        <v>101056</v>
      </c>
      <c r="TP55" s="294">
        <v>1810689.43</v>
      </c>
      <c r="TQ55" s="294">
        <v>344790.04</v>
      </c>
      <c r="TR55" s="294">
        <v>344346.37</v>
      </c>
      <c r="TS55" s="294">
        <v>151080</v>
      </c>
      <c r="TT55" s="294">
        <v>82400</v>
      </c>
      <c r="TU55" s="294">
        <v>186450</v>
      </c>
      <c r="TV55" s="294">
        <v>548866</v>
      </c>
      <c r="TW55" s="294">
        <v>234040</v>
      </c>
      <c r="TX55" s="294">
        <v>0</v>
      </c>
      <c r="TY55" s="294">
        <v>1295226.75</v>
      </c>
      <c r="TZ55" s="294">
        <v>208000</v>
      </c>
      <c r="UA55" s="294">
        <v>470500</v>
      </c>
      <c r="UB55" s="294">
        <v>700100</v>
      </c>
      <c r="UC55" s="294">
        <v>3219782.24</v>
      </c>
      <c r="UD55" s="294">
        <v>912220.2</v>
      </c>
      <c r="UE55" s="294">
        <v>6740093.1699999999</v>
      </c>
      <c r="UF55" s="294"/>
      <c r="UG55" s="294">
        <v>2541978.61</v>
      </c>
      <c r="UH55" s="294">
        <v>53244</v>
      </c>
      <c r="UI55" s="294">
        <v>478353.9</v>
      </c>
      <c r="UJ55" s="294">
        <v>664997</v>
      </c>
      <c r="UK55" s="294">
        <v>596478</v>
      </c>
      <c r="UL55" s="294">
        <v>166246.79999999999</v>
      </c>
      <c r="UM55" s="294">
        <v>251770</v>
      </c>
      <c r="UN55" s="294">
        <v>178039</v>
      </c>
      <c r="UO55" s="294">
        <v>1102836.5</v>
      </c>
      <c r="UP55" s="294">
        <v>32073390.620000001</v>
      </c>
      <c r="UQ55" s="294">
        <v>155748.79</v>
      </c>
      <c r="UR55" s="294"/>
      <c r="US55" s="294">
        <v>850226.48</v>
      </c>
      <c r="UT55" s="294"/>
      <c r="UU55" s="294">
        <v>271829.28999999998</v>
      </c>
      <c r="UV55" s="294">
        <v>1559967.45</v>
      </c>
      <c r="UW55" s="294">
        <v>51776</v>
      </c>
      <c r="UX55" s="294">
        <v>24600</v>
      </c>
      <c r="UY55" s="294">
        <v>551074.92000000004</v>
      </c>
      <c r="UZ55" s="294">
        <v>855720.11</v>
      </c>
      <c r="VA55" s="294">
        <v>489205</v>
      </c>
      <c r="VB55" s="294">
        <v>1171667</v>
      </c>
      <c r="VC55" s="294">
        <v>183176.94</v>
      </c>
      <c r="VD55" s="294">
        <v>112418</v>
      </c>
      <c r="VE55" s="294">
        <v>1152531.98</v>
      </c>
      <c r="VF55" s="294">
        <v>706529.77</v>
      </c>
      <c r="VG55" s="294">
        <v>286935.34999999998</v>
      </c>
      <c r="VH55" s="294">
        <v>1168438.5</v>
      </c>
      <c r="VI55" s="294">
        <v>366263.56</v>
      </c>
      <c r="VJ55" s="294">
        <v>42950</v>
      </c>
      <c r="VK55" s="294">
        <v>2653120</v>
      </c>
      <c r="VL55" s="294">
        <v>3121274.93</v>
      </c>
      <c r="VM55" s="294">
        <v>482236.01</v>
      </c>
      <c r="VN55" s="294">
        <v>569059.30000000005</v>
      </c>
      <c r="VO55" s="294">
        <v>2800000</v>
      </c>
      <c r="VP55" s="294">
        <v>0</v>
      </c>
      <c r="VQ55" s="294">
        <v>8296592.1799999997</v>
      </c>
      <c r="VR55" s="294">
        <v>909411.43</v>
      </c>
      <c r="VS55" s="294">
        <v>221883.61</v>
      </c>
      <c r="VT55" s="294">
        <v>1474170.64</v>
      </c>
      <c r="VU55" s="294">
        <v>848129.3</v>
      </c>
      <c r="VV55" s="294">
        <v>896026.68</v>
      </c>
      <c r="VW55" s="294">
        <v>7319097.4000000004</v>
      </c>
      <c r="VX55" s="294">
        <v>4231840.4600000009</v>
      </c>
      <c r="VY55" s="294">
        <v>19374.25</v>
      </c>
      <c r="VZ55" s="294">
        <v>1016484.62</v>
      </c>
      <c r="WA55" s="294">
        <v>5200292.2699999996</v>
      </c>
      <c r="WB55" s="294">
        <v>934102</v>
      </c>
      <c r="WC55" s="294">
        <v>2485501.7999999998</v>
      </c>
      <c r="WD55" s="294">
        <v>2372862</v>
      </c>
      <c r="WE55" s="294">
        <v>1.92</v>
      </c>
      <c r="WF55" s="294">
        <v>1148904.75</v>
      </c>
      <c r="WG55" s="294">
        <v>439338</v>
      </c>
      <c r="WH55" s="294">
        <v>1223237.3599999999</v>
      </c>
      <c r="WI55" s="294">
        <v>470719.62</v>
      </c>
      <c r="WJ55" s="294">
        <v>2498865.87</v>
      </c>
      <c r="WK55" s="294">
        <v>129523.41</v>
      </c>
      <c r="WL55" s="294">
        <v>1439959.16</v>
      </c>
      <c r="WM55" s="294">
        <v>382149.65</v>
      </c>
      <c r="WN55" s="294">
        <v>2923966.39</v>
      </c>
      <c r="WO55" s="294">
        <v>2692968.67</v>
      </c>
      <c r="WP55" s="294">
        <v>433654.26</v>
      </c>
      <c r="WQ55" s="294">
        <v>227009.67</v>
      </c>
      <c r="WR55" s="294">
        <v>794290</v>
      </c>
      <c r="WS55" s="294">
        <v>658367.49</v>
      </c>
      <c r="WT55" s="294">
        <v>149777.10999999999</v>
      </c>
      <c r="WU55" s="294">
        <v>2370714.7400000002</v>
      </c>
      <c r="WV55" s="294">
        <v>136750</v>
      </c>
      <c r="WW55" s="294">
        <v>2219851.1</v>
      </c>
      <c r="WX55" s="294">
        <v>299683.55</v>
      </c>
      <c r="WY55" s="294">
        <v>480624.23</v>
      </c>
      <c r="WZ55" s="294">
        <v>1849468.1199999999</v>
      </c>
      <c r="XA55" s="294">
        <v>44800</v>
      </c>
      <c r="XB55" s="294">
        <v>744127</v>
      </c>
      <c r="XC55" s="294">
        <v>0</v>
      </c>
      <c r="XD55" s="294">
        <v>1227296.3899999999</v>
      </c>
      <c r="XE55" s="294"/>
      <c r="XF55" s="294">
        <v>819113.27</v>
      </c>
      <c r="XG55" s="294">
        <v>96125</v>
      </c>
      <c r="XH55" s="294">
        <v>955747.94</v>
      </c>
      <c r="XI55" s="294">
        <v>1320525.8</v>
      </c>
      <c r="XJ55" s="294">
        <v>450437</v>
      </c>
      <c r="XK55" s="294">
        <v>5716942.8700000001</v>
      </c>
      <c r="XL55" s="294">
        <v>659693.91</v>
      </c>
      <c r="XM55" s="294">
        <v>1689399.44</v>
      </c>
      <c r="XN55" s="294">
        <v>1359702.54</v>
      </c>
      <c r="XO55" s="294">
        <v>584334.04</v>
      </c>
      <c r="XP55" s="294">
        <v>618986</v>
      </c>
      <c r="XQ55" s="294">
        <v>2139420.96</v>
      </c>
      <c r="XR55" s="294">
        <v>2853210.98</v>
      </c>
      <c r="XS55" s="294">
        <v>677273</v>
      </c>
      <c r="XT55" s="294">
        <v>169961.65</v>
      </c>
      <c r="XU55" s="294">
        <v>640951</v>
      </c>
      <c r="XV55" s="294">
        <v>1208063.3</v>
      </c>
      <c r="XW55" s="294">
        <v>363006.01</v>
      </c>
      <c r="XX55" s="294">
        <v>457900.14</v>
      </c>
      <c r="XY55" s="294">
        <v>673970.44</v>
      </c>
      <c r="XZ55" s="294">
        <v>516290.04</v>
      </c>
      <c r="YA55" s="294">
        <v>383252.89</v>
      </c>
      <c r="YB55" s="294">
        <v>349457</v>
      </c>
      <c r="YC55" s="294">
        <v>1750317.31</v>
      </c>
      <c r="YD55" s="294">
        <v>457871</v>
      </c>
      <c r="YE55" s="294">
        <v>9267641.6199999992</v>
      </c>
      <c r="YF55" s="294">
        <v>226737.38</v>
      </c>
      <c r="YG55" s="294">
        <v>5335</v>
      </c>
      <c r="YH55" s="294">
        <v>239610</v>
      </c>
      <c r="YI55" s="294">
        <v>2769805.63</v>
      </c>
      <c r="YJ55" s="294">
        <v>72200</v>
      </c>
      <c r="YK55" s="294">
        <v>0</v>
      </c>
      <c r="YL55" s="294"/>
      <c r="YM55" s="294">
        <v>786348</v>
      </c>
      <c r="YN55" s="294">
        <v>809025</v>
      </c>
      <c r="YO55" s="294">
        <v>521938</v>
      </c>
      <c r="YP55" s="294">
        <v>1157855</v>
      </c>
      <c r="YQ55" s="294">
        <v>595000</v>
      </c>
      <c r="YR55" s="294">
        <v>24100</v>
      </c>
      <c r="YS55" s="294">
        <v>344526.02</v>
      </c>
      <c r="YT55" s="294">
        <v>743499.21</v>
      </c>
      <c r="YU55" s="294">
        <v>203440</v>
      </c>
      <c r="YV55" s="294">
        <v>38182032.359999999</v>
      </c>
      <c r="YW55" s="294">
        <v>1531075</v>
      </c>
      <c r="YX55" s="294">
        <v>4068615.5799999996</v>
      </c>
      <c r="YY55" s="294"/>
      <c r="YZ55" s="294">
        <v>646984</v>
      </c>
      <c r="ZA55" s="294">
        <v>70389.790000000008</v>
      </c>
      <c r="ZB55" s="294">
        <v>161102.23000000001</v>
      </c>
      <c r="ZC55" s="294">
        <v>441491.71</v>
      </c>
      <c r="ZD55" s="294">
        <v>1386.03</v>
      </c>
      <c r="ZE55" s="294">
        <v>511421.62</v>
      </c>
      <c r="ZF55" s="294">
        <v>22500</v>
      </c>
      <c r="ZG55" s="294">
        <v>720647.62</v>
      </c>
      <c r="ZH55" s="294">
        <v>0</v>
      </c>
      <c r="ZI55" s="294">
        <v>1122093.95</v>
      </c>
      <c r="ZJ55" s="294">
        <v>1351266.46</v>
      </c>
      <c r="ZK55" s="294">
        <v>1190190.54</v>
      </c>
      <c r="ZL55" s="294">
        <v>14330227.16</v>
      </c>
      <c r="ZM55" s="294">
        <v>1581345.6</v>
      </c>
      <c r="ZN55" s="294">
        <v>211530.22</v>
      </c>
      <c r="ZO55" s="294">
        <v>3046120.56</v>
      </c>
      <c r="ZP55" s="294">
        <v>2195995.12</v>
      </c>
      <c r="ZQ55" s="294">
        <v>3820696.19</v>
      </c>
      <c r="ZR55" s="294">
        <v>186615</v>
      </c>
      <c r="ZS55" s="294">
        <v>10393860.800000001</v>
      </c>
      <c r="ZT55" s="294">
        <v>3233691.34</v>
      </c>
      <c r="ZU55" s="294">
        <v>3220263.59</v>
      </c>
      <c r="ZV55" s="294">
        <v>451250.86</v>
      </c>
      <c r="ZW55" s="294">
        <v>1205944.6099999999</v>
      </c>
      <c r="ZX55" s="294">
        <v>363173.78</v>
      </c>
      <c r="ZY55" s="294">
        <v>2017710.64</v>
      </c>
      <c r="ZZ55" s="294">
        <v>1262644.1399999999</v>
      </c>
      <c r="AAA55" s="294"/>
      <c r="AAB55" s="294">
        <v>1263110.48</v>
      </c>
      <c r="AAC55" s="294">
        <v>0</v>
      </c>
      <c r="AAD55" s="294">
        <v>2552256.04</v>
      </c>
      <c r="AAE55" s="294">
        <v>2764157.63</v>
      </c>
      <c r="AAF55" s="294">
        <v>1391146.59</v>
      </c>
      <c r="AAG55" s="294">
        <v>303699.14</v>
      </c>
      <c r="AAH55" s="294">
        <v>5270980.8499999996</v>
      </c>
      <c r="AAI55" s="294">
        <v>894335.46</v>
      </c>
      <c r="AAJ55" s="294">
        <v>128006.92</v>
      </c>
      <c r="AAK55" s="294">
        <v>1374938.95</v>
      </c>
      <c r="AAL55" s="294">
        <v>540195.48</v>
      </c>
      <c r="AAM55" s="294">
        <v>3333166.67</v>
      </c>
      <c r="AAN55" s="294">
        <v>1699834.8</v>
      </c>
      <c r="AAO55" s="294">
        <v>97130328.559999987</v>
      </c>
      <c r="AAP55" s="294">
        <v>576195</v>
      </c>
      <c r="AAQ55" s="294">
        <v>637774.25</v>
      </c>
      <c r="AAR55" s="294">
        <v>167540</v>
      </c>
      <c r="AAS55" s="294">
        <v>384700</v>
      </c>
      <c r="AAT55" s="294">
        <v>110606.22</v>
      </c>
      <c r="AAU55" s="294">
        <v>169800</v>
      </c>
      <c r="AAV55" s="294"/>
      <c r="AAW55" s="294">
        <v>3229790.25</v>
      </c>
      <c r="AAX55" s="294">
        <v>285199.23</v>
      </c>
      <c r="AAY55" s="294">
        <v>1267098.23</v>
      </c>
      <c r="AAZ55" s="294">
        <v>286000</v>
      </c>
      <c r="ABA55" s="294">
        <v>11400</v>
      </c>
      <c r="ABB55" s="294">
        <v>358730.5</v>
      </c>
      <c r="ABC55" s="294">
        <v>511856.49</v>
      </c>
      <c r="ABD55" s="294">
        <v>0</v>
      </c>
      <c r="ABE55" s="294">
        <v>704384.59</v>
      </c>
      <c r="ABF55" s="294">
        <v>6751589.1100000003</v>
      </c>
      <c r="ABG55" s="294">
        <v>512246.03</v>
      </c>
      <c r="ABH55" s="294">
        <v>3814740.44</v>
      </c>
      <c r="ABI55" s="294">
        <v>441283.22</v>
      </c>
      <c r="ABJ55" s="294">
        <v>879424.25</v>
      </c>
      <c r="ABK55" s="294">
        <v>454225.3</v>
      </c>
      <c r="ABL55" s="294"/>
      <c r="ABM55" s="294">
        <v>316182.27</v>
      </c>
      <c r="ABN55" s="294">
        <v>3000</v>
      </c>
      <c r="ABO55" s="294">
        <v>17435074.399999999</v>
      </c>
      <c r="ABP55" s="294">
        <v>5785851.1299999999</v>
      </c>
      <c r="ABQ55" s="294">
        <v>287390.75</v>
      </c>
      <c r="ABR55" s="294">
        <v>3266622.85</v>
      </c>
      <c r="ABS55" s="294">
        <v>347499.08</v>
      </c>
      <c r="ABT55" s="294">
        <v>111210.06</v>
      </c>
      <c r="ABU55" s="294">
        <v>864192.42</v>
      </c>
      <c r="ABV55" s="294">
        <v>1295424.44</v>
      </c>
      <c r="ABW55" s="294">
        <v>0</v>
      </c>
      <c r="ABX55" s="294">
        <v>4098227.7600000002</v>
      </c>
      <c r="ABY55" s="294">
        <v>287133</v>
      </c>
      <c r="ABZ55" s="294">
        <v>7947770.8499999996</v>
      </c>
      <c r="ACA55" s="294">
        <v>67740</v>
      </c>
      <c r="ACB55" s="294">
        <v>78118</v>
      </c>
      <c r="ACC55" s="294">
        <v>549021</v>
      </c>
      <c r="ACD55" s="294">
        <v>100133</v>
      </c>
      <c r="ACE55" s="294">
        <v>821667.66</v>
      </c>
      <c r="ACF55" s="294">
        <v>140796.07</v>
      </c>
      <c r="ACG55" s="294">
        <v>335994</v>
      </c>
      <c r="ACH55" s="294">
        <v>659345.93000000005</v>
      </c>
      <c r="ACI55" s="294">
        <v>160726454.21000001</v>
      </c>
      <c r="ACJ55" s="294">
        <v>225889</v>
      </c>
      <c r="ACK55" s="294">
        <v>348323.8</v>
      </c>
      <c r="ACL55" s="294"/>
      <c r="ACM55" s="294"/>
      <c r="ACN55" s="294"/>
      <c r="ACO55" s="294">
        <v>342324.27</v>
      </c>
      <c r="ACP55" s="294">
        <v>10580835.529999999</v>
      </c>
      <c r="ACQ55" s="294">
        <v>68110.740000000005</v>
      </c>
      <c r="ACR55" s="294">
        <v>293346</v>
      </c>
      <c r="ACS55" s="294">
        <v>10126236.390000001</v>
      </c>
      <c r="ACT55" s="294"/>
      <c r="ACU55" s="294"/>
      <c r="ACV55" s="294">
        <v>467530.37</v>
      </c>
      <c r="ACW55" s="294">
        <v>3163221.89</v>
      </c>
      <c r="ACX55" s="294">
        <v>1288715.29</v>
      </c>
      <c r="ACY55" s="294">
        <v>266253.75</v>
      </c>
      <c r="ACZ55" s="294">
        <v>277833.86</v>
      </c>
      <c r="ADA55" s="294">
        <v>56539.199999999997</v>
      </c>
      <c r="ADB55" s="294"/>
      <c r="ADC55" s="294">
        <v>2389090.39</v>
      </c>
      <c r="ADD55" s="294">
        <v>800000</v>
      </c>
      <c r="ADE55" s="294">
        <v>140960</v>
      </c>
      <c r="ADF55" s="294"/>
      <c r="ADG55" s="294">
        <v>1446097.86</v>
      </c>
      <c r="ADH55" s="294">
        <v>2128579.5699999998</v>
      </c>
      <c r="ADI55" s="294">
        <v>282408.51</v>
      </c>
      <c r="ADJ55" s="294"/>
      <c r="ADK55" s="294">
        <v>2393582.38</v>
      </c>
      <c r="ADL55" s="294">
        <v>1626357.2799999998</v>
      </c>
      <c r="ADM55" s="294">
        <v>79349.740000000005</v>
      </c>
      <c r="ADN55" s="294">
        <v>453489.93</v>
      </c>
      <c r="ADO55" s="294">
        <v>35896376.689999998</v>
      </c>
      <c r="ADP55" s="294">
        <v>1245542.6299999999</v>
      </c>
      <c r="ADQ55" s="294">
        <v>876588.95</v>
      </c>
      <c r="ADR55" s="294">
        <v>1389135.91</v>
      </c>
      <c r="ADS55" s="294">
        <v>9876886.8900000006</v>
      </c>
      <c r="ADT55" s="294">
        <v>17413.82</v>
      </c>
      <c r="ADU55" s="294"/>
      <c r="ADV55" s="294">
        <v>0</v>
      </c>
      <c r="ADW55" s="294">
        <v>44552.47</v>
      </c>
      <c r="ADX55" s="294">
        <v>53075</v>
      </c>
      <c r="ADY55" s="294">
        <v>157071246.38999999</v>
      </c>
      <c r="ADZ55" s="294">
        <v>6708831.4900000002</v>
      </c>
      <c r="AEA55" s="294">
        <v>419950.87</v>
      </c>
      <c r="AEB55" s="294">
        <v>1709806.07</v>
      </c>
      <c r="AEC55" s="294">
        <v>4330011.9899999993</v>
      </c>
      <c r="AED55" s="294">
        <v>2367301.6</v>
      </c>
      <c r="AEE55" s="294">
        <v>858094.69000000006</v>
      </c>
      <c r="AEF55" s="294">
        <v>235468.28</v>
      </c>
      <c r="AEG55" s="294">
        <v>975345.78</v>
      </c>
      <c r="AEH55" s="294"/>
      <c r="AEI55" s="294">
        <v>738853.12</v>
      </c>
      <c r="AEJ55" s="294"/>
      <c r="AEK55" s="294">
        <v>960672.71</v>
      </c>
      <c r="AEL55" s="294">
        <v>333200</v>
      </c>
      <c r="AEM55" s="294">
        <v>518249.01</v>
      </c>
      <c r="AEN55" s="294"/>
      <c r="AEO55" s="294">
        <v>53230</v>
      </c>
      <c r="AEP55" s="294">
        <v>480950</v>
      </c>
      <c r="AEQ55" s="294">
        <v>48690.400000000001</v>
      </c>
      <c r="AER55" s="294">
        <v>2114652.04</v>
      </c>
      <c r="AES55" s="294">
        <v>57002850.039999999</v>
      </c>
      <c r="AET55" s="294">
        <v>1206553.1099999999</v>
      </c>
      <c r="AEU55" s="294">
        <v>629111.48</v>
      </c>
      <c r="AEV55" s="294">
        <v>867835.19</v>
      </c>
      <c r="AEW55" s="294">
        <v>700483.11</v>
      </c>
      <c r="AEX55" s="294">
        <v>695345</v>
      </c>
      <c r="AEY55" s="294">
        <v>302745.58</v>
      </c>
      <c r="AEZ55" s="294">
        <v>877150.08000000007</v>
      </c>
      <c r="AFA55" s="294">
        <v>331513.02</v>
      </c>
      <c r="AFB55" s="294">
        <v>918761.38</v>
      </c>
      <c r="AFC55" s="294">
        <v>8706692.4600000009</v>
      </c>
      <c r="AFD55" s="294">
        <v>53653455.899999999</v>
      </c>
      <c r="AFE55" s="294"/>
      <c r="AFF55" s="294">
        <v>1670918.98</v>
      </c>
      <c r="AFG55" s="294"/>
      <c r="AFH55" s="294">
        <v>400678.46</v>
      </c>
      <c r="AFI55" s="294">
        <v>608273.57000000007</v>
      </c>
      <c r="AFJ55" s="294">
        <v>0</v>
      </c>
      <c r="AFK55" s="294"/>
      <c r="AFL55" s="294">
        <v>0</v>
      </c>
      <c r="AFM55" s="294">
        <v>650247.04</v>
      </c>
      <c r="AFN55" s="294">
        <v>678794.11</v>
      </c>
      <c r="AFO55" s="294">
        <v>1045309.8400000001</v>
      </c>
      <c r="AFP55" s="294">
        <v>12491371.15</v>
      </c>
      <c r="AFQ55" s="294">
        <v>44600</v>
      </c>
      <c r="AFR55" s="294">
        <v>411650.64</v>
      </c>
      <c r="AFS55" s="294">
        <v>155227.91999999998</v>
      </c>
      <c r="AFT55" s="294">
        <v>377114.28</v>
      </c>
      <c r="AFU55" s="294">
        <v>72230.039999999994</v>
      </c>
      <c r="AFV55" s="294">
        <v>21725</v>
      </c>
      <c r="AFW55" s="294">
        <v>76632.69</v>
      </c>
      <c r="AFX55" s="294"/>
      <c r="AFY55" s="294">
        <v>0</v>
      </c>
      <c r="AFZ55" s="294">
        <v>1064325</v>
      </c>
      <c r="AGA55" s="294">
        <v>4653</v>
      </c>
      <c r="AGB55" s="294">
        <v>59654017.25</v>
      </c>
      <c r="AGC55" s="294">
        <v>326147.06</v>
      </c>
      <c r="AGD55" s="294">
        <v>791112.37</v>
      </c>
      <c r="AGE55" s="294">
        <v>273568.15999999997</v>
      </c>
      <c r="AGF55" s="294">
        <v>488</v>
      </c>
      <c r="AGG55" s="294">
        <v>330370.06</v>
      </c>
      <c r="AGH55" s="294">
        <v>273727.53000000003</v>
      </c>
      <c r="AGI55" s="294">
        <v>2154987.7400000002</v>
      </c>
      <c r="AGJ55" s="294">
        <v>375731.94</v>
      </c>
      <c r="AGK55" s="294">
        <v>285127.14</v>
      </c>
      <c r="AGL55" s="294">
        <v>180607.79</v>
      </c>
      <c r="AGM55" s="294">
        <v>44661471.719999999</v>
      </c>
      <c r="AGN55" s="294">
        <v>1787201.47</v>
      </c>
      <c r="AGO55" s="294">
        <v>3257307.99</v>
      </c>
      <c r="AGP55" s="294">
        <v>66370.27</v>
      </c>
      <c r="AGQ55" s="294">
        <v>78332</v>
      </c>
      <c r="AGR55" s="294">
        <v>17331.11</v>
      </c>
      <c r="AGS55" s="294">
        <v>107728.01999999999</v>
      </c>
      <c r="AGT55" s="294">
        <v>51560</v>
      </c>
      <c r="AGU55" s="294">
        <v>2970314.71</v>
      </c>
      <c r="AGV55" s="294">
        <v>5155713.26</v>
      </c>
      <c r="AGW55" s="294">
        <v>2325386.96</v>
      </c>
      <c r="AGX55" s="294">
        <v>70709695.140000001</v>
      </c>
      <c r="AGY55" s="294">
        <v>1246560.3399999999</v>
      </c>
      <c r="AGZ55" s="294">
        <v>678931.9</v>
      </c>
      <c r="AHA55" s="294">
        <v>405321</v>
      </c>
      <c r="AHB55" s="294">
        <v>66756</v>
      </c>
      <c r="AHC55" s="294">
        <v>37665.86</v>
      </c>
      <c r="AHD55" s="294">
        <v>451050</v>
      </c>
      <c r="AHE55" s="294">
        <v>425.14</v>
      </c>
      <c r="AHF55" s="294">
        <v>404220.89</v>
      </c>
      <c r="AHG55" s="294">
        <v>119716.52</v>
      </c>
      <c r="AHH55" s="294">
        <v>431060.51</v>
      </c>
      <c r="AHI55" s="294">
        <v>164197.87</v>
      </c>
      <c r="AHJ55" s="294">
        <v>1612021.8299999998</v>
      </c>
      <c r="AHK55" s="294">
        <v>234026.22999999998</v>
      </c>
      <c r="AHL55" s="294">
        <v>1449797.58</v>
      </c>
      <c r="AHM55" s="294">
        <v>1140360</v>
      </c>
      <c r="AHN55" s="294">
        <v>381651.08</v>
      </c>
      <c r="AHO55" s="294">
        <v>65321</v>
      </c>
      <c r="AHP55" s="294">
        <v>305109.88</v>
      </c>
      <c r="AHQ55" s="294">
        <v>1414600.45</v>
      </c>
      <c r="AHR55" s="331">
        <v>233322.3</v>
      </c>
      <c r="AHS55" s="294">
        <f t="shared" si="35"/>
        <v>3027097531.9500022</v>
      </c>
    </row>
    <row r="56" spans="1:907" ht="24.6" x14ac:dyDescent="0.7">
      <c r="B56" s="268" t="s">
        <v>6059</v>
      </c>
      <c r="C56" s="269" t="s">
        <v>6060</v>
      </c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>
        <v>307620.90000000002</v>
      </c>
      <c r="DD56" s="294"/>
      <c r="DE56" s="294"/>
      <c r="DF56" s="294"/>
      <c r="DG56" s="294"/>
      <c r="DH56" s="294"/>
      <c r="DI56" s="294"/>
      <c r="DJ56" s="294"/>
      <c r="DK56" s="294">
        <v>145181823.78999999</v>
      </c>
      <c r="DL56" s="294"/>
      <c r="DM56" s="294"/>
      <c r="DN56" s="294"/>
      <c r="DO56" s="294"/>
      <c r="DP56" s="294"/>
      <c r="DQ56" s="294"/>
      <c r="DR56" s="294"/>
      <c r="DS56" s="294"/>
      <c r="DT56" s="294"/>
      <c r="DU56" s="294"/>
      <c r="DV56" s="294"/>
      <c r="DW56" s="294"/>
      <c r="DX56" s="294"/>
      <c r="DY56" s="294"/>
      <c r="DZ56" s="294"/>
      <c r="EA56" s="294"/>
      <c r="EB56" s="294"/>
      <c r="EC56" s="294"/>
      <c r="ED56" s="294"/>
      <c r="EE56" s="294"/>
      <c r="EF56" s="294"/>
      <c r="EG56" s="294"/>
      <c r="EH56" s="294"/>
      <c r="EI56" s="294"/>
      <c r="EJ56" s="294"/>
      <c r="EK56" s="294"/>
      <c r="EL56" s="294"/>
      <c r="EM56" s="294"/>
      <c r="EN56" s="294"/>
      <c r="EO56" s="294"/>
      <c r="EP56" s="294"/>
      <c r="EQ56" s="294"/>
      <c r="ER56" s="294"/>
      <c r="ES56" s="294"/>
      <c r="ET56" s="294"/>
      <c r="EU56" s="294"/>
      <c r="EV56" s="294"/>
      <c r="EW56" s="294"/>
      <c r="EX56" s="294"/>
      <c r="EY56" s="294"/>
      <c r="EZ56" s="294"/>
      <c r="FA56" s="294"/>
      <c r="FB56" s="294"/>
      <c r="FC56" s="294"/>
      <c r="FD56" s="294"/>
      <c r="FE56" s="294"/>
      <c r="FF56" s="294"/>
      <c r="FG56" s="294"/>
      <c r="FH56" s="294"/>
      <c r="FI56" s="294"/>
      <c r="FJ56" s="294"/>
      <c r="FK56" s="294"/>
      <c r="FL56" s="294"/>
      <c r="FM56" s="294"/>
      <c r="FN56" s="294"/>
      <c r="FO56" s="294"/>
      <c r="FP56" s="294"/>
      <c r="FQ56" s="294"/>
      <c r="FR56" s="294"/>
      <c r="FS56" s="294"/>
      <c r="FT56" s="294"/>
      <c r="FU56" s="294"/>
      <c r="FV56" s="294"/>
      <c r="FW56" s="294"/>
      <c r="FX56" s="294"/>
      <c r="FY56" s="294"/>
      <c r="FZ56" s="294"/>
      <c r="GA56" s="294"/>
      <c r="GB56" s="294"/>
      <c r="GC56" s="294"/>
      <c r="GD56" s="294"/>
      <c r="GE56" s="294"/>
      <c r="GF56" s="294"/>
      <c r="GG56" s="294"/>
      <c r="GH56" s="294"/>
      <c r="GI56" s="294"/>
      <c r="GJ56" s="294"/>
      <c r="GK56" s="294"/>
      <c r="GL56" s="294"/>
      <c r="GM56" s="294"/>
      <c r="GN56" s="294"/>
      <c r="GO56" s="294"/>
      <c r="GP56" s="294"/>
      <c r="GQ56" s="294"/>
      <c r="GR56" s="294"/>
      <c r="GS56" s="294"/>
      <c r="GT56" s="294"/>
      <c r="GU56" s="294"/>
      <c r="GV56" s="294"/>
      <c r="GW56" s="294"/>
      <c r="GX56" s="294"/>
      <c r="GY56" s="294">
        <v>15901.08</v>
      </c>
      <c r="GZ56" s="294"/>
      <c r="HA56" s="294"/>
      <c r="HB56" s="294"/>
      <c r="HC56" s="294"/>
      <c r="HD56" s="294"/>
      <c r="HE56" s="294"/>
      <c r="HF56" s="294"/>
      <c r="HG56" s="294"/>
      <c r="HH56" s="294"/>
      <c r="HI56" s="294"/>
      <c r="HJ56" s="294">
        <v>9901826.1600000001</v>
      </c>
      <c r="HK56" s="294"/>
      <c r="HL56" s="294"/>
      <c r="HM56" s="294"/>
      <c r="HN56" s="294"/>
      <c r="HO56" s="294"/>
      <c r="HP56" s="294"/>
      <c r="HQ56" s="294"/>
      <c r="HR56" s="294"/>
      <c r="HS56" s="294"/>
      <c r="HT56" s="294"/>
      <c r="HU56" s="294"/>
      <c r="HV56" s="294"/>
      <c r="HW56" s="294"/>
      <c r="HX56" s="294"/>
      <c r="HY56" s="294"/>
      <c r="HZ56" s="294"/>
      <c r="IA56" s="294"/>
      <c r="IB56" s="294"/>
      <c r="IC56" s="294"/>
      <c r="ID56" s="294"/>
      <c r="IE56" s="294"/>
      <c r="IF56" s="294"/>
      <c r="IG56" s="294"/>
      <c r="IH56" s="294"/>
      <c r="II56" s="294"/>
      <c r="IJ56" s="294"/>
      <c r="IK56" s="294"/>
      <c r="IL56" s="294"/>
      <c r="IM56" s="294"/>
      <c r="IN56" s="294"/>
      <c r="IO56" s="294"/>
      <c r="IP56" s="294"/>
      <c r="IQ56" s="294"/>
      <c r="IR56" s="294"/>
      <c r="IS56" s="294"/>
      <c r="IT56" s="294"/>
      <c r="IU56" s="294"/>
      <c r="IV56" s="294"/>
      <c r="IW56" s="294"/>
      <c r="IX56" s="294"/>
      <c r="IY56" s="294"/>
      <c r="IZ56" s="294"/>
      <c r="JA56" s="294"/>
      <c r="JB56" s="294"/>
      <c r="JC56" s="294"/>
      <c r="JD56" s="294"/>
      <c r="JE56" s="294"/>
      <c r="JF56" s="294">
        <v>25535.64</v>
      </c>
      <c r="JG56" s="294"/>
      <c r="JH56" s="294"/>
      <c r="JI56" s="294"/>
      <c r="JJ56" s="294"/>
      <c r="JK56" s="294"/>
      <c r="JL56" s="294"/>
      <c r="JM56" s="294"/>
      <c r="JN56" s="294">
        <v>31222091.420000002</v>
      </c>
      <c r="JO56" s="294"/>
      <c r="JP56" s="294"/>
      <c r="JQ56" s="294"/>
      <c r="JR56" s="294"/>
      <c r="JS56" s="294"/>
      <c r="JT56" s="294"/>
      <c r="JU56" s="294"/>
      <c r="JV56" s="294"/>
      <c r="JW56" s="294"/>
      <c r="JX56" s="294"/>
      <c r="JY56" s="294"/>
      <c r="JZ56" s="294"/>
      <c r="KA56" s="294"/>
      <c r="KB56" s="294"/>
      <c r="KC56" s="294"/>
      <c r="KD56" s="294"/>
      <c r="KE56" s="294"/>
      <c r="KF56" s="294"/>
      <c r="KG56" s="294"/>
      <c r="KH56" s="294"/>
      <c r="KI56" s="294"/>
      <c r="KJ56" s="294"/>
      <c r="KK56" s="294"/>
      <c r="KL56" s="294"/>
      <c r="KM56" s="294"/>
      <c r="KN56" s="294"/>
      <c r="KO56" s="294"/>
      <c r="KP56" s="294"/>
      <c r="KQ56" s="294">
        <v>1000000</v>
      </c>
      <c r="KR56" s="294"/>
      <c r="KS56" s="294"/>
      <c r="KT56" s="294"/>
      <c r="KU56" s="294"/>
      <c r="KV56" s="294"/>
      <c r="KW56" s="294">
        <v>117112.43</v>
      </c>
      <c r="KX56" s="294"/>
      <c r="KY56" s="294">
        <v>5504934.5800000001</v>
      </c>
      <c r="KZ56" s="294"/>
      <c r="LA56" s="294"/>
      <c r="LB56" s="294"/>
      <c r="LC56" s="294"/>
      <c r="LD56" s="294"/>
      <c r="LE56" s="294"/>
      <c r="LF56" s="294"/>
      <c r="LG56" s="294"/>
      <c r="LH56" s="294"/>
      <c r="LI56" s="294"/>
      <c r="LJ56" s="294"/>
      <c r="LK56" s="294"/>
      <c r="LL56" s="294"/>
      <c r="LM56" s="294"/>
      <c r="LN56" s="294"/>
      <c r="LO56" s="294"/>
      <c r="LP56" s="294"/>
      <c r="LQ56" s="294"/>
      <c r="LR56" s="294"/>
      <c r="LS56" s="294"/>
      <c r="LT56" s="294"/>
      <c r="LU56" s="294"/>
      <c r="LV56" s="294"/>
      <c r="LW56" s="294">
        <v>1144343.92</v>
      </c>
      <c r="LX56" s="294"/>
      <c r="LY56" s="294"/>
      <c r="LZ56" s="294"/>
      <c r="MA56" s="294"/>
      <c r="MB56" s="294"/>
      <c r="MC56" s="294"/>
      <c r="MD56" s="294"/>
      <c r="ME56" s="294"/>
      <c r="MF56" s="294"/>
      <c r="MG56" s="294"/>
      <c r="MH56" s="294"/>
      <c r="MI56" s="294"/>
      <c r="MJ56" s="294"/>
      <c r="MK56" s="294"/>
      <c r="ML56" s="294"/>
      <c r="MM56" s="294"/>
      <c r="MN56" s="294"/>
      <c r="MO56" s="294"/>
      <c r="MP56" s="294"/>
      <c r="MQ56" s="294"/>
      <c r="MR56" s="294"/>
      <c r="MS56" s="294"/>
      <c r="MT56" s="294"/>
      <c r="MU56" s="294"/>
      <c r="MV56" s="294"/>
      <c r="MW56" s="294"/>
      <c r="MX56" s="294"/>
      <c r="MY56" s="294"/>
      <c r="MZ56" s="294"/>
      <c r="NA56" s="294"/>
      <c r="NB56" s="294"/>
      <c r="NC56" s="294"/>
      <c r="ND56" s="294"/>
      <c r="NE56" s="294"/>
      <c r="NF56" s="294"/>
      <c r="NG56" s="294"/>
      <c r="NH56" s="294"/>
      <c r="NI56" s="294"/>
      <c r="NJ56" s="294"/>
      <c r="NK56" s="294"/>
      <c r="NL56" s="294"/>
      <c r="NM56" s="294"/>
      <c r="NN56" s="294"/>
      <c r="NO56" s="294"/>
      <c r="NP56" s="294"/>
      <c r="NQ56" s="294"/>
      <c r="NR56" s="294"/>
      <c r="NS56" s="294"/>
      <c r="NT56" s="294"/>
      <c r="NU56" s="294"/>
      <c r="NV56" s="294"/>
      <c r="NW56" s="294"/>
      <c r="NX56" s="294"/>
      <c r="NY56" s="294"/>
      <c r="NZ56" s="294"/>
      <c r="OA56" s="294"/>
      <c r="OB56" s="294"/>
      <c r="OC56" s="294"/>
      <c r="OD56" s="294"/>
      <c r="OE56" s="294"/>
      <c r="OF56" s="294"/>
      <c r="OG56" s="294"/>
      <c r="OH56" s="294"/>
      <c r="OI56" s="294"/>
      <c r="OJ56" s="294"/>
      <c r="OK56" s="294"/>
      <c r="OL56" s="294"/>
      <c r="OM56" s="294"/>
      <c r="ON56" s="294"/>
      <c r="OO56" s="294"/>
      <c r="OP56" s="294"/>
      <c r="OQ56" s="294"/>
      <c r="OR56" s="294"/>
      <c r="OS56" s="294"/>
      <c r="OT56" s="294"/>
      <c r="OU56" s="294"/>
      <c r="OV56" s="294"/>
      <c r="OW56" s="294"/>
      <c r="OX56" s="294"/>
      <c r="OY56" s="294"/>
      <c r="OZ56" s="294"/>
      <c r="PA56" s="294"/>
      <c r="PB56" s="294"/>
      <c r="PC56" s="294"/>
      <c r="PD56" s="294"/>
      <c r="PE56" s="294"/>
      <c r="PF56" s="294"/>
      <c r="PG56" s="294"/>
      <c r="PH56" s="294"/>
      <c r="PI56" s="294"/>
      <c r="PJ56" s="294"/>
      <c r="PK56" s="294"/>
      <c r="PL56" s="294"/>
      <c r="PM56" s="294"/>
      <c r="PN56" s="294"/>
      <c r="PO56" s="294"/>
      <c r="PP56" s="294"/>
      <c r="PQ56" s="294"/>
      <c r="PR56" s="294"/>
      <c r="PS56" s="294"/>
      <c r="PT56" s="294"/>
      <c r="PU56" s="294"/>
      <c r="PV56" s="294"/>
      <c r="PW56" s="294"/>
      <c r="PX56" s="294"/>
      <c r="PY56" s="294"/>
      <c r="PZ56" s="294"/>
      <c r="QA56" s="294"/>
      <c r="QB56" s="294"/>
      <c r="QC56" s="294"/>
      <c r="QD56" s="294"/>
      <c r="QE56" s="294"/>
      <c r="QF56" s="294"/>
      <c r="QG56" s="294"/>
      <c r="QH56" s="294"/>
      <c r="QI56" s="294"/>
      <c r="QJ56" s="294"/>
      <c r="QK56" s="294"/>
      <c r="QL56" s="294"/>
      <c r="QM56" s="294"/>
      <c r="QN56" s="294"/>
      <c r="QO56" s="294"/>
      <c r="QP56" s="294"/>
      <c r="QQ56" s="294"/>
      <c r="QR56" s="294"/>
      <c r="QS56" s="294"/>
      <c r="QT56" s="294">
        <v>1269656.3400000001</v>
      </c>
      <c r="QU56" s="294"/>
      <c r="QV56" s="294"/>
      <c r="QW56" s="294"/>
      <c r="QX56" s="294"/>
      <c r="QY56" s="294"/>
      <c r="QZ56" s="294"/>
      <c r="RA56" s="294"/>
      <c r="RB56" s="294"/>
      <c r="RC56" s="294"/>
      <c r="RD56" s="294"/>
      <c r="RE56" s="294"/>
      <c r="RF56" s="294"/>
      <c r="RG56" s="294"/>
      <c r="RH56" s="294"/>
      <c r="RI56" s="294"/>
      <c r="RJ56" s="294"/>
      <c r="RK56" s="294"/>
      <c r="RL56" s="294"/>
      <c r="RM56" s="294"/>
      <c r="RN56" s="294"/>
      <c r="RO56" s="294"/>
      <c r="RP56" s="294"/>
      <c r="RQ56" s="294"/>
      <c r="RR56" s="294"/>
      <c r="RS56" s="294"/>
      <c r="RT56" s="294"/>
      <c r="RU56" s="294"/>
      <c r="RV56" s="294"/>
      <c r="RW56" s="294"/>
      <c r="RX56" s="294"/>
      <c r="RY56" s="294"/>
      <c r="RZ56" s="294"/>
      <c r="SA56" s="294"/>
      <c r="SB56" s="294"/>
      <c r="SC56" s="294"/>
      <c r="SD56" s="294"/>
      <c r="SE56" s="294"/>
      <c r="SF56" s="294"/>
      <c r="SG56" s="294"/>
      <c r="SH56" s="294"/>
      <c r="SI56" s="294"/>
      <c r="SJ56" s="294"/>
      <c r="SK56" s="294"/>
      <c r="SL56" s="294"/>
      <c r="SM56" s="294"/>
      <c r="SN56" s="294"/>
      <c r="SO56" s="294"/>
      <c r="SP56" s="294"/>
      <c r="SQ56" s="294"/>
      <c r="SR56" s="294"/>
      <c r="SS56" s="294"/>
      <c r="ST56" s="294"/>
      <c r="SU56" s="294"/>
      <c r="SV56" s="294"/>
      <c r="SW56" s="294"/>
      <c r="SX56" s="294"/>
      <c r="SY56" s="294"/>
      <c r="SZ56" s="294"/>
      <c r="TA56" s="294"/>
      <c r="TB56" s="294"/>
      <c r="TC56" s="294"/>
      <c r="TD56" s="294"/>
      <c r="TE56" s="294"/>
      <c r="TF56" s="294"/>
      <c r="TG56" s="294"/>
      <c r="TH56" s="294"/>
      <c r="TI56" s="294"/>
      <c r="TJ56" s="294"/>
      <c r="TK56" s="294"/>
      <c r="TL56" s="294"/>
      <c r="TM56" s="294"/>
      <c r="TN56" s="294"/>
      <c r="TO56" s="294"/>
      <c r="TP56" s="294"/>
      <c r="TQ56" s="294"/>
      <c r="TR56" s="294"/>
      <c r="TS56" s="294"/>
      <c r="TT56" s="294"/>
      <c r="TU56" s="294"/>
      <c r="TV56" s="294"/>
      <c r="TW56" s="294"/>
      <c r="TX56" s="294"/>
      <c r="TY56" s="294"/>
      <c r="TZ56" s="294"/>
      <c r="UA56" s="294"/>
      <c r="UB56" s="294"/>
      <c r="UC56" s="294"/>
      <c r="UD56" s="294"/>
      <c r="UE56" s="294"/>
      <c r="UF56" s="294"/>
      <c r="UG56" s="294"/>
      <c r="UH56" s="294"/>
      <c r="UI56" s="294"/>
      <c r="UJ56" s="294"/>
      <c r="UK56" s="294"/>
      <c r="UL56" s="294"/>
      <c r="UM56" s="294"/>
      <c r="UN56" s="294"/>
      <c r="UO56" s="294"/>
      <c r="UP56" s="294"/>
      <c r="UQ56" s="294"/>
      <c r="UR56" s="294"/>
      <c r="US56" s="294"/>
      <c r="UT56" s="294"/>
      <c r="UU56" s="294"/>
      <c r="UV56" s="294"/>
      <c r="UW56" s="294"/>
      <c r="UX56" s="294"/>
      <c r="UY56" s="294"/>
      <c r="UZ56" s="294"/>
      <c r="VA56" s="294"/>
      <c r="VB56" s="294"/>
      <c r="VC56" s="294"/>
      <c r="VD56" s="294"/>
      <c r="VE56" s="294"/>
      <c r="VF56" s="294"/>
      <c r="VG56" s="294"/>
      <c r="VH56" s="294"/>
      <c r="VI56" s="294"/>
      <c r="VJ56" s="294"/>
      <c r="VK56" s="294"/>
      <c r="VL56" s="294"/>
      <c r="VM56" s="294"/>
      <c r="VN56" s="294"/>
      <c r="VO56" s="294"/>
      <c r="VP56" s="294"/>
      <c r="VQ56" s="294"/>
      <c r="VR56" s="294"/>
      <c r="VS56" s="294"/>
      <c r="VT56" s="294"/>
      <c r="VU56" s="294"/>
      <c r="VV56" s="294"/>
      <c r="VW56" s="294"/>
      <c r="VX56" s="294"/>
      <c r="VY56" s="294"/>
      <c r="VZ56" s="294"/>
      <c r="WA56" s="294"/>
      <c r="WB56" s="294"/>
      <c r="WC56" s="294"/>
      <c r="WD56" s="294"/>
      <c r="WE56" s="294"/>
      <c r="WF56" s="294"/>
      <c r="WG56" s="294"/>
      <c r="WH56" s="294"/>
      <c r="WI56" s="294"/>
      <c r="WJ56" s="294"/>
      <c r="WK56" s="294"/>
      <c r="WL56" s="294"/>
      <c r="WM56" s="294"/>
      <c r="WN56" s="294"/>
      <c r="WO56" s="294"/>
      <c r="WP56" s="294"/>
      <c r="WQ56" s="294"/>
      <c r="WR56" s="294"/>
      <c r="WS56" s="294"/>
      <c r="WT56" s="294"/>
      <c r="WU56" s="294"/>
      <c r="WV56" s="294"/>
      <c r="WW56" s="294"/>
      <c r="WX56" s="294"/>
      <c r="WY56" s="294"/>
      <c r="WZ56" s="294"/>
      <c r="XA56" s="294"/>
      <c r="XB56" s="294"/>
      <c r="XC56" s="294"/>
      <c r="XD56" s="294"/>
      <c r="XE56" s="294"/>
      <c r="XF56" s="294"/>
      <c r="XG56" s="294"/>
      <c r="XH56" s="294"/>
      <c r="XI56" s="294"/>
      <c r="XJ56" s="294"/>
      <c r="XK56" s="294"/>
      <c r="XL56" s="294"/>
      <c r="XM56" s="294"/>
      <c r="XN56" s="294"/>
      <c r="XO56" s="294"/>
      <c r="XP56" s="294"/>
      <c r="XQ56" s="294"/>
      <c r="XR56" s="294"/>
      <c r="XS56" s="294"/>
      <c r="XT56" s="294"/>
      <c r="XU56" s="294"/>
      <c r="XV56" s="294"/>
      <c r="XW56" s="294"/>
      <c r="XX56" s="294"/>
      <c r="XY56" s="294"/>
      <c r="XZ56" s="294"/>
      <c r="YA56" s="294"/>
      <c r="YB56" s="294"/>
      <c r="YC56" s="294"/>
      <c r="YD56" s="294"/>
      <c r="YE56" s="294"/>
      <c r="YF56" s="294"/>
      <c r="YG56" s="294"/>
      <c r="YH56" s="294"/>
      <c r="YI56" s="294"/>
      <c r="YJ56" s="294"/>
      <c r="YK56" s="294"/>
      <c r="YL56" s="294"/>
      <c r="YM56" s="294"/>
      <c r="YN56" s="294"/>
      <c r="YO56" s="294"/>
      <c r="YP56" s="294"/>
      <c r="YQ56" s="294"/>
      <c r="YR56" s="294"/>
      <c r="YS56" s="294"/>
      <c r="YT56" s="294"/>
      <c r="YU56" s="294"/>
      <c r="YV56" s="294"/>
      <c r="YW56" s="294"/>
      <c r="YX56" s="294"/>
      <c r="YY56" s="294"/>
      <c r="YZ56" s="294"/>
      <c r="ZA56" s="294"/>
      <c r="ZB56" s="294"/>
      <c r="ZC56" s="294"/>
      <c r="ZD56" s="294"/>
      <c r="ZE56" s="294"/>
      <c r="ZF56" s="294"/>
      <c r="ZG56" s="294"/>
      <c r="ZH56" s="294"/>
      <c r="ZI56" s="294"/>
      <c r="ZJ56" s="294"/>
      <c r="ZK56" s="294"/>
      <c r="ZL56" s="294"/>
      <c r="ZM56" s="294"/>
      <c r="ZN56" s="294"/>
      <c r="ZO56" s="294"/>
      <c r="ZP56" s="294"/>
      <c r="ZQ56" s="294"/>
      <c r="ZR56" s="294"/>
      <c r="ZS56" s="294"/>
      <c r="ZT56" s="294"/>
      <c r="ZU56" s="294"/>
      <c r="ZV56" s="294"/>
      <c r="ZW56" s="294"/>
      <c r="ZX56" s="294"/>
      <c r="ZY56" s="294"/>
      <c r="ZZ56" s="294"/>
      <c r="AAA56" s="294"/>
      <c r="AAB56" s="294"/>
      <c r="AAC56" s="294"/>
      <c r="AAD56" s="294"/>
      <c r="AAE56" s="294"/>
      <c r="AAF56" s="294"/>
      <c r="AAG56" s="294"/>
      <c r="AAH56" s="294"/>
      <c r="AAI56" s="294"/>
      <c r="AAJ56" s="294"/>
      <c r="AAK56" s="294"/>
      <c r="AAL56" s="294"/>
      <c r="AAM56" s="294"/>
      <c r="AAN56" s="294"/>
      <c r="AAO56" s="294"/>
      <c r="AAP56" s="294"/>
      <c r="AAQ56" s="294"/>
      <c r="AAR56" s="294"/>
      <c r="AAS56" s="294"/>
      <c r="AAT56" s="294"/>
      <c r="AAU56" s="294"/>
      <c r="AAV56" s="294"/>
      <c r="AAW56" s="294"/>
      <c r="AAX56" s="294"/>
      <c r="AAY56" s="294"/>
      <c r="AAZ56" s="294"/>
      <c r="ABA56" s="294"/>
      <c r="ABB56" s="294"/>
      <c r="ABC56" s="294">
        <v>0</v>
      </c>
      <c r="ABD56" s="294"/>
      <c r="ABE56" s="294"/>
      <c r="ABF56" s="294"/>
      <c r="ABG56" s="294"/>
      <c r="ABH56" s="294"/>
      <c r="ABI56" s="294"/>
      <c r="ABJ56" s="294"/>
      <c r="ABK56" s="294">
        <v>0</v>
      </c>
      <c r="ABL56" s="294"/>
      <c r="ABM56" s="294"/>
      <c r="ABN56" s="294"/>
      <c r="ABO56" s="294"/>
      <c r="ABP56" s="294"/>
      <c r="ABQ56" s="294"/>
      <c r="ABR56" s="294"/>
      <c r="ABS56" s="294"/>
      <c r="ABT56" s="294"/>
      <c r="ABU56" s="294"/>
      <c r="ABV56" s="294"/>
      <c r="ABW56" s="294"/>
      <c r="ABX56" s="294"/>
      <c r="ABY56" s="294"/>
      <c r="ABZ56" s="294"/>
      <c r="ACA56" s="294"/>
      <c r="ACB56" s="294"/>
      <c r="ACC56" s="294"/>
      <c r="ACD56" s="294"/>
      <c r="ACE56" s="294"/>
      <c r="ACF56" s="294"/>
      <c r="ACG56" s="294"/>
      <c r="ACH56" s="294"/>
      <c r="ACI56" s="294">
        <v>473497.44</v>
      </c>
      <c r="ACJ56" s="294"/>
      <c r="ACK56" s="294"/>
      <c r="ACL56" s="294"/>
      <c r="ACM56" s="294"/>
      <c r="ACN56" s="294"/>
      <c r="ACO56" s="294"/>
      <c r="ACP56" s="294"/>
      <c r="ACQ56" s="294"/>
      <c r="ACR56" s="294"/>
      <c r="ACS56" s="294"/>
      <c r="ACT56" s="294"/>
      <c r="ACU56" s="294"/>
      <c r="ACV56" s="294"/>
      <c r="ACW56" s="294"/>
      <c r="ACX56" s="294"/>
      <c r="ACY56" s="294"/>
      <c r="ACZ56" s="294"/>
      <c r="ADA56" s="294"/>
      <c r="ADB56" s="294"/>
      <c r="ADC56" s="294"/>
      <c r="ADD56" s="294"/>
      <c r="ADE56" s="294"/>
      <c r="ADF56" s="294"/>
      <c r="ADG56" s="294"/>
      <c r="ADH56" s="294"/>
      <c r="ADI56" s="294"/>
      <c r="ADJ56" s="294"/>
      <c r="ADK56" s="294"/>
      <c r="ADL56" s="294"/>
      <c r="ADM56" s="294"/>
      <c r="ADN56" s="294"/>
      <c r="ADO56" s="294">
        <v>421440.52</v>
      </c>
      <c r="ADP56" s="294"/>
      <c r="ADQ56" s="294"/>
      <c r="ADR56" s="294"/>
      <c r="ADS56" s="294"/>
      <c r="ADT56" s="294"/>
      <c r="ADU56" s="294"/>
      <c r="ADV56" s="294"/>
      <c r="ADW56" s="294"/>
      <c r="ADX56" s="294"/>
      <c r="ADY56" s="294">
        <v>5378935.7199999997</v>
      </c>
      <c r="ADZ56" s="294"/>
      <c r="AEA56" s="294"/>
      <c r="AEB56" s="294"/>
      <c r="AEC56" s="294"/>
      <c r="AED56" s="294"/>
      <c r="AEE56" s="294"/>
      <c r="AEF56" s="294"/>
      <c r="AEG56" s="294"/>
      <c r="AEH56" s="294"/>
      <c r="AEI56" s="294"/>
      <c r="AEJ56" s="294"/>
      <c r="AEK56" s="294"/>
      <c r="AEL56" s="294"/>
      <c r="AEM56" s="294"/>
      <c r="AEN56" s="294"/>
      <c r="AEO56" s="294"/>
      <c r="AEP56" s="294"/>
      <c r="AEQ56" s="294"/>
      <c r="AER56" s="294"/>
      <c r="AES56" s="294"/>
      <c r="AET56" s="294"/>
      <c r="AEU56" s="294"/>
      <c r="AEV56" s="294"/>
      <c r="AEW56" s="294"/>
      <c r="AEX56" s="294"/>
      <c r="AEY56" s="294"/>
      <c r="AEZ56" s="294"/>
      <c r="AFA56" s="294"/>
      <c r="AFB56" s="294"/>
      <c r="AFC56" s="294">
        <v>1789695.95</v>
      </c>
      <c r="AFD56" s="294"/>
      <c r="AFE56" s="294"/>
      <c r="AFF56" s="294"/>
      <c r="AFG56" s="294"/>
      <c r="AFH56" s="294"/>
      <c r="AFI56" s="294"/>
      <c r="AFJ56" s="294"/>
      <c r="AFK56" s="294"/>
      <c r="AFL56" s="294"/>
      <c r="AFM56" s="294"/>
      <c r="AFN56" s="294"/>
      <c r="AFO56" s="294"/>
      <c r="AFP56" s="294"/>
      <c r="AFQ56" s="294"/>
      <c r="AFR56" s="294"/>
      <c r="AFS56" s="294"/>
      <c r="AFT56" s="294"/>
      <c r="AFU56" s="294"/>
      <c r="AFV56" s="294"/>
      <c r="AFW56" s="294"/>
      <c r="AFX56" s="294"/>
      <c r="AFY56" s="294"/>
      <c r="AFZ56" s="294"/>
      <c r="AGA56" s="294"/>
      <c r="AGB56" s="294"/>
      <c r="AGC56" s="294"/>
      <c r="AGD56" s="294"/>
      <c r="AGE56" s="294"/>
      <c r="AGF56" s="294"/>
      <c r="AGG56" s="294"/>
      <c r="AGH56" s="294"/>
      <c r="AGI56" s="294"/>
      <c r="AGJ56" s="294"/>
      <c r="AGK56" s="294"/>
      <c r="AGL56" s="294"/>
      <c r="AGM56" s="294"/>
      <c r="AGN56" s="294"/>
      <c r="AGO56" s="294"/>
      <c r="AGP56" s="294"/>
      <c r="AGQ56" s="294"/>
      <c r="AGR56" s="294"/>
      <c r="AGS56" s="294"/>
      <c r="AGT56" s="294"/>
      <c r="AGU56" s="294"/>
      <c r="AGV56" s="294"/>
      <c r="AGW56" s="294"/>
      <c r="AGX56" s="294"/>
      <c r="AGY56" s="294"/>
      <c r="AGZ56" s="294"/>
      <c r="AHA56" s="294"/>
      <c r="AHB56" s="294"/>
      <c r="AHC56" s="294"/>
      <c r="AHD56" s="294"/>
      <c r="AHE56" s="294"/>
      <c r="AHF56" s="294"/>
      <c r="AHG56" s="294"/>
      <c r="AHH56" s="294"/>
      <c r="AHI56" s="294"/>
      <c r="AHJ56" s="294"/>
      <c r="AHK56" s="294"/>
      <c r="AHL56" s="294"/>
      <c r="AHM56" s="294"/>
      <c r="AHN56" s="294"/>
      <c r="AHO56" s="294"/>
      <c r="AHP56" s="294"/>
      <c r="AHQ56" s="294"/>
      <c r="AHR56" s="331"/>
      <c r="AHS56" s="294">
        <f t="shared" si="35"/>
        <v>203754415.89000002</v>
      </c>
    </row>
    <row r="57" spans="1:907" ht="24.6" x14ac:dyDescent="0.7">
      <c r="B57" s="268" t="s">
        <v>6061</v>
      </c>
      <c r="C57" s="269" t="s">
        <v>6062</v>
      </c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  <c r="DJ57" s="294"/>
      <c r="DK57" s="294"/>
      <c r="DL57" s="294"/>
      <c r="DM57" s="294"/>
      <c r="DN57" s="294"/>
      <c r="DO57" s="294"/>
      <c r="DP57" s="294"/>
      <c r="DQ57" s="294"/>
      <c r="DR57" s="294"/>
      <c r="DS57" s="294"/>
      <c r="DT57" s="294"/>
      <c r="DU57" s="294"/>
      <c r="DV57" s="294"/>
      <c r="DW57" s="294"/>
      <c r="DX57" s="294"/>
      <c r="DY57" s="294"/>
      <c r="DZ57" s="294"/>
      <c r="EA57" s="294"/>
      <c r="EB57" s="294"/>
      <c r="EC57" s="294"/>
      <c r="ED57" s="294"/>
      <c r="EE57" s="294"/>
      <c r="EF57" s="294"/>
      <c r="EG57" s="294"/>
      <c r="EH57" s="294"/>
      <c r="EI57" s="294"/>
      <c r="EJ57" s="294"/>
      <c r="EK57" s="294"/>
      <c r="EL57" s="294"/>
      <c r="EM57" s="294"/>
      <c r="EN57" s="294"/>
      <c r="EO57" s="294"/>
      <c r="EP57" s="294"/>
      <c r="EQ57" s="294"/>
      <c r="ER57" s="294"/>
      <c r="ES57" s="294"/>
      <c r="ET57" s="294"/>
      <c r="EU57" s="294"/>
      <c r="EV57" s="294"/>
      <c r="EW57" s="294"/>
      <c r="EX57" s="294"/>
      <c r="EY57" s="294"/>
      <c r="EZ57" s="294"/>
      <c r="FA57" s="294"/>
      <c r="FB57" s="294"/>
      <c r="FC57" s="294"/>
      <c r="FD57" s="294"/>
      <c r="FE57" s="294"/>
      <c r="FF57" s="294"/>
      <c r="FG57" s="294"/>
      <c r="FH57" s="294"/>
      <c r="FI57" s="294"/>
      <c r="FJ57" s="294"/>
      <c r="FK57" s="294"/>
      <c r="FL57" s="294"/>
      <c r="FM57" s="294"/>
      <c r="FN57" s="294"/>
      <c r="FO57" s="294"/>
      <c r="FP57" s="294"/>
      <c r="FQ57" s="294"/>
      <c r="FR57" s="294"/>
      <c r="FS57" s="294"/>
      <c r="FT57" s="294"/>
      <c r="FU57" s="294"/>
      <c r="FV57" s="294"/>
      <c r="FW57" s="294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  <c r="GX57" s="294"/>
      <c r="GY57" s="294"/>
      <c r="GZ57" s="294"/>
      <c r="HA57" s="294"/>
      <c r="HB57" s="294"/>
      <c r="HC57" s="294"/>
      <c r="HD57" s="294"/>
      <c r="HE57" s="294"/>
      <c r="HF57" s="294"/>
      <c r="HG57" s="294"/>
      <c r="HH57" s="294"/>
      <c r="HI57" s="294"/>
      <c r="HJ57" s="294"/>
      <c r="HK57" s="294"/>
      <c r="HL57" s="294"/>
      <c r="HM57" s="294"/>
      <c r="HN57" s="294"/>
      <c r="HO57" s="294"/>
      <c r="HP57" s="294"/>
      <c r="HQ57" s="294"/>
      <c r="HR57" s="294"/>
      <c r="HS57" s="294"/>
      <c r="HT57" s="294"/>
      <c r="HU57" s="294"/>
      <c r="HV57" s="294"/>
      <c r="HW57" s="294"/>
      <c r="HX57" s="294"/>
      <c r="HY57" s="294"/>
      <c r="HZ57" s="294"/>
      <c r="IA57" s="294"/>
      <c r="IB57" s="294"/>
      <c r="IC57" s="294"/>
      <c r="ID57" s="294"/>
      <c r="IE57" s="294"/>
      <c r="IF57" s="294"/>
      <c r="IG57" s="294"/>
      <c r="IH57" s="294"/>
      <c r="II57" s="294"/>
      <c r="IJ57" s="294"/>
      <c r="IK57" s="294"/>
      <c r="IL57" s="294"/>
      <c r="IM57" s="294"/>
      <c r="IN57" s="294"/>
      <c r="IO57" s="294"/>
      <c r="IP57" s="294"/>
      <c r="IQ57" s="294"/>
      <c r="IR57" s="294"/>
      <c r="IS57" s="294"/>
      <c r="IT57" s="294"/>
      <c r="IU57" s="294"/>
      <c r="IV57" s="294"/>
      <c r="IW57" s="294"/>
      <c r="IX57" s="294"/>
      <c r="IY57" s="294"/>
      <c r="IZ57" s="294"/>
      <c r="JA57" s="294"/>
      <c r="JB57" s="294"/>
      <c r="JC57" s="294"/>
      <c r="JD57" s="294"/>
      <c r="JE57" s="294"/>
      <c r="JF57" s="294"/>
      <c r="JG57" s="294"/>
      <c r="JH57" s="294"/>
      <c r="JI57" s="294"/>
      <c r="JJ57" s="294"/>
      <c r="JK57" s="294"/>
      <c r="JL57" s="294"/>
      <c r="JM57" s="294"/>
      <c r="JN57" s="294"/>
      <c r="JO57" s="294"/>
      <c r="JP57" s="294"/>
      <c r="JQ57" s="294"/>
      <c r="JR57" s="294"/>
      <c r="JS57" s="294"/>
      <c r="JT57" s="294"/>
      <c r="JU57" s="294"/>
      <c r="JV57" s="294"/>
      <c r="JW57" s="294"/>
      <c r="JX57" s="294"/>
      <c r="JY57" s="294"/>
      <c r="JZ57" s="294"/>
      <c r="KA57" s="294"/>
      <c r="KB57" s="294"/>
      <c r="KC57" s="294"/>
      <c r="KD57" s="294"/>
      <c r="KE57" s="294"/>
      <c r="KF57" s="294"/>
      <c r="KG57" s="294"/>
      <c r="KH57" s="294"/>
      <c r="KI57" s="294"/>
      <c r="KJ57" s="294"/>
      <c r="KK57" s="294"/>
      <c r="KL57" s="294"/>
      <c r="KM57" s="294"/>
      <c r="KN57" s="294"/>
      <c r="KO57" s="294"/>
      <c r="KP57" s="294"/>
      <c r="KQ57" s="294"/>
      <c r="KR57" s="294"/>
      <c r="KS57" s="294"/>
      <c r="KT57" s="294"/>
      <c r="KU57" s="294"/>
      <c r="KV57" s="294"/>
      <c r="KW57" s="294"/>
      <c r="KX57" s="294"/>
      <c r="KY57" s="294"/>
      <c r="KZ57" s="294"/>
      <c r="LA57" s="294"/>
      <c r="LB57" s="294"/>
      <c r="LC57" s="294"/>
      <c r="LD57" s="294"/>
      <c r="LE57" s="294"/>
      <c r="LF57" s="294"/>
      <c r="LG57" s="294"/>
      <c r="LH57" s="294">
        <v>481328.78</v>
      </c>
      <c r="LI57" s="294"/>
      <c r="LJ57" s="294"/>
      <c r="LK57" s="294"/>
      <c r="LL57" s="294"/>
      <c r="LM57" s="294"/>
      <c r="LN57" s="294"/>
      <c r="LO57" s="294"/>
      <c r="LP57" s="294"/>
      <c r="LQ57" s="294"/>
      <c r="LR57" s="294"/>
      <c r="LS57" s="294"/>
      <c r="LT57" s="294"/>
      <c r="LU57" s="294"/>
      <c r="LV57" s="294"/>
      <c r="LW57" s="294"/>
      <c r="LX57" s="294"/>
      <c r="LY57" s="294"/>
      <c r="LZ57" s="294"/>
      <c r="MA57" s="294"/>
      <c r="MB57" s="294"/>
      <c r="MC57" s="294"/>
      <c r="MD57" s="294"/>
      <c r="ME57" s="294"/>
      <c r="MF57" s="294"/>
      <c r="MG57" s="294"/>
      <c r="MH57" s="294"/>
      <c r="MI57" s="294"/>
      <c r="MJ57" s="294"/>
      <c r="MK57" s="294"/>
      <c r="ML57" s="294"/>
      <c r="MM57" s="294"/>
      <c r="MN57" s="294"/>
      <c r="MO57" s="294"/>
      <c r="MP57" s="294"/>
      <c r="MQ57" s="294"/>
      <c r="MR57" s="294"/>
      <c r="MS57" s="294"/>
      <c r="MT57" s="294"/>
      <c r="MU57" s="294"/>
      <c r="MV57" s="294"/>
      <c r="MW57" s="294"/>
      <c r="MX57" s="294"/>
      <c r="MY57" s="294"/>
      <c r="MZ57" s="294"/>
      <c r="NA57" s="294"/>
      <c r="NB57" s="294"/>
      <c r="NC57" s="294"/>
      <c r="ND57" s="294"/>
      <c r="NE57" s="294"/>
      <c r="NF57" s="294"/>
      <c r="NG57" s="294"/>
      <c r="NH57" s="294"/>
      <c r="NI57" s="294"/>
      <c r="NJ57" s="294"/>
      <c r="NK57" s="294"/>
      <c r="NL57" s="294"/>
      <c r="NM57" s="294"/>
      <c r="NN57" s="294"/>
      <c r="NO57" s="294"/>
      <c r="NP57" s="294"/>
      <c r="NQ57" s="294"/>
      <c r="NR57" s="294"/>
      <c r="NS57" s="294"/>
      <c r="NT57" s="294"/>
      <c r="NU57" s="294"/>
      <c r="NV57" s="294"/>
      <c r="NW57" s="294"/>
      <c r="NX57" s="294"/>
      <c r="NY57" s="294"/>
      <c r="NZ57" s="294"/>
      <c r="OA57" s="294"/>
      <c r="OB57" s="294"/>
      <c r="OC57" s="294"/>
      <c r="OD57" s="294"/>
      <c r="OE57" s="294"/>
      <c r="OF57" s="294"/>
      <c r="OG57" s="294"/>
      <c r="OH57" s="294"/>
      <c r="OI57" s="294"/>
      <c r="OJ57" s="294"/>
      <c r="OK57" s="294"/>
      <c r="OL57" s="294"/>
      <c r="OM57" s="294"/>
      <c r="ON57" s="294"/>
      <c r="OO57" s="294"/>
      <c r="OP57" s="294"/>
      <c r="OQ57" s="294"/>
      <c r="OR57" s="294"/>
      <c r="OS57" s="294"/>
      <c r="OT57" s="294"/>
      <c r="OU57" s="294"/>
      <c r="OV57" s="294"/>
      <c r="OW57" s="294"/>
      <c r="OX57" s="294"/>
      <c r="OY57" s="294"/>
      <c r="OZ57" s="294"/>
      <c r="PA57" s="294"/>
      <c r="PB57" s="294"/>
      <c r="PC57" s="294"/>
      <c r="PD57" s="294"/>
      <c r="PE57" s="294"/>
      <c r="PF57" s="294"/>
      <c r="PG57" s="294"/>
      <c r="PH57" s="294"/>
      <c r="PI57" s="294"/>
      <c r="PJ57" s="294"/>
      <c r="PK57" s="294"/>
      <c r="PL57" s="294"/>
      <c r="PM57" s="294"/>
      <c r="PN57" s="294"/>
      <c r="PO57" s="294"/>
      <c r="PP57" s="294"/>
      <c r="PQ57" s="294"/>
      <c r="PR57" s="294"/>
      <c r="PS57" s="294"/>
      <c r="PT57" s="294"/>
      <c r="PU57" s="294"/>
      <c r="PV57" s="294"/>
      <c r="PW57" s="294"/>
      <c r="PX57" s="294"/>
      <c r="PY57" s="294"/>
      <c r="PZ57" s="294"/>
      <c r="QA57" s="294"/>
      <c r="QB57" s="294"/>
      <c r="QC57" s="294"/>
      <c r="QD57" s="294"/>
      <c r="QE57" s="294"/>
      <c r="QF57" s="294"/>
      <c r="QG57" s="294"/>
      <c r="QH57" s="294"/>
      <c r="QI57" s="294"/>
      <c r="QJ57" s="294"/>
      <c r="QK57" s="294"/>
      <c r="QL57" s="294"/>
      <c r="QM57" s="294"/>
      <c r="QN57" s="294"/>
      <c r="QO57" s="294"/>
      <c r="QP57" s="294"/>
      <c r="QQ57" s="294"/>
      <c r="QR57" s="294"/>
      <c r="QS57" s="294"/>
      <c r="QT57" s="294"/>
      <c r="QU57" s="294"/>
      <c r="QV57" s="294"/>
      <c r="QW57" s="294"/>
      <c r="QX57" s="294"/>
      <c r="QY57" s="294"/>
      <c r="QZ57" s="294"/>
      <c r="RA57" s="294"/>
      <c r="RB57" s="294"/>
      <c r="RC57" s="294"/>
      <c r="RD57" s="294"/>
      <c r="RE57" s="294"/>
      <c r="RF57" s="294"/>
      <c r="RG57" s="294"/>
      <c r="RH57" s="294"/>
      <c r="RI57" s="294"/>
      <c r="RJ57" s="294"/>
      <c r="RK57" s="294"/>
      <c r="RL57" s="294"/>
      <c r="RM57" s="294"/>
      <c r="RN57" s="294"/>
      <c r="RO57" s="294"/>
      <c r="RP57" s="294"/>
      <c r="RQ57" s="294"/>
      <c r="RR57" s="294"/>
      <c r="RS57" s="294"/>
      <c r="RT57" s="294"/>
      <c r="RU57" s="294"/>
      <c r="RV57" s="294"/>
      <c r="RW57" s="294"/>
      <c r="RX57" s="294"/>
      <c r="RY57" s="294"/>
      <c r="RZ57" s="294"/>
      <c r="SA57" s="294"/>
      <c r="SB57" s="294"/>
      <c r="SC57" s="294"/>
      <c r="SD57" s="294"/>
      <c r="SE57" s="294"/>
      <c r="SF57" s="294"/>
      <c r="SG57" s="294"/>
      <c r="SH57" s="294"/>
      <c r="SI57" s="294"/>
      <c r="SJ57" s="294"/>
      <c r="SK57" s="294"/>
      <c r="SL57" s="294"/>
      <c r="SM57" s="294"/>
      <c r="SN57" s="294"/>
      <c r="SO57" s="294"/>
      <c r="SP57" s="294"/>
      <c r="SQ57" s="294"/>
      <c r="SR57" s="294"/>
      <c r="SS57" s="294"/>
      <c r="ST57" s="294"/>
      <c r="SU57" s="294"/>
      <c r="SV57" s="294"/>
      <c r="SW57" s="294"/>
      <c r="SX57" s="294"/>
      <c r="SY57" s="294"/>
      <c r="SZ57" s="294"/>
      <c r="TA57" s="294"/>
      <c r="TB57" s="294"/>
      <c r="TC57" s="294"/>
      <c r="TD57" s="294"/>
      <c r="TE57" s="294"/>
      <c r="TF57" s="294"/>
      <c r="TG57" s="294"/>
      <c r="TH57" s="294"/>
      <c r="TI57" s="294"/>
      <c r="TJ57" s="294"/>
      <c r="TK57" s="294"/>
      <c r="TL57" s="294"/>
      <c r="TM57" s="294"/>
      <c r="TN57" s="294"/>
      <c r="TO57" s="294"/>
      <c r="TP57" s="294"/>
      <c r="TQ57" s="294"/>
      <c r="TR57" s="294"/>
      <c r="TS57" s="294"/>
      <c r="TT57" s="294"/>
      <c r="TU57" s="294"/>
      <c r="TV57" s="294"/>
      <c r="TW57" s="294"/>
      <c r="TX57" s="294"/>
      <c r="TY57" s="294"/>
      <c r="TZ57" s="294"/>
      <c r="UA57" s="294"/>
      <c r="UB57" s="294"/>
      <c r="UC57" s="294"/>
      <c r="UD57" s="294"/>
      <c r="UE57" s="294"/>
      <c r="UF57" s="294"/>
      <c r="UG57" s="294"/>
      <c r="UH57" s="294"/>
      <c r="UI57" s="294"/>
      <c r="UJ57" s="294"/>
      <c r="UK57" s="294"/>
      <c r="UL57" s="294"/>
      <c r="UM57" s="294"/>
      <c r="UN57" s="294"/>
      <c r="UO57" s="294"/>
      <c r="UP57" s="294"/>
      <c r="UQ57" s="294"/>
      <c r="UR57" s="294"/>
      <c r="US57" s="294"/>
      <c r="UT57" s="294"/>
      <c r="UU57" s="294"/>
      <c r="UV57" s="294"/>
      <c r="UW57" s="294"/>
      <c r="UX57" s="294"/>
      <c r="UY57" s="294"/>
      <c r="UZ57" s="294"/>
      <c r="VA57" s="294"/>
      <c r="VB57" s="294"/>
      <c r="VC57" s="294"/>
      <c r="VD57" s="294"/>
      <c r="VE57" s="294"/>
      <c r="VF57" s="294"/>
      <c r="VG57" s="294"/>
      <c r="VH57" s="294"/>
      <c r="VI57" s="294"/>
      <c r="VJ57" s="294"/>
      <c r="VK57" s="294"/>
      <c r="VL57" s="294"/>
      <c r="VM57" s="294"/>
      <c r="VN57" s="294"/>
      <c r="VO57" s="294"/>
      <c r="VP57" s="294"/>
      <c r="VQ57" s="294"/>
      <c r="VR57" s="294"/>
      <c r="VS57" s="294"/>
      <c r="VT57" s="294"/>
      <c r="VU57" s="294"/>
      <c r="VV57" s="294"/>
      <c r="VW57" s="294"/>
      <c r="VX57" s="294"/>
      <c r="VY57" s="294"/>
      <c r="VZ57" s="294"/>
      <c r="WA57" s="294"/>
      <c r="WB57" s="294"/>
      <c r="WC57" s="294"/>
      <c r="WD57" s="294"/>
      <c r="WE57" s="294"/>
      <c r="WF57" s="294"/>
      <c r="WG57" s="294"/>
      <c r="WH57" s="294"/>
      <c r="WI57" s="294"/>
      <c r="WJ57" s="294"/>
      <c r="WK57" s="294"/>
      <c r="WL57" s="294"/>
      <c r="WM57" s="294"/>
      <c r="WN57" s="294"/>
      <c r="WO57" s="294"/>
      <c r="WP57" s="294"/>
      <c r="WQ57" s="294"/>
      <c r="WR57" s="294"/>
      <c r="WS57" s="294"/>
      <c r="WT57" s="294"/>
      <c r="WU57" s="294"/>
      <c r="WV57" s="294"/>
      <c r="WW57" s="294"/>
      <c r="WX57" s="294"/>
      <c r="WY57" s="294"/>
      <c r="WZ57" s="294"/>
      <c r="XA57" s="294"/>
      <c r="XB57" s="294"/>
      <c r="XC57" s="294"/>
      <c r="XD57" s="294"/>
      <c r="XE57" s="294"/>
      <c r="XF57" s="294"/>
      <c r="XG57" s="294"/>
      <c r="XH57" s="294"/>
      <c r="XI57" s="294"/>
      <c r="XJ57" s="294"/>
      <c r="XK57" s="294"/>
      <c r="XL57" s="294"/>
      <c r="XM57" s="294"/>
      <c r="XN57" s="294"/>
      <c r="XO57" s="294"/>
      <c r="XP57" s="294"/>
      <c r="XQ57" s="294"/>
      <c r="XR57" s="294"/>
      <c r="XS57" s="294"/>
      <c r="XT57" s="294"/>
      <c r="XU57" s="294"/>
      <c r="XV57" s="294"/>
      <c r="XW57" s="294"/>
      <c r="XX57" s="294"/>
      <c r="XY57" s="294"/>
      <c r="XZ57" s="294"/>
      <c r="YA57" s="294"/>
      <c r="YB57" s="294"/>
      <c r="YC57" s="294"/>
      <c r="YD57" s="294"/>
      <c r="YE57" s="294"/>
      <c r="YF57" s="294"/>
      <c r="YG57" s="294"/>
      <c r="YH57" s="294"/>
      <c r="YI57" s="294"/>
      <c r="YJ57" s="294"/>
      <c r="YK57" s="294"/>
      <c r="YL57" s="294"/>
      <c r="YM57" s="294"/>
      <c r="YN57" s="294"/>
      <c r="YO57" s="294"/>
      <c r="YP57" s="294"/>
      <c r="YQ57" s="294"/>
      <c r="YR57" s="294"/>
      <c r="YS57" s="294"/>
      <c r="YT57" s="294"/>
      <c r="YU57" s="294"/>
      <c r="YV57" s="294"/>
      <c r="YW57" s="294"/>
      <c r="YX57" s="294"/>
      <c r="YY57" s="294"/>
      <c r="YZ57" s="294"/>
      <c r="ZA57" s="294"/>
      <c r="ZB57" s="294"/>
      <c r="ZC57" s="294"/>
      <c r="ZD57" s="294"/>
      <c r="ZE57" s="294"/>
      <c r="ZF57" s="294"/>
      <c r="ZG57" s="294"/>
      <c r="ZH57" s="294"/>
      <c r="ZI57" s="294"/>
      <c r="ZJ57" s="294"/>
      <c r="ZK57" s="294"/>
      <c r="ZL57" s="294"/>
      <c r="ZM57" s="294"/>
      <c r="ZN57" s="294"/>
      <c r="ZO57" s="294"/>
      <c r="ZP57" s="294"/>
      <c r="ZQ57" s="294"/>
      <c r="ZR57" s="294"/>
      <c r="ZS57" s="294"/>
      <c r="ZT57" s="294"/>
      <c r="ZU57" s="294"/>
      <c r="ZV57" s="294"/>
      <c r="ZW57" s="294"/>
      <c r="ZX57" s="294"/>
      <c r="ZY57" s="294"/>
      <c r="ZZ57" s="294"/>
      <c r="AAA57" s="294"/>
      <c r="AAB57" s="294"/>
      <c r="AAC57" s="294"/>
      <c r="AAD57" s="294"/>
      <c r="AAE57" s="294"/>
      <c r="AAF57" s="294"/>
      <c r="AAG57" s="294"/>
      <c r="AAH57" s="294"/>
      <c r="AAI57" s="294"/>
      <c r="AAJ57" s="294"/>
      <c r="AAK57" s="294"/>
      <c r="AAL57" s="294"/>
      <c r="AAM57" s="294"/>
      <c r="AAN57" s="294"/>
      <c r="AAO57" s="294"/>
      <c r="AAP57" s="294"/>
      <c r="AAQ57" s="294"/>
      <c r="AAR57" s="294"/>
      <c r="AAS57" s="294"/>
      <c r="AAT57" s="294"/>
      <c r="AAU57" s="294"/>
      <c r="AAV57" s="294"/>
      <c r="AAW57" s="294"/>
      <c r="AAX57" s="294"/>
      <c r="AAY57" s="294"/>
      <c r="AAZ57" s="294"/>
      <c r="ABA57" s="294"/>
      <c r="ABB57" s="294"/>
      <c r="ABC57" s="294">
        <v>0</v>
      </c>
      <c r="ABD57" s="294"/>
      <c r="ABE57" s="294"/>
      <c r="ABF57" s="294"/>
      <c r="ABG57" s="294"/>
      <c r="ABH57" s="294"/>
      <c r="ABI57" s="294"/>
      <c r="ABJ57" s="294"/>
      <c r="ABK57" s="294">
        <v>0</v>
      </c>
      <c r="ABL57" s="294"/>
      <c r="ABM57" s="294"/>
      <c r="ABN57" s="294"/>
      <c r="ABO57" s="294"/>
      <c r="ABP57" s="294"/>
      <c r="ABQ57" s="294"/>
      <c r="ABR57" s="294"/>
      <c r="ABS57" s="294"/>
      <c r="ABT57" s="294"/>
      <c r="ABU57" s="294"/>
      <c r="ABV57" s="294"/>
      <c r="ABW57" s="294"/>
      <c r="ABX57" s="294"/>
      <c r="ABY57" s="294"/>
      <c r="ABZ57" s="294"/>
      <c r="ACA57" s="294"/>
      <c r="ACB57" s="294"/>
      <c r="ACC57" s="294"/>
      <c r="ACD57" s="294"/>
      <c r="ACE57" s="294"/>
      <c r="ACF57" s="294"/>
      <c r="ACG57" s="294"/>
      <c r="ACH57" s="294"/>
      <c r="ACI57" s="294"/>
      <c r="ACJ57" s="294"/>
      <c r="ACK57" s="294"/>
      <c r="ACL57" s="294"/>
      <c r="ACM57" s="294"/>
      <c r="ACN57" s="294"/>
      <c r="ACO57" s="294"/>
      <c r="ACP57" s="294"/>
      <c r="ACQ57" s="294"/>
      <c r="ACR57" s="294"/>
      <c r="ACS57" s="294"/>
      <c r="ACT57" s="294"/>
      <c r="ACU57" s="294"/>
      <c r="ACV57" s="294"/>
      <c r="ACW57" s="294"/>
      <c r="ACX57" s="294"/>
      <c r="ACY57" s="294"/>
      <c r="ACZ57" s="294"/>
      <c r="ADA57" s="294"/>
      <c r="ADB57" s="294"/>
      <c r="ADC57" s="294"/>
      <c r="ADD57" s="294"/>
      <c r="ADE57" s="294"/>
      <c r="ADF57" s="294"/>
      <c r="ADG57" s="294"/>
      <c r="ADH57" s="294"/>
      <c r="ADI57" s="294"/>
      <c r="ADJ57" s="294"/>
      <c r="ADK57" s="294"/>
      <c r="ADL57" s="294"/>
      <c r="ADM57" s="294"/>
      <c r="ADN57" s="294"/>
      <c r="ADO57" s="294"/>
      <c r="ADP57" s="294"/>
      <c r="ADQ57" s="294"/>
      <c r="ADR57" s="294"/>
      <c r="ADS57" s="294"/>
      <c r="ADT57" s="294"/>
      <c r="ADU57" s="294"/>
      <c r="ADV57" s="294"/>
      <c r="ADW57" s="294"/>
      <c r="ADX57" s="294"/>
      <c r="ADY57" s="294"/>
      <c r="ADZ57" s="294"/>
      <c r="AEA57" s="294"/>
      <c r="AEB57" s="294"/>
      <c r="AEC57" s="294"/>
      <c r="AED57" s="294"/>
      <c r="AEE57" s="294"/>
      <c r="AEF57" s="294"/>
      <c r="AEG57" s="294"/>
      <c r="AEH57" s="294"/>
      <c r="AEI57" s="294"/>
      <c r="AEJ57" s="294"/>
      <c r="AEK57" s="294"/>
      <c r="AEL57" s="294"/>
      <c r="AEM57" s="294"/>
      <c r="AEN57" s="294"/>
      <c r="AEO57" s="294"/>
      <c r="AEP57" s="294"/>
      <c r="AEQ57" s="294"/>
      <c r="AER57" s="294"/>
      <c r="AES57" s="294"/>
      <c r="AET57" s="294"/>
      <c r="AEU57" s="294"/>
      <c r="AEV57" s="294"/>
      <c r="AEW57" s="294"/>
      <c r="AEX57" s="294"/>
      <c r="AEY57" s="294"/>
      <c r="AEZ57" s="294"/>
      <c r="AFA57" s="294"/>
      <c r="AFB57" s="294"/>
      <c r="AFC57" s="294"/>
      <c r="AFD57" s="294"/>
      <c r="AFE57" s="294"/>
      <c r="AFF57" s="294"/>
      <c r="AFG57" s="294"/>
      <c r="AFH57" s="294"/>
      <c r="AFI57" s="294"/>
      <c r="AFJ57" s="294"/>
      <c r="AFK57" s="294"/>
      <c r="AFL57" s="294"/>
      <c r="AFM57" s="294"/>
      <c r="AFN57" s="294"/>
      <c r="AFO57" s="294"/>
      <c r="AFP57" s="294"/>
      <c r="AFQ57" s="294"/>
      <c r="AFR57" s="294"/>
      <c r="AFS57" s="294"/>
      <c r="AFT57" s="294"/>
      <c r="AFU57" s="294"/>
      <c r="AFV57" s="294"/>
      <c r="AFW57" s="294"/>
      <c r="AFX57" s="294"/>
      <c r="AFY57" s="294"/>
      <c r="AFZ57" s="294"/>
      <c r="AGA57" s="294"/>
      <c r="AGB57" s="294"/>
      <c r="AGC57" s="294"/>
      <c r="AGD57" s="294"/>
      <c r="AGE57" s="294"/>
      <c r="AGF57" s="294"/>
      <c r="AGG57" s="294"/>
      <c r="AGH57" s="294"/>
      <c r="AGI57" s="294"/>
      <c r="AGJ57" s="294"/>
      <c r="AGK57" s="294"/>
      <c r="AGL57" s="294"/>
      <c r="AGM57" s="294"/>
      <c r="AGN57" s="294"/>
      <c r="AGO57" s="294"/>
      <c r="AGP57" s="294"/>
      <c r="AGQ57" s="294"/>
      <c r="AGR57" s="294"/>
      <c r="AGS57" s="294"/>
      <c r="AGT57" s="294"/>
      <c r="AGU57" s="294"/>
      <c r="AGV57" s="294"/>
      <c r="AGW57" s="294"/>
      <c r="AGX57" s="294"/>
      <c r="AGY57" s="294"/>
      <c r="AGZ57" s="294"/>
      <c r="AHA57" s="294"/>
      <c r="AHB57" s="294"/>
      <c r="AHC57" s="294"/>
      <c r="AHD57" s="294"/>
      <c r="AHE57" s="294"/>
      <c r="AHF57" s="294"/>
      <c r="AHG57" s="294"/>
      <c r="AHH57" s="294"/>
      <c r="AHI57" s="294"/>
      <c r="AHJ57" s="294"/>
      <c r="AHK57" s="294"/>
      <c r="AHL57" s="294"/>
      <c r="AHM57" s="294"/>
      <c r="AHN57" s="294"/>
      <c r="AHO57" s="294"/>
      <c r="AHP57" s="294"/>
      <c r="AHQ57" s="294"/>
      <c r="AHR57" s="331"/>
      <c r="AHS57" s="294">
        <f t="shared" si="35"/>
        <v>481328.78</v>
      </c>
    </row>
    <row r="58" spans="1:907" ht="24.6" x14ac:dyDescent="0.7">
      <c r="B58" s="268" t="s">
        <v>44</v>
      </c>
      <c r="C58" s="269" t="s">
        <v>6322</v>
      </c>
      <c r="D58" s="294">
        <f>SUM(D44:D57)</f>
        <v>726929966.90999997</v>
      </c>
      <c r="E58" s="294">
        <f t="shared" ref="E58:BP58" si="36">SUM(E44:E57)</f>
        <v>24331484.620000001</v>
      </c>
      <c r="F58" s="294">
        <f t="shared" si="36"/>
        <v>35744936.840000004</v>
      </c>
      <c r="G58" s="294">
        <f t="shared" si="36"/>
        <v>5475209.25</v>
      </c>
      <c r="H58" s="294">
        <f t="shared" si="36"/>
        <v>39070984.009999998</v>
      </c>
      <c r="I58" s="294">
        <f t="shared" si="36"/>
        <v>7904950.1200000001</v>
      </c>
      <c r="J58" s="294">
        <f t="shared" si="36"/>
        <v>366952313.79000002</v>
      </c>
      <c r="K58" s="294">
        <f t="shared" si="36"/>
        <v>80085986.320000008</v>
      </c>
      <c r="L58" s="294">
        <f t="shared" si="36"/>
        <v>16804037.210000001</v>
      </c>
      <c r="M58" s="294">
        <f t="shared" si="36"/>
        <v>10177354.530000001</v>
      </c>
      <c r="N58" s="294">
        <f t="shared" si="36"/>
        <v>7644940.9500000002</v>
      </c>
      <c r="O58" s="294">
        <f t="shared" si="36"/>
        <v>7540552.3899999997</v>
      </c>
      <c r="P58" s="294">
        <f t="shared" si="36"/>
        <v>117454622.70999999</v>
      </c>
      <c r="Q58" s="294">
        <f t="shared" si="36"/>
        <v>9028928.8000000007</v>
      </c>
      <c r="R58" s="294">
        <f t="shared" si="36"/>
        <v>4346830.5</v>
      </c>
      <c r="S58" s="294">
        <f t="shared" si="36"/>
        <v>25881757.32</v>
      </c>
      <c r="T58" s="294">
        <f t="shared" si="36"/>
        <v>30012445.93</v>
      </c>
      <c r="U58" s="294">
        <f t="shared" si="36"/>
        <v>3254233.7499999995</v>
      </c>
      <c r="V58" s="294">
        <f t="shared" si="36"/>
        <v>890690163.92999995</v>
      </c>
      <c r="W58" s="294">
        <f t="shared" si="36"/>
        <v>56923022.990000002</v>
      </c>
      <c r="X58" s="294">
        <f t="shared" si="36"/>
        <v>28621583.34</v>
      </c>
      <c r="Y58" s="294">
        <f t="shared" si="36"/>
        <v>108420385.34999999</v>
      </c>
      <c r="Z58" s="294">
        <f t="shared" si="36"/>
        <v>21917360.530000001</v>
      </c>
      <c r="AA58" s="294">
        <f t="shared" si="36"/>
        <v>30766846.660000004</v>
      </c>
      <c r="AB58" s="294">
        <f t="shared" si="36"/>
        <v>20584435.949999999</v>
      </c>
      <c r="AC58" s="294">
        <f t="shared" si="36"/>
        <v>51724824.710000001</v>
      </c>
      <c r="AD58" s="294">
        <f t="shared" si="36"/>
        <v>42055462.25</v>
      </c>
      <c r="AE58" s="294">
        <f t="shared" si="36"/>
        <v>14194024.549999999</v>
      </c>
      <c r="AF58" s="294">
        <f t="shared" si="36"/>
        <v>42946391.07</v>
      </c>
      <c r="AG58" s="294">
        <f t="shared" si="36"/>
        <v>33887738.229999997</v>
      </c>
      <c r="AH58" s="294">
        <f t="shared" si="36"/>
        <v>98255783.819999993</v>
      </c>
      <c r="AI58" s="294">
        <f t="shared" si="36"/>
        <v>23691247.420000002</v>
      </c>
      <c r="AJ58" s="294">
        <f t="shared" si="36"/>
        <v>18491577.91</v>
      </c>
      <c r="AK58" s="294">
        <f t="shared" si="36"/>
        <v>14906518.109999999</v>
      </c>
      <c r="AL58" s="294">
        <f t="shared" si="36"/>
        <v>70046471.299999982</v>
      </c>
      <c r="AM58" s="294">
        <f t="shared" si="36"/>
        <v>15176308.739999998</v>
      </c>
      <c r="AN58" s="294">
        <f t="shared" si="36"/>
        <v>76900359.590000004</v>
      </c>
      <c r="AO58" s="294">
        <f t="shared" si="36"/>
        <v>25145556.990000002</v>
      </c>
      <c r="AP58" s="294">
        <f t="shared" si="36"/>
        <v>7184427.5900000008</v>
      </c>
      <c r="AQ58" s="294">
        <f t="shared" si="36"/>
        <v>9677308.0399999991</v>
      </c>
      <c r="AR58" s="294">
        <f t="shared" si="36"/>
        <v>27100079.440000001</v>
      </c>
      <c r="AS58" s="294">
        <f t="shared" si="36"/>
        <v>7967993.7899999991</v>
      </c>
      <c r="AT58" s="294">
        <f t="shared" si="36"/>
        <v>125147701.75999998</v>
      </c>
      <c r="AU58" s="294">
        <f t="shared" si="36"/>
        <v>8457981.7300000004</v>
      </c>
      <c r="AV58" s="294">
        <f t="shared" si="36"/>
        <v>12378674.310000001</v>
      </c>
      <c r="AW58" s="294">
        <f t="shared" si="36"/>
        <v>11823923.559999999</v>
      </c>
      <c r="AX58" s="294">
        <f t="shared" si="36"/>
        <v>10145625.74</v>
      </c>
      <c r="AY58" s="294">
        <f t="shared" si="36"/>
        <v>15390520.890000002</v>
      </c>
      <c r="AZ58" s="294">
        <f t="shared" si="36"/>
        <v>14432597.23</v>
      </c>
      <c r="BA58" s="294">
        <f t="shared" si="36"/>
        <v>6802786.54</v>
      </c>
      <c r="BB58" s="294">
        <f t="shared" si="36"/>
        <v>10023690.68</v>
      </c>
      <c r="BC58" s="294">
        <f t="shared" si="36"/>
        <v>9253350.9199999999</v>
      </c>
      <c r="BD58" s="294">
        <f t="shared" si="36"/>
        <v>13007890.129999999</v>
      </c>
      <c r="BE58" s="294">
        <f t="shared" si="36"/>
        <v>6791728.9799999995</v>
      </c>
      <c r="BF58" s="294">
        <f t="shared" si="36"/>
        <v>16970371.289999999</v>
      </c>
      <c r="BG58" s="294">
        <f t="shared" si="36"/>
        <v>7006008.1700000009</v>
      </c>
      <c r="BH58" s="294">
        <f t="shared" si="36"/>
        <v>30119765.059999999</v>
      </c>
      <c r="BI58" s="294">
        <f t="shared" si="36"/>
        <v>240944575.15999997</v>
      </c>
      <c r="BJ58" s="294">
        <f t="shared" si="36"/>
        <v>97396852.359999999</v>
      </c>
      <c r="BK58" s="294">
        <f t="shared" si="36"/>
        <v>20730463.060000002</v>
      </c>
      <c r="BL58" s="294">
        <f t="shared" si="36"/>
        <v>8814172.1899999995</v>
      </c>
      <c r="BM58" s="294">
        <f t="shared" si="36"/>
        <v>14167546.84</v>
      </c>
      <c r="BN58" s="294">
        <f t="shared" si="36"/>
        <v>13136206.59</v>
      </c>
      <c r="BO58" s="294">
        <f t="shared" si="36"/>
        <v>7011489.8399999999</v>
      </c>
      <c r="BP58" s="294">
        <f t="shared" si="36"/>
        <v>8830625.9800000004</v>
      </c>
      <c r="BQ58" s="294">
        <f t="shared" ref="BQ58:EB58" si="37">SUM(BQ44:BQ57)</f>
        <v>8266143.5999999996</v>
      </c>
      <c r="BR58" s="294">
        <f t="shared" si="37"/>
        <v>243398702.66000003</v>
      </c>
      <c r="BS58" s="294">
        <f t="shared" si="37"/>
        <v>10680106.560000001</v>
      </c>
      <c r="BT58" s="294">
        <f t="shared" si="37"/>
        <v>7071398.5099999998</v>
      </c>
      <c r="BU58" s="294">
        <f t="shared" si="37"/>
        <v>13821818.460000001</v>
      </c>
      <c r="BV58" s="294">
        <f t="shared" si="37"/>
        <v>8264864.9000000004</v>
      </c>
      <c r="BW58" s="294">
        <f t="shared" si="37"/>
        <v>4430994.59</v>
      </c>
      <c r="BX58" s="294">
        <f t="shared" si="37"/>
        <v>5741748.6600000001</v>
      </c>
      <c r="BY58" s="294">
        <f t="shared" si="37"/>
        <v>7329479.8799999999</v>
      </c>
      <c r="BZ58" s="294">
        <f t="shared" si="37"/>
        <v>100099665.36</v>
      </c>
      <c r="CA58" s="294">
        <f t="shared" si="37"/>
        <v>5539463.4000000004</v>
      </c>
      <c r="CB58" s="294">
        <f t="shared" si="37"/>
        <v>6375984.2200000007</v>
      </c>
      <c r="CC58" s="294">
        <f t="shared" si="37"/>
        <v>10651960.08</v>
      </c>
      <c r="CD58" s="294">
        <f t="shared" si="37"/>
        <v>5333743.4799999995</v>
      </c>
      <c r="CE58" s="294">
        <f t="shared" si="37"/>
        <v>9122984.8899999987</v>
      </c>
      <c r="CF58" s="294">
        <f t="shared" si="37"/>
        <v>5969271.3300000001</v>
      </c>
      <c r="CG58" s="294">
        <f t="shared" si="37"/>
        <v>1523751770.6299999</v>
      </c>
      <c r="CH58" s="294">
        <f t="shared" si="37"/>
        <v>19464956.790000003</v>
      </c>
      <c r="CI58" s="294">
        <f t="shared" si="37"/>
        <v>53687452.109999999</v>
      </c>
      <c r="CJ58" s="294">
        <f t="shared" si="37"/>
        <v>12724475.210000001</v>
      </c>
      <c r="CK58" s="294">
        <f t="shared" si="37"/>
        <v>33012379.740000002</v>
      </c>
      <c r="CL58" s="294">
        <f t="shared" si="37"/>
        <v>13915791.369999999</v>
      </c>
      <c r="CM58" s="294">
        <f t="shared" si="37"/>
        <v>19302974.879999999</v>
      </c>
      <c r="CN58" s="294">
        <f t="shared" si="37"/>
        <v>34736763.349999994</v>
      </c>
      <c r="CO58" s="294">
        <f t="shared" si="37"/>
        <v>13808153.669999998</v>
      </c>
      <c r="CP58" s="294">
        <f t="shared" si="37"/>
        <v>14057146.780000001</v>
      </c>
      <c r="CQ58" s="294">
        <f t="shared" si="37"/>
        <v>11103208.030000001</v>
      </c>
      <c r="CR58" s="294">
        <f t="shared" si="37"/>
        <v>16651295.099999998</v>
      </c>
      <c r="CS58" s="294">
        <f t="shared" si="37"/>
        <v>17472025.700000003</v>
      </c>
      <c r="CT58" s="294">
        <f t="shared" si="37"/>
        <v>279056924.42000002</v>
      </c>
      <c r="CU58" s="294">
        <f t="shared" si="37"/>
        <v>27706441.359999999</v>
      </c>
      <c r="CV58" s="294">
        <f t="shared" si="37"/>
        <v>26853365.080000002</v>
      </c>
      <c r="CW58" s="294">
        <f t="shared" si="37"/>
        <v>17796311.440000001</v>
      </c>
      <c r="CX58" s="294">
        <f t="shared" si="37"/>
        <v>20050188.359999999</v>
      </c>
      <c r="CY58" s="294">
        <f t="shared" si="37"/>
        <v>16345054.85</v>
      </c>
      <c r="CZ58" s="294">
        <f t="shared" si="37"/>
        <v>8748464.1999999993</v>
      </c>
      <c r="DA58" s="294">
        <f t="shared" si="37"/>
        <v>14685314.66</v>
      </c>
      <c r="DB58" s="294">
        <f t="shared" si="37"/>
        <v>158112817.13</v>
      </c>
      <c r="DC58" s="294">
        <f t="shared" si="37"/>
        <v>343988170.79999995</v>
      </c>
      <c r="DD58" s="294">
        <f t="shared" si="37"/>
        <v>8378034.1800000006</v>
      </c>
      <c r="DE58" s="294">
        <f t="shared" si="37"/>
        <v>17850295.77</v>
      </c>
      <c r="DF58" s="294">
        <f t="shared" si="37"/>
        <v>21070881.210000001</v>
      </c>
      <c r="DG58" s="294">
        <f t="shared" si="37"/>
        <v>32634555.600000001</v>
      </c>
      <c r="DH58" s="294">
        <f t="shared" si="37"/>
        <v>23396835.32</v>
      </c>
      <c r="DI58" s="294">
        <f t="shared" si="37"/>
        <v>6808060.9399999995</v>
      </c>
      <c r="DJ58" s="294">
        <f t="shared" si="37"/>
        <v>32826953.789999999</v>
      </c>
      <c r="DK58" s="294">
        <f t="shared" si="37"/>
        <v>1158824888.24</v>
      </c>
      <c r="DL58" s="294">
        <f t="shared" si="37"/>
        <v>16264483.080000002</v>
      </c>
      <c r="DM58" s="294">
        <f t="shared" si="37"/>
        <v>24376848.620000001</v>
      </c>
      <c r="DN58" s="294">
        <f t="shared" si="37"/>
        <v>50719414.629999995</v>
      </c>
      <c r="DO58" s="294">
        <f t="shared" si="37"/>
        <v>14108023.3599</v>
      </c>
      <c r="DP58" s="294">
        <f t="shared" si="37"/>
        <v>13000511.530000001</v>
      </c>
      <c r="DQ58" s="294">
        <f t="shared" si="37"/>
        <v>53964677.490000002</v>
      </c>
      <c r="DR58" s="294">
        <f t="shared" si="37"/>
        <v>40017418.219999999</v>
      </c>
      <c r="DS58" s="294">
        <f t="shared" si="37"/>
        <v>66736115.900000006</v>
      </c>
      <c r="DT58" s="294">
        <f t="shared" si="37"/>
        <v>273086197.96999997</v>
      </c>
      <c r="DU58" s="294">
        <f t="shared" si="37"/>
        <v>12040891.039999999</v>
      </c>
      <c r="DV58" s="294">
        <f t="shared" si="37"/>
        <v>39913925.659999996</v>
      </c>
      <c r="DW58" s="294">
        <f t="shared" si="37"/>
        <v>57262968.29999999</v>
      </c>
      <c r="DX58" s="294">
        <f t="shared" si="37"/>
        <v>30046558.039999999</v>
      </c>
      <c r="DY58" s="294">
        <f t="shared" si="37"/>
        <v>7761874.9299999997</v>
      </c>
      <c r="DZ58" s="294">
        <f t="shared" si="37"/>
        <v>23276279.98</v>
      </c>
      <c r="EA58" s="294">
        <f t="shared" si="37"/>
        <v>19237228.460000001</v>
      </c>
      <c r="EB58" s="294">
        <f t="shared" si="37"/>
        <v>13136062.969999999</v>
      </c>
      <c r="EC58" s="294">
        <f t="shared" ref="EC58:GN58" si="38">SUM(EC44:EC57)</f>
        <v>19040376.310000002</v>
      </c>
      <c r="ED58" s="294">
        <f t="shared" si="38"/>
        <v>17920914.900000002</v>
      </c>
      <c r="EE58" s="294">
        <f t="shared" si="38"/>
        <v>222018432.70999998</v>
      </c>
      <c r="EF58" s="294">
        <f t="shared" si="38"/>
        <v>178921832.37999997</v>
      </c>
      <c r="EG58" s="294">
        <f t="shared" si="38"/>
        <v>31704427.550000001</v>
      </c>
      <c r="EH58" s="294">
        <f t="shared" si="38"/>
        <v>15637336.24</v>
      </c>
      <c r="EI58" s="294">
        <f t="shared" si="38"/>
        <v>33754327.939999998</v>
      </c>
      <c r="EJ58" s="294">
        <f t="shared" si="38"/>
        <v>26190444.59</v>
      </c>
      <c r="EK58" s="294">
        <f t="shared" si="38"/>
        <v>28121829.25</v>
      </c>
      <c r="EL58" s="294">
        <f t="shared" si="38"/>
        <v>15261368.540000001</v>
      </c>
      <c r="EM58" s="294">
        <f t="shared" si="38"/>
        <v>30721976.469999999</v>
      </c>
      <c r="EN58" s="294">
        <f t="shared" si="38"/>
        <v>202705438.28</v>
      </c>
      <c r="EO58" s="294">
        <f t="shared" si="38"/>
        <v>6823261.5</v>
      </c>
      <c r="EP58" s="294">
        <f t="shared" si="38"/>
        <v>9091662.0800000001</v>
      </c>
      <c r="EQ58" s="294">
        <f t="shared" si="38"/>
        <v>6861624.2799999993</v>
      </c>
      <c r="ER58" s="294">
        <f t="shared" si="38"/>
        <v>7344818.3900000006</v>
      </c>
      <c r="ES58" s="294">
        <f t="shared" si="38"/>
        <v>13507538.299999999</v>
      </c>
      <c r="ET58" s="294">
        <f t="shared" si="38"/>
        <v>17382144.780000001</v>
      </c>
      <c r="EU58" s="294">
        <f t="shared" si="38"/>
        <v>21759751.68</v>
      </c>
      <c r="EV58" s="294">
        <f t="shared" si="38"/>
        <v>11838048.149999999</v>
      </c>
      <c r="EW58" s="294">
        <f t="shared" si="38"/>
        <v>153203828.85999998</v>
      </c>
      <c r="EX58" s="294">
        <f t="shared" si="38"/>
        <v>32991642.129999999</v>
      </c>
      <c r="EY58" s="294">
        <f t="shared" si="38"/>
        <v>29586401.350000001</v>
      </c>
      <c r="EZ58" s="294">
        <f t="shared" si="38"/>
        <v>14336003.679999998</v>
      </c>
      <c r="FA58" s="294">
        <f t="shared" si="38"/>
        <v>26235482.73</v>
      </c>
      <c r="FB58" s="294">
        <f t="shared" si="38"/>
        <v>30903517.120000001</v>
      </c>
      <c r="FC58" s="294">
        <f t="shared" si="38"/>
        <v>43650818</v>
      </c>
      <c r="FD58" s="294">
        <f t="shared" si="38"/>
        <v>21465849.66</v>
      </c>
      <c r="FE58" s="294">
        <f t="shared" si="38"/>
        <v>27084806.91</v>
      </c>
      <c r="FF58" s="294">
        <f t="shared" si="38"/>
        <v>39595605.560000002</v>
      </c>
      <c r="FG58" s="294">
        <f t="shared" si="38"/>
        <v>16817537.109999999</v>
      </c>
      <c r="FH58" s="294">
        <f t="shared" si="38"/>
        <v>11100467.030000001</v>
      </c>
      <c r="FI58" s="294">
        <f t="shared" si="38"/>
        <v>154993694.54999998</v>
      </c>
      <c r="FJ58" s="294">
        <f t="shared" si="38"/>
        <v>17124869.379999999</v>
      </c>
      <c r="FK58" s="294">
        <f t="shared" si="38"/>
        <v>16502578.699999999</v>
      </c>
      <c r="FL58" s="294">
        <f t="shared" si="38"/>
        <v>19062318.16</v>
      </c>
      <c r="FM58" s="294">
        <f t="shared" si="38"/>
        <v>28655383.579999998</v>
      </c>
      <c r="FN58" s="294">
        <f t="shared" si="38"/>
        <v>34017457.859999999</v>
      </c>
      <c r="FO58" s="294">
        <f t="shared" si="38"/>
        <v>10203293.300000001</v>
      </c>
      <c r="FP58" s="294">
        <f t="shared" si="38"/>
        <v>14717236.83</v>
      </c>
      <c r="FQ58" s="294">
        <f t="shared" si="38"/>
        <v>1003568538.2799999</v>
      </c>
      <c r="FR58" s="294">
        <f t="shared" si="38"/>
        <v>18716041.270000003</v>
      </c>
      <c r="FS58" s="294">
        <f t="shared" si="38"/>
        <v>36888454.380000003</v>
      </c>
      <c r="FT58" s="294">
        <f t="shared" si="38"/>
        <v>22481178.75</v>
      </c>
      <c r="FU58" s="294">
        <f t="shared" si="38"/>
        <v>42538683.719999999</v>
      </c>
      <c r="FV58" s="294">
        <f t="shared" si="38"/>
        <v>11937070.689999999</v>
      </c>
      <c r="FW58" s="294">
        <f t="shared" si="38"/>
        <v>37084282.480000004</v>
      </c>
      <c r="FX58" s="294">
        <f t="shared" si="38"/>
        <v>22245598.550000004</v>
      </c>
      <c r="FY58" s="294">
        <f t="shared" si="38"/>
        <v>39979162.630000003</v>
      </c>
      <c r="FZ58" s="294">
        <f t="shared" si="38"/>
        <v>39710508.57</v>
      </c>
      <c r="GA58" s="294">
        <f t="shared" si="38"/>
        <v>56001528.559999995</v>
      </c>
      <c r="GB58" s="294">
        <f t="shared" si="38"/>
        <v>11863899.640000001</v>
      </c>
      <c r="GC58" s="294">
        <f t="shared" si="38"/>
        <v>31295734.839999996</v>
      </c>
      <c r="GD58" s="294">
        <f t="shared" si="38"/>
        <v>38138894.299999997</v>
      </c>
      <c r="GE58" s="294">
        <f t="shared" si="38"/>
        <v>248573182.47</v>
      </c>
      <c r="GF58" s="294">
        <f t="shared" si="38"/>
        <v>12648113.459999999</v>
      </c>
      <c r="GG58" s="294">
        <f t="shared" si="38"/>
        <v>26067344.620000001</v>
      </c>
      <c r="GH58" s="294">
        <f t="shared" si="38"/>
        <v>45197404.200000003</v>
      </c>
      <c r="GI58" s="294">
        <f t="shared" si="38"/>
        <v>20693685.349999998</v>
      </c>
      <c r="GJ58" s="294">
        <f t="shared" si="38"/>
        <v>16955984.300000001</v>
      </c>
      <c r="GK58" s="294">
        <f t="shared" si="38"/>
        <v>13390075.270000001</v>
      </c>
      <c r="GL58" s="294">
        <f t="shared" si="38"/>
        <v>44494094.139999993</v>
      </c>
      <c r="GM58" s="294">
        <f t="shared" si="38"/>
        <v>11761680.149999999</v>
      </c>
      <c r="GN58" s="294">
        <f t="shared" si="38"/>
        <v>13686070.020000001</v>
      </c>
      <c r="GO58" s="294">
        <f t="shared" ref="GO58:IZ58" si="39">SUM(GO44:GO57)</f>
        <v>7012454.25</v>
      </c>
      <c r="GP58" s="294">
        <f t="shared" si="39"/>
        <v>8794234.0399999991</v>
      </c>
      <c r="GQ58" s="294">
        <f t="shared" si="39"/>
        <v>265264542.07999998</v>
      </c>
      <c r="GR58" s="294">
        <f t="shared" si="39"/>
        <v>71512594.010000005</v>
      </c>
      <c r="GS58" s="294">
        <f t="shared" si="39"/>
        <v>17084745.18</v>
      </c>
      <c r="GT58" s="294">
        <f t="shared" si="39"/>
        <v>21775011.150000002</v>
      </c>
      <c r="GU58" s="294">
        <f t="shared" si="39"/>
        <v>4097216.9899999998</v>
      </c>
      <c r="GV58" s="294">
        <f t="shared" si="39"/>
        <v>26838908.400000002</v>
      </c>
      <c r="GW58" s="294">
        <f t="shared" si="39"/>
        <v>22362500.510000002</v>
      </c>
      <c r="GX58" s="294">
        <f t="shared" si="39"/>
        <v>14879196.93</v>
      </c>
      <c r="GY58" s="294">
        <f t="shared" si="39"/>
        <v>121765460.79000001</v>
      </c>
      <c r="GZ58" s="294">
        <f t="shared" si="39"/>
        <v>7244086.7600000007</v>
      </c>
      <c r="HA58" s="294">
        <f t="shared" si="39"/>
        <v>22940686.280000001</v>
      </c>
      <c r="HB58" s="294">
        <f t="shared" si="39"/>
        <v>9656769.2199999988</v>
      </c>
      <c r="HC58" s="294">
        <f t="shared" si="39"/>
        <v>458613332.21999991</v>
      </c>
      <c r="HD58" s="294">
        <f t="shared" si="39"/>
        <v>215859147.80000007</v>
      </c>
      <c r="HE58" s="294">
        <f t="shared" si="39"/>
        <v>54624514.359999999</v>
      </c>
      <c r="HF58" s="294">
        <f t="shared" si="39"/>
        <v>96898968.86999999</v>
      </c>
      <c r="HG58" s="294">
        <f t="shared" si="39"/>
        <v>72392238.799999997</v>
      </c>
      <c r="HH58" s="294">
        <f t="shared" si="39"/>
        <v>132090973.31000002</v>
      </c>
      <c r="HI58" s="294">
        <f t="shared" si="39"/>
        <v>35483060.319999993</v>
      </c>
      <c r="HJ58" s="294">
        <f t="shared" si="39"/>
        <v>601052064.04999995</v>
      </c>
      <c r="HK58" s="294">
        <f t="shared" si="39"/>
        <v>54090675.130000003</v>
      </c>
      <c r="HL58" s="294">
        <f t="shared" si="39"/>
        <v>87776972.510000005</v>
      </c>
      <c r="HM58" s="294">
        <f t="shared" si="39"/>
        <v>93073632.739999995</v>
      </c>
      <c r="HN58" s="294">
        <f t="shared" si="39"/>
        <v>22106326.890000001</v>
      </c>
      <c r="HO58" s="294">
        <f t="shared" si="39"/>
        <v>57022104.140000001</v>
      </c>
      <c r="HP58" s="294">
        <f t="shared" si="39"/>
        <v>59392214.050000004</v>
      </c>
      <c r="HQ58" s="294">
        <f t="shared" si="39"/>
        <v>33225824.239999998</v>
      </c>
      <c r="HR58" s="294">
        <f t="shared" si="39"/>
        <v>247422619.44910002</v>
      </c>
      <c r="HS58" s="294">
        <f t="shared" si="39"/>
        <v>96277120.920000002</v>
      </c>
      <c r="HT58" s="294">
        <f t="shared" si="39"/>
        <v>23775100.369999997</v>
      </c>
      <c r="HU58" s="294">
        <f t="shared" si="39"/>
        <v>31133236.859999999</v>
      </c>
      <c r="HV58" s="294">
        <f t="shared" si="39"/>
        <v>24547329.160000004</v>
      </c>
      <c r="HW58" s="294">
        <f t="shared" si="39"/>
        <v>16082696.420000004</v>
      </c>
      <c r="HX58" s="294">
        <f t="shared" si="39"/>
        <v>81369702.88000001</v>
      </c>
      <c r="HY58" s="294">
        <f t="shared" si="39"/>
        <v>15312878.380000001</v>
      </c>
      <c r="HZ58" s="294">
        <f t="shared" si="39"/>
        <v>28335132.379999999</v>
      </c>
      <c r="IA58" s="294">
        <f t="shared" si="39"/>
        <v>18929200.740000002</v>
      </c>
      <c r="IB58" s="294">
        <f t="shared" si="39"/>
        <v>27517513.540000003</v>
      </c>
      <c r="IC58" s="294">
        <f t="shared" si="39"/>
        <v>63882236</v>
      </c>
      <c r="ID58" s="294">
        <f t="shared" si="39"/>
        <v>6205909.129999999</v>
      </c>
      <c r="IE58" s="294">
        <f t="shared" si="39"/>
        <v>71504790.170000017</v>
      </c>
      <c r="IF58" s="294">
        <f t="shared" si="39"/>
        <v>5293074.41</v>
      </c>
      <c r="IG58" s="294">
        <f t="shared" si="39"/>
        <v>6869207.7599999998</v>
      </c>
      <c r="IH58" s="294">
        <f t="shared" si="39"/>
        <v>215582727.20999998</v>
      </c>
      <c r="II58" s="294">
        <f t="shared" si="39"/>
        <v>94763345.370000005</v>
      </c>
      <c r="IJ58" s="294">
        <f t="shared" si="39"/>
        <v>34893769.350000001</v>
      </c>
      <c r="IK58" s="294">
        <f t="shared" si="39"/>
        <v>69624960.050000012</v>
      </c>
      <c r="IL58" s="294">
        <f t="shared" si="39"/>
        <v>41971612.039999992</v>
      </c>
      <c r="IM58" s="294">
        <f t="shared" si="39"/>
        <v>41677868.75</v>
      </c>
      <c r="IN58" s="294">
        <f t="shared" si="39"/>
        <v>13433476.16</v>
      </c>
      <c r="IO58" s="294">
        <f t="shared" si="39"/>
        <v>7011207.6099999994</v>
      </c>
      <c r="IP58" s="294">
        <f t="shared" si="39"/>
        <v>16707632.83</v>
      </c>
      <c r="IQ58" s="294">
        <f t="shared" si="39"/>
        <v>15411534.609999999</v>
      </c>
      <c r="IR58" s="294">
        <f t="shared" si="39"/>
        <v>64619007.750000007</v>
      </c>
      <c r="IS58" s="294">
        <f t="shared" si="39"/>
        <v>244788042.32999998</v>
      </c>
      <c r="IT58" s="294">
        <f t="shared" si="39"/>
        <v>162693917.68000001</v>
      </c>
      <c r="IU58" s="294">
        <f t="shared" si="39"/>
        <v>19350123.030000001</v>
      </c>
      <c r="IV58" s="294">
        <f t="shared" si="39"/>
        <v>29648539.020000003</v>
      </c>
      <c r="IW58" s="294">
        <f t="shared" si="39"/>
        <v>58664390.080000006</v>
      </c>
      <c r="IX58" s="294">
        <f t="shared" si="39"/>
        <v>25994836.57</v>
      </c>
      <c r="IY58" s="294">
        <f t="shared" si="39"/>
        <v>18162610.370000001</v>
      </c>
      <c r="IZ58" s="294">
        <f t="shared" si="39"/>
        <v>14098128.35</v>
      </c>
      <c r="JA58" s="294">
        <f t="shared" ref="JA58:LL58" si="40">SUM(JA44:JA57)</f>
        <v>8813848.0500000007</v>
      </c>
      <c r="JB58" s="294">
        <f t="shared" si="40"/>
        <v>26179577</v>
      </c>
      <c r="JC58" s="294">
        <f t="shared" si="40"/>
        <v>38533344.670000002</v>
      </c>
      <c r="JD58" s="294">
        <f t="shared" si="40"/>
        <v>7199866.459999999</v>
      </c>
      <c r="JE58" s="294">
        <f t="shared" si="40"/>
        <v>74795218.449999988</v>
      </c>
      <c r="JF58" s="294">
        <f t="shared" si="40"/>
        <v>47498837.630000003</v>
      </c>
      <c r="JG58" s="294">
        <f t="shared" si="40"/>
        <v>23168667.869999997</v>
      </c>
      <c r="JH58" s="294">
        <f t="shared" si="40"/>
        <v>13843847.67</v>
      </c>
      <c r="JI58" s="294">
        <f t="shared" si="40"/>
        <v>10841304.390000001</v>
      </c>
      <c r="JJ58" s="294">
        <f t="shared" si="40"/>
        <v>10456148.039999999</v>
      </c>
      <c r="JK58" s="294">
        <f t="shared" si="40"/>
        <v>200160687.69</v>
      </c>
      <c r="JL58" s="294">
        <f t="shared" si="40"/>
        <v>9131501.7300000004</v>
      </c>
      <c r="JM58" s="294">
        <f t="shared" si="40"/>
        <v>22970321.5</v>
      </c>
      <c r="JN58" s="294">
        <f t="shared" si="40"/>
        <v>98302763.370000005</v>
      </c>
      <c r="JO58" s="294">
        <f t="shared" si="40"/>
        <v>20705613.400000002</v>
      </c>
      <c r="JP58" s="294">
        <f t="shared" si="40"/>
        <v>17675062.43</v>
      </c>
      <c r="JQ58" s="294">
        <f t="shared" si="40"/>
        <v>11128851.560000001</v>
      </c>
      <c r="JR58" s="294">
        <f t="shared" si="40"/>
        <v>398863491.96999997</v>
      </c>
      <c r="JS58" s="294">
        <f t="shared" si="40"/>
        <v>111811311.40000001</v>
      </c>
      <c r="JT58" s="294">
        <f t="shared" si="40"/>
        <v>41564945.390000001</v>
      </c>
      <c r="JU58" s="294">
        <f t="shared" si="40"/>
        <v>8830370.0700000003</v>
      </c>
      <c r="JV58" s="294">
        <f t="shared" si="40"/>
        <v>24893369.18</v>
      </c>
      <c r="JW58" s="294">
        <f t="shared" si="40"/>
        <v>8526071.25</v>
      </c>
      <c r="JX58" s="294">
        <f t="shared" si="40"/>
        <v>47771519.369999997</v>
      </c>
      <c r="JY58" s="294">
        <f t="shared" si="40"/>
        <v>49729708.990000002</v>
      </c>
      <c r="JZ58" s="294">
        <f t="shared" si="40"/>
        <v>39870521.990000002</v>
      </c>
      <c r="KA58" s="294">
        <f t="shared" si="40"/>
        <v>12252348.079999998</v>
      </c>
      <c r="KB58" s="294">
        <f t="shared" si="40"/>
        <v>38681252.079999998</v>
      </c>
      <c r="KC58" s="294">
        <f t="shared" si="40"/>
        <v>23382883.210000005</v>
      </c>
      <c r="KD58" s="294">
        <f t="shared" si="40"/>
        <v>10724342.91</v>
      </c>
      <c r="KE58" s="294">
        <f t="shared" si="40"/>
        <v>13551203.920000002</v>
      </c>
      <c r="KF58" s="294">
        <f t="shared" si="40"/>
        <v>16723852.66</v>
      </c>
      <c r="KG58" s="294">
        <f t="shared" si="40"/>
        <v>15253917.730000002</v>
      </c>
      <c r="KH58" s="294">
        <f t="shared" si="40"/>
        <v>968689813.06999993</v>
      </c>
      <c r="KI58" s="294">
        <f t="shared" si="40"/>
        <v>45524455.269999996</v>
      </c>
      <c r="KJ58" s="294">
        <f t="shared" si="40"/>
        <v>55228607.260000005</v>
      </c>
      <c r="KK58" s="294">
        <f t="shared" si="40"/>
        <v>17722453.710000001</v>
      </c>
      <c r="KL58" s="294">
        <f t="shared" si="40"/>
        <v>73840751.180000007</v>
      </c>
      <c r="KM58" s="294">
        <f t="shared" si="40"/>
        <v>95787982.310000002</v>
      </c>
      <c r="KN58" s="294">
        <f t="shared" si="40"/>
        <v>76408778.780000001</v>
      </c>
      <c r="KO58" s="294">
        <f t="shared" si="40"/>
        <v>36267387.409999996</v>
      </c>
      <c r="KP58" s="294">
        <f t="shared" si="40"/>
        <v>29259387.039999999</v>
      </c>
      <c r="KQ58" s="294">
        <f t="shared" si="40"/>
        <v>161600112.50999999</v>
      </c>
      <c r="KR58" s="294">
        <f t="shared" si="40"/>
        <v>23030293.809999999</v>
      </c>
      <c r="KS58" s="294">
        <f t="shared" si="40"/>
        <v>33421491.350000001</v>
      </c>
      <c r="KT58" s="294">
        <f t="shared" si="40"/>
        <v>54995324.100000001</v>
      </c>
      <c r="KU58" s="294">
        <f t="shared" si="40"/>
        <v>23430476.049999997</v>
      </c>
      <c r="KV58" s="294">
        <f t="shared" si="40"/>
        <v>28854151.419999998</v>
      </c>
      <c r="KW58" s="294">
        <f t="shared" si="40"/>
        <v>237344904.93000001</v>
      </c>
      <c r="KX58" s="294">
        <f t="shared" si="40"/>
        <v>109534775.48</v>
      </c>
      <c r="KY58" s="294">
        <f t="shared" si="40"/>
        <v>516844603.09000003</v>
      </c>
      <c r="KZ58" s="294">
        <f t="shared" si="40"/>
        <v>69138530.930000007</v>
      </c>
      <c r="LA58" s="294">
        <f t="shared" si="40"/>
        <v>17567743.5</v>
      </c>
      <c r="LB58" s="294">
        <f t="shared" si="40"/>
        <v>51938940.439999998</v>
      </c>
      <c r="LC58" s="294">
        <f t="shared" si="40"/>
        <v>37815731.840000004</v>
      </c>
      <c r="LD58" s="294">
        <f t="shared" si="40"/>
        <v>20295659.669999998</v>
      </c>
      <c r="LE58" s="294">
        <f t="shared" si="40"/>
        <v>19771502.670000002</v>
      </c>
      <c r="LF58" s="294">
        <f t="shared" si="40"/>
        <v>41734172.339999996</v>
      </c>
      <c r="LG58" s="294">
        <f t="shared" si="40"/>
        <v>430202422.25999993</v>
      </c>
      <c r="LH58" s="294">
        <f t="shared" si="40"/>
        <v>99951755.010000005</v>
      </c>
      <c r="LI58" s="294">
        <f t="shared" si="40"/>
        <v>161026904.23999998</v>
      </c>
      <c r="LJ58" s="294">
        <f t="shared" si="40"/>
        <v>138326455.53</v>
      </c>
      <c r="LK58" s="294">
        <f t="shared" si="40"/>
        <v>27867948.140000001</v>
      </c>
      <c r="LL58" s="294">
        <f t="shared" si="40"/>
        <v>14440215.16</v>
      </c>
      <c r="LM58" s="294">
        <f t="shared" ref="LM58:NX58" si="41">SUM(LM44:LM57)</f>
        <v>3701161.24</v>
      </c>
      <c r="LN58" s="294">
        <f t="shared" si="41"/>
        <v>40063390.890000001</v>
      </c>
      <c r="LO58" s="294">
        <f t="shared" si="41"/>
        <v>4508336.29</v>
      </c>
      <c r="LP58" s="294">
        <f t="shared" si="41"/>
        <v>21984704.100000001</v>
      </c>
      <c r="LQ58" s="294">
        <f t="shared" si="41"/>
        <v>9570038.0800000019</v>
      </c>
      <c r="LR58" s="294">
        <f t="shared" si="41"/>
        <v>85226454.329999998</v>
      </c>
      <c r="LS58" s="294">
        <f t="shared" si="41"/>
        <v>26828497.599999998</v>
      </c>
      <c r="LT58" s="294">
        <f t="shared" si="41"/>
        <v>27419142.129999999</v>
      </c>
      <c r="LU58" s="294">
        <f t="shared" si="41"/>
        <v>1078341291.1200001</v>
      </c>
      <c r="LV58" s="294">
        <f t="shared" si="41"/>
        <v>361240231.42000002</v>
      </c>
      <c r="LW58" s="294">
        <f t="shared" si="41"/>
        <v>561264844.77999997</v>
      </c>
      <c r="LX58" s="294">
        <f t="shared" si="41"/>
        <v>107776489.35000001</v>
      </c>
      <c r="LY58" s="294">
        <f t="shared" si="41"/>
        <v>31228778.550000004</v>
      </c>
      <c r="LZ58" s="294">
        <f t="shared" si="41"/>
        <v>63601091.68</v>
      </c>
      <c r="MA58" s="294">
        <f t="shared" si="41"/>
        <v>68560171.510000005</v>
      </c>
      <c r="MB58" s="294">
        <f t="shared" si="41"/>
        <v>54628514.759999998</v>
      </c>
      <c r="MC58" s="294">
        <f t="shared" si="41"/>
        <v>73091066.429999992</v>
      </c>
      <c r="MD58" s="294">
        <f t="shared" si="41"/>
        <v>120255028.19000001</v>
      </c>
      <c r="ME58" s="294">
        <f t="shared" si="41"/>
        <v>58663315.119999997</v>
      </c>
      <c r="MF58" s="294">
        <f t="shared" si="41"/>
        <v>44771992.06000001</v>
      </c>
      <c r="MG58" s="294">
        <f t="shared" si="41"/>
        <v>343785791.95999998</v>
      </c>
      <c r="MH58" s="294">
        <f t="shared" si="41"/>
        <v>35960009.780000001</v>
      </c>
      <c r="MI58" s="294">
        <f t="shared" si="41"/>
        <v>42599093.570000008</v>
      </c>
      <c r="MJ58" s="294">
        <f t="shared" si="41"/>
        <v>25515589.52</v>
      </c>
      <c r="MK58" s="294">
        <f t="shared" si="41"/>
        <v>36181963.330000006</v>
      </c>
      <c r="ML58" s="294">
        <f t="shared" si="41"/>
        <v>28345542.190000001</v>
      </c>
      <c r="MM58" s="294">
        <f t="shared" si="41"/>
        <v>12848485.99</v>
      </c>
      <c r="MN58" s="294">
        <f t="shared" si="41"/>
        <v>23762324.099999998</v>
      </c>
      <c r="MO58" s="294">
        <f t="shared" si="41"/>
        <v>34945845.939999998</v>
      </c>
      <c r="MP58" s="294">
        <f t="shared" si="41"/>
        <v>32215382.060000002</v>
      </c>
      <c r="MQ58" s="294">
        <f t="shared" si="41"/>
        <v>20528358.109999999</v>
      </c>
      <c r="MR58" s="294">
        <f t="shared" si="41"/>
        <v>38222501.089999996</v>
      </c>
      <c r="MS58" s="294">
        <f t="shared" si="41"/>
        <v>556815781.36000001</v>
      </c>
      <c r="MT58" s="294">
        <f t="shared" si="41"/>
        <v>32108568.809999999</v>
      </c>
      <c r="MU58" s="294">
        <f t="shared" si="41"/>
        <v>81240797.019999996</v>
      </c>
      <c r="MV58" s="294">
        <f t="shared" si="41"/>
        <v>26470990.77</v>
      </c>
      <c r="MW58" s="294">
        <f t="shared" si="41"/>
        <v>73882852.939999998</v>
      </c>
      <c r="MX58" s="294">
        <f t="shared" si="41"/>
        <v>39632156.789999999</v>
      </c>
      <c r="MY58" s="294">
        <f t="shared" si="41"/>
        <v>126068630.89109999</v>
      </c>
      <c r="MZ58" s="294">
        <f t="shared" si="41"/>
        <v>30812699.309999999</v>
      </c>
      <c r="NA58" s="294">
        <f t="shared" si="41"/>
        <v>25485145.84</v>
      </c>
      <c r="NB58" s="294">
        <f t="shared" si="41"/>
        <v>7994656.1200000001</v>
      </c>
      <c r="NC58" s="294">
        <f t="shared" si="41"/>
        <v>35216959.780000009</v>
      </c>
      <c r="ND58" s="294">
        <f t="shared" si="41"/>
        <v>1478628609.5700002</v>
      </c>
      <c r="NE58" s="294">
        <f t="shared" si="41"/>
        <v>254510482.07999998</v>
      </c>
      <c r="NF58" s="294">
        <f t="shared" si="41"/>
        <v>37237301.880000003</v>
      </c>
      <c r="NG58" s="294">
        <f t="shared" si="41"/>
        <v>539557175.88</v>
      </c>
      <c r="NH58" s="294">
        <f t="shared" si="41"/>
        <v>27907815.569999997</v>
      </c>
      <c r="NI58" s="294">
        <f t="shared" si="41"/>
        <v>88978903.420000002</v>
      </c>
      <c r="NJ58" s="294">
        <f t="shared" si="41"/>
        <v>337950110.02999997</v>
      </c>
      <c r="NK58" s="294">
        <f t="shared" si="41"/>
        <v>243729321.79000005</v>
      </c>
      <c r="NL58" s="294">
        <f t="shared" si="41"/>
        <v>30874416.82</v>
      </c>
      <c r="NM58" s="294">
        <f t="shared" si="41"/>
        <v>187084036.74999997</v>
      </c>
      <c r="NN58" s="294">
        <f t="shared" si="41"/>
        <v>92010464.170000002</v>
      </c>
      <c r="NO58" s="294">
        <f t="shared" si="41"/>
        <v>55841572.079999998</v>
      </c>
      <c r="NP58" s="294">
        <f t="shared" si="41"/>
        <v>197118706.25</v>
      </c>
      <c r="NQ58" s="294">
        <f t="shared" si="41"/>
        <v>18213289.91</v>
      </c>
      <c r="NR58" s="294">
        <f t="shared" si="41"/>
        <v>16225595.01</v>
      </c>
      <c r="NS58" s="294">
        <f t="shared" si="41"/>
        <v>21803437.41</v>
      </c>
      <c r="NT58" s="294">
        <f t="shared" si="41"/>
        <v>22906501.43</v>
      </c>
      <c r="NU58" s="294">
        <f t="shared" si="41"/>
        <v>9600780.2399999984</v>
      </c>
      <c r="NV58" s="294">
        <f t="shared" si="41"/>
        <v>14603976.909999998</v>
      </c>
      <c r="NW58" s="294">
        <f t="shared" si="41"/>
        <v>484264024.10000002</v>
      </c>
      <c r="NX58" s="294">
        <f t="shared" si="41"/>
        <v>152089831.32999998</v>
      </c>
      <c r="NY58" s="294">
        <f t="shared" ref="NY58:QJ58" si="42">SUM(NY44:NY57)</f>
        <v>26481357.389999997</v>
      </c>
      <c r="NZ58" s="294">
        <f t="shared" si="42"/>
        <v>9658644.4100000001</v>
      </c>
      <c r="OA58" s="294">
        <f t="shared" si="42"/>
        <v>24006125.48</v>
      </c>
      <c r="OB58" s="294">
        <f t="shared" si="42"/>
        <v>21755841.559999999</v>
      </c>
      <c r="OC58" s="294">
        <f t="shared" si="42"/>
        <v>9641721.5299999993</v>
      </c>
      <c r="OD58" s="294">
        <f t="shared" si="42"/>
        <v>886287315.33000016</v>
      </c>
      <c r="OE58" s="294">
        <f t="shared" si="42"/>
        <v>38923829.309999995</v>
      </c>
      <c r="OF58" s="294">
        <f t="shared" si="42"/>
        <v>44242649.039999999</v>
      </c>
      <c r="OG58" s="294">
        <f t="shared" si="42"/>
        <v>53279234.869999997</v>
      </c>
      <c r="OH58" s="294">
        <f t="shared" si="42"/>
        <v>13448196.539999999</v>
      </c>
      <c r="OI58" s="294">
        <f t="shared" si="42"/>
        <v>85716498.389999986</v>
      </c>
      <c r="OJ58" s="294">
        <f t="shared" si="42"/>
        <v>53993208.319999993</v>
      </c>
      <c r="OK58" s="294">
        <f t="shared" si="42"/>
        <v>11547372.58</v>
      </c>
      <c r="OL58" s="294">
        <f t="shared" si="42"/>
        <v>121004044.81</v>
      </c>
      <c r="OM58" s="294">
        <f t="shared" si="42"/>
        <v>430451866.36000007</v>
      </c>
      <c r="ON58" s="294">
        <f t="shared" si="42"/>
        <v>141127522.16</v>
      </c>
      <c r="OO58" s="294">
        <f t="shared" si="42"/>
        <v>822093204.23999989</v>
      </c>
      <c r="OP58" s="294">
        <f t="shared" si="42"/>
        <v>60910843.800000004</v>
      </c>
      <c r="OQ58" s="294">
        <f t="shared" si="42"/>
        <v>40673880.909999996</v>
      </c>
      <c r="OR58" s="294">
        <f t="shared" si="42"/>
        <v>119827150.11999999</v>
      </c>
      <c r="OS58" s="294">
        <f t="shared" si="42"/>
        <v>483989937.60999995</v>
      </c>
      <c r="OT58" s="294">
        <f t="shared" si="42"/>
        <v>29616019.390000001</v>
      </c>
      <c r="OU58" s="294">
        <f t="shared" si="42"/>
        <v>77252664.860000014</v>
      </c>
      <c r="OV58" s="294">
        <f t="shared" si="42"/>
        <v>41941390.009999998</v>
      </c>
      <c r="OW58" s="294">
        <f t="shared" si="42"/>
        <v>54626785.070000015</v>
      </c>
      <c r="OX58" s="294">
        <f t="shared" si="42"/>
        <v>119369643.7</v>
      </c>
      <c r="OY58" s="294">
        <f t="shared" si="42"/>
        <v>37629545.520000003</v>
      </c>
      <c r="OZ58" s="294">
        <f t="shared" si="42"/>
        <v>40055127.75</v>
      </c>
      <c r="PA58" s="294">
        <f t="shared" si="42"/>
        <v>35418356.829999998</v>
      </c>
      <c r="PB58" s="294">
        <f t="shared" si="42"/>
        <v>258480061.47999999</v>
      </c>
      <c r="PC58" s="294">
        <f t="shared" si="42"/>
        <v>15491449.640000001</v>
      </c>
      <c r="PD58" s="294">
        <f t="shared" si="42"/>
        <v>15178653.810000001</v>
      </c>
      <c r="PE58" s="294">
        <f t="shared" si="42"/>
        <v>10215201.9</v>
      </c>
      <c r="PF58" s="294">
        <f t="shared" si="42"/>
        <v>34140479.420000002</v>
      </c>
      <c r="PG58" s="294">
        <f t="shared" si="42"/>
        <v>74289008.109999999</v>
      </c>
      <c r="PH58" s="294">
        <f t="shared" si="42"/>
        <v>12451011.4</v>
      </c>
      <c r="PI58" s="294">
        <f t="shared" si="42"/>
        <v>10129170.67</v>
      </c>
      <c r="PJ58" s="294">
        <f t="shared" si="42"/>
        <v>25348223.780000001</v>
      </c>
      <c r="PK58" s="294">
        <f t="shared" si="42"/>
        <v>14347506.23</v>
      </c>
      <c r="PL58" s="294">
        <f t="shared" si="42"/>
        <v>48093064.239999995</v>
      </c>
      <c r="PM58" s="294">
        <f t="shared" si="42"/>
        <v>49774318.819999993</v>
      </c>
      <c r="PN58" s="294">
        <f t="shared" si="42"/>
        <v>6920252.1199999992</v>
      </c>
      <c r="PO58" s="294">
        <f t="shared" si="42"/>
        <v>46711435.960000001</v>
      </c>
      <c r="PP58" s="294">
        <f t="shared" si="42"/>
        <v>9050039.4399999995</v>
      </c>
      <c r="PQ58" s="294">
        <f t="shared" si="42"/>
        <v>13538851.859999999</v>
      </c>
      <c r="PR58" s="294">
        <f t="shared" si="42"/>
        <v>9227921.5500000007</v>
      </c>
      <c r="PS58" s="294">
        <f t="shared" si="42"/>
        <v>5928117.2300000004</v>
      </c>
      <c r="PT58" s="294">
        <f t="shared" si="42"/>
        <v>803977322.01999998</v>
      </c>
      <c r="PU58" s="294">
        <f t="shared" si="42"/>
        <v>48418375.409999996</v>
      </c>
      <c r="PV58" s="294">
        <f t="shared" si="42"/>
        <v>4961079.18</v>
      </c>
      <c r="PW58" s="294">
        <f t="shared" si="42"/>
        <v>29534874.190000001</v>
      </c>
      <c r="PX58" s="294">
        <f t="shared" si="42"/>
        <v>121606636.76000001</v>
      </c>
      <c r="PY58" s="294">
        <f t="shared" si="42"/>
        <v>13238638.1</v>
      </c>
      <c r="PZ58" s="294">
        <f t="shared" si="42"/>
        <v>53205008.699999996</v>
      </c>
      <c r="QA58" s="294">
        <f t="shared" si="42"/>
        <v>10611684.390000001</v>
      </c>
      <c r="QB58" s="294">
        <f t="shared" si="42"/>
        <v>91250483.819999993</v>
      </c>
      <c r="QC58" s="294">
        <f t="shared" si="42"/>
        <v>9168049.870000001</v>
      </c>
      <c r="QD58" s="294">
        <f t="shared" si="42"/>
        <v>63449386.329999998</v>
      </c>
      <c r="QE58" s="294">
        <f t="shared" si="42"/>
        <v>11938237.729999997</v>
      </c>
      <c r="QF58" s="294">
        <f t="shared" si="42"/>
        <v>9808640.620000001</v>
      </c>
      <c r="QG58" s="294">
        <f t="shared" si="42"/>
        <v>49671351.449999996</v>
      </c>
      <c r="QH58" s="294">
        <f t="shared" si="42"/>
        <v>8608944.7200000007</v>
      </c>
      <c r="QI58" s="294">
        <f t="shared" si="42"/>
        <v>34308060.960000001</v>
      </c>
      <c r="QJ58" s="294">
        <f t="shared" si="42"/>
        <v>16150716.839999998</v>
      </c>
      <c r="QK58" s="294">
        <f t="shared" ref="QK58:SV58" si="43">SUM(QK44:QK57)</f>
        <v>10593772.32</v>
      </c>
      <c r="QL58" s="294">
        <f t="shared" si="43"/>
        <v>5351430.7200000007</v>
      </c>
      <c r="QM58" s="294">
        <f t="shared" si="43"/>
        <v>27718545.02</v>
      </c>
      <c r="QN58" s="294">
        <f t="shared" si="43"/>
        <v>60037205.369999997</v>
      </c>
      <c r="QO58" s="294">
        <f t="shared" si="43"/>
        <v>9870573.870000001</v>
      </c>
      <c r="QP58" s="294">
        <f t="shared" si="43"/>
        <v>4106969.4499999997</v>
      </c>
      <c r="QQ58" s="294">
        <f t="shared" si="43"/>
        <v>4007743.6800000006</v>
      </c>
      <c r="QR58" s="294">
        <f t="shared" si="43"/>
        <v>2944877.8499999996</v>
      </c>
      <c r="QS58" s="294">
        <f t="shared" si="43"/>
        <v>19538043.870000001</v>
      </c>
      <c r="QT58" s="294">
        <f t="shared" si="43"/>
        <v>298279345.37999994</v>
      </c>
      <c r="QU58" s="294">
        <f t="shared" si="43"/>
        <v>7813041.2999999998</v>
      </c>
      <c r="QV58" s="294">
        <f t="shared" si="43"/>
        <v>59954234.780000001</v>
      </c>
      <c r="QW58" s="294">
        <f t="shared" si="43"/>
        <v>25753662.609999999</v>
      </c>
      <c r="QX58" s="294">
        <f t="shared" si="43"/>
        <v>16983319.299999997</v>
      </c>
      <c r="QY58" s="294">
        <f t="shared" si="43"/>
        <v>147443397.73000002</v>
      </c>
      <c r="QZ58" s="294">
        <f t="shared" si="43"/>
        <v>18701980.18</v>
      </c>
      <c r="RA58" s="294">
        <f t="shared" si="43"/>
        <v>50618799.380000003</v>
      </c>
      <c r="RB58" s="294">
        <f t="shared" si="43"/>
        <v>97879818.030000001</v>
      </c>
      <c r="RC58" s="294">
        <f t="shared" si="43"/>
        <v>20918436.09</v>
      </c>
      <c r="RD58" s="294">
        <f t="shared" si="43"/>
        <v>11892401.870000001</v>
      </c>
      <c r="RE58" s="294">
        <f t="shared" si="43"/>
        <v>38081332.100000001</v>
      </c>
      <c r="RF58" s="294">
        <f t="shared" si="43"/>
        <v>13162911.16</v>
      </c>
      <c r="RG58" s="294">
        <f t="shared" si="43"/>
        <v>931996510.18000007</v>
      </c>
      <c r="RH58" s="294">
        <f t="shared" si="43"/>
        <v>33804319.649999999</v>
      </c>
      <c r="RI58" s="294">
        <f t="shared" si="43"/>
        <v>12328208.6</v>
      </c>
      <c r="RJ58" s="294">
        <f t="shared" si="43"/>
        <v>48941108.479999997</v>
      </c>
      <c r="RK58" s="294">
        <f t="shared" si="43"/>
        <v>4824266.3400000008</v>
      </c>
      <c r="RL58" s="294">
        <f t="shared" si="43"/>
        <v>24381798.889999997</v>
      </c>
      <c r="RM58" s="294">
        <f t="shared" si="43"/>
        <v>15004660.610000001</v>
      </c>
      <c r="RN58" s="294">
        <f t="shared" si="43"/>
        <v>33086918.559999999</v>
      </c>
      <c r="RO58" s="294">
        <f t="shared" si="43"/>
        <v>37032541.060000002</v>
      </c>
      <c r="RP58" s="294">
        <f t="shared" si="43"/>
        <v>11913824.48</v>
      </c>
      <c r="RQ58" s="294">
        <f t="shared" si="43"/>
        <v>62257654.109999999</v>
      </c>
      <c r="RR58" s="294">
        <f t="shared" si="43"/>
        <v>16167602.159999998</v>
      </c>
      <c r="RS58" s="294">
        <f t="shared" si="43"/>
        <v>14394478.5</v>
      </c>
      <c r="RT58" s="294">
        <f t="shared" si="43"/>
        <v>18179204.280000001</v>
      </c>
      <c r="RU58" s="294">
        <f t="shared" si="43"/>
        <v>11278968.119999999</v>
      </c>
      <c r="RV58" s="294">
        <f t="shared" si="43"/>
        <v>8189394.1599999992</v>
      </c>
      <c r="RW58" s="294">
        <f t="shared" si="43"/>
        <v>10486159.139999999</v>
      </c>
      <c r="RX58" s="294">
        <f t="shared" si="43"/>
        <v>16570436.27</v>
      </c>
      <c r="RY58" s="294">
        <f t="shared" si="43"/>
        <v>4744458.53</v>
      </c>
      <c r="RZ58" s="294">
        <f t="shared" si="43"/>
        <v>9486593.2599999998</v>
      </c>
      <c r="SA58" s="294">
        <f t="shared" si="43"/>
        <v>117170533.87</v>
      </c>
      <c r="SB58" s="294">
        <f t="shared" si="43"/>
        <v>24976422.880000003</v>
      </c>
      <c r="SC58" s="294">
        <f t="shared" si="43"/>
        <v>21182152.890000001</v>
      </c>
      <c r="SD58" s="294">
        <f t="shared" si="43"/>
        <v>24463622.579999998</v>
      </c>
      <c r="SE58" s="294">
        <f t="shared" si="43"/>
        <v>16879668.5</v>
      </c>
      <c r="SF58" s="294">
        <f t="shared" si="43"/>
        <v>18310857.34</v>
      </c>
      <c r="SG58" s="294">
        <f t="shared" si="43"/>
        <v>32907613.43</v>
      </c>
      <c r="SH58" s="294">
        <f t="shared" si="43"/>
        <v>35504037.010000005</v>
      </c>
      <c r="SI58" s="294">
        <f t="shared" si="43"/>
        <v>33530020.070000004</v>
      </c>
      <c r="SJ58" s="294">
        <f t="shared" si="43"/>
        <v>31780442.620000001</v>
      </c>
      <c r="SK58" s="294">
        <f t="shared" si="43"/>
        <v>19150288.48</v>
      </c>
      <c r="SL58" s="294">
        <f t="shared" si="43"/>
        <v>4146603.3899999997</v>
      </c>
      <c r="SM58" s="294">
        <f t="shared" si="43"/>
        <v>125421509.49999999</v>
      </c>
      <c r="SN58" s="294">
        <f t="shared" si="43"/>
        <v>31053140.029999997</v>
      </c>
      <c r="SO58" s="294">
        <f t="shared" si="43"/>
        <v>23266303.170000002</v>
      </c>
      <c r="SP58" s="294">
        <f t="shared" si="43"/>
        <v>33643132.090000004</v>
      </c>
      <c r="SQ58" s="294">
        <f t="shared" si="43"/>
        <v>29552801.460000001</v>
      </c>
      <c r="SR58" s="294">
        <f t="shared" si="43"/>
        <v>23236390.409999996</v>
      </c>
      <c r="SS58" s="294">
        <f t="shared" si="43"/>
        <v>26353240.910000004</v>
      </c>
      <c r="ST58" s="294">
        <f t="shared" si="43"/>
        <v>18323983.940000001</v>
      </c>
      <c r="SU58" s="294">
        <f t="shared" si="43"/>
        <v>108141901.98999999</v>
      </c>
      <c r="SV58" s="294">
        <f t="shared" si="43"/>
        <v>14939655.98</v>
      </c>
      <c r="SW58" s="294">
        <f t="shared" ref="SW58:VH58" si="44">SUM(SW44:SW57)</f>
        <v>24657742.52</v>
      </c>
      <c r="SX58" s="294">
        <f t="shared" si="44"/>
        <v>23302812.27</v>
      </c>
      <c r="SY58" s="294">
        <f t="shared" si="44"/>
        <v>6993452.7199999997</v>
      </c>
      <c r="SZ58" s="294">
        <f t="shared" si="44"/>
        <v>15318314.920000002</v>
      </c>
      <c r="TA58" s="294">
        <f t="shared" si="44"/>
        <v>5119682.78</v>
      </c>
      <c r="TB58" s="294">
        <f t="shared" si="44"/>
        <v>28396500.289999999</v>
      </c>
      <c r="TC58" s="294">
        <f t="shared" si="44"/>
        <v>7254647.1799999997</v>
      </c>
      <c r="TD58" s="294">
        <f t="shared" si="44"/>
        <v>8766040.4299999997</v>
      </c>
      <c r="TE58" s="294">
        <f t="shared" si="44"/>
        <v>22898515.989999998</v>
      </c>
      <c r="TF58" s="294">
        <f t="shared" si="44"/>
        <v>24462818.440000001</v>
      </c>
      <c r="TG58" s="294">
        <f t="shared" si="44"/>
        <v>52867879.429999992</v>
      </c>
      <c r="TH58" s="294">
        <f t="shared" si="44"/>
        <v>9858313.7100000009</v>
      </c>
      <c r="TI58" s="294">
        <f t="shared" si="44"/>
        <v>300673512.92000002</v>
      </c>
      <c r="TJ58" s="294">
        <f t="shared" si="44"/>
        <v>17261205.469999999</v>
      </c>
      <c r="TK58" s="294">
        <f t="shared" si="44"/>
        <v>25377599.949999999</v>
      </c>
      <c r="TL58" s="294">
        <f t="shared" si="44"/>
        <v>26033540.219999999</v>
      </c>
      <c r="TM58" s="294">
        <f t="shared" si="44"/>
        <v>6224826.6599999992</v>
      </c>
      <c r="TN58" s="294">
        <f t="shared" si="44"/>
        <v>9467886.8200000003</v>
      </c>
      <c r="TO58" s="294">
        <f t="shared" si="44"/>
        <v>10058573.27</v>
      </c>
      <c r="TP58" s="294">
        <f t="shared" si="44"/>
        <v>39733134.370000005</v>
      </c>
      <c r="TQ58" s="294">
        <f t="shared" si="44"/>
        <v>16773627.819999998</v>
      </c>
      <c r="TR58" s="294">
        <f t="shared" si="44"/>
        <v>10055328.919999998</v>
      </c>
      <c r="TS58" s="294">
        <f t="shared" si="44"/>
        <v>3085604.99</v>
      </c>
      <c r="TT58" s="294">
        <f t="shared" si="44"/>
        <v>24016874.23</v>
      </c>
      <c r="TU58" s="294">
        <f t="shared" si="44"/>
        <v>8015780.9299999997</v>
      </c>
      <c r="TV58" s="294">
        <f t="shared" si="44"/>
        <v>8544306.2899999991</v>
      </c>
      <c r="TW58" s="294">
        <f t="shared" si="44"/>
        <v>23927718.57</v>
      </c>
      <c r="TX58" s="294">
        <f t="shared" si="44"/>
        <v>15340313.84</v>
      </c>
      <c r="TY58" s="294">
        <f t="shared" si="44"/>
        <v>90454183.090000004</v>
      </c>
      <c r="TZ58" s="294">
        <f t="shared" si="44"/>
        <v>13235471.629999999</v>
      </c>
      <c r="UA58" s="294">
        <f t="shared" si="44"/>
        <v>330691458.59999996</v>
      </c>
      <c r="UB58" s="294">
        <f t="shared" si="44"/>
        <v>27074699.950000003</v>
      </c>
      <c r="UC58" s="294">
        <f t="shared" si="44"/>
        <v>10766565.359999999</v>
      </c>
      <c r="UD58" s="294">
        <f t="shared" si="44"/>
        <v>6392228.3199999994</v>
      </c>
      <c r="UE58" s="294">
        <f t="shared" si="44"/>
        <v>31899717.300000004</v>
      </c>
      <c r="UF58" s="294">
        <f t="shared" si="44"/>
        <v>15747576</v>
      </c>
      <c r="UG58" s="294">
        <f t="shared" si="44"/>
        <v>6083146.1699999999</v>
      </c>
      <c r="UH58" s="294">
        <f t="shared" si="44"/>
        <v>34635979.399999999</v>
      </c>
      <c r="UI58" s="294">
        <f t="shared" si="44"/>
        <v>4042784.92</v>
      </c>
      <c r="UJ58" s="294">
        <f t="shared" si="44"/>
        <v>175323760.85999998</v>
      </c>
      <c r="UK58" s="294">
        <f t="shared" si="44"/>
        <v>23531643.66</v>
      </c>
      <c r="UL58" s="294">
        <f t="shared" si="44"/>
        <v>18046230.760000002</v>
      </c>
      <c r="UM58" s="294">
        <f t="shared" si="44"/>
        <v>19404146.41</v>
      </c>
      <c r="UN58" s="294">
        <f t="shared" si="44"/>
        <v>18969801.669999998</v>
      </c>
      <c r="UO58" s="294">
        <f t="shared" si="44"/>
        <v>15600545.750000002</v>
      </c>
      <c r="UP58" s="294">
        <f t="shared" si="44"/>
        <v>803629177.35000002</v>
      </c>
      <c r="UQ58" s="294">
        <f t="shared" si="44"/>
        <v>24301941.639999997</v>
      </c>
      <c r="UR58" s="294">
        <f t="shared" si="44"/>
        <v>17879425.48</v>
      </c>
      <c r="US58" s="294">
        <f t="shared" si="44"/>
        <v>31442527.309999999</v>
      </c>
      <c r="UT58" s="294">
        <f t="shared" si="44"/>
        <v>5992645.6299999999</v>
      </c>
      <c r="UU58" s="294">
        <f t="shared" si="44"/>
        <v>9347068.5199999996</v>
      </c>
      <c r="UV58" s="294">
        <f t="shared" si="44"/>
        <v>35869741.910000004</v>
      </c>
      <c r="UW58" s="294">
        <f t="shared" si="44"/>
        <v>10262284.24</v>
      </c>
      <c r="UX58" s="294">
        <f t="shared" si="44"/>
        <v>5414103.5099999998</v>
      </c>
      <c r="UY58" s="294">
        <f t="shared" si="44"/>
        <v>31394873.530000001</v>
      </c>
      <c r="UZ58" s="294">
        <f t="shared" si="44"/>
        <v>15717333.68</v>
      </c>
      <c r="VA58" s="294">
        <f t="shared" si="44"/>
        <v>35330366.609999999</v>
      </c>
      <c r="VB58" s="294">
        <f t="shared" si="44"/>
        <v>43030581.299999997</v>
      </c>
      <c r="VC58" s="294">
        <f t="shared" si="44"/>
        <v>53623877.359999999</v>
      </c>
      <c r="VD58" s="294">
        <f t="shared" si="44"/>
        <v>19294200.600000001</v>
      </c>
      <c r="VE58" s="294">
        <f t="shared" si="44"/>
        <v>15916599.18</v>
      </c>
      <c r="VF58" s="294">
        <f t="shared" si="44"/>
        <v>21734015.43</v>
      </c>
      <c r="VG58" s="294">
        <f t="shared" si="44"/>
        <v>9531231.75</v>
      </c>
      <c r="VH58" s="294">
        <f t="shared" si="44"/>
        <v>29171443.960000001</v>
      </c>
      <c r="VI58" s="294">
        <f t="shared" ref="VI58:XT58" si="45">SUM(VI44:VI57)</f>
        <v>3938312.11</v>
      </c>
      <c r="VJ58" s="294">
        <f t="shared" si="45"/>
        <v>14165031.560000001</v>
      </c>
      <c r="VK58" s="294">
        <f t="shared" si="45"/>
        <v>18865333.950000003</v>
      </c>
      <c r="VL58" s="294">
        <f t="shared" si="45"/>
        <v>356621958.61999995</v>
      </c>
      <c r="VM58" s="294">
        <f t="shared" si="45"/>
        <v>27353190.880000003</v>
      </c>
      <c r="VN58" s="294">
        <f t="shared" si="45"/>
        <v>43052490.849999994</v>
      </c>
      <c r="VO58" s="294">
        <f t="shared" si="45"/>
        <v>38376902.090000004</v>
      </c>
      <c r="VP58" s="294">
        <f t="shared" si="45"/>
        <v>41932689.709999993</v>
      </c>
      <c r="VQ58" s="294">
        <f t="shared" si="45"/>
        <v>31737558.780000001</v>
      </c>
      <c r="VR58" s="294">
        <f t="shared" si="45"/>
        <v>28333542.91</v>
      </c>
      <c r="VS58" s="294">
        <f t="shared" si="45"/>
        <v>7283347.4100000001</v>
      </c>
      <c r="VT58" s="294">
        <f t="shared" si="45"/>
        <v>40474229.690000005</v>
      </c>
      <c r="VU58" s="294">
        <f t="shared" si="45"/>
        <v>124170200.70999999</v>
      </c>
      <c r="VV58" s="294">
        <f t="shared" si="45"/>
        <v>17331675.52</v>
      </c>
      <c r="VW58" s="294">
        <f t="shared" si="45"/>
        <v>77622188.950000018</v>
      </c>
      <c r="VX58" s="294">
        <f t="shared" si="45"/>
        <v>28211508.289999999</v>
      </c>
      <c r="VY58" s="294">
        <f t="shared" si="45"/>
        <v>42927621.310000002</v>
      </c>
      <c r="VZ58" s="294">
        <f t="shared" si="45"/>
        <v>6099665.6600000001</v>
      </c>
      <c r="WA58" s="294">
        <f t="shared" si="45"/>
        <v>1855599514.3199997</v>
      </c>
      <c r="WB58" s="294">
        <f t="shared" si="45"/>
        <v>41750877.299999997</v>
      </c>
      <c r="WC58" s="294">
        <f t="shared" si="45"/>
        <v>64889808.179999992</v>
      </c>
      <c r="WD58" s="294">
        <f t="shared" si="45"/>
        <v>35098356.419999994</v>
      </c>
      <c r="WE58" s="294">
        <f t="shared" si="45"/>
        <v>20089197.310000002</v>
      </c>
      <c r="WF58" s="294">
        <f t="shared" si="45"/>
        <v>15600224.190000001</v>
      </c>
      <c r="WG58" s="294">
        <f t="shared" si="45"/>
        <v>35680362.510000005</v>
      </c>
      <c r="WH58" s="294">
        <f t="shared" si="45"/>
        <v>35084552.68</v>
      </c>
      <c r="WI58" s="294">
        <f t="shared" si="45"/>
        <v>52028964.019999996</v>
      </c>
      <c r="WJ58" s="294">
        <f t="shared" si="45"/>
        <v>35783551.689999998</v>
      </c>
      <c r="WK58" s="294">
        <f t="shared" si="45"/>
        <v>10661711.780000001</v>
      </c>
      <c r="WL58" s="294">
        <f t="shared" si="45"/>
        <v>31596703.741</v>
      </c>
      <c r="WM58" s="294">
        <f t="shared" si="45"/>
        <v>37030918.130000003</v>
      </c>
      <c r="WN58" s="294">
        <f t="shared" si="45"/>
        <v>62583339.310000002</v>
      </c>
      <c r="WO58" s="294">
        <f t="shared" si="45"/>
        <v>65614312</v>
      </c>
      <c r="WP58" s="294">
        <f t="shared" si="45"/>
        <v>43206293.110000007</v>
      </c>
      <c r="WQ58" s="294">
        <f t="shared" si="45"/>
        <v>31496209.77</v>
      </c>
      <c r="WR58" s="294">
        <f t="shared" si="45"/>
        <v>34778106.210000001</v>
      </c>
      <c r="WS58" s="294">
        <f t="shared" si="45"/>
        <v>12341672.680000002</v>
      </c>
      <c r="WT58" s="294">
        <f t="shared" si="45"/>
        <v>46956787.030000001</v>
      </c>
      <c r="WU58" s="294">
        <f t="shared" si="45"/>
        <v>161463089.28000003</v>
      </c>
      <c r="WV58" s="294">
        <f t="shared" si="45"/>
        <v>18064740.650000002</v>
      </c>
      <c r="WW58" s="294">
        <f t="shared" si="45"/>
        <v>35080572.559999995</v>
      </c>
      <c r="WX58" s="294">
        <f t="shared" si="45"/>
        <v>22209213.290000003</v>
      </c>
      <c r="WY58" s="294">
        <f t="shared" si="45"/>
        <v>29244576.080000002</v>
      </c>
      <c r="WZ58" s="294">
        <f t="shared" si="45"/>
        <v>12988664.909999998</v>
      </c>
      <c r="XA58" s="294">
        <f t="shared" si="45"/>
        <v>10257228.719999999</v>
      </c>
      <c r="XB58" s="294">
        <f t="shared" si="45"/>
        <v>28870528.09</v>
      </c>
      <c r="XC58" s="294">
        <f t="shared" si="45"/>
        <v>179822475.51000002</v>
      </c>
      <c r="XD58" s="294">
        <f t="shared" si="45"/>
        <v>9763948.9000000004</v>
      </c>
      <c r="XE58" s="294">
        <f t="shared" si="45"/>
        <v>25274900.27</v>
      </c>
      <c r="XF58" s="294">
        <f t="shared" si="45"/>
        <v>18090552.529999997</v>
      </c>
      <c r="XG58" s="294">
        <f t="shared" si="45"/>
        <v>22418084.27</v>
      </c>
      <c r="XH58" s="294">
        <f t="shared" si="45"/>
        <v>926962677.68000007</v>
      </c>
      <c r="XI58" s="294">
        <f t="shared" si="45"/>
        <v>38114800.789999999</v>
      </c>
      <c r="XJ58" s="294">
        <f t="shared" si="45"/>
        <v>113878321.52</v>
      </c>
      <c r="XK58" s="294">
        <f t="shared" si="45"/>
        <v>91954378.49000001</v>
      </c>
      <c r="XL58" s="294">
        <f t="shared" si="45"/>
        <v>28683287.619999997</v>
      </c>
      <c r="XM58" s="294">
        <f t="shared" si="45"/>
        <v>22377704.82</v>
      </c>
      <c r="XN58" s="294">
        <f t="shared" si="45"/>
        <v>37714117.909999996</v>
      </c>
      <c r="XO58" s="294">
        <f t="shared" si="45"/>
        <v>88736864.340000004</v>
      </c>
      <c r="XP58" s="294">
        <f t="shared" si="45"/>
        <v>16360423.620000001</v>
      </c>
      <c r="XQ58" s="294">
        <f t="shared" si="45"/>
        <v>38519007.699999996</v>
      </c>
      <c r="XR58" s="294">
        <f t="shared" si="45"/>
        <v>69642960.13000001</v>
      </c>
      <c r="XS58" s="294">
        <f t="shared" si="45"/>
        <v>19526885.420000002</v>
      </c>
      <c r="XT58" s="294">
        <f t="shared" si="45"/>
        <v>19374334.969999999</v>
      </c>
      <c r="XU58" s="294">
        <f t="shared" ref="XU58:AAF58" si="46">SUM(XU44:XU57)</f>
        <v>25150615.23</v>
      </c>
      <c r="XV58" s="294">
        <f t="shared" si="46"/>
        <v>59302710.499999993</v>
      </c>
      <c r="XW58" s="294">
        <f t="shared" si="46"/>
        <v>13236896.119999999</v>
      </c>
      <c r="XX58" s="294">
        <f t="shared" si="46"/>
        <v>19116590.129999999</v>
      </c>
      <c r="XY58" s="294">
        <f t="shared" si="46"/>
        <v>22782592.449999999</v>
      </c>
      <c r="XZ58" s="294">
        <f t="shared" si="46"/>
        <v>14598355.359999999</v>
      </c>
      <c r="YA58" s="294">
        <f t="shared" si="46"/>
        <v>17633042.879999999</v>
      </c>
      <c r="YB58" s="294">
        <f t="shared" si="46"/>
        <v>16018723.08</v>
      </c>
      <c r="YC58" s="294">
        <f t="shared" si="46"/>
        <v>65093639.570000008</v>
      </c>
      <c r="YD58" s="294">
        <f t="shared" si="46"/>
        <v>47138560.020000003</v>
      </c>
      <c r="YE58" s="294">
        <f t="shared" si="46"/>
        <v>747626357.86000001</v>
      </c>
      <c r="YF58" s="294">
        <f t="shared" si="46"/>
        <v>35059145.810000002</v>
      </c>
      <c r="YG58" s="294">
        <f t="shared" si="46"/>
        <v>79686711.310000002</v>
      </c>
      <c r="YH58" s="294">
        <f t="shared" si="46"/>
        <v>68666140.299999997</v>
      </c>
      <c r="YI58" s="294">
        <f t="shared" si="46"/>
        <v>140567208.21000001</v>
      </c>
      <c r="YJ58" s="294">
        <f t="shared" si="46"/>
        <v>20667982.59</v>
      </c>
      <c r="YK58" s="294">
        <f t="shared" si="46"/>
        <v>89852402.469999999</v>
      </c>
      <c r="YL58" s="294">
        <f t="shared" si="46"/>
        <v>24911062.170000002</v>
      </c>
      <c r="YM58" s="294">
        <f t="shared" si="46"/>
        <v>34617448.150000006</v>
      </c>
      <c r="YN58" s="294">
        <f t="shared" si="46"/>
        <v>53835178.299999997</v>
      </c>
      <c r="YO58" s="294">
        <f t="shared" si="46"/>
        <v>46777195.910000004</v>
      </c>
      <c r="YP58" s="294">
        <f t="shared" si="46"/>
        <v>26395395.669999998</v>
      </c>
      <c r="YQ58" s="294">
        <f t="shared" si="46"/>
        <v>49426741.760000005</v>
      </c>
      <c r="YR58" s="294">
        <f t="shared" si="46"/>
        <v>26406974.759999998</v>
      </c>
      <c r="YS58" s="294">
        <f t="shared" si="46"/>
        <v>75963877.850000009</v>
      </c>
      <c r="YT58" s="294">
        <f t="shared" si="46"/>
        <v>92393030.909999996</v>
      </c>
      <c r="YU58" s="294">
        <f t="shared" si="46"/>
        <v>36395103.310000002</v>
      </c>
      <c r="YV58" s="294">
        <f t="shared" si="46"/>
        <v>185452252.93000001</v>
      </c>
      <c r="YW58" s="294">
        <f t="shared" si="46"/>
        <v>14525598.060000002</v>
      </c>
      <c r="YX58" s="294">
        <f t="shared" si="46"/>
        <v>26602803.280000001</v>
      </c>
      <c r="YY58" s="294">
        <f t="shared" si="46"/>
        <v>21847326.140000004</v>
      </c>
      <c r="YZ58" s="294">
        <f t="shared" si="46"/>
        <v>11353249.41</v>
      </c>
      <c r="ZA58" s="294">
        <f t="shared" si="46"/>
        <v>14869523.919999998</v>
      </c>
      <c r="ZB58" s="294">
        <f t="shared" si="46"/>
        <v>22313467.189999998</v>
      </c>
      <c r="ZC58" s="294">
        <f t="shared" si="46"/>
        <v>124780963.71999998</v>
      </c>
      <c r="ZD58" s="294">
        <f t="shared" si="46"/>
        <v>11332031.319999998</v>
      </c>
      <c r="ZE58" s="294">
        <f t="shared" si="46"/>
        <v>37521190.350000001</v>
      </c>
      <c r="ZF58" s="294">
        <f t="shared" si="46"/>
        <v>8346712.25</v>
      </c>
      <c r="ZG58" s="294">
        <f t="shared" si="46"/>
        <v>39979954.780000001</v>
      </c>
      <c r="ZH58" s="294">
        <f t="shared" si="46"/>
        <v>5436632.9000000004</v>
      </c>
      <c r="ZI58" s="294">
        <f t="shared" si="46"/>
        <v>13912874.91</v>
      </c>
      <c r="ZJ58" s="294">
        <f t="shared" si="46"/>
        <v>12783414.280000001</v>
      </c>
      <c r="ZK58" s="294">
        <f t="shared" si="46"/>
        <v>34010973.869999997</v>
      </c>
      <c r="ZL58" s="294">
        <f t="shared" si="46"/>
        <v>372080671.75</v>
      </c>
      <c r="ZM58" s="294">
        <f t="shared" si="46"/>
        <v>26260912.550000001</v>
      </c>
      <c r="ZN58" s="294">
        <f t="shared" si="46"/>
        <v>69430442.859999999</v>
      </c>
      <c r="ZO58" s="294">
        <f t="shared" si="46"/>
        <v>262272344.18000001</v>
      </c>
      <c r="ZP58" s="294">
        <f t="shared" si="46"/>
        <v>103114424.62999998</v>
      </c>
      <c r="ZQ58" s="294">
        <f t="shared" si="46"/>
        <v>49595564.490000002</v>
      </c>
      <c r="ZR58" s="294">
        <f t="shared" si="46"/>
        <v>42245598.829999998</v>
      </c>
      <c r="ZS58" s="294">
        <f t="shared" si="46"/>
        <v>142926416.37</v>
      </c>
      <c r="ZT58" s="294">
        <f t="shared" si="46"/>
        <v>321496418.73999995</v>
      </c>
      <c r="ZU58" s="294">
        <f t="shared" si="46"/>
        <v>31967204.169999998</v>
      </c>
      <c r="ZV58" s="294">
        <f t="shared" si="46"/>
        <v>38873833.219999999</v>
      </c>
      <c r="ZW58" s="294">
        <f t="shared" si="46"/>
        <v>40491241.959999993</v>
      </c>
      <c r="ZX58" s="294">
        <f t="shared" si="46"/>
        <v>22284987.34</v>
      </c>
      <c r="ZY58" s="294">
        <f t="shared" si="46"/>
        <v>32105349.439999998</v>
      </c>
      <c r="ZZ58" s="294">
        <f t="shared" si="46"/>
        <v>14881741.09</v>
      </c>
      <c r="AAA58" s="294">
        <f t="shared" si="46"/>
        <v>23390486.949999996</v>
      </c>
      <c r="AAB58" s="294">
        <f t="shared" si="46"/>
        <v>26535693.960000005</v>
      </c>
      <c r="AAC58" s="294">
        <f t="shared" si="46"/>
        <v>12240006.379999999</v>
      </c>
      <c r="AAD58" s="294">
        <f t="shared" si="46"/>
        <v>34931871.579999998</v>
      </c>
      <c r="AAE58" s="294">
        <f t="shared" si="46"/>
        <v>50269846.820000008</v>
      </c>
      <c r="AAF58" s="294">
        <f t="shared" si="46"/>
        <v>8377457.2999999998</v>
      </c>
      <c r="AAG58" s="294">
        <f t="shared" ref="AAG58:ACR58" si="47">SUM(AAG44:AAG57)</f>
        <v>25371539.849999998</v>
      </c>
      <c r="AAH58" s="294">
        <f t="shared" si="47"/>
        <v>112482629.69999999</v>
      </c>
      <c r="AAI58" s="294">
        <f t="shared" si="47"/>
        <v>14835131.07</v>
      </c>
      <c r="AAJ58" s="294">
        <f t="shared" si="47"/>
        <v>19216703.580000002</v>
      </c>
      <c r="AAK58" s="294">
        <f t="shared" si="47"/>
        <v>4999221.88</v>
      </c>
      <c r="AAL58" s="294">
        <f t="shared" si="47"/>
        <v>14979832.15</v>
      </c>
      <c r="AAM58" s="294">
        <f t="shared" si="47"/>
        <v>8213801.5199999996</v>
      </c>
      <c r="AAN58" s="294">
        <f t="shared" si="47"/>
        <v>13044055.180000002</v>
      </c>
      <c r="AAO58" s="294">
        <f t="shared" si="47"/>
        <v>1564131295.6799998</v>
      </c>
      <c r="AAP58" s="294">
        <f t="shared" si="47"/>
        <v>18802643.740000002</v>
      </c>
      <c r="AAQ58" s="294">
        <f t="shared" si="47"/>
        <v>29265755.91</v>
      </c>
      <c r="AAR58" s="294">
        <f t="shared" si="47"/>
        <v>65537084.079999998</v>
      </c>
      <c r="AAS58" s="294">
        <f t="shared" si="47"/>
        <v>48826692.119999997</v>
      </c>
      <c r="AAT58" s="294">
        <f t="shared" si="47"/>
        <v>53555427.25</v>
      </c>
      <c r="AAU58" s="294">
        <f t="shared" si="47"/>
        <v>24291609.09</v>
      </c>
      <c r="AAV58" s="294">
        <f t="shared" si="47"/>
        <v>35418777.009999998</v>
      </c>
      <c r="AAW58" s="294">
        <f t="shared" si="47"/>
        <v>60927980.469999999</v>
      </c>
      <c r="AAX58" s="294">
        <f t="shared" si="47"/>
        <v>26325565.939999998</v>
      </c>
      <c r="AAY58" s="294">
        <f t="shared" si="47"/>
        <v>24707961.25</v>
      </c>
      <c r="AAZ58" s="294">
        <f t="shared" si="47"/>
        <v>108643969.63999999</v>
      </c>
      <c r="ABA58" s="294">
        <f t="shared" si="47"/>
        <v>39171081.130000003</v>
      </c>
      <c r="ABB58" s="294">
        <f t="shared" si="47"/>
        <v>5040493.5299999993</v>
      </c>
      <c r="ABC58" s="294">
        <f t="shared" si="47"/>
        <v>12237893.060000001</v>
      </c>
      <c r="ABD58" s="294">
        <f t="shared" si="47"/>
        <v>17926158.199999999</v>
      </c>
      <c r="ABE58" s="294">
        <f t="shared" si="47"/>
        <v>22435922.109999999</v>
      </c>
      <c r="ABF58" s="294">
        <f t="shared" si="47"/>
        <v>30848862.739999998</v>
      </c>
      <c r="ABG58" s="294">
        <f t="shared" si="47"/>
        <v>11835678.279999999</v>
      </c>
      <c r="ABH58" s="294">
        <f t="shared" si="47"/>
        <v>85442571.709999993</v>
      </c>
      <c r="ABI58" s="294">
        <f t="shared" si="47"/>
        <v>45619373.059999995</v>
      </c>
      <c r="ABJ58" s="294">
        <f t="shared" si="47"/>
        <v>43237862.509999998</v>
      </c>
      <c r="ABK58" s="294">
        <f t="shared" si="47"/>
        <v>8599886.8800000008</v>
      </c>
      <c r="ABL58" s="294">
        <f t="shared" si="47"/>
        <v>14490994.720000003</v>
      </c>
      <c r="ABM58" s="294">
        <f t="shared" si="47"/>
        <v>35464584.610000007</v>
      </c>
      <c r="ABN58" s="294">
        <f t="shared" si="47"/>
        <v>18499064</v>
      </c>
      <c r="ABO58" s="294">
        <f t="shared" si="47"/>
        <v>251736064.59000003</v>
      </c>
      <c r="ABP58" s="294">
        <f t="shared" si="47"/>
        <v>66871950.210000001</v>
      </c>
      <c r="ABQ58" s="294">
        <f t="shared" si="47"/>
        <v>5439715.96</v>
      </c>
      <c r="ABR58" s="294">
        <f t="shared" si="47"/>
        <v>76080105.209999993</v>
      </c>
      <c r="ABS58" s="294">
        <f t="shared" si="47"/>
        <v>23049956.32</v>
      </c>
      <c r="ABT58" s="294">
        <f t="shared" si="47"/>
        <v>23286454.48</v>
      </c>
      <c r="ABU58" s="294">
        <f t="shared" si="47"/>
        <v>16138378.569999998</v>
      </c>
      <c r="ABV58" s="294">
        <f t="shared" si="47"/>
        <v>15051891.969999999</v>
      </c>
      <c r="ABW58" s="294">
        <f t="shared" si="47"/>
        <v>31987465.030000001</v>
      </c>
      <c r="ABX58" s="294">
        <f t="shared" si="47"/>
        <v>219893543.58000001</v>
      </c>
      <c r="ABY58" s="294">
        <f t="shared" si="47"/>
        <v>31415539.02</v>
      </c>
      <c r="ABZ58" s="294">
        <f t="shared" si="47"/>
        <v>57909985.57</v>
      </c>
      <c r="ACA58" s="294">
        <f t="shared" si="47"/>
        <v>11957701.48</v>
      </c>
      <c r="ACB58" s="294">
        <f t="shared" si="47"/>
        <v>19384232.910000004</v>
      </c>
      <c r="ACC58" s="294">
        <f t="shared" si="47"/>
        <v>65657399.839999989</v>
      </c>
      <c r="ACD58" s="294">
        <f t="shared" si="47"/>
        <v>5921746.8499999996</v>
      </c>
      <c r="ACE58" s="294">
        <f t="shared" si="47"/>
        <v>12106298.33</v>
      </c>
      <c r="ACF58" s="294">
        <f t="shared" si="47"/>
        <v>9576983.9499999993</v>
      </c>
      <c r="ACG58" s="294">
        <f t="shared" si="47"/>
        <v>27581075.530000001</v>
      </c>
      <c r="ACH58" s="294">
        <f t="shared" si="47"/>
        <v>15188414.149999999</v>
      </c>
      <c r="ACI58" s="294">
        <f t="shared" si="47"/>
        <v>601061541.51999998</v>
      </c>
      <c r="ACJ58" s="294">
        <f t="shared" si="47"/>
        <v>10821926.060000001</v>
      </c>
      <c r="ACK58" s="294">
        <f t="shared" si="47"/>
        <v>13095796.150000002</v>
      </c>
      <c r="ACL58" s="294">
        <f t="shared" si="47"/>
        <v>32055401.740000002</v>
      </c>
      <c r="ACM58" s="294">
        <f t="shared" si="47"/>
        <v>13004665.84</v>
      </c>
      <c r="ACN58" s="294">
        <f t="shared" si="47"/>
        <v>24431154.16</v>
      </c>
      <c r="ACO58" s="294">
        <f t="shared" si="47"/>
        <v>40913688.81000001</v>
      </c>
      <c r="ACP58" s="294">
        <f t="shared" si="47"/>
        <v>245511205.92999998</v>
      </c>
      <c r="ACQ58" s="294">
        <f t="shared" si="47"/>
        <v>263426520.26000005</v>
      </c>
      <c r="ACR58" s="294">
        <f t="shared" si="47"/>
        <v>17103414.390000001</v>
      </c>
      <c r="ACS58" s="294">
        <f t="shared" ref="ACS58:AFD58" si="48">SUM(ACS44:ACS57)</f>
        <v>47544716.630000003</v>
      </c>
      <c r="ACT58" s="294">
        <f t="shared" si="48"/>
        <v>59891392.100000001</v>
      </c>
      <c r="ACU58" s="294">
        <f t="shared" si="48"/>
        <v>24302279.550000001</v>
      </c>
      <c r="ACV58" s="294">
        <f t="shared" si="48"/>
        <v>305201946.58999997</v>
      </c>
      <c r="ACW58" s="294">
        <f t="shared" si="48"/>
        <v>12360451.74</v>
      </c>
      <c r="ACX58" s="294">
        <f t="shared" si="48"/>
        <v>33512902.699999999</v>
      </c>
      <c r="ACY58" s="294">
        <f t="shared" si="48"/>
        <v>56423579.790000007</v>
      </c>
      <c r="ACZ58" s="294">
        <f t="shared" si="48"/>
        <v>10624034.52</v>
      </c>
      <c r="ADA58" s="294">
        <f t="shared" si="48"/>
        <v>14281657.109999999</v>
      </c>
      <c r="ADB58" s="294">
        <f t="shared" si="48"/>
        <v>6808844.5599999996</v>
      </c>
      <c r="ADC58" s="294">
        <f t="shared" si="48"/>
        <v>15055430.029999999</v>
      </c>
      <c r="ADD58" s="294">
        <f t="shared" si="48"/>
        <v>28657039.609999999</v>
      </c>
      <c r="ADE58" s="294">
        <f t="shared" si="48"/>
        <v>49980896.380000003</v>
      </c>
      <c r="ADF58" s="294">
        <f t="shared" si="48"/>
        <v>28117860.940000001</v>
      </c>
      <c r="ADG58" s="294">
        <f t="shared" si="48"/>
        <v>35693193.68</v>
      </c>
      <c r="ADH58" s="294">
        <f t="shared" si="48"/>
        <v>20934030.109999999</v>
      </c>
      <c r="ADI58" s="294">
        <f t="shared" si="48"/>
        <v>10080316.579999998</v>
      </c>
      <c r="ADJ58" s="294">
        <f t="shared" si="48"/>
        <v>13671003.609999999</v>
      </c>
      <c r="ADK58" s="294">
        <f t="shared" si="48"/>
        <v>16664912.030000001</v>
      </c>
      <c r="ADL58" s="294">
        <f t="shared" si="48"/>
        <v>28568242.649999999</v>
      </c>
      <c r="ADM58" s="294">
        <f t="shared" si="48"/>
        <v>23822242.049999993</v>
      </c>
      <c r="ADN58" s="294">
        <f t="shared" si="48"/>
        <v>18034292.27</v>
      </c>
      <c r="ADO58" s="294">
        <f t="shared" si="48"/>
        <v>381891445.55000001</v>
      </c>
      <c r="ADP58" s="294">
        <f t="shared" si="48"/>
        <v>128335052.19</v>
      </c>
      <c r="ADQ58" s="294">
        <f t="shared" si="48"/>
        <v>43704062.050000004</v>
      </c>
      <c r="ADR58" s="294">
        <f t="shared" si="48"/>
        <v>21888745.379999999</v>
      </c>
      <c r="ADS58" s="294">
        <f t="shared" si="48"/>
        <v>131398490.26000001</v>
      </c>
      <c r="ADT58" s="294">
        <f t="shared" si="48"/>
        <v>1626778.9100000001</v>
      </c>
      <c r="ADU58" s="294">
        <f t="shared" si="48"/>
        <v>9263354.3500000015</v>
      </c>
      <c r="ADV58" s="294">
        <f t="shared" si="48"/>
        <v>27773216.960000001</v>
      </c>
      <c r="ADW58" s="294">
        <f t="shared" si="48"/>
        <v>889228.58</v>
      </c>
      <c r="ADX58" s="294">
        <f t="shared" si="48"/>
        <v>9816214.8500000015</v>
      </c>
      <c r="ADY58" s="294">
        <f t="shared" si="48"/>
        <v>534516532.85000002</v>
      </c>
      <c r="ADZ58" s="294">
        <f t="shared" si="48"/>
        <v>151381770.56999999</v>
      </c>
      <c r="AEA58" s="294">
        <f t="shared" si="48"/>
        <v>25685079.970000003</v>
      </c>
      <c r="AEB58" s="294">
        <f t="shared" si="48"/>
        <v>40670923.710000001</v>
      </c>
      <c r="AEC58" s="294">
        <f t="shared" si="48"/>
        <v>16847452.309999999</v>
      </c>
      <c r="AED58" s="294">
        <f t="shared" si="48"/>
        <v>33434683.430000003</v>
      </c>
      <c r="AEE58" s="294">
        <f t="shared" si="48"/>
        <v>19333455.800000001</v>
      </c>
      <c r="AEF58" s="294">
        <f t="shared" si="48"/>
        <v>22831586.350000001</v>
      </c>
      <c r="AEG58" s="294">
        <f t="shared" si="48"/>
        <v>9512740.9800000004</v>
      </c>
      <c r="AEH58" s="294">
        <f t="shared" si="48"/>
        <v>48398405.299999997</v>
      </c>
      <c r="AEI58" s="294">
        <f t="shared" si="48"/>
        <v>17457841.850000001</v>
      </c>
      <c r="AEJ58" s="294">
        <f t="shared" si="48"/>
        <v>35652236.589999996</v>
      </c>
      <c r="AEK58" s="294">
        <f t="shared" si="48"/>
        <v>12718240.550000001</v>
      </c>
      <c r="AEL58" s="294">
        <f t="shared" si="48"/>
        <v>12799697.24</v>
      </c>
      <c r="AEM58" s="294">
        <f t="shared" si="48"/>
        <v>22878089.640000004</v>
      </c>
      <c r="AEN58" s="294">
        <f t="shared" si="48"/>
        <v>28662938.050000004</v>
      </c>
      <c r="AEO58" s="294">
        <f t="shared" si="48"/>
        <v>12500605.699999999</v>
      </c>
      <c r="AEP58" s="294">
        <f t="shared" si="48"/>
        <v>33785886.700000003</v>
      </c>
      <c r="AEQ58" s="294">
        <f t="shared" si="48"/>
        <v>4629950.8400000008</v>
      </c>
      <c r="AER58" s="294">
        <f t="shared" si="48"/>
        <v>35020374.810000002</v>
      </c>
      <c r="AES58" s="294">
        <f t="shared" si="48"/>
        <v>430104028.70000005</v>
      </c>
      <c r="AET58" s="294">
        <f t="shared" si="48"/>
        <v>41256316.620000005</v>
      </c>
      <c r="AEU58" s="294">
        <f t="shared" si="48"/>
        <v>48778957.849999987</v>
      </c>
      <c r="AEV58" s="294">
        <f t="shared" si="48"/>
        <v>22177446.57</v>
      </c>
      <c r="AEW58" s="294">
        <f t="shared" si="48"/>
        <v>11540949.949999999</v>
      </c>
      <c r="AEX58" s="294">
        <f t="shared" si="48"/>
        <v>61905216.149999991</v>
      </c>
      <c r="AEY58" s="294">
        <f t="shared" si="48"/>
        <v>26370284.379999995</v>
      </c>
      <c r="AEZ58" s="294">
        <f t="shared" si="48"/>
        <v>24041126.600000001</v>
      </c>
      <c r="AFA58" s="294">
        <f t="shared" si="48"/>
        <v>17535580.689999998</v>
      </c>
      <c r="AFB58" s="294">
        <f t="shared" si="48"/>
        <v>12245711.35</v>
      </c>
      <c r="AFC58" s="294">
        <f t="shared" si="48"/>
        <v>309423841.75999999</v>
      </c>
      <c r="AFD58" s="294">
        <f t="shared" si="48"/>
        <v>139063565.52000001</v>
      </c>
      <c r="AFE58" s="294">
        <f t="shared" ref="AFE58:AHP58" si="49">SUM(AFE44:AFE57)</f>
        <v>24702252.500000004</v>
      </c>
      <c r="AFF58" s="294">
        <f t="shared" si="49"/>
        <v>18271485.609999999</v>
      </c>
      <c r="AFG58" s="294">
        <f t="shared" si="49"/>
        <v>40384454.670000002</v>
      </c>
      <c r="AFH58" s="294">
        <f t="shared" si="49"/>
        <v>74859168.61999999</v>
      </c>
      <c r="AFI58" s="294">
        <f t="shared" si="49"/>
        <v>16027839.540000003</v>
      </c>
      <c r="AFJ58" s="294">
        <f t="shared" si="49"/>
        <v>12989740.24</v>
      </c>
      <c r="AFK58" s="294">
        <f t="shared" si="49"/>
        <v>22899774.77</v>
      </c>
      <c r="AFL58" s="294">
        <f t="shared" si="49"/>
        <v>24366094.129999999</v>
      </c>
      <c r="AFM58" s="294">
        <f t="shared" si="49"/>
        <v>6215655.2800000003</v>
      </c>
      <c r="AFN58" s="294">
        <f t="shared" si="49"/>
        <v>9636588.879999999</v>
      </c>
      <c r="AFO58" s="294">
        <f t="shared" si="49"/>
        <v>19453969.73</v>
      </c>
      <c r="AFP58" s="294">
        <f t="shared" si="49"/>
        <v>357047755.78000003</v>
      </c>
      <c r="AFQ58" s="294">
        <f t="shared" si="49"/>
        <v>22678032.399999999</v>
      </c>
      <c r="AFR58" s="294">
        <f t="shared" si="49"/>
        <v>44272281.690000005</v>
      </c>
      <c r="AFS58" s="294">
        <f t="shared" si="49"/>
        <v>14889173.040000001</v>
      </c>
      <c r="AFT58" s="294">
        <f t="shared" si="49"/>
        <v>23543199.480000004</v>
      </c>
      <c r="AFU58" s="294">
        <f t="shared" si="49"/>
        <v>30658255.469999999</v>
      </c>
      <c r="AFV58" s="294">
        <f t="shared" si="49"/>
        <v>22333593.809999999</v>
      </c>
      <c r="AFW58" s="294">
        <f t="shared" si="49"/>
        <v>41607112.909999996</v>
      </c>
      <c r="AFX58" s="294">
        <f t="shared" si="49"/>
        <v>21482421.100000001</v>
      </c>
      <c r="AFY58" s="294">
        <f t="shared" si="49"/>
        <v>15560982.690000001</v>
      </c>
      <c r="AFZ58" s="294">
        <f t="shared" si="49"/>
        <v>34138917.299999997</v>
      </c>
      <c r="AGA58" s="294">
        <f t="shared" si="49"/>
        <v>31904073.970000003</v>
      </c>
      <c r="AGB58" s="294">
        <f t="shared" si="49"/>
        <v>393171356.53000003</v>
      </c>
      <c r="AGC58" s="294">
        <f t="shared" si="49"/>
        <v>32186528.409999996</v>
      </c>
      <c r="AGD58" s="294">
        <f t="shared" si="49"/>
        <v>11026685.079999998</v>
      </c>
      <c r="AGE58" s="294">
        <f t="shared" si="49"/>
        <v>28492896.380000003</v>
      </c>
      <c r="AGF58" s="294">
        <f t="shared" si="49"/>
        <v>65463107.609999999</v>
      </c>
      <c r="AGG58" s="294">
        <f t="shared" si="49"/>
        <v>15872889.92</v>
      </c>
      <c r="AGH58" s="294">
        <f t="shared" si="49"/>
        <v>10000939.439999999</v>
      </c>
      <c r="AGI58" s="294">
        <f t="shared" si="49"/>
        <v>13235523.010000002</v>
      </c>
      <c r="AGJ58" s="294">
        <f t="shared" si="49"/>
        <v>9818951.9000000004</v>
      </c>
      <c r="AGK58" s="294">
        <f t="shared" si="49"/>
        <v>14914512.99</v>
      </c>
      <c r="AGL58" s="294">
        <f t="shared" si="49"/>
        <v>10359835.729999999</v>
      </c>
      <c r="AGM58" s="294">
        <f t="shared" si="49"/>
        <v>714162543.38999987</v>
      </c>
      <c r="AGN58" s="294">
        <f t="shared" si="49"/>
        <v>65567600.79999999</v>
      </c>
      <c r="AGO58" s="294">
        <f t="shared" si="49"/>
        <v>23755201.530000001</v>
      </c>
      <c r="AGP58" s="294">
        <f t="shared" si="49"/>
        <v>18724772.370000001</v>
      </c>
      <c r="AGQ58" s="294">
        <f t="shared" si="49"/>
        <v>54895497.88000001</v>
      </c>
      <c r="AGR58" s="294">
        <f t="shared" si="49"/>
        <v>38420535.729999997</v>
      </c>
      <c r="AGS58" s="294">
        <f t="shared" si="49"/>
        <v>13890822.869999999</v>
      </c>
      <c r="AGT58" s="294">
        <f t="shared" si="49"/>
        <v>30585394.919999998</v>
      </c>
      <c r="AGU58" s="294">
        <f t="shared" si="49"/>
        <v>489231384.39999998</v>
      </c>
      <c r="AGV58" s="294">
        <f t="shared" si="49"/>
        <v>540904427.49000013</v>
      </c>
      <c r="AGW58" s="294">
        <f t="shared" si="49"/>
        <v>12819656.949999999</v>
      </c>
      <c r="AGX58" s="294">
        <f t="shared" si="49"/>
        <v>114901894.03</v>
      </c>
      <c r="AGY58" s="294">
        <f t="shared" si="49"/>
        <v>98443559.26000002</v>
      </c>
      <c r="AGZ58" s="294">
        <f t="shared" si="49"/>
        <v>35670439.279999994</v>
      </c>
      <c r="AHA58" s="294">
        <f t="shared" si="49"/>
        <v>9767697.0999999996</v>
      </c>
      <c r="AHB58" s="294">
        <f t="shared" si="49"/>
        <v>31018798.949999999</v>
      </c>
      <c r="AHC58" s="294">
        <f t="shared" si="49"/>
        <v>8627293.9099999983</v>
      </c>
      <c r="AHD58" s="294">
        <f t="shared" si="49"/>
        <v>38724389.350000001</v>
      </c>
      <c r="AHE58" s="294">
        <f t="shared" si="49"/>
        <v>60273243.739999995</v>
      </c>
      <c r="AHF58" s="294">
        <f t="shared" si="49"/>
        <v>80497058.370000005</v>
      </c>
      <c r="AHG58" s="294">
        <f t="shared" si="49"/>
        <v>9745350.6799999997</v>
      </c>
      <c r="AHH58" s="294">
        <f t="shared" si="49"/>
        <v>22350839.810000006</v>
      </c>
      <c r="AHI58" s="294">
        <f t="shared" si="49"/>
        <v>23230273.290000003</v>
      </c>
      <c r="AHJ58" s="294">
        <f t="shared" si="49"/>
        <v>7796140.6899999995</v>
      </c>
      <c r="AHK58" s="294">
        <f t="shared" si="49"/>
        <v>6205027.2799999993</v>
      </c>
      <c r="AHL58" s="294">
        <f t="shared" si="49"/>
        <v>91498450.040000007</v>
      </c>
      <c r="AHM58" s="294">
        <f t="shared" si="49"/>
        <v>28144304.250000004</v>
      </c>
      <c r="AHN58" s="294">
        <f t="shared" si="49"/>
        <v>24262540.959999997</v>
      </c>
      <c r="AHO58" s="294">
        <f t="shared" si="49"/>
        <v>9559530.7899999991</v>
      </c>
      <c r="AHP58" s="294">
        <f t="shared" si="49"/>
        <v>27245296.239999998</v>
      </c>
      <c r="AHQ58" s="294">
        <f t="shared" ref="AHQ58:AHS58" si="50">SUM(AHQ44:AHQ57)</f>
        <v>18874810.229999997</v>
      </c>
      <c r="AHR58" s="294">
        <f t="shared" si="50"/>
        <v>16635405.34</v>
      </c>
      <c r="AHS58" s="294">
        <f t="shared" si="50"/>
        <v>66285038319.821098</v>
      </c>
    </row>
    <row r="59" spans="1:907" ht="24.6" x14ac:dyDescent="0.7"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  <c r="DJ59" s="294"/>
      <c r="DK59" s="294"/>
      <c r="DL59" s="294"/>
      <c r="DM59" s="294"/>
      <c r="DN59" s="294"/>
      <c r="DO59" s="294"/>
      <c r="DP59" s="294"/>
      <c r="DQ59" s="294"/>
      <c r="DR59" s="294"/>
      <c r="DS59" s="294"/>
      <c r="DT59" s="294"/>
      <c r="DU59" s="294"/>
      <c r="DV59" s="294"/>
      <c r="DW59" s="294"/>
      <c r="DX59" s="294"/>
      <c r="DY59" s="294"/>
      <c r="DZ59" s="294"/>
      <c r="EA59" s="294"/>
      <c r="EB59" s="294"/>
      <c r="EC59" s="294"/>
      <c r="ED59" s="294"/>
      <c r="EE59" s="294"/>
      <c r="EF59" s="294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294"/>
      <c r="FI59" s="294"/>
      <c r="FJ59" s="294"/>
      <c r="FK59" s="294"/>
      <c r="FL59" s="294"/>
      <c r="FM59" s="294"/>
      <c r="FN59" s="294"/>
      <c r="FO59" s="294"/>
      <c r="FP59" s="294"/>
      <c r="FQ59" s="294"/>
      <c r="FR59" s="294"/>
      <c r="FS59" s="294"/>
      <c r="FT59" s="294"/>
      <c r="FU59" s="294"/>
      <c r="FV59" s="294"/>
      <c r="FW59" s="294"/>
      <c r="FX59" s="294"/>
      <c r="FY59" s="294"/>
      <c r="FZ59" s="294"/>
      <c r="GA59" s="294"/>
      <c r="GB59" s="294"/>
      <c r="GC59" s="294"/>
      <c r="GD59" s="294"/>
      <c r="GE59" s="294"/>
      <c r="GF59" s="294"/>
      <c r="GG59" s="294"/>
      <c r="GH59" s="294"/>
      <c r="GI59" s="294"/>
      <c r="GJ59" s="294"/>
      <c r="GK59" s="294"/>
      <c r="GL59" s="294"/>
      <c r="GM59" s="294"/>
      <c r="GN59" s="294"/>
      <c r="GO59" s="294"/>
      <c r="GP59" s="294"/>
      <c r="GQ59" s="294"/>
      <c r="GR59" s="294"/>
      <c r="GS59" s="294"/>
      <c r="GT59" s="294"/>
      <c r="GU59" s="294"/>
      <c r="GV59" s="294"/>
      <c r="GW59" s="294"/>
      <c r="GX59" s="294"/>
      <c r="GY59" s="294"/>
      <c r="GZ59" s="294"/>
      <c r="HA59" s="294"/>
      <c r="HB59" s="294"/>
      <c r="HC59" s="294"/>
      <c r="HD59" s="294"/>
      <c r="HE59" s="294"/>
      <c r="HF59" s="294"/>
      <c r="HG59" s="294"/>
      <c r="HH59" s="294"/>
      <c r="HI59" s="294"/>
      <c r="HJ59" s="294"/>
      <c r="HK59" s="294"/>
      <c r="HL59" s="294"/>
      <c r="HM59" s="294"/>
      <c r="HN59" s="294"/>
      <c r="HO59" s="294"/>
      <c r="HP59" s="294"/>
      <c r="HQ59" s="294"/>
      <c r="HR59" s="294"/>
      <c r="HS59" s="294"/>
      <c r="HT59" s="294"/>
      <c r="HU59" s="294"/>
      <c r="HV59" s="294"/>
      <c r="HW59" s="294"/>
      <c r="HX59" s="294"/>
      <c r="HY59" s="294"/>
      <c r="HZ59" s="294"/>
      <c r="IA59" s="294"/>
      <c r="IB59" s="294"/>
      <c r="IC59" s="294"/>
      <c r="ID59" s="294"/>
      <c r="IE59" s="294"/>
      <c r="IF59" s="294"/>
      <c r="IG59" s="294"/>
      <c r="IH59" s="294"/>
      <c r="II59" s="294"/>
      <c r="IJ59" s="294"/>
      <c r="IK59" s="294"/>
      <c r="IL59" s="294"/>
      <c r="IM59" s="294"/>
      <c r="IN59" s="294"/>
      <c r="IO59" s="294"/>
      <c r="IP59" s="294"/>
      <c r="IQ59" s="294"/>
      <c r="IR59" s="294"/>
      <c r="IS59" s="294"/>
      <c r="IT59" s="294"/>
      <c r="IU59" s="294"/>
      <c r="IV59" s="294"/>
      <c r="IW59" s="294"/>
      <c r="IX59" s="294"/>
      <c r="IY59" s="294"/>
      <c r="IZ59" s="294"/>
      <c r="JA59" s="294"/>
      <c r="JB59" s="294"/>
      <c r="JC59" s="294"/>
      <c r="JD59" s="294"/>
      <c r="JE59" s="294"/>
      <c r="JF59" s="294"/>
      <c r="JG59" s="294"/>
      <c r="JH59" s="294"/>
      <c r="JI59" s="294"/>
      <c r="JJ59" s="294"/>
      <c r="JK59" s="294"/>
      <c r="JL59" s="294"/>
      <c r="JM59" s="294"/>
      <c r="JN59" s="294"/>
      <c r="JO59" s="294"/>
      <c r="JP59" s="294"/>
      <c r="JQ59" s="294"/>
      <c r="JR59" s="294"/>
      <c r="JS59" s="294"/>
      <c r="JT59" s="294"/>
      <c r="JU59" s="294"/>
      <c r="JV59" s="294"/>
      <c r="JW59" s="294"/>
      <c r="JX59" s="294"/>
      <c r="JY59" s="294"/>
      <c r="JZ59" s="294"/>
      <c r="KA59" s="294"/>
      <c r="KB59" s="294"/>
      <c r="KC59" s="294"/>
      <c r="KD59" s="294"/>
      <c r="KE59" s="294"/>
      <c r="KF59" s="294"/>
      <c r="KG59" s="294"/>
      <c r="KH59" s="294"/>
      <c r="KI59" s="294"/>
      <c r="KJ59" s="294"/>
      <c r="KK59" s="294"/>
      <c r="KL59" s="294"/>
      <c r="KM59" s="294"/>
      <c r="KN59" s="294"/>
      <c r="KO59" s="294"/>
      <c r="KP59" s="294"/>
      <c r="KQ59" s="294"/>
      <c r="KR59" s="294"/>
      <c r="KS59" s="294"/>
      <c r="KT59" s="294"/>
      <c r="KU59" s="294"/>
      <c r="KV59" s="294"/>
      <c r="KW59" s="294"/>
      <c r="KX59" s="294"/>
      <c r="KY59" s="294"/>
      <c r="KZ59" s="294"/>
      <c r="LA59" s="294"/>
      <c r="LB59" s="294"/>
      <c r="LC59" s="294"/>
      <c r="LD59" s="294"/>
      <c r="LE59" s="294"/>
      <c r="LF59" s="294"/>
      <c r="LG59" s="294"/>
      <c r="LH59" s="294"/>
      <c r="LI59" s="294"/>
      <c r="LJ59" s="294"/>
      <c r="LK59" s="294"/>
      <c r="LL59" s="294"/>
      <c r="LM59" s="294"/>
      <c r="LN59" s="294"/>
      <c r="LO59" s="294"/>
      <c r="LP59" s="294"/>
      <c r="LQ59" s="294"/>
      <c r="LR59" s="294"/>
      <c r="LS59" s="294"/>
      <c r="LT59" s="294"/>
      <c r="LU59" s="294"/>
      <c r="LV59" s="294"/>
      <c r="LW59" s="294"/>
      <c r="LX59" s="294"/>
      <c r="LY59" s="294"/>
      <c r="LZ59" s="294"/>
      <c r="MA59" s="294"/>
      <c r="MB59" s="294"/>
      <c r="MC59" s="294"/>
      <c r="MD59" s="294"/>
      <c r="ME59" s="294"/>
      <c r="MF59" s="294"/>
      <c r="MG59" s="294"/>
      <c r="MH59" s="294"/>
      <c r="MI59" s="294"/>
      <c r="MJ59" s="294"/>
      <c r="MK59" s="294"/>
      <c r="ML59" s="294"/>
      <c r="MM59" s="294"/>
      <c r="MN59" s="294"/>
      <c r="MO59" s="294"/>
      <c r="MP59" s="294"/>
      <c r="MQ59" s="294"/>
      <c r="MR59" s="294"/>
      <c r="MS59" s="294"/>
      <c r="MT59" s="294"/>
      <c r="MU59" s="294"/>
      <c r="MV59" s="294"/>
      <c r="MW59" s="294"/>
      <c r="MX59" s="294"/>
      <c r="MY59" s="294"/>
      <c r="MZ59" s="294"/>
      <c r="NA59" s="294"/>
      <c r="NB59" s="294"/>
      <c r="NC59" s="294"/>
      <c r="ND59" s="294"/>
      <c r="NE59" s="294"/>
      <c r="NF59" s="294"/>
      <c r="NG59" s="294"/>
      <c r="NH59" s="294"/>
      <c r="NI59" s="294"/>
      <c r="NJ59" s="294"/>
      <c r="NK59" s="294"/>
      <c r="NL59" s="294"/>
      <c r="NM59" s="294"/>
      <c r="NN59" s="294"/>
      <c r="NO59" s="294"/>
      <c r="NP59" s="294"/>
      <c r="NQ59" s="294"/>
      <c r="NR59" s="294"/>
      <c r="NS59" s="294"/>
      <c r="NT59" s="294"/>
      <c r="NU59" s="294"/>
      <c r="NV59" s="294"/>
      <c r="NW59" s="294"/>
      <c r="NX59" s="294"/>
      <c r="NY59" s="294"/>
      <c r="NZ59" s="294"/>
      <c r="OA59" s="294"/>
      <c r="OB59" s="294"/>
      <c r="OC59" s="294"/>
      <c r="OD59" s="294"/>
      <c r="OE59" s="294"/>
      <c r="OF59" s="294"/>
      <c r="OG59" s="294"/>
      <c r="OH59" s="294"/>
      <c r="OI59" s="294"/>
      <c r="OJ59" s="294"/>
      <c r="OK59" s="294"/>
      <c r="OL59" s="294"/>
      <c r="OM59" s="294"/>
      <c r="ON59" s="294"/>
      <c r="OO59" s="294"/>
      <c r="OP59" s="294"/>
      <c r="OQ59" s="294"/>
      <c r="OR59" s="294"/>
      <c r="OS59" s="294"/>
      <c r="OT59" s="294"/>
      <c r="OU59" s="294"/>
      <c r="OV59" s="294"/>
      <c r="OW59" s="294"/>
      <c r="OX59" s="294"/>
      <c r="OY59" s="294"/>
      <c r="OZ59" s="294"/>
      <c r="PA59" s="294"/>
      <c r="PB59" s="294"/>
      <c r="PC59" s="294"/>
      <c r="PD59" s="294"/>
      <c r="PE59" s="294"/>
      <c r="PF59" s="294"/>
      <c r="PG59" s="294"/>
      <c r="PH59" s="294"/>
      <c r="PI59" s="294"/>
      <c r="PJ59" s="294"/>
      <c r="PK59" s="294"/>
      <c r="PL59" s="294"/>
      <c r="PM59" s="294"/>
      <c r="PN59" s="294"/>
      <c r="PO59" s="294"/>
      <c r="PP59" s="294"/>
      <c r="PQ59" s="294"/>
      <c r="PR59" s="294"/>
      <c r="PS59" s="294"/>
      <c r="PT59" s="294"/>
      <c r="PU59" s="294"/>
      <c r="PV59" s="294"/>
      <c r="PW59" s="294"/>
      <c r="PX59" s="294"/>
      <c r="PY59" s="294"/>
      <c r="PZ59" s="294"/>
      <c r="QA59" s="294"/>
      <c r="QB59" s="294"/>
      <c r="QC59" s="294"/>
      <c r="QD59" s="294"/>
      <c r="QE59" s="294"/>
      <c r="QF59" s="294"/>
      <c r="QG59" s="294"/>
      <c r="QH59" s="294"/>
      <c r="QI59" s="294"/>
      <c r="QJ59" s="294"/>
      <c r="QK59" s="294"/>
      <c r="QL59" s="294"/>
      <c r="QM59" s="294"/>
      <c r="QN59" s="294"/>
      <c r="QO59" s="294"/>
      <c r="QP59" s="294"/>
      <c r="QQ59" s="294"/>
      <c r="QR59" s="294"/>
      <c r="QS59" s="294"/>
      <c r="QT59" s="294"/>
      <c r="QU59" s="294"/>
      <c r="QV59" s="294"/>
      <c r="QW59" s="294"/>
      <c r="QX59" s="294"/>
      <c r="QY59" s="294"/>
      <c r="QZ59" s="294"/>
      <c r="RA59" s="294"/>
      <c r="RB59" s="294"/>
      <c r="RC59" s="294"/>
      <c r="RD59" s="294"/>
      <c r="RE59" s="294"/>
      <c r="RF59" s="294"/>
      <c r="RG59" s="294"/>
      <c r="RH59" s="294"/>
      <c r="RI59" s="294"/>
      <c r="RJ59" s="294"/>
      <c r="RK59" s="294"/>
      <c r="RL59" s="294"/>
      <c r="RM59" s="294"/>
      <c r="RN59" s="294"/>
      <c r="RO59" s="294"/>
      <c r="RP59" s="294"/>
      <c r="RQ59" s="294"/>
      <c r="RR59" s="294"/>
      <c r="RS59" s="294"/>
      <c r="RT59" s="294"/>
      <c r="RU59" s="294"/>
      <c r="RV59" s="294"/>
      <c r="RW59" s="294"/>
      <c r="RX59" s="294"/>
      <c r="RY59" s="294"/>
      <c r="RZ59" s="294"/>
      <c r="SA59" s="294"/>
      <c r="SB59" s="294"/>
      <c r="SC59" s="294"/>
      <c r="SD59" s="294"/>
      <c r="SE59" s="294"/>
      <c r="SF59" s="294"/>
      <c r="SG59" s="294"/>
      <c r="SH59" s="294"/>
      <c r="SI59" s="294"/>
      <c r="SJ59" s="294"/>
      <c r="SK59" s="294"/>
      <c r="SL59" s="294"/>
      <c r="SM59" s="294"/>
      <c r="SN59" s="294"/>
      <c r="SO59" s="294"/>
      <c r="SP59" s="294"/>
      <c r="SQ59" s="294"/>
      <c r="SR59" s="294"/>
      <c r="SS59" s="294"/>
      <c r="ST59" s="294"/>
      <c r="SU59" s="294"/>
      <c r="SV59" s="294"/>
      <c r="SW59" s="294"/>
      <c r="SX59" s="294"/>
      <c r="SY59" s="294"/>
      <c r="SZ59" s="294"/>
      <c r="TA59" s="294"/>
      <c r="TB59" s="294"/>
      <c r="TC59" s="294"/>
      <c r="TD59" s="294"/>
      <c r="TE59" s="294"/>
      <c r="TF59" s="294"/>
      <c r="TG59" s="294"/>
      <c r="TH59" s="294"/>
      <c r="TI59" s="294"/>
      <c r="TJ59" s="294"/>
      <c r="TK59" s="294"/>
      <c r="TL59" s="294"/>
      <c r="TM59" s="294"/>
      <c r="TN59" s="294"/>
      <c r="TO59" s="294"/>
      <c r="TP59" s="294"/>
      <c r="TQ59" s="294"/>
      <c r="TR59" s="294"/>
      <c r="TS59" s="294"/>
      <c r="TT59" s="294"/>
      <c r="TU59" s="294"/>
      <c r="TV59" s="294"/>
      <c r="TW59" s="294"/>
      <c r="TX59" s="294"/>
      <c r="TY59" s="294"/>
      <c r="TZ59" s="294"/>
      <c r="UA59" s="294"/>
      <c r="UB59" s="294"/>
      <c r="UC59" s="294"/>
      <c r="UD59" s="294"/>
      <c r="UE59" s="294"/>
      <c r="UF59" s="294"/>
      <c r="UG59" s="294"/>
      <c r="UH59" s="294"/>
      <c r="UI59" s="294"/>
      <c r="UJ59" s="294"/>
      <c r="UK59" s="294"/>
      <c r="UL59" s="294"/>
      <c r="UM59" s="294"/>
      <c r="UN59" s="294"/>
      <c r="UO59" s="294"/>
      <c r="UP59" s="294"/>
      <c r="UQ59" s="294"/>
      <c r="UR59" s="294"/>
      <c r="US59" s="294"/>
      <c r="UT59" s="294"/>
      <c r="UU59" s="294"/>
      <c r="UV59" s="294"/>
      <c r="UW59" s="294"/>
      <c r="UX59" s="294"/>
      <c r="UY59" s="294"/>
      <c r="UZ59" s="294"/>
      <c r="VA59" s="294"/>
      <c r="VB59" s="294"/>
      <c r="VC59" s="294"/>
      <c r="VD59" s="294"/>
      <c r="VE59" s="294"/>
      <c r="VF59" s="294"/>
      <c r="VG59" s="294"/>
      <c r="VH59" s="294"/>
      <c r="VI59" s="294"/>
      <c r="VJ59" s="294"/>
      <c r="VK59" s="294"/>
      <c r="VL59" s="294"/>
      <c r="VM59" s="294"/>
      <c r="VN59" s="294"/>
      <c r="VO59" s="294"/>
      <c r="VP59" s="294"/>
      <c r="VQ59" s="294"/>
      <c r="VR59" s="294"/>
      <c r="VS59" s="294"/>
      <c r="VT59" s="294"/>
      <c r="VU59" s="294"/>
      <c r="VV59" s="294"/>
      <c r="VW59" s="294"/>
      <c r="VX59" s="294"/>
      <c r="VY59" s="294"/>
      <c r="VZ59" s="294"/>
      <c r="WA59" s="294"/>
      <c r="WB59" s="294"/>
      <c r="WC59" s="294"/>
      <c r="WD59" s="294"/>
      <c r="WE59" s="294"/>
      <c r="WF59" s="294"/>
      <c r="WG59" s="294"/>
      <c r="WH59" s="294"/>
      <c r="WI59" s="294"/>
      <c r="WJ59" s="294"/>
      <c r="WK59" s="294"/>
      <c r="WL59" s="294"/>
      <c r="WM59" s="294"/>
      <c r="WN59" s="294"/>
      <c r="WO59" s="294"/>
      <c r="WP59" s="294"/>
      <c r="WQ59" s="294"/>
      <c r="WR59" s="294"/>
      <c r="WS59" s="294"/>
      <c r="WT59" s="294"/>
      <c r="WU59" s="294"/>
      <c r="WV59" s="294"/>
      <c r="WW59" s="294"/>
      <c r="WX59" s="294"/>
      <c r="WY59" s="294"/>
      <c r="WZ59" s="294"/>
      <c r="XA59" s="294"/>
      <c r="XB59" s="294"/>
      <c r="XC59" s="294"/>
      <c r="XD59" s="294"/>
      <c r="XE59" s="294"/>
      <c r="XF59" s="294"/>
      <c r="XG59" s="294"/>
      <c r="XH59" s="294"/>
      <c r="XI59" s="294"/>
      <c r="XJ59" s="294"/>
      <c r="XK59" s="294"/>
      <c r="XL59" s="294"/>
      <c r="XM59" s="294"/>
      <c r="XN59" s="294"/>
      <c r="XO59" s="294"/>
      <c r="XP59" s="294"/>
      <c r="XQ59" s="294"/>
      <c r="XR59" s="294"/>
      <c r="XS59" s="294"/>
      <c r="XT59" s="294"/>
      <c r="XU59" s="294"/>
      <c r="XV59" s="294"/>
      <c r="XW59" s="294"/>
      <c r="XX59" s="294"/>
      <c r="XY59" s="294"/>
      <c r="XZ59" s="294"/>
      <c r="YA59" s="294"/>
      <c r="YB59" s="294"/>
      <c r="YC59" s="294"/>
      <c r="YD59" s="294"/>
      <c r="YE59" s="294"/>
      <c r="YF59" s="294"/>
      <c r="YG59" s="294"/>
      <c r="YH59" s="294"/>
      <c r="YI59" s="294"/>
      <c r="YJ59" s="294"/>
      <c r="YK59" s="294"/>
      <c r="YL59" s="294"/>
      <c r="YM59" s="294"/>
      <c r="YN59" s="294"/>
      <c r="YO59" s="294"/>
      <c r="YP59" s="294"/>
      <c r="YQ59" s="294"/>
      <c r="YR59" s="294"/>
      <c r="YS59" s="294"/>
      <c r="YT59" s="294"/>
      <c r="YU59" s="294"/>
      <c r="YV59" s="294"/>
      <c r="YW59" s="294"/>
      <c r="YX59" s="294"/>
      <c r="YY59" s="294"/>
      <c r="YZ59" s="294"/>
      <c r="ZA59" s="294"/>
      <c r="ZB59" s="294"/>
      <c r="ZC59" s="294"/>
      <c r="ZD59" s="294"/>
      <c r="ZE59" s="294"/>
      <c r="ZF59" s="294"/>
      <c r="ZG59" s="294"/>
      <c r="ZH59" s="294"/>
      <c r="ZI59" s="294"/>
      <c r="ZJ59" s="294"/>
      <c r="ZK59" s="294"/>
      <c r="ZL59" s="294"/>
      <c r="ZM59" s="294"/>
      <c r="ZN59" s="294"/>
      <c r="ZO59" s="294"/>
      <c r="ZP59" s="294"/>
      <c r="ZQ59" s="294"/>
      <c r="ZR59" s="294"/>
      <c r="ZS59" s="294"/>
      <c r="ZT59" s="294"/>
      <c r="ZU59" s="294"/>
      <c r="ZV59" s="294"/>
      <c r="ZW59" s="294"/>
      <c r="ZX59" s="294"/>
      <c r="ZY59" s="294"/>
      <c r="ZZ59" s="294"/>
      <c r="AAA59" s="294"/>
      <c r="AAB59" s="294"/>
      <c r="AAC59" s="294"/>
      <c r="AAD59" s="294"/>
      <c r="AAE59" s="294"/>
      <c r="AAF59" s="294"/>
      <c r="AAG59" s="294"/>
      <c r="AAH59" s="294"/>
      <c r="AAI59" s="294"/>
      <c r="AAJ59" s="294"/>
      <c r="AAK59" s="294"/>
      <c r="AAL59" s="294"/>
      <c r="AAM59" s="294"/>
      <c r="AAN59" s="294"/>
      <c r="AAO59" s="294"/>
      <c r="AAP59" s="294"/>
      <c r="AAQ59" s="294"/>
      <c r="AAR59" s="294"/>
      <c r="AAS59" s="294"/>
      <c r="AAT59" s="294"/>
      <c r="AAU59" s="294"/>
      <c r="AAV59" s="294"/>
      <c r="AAW59" s="294"/>
      <c r="AAX59" s="294"/>
      <c r="AAY59" s="294"/>
      <c r="AAZ59" s="294"/>
      <c r="ABA59" s="294"/>
      <c r="ABB59" s="294"/>
      <c r="ABC59" s="294"/>
      <c r="ABD59" s="294"/>
      <c r="ABE59" s="294"/>
      <c r="ABF59" s="294"/>
      <c r="ABG59" s="294"/>
      <c r="ABH59" s="294"/>
      <c r="ABI59" s="294"/>
      <c r="ABJ59" s="294"/>
      <c r="ABK59" s="294"/>
      <c r="ABL59" s="294"/>
      <c r="ABM59" s="294"/>
      <c r="ABN59" s="294"/>
      <c r="ABO59" s="294"/>
      <c r="ABP59" s="294"/>
      <c r="ABQ59" s="294"/>
      <c r="ABR59" s="294"/>
      <c r="ABS59" s="294"/>
      <c r="ABT59" s="294"/>
      <c r="ABU59" s="294"/>
      <c r="ABV59" s="294"/>
      <c r="ABW59" s="294"/>
      <c r="ABX59" s="294"/>
      <c r="ABY59" s="294"/>
      <c r="ABZ59" s="294"/>
      <c r="ACA59" s="294"/>
      <c r="ACB59" s="294"/>
      <c r="ACC59" s="294"/>
      <c r="ACD59" s="294"/>
      <c r="ACE59" s="294"/>
      <c r="ACF59" s="294"/>
      <c r="ACG59" s="294"/>
      <c r="ACH59" s="294"/>
      <c r="ACI59" s="294"/>
      <c r="ACJ59" s="294"/>
      <c r="ACK59" s="294"/>
      <c r="ACL59" s="294"/>
      <c r="ACM59" s="294"/>
      <c r="ACN59" s="294"/>
      <c r="ACO59" s="294"/>
      <c r="ACP59" s="294"/>
      <c r="ACQ59" s="294"/>
      <c r="ACR59" s="294"/>
      <c r="ACS59" s="294"/>
      <c r="ACT59" s="294"/>
      <c r="ACU59" s="294"/>
      <c r="ACV59" s="294"/>
      <c r="ACW59" s="294"/>
      <c r="ACX59" s="294"/>
      <c r="ACY59" s="294"/>
      <c r="ACZ59" s="294"/>
      <c r="ADA59" s="294"/>
      <c r="ADB59" s="294"/>
      <c r="ADC59" s="294"/>
      <c r="ADD59" s="294"/>
      <c r="ADE59" s="294"/>
      <c r="ADF59" s="294"/>
      <c r="ADG59" s="294"/>
      <c r="ADH59" s="294"/>
      <c r="ADI59" s="294"/>
      <c r="ADJ59" s="294"/>
      <c r="ADK59" s="294"/>
      <c r="ADL59" s="294"/>
      <c r="ADM59" s="294"/>
      <c r="ADN59" s="294"/>
      <c r="ADO59" s="294"/>
      <c r="ADP59" s="294"/>
      <c r="ADQ59" s="294"/>
      <c r="ADR59" s="294"/>
      <c r="ADS59" s="294"/>
      <c r="ADT59" s="294"/>
      <c r="ADU59" s="294"/>
      <c r="ADV59" s="294"/>
      <c r="ADW59" s="294"/>
      <c r="ADX59" s="294"/>
      <c r="ADY59" s="294"/>
      <c r="ADZ59" s="294"/>
      <c r="AEA59" s="294"/>
      <c r="AEB59" s="294"/>
      <c r="AEC59" s="294"/>
      <c r="AED59" s="294"/>
      <c r="AEE59" s="294"/>
      <c r="AEF59" s="294"/>
      <c r="AEG59" s="294"/>
      <c r="AEH59" s="294"/>
      <c r="AEI59" s="294"/>
      <c r="AEJ59" s="294"/>
      <c r="AEK59" s="294"/>
      <c r="AEL59" s="294"/>
      <c r="AEM59" s="294"/>
      <c r="AEN59" s="294"/>
      <c r="AEO59" s="294"/>
      <c r="AEP59" s="294"/>
      <c r="AEQ59" s="294"/>
      <c r="AER59" s="294"/>
      <c r="AES59" s="294"/>
      <c r="AET59" s="294"/>
      <c r="AEU59" s="294"/>
      <c r="AEV59" s="294"/>
      <c r="AEW59" s="294"/>
      <c r="AEX59" s="294"/>
      <c r="AEY59" s="294"/>
      <c r="AEZ59" s="294"/>
      <c r="AFA59" s="294"/>
      <c r="AFB59" s="294"/>
      <c r="AFC59" s="294"/>
      <c r="AFD59" s="294"/>
      <c r="AFE59" s="294"/>
      <c r="AFF59" s="294"/>
      <c r="AFG59" s="294"/>
      <c r="AFH59" s="294"/>
      <c r="AFI59" s="294"/>
      <c r="AFJ59" s="294"/>
      <c r="AFK59" s="294"/>
      <c r="AFL59" s="294"/>
      <c r="AFM59" s="294"/>
      <c r="AFN59" s="294"/>
      <c r="AFO59" s="294"/>
      <c r="AFP59" s="294"/>
      <c r="AFQ59" s="294"/>
      <c r="AFR59" s="294"/>
      <c r="AFS59" s="294"/>
      <c r="AFT59" s="294"/>
      <c r="AFU59" s="294"/>
      <c r="AFV59" s="294"/>
      <c r="AFW59" s="294"/>
      <c r="AFX59" s="294"/>
      <c r="AFY59" s="294"/>
      <c r="AFZ59" s="294"/>
      <c r="AGA59" s="294"/>
      <c r="AGB59" s="294"/>
      <c r="AGC59" s="294"/>
      <c r="AGD59" s="294"/>
      <c r="AGE59" s="294"/>
      <c r="AGF59" s="294"/>
      <c r="AGG59" s="294"/>
      <c r="AGH59" s="294"/>
      <c r="AGI59" s="294"/>
      <c r="AGJ59" s="294"/>
      <c r="AGK59" s="294"/>
      <c r="AGL59" s="294"/>
      <c r="AGM59" s="294"/>
      <c r="AGN59" s="294"/>
      <c r="AGO59" s="294"/>
      <c r="AGP59" s="294"/>
      <c r="AGQ59" s="294"/>
      <c r="AGR59" s="294"/>
      <c r="AGS59" s="294"/>
      <c r="AGT59" s="294"/>
      <c r="AGU59" s="294"/>
      <c r="AGV59" s="294"/>
      <c r="AGW59" s="294"/>
      <c r="AGX59" s="294"/>
      <c r="AGY59" s="294"/>
      <c r="AGZ59" s="294"/>
      <c r="AHA59" s="294"/>
      <c r="AHB59" s="294"/>
      <c r="AHC59" s="294"/>
      <c r="AHD59" s="294"/>
      <c r="AHE59" s="294"/>
      <c r="AHF59" s="294"/>
      <c r="AHG59" s="294"/>
      <c r="AHH59" s="294"/>
      <c r="AHI59" s="294"/>
      <c r="AHJ59" s="294"/>
      <c r="AHK59" s="294"/>
      <c r="AHL59" s="294"/>
      <c r="AHM59" s="294"/>
      <c r="AHN59" s="294"/>
      <c r="AHO59" s="294"/>
      <c r="AHP59" s="294"/>
      <c r="AHQ59" s="294"/>
      <c r="AHR59" s="331"/>
    </row>
    <row r="60" spans="1:907" ht="24.6" x14ac:dyDescent="0.7">
      <c r="A60" s="268" t="s">
        <v>6278</v>
      </c>
      <c r="B60" s="268" t="s">
        <v>6063</v>
      </c>
      <c r="C60" s="269" t="s">
        <v>6064</v>
      </c>
      <c r="D60" s="294">
        <v>-31799933.02</v>
      </c>
      <c r="E60" s="294"/>
      <c r="F60" s="294"/>
      <c r="G60" s="294"/>
      <c r="H60" s="294">
        <v>-1999024</v>
      </c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>
        <v>-38203166.829999998</v>
      </c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>
        <v>-41482041.920000002</v>
      </c>
      <c r="BJ60" s="294">
        <v>0</v>
      </c>
      <c r="BK60" s="294"/>
      <c r="BL60" s="294"/>
      <c r="BM60" s="294"/>
      <c r="BN60" s="294">
        <v>0</v>
      </c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>
        <v>0</v>
      </c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>
        <v>0</v>
      </c>
      <c r="DC60" s="294"/>
      <c r="DD60" s="294"/>
      <c r="DE60" s="294"/>
      <c r="DF60" s="294"/>
      <c r="DG60" s="294"/>
      <c r="DH60" s="294"/>
      <c r="DI60" s="294"/>
      <c r="DJ60" s="294"/>
      <c r="DK60" s="294">
        <v>0</v>
      </c>
      <c r="DL60" s="294"/>
      <c r="DM60" s="294"/>
      <c r="DN60" s="294"/>
      <c r="DO60" s="294"/>
      <c r="DP60" s="294"/>
      <c r="DQ60" s="294"/>
      <c r="DR60" s="294"/>
      <c r="DS60" s="294"/>
      <c r="DT60" s="294"/>
      <c r="DU60" s="294"/>
      <c r="DV60" s="294"/>
      <c r="DW60" s="294"/>
      <c r="DX60" s="294"/>
      <c r="DY60" s="294"/>
      <c r="DZ60" s="294"/>
      <c r="EA60" s="294"/>
      <c r="EB60" s="294"/>
      <c r="EC60" s="294"/>
      <c r="ED60" s="294"/>
      <c r="EE60" s="294">
        <v>0</v>
      </c>
      <c r="EF60" s="294">
        <v>-10874446.720000001</v>
      </c>
      <c r="EG60" s="294"/>
      <c r="EH60" s="294"/>
      <c r="EI60" s="294"/>
      <c r="EJ60" s="294"/>
      <c r="EK60" s="294"/>
      <c r="EL60" s="294"/>
      <c r="EM60" s="294"/>
      <c r="EN60" s="294">
        <v>-82108114.700000003</v>
      </c>
      <c r="EO60" s="294"/>
      <c r="EP60" s="294"/>
      <c r="EQ60" s="294"/>
      <c r="ER60" s="294"/>
      <c r="ES60" s="294"/>
      <c r="ET60" s="294"/>
      <c r="EU60" s="294"/>
      <c r="EV60" s="294"/>
      <c r="EW60" s="294"/>
      <c r="EX60" s="294"/>
      <c r="EY60" s="294"/>
      <c r="EZ60" s="294"/>
      <c r="FA60" s="294"/>
      <c r="FB60" s="294"/>
      <c r="FC60" s="294"/>
      <c r="FD60" s="294"/>
      <c r="FE60" s="294"/>
      <c r="FF60" s="294"/>
      <c r="FG60" s="294"/>
      <c r="FH60" s="294"/>
      <c r="FI60" s="294"/>
      <c r="FJ60" s="294"/>
      <c r="FK60" s="294"/>
      <c r="FL60" s="294"/>
      <c r="FM60" s="294"/>
      <c r="FN60" s="294"/>
      <c r="FO60" s="294"/>
      <c r="FP60" s="294"/>
      <c r="FQ60" s="294">
        <v>-84891964.290000007</v>
      </c>
      <c r="FR60" s="294"/>
      <c r="FS60" s="294"/>
      <c r="FT60" s="294"/>
      <c r="FU60" s="294">
        <v>0</v>
      </c>
      <c r="FV60" s="294"/>
      <c r="FW60" s="294"/>
      <c r="FX60" s="294"/>
      <c r="FY60" s="294"/>
      <c r="FZ60" s="294"/>
      <c r="GA60" s="294"/>
      <c r="GB60" s="294"/>
      <c r="GC60" s="294"/>
      <c r="GD60" s="294"/>
      <c r="GE60" s="294">
        <v>-48491590.810000002</v>
      </c>
      <c r="GF60" s="294"/>
      <c r="GG60" s="294"/>
      <c r="GH60" s="294"/>
      <c r="GI60" s="294"/>
      <c r="GJ60" s="294"/>
      <c r="GK60" s="294"/>
      <c r="GL60" s="294"/>
      <c r="GM60" s="294"/>
      <c r="GN60" s="294"/>
      <c r="GO60" s="294"/>
      <c r="GP60" s="294"/>
      <c r="GQ60" s="294">
        <v>-18578124.129999999</v>
      </c>
      <c r="GR60" s="294"/>
      <c r="GS60" s="294"/>
      <c r="GT60" s="294"/>
      <c r="GU60" s="294"/>
      <c r="GV60" s="294"/>
      <c r="GW60" s="294"/>
      <c r="GX60" s="294"/>
      <c r="GY60" s="294"/>
      <c r="GZ60" s="294"/>
      <c r="HA60" s="294"/>
      <c r="HB60" s="294"/>
      <c r="HC60" s="294">
        <v>-274050744.63</v>
      </c>
      <c r="HD60" s="294"/>
      <c r="HE60" s="294"/>
      <c r="HF60" s="294"/>
      <c r="HG60" s="294"/>
      <c r="HH60" s="294"/>
      <c r="HI60" s="294"/>
      <c r="HJ60" s="294">
        <v>-1968780</v>
      </c>
      <c r="HK60" s="294"/>
      <c r="HL60" s="294"/>
      <c r="HM60" s="294"/>
      <c r="HN60" s="294"/>
      <c r="HO60" s="294"/>
      <c r="HP60" s="294"/>
      <c r="HQ60" s="294"/>
      <c r="HR60" s="294">
        <v>-74675684.299999997</v>
      </c>
      <c r="HS60" s="294"/>
      <c r="HT60" s="294"/>
      <c r="HU60" s="294"/>
      <c r="HV60" s="294"/>
      <c r="HW60" s="294"/>
      <c r="HX60" s="294"/>
      <c r="HY60" s="294"/>
      <c r="HZ60" s="294"/>
      <c r="IA60" s="294"/>
      <c r="IB60" s="294"/>
      <c r="IC60" s="294"/>
      <c r="ID60" s="294"/>
      <c r="IE60" s="294"/>
      <c r="IF60" s="294"/>
      <c r="IG60" s="294"/>
      <c r="IH60" s="294"/>
      <c r="II60" s="294"/>
      <c r="IJ60" s="294"/>
      <c r="IK60" s="294"/>
      <c r="IL60" s="294"/>
      <c r="IM60" s="294"/>
      <c r="IN60" s="294"/>
      <c r="IO60" s="294"/>
      <c r="IP60" s="294"/>
      <c r="IQ60" s="294"/>
      <c r="IR60" s="294"/>
      <c r="IS60" s="294">
        <v>-196461080</v>
      </c>
      <c r="IT60" s="294">
        <v>-45697376.640000001</v>
      </c>
      <c r="IU60" s="294"/>
      <c r="IV60" s="294"/>
      <c r="IW60" s="294"/>
      <c r="IX60" s="294"/>
      <c r="IY60" s="294"/>
      <c r="IZ60" s="294"/>
      <c r="JA60" s="294"/>
      <c r="JB60" s="294"/>
      <c r="JC60" s="294"/>
      <c r="JD60" s="294"/>
      <c r="JE60" s="294">
        <v>-22175762.170000002</v>
      </c>
      <c r="JF60" s="294"/>
      <c r="JG60" s="294"/>
      <c r="JH60" s="294"/>
      <c r="JI60" s="294"/>
      <c r="JJ60" s="294"/>
      <c r="JK60" s="294">
        <v>0</v>
      </c>
      <c r="JL60" s="294"/>
      <c r="JM60" s="294"/>
      <c r="JN60" s="294"/>
      <c r="JO60" s="294"/>
      <c r="JP60" s="294"/>
      <c r="JQ60" s="294"/>
      <c r="JR60" s="294">
        <v>-37396264.68</v>
      </c>
      <c r="JS60" s="294">
        <v>-29596938.210000001</v>
      </c>
      <c r="JT60" s="294"/>
      <c r="JU60" s="294"/>
      <c r="JV60" s="294"/>
      <c r="JW60" s="294"/>
      <c r="JX60" s="294"/>
      <c r="JY60" s="294"/>
      <c r="JZ60" s="294"/>
      <c r="KA60" s="294"/>
      <c r="KB60" s="294"/>
      <c r="KC60" s="294"/>
      <c r="KD60" s="294"/>
      <c r="KE60" s="294"/>
      <c r="KF60" s="294"/>
      <c r="KG60" s="294"/>
      <c r="KH60" s="294"/>
      <c r="KI60" s="294"/>
      <c r="KJ60" s="294"/>
      <c r="KK60" s="294"/>
      <c r="KL60" s="294"/>
      <c r="KM60" s="294"/>
      <c r="KN60" s="294"/>
      <c r="KO60" s="294"/>
      <c r="KP60" s="294"/>
      <c r="KQ60" s="294"/>
      <c r="KR60" s="294"/>
      <c r="KS60" s="294"/>
      <c r="KT60" s="294"/>
      <c r="KU60" s="294"/>
      <c r="KV60" s="294"/>
      <c r="KW60" s="294"/>
      <c r="KX60" s="294"/>
      <c r="KY60" s="294"/>
      <c r="KZ60" s="294"/>
      <c r="LA60" s="294"/>
      <c r="LB60" s="294"/>
      <c r="LC60" s="294"/>
      <c r="LD60" s="294"/>
      <c r="LE60" s="294"/>
      <c r="LF60" s="294"/>
      <c r="LG60" s="294">
        <v>-200204119.84</v>
      </c>
      <c r="LH60" s="294">
        <v>-44297644.899999999</v>
      </c>
      <c r="LI60" s="294">
        <v>-4152693.5</v>
      </c>
      <c r="LJ60" s="294"/>
      <c r="LK60" s="294"/>
      <c r="LL60" s="294"/>
      <c r="LM60" s="294"/>
      <c r="LN60" s="294"/>
      <c r="LO60" s="294"/>
      <c r="LP60" s="294"/>
      <c r="LQ60" s="294"/>
      <c r="LR60" s="294"/>
      <c r="LS60" s="294"/>
      <c r="LT60" s="294"/>
      <c r="LU60" s="294">
        <v>-57545913.909999996</v>
      </c>
      <c r="LV60" s="294"/>
      <c r="LW60" s="294"/>
      <c r="LX60" s="294"/>
      <c r="LY60" s="294"/>
      <c r="LZ60" s="294"/>
      <c r="MA60" s="294"/>
      <c r="MB60" s="294"/>
      <c r="MC60" s="294"/>
      <c r="MD60" s="294"/>
      <c r="ME60" s="294"/>
      <c r="MF60" s="294"/>
      <c r="MG60" s="294"/>
      <c r="MH60" s="294"/>
      <c r="MI60" s="294"/>
      <c r="MJ60" s="294"/>
      <c r="MK60" s="294"/>
      <c r="ML60" s="294"/>
      <c r="MM60" s="294"/>
      <c r="MN60" s="294"/>
      <c r="MO60" s="294"/>
      <c r="MP60" s="294"/>
      <c r="MQ60" s="294"/>
      <c r="MR60" s="294"/>
      <c r="MS60" s="294">
        <v>-66745817.369999997</v>
      </c>
      <c r="MT60" s="294"/>
      <c r="MU60" s="294"/>
      <c r="MV60" s="294"/>
      <c r="MW60" s="294"/>
      <c r="MX60" s="294"/>
      <c r="MY60" s="294"/>
      <c r="MZ60" s="294"/>
      <c r="NA60" s="294"/>
      <c r="NB60" s="294"/>
      <c r="NC60" s="294"/>
      <c r="ND60" s="294">
        <v>-77306361.840000004</v>
      </c>
      <c r="NE60" s="294">
        <v>0</v>
      </c>
      <c r="NF60" s="294"/>
      <c r="NG60" s="294"/>
      <c r="NH60" s="294"/>
      <c r="NI60" s="294"/>
      <c r="NJ60" s="294"/>
      <c r="NK60" s="294"/>
      <c r="NL60" s="294"/>
      <c r="NM60" s="294"/>
      <c r="NN60" s="294"/>
      <c r="NO60" s="294"/>
      <c r="NP60" s="294">
        <v>0</v>
      </c>
      <c r="NQ60" s="294"/>
      <c r="NR60" s="294"/>
      <c r="NS60" s="294"/>
      <c r="NT60" s="294"/>
      <c r="NU60" s="294"/>
      <c r="NV60" s="294"/>
      <c r="NW60" s="294">
        <v>-73900121.519999996</v>
      </c>
      <c r="NX60" s="294"/>
      <c r="NY60" s="294"/>
      <c r="NZ60" s="294"/>
      <c r="OA60" s="294"/>
      <c r="OB60" s="294"/>
      <c r="OC60" s="294"/>
      <c r="OD60" s="294"/>
      <c r="OE60" s="294"/>
      <c r="OF60" s="294"/>
      <c r="OG60" s="294">
        <v>4341050</v>
      </c>
      <c r="OH60" s="294"/>
      <c r="OI60" s="294"/>
      <c r="OJ60" s="294"/>
      <c r="OK60" s="294"/>
      <c r="OL60" s="294"/>
      <c r="OM60" s="294">
        <v>-40650602.32</v>
      </c>
      <c r="ON60" s="294"/>
      <c r="OO60" s="294"/>
      <c r="OP60" s="294"/>
      <c r="OQ60" s="294"/>
      <c r="OR60" s="294"/>
      <c r="OS60" s="294">
        <v>-20778986.109999999</v>
      </c>
      <c r="OT60" s="294"/>
      <c r="OU60" s="294"/>
      <c r="OV60" s="294"/>
      <c r="OW60" s="294"/>
      <c r="OX60" s="294"/>
      <c r="OY60" s="294"/>
      <c r="OZ60" s="294"/>
      <c r="PA60" s="294"/>
      <c r="PB60" s="294"/>
      <c r="PC60" s="294"/>
      <c r="PD60" s="294"/>
      <c r="PE60" s="294"/>
      <c r="PF60" s="294"/>
      <c r="PG60" s="294"/>
      <c r="PH60" s="294"/>
      <c r="PI60" s="294"/>
      <c r="PJ60" s="294"/>
      <c r="PK60" s="294"/>
      <c r="PL60" s="294"/>
      <c r="PM60" s="294"/>
      <c r="PN60" s="294"/>
      <c r="PO60" s="294"/>
      <c r="PP60" s="294"/>
      <c r="PQ60" s="294"/>
      <c r="PR60" s="294"/>
      <c r="PS60" s="294"/>
      <c r="PT60" s="294"/>
      <c r="PU60" s="294"/>
      <c r="PV60" s="294"/>
      <c r="PW60" s="294"/>
      <c r="PX60" s="294"/>
      <c r="PY60" s="294"/>
      <c r="PZ60" s="294"/>
      <c r="QA60" s="294"/>
      <c r="QB60" s="294"/>
      <c r="QC60" s="294"/>
      <c r="QD60" s="294"/>
      <c r="QE60" s="294"/>
      <c r="QF60" s="294"/>
      <c r="QG60" s="294"/>
      <c r="QH60" s="294"/>
      <c r="QI60" s="294"/>
      <c r="QJ60" s="294"/>
      <c r="QK60" s="294"/>
      <c r="QL60" s="294"/>
      <c r="QM60" s="294"/>
      <c r="QN60" s="294"/>
      <c r="QO60" s="294"/>
      <c r="QP60" s="294"/>
      <c r="QQ60" s="294"/>
      <c r="QR60" s="294"/>
      <c r="QS60" s="294"/>
      <c r="QT60" s="294"/>
      <c r="QU60" s="294"/>
      <c r="QV60" s="294"/>
      <c r="QW60" s="294"/>
      <c r="QX60" s="294"/>
      <c r="QY60" s="294"/>
      <c r="QZ60" s="294"/>
      <c r="RA60" s="294"/>
      <c r="RB60" s="294"/>
      <c r="RC60" s="294"/>
      <c r="RD60" s="294"/>
      <c r="RE60" s="294"/>
      <c r="RF60" s="294"/>
      <c r="RG60" s="294"/>
      <c r="RH60" s="294"/>
      <c r="RI60" s="294">
        <v>0</v>
      </c>
      <c r="RJ60" s="294">
        <v>0</v>
      </c>
      <c r="RK60" s="294">
        <v>-1416803.58</v>
      </c>
      <c r="RL60" s="294">
        <v>0</v>
      </c>
      <c r="RM60" s="294"/>
      <c r="RN60" s="294"/>
      <c r="RO60" s="294">
        <v>0</v>
      </c>
      <c r="RP60" s="294"/>
      <c r="RQ60" s="294"/>
      <c r="RR60" s="294">
        <v>-263646</v>
      </c>
      <c r="RS60" s="294">
        <v>0</v>
      </c>
      <c r="RT60" s="294">
        <v>0</v>
      </c>
      <c r="RU60" s="294"/>
      <c r="RV60" s="294">
        <v>0</v>
      </c>
      <c r="RW60" s="294">
        <v>0</v>
      </c>
      <c r="RX60" s="294">
        <v>0</v>
      </c>
      <c r="RY60" s="294">
        <v>0</v>
      </c>
      <c r="RZ60" s="294">
        <v>-6011.09</v>
      </c>
      <c r="SA60" s="294"/>
      <c r="SB60" s="294"/>
      <c r="SC60" s="294"/>
      <c r="SD60" s="294"/>
      <c r="SE60" s="294"/>
      <c r="SF60" s="294"/>
      <c r="SG60" s="294"/>
      <c r="SH60" s="294"/>
      <c r="SI60" s="294"/>
      <c r="SJ60" s="294"/>
      <c r="SK60" s="294"/>
      <c r="SL60" s="294"/>
      <c r="SM60" s="294"/>
      <c r="SN60" s="294"/>
      <c r="SO60" s="294"/>
      <c r="SP60" s="294"/>
      <c r="SQ60" s="294"/>
      <c r="SR60" s="294"/>
      <c r="SS60" s="294"/>
      <c r="ST60" s="294"/>
      <c r="SU60" s="294"/>
      <c r="SV60" s="294"/>
      <c r="SW60" s="294"/>
      <c r="SX60" s="294"/>
      <c r="SY60" s="294"/>
      <c r="SZ60" s="294"/>
      <c r="TA60" s="294"/>
      <c r="TB60" s="294"/>
      <c r="TC60" s="294"/>
      <c r="TD60" s="294"/>
      <c r="TE60" s="294"/>
      <c r="TF60" s="294"/>
      <c r="TG60" s="294"/>
      <c r="TH60" s="294"/>
      <c r="TI60" s="294"/>
      <c r="TJ60" s="294"/>
      <c r="TK60" s="294"/>
      <c r="TL60" s="294"/>
      <c r="TM60" s="294"/>
      <c r="TN60" s="294"/>
      <c r="TO60" s="294"/>
      <c r="TP60" s="294"/>
      <c r="TQ60" s="294"/>
      <c r="TR60" s="294"/>
      <c r="TS60" s="294"/>
      <c r="TT60" s="294"/>
      <c r="TU60" s="294"/>
      <c r="TV60" s="294"/>
      <c r="TW60" s="294"/>
      <c r="TX60" s="294"/>
      <c r="TY60" s="294"/>
      <c r="TZ60" s="294"/>
      <c r="UA60" s="294"/>
      <c r="UB60" s="294"/>
      <c r="UC60" s="294"/>
      <c r="UD60" s="294"/>
      <c r="UE60" s="294"/>
      <c r="UF60" s="294"/>
      <c r="UG60" s="294"/>
      <c r="UH60" s="294"/>
      <c r="UI60" s="294"/>
      <c r="UJ60" s="294"/>
      <c r="UK60" s="294"/>
      <c r="UL60" s="294"/>
      <c r="UM60" s="294"/>
      <c r="UN60" s="294"/>
      <c r="UO60" s="294"/>
      <c r="UP60" s="294">
        <v>0</v>
      </c>
      <c r="UQ60" s="294"/>
      <c r="UR60" s="294"/>
      <c r="US60" s="294"/>
      <c r="UT60" s="294"/>
      <c r="UU60" s="294"/>
      <c r="UV60" s="294"/>
      <c r="UW60" s="294"/>
      <c r="UX60" s="294"/>
      <c r="UY60" s="294"/>
      <c r="UZ60" s="294"/>
      <c r="VA60" s="294"/>
      <c r="VB60" s="294"/>
      <c r="VC60" s="294"/>
      <c r="VD60" s="294"/>
      <c r="VE60" s="294"/>
      <c r="VF60" s="294"/>
      <c r="VG60" s="294"/>
      <c r="VH60" s="294"/>
      <c r="VI60" s="294"/>
      <c r="VJ60" s="294"/>
      <c r="VK60" s="294"/>
      <c r="VL60" s="294"/>
      <c r="VM60" s="294"/>
      <c r="VN60" s="294"/>
      <c r="VO60" s="294"/>
      <c r="VP60" s="294"/>
      <c r="VQ60" s="294"/>
      <c r="VR60" s="294"/>
      <c r="VS60" s="294"/>
      <c r="VT60" s="294"/>
      <c r="VU60" s="294"/>
      <c r="VV60" s="294"/>
      <c r="VW60" s="294"/>
      <c r="VX60" s="294"/>
      <c r="VY60" s="294"/>
      <c r="VZ60" s="294"/>
      <c r="WA60" s="294"/>
      <c r="WB60" s="294"/>
      <c r="WC60" s="294"/>
      <c r="WD60" s="294"/>
      <c r="WE60" s="294"/>
      <c r="WF60" s="294"/>
      <c r="WG60" s="294"/>
      <c r="WH60" s="294"/>
      <c r="WI60" s="294"/>
      <c r="WJ60" s="294"/>
      <c r="WK60" s="294"/>
      <c r="WL60" s="294"/>
      <c r="WM60" s="294"/>
      <c r="WN60" s="294"/>
      <c r="WO60" s="294"/>
      <c r="WP60" s="294"/>
      <c r="WQ60" s="294"/>
      <c r="WR60" s="294"/>
      <c r="WS60" s="294"/>
      <c r="WT60" s="294"/>
      <c r="WU60" s="294"/>
      <c r="WV60" s="294"/>
      <c r="WW60" s="294"/>
      <c r="WX60" s="294"/>
      <c r="WY60" s="294"/>
      <c r="WZ60" s="294"/>
      <c r="XA60" s="294"/>
      <c r="XB60" s="294"/>
      <c r="XC60" s="294"/>
      <c r="XD60" s="294"/>
      <c r="XE60" s="294"/>
      <c r="XF60" s="294"/>
      <c r="XG60" s="294"/>
      <c r="XH60" s="294">
        <v>-2303144.2000000002</v>
      </c>
      <c r="XI60" s="294"/>
      <c r="XJ60" s="294"/>
      <c r="XK60" s="294">
        <v>0</v>
      </c>
      <c r="XL60" s="294"/>
      <c r="XM60" s="294"/>
      <c r="XN60" s="294"/>
      <c r="XO60" s="294"/>
      <c r="XP60" s="294"/>
      <c r="XQ60" s="294"/>
      <c r="XR60" s="294"/>
      <c r="XS60" s="294"/>
      <c r="XT60" s="294"/>
      <c r="XU60" s="294"/>
      <c r="XV60" s="294"/>
      <c r="XW60" s="294"/>
      <c r="XX60" s="294"/>
      <c r="XY60" s="294"/>
      <c r="XZ60" s="294"/>
      <c r="YA60" s="294"/>
      <c r="YB60" s="294"/>
      <c r="YC60" s="294"/>
      <c r="YD60" s="294"/>
      <c r="YE60" s="294"/>
      <c r="YF60" s="294"/>
      <c r="YG60" s="294"/>
      <c r="YH60" s="294"/>
      <c r="YI60" s="294"/>
      <c r="YJ60" s="294"/>
      <c r="YK60" s="294"/>
      <c r="YL60" s="294"/>
      <c r="YM60" s="294"/>
      <c r="YN60" s="294"/>
      <c r="YO60" s="294"/>
      <c r="YP60" s="294"/>
      <c r="YQ60" s="294"/>
      <c r="YR60" s="294"/>
      <c r="YS60" s="294"/>
      <c r="YT60" s="294"/>
      <c r="YU60" s="294"/>
      <c r="YV60" s="294"/>
      <c r="YW60" s="294"/>
      <c r="YX60" s="294"/>
      <c r="YY60" s="294"/>
      <c r="YZ60" s="294"/>
      <c r="ZA60" s="294"/>
      <c r="ZB60" s="294"/>
      <c r="ZC60" s="294"/>
      <c r="ZD60" s="294"/>
      <c r="ZE60" s="294"/>
      <c r="ZF60" s="294"/>
      <c r="ZG60" s="294"/>
      <c r="ZH60" s="294"/>
      <c r="ZI60" s="294"/>
      <c r="ZJ60" s="294"/>
      <c r="ZK60" s="294"/>
      <c r="ZL60" s="294"/>
      <c r="ZM60" s="294"/>
      <c r="ZN60" s="294"/>
      <c r="ZO60" s="294"/>
      <c r="ZP60" s="294"/>
      <c r="ZQ60" s="294"/>
      <c r="ZR60" s="294"/>
      <c r="ZS60" s="294"/>
      <c r="ZT60" s="294"/>
      <c r="ZU60" s="294"/>
      <c r="ZV60" s="294"/>
      <c r="ZW60" s="294"/>
      <c r="ZX60" s="294"/>
      <c r="ZY60" s="294"/>
      <c r="ZZ60" s="294"/>
      <c r="AAA60" s="294"/>
      <c r="AAB60" s="294"/>
      <c r="AAC60" s="294"/>
      <c r="AAD60" s="294"/>
      <c r="AAE60" s="294"/>
      <c r="AAF60" s="294"/>
      <c r="AAG60" s="294"/>
      <c r="AAH60" s="294"/>
      <c r="AAI60" s="294"/>
      <c r="AAJ60" s="294"/>
      <c r="AAK60" s="294"/>
      <c r="AAL60" s="294"/>
      <c r="AAM60" s="294"/>
      <c r="AAN60" s="294"/>
      <c r="AAO60" s="294"/>
      <c r="AAP60" s="294"/>
      <c r="AAQ60" s="294"/>
      <c r="AAR60" s="294"/>
      <c r="AAS60" s="294"/>
      <c r="AAT60" s="294"/>
      <c r="AAU60" s="294"/>
      <c r="AAV60" s="294"/>
      <c r="AAW60" s="294"/>
      <c r="AAX60" s="294"/>
      <c r="AAY60" s="294"/>
      <c r="AAZ60" s="294"/>
      <c r="ABA60" s="294"/>
      <c r="ABB60" s="294"/>
      <c r="ABC60" s="294">
        <v>0</v>
      </c>
      <c r="ABD60" s="294"/>
      <c r="ABE60" s="294"/>
      <c r="ABF60" s="294"/>
      <c r="ABG60" s="294"/>
      <c r="ABH60" s="294"/>
      <c r="ABI60" s="294"/>
      <c r="ABJ60" s="294"/>
      <c r="ABK60" s="294">
        <v>0</v>
      </c>
      <c r="ABL60" s="294"/>
      <c r="ABM60" s="294"/>
      <c r="ABN60" s="294"/>
      <c r="ABO60" s="294"/>
      <c r="ABP60" s="294"/>
      <c r="ABQ60" s="294"/>
      <c r="ABR60" s="294"/>
      <c r="ABS60" s="294"/>
      <c r="ABT60" s="294"/>
      <c r="ABU60" s="294"/>
      <c r="ABV60" s="294"/>
      <c r="ABW60" s="294"/>
      <c r="ABX60" s="294">
        <v>-171416204.80000001</v>
      </c>
      <c r="ABY60" s="294"/>
      <c r="ABZ60" s="294"/>
      <c r="ACA60" s="294"/>
      <c r="ACB60" s="294"/>
      <c r="ACC60" s="294"/>
      <c r="ACD60" s="294"/>
      <c r="ACE60" s="294"/>
      <c r="ACF60" s="294"/>
      <c r="ACG60" s="294"/>
      <c r="ACH60" s="294"/>
      <c r="ACI60" s="294"/>
      <c r="ACJ60" s="294"/>
      <c r="ACK60" s="294"/>
      <c r="ACL60" s="294"/>
      <c r="ACM60" s="294"/>
      <c r="ACN60" s="294"/>
      <c r="ACO60" s="294"/>
      <c r="ACP60" s="294"/>
      <c r="ACQ60" s="294"/>
      <c r="ACR60" s="294"/>
      <c r="ACS60" s="294"/>
      <c r="ACT60" s="294"/>
      <c r="ACU60" s="294"/>
      <c r="ACV60" s="294"/>
      <c r="ACW60" s="294"/>
      <c r="ACX60" s="294"/>
      <c r="ACY60" s="294"/>
      <c r="ACZ60" s="294"/>
      <c r="ADA60" s="294"/>
      <c r="ADB60" s="294"/>
      <c r="ADC60" s="294"/>
      <c r="ADD60" s="294"/>
      <c r="ADE60" s="294"/>
      <c r="ADF60" s="294"/>
      <c r="ADG60" s="294"/>
      <c r="ADH60" s="294"/>
      <c r="ADI60" s="294"/>
      <c r="ADJ60" s="294"/>
      <c r="ADK60" s="294"/>
      <c r="ADL60" s="294"/>
      <c r="ADM60" s="294"/>
      <c r="ADN60" s="294"/>
      <c r="ADO60" s="294"/>
      <c r="ADP60" s="294"/>
      <c r="ADQ60" s="294"/>
      <c r="ADR60" s="294"/>
      <c r="ADS60" s="294"/>
      <c r="ADT60" s="294"/>
      <c r="ADU60" s="294"/>
      <c r="ADV60" s="294"/>
      <c r="ADW60" s="294"/>
      <c r="ADX60" s="294"/>
      <c r="ADY60" s="294"/>
      <c r="ADZ60" s="294">
        <v>-7800</v>
      </c>
      <c r="AEA60" s="294"/>
      <c r="AEB60" s="294"/>
      <c r="AEC60" s="294"/>
      <c r="AED60" s="294"/>
      <c r="AEE60" s="294"/>
      <c r="AEF60" s="294"/>
      <c r="AEG60" s="294"/>
      <c r="AEH60" s="294"/>
      <c r="AEI60" s="294"/>
      <c r="AEJ60" s="294"/>
      <c r="AEK60" s="294"/>
      <c r="AEL60" s="294"/>
      <c r="AEM60" s="294"/>
      <c r="AEN60" s="294"/>
      <c r="AEO60" s="294">
        <v>0</v>
      </c>
      <c r="AEP60" s="294"/>
      <c r="AEQ60" s="294"/>
      <c r="AER60" s="294"/>
      <c r="AES60" s="294">
        <v>-49047748.450000003</v>
      </c>
      <c r="AET60" s="294"/>
      <c r="AEU60" s="294"/>
      <c r="AEV60" s="294"/>
      <c r="AEW60" s="294"/>
      <c r="AEX60" s="294"/>
      <c r="AEY60" s="294"/>
      <c r="AEZ60" s="294"/>
      <c r="AFA60" s="294"/>
      <c r="AFB60" s="294"/>
      <c r="AFC60" s="294"/>
      <c r="AFD60" s="294"/>
      <c r="AFE60" s="294"/>
      <c r="AFF60" s="294"/>
      <c r="AFG60" s="294"/>
      <c r="AFH60" s="294"/>
      <c r="AFI60" s="294"/>
      <c r="AFJ60" s="294"/>
      <c r="AFK60" s="294"/>
      <c r="AFL60" s="294"/>
      <c r="AFM60" s="294"/>
      <c r="AFN60" s="294"/>
      <c r="AFO60" s="294"/>
      <c r="AFP60" s="294"/>
      <c r="AFQ60" s="294"/>
      <c r="AFR60" s="294"/>
      <c r="AFS60" s="294"/>
      <c r="AFT60" s="294"/>
      <c r="AFU60" s="294"/>
      <c r="AFV60" s="294"/>
      <c r="AFW60" s="294"/>
      <c r="AFX60" s="294"/>
      <c r="AFY60" s="294"/>
      <c r="AFZ60" s="294"/>
      <c r="AGA60" s="294"/>
      <c r="AGB60" s="294"/>
      <c r="AGC60" s="294"/>
      <c r="AGD60" s="294"/>
      <c r="AGE60" s="294"/>
      <c r="AGF60" s="294"/>
      <c r="AGG60" s="294"/>
      <c r="AGH60" s="294"/>
      <c r="AGI60" s="294"/>
      <c r="AGJ60" s="294"/>
      <c r="AGK60" s="294"/>
      <c r="AGL60" s="294"/>
      <c r="AGM60" s="294">
        <v>-23008209.079999998</v>
      </c>
      <c r="AGN60" s="294"/>
      <c r="AGO60" s="294"/>
      <c r="AGP60" s="294"/>
      <c r="AGQ60" s="294"/>
      <c r="AGR60" s="294"/>
      <c r="AGS60" s="294"/>
      <c r="AGT60" s="294"/>
      <c r="AGU60" s="294">
        <v>-126139006.48999999</v>
      </c>
      <c r="AGV60" s="294">
        <v>-180410934.78</v>
      </c>
      <c r="AGW60" s="294"/>
      <c r="AGX60" s="294"/>
      <c r="AGY60" s="294"/>
      <c r="AGZ60" s="294"/>
      <c r="AHA60" s="294"/>
      <c r="AHB60" s="294"/>
      <c r="AHC60" s="294"/>
      <c r="AHD60" s="294"/>
      <c r="AHE60" s="294"/>
      <c r="AHF60" s="294"/>
      <c r="AHG60" s="294"/>
      <c r="AHH60" s="294"/>
      <c r="AHI60" s="294"/>
      <c r="AHJ60" s="294"/>
      <c r="AHK60" s="294"/>
      <c r="AHL60" s="294">
        <v>-32946597.699999999</v>
      </c>
      <c r="AHM60" s="294"/>
      <c r="AHN60" s="294"/>
      <c r="AHO60" s="294"/>
      <c r="AHP60" s="294"/>
      <c r="AHQ60" s="294"/>
      <c r="AHR60" s="331"/>
      <c r="AHS60" s="294">
        <f>SUM(D60:AHR60)</f>
        <v>-2208658354.5299993</v>
      </c>
      <c r="AHT60" s="269" t="b">
        <f>AHV60=B60</f>
        <v>1</v>
      </c>
      <c r="AHU60" s="269" t="s">
        <v>6278</v>
      </c>
      <c r="AHV60" s="269" t="s">
        <v>6063</v>
      </c>
      <c r="AHW60" s="269" t="s">
        <v>6064</v>
      </c>
    </row>
    <row r="61" spans="1:907" ht="24.6" x14ac:dyDescent="0.7">
      <c r="A61" s="268" t="s">
        <v>6278</v>
      </c>
      <c r="B61" s="268" t="s">
        <v>6065</v>
      </c>
      <c r="C61" s="269" t="s">
        <v>6066</v>
      </c>
      <c r="D61" s="294">
        <v>-40390466.670000002</v>
      </c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>
        <v>-35224013.060000002</v>
      </c>
      <c r="W61" s="294"/>
      <c r="X61" s="294"/>
      <c r="Y61" s="294"/>
      <c r="Z61" s="294"/>
      <c r="AA61" s="294"/>
      <c r="AB61" s="294"/>
      <c r="AC61" s="294">
        <v>0</v>
      </c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>
        <v>-18766925.489999998</v>
      </c>
      <c r="BJ61" s="294">
        <v>0</v>
      </c>
      <c r="BK61" s="294"/>
      <c r="BL61" s="294"/>
      <c r="BM61" s="294"/>
      <c r="BN61" s="294">
        <v>0</v>
      </c>
      <c r="BO61" s="294">
        <v>0</v>
      </c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>
        <v>-134280</v>
      </c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>
        <v>0</v>
      </c>
      <c r="DC61" s="294"/>
      <c r="DD61" s="294"/>
      <c r="DE61" s="294"/>
      <c r="DF61" s="294"/>
      <c r="DG61" s="294"/>
      <c r="DH61" s="294"/>
      <c r="DI61" s="294"/>
      <c r="DJ61" s="294"/>
      <c r="DK61" s="294">
        <v>0</v>
      </c>
      <c r="DL61" s="294"/>
      <c r="DM61" s="294"/>
      <c r="DN61" s="294"/>
      <c r="DO61" s="294"/>
      <c r="DP61" s="294"/>
      <c r="DQ61" s="294"/>
      <c r="DR61" s="294"/>
      <c r="DS61" s="294"/>
      <c r="DT61" s="294"/>
      <c r="DU61" s="294"/>
      <c r="DV61" s="294"/>
      <c r="DW61" s="294"/>
      <c r="DX61" s="294"/>
      <c r="DY61" s="294"/>
      <c r="DZ61" s="294"/>
      <c r="EA61" s="294"/>
      <c r="EB61" s="294">
        <v>-5000</v>
      </c>
      <c r="EC61" s="294"/>
      <c r="ED61" s="294"/>
      <c r="EE61" s="294">
        <v>0</v>
      </c>
      <c r="EF61" s="294">
        <v>-57025</v>
      </c>
      <c r="EG61" s="294"/>
      <c r="EH61" s="294"/>
      <c r="EI61" s="294"/>
      <c r="EJ61" s="294"/>
      <c r="EK61" s="294"/>
      <c r="EL61" s="294"/>
      <c r="EM61" s="294"/>
      <c r="EN61" s="294">
        <v>-30222171.600000001</v>
      </c>
      <c r="EO61" s="294"/>
      <c r="EP61" s="294"/>
      <c r="EQ61" s="294"/>
      <c r="ER61" s="294"/>
      <c r="ES61" s="294"/>
      <c r="ET61" s="294"/>
      <c r="EU61" s="294"/>
      <c r="EV61" s="294"/>
      <c r="EW61" s="294"/>
      <c r="EX61" s="294"/>
      <c r="EY61" s="294"/>
      <c r="EZ61" s="294"/>
      <c r="FA61" s="294"/>
      <c r="FB61" s="294"/>
      <c r="FC61" s="294"/>
      <c r="FD61" s="294"/>
      <c r="FE61" s="294"/>
      <c r="FF61" s="294"/>
      <c r="FG61" s="294"/>
      <c r="FH61" s="294"/>
      <c r="FI61" s="294"/>
      <c r="FJ61" s="294"/>
      <c r="FK61" s="294"/>
      <c r="FL61" s="294"/>
      <c r="FM61" s="294"/>
      <c r="FN61" s="294"/>
      <c r="FO61" s="294"/>
      <c r="FP61" s="294"/>
      <c r="FQ61" s="294">
        <v>-85115743.819999993</v>
      </c>
      <c r="FR61" s="294"/>
      <c r="FS61" s="294"/>
      <c r="FT61" s="294"/>
      <c r="FU61" s="294"/>
      <c r="FV61" s="294"/>
      <c r="FW61" s="294"/>
      <c r="FX61" s="294"/>
      <c r="FY61" s="294"/>
      <c r="FZ61" s="294"/>
      <c r="GA61" s="294"/>
      <c r="GB61" s="294"/>
      <c r="GC61" s="294"/>
      <c r="GD61" s="294"/>
      <c r="GE61" s="294">
        <v>-27331046.75</v>
      </c>
      <c r="GF61" s="294"/>
      <c r="GG61" s="294"/>
      <c r="GH61" s="294"/>
      <c r="GI61" s="294"/>
      <c r="GJ61" s="294"/>
      <c r="GK61" s="294"/>
      <c r="GL61" s="294"/>
      <c r="GM61" s="294"/>
      <c r="GN61" s="294"/>
      <c r="GO61" s="294"/>
      <c r="GP61" s="294"/>
      <c r="GQ61" s="294">
        <v>-5013072.5999999996</v>
      </c>
      <c r="GR61" s="294"/>
      <c r="GS61" s="294"/>
      <c r="GT61" s="294"/>
      <c r="GU61" s="294"/>
      <c r="GV61" s="294"/>
      <c r="GW61" s="294"/>
      <c r="GX61" s="294"/>
      <c r="GY61" s="294"/>
      <c r="GZ61" s="294"/>
      <c r="HA61" s="294"/>
      <c r="HB61" s="294"/>
      <c r="HC61" s="294">
        <v>-4522722.3</v>
      </c>
      <c r="HD61" s="294"/>
      <c r="HE61" s="294"/>
      <c r="HF61" s="294"/>
      <c r="HG61" s="294"/>
      <c r="HH61" s="294"/>
      <c r="HI61" s="294"/>
      <c r="HJ61" s="294"/>
      <c r="HK61" s="294"/>
      <c r="HL61" s="294"/>
      <c r="HM61" s="294"/>
      <c r="HN61" s="294"/>
      <c r="HO61" s="294"/>
      <c r="HP61" s="294"/>
      <c r="HQ61" s="294"/>
      <c r="HR61" s="294">
        <v>-35387959.490000002</v>
      </c>
      <c r="HS61" s="294"/>
      <c r="HT61" s="294"/>
      <c r="HU61" s="294"/>
      <c r="HV61" s="294"/>
      <c r="HW61" s="294"/>
      <c r="HX61" s="294"/>
      <c r="HY61" s="294"/>
      <c r="HZ61" s="294"/>
      <c r="IA61" s="294"/>
      <c r="IB61" s="294"/>
      <c r="IC61" s="294"/>
      <c r="ID61" s="294"/>
      <c r="IE61" s="294"/>
      <c r="IF61" s="294"/>
      <c r="IG61" s="294"/>
      <c r="IH61" s="294"/>
      <c r="II61" s="294"/>
      <c r="IJ61" s="294"/>
      <c r="IK61" s="294"/>
      <c r="IL61" s="294"/>
      <c r="IM61" s="294"/>
      <c r="IN61" s="294"/>
      <c r="IO61" s="294"/>
      <c r="IP61" s="294"/>
      <c r="IQ61" s="294"/>
      <c r="IR61" s="294"/>
      <c r="IS61" s="294">
        <v>-44030206.240000002</v>
      </c>
      <c r="IT61" s="294">
        <v>-36392969.509999998</v>
      </c>
      <c r="IU61" s="294"/>
      <c r="IV61" s="294"/>
      <c r="IW61" s="294"/>
      <c r="IX61" s="294"/>
      <c r="IY61" s="294"/>
      <c r="IZ61" s="294"/>
      <c r="JA61" s="294"/>
      <c r="JB61" s="294"/>
      <c r="JC61" s="294">
        <v>-34026</v>
      </c>
      <c r="JD61" s="294"/>
      <c r="JE61" s="294">
        <v>-1377723.4</v>
      </c>
      <c r="JF61" s="294"/>
      <c r="JG61" s="294"/>
      <c r="JH61" s="294"/>
      <c r="JI61" s="294"/>
      <c r="JJ61" s="294"/>
      <c r="JK61" s="294">
        <v>0</v>
      </c>
      <c r="JL61" s="294">
        <v>0</v>
      </c>
      <c r="JM61" s="294"/>
      <c r="JN61" s="294"/>
      <c r="JO61" s="294"/>
      <c r="JP61" s="294"/>
      <c r="JQ61" s="294">
        <v>0</v>
      </c>
      <c r="JR61" s="294">
        <v>-26522123.440000001</v>
      </c>
      <c r="JS61" s="294">
        <v>-18100941.98</v>
      </c>
      <c r="JT61" s="294"/>
      <c r="JU61" s="294"/>
      <c r="JV61" s="294"/>
      <c r="JW61" s="294"/>
      <c r="JX61" s="294"/>
      <c r="JY61" s="294"/>
      <c r="JZ61" s="294"/>
      <c r="KA61" s="294"/>
      <c r="KB61" s="294"/>
      <c r="KC61" s="294"/>
      <c r="KD61" s="294"/>
      <c r="KE61" s="294"/>
      <c r="KF61" s="294"/>
      <c r="KG61" s="294"/>
      <c r="KH61" s="294"/>
      <c r="KI61" s="294"/>
      <c r="KJ61" s="294"/>
      <c r="KK61" s="294"/>
      <c r="KL61" s="294"/>
      <c r="KM61" s="294"/>
      <c r="KN61" s="294"/>
      <c r="KO61" s="294"/>
      <c r="KP61" s="294"/>
      <c r="KQ61" s="294"/>
      <c r="KR61" s="294"/>
      <c r="KS61" s="294"/>
      <c r="KT61" s="294"/>
      <c r="KU61" s="294"/>
      <c r="KV61" s="294"/>
      <c r="KW61" s="294">
        <v>-65920</v>
      </c>
      <c r="KX61" s="294"/>
      <c r="KY61" s="294"/>
      <c r="KZ61" s="294"/>
      <c r="LA61" s="294"/>
      <c r="LB61" s="294"/>
      <c r="LC61" s="294"/>
      <c r="LD61" s="294"/>
      <c r="LE61" s="294"/>
      <c r="LF61" s="294"/>
      <c r="LG61" s="294">
        <v>-132149213.76000001</v>
      </c>
      <c r="LH61" s="294">
        <v>-14978999.199999999</v>
      </c>
      <c r="LI61" s="294">
        <v>-2945045.61</v>
      </c>
      <c r="LJ61" s="294"/>
      <c r="LK61" s="294"/>
      <c r="LL61" s="294"/>
      <c r="LM61" s="294"/>
      <c r="LN61" s="294"/>
      <c r="LO61" s="294"/>
      <c r="LP61" s="294"/>
      <c r="LQ61" s="294"/>
      <c r="LR61" s="294"/>
      <c r="LS61" s="294"/>
      <c r="LT61" s="294"/>
      <c r="LU61" s="294">
        <v>-5614364.9100000001</v>
      </c>
      <c r="LV61" s="294"/>
      <c r="LW61" s="294">
        <v>-150000</v>
      </c>
      <c r="LX61" s="294"/>
      <c r="LY61" s="294"/>
      <c r="LZ61" s="294"/>
      <c r="MA61" s="294"/>
      <c r="MB61" s="294"/>
      <c r="MC61" s="294"/>
      <c r="MD61" s="294"/>
      <c r="ME61" s="294"/>
      <c r="MF61" s="294"/>
      <c r="MG61" s="294">
        <v>0</v>
      </c>
      <c r="MH61" s="294"/>
      <c r="MI61" s="294"/>
      <c r="MJ61" s="294"/>
      <c r="MK61" s="294"/>
      <c r="ML61" s="294"/>
      <c r="MM61" s="294"/>
      <c r="MN61" s="294"/>
      <c r="MO61" s="294"/>
      <c r="MP61" s="294"/>
      <c r="MQ61" s="294"/>
      <c r="MR61" s="294"/>
      <c r="MS61" s="294">
        <v>-16841661.259999998</v>
      </c>
      <c r="MT61" s="294"/>
      <c r="MU61" s="294"/>
      <c r="MV61" s="294"/>
      <c r="MW61" s="294"/>
      <c r="MX61" s="294"/>
      <c r="MY61" s="294"/>
      <c r="MZ61" s="294"/>
      <c r="NA61" s="294"/>
      <c r="NB61" s="294"/>
      <c r="NC61" s="294"/>
      <c r="ND61" s="294">
        <v>-34139357.710000001</v>
      </c>
      <c r="NE61" s="294"/>
      <c r="NF61" s="294"/>
      <c r="NG61" s="294"/>
      <c r="NH61" s="294">
        <v>0</v>
      </c>
      <c r="NI61" s="294"/>
      <c r="NJ61" s="294"/>
      <c r="NK61" s="294"/>
      <c r="NL61" s="294"/>
      <c r="NM61" s="294"/>
      <c r="NN61" s="294"/>
      <c r="NO61" s="294"/>
      <c r="NP61" s="294">
        <v>0</v>
      </c>
      <c r="NQ61" s="294"/>
      <c r="NR61" s="294"/>
      <c r="NS61" s="294"/>
      <c r="NT61" s="294"/>
      <c r="NU61" s="294"/>
      <c r="NV61" s="294"/>
      <c r="NW61" s="294">
        <v>-12911087.5</v>
      </c>
      <c r="NX61" s="294"/>
      <c r="NY61" s="294"/>
      <c r="NZ61" s="294"/>
      <c r="OA61" s="294"/>
      <c r="OB61" s="294"/>
      <c r="OC61" s="294"/>
      <c r="OD61" s="294"/>
      <c r="OE61" s="294"/>
      <c r="OF61" s="294"/>
      <c r="OG61" s="294">
        <v>0</v>
      </c>
      <c r="OH61" s="294"/>
      <c r="OI61" s="294"/>
      <c r="OJ61" s="294"/>
      <c r="OK61" s="294"/>
      <c r="OL61" s="294"/>
      <c r="OM61" s="294">
        <v>-28733882.460000001</v>
      </c>
      <c r="ON61" s="294"/>
      <c r="OO61" s="294"/>
      <c r="OP61" s="294"/>
      <c r="OQ61" s="294"/>
      <c r="OR61" s="294"/>
      <c r="OS61" s="294">
        <v>-9111875.9800000004</v>
      </c>
      <c r="OT61" s="294"/>
      <c r="OU61" s="294"/>
      <c r="OV61" s="294"/>
      <c r="OW61" s="294"/>
      <c r="OX61" s="294"/>
      <c r="OY61" s="294"/>
      <c r="OZ61" s="294"/>
      <c r="PA61" s="294"/>
      <c r="PB61" s="294"/>
      <c r="PC61" s="294"/>
      <c r="PD61" s="294"/>
      <c r="PE61" s="294"/>
      <c r="PF61" s="294"/>
      <c r="PG61" s="294"/>
      <c r="PH61" s="294"/>
      <c r="PI61" s="294"/>
      <c r="PJ61" s="294"/>
      <c r="PK61" s="294"/>
      <c r="PL61" s="294"/>
      <c r="PM61" s="294"/>
      <c r="PN61" s="294"/>
      <c r="PO61" s="294"/>
      <c r="PP61" s="294"/>
      <c r="PQ61" s="294"/>
      <c r="PR61" s="294"/>
      <c r="PS61" s="294"/>
      <c r="PT61" s="294"/>
      <c r="PU61" s="294"/>
      <c r="PV61" s="294"/>
      <c r="PW61" s="294"/>
      <c r="PX61" s="294"/>
      <c r="PY61" s="294"/>
      <c r="PZ61" s="294"/>
      <c r="QA61" s="294"/>
      <c r="QB61" s="294"/>
      <c r="QC61" s="294"/>
      <c r="QD61" s="294"/>
      <c r="QE61" s="294"/>
      <c r="QF61" s="294"/>
      <c r="QG61" s="294"/>
      <c r="QH61" s="294"/>
      <c r="QI61" s="294"/>
      <c r="QJ61" s="294"/>
      <c r="QK61" s="294"/>
      <c r="QL61" s="294"/>
      <c r="QM61" s="294"/>
      <c r="QN61" s="294"/>
      <c r="QO61" s="294"/>
      <c r="QP61" s="294"/>
      <c r="QQ61" s="294"/>
      <c r="QR61" s="294"/>
      <c r="QS61" s="294"/>
      <c r="QT61" s="294"/>
      <c r="QU61" s="294"/>
      <c r="QV61" s="294"/>
      <c r="QW61" s="294"/>
      <c r="QX61" s="294"/>
      <c r="QY61" s="294"/>
      <c r="QZ61" s="294"/>
      <c r="RA61" s="294"/>
      <c r="RB61" s="294"/>
      <c r="RC61" s="294"/>
      <c r="RD61" s="294"/>
      <c r="RE61" s="294"/>
      <c r="RF61" s="294"/>
      <c r="RG61" s="294"/>
      <c r="RH61" s="294">
        <v>0</v>
      </c>
      <c r="RI61" s="294"/>
      <c r="RJ61" s="294">
        <v>0</v>
      </c>
      <c r="RK61" s="294">
        <v>-4000</v>
      </c>
      <c r="RL61" s="294">
        <v>0</v>
      </c>
      <c r="RM61" s="294">
        <v>0</v>
      </c>
      <c r="RN61" s="294">
        <v>0</v>
      </c>
      <c r="RO61" s="294">
        <v>0</v>
      </c>
      <c r="RP61" s="294"/>
      <c r="RQ61" s="294"/>
      <c r="RR61" s="294"/>
      <c r="RS61" s="294">
        <v>0</v>
      </c>
      <c r="RT61" s="294"/>
      <c r="RU61" s="294"/>
      <c r="RV61" s="294"/>
      <c r="RW61" s="294">
        <v>0</v>
      </c>
      <c r="RX61" s="294">
        <v>0</v>
      </c>
      <c r="RY61" s="294">
        <v>0</v>
      </c>
      <c r="RZ61" s="294">
        <v>0</v>
      </c>
      <c r="SA61" s="294"/>
      <c r="SB61" s="294"/>
      <c r="SC61" s="294"/>
      <c r="SD61" s="294"/>
      <c r="SE61" s="294"/>
      <c r="SF61" s="294"/>
      <c r="SG61" s="294"/>
      <c r="SH61" s="294"/>
      <c r="SI61" s="294"/>
      <c r="SJ61" s="294"/>
      <c r="SK61" s="294"/>
      <c r="SL61" s="294"/>
      <c r="SM61" s="294"/>
      <c r="SN61" s="294"/>
      <c r="SO61" s="294"/>
      <c r="SP61" s="294"/>
      <c r="SQ61" s="294"/>
      <c r="SR61" s="294"/>
      <c r="SS61" s="294"/>
      <c r="ST61" s="294"/>
      <c r="SU61" s="294"/>
      <c r="SV61" s="294"/>
      <c r="SW61" s="294"/>
      <c r="SX61" s="294"/>
      <c r="SY61" s="294"/>
      <c r="SZ61" s="294"/>
      <c r="TA61" s="294"/>
      <c r="TB61" s="294"/>
      <c r="TC61" s="294"/>
      <c r="TD61" s="294"/>
      <c r="TE61" s="294"/>
      <c r="TF61" s="294"/>
      <c r="TG61" s="294"/>
      <c r="TH61" s="294"/>
      <c r="TI61" s="294"/>
      <c r="TJ61" s="294"/>
      <c r="TK61" s="294"/>
      <c r="TL61" s="294"/>
      <c r="TM61" s="294"/>
      <c r="TN61" s="294"/>
      <c r="TO61" s="294"/>
      <c r="TP61" s="294"/>
      <c r="TQ61" s="294"/>
      <c r="TR61" s="294"/>
      <c r="TS61" s="294"/>
      <c r="TT61" s="294"/>
      <c r="TU61" s="294"/>
      <c r="TV61" s="294"/>
      <c r="TW61" s="294"/>
      <c r="TX61" s="294"/>
      <c r="TY61" s="294"/>
      <c r="TZ61" s="294"/>
      <c r="UA61" s="294"/>
      <c r="UB61" s="294"/>
      <c r="UC61" s="294"/>
      <c r="UD61" s="294"/>
      <c r="UE61" s="294"/>
      <c r="UF61" s="294"/>
      <c r="UG61" s="294"/>
      <c r="UH61" s="294"/>
      <c r="UI61" s="294"/>
      <c r="UJ61" s="294"/>
      <c r="UK61" s="294"/>
      <c r="UL61" s="294"/>
      <c r="UM61" s="294"/>
      <c r="UN61" s="294"/>
      <c r="UO61" s="294"/>
      <c r="UP61" s="294">
        <v>0</v>
      </c>
      <c r="UQ61" s="294"/>
      <c r="UR61" s="294"/>
      <c r="US61" s="294"/>
      <c r="UT61" s="294"/>
      <c r="UU61" s="294"/>
      <c r="UV61" s="294"/>
      <c r="UW61" s="294"/>
      <c r="UX61" s="294"/>
      <c r="UY61" s="294"/>
      <c r="UZ61" s="294"/>
      <c r="VA61" s="294"/>
      <c r="VB61" s="294"/>
      <c r="VC61" s="294"/>
      <c r="VD61" s="294"/>
      <c r="VE61" s="294"/>
      <c r="VF61" s="294"/>
      <c r="VG61" s="294"/>
      <c r="VH61" s="294"/>
      <c r="VI61" s="294"/>
      <c r="VJ61" s="294"/>
      <c r="VK61" s="294"/>
      <c r="VL61" s="294"/>
      <c r="VM61" s="294"/>
      <c r="VN61" s="294"/>
      <c r="VO61" s="294"/>
      <c r="VP61" s="294"/>
      <c r="VQ61" s="294"/>
      <c r="VR61" s="294"/>
      <c r="VS61" s="294"/>
      <c r="VT61" s="294"/>
      <c r="VU61" s="294"/>
      <c r="VV61" s="294"/>
      <c r="VW61" s="294"/>
      <c r="VX61" s="294"/>
      <c r="VY61" s="294"/>
      <c r="VZ61" s="294"/>
      <c r="WA61" s="294">
        <v>-22512747.07</v>
      </c>
      <c r="WB61" s="294"/>
      <c r="WC61" s="294"/>
      <c r="WD61" s="294"/>
      <c r="WE61" s="294"/>
      <c r="WF61" s="294"/>
      <c r="WG61" s="294"/>
      <c r="WH61" s="294"/>
      <c r="WI61" s="294"/>
      <c r="WJ61" s="294"/>
      <c r="WK61" s="294"/>
      <c r="WL61" s="294"/>
      <c r="WM61" s="294"/>
      <c r="WN61" s="294"/>
      <c r="WO61" s="294"/>
      <c r="WP61" s="294"/>
      <c r="WQ61" s="294"/>
      <c r="WR61" s="294"/>
      <c r="WS61" s="294"/>
      <c r="WT61" s="294"/>
      <c r="WU61" s="294"/>
      <c r="WV61" s="294"/>
      <c r="WW61" s="294"/>
      <c r="WX61" s="294"/>
      <c r="WY61" s="294"/>
      <c r="WZ61" s="294"/>
      <c r="XA61" s="294"/>
      <c r="XB61" s="294"/>
      <c r="XC61" s="294"/>
      <c r="XD61" s="294"/>
      <c r="XE61" s="294"/>
      <c r="XF61" s="294"/>
      <c r="XG61" s="294"/>
      <c r="XH61" s="294">
        <v>-2582202.34</v>
      </c>
      <c r="XI61" s="294"/>
      <c r="XJ61" s="294"/>
      <c r="XK61" s="294"/>
      <c r="XL61" s="294"/>
      <c r="XM61" s="294"/>
      <c r="XN61" s="294"/>
      <c r="XO61" s="294"/>
      <c r="XP61" s="294"/>
      <c r="XQ61" s="294"/>
      <c r="XR61" s="294"/>
      <c r="XS61" s="294"/>
      <c r="XT61" s="294"/>
      <c r="XU61" s="294"/>
      <c r="XV61" s="294"/>
      <c r="XW61" s="294"/>
      <c r="XX61" s="294"/>
      <c r="XY61" s="294"/>
      <c r="XZ61" s="294"/>
      <c r="YA61" s="294"/>
      <c r="YB61" s="294"/>
      <c r="YC61" s="294"/>
      <c r="YD61" s="294"/>
      <c r="YE61" s="294"/>
      <c r="YF61" s="294"/>
      <c r="YG61" s="294"/>
      <c r="YH61" s="294"/>
      <c r="YI61" s="294"/>
      <c r="YJ61" s="294"/>
      <c r="YK61" s="294"/>
      <c r="YL61" s="294"/>
      <c r="YM61" s="294"/>
      <c r="YN61" s="294"/>
      <c r="YO61" s="294"/>
      <c r="YP61" s="294"/>
      <c r="YQ61" s="294"/>
      <c r="YR61" s="294"/>
      <c r="YS61" s="294"/>
      <c r="YT61" s="294"/>
      <c r="YU61" s="294"/>
      <c r="YV61" s="294"/>
      <c r="YW61" s="294"/>
      <c r="YX61" s="294"/>
      <c r="YY61" s="294"/>
      <c r="YZ61" s="294"/>
      <c r="ZA61" s="294"/>
      <c r="ZB61" s="294"/>
      <c r="ZC61" s="294"/>
      <c r="ZD61" s="294"/>
      <c r="ZE61" s="294"/>
      <c r="ZF61" s="294"/>
      <c r="ZG61" s="294"/>
      <c r="ZH61" s="294"/>
      <c r="ZI61" s="294"/>
      <c r="ZJ61" s="294"/>
      <c r="ZK61" s="294"/>
      <c r="ZL61" s="294"/>
      <c r="ZM61" s="294"/>
      <c r="ZN61" s="294"/>
      <c r="ZO61" s="294"/>
      <c r="ZP61" s="294"/>
      <c r="ZQ61" s="294"/>
      <c r="ZR61" s="294"/>
      <c r="ZS61" s="294"/>
      <c r="ZT61" s="294"/>
      <c r="ZU61" s="294"/>
      <c r="ZV61" s="294"/>
      <c r="ZW61" s="294"/>
      <c r="ZX61" s="294"/>
      <c r="ZY61" s="294"/>
      <c r="ZZ61" s="294"/>
      <c r="AAA61" s="294"/>
      <c r="AAB61" s="294"/>
      <c r="AAC61" s="294"/>
      <c r="AAD61" s="294"/>
      <c r="AAE61" s="294"/>
      <c r="AAF61" s="294"/>
      <c r="AAG61" s="294"/>
      <c r="AAH61" s="294"/>
      <c r="AAI61" s="294"/>
      <c r="AAJ61" s="294"/>
      <c r="AAK61" s="294"/>
      <c r="AAL61" s="294"/>
      <c r="AAM61" s="294"/>
      <c r="AAN61" s="294"/>
      <c r="AAO61" s="294"/>
      <c r="AAP61" s="294"/>
      <c r="AAQ61" s="294"/>
      <c r="AAR61" s="294"/>
      <c r="AAS61" s="294"/>
      <c r="AAT61" s="294"/>
      <c r="AAU61" s="294"/>
      <c r="AAV61" s="294"/>
      <c r="AAW61" s="294"/>
      <c r="AAX61" s="294"/>
      <c r="AAY61" s="294"/>
      <c r="AAZ61" s="294"/>
      <c r="ABA61" s="294"/>
      <c r="ABB61" s="294"/>
      <c r="ABC61" s="294">
        <v>0</v>
      </c>
      <c r="ABD61" s="294"/>
      <c r="ABE61" s="294"/>
      <c r="ABF61" s="294"/>
      <c r="ABG61" s="294"/>
      <c r="ABH61" s="294"/>
      <c r="ABI61" s="294"/>
      <c r="ABJ61" s="294"/>
      <c r="ABK61" s="294">
        <v>0</v>
      </c>
      <c r="ABL61" s="294"/>
      <c r="ABM61" s="294"/>
      <c r="ABN61" s="294"/>
      <c r="ABO61" s="294"/>
      <c r="ABP61" s="294"/>
      <c r="ABQ61" s="294"/>
      <c r="ABR61" s="294"/>
      <c r="ABS61" s="294"/>
      <c r="ABT61" s="294"/>
      <c r="ABU61" s="294"/>
      <c r="ABV61" s="294"/>
      <c r="ABW61" s="294"/>
      <c r="ABX61" s="294">
        <v>-76467550.340000004</v>
      </c>
      <c r="ABY61" s="294"/>
      <c r="ABZ61" s="294"/>
      <c r="ACA61" s="294"/>
      <c r="ACB61" s="294"/>
      <c r="ACC61" s="294"/>
      <c r="ACD61" s="294"/>
      <c r="ACE61" s="294"/>
      <c r="ACF61" s="294"/>
      <c r="ACG61" s="294"/>
      <c r="ACH61" s="294"/>
      <c r="ACI61" s="294"/>
      <c r="ACJ61" s="294"/>
      <c r="ACK61" s="294"/>
      <c r="ACL61" s="294"/>
      <c r="ACM61" s="294"/>
      <c r="ACN61" s="294"/>
      <c r="ACO61" s="294"/>
      <c r="ACP61" s="294"/>
      <c r="ACQ61" s="294"/>
      <c r="ACR61" s="294"/>
      <c r="ACS61" s="294"/>
      <c r="ACT61" s="294"/>
      <c r="ACU61" s="294"/>
      <c r="ACV61" s="294"/>
      <c r="ACW61" s="294"/>
      <c r="ACX61" s="294"/>
      <c r="ACY61" s="294"/>
      <c r="ACZ61" s="294"/>
      <c r="ADA61" s="294"/>
      <c r="ADB61" s="294"/>
      <c r="ADC61" s="294"/>
      <c r="ADD61" s="294"/>
      <c r="ADE61" s="294"/>
      <c r="ADF61" s="294"/>
      <c r="ADG61" s="294"/>
      <c r="ADH61" s="294"/>
      <c r="ADI61" s="294"/>
      <c r="ADJ61" s="294"/>
      <c r="ADK61" s="294"/>
      <c r="ADL61" s="294">
        <v>-86620</v>
      </c>
      <c r="ADM61" s="294"/>
      <c r="ADN61" s="294"/>
      <c r="ADO61" s="294"/>
      <c r="ADP61" s="294"/>
      <c r="ADQ61" s="294"/>
      <c r="ADR61" s="294"/>
      <c r="ADS61" s="294">
        <v>0</v>
      </c>
      <c r="ADT61" s="294"/>
      <c r="ADU61" s="294"/>
      <c r="ADV61" s="294"/>
      <c r="ADW61" s="294"/>
      <c r="ADX61" s="294"/>
      <c r="ADY61" s="294">
        <v>-473000</v>
      </c>
      <c r="ADZ61" s="294">
        <v>-74900</v>
      </c>
      <c r="AEA61" s="294"/>
      <c r="AEB61" s="294"/>
      <c r="AEC61" s="294"/>
      <c r="AED61" s="294"/>
      <c r="AEE61" s="294"/>
      <c r="AEF61" s="294"/>
      <c r="AEG61" s="294"/>
      <c r="AEH61" s="294"/>
      <c r="AEI61" s="294"/>
      <c r="AEJ61" s="294"/>
      <c r="AEK61" s="294"/>
      <c r="AEL61" s="294"/>
      <c r="AEM61" s="294"/>
      <c r="AEN61" s="294"/>
      <c r="AEO61" s="294"/>
      <c r="AEP61" s="294"/>
      <c r="AEQ61" s="294"/>
      <c r="AER61" s="294"/>
      <c r="AES61" s="294">
        <v>-32022976.530000001</v>
      </c>
      <c r="AET61" s="294"/>
      <c r="AEU61" s="294"/>
      <c r="AEV61" s="294"/>
      <c r="AEW61" s="294"/>
      <c r="AEX61" s="294"/>
      <c r="AEY61" s="294"/>
      <c r="AEZ61" s="294"/>
      <c r="AFA61" s="294"/>
      <c r="AFB61" s="294"/>
      <c r="AFC61" s="294">
        <v>0</v>
      </c>
      <c r="AFD61" s="294"/>
      <c r="AFE61" s="294"/>
      <c r="AFF61" s="294"/>
      <c r="AFG61" s="294"/>
      <c r="AFH61" s="294"/>
      <c r="AFI61" s="294"/>
      <c r="AFJ61" s="294"/>
      <c r="AFK61" s="294"/>
      <c r="AFL61" s="294"/>
      <c r="AFM61" s="294"/>
      <c r="AFN61" s="294"/>
      <c r="AFO61" s="294"/>
      <c r="AFP61" s="294"/>
      <c r="AFQ61" s="294"/>
      <c r="AFR61" s="294"/>
      <c r="AFS61" s="294"/>
      <c r="AFT61" s="294"/>
      <c r="AFU61" s="294"/>
      <c r="AFV61" s="294"/>
      <c r="AFW61" s="294"/>
      <c r="AFX61" s="294"/>
      <c r="AFY61" s="294"/>
      <c r="AFZ61" s="294"/>
      <c r="AGA61" s="294"/>
      <c r="AGB61" s="294">
        <v>0</v>
      </c>
      <c r="AGC61" s="294"/>
      <c r="AGD61" s="294"/>
      <c r="AGE61" s="294"/>
      <c r="AGF61" s="294"/>
      <c r="AGG61" s="294"/>
      <c r="AGH61" s="294"/>
      <c r="AGI61" s="294"/>
      <c r="AGJ61" s="294"/>
      <c r="AGK61" s="294"/>
      <c r="AGL61" s="294"/>
      <c r="AGM61" s="294">
        <v>-17944321.989999998</v>
      </c>
      <c r="AGN61" s="294"/>
      <c r="AGO61" s="294"/>
      <c r="AGP61" s="294"/>
      <c r="AGQ61" s="294"/>
      <c r="AGR61" s="294"/>
      <c r="AGS61" s="294"/>
      <c r="AGT61" s="294"/>
      <c r="AGU61" s="294">
        <v>-109343600.15000001</v>
      </c>
      <c r="AGV61" s="294">
        <v>-71041279.430000007</v>
      </c>
      <c r="AGW61" s="294"/>
      <c r="AGX61" s="294"/>
      <c r="AGY61" s="294"/>
      <c r="AGZ61" s="294"/>
      <c r="AHA61" s="294"/>
      <c r="AHB61" s="294"/>
      <c r="AHC61" s="294"/>
      <c r="AHD61" s="294"/>
      <c r="AHE61" s="294"/>
      <c r="AHF61" s="294"/>
      <c r="AHG61" s="294"/>
      <c r="AHH61" s="294"/>
      <c r="AHI61" s="294"/>
      <c r="AHJ61" s="294"/>
      <c r="AHK61" s="294"/>
      <c r="AHL61" s="294">
        <v>-7974784.1399999997</v>
      </c>
      <c r="AHM61" s="294"/>
      <c r="AHN61" s="294"/>
      <c r="AHO61" s="294"/>
      <c r="AHP61" s="294"/>
      <c r="AHQ61" s="294"/>
      <c r="AHR61" s="331"/>
      <c r="AHS61" s="294">
        <f t="shared" ref="AHS61:AHS124" si="51">SUM(D61:AHR61)</f>
        <v>-1006797807.7300001</v>
      </c>
      <c r="AHT61" s="269" t="b">
        <f t="shared" ref="AHT61:AHT124" si="52">AHV61=B61</f>
        <v>1</v>
      </c>
      <c r="AHU61" s="269" t="s">
        <v>6278</v>
      </c>
      <c r="AHV61" s="269" t="s">
        <v>6065</v>
      </c>
      <c r="AHW61" s="269" t="s">
        <v>6066</v>
      </c>
    </row>
    <row r="62" spans="1:907" ht="24.6" x14ac:dyDescent="0.7">
      <c r="A62" s="268" t="s">
        <v>6278</v>
      </c>
      <c r="B62" s="268" t="s">
        <v>6067</v>
      </c>
      <c r="C62" s="269" t="s">
        <v>6068</v>
      </c>
      <c r="D62" s="294">
        <v>-15107596.1</v>
      </c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>
        <v>-18773829.75</v>
      </c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>
        <v>-15490375.9</v>
      </c>
      <c r="BJ62" s="294">
        <v>0</v>
      </c>
      <c r="BK62" s="294"/>
      <c r="BL62" s="294"/>
      <c r="BM62" s="294"/>
      <c r="BN62" s="294">
        <v>0</v>
      </c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>
        <v>0</v>
      </c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>
        <v>0</v>
      </c>
      <c r="DC62" s="294"/>
      <c r="DD62" s="294"/>
      <c r="DE62" s="294"/>
      <c r="DF62" s="294"/>
      <c r="DG62" s="294"/>
      <c r="DH62" s="294"/>
      <c r="DI62" s="294"/>
      <c r="DJ62" s="294"/>
      <c r="DK62" s="294">
        <v>0</v>
      </c>
      <c r="DL62" s="294"/>
      <c r="DM62" s="294"/>
      <c r="DN62" s="294"/>
      <c r="DO62" s="294"/>
      <c r="DP62" s="294"/>
      <c r="DQ62" s="294"/>
      <c r="DR62" s="294"/>
      <c r="DS62" s="294"/>
      <c r="DT62" s="294"/>
      <c r="DU62" s="294"/>
      <c r="DV62" s="294"/>
      <c r="DW62" s="294"/>
      <c r="DX62" s="294"/>
      <c r="DY62" s="294"/>
      <c r="DZ62" s="294"/>
      <c r="EA62" s="294"/>
      <c r="EB62" s="294"/>
      <c r="EC62" s="294"/>
      <c r="ED62" s="294"/>
      <c r="EE62" s="294">
        <v>-3198678.3</v>
      </c>
      <c r="EF62" s="294">
        <v>-6213300</v>
      </c>
      <c r="EG62" s="294"/>
      <c r="EH62" s="294"/>
      <c r="EI62" s="294"/>
      <c r="EJ62" s="294"/>
      <c r="EK62" s="294"/>
      <c r="EL62" s="294"/>
      <c r="EM62" s="294"/>
      <c r="EN62" s="294">
        <v>-14987786.6</v>
      </c>
      <c r="EO62" s="294"/>
      <c r="EP62" s="294"/>
      <c r="EQ62" s="294"/>
      <c r="ER62" s="294"/>
      <c r="ES62" s="294"/>
      <c r="ET62" s="294"/>
      <c r="EU62" s="294"/>
      <c r="EV62" s="294"/>
      <c r="EW62" s="294"/>
      <c r="EX62" s="294"/>
      <c r="EY62" s="294"/>
      <c r="EZ62" s="294"/>
      <c r="FA62" s="294">
        <v>0</v>
      </c>
      <c r="FB62" s="294"/>
      <c r="FC62" s="294"/>
      <c r="FD62" s="294"/>
      <c r="FE62" s="294"/>
      <c r="FF62" s="294"/>
      <c r="FG62" s="294"/>
      <c r="FH62" s="294"/>
      <c r="FI62" s="294"/>
      <c r="FJ62" s="294"/>
      <c r="FK62" s="294"/>
      <c r="FL62" s="294"/>
      <c r="FM62" s="294"/>
      <c r="FN62" s="294"/>
      <c r="FO62" s="294"/>
      <c r="FP62" s="294"/>
      <c r="FQ62" s="294">
        <v>-26808734.809999999</v>
      </c>
      <c r="FR62" s="294"/>
      <c r="FS62" s="294"/>
      <c r="FT62" s="294"/>
      <c r="FU62" s="294">
        <v>0</v>
      </c>
      <c r="FV62" s="294"/>
      <c r="FW62" s="294"/>
      <c r="FX62" s="294"/>
      <c r="FY62" s="294"/>
      <c r="FZ62" s="294"/>
      <c r="GA62" s="294"/>
      <c r="GB62" s="294"/>
      <c r="GC62" s="294"/>
      <c r="GD62" s="294"/>
      <c r="GE62" s="294">
        <v>-21404830.800000001</v>
      </c>
      <c r="GF62" s="294"/>
      <c r="GG62" s="294"/>
      <c r="GH62" s="294"/>
      <c r="GI62" s="294"/>
      <c r="GJ62" s="294"/>
      <c r="GK62" s="294"/>
      <c r="GL62" s="294"/>
      <c r="GM62" s="294"/>
      <c r="GN62" s="294"/>
      <c r="GO62" s="294"/>
      <c r="GP62" s="294"/>
      <c r="GQ62" s="294"/>
      <c r="GR62" s="294"/>
      <c r="GS62" s="294"/>
      <c r="GT62" s="294"/>
      <c r="GU62" s="294"/>
      <c r="GV62" s="294"/>
      <c r="GW62" s="294"/>
      <c r="GX62" s="294"/>
      <c r="GY62" s="294"/>
      <c r="GZ62" s="294"/>
      <c r="HA62" s="294"/>
      <c r="HB62" s="294"/>
      <c r="HC62" s="294">
        <v>-2515040</v>
      </c>
      <c r="HD62" s="294"/>
      <c r="HE62" s="294"/>
      <c r="HF62" s="294"/>
      <c r="HG62" s="294"/>
      <c r="HH62" s="294"/>
      <c r="HI62" s="294"/>
      <c r="HJ62" s="294"/>
      <c r="HK62" s="294"/>
      <c r="HL62" s="294"/>
      <c r="HM62" s="294"/>
      <c r="HN62" s="294"/>
      <c r="HO62" s="294"/>
      <c r="HP62" s="294"/>
      <c r="HQ62" s="294"/>
      <c r="HR62" s="294">
        <v>-57591776.710000001</v>
      </c>
      <c r="HS62" s="294"/>
      <c r="HT62" s="294"/>
      <c r="HU62" s="294"/>
      <c r="HV62" s="294"/>
      <c r="HW62" s="294"/>
      <c r="HX62" s="294"/>
      <c r="HY62" s="294"/>
      <c r="HZ62" s="294"/>
      <c r="IA62" s="294"/>
      <c r="IB62" s="294"/>
      <c r="IC62" s="294"/>
      <c r="ID62" s="294"/>
      <c r="IE62" s="294"/>
      <c r="IF62" s="294"/>
      <c r="IG62" s="294"/>
      <c r="IH62" s="294"/>
      <c r="II62" s="294"/>
      <c r="IJ62" s="294"/>
      <c r="IK62" s="294"/>
      <c r="IL62" s="294"/>
      <c r="IM62" s="294"/>
      <c r="IN62" s="294"/>
      <c r="IO62" s="294"/>
      <c r="IP62" s="294"/>
      <c r="IQ62" s="294"/>
      <c r="IR62" s="294"/>
      <c r="IS62" s="294"/>
      <c r="IT62" s="294">
        <v>-6655957</v>
      </c>
      <c r="IU62" s="294"/>
      <c r="IV62" s="294"/>
      <c r="IW62" s="294"/>
      <c r="IX62" s="294"/>
      <c r="IY62" s="294"/>
      <c r="IZ62" s="294"/>
      <c r="JA62" s="294"/>
      <c r="JB62" s="294"/>
      <c r="JC62" s="294"/>
      <c r="JD62" s="294"/>
      <c r="JE62" s="294">
        <v>-2927690.2</v>
      </c>
      <c r="JF62" s="294"/>
      <c r="JG62" s="294"/>
      <c r="JH62" s="294"/>
      <c r="JI62" s="294"/>
      <c r="JJ62" s="294"/>
      <c r="JK62" s="294">
        <v>0</v>
      </c>
      <c r="JL62" s="294">
        <v>0</v>
      </c>
      <c r="JM62" s="294"/>
      <c r="JN62" s="294"/>
      <c r="JO62" s="294"/>
      <c r="JP62" s="294"/>
      <c r="JQ62" s="294"/>
      <c r="JR62" s="294">
        <v>-36399178.25</v>
      </c>
      <c r="JS62" s="294">
        <v>-7251454.1200000001</v>
      </c>
      <c r="JT62" s="294"/>
      <c r="JU62" s="294"/>
      <c r="JV62" s="294"/>
      <c r="JW62" s="294"/>
      <c r="JX62" s="294"/>
      <c r="JY62" s="294"/>
      <c r="JZ62" s="294"/>
      <c r="KA62" s="294"/>
      <c r="KB62" s="294"/>
      <c r="KC62" s="294"/>
      <c r="KD62" s="294"/>
      <c r="KE62" s="294"/>
      <c r="KF62" s="294"/>
      <c r="KG62" s="294"/>
      <c r="KH62" s="294"/>
      <c r="KI62" s="294"/>
      <c r="KJ62" s="294"/>
      <c r="KK62" s="294"/>
      <c r="KL62" s="294"/>
      <c r="KM62" s="294"/>
      <c r="KN62" s="294"/>
      <c r="KO62" s="294"/>
      <c r="KP62" s="294"/>
      <c r="KQ62" s="294"/>
      <c r="KR62" s="294"/>
      <c r="KS62" s="294"/>
      <c r="KT62" s="294"/>
      <c r="KU62" s="294"/>
      <c r="KV62" s="294"/>
      <c r="KW62" s="294"/>
      <c r="KX62" s="294"/>
      <c r="KY62" s="294"/>
      <c r="KZ62" s="294"/>
      <c r="LA62" s="294"/>
      <c r="LB62" s="294"/>
      <c r="LC62" s="294"/>
      <c r="LD62" s="294"/>
      <c r="LE62" s="294"/>
      <c r="LF62" s="294"/>
      <c r="LG62" s="294">
        <v>-98370935.379999995</v>
      </c>
      <c r="LH62" s="294">
        <v>-4556398.45</v>
      </c>
      <c r="LI62" s="294">
        <v>-5063975</v>
      </c>
      <c r="LJ62" s="294"/>
      <c r="LK62" s="294"/>
      <c r="LL62" s="294"/>
      <c r="LM62" s="294"/>
      <c r="LN62" s="294"/>
      <c r="LO62" s="294"/>
      <c r="LP62" s="294"/>
      <c r="LQ62" s="294"/>
      <c r="LR62" s="294"/>
      <c r="LS62" s="294"/>
      <c r="LT62" s="294"/>
      <c r="LU62" s="294">
        <v>-2516830</v>
      </c>
      <c r="LV62" s="294"/>
      <c r="LW62" s="294">
        <v>0</v>
      </c>
      <c r="LX62" s="294"/>
      <c r="LY62" s="294"/>
      <c r="LZ62" s="294"/>
      <c r="MA62" s="294"/>
      <c r="MB62" s="294"/>
      <c r="MC62" s="294"/>
      <c r="MD62" s="294"/>
      <c r="ME62" s="294"/>
      <c r="MF62" s="294"/>
      <c r="MG62" s="294">
        <v>0</v>
      </c>
      <c r="MH62" s="294"/>
      <c r="MI62" s="294"/>
      <c r="MJ62" s="294"/>
      <c r="MK62" s="294">
        <v>-4300</v>
      </c>
      <c r="ML62" s="294"/>
      <c r="MM62" s="294"/>
      <c r="MN62" s="294"/>
      <c r="MO62" s="294"/>
      <c r="MP62" s="294"/>
      <c r="MQ62" s="294"/>
      <c r="MR62" s="294"/>
      <c r="MS62" s="294">
        <v>-14150506.800000001</v>
      </c>
      <c r="MT62" s="294"/>
      <c r="MU62" s="294"/>
      <c r="MV62" s="294"/>
      <c r="MW62" s="294"/>
      <c r="MX62" s="294"/>
      <c r="MY62" s="294"/>
      <c r="MZ62" s="294"/>
      <c r="NA62" s="294"/>
      <c r="NB62" s="294"/>
      <c r="NC62" s="294"/>
      <c r="ND62" s="294">
        <v>-18888518.100000001</v>
      </c>
      <c r="NE62" s="294"/>
      <c r="NF62" s="294">
        <v>0</v>
      </c>
      <c r="NG62" s="294"/>
      <c r="NH62" s="294"/>
      <c r="NI62" s="294"/>
      <c r="NJ62" s="294"/>
      <c r="NK62" s="294"/>
      <c r="NL62" s="294"/>
      <c r="NM62" s="294"/>
      <c r="NN62" s="294"/>
      <c r="NO62" s="294"/>
      <c r="NP62" s="294">
        <v>-23067600</v>
      </c>
      <c r="NQ62" s="294"/>
      <c r="NR62" s="294"/>
      <c r="NS62" s="294"/>
      <c r="NT62" s="294"/>
      <c r="NU62" s="294">
        <v>0</v>
      </c>
      <c r="NV62" s="294"/>
      <c r="NW62" s="294">
        <v>-36111065</v>
      </c>
      <c r="NX62" s="294"/>
      <c r="NY62" s="294"/>
      <c r="NZ62" s="294"/>
      <c r="OA62" s="294"/>
      <c r="OB62" s="294"/>
      <c r="OC62" s="294"/>
      <c r="OD62" s="294"/>
      <c r="OE62" s="294"/>
      <c r="OF62" s="294"/>
      <c r="OG62" s="294"/>
      <c r="OH62" s="294"/>
      <c r="OI62" s="294"/>
      <c r="OJ62" s="294"/>
      <c r="OK62" s="294"/>
      <c r="OL62" s="294"/>
      <c r="OM62" s="294">
        <v>-28515413.57</v>
      </c>
      <c r="ON62" s="294"/>
      <c r="OO62" s="294"/>
      <c r="OP62" s="294"/>
      <c r="OQ62" s="294"/>
      <c r="OR62" s="294"/>
      <c r="OS62" s="294">
        <v>-7790270.9000000004</v>
      </c>
      <c r="OT62" s="294"/>
      <c r="OU62" s="294"/>
      <c r="OV62" s="294"/>
      <c r="OW62" s="294"/>
      <c r="OX62" s="294"/>
      <c r="OY62" s="294"/>
      <c r="OZ62" s="294"/>
      <c r="PA62" s="294"/>
      <c r="PB62" s="294"/>
      <c r="PC62" s="294"/>
      <c r="PD62" s="294"/>
      <c r="PE62" s="294"/>
      <c r="PF62" s="294"/>
      <c r="PG62" s="294"/>
      <c r="PH62" s="294"/>
      <c r="PI62" s="294"/>
      <c r="PJ62" s="294"/>
      <c r="PK62" s="294"/>
      <c r="PL62" s="294"/>
      <c r="PM62" s="294"/>
      <c r="PN62" s="294"/>
      <c r="PO62" s="294"/>
      <c r="PP62" s="294"/>
      <c r="PQ62" s="294"/>
      <c r="PR62" s="294"/>
      <c r="PS62" s="294"/>
      <c r="PT62" s="294"/>
      <c r="PU62" s="294"/>
      <c r="PV62" s="294"/>
      <c r="PW62" s="294"/>
      <c r="PX62" s="294"/>
      <c r="PY62" s="294"/>
      <c r="PZ62" s="294"/>
      <c r="QA62" s="294"/>
      <c r="QB62" s="294"/>
      <c r="QC62" s="294"/>
      <c r="QD62" s="294"/>
      <c r="QE62" s="294"/>
      <c r="QF62" s="294"/>
      <c r="QG62" s="294"/>
      <c r="QH62" s="294"/>
      <c r="QI62" s="294"/>
      <c r="QJ62" s="294"/>
      <c r="QK62" s="294"/>
      <c r="QL62" s="294"/>
      <c r="QM62" s="294"/>
      <c r="QN62" s="294"/>
      <c r="QO62" s="294"/>
      <c r="QP62" s="294"/>
      <c r="QQ62" s="294"/>
      <c r="QR62" s="294"/>
      <c r="QS62" s="294"/>
      <c r="QT62" s="294"/>
      <c r="QU62" s="294"/>
      <c r="QV62" s="294"/>
      <c r="QW62" s="294"/>
      <c r="QX62" s="294"/>
      <c r="QY62" s="294"/>
      <c r="QZ62" s="294"/>
      <c r="RA62" s="294"/>
      <c r="RB62" s="294"/>
      <c r="RC62" s="294"/>
      <c r="RD62" s="294"/>
      <c r="RE62" s="294"/>
      <c r="RF62" s="294"/>
      <c r="RG62" s="294"/>
      <c r="RH62" s="294"/>
      <c r="RI62" s="294">
        <v>0</v>
      </c>
      <c r="RJ62" s="294">
        <v>0</v>
      </c>
      <c r="RK62" s="294"/>
      <c r="RL62" s="294">
        <v>0</v>
      </c>
      <c r="RM62" s="294"/>
      <c r="RN62" s="294">
        <v>0</v>
      </c>
      <c r="RO62" s="294">
        <v>0</v>
      </c>
      <c r="RP62" s="294"/>
      <c r="RQ62" s="294"/>
      <c r="RR62" s="294"/>
      <c r="RS62" s="294">
        <v>0</v>
      </c>
      <c r="RT62" s="294"/>
      <c r="RU62" s="294"/>
      <c r="RV62" s="294"/>
      <c r="RW62" s="294"/>
      <c r="RX62" s="294">
        <v>0</v>
      </c>
      <c r="RY62" s="294">
        <v>0</v>
      </c>
      <c r="RZ62" s="294">
        <v>0</v>
      </c>
      <c r="SA62" s="294"/>
      <c r="SB62" s="294"/>
      <c r="SC62" s="294"/>
      <c r="SD62" s="294"/>
      <c r="SE62" s="294"/>
      <c r="SF62" s="294"/>
      <c r="SG62" s="294"/>
      <c r="SH62" s="294"/>
      <c r="SI62" s="294"/>
      <c r="SJ62" s="294"/>
      <c r="SK62" s="294"/>
      <c r="SL62" s="294"/>
      <c r="SM62" s="294"/>
      <c r="SN62" s="294"/>
      <c r="SO62" s="294"/>
      <c r="SP62" s="294"/>
      <c r="SQ62" s="294"/>
      <c r="SR62" s="294"/>
      <c r="SS62" s="294"/>
      <c r="ST62" s="294"/>
      <c r="SU62" s="294"/>
      <c r="SV62" s="294"/>
      <c r="SW62" s="294"/>
      <c r="SX62" s="294"/>
      <c r="SY62" s="294"/>
      <c r="SZ62" s="294"/>
      <c r="TA62" s="294"/>
      <c r="TB62" s="294"/>
      <c r="TC62" s="294"/>
      <c r="TD62" s="294"/>
      <c r="TE62" s="294"/>
      <c r="TF62" s="294"/>
      <c r="TG62" s="294"/>
      <c r="TH62" s="294"/>
      <c r="TI62" s="294">
        <v>0</v>
      </c>
      <c r="TJ62" s="294"/>
      <c r="TK62" s="294"/>
      <c r="TL62" s="294"/>
      <c r="TM62" s="294"/>
      <c r="TN62" s="294"/>
      <c r="TO62" s="294"/>
      <c r="TP62" s="294"/>
      <c r="TQ62" s="294"/>
      <c r="TR62" s="294"/>
      <c r="TS62" s="294"/>
      <c r="TT62" s="294"/>
      <c r="TU62" s="294"/>
      <c r="TV62" s="294"/>
      <c r="TW62" s="294"/>
      <c r="TX62" s="294"/>
      <c r="TY62" s="294"/>
      <c r="TZ62" s="294"/>
      <c r="UA62" s="294"/>
      <c r="UB62" s="294"/>
      <c r="UC62" s="294"/>
      <c r="UD62" s="294"/>
      <c r="UE62" s="294"/>
      <c r="UF62" s="294"/>
      <c r="UG62" s="294"/>
      <c r="UH62" s="294"/>
      <c r="UI62" s="294"/>
      <c r="UJ62" s="294"/>
      <c r="UK62" s="294"/>
      <c r="UL62" s="294"/>
      <c r="UM62" s="294"/>
      <c r="UN62" s="294"/>
      <c r="UO62" s="294"/>
      <c r="UP62" s="294"/>
      <c r="UQ62" s="294"/>
      <c r="UR62" s="294"/>
      <c r="US62" s="294"/>
      <c r="UT62" s="294"/>
      <c r="UU62" s="294"/>
      <c r="UV62" s="294"/>
      <c r="UW62" s="294"/>
      <c r="UX62" s="294"/>
      <c r="UY62" s="294"/>
      <c r="UZ62" s="294"/>
      <c r="VA62" s="294"/>
      <c r="VB62" s="294"/>
      <c r="VC62" s="294"/>
      <c r="VD62" s="294"/>
      <c r="VE62" s="294"/>
      <c r="VF62" s="294"/>
      <c r="VG62" s="294"/>
      <c r="VH62" s="294"/>
      <c r="VI62" s="294"/>
      <c r="VJ62" s="294"/>
      <c r="VK62" s="294"/>
      <c r="VL62" s="294"/>
      <c r="VM62" s="294"/>
      <c r="VN62" s="294"/>
      <c r="VO62" s="294"/>
      <c r="VP62" s="294"/>
      <c r="VQ62" s="294"/>
      <c r="VR62" s="294"/>
      <c r="VS62" s="294"/>
      <c r="VT62" s="294"/>
      <c r="VU62" s="294"/>
      <c r="VV62" s="294"/>
      <c r="VW62" s="294"/>
      <c r="VX62" s="294"/>
      <c r="VY62" s="294"/>
      <c r="VZ62" s="294"/>
      <c r="WA62" s="294">
        <v>-6929773.25</v>
      </c>
      <c r="WB62" s="294"/>
      <c r="WC62" s="294"/>
      <c r="WD62" s="294"/>
      <c r="WE62" s="294"/>
      <c r="WF62" s="294"/>
      <c r="WG62" s="294"/>
      <c r="WH62" s="294"/>
      <c r="WI62" s="294"/>
      <c r="WJ62" s="294"/>
      <c r="WK62" s="294"/>
      <c r="WL62" s="294"/>
      <c r="WM62" s="294"/>
      <c r="WN62" s="294"/>
      <c r="WO62" s="294"/>
      <c r="WP62" s="294"/>
      <c r="WQ62" s="294"/>
      <c r="WR62" s="294"/>
      <c r="WS62" s="294"/>
      <c r="WT62" s="294"/>
      <c r="WU62" s="294"/>
      <c r="WV62" s="294"/>
      <c r="WW62" s="294"/>
      <c r="WX62" s="294"/>
      <c r="WY62" s="294"/>
      <c r="WZ62" s="294"/>
      <c r="XA62" s="294"/>
      <c r="XB62" s="294"/>
      <c r="XC62" s="294"/>
      <c r="XD62" s="294"/>
      <c r="XE62" s="294"/>
      <c r="XF62" s="294"/>
      <c r="XG62" s="294"/>
      <c r="XH62" s="294">
        <v>-348337.4</v>
      </c>
      <c r="XI62" s="294"/>
      <c r="XJ62" s="294"/>
      <c r="XK62" s="294"/>
      <c r="XL62" s="294"/>
      <c r="XM62" s="294"/>
      <c r="XN62" s="294"/>
      <c r="XO62" s="294"/>
      <c r="XP62" s="294"/>
      <c r="XQ62" s="294"/>
      <c r="XR62" s="294"/>
      <c r="XS62" s="294"/>
      <c r="XT62" s="294"/>
      <c r="XU62" s="294"/>
      <c r="XV62" s="294"/>
      <c r="XW62" s="294"/>
      <c r="XX62" s="294"/>
      <c r="XY62" s="294"/>
      <c r="XZ62" s="294"/>
      <c r="YA62" s="294"/>
      <c r="YB62" s="294"/>
      <c r="YC62" s="294"/>
      <c r="YD62" s="294"/>
      <c r="YE62" s="294"/>
      <c r="YF62" s="294"/>
      <c r="YG62" s="294"/>
      <c r="YH62" s="294"/>
      <c r="YI62" s="294"/>
      <c r="YJ62" s="294"/>
      <c r="YK62" s="294"/>
      <c r="YL62" s="294"/>
      <c r="YM62" s="294"/>
      <c r="YN62" s="294"/>
      <c r="YO62" s="294"/>
      <c r="YP62" s="294"/>
      <c r="YQ62" s="294"/>
      <c r="YR62" s="294"/>
      <c r="YS62" s="294"/>
      <c r="YT62" s="294"/>
      <c r="YU62" s="294"/>
      <c r="YV62" s="294"/>
      <c r="YW62" s="294"/>
      <c r="YX62" s="294"/>
      <c r="YY62" s="294"/>
      <c r="YZ62" s="294"/>
      <c r="ZA62" s="294"/>
      <c r="ZB62" s="294"/>
      <c r="ZC62" s="294"/>
      <c r="ZD62" s="294"/>
      <c r="ZE62" s="294"/>
      <c r="ZF62" s="294"/>
      <c r="ZG62" s="294"/>
      <c r="ZH62" s="294"/>
      <c r="ZI62" s="294"/>
      <c r="ZJ62" s="294"/>
      <c r="ZK62" s="294"/>
      <c r="ZL62" s="294"/>
      <c r="ZM62" s="294"/>
      <c r="ZN62" s="294"/>
      <c r="ZO62" s="294"/>
      <c r="ZP62" s="294"/>
      <c r="ZQ62" s="294"/>
      <c r="ZR62" s="294"/>
      <c r="ZS62" s="294"/>
      <c r="ZT62" s="294"/>
      <c r="ZU62" s="294"/>
      <c r="ZV62" s="294"/>
      <c r="ZW62" s="294"/>
      <c r="ZX62" s="294"/>
      <c r="ZY62" s="294"/>
      <c r="ZZ62" s="294"/>
      <c r="AAA62" s="294"/>
      <c r="AAB62" s="294"/>
      <c r="AAC62" s="294"/>
      <c r="AAD62" s="294"/>
      <c r="AAE62" s="294"/>
      <c r="AAF62" s="294"/>
      <c r="AAG62" s="294"/>
      <c r="AAH62" s="294"/>
      <c r="AAI62" s="294"/>
      <c r="AAJ62" s="294"/>
      <c r="AAK62" s="294"/>
      <c r="AAL62" s="294"/>
      <c r="AAM62" s="294"/>
      <c r="AAN62" s="294"/>
      <c r="AAO62" s="294"/>
      <c r="AAP62" s="294"/>
      <c r="AAQ62" s="294"/>
      <c r="AAR62" s="294"/>
      <c r="AAS62" s="294"/>
      <c r="AAT62" s="294"/>
      <c r="AAU62" s="294"/>
      <c r="AAV62" s="294"/>
      <c r="AAW62" s="294"/>
      <c r="AAX62" s="294"/>
      <c r="AAY62" s="294"/>
      <c r="AAZ62" s="294"/>
      <c r="ABA62" s="294"/>
      <c r="ABB62" s="294"/>
      <c r="ABC62" s="294">
        <v>0</v>
      </c>
      <c r="ABD62" s="294"/>
      <c r="ABE62" s="294"/>
      <c r="ABF62" s="294"/>
      <c r="ABG62" s="294"/>
      <c r="ABH62" s="294"/>
      <c r="ABI62" s="294"/>
      <c r="ABJ62" s="294"/>
      <c r="ABK62" s="294">
        <v>0</v>
      </c>
      <c r="ABL62" s="294"/>
      <c r="ABM62" s="294"/>
      <c r="ABN62" s="294"/>
      <c r="ABO62" s="294"/>
      <c r="ABP62" s="294"/>
      <c r="ABQ62" s="294"/>
      <c r="ABR62" s="294"/>
      <c r="ABS62" s="294"/>
      <c r="ABT62" s="294"/>
      <c r="ABU62" s="294"/>
      <c r="ABV62" s="294"/>
      <c r="ABW62" s="294"/>
      <c r="ABX62" s="294">
        <v>-46923692.530000001</v>
      </c>
      <c r="ABY62" s="294"/>
      <c r="ABZ62" s="294"/>
      <c r="ACA62" s="294"/>
      <c r="ACB62" s="294"/>
      <c r="ACC62" s="294"/>
      <c r="ACD62" s="294"/>
      <c r="ACE62" s="294"/>
      <c r="ACF62" s="294"/>
      <c r="ACG62" s="294"/>
      <c r="ACH62" s="294"/>
      <c r="ACI62" s="294"/>
      <c r="ACJ62" s="294"/>
      <c r="ACK62" s="294"/>
      <c r="ACL62" s="294"/>
      <c r="ACM62" s="294"/>
      <c r="ACN62" s="294"/>
      <c r="ACO62" s="294"/>
      <c r="ACP62" s="294"/>
      <c r="ACQ62" s="294"/>
      <c r="ACR62" s="294"/>
      <c r="ACS62" s="294"/>
      <c r="ACT62" s="294"/>
      <c r="ACU62" s="294"/>
      <c r="ACV62" s="294"/>
      <c r="ACW62" s="294"/>
      <c r="ACX62" s="294"/>
      <c r="ACY62" s="294"/>
      <c r="ACZ62" s="294"/>
      <c r="ADA62" s="294"/>
      <c r="ADB62" s="294"/>
      <c r="ADC62" s="294"/>
      <c r="ADD62" s="294"/>
      <c r="ADE62" s="294"/>
      <c r="ADF62" s="294"/>
      <c r="ADG62" s="294"/>
      <c r="ADH62" s="294"/>
      <c r="ADI62" s="294"/>
      <c r="ADJ62" s="294"/>
      <c r="ADK62" s="294"/>
      <c r="ADL62" s="294">
        <v>0</v>
      </c>
      <c r="ADM62" s="294"/>
      <c r="ADN62" s="294"/>
      <c r="ADO62" s="294"/>
      <c r="ADP62" s="294"/>
      <c r="ADQ62" s="294"/>
      <c r="ADR62" s="294"/>
      <c r="ADS62" s="294">
        <v>-6500</v>
      </c>
      <c r="ADT62" s="294"/>
      <c r="ADU62" s="294"/>
      <c r="ADV62" s="294"/>
      <c r="ADW62" s="294"/>
      <c r="ADX62" s="294"/>
      <c r="ADY62" s="294"/>
      <c r="ADZ62" s="294"/>
      <c r="AEA62" s="294"/>
      <c r="AEB62" s="294"/>
      <c r="AEC62" s="294"/>
      <c r="AED62" s="294"/>
      <c r="AEE62" s="294"/>
      <c r="AEF62" s="294"/>
      <c r="AEG62" s="294"/>
      <c r="AEH62" s="294"/>
      <c r="AEI62" s="294"/>
      <c r="AEJ62" s="294"/>
      <c r="AEK62" s="294"/>
      <c r="AEL62" s="294"/>
      <c r="AEM62" s="294"/>
      <c r="AEN62" s="294"/>
      <c r="AEO62" s="294">
        <v>0</v>
      </c>
      <c r="AEP62" s="294"/>
      <c r="AEQ62" s="294"/>
      <c r="AER62" s="294"/>
      <c r="AES62" s="294">
        <v>-18119918.289999999</v>
      </c>
      <c r="AET62" s="294"/>
      <c r="AEU62" s="294"/>
      <c r="AEV62" s="294"/>
      <c r="AEW62" s="294"/>
      <c r="AEX62" s="294"/>
      <c r="AEY62" s="294"/>
      <c r="AEZ62" s="294"/>
      <c r="AFA62" s="294"/>
      <c r="AFB62" s="294"/>
      <c r="AFC62" s="294"/>
      <c r="AFD62" s="294"/>
      <c r="AFE62" s="294"/>
      <c r="AFF62" s="294"/>
      <c r="AFG62" s="294"/>
      <c r="AFH62" s="294"/>
      <c r="AFI62" s="294"/>
      <c r="AFJ62" s="294"/>
      <c r="AFK62" s="294"/>
      <c r="AFL62" s="294"/>
      <c r="AFM62" s="294"/>
      <c r="AFN62" s="294"/>
      <c r="AFO62" s="294"/>
      <c r="AFP62" s="294"/>
      <c r="AFQ62" s="294"/>
      <c r="AFR62" s="294"/>
      <c r="AFS62" s="294"/>
      <c r="AFT62" s="294"/>
      <c r="AFU62" s="294"/>
      <c r="AFV62" s="294"/>
      <c r="AFW62" s="294"/>
      <c r="AFX62" s="294"/>
      <c r="AFY62" s="294"/>
      <c r="AFZ62" s="294"/>
      <c r="AGA62" s="294"/>
      <c r="AGB62" s="294"/>
      <c r="AGC62" s="294"/>
      <c r="AGD62" s="294"/>
      <c r="AGE62" s="294"/>
      <c r="AGF62" s="294"/>
      <c r="AGG62" s="294"/>
      <c r="AGH62" s="294"/>
      <c r="AGI62" s="294"/>
      <c r="AGJ62" s="294"/>
      <c r="AGK62" s="294"/>
      <c r="AGL62" s="294"/>
      <c r="AGM62" s="294">
        <v>-12239819.02</v>
      </c>
      <c r="AGN62" s="294"/>
      <c r="AGO62" s="294"/>
      <c r="AGP62" s="294"/>
      <c r="AGQ62" s="294"/>
      <c r="AGR62" s="294"/>
      <c r="AGS62" s="294"/>
      <c r="AGT62" s="294"/>
      <c r="AGU62" s="294">
        <v>-75215592.650000006</v>
      </c>
      <c r="AGV62" s="294">
        <v>-33014207.579999998</v>
      </c>
      <c r="AGW62" s="294"/>
      <c r="AGX62" s="294"/>
      <c r="AGY62" s="294"/>
      <c r="AGZ62" s="294"/>
      <c r="AHA62" s="294"/>
      <c r="AHB62" s="294"/>
      <c r="AHC62" s="294"/>
      <c r="AHD62" s="294"/>
      <c r="AHE62" s="294"/>
      <c r="AHF62" s="294"/>
      <c r="AHG62" s="294"/>
      <c r="AHH62" s="294"/>
      <c r="AHI62" s="294"/>
      <c r="AHJ62" s="294"/>
      <c r="AHK62" s="294"/>
      <c r="AHL62" s="294">
        <v>-11394835.189999999</v>
      </c>
      <c r="AHM62" s="294"/>
      <c r="AHN62" s="294"/>
      <c r="AHO62" s="294"/>
      <c r="AHP62" s="294"/>
      <c r="AHQ62" s="294"/>
      <c r="AHR62" s="331"/>
      <c r="AHS62" s="294">
        <f t="shared" si="51"/>
        <v>-678554717.64999998</v>
      </c>
      <c r="AHT62" s="269" t="b">
        <f t="shared" si="52"/>
        <v>1</v>
      </c>
      <c r="AHU62" s="269" t="s">
        <v>6278</v>
      </c>
      <c r="AHV62" s="269" t="s">
        <v>6067</v>
      </c>
      <c r="AHW62" s="269" t="s">
        <v>6068</v>
      </c>
    </row>
    <row r="63" spans="1:907" ht="24.6" x14ac:dyDescent="0.7">
      <c r="A63" s="268" t="s">
        <v>6278</v>
      </c>
      <c r="B63" s="268" t="s">
        <v>6069</v>
      </c>
      <c r="C63" s="269" t="s">
        <v>6070</v>
      </c>
      <c r="D63" s="294">
        <v>-3213774.25</v>
      </c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>
        <v>-6686329.71</v>
      </c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>
        <v>-1837932.58</v>
      </c>
      <c r="BJ63" s="294">
        <v>0</v>
      </c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>
        <v>-238617</v>
      </c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>
        <v>0</v>
      </c>
      <c r="DC63" s="294"/>
      <c r="DD63" s="294"/>
      <c r="DE63" s="294"/>
      <c r="DF63" s="294"/>
      <c r="DG63" s="294"/>
      <c r="DH63" s="294"/>
      <c r="DI63" s="294"/>
      <c r="DJ63" s="294"/>
      <c r="DK63" s="294">
        <v>0</v>
      </c>
      <c r="DL63" s="294"/>
      <c r="DM63" s="294"/>
      <c r="DN63" s="294"/>
      <c r="DO63" s="294"/>
      <c r="DP63" s="294"/>
      <c r="DQ63" s="294"/>
      <c r="DR63" s="294"/>
      <c r="DS63" s="294"/>
      <c r="DT63" s="294"/>
      <c r="DU63" s="294"/>
      <c r="DV63" s="294"/>
      <c r="DW63" s="294"/>
      <c r="DX63" s="294"/>
      <c r="DY63" s="294"/>
      <c r="DZ63" s="294"/>
      <c r="EA63" s="294"/>
      <c r="EB63" s="294"/>
      <c r="EC63" s="294"/>
      <c r="ED63" s="294"/>
      <c r="EE63" s="294">
        <v>0</v>
      </c>
      <c r="EF63" s="294">
        <v>-285213.31</v>
      </c>
      <c r="EG63" s="294"/>
      <c r="EH63" s="294"/>
      <c r="EI63" s="294"/>
      <c r="EJ63" s="294"/>
      <c r="EK63" s="294"/>
      <c r="EL63" s="294"/>
      <c r="EM63" s="294"/>
      <c r="EN63" s="294">
        <v>-8193648.3899999997</v>
      </c>
      <c r="EO63" s="294"/>
      <c r="EP63" s="294"/>
      <c r="EQ63" s="294"/>
      <c r="ER63" s="294"/>
      <c r="ES63" s="294"/>
      <c r="ET63" s="294"/>
      <c r="EU63" s="294"/>
      <c r="EV63" s="294"/>
      <c r="EW63" s="294"/>
      <c r="EX63" s="294"/>
      <c r="EY63" s="294"/>
      <c r="EZ63" s="294"/>
      <c r="FA63" s="294"/>
      <c r="FB63" s="294"/>
      <c r="FC63" s="294"/>
      <c r="FD63" s="294"/>
      <c r="FE63" s="294"/>
      <c r="FF63" s="294"/>
      <c r="FG63" s="294"/>
      <c r="FH63" s="294"/>
      <c r="FI63" s="294">
        <v>0</v>
      </c>
      <c r="FJ63" s="294"/>
      <c r="FK63" s="294"/>
      <c r="FL63" s="294"/>
      <c r="FM63" s="294"/>
      <c r="FN63" s="294"/>
      <c r="FO63" s="294"/>
      <c r="FP63" s="294"/>
      <c r="FQ63" s="294">
        <v>-7392553.2999999998</v>
      </c>
      <c r="FR63" s="294"/>
      <c r="FS63" s="294"/>
      <c r="FT63" s="294"/>
      <c r="FU63" s="294"/>
      <c r="FV63" s="294"/>
      <c r="FW63" s="294"/>
      <c r="FX63" s="294"/>
      <c r="FY63" s="294"/>
      <c r="FZ63" s="294"/>
      <c r="GA63" s="294"/>
      <c r="GB63" s="294"/>
      <c r="GC63" s="294"/>
      <c r="GD63" s="294"/>
      <c r="GE63" s="294">
        <v>-1988882.67</v>
      </c>
      <c r="GF63" s="294"/>
      <c r="GG63" s="294"/>
      <c r="GH63" s="294"/>
      <c r="GI63" s="294"/>
      <c r="GJ63" s="294"/>
      <c r="GK63" s="294"/>
      <c r="GL63" s="294"/>
      <c r="GM63" s="294"/>
      <c r="GN63" s="294"/>
      <c r="GO63" s="294"/>
      <c r="GP63" s="294"/>
      <c r="GQ63" s="294">
        <v>-109576</v>
      </c>
      <c r="GR63" s="294"/>
      <c r="GS63" s="294"/>
      <c r="GT63" s="294"/>
      <c r="GU63" s="294"/>
      <c r="GV63" s="294"/>
      <c r="GW63" s="294"/>
      <c r="GX63" s="294"/>
      <c r="GY63" s="294"/>
      <c r="GZ63" s="294"/>
      <c r="HA63" s="294"/>
      <c r="HB63" s="294"/>
      <c r="HC63" s="294">
        <v>-9122747.8100000005</v>
      </c>
      <c r="HD63" s="294"/>
      <c r="HE63" s="294"/>
      <c r="HF63" s="294"/>
      <c r="HG63" s="294"/>
      <c r="HH63" s="294"/>
      <c r="HI63" s="294"/>
      <c r="HJ63" s="294"/>
      <c r="HK63" s="294"/>
      <c r="HL63" s="294"/>
      <c r="HM63" s="294"/>
      <c r="HN63" s="294"/>
      <c r="HO63" s="294"/>
      <c r="HP63" s="294"/>
      <c r="HQ63" s="294"/>
      <c r="HR63" s="294">
        <v>-10087633.540000001</v>
      </c>
      <c r="HS63" s="294"/>
      <c r="HT63" s="294"/>
      <c r="HU63" s="294"/>
      <c r="HV63" s="294"/>
      <c r="HW63" s="294"/>
      <c r="HX63" s="294"/>
      <c r="HY63" s="294"/>
      <c r="HZ63" s="294"/>
      <c r="IA63" s="294"/>
      <c r="IB63" s="294"/>
      <c r="IC63" s="294"/>
      <c r="ID63" s="294"/>
      <c r="IE63" s="294"/>
      <c r="IF63" s="294"/>
      <c r="IG63" s="294"/>
      <c r="IH63" s="294"/>
      <c r="II63" s="294"/>
      <c r="IJ63" s="294"/>
      <c r="IK63" s="294"/>
      <c r="IL63" s="294"/>
      <c r="IM63" s="294"/>
      <c r="IN63" s="294"/>
      <c r="IO63" s="294"/>
      <c r="IP63" s="294"/>
      <c r="IQ63" s="294"/>
      <c r="IR63" s="294"/>
      <c r="IS63" s="294"/>
      <c r="IT63" s="294">
        <v>-9762860.040000001</v>
      </c>
      <c r="IU63" s="294"/>
      <c r="IV63" s="294"/>
      <c r="IW63" s="294"/>
      <c r="IX63" s="294"/>
      <c r="IY63" s="294"/>
      <c r="IZ63" s="294"/>
      <c r="JA63" s="294"/>
      <c r="JB63" s="294"/>
      <c r="JC63" s="294"/>
      <c r="JD63" s="294"/>
      <c r="JE63" s="294">
        <v>-667777.04</v>
      </c>
      <c r="JF63" s="294"/>
      <c r="JG63" s="294"/>
      <c r="JH63" s="294"/>
      <c r="JI63" s="294"/>
      <c r="JJ63" s="294"/>
      <c r="JK63" s="294">
        <v>0</v>
      </c>
      <c r="JL63" s="294"/>
      <c r="JM63" s="294"/>
      <c r="JN63" s="294"/>
      <c r="JO63" s="294"/>
      <c r="JP63" s="294"/>
      <c r="JQ63" s="294"/>
      <c r="JR63" s="294">
        <v>-1892691.6</v>
      </c>
      <c r="JS63" s="294">
        <v>-13500</v>
      </c>
      <c r="JT63" s="294"/>
      <c r="JU63" s="294"/>
      <c r="JV63" s="294"/>
      <c r="JW63" s="294"/>
      <c r="JX63" s="294"/>
      <c r="JY63" s="294"/>
      <c r="JZ63" s="294"/>
      <c r="KA63" s="294"/>
      <c r="KB63" s="294"/>
      <c r="KC63" s="294"/>
      <c r="KD63" s="294"/>
      <c r="KE63" s="294"/>
      <c r="KF63" s="294"/>
      <c r="KG63" s="294"/>
      <c r="KH63" s="294"/>
      <c r="KI63" s="294"/>
      <c r="KJ63" s="294"/>
      <c r="KK63" s="294"/>
      <c r="KL63" s="294"/>
      <c r="KM63" s="294"/>
      <c r="KN63" s="294"/>
      <c r="KO63" s="294"/>
      <c r="KP63" s="294"/>
      <c r="KQ63" s="294"/>
      <c r="KR63" s="294"/>
      <c r="KS63" s="294"/>
      <c r="KT63" s="294"/>
      <c r="KU63" s="294"/>
      <c r="KV63" s="294"/>
      <c r="KW63" s="294">
        <v>-59355</v>
      </c>
      <c r="KX63" s="294"/>
      <c r="KY63" s="294">
        <v>0</v>
      </c>
      <c r="KZ63" s="294"/>
      <c r="LA63" s="294"/>
      <c r="LB63" s="294"/>
      <c r="LC63" s="294"/>
      <c r="LD63" s="294"/>
      <c r="LE63" s="294"/>
      <c r="LF63" s="294"/>
      <c r="LG63" s="294">
        <v>-24583398.800000001</v>
      </c>
      <c r="LH63" s="294">
        <v>-3586521.75</v>
      </c>
      <c r="LI63" s="294">
        <v>-2653726.0699999998</v>
      </c>
      <c r="LJ63" s="294"/>
      <c r="LK63" s="294"/>
      <c r="LL63" s="294"/>
      <c r="LM63" s="294"/>
      <c r="LN63" s="294"/>
      <c r="LO63" s="294"/>
      <c r="LP63" s="294"/>
      <c r="LQ63" s="294"/>
      <c r="LR63" s="294"/>
      <c r="LS63" s="294"/>
      <c r="LT63" s="294"/>
      <c r="LU63" s="294">
        <v>-476423.12</v>
      </c>
      <c r="LV63" s="294"/>
      <c r="LW63" s="294">
        <v>-946161.1</v>
      </c>
      <c r="LX63" s="294"/>
      <c r="LY63" s="294"/>
      <c r="LZ63" s="294"/>
      <c r="MA63" s="294"/>
      <c r="MB63" s="294"/>
      <c r="MC63" s="294"/>
      <c r="MD63" s="294"/>
      <c r="ME63" s="294"/>
      <c r="MF63" s="294"/>
      <c r="MG63" s="294">
        <v>0</v>
      </c>
      <c r="MH63" s="294"/>
      <c r="MI63" s="294"/>
      <c r="MJ63" s="294"/>
      <c r="MK63" s="294"/>
      <c r="ML63" s="294"/>
      <c r="MM63" s="294"/>
      <c r="MN63" s="294"/>
      <c r="MO63" s="294"/>
      <c r="MP63" s="294"/>
      <c r="MQ63" s="294"/>
      <c r="MR63" s="294"/>
      <c r="MS63" s="294">
        <v>-5422832</v>
      </c>
      <c r="MT63" s="294"/>
      <c r="MU63" s="294"/>
      <c r="MV63" s="294"/>
      <c r="MW63" s="294"/>
      <c r="MX63" s="294"/>
      <c r="MY63" s="294"/>
      <c r="MZ63" s="294"/>
      <c r="NA63" s="294"/>
      <c r="NB63" s="294"/>
      <c r="NC63" s="294"/>
      <c r="ND63" s="294">
        <v>-15896037.800000001</v>
      </c>
      <c r="NE63" s="294"/>
      <c r="NF63" s="294"/>
      <c r="NG63" s="294"/>
      <c r="NH63" s="294"/>
      <c r="NI63" s="294"/>
      <c r="NJ63" s="294"/>
      <c r="NK63" s="294"/>
      <c r="NL63" s="294"/>
      <c r="NM63" s="294">
        <v>0</v>
      </c>
      <c r="NN63" s="294"/>
      <c r="NO63" s="294"/>
      <c r="NP63" s="294">
        <v>-235196.12</v>
      </c>
      <c r="NQ63" s="294"/>
      <c r="NR63" s="294"/>
      <c r="NS63" s="294"/>
      <c r="NT63" s="294"/>
      <c r="NU63" s="294"/>
      <c r="NV63" s="294"/>
      <c r="NW63" s="294">
        <v>-12468650.579999998</v>
      </c>
      <c r="NX63" s="294"/>
      <c r="NY63" s="294"/>
      <c r="NZ63" s="294"/>
      <c r="OA63" s="294"/>
      <c r="OB63" s="294"/>
      <c r="OC63" s="294"/>
      <c r="OD63" s="294"/>
      <c r="OE63" s="294"/>
      <c r="OF63" s="294"/>
      <c r="OG63" s="294">
        <v>-9800</v>
      </c>
      <c r="OH63" s="294"/>
      <c r="OI63" s="294"/>
      <c r="OJ63" s="294"/>
      <c r="OK63" s="294"/>
      <c r="OL63" s="294"/>
      <c r="OM63" s="294">
        <v>-12821528.91</v>
      </c>
      <c r="ON63" s="294"/>
      <c r="OO63" s="294"/>
      <c r="OP63" s="294"/>
      <c r="OQ63" s="294"/>
      <c r="OR63" s="294"/>
      <c r="OS63" s="294">
        <v>-2245075.52</v>
      </c>
      <c r="OT63" s="294"/>
      <c r="OU63" s="294"/>
      <c r="OV63" s="294"/>
      <c r="OW63" s="294"/>
      <c r="OX63" s="294"/>
      <c r="OY63" s="294"/>
      <c r="OZ63" s="294"/>
      <c r="PA63" s="294"/>
      <c r="PB63" s="294"/>
      <c r="PC63" s="294"/>
      <c r="PD63" s="294"/>
      <c r="PE63" s="294"/>
      <c r="PF63" s="294"/>
      <c r="PG63" s="294"/>
      <c r="PH63" s="294"/>
      <c r="PI63" s="294"/>
      <c r="PJ63" s="294"/>
      <c r="PK63" s="294"/>
      <c r="PL63" s="294"/>
      <c r="PM63" s="294"/>
      <c r="PN63" s="294"/>
      <c r="PO63" s="294"/>
      <c r="PP63" s="294"/>
      <c r="PQ63" s="294"/>
      <c r="PR63" s="294"/>
      <c r="PS63" s="294"/>
      <c r="PT63" s="294"/>
      <c r="PU63" s="294"/>
      <c r="PV63" s="294"/>
      <c r="PW63" s="294"/>
      <c r="PX63" s="294"/>
      <c r="PY63" s="294"/>
      <c r="PZ63" s="294"/>
      <c r="QA63" s="294"/>
      <c r="QB63" s="294"/>
      <c r="QC63" s="294"/>
      <c r="QD63" s="294"/>
      <c r="QE63" s="294"/>
      <c r="QF63" s="294"/>
      <c r="QG63" s="294"/>
      <c r="QH63" s="294"/>
      <c r="QI63" s="294"/>
      <c r="QJ63" s="294"/>
      <c r="QK63" s="294"/>
      <c r="QL63" s="294"/>
      <c r="QM63" s="294"/>
      <c r="QN63" s="294">
        <v>0</v>
      </c>
      <c r="QO63" s="294"/>
      <c r="QP63" s="294"/>
      <c r="QQ63" s="294"/>
      <c r="QR63" s="294"/>
      <c r="QS63" s="294"/>
      <c r="QT63" s="294"/>
      <c r="QU63" s="294"/>
      <c r="QV63" s="294"/>
      <c r="QW63" s="294"/>
      <c r="QX63" s="294"/>
      <c r="QY63" s="294"/>
      <c r="QZ63" s="294"/>
      <c r="RA63" s="294"/>
      <c r="RB63" s="294"/>
      <c r="RC63" s="294"/>
      <c r="RD63" s="294"/>
      <c r="RE63" s="294"/>
      <c r="RF63" s="294"/>
      <c r="RG63" s="294">
        <v>0</v>
      </c>
      <c r="RH63" s="294"/>
      <c r="RI63" s="294">
        <v>0</v>
      </c>
      <c r="RJ63" s="294"/>
      <c r="RK63" s="294"/>
      <c r="RL63" s="294"/>
      <c r="RM63" s="294">
        <v>0</v>
      </c>
      <c r="RN63" s="294"/>
      <c r="RO63" s="294">
        <v>0</v>
      </c>
      <c r="RP63" s="294"/>
      <c r="RQ63" s="294"/>
      <c r="RR63" s="294"/>
      <c r="RS63" s="294"/>
      <c r="RT63" s="294"/>
      <c r="RU63" s="294"/>
      <c r="RV63" s="294"/>
      <c r="RW63" s="294">
        <v>0</v>
      </c>
      <c r="RX63" s="294">
        <v>-12000</v>
      </c>
      <c r="RY63" s="294">
        <v>0</v>
      </c>
      <c r="RZ63" s="294">
        <v>-7000</v>
      </c>
      <c r="SA63" s="294"/>
      <c r="SB63" s="294"/>
      <c r="SC63" s="294"/>
      <c r="SD63" s="294"/>
      <c r="SE63" s="294"/>
      <c r="SF63" s="294"/>
      <c r="SG63" s="294"/>
      <c r="SH63" s="294"/>
      <c r="SI63" s="294"/>
      <c r="SJ63" s="294"/>
      <c r="SK63" s="294"/>
      <c r="SL63" s="294"/>
      <c r="SM63" s="294"/>
      <c r="SN63" s="294"/>
      <c r="SO63" s="294"/>
      <c r="SP63" s="294"/>
      <c r="SQ63" s="294"/>
      <c r="SR63" s="294"/>
      <c r="SS63" s="294"/>
      <c r="ST63" s="294"/>
      <c r="SU63" s="294"/>
      <c r="SV63" s="294"/>
      <c r="SW63" s="294"/>
      <c r="SX63" s="294"/>
      <c r="SY63" s="294"/>
      <c r="SZ63" s="294"/>
      <c r="TA63" s="294"/>
      <c r="TB63" s="294"/>
      <c r="TC63" s="294"/>
      <c r="TD63" s="294"/>
      <c r="TE63" s="294"/>
      <c r="TF63" s="294"/>
      <c r="TG63" s="294"/>
      <c r="TH63" s="294"/>
      <c r="TI63" s="294"/>
      <c r="TJ63" s="294"/>
      <c r="TK63" s="294"/>
      <c r="TL63" s="294"/>
      <c r="TM63" s="294"/>
      <c r="TN63" s="294"/>
      <c r="TO63" s="294"/>
      <c r="TP63" s="294"/>
      <c r="TQ63" s="294"/>
      <c r="TR63" s="294"/>
      <c r="TS63" s="294"/>
      <c r="TT63" s="294"/>
      <c r="TU63" s="294"/>
      <c r="TV63" s="294"/>
      <c r="TW63" s="294"/>
      <c r="TX63" s="294"/>
      <c r="TY63" s="294"/>
      <c r="TZ63" s="294"/>
      <c r="UA63" s="294"/>
      <c r="UB63" s="294"/>
      <c r="UC63" s="294"/>
      <c r="UD63" s="294"/>
      <c r="UE63" s="294"/>
      <c r="UF63" s="294"/>
      <c r="UG63" s="294"/>
      <c r="UH63" s="294"/>
      <c r="UI63" s="294"/>
      <c r="UJ63" s="294">
        <v>-259615</v>
      </c>
      <c r="UK63" s="294"/>
      <c r="UL63" s="294"/>
      <c r="UM63" s="294"/>
      <c r="UN63" s="294"/>
      <c r="UO63" s="294"/>
      <c r="UP63" s="294">
        <v>0</v>
      </c>
      <c r="UQ63" s="294"/>
      <c r="UR63" s="294"/>
      <c r="US63" s="294"/>
      <c r="UT63" s="294"/>
      <c r="UU63" s="294"/>
      <c r="UV63" s="294"/>
      <c r="UW63" s="294"/>
      <c r="UX63" s="294"/>
      <c r="UY63" s="294"/>
      <c r="UZ63" s="294"/>
      <c r="VA63" s="294"/>
      <c r="VB63" s="294"/>
      <c r="VC63" s="294"/>
      <c r="VD63" s="294"/>
      <c r="VE63" s="294"/>
      <c r="VF63" s="294"/>
      <c r="VG63" s="294"/>
      <c r="VH63" s="294"/>
      <c r="VI63" s="294"/>
      <c r="VJ63" s="294"/>
      <c r="VK63" s="294"/>
      <c r="VL63" s="294"/>
      <c r="VM63" s="294"/>
      <c r="VN63" s="294"/>
      <c r="VO63" s="294"/>
      <c r="VP63" s="294"/>
      <c r="VQ63" s="294"/>
      <c r="VR63" s="294"/>
      <c r="VS63" s="294"/>
      <c r="VT63" s="294"/>
      <c r="VU63" s="294"/>
      <c r="VV63" s="294"/>
      <c r="VW63" s="294"/>
      <c r="VX63" s="294"/>
      <c r="VY63" s="294"/>
      <c r="VZ63" s="294"/>
      <c r="WA63" s="294">
        <v>-1225913.6000000001</v>
      </c>
      <c r="WB63" s="294"/>
      <c r="WC63" s="294"/>
      <c r="WD63" s="294"/>
      <c r="WE63" s="294"/>
      <c r="WF63" s="294"/>
      <c r="WG63" s="294"/>
      <c r="WH63" s="294"/>
      <c r="WI63" s="294"/>
      <c r="WJ63" s="294"/>
      <c r="WK63" s="294"/>
      <c r="WL63" s="294"/>
      <c r="WM63" s="294"/>
      <c r="WN63" s="294"/>
      <c r="WO63" s="294"/>
      <c r="WP63" s="294"/>
      <c r="WQ63" s="294"/>
      <c r="WR63" s="294"/>
      <c r="WS63" s="294"/>
      <c r="WT63" s="294"/>
      <c r="WU63" s="294">
        <v>0</v>
      </c>
      <c r="WV63" s="294"/>
      <c r="WW63" s="294"/>
      <c r="WX63" s="294"/>
      <c r="WY63" s="294"/>
      <c r="WZ63" s="294"/>
      <c r="XA63" s="294"/>
      <c r="XB63" s="294"/>
      <c r="XC63" s="294"/>
      <c r="XD63" s="294"/>
      <c r="XE63" s="294"/>
      <c r="XF63" s="294"/>
      <c r="XG63" s="294"/>
      <c r="XH63" s="294">
        <v>-1724942.55</v>
      </c>
      <c r="XI63" s="294"/>
      <c r="XJ63" s="294"/>
      <c r="XK63" s="294">
        <v>0</v>
      </c>
      <c r="XL63" s="294"/>
      <c r="XM63" s="294"/>
      <c r="XN63" s="294"/>
      <c r="XO63" s="294"/>
      <c r="XP63" s="294"/>
      <c r="XQ63" s="294"/>
      <c r="XR63" s="294"/>
      <c r="XS63" s="294"/>
      <c r="XT63" s="294"/>
      <c r="XU63" s="294"/>
      <c r="XV63" s="294"/>
      <c r="XW63" s="294"/>
      <c r="XX63" s="294"/>
      <c r="XY63" s="294"/>
      <c r="XZ63" s="294"/>
      <c r="YA63" s="294"/>
      <c r="YB63" s="294"/>
      <c r="YC63" s="294"/>
      <c r="YD63" s="294"/>
      <c r="YE63" s="294"/>
      <c r="YF63" s="294"/>
      <c r="YG63" s="294"/>
      <c r="YH63" s="294"/>
      <c r="YI63" s="294"/>
      <c r="YJ63" s="294"/>
      <c r="YK63" s="294"/>
      <c r="YL63" s="294"/>
      <c r="YM63" s="294"/>
      <c r="YN63" s="294"/>
      <c r="YO63" s="294"/>
      <c r="YP63" s="294"/>
      <c r="YQ63" s="294"/>
      <c r="YR63" s="294"/>
      <c r="YS63" s="294"/>
      <c r="YT63" s="294"/>
      <c r="YU63" s="294"/>
      <c r="YV63" s="294"/>
      <c r="YW63" s="294"/>
      <c r="YX63" s="294"/>
      <c r="YY63" s="294"/>
      <c r="YZ63" s="294"/>
      <c r="ZA63" s="294"/>
      <c r="ZB63" s="294"/>
      <c r="ZC63" s="294"/>
      <c r="ZD63" s="294"/>
      <c r="ZE63" s="294"/>
      <c r="ZF63" s="294"/>
      <c r="ZG63" s="294"/>
      <c r="ZH63" s="294"/>
      <c r="ZI63" s="294"/>
      <c r="ZJ63" s="294"/>
      <c r="ZK63" s="294"/>
      <c r="ZL63" s="294"/>
      <c r="ZM63" s="294"/>
      <c r="ZN63" s="294"/>
      <c r="ZO63" s="294"/>
      <c r="ZP63" s="294"/>
      <c r="ZQ63" s="294"/>
      <c r="ZR63" s="294"/>
      <c r="ZS63" s="294"/>
      <c r="ZT63" s="294"/>
      <c r="ZU63" s="294"/>
      <c r="ZV63" s="294"/>
      <c r="ZW63" s="294"/>
      <c r="ZX63" s="294"/>
      <c r="ZY63" s="294"/>
      <c r="ZZ63" s="294"/>
      <c r="AAA63" s="294"/>
      <c r="AAB63" s="294"/>
      <c r="AAC63" s="294"/>
      <c r="AAD63" s="294"/>
      <c r="AAE63" s="294"/>
      <c r="AAF63" s="294"/>
      <c r="AAG63" s="294"/>
      <c r="AAH63" s="294"/>
      <c r="AAI63" s="294"/>
      <c r="AAJ63" s="294"/>
      <c r="AAK63" s="294"/>
      <c r="AAL63" s="294"/>
      <c r="AAM63" s="294"/>
      <c r="AAN63" s="294"/>
      <c r="AAO63" s="294"/>
      <c r="AAP63" s="294"/>
      <c r="AAQ63" s="294"/>
      <c r="AAR63" s="294"/>
      <c r="AAS63" s="294"/>
      <c r="AAT63" s="294"/>
      <c r="AAU63" s="294"/>
      <c r="AAV63" s="294"/>
      <c r="AAW63" s="294"/>
      <c r="AAX63" s="294"/>
      <c r="AAY63" s="294"/>
      <c r="AAZ63" s="294"/>
      <c r="ABA63" s="294"/>
      <c r="ABB63" s="294"/>
      <c r="ABC63" s="294">
        <v>0</v>
      </c>
      <c r="ABD63" s="294"/>
      <c r="ABE63" s="294"/>
      <c r="ABF63" s="294"/>
      <c r="ABG63" s="294"/>
      <c r="ABH63" s="294"/>
      <c r="ABI63" s="294"/>
      <c r="ABJ63" s="294"/>
      <c r="ABK63" s="294">
        <v>0</v>
      </c>
      <c r="ABL63" s="294"/>
      <c r="ABM63" s="294"/>
      <c r="ABN63" s="294"/>
      <c r="ABO63" s="294"/>
      <c r="ABP63" s="294"/>
      <c r="ABQ63" s="294"/>
      <c r="ABR63" s="294"/>
      <c r="ABS63" s="294"/>
      <c r="ABT63" s="294"/>
      <c r="ABU63" s="294"/>
      <c r="ABV63" s="294"/>
      <c r="ABW63" s="294"/>
      <c r="ABX63" s="294">
        <v>-12368497.02</v>
      </c>
      <c r="ABY63" s="294"/>
      <c r="ABZ63" s="294"/>
      <c r="ACA63" s="294"/>
      <c r="ACB63" s="294"/>
      <c r="ACC63" s="294"/>
      <c r="ACD63" s="294"/>
      <c r="ACE63" s="294"/>
      <c r="ACF63" s="294"/>
      <c r="ACG63" s="294"/>
      <c r="ACH63" s="294">
        <v>0</v>
      </c>
      <c r="ACI63" s="294"/>
      <c r="ACJ63" s="294"/>
      <c r="ACK63" s="294"/>
      <c r="ACL63" s="294"/>
      <c r="ACM63" s="294"/>
      <c r="ACN63" s="294"/>
      <c r="ACO63" s="294"/>
      <c r="ACP63" s="294"/>
      <c r="ACQ63" s="294"/>
      <c r="ACR63" s="294"/>
      <c r="ACS63" s="294"/>
      <c r="ACT63" s="294"/>
      <c r="ACU63" s="294"/>
      <c r="ACV63" s="294"/>
      <c r="ACW63" s="294"/>
      <c r="ACX63" s="294"/>
      <c r="ACY63" s="294"/>
      <c r="ACZ63" s="294"/>
      <c r="ADA63" s="294"/>
      <c r="ADB63" s="294"/>
      <c r="ADC63" s="294"/>
      <c r="ADD63" s="294"/>
      <c r="ADE63" s="294"/>
      <c r="ADF63" s="294"/>
      <c r="ADG63" s="294"/>
      <c r="ADH63" s="294"/>
      <c r="ADI63" s="294"/>
      <c r="ADJ63" s="294"/>
      <c r="ADK63" s="294"/>
      <c r="ADL63" s="294"/>
      <c r="ADM63" s="294"/>
      <c r="ADN63" s="294"/>
      <c r="ADO63" s="294"/>
      <c r="ADP63" s="294"/>
      <c r="ADQ63" s="294">
        <v>0</v>
      </c>
      <c r="ADR63" s="294"/>
      <c r="ADS63" s="294">
        <v>-7620</v>
      </c>
      <c r="ADT63" s="294"/>
      <c r="ADU63" s="294"/>
      <c r="ADV63" s="294"/>
      <c r="ADW63" s="294"/>
      <c r="ADX63" s="294"/>
      <c r="ADY63" s="294">
        <v>-131020</v>
      </c>
      <c r="ADZ63" s="294"/>
      <c r="AEA63" s="294"/>
      <c r="AEB63" s="294"/>
      <c r="AEC63" s="294"/>
      <c r="AED63" s="294"/>
      <c r="AEE63" s="294"/>
      <c r="AEF63" s="294"/>
      <c r="AEG63" s="294"/>
      <c r="AEH63" s="294"/>
      <c r="AEI63" s="294"/>
      <c r="AEJ63" s="294"/>
      <c r="AEK63" s="294"/>
      <c r="AEL63" s="294"/>
      <c r="AEM63" s="294"/>
      <c r="AEN63" s="294"/>
      <c r="AEO63" s="294">
        <v>0</v>
      </c>
      <c r="AEP63" s="294"/>
      <c r="AEQ63" s="294"/>
      <c r="AER63" s="294"/>
      <c r="AES63" s="294">
        <v>-4015179.89</v>
      </c>
      <c r="AET63" s="294"/>
      <c r="AEU63" s="294"/>
      <c r="AEV63" s="294"/>
      <c r="AEW63" s="294"/>
      <c r="AEX63" s="294"/>
      <c r="AEY63" s="294"/>
      <c r="AEZ63" s="294"/>
      <c r="AFA63" s="294"/>
      <c r="AFB63" s="294"/>
      <c r="AFC63" s="294">
        <v>0</v>
      </c>
      <c r="AFD63" s="294"/>
      <c r="AFE63" s="294"/>
      <c r="AFF63" s="294"/>
      <c r="AFG63" s="294"/>
      <c r="AFH63" s="294"/>
      <c r="AFI63" s="294"/>
      <c r="AFJ63" s="294"/>
      <c r="AFK63" s="294"/>
      <c r="AFL63" s="294"/>
      <c r="AFM63" s="294"/>
      <c r="AFN63" s="294"/>
      <c r="AFO63" s="294"/>
      <c r="AFP63" s="294"/>
      <c r="AFQ63" s="294"/>
      <c r="AFR63" s="294"/>
      <c r="AFS63" s="294"/>
      <c r="AFT63" s="294"/>
      <c r="AFU63" s="294"/>
      <c r="AFV63" s="294"/>
      <c r="AFW63" s="294"/>
      <c r="AFX63" s="294"/>
      <c r="AFY63" s="294"/>
      <c r="AFZ63" s="294"/>
      <c r="AGA63" s="294"/>
      <c r="AGB63" s="294">
        <v>0</v>
      </c>
      <c r="AGC63" s="294"/>
      <c r="AGD63" s="294"/>
      <c r="AGE63" s="294"/>
      <c r="AGF63" s="294"/>
      <c r="AGG63" s="294"/>
      <c r="AGH63" s="294"/>
      <c r="AGI63" s="294"/>
      <c r="AGJ63" s="294"/>
      <c r="AGK63" s="294"/>
      <c r="AGL63" s="294"/>
      <c r="AGM63" s="294">
        <v>-3983704</v>
      </c>
      <c r="AGN63" s="294"/>
      <c r="AGO63" s="294"/>
      <c r="AGP63" s="294"/>
      <c r="AGQ63" s="294"/>
      <c r="AGR63" s="294"/>
      <c r="AGS63" s="294"/>
      <c r="AGT63" s="294"/>
      <c r="AGU63" s="294">
        <v>-9918278.4199999999</v>
      </c>
      <c r="AGV63" s="294">
        <v>-12490268.310000001</v>
      </c>
      <c r="AGW63" s="294"/>
      <c r="AGX63" s="294"/>
      <c r="AGY63" s="294"/>
      <c r="AGZ63" s="294"/>
      <c r="AHA63" s="294"/>
      <c r="AHB63" s="294"/>
      <c r="AHC63" s="294"/>
      <c r="AHD63" s="294"/>
      <c r="AHE63" s="294"/>
      <c r="AHF63" s="294"/>
      <c r="AHG63" s="294"/>
      <c r="AHH63" s="294"/>
      <c r="AHI63" s="294"/>
      <c r="AHJ63" s="294"/>
      <c r="AHK63" s="294"/>
      <c r="AHL63" s="294">
        <v>-2200564.0099999998</v>
      </c>
      <c r="AHM63" s="294"/>
      <c r="AHN63" s="294"/>
      <c r="AHO63" s="294"/>
      <c r="AHP63" s="294"/>
      <c r="AHQ63" s="294"/>
      <c r="AHR63" s="331"/>
      <c r="AHS63" s="294">
        <f t="shared" si="51"/>
        <v>-191243046.81</v>
      </c>
      <c r="AHT63" s="269" t="b">
        <f t="shared" si="52"/>
        <v>1</v>
      </c>
      <c r="AHU63" s="269" t="s">
        <v>6278</v>
      </c>
      <c r="AHV63" s="269" t="s">
        <v>6069</v>
      </c>
      <c r="AHW63" s="269" t="s">
        <v>6070</v>
      </c>
    </row>
    <row r="64" spans="1:907" ht="24.6" x14ac:dyDescent="0.7">
      <c r="A64" s="268" t="s">
        <v>6278</v>
      </c>
      <c r="B64" s="268" t="s">
        <v>6071</v>
      </c>
      <c r="C64" s="269" t="s">
        <v>6072</v>
      </c>
      <c r="D64" s="294">
        <v>-8355911.5700000003</v>
      </c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>
        <v>0</v>
      </c>
      <c r="X64" s="294"/>
      <c r="Y64" s="294"/>
      <c r="Z64" s="294"/>
      <c r="AA64" s="294"/>
      <c r="AB64" s="294"/>
      <c r="AC64" s="294">
        <v>0</v>
      </c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>
        <v>-14345984.779999999</v>
      </c>
      <c r="BJ64" s="294">
        <v>-4429154.8</v>
      </c>
      <c r="BK64" s="294">
        <v>0</v>
      </c>
      <c r="BL64" s="294"/>
      <c r="BM64" s="294"/>
      <c r="BN64" s="294">
        <v>0</v>
      </c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>
        <v>-14996681.02</v>
      </c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>
        <v>0</v>
      </c>
      <c r="DC64" s="294">
        <v>-106000</v>
      </c>
      <c r="DD64" s="294"/>
      <c r="DE64" s="294"/>
      <c r="DF64" s="294"/>
      <c r="DG64" s="294"/>
      <c r="DH64" s="294"/>
      <c r="DI64" s="294"/>
      <c r="DJ64" s="294"/>
      <c r="DK64" s="294">
        <v>0</v>
      </c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294"/>
      <c r="EC64" s="294"/>
      <c r="ED64" s="294"/>
      <c r="EE64" s="294">
        <v>0</v>
      </c>
      <c r="EF64" s="294">
        <v>-3377104.02</v>
      </c>
      <c r="EG64" s="294"/>
      <c r="EH64" s="294"/>
      <c r="EI64" s="294"/>
      <c r="EJ64" s="294"/>
      <c r="EK64" s="294"/>
      <c r="EL64" s="294"/>
      <c r="EM64" s="294"/>
      <c r="EN64" s="294">
        <v>-19910759.18</v>
      </c>
      <c r="EO64" s="294"/>
      <c r="EP64" s="294"/>
      <c r="EQ64" s="294"/>
      <c r="ER64" s="294"/>
      <c r="ES64" s="294"/>
      <c r="ET64" s="294"/>
      <c r="EU64" s="294"/>
      <c r="EV64" s="294"/>
      <c r="EW64" s="294"/>
      <c r="EX64" s="294"/>
      <c r="EY64" s="294"/>
      <c r="EZ64" s="294"/>
      <c r="FA64" s="294"/>
      <c r="FB64" s="294"/>
      <c r="FC64" s="294"/>
      <c r="FD64" s="294"/>
      <c r="FE64" s="294"/>
      <c r="FF64" s="294"/>
      <c r="FG64" s="294"/>
      <c r="FH64" s="294"/>
      <c r="FI64" s="294">
        <v>0</v>
      </c>
      <c r="FJ64" s="294"/>
      <c r="FK64" s="294"/>
      <c r="FL64" s="294"/>
      <c r="FM64" s="294"/>
      <c r="FN64" s="294"/>
      <c r="FO64" s="294"/>
      <c r="FP64" s="294"/>
      <c r="FQ64" s="294">
        <v>-15278504.939999999</v>
      </c>
      <c r="FR64" s="294"/>
      <c r="FS64" s="294"/>
      <c r="FT64" s="294"/>
      <c r="FU64" s="294">
        <v>0</v>
      </c>
      <c r="FV64" s="294"/>
      <c r="FW64" s="294"/>
      <c r="FX64" s="294"/>
      <c r="FY64" s="294"/>
      <c r="FZ64" s="294"/>
      <c r="GA64" s="294"/>
      <c r="GB64" s="294"/>
      <c r="GC64" s="294"/>
      <c r="GD64" s="294"/>
      <c r="GE64" s="294">
        <v>-18366620.260000002</v>
      </c>
      <c r="GF64" s="294"/>
      <c r="GG64" s="294"/>
      <c r="GH64" s="294"/>
      <c r="GI64" s="294"/>
      <c r="GJ64" s="294"/>
      <c r="GK64" s="294"/>
      <c r="GL64" s="294"/>
      <c r="GM64" s="294"/>
      <c r="GN64" s="294"/>
      <c r="GO64" s="294"/>
      <c r="GP64" s="294"/>
      <c r="GQ64" s="294">
        <v>-21761146</v>
      </c>
      <c r="GR64" s="294"/>
      <c r="GS64" s="294"/>
      <c r="GT64" s="294"/>
      <c r="GU64" s="294"/>
      <c r="GV64" s="294"/>
      <c r="GW64" s="294"/>
      <c r="GX64" s="294"/>
      <c r="GY64" s="294"/>
      <c r="GZ64" s="294"/>
      <c r="HA64" s="294"/>
      <c r="HB64" s="294"/>
      <c r="HC64" s="294">
        <v>-19373953.390000001</v>
      </c>
      <c r="HD64" s="294"/>
      <c r="HE64" s="294"/>
      <c r="HF64" s="294"/>
      <c r="HG64" s="294"/>
      <c r="HH64" s="294"/>
      <c r="HI64" s="294"/>
      <c r="HJ64" s="294">
        <v>-22500</v>
      </c>
      <c r="HK64" s="294"/>
      <c r="HL64" s="294"/>
      <c r="HM64" s="294"/>
      <c r="HN64" s="294"/>
      <c r="HO64" s="294"/>
      <c r="HP64" s="294"/>
      <c r="HQ64" s="294"/>
      <c r="HR64" s="294">
        <v>-21359246.98</v>
      </c>
      <c r="HS64" s="294"/>
      <c r="HT64" s="294"/>
      <c r="HU64" s="294"/>
      <c r="HV64" s="294"/>
      <c r="HW64" s="294"/>
      <c r="HX64" s="294"/>
      <c r="HY64" s="294"/>
      <c r="HZ64" s="294"/>
      <c r="IA64" s="294"/>
      <c r="IB64" s="294"/>
      <c r="IC64" s="294"/>
      <c r="ID64" s="294"/>
      <c r="IE64" s="294"/>
      <c r="IF64" s="294"/>
      <c r="IG64" s="294"/>
      <c r="IH64" s="294"/>
      <c r="II64" s="294"/>
      <c r="IJ64" s="294"/>
      <c r="IK64" s="294"/>
      <c r="IL64" s="294"/>
      <c r="IM64" s="294"/>
      <c r="IN64" s="294"/>
      <c r="IO64" s="294"/>
      <c r="IP64" s="294"/>
      <c r="IQ64" s="294"/>
      <c r="IR64" s="294"/>
      <c r="IS64" s="294"/>
      <c r="IT64" s="294">
        <v>-10894742.77</v>
      </c>
      <c r="IU64" s="294"/>
      <c r="IV64" s="294"/>
      <c r="IW64" s="294"/>
      <c r="IX64" s="294"/>
      <c r="IY64" s="294"/>
      <c r="IZ64" s="294"/>
      <c r="JA64" s="294"/>
      <c r="JB64" s="294"/>
      <c r="JC64" s="294"/>
      <c r="JD64" s="294"/>
      <c r="JE64" s="294">
        <v>-4844625.97</v>
      </c>
      <c r="JF64" s="294"/>
      <c r="JG64" s="294"/>
      <c r="JH64" s="294"/>
      <c r="JI64" s="294"/>
      <c r="JJ64" s="294"/>
      <c r="JK64" s="294">
        <v>0</v>
      </c>
      <c r="JL64" s="294"/>
      <c r="JM64" s="294"/>
      <c r="JN64" s="294"/>
      <c r="JO64" s="294"/>
      <c r="JP64" s="294"/>
      <c r="JQ64" s="294"/>
      <c r="JR64" s="294">
        <v>-5205650.84</v>
      </c>
      <c r="JS64" s="294">
        <v>-10627787.709999999</v>
      </c>
      <c r="JT64" s="294"/>
      <c r="JU64" s="294"/>
      <c r="JV64" s="294"/>
      <c r="JW64" s="294"/>
      <c r="JX64" s="294"/>
      <c r="JY64" s="294"/>
      <c r="JZ64" s="294"/>
      <c r="KA64" s="294"/>
      <c r="KB64" s="294"/>
      <c r="KC64" s="294"/>
      <c r="KD64" s="294"/>
      <c r="KE64" s="294"/>
      <c r="KF64" s="294"/>
      <c r="KG64" s="294"/>
      <c r="KH64" s="294">
        <v>-9068600</v>
      </c>
      <c r="KI64" s="294"/>
      <c r="KJ64" s="294"/>
      <c r="KK64" s="294"/>
      <c r="KL64" s="294"/>
      <c r="KM64" s="294"/>
      <c r="KN64" s="294"/>
      <c r="KO64" s="294"/>
      <c r="KP64" s="294"/>
      <c r="KQ64" s="294"/>
      <c r="KR64" s="294"/>
      <c r="KS64" s="294"/>
      <c r="KT64" s="294"/>
      <c r="KU64" s="294"/>
      <c r="KV64" s="294"/>
      <c r="KW64" s="294">
        <v>-15400</v>
      </c>
      <c r="KX64" s="294"/>
      <c r="KY64" s="294">
        <v>0</v>
      </c>
      <c r="KZ64" s="294"/>
      <c r="LA64" s="294"/>
      <c r="LB64" s="294"/>
      <c r="LC64" s="294"/>
      <c r="LD64" s="294"/>
      <c r="LE64" s="294"/>
      <c r="LF64" s="294"/>
      <c r="LG64" s="294">
        <v>-28444678.5</v>
      </c>
      <c r="LH64" s="294">
        <v>-2386322.98</v>
      </c>
      <c r="LI64" s="294">
        <v>-2116865.9699999997</v>
      </c>
      <c r="LJ64" s="294">
        <v>0</v>
      </c>
      <c r="LK64" s="294"/>
      <c r="LL64" s="294"/>
      <c r="LM64" s="294"/>
      <c r="LN64" s="294"/>
      <c r="LO64" s="294"/>
      <c r="LP64" s="294"/>
      <c r="LQ64" s="294"/>
      <c r="LR64" s="294">
        <v>-15347000</v>
      </c>
      <c r="LS64" s="294"/>
      <c r="LT64" s="294"/>
      <c r="LU64" s="294">
        <v>-3939977.47</v>
      </c>
      <c r="LV64" s="294">
        <v>0</v>
      </c>
      <c r="LW64" s="294">
        <v>-11700</v>
      </c>
      <c r="LX64" s="294"/>
      <c r="LY64" s="294"/>
      <c r="LZ64" s="294"/>
      <c r="MA64" s="294"/>
      <c r="MB64" s="294"/>
      <c r="MC64" s="294"/>
      <c r="MD64" s="294"/>
      <c r="ME64" s="294"/>
      <c r="MF64" s="294"/>
      <c r="MG64" s="294">
        <v>-1193498</v>
      </c>
      <c r="MH64" s="294"/>
      <c r="MI64" s="294"/>
      <c r="MJ64" s="294"/>
      <c r="MK64" s="294"/>
      <c r="ML64" s="294"/>
      <c r="MM64" s="294"/>
      <c r="MN64" s="294"/>
      <c r="MO64" s="294"/>
      <c r="MP64" s="294"/>
      <c r="MQ64" s="294"/>
      <c r="MR64" s="294"/>
      <c r="MS64" s="294">
        <v>-14974456.609999999</v>
      </c>
      <c r="MT64" s="294"/>
      <c r="MU64" s="294"/>
      <c r="MV64" s="294"/>
      <c r="MW64" s="294"/>
      <c r="MX64" s="294"/>
      <c r="MY64" s="294"/>
      <c r="MZ64" s="294"/>
      <c r="NA64" s="294"/>
      <c r="NB64" s="294"/>
      <c r="NC64" s="294"/>
      <c r="ND64" s="294">
        <v>-19428841.780000001</v>
      </c>
      <c r="NE64" s="294">
        <v>-283000</v>
      </c>
      <c r="NF64" s="294"/>
      <c r="NG64" s="294"/>
      <c r="NH64" s="294"/>
      <c r="NI64" s="294">
        <v>0</v>
      </c>
      <c r="NJ64" s="294"/>
      <c r="NK64" s="294"/>
      <c r="NL64" s="294"/>
      <c r="NM64" s="294"/>
      <c r="NN64" s="294"/>
      <c r="NO64" s="294"/>
      <c r="NP64" s="294">
        <v>-1589300</v>
      </c>
      <c r="NQ64" s="294"/>
      <c r="NR64" s="294"/>
      <c r="NS64" s="294"/>
      <c r="NT64" s="294"/>
      <c r="NU64" s="294">
        <v>0</v>
      </c>
      <c r="NV64" s="294"/>
      <c r="NW64" s="294">
        <v>-28592491.309999999</v>
      </c>
      <c r="NX64" s="294"/>
      <c r="NY64" s="294"/>
      <c r="NZ64" s="294"/>
      <c r="OA64" s="294"/>
      <c r="OB64" s="294"/>
      <c r="OC64" s="294"/>
      <c r="OD64" s="294"/>
      <c r="OE64" s="294">
        <v>-7500</v>
      </c>
      <c r="OF64" s="294"/>
      <c r="OG64" s="294">
        <v>-5135324</v>
      </c>
      <c r="OH64" s="294"/>
      <c r="OI64" s="294"/>
      <c r="OJ64" s="294"/>
      <c r="OK64" s="294"/>
      <c r="OL64" s="294"/>
      <c r="OM64" s="294">
        <v>-15642244.859999999</v>
      </c>
      <c r="ON64" s="294"/>
      <c r="OO64" s="294"/>
      <c r="OP64" s="294"/>
      <c r="OQ64" s="294"/>
      <c r="OR64" s="294"/>
      <c r="OS64" s="294">
        <v>-9879612.7000000011</v>
      </c>
      <c r="OT64" s="294"/>
      <c r="OU64" s="294"/>
      <c r="OV64" s="294"/>
      <c r="OW64" s="294"/>
      <c r="OX64" s="294"/>
      <c r="OY64" s="294"/>
      <c r="OZ64" s="294"/>
      <c r="PA64" s="294"/>
      <c r="PB64" s="294">
        <v>0</v>
      </c>
      <c r="PC64" s="294"/>
      <c r="PD64" s="294"/>
      <c r="PE64" s="294"/>
      <c r="PF64" s="294"/>
      <c r="PG64" s="294"/>
      <c r="PH64" s="294"/>
      <c r="PI64" s="294"/>
      <c r="PJ64" s="294"/>
      <c r="PK64" s="294"/>
      <c r="PL64" s="294"/>
      <c r="PM64" s="294"/>
      <c r="PN64" s="294"/>
      <c r="PO64" s="294"/>
      <c r="PP64" s="294"/>
      <c r="PQ64" s="294"/>
      <c r="PR64" s="294"/>
      <c r="PS64" s="294"/>
      <c r="PT64" s="294">
        <v>0</v>
      </c>
      <c r="PU64" s="294"/>
      <c r="PV64" s="294"/>
      <c r="PW64" s="294"/>
      <c r="PX64" s="294"/>
      <c r="PY64" s="294"/>
      <c r="PZ64" s="294"/>
      <c r="QA64" s="294"/>
      <c r="QB64" s="294"/>
      <c r="QC64" s="294"/>
      <c r="QD64" s="294"/>
      <c r="QE64" s="294"/>
      <c r="QF64" s="294"/>
      <c r="QG64" s="294"/>
      <c r="QH64" s="294"/>
      <c r="QI64" s="294"/>
      <c r="QJ64" s="294"/>
      <c r="QK64" s="294"/>
      <c r="QL64" s="294"/>
      <c r="QM64" s="294"/>
      <c r="QN64" s="294">
        <v>0</v>
      </c>
      <c r="QO64" s="294"/>
      <c r="QP64" s="294"/>
      <c r="QQ64" s="294"/>
      <c r="QR64" s="294"/>
      <c r="QS64" s="294"/>
      <c r="QT64" s="294">
        <v>0</v>
      </c>
      <c r="QU64" s="294"/>
      <c r="QV64" s="294"/>
      <c r="QW64" s="294"/>
      <c r="QX64" s="294"/>
      <c r="QY64" s="294"/>
      <c r="QZ64" s="294"/>
      <c r="RA64" s="294"/>
      <c r="RB64" s="294"/>
      <c r="RC64" s="294"/>
      <c r="RD64" s="294"/>
      <c r="RE64" s="294"/>
      <c r="RF64" s="294"/>
      <c r="RG64" s="294"/>
      <c r="RH64" s="294">
        <v>0</v>
      </c>
      <c r="RI64" s="294">
        <v>0</v>
      </c>
      <c r="RJ64" s="294"/>
      <c r="RK64" s="294"/>
      <c r="RL64" s="294"/>
      <c r="RM64" s="294"/>
      <c r="RN64" s="294">
        <v>0</v>
      </c>
      <c r="RO64" s="294"/>
      <c r="RP64" s="294"/>
      <c r="RQ64" s="294"/>
      <c r="RR64" s="294"/>
      <c r="RS64" s="294"/>
      <c r="RT64" s="294"/>
      <c r="RU64" s="294"/>
      <c r="RV64" s="294">
        <v>0</v>
      </c>
      <c r="RW64" s="294">
        <v>0</v>
      </c>
      <c r="RX64" s="294"/>
      <c r="RY64" s="294"/>
      <c r="RZ64" s="294">
        <v>0</v>
      </c>
      <c r="SA64" s="294">
        <v>-27227800</v>
      </c>
      <c r="SB64" s="294"/>
      <c r="SC64" s="294"/>
      <c r="SD64" s="294"/>
      <c r="SE64" s="294"/>
      <c r="SF64" s="294"/>
      <c r="SG64" s="294"/>
      <c r="SH64" s="294"/>
      <c r="SI64" s="294"/>
      <c r="SJ64" s="294"/>
      <c r="SK64" s="294"/>
      <c r="SL64" s="294"/>
      <c r="SM64" s="294">
        <v>0</v>
      </c>
      <c r="SN64" s="294"/>
      <c r="SO64" s="294"/>
      <c r="SP64" s="294"/>
      <c r="SQ64" s="294"/>
      <c r="SR64" s="294"/>
      <c r="SS64" s="294"/>
      <c r="ST64" s="294"/>
      <c r="SU64" s="294">
        <v>-4105000</v>
      </c>
      <c r="SV64" s="294"/>
      <c r="SW64" s="294"/>
      <c r="SX64" s="294"/>
      <c r="SY64" s="294"/>
      <c r="SZ64" s="294"/>
      <c r="TA64" s="294"/>
      <c r="TB64" s="294"/>
      <c r="TC64" s="294"/>
      <c r="TD64" s="294"/>
      <c r="TE64" s="294"/>
      <c r="TF64" s="294"/>
      <c r="TG64" s="294"/>
      <c r="TH64" s="294"/>
      <c r="TI64" s="294">
        <v>-3830042.5</v>
      </c>
      <c r="TJ64" s="294"/>
      <c r="TK64" s="294"/>
      <c r="TL64" s="294"/>
      <c r="TM64" s="294"/>
      <c r="TN64" s="294"/>
      <c r="TO64" s="294"/>
      <c r="TP64" s="294"/>
      <c r="TQ64" s="294"/>
      <c r="TR64" s="294"/>
      <c r="TS64" s="294"/>
      <c r="TT64" s="294"/>
      <c r="TU64" s="294"/>
      <c r="TV64" s="294"/>
      <c r="TW64" s="294"/>
      <c r="TX64" s="294"/>
      <c r="TY64" s="294">
        <v>-3597000</v>
      </c>
      <c r="TZ64" s="294"/>
      <c r="UA64" s="294">
        <v>0</v>
      </c>
      <c r="UB64" s="294"/>
      <c r="UC64" s="294"/>
      <c r="UD64" s="294"/>
      <c r="UE64" s="294"/>
      <c r="UF64" s="294"/>
      <c r="UG64" s="294"/>
      <c r="UH64" s="294"/>
      <c r="UI64" s="294"/>
      <c r="UJ64" s="294">
        <v>-4860500</v>
      </c>
      <c r="UK64" s="294"/>
      <c r="UL64" s="294"/>
      <c r="UM64" s="294"/>
      <c r="UN64" s="294"/>
      <c r="UO64" s="294"/>
      <c r="UP64" s="294">
        <v>0</v>
      </c>
      <c r="UQ64" s="294"/>
      <c r="UR64" s="294"/>
      <c r="US64" s="294"/>
      <c r="UT64" s="294"/>
      <c r="UU64" s="294"/>
      <c r="UV64" s="294"/>
      <c r="UW64" s="294"/>
      <c r="UX64" s="294"/>
      <c r="UY64" s="294"/>
      <c r="UZ64" s="294"/>
      <c r="VA64" s="294"/>
      <c r="VB64" s="294"/>
      <c r="VC64" s="294"/>
      <c r="VD64" s="294"/>
      <c r="VE64" s="294"/>
      <c r="VF64" s="294"/>
      <c r="VG64" s="294"/>
      <c r="VH64" s="294"/>
      <c r="VI64" s="294"/>
      <c r="VJ64" s="294"/>
      <c r="VK64" s="294"/>
      <c r="VL64" s="294">
        <v>0</v>
      </c>
      <c r="VM64" s="294"/>
      <c r="VN64" s="294"/>
      <c r="VO64" s="294"/>
      <c r="VP64" s="294"/>
      <c r="VQ64" s="294"/>
      <c r="VR64" s="294"/>
      <c r="VS64" s="294"/>
      <c r="VT64" s="294"/>
      <c r="VU64" s="294"/>
      <c r="VV64" s="294"/>
      <c r="VW64" s="294"/>
      <c r="VX64" s="294"/>
      <c r="VY64" s="294"/>
      <c r="VZ64" s="294"/>
      <c r="WA64" s="294">
        <v>0</v>
      </c>
      <c r="WB64" s="294"/>
      <c r="WC64" s="294"/>
      <c r="WD64" s="294"/>
      <c r="WE64" s="294"/>
      <c r="WF64" s="294"/>
      <c r="WG64" s="294"/>
      <c r="WH64" s="294"/>
      <c r="WI64" s="294"/>
      <c r="WJ64" s="294"/>
      <c r="WK64" s="294"/>
      <c r="WL64" s="294"/>
      <c r="WM64" s="294"/>
      <c r="WN64" s="294"/>
      <c r="WO64" s="294"/>
      <c r="WP64" s="294"/>
      <c r="WQ64" s="294"/>
      <c r="WR64" s="294"/>
      <c r="WS64" s="294"/>
      <c r="WT64" s="294"/>
      <c r="WU64" s="294">
        <v>0</v>
      </c>
      <c r="WV64" s="294"/>
      <c r="WW64" s="294"/>
      <c r="WX64" s="294"/>
      <c r="WY64" s="294"/>
      <c r="WZ64" s="294"/>
      <c r="XA64" s="294"/>
      <c r="XB64" s="294"/>
      <c r="XC64" s="294"/>
      <c r="XD64" s="294"/>
      <c r="XE64" s="294"/>
      <c r="XF64" s="294"/>
      <c r="XG64" s="294"/>
      <c r="XH64" s="294">
        <v>-1047590</v>
      </c>
      <c r="XI64" s="294"/>
      <c r="XJ64" s="294"/>
      <c r="XK64" s="294">
        <v>0</v>
      </c>
      <c r="XL64" s="294"/>
      <c r="XM64" s="294"/>
      <c r="XN64" s="294"/>
      <c r="XO64" s="294"/>
      <c r="XP64" s="294"/>
      <c r="XQ64" s="294"/>
      <c r="XR64" s="294"/>
      <c r="XS64" s="294"/>
      <c r="XT64" s="294"/>
      <c r="XU64" s="294"/>
      <c r="XV64" s="294"/>
      <c r="XW64" s="294"/>
      <c r="XX64" s="294"/>
      <c r="XY64" s="294"/>
      <c r="XZ64" s="294"/>
      <c r="YA64" s="294"/>
      <c r="YB64" s="294"/>
      <c r="YC64" s="294"/>
      <c r="YD64" s="294"/>
      <c r="YE64" s="294"/>
      <c r="YF64" s="294"/>
      <c r="YG64" s="294"/>
      <c r="YH64" s="294"/>
      <c r="YI64" s="294">
        <v>0</v>
      </c>
      <c r="YJ64" s="294"/>
      <c r="YK64" s="294"/>
      <c r="YL64" s="294"/>
      <c r="YM64" s="294"/>
      <c r="YN64" s="294"/>
      <c r="YO64" s="294"/>
      <c r="YP64" s="294"/>
      <c r="YQ64" s="294"/>
      <c r="YR64" s="294"/>
      <c r="YS64" s="294"/>
      <c r="YT64" s="294"/>
      <c r="YU64" s="294"/>
      <c r="YV64" s="294">
        <v>-14600</v>
      </c>
      <c r="YW64" s="294"/>
      <c r="YX64" s="294"/>
      <c r="YY64" s="294"/>
      <c r="YZ64" s="294">
        <v>-370000</v>
      </c>
      <c r="ZA64" s="294"/>
      <c r="ZB64" s="294"/>
      <c r="ZC64" s="294"/>
      <c r="ZD64" s="294"/>
      <c r="ZE64" s="294"/>
      <c r="ZF64" s="294"/>
      <c r="ZG64" s="294"/>
      <c r="ZH64" s="294"/>
      <c r="ZI64" s="294"/>
      <c r="ZJ64" s="294"/>
      <c r="ZK64" s="294"/>
      <c r="ZL64" s="294"/>
      <c r="ZM64" s="294"/>
      <c r="ZN64" s="294"/>
      <c r="ZO64" s="294"/>
      <c r="ZP64" s="294"/>
      <c r="ZQ64" s="294"/>
      <c r="ZR64" s="294"/>
      <c r="ZS64" s="294"/>
      <c r="ZT64" s="294"/>
      <c r="ZU64" s="294"/>
      <c r="ZV64" s="294"/>
      <c r="ZW64" s="294"/>
      <c r="ZX64" s="294"/>
      <c r="ZY64" s="294"/>
      <c r="ZZ64" s="294"/>
      <c r="AAA64" s="294"/>
      <c r="AAB64" s="294"/>
      <c r="AAC64" s="294"/>
      <c r="AAD64" s="294"/>
      <c r="AAE64" s="294"/>
      <c r="AAF64" s="294"/>
      <c r="AAG64" s="294"/>
      <c r="AAH64" s="294"/>
      <c r="AAI64" s="294"/>
      <c r="AAJ64" s="294"/>
      <c r="AAK64" s="294"/>
      <c r="AAL64" s="294"/>
      <c r="AAM64" s="294"/>
      <c r="AAN64" s="294"/>
      <c r="AAO64" s="294"/>
      <c r="AAP64" s="294"/>
      <c r="AAQ64" s="294"/>
      <c r="AAR64" s="294"/>
      <c r="AAS64" s="294"/>
      <c r="AAT64" s="294"/>
      <c r="AAU64" s="294"/>
      <c r="AAV64" s="294"/>
      <c r="AAW64" s="294"/>
      <c r="AAX64" s="294"/>
      <c r="AAY64" s="294"/>
      <c r="AAZ64" s="294"/>
      <c r="ABA64" s="294"/>
      <c r="ABB64" s="294"/>
      <c r="ABC64" s="294">
        <v>0</v>
      </c>
      <c r="ABD64" s="294"/>
      <c r="ABE64" s="294"/>
      <c r="ABF64" s="294"/>
      <c r="ABG64" s="294"/>
      <c r="ABH64" s="294"/>
      <c r="ABI64" s="294"/>
      <c r="ABJ64" s="294"/>
      <c r="ABK64" s="294">
        <v>0</v>
      </c>
      <c r="ABL64" s="294"/>
      <c r="ABM64" s="294"/>
      <c r="ABN64" s="294"/>
      <c r="ABO64" s="294">
        <v>-500000</v>
      </c>
      <c r="ABP64" s="294"/>
      <c r="ABQ64" s="294"/>
      <c r="ABR64" s="294"/>
      <c r="ABS64" s="294"/>
      <c r="ABT64" s="294"/>
      <c r="ABU64" s="294"/>
      <c r="ABV64" s="294"/>
      <c r="ABW64" s="294"/>
      <c r="ABX64" s="294">
        <v>-9858322.8399999999</v>
      </c>
      <c r="ABY64" s="294"/>
      <c r="ABZ64" s="294"/>
      <c r="ACA64" s="294"/>
      <c r="ACB64" s="294"/>
      <c r="ACC64" s="294">
        <v>0</v>
      </c>
      <c r="ACD64" s="294"/>
      <c r="ACE64" s="294"/>
      <c r="ACF64" s="294"/>
      <c r="ACG64" s="294"/>
      <c r="ACH64" s="294">
        <v>0</v>
      </c>
      <c r="ACI64" s="294"/>
      <c r="ACJ64" s="294"/>
      <c r="ACK64" s="294"/>
      <c r="ACL64" s="294"/>
      <c r="ACM64" s="294"/>
      <c r="ACN64" s="294"/>
      <c r="ACO64" s="294"/>
      <c r="ACP64" s="294"/>
      <c r="ACQ64" s="294"/>
      <c r="ACR64" s="294"/>
      <c r="ACS64" s="294"/>
      <c r="ACT64" s="294"/>
      <c r="ACU64" s="294"/>
      <c r="ACV64" s="294"/>
      <c r="ACW64" s="294"/>
      <c r="ACX64" s="294"/>
      <c r="ACY64" s="294"/>
      <c r="ACZ64" s="294"/>
      <c r="ADA64" s="294"/>
      <c r="ADB64" s="294"/>
      <c r="ADC64" s="294"/>
      <c r="ADD64" s="294"/>
      <c r="ADE64" s="294"/>
      <c r="ADF64" s="294"/>
      <c r="ADG64" s="294"/>
      <c r="ADH64" s="294"/>
      <c r="ADI64" s="294"/>
      <c r="ADJ64" s="294"/>
      <c r="ADK64" s="294"/>
      <c r="ADL64" s="294"/>
      <c r="ADM64" s="294"/>
      <c r="ADN64" s="294"/>
      <c r="ADO64" s="294">
        <v>0</v>
      </c>
      <c r="ADP64" s="294"/>
      <c r="ADQ64" s="294">
        <v>0</v>
      </c>
      <c r="ADR64" s="294"/>
      <c r="ADS64" s="294">
        <v>-1165000</v>
      </c>
      <c r="ADT64" s="294"/>
      <c r="ADU64" s="294"/>
      <c r="ADV64" s="294"/>
      <c r="ADW64" s="294"/>
      <c r="ADX64" s="294"/>
      <c r="ADY64" s="294">
        <v>-2584000</v>
      </c>
      <c r="ADZ64" s="294"/>
      <c r="AEA64" s="294"/>
      <c r="AEB64" s="294"/>
      <c r="AEC64" s="294"/>
      <c r="AED64" s="294"/>
      <c r="AEE64" s="294"/>
      <c r="AEF64" s="294"/>
      <c r="AEG64" s="294"/>
      <c r="AEH64" s="294"/>
      <c r="AEI64" s="294"/>
      <c r="AEJ64" s="294"/>
      <c r="AEK64" s="294"/>
      <c r="AEL64" s="294"/>
      <c r="AEM64" s="294"/>
      <c r="AEN64" s="294"/>
      <c r="AEO64" s="294"/>
      <c r="AEP64" s="294"/>
      <c r="AEQ64" s="294"/>
      <c r="AER64" s="294"/>
      <c r="AES64" s="294">
        <v>-2903539.5</v>
      </c>
      <c r="AET64" s="294"/>
      <c r="AEU64" s="294"/>
      <c r="AEV64" s="294"/>
      <c r="AEW64" s="294"/>
      <c r="AEX64" s="294"/>
      <c r="AEY64" s="294"/>
      <c r="AEZ64" s="294"/>
      <c r="AFA64" s="294"/>
      <c r="AFB64" s="294"/>
      <c r="AFC64" s="294">
        <v>0</v>
      </c>
      <c r="AFD64" s="294"/>
      <c r="AFE64" s="294"/>
      <c r="AFF64" s="294"/>
      <c r="AFG64" s="294"/>
      <c r="AFH64" s="294"/>
      <c r="AFI64" s="294"/>
      <c r="AFJ64" s="294"/>
      <c r="AFK64" s="294"/>
      <c r="AFL64" s="294"/>
      <c r="AFM64" s="294"/>
      <c r="AFN64" s="294"/>
      <c r="AFO64" s="294"/>
      <c r="AFP64" s="294">
        <v>0</v>
      </c>
      <c r="AFQ64" s="294"/>
      <c r="AFR64" s="294"/>
      <c r="AFS64" s="294"/>
      <c r="AFT64" s="294"/>
      <c r="AFU64" s="294"/>
      <c r="AFV64" s="294"/>
      <c r="AFW64" s="294"/>
      <c r="AFX64" s="294"/>
      <c r="AFY64" s="294"/>
      <c r="AFZ64" s="294"/>
      <c r="AGA64" s="294"/>
      <c r="AGB64" s="294">
        <v>0</v>
      </c>
      <c r="AGC64" s="294"/>
      <c r="AGD64" s="294"/>
      <c r="AGE64" s="294"/>
      <c r="AGF64" s="294"/>
      <c r="AGG64" s="294"/>
      <c r="AGH64" s="294"/>
      <c r="AGI64" s="294"/>
      <c r="AGJ64" s="294"/>
      <c r="AGK64" s="294"/>
      <c r="AGL64" s="294"/>
      <c r="AGM64" s="294">
        <v>-13603698.129999999</v>
      </c>
      <c r="AGN64" s="294">
        <v>0</v>
      </c>
      <c r="AGO64" s="294"/>
      <c r="AGP64" s="294"/>
      <c r="AGQ64" s="294"/>
      <c r="AGR64" s="294"/>
      <c r="AGS64" s="294"/>
      <c r="AGT64" s="294"/>
      <c r="AGU64" s="294">
        <v>-26736493.440000001</v>
      </c>
      <c r="AGV64" s="294">
        <v>-51460684.019999996</v>
      </c>
      <c r="AGW64" s="294"/>
      <c r="AGX64" s="294"/>
      <c r="AGY64" s="294"/>
      <c r="AGZ64" s="294"/>
      <c r="AHA64" s="294"/>
      <c r="AHB64" s="294"/>
      <c r="AHC64" s="294"/>
      <c r="AHD64" s="294"/>
      <c r="AHE64" s="294"/>
      <c r="AHF64" s="294"/>
      <c r="AHG64" s="294"/>
      <c r="AHH64" s="294"/>
      <c r="AHI64" s="294"/>
      <c r="AHJ64" s="294"/>
      <c r="AHK64" s="294"/>
      <c r="AHL64" s="294">
        <v>-4503274.21</v>
      </c>
      <c r="AHM64" s="294"/>
      <c r="AHN64" s="294"/>
      <c r="AHO64" s="294"/>
      <c r="AHP64" s="294"/>
      <c r="AHQ64" s="294"/>
      <c r="AHR64" s="331"/>
      <c r="AHS64" s="294">
        <f t="shared" si="51"/>
        <v>-509680733.04999989</v>
      </c>
      <c r="AHT64" s="269" t="b">
        <f t="shared" si="52"/>
        <v>1</v>
      </c>
      <c r="AHU64" s="269" t="s">
        <v>6278</v>
      </c>
      <c r="AHV64" s="269" t="s">
        <v>6071</v>
      </c>
      <c r="AHW64" s="269" t="s">
        <v>6072</v>
      </c>
    </row>
    <row r="65" spans="1:907" ht="24.6" x14ac:dyDescent="0.7">
      <c r="A65" s="268" t="s">
        <v>6278</v>
      </c>
      <c r="B65" s="268" t="s">
        <v>6073</v>
      </c>
      <c r="C65" s="269" t="s">
        <v>6074</v>
      </c>
      <c r="D65" s="294">
        <v>0</v>
      </c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>
        <v>-247036.3</v>
      </c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>
        <v>-279250</v>
      </c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>
        <v>-836403.19999999995</v>
      </c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>
        <v>0</v>
      </c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4"/>
      <c r="EB65" s="294"/>
      <c r="EC65" s="294"/>
      <c r="ED65" s="294"/>
      <c r="EE65" s="294"/>
      <c r="EF65" s="294"/>
      <c r="EG65" s="294"/>
      <c r="EH65" s="294"/>
      <c r="EI65" s="294"/>
      <c r="EJ65" s="294"/>
      <c r="EK65" s="294"/>
      <c r="EL65" s="294"/>
      <c r="EM65" s="294"/>
      <c r="EN65" s="294">
        <v>-758820.28</v>
      </c>
      <c r="EO65" s="294"/>
      <c r="EP65" s="294"/>
      <c r="EQ65" s="294"/>
      <c r="ER65" s="294"/>
      <c r="ES65" s="294"/>
      <c r="ET65" s="294"/>
      <c r="EU65" s="294"/>
      <c r="EV65" s="294"/>
      <c r="EW65" s="294"/>
      <c r="EX65" s="294"/>
      <c r="EY65" s="294"/>
      <c r="EZ65" s="294"/>
      <c r="FA65" s="294"/>
      <c r="FB65" s="294"/>
      <c r="FC65" s="294"/>
      <c r="FD65" s="294"/>
      <c r="FE65" s="294"/>
      <c r="FF65" s="294"/>
      <c r="FG65" s="294"/>
      <c r="FH65" s="294"/>
      <c r="FI65" s="294"/>
      <c r="FJ65" s="294"/>
      <c r="FK65" s="294"/>
      <c r="FL65" s="294"/>
      <c r="FM65" s="294"/>
      <c r="FN65" s="294"/>
      <c r="FO65" s="294"/>
      <c r="FP65" s="294"/>
      <c r="FQ65" s="294">
        <v>-692551</v>
      </c>
      <c r="FR65" s="294"/>
      <c r="FS65" s="294"/>
      <c r="FT65" s="294"/>
      <c r="FU65" s="294"/>
      <c r="FV65" s="294"/>
      <c r="FW65" s="294"/>
      <c r="FX65" s="294"/>
      <c r="FY65" s="294"/>
      <c r="FZ65" s="294"/>
      <c r="GA65" s="294"/>
      <c r="GB65" s="294"/>
      <c r="GC65" s="294"/>
      <c r="GD65" s="294"/>
      <c r="GE65" s="294">
        <v>-4599346.28</v>
      </c>
      <c r="GF65" s="294"/>
      <c r="GG65" s="294"/>
      <c r="GH65" s="294"/>
      <c r="GI65" s="294"/>
      <c r="GJ65" s="294"/>
      <c r="GK65" s="294"/>
      <c r="GL65" s="294"/>
      <c r="GM65" s="294"/>
      <c r="GN65" s="294"/>
      <c r="GO65" s="294"/>
      <c r="GP65" s="294"/>
      <c r="GQ65" s="294"/>
      <c r="GR65" s="294"/>
      <c r="GS65" s="294"/>
      <c r="GT65" s="294"/>
      <c r="GU65" s="294"/>
      <c r="GV65" s="294"/>
      <c r="GW65" s="294"/>
      <c r="GX65" s="294"/>
      <c r="GY65" s="294"/>
      <c r="GZ65" s="294"/>
      <c r="HA65" s="294"/>
      <c r="HB65" s="294"/>
      <c r="HC65" s="294">
        <v>-65362881.560000002</v>
      </c>
      <c r="HD65" s="294"/>
      <c r="HE65" s="294"/>
      <c r="HF65" s="294"/>
      <c r="HG65" s="294"/>
      <c r="HH65" s="294"/>
      <c r="HI65" s="294"/>
      <c r="HJ65" s="294">
        <v>-211200</v>
      </c>
      <c r="HK65" s="294"/>
      <c r="HL65" s="294"/>
      <c r="HM65" s="294"/>
      <c r="HN65" s="294"/>
      <c r="HO65" s="294"/>
      <c r="HP65" s="294"/>
      <c r="HQ65" s="294"/>
      <c r="HR65" s="294">
        <v>-38642247.780000001</v>
      </c>
      <c r="HS65" s="294"/>
      <c r="HT65" s="294"/>
      <c r="HU65" s="294"/>
      <c r="HV65" s="294"/>
      <c r="HW65" s="294"/>
      <c r="HX65" s="294"/>
      <c r="HY65" s="294"/>
      <c r="HZ65" s="294"/>
      <c r="IA65" s="294"/>
      <c r="IB65" s="294"/>
      <c r="IC65" s="294"/>
      <c r="ID65" s="294"/>
      <c r="IE65" s="294"/>
      <c r="IF65" s="294"/>
      <c r="IG65" s="294"/>
      <c r="IH65" s="294"/>
      <c r="II65" s="294"/>
      <c r="IJ65" s="294"/>
      <c r="IK65" s="294"/>
      <c r="IL65" s="294"/>
      <c r="IM65" s="294"/>
      <c r="IN65" s="294"/>
      <c r="IO65" s="294"/>
      <c r="IP65" s="294"/>
      <c r="IQ65" s="294"/>
      <c r="IR65" s="294"/>
      <c r="IS65" s="294">
        <v>-631704.39</v>
      </c>
      <c r="IT65" s="294">
        <v>-2344879.92</v>
      </c>
      <c r="IU65" s="294"/>
      <c r="IV65" s="294"/>
      <c r="IW65" s="294"/>
      <c r="IX65" s="294"/>
      <c r="IY65" s="294"/>
      <c r="IZ65" s="294"/>
      <c r="JA65" s="294"/>
      <c r="JB65" s="294"/>
      <c r="JC65" s="294"/>
      <c r="JD65" s="294"/>
      <c r="JE65" s="294">
        <v>-5680140.25</v>
      </c>
      <c r="JF65" s="294"/>
      <c r="JG65" s="294"/>
      <c r="JH65" s="294"/>
      <c r="JI65" s="294"/>
      <c r="JJ65" s="294"/>
      <c r="JK65" s="294">
        <v>0</v>
      </c>
      <c r="JL65" s="294"/>
      <c r="JM65" s="294"/>
      <c r="JN65" s="294"/>
      <c r="JO65" s="294"/>
      <c r="JP65" s="294"/>
      <c r="JQ65" s="294"/>
      <c r="JR65" s="294">
        <v>-339006.19</v>
      </c>
      <c r="JS65" s="294">
        <v>-4523222.7300000004</v>
      </c>
      <c r="JT65" s="294"/>
      <c r="JU65" s="294"/>
      <c r="JV65" s="294"/>
      <c r="JW65" s="294"/>
      <c r="JX65" s="294"/>
      <c r="JY65" s="294"/>
      <c r="JZ65" s="294"/>
      <c r="KA65" s="294"/>
      <c r="KB65" s="294"/>
      <c r="KC65" s="294"/>
      <c r="KD65" s="294"/>
      <c r="KE65" s="294"/>
      <c r="KF65" s="294"/>
      <c r="KG65" s="294"/>
      <c r="KH65" s="294"/>
      <c r="KI65" s="294"/>
      <c r="KJ65" s="294"/>
      <c r="KK65" s="294"/>
      <c r="KL65" s="294"/>
      <c r="KM65" s="294"/>
      <c r="KN65" s="294"/>
      <c r="KO65" s="294"/>
      <c r="KP65" s="294"/>
      <c r="KQ65" s="294"/>
      <c r="KR65" s="294"/>
      <c r="KS65" s="294"/>
      <c r="KT65" s="294"/>
      <c r="KU65" s="294"/>
      <c r="KV65" s="294"/>
      <c r="KW65" s="294"/>
      <c r="KX65" s="294"/>
      <c r="KY65" s="294"/>
      <c r="KZ65" s="294"/>
      <c r="LA65" s="294"/>
      <c r="LB65" s="294"/>
      <c r="LC65" s="294"/>
      <c r="LD65" s="294"/>
      <c r="LE65" s="294"/>
      <c r="LF65" s="294"/>
      <c r="LG65" s="294">
        <v>-621571.05000000005</v>
      </c>
      <c r="LH65" s="294"/>
      <c r="LI65" s="294">
        <v>-635749.31999999995</v>
      </c>
      <c r="LJ65" s="294">
        <v>0</v>
      </c>
      <c r="LK65" s="294"/>
      <c r="LL65" s="294"/>
      <c r="LM65" s="294"/>
      <c r="LN65" s="294"/>
      <c r="LO65" s="294"/>
      <c r="LP65" s="294"/>
      <c r="LQ65" s="294"/>
      <c r="LR65" s="294"/>
      <c r="LS65" s="294"/>
      <c r="LT65" s="294"/>
      <c r="LU65" s="294"/>
      <c r="LV65" s="294"/>
      <c r="LW65" s="294"/>
      <c r="LX65" s="294"/>
      <c r="LY65" s="294"/>
      <c r="LZ65" s="294"/>
      <c r="MA65" s="294"/>
      <c r="MB65" s="294"/>
      <c r="MC65" s="294"/>
      <c r="MD65" s="294"/>
      <c r="ME65" s="294"/>
      <c r="MF65" s="294"/>
      <c r="MG65" s="294"/>
      <c r="MH65" s="294"/>
      <c r="MI65" s="294"/>
      <c r="MJ65" s="294"/>
      <c r="MK65" s="294"/>
      <c r="ML65" s="294"/>
      <c r="MM65" s="294"/>
      <c r="MN65" s="294"/>
      <c r="MO65" s="294"/>
      <c r="MP65" s="294"/>
      <c r="MQ65" s="294"/>
      <c r="MR65" s="294"/>
      <c r="MS65" s="294"/>
      <c r="MT65" s="294"/>
      <c r="MU65" s="294"/>
      <c r="MV65" s="294"/>
      <c r="MW65" s="294"/>
      <c r="MX65" s="294"/>
      <c r="MY65" s="294"/>
      <c r="MZ65" s="294"/>
      <c r="NA65" s="294"/>
      <c r="NB65" s="294"/>
      <c r="NC65" s="294"/>
      <c r="ND65" s="294">
        <v>-34876790.719999999</v>
      </c>
      <c r="NE65" s="294">
        <v>0</v>
      </c>
      <c r="NF65" s="294">
        <v>0</v>
      </c>
      <c r="NG65" s="294"/>
      <c r="NH65" s="294"/>
      <c r="NI65" s="294"/>
      <c r="NJ65" s="294"/>
      <c r="NK65" s="294"/>
      <c r="NL65" s="294"/>
      <c r="NM65" s="294"/>
      <c r="NN65" s="294"/>
      <c r="NO65" s="294"/>
      <c r="NP65" s="294">
        <v>0</v>
      </c>
      <c r="NQ65" s="294"/>
      <c r="NR65" s="294"/>
      <c r="NS65" s="294"/>
      <c r="NT65" s="294"/>
      <c r="NU65" s="294"/>
      <c r="NV65" s="294"/>
      <c r="NW65" s="294">
        <v>-26020297.530000001</v>
      </c>
      <c r="NX65" s="294"/>
      <c r="NY65" s="294"/>
      <c r="NZ65" s="294"/>
      <c r="OA65" s="294"/>
      <c r="OB65" s="294"/>
      <c r="OC65" s="294"/>
      <c r="OD65" s="294"/>
      <c r="OE65" s="294"/>
      <c r="OF65" s="294"/>
      <c r="OG65" s="294"/>
      <c r="OH65" s="294"/>
      <c r="OI65" s="294"/>
      <c r="OJ65" s="294"/>
      <c r="OK65" s="294"/>
      <c r="OL65" s="294"/>
      <c r="OM65" s="294">
        <v>-9700263.0800000001</v>
      </c>
      <c r="ON65" s="294"/>
      <c r="OO65" s="294"/>
      <c r="OP65" s="294"/>
      <c r="OQ65" s="294"/>
      <c r="OR65" s="294"/>
      <c r="OS65" s="294">
        <v>-477953.49</v>
      </c>
      <c r="OT65" s="294"/>
      <c r="OU65" s="294"/>
      <c r="OV65" s="294"/>
      <c r="OW65" s="294"/>
      <c r="OX65" s="294"/>
      <c r="OY65" s="294"/>
      <c r="OZ65" s="294"/>
      <c r="PA65" s="294"/>
      <c r="PB65" s="294"/>
      <c r="PC65" s="294"/>
      <c r="PD65" s="294"/>
      <c r="PE65" s="294"/>
      <c r="PF65" s="294"/>
      <c r="PG65" s="294"/>
      <c r="PH65" s="294"/>
      <c r="PI65" s="294"/>
      <c r="PJ65" s="294"/>
      <c r="PK65" s="294"/>
      <c r="PL65" s="294"/>
      <c r="PM65" s="294"/>
      <c r="PN65" s="294"/>
      <c r="PO65" s="294"/>
      <c r="PP65" s="294"/>
      <c r="PQ65" s="294"/>
      <c r="PR65" s="294"/>
      <c r="PS65" s="294"/>
      <c r="PT65" s="294"/>
      <c r="PU65" s="294"/>
      <c r="PV65" s="294"/>
      <c r="PW65" s="294"/>
      <c r="PX65" s="294"/>
      <c r="PY65" s="294"/>
      <c r="PZ65" s="294"/>
      <c r="QA65" s="294"/>
      <c r="QB65" s="294"/>
      <c r="QC65" s="294"/>
      <c r="QD65" s="294"/>
      <c r="QE65" s="294"/>
      <c r="QF65" s="294"/>
      <c r="QG65" s="294"/>
      <c r="QH65" s="294"/>
      <c r="QI65" s="294"/>
      <c r="QJ65" s="294"/>
      <c r="QK65" s="294"/>
      <c r="QL65" s="294"/>
      <c r="QM65" s="294"/>
      <c r="QN65" s="294"/>
      <c r="QO65" s="294"/>
      <c r="QP65" s="294"/>
      <c r="QQ65" s="294"/>
      <c r="QR65" s="294"/>
      <c r="QS65" s="294"/>
      <c r="QT65" s="294"/>
      <c r="QU65" s="294"/>
      <c r="QV65" s="294"/>
      <c r="QW65" s="294"/>
      <c r="QX65" s="294"/>
      <c r="QY65" s="294"/>
      <c r="QZ65" s="294"/>
      <c r="RA65" s="294"/>
      <c r="RB65" s="294"/>
      <c r="RC65" s="294"/>
      <c r="RD65" s="294"/>
      <c r="RE65" s="294"/>
      <c r="RF65" s="294"/>
      <c r="RG65" s="294"/>
      <c r="RH65" s="294"/>
      <c r="RI65" s="294">
        <v>0</v>
      </c>
      <c r="RJ65" s="294"/>
      <c r="RK65" s="294"/>
      <c r="RL65" s="294"/>
      <c r="RM65" s="294"/>
      <c r="RN65" s="294"/>
      <c r="RO65" s="294"/>
      <c r="RP65" s="294"/>
      <c r="RQ65" s="294"/>
      <c r="RR65" s="294"/>
      <c r="RS65" s="294"/>
      <c r="RT65" s="294"/>
      <c r="RU65" s="294"/>
      <c r="RV65" s="294"/>
      <c r="RW65" s="294"/>
      <c r="RX65" s="294"/>
      <c r="RY65" s="294"/>
      <c r="RZ65" s="294"/>
      <c r="SA65" s="294"/>
      <c r="SB65" s="294"/>
      <c r="SC65" s="294"/>
      <c r="SD65" s="294"/>
      <c r="SE65" s="294"/>
      <c r="SF65" s="294"/>
      <c r="SG65" s="294"/>
      <c r="SH65" s="294"/>
      <c r="SI65" s="294"/>
      <c r="SJ65" s="294"/>
      <c r="SK65" s="294"/>
      <c r="SL65" s="294"/>
      <c r="SM65" s="294"/>
      <c r="SN65" s="294"/>
      <c r="SO65" s="294"/>
      <c r="SP65" s="294"/>
      <c r="SQ65" s="294"/>
      <c r="SR65" s="294"/>
      <c r="SS65" s="294"/>
      <c r="ST65" s="294"/>
      <c r="SU65" s="294"/>
      <c r="SV65" s="294"/>
      <c r="SW65" s="294"/>
      <c r="SX65" s="294"/>
      <c r="SY65" s="294"/>
      <c r="SZ65" s="294"/>
      <c r="TA65" s="294"/>
      <c r="TB65" s="294"/>
      <c r="TC65" s="294"/>
      <c r="TD65" s="294"/>
      <c r="TE65" s="294"/>
      <c r="TF65" s="294"/>
      <c r="TG65" s="294"/>
      <c r="TH65" s="294"/>
      <c r="TI65" s="294"/>
      <c r="TJ65" s="294"/>
      <c r="TK65" s="294"/>
      <c r="TL65" s="294"/>
      <c r="TM65" s="294"/>
      <c r="TN65" s="294"/>
      <c r="TO65" s="294"/>
      <c r="TP65" s="294"/>
      <c r="TQ65" s="294"/>
      <c r="TR65" s="294"/>
      <c r="TS65" s="294"/>
      <c r="TT65" s="294"/>
      <c r="TU65" s="294"/>
      <c r="TV65" s="294"/>
      <c r="TW65" s="294"/>
      <c r="TX65" s="294"/>
      <c r="TY65" s="294"/>
      <c r="TZ65" s="294"/>
      <c r="UA65" s="294"/>
      <c r="UB65" s="294"/>
      <c r="UC65" s="294"/>
      <c r="UD65" s="294"/>
      <c r="UE65" s="294"/>
      <c r="UF65" s="294"/>
      <c r="UG65" s="294"/>
      <c r="UH65" s="294"/>
      <c r="UI65" s="294"/>
      <c r="UJ65" s="294"/>
      <c r="UK65" s="294"/>
      <c r="UL65" s="294"/>
      <c r="UM65" s="294"/>
      <c r="UN65" s="294"/>
      <c r="UO65" s="294"/>
      <c r="UP65" s="294"/>
      <c r="UQ65" s="294"/>
      <c r="UR65" s="294"/>
      <c r="US65" s="294"/>
      <c r="UT65" s="294"/>
      <c r="UU65" s="294"/>
      <c r="UV65" s="294"/>
      <c r="UW65" s="294"/>
      <c r="UX65" s="294"/>
      <c r="UY65" s="294"/>
      <c r="UZ65" s="294"/>
      <c r="VA65" s="294"/>
      <c r="VB65" s="294"/>
      <c r="VC65" s="294"/>
      <c r="VD65" s="294"/>
      <c r="VE65" s="294"/>
      <c r="VF65" s="294"/>
      <c r="VG65" s="294"/>
      <c r="VH65" s="294"/>
      <c r="VI65" s="294"/>
      <c r="VJ65" s="294"/>
      <c r="VK65" s="294"/>
      <c r="VL65" s="294"/>
      <c r="VM65" s="294"/>
      <c r="VN65" s="294"/>
      <c r="VO65" s="294"/>
      <c r="VP65" s="294"/>
      <c r="VQ65" s="294"/>
      <c r="VR65" s="294"/>
      <c r="VS65" s="294"/>
      <c r="VT65" s="294"/>
      <c r="VU65" s="294"/>
      <c r="VV65" s="294"/>
      <c r="VW65" s="294"/>
      <c r="VX65" s="294"/>
      <c r="VY65" s="294"/>
      <c r="VZ65" s="294"/>
      <c r="WA65" s="294">
        <v>-1163340</v>
      </c>
      <c r="WB65" s="294"/>
      <c r="WC65" s="294"/>
      <c r="WD65" s="294"/>
      <c r="WE65" s="294"/>
      <c r="WF65" s="294"/>
      <c r="WG65" s="294"/>
      <c r="WH65" s="294"/>
      <c r="WI65" s="294"/>
      <c r="WJ65" s="294"/>
      <c r="WK65" s="294"/>
      <c r="WL65" s="294"/>
      <c r="WM65" s="294"/>
      <c r="WN65" s="294"/>
      <c r="WO65" s="294"/>
      <c r="WP65" s="294"/>
      <c r="WQ65" s="294"/>
      <c r="WR65" s="294"/>
      <c r="WS65" s="294"/>
      <c r="WT65" s="294"/>
      <c r="WU65" s="294">
        <v>0</v>
      </c>
      <c r="WV65" s="294"/>
      <c r="WW65" s="294"/>
      <c r="WX65" s="294"/>
      <c r="WY65" s="294"/>
      <c r="WZ65" s="294"/>
      <c r="XA65" s="294"/>
      <c r="XB65" s="294"/>
      <c r="XC65" s="294"/>
      <c r="XD65" s="294"/>
      <c r="XE65" s="294"/>
      <c r="XF65" s="294"/>
      <c r="XG65" s="294"/>
      <c r="XH65" s="294">
        <v>-638003</v>
      </c>
      <c r="XI65" s="294"/>
      <c r="XJ65" s="294"/>
      <c r="XK65" s="294"/>
      <c r="XL65" s="294"/>
      <c r="XM65" s="294"/>
      <c r="XN65" s="294"/>
      <c r="XO65" s="294"/>
      <c r="XP65" s="294"/>
      <c r="XQ65" s="294"/>
      <c r="XR65" s="294"/>
      <c r="XS65" s="294"/>
      <c r="XT65" s="294"/>
      <c r="XU65" s="294"/>
      <c r="XV65" s="294"/>
      <c r="XW65" s="294"/>
      <c r="XX65" s="294"/>
      <c r="XY65" s="294"/>
      <c r="XZ65" s="294"/>
      <c r="YA65" s="294"/>
      <c r="YB65" s="294"/>
      <c r="YC65" s="294"/>
      <c r="YD65" s="294"/>
      <c r="YE65" s="294"/>
      <c r="YF65" s="294"/>
      <c r="YG65" s="294"/>
      <c r="YH65" s="294"/>
      <c r="YI65" s="294"/>
      <c r="YJ65" s="294"/>
      <c r="YK65" s="294"/>
      <c r="YL65" s="294"/>
      <c r="YM65" s="294"/>
      <c r="YN65" s="294"/>
      <c r="YO65" s="294"/>
      <c r="YP65" s="294"/>
      <c r="YQ65" s="294"/>
      <c r="YR65" s="294"/>
      <c r="YS65" s="294"/>
      <c r="YT65" s="294"/>
      <c r="YU65" s="294"/>
      <c r="YV65" s="294"/>
      <c r="YW65" s="294"/>
      <c r="YX65" s="294"/>
      <c r="YY65" s="294"/>
      <c r="YZ65" s="294"/>
      <c r="ZA65" s="294"/>
      <c r="ZB65" s="294"/>
      <c r="ZC65" s="294"/>
      <c r="ZD65" s="294"/>
      <c r="ZE65" s="294"/>
      <c r="ZF65" s="294"/>
      <c r="ZG65" s="294"/>
      <c r="ZH65" s="294"/>
      <c r="ZI65" s="294"/>
      <c r="ZJ65" s="294"/>
      <c r="ZK65" s="294"/>
      <c r="ZL65" s="294"/>
      <c r="ZM65" s="294"/>
      <c r="ZN65" s="294"/>
      <c r="ZO65" s="294"/>
      <c r="ZP65" s="294"/>
      <c r="ZQ65" s="294"/>
      <c r="ZR65" s="294"/>
      <c r="ZS65" s="294"/>
      <c r="ZT65" s="294"/>
      <c r="ZU65" s="294"/>
      <c r="ZV65" s="294"/>
      <c r="ZW65" s="294"/>
      <c r="ZX65" s="294"/>
      <c r="ZY65" s="294"/>
      <c r="ZZ65" s="294"/>
      <c r="AAA65" s="294"/>
      <c r="AAB65" s="294"/>
      <c r="AAC65" s="294"/>
      <c r="AAD65" s="294"/>
      <c r="AAE65" s="294"/>
      <c r="AAF65" s="294"/>
      <c r="AAG65" s="294"/>
      <c r="AAH65" s="294"/>
      <c r="AAI65" s="294"/>
      <c r="AAJ65" s="294"/>
      <c r="AAK65" s="294"/>
      <c r="AAL65" s="294"/>
      <c r="AAM65" s="294"/>
      <c r="AAN65" s="294"/>
      <c r="AAO65" s="294"/>
      <c r="AAP65" s="294"/>
      <c r="AAQ65" s="294"/>
      <c r="AAR65" s="294"/>
      <c r="AAS65" s="294"/>
      <c r="AAT65" s="294"/>
      <c r="AAU65" s="294"/>
      <c r="AAV65" s="294"/>
      <c r="AAW65" s="294"/>
      <c r="AAX65" s="294"/>
      <c r="AAY65" s="294"/>
      <c r="AAZ65" s="294"/>
      <c r="ABA65" s="294"/>
      <c r="ABB65" s="294"/>
      <c r="ABC65" s="294">
        <v>0</v>
      </c>
      <c r="ABD65" s="294"/>
      <c r="ABE65" s="294"/>
      <c r="ABF65" s="294"/>
      <c r="ABG65" s="294"/>
      <c r="ABH65" s="294"/>
      <c r="ABI65" s="294"/>
      <c r="ABJ65" s="294"/>
      <c r="ABK65" s="294">
        <v>0</v>
      </c>
      <c r="ABL65" s="294"/>
      <c r="ABM65" s="294"/>
      <c r="ABN65" s="294"/>
      <c r="ABO65" s="294">
        <v>0</v>
      </c>
      <c r="ABP65" s="294"/>
      <c r="ABQ65" s="294"/>
      <c r="ABR65" s="294"/>
      <c r="ABS65" s="294"/>
      <c r="ABT65" s="294"/>
      <c r="ABU65" s="294"/>
      <c r="ABV65" s="294"/>
      <c r="ABW65" s="294"/>
      <c r="ABX65" s="294"/>
      <c r="ABY65" s="294"/>
      <c r="ABZ65" s="294"/>
      <c r="ACA65" s="294"/>
      <c r="ACB65" s="294"/>
      <c r="ACC65" s="294"/>
      <c r="ACD65" s="294"/>
      <c r="ACE65" s="294"/>
      <c r="ACF65" s="294"/>
      <c r="ACG65" s="294"/>
      <c r="ACH65" s="294"/>
      <c r="ACI65" s="294"/>
      <c r="ACJ65" s="294"/>
      <c r="ACK65" s="294"/>
      <c r="ACL65" s="294"/>
      <c r="ACM65" s="294"/>
      <c r="ACN65" s="294"/>
      <c r="ACO65" s="294"/>
      <c r="ACP65" s="294"/>
      <c r="ACQ65" s="294"/>
      <c r="ACR65" s="294"/>
      <c r="ACS65" s="294"/>
      <c r="ACT65" s="294"/>
      <c r="ACU65" s="294"/>
      <c r="ACV65" s="294"/>
      <c r="ACW65" s="294"/>
      <c r="ACX65" s="294"/>
      <c r="ACY65" s="294"/>
      <c r="ACZ65" s="294"/>
      <c r="ADA65" s="294"/>
      <c r="ADB65" s="294"/>
      <c r="ADC65" s="294"/>
      <c r="ADD65" s="294"/>
      <c r="ADE65" s="294"/>
      <c r="ADF65" s="294"/>
      <c r="ADG65" s="294"/>
      <c r="ADH65" s="294"/>
      <c r="ADI65" s="294"/>
      <c r="ADJ65" s="294"/>
      <c r="ADK65" s="294"/>
      <c r="ADL65" s="294"/>
      <c r="ADM65" s="294"/>
      <c r="ADN65" s="294"/>
      <c r="ADO65" s="294"/>
      <c r="ADP65" s="294"/>
      <c r="ADQ65" s="294"/>
      <c r="ADR65" s="294"/>
      <c r="ADS65" s="294"/>
      <c r="ADT65" s="294"/>
      <c r="ADU65" s="294"/>
      <c r="ADV65" s="294"/>
      <c r="ADW65" s="294"/>
      <c r="ADX65" s="294"/>
      <c r="ADY65" s="294"/>
      <c r="ADZ65" s="294"/>
      <c r="AEA65" s="294"/>
      <c r="AEB65" s="294"/>
      <c r="AEC65" s="294"/>
      <c r="AED65" s="294"/>
      <c r="AEE65" s="294"/>
      <c r="AEF65" s="294"/>
      <c r="AEG65" s="294"/>
      <c r="AEH65" s="294"/>
      <c r="AEI65" s="294"/>
      <c r="AEJ65" s="294"/>
      <c r="AEK65" s="294"/>
      <c r="AEL65" s="294"/>
      <c r="AEM65" s="294"/>
      <c r="AEN65" s="294"/>
      <c r="AEO65" s="294">
        <v>0</v>
      </c>
      <c r="AEP65" s="294"/>
      <c r="AEQ65" s="294"/>
      <c r="AER65" s="294"/>
      <c r="AES65" s="294">
        <v>-1067876.76</v>
      </c>
      <c r="AET65" s="294"/>
      <c r="AEU65" s="294"/>
      <c r="AEV65" s="294"/>
      <c r="AEW65" s="294"/>
      <c r="AEX65" s="294"/>
      <c r="AEY65" s="294"/>
      <c r="AEZ65" s="294"/>
      <c r="AFA65" s="294"/>
      <c r="AFB65" s="294"/>
      <c r="AFC65" s="294"/>
      <c r="AFD65" s="294"/>
      <c r="AFE65" s="294"/>
      <c r="AFF65" s="294"/>
      <c r="AFG65" s="294"/>
      <c r="AFH65" s="294"/>
      <c r="AFI65" s="294"/>
      <c r="AFJ65" s="294"/>
      <c r="AFK65" s="294"/>
      <c r="AFL65" s="294"/>
      <c r="AFM65" s="294"/>
      <c r="AFN65" s="294"/>
      <c r="AFO65" s="294"/>
      <c r="AFP65" s="294"/>
      <c r="AFQ65" s="294"/>
      <c r="AFR65" s="294"/>
      <c r="AFS65" s="294"/>
      <c r="AFT65" s="294"/>
      <c r="AFU65" s="294"/>
      <c r="AFV65" s="294"/>
      <c r="AFW65" s="294"/>
      <c r="AFX65" s="294"/>
      <c r="AFY65" s="294"/>
      <c r="AFZ65" s="294"/>
      <c r="AGA65" s="294"/>
      <c r="AGB65" s="294"/>
      <c r="AGC65" s="294"/>
      <c r="AGD65" s="294"/>
      <c r="AGE65" s="294"/>
      <c r="AGF65" s="294"/>
      <c r="AGG65" s="294"/>
      <c r="AGH65" s="294"/>
      <c r="AGI65" s="294"/>
      <c r="AGJ65" s="294"/>
      <c r="AGK65" s="294"/>
      <c r="AGL65" s="294"/>
      <c r="AGM65" s="294">
        <v>-372370</v>
      </c>
      <c r="AGN65" s="294"/>
      <c r="AGO65" s="294"/>
      <c r="AGP65" s="294"/>
      <c r="AGQ65" s="294"/>
      <c r="AGR65" s="294"/>
      <c r="AGS65" s="294"/>
      <c r="AGT65" s="294"/>
      <c r="AGU65" s="294">
        <v>-1018370.95</v>
      </c>
      <c r="AGV65" s="294">
        <v>-1207580.01</v>
      </c>
      <c r="AGW65" s="294"/>
      <c r="AGX65" s="294"/>
      <c r="AGY65" s="294"/>
      <c r="AGZ65" s="294"/>
      <c r="AHA65" s="294"/>
      <c r="AHB65" s="294"/>
      <c r="AHC65" s="294"/>
      <c r="AHD65" s="294"/>
      <c r="AHE65" s="294"/>
      <c r="AHF65" s="294"/>
      <c r="AHG65" s="294"/>
      <c r="AHH65" s="294"/>
      <c r="AHI65" s="294"/>
      <c r="AHJ65" s="294"/>
      <c r="AHK65" s="294"/>
      <c r="AHL65" s="294">
        <v>-9051455.0500000007</v>
      </c>
      <c r="AHM65" s="294"/>
      <c r="AHN65" s="294"/>
      <c r="AHO65" s="294"/>
      <c r="AHP65" s="294"/>
      <c r="AHQ65" s="294"/>
      <c r="AHR65" s="331"/>
      <c r="AHS65" s="294">
        <f t="shared" si="51"/>
        <v>-212000310.84</v>
      </c>
      <c r="AHT65" s="269" t="b">
        <f t="shared" si="52"/>
        <v>1</v>
      </c>
      <c r="AHU65" s="269" t="s">
        <v>6278</v>
      </c>
      <c r="AHV65" s="269" t="s">
        <v>6073</v>
      </c>
      <c r="AHW65" s="269" t="s">
        <v>6074</v>
      </c>
    </row>
    <row r="66" spans="1:907" ht="24.6" x14ac:dyDescent="0.7">
      <c r="A66" s="268" t="s">
        <v>6278</v>
      </c>
      <c r="B66" s="268" t="s">
        <v>6075</v>
      </c>
      <c r="C66" s="269" t="s">
        <v>6076</v>
      </c>
      <c r="D66" s="294">
        <v>0</v>
      </c>
      <c r="E66" s="294"/>
      <c r="F66" s="294"/>
      <c r="G66" s="294"/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>
        <v>-184638.14</v>
      </c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>
        <v>-129932.56</v>
      </c>
      <c r="BJ66" s="294">
        <v>0</v>
      </c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>
        <v>0</v>
      </c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>
        <v>0</v>
      </c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294"/>
      <c r="EA66" s="294"/>
      <c r="EB66" s="294"/>
      <c r="EC66" s="294"/>
      <c r="ED66" s="294"/>
      <c r="EE66" s="294">
        <v>0</v>
      </c>
      <c r="EF66" s="294">
        <v>-16050</v>
      </c>
      <c r="EG66" s="294"/>
      <c r="EH66" s="294"/>
      <c r="EI66" s="294"/>
      <c r="EJ66" s="294"/>
      <c r="EK66" s="294"/>
      <c r="EL66" s="294"/>
      <c r="EM66" s="294"/>
      <c r="EN66" s="294">
        <v>-798690.15</v>
      </c>
      <c r="EO66" s="294"/>
      <c r="EP66" s="294"/>
      <c r="EQ66" s="294"/>
      <c r="ER66" s="294"/>
      <c r="ES66" s="294"/>
      <c r="ET66" s="294"/>
      <c r="EU66" s="294"/>
      <c r="EV66" s="294"/>
      <c r="EW66" s="294"/>
      <c r="EX66" s="294"/>
      <c r="EY66" s="294"/>
      <c r="EZ66" s="294"/>
      <c r="FA66" s="294"/>
      <c r="FB66" s="294"/>
      <c r="FC66" s="294"/>
      <c r="FD66" s="294"/>
      <c r="FE66" s="294"/>
      <c r="FF66" s="294"/>
      <c r="FG66" s="294"/>
      <c r="FH66" s="294"/>
      <c r="FI66" s="294"/>
      <c r="FJ66" s="294"/>
      <c r="FK66" s="294"/>
      <c r="FL66" s="294"/>
      <c r="FM66" s="294"/>
      <c r="FN66" s="294"/>
      <c r="FO66" s="294"/>
      <c r="FP66" s="294"/>
      <c r="FQ66" s="294">
        <v>-967436.1</v>
      </c>
      <c r="FR66" s="294"/>
      <c r="FS66" s="294"/>
      <c r="FT66" s="294"/>
      <c r="FU66" s="294"/>
      <c r="FV66" s="294"/>
      <c r="FW66" s="294"/>
      <c r="FX66" s="294"/>
      <c r="FY66" s="294"/>
      <c r="FZ66" s="294"/>
      <c r="GA66" s="294"/>
      <c r="GB66" s="294"/>
      <c r="GC66" s="294"/>
      <c r="GD66" s="294"/>
      <c r="GE66" s="294">
        <v>-287469</v>
      </c>
      <c r="GF66" s="294"/>
      <c r="GG66" s="294"/>
      <c r="GH66" s="294"/>
      <c r="GI66" s="294"/>
      <c r="GJ66" s="294"/>
      <c r="GK66" s="294"/>
      <c r="GL66" s="294"/>
      <c r="GM66" s="294"/>
      <c r="GN66" s="294"/>
      <c r="GO66" s="294"/>
      <c r="GP66" s="294"/>
      <c r="GQ66" s="294"/>
      <c r="GR66" s="294"/>
      <c r="GS66" s="294"/>
      <c r="GT66" s="294"/>
      <c r="GU66" s="294"/>
      <c r="GV66" s="294"/>
      <c r="GW66" s="294"/>
      <c r="GX66" s="294"/>
      <c r="GY66" s="294"/>
      <c r="GZ66" s="294"/>
      <c r="HA66" s="294"/>
      <c r="HB66" s="294"/>
      <c r="HC66" s="294"/>
      <c r="HD66" s="294"/>
      <c r="HE66" s="294"/>
      <c r="HF66" s="294"/>
      <c r="HG66" s="294"/>
      <c r="HH66" s="294"/>
      <c r="HI66" s="294"/>
      <c r="HJ66" s="294"/>
      <c r="HK66" s="294"/>
      <c r="HL66" s="294"/>
      <c r="HM66" s="294"/>
      <c r="HN66" s="294"/>
      <c r="HO66" s="294"/>
      <c r="HP66" s="294"/>
      <c r="HQ66" s="294"/>
      <c r="HR66" s="294">
        <v>-431596.75</v>
      </c>
      <c r="HS66" s="294"/>
      <c r="HT66" s="294"/>
      <c r="HU66" s="294"/>
      <c r="HV66" s="294"/>
      <c r="HW66" s="294"/>
      <c r="HX66" s="294"/>
      <c r="HY66" s="294"/>
      <c r="HZ66" s="294"/>
      <c r="IA66" s="294"/>
      <c r="IB66" s="294"/>
      <c r="IC66" s="294"/>
      <c r="ID66" s="294"/>
      <c r="IE66" s="294"/>
      <c r="IF66" s="294"/>
      <c r="IG66" s="294"/>
      <c r="IH66" s="294"/>
      <c r="II66" s="294"/>
      <c r="IJ66" s="294"/>
      <c r="IK66" s="294"/>
      <c r="IL66" s="294"/>
      <c r="IM66" s="294"/>
      <c r="IN66" s="294"/>
      <c r="IO66" s="294"/>
      <c r="IP66" s="294"/>
      <c r="IQ66" s="294"/>
      <c r="IR66" s="294"/>
      <c r="IS66" s="294"/>
      <c r="IT66" s="294">
        <v>-689301.14</v>
      </c>
      <c r="IU66" s="294"/>
      <c r="IV66" s="294"/>
      <c r="IW66" s="294"/>
      <c r="IX66" s="294"/>
      <c r="IY66" s="294"/>
      <c r="IZ66" s="294"/>
      <c r="JA66" s="294"/>
      <c r="JB66" s="294"/>
      <c r="JC66" s="294"/>
      <c r="JD66" s="294"/>
      <c r="JE66" s="294">
        <v>-304749.98</v>
      </c>
      <c r="JF66" s="294"/>
      <c r="JG66" s="294"/>
      <c r="JH66" s="294"/>
      <c r="JI66" s="294"/>
      <c r="JJ66" s="294"/>
      <c r="JK66" s="294">
        <v>0</v>
      </c>
      <c r="JL66" s="294"/>
      <c r="JM66" s="294"/>
      <c r="JN66" s="294"/>
      <c r="JO66" s="294"/>
      <c r="JP66" s="294"/>
      <c r="JQ66" s="294"/>
      <c r="JR66" s="294">
        <v>-552402.25</v>
      </c>
      <c r="JS66" s="294">
        <v>-3069875.88</v>
      </c>
      <c r="JT66" s="294"/>
      <c r="JU66" s="294"/>
      <c r="JV66" s="294"/>
      <c r="JW66" s="294"/>
      <c r="JX66" s="294"/>
      <c r="JY66" s="294"/>
      <c r="JZ66" s="294"/>
      <c r="KA66" s="294"/>
      <c r="KB66" s="294"/>
      <c r="KC66" s="294"/>
      <c r="KD66" s="294"/>
      <c r="KE66" s="294"/>
      <c r="KF66" s="294"/>
      <c r="KG66" s="294"/>
      <c r="KH66" s="294"/>
      <c r="KI66" s="294"/>
      <c r="KJ66" s="294"/>
      <c r="KK66" s="294"/>
      <c r="KL66" s="294"/>
      <c r="KM66" s="294"/>
      <c r="KN66" s="294"/>
      <c r="KO66" s="294"/>
      <c r="KP66" s="294"/>
      <c r="KQ66" s="294"/>
      <c r="KR66" s="294"/>
      <c r="KS66" s="294"/>
      <c r="KT66" s="294"/>
      <c r="KU66" s="294"/>
      <c r="KV66" s="294"/>
      <c r="KW66" s="294"/>
      <c r="KX66" s="294"/>
      <c r="KY66" s="294"/>
      <c r="KZ66" s="294"/>
      <c r="LA66" s="294"/>
      <c r="LB66" s="294"/>
      <c r="LC66" s="294"/>
      <c r="LD66" s="294"/>
      <c r="LE66" s="294"/>
      <c r="LF66" s="294"/>
      <c r="LG66" s="294">
        <v>-2158540.9</v>
      </c>
      <c r="LH66" s="294">
        <v>-840934.56</v>
      </c>
      <c r="LI66" s="294"/>
      <c r="LJ66" s="294"/>
      <c r="LK66" s="294"/>
      <c r="LL66" s="294"/>
      <c r="LM66" s="294"/>
      <c r="LN66" s="294"/>
      <c r="LO66" s="294"/>
      <c r="LP66" s="294"/>
      <c r="LQ66" s="294"/>
      <c r="LR66" s="294"/>
      <c r="LS66" s="294"/>
      <c r="LT66" s="294"/>
      <c r="LU66" s="294">
        <v>-10272</v>
      </c>
      <c r="LV66" s="294"/>
      <c r="LW66" s="294"/>
      <c r="LX66" s="294"/>
      <c r="LY66" s="294"/>
      <c r="LZ66" s="294"/>
      <c r="MA66" s="294"/>
      <c r="MB66" s="294"/>
      <c r="MC66" s="294"/>
      <c r="MD66" s="294"/>
      <c r="ME66" s="294"/>
      <c r="MF66" s="294"/>
      <c r="MG66" s="294">
        <v>0</v>
      </c>
      <c r="MH66" s="294"/>
      <c r="MI66" s="294"/>
      <c r="MJ66" s="294"/>
      <c r="MK66" s="294"/>
      <c r="ML66" s="294"/>
      <c r="MM66" s="294"/>
      <c r="MN66" s="294"/>
      <c r="MO66" s="294"/>
      <c r="MP66" s="294"/>
      <c r="MQ66" s="294"/>
      <c r="MR66" s="294"/>
      <c r="MS66" s="294">
        <v>-130224.67</v>
      </c>
      <c r="MT66" s="294"/>
      <c r="MU66" s="294"/>
      <c r="MV66" s="294"/>
      <c r="MW66" s="294"/>
      <c r="MX66" s="294"/>
      <c r="MY66" s="294"/>
      <c r="MZ66" s="294"/>
      <c r="NA66" s="294"/>
      <c r="NB66" s="294"/>
      <c r="NC66" s="294"/>
      <c r="ND66" s="294">
        <v>-1400386</v>
      </c>
      <c r="NE66" s="294"/>
      <c r="NF66" s="294"/>
      <c r="NG66" s="294"/>
      <c r="NH66" s="294"/>
      <c r="NI66" s="294"/>
      <c r="NJ66" s="294"/>
      <c r="NK66" s="294"/>
      <c r="NL66" s="294"/>
      <c r="NM66" s="294"/>
      <c r="NN66" s="294"/>
      <c r="NO66" s="294"/>
      <c r="NP66" s="294"/>
      <c r="NQ66" s="294"/>
      <c r="NR66" s="294"/>
      <c r="NS66" s="294"/>
      <c r="NT66" s="294"/>
      <c r="NU66" s="294"/>
      <c r="NV66" s="294"/>
      <c r="NW66" s="294">
        <v>-2156404.7200000002</v>
      </c>
      <c r="NX66" s="294"/>
      <c r="NY66" s="294"/>
      <c r="NZ66" s="294"/>
      <c r="OA66" s="294"/>
      <c r="OB66" s="294"/>
      <c r="OC66" s="294"/>
      <c r="OD66" s="294"/>
      <c r="OE66" s="294"/>
      <c r="OF66" s="294"/>
      <c r="OG66" s="294"/>
      <c r="OH66" s="294"/>
      <c r="OI66" s="294"/>
      <c r="OJ66" s="294"/>
      <c r="OK66" s="294"/>
      <c r="OL66" s="294"/>
      <c r="OM66" s="294">
        <v>-703839</v>
      </c>
      <c r="ON66" s="294"/>
      <c r="OO66" s="294"/>
      <c r="OP66" s="294"/>
      <c r="OQ66" s="294"/>
      <c r="OR66" s="294"/>
      <c r="OS66" s="294">
        <v>-171047.4</v>
      </c>
      <c r="OT66" s="294"/>
      <c r="OU66" s="294"/>
      <c r="OV66" s="294"/>
      <c r="OW66" s="294"/>
      <c r="OX66" s="294"/>
      <c r="OY66" s="294"/>
      <c r="OZ66" s="294"/>
      <c r="PA66" s="294"/>
      <c r="PB66" s="294"/>
      <c r="PC66" s="294"/>
      <c r="PD66" s="294"/>
      <c r="PE66" s="294"/>
      <c r="PF66" s="294"/>
      <c r="PG66" s="294"/>
      <c r="PH66" s="294"/>
      <c r="PI66" s="294"/>
      <c r="PJ66" s="294"/>
      <c r="PK66" s="294"/>
      <c r="PL66" s="294"/>
      <c r="PM66" s="294"/>
      <c r="PN66" s="294"/>
      <c r="PO66" s="294"/>
      <c r="PP66" s="294"/>
      <c r="PQ66" s="294"/>
      <c r="PR66" s="294"/>
      <c r="PS66" s="294"/>
      <c r="PT66" s="294"/>
      <c r="PU66" s="294"/>
      <c r="PV66" s="294"/>
      <c r="PW66" s="294"/>
      <c r="PX66" s="294"/>
      <c r="PY66" s="294"/>
      <c r="PZ66" s="294"/>
      <c r="QA66" s="294"/>
      <c r="QB66" s="294"/>
      <c r="QC66" s="294"/>
      <c r="QD66" s="294"/>
      <c r="QE66" s="294"/>
      <c r="QF66" s="294"/>
      <c r="QG66" s="294"/>
      <c r="QH66" s="294"/>
      <c r="QI66" s="294"/>
      <c r="QJ66" s="294"/>
      <c r="QK66" s="294"/>
      <c r="QL66" s="294"/>
      <c r="QM66" s="294"/>
      <c r="QN66" s="294"/>
      <c r="QO66" s="294"/>
      <c r="QP66" s="294"/>
      <c r="QQ66" s="294"/>
      <c r="QR66" s="294"/>
      <c r="QS66" s="294"/>
      <c r="QT66" s="294"/>
      <c r="QU66" s="294"/>
      <c r="QV66" s="294"/>
      <c r="QW66" s="294"/>
      <c r="QX66" s="294"/>
      <c r="QY66" s="294"/>
      <c r="QZ66" s="294"/>
      <c r="RA66" s="294"/>
      <c r="RB66" s="294"/>
      <c r="RC66" s="294"/>
      <c r="RD66" s="294"/>
      <c r="RE66" s="294"/>
      <c r="RF66" s="294"/>
      <c r="RG66" s="294"/>
      <c r="RH66" s="294"/>
      <c r="RI66" s="294"/>
      <c r="RJ66" s="294"/>
      <c r="RK66" s="294"/>
      <c r="RL66" s="294"/>
      <c r="RM66" s="294"/>
      <c r="RN66" s="294"/>
      <c r="RO66" s="294"/>
      <c r="RP66" s="294"/>
      <c r="RQ66" s="294"/>
      <c r="RR66" s="294"/>
      <c r="RS66" s="294"/>
      <c r="RT66" s="294"/>
      <c r="RU66" s="294"/>
      <c r="RV66" s="294"/>
      <c r="RW66" s="294"/>
      <c r="RX66" s="294"/>
      <c r="RY66" s="294"/>
      <c r="RZ66" s="294"/>
      <c r="SA66" s="294"/>
      <c r="SB66" s="294"/>
      <c r="SC66" s="294"/>
      <c r="SD66" s="294"/>
      <c r="SE66" s="294"/>
      <c r="SF66" s="294"/>
      <c r="SG66" s="294"/>
      <c r="SH66" s="294"/>
      <c r="SI66" s="294"/>
      <c r="SJ66" s="294"/>
      <c r="SK66" s="294"/>
      <c r="SL66" s="294"/>
      <c r="SM66" s="294"/>
      <c r="SN66" s="294"/>
      <c r="SO66" s="294"/>
      <c r="SP66" s="294"/>
      <c r="SQ66" s="294"/>
      <c r="SR66" s="294"/>
      <c r="SS66" s="294"/>
      <c r="ST66" s="294"/>
      <c r="SU66" s="294"/>
      <c r="SV66" s="294"/>
      <c r="SW66" s="294"/>
      <c r="SX66" s="294"/>
      <c r="SY66" s="294"/>
      <c r="SZ66" s="294"/>
      <c r="TA66" s="294"/>
      <c r="TB66" s="294"/>
      <c r="TC66" s="294"/>
      <c r="TD66" s="294"/>
      <c r="TE66" s="294"/>
      <c r="TF66" s="294"/>
      <c r="TG66" s="294"/>
      <c r="TH66" s="294"/>
      <c r="TI66" s="294"/>
      <c r="TJ66" s="294"/>
      <c r="TK66" s="294"/>
      <c r="TL66" s="294"/>
      <c r="TM66" s="294"/>
      <c r="TN66" s="294"/>
      <c r="TO66" s="294"/>
      <c r="TP66" s="294"/>
      <c r="TQ66" s="294"/>
      <c r="TR66" s="294"/>
      <c r="TS66" s="294"/>
      <c r="TT66" s="294"/>
      <c r="TU66" s="294"/>
      <c r="TV66" s="294"/>
      <c r="TW66" s="294"/>
      <c r="TX66" s="294"/>
      <c r="TY66" s="294"/>
      <c r="TZ66" s="294"/>
      <c r="UA66" s="294"/>
      <c r="UB66" s="294"/>
      <c r="UC66" s="294"/>
      <c r="UD66" s="294"/>
      <c r="UE66" s="294"/>
      <c r="UF66" s="294"/>
      <c r="UG66" s="294"/>
      <c r="UH66" s="294"/>
      <c r="UI66" s="294"/>
      <c r="UJ66" s="294"/>
      <c r="UK66" s="294"/>
      <c r="UL66" s="294"/>
      <c r="UM66" s="294"/>
      <c r="UN66" s="294"/>
      <c r="UO66" s="294"/>
      <c r="UP66" s="294"/>
      <c r="UQ66" s="294"/>
      <c r="UR66" s="294"/>
      <c r="US66" s="294"/>
      <c r="UT66" s="294"/>
      <c r="UU66" s="294"/>
      <c r="UV66" s="294"/>
      <c r="UW66" s="294"/>
      <c r="UX66" s="294"/>
      <c r="UY66" s="294"/>
      <c r="UZ66" s="294"/>
      <c r="VA66" s="294"/>
      <c r="VB66" s="294"/>
      <c r="VC66" s="294"/>
      <c r="VD66" s="294"/>
      <c r="VE66" s="294"/>
      <c r="VF66" s="294"/>
      <c r="VG66" s="294"/>
      <c r="VH66" s="294"/>
      <c r="VI66" s="294"/>
      <c r="VJ66" s="294"/>
      <c r="VK66" s="294"/>
      <c r="VL66" s="294"/>
      <c r="VM66" s="294"/>
      <c r="VN66" s="294"/>
      <c r="VO66" s="294"/>
      <c r="VP66" s="294"/>
      <c r="VQ66" s="294"/>
      <c r="VR66" s="294"/>
      <c r="VS66" s="294"/>
      <c r="VT66" s="294"/>
      <c r="VU66" s="294"/>
      <c r="VV66" s="294"/>
      <c r="VW66" s="294"/>
      <c r="VX66" s="294"/>
      <c r="VY66" s="294"/>
      <c r="VZ66" s="294"/>
      <c r="WA66" s="294">
        <v>-513800</v>
      </c>
      <c r="WB66" s="294"/>
      <c r="WC66" s="294"/>
      <c r="WD66" s="294"/>
      <c r="WE66" s="294"/>
      <c r="WF66" s="294"/>
      <c r="WG66" s="294"/>
      <c r="WH66" s="294"/>
      <c r="WI66" s="294"/>
      <c r="WJ66" s="294"/>
      <c r="WK66" s="294"/>
      <c r="WL66" s="294"/>
      <c r="WM66" s="294"/>
      <c r="WN66" s="294"/>
      <c r="WO66" s="294"/>
      <c r="WP66" s="294"/>
      <c r="WQ66" s="294"/>
      <c r="WR66" s="294"/>
      <c r="WS66" s="294"/>
      <c r="WT66" s="294"/>
      <c r="WU66" s="294"/>
      <c r="WV66" s="294"/>
      <c r="WW66" s="294"/>
      <c r="WX66" s="294"/>
      <c r="WY66" s="294"/>
      <c r="WZ66" s="294"/>
      <c r="XA66" s="294"/>
      <c r="XB66" s="294"/>
      <c r="XC66" s="294"/>
      <c r="XD66" s="294"/>
      <c r="XE66" s="294"/>
      <c r="XF66" s="294"/>
      <c r="XG66" s="294"/>
      <c r="XH66" s="294">
        <v>-13942</v>
      </c>
      <c r="XI66" s="294"/>
      <c r="XJ66" s="294"/>
      <c r="XK66" s="294"/>
      <c r="XL66" s="294"/>
      <c r="XM66" s="294"/>
      <c r="XN66" s="294"/>
      <c r="XO66" s="294"/>
      <c r="XP66" s="294"/>
      <c r="XQ66" s="294"/>
      <c r="XR66" s="294"/>
      <c r="XS66" s="294"/>
      <c r="XT66" s="294"/>
      <c r="XU66" s="294"/>
      <c r="XV66" s="294"/>
      <c r="XW66" s="294"/>
      <c r="XX66" s="294"/>
      <c r="XY66" s="294"/>
      <c r="XZ66" s="294"/>
      <c r="YA66" s="294"/>
      <c r="YB66" s="294"/>
      <c r="YC66" s="294"/>
      <c r="YD66" s="294"/>
      <c r="YE66" s="294"/>
      <c r="YF66" s="294"/>
      <c r="YG66" s="294"/>
      <c r="YH66" s="294"/>
      <c r="YI66" s="294"/>
      <c r="YJ66" s="294"/>
      <c r="YK66" s="294"/>
      <c r="YL66" s="294"/>
      <c r="YM66" s="294"/>
      <c r="YN66" s="294"/>
      <c r="YO66" s="294"/>
      <c r="YP66" s="294"/>
      <c r="YQ66" s="294"/>
      <c r="YR66" s="294"/>
      <c r="YS66" s="294"/>
      <c r="YT66" s="294"/>
      <c r="YU66" s="294"/>
      <c r="YV66" s="294"/>
      <c r="YW66" s="294"/>
      <c r="YX66" s="294"/>
      <c r="YY66" s="294"/>
      <c r="YZ66" s="294"/>
      <c r="ZA66" s="294"/>
      <c r="ZB66" s="294"/>
      <c r="ZC66" s="294"/>
      <c r="ZD66" s="294"/>
      <c r="ZE66" s="294"/>
      <c r="ZF66" s="294"/>
      <c r="ZG66" s="294"/>
      <c r="ZH66" s="294"/>
      <c r="ZI66" s="294"/>
      <c r="ZJ66" s="294"/>
      <c r="ZK66" s="294"/>
      <c r="ZL66" s="294"/>
      <c r="ZM66" s="294"/>
      <c r="ZN66" s="294"/>
      <c r="ZO66" s="294"/>
      <c r="ZP66" s="294"/>
      <c r="ZQ66" s="294"/>
      <c r="ZR66" s="294"/>
      <c r="ZS66" s="294"/>
      <c r="ZT66" s="294"/>
      <c r="ZU66" s="294"/>
      <c r="ZV66" s="294"/>
      <c r="ZW66" s="294"/>
      <c r="ZX66" s="294"/>
      <c r="ZY66" s="294"/>
      <c r="ZZ66" s="294"/>
      <c r="AAA66" s="294"/>
      <c r="AAB66" s="294"/>
      <c r="AAC66" s="294"/>
      <c r="AAD66" s="294"/>
      <c r="AAE66" s="294"/>
      <c r="AAF66" s="294"/>
      <c r="AAG66" s="294"/>
      <c r="AAH66" s="294"/>
      <c r="AAI66" s="294"/>
      <c r="AAJ66" s="294"/>
      <c r="AAK66" s="294"/>
      <c r="AAL66" s="294"/>
      <c r="AAM66" s="294"/>
      <c r="AAN66" s="294"/>
      <c r="AAO66" s="294"/>
      <c r="AAP66" s="294"/>
      <c r="AAQ66" s="294"/>
      <c r="AAR66" s="294"/>
      <c r="AAS66" s="294"/>
      <c r="AAT66" s="294"/>
      <c r="AAU66" s="294"/>
      <c r="AAV66" s="294"/>
      <c r="AAW66" s="294"/>
      <c r="AAX66" s="294"/>
      <c r="AAY66" s="294"/>
      <c r="AAZ66" s="294"/>
      <c r="ABA66" s="294"/>
      <c r="ABB66" s="294"/>
      <c r="ABC66" s="294">
        <v>0</v>
      </c>
      <c r="ABD66" s="294"/>
      <c r="ABE66" s="294"/>
      <c r="ABF66" s="294"/>
      <c r="ABG66" s="294"/>
      <c r="ABH66" s="294"/>
      <c r="ABI66" s="294"/>
      <c r="ABJ66" s="294"/>
      <c r="ABK66" s="294">
        <v>0</v>
      </c>
      <c r="ABL66" s="294"/>
      <c r="ABM66" s="294"/>
      <c r="ABN66" s="294"/>
      <c r="ABO66" s="294"/>
      <c r="ABP66" s="294"/>
      <c r="ABQ66" s="294"/>
      <c r="ABR66" s="294"/>
      <c r="ABS66" s="294"/>
      <c r="ABT66" s="294"/>
      <c r="ABU66" s="294"/>
      <c r="ABV66" s="294"/>
      <c r="ABW66" s="294"/>
      <c r="ABX66" s="294"/>
      <c r="ABY66" s="294"/>
      <c r="ABZ66" s="294"/>
      <c r="ACA66" s="294"/>
      <c r="ACB66" s="294"/>
      <c r="ACC66" s="294"/>
      <c r="ACD66" s="294"/>
      <c r="ACE66" s="294"/>
      <c r="ACF66" s="294"/>
      <c r="ACG66" s="294"/>
      <c r="ACH66" s="294"/>
      <c r="ACI66" s="294"/>
      <c r="ACJ66" s="294"/>
      <c r="ACK66" s="294"/>
      <c r="ACL66" s="294"/>
      <c r="ACM66" s="294"/>
      <c r="ACN66" s="294"/>
      <c r="ACO66" s="294"/>
      <c r="ACP66" s="294"/>
      <c r="ACQ66" s="294"/>
      <c r="ACR66" s="294"/>
      <c r="ACS66" s="294"/>
      <c r="ACT66" s="294"/>
      <c r="ACU66" s="294"/>
      <c r="ACV66" s="294"/>
      <c r="ACW66" s="294"/>
      <c r="ACX66" s="294"/>
      <c r="ACY66" s="294"/>
      <c r="ACZ66" s="294"/>
      <c r="ADA66" s="294"/>
      <c r="ADB66" s="294"/>
      <c r="ADC66" s="294"/>
      <c r="ADD66" s="294"/>
      <c r="ADE66" s="294"/>
      <c r="ADF66" s="294"/>
      <c r="ADG66" s="294"/>
      <c r="ADH66" s="294"/>
      <c r="ADI66" s="294"/>
      <c r="ADJ66" s="294"/>
      <c r="ADK66" s="294"/>
      <c r="ADL66" s="294">
        <v>0</v>
      </c>
      <c r="ADM66" s="294"/>
      <c r="ADN66" s="294"/>
      <c r="ADO66" s="294"/>
      <c r="ADP66" s="294"/>
      <c r="ADQ66" s="294"/>
      <c r="ADR66" s="294"/>
      <c r="ADS66" s="294"/>
      <c r="ADT66" s="294"/>
      <c r="ADU66" s="294"/>
      <c r="ADV66" s="294"/>
      <c r="ADW66" s="294"/>
      <c r="ADX66" s="294"/>
      <c r="ADY66" s="294"/>
      <c r="ADZ66" s="294"/>
      <c r="AEA66" s="294"/>
      <c r="AEB66" s="294"/>
      <c r="AEC66" s="294"/>
      <c r="AED66" s="294"/>
      <c r="AEE66" s="294"/>
      <c r="AEF66" s="294"/>
      <c r="AEG66" s="294"/>
      <c r="AEH66" s="294"/>
      <c r="AEI66" s="294"/>
      <c r="AEJ66" s="294"/>
      <c r="AEK66" s="294"/>
      <c r="AEL66" s="294"/>
      <c r="AEM66" s="294"/>
      <c r="AEN66" s="294"/>
      <c r="AEO66" s="294"/>
      <c r="AEP66" s="294"/>
      <c r="AEQ66" s="294"/>
      <c r="AER66" s="294"/>
      <c r="AES66" s="294">
        <v>-68262.100000000006</v>
      </c>
      <c r="AET66" s="294"/>
      <c r="AEU66" s="294"/>
      <c r="AEV66" s="294"/>
      <c r="AEW66" s="294"/>
      <c r="AEX66" s="294"/>
      <c r="AEY66" s="294"/>
      <c r="AEZ66" s="294"/>
      <c r="AFA66" s="294"/>
      <c r="AFB66" s="294"/>
      <c r="AFC66" s="294"/>
      <c r="AFD66" s="294"/>
      <c r="AFE66" s="294"/>
      <c r="AFF66" s="294"/>
      <c r="AFG66" s="294"/>
      <c r="AFH66" s="294"/>
      <c r="AFI66" s="294"/>
      <c r="AFJ66" s="294"/>
      <c r="AFK66" s="294"/>
      <c r="AFL66" s="294"/>
      <c r="AFM66" s="294"/>
      <c r="AFN66" s="294"/>
      <c r="AFO66" s="294"/>
      <c r="AFP66" s="294"/>
      <c r="AFQ66" s="294"/>
      <c r="AFR66" s="294"/>
      <c r="AFS66" s="294"/>
      <c r="AFT66" s="294"/>
      <c r="AFU66" s="294"/>
      <c r="AFV66" s="294"/>
      <c r="AFW66" s="294"/>
      <c r="AFX66" s="294"/>
      <c r="AFY66" s="294"/>
      <c r="AFZ66" s="294"/>
      <c r="AGA66" s="294"/>
      <c r="AGB66" s="294"/>
      <c r="AGC66" s="294"/>
      <c r="AGD66" s="294"/>
      <c r="AGE66" s="294"/>
      <c r="AGF66" s="294"/>
      <c r="AGG66" s="294"/>
      <c r="AGH66" s="294"/>
      <c r="AGI66" s="294"/>
      <c r="AGJ66" s="294"/>
      <c r="AGK66" s="294"/>
      <c r="AGL66" s="294"/>
      <c r="AGM66" s="294">
        <v>-959741.68</v>
      </c>
      <c r="AGN66" s="294"/>
      <c r="AGO66" s="294"/>
      <c r="AGP66" s="294"/>
      <c r="AGQ66" s="294"/>
      <c r="AGR66" s="294"/>
      <c r="AGS66" s="294"/>
      <c r="AGT66" s="294"/>
      <c r="AGU66" s="294">
        <v>-1793220.75</v>
      </c>
      <c r="AGV66" s="294">
        <v>-1058316.1299999999</v>
      </c>
      <c r="AGW66" s="294"/>
      <c r="AGX66" s="294"/>
      <c r="AGY66" s="294"/>
      <c r="AGZ66" s="294"/>
      <c r="AHA66" s="294"/>
      <c r="AHB66" s="294"/>
      <c r="AHC66" s="294"/>
      <c r="AHD66" s="294"/>
      <c r="AHE66" s="294"/>
      <c r="AHF66" s="294"/>
      <c r="AHG66" s="294"/>
      <c r="AHH66" s="294"/>
      <c r="AHI66" s="294"/>
      <c r="AHJ66" s="294"/>
      <c r="AHK66" s="294"/>
      <c r="AHL66" s="294">
        <v>-1560366.1</v>
      </c>
      <c r="AHM66" s="294"/>
      <c r="AHN66" s="294"/>
      <c r="AHO66" s="294"/>
      <c r="AHP66" s="294"/>
      <c r="AHQ66" s="294"/>
      <c r="AHR66" s="331"/>
      <c r="AHS66" s="294">
        <f t="shared" si="51"/>
        <v>-20971439.960000001</v>
      </c>
      <c r="AHT66" s="269" t="b">
        <f t="shared" si="52"/>
        <v>1</v>
      </c>
      <c r="AHU66" s="269" t="s">
        <v>6278</v>
      </c>
      <c r="AHV66" s="269" t="s">
        <v>6075</v>
      </c>
      <c r="AHW66" s="269" t="s">
        <v>6076</v>
      </c>
    </row>
    <row r="67" spans="1:907" ht="24.6" x14ac:dyDescent="0.7">
      <c r="A67" s="268" t="s">
        <v>6278</v>
      </c>
      <c r="B67" s="268" t="s">
        <v>6077</v>
      </c>
      <c r="C67" s="269" t="s">
        <v>6078</v>
      </c>
      <c r="D67" s="294"/>
      <c r="E67" s="294"/>
      <c r="F67" s="294"/>
      <c r="G67" s="294"/>
      <c r="H67" s="294"/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>
        <v>0</v>
      </c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294"/>
      <c r="EH67" s="294"/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294"/>
      <c r="FF67" s="294"/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294"/>
      <c r="GA67" s="294"/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294"/>
      <c r="GO67" s="294"/>
      <c r="GP67" s="294"/>
      <c r="GQ67" s="294"/>
      <c r="GR67" s="294"/>
      <c r="GS67" s="294"/>
      <c r="GT67" s="294"/>
      <c r="GU67" s="294"/>
      <c r="GV67" s="294"/>
      <c r="GW67" s="294"/>
      <c r="GX67" s="294"/>
      <c r="GY67" s="294"/>
      <c r="GZ67" s="294"/>
      <c r="HA67" s="294"/>
      <c r="HB67" s="294"/>
      <c r="HC67" s="294"/>
      <c r="HD67" s="294"/>
      <c r="HE67" s="294"/>
      <c r="HF67" s="294"/>
      <c r="HG67" s="294"/>
      <c r="HH67" s="294"/>
      <c r="HI67" s="294"/>
      <c r="HJ67" s="294"/>
      <c r="HK67" s="294"/>
      <c r="HL67" s="294"/>
      <c r="HM67" s="294"/>
      <c r="HN67" s="294"/>
      <c r="HO67" s="294"/>
      <c r="HP67" s="294"/>
      <c r="HQ67" s="294"/>
      <c r="HR67" s="294"/>
      <c r="HS67" s="294"/>
      <c r="HT67" s="294"/>
      <c r="HU67" s="294"/>
      <c r="HV67" s="294"/>
      <c r="HW67" s="294"/>
      <c r="HX67" s="294"/>
      <c r="HY67" s="294"/>
      <c r="HZ67" s="294"/>
      <c r="IA67" s="294"/>
      <c r="IB67" s="294"/>
      <c r="IC67" s="294"/>
      <c r="ID67" s="294"/>
      <c r="IE67" s="294"/>
      <c r="IF67" s="294"/>
      <c r="IG67" s="294"/>
      <c r="IH67" s="294"/>
      <c r="II67" s="294"/>
      <c r="IJ67" s="294"/>
      <c r="IK67" s="294"/>
      <c r="IL67" s="294"/>
      <c r="IM67" s="294"/>
      <c r="IN67" s="294"/>
      <c r="IO67" s="294"/>
      <c r="IP67" s="294"/>
      <c r="IQ67" s="294"/>
      <c r="IR67" s="294"/>
      <c r="IS67" s="294"/>
      <c r="IT67" s="294"/>
      <c r="IU67" s="294"/>
      <c r="IV67" s="294"/>
      <c r="IW67" s="294"/>
      <c r="IX67" s="294"/>
      <c r="IY67" s="294"/>
      <c r="IZ67" s="294"/>
      <c r="JA67" s="294"/>
      <c r="JB67" s="294"/>
      <c r="JC67" s="294"/>
      <c r="JD67" s="294"/>
      <c r="JE67" s="294"/>
      <c r="JF67" s="294"/>
      <c r="JG67" s="294"/>
      <c r="JH67" s="294"/>
      <c r="JI67" s="294"/>
      <c r="JJ67" s="294"/>
      <c r="JK67" s="294"/>
      <c r="JL67" s="294"/>
      <c r="JM67" s="294"/>
      <c r="JN67" s="294"/>
      <c r="JO67" s="294"/>
      <c r="JP67" s="294"/>
      <c r="JQ67" s="294"/>
      <c r="JR67" s="294"/>
      <c r="JS67" s="294">
        <v>-12940370.290000001</v>
      </c>
      <c r="JT67" s="294"/>
      <c r="JU67" s="294"/>
      <c r="JV67" s="294"/>
      <c r="JW67" s="294"/>
      <c r="JX67" s="294"/>
      <c r="JY67" s="294"/>
      <c r="JZ67" s="294"/>
      <c r="KA67" s="294"/>
      <c r="KB67" s="294"/>
      <c r="KC67" s="294"/>
      <c r="KD67" s="294"/>
      <c r="KE67" s="294"/>
      <c r="KF67" s="294"/>
      <c r="KG67" s="294"/>
      <c r="KH67" s="294"/>
      <c r="KI67" s="294"/>
      <c r="KJ67" s="294"/>
      <c r="KK67" s="294"/>
      <c r="KL67" s="294"/>
      <c r="KM67" s="294"/>
      <c r="KN67" s="294"/>
      <c r="KO67" s="294"/>
      <c r="KP67" s="294"/>
      <c r="KQ67" s="294"/>
      <c r="KR67" s="294"/>
      <c r="KS67" s="294"/>
      <c r="KT67" s="294"/>
      <c r="KU67" s="294"/>
      <c r="KV67" s="294"/>
      <c r="KW67" s="294"/>
      <c r="KX67" s="294"/>
      <c r="KY67" s="294"/>
      <c r="KZ67" s="294"/>
      <c r="LA67" s="294"/>
      <c r="LB67" s="294"/>
      <c r="LC67" s="294"/>
      <c r="LD67" s="294"/>
      <c r="LE67" s="294"/>
      <c r="LF67" s="294"/>
      <c r="LG67" s="294">
        <v>-434172</v>
      </c>
      <c r="LH67" s="294"/>
      <c r="LI67" s="294"/>
      <c r="LJ67" s="294"/>
      <c r="LK67" s="294"/>
      <c r="LL67" s="294"/>
      <c r="LM67" s="294"/>
      <c r="LN67" s="294"/>
      <c r="LO67" s="294"/>
      <c r="LP67" s="294"/>
      <c r="LQ67" s="294"/>
      <c r="LR67" s="294"/>
      <c r="LS67" s="294"/>
      <c r="LT67" s="294"/>
      <c r="LU67" s="294">
        <v>-62910</v>
      </c>
      <c r="LV67" s="294"/>
      <c r="LW67" s="294"/>
      <c r="LX67" s="294"/>
      <c r="LY67" s="294"/>
      <c r="LZ67" s="294"/>
      <c r="MA67" s="294"/>
      <c r="MB67" s="294"/>
      <c r="MC67" s="294"/>
      <c r="MD67" s="294"/>
      <c r="ME67" s="294"/>
      <c r="MF67" s="294"/>
      <c r="MG67" s="294"/>
      <c r="MH67" s="294"/>
      <c r="MI67" s="294"/>
      <c r="MJ67" s="294"/>
      <c r="MK67" s="294"/>
      <c r="ML67" s="294"/>
      <c r="MM67" s="294"/>
      <c r="MN67" s="294"/>
      <c r="MO67" s="294"/>
      <c r="MP67" s="294"/>
      <c r="MQ67" s="294"/>
      <c r="MR67" s="294"/>
      <c r="MS67" s="294"/>
      <c r="MT67" s="294"/>
      <c r="MU67" s="294"/>
      <c r="MV67" s="294"/>
      <c r="MW67" s="294"/>
      <c r="MX67" s="294"/>
      <c r="MY67" s="294"/>
      <c r="MZ67" s="294"/>
      <c r="NA67" s="294"/>
      <c r="NB67" s="294"/>
      <c r="NC67" s="294"/>
      <c r="ND67" s="294"/>
      <c r="NE67" s="294"/>
      <c r="NF67" s="294"/>
      <c r="NG67" s="294"/>
      <c r="NH67" s="294"/>
      <c r="NI67" s="294"/>
      <c r="NJ67" s="294"/>
      <c r="NK67" s="294"/>
      <c r="NL67" s="294"/>
      <c r="NM67" s="294"/>
      <c r="NN67" s="294"/>
      <c r="NO67" s="294"/>
      <c r="NP67" s="294"/>
      <c r="NQ67" s="294"/>
      <c r="NR67" s="294"/>
      <c r="NS67" s="294"/>
      <c r="NT67" s="294"/>
      <c r="NU67" s="294"/>
      <c r="NV67" s="294"/>
      <c r="NW67" s="294"/>
      <c r="NX67" s="294"/>
      <c r="NY67" s="294"/>
      <c r="NZ67" s="294"/>
      <c r="OA67" s="294"/>
      <c r="OB67" s="294"/>
      <c r="OC67" s="294"/>
      <c r="OD67" s="294"/>
      <c r="OE67" s="294"/>
      <c r="OF67" s="294"/>
      <c r="OG67" s="294"/>
      <c r="OH67" s="294"/>
      <c r="OI67" s="294"/>
      <c r="OJ67" s="294"/>
      <c r="OK67" s="294"/>
      <c r="OL67" s="294"/>
      <c r="OM67" s="294"/>
      <c r="ON67" s="294"/>
      <c r="OO67" s="294"/>
      <c r="OP67" s="294"/>
      <c r="OQ67" s="294"/>
      <c r="OR67" s="294"/>
      <c r="OS67" s="294"/>
      <c r="OT67" s="294"/>
      <c r="OU67" s="294"/>
      <c r="OV67" s="294"/>
      <c r="OW67" s="294"/>
      <c r="OX67" s="294"/>
      <c r="OY67" s="294"/>
      <c r="OZ67" s="294"/>
      <c r="PA67" s="294"/>
      <c r="PB67" s="294"/>
      <c r="PC67" s="294"/>
      <c r="PD67" s="294"/>
      <c r="PE67" s="294"/>
      <c r="PF67" s="294"/>
      <c r="PG67" s="294"/>
      <c r="PH67" s="294"/>
      <c r="PI67" s="294"/>
      <c r="PJ67" s="294"/>
      <c r="PK67" s="294"/>
      <c r="PL67" s="294"/>
      <c r="PM67" s="294"/>
      <c r="PN67" s="294"/>
      <c r="PO67" s="294"/>
      <c r="PP67" s="294"/>
      <c r="PQ67" s="294"/>
      <c r="PR67" s="294"/>
      <c r="PS67" s="294"/>
      <c r="PT67" s="294"/>
      <c r="PU67" s="294"/>
      <c r="PV67" s="294"/>
      <c r="PW67" s="294"/>
      <c r="PX67" s="294"/>
      <c r="PY67" s="294"/>
      <c r="PZ67" s="294"/>
      <c r="QA67" s="294"/>
      <c r="QB67" s="294"/>
      <c r="QC67" s="294"/>
      <c r="QD67" s="294"/>
      <c r="QE67" s="294"/>
      <c r="QF67" s="294"/>
      <c r="QG67" s="294"/>
      <c r="QH67" s="294"/>
      <c r="QI67" s="294"/>
      <c r="QJ67" s="294"/>
      <c r="QK67" s="294"/>
      <c r="QL67" s="294"/>
      <c r="QM67" s="294"/>
      <c r="QN67" s="294"/>
      <c r="QO67" s="294"/>
      <c r="QP67" s="294"/>
      <c r="QQ67" s="294"/>
      <c r="QR67" s="294"/>
      <c r="QS67" s="294"/>
      <c r="QT67" s="294"/>
      <c r="QU67" s="294"/>
      <c r="QV67" s="294"/>
      <c r="QW67" s="294"/>
      <c r="QX67" s="294"/>
      <c r="QY67" s="294"/>
      <c r="QZ67" s="294"/>
      <c r="RA67" s="294"/>
      <c r="RB67" s="294"/>
      <c r="RC67" s="294"/>
      <c r="RD67" s="294"/>
      <c r="RE67" s="294"/>
      <c r="RF67" s="294"/>
      <c r="RG67" s="294"/>
      <c r="RH67" s="294"/>
      <c r="RI67" s="294"/>
      <c r="RJ67" s="294"/>
      <c r="RK67" s="294"/>
      <c r="RL67" s="294"/>
      <c r="RM67" s="294"/>
      <c r="RN67" s="294"/>
      <c r="RO67" s="294"/>
      <c r="RP67" s="294"/>
      <c r="RQ67" s="294"/>
      <c r="RR67" s="294"/>
      <c r="RS67" s="294"/>
      <c r="RT67" s="294"/>
      <c r="RU67" s="294"/>
      <c r="RV67" s="294"/>
      <c r="RW67" s="294"/>
      <c r="RX67" s="294"/>
      <c r="RY67" s="294"/>
      <c r="RZ67" s="294"/>
      <c r="SA67" s="294"/>
      <c r="SB67" s="294"/>
      <c r="SC67" s="294"/>
      <c r="SD67" s="294"/>
      <c r="SE67" s="294"/>
      <c r="SF67" s="294"/>
      <c r="SG67" s="294"/>
      <c r="SH67" s="294"/>
      <c r="SI67" s="294"/>
      <c r="SJ67" s="294"/>
      <c r="SK67" s="294"/>
      <c r="SL67" s="294"/>
      <c r="SM67" s="294"/>
      <c r="SN67" s="294"/>
      <c r="SO67" s="294"/>
      <c r="SP67" s="294"/>
      <c r="SQ67" s="294"/>
      <c r="SR67" s="294"/>
      <c r="SS67" s="294"/>
      <c r="ST67" s="294"/>
      <c r="SU67" s="294"/>
      <c r="SV67" s="294"/>
      <c r="SW67" s="294"/>
      <c r="SX67" s="294"/>
      <c r="SY67" s="294"/>
      <c r="SZ67" s="294"/>
      <c r="TA67" s="294"/>
      <c r="TB67" s="294"/>
      <c r="TC67" s="294"/>
      <c r="TD67" s="294"/>
      <c r="TE67" s="294"/>
      <c r="TF67" s="294"/>
      <c r="TG67" s="294"/>
      <c r="TH67" s="294"/>
      <c r="TI67" s="294"/>
      <c r="TJ67" s="294"/>
      <c r="TK67" s="294"/>
      <c r="TL67" s="294"/>
      <c r="TM67" s="294"/>
      <c r="TN67" s="294"/>
      <c r="TO67" s="294"/>
      <c r="TP67" s="294"/>
      <c r="TQ67" s="294"/>
      <c r="TR67" s="294"/>
      <c r="TS67" s="294"/>
      <c r="TT67" s="294"/>
      <c r="TU67" s="294"/>
      <c r="TV67" s="294"/>
      <c r="TW67" s="294"/>
      <c r="TX67" s="294"/>
      <c r="TY67" s="294"/>
      <c r="TZ67" s="294"/>
      <c r="UA67" s="294"/>
      <c r="UB67" s="294"/>
      <c r="UC67" s="294"/>
      <c r="UD67" s="294"/>
      <c r="UE67" s="294"/>
      <c r="UF67" s="294"/>
      <c r="UG67" s="294"/>
      <c r="UH67" s="294"/>
      <c r="UI67" s="294"/>
      <c r="UJ67" s="294"/>
      <c r="UK67" s="294"/>
      <c r="UL67" s="294"/>
      <c r="UM67" s="294"/>
      <c r="UN67" s="294"/>
      <c r="UO67" s="294"/>
      <c r="UP67" s="294"/>
      <c r="UQ67" s="294"/>
      <c r="UR67" s="294"/>
      <c r="US67" s="294"/>
      <c r="UT67" s="294"/>
      <c r="UU67" s="294"/>
      <c r="UV67" s="294"/>
      <c r="UW67" s="294"/>
      <c r="UX67" s="294"/>
      <c r="UY67" s="294"/>
      <c r="UZ67" s="294"/>
      <c r="VA67" s="294"/>
      <c r="VB67" s="294"/>
      <c r="VC67" s="294"/>
      <c r="VD67" s="294"/>
      <c r="VE67" s="294"/>
      <c r="VF67" s="294"/>
      <c r="VG67" s="294"/>
      <c r="VH67" s="294"/>
      <c r="VI67" s="294"/>
      <c r="VJ67" s="294"/>
      <c r="VK67" s="294"/>
      <c r="VL67" s="294"/>
      <c r="VM67" s="294"/>
      <c r="VN67" s="294"/>
      <c r="VO67" s="294"/>
      <c r="VP67" s="294"/>
      <c r="VQ67" s="294"/>
      <c r="VR67" s="294"/>
      <c r="VS67" s="294"/>
      <c r="VT67" s="294"/>
      <c r="VU67" s="294"/>
      <c r="VV67" s="294"/>
      <c r="VW67" s="294"/>
      <c r="VX67" s="294"/>
      <c r="VY67" s="294"/>
      <c r="VZ67" s="294"/>
      <c r="WA67" s="294"/>
      <c r="WB67" s="294"/>
      <c r="WC67" s="294"/>
      <c r="WD67" s="294"/>
      <c r="WE67" s="294"/>
      <c r="WF67" s="294"/>
      <c r="WG67" s="294"/>
      <c r="WH67" s="294"/>
      <c r="WI67" s="294"/>
      <c r="WJ67" s="294"/>
      <c r="WK67" s="294"/>
      <c r="WL67" s="294"/>
      <c r="WM67" s="294"/>
      <c r="WN67" s="294"/>
      <c r="WO67" s="294"/>
      <c r="WP67" s="294"/>
      <c r="WQ67" s="294"/>
      <c r="WR67" s="294"/>
      <c r="WS67" s="294"/>
      <c r="WT67" s="294"/>
      <c r="WU67" s="294"/>
      <c r="WV67" s="294"/>
      <c r="WW67" s="294"/>
      <c r="WX67" s="294"/>
      <c r="WY67" s="294"/>
      <c r="WZ67" s="294"/>
      <c r="XA67" s="294"/>
      <c r="XB67" s="294"/>
      <c r="XC67" s="294"/>
      <c r="XD67" s="294"/>
      <c r="XE67" s="294"/>
      <c r="XF67" s="294"/>
      <c r="XG67" s="294"/>
      <c r="XH67" s="294"/>
      <c r="XI67" s="294"/>
      <c r="XJ67" s="294"/>
      <c r="XK67" s="294"/>
      <c r="XL67" s="294"/>
      <c r="XM67" s="294"/>
      <c r="XN67" s="294"/>
      <c r="XO67" s="294"/>
      <c r="XP67" s="294"/>
      <c r="XQ67" s="294"/>
      <c r="XR67" s="294"/>
      <c r="XS67" s="294"/>
      <c r="XT67" s="294"/>
      <c r="XU67" s="294"/>
      <c r="XV67" s="294"/>
      <c r="XW67" s="294"/>
      <c r="XX67" s="294"/>
      <c r="XY67" s="294"/>
      <c r="XZ67" s="294"/>
      <c r="YA67" s="294"/>
      <c r="YB67" s="294"/>
      <c r="YC67" s="294"/>
      <c r="YD67" s="294"/>
      <c r="YE67" s="294"/>
      <c r="YF67" s="294"/>
      <c r="YG67" s="294"/>
      <c r="YH67" s="294"/>
      <c r="YI67" s="294"/>
      <c r="YJ67" s="294"/>
      <c r="YK67" s="294"/>
      <c r="YL67" s="294"/>
      <c r="YM67" s="294"/>
      <c r="YN67" s="294"/>
      <c r="YO67" s="294"/>
      <c r="YP67" s="294"/>
      <c r="YQ67" s="294"/>
      <c r="YR67" s="294"/>
      <c r="YS67" s="294"/>
      <c r="YT67" s="294"/>
      <c r="YU67" s="294"/>
      <c r="YV67" s="294"/>
      <c r="YW67" s="294"/>
      <c r="YX67" s="294"/>
      <c r="YY67" s="294"/>
      <c r="YZ67" s="294"/>
      <c r="ZA67" s="294"/>
      <c r="ZB67" s="294"/>
      <c r="ZC67" s="294"/>
      <c r="ZD67" s="294"/>
      <c r="ZE67" s="294"/>
      <c r="ZF67" s="294"/>
      <c r="ZG67" s="294"/>
      <c r="ZH67" s="294"/>
      <c r="ZI67" s="294"/>
      <c r="ZJ67" s="294"/>
      <c r="ZK67" s="294"/>
      <c r="ZL67" s="294"/>
      <c r="ZM67" s="294"/>
      <c r="ZN67" s="294"/>
      <c r="ZO67" s="294"/>
      <c r="ZP67" s="294"/>
      <c r="ZQ67" s="294"/>
      <c r="ZR67" s="294"/>
      <c r="ZS67" s="294"/>
      <c r="ZT67" s="294"/>
      <c r="ZU67" s="294"/>
      <c r="ZV67" s="294"/>
      <c r="ZW67" s="294"/>
      <c r="ZX67" s="294"/>
      <c r="ZY67" s="294"/>
      <c r="ZZ67" s="294"/>
      <c r="AAA67" s="294"/>
      <c r="AAB67" s="294"/>
      <c r="AAC67" s="294"/>
      <c r="AAD67" s="294"/>
      <c r="AAE67" s="294"/>
      <c r="AAF67" s="294"/>
      <c r="AAG67" s="294"/>
      <c r="AAH67" s="294"/>
      <c r="AAI67" s="294"/>
      <c r="AAJ67" s="294"/>
      <c r="AAK67" s="294"/>
      <c r="AAL67" s="294"/>
      <c r="AAM67" s="294"/>
      <c r="AAN67" s="294"/>
      <c r="AAO67" s="294"/>
      <c r="AAP67" s="294"/>
      <c r="AAQ67" s="294"/>
      <c r="AAR67" s="294"/>
      <c r="AAS67" s="294"/>
      <c r="AAT67" s="294"/>
      <c r="AAU67" s="294"/>
      <c r="AAV67" s="294"/>
      <c r="AAW67" s="294"/>
      <c r="AAX67" s="294"/>
      <c r="AAY67" s="294"/>
      <c r="AAZ67" s="294"/>
      <c r="ABA67" s="294"/>
      <c r="ABB67" s="294"/>
      <c r="ABC67" s="294">
        <v>0</v>
      </c>
      <c r="ABD67" s="294"/>
      <c r="ABE67" s="294"/>
      <c r="ABF67" s="294"/>
      <c r="ABG67" s="294"/>
      <c r="ABH67" s="294"/>
      <c r="ABI67" s="294"/>
      <c r="ABJ67" s="294"/>
      <c r="ABK67" s="294">
        <v>0</v>
      </c>
      <c r="ABL67" s="294"/>
      <c r="ABM67" s="294"/>
      <c r="ABN67" s="294"/>
      <c r="ABO67" s="294"/>
      <c r="ABP67" s="294"/>
      <c r="ABQ67" s="294"/>
      <c r="ABR67" s="294"/>
      <c r="ABS67" s="294"/>
      <c r="ABT67" s="294"/>
      <c r="ABU67" s="294"/>
      <c r="ABV67" s="294"/>
      <c r="ABW67" s="294"/>
      <c r="ABX67" s="294"/>
      <c r="ABY67" s="294"/>
      <c r="ABZ67" s="294"/>
      <c r="ACA67" s="294"/>
      <c r="ACB67" s="294"/>
      <c r="ACC67" s="294"/>
      <c r="ACD67" s="294"/>
      <c r="ACE67" s="294"/>
      <c r="ACF67" s="294"/>
      <c r="ACG67" s="294"/>
      <c r="ACH67" s="294"/>
      <c r="ACI67" s="294"/>
      <c r="ACJ67" s="294"/>
      <c r="ACK67" s="294"/>
      <c r="ACL67" s="294"/>
      <c r="ACM67" s="294"/>
      <c r="ACN67" s="294"/>
      <c r="ACO67" s="294"/>
      <c r="ACP67" s="294"/>
      <c r="ACQ67" s="294"/>
      <c r="ACR67" s="294"/>
      <c r="ACS67" s="294"/>
      <c r="ACT67" s="294"/>
      <c r="ACU67" s="294"/>
      <c r="ACV67" s="294"/>
      <c r="ACW67" s="294"/>
      <c r="ACX67" s="294"/>
      <c r="ACY67" s="294"/>
      <c r="ACZ67" s="294"/>
      <c r="ADA67" s="294"/>
      <c r="ADB67" s="294"/>
      <c r="ADC67" s="294"/>
      <c r="ADD67" s="294"/>
      <c r="ADE67" s="294"/>
      <c r="ADF67" s="294"/>
      <c r="ADG67" s="294"/>
      <c r="ADH67" s="294"/>
      <c r="ADI67" s="294"/>
      <c r="ADJ67" s="294"/>
      <c r="ADK67" s="294"/>
      <c r="ADL67" s="294"/>
      <c r="ADM67" s="294"/>
      <c r="ADN67" s="294"/>
      <c r="ADO67" s="294"/>
      <c r="ADP67" s="294"/>
      <c r="ADQ67" s="294"/>
      <c r="ADR67" s="294"/>
      <c r="ADS67" s="294"/>
      <c r="ADT67" s="294"/>
      <c r="ADU67" s="294"/>
      <c r="ADV67" s="294"/>
      <c r="ADW67" s="294"/>
      <c r="ADX67" s="294"/>
      <c r="ADY67" s="294"/>
      <c r="ADZ67" s="294"/>
      <c r="AEA67" s="294"/>
      <c r="AEB67" s="294"/>
      <c r="AEC67" s="294"/>
      <c r="AED67" s="294"/>
      <c r="AEE67" s="294"/>
      <c r="AEF67" s="294"/>
      <c r="AEG67" s="294"/>
      <c r="AEH67" s="294"/>
      <c r="AEI67" s="294"/>
      <c r="AEJ67" s="294"/>
      <c r="AEK67" s="294"/>
      <c r="AEL67" s="294"/>
      <c r="AEM67" s="294"/>
      <c r="AEN67" s="294"/>
      <c r="AEO67" s="294"/>
      <c r="AEP67" s="294"/>
      <c r="AEQ67" s="294"/>
      <c r="AER67" s="294"/>
      <c r="AES67" s="294"/>
      <c r="AET67" s="294"/>
      <c r="AEU67" s="294"/>
      <c r="AEV67" s="294"/>
      <c r="AEW67" s="294"/>
      <c r="AEX67" s="294"/>
      <c r="AEY67" s="294"/>
      <c r="AEZ67" s="294"/>
      <c r="AFA67" s="294"/>
      <c r="AFB67" s="294"/>
      <c r="AFC67" s="294"/>
      <c r="AFD67" s="294"/>
      <c r="AFE67" s="294"/>
      <c r="AFF67" s="294"/>
      <c r="AFG67" s="294"/>
      <c r="AFH67" s="294"/>
      <c r="AFI67" s="294"/>
      <c r="AFJ67" s="294"/>
      <c r="AFK67" s="294"/>
      <c r="AFL67" s="294"/>
      <c r="AFM67" s="294"/>
      <c r="AFN67" s="294"/>
      <c r="AFO67" s="294"/>
      <c r="AFP67" s="294"/>
      <c r="AFQ67" s="294"/>
      <c r="AFR67" s="294"/>
      <c r="AFS67" s="294"/>
      <c r="AFT67" s="294"/>
      <c r="AFU67" s="294"/>
      <c r="AFV67" s="294"/>
      <c r="AFW67" s="294"/>
      <c r="AFX67" s="294"/>
      <c r="AFY67" s="294"/>
      <c r="AFZ67" s="294"/>
      <c r="AGA67" s="294"/>
      <c r="AGB67" s="294"/>
      <c r="AGC67" s="294"/>
      <c r="AGD67" s="294"/>
      <c r="AGE67" s="294"/>
      <c r="AGF67" s="294"/>
      <c r="AGG67" s="294"/>
      <c r="AGH67" s="294"/>
      <c r="AGI67" s="294"/>
      <c r="AGJ67" s="294"/>
      <c r="AGK67" s="294"/>
      <c r="AGL67" s="294"/>
      <c r="AGM67" s="294">
        <v>-199126.8</v>
      </c>
      <c r="AGN67" s="294"/>
      <c r="AGO67" s="294"/>
      <c r="AGP67" s="294"/>
      <c r="AGQ67" s="294"/>
      <c r="AGR67" s="294"/>
      <c r="AGS67" s="294"/>
      <c r="AGT67" s="294"/>
      <c r="AGU67" s="294">
        <v>-4641695</v>
      </c>
      <c r="AGV67" s="294"/>
      <c r="AGW67" s="294"/>
      <c r="AGX67" s="294"/>
      <c r="AGY67" s="294"/>
      <c r="AGZ67" s="294"/>
      <c r="AHA67" s="294"/>
      <c r="AHB67" s="294"/>
      <c r="AHC67" s="294"/>
      <c r="AHD67" s="294"/>
      <c r="AHE67" s="294"/>
      <c r="AHF67" s="294"/>
      <c r="AHG67" s="294"/>
      <c r="AHH67" s="294"/>
      <c r="AHI67" s="294"/>
      <c r="AHJ67" s="294"/>
      <c r="AHK67" s="294"/>
      <c r="AHL67" s="294">
        <v>-1299200</v>
      </c>
      <c r="AHM67" s="294"/>
      <c r="AHN67" s="294"/>
      <c r="AHO67" s="294"/>
      <c r="AHP67" s="294"/>
      <c r="AHQ67" s="294"/>
      <c r="AHR67" s="331"/>
      <c r="AHS67" s="294">
        <f t="shared" si="51"/>
        <v>-19577474.090000004</v>
      </c>
      <c r="AHT67" s="269" t="b">
        <f t="shared" si="52"/>
        <v>1</v>
      </c>
      <c r="AHU67" s="269" t="s">
        <v>6278</v>
      </c>
      <c r="AHV67" s="269" t="s">
        <v>6077</v>
      </c>
      <c r="AHW67" s="269" t="s">
        <v>6078</v>
      </c>
    </row>
    <row r="68" spans="1:907" ht="24.6" x14ac:dyDescent="0.7">
      <c r="A68" s="268" t="s">
        <v>6278</v>
      </c>
      <c r="B68" s="268" t="s">
        <v>6079</v>
      </c>
      <c r="C68" s="269" t="s">
        <v>6080</v>
      </c>
      <c r="D68" s="294">
        <v>0</v>
      </c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>
        <v>-1746131.6</v>
      </c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>
        <v>0</v>
      </c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294"/>
      <c r="DQ68" s="294"/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294"/>
      <c r="EH68" s="294"/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294"/>
      <c r="EU68" s="294"/>
      <c r="EV68" s="294"/>
      <c r="EW68" s="294"/>
      <c r="EX68" s="294"/>
      <c r="EY68" s="294"/>
      <c r="EZ68" s="294"/>
      <c r="FA68" s="294"/>
      <c r="FB68" s="294"/>
      <c r="FC68" s="294"/>
      <c r="FD68" s="294"/>
      <c r="FE68" s="294"/>
      <c r="FF68" s="294"/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294">
        <v>-3450.4</v>
      </c>
      <c r="FR68" s="294"/>
      <c r="FS68" s="294"/>
      <c r="FT68" s="294"/>
      <c r="FU68" s="294"/>
      <c r="FV68" s="294"/>
      <c r="FW68" s="294"/>
      <c r="FX68" s="294"/>
      <c r="FY68" s="294"/>
      <c r="FZ68" s="294"/>
      <c r="GA68" s="294"/>
      <c r="GB68" s="294"/>
      <c r="GC68" s="294"/>
      <c r="GD68" s="294"/>
      <c r="GE68" s="294">
        <v>-1554651</v>
      </c>
      <c r="GF68" s="294"/>
      <c r="GG68" s="294"/>
      <c r="GH68" s="294"/>
      <c r="GI68" s="294"/>
      <c r="GJ68" s="294"/>
      <c r="GK68" s="294"/>
      <c r="GL68" s="294"/>
      <c r="GM68" s="294"/>
      <c r="GN68" s="294"/>
      <c r="GO68" s="294"/>
      <c r="GP68" s="294"/>
      <c r="GQ68" s="294"/>
      <c r="GR68" s="294"/>
      <c r="GS68" s="294"/>
      <c r="GT68" s="294"/>
      <c r="GU68" s="294"/>
      <c r="GV68" s="294"/>
      <c r="GW68" s="294"/>
      <c r="GX68" s="294"/>
      <c r="GY68" s="294"/>
      <c r="GZ68" s="294"/>
      <c r="HA68" s="294"/>
      <c r="HB68" s="294"/>
      <c r="HC68" s="294"/>
      <c r="HD68" s="294"/>
      <c r="HE68" s="294"/>
      <c r="HF68" s="294"/>
      <c r="HG68" s="294"/>
      <c r="HH68" s="294"/>
      <c r="HI68" s="294"/>
      <c r="HJ68" s="294"/>
      <c r="HK68" s="294"/>
      <c r="HL68" s="294"/>
      <c r="HM68" s="294"/>
      <c r="HN68" s="294"/>
      <c r="HO68" s="294"/>
      <c r="HP68" s="294"/>
      <c r="HQ68" s="294"/>
      <c r="HR68" s="294"/>
      <c r="HS68" s="294"/>
      <c r="HT68" s="294"/>
      <c r="HU68" s="294"/>
      <c r="HV68" s="294"/>
      <c r="HW68" s="294"/>
      <c r="HX68" s="294"/>
      <c r="HY68" s="294"/>
      <c r="HZ68" s="294"/>
      <c r="IA68" s="294"/>
      <c r="IB68" s="294"/>
      <c r="IC68" s="294"/>
      <c r="ID68" s="294"/>
      <c r="IE68" s="294"/>
      <c r="IF68" s="294"/>
      <c r="IG68" s="294"/>
      <c r="IH68" s="294"/>
      <c r="II68" s="294"/>
      <c r="IJ68" s="294"/>
      <c r="IK68" s="294"/>
      <c r="IL68" s="294"/>
      <c r="IM68" s="294"/>
      <c r="IN68" s="294"/>
      <c r="IO68" s="294"/>
      <c r="IP68" s="294"/>
      <c r="IQ68" s="294"/>
      <c r="IR68" s="294"/>
      <c r="IS68" s="294"/>
      <c r="IT68" s="294"/>
      <c r="IU68" s="294"/>
      <c r="IV68" s="294"/>
      <c r="IW68" s="294"/>
      <c r="IX68" s="294"/>
      <c r="IY68" s="294"/>
      <c r="IZ68" s="294"/>
      <c r="JA68" s="294"/>
      <c r="JB68" s="294"/>
      <c r="JC68" s="294"/>
      <c r="JD68" s="294"/>
      <c r="JE68" s="294"/>
      <c r="JF68" s="294"/>
      <c r="JG68" s="294"/>
      <c r="JH68" s="294"/>
      <c r="JI68" s="294"/>
      <c r="JJ68" s="294"/>
      <c r="JK68" s="294"/>
      <c r="JL68" s="294"/>
      <c r="JM68" s="294">
        <v>-42800</v>
      </c>
      <c r="JN68" s="294"/>
      <c r="JO68" s="294"/>
      <c r="JP68" s="294"/>
      <c r="JQ68" s="294"/>
      <c r="JR68" s="294"/>
      <c r="JS68" s="294"/>
      <c r="JT68" s="294"/>
      <c r="JU68" s="294"/>
      <c r="JV68" s="294"/>
      <c r="JW68" s="294"/>
      <c r="JX68" s="294"/>
      <c r="JY68" s="294"/>
      <c r="JZ68" s="294"/>
      <c r="KA68" s="294"/>
      <c r="KB68" s="294"/>
      <c r="KC68" s="294"/>
      <c r="KD68" s="294"/>
      <c r="KE68" s="294"/>
      <c r="KF68" s="294"/>
      <c r="KG68" s="294"/>
      <c r="KH68" s="294">
        <v>-3952290.38</v>
      </c>
      <c r="KI68" s="294"/>
      <c r="KJ68" s="294"/>
      <c r="KK68" s="294"/>
      <c r="KL68" s="294"/>
      <c r="KM68" s="294"/>
      <c r="KN68" s="294"/>
      <c r="KO68" s="294"/>
      <c r="KP68" s="294"/>
      <c r="KQ68" s="294"/>
      <c r="KR68" s="294"/>
      <c r="KS68" s="294"/>
      <c r="KT68" s="294"/>
      <c r="KU68" s="294"/>
      <c r="KV68" s="294"/>
      <c r="KW68" s="294"/>
      <c r="KX68" s="294"/>
      <c r="KY68" s="294"/>
      <c r="KZ68" s="294"/>
      <c r="LA68" s="294"/>
      <c r="LB68" s="294"/>
      <c r="LC68" s="294"/>
      <c r="LD68" s="294"/>
      <c r="LE68" s="294"/>
      <c r="LF68" s="294"/>
      <c r="LG68" s="294"/>
      <c r="LH68" s="294"/>
      <c r="LI68" s="294"/>
      <c r="LJ68" s="294"/>
      <c r="LK68" s="294"/>
      <c r="LL68" s="294"/>
      <c r="LM68" s="294"/>
      <c r="LN68" s="294"/>
      <c r="LO68" s="294"/>
      <c r="LP68" s="294"/>
      <c r="LQ68" s="294"/>
      <c r="LR68" s="294"/>
      <c r="LS68" s="294"/>
      <c r="LT68" s="294"/>
      <c r="LU68" s="294"/>
      <c r="LV68" s="294"/>
      <c r="LW68" s="294"/>
      <c r="LX68" s="294"/>
      <c r="LY68" s="294"/>
      <c r="LZ68" s="294"/>
      <c r="MA68" s="294"/>
      <c r="MB68" s="294"/>
      <c r="MC68" s="294"/>
      <c r="MD68" s="294"/>
      <c r="ME68" s="294"/>
      <c r="MF68" s="294"/>
      <c r="MG68" s="294"/>
      <c r="MH68" s="294"/>
      <c r="MI68" s="294"/>
      <c r="MJ68" s="294"/>
      <c r="MK68" s="294"/>
      <c r="ML68" s="294"/>
      <c r="MM68" s="294"/>
      <c r="MN68" s="294"/>
      <c r="MO68" s="294"/>
      <c r="MP68" s="294"/>
      <c r="MQ68" s="294"/>
      <c r="MR68" s="294"/>
      <c r="MS68" s="294"/>
      <c r="MT68" s="294"/>
      <c r="MU68" s="294"/>
      <c r="MV68" s="294"/>
      <c r="MW68" s="294"/>
      <c r="MX68" s="294"/>
      <c r="MY68" s="294"/>
      <c r="MZ68" s="294"/>
      <c r="NA68" s="294"/>
      <c r="NB68" s="294"/>
      <c r="NC68" s="294"/>
      <c r="ND68" s="294"/>
      <c r="NE68" s="294"/>
      <c r="NF68" s="294"/>
      <c r="NG68" s="294"/>
      <c r="NH68" s="294"/>
      <c r="NI68" s="294"/>
      <c r="NJ68" s="294"/>
      <c r="NK68" s="294"/>
      <c r="NL68" s="294"/>
      <c r="NM68" s="294"/>
      <c r="NN68" s="294"/>
      <c r="NO68" s="294"/>
      <c r="NP68" s="294"/>
      <c r="NQ68" s="294"/>
      <c r="NR68" s="294"/>
      <c r="NS68" s="294"/>
      <c r="NT68" s="294">
        <v>-50000</v>
      </c>
      <c r="NU68" s="294"/>
      <c r="NV68" s="294"/>
      <c r="NW68" s="294"/>
      <c r="NX68" s="294"/>
      <c r="NY68" s="294"/>
      <c r="NZ68" s="294"/>
      <c r="OA68" s="294"/>
      <c r="OB68" s="294"/>
      <c r="OC68" s="294"/>
      <c r="OD68" s="294"/>
      <c r="OE68" s="294"/>
      <c r="OF68" s="294"/>
      <c r="OG68" s="294"/>
      <c r="OH68" s="294"/>
      <c r="OI68" s="294"/>
      <c r="OJ68" s="294"/>
      <c r="OK68" s="294"/>
      <c r="OL68" s="294"/>
      <c r="OM68" s="294">
        <v>-15155841.9</v>
      </c>
      <c r="ON68" s="294"/>
      <c r="OO68" s="294"/>
      <c r="OP68" s="294"/>
      <c r="OQ68" s="294"/>
      <c r="OR68" s="294"/>
      <c r="OS68" s="294"/>
      <c r="OT68" s="294"/>
      <c r="OU68" s="294"/>
      <c r="OV68" s="294"/>
      <c r="OW68" s="294"/>
      <c r="OX68" s="294"/>
      <c r="OY68" s="294"/>
      <c r="OZ68" s="294"/>
      <c r="PA68" s="294"/>
      <c r="PB68" s="294"/>
      <c r="PC68" s="294"/>
      <c r="PD68" s="294"/>
      <c r="PE68" s="294"/>
      <c r="PF68" s="294"/>
      <c r="PG68" s="294"/>
      <c r="PH68" s="294"/>
      <c r="PI68" s="294"/>
      <c r="PJ68" s="294"/>
      <c r="PK68" s="294"/>
      <c r="PL68" s="294"/>
      <c r="PM68" s="294"/>
      <c r="PN68" s="294"/>
      <c r="PO68" s="294"/>
      <c r="PP68" s="294"/>
      <c r="PQ68" s="294"/>
      <c r="PR68" s="294"/>
      <c r="PS68" s="294"/>
      <c r="PT68" s="294"/>
      <c r="PU68" s="294"/>
      <c r="PV68" s="294"/>
      <c r="PW68" s="294"/>
      <c r="PX68" s="294"/>
      <c r="PY68" s="294"/>
      <c r="PZ68" s="294"/>
      <c r="QA68" s="294"/>
      <c r="QB68" s="294"/>
      <c r="QC68" s="294"/>
      <c r="QD68" s="294"/>
      <c r="QE68" s="294"/>
      <c r="QF68" s="294"/>
      <c r="QG68" s="294"/>
      <c r="QH68" s="294"/>
      <c r="QI68" s="294"/>
      <c r="QJ68" s="294"/>
      <c r="QK68" s="294"/>
      <c r="QL68" s="294"/>
      <c r="QM68" s="294"/>
      <c r="QN68" s="294"/>
      <c r="QO68" s="294"/>
      <c r="QP68" s="294"/>
      <c r="QQ68" s="294"/>
      <c r="QR68" s="294"/>
      <c r="QS68" s="294"/>
      <c r="QT68" s="294"/>
      <c r="QU68" s="294"/>
      <c r="QV68" s="294"/>
      <c r="QW68" s="294"/>
      <c r="QX68" s="294"/>
      <c r="QY68" s="294"/>
      <c r="QZ68" s="294"/>
      <c r="RA68" s="294"/>
      <c r="RB68" s="294"/>
      <c r="RC68" s="294"/>
      <c r="RD68" s="294"/>
      <c r="RE68" s="294"/>
      <c r="RF68" s="294"/>
      <c r="RG68" s="294"/>
      <c r="RH68" s="294"/>
      <c r="RI68" s="294"/>
      <c r="RJ68" s="294"/>
      <c r="RK68" s="294"/>
      <c r="RL68" s="294"/>
      <c r="RM68" s="294"/>
      <c r="RN68" s="294"/>
      <c r="RO68" s="294"/>
      <c r="RP68" s="294"/>
      <c r="RQ68" s="294">
        <v>0</v>
      </c>
      <c r="RR68" s="294"/>
      <c r="RS68" s="294"/>
      <c r="RT68" s="294"/>
      <c r="RU68" s="294"/>
      <c r="RV68" s="294"/>
      <c r="RW68" s="294"/>
      <c r="RX68" s="294"/>
      <c r="RY68" s="294"/>
      <c r="RZ68" s="294"/>
      <c r="SA68" s="294"/>
      <c r="SB68" s="294"/>
      <c r="SC68" s="294"/>
      <c r="SD68" s="294"/>
      <c r="SE68" s="294"/>
      <c r="SF68" s="294"/>
      <c r="SG68" s="294"/>
      <c r="SH68" s="294"/>
      <c r="SI68" s="294"/>
      <c r="SJ68" s="294"/>
      <c r="SK68" s="294"/>
      <c r="SL68" s="294"/>
      <c r="SM68" s="294"/>
      <c r="SN68" s="294"/>
      <c r="SO68" s="294"/>
      <c r="SP68" s="294"/>
      <c r="SQ68" s="294"/>
      <c r="SR68" s="294"/>
      <c r="SS68" s="294"/>
      <c r="ST68" s="294"/>
      <c r="SU68" s="294"/>
      <c r="SV68" s="294"/>
      <c r="SW68" s="294"/>
      <c r="SX68" s="294"/>
      <c r="SY68" s="294"/>
      <c r="SZ68" s="294"/>
      <c r="TA68" s="294"/>
      <c r="TB68" s="294"/>
      <c r="TC68" s="294"/>
      <c r="TD68" s="294"/>
      <c r="TE68" s="294"/>
      <c r="TF68" s="294"/>
      <c r="TG68" s="294"/>
      <c r="TH68" s="294"/>
      <c r="TI68" s="294"/>
      <c r="TJ68" s="294"/>
      <c r="TK68" s="294"/>
      <c r="TL68" s="294"/>
      <c r="TM68" s="294"/>
      <c r="TN68" s="294"/>
      <c r="TO68" s="294"/>
      <c r="TP68" s="294"/>
      <c r="TQ68" s="294"/>
      <c r="TR68" s="294"/>
      <c r="TS68" s="294"/>
      <c r="TT68" s="294"/>
      <c r="TU68" s="294"/>
      <c r="TV68" s="294"/>
      <c r="TW68" s="294"/>
      <c r="TX68" s="294"/>
      <c r="TY68" s="294"/>
      <c r="TZ68" s="294"/>
      <c r="UA68" s="294"/>
      <c r="UB68" s="294"/>
      <c r="UC68" s="294"/>
      <c r="UD68" s="294"/>
      <c r="UE68" s="294"/>
      <c r="UF68" s="294"/>
      <c r="UG68" s="294"/>
      <c r="UH68" s="294"/>
      <c r="UI68" s="294"/>
      <c r="UJ68" s="294"/>
      <c r="UK68" s="294"/>
      <c r="UL68" s="294"/>
      <c r="UM68" s="294"/>
      <c r="UN68" s="294"/>
      <c r="UO68" s="294"/>
      <c r="UP68" s="294"/>
      <c r="UQ68" s="294"/>
      <c r="UR68" s="294"/>
      <c r="US68" s="294"/>
      <c r="UT68" s="294"/>
      <c r="UU68" s="294"/>
      <c r="UV68" s="294"/>
      <c r="UW68" s="294"/>
      <c r="UX68" s="294"/>
      <c r="UY68" s="294"/>
      <c r="UZ68" s="294"/>
      <c r="VA68" s="294"/>
      <c r="VB68" s="294"/>
      <c r="VC68" s="294"/>
      <c r="VD68" s="294"/>
      <c r="VE68" s="294"/>
      <c r="VF68" s="294"/>
      <c r="VG68" s="294"/>
      <c r="VH68" s="294"/>
      <c r="VI68" s="294"/>
      <c r="VJ68" s="294"/>
      <c r="VK68" s="294"/>
      <c r="VL68" s="294"/>
      <c r="VM68" s="294"/>
      <c r="VN68" s="294"/>
      <c r="VO68" s="294"/>
      <c r="VP68" s="294"/>
      <c r="VQ68" s="294"/>
      <c r="VR68" s="294"/>
      <c r="VS68" s="294"/>
      <c r="VT68" s="294"/>
      <c r="VU68" s="294"/>
      <c r="VV68" s="294"/>
      <c r="VW68" s="294"/>
      <c r="VX68" s="294"/>
      <c r="VY68" s="294"/>
      <c r="VZ68" s="294"/>
      <c r="WA68" s="294">
        <v>0</v>
      </c>
      <c r="WB68" s="294"/>
      <c r="WC68" s="294"/>
      <c r="WD68" s="294"/>
      <c r="WE68" s="294"/>
      <c r="WF68" s="294"/>
      <c r="WG68" s="294"/>
      <c r="WH68" s="294"/>
      <c r="WI68" s="294"/>
      <c r="WJ68" s="294"/>
      <c r="WK68" s="294"/>
      <c r="WL68" s="294"/>
      <c r="WM68" s="294"/>
      <c r="WN68" s="294"/>
      <c r="WO68" s="294"/>
      <c r="WP68" s="294"/>
      <c r="WQ68" s="294"/>
      <c r="WR68" s="294"/>
      <c r="WS68" s="294"/>
      <c r="WT68" s="294"/>
      <c r="WU68" s="294"/>
      <c r="WV68" s="294"/>
      <c r="WW68" s="294"/>
      <c r="WX68" s="294"/>
      <c r="WY68" s="294"/>
      <c r="WZ68" s="294"/>
      <c r="XA68" s="294"/>
      <c r="XB68" s="294"/>
      <c r="XC68" s="294"/>
      <c r="XD68" s="294"/>
      <c r="XE68" s="294"/>
      <c r="XF68" s="294"/>
      <c r="XG68" s="294"/>
      <c r="XH68" s="294"/>
      <c r="XI68" s="294"/>
      <c r="XJ68" s="294"/>
      <c r="XK68" s="294"/>
      <c r="XL68" s="294"/>
      <c r="XM68" s="294"/>
      <c r="XN68" s="294"/>
      <c r="XO68" s="294"/>
      <c r="XP68" s="294"/>
      <c r="XQ68" s="294"/>
      <c r="XR68" s="294"/>
      <c r="XS68" s="294"/>
      <c r="XT68" s="294"/>
      <c r="XU68" s="294"/>
      <c r="XV68" s="294"/>
      <c r="XW68" s="294"/>
      <c r="XX68" s="294"/>
      <c r="XY68" s="294"/>
      <c r="XZ68" s="294"/>
      <c r="YA68" s="294"/>
      <c r="YB68" s="294"/>
      <c r="YC68" s="294"/>
      <c r="YD68" s="294"/>
      <c r="YE68" s="294"/>
      <c r="YF68" s="294"/>
      <c r="YG68" s="294"/>
      <c r="YH68" s="294"/>
      <c r="YI68" s="294"/>
      <c r="YJ68" s="294"/>
      <c r="YK68" s="294"/>
      <c r="YL68" s="294"/>
      <c r="YM68" s="294"/>
      <c r="YN68" s="294"/>
      <c r="YO68" s="294"/>
      <c r="YP68" s="294"/>
      <c r="YQ68" s="294"/>
      <c r="YR68" s="294"/>
      <c r="YS68" s="294"/>
      <c r="YT68" s="294"/>
      <c r="YU68" s="294"/>
      <c r="YV68" s="294"/>
      <c r="YW68" s="294"/>
      <c r="YX68" s="294"/>
      <c r="YY68" s="294"/>
      <c r="YZ68" s="294"/>
      <c r="ZA68" s="294"/>
      <c r="ZB68" s="294"/>
      <c r="ZC68" s="294"/>
      <c r="ZD68" s="294"/>
      <c r="ZE68" s="294"/>
      <c r="ZF68" s="294"/>
      <c r="ZG68" s="294"/>
      <c r="ZH68" s="294"/>
      <c r="ZI68" s="294"/>
      <c r="ZJ68" s="294"/>
      <c r="ZK68" s="294"/>
      <c r="ZL68" s="294"/>
      <c r="ZM68" s="294"/>
      <c r="ZN68" s="294"/>
      <c r="ZO68" s="294"/>
      <c r="ZP68" s="294"/>
      <c r="ZQ68" s="294"/>
      <c r="ZR68" s="294"/>
      <c r="ZS68" s="294"/>
      <c r="ZT68" s="294"/>
      <c r="ZU68" s="294"/>
      <c r="ZV68" s="294"/>
      <c r="ZW68" s="294"/>
      <c r="ZX68" s="294"/>
      <c r="ZY68" s="294"/>
      <c r="ZZ68" s="294"/>
      <c r="AAA68" s="294"/>
      <c r="AAB68" s="294"/>
      <c r="AAC68" s="294"/>
      <c r="AAD68" s="294"/>
      <c r="AAE68" s="294"/>
      <c r="AAF68" s="294"/>
      <c r="AAG68" s="294"/>
      <c r="AAH68" s="294"/>
      <c r="AAI68" s="294"/>
      <c r="AAJ68" s="294"/>
      <c r="AAK68" s="294"/>
      <c r="AAL68" s="294"/>
      <c r="AAM68" s="294"/>
      <c r="AAN68" s="294"/>
      <c r="AAO68" s="294"/>
      <c r="AAP68" s="294"/>
      <c r="AAQ68" s="294"/>
      <c r="AAR68" s="294"/>
      <c r="AAS68" s="294"/>
      <c r="AAT68" s="294"/>
      <c r="AAU68" s="294"/>
      <c r="AAV68" s="294"/>
      <c r="AAW68" s="294"/>
      <c r="AAX68" s="294"/>
      <c r="AAY68" s="294"/>
      <c r="AAZ68" s="294"/>
      <c r="ABA68" s="294"/>
      <c r="ABB68" s="294"/>
      <c r="ABC68" s="294">
        <v>0</v>
      </c>
      <c r="ABD68" s="294"/>
      <c r="ABE68" s="294"/>
      <c r="ABF68" s="294"/>
      <c r="ABG68" s="294"/>
      <c r="ABH68" s="294"/>
      <c r="ABI68" s="294"/>
      <c r="ABJ68" s="294"/>
      <c r="ABK68" s="294">
        <v>0</v>
      </c>
      <c r="ABL68" s="294"/>
      <c r="ABM68" s="294"/>
      <c r="ABN68" s="294"/>
      <c r="ABO68" s="294"/>
      <c r="ABP68" s="294"/>
      <c r="ABQ68" s="294"/>
      <c r="ABR68" s="294"/>
      <c r="ABS68" s="294"/>
      <c r="ABT68" s="294"/>
      <c r="ABU68" s="294"/>
      <c r="ABV68" s="294"/>
      <c r="ABW68" s="294"/>
      <c r="ABX68" s="294"/>
      <c r="ABY68" s="294"/>
      <c r="ABZ68" s="294"/>
      <c r="ACA68" s="294"/>
      <c r="ACB68" s="294"/>
      <c r="ACC68" s="294"/>
      <c r="ACD68" s="294"/>
      <c r="ACE68" s="294"/>
      <c r="ACF68" s="294"/>
      <c r="ACG68" s="294"/>
      <c r="ACH68" s="294"/>
      <c r="ACI68" s="294"/>
      <c r="ACJ68" s="294"/>
      <c r="ACK68" s="294"/>
      <c r="ACL68" s="294"/>
      <c r="ACM68" s="294"/>
      <c r="ACN68" s="294"/>
      <c r="ACO68" s="294"/>
      <c r="ACP68" s="294"/>
      <c r="ACQ68" s="294"/>
      <c r="ACR68" s="294"/>
      <c r="ACS68" s="294"/>
      <c r="ACT68" s="294"/>
      <c r="ACU68" s="294"/>
      <c r="ACV68" s="294"/>
      <c r="ACW68" s="294"/>
      <c r="ACX68" s="294"/>
      <c r="ACY68" s="294"/>
      <c r="ACZ68" s="294"/>
      <c r="ADA68" s="294"/>
      <c r="ADB68" s="294"/>
      <c r="ADC68" s="294"/>
      <c r="ADD68" s="294"/>
      <c r="ADE68" s="294"/>
      <c r="ADF68" s="294"/>
      <c r="ADG68" s="294"/>
      <c r="ADH68" s="294"/>
      <c r="ADI68" s="294"/>
      <c r="ADJ68" s="294"/>
      <c r="ADK68" s="294"/>
      <c r="ADL68" s="294"/>
      <c r="ADM68" s="294"/>
      <c r="ADN68" s="294"/>
      <c r="ADO68" s="294"/>
      <c r="ADP68" s="294"/>
      <c r="ADQ68" s="294"/>
      <c r="ADR68" s="294"/>
      <c r="ADS68" s="294"/>
      <c r="ADT68" s="294"/>
      <c r="ADU68" s="294"/>
      <c r="ADV68" s="294"/>
      <c r="ADW68" s="294"/>
      <c r="ADX68" s="294"/>
      <c r="ADY68" s="294"/>
      <c r="ADZ68" s="294"/>
      <c r="AEA68" s="294"/>
      <c r="AEB68" s="294"/>
      <c r="AEC68" s="294"/>
      <c r="AED68" s="294"/>
      <c r="AEE68" s="294"/>
      <c r="AEF68" s="294"/>
      <c r="AEG68" s="294"/>
      <c r="AEH68" s="294"/>
      <c r="AEI68" s="294"/>
      <c r="AEJ68" s="294"/>
      <c r="AEK68" s="294"/>
      <c r="AEL68" s="294"/>
      <c r="AEM68" s="294"/>
      <c r="AEN68" s="294"/>
      <c r="AEO68" s="294"/>
      <c r="AEP68" s="294"/>
      <c r="AEQ68" s="294"/>
      <c r="AER68" s="294"/>
      <c r="AES68" s="294"/>
      <c r="AET68" s="294"/>
      <c r="AEU68" s="294"/>
      <c r="AEV68" s="294"/>
      <c r="AEW68" s="294"/>
      <c r="AEX68" s="294"/>
      <c r="AEY68" s="294"/>
      <c r="AEZ68" s="294"/>
      <c r="AFA68" s="294"/>
      <c r="AFB68" s="294"/>
      <c r="AFC68" s="294"/>
      <c r="AFD68" s="294"/>
      <c r="AFE68" s="294"/>
      <c r="AFF68" s="294"/>
      <c r="AFG68" s="294"/>
      <c r="AFH68" s="294"/>
      <c r="AFI68" s="294"/>
      <c r="AFJ68" s="294"/>
      <c r="AFK68" s="294"/>
      <c r="AFL68" s="294"/>
      <c r="AFM68" s="294"/>
      <c r="AFN68" s="294"/>
      <c r="AFO68" s="294"/>
      <c r="AFP68" s="294"/>
      <c r="AFQ68" s="294"/>
      <c r="AFR68" s="294"/>
      <c r="AFS68" s="294"/>
      <c r="AFT68" s="294"/>
      <c r="AFU68" s="294"/>
      <c r="AFV68" s="294"/>
      <c r="AFW68" s="294"/>
      <c r="AFX68" s="294"/>
      <c r="AFY68" s="294"/>
      <c r="AFZ68" s="294"/>
      <c r="AGA68" s="294"/>
      <c r="AGB68" s="294"/>
      <c r="AGC68" s="294"/>
      <c r="AGD68" s="294"/>
      <c r="AGE68" s="294"/>
      <c r="AGF68" s="294"/>
      <c r="AGG68" s="294"/>
      <c r="AGH68" s="294"/>
      <c r="AGI68" s="294"/>
      <c r="AGJ68" s="294"/>
      <c r="AGK68" s="294"/>
      <c r="AGL68" s="294"/>
      <c r="AGM68" s="294"/>
      <c r="AGN68" s="294"/>
      <c r="AGO68" s="294"/>
      <c r="AGP68" s="294"/>
      <c r="AGQ68" s="294"/>
      <c r="AGR68" s="294"/>
      <c r="AGS68" s="294"/>
      <c r="AGT68" s="294"/>
      <c r="AGU68" s="294"/>
      <c r="AGV68" s="294"/>
      <c r="AGW68" s="294"/>
      <c r="AGX68" s="294"/>
      <c r="AGY68" s="294"/>
      <c r="AGZ68" s="294"/>
      <c r="AHA68" s="294"/>
      <c r="AHB68" s="294"/>
      <c r="AHC68" s="294"/>
      <c r="AHD68" s="294"/>
      <c r="AHE68" s="294"/>
      <c r="AHF68" s="294"/>
      <c r="AHG68" s="294"/>
      <c r="AHH68" s="294"/>
      <c r="AHI68" s="294"/>
      <c r="AHJ68" s="294"/>
      <c r="AHK68" s="294"/>
      <c r="AHL68" s="294"/>
      <c r="AHM68" s="294"/>
      <c r="AHN68" s="294"/>
      <c r="AHO68" s="294"/>
      <c r="AHP68" s="294"/>
      <c r="AHQ68" s="294"/>
      <c r="AHR68" s="331"/>
      <c r="AHS68" s="294">
        <f t="shared" si="51"/>
        <v>-22505165.280000001</v>
      </c>
      <c r="AHT68" s="269" t="b">
        <f t="shared" si="52"/>
        <v>1</v>
      </c>
      <c r="AHU68" s="269" t="s">
        <v>6278</v>
      </c>
      <c r="AHV68" s="269" t="s">
        <v>6079</v>
      </c>
      <c r="AHW68" s="269" t="s">
        <v>6080</v>
      </c>
    </row>
    <row r="69" spans="1:907" ht="24.6" x14ac:dyDescent="0.7">
      <c r="A69" s="268" t="s">
        <v>6278</v>
      </c>
      <c r="B69" s="268" t="s">
        <v>6081</v>
      </c>
      <c r="C69" s="269" t="s">
        <v>6082</v>
      </c>
      <c r="D69" s="294">
        <v>0</v>
      </c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>
        <v>0</v>
      </c>
      <c r="AD69" s="294"/>
      <c r="AE69" s="294"/>
      <c r="AF69" s="294"/>
      <c r="AG69" s="294"/>
      <c r="AH69" s="294"/>
      <c r="AI69" s="294"/>
      <c r="AJ69" s="294"/>
      <c r="AK69" s="294">
        <v>0</v>
      </c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294"/>
      <c r="EB69" s="294"/>
      <c r="EC69" s="294"/>
      <c r="ED69" s="294"/>
      <c r="EE69" s="294"/>
      <c r="EF69" s="294"/>
      <c r="EG69" s="294"/>
      <c r="EH69" s="294"/>
      <c r="EI69" s="294"/>
      <c r="EJ69" s="294"/>
      <c r="EK69" s="294"/>
      <c r="EL69" s="294"/>
      <c r="EM69" s="294"/>
      <c r="EN69" s="294"/>
      <c r="EO69" s="294"/>
      <c r="EP69" s="294"/>
      <c r="EQ69" s="294"/>
      <c r="ER69" s="294"/>
      <c r="ES69" s="294"/>
      <c r="ET69" s="294"/>
      <c r="EU69" s="294"/>
      <c r="EV69" s="294"/>
      <c r="EW69" s="294"/>
      <c r="EX69" s="294"/>
      <c r="EY69" s="294"/>
      <c r="EZ69" s="294"/>
      <c r="FA69" s="294"/>
      <c r="FB69" s="294"/>
      <c r="FC69" s="294"/>
      <c r="FD69" s="294"/>
      <c r="FE69" s="294"/>
      <c r="FF69" s="294"/>
      <c r="FG69" s="294"/>
      <c r="FH69" s="294"/>
      <c r="FI69" s="294"/>
      <c r="FJ69" s="294"/>
      <c r="FK69" s="294"/>
      <c r="FL69" s="294"/>
      <c r="FM69" s="294"/>
      <c r="FN69" s="294"/>
      <c r="FO69" s="294"/>
      <c r="FP69" s="294"/>
      <c r="FQ69" s="294"/>
      <c r="FR69" s="294"/>
      <c r="FS69" s="294"/>
      <c r="FT69" s="294"/>
      <c r="FU69" s="294"/>
      <c r="FV69" s="294"/>
      <c r="FW69" s="294"/>
      <c r="FX69" s="294"/>
      <c r="FY69" s="294"/>
      <c r="FZ69" s="294"/>
      <c r="GA69" s="294"/>
      <c r="GB69" s="294"/>
      <c r="GC69" s="294"/>
      <c r="GD69" s="294"/>
      <c r="GE69" s="294"/>
      <c r="GF69" s="294"/>
      <c r="GG69" s="294"/>
      <c r="GH69" s="294"/>
      <c r="GI69" s="294"/>
      <c r="GJ69" s="294"/>
      <c r="GK69" s="294"/>
      <c r="GL69" s="294"/>
      <c r="GM69" s="294"/>
      <c r="GN69" s="294"/>
      <c r="GO69" s="294"/>
      <c r="GP69" s="294"/>
      <c r="GQ69" s="294"/>
      <c r="GR69" s="294"/>
      <c r="GS69" s="294"/>
      <c r="GT69" s="294"/>
      <c r="GU69" s="294"/>
      <c r="GV69" s="294"/>
      <c r="GW69" s="294"/>
      <c r="GX69" s="294"/>
      <c r="GY69" s="294"/>
      <c r="GZ69" s="294"/>
      <c r="HA69" s="294"/>
      <c r="HB69" s="294"/>
      <c r="HC69" s="294"/>
      <c r="HD69" s="294"/>
      <c r="HE69" s="294"/>
      <c r="HF69" s="294"/>
      <c r="HG69" s="294"/>
      <c r="HH69" s="294"/>
      <c r="HI69" s="294"/>
      <c r="HJ69" s="294"/>
      <c r="HK69" s="294"/>
      <c r="HL69" s="294"/>
      <c r="HM69" s="294"/>
      <c r="HN69" s="294"/>
      <c r="HO69" s="294"/>
      <c r="HP69" s="294"/>
      <c r="HQ69" s="294"/>
      <c r="HR69" s="294"/>
      <c r="HS69" s="294"/>
      <c r="HT69" s="294"/>
      <c r="HU69" s="294"/>
      <c r="HV69" s="294"/>
      <c r="HW69" s="294"/>
      <c r="HX69" s="294"/>
      <c r="HY69" s="294"/>
      <c r="HZ69" s="294"/>
      <c r="IA69" s="294"/>
      <c r="IB69" s="294"/>
      <c r="IC69" s="294"/>
      <c r="ID69" s="294"/>
      <c r="IE69" s="294"/>
      <c r="IF69" s="294"/>
      <c r="IG69" s="294"/>
      <c r="IH69" s="294"/>
      <c r="II69" s="294"/>
      <c r="IJ69" s="294"/>
      <c r="IK69" s="294"/>
      <c r="IL69" s="294"/>
      <c r="IM69" s="294"/>
      <c r="IN69" s="294"/>
      <c r="IO69" s="294"/>
      <c r="IP69" s="294"/>
      <c r="IQ69" s="294"/>
      <c r="IR69" s="294"/>
      <c r="IS69" s="294"/>
      <c r="IT69" s="294"/>
      <c r="IU69" s="294"/>
      <c r="IV69" s="294"/>
      <c r="IW69" s="294"/>
      <c r="IX69" s="294"/>
      <c r="IY69" s="294"/>
      <c r="IZ69" s="294"/>
      <c r="JA69" s="294"/>
      <c r="JB69" s="294"/>
      <c r="JC69" s="294">
        <v>-55615.6</v>
      </c>
      <c r="JD69" s="294"/>
      <c r="JE69" s="294"/>
      <c r="JF69" s="294"/>
      <c r="JG69" s="294"/>
      <c r="JH69" s="294"/>
      <c r="JI69" s="294"/>
      <c r="JJ69" s="294"/>
      <c r="JK69" s="294"/>
      <c r="JL69" s="294"/>
      <c r="JM69" s="294"/>
      <c r="JN69" s="294"/>
      <c r="JO69" s="294"/>
      <c r="JP69" s="294"/>
      <c r="JQ69" s="294"/>
      <c r="JR69" s="294"/>
      <c r="JS69" s="294"/>
      <c r="JT69" s="294"/>
      <c r="JU69" s="294"/>
      <c r="JV69" s="294"/>
      <c r="JW69" s="294"/>
      <c r="JX69" s="294"/>
      <c r="JY69" s="294"/>
      <c r="JZ69" s="294"/>
      <c r="KA69" s="294"/>
      <c r="KB69" s="294"/>
      <c r="KC69" s="294"/>
      <c r="KD69" s="294"/>
      <c r="KE69" s="294"/>
      <c r="KF69" s="294"/>
      <c r="KG69" s="294"/>
      <c r="KH69" s="294"/>
      <c r="KI69" s="294"/>
      <c r="KJ69" s="294"/>
      <c r="KK69" s="294"/>
      <c r="KL69" s="294"/>
      <c r="KM69" s="294"/>
      <c r="KN69" s="294"/>
      <c r="KO69" s="294"/>
      <c r="KP69" s="294"/>
      <c r="KQ69" s="294"/>
      <c r="KR69" s="294"/>
      <c r="KS69" s="294"/>
      <c r="KT69" s="294"/>
      <c r="KU69" s="294"/>
      <c r="KV69" s="294"/>
      <c r="KW69" s="294"/>
      <c r="KX69" s="294"/>
      <c r="KY69" s="294"/>
      <c r="KZ69" s="294"/>
      <c r="LA69" s="294"/>
      <c r="LB69" s="294"/>
      <c r="LC69" s="294"/>
      <c r="LD69" s="294"/>
      <c r="LE69" s="294"/>
      <c r="LF69" s="294"/>
      <c r="LG69" s="294"/>
      <c r="LH69" s="294"/>
      <c r="LI69" s="294"/>
      <c r="LJ69" s="294"/>
      <c r="LK69" s="294"/>
      <c r="LL69" s="294"/>
      <c r="LM69" s="294"/>
      <c r="LN69" s="294"/>
      <c r="LO69" s="294"/>
      <c r="LP69" s="294"/>
      <c r="LQ69" s="294"/>
      <c r="LR69" s="294"/>
      <c r="LS69" s="294"/>
      <c r="LT69" s="294"/>
      <c r="LU69" s="294"/>
      <c r="LV69" s="294"/>
      <c r="LW69" s="294"/>
      <c r="LX69" s="294"/>
      <c r="LY69" s="294"/>
      <c r="LZ69" s="294"/>
      <c r="MA69" s="294"/>
      <c r="MB69" s="294"/>
      <c r="MC69" s="294"/>
      <c r="MD69" s="294"/>
      <c r="ME69" s="294"/>
      <c r="MF69" s="294"/>
      <c r="MG69" s="294"/>
      <c r="MH69" s="294"/>
      <c r="MI69" s="294"/>
      <c r="MJ69" s="294"/>
      <c r="MK69" s="294"/>
      <c r="ML69" s="294"/>
      <c r="MM69" s="294"/>
      <c r="MN69" s="294"/>
      <c r="MO69" s="294"/>
      <c r="MP69" s="294"/>
      <c r="MQ69" s="294"/>
      <c r="MR69" s="294"/>
      <c r="MS69" s="294"/>
      <c r="MT69" s="294"/>
      <c r="MU69" s="294"/>
      <c r="MV69" s="294"/>
      <c r="MW69" s="294"/>
      <c r="MX69" s="294"/>
      <c r="MY69" s="294"/>
      <c r="MZ69" s="294"/>
      <c r="NA69" s="294"/>
      <c r="NB69" s="294"/>
      <c r="NC69" s="294"/>
      <c r="ND69" s="294">
        <v>-1995.36</v>
      </c>
      <c r="NE69" s="294"/>
      <c r="NF69" s="294"/>
      <c r="NG69" s="294"/>
      <c r="NH69" s="294"/>
      <c r="NI69" s="294"/>
      <c r="NJ69" s="294"/>
      <c r="NK69" s="294"/>
      <c r="NL69" s="294"/>
      <c r="NM69" s="294"/>
      <c r="NN69" s="294"/>
      <c r="NO69" s="294"/>
      <c r="NP69" s="294"/>
      <c r="NQ69" s="294"/>
      <c r="NR69" s="294"/>
      <c r="NS69" s="294">
        <v>-50000</v>
      </c>
      <c r="NT69" s="294"/>
      <c r="NU69" s="294"/>
      <c r="NV69" s="294"/>
      <c r="NW69" s="294"/>
      <c r="NX69" s="294"/>
      <c r="NY69" s="294"/>
      <c r="NZ69" s="294"/>
      <c r="OA69" s="294"/>
      <c r="OB69" s="294"/>
      <c r="OC69" s="294"/>
      <c r="OD69" s="294"/>
      <c r="OE69" s="294"/>
      <c r="OF69" s="294"/>
      <c r="OG69" s="294"/>
      <c r="OH69" s="294"/>
      <c r="OI69" s="294"/>
      <c r="OJ69" s="294"/>
      <c r="OK69" s="294"/>
      <c r="OL69" s="294"/>
      <c r="OM69" s="294"/>
      <c r="ON69" s="294"/>
      <c r="OO69" s="294"/>
      <c r="OP69" s="294"/>
      <c r="OQ69" s="294"/>
      <c r="OR69" s="294"/>
      <c r="OS69" s="294"/>
      <c r="OT69" s="294"/>
      <c r="OU69" s="294"/>
      <c r="OV69" s="294"/>
      <c r="OW69" s="294"/>
      <c r="OX69" s="294"/>
      <c r="OY69" s="294"/>
      <c r="OZ69" s="294"/>
      <c r="PA69" s="294"/>
      <c r="PB69" s="294"/>
      <c r="PC69" s="294"/>
      <c r="PD69" s="294"/>
      <c r="PE69" s="294"/>
      <c r="PF69" s="294"/>
      <c r="PG69" s="294"/>
      <c r="PH69" s="294"/>
      <c r="PI69" s="294"/>
      <c r="PJ69" s="294"/>
      <c r="PK69" s="294"/>
      <c r="PL69" s="294"/>
      <c r="PM69" s="294"/>
      <c r="PN69" s="294"/>
      <c r="PO69" s="294"/>
      <c r="PP69" s="294"/>
      <c r="PQ69" s="294"/>
      <c r="PR69" s="294"/>
      <c r="PS69" s="294"/>
      <c r="PT69" s="294"/>
      <c r="PU69" s="294"/>
      <c r="PV69" s="294"/>
      <c r="PW69" s="294"/>
      <c r="PX69" s="294"/>
      <c r="PY69" s="294"/>
      <c r="PZ69" s="294"/>
      <c r="QA69" s="294"/>
      <c r="QB69" s="294"/>
      <c r="QC69" s="294"/>
      <c r="QD69" s="294"/>
      <c r="QE69" s="294"/>
      <c r="QF69" s="294"/>
      <c r="QG69" s="294"/>
      <c r="QH69" s="294"/>
      <c r="QI69" s="294"/>
      <c r="QJ69" s="294"/>
      <c r="QK69" s="294"/>
      <c r="QL69" s="294"/>
      <c r="QM69" s="294"/>
      <c r="QN69" s="294"/>
      <c r="QO69" s="294"/>
      <c r="QP69" s="294"/>
      <c r="QQ69" s="294"/>
      <c r="QR69" s="294"/>
      <c r="QS69" s="294"/>
      <c r="QT69" s="294"/>
      <c r="QU69" s="294"/>
      <c r="QV69" s="294"/>
      <c r="QW69" s="294"/>
      <c r="QX69" s="294"/>
      <c r="QY69" s="294"/>
      <c r="QZ69" s="294"/>
      <c r="RA69" s="294"/>
      <c r="RB69" s="294"/>
      <c r="RC69" s="294"/>
      <c r="RD69" s="294"/>
      <c r="RE69" s="294"/>
      <c r="RF69" s="294"/>
      <c r="RG69" s="294"/>
      <c r="RH69" s="294">
        <v>0</v>
      </c>
      <c r="RI69" s="294"/>
      <c r="RJ69" s="294"/>
      <c r="RK69" s="294"/>
      <c r="RL69" s="294"/>
      <c r="RM69" s="294"/>
      <c r="RN69" s="294"/>
      <c r="RO69" s="294"/>
      <c r="RP69" s="294"/>
      <c r="RQ69" s="294">
        <v>0</v>
      </c>
      <c r="RR69" s="294"/>
      <c r="RS69" s="294"/>
      <c r="RT69" s="294"/>
      <c r="RU69" s="294"/>
      <c r="RV69" s="294"/>
      <c r="RW69" s="294"/>
      <c r="RX69" s="294"/>
      <c r="RY69" s="294"/>
      <c r="RZ69" s="294"/>
      <c r="SA69" s="294"/>
      <c r="SB69" s="294"/>
      <c r="SC69" s="294"/>
      <c r="SD69" s="294"/>
      <c r="SE69" s="294"/>
      <c r="SF69" s="294"/>
      <c r="SG69" s="294"/>
      <c r="SH69" s="294"/>
      <c r="SI69" s="294"/>
      <c r="SJ69" s="294"/>
      <c r="SK69" s="294"/>
      <c r="SL69" s="294"/>
      <c r="SM69" s="294"/>
      <c r="SN69" s="294"/>
      <c r="SO69" s="294"/>
      <c r="SP69" s="294"/>
      <c r="SQ69" s="294"/>
      <c r="SR69" s="294"/>
      <c r="SS69" s="294"/>
      <c r="ST69" s="294"/>
      <c r="SU69" s="294"/>
      <c r="SV69" s="294"/>
      <c r="SW69" s="294"/>
      <c r="SX69" s="294"/>
      <c r="SY69" s="294"/>
      <c r="SZ69" s="294"/>
      <c r="TA69" s="294"/>
      <c r="TB69" s="294"/>
      <c r="TC69" s="294"/>
      <c r="TD69" s="294"/>
      <c r="TE69" s="294"/>
      <c r="TF69" s="294"/>
      <c r="TG69" s="294"/>
      <c r="TH69" s="294"/>
      <c r="TI69" s="294"/>
      <c r="TJ69" s="294"/>
      <c r="TK69" s="294"/>
      <c r="TL69" s="294"/>
      <c r="TM69" s="294"/>
      <c r="TN69" s="294"/>
      <c r="TO69" s="294"/>
      <c r="TP69" s="294"/>
      <c r="TQ69" s="294"/>
      <c r="TR69" s="294"/>
      <c r="TS69" s="294"/>
      <c r="TT69" s="294"/>
      <c r="TU69" s="294"/>
      <c r="TV69" s="294"/>
      <c r="TW69" s="294"/>
      <c r="TX69" s="294"/>
      <c r="TY69" s="294"/>
      <c r="TZ69" s="294"/>
      <c r="UA69" s="294"/>
      <c r="UB69" s="294"/>
      <c r="UC69" s="294"/>
      <c r="UD69" s="294"/>
      <c r="UE69" s="294"/>
      <c r="UF69" s="294"/>
      <c r="UG69" s="294"/>
      <c r="UH69" s="294"/>
      <c r="UI69" s="294"/>
      <c r="UJ69" s="294"/>
      <c r="UK69" s="294"/>
      <c r="UL69" s="294"/>
      <c r="UM69" s="294"/>
      <c r="UN69" s="294"/>
      <c r="UO69" s="294"/>
      <c r="UP69" s="294"/>
      <c r="UQ69" s="294"/>
      <c r="UR69" s="294"/>
      <c r="US69" s="294"/>
      <c r="UT69" s="294"/>
      <c r="UU69" s="294"/>
      <c r="UV69" s="294"/>
      <c r="UW69" s="294"/>
      <c r="UX69" s="294"/>
      <c r="UY69" s="294"/>
      <c r="UZ69" s="294"/>
      <c r="VA69" s="294"/>
      <c r="VB69" s="294"/>
      <c r="VC69" s="294"/>
      <c r="VD69" s="294"/>
      <c r="VE69" s="294"/>
      <c r="VF69" s="294"/>
      <c r="VG69" s="294"/>
      <c r="VH69" s="294"/>
      <c r="VI69" s="294"/>
      <c r="VJ69" s="294"/>
      <c r="VK69" s="294"/>
      <c r="VL69" s="294"/>
      <c r="VM69" s="294"/>
      <c r="VN69" s="294"/>
      <c r="VO69" s="294"/>
      <c r="VP69" s="294"/>
      <c r="VQ69" s="294"/>
      <c r="VR69" s="294"/>
      <c r="VS69" s="294"/>
      <c r="VT69" s="294"/>
      <c r="VU69" s="294"/>
      <c r="VV69" s="294"/>
      <c r="VW69" s="294"/>
      <c r="VX69" s="294"/>
      <c r="VY69" s="294"/>
      <c r="VZ69" s="294"/>
      <c r="WA69" s="294"/>
      <c r="WB69" s="294"/>
      <c r="WC69" s="294"/>
      <c r="WD69" s="294"/>
      <c r="WE69" s="294"/>
      <c r="WF69" s="294"/>
      <c r="WG69" s="294"/>
      <c r="WH69" s="294"/>
      <c r="WI69" s="294"/>
      <c r="WJ69" s="294"/>
      <c r="WK69" s="294"/>
      <c r="WL69" s="294"/>
      <c r="WM69" s="294"/>
      <c r="WN69" s="294"/>
      <c r="WO69" s="294"/>
      <c r="WP69" s="294"/>
      <c r="WQ69" s="294"/>
      <c r="WR69" s="294"/>
      <c r="WS69" s="294"/>
      <c r="WT69" s="294"/>
      <c r="WU69" s="294"/>
      <c r="WV69" s="294"/>
      <c r="WW69" s="294"/>
      <c r="WX69" s="294"/>
      <c r="WY69" s="294"/>
      <c r="WZ69" s="294"/>
      <c r="XA69" s="294"/>
      <c r="XB69" s="294"/>
      <c r="XC69" s="294"/>
      <c r="XD69" s="294"/>
      <c r="XE69" s="294"/>
      <c r="XF69" s="294"/>
      <c r="XG69" s="294"/>
      <c r="XH69" s="294"/>
      <c r="XI69" s="294"/>
      <c r="XJ69" s="294"/>
      <c r="XK69" s="294"/>
      <c r="XL69" s="294"/>
      <c r="XM69" s="294"/>
      <c r="XN69" s="294"/>
      <c r="XO69" s="294"/>
      <c r="XP69" s="294"/>
      <c r="XQ69" s="294"/>
      <c r="XR69" s="294"/>
      <c r="XS69" s="294"/>
      <c r="XT69" s="294"/>
      <c r="XU69" s="294"/>
      <c r="XV69" s="294"/>
      <c r="XW69" s="294"/>
      <c r="XX69" s="294"/>
      <c r="XY69" s="294"/>
      <c r="XZ69" s="294"/>
      <c r="YA69" s="294"/>
      <c r="YB69" s="294"/>
      <c r="YC69" s="294"/>
      <c r="YD69" s="294"/>
      <c r="YE69" s="294"/>
      <c r="YF69" s="294"/>
      <c r="YG69" s="294"/>
      <c r="YH69" s="294"/>
      <c r="YI69" s="294"/>
      <c r="YJ69" s="294"/>
      <c r="YK69" s="294"/>
      <c r="YL69" s="294"/>
      <c r="YM69" s="294"/>
      <c r="YN69" s="294"/>
      <c r="YO69" s="294"/>
      <c r="YP69" s="294"/>
      <c r="YQ69" s="294"/>
      <c r="YR69" s="294"/>
      <c r="YS69" s="294"/>
      <c r="YT69" s="294"/>
      <c r="YU69" s="294"/>
      <c r="YV69" s="294"/>
      <c r="YW69" s="294"/>
      <c r="YX69" s="294"/>
      <c r="YY69" s="294"/>
      <c r="YZ69" s="294"/>
      <c r="ZA69" s="294"/>
      <c r="ZB69" s="294"/>
      <c r="ZC69" s="294"/>
      <c r="ZD69" s="294"/>
      <c r="ZE69" s="294"/>
      <c r="ZF69" s="294"/>
      <c r="ZG69" s="294"/>
      <c r="ZH69" s="294"/>
      <c r="ZI69" s="294"/>
      <c r="ZJ69" s="294"/>
      <c r="ZK69" s="294"/>
      <c r="ZL69" s="294"/>
      <c r="ZM69" s="294"/>
      <c r="ZN69" s="294"/>
      <c r="ZO69" s="294"/>
      <c r="ZP69" s="294"/>
      <c r="ZQ69" s="294"/>
      <c r="ZR69" s="294"/>
      <c r="ZS69" s="294"/>
      <c r="ZT69" s="294"/>
      <c r="ZU69" s="294"/>
      <c r="ZV69" s="294"/>
      <c r="ZW69" s="294"/>
      <c r="ZX69" s="294"/>
      <c r="ZY69" s="294"/>
      <c r="ZZ69" s="294"/>
      <c r="AAA69" s="294"/>
      <c r="AAB69" s="294"/>
      <c r="AAC69" s="294"/>
      <c r="AAD69" s="294"/>
      <c r="AAE69" s="294"/>
      <c r="AAF69" s="294"/>
      <c r="AAG69" s="294"/>
      <c r="AAH69" s="294"/>
      <c r="AAI69" s="294"/>
      <c r="AAJ69" s="294"/>
      <c r="AAK69" s="294"/>
      <c r="AAL69" s="294"/>
      <c r="AAM69" s="294"/>
      <c r="AAN69" s="294"/>
      <c r="AAO69" s="294"/>
      <c r="AAP69" s="294"/>
      <c r="AAQ69" s="294"/>
      <c r="AAR69" s="294"/>
      <c r="AAS69" s="294"/>
      <c r="AAT69" s="294"/>
      <c r="AAU69" s="294"/>
      <c r="AAV69" s="294"/>
      <c r="AAW69" s="294"/>
      <c r="AAX69" s="294"/>
      <c r="AAY69" s="294"/>
      <c r="AAZ69" s="294"/>
      <c r="ABA69" s="294"/>
      <c r="ABB69" s="294"/>
      <c r="ABC69" s="294">
        <v>0</v>
      </c>
      <c r="ABD69" s="294"/>
      <c r="ABE69" s="294"/>
      <c r="ABF69" s="294"/>
      <c r="ABG69" s="294"/>
      <c r="ABH69" s="294"/>
      <c r="ABI69" s="294"/>
      <c r="ABJ69" s="294"/>
      <c r="ABK69" s="294">
        <v>0</v>
      </c>
      <c r="ABL69" s="294"/>
      <c r="ABM69" s="294"/>
      <c r="ABN69" s="294"/>
      <c r="ABO69" s="294"/>
      <c r="ABP69" s="294"/>
      <c r="ABQ69" s="294"/>
      <c r="ABR69" s="294"/>
      <c r="ABS69" s="294"/>
      <c r="ABT69" s="294"/>
      <c r="ABU69" s="294"/>
      <c r="ABV69" s="294"/>
      <c r="ABW69" s="294"/>
      <c r="ABX69" s="294"/>
      <c r="ABY69" s="294"/>
      <c r="ABZ69" s="294"/>
      <c r="ACA69" s="294"/>
      <c r="ACB69" s="294"/>
      <c r="ACC69" s="294"/>
      <c r="ACD69" s="294"/>
      <c r="ACE69" s="294"/>
      <c r="ACF69" s="294"/>
      <c r="ACG69" s="294"/>
      <c r="ACH69" s="294"/>
      <c r="ACI69" s="294"/>
      <c r="ACJ69" s="294"/>
      <c r="ACK69" s="294"/>
      <c r="ACL69" s="294"/>
      <c r="ACM69" s="294"/>
      <c r="ACN69" s="294"/>
      <c r="ACO69" s="294"/>
      <c r="ACP69" s="294"/>
      <c r="ACQ69" s="294"/>
      <c r="ACR69" s="294"/>
      <c r="ACS69" s="294"/>
      <c r="ACT69" s="294"/>
      <c r="ACU69" s="294"/>
      <c r="ACV69" s="294"/>
      <c r="ACW69" s="294"/>
      <c r="ACX69" s="294"/>
      <c r="ACY69" s="294"/>
      <c r="ACZ69" s="294"/>
      <c r="ADA69" s="294"/>
      <c r="ADB69" s="294"/>
      <c r="ADC69" s="294"/>
      <c r="ADD69" s="294"/>
      <c r="ADE69" s="294"/>
      <c r="ADF69" s="294"/>
      <c r="ADG69" s="294"/>
      <c r="ADH69" s="294"/>
      <c r="ADI69" s="294"/>
      <c r="ADJ69" s="294"/>
      <c r="ADK69" s="294"/>
      <c r="ADL69" s="294"/>
      <c r="ADM69" s="294"/>
      <c r="ADN69" s="294"/>
      <c r="ADO69" s="294"/>
      <c r="ADP69" s="294"/>
      <c r="ADQ69" s="294"/>
      <c r="ADR69" s="294"/>
      <c r="ADS69" s="294"/>
      <c r="ADT69" s="294"/>
      <c r="ADU69" s="294"/>
      <c r="ADV69" s="294"/>
      <c r="ADW69" s="294"/>
      <c r="ADX69" s="294"/>
      <c r="ADY69" s="294"/>
      <c r="ADZ69" s="294">
        <v>-2565910.91</v>
      </c>
      <c r="AEA69" s="294"/>
      <c r="AEB69" s="294"/>
      <c r="AEC69" s="294"/>
      <c r="AED69" s="294"/>
      <c r="AEE69" s="294"/>
      <c r="AEF69" s="294"/>
      <c r="AEG69" s="294"/>
      <c r="AEH69" s="294"/>
      <c r="AEI69" s="294"/>
      <c r="AEJ69" s="294"/>
      <c r="AEK69" s="294"/>
      <c r="AEL69" s="294"/>
      <c r="AEM69" s="294"/>
      <c r="AEN69" s="294"/>
      <c r="AEO69" s="294"/>
      <c r="AEP69" s="294"/>
      <c r="AEQ69" s="294"/>
      <c r="AER69" s="294"/>
      <c r="AES69" s="294"/>
      <c r="AET69" s="294"/>
      <c r="AEU69" s="294"/>
      <c r="AEV69" s="294"/>
      <c r="AEW69" s="294"/>
      <c r="AEX69" s="294"/>
      <c r="AEY69" s="294"/>
      <c r="AEZ69" s="294"/>
      <c r="AFA69" s="294"/>
      <c r="AFB69" s="294"/>
      <c r="AFC69" s="294"/>
      <c r="AFD69" s="294"/>
      <c r="AFE69" s="294"/>
      <c r="AFF69" s="294"/>
      <c r="AFG69" s="294"/>
      <c r="AFH69" s="294"/>
      <c r="AFI69" s="294"/>
      <c r="AFJ69" s="294"/>
      <c r="AFK69" s="294"/>
      <c r="AFL69" s="294"/>
      <c r="AFM69" s="294"/>
      <c r="AFN69" s="294"/>
      <c r="AFO69" s="294"/>
      <c r="AFP69" s="294"/>
      <c r="AFQ69" s="294"/>
      <c r="AFR69" s="294"/>
      <c r="AFS69" s="294"/>
      <c r="AFT69" s="294"/>
      <c r="AFU69" s="294"/>
      <c r="AFV69" s="294"/>
      <c r="AFW69" s="294"/>
      <c r="AFX69" s="294"/>
      <c r="AFY69" s="294"/>
      <c r="AFZ69" s="294"/>
      <c r="AGA69" s="294"/>
      <c r="AGB69" s="294"/>
      <c r="AGC69" s="294"/>
      <c r="AGD69" s="294"/>
      <c r="AGE69" s="294"/>
      <c r="AGF69" s="294"/>
      <c r="AGG69" s="294"/>
      <c r="AGH69" s="294"/>
      <c r="AGI69" s="294"/>
      <c r="AGJ69" s="294"/>
      <c r="AGK69" s="294"/>
      <c r="AGL69" s="294"/>
      <c r="AGM69" s="294"/>
      <c r="AGN69" s="294"/>
      <c r="AGO69" s="294"/>
      <c r="AGP69" s="294"/>
      <c r="AGQ69" s="294"/>
      <c r="AGR69" s="294"/>
      <c r="AGS69" s="294"/>
      <c r="AGT69" s="294"/>
      <c r="AGU69" s="294"/>
      <c r="AGV69" s="294"/>
      <c r="AGW69" s="294"/>
      <c r="AGX69" s="294"/>
      <c r="AGY69" s="294"/>
      <c r="AGZ69" s="294"/>
      <c r="AHA69" s="294"/>
      <c r="AHB69" s="294"/>
      <c r="AHC69" s="294"/>
      <c r="AHD69" s="294"/>
      <c r="AHE69" s="294"/>
      <c r="AHF69" s="294"/>
      <c r="AHG69" s="294"/>
      <c r="AHH69" s="294"/>
      <c r="AHI69" s="294"/>
      <c r="AHJ69" s="294"/>
      <c r="AHK69" s="294"/>
      <c r="AHL69" s="294"/>
      <c r="AHM69" s="294"/>
      <c r="AHN69" s="294"/>
      <c r="AHO69" s="294"/>
      <c r="AHP69" s="294"/>
      <c r="AHQ69" s="294"/>
      <c r="AHR69" s="331"/>
      <c r="AHS69" s="294">
        <f t="shared" si="51"/>
        <v>-2673521.87</v>
      </c>
      <c r="AHT69" s="269" t="b">
        <f t="shared" si="52"/>
        <v>1</v>
      </c>
      <c r="AHU69" s="269" t="s">
        <v>6278</v>
      </c>
      <c r="AHV69" s="269" t="s">
        <v>6081</v>
      </c>
      <c r="AHW69" s="269" t="s">
        <v>6082</v>
      </c>
    </row>
    <row r="70" spans="1:907" ht="24.6" x14ac:dyDescent="0.7">
      <c r="A70" s="268" t="s">
        <v>6278</v>
      </c>
      <c r="B70" s="268" t="s">
        <v>6083</v>
      </c>
      <c r="C70" s="269" t="s">
        <v>6084</v>
      </c>
      <c r="D70" s="294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294"/>
      <c r="EB70" s="294"/>
      <c r="EC70" s="294"/>
      <c r="ED70" s="294"/>
      <c r="EE70" s="294"/>
      <c r="EF70" s="294"/>
      <c r="EG70" s="294"/>
      <c r="EH70" s="294"/>
      <c r="EI70" s="294"/>
      <c r="EJ70" s="294"/>
      <c r="EK70" s="294"/>
      <c r="EL70" s="294"/>
      <c r="EM70" s="294"/>
      <c r="EN70" s="294"/>
      <c r="EO70" s="294"/>
      <c r="EP70" s="294"/>
      <c r="EQ70" s="294"/>
      <c r="ER70" s="294"/>
      <c r="ES70" s="294"/>
      <c r="ET70" s="294"/>
      <c r="EU70" s="294"/>
      <c r="EV70" s="294"/>
      <c r="EW70" s="294"/>
      <c r="EX70" s="294"/>
      <c r="EY70" s="294"/>
      <c r="EZ70" s="294"/>
      <c r="FA70" s="294"/>
      <c r="FB70" s="294"/>
      <c r="FC70" s="294"/>
      <c r="FD70" s="294"/>
      <c r="FE70" s="294"/>
      <c r="FF70" s="294"/>
      <c r="FG70" s="294"/>
      <c r="FH70" s="294"/>
      <c r="FI70" s="294"/>
      <c r="FJ70" s="294"/>
      <c r="FK70" s="294"/>
      <c r="FL70" s="294"/>
      <c r="FM70" s="294"/>
      <c r="FN70" s="294"/>
      <c r="FO70" s="294"/>
      <c r="FP70" s="294"/>
      <c r="FQ70" s="294"/>
      <c r="FR70" s="294"/>
      <c r="FS70" s="294"/>
      <c r="FT70" s="294"/>
      <c r="FU70" s="294"/>
      <c r="FV70" s="294"/>
      <c r="FW70" s="294"/>
      <c r="FX70" s="294"/>
      <c r="FY70" s="294"/>
      <c r="FZ70" s="294"/>
      <c r="GA70" s="294"/>
      <c r="GB70" s="294"/>
      <c r="GC70" s="294"/>
      <c r="GD70" s="294"/>
      <c r="GE70" s="294"/>
      <c r="GF70" s="294"/>
      <c r="GG70" s="294"/>
      <c r="GH70" s="294"/>
      <c r="GI70" s="294"/>
      <c r="GJ70" s="294"/>
      <c r="GK70" s="294"/>
      <c r="GL70" s="294"/>
      <c r="GM70" s="294"/>
      <c r="GN70" s="294"/>
      <c r="GO70" s="294"/>
      <c r="GP70" s="294"/>
      <c r="GQ70" s="294"/>
      <c r="GR70" s="294"/>
      <c r="GS70" s="294"/>
      <c r="GT70" s="294"/>
      <c r="GU70" s="294"/>
      <c r="GV70" s="294"/>
      <c r="GW70" s="294"/>
      <c r="GX70" s="294"/>
      <c r="GY70" s="294"/>
      <c r="GZ70" s="294"/>
      <c r="HA70" s="294"/>
      <c r="HB70" s="294"/>
      <c r="HC70" s="294"/>
      <c r="HD70" s="294"/>
      <c r="HE70" s="294"/>
      <c r="HF70" s="294"/>
      <c r="HG70" s="294"/>
      <c r="HH70" s="294"/>
      <c r="HI70" s="294"/>
      <c r="HJ70" s="294"/>
      <c r="HK70" s="294"/>
      <c r="HL70" s="294"/>
      <c r="HM70" s="294"/>
      <c r="HN70" s="294"/>
      <c r="HO70" s="294"/>
      <c r="HP70" s="294"/>
      <c r="HQ70" s="294"/>
      <c r="HR70" s="294"/>
      <c r="HS70" s="294"/>
      <c r="HT70" s="294"/>
      <c r="HU70" s="294"/>
      <c r="HV70" s="294"/>
      <c r="HW70" s="294"/>
      <c r="HX70" s="294"/>
      <c r="HY70" s="294"/>
      <c r="HZ70" s="294"/>
      <c r="IA70" s="294"/>
      <c r="IB70" s="294"/>
      <c r="IC70" s="294"/>
      <c r="ID70" s="294"/>
      <c r="IE70" s="294"/>
      <c r="IF70" s="294"/>
      <c r="IG70" s="294"/>
      <c r="IH70" s="294"/>
      <c r="II70" s="294"/>
      <c r="IJ70" s="294"/>
      <c r="IK70" s="294"/>
      <c r="IL70" s="294"/>
      <c r="IM70" s="294"/>
      <c r="IN70" s="294"/>
      <c r="IO70" s="294"/>
      <c r="IP70" s="294"/>
      <c r="IQ70" s="294"/>
      <c r="IR70" s="294"/>
      <c r="IS70" s="294"/>
      <c r="IT70" s="294"/>
      <c r="IU70" s="294"/>
      <c r="IV70" s="294"/>
      <c r="IW70" s="294"/>
      <c r="IX70" s="294"/>
      <c r="IY70" s="294"/>
      <c r="IZ70" s="294"/>
      <c r="JA70" s="294"/>
      <c r="JB70" s="294"/>
      <c r="JC70" s="294"/>
      <c r="JD70" s="294"/>
      <c r="JE70" s="294"/>
      <c r="JF70" s="294"/>
      <c r="JG70" s="294"/>
      <c r="JH70" s="294"/>
      <c r="JI70" s="294"/>
      <c r="JJ70" s="294"/>
      <c r="JK70" s="294"/>
      <c r="JL70" s="294"/>
      <c r="JM70" s="294"/>
      <c r="JN70" s="294"/>
      <c r="JO70" s="294"/>
      <c r="JP70" s="294"/>
      <c r="JQ70" s="294"/>
      <c r="JR70" s="294"/>
      <c r="JS70" s="294"/>
      <c r="JT70" s="294"/>
      <c r="JU70" s="294"/>
      <c r="JV70" s="294"/>
      <c r="JW70" s="294"/>
      <c r="JX70" s="294"/>
      <c r="JY70" s="294"/>
      <c r="JZ70" s="294"/>
      <c r="KA70" s="294"/>
      <c r="KB70" s="294"/>
      <c r="KC70" s="294"/>
      <c r="KD70" s="294"/>
      <c r="KE70" s="294"/>
      <c r="KF70" s="294"/>
      <c r="KG70" s="294"/>
      <c r="KH70" s="294"/>
      <c r="KI70" s="294"/>
      <c r="KJ70" s="294"/>
      <c r="KK70" s="294"/>
      <c r="KL70" s="294"/>
      <c r="KM70" s="294"/>
      <c r="KN70" s="294"/>
      <c r="KO70" s="294"/>
      <c r="KP70" s="294"/>
      <c r="KQ70" s="294"/>
      <c r="KR70" s="294"/>
      <c r="KS70" s="294"/>
      <c r="KT70" s="294"/>
      <c r="KU70" s="294"/>
      <c r="KV70" s="294"/>
      <c r="KW70" s="294"/>
      <c r="KX70" s="294"/>
      <c r="KY70" s="294"/>
      <c r="KZ70" s="294"/>
      <c r="LA70" s="294"/>
      <c r="LB70" s="294"/>
      <c r="LC70" s="294"/>
      <c r="LD70" s="294"/>
      <c r="LE70" s="294"/>
      <c r="LF70" s="294"/>
      <c r="LG70" s="294"/>
      <c r="LH70" s="294"/>
      <c r="LI70" s="294"/>
      <c r="LJ70" s="294"/>
      <c r="LK70" s="294"/>
      <c r="LL70" s="294"/>
      <c r="LM70" s="294"/>
      <c r="LN70" s="294"/>
      <c r="LO70" s="294"/>
      <c r="LP70" s="294"/>
      <c r="LQ70" s="294"/>
      <c r="LR70" s="294"/>
      <c r="LS70" s="294"/>
      <c r="LT70" s="294"/>
      <c r="LU70" s="294"/>
      <c r="LV70" s="294"/>
      <c r="LW70" s="294"/>
      <c r="LX70" s="294"/>
      <c r="LY70" s="294"/>
      <c r="LZ70" s="294"/>
      <c r="MA70" s="294"/>
      <c r="MB70" s="294"/>
      <c r="MC70" s="294"/>
      <c r="MD70" s="294"/>
      <c r="ME70" s="294"/>
      <c r="MF70" s="294"/>
      <c r="MG70" s="294"/>
      <c r="MH70" s="294"/>
      <c r="MI70" s="294"/>
      <c r="MJ70" s="294"/>
      <c r="MK70" s="294"/>
      <c r="ML70" s="294"/>
      <c r="MM70" s="294"/>
      <c r="MN70" s="294"/>
      <c r="MO70" s="294"/>
      <c r="MP70" s="294"/>
      <c r="MQ70" s="294"/>
      <c r="MR70" s="294"/>
      <c r="MS70" s="294"/>
      <c r="MT70" s="294"/>
      <c r="MU70" s="294"/>
      <c r="MV70" s="294"/>
      <c r="MW70" s="294"/>
      <c r="MX70" s="294"/>
      <c r="MY70" s="294"/>
      <c r="MZ70" s="294"/>
      <c r="NA70" s="294"/>
      <c r="NB70" s="294"/>
      <c r="NC70" s="294"/>
      <c r="ND70" s="294"/>
      <c r="NE70" s="294"/>
      <c r="NF70" s="294"/>
      <c r="NG70" s="294"/>
      <c r="NH70" s="294"/>
      <c r="NI70" s="294"/>
      <c r="NJ70" s="294"/>
      <c r="NK70" s="294"/>
      <c r="NL70" s="294"/>
      <c r="NM70" s="294"/>
      <c r="NN70" s="294"/>
      <c r="NO70" s="294"/>
      <c r="NP70" s="294"/>
      <c r="NQ70" s="294"/>
      <c r="NR70" s="294"/>
      <c r="NS70" s="294">
        <v>0</v>
      </c>
      <c r="NT70" s="294">
        <v>0</v>
      </c>
      <c r="NU70" s="294"/>
      <c r="NV70" s="294"/>
      <c r="NW70" s="294"/>
      <c r="NX70" s="294"/>
      <c r="NY70" s="294"/>
      <c r="NZ70" s="294"/>
      <c r="OA70" s="294"/>
      <c r="OB70" s="294"/>
      <c r="OC70" s="294"/>
      <c r="OD70" s="294"/>
      <c r="OE70" s="294"/>
      <c r="OF70" s="294"/>
      <c r="OG70" s="294"/>
      <c r="OH70" s="294"/>
      <c r="OI70" s="294"/>
      <c r="OJ70" s="294"/>
      <c r="OK70" s="294"/>
      <c r="OL70" s="294"/>
      <c r="OM70" s="294"/>
      <c r="ON70" s="294"/>
      <c r="OO70" s="294"/>
      <c r="OP70" s="294"/>
      <c r="OQ70" s="294"/>
      <c r="OR70" s="294"/>
      <c r="OS70" s="294"/>
      <c r="OT70" s="294"/>
      <c r="OU70" s="294"/>
      <c r="OV70" s="294"/>
      <c r="OW70" s="294"/>
      <c r="OX70" s="294"/>
      <c r="OY70" s="294"/>
      <c r="OZ70" s="294"/>
      <c r="PA70" s="294"/>
      <c r="PB70" s="294"/>
      <c r="PC70" s="294"/>
      <c r="PD70" s="294"/>
      <c r="PE70" s="294"/>
      <c r="PF70" s="294"/>
      <c r="PG70" s="294"/>
      <c r="PH70" s="294"/>
      <c r="PI70" s="294"/>
      <c r="PJ70" s="294"/>
      <c r="PK70" s="294"/>
      <c r="PL70" s="294"/>
      <c r="PM70" s="294"/>
      <c r="PN70" s="294"/>
      <c r="PO70" s="294"/>
      <c r="PP70" s="294"/>
      <c r="PQ70" s="294"/>
      <c r="PR70" s="294"/>
      <c r="PS70" s="294"/>
      <c r="PT70" s="294"/>
      <c r="PU70" s="294"/>
      <c r="PV70" s="294"/>
      <c r="PW70" s="294"/>
      <c r="PX70" s="294"/>
      <c r="PY70" s="294"/>
      <c r="PZ70" s="294"/>
      <c r="QA70" s="294"/>
      <c r="QB70" s="294"/>
      <c r="QC70" s="294"/>
      <c r="QD70" s="294"/>
      <c r="QE70" s="294"/>
      <c r="QF70" s="294"/>
      <c r="QG70" s="294"/>
      <c r="QH70" s="294"/>
      <c r="QI70" s="294"/>
      <c r="QJ70" s="294"/>
      <c r="QK70" s="294"/>
      <c r="QL70" s="294"/>
      <c r="QM70" s="294"/>
      <c r="QN70" s="294"/>
      <c r="QO70" s="294"/>
      <c r="QP70" s="294"/>
      <c r="QQ70" s="294"/>
      <c r="QR70" s="294"/>
      <c r="QS70" s="294"/>
      <c r="QT70" s="294"/>
      <c r="QU70" s="294"/>
      <c r="QV70" s="294"/>
      <c r="QW70" s="294"/>
      <c r="QX70" s="294"/>
      <c r="QY70" s="294"/>
      <c r="QZ70" s="294"/>
      <c r="RA70" s="294"/>
      <c r="RB70" s="294"/>
      <c r="RC70" s="294"/>
      <c r="RD70" s="294"/>
      <c r="RE70" s="294"/>
      <c r="RF70" s="294"/>
      <c r="RG70" s="294"/>
      <c r="RH70" s="294"/>
      <c r="RI70" s="294"/>
      <c r="RJ70" s="294"/>
      <c r="RK70" s="294"/>
      <c r="RL70" s="294"/>
      <c r="RM70" s="294"/>
      <c r="RN70" s="294"/>
      <c r="RO70" s="294"/>
      <c r="RP70" s="294"/>
      <c r="RQ70" s="294">
        <v>0</v>
      </c>
      <c r="RR70" s="294"/>
      <c r="RS70" s="294"/>
      <c r="RT70" s="294"/>
      <c r="RU70" s="294"/>
      <c r="RV70" s="294"/>
      <c r="RW70" s="294"/>
      <c r="RX70" s="294"/>
      <c r="RY70" s="294"/>
      <c r="RZ70" s="294"/>
      <c r="SA70" s="294"/>
      <c r="SB70" s="294"/>
      <c r="SC70" s="294"/>
      <c r="SD70" s="294"/>
      <c r="SE70" s="294"/>
      <c r="SF70" s="294"/>
      <c r="SG70" s="294"/>
      <c r="SH70" s="294"/>
      <c r="SI70" s="294"/>
      <c r="SJ70" s="294"/>
      <c r="SK70" s="294"/>
      <c r="SL70" s="294"/>
      <c r="SM70" s="294"/>
      <c r="SN70" s="294"/>
      <c r="SO70" s="294"/>
      <c r="SP70" s="294"/>
      <c r="SQ70" s="294"/>
      <c r="SR70" s="294"/>
      <c r="SS70" s="294"/>
      <c r="ST70" s="294"/>
      <c r="SU70" s="294"/>
      <c r="SV70" s="294"/>
      <c r="SW70" s="294"/>
      <c r="SX70" s="294"/>
      <c r="SY70" s="294"/>
      <c r="SZ70" s="294"/>
      <c r="TA70" s="294"/>
      <c r="TB70" s="294"/>
      <c r="TC70" s="294"/>
      <c r="TD70" s="294"/>
      <c r="TE70" s="294"/>
      <c r="TF70" s="294"/>
      <c r="TG70" s="294"/>
      <c r="TH70" s="294"/>
      <c r="TI70" s="294"/>
      <c r="TJ70" s="294"/>
      <c r="TK70" s="294"/>
      <c r="TL70" s="294"/>
      <c r="TM70" s="294"/>
      <c r="TN70" s="294"/>
      <c r="TO70" s="294"/>
      <c r="TP70" s="294"/>
      <c r="TQ70" s="294"/>
      <c r="TR70" s="294"/>
      <c r="TS70" s="294"/>
      <c r="TT70" s="294"/>
      <c r="TU70" s="294"/>
      <c r="TV70" s="294"/>
      <c r="TW70" s="294"/>
      <c r="TX70" s="294"/>
      <c r="TY70" s="294"/>
      <c r="TZ70" s="294"/>
      <c r="UA70" s="294"/>
      <c r="UB70" s="294"/>
      <c r="UC70" s="294"/>
      <c r="UD70" s="294"/>
      <c r="UE70" s="294"/>
      <c r="UF70" s="294"/>
      <c r="UG70" s="294"/>
      <c r="UH70" s="294"/>
      <c r="UI70" s="294"/>
      <c r="UJ70" s="294"/>
      <c r="UK70" s="294"/>
      <c r="UL70" s="294"/>
      <c r="UM70" s="294"/>
      <c r="UN70" s="294"/>
      <c r="UO70" s="294"/>
      <c r="UP70" s="294"/>
      <c r="UQ70" s="294"/>
      <c r="UR70" s="294"/>
      <c r="US70" s="294"/>
      <c r="UT70" s="294"/>
      <c r="UU70" s="294"/>
      <c r="UV70" s="294"/>
      <c r="UW70" s="294"/>
      <c r="UX70" s="294"/>
      <c r="UY70" s="294"/>
      <c r="UZ70" s="294"/>
      <c r="VA70" s="294"/>
      <c r="VB70" s="294"/>
      <c r="VC70" s="294"/>
      <c r="VD70" s="294"/>
      <c r="VE70" s="294"/>
      <c r="VF70" s="294"/>
      <c r="VG70" s="294"/>
      <c r="VH70" s="294"/>
      <c r="VI70" s="294"/>
      <c r="VJ70" s="294"/>
      <c r="VK70" s="294"/>
      <c r="VL70" s="294"/>
      <c r="VM70" s="294"/>
      <c r="VN70" s="294"/>
      <c r="VO70" s="294"/>
      <c r="VP70" s="294"/>
      <c r="VQ70" s="294"/>
      <c r="VR70" s="294"/>
      <c r="VS70" s="294"/>
      <c r="VT70" s="294"/>
      <c r="VU70" s="294"/>
      <c r="VV70" s="294"/>
      <c r="VW70" s="294"/>
      <c r="VX70" s="294"/>
      <c r="VY70" s="294"/>
      <c r="VZ70" s="294"/>
      <c r="WA70" s="294"/>
      <c r="WB70" s="294"/>
      <c r="WC70" s="294"/>
      <c r="WD70" s="294"/>
      <c r="WE70" s="294"/>
      <c r="WF70" s="294"/>
      <c r="WG70" s="294"/>
      <c r="WH70" s="294"/>
      <c r="WI70" s="294"/>
      <c r="WJ70" s="294"/>
      <c r="WK70" s="294"/>
      <c r="WL70" s="294"/>
      <c r="WM70" s="294"/>
      <c r="WN70" s="294"/>
      <c r="WO70" s="294"/>
      <c r="WP70" s="294"/>
      <c r="WQ70" s="294"/>
      <c r="WR70" s="294"/>
      <c r="WS70" s="294"/>
      <c r="WT70" s="294"/>
      <c r="WU70" s="294"/>
      <c r="WV70" s="294"/>
      <c r="WW70" s="294"/>
      <c r="WX70" s="294"/>
      <c r="WY70" s="294"/>
      <c r="WZ70" s="294"/>
      <c r="XA70" s="294"/>
      <c r="XB70" s="294"/>
      <c r="XC70" s="294"/>
      <c r="XD70" s="294"/>
      <c r="XE70" s="294"/>
      <c r="XF70" s="294"/>
      <c r="XG70" s="294"/>
      <c r="XH70" s="294"/>
      <c r="XI70" s="294"/>
      <c r="XJ70" s="294"/>
      <c r="XK70" s="294"/>
      <c r="XL70" s="294"/>
      <c r="XM70" s="294"/>
      <c r="XN70" s="294"/>
      <c r="XO70" s="294"/>
      <c r="XP70" s="294"/>
      <c r="XQ70" s="294"/>
      <c r="XR70" s="294"/>
      <c r="XS70" s="294"/>
      <c r="XT70" s="294"/>
      <c r="XU70" s="294"/>
      <c r="XV70" s="294"/>
      <c r="XW70" s="294"/>
      <c r="XX70" s="294"/>
      <c r="XY70" s="294"/>
      <c r="XZ70" s="294"/>
      <c r="YA70" s="294"/>
      <c r="YB70" s="294"/>
      <c r="YC70" s="294"/>
      <c r="YD70" s="294"/>
      <c r="YE70" s="294"/>
      <c r="YF70" s="294"/>
      <c r="YG70" s="294"/>
      <c r="YH70" s="294"/>
      <c r="YI70" s="294"/>
      <c r="YJ70" s="294"/>
      <c r="YK70" s="294"/>
      <c r="YL70" s="294"/>
      <c r="YM70" s="294"/>
      <c r="YN70" s="294"/>
      <c r="YO70" s="294"/>
      <c r="YP70" s="294"/>
      <c r="YQ70" s="294"/>
      <c r="YR70" s="294"/>
      <c r="YS70" s="294"/>
      <c r="YT70" s="294"/>
      <c r="YU70" s="294"/>
      <c r="YV70" s="294"/>
      <c r="YW70" s="294"/>
      <c r="YX70" s="294"/>
      <c r="YY70" s="294"/>
      <c r="YZ70" s="294"/>
      <c r="ZA70" s="294"/>
      <c r="ZB70" s="294"/>
      <c r="ZC70" s="294"/>
      <c r="ZD70" s="294"/>
      <c r="ZE70" s="294"/>
      <c r="ZF70" s="294"/>
      <c r="ZG70" s="294"/>
      <c r="ZH70" s="294"/>
      <c r="ZI70" s="294"/>
      <c r="ZJ70" s="294"/>
      <c r="ZK70" s="294"/>
      <c r="ZL70" s="294"/>
      <c r="ZM70" s="294"/>
      <c r="ZN70" s="294"/>
      <c r="ZO70" s="294"/>
      <c r="ZP70" s="294"/>
      <c r="ZQ70" s="294"/>
      <c r="ZR70" s="294"/>
      <c r="ZS70" s="294"/>
      <c r="ZT70" s="294"/>
      <c r="ZU70" s="294"/>
      <c r="ZV70" s="294"/>
      <c r="ZW70" s="294"/>
      <c r="ZX70" s="294"/>
      <c r="ZY70" s="294"/>
      <c r="ZZ70" s="294"/>
      <c r="AAA70" s="294"/>
      <c r="AAB70" s="294"/>
      <c r="AAC70" s="294"/>
      <c r="AAD70" s="294"/>
      <c r="AAE70" s="294"/>
      <c r="AAF70" s="294"/>
      <c r="AAG70" s="294"/>
      <c r="AAH70" s="294"/>
      <c r="AAI70" s="294"/>
      <c r="AAJ70" s="294"/>
      <c r="AAK70" s="294"/>
      <c r="AAL70" s="294"/>
      <c r="AAM70" s="294"/>
      <c r="AAN70" s="294"/>
      <c r="AAO70" s="294"/>
      <c r="AAP70" s="294"/>
      <c r="AAQ70" s="294"/>
      <c r="AAR70" s="294"/>
      <c r="AAS70" s="294"/>
      <c r="AAT70" s="294"/>
      <c r="AAU70" s="294"/>
      <c r="AAV70" s="294"/>
      <c r="AAW70" s="294"/>
      <c r="AAX70" s="294"/>
      <c r="AAY70" s="294"/>
      <c r="AAZ70" s="294"/>
      <c r="ABA70" s="294"/>
      <c r="ABB70" s="294"/>
      <c r="ABC70" s="294">
        <v>0</v>
      </c>
      <c r="ABD70" s="294"/>
      <c r="ABE70" s="294"/>
      <c r="ABF70" s="294"/>
      <c r="ABG70" s="294"/>
      <c r="ABH70" s="294"/>
      <c r="ABI70" s="294"/>
      <c r="ABJ70" s="294"/>
      <c r="ABK70" s="294">
        <v>0</v>
      </c>
      <c r="ABL70" s="294"/>
      <c r="ABM70" s="294"/>
      <c r="ABN70" s="294"/>
      <c r="ABO70" s="294"/>
      <c r="ABP70" s="294"/>
      <c r="ABQ70" s="294"/>
      <c r="ABR70" s="294"/>
      <c r="ABS70" s="294"/>
      <c r="ABT70" s="294"/>
      <c r="ABU70" s="294"/>
      <c r="ABV70" s="294"/>
      <c r="ABW70" s="294"/>
      <c r="ABX70" s="294"/>
      <c r="ABY70" s="294"/>
      <c r="ABZ70" s="294"/>
      <c r="ACA70" s="294"/>
      <c r="ACB70" s="294"/>
      <c r="ACC70" s="294"/>
      <c r="ACD70" s="294"/>
      <c r="ACE70" s="294"/>
      <c r="ACF70" s="294"/>
      <c r="ACG70" s="294"/>
      <c r="ACH70" s="294"/>
      <c r="ACI70" s="294"/>
      <c r="ACJ70" s="294"/>
      <c r="ACK70" s="294"/>
      <c r="ACL70" s="294"/>
      <c r="ACM70" s="294"/>
      <c r="ACN70" s="294"/>
      <c r="ACO70" s="294"/>
      <c r="ACP70" s="294"/>
      <c r="ACQ70" s="294"/>
      <c r="ACR70" s="294"/>
      <c r="ACS70" s="294"/>
      <c r="ACT70" s="294"/>
      <c r="ACU70" s="294"/>
      <c r="ACV70" s="294"/>
      <c r="ACW70" s="294"/>
      <c r="ACX70" s="294"/>
      <c r="ACY70" s="294"/>
      <c r="ACZ70" s="294"/>
      <c r="ADA70" s="294"/>
      <c r="ADB70" s="294"/>
      <c r="ADC70" s="294"/>
      <c r="ADD70" s="294"/>
      <c r="ADE70" s="294"/>
      <c r="ADF70" s="294"/>
      <c r="ADG70" s="294"/>
      <c r="ADH70" s="294"/>
      <c r="ADI70" s="294"/>
      <c r="ADJ70" s="294"/>
      <c r="ADK70" s="294"/>
      <c r="ADL70" s="294"/>
      <c r="ADM70" s="294"/>
      <c r="ADN70" s="294"/>
      <c r="ADO70" s="294"/>
      <c r="ADP70" s="294"/>
      <c r="ADQ70" s="294"/>
      <c r="ADR70" s="294"/>
      <c r="ADS70" s="294"/>
      <c r="ADT70" s="294"/>
      <c r="ADU70" s="294"/>
      <c r="ADV70" s="294"/>
      <c r="ADW70" s="294"/>
      <c r="ADX70" s="294"/>
      <c r="ADY70" s="294"/>
      <c r="ADZ70" s="294"/>
      <c r="AEA70" s="294"/>
      <c r="AEB70" s="294"/>
      <c r="AEC70" s="294"/>
      <c r="AED70" s="294"/>
      <c r="AEE70" s="294"/>
      <c r="AEF70" s="294"/>
      <c r="AEG70" s="294"/>
      <c r="AEH70" s="294"/>
      <c r="AEI70" s="294"/>
      <c r="AEJ70" s="294"/>
      <c r="AEK70" s="294"/>
      <c r="AEL70" s="294"/>
      <c r="AEM70" s="294"/>
      <c r="AEN70" s="294"/>
      <c r="AEO70" s="294"/>
      <c r="AEP70" s="294"/>
      <c r="AEQ70" s="294"/>
      <c r="AER70" s="294"/>
      <c r="AES70" s="294"/>
      <c r="AET70" s="294"/>
      <c r="AEU70" s="294"/>
      <c r="AEV70" s="294"/>
      <c r="AEW70" s="294"/>
      <c r="AEX70" s="294"/>
      <c r="AEY70" s="294"/>
      <c r="AEZ70" s="294"/>
      <c r="AFA70" s="294"/>
      <c r="AFB70" s="294"/>
      <c r="AFC70" s="294"/>
      <c r="AFD70" s="294"/>
      <c r="AFE70" s="294"/>
      <c r="AFF70" s="294"/>
      <c r="AFG70" s="294"/>
      <c r="AFH70" s="294"/>
      <c r="AFI70" s="294"/>
      <c r="AFJ70" s="294"/>
      <c r="AFK70" s="294"/>
      <c r="AFL70" s="294"/>
      <c r="AFM70" s="294"/>
      <c r="AFN70" s="294"/>
      <c r="AFO70" s="294"/>
      <c r="AFP70" s="294"/>
      <c r="AFQ70" s="294"/>
      <c r="AFR70" s="294"/>
      <c r="AFS70" s="294"/>
      <c r="AFT70" s="294"/>
      <c r="AFU70" s="294"/>
      <c r="AFV70" s="294"/>
      <c r="AFW70" s="294"/>
      <c r="AFX70" s="294"/>
      <c r="AFY70" s="294"/>
      <c r="AFZ70" s="294"/>
      <c r="AGA70" s="294"/>
      <c r="AGB70" s="294"/>
      <c r="AGC70" s="294"/>
      <c r="AGD70" s="294"/>
      <c r="AGE70" s="294"/>
      <c r="AGF70" s="294"/>
      <c r="AGG70" s="294"/>
      <c r="AGH70" s="294"/>
      <c r="AGI70" s="294"/>
      <c r="AGJ70" s="294"/>
      <c r="AGK70" s="294"/>
      <c r="AGL70" s="294"/>
      <c r="AGM70" s="294"/>
      <c r="AGN70" s="294"/>
      <c r="AGO70" s="294"/>
      <c r="AGP70" s="294"/>
      <c r="AGQ70" s="294"/>
      <c r="AGR70" s="294"/>
      <c r="AGS70" s="294"/>
      <c r="AGT70" s="294"/>
      <c r="AGU70" s="294"/>
      <c r="AGV70" s="294"/>
      <c r="AGW70" s="294"/>
      <c r="AGX70" s="294"/>
      <c r="AGY70" s="294"/>
      <c r="AGZ70" s="294"/>
      <c r="AHA70" s="294"/>
      <c r="AHB70" s="294"/>
      <c r="AHC70" s="294"/>
      <c r="AHD70" s="294"/>
      <c r="AHE70" s="294"/>
      <c r="AHF70" s="294"/>
      <c r="AHG70" s="294"/>
      <c r="AHH70" s="294"/>
      <c r="AHI70" s="294"/>
      <c r="AHJ70" s="294"/>
      <c r="AHK70" s="294"/>
      <c r="AHL70" s="294"/>
      <c r="AHM70" s="294"/>
      <c r="AHN70" s="294"/>
      <c r="AHO70" s="294"/>
      <c r="AHP70" s="294"/>
      <c r="AHQ70" s="294"/>
      <c r="AHR70" s="331"/>
      <c r="AHS70" s="294">
        <f t="shared" si="51"/>
        <v>0</v>
      </c>
      <c r="AHT70" s="269" t="b">
        <f t="shared" si="52"/>
        <v>1</v>
      </c>
      <c r="AHU70" s="269" t="s">
        <v>6278</v>
      </c>
      <c r="AHV70" s="269" t="s">
        <v>6083</v>
      </c>
      <c r="AHW70" s="269" t="s">
        <v>6084</v>
      </c>
    </row>
    <row r="71" spans="1:907" ht="24.6" x14ac:dyDescent="0.7">
      <c r="A71" s="268" t="s">
        <v>6278</v>
      </c>
      <c r="B71" s="268" t="s">
        <v>6085</v>
      </c>
      <c r="C71" s="269" t="s">
        <v>6086</v>
      </c>
      <c r="D71" s="294"/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294"/>
      <c r="DL71" s="294"/>
      <c r="DM71" s="294"/>
      <c r="DN71" s="294"/>
      <c r="DO71" s="294"/>
      <c r="DP71" s="294"/>
      <c r="DQ71" s="294"/>
      <c r="DR71" s="294"/>
      <c r="DS71" s="294"/>
      <c r="DT71" s="294"/>
      <c r="DU71" s="294"/>
      <c r="DV71" s="294"/>
      <c r="DW71" s="294"/>
      <c r="DX71" s="294"/>
      <c r="DY71" s="294"/>
      <c r="DZ71" s="294"/>
      <c r="EA71" s="294"/>
      <c r="EB71" s="294"/>
      <c r="EC71" s="294"/>
      <c r="ED71" s="294"/>
      <c r="EE71" s="294"/>
      <c r="EF71" s="294"/>
      <c r="EG71" s="294"/>
      <c r="EH71" s="294"/>
      <c r="EI71" s="294"/>
      <c r="EJ71" s="294"/>
      <c r="EK71" s="294"/>
      <c r="EL71" s="294"/>
      <c r="EM71" s="294"/>
      <c r="EN71" s="294"/>
      <c r="EO71" s="294"/>
      <c r="EP71" s="294"/>
      <c r="EQ71" s="294"/>
      <c r="ER71" s="294"/>
      <c r="ES71" s="294"/>
      <c r="ET71" s="294"/>
      <c r="EU71" s="294"/>
      <c r="EV71" s="294"/>
      <c r="EW71" s="294"/>
      <c r="EX71" s="294"/>
      <c r="EY71" s="294"/>
      <c r="EZ71" s="294"/>
      <c r="FA71" s="294"/>
      <c r="FB71" s="294"/>
      <c r="FC71" s="294"/>
      <c r="FD71" s="294"/>
      <c r="FE71" s="294"/>
      <c r="FF71" s="294"/>
      <c r="FG71" s="294"/>
      <c r="FH71" s="294"/>
      <c r="FI71" s="294"/>
      <c r="FJ71" s="294"/>
      <c r="FK71" s="294"/>
      <c r="FL71" s="294"/>
      <c r="FM71" s="294"/>
      <c r="FN71" s="294"/>
      <c r="FO71" s="294"/>
      <c r="FP71" s="294"/>
      <c r="FQ71" s="294"/>
      <c r="FR71" s="294"/>
      <c r="FS71" s="294"/>
      <c r="FT71" s="294"/>
      <c r="FU71" s="294"/>
      <c r="FV71" s="294"/>
      <c r="FW71" s="294"/>
      <c r="FX71" s="294"/>
      <c r="FY71" s="294"/>
      <c r="FZ71" s="294"/>
      <c r="GA71" s="294"/>
      <c r="GB71" s="294"/>
      <c r="GC71" s="294"/>
      <c r="GD71" s="294"/>
      <c r="GE71" s="294"/>
      <c r="GF71" s="294"/>
      <c r="GG71" s="294"/>
      <c r="GH71" s="294"/>
      <c r="GI71" s="294"/>
      <c r="GJ71" s="294"/>
      <c r="GK71" s="294"/>
      <c r="GL71" s="294"/>
      <c r="GM71" s="294"/>
      <c r="GN71" s="294"/>
      <c r="GO71" s="294"/>
      <c r="GP71" s="294"/>
      <c r="GQ71" s="294"/>
      <c r="GR71" s="294"/>
      <c r="GS71" s="294"/>
      <c r="GT71" s="294"/>
      <c r="GU71" s="294"/>
      <c r="GV71" s="294"/>
      <c r="GW71" s="294"/>
      <c r="GX71" s="294"/>
      <c r="GY71" s="294"/>
      <c r="GZ71" s="294"/>
      <c r="HA71" s="294"/>
      <c r="HB71" s="294"/>
      <c r="HC71" s="294"/>
      <c r="HD71" s="294"/>
      <c r="HE71" s="294"/>
      <c r="HF71" s="294"/>
      <c r="HG71" s="294"/>
      <c r="HH71" s="294"/>
      <c r="HI71" s="294"/>
      <c r="HJ71" s="294"/>
      <c r="HK71" s="294"/>
      <c r="HL71" s="294"/>
      <c r="HM71" s="294"/>
      <c r="HN71" s="294"/>
      <c r="HO71" s="294"/>
      <c r="HP71" s="294"/>
      <c r="HQ71" s="294"/>
      <c r="HR71" s="294"/>
      <c r="HS71" s="294"/>
      <c r="HT71" s="294"/>
      <c r="HU71" s="294"/>
      <c r="HV71" s="294"/>
      <c r="HW71" s="294"/>
      <c r="HX71" s="294"/>
      <c r="HY71" s="294"/>
      <c r="HZ71" s="294"/>
      <c r="IA71" s="294"/>
      <c r="IB71" s="294"/>
      <c r="IC71" s="294"/>
      <c r="ID71" s="294"/>
      <c r="IE71" s="294"/>
      <c r="IF71" s="294"/>
      <c r="IG71" s="294"/>
      <c r="IH71" s="294"/>
      <c r="II71" s="294"/>
      <c r="IJ71" s="294"/>
      <c r="IK71" s="294"/>
      <c r="IL71" s="294"/>
      <c r="IM71" s="294"/>
      <c r="IN71" s="294"/>
      <c r="IO71" s="294"/>
      <c r="IP71" s="294"/>
      <c r="IQ71" s="294"/>
      <c r="IR71" s="294"/>
      <c r="IS71" s="294"/>
      <c r="IT71" s="294"/>
      <c r="IU71" s="294"/>
      <c r="IV71" s="294"/>
      <c r="IW71" s="294"/>
      <c r="IX71" s="294"/>
      <c r="IY71" s="294"/>
      <c r="IZ71" s="294"/>
      <c r="JA71" s="294"/>
      <c r="JB71" s="294"/>
      <c r="JC71" s="294"/>
      <c r="JD71" s="294"/>
      <c r="JE71" s="294"/>
      <c r="JF71" s="294"/>
      <c r="JG71" s="294"/>
      <c r="JH71" s="294"/>
      <c r="JI71" s="294"/>
      <c r="JJ71" s="294"/>
      <c r="JK71" s="294"/>
      <c r="JL71" s="294"/>
      <c r="JM71" s="294"/>
      <c r="JN71" s="294"/>
      <c r="JO71" s="294"/>
      <c r="JP71" s="294"/>
      <c r="JQ71" s="294"/>
      <c r="JR71" s="294"/>
      <c r="JS71" s="294"/>
      <c r="JT71" s="294"/>
      <c r="JU71" s="294"/>
      <c r="JV71" s="294"/>
      <c r="JW71" s="294"/>
      <c r="JX71" s="294"/>
      <c r="JY71" s="294"/>
      <c r="JZ71" s="294"/>
      <c r="KA71" s="294"/>
      <c r="KB71" s="294"/>
      <c r="KC71" s="294"/>
      <c r="KD71" s="294"/>
      <c r="KE71" s="294"/>
      <c r="KF71" s="294"/>
      <c r="KG71" s="294"/>
      <c r="KH71" s="294"/>
      <c r="KI71" s="294"/>
      <c r="KJ71" s="294"/>
      <c r="KK71" s="294"/>
      <c r="KL71" s="294"/>
      <c r="KM71" s="294"/>
      <c r="KN71" s="294"/>
      <c r="KO71" s="294"/>
      <c r="KP71" s="294"/>
      <c r="KQ71" s="294"/>
      <c r="KR71" s="294"/>
      <c r="KS71" s="294"/>
      <c r="KT71" s="294"/>
      <c r="KU71" s="294"/>
      <c r="KV71" s="294"/>
      <c r="KW71" s="294"/>
      <c r="KX71" s="294"/>
      <c r="KY71" s="294"/>
      <c r="KZ71" s="294"/>
      <c r="LA71" s="294"/>
      <c r="LB71" s="294"/>
      <c r="LC71" s="294"/>
      <c r="LD71" s="294"/>
      <c r="LE71" s="294"/>
      <c r="LF71" s="294"/>
      <c r="LG71" s="294"/>
      <c r="LH71" s="294"/>
      <c r="LI71" s="294"/>
      <c r="LJ71" s="294"/>
      <c r="LK71" s="294"/>
      <c r="LL71" s="294"/>
      <c r="LM71" s="294"/>
      <c r="LN71" s="294"/>
      <c r="LO71" s="294"/>
      <c r="LP71" s="294"/>
      <c r="LQ71" s="294"/>
      <c r="LR71" s="294"/>
      <c r="LS71" s="294"/>
      <c r="LT71" s="294"/>
      <c r="LU71" s="294"/>
      <c r="LV71" s="294"/>
      <c r="LW71" s="294"/>
      <c r="LX71" s="294"/>
      <c r="LY71" s="294"/>
      <c r="LZ71" s="294"/>
      <c r="MA71" s="294"/>
      <c r="MB71" s="294"/>
      <c r="MC71" s="294"/>
      <c r="MD71" s="294"/>
      <c r="ME71" s="294"/>
      <c r="MF71" s="294"/>
      <c r="MG71" s="294"/>
      <c r="MH71" s="294"/>
      <c r="MI71" s="294"/>
      <c r="MJ71" s="294"/>
      <c r="MK71" s="294"/>
      <c r="ML71" s="294"/>
      <c r="MM71" s="294"/>
      <c r="MN71" s="294"/>
      <c r="MO71" s="294"/>
      <c r="MP71" s="294"/>
      <c r="MQ71" s="294"/>
      <c r="MR71" s="294"/>
      <c r="MS71" s="294"/>
      <c r="MT71" s="294"/>
      <c r="MU71" s="294"/>
      <c r="MV71" s="294"/>
      <c r="MW71" s="294"/>
      <c r="MX71" s="294"/>
      <c r="MY71" s="294"/>
      <c r="MZ71" s="294"/>
      <c r="NA71" s="294"/>
      <c r="NB71" s="294"/>
      <c r="NC71" s="294"/>
      <c r="ND71" s="294"/>
      <c r="NE71" s="294"/>
      <c r="NF71" s="294"/>
      <c r="NG71" s="294"/>
      <c r="NH71" s="294"/>
      <c r="NI71" s="294"/>
      <c r="NJ71" s="294"/>
      <c r="NK71" s="294"/>
      <c r="NL71" s="294"/>
      <c r="NM71" s="294"/>
      <c r="NN71" s="294"/>
      <c r="NO71" s="294"/>
      <c r="NP71" s="294"/>
      <c r="NQ71" s="294"/>
      <c r="NR71" s="294"/>
      <c r="NS71" s="294">
        <v>-1600</v>
      </c>
      <c r="NT71" s="294"/>
      <c r="NU71" s="294"/>
      <c r="NV71" s="294"/>
      <c r="NW71" s="294"/>
      <c r="NX71" s="294"/>
      <c r="NY71" s="294"/>
      <c r="NZ71" s="294"/>
      <c r="OA71" s="294"/>
      <c r="OB71" s="294"/>
      <c r="OC71" s="294"/>
      <c r="OD71" s="294"/>
      <c r="OE71" s="294"/>
      <c r="OF71" s="294"/>
      <c r="OG71" s="294"/>
      <c r="OH71" s="294"/>
      <c r="OI71" s="294"/>
      <c r="OJ71" s="294"/>
      <c r="OK71" s="294"/>
      <c r="OL71" s="294"/>
      <c r="OM71" s="294"/>
      <c r="ON71" s="294"/>
      <c r="OO71" s="294"/>
      <c r="OP71" s="294"/>
      <c r="OQ71" s="294"/>
      <c r="OR71" s="294"/>
      <c r="OS71" s="294"/>
      <c r="OT71" s="294"/>
      <c r="OU71" s="294"/>
      <c r="OV71" s="294"/>
      <c r="OW71" s="294"/>
      <c r="OX71" s="294"/>
      <c r="OY71" s="294"/>
      <c r="OZ71" s="294"/>
      <c r="PA71" s="294"/>
      <c r="PB71" s="294"/>
      <c r="PC71" s="294"/>
      <c r="PD71" s="294"/>
      <c r="PE71" s="294"/>
      <c r="PF71" s="294"/>
      <c r="PG71" s="294"/>
      <c r="PH71" s="294"/>
      <c r="PI71" s="294"/>
      <c r="PJ71" s="294"/>
      <c r="PK71" s="294"/>
      <c r="PL71" s="294"/>
      <c r="PM71" s="294"/>
      <c r="PN71" s="294"/>
      <c r="PO71" s="294"/>
      <c r="PP71" s="294"/>
      <c r="PQ71" s="294"/>
      <c r="PR71" s="294"/>
      <c r="PS71" s="294"/>
      <c r="PT71" s="294"/>
      <c r="PU71" s="294"/>
      <c r="PV71" s="294"/>
      <c r="PW71" s="294"/>
      <c r="PX71" s="294"/>
      <c r="PY71" s="294"/>
      <c r="PZ71" s="294"/>
      <c r="QA71" s="294"/>
      <c r="QB71" s="294"/>
      <c r="QC71" s="294"/>
      <c r="QD71" s="294"/>
      <c r="QE71" s="294"/>
      <c r="QF71" s="294"/>
      <c r="QG71" s="294"/>
      <c r="QH71" s="294"/>
      <c r="QI71" s="294"/>
      <c r="QJ71" s="294"/>
      <c r="QK71" s="294"/>
      <c r="QL71" s="294"/>
      <c r="QM71" s="294"/>
      <c r="QN71" s="294"/>
      <c r="QO71" s="294"/>
      <c r="QP71" s="294"/>
      <c r="QQ71" s="294"/>
      <c r="QR71" s="294"/>
      <c r="QS71" s="294"/>
      <c r="QT71" s="294"/>
      <c r="QU71" s="294"/>
      <c r="QV71" s="294"/>
      <c r="QW71" s="294"/>
      <c r="QX71" s="294"/>
      <c r="QY71" s="294"/>
      <c r="QZ71" s="294"/>
      <c r="RA71" s="294"/>
      <c r="RB71" s="294"/>
      <c r="RC71" s="294"/>
      <c r="RD71" s="294"/>
      <c r="RE71" s="294"/>
      <c r="RF71" s="294"/>
      <c r="RG71" s="294"/>
      <c r="RH71" s="294"/>
      <c r="RI71" s="294"/>
      <c r="RJ71" s="294"/>
      <c r="RK71" s="294">
        <v>-1500</v>
      </c>
      <c r="RL71" s="294"/>
      <c r="RM71" s="294"/>
      <c r="RN71" s="294"/>
      <c r="RO71" s="294"/>
      <c r="RP71" s="294"/>
      <c r="RQ71" s="294"/>
      <c r="RR71" s="294"/>
      <c r="RS71" s="294"/>
      <c r="RT71" s="294"/>
      <c r="RU71" s="294"/>
      <c r="RV71" s="294"/>
      <c r="RW71" s="294"/>
      <c r="RX71" s="294"/>
      <c r="RY71" s="294"/>
      <c r="RZ71" s="294"/>
      <c r="SA71" s="294"/>
      <c r="SB71" s="294"/>
      <c r="SC71" s="294"/>
      <c r="SD71" s="294"/>
      <c r="SE71" s="294"/>
      <c r="SF71" s="294"/>
      <c r="SG71" s="294"/>
      <c r="SH71" s="294"/>
      <c r="SI71" s="294"/>
      <c r="SJ71" s="294"/>
      <c r="SK71" s="294"/>
      <c r="SL71" s="294"/>
      <c r="SM71" s="294"/>
      <c r="SN71" s="294"/>
      <c r="SO71" s="294"/>
      <c r="SP71" s="294"/>
      <c r="SQ71" s="294"/>
      <c r="SR71" s="294"/>
      <c r="SS71" s="294"/>
      <c r="ST71" s="294"/>
      <c r="SU71" s="294"/>
      <c r="SV71" s="294"/>
      <c r="SW71" s="294"/>
      <c r="SX71" s="294"/>
      <c r="SY71" s="294"/>
      <c r="SZ71" s="294"/>
      <c r="TA71" s="294"/>
      <c r="TB71" s="294"/>
      <c r="TC71" s="294"/>
      <c r="TD71" s="294"/>
      <c r="TE71" s="294"/>
      <c r="TF71" s="294"/>
      <c r="TG71" s="294"/>
      <c r="TH71" s="294"/>
      <c r="TI71" s="294"/>
      <c r="TJ71" s="294"/>
      <c r="TK71" s="294"/>
      <c r="TL71" s="294"/>
      <c r="TM71" s="294"/>
      <c r="TN71" s="294"/>
      <c r="TO71" s="294"/>
      <c r="TP71" s="294"/>
      <c r="TQ71" s="294"/>
      <c r="TR71" s="294"/>
      <c r="TS71" s="294"/>
      <c r="TT71" s="294"/>
      <c r="TU71" s="294"/>
      <c r="TV71" s="294"/>
      <c r="TW71" s="294"/>
      <c r="TX71" s="294"/>
      <c r="TY71" s="294"/>
      <c r="TZ71" s="294"/>
      <c r="UA71" s="294"/>
      <c r="UB71" s="294"/>
      <c r="UC71" s="294"/>
      <c r="UD71" s="294"/>
      <c r="UE71" s="294"/>
      <c r="UF71" s="294"/>
      <c r="UG71" s="294"/>
      <c r="UH71" s="294"/>
      <c r="UI71" s="294"/>
      <c r="UJ71" s="294"/>
      <c r="UK71" s="294"/>
      <c r="UL71" s="294"/>
      <c r="UM71" s="294"/>
      <c r="UN71" s="294"/>
      <c r="UO71" s="294"/>
      <c r="UP71" s="294"/>
      <c r="UQ71" s="294"/>
      <c r="UR71" s="294"/>
      <c r="US71" s="294"/>
      <c r="UT71" s="294"/>
      <c r="UU71" s="294"/>
      <c r="UV71" s="294"/>
      <c r="UW71" s="294"/>
      <c r="UX71" s="294"/>
      <c r="UY71" s="294"/>
      <c r="UZ71" s="294"/>
      <c r="VA71" s="294"/>
      <c r="VB71" s="294"/>
      <c r="VC71" s="294"/>
      <c r="VD71" s="294"/>
      <c r="VE71" s="294"/>
      <c r="VF71" s="294"/>
      <c r="VG71" s="294"/>
      <c r="VH71" s="294"/>
      <c r="VI71" s="294"/>
      <c r="VJ71" s="294"/>
      <c r="VK71" s="294"/>
      <c r="VL71" s="294"/>
      <c r="VM71" s="294"/>
      <c r="VN71" s="294"/>
      <c r="VO71" s="294"/>
      <c r="VP71" s="294"/>
      <c r="VQ71" s="294"/>
      <c r="VR71" s="294"/>
      <c r="VS71" s="294"/>
      <c r="VT71" s="294"/>
      <c r="VU71" s="294"/>
      <c r="VV71" s="294"/>
      <c r="VW71" s="294"/>
      <c r="VX71" s="294"/>
      <c r="VY71" s="294"/>
      <c r="VZ71" s="294"/>
      <c r="WA71" s="294"/>
      <c r="WB71" s="294"/>
      <c r="WC71" s="294"/>
      <c r="WD71" s="294"/>
      <c r="WE71" s="294"/>
      <c r="WF71" s="294"/>
      <c r="WG71" s="294"/>
      <c r="WH71" s="294"/>
      <c r="WI71" s="294"/>
      <c r="WJ71" s="294"/>
      <c r="WK71" s="294"/>
      <c r="WL71" s="294"/>
      <c r="WM71" s="294"/>
      <c r="WN71" s="294"/>
      <c r="WO71" s="294"/>
      <c r="WP71" s="294"/>
      <c r="WQ71" s="294"/>
      <c r="WR71" s="294"/>
      <c r="WS71" s="294"/>
      <c r="WT71" s="294"/>
      <c r="WU71" s="294"/>
      <c r="WV71" s="294"/>
      <c r="WW71" s="294"/>
      <c r="WX71" s="294"/>
      <c r="WY71" s="294"/>
      <c r="WZ71" s="294"/>
      <c r="XA71" s="294"/>
      <c r="XB71" s="294"/>
      <c r="XC71" s="294"/>
      <c r="XD71" s="294"/>
      <c r="XE71" s="294"/>
      <c r="XF71" s="294"/>
      <c r="XG71" s="294"/>
      <c r="XH71" s="294"/>
      <c r="XI71" s="294"/>
      <c r="XJ71" s="294"/>
      <c r="XK71" s="294"/>
      <c r="XL71" s="294"/>
      <c r="XM71" s="294"/>
      <c r="XN71" s="294"/>
      <c r="XO71" s="294"/>
      <c r="XP71" s="294"/>
      <c r="XQ71" s="294"/>
      <c r="XR71" s="294"/>
      <c r="XS71" s="294"/>
      <c r="XT71" s="294"/>
      <c r="XU71" s="294"/>
      <c r="XV71" s="294"/>
      <c r="XW71" s="294"/>
      <c r="XX71" s="294"/>
      <c r="XY71" s="294"/>
      <c r="XZ71" s="294"/>
      <c r="YA71" s="294"/>
      <c r="YB71" s="294"/>
      <c r="YC71" s="294"/>
      <c r="YD71" s="294"/>
      <c r="YE71" s="294"/>
      <c r="YF71" s="294"/>
      <c r="YG71" s="294"/>
      <c r="YH71" s="294"/>
      <c r="YI71" s="294"/>
      <c r="YJ71" s="294"/>
      <c r="YK71" s="294"/>
      <c r="YL71" s="294"/>
      <c r="YM71" s="294"/>
      <c r="YN71" s="294"/>
      <c r="YO71" s="294"/>
      <c r="YP71" s="294"/>
      <c r="YQ71" s="294"/>
      <c r="YR71" s="294"/>
      <c r="YS71" s="294"/>
      <c r="YT71" s="294"/>
      <c r="YU71" s="294"/>
      <c r="YV71" s="294"/>
      <c r="YW71" s="294"/>
      <c r="YX71" s="294"/>
      <c r="YY71" s="294"/>
      <c r="YZ71" s="294"/>
      <c r="ZA71" s="294"/>
      <c r="ZB71" s="294"/>
      <c r="ZC71" s="294"/>
      <c r="ZD71" s="294"/>
      <c r="ZE71" s="294"/>
      <c r="ZF71" s="294"/>
      <c r="ZG71" s="294"/>
      <c r="ZH71" s="294"/>
      <c r="ZI71" s="294"/>
      <c r="ZJ71" s="294"/>
      <c r="ZK71" s="294"/>
      <c r="ZL71" s="294"/>
      <c r="ZM71" s="294"/>
      <c r="ZN71" s="294"/>
      <c r="ZO71" s="294"/>
      <c r="ZP71" s="294"/>
      <c r="ZQ71" s="294"/>
      <c r="ZR71" s="294"/>
      <c r="ZS71" s="294"/>
      <c r="ZT71" s="294"/>
      <c r="ZU71" s="294"/>
      <c r="ZV71" s="294"/>
      <c r="ZW71" s="294"/>
      <c r="ZX71" s="294"/>
      <c r="ZY71" s="294"/>
      <c r="ZZ71" s="294"/>
      <c r="AAA71" s="294"/>
      <c r="AAB71" s="294"/>
      <c r="AAC71" s="294"/>
      <c r="AAD71" s="294"/>
      <c r="AAE71" s="294"/>
      <c r="AAF71" s="294"/>
      <c r="AAG71" s="294"/>
      <c r="AAH71" s="294"/>
      <c r="AAI71" s="294"/>
      <c r="AAJ71" s="294"/>
      <c r="AAK71" s="294"/>
      <c r="AAL71" s="294"/>
      <c r="AAM71" s="294"/>
      <c r="AAN71" s="294"/>
      <c r="AAO71" s="294"/>
      <c r="AAP71" s="294"/>
      <c r="AAQ71" s="294"/>
      <c r="AAR71" s="294"/>
      <c r="AAS71" s="294"/>
      <c r="AAT71" s="294"/>
      <c r="AAU71" s="294"/>
      <c r="AAV71" s="294"/>
      <c r="AAW71" s="294"/>
      <c r="AAX71" s="294"/>
      <c r="AAY71" s="294"/>
      <c r="AAZ71" s="294"/>
      <c r="ABA71" s="294"/>
      <c r="ABB71" s="294"/>
      <c r="ABC71" s="294">
        <v>0</v>
      </c>
      <c r="ABD71" s="294"/>
      <c r="ABE71" s="294"/>
      <c r="ABF71" s="294"/>
      <c r="ABG71" s="294"/>
      <c r="ABH71" s="294"/>
      <c r="ABI71" s="294"/>
      <c r="ABJ71" s="294"/>
      <c r="ABK71" s="294">
        <v>0</v>
      </c>
      <c r="ABL71" s="294"/>
      <c r="ABM71" s="294"/>
      <c r="ABN71" s="294"/>
      <c r="ABO71" s="294"/>
      <c r="ABP71" s="294"/>
      <c r="ABQ71" s="294"/>
      <c r="ABR71" s="294"/>
      <c r="ABS71" s="294"/>
      <c r="ABT71" s="294"/>
      <c r="ABU71" s="294"/>
      <c r="ABV71" s="294"/>
      <c r="ABW71" s="294"/>
      <c r="ABX71" s="294"/>
      <c r="ABY71" s="294"/>
      <c r="ABZ71" s="294"/>
      <c r="ACA71" s="294"/>
      <c r="ACB71" s="294"/>
      <c r="ACC71" s="294"/>
      <c r="ACD71" s="294"/>
      <c r="ACE71" s="294"/>
      <c r="ACF71" s="294"/>
      <c r="ACG71" s="294"/>
      <c r="ACH71" s="294"/>
      <c r="ACI71" s="294"/>
      <c r="ACJ71" s="294"/>
      <c r="ACK71" s="294"/>
      <c r="ACL71" s="294"/>
      <c r="ACM71" s="294"/>
      <c r="ACN71" s="294"/>
      <c r="ACO71" s="294"/>
      <c r="ACP71" s="294"/>
      <c r="ACQ71" s="294"/>
      <c r="ACR71" s="294"/>
      <c r="ACS71" s="294"/>
      <c r="ACT71" s="294"/>
      <c r="ACU71" s="294"/>
      <c r="ACV71" s="294"/>
      <c r="ACW71" s="294"/>
      <c r="ACX71" s="294"/>
      <c r="ACY71" s="294"/>
      <c r="ACZ71" s="294"/>
      <c r="ADA71" s="294"/>
      <c r="ADB71" s="294"/>
      <c r="ADC71" s="294"/>
      <c r="ADD71" s="294"/>
      <c r="ADE71" s="294"/>
      <c r="ADF71" s="294"/>
      <c r="ADG71" s="294"/>
      <c r="ADH71" s="294"/>
      <c r="ADI71" s="294"/>
      <c r="ADJ71" s="294"/>
      <c r="ADK71" s="294"/>
      <c r="ADL71" s="294"/>
      <c r="ADM71" s="294"/>
      <c r="ADN71" s="294"/>
      <c r="ADO71" s="294"/>
      <c r="ADP71" s="294"/>
      <c r="ADQ71" s="294"/>
      <c r="ADR71" s="294"/>
      <c r="ADS71" s="294"/>
      <c r="ADT71" s="294"/>
      <c r="ADU71" s="294"/>
      <c r="ADV71" s="294"/>
      <c r="ADW71" s="294"/>
      <c r="ADX71" s="294"/>
      <c r="ADY71" s="294"/>
      <c r="ADZ71" s="294"/>
      <c r="AEA71" s="294"/>
      <c r="AEB71" s="294"/>
      <c r="AEC71" s="294"/>
      <c r="AED71" s="294"/>
      <c r="AEE71" s="294"/>
      <c r="AEF71" s="294"/>
      <c r="AEG71" s="294"/>
      <c r="AEH71" s="294"/>
      <c r="AEI71" s="294"/>
      <c r="AEJ71" s="294"/>
      <c r="AEK71" s="294"/>
      <c r="AEL71" s="294"/>
      <c r="AEM71" s="294"/>
      <c r="AEN71" s="294"/>
      <c r="AEO71" s="294"/>
      <c r="AEP71" s="294"/>
      <c r="AEQ71" s="294"/>
      <c r="AER71" s="294"/>
      <c r="AES71" s="294"/>
      <c r="AET71" s="294"/>
      <c r="AEU71" s="294"/>
      <c r="AEV71" s="294"/>
      <c r="AEW71" s="294"/>
      <c r="AEX71" s="294"/>
      <c r="AEY71" s="294"/>
      <c r="AEZ71" s="294"/>
      <c r="AFA71" s="294"/>
      <c r="AFB71" s="294"/>
      <c r="AFC71" s="294"/>
      <c r="AFD71" s="294"/>
      <c r="AFE71" s="294"/>
      <c r="AFF71" s="294"/>
      <c r="AFG71" s="294"/>
      <c r="AFH71" s="294"/>
      <c r="AFI71" s="294"/>
      <c r="AFJ71" s="294"/>
      <c r="AFK71" s="294"/>
      <c r="AFL71" s="294"/>
      <c r="AFM71" s="294"/>
      <c r="AFN71" s="294"/>
      <c r="AFO71" s="294"/>
      <c r="AFP71" s="294"/>
      <c r="AFQ71" s="294"/>
      <c r="AFR71" s="294"/>
      <c r="AFS71" s="294"/>
      <c r="AFT71" s="294"/>
      <c r="AFU71" s="294"/>
      <c r="AFV71" s="294"/>
      <c r="AFW71" s="294"/>
      <c r="AFX71" s="294"/>
      <c r="AFY71" s="294"/>
      <c r="AFZ71" s="294"/>
      <c r="AGA71" s="294"/>
      <c r="AGB71" s="294"/>
      <c r="AGC71" s="294"/>
      <c r="AGD71" s="294"/>
      <c r="AGE71" s="294"/>
      <c r="AGF71" s="294"/>
      <c r="AGG71" s="294"/>
      <c r="AGH71" s="294"/>
      <c r="AGI71" s="294"/>
      <c r="AGJ71" s="294"/>
      <c r="AGK71" s="294"/>
      <c r="AGL71" s="294"/>
      <c r="AGM71" s="294"/>
      <c r="AGN71" s="294"/>
      <c r="AGO71" s="294"/>
      <c r="AGP71" s="294"/>
      <c r="AGQ71" s="294"/>
      <c r="AGR71" s="294"/>
      <c r="AGS71" s="294"/>
      <c r="AGT71" s="294"/>
      <c r="AGU71" s="294"/>
      <c r="AGV71" s="294"/>
      <c r="AGW71" s="294"/>
      <c r="AGX71" s="294"/>
      <c r="AGY71" s="294"/>
      <c r="AGZ71" s="294"/>
      <c r="AHA71" s="294"/>
      <c r="AHB71" s="294"/>
      <c r="AHC71" s="294"/>
      <c r="AHD71" s="294"/>
      <c r="AHE71" s="294"/>
      <c r="AHF71" s="294"/>
      <c r="AHG71" s="294"/>
      <c r="AHH71" s="294"/>
      <c r="AHI71" s="294"/>
      <c r="AHJ71" s="294"/>
      <c r="AHK71" s="294"/>
      <c r="AHL71" s="294"/>
      <c r="AHM71" s="294"/>
      <c r="AHN71" s="294"/>
      <c r="AHO71" s="294"/>
      <c r="AHP71" s="294"/>
      <c r="AHQ71" s="294"/>
      <c r="AHR71" s="331"/>
      <c r="AHS71" s="294">
        <f t="shared" si="51"/>
        <v>-3100</v>
      </c>
      <c r="AHT71" s="269" t="b">
        <f t="shared" si="52"/>
        <v>1</v>
      </c>
      <c r="AHU71" s="269" t="s">
        <v>6278</v>
      </c>
      <c r="AHV71" s="269" t="s">
        <v>6085</v>
      </c>
      <c r="AHW71" s="269" t="s">
        <v>6086</v>
      </c>
    </row>
    <row r="72" spans="1:907" ht="24.6" x14ac:dyDescent="0.7">
      <c r="A72" s="268" t="s">
        <v>6278</v>
      </c>
      <c r="B72" s="268" t="s">
        <v>6087</v>
      </c>
      <c r="C72" s="269" t="s">
        <v>6088</v>
      </c>
      <c r="D72" s="294">
        <v>0</v>
      </c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>
        <v>-3000</v>
      </c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>
        <v>-49658.7</v>
      </c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>
        <v>0</v>
      </c>
      <c r="DC72" s="294"/>
      <c r="DD72" s="294"/>
      <c r="DE72" s="294"/>
      <c r="DF72" s="294"/>
      <c r="DG72" s="294"/>
      <c r="DH72" s="294"/>
      <c r="DI72" s="294"/>
      <c r="DJ72" s="294"/>
      <c r="DK72" s="294"/>
      <c r="DL72" s="294"/>
      <c r="DM72" s="294"/>
      <c r="DN72" s="294"/>
      <c r="DO72" s="294"/>
      <c r="DP72" s="294"/>
      <c r="DQ72" s="294"/>
      <c r="DR72" s="294"/>
      <c r="DS72" s="294"/>
      <c r="DT72" s="294"/>
      <c r="DU72" s="294"/>
      <c r="DV72" s="294"/>
      <c r="DW72" s="294"/>
      <c r="DX72" s="294"/>
      <c r="DY72" s="294"/>
      <c r="DZ72" s="294"/>
      <c r="EA72" s="294"/>
      <c r="EB72" s="294"/>
      <c r="EC72" s="294"/>
      <c r="ED72" s="294"/>
      <c r="EE72" s="294">
        <v>0</v>
      </c>
      <c r="EF72" s="294"/>
      <c r="EG72" s="294"/>
      <c r="EH72" s="294"/>
      <c r="EI72" s="294"/>
      <c r="EJ72" s="294"/>
      <c r="EK72" s="294"/>
      <c r="EL72" s="294"/>
      <c r="EM72" s="294"/>
      <c r="EN72" s="294"/>
      <c r="EO72" s="294"/>
      <c r="EP72" s="294"/>
      <c r="EQ72" s="294"/>
      <c r="ER72" s="294"/>
      <c r="ES72" s="294"/>
      <c r="ET72" s="294"/>
      <c r="EU72" s="294"/>
      <c r="EV72" s="294"/>
      <c r="EW72" s="294"/>
      <c r="EX72" s="294"/>
      <c r="EY72" s="294"/>
      <c r="EZ72" s="294"/>
      <c r="FA72" s="294"/>
      <c r="FB72" s="294"/>
      <c r="FC72" s="294"/>
      <c r="FD72" s="294"/>
      <c r="FE72" s="294"/>
      <c r="FF72" s="294"/>
      <c r="FG72" s="294"/>
      <c r="FH72" s="294"/>
      <c r="FI72" s="294"/>
      <c r="FJ72" s="294"/>
      <c r="FK72" s="294"/>
      <c r="FL72" s="294"/>
      <c r="FM72" s="294"/>
      <c r="FN72" s="294"/>
      <c r="FO72" s="294"/>
      <c r="FP72" s="294"/>
      <c r="FQ72" s="294"/>
      <c r="FR72" s="294"/>
      <c r="FS72" s="294"/>
      <c r="FT72" s="294"/>
      <c r="FU72" s="294"/>
      <c r="FV72" s="294"/>
      <c r="FW72" s="294"/>
      <c r="FX72" s="294"/>
      <c r="FY72" s="294"/>
      <c r="FZ72" s="294"/>
      <c r="GA72" s="294"/>
      <c r="GB72" s="294"/>
      <c r="GC72" s="294"/>
      <c r="GD72" s="294"/>
      <c r="GE72" s="294">
        <v>-3126232.56</v>
      </c>
      <c r="GF72" s="294"/>
      <c r="GG72" s="294"/>
      <c r="GH72" s="294"/>
      <c r="GI72" s="294"/>
      <c r="GJ72" s="294"/>
      <c r="GK72" s="294"/>
      <c r="GL72" s="294"/>
      <c r="GM72" s="294"/>
      <c r="GN72" s="294"/>
      <c r="GO72" s="294"/>
      <c r="GP72" s="294"/>
      <c r="GQ72" s="294">
        <v>-1647800</v>
      </c>
      <c r="GR72" s="294"/>
      <c r="GS72" s="294"/>
      <c r="GT72" s="294"/>
      <c r="GU72" s="294"/>
      <c r="GV72" s="294"/>
      <c r="GW72" s="294"/>
      <c r="GX72" s="294"/>
      <c r="GY72" s="294"/>
      <c r="GZ72" s="294"/>
      <c r="HA72" s="294"/>
      <c r="HB72" s="294"/>
      <c r="HC72" s="294"/>
      <c r="HD72" s="294"/>
      <c r="HE72" s="294"/>
      <c r="HF72" s="294"/>
      <c r="HG72" s="294"/>
      <c r="HH72" s="294"/>
      <c r="HI72" s="294"/>
      <c r="HJ72" s="294"/>
      <c r="HK72" s="294"/>
      <c r="HL72" s="294"/>
      <c r="HM72" s="294"/>
      <c r="HN72" s="294"/>
      <c r="HO72" s="294"/>
      <c r="HP72" s="294"/>
      <c r="HQ72" s="294"/>
      <c r="HR72" s="294"/>
      <c r="HS72" s="294"/>
      <c r="HT72" s="294"/>
      <c r="HU72" s="294"/>
      <c r="HV72" s="294"/>
      <c r="HW72" s="294"/>
      <c r="HX72" s="294"/>
      <c r="HY72" s="294"/>
      <c r="HZ72" s="294"/>
      <c r="IA72" s="294"/>
      <c r="IB72" s="294"/>
      <c r="IC72" s="294"/>
      <c r="ID72" s="294"/>
      <c r="IE72" s="294"/>
      <c r="IF72" s="294"/>
      <c r="IG72" s="294"/>
      <c r="IH72" s="294"/>
      <c r="II72" s="294"/>
      <c r="IJ72" s="294"/>
      <c r="IK72" s="294"/>
      <c r="IL72" s="294"/>
      <c r="IM72" s="294"/>
      <c r="IN72" s="294"/>
      <c r="IO72" s="294"/>
      <c r="IP72" s="294"/>
      <c r="IQ72" s="294"/>
      <c r="IR72" s="294"/>
      <c r="IS72" s="294"/>
      <c r="IT72" s="294"/>
      <c r="IU72" s="294"/>
      <c r="IV72" s="294"/>
      <c r="IW72" s="294"/>
      <c r="IX72" s="294"/>
      <c r="IY72" s="294"/>
      <c r="IZ72" s="294"/>
      <c r="JA72" s="294"/>
      <c r="JB72" s="294"/>
      <c r="JC72" s="294"/>
      <c r="JD72" s="294"/>
      <c r="JE72" s="294"/>
      <c r="JF72" s="294"/>
      <c r="JG72" s="294"/>
      <c r="JH72" s="294"/>
      <c r="JI72" s="294"/>
      <c r="JJ72" s="294"/>
      <c r="JK72" s="294"/>
      <c r="JL72" s="294"/>
      <c r="JM72" s="294"/>
      <c r="JN72" s="294"/>
      <c r="JO72" s="294"/>
      <c r="JP72" s="294"/>
      <c r="JQ72" s="294"/>
      <c r="JR72" s="294"/>
      <c r="JS72" s="294"/>
      <c r="JT72" s="294"/>
      <c r="JU72" s="294"/>
      <c r="JV72" s="294"/>
      <c r="JW72" s="294"/>
      <c r="JX72" s="294"/>
      <c r="JY72" s="294"/>
      <c r="JZ72" s="294"/>
      <c r="KA72" s="294"/>
      <c r="KB72" s="294"/>
      <c r="KC72" s="294"/>
      <c r="KD72" s="294"/>
      <c r="KE72" s="294"/>
      <c r="KF72" s="294"/>
      <c r="KG72" s="294"/>
      <c r="KH72" s="294"/>
      <c r="KI72" s="294"/>
      <c r="KJ72" s="294"/>
      <c r="KK72" s="294"/>
      <c r="KL72" s="294"/>
      <c r="KM72" s="294"/>
      <c r="KN72" s="294"/>
      <c r="KO72" s="294"/>
      <c r="KP72" s="294"/>
      <c r="KQ72" s="294"/>
      <c r="KR72" s="294"/>
      <c r="KS72" s="294"/>
      <c r="KT72" s="294"/>
      <c r="KU72" s="294"/>
      <c r="KV72" s="294"/>
      <c r="KW72" s="294"/>
      <c r="KX72" s="294"/>
      <c r="KY72" s="294"/>
      <c r="KZ72" s="294"/>
      <c r="LA72" s="294"/>
      <c r="LB72" s="294"/>
      <c r="LC72" s="294"/>
      <c r="LD72" s="294"/>
      <c r="LE72" s="294"/>
      <c r="LF72" s="294"/>
      <c r="LG72" s="294"/>
      <c r="LH72" s="294">
        <v>0</v>
      </c>
      <c r="LI72" s="294"/>
      <c r="LJ72" s="294">
        <v>-2554745.2599999998</v>
      </c>
      <c r="LK72" s="294"/>
      <c r="LL72" s="294"/>
      <c r="LM72" s="294"/>
      <c r="LN72" s="294"/>
      <c r="LO72" s="294"/>
      <c r="LP72" s="294"/>
      <c r="LQ72" s="294"/>
      <c r="LR72" s="294"/>
      <c r="LS72" s="294"/>
      <c r="LT72" s="294"/>
      <c r="LU72" s="294"/>
      <c r="LV72" s="294">
        <v>0</v>
      </c>
      <c r="LW72" s="294"/>
      <c r="LX72" s="294"/>
      <c r="LY72" s="294"/>
      <c r="LZ72" s="294"/>
      <c r="MA72" s="294"/>
      <c r="MB72" s="294"/>
      <c r="MC72" s="294"/>
      <c r="MD72" s="294"/>
      <c r="ME72" s="294"/>
      <c r="MF72" s="294"/>
      <c r="MG72" s="294"/>
      <c r="MH72" s="294"/>
      <c r="MI72" s="294"/>
      <c r="MJ72" s="294"/>
      <c r="MK72" s="294"/>
      <c r="ML72" s="294"/>
      <c r="MM72" s="294"/>
      <c r="MN72" s="294"/>
      <c r="MO72" s="294"/>
      <c r="MP72" s="294"/>
      <c r="MQ72" s="294"/>
      <c r="MR72" s="294"/>
      <c r="MS72" s="294"/>
      <c r="MT72" s="294"/>
      <c r="MU72" s="294"/>
      <c r="MV72" s="294"/>
      <c r="MW72" s="294"/>
      <c r="MX72" s="294"/>
      <c r="MY72" s="294"/>
      <c r="MZ72" s="294"/>
      <c r="NA72" s="294"/>
      <c r="NB72" s="294"/>
      <c r="NC72" s="294"/>
      <c r="ND72" s="294">
        <v>0</v>
      </c>
      <c r="NE72" s="294"/>
      <c r="NF72" s="294"/>
      <c r="NG72" s="294"/>
      <c r="NH72" s="294"/>
      <c r="NI72" s="294"/>
      <c r="NJ72" s="294"/>
      <c r="NK72" s="294"/>
      <c r="NL72" s="294"/>
      <c r="NM72" s="294">
        <v>0</v>
      </c>
      <c r="NN72" s="294"/>
      <c r="NO72" s="294"/>
      <c r="NP72" s="294"/>
      <c r="NQ72" s="294"/>
      <c r="NR72" s="294"/>
      <c r="NS72" s="294"/>
      <c r="NT72" s="294"/>
      <c r="NU72" s="294"/>
      <c r="NV72" s="294"/>
      <c r="NW72" s="294"/>
      <c r="NX72" s="294"/>
      <c r="NY72" s="294"/>
      <c r="NZ72" s="294"/>
      <c r="OA72" s="294"/>
      <c r="OB72" s="294"/>
      <c r="OC72" s="294"/>
      <c r="OD72" s="294"/>
      <c r="OE72" s="294">
        <v>-375500</v>
      </c>
      <c r="OF72" s="294"/>
      <c r="OG72" s="294"/>
      <c r="OH72" s="294"/>
      <c r="OI72" s="294"/>
      <c r="OJ72" s="294"/>
      <c r="OK72" s="294"/>
      <c r="OL72" s="294"/>
      <c r="OM72" s="294"/>
      <c r="ON72" s="294"/>
      <c r="OO72" s="294"/>
      <c r="OP72" s="294"/>
      <c r="OQ72" s="294"/>
      <c r="OR72" s="294"/>
      <c r="OS72" s="294"/>
      <c r="OT72" s="294"/>
      <c r="OU72" s="294"/>
      <c r="OV72" s="294"/>
      <c r="OW72" s="294"/>
      <c r="OX72" s="294"/>
      <c r="OY72" s="294"/>
      <c r="OZ72" s="294"/>
      <c r="PA72" s="294"/>
      <c r="PB72" s="294">
        <v>-2659054.62</v>
      </c>
      <c r="PC72" s="294"/>
      <c r="PD72" s="294"/>
      <c r="PE72" s="294"/>
      <c r="PF72" s="294"/>
      <c r="PG72" s="294"/>
      <c r="PH72" s="294"/>
      <c r="PI72" s="294"/>
      <c r="PJ72" s="294"/>
      <c r="PK72" s="294"/>
      <c r="PL72" s="294"/>
      <c r="PM72" s="294"/>
      <c r="PN72" s="294"/>
      <c r="PO72" s="294"/>
      <c r="PP72" s="294"/>
      <c r="PQ72" s="294"/>
      <c r="PR72" s="294"/>
      <c r="PS72" s="294"/>
      <c r="PT72" s="294"/>
      <c r="PU72" s="294"/>
      <c r="PV72" s="294"/>
      <c r="PW72" s="294"/>
      <c r="PX72" s="294"/>
      <c r="PY72" s="294"/>
      <c r="PZ72" s="294"/>
      <c r="QA72" s="294"/>
      <c r="QB72" s="294"/>
      <c r="QC72" s="294"/>
      <c r="QD72" s="294"/>
      <c r="QE72" s="294"/>
      <c r="QF72" s="294"/>
      <c r="QG72" s="294"/>
      <c r="QH72" s="294"/>
      <c r="QI72" s="294"/>
      <c r="QJ72" s="294"/>
      <c r="QK72" s="294"/>
      <c r="QL72" s="294"/>
      <c r="QM72" s="294"/>
      <c r="QN72" s="294"/>
      <c r="QO72" s="294"/>
      <c r="QP72" s="294"/>
      <c r="QQ72" s="294"/>
      <c r="QR72" s="294"/>
      <c r="QS72" s="294"/>
      <c r="QT72" s="294"/>
      <c r="QU72" s="294"/>
      <c r="QV72" s="294"/>
      <c r="QW72" s="294"/>
      <c r="QX72" s="294"/>
      <c r="QY72" s="294"/>
      <c r="QZ72" s="294"/>
      <c r="RA72" s="294"/>
      <c r="RB72" s="294"/>
      <c r="RC72" s="294"/>
      <c r="RD72" s="294"/>
      <c r="RE72" s="294"/>
      <c r="RF72" s="294"/>
      <c r="RG72" s="294"/>
      <c r="RH72" s="294"/>
      <c r="RI72" s="294"/>
      <c r="RJ72" s="294"/>
      <c r="RK72" s="294"/>
      <c r="RL72" s="294"/>
      <c r="RM72" s="294"/>
      <c r="RN72" s="294"/>
      <c r="RO72" s="294"/>
      <c r="RP72" s="294"/>
      <c r="RQ72" s="294"/>
      <c r="RR72" s="294"/>
      <c r="RS72" s="294"/>
      <c r="RT72" s="294"/>
      <c r="RU72" s="294"/>
      <c r="RV72" s="294"/>
      <c r="RW72" s="294"/>
      <c r="RX72" s="294"/>
      <c r="RY72" s="294"/>
      <c r="RZ72" s="294"/>
      <c r="SA72" s="294"/>
      <c r="SB72" s="294"/>
      <c r="SC72" s="294"/>
      <c r="SD72" s="294"/>
      <c r="SE72" s="294"/>
      <c r="SF72" s="294"/>
      <c r="SG72" s="294"/>
      <c r="SH72" s="294"/>
      <c r="SI72" s="294"/>
      <c r="SJ72" s="294"/>
      <c r="SK72" s="294"/>
      <c r="SL72" s="294"/>
      <c r="SM72" s="294"/>
      <c r="SN72" s="294"/>
      <c r="SO72" s="294"/>
      <c r="SP72" s="294"/>
      <c r="SQ72" s="294"/>
      <c r="SR72" s="294"/>
      <c r="SS72" s="294"/>
      <c r="ST72" s="294"/>
      <c r="SU72" s="294"/>
      <c r="SV72" s="294"/>
      <c r="SW72" s="294"/>
      <c r="SX72" s="294"/>
      <c r="SY72" s="294"/>
      <c r="SZ72" s="294"/>
      <c r="TA72" s="294"/>
      <c r="TB72" s="294"/>
      <c r="TC72" s="294"/>
      <c r="TD72" s="294"/>
      <c r="TE72" s="294"/>
      <c r="TF72" s="294"/>
      <c r="TG72" s="294"/>
      <c r="TH72" s="294"/>
      <c r="TI72" s="294"/>
      <c r="TJ72" s="294"/>
      <c r="TK72" s="294"/>
      <c r="TL72" s="294"/>
      <c r="TM72" s="294"/>
      <c r="TN72" s="294"/>
      <c r="TO72" s="294"/>
      <c r="TP72" s="294"/>
      <c r="TQ72" s="294"/>
      <c r="TR72" s="294"/>
      <c r="TS72" s="294"/>
      <c r="TT72" s="294"/>
      <c r="TU72" s="294"/>
      <c r="TV72" s="294"/>
      <c r="TW72" s="294"/>
      <c r="TX72" s="294"/>
      <c r="TY72" s="294"/>
      <c r="TZ72" s="294"/>
      <c r="UA72" s="294"/>
      <c r="UB72" s="294"/>
      <c r="UC72" s="294"/>
      <c r="UD72" s="294"/>
      <c r="UE72" s="294"/>
      <c r="UF72" s="294"/>
      <c r="UG72" s="294"/>
      <c r="UH72" s="294"/>
      <c r="UI72" s="294"/>
      <c r="UJ72" s="294"/>
      <c r="UK72" s="294"/>
      <c r="UL72" s="294"/>
      <c r="UM72" s="294"/>
      <c r="UN72" s="294"/>
      <c r="UO72" s="294"/>
      <c r="UP72" s="294"/>
      <c r="UQ72" s="294"/>
      <c r="UR72" s="294"/>
      <c r="US72" s="294"/>
      <c r="UT72" s="294"/>
      <c r="UU72" s="294"/>
      <c r="UV72" s="294"/>
      <c r="UW72" s="294"/>
      <c r="UX72" s="294"/>
      <c r="UY72" s="294"/>
      <c r="UZ72" s="294"/>
      <c r="VA72" s="294"/>
      <c r="VB72" s="294"/>
      <c r="VC72" s="294"/>
      <c r="VD72" s="294"/>
      <c r="VE72" s="294"/>
      <c r="VF72" s="294"/>
      <c r="VG72" s="294"/>
      <c r="VH72" s="294"/>
      <c r="VI72" s="294"/>
      <c r="VJ72" s="294"/>
      <c r="VK72" s="294"/>
      <c r="VL72" s="294"/>
      <c r="VM72" s="294"/>
      <c r="VN72" s="294"/>
      <c r="VO72" s="294"/>
      <c r="VP72" s="294"/>
      <c r="VQ72" s="294"/>
      <c r="VR72" s="294"/>
      <c r="VS72" s="294"/>
      <c r="VT72" s="294"/>
      <c r="VU72" s="294"/>
      <c r="VV72" s="294"/>
      <c r="VW72" s="294"/>
      <c r="VX72" s="294"/>
      <c r="VY72" s="294"/>
      <c r="VZ72" s="294"/>
      <c r="WA72" s="294"/>
      <c r="WB72" s="294"/>
      <c r="WC72" s="294"/>
      <c r="WD72" s="294"/>
      <c r="WE72" s="294"/>
      <c r="WF72" s="294"/>
      <c r="WG72" s="294"/>
      <c r="WH72" s="294"/>
      <c r="WI72" s="294"/>
      <c r="WJ72" s="294"/>
      <c r="WK72" s="294"/>
      <c r="WL72" s="294"/>
      <c r="WM72" s="294"/>
      <c r="WN72" s="294"/>
      <c r="WO72" s="294"/>
      <c r="WP72" s="294"/>
      <c r="WQ72" s="294"/>
      <c r="WR72" s="294"/>
      <c r="WS72" s="294"/>
      <c r="WT72" s="294"/>
      <c r="WU72" s="294"/>
      <c r="WV72" s="294"/>
      <c r="WW72" s="294"/>
      <c r="WX72" s="294"/>
      <c r="WY72" s="294"/>
      <c r="WZ72" s="294"/>
      <c r="XA72" s="294"/>
      <c r="XB72" s="294"/>
      <c r="XC72" s="294"/>
      <c r="XD72" s="294"/>
      <c r="XE72" s="294"/>
      <c r="XF72" s="294"/>
      <c r="XG72" s="294"/>
      <c r="XH72" s="294"/>
      <c r="XI72" s="294"/>
      <c r="XJ72" s="294"/>
      <c r="XK72" s="294"/>
      <c r="XL72" s="294"/>
      <c r="XM72" s="294"/>
      <c r="XN72" s="294"/>
      <c r="XO72" s="294"/>
      <c r="XP72" s="294"/>
      <c r="XQ72" s="294"/>
      <c r="XR72" s="294"/>
      <c r="XS72" s="294"/>
      <c r="XT72" s="294"/>
      <c r="XU72" s="294"/>
      <c r="XV72" s="294"/>
      <c r="XW72" s="294"/>
      <c r="XX72" s="294"/>
      <c r="XY72" s="294"/>
      <c r="XZ72" s="294"/>
      <c r="YA72" s="294"/>
      <c r="YB72" s="294"/>
      <c r="YC72" s="294"/>
      <c r="YD72" s="294"/>
      <c r="YE72" s="294"/>
      <c r="YF72" s="294"/>
      <c r="YG72" s="294"/>
      <c r="YH72" s="294"/>
      <c r="YI72" s="294"/>
      <c r="YJ72" s="294"/>
      <c r="YK72" s="294"/>
      <c r="YL72" s="294"/>
      <c r="YM72" s="294"/>
      <c r="YN72" s="294"/>
      <c r="YO72" s="294"/>
      <c r="YP72" s="294"/>
      <c r="YQ72" s="294"/>
      <c r="YR72" s="294"/>
      <c r="YS72" s="294"/>
      <c r="YT72" s="294"/>
      <c r="YU72" s="294"/>
      <c r="YV72" s="294">
        <v>0</v>
      </c>
      <c r="YW72" s="294"/>
      <c r="YX72" s="294"/>
      <c r="YY72" s="294"/>
      <c r="YZ72" s="294"/>
      <c r="ZA72" s="294">
        <v>0</v>
      </c>
      <c r="ZB72" s="294"/>
      <c r="ZC72" s="294"/>
      <c r="ZD72" s="294"/>
      <c r="ZE72" s="294"/>
      <c r="ZF72" s="294"/>
      <c r="ZG72" s="294"/>
      <c r="ZH72" s="294"/>
      <c r="ZI72" s="294"/>
      <c r="ZJ72" s="294"/>
      <c r="ZK72" s="294"/>
      <c r="ZL72" s="294">
        <v>0</v>
      </c>
      <c r="ZM72" s="294"/>
      <c r="ZN72" s="294"/>
      <c r="ZO72" s="294"/>
      <c r="ZP72" s="294"/>
      <c r="ZQ72" s="294"/>
      <c r="ZR72" s="294"/>
      <c r="ZS72" s="294"/>
      <c r="ZT72" s="294"/>
      <c r="ZU72" s="294"/>
      <c r="ZV72" s="294"/>
      <c r="ZW72" s="294"/>
      <c r="ZX72" s="294"/>
      <c r="ZY72" s="294"/>
      <c r="ZZ72" s="294"/>
      <c r="AAA72" s="294"/>
      <c r="AAB72" s="294"/>
      <c r="AAC72" s="294"/>
      <c r="AAD72" s="294"/>
      <c r="AAE72" s="294"/>
      <c r="AAF72" s="294"/>
      <c r="AAG72" s="294"/>
      <c r="AAH72" s="294"/>
      <c r="AAI72" s="294"/>
      <c r="AAJ72" s="294"/>
      <c r="AAK72" s="294"/>
      <c r="AAL72" s="294"/>
      <c r="AAM72" s="294"/>
      <c r="AAN72" s="294"/>
      <c r="AAO72" s="294"/>
      <c r="AAP72" s="294"/>
      <c r="AAQ72" s="294"/>
      <c r="AAR72" s="294"/>
      <c r="AAS72" s="294"/>
      <c r="AAT72" s="294"/>
      <c r="AAU72" s="294"/>
      <c r="AAV72" s="294"/>
      <c r="AAW72" s="294"/>
      <c r="AAX72" s="294"/>
      <c r="AAY72" s="294"/>
      <c r="AAZ72" s="294">
        <v>0</v>
      </c>
      <c r="ABA72" s="294"/>
      <c r="ABB72" s="294"/>
      <c r="ABC72" s="294">
        <v>0</v>
      </c>
      <c r="ABD72" s="294"/>
      <c r="ABE72" s="294"/>
      <c r="ABF72" s="294"/>
      <c r="ABG72" s="294"/>
      <c r="ABH72" s="294"/>
      <c r="ABI72" s="294"/>
      <c r="ABJ72" s="294"/>
      <c r="ABK72" s="294">
        <v>0</v>
      </c>
      <c r="ABL72" s="294"/>
      <c r="ABM72" s="294"/>
      <c r="ABN72" s="294"/>
      <c r="ABO72" s="294"/>
      <c r="ABP72" s="294"/>
      <c r="ABQ72" s="294"/>
      <c r="ABR72" s="294"/>
      <c r="ABS72" s="294"/>
      <c r="ABT72" s="294"/>
      <c r="ABU72" s="294"/>
      <c r="ABV72" s="294"/>
      <c r="ABW72" s="294"/>
      <c r="ABX72" s="294"/>
      <c r="ABY72" s="294"/>
      <c r="ABZ72" s="294"/>
      <c r="ACA72" s="294"/>
      <c r="ACB72" s="294"/>
      <c r="ACC72" s="294"/>
      <c r="ACD72" s="294"/>
      <c r="ACE72" s="294"/>
      <c r="ACF72" s="294"/>
      <c r="ACG72" s="294"/>
      <c r="ACH72" s="294"/>
      <c r="ACI72" s="294"/>
      <c r="ACJ72" s="294"/>
      <c r="ACK72" s="294"/>
      <c r="ACL72" s="294"/>
      <c r="ACM72" s="294"/>
      <c r="ACN72" s="294"/>
      <c r="ACO72" s="294"/>
      <c r="ACP72" s="294"/>
      <c r="ACQ72" s="294"/>
      <c r="ACR72" s="294"/>
      <c r="ACS72" s="294"/>
      <c r="ACT72" s="294"/>
      <c r="ACU72" s="294"/>
      <c r="ACV72" s="294"/>
      <c r="ACW72" s="294"/>
      <c r="ACX72" s="294"/>
      <c r="ACY72" s="294"/>
      <c r="ACZ72" s="294"/>
      <c r="ADA72" s="294"/>
      <c r="ADB72" s="294"/>
      <c r="ADC72" s="294"/>
      <c r="ADD72" s="294"/>
      <c r="ADE72" s="294"/>
      <c r="ADF72" s="294"/>
      <c r="ADG72" s="294"/>
      <c r="ADH72" s="294"/>
      <c r="ADI72" s="294"/>
      <c r="ADJ72" s="294"/>
      <c r="ADK72" s="294"/>
      <c r="ADL72" s="294"/>
      <c r="ADM72" s="294"/>
      <c r="ADN72" s="294"/>
      <c r="ADO72" s="294"/>
      <c r="ADP72" s="294"/>
      <c r="ADQ72" s="294">
        <v>0</v>
      </c>
      <c r="ADR72" s="294"/>
      <c r="ADS72" s="294"/>
      <c r="ADT72" s="294"/>
      <c r="ADU72" s="294"/>
      <c r="ADV72" s="294"/>
      <c r="ADW72" s="294"/>
      <c r="ADX72" s="294"/>
      <c r="ADY72" s="294"/>
      <c r="ADZ72" s="294"/>
      <c r="AEA72" s="294"/>
      <c r="AEB72" s="294"/>
      <c r="AEC72" s="294"/>
      <c r="AED72" s="294"/>
      <c r="AEE72" s="294"/>
      <c r="AEF72" s="294"/>
      <c r="AEG72" s="294"/>
      <c r="AEH72" s="294"/>
      <c r="AEI72" s="294"/>
      <c r="AEJ72" s="294"/>
      <c r="AEK72" s="294"/>
      <c r="AEL72" s="294"/>
      <c r="AEM72" s="294"/>
      <c r="AEN72" s="294"/>
      <c r="AEO72" s="294"/>
      <c r="AEP72" s="294"/>
      <c r="AEQ72" s="294"/>
      <c r="AER72" s="294"/>
      <c r="AES72" s="294"/>
      <c r="AET72" s="294"/>
      <c r="AEU72" s="294"/>
      <c r="AEV72" s="294"/>
      <c r="AEW72" s="294"/>
      <c r="AEX72" s="294"/>
      <c r="AEY72" s="294"/>
      <c r="AEZ72" s="294"/>
      <c r="AFA72" s="294"/>
      <c r="AFB72" s="294"/>
      <c r="AFC72" s="294"/>
      <c r="AFD72" s="294">
        <v>0</v>
      </c>
      <c r="AFE72" s="294"/>
      <c r="AFF72" s="294"/>
      <c r="AFG72" s="294"/>
      <c r="AFH72" s="294"/>
      <c r="AFI72" s="294"/>
      <c r="AFJ72" s="294"/>
      <c r="AFK72" s="294"/>
      <c r="AFL72" s="294"/>
      <c r="AFM72" s="294"/>
      <c r="AFN72" s="294"/>
      <c r="AFO72" s="294"/>
      <c r="AFP72" s="294"/>
      <c r="AFQ72" s="294"/>
      <c r="AFR72" s="294"/>
      <c r="AFS72" s="294"/>
      <c r="AFT72" s="294"/>
      <c r="AFU72" s="294"/>
      <c r="AFV72" s="294"/>
      <c r="AFW72" s="294"/>
      <c r="AFX72" s="294"/>
      <c r="AFY72" s="294"/>
      <c r="AFZ72" s="294"/>
      <c r="AGA72" s="294"/>
      <c r="AGB72" s="294">
        <v>0</v>
      </c>
      <c r="AGC72" s="294"/>
      <c r="AGD72" s="294"/>
      <c r="AGE72" s="294"/>
      <c r="AGF72" s="294"/>
      <c r="AGG72" s="294"/>
      <c r="AGH72" s="294"/>
      <c r="AGI72" s="294"/>
      <c r="AGJ72" s="294"/>
      <c r="AGK72" s="294"/>
      <c r="AGL72" s="294"/>
      <c r="AGM72" s="294"/>
      <c r="AGN72" s="294"/>
      <c r="AGO72" s="294"/>
      <c r="AGP72" s="294"/>
      <c r="AGQ72" s="294"/>
      <c r="AGR72" s="294"/>
      <c r="AGS72" s="294"/>
      <c r="AGT72" s="294"/>
      <c r="AGU72" s="294"/>
      <c r="AGV72" s="294"/>
      <c r="AGW72" s="294"/>
      <c r="AGX72" s="294"/>
      <c r="AGY72" s="294"/>
      <c r="AGZ72" s="294"/>
      <c r="AHA72" s="294"/>
      <c r="AHB72" s="294"/>
      <c r="AHC72" s="294"/>
      <c r="AHD72" s="294"/>
      <c r="AHE72" s="294"/>
      <c r="AHF72" s="294"/>
      <c r="AHG72" s="294"/>
      <c r="AHH72" s="294"/>
      <c r="AHI72" s="294"/>
      <c r="AHJ72" s="294"/>
      <c r="AHK72" s="294"/>
      <c r="AHL72" s="294"/>
      <c r="AHM72" s="294"/>
      <c r="AHN72" s="294"/>
      <c r="AHO72" s="294"/>
      <c r="AHP72" s="294"/>
      <c r="AHQ72" s="294"/>
      <c r="AHR72" s="331"/>
      <c r="AHS72" s="294">
        <f t="shared" si="51"/>
        <v>-10415991.140000001</v>
      </c>
      <c r="AHT72" s="269" t="b">
        <f t="shared" si="52"/>
        <v>1</v>
      </c>
      <c r="AHU72" s="269" t="s">
        <v>6278</v>
      </c>
      <c r="AHV72" s="269" t="s">
        <v>6087</v>
      </c>
      <c r="AHW72" s="269" t="s">
        <v>6088</v>
      </c>
    </row>
    <row r="73" spans="1:907" ht="24.6" x14ac:dyDescent="0.7">
      <c r="A73" s="268" t="s">
        <v>6278</v>
      </c>
      <c r="B73" s="268" t="s">
        <v>6089</v>
      </c>
      <c r="C73" s="269" t="s">
        <v>6090</v>
      </c>
      <c r="D73" s="294"/>
      <c r="E73" s="294"/>
      <c r="F73" s="294"/>
      <c r="G73" s="294"/>
      <c r="H73" s="294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294"/>
      <c r="DL73" s="294"/>
      <c r="DM73" s="294"/>
      <c r="DN73" s="294"/>
      <c r="DO73" s="294"/>
      <c r="DP73" s="294"/>
      <c r="DQ73" s="294"/>
      <c r="DR73" s="294"/>
      <c r="DS73" s="294"/>
      <c r="DT73" s="294"/>
      <c r="DU73" s="294"/>
      <c r="DV73" s="294"/>
      <c r="DW73" s="294"/>
      <c r="DX73" s="294"/>
      <c r="DY73" s="294"/>
      <c r="DZ73" s="294"/>
      <c r="EA73" s="294"/>
      <c r="EB73" s="294"/>
      <c r="EC73" s="294"/>
      <c r="ED73" s="294"/>
      <c r="EE73" s="294"/>
      <c r="EF73" s="294"/>
      <c r="EG73" s="294"/>
      <c r="EH73" s="294"/>
      <c r="EI73" s="294"/>
      <c r="EJ73" s="294"/>
      <c r="EK73" s="294"/>
      <c r="EL73" s="294"/>
      <c r="EM73" s="294"/>
      <c r="EN73" s="294"/>
      <c r="EO73" s="294"/>
      <c r="EP73" s="294"/>
      <c r="EQ73" s="294"/>
      <c r="ER73" s="294"/>
      <c r="ES73" s="294"/>
      <c r="ET73" s="294"/>
      <c r="EU73" s="294"/>
      <c r="EV73" s="294"/>
      <c r="EW73" s="294"/>
      <c r="EX73" s="294"/>
      <c r="EY73" s="294"/>
      <c r="EZ73" s="294"/>
      <c r="FA73" s="294"/>
      <c r="FB73" s="294"/>
      <c r="FC73" s="294"/>
      <c r="FD73" s="294"/>
      <c r="FE73" s="294"/>
      <c r="FF73" s="294"/>
      <c r="FG73" s="294"/>
      <c r="FH73" s="294"/>
      <c r="FI73" s="294"/>
      <c r="FJ73" s="294"/>
      <c r="FK73" s="294"/>
      <c r="FL73" s="294"/>
      <c r="FM73" s="294"/>
      <c r="FN73" s="294"/>
      <c r="FO73" s="294"/>
      <c r="FP73" s="294"/>
      <c r="FQ73" s="294"/>
      <c r="FR73" s="294"/>
      <c r="FS73" s="294"/>
      <c r="FT73" s="294"/>
      <c r="FU73" s="294"/>
      <c r="FV73" s="294"/>
      <c r="FW73" s="294"/>
      <c r="FX73" s="294"/>
      <c r="FY73" s="294"/>
      <c r="FZ73" s="294"/>
      <c r="GA73" s="294"/>
      <c r="GB73" s="294"/>
      <c r="GC73" s="294"/>
      <c r="GD73" s="294"/>
      <c r="GE73" s="294">
        <v>-700</v>
      </c>
      <c r="GF73" s="294"/>
      <c r="GG73" s="294"/>
      <c r="GH73" s="294"/>
      <c r="GI73" s="294"/>
      <c r="GJ73" s="294"/>
      <c r="GK73" s="294"/>
      <c r="GL73" s="294"/>
      <c r="GM73" s="294"/>
      <c r="GN73" s="294"/>
      <c r="GO73" s="294"/>
      <c r="GP73" s="294"/>
      <c r="GQ73" s="294"/>
      <c r="GR73" s="294"/>
      <c r="GS73" s="294"/>
      <c r="GT73" s="294"/>
      <c r="GU73" s="294"/>
      <c r="GV73" s="294"/>
      <c r="GW73" s="294"/>
      <c r="GX73" s="294"/>
      <c r="GY73" s="294"/>
      <c r="GZ73" s="294"/>
      <c r="HA73" s="294"/>
      <c r="HB73" s="294"/>
      <c r="HC73" s="294"/>
      <c r="HD73" s="294"/>
      <c r="HE73" s="294"/>
      <c r="HF73" s="294"/>
      <c r="HG73" s="294"/>
      <c r="HH73" s="294"/>
      <c r="HI73" s="294"/>
      <c r="HJ73" s="294"/>
      <c r="HK73" s="294"/>
      <c r="HL73" s="294"/>
      <c r="HM73" s="294"/>
      <c r="HN73" s="294"/>
      <c r="HO73" s="294"/>
      <c r="HP73" s="294"/>
      <c r="HQ73" s="294"/>
      <c r="HR73" s="294"/>
      <c r="HS73" s="294"/>
      <c r="HT73" s="294"/>
      <c r="HU73" s="294"/>
      <c r="HV73" s="294"/>
      <c r="HW73" s="294"/>
      <c r="HX73" s="294"/>
      <c r="HY73" s="294"/>
      <c r="HZ73" s="294"/>
      <c r="IA73" s="294"/>
      <c r="IB73" s="294"/>
      <c r="IC73" s="294"/>
      <c r="ID73" s="294"/>
      <c r="IE73" s="294"/>
      <c r="IF73" s="294"/>
      <c r="IG73" s="294"/>
      <c r="IH73" s="294"/>
      <c r="II73" s="294"/>
      <c r="IJ73" s="294"/>
      <c r="IK73" s="294"/>
      <c r="IL73" s="294"/>
      <c r="IM73" s="294"/>
      <c r="IN73" s="294"/>
      <c r="IO73" s="294"/>
      <c r="IP73" s="294"/>
      <c r="IQ73" s="294"/>
      <c r="IR73" s="294"/>
      <c r="IS73" s="294"/>
      <c r="IT73" s="294"/>
      <c r="IU73" s="294"/>
      <c r="IV73" s="294"/>
      <c r="IW73" s="294"/>
      <c r="IX73" s="294"/>
      <c r="IY73" s="294"/>
      <c r="IZ73" s="294"/>
      <c r="JA73" s="294"/>
      <c r="JB73" s="294"/>
      <c r="JC73" s="294"/>
      <c r="JD73" s="294"/>
      <c r="JE73" s="294"/>
      <c r="JF73" s="294"/>
      <c r="JG73" s="294"/>
      <c r="JH73" s="294"/>
      <c r="JI73" s="294"/>
      <c r="JJ73" s="294"/>
      <c r="JK73" s="294"/>
      <c r="JL73" s="294"/>
      <c r="JM73" s="294"/>
      <c r="JN73" s="294"/>
      <c r="JO73" s="294"/>
      <c r="JP73" s="294"/>
      <c r="JQ73" s="294"/>
      <c r="JR73" s="294"/>
      <c r="JS73" s="294"/>
      <c r="JT73" s="294"/>
      <c r="JU73" s="294"/>
      <c r="JV73" s="294"/>
      <c r="JW73" s="294"/>
      <c r="JX73" s="294"/>
      <c r="JY73" s="294"/>
      <c r="JZ73" s="294"/>
      <c r="KA73" s="294"/>
      <c r="KB73" s="294"/>
      <c r="KC73" s="294"/>
      <c r="KD73" s="294"/>
      <c r="KE73" s="294"/>
      <c r="KF73" s="294"/>
      <c r="KG73" s="294"/>
      <c r="KH73" s="294"/>
      <c r="KI73" s="294"/>
      <c r="KJ73" s="294"/>
      <c r="KK73" s="294"/>
      <c r="KL73" s="294"/>
      <c r="KM73" s="294"/>
      <c r="KN73" s="294"/>
      <c r="KO73" s="294"/>
      <c r="KP73" s="294"/>
      <c r="KQ73" s="294"/>
      <c r="KR73" s="294"/>
      <c r="KS73" s="294"/>
      <c r="KT73" s="294"/>
      <c r="KU73" s="294"/>
      <c r="KV73" s="294"/>
      <c r="KW73" s="294"/>
      <c r="KX73" s="294"/>
      <c r="KY73" s="294"/>
      <c r="KZ73" s="294"/>
      <c r="LA73" s="294"/>
      <c r="LB73" s="294"/>
      <c r="LC73" s="294"/>
      <c r="LD73" s="294"/>
      <c r="LE73" s="294"/>
      <c r="LF73" s="294"/>
      <c r="LG73" s="294"/>
      <c r="LH73" s="294"/>
      <c r="LI73" s="294"/>
      <c r="LJ73" s="294"/>
      <c r="LK73" s="294"/>
      <c r="LL73" s="294"/>
      <c r="LM73" s="294"/>
      <c r="LN73" s="294"/>
      <c r="LO73" s="294"/>
      <c r="LP73" s="294"/>
      <c r="LQ73" s="294"/>
      <c r="LR73" s="294"/>
      <c r="LS73" s="294"/>
      <c r="LT73" s="294"/>
      <c r="LU73" s="294"/>
      <c r="LV73" s="294"/>
      <c r="LW73" s="294"/>
      <c r="LX73" s="294"/>
      <c r="LY73" s="294"/>
      <c r="LZ73" s="294"/>
      <c r="MA73" s="294"/>
      <c r="MB73" s="294"/>
      <c r="MC73" s="294"/>
      <c r="MD73" s="294"/>
      <c r="ME73" s="294"/>
      <c r="MF73" s="294"/>
      <c r="MG73" s="294"/>
      <c r="MH73" s="294"/>
      <c r="MI73" s="294"/>
      <c r="MJ73" s="294"/>
      <c r="MK73" s="294"/>
      <c r="ML73" s="294"/>
      <c r="MM73" s="294"/>
      <c r="MN73" s="294"/>
      <c r="MO73" s="294"/>
      <c r="MP73" s="294"/>
      <c r="MQ73" s="294"/>
      <c r="MR73" s="294"/>
      <c r="MS73" s="294"/>
      <c r="MT73" s="294"/>
      <c r="MU73" s="294"/>
      <c r="MV73" s="294"/>
      <c r="MW73" s="294"/>
      <c r="MX73" s="294"/>
      <c r="MY73" s="294"/>
      <c r="MZ73" s="294"/>
      <c r="NA73" s="294"/>
      <c r="NB73" s="294"/>
      <c r="NC73" s="294"/>
      <c r="ND73" s="294"/>
      <c r="NE73" s="294"/>
      <c r="NF73" s="294"/>
      <c r="NG73" s="294"/>
      <c r="NH73" s="294"/>
      <c r="NI73" s="294"/>
      <c r="NJ73" s="294"/>
      <c r="NK73" s="294"/>
      <c r="NL73" s="294"/>
      <c r="NM73" s="294"/>
      <c r="NN73" s="294"/>
      <c r="NO73" s="294"/>
      <c r="NP73" s="294"/>
      <c r="NQ73" s="294"/>
      <c r="NR73" s="294"/>
      <c r="NS73" s="294"/>
      <c r="NT73" s="294"/>
      <c r="NU73" s="294"/>
      <c r="NV73" s="294"/>
      <c r="NW73" s="294"/>
      <c r="NX73" s="294"/>
      <c r="NY73" s="294"/>
      <c r="NZ73" s="294"/>
      <c r="OA73" s="294"/>
      <c r="OB73" s="294"/>
      <c r="OC73" s="294"/>
      <c r="OD73" s="294"/>
      <c r="OE73" s="294"/>
      <c r="OF73" s="294"/>
      <c r="OG73" s="294"/>
      <c r="OH73" s="294"/>
      <c r="OI73" s="294"/>
      <c r="OJ73" s="294"/>
      <c r="OK73" s="294"/>
      <c r="OL73" s="294"/>
      <c r="OM73" s="294"/>
      <c r="ON73" s="294"/>
      <c r="OO73" s="294"/>
      <c r="OP73" s="294"/>
      <c r="OQ73" s="294"/>
      <c r="OR73" s="294"/>
      <c r="OS73" s="294"/>
      <c r="OT73" s="294"/>
      <c r="OU73" s="294"/>
      <c r="OV73" s="294"/>
      <c r="OW73" s="294"/>
      <c r="OX73" s="294"/>
      <c r="OY73" s="294"/>
      <c r="OZ73" s="294"/>
      <c r="PA73" s="294"/>
      <c r="PB73" s="294"/>
      <c r="PC73" s="294"/>
      <c r="PD73" s="294"/>
      <c r="PE73" s="294"/>
      <c r="PF73" s="294"/>
      <c r="PG73" s="294"/>
      <c r="PH73" s="294"/>
      <c r="PI73" s="294"/>
      <c r="PJ73" s="294"/>
      <c r="PK73" s="294"/>
      <c r="PL73" s="294"/>
      <c r="PM73" s="294"/>
      <c r="PN73" s="294"/>
      <c r="PO73" s="294"/>
      <c r="PP73" s="294"/>
      <c r="PQ73" s="294"/>
      <c r="PR73" s="294"/>
      <c r="PS73" s="294"/>
      <c r="PT73" s="294"/>
      <c r="PU73" s="294"/>
      <c r="PV73" s="294"/>
      <c r="PW73" s="294"/>
      <c r="PX73" s="294"/>
      <c r="PY73" s="294"/>
      <c r="PZ73" s="294"/>
      <c r="QA73" s="294"/>
      <c r="QB73" s="294"/>
      <c r="QC73" s="294"/>
      <c r="QD73" s="294"/>
      <c r="QE73" s="294"/>
      <c r="QF73" s="294"/>
      <c r="QG73" s="294"/>
      <c r="QH73" s="294"/>
      <c r="QI73" s="294"/>
      <c r="QJ73" s="294"/>
      <c r="QK73" s="294"/>
      <c r="QL73" s="294"/>
      <c r="QM73" s="294"/>
      <c r="QN73" s="294"/>
      <c r="QO73" s="294"/>
      <c r="QP73" s="294"/>
      <c r="QQ73" s="294"/>
      <c r="QR73" s="294"/>
      <c r="QS73" s="294"/>
      <c r="QT73" s="294"/>
      <c r="QU73" s="294"/>
      <c r="QV73" s="294"/>
      <c r="QW73" s="294"/>
      <c r="QX73" s="294"/>
      <c r="QY73" s="294"/>
      <c r="QZ73" s="294"/>
      <c r="RA73" s="294"/>
      <c r="RB73" s="294"/>
      <c r="RC73" s="294"/>
      <c r="RD73" s="294"/>
      <c r="RE73" s="294"/>
      <c r="RF73" s="294"/>
      <c r="RG73" s="294"/>
      <c r="RH73" s="294"/>
      <c r="RI73" s="294"/>
      <c r="RJ73" s="294"/>
      <c r="RK73" s="294"/>
      <c r="RL73" s="294"/>
      <c r="RM73" s="294"/>
      <c r="RN73" s="294"/>
      <c r="RO73" s="294"/>
      <c r="RP73" s="294"/>
      <c r="RQ73" s="294"/>
      <c r="RR73" s="294"/>
      <c r="RS73" s="294"/>
      <c r="RT73" s="294"/>
      <c r="RU73" s="294"/>
      <c r="RV73" s="294"/>
      <c r="RW73" s="294"/>
      <c r="RX73" s="294"/>
      <c r="RY73" s="294"/>
      <c r="RZ73" s="294"/>
      <c r="SA73" s="294"/>
      <c r="SB73" s="294"/>
      <c r="SC73" s="294"/>
      <c r="SD73" s="294"/>
      <c r="SE73" s="294"/>
      <c r="SF73" s="294"/>
      <c r="SG73" s="294"/>
      <c r="SH73" s="294"/>
      <c r="SI73" s="294"/>
      <c r="SJ73" s="294"/>
      <c r="SK73" s="294"/>
      <c r="SL73" s="294"/>
      <c r="SM73" s="294"/>
      <c r="SN73" s="294"/>
      <c r="SO73" s="294"/>
      <c r="SP73" s="294"/>
      <c r="SQ73" s="294"/>
      <c r="SR73" s="294"/>
      <c r="SS73" s="294"/>
      <c r="ST73" s="294"/>
      <c r="SU73" s="294"/>
      <c r="SV73" s="294"/>
      <c r="SW73" s="294"/>
      <c r="SX73" s="294"/>
      <c r="SY73" s="294"/>
      <c r="SZ73" s="294"/>
      <c r="TA73" s="294"/>
      <c r="TB73" s="294"/>
      <c r="TC73" s="294"/>
      <c r="TD73" s="294"/>
      <c r="TE73" s="294"/>
      <c r="TF73" s="294"/>
      <c r="TG73" s="294"/>
      <c r="TH73" s="294"/>
      <c r="TI73" s="294"/>
      <c r="TJ73" s="294"/>
      <c r="TK73" s="294"/>
      <c r="TL73" s="294"/>
      <c r="TM73" s="294"/>
      <c r="TN73" s="294"/>
      <c r="TO73" s="294"/>
      <c r="TP73" s="294"/>
      <c r="TQ73" s="294"/>
      <c r="TR73" s="294"/>
      <c r="TS73" s="294"/>
      <c r="TT73" s="294"/>
      <c r="TU73" s="294"/>
      <c r="TV73" s="294"/>
      <c r="TW73" s="294"/>
      <c r="TX73" s="294"/>
      <c r="TY73" s="294"/>
      <c r="TZ73" s="294"/>
      <c r="UA73" s="294"/>
      <c r="UB73" s="294"/>
      <c r="UC73" s="294"/>
      <c r="UD73" s="294"/>
      <c r="UE73" s="294"/>
      <c r="UF73" s="294"/>
      <c r="UG73" s="294"/>
      <c r="UH73" s="294"/>
      <c r="UI73" s="294"/>
      <c r="UJ73" s="294"/>
      <c r="UK73" s="294"/>
      <c r="UL73" s="294"/>
      <c r="UM73" s="294"/>
      <c r="UN73" s="294"/>
      <c r="UO73" s="294"/>
      <c r="UP73" s="294"/>
      <c r="UQ73" s="294"/>
      <c r="UR73" s="294"/>
      <c r="US73" s="294"/>
      <c r="UT73" s="294"/>
      <c r="UU73" s="294"/>
      <c r="UV73" s="294"/>
      <c r="UW73" s="294"/>
      <c r="UX73" s="294"/>
      <c r="UY73" s="294"/>
      <c r="UZ73" s="294"/>
      <c r="VA73" s="294"/>
      <c r="VB73" s="294"/>
      <c r="VC73" s="294"/>
      <c r="VD73" s="294"/>
      <c r="VE73" s="294"/>
      <c r="VF73" s="294"/>
      <c r="VG73" s="294"/>
      <c r="VH73" s="294"/>
      <c r="VI73" s="294"/>
      <c r="VJ73" s="294"/>
      <c r="VK73" s="294"/>
      <c r="VL73" s="294"/>
      <c r="VM73" s="294"/>
      <c r="VN73" s="294"/>
      <c r="VO73" s="294"/>
      <c r="VP73" s="294"/>
      <c r="VQ73" s="294"/>
      <c r="VR73" s="294"/>
      <c r="VS73" s="294"/>
      <c r="VT73" s="294"/>
      <c r="VU73" s="294"/>
      <c r="VV73" s="294"/>
      <c r="VW73" s="294"/>
      <c r="VX73" s="294"/>
      <c r="VY73" s="294"/>
      <c r="VZ73" s="294"/>
      <c r="WA73" s="294"/>
      <c r="WB73" s="294"/>
      <c r="WC73" s="294"/>
      <c r="WD73" s="294"/>
      <c r="WE73" s="294"/>
      <c r="WF73" s="294"/>
      <c r="WG73" s="294"/>
      <c r="WH73" s="294"/>
      <c r="WI73" s="294"/>
      <c r="WJ73" s="294"/>
      <c r="WK73" s="294"/>
      <c r="WL73" s="294"/>
      <c r="WM73" s="294"/>
      <c r="WN73" s="294"/>
      <c r="WO73" s="294"/>
      <c r="WP73" s="294"/>
      <c r="WQ73" s="294"/>
      <c r="WR73" s="294"/>
      <c r="WS73" s="294"/>
      <c r="WT73" s="294"/>
      <c r="WU73" s="294"/>
      <c r="WV73" s="294"/>
      <c r="WW73" s="294"/>
      <c r="WX73" s="294"/>
      <c r="WY73" s="294"/>
      <c r="WZ73" s="294"/>
      <c r="XA73" s="294"/>
      <c r="XB73" s="294"/>
      <c r="XC73" s="294"/>
      <c r="XD73" s="294"/>
      <c r="XE73" s="294"/>
      <c r="XF73" s="294"/>
      <c r="XG73" s="294"/>
      <c r="XH73" s="294"/>
      <c r="XI73" s="294"/>
      <c r="XJ73" s="294"/>
      <c r="XK73" s="294"/>
      <c r="XL73" s="294"/>
      <c r="XM73" s="294"/>
      <c r="XN73" s="294"/>
      <c r="XO73" s="294"/>
      <c r="XP73" s="294"/>
      <c r="XQ73" s="294"/>
      <c r="XR73" s="294"/>
      <c r="XS73" s="294"/>
      <c r="XT73" s="294"/>
      <c r="XU73" s="294"/>
      <c r="XV73" s="294"/>
      <c r="XW73" s="294"/>
      <c r="XX73" s="294"/>
      <c r="XY73" s="294"/>
      <c r="XZ73" s="294"/>
      <c r="YA73" s="294"/>
      <c r="YB73" s="294"/>
      <c r="YC73" s="294"/>
      <c r="YD73" s="294"/>
      <c r="YE73" s="294"/>
      <c r="YF73" s="294"/>
      <c r="YG73" s="294"/>
      <c r="YH73" s="294"/>
      <c r="YI73" s="294"/>
      <c r="YJ73" s="294"/>
      <c r="YK73" s="294"/>
      <c r="YL73" s="294"/>
      <c r="YM73" s="294"/>
      <c r="YN73" s="294"/>
      <c r="YO73" s="294"/>
      <c r="YP73" s="294"/>
      <c r="YQ73" s="294"/>
      <c r="YR73" s="294"/>
      <c r="YS73" s="294"/>
      <c r="YT73" s="294"/>
      <c r="YU73" s="294"/>
      <c r="YV73" s="294"/>
      <c r="YW73" s="294"/>
      <c r="YX73" s="294"/>
      <c r="YY73" s="294"/>
      <c r="YZ73" s="294"/>
      <c r="ZA73" s="294"/>
      <c r="ZB73" s="294"/>
      <c r="ZC73" s="294"/>
      <c r="ZD73" s="294"/>
      <c r="ZE73" s="294"/>
      <c r="ZF73" s="294"/>
      <c r="ZG73" s="294"/>
      <c r="ZH73" s="294"/>
      <c r="ZI73" s="294"/>
      <c r="ZJ73" s="294"/>
      <c r="ZK73" s="294"/>
      <c r="ZL73" s="294"/>
      <c r="ZM73" s="294"/>
      <c r="ZN73" s="294"/>
      <c r="ZO73" s="294"/>
      <c r="ZP73" s="294"/>
      <c r="ZQ73" s="294"/>
      <c r="ZR73" s="294"/>
      <c r="ZS73" s="294"/>
      <c r="ZT73" s="294"/>
      <c r="ZU73" s="294"/>
      <c r="ZV73" s="294"/>
      <c r="ZW73" s="294"/>
      <c r="ZX73" s="294"/>
      <c r="ZY73" s="294"/>
      <c r="ZZ73" s="294"/>
      <c r="AAA73" s="294"/>
      <c r="AAB73" s="294"/>
      <c r="AAC73" s="294"/>
      <c r="AAD73" s="294"/>
      <c r="AAE73" s="294"/>
      <c r="AAF73" s="294"/>
      <c r="AAG73" s="294"/>
      <c r="AAH73" s="294"/>
      <c r="AAI73" s="294"/>
      <c r="AAJ73" s="294"/>
      <c r="AAK73" s="294"/>
      <c r="AAL73" s="294"/>
      <c r="AAM73" s="294"/>
      <c r="AAN73" s="294"/>
      <c r="AAO73" s="294"/>
      <c r="AAP73" s="294"/>
      <c r="AAQ73" s="294"/>
      <c r="AAR73" s="294"/>
      <c r="AAS73" s="294"/>
      <c r="AAT73" s="294"/>
      <c r="AAU73" s="294"/>
      <c r="AAV73" s="294"/>
      <c r="AAW73" s="294"/>
      <c r="AAX73" s="294"/>
      <c r="AAY73" s="294"/>
      <c r="AAZ73" s="294"/>
      <c r="ABA73" s="294"/>
      <c r="ABB73" s="294"/>
      <c r="ABC73" s="294">
        <v>0</v>
      </c>
      <c r="ABD73" s="294"/>
      <c r="ABE73" s="294"/>
      <c r="ABF73" s="294"/>
      <c r="ABG73" s="294"/>
      <c r="ABH73" s="294"/>
      <c r="ABI73" s="294"/>
      <c r="ABJ73" s="294"/>
      <c r="ABK73" s="294">
        <v>0</v>
      </c>
      <c r="ABL73" s="294"/>
      <c r="ABM73" s="294"/>
      <c r="ABN73" s="294"/>
      <c r="ABO73" s="294"/>
      <c r="ABP73" s="294"/>
      <c r="ABQ73" s="294"/>
      <c r="ABR73" s="294"/>
      <c r="ABS73" s="294"/>
      <c r="ABT73" s="294"/>
      <c r="ABU73" s="294"/>
      <c r="ABV73" s="294"/>
      <c r="ABW73" s="294"/>
      <c r="ABX73" s="294"/>
      <c r="ABY73" s="294"/>
      <c r="ABZ73" s="294"/>
      <c r="ACA73" s="294"/>
      <c r="ACB73" s="294"/>
      <c r="ACC73" s="294"/>
      <c r="ACD73" s="294"/>
      <c r="ACE73" s="294"/>
      <c r="ACF73" s="294"/>
      <c r="ACG73" s="294"/>
      <c r="ACH73" s="294"/>
      <c r="ACI73" s="294"/>
      <c r="ACJ73" s="294"/>
      <c r="ACK73" s="294"/>
      <c r="ACL73" s="294"/>
      <c r="ACM73" s="294"/>
      <c r="ACN73" s="294"/>
      <c r="ACO73" s="294"/>
      <c r="ACP73" s="294"/>
      <c r="ACQ73" s="294"/>
      <c r="ACR73" s="294"/>
      <c r="ACS73" s="294"/>
      <c r="ACT73" s="294"/>
      <c r="ACU73" s="294"/>
      <c r="ACV73" s="294"/>
      <c r="ACW73" s="294"/>
      <c r="ACX73" s="294"/>
      <c r="ACY73" s="294"/>
      <c r="ACZ73" s="294"/>
      <c r="ADA73" s="294"/>
      <c r="ADB73" s="294"/>
      <c r="ADC73" s="294"/>
      <c r="ADD73" s="294"/>
      <c r="ADE73" s="294"/>
      <c r="ADF73" s="294"/>
      <c r="ADG73" s="294"/>
      <c r="ADH73" s="294"/>
      <c r="ADI73" s="294"/>
      <c r="ADJ73" s="294"/>
      <c r="ADK73" s="294"/>
      <c r="ADL73" s="294"/>
      <c r="ADM73" s="294"/>
      <c r="ADN73" s="294"/>
      <c r="ADO73" s="294"/>
      <c r="ADP73" s="294"/>
      <c r="ADQ73" s="294"/>
      <c r="ADR73" s="294"/>
      <c r="ADS73" s="294"/>
      <c r="ADT73" s="294"/>
      <c r="ADU73" s="294"/>
      <c r="ADV73" s="294"/>
      <c r="ADW73" s="294"/>
      <c r="ADX73" s="294"/>
      <c r="ADY73" s="294"/>
      <c r="ADZ73" s="294"/>
      <c r="AEA73" s="294"/>
      <c r="AEB73" s="294"/>
      <c r="AEC73" s="294"/>
      <c r="AED73" s="294"/>
      <c r="AEE73" s="294"/>
      <c r="AEF73" s="294"/>
      <c r="AEG73" s="294"/>
      <c r="AEH73" s="294"/>
      <c r="AEI73" s="294"/>
      <c r="AEJ73" s="294"/>
      <c r="AEK73" s="294"/>
      <c r="AEL73" s="294"/>
      <c r="AEM73" s="294"/>
      <c r="AEN73" s="294"/>
      <c r="AEO73" s="294"/>
      <c r="AEP73" s="294"/>
      <c r="AEQ73" s="294"/>
      <c r="AER73" s="294"/>
      <c r="AES73" s="294"/>
      <c r="AET73" s="294"/>
      <c r="AEU73" s="294"/>
      <c r="AEV73" s="294"/>
      <c r="AEW73" s="294"/>
      <c r="AEX73" s="294"/>
      <c r="AEY73" s="294"/>
      <c r="AEZ73" s="294"/>
      <c r="AFA73" s="294"/>
      <c r="AFB73" s="294"/>
      <c r="AFC73" s="294"/>
      <c r="AFD73" s="294"/>
      <c r="AFE73" s="294"/>
      <c r="AFF73" s="294"/>
      <c r="AFG73" s="294"/>
      <c r="AFH73" s="294"/>
      <c r="AFI73" s="294"/>
      <c r="AFJ73" s="294"/>
      <c r="AFK73" s="294"/>
      <c r="AFL73" s="294"/>
      <c r="AFM73" s="294"/>
      <c r="AFN73" s="294"/>
      <c r="AFO73" s="294"/>
      <c r="AFP73" s="294"/>
      <c r="AFQ73" s="294"/>
      <c r="AFR73" s="294"/>
      <c r="AFS73" s="294"/>
      <c r="AFT73" s="294"/>
      <c r="AFU73" s="294"/>
      <c r="AFV73" s="294"/>
      <c r="AFW73" s="294"/>
      <c r="AFX73" s="294"/>
      <c r="AFY73" s="294"/>
      <c r="AFZ73" s="294"/>
      <c r="AGA73" s="294"/>
      <c r="AGB73" s="294"/>
      <c r="AGC73" s="294"/>
      <c r="AGD73" s="294"/>
      <c r="AGE73" s="294"/>
      <c r="AGF73" s="294"/>
      <c r="AGG73" s="294"/>
      <c r="AGH73" s="294"/>
      <c r="AGI73" s="294"/>
      <c r="AGJ73" s="294"/>
      <c r="AGK73" s="294"/>
      <c r="AGL73" s="294"/>
      <c r="AGM73" s="294"/>
      <c r="AGN73" s="294"/>
      <c r="AGO73" s="294"/>
      <c r="AGP73" s="294"/>
      <c r="AGQ73" s="294"/>
      <c r="AGR73" s="294"/>
      <c r="AGS73" s="294"/>
      <c r="AGT73" s="294"/>
      <c r="AGU73" s="294"/>
      <c r="AGV73" s="294"/>
      <c r="AGW73" s="294"/>
      <c r="AGX73" s="294"/>
      <c r="AGY73" s="294"/>
      <c r="AGZ73" s="294"/>
      <c r="AHA73" s="294"/>
      <c r="AHB73" s="294"/>
      <c r="AHC73" s="294"/>
      <c r="AHD73" s="294"/>
      <c r="AHE73" s="294"/>
      <c r="AHF73" s="294"/>
      <c r="AHG73" s="294"/>
      <c r="AHH73" s="294"/>
      <c r="AHI73" s="294"/>
      <c r="AHJ73" s="294"/>
      <c r="AHK73" s="294"/>
      <c r="AHL73" s="294"/>
      <c r="AHM73" s="294"/>
      <c r="AHN73" s="294"/>
      <c r="AHO73" s="294"/>
      <c r="AHP73" s="294"/>
      <c r="AHQ73" s="294"/>
      <c r="AHR73" s="331"/>
      <c r="AHS73" s="294">
        <f t="shared" si="51"/>
        <v>-700</v>
      </c>
      <c r="AHT73" s="269" t="b">
        <f t="shared" si="52"/>
        <v>1</v>
      </c>
      <c r="AHU73" s="269" t="s">
        <v>6278</v>
      </c>
      <c r="AHV73" s="269" t="s">
        <v>6089</v>
      </c>
      <c r="AHW73" s="269" t="s">
        <v>6090</v>
      </c>
    </row>
    <row r="74" spans="1:907" ht="24.6" x14ac:dyDescent="0.7">
      <c r="A74" s="268" t="s">
        <v>6278</v>
      </c>
      <c r="B74" s="268" t="s">
        <v>6091</v>
      </c>
      <c r="C74" s="269" t="s">
        <v>6092</v>
      </c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294"/>
      <c r="DL74" s="294"/>
      <c r="DM74" s="294"/>
      <c r="DN74" s="294"/>
      <c r="DO74" s="294"/>
      <c r="DP74" s="294"/>
      <c r="DQ74" s="294"/>
      <c r="DR74" s="294"/>
      <c r="DS74" s="294"/>
      <c r="DT74" s="294"/>
      <c r="DU74" s="294"/>
      <c r="DV74" s="294"/>
      <c r="DW74" s="294"/>
      <c r="DX74" s="294"/>
      <c r="DY74" s="294"/>
      <c r="DZ74" s="294"/>
      <c r="EA74" s="294"/>
      <c r="EB74" s="294"/>
      <c r="EC74" s="294"/>
      <c r="ED74" s="294"/>
      <c r="EE74" s="294"/>
      <c r="EF74" s="294"/>
      <c r="EG74" s="294"/>
      <c r="EH74" s="294"/>
      <c r="EI74" s="294"/>
      <c r="EJ74" s="294"/>
      <c r="EK74" s="294"/>
      <c r="EL74" s="294"/>
      <c r="EM74" s="294"/>
      <c r="EN74" s="294"/>
      <c r="EO74" s="294"/>
      <c r="EP74" s="294"/>
      <c r="EQ74" s="294"/>
      <c r="ER74" s="294"/>
      <c r="ES74" s="294"/>
      <c r="ET74" s="294"/>
      <c r="EU74" s="294"/>
      <c r="EV74" s="294"/>
      <c r="EW74" s="294"/>
      <c r="EX74" s="294"/>
      <c r="EY74" s="294"/>
      <c r="EZ74" s="294"/>
      <c r="FA74" s="294"/>
      <c r="FB74" s="294"/>
      <c r="FC74" s="294"/>
      <c r="FD74" s="294"/>
      <c r="FE74" s="294"/>
      <c r="FF74" s="294"/>
      <c r="FG74" s="294"/>
      <c r="FH74" s="294"/>
      <c r="FI74" s="294"/>
      <c r="FJ74" s="294"/>
      <c r="FK74" s="294"/>
      <c r="FL74" s="294"/>
      <c r="FM74" s="294"/>
      <c r="FN74" s="294"/>
      <c r="FO74" s="294"/>
      <c r="FP74" s="294"/>
      <c r="FQ74" s="294"/>
      <c r="FR74" s="294"/>
      <c r="FS74" s="294"/>
      <c r="FT74" s="294"/>
      <c r="FU74" s="294"/>
      <c r="FV74" s="294"/>
      <c r="FW74" s="294"/>
      <c r="FX74" s="294"/>
      <c r="FY74" s="294"/>
      <c r="FZ74" s="294"/>
      <c r="GA74" s="294"/>
      <c r="GB74" s="294"/>
      <c r="GC74" s="294"/>
      <c r="GD74" s="294"/>
      <c r="GE74" s="294"/>
      <c r="GF74" s="294"/>
      <c r="GG74" s="294"/>
      <c r="GH74" s="294"/>
      <c r="GI74" s="294"/>
      <c r="GJ74" s="294"/>
      <c r="GK74" s="294"/>
      <c r="GL74" s="294"/>
      <c r="GM74" s="294"/>
      <c r="GN74" s="294"/>
      <c r="GO74" s="294"/>
      <c r="GP74" s="294"/>
      <c r="GQ74" s="294"/>
      <c r="GR74" s="294"/>
      <c r="GS74" s="294"/>
      <c r="GT74" s="294"/>
      <c r="GU74" s="294"/>
      <c r="GV74" s="294"/>
      <c r="GW74" s="294"/>
      <c r="GX74" s="294"/>
      <c r="GY74" s="294"/>
      <c r="GZ74" s="294"/>
      <c r="HA74" s="294"/>
      <c r="HB74" s="294"/>
      <c r="HC74" s="294"/>
      <c r="HD74" s="294"/>
      <c r="HE74" s="294"/>
      <c r="HF74" s="294"/>
      <c r="HG74" s="294"/>
      <c r="HH74" s="294"/>
      <c r="HI74" s="294"/>
      <c r="HJ74" s="294"/>
      <c r="HK74" s="294"/>
      <c r="HL74" s="294"/>
      <c r="HM74" s="294"/>
      <c r="HN74" s="294"/>
      <c r="HO74" s="294"/>
      <c r="HP74" s="294"/>
      <c r="HQ74" s="294"/>
      <c r="HR74" s="294"/>
      <c r="HS74" s="294"/>
      <c r="HT74" s="294"/>
      <c r="HU74" s="294"/>
      <c r="HV74" s="294"/>
      <c r="HW74" s="294"/>
      <c r="HX74" s="294"/>
      <c r="HY74" s="294"/>
      <c r="HZ74" s="294"/>
      <c r="IA74" s="294"/>
      <c r="IB74" s="294"/>
      <c r="IC74" s="294"/>
      <c r="ID74" s="294"/>
      <c r="IE74" s="294"/>
      <c r="IF74" s="294"/>
      <c r="IG74" s="294"/>
      <c r="IH74" s="294"/>
      <c r="II74" s="294"/>
      <c r="IJ74" s="294"/>
      <c r="IK74" s="294"/>
      <c r="IL74" s="294"/>
      <c r="IM74" s="294"/>
      <c r="IN74" s="294"/>
      <c r="IO74" s="294"/>
      <c r="IP74" s="294"/>
      <c r="IQ74" s="294"/>
      <c r="IR74" s="294"/>
      <c r="IS74" s="294"/>
      <c r="IT74" s="294"/>
      <c r="IU74" s="294"/>
      <c r="IV74" s="294"/>
      <c r="IW74" s="294"/>
      <c r="IX74" s="294"/>
      <c r="IY74" s="294"/>
      <c r="IZ74" s="294"/>
      <c r="JA74" s="294"/>
      <c r="JB74" s="294"/>
      <c r="JC74" s="294"/>
      <c r="JD74" s="294"/>
      <c r="JE74" s="294"/>
      <c r="JF74" s="294"/>
      <c r="JG74" s="294"/>
      <c r="JH74" s="294"/>
      <c r="JI74" s="294"/>
      <c r="JJ74" s="294"/>
      <c r="JK74" s="294"/>
      <c r="JL74" s="294"/>
      <c r="JM74" s="294"/>
      <c r="JN74" s="294"/>
      <c r="JO74" s="294"/>
      <c r="JP74" s="294"/>
      <c r="JQ74" s="294"/>
      <c r="JR74" s="294">
        <v>0</v>
      </c>
      <c r="JS74" s="294"/>
      <c r="JT74" s="294"/>
      <c r="JU74" s="294"/>
      <c r="JV74" s="294"/>
      <c r="JW74" s="294"/>
      <c r="JX74" s="294"/>
      <c r="JY74" s="294"/>
      <c r="JZ74" s="294"/>
      <c r="KA74" s="294"/>
      <c r="KB74" s="294"/>
      <c r="KC74" s="294"/>
      <c r="KD74" s="294"/>
      <c r="KE74" s="294"/>
      <c r="KF74" s="294"/>
      <c r="KG74" s="294"/>
      <c r="KH74" s="294"/>
      <c r="KI74" s="294"/>
      <c r="KJ74" s="294"/>
      <c r="KK74" s="294"/>
      <c r="KL74" s="294"/>
      <c r="KM74" s="294"/>
      <c r="KN74" s="294"/>
      <c r="KO74" s="294"/>
      <c r="KP74" s="294"/>
      <c r="KQ74" s="294"/>
      <c r="KR74" s="294"/>
      <c r="KS74" s="294"/>
      <c r="KT74" s="294"/>
      <c r="KU74" s="294"/>
      <c r="KV74" s="294"/>
      <c r="KW74" s="294"/>
      <c r="KX74" s="294"/>
      <c r="KY74" s="294"/>
      <c r="KZ74" s="294"/>
      <c r="LA74" s="294"/>
      <c r="LB74" s="294"/>
      <c r="LC74" s="294"/>
      <c r="LD74" s="294"/>
      <c r="LE74" s="294"/>
      <c r="LF74" s="294"/>
      <c r="LG74" s="294"/>
      <c r="LH74" s="294"/>
      <c r="LI74" s="294"/>
      <c r="LJ74" s="294"/>
      <c r="LK74" s="294"/>
      <c r="LL74" s="294"/>
      <c r="LM74" s="294"/>
      <c r="LN74" s="294"/>
      <c r="LO74" s="294"/>
      <c r="LP74" s="294"/>
      <c r="LQ74" s="294"/>
      <c r="LR74" s="294"/>
      <c r="LS74" s="294"/>
      <c r="LT74" s="294"/>
      <c r="LU74" s="294"/>
      <c r="LV74" s="294"/>
      <c r="LW74" s="294"/>
      <c r="LX74" s="294"/>
      <c r="LY74" s="294"/>
      <c r="LZ74" s="294"/>
      <c r="MA74" s="294"/>
      <c r="MB74" s="294"/>
      <c r="MC74" s="294"/>
      <c r="MD74" s="294"/>
      <c r="ME74" s="294"/>
      <c r="MF74" s="294"/>
      <c r="MG74" s="294"/>
      <c r="MH74" s="294"/>
      <c r="MI74" s="294"/>
      <c r="MJ74" s="294"/>
      <c r="MK74" s="294"/>
      <c r="ML74" s="294"/>
      <c r="MM74" s="294"/>
      <c r="MN74" s="294"/>
      <c r="MO74" s="294"/>
      <c r="MP74" s="294"/>
      <c r="MQ74" s="294"/>
      <c r="MR74" s="294"/>
      <c r="MS74" s="294"/>
      <c r="MT74" s="294"/>
      <c r="MU74" s="294"/>
      <c r="MV74" s="294"/>
      <c r="MW74" s="294"/>
      <c r="MX74" s="294"/>
      <c r="MY74" s="294"/>
      <c r="MZ74" s="294"/>
      <c r="NA74" s="294"/>
      <c r="NB74" s="294"/>
      <c r="NC74" s="294"/>
      <c r="ND74" s="294"/>
      <c r="NE74" s="294"/>
      <c r="NF74" s="294"/>
      <c r="NG74" s="294"/>
      <c r="NH74" s="294"/>
      <c r="NI74" s="294"/>
      <c r="NJ74" s="294"/>
      <c r="NK74" s="294"/>
      <c r="NL74" s="294"/>
      <c r="NM74" s="294"/>
      <c r="NN74" s="294"/>
      <c r="NO74" s="294"/>
      <c r="NP74" s="294"/>
      <c r="NQ74" s="294"/>
      <c r="NR74" s="294"/>
      <c r="NS74" s="294"/>
      <c r="NT74" s="294"/>
      <c r="NU74" s="294"/>
      <c r="NV74" s="294"/>
      <c r="NW74" s="294"/>
      <c r="NX74" s="294"/>
      <c r="NY74" s="294"/>
      <c r="NZ74" s="294"/>
      <c r="OA74" s="294"/>
      <c r="OB74" s="294"/>
      <c r="OC74" s="294"/>
      <c r="OD74" s="294"/>
      <c r="OE74" s="294"/>
      <c r="OF74" s="294"/>
      <c r="OG74" s="294"/>
      <c r="OH74" s="294"/>
      <c r="OI74" s="294"/>
      <c r="OJ74" s="294"/>
      <c r="OK74" s="294"/>
      <c r="OL74" s="294"/>
      <c r="OM74" s="294"/>
      <c r="ON74" s="294"/>
      <c r="OO74" s="294"/>
      <c r="OP74" s="294"/>
      <c r="OQ74" s="294"/>
      <c r="OR74" s="294"/>
      <c r="OS74" s="294"/>
      <c r="OT74" s="294"/>
      <c r="OU74" s="294"/>
      <c r="OV74" s="294"/>
      <c r="OW74" s="294"/>
      <c r="OX74" s="294"/>
      <c r="OY74" s="294"/>
      <c r="OZ74" s="294"/>
      <c r="PA74" s="294"/>
      <c r="PB74" s="294"/>
      <c r="PC74" s="294"/>
      <c r="PD74" s="294"/>
      <c r="PE74" s="294"/>
      <c r="PF74" s="294"/>
      <c r="PG74" s="294"/>
      <c r="PH74" s="294"/>
      <c r="PI74" s="294"/>
      <c r="PJ74" s="294"/>
      <c r="PK74" s="294"/>
      <c r="PL74" s="294"/>
      <c r="PM74" s="294"/>
      <c r="PN74" s="294"/>
      <c r="PO74" s="294"/>
      <c r="PP74" s="294"/>
      <c r="PQ74" s="294"/>
      <c r="PR74" s="294"/>
      <c r="PS74" s="294"/>
      <c r="PT74" s="294"/>
      <c r="PU74" s="294"/>
      <c r="PV74" s="294"/>
      <c r="PW74" s="294"/>
      <c r="PX74" s="294"/>
      <c r="PY74" s="294"/>
      <c r="PZ74" s="294"/>
      <c r="QA74" s="294"/>
      <c r="QB74" s="294"/>
      <c r="QC74" s="294"/>
      <c r="QD74" s="294"/>
      <c r="QE74" s="294"/>
      <c r="QF74" s="294"/>
      <c r="QG74" s="294"/>
      <c r="QH74" s="294"/>
      <c r="QI74" s="294"/>
      <c r="QJ74" s="294"/>
      <c r="QK74" s="294"/>
      <c r="QL74" s="294"/>
      <c r="QM74" s="294"/>
      <c r="QN74" s="294"/>
      <c r="QO74" s="294"/>
      <c r="QP74" s="294"/>
      <c r="QQ74" s="294"/>
      <c r="QR74" s="294"/>
      <c r="QS74" s="294"/>
      <c r="QT74" s="294"/>
      <c r="QU74" s="294"/>
      <c r="QV74" s="294"/>
      <c r="QW74" s="294"/>
      <c r="QX74" s="294"/>
      <c r="QY74" s="294"/>
      <c r="QZ74" s="294"/>
      <c r="RA74" s="294"/>
      <c r="RB74" s="294"/>
      <c r="RC74" s="294"/>
      <c r="RD74" s="294"/>
      <c r="RE74" s="294"/>
      <c r="RF74" s="294"/>
      <c r="RG74" s="294"/>
      <c r="RH74" s="294"/>
      <c r="RI74" s="294"/>
      <c r="RJ74" s="294"/>
      <c r="RK74" s="294"/>
      <c r="RL74" s="294"/>
      <c r="RM74" s="294"/>
      <c r="RN74" s="294"/>
      <c r="RO74" s="294"/>
      <c r="RP74" s="294"/>
      <c r="RQ74" s="294"/>
      <c r="RR74" s="294"/>
      <c r="RS74" s="294"/>
      <c r="RT74" s="294"/>
      <c r="RU74" s="294"/>
      <c r="RV74" s="294"/>
      <c r="RW74" s="294"/>
      <c r="RX74" s="294"/>
      <c r="RY74" s="294"/>
      <c r="RZ74" s="294"/>
      <c r="SA74" s="294"/>
      <c r="SB74" s="294"/>
      <c r="SC74" s="294"/>
      <c r="SD74" s="294"/>
      <c r="SE74" s="294"/>
      <c r="SF74" s="294"/>
      <c r="SG74" s="294"/>
      <c r="SH74" s="294"/>
      <c r="SI74" s="294"/>
      <c r="SJ74" s="294"/>
      <c r="SK74" s="294"/>
      <c r="SL74" s="294"/>
      <c r="SM74" s="294"/>
      <c r="SN74" s="294"/>
      <c r="SO74" s="294"/>
      <c r="SP74" s="294"/>
      <c r="SQ74" s="294"/>
      <c r="SR74" s="294"/>
      <c r="SS74" s="294"/>
      <c r="ST74" s="294"/>
      <c r="SU74" s="294"/>
      <c r="SV74" s="294"/>
      <c r="SW74" s="294"/>
      <c r="SX74" s="294"/>
      <c r="SY74" s="294"/>
      <c r="SZ74" s="294"/>
      <c r="TA74" s="294"/>
      <c r="TB74" s="294"/>
      <c r="TC74" s="294"/>
      <c r="TD74" s="294"/>
      <c r="TE74" s="294"/>
      <c r="TF74" s="294"/>
      <c r="TG74" s="294"/>
      <c r="TH74" s="294"/>
      <c r="TI74" s="294"/>
      <c r="TJ74" s="294"/>
      <c r="TK74" s="294"/>
      <c r="TL74" s="294"/>
      <c r="TM74" s="294"/>
      <c r="TN74" s="294"/>
      <c r="TO74" s="294"/>
      <c r="TP74" s="294"/>
      <c r="TQ74" s="294"/>
      <c r="TR74" s="294"/>
      <c r="TS74" s="294"/>
      <c r="TT74" s="294"/>
      <c r="TU74" s="294"/>
      <c r="TV74" s="294"/>
      <c r="TW74" s="294"/>
      <c r="TX74" s="294"/>
      <c r="TY74" s="294"/>
      <c r="TZ74" s="294"/>
      <c r="UA74" s="294"/>
      <c r="UB74" s="294"/>
      <c r="UC74" s="294"/>
      <c r="UD74" s="294"/>
      <c r="UE74" s="294"/>
      <c r="UF74" s="294"/>
      <c r="UG74" s="294"/>
      <c r="UH74" s="294"/>
      <c r="UI74" s="294"/>
      <c r="UJ74" s="294"/>
      <c r="UK74" s="294"/>
      <c r="UL74" s="294"/>
      <c r="UM74" s="294"/>
      <c r="UN74" s="294"/>
      <c r="UO74" s="294"/>
      <c r="UP74" s="294"/>
      <c r="UQ74" s="294"/>
      <c r="UR74" s="294"/>
      <c r="US74" s="294"/>
      <c r="UT74" s="294"/>
      <c r="UU74" s="294"/>
      <c r="UV74" s="294"/>
      <c r="UW74" s="294"/>
      <c r="UX74" s="294"/>
      <c r="UY74" s="294"/>
      <c r="UZ74" s="294"/>
      <c r="VA74" s="294"/>
      <c r="VB74" s="294"/>
      <c r="VC74" s="294"/>
      <c r="VD74" s="294"/>
      <c r="VE74" s="294"/>
      <c r="VF74" s="294"/>
      <c r="VG74" s="294"/>
      <c r="VH74" s="294"/>
      <c r="VI74" s="294"/>
      <c r="VJ74" s="294"/>
      <c r="VK74" s="294"/>
      <c r="VL74" s="294"/>
      <c r="VM74" s="294"/>
      <c r="VN74" s="294"/>
      <c r="VO74" s="294"/>
      <c r="VP74" s="294"/>
      <c r="VQ74" s="294"/>
      <c r="VR74" s="294"/>
      <c r="VS74" s="294"/>
      <c r="VT74" s="294"/>
      <c r="VU74" s="294"/>
      <c r="VV74" s="294"/>
      <c r="VW74" s="294"/>
      <c r="VX74" s="294"/>
      <c r="VY74" s="294"/>
      <c r="VZ74" s="294"/>
      <c r="WA74" s="294"/>
      <c r="WB74" s="294"/>
      <c r="WC74" s="294"/>
      <c r="WD74" s="294"/>
      <c r="WE74" s="294"/>
      <c r="WF74" s="294"/>
      <c r="WG74" s="294"/>
      <c r="WH74" s="294"/>
      <c r="WI74" s="294"/>
      <c r="WJ74" s="294"/>
      <c r="WK74" s="294"/>
      <c r="WL74" s="294"/>
      <c r="WM74" s="294"/>
      <c r="WN74" s="294"/>
      <c r="WO74" s="294"/>
      <c r="WP74" s="294"/>
      <c r="WQ74" s="294"/>
      <c r="WR74" s="294"/>
      <c r="WS74" s="294"/>
      <c r="WT74" s="294"/>
      <c r="WU74" s="294"/>
      <c r="WV74" s="294"/>
      <c r="WW74" s="294"/>
      <c r="WX74" s="294"/>
      <c r="WY74" s="294"/>
      <c r="WZ74" s="294"/>
      <c r="XA74" s="294"/>
      <c r="XB74" s="294"/>
      <c r="XC74" s="294"/>
      <c r="XD74" s="294"/>
      <c r="XE74" s="294"/>
      <c r="XF74" s="294"/>
      <c r="XG74" s="294"/>
      <c r="XH74" s="294"/>
      <c r="XI74" s="294"/>
      <c r="XJ74" s="294"/>
      <c r="XK74" s="294"/>
      <c r="XL74" s="294"/>
      <c r="XM74" s="294"/>
      <c r="XN74" s="294"/>
      <c r="XO74" s="294"/>
      <c r="XP74" s="294"/>
      <c r="XQ74" s="294"/>
      <c r="XR74" s="294"/>
      <c r="XS74" s="294"/>
      <c r="XT74" s="294"/>
      <c r="XU74" s="294"/>
      <c r="XV74" s="294"/>
      <c r="XW74" s="294"/>
      <c r="XX74" s="294"/>
      <c r="XY74" s="294"/>
      <c r="XZ74" s="294"/>
      <c r="YA74" s="294"/>
      <c r="YB74" s="294"/>
      <c r="YC74" s="294"/>
      <c r="YD74" s="294"/>
      <c r="YE74" s="294"/>
      <c r="YF74" s="294"/>
      <c r="YG74" s="294"/>
      <c r="YH74" s="294"/>
      <c r="YI74" s="294"/>
      <c r="YJ74" s="294"/>
      <c r="YK74" s="294"/>
      <c r="YL74" s="294"/>
      <c r="YM74" s="294"/>
      <c r="YN74" s="294"/>
      <c r="YO74" s="294"/>
      <c r="YP74" s="294"/>
      <c r="YQ74" s="294"/>
      <c r="YR74" s="294"/>
      <c r="YS74" s="294"/>
      <c r="YT74" s="294"/>
      <c r="YU74" s="294"/>
      <c r="YV74" s="294"/>
      <c r="YW74" s="294"/>
      <c r="YX74" s="294"/>
      <c r="YY74" s="294"/>
      <c r="YZ74" s="294"/>
      <c r="ZA74" s="294"/>
      <c r="ZB74" s="294"/>
      <c r="ZC74" s="294"/>
      <c r="ZD74" s="294"/>
      <c r="ZE74" s="294"/>
      <c r="ZF74" s="294"/>
      <c r="ZG74" s="294"/>
      <c r="ZH74" s="294"/>
      <c r="ZI74" s="294"/>
      <c r="ZJ74" s="294"/>
      <c r="ZK74" s="294"/>
      <c r="ZL74" s="294"/>
      <c r="ZM74" s="294"/>
      <c r="ZN74" s="294"/>
      <c r="ZO74" s="294"/>
      <c r="ZP74" s="294"/>
      <c r="ZQ74" s="294"/>
      <c r="ZR74" s="294"/>
      <c r="ZS74" s="294"/>
      <c r="ZT74" s="294"/>
      <c r="ZU74" s="294"/>
      <c r="ZV74" s="294"/>
      <c r="ZW74" s="294"/>
      <c r="ZX74" s="294"/>
      <c r="ZY74" s="294"/>
      <c r="ZZ74" s="294"/>
      <c r="AAA74" s="294"/>
      <c r="AAB74" s="294"/>
      <c r="AAC74" s="294"/>
      <c r="AAD74" s="294"/>
      <c r="AAE74" s="294"/>
      <c r="AAF74" s="294"/>
      <c r="AAG74" s="294"/>
      <c r="AAH74" s="294"/>
      <c r="AAI74" s="294"/>
      <c r="AAJ74" s="294"/>
      <c r="AAK74" s="294"/>
      <c r="AAL74" s="294"/>
      <c r="AAM74" s="294"/>
      <c r="AAN74" s="294"/>
      <c r="AAO74" s="294"/>
      <c r="AAP74" s="294"/>
      <c r="AAQ74" s="294"/>
      <c r="AAR74" s="294"/>
      <c r="AAS74" s="294"/>
      <c r="AAT74" s="294"/>
      <c r="AAU74" s="294"/>
      <c r="AAV74" s="294"/>
      <c r="AAW74" s="294"/>
      <c r="AAX74" s="294"/>
      <c r="AAY74" s="294"/>
      <c r="AAZ74" s="294"/>
      <c r="ABA74" s="294"/>
      <c r="ABB74" s="294"/>
      <c r="ABC74" s="294">
        <v>0</v>
      </c>
      <c r="ABD74" s="294"/>
      <c r="ABE74" s="294"/>
      <c r="ABF74" s="294"/>
      <c r="ABG74" s="294"/>
      <c r="ABH74" s="294"/>
      <c r="ABI74" s="294"/>
      <c r="ABJ74" s="294"/>
      <c r="ABK74" s="294">
        <v>0</v>
      </c>
      <c r="ABL74" s="294"/>
      <c r="ABM74" s="294"/>
      <c r="ABN74" s="294"/>
      <c r="ABO74" s="294"/>
      <c r="ABP74" s="294"/>
      <c r="ABQ74" s="294"/>
      <c r="ABR74" s="294"/>
      <c r="ABS74" s="294"/>
      <c r="ABT74" s="294"/>
      <c r="ABU74" s="294"/>
      <c r="ABV74" s="294"/>
      <c r="ABW74" s="294"/>
      <c r="ABX74" s="294"/>
      <c r="ABY74" s="294"/>
      <c r="ABZ74" s="294"/>
      <c r="ACA74" s="294"/>
      <c r="ACB74" s="294"/>
      <c r="ACC74" s="294"/>
      <c r="ACD74" s="294"/>
      <c r="ACE74" s="294"/>
      <c r="ACF74" s="294"/>
      <c r="ACG74" s="294"/>
      <c r="ACH74" s="294"/>
      <c r="ACI74" s="294"/>
      <c r="ACJ74" s="294"/>
      <c r="ACK74" s="294"/>
      <c r="ACL74" s="294"/>
      <c r="ACM74" s="294"/>
      <c r="ACN74" s="294"/>
      <c r="ACO74" s="294"/>
      <c r="ACP74" s="294"/>
      <c r="ACQ74" s="294"/>
      <c r="ACR74" s="294"/>
      <c r="ACS74" s="294"/>
      <c r="ACT74" s="294"/>
      <c r="ACU74" s="294"/>
      <c r="ACV74" s="294"/>
      <c r="ACW74" s="294"/>
      <c r="ACX74" s="294"/>
      <c r="ACY74" s="294"/>
      <c r="ACZ74" s="294"/>
      <c r="ADA74" s="294"/>
      <c r="ADB74" s="294"/>
      <c r="ADC74" s="294"/>
      <c r="ADD74" s="294"/>
      <c r="ADE74" s="294"/>
      <c r="ADF74" s="294"/>
      <c r="ADG74" s="294"/>
      <c r="ADH74" s="294"/>
      <c r="ADI74" s="294"/>
      <c r="ADJ74" s="294"/>
      <c r="ADK74" s="294"/>
      <c r="ADL74" s="294"/>
      <c r="ADM74" s="294"/>
      <c r="ADN74" s="294"/>
      <c r="ADO74" s="294"/>
      <c r="ADP74" s="294"/>
      <c r="ADQ74" s="294"/>
      <c r="ADR74" s="294"/>
      <c r="ADS74" s="294"/>
      <c r="ADT74" s="294"/>
      <c r="ADU74" s="294"/>
      <c r="ADV74" s="294"/>
      <c r="ADW74" s="294"/>
      <c r="ADX74" s="294"/>
      <c r="ADY74" s="294"/>
      <c r="ADZ74" s="294"/>
      <c r="AEA74" s="294"/>
      <c r="AEB74" s="294"/>
      <c r="AEC74" s="294"/>
      <c r="AED74" s="294"/>
      <c r="AEE74" s="294"/>
      <c r="AEF74" s="294"/>
      <c r="AEG74" s="294"/>
      <c r="AEH74" s="294"/>
      <c r="AEI74" s="294"/>
      <c r="AEJ74" s="294"/>
      <c r="AEK74" s="294"/>
      <c r="AEL74" s="294"/>
      <c r="AEM74" s="294"/>
      <c r="AEN74" s="294"/>
      <c r="AEO74" s="294"/>
      <c r="AEP74" s="294"/>
      <c r="AEQ74" s="294"/>
      <c r="AER74" s="294"/>
      <c r="AES74" s="294"/>
      <c r="AET74" s="294"/>
      <c r="AEU74" s="294"/>
      <c r="AEV74" s="294"/>
      <c r="AEW74" s="294"/>
      <c r="AEX74" s="294"/>
      <c r="AEY74" s="294"/>
      <c r="AEZ74" s="294"/>
      <c r="AFA74" s="294"/>
      <c r="AFB74" s="294"/>
      <c r="AFC74" s="294"/>
      <c r="AFD74" s="294"/>
      <c r="AFE74" s="294"/>
      <c r="AFF74" s="294"/>
      <c r="AFG74" s="294"/>
      <c r="AFH74" s="294"/>
      <c r="AFI74" s="294"/>
      <c r="AFJ74" s="294"/>
      <c r="AFK74" s="294"/>
      <c r="AFL74" s="294"/>
      <c r="AFM74" s="294"/>
      <c r="AFN74" s="294"/>
      <c r="AFO74" s="294"/>
      <c r="AFP74" s="294"/>
      <c r="AFQ74" s="294"/>
      <c r="AFR74" s="294"/>
      <c r="AFS74" s="294"/>
      <c r="AFT74" s="294"/>
      <c r="AFU74" s="294"/>
      <c r="AFV74" s="294"/>
      <c r="AFW74" s="294"/>
      <c r="AFX74" s="294"/>
      <c r="AFY74" s="294"/>
      <c r="AFZ74" s="294"/>
      <c r="AGA74" s="294"/>
      <c r="AGB74" s="294"/>
      <c r="AGC74" s="294"/>
      <c r="AGD74" s="294"/>
      <c r="AGE74" s="294"/>
      <c r="AGF74" s="294"/>
      <c r="AGG74" s="294"/>
      <c r="AGH74" s="294"/>
      <c r="AGI74" s="294"/>
      <c r="AGJ74" s="294"/>
      <c r="AGK74" s="294"/>
      <c r="AGL74" s="294"/>
      <c r="AGM74" s="294"/>
      <c r="AGN74" s="294"/>
      <c r="AGO74" s="294"/>
      <c r="AGP74" s="294"/>
      <c r="AGQ74" s="294"/>
      <c r="AGR74" s="294"/>
      <c r="AGS74" s="294"/>
      <c r="AGT74" s="294"/>
      <c r="AGU74" s="294"/>
      <c r="AGV74" s="294"/>
      <c r="AGW74" s="294"/>
      <c r="AGX74" s="294"/>
      <c r="AGY74" s="294"/>
      <c r="AGZ74" s="294"/>
      <c r="AHA74" s="294"/>
      <c r="AHB74" s="294"/>
      <c r="AHC74" s="294"/>
      <c r="AHD74" s="294"/>
      <c r="AHE74" s="294"/>
      <c r="AHF74" s="294"/>
      <c r="AHG74" s="294"/>
      <c r="AHH74" s="294"/>
      <c r="AHI74" s="294"/>
      <c r="AHJ74" s="294"/>
      <c r="AHK74" s="294"/>
      <c r="AHL74" s="294"/>
      <c r="AHM74" s="294"/>
      <c r="AHN74" s="294"/>
      <c r="AHO74" s="294"/>
      <c r="AHP74" s="294"/>
      <c r="AHQ74" s="294"/>
      <c r="AHR74" s="331"/>
      <c r="AHS74" s="294">
        <f t="shared" si="51"/>
        <v>0</v>
      </c>
      <c r="AHT74" s="269" t="b">
        <f t="shared" si="52"/>
        <v>1</v>
      </c>
      <c r="AHU74" s="269" t="s">
        <v>6278</v>
      </c>
      <c r="AHV74" s="269" t="s">
        <v>6091</v>
      </c>
      <c r="AHW74" s="269" t="s">
        <v>6092</v>
      </c>
    </row>
    <row r="75" spans="1:907" ht="24.6" x14ac:dyDescent="0.7">
      <c r="A75" s="268" t="s">
        <v>6278</v>
      </c>
      <c r="B75" s="268" t="s">
        <v>6093</v>
      </c>
      <c r="C75" s="269" t="s">
        <v>6094</v>
      </c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294"/>
      <c r="EC75" s="294"/>
      <c r="ED75" s="294"/>
      <c r="EE75" s="294"/>
      <c r="EF75" s="294"/>
      <c r="EG75" s="294"/>
      <c r="EH75" s="294"/>
      <c r="EI75" s="294"/>
      <c r="EJ75" s="294"/>
      <c r="EK75" s="294"/>
      <c r="EL75" s="294"/>
      <c r="EM75" s="294"/>
      <c r="EN75" s="294"/>
      <c r="EO75" s="294"/>
      <c r="EP75" s="294"/>
      <c r="EQ75" s="294"/>
      <c r="ER75" s="294"/>
      <c r="ES75" s="294"/>
      <c r="ET75" s="294"/>
      <c r="EU75" s="294"/>
      <c r="EV75" s="294"/>
      <c r="EW75" s="294"/>
      <c r="EX75" s="294"/>
      <c r="EY75" s="294"/>
      <c r="EZ75" s="294"/>
      <c r="FA75" s="294"/>
      <c r="FB75" s="294"/>
      <c r="FC75" s="294"/>
      <c r="FD75" s="294"/>
      <c r="FE75" s="294"/>
      <c r="FF75" s="294"/>
      <c r="FG75" s="294"/>
      <c r="FH75" s="294"/>
      <c r="FI75" s="294"/>
      <c r="FJ75" s="294"/>
      <c r="FK75" s="294"/>
      <c r="FL75" s="294"/>
      <c r="FM75" s="294"/>
      <c r="FN75" s="294"/>
      <c r="FO75" s="294"/>
      <c r="FP75" s="294"/>
      <c r="FQ75" s="294"/>
      <c r="FR75" s="294"/>
      <c r="FS75" s="294"/>
      <c r="FT75" s="294"/>
      <c r="FU75" s="294"/>
      <c r="FV75" s="294"/>
      <c r="FW75" s="294"/>
      <c r="FX75" s="294"/>
      <c r="FY75" s="294"/>
      <c r="FZ75" s="294"/>
      <c r="GA75" s="294"/>
      <c r="GB75" s="294"/>
      <c r="GC75" s="294"/>
      <c r="GD75" s="294"/>
      <c r="GE75" s="294"/>
      <c r="GF75" s="294"/>
      <c r="GG75" s="294"/>
      <c r="GH75" s="294"/>
      <c r="GI75" s="294"/>
      <c r="GJ75" s="294"/>
      <c r="GK75" s="294"/>
      <c r="GL75" s="294"/>
      <c r="GM75" s="294"/>
      <c r="GN75" s="294"/>
      <c r="GO75" s="294"/>
      <c r="GP75" s="294"/>
      <c r="GQ75" s="294"/>
      <c r="GR75" s="294"/>
      <c r="GS75" s="294"/>
      <c r="GT75" s="294"/>
      <c r="GU75" s="294"/>
      <c r="GV75" s="294"/>
      <c r="GW75" s="294"/>
      <c r="GX75" s="294"/>
      <c r="GY75" s="294"/>
      <c r="GZ75" s="294"/>
      <c r="HA75" s="294"/>
      <c r="HB75" s="294"/>
      <c r="HC75" s="294"/>
      <c r="HD75" s="294"/>
      <c r="HE75" s="294"/>
      <c r="HF75" s="294"/>
      <c r="HG75" s="294"/>
      <c r="HH75" s="294"/>
      <c r="HI75" s="294"/>
      <c r="HJ75" s="294"/>
      <c r="HK75" s="294"/>
      <c r="HL75" s="294"/>
      <c r="HM75" s="294"/>
      <c r="HN75" s="294"/>
      <c r="HO75" s="294"/>
      <c r="HP75" s="294"/>
      <c r="HQ75" s="294"/>
      <c r="HR75" s="294"/>
      <c r="HS75" s="294"/>
      <c r="HT75" s="294"/>
      <c r="HU75" s="294"/>
      <c r="HV75" s="294"/>
      <c r="HW75" s="294"/>
      <c r="HX75" s="294"/>
      <c r="HY75" s="294"/>
      <c r="HZ75" s="294"/>
      <c r="IA75" s="294"/>
      <c r="IB75" s="294"/>
      <c r="IC75" s="294"/>
      <c r="ID75" s="294"/>
      <c r="IE75" s="294"/>
      <c r="IF75" s="294"/>
      <c r="IG75" s="294"/>
      <c r="IH75" s="294"/>
      <c r="II75" s="294"/>
      <c r="IJ75" s="294"/>
      <c r="IK75" s="294"/>
      <c r="IL75" s="294"/>
      <c r="IM75" s="294"/>
      <c r="IN75" s="294"/>
      <c r="IO75" s="294"/>
      <c r="IP75" s="294"/>
      <c r="IQ75" s="294"/>
      <c r="IR75" s="294"/>
      <c r="IS75" s="294"/>
      <c r="IT75" s="294"/>
      <c r="IU75" s="294"/>
      <c r="IV75" s="294"/>
      <c r="IW75" s="294"/>
      <c r="IX75" s="294"/>
      <c r="IY75" s="294"/>
      <c r="IZ75" s="294"/>
      <c r="JA75" s="294"/>
      <c r="JB75" s="294"/>
      <c r="JC75" s="294"/>
      <c r="JD75" s="294"/>
      <c r="JE75" s="294"/>
      <c r="JF75" s="294"/>
      <c r="JG75" s="294"/>
      <c r="JH75" s="294"/>
      <c r="JI75" s="294"/>
      <c r="JJ75" s="294"/>
      <c r="JK75" s="294"/>
      <c r="JL75" s="294"/>
      <c r="JM75" s="294"/>
      <c r="JN75" s="294"/>
      <c r="JO75" s="294"/>
      <c r="JP75" s="294"/>
      <c r="JQ75" s="294"/>
      <c r="JR75" s="294"/>
      <c r="JS75" s="294">
        <v>0</v>
      </c>
      <c r="JT75" s="294"/>
      <c r="JU75" s="294"/>
      <c r="JV75" s="294"/>
      <c r="JW75" s="294"/>
      <c r="JX75" s="294"/>
      <c r="JY75" s="294"/>
      <c r="JZ75" s="294"/>
      <c r="KA75" s="294"/>
      <c r="KB75" s="294"/>
      <c r="KC75" s="294"/>
      <c r="KD75" s="294"/>
      <c r="KE75" s="294"/>
      <c r="KF75" s="294"/>
      <c r="KG75" s="294"/>
      <c r="KH75" s="294"/>
      <c r="KI75" s="294"/>
      <c r="KJ75" s="294"/>
      <c r="KK75" s="294"/>
      <c r="KL75" s="294"/>
      <c r="KM75" s="294"/>
      <c r="KN75" s="294"/>
      <c r="KO75" s="294"/>
      <c r="KP75" s="294"/>
      <c r="KQ75" s="294"/>
      <c r="KR75" s="294"/>
      <c r="KS75" s="294"/>
      <c r="KT75" s="294"/>
      <c r="KU75" s="294"/>
      <c r="KV75" s="294"/>
      <c r="KW75" s="294"/>
      <c r="KX75" s="294"/>
      <c r="KY75" s="294"/>
      <c r="KZ75" s="294"/>
      <c r="LA75" s="294"/>
      <c r="LB75" s="294"/>
      <c r="LC75" s="294"/>
      <c r="LD75" s="294"/>
      <c r="LE75" s="294"/>
      <c r="LF75" s="294"/>
      <c r="LG75" s="294"/>
      <c r="LH75" s="294"/>
      <c r="LI75" s="294"/>
      <c r="LJ75" s="294"/>
      <c r="LK75" s="294"/>
      <c r="LL75" s="294"/>
      <c r="LM75" s="294"/>
      <c r="LN75" s="294"/>
      <c r="LO75" s="294"/>
      <c r="LP75" s="294"/>
      <c r="LQ75" s="294"/>
      <c r="LR75" s="294"/>
      <c r="LS75" s="294"/>
      <c r="LT75" s="294"/>
      <c r="LU75" s="294"/>
      <c r="LV75" s="294"/>
      <c r="LW75" s="294"/>
      <c r="LX75" s="294"/>
      <c r="LY75" s="294"/>
      <c r="LZ75" s="294"/>
      <c r="MA75" s="294"/>
      <c r="MB75" s="294"/>
      <c r="MC75" s="294"/>
      <c r="MD75" s="294"/>
      <c r="ME75" s="294"/>
      <c r="MF75" s="294"/>
      <c r="MG75" s="294"/>
      <c r="MH75" s="294"/>
      <c r="MI75" s="294"/>
      <c r="MJ75" s="294"/>
      <c r="MK75" s="294"/>
      <c r="ML75" s="294"/>
      <c r="MM75" s="294"/>
      <c r="MN75" s="294"/>
      <c r="MO75" s="294"/>
      <c r="MP75" s="294"/>
      <c r="MQ75" s="294"/>
      <c r="MR75" s="294"/>
      <c r="MS75" s="294"/>
      <c r="MT75" s="294"/>
      <c r="MU75" s="294"/>
      <c r="MV75" s="294"/>
      <c r="MW75" s="294"/>
      <c r="MX75" s="294"/>
      <c r="MY75" s="294"/>
      <c r="MZ75" s="294"/>
      <c r="NA75" s="294"/>
      <c r="NB75" s="294"/>
      <c r="NC75" s="294"/>
      <c r="ND75" s="294"/>
      <c r="NE75" s="294"/>
      <c r="NF75" s="294"/>
      <c r="NG75" s="294"/>
      <c r="NH75" s="294"/>
      <c r="NI75" s="294"/>
      <c r="NJ75" s="294"/>
      <c r="NK75" s="294"/>
      <c r="NL75" s="294"/>
      <c r="NM75" s="294"/>
      <c r="NN75" s="294"/>
      <c r="NO75" s="294"/>
      <c r="NP75" s="294"/>
      <c r="NQ75" s="294"/>
      <c r="NR75" s="294"/>
      <c r="NS75" s="294"/>
      <c r="NT75" s="294"/>
      <c r="NU75" s="294"/>
      <c r="NV75" s="294"/>
      <c r="NW75" s="294"/>
      <c r="NX75" s="294"/>
      <c r="NY75" s="294"/>
      <c r="NZ75" s="294"/>
      <c r="OA75" s="294"/>
      <c r="OB75" s="294"/>
      <c r="OC75" s="294"/>
      <c r="OD75" s="294"/>
      <c r="OE75" s="294"/>
      <c r="OF75" s="294"/>
      <c r="OG75" s="294"/>
      <c r="OH75" s="294"/>
      <c r="OI75" s="294"/>
      <c r="OJ75" s="294"/>
      <c r="OK75" s="294"/>
      <c r="OL75" s="294"/>
      <c r="OM75" s="294"/>
      <c r="ON75" s="294"/>
      <c r="OO75" s="294"/>
      <c r="OP75" s="294"/>
      <c r="OQ75" s="294"/>
      <c r="OR75" s="294"/>
      <c r="OS75" s="294"/>
      <c r="OT75" s="294"/>
      <c r="OU75" s="294"/>
      <c r="OV75" s="294"/>
      <c r="OW75" s="294"/>
      <c r="OX75" s="294"/>
      <c r="OY75" s="294"/>
      <c r="OZ75" s="294"/>
      <c r="PA75" s="294"/>
      <c r="PB75" s="294"/>
      <c r="PC75" s="294"/>
      <c r="PD75" s="294"/>
      <c r="PE75" s="294"/>
      <c r="PF75" s="294"/>
      <c r="PG75" s="294"/>
      <c r="PH75" s="294"/>
      <c r="PI75" s="294"/>
      <c r="PJ75" s="294"/>
      <c r="PK75" s="294"/>
      <c r="PL75" s="294"/>
      <c r="PM75" s="294"/>
      <c r="PN75" s="294"/>
      <c r="PO75" s="294"/>
      <c r="PP75" s="294"/>
      <c r="PQ75" s="294"/>
      <c r="PR75" s="294"/>
      <c r="PS75" s="294"/>
      <c r="PT75" s="294"/>
      <c r="PU75" s="294"/>
      <c r="PV75" s="294"/>
      <c r="PW75" s="294"/>
      <c r="PX75" s="294"/>
      <c r="PY75" s="294"/>
      <c r="PZ75" s="294"/>
      <c r="QA75" s="294"/>
      <c r="QB75" s="294"/>
      <c r="QC75" s="294"/>
      <c r="QD75" s="294"/>
      <c r="QE75" s="294"/>
      <c r="QF75" s="294"/>
      <c r="QG75" s="294"/>
      <c r="QH75" s="294"/>
      <c r="QI75" s="294"/>
      <c r="QJ75" s="294"/>
      <c r="QK75" s="294"/>
      <c r="QL75" s="294"/>
      <c r="QM75" s="294"/>
      <c r="QN75" s="294"/>
      <c r="QO75" s="294"/>
      <c r="QP75" s="294"/>
      <c r="QQ75" s="294"/>
      <c r="QR75" s="294"/>
      <c r="QS75" s="294"/>
      <c r="QT75" s="294"/>
      <c r="QU75" s="294"/>
      <c r="QV75" s="294"/>
      <c r="QW75" s="294"/>
      <c r="QX75" s="294"/>
      <c r="QY75" s="294"/>
      <c r="QZ75" s="294"/>
      <c r="RA75" s="294"/>
      <c r="RB75" s="294"/>
      <c r="RC75" s="294"/>
      <c r="RD75" s="294"/>
      <c r="RE75" s="294"/>
      <c r="RF75" s="294"/>
      <c r="RG75" s="294"/>
      <c r="RH75" s="294"/>
      <c r="RI75" s="294"/>
      <c r="RJ75" s="294"/>
      <c r="RK75" s="294"/>
      <c r="RL75" s="294"/>
      <c r="RM75" s="294"/>
      <c r="RN75" s="294"/>
      <c r="RO75" s="294"/>
      <c r="RP75" s="294"/>
      <c r="RQ75" s="294"/>
      <c r="RR75" s="294"/>
      <c r="RS75" s="294"/>
      <c r="RT75" s="294"/>
      <c r="RU75" s="294"/>
      <c r="RV75" s="294"/>
      <c r="RW75" s="294"/>
      <c r="RX75" s="294"/>
      <c r="RY75" s="294"/>
      <c r="RZ75" s="294"/>
      <c r="SA75" s="294"/>
      <c r="SB75" s="294"/>
      <c r="SC75" s="294"/>
      <c r="SD75" s="294"/>
      <c r="SE75" s="294"/>
      <c r="SF75" s="294"/>
      <c r="SG75" s="294"/>
      <c r="SH75" s="294"/>
      <c r="SI75" s="294"/>
      <c r="SJ75" s="294"/>
      <c r="SK75" s="294"/>
      <c r="SL75" s="294"/>
      <c r="SM75" s="294"/>
      <c r="SN75" s="294"/>
      <c r="SO75" s="294"/>
      <c r="SP75" s="294"/>
      <c r="SQ75" s="294"/>
      <c r="SR75" s="294"/>
      <c r="SS75" s="294"/>
      <c r="ST75" s="294"/>
      <c r="SU75" s="294"/>
      <c r="SV75" s="294"/>
      <c r="SW75" s="294"/>
      <c r="SX75" s="294"/>
      <c r="SY75" s="294"/>
      <c r="SZ75" s="294"/>
      <c r="TA75" s="294"/>
      <c r="TB75" s="294"/>
      <c r="TC75" s="294"/>
      <c r="TD75" s="294"/>
      <c r="TE75" s="294"/>
      <c r="TF75" s="294"/>
      <c r="TG75" s="294"/>
      <c r="TH75" s="294"/>
      <c r="TI75" s="294"/>
      <c r="TJ75" s="294"/>
      <c r="TK75" s="294"/>
      <c r="TL75" s="294"/>
      <c r="TM75" s="294"/>
      <c r="TN75" s="294"/>
      <c r="TO75" s="294"/>
      <c r="TP75" s="294"/>
      <c r="TQ75" s="294"/>
      <c r="TR75" s="294"/>
      <c r="TS75" s="294"/>
      <c r="TT75" s="294"/>
      <c r="TU75" s="294"/>
      <c r="TV75" s="294"/>
      <c r="TW75" s="294"/>
      <c r="TX75" s="294"/>
      <c r="TY75" s="294"/>
      <c r="TZ75" s="294"/>
      <c r="UA75" s="294"/>
      <c r="UB75" s="294"/>
      <c r="UC75" s="294"/>
      <c r="UD75" s="294"/>
      <c r="UE75" s="294"/>
      <c r="UF75" s="294"/>
      <c r="UG75" s="294"/>
      <c r="UH75" s="294"/>
      <c r="UI75" s="294"/>
      <c r="UJ75" s="294"/>
      <c r="UK75" s="294"/>
      <c r="UL75" s="294"/>
      <c r="UM75" s="294"/>
      <c r="UN75" s="294"/>
      <c r="UO75" s="294"/>
      <c r="UP75" s="294"/>
      <c r="UQ75" s="294"/>
      <c r="UR75" s="294"/>
      <c r="US75" s="294"/>
      <c r="UT75" s="294"/>
      <c r="UU75" s="294"/>
      <c r="UV75" s="294"/>
      <c r="UW75" s="294"/>
      <c r="UX75" s="294"/>
      <c r="UY75" s="294"/>
      <c r="UZ75" s="294"/>
      <c r="VA75" s="294"/>
      <c r="VB75" s="294"/>
      <c r="VC75" s="294"/>
      <c r="VD75" s="294"/>
      <c r="VE75" s="294"/>
      <c r="VF75" s="294"/>
      <c r="VG75" s="294"/>
      <c r="VH75" s="294"/>
      <c r="VI75" s="294"/>
      <c r="VJ75" s="294"/>
      <c r="VK75" s="294"/>
      <c r="VL75" s="294"/>
      <c r="VM75" s="294"/>
      <c r="VN75" s="294"/>
      <c r="VO75" s="294"/>
      <c r="VP75" s="294"/>
      <c r="VQ75" s="294"/>
      <c r="VR75" s="294"/>
      <c r="VS75" s="294"/>
      <c r="VT75" s="294"/>
      <c r="VU75" s="294"/>
      <c r="VV75" s="294"/>
      <c r="VW75" s="294"/>
      <c r="VX75" s="294"/>
      <c r="VY75" s="294"/>
      <c r="VZ75" s="294"/>
      <c r="WA75" s="294"/>
      <c r="WB75" s="294"/>
      <c r="WC75" s="294"/>
      <c r="WD75" s="294"/>
      <c r="WE75" s="294"/>
      <c r="WF75" s="294"/>
      <c r="WG75" s="294"/>
      <c r="WH75" s="294"/>
      <c r="WI75" s="294"/>
      <c r="WJ75" s="294"/>
      <c r="WK75" s="294"/>
      <c r="WL75" s="294"/>
      <c r="WM75" s="294"/>
      <c r="WN75" s="294"/>
      <c r="WO75" s="294"/>
      <c r="WP75" s="294"/>
      <c r="WQ75" s="294"/>
      <c r="WR75" s="294"/>
      <c r="WS75" s="294"/>
      <c r="WT75" s="294"/>
      <c r="WU75" s="294"/>
      <c r="WV75" s="294"/>
      <c r="WW75" s="294"/>
      <c r="WX75" s="294"/>
      <c r="WY75" s="294"/>
      <c r="WZ75" s="294"/>
      <c r="XA75" s="294"/>
      <c r="XB75" s="294"/>
      <c r="XC75" s="294"/>
      <c r="XD75" s="294"/>
      <c r="XE75" s="294"/>
      <c r="XF75" s="294"/>
      <c r="XG75" s="294"/>
      <c r="XH75" s="294"/>
      <c r="XI75" s="294"/>
      <c r="XJ75" s="294"/>
      <c r="XK75" s="294"/>
      <c r="XL75" s="294"/>
      <c r="XM75" s="294"/>
      <c r="XN75" s="294"/>
      <c r="XO75" s="294"/>
      <c r="XP75" s="294"/>
      <c r="XQ75" s="294"/>
      <c r="XR75" s="294"/>
      <c r="XS75" s="294"/>
      <c r="XT75" s="294"/>
      <c r="XU75" s="294"/>
      <c r="XV75" s="294"/>
      <c r="XW75" s="294"/>
      <c r="XX75" s="294"/>
      <c r="XY75" s="294"/>
      <c r="XZ75" s="294"/>
      <c r="YA75" s="294"/>
      <c r="YB75" s="294"/>
      <c r="YC75" s="294"/>
      <c r="YD75" s="294"/>
      <c r="YE75" s="294"/>
      <c r="YF75" s="294"/>
      <c r="YG75" s="294"/>
      <c r="YH75" s="294"/>
      <c r="YI75" s="294"/>
      <c r="YJ75" s="294"/>
      <c r="YK75" s="294"/>
      <c r="YL75" s="294"/>
      <c r="YM75" s="294"/>
      <c r="YN75" s="294"/>
      <c r="YO75" s="294"/>
      <c r="YP75" s="294"/>
      <c r="YQ75" s="294"/>
      <c r="YR75" s="294"/>
      <c r="YS75" s="294"/>
      <c r="YT75" s="294"/>
      <c r="YU75" s="294"/>
      <c r="YV75" s="294"/>
      <c r="YW75" s="294"/>
      <c r="YX75" s="294"/>
      <c r="YY75" s="294"/>
      <c r="YZ75" s="294"/>
      <c r="ZA75" s="294"/>
      <c r="ZB75" s="294"/>
      <c r="ZC75" s="294"/>
      <c r="ZD75" s="294"/>
      <c r="ZE75" s="294"/>
      <c r="ZF75" s="294"/>
      <c r="ZG75" s="294"/>
      <c r="ZH75" s="294"/>
      <c r="ZI75" s="294"/>
      <c r="ZJ75" s="294"/>
      <c r="ZK75" s="294"/>
      <c r="ZL75" s="294"/>
      <c r="ZM75" s="294"/>
      <c r="ZN75" s="294"/>
      <c r="ZO75" s="294"/>
      <c r="ZP75" s="294"/>
      <c r="ZQ75" s="294"/>
      <c r="ZR75" s="294"/>
      <c r="ZS75" s="294"/>
      <c r="ZT75" s="294"/>
      <c r="ZU75" s="294"/>
      <c r="ZV75" s="294"/>
      <c r="ZW75" s="294"/>
      <c r="ZX75" s="294"/>
      <c r="ZY75" s="294"/>
      <c r="ZZ75" s="294"/>
      <c r="AAA75" s="294"/>
      <c r="AAB75" s="294"/>
      <c r="AAC75" s="294"/>
      <c r="AAD75" s="294"/>
      <c r="AAE75" s="294"/>
      <c r="AAF75" s="294"/>
      <c r="AAG75" s="294"/>
      <c r="AAH75" s="294"/>
      <c r="AAI75" s="294"/>
      <c r="AAJ75" s="294"/>
      <c r="AAK75" s="294"/>
      <c r="AAL75" s="294"/>
      <c r="AAM75" s="294"/>
      <c r="AAN75" s="294"/>
      <c r="AAO75" s="294"/>
      <c r="AAP75" s="294"/>
      <c r="AAQ75" s="294"/>
      <c r="AAR75" s="294"/>
      <c r="AAS75" s="294"/>
      <c r="AAT75" s="294"/>
      <c r="AAU75" s="294"/>
      <c r="AAV75" s="294"/>
      <c r="AAW75" s="294"/>
      <c r="AAX75" s="294"/>
      <c r="AAY75" s="294"/>
      <c r="AAZ75" s="294"/>
      <c r="ABA75" s="294"/>
      <c r="ABB75" s="294"/>
      <c r="ABC75" s="294">
        <v>0</v>
      </c>
      <c r="ABD75" s="294"/>
      <c r="ABE75" s="294"/>
      <c r="ABF75" s="294"/>
      <c r="ABG75" s="294"/>
      <c r="ABH75" s="294"/>
      <c r="ABI75" s="294"/>
      <c r="ABJ75" s="294"/>
      <c r="ABK75" s="294">
        <v>0</v>
      </c>
      <c r="ABL75" s="294"/>
      <c r="ABM75" s="294"/>
      <c r="ABN75" s="294"/>
      <c r="ABO75" s="294"/>
      <c r="ABP75" s="294"/>
      <c r="ABQ75" s="294"/>
      <c r="ABR75" s="294"/>
      <c r="ABS75" s="294"/>
      <c r="ABT75" s="294"/>
      <c r="ABU75" s="294"/>
      <c r="ABV75" s="294"/>
      <c r="ABW75" s="294"/>
      <c r="ABX75" s="294"/>
      <c r="ABY75" s="294"/>
      <c r="ABZ75" s="294"/>
      <c r="ACA75" s="294"/>
      <c r="ACB75" s="294"/>
      <c r="ACC75" s="294"/>
      <c r="ACD75" s="294"/>
      <c r="ACE75" s="294"/>
      <c r="ACF75" s="294"/>
      <c r="ACG75" s="294"/>
      <c r="ACH75" s="294"/>
      <c r="ACI75" s="294"/>
      <c r="ACJ75" s="294"/>
      <c r="ACK75" s="294"/>
      <c r="ACL75" s="294"/>
      <c r="ACM75" s="294"/>
      <c r="ACN75" s="294"/>
      <c r="ACO75" s="294"/>
      <c r="ACP75" s="294"/>
      <c r="ACQ75" s="294"/>
      <c r="ACR75" s="294"/>
      <c r="ACS75" s="294"/>
      <c r="ACT75" s="294"/>
      <c r="ACU75" s="294"/>
      <c r="ACV75" s="294"/>
      <c r="ACW75" s="294"/>
      <c r="ACX75" s="294"/>
      <c r="ACY75" s="294"/>
      <c r="ACZ75" s="294"/>
      <c r="ADA75" s="294"/>
      <c r="ADB75" s="294"/>
      <c r="ADC75" s="294"/>
      <c r="ADD75" s="294"/>
      <c r="ADE75" s="294"/>
      <c r="ADF75" s="294"/>
      <c r="ADG75" s="294"/>
      <c r="ADH75" s="294"/>
      <c r="ADI75" s="294"/>
      <c r="ADJ75" s="294"/>
      <c r="ADK75" s="294"/>
      <c r="ADL75" s="294"/>
      <c r="ADM75" s="294"/>
      <c r="ADN75" s="294"/>
      <c r="ADO75" s="294"/>
      <c r="ADP75" s="294"/>
      <c r="ADQ75" s="294"/>
      <c r="ADR75" s="294">
        <v>-24922.44</v>
      </c>
      <c r="ADS75" s="294"/>
      <c r="ADT75" s="294"/>
      <c r="ADU75" s="294"/>
      <c r="ADV75" s="294"/>
      <c r="ADW75" s="294"/>
      <c r="ADX75" s="294"/>
      <c r="ADY75" s="294"/>
      <c r="ADZ75" s="294"/>
      <c r="AEA75" s="294"/>
      <c r="AEB75" s="294"/>
      <c r="AEC75" s="294"/>
      <c r="AED75" s="294"/>
      <c r="AEE75" s="294"/>
      <c r="AEF75" s="294"/>
      <c r="AEG75" s="294"/>
      <c r="AEH75" s="294"/>
      <c r="AEI75" s="294"/>
      <c r="AEJ75" s="294"/>
      <c r="AEK75" s="294"/>
      <c r="AEL75" s="294"/>
      <c r="AEM75" s="294"/>
      <c r="AEN75" s="294"/>
      <c r="AEO75" s="294"/>
      <c r="AEP75" s="294"/>
      <c r="AEQ75" s="294"/>
      <c r="AER75" s="294"/>
      <c r="AES75" s="294"/>
      <c r="AET75" s="294"/>
      <c r="AEU75" s="294"/>
      <c r="AEV75" s="294"/>
      <c r="AEW75" s="294"/>
      <c r="AEX75" s="294"/>
      <c r="AEY75" s="294"/>
      <c r="AEZ75" s="294"/>
      <c r="AFA75" s="294"/>
      <c r="AFB75" s="294"/>
      <c r="AFC75" s="294"/>
      <c r="AFD75" s="294"/>
      <c r="AFE75" s="294"/>
      <c r="AFF75" s="294"/>
      <c r="AFG75" s="294"/>
      <c r="AFH75" s="294"/>
      <c r="AFI75" s="294"/>
      <c r="AFJ75" s="294"/>
      <c r="AFK75" s="294"/>
      <c r="AFL75" s="294"/>
      <c r="AFM75" s="294"/>
      <c r="AFN75" s="294"/>
      <c r="AFO75" s="294"/>
      <c r="AFP75" s="294"/>
      <c r="AFQ75" s="294"/>
      <c r="AFR75" s="294"/>
      <c r="AFS75" s="294"/>
      <c r="AFT75" s="294"/>
      <c r="AFU75" s="294"/>
      <c r="AFV75" s="294"/>
      <c r="AFW75" s="294"/>
      <c r="AFX75" s="294"/>
      <c r="AFY75" s="294"/>
      <c r="AFZ75" s="294"/>
      <c r="AGA75" s="294"/>
      <c r="AGB75" s="294"/>
      <c r="AGC75" s="294"/>
      <c r="AGD75" s="294"/>
      <c r="AGE75" s="294"/>
      <c r="AGF75" s="294"/>
      <c r="AGG75" s="294"/>
      <c r="AGH75" s="294"/>
      <c r="AGI75" s="294"/>
      <c r="AGJ75" s="294"/>
      <c r="AGK75" s="294"/>
      <c r="AGL75" s="294"/>
      <c r="AGM75" s="294"/>
      <c r="AGN75" s="294"/>
      <c r="AGO75" s="294"/>
      <c r="AGP75" s="294"/>
      <c r="AGQ75" s="294"/>
      <c r="AGR75" s="294"/>
      <c r="AGS75" s="294"/>
      <c r="AGT75" s="294"/>
      <c r="AGU75" s="294"/>
      <c r="AGV75" s="294"/>
      <c r="AGW75" s="294"/>
      <c r="AGX75" s="294"/>
      <c r="AGY75" s="294"/>
      <c r="AGZ75" s="294"/>
      <c r="AHA75" s="294"/>
      <c r="AHB75" s="294"/>
      <c r="AHC75" s="294"/>
      <c r="AHD75" s="294"/>
      <c r="AHE75" s="294"/>
      <c r="AHF75" s="294"/>
      <c r="AHG75" s="294"/>
      <c r="AHH75" s="294"/>
      <c r="AHI75" s="294"/>
      <c r="AHJ75" s="294"/>
      <c r="AHK75" s="294"/>
      <c r="AHL75" s="294"/>
      <c r="AHM75" s="294"/>
      <c r="AHN75" s="294"/>
      <c r="AHO75" s="294"/>
      <c r="AHP75" s="294"/>
      <c r="AHQ75" s="294"/>
      <c r="AHR75" s="331"/>
      <c r="AHS75" s="294">
        <f t="shared" si="51"/>
        <v>-24922.44</v>
      </c>
      <c r="AHT75" s="269" t="b">
        <f t="shared" si="52"/>
        <v>1</v>
      </c>
      <c r="AHU75" s="269" t="s">
        <v>6278</v>
      </c>
      <c r="AHV75" s="269" t="s">
        <v>6093</v>
      </c>
      <c r="AHW75" s="269" t="s">
        <v>6094</v>
      </c>
    </row>
    <row r="76" spans="1:907" ht="24.6" x14ac:dyDescent="0.7">
      <c r="A76" s="268" t="s">
        <v>6278</v>
      </c>
      <c r="B76" s="268" t="s">
        <v>6095</v>
      </c>
      <c r="C76" s="269" t="s">
        <v>6096</v>
      </c>
      <c r="D76" s="294">
        <v>-559487.96</v>
      </c>
      <c r="E76" s="294">
        <v>-13153490.970000001</v>
      </c>
      <c r="F76" s="294">
        <v>-32162813.09</v>
      </c>
      <c r="G76" s="294">
        <v>-2416200.67</v>
      </c>
      <c r="H76" s="294">
        <v>-12016636.109999999</v>
      </c>
      <c r="I76" s="294">
        <v>-964346.1</v>
      </c>
      <c r="J76" s="294">
        <v>-5825842.2999999998</v>
      </c>
      <c r="K76" s="294">
        <v>-801857.04</v>
      </c>
      <c r="L76" s="294">
        <v>-5808834.4000000004</v>
      </c>
      <c r="M76" s="294">
        <v>-7048045.5999999996</v>
      </c>
      <c r="N76" s="294">
        <v>-7584903.9199999999</v>
      </c>
      <c r="O76" s="294">
        <v>-5595157.0099999998</v>
      </c>
      <c r="P76" s="294">
        <v>-4260903.6100000003</v>
      </c>
      <c r="Q76" s="294">
        <v>-2677947.7999999998</v>
      </c>
      <c r="R76" s="294">
        <v>-3060419.83</v>
      </c>
      <c r="S76" s="294">
        <v>-12552091.949999999</v>
      </c>
      <c r="T76" s="294">
        <v>-5187647.1900000004</v>
      </c>
      <c r="U76" s="294">
        <v>-2175623.21</v>
      </c>
      <c r="V76" s="294">
        <v>-135453.29</v>
      </c>
      <c r="W76" s="294">
        <v>-46198140.409999996</v>
      </c>
      <c r="X76" s="294">
        <v>-2597083.11</v>
      </c>
      <c r="Y76" s="294">
        <v>-870306.33</v>
      </c>
      <c r="Z76" s="294">
        <v>-10972384.08</v>
      </c>
      <c r="AA76" s="294">
        <v>-13579410.65</v>
      </c>
      <c r="AB76" s="294">
        <v>-7145011.1600000001</v>
      </c>
      <c r="AC76" s="294">
        <v>-79366158.709999993</v>
      </c>
      <c r="AD76" s="294">
        <v>-10736102.699999999</v>
      </c>
      <c r="AE76" s="294">
        <v>-15550858.220000001</v>
      </c>
      <c r="AF76" s="294">
        <v>-73232897.280000001</v>
      </c>
      <c r="AG76" s="294">
        <v>-17078603.969999999</v>
      </c>
      <c r="AH76" s="294">
        <v>-36254323.039999999</v>
      </c>
      <c r="AI76" s="294">
        <v>-32897691.93</v>
      </c>
      <c r="AJ76" s="294">
        <v>-14468533.199999999</v>
      </c>
      <c r="AK76" s="294">
        <v>-7020687.9100000001</v>
      </c>
      <c r="AL76" s="294">
        <v>-4613046.87</v>
      </c>
      <c r="AM76" s="294">
        <v>-23917370.899999999</v>
      </c>
      <c r="AN76" s="294">
        <v>-1566517.16</v>
      </c>
      <c r="AO76" s="294">
        <v>-7365501.1200000001</v>
      </c>
      <c r="AP76" s="294">
        <v>-5834330.1600000001</v>
      </c>
      <c r="AQ76" s="294">
        <v>-6603571.96</v>
      </c>
      <c r="AR76" s="294">
        <v>-9724789.0399999991</v>
      </c>
      <c r="AS76" s="294">
        <v>-4569960.63</v>
      </c>
      <c r="AT76" s="294">
        <v>-37441711.600000001</v>
      </c>
      <c r="AU76" s="294">
        <v>-339801.12</v>
      </c>
      <c r="AV76" s="294">
        <v>-245256.02</v>
      </c>
      <c r="AW76" s="294">
        <v>-2303418.81</v>
      </c>
      <c r="AX76" s="294">
        <v>-3440911.5</v>
      </c>
      <c r="AY76" s="294">
        <v>-7596794.7699999996</v>
      </c>
      <c r="AZ76" s="294">
        <v>-142951.79</v>
      </c>
      <c r="BA76" s="294">
        <v>-1504626.28</v>
      </c>
      <c r="BB76" s="294">
        <v>-356562.69</v>
      </c>
      <c r="BC76" s="294">
        <v>-588620.26</v>
      </c>
      <c r="BD76" s="294">
        <v>-987714.32000000007</v>
      </c>
      <c r="BE76" s="294">
        <v>-754658.4</v>
      </c>
      <c r="BF76" s="294">
        <v>-8301656.9699999997</v>
      </c>
      <c r="BG76" s="294">
        <v>0</v>
      </c>
      <c r="BH76" s="294">
        <v>-985544.84</v>
      </c>
      <c r="BI76" s="294">
        <v>-38568342.57</v>
      </c>
      <c r="BJ76" s="294">
        <v>-25272230.059999999</v>
      </c>
      <c r="BK76" s="294">
        <v>-8578795.1300000008</v>
      </c>
      <c r="BL76" s="294">
        <v>-3440062.33</v>
      </c>
      <c r="BM76" s="294">
        <v>-12361106.130000001</v>
      </c>
      <c r="BN76" s="294">
        <v>-5084961.26</v>
      </c>
      <c r="BO76" s="294">
        <v>-2850131.2</v>
      </c>
      <c r="BP76" s="294">
        <v>-186725.21</v>
      </c>
      <c r="BQ76" s="294">
        <v>-135365.04</v>
      </c>
      <c r="BR76" s="294">
        <v>-30286651.059999999</v>
      </c>
      <c r="BS76" s="294">
        <v>-2043114.42</v>
      </c>
      <c r="BT76" s="294">
        <v>-1231346.82</v>
      </c>
      <c r="BU76" s="294">
        <v>-3996275.08</v>
      </c>
      <c r="BV76" s="294">
        <v>-2953673.92</v>
      </c>
      <c r="BW76" s="294">
        <v>-1654100.82</v>
      </c>
      <c r="BX76" s="294">
        <v>-705522.1</v>
      </c>
      <c r="BY76" s="294">
        <v>-1182574.3</v>
      </c>
      <c r="BZ76" s="294">
        <v>-36259363.969999999</v>
      </c>
      <c r="CA76" s="294">
        <v>-5383697.6200000001</v>
      </c>
      <c r="CB76" s="294">
        <v>-12363148.449999999</v>
      </c>
      <c r="CC76" s="294">
        <v>-15184023.84</v>
      </c>
      <c r="CD76" s="294">
        <v>-6124240.5300000003</v>
      </c>
      <c r="CE76" s="294">
        <v>-3349202.26</v>
      </c>
      <c r="CF76" s="294">
        <v>-4061500.45</v>
      </c>
      <c r="CG76" s="294">
        <v>-1138238.2</v>
      </c>
      <c r="CH76" s="294">
        <v>-3881203.96</v>
      </c>
      <c r="CI76" s="294">
        <v>-8197821.0099999998</v>
      </c>
      <c r="CJ76" s="294">
        <v>-1000715.17</v>
      </c>
      <c r="CK76" s="294">
        <v>-2219545.13</v>
      </c>
      <c r="CL76" s="294">
        <v>-4081696.12</v>
      </c>
      <c r="CM76" s="294">
        <v>-2686658.71</v>
      </c>
      <c r="CN76" s="294">
        <v>-6559976.9900000002</v>
      </c>
      <c r="CO76" s="294">
        <v>-1198606.08</v>
      </c>
      <c r="CP76" s="294">
        <v>-4517845.3899999997</v>
      </c>
      <c r="CQ76" s="294">
        <v>-2828802.21</v>
      </c>
      <c r="CR76" s="294">
        <v>-2615420.9</v>
      </c>
      <c r="CS76" s="294">
        <v>-2301012.5499999998</v>
      </c>
      <c r="CT76" s="294">
        <v>-35125522.909999996</v>
      </c>
      <c r="CU76" s="294">
        <v>-1268956.32</v>
      </c>
      <c r="CV76" s="294">
        <v>-3812490.43</v>
      </c>
      <c r="CW76" s="294">
        <v>-11111696.380000001</v>
      </c>
      <c r="CX76" s="294">
        <v>-739615.01</v>
      </c>
      <c r="CY76" s="294">
        <v>-8116782.1900000004</v>
      </c>
      <c r="CZ76" s="294">
        <v>-3780719.53</v>
      </c>
      <c r="DA76" s="294">
        <v>-2272274.9700000002</v>
      </c>
      <c r="DB76" s="294">
        <v>-48402632.82</v>
      </c>
      <c r="DC76" s="294">
        <v>-43333468.399999999</v>
      </c>
      <c r="DD76" s="294">
        <v>-5998905.5800000001</v>
      </c>
      <c r="DE76" s="294">
        <v>-8504416.3300000001</v>
      </c>
      <c r="DF76" s="294">
        <v>-10816760.300000001</v>
      </c>
      <c r="DG76" s="294">
        <v>-5751968.6399999997</v>
      </c>
      <c r="DH76" s="294">
        <v>-4077543.34</v>
      </c>
      <c r="DI76" s="294">
        <v>-17979172.039999999</v>
      </c>
      <c r="DJ76" s="294">
        <v>-4504143.68</v>
      </c>
      <c r="DK76" s="294">
        <v>-91535058.069999993</v>
      </c>
      <c r="DL76" s="294">
        <v>-5283244.53</v>
      </c>
      <c r="DM76" s="294">
        <v>-14408946.74</v>
      </c>
      <c r="DN76" s="294">
        <v>-5176538.58</v>
      </c>
      <c r="DO76" s="294">
        <v>-6753487.7499000002</v>
      </c>
      <c r="DP76" s="294">
        <v>-5048557.67</v>
      </c>
      <c r="DQ76" s="294">
        <v>-15923039.49</v>
      </c>
      <c r="DR76" s="294">
        <v>-4238658.3</v>
      </c>
      <c r="DS76" s="294">
        <v>-4726323.78</v>
      </c>
      <c r="DT76" s="294">
        <v>-89551757.900000006</v>
      </c>
      <c r="DU76" s="294">
        <v>-21366684.18</v>
      </c>
      <c r="DV76" s="294">
        <v>-14210219.85</v>
      </c>
      <c r="DW76" s="294">
        <v>-34090840.229999997</v>
      </c>
      <c r="DX76" s="294">
        <v>-11242436.09</v>
      </c>
      <c r="DY76" s="294">
        <v>-14098083.1</v>
      </c>
      <c r="DZ76" s="294">
        <v>-4488708.78</v>
      </c>
      <c r="EA76" s="294">
        <v>-1171381.75</v>
      </c>
      <c r="EB76" s="294">
        <v>-7335587.8600000003</v>
      </c>
      <c r="EC76" s="294">
        <v>-3600368.64</v>
      </c>
      <c r="ED76" s="294">
        <v>-14861020.869999999</v>
      </c>
      <c r="EE76" s="294">
        <v>-14054258.779999999</v>
      </c>
      <c r="EF76" s="294">
        <v>-4621873.88</v>
      </c>
      <c r="EG76" s="294">
        <v>-3688732.88</v>
      </c>
      <c r="EH76" s="294">
        <v>-7411048.4900000002</v>
      </c>
      <c r="EI76" s="294">
        <v>-6148195.2199999997</v>
      </c>
      <c r="EJ76" s="294">
        <v>-14687153.380000001</v>
      </c>
      <c r="EK76" s="294">
        <v>-17648244.359999999</v>
      </c>
      <c r="EL76" s="294">
        <v>-5948858.1200000001</v>
      </c>
      <c r="EM76" s="294">
        <v>-9060623.3599999994</v>
      </c>
      <c r="EN76" s="294">
        <v>-556796</v>
      </c>
      <c r="EO76" s="294">
        <v>-9246615.4299999997</v>
      </c>
      <c r="EP76" s="294">
        <v>-11734469.199999999</v>
      </c>
      <c r="EQ76" s="294">
        <v>-5969410.5999999996</v>
      </c>
      <c r="ER76" s="294">
        <v>-6055300.04</v>
      </c>
      <c r="ES76" s="294">
        <v>-2788137.65</v>
      </c>
      <c r="ET76" s="294">
        <v>-20189199.870000001</v>
      </c>
      <c r="EU76" s="294">
        <v>-7778852.4000000004</v>
      </c>
      <c r="EV76" s="294">
        <v>-10064818.43</v>
      </c>
      <c r="EW76" s="294">
        <v>-70196552.560000002</v>
      </c>
      <c r="EX76" s="294">
        <v>-1017055.37</v>
      </c>
      <c r="EY76" s="294">
        <v>-2334259.13</v>
      </c>
      <c r="EZ76" s="294">
        <v>-4762148.58</v>
      </c>
      <c r="FA76" s="294">
        <v>-11042030.800000001</v>
      </c>
      <c r="FB76" s="294">
        <v>-23740283.239999998</v>
      </c>
      <c r="FC76" s="294">
        <v>-6853059.3200000003</v>
      </c>
      <c r="FD76" s="294">
        <v>-5315671.33</v>
      </c>
      <c r="FE76" s="294">
        <v>-2601564.9300000002</v>
      </c>
      <c r="FF76" s="294">
        <v>-3073346.23</v>
      </c>
      <c r="FG76" s="294">
        <v>-1710733.89</v>
      </c>
      <c r="FH76" s="294">
        <v>-1989707.02</v>
      </c>
      <c r="FI76" s="294">
        <v>-24028417.879999999</v>
      </c>
      <c r="FJ76" s="294">
        <v>-3442914.42</v>
      </c>
      <c r="FK76" s="294">
        <v>-484791.36</v>
      </c>
      <c r="FL76" s="294">
        <v>-1746821.03</v>
      </c>
      <c r="FM76" s="294">
        <v>-6609807.6500000004</v>
      </c>
      <c r="FN76" s="294">
        <v>-4560922.24</v>
      </c>
      <c r="FO76" s="294">
        <v>-3249820.63</v>
      </c>
      <c r="FP76" s="294">
        <v>-2255056.2799999998</v>
      </c>
      <c r="FQ76" s="294">
        <v>-223283.81</v>
      </c>
      <c r="FR76" s="294">
        <v>-4332661.2300000004</v>
      </c>
      <c r="FS76" s="294">
        <v>-11206809.529999999</v>
      </c>
      <c r="FT76" s="294">
        <v>-12987510.6</v>
      </c>
      <c r="FU76" s="294">
        <v>-7445454.1600000001</v>
      </c>
      <c r="FV76" s="294">
        <v>-2504792.04</v>
      </c>
      <c r="FW76" s="294">
        <v>-23989068.210000001</v>
      </c>
      <c r="FX76" s="294">
        <v>-20027134.370000001</v>
      </c>
      <c r="FY76" s="294">
        <v>-9608724.9800000004</v>
      </c>
      <c r="FZ76" s="294">
        <v>-6616875.6900000004</v>
      </c>
      <c r="GA76" s="294">
        <v>-28814588.73</v>
      </c>
      <c r="GB76" s="294">
        <v>-10811163.23</v>
      </c>
      <c r="GC76" s="294">
        <v>-2481331.27</v>
      </c>
      <c r="GD76" s="294">
        <v>-1471445.25</v>
      </c>
      <c r="GE76" s="294">
        <v>0</v>
      </c>
      <c r="GF76" s="294">
        <v>-1722144.22</v>
      </c>
      <c r="GG76" s="294">
        <v>-1249886.53</v>
      </c>
      <c r="GH76" s="294">
        <v>-14225356.9</v>
      </c>
      <c r="GI76" s="294">
        <v>-6284499.8099999996</v>
      </c>
      <c r="GJ76" s="294">
        <v>-481461.54</v>
      </c>
      <c r="GK76" s="294">
        <v>-3447300.13</v>
      </c>
      <c r="GL76" s="294">
        <v>-4405154.51</v>
      </c>
      <c r="GM76" s="294">
        <v>-863634.79</v>
      </c>
      <c r="GN76" s="294">
        <v>-1137496.0900000001</v>
      </c>
      <c r="GO76" s="294">
        <v>-1021353.98</v>
      </c>
      <c r="GP76" s="294">
        <v>-882388.84</v>
      </c>
      <c r="GQ76" s="294">
        <v>-15115255.76</v>
      </c>
      <c r="GR76" s="294">
        <v>-1590276</v>
      </c>
      <c r="GS76" s="294">
        <v>-4002273.58</v>
      </c>
      <c r="GT76" s="294">
        <v>-4629646.68</v>
      </c>
      <c r="GU76" s="294">
        <v>0</v>
      </c>
      <c r="GV76" s="294">
        <v>-2402753.1</v>
      </c>
      <c r="GW76" s="294">
        <v>-3756607.97</v>
      </c>
      <c r="GX76" s="294">
        <v>-2914778.77</v>
      </c>
      <c r="GY76" s="294">
        <v>-50591543.299999997</v>
      </c>
      <c r="GZ76" s="294">
        <v>-2505280.7400000002</v>
      </c>
      <c r="HA76" s="294">
        <v>-7535134.1900000004</v>
      </c>
      <c r="HB76" s="294">
        <v>-6250669.2300000004</v>
      </c>
      <c r="HC76" s="294">
        <v>-1687011.4</v>
      </c>
      <c r="HD76" s="294">
        <v>-7272631.9900000002</v>
      </c>
      <c r="HE76" s="294">
        <v>-9470349.8800000008</v>
      </c>
      <c r="HF76" s="294">
        <v>-11370174.27</v>
      </c>
      <c r="HG76" s="294">
        <v>-5084112.2300000004</v>
      </c>
      <c r="HH76" s="294">
        <v>-14773126.52</v>
      </c>
      <c r="HI76" s="294">
        <v>-771044.74</v>
      </c>
      <c r="HJ76" s="294">
        <v>-38873086.210000001</v>
      </c>
      <c r="HK76" s="294">
        <v>-14624458.279999999</v>
      </c>
      <c r="HL76" s="294">
        <v>-18473635.109999999</v>
      </c>
      <c r="HM76" s="294">
        <v>-9994994.2200000007</v>
      </c>
      <c r="HN76" s="294">
        <v>-8574797.4000000004</v>
      </c>
      <c r="HO76" s="294">
        <v>-5899430.3600000003</v>
      </c>
      <c r="HP76" s="294">
        <v>-8739499.8399999999</v>
      </c>
      <c r="HQ76" s="294">
        <v>-1011134.66</v>
      </c>
      <c r="HR76" s="294">
        <v>-1661784.62</v>
      </c>
      <c r="HS76" s="294">
        <v>-45862204.229999997</v>
      </c>
      <c r="HT76" s="294">
        <v>-10540252.220000001</v>
      </c>
      <c r="HU76" s="294">
        <v>-5761522.21</v>
      </c>
      <c r="HV76" s="294">
        <v>-3548720.18</v>
      </c>
      <c r="HW76" s="294">
        <v>-6659972.1500000004</v>
      </c>
      <c r="HX76" s="294">
        <v>-20883667.059999999</v>
      </c>
      <c r="HY76" s="294">
        <v>-14730009.859999999</v>
      </c>
      <c r="HZ76" s="294">
        <v>-11534282.210000001</v>
      </c>
      <c r="IA76" s="294">
        <v>-5229565.93</v>
      </c>
      <c r="IB76" s="294">
        <v>-4801915.1900000004</v>
      </c>
      <c r="IC76" s="294">
        <v>-6036845.4100000001</v>
      </c>
      <c r="ID76" s="294">
        <v>-1299754.96</v>
      </c>
      <c r="IE76" s="294">
        <v>-7739724.4299999997</v>
      </c>
      <c r="IF76" s="294">
        <v>-4193279.35</v>
      </c>
      <c r="IG76" s="294">
        <v>-2519360.9700000002</v>
      </c>
      <c r="IH76" s="294">
        <v>-105631053.12</v>
      </c>
      <c r="II76" s="294">
        <v>0</v>
      </c>
      <c r="IJ76" s="294">
        <v>-1491025</v>
      </c>
      <c r="IK76" s="294">
        <v>-11536398.17</v>
      </c>
      <c r="IL76" s="294">
        <v>-26699005.100000001</v>
      </c>
      <c r="IM76" s="294">
        <v>-2610345.5099999998</v>
      </c>
      <c r="IN76" s="294">
        <v>-1839811.19</v>
      </c>
      <c r="IO76" s="294">
        <v>-1920087.64</v>
      </c>
      <c r="IP76" s="294">
        <v>-1531022.19</v>
      </c>
      <c r="IQ76" s="294">
        <v>-6047559.7999999998</v>
      </c>
      <c r="IR76" s="294">
        <v>-2167442.79</v>
      </c>
      <c r="IS76" s="294">
        <v>-12339485.189999999</v>
      </c>
      <c r="IT76" s="294"/>
      <c r="IU76" s="294">
        <v>-1317626.46</v>
      </c>
      <c r="IV76" s="294">
        <v>-6282479.8700000001</v>
      </c>
      <c r="IW76" s="294">
        <v>-2754211.69</v>
      </c>
      <c r="IX76" s="294">
        <v>-1711817.47</v>
      </c>
      <c r="IY76" s="294">
        <v>-6602906.6699999999</v>
      </c>
      <c r="IZ76" s="294">
        <v>-2512336.86</v>
      </c>
      <c r="JA76" s="294">
        <v>-3714425.88</v>
      </c>
      <c r="JB76" s="294">
        <v>-9868706.6500000004</v>
      </c>
      <c r="JC76" s="294">
        <v>-13374491.369999999</v>
      </c>
      <c r="JD76" s="294">
        <v>-4476558.4000000004</v>
      </c>
      <c r="JE76" s="294">
        <v>-520345.96</v>
      </c>
      <c r="JF76" s="294">
        <v>-33462805.07</v>
      </c>
      <c r="JG76" s="294">
        <v>-6155277.2000000002</v>
      </c>
      <c r="JH76" s="294">
        <v>-6606521.5199999996</v>
      </c>
      <c r="JI76" s="294">
        <v>-7616436.04</v>
      </c>
      <c r="JJ76" s="294">
        <v>-1494180.42</v>
      </c>
      <c r="JK76" s="294">
        <v>-36588168.280000001</v>
      </c>
      <c r="JL76" s="294">
        <v>-7924010.0899999999</v>
      </c>
      <c r="JM76" s="294">
        <v>-13589168.48</v>
      </c>
      <c r="JN76" s="294">
        <v>-19194706.719999999</v>
      </c>
      <c r="JO76" s="294">
        <v>-10240332.800000001</v>
      </c>
      <c r="JP76" s="294">
        <v>-26474604.34</v>
      </c>
      <c r="JQ76" s="294">
        <v>-4689550.8600000003</v>
      </c>
      <c r="JR76" s="294">
        <v>-14586947.779999999</v>
      </c>
      <c r="JS76" s="294">
        <v>-277182.71999999997</v>
      </c>
      <c r="JT76" s="294">
        <v>-4301997.83</v>
      </c>
      <c r="JU76" s="294">
        <v>-1863050.84</v>
      </c>
      <c r="JV76" s="294">
        <v>-5362371.91</v>
      </c>
      <c r="JW76" s="294">
        <v>-823515.89</v>
      </c>
      <c r="JX76" s="294">
        <v>-18818019.850000001</v>
      </c>
      <c r="JY76" s="294">
        <v>-7316782.0899999999</v>
      </c>
      <c r="JZ76" s="294">
        <v>-6732561.6600000001</v>
      </c>
      <c r="KA76" s="294">
        <v>-6645453.04</v>
      </c>
      <c r="KB76" s="294">
        <v>-4449500.21</v>
      </c>
      <c r="KC76" s="294">
        <v>-2312794.39</v>
      </c>
      <c r="KD76" s="294">
        <v>-2593266.63</v>
      </c>
      <c r="KE76" s="294">
        <v>-710419.67</v>
      </c>
      <c r="KF76" s="294">
        <v>-2199015.7200000002</v>
      </c>
      <c r="KG76" s="294">
        <v>-2856781.65</v>
      </c>
      <c r="KH76" s="294">
        <v>-107563515.28</v>
      </c>
      <c r="KI76" s="294">
        <v>-22349751.289999999</v>
      </c>
      <c r="KJ76" s="294">
        <v>-3219646.94</v>
      </c>
      <c r="KK76" s="294">
        <v>-4900211.03</v>
      </c>
      <c r="KL76" s="294">
        <v>-4238416.57</v>
      </c>
      <c r="KM76" s="294">
        <v>-4134074.07</v>
      </c>
      <c r="KN76" s="294">
        <v>-30579129.52</v>
      </c>
      <c r="KO76" s="294">
        <v>-3175379.09</v>
      </c>
      <c r="KP76" s="294">
        <v>-3775800.63</v>
      </c>
      <c r="KQ76" s="294">
        <v>-60850371.68</v>
      </c>
      <c r="KR76" s="294">
        <v>-8646977.1099999994</v>
      </c>
      <c r="KS76" s="294">
        <v>-9703315.7100000009</v>
      </c>
      <c r="KT76" s="294">
        <v>-33114718.640000001</v>
      </c>
      <c r="KU76" s="294">
        <v>-3052692.85</v>
      </c>
      <c r="KV76" s="294">
        <v>-9767781.0299999993</v>
      </c>
      <c r="KW76" s="294">
        <v>-64775143.060000002</v>
      </c>
      <c r="KX76" s="294">
        <v>-6995915.7199999997</v>
      </c>
      <c r="KY76" s="294">
        <v>-85037776.189999998</v>
      </c>
      <c r="KZ76" s="294">
        <v>-4905011.4000000004</v>
      </c>
      <c r="LA76" s="294">
        <v>-1610205.86</v>
      </c>
      <c r="LB76" s="294">
        <v>-8026119.46</v>
      </c>
      <c r="LC76" s="294">
        <v>-10904134.630000001</v>
      </c>
      <c r="LD76" s="294">
        <v>-5445629.7300000004</v>
      </c>
      <c r="LE76" s="294">
        <v>-4322221.34</v>
      </c>
      <c r="LF76" s="294">
        <v>-4143431.59</v>
      </c>
      <c r="LG76" s="294">
        <v>-1571470</v>
      </c>
      <c r="LH76" s="294">
        <v>-125110</v>
      </c>
      <c r="LI76" s="294">
        <v>-3821180.88</v>
      </c>
      <c r="LJ76" s="294">
        <v>-25993119.100000001</v>
      </c>
      <c r="LK76" s="294">
        <v>-4191335.82</v>
      </c>
      <c r="LL76" s="294">
        <v>-3785149.88</v>
      </c>
      <c r="LM76" s="294">
        <v>-1461948.46</v>
      </c>
      <c r="LN76" s="294">
        <v>-2429651.48</v>
      </c>
      <c r="LO76" s="294">
        <v>-4436136.24</v>
      </c>
      <c r="LP76" s="294">
        <v>-8206182.8900000006</v>
      </c>
      <c r="LQ76" s="294">
        <v>-778268.58</v>
      </c>
      <c r="LR76" s="294">
        <v>-49010772.989999995</v>
      </c>
      <c r="LS76" s="294">
        <v>-6152475.7300000004</v>
      </c>
      <c r="LT76" s="294">
        <v>-3058073.52</v>
      </c>
      <c r="LU76" s="294">
        <v>-67796430.950000003</v>
      </c>
      <c r="LV76" s="294">
        <v>-32381591.41</v>
      </c>
      <c r="LW76" s="294">
        <v>-171253514.16999999</v>
      </c>
      <c r="LX76" s="294">
        <v>-50044724.140000001</v>
      </c>
      <c r="LY76" s="294">
        <v>-16149395.92</v>
      </c>
      <c r="LZ76" s="294">
        <v>-13424258.630000001</v>
      </c>
      <c r="MA76" s="294">
        <v>-9378185.5600000005</v>
      </c>
      <c r="MB76" s="294">
        <v>-7812368.5999999996</v>
      </c>
      <c r="MC76" s="294">
        <v>-14671119.48</v>
      </c>
      <c r="MD76" s="294">
        <v>-9027129.4700000007</v>
      </c>
      <c r="ME76" s="294">
        <v>-22411835.920000002</v>
      </c>
      <c r="MF76" s="294">
        <v>-5131822.33</v>
      </c>
      <c r="MG76" s="294">
        <v>-117420181.38</v>
      </c>
      <c r="MH76" s="294">
        <v>-4331951.63</v>
      </c>
      <c r="MI76" s="294">
        <v>-2973462.52</v>
      </c>
      <c r="MJ76" s="294">
        <v>-1426700.45</v>
      </c>
      <c r="MK76" s="294">
        <v>-1015822.33</v>
      </c>
      <c r="ML76" s="294">
        <v>-2577732.7400000002</v>
      </c>
      <c r="MM76" s="294">
        <v>-4710839.5599999996</v>
      </c>
      <c r="MN76" s="294">
        <v>-1940617.41</v>
      </c>
      <c r="MO76" s="294">
        <v>-7665632.2700000005</v>
      </c>
      <c r="MP76" s="294">
        <v>-3060652.59</v>
      </c>
      <c r="MQ76" s="294">
        <v>-2013547.32</v>
      </c>
      <c r="MR76" s="294">
        <v>-3468750.27</v>
      </c>
      <c r="MS76" s="294">
        <v>-7729147.5</v>
      </c>
      <c r="MT76" s="294">
        <v>-5734652.4800000004</v>
      </c>
      <c r="MU76" s="294">
        <v>-5487924.0800000001</v>
      </c>
      <c r="MV76" s="294">
        <v>-15007165.280000001</v>
      </c>
      <c r="MW76" s="294">
        <v>-10114686.789999999</v>
      </c>
      <c r="MX76" s="294">
        <v>-7263007.5099999998</v>
      </c>
      <c r="MY76" s="294">
        <v>-8170845.1701999996</v>
      </c>
      <c r="MZ76" s="294">
        <v>-12816527.59</v>
      </c>
      <c r="NA76" s="294">
        <v>-6184527.7699999996</v>
      </c>
      <c r="NB76" s="294">
        <v>-4473053.49</v>
      </c>
      <c r="NC76" s="294">
        <v>-636125.63</v>
      </c>
      <c r="ND76" s="294">
        <v>-11195097.279999999</v>
      </c>
      <c r="NE76" s="294">
        <v>-5105493.6900000004</v>
      </c>
      <c r="NF76" s="294">
        <v>-1758357.64</v>
      </c>
      <c r="NG76" s="294">
        <v>-42577240.909999996</v>
      </c>
      <c r="NH76" s="294">
        <v>-2718158.75</v>
      </c>
      <c r="NI76" s="294">
        <v>-6169549.5099999998</v>
      </c>
      <c r="NJ76" s="294">
        <v>-21611240.77</v>
      </c>
      <c r="NK76" s="294">
        <v>-14956211.49</v>
      </c>
      <c r="NL76" s="294">
        <v>-773849.49</v>
      </c>
      <c r="NM76" s="294">
        <v>-7453728.4100000001</v>
      </c>
      <c r="NN76" s="294">
        <v>-2992315.85</v>
      </c>
      <c r="NO76" s="294">
        <v>-4521480.9400000004</v>
      </c>
      <c r="NP76" s="294">
        <v>-8642295.9000000004</v>
      </c>
      <c r="NQ76" s="294">
        <v>-1152795.53</v>
      </c>
      <c r="NR76" s="294">
        <v>-1544079.58</v>
      </c>
      <c r="NS76" s="294">
        <v>-402782.08</v>
      </c>
      <c r="NT76" s="294">
        <v>-598561.84</v>
      </c>
      <c r="NU76" s="294">
        <v>-108645.38</v>
      </c>
      <c r="NV76" s="294">
        <v>-128778.25</v>
      </c>
      <c r="NW76" s="294">
        <v>-7744935.2999999998</v>
      </c>
      <c r="NX76" s="294">
        <v>-17932748.530000001</v>
      </c>
      <c r="NY76" s="294">
        <v>-3537926.1999999997</v>
      </c>
      <c r="NZ76" s="294">
        <v>-4439979.26</v>
      </c>
      <c r="OA76" s="294">
        <v>-2846404.9</v>
      </c>
      <c r="OB76" s="294">
        <v>-5416418.7599999998</v>
      </c>
      <c r="OC76" s="294">
        <v>-3979860.73</v>
      </c>
      <c r="OD76" s="294">
        <v>-1669564</v>
      </c>
      <c r="OE76" s="294">
        <v>-36023011.359999999</v>
      </c>
      <c r="OF76" s="294">
        <v>-1866472.12</v>
      </c>
      <c r="OG76" s="294">
        <v>-21472348</v>
      </c>
      <c r="OH76" s="294">
        <v>-2914069.61</v>
      </c>
      <c r="OI76" s="294">
        <v>-4214521.05</v>
      </c>
      <c r="OJ76" s="294">
        <v>-21156944.800000001</v>
      </c>
      <c r="OK76" s="294">
        <v>-4635583.04</v>
      </c>
      <c r="OL76" s="294">
        <v>-7951468.4299999997</v>
      </c>
      <c r="OM76" s="294">
        <v>-25913018.199999999</v>
      </c>
      <c r="ON76" s="294">
        <v>-15245399.25</v>
      </c>
      <c r="OO76" s="294">
        <v>-39791537.25</v>
      </c>
      <c r="OP76" s="294">
        <v>-10943143.43</v>
      </c>
      <c r="OQ76" s="294">
        <v>-10783366.689999999</v>
      </c>
      <c r="OR76" s="294">
        <v>-3571304.84</v>
      </c>
      <c r="OS76" s="294">
        <v>-7161669.96</v>
      </c>
      <c r="OT76" s="294">
        <v>-3100998.56</v>
      </c>
      <c r="OU76" s="294">
        <v>-856671.22</v>
      </c>
      <c r="OV76" s="294">
        <v>-1685190.73</v>
      </c>
      <c r="OW76" s="294">
        <v>-2612751.5499999998</v>
      </c>
      <c r="OX76" s="294">
        <v>-16352070.439999999</v>
      </c>
      <c r="OY76" s="294">
        <v>-2344553.63</v>
      </c>
      <c r="OZ76" s="294">
        <v>-1788636.8</v>
      </c>
      <c r="PA76" s="294">
        <v>-1687536.91</v>
      </c>
      <c r="PB76" s="294">
        <v>-56550359.229999997</v>
      </c>
      <c r="PC76" s="294">
        <v>-2547857.35</v>
      </c>
      <c r="PD76" s="294">
        <v>-33128571.760000002</v>
      </c>
      <c r="PE76" s="294">
        <v>-3546751.26</v>
      </c>
      <c r="PF76" s="294">
        <v>-4148269.38</v>
      </c>
      <c r="PG76" s="294">
        <v>-16708284.24</v>
      </c>
      <c r="PH76" s="294">
        <v>-6073700.2199999997</v>
      </c>
      <c r="PI76" s="294">
        <v>-4061138.05</v>
      </c>
      <c r="PJ76" s="294">
        <v>-7937261</v>
      </c>
      <c r="PK76" s="294">
        <v>-6616625.0599999996</v>
      </c>
      <c r="PL76" s="294">
        <v>-3109421.8</v>
      </c>
      <c r="PM76" s="294">
        <v>-10000311.109999999</v>
      </c>
      <c r="PN76" s="294">
        <v>-4488262.93</v>
      </c>
      <c r="PO76" s="294">
        <v>-24715967.07</v>
      </c>
      <c r="PP76" s="294">
        <v>-3402506.56</v>
      </c>
      <c r="PQ76" s="294">
        <v>-4415038.7699999996</v>
      </c>
      <c r="PR76" s="294">
        <v>-5049068.13</v>
      </c>
      <c r="PS76" s="294">
        <v>-2810263.69</v>
      </c>
      <c r="PT76" s="294">
        <v>-217567981.02000001</v>
      </c>
      <c r="PU76" s="294">
        <v>-17718020.789999999</v>
      </c>
      <c r="PV76" s="294">
        <v>-14142279.82</v>
      </c>
      <c r="PW76" s="294">
        <v>-7004852.7000000002</v>
      </c>
      <c r="PX76" s="294">
        <v>-63485216.469999999</v>
      </c>
      <c r="PY76" s="294">
        <v>-16734322.199999999</v>
      </c>
      <c r="PZ76" s="294">
        <v>-30516231.59</v>
      </c>
      <c r="QA76" s="294">
        <v>-9914102.5700000003</v>
      </c>
      <c r="QB76" s="294">
        <v>-24242577.260000002</v>
      </c>
      <c r="QC76" s="294">
        <v>-3356549.85</v>
      </c>
      <c r="QD76" s="294">
        <v>-24179333.75</v>
      </c>
      <c r="QE76" s="294">
        <v>-6442111.2400000002</v>
      </c>
      <c r="QF76" s="294">
        <v>-5429423.7699999996</v>
      </c>
      <c r="QG76" s="294">
        <v>-7405411.7800000003</v>
      </c>
      <c r="QH76" s="294">
        <v>-24351921.010000002</v>
      </c>
      <c r="QI76" s="294">
        <v>-4632962.5</v>
      </c>
      <c r="QJ76" s="294">
        <v>-15245296.92</v>
      </c>
      <c r="QK76" s="294">
        <v>-11191344.59</v>
      </c>
      <c r="QL76" s="294">
        <v>-8194317.8899999997</v>
      </c>
      <c r="QM76" s="294">
        <v>-35317037.390000001</v>
      </c>
      <c r="QN76" s="294">
        <v>-19305791.489999998</v>
      </c>
      <c r="QO76" s="294">
        <v>-9111550.8200000003</v>
      </c>
      <c r="QP76" s="294">
        <v>-2039104.01</v>
      </c>
      <c r="QQ76" s="294">
        <v>-5722177.7800000003</v>
      </c>
      <c r="QR76" s="294">
        <v>-1186057.5</v>
      </c>
      <c r="QS76" s="294">
        <v>-2569310.44</v>
      </c>
      <c r="QT76" s="294">
        <v>-72201674.030000001</v>
      </c>
      <c r="QU76" s="294">
        <v>-2642504.6</v>
      </c>
      <c r="QV76" s="294">
        <v>-23909908.73</v>
      </c>
      <c r="QW76" s="294">
        <v>-941865.03</v>
      </c>
      <c r="QX76" s="294">
        <v>-3502153.73</v>
      </c>
      <c r="QY76" s="294">
        <v>-20540551.510000002</v>
      </c>
      <c r="QZ76" s="294">
        <v>-6110179.9699999997</v>
      </c>
      <c r="RA76" s="294">
        <v>-14863467.050000001</v>
      </c>
      <c r="RB76" s="294">
        <v>-6582337.2000000002</v>
      </c>
      <c r="RC76" s="294">
        <v>-9256333.4000000004</v>
      </c>
      <c r="RD76" s="294">
        <v>-3895799.87</v>
      </c>
      <c r="RE76" s="294">
        <v>-240193</v>
      </c>
      <c r="RF76" s="294">
        <v>-1367244.08</v>
      </c>
      <c r="RG76" s="294">
        <v>-149242403.5</v>
      </c>
      <c r="RH76" s="294">
        <v>-27735829.629999999</v>
      </c>
      <c r="RI76" s="294">
        <v>-4651025.9400000004</v>
      </c>
      <c r="RJ76" s="294">
        <v>-3631634.04</v>
      </c>
      <c r="RK76" s="294">
        <v>-13565246.890000001</v>
      </c>
      <c r="RL76" s="294">
        <v>-22703659.739999998</v>
      </c>
      <c r="RM76" s="294">
        <v>-38388452.960000001</v>
      </c>
      <c r="RN76" s="294">
        <v>-6358178.6699999999</v>
      </c>
      <c r="RO76" s="294">
        <v>-5553382.7000000002</v>
      </c>
      <c r="RP76" s="294">
        <v>-29328819.640000001</v>
      </c>
      <c r="RQ76" s="294">
        <v>-23438557.030000001</v>
      </c>
      <c r="RR76" s="294">
        <v>-7000377.5999999996</v>
      </c>
      <c r="RS76" s="294">
        <v>-7433559.8600000003</v>
      </c>
      <c r="RT76" s="294">
        <v>-12212026.949999999</v>
      </c>
      <c r="RU76" s="294">
        <v>-3389475.8</v>
      </c>
      <c r="RV76" s="294">
        <v>-4854699.1900000004</v>
      </c>
      <c r="RW76" s="294">
        <v>-8814884.75</v>
      </c>
      <c r="RX76" s="294">
        <v>-1449052.83</v>
      </c>
      <c r="RY76" s="294">
        <v>-3206551.39</v>
      </c>
      <c r="RZ76" s="294">
        <v>-4180678.97</v>
      </c>
      <c r="SA76" s="294">
        <v>-21295231.390000001</v>
      </c>
      <c r="SB76" s="294">
        <v>-4653064</v>
      </c>
      <c r="SC76" s="294">
        <v>-3450106</v>
      </c>
      <c r="SD76" s="294">
        <v>-5952262.5199999996</v>
      </c>
      <c r="SE76" s="294">
        <v>-2061375.9</v>
      </c>
      <c r="SF76" s="294">
        <v>-6454989.6399999997</v>
      </c>
      <c r="SG76" s="294">
        <v>-7432750.1500000004</v>
      </c>
      <c r="SH76" s="294">
        <v>-2738475.13</v>
      </c>
      <c r="SI76" s="294">
        <v>-3452054.52</v>
      </c>
      <c r="SJ76" s="294">
        <v>-2514312.71</v>
      </c>
      <c r="SK76" s="294">
        <v>-19933674.23</v>
      </c>
      <c r="SL76" s="294">
        <v>-1347214.55</v>
      </c>
      <c r="SM76" s="294">
        <v>-20725726.41</v>
      </c>
      <c r="SN76" s="294">
        <v>-4874209.8899999997</v>
      </c>
      <c r="SO76" s="294">
        <v>-6434802.5499999998</v>
      </c>
      <c r="SP76" s="294">
        <v>-11412325.800000001</v>
      </c>
      <c r="SQ76" s="294">
        <v>-2162803.5699999998</v>
      </c>
      <c r="SR76" s="294">
        <v>-871236.04</v>
      </c>
      <c r="SS76" s="294">
        <v>-1809928.52</v>
      </c>
      <c r="ST76" s="294">
        <v>-6861258.4199999999</v>
      </c>
      <c r="SU76" s="294">
        <v>-66667704.390000001</v>
      </c>
      <c r="SV76" s="294">
        <v>-1855945.14</v>
      </c>
      <c r="SW76" s="294">
        <v>-2959410.24</v>
      </c>
      <c r="SX76" s="294">
        <v>-6338994.0199999996</v>
      </c>
      <c r="SY76" s="294">
        <v>-1418202.75</v>
      </c>
      <c r="SZ76" s="294">
        <v>-1971368.51</v>
      </c>
      <c r="TA76" s="294">
        <v>-696954.4</v>
      </c>
      <c r="TB76" s="294">
        <v>-31548087.559999999</v>
      </c>
      <c r="TC76" s="294">
        <v>-6866897.2000000002</v>
      </c>
      <c r="TD76" s="294">
        <v>-5562079.3200000003</v>
      </c>
      <c r="TE76" s="294">
        <v>-2353402.7200000002</v>
      </c>
      <c r="TF76" s="294">
        <v>-19821373.059999999</v>
      </c>
      <c r="TG76" s="294">
        <v>-2396950.83</v>
      </c>
      <c r="TH76" s="294">
        <v>-2695492.96</v>
      </c>
      <c r="TI76" s="294">
        <v>-222361383.03999999</v>
      </c>
      <c r="TJ76" s="294">
        <v>-4467759.88</v>
      </c>
      <c r="TK76" s="294">
        <v>-8027107.6299999999</v>
      </c>
      <c r="TL76" s="294">
        <v>-28387287.18</v>
      </c>
      <c r="TM76" s="294">
        <v>-10861019.48</v>
      </c>
      <c r="TN76" s="294">
        <v>-2518991.2200000002</v>
      </c>
      <c r="TO76" s="294">
        <v>-4984184.17</v>
      </c>
      <c r="TP76" s="294">
        <v>-7017021.1399999997</v>
      </c>
      <c r="TQ76" s="294">
        <v>-2899645.06</v>
      </c>
      <c r="TR76" s="294">
        <v>-17769378.93</v>
      </c>
      <c r="TS76" s="294">
        <v>-17745142.469999999</v>
      </c>
      <c r="TT76" s="294">
        <v>-3192799.34</v>
      </c>
      <c r="TU76" s="294">
        <v>-2382301.0499999998</v>
      </c>
      <c r="TV76" s="294">
        <v>-7667099.0899999999</v>
      </c>
      <c r="TW76" s="294">
        <v>-10710836.24</v>
      </c>
      <c r="TX76" s="294">
        <v>-1259044.29</v>
      </c>
      <c r="TY76" s="294">
        <v>-28291381.98</v>
      </c>
      <c r="TZ76" s="294">
        <v>-1231670.72</v>
      </c>
      <c r="UA76" s="294">
        <v>-41168163.340000004</v>
      </c>
      <c r="UB76" s="294">
        <v>-22810204</v>
      </c>
      <c r="UC76" s="294">
        <v>-10007340.25</v>
      </c>
      <c r="UD76" s="294">
        <v>-8889754.6300000008</v>
      </c>
      <c r="UE76" s="294">
        <v>-67671674.329999998</v>
      </c>
      <c r="UF76" s="294">
        <v>-3529588.64</v>
      </c>
      <c r="UG76" s="294">
        <v>-2795786.78</v>
      </c>
      <c r="UH76" s="294">
        <v>-7660420.9500000002</v>
      </c>
      <c r="UI76" s="294">
        <v>-3364455.83</v>
      </c>
      <c r="UJ76" s="294">
        <v>-26596484.859999999</v>
      </c>
      <c r="UK76" s="294">
        <v>-18649383.879999999</v>
      </c>
      <c r="UL76" s="294">
        <v>-15847691.18</v>
      </c>
      <c r="UM76" s="294">
        <v>-21435895.41</v>
      </c>
      <c r="UN76" s="294">
        <v>-10369685.619999999</v>
      </c>
      <c r="UO76" s="294">
        <v>-10158190.890000001</v>
      </c>
      <c r="UP76" s="294">
        <v>-94241843.060000002</v>
      </c>
      <c r="UQ76" s="294">
        <v>-14193972.82</v>
      </c>
      <c r="UR76" s="294">
        <v>-13175313.300000001</v>
      </c>
      <c r="US76" s="294">
        <v>-62881066.969999999</v>
      </c>
      <c r="UT76" s="294">
        <v>-1088767.25</v>
      </c>
      <c r="UU76" s="294">
        <v>-5088761.22</v>
      </c>
      <c r="UV76" s="294">
        <v>-31587512.050000001</v>
      </c>
      <c r="UW76" s="294">
        <v>-3536866.53</v>
      </c>
      <c r="UX76" s="294">
        <v>-10819993.98</v>
      </c>
      <c r="UY76" s="294">
        <v>-964332.85</v>
      </c>
      <c r="UZ76" s="294">
        <v>-14482595.359999999</v>
      </c>
      <c r="VA76" s="294">
        <v>-19043010.579999998</v>
      </c>
      <c r="VB76" s="294">
        <v>-11340485.42</v>
      </c>
      <c r="VC76" s="294">
        <v>-9515631.8000000007</v>
      </c>
      <c r="VD76" s="294">
        <v>-5253404.96</v>
      </c>
      <c r="VE76" s="294">
        <v>-7812528.5499999998</v>
      </c>
      <c r="VF76" s="294">
        <v>-7478885.3600000003</v>
      </c>
      <c r="VG76" s="294">
        <v>-4379317.1500000004</v>
      </c>
      <c r="VH76" s="294">
        <v>-22679652.190000001</v>
      </c>
      <c r="VI76" s="294">
        <v>-4365257.5599999996</v>
      </c>
      <c r="VJ76" s="294">
        <v>-1342823.95</v>
      </c>
      <c r="VK76" s="294">
        <v>-1138362.05</v>
      </c>
      <c r="VL76" s="294">
        <v>-129626608.92</v>
      </c>
      <c r="VM76" s="294">
        <v>-5701346.4199999999</v>
      </c>
      <c r="VN76" s="294">
        <v>-4978585.59</v>
      </c>
      <c r="VO76" s="294">
        <v>-14543441.16</v>
      </c>
      <c r="VP76" s="294">
        <v>-21321468.699999999</v>
      </c>
      <c r="VQ76" s="294">
        <v>-11566373.23</v>
      </c>
      <c r="VR76" s="294">
        <v>-14989704.859999999</v>
      </c>
      <c r="VS76" s="294">
        <v>-4468837.9000000004</v>
      </c>
      <c r="VT76" s="294">
        <v>-7322760.5199999996</v>
      </c>
      <c r="VU76" s="294">
        <v>-50833572.590000004</v>
      </c>
      <c r="VV76" s="294">
        <v>-5404102.9800000004</v>
      </c>
      <c r="VW76" s="294">
        <v>-5798627.2199999997</v>
      </c>
      <c r="VX76" s="294">
        <v>-4918237.7699999996</v>
      </c>
      <c r="VY76" s="294">
        <v>-1830668.66</v>
      </c>
      <c r="VZ76" s="294">
        <v>-3658673.44</v>
      </c>
      <c r="WA76" s="294">
        <v>-142747210.99000001</v>
      </c>
      <c r="WB76" s="294">
        <v>-8031523.5499999998</v>
      </c>
      <c r="WC76" s="294">
        <v>-1940263.01</v>
      </c>
      <c r="WD76" s="294">
        <v>-2409215.81</v>
      </c>
      <c r="WE76" s="294">
        <v>-1810251.2</v>
      </c>
      <c r="WF76" s="294">
        <v>-10879378</v>
      </c>
      <c r="WG76" s="294">
        <v>-15723278.600000001</v>
      </c>
      <c r="WH76" s="294">
        <v>-9490548.3699999992</v>
      </c>
      <c r="WI76" s="294">
        <v>-5056965.54</v>
      </c>
      <c r="WJ76" s="294">
        <v>-13952114.050000001</v>
      </c>
      <c r="WK76" s="294">
        <v>-4963613.04</v>
      </c>
      <c r="WL76" s="294">
        <v>-16157282.390000001</v>
      </c>
      <c r="WM76" s="294">
        <v>-6311568.9699999997</v>
      </c>
      <c r="WN76" s="294">
        <v>-14773131.800000001</v>
      </c>
      <c r="WO76" s="294">
        <v>-28459049.829999998</v>
      </c>
      <c r="WP76" s="294">
        <v>-4543004.54</v>
      </c>
      <c r="WQ76" s="294">
        <v>-9441767.4399999995</v>
      </c>
      <c r="WR76" s="294">
        <v>-9437993.8699999992</v>
      </c>
      <c r="WS76" s="294">
        <v>-2939955.34</v>
      </c>
      <c r="WT76" s="294">
        <v>-8745892.6799999997</v>
      </c>
      <c r="WU76" s="294">
        <v>-47721339.93</v>
      </c>
      <c r="WV76" s="294">
        <v>-7476257.8600000003</v>
      </c>
      <c r="WW76" s="294">
        <v>-4977895.71</v>
      </c>
      <c r="WX76" s="294">
        <v>-4796949.1900000004</v>
      </c>
      <c r="WY76" s="294">
        <v>-3466532.93</v>
      </c>
      <c r="WZ76" s="294">
        <v>-4594329.43</v>
      </c>
      <c r="XA76" s="294">
        <v>-3121087.91</v>
      </c>
      <c r="XB76" s="294">
        <v>-3925050.71</v>
      </c>
      <c r="XC76" s="294">
        <v>-11187176.99</v>
      </c>
      <c r="XD76" s="294">
        <v>-4071083.78</v>
      </c>
      <c r="XE76" s="294">
        <v>-2115983.89</v>
      </c>
      <c r="XF76" s="294">
        <v>-2396999.36</v>
      </c>
      <c r="XG76" s="294">
        <v>-2943226.82</v>
      </c>
      <c r="XH76" s="294">
        <v>-59791180.659999996</v>
      </c>
      <c r="XI76" s="294">
        <v>-6212991.5599999996</v>
      </c>
      <c r="XJ76" s="294">
        <v>-7637044.5800000001</v>
      </c>
      <c r="XK76" s="294">
        <v>-20748020.050000001</v>
      </c>
      <c r="XL76" s="294">
        <v>-3303663.06</v>
      </c>
      <c r="XM76" s="294">
        <v>-5098064.2</v>
      </c>
      <c r="XN76" s="294">
        <v>-12438689.960000001</v>
      </c>
      <c r="XO76" s="294">
        <v>-3801054.96</v>
      </c>
      <c r="XP76" s="294">
        <v>-3676351.53</v>
      </c>
      <c r="XQ76" s="294">
        <v>-16878198.780000001</v>
      </c>
      <c r="XR76" s="294">
        <v>-12378223.65</v>
      </c>
      <c r="XS76" s="294">
        <v>-4027913.08</v>
      </c>
      <c r="XT76" s="294">
        <v>-4128761.66</v>
      </c>
      <c r="XU76" s="294">
        <v>-2745183.42</v>
      </c>
      <c r="XV76" s="294">
        <v>-2559400.73</v>
      </c>
      <c r="XW76" s="294">
        <v>-2438849.02</v>
      </c>
      <c r="XX76" s="294">
        <v>-1484381</v>
      </c>
      <c r="XY76" s="294">
        <v>-2733724.4</v>
      </c>
      <c r="XZ76" s="294">
        <v>-2050832.89</v>
      </c>
      <c r="YA76" s="294">
        <v>-1272130.8999999999</v>
      </c>
      <c r="YB76" s="294">
        <v>-2061479.57</v>
      </c>
      <c r="YC76" s="294">
        <v>-2437098.62</v>
      </c>
      <c r="YD76" s="294">
        <v>-1896738.81</v>
      </c>
      <c r="YE76" s="294">
        <v>-75715564.560000002</v>
      </c>
      <c r="YF76" s="294">
        <v>-11108972.57</v>
      </c>
      <c r="YG76" s="294">
        <v>-18213364.420000002</v>
      </c>
      <c r="YH76" s="294">
        <v>-2568112</v>
      </c>
      <c r="YI76" s="294">
        <v>-24010312.34</v>
      </c>
      <c r="YJ76" s="294">
        <v>-3127587.2</v>
      </c>
      <c r="YK76" s="294">
        <v>-15338972.779999999</v>
      </c>
      <c r="YL76" s="294">
        <v>-2695414.74</v>
      </c>
      <c r="YM76" s="294">
        <v>-22169605.359999999</v>
      </c>
      <c r="YN76" s="294">
        <v>-13155354.74</v>
      </c>
      <c r="YO76" s="294">
        <v>-4291956.3100000005</v>
      </c>
      <c r="YP76" s="294">
        <v>-4722528.74</v>
      </c>
      <c r="YQ76" s="294">
        <v>-7779703.8300000001</v>
      </c>
      <c r="YR76" s="294">
        <v>-3347100.19</v>
      </c>
      <c r="YS76" s="294">
        <v>-2596513.2999999998</v>
      </c>
      <c r="YT76" s="294">
        <v>-7774712.3499999996</v>
      </c>
      <c r="YU76" s="294">
        <v>-2264742.2000000002</v>
      </c>
      <c r="YV76" s="294">
        <v>-35629802.770000003</v>
      </c>
      <c r="YW76" s="294">
        <v>-5721056.7699999996</v>
      </c>
      <c r="YX76" s="294">
        <v>-2323678.75</v>
      </c>
      <c r="YY76" s="294">
        <v>-1757757.68</v>
      </c>
      <c r="YZ76" s="294">
        <v>-5491138.4900000002</v>
      </c>
      <c r="ZA76" s="294">
        <v>-1568962.49</v>
      </c>
      <c r="ZB76" s="294">
        <v>-1304092.3999999999</v>
      </c>
      <c r="ZC76" s="294">
        <v>-25048253.649999999</v>
      </c>
      <c r="ZD76" s="294">
        <v>-933235.32</v>
      </c>
      <c r="ZE76" s="294">
        <v>-3114244.92</v>
      </c>
      <c r="ZF76" s="294">
        <v>-4700432.9000000004</v>
      </c>
      <c r="ZG76" s="294">
        <v>-2212448.37</v>
      </c>
      <c r="ZH76" s="294">
        <v>-3457598.55</v>
      </c>
      <c r="ZI76" s="294">
        <v>-3364098.33</v>
      </c>
      <c r="ZJ76" s="294">
        <v>-1853964.64</v>
      </c>
      <c r="ZK76" s="294">
        <v>-25463669.170000002</v>
      </c>
      <c r="ZL76" s="294">
        <v>-100978382.20999999</v>
      </c>
      <c r="ZM76" s="294">
        <v>-3302232.89</v>
      </c>
      <c r="ZN76" s="294">
        <v>-11348357.346000001</v>
      </c>
      <c r="ZO76" s="294">
        <v>-8989639.9399999995</v>
      </c>
      <c r="ZP76" s="294">
        <v>-10290846.699999999</v>
      </c>
      <c r="ZQ76" s="294">
        <v>-2240901.5300000003</v>
      </c>
      <c r="ZR76" s="294">
        <v>-5436199.0099999998</v>
      </c>
      <c r="ZS76" s="294">
        <v>-8931261.9499999993</v>
      </c>
      <c r="ZT76" s="294">
        <v>-4168549.76</v>
      </c>
      <c r="ZU76" s="294">
        <v>-16835032.780000001</v>
      </c>
      <c r="ZV76" s="294">
        <v>-1340372.8700000001</v>
      </c>
      <c r="ZW76" s="294">
        <v>-4292302.7300000004</v>
      </c>
      <c r="ZX76" s="294">
        <v>-2755363.16</v>
      </c>
      <c r="ZY76" s="294">
        <v>-3736094.95</v>
      </c>
      <c r="ZZ76" s="294">
        <v>-3010330.43</v>
      </c>
      <c r="AAA76" s="294">
        <v>-3687346.27</v>
      </c>
      <c r="AAB76" s="294">
        <v>-2875393.65</v>
      </c>
      <c r="AAC76" s="294">
        <v>-1613529.01</v>
      </c>
      <c r="AAD76" s="294">
        <v>-6426376.2400000002</v>
      </c>
      <c r="AAE76" s="294">
        <v>-1105312.1200000001</v>
      </c>
      <c r="AAF76" s="294">
        <v>-1393345.8</v>
      </c>
      <c r="AAG76" s="294">
        <v>-1809878.6</v>
      </c>
      <c r="AAH76" s="294">
        <v>-34014733.960000001</v>
      </c>
      <c r="AAI76" s="294">
        <v>-6196173.1699999999</v>
      </c>
      <c r="AAJ76" s="294">
        <v>-8638675.0099999998</v>
      </c>
      <c r="AAK76" s="294">
        <v>-4632683.29</v>
      </c>
      <c r="AAL76" s="294">
        <v>-3184733.4</v>
      </c>
      <c r="AAM76" s="294">
        <v>-12828967.140000001</v>
      </c>
      <c r="AAN76" s="294">
        <v>-1767475.93</v>
      </c>
      <c r="AAO76" s="294">
        <v>-206058331.31999999</v>
      </c>
      <c r="AAP76" s="294">
        <v>-13663468.060000001</v>
      </c>
      <c r="AAQ76" s="294">
        <v>-6324914.6399999997</v>
      </c>
      <c r="AAR76" s="294">
        <v>-14036925.33</v>
      </c>
      <c r="AAS76" s="294">
        <v>-12355796.220000001</v>
      </c>
      <c r="AAT76" s="294">
        <v>-5829397.0199999996</v>
      </c>
      <c r="AAU76" s="294">
        <v>-5251462.18</v>
      </c>
      <c r="AAV76" s="294">
        <v>-9420383.6500000004</v>
      </c>
      <c r="AAW76" s="294">
        <v>-46889442.210000001</v>
      </c>
      <c r="AAX76" s="294">
        <v>-9743256.4700000007</v>
      </c>
      <c r="AAY76" s="294">
        <v>-11156831.640000001</v>
      </c>
      <c r="AAZ76" s="294">
        <v>-56279709.450000003</v>
      </c>
      <c r="ABA76" s="294">
        <v>-20158225.68</v>
      </c>
      <c r="ABB76" s="294">
        <v>-3747980.31</v>
      </c>
      <c r="ABC76" s="294">
        <v>-6616921.4500000002</v>
      </c>
      <c r="ABD76" s="294">
        <v>-9009816.9900000002</v>
      </c>
      <c r="ABE76" s="294">
        <v>-3400330.63</v>
      </c>
      <c r="ABF76" s="294">
        <v>-5096799.72</v>
      </c>
      <c r="ABG76" s="294">
        <v>-5496171.71</v>
      </c>
      <c r="ABH76" s="294">
        <v>-37331801.18</v>
      </c>
      <c r="ABI76" s="294">
        <v>-30483524.940000001</v>
      </c>
      <c r="ABJ76" s="294">
        <v>-9293620.0700000003</v>
      </c>
      <c r="ABK76" s="294">
        <v>-4834265.55</v>
      </c>
      <c r="ABL76" s="294">
        <v>-9357823.5</v>
      </c>
      <c r="ABM76" s="294">
        <v>-1923197.24</v>
      </c>
      <c r="ABN76" s="294">
        <v>-2852225.81</v>
      </c>
      <c r="ABO76" s="294">
        <v>-40890283.950000003</v>
      </c>
      <c r="ABP76" s="294">
        <v>-2233186.2799999998</v>
      </c>
      <c r="ABQ76" s="294">
        <v>-9739132.3499999996</v>
      </c>
      <c r="ABR76" s="294">
        <v>-13151016.76</v>
      </c>
      <c r="ABS76" s="294">
        <v>-10225932.17</v>
      </c>
      <c r="ABT76" s="294">
        <v>-6743517.46</v>
      </c>
      <c r="ABU76" s="294">
        <v>-2495970.1800000002</v>
      </c>
      <c r="ABV76" s="294">
        <v>-5047770.5999999996</v>
      </c>
      <c r="ABW76" s="294">
        <v>-110442</v>
      </c>
      <c r="ABX76" s="294"/>
      <c r="ABY76" s="294">
        <v>-1759598.31</v>
      </c>
      <c r="ABZ76" s="294">
        <v>-3155317.92</v>
      </c>
      <c r="ACA76" s="294">
        <v>-2237290.5699999998</v>
      </c>
      <c r="ACB76" s="294">
        <v>-1617780.38</v>
      </c>
      <c r="ACC76" s="294">
        <v>-44408674.259999998</v>
      </c>
      <c r="ACD76" s="294">
        <v>-2753176.19</v>
      </c>
      <c r="ACE76" s="294">
        <v>-2335572.08</v>
      </c>
      <c r="ACF76" s="294">
        <v>-4123107.29</v>
      </c>
      <c r="ACG76" s="294">
        <v>-15949879.109999999</v>
      </c>
      <c r="ACH76" s="294">
        <v>-2837519.77</v>
      </c>
      <c r="ACI76" s="294">
        <v>-72516282.480000004</v>
      </c>
      <c r="ACJ76" s="294">
        <v>-5686524.0700000003</v>
      </c>
      <c r="ACK76" s="294">
        <v>-15558297.84</v>
      </c>
      <c r="ACL76" s="294">
        <v>-27724115.59</v>
      </c>
      <c r="ACM76" s="294">
        <v>-4786383.6100000003</v>
      </c>
      <c r="ACN76" s="294">
        <v>-37280154.850000001</v>
      </c>
      <c r="ACO76" s="294">
        <v>-8822729.7799999993</v>
      </c>
      <c r="ACP76" s="294">
        <v>-31298032.34</v>
      </c>
      <c r="ACQ76" s="294">
        <v>-35179482.729999997</v>
      </c>
      <c r="ACR76" s="294">
        <v>-15841190.720000001</v>
      </c>
      <c r="ACS76" s="294">
        <v>-35144119.399999999</v>
      </c>
      <c r="ACT76" s="294">
        <v>-24723727.699999999</v>
      </c>
      <c r="ACU76" s="294">
        <v>-20519080.120000001</v>
      </c>
      <c r="ACV76" s="294">
        <v>-16959672.829999998</v>
      </c>
      <c r="ACW76" s="294">
        <v>-8208612.7999999998</v>
      </c>
      <c r="ACX76" s="294">
        <v>-8045304.25</v>
      </c>
      <c r="ACY76" s="294">
        <v>-17264870.09</v>
      </c>
      <c r="ACZ76" s="294">
        <v>-8968683.0199999996</v>
      </c>
      <c r="ADA76" s="294">
        <v>-8799488.2400000002</v>
      </c>
      <c r="ADB76" s="294">
        <v>-5849926.6900000004</v>
      </c>
      <c r="ADC76" s="294">
        <v>-9145588.3300000001</v>
      </c>
      <c r="ADD76" s="294">
        <v>-4302469.4800000004</v>
      </c>
      <c r="ADE76" s="294">
        <v>-6180747.46</v>
      </c>
      <c r="ADF76" s="294">
        <v>-50855685.130000003</v>
      </c>
      <c r="ADG76" s="294">
        <v>-20081182</v>
      </c>
      <c r="ADH76" s="294">
        <v>-1144597.3700000001</v>
      </c>
      <c r="ADI76" s="294">
        <v>-3838347.99</v>
      </c>
      <c r="ADJ76" s="294">
        <v>-17678453.84</v>
      </c>
      <c r="ADK76" s="294">
        <v>-565838.93000000005</v>
      </c>
      <c r="ADL76" s="294">
        <v>-2735614.04</v>
      </c>
      <c r="ADM76" s="294">
        <v>-8422529.7200000007</v>
      </c>
      <c r="ADN76" s="294">
        <v>-15119754.289999999</v>
      </c>
      <c r="ADO76" s="294">
        <v>-99323493.950000003</v>
      </c>
      <c r="ADP76" s="294">
        <v>-14729850.189999999</v>
      </c>
      <c r="ADQ76" s="294">
        <v>-10387796.130000001</v>
      </c>
      <c r="ADR76" s="294">
        <v>-3218554.36</v>
      </c>
      <c r="ADS76" s="294">
        <v>-33393095.350000001</v>
      </c>
      <c r="ADT76" s="294">
        <v>-1643245.42</v>
      </c>
      <c r="ADU76" s="294">
        <v>-5408577.6100000003</v>
      </c>
      <c r="ADV76" s="294">
        <v>0</v>
      </c>
      <c r="ADW76" s="294">
        <v>-1942583.88</v>
      </c>
      <c r="ADX76" s="294">
        <v>-208170.35</v>
      </c>
      <c r="ADY76" s="294">
        <v>-80037806.819999993</v>
      </c>
      <c r="ADZ76" s="294">
        <v>-38217244.68</v>
      </c>
      <c r="AEA76" s="294">
        <v>-41782740.759999998</v>
      </c>
      <c r="AEB76" s="294">
        <v>-11470816.23</v>
      </c>
      <c r="AEC76" s="294">
        <v>-2814860.99</v>
      </c>
      <c r="AED76" s="294">
        <v>-17400912.399999999</v>
      </c>
      <c r="AEE76" s="294">
        <v>-16026150.109999999</v>
      </c>
      <c r="AEF76" s="294">
        <v>-8649559.75</v>
      </c>
      <c r="AEG76" s="294">
        <v>-7373667.7400000002</v>
      </c>
      <c r="AEH76" s="294">
        <v>-1579877.01</v>
      </c>
      <c r="AEI76" s="294">
        <v>-9729861.5500000007</v>
      </c>
      <c r="AEJ76" s="294">
        <v>-10555338.01</v>
      </c>
      <c r="AEK76" s="294">
        <v>-1368897.35</v>
      </c>
      <c r="AEL76" s="294">
        <v>-5345704.62</v>
      </c>
      <c r="AEM76" s="294">
        <v>-10470803.59</v>
      </c>
      <c r="AEN76" s="294">
        <v>-9367010.4399999995</v>
      </c>
      <c r="AEO76" s="294">
        <v>-844732.48</v>
      </c>
      <c r="AEP76" s="294">
        <v>-30029572.09</v>
      </c>
      <c r="AEQ76" s="294">
        <v>-2057425.14</v>
      </c>
      <c r="AER76" s="294">
        <v>-15955931.210000001</v>
      </c>
      <c r="AES76" s="294">
        <v>-35180979.579999998</v>
      </c>
      <c r="AET76" s="294">
        <v>-16044028.550000001</v>
      </c>
      <c r="AEU76" s="294">
        <v>-3451097.8</v>
      </c>
      <c r="AEV76" s="294">
        <v>-11019798.65</v>
      </c>
      <c r="AEW76" s="294">
        <v>-5427255.3300000001</v>
      </c>
      <c r="AEX76" s="294">
        <v>-42930684.270000003</v>
      </c>
      <c r="AEY76" s="294">
        <v>-11911874.82</v>
      </c>
      <c r="AEZ76" s="294">
        <v>-14955283.73</v>
      </c>
      <c r="AFA76" s="294">
        <v>-11056391.210000001</v>
      </c>
      <c r="AFB76" s="294">
        <v>-3332945.84</v>
      </c>
      <c r="AFC76" s="294">
        <v>-31273433.199999999</v>
      </c>
      <c r="AFD76" s="294">
        <v>-169208.35</v>
      </c>
      <c r="AFE76" s="294">
        <v>-8467027.7899999991</v>
      </c>
      <c r="AFF76" s="294">
        <v>-3393364.91</v>
      </c>
      <c r="AFG76" s="294">
        <v>-5085172.99</v>
      </c>
      <c r="AFH76" s="294">
        <v>-5942458.4500000002</v>
      </c>
      <c r="AFI76" s="294">
        <v>-3360168.14</v>
      </c>
      <c r="AFJ76" s="294">
        <v>-3606042.41</v>
      </c>
      <c r="AFK76" s="294">
        <v>-1385574.05</v>
      </c>
      <c r="AFL76" s="294">
        <v>-8291657.7800000003</v>
      </c>
      <c r="AFM76" s="294">
        <v>-2830484.64</v>
      </c>
      <c r="AFN76" s="294">
        <v>-2274065.3199999998</v>
      </c>
      <c r="AFO76" s="294">
        <v>-5447799.3300000001</v>
      </c>
      <c r="AFP76" s="294">
        <v>-44789136.700000003</v>
      </c>
      <c r="AFQ76" s="294">
        <v>-5916961.8499999996</v>
      </c>
      <c r="AFR76" s="294">
        <v>-5346165.63</v>
      </c>
      <c r="AFS76" s="294">
        <v>-3473394.15</v>
      </c>
      <c r="AFT76" s="294">
        <v>-5040091.51</v>
      </c>
      <c r="AFU76" s="294">
        <v>-2642338.06</v>
      </c>
      <c r="AFV76" s="294">
        <v>-2136743.2000000002</v>
      </c>
      <c r="AFW76" s="294">
        <v>-6354194.4400000004</v>
      </c>
      <c r="AFX76" s="294">
        <v>-7719828.29</v>
      </c>
      <c r="AFY76" s="294">
        <v>-2496176.17</v>
      </c>
      <c r="AFZ76" s="294">
        <v>-13783443.23</v>
      </c>
      <c r="AGA76" s="294">
        <v>-2525398.2799999998</v>
      </c>
      <c r="AGB76" s="294">
        <v>-29130306.760000002</v>
      </c>
      <c r="AGC76" s="294">
        <v>-6104678.4299999997</v>
      </c>
      <c r="AGD76" s="294">
        <v>-6522995.1799999997</v>
      </c>
      <c r="AGE76" s="294">
        <v>-8324997.4100000001</v>
      </c>
      <c r="AGF76" s="294">
        <v>-20070371.620000001</v>
      </c>
      <c r="AGG76" s="294">
        <v>-10858764.779999999</v>
      </c>
      <c r="AGH76" s="294">
        <v>-1357404.83</v>
      </c>
      <c r="AGI76" s="294">
        <v>-5886880.9800000004</v>
      </c>
      <c r="AGJ76" s="294">
        <v>-943605.05</v>
      </c>
      <c r="AGK76" s="294">
        <v>-3720283.27</v>
      </c>
      <c r="AGL76" s="294">
        <v>-3867167.31</v>
      </c>
      <c r="AGM76" s="294">
        <v>-810113.4</v>
      </c>
      <c r="AGN76" s="294">
        <v>-10581326.529999999</v>
      </c>
      <c r="AGO76" s="294">
        <v>-2276357.41</v>
      </c>
      <c r="AGP76" s="294">
        <v>-1541175.29</v>
      </c>
      <c r="AGQ76" s="294">
        <v>-2433531.64</v>
      </c>
      <c r="AGR76" s="294">
        <v>-5665744.96</v>
      </c>
      <c r="AGS76" s="294">
        <v>-2025243.85</v>
      </c>
      <c r="AGT76" s="294">
        <v>-1187696.77</v>
      </c>
      <c r="AGU76" s="294">
        <v>-611120</v>
      </c>
      <c r="AGV76" s="294"/>
      <c r="AGW76" s="294">
        <v>-10025652.59</v>
      </c>
      <c r="AGX76" s="294">
        <v>-6549195.5199999996</v>
      </c>
      <c r="AGY76" s="294">
        <v>-9155111.3399999999</v>
      </c>
      <c r="AGZ76" s="294">
        <v>-2286632.73</v>
      </c>
      <c r="AHA76" s="294">
        <v>-4849336.0999999996</v>
      </c>
      <c r="AHB76" s="294">
        <v>-5630717.1500000004</v>
      </c>
      <c r="AHC76" s="294">
        <v>-1462993.48</v>
      </c>
      <c r="AHD76" s="294">
        <v>-21717151.739999998</v>
      </c>
      <c r="AHE76" s="294">
        <v>-10338027.16</v>
      </c>
      <c r="AHF76" s="294">
        <v>-3102282.24</v>
      </c>
      <c r="AHG76" s="294">
        <v>-3621238.36</v>
      </c>
      <c r="AHH76" s="294">
        <v>-4485768.3600000003</v>
      </c>
      <c r="AHI76" s="294">
        <v>-1046222.96</v>
      </c>
      <c r="AHJ76" s="294">
        <v>-1934368.33</v>
      </c>
      <c r="AHK76" s="294">
        <v>-3182434.57</v>
      </c>
      <c r="AHL76" s="294">
        <v>-246650.53</v>
      </c>
      <c r="AHM76" s="294">
        <v>-1114308.43</v>
      </c>
      <c r="AHN76" s="294">
        <v>-2053948.64</v>
      </c>
      <c r="AHO76" s="294">
        <v>-3116717.37</v>
      </c>
      <c r="AHP76" s="294">
        <v>-4978627.82</v>
      </c>
      <c r="AHQ76" s="294">
        <v>-1546519.22</v>
      </c>
      <c r="AHR76" s="331">
        <v>-4266312.1399999997</v>
      </c>
      <c r="AHS76" s="294">
        <f>SUM(D76:AHR76)</f>
        <v>-11043972116.896103</v>
      </c>
      <c r="AHT76" s="269" t="b">
        <f t="shared" si="52"/>
        <v>1</v>
      </c>
      <c r="AHU76" s="269" t="s">
        <v>6278</v>
      </c>
      <c r="AHV76" s="269" t="s">
        <v>6095</v>
      </c>
      <c r="AHW76" s="269" t="s">
        <v>6096</v>
      </c>
    </row>
    <row r="77" spans="1:907" ht="24.6" x14ac:dyDescent="0.7">
      <c r="A77" s="268" t="s">
        <v>6278</v>
      </c>
      <c r="B77" s="268" t="s">
        <v>6097</v>
      </c>
      <c r="C77" s="269" t="s">
        <v>6098</v>
      </c>
      <c r="D77" s="294">
        <v>-879624.65</v>
      </c>
      <c r="E77" s="294">
        <v>-1676499.21</v>
      </c>
      <c r="F77" s="294">
        <v>-3560046.66</v>
      </c>
      <c r="G77" s="294">
        <v>-443173.84</v>
      </c>
      <c r="H77" s="294">
        <v>-10744990.529999999</v>
      </c>
      <c r="I77" s="294">
        <v>-274010</v>
      </c>
      <c r="J77" s="294">
        <v>-4206619.8899999997</v>
      </c>
      <c r="K77" s="294">
        <v>-9750</v>
      </c>
      <c r="L77" s="294">
        <v>-1792714.84</v>
      </c>
      <c r="M77" s="294">
        <v>-2839186.02</v>
      </c>
      <c r="N77" s="294">
        <v>-2651272.5099999998</v>
      </c>
      <c r="O77" s="294">
        <v>-575724.57999999996</v>
      </c>
      <c r="P77" s="294">
        <v>-2116755.4</v>
      </c>
      <c r="Q77" s="294">
        <v>-1075880.8999999999</v>
      </c>
      <c r="R77" s="294">
        <v>-781558.96</v>
      </c>
      <c r="S77" s="294">
        <v>-5815143.6600000001</v>
      </c>
      <c r="T77" s="294">
        <v>-1351988.63</v>
      </c>
      <c r="U77" s="294">
        <v>-468797.4</v>
      </c>
      <c r="V77" s="294">
        <v>-124553.8</v>
      </c>
      <c r="W77" s="294">
        <v>-10893794.68</v>
      </c>
      <c r="X77" s="294">
        <v>-881462</v>
      </c>
      <c r="Y77" s="294">
        <v>-845092.05</v>
      </c>
      <c r="Z77" s="294">
        <v>-2344967.42</v>
      </c>
      <c r="AA77" s="294">
        <v>-1593663.61</v>
      </c>
      <c r="AB77" s="294">
        <v>-583196.28</v>
      </c>
      <c r="AC77" s="294">
        <v>-27147829.079999998</v>
      </c>
      <c r="AD77" s="294">
        <v>-2452568.77</v>
      </c>
      <c r="AE77" s="294">
        <v>-2663746.7999999998</v>
      </c>
      <c r="AF77" s="294">
        <v>-10639528.27</v>
      </c>
      <c r="AG77" s="294">
        <v>-1297541.6000000001</v>
      </c>
      <c r="AH77" s="294">
        <v>-15828756.449999999</v>
      </c>
      <c r="AI77" s="294">
        <v>-4061909.32</v>
      </c>
      <c r="AJ77" s="294">
        <v>-2152039.0699999998</v>
      </c>
      <c r="AK77" s="294">
        <v>-1161740.3500000001</v>
      </c>
      <c r="AL77" s="294">
        <v>-1756675.61</v>
      </c>
      <c r="AM77" s="294">
        <v>-2612411.4500000002</v>
      </c>
      <c r="AN77" s="294">
        <v>-497806.4</v>
      </c>
      <c r="AO77" s="294">
        <v>-1789497.91</v>
      </c>
      <c r="AP77" s="294">
        <v>-956126.99</v>
      </c>
      <c r="AQ77" s="294">
        <v>-940662.58</v>
      </c>
      <c r="AR77" s="294">
        <v>-792895.77</v>
      </c>
      <c r="AS77" s="294">
        <v>-1189386.8999999999</v>
      </c>
      <c r="AT77" s="294">
        <v>-20188623.219999999</v>
      </c>
      <c r="AU77" s="294">
        <v>-387168.41</v>
      </c>
      <c r="AV77" s="294">
        <v>-157115.76999999999</v>
      </c>
      <c r="AW77" s="294">
        <v>-783899.28</v>
      </c>
      <c r="AX77" s="294">
        <v>-106840</v>
      </c>
      <c r="AY77" s="294">
        <v>-2239448.6399999997</v>
      </c>
      <c r="AZ77" s="294">
        <v>-43906.5</v>
      </c>
      <c r="BA77" s="294">
        <v>-530184.23</v>
      </c>
      <c r="BB77" s="294">
        <v>-163128.74</v>
      </c>
      <c r="BC77" s="294">
        <v>-141211.27000000002</v>
      </c>
      <c r="BD77" s="294">
        <v>-386903.74</v>
      </c>
      <c r="BE77" s="294">
        <v>-289580.55</v>
      </c>
      <c r="BF77" s="294">
        <v>-1969255.5</v>
      </c>
      <c r="BG77" s="294">
        <v>0</v>
      </c>
      <c r="BH77" s="294">
        <v>-135802.5</v>
      </c>
      <c r="BI77" s="294">
        <v>-25408636.359999999</v>
      </c>
      <c r="BJ77" s="294">
        <v>-13054886.960000001</v>
      </c>
      <c r="BK77" s="294">
        <v>-2395642.71</v>
      </c>
      <c r="BL77" s="294">
        <v>-593120.91</v>
      </c>
      <c r="BM77" s="294">
        <v>-2315158.08</v>
      </c>
      <c r="BN77" s="294">
        <v>-1153223.95</v>
      </c>
      <c r="BO77" s="294">
        <v>-758682.03</v>
      </c>
      <c r="BP77" s="294">
        <v>-601765.27</v>
      </c>
      <c r="BQ77" s="294">
        <v>-37583.86</v>
      </c>
      <c r="BR77" s="294">
        <v>-19499451.890000001</v>
      </c>
      <c r="BS77" s="294">
        <v>-697301.84</v>
      </c>
      <c r="BT77" s="294">
        <v>-1085291.03</v>
      </c>
      <c r="BU77" s="294">
        <v>-1237522.27</v>
      </c>
      <c r="BV77" s="294">
        <v>-776665.75</v>
      </c>
      <c r="BW77" s="294">
        <v>-931347.31</v>
      </c>
      <c r="BX77" s="294">
        <v>-556913.67000000004</v>
      </c>
      <c r="BY77" s="294">
        <v>-398618.42</v>
      </c>
      <c r="BZ77" s="294">
        <v>-16848525.912999999</v>
      </c>
      <c r="CA77" s="294">
        <v>-697475.05</v>
      </c>
      <c r="CB77" s="294">
        <v>-165460.4</v>
      </c>
      <c r="CC77" s="294">
        <v>-5041046.5</v>
      </c>
      <c r="CD77" s="294">
        <v>-483282.69</v>
      </c>
      <c r="CE77" s="294">
        <v>-430006</v>
      </c>
      <c r="CF77" s="294">
        <v>-834768.67</v>
      </c>
      <c r="CG77" s="294">
        <v>-354526.5</v>
      </c>
      <c r="CH77" s="294">
        <v>-1258847.07</v>
      </c>
      <c r="CI77" s="294">
        <v>-8334246.5599999996</v>
      </c>
      <c r="CJ77" s="294">
        <v>-618033.9</v>
      </c>
      <c r="CK77" s="294">
        <v>-561175.5</v>
      </c>
      <c r="CL77" s="294">
        <v>-724175.4</v>
      </c>
      <c r="CM77" s="294">
        <v>-554119.48</v>
      </c>
      <c r="CN77" s="294">
        <v>-2062766.41</v>
      </c>
      <c r="CO77" s="294">
        <v>-134349.87</v>
      </c>
      <c r="CP77" s="294">
        <v>-745437.31</v>
      </c>
      <c r="CQ77" s="294">
        <v>-754699.58</v>
      </c>
      <c r="CR77" s="294">
        <v>-768230</v>
      </c>
      <c r="CS77" s="294">
        <v>-356730.6</v>
      </c>
      <c r="CT77" s="294">
        <v>-22332996.370000001</v>
      </c>
      <c r="CU77" s="294">
        <v>-516721.08</v>
      </c>
      <c r="CV77" s="294">
        <v>-1119111.47</v>
      </c>
      <c r="CW77" s="294">
        <v>-3037559.32</v>
      </c>
      <c r="CX77" s="294">
        <v>-143657.82999999999</v>
      </c>
      <c r="CY77" s="294">
        <v>-2632969.08</v>
      </c>
      <c r="CZ77" s="294">
        <v>-600354.54</v>
      </c>
      <c r="DA77" s="294">
        <v>-590196.6</v>
      </c>
      <c r="DB77" s="294">
        <v>-23400088.57</v>
      </c>
      <c r="DC77" s="294">
        <v>-32266130.98</v>
      </c>
      <c r="DD77" s="294">
        <v>-2539649.7200000002</v>
      </c>
      <c r="DE77" s="294">
        <v>-1374068.77</v>
      </c>
      <c r="DF77" s="294">
        <v>-2724369</v>
      </c>
      <c r="DG77" s="294">
        <v>-3313325.61</v>
      </c>
      <c r="DH77" s="294">
        <v>-3063760.18</v>
      </c>
      <c r="DI77" s="294">
        <v>-2632894.6</v>
      </c>
      <c r="DJ77" s="294">
        <v>-579181.98</v>
      </c>
      <c r="DK77" s="294">
        <v>-36548441.990000002</v>
      </c>
      <c r="DL77" s="294">
        <v>-1197549.3</v>
      </c>
      <c r="DM77" s="294">
        <v>-4078005.66</v>
      </c>
      <c r="DN77" s="294">
        <v>-1362882.42</v>
      </c>
      <c r="DO77" s="294">
        <v>-1663849.27</v>
      </c>
      <c r="DP77" s="294">
        <v>-1568043.76</v>
      </c>
      <c r="DQ77" s="294">
        <v>-4689426.7300000004</v>
      </c>
      <c r="DR77" s="294">
        <v>-1089433.0299</v>
      </c>
      <c r="DS77" s="294">
        <v>-2601936.62</v>
      </c>
      <c r="DT77" s="294">
        <v>-43615868.960000008</v>
      </c>
      <c r="DU77" s="294">
        <v>-952330.5</v>
      </c>
      <c r="DV77" s="294">
        <v>-7087032.0899999999</v>
      </c>
      <c r="DW77" s="294">
        <v>-21677694.239999998</v>
      </c>
      <c r="DX77" s="294">
        <v>-1406459.31</v>
      </c>
      <c r="DY77" s="294">
        <v>-5072471.0199999996</v>
      </c>
      <c r="DZ77" s="294">
        <v>-4757413.97</v>
      </c>
      <c r="EA77" s="294">
        <v>-388921.21</v>
      </c>
      <c r="EB77" s="294">
        <v>-2279692.2000000002</v>
      </c>
      <c r="EC77" s="294">
        <v>-3462429.91</v>
      </c>
      <c r="ED77" s="294">
        <v>-6200190.2199999997</v>
      </c>
      <c r="EE77" s="294">
        <v>-13699465.9</v>
      </c>
      <c r="EF77" s="294">
        <v>-3984311.74</v>
      </c>
      <c r="EG77" s="294">
        <v>-167926.38</v>
      </c>
      <c r="EH77" s="294">
        <v>-99266.64</v>
      </c>
      <c r="EI77" s="294">
        <v>-1899933.72</v>
      </c>
      <c r="EJ77" s="294">
        <v>-4046110</v>
      </c>
      <c r="EK77" s="294">
        <v>-3358350.84</v>
      </c>
      <c r="EL77" s="294">
        <v>-914505.21</v>
      </c>
      <c r="EM77" s="294">
        <v>-1868623.72</v>
      </c>
      <c r="EN77" s="294">
        <v>-5760</v>
      </c>
      <c r="EO77" s="294">
        <v>-563137.52</v>
      </c>
      <c r="EP77" s="294">
        <v>-1497500.84</v>
      </c>
      <c r="EQ77" s="294">
        <v>-1064802.01</v>
      </c>
      <c r="ER77" s="294">
        <v>-539208.49</v>
      </c>
      <c r="ES77" s="294">
        <v>-366370.84</v>
      </c>
      <c r="ET77" s="294">
        <v>-3909626.34</v>
      </c>
      <c r="EU77" s="294">
        <v>-1389718.28</v>
      </c>
      <c r="EV77" s="294">
        <v>-303827.84000000003</v>
      </c>
      <c r="EW77" s="294">
        <v>-68243943.629999995</v>
      </c>
      <c r="EX77" s="294">
        <v>-598404.9</v>
      </c>
      <c r="EY77" s="294">
        <v>-1332593.3600000001</v>
      </c>
      <c r="EZ77" s="294">
        <v>-1982434.57</v>
      </c>
      <c r="FA77" s="294">
        <v>-2448091.39</v>
      </c>
      <c r="FB77" s="294">
        <v>-2486618</v>
      </c>
      <c r="FC77" s="294">
        <v>-2761759.44</v>
      </c>
      <c r="FD77" s="294">
        <v>-615874</v>
      </c>
      <c r="FE77" s="294">
        <v>-1623689.44</v>
      </c>
      <c r="FF77" s="294">
        <v>-1544271.05</v>
      </c>
      <c r="FG77" s="294">
        <v>-890986.73</v>
      </c>
      <c r="FH77" s="294">
        <v>-1383693.8</v>
      </c>
      <c r="FI77" s="294">
        <v>-17355358.850000001</v>
      </c>
      <c r="FJ77" s="294">
        <v>-1042631.08</v>
      </c>
      <c r="FK77" s="294">
        <v>-3306.3</v>
      </c>
      <c r="FL77" s="294">
        <v>-331235.09999999998</v>
      </c>
      <c r="FM77" s="294">
        <v>-87025.14</v>
      </c>
      <c r="FN77" s="294">
        <v>-661029.44999999995</v>
      </c>
      <c r="FO77" s="294">
        <v>-522706.18</v>
      </c>
      <c r="FP77" s="294">
        <v>-59328.480000000003</v>
      </c>
      <c r="FQ77" s="294">
        <v>-3394067.19</v>
      </c>
      <c r="FR77" s="294">
        <v>-1095966.26</v>
      </c>
      <c r="FS77" s="294">
        <v>-3267491.31</v>
      </c>
      <c r="FT77" s="294">
        <v>-2420663.44</v>
      </c>
      <c r="FU77" s="294">
        <v>-2674214.15</v>
      </c>
      <c r="FV77" s="294">
        <v>-903012.22</v>
      </c>
      <c r="FW77" s="294">
        <v>-3684823.54</v>
      </c>
      <c r="FX77" s="294">
        <v>-2433831.11</v>
      </c>
      <c r="FY77" s="294">
        <v>-1643843.16</v>
      </c>
      <c r="FZ77" s="294">
        <v>-1201870.69</v>
      </c>
      <c r="GA77" s="294">
        <v>-6658044.2800000003</v>
      </c>
      <c r="GB77" s="294">
        <v>-743744.43</v>
      </c>
      <c r="GC77" s="294">
        <v>-736410.1</v>
      </c>
      <c r="GD77" s="294">
        <v>-338840.7</v>
      </c>
      <c r="GE77" s="294">
        <v>-1404727.32</v>
      </c>
      <c r="GF77" s="294">
        <v>-734928.7</v>
      </c>
      <c r="GG77" s="294">
        <v>-460784.79</v>
      </c>
      <c r="GH77" s="294">
        <v>-6739830.4900000002</v>
      </c>
      <c r="GI77" s="294">
        <v>-1791720.35</v>
      </c>
      <c r="GJ77" s="294">
        <v>-264839.2</v>
      </c>
      <c r="GK77" s="294">
        <v>-832297.77</v>
      </c>
      <c r="GL77" s="294">
        <v>-4767899.82</v>
      </c>
      <c r="GM77" s="294">
        <v>-330722.59999999998</v>
      </c>
      <c r="GN77" s="294">
        <v>-295805</v>
      </c>
      <c r="GO77" s="294">
        <v>-347186.81</v>
      </c>
      <c r="GP77" s="294">
        <v>-544874.30000000005</v>
      </c>
      <c r="GQ77" s="294">
        <v>-14126289.68</v>
      </c>
      <c r="GR77" s="294">
        <v>-458053.69</v>
      </c>
      <c r="GS77" s="294">
        <v>-1332013.5900000001</v>
      </c>
      <c r="GT77" s="294">
        <v>-2339727.5699999998</v>
      </c>
      <c r="GU77" s="294">
        <v>-8700</v>
      </c>
      <c r="GV77" s="294">
        <v>0</v>
      </c>
      <c r="GW77" s="294">
        <v>-376029.11</v>
      </c>
      <c r="GX77" s="294">
        <v>-42928.4</v>
      </c>
      <c r="GY77" s="294">
        <v>-20930235.34</v>
      </c>
      <c r="GZ77" s="294">
        <v>-114499.6</v>
      </c>
      <c r="HA77" s="294">
        <v>-4713313.71</v>
      </c>
      <c r="HB77" s="294">
        <v>-1849139.84</v>
      </c>
      <c r="HC77" s="294">
        <v>-4146837</v>
      </c>
      <c r="HD77" s="294"/>
      <c r="HE77" s="294">
        <v>-3605665.3</v>
      </c>
      <c r="HF77" s="294">
        <v>-8216190.4800000004</v>
      </c>
      <c r="HG77" s="294">
        <v>-2913548.27</v>
      </c>
      <c r="HH77" s="294">
        <v>-910975.99</v>
      </c>
      <c r="HI77" s="294">
        <v>-74482</v>
      </c>
      <c r="HJ77" s="294">
        <v>-19860663.579999998</v>
      </c>
      <c r="HK77" s="294">
        <v>-1091151.5</v>
      </c>
      <c r="HL77" s="294">
        <v>-8823081.2300000004</v>
      </c>
      <c r="HM77" s="294">
        <v>-1040622.04</v>
      </c>
      <c r="HN77" s="294">
        <v>-158934</v>
      </c>
      <c r="HO77" s="294">
        <v>-1710095.55</v>
      </c>
      <c r="HP77" s="294">
        <v>-3045022.99</v>
      </c>
      <c r="HQ77" s="294">
        <v>-1772406.29</v>
      </c>
      <c r="HR77" s="294">
        <v>-1070622.5</v>
      </c>
      <c r="HS77" s="294">
        <v>-28129194.640000001</v>
      </c>
      <c r="HT77" s="294">
        <v>-3065367.27</v>
      </c>
      <c r="HU77" s="294">
        <v>-1615043.55</v>
      </c>
      <c r="HV77" s="294">
        <v>-1703544.7</v>
      </c>
      <c r="HW77" s="294">
        <v>-829586.3</v>
      </c>
      <c r="HX77" s="294">
        <v>-8696193.6899999995</v>
      </c>
      <c r="HY77" s="294">
        <v>-3552085.69</v>
      </c>
      <c r="HZ77" s="294">
        <v>-1128526.1599999999</v>
      </c>
      <c r="IA77" s="294">
        <v>-4100809.4</v>
      </c>
      <c r="IB77" s="294">
        <v>-1210398.48</v>
      </c>
      <c r="IC77" s="294">
        <v>-3109320.9</v>
      </c>
      <c r="ID77" s="294">
        <v>-448055.1</v>
      </c>
      <c r="IE77" s="294">
        <v>-1870628.06</v>
      </c>
      <c r="IF77" s="294">
        <v>-1761384.72</v>
      </c>
      <c r="IG77" s="294">
        <v>-1221281.2</v>
      </c>
      <c r="IH77" s="294">
        <v>-56433475.869999997</v>
      </c>
      <c r="II77" s="294">
        <v>-28660</v>
      </c>
      <c r="IJ77" s="294">
        <v>-447946.99</v>
      </c>
      <c r="IK77" s="294">
        <v>-7227964.1100000003</v>
      </c>
      <c r="IL77" s="294">
        <v>-11723617.810000001</v>
      </c>
      <c r="IM77" s="294">
        <v>-420563.77</v>
      </c>
      <c r="IN77" s="294">
        <v>-1427026.38</v>
      </c>
      <c r="IO77" s="294">
        <v>-1633637.09</v>
      </c>
      <c r="IP77" s="294">
        <v>-932749.94</v>
      </c>
      <c r="IQ77" s="294">
        <v>-1501005.7</v>
      </c>
      <c r="IR77" s="294">
        <v>-1021712.1</v>
      </c>
      <c r="IS77" s="294">
        <v>-34051056</v>
      </c>
      <c r="IT77" s="294">
        <v>-9474296.1899999995</v>
      </c>
      <c r="IU77" s="294">
        <v>-444566.75</v>
      </c>
      <c r="IV77" s="294">
        <v>-1976654.7</v>
      </c>
      <c r="IW77" s="294">
        <v>-1172532.5</v>
      </c>
      <c r="IX77" s="294">
        <v>159727.16</v>
      </c>
      <c r="IY77" s="294">
        <v>-1573299</v>
      </c>
      <c r="IZ77" s="294">
        <v>-186243</v>
      </c>
      <c r="JA77" s="294">
        <v>-529981.5</v>
      </c>
      <c r="JB77" s="294">
        <v>-502746.2</v>
      </c>
      <c r="JC77" s="294">
        <v>-1443634.14</v>
      </c>
      <c r="JD77" s="294">
        <v>-1163023.6399999999</v>
      </c>
      <c r="JE77" s="294">
        <v>-230565.4</v>
      </c>
      <c r="JF77" s="294">
        <v>-6884589.6100000003</v>
      </c>
      <c r="JG77" s="294">
        <v>-817993</v>
      </c>
      <c r="JH77" s="294">
        <v>-974371.3</v>
      </c>
      <c r="JI77" s="294">
        <v>-768948.34</v>
      </c>
      <c r="JJ77" s="294">
        <v>-280195.46000000002</v>
      </c>
      <c r="JK77" s="294">
        <v>-28566188.550000001</v>
      </c>
      <c r="JL77" s="294">
        <v>-1269399.78</v>
      </c>
      <c r="JM77" s="294">
        <v>-2152248.17</v>
      </c>
      <c r="JN77" s="294">
        <v>-4721780.72</v>
      </c>
      <c r="JO77" s="294">
        <v>-1236995.1599999999</v>
      </c>
      <c r="JP77" s="294">
        <v>-4074673.9</v>
      </c>
      <c r="JQ77" s="294">
        <v>-751272.9</v>
      </c>
      <c r="JR77" s="294">
        <v>-1421003.2</v>
      </c>
      <c r="JS77" s="294">
        <v>-4280</v>
      </c>
      <c r="JT77" s="294">
        <v>-713317.2</v>
      </c>
      <c r="JU77" s="294">
        <v>-48897.1</v>
      </c>
      <c r="JV77" s="294">
        <v>-1821644</v>
      </c>
      <c r="JW77" s="294">
        <v>-217028.8</v>
      </c>
      <c r="JX77" s="294">
        <v>-6964568.46</v>
      </c>
      <c r="JY77" s="294">
        <v>-2771388.84</v>
      </c>
      <c r="JZ77" s="294">
        <v>-2306252.13</v>
      </c>
      <c r="KA77" s="294">
        <v>-3808408.22</v>
      </c>
      <c r="KB77" s="294">
        <v>-1233687.1399999999</v>
      </c>
      <c r="KC77" s="294">
        <v>-1451094.72</v>
      </c>
      <c r="KD77" s="294">
        <v>-934996.55</v>
      </c>
      <c r="KE77" s="294">
        <v>-194220.3</v>
      </c>
      <c r="KF77" s="294">
        <v>-646461.29</v>
      </c>
      <c r="KG77" s="294">
        <v>-1024682.74</v>
      </c>
      <c r="KH77" s="294">
        <v>-77889591.090000004</v>
      </c>
      <c r="KI77" s="294">
        <v>-8038359.4199999999</v>
      </c>
      <c r="KJ77" s="294">
        <v>-861774.53</v>
      </c>
      <c r="KK77" s="294">
        <v>-1089215.6599999999</v>
      </c>
      <c r="KL77" s="294">
        <v>-543096.5</v>
      </c>
      <c r="KM77" s="294">
        <v>-2438400.11</v>
      </c>
      <c r="KN77" s="294">
        <v>-19650504.57</v>
      </c>
      <c r="KO77" s="294">
        <v>-1386434.53</v>
      </c>
      <c r="KP77" s="294">
        <v>-1611543.52</v>
      </c>
      <c r="KQ77" s="294">
        <v>-24930992.66</v>
      </c>
      <c r="KR77" s="294">
        <v>-1757963.66</v>
      </c>
      <c r="KS77" s="294">
        <v>-1430974.21</v>
      </c>
      <c r="KT77" s="294">
        <v>-20773555.329999998</v>
      </c>
      <c r="KU77" s="294">
        <v>-878287.54</v>
      </c>
      <c r="KV77" s="294">
        <v>-2976388.05</v>
      </c>
      <c r="KW77" s="294">
        <v>-28469586</v>
      </c>
      <c r="KX77" s="294">
        <v>-2170051.44</v>
      </c>
      <c r="KY77" s="294">
        <v>-31230978.52</v>
      </c>
      <c r="KZ77" s="294">
        <v>-1941895.92</v>
      </c>
      <c r="LA77" s="294">
        <v>-879346.92</v>
      </c>
      <c r="LB77" s="294">
        <v>-1267816.97</v>
      </c>
      <c r="LC77" s="294">
        <v>-1949387</v>
      </c>
      <c r="LD77" s="294">
        <v>-1636910.13</v>
      </c>
      <c r="LE77" s="294">
        <v>-1854816.35</v>
      </c>
      <c r="LF77" s="294">
        <v>-1761170.6300000001</v>
      </c>
      <c r="LG77" s="294">
        <v>-145077.29999999999</v>
      </c>
      <c r="LH77" s="294">
        <v>-19050</v>
      </c>
      <c r="LI77" s="294">
        <v>-383861.39</v>
      </c>
      <c r="LJ77" s="294">
        <v>-12711609.879999999</v>
      </c>
      <c r="LK77" s="294">
        <v>-3239192.37</v>
      </c>
      <c r="LL77" s="294">
        <v>-1223072.3900000001</v>
      </c>
      <c r="LM77" s="294">
        <v>-256938.87</v>
      </c>
      <c r="LN77" s="294">
        <v>-1894316.4600000002</v>
      </c>
      <c r="LO77" s="294">
        <v>-4056369.26</v>
      </c>
      <c r="LP77" s="294">
        <v>-4186857.06</v>
      </c>
      <c r="LQ77" s="294">
        <v>-400820.8</v>
      </c>
      <c r="LR77" s="294">
        <v>-15642021.259999998</v>
      </c>
      <c r="LS77" s="294">
        <v>-2992490.77</v>
      </c>
      <c r="LT77" s="294">
        <v>-1337739.1100000001</v>
      </c>
      <c r="LU77" s="294">
        <v>-21243654.84</v>
      </c>
      <c r="LV77" s="294">
        <v>-6587480.4500000002</v>
      </c>
      <c r="LW77" s="294">
        <v>-75686535.400000006</v>
      </c>
      <c r="LX77" s="294">
        <v>-17269535.809999999</v>
      </c>
      <c r="LY77" s="294">
        <v>-1949098.05</v>
      </c>
      <c r="LZ77" s="294">
        <v>-4493025.04</v>
      </c>
      <c r="MA77" s="294">
        <v>-1043319.85</v>
      </c>
      <c r="MB77" s="294">
        <v>-1267547.83</v>
      </c>
      <c r="MC77" s="294">
        <v>-5066296.95</v>
      </c>
      <c r="MD77" s="294">
        <v>-3053346.62</v>
      </c>
      <c r="ME77" s="294">
        <v>-7236870.4699999997</v>
      </c>
      <c r="MF77" s="294">
        <v>-2413776.75</v>
      </c>
      <c r="MG77" s="294">
        <v>-115837627.98999999</v>
      </c>
      <c r="MH77" s="294">
        <v>-1639028.7</v>
      </c>
      <c r="MI77" s="294">
        <v>-283931.40999999997</v>
      </c>
      <c r="MJ77" s="294">
        <v>-489107.39</v>
      </c>
      <c r="MK77" s="294">
        <v>-634946.67000000004</v>
      </c>
      <c r="ML77" s="294">
        <v>-1084934.7</v>
      </c>
      <c r="MM77" s="294">
        <v>-1740500.34</v>
      </c>
      <c r="MN77" s="294">
        <v>-794072.44</v>
      </c>
      <c r="MO77" s="294">
        <v>-3181459.85</v>
      </c>
      <c r="MP77" s="294">
        <v>-1254760.6299999999</v>
      </c>
      <c r="MQ77" s="294">
        <v>-108957</v>
      </c>
      <c r="MR77" s="294">
        <v>-44780</v>
      </c>
      <c r="MS77" s="294">
        <v>-1428000</v>
      </c>
      <c r="MT77" s="294">
        <v>-2806793.16</v>
      </c>
      <c r="MU77" s="294">
        <v>-1788400.35</v>
      </c>
      <c r="MV77" s="294">
        <v>-5651681.0999999996</v>
      </c>
      <c r="MW77" s="294">
        <v>-6538699.5899999999</v>
      </c>
      <c r="MX77" s="294">
        <v>-1983603.48</v>
      </c>
      <c r="MY77" s="294">
        <v>-4326013.5997000001</v>
      </c>
      <c r="MZ77" s="294">
        <v>-7318990.5200000005</v>
      </c>
      <c r="NA77" s="294">
        <v>-1069071.1100000001</v>
      </c>
      <c r="NB77" s="294">
        <v>-930182.07</v>
      </c>
      <c r="NC77" s="294">
        <v>-241797.5</v>
      </c>
      <c r="ND77" s="294">
        <v>-916502</v>
      </c>
      <c r="NE77" s="294">
        <v>-928028.36</v>
      </c>
      <c r="NF77" s="294">
        <v>-757299</v>
      </c>
      <c r="NG77" s="294">
        <v>-37212400.630000003</v>
      </c>
      <c r="NH77" s="294">
        <v>-1327786.08</v>
      </c>
      <c r="NI77" s="294">
        <v>-2762689.83</v>
      </c>
      <c r="NJ77" s="294">
        <v>-12890149.949999999</v>
      </c>
      <c r="NK77" s="294">
        <v>-10124501.949999999</v>
      </c>
      <c r="NL77" s="294">
        <v>-108081.5</v>
      </c>
      <c r="NM77" s="294">
        <v>-1292818.21</v>
      </c>
      <c r="NN77" s="294">
        <v>-107719</v>
      </c>
      <c r="NO77" s="294">
        <v>-1604947.19</v>
      </c>
      <c r="NP77" s="294">
        <v>-4081919.79</v>
      </c>
      <c r="NQ77" s="294">
        <v>-49726.22</v>
      </c>
      <c r="NR77" s="294">
        <v>-426011.5</v>
      </c>
      <c r="NS77" s="294">
        <v>-127869.6</v>
      </c>
      <c r="NT77" s="294">
        <v>-123378.68</v>
      </c>
      <c r="NU77" s="294">
        <v>-98413.85</v>
      </c>
      <c r="NV77" s="294">
        <v>-263114.71000000002</v>
      </c>
      <c r="NW77" s="294">
        <v>-6920</v>
      </c>
      <c r="NX77" s="294">
        <v>-6837395.1399999997</v>
      </c>
      <c r="NY77" s="294">
        <v>-996015.74</v>
      </c>
      <c r="NZ77" s="294">
        <v>-1225524.48</v>
      </c>
      <c r="OA77" s="294">
        <v>-1446604.5</v>
      </c>
      <c r="OB77" s="294">
        <v>-2847416.54</v>
      </c>
      <c r="OC77" s="294">
        <v>-648664.96</v>
      </c>
      <c r="OD77" s="294">
        <v>-1272806.1000000001</v>
      </c>
      <c r="OE77" s="294">
        <v>-22195888.59</v>
      </c>
      <c r="OF77" s="294">
        <v>-706053.29</v>
      </c>
      <c r="OG77" s="294">
        <v>-10468529.710000001</v>
      </c>
      <c r="OH77" s="294">
        <v>-1576072.48</v>
      </c>
      <c r="OI77" s="294">
        <v>-2813272.5</v>
      </c>
      <c r="OJ77" s="294">
        <v>-9672802.4399999995</v>
      </c>
      <c r="OK77" s="294">
        <v>-619839.79</v>
      </c>
      <c r="OL77" s="294">
        <v>-2246685.0499999998</v>
      </c>
      <c r="OM77" s="294">
        <v>-6068211</v>
      </c>
      <c r="ON77" s="294">
        <v>-7635888.0599999996</v>
      </c>
      <c r="OO77" s="294">
        <v>-13827285.130000001</v>
      </c>
      <c r="OP77" s="294">
        <v>-1795765.58</v>
      </c>
      <c r="OQ77" s="294">
        <v>-3457091.25</v>
      </c>
      <c r="OR77" s="294">
        <v>-2342998.77</v>
      </c>
      <c r="OS77" s="294">
        <v>-540716.85</v>
      </c>
      <c r="OT77" s="294">
        <v>-957439.6</v>
      </c>
      <c r="OU77" s="294">
        <v>-496612.4</v>
      </c>
      <c r="OV77" s="294">
        <v>-961463.2</v>
      </c>
      <c r="OW77" s="294">
        <v>-1096751.3500000001</v>
      </c>
      <c r="OX77" s="294">
        <v>-7394041.0800000001</v>
      </c>
      <c r="OY77" s="294">
        <v>-1515783.08</v>
      </c>
      <c r="OZ77" s="294">
        <v>-581810.96</v>
      </c>
      <c r="PA77" s="294">
        <v>-100591</v>
      </c>
      <c r="PB77" s="294">
        <v>-21167197.23</v>
      </c>
      <c r="PC77" s="294">
        <v>-696781</v>
      </c>
      <c r="PD77" s="294">
        <v>-7666027.79</v>
      </c>
      <c r="PE77" s="294">
        <v>-345467.45</v>
      </c>
      <c r="PF77" s="294">
        <v>-1238407.94</v>
      </c>
      <c r="PG77" s="294">
        <v>-5668319.8099999996</v>
      </c>
      <c r="PH77" s="294">
        <v>-2281271.17</v>
      </c>
      <c r="PI77" s="294">
        <v>-1215109.1100000001</v>
      </c>
      <c r="PJ77" s="294">
        <v>-3004660.76</v>
      </c>
      <c r="PK77" s="294">
        <v>-3057387.2</v>
      </c>
      <c r="PL77" s="294">
        <v>-1077350.9099999999</v>
      </c>
      <c r="PM77" s="294">
        <v>-1970829.05</v>
      </c>
      <c r="PN77" s="294">
        <v>-92540</v>
      </c>
      <c r="PO77" s="294">
        <v>-15346384.390000001</v>
      </c>
      <c r="PP77" s="294">
        <v>-1593304.5</v>
      </c>
      <c r="PQ77" s="294">
        <v>-1780881.03</v>
      </c>
      <c r="PR77" s="294">
        <v>-1409533.51</v>
      </c>
      <c r="PS77" s="294">
        <v>-1045467.15</v>
      </c>
      <c r="PT77" s="294">
        <v>-129047881.3</v>
      </c>
      <c r="PU77" s="294">
        <v>-2028700.6</v>
      </c>
      <c r="PV77" s="294">
        <v>0</v>
      </c>
      <c r="PW77" s="294">
        <v>-1829035</v>
      </c>
      <c r="PX77" s="294">
        <v>-28959431.030000001</v>
      </c>
      <c r="PY77" s="294">
        <v>-4420180.3600000003</v>
      </c>
      <c r="PZ77" s="294">
        <v>-11269269.93</v>
      </c>
      <c r="QA77" s="294">
        <v>-2644213.2799999998</v>
      </c>
      <c r="QB77" s="294">
        <v>-5505559.8600000003</v>
      </c>
      <c r="QC77" s="294">
        <v>-884968.25</v>
      </c>
      <c r="QD77" s="294">
        <v>-8393031.8000000007</v>
      </c>
      <c r="QE77" s="294">
        <v>-5510593.5</v>
      </c>
      <c r="QF77" s="294">
        <v>-1219131.21</v>
      </c>
      <c r="QG77" s="294">
        <v>-247257</v>
      </c>
      <c r="QH77" s="294">
        <v>-6761481.4299999997</v>
      </c>
      <c r="QI77" s="294">
        <v>-1810022.11</v>
      </c>
      <c r="QJ77" s="294">
        <v>-2561724.5699999998</v>
      </c>
      <c r="QK77" s="294">
        <v>-2572724.41</v>
      </c>
      <c r="QL77" s="294">
        <v>-2377012.9700000002</v>
      </c>
      <c r="QM77" s="294">
        <v>-8499742.5999999996</v>
      </c>
      <c r="QN77" s="294">
        <v>-21886089.829999998</v>
      </c>
      <c r="QO77" s="294">
        <v>-1398346.87</v>
      </c>
      <c r="QP77" s="294">
        <v>-538052.65</v>
      </c>
      <c r="QQ77" s="294">
        <v>-916971.9</v>
      </c>
      <c r="QR77" s="294">
        <v>-411389.7</v>
      </c>
      <c r="QS77" s="294">
        <v>-745182.45</v>
      </c>
      <c r="QT77" s="294">
        <v>-65053991.43</v>
      </c>
      <c r="QU77" s="294">
        <v>-984942.35</v>
      </c>
      <c r="QV77" s="294">
        <v>-5929558.3300000001</v>
      </c>
      <c r="QW77" s="294">
        <v>-1001465.74</v>
      </c>
      <c r="QX77" s="294">
        <v>-713695.55</v>
      </c>
      <c r="QY77" s="294">
        <v>-7155798.9199999999</v>
      </c>
      <c r="QZ77" s="294">
        <v>-3463954.23</v>
      </c>
      <c r="RA77" s="294">
        <v>-4762097.78</v>
      </c>
      <c r="RB77" s="294">
        <v>-1942767.7</v>
      </c>
      <c r="RC77" s="294">
        <v>-350388</v>
      </c>
      <c r="RD77" s="294">
        <v>-2113552.5</v>
      </c>
      <c r="RE77" s="294">
        <v>-253272.55</v>
      </c>
      <c r="RF77" s="294">
        <v>-227296.5</v>
      </c>
      <c r="RG77" s="294">
        <v>-77387459.579999998</v>
      </c>
      <c r="RH77" s="294">
        <v>-12247012.91</v>
      </c>
      <c r="RI77" s="294">
        <v>-61447</v>
      </c>
      <c r="RJ77" s="294">
        <v>-893674.47</v>
      </c>
      <c r="RK77" s="294">
        <v>-2775685.75</v>
      </c>
      <c r="RL77" s="294">
        <v>-1773753.64</v>
      </c>
      <c r="RM77" s="294">
        <v>-4197991.8499999996</v>
      </c>
      <c r="RN77" s="294">
        <v>-1419894.3</v>
      </c>
      <c r="RO77" s="294">
        <v>-1027090.5</v>
      </c>
      <c r="RP77" s="294">
        <v>-4982274.2300000004</v>
      </c>
      <c r="RQ77" s="294">
        <v>-12956292.59</v>
      </c>
      <c r="RR77" s="294">
        <v>-2101355.5499999998</v>
      </c>
      <c r="RS77" s="294">
        <v>-961458.5</v>
      </c>
      <c r="RT77" s="294">
        <v>-2000287.6</v>
      </c>
      <c r="RU77" s="294">
        <v>-273050</v>
      </c>
      <c r="RV77" s="294">
        <v>-278337.8</v>
      </c>
      <c r="RW77" s="294">
        <v>-1075504.1000000001</v>
      </c>
      <c r="RX77" s="294">
        <v>-1643578.7</v>
      </c>
      <c r="RY77" s="294">
        <v>-832800.15</v>
      </c>
      <c r="RZ77" s="294">
        <v>-1883584.99</v>
      </c>
      <c r="SA77" s="294">
        <v>-17464604.57</v>
      </c>
      <c r="SB77" s="294">
        <v>-1903375.2</v>
      </c>
      <c r="SC77" s="294">
        <v>-1834370.8</v>
      </c>
      <c r="SD77" s="294">
        <v>-1226071.79</v>
      </c>
      <c r="SE77" s="294">
        <v>-1770401.61</v>
      </c>
      <c r="SF77" s="294">
        <v>-1267959.7899999998</v>
      </c>
      <c r="SG77" s="294">
        <v>-2547791.0499999998</v>
      </c>
      <c r="SH77" s="294">
        <v>-3853871.66</v>
      </c>
      <c r="SI77" s="294">
        <v>-1296695.32</v>
      </c>
      <c r="SJ77" s="294">
        <v>-584736.86</v>
      </c>
      <c r="SK77" s="294">
        <v>-17373280.91</v>
      </c>
      <c r="SL77" s="294">
        <v>-280870.84999999998</v>
      </c>
      <c r="SM77" s="294">
        <v>-22911378.059999999</v>
      </c>
      <c r="SN77" s="294">
        <v>-2468515.85</v>
      </c>
      <c r="SO77" s="294">
        <v>-3508675.34</v>
      </c>
      <c r="SP77" s="294">
        <v>-5779836.1799999997</v>
      </c>
      <c r="SQ77" s="294">
        <v>-1203311.56</v>
      </c>
      <c r="SR77" s="294">
        <v>-647697.19999999995</v>
      </c>
      <c r="SS77" s="294">
        <v>-939429.27</v>
      </c>
      <c r="ST77" s="294">
        <v>-1318453.8999999999</v>
      </c>
      <c r="SU77" s="294">
        <v>-36144237.649999999</v>
      </c>
      <c r="SV77" s="294">
        <v>-1803218.3</v>
      </c>
      <c r="SW77" s="294">
        <v>-1983389.49</v>
      </c>
      <c r="SX77" s="294">
        <v>-2806596.9</v>
      </c>
      <c r="SY77" s="294">
        <v>-616980.55000000005</v>
      </c>
      <c r="SZ77" s="294">
        <v>-841971.65</v>
      </c>
      <c r="TA77" s="294">
        <v>-678448.9</v>
      </c>
      <c r="TB77" s="294">
        <v>-4289532.34</v>
      </c>
      <c r="TC77" s="294">
        <v>-2267851.2000000002</v>
      </c>
      <c r="TD77" s="294">
        <v>-2084936.84</v>
      </c>
      <c r="TE77" s="294">
        <v>-1642511.86</v>
      </c>
      <c r="TF77" s="294">
        <v>-3566016.1</v>
      </c>
      <c r="TG77" s="294">
        <v>-1064872.79</v>
      </c>
      <c r="TH77" s="294">
        <v>-1373660.21</v>
      </c>
      <c r="TI77" s="294">
        <v>-171592017.41</v>
      </c>
      <c r="TJ77" s="294">
        <v>-3927764.4</v>
      </c>
      <c r="TK77" s="294">
        <v>-3034145.75</v>
      </c>
      <c r="TL77" s="294">
        <v>-16760373.08</v>
      </c>
      <c r="TM77" s="294">
        <v>-3168851.93</v>
      </c>
      <c r="TN77" s="294">
        <v>-988168.14</v>
      </c>
      <c r="TO77" s="294">
        <v>-418133.6</v>
      </c>
      <c r="TP77" s="294">
        <v>-2453822.16</v>
      </c>
      <c r="TQ77" s="294">
        <v>-1013379.59</v>
      </c>
      <c r="TR77" s="294">
        <v>-5569026.3200000003</v>
      </c>
      <c r="TS77" s="294">
        <v>-3058710.4</v>
      </c>
      <c r="TT77" s="294">
        <v>-1472469.2</v>
      </c>
      <c r="TU77" s="294">
        <v>-1447829.91</v>
      </c>
      <c r="TV77" s="294">
        <v>-2052040.28</v>
      </c>
      <c r="TW77" s="294">
        <v>-2743027.98</v>
      </c>
      <c r="TX77" s="294">
        <v>-1033504.26</v>
      </c>
      <c r="TY77" s="294">
        <v>-16077095.23</v>
      </c>
      <c r="TZ77" s="294">
        <v>-413257.9</v>
      </c>
      <c r="UA77" s="294">
        <v>-25412327.100000001</v>
      </c>
      <c r="UB77" s="294">
        <v>-7804436.4900000002</v>
      </c>
      <c r="UC77" s="294">
        <v>-2390259.9</v>
      </c>
      <c r="UD77" s="294">
        <v>-1657004.5</v>
      </c>
      <c r="UE77" s="294">
        <v>-73257485.730000004</v>
      </c>
      <c r="UF77" s="294">
        <v>-1170734.9099999999</v>
      </c>
      <c r="UG77" s="294">
        <v>-1483450</v>
      </c>
      <c r="UH77" s="294">
        <v>-2777592.19</v>
      </c>
      <c r="UI77" s="294">
        <v>-2434666.5</v>
      </c>
      <c r="UJ77" s="294">
        <v>-25800124.599999994</v>
      </c>
      <c r="UK77" s="294">
        <v>-5894832.3099999996</v>
      </c>
      <c r="UL77" s="294">
        <v>-2930974.19</v>
      </c>
      <c r="UM77" s="294">
        <v>-8591086.3300000001</v>
      </c>
      <c r="UN77" s="294">
        <v>-5031437.3</v>
      </c>
      <c r="UO77" s="294">
        <v>-2201282</v>
      </c>
      <c r="UP77" s="294">
        <v>-159858530.47999999</v>
      </c>
      <c r="UQ77" s="294">
        <v>-3905370.01</v>
      </c>
      <c r="UR77" s="294">
        <v>-4728044.1100000003</v>
      </c>
      <c r="US77" s="294">
        <v>-26812181.719999999</v>
      </c>
      <c r="UT77" s="294">
        <v>-820334.39</v>
      </c>
      <c r="UU77" s="294">
        <v>-2378624</v>
      </c>
      <c r="UV77" s="294">
        <v>-9301083.6400000006</v>
      </c>
      <c r="UW77" s="294">
        <v>-1632748.69</v>
      </c>
      <c r="UX77" s="294">
        <v>-2415771.5</v>
      </c>
      <c r="UY77" s="294">
        <v>-248971</v>
      </c>
      <c r="UZ77" s="294">
        <v>-2637506.7000000002</v>
      </c>
      <c r="VA77" s="294">
        <v>-6678303.0499999998</v>
      </c>
      <c r="VB77" s="294">
        <v>-4043792.06</v>
      </c>
      <c r="VC77" s="294">
        <v>-3954565.73</v>
      </c>
      <c r="VD77" s="294">
        <v>-1636956.09</v>
      </c>
      <c r="VE77" s="294">
        <v>-1480413.1</v>
      </c>
      <c r="VF77" s="294">
        <v>-1174986.8999999999</v>
      </c>
      <c r="VG77" s="294">
        <v>-2224230.96</v>
      </c>
      <c r="VH77" s="294">
        <v>-6505215.0899999999</v>
      </c>
      <c r="VI77" s="294">
        <v>-2154331.7999999998</v>
      </c>
      <c r="VJ77" s="294">
        <v>-1533970.14</v>
      </c>
      <c r="VK77" s="294">
        <v>-700271.72</v>
      </c>
      <c r="VL77" s="294">
        <v>-82908482.890000001</v>
      </c>
      <c r="VM77" s="294">
        <v>-1673516.18</v>
      </c>
      <c r="VN77" s="294">
        <v>-1951233.39</v>
      </c>
      <c r="VO77" s="294">
        <v>-5177922.05</v>
      </c>
      <c r="VP77" s="294">
        <v>-9407844.4700000007</v>
      </c>
      <c r="VQ77" s="294">
        <v>-2858270.18</v>
      </c>
      <c r="VR77" s="294">
        <v>-1584188.51</v>
      </c>
      <c r="VS77" s="294">
        <v>-875593.54</v>
      </c>
      <c r="VT77" s="294">
        <v>-1737421.97</v>
      </c>
      <c r="VU77" s="294">
        <v>-13096544.5</v>
      </c>
      <c r="VV77" s="294">
        <v>-1165144.48</v>
      </c>
      <c r="VW77" s="294">
        <v>-6290704.7600000007</v>
      </c>
      <c r="VX77" s="294">
        <v>-2260675.75</v>
      </c>
      <c r="VY77" s="294">
        <v>-597734.52</v>
      </c>
      <c r="VZ77" s="294">
        <v>-473507.19</v>
      </c>
      <c r="WA77" s="294">
        <v>-54910051.090000004</v>
      </c>
      <c r="WB77" s="294">
        <v>-3215650.98</v>
      </c>
      <c r="WC77" s="294">
        <v>-2571409.7799999998</v>
      </c>
      <c r="WD77" s="294">
        <v>-399348.22</v>
      </c>
      <c r="WE77" s="294">
        <v>-1592160.4</v>
      </c>
      <c r="WF77" s="294">
        <v>-3054195.22</v>
      </c>
      <c r="WG77" s="294">
        <v>-5769170.0599999996</v>
      </c>
      <c r="WH77" s="294">
        <v>-2956380.71</v>
      </c>
      <c r="WI77" s="294">
        <v>-2322553.11</v>
      </c>
      <c r="WJ77" s="294">
        <v>-5275956.6500000004</v>
      </c>
      <c r="WK77" s="294">
        <v>-60400.2</v>
      </c>
      <c r="WL77" s="294">
        <v>-6279781.5899999999</v>
      </c>
      <c r="WM77" s="294">
        <v>-1168798.28</v>
      </c>
      <c r="WN77" s="294">
        <v>-5880396.8700000001</v>
      </c>
      <c r="WO77" s="294">
        <v>-11166010.42</v>
      </c>
      <c r="WP77" s="294">
        <v>-1029433.4199999999</v>
      </c>
      <c r="WQ77" s="294">
        <v>-1191483.2</v>
      </c>
      <c r="WR77" s="294">
        <v>-1425485.6</v>
      </c>
      <c r="WS77" s="294">
        <v>-1631675.78</v>
      </c>
      <c r="WT77" s="294">
        <v>-6180436.9699999997</v>
      </c>
      <c r="WU77" s="294">
        <v>-16648362.970000001</v>
      </c>
      <c r="WV77" s="294">
        <v>-3680057.12</v>
      </c>
      <c r="WW77" s="294">
        <v>-2447586.1800000002</v>
      </c>
      <c r="WX77" s="294">
        <v>-1990445.02</v>
      </c>
      <c r="WY77" s="294">
        <v>-2122054.89</v>
      </c>
      <c r="WZ77" s="294">
        <v>-2640008.2400000002</v>
      </c>
      <c r="XA77" s="294">
        <v>-1714447.33</v>
      </c>
      <c r="XB77" s="294">
        <v>-2070980.6</v>
      </c>
      <c r="XC77" s="294">
        <v>-14487451.800000001</v>
      </c>
      <c r="XD77" s="294">
        <v>-1479798.41</v>
      </c>
      <c r="XE77" s="294">
        <v>-931694.01</v>
      </c>
      <c r="XF77" s="294">
        <v>-76537.8</v>
      </c>
      <c r="XG77" s="294">
        <v>-1942775.09</v>
      </c>
      <c r="XH77" s="294">
        <v>-13219737.57</v>
      </c>
      <c r="XI77" s="294">
        <v>-5479126.0599999996</v>
      </c>
      <c r="XJ77" s="294">
        <v>-4218822.0999999996</v>
      </c>
      <c r="XK77" s="294">
        <v>-16072201.01</v>
      </c>
      <c r="XL77" s="294">
        <v>-3739195.24</v>
      </c>
      <c r="XM77" s="294">
        <v>-1730202.49</v>
      </c>
      <c r="XN77" s="294">
        <v>-10184332.75</v>
      </c>
      <c r="XO77" s="294">
        <v>-973737.21</v>
      </c>
      <c r="XP77" s="294">
        <v>-2685160.79</v>
      </c>
      <c r="XQ77" s="294">
        <v>-5223783.5599999996</v>
      </c>
      <c r="XR77" s="294">
        <v>-4794970.5999999996</v>
      </c>
      <c r="XS77" s="294">
        <v>-722517.56</v>
      </c>
      <c r="XT77" s="294">
        <v>-1360229</v>
      </c>
      <c r="XU77" s="294">
        <v>-607503.43999999994</v>
      </c>
      <c r="XV77" s="294">
        <v>-1402794.68</v>
      </c>
      <c r="XW77" s="294">
        <v>-1104633.08</v>
      </c>
      <c r="XX77" s="294">
        <v>-479379.4</v>
      </c>
      <c r="XY77" s="294">
        <v>-2387721.75</v>
      </c>
      <c r="XZ77" s="294">
        <v>-1215848.2</v>
      </c>
      <c r="YA77" s="294">
        <v>-901925.2</v>
      </c>
      <c r="YB77" s="294">
        <v>-1257364.52</v>
      </c>
      <c r="YC77" s="294">
        <v>-1995414</v>
      </c>
      <c r="YD77" s="294">
        <v>-944405</v>
      </c>
      <c r="YE77" s="294">
        <v>-50868854.659999996</v>
      </c>
      <c r="YF77" s="294">
        <v>-758209.19</v>
      </c>
      <c r="YG77" s="294">
        <v>-5650838.7400000002</v>
      </c>
      <c r="YH77" s="294">
        <v>-1571621.32</v>
      </c>
      <c r="YI77" s="294">
        <v>-12425356.689999999</v>
      </c>
      <c r="YJ77" s="294">
        <v>-1674685.3</v>
      </c>
      <c r="YK77" s="294">
        <v>-3962019.67</v>
      </c>
      <c r="YL77" s="294">
        <v>-478537.2</v>
      </c>
      <c r="YM77" s="294">
        <v>-32180004</v>
      </c>
      <c r="YN77" s="294">
        <v>-13495724.710000001</v>
      </c>
      <c r="YO77" s="294">
        <v>-1870930.8</v>
      </c>
      <c r="YP77" s="294">
        <v>-1704579.25</v>
      </c>
      <c r="YQ77" s="294">
        <v>-3738369.4</v>
      </c>
      <c r="YR77" s="294">
        <v>-448450.62</v>
      </c>
      <c r="YS77" s="294">
        <v>-1532922.15</v>
      </c>
      <c r="YT77" s="294">
        <v>-3290963.6</v>
      </c>
      <c r="YU77" s="294">
        <v>-1241131.69</v>
      </c>
      <c r="YV77" s="294">
        <v>-23740220.270000003</v>
      </c>
      <c r="YW77" s="294">
        <v>-1529926.37</v>
      </c>
      <c r="YX77" s="294">
        <v>-721674</v>
      </c>
      <c r="YY77" s="294">
        <v>-312497.3</v>
      </c>
      <c r="YZ77" s="294">
        <v>-1679727.71</v>
      </c>
      <c r="ZA77" s="294">
        <v>-1128792</v>
      </c>
      <c r="ZB77" s="294">
        <v>-495313.99</v>
      </c>
      <c r="ZC77" s="294">
        <v>-28617173.379999999</v>
      </c>
      <c r="ZD77" s="294">
        <v>-135013</v>
      </c>
      <c r="ZE77" s="294">
        <v>-1893912</v>
      </c>
      <c r="ZF77" s="294">
        <v>-1783045.24</v>
      </c>
      <c r="ZG77" s="294">
        <v>-1717954.2</v>
      </c>
      <c r="ZH77" s="294">
        <v>-1010719.75</v>
      </c>
      <c r="ZI77" s="294">
        <v>-1209621.23</v>
      </c>
      <c r="ZJ77" s="294">
        <v>-494113.8</v>
      </c>
      <c r="ZK77" s="294">
        <v>-9303172.5899999999</v>
      </c>
      <c r="ZL77" s="294">
        <v>-78312076.299999997</v>
      </c>
      <c r="ZM77" s="294">
        <v>-2152753.15</v>
      </c>
      <c r="ZN77" s="294">
        <v>-5631090.5099999998</v>
      </c>
      <c r="ZO77" s="294">
        <v>-10698138.880000001</v>
      </c>
      <c r="ZP77" s="294">
        <v>-4193942.57</v>
      </c>
      <c r="ZQ77" s="294">
        <v>-748706</v>
      </c>
      <c r="ZR77" s="294">
        <v>-2692927.16</v>
      </c>
      <c r="ZS77" s="294">
        <v>-2013051.4</v>
      </c>
      <c r="ZT77" s="294">
        <v>-2166370.5699999998</v>
      </c>
      <c r="ZU77" s="294">
        <v>-8721818.2799999993</v>
      </c>
      <c r="ZV77" s="294">
        <v>-896893.02</v>
      </c>
      <c r="ZW77" s="294">
        <v>-1369637.48</v>
      </c>
      <c r="ZX77" s="294">
        <v>-2281525.2000000002</v>
      </c>
      <c r="ZY77" s="294">
        <v>-2589084.54</v>
      </c>
      <c r="ZZ77" s="294">
        <v>-1870246.8</v>
      </c>
      <c r="AAA77" s="294">
        <v>-2077156.35</v>
      </c>
      <c r="AAB77" s="294">
        <v>-2186007.9</v>
      </c>
      <c r="AAC77" s="294">
        <v>-561495.4</v>
      </c>
      <c r="AAD77" s="294">
        <v>-2340282.71</v>
      </c>
      <c r="AAE77" s="294">
        <v>-316665.25</v>
      </c>
      <c r="AAF77" s="294">
        <v>-756854.1</v>
      </c>
      <c r="AAG77" s="294">
        <v>-1758914.86</v>
      </c>
      <c r="AAH77" s="294">
        <v>-19504135.82</v>
      </c>
      <c r="AAI77" s="294">
        <v>-2131538.81</v>
      </c>
      <c r="AAJ77" s="294">
        <v>-1675881.78</v>
      </c>
      <c r="AAK77" s="294">
        <v>-1599674.72</v>
      </c>
      <c r="AAL77" s="294">
        <v>-1392134.2</v>
      </c>
      <c r="AAM77" s="294">
        <v>-5193690.8899999997</v>
      </c>
      <c r="AAN77" s="294">
        <v>-649761.38</v>
      </c>
      <c r="AAO77" s="294">
        <v>-220977200.44</v>
      </c>
      <c r="AAP77" s="294">
        <v>-2285021.56</v>
      </c>
      <c r="AAQ77" s="294">
        <v>-2170580.6</v>
      </c>
      <c r="AAR77" s="294">
        <v>-3576296.39</v>
      </c>
      <c r="AAS77" s="294">
        <v>-4481713.3899999997</v>
      </c>
      <c r="AAT77" s="294">
        <v>-1145490.9099999999</v>
      </c>
      <c r="AAU77" s="294">
        <v>-2222889.5699999998</v>
      </c>
      <c r="AAV77" s="294">
        <v>-811180</v>
      </c>
      <c r="AAW77" s="294">
        <v>-20165050.079999998</v>
      </c>
      <c r="AAX77" s="294">
        <v>-2088996.41</v>
      </c>
      <c r="AAY77" s="294">
        <v>-5065508.3899999997</v>
      </c>
      <c r="AAZ77" s="294">
        <v>-28448522.899999999</v>
      </c>
      <c r="ABA77" s="294">
        <v>-6236991.7699999996</v>
      </c>
      <c r="ABB77" s="294">
        <v>-1884067.2</v>
      </c>
      <c r="ABC77" s="294">
        <v>-5377843.8600000003</v>
      </c>
      <c r="ABD77" s="294">
        <v>-2561817.6000000001</v>
      </c>
      <c r="ABE77" s="294">
        <v>-920667.66</v>
      </c>
      <c r="ABF77" s="294">
        <v>-1049221.24</v>
      </c>
      <c r="ABG77" s="294">
        <v>-1629799.85</v>
      </c>
      <c r="ABH77" s="294">
        <v>-26986220.260000002</v>
      </c>
      <c r="ABI77" s="294">
        <v>-19311024.870000001</v>
      </c>
      <c r="ABJ77" s="294">
        <v>-3116113.31</v>
      </c>
      <c r="ABK77" s="294">
        <v>-817452.25</v>
      </c>
      <c r="ABL77" s="294">
        <v>-640602.6</v>
      </c>
      <c r="ABM77" s="294">
        <v>-782602.6</v>
      </c>
      <c r="ABN77" s="294">
        <v>-1065130.3700000001</v>
      </c>
      <c r="ABO77" s="294">
        <v>-20637517.989999998</v>
      </c>
      <c r="ABP77" s="294">
        <v>-189450</v>
      </c>
      <c r="ABQ77" s="294">
        <v>-2571369.69</v>
      </c>
      <c r="ABR77" s="294">
        <v>-1563465.33</v>
      </c>
      <c r="ABS77" s="294">
        <v>-1846618.9</v>
      </c>
      <c r="ABT77" s="294">
        <v>-1207466.21</v>
      </c>
      <c r="ABU77" s="294">
        <v>-443065.24</v>
      </c>
      <c r="ABV77" s="294">
        <v>-2135184.0499999998</v>
      </c>
      <c r="ABW77" s="294">
        <v>-38267.5</v>
      </c>
      <c r="ABX77" s="294">
        <v>-4021549</v>
      </c>
      <c r="ABY77" s="294">
        <v>-1258429.24</v>
      </c>
      <c r="ABZ77" s="294">
        <v>-1990420.6</v>
      </c>
      <c r="ACA77" s="294">
        <v>-1026214.6</v>
      </c>
      <c r="ACB77" s="294">
        <v>-321475.78999999998</v>
      </c>
      <c r="ACC77" s="294">
        <v>-18365173.239999998</v>
      </c>
      <c r="ACD77" s="294">
        <v>-437849.22</v>
      </c>
      <c r="ACE77" s="294">
        <v>-523755.35</v>
      </c>
      <c r="ACF77" s="294">
        <v>-1013845.75</v>
      </c>
      <c r="ACG77" s="294">
        <v>-35230</v>
      </c>
      <c r="ACH77" s="294">
        <v>-1936041.65</v>
      </c>
      <c r="ACI77" s="294">
        <v>-43929071.420000002</v>
      </c>
      <c r="ACJ77" s="294">
        <v>-1960474.24</v>
      </c>
      <c r="ACK77" s="294">
        <v>-305553.99</v>
      </c>
      <c r="ACL77" s="294">
        <v>-297892</v>
      </c>
      <c r="ACM77" s="294">
        <v>-90460</v>
      </c>
      <c r="ACN77" s="294">
        <v>-3085691.63</v>
      </c>
      <c r="ACO77" s="294">
        <v>-2374508.67</v>
      </c>
      <c r="ACP77" s="294">
        <v>-18483584.010000002</v>
      </c>
      <c r="ACQ77" s="294">
        <v>-16077256.65</v>
      </c>
      <c r="ACR77" s="294">
        <v>-2070062.78</v>
      </c>
      <c r="ACS77" s="294">
        <v>-1580424.62</v>
      </c>
      <c r="ACT77" s="294">
        <v>-1210874.8</v>
      </c>
      <c r="ACU77" s="294">
        <v>-4110767.33</v>
      </c>
      <c r="ACV77" s="294">
        <v>-13560762.199999999</v>
      </c>
      <c r="ACW77" s="294">
        <v>-1159081.3899999999</v>
      </c>
      <c r="ACX77" s="294">
        <v>-829691.19</v>
      </c>
      <c r="ACY77" s="294">
        <v>-850643.17</v>
      </c>
      <c r="ACZ77" s="294">
        <v>-121250</v>
      </c>
      <c r="ADA77" s="294">
        <v>-350468</v>
      </c>
      <c r="ADB77" s="294">
        <v>-426847.3</v>
      </c>
      <c r="ADC77" s="294">
        <v>-1771913.18</v>
      </c>
      <c r="ADD77" s="294">
        <v>-722152.76</v>
      </c>
      <c r="ADE77" s="294">
        <v>-1445799.46</v>
      </c>
      <c r="ADF77" s="294">
        <v>-10757917.380000001</v>
      </c>
      <c r="ADG77" s="294">
        <v>-6564311.2199999997</v>
      </c>
      <c r="ADH77" s="294">
        <v>0</v>
      </c>
      <c r="ADI77" s="294">
        <v>-740938.65</v>
      </c>
      <c r="ADJ77" s="294">
        <v>-1910281</v>
      </c>
      <c r="ADK77" s="294">
        <v>-104413.42</v>
      </c>
      <c r="ADL77" s="294">
        <v>-1209767.75</v>
      </c>
      <c r="ADM77" s="294">
        <v>-1423559.54</v>
      </c>
      <c r="ADN77" s="294">
        <v>-2214027.2400000002</v>
      </c>
      <c r="ADO77" s="294">
        <v>-87065879.590000004</v>
      </c>
      <c r="ADP77" s="294">
        <v>-3640307.38</v>
      </c>
      <c r="ADQ77" s="294">
        <v>-4539319.87</v>
      </c>
      <c r="ADR77" s="294">
        <v>-1278466.69</v>
      </c>
      <c r="ADS77" s="294">
        <v>-35237893.240000002</v>
      </c>
      <c r="ADT77" s="294">
        <v>-219651.7</v>
      </c>
      <c r="ADU77" s="294">
        <v>-1279123.6399999999</v>
      </c>
      <c r="ADV77" s="294">
        <v>-610026.02</v>
      </c>
      <c r="ADW77" s="294">
        <v>-743513.11</v>
      </c>
      <c r="ADX77" s="294">
        <v>-3835.88</v>
      </c>
      <c r="ADY77" s="294">
        <v>-179462082.75999999</v>
      </c>
      <c r="ADZ77" s="294">
        <v>-25729418.219999999</v>
      </c>
      <c r="AEA77" s="294">
        <v>-10220382.77</v>
      </c>
      <c r="AEB77" s="294">
        <v>-3147653.47</v>
      </c>
      <c r="AEC77" s="294">
        <v>-684881.97</v>
      </c>
      <c r="AED77" s="294">
        <v>-3953821.31</v>
      </c>
      <c r="AEE77" s="294">
        <v>-2434019.71</v>
      </c>
      <c r="AEF77" s="294">
        <v>-1519333.75</v>
      </c>
      <c r="AEG77" s="294">
        <v>-1594940.6</v>
      </c>
      <c r="AEH77" s="294">
        <v>-1531811.15</v>
      </c>
      <c r="AEI77" s="294">
        <v>-10360</v>
      </c>
      <c r="AEJ77" s="294">
        <v>44761.8</v>
      </c>
      <c r="AEK77" s="294">
        <v>-98664.2</v>
      </c>
      <c r="AEL77" s="294">
        <v>-496364.1</v>
      </c>
      <c r="AEM77" s="294">
        <v>-4879790.8099999996</v>
      </c>
      <c r="AEN77" s="294">
        <v>-3492579.05</v>
      </c>
      <c r="AEO77" s="294">
        <v>-27000</v>
      </c>
      <c r="AEP77" s="294">
        <v>-3549515.78</v>
      </c>
      <c r="AEQ77" s="294">
        <v>-886045.38</v>
      </c>
      <c r="AER77" s="294">
        <v>-765460.61</v>
      </c>
      <c r="AES77" s="294">
        <v>-4206289.3</v>
      </c>
      <c r="AET77" s="294">
        <v>-3618938.99</v>
      </c>
      <c r="AEU77" s="294">
        <v>-1589806.63</v>
      </c>
      <c r="AEV77" s="294">
        <v>-286335.71999999997</v>
      </c>
      <c r="AEW77" s="294">
        <v>-1960702.3</v>
      </c>
      <c r="AEX77" s="294">
        <v>-9991931.6199999992</v>
      </c>
      <c r="AEY77" s="294">
        <v>-2934587.5</v>
      </c>
      <c r="AEZ77" s="294">
        <v>-4644828.25</v>
      </c>
      <c r="AFA77" s="294">
        <v>-2738927</v>
      </c>
      <c r="AFB77" s="294">
        <v>-769337.2</v>
      </c>
      <c r="AFC77" s="294">
        <v>-4780826.57</v>
      </c>
      <c r="AFD77" s="294">
        <v>-1228721.22</v>
      </c>
      <c r="AFE77" s="294">
        <v>-1823151.45</v>
      </c>
      <c r="AFF77" s="294">
        <v>-1669144</v>
      </c>
      <c r="AFG77" s="294">
        <v>-5157394.9000000004</v>
      </c>
      <c r="AFH77" s="294">
        <v>-1287540.6099999999</v>
      </c>
      <c r="AFI77" s="294">
        <v>-2019989.28</v>
      </c>
      <c r="AFJ77" s="294">
        <v>-1705039.38</v>
      </c>
      <c r="AFK77" s="294">
        <v>-855954.6</v>
      </c>
      <c r="AFL77" s="294">
        <v>-2342604.31</v>
      </c>
      <c r="AFM77" s="294">
        <v>-1378847.45</v>
      </c>
      <c r="AFN77" s="294">
        <v>-1896599.04</v>
      </c>
      <c r="AFO77" s="294">
        <v>-2315774.7000000002</v>
      </c>
      <c r="AFP77" s="294">
        <v>-29949059.170000002</v>
      </c>
      <c r="AFQ77" s="294">
        <v>-1903367</v>
      </c>
      <c r="AFR77" s="294">
        <v>-284350</v>
      </c>
      <c r="AFS77" s="294">
        <v>-261360</v>
      </c>
      <c r="AFT77" s="294">
        <v>-2098125.7600000002</v>
      </c>
      <c r="AFU77" s="294">
        <v>-1043909.1799999999</v>
      </c>
      <c r="AFV77" s="294">
        <v>-296192.95</v>
      </c>
      <c r="AFW77" s="294">
        <v>-2606878.7999999998</v>
      </c>
      <c r="AFX77" s="294">
        <v>-4286564.08</v>
      </c>
      <c r="AFY77" s="294">
        <v>-177950</v>
      </c>
      <c r="AFZ77" s="294">
        <v>-2205826.2000000002</v>
      </c>
      <c r="AGA77" s="294">
        <v>-1255545.5</v>
      </c>
      <c r="AGB77" s="294">
        <v>-7363634.2699999996</v>
      </c>
      <c r="AGC77" s="294">
        <v>-1484757.33</v>
      </c>
      <c r="AGD77" s="294">
        <v>-2224181.8199999998</v>
      </c>
      <c r="AGE77" s="294">
        <v>-1420778.29</v>
      </c>
      <c r="AGF77" s="294">
        <v>-2596638.96</v>
      </c>
      <c r="AGG77" s="294">
        <v>-1807447.95</v>
      </c>
      <c r="AGH77" s="294">
        <v>-388238.85</v>
      </c>
      <c r="AGI77" s="294">
        <v>-729224.54</v>
      </c>
      <c r="AGJ77" s="294">
        <v>-936849.54</v>
      </c>
      <c r="AGK77" s="294">
        <v>-1307622.69</v>
      </c>
      <c r="AGL77" s="294">
        <v>-1597565.6</v>
      </c>
      <c r="AGM77" s="294">
        <v>-6555725.21</v>
      </c>
      <c r="AGN77" s="294">
        <v>-3933026.31</v>
      </c>
      <c r="AGO77" s="294">
        <v>-630373.85</v>
      </c>
      <c r="AGP77" s="294">
        <v>-110630</v>
      </c>
      <c r="AGQ77" s="294">
        <v>-178689</v>
      </c>
      <c r="AGR77" s="294">
        <v>-592136.5</v>
      </c>
      <c r="AGS77" s="294">
        <v>-594188.5</v>
      </c>
      <c r="AGT77" s="294">
        <v>-395920</v>
      </c>
      <c r="AGU77" s="294">
        <v>0</v>
      </c>
      <c r="AGV77" s="294"/>
      <c r="AGW77" s="294">
        <v>-2053862.72</v>
      </c>
      <c r="AGX77" s="294">
        <v>-2245311.13</v>
      </c>
      <c r="AGY77" s="294">
        <v>-4153726.44</v>
      </c>
      <c r="AGZ77" s="294">
        <v>-162959.89000000001</v>
      </c>
      <c r="AHA77" s="294">
        <v>-1640654.8</v>
      </c>
      <c r="AHB77" s="294">
        <v>-1364479.7200000002</v>
      </c>
      <c r="AHC77" s="294">
        <v>-467079.4</v>
      </c>
      <c r="AHD77" s="294">
        <v>-3567238.25</v>
      </c>
      <c r="AHE77" s="294">
        <v>-3226138.75</v>
      </c>
      <c r="AHF77" s="294">
        <v>-2761224.63</v>
      </c>
      <c r="AHG77" s="294">
        <v>-1012625.15</v>
      </c>
      <c r="AHH77" s="294">
        <v>-1339675.8</v>
      </c>
      <c r="AHI77" s="294">
        <v>-601986.92000000004</v>
      </c>
      <c r="AHJ77" s="294">
        <v>-1170769</v>
      </c>
      <c r="AHK77" s="294">
        <v>-1465758.77</v>
      </c>
      <c r="AHL77" s="294">
        <v>-1107267.8999999999</v>
      </c>
      <c r="AHM77" s="294">
        <v>-1149126.1599999999</v>
      </c>
      <c r="AHN77" s="294">
        <v>-857422.39</v>
      </c>
      <c r="AHO77" s="294">
        <v>-1736599.03</v>
      </c>
      <c r="AHP77" s="294">
        <v>-1987474.58</v>
      </c>
      <c r="AHQ77" s="294">
        <v>-534301.38</v>
      </c>
      <c r="AHR77" s="331">
        <v>-1515302.73</v>
      </c>
      <c r="AHS77" s="294">
        <f t="shared" si="51"/>
        <v>-5138724238.4226027</v>
      </c>
      <c r="AHT77" s="269" t="b">
        <f t="shared" si="52"/>
        <v>1</v>
      </c>
      <c r="AHU77" s="269" t="s">
        <v>6278</v>
      </c>
      <c r="AHV77" s="269" t="s">
        <v>6097</v>
      </c>
      <c r="AHW77" s="269" t="s">
        <v>6098</v>
      </c>
    </row>
    <row r="78" spans="1:907" ht="24.6" x14ac:dyDescent="0.7">
      <c r="A78" s="268" t="s">
        <v>6278</v>
      </c>
      <c r="B78" s="268" t="s">
        <v>6099</v>
      </c>
      <c r="C78" s="269" t="s">
        <v>6100</v>
      </c>
      <c r="D78" s="294">
        <v>-668600</v>
      </c>
      <c r="E78" s="294">
        <v>-3061198.3</v>
      </c>
      <c r="F78" s="294">
        <v>-3973894.48</v>
      </c>
      <c r="G78" s="294">
        <v>-596370.4</v>
      </c>
      <c r="H78" s="294">
        <v>-1448936.7</v>
      </c>
      <c r="I78" s="294">
        <v>-274322</v>
      </c>
      <c r="J78" s="294">
        <v>-1963703</v>
      </c>
      <c r="K78" s="294">
        <v>-369759</v>
      </c>
      <c r="L78" s="294">
        <v>-1938303.6</v>
      </c>
      <c r="M78" s="294">
        <v>-1849357</v>
      </c>
      <c r="N78" s="294">
        <v>-1746710.5</v>
      </c>
      <c r="O78" s="294">
        <v>-560976.57999999996</v>
      </c>
      <c r="P78" s="294">
        <v>-2165826.85</v>
      </c>
      <c r="Q78" s="294">
        <v>-1206088.32</v>
      </c>
      <c r="R78" s="294">
        <v>-396012</v>
      </c>
      <c r="S78" s="294">
        <v>-7452915.0999999996</v>
      </c>
      <c r="T78" s="294">
        <v>-434998</v>
      </c>
      <c r="U78" s="294">
        <v>-256210.5</v>
      </c>
      <c r="V78" s="294">
        <v>-23130</v>
      </c>
      <c r="W78" s="294">
        <v>-2247263.06</v>
      </c>
      <c r="X78" s="294">
        <v>-672230.1</v>
      </c>
      <c r="Y78" s="294">
        <v>-271013</v>
      </c>
      <c r="Z78" s="294">
        <v>-3052042.35</v>
      </c>
      <c r="AA78" s="294">
        <v>-1297580.6000000001</v>
      </c>
      <c r="AB78" s="294">
        <v>-1117091.48</v>
      </c>
      <c r="AC78" s="294">
        <v>-12334720</v>
      </c>
      <c r="AD78" s="294">
        <v>-3422391.18</v>
      </c>
      <c r="AE78" s="294">
        <v>-6420085.6900000004</v>
      </c>
      <c r="AF78" s="294">
        <v>-10877319.369999999</v>
      </c>
      <c r="AG78" s="294">
        <v>-1363359.7</v>
      </c>
      <c r="AH78" s="294">
        <v>-13403205.300000001</v>
      </c>
      <c r="AI78" s="294">
        <v>-3850502.68</v>
      </c>
      <c r="AJ78" s="294">
        <v>-2342714.59</v>
      </c>
      <c r="AK78" s="294">
        <v>-1773793.7</v>
      </c>
      <c r="AL78" s="294">
        <v>-2583479.86</v>
      </c>
      <c r="AM78" s="294">
        <v>-6117452.4299999997</v>
      </c>
      <c r="AN78" s="294">
        <v>-230107.34</v>
      </c>
      <c r="AO78" s="294">
        <v>-4372385.41</v>
      </c>
      <c r="AP78" s="294">
        <v>-937801</v>
      </c>
      <c r="AQ78" s="294">
        <v>-1043913.76</v>
      </c>
      <c r="AR78" s="294">
        <v>-2623249.34</v>
      </c>
      <c r="AS78" s="294">
        <v>-2039612.45</v>
      </c>
      <c r="AT78" s="294">
        <v>-12848032.699999999</v>
      </c>
      <c r="AU78" s="294">
        <v>0</v>
      </c>
      <c r="AV78" s="294">
        <v>-4045</v>
      </c>
      <c r="AW78" s="294">
        <v>-419002</v>
      </c>
      <c r="AX78" s="294">
        <v>-817593.6</v>
      </c>
      <c r="AY78" s="294">
        <v>-2984135.16</v>
      </c>
      <c r="AZ78" s="294">
        <v>-426519</v>
      </c>
      <c r="BA78" s="294">
        <v>-643279</v>
      </c>
      <c r="BB78" s="294">
        <v>-31000</v>
      </c>
      <c r="BC78" s="294">
        <v>-160149</v>
      </c>
      <c r="BD78" s="294">
        <v>-70911.78</v>
      </c>
      <c r="BE78" s="294">
        <v>-327550</v>
      </c>
      <c r="BF78" s="294">
        <v>-2676701.2200000002</v>
      </c>
      <c r="BG78" s="294">
        <v>0</v>
      </c>
      <c r="BH78" s="294">
        <v>-560785.5</v>
      </c>
      <c r="BI78" s="294">
        <v>-10100987.199999999</v>
      </c>
      <c r="BJ78" s="294">
        <v>-8289096.7000000002</v>
      </c>
      <c r="BK78" s="294">
        <v>-2062495.48</v>
      </c>
      <c r="BL78" s="294">
        <v>-682963.78</v>
      </c>
      <c r="BM78" s="294">
        <v>-3692883.16</v>
      </c>
      <c r="BN78" s="294">
        <v>-758379.84</v>
      </c>
      <c r="BO78" s="294">
        <v>-478516.06</v>
      </c>
      <c r="BP78" s="294">
        <v>-90270</v>
      </c>
      <c r="BQ78" s="294">
        <v>-13327.59</v>
      </c>
      <c r="BR78" s="294">
        <v>-8147601.5999999996</v>
      </c>
      <c r="BS78" s="294">
        <v>-435636.25</v>
      </c>
      <c r="BT78" s="294">
        <v>-180879.32</v>
      </c>
      <c r="BU78" s="294">
        <v>-1050560</v>
      </c>
      <c r="BV78" s="294">
        <v>-665159.5</v>
      </c>
      <c r="BW78" s="294">
        <v>-117690</v>
      </c>
      <c r="BX78" s="294">
        <v>-217490</v>
      </c>
      <c r="BY78" s="294">
        <v>-156542</v>
      </c>
      <c r="BZ78" s="294">
        <v>-9973544.5199999996</v>
      </c>
      <c r="CA78" s="294">
        <v>-1885351</v>
      </c>
      <c r="CB78" s="294">
        <v>-3583340.7</v>
      </c>
      <c r="CC78" s="294">
        <v>-8808406.1600000001</v>
      </c>
      <c r="CD78" s="294">
        <v>-1457242.37</v>
      </c>
      <c r="CE78" s="294">
        <v>-1303781</v>
      </c>
      <c r="CF78" s="294">
        <v>-2471092.85</v>
      </c>
      <c r="CG78" s="294">
        <v>-204385</v>
      </c>
      <c r="CH78" s="294">
        <v>-767526.56</v>
      </c>
      <c r="CI78" s="294">
        <v>-3635840.4</v>
      </c>
      <c r="CJ78" s="294">
        <v>-690483.98</v>
      </c>
      <c r="CK78" s="294">
        <v>-820053.44</v>
      </c>
      <c r="CL78" s="294">
        <v>-1276182.8899999999</v>
      </c>
      <c r="CM78" s="294">
        <v>-1086673.96</v>
      </c>
      <c r="CN78" s="294">
        <v>-2057790.94</v>
      </c>
      <c r="CO78" s="294">
        <v>-191291.55</v>
      </c>
      <c r="CP78" s="294">
        <v>-1064214.68</v>
      </c>
      <c r="CQ78" s="294">
        <v>-696779.87</v>
      </c>
      <c r="CR78" s="294">
        <v>-1740714.47</v>
      </c>
      <c r="CS78" s="294">
        <v>-478282.42</v>
      </c>
      <c r="CT78" s="294">
        <v>-22362186.800000001</v>
      </c>
      <c r="CU78" s="294">
        <v>-549729.96</v>
      </c>
      <c r="CV78" s="294">
        <v>-1623738.6</v>
      </c>
      <c r="CW78" s="294">
        <v>-1601842</v>
      </c>
      <c r="CX78" s="294">
        <v>-250497</v>
      </c>
      <c r="CY78" s="294">
        <v>-1570139.5</v>
      </c>
      <c r="CZ78" s="294">
        <v>-742895.28</v>
      </c>
      <c r="DA78" s="294">
        <v>-991257</v>
      </c>
      <c r="DB78" s="294">
        <v>-25578395.18</v>
      </c>
      <c r="DC78" s="294">
        <v>-24114645.449999999</v>
      </c>
      <c r="DD78" s="294">
        <v>-1835387.15</v>
      </c>
      <c r="DE78" s="294">
        <v>-2990743</v>
      </c>
      <c r="DF78" s="294">
        <v>-3630626.5</v>
      </c>
      <c r="DG78" s="294">
        <v>-1788043.75</v>
      </c>
      <c r="DH78" s="294">
        <v>-4869472.28</v>
      </c>
      <c r="DI78" s="294">
        <v>-3828036.65</v>
      </c>
      <c r="DJ78" s="294">
        <v>-1139362</v>
      </c>
      <c r="DK78" s="294">
        <v>-8521863.6899999995</v>
      </c>
      <c r="DL78" s="294">
        <v>-1939962.7</v>
      </c>
      <c r="DM78" s="294">
        <v>-9300</v>
      </c>
      <c r="DN78" s="294">
        <v>-971045.21</v>
      </c>
      <c r="DO78" s="294">
        <v>-23830</v>
      </c>
      <c r="DP78" s="294">
        <v>-2189567.5499999998</v>
      </c>
      <c r="DQ78" s="294">
        <v>-4479774</v>
      </c>
      <c r="DR78" s="294">
        <v>-951833</v>
      </c>
      <c r="DS78" s="294">
        <v>-1278931</v>
      </c>
      <c r="DT78" s="294">
        <v>-10436669.92</v>
      </c>
      <c r="DU78" s="294">
        <v>-4459907.5999999996</v>
      </c>
      <c r="DV78" s="294">
        <v>-6037878.25</v>
      </c>
      <c r="DW78" s="294">
        <v>-8368457</v>
      </c>
      <c r="DX78" s="294">
        <v>-4634639</v>
      </c>
      <c r="DY78" s="294">
        <v>-8153169.9900000002</v>
      </c>
      <c r="DZ78" s="294">
        <v>-3305458.5</v>
      </c>
      <c r="EA78" s="294">
        <v>-533329</v>
      </c>
      <c r="EB78" s="294">
        <v>-3418411.83</v>
      </c>
      <c r="EC78" s="294">
        <v>-1339951.25</v>
      </c>
      <c r="ED78" s="294">
        <v>-5725352.75</v>
      </c>
      <c r="EE78" s="294">
        <v>-56209</v>
      </c>
      <c r="EF78" s="294">
        <v>-214741.5</v>
      </c>
      <c r="EG78" s="294">
        <v>-1746390.11</v>
      </c>
      <c r="EH78" s="294">
        <v>-1313017</v>
      </c>
      <c r="EI78" s="294">
        <v>-2309166.31</v>
      </c>
      <c r="EJ78" s="294">
        <v>-3562518.99</v>
      </c>
      <c r="EK78" s="294">
        <v>-1437392</v>
      </c>
      <c r="EL78" s="294">
        <v>-1428435.5</v>
      </c>
      <c r="EM78" s="294">
        <v>-991977.89</v>
      </c>
      <c r="EN78" s="294"/>
      <c r="EO78" s="294">
        <v>-2448879</v>
      </c>
      <c r="EP78" s="294">
        <v>-1852922.6</v>
      </c>
      <c r="EQ78" s="294">
        <v>-1647282.15</v>
      </c>
      <c r="ER78" s="294">
        <v>-372027.75</v>
      </c>
      <c r="ES78" s="294">
        <v>-449972</v>
      </c>
      <c r="ET78" s="294">
        <v>-1213585.21</v>
      </c>
      <c r="EU78" s="294">
        <v>-4946338.2</v>
      </c>
      <c r="EV78" s="294">
        <v>-2979459.69</v>
      </c>
      <c r="EW78" s="294">
        <v>-60073433.130000003</v>
      </c>
      <c r="EX78" s="294">
        <v>-226770</v>
      </c>
      <c r="EY78" s="294">
        <v>-111451</v>
      </c>
      <c r="EZ78" s="294">
        <v>-3165608</v>
      </c>
      <c r="FA78" s="294">
        <v>-6719181</v>
      </c>
      <c r="FB78" s="294">
        <v>-8991500.2599999998</v>
      </c>
      <c r="FC78" s="294">
        <v>-2535789</v>
      </c>
      <c r="FD78" s="294">
        <v>-746144</v>
      </c>
      <c r="FE78" s="294">
        <v>-770107.7</v>
      </c>
      <c r="FF78" s="294">
        <v>-1371455</v>
      </c>
      <c r="FG78" s="294">
        <v>-1097090</v>
      </c>
      <c r="FH78" s="294">
        <v>-387400</v>
      </c>
      <c r="FI78" s="294">
        <v>-12301766.52</v>
      </c>
      <c r="FJ78" s="294">
        <v>-799937.99</v>
      </c>
      <c r="FK78" s="294">
        <v>0</v>
      </c>
      <c r="FL78" s="294">
        <v>-388578.2</v>
      </c>
      <c r="FM78" s="294">
        <v>-1701979.24</v>
      </c>
      <c r="FN78" s="294">
        <v>-601278.27</v>
      </c>
      <c r="FO78" s="294">
        <v>-1186560.2</v>
      </c>
      <c r="FP78" s="294">
        <v>-230008</v>
      </c>
      <c r="FQ78" s="294">
        <v>-1060902.3999999999</v>
      </c>
      <c r="FR78" s="294">
        <v>-2086746.8</v>
      </c>
      <c r="FS78" s="294">
        <v>-2194675</v>
      </c>
      <c r="FT78" s="294">
        <v>-3236658</v>
      </c>
      <c r="FU78" s="294">
        <v>-2190342</v>
      </c>
      <c r="FV78" s="294">
        <v>-761342</v>
      </c>
      <c r="FW78" s="294">
        <v>-3315291.2</v>
      </c>
      <c r="FX78" s="294">
        <v>-3132858.97</v>
      </c>
      <c r="FY78" s="294">
        <v>-1738034</v>
      </c>
      <c r="FZ78" s="294">
        <v>-438542.5</v>
      </c>
      <c r="GA78" s="294">
        <v>-3959922.23</v>
      </c>
      <c r="GB78" s="294">
        <v>-975607</v>
      </c>
      <c r="GC78" s="294">
        <v>-1435543.16</v>
      </c>
      <c r="GD78" s="294">
        <v>-787474.73</v>
      </c>
      <c r="GE78" s="294">
        <v>-12595962.5</v>
      </c>
      <c r="GF78" s="294">
        <v>-756478.25</v>
      </c>
      <c r="GG78" s="294">
        <v>-262244</v>
      </c>
      <c r="GH78" s="294">
        <v>-1607462.25</v>
      </c>
      <c r="GI78" s="294">
        <v>-1587215.75</v>
      </c>
      <c r="GJ78" s="294">
        <v>-310553.45</v>
      </c>
      <c r="GK78" s="294">
        <v>-1455450.5</v>
      </c>
      <c r="GL78" s="294">
        <v>-1638921.25</v>
      </c>
      <c r="GM78" s="294">
        <v>-304498.09999999998</v>
      </c>
      <c r="GN78" s="294">
        <v>-572324.4</v>
      </c>
      <c r="GO78" s="294">
        <v>-541747.5</v>
      </c>
      <c r="GP78" s="294">
        <v>-189388.7</v>
      </c>
      <c r="GQ78" s="294">
        <v>-19555451.52</v>
      </c>
      <c r="GR78" s="294">
        <v>-975271.2</v>
      </c>
      <c r="GS78" s="294">
        <v>-883756</v>
      </c>
      <c r="GT78" s="294">
        <v>-1504352</v>
      </c>
      <c r="GU78" s="294">
        <v>0</v>
      </c>
      <c r="GV78" s="294">
        <v>-803592.3</v>
      </c>
      <c r="GW78" s="294">
        <v>-559760.19999999995</v>
      </c>
      <c r="GX78" s="294">
        <v>-668262.40000000002</v>
      </c>
      <c r="GY78" s="294">
        <v>-7160790.9900000002</v>
      </c>
      <c r="GZ78" s="294">
        <v>-545780</v>
      </c>
      <c r="HA78" s="294">
        <v>-2821493</v>
      </c>
      <c r="HB78" s="294">
        <v>-1731731.4</v>
      </c>
      <c r="HC78" s="294">
        <v>-33658542.299999997</v>
      </c>
      <c r="HD78" s="294">
        <v>-1867592.64</v>
      </c>
      <c r="HE78" s="294">
        <v>-2961065.76</v>
      </c>
      <c r="HF78" s="294">
        <v>-2708576.55</v>
      </c>
      <c r="HG78" s="294">
        <v>-3192377.26</v>
      </c>
      <c r="HH78" s="294">
        <v>-1074860.8999999999</v>
      </c>
      <c r="HI78" s="294">
        <v>-252482.5</v>
      </c>
      <c r="HJ78" s="294">
        <v>-25886230.609999999</v>
      </c>
      <c r="HK78" s="294">
        <v>-4632056.6399999997</v>
      </c>
      <c r="HL78" s="294">
        <v>-7646719.1799999997</v>
      </c>
      <c r="HM78" s="294">
        <v>-1279316.25</v>
      </c>
      <c r="HN78" s="294">
        <v>-1625999.42</v>
      </c>
      <c r="HO78" s="294">
        <v>-1912128</v>
      </c>
      <c r="HP78" s="294">
        <v>-3416778</v>
      </c>
      <c r="HQ78" s="294">
        <v>-212450.41</v>
      </c>
      <c r="HR78" s="294">
        <v>-356125</v>
      </c>
      <c r="HS78" s="294">
        <v>-11083572.1</v>
      </c>
      <c r="HT78" s="294">
        <v>-2910197</v>
      </c>
      <c r="HU78" s="294">
        <v>-1016618</v>
      </c>
      <c r="HV78" s="294">
        <v>-3340574.06</v>
      </c>
      <c r="HW78" s="294">
        <v>-401998.52</v>
      </c>
      <c r="HX78" s="294">
        <v>-16250516.17</v>
      </c>
      <c r="HY78" s="294">
        <v>-3956685.16</v>
      </c>
      <c r="HZ78" s="294">
        <v>-2198137.12</v>
      </c>
      <c r="IA78" s="294">
        <v>-2666438.6</v>
      </c>
      <c r="IB78" s="294">
        <v>-1357085.45</v>
      </c>
      <c r="IC78" s="294">
        <v>-388286</v>
      </c>
      <c r="ID78" s="294">
        <v>-1152485.6000000001</v>
      </c>
      <c r="IE78" s="294">
        <v>-1884429</v>
      </c>
      <c r="IF78" s="294">
        <v>-1206019.2</v>
      </c>
      <c r="IG78" s="294">
        <v>-1283155.5</v>
      </c>
      <c r="IH78" s="294">
        <v>-10908696.359999999</v>
      </c>
      <c r="II78" s="294">
        <v>0</v>
      </c>
      <c r="IJ78" s="294">
        <v>-2754373</v>
      </c>
      <c r="IK78" s="294">
        <v>-4381188.57</v>
      </c>
      <c r="IL78" s="294">
        <v>-12188676</v>
      </c>
      <c r="IM78" s="294">
        <v>-1062213.1000000001</v>
      </c>
      <c r="IN78" s="294">
        <v>-1219816</v>
      </c>
      <c r="IO78" s="294">
        <v>-1425552.73</v>
      </c>
      <c r="IP78" s="294">
        <v>-1280221.6000000001</v>
      </c>
      <c r="IQ78" s="294">
        <v>-3804517.38</v>
      </c>
      <c r="IR78" s="294">
        <v>-1276228.93</v>
      </c>
      <c r="IS78" s="294">
        <v>-47809295.93</v>
      </c>
      <c r="IT78" s="294">
        <v>-1699826.88</v>
      </c>
      <c r="IU78" s="294">
        <v>-3259916.4</v>
      </c>
      <c r="IV78" s="294">
        <v>-6579042</v>
      </c>
      <c r="IW78" s="294">
        <v>-1740056.64</v>
      </c>
      <c r="IX78" s="294">
        <v>-316309.46000000002</v>
      </c>
      <c r="IY78" s="294">
        <v>-2356033.69</v>
      </c>
      <c r="IZ78" s="294">
        <v>-497377.45</v>
      </c>
      <c r="JA78" s="294">
        <v>-1285187.6000000001</v>
      </c>
      <c r="JB78" s="294">
        <v>-1588238</v>
      </c>
      <c r="JC78" s="294">
        <v>-3588646.9</v>
      </c>
      <c r="JD78" s="294">
        <v>-1641432.94</v>
      </c>
      <c r="JE78" s="294">
        <v>-88194</v>
      </c>
      <c r="JF78" s="294">
        <v>-1719771.65</v>
      </c>
      <c r="JG78" s="294">
        <v>-790070.8</v>
      </c>
      <c r="JH78" s="294">
        <v>-958426</v>
      </c>
      <c r="JI78" s="294">
        <v>-512261.53</v>
      </c>
      <c r="JJ78" s="294">
        <v>-117195.1</v>
      </c>
      <c r="JK78" s="294">
        <v>-18442164.699999999</v>
      </c>
      <c r="JL78" s="294">
        <v>-1420781</v>
      </c>
      <c r="JM78" s="294">
        <v>-600427.77</v>
      </c>
      <c r="JN78" s="294">
        <v>-26511234.800000001</v>
      </c>
      <c r="JO78" s="294">
        <v>-1223401.5</v>
      </c>
      <c r="JP78" s="294">
        <v>-3324035.19</v>
      </c>
      <c r="JQ78" s="294">
        <v>-496231.8</v>
      </c>
      <c r="JR78" s="294">
        <v>-277500</v>
      </c>
      <c r="JS78" s="294">
        <v>-7450000</v>
      </c>
      <c r="JT78" s="294">
        <v>-292512.13</v>
      </c>
      <c r="JU78" s="294">
        <v>-983151.5</v>
      </c>
      <c r="JV78" s="294">
        <v>-1100200.58</v>
      </c>
      <c r="JW78" s="294">
        <v>-295529</v>
      </c>
      <c r="JX78" s="294">
        <v>-4263528.67</v>
      </c>
      <c r="JY78" s="294">
        <v>-1473481.41</v>
      </c>
      <c r="JZ78" s="294">
        <v>-927348</v>
      </c>
      <c r="KA78" s="294">
        <v>-908742</v>
      </c>
      <c r="KB78" s="294">
        <v>-1186280</v>
      </c>
      <c r="KC78" s="294">
        <v>-2768932.86</v>
      </c>
      <c r="KD78" s="294">
        <v>-410019</v>
      </c>
      <c r="KE78" s="294">
        <v>-102055</v>
      </c>
      <c r="KF78" s="294">
        <v>-495699</v>
      </c>
      <c r="KG78" s="294">
        <v>-506199.25</v>
      </c>
      <c r="KH78" s="294">
        <v>-24245973.199999999</v>
      </c>
      <c r="KI78" s="294">
        <v>-2711821.78</v>
      </c>
      <c r="KJ78" s="294">
        <v>-193295</v>
      </c>
      <c r="KK78" s="294">
        <v>-1534115.85</v>
      </c>
      <c r="KL78" s="294">
        <v>0</v>
      </c>
      <c r="KM78" s="294">
        <v>-1721699.3</v>
      </c>
      <c r="KN78" s="294">
        <v>-7686495.5</v>
      </c>
      <c r="KO78" s="294">
        <v>-924244.43</v>
      </c>
      <c r="KP78" s="294">
        <v>-1726832.39</v>
      </c>
      <c r="KQ78" s="294">
        <v>-32428847.66</v>
      </c>
      <c r="KR78" s="294">
        <v>-1791111</v>
      </c>
      <c r="KS78" s="294">
        <v>-1465638.63</v>
      </c>
      <c r="KT78" s="294">
        <v>-7951347.1699999999</v>
      </c>
      <c r="KU78" s="294">
        <v>-1453595.7</v>
      </c>
      <c r="KV78" s="294">
        <v>-2817944</v>
      </c>
      <c r="KW78" s="294">
        <v>-32286788.32</v>
      </c>
      <c r="KX78" s="294">
        <v>-2082717.96</v>
      </c>
      <c r="KY78" s="294">
        <v>-33775397.200000003</v>
      </c>
      <c r="KZ78" s="294">
        <v>-1326982</v>
      </c>
      <c r="LA78" s="294">
        <v>-1507933.4</v>
      </c>
      <c r="LB78" s="294">
        <v>-5869335.5999999996</v>
      </c>
      <c r="LC78" s="294">
        <v>-6035960.5</v>
      </c>
      <c r="LD78" s="294">
        <v>-4157543</v>
      </c>
      <c r="LE78" s="294">
        <v>-3486073.4</v>
      </c>
      <c r="LF78" s="294">
        <v>-3374411.4</v>
      </c>
      <c r="LG78" s="294">
        <v>-15000</v>
      </c>
      <c r="LH78" s="294"/>
      <c r="LI78" s="294">
        <v>-62420.4</v>
      </c>
      <c r="LJ78" s="294">
        <v>-1039504.6</v>
      </c>
      <c r="LK78" s="294">
        <v>-2229157</v>
      </c>
      <c r="LL78" s="294">
        <v>-1420613.1</v>
      </c>
      <c r="LM78" s="294">
        <v>-2971712.35</v>
      </c>
      <c r="LN78" s="294">
        <v>-3784923</v>
      </c>
      <c r="LO78" s="294">
        <v>-763628.5</v>
      </c>
      <c r="LP78" s="294">
        <v>-3807676.2</v>
      </c>
      <c r="LQ78" s="294">
        <v>-556949.5</v>
      </c>
      <c r="LR78" s="294">
        <v>-49263387</v>
      </c>
      <c r="LS78" s="294">
        <v>-1134650.0900000001</v>
      </c>
      <c r="LT78" s="294">
        <v>-982016</v>
      </c>
      <c r="LU78" s="294">
        <v>-71154592.530000001</v>
      </c>
      <c r="LV78" s="294">
        <v>-14878103</v>
      </c>
      <c r="LW78" s="294">
        <v>-73271783.180000007</v>
      </c>
      <c r="LX78" s="294">
        <v>-16588196.41</v>
      </c>
      <c r="LY78" s="294">
        <v>-968451.07</v>
      </c>
      <c r="LZ78" s="294">
        <v>-6764065.5</v>
      </c>
      <c r="MA78" s="294">
        <v>-432119.75</v>
      </c>
      <c r="MB78" s="294">
        <v>-2117830.2599999998</v>
      </c>
      <c r="MC78" s="294">
        <v>-3594423.5</v>
      </c>
      <c r="MD78" s="294">
        <v>-1847723.96</v>
      </c>
      <c r="ME78" s="294">
        <v>-3599327.2</v>
      </c>
      <c r="MF78" s="294">
        <v>-1646780.88</v>
      </c>
      <c r="MG78" s="294">
        <v>-100431012.79000001</v>
      </c>
      <c r="MH78" s="294">
        <v>-1699315.34</v>
      </c>
      <c r="MI78" s="294">
        <v>-711141</v>
      </c>
      <c r="MJ78" s="294">
        <v>-970686</v>
      </c>
      <c r="MK78" s="294">
        <v>-625932.5</v>
      </c>
      <c r="ML78" s="294">
        <v>-3480195.8000000003</v>
      </c>
      <c r="MM78" s="294">
        <v>-1544335</v>
      </c>
      <c r="MN78" s="294">
        <v>-397221</v>
      </c>
      <c r="MO78" s="294">
        <v>-3244759.74</v>
      </c>
      <c r="MP78" s="294">
        <v>-1046549</v>
      </c>
      <c r="MQ78" s="294">
        <v>-868083</v>
      </c>
      <c r="MR78" s="294">
        <v>0</v>
      </c>
      <c r="MS78" s="294">
        <v>-20230</v>
      </c>
      <c r="MT78" s="294">
        <v>-1715599</v>
      </c>
      <c r="MU78" s="294">
        <v>-1433786</v>
      </c>
      <c r="MV78" s="294">
        <v>-3028906.45</v>
      </c>
      <c r="MW78" s="294">
        <v>-4600404.0999999996</v>
      </c>
      <c r="MX78" s="294">
        <v>-1372155</v>
      </c>
      <c r="MY78" s="294">
        <v>-2682518.4500000002</v>
      </c>
      <c r="MZ78" s="294">
        <v>-2205737.5</v>
      </c>
      <c r="NA78" s="294">
        <v>-2527210.9</v>
      </c>
      <c r="NB78" s="294">
        <v>-756672</v>
      </c>
      <c r="NC78" s="294">
        <v>-286585</v>
      </c>
      <c r="ND78" s="294">
        <v>-120239104.7</v>
      </c>
      <c r="NE78" s="294">
        <v>-3149858</v>
      </c>
      <c r="NF78" s="294">
        <v>-172495</v>
      </c>
      <c r="NG78" s="294">
        <v>-128017428.3</v>
      </c>
      <c r="NH78" s="294">
        <v>-845246.46</v>
      </c>
      <c r="NI78" s="294">
        <v>-1043999</v>
      </c>
      <c r="NJ78" s="294">
        <v>-3900273.6</v>
      </c>
      <c r="NK78" s="294">
        <v>-5278045.78</v>
      </c>
      <c r="NL78" s="294">
        <v>-66840</v>
      </c>
      <c r="NM78" s="294">
        <v>-3144795.71</v>
      </c>
      <c r="NN78" s="294">
        <v>-806632.15</v>
      </c>
      <c r="NO78" s="294">
        <v>-1642897</v>
      </c>
      <c r="NP78" s="294">
        <v>-2616009.5</v>
      </c>
      <c r="NQ78" s="294">
        <v>-703563</v>
      </c>
      <c r="NR78" s="294">
        <v>-1214215</v>
      </c>
      <c r="NS78" s="294">
        <v>-900</v>
      </c>
      <c r="NT78" s="294">
        <v>-26982</v>
      </c>
      <c r="NU78" s="294">
        <v>-135998</v>
      </c>
      <c r="NV78" s="294">
        <v>-101345</v>
      </c>
      <c r="NW78" s="294">
        <v>-36479033</v>
      </c>
      <c r="NX78" s="294">
        <v>-15927314</v>
      </c>
      <c r="NY78" s="294">
        <v>-1835954.63</v>
      </c>
      <c r="NZ78" s="294">
        <v>-2831081.99</v>
      </c>
      <c r="OA78" s="294">
        <v>-1529798</v>
      </c>
      <c r="OB78" s="294">
        <v>-1937626.2</v>
      </c>
      <c r="OC78" s="294">
        <v>-741234.9</v>
      </c>
      <c r="OD78" s="294">
        <v>0</v>
      </c>
      <c r="OE78" s="294">
        <v>-11135995.199999999</v>
      </c>
      <c r="OF78" s="294">
        <v>-668200.5</v>
      </c>
      <c r="OG78" s="294">
        <v>-11894623.970000001</v>
      </c>
      <c r="OH78" s="294">
        <v>-1528968.8</v>
      </c>
      <c r="OI78" s="294">
        <v>-2784076.74</v>
      </c>
      <c r="OJ78" s="294">
        <v>-7905180.7699999996</v>
      </c>
      <c r="OK78" s="294">
        <v>-2139014.6</v>
      </c>
      <c r="OL78" s="294">
        <v>-4058663.55</v>
      </c>
      <c r="OM78" s="294">
        <v>-1070</v>
      </c>
      <c r="ON78" s="294">
        <v>-2964710.06</v>
      </c>
      <c r="OO78" s="294">
        <v>-10923591.029999999</v>
      </c>
      <c r="OP78" s="294">
        <v>-2935872.04</v>
      </c>
      <c r="OQ78" s="294">
        <v>-1373366.37</v>
      </c>
      <c r="OR78" s="294">
        <v>-2375048.56</v>
      </c>
      <c r="OS78" s="294">
        <v>-23749875</v>
      </c>
      <c r="OT78" s="294">
        <v>-453500.58</v>
      </c>
      <c r="OU78" s="294">
        <v>-152898</v>
      </c>
      <c r="OV78" s="294">
        <v>-1392967.56</v>
      </c>
      <c r="OW78" s="294">
        <v>-220983.6</v>
      </c>
      <c r="OX78" s="294">
        <v>-4016423.5</v>
      </c>
      <c r="OY78" s="294">
        <v>-320827.09000000003</v>
      </c>
      <c r="OZ78" s="294">
        <v>-568496.80000000005</v>
      </c>
      <c r="PA78" s="294">
        <v>-388846</v>
      </c>
      <c r="PB78" s="294">
        <v>-34121248.359999999</v>
      </c>
      <c r="PC78" s="294">
        <v>-1783186.85</v>
      </c>
      <c r="PD78" s="294">
        <v>-8194792.4500000002</v>
      </c>
      <c r="PE78" s="294">
        <v>-750014</v>
      </c>
      <c r="PF78" s="294">
        <v>-1516727.4</v>
      </c>
      <c r="PG78" s="294">
        <v>-6469794.29</v>
      </c>
      <c r="PH78" s="294">
        <v>-2652161.0299999998</v>
      </c>
      <c r="PI78" s="294">
        <v>-3828885.71</v>
      </c>
      <c r="PJ78" s="294">
        <v>-3443583.12</v>
      </c>
      <c r="PK78" s="294">
        <v>-2470010</v>
      </c>
      <c r="PL78" s="294">
        <v>-1486650</v>
      </c>
      <c r="PM78" s="294">
        <v>-5013696.9000000004</v>
      </c>
      <c r="PN78" s="294">
        <v>-1362938</v>
      </c>
      <c r="PO78" s="294">
        <v>-8835832.1500000004</v>
      </c>
      <c r="PP78" s="294">
        <v>-466541.85</v>
      </c>
      <c r="PQ78" s="294">
        <v>-1113956.52</v>
      </c>
      <c r="PR78" s="294">
        <v>-1293189</v>
      </c>
      <c r="PS78" s="294">
        <v>-952596</v>
      </c>
      <c r="PT78" s="294">
        <v>-54597873.740000002</v>
      </c>
      <c r="PU78" s="294">
        <v>-3298224.68</v>
      </c>
      <c r="PV78" s="294">
        <v>-2026080.4</v>
      </c>
      <c r="PW78" s="294">
        <v>-529275</v>
      </c>
      <c r="PX78" s="294">
        <v>-8608293.7200000007</v>
      </c>
      <c r="PY78" s="294">
        <v>-6919759.21</v>
      </c>
      <c r="PZ78" s="294">
        <v>-7750041.5199999996</v>
      </c>
      <c r="QA78" s="294">
        <v>-1510075</v>
      </c>
      <c r="QB78" s="294">
        <v>-7325819.04</v>
      </c>
      <c r="QC78" s="294">
        <v>-1485590.55</v>
      </c>
      <c r="QD78" s="294">
        <v>-1909407.88</v>
      </c>
      <c r="QE78" s="294">
        <v>-2888236.85</v>
      </c>
      <c r="QF78" s="294">
        <v>-834689</v>
      </c>
      <c r="QG78" s="294">
        <v>-2364532.7999999998</v>
      </c>
      <c r="QH78" s="294">
        <v>-2603192.2599999998</v>
      </c>
      <c r="QI78" s="294">
        <v>-2244350.6</v>
      </c>
      <c r="QJ78" s="294">
        <v>-3790528</v>
      </c>
      <c r="QK78" s="294">
        <v>-1341065.54</v>
      </c>
      <c r="QL78" s="294">
        <v>-1875045.17</v>
      </c>
      <c r="QM78" s="294">
        <v>-5484649.2400000002</v>
      </c>
      <c r="QN78" s="294">
        <v>-7444165</v>
      </c>
      <c r="QO78" s="294">
        <v>-2035056.25</v>
      </c>
      <c r="QP78" s="294">
        <v>-489519.98</v>
      </c>
      <c r="QQ78" s="294">
        <v>-1380351.97</v>
      </c>
      <c r="QR78" s="294">
        <v>-280067</v>
      </c>
      <c r="QS78" s="294">
        <v>-1437937.74</v>
      </c>
      <c r="QT78" s="294">
        <v>-42102145.649999999</v>
      </c>
      <c r="QU78" s="294">
        <v>-991894</v>
      </c>
      <c r="QV78" s="294">
        <v>-6437079.7599999998</v>
      </c>
      <c r="QW78" s="294">
        <v>-483940</v>
      </c>
      <c r="QX78" s="294">
        <v>-1148845.5</v>
      </c>
      <c r="QY78" s="294">
        <v>-6992984.8600000003</v>
      </c>
      <c r="QZ78" s="294">
        <v>-2001723.96</v>
      </c>
      <c r="RA78" s="294">
        <v>-2923012.01</v>
      </c>
      <c r="RB78" s="294">
        <v>-2613251.5</v>
      </c>
      <c r="RC78" s="294">
        <v>-2593244.5</v>
      </c>
      <c r="RD78" s="294">
        <v>-627916.38</v>
      </c>
      <c r="RE78" s="294">
        <v>-421035</v>
      </c>
      <c r="RF78" s="294">
        <v>-719059</v>
      </c>
      <c r="RG78" s="294">
        <v>-44410367.93</v>
      </c>
      <c r="RH78" s="294">
        <v>-4092767</v>
      </c>
      <c r="RI78" s="294">
        <v>-770298</v>
      </c>
      <c r="RJ78" s="294">
        <v>-544997.5</v>
      </c>
      <c r="RK78" s="294">
        <v>-1470374</v>
      </c>
      <c r="RL78" s="294">
        <v>-11431471.550000001</v>
      </c>
      <c r="RM78" s="294">
        <v>-14054166.9</v>
      </c>
      <c r="RN78" s="294">
        <v>-966764</v>
      </c>
      <c r="RO78" s="294">
        <v>-596328.78</v>
      </c>
      <c r="RP78" s="294">
        <v>-4155096.8</v>
      </c>
      <c r="RQ78" s="294">
        <v>-7120555</v>
      </c>
      <c r="RR78" s="294">
        <v>-732660</v>
      </c>
      <c r="RS78" s="294">
        <v>-1574496</v>
      </c>
      <c r="RT78" s="294">
        <v>-3300150.75</v>
      </c>
      <c r="RU78" s="294">
        <v>-365330</v>
      </c>
      <c r="RV78" s="294">
        <v>-946610</v>
      </c>
      <c r="RW78" s="294">
        <v>-2285400</v>
      </c>
      <c r="RX78" s="294">
        <v>-1215334</v>
      </c>
      <c r="RY78" s="294">
        <v>-680459</v>
      </c>
      <c r="RZ78" s="294">
        <v>-588360</v>
      </c>
      <c r="SA78" s="294">
        <v>-37135704.340000004</v>
      </c>
      <c r="SB78" s="294">
        <v>-1610971.75</v>
      </c>
      <c r="SC78" s="294">
        <v>-1413449.2</v>
      </c>
      <c r="SD78" s="294">
        <v>-2269807.9</v>
      </c>
      <c r="SE78" s="294">
        <v>-1939826</v>
      </c>
      <c r="SF78" s="294">
        <v>-2749843</v>
      </c>
      <c r="SG78" s="294">
        <v>-3205294</v>
      </c>
      <c r="SH78" s="294">
        <v>-2229616.91</v>
      </c>
      <c r="SI78" s="294">
        <v>-4501432.62</v>
      </c>
      <c r="SJ78" s="294">
        <v>-3536197</v>
      </c>
      <c r="SK78" s="294">
        <v>-8009153</v>
      </c>
      <c r="SL78" s="294">
        <v>-135324</v>
      </c>
      <c r="SM78" s="294">
        <v>-10960895.310000001</v>
      </c>
      <c r="SN78" s="294">
        <v>-1638592.5</v>
      </c>
      <c r="SO78" s="294">
        <v>-2442812</v>
      </c>
      <c r="SP78" s="294">
        <v>-6799623.25</v>
      </c>
      <c r="SQ78" s="294">
        <v>-1830585.54</v>
      </c>
      <c r="SR78" s="294">
        <v>-269172</v>
      </c>
      <c r="SS78" s="294">
        <v>-1577871</v>
      </c>
      <c r="ST78" s="294">
        <v>-1420680</v>
      </c>
      <c r="SU78" s="294">
        <v>-21025766.399999999</v>
      </c>
      <c r="SV78" s="294">
        <v>-489850.1</v>
      </c>
      <c r="SW78" s="294">
        <v>-1823913</v>
      </c>
      <c r="SX78" s="294">
        <v>-1160005</v>
      </c>
      <c r="SY78" s="294">
        <v>-772719</v>
      </c>
      <c r="SZ78" s="294">
        <v>-599546</v>
      </c>
      <c r="TA78" s="294">
        <v>-432546.99</v>
      </c>
      <c r="TB78" s="294">
        <v>-4423870.75</v>
      </c>
      <c r="TC78" s="294">
        <v>-618066</v>
      </c>
      <c r="TD78" s="294">
        <v>-1435175</v>
      </c>
      <c r="TE78" s="294">
        <v>-1273650</v>
      </c>
      <c r="TF78" s="294">
        <v>-2775874.68</v>
      </c>
      <c r="TG78" s="294">
        <v>-1516777.6</v>
      </c>
      <c r="TH78" s="294">
        <v>-1165336</v>
      </c>
      <c r="TI78" s="294">
        <v>-32086381.899999999</v>
      </c>
      <c r="TJ78" s="294">
        <v>-2350763.5</v>
      </c>
      <c r="TK78" s="294">
        <v>-2322160</v>
      </c>
      <c r="TL78" s="294">
        <v>-4206701.4000000004</v>
      </c>
      <c r="TM78" s="294">
        <v>-463790</v>
      </c>
      <c r="TN78" s="294">
        <v>-881692</v>
      </c>
      <c r="TO78" s="294">
        <v>-893617.5</v>
      </c>
      <c r="TP78" s="294">
        <v>-2042538.2</v>
      </c>
      <c r="TQ78" s="294">
        <v>-2070729.93</v>
      </c>
      <c r="TR78" s="294">
        <v>-2109081</v>
      </c>
      <c r="TS78" s="294">
        <v>-4158702.5</v>
      </c>
      <c r="TT78" s="294">
        <v>-1039300</v>
      </c>
      <c r="TU78" s="294">
        <v>-1393668</v>
      </c>
      <c r="TV78" s="294">
        <v>-3431381.42</v>
      </c>
      <c r="TW78" s="294">
        <v>-2389890.4</v>
      </c>
      <c r="TX78" s="294">
        <v>-1561934</v>
      </c>
      <c r="TY78" s="294">
        <v>-18143231.399999999</v>
      </c>
      <c r="TZ78" s="294">
        <v>-521610</v>
      </c>
      <c r="UA78" s="294">
        <v>-12320446.35</v>
      </c>
      <c r="UB78" s="294">
        <v>-6361431.2599999998</v>
      </c>
      <c r="UC78" s="294">
        <v>-2423954.7999999998</v>
      </c>
      <c r="UD78" s="294">
        <v>-2630733</v>
      </c>
      <c r="UE78" s="294">
        <v>-16681683.41</v>
      </c>
      <c r="UF78" s="294">
        <v>-587131.19999999995</v>
      </c>
      <c r="UG78" s="294">
        <v>-1490537.98</v>
      </c>
      <c r="UH78" s="294">
        <v>-1581709</v>
      </c>
      <c r="UI78" s="294">
        <v>-1509417</v>
      </c>
      <c r="UJ78" s="294">
        <v>-28646080.420000002</v>
      </c>
      <c r="UK78" s="294">
        <v>-4221769.5</v>
      </c>
      <c r="UL78" s="294">
        <v>-2406689.2000000002</v>
      </c>
      <c r="UM78" s="294">
        <v>-4157898.4</v>
      </c>
      <c r="UN78" s="294">
        <v>-1346510.2</v>
      </c>
      <c r="UO78" s="294">
        <v>-2807916.6</v>
      </c>
      <c r="UP78" s="294">
        <v>-70740172.400000006</v>
      </c>
      <c r="UQ78" s="294">
        <v>-4465691</v>
      </c>
      <c r="UR78" s="294">
        <v>-2575095</v>
      </c>
      <c r="US78" s="294">
        <v>-15077316.5</v>
      </c>
      <c r="UT78" s="294">
        <v>-74600</v>
      </c>
      <c r="UU78" s="294">
        <v>-2676803.7999999998</v>
      </c>
      <c r="UV78" s="294">
        <v>-5581272</v>
      </c>
      <c r="UW78" s="294">
        <v>-1875629</v>
      </c>
      <c r="UX78" s="294">
        <v>-1613440.7</v>
      </c>
      <c r="UY78" s="294">
        <v>-1550518</v>
      </c>
      <c r="UZ78" s="294">
        <v>-3943440.5</v>
      </c>
      <c r="VA78" s="294">
        <v>-7036689</v>
      </c>
      <c r="VB78" s="294">
        <v>-2635279</v>
      </c>
      <c r="VC78" s="294">
        <v>-1641975.9</v>
      </c>
      <c r="VD78" s="294">
        <v>-1395691</v>
      </c>
      <c r="VE78" s="294">
        <v>-1697369.22</v>
      </c>
      <c r="VF78" s="294">
        <v>-3645896</v>
      </c>
      <c r="VG78" s="294">
        <v>-2044256</v>
      </c>
      <c r="VH78" s="294">
        <v>-8392844</v>
      </c>
      <c r="VI78" s="294">
        <v>-1496580.01</v>
      </c>
      <c r="VJ78" s="294">
        <v>-872941.8</v>
      </c>
      <c r="VK78" s="294">
        <v>-490607</v>
      </c>
      <c r="VL78" s="294">
        <v>-56345722.630000003</v>
      </c>
      <c r="VM78" s="294">
        <v>-2433644</v>
      </c>
      <c r="VN78" s="294">
        <v>-1846113.5</v>
      </c>
      <c r="VO78" s="294">
        <v>-2987410</v>
      </c>
      <c r="VP78" s="294">
        <v>-9423556.8000000007</v>
      </c>
      <c r="VQ78" s="294">
        <v>-2860711.05</v>
      </c>
      <c r="VR78" s="294">
        <v>-3953176.22</v>
      </c>
      <c r="VS78" s="294">
        <v>-2076369</v>
      </c>
      <c r="VT78" s="294">
        <v>-3343661</v>
      </c>
      <c r="VU78" s="294">
        <v>-22825122.300000001</v>
      </c>
      <c r="VV78" s="294">
        <v>-2012150.6</v>
      </c>
      <c r="VW78" s="294">
        <v>-5024911.2300000004</v>
      </c>
      <c r="VX78" s="294">
        <v>-2223250.29</v>
      </c>
      <c r="VY78" s="294">
        <v>-641365</v>
      </c>
      <c r="VZ78" s="294">
        <v>-1819280.88</v>
      </c>
      <c r="WA78" s="294">
        <v>-76739768.340000004</v>
      </c>
      <c r="WB78" s="294">
        <v>-6220837.75</v>
      </c>
      <c r="WC78" s="294">
        <v>-1763300.02</v>
      </c>
      <c r="WD78" s="294">
        <v>-875020.5</v>
      </c>
      <c r="WE78" s="294">
        <v>-721518</v>
      </c>
      <c r="WF78" s="294">
        <v>-2280121.2400000002</v>
      </c>
      <c r="WG78" s="294">
        <v>-4845594</v>
      </c>
      <c r="WH78" s="294">
        <v>-2262207</v>
      </c>
      <c r="WI78" s="294">
        <v>-1977199</v>
      </c>
      <c r="WJ78" s="294">
        <v>-4892016.5</v>
      </c>
      <c r="WK78" s="294">
        <v>-1205766</v>
      </c>
      <c r="WL78" s="294">
        <v>-3743087.5</v>
      </c>
      <c r="WM78" s="294">
        <v>-815775</v>
      </c>
      <c r="WN78" s="294">
        <v>-3749173.75</v>
      </c>
      <c r="WO78" s="294">
        <v>-5572603.0099999998</v>
      </c>
      <c r="WP78" s="294">
        <v>-1259990.2</v>
      </c>
      <c r="WQ78" s="294">
        <v>-2189471.5</v>
      </c>
      <c r="WR78" s="294">
        <v>-1034989.22</v>
      </c>
      <c r="WS78" s="294">
        <v>-541131</v>
      </c>
      <c r="WT78" s="294">
        <v>-4259475</v>
      </c>
      <c r="WU78" s="294">
        <v>-60147932.880000003</v>
      </c>
      <c r="WV78" s="294">
        <v>-3318650.6</v>
      </c>
      <c r="WW78" s="294">
        <v>-1679293</v>
      </c>
      <c r="WX78" s="294">
        <v>-2192583.94</v>
      </c>
      <c r="WY78" s="294">
        <v>-2192076.9700000002</v>
      </c>
      <c r="WZ78" s="294">
        <v>-2679805.34</v>
      </c>
      <c r="XA78" s="294">
        <v>-902065.16</v>
      </c>
      <c r="XB78" s="294">
        <v>-764879.92</v>
      </c>
      <c r="XC78" s="294">
        <v>-16342482.09</v>
      </c>
      <c r="XD78" s="294">
        <v>-1568977.05</v>
      </c>
      <c r="XE78" s="294">
        <v>-284385.78000000003</v>
      </c>
      <c r="XF78" s="294">
        <v>-462225</v>
      </c>
      <c r="XG78" s="294">
        <v>-1599984.21</v>
      </c>
      <c r="XH78" s="294">
        <v>-5667566.4000000004</v>
      </c>
      <c r="XI78" s="294">
        <v>-4074740.5</v>
      </c>
      <c r="XJ78" s="294">
        <v>-4837055.05</v>
      </c>
      <c r="XK78" s="294">
        <v>-20252861.32</v>
      </c>
      <c r="XL78" s="294">
        <v>-1542728.4</v>
      </c>
      <c r="XM78" s="294">
        <v>-1511169.7</v>
      </c>
      <c r="XN78" s="294">
        <v>-5518574.5300000003</v>
      </c>
      <c r="XO78" s="294">
        <v>-842830</v>
      </c>
      <c r="XP78" s="294">
        <v>-2469066.7999999998</v>
      </c>
      <c r="XQ78" s="294">
        <v>-6906794.5999999996</v>
      </c>
      <c r="XR78" s="294">
        <v>-14578988</v>
      </c>
      <c r="XS78" s="294">
        <v>-1853899</v>
      </c>
      <c r="XT78" s="294">
        <v>-2727759.01</v>
      </c>
      <c r="XU78" s="294">
        <v>-1092284</v>
      </c>
      <c r="XV78" s="294">
        <v>-486555.5</v>
      </c>
      <c r="XW78" s="294">
        <v>-1260372</v>
      </c>
      <c r="XX78" s="294">
        <v>-670947.6</v>
      </c>
      <c r="XY78" s="294">
        <v>-1470915.5</v>
      </c>
      <c r="XZ78" s="294">
        <v>-1478043</v>
      </c>
      <c r="YA78" s="294">
        <v>-1173286</v>
      </c>
      <c r="YB78" s="294">
        <v>-1338661.2</v>
      </c>
      <c r="YC78" s="294">
        <v>-1618792.5</v>
      </c>
      <c r="YD78" s="294">
        <v>-2557103</v>
      </c>
      <c r="YE78" s="294">
        <v>-24729777.649999999</v>
      </c>
      <c r="YF78" s="294">
        <v>-2141027.98</v>
      </c>
      <c r="YG78" s="294">
        <v>-3846464.26</v>
      </c>
      <c r="YH78" s="294">
        <v>-1308060</v>
      </c>
      <c r="YI78" s="294">
        <v>-16190646.5</v>
      </c>
      <c r="YJ78" s="294">
        <v>-3024403</v>
      </c>
      <c r="YK78" s="294">
        <v>-4257774.5999999996</v>
      </c>
      <c r="YL78" s="294">
        <v>-1128237.06</v>
      </c>
      <c r="YM78" s="294">
        <v>-11931032.699999999</v>
      </c>
      <c r="YN78" s="294">
        <v>-6868085.29</v>
      </c>
      <c r="YO78" s="294">
        <v>-552813</v>
      </c>
      <c r="YP78" s="294">
        <v>-1290379</v>
      </c>
      <c r="YQ78" s="294">
        <v>-2099174.7999999998</v>
      </c>
      <c r="YR78" s="294">
        <v>-877180</v>
      </c>
      <c r="YS78" s="294">
        <v>-1115849.71</v>
      </c>
      <c r="YT78" s="294">
        <v>-791386</v>
      </c>
      <c r="YU78" s="294">
        <v>-713446</v>
      </c>
      <c r="YV78" s="294">
        <v>-12721280.279999999</v>
      </c>
      <c r="YW78" s="294">
        <v>-1685719</v>
      </c>
      <c r="YX78" s="294">
        <v>-635814</v>
      </c>
      <c r="YY78" s="294">
        <v>-1086685</v>
      </c>
      <c r="YZ78" s="294">
        <v>-1272260</v>
      </c>
      <c r="ZA78" s="294">
        <v>-877546.93</v>
      </c>
      <c r="ZB78" s="294">
        <v>-778338</v>
      </c>
      <c r="ZC78" s="294">
        <v>-9824604</v>
      </c>
      <c r="ZD78" s="294">
        <v>-496547</v>
      </c>
      <c r="ZE78" s="294">
        <v>-1200796</v>
      </c>
      <c r="ZF78" s="294">
        <v>-1263759.8799999999</v>
      </c>
      <c r="ZG78" s="294">
        <v>-580706</v>
      </c>
      <c r="ZH78" s="294">
        <v>-1015204</v>
      </c>
      <c r="ZI78" s="294">
        <v>-278823</v>
      </c>
      <c r="ZJ78" s="294">
        <v>-249100</v>
      </c>
      <c r="ZK78" s="294">
        <v>-7685080</v>
      </c>
      <c r="ZL78" s="294">
        <v>-72869129.659999996</v>
      </c>
      <c r="ZM78" s="294">
        <v>-629962.30000000005</v>
      </c>
      <c r="ZN78" s="294">
        <v>-3127530.28</v>
      </c>
      <c r="ZO78" s="294">
        <v>-21615265.129999999</v>
      </c>
      <c r="ZP78" s="294">
        <v>-7171281.7999999998</v>
      </c>
      <c r="ZQ78" s="294">
        <v>-1390982</v>
      </c>
      <c r="ZR78" s="294">
        <v>-735594</v>
      </c>
      <c r="ZS78" s="294">
        <v>-2790192.56</v>
      </c>
      <c r="ZT78" s="294">
        <v>-924681</v>
      </c>
      <c r="ZU78" s="294">
        <v>-6165978.3700000001</v>
      </c>
      <c r="ZV78" s="294">
        <v>-475848.07</v>
      </c>
      <c r="ZW78" s="294">
        <v>-966435.5</v>
      </c>
      <c r="ZX78" s="294">
        <v>-1050477.29</v>
      </c>
      <c r="ZY78" s="294">
        <v>-8829216.4000000004</v>
      </c>
      <c r="ZZ78" s="294">
        <v>-703050.5</v>
      </c>
      <c r="AAA78" s="294">
        <v>-1269615</v>
      </c>
      <c r="AAB78" s="294">
        <v>-489360</v>
      </c>
      <c r="AAC78" s="294">
        <v>-53810</v>
      </c>
      <c r="AAD78" s="294">
        <v>-2053116.75</v>
      </c>
      <c r="AAE78" s="294">
        <v>-307037.5</v>
      </c>
      <c r="AAF78" s="294">
        <v>-487951.5</v>
      </c>
      <c r="AAG78" s="294">
        <v>-772893.13</v>
      </c>
      <c r="AAH78" s="294">
        <v>-6298311.2999999998</v>
      </c>
      <c r="AAI78" s="294">
        <v>-1450478</v>
      </c>
      <c r="AAJ78" s="294">
        <v>-2454847</v>
      </c>
      <c r="AAK78" s="294">
        <v>-2091640.46</v>
      </c>
      <c r="AAL78" s="294">
        <v>-451385</v>
      </c>
      <c r="AAM78" s="294">
        <v>-2502698</v>
      </c>
      <c r="AAN78" s="294">
        <v>-403006.2</v>
      </c>
      <c r="AAO78" s="294">
        <v>-121907481.52</v>
      </c>
      <c r="AAP78" s="294">
        <v>-3750323.28</v>
      </c>
      <c r="AAQ78" s="294">
        <v>-1401854.7</v>
      </c>
      <c r="AAR78" s="294">
        <v>-6035378.4199999999</v>
      </c>
      <c r="AAS78" s="294">
        <v>-4372349.5</v>
      </c>
      <c r="AAT78" s="294">
        <v>-1793990.7</v>
      </c>
      <c r="AAU78" s="294">
        <v>-2213842</v>
      </c>
      <c r="AAV78" s="294">
        <v>-3838325.31</v>
      </c>
      <c r="AAW78" s="294">
        <v>-13845505.439999999</v>
      </c>
      <c r="AAX78" s="294">
        <v>-4002020.36</v>
      </c>
      <c r="AAY78" s="294">
        <v>-3324815.8</v>
      </c>
      <c r="AAZ78" s="294">
        <v>-19030088.199999999</v>
      </c>
      <c r="ABA78" s="294">
        <v>-4598345</v>
      </c>
      <c r="ABB78" s="294">
        <v>-451470.4</v>
      </c>
      <c r="ABC78" s="294">
        <v>-3567343.2</v>
      </c>
      <c r="ABD78" s="294">
        <v>-2591625</v>
      </c>
      <c r="ABE78" s="294">
        <v>-620300.5</v>
      </c>
      <c r="ABF78" s="294">
        <v>-1820246</v>
      </c>
      <c r="ABG78" s="294">
        <v>-1489653.62</v>
      </c>
      <c r="ABH78" s="294">
        <v>-21164085</v>
      </c>
      <c r="ABI78" s="294">
        <v>-18635371.109999999</v>
      </c>
      <c r="ABJ78" s="294">
        <v>-2095904.88</v>
      </c>
      <c r="ABK78" s="294">
        <v>-597123.5</v>
      </c>
      <c r="ABL78" s="294">
        <v>-2280912</v>
      </c>
      <c r="ABM78" s="294">
        <v>-305215.3</v>
      </c>
      <c r="ABN78" s="294">
        <v>-1133189.3</v>
      </c>
      <c r="ABO78" s="294">
        <v>-21162237.300000001</v>
      </c>
      <c r="ABP78" s="294">
        <v>-2059138.5</v>
      </c>
      <c r="ABQ78" s="294">
        <v>-1813004.38</v>
      </c>
      <c r="ABR78" s="294">
        <v>-5355359.3</v>
      </c>
      <c r="ABS78" s="294">
        <v>-5697009</v>
      </c>
      <c r="ABT78" s="294">
        <v>-1028230</v>
      </c>
      <c r="ABU78" s="294">
        <v>-1026726.65</v>
      </c>
      <c r="ABV78" s="294">
        <v>-1046178</v>
      </c>
      <c r="ABW78" s="294">
        <v>-312979.5</v>
      </c>
      <c r="ABX78" s="294">
        <v>-64889580</v>
      </c>
      <c r="ABY78" s="294">
        <v>-6377777.1600000001</v>
      </c>
      <c r="ABZ78" s="294">
        <v>-2112944.5</v>
      </c>
      <c r="ACA78" s="294">
        <v>-781060.15</v>
      </c>
      <c r="ACB78" s="294">
        <v>-1580092.25</v>
      </c>
      <c r="ACC78" s="294">
        <v>-25470260.600000001</v>
      </c>
      <c r="ACD78" s="294">
        <v>-939029.48</v>
      </c>
      <c r="ACE78" s="294">
        <v>-1823414.68</v>
      </c>
      <c r="ACF78" s="294">
        <v>-3310844</v>
      </c>
      <c r="ACG78" s="294">
        <v>-4306165</v>
      </c>
      <c r="ACH78" s="294">
        <v>-2077777.9</v>
      </c>
      <c r="ACI78" s="294">
        <v>-11382138.76</v>
      </c>
      <c r="ACJ78" s="294">
        <v>-2353759.4</v>
      </c>
      <c r="ACK78" s="294">
        <v>-3970636.8</v>
      </c>
      <c r="ACL78" s="294">
        <v>-4855613</v>
      </c>
      <c r="ACM78" s="294">
        <v>-825856</v>
      </c>
      <c r="ACN78" s="294">
        <v>-2649858</v>
      </c>
      <c r="ACO78" s="294">
        <v>-2440499.48</v>
      </c>
      <c r="ACP78" s="294">
        <v>-48404915.100000001</v>
      </c>
      <c r="ACQ78" s="294">
        <v>-16712139</v>
      </c>
      <c r="ACR78" s="294">
        <v>-4085771.65</v>
      </c>
      <c r="ACS78" s="294">
        <v>-3962834.5</v>
      </c>
      <c r="ACT78" s="294">
        <v>-4789552.4000000004</v>
      </c>
      <c r="ACU78" s="294">
        <v>-3733380.71</v>
      </c>
      <c r="ACV78" s="294">
        <v>-35731753.420000002</v>
      </c>
      <c r="ACW78" s="294">
        <v>-5508061</v>
      </c>
      <c r="ACX78" s="294">
        <v>-2442906</v>
      </c>
      <c r="ACY78" s="294">
        <v>-236073</v>
      </c>
      <c r="ACZ78" s="294">
        <v>-3800246.6</v>
      </c>
      <c r="ADA78" s="294">
        <v>-2216715</v>
      </c>
      <c r="ADB78" s="294">
        <v>-1568667.52</v>
      </c>
      <c r="ADC78" s="294">
        <v>-4335942.38</v>
      </c>
      <c r="ADD78" s="294">
        <v>-2706020.78</v>
      </c>
      <c r="ADE78" s="294">
        <v>-1594028.3</v>
      </c>
      <c r="ADF78" s="294">
        <v>-8412732.6199999992</v>
      </c>
      <c r="ADG78" s="294">
        <v>-7815877.5</v>
      </c>
      <c r="ADH78" s="294">
        <v>-348924.56</v>
      </c>
      <c r="ADI78" s="294">
        <v>-438388.7</v>
      </c>
      <c r="ADJ78" s="294">
        <v>-4132373</v>
      </c>
      <c r="ADK78" s="294">
        <v>-211026</v>
      </c>
      <c r="ADL78" s="294">
        <v>-372996</v>
      </c>
      <c r="ADM78" s="294">
        <v>-2308538.21</v>
      </c>
      <c r="ADN78" s="294">
        <v>-5237798</v>
      </c>
      <c r="ADO78" s="294">
        <v>-71412415.579999998</v>
      </c>
      <c r="ADP78" s="294">
        <v>-2241996.35</v>
      </c>
      <c r="ADQ78" s="294">
        <v>-3429494.25</v>
      </c>
      <c r="ADR78" s="294">
        <v>-1173738.8899999999</v>
      </c>
      <c r="ADS78" s="294">
        <v>-16912024</v>
      </c>
      <c r="ADT78" s="294">
        <v>-342038.5</v>
      </c>
      <c r="ADU78" s="294">
        <v>-1542522.34</v>
      </c>
      <c r="ADV78" s="294">
        <v>-3537682.06</v>
      </c>
      <c r="ADW78" s="294">
        <v>-1376834</v>
      </c>
      <c r="ADX78" s="294">
        <v>-233114.71</v>
      </c>
      <c r="ADY78" s="294">
        <v>-66589466.25</v>
      </c>
      <c r="ADZ78" s="294">
        <v>-5987563.7999999998</v>
      </c>
      <c r="AEA78" s="294">
        <v>-5666631.0300000003</v>
      </c>
      <c r="AEB78" s="294">
        <v>-3682178.04</v>
      </c>
      <c r="AEC78" s="294">
        <v>-1340870.75</v>
      </c>
      <c r="AED78" s="294">
        <v>-6366498.5</v>
      </c>
      <c r="AEE78" s="294">
        <v>-3789743.7</v>
      </c>
      <c r="AEF78" s="294">
        <v>-2600640</v>
      </c>
      <c r="AEG78" s="294">
        <v>-2020782.88</v>
      </c>
      <c r="AEH78" s="294">
        <v>-1298944.78</v>
      </c>
      <c r="AEI78" s="294">
        <v>-3679004.79</v>
      </c>
      <c r="AEJ78" s="294">
        <v>-5061872.12</v>
      </c>
      <c r="AEK78" s="294">
        <v>-910021</v>
      </c>
      <c r="AEL78" s="294">
        <v>-2630567.0299999998</v>
      </c>
      <c r="AEM78" s="294">
        <v>-4629824.5</v>
      </c>
      <c r="AEN78" s="294">
        <v>-5256440</v>
      </c>
      <c r="AEO78" s="294">
        <v>-462469.36</v>
      </c>
      <c r="AEP78" s="294">
        <v>-9442035</v>
      </c>
      <c r="AEQ78" s="294">
        <v>-1407612.75</v>
      </c>
      <c r="AER78" s="294">
        <v>-5696435</v>
      </c>
      <c r="AES78" s="294">
        <v>-10110743.58</v>
      </c>
      <c r="AET78" s="294">
        <v>-5693333.4500000002</v>
      </c>
      <c r="AEU78" s="294">
        <v>-1503112.5</v>
      </c>
      <c r="AEV78" s="294">
        <v>-1255324</v>
      </c>
      <c r="AEW78" s="294">
        <v>-1568299.3</v>
      </c>
      <c r="AEX78" s="294">
        <v>-6061427.79</v>
      </c>
      <c r="AEY78" s="294">
        <v>-1716882.8</v>
      </c>
      <c r="AEZ78" s="294">
        <v>-109590</v>
      </c>
      <c r="AFA78" s="294">
        <v>-2108374.19</v>
      </c>
      <c r="AFB78" s="294">
        <v>-1370207.2</v>
      </c>
      <c r="AFC78" s="294">
        <v>-31260188.43</v>
      </c>
      <c r="AFD78" s="294">
        <v>-1804023.01</v>
      </c>
      <c r="AFE78" s="294">
        <v>-10931879.689999999</v>
      </c>
      <c r="AFF78" s="294">
        <v>-4125840.5</v>
      </c>
      <c r="AFG78" s="294">
        <v>-4511541.07</v>
      </c>
      <c r="AFH78" s="294">
        <v>-1359660.47</v>
      </c>
      <c r="AFI78" s="294">
        <v>-1986810.7</v>
      </c>
      <c r="AFJ78" s="294">
        <v>-7339324</v>
      </c>
      <c r="AFK78" s="294">
        <v>-1248071</v>
      </c>
      <c r="AFL78" s="294">
        <v>-6168107.0499999998</v>
      </c>
      <c r="AFM78" s="294">
        <v>-1647181</v>
      </c>
      <c r="AFN78" s="294">
        <v>-1709880</v>
      </c>
      <c r="AFO78" s="294">
        <v>-2942558</v>
      </c>
      <c r="AFP78" s="294">
        <v>-79815637.390000001</v>
      </c>
      <c r="AFQ78" s="294">
        <v>-2178069</v>
      </c>
      <c r="AFR78" s="294">
        <v>-2827357.7</v>
      </c>
      <c r="AFS78" s="294">
        <v>-2578953.5</v>
      </c>
      <c r="AFT78" s="294">
        <v>-4995768.16</v>
      </c>
      <c r="AFU78" s="294">
        <v>-1662692.21</v>
      </c>
      <c r="AFV78" s="294">
        <v>-1690608</v>
      </c>
      <c r="AFW78" s="294">
        <v>-4362449</v>
      </c>
      <c r="AFX78" s="294">
        <v>-2798895</v>
      </c>
      <c r="AFY78" s="294">
        <v>-1207408.5</v>
      </c>
      <c r="AFZ78" s="294">
        <v>-6773283.5700000003</v>
      </c>
      <c r="AGA78" s="294">
        <v>-1359041.93</v>
      </c>
      <c r="AGB78" s="294">
        <v>-12288304</v>
      </c>
      <c r="AGC78" s="294">
        <v>-735286</v>
      </c>
      <c r="AGD78" s="294">
        <v>-1415528</v>
      </c>
      <c r="AGE78" s="294">
        <v>-685853.5</v>
      </c>
      <c r="AGF78" s="294">
        <v>-1589386.65</v>
      </c>
      <c r="AGG78" s="294">
        <v>-1348929.07</v>
      </c>
      <c r="AGH78" s="294">
        <v>-665543.5</v>
      </c>
      <c r="AGI78" s="294">
        <v>-499160</v>
      </c>
      <c r="AGJ78" s="294">
        <v>-1363458.8</v>
      </c>
      <c r="AGK78" s="294">
        <v>-1292543.05</v>
      </c>
      <c r="AGL78" s="294">
        <v>-850740</v>
      </c>
      <c r="AGM78" s="294">
        <v>-17395</v>
      </c>
      <c r="AGN78" s="294">
        <v>-9176900.2100000009</v>
      </c>
      <c r="AGO78" s="294">
        <v>-2670469</v>
      </c>
      <c r="AGP78" s="294">
        <v>-607456.92000000004</v>
      </c>
      <c r="AGQ78" s="294">
        <v>-6241935</v>
      </c>
      <c r="AGR78" s="294">
        <v>-4826739.88</v>
      </c>
      <c r="AGS78" s="294">
        <v>-1368018.17</v>
      </c>
      <c r="AGT78" s="294">
        <v>-823384</v>
      </c>
      <c r="AGU78" s="294">
        <v>-12050</v>
      </c>
      <c r="AGV78" s="294"/>
      <c r="AGW78" s="294">
        <v>-2661241.7000000002</v>
      </c>
      <c r="AGX78" s="294">
        <v>-2334361.96</v>
      </c>
      <c r="AGY78" s="294">
        <v>-26012252.5</v>
      </c>
      <c r="AGZ78" s="294">
        <v>-1475605</v>
      </c>
      <c r="AHA78" s="294">
        <v>-1996405</v>
      </c>
      <c r="AHB78" s="294">
        <v>-1322023</v>
      </c>
      <c r="AHC78" s="294">
        <v>-1016229</v>
      </c>
      <c r="AHD78" s="294">
        <v>-3225060.33</v>
      </c>
      <c r="AHE78" s="294">
        <v>-5853577.5</v>
      </c>
      <c r="AHF78" s="294">
        <v>-1064548.97</v>
      </c>
      <c r="AHG78" s="294">
        <v>-2035113.16</v>
      </c>
      <c r="AHH78" s="294">
        <v>-3518827.5</v>
      </c>
      <c r="AHI78" s="294">
        <v>-356219.3</v>
      </c>
      <c r="AHJ78" s="294">
        <v>-1000054.5</v>
      </c>
      <c r="AHK78" s="294">
        <v>-1902005.56</v>
      </c>
      <c r="AHL78" s="294">
        <v>-1576351.31</v>
      </c>
      <c r="AHM78" s="294">
        <v>-1918399</v>
      </c>
      <c r="AHN78" s="294">
        <v>-256511</v>
      </c>
      <c r="AHO78" s="294">
        <v>-1347539</v>
      </c>
      <c r="AHP78" s="294">
        <v>-1940384</v>
      </c>
      <c r="AHQ78" s="294">
        <v>-475121.2</v>
      </c>
      <c r="AHR78" s="331">
        <v>-3433032</v>
      </c>
      <c r="AHS78" s="294">
        <f t="shared" si="51"/>
        <v>-4676313674.0300035</v>
      </c>
      <c r="AHT78" s="269" t="b">
        <f t="shared" si="52"/>
        <v>1</v>
      </c>
      <c r="AHU78" s="269" t="s">
        <v>6278</v>
      </c>
      <c r="AHV78" s="269" t="s">
        <v>6099</v>
      </c>
      <c r="AHW78" s="269" t="s">
        <v>6100</v>
      </c>
    </row>
    <row r="79" spans="1:907" ht="24.6" x14ac:dyDescent="0.7">
      <c r="A79" s="268" t="s">
        <v>6278</v>
      </c>
      <c r="B79" s="268" t="s">
        <v>6101</v>
      </c>
      <c r="C79" s="269" t="s">
        <v>6102</v>
      </c>
      <c r="D79" s="294">
        <v>-488596.25</v>
      </c>
      <c r="E79" s="294">
        <v>-297398.68</v>
      </c>
      <c r="F79" s="294">
        <v>-1805676.79</v>
      </c>
      <c r="G79" s="294">
        <v>-225566.4</v>
      </c>
      <c r="H79" s="294">
        <v>-2666074.67</v>
      </c>
      <c r="I79" s="294">
        <v>-405796.95</v>
      </c>
      <c r="J79" s="294">
        <v>-1826353.21</v>
      </c>
      <c r="K79" s="294">
        <v>-26200</v>
      </c>
      <c r="L79" s="294">
        <v>-575273</v>
      </c>
      <c r="M79" s="294">
        <v>-728067.56</v>
      </c>
      <c r="N79" s="294">
        <v>-2377406.0499999998</v>
      </c>
      <c r="O79" s="294">
        <v>-115915.62</v>
      </c>
      <c r="P79" s="294">
        <v>-883475.43</v>
      </c>
      <c r="Q79" s="294">
        <v>-592216.92000000004</v>
      </c>
      <c r="R79" s="294">
        <v>-558934.28</v>
      </c>
      <c r="S79" s="294">
        <v>-2628735.56</v>
      </c>
      <c r="T79" s="294">
        <v>-396559.3</v>
      </c>
      <c r="U79" s="294">
        <v>-266220.82</v>
      </c>
      <c r="V79" s="294">
        <v>-231115.02</v>
      </c>
      <c r="W79" s="294">
        <v>-1757105.22</v>
      </c>
      <c r="X79" s="294">
        <v>-519719.1</v>
      </c>
      <c r="Y79" s="294">
        <v>-678175.6</v>
      </c>
      <c r="Z79" s="294">
        <v>-1634641.06</v>
      </c>
      <c r="AA79" s="294">
        <v>-50162.559999999998</v>
      </c>
      <c r="AB79" s="294">
        <v>-1212006.3500000001</v>
      </c>
      <c r="AC79" s="294">
        <v>-2715092.77</v>
      </c>
      <c r="AD79" s="294">
        <v>-997829.84</v>
      </c>
      <c r="AE79" s="294">
        <v>-29532.57</v>
      </c>
      <c r="AF79" s="294">
        <v>-1732102.8</v>
      </c>
      <c r="AG79" s="294">
        <v>-131659.79999999999</v>
      </c>
      <c r="AH79" s="294">
        <v>-3000699.8</v>
      </c>
      <c r="AI79" s="294">
        <v>-2390984.69</v>
      </c>
      <c r="AJ79" s="294">
        <v>-395719.5</v>
      </c>
      <c r="AK79" s="294">
        <v>-313094.40000000002</v>
      </c>
      <c r="AL79" s="294">
        <v>-2187875.91</v>
      </c>
      <c r="AM79" s="294">
        <v>-190367.69</v>
      </c>
      <c r="AN79" s="294">
        <v>-222945.49</v>
      </c>
      <c r="AO79" s="294">
        <v>-759321.26</v>
      </c>
      <c r="AP79" s="294">
        <v>-661021.69999999995</v>
      </c>
      <c r="AQ79" s="294">
        <v>-548501.25</v>
      </c>
      <c r="AR79" s="294">
        <v>-558889.12</v>
      </c>
      <c r="AS79" s="294">
        <v>-564417</v>
      </c>
      <c r="AT79" s="294">
        <v>-5103694.59</v>
      </c>
      <c r="AU79" s="294">
        <v>-154883.29999999999</v>
      </c>
      <c r="AV79" s="294">
        <v>-258186.8</v>
      </c>
      <c r="AW79" s="294">
        <v>-165688.76999999999</v>
      </c>
      <c r="AX79" s="294">
        <v>-818328.21</v>
      </c>
      <c r="AY79" s="294">
        <v>-380932</v>
      </c>
      <c r="AZ79" s="294">
        <v>-147886</v>
      </c>
      <c r="BA79" s="294">
        <v>-563734.39999999991</v>
      </c>
      <c r="BB79" s="294">
        <v>-67491.02</v>
      </c>
      <c r="BC79" s="294">
        <v>-660778.46</v>
      </c>
      <c r="BD79" s="294">
        <v>-258883.14</v>
      </c>
      <c r="BE79" s="294">
        <v>-705920</v>
      </c>
      <c r="BF79" s="294">
        <v>-2963121.89</v>
      </c>
      <c r="BG79" s="294">
        <v>-36384</v>
      </c>
      <c r="BH79" s="294">
        <v>-457552.55</v>
      </c>
      <c r="BI79" s="294">
        <v>-1377526.96</v>
      </c>
      <c r="BJ79" s="294">
        <v>-4625148.99</v>
      </c>
      <c r="BK79" s="294">
        <v>-718618.4</v>
      </c>
      <c r="BL79" s="294">
        <v>-166736.91</v>
      </c>
      <c r="BM79" s="294">
        <v>-875816</v>
      </c>
      <c r="BN79" s="294">
        <v>-305576.3</v>
      </c>
      <c r="BO79" s="294">
        <v>-396234</v>
      </c>
      <c r="BP79" s="294">
        <v>-215556.6</v>
      </c>
      <c r="BQ79" s="294">
        <v>-234351.49</v>
      </c>
      <c r="BR79" s="294">
        <v>-4117134.78</v>
      </c>
      <c r="BS79" s="294">
        <v>-26445</v>
      </c>
      <c r="BT79" s="294">
        <v>-252835.13</v>
      </c>
      <c r="BU79" s="294">
        <v>-355493.37</v>
      </c>
      <c r="BV79" s="294">
        <v>-191646.7</v>
      </c>
      <c r="BW79" s="294">
        <v>-287042.27</v>
      </c>
      <c r="BX79" s="294">
        <v>-246534.93000000002</v>
      </c>
      <c r="BY79" s="294">
        <v>-155718.79999999999</v>
      </c>
      <c r="BZ79" s="294">
        <v>-3295164.2499999995</v>
      </c>
      <c r="CA79" s="294">
        <v>-747758.3</v>
      </c>
      <c r="CB79" s="294">
        <v>-1647703</v>
      </c>
      <c r="CC79" s="294">
        <v>-1801562.95</v>
      </c>
      <c r="CD79" s="294">
        <v>-230372.1</v>
      </c>
      <c r="CE79" s="294">
        <v>-662276.57000000007</v>
      </c>
      <c r="CF79" s="294">
        <v>-298030</v>
      </c>
      <c r="CG79" s="294">
        <v>-1324740.8999999999</v>
      </c>
      <c r="CH79" s="294">
        <v>-270758.34000000003</v>
      </c>
      <c r="CI79" s="294">
        <v>-649844.6</v>
      </c>
      <c r="CJ79" s="294">
        <v>-784783</v>
      </c>
      <c r="CK79" s="294">
        <v>-841204.6</v>
      </c>
      <c r="CL79" s="294">
        <v>-562480.19999999995</v>
      </c>
      <c r="CM79" s="294">
        <v>-213845.8</v>
      </c>
      <c r="CN79" s="294">
        <v>-711618.76</v>
      </c>
      <c r="CO79" s="294">
        <v>-91394.5</v>
      </c>
      <c r="CP79" s="294">
        <v>-131939.65</v>
      </c>
      <c r="CQ79" s="294">
        <v>-218867.44</v>
      </c>
      <c r="CR79" s="294">
        <v>-268449.05</v>
      </c>
      <c r="CS79" s="294">
        <v>-181263.19</v>
      </c>
      <c r="CT79" s="294">
        <v>-3940139.69</v>
      </c>
      <c r="CU79" s="294">
        <v>-97980.800000000003</v>
      </c>
      <c r="CV79" s="294">
        <v>-373059</v>
      </c>
      <c r="CW79" s="294">
        <v>-1066829.5</v>
      </c>
      <c r="CX79" s="294">
        <v>-34198.400000000001</v>
      </c>
      <c r="CY79" s="294">
        <v>-114666.8</v>
      </c>
      <c r="CZ79" s="294">
        <v>-141992</v>
      </c>
      <c r="DA79" s="294">
        <v>-167329.79999999999</v>
      </c>
      <c r="DB79" s="294">
        <v>-3180617.54</v>
      </c>
      <c r="DC79" s="294">
        <v>-8203873.6100000003</v>
      </c>
      <c r="DD79" s="294">
        <v>-1023300.73</v>
      </c>
      <c r="DE79" s="294">
        <v>-591003</v>
      </c>
      <c r="DF79" s="294">
        <v>-1164745.71</v>
      </c>
      <c r="DG79" s="294">
        <v>-2663402.6</v>
      </c>
      <c r="DH79" s="294">
        <v>-1044878</v>
      </c>
      <c r="DI79" s="294">
        <v>-814136.5</v>
      </c>
      <c r="DJ79" s="294">
        <v>-979306.01</v>
      </c>
      <c r="DK79" s="294">
        <v>-4826984.97</v>
      </c>
      <c r="DL79" s="294">
        <v>-1704009.1</v>
      </c>
      <c r="DM79" s="294">
        <v>-1070499.55</v>
      </c>
      <c r="DN79" s="294">
        <v>-716994.6</v>
      </c>
      <c r="DO79" s="294">
        <v>-271006.28000000003</v>
      </c>
      <c r="DP79" s="294">
        <v>-1557232.25</v>
      </c>
      <c r="DQ79" s="294">
        <v>-1200662.95</v>
      </c>
      <c r="DR79" s="294">
        <v>-856435.1</v>
      </c>
      <c r="DS79" s="294">
        <v>-761720.81</v>
      </c>
      <c r="DT79" s="294">
        <v>-17506516.27</v>
      </c>
      <c r="DU79" s="294">
        <v>-260120</v>
      </c>
      <c r="DV79" s="294">
        <v>-5259092.47</v>
      </c>
      <c r="DW79" s="294">
        <v>-2417625.96</v>
      </c>
      <c r="DX79" s="294">
        <v>-908412.51</v>
      </c>
      <c r="DY79" s="294">
        <v>-2371508.42</v>
      </c>
      <c r="DZ79" s="294">
        <v>-782614</v>
      </c>
      <c r="EA79" s="294">
        <v>-189370.21</v>
      </c>
      <c r="EB79" s="294">
        <v>-1164561</v>
      </c>
      <c r="EC79" s="294">
        <v>-977949.45</v>
      </c>
      <c r="ED79" s="294">
        <v>-3723175.8</v>
      </c>
      <c r="EE79" s="294">
        <v>-1548803.5</v>
      </c>
      <c r="EF79" s="294">
        <v>-520595.7</v>
      </c>
      <c r="EG79" s="294">
        <v>-377463.35</v>
      </c>
      <c r="EH79" s="294">
        <v>-349725.12</v>
      </c>
      <c r="EI79" s="294">
        <v>-859461.48</v>
      </c>
      <c r="EJ79" s="294">
        <v>-412497.88</v>
      </c>
      <c r="EK79" s="294">
        <v>-1265131.05</v>
      </c>
      <c r="EL79" s="294">
        <v>-614675.19999999995</v>
      </c>
      <c r="EM79" s="294">
        <v>-224738.73</v>
      </c>
      <c r="EN79" s="294">
        <v>-441160.46</v>
      </c>
      <c r="EO79" s="294">
        <v>-528589.28</v>
      </c>
      <c r="EP79" s="294">
        <v>-360828.98</v>
      </c>
      <c r="EQ79" s="294">
        <v>-251981</v>
      </c>
      <c r="ER79" s="294">
        <v>-1917601.3</v>
      </c>
      <c r="ES79" s="294">
        <v>-327473.40000000002</v>
      </c>
      <c r="ET79" s="294">
        <v>-1598994.75</v>
      </c>
      <c r="EU79" s="294">
        <v>-1446752.64</v>
      </c>
      <c r="EV79" s="294">
        <v>-1886517.5</v>
      </c>
      <c r="EW79" s="294">
        <v>-5215780.3499999996</v>
      </c>
      <c r="EX79" s="294">
        <v>-367021</v>
      </c>
      <c r="EY79" s="294">
        <v>-1053112.1000000001</v>
      </c>
      <c r="EZ79" s="294">
        <v>-685474.5</v>
      </c>
      <c r="FA79" s="294">
        <v>-2155585.46</v>
      </c>
      <c r="FB79" s="294">
        <v>-2259626.9</v>
      </c>
      <c r="FC79" s="294">
        <v>-1034947.92</v>
      </c>
      <c r="FD79" s="294">
        <v>-956250.89</v>
      </c>
      <c r="FE79" s="294">
        <v>-278538.03999999998</v>
      </c>
      <c r="FF79" s="294">
        <v>-578733.93000000005</v>
      </c>
      <c r="FG79" s="294">
        <v>-367450.1</v>
      </c>
      <c r="FH79" s="294">
        <v>-708383.7</v>
      </c>
      <c r="FI79" s="294">
        <v>-3941784.35</v>
      </c>
      <c r="FJ79" s="294">
        <v>-227106.62</v>
      </c>
      <c r="FK79" s="294">
        <v>0</v>
      </c>
      <c r="FL79" s="294">
        <v>-188375.19</v>
      </c>
      <c r="FM79" s="294">
        <v>-1536818.77</v>
      </c>
      <c r="FN79" s="294">
        <v>-622676</v>
      </c>
      <c r="FO79" s="294">
        <v>-137064.20000000001</v>
      </c>
      <c r="FP79" s="294">
        <v>-71112</v>
      </c>
      <c r="FQ79" s="294">
        <v>-915671.61</v>
      </c>
      <c r="FR79" s="294">
        <v>-630901.4</v>
      </c>
      <c r="FS79" s="294">
        <v>-618113.5</v>
      </c>
      <c r="FT79" s="294">
        <v>-3195255.54</v>
      </c>
      <c r="FU79" s="294">
        <v>-965545.4</v>
      </c>
      <c r="FV79" s="294">
        <v>-515539</v>
      </c>
      <c r="FW79" s="294">
        <v>-1512091.02</v>
      </c>
      <c r="FX79" s="294">
        <v>-726957.12</v>
      </c>
      <c r="FY79" s="294">
        <v>-1793969.58</v>
      </c>
      <c r="FZ79" s="294">
        <v>-348391.51</v>
      </c>
      <c r="GA79" s="294">
        <v>-836483.24</v>
      </c>
      <c r="GB79" s="294">
        <v>-640971.19999999995</v>
      </c>
      <c r="GC79" s="294">
        <v>-938997.2</v>
      </c>
      <c r="GD79" s="294">
        <v>-435635</v>
      </c>
      <c r="GE79" s="294">
        <v>-1594078.5</v>
      </c>
      <c r="GF79" s="294">
        <v>-571647</v>
      </c>
      <c r="GG79" s="294">
        <v>-200050</v>
      </c>
      <c r="GH79" s="294">
        <v>-2158354.34</v>
      </c>
      <c r="GI79" s="294">
        <v>-853305.77</v>
      </c>
      <c r="GJ79" s="294">
        <v>-111293.4</v>
      </c>
      <c r="GK79" s="294">
        <v>-540394.6</v>
      </c>
      <c r="GL79" s="294">
        <v>-1075805.0900000001</v>
      </c>
      <c r="GM79" s="294">
        <v>-226383.91</v>
      </c>
      <c r="GN79" s="294">
        <v>-221160.75</v>
      </c>
      <c r="GO79" s="294">
        <v>-610155.30000000005</v>
      </c>
      <c r="GP79" s="294">
        <v>-128263.37</v>
      </c>
      <c r="GQ79" s="294">
        <v>-2504887.87</v>
      </c>
      <c r="GR79" s="294">
        <v>-642308.5</v>
      </c>
      <c r="GS79" s="294">
        <v>-534693</v>
      </c>
      <c r="GT79" s="294">
        <v>-897495</v>
      </c>
      <c r="GU79" s="294">
        <v>-54545.5</v>
      </c>
      <c r="GV79" s="294">
        <v>-75729.67</v>
      </c>
      <c r="GW79" s="294">
        <v>-738145.96</v>
      </c>
      <c r="GX79" s="294">
        <v>-471609.5</v>
      </c>
      <c r="GY79" s="294">
        <v>-5104750.12</v>
      </c>
      <c r="GZ79" s="294">
        <v>-97840</v>
      </c>
      <c r="HA79" s="294">
        <v>-3352147.8</v>
      </c>
      <c r="HB79" s="294">
        <v>-938060.43</v>
      </c>
      <c r="HC79" s="294">
        <v>-2284534.2999999998</v>
      </c>
      <c r="HD79" s="294">
        <v>-5000697.29</v>
      </c>
      <c r="HE79" s="294">
        <v>-1598538.19</v>
      </c>
      <c r="HF79" s="294">
        <v>-1717093.23</v>
      </c>
      <c r="HG79" s="294">
        <v>-432266.47</v>
      </c>
      <c r="HH79" s="294">
        <v>-1966191.4700000002</v>
      </c>
      <c r="HI79" s="294">
        <v>-29330</v>
      </c>
      <c r="HJ79" s="294">
        <v>-9550665.7799999993</v>
      </c>
      <c r="HK79" s="294">
        <v>-2688131.22</v>
      </c>
      <c r="HL79" s="294">
        <v>-5940501.5099999998</v>
      </c>
      <c r="HM79" s="294">
        <v>-1376839.5</v>
      </c>
      <c r="HN79" s="294">
        <v>-445223.38</v>
      </c>
      <c r="HO79" s="294">
        <v>-422960.55</v>
      </c>
      <c r="HP79" s="294">
        <v>-2437120.3199999994</v>
      </c>
      <c r="HQ79" s="294">
        <v>-685350.5</v>
      </c>
      <c r="HR79" s="294">
        <v>-529600.54009999998</v>
      </c>
      <c r="HS79" s="294">
        <v>-1365888.77</v>
      </c>
      <c r="HT79" s="294">
        <v>-67748</v>
      </c>
      <c r="HU79" s="294">
        <v>-1234141.44</v>
      </c>
      <c r="HV79" s="294">
        <v>-592674.79</v>
      </c>
      <c r="HW79" s="294">
        <v>-412507.56</v>
      </c>
      <c r="HX79" s="294">
        <v>-1007449.76</v>
      </c>
      <c r="HY79" s="294">
        <v>-676090.07</v>
      </c>
      <c r="HZ79" s="294">
        <v>-854324.62</v>
      </c>
      <c r="IA79" s="294">
        <v>-868929.03</v>
      </c>
      <c r="IB79" s="294">
        <v>-475800.54</v>
      </c>
      <c r="IC79" s="294">
        <v>-865264.35</v>
      </c>
      <c r="ID79" s="294">
        <v>-364227.32</v>
      </c>
      <c r="IE79" s="294">
        <v>-1164107.17</v>
      </c>
      <c r="IF79" s="294">
        <v>-335812.35</v>
      </c>
      <c r="IG79" s="294">
        <v>-531859.5</v>
      </c>
      <c r="IH79" s="294">
        <v>-6323243.04</v>
      </c>
      <c r="II79" s="294">
        <v>-19560</v>
      </c>
      <c r="IJ79" s="294">
        <v>-66527.5</v>
      </c>
      <c r="IK79" s="294">
        <v>-2451965.5299999998</v>
      </c>
      <c r="IL79" s="294">
        <v>-2599559.3299999996</v>
      </c>
      <c r="IM79" s="294">
        <v>-1040106.4</v>
      </c>
      <c r="IN79" s="294">
        <v>-338949.98000000004</v>
      </c>
      <c r="IO79" s="294">
        <v>-513646.26</v>
      </c>
      <c r="IP79" s="294">
        <v>-792242.27</v>
      </c>
      <c r="IQ79" s="294">
        <v>-687785.97</v>
      </c>
      <c r="IR79" s="294">
        <v>-349764.3</v>
      </c>
      <c r="IS79" s="294">
        <v>-11874345.229999997</v>
      </c>
      <c r="IT79" s="294">
        <v>-1129377.46</v>
      </c>
      <c r="IU79" s="294">
        <v>-857808.58</v>
      </c>
      <c r="IV79" s="294">
        <v>-583542.41</v>
      </c>
      <c r="IW79" s="294">
        <v>-877507.09</v>
      </c>
      <c r="IX79" s="294">
        <v>-73123.86</v>
      </c>
      <c r="IY79" s="294">
        <v>-1009247.97</v>
      </c>
      <c r="IZ79" s="294">
        <v>-44428.07</v>
      </c>
      <c r="JA79" s="294">
        <v>-409790.31</v>
      </c>
      <c r="JB79" s="294">
        <v>-364171.44</v>
      </c>
      <c r="JC79" s="294">
        <v>-410515.51</v>
      </c>
      <c r="JD79" s="294"/>
      <c r="JE79" s="294">
        <v>-312516.65999999997</v>
      </c>
      <c r="JF79" s="294">
        <v>-3547828.06</v>
      </c>
      <c r="JG79" s="294">
        <v>-468440.86</v>
      </c>
      <c r="JH79" s="294">
        <v>-601767.06000000006</v>
      </c>
      <c r="JI79" s="294">
        <v>-589656.09</v>
      </c>
      <c r="JJ79" s="294">
        <v>-104086.37</v>
      </c>
      <c r="JK79" s="294">
        <v>-4850842.04</v>
      </c>
      <c r="JL79" s="294">
        <v>-689813.01</v>
      </c>
      <c r="JM79" s="294">
        <v>-1231124.8400000001</v>
      </c>
      <c r="JN79" s="294">
        <v>-1268102.49</v>
      </c>
      <c r="JO79" s="294">
        <v>-852074.88</v>
      </c>
      <c r="JP79" s="294">
        <v>-2629562.7200000002</v>
      </c>
      <c r="JQ79" s="294">
        <v>-493389.24</v>
      </c>
      <c r="JR79" s="294">
        <v>-5133564.8900000006</v>
      </c>
      <c r="JS79" s="294">
        <v>-195681.37</v>
      </c>
      <c r="JT79" s="294">
        <v>-1836742.89</v>
      </c>
      <c r="JU79" s="294">
        <v>-135425</v>
      </c>
      <c r="JV79" s="294">
        <v>-1219771.5</v>
      </c>
      <c r="JW79" s="294">
        <v>-448746</v>
      </c>
      <c r="JX79" s="294">
        <v>-4314998.8</v>
      </c>
      <c r="JY79" s="294">
        <v>-1464349.51</v>
      </c>
      <c r="JZ79" s="294">
        <v>-25615</v>
      </c>
      <c r="KA79" s="294">
        <v>-1121124.3</v>
      </c>
      <c r="KB79" s="294">
        <v>-220419</v>
      </c>
      <c r="KC79" s="294">
        <v>-115475</v>
      </c>
      <c r="KD79" s="294">
        <v>-567438.38</v>
      </c>
      <c r="KE79" s="294">
        <v>-110331.2</v>
      </c>
      <c r="KF79" s="294">
        <v>-870961.63</v>
      </c>
      <c r="KG79" s="294">
        <v>-1551561.47</v>
      </c>
      <c r="KH79" s="294">
        <v>-14717843.650000002</v>
      </c>
      <c r="KI79" s="294">
        <v>-1399184.91</v>
      </c>
      <c r="KJ79" s="294">
        <v>-158599.54999999999</v>
      </c>
      <c r="KK79" s="294">
        <v>-115942.82</v>
      </c>
      <c r="KL79" s="294">
        <v>-144800</v>
      </c>
      <c r="KM79" s="294">
        <v>-194815.79</v>
      </c>
      <c r="KN79" s="294">
        <v>-3363055.84</v>
      </c>
      <c r="KO79" s="294">
        <v>-476064.65</v>
      </c>
      <c r="KP79" s="294">
        <v>-377614.32</v>
      </c>
      <c r="KQ79" s="294">
        <v>-7678671.0999999996</v>
      </c>
      <c r="KR79" s="294">
        <v>-1377528.26</v>
      </c>
      <c r="KS79" s="294">
        <v>-847932.7</v>
      </c>
      <c r="KT79" s="294">
        <v>-5220071.74</v>
      </c>
      <c r="KU79" s="294">
        <v>-1255477.95</v>
      </c>
      <c r="KV79" s="294">
        <v>-2091566.6</v>
      </c>
      <c r="KW79" s="294">
        <v>-2854042.63</v>
      </c>
      <c r="KX79" s="294">
        <v>-2165906.81</v>
      </c>
      <c r="KY79" s="294">
        <v>-4509401.16</v>
      </c>
      <c r="KZ79" s="294">
        <v>-823763.67999999993</v>
      </c>
      <c r="LA79" s="294">
        <v>-656233.12</v>
      </c>
      <c r="LB79" s="294">
        <v>-416116.18</v>
      </c>
      <c r="LC79" s="294">
        <v>-1317244.6200000001</v>
      </c>
      <c r="LD79" s="294">
        <v>-1485824.1099999999</v>
      </c>
      <c r="LE79" s="294">
        <v>-562835.6</v>
      </c>
      <c r="LF79" s="294">
        <v>-1546242.09</v>
      </c>
      <c r="LG79" s="294">
        <v>-5019442.45</v>
      </c>
      <c r="LH79" s="294">
        <v>-72285.62</v>
      </c>
      <c r="LI79" s="294">
        <v>-193664.34</v>
      </c>
      <c r="LJ79" s="294">
        <v>-3866803.86</v>
      </c>
      <c r="LK79" s="294">
        <v>-1032674.88</v>
      </c>
      <c r="LL79" s="294">
        <v>-1029253.17</v>
      </c>
      <c r="LM79" s="294">
        <v>-913387.78</v>
      </c>
      <c r="LN79" s="294">
        <v>-1011064.5</v>
      </c>
      <c r="LO79" s="294">
        <v>-821257.73</v>
      </c>
      <c r="LP79" s="294"/>
      <c r="LQ79" s="294">
        <v>-94999.8</v>
      </c>
      <c r="LR79" s="294">
        <v>-2689303.7</v>
      </c>
      <c r="LS79" s="294">
        <v>-639434.15</v>
      </c>
      <c r="LT79" s="294">
        <v>-950092.23</v>
      </c>
      <c r="LU79" s="294">
        <v>-4458373.4000000004</v>
      </c>
      <c r="LV79" s="294">
        <v>-1077249.1400000001</v>
      </c>
      <c r="LW79" s="294">
        <v>-2451398.6</v>
      </c>
      <c r="LX79" s="294">
        <v>-2386523.2000000002</v>
      </c>
      <c r="LY79" s="294">
        <v>-909872.95</v>
      </c>
      <c r="LZ79" s="294">
        <v>-2158969.2800000003</v>
      </c>
      <c r="MA79" s="294">
        <v>-1289303.46</v>
      </c>
      <c r="MB79" s="294">
        <v>-374212.47</v>
      </c>
      <c r="MC79" s="294">
        <v>-2193733.2999999998</v>
      </c>
      <c r="MD79" s="294">
        <v>-676183.11</v>
      </c>
      <c r="ME79" s="294">
        <v>-3295601.41</v>
      </c>
      <c r="MF79" s="294">
        <v>-968774.23</v>
      </c>
      <c r="MG79" s="294">
        <v>-10844516.66</v>
      </c>
      <c r="MH79" s="294">
        <v>-996555.8</v>
      </c>
      <c r="MI79" s="294">
        <v>-240596</v>
      </c>
      <c r="MJ79" s="294">
        <v>-271427</v>
      </c>
      <c r="MK79" s="294">
        <v>-197079</v>
      </c>
      <c r="ML79" s="294">
        <v>-737791.66</v>
      </c>
      <c r="MM79" s="294">
        <v>-599024</v>
      </c>
      <c r="MN79" s="294">
        <v>-763320.51</v>
      </c>
      <c r="MO79" s="294">
        <v>-1379499.25</v>
      </c>
      <c r="MP79" s="294">
        <v>-715345.2</v>
      </c>
      <c r="MQ79" s="294">
        <v>-588708.82000000007</v>
      </c>
      <c r="MR79" s="294">
        <v>-306556.59999999998</v>
      </c>
      <c r="MS79" s="294">
        <v>-139280</v>
      </c>
      <c r="MT79" s="294">
        <v>-805978.92999999993</v>
      </c>
      <c r="MU79" s="294">
        <v>-1089898.44</v>
      </c>
      <c r="MV79" s="294">
        <v>-2649341.7599999998</v>
      </c>
      <c r="MW79" s="294">
        <v>-3286022.32</v>
      </c>
      <c r="MX79" s="294">
        <v>-548883.01</v>
      </c>
      <c r="MY79" s="294">
        <v>-2621069.7700999998</v>
      </c>
      <c r="MZ79" s="294">
        <v>-2059321.7000000002</v>
      </c>
      <c r="NA79" s="294">
        <v>-1594637.3199999998</v>
      </c>
      <c r="NB79" s="294">
        <v>-566396.73</v>
      </c>
      <c r="NC79" s="294">
        <v>-772887.44</v>
      </c>
      <c r="ND79" s="294">
        <v>-243854.24</v>
      </c>
      <c r="NE79" s="294">
        <v>-821695.61</v>
      </c>
      <c r="NF79" s="294">
        <v>-533420.79</v>
      </c>
      <c r="NG79" s="294">
        <v>-6055465.8799999999</v>
      </c>
      <c r="NH79" s="294">
        <v>-531437.31999999995</v>
      </c>
      <c r="NI79" s="294">
        <v>-1997510.77</v>
      </c>
      <c r="NJ79" s="294">
        <v>-1695121.45</v>
      </c>
      <c r="NK79" s="294">
        <v>-3365735.5500000003</v>
      </c>
      <c r="NL79" s="294">
        <v>-89311.18</v>
      </c>
      <c r="NM79" s="294">
        <v>-1210561.78</v>
      </c>
      <c r="NN79" s="294">
        <v>-317925.65999999997</v>
      </c>
      <c r="NO79" s="294">
        <v>-770452.5</v>
      </c>
      <c r="NP79" s="294">
        <v>-2358743.14</v>
      </c>
      <c r="NQ79" s="294">
        <v>-339870</v>
      </c>
      <c r="NR79" s="294">
        <v>-1080662.7</v>
      </c>
      <c r="NS79" s="294">
        <v>-208100</v>
      </c>
      <c r="NT79" s="294">
        <v>-273264.40000000002</v>
      </c>
      <c r="NU79" s="294">
        <v>-119680</v>
      </c>
      <c r="NV79" s="294">
        <v>-302684.59999999998</v>
      </c>
      <c r="NW79" s="294">
        <v>-529061.30000000005</v>
      </c>
      <c r="NX79" s="294">
        <v>-5077296.0999999996</v>
      </c>
      <c r="NY79" s="294">
        <v>-889240.05</v>
      </c>
      <c r="NZ79" s="294">
        <v>-370546.4</v>
      </c>
      <c r="OA79" s="294">
        <v>-5130</v>
      </c>
      <c r="OB79" s="294">
        <v>-1708998.12</v>
      </c>
      <c r="OC79" s="294">
        <v>-570490.98</v>
      </c>
      <c r="OD79" s="294">
        <v>-531024.72</v>
      </c>
      <c r="OE79" s="294">
        <v>-10940514.5</v>
      </c>
      <c r="OF79" s="294">
        <v>-1294774.26</v>
      </c>
      <c r="OG79" s="294">
        <v>-5958375.5099999998</v>
      </c>
      <c r="OH79" s="294">
        <v>-1058924.19</v>
      </c>
      <c r="OI79" s="294">
        <v>-2804762.5599999996</v>
      </c>
      <c r="OJ79" s="294">
        <v>-3631816.89</v>
      </c>
      <c r="OK79" s="294">
        <v>-690429.09</v>
      </c>
      <c r="OL79" s="294">
        <v>-2105580.0699999998</v>
      </c>
      <c r="OM79" s="294">
        <v>-6687487.9299999997</v>
      </c>
      <c r="ON79" s="294">
        <v>-3383653.5</v>
      </c>
      <c r="OO79" s="294">
        <v>-5501000.4400000004</v>
      </c>
      <c r="OP79" s="294">
        <v>-2709484.81</v>
      </c>
      <c r="OQ79" s="294">
        <v>-1057306.67</v>
      </c>
      <c r="OR79" s="294">
        <v>-703739.96</v>
      </c>
      <c r="OS79" s="294">
        <v>-159052.24000000002</v>
      </c>
      <c r="OT79" s="294">
        <v>-1165358.48</v>
      </c>
      <c r="OU79" s="294">
        <v>-1083502.7</v>
      </c>
      <c r="OV79" s="294">
        <v>-512830</v>
      </c>
      <c r="OW79" s="294">
        <v>-331147.34999999998</v>
      </c>
      <c r="OX79" s="294">
        <v>-6007862.46</v>
      </c>
      <c r="OY79" s="294">
        <v>-424472</v>
      </c>
      <c r="OZ79" s="294">
        <v>-440958</v>
      </c>
      <c r="PA79" s="294">
        <v>-717354.75</v>
      </c>
      <c r="PB79" s="294">
        <v>-5763153.5899999999</v>
      </c>
      <c r="PC79" s="294">
        <v>-221660</v>
      </c>
      <c r="PD79" s="294">
        <v>-1802166.51</v>
      </c>
      <c r="PE79" s="294">
        <v>-490935.08</v>
      </c>
      <c r="PF79" s="294">
        <v>-838627.15</v>
      </c>
      <c r="PG79" s="294">
        <v>-1924503</v>
      </c>
      <c r="PH79" s="294">
        <v>-1973375.81</v>
      </c>
      <c r="PI79" s="294">
        <v>-1077665.3</v>
      </c>
      <c r="PJ79" s="294">
        <v>-1732488.03</v>
      </c>
      <c r="PK79" s="294">
        <v>-1161371.5</v>
      </c>
      <c r="PL79" s="294">
        <v>-467998</v>
      </c>
      <c r="PM79" s="294">
        <v>-1099132.29</v>
      </c>
      <c r="PN79" s="294">
        <v>-672789</v>
      </c>
      <c r="PO79" s="294">
        <v>-2897319.92</v>
      </c>
      <c r="PP79" s="294">
        <v>-389041</v>
      </c>
      <c r="PQ79" s="294">
        <v>-548570.69999999995</v>
      </c>
      <c r="PR79" s="294">
        <v>-334030.69</v>
      </c>
      <c r="PS79" s="294">
        <v>-514110.12</v>
      </c>
      <c r="PT79" s="294">
        <v>-20419537.710000001</v>
      </c>
      <c r="PU79" s="294">
        <v>-1279244.98</v>
      </c>
      <c r="PV79" s="294">
        <v>-218003.39</v>
      </c>
      <c r="PW79" s="294">
        <v>-416057</v>
      </c>
      <c r="PX79" s="294">
        <v>-3989353.65</v>
      </c>
      <c r="PY79" s="294">
        <v>-1247611</v>
      </c>
      <c r="PZ79" s="294">
        <v>-3725089.46</v>
      </c>
      <c r="QA79" s="294">
        <v>-279909.65999999997</v>
      </c>
      <c r="QB79" s="294">
        <v>-2991077.66</v>
      </c>
      <c r="QC79" s="294">
        <v>-406993.5</v>
      </c>
      <c r="QD79" s="294">
        <v>-3222660.15</v>
      </c>
      <c r="QE79" s="294">
        <v>-871763.44</v>
      </c>
      <c r="QF79" s="294">
        <v>-1407412.49</v>
      </c>
      <c r="QG79" s="294">
        <v>-1038776</v>
      </c>
      <c r="QH79" s="294">
        <v>-1318973.42</v>
      </c>
      <c r="QI79" s="294">
        <v>-1277532.92</v>
      </c>
      <c r="QJ79" s="294">
        <v>-1859642.7</v>
      </c>
      <c r="QK79" s="294">
        <v>-548366.01</v>
      </c>
      <c r="QL79" s="294">
        <v>-998308.39</v>
      </c>
      <c r="QM79" s="294">
        <v>-1129909.53</v>
      </c>
      <c r="QN79" s="294">
        <v>-1428927.49</v>
      </c>
      <c r="QO79" s="294">
        <v>-454884</v>
      </c>
      <c r="QP79" s="294">
        <v>-56954.2</v>
      </c>
      <c r="QQ79" s="294">
        <v>-440988.82</v>
      </c>
      <c r="QR79" s="294">
        <v>-171553</v>
      </c>
      <c r="QS79" s="294">
        <v>-373812.86</v>
      </c>
      <c r="QT79" s="294">
        <v>-11375002.16</v>
      </c>
      <c r="QU79" s="294">
        <v>-784204.34</v>
      </c>
      <c r="QV79" s="294">
        <v>-1512050.84</v>
      </c>
      <c r="QW79" s="294">
        <v>-138591.28</v>
      </c>
      <c r="QX79" s="294">
        <v>-295650.78000000003</v>
      </c>
      <c r="QY79" s="294">
        <v>-3227958.0999999996</v>
      </c>
      <c r="QZ79" s="294">
        <v>-2179752.79</v>
      </c>
      <c r="RA79" s="294">
        <v>-2633848.1800000002</v>
      </c>
      <c r="RB79" s="294">
        <v>-781951.8</v>
      </c>
      <c r="RC79" s="294">
        <v>-887236.96</v>
      </c>
      <c r="RD79" s="294">
        <v>-1097131</v>
      </c>
      <c r="RE79" s="294">
        <v>0</v>
      </c>
      <c r="RF79" s="294">
        <v>-228437</v>
      </c>
      <c r="RG79" s="294">
        <v>-7297191.6399999997</v>
      </c>
      <c r="RH79" s="294">
        <v>-5546402.5</v>
      </c>
      <c r="RI79" s="294">
        <v>-3064438.67</v>
      </c>
      <c r="RJ79" s="294">
        <v>-861910.5</v>
      </c>
      <c r="RK79" s="294">
        <v>-1308527.25</v>
      </c>
      <c r="RL79" s="294">
        <v>-3161624.18</v>
      </c>
      <c r="RM79" s="294">
        <v>-2257302.79</v>
      </c>
      <c r="RN79" s="294">
        <v>-756145.36</v>
      </c>
      <c r="RO79" s="294">
        <v>-1589118.2</v>
      </c>
      <c r="RP79" s="294">
        <v>-3881655.75</v>
      </c>
      <c r="RQ79" s="294">
        <v>-5931480.2599999998</v>
      </c>
      <c r="RR79" s="294">
        <v>-801171.58</v>
      </c>
      <c r="RS79" s="294">
        <v>-1118989</v>
      </c>
      <c r="RT79" s="294">
        <v>-1514598.46</v>
      </c>
      <c r="RU79" s="294">
        <v>-451779.76</v>
      </c>
      <c r="RV79" s="294">
        <v>-939411.5</v>
      </c>
      <c r="RW79" s="294">
        <v>-1585863.9</v>
      </c>
      <c r="RX79" s="294">
        <v>-761534.2</v>
      </c>
      <c r="RY79" s="294">
        <v>-387553.4</v>
      </c>
      <c r="RZ79" s="294">
        <v>-206294.49</v>
      </c>
      <c r="SA79" s="294">
        <v>-4011039.28</v>
      </c>
      <c r="SB79" s="294">
        <v>-488483.25</v>
      </c>
      <c r="SC79" s="294">
        <v>-569470</v>
      </c>
      <c r="SD79" s="294">
        <v>-264726.34000000003</v>
      </c>
      <c r="SE79" s="294">
        <v>-262693.78000000003</v>
      </c>
      <c r="SF79" s="294">
        <v>-842389.77</v>
      </c>
      <c r="SG79" s="294">
        <v>-955668.3</v>
      </c>
      <c r="SH79" s="294">
        <v>-774010.46</v>
      </c>
      <c r="SI79" s="294">
        <v>-1042130.34</v>
      </c>
      <c r="SJ79" s="294">
        <v>-1677144.16</v>
      </c>
      <c r="SK79" s="294">
        <v>-1744493.6</v>
      </c>
      <c r="SL79" s="294">
        <v>-67195.58</v>
      </c>
      <c r="SM79" s="294">
        <v>-5287571.79</v>
      </c>
      <c r="SN79" s="294">
        <v>-1363508.5</v>
      </c>
      <c r="SO79" s="294">
        <v>-973281</v>
      </c>
      <c r="SP79" s="294">
        <v>-978580.3</v>
      </c>
      <c r="SQ79" s="294">
        <v>-964497</v>
      </c>
      <c r="SR79" s="294">
        <v>-369267.8</v>
      </c>
      <c r="SS79" s="294">
        <v>-1427375.67</v>
      </c>
      <c r="ST79" s="294">
        <v>-284630</v>
      </c>
      <c r="SU79" s="294">
        <v>-15497796.039999999</v>
      </c>
      <c r="SV79" s="294">
        <v>-355222.08</v>
      </c>
      <c r="SW79" s="294">
        <v>-532212.76</v>
      </c>
      <c r="SX79" s="294">
        <v>-927326</v>
      </c>
      <c r="SY79" s="294">
        <v>-55030</v>
      </c>
      <c r="SZ79" s="294">
        <v>-285003.59999999998</v>
      </c>
      <c r="TA79" s="294">
        <v>-220310.21</v>
      </c>
      <c r="TB79" s="294">
        <v>-3231360.54</v>
      </c>
      <c r="TC79" s="294">
        <v>-620694.80000000005</v>
      </c>
      <c r="TD79" s="294">
        <v>-473902.35</v>
      </c>
      <c r="TE79" s="294">
        <v>-1762575.8</v>
      </c>
      <c r="TF79" s="294">
        <v>-517094</v>
      </c>
      <c r="TG79" s="294">
        <v>-1307862.08</v>
      </c>
      <c r="TH79" s="294">
        <v>-1081563.6000000001</v>
      </c>
      <c r="TI79" s="294">
        <v>-15733270.300000001</v>
      </c>
      <c r="TJ79" s="294">
        <v>-1599894.8</v>
      </c>
      <c r="TK79" s="294">
        <v>-2084802.8</v>
      </c>
      <c r="TL79" s="294">
        <v>-6287558.4400000004</v>
      </c>
      <c r="TM79" s="294">
        <v>-1473022.72</v>
      </c>
      <c r="TN79" s="294">
        <v>-758931.8</v>
      </c>
      <c r="TO79" s="294">
        <v>-180898</v>
      </c>
      <c r="TP79" s="294">
        <v>-7020984.3899999997</v>
      </c>
      <c r="TQ79" s="294">
        <v>-1401343.89</v>
      </c>
      <c r="TR79" s="294">
        <v>-1187214</v>
      </c>
      <c r="TS79" s="294">
        <v>-760707</v>
      </c>
      <c r="TT79" s="294">
        <v>-1108577</v>
      </c>
      <c r="TU79" s="294">
        <v>-1065415</v>
      </c>
      <c r="TV79" s="294">
        <v>-2453231.39</v>
      </c>
      <c r="TW79" s="294">
        <v>-948631</v>
      </c>
      <c r="TX79" s="294">
        <v>-159365.95000000001</v>
      </c>
      <c r="TY79" s="294">
        <v>-2615906.6</v>
      </c>
      <c r="TZ79" s="294">
        <v>-847347.41</v>
      </c>
      <c r="UA79" s="294">
        <v>-1698869.6</v>
      </c>
      <c r="UB79" s="294">
        <v>-891260.5</v>
      </c>
      <c r="UC79" s="294">
        <v>-585488.72</v>
      </c>
      <c r="UD79" s="294">
        <v>-656001.01</v>
      </c>
      <c r="UE79" s="294">
        <v>-7405783.4199999999</v>
      </c>
      <c r="UF79" s="294">
        <v>-654151.97</v>
      </c>
      <c r="UG79" s="294">
        <v>-746460.1</v>
      </c>
      <c r="UH79" s="294">
        <v>-452357.6</v>
      </c>
      <c r="UI79" s="294">
        <v>-534754</v>
      </c>
      <c r="UJ79" s="294">
        <v>-5543170.7300000004</v>
      </c>
      <c r="UK79" s="294">
        <v>-5025643.6899999995</v>
      </c>
      <c r="UL79" s="294">
        <v>-915458.6</v>
      </c>
      <c r="UM79" s="294">
        <v>-2069373.4</v>
      </c>
      <c r="UN79" s="294">
        <v>-2004424</v>
      </c>
      <c r="UO79" s="294">
        <v>-1124032.97</v>
      </c>
      <c r="UP79" s="294">
        <v>-22098855.07</v>
      </c>
      <c r="UQ79" s="294">
        <v>-2032556.36</v>
      </c>
      <c r="UR79" s="294">
        <v>-1518172</v>
      </c>
      <c r="US79" s="294">
        <v>-6532060.4000000004</v>
      </c>
      <c r="UT79" s="294">
        <v>-630095.04</v>
      </c>
      <c r="UU79" s="294">
        <v>-672552.4</v>
      </c>
      <c r="UV79" s="294">
        <v>-3007920.7</v>
      </c>
      <c r="UW79" s="294">
        <v>-703354.1</v>
      </c>
      <c r="UX79" s="294">
        <v>-501403.9</v>
      </c>
      <c r="UY79" s="294">
        <v>-254760.6</v>
      </c>
      <c r="UZ79" s="294">
        <v>-1973644.5</v>
      </c>
      <c r="VA79" s="294">
        <v>-3663258.2</v>
      </c>
      <c r="VB79" s="294">
        <v>-165309</v>
      </c>
      <c r="VC79" s="294">
        <v>-1180053.33</v>
      </c>
      <c r="VD79" s="294">
        <v>-1038304.8</v>
      </c>
      <c r="VE79" s="294">
        <v>-753301.38</v>
      </c>
      <c r="VF79" s="294">
        <v>-612980</v>
      </c>
      <c r="VG79" s="294">
        <v>-788927.29</v>
      </c>
      <c r="VH79" s="294">
        <v>-2158929.66</v>
      </c>
      <c r="VI79" s="294">
        <v>-827687.5</v>
      </c>
      <c r="VJ79" s="294">
        <v>-387531.65</v>
      </c>
      <c r="VK79" s="294">
        <v>0</v>
      </c>
      <c r="VL79" s="294">
        <v>-15398986.449999999</v>
      </c>
      <c r="VM79" s="294">
        <v>-1148984.22</v>
      </c>
      <c r="VN79" s="294">
        <v>-1784941.2</v>
      </c>
      <c r="VO79" s="294">
        <v>-507354.3</v>
      </c>
      <c r="VP79" s="294">
        <v>-925723.31</v>
      </c>
      <c r="VQ79" s="294">
        <v>-942723.54</v>
      </c>
      <c r="VR79" s="294">
        <v>-2282339.14</v>
      </c>
      <c r="VS79" s="294">
        <v>-840642.1</v>
      </c>
      <c r="VT79" s="294">
        <v>-1023369.86</v>
      </c>
      <c r="VU79" s="294">
        <v>-3947745.97</v>
      </c>
      <c r="VV79" s="294"/>
      <c r="VW79" s="294">
        <v>-3388878.37</v>
      </c>
      <c r="VX79" s="294">
        <v>-2029117.13</v>
      </c>
      <c r="VY79" s="294">
        <v>-611558.19999999995</v>
      </c>
      <c r="VZ79" s="294">
        <v>0</v>
      </c>
      <c r="WA79" s="294">
        <v>-11940703.02</v>
      </c>
      <c r="WB79" s="294">
        <v>-960293.64000000013</v>
      </c>
      <c r="WC79" s="294">
        <v>-1323452.83</v>
      </c>
      <c r="WD79" s="294">
        <v>-176761</v>
      </c>
      <c r="WE79" s="294">
        <v>-797715.44</v>
      </c>
      <c r="WF79" s="294">
        <v>-1297030.29</v>
      </c>
      <c r="WG79" s="294">
        <v>-1792776.75</v>
      </c>
      <c r="WH79" s="294">
        <v>-1410638.07</v>
      </c>
      <c r="WI79" s="294">
        <v>-621833.82999999996</v>
      </c>
      <c r="WJ79" s="294">
        <v>-1252276.6599999999</v>
      </c>
      <c r="WK79" s="294">
        <v>-691939</v>
      </c>
      <c r="WL79" s="294">
        <v>-2935216.3499999996</v>
      </c>
      <c r="WM79" s="294">
        <v>-23950</v>
      </c>
      <c r="WN79" s="294">
        <v>-1536690.2600000002</v>
      </c>
      <c r="WO79" s="294">
        <v>-2931723.65</v>
      </c>
      <c r="WP79" s="294">
        <v>-1729718.86</v>
      </c>
      <c r="WQ79" s="294">
        <v>-1460331.19</v>
      </c>
      <c r="WR79" s="294">
        <v>-2779602.42</v>
      </c>
      <c r="WS79" s="294">
        <v>-546244.14</v>
      </c>
      <c r="WT79" s="294">
        <v>-3413229.8499999996</v>
      </c>
      <c r="WU79" s="294">
        <v>-7368953.1799999997</v>
      </c>
      <c r="WV79" s="294">
        <v>-1220656.93</v>
      </c>
      <c r="WW79" s="294">
        <v>-1284978.7</v>
      </c>
      <c r="WX79" s="294">
        <v>-1406757.1400000001</v>
      </c>
      <c r="WY79" s="294">
        <v>-2353010.23</v>
      </c>
      <c r="WZ79" s="294">
        <v>-1099132.98</v>
      </c>
      <c r="XA79" s="294">
        <v>-105152</v>
      </c>
      <c r="XB79" s="294">
        <v>-1366863.78</v>
      </c>
      <c r="XC79" s="294">
        <v>-4147898.48</v>
      </c>
      <c r="XD79" s="294">
        <v>-498500.23</v>
      </c>
      <c r="XE79" s="294">
        <v>-413554</v>
      </c>
      <c r="XF79" s="294">
        <v>-559947.5</v>
      </c>
      <c r="XG79" s="294">
        <v>-1355242.7</v>
      </c>
      <c r="XH79" s="294">
        <v>-6581016.3600000003</v>
      </c>
      <c r="XI79" s="294">
        <v>-2118019.1800000002</v>
      </c>
      <c r="XJ79" s="294">
        <v>-2658306.09</v>
      </c>
      <c r="XK79" s="294">
        <v>-5742914.9699999997</v>
      </c>
      <c r="XL79" s="294">
        <v>-1129363.19</v>
      </c>
      <c r="XM79" s="294">
        <v>-1141626.6499999999</v>
      </c>
      <c r="XN79" s="294">
        <v>-4045176.08</v>
      </c>
      <c r="XO79" s="294">
        <v>-1153815.25</v>
      </c>
      <c r="XP79" s="294">
        <v>-969406.54</v>
      </c>
      <c r="XQ79" s="294">
        <v>-3270512.62</v>
      </c>
      <c r="XR79" s="294">
        <v>-1649417.43</v>
      </c>
      <c r="XS79" s="294">
        <v>-780369.88</v>
      </c>
      <c r="XT79" s="294">
        <v>-1786116.8</v>
      </c>
      <c r="XU79" s="294">
        <v>-543798.19999999995</v>
      </c>
      <c r="XV79" s="294">
        <v>-378819.7</v>
      </c>
      <c r="XW79" s="294">
        <v>-1019854.16</v>
      </c>
      <c r="XX79" s="294">
        <v>-743086.31</v>
      </c>
      <c r="XY79" s="294">
        <v>-1496869.48</v>
      </c>
      <c r="XZ79" s="294">
        <v>-499664.4</v>
      </c>
      <c r="YA79" s="294">
        <v>-654067.5</v>
      </c>
      <c r="YB79" s="294">
        <v>-160987.59</v>
      </c>
      <c r="YC79" s="294">
        <v>-632770.9</v>
      </c>
      <c r="YD79" s="294">
        <v>-122089.1</v>
      </c>
      <c r="YE79" s="294">
        <v>-10748849.300000001</v>
      </c>
      <c r="YF79" s="294">
        <v>-1312919.24</v>
      </c>
      <c r="YG79" s="294">
        <v>-4332170.0999999996</v>
      </c>
      <c r="YH79" s="294">
        <v>-1219738.99</v>
      </c>
      <c r="YI79" s="294">
        <v>-3847011.66</v>
      </c>
      <c r="YJ79" s="294">
        <v>-1034778.05</v>
      </c>
      <c r="YK79" s="294">
        <v>-4489752.29</v>
      </c>
      <c r="YL79" s="294">
        <v>-1374794.35</v>
      </c>
      <c r="YM79" s="294">
        <v>-7709610.7000000002</v>
      </c>
      <c r="YN79" s="294">
        <v>-3437874</v>
      </c>
      <c r="YO79" s="294">
        <v>-2568523.0099999998</v>
      </c>
      <c r="YP79" s="294">
        <v>-654604.4</v>
      </c>
      <c r="YQ79" s="294">
        <v>-2113346.3199999998</v>
      </c>
      <c r="YR79" s="294">
        <v>-931951.31</v>
      </c>
      <c r="YS79" s="294">
        <v>-1012003.8</v>
      </c>
      <c r="YT79" s="294">
        <v>-2208289.08</v>
      </c>
      <c r="YU79" s="294">
        <v>-385489</v>
      </c>
      <c r="YV79" s="294">
        <v>-3910042.0500000007</v>
      </c>
      <c r="YW79" s="294">
        <v>-1397485</v>
      </c>
      <c r="YX79" s="294">
        <v>-208275.8</v>
      </c>
      <c r="YY79" s="294">
        <v>-496421.3</v>
      </c>
      <c r="YZ79" s="294">
        <v>-588562</v>
      </c>
      <c r="ZA79" s="294">
        <v>-289417.5</v>
      </c>
      <c r="ZB79" s="294">
        <v>-400174</v>
      </c>
      <c r="ZC79" s="294">
        <v>-6764752.46</v>
      </c>
      <c r="ZD79" s="294">
        <v>-139436</v>
      </c>
      <c r="ZE79" s="294">
        <v>-1954720</v>
      </c>
      <c r="ZF79" s="294">
        <v>-922027.9</v>
      </c>
      <c r="ZG79" s="294">
        <v>-1000751.43</v>
      </c>
      <c r="ZH79" s="294">
        <v>-312185.65999999997</v>
      </c>
      <c r="ZI79" s="294">
        <v>-630141.72</v>
      </c>
      <c r="ZJ79" s="294">
        <v>-427241</v>
      </c>
      <c r="ZK79" s="294">
        <v>-3379451.2</v>
      </c>
      <c r="ZL79" s="294">
        <v>-21267546.359999999</v>
      </c>
      <c r="ZM79" s="294">
        <v>-772893.8</v>
      </c>
      <c r="ZN79" s="294">
        <v>-783868.52</v>
      </c>
      <c r="ZO79" s="294">
        <v>-3239232.3</v>
      </c>
      <c r="ZP79" s="294">
        <v>-1931573.4</v>
      </c>
      <c r="ZQ79" s="294">
        <v>-1245297.5</v>
      </c>
      <c r="ZR79" s="294">
        <v>-787837</v>
      </c>
      <c r="ZS79" s="294">
        <v>-3065944.74</v>
      </c>
      <c r="ZT79" s="294">
        <v>-2238955.2000000002</v>
      </c>
      <c r="ZU79" s="294">
        <v>-2072043.52</v>
      </c>
      <c r="ZV79" s="294">
        <v>-670929.48</v>
      </c>
      <c r="ZW79" s="294">
        <v>-1568727.6</v>
      </c>
      <c r="ZX79" s="294">
        <v>-850532</v>
      </c>
      <c r="ZY79" s="294">
        <v>-1121664.23</v>
      </c>
      <c r="ZZ79" s="294">
        <v>-1714282</v>
      </c>
      <c r="AAA79" s="294">
        <v>-1192677.52</v>
      </c>
      <c r="AAB79" s="294">
        <v>-970562.6</v>
      </c>
      <c r="AAC79" s="294">
        <v>-541151.62</v>
      </c>
      <c r="AAD79" s="294">
        <v>-1873442.8</v>
      </c>
      <c r="AAE79" s="294">
        <v>-1035543.5</v>
      </c>
      <c r="AAF79" s="294">
        <v>-286887</v>
      </c>
      <c r="AAG79" s="294">
        <v>-569565</v>
      </c>
      <c r="AAH79" s="294">
        <v>-3655332.36</v>
      </c>
      <c r="AAI79" s="294">
        <v>-1165984.3999999999</v>
      </c>
      <c r="AAJ79" s="294">
        <v>-1189995</v>
      </c>
      <c r="AAK79" s="294">
        <v>-1598285.46</v>
      </c>
      <c r="AAL79" s="294">
        <v>-667783.80000000005</v>
      </c>
      <c r="AAM79" s="294">
        <v>-2309297.87</v>
      </c>
      <c r="AAN79" s="294">
        <v>-367484.8</v>
      </c>
      <c r="AAO79" s="294">
        <v>-32468437.940000001</v>
      </c>
      <c r="AAP79" s="294">
        <v>-1574118.98</v>
      </c>
      <c r="AAQ79" s="294">
        <v>-1007171.12</v>
      </c>
      <c r="AAR79" s="294">
        <v>-1699792.74</v>
      </c>
      <c r="AAS79" s="294">
        <v>-926539.88</v>
      </c>
      <c r="AAT79" s="294">
        <v>-900</v>
      </c>
      <c r="AAU79" s="294">
        <v>-1064181.6000000001</v>
      </c>
      <c r="AAV79" s="294">
        <v>-1615245.7</v>
      </c>
      <c r="AAW79" s="294">
        <v>-3123327.7</v>
      </c>
      <c r="AAX79" s="294">
        <v>-718636.5</v>
      </c>
      <c r="AAY79" s="294">
        <v>-1379055.78</v>
      </c>
      <c r="AAZ79" s="294">
        <v>-5490714.2400000002</v>
      </c>
      <c r="ABA79" s="294">
        <v>-1559417.82</v>
      </c>
      <c r="ABB79" s="294">
        <v>-636405.19999999995</v>
      </c>
      <c r="ABC79" s="294">
        <v>-1606980.43</v>
      </c>
      <c r="ABD79" s="294">
        <v>-625018.75</v>
      </c>
      <c r="ABE79" s="294">
        <v>-188191.6</v>
      </c>
      <c r="ABF79" s="294">
        <v>-313051.7</v>
      </c>
      <c r="ABG79" s="294">
        <v>-1020736.3</v>
      </c>
      <c r="ABH79" s="294">
        <v>-6734917.0300000003</v>
      </c>
      <c r="ABI79" s="294">
        <v>-4594813.6900000004</v>
      </c>
      <c r="ABJ79" s="294">
        <v>-660834</v>
      </c>
      <c r="ABK79" s="294">
        <v>-342818</v>
      </c>
      <c r="ABL79" s="294">
        <v>-506927</v>
      </c>
      <c r="ABM79" s="294">
        <v>-236850</v>
      </c>
      <c r="ABN79" s="294">
        <v>-108014</v>
      </c>
      <c r="ABO79" s="294">
        <v>-9331673.5299999993</v>
      </c>
      <c r="ABP79" s="294">
        <v>-1114669.8600000001</v>
      </c>
      <c r="ABQ79" s="294">
        <v>-729191</v>
      </c>
      <c r="ABR79" s="294">
        <v>-1486205.9</v>
      </c>
      <c r="ABS79" s="294">
        <v>-816111.35</v>
      </c>
      <c r="ABT79" s="294">
        <v>-553882.75</v>
      </c>
      <c r="ABU79" s="294">
        <v>-247046.66</v>
      </c>
      <c r="ABV79" s="294">
        <v>-684477.53</v>
      </c>
      <c r="ABW79" s="294">
        <v>0</v>
      </c>
      <c r="ABX79" s="294">
        <v>-249784.4</v>
      </c>
      <c r="ABY79" s="294">
        <v>-15616</v>
      </c>
      <c r="ABZ79" s="294">
        <v>-478264.43</v>
      </c>
      <c r="ACA79" s="294">
        <v>-448584.97</v>
      </c>
      <c r="ACB79" s="294">
        <v>-1221558.1299999999</v>
      </c>
      <c r="ACC79" s="294">
        <v>-4266624.95</v>
      </c>
      <c r="ACD79" s="294">
        <v>-238172.48</v>
      </c>
      <c r="ACE79" s="294">
        <v>-470024.95</v>
      </c>
      <c r="ACF79" s="294">
        <v>-463984.81</v>
      </c>
      <c r="ACG79" s="294">
        <v>-96280.72</v>
      </c>
      <c r="ACH79" s="294">
        <v>-555733</v>
      </c>
      <c r="ACI79" s="294">
        <v>-8666776.1400000006</v>
      </c>
      <c r="ACJ79" s="294">
        <v>-1135675</v>
      </c>
      <c r="ACK79" s="294">
        <v>-907839.35000000009</v>
      </c>
      <c r="ACL79" s="294">
        <v>-1719842.58</v>
      </c>
      <c r="ACM79" s="294">
        <v>-418431</v>
      </c>
      <c r="ACN79" s="294">
        <v>-653964</v>
      </c>
      <c r="ACO79" s="294">
        <v>-258430.91</v>
      </c>
      <c r="ACP79" s="294">
        <v>-6959711.0800000001</v>
      </c>
      <c r="ACQ79" s="294">
        <v>-1151389.4500000002</v>
      </c>
      <c r="ACR79" s="294">
        <v>-1266646.3</v>
      </c>
      <c r="ACS79" s="294">
        <v>-1312802</v>
      </c>
      <c r="ACT79" s="294">
        <v>-700323.09</v>
      </c>
      <c r="ACU79" s="294">
        <v>-7815</v>
      </c>
      <c r="ACV79" s="294">
        <v>-4797058.79</v>
      </c>
      <c r="ACW79" s="294">
        <v>-484439</v>
      </c>
      <c r="ACX79" s="294">
        <v>-629685.35000000009</v>
      </c>
      <c r="ACY79" s="294">
        <v>-343089.48</v>
      </c>
      <c r="ACZ79" s="294">
        <v>-1066175.6000000001</v>
      </c>
      <c r="ADA79" s="294">
        <v>-762830.75</v>
      </c>
      <c r="ADB79" s="294">
        <v>-546636.57000000007</v>
      </c>
      <c r="ADC79" s="294">
        <v>-830314.42</v>
      </c>
      <c r="ADD79" s="294">
        <v>-422093.1</v>
      </c>
      <c r="ADE79" s="294">
        <v>-41540</v>
      </c>
      <c r="ADF79" s="294">
        <v>-2999806.34</v>
      </c>
      <c r="ADG79" s="294">
        <v>-449364.73</v>
      </c>
      <c r="ADH79" s="294">
        <v>-30600</v>
      </c>
      <c r="ADI79" s="294"/>
      <c r="ADJ79" s="294"/>
      <c r="ADK79" s="294">
        <v>-214391.1</v>
      </c>
      <c r="ADL79" s="294">
        <v>-613363.41</v>
      </c>
      <c r="ADM79" s="294">
        <v>-371392.95</v>
      </c>
      <c r="ADN79" s="294">
        <v>-287052.53000000003</v>
      </c>
      <c r="ADO79" s="294">
        <v>-11572200.199999999</v>
      </c>
      <c r="ADP79" s="294">
        <v>-645481.01</v>
      </c>
      <c r="ADQ79" s="294">
        <v>-720981.78</v>
      </c>
      <c r="ADR79" s="294">
        <v>-563919.65</v>
      </c>
      <c r="ADS79" s="294">
        <v>-13082104.65</v>
      </c>
      <c r="ADT79" s="294">
        <v>-307262.3</v>
      </c>
      <c r="ADU79" s="294">
        <v>-780388.95</v>
      </c>
      <c r="ADV79" s="294">
        <v>-2708064.94</v>
      </c>
      <c r="ADW79" s="294">
        <v>-779554.05</v>
      </c>
      <c r="ADX79" s="294">
        <v>-810540</v>
      </c>
      <c r="ADY79" s="294">
        <v>-26874443.710000001</v>
      </c>
      <c r="ADZ79" s="294">
        <v>-7354531.1200000001</v>
      </c>
      <c r="AEA79" s="294">
        <v>-3783620.18</v>
      </c>
      <c r="AEB79" s="294">
        <v>-121921.53</v>
      </c>
      <c r="AEC79" s="294">
        <v>-774054.3</v>
      </c>
      <c r="AED79" s="294">
        <v>-994499.56</v>
      </c>
      <c r="AEE79" s="294">
        <v>-592564.23</v>
      </c>
      <c r="AEF79" s="294">
        <v>-443894.9</v>
      </c>
      <c r="AEG79" s="294">
        <v>-412401.57</v>
      </c>
      <c r="AEH79" s="294">
        <v>-302342.76</v>
      </c>
      <c r="AEI79" s="294">
        <v>-1392634.66</v>
      </c>
      <c r="AEJ79" s="294">
        <v>159134.28</v>
      </c>
      <c r="AEK79" s="294">
        <v>-271524.40000000002</v>
      </c>
      <c r="AEL79" s="294">
        <v>-1355880.2</v>
      </c>
      <c r="AEM79" s="294">
        <v>-1439681.3</v>
      </c>
      <c r="AEN79" s="294">
        <v>-865140.49</v>
      </c>
      <c r="AEO79" s="294">
        <v>-45012.5</v>
      </c>
      <c r="AEP79" s="294">
        <v>-887231.23</v>
      </c>
      <c r="AEQ79" s="294">
        <v>-260583.3</v>
      </c>
      <c r="AER79" s="294">
        <v>-1515216.1</v>
      </c>
      <c r="AES79" s="294">
        <v>-1795516.83</v>
      </c>
      <c r="AET79" s="294">
        <v>-441369.32</v>
      </c>
      <c r="AEU79" s="294">
        <v>-1475239.58</v>
      </c>
      <c r="AEV79" s="294">
        <v>-3139391.83</v>
      </c>
      <c r="AEW79" s="294">
        <v>-113798.08</v>
      </c>
      <c r="AEX79" s="294">
        <v>-1045206.36</v>
      </c>
      <c r="AEY79" s="294">
        <v>-1330636.03</v>
      </c>
      <c r="AEZ79" s="294">
        <v>-442887.72</v>
      </c>
      <c r="AFA79" s="294">
        <v>-737168.8</v>
      </c>
      <c r="AFB79" s="294">
        <v>-857582.48</v>
      </c>
      <c r="AFC79" s="294">
        <v>-9238301.5999999996</v>
      </c>
      <c r="AFD79" s="294">
        <v>-2154499.56</v>
      </c>
      <c r="AFE79" s="294">
        <v>-2651687.79</v>
      </c>
      <c r="AFF79" s="294">
        <v>-1230121.94</v>
      </c>
      <c r="AFG79" s="294">
        <v>-5641115.0499999998</v>
      </c>
      <c r="AFH79" s="294">
        <v>-3634530.3200000003</v>
      </c>
      <c r="AFI79" s="294">
        <v>-2001170.8</v>
      </c>
      <c r="AFJ79" s="294">
        <v>-1645558.4500000002</v>
      </c>
      <c r="AFK79" s="294">
        <v>-1856156.4</v>
      </c>
      <c r="AFL79" s="294">
        <v>-1274902.04</v>
      </c>
      <c r="AFM79" s="294">
        <v>-441743.7</v>
      </c>
      <c r="AFN79" s="294">
        <v>-1696323.42</v>
      </c>
      <c r="AFO79" s="294">
        <v>-1438358</v>
      </c>
      <c r="AFP79" s="294">
        <v>-8546981.8300000001</v>
      </c>
      <c r="AFQ79" s="294">
        <v>-4375146.88</v>
      </c>
      <c r="AFR79" s="294">
        <v>-2090399.56</v>
      </c>
      <c r="AFS79" s="294">
        <v>-1805915.6</v>
      </c>
      <c r="AFT79" s="294">
        <v>-1988380.14</v>
      </c>
      <c r="AFU79" s="294">
        <v>-3415526.2800000003</v>
      </c>
      <c r="AFV79" s="294">
        <v>-2114997</v>
      </c>
      <c r="AFW79" s="294">
        <v>-3175939.7299999995</v>
      </c>
      <c r="AFX79" s="294">
        <v>-3326084.16</v>
      </c>
      <c r="AFY79" s="294">
        <v>-629856.60999999987</v>
      </c>
      <c r="AFZ79" s="294">
        <v>-2526998.5300000003</v>
      </c>
      <c r="AGA79" s="294">
        <v>-1163403.5399999998</v>
      </c>
      <c r="AGB79" s="294">
        <v>-1808197.86</v>
      </c>
      <c r="AGC79" s="294">
        <v>-423501.55</v>
      </c>
      <c r="AGD79" s="294">
        <v>-840240</v>
      </c>
      <c r="AGE79" s="294">
        <v>-655962.1</v>
      </c>
      <c r="AGF79" s="294">
        <v>-1222120.6100000001</v>
      </c>
      <c r="AGG79" s="294">
        <v>-975257.72</v>
      </c>
      <c r="AGH79" s="294">
        <v>-185623.2</v>
      </c>
      <c r="AGI79" s="294">
        <v>-9183</v>
      </c>
      <c r="AGJ79" s="294">
        <v>-934772.5</v>
      </c>
      <c r="AGK79" s="294">
        <v>-449125.8</v>
      </c>
      <c r="AGL79" s="294">
        <v>-784313.7</v>
      </c>
      <c r="AGM79" s="294">
        <v>-6623839.96</v>
      </c>
      <c r="AGN79" s="294">
        <v>-1975727.56</v>
      </c>
      <c r="AGO79" s="294">
        <v>-2262960.58</v>
      </c>
      <c r="AGP79" s="294">
        <v>-819553.97</v>
      </c>
      <c r="AGQ79" s="294">
        <v>-4710693.55</v>
      </c>
      <c r="AGR79" s="294">
        <v>-1718142.65</v>
      </c>
      <c r="AGS79" s="294">
        <v>-755191.61</v>
      </c>
      <c r="AGT79" s="294">
        <v>-2711268.25</v>
      </c>
      <c r="AGU79" s="294">
        <v>0</v>
      </c>
      <c r="AGV79" s="294"/>
      <c r="AGW79" s="294">
        <v>-1732658.15</v>
      </c>
      <c r="AGX79" s="294">
        <v>-2494134.2999999998</v>
      </c>
      <c r="AGY79" s="294">
        <v>-575694.24</v>
      </c>
      <c r="AGZ79" s="294">
        <v>-510294.9</v>
      </c>
      <c r="AHA79" s="294">
        <v>-1922863.1</v>
      </c>
      <c r="AHB79" s="294">
        <v>-726346.91</v>
      </c>
      <c r="AHC79" s="294">
        <v>-194354.1</v>
      </c>
      <c r="AHD79" s="294">
        <v>-2154901.6</v>
      </c>
      <c r="AHE79" s="294">
        <v>-2203409.0499999998</v>
      </c>
      <c r="AHF79" s="294">
        <v>-2535825.62</v>
      </c>
      <c r="AHG79" s="294">
        <v>-137001.59</v>
      </c>
      <c r="AHH79" s="294">
        <v>-751956.74</v>
      </c>
      <c r="AHI79" s="294">
        <v>-611429.19999999995</v>
      </c>
      <c r="AHJ79" s="294">
        <v>-635182.53</v>
      </c>
      <c r="AHK79" s="294">
        <v>-675262.35</v>
      </c>
      <c r="AHL79" s="294">
        <v>-2266759.79</v>
      </c>
      <c r="AHM79" s="294">
        <v>-308173.34999999998</v>
      </c>
      <c r="AHN79" s="294">
        <v>-1229669.92</v>
      </c>
      <c r="AHO79" s="294">
        <v>-862877.1</v>
      </c>
      <c r="AHP79" s="294">
        <v>-563168.77</v>
      </c>
      <c r="AHQ79" s="294">
        <v>-597084.38</v>
      </c>
      <c r="AHR79" s="331">
        <v>-1007803.65</v>
      </c>
      <c r="AHS79" s="294">
        <f t="shared" si="51"/>
        <v>-1516835678.2001984</v>
      </c>
      <c r="AHT79" s="269" t="b">
        <f t="shared" si="52"/>
        <v>1</v>
      </c>
      <c r="AHU79" s="269" t="s">
        <v>6278</v>
      </c>
      <c r="AHV79" s="269" t="s">
        <v>6101</v>
      </c>
      <c r="AHW79" s="269" t="s">
        <v>6102</v>
      </c>
    </row>
    <row r="80" spans="1:907" ht="24.6" x14ac:dyDescent="0.7">
      <c r="A80" s="268" t="s">
        <v>6278</v>
      </c>
      <c r="B80" s="268" t="s">
        <v>6103</v>
      </c>
      <c r="C80" s="269" t="s">
        <v>6104</v>
      </c>
      <c r="D80" s="294">
        <v>-434698.64</v>
      </c>
      <c r="E80" s="294">
        <v>-310068</v>
      </c>
      <c r="F80" s="294">
        <v>-779432.4</v>
      </c>
      <c r="G80" s="294">
        <v>-197881.5</v>
      </c>
      <c r="H80" s="294">
        <v>-7815777.9400000004</v>
      </c>
      <c r="I80" s="294">
        <v>-448227.04</v>
      </c>
      <c r="J80" s="294">
        <v>-3251647.87</v>
      </c>
      <c r="K80" s="294">
        <v>-64966</v>
      </c>
      <c r="L80" s="294">
        <v>-482944.45</v>
      </c>
      <c r="M80" s="294">
        <v>-196081.21</v>
      </c>
      <c r="N80" s="294">
        <v>-621295.63</v>
      </c>
      <c r="O80" s="294">
        <v>-54744.5</v>
      </c>
      <c r="P80" s="294">
        <v>-2439489.7599999998</v>
      </c>
      <c r="Q80" s="294">
        <v>-756200.2</v>
      </c>
      <c r="R80" s="294">
        <v>-215539.35</v>
      </c>
      <c r="S80" s="294">
        <v>-1030914.23</v>
      </c>
      <c r="T80" s="294">
        <v>-1073915.52</v>
      </c>
      <c r="U80" s="294">
        <v>-834467</v>
      </c>
      <c r="V80" s="294">
        <v>-60154639.109999999</v>
      </c>
      <c r="W80" s="294">
        <v>-4648141.3600000003</v>
      </c>
      <c r="X80" s="294">
        <v>-197158.9</v>
      </c>
      <c r="Y80" s="294">
        <v>-1297765.6000000001</v>
      </c>
      <c r="Z80" s="294"/>
      <c r="AA80" s="294">
        <v>-355576.36</v>
      </c>
      <c r="AB80" s="294">
        <v>-780361.64</v>
      </c>
      <c r="AC80" s="294">
        <v>-4216137.6100000003</v>
      </c>
      <c r="AD80" s="294">
        <v>-856141.82</v>
      </c>
      <c r="AE80" s="294"/>
      <c r="AF80" s="294">
        <v>-2040548.39</v>
      </c>
      <c r="AG80" s="294">
        <v>-787116.23</v>
      </c>
      <c r="AH80" s="294">
        <v>-6253690.7400000002</v>
      </c>
      <c r="AI80" s="294">
        <v>-5149539.1399999997</v>
      </c>
      <c r="AJ80" s="294">
        <v>-679087.98</v>
      </c>
      <c r="AK80" s="294">
        <v>-314909.43</v>
      </c>
      <c r="AL80" s="294">
        <v>-1254353.56</v>
      </c>
      <c r="AM80" s="294">
        <v>-108035.1</v>
      </c>
      <c r="AN80" s="294">
        <v>-469080.67</v>
      </c>
      <c r="AO80" s="294">
        <v>-737716.62</v>
      </c>
      <c r="AP80" s="294">
        <v>-178984.74</v>
      </c>
      <c r="AQ80" s="294">
        <v>-454906.59</v>
      </c>
      <c r="AR80" s="294">
        <v>-406197.38</v>
      </c>
      <c r="AS80" s="294">
        <v>-735779.24</v>
      </c>
      <c r="AT80" s="294">
        <v>-3520597.69</v>
      </c>
      <c r="AU80" s="294"/>
      <c r="AV80" s="294">
        <v>-93606</v>
      </c>
      <c r="AW80" s="294">
        <v>-532138.25</v>
      </c>
      <c r="AX80" s="294">
        <v>-746024.5</v>
      </c>
      <c r="AY80" s="294">
        <v>-99919</v>
      </c>
      <c r="AZ80" s="294">
        <v>-102892.5</v>
      </c>
      <c r="BA80" s="294">
        <v>-155865</v>
      </c>
      <c r="BB80" s="294">
        <v>-70871.199999999997</v>
      </c>
      <c r="BC80" s="294">
        <v>-456870.68</v>
      </c>
      <c r="BD80" s="294">
        <v>-127634.5</v>
      </c>
      <c r="BE80" s="294">
        <v>-415158.8</v>
      </c>
      <c r="BF80" s="294">
        <v>-9868905.1099999994</v>
      </c>
      <c r="BG80" s="294">
        <v>-82193.570000000007</v>
      </c>
      <c r="BH80" s="294">
        <v>-96155</v>
      </c>
      <c r="BI80" s="294">
        <v>-787567.81</v>
      </c>
      <c r="BJ80" s="294">
        <v>-4001941.1</v>
      </c>
      <c r="BK80" s="294">
        <v>-405342.8</v>
      </c>
      <c r="BL80" s="294">
        <v>-250191</v>
      </c>
      <c r="BM80" s="294">
        <v>-518809.08</v>
      </c>
      <c r="BN80" s="294">
        <v>-133554</v>
      </c>
      <c r="BO80" s="294">
        <v>-302353.55</v>
      </c>
      <c r="BP80" s="294">
        <v>-476882.41</v>
      </c>
      <c r="BQ80" s="294">
        <v>-390982.38</v>
      </c>
      <c r="BR80" s="294">
        <v>-1762727.46</v>
      </c>
      <c r="BS80" s="294">
        <v>-38133.990000000005</v>
      </c>
      <c r="BT80" s="294">
        <v>-251360.19</v>
      </c>
      <c r="BU80" s="294">
        <v>-429091.32</v>
      </c>
      <c r="BV80" s="294">
        <v>-297767.19</v>
      </c>
      <c r="BW80" s="294">
        <v>-821963.26</v>
      </c>
      <c r="BX80" s="294"/>
      <c r="BY80" s="294">
        <v>-198391.66999999998</v>
      </c>
      <c r="BZ80" s="294">
        <v>-2269920.12</v>
      </c>
      <c r="CA80" s="294">
        <v>-1084670.5</v>
      </c>
      <c r="CB80" s="294">
        <v>-791627.25</v>
      </c>
      <c r="CC80" s="294">
        <v>-1854747.64</v>
      </c>
      <c r="CD80" s="294">
        <v>-392015.69999999995</v>
      </c>
      <c r="CE80" s="294">
        <v>-678587.2</v>
      </c>
      <c r="CF80" s="294">
        <v>-400564.94</v>
      </c>
      <c r="CG80" s="294">
        <v>-239521.7</v>
      </c>
      <c r="CH80" s="294">
        <v>-599201.42000000004</v>
      </c>
      <c r="CI80" s="294">
        <v>-2859867.65</v>
      </c>
      <c r="CJ80" s="294">
        <v>-378920.5</v>
      </c>
      <c r="CK80" s="294">
        <v>-1156965.97</v>
      </c>
      <c r="CL80" s="294">
        <v>-687158.64</v>
      </c>
      <c r="CM80" s="294">
        <v>-403610</v>
      </c>
      <c r="CN80" s="294">
        <v>-1021896.1</v>
      </c>
      <c r="CO80" s="294">
        <v>-201557.03</v>
      </c>
      <c r="CP80" s="294">
        <v>-204028.75</v>
      </c>
      <c r="CQ80" s="294">
        <v>-615304.67000000004</v>
      </c>
      <c r="CR80" s="294">
        <v>-362159.6</v>
      </c>
      <c r="CS80" s="294">
        <v>-730127.99</v>
      </c>
      <c r="CT80" s="294">
        <v>-4862456.08</v>
      </c>
      <c r="CU80" s="294">
        <v>-139511.25</v>
      </c>
      <c r="CV80" s="294">
        <v>-89871.88</v>
      </c>
      <c r="CW80" s="294">
        <v>-687768.05</v>
      </c>
      <c r="CX80" s="294">
        <v>-74802</v>
      </c>
      <c r="CY80" s="294">
        <v>-587205.85</v>
      </c>
      <c r="CZ80" s="294">
        <v>-216386</v>
      </c>
      <c r="DA80" s="294">
        <v>-351493.44</v>
      </c>
      <c r="DB80" s="294">
        <v>-3920827.12</v>
      </c>
      <c r="DC80" s="294">
        <v>-8286621.5199999996</v>
      </c>
      <c r="DD80" s="294">
        <v>-1406197.85</v>
      </c>
      <c r="DE80" s="294">
        <v>-597751</v>
      </c>
      <c r="DF80" s="294">
        <v>-1917030.97</v>
      </c>
      <c r="DG80" s="294">
        <v>-175348.5</v>
      </c>
      <c r="DH80" s="294">
        <v>-619278.43999999994</v>
      </c>
      <c r="DI80" s="294"/>
      <c r="DJ80" s="294">
        <v>-787464.48</v>
      </c>
      <c r="DK80" s="294">
        <v>-29971664.100000001</v>
      </c>
      <c r="DL80" s="294">
        <v>-407080.6</v>
      </c>
      <c r="DM80" s="294">
        <v>-1049166.6499999999</v>
      </c>
      <c r="DN80" s="294">
        <v>-644424.63</v>
      </c>
      <c r="DO80" s="294">
        <v>-150000</v>
      </c>
      <c r="DP80" s="294">
        <v>-616489.19999999995</v>
      </c>
      <c r="DQ80" s="294">
        <v>-1534082.17</v>
      </c>
      <c r="DR80" s="294">
        <v>-929189.91</v>
      </c>
      <c r="DS80" s="294">
        <v>-1361160.42</v>
      </c>
      <c r="DT80" s="294">
        <v>-13357931.899999999</v>
      </c>
      <c r="DU80" s="294">
        <v>-159823</v>
      </c>
      <c r="DV80" s="294">
        <v>-2405034.5299999998</v>
      </c>
      <c r="DW80" s="294">
        <v>-1854447.1</v>
      </c>
      <c r="DX80" s="294">
        <v>-1396212.3399999999</v>
      </c>
      <c r="DY80" s="294">
        <v>-601463.94000000006</v>
      </c>
      <c r="DZ80" s="294">
        <v>-1480951.17</v>
      </c>
      <c r="EA80" s="294">
        <v>-221220.1</v>
      </c>
      <c r="EB80" s="294">
        <v>-1198185.8299999998</v>
      </c>
      <c r="EC80" s="294">
        <v>-870542.07</v>
      </c>
      <c r="ED80" s="294">
        <v>-9834278.3400000017</v>
      </c>
      <c r="EE80" s="294">
        <v>-636992.43000000005</v>
      </c>
      <c r="EF80" s="294">
        <v>-779808.23</v>
      </c>
      <c r="EG80" s="294">
        <v>-407060.33</v>
      </c>
      <c r="EH80" s="294">
        <v>-978412.7</v>
      </c>
      <c r="EI80" s="294">
        <v>-864286.16</v>
      </c>
      <c r="EJ80" s="294">
        <v>-465704.54</v>
      </c>
      <c r="EK80" s="294">
        <v>-618578.88</v>
      </c>
      <c r="EL80" s="294">
        <v>-303162.06</v>
      </c>
      <c r="EM80" s="294">
        <v>-511540.76</v>
      </c>
      <c r="EN80" s="294">
        <v>-367163.38</v>
      </c>
      <c r="EO80" s="294">
        <v>-443814.5</v>
      </c>
      <c r="EP80" s="294">
        <v>-1154247.27</v>
      </c>
      <c r="EQ80" s="294">
        <v>-454910</v>
      </c>
      <c r="ER80" s="294">
        <v>-649103.12</v>
      </c>
      <c r="ES80" s="294">
        <v>-251272.73</v>
      </c>
      <c r="ET80" s="294">
        <v>-912079.91</v>
      </c>
      <c r="EU80" s="294">
        <v>-515719.47</v>
      </c>
      <c r="EV80" s="294">
        <v>-1629733.84</v>
      </c>
      <c r="EW80" s="294">
        <v>-11692915.35</v>
      </c>
      <c r="EX80" s="294">
        <v>-96678.42</v>
      </c>
      <c r="EY80" s="294">
        <v>-390937.25</v>
      </c>
      <c r="EZ80" s="294">
        <v>-501634</v>
      </c>
      <c r="FA80" s="294">
        <v>-654081.99</v>
      </c>
      <c r="FB80" s="294">
        <v>-769484.01</v>
      </c>
      <c r="FC80" s="294">
        <v>-518345.25</v>
      </c>
      <c r="FD80" s="294">
        <v>-621432.07999999996</v>
      </c>
      <c r="FE80" s="294">
        <v>-155000.79999999999</v>
      </c>
      <c r="FF80" s="294">
        <v>-275952.12</v>
      </c>
      <c r="FG80" s="294">
        <v>-92919.03</v>
      </c>
      <c r="FH80" s="294">
        <v>-449633.38</v>
      </c>
      <c r="FI80" s="294">
        <v>-20369960.440000001</v>
      </c>
      <c r="FJ80" s="294">
        <v>-256014.75</v>
      </c>
      <c r="FK80" s="294">
        <v>0</v>
      </c>
      <c r="FL80" s="294">
        <v>-240459.51999999999</v>
      </c>
      <c r="FM80" s="294">
        <v>-2675243.34</v>
      </c>
      <c r="FN80" s="294">
        <v>-1593936.57</v>
      </c>
      <c r="FO80" s="294">
        <v>-149150.76999999999</v>
      </c>
      <c r="FP80" s="294">
        <v>-444528</v>
      </c>
      <c r="FQ80" s="294">
        <v>-3592677.65</v>
      </c>
      <c r="FR80" s="294">
        <v>-2087675.18</v>
      </c>
      <c r="FS80" s="294">
        <v>-250803.18</v>
      </c>
      <c r="FT80" s="294">
        <v>-524358.48</v>
      </c>
      <c r="FU80" s="294">
        <v>-1951473.75</v>
      </c>
      <c r="FV80" s="294">
        <v>-412771.81</v>
      </c>
      <c r="FW80" s="294">
        <v>-2257691.7200000002</v>
      </c>
      <c r="FX80" s="294">
        <v>-346390.53</v>
      </c>
      <c r="FY80" s="294">
        <v>-445871.91</v>
      </c>
      <c r="FZ80" s="294">
        <v>-571789.19999999995</v>
      </c>
      <c r="GA80" s="294">
        <v>-740762.21</v>
      </c>
      <c r="GB80" s="294">
        <v>-364580.75</v>
      </c>
      <c r="GC80" s="294">
        <v>-265886</v>
      </c>
      <c r="GD80" s="294">
        <v>-417173.78</v>
      </c>
      <c r="GE80" s="294">
        <v>-329300.5</v>
      </c>
      <c r="GF80" s="294">
        <v>-673742.68</v>
      </c>
      <c r="GG80" s="294">
        <v>-157256.26</v>
      </c>
      <c r="GH80" s="294">
        <v>-5707583.2999999998</v>
      </c>
      <c r="GI80" s="294">
        <v>-190124.17</v>
      </c>
      <c r="GJ80" s="294">
        <v>-83498</v>
      </c>
      <c r="GK80" s="294">
        <v>-330634.7</v>
      </c>
      <c r="GL80" s="294">
        <v>-461551.26</v>
      </c>
      <c r="GM80" s="294">
        <v>-413504.28</v>
      </c>
      <c r="GN80" s="294">
        <v>-278348.88</v>
      </c>
      <c r="GO80" s="294">
        <v>-217191.71</v>
      </c>
      <c r="GP80" s="294">
        <v>-281421.99</v>
      </c>
      <c r="GQ80" s="294">
        <v>-6262905.2000000002</v>
      </c>
      <c r="GR80" s="294">
        <v>-383341</v>
      </c>
      <c r="GS80" s="294">
        <v>-192347.03</v>
      </c>
      <c r="GT80" s="294">
        <v>-478182.54</v>
      </c>
      <c r="GU80" s="294">
        <v>-138421.75</v>
      </c>
      <c r="GV80" s="294">
        <v>-82916.45</v>
      </c>
      <c r="GW80" s="294">
        <v>-503367.15</v>
      </c>
      <c r="GX80" s="294">
        <v>-360208.36</v>
      </c>
      <c r="GY80" s="294">
        <v>-7450386.25</v>
      </c>
      <c r="GZ80" s="294">
        <v>-239371.3</v>
      </c>
      <c r="HA80" s="294">
        <v>-853027.7</v>
      </c>
      <c r="HB80" s="294">
        <v>-1584778.05</v>
      </c>
      <c r="HC80" s="294">
        <v>-10211224.699999999</v>
      </c>
      <c r="HD80" s="294">
        <v>-122569332.55</v>
      </c>
      <c r="HE80" s="294">
        <v>-3474426.05</v>
      </c>
      <c r="HF80" s="294">
        <v>-1612067.05</v>
      </c>
      <c r="HG80" s="294">
        <v>-2536966.23</v>
      </c>
      <c r="HH80" s="294">
        <v>-3681746.41</v>
      </c>
      <c r="HI80" s="294">
        <v>-344073.33</v>
      </c>
      <c r="HJ80" s="294">
        <v>-6266983.1299999999</v>
      </c>
      <c r="HK80" s="294">
        <v>-374486.88</v>
      </c>
      <c r="HL80" s="294">
        <v>-4846038.2300000004</v>
      </c>
      <c r="HM80" s="294">
        <v>-6327236.3300000001</v>
      </c>
      <c r="HN80" s="294">
        <v>-3066325.8</v>
      </c>
      <c r="HO80" s="294">
        <v>-905941.8</v>
      </c>
      <c r="HP80" s="294">
        <v>-2317900.08</v>
      </c>
      <c r="HQ80" s="294">
        <v>-2285079.3199999998</v>
      </c>
      <c r="HR80" s="294">
        <v>-108253</v>
      </c>
      <c r="HS80" s="294">
        <v>-1709852.6</v>
      </c>
      <c r="HT80" s="294">
        <v>-86540</v>
      </c>
      <c r="HU80" s="294">
        <v>-251437.58</v>
      </c>
      <c r="HV80" s="294">
        <v>-354928.81</v>
      </c>
      <c r="HW80" s="294">
        <v>-373107.95</v>
      </c>
      <c r="HX80" s="294">
        <v>-202277.57</v>
      </c>
      <c r="HY80" s="294">
        <v>-626363.56000000006</v>
      </c>
      <c r="HZ80" s="294">
        <v>-1009332.76</v>
      </c>
      <c r="IA80" s="294">
        <v>-551681.4</v>
      </c>
      <c r="IB80" s="294">
        <v>-105988.13</v>
      </c>
      <c r="IC80" s="294">
        <v>-2476661</v>
      </c>
      <c r="ID80" s="294">
        <v>-183277.89</v>
      </c>
      <c r="IE80" s="294">
        <v>-376331.02</v>
      </c>
      <c r="IF80" s="294">
        <v>-469925.18</v>
      </c>
      <c r="IG80" s="294">
        <v>-443637.24</v>
      </c>
      <c r="IH80" s="294">
        <v>-8741792.75</v>
      </c>
      <c r="II80" s="294">
        <v>-91140</v>
      </c>
      <c r="IJ80" s="294">
        <v>-807650</v>
      </c>
      <c r="IK80" s="294">
        <v>-1704615.48</v>
      </c>
      <c r="IL80" s="294">
        <v>-1024918.19</v>
      </c>
      <c r="IM80" s="294">
        <v>-732454.99</v>
      </c>
      <c r="IN80" s="294">
        <v>-415741.18</v>
      </c>
      <c r="IO80" s="294">
        <v>-742687.86</v>
      </c>
      <c r="IP80" s="294">
        <v>-1721568.06</v>
      </c>
      <c r="IQ80" s="294">
        <v>-517759.46</v>
      </c>
      <c r="IR80" s="294">
        <v>-134526.24</v>
      </c>
      <c r="IS80" s="294">
        <v>-24648984.91</v>
      </c>
      <c r="IT80" s="294">
        <v>-245489.5</v>
      </c>
      <c r="IU80" s="294">
        <v>-313487</v>
      </c>
      <c r="IV80" s="294">
        <v>-388673.71</v>
      </c>
      <c r="IW80" s="294">
        <v>-156711.28</v>
      </c>
      <c r="IX80" s="294">
        <v>-1889.7</v>
      </c>
      <c r="IY80" s="294">
        <v>-413079.4</v>
      </c>
      <c r="IZ80" s="294">
        <v>-150647.32999999999</v>
      </c>
      <c r="JA80" s="294">
        <v>-723703.98</v>
      </c>
      <c r="JB80" s="294">
        <v>-350204.05</v>
      </c>
      <c r="JC80" s="294">
        <v>-1123095.68</v>
      </c>
      <c r="JD80" s="294">
        <v>-221458.87</v>
      </c>
      <c r="JE80" s="294">
        <v>-630821.4800000001</v>
      </c>
      <c r="JF80" s="294">
        <v>-3252336.5300000003</v>
      </c>
      <c r="JG80" s="294">
        <v>-1122339.78</v>
      </c>
      <c r="JH80" s="294">
        <v>-778837.2</v>
      </c>
      <c r="JI80" s="294">
        <v>-292376.69</v>
      </c>
      <c r="JJ80" s="294">
        <v>-533637.85</v>
      </c>
      <c r="JK80" s="294">
        <v>-8089833</v>
      </c>
      <c r="JL80" s="294">
        <v>-328057.7</v>
      </c>
      <c r="JM80" s="294">
        <v>-649671.28</v>
      </c>
      <c r="JN80" s="294">
        <v>-842496.85</v>
      </c>
      <c r="JO80" s="294">
        <v>-555114.05000000005</v>
      </c>
      <c r="JP80" s="294">
        <v>-971124.4</v>
      </c>
      <c r="JQ80" s="294">
        <v>-312087.2</v>
      </c>
      <c r="JR80" s="294">
        <v>-2961733.0999999996</v>
      </c>
      <c r="JS80" s="294">
        <v>-32106.87</v>
      </c>
      <c r="JT80" s="294">
        <v>-2168081.79</v>
      </c>
      <c r="JU80" s="294">
        <v>-120550</v>
      </c>
      <c r="JV80" s="294">
        <v>-388930.97</v>
      </c>
      <c r="JW80" s="294">
        <v>-69347.11</v>
      </c>
      <c r="JX80" s="294">
        <v>-2717657.46</v>
      </c>
      <c r="JY80" s="294">
        <v>-740686.23</v>
      </c>
      <c r="JZ80" s="294">
        <v>-11889.2</v>
      </c>
      <c r="KA80" s="294">
        <v>-379581.32</v>
      </c>
      <c r="KB80" s="294">
        <v>-61755</v>
      </c>
      <c r="KC80" s="294">
        <v>-891220.29</v>
      </c>
      <c r="KD80" s="294">
        <v>-164148.14000000001</v>
      </c>
      <c r="KE80" s="294">
        <v>-33911.97</v>
      </c>
      <c r="KF80" s="294">
        <v>-431947.45</v>
      </c>
      <c r="KG80" s="294">
        <v>-442368.7</v>
      </c>
      <c r="KH80" s="294">
        <v>-47409293.719999999</v>
      </c>
      <c r="KI80" s="294">
        <v>-9354253.4600000009</v>
      </c>
      <c r="KJ80" s="294">
        <v>-41400</v>
      </c>
      <c r="KK80" s="294">
        <v>-182227.8</v>
      </c>
      <c r="KL80" s="294">
        <v>-330580.05</v>
      </c>
      <c r="KM80" s="294">
        <v>-1290872.83</v>
      </c>
      <c r="KN80" s="294">
        <v>-1178355.75</v>
      </c>
      <c r="KO80" s="294">
        <v>-786125.94</v>
      </c>
      <c r="KP80" s="294">
        <v>-134402</v>
      </c>
      <c r="KQ80" s="294">
        <v>-7648929.9500000002</v>
      </c>
      <c r="KR80" s="294">
        <v>-854043.65</v>
      </c>
      <c r="KS80" s="294">
        <v>-480172.2</v>
      </c>
      <c r="KT80" s="294">
        <v>-7565492.1399999997</v>
      </c>
      <c r="KU80" s="294">
        <v>-1012912</v>
      </c>
      <c r="KV80" s="294">
        <v>-761522.3</v>
      </c>
      <c r="KW80" s="294">
        <v>-26540806.989999998</v>
      </c>
      <c r="KX80" s="294">
        <v>-394695.67999999999</v>
      </c>
      <c r="KY80" s="294">
        <v>-8913991.3900000006</v>
      </c>
      <c r="KZ80" s="294">
        <v>-1098102.3999999999</v>
      </c>
      <c r="LA80" s="294">
        <v>-228323.91</v>
      </c>
      <c r="LB80" s="294">
        <v>-741290.59</v>
      </c>
      <c r="LC80" s="294">
        <v>-677682.96</v>
      </c>
      <c r="LD80" s="294">
        <v>-612823.07000000007</v>
      </c>
      <c r="LE80" s="294">
        <v>-1169359.83</v>
      </c>
      <c r="LF80" s="294">
        <v>-720777.59</v>
      </c>
      <c r="LG80" s="294">
        <v>-4411700.7600000007</v>
      </c>
      <c r="LH80" s="294">
        <v>-32900</v>
      </c>
      <c r="LI80" s="294">
        <v>-200291.16999999998</v>
      </c>
      <c r="LJ80" s="294">
        <v>-4043054.54</v>
      </c>
      <c r="LK80" s="294">
        <v>-1745149.94</v>
      </c>
      <c r="LL80" s="294">
        <v>-681091.14</v>
      </c>
      <c r="LM80" s="294">
        <v>-29231.559999999998</v>
      </c>
      <c r="LN80" s="294">
        <v>-229540.4</v>
      </c>
      <c r="LO80" s="294">
        <v>-496233.4</v>
      </c>
      <c r="LP80" s="294"/>
      <c r="LQ80" s="294">
        <v>-631375.05000000005</v>
      </c>
      <c r="LR80" s="294">
        <v>-1754167.05</v>
      </c>
      <c r="LS80" s="294">
        <v>-12003.9</v>
      </c>
      <c r="LT80" s="294">
        <v>-502944.81</v>
      </c>
      <c r="LU80" s="294">
        <v>-10018628.08</v>
      </c>
      <c r="LV80" s="294">
        <v>-4906286.6900000004</v>
      </c>
      <c r="LW80" s="294">
        <v>-6756515.29</v>
      </c>
      <c r="LX80" s="294"/>
      <c r="LY80" s="294">
        <v>-1701516.2</v>
      </c>
      <c r="LZ80" s="294">
        <v>-1714259.41</v>
      </c>
      <c r="MA80" s="294">
        <v>-1305546.51</v>
      </c>
      <c r="MB80" s="294">
        <v>-279827.44</v>
      </c>
      <c r="MC80" s="294">
        <v>-357041.64999999997</v>
      </c>
      <c r="MD80" s="294">
        <v>-689434.59</v>
      </c>
      <c r="ME80" s="294">
        <v>-2260145.23</v>
      </c>
      <c r="MF80" s="294">
        <v>-185479.51</v>
      </c>
      <c r="MG80" s="294">
        <v>-17925871.25</v>
      </c>
      <c r="MH80" s="294">
        <v>-417772.18</v>
      </c>
      <c r="MI80" s="294">
        <v>-526519.46</v>
      </c>
      <c r="MJ80" s="294">
        <v>-247733.5</v>
      </c>
      <c r="MK80" s="294">
        <v>-456711.36</v>
      </c>
      <c r="ML80" s="294">
        <v>-1077881.26</v>
      </c>
      <c r="MM80" s="294">
        <v>-908037.21</v>
      </c>
      <c r="MN80" s="294">
        <v>-50600</v>
      </c>
      <c r="MO80" s="294">
        <v>-1365206.2</v>
      </c>
      <c r="MP80" s="294">
        <v>-567443</v>
      </c>
      <c r="MQ80" s="294">
        <v>-988647.47</v>
      </c>
      <c r="MR80" s="294">
        <v>-84441.7</v>
      </c>
      <c r="MS80" s="294">
        <v>-5270273</v>
      </c>
      <c r="MT80" s="294">
        <v>-1267140.0300000003</v>
      </c>
      <c r="MU80" s="294">
        <v>-878714.58</v>
      </c>
      <c r="MV80" s="294">
        <v>-2549942.34</v>
      </c>
      <c r="MW80" s="294">
        <v>-1712454.3300000003</v>
      </c>
      <c r="MX80" s="294">
        <v>-385737.76</v>
      </c>
      <c r="MY80" s="294">
        <v>-4153803.69</v>
      </c>
      <c r="MZ80" s="294">
        <v>-4974717.76</v>
      </c>
      <c r="NA80" s="294">
        <v>-1273659.21</v>
      </c>
      <c r="NB80" s="294">
        <v>-312657.40000000002</v>
      </c>
      <c r="NC80" s="294">
        <v>-355167.03</v>
      </c>
      <c r="ND80" s="294">
        <v>-4906920.43</v>
      </c>
      <c r="NE80" s="294">
        <v>-1236759.43</v>
      </c>
      <c r="NF80" s="294">
        <v>-2571824.34</v>
      </c>
      <c r="NG80" s="294">
        <v>-13376425.66</v>
      </c>
      <c r="NH80" s="294">
        <v>-772214.94</v>
      </c>
      <c r="NI80" s="294">
        <v>-3051399.52</v>
      </c>
      <c r="NJ80" s="294">
        <v>-1995919.61</v>
      </c>
      <c r="NK80" s="294">
        <v>-37715271.370000005</v>
      </c>
      <c r="NL80" s="294">
        <v>-442664.34</v>
      </c>
      <c r="NM80" s="294">
        <v>-11984382.879999999</v>
      </c>
      <c r="NN80" s="294">
        <v>-403022.44</v>
      </c>
      <c r="NO80" s="294">
        <v>-1228473.9909999999</v>
      </c>
      <c r="NP80" s="294">
        <v>-1320506.44</v>
      </c>
      <c r="NQ80" s="294">
        <v>-170665.5</v>
      </c>
      <c r="NR80" s="294">
        <v>-529969.74</v>
      </c>
      <c r="NS80" s="294">
        <v>-269247</v>
      </c>
      <c r="NT80" s="294">
        <v>-99846</v>
      </c>
      <c r="NU80" s="294">
        <v>-272798.78999999998</v>
      </c>
      <c r="NV80" s="294">
        <v>-156750</v>
      </c>
      <c r="NW80" s="294">
        <v>-3984027.92</v>
      </c>
      <c r="NX80" s="294">
        <v>-6549152.6999999993</v>
      </c>
      <c r="NY80" s="294">
        <v>-2528060.7600000002</v>
      </c>
      <c r="NZ80" s="294">
        <v>-295544.8</v>
      </c>
      <c r="OA80" s="294">
        <v>-122960</v>
      </c>
      <c r="OB80" s="294">
        <v>-1976843.34</v>
      </c>
      <c r="OC80" s="294">
        <v>-868063.45000000007</v>
      </c>
      <c r="OD80" s="294">
        <v>-2583505.4</v>
      </c>
      <c r="OE80" s="294">
        <v>-10142376.039999999</v>
      </c>
      <c r="OF80" s="294">
        <v>-468105.9</v>
      </c>
      <c r="OG80" s="294">
        <v>-8610920.3800000008</v>
      </c>
      <c r="OH80" s="294">
        <v>-825386.54</v>
      </c>
      <c r="OI80" s="294">
        <v>-1304275.5799999998</v>
      </c>
      <c r="OJ80" s="294">
        <v>-1934656.23</v>
      </c>
      <c r="OK80" s="294">
        <v>-107510.20000000001</v>
      </c>
      <c r="OL80" s="294">
        <v>-2123133.1</v>
      </c>
      <c r="OM80" s="294">
        <v>-9406949.1699999999</v>
      </c>
      <c r="ON80" s="294">
        <v>-1298040.5900000001</v>
      </c>
      <c r="OO80" s="294">
        <v>-13326594.82</v>
      </c>
      <c r="OP80" s="294">
        <v>-2248038.9</v>
      </c>
      <c r="OQ80" s="294">
        <v>-672583.36</v>
      </c>
      <c r="OR80" s="294">
        <v>-557345.30000000005</v>
      </c>
      <c r="OS80" s="294">
        <v>-1074719.68</v>
      </c>
      <c r="OT80" s="294">
        <v>-148751.38</v>
      </c>
      <c r="OU80" s="294">
        <v>-484810.85</v>
      </c>
      <c r="OV80" s="294">
        <v>-376373.83</v>
      </c>
      <c r="OW80" s="294">
        <v>-167950</v>
      </c>
      <c r="OX80" s="294">
        <v>-272172.77999999997</v>
      </c>
      <c r="OY80" s="294">
        <v>-1019526.26</v>
      </c>
      <c r="OZ80" s="294">
        <v>-70470.61</v>
      </c>
      <c r="PA80" s="294">
        <v>-633999.15999999992</v>
      </c>
      <c r="PB80" s="294">
        <v>-4226849</v>
      </c>
      <c r="PC80" s="294">
        <v>-875506.7</v>
      </c>
      <c r="PD80" s="294">
        <v>-529425.07999999996</v>
      </c>
      <c r="PE80" s="294">
        <v>-461700.23</v>
      </c>
      <c r="PF80" s="294">
        <v>-561617.87</v>
      </c>
      <c r="PG80" s="294">
        <v>-1480530.6</v>
      </c>
      <c r="PH80" s="294">
        <v>-482036.19</v>
      </c>
      <c r="PI80" s="294">
        <v>-283745.32</v>
      </c>
      <c r="PJ80" s="294">
        <v>-998510.69</v>
      </c>
      <c r="PK80" s="294">
        <v>-1713824.25</v>
      </c>
      <c r="PL80" s="294">
        <v>-334610.67</v>
      </c>
      <c r="PM80" s="294">
        <v>-997174.15999999992</v>
      </c>
      <c r="PN80" s="294">
        <v>-308411.42</v>
      </c>
      <c r="PO80" s="294">
        <v>-1839879.1</v>
      </c>
      <c r="PP80" s="294">
        <v>-336537.9</v>
      </c>
      <c r="PQ80" s="294">
        <v>-128457.1</v>
      </c>
      <c r="PR80" s="294">
        <v>-384701.86</v>
      </c>
      <c r="PS80" s="294">
        <v>-567237.74</v>
      </c>
      <c r="PT80" s="294">
        <v>-30957464.050000001</v>
      </c>
      <c r="PU80" s="294">
        <v>-799855.92</v>
      </c>
      <c r="PV80" s="294">
        <v>-418063.38</v>
      </c>
      <c r="PW80" s="294">
        <v>-391155.14</v>
      </c>
      <c r="PX80" s="294">
        <v>-7209211.8300000001</v>
      </c>
      <c r="PY80" s="294">
        <v>-1321441.99</v>
      </c>
      <c r="PZ80" s="294">
        <v>-1261040.29</v>
      </c>
      <c r="QA80" s="294">
        <v>-169144.19</v>
      </c>
      <c r="QB80" s="294">
        <v>-5097061.79</v>
      </c>
      <c r="QC80" s="294">
        <v>-539163.06999999995</v>
      </c>
      <c r="QD80" s="294">
        <v>-1637860.64</v>
      </c>
      <c r="QE80" s="294">
        <v>-700190.53</v>
      </c>
      <c r="QF80" s="294">
        <v>-362353.4</v>
      </c>
      <c r="QG80" s="294">
        <v>-886937.68</v>
      </c>
      <c r="QH80" s="294">
        <v>-1116981.57</v>
      </c>
      <c r="QI80" s="294">
        <v>-340775.59</v>
      </c>
      <c r="QJ80" s="294"/>
      <c r="QK80" s="294">
        <v>-786824.68</v>
      </c>
      <c r="QL80" s="294">
        <v>-739469.86</v>
      </c>
      <c r="QM80" s="294">
        <v>-4060926.69</v>
      </c>
      <c r="QN80" s="294">
        <v>-1356886.1700000002</v>
      </c>
      <c r="QO80" s="294">
        <v>-247357.46</v>
      </c>
      <c r="QP80" s="294">
        <v>-268177.63</v>
      </c>
      <c r="QQ80" s="294">
        <v>-357879.26</v>
      </c>
      <c r="QR80" s="294">
        <v>-236376.56</v>
      </c>
      <c r="QS80" s="294">
        <v>-694071.65999999992</v>
      </c>
      <c r="QT80" s="294">
        <v>-14788099.369999999</v>
      </c>
      <c r="QU80" s="294">
        <v>-94565</v>
      </c>
      <c r="QV80" s="294">
        <v>-1345841.51</v>
      </c>
      <c r="QW80" s="294">
        <v>-271491.25</v>
      </c>
      <c r="QX80" s="294">
        <v>-365795.13</v>
      </c>
      <c r="QY80" s="294">
        <v>-2988252.19</v>
      </c>
      <c r="QZ80" s="294">
        <v>-919747.51</v>
      </c>
      <c r="RA80" s="294">
        <v>-992999.58</v>
      </c>
      <c r="RB80" s="294">
        <v>-365304.5</v>
      </c>
      <c r="RC80" s="294">
        <v>-824055.7</v>
      </c>
      <c r="RD80" s="294">
        <v>-174764.71</v>
      </c>
      <c r="RE80" s="294">
        <v>0</v>
      </c>
      <c r="RF80" s="294">
        <v>-1587377.91</v>
      </c>
      <c r="RG80" s="294">
        <v>-8353850.2699999996</v>
      </c>
      <c r="RH80" s="294">
        <v>-3231539.95</v>
      </c>
      <c r="RI80" s="294">
        <v>-1731799.89</v>
      </c>
      <c r="RJ80" s="294">
        <v>-713128.48</v>
      </c>
      <c r="RK80" s="294">
        <v>-2200043.33</v>
      </c>
      <c r="RL80" s="294">
        <v>-1350565.89</v>
      </c>
      <c r="RM80" s="294">
        <v>-1304415.8400000001</v>
      </c>
      <c r="RN80" s="294">
        <v>-404564.52</v>
      </c>
      <c r="RO80" s="294">
        <v>-640072.19999999995</v>
      </c>
      <c r="RP80" s="294">
        <v>-2249980.7799999998</v>
      </c>
      <c r="RQ80" s="294">
        <v>-1821076.57</v>
      </c>
      <c r="RR80" s="294">
        <v>-642740.12</v>
      </c>
      <c r="RS80" s="294">
        <v>-1029547.76</v>
      </c>
      <c r="RT80" s="294">
        <v>-857579.07</v>
      </c>
      <c r="RU80" s="294">
        <v>-537010.5</v>
      </c>
      <c r="RV80" s="294">
        <v>-325370.09999999998</v>
      </c>
      <c r="RW80" s="294">
        <v>-832589.99</v>
      </c>
      <c r="RX80" s="294">
        <v>-1218486.23</v>
      </c>
      <c r="RY80" s="294">
        <v>-537077</v>
      </c>
      <c r="RZ80" s="294">
        <v>-193808.8</v>
      </c>
      <c r="SA80" s="294">
        <v>-7024614.9100000001</v>
      </c>
      <c r="SB80" s="294">
        <v>-401392.61</v>
      </c>
      <c r="SC80" s="294">
        <v>-384007.08</v>
      </c>
      <c r="SD80" s="294">
        <v>-423842</v>
      </c>
      <c r="SE80" s="294">
        <v>-129012.1</v>
      </c>
      <c r="SF80" s="294">
        <v>-781753.23</v>
      </c>
      <c r="SG80" s="294">
        <v>-1418014.45</v>
      </c>
      <c r="SH80" s="294">
        <v>-2997915.37</v>
      </c>
      <c r="SI80" s="294">
        <v>-301585.86</v>
      </c>
      <c r="SJ80" s="294">
        <v>-288490.34000000003</v>
      </c>
      <c r="SK80" s="294">
        <v>-9781381.7300000004</v>
      </c>
      <c r="SL80" s="294">
        <v>-131490.19</v>
      </c>
      <c r="SM80" s="294">
        <v>-5047578.0999999996</v>
      </c>
      <c r="SN80" s="294">
        <v>-789920.27</v>
      </c>
      <c r="SO80" s="294">
        <v>-632529.87</v>
      </c>
      <c r="SP80" s="294">
        <v>-2393669.36</v>
      </c>
      <c r="SQ80" s="294">
        <v>-600567.47</v>
      </c>
      <c r="SR80" s="294">
        <v>-449947.8</v>
      </c>
      <c r="SS80" s="294">
        <v>-653268.17000000004</v>
      </c>
      <c r="ST80" s="294">
        <v>-236935.05</v>
      </c>
      <c r="SU80" s="294">
        <v>-6783573.6500000004</v>
      </c>
      <c r="SV80" s="294">
        <v>-58306.77</v>
      </c>
      <c r="SW80" s="294">
        <v>-1462035</v>
      </c>
      <c r="SX80" s="294">
        <v>-767963.1</v>
      </c>
      <c r="SY80" s="294">
        <v>-59491.08</v>
      </c>
      <c r="SZ80" s="294">
        <v>-66761</v>
      </c>
      <c r="TA80" s="294">
        <v>-202057.58</v>
      </c>
      <c r="TB80" s="294">
        <v>-885849.73</v>
      </c>
      <c r="TC80" s="294">
        <v>-250176.5</v>
      </c>
      <c r="TD80" s="294">
        <v>-493373.2</v>
      </c>
      <c r="TE80" s="294">
        <v>-265665.77</v>
      </c>
      <c r="TF80" s="294">
        <v>-869395.38</v>
      </c>
      <c r="TG80" s="294">
        <v>-423924.75</v>
      </c>
      <c r="TH80" s="294">
        <v>-180282.01</v>
      </c>
      <c r="TI80" s="294">
        <v>-17400718.109999999</v>
      </c>
      <c r="TJ80" s="294">
        <v>-610001.48</v>
      </c>
      <c r="TK80" s="294">
        <v>-728737.31</v>
      </c>
      <c r="TL80" s="294">
        <v>-1426891.43</v>
      </c>
      <c r="TM80" s="294">
        <v>-551504.62</v>
      </c>
      <c r="TN80" s="294">
        <v>-356999.59</v>
      </c>
      <c r="TO80" s="294">
        <v>-171778.34</v>
      </c>
      <c r="TP80" s="294">
        <v>-4760936.78</v>
      </c>
      <c r="TQ80" s="294">
        <v>-508206.21</v>
      </c>
      <c r="TR80" s="294">
        <v>-1294140.82</v>
      </c>
      <c r="TS80" s="294">
        <v>-655924.57999999996</v>
      </c>
      <c r="TT80" s="294">
        <v>-854781.1</v>
      </c>
      <c r="TU80" s="294">
        <v>-374010.94</v>
      </c>
      <c r="TV80" s="294">
        <v>-607288.17000000004</v>
      </c>
      <c r="TW80" s="294">
        <v>-767251.5</v>
      </c>
      <c r="TX80" s="294">
        <v>-157090</v>
      </c>
      <c r="TY80" s="294">
        <v>-1994488.89</v>
      </c>
      <c r="TZ80" s="294">
        <v>-210362.28</v>
      </c>
      <c r="UA80" s="294">
        <v>-4230894.8499999996</v>
      </c>
      <c r="UB80" s="294">
        <v>-619540.68000000005</v>
      </c>
      <c r="UC80" s="294">
        <v>-241303.06</v>
      </c>
      <c r="UD80" s="294">
        <v>-473858.31</v>
      </c>
      <c r="UE80" s="294">
        <v>-22752324.34</v>
      </c>
      <c r="UF80" s="294">
        <v>-395673.22</v>
      </c>
      <c r="UG80" s="294">
        <v>-1179835.7</v>
      </c>
      <c r="UH80" s="294">
        <v>-708501.75</v>
      </c>
      <c r="UI80" s="294">
        <v>-793984.1</v>
      </c>
      <c r="UJ80" s="294">
        <v>-4853219.5999999996</v>
      </c>
      <c r="UK80" s="294">
        <v>-783666.25</v>
      </c>
      <c r="UL80" s="294">
        <v>-735205.6</v>
      </c>
      <c r="UM80" s="294">
        <v>-1188861.6600000001</v>
      </c>
      <c r="UN80" s="294">
        <v>-1007487.96</v>
      </c>
      <c r="UO80" s="294">
        <v>-1188059.6499999999</v>
      </c>
      <c r="UP80" s="294">
        <v>-17473788.809999999</v>
      </c>
      <c r="UQ80" s="294">
        <v>-2234743.44</v>
      </c>
      <c r="UR80" s="294">
        <v>-108350</v>
      </c>
      <c r="US80" s="294">
        <v>-2719245.99</v>
      </c>
      <c r="UT80" s="294">
        <v>-1593363.2</v>
      </c>
      <c r="UU80" s="294">
        <v>-3169799.59</v>
      </c>
      <c r="UV80" s="294">
        <v>-2191413.7999999998</v>
      </c>
      <c r="UW80" s="294">
        <v>-264546.39</v>
      </c>
      <c r="UX80" s="294">
        <v>-341723.9</v>
      </c>
      <c r="UY80" s="294">
        <v>-653287.89</v>
      </c>
      <c r="UZ80" s="294">
        <v>-227810.05</v>
      </c>
      <c r="VA80" s="294">
        <v>-1605811.2</v>
      </c>
      <c r="VB80" s="294">
        <v>-625935.68999999994</v>
      </c>
      <c r="VC80" s="294">
        <v>-1820195.44</v>
      </c>
      <c r="VD80" s="294">
        <v>-781982.78</v>
      </c>
      <c r="VE80" s="294">
        <v>-597008.71</v>
      </c>
      <c r="VF80" s="294">
        <v>-105706.86</v>
      </c>
      <c r="VG80" s="294">
        <v>-556294.57999999996</v>
      </c>
      <c r="VH80" s="294">
        <v>-2175811.7799999998</v>
      </c>
      <c r="VI80" s="294">
        <v>-663625.98</v>
      </c>
      <c r="VJ80" s="294">
        <v>-983304.12</v>
      </c>
      <c r="VK80" s="294">
        <v>-8984</v>
      </c>
      <c r="VL80" s="294">
        <v>-24424735.43</v>
      </c>
      <c r="VM80" s="294">
        <v>-1162357.08</v>
      </c>
      <c r="VN80" s="294">
        <v>-1147057.6299999999</v>
      </c>
      <c r="VO80" s="294">
        <v>-5107990.51</v>
      </c>
      <c r="VP80" s="294">
        <v>-944812.91</v>
      </c>
      <c r="VQ80" s="294">
        <v>-1221178.6399999999</v>
      </c>
      <c r="VR80" s="294">
        <v>-2428980.0299999998</v>
      </c>
      <c r="VS80" s="294">
        <v>-462047.29</v>
      </c>
      <c r="VT80" s="294">
        <v>-679903.23</v>
      </c>
      <c r="VU80" s="294">
        <v>-3097560.91</v>
      </c>
      <c r="VV80" s="294">
        <v>-1980890.05</v>
      </c>
      <c r="VW80" s="294">
        <v>-3210898.54</v>
      </c>
      <c r="VX80" s="294">
        <v>-1374732.4</v>
      </c>
      <c r="VY80" s="294">
        <v>-107462.76</v>
      </c>
      <c r="VZ80" s="294">
        <v>-282339.65000000002</v>
      </c>
      <c r="WA80" s="294">
        <v>-58391293.890000001</v>
      </c>
      <c r="WB80" s="294">
        <v>-592210.44000000006</v>
      </c>
      <c r="WC80" s="294">
        <v>-431832.95</v>
      </c>
      <c r="WD80" s="294"/>
      <c r="WE80" s="294">
        <v>-154054.24</v>
      </c>
      <c r="WF80" s="294">
        <v>-843193.69</v>
      </c>
      <c r="WG80" s="294">
        <v>-247103</v>
      </c>
      <c r="WH80" s="294">
        <v>-1545696.37</v>
      </c>
      <c r="WI80" s="294">
        <v>-339381.61</v>
      </c>
      <c r="WJ80" s="294">
        <v>-920525.83</v>
      </c>
      <c r="WK80" s="294">
        <v>-211445.59</v>
      </c>
      <c r="WL80" s="294">
        <v>-1659849.03</v>
      </c>
      <c r="WM80" s="294">
        <v>-68016.639999999999</v>
      </c>
      <c r="WN80" s="294">
        <v>-1499609.26</v>
      </c>
      <c r="WO80" s="294">
        <v>-2948034.31</v>
      </c>
      <c r="WP80" s="294">
        <v>-699868.17</v>
      </c>
      <c r="WQ80" s="294">
        <v>-1084510.29</v>
      </c>
      <c r="WR80" s="294">
        <v>-1781329.11</v>
      </c>
      <c r="WS80" s="294">
        <v>-60748.9</v>
      </c>
      <c r="WT80" s="294">
        <v>-2468997.1800000002</v>
      </c>
      <c r="WU80" s="294">
        <v>-13589272.33</v>
      </c>
      <c r="WV80" s="294">
        <v>-797162.38</v>
      </c>
      <c r="WW80" s="294">
        <v>-526989.56000000006</v>
      </c>
      <c r="WX80" s="294">
        <v>-404067.83</v>
      </c>
      <c r="WY80" s="294"/>
      <c r="WZ80" s="294">
        <v>-1150272.24</v>
      </c>
      <c r="XA80" s="294">
        <v>-217598.61</v>
      </c>
      <c r="XB80" s="294">
        <v>-551653.62</v>
      </c>
      <c r="XC80" s="294"/>
      <c r="XD80" s="294">
        <v>-515825.51</v>
      </c>
      <c r="XE80" s="294">
        <v>-286885.52</v>
      </c>
      <c r="XF80" s="294">
        <v>-435424</v>
      </c>
      <c r="XG80" s="294">
        <v>-1526743.67</v>
      </c>
      <c r="XH80" s="294">
        <v>-39632251.369999997</v>
      </c>
      <c r="XI80" s="294">
        <v>-898861.79</v>
      </c>
      <c r="XJ80" s="294">
        <v>-897006.61</v>
      </c>
      <c r="XK80" s="294">
        <v>-5143570.55</v>
      </c>
      <c r="XL80" s="294">
        <v>-755119.21</v>
      </c>
      <c r="XM80" s="294">
        <v>-106991.15</v>
      </c>
      <c r="XN80" s="294">
        <v>-4754751.47</v>
      </c>
      <c r="XO80" s="294">
        <v>-323047.98</v>
      </c>
      <c r="XP80" s="294">
        <v>-800484.6</v>
      </c>
      <c r="XQ80" s="294">
        <v>-1328507.3</v>
      </c>
      <c r="XR80" s="294">
        <v>-2857801.77</v>
      </c>
      <c r="XS80" s="294">
        <v>-2421119.7999999998</v>
      </c>
      <c r="XT80" s="294">
        <v>-431530.42</v>
      </c>
      <c r="XU80" s="294">
        <v>-266685</v>
      </c>
      <c r="XV80" s="294">
        <v>-115558.39999999999</v>
      </c>
      <c r="XW80" s="294">
        <v>-522455.06</v>
      </c>
      <c r="XX80" s="294">
        <v>-571493.6</v>
      </c>
      <c r="XY80" s="294">
        <v>-1065496.25</v>
      </c>
      <c r="XZ80" s="294">
        <v>-140946.1</v>
      </c>
      <c r="YA80" s="294">
        <v>-25583.200000000001</v>
      </c>
      <c r="YB80" s="294">
        <v>-401725</v>
      </c>
      <c r="YC80" s="294">
        <v>-284846.8</v>
      </c>
      <c r="YD80" s="294">
        <v>-256312.35</v>
      </c>
      <c r="YE80" s="294">
        <v>-12983497.68</v>
      </c>
      <c r="YF80" s="294">
        <v>-579891.87</v>
      </c>
      <c r="YG80" s="294">
        <v>-766446.1</v>
      </c>
      <c r="YH80" s="294">
        <v>-1048978.6399999999</v>
      </c>
      <c r="YI80" s="294">
        <v>-2598502.4500000002</v>
      </c>
      <c r="YJ80" s="294">
        <v>-449820</v>
      </c>
      <c r="YK80" s="294">
        <v>-1180414.93</v>
      </c>
      <c r="YL80" s="294">
        <v>-71757</v>
      </c>
      <c r="YM80" s="294">
        <v>-3421276.05</v>
      </c>
      <c r="YN80" s="294">
        <v>-1457438.76</v>
      </c>
      <c r="YO80" s="294">
        <v>-751172.56</v>
      </c>
      <c r="YP80" s="294">
        <v>-286697.37</v>
      </c>
      <c r="YQ80" s="294">
        <v>-429838.09</v>
      </c>
      <c r="YR80" s="294">
        <v>-16510</v>
      </c>
      <c r="YS80" s="294">
        <v>-567061.06000000006</v>
      </c>
      <c r="YT80" s="294">
        <v>-894668.61</v>
      </c>
      <c r="YU80" s="294">
        <v>-297795.23</v>
      </c>
      <c r="YV80" s="294">
        <v>-4031604.63</v>
      </c>
      <c r="YW80" s="294">
        <v>-1434708.44</v>
      </c>
      <c r="YX80" s="294">
        <v>-687939.54999999993</v>
      </c>
      <c r="YY80" s="294">
        <v>-968545.65</v>
      </c>
      <c r="YZ80" s="294">
        <v>-339971.01999999996</v>
      </c>
      <c r="ZA80" s="294">
        <v>-105652.6</v>
      </c>
      <c r="ZB80" s="294">
        <v>-397499</v>
      </c>
      <c r="ZC80" s="294">
        <v>-11878184.050000001</v>
      </c>
      <c r="ZD80" s="294">
        <v>-67733.100000000006</v>
      </c>
      <c r="ZE80" s="294">
        <v>-629541</v>
      </c>
      <c r="ZF80" s="294">
        <v>-290215.5</v>
      </c>
      <c r="ZG80" s="294">
        <v>-648820.54</v>
      </c>
      <c r="ZH80" s="294">
        <v>-749739.79</v>
      </c>
      <c r="ZI80" s="294">
        <v>-394885.82</v>
      </c>
      <c r="ZJ80" s="294">
        <v>-440138.5</v>
      </c>
      <c r="ZK80" s="294">
        <v>-963057.54</v>
      </c>
      <c r="ZL80" s="294">
        <v>-12580585.960000001</v>
      </c>
      <c r="ZM80" s="294">
        <v>-462163</v>
      </c>
      <c r="ZN80" s="294">
        <v>-1517380.3</v>
      </c>
      <c r="ZO80" s="294">
        <v>-8715718</v>
      </c>
      <c r="ZP80" s="294">
        <v>-981627.72</v>
      </c>
      <c r="ZQ80" s="294">
        <v>-399296.83</v>
      </c>
      <c r="ZR80" s="294">
        <v>-262426</v>
      </c>
      <c r="ZS80" s="294">
        <v>-982238.51</v>
      </c>
      <c r="ZT80" s="294">
        <v>-1610602.5399999998</v>
      </c>
      <c r="ZU80" s="294">
        <v>-1353773.46</v>
      </c>
      <c r="ZV80" s="294">
        <v>-284415.3</v>
      </c>
      <c r="ZW80" s="294">
        <v>-294648.92000000004</v>
      </c>
      <c r="ZX80" s="294">
        <v>-973055.39</v>
      </c>
      <c r="ZY80" s="294">
        <v>-634576.26</v>
      </c>
      <c r="ZZ80" s="294">
        <v>-571650.89</v>
      </c>
      <c r="AAA80" s="294">
        <v>-546860.68000000005</v>
      </c>
      <c r="AAB80" s="294">
        <v>-199920.7</v>
      </c>
      <c r="AAC80" s="294">
        <v>-44688</v>
      </c>
      <c r="AAD80" s="294">
        <v>-1043317.02</v>
      </c>
      <c r="AAE80" s="294">
        <v>-243755</v>
      </c>
      <c r="AAF80" s="294">
        <v>-280704</v>
      </c>
      <c r="AAG80" s="294">
        <v>-13000</v>
      </c>
      <c r="AAH80" s="294">
        <v>-6594133.0300000003</v>
      </c>
      <c r="AAI80" s="294">
        <v>-556817.73</v>
      </c>
      <c r="AAJ80" s="294">
        <v>-209255.07</v>
      </c>
      <c r="AAK80" s="294">
        <v>-737400.72</v>
      </c>
      <c r="AAL80" s="294">
        <v>-517793.77</v>
      </c>
      <c r="AAM80" s="294">
        <v>-680700.95</v>
      </c>
      <c r="AAN80" s="294">
        <v>-447177.07</v>
      </c>
      <c r="AAO80" s="294">
        <v>-26090736.41</v>
      </c>
      <c r="AAP80" s="294">
        <v>-987733.73</v>
      </c>
      <c r="AAQ80" s="294">
        <v>-674854.06</v>
      </c>
      <c r="AAR80" s="294">
        <v>-1265262.56</v>
      </c>
      <c r="AAS80" s="294">
        <v>-1342095.1499999999</v>
      </c>
      <c r="AAT80" s="294">
        <v>-26385</v>
      </c>
      <c r="AAU80" s="294">
        <v>-1393352.24</v>
      </c>
      <c r="AAV80" s="294">
        <v>-1189954.19</v>
      </c>
      <c r="AAW80" s="294">
        <v>-779260.22</v>
      </c>
      <c r="AAX80" s="294">
        <v>-493331.58</v>
      </c>
      <c r="AAY80" s="294">
        <v>-6144254.7000000002</v>
      </c>
      <c r="AAZ80" s="294">
        <v>-4949024.46</v>
      </c>
      <c r="ABA80" s="294">
        <v>-3133946.64</v>
      </c>
      <c r="ABB80" s="294">
        <v>-268340.36</v>
      </c>
      <c r="ABC80" s="294">
        <v>-631118.94999999995</v>
      </c>
      <c r="ABD80" s="294">
        <v>-432192.06</v>
      </c>
      <c r="ABE80" s="294">
        <v>-225793</v>
      </c>
      <c r="ABF80" s="294">
        <v>-633165.77</v>
      </c>
      <c r="ABG80" s="294">
        <v>-842880.5</v>
      </c>
      <c r="ABH80" s="294">
        <v>-3946178.03</v>
      </c>
      <c r="ABI80" s="294">
        <v>-3254548.65</v>
      </c>
      <c r="ABJ80" s="294">
        <v>-1016444.74</v>
      </c>
      <c r="ABK80" s="294">
        <v>-174943.3</v>
      </c>
      <c r="ABL80" s="294">
        <v>-1078128.06</v>
      </c>
      <c r="ABM80" s="294">
        <v>-149389.56</v>
      </c>
      <c r="ABN80" s="294">
        <v>-338987.1</v>
      </c>
      <c r="ABO80" s="294">
        <v>-5747459.4400000004</v>
      </c>
      <c r="ABP80" s="294">
        <v>-2056940.11</v>
      </c>
      <c r="ABQ80" s="294">
        <v>-2444796.0499999998</v>
      </c>
      <c r="ABR80" s="294">
        <v>-578946.9</v>
      </c>
      <c r="ABS80" s="294">
        <v>-1756357.63</v>
      </c>
      <c r="ABT80" s="294">
        <v>-988051.09</v>
      </c>
      <c r="ABU80" s="294">
        <v>-313506.61</v>
      </c>
      <c r="ABV80" s="294">
        <v>-1038902.53</v>
      </c>
      <c r="ABW80" s="294">
        <v>-27800</v>
      </c>
      <c r="ABX80" s="294">
        <v>-1513013.22</v>
      </c>
      <c r="ABY80" s="294">
        <v>-21080</v>
      </c>
      <c r="ABZ80" s="294">
        <v>-918852.5</v>
      </c>
      <c r="ACA80" s="294">
        <v>-388329.49</v>
      </c>
      <c r="ACB80" s="294">
        <v>-490419.59</v>
      </c>
      <c r="ACC80" s="294">
        <v>-5815655.7000000002</v>
      </c>
      <c r="ACD80" s="294">
        <v>118205.17</v>
      </c>
      <c r="ACE80" s="294">
        <v>-577129.31999999995</v>
      </c>
      <c r="ACF80" s="294">
        <v>-968474.49</v>
      </c>
      <c r="ACG80" s="294">
        <v>-69532.509999999995</v>
      </c>
      <c r="ACH80" s="294">
        <v>-578290.05000000005</v>
      </c>
      <c r="ACI80" s="294">
        <v>-5365750.42</v>
      </c>
      <c r="ACJ80" s="294">
        <v>-814740.69</v>
      </c>
      <c r="ACK80" s="294">
        <v>-1578030.66</v>
      </c>
      <c r="ACL80" s="294">
        <v>-1366266.7</v>
      </c>
      <c r="ACM80" s="294">
        <v>-504687.42</v>
      </c>
      <c r="ACN80" s="294">
        <v>-198252.68</v>
      </c>
      <c r="ACO80" s="294">
        <v>-211137.36</v>
      </c>
      <c r="ACP80" s="294">
        <v>-3161299.55</v>
      </c>
      <c r="ACQ80" s="294">
        <v>-8368977.9900000002</v>
      </c>
      <c r="ACR80" s="294">
        <v>-679417.19</v>
      </c>
      <c r="ACS80" s="294">
        <v>-634621.53</v>
      </c>
      <c r="ACT80" s="294">
        <v>-966044.17</v>
      </c>
      <c r="ACU80" s="294">
        <v>-67500</v>
      </c>
      <c r="ACV80" s="294">
        <v>-1602306.67</v>
      </c>
      <c r="ACW80" s="294">
        <v>-281717.7</v>
      </c>
      <c r="ACX80" s="294">
        <v>-206384.25</v>
      </c>
      <c r="ACY80" s="294">
        <v>-344190.7</v>
      </c>
      <c r="ACZ80" s="294">
        <v>-718740.69</v>
      </c>
      <c r="ADA80" s="294">
        <v>-668265.65</v>
      </c>
      <c r="ADB80" s="294">
        <v>-498861</v>
      </c>
      <c r="ADC80" s="294">
        <v>-387813</v>
      </c>
      <c r="ADD80" s="294">
        <v>-47436.03</v>
      </c>
      <c r="ADE80" s="294"/>
      <c r="ADF80" s="294">
        <v>-3390308.75</v>
      </c>
      <c r="ADG80" s="294">
        <v>-256907.95</v>
      </c>
      <c r="ADH80" s="294"/>
      <c r="ADI80" s="294"/>
      <c r="ADJ80" s="294"/>
      <c r="ADK80" s="294">
        <v>-93190.81</v>
      </c>
      <c r="ADL80" s="294">
        <v>-193838</v>
      </c>
      <c r="ADM80" s="294">
        <v>-521198.37</v>
      </c>
      <c r="ADN80" s="294">
        <v>-294490</v>
      </c>
      <c r="ADO80" s="294">
        <v>-38311984</v>
      </c>
      <c r="ADP80" s="294">
        <v>-269620.38</v>
      </c>
      <c r="ADQ80" s="294">
        <v>-954136.21</v>
      </c>
      <c r="ADR80" s="294">
        <v>-532362.88</v>
      </c>
      <c r="ADS80" s="294">
        <v>-10415884.48</v>
      </c>
      <c r="ADT80" s="294">
        <v>-184288</v>
      </c>
      <c r="ADU80" s="294">
        <v>-1226982.8600000001</v>
      </c>
      <c r="ADV80" s="294">
        <v>-956634.66</v>
      </c>
      <c r="ADW80" s="294">
        <v>-564133.59</v>
      </c>
      <c r="ADX80" s="294">
        <v>-1088369.26</v>
      </c>
      <c r="ADY80" s="294">
        <v>-23709432.59</v>
      </c>
      <c r="ADZ80" s="294">
        <v>-4022289.13</v>
      </c>
      <c r="AEA80" s="294">
        <v>-2905243.1</v>
      </c>
      <c r="AEB80" s="294">
        <v>-1766269.89</v>
      </c>
      <c r="AEC80" s="294">
        <v>-1998960.48</v>
      </c>
      <c r="AED80" s="294">
        <v>-751990.58</v>
      </c>
      <c r="AEE80" s="294">
        <v>-1035291.7299999999</v>
      </c>
      <c r="AEF80" s="294">
        <v>-564041.93000000005</v>
      </c>
      <c r="AEG80" s="294">
        <v>-316477.17</v>
      </c>
      <c r="AEH80" s="294">
        <v>-49547.9</v>
      </c>
      <c r="AEI80" s="294">
        <v>-1016231</v>
      </c>
      <c r="AEJ80" s="294">
        <v>3325303.13</v>
      </c>
      <c r="AEK80" s="294">
        <v>-143502.01999999999</v>
      </c>
      <c r="AEL80" s="294">
        <v>-515753.52</v>
      </c>
      <c r="AEM80" s="294">
        <v>-1046393.4</v>
      </c>
      <c r="AEN80" s="294">
        <v>-2319219.37</v>
      </c>
      <c r="AEO80" s="294">
        <v>-512931.75</v>
      </c>
      <c r="AEP80" s="294">
        <v>-1855486.39</v>
      </c>
      <c r="AEQ80" s="294">
        <v>-99002.17</v>
      </c>
      <c r="AER80" s="294">
        <v>-2699899.02</v>
      </c>
      <c r="AES80" s="294">
        <v>-460348.74</v>
      </c>
      <c r="AET80" s="294">
        <v>-1288378.1100000001</v>
      </c>
      <c r="AEU80" s="294">
        <v>-2513370.36</v>
      </c>
      <c r="AEV80" s="294">
        <v>-460823.89</v>
      </c>
      <c r="AEW80" s="294">
        <v>-150404.5</v>
      </c>
      <c r="AEX80" s="294">
        <v>-125970.57</v>
      </c>
      <c r="AEY80" s="294">
        <v>-885407.06</v>
      </c>
      <c r="AEZ80" s="294">
        <v>-305420.15000000002</v>
      </c>
      <c r="AFA80" s="294">
        <v>-1195503.94</v>
      </c>
      <c r="AFB80" s="294">
        <v>-364985.32</v>
      </c>
      <c r="AFC80" s="294">
        <v>-5449166.4900000002</v>
      </c>
      <c r="AFD80" s="294">
        <v>-811495.1100000001</v>
      </c>
      <c r="AFE80" s="294">
        <v>-589970</v>
      </c>
      <c r="AFF80" s="294">
        <v>-477057.73</v>
      </c>
      <c r="AFG80" s="294">
        <v>-2533149.77</v>
      </c>
      <c r="AFH80" s="294">
        <v>-1008893.1200000001</v>
      </c>
      <c r="AFI80" s="294">
        <v>-622361.13</v>
      </c>
      <c r="AFJ80" s="294">
        <v>-178296.06</v>
      </c>
      <c r="AFK80" s="294">
        <v>-1357248.3199999998</v>
      </c>
      <c r="AFL80" s="294"/>
      <c r="AFM80" s="294"/>
      <c r="AFN80" s="294">
        <v>-1048529.1000000001</v>
      </c>
      <c r="AFO80" s="294">
        <v>-2241080.67</v>
      </c>
      <c r="AFP80" s="294">
        <v>-2791906.44</v>
      </c>
      <c r="AFQ80" s="294">
        <v>-508550.3</v>
      </c>
      <c r="AFR80" s="294"/>
      <c r="AFS80" s="294">
        <v>-1330422.42</v>
      </c>
      <c r="AFT80" s="294">
        <v>-2735069.6900000004</v>
      </c>
      <c r="AFU80" s="294">
        <v>-1248994.98</v>
      </c>
      <c r="AFV80" s="294">
        <v>-889753.3</v>
      </c>
      <c r="AFW80" s="294">
        <v>-2890768.48</v>
      </c>
      <c r="AFX80" s="294">
        <v>-2117080.9</v>
      </c>
      <c r="AFY80" s="294">
        <v>-396442.84</v>
      </c>
      <c r="AFZ80" s="294">
        <v>-975457.02</v>
      </c>
      <c r="AGA80" s="294">
        <v>-668998.67999999993</v>
      </c>
      <c r="AGB80" s="294">
        <v>-2507907.4700000002</v>
      </c>
      <c r="AGC80" s="294">
        <v>-1023357.78</v>
      </c>
      <c r="AGD80" s="294">
        <v>-610521.69999999995</v>
      </c>
      <c r="AGE80" s="294">
        <v>-847684.7</v>
      </c>
      <c r="AGF80" s="294">
        <v>-1593452.94</v>
      </c>
      <c r="AGG80" s="294">
        <v>-932507.64</v>
      </c>
      <c r="AGH80" s="294">
        <v>-250207.76</v>
      </c>
      <c r="AGI80" s="294">
        <v>-98863.31</v>
      </c>
      <c r="AGJ80" s="294">
        <v>-356027.15</v>
      </c>
      <c r="AGK80" s="294">
        <v>-295026.65000000002</v>
      </c>
      <c r="AGL80" s="294">
        <v>-2324886.17</v>
      </c>
      <c r="AGM80" s="294">
        <v>-8834809.7200000007</v>
      </c>
      <c r="AGN80" s="294">
        <v>-2817167.4</v>
      </c>
      <c r="AGO80" s="294">
        <v>-4260584.9400000004</v>
      </c>
      <c r="AGP80" s="294">
        <v>-1027950</v>
      </c>
      <c r="AGQ80" s="294">
        <v>-953739</v>
      </c>
      <c r="AGR80" s="294">
        <v>-1054187.23</v>
      </c>
      <c r="AGS80" s="294">
        <v>-594808</v>
      </c>
      <c r="AGT80" s="294">
        <v>-2344803.8199999998</v>
      </c>
      <c r="AGU80" s="294">
        <v>-75642</v>
      </c>
      <c r="AGV80" s="294"/>
      <c r="AGW80" s="294">
        <v>-821600.91</v>
      </c>
      <c r="AGX80" s="294">
        <v>-1869571.45</v>
      </c>
      <c r="AGY80" s="294">
        <v>-1401091.38</v>
      </c>
      <c r="AGZ80" s="294">
        <v>-62501.65</v>
      </c>
      <c r="AHA80" s="294">
        <v>-2153926.02</v>
      </c>
      <c r="AHB80" s="294">
        <v>-362768.42</v>
      </c>
      <c r="AHC80" s="294">
        <v>-171289.06</v>
      </c>
      <c r="AHD80" s="294">
        <v>-2949693.73</v>
      </c>
      <c r="AHE80" s="294">
        <v>-1782139.98</v>
      </c>
      <c r="AHF80" s="294">
        <v>-915445.51</v>
      </c>
      <c r="AHG80" s="294">
        <v>-136246.57999999999</v>
      </c>
      <c r="AHH80" s="294">
        <v>-461589.71</v>
      </c>
      <c r="AHI80" s="294">
        <v>-855034.61</v>
      </c>
      <c r="AHJ80" s="294">
        <v>-468872.14</v>
      </c>
      <c r="AHK80" s="294">
        <v>-2018001.05</v>
      </c>
      <c r="AHL80" s="294">
        <v>-2194147.96</v>
      </c>
      <c r="AHM80" s="294">
        <v>-762653</v>
      </c>
      <c r="AHN80" s="294">
        <v>-594642.72</v>
      </c>
      <c r="AHO80" s="294">
        <v>-335685.01</v>
      </c>
      <c r="AHP80" s="294">
        <v>-619251.99</v>
      </c>
      <c r="AHQ80" s="294">
        <v>-365990</v>
      </c>
      <c r="AHR80" s="331">
        <v>-186242.16</v>
      </c>
      <c r="AHS80" s="294">
        <f t="shared" si="51"/>
        <v>-1889118547.4309998</v>
      </c>
      <c r="AHT80" s="269" t="b">
        <f t="shared" si="52"/>
        <v>1</v>
      </c>
      <c r="AHU80" s="269" t="s">
        <v>6278</v>
      </c>
      <c r="AHV80" s="269" t="s">
        <v>6103</v>
      </c>
      <c r="AHW80" s="269" t="s">
        <v>6104</v>
      </c>
    </row>
    <row r="81" spans="1:907" ht="24.6" x14ac:dyDescent="0.7">
      <c r="A81" s="268" t="s">
        <v>6278</v>
      </c>
      <c r="B81" s="268" t="s">
        <v>6105</v>
      </c>
      <c r="C81" s="269" t="s">
        <v>6106</v>
      </c>
      <c r="D81" s="294">
        <v>-24810</v>
      </c>
      <c r="E81" s="294">
        <v>-255900</v>
      </c>
      <c r="F81" s="294">
        <v>-179001.22</v>
      </c>
      <c r="G81" s="294">
        <v>-20900</v>
      </c>
      <c r="H81" s="294">
        <v>-454688</v>
      </c>
      <c r="I81" s="294">
        <v>-59585</v>
      </c>
      <c r="J81" s="294">
        <v>-467777.4</v>
      </c>
      <c r="K81" s="294">
        <v>0</v>
      </c>
      <c r="L81" s="294">
        <v>-274931.99</v>
      </c>
      <c r="M81" s="294">
        <v>-475600</v>
      </c>
      <c r="N81" s="294">
        <v>-316490</v>
      </c>
      <c r="O81" s="294">
        <v>-273481</v>
      </c>
      <c r="P81" s="294">
        <v>-121000</v>
      </c>
      <c r="Q81" s="294">
        <v>-29490</v>
      </c>
      <c r="R81" s="294">
        <v>-269200</v>
      </c>
      <c r="S81" s="294">
        <v>-707995</v>
      </c>
      <c r="T81" s="294">
        <v>-465500</v>
      </c>
      <c r="U81" s="294">
        <v>-153900</v>
      </c>
      <c r="V81" s="294">
        <v>-5658640.6200000001</v>
      </c>
      <c r="W81" s="294">
        <v>0</v>
      </c>
      <c r="X81" s="294">
        <v>-221920</v>
      </c>
      <c r="Y81" s="294">
        <v>-2015198.34</v>
      </c>
      <c r="Z81" s="294">
        <v>0</v>
      </c>
      <c r="AA81" s="294">
        <v>0</v>
      </c>
      <c r="AB81" s="294">
        <v>-205510</v>
      </c>
      <c r="AC81" s="294">
        <v>-4043448.34</v>
      </c>
      <c r="AD81" s="294">
        <v>-89300</v>
      </c>
      <c r="AE81" s="294">
        <v>-138032.88</v>
      </c>
      <c r="AF81" s="294">
        <v>-479250</v>
      </c>
      <c r="AG81" s="294">
        <v>0</v>
      </c>
      <c r="AH81" s="294">
        <v>-682112</v>
      </c>
      <c r="AI81" s="294">
        <v>-505663.82</v>
      </c>
      <c r="AJ81" s="294">
        <v>-547926</v>
      </c>
      <c r="AK81" s="294">
        <v>-75326.19</v>
      </c>
      <c r="AL81" s="294">
        <v>-1652730</v>
      </c>
      <c r="AM81" s="294">
        <v>-250060</v>
      </c>
      <c r="AN81" s="294">
        <v>-300220</v>
      </c>
      <c r="AO81" s="294">
        <v>-221680</v>
      </c>
      <c r="AP81" s="294">
        <v>-114790</v>
      </c>
      <c r="AQ81" s="294">
        <v>-124620</v>
      </c>
      <c r="AR81" s="294">
        <v>-11240</v>
      </c>
      <c r="AS81" s="294">
        <v>-3954.5</v>
      </c>
      <c r="AT81" s="294">
        <v>-6145051</v>
      </c>
      <c r="AU81" s="294">
        <v>-30158</v>
      </c>
      <c r="AV81" s="294">
        <v>-122790</v>
      </c>
      <c r="AW81" s="294">
        <v>-289260</v>
      </c>
      <c r="AX81" s="294">
        <v>-430111.1</v>
      </c>
      <c r="AY81" s="294">
        <v>-353000</v>
      </c>
      <c r="AZ81" s="294">
        <v>-439653.73</v>
      </c>
      <c r="BA81" s="294">
        <v>-87700</v>
      </c>
      <c r="BB81" s="294">
        <v>0</v>
      </c>
      <c r="BC81" s="294">
        <v>-393598.5</v>
      </c>
      <c r="BD81" s="294">
        <v>-179000</v>
      </c>
      <c r="BE81" s="294">
        <v>-107239</v>
      </c>
      <c r="BF81" s="294">
        <v>-1486173</v>
      </c>
      <c r="BG81" s="294">
        <v>0</v>
      </c>
      <c r="BH81" s="294">
        <v>-134484.28</v>
      </c>
      <c r="BI81" s="294">
        <v>-421473</v>
      </c>
      <c r="BJ81" s="294">
        <v>-322715</v>
      </c>
      <c r="BK81" s="294"/>
      <c r="BL81" s="294">
        <v>-17200</v>
      </c>
      <c r="BM81" s="294">
        <v>-383360</v>
      </c>
      <c r="BN81" s="294">
        <v>-260000</v>
      </c>
      <c r="BO81" s="294">
        <v>-25575</v>
      </c>
      <c r="BP81" s="294">
        <v>-187680</v>
      </c>
      <c r="BQ81" s="294">
        <v>-6536</v>
      </c>
      <c r="BR81" s="294">
        <v>-2815080</v>
      </c>
      <c r="BS81" s="294">
        <v>-27500</v>
      </c>
      <c r="BT81" s="294">
        <v>-66600</v>
      </c>
      <c r="BU81" s="294">
        <v>-49590</v>
      </c>
      <c r="BV81" s="294">
        <v>-274900</v>
      </c>
      <c r="BW81" s="294">
        <v>-251300</v>
      </c>
      <c r="BX81" s="294">
        <v>-323000</v>
      </c>
      <c r="BY81" s="294">
        <v>-49000</v>
      </c>
      <c r="BZ81" s="294">
        <v>-5475374.5</v>
      </c>
      <c r="CA81" s="294">
        <v>-409000</v>
      </c>
      <c r="CB81" s="294">
        <v>-6716</v>
      </c>
      <c r="CC81" s="294">
        <v>-1530357</v>
      </c>
      <c r="CD81" s="294">
        <v>-294030</v>
      </c>
      <c r="CE81" s="294">
        <v>-320800</v>
      </c>
      <c r="CF81" s="294">
        <v>-159600</v>
      </c>
      <c r="CG81" s="294">
        <v>-1061397.6000000001</v>
      </c>
      <c r="CH81" s="294">
        <v>-52048</v>
      </c>
      <c r="CI81" s="294">
        <v>-412540</v>
      </c>
      <c r="CJ81" s="294">
        <v>-129200</v>
      </c>
      <c r="CK81" s="294">
        <v>-1065432.5</v>
      </c>
      <c r="CL81" s="294">
        <v>-204690</v>
      </c>
      <c r="CM81" s="294">
        <v>-110000</v>
      </c>
      <c r="CN81" s="294">
        <v>-177140</v>
      </c>
      <c r="CO81" s="294">
        <v>-99500</v>
      </c>
      <c r="CP81" s="294">
        <v>-33000</v>
      </c>
      <c r="CQ81" s="294">
        <v>-114100</v>
      </c>
      <c r="CR81" s="294">
        <v>-364808</v>
      </c>
      <c r="CS81" s="294">
        <v>-28940</v>
      </c>
      <c r="CT81" s="294">
        <v>-3199249</v>
      </c>
      <c r="CU81" s="294">
        <v>-29895</v>
      </c>
      <c r="CV81" s="294">
        <v>-153790</v>
      </c>
      <c r="CW81" s="294">
        <v>-204850</v>
      </c>
      <c r="CX81" s="294">
        <v>-13890</v>
      </c>
      <c r="CY81" s="294">
        <v>-37300</v>
      </c>
      <c r="CZ81" s="294">
        <v>-8270</v>
      </c>
      <c r="DA81" s="294">
        <v>-449274</v>
      </c>
      <c r="DB81" s="294">
        <v>-7284681.6299999999</v>
      </c>
      <c r="DC81" s="294">
        <v>-2906833.73</v>
      </c>
      <c r="DD81" s="294">
        <v>-1964000.88</v>
      </c>
      <c r="DE81" s="294">
        <v>-81390</v>
      </c>
      <c r="DF81" s="294">
        <v>-412758.5</v>
      </c>
      <c r="DG81" s="294">
        <v>-855768.25</v>
      </c>
      <c r="DH81" s="294">
        <v>-5145799.5</v>
      </c>
      <c r="DI81" s="294">
        <v>-1006022</v>
      </c>
      <c r="DJ81" s="294">
        <v>-1246276.05</v>
      </c>
      <c r="DK81" s="294">
        <v>-23172199.300000001</v>
      </c>
      <c r="DL81" s="294">
        <v>-480196</v>
      </c>
      <c r="DM81" s="294">
        <v>-524527</v>
      </c>
      <c r="DN81" s="294">
        <v>-652720.49</v>
      </c>
      <c r="DO81" s="294">
        <v>-38450.019899999999</v>
      </c>
      <c r="DP81" s="294">
        <v>-372890</v>
      </c>
      <c r="DQ81" s="294">
        <v>-1148931.08</v>
      </c>
      <c r="DR81" s="294">
        <v>-841201.96</v>
      </c>
      <c r="DS81" s="294">
        <v>-3147853</v>
      </c>
      <c r="DT81" s="294">
        <v>-13936025</v>
      </c>
      <c r="DU81" s="294">
        <v>0</v>
      </c>
      <c r="DV81" s="294">
        <v>-1388940</v>
      </c>
      <c r="DW81" s="294">
        <v>-2630800</v>
      </c>
      <c r="DX81" s="294">
        <v>-584251.5</v>
      </c>
      <c r="DY81" s="294">
        <v>-2198205</v>
      </c>
      <c r="DZ81" s="294">
        <v>-424212</v>
      </c>
      <c r="EA81" s="294"/>
      <c r="EB81" s="294">
        <v>-603747</v>
      </c>
      <c r="EC81" s="294">
        <v>-110800</v>
      </c>
      <c r="ED81" s="294">
        <v>-2534681.5</v>
      </c>
      <c r="EE81" s="294">
        <v>-78519</v>
      </c>
      <c r="EF81" s="294">
        <v>-5200777.07</v>
      </c>
      <c r="EG81" s="294">
        <v>-126275.64</v>
      </c>
      <c r="EH81" s="294">
        <v>-424995.05</v>
      </c>
      <c r="EI81" s="294">
        <v>-627597.27</v>
      </c>
      <c r="EJ81" s="294">
        <v>0</v>
      </c>
      <c r="EK81" s="294">
        <v>-343704</v>
      </c>
      <c r="EL81" s="294">
        <v>-206380</v>
      </c>
      <c r="EM81" s="294">
        <v>-538941.32999999996</v>
      </c>
      <c r="EN81" s="294">
        <v>-1420160</v>
      </c>
      <c r="EO81" s="294">
        <v>-287990</v>
      </c>
      <c r="EP81" s="294">
        <v>-2104704.75</v>
      </c>
      <c r="EQ81" s="294">
        <v>-113376</v>
      </c>
      <c r="ER81" s="294">
        <v>-39100</v>
      </c>
      <c r="ES81" s="294">
        <v>-248390</v>
      </c>
      <c r="ET81" s="294">
        <v>-67090</v>
      </c>
      <c r="EU81" s="294"/>
      <c r="EV81" s="294">
        <v>-1156344.45</v>
      </c>
      <c r="EW81" s="294">
        <v>-618451.6</v>
      </c>
      <c r="EX81" s="294">
        <v>-257570</v>
      </c>
      <c r="EY81" s="294">
        <v>-1004050</v>
      </c>
      <c r="EZ81" s="294">
        <v>-81800</v>
      </c>
      <c r="FA81" s="294">
        <v>-918900</v>
      </c>
      <c r="FB81" s="294">
        <v>-632365</v>
      </c>
      <c r="FC81" s="294">
        <v>-110790</v>
      </c>
      <c r="FD81" s="294">
        <v>-740887.95</v>
      </c>
      <c r="FE81" s="294">
        <v>-825740</v>
      </c>
      <c r="FF81" s="294">
        <v>-1167070.5</v>
      </c>
      <c r="FG81" s="294">
        <v>-52230</v>
      </c>
      <c r="FH81" s="294">
        <v>-540970</v>
      </c>
      <c r="FI81" s="294">
        <v>-1233740</v>
      </c>
      <c r="FJ81" s="294">
        <v>-156200</v>
      </c>
      <c r="FK81" s="294">
        <v>0</v>
      </c>
      <c r="FL81" s="294">
        <v>-8500</v>
      </c>
      <c r="FM81" s="294">
        <v>-1451480</v>
      </c>
      <c r="FN81" s="294">
        <v>-323801</v>
      </c>
      <c r="FO81" s="294">
        <v>-37000</v>
      </c>
      <c r="FP81" s="294">
        <v>-114000</v>
      </c>
      <c r="FQ81" s="294">
        <v>-51366.5</v>
      </c>
      <c r="FR81" s="294">
        <v>-792410</v>
      </c>
      <c r="FS81" s="294">
        <v>-16670</v>
      </c>
      <c r="FT81" s="294">
        <v>-687189.98</v>
      </c>
      <c r="FU81" s="294">
        <v>-446406</v>
      </c>
      <c r="FV81" s="294">
        <v>-26660</v>
      </c>
      <c r="FW81" s="294">
        <v>-898560</v>
      </c>
      <c r="FX81" s="294">
        <v>-284417</v>
      </c>
      <c r="FY81" s="294">
        <v>-123727.9</v>
      </c>
      <c r="FZ81" s="294">
        <v>-69500</v>
      </c>
      <c r="GA81" s="294">
        <v>-1301126.95</v>
      </c>
      <c r="GB81" s="294">
        <v>-321351.5</v>
      </c>
      <c r="GC81" s="294">
        <v>-573170</v>
      </c>
      <c r="GD81" s="294">
        <v>-239000</v>
      </c>
      <c r="GE81" s="294">
        <v>-7515500</v>
      </c>
      <c r="GF81" s="294">
        <v>-181430</v>
      </c>
      <c r="GG81" s="294">
        <v>-141580</v>
      </c>
      <c r="GH81" s="294">
        <v>-3363480</v>
      </c>
      <c r="GI81" s="294">
        <v>-98728</v>
      </c>
      <c r="GJ81" s="294">
        <v>-316000</v>
      </c>
      <c r="GK81" s="294">
        <v>-25145</v>
      </c>
      <c r="GL81" s="294">
        <v>-949670</v>
      </c>
      <c r="GM81" s="294">
        <v>-53927.76</v>
      </c>
      <c r="GN81" s="294">
        <v>-116290</v>
      </c>
      <c r="GO81" s="294">
        <v>-239510</v>
      </c>
      <c r="GP81" s="294">
        <v>-35500</v>
      </c>
      <c r="GQ81" s="294">
        <v>-200734.93</v>
      </c>
      <c r="GR81" s="294">
        <v>-302372</v>
      </c>
      <c r="GS81" s="294">
        <v>-6000</v>
      </c>
      <c r="GT81" s="294">
        <v>-333960</v>
      </c>
      <c r="GU81" s="294">
        <v>0</v>
      </c>
      <c r="GV81" s="294">
        <v>-72492.5</v>
      </c>
      <c r="GW81" s="294">
        <v>-213210.04</v>
      </c>
      <c r="GX81" s="294">
        <v>-110269</v>
      </c>
      <c r="GY81" s="294">
        <v>-1604959.19</v>
      </c>
      <c r="GZ81" s="294">
        <v>-528746</v>
      </c>
      <c r="HA81" s="294">
        <v>-92760</v>
      </c>
      <c r="HB81" s="294">
        <v>-518662.8</v>
      </c>
      <c r="HC81" s="294">
        <v>-195823</v>
      </c>
      <c r="HD81" s="294">
        <v>-3888517.69</v>
      </c>
      <c r="HE81" s="294">
        <v>-744800</v>
      </c>
      <c r="HF81" s="294">
        <v>-14271799.4</v>
      </c>
      <c r="HG81" s="294">
        <v>-264000</v>
      </c>
      <c r="HH81" s="294">
        <v>-8068634.0999999996</v>
      </c>
      <c r="HI81" s="294">
        <v>-190000</v>
      </c>
      <c r="HJ81" s="294">
        <v>-17944732.09</v>
      </c>
      <c r="HK81" s="294">
        <v>-3923030.9</v>
      </c>
      <c r="HL81" s="294">
        <v>-3162968.5</v>
      </c>
      <c r="HM81" s="294">
        <v>-3596082.71</v>
      </c>
      <c r="HN81" s="294">
        <v>-400000</v>
      </c>
      <c r="HO81" s="294">
        <v>-1315425.5</v>
      </c>
      <c r="HP81" s="294">
        <v>-580219.15</v>
      </c>
      <c r="HQ81" s="294">
        <v>-3314339.93</v>
      </c>
      <c r="HR81" s="294">
        <v>-629347</v>
      </c>
      <c r="HS81" s="294">
        <v>-1634953.9</v>
      </c>
      <c r="HT81" s="294">
        <v>-63000</v>
      </c>
      <c r="HU81" s="294">
        <v>-9523</v>
      </c>
      <c r="HV81" s="294">
        <v>-3386200</v>
      </c>
      <c r="HW81" s="294">
        <v>-2531913.6</v>
      </c>
      <c r="HX81" s="294">
        <v>-383391.87</v>
      </c>
      <c r="HY81" s="294">
        <v>-2630862</v>
      </c>
      <c r="HZ81" s="294">
        <v>-1519804</v>
      </c>
      <c r="IA81" s="294">
        <v>-113029</v>
      </c>
      <c r="IB81" s="294"/>
      <c r="IC81" s="294">
        <v>-2397528.19</v>
      </c>
      <c r="ID81" s="294">
        <v>-170000</v>
      </c>
      <c r="IE81" s="294">
        <v>-25800</v>
      </c>
      <c r="IF81" s="294">
        <v>-655599.05000000005</v>
      </c>
      <c r="IG81" s="294">
        <v>-156700</v>
      </c>
      <c r="IH81" s="294">
        <v>-14978919</v>
      </c>
      <c r="II81" s="294">
        <v>-660000</v>
      </c>
      <c r="IJ81" s="294">
        <v>-3691.5</v>
      </c>
      <c r="IK81" s="294">
        <v>-1520018.45</v>
      </c>
      <c r="IL81" s="294">
        <v>-2106528</v>
      </c>
      <c r="IM81" s="294">
        <v>-881553.99</v>
      </c>
      <c r="IN81" s="294">
        <v>-19180</v>
      </c>
      <c r="IO81" s="294">
        <v>-81075.87</v>
      </c>
      <c r="IP81" s="294">
        <v>-896018.5</v>
      </c>
      <c r="IQ81" s="294">
        <v>-287736.41000000003</v>
      </c>
      <c r="IR81" s="294">
        <v>-116179.02</v>
      </c>
      <c r="IS81" s="294">
        <v>-35278635.030000001</v>
      </c>
      <c r="IT81" s="294"/>
      <c r="IU81" s="294">
        <v>-106210</v>
      </c>
      <c r="IV81" s="294">
        <v>-109220</v>
      </c>
      <c r="IW81" s="294">
        <v>-1149916.1599999999</v>
      </c>
      <c r="IX81" s="294">
        <v>4007.06</v>
      </c>
      <c r="IY81" s="294">
        <v>-496257.69</v>
      </c>
      <c r="IZ81" s="294">
        <v>0</v>
      </c>
      <c r="JA81" s="294">
        <v>-284440</v>
      </c>
      <c r="JB81" s="294">
        <v>-74200</v>
      </c>
      <c r="JC81" s="294">
        <v>-75757.02</v>
      </c>
      <c r="JD81" s="294">
        <v>-73820.460000000006</v>
      </c>
      <c r="JE81" s="294">
        <v>-27452</v>
      </c>
      <c r="JF81" s="294">
        <v>-1650728.02</v>
      </c>
      <c r="JG81" s="294">
        <v>-11100</v>
      </c>
      <c r="JH81" s="294">
        <v>-492362.2</v>
      </c>
      <c r="JI81" s="294">
        <v>-235598</v>
      </c>
      <c r="JJ81" s="294">
        <v>-2350</v>
      </c>
      <c r="JK81" s="294">
        <v>-8959981.4199999999</v>
      </c>
      <c r="JL81" s="294">
        <v>-441255</v>
      </c>
      <c r="JM81" s="294">
        <v>-713752.14</v>
      </c>
      <c r="JN81" s="294">
        <v>-205900</v>
      </c>
      <c r="JO81" s="294">
        <v>-15100</v>
      </c>
      <c r="JP81" s="294">
        <v>-1262421.01</v>
      </c>
      <c r="JQ81" s="294">
        <v>-304000</v>
      </c>
      <c r="JR81" s="294">
        <v>-3911750</v>
      </c>
      <c r="JS81" s="294">
        <v>-81250</v>
      </c>
      <c r="JT81" s="294">
        <v>-1831707.9</v>
      </c>
      <c r="JU81" s="294">
        <v>-306457.34999999998</v>
      </c>
      <c r="JV81" s="294">
        <v>-521998.5</v>
      </c>
      <c r="JW81" s="294">
        <v>-55830</v>
      </c>
      <c r="JX81" s="294">
        <v>-2146000</v>
      </c>
      <c r="JY81" s="294">
        <v>-872700</v>
      </c>
      <c r="JZ81" s="294">
        <v>0</v>
      </c>
      <c r="KA81" s="294">
        <v>-274660</v>
      </c>
      <c r="KB81" s="294">
        <v>-1093638</v>
      </c>
      <c r="KC81" s="294">
        <v>-177900</v>
      </c>
      <c r="KD81" s="294">
        <v>-37480</v>
      </c>
      <c r="KE81" s="294">
        <v>-597110</v>
      </c>
      <c r="KF81" s="294">
        <v>-20720</v>
      </c>
      <c r="KG81" s="294">
        <v>-1227131.5</v>
      </c>
      <c r="KH81" s="294">
        <v>-57342684.920000002</v>
      </c>
      <c r="KI81" s="294">
        <v>-5536495.8399999999</v>
      </c>
      <c r="KJ81" s="294">
        <v>-69062.48</v>
      </c>
      <c r="KK81" s="294">
        <v>-45760.45</v>
      </c>
      <c r="KL81" s="294">
        <v>-3140</v>
      </c>
      <c r="KM81" s="294">
        <v>-1615050</v>
      </c>
      <c r="KN81" s="294">
        <v>-386364.4</v>
      </c>
      <c r="KO81" s="294"/>
      <c r="KP81" s="294">
        <v>-87116</v>
      </c>
      <c r="KQ81" s="294">
        <v>-1013641.8</v>
      </c>
      <c r="KR81" s="294">
        <v>-157310</v>
      </c>
      <c r="KS81" s="294">
        <v>-194658.47</v>
      </c>
      <c r="KT81" s="294">
        <v>-2842770</v>
      </c>
      <c r="KU81" s="294">
        <v>-470500</v>
      </c>
      <c r="KV81" s="294">
        <v>-149806.39999999999</v>
      </c>
      <c r="KW81" s="294">
        <v>-4572986.37</v>
      </c>
      <c r="KX81" s="294">
        <v>-2968843.5</v>
      </c>
      <c r="KY81" s="294">
        <v>-1150057</v>
      </c>
      <c r="KZ81" s="294">
        <v>-669190</v>
      </c>
      <c r="LA81" s="294">
        <v>-55390</v>
      </c>
      <c r="LB81" s="294">
        <v>-444073.7</v>
      </c>
      <c r="LC81" s="294">
        <v>-799484</v>
      </c>
      <c r="LD81" s="294">
        <v>-142800</v>
      </c>
      <c r="LE81" s="294">
        <v>-115000</v>
      </c>
      <c r="LF81" s="294">
        <v>-868938.19</v>
      </c>
      <c r="LG81" s="294">
        <v>-10720</v>
      </c>
      <c r="LH81" s="294"/>
      <c r="LI81" s="294">
        <v>-3411334</v>
      </c>
      <c r="LJ81" s="294">
        <v>-4421715.5999999996</v>
      </c>
      <c r="LK81" s="294">
        <v>-2703058.21</v>
      </c>
      <c r="LL81" s="294">
        <v>-435875.4</v>
      </c>
      <c r="LM81" s="294">
        <v>-558783.32999999996</v>
      </c>
      <c r="LN81" s="294">
        <v>-64340</v>
      </c>
      <c r="LO81" s="294">
        <v>-1071598</v>
      </c>
      <c r="LP81" s="294">
        <v>-166920</v>
      </c>
      <c r="LQ81" s="294">
        <v>-72870.2</v>
      </c>
      <c r="LR81" s="294">
        <v>-4486048</v>
      </c>
      <c r="LS81" s="294">
        <v>-3070524.6</v>
      </c>
      <c r="LT81" s="294">
        <v>-609420</v>
      </c>
      <c r="LU81" s="294">
        <v>-3052240.6</v>
      </c>
      <c r="LV81" s="294">
        <v>-1364126</v>
      </c>
      <c r="LW81" s="294">
        <v>-513758</v>
      </c>
      <c r="LX81" s="294">
        <v>-998399</v>
      </c>
      <c r="LY81" s="294">
        <v>-245500</v>
      </c>
      <c r="LZ81" s="294">
        <v>-3410391.4</v>
      </c>
      <c r="MA81" s="294">
        <v>-371000</v>
      </c>
      <c r="MB81" s="294">
        <v>-493116.92</v>
      </c>
      <c r="MC81" s="294">
        <v>-82200</v>
      </c>
      <c r="MD81" s="294">
        <v>-1093926</v>
      </c>
      <c r="ME81" s="294">
        <v>-3060462</v>
      </c>
      <c r="MF81" s="294">
        <v>-834100</v>
      </c>
      <c r="MG81" s="294">
        <v>-10384538</v>
      </c>
      <c r="MH81" s="294">
        <v>-215067.5</v>
      </c>
      <c r="MI81" s="294">
        <v>-41330</v>
      </c>
      <c r="MJ81" s="294">
        <v>-48450</v>
      </c>
      <c r="MK81" s="294">
        <v>-224830</v>
      </c>
      <c r="ML81" s="294">
        <v>-382369</v>
      </c>
      <c r="MM81" s="294">
        <v>-221463</v>
      </c>
      <c r="MN81" s="294">
        <v>-464447.56</v>
      </c>
      <c r="MO81" s="294">
        <v>-402990</v>
      </c>
      <c r="MP81" s="294">
        <v>-411850</v>
      </c>
      <c r="MQ81" s="294">
        <v>-379154.43</v>
      </c>
      <c r="MR81" s="294">
        <v>-11500</v>
      </c>
      <c r="MS81" s="294">
        <v>-2605431.25</v>
      </c>
      <c r="MT81" s="294">
        <v>-696820</v>
      </c>
      <c r="MU81" s="294">
        <v>-108700</v>
      </c>
      <c r="MV81" s="294">
        <v>-2687274.4299999997</v>
      </c>
      <c r="MW81" s="294">
        <v>-2040184</v>
      </c>
      <c r="MX81" s="294">
        <v>-1191283</v>
      </c>
      <c r="MY81" s="294">
        <v>-2362398.85</v>
      </c>
      <c r="MZ81" s="294">
        <v>0</v>
      </c>
      <c r="NA81" s="294">
        <v>-1426047.88</v>
      </c>
      <c r="NB81" s="294">
        <v>-850665.1</v>
      </c>
      <c r="NC81" s="294">
        <v>-15000</v>
      </c>
      <c r="ND81" s="294">
        <v>-32432</v>
      </c>
      <c r="NE81" s="294">
        <v>-1449526.4</v>
      </c>
      <c r="NF81" s="294">
        <v>-687017</v>
      </c>
      <c r="NG81" s="294">
        <v>-13979342.1</v>
      </c>
      <c r="NH81" s="294">
        <v>0</v>
      </c>
      <c r="NI81" s="294">
        <v>-646080</v>
      </c>
      <c r="NJ81" s="294">
        <v>-2807495.06</v>
      </c>
      <c r="NK81" s="294">
        <v>-2095527.1</v>
      </c>
      <c r="NL81" s="294">
        <v>-59523.55</v>
      </c>
      <c r="NM81" s="294">
        <v>-1526640.65</v>
      </c>
      <c r="NN81" s="294">
        <v>-19700</v>
      </c>
      <c r="NO81" s="294">
        <v>-841240</v>
      </c>
      <c r="NP81" s="294"/>
      <c r="NQ81" s="294">
        <v>-1347236.67</v>
      </c>
      <c r="NR81" s="294">
        <v>-553777.6</v>
      </c>
      <c r="NS81" s="294">
        <v>-320848</v>
      </c>
      <c r="NT81" s="294">
        <v>-151820</v>
      </c>
      <c r="NU81" s="294">
        <v>-146313.5</v>
      </c>
      <c r="NV81" s="294">
        <v>-142480</v>
      </c>
      <c r="NW81" s="294">
        <v>-11439537.5</v>
      </c>
      <c r="NX81" s="294">
        <v>-8555507.5</v>
      </c>
      <c r="NY81" s="294">
        <v>-1241092.42</v>
      </c>
      <c r="NZ81" s="294">
        <v>-432500</v>
      </c>
      <c r="OA81" s="294">
        <v>-10800</v>
      </c>
      <c r="OB81" s="294">
        <v>-76000</v>
      </c>
      <c r="OC81" s="294">
        <v>-1780199</v>
      </c>
      <c r="OD81" s="294">
        <v>-8197176</v>
      </c>
      <c r="OE81" s="294">
        <v>-10220259.9</v>
      </c>
      <c r="OF81" s="294">
        <v>-407015.5</v>
      </c>
      <c r="OG81" s="294">
        <v>-5786433.1299999999</v>
      </c>
      <c r="OH81" s="294">
        <v>-16799</v>
      </c>
      <c r="OI81" s="294">
        <v>-2226544.35</v>
      </c>
      <c r="OJ81" s="294">
        <v>-7793695.6299999999</v>
      </c>
      <c r="OK81" s="294">
        <v>-74875.17</v>
      </c>
      <c r="OL81" s="294">
        <v>-4677249.99</v>
      </c>
      <c r="OM81" s="294">
        <v>-98720</v>
      </c>
      <c r="ON81" s="294">
        <v>-2169967.91</v>
      </c>
      <c r="OO81" s="294">
        <v>-6457098.5999999996</v>
      </c>
      <c r="OP81" s="294">
        <v>-696710</v>
      </c>
      <c r="OQ81" s="294">
        <v>0</v>
      </c>
      <c r="OR81" s="294">
        <v>-277523.20000000001</v>
      </c>
      <c r="OS81" s="294">
        <v>-13820000</v>
      </c>
      <c r="OT81" s="294">
        <v>-633850</v>
      </c>
      <c r="OU81" s="294">
        <v>-115134</v>
      </c>
      <c r="OV81" s="294">
        <v>-622500</v>
      </c>
      <c r="OW81" s="294">
        <v>0</v>
      </c>
      <c r="OX81" s="294">
        <v>-422270.2</v>
      </c>
      <c r="OY81" s="294">
        <v>-444979</v>
      </c>
      <c r="OZ81" s="294">
        <v>-196900</v>
      </c>
      <c r="PA81" s="294">
        <v>-259006.72</v>
      </c>
      <c r="PB81" s="294">
        <v>-5593200.5</v>
      </c>
      <c r="PC81" s="294">
        <v>-143878.70000000001</v>
      </c>
      <c r="PD81" s="294">
        <v>-786102.5</v>
      </c>
      <c r="PE81" s="294">
        <v>-150557</v>
      </c>
      <c r="PF81" s="294">
        <v>-842312.78</v>
      </c>
      <c r="PG81" s="294">
        <v>-1039457</v>
      </c>
      <c r="PH81" s="294">
        <v>-596531.19999999995</v>
      </c>
      <c r="PI81" s="294">
        <v>-707610</v>
      </c>
      <c r="PJ81" s="294">
        <v>-1005615</v>
      </c>
      <c r="PK81" s="294">
        <v>-1226150</v>
      </c>
      <c r="PL81" s="294">
        <v>-145000</v>
      </c>
      <c r="PM81" s="294">
        <v>-1853388</v>
      </c>
      <c r="PN81" s="294">
        <v>-1172690</v>
      </c>
      <c r="PO81" s="294">
        <v>-4916946.08</v>
      </c>
      <c r="PP81" s="294">
        <v>-86780</v>
      </c>
      <c r="PQ81" s="294">
        <v>-119185</v>
      </c>
      <c r="PR81" s="294">
        <v>-373630</v>
      </c>
      <c r="PS81" s="294">
        <v>-257970</v>
      </c>
      <c r="PT81" s="294">
        <v>-8799897.5999999996</v>
      </c>
      <c r="PU81" s="294">
        <v>-1625157.3</v>
      </c>
      <c r="PV81" s="294">
        <v>-45000</v>
      </c>
      <c r="PW81" s="294">
        <v>-32320</v>
      </c>
      <c r="PX81" s="294">
        <v>-8144144</v>
      </c>
      <c r="PY81" s="294">
        <v>-1255520</v>
      </c>
      <c r="PZ81" s="294">
        <v>-623191.68000000005</v>
      </c>
      <c r="QA81" s="294">
        <v>-15000</v>
      </c>
      <c r="QB81" s="294">
        <v>-99500</v>
      </c>
      <c r="QC81" s="294">
        <v>-112500</v>
      </c>
      <c r="QD81" s="294">
        <v>-873622</v>
      </c>
      <c r="QE81" s="294">
        <v>-426365</v>
      </c>
      <c r="QF81" s="294">
        <v>-408545.5</v>
      </c>
      <c r="QG81" s="294">
        <v>-479450</v>
      </c>
      <c r="QH81" s="294">
        <v>-1734491.45</v>
      </c>
      <c r="QI81" s="294">
        <v>-14320</v>
      </c>
      <c r="QJ81" s="294">
        <v>-270549.84000000003</v>
      </c>
      <c r="QK81" s="294">
        <v>-329804</v>
      </c>
      <c r="QL81" s="294">
        <v>-634000</v>
      </c>
      <c r="QM81" s="294">
        <v>-1101098.3500000001</v>
      </c>
      <c r="QN81" s="294">
        <v>-1053340</v>
      </c>
      <c r="QO81" s="294">
        <v>-174330</v>
      </c>
      <c r="QP81" s="294">
        <v>-30350</v>
      </c>
      <c r="QQ81" s="294">
        <v>-293275</v>
      </c>
      <c r="QR81" s="294">
        <v>-553290</v>
      </c>
      <c r="QS81" s="294">
        <v>-330693.06</v>
      </c>
      <c r="QT81" s="294">
        <v>-17314440.5</v>
      </c>
      <c r="QU81" s="294">
        <v>-510860</v>
      </c>
      <c r="QV81" s="294">
        <v>-399943.23</v>
      </c>
      <c r="QW81" s="294">
        <v>-417819.5</v>
      </c>
      <c r="QX81" s="294">
        <v>-251586.5</v>
      </c>
      <c r="QY81" s="294">
        <v>-2009383</v>
      </c>
      <c r="QZ81" s="294">
        <v>-2868103.84</v>
      </c>
      <c r="RA81" s="294">
        <v>-1233637.32</v>
      </c>
      <c r="RB81" s="294">
        <v>-341450</v>
      </c>
      <c r="RC81" s="294">
        <v>-234635.14</v>
      </c>
      <c r="RD81" s="294">
        <v>-389780</v>
      </c>
      <c r="RE81" s="294">
        <v>-128390</v>
      </c>
      <c r="RF81" s="294">
        <v>-855558</v>
      </c>
      <c r="RG81" s="294">
        <v>-15553678</v>
      </c>
      <c r="RH81" s="294">
        <v>-3114516.89</v>
      </c>
      <c r="RI81" s="294">
        <v>-1772160</v>
      </c>
      <c r="RJ81" s="294">
        <v>-1009794</v>
      </c>
      <c r="RK81" s="294">
        <v>-1017128</v>
      </c>
      <c r="RL81" s="294">
        <v>-1015644.29</v>
      </c>
      <c r="RM81" s="294">
        <v>-4877560.7</v>
      </c>
      <c r="RN81" s="294">
        <v>-1213480</v>
      </c>
      <c r="RO81" s="294">
        <v>-932016</v>
      </c>
      <c r="RP81" s="294">
        <v>-2033970</v>
      </c>
      <c r="RQ81" s="294">
        <v>-3385947</v>
      </c>
      <c r="RR81" s="294">
        <v>-596519</v>
      </c>
      <c r="RS81" s="294">
        <v>-1259000</v>
      </c>
      <c r="RT81" s="294">
        <v>-798185.89</v>
      </c>
      <c r="RU81" s="294">
        <v>-194280</v>
      </c>
      <c r="RV81" s="294">
        <v>-1206333</v>
      </c>
      <c r="RW81" s="294">
        <v>-533922</v>
      </c>
      <c r="RX81" s="294">
        <v>-611296.1</v>
      </c>
      <c r="RY81" s="294">
        <v>-1020336</v>
      </c>
      <c r="RZ81" s="294">
        <v>-218550</v>
      </c>
      <c r="SA81" s="294">
        <v>-4182105.28</v>
      </c>
      <c r="SB81" s="294">
        <v>-137554</v>
      </c>
      <c r="SC81" s="294">
        <v>-107900</v>
      </c>
      <c r="SD81" s="294">
        <v>-163780</v>
      </c>
      <c r="SE81" s="294">
        <v>-361140</v>
      </c>
      <c r="SF81" s="294">
        <v>-480095</v>
      </c>
      <c r="SG81" s="294">
        <v>-80000</v>
      </c>
      <c r="SH81" s="294">
        <v>-175590</v>
      </c>
      <c r="SI81" s="294">
        <v>-210880</v>
      </c>
      <c r="SJ81" s="294">
        <v>-873770</v>
      </c>
      <c r="SK81" s="294">
        <v>-891440</v>
      </c>
      <c r="SL81" s="294">
        <v>-166006.74</v>
      </c>
      <c r="SM81" s="294">
        <v>-661578</v>
      </c>
      <c r="SN81" s="294">
        <v>-416980</v>
      </c>
      <c r="SO81" s="294">
        <v>-154660</v>
      </c>
      <c r="SP81" s="294">
        <v>-1167680</v>
      </c>
      <c r="SQ81" s="294">
        <v>-498049</v>
      </c>
      <c r="SR81" s="294">
        <v>-333980</v>
      </c>
      <c r="SS81" s="294">
        <v>-628170</v>
      </c>
      <c r="ST81" s="294">
        <v>-104650</v>
      </c>
      <c r="SU81" s="294">
        <v>-6914627.5</v>
      </c>
      <c r="SV81" s="294">
        <v>-244080</v>
      </c>
      <c r="SW81" s="294">
        <v>-445190</v>
      </c>
      <c r="SX81" s="294">
        <v>-2896730</v>
      </c>
      <c r="SY81" s="294">
        <v>-359780</v>
      </c>
      <c r="SZ81" s="294">
        <v>-61000</v>
      </c>
      <c r="TA81" s="294">
        <v>-251982</v>
      </c>
      <c r="TB81" s="294">
        <v>-1810809</v>
      </c>
      <c r="TC81" s="294">
        <v>-188880</v>
      </c>
      <c r="TD81" s="294">
        <v>-368362.1</v>
      </c>
      <c r="TE81" s="294">
        <v>-268140</v>
      </c>
      <c r="TF81" s="294">
        <v>-30000</v>
      </c>
      <c r="TG81" s="294">
        <v>-606459</v>
      </c>
      <c r="TH81" s="294">
        <v>-581945</v>
      </c>
      <c r="TI81" s="294">
        <v>-4273650</v>
      </c>
      <c r="TJ81" s="294">
        <v>-449910</v>
      </c>
      <c r="TK81" s="294">
        <v>-402636.4</v>
      </c>
      <c r="TL81" s="294">
        <v>-1380980</v>
      </c>
      <c r="TM81" s="294">
        <v>-401600</v>
      </c>
      <c r="TN81" s="294">
        <v>-107500</v>
      </c>
      <c r="TO81" s="294">
        <v>-139439</v>
      </c>
      <c r="TP81" s="294">
        <v>-19387692.289999999</v>
      </c>
      <c r="TQ81" s="294">
        <v>-1070136.5</v>
      </c>
      <c r="TR81" s="294">
        <v>-215000</v>
      </c>
      <c r="TS81" s="294">
        <v>-164940</v>
      </c>
      <c r="TT81" s="294">
        <v>-684000</v>
      </c>
      <c r="TU81" s="294">
        <v>-378680</v>
      </c>
      <c r="TV81" s="294">
        <v>-78100</v>
      </c>
      <c r="TW81" s="294">
        <v>-1441424</v>
      </c>
      <c r="TX81" s="294">
        <v>-4860</v>
      </c>
      <c r="TY81" s="294">
        <v>-994520</v>
      </c>
      <c r="TZ81" s="294">
        <v>-268600</v>
      </c>
      <c r="UA81" s="294">
        <v>-5633348</v>
      </c>
      <c r="UB81" s="294">
        <v>-1364940</v>
      </c>
      <c r="UC81" s="294">
        <v>-2879566</v>
      </c>
      <c r="UD81" s="294">
        <v>-384599</v>
      </c>
      <c r="UE81" s="294">
        <v>-9644016.1999999993</v>
      </c>
      <c r="UF81" s="294">
        <v>-207009.15</v>
      </c>
      <c r="UG81" s="294">
        <v>-502666.35</v>
      </c>
      <c r="UH81" s="294">
        <v>-408083.44</v>
      </c>
      <c r="UI81" s="294">
        <v>-1269900</v>
      </c>
      <c r="UJ81" s="294">
        <v>-11666505.26</v>
      </c>
      <c r="UK81" s="294">
        <v>-780122</v>
      </c>
      <c r="UL81" s="294">
        <v>-663123</v>
      </c>
      <c r="UM81" s="294">
        <v>-1897850</v>
      </c>
      <c r="UN81" s="294">
        <v>-1084749</v>
      </c>
      <c r="UO81" s="294">
        <v>-633198.02</v>
      </c>
      <c r="UP81" s="294">
        <v>-34363835</v>
      </c>
      <c r="UQ81" s="294">
        <v>-475180</v>
      </c>
      <c r="UR81" s="294">
        <v>-897995</v>
      </c>
      <c r="US81" s="294">
        <v>-1956167</v>
      </c>
      <c r="UT81" s="294">
        <v>-2525337</v>
      </c>
      <c r="UU81" s="294">
        <v>-1266406</v>
      </c>
      <c r="UV81" s="294">
        <v>-12924579.300000001</v>
      </c>
      <c r="UW81" s="294">
        <v>-576960</v>
      </c>
      <c r="UX81" s="294">
        <v>-1138805</v>
      </c>
      <c r="UY81" s="294">
        <v>-1302670</v>
      </c>
      <c r="UZ81" s="294">
        <v>-1116065</v>
      </c>
      <c r="VA81" s="294">
        <v>-1144784.5900000001</v>
      </c>
      <c r="VB81" s="294">
        <v>-367040</v>
      </c>
      <c r="VC81" s="294">
        <v>-919718.02</v>
      </c>
      <c r="VD81" s="294">
        <v>-371948</v>
      </c>
      <c r="VE81" s="294">
        <v>-1180620</v>
      </c>
      <c r="VF81" s="294">
        <v>-394249</v>
      </c>
      <c r="VG81" s="294">
        <v>-741204</v>
      </c>
      <c r="VH81" s="294">
        <v>-2605374.25</v>
      </c>
      <c r="VI81" s="294">
        <v>-2387740</v>
      </c>
      <c r="VJ81" s="294">
        <v>-368700</v>
      </c>
      <c r="VK81" s="294">
        <v>0</v>
      </c>
      <c r="VL81" s="294">
        <v>-5345424.3</v>
      </c>
      <c r="VM81" s="294">
        <v>-707436.35</v>
      </c>
      <c r="VN81" s="294">
        <v>-831592.6</v>
      </c>
      <c r="VO81" s="294">
        <v>-2718580</v>
      </c>
      <c r="VP81" s="294">
        <v>-2804639.4</v>
      </c>
      <c r="VQ81" s="294">
        <v>-1379762.97</v>
      </c>
      <c r="VR81" s="294">
        <v>-161922.65</v>
      </c>
      <c r="VS81" s="294">
        <v>-207000</v>
      </c>
      <c r="VT81" s="294">
        <v>-826900</v>
      </c>
      <c r="VU81" s="294">
        <v>-553955</v>
      </c>
      <c r="VV81" s="294">
        <v>-57423</v>
      </c>
      <c r="VW81" s="294">
        <v>-3438137.8200000003</v>
      </c>
      <c r="VX81" s="294">
        <v>-1712981.58</v>
      </c>
      <c r="VY81" s="294">
        <v>-113000</v>
      </c>
      <c r="VZ81" s="294">
        <v>0</v>
      </c>
      <c r="WA81" s="294">
        <v>-53896076</v>
      </c>
      <c r="WB81" s="294">
        <v>-887925.35</v>
      </c>
      <c r="WC81" s="294">
        <v>-952831.3</v>
      </c>
      <c r="WD81" s="294"/>
      <c r="WE81" s="294">
        <v>-241759</v>
      </c>
      <c r="WF81" s="294">
        <v>-231844</v>
      </c>
      <c r="WG81" s="294">
        <v>-810515</v>
      </c>
      <c r="WH81" s="294">
        <v>-552164.5</v>
      </c>
      <c r="WI81" s="294">
        <v>-408162.5</v>
      </c>
      <c r="WJ81" s="294">
        <v>-551850</v>
      </c>
      <c r="WK81" s="294">
        <v>-37070</v>
      </c>
      <c r="WL81" s="294">
        <v>-1638106</v>
      </c>
      <c r="WM81" s="294">
        <v>-240577.1</v>
      </c>
      <c r="WN81" s="294">
        <v>-622557</v>
      </c>
      <c r="WO81" s="294">
        <v>-4144750</v>
      </c>
      <c r="WP81" s="294">
        <v>-1339657.51</v>
      </c>
      <c r="WQ81" s="294">
        <v>-605820</v>
      </c>
      <c r="WR81" s="294">
        <v>-1046309.3</v>
      </c>
      <c r="WS81" s="294">
        <v>-232000</v>
      </c>
      <c r="WT81" s="294">
        <v>-1039265</v>
      </c>
      <c r="WU81" s="294">
        <v>-16422040.91</v>
      </c>
      <c r="WV81" s="294">
        <v>-709789.28</v>
      </c>
      <c r="WW81" s="294">
        <v>-964324</v>
      </c>
      <c r="WX81" s="294">
        <v>-608743.65</v>
      </c>
      <c r="WY81" s="294">
        <v>-313500</v>
      </c>
      <c r="WZ81" s="294">
        <v>-1690060.33</v>
      </c>
      <c r="XA81" s="294">
        <v>-224480.66</v>
      </c>
      <c r="XB81" s="294"/>
      <c r="XC81" s="294">
        <v>-8963964.5</v>
      </c>
      <c r="XD81" s="294">
        <v>-483659.56</v>
      </c>
      <c r="XE81" s="294">
        <v>-347165</v>
      </c>
      <c r="XF81" s="294">
        <v>-774600</v>
      </c>
      <c r="XG81" s="294">
        <v>-1716141.52</v>
      </c>
      <c r="XH81" s="294">
        <v>-3322180.4</v>
      </c>
      <c r="XI81" s="294">
        <v>-1965540</v>
      </c>
      <c r="XJ81" s="294">
        <v>-1285200</v>
      </c>
      <c r="XK81" s="294">
        <v>-2298200</v>
      </c>
      <c r="XL81" s="294">
        <v>-75700</v>
      </c>
      <c r="XM81" s="294">
        <v>-168900</v>
      </c>
      <c r="XN81" s="294">
        <v>-2056923</v>
      </c>
      <c r="XO81" s="294">
        <v>-11650</v>
      </c>
      <c r="XP81" s="294">
        <v>-135355</v>
      </c>
      <c r="XQ81" s="294">
        <v>-1867000</v>
      </c>
      <c r="XR81" s="294">
        <v>-227200</v>
      </c>
      <c r="XS81" s="294">
        <v>-200850</v>
      </c>
      <c r="XT81" s="294">
        <v>-412244</v>
      </c>
      <c r="XU81" s="294"/>
      <c r="XV81" s="294">
        <v>-62900</v>
      </c>
      <c r="XW81" s="294">
        <v>-150900</v>
      </c>
      <c r="XX81" s="294"/>
      <c r="XY81" s="294">
        <v>-622099.76</v>
      </c>
      <c r="XZ81" s="294">
        <v>-49500</v>
      </c>
      <c r="YA81" s="294">
        <v>0</v>
      </c>
      <c r="YB81" s="294">
        <v>-190150</v>
      </c>
      <c r="YC81" s="294">
        <v>-86900</v>
      </c>
      <c r="YD81" s="294">
        <v>-507300</v>
      </c>
      <c r="YE81" s="294">
        <v>-2097610</v>
      </c>
      <c r="YF81" s="294">
        <v>-78600</v>
      </c>
      <c r="YG81" s="294">
        <v>-1405100</v>
      </c>
      <c r="YH81" s="294">
        <v>-1262965.8999999999</v>
      </c>
      <c r="YI81" s="294">
        <v>-5455606.1200000001</v>
      </c>
      <c r="YJ81" s="294">
        <v>-38000</v>
      </c>
      <c r="YK81" s="294">
        <v>-1766872.4</v>
      </c>
      <c r="YL81" s="294">
        <v>-348339.5</v>
      </c>
      <c r="YM81" s="294">
        <v>-4439300</v>
      </c>
      <c r="YN81" s="294">
        <v>-1582890</v>
      </c>
      <c r="YO81" s="294">
        <v>-339680</v>
      </c>
      <c r="YP81" s="294">
        <v>-200300</v>
      </c>
      <c r="YQ81" s="294">
        <v>-234500</v>
      </c>
      <c r="YR81" s="294">
        <v>0</v>
      </c>
      <c r="YS81" s="294">
        <v>-947632.46</v>
      </c>
      <c r="YT81" s="294">
        <v>-2699103.33</v>
      </c>
      <c r="YU81" s="294">
        <v>-301700</v>
      </c>
      <c r="YV81" s="294">
        <v>-2319196</v>
      </c>
      <c r="YW81" s="294">
        <v>-22000</v>
      </c>
      <c r="YX81" s="294">
        <v>-83445</v>
      </c>
      <c r="YY81" s="294">
        <v>-337480</v>
      </c>
      <c r="YZ81" s="294">
        <v>-64900</v>
      </c>
      <c r="ZA81" s="294">
        <v>-159790</v>
      </c>
      <c r="ZB81" s="294">
        <v>-370940</v>
      </c>
      <c r="ZC81" s="294">
        <v>-357140</v>
      </c>
      <c r="ZD81" s="294">
        <v>0</v>
      </c>
      <c r="ZE81" s="294">
        <v>-1082155</v>
      </c>
      <c r="ZF81" s="294">
        <v>-133670</v>
      </c>
      <c r="ZG81" s="294">
        <v>-674390</v>
      </c>
      <c r="ZH81" s="294">
        <v>-552585</v>
      </c>
      <c r="ZI81" s="294">
        <v>-675488</v>
      </c>
      <c r="ZJ81" s="294">
        <v>-351050</v>
      </c>
      <c r="ZK81" s="294">
        <v>-2830522</v>
      </c>
      <c r="ZL81" s="294">
        <v>-7817268.6500000004</v>
      </c>
      <c r="ZM81" s="294">
        <v>-404610</v>
      </c>
      <c r="ZN81" s="294">
        <v>-119575</v>
      </c>
      <c r="ZO81" s="294">
        <v>-4245130</v>
      </c>
      <c r="ZP81" s="294">
        <v>-572130</v>
      </c>
      <c r="ZQ81" s="294">
        <v>-795476</v>
      </c>
      <c r="ZR81" s="294">
        <v>-282000</v>
      </c>
      <c r="ZS81" s="294">
        <v>-1074863</v>
      </c>
      <c r="ZT81" s="294">
        <v>-1824217.6</v>
      </c>
      <c r="ZU81" s="294">
        <v>-8090560</v>
      </c>
      <c r="ZV81" s="294">
        <v>-860347</v>
      </c>
      <c r="ZW81" s="294">
        <v>-48990</v>
      </c>
      <c r="ZX81" s="294">
        <v>-1489450</v>
      </c>
      <c r="ZY81" s="294">
        <v>-656000</v>
      </c>
      <c r="ZZ81" s="294">
        <v>-746030</v>
      </c>
      <c r="AAA81" s="294">
        <v>-2665780.85</v>
      </c>
      <c r="AAB81" s="294">
        <v>-272060</v>
      </c>
      <c r="AAC81" s="294"/>
      <c r="AAD81" s="294">
        <v>-1405390</v>
      </c>
      <c r="AAE81" s="294">
        <v>-125800</v>
      </c>
      <c r="AAF81" s="294">
        <v>-649025</v>
      </c>
      <c r="AAG81" s="294">
        <v>-513800</v>
      </c>
      <c r="AAH81" s="294">
        <v>-4184340</v>
      </c>
      <c r="AAI81" s="294">
        <v>-498092</v>
      </c>
      <c r="AAJ81" s="294">
        <v>-514520</v>
      </c>
      <c r="AAK81" s="294">
        <v>-1160290</v>
      </c>
      <c r="AAL81" s="294">
        <v>-823000</v>
      </c>
      <c r="AAM81" s="294">
        <v>-1925701.5</v>
      </c>
      <c r="AAN81" s="294">
        <v>-172200</v>
      </c>
      <c r="AAO81" s="294">
        <v>-34988467</v>
      </c>
      <c r="AAP81" s="294">
        <v>-849830</v>
      </c>
      <c r="AAQ81" s="294">
        <v>-2200</v>
      </c>
      <c r="AAR81" s="294">
        <v>-1970272.01</v>
      </c>
      <c r="AAS81" s="294">
        <v>-260801</v>
      </c>
      <c r="AAT81" s="294">
        <v>0</v>
      </c>
      <c r="AAU81" s="294">
        <v>-1431570</v>
      </c>
      <c r="AAV81" s="294">
        <v>-753425</v>
      </c>
      <c r="AAW81" s="294">
        <v>-1246316</v>
      </c>
      <c r="AAX81" s="294">
        <v>-1843950</v>
      </c>
      <c r="AAY81" s="294">
        <v>-906460</v>
      </c>
      <c r="AAZ81" s="294">
        <v>-2233284.7999999998</v>
      </c>
      <c r="ABA81" s="294">
        <v>-1056757.2</v>
      </c>
      <c r="ABB81" s="294">
        <v>-158567.29</v>
      </c>
      <c r="ABC81" s="294">
        <v>-1153780</v>
      </c>
      <c r="ABD81" s="294">
        <v>-483070</v>
      </c>
      <c r="ABE81" s="294">
        <v>-482250</v>
      </c>
      <c r="ABF81" s="294">
        <v>-313900</v>
      </c>
      <c r="ABG81" s="294">
        <v>-283502</v>
      </c>
      <c r="ABH81" s="294">
        <v>-15406878.84</v>
      </c>
      <c r="ABI81" s="294">
        <v>-1929631</v>
      </c>
      <c r="ABJ81" s="294">
        <v>-1991251.87</v>
      </c>
      <c r="ABK81" s="294">
        <v>-592914</v>
      </c>
      <c r="ABL81" s="294">
        <v>-569645</v>
      </c>
      <c r="ABM81" s="294">
        <v>-446351.5</v>
      </c>
      <c r="ABN81" s="294">
        <v>-424550</v>
      </c>
      <c r="ABO81" s="294">
        <v>-6233736</v>
      </c>
      <c r="ABP81" s="294">
        <v>-281770</v>
      </c>
      <c r="ABQ81" s="294">
        <v>-1292552</v>
      </c>
      <c r="ABR81" s="294">
        <v>-1462130</v>
      </c>
      <c r="ABS81" s="294">
        <v>-250613</v>
      </c>
      <c r="ABT81" s="294">
        <v>-124680</v>
      </c>
      <c r="ABU81" s="294">
        <v>-154900</v>
      </c>
      <c r="ABV81" s="294">
        <v>-357680</v>
      </c>
      <c r="ABW81" s="294"/>
      <c r="ABX81" s="294">
        <v>-1847259</v>
      </c>
      <c r="ABY81" s="294">
        <v>-96400</v>
      </c>
      <c r="ABZ81" s="294">
        <v>-79180</v>
      </c>
      <c r="ACA81" s="294">
        <v>0</v>
      </c>
      <c r="ACB81" s="294">
        <v>-261889</v>
      </c>
      <c r="ACC81" s="294">
        <v>-2442397.81</v>
      </c>
      <c r="ACD81" s="294">
        <v>-355656.71</v>
      </c>
      <c r="ACE81" s="294">
        <v>-2707000</v>
      </c>
      <c r="ACF81" s="294">
        <v>-163380</v>
      </c>
      <c r="ACG81" s="294">
        <v>-7467</v>
      </c>
      <c r="ACH81" s="294">
        <v>-632829</v>
      </c>
      <c r="ACI81" s="294">
        <v>-14356060</v>
      </c>
      <c r="ACJ81" s="294">
        <v>-382040</v>
      </c>
      <c r="ACK81" s="294">
        <v>-85470</v>
      </c>
      <c r="ACL81" s="294">
        <v>-251998</v>
      </c>
      <c r="ACM81" s="294">
        <v>-606014.85</v>
      </c>
      <c r="ACN81" s="294">
        <v>-307800</v>
      </c>
      <c r="ACO81" s="294">
        <v>-2408817.63</v>
      </c>
      <c r="ACP81" s="294">
        <v>-6738758.6500000004</v>
      </c>
      <c r="ACQ81" s="294">
        <v>-2968830.4</v>
      </c>
      <c r="ACR81" s="294">
        <v>-985634</v>
      </c>
      <c r="ACS81" s="294">
        <v>-1203134</v>
      </c>
      <c r="ACT81" s="294">
        <v>-727315</v>
      </c>
      <c r="ACU81" s="294">
        <v>-9520</v>
      </c>
      <c r="ACV81" s="294">
        <v>-8577679</v>
      </c>
      <c r="ACW81" s="294">
        <v>-495400</v>
      </c>
      <c r="ACX81" s="294">
        <v>-178500</v>
      </c>
      <c r="ACY81" s="294">
        <v>-2820535</v>
      </c>
      <c r="ACZ81" s="294">
        <v>-701835</v>
      </c>
      <c r="ADA81" s="294">
        <v>-545818</v>
      </c>
      <c r="ADB81" s="294"/>
      <c r="ADC81" s="294">
        <v>-1831410</v>
      </c>
      <c r="ADD81" s="294">
        <v>-20000</v>
      </c>
      <c r="ADE81" s="294"/>
      <c r="ADF81" s="294">
        <v>-821680</v>
      </c>
      <c r="ADG81" s="294">
        <v>-38900</v>
      </c>
      <c r="ADH81" s="294"/>
      <c r="ADI81" s="294"/>
      <c r="ADJ81" s="294"/>
      <c r="ADK81" s="294">
        <v>-17749</v>
      </c>
      <c r="ADL81" s="294">
        <v>-34000</v>
      </c>
      <c r="ADM81" s="294">
        <v>-103609</v>
      </c>
      <c r="ADN81" s="294">
        <v>-166390</v>
      </c>
      <c r="ADO81" s="294">
        <v>-9789302.1300000008</v>
      </c>
      <c r="ADP81" s="294">
        <v>-324121.8</v>
      </c>
      <c r="ADQ81" s="294">
        <v>-926430</v>
      </c>
      <c r="ADR81" s="294">
        <v>110820.57</v>
      </c>
      <c r="ADS81" s="294">
        <v>-8482655.9000000004</v>
      </c>
      <c r="ADT81" s="294">
        <v>-235840</v>
      </c>
      <c r="ADU81" s="294">
        <v>-782580</v>
      </c>
      <c r="ADV81" s="294">
        <v>-1497340</v>
      </c>
      <c r="ADW81" s="294">
        <v>-427290</v>
      </c>
      <c r="ADX81" s="294">
        <v>-617180</v>
      </c>
      <c r="ADY81" s="294">
        <v>-57256816.869999997</v>
      </c>
      <c r="ADZ81" s="294">
        <v>-16466996.18</v>
      </c>
      <c r="AEA81" s="294">
        <v>-1166463.04</v>
      </c>
      <c r="AEB81" s="294">
        <v>-669973.21</v>
      </c>
      <c r="AEC81" s="294">
        <v>-1183670</v>
      </c>
      <c r="AED81" s="294">
        <v>-282357</v>
      </c>
      <c r="AEE81" s="294">
        <v>-160670</v>
      </c>
      <c r="AEF81" s="294">
        <v>-53000</v>
      </c>
      <c r="AEG81" s="294">
        <v>-705916.29</v>
      </c>
      <c r="AEH81" s="294">
        <v>-789369.7</v>
      </c>
      <c r="AEI81" s="294">
        <v>-1587090.4</v>
      </c>
      <c r="AEJ81" s="294">
        <v>-454082.24</v>
      </c>
      <c r="AEK81" s="294">
        <v>-60898</v>
      </c>
      <c r="AEL81" s="294">
        <v>-1903620</v>
      </c>
      <c r="AEM81" s="294">
        <v>-348490</v>
      </c>
      <c r="AEN81" s="294">
        <v>-2197683.85</v>
      </c>
      <c r="AEO81" s="294">
        <v>-525748</v>
      </c>
      <c r="AEP81" s="294">
        <v>-931101</v>
      </c>
      <c r="AEQ81" s="294">
        <v>-83448</v>
      </c>
      <c r="AER81" s="294">
        <v>-1959520</v>
      </c>
      <c r="AES81" s="294">
        <v>-703080</v>
      </c>
      <c r="AET81" s="294">
        <v>-195600</v>
      </c>
      <c r="AEU81" s="294">
        <v>-652000</v>
      </c>
      <c r="AEV81" s="294">
        <v>-462890</v>
      </c>
      <c r="AEW81" s="294">
        <v>0</v>
      </c>
      <c r="AEX81" s="294">
        <v>-1783151.05</v>
      </c>
      <c r="AEY81" s="294">
        <v>-758250</v>
      </c>
      <c r="AEZ81" s="294">
        <v>-14500</v>
      </c>
      <c r="AFA81" s="294">
        <v>-79727</v>
      </c>
      <c r="AFB81" s="294">
        <v>-982923.32</v>
      </c>
      <c r="AFC81" s="294">
        <v>-6950980</v>
      </c>
      <c r="AFD81" s="294">
        <v>-1676873</v>
      </c>
      <c r="AFE81" s="294">
        <v>-1166094</v>
      </c>
      <c r="AFF81" s="294">
        <v>-357928</v>
      </c>
      <c r="AFG81" s="294">
        <v>-432960</v>
      </c>
      <c r="AFH81" s="294">
        <v>-1417400.03</v>
      </c>
      <c r="AFI81" s="294">
        <v>-479000</v>
      </c>
      <c r="AFJ81" s="294">
        <v>-191615.51</v>
      </c>
      <c r="AFK81" s="294">
        <v>-1161450</v>
      </c>
      <c r="AFL81" s="294">
        <v>-73499</v>
      </c>
      <c r="AFM81" s="294">
        <v>-769745.9</v>
      </c>
      <c r="AFN81" s="294">
        <v>-526462.11</v>
      </c>
      <c r="AFO81" s="294">
        <v>-457200</v>
      </c>
      <c r="AFP81" s="294">
        <v>-10879564.25</v>
      </c>
      <c r="AFQ81" s="294">
        <v>-2161368.9</v>
      </c>
      <c r="AFR81" s="294">
        <v>-729082</v>
      </c>
      <c r="AFS81" s="294">
        <v>-671563</v>
      </c>
      <c r="AFT81" s="294">
        <v>-695864.5</v>
      </c>
      <c r="AFU81" s="294">
        <v>-711019</v>
      </c>
      <c r="AFV81" s="294">
        <v>-199930</v>
      </c>
      <c r="AFW81" s="294">
        <v>-1201885</v>
      </c>
      <c r="AFX81" s="294">
        <v>-1727600</v>
      </c>
      <c r="AFY81" s="294">
        <v>-485610.6</v>
      </c>
      <c r="AFZ81" s="294">
        <v>-1762765</v>
      </c>
      <c r="AGA81" s="294">
        <v>-885749</v>
      </c>
      <c r="AGB81" s="294">
        <v>-3065182</v>
      </c>
      <c r="AGC81" s="294">
        <v>-1661521.68</v>
      </c>
      <c r="AGD81" s="294">
        <v>-726260</v>
      </c>
      <c r="AGE81" s="294">
        <v>-386630</v>
      </c>
      <c r="AGF81" s="294">
        <v>-420980</v>
      </c>
      <c r="AGG81" s="294">
        <v>-307150</v>
      </c>
      <c r="AGH81" s="294">
        <v>-1930000</v>
      </c>
      <c r="AGI81" s="294">
        <v>0</v>
      </c>
      <c r="AGJ81" s="294">
        <v>-353290</v>
      </c>
      <c r="AGK81" s="294">
        <v>-30900</v>
      </c>
      <c r="AGL81" s="294">
        <v>-1091440</v>
      </c>
      <c r="AGM81" s="294">
        <v>-1756618.05</v>
      </c>
      <c r="AGN81" s="294">
        <v>-1615036.5</v>
      </c>
      <c r="AGO81" s="294">
        <v>-1642129</v>
      </c>
      <c r="AGP81" s="294">
        <v>-8998</v>
      </c>
      <c r="AGQ81" s="294">
        <v>-1690059</v>
      </c>
      <c r="AGR81" s="294">
        <v>-1293454.49</v>
      </c>
      <c r="AGS81" s="294">
        <v>-940760</v>
      </c>
      <c r="AGT81" s="294">
        <v>-1591240</v>
      </c>
      <c r="AGU81" s="294"/>
      <c r="AGV81" s="294"/>
      <c r="AGW81" s="294">
        <v>-1213529.05</v>
      </c>
      <c r="AGX81" s="294">
        <v>-1006000</v>
      </c>
      <c r="AGY81" s="294">
        <v>-122000</v>
      </c>
      <c r="AGZ81" s="294">
        <v>-244470</v>
      </c>
      <c r="AHA81" s="294">
        <v>-1499888</v>
      </c>
      <c r="AHB81" s="294">
        <v>-44081.48</v>
      </c>
      <c r="AHC81" s="294">
        <v>-111780</v>
      </c>
      <c r="AHD81" s="294">
        <v>-259000</v>
      </c>
      <c r="AHE81" s="294">
        <v>-1006570</v>
      </c>
      <c r="AHF81" s="294">
        <v>-1372944.96</v>
      </c>
      <c r="AHG81" s="294">
        <v>-1295340</v>
      </c>
      <c r="AHH81" s="294">
        <v>-62500</v>
      </c>
      <c r="AHI81" s="294">
        <v>-234425</v>
      </c>
      <c r="AHJ81" s="294">
        <v>-526563.18999999994</v>
      </c>
      <c r="AHK81" s="294">
        <v>-7500</v>
      </c>
      <c r="AHL81" s="294">
        <v>-1536999</v>
      </c>
      <c r="AHM81" s="294">
        <v>-158413.5</v>
      </c>
      <c r="AHN81" s="294">
        <v>-228887.45</v>
      </c>
      <c r="AHO81" s="294">
        <v>-915306</v>
      </c>
      <c r="AHP81" s="294">
        <v>-1410440</v>
      </c>
      <c r="AHQ81" s="294">
        <v>-374800</v>
      </c>
      <c r="AHR81" s="331">
        <v>-315500</v>
      </c>
      <c r="AHS81" s="294">
        <f t="shared" si="51"/>
        <v>-1432248644.4099</v>
      </c>
      <c r="AHT81" s="269" t="b">
        <f t="shared" si="52"/>
        <v>1</v>
      </c>
      <c r="AHU81" s="269" t="s">
        <v>6278</v>
      </c>
      <c r="AHV81" s="269" t="s">
        <v>6105</v>
      </c>
      <c r="AHW81" s="269" t="s">
        <v>6106</v>
      </c>
    </row>
    <row r="82" spans="1:907" ht="24.6" x14ac:dyDescent="0.7">
      <c r="A82" s="268" t="s">
        <v>6278</v>
      </c>
      <c r="B82" s="268" t="s">
        <v>6107</v>
      </c>
      <c r="C82" s="269" t="s">
        <v>6108</v>
      </c>
      <c r="D82" s="294"/>
      <c r="E82" s="294"/>
      <c r="F82" s="294"/>
      <c r="G82" s="294"/>
      <c r="H82" s="294"/>
      <c r="I82" s="294">
        <v>0</v>
      </c>
      <c r="J82" s="294"/>
      <c r="K82" s="294">
        <v>0</v>
      </c>
      <c r="L82" s="294"/>
      <c r="M82" s="294"/>
      <c r="N82" s="294"/>
      <c r="O82" s="294"/>
      <c r="P82" s="294">
        <v>0</v>
      </c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  <c r="AS82" s="294"/>
      <c r="AT82" s="294">
        <v>0</v>
      </c>
      <c r="AU82" s="294"/>
      <c r="AV82" s="294"/>
      <c r="AW82" s="294">
        <v>0</v>
      </c>
      <c r="AX82" s="294"/>
      <c r="AY82" s="294"/>
      <c r="AZ82" s="294"/>
      <c r="BA82" s="294"/>
      <c r="BB82" s="294"/>
      <c r="BC82" s="294"/>
      <c r="BD82" s="294"/>
      <c r="BE82" s="294"/>
      <c r="BF82" s="294"/>
      <c r="BG82" s="294">
        <v>-798000</v>
      </c>
      <c r="BH82" s="294">
        <v>0</v>
      </c>
      <c r="BI82" s="294"/>
      <c r="BJ82" s="294"/>
      <c r="BK82" s="294"/>
      <c r="BL82" s="294"/>
      <c r="BM82" s="294">
        <v>-55110</v>
      </c>
      <c r="BN82" s="294">
        <v>-23990</v>
      </c>
      <c r="BO82" s="294"/>
      <c r="BP82" s="294"/>
      <c r="BQ82" s="294">
        <v>0</v>
      </c>
      <c r="BR82" s="294"/>
      <c r="BS82" s="294">
        <v>0</v>
      </c>
      <c r="BT82" s="294">
        <v>-45000</v>
      </c>
      <c r="BU82" s="294"/>
      <c r="BV82" s="294">
        <v>0</v>
      </c>
      <c r="BW82" s="294"/>
      <c r="BX82" s="294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294"/>
      <c r="CO82" s="294"/>
      <c r="CP82" s="294"/>
      <c r="CQ82" s="294"/>
      <c r="CR82" s="294"/>
      <c r="CS82" s="294"/>
      <c r="CT82" s="294"/>
      <c r="CU82" s="294"/>
      <c r="CV82" s="294"/>
      <c r="CW82" s="294"/>
      <c r="CX82" s="294"/>
      <c r="CY82" s="294"/>
      <c r="CZ82" s="294"/>
      <c r="DA82" s="294"/>
      <c r="DB82" s="294"/>
      <c r="DC82" s="294"/>
      <c r="DD82" s="294">
        <v>-28520</v>
      </c>
      <c r="DE82" s="294"/>
      <c r="DF82" s="294"/>
      <c r="DG82" s="294"/>
      <c r="DH82" s="294"/>
      <c r="DI82" s="294"/>
      <c r="DJ82" s="294">
        <v>-210212</v>
      </c>
      <c r="DK82" s="294"/>
      <c r="DL82" s="294"/>
      <c r="DM82" s="294"/>
      <c r="DN82" s="294"/>
      <c r="DO82" s="294"/>
      <c r="DP82" s="294"/>
      <c r="DQ82" s="294"/>
      <c r="DR82" s="294"/>
      <c r="DS82" s="294"/>
      <c r="DT82" s="294"/>
      <c r="DU82" s="294"/>
      <c r="DV82" s="294"/>
      <c r="DW82" s="294"/>
      <c r="DX82" s="294"/>
      <c r="DY82" s="294"/>
      <c r="DZ82" s="294"/>
      <c r="EA82" s="294">
        <v>-146000</v>
      </c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>
        <v>0</v>
      </c>
      <c r="EX82" s="294">
        <v>0</v>
      </c>
      <c r="EY82" s="294">
        <v>-295865</v>
      </c>
      <c r="EZ82" s="294"/>
      <c r="FA82" s="294"/>
      <c r="FB82" s="294"/>
      <c r="FC82" s="294"/>
      <c r="FD82" s="294"/>
      <c r="FE82" s="294"/>
      <c r="FF82" s="294">
        <v>0</v>
      </c>
      <c r="FG82" s="294">
        <v>-70000</v>
      </c>
      <c r="FH82" s="294"/>
      <c r="FI82" s="294"/>
      <c r="FJ82" s="294"/>
      <c r="FK82" s="294"/>
      <c r="FL82" s="294"/>
      <c r="FM82" s="294">
        <v>-95000</v>
      </c>
      <c r="FN82" s="294">
        <v>-867000</v>
      </c>
      <c r="FO82" s="294">
        <v>-260000</v>
      </c>
      <c r="FP82" s="294">
        <v>0</v>
      </c>
      <c r="FQ82" s="294">
        <v>0</v>
      </c>
      <c r="FR82" s="294"/>
      <c r="FS82" s="294"/>
      <c r="FT82" s="294">
        <v>0</v>
      </c>
      <c r="FU82" s="294"/>
      <c r="FV82" s="294"/>
      <c r="FW82" s="294"/>
      <c r="FX82" s="294"/>
      <c r="FY82" s="294"/>
      <c r="FZ82" s="294"/>
      <c r="GA82" s="294"/>
      <c r="GB82" s="294"/>
      <c r="GC82" s="294"/>
      <c r="GD82" s="294"/>
      <c r="GE82" s="294"/>
      <c r="GF82" s="294"/>
      <c r="GG82" s="294">
        <v>0</v>
      </c>
      <c r="GH82" s="294"/>
      <c r="GI82" s="294"/>
      <c r="GJ82" s="294">
        <v>0</v>
      </c>
      <c r="GK82" s="294">
        <v>-368728.15</v>
      </c>
      <c r="GL82" s="294"/>
      <c r="GM82" s="294">
        <v>-490000</v>
      </c>
      <c r="GN82" s="294">
        <v>-1400000</v>
      </c>
      <c r="GO82" s="294">
        <v>-31000</v>
      </c>
      <c r="GP82" s="294">
        <v>0</v>
      </c>
      <c r="GQ82" s="294"/>
      <c r="GR82" s="294"/>
      <c r="GS82" s="294"/>
      <c r="GT82" s="294"/>
      <c r="GU82" s="294"/>
      <c r="GV82" s="294"/>
      <c r="GW82" s="294"/>
      <c r="GX82" s="294"/>
      <c r="GY82" s="294"/>
      <c r="GZ82" s="294"/>
      <c r="HA82" s="294"/>
      <c r="HB82" s="294"/>
      <c r="HC82" s="294"/>
      <c r="HD82" s="294"/>
      <c r="HE82" s="294"/>
      <c r="HF82" s="294"/>
      <c r="HG82" s="294"/>
      <c r="HH82" s="294"/>
      <c r="HI82" s="294"/>
      <c r="HJ82" s="294"/>
      <c r="HK82" s="294"/>
      <c r="HL82" s="294">
        <v>-638404.5</v>
      </c>
      <c r="HM82" s="294"/>
      <c r="HN82" s="294"/>
      <c r="HO82" s="294"/>
      <c r="HP82" s="294"/>
      <c r="HQ82" s="294"/>
      <c r="HR82" s="294"/>
      <c r="HS82" s="294"/>
      <c r="HT82" s="294"/>
      <c r="HU82" s="294"/>
      <c r="HV82" s="294"/>
      <c r="HW82" s="294"/>
      <c r="HX82" s="294"/>
      <c r="HY82" s="294"/>
      <c r="HZ82" s="294"/>
      <c r="IA82" s="294"/>
      <c r="IB82" s="294"/>
      <c r="IC82" s="294"/>
      <c r="ID82" s="294"/>
      <c r="IE82" s="294"/>
      <c r="IF82" s="294"/>
      <c r="IG82" s="294"/>
      <c r="IH82" s="294"/>
      <c r="II82" s="294"/>
      <c r="IJ82" s="294"/>
      <c r="IK82" s="294"/>
      <c r="IL82" s="294"/>
      <c r="IM82" s="294"/>
      <c r="IN82" s="294"/>
      <c r="IO82" s="294"/>
      <c r="IP82" s="294"/>
      <c r="IQ82" s="294"/>
      <c r="IR82" s="294"/>
      <c r="IS82" s="294"/>
      <c r="IT82" s="294"/>
      <c r="IU82" s="294"/>
      <c r="IV82" s="294"/>
      <c r="IW82" s="294"/>
      <c r="IX82" s="294"/>
      <c r="IY82" s="294"/>
      <c r="IZ82" s="294"/>
      <c r="JA82" s="294"/>
      <c r="JB82" s="294"/>
      <c r="JC82" s="294"/>
      <c r="JD82" s="294"/>
      <c r="JE82" s="294"/>
      <c r="JF82" s="294"/>
      <c r="JG82" s="294"/>
      <c r="JH82" s="294"/>
      <c r="JI82" s="294"/>
      <c r="JJ82" s="294"/>
      <c r="JK82" s="294">
        <v>-679359</v>
      </c>
      <c r="JL82" s="294"/>
      <c r="JM82" s="294"/>
      <c r="JN82" s="294"/>
      <c r="JO82" s="294"/>
      <c r="JP82" s="294"/>
      <c r="JQ82" s="294"/>
      <c r="JR82" s="294"/>
      <c r="JS82" s="294">
        <v>-61570</v>
      </c>
      <c r="JT82" s="294"/>
      <c r="JU82" s="294"/>
      <c r="JV82" s="294"/>
      <c r="JW82" s="294"/>
      <c r="JX82" s="294"/>
      <c r="JY82" s="294"/>
      <c r="JZ82" s="294"/>
      <c r="KA82" s="294"/>
      <c r="KB82" s="294"/>
      <c r="KC82" s="294">
        <v>0</v>
      </c>
      <c r="KD82" s="294"/>
      <c r="KE82" s="294"/>
      <c r="KF82" s="294"/>
      <c r="KG82" s="294">
        <v>-894000</v>
      </c>
      <c r="KH82" s="294"/>
      <c r="KI82" s="294"/>
      <c r="KJ82" s="294"/>
      <c r="KK82" s="294"/>
      <c r="KL82" s="294"/>
      <c r="KM82" s="294"/>
      <c r="KN82" s="294"/>
      <c r="KO82" s="294"/>
      <c r="KP82" s="294"/>
      <c r="KQ82" s="294"/>
      <c r="KR82" s="294">
        <v>-97872</v>
      </c>
      <c r="KS82" s="294"/>
      <c r="KT82" s="294"/>
      <c r="KU82" s="294"/>
      <c r="KV82" s="294">
        <v>-405000</v>
      </c>
      <c r="KW82" s="294">
        <v>-980000</v>
      </c>
      <c r="KX82" s="294"/>
      <c r="KY82" s="294"/>
      <c r="KZ82" s="294">
        <v>-488000</v>
      </c>
      <c r="LA82" s="294"/>
      <c r="LB82" s="294"/>
      <c r="LC82" s="294"/>
      <c r="LD82" s="294"/>
      <c r="LE82" s="294">
        <v>-326400</v>
      </c>
      <c r="LF82" s="294">
        <v>-305032</v>
      </c>
      <c r="LG82" s="294"/>
      <c r="LH82" s="294"/>
      <c r="LI82" s="294"/>
      <c r="LJ82" s="294"/>
      <c r="LK82" s="294">
        <v>0</v>
      </c>
      <c r="LL82" s="294"/>
      <c r="LM82" s="294"/>
      <c r="LN82" s="294"/>
      <c r="LO82" s="294"/>
      <c r="LP82" s="294"/>
      <c r="LQ82" s="294"/>
      <c r="LR82" s="294"/>
      <c r="LS82" s="294"/>
      <c r="LT82" s="294"/>
      <c r="LU82" s="294"/>
      <c r="LV82" s="294"/>
      <c r="LW82" s="294"/>
      <c r="LX82" s="294"/>
      <c r="LY82" s="294">
        <v>-13000</v>
      </c>
      <c r="LZ82" s="294"/>
      <c r="MA82" s="294"/>
      <c r="MB82" s="294"/>
      <c r="MC82" s="294"/>
      <c r="MD82" s="294"/>
      <c r="ME82" s="294">
        <v>0</v>
      </c>
      <c r="MF82" s="294"/>
      <c r="MG82" s="294"/>
      <c r="MH82" s="294"/>
      <c r="MI82" s="294">
        <v>-144000</v>
      </c>
      <c r="MJ82" s="294"/>
      <c r="MK82" s="294"/>
      <c r="ML82" s="294"/>
      <c r="MM82" s="294"/>
      <c r="MN82" s="294"/>
      <c r="MO82" s="294"/>
      <c r="MP82" s="294"/>
      <c r="MQ82" s="294"/>
      <c r="MR82" s="294"/>
      <c r="MS82" s="294"/>
      <c r="MT82" s="294"/>
      <c r="MU82" s="294"/>
      <c r="MV82" s="294"/>
      <c r="MW82" s="294"/>
      <c r="MX82" s="294"/>
      <c r="MY82" s="294">
        <v>-321000</v>
      </c>
      <c r="MZ82" s="294"/>
      <c r="NA82" s="294"/>
      <c r="NB82" s="294">
        <v>0</v>
      </c>
      <c r="NC82" s="294">
        <v>0</v>
      </c>
      <c r="ND82" s="294"/>
      <c r="NE82" s="294"/>
      <c r="NF82" s="294"/>
      <c r="NG82" s="294">
        <v>-52844200</v>
      </c>
      <c r="NH82" s="294"/>
      <c r="NI82" s="294"/>
      <c r="NJ82" s="294"/>
      <c r="NK82" s="294">
        <v>-3537800</v>
      </c>
      <c r="NL82" s="294"/>
      <c r="NM82" s="294"/>
      <c r="NN82" s="294"/>
      <c r="NO82" s="294"/>
      <c r="NP82" s="294"/>
      <c r="NQ82" s="294"/>
      <c r="NR82" s="294"/>
      <c r="NS82" s="294"/>
      <c r="NT82" s="294"/>
      <c r="NU82" s="294"/>
      <c r="NV82" s="294"/>
      <c r="NW82" s="294"/>
      <c r="NX82" s="294"/>
      <c r="NY82" s="294"/>
      <c r="NZ82" s="294"/>
      <c r="OA82" s="294"/>
      <c r="OB82" s="294"/>
      <c r="OC82" s="294"/>
      <c r="OD82" s="294">
        <v>-12825000</v>
      </c>
      <c r="OE82" s="294"/>
      <c r="OF82" s="294"/>
      <c r="OG82" s="294">
        <v>0</v>
      </c>
      <c r="OH82" s="294"/>
      <c r="OI82" s="294"/>
      <c r="OJ82" s="294"/>
      <c r="OK82" s="294">
        <v>-61860</v>
      </c>
      <c r="OL82" s="294"/>
      <c r="OM82" s="294"/>
      <c r="ON82" s="294"/>
      <c r="OO82" s="294"/>
      <c r="OP82" s="294"/>
      <c r="OQ82" s="294"/>
      <c r="OR82" s="294"/>
      <c r="OS82" s="294"/>
      <c r="OT82" s="294"/>
      <c r="OU82" s="294">
        <v>-215600</v>
      </c>
      <c r="OV82" s="294"/>
      <c r="OW82" s="294"/>
      <c r="OX82" s="294"/>
      <c r="OY82" s="294"/>
      <c r="OZ82" s="294">
        <v>-109000</v>
      </c>
      <c r="PA82" s="294"/>
      <c r="PB82" s="294"/>
      <c r="PC82" s="294"/>
      <c r="PD82" s="294"/>
      <c r="PE82" s="294"/>
      <c r="PF82" s="294"/>
      <c r="PG82" s="294">
        <v>-130000</v>
      </c>
      <c r="PH82" s="294"/>
      <c r="PI82" s="294"/>
      <c r="PJ82" s="294">
        <v>0</v>
      </c>
      <c r="PK82" s="294"/>
      <c r="PL82" s="294"/>
      <c r="PM82" s="294"/>
      <c r="PN82" s="294">
        <v>0</v>
      </c>
      <c r="PO82" s="294">
        <v>-172026.25</v>
      </c>
      <c r="PP82" s="294"/>
      <c r="PQ82" s="294"/>
      <c r="PR82" s="294">
        <v>-400000</v>
      </c>
      <c r="PS82" s="294"/>
      <c r="PT82" s="294">
        <v>-619597.15</v>
      </c>
      <c r="PU82" s="294"/>
      <c r="PV82" s="294"/>
      <c r="PW82" s="294"/>
      <c r="PX82" s="294"/>
      <c r="PY82" s="294"/>
      <c r="PZ82" s="294"/>
      <c r="QA82" s="294"/>
      <c r="QB82" s="294"/>
      <c r="QC82" s="294"/>
      <c r="QD82" s="294">
        <v>-180000</v>
      </c>
      <c r="QE82" s="294"/>
      <c r="QF82" s="294"/>
      <c r="QG82" s="294">
        <v>-93000</v>
      </c>
      <c r="QH82" s="294"/>
      <c r="QI82" s="294"/>
      <c r="QJ82" s="294"/>
      <c r="QK82" s="294"/>
      <c r="QL82" s="294"/>
      <c r="QM82" s="294"/>
      <c r="QN82" s="294"/>
      <c r="QO82" s="294"/>
      <c r="QP82" s="294"/>
      <c r="QQ82" s="294"/>
      <c r="QR82" s="294"/>
      <c r="QS82" s="294">
        <v>0</v>
      </c>
      <c r="QT82" s="294">
        <v>0</v>
      </c>
      <c r="QU82" s="294"/>
      <c r="QV82" s="294"/>
      <c r="QW82" s="294"/>
      <c r="QX82" s="294"/>
      <c r="QY82" s="294"/>
      <c r="QZ82" s="294"/>
      <c r="RA82" s="294"/>
      <c r="RB82" s="294"/>
      <c r="RC82" s="294"/>
      <c r="RD82" s="294"/>
      <c r="RE82" s="294"/>
      <c r="RF82" s="294"/>
      <c r="RG82" s="294"/>
      <c r="RH82" s="294"/>
      <c r="RI82" s="294"/>
      <c r="RJ82" s="294">
        <v>-345000</v>
      </c>
      <c r="RK82" s="294"/>
      <c r="RL82" s="294"/>
      <c r="RM82" s="294"/>
      <c r="RN82" s="294">
        <v>-84000</v>
      </c>
      <c r="RO82" s="294"/>
      <c r="RP82" s="294"/>
      <c r="RQ82" s="294">
        <v>-99000</v>
      </c>
      <c r="RR82" s="294"/>
      <c r="RS82" s="294">
        <v>0</v>
      </c>
      <c r="RT82" s="294"/>
      <c r="RU82" s="294"/>
      <c r="RV82" s="294"/>
      <c r="RW82" s="294"/>
      <c r="RX82" s="294"/>
      <c r="RY82" s="294"/>
      <c r="RZ82" s="294"/>
      <c r="SA82" s="294"/>
      <c r="SB82" s="294"/>
      <c r="SC82" s="294"/>
      <c r="SD82" s="294"/>
      <c r="SE82" s="294"/>
      <c r="SF82" s="294"/>
      <c r="SG82" s="294"/>
      <c r="SH82" s="294"/>
      <c r="SI82" s="294"/>
      <c r="SJ82" s="294"/>
      <c r="SK82" s="294"/>
      <c r="SL82" s="294"/>
      <c r="SM82" s="294"/>
      <c r="SN82" s="294"/>
      <c r="SO82" s="294"/>
      <c r="SP82" s="294">
        <v>0</v>
      </c>
      <c r="SQ82" s="294">
        <v>-179155</v>
      </c>
      <c r="SR82" s="294"/>
      <c r="SS82" s="294"/>
      <c r="ST82" s="294"/>
      <c r="SU82" s="294"/>
      <c r="SV82" s="294"/>
      <c r="SW82" s="294"/>
      <c r="SX82" s="294"/>
      <c r="SY82" s="294"/>
      <c r="SZ82" s="294"/>
      <c r="TA82" s="294"/>
      <c r="TB82" s="294"/>
      <c r="TC82" s="294"/>
      <c r="TD82" s="294"/>
      <c r="TE82" s="294"/>
      <c r="TF82" s="294"/>
      <c r="TG82" s="294"/>
      <c r="TH82" s="294"/>
      <c r="TI82" s="294">
        <v>-590000</v>
      </c>
      <c r="TJ82" s="294"/>
      <c r="TK82" s="294">
        <v>0</v>
      </c>
      <c r="TL82" s="294"/>
      <c r="TM82" s="294"/>
      <c r="TN82" s="294"/>
      <c r="TO82" s="294">
        <v>0</v>
      </c>
      <c r="TP82" s="294"/>
      <c r="TQ82" s="294"/>
      <c r="TR82" s="294">
        <v>0</v>
      </c>
      <c r="TS82" s="294"/>
      <c r="TT82" s="294"/>
      <c r="TU82" s="294"/>
      <c r="TV82" s="294"/>
      <c r="TW82" s="294"/>
      <c r="TX82" s="294">
        <v>-880000</v>
      </c>
      <c r="TY82" s="294"/>
      <c r="TZ82" s="294"/>
      <c r="UA82" s="294"/>
      <c r="UB82" s="294">
        <v>-176000</v>
      </c>
      <c r="UC82" s="294"/>
      <c r="UD82" s="294"/>
      <c r="UE82" s="294">
        <v>-8666587.5</v>
      </c>
      <c r="UF82" s="294">
        <v>-1420000</v>
      </c>
      <c r="UG82" s="294"/>
      <c r="UH82" s="294"/>
      <c r="UI82" s="294">
        <v>-817274</v>
      </c>
      <c r="UJ82" s="294"/>
      <c r="UK82" s="294"/>
      <c r="UL82" s="294"/>
      <c r="UM82" s="294"/>
      <c r="UN82" s="294"/>
      <c r="UO82" s="294"/>
      <c r="UP82" s="294"/>
      <c r="UQ82" s="294"/>
      <c r="UR82" s="294">
        <v>0</v>
      </c>
      <c r="US82" s="294">
        <v>0</v>
      </c>
      <c r="UT82" s="294"/>
      <c r="UU82" s="294"/>
      <c r="UV82" s="294"/>
      <c r="UW82" s="294">
        <v>0</v>
      </c>
      <c r="UX82" s="294">
        <v>-499000</v>
      </c>
      <c r="UY82" s="294"/>
      <c r="UZ82" s="294"/>
      <c r="VA82" s="294"/>
      <c r="VB82" s="294"/>
      <c r="VC82" s="294"/>
      <c r="VD82" s="294"/>
      <c r="VE82" s="294"/>
      <c r="VF82" s="294"/>
      <c r="VG82" s="294"/>
      <c r="VH82" s="294"/>
      <c r="VI82" s="294"/>
      <c r="VJ82" s="294">
        <v>-150000</v>
      </c>
      <c r="VK82" s="294"/>
      <c r="VL82" s="294"/>
      <c r="VM82" s="294"/>
      <c r="VN82" s="294">
        <v>-118000</v>
      </c>
      <c r="VO82" s="294"/>
      <c r="VP82" s="294"/>
      <c r="VQ82" s="294"/>
      <c r="VR82" s="294"/>
      <c r="VS82" s="294"/>
      <c r="VT82" s="294"/>
      <c r="VU82" s="294"/>
      <c r="VV82" s="294"/>
      <c r="VW82" s="294"/>
      <c r="VX82" s="294"/>
      <c r="VY82" s="294"/>
      <c r="VZ82" s="294"/>
      <c r="WA82" s="294"/>
      <c r="WB82" s="294">
        <v>-261000</v>
      </c>
      <c r="WC82" s="294"/>
      <c r="WD82" s="294"/>
      <c r="WE82" s="294">
        <v>-300000</v>
      </c>
      <c r="WF82" s="294"/>
      <c r="WG82" s="294"/>
      <c r="WH82" s="294"/>
      <c r="WI82" s="294"/>
      <c r="WJ82" s="294"/>
      <c r="WK82" s="294"/>
      <c r="WL82" s="294"/>
      <c r="WM82" s="294"/>
      <c r="WN82" s="294"/>
      <c r="WO82" s="294"/>
      <c r="WP82" s="294">
        <v>-750825.37</v>
      </c>
      <c r="WQ82" s="294"/>
      <c r="WR82" s="294"/>
      <c r="WS82" s="294"/>
      <c r="WT82" s="294"/>
      <c r="WU82" s="294">
        <v>0</v>
      </c>
      <c r="WV82" s="294"/>
      <c r="WW82" s="294"/>
      <c r="WX82" s="294"/>
      <c r="WY82" s="294"/>
      <c r="WZ82" s="294">
        <v>0</v>
      </c>
      <c r="XA82" s="294">
        <v>-495000</v>
      </c>
      <c r="XB82" s="294"/>
      <c r="XC82" s="294"/>
      <c r="XD82" s="294"/>
      <c r="XE82" s="294">
        <v>-2170000</v>
      </c>
      <c r="XF82" s="294"/>
      <c r="XG82" s="294"/>
      <c r="XH82" s="294"/>
      <c r="XI82" s="294"/>
      <c r="XJ82" s="294"/>
      <c r="XK82" s="294">
        <v>-210000</v>
      </c>
      <c r="XL82" s="294"/>
      <c r="XM82" s="294"/>
      <c r="XN82" s="294"/>
      <c r="XO82" s="294"/>
      <c r="XP82" s="294"/>
      <c r="XQ82" s="294"/>
      <c r="XR82" s="294"/>
      <c r="XS82" s="294"/>
      <c r="XT82" s="294"/>
      <c r="XU82" s="294"/>
      <c r="XV82" s="294"/>
      <c r="XW82" s="294"/>
      <c r="XX82" s="294"/>
      <c r="XY82" s="294"/>
      <c r="XZ82" s="294"/>
      <c r="YA82" s="294"/>
      <c r="YB82" s="294"/>
      <c r="YC82" s="294">
        <v>-498100</v>
      </c>
      <c r="YD82" s="294"/>
      <c r="YE82" s="294"/>
      <c r="YF82" s="294"/>
      <c r="YG82" s="294">
        <v>-494000</v>
      </c>
      <c r="YH82" s="294">
        <v>-814750</v>
      </c>
      <c r="YI82" s="294"/>
      <c r="YJ82" s="294"/>
      <c r="YK82" s="294"/>
      <c r="YL82" s="294">
        <v>-216200</v>
      </c>
      <c r="YM82" s="294"/>
      <c r="YN82" s="294"/>
      <c r="YO82" s="294"/>
      <c r="YP82" s="294"/>
      <c r="YQ82" s="294"/>
      <c r="YR82" s="294"/>
      <c r="YS82" s="294">
        <v>0</v>
      </c>
      <c r="YT82" s="294">
        <v>-597500</v>
      </c>
      <c r="YU82" s="294"/>
      <c r="YV82" s="294"/>
      <c r="YW82" s="294"/>
      <c r="YX82" s="294">
        <v>0</v>
      </c>
      <c r="YY82" s="294"/>
      <c r="YZ82" s="294"/>
      <c r="ZA82" s="294"/>
      <c r="ZB82" s="294"/>
      <c r="ZC82" s="294">
        <v>0</v>
      </c>
      <c r="ZD82" s="294"/>
      <c r="ZE82" s="294"/>
      <c r="ZF82" s="294"/>
      <c r="ZG82" s="294">
        <v>-79000</v>
      </c>
      <c r="ZH82" s="294"/>
      <c r="ZI82" s="294">
        <v>-659000</v>
      </c>
      <c r="ZJ82" s="294"/>
      <c r="ZK82" s="294"/>
      <c r="ZL82" s="294"/>
      <c r="ZM82" s="294"/>
      <c r="ZN82" s="294">
        <v>-82928.89</v>
      </c>
      <c r="ZO82" s="294">
        <v>0</v>
      </c>
      <c r="ZP82" s="294"/>
      <c r="ZQ82" s="294"/>
      <c r="ZR82" s="294"/>
      <c r="ZS82" s="294"/>
      <c r="ZT82" s="294"/>
      <c r="ZU82" s="294">
        <v>-115560</v>
      </c>
      <c r="ZV82" s="294"/>
      <c r="ZW82" s="294">
        <v>0</v>
      </c>
      <c r="ZX82" s="294"/>
      <c r="ZY82" s="294"/>
      <c r="ZZ82" s="294"/>
      <c r="AAA82" s="294">
        <v>-641999.9</v>
      </c>
      <c r="AAB82" s="294"/>
      <c r="AAC82" s="294"/>
      <c r="AAD82" s="294"/>
      <c r="AAE82" s="294">
        <v>0</v>
      </c>
      <c r="AAF82" s="294"/>
      <c r="AAG82" s="294"/>
      <c r="AAH82" s="294"/>
      <c r="AAI82" s="294"/>
      <c r="AAJ82" s="294"/>
      <c r="AAK82" s="294"/>
      <c r="AAL82" s="294"/>
      <c r="AAM82" s="294"/>
      <c r="AAN82" s="294"/>
      <c r="AAO82" s="294">
        <v>-1560800</v>
      </c>
      <c r="AAP82" s="294"/>
      <c r="AAQ82" s="294"/>
      <c r="AAR82" s="294"/>
      <c r="AAS82" s="294"/>
      <c r="AAT82" s="294"/>
      <c r="AAU82" s="294">
        <v>0</v>
      </c>
      <c r="AAV82" s="294"/>
      <c r="AAW82" s="294"/>
      <c r="AAX82" s="294">
        <v>0</v>
      </c>
      <c r="AAY82" s="294">
        <v>0</v>
      </c>
      <c r="AAZ82" s="294">
        <v>-197000</v>
      </c>
      <c r="ABA82" s="294"/>
      <c r="ABB82" s="294"/>
      <c r="ABC82" s="294">
        <v>0</v>
      </c>
      <c r="ABD82" s="294"/>
      <c r="ABE82" s="294"/>
      <c r="ABF82" s="294"/>
      <c r="ABG82" s="294"/>
      <c r="ABH82" s="294"/>
      <c r="ABI82" s="294"/>
      <c r="ABJ82" s="294"/>
      <c r="ABK82" s="294">
        <v>0</v>
      </c>
      <c r="ABL82" s="294"/>
      <c r="ABM82" s="294">
        <v>-390000</v>
      </c>
      <c r="ABN82" s="294"/>
      <c r="ABO82" s="294">
        <v>-149000</v>
      </c>
      <c r="ABP82" s="294"/>
      <c r="ABQ82" s="294"/>
      <c r="ABR82" s="294"/>
      <c r="ABS82" s="294"/>
      <c r="ABT82" s="294">
        <v>0</v>
      </c>
      <c r="ABU82" s="294"/>
      <c r="ABV82" s="294"/>
      <c r="ABW82" s="294"/>
      <c r="ABX82" s="294"/>
      <c r="ABY82" s="294"/>
      <c r="ABZ82" s="294"/>
      <c r="ACA82" s="294"/>
      <c r="ACB82" s="294">
        <v>0</v>
      </c>
      <c r="ACC82" s="294"/>
      <c r="ACD82" s="294">
        <v>-120000</v>
      </c>
      <c r="ACE82" s="294">
        <v>-117500</v>
      </c>
      <c r="ACF82" s="294"/>
      <c r="ACG82" s="294"/>
      <c r="ACH82" s="294"/>
      <c r="ACI82" s="294">
        <v>-4853000</v>
      </c>
      <c r="ACJ82" s="294"/>
      <c r="ACK82" s="294"/>
      <c r="ACL82" s="294"/>
      <c r="ACM82" s="294"/>
      <c r="ACN82" s="294"/>
      <c r="ACO82" s="294"/>
      <c r="ACP82" s="294"/>
      <c r="ACQ82" s="294"/>
      <c r="ACR82" s="294"/>
      <c r="ACS82" s="294"/>
      <c r="ACT82" s="294"/>
      <c r="ACU82" s="294"/>
      <c r="ACV82" s="294">
        <v>0</v>
      </c>
      <c r="ACW82" s="294"/>
      <c r="ACX82" s="294"/>
      <c r="ACY82" s="294"/>
      <c r="ACZ82" s="294"/>
      <c r="ADA82" s="294"/>
      <c r="ADB82" s="294"/>
      <c r="ADC82" s="294">
        <v>-2112710</v>
      </c>
      <c r="ADD82" s="294"/>
      <c r="ADE82" s="294"/>
      <c r="ADF82" s="294"/>
      <c r="ADG82" s="294">
        <v>0</v>
      </c>
      <c r="ADH82" s="294">
        <v>-210000</v>
      </c>
      <c r="ADI82" s="294"/>
      <c r="ADJ82" s="294"/>
      <c r="ADK82" s="294"/>
      <c r="ADL82" s="294"/>
      <c r="ADM82" s="294"/>
      <c r="ADN82" s="294"/>
      <c r="ADO82" s="294"/>
      <c r="ADP82" s="294"/>
      <c r="ADQ82" s="294"/>
      <c r="ADR82" s="294">
        <v>34454.949999999997</v>
      </c>
      <c r="ADS82" s="294"/>
      <c r="ADT82" s="294"/>
      <c r="ADU82" s="294"/>
      <c r="ADV82" s="294">
        <v>-142000</v>
      </c>
      <c r="ADW82" s="294"/>
      <c r="ADX82" s="294"/>
      <c r="ADY82" s="294"/>
      <c r="ADZ82" s="294"/>
      <c r="AEA82" s="294"/>
      <c r="AEB82" s="294"/>
      <c r="AEC82" s="294"/>
      <c r="AED82" s="294"/>
      <c r="AEE82" s="294"/>
      <c r="AEF82" s="294"/>
      <c r="AEG82" s="294">
        <v>0</v>
      </c>
      <c r="AEH82" s="294"/>
      <c r="AEI82" s="294">
        <v>-204800</v>
      </c>
      <c r="AEJ82" s="294">
        <v>-4240.6499999999996</v>
      </c>
      <c r="AEK82" s="294"/>
      <c r="AEL82" s="294"/>
      <c r="AEM82" s="294"/>
      <c r="AEN82" s="294"/>
      <c r="AEO82" s="294"/>
      <c r="AEP82" s="294"/>
      <c r="AEQ82" s="294"/>
      <c r="AER82" s="294"/>
      <c r="AES82" s="294">
        <v>0</v>
      </c>
      <c r="AET82" s="294"/>
      <c r="AEU82" s="294">
        <v>0</v>
      </c>
      <c r="AEV82" s="294"/>
      <c r="AEW82" s="294"/>
      <c r="AEX82" s="294">
        <v>-149000</v>
      </c>
      <c r="AEY82" s="294">
        <v>-145000</v>
      </c>
      <c r="AEZ82" s="294"/>
      <c r="AFA82" s="294"/>
      <c r="AFB82" s="294"/>
      <c r="AFC82" s="294">
        <v>-1463000</v>
      </c>
      <c r="AFD82" s="294"/>
      <c r="AFE82" s="294">
        <v>-1000000</v>
      </c>
      <c r="AFF82" s="294"/>
      <c r="AFG82" s="294"/>
      <c r="AFH82" s="294"/>
      <c r="AFI82" s="294"/>
      <c r="AFJ82" s="294"/>
      <c r="AFK82" s="294">
        <v>0</v>
      </c>
      <c r="AFL82" s="294"/>
      <c r="AFM82" s="294"/>
      <c r="AFN82" s="294"/>
      <c r="AFO82" s="294"/>
      <c r="AFP82" s="294"/>
      <c r="AFQ82" s="294"/>
      <c r="AFR82" s="294"/>
      <c r="AFS82" s="294"/>
      <c r="AFT82" s="294"/>
      <c r="AFU82" s="294">
        <v>-1454927.4</v>
      </c>
      <c r="AFV82" s="294"/>
      <c r="AFW82" s="294"/>
      <c r="AFX82" s="294"/>
      <c r="AFY82" s="294">
        <v>-1835000</v>
      </c>
      <c r="AFZ82" s="294"/>
      <c r="AGA82" s="294">
        <v>-700000</v>
      </c>
      <c r="AGB82" s="294">
        <v>-490000</v>
      </c>
      <c r="AGC82" s="294">
        <v>0</v>
      </c>
      <c r="AGD82" s="294"/>
      <c r="AGE82" s="294">
        <v>0</v>
      </c>
      <c r="AGF82" s="294"/>
      <c r="AGG82" s="294"/>
      <c r="AGH82" s="294"/>
      <c r="AGI82" s="294"/>
      <c r="AGJ82" s="294"/>
      <c r="AGK82" s="294"/>
      <c r="AGL82" s="294"/>
      <c r="AGM82" s="294"/>
      <c r="AGN82" s="294"/>
      <c r="AGO82" s="294"/>
      <c r="AGP82" s="294"/>
      <c r="AGQ82" s="294"/>
      <c r="AGR82" s="294"/>
      <c r="AGS82" s="294"/>
      <c r="AGT82" s="294"/>
      <c r="AGU82" s="294"/>
      <c r="AGV82" s="294"/>
      <c r="AGW82" s="294"/>
      <c r="AGX82" s="294"/>
      <c r="AGY82" s="294"/>
      <c r="AGZ82" s="294"/>
      <c r="AHA82" s="294"/>
      <c r="AHB82" s="294">
        <v>-8370000</v>
      </c>
      <c r="AHC82" s="294"/>
      <c r="AHD82" s="294"/>
      <c r="AHE82" s="294">
        <v>-2679354</v>
      </c>
      <c r="AHF82" s="294">
        <v>0</v>
      </c>
      <c r="AHG82" s="294"/>
      <c r="AHH82" s="294"/>
      <c r="AHI82" s="294">
        <v>-1568160</v>
      </c>
      <c r="AHJ82" s="294"/>
      <c r="AHK82" s="294">
        <v>-410056.99</v>
      </c>
      <c r="AHL82" s="294"/>
      <c r="AHM82" s="294">
        <v>0</v>
      </c>
      <c r="AHN82" s="294">
        <v>0</v>
      </c>
      <c r="AHO82" s="294"/>
      <c r="AHP82" s="294"/>
      <c r="AHQ82" s="294">
        <v>0</v>
      </c>
      <c r="AHR82" s="331"/>
      <c r="AHS82" s="294">
        <f t="shared" si="51"/>
        <v>-134427120.80000004</v>
      </c>
      <c r="AHT82" s="269" t="b">
        <f t="shared" si="52"/>
        <v>1</v>
      </c>
      <c r="AHU82" s="269" t="s">
        <v>6278</v>
      </c>
      <c r="AHV82" s="269" t="s">
        <v>6107</v>
      </c>
      <c r="AHW82" s="269" t="s">
        <v>6108</v>
      </c>
    </row>
    <row r="83" spans="1:907" ht="24.6" x14ac:dyDescent="0.7">
      <c r="A83" s="268" t="s">
        <v>6278</v>
      </c>
      <c r="B83" s="268" t="s">
        <v>6109</v>
      </c>
      <c r="C83" s="269" t="s">
        <v>6110</v>
      </c>
      <c r="D83" s="294"/>
      <c r="E83" s="294">
        <v>-3040</v>
      </c>
      <c r="F83" s="294"/>
      <c r="G83" s="294"/>
      <c r="H83" s="294"/>
      <c r="I83" s="294"/>
      <c r="J83" s="294"/>
      <c r="K83" s="294"/>
      <c r="L83" s="294"/>
      <c r="M83" s="294">
        <v>-557414</v>
      </c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>
        <v>-12858</v>
      </c>
      <c r="AL83" s="294"/>
      <c r="AM83" s="294"/>
      <c r="AN83" s="294"/>
      <c r="AO83" s="294"/>
      <c r="AP83" s="294"/>
      <c r="AQ83" s="294"/>
      <c r="AR83" s="294"/>
      <c r="AS83" s="294"/>
      <c r="AT83" s="294"/>
      <c r="AU83" s="294"/>
      <c r="AV83" s="294"/>
      <c r="AW83" s="294"/>
      <c r="AX83" s="294"/>
      <c r="AY83" s="294"/>
      <c r="AZ83" s="294"/>
      <c r="BA83" s="294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294"/>
      <c r="BO83" s="294">
        <v>-116812</v>
      </c>
      <c r="BP83" s="294"/>
      <c r="BQ83" s="294"/>
      <c r="BR83" s="294"/>
      <c r="BS83" s="294"/>
      <c r="BT83" s="294"/>
      <c r="BU83" s="294"/>
      <c r="BV83" s="294">
        <v>-1091446.97</v>
      </c>
      <c r="BW83" s="294"/>
      <c r="BX83" s="294"/>
      <c r="BY83" s="294">
        <v>-251252.3</v>
      </c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294"/>
      <c r="CO83" s="294"/>
      <c r="CP83" s="294"/>
      <c r="CQ83" s="294"/>
      <c r="CR83" s="294"/>
      <c r="CS83" s="294"/>
      <c r="CT83" s="294"/>
      <c r="CU83" s="294"/>
      <c r="CV83" s="294"/>
      <c r="CW83" s="294"/>
      <c r="CX83" s="294"/>
      <c r="CY83" s="294">
        <v>-263178.68</v>
      </c>
      <c r="CZ83" s="294"/>
      <c r="DA83" s="294"/>
      <c r="DB83" s="294"/>
      <c r="DC83" s="294">
        <v>-1063411.3</v>
      </c>
      <c r="DD83" s="294">
        <v>-156430</v>
      </c>
      <c r="DE83" s="294"/>
      <c r="DF83" s="294"/>
      <c r="DG83" s="294"/>
      <c r="DH83" s="294"/>
      <c r="DI83" s="294"/>
      <c r="DJ83" s="294">
        <v>-3890</v>
      </c>
      <c r="DK83" s="294"/>
      <c r="DL83" s="294"/>
      <c r="DM83" s="294"/>
      <c r="DN83" s="294">
        <v>-816482.53</v>
      </c>
      <c r="DO83" s="294"/>
      <c r="DP83" s="294"/>
      <c r="DQ83" s="294">
        <v>-79753.31</v>
      </c>
      <c r="DR83" s="294"/>
      <c r="DS83" s="294"/>
      <c r="DT83" s="294"/>
      <c r="DU83" s="294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  <c r="FI83" s="294"/>
      <c r="FJ83" s="294"/>
      <c r="FK83" s="294"/>
      <c r="FL83" s="294"/>
      <c r="FM83" s="294">
        <v>-1299779.56</v>
      </c>
      <c r="FN83" s="294"/>
      <c r="FO83" s="294"/>
      <c r="FP83" s="294"/>
      <c r="FQ83" s="294"/>
      <c r="FR83" s="294"/>
      <c r="FS83" s="294"/>
      <c r="FT83" s="294"/>
      <c r="FU83" s="294"/>
      <c r="FV83" s="294"/>
      <c r="FW83" s="294"/>
      <c r="FX83" s="294"/>
      <c r="FY83" s="294"/>
      <c r="FZ83" s="294"/>
      <c r="GA83" s="294"/>
      <c r="GB83" s="294"/>
      <c r="GC83" s="294"/>
      <c r="GD83" s="294"/>
      <c r="GE83" s="294"/>
      <c r="GF83" s="294"/>
      <c r="GG83" s="294"/>
      <c r="GH83" s="294"/>
      <c r="GI83" s="294"/>
      <c r="GJ83" s="294"/>
      <c r="GK83" s="294"/>
      <c r="GL83" s="294"/>
      <c r="GM83" s="294"/>
      <c r="GN83" s="294"/>
      <c r="GO83" s="294"/>
      <c r="GP83" s="294"/>
      <c r="GQ83" s="294"/>
      <c r="GR83" s="294"/>
      <c r="GS83" s="294"/>
      <c r="GT83" s="294">
        <v>-843890.14</v>
      </c>
      <c r="GU83" s="294"/>
      <c r="GV83" s="294"/>
      <c r="GW83" s="294"/>
      <c r="GX83" s="294"/>
      <c r="GY83" s="294"/>
      <c r="GZ83" s="294"/>
      <c r="HA83" s="294">
        <v>-11500</v>
      </c>
      <c r="HB83" s="294"/>
      <c r="HC83" s="294"/>
      <c r="HD83" s="294"/>
      <c r="HE83" s="294"/>
      <c r="HF83" s="294"/>
      <c r="HG83" s="294"/>
      <c r="HH83" s="294"/>
      <c r="HI83" s="294"/>
      <c r="HJ83" s="294"/>
      <c r="HK83" s="294"/>
      <c r="HL83" s="294"/>
      <c r="HM83" s="294"/>
      <c r="HN83" s="294"/>
      <c r="HO83" s="294"/>
      <c r="HP83" s="294"/>
      <c r="HQ83" s="294"/>
      <c r="HR83" s="294"/>
      <c r="HS83" s="294"/>
      <c r="HT83" s="294"/>
      <c r="HU83" s="294"/>
      <c r="HV83" s="294"/>
      <c r="HW83" s="294"/>
      <c r="HX83" s="294"/>
      <c r="HY83" s="294"/>
      <c r="HZ83" s="294"/>
      <c r="IA83" s="294"/>
      <c r="IB83" s="294"/>
      <c r="IC83" s="294"/>
      <c r="ID83" s="294"/>
      <c r="IE83" s="294"/>
      <c r="IF83" s="294"/>
      <c r="IG83" s="294"/>
      <c r="IH83" s="294"/>
      <c r="II83" s="294"/>
      <c r="IJ83" s="294"/>
      <c r="IK83" s="294"/>
      <c r="IL83" s="294"/>
      <c r="IM83" s="294"/>
      <c r="IN83" s="294"/>
      <c r="IO83" s="294"/>
      <c r="IP83" s="294"/>
      <c r="IQ83" s="294"/>
      <c r="IR83" s="294"/>
      <c r="IS83" s="294"/>
      <c r="IT83" s="294"/>
      <c r="IU83" s="294"/>
      <c r="IV83" s="294"/>
      <c r="IW83" s="294"/>
      <c r="IX83" s="294"/>
      <c r="IY83" s="294"/>
      <c r="IZ83" s="294"/>
      <c r="JA83" s="294">
        <v>-157059</v>
      </c>
      <c r="JB83" s="294">
        <v>-114000</v>
      </c>
      <c r="JC83" s="294"/>
      <c r="JD83" s="294"/>
      <c r="JE83" s="294"/>
      <c r="JF83" s="294"/>
      <c r="JG83" s="294"/>
      <c r="JH83" s="294"/>
      <c r="JI83" s="294"/>
      <c r="JJ83" s="294"/>
      <c r="JK83" s="294"/>
      <c r="JL83" s="294"/>
      <c r="JM83" s="294"/>
      <c r="JN83" s="294"/>
      <c r="JO83" s="294"/>
      <c r="JP83" s="294"/>
      <c r="JQ83" s="294"/>
      <c r="JR83" s="294"/>
      <c r="JS83" s="294"/>
      <c r="JT83" s="294"/>
      <c r="JU83" s="294"/>
      <c r="JV83" s="294"/>
      <c r="JW83" s="294"/>
      <c r="JX83" s="294"/>
      <c r="JY83" s="294"/>
      <c r="JZ83" s="294"/>
      <c r="KA83" s="294">
        <v>-560343.32999999996</v>
      </c>
      <c r="KB83" s="294"/>
      <c r="KC83" s="294"/>
      <c r="KD83" s="294"/>
      <c r="KE83" s="294"/>
      <c r="KF83" s="294"/>
      <c r="KG83" s="294"/>
      <c r="KH83" s="294"/>
      <c r="KI83" s="294"/>
      <c r="KJ83" s="294"/>
      <c r="KK83" s="294">
        <v>-109600</v>
      </c>
      <c r="KL83" s="294"/>
      <c r="KM83" s="294">
        <v>-580</v>
      </c>
      <c r="KN83" s="294">
        <v>-395113.4</v>
      </c>
      <c r="KO83" s="294"/>
      <c r="KP83" s="294"/>
      <c r="KQ83" s="294"/>
      <c r="KR83" s="294"/>
      <c r="KS83" s="294"/>
      <c r="KT83" s="294"/>
      <c r="KU83" s="294"/>
      <c r="KV83" s="294"/>
      <c r="KW83" s="294"/>
      <c r="KX83" s="294"/>
      <c r="KY83" s="294"/>
      <c r="KZ83" s="294"/>
      <c r="LA83" s="294"/>
      <c r="LB83" s="294"/>
      <c r="LC83" s="294"/>
      <c r="LD83" s="294"/>
      <c r="LE83" s="294"/>
      <c r="LF83" s="294"/>
      <c r="LG83" s="294"/>
      <c r="LH83" s="294"/>
      <c r="LI83" s="294"/>
      <c r="LJ83" s="294"/>
      <c r="LK83" s="294"/>
      <c r="LL83" s="294"/>
      <c r="LM83" s="294"/>
      <c r="LN83" s="294"/>
      <c r="LO83" s="294"/>
      <c r="LP83" s="294"/>
      <c r="LQ83" s="294"/>
      <c r="LR83" s="294"/>
      <c r="LS83" s="294"/>
      <c r="LT83" s="294"/>
      <c r="LU83" s="294"/>
      <c r="LV83" s="294"/>
      <c r="LW83" s="294"/>
      <c r="LX83" s="294"/>
      <c r="LY83" s="294"/>
      <c r="LZ83" s="294"/>
      <c r="MA83" s="294"/>
      <c r="MB83" s="294"/>
      <c r="MC83" s="294"/>
      <c r="MD83" s="294"/>
      <c r="ME83" s="294">
        <v>-3461925.8</v>
      </c>
      <c r="MF83" s="294"/>
      <c r="MG83" s="294"/>
      <c r="MH83" s="294"/>
      <c r="MI83" s="294"/>
      <c r="MJ83" s="294"/>
      <c r="MK83" s="294"/>
      <c r="ML83" s="294"/>
      <c r="MM83" s="294"/>
      <c r="MN83" s="294"/>
      <c r="MO83" s="294"/>
      <c r="MP83" s="294"/>
      <c r="MQ83" s="294"/>
      <c r="MR83" s="294">
        <v>-378853.6</v>
      </c>
      <c r="MS83" s="294"/>
      <c r="MT83" s="294"/>
      <c r="MU83" s="294"/>
      <c r="MV83" s="294"/>
      <c r="MW83" s="294"/>
      <c r="MX83" s="294"/>
      <c r="MY83" s="294"/>
      <c r="MZ83" s="294"/>
      <c r="NA83" s="294"/>
      <c r="NB83" s="294"/>
      <c r="NC83" s="294"/>
      <c r="ND83" s="294"/>
      <c r="NE83" s="294"/>
      <c r="NF83" s="294"/>
      <c r="NG83" s="294"/>
      <c r="NH83" s="294"/>
      <c r="NI83" s="294"/>
      <c r="NJ83" s="294">
        <v>-25010</v>
      </c>
      <c r="NK83" s="294"/>
      <c r="NL83" s="294"/>
      <c r="NM83" s="294"/>
      <c r="NN83" s="294"/>
      <c r="NO83" s="294"/>
      <c r="NP83" s="294"/>
      <c r="NQ83" s="294"/>
      <c r="NR83" s="294"/>
      <c r="NS83" s="294"/>
      <c r="NT83" s="294"/>
      <c r="NU83" s="294"/>
      <c r="NV83" s="294"/>
      <c r="NW83" s="294">
        <v>-525</v>
      </c>
      <c r="NX83" s="294"/>
      <c r="NY83" s="294">
        <v>0</v>
      </c>
      <c r="NZ83" s="294"/>
      <c r="OA83" s="294"/>
      <c r="OB83" s="294"/>
      <c r="OC83" s="294"/>
      <c r="OD83" s="294"/>
      <c r="OE83" s="294"/>
      <c r="OF83" s="294"/>
      <c r="OG83" s="294"/>
      <c r="OH83" s="294"/>
      <c r="OI83" s="294"/>
      <c r="OJ83" s="294"/>
      <c r="OK83" s="294"/>
      <c r="OL83" s="294"/>
      <c r="OM83" s="294"/>
      <c r="ON83" s="294"/>
      <c r="OO83" s="294"/>
      <c r="OP83" s="294"/>
      <c r="OQ83" s="294"/>
      <c r="OR83" s="294"/>
      <c r="OS83" s="294"/>
      <c r="OT83" s="294"/>
      <c r="OU83" s="294"/>
      <c r="OV83" s="294">
        <v>-99818.7</v>
      </c>
      <c r="OW83" s="294"/>
      <c r="OX83" s="294"/>
      <c r="OY83" s="294"/>
      <c r="OZ83" s="294"/>
      <c r="PA83" s="294"/>
      <c r="PB83" s="294"/>
      <c r="PC83" s="294">
        <v>-116238</v>
      </c>
      <c r="PD83" s="294">
        <v>-411742.41</v>
      </c>
      <c r="PE83" s="294"/>
      <c r="PF83" s="294"/>
      <c r="PG83" s="294"/>
      <c r="PH83" s="294"/>
      <c r="PI83" s="294"/>
      <c r="PJ83" s="294"/>
      <c r="PK83" s="294"/>
      <c r="PL83" s="294"/>
      <c r="PM83" s="294"/>
      <c r="PN83" s="294"/>
      <c r="PO83" s="294"/>
      <c r="PP83" s="294"/>
      <c r="PQ83" s="294"/>
      <c r="PR83" s="294"/>
      <c r="PS83" s="294"/>
      <c r="PT83" s="294"/>
      <c r="PU83" s="294"/>
      <c r="PV83" s="294"/>
      <c r="PW83" s="294"/>
      <c r="PX83" s="294"/>
      <c r="PY83" s="294"/>
      <c r="PZ83" s="294"/>
      <c r="QA83" s="294"/>
      <c r="QB83" s="294"/>
      <c r="QC83" s="294"/>
      <c r="QD83" s="294"/>
      <c r="QE83" s="294"/>
      <c r="QF83" s="294"/>
      <c r="QG83" s="294"/>
      <c r="QH83" s="294"/>
      <c r="QI83" s="294"/>
      <c r="QJ83" s="294"/>
      <c r="QK83" s="294"/>
      <c r="QL83" s="294"/>
      <c r="QM83" s="294"/>
      <c r="QN83" s="294"/>
      <c r="QO83" s="294"/>
      <c r="QP83" s="294"/>
      <c r="QQ83" s="294"/>
      <c r="QR83" s="294"/>
      <c r="QS83" s="294"/>
      <c r="QT83" s="294"/>
      <c r="QU83" s="294"/>
      <c r="QV83" s="294"/>
      <c r="QW83" s="294"/>
      <c r="QX83" s="294"/>
      <c r="QY83" s="294"/>
      <c r="QZ83" s="294"/>
      <c r="RA83" s="294"/>
      <c r="RB83" s="294"/>
      <c r="RC83" s="294"/>
      <c r="RD83" s="294"/>
      <c r="RE83" s="294"/>
      <c r="RF83" s="294"/>
      <c r="RG83" s="294"/>
      <c r="RH83" s="294"/>
      <c r="RI83" s="294"/>
      <c r="RJ83" s="294"/>
      <c r="RK83" s="294">
        <v>-55950</v>
      </c>
      <c r="RL83" s="294"/>
      <c r="RM83" s="294"/>
      <c r="RN83" s="294">
        <v>-4140</v>
      </c>
      <c r="RO83" s="294"/>
      <c r="RP83" s="294">
        <v>-153848</v>
      </c>
      <c r="RQ83" s="294">
        <v>-1244643.8</v>
      </c>
      <c r="RR83" s="294"/>
      <c r="RS83" s="294"/>
      <c r="RT83" s="294"/>
      <c r="RU83" s="294"/>
      <c r="RV83" s="294"/>
      <c r="RW83" s="294"/>
      <c r="RX83" s="294"/>
      <c r="RY83" s="294"/>
      <c r="RZ83" s="294"/>
      <c r="SA83" s="294"/>
      <c r="SB83" s="294"/>
      <c r="SC83" s="294"/>
      <c r="SD83" s="294"/>
      <c r="SE83" s="294"/>
      <c r="SF83" s="294"/>
      <c r="SG83" s="294"/>
      <c r="SH83" s="294"/>
      <c r="SI83" s="294"/>
      <c r="SJ83" s="294"/>
      <c r="SK83" s="294"/>
      <c r="SL83" s="294"/>
      <c r="SM83" s="294"/>
      <c r="SN83" s="294"/>
      <c r="SO83" s="294"/>
      <c r="SP83" s="294"/>
      <c r="SQ83" s="294"/>
      <c r="SR83" s="294"/>
      <c r="SS83" s="294"/>
      <c r="ST83" s="294"/>
      <c r="SU83" s="294"/>
      <c r="SV83" s="294"/>
      <c r="SW83" s="294"/>
      <c r="SX83" s="294"/>
      <c r="SY83" s="294"/>
      <c r="SZ83" s="294"/>
      <c r="TA83" s="294"/>
      <c r="TB83" s="294"/>
      <c r="TC83" s="294"/>
      <c r="TD83" s="294"/>
      <c r="TE83" s="294"/>
      <c r="TF83" s="294"/>
      <c r="TG83" s="294"/>
      <c r="TH83" s="294"/>
      <c r="TI83" s="294"/>
      <c r="TJ83" s="294"/>
      <c r="TK83" s="294"/>
      <c r="TL83" s="294">
        <v>-1601890.3</v>
      </c>
      <c r="TM83" s="294"/>
      <c r="TN83" s="294"/>
      <c r="TO83" s="294"/>
      <c r="TP83" s="294"/>
      <c r="TQ83" s="294"/>
      <c r="TR83" s="294"/>
      <c r="TS83" s="294"/>
      <c r="TT83" s="294"/>
      <c r="TU83" s="294"/>
      <c r="TV83" s="294"/>
      <c r="TW83" s="294"/>
      <c r="TX83" s="294"/>
      <c r="TY83" s="294"/>
      <c r="TZ83" s="294"/>
      <c r="UA83" s="294"/>
      <c r="UB83" s="294">
        <v>-328954</v>
      </c>
      <c r="UC83" s="294"/>
      <c r="UD83" s="294"/>
      <c r="UE83" s="294"/>
      <c r="UF83" s="294"/>
      <c r="UG83" s="294"/>
      <c r="UH83" s="294"/>
      <c r="UI83" s="294"/>
      <c r="UJ83" s="294"/>
      <c r="UK83" s="294"/>
      <c r="UL83" s="294"/>
      <c r="UM83" s="294"/>
      <c r="UN83" s="294"/>
      <c r="UO83" s="294"/>
      <c r="UP83" s="294">
        <v>-705674</v>
      </c>
      <c r="UQ83" s="294"/>
      <c r="UR83" s="294"/>
      <c r="US83" s="294">
        <v>-25700</v>
      </c>
      <c r="UT83" s="294">
        <v>-246720</v>
      </c>
      <c r="UU83" s="294"/>
      <c r="UV83" s="294"/>
      <c r="UW83" s="294"/>
      <c r="UX83" s="294"/>
      <c r="UY83" s="294"/>
      <c r="UZ83" s="294"/>
      <c r="VA83" s="294"/>
      <c r="VB83" s="294"/>
      <c r="VC83" s="294">
        <v>-6300</v>
      </c>
      <c r="VD83" s="294"/>
      <c r="VE83" s="294"/>
      <c r="VF83" s="294"/>
      <c r="VG83" s="294"/>
      <c r="VH83" s="294"/>
      <c r="VI83" s="294"/>
      <c r="VJ83" s="294"/>
      <c r="VK83" s="294"/>
      <c r="VL83" s="294"/>
      <c r="VM83" s="294"/>
      <c r="VN83" s="294"/>
      <c r="VO83" s="294"/>
      <c r="VP83" s="294"/>
      <c r="VQ83" s="294">
        <v>-67540</v>
      </c>
      <c r="VR83" s="294"/>
      <c r="VS83" s="294"/>
      <c r="VT83" s="294"/>
      <c r="VU83" s="294"/>
      <c r="VV83" s="294"/>
      <c r="VW83" s="294"/>
      <c r="VX83" s="294"/>
      <c r="VY83" s="294">
        <v>-44800</v>
      </c>
      <c r="VZ83" s="294"/>
      <c r="WA83" s="294"/>
      <c r="WB83" s="294">
        <v>-14000</v>
      </c>
      <c r="WC83" s="294"/>
      <c r="WD83" s="294"/>
      <c r="WE83" s="294"/>
      <c r="WF83" s="294"/>
      <c r="WG83" s="294"/>
      <c r="WH83" s="294"/>
      <c r="WI83" s="294"/>
      <c r="WJ83" s="294"/>
      <c r="WK83" s="294">
        <v>-114508.2</v>
      </c>
      <c r="WL83" s="294"/>
      <c r="WM83" s="294"/>
      <c r="WN83" s="294"/>
      <c r="WO83" s="294"/>
      <c r="WP83" s="294"/>
      <c r="WQ83" s="294"/>
      <c r="WR83" s="294">
        <v>-70860</v>
      </c>
      <c r="WS83" s="294"/>
      <c r="WT83" s="294"/>
      <c r="WU83" s="294"/>
      <c r="WV83" s="294">
        <v>-30936</v>
      </c>
      <c r="WW83" s="294"/>
      <c r="WX83" s="294"/>
      <c r="WY83" s="294"/>
      <c r="WZ83" s="294"/>
      <c r="XA83" s="294"/>
      <c r="XB83" s="294"/>
      <c r="XC83" s="294"/>
      <c r="XD83" s="294"/>
      <c r="XE83" s="294"/>
      <c r="XF83" s="294"/>
      <c r="XG83" s="294"/>
      <c r="XH83" s="294"/>
      <c r="XI83" s="294">
        <v>-1412494</v>
      </c>
      <c r="XJ83" s="294"/>
      <c r="XK83" s="294"/>
      <c r="XL83" s="294"/>
      <c r="XM83" s="294"/>
      <c r="XN83" s="294">
        <v>-178718.2</v>
      </c>
      <c r="XO83" s="294"/>
      <c r="XP83" s="294"/>
      <c r="XQ83" s="294"/>
      <c r="XR83" s="294"/>
      <c r="XS83" s="294"/>
      <c r="XT83" s="294"/>
      <c r="XU83" s="294"/>
      <c r="XV83" s="294"/>
      <c r="XW83" s="294"/>
      <c r="XX83" s="294"/>
      <c r="XY83" s="294"/>
      <c r="XZ83" s="294"/>
      <c r="YA83" s="294"/>
      <c r="YB83" s="294"/>
      <c r="YC83" s="294"/>
      <c r="YD83" s="294"/>
      <c r="YE83" s="294"/>
      <c r="YF83" s="294"/>
      <c r="YG83" s="294"/>
      <c r="YH83" s="294"/>
      <c r="YI83" s="294"/>
      <c r="YJ83" s="294">
        <v>-368903</v>
      </c>
      <c r="YK83" s="294"/>
      <c r="YL83" s="294"/>
      <c r="YM83" s="294"/>
      <c r="YN83" s="294">
        <v>-1455276.43</v>
      </c>
      <c r="YO83" s="294"/>
      <c r="YP83" s="294"/>
      <c r="YQ83" s="294"/>
      <c r="YR83" s="294">
        <v>-98730</v>
      </c>
      <c r="YS83" s="294"/>
      <c r="YT83" s="294"/>
      <c r="YU83" s="294"/>
      <c r="YV83" s="294"/>
      <c r="YW83" s="294">
        <v>-203602.6</v>
      </c>
      <c r="YX83" s="294"/>
      <c r="YY83" s="294"/>
      <c r="YZ83" s="294"/>
      <c r="ZA83" s="294"/>
      <c r="ZB83" s="294"/>
      <c r="ZC83" s="294"/>
      <c r="ZD83" s="294"/>
      <c r="ZE83" s="294">
        <v>-462351</v>
      </c>
      <c r="ZF83" s="294"/>
      <c r="ZG83" s="294"/>
      <c r="ZH83" s="294"/>
      <c r="ZI83" s="294"/>
      <c r="ZJ83" s="294"/>
      <c r="ZK83" s="294"/>
      <c r="ZL83" s="294"/>
      <c r="ZM83" s="294"/>
      <c r="ZN83" s="294"/>
      <c r="ZO83" s="294"/>
      <c r="ZP83" s="294"/>
      <c r="ZQ83" s="294"/>
      <c r="ZR83" s="294"/>
      <c r="ZS83" s="294">
        <v>-186692</v>
      </c>
      <c r="ZT83" s="294"/>
      <c r="ZU83" s="294"/>
      <c r="ZV83" s="294"/>
      <c r="ZW83" s="294">
        <v>-2788777.6</v>
      </c>
      <c r="ZX83" s="294"/>
      <c r="ZY83" s="294"/>
      <c r="ZZ83" s="294"/>
      <c r="AAA83" s="294"/>
      <c r="AAB83" s="294"/>
      <c r="AAC83" s="294"/>
      <c r="AAD83" s="294">
        <v>-577996</v>
      </c>
      <c r="AAE83" s="294"/>
      <c r="AAF83" s="294"/>
      <c r="AAG83" s="294"/>
      <c r="AAH83" s="294"/>
      <c r="AAI83" s="294"/>
      <c r="AAJ83" s="294"/>
      <c r="AAK83" s="294">
        <v>-649764.39</v>
      </c>
      <c r="AAL83" s="294"/>
      <c r="AAM83" s="294"/>
      <c r="AAN83" s="294"/>
      <c r="AAO83" s="294">
        <v>-12640</v>
      </c>
      <c r="AAP83" s="294"/>
      <c r="AAQ83" s="294"/>
      <c r="AAR83" s="294"/>
      <c r="AAS83" s="294"/>
      <c r="AAT83" s="294"/>
      <c r="AAU83" s="294"/>
      <c r="AAV83" s="294">
        <v>-21940</v>
      </c>
      <c r="AAW83" s="294">
        <v>-2007064</v>
      </c>
      <c r="AAX83" s="294"/>
      <c r="AAY83" s="294"/>
      <c r="AAZ83" s="294"/>
      <c r="ABA83" s="294"/>
      <c r="ABB83" s="294"/>
      <c r="ABC83" s="294">
        <v>0</v>
      </c>
      <c r="ABD83" s="294"/>
      <c r="ABE83" s="294"/>
      <c r="ABF83" s="294"/>
      <c r="ABG83" s="294"/>
      <c r="ABH83" s="294">
        <v>-125385.2</v>
      </c>
      <c r="ABI83" s="294"/>
      <c r="ABJ83" s="294"/>
      <c r="ABK83" s="294">
        <v>0</v>
      </c>
      <c r="ABL83" s="294"/>
      <c r="ABM83" s="294"/>
      <c r="ABN83" s="294"/>
      <c r="ABO83" s="294"/>
      <c r="ABP83" s="294"/>
      <c r="ABQ83" s="294"/>
      <c r="ABR83" s="294"/>
      <c r="ABS83" s="294"/>
      <c r="ABT83" s="294"/>
      <c r="ABU83" s="294"/>
      <c r="ABV83" s="294"/>
      <c r="ABW83" s="294"/>
      <c r="ABX83" s="294"/>
      <c r="ABY83" s="294"/>
      <c r="ABZ83" s="294">
        <v>0</v>
      </c>
      <c r="ACA83" s="294"/>
      <c r="ACB83" s="294"/>
      <c r="ACC83" s="294"/>
      <c r="ACD83" s="294"/>
      <c r="ACE83" s="294"/>
      <c r="ACF83" s="294"/>
      <c r="ACG83" s="294"/>
      <c r="ACH83" s="294"/>
      <c r="ACI83" s="294"/>
      <c r="ACJ83" s="294"/>
      <c r="ACK83" s="294"/>
      <c r="ACL83" s="294"/>
      <c r="ACM83" s="294"/>
      <c r="ACN83" s="294"/>
      <c r="ACO83" s="294"/>
      <c r="ACP83" s="294"/>
      <c r="ACQ83" s="294"/>
      <c r="ACR83" s="294"/>
      <c r="ACS83" s="294"/>
      <c r="ACT83" s="294"/>
      <c r="ACU83" s="294"/>
      <c r="ACV83" s="294"/>
      <c r="ACW83" s="294"/>
      <c r="ACX83" s="294"/>
      <c r="ACY83" s="294"/>
      <c r="ACZ83" s="294"/>
      <c r="ADA83" s="294"/>
      <c r="ADB83" s="294"/>
      <c r="ADC83" s="294"/>
      <c r="ADD83" s="294"/>
      <c r="ADE83" s="294"/>
      <c r="ADF83" s="294"/>
      <c r="ADG83" s="294"/>
      <c r="ADH83" s="294"/>
      <c r="ADI83" s="294"/>
      <c r="ADJ83" s="294"/>
      <c r="ADK83" s="294"/>
      <c r="ADL83" s="294"/>
      <c r="ADM83" s="294"/>
      <c r="ADN83" s="294"/>
      <c r="ADO83" s="294"/>
      <c r="ADP83" s="294"/>
      <c r="ADQ83" s="294"/>
      <c r="ADR83" s="294"/>
      <c r="ADS83" s="294"/>
      <c r="ADT83" s="294"/>
      <c r="ADU83" s="294"/>
      <c r="ADV83" s="294"/>
      <c r="ADW83" s="294"/>
      <c r="ADX83" s="294"/>
      <c r="ADY83" s="294"/>
      <c r="ADZ83" s="294"/>
      <c r="AEA83" s="294"/>
      <c r="AEB83" s="294"/>
      <c r="AEC83" s="294"/>
      <c r="AED83" s="294"/>
      <c r="AEE83" s="294"/>
      <c r="AEF83" s="294"/>
      <c r="AEG83" s="294"/>
      <c r="AEH83" s="294"/>
      <c r="AEI83" s="294">
        <v>-10013990.57</v>
      </c>
      <c r="AEJ83" s="294"/>
      <c r="AEK83" s="294"/>
      <c r="AEL83" s="294"/>
      <c r="AEM83" s="294"/>
      <c r="AEN83" s="294"/>
      <c r="AEO83" s="294"/>
      <c r="AEP83" s="294"/>
      <c r="AEQ83" s="294"/>
      <c r="AER83" s="294"/>
      <c r="AES83" s="294"/>
      <c r="AET83" s="294"/>
      <c r="AEU83" s="294"/>
      <c r="AEV83" s="294"/>
      <c r="AEW83" s="294"/>
      <c r="AEX83" s="294">
        <v>-1934069.57</v>
      </c>
      <c r="AEY83" s="294"/>
      <c r="AEZ83" s="294"/>
      <c r="AFA83" s="294"/>
      <c r="AFB83" s="294"/>
      <c r="AFC83" s="294"/>
      <c r="AFD83" s="294"/>
      <c r="AFE83" s="294">
        <v>-3828</v>
      </c>
      <c r="AFF83" s="294"/>
      <c r="AFG83" s="294"/>
      <c r="AFH83" s="294"/>
      <c r="AFI83" s="294"/>
      <c r="AFJ83" s="294"/>
      <c r="AFK83" s="294"/>
      <c r="AFL83" s="294"/>
      <c r="AFM83" s="294"/>
      <c r="AFN83" s="294"/>
      <c r="AFO83" s="294"/>
      <c r="AFP83" s="294"/>
      <c r="AFQ83" s="294"/>
      <c r="AFR83" s="294"/>
      <c r="AFS83" s="294"/>
      <c r="AFT83" s="294"/>
      <c r="AFU83" s="294"/>
      <c r="AFV83" s="294"/>
      <c r="AFW83" s="294"/>
      <c r="AFX83" s="294"/>
      <c r="AFY83" s="294"/>
      <c r="AFZ83" s="294"/>
      <c r="AGA83" s="294"/>
      <c r="AGB83" s="294"/>
      <c r="AGC83" s="294"/>
      <c r="AGD83" s="294"/>
      <c r="AGE83" s="294"/>
      <c r="AGF83" s="294"/>
      <c r="AGG83" s="294"/>
      <c r="AGH83" s="294"/>
      <c r="AGI83" s="294"/>
      <c r="AGJ83" s="294"/>
      <c r="AGK83" s="294"/>
      <c r="AGL83" s="294"/>
      <c r="AGM83" s="294"/>
      <c r="AGN83" s="294"/>
      <c r="AGO83" s="294"/>
      <c r="AGP83" s="294"/>
      <c r="AGQ83" s="294"/>
      <c r="AGR83" s="294">
        <v>-262174.43</v>
      </c>
      <c r="AGS83" s="294"/>
      <c r="AGT83" s="294"/>
      <c r="AGU83" s="294"/>
      <c r="AGV83" s="294"/>
      <c r="AGW83" s="294"/>
      <c r="AGX83" s="294">
        <v>-41700</v>
      </c>
      <c r="AGY83" s="294"/>
      <c r="AGZ83" s="294"/>
      <c r="AHA83" s="294"/>
      <c r="AHB83" s="294"/>
      <c r="AHC83" s="294"/>
      <c r="AHD83" s="294"/>
      <c r="AHE83" s="294"/>
      <c r="AHF83" s="294"/>
      <c r="AHG83" s="294"/>
      <c r="AHH83" s="294"/>
      <c r="AHI83" s="294"/>
      <c r="AHJ83" s="294"/>
      <c r="AHK83" s="294"/>
      <c r="AHL83" s="294"/>
      <c r="AHM83" s="294"/>
      <c r="AHN83" s="294"/>
      <c r="AHO83" s="294"/>
      <c r="AHP83" s="294"/>
      <c r="AHQ83" s="294"/>
      <c r="AHR83" s="331"/>
      <c r="AHS83" s="294">
        <f t="shared" si="51"/>
        <v>-39924509.320000008</v>
      </c>
      <c r="AHT83" s="269" t="b">
        <f t="shared" si="52"/>
        <v>1</v>
      </c>
      <c r="AHU83" s="269" t="s">
        <v>6278</v>
      </c>
      <c r="AHV83" s="269" t="s">
        <v>6109</v>
      </c>
      <c r="AHW83" s="269" t="s">
        <v>6110</v>
      </c>
    </row>
    <row r="84" spans="1:907" ht="24.6" x14ac:dyDescent="0.7">
      <c r="A84" s="268" t="s">
        <v>6278</v>
      </c>
      <c r="B84" s="268" t="s">
        <v>6111</v>
      </c>
      <c r="C84" s="269" t="s">
        <v>6112</v>
      </c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94"/>
      <c r="AU84" s="294"/>
      <c r="AV84" s="294"/>
      <c r="AW84" s="294"/>
      <c r="AX84" s="294"/>
      <c r="AY84" s="294"/>
      <c r="AZ84" s="294"/>
      <c r="BA84" s="294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294"/>
      <c r="BO84" s="294"/>
      <c r="BP84" s="294"/>
      <c r="BQ84" s="294"/>
      <c r="BR84" s="294"/>
      <c r="BS84" s="294"/>
      <c r="BT84" s="294"/>
      <c r="BU84" s="294"/>
      <c r="BV84" s="294"/>
      <c r="BW84" s="294"/>
      <c r="BX84" s="294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294"/>
      <c r="CO84" s="294"/>
      <c r="CP84" s="294"/>
      <c r="CQ84" s="294"/>
      <c r="CR84" s="294"/>
      <c r="CS84" s="294"/>
      <c r="CT84" s="294"/>
      <c r="CU84" s="294"/>
      <c r="CV84" s="294"/>
      <c r="CW84" s="294"/>
      <c r="CX84" s="294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294"/>
      <c r="DL84" s="294"/>
      <c r="DM84" s="294"/>
      <c r="DN84" s="294"/>
      <c r="DO84" s="294"/>
      <c r="DP84" s="294"/>
      <c r="DQ84" s="294"/>
      <c r="DR84" s="294"/>
      <c r="DS84" s="294"/>
      <c r="DT84" s="294"/>
      <c r="DU84" s="294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  <c r="FI84" s="294"/>
      <c r="FJ84" s="294"/>
      <c r="FK84" s="294"/>
      <c r="FL84" s="294"/>
      <c r="FM84" s="294"/>
      <c r="FN84" s="294"/>
      <c r="FO84" s="294"/>
      <c r="FP84" s="294"/>
      <c r="FQ84" s="294"/>
      <c r="FR84" s="294"/>
      <c r="FS84" s="294"/>
      <c r="FT84" s="294"/>
      <c r="FU84" s="294"/>
      <c r="FV84" s="294"/>
      <c r="FW84" s="294"/>
      <c r="FX84" s="294"/>
      <c r="FY84" s="294"/>
      <c r="FZ84" s="294"/>
      <c r="GA84" s="294"/>
      <c r="GB84" s="294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4"/>
      <c r="GT84" s="294"/>
      <c r="GU84" s="294"/>
      <c r="GV84" s="294"/>
      <c r="GW84" s="294"/>
      <c r="GX84" s="294"/>
      <c r="GY84" s="294"/>
      <c r="GZ84" s="294"/>
      <c r="HA84" s="294"/>
      <c r="HB84" s="294"/>
      <c r="HC84" s="294"/>
      <c r="HD84" s="294"/>
      <c r="HE84" s="294"/>
      <c r="HF84" s="294"/>
      <c r="HG84" s="294"/>
      <c r="HH84" s="294"/>
      <c r="HI84" s="294"/>
      <c r="HJ84" s="294"/>
      <c r="HK84" s="294"/>
      <c r="HL84" s="294"/>
      <c r="HM84" s="294"/>
      <c r="HN84" s="294"/>
      <c r="HO84" s="294"/>
      <c r="HP84" s="294"/>
      <c r="HQ84" s="294"/>
      <c r="HR84" s="294"/>
      <c r="HS84" s="294"/>
      <c r="HT84" s="294"/>
      <c r="HU84" s="294"/>
      <c r="HV84" s="294"/>
      <c r="HW84" s="294"/>
      <c r="HX84" s="294"/>
      <c r="HY84" s="294"/>
      <c r="HZ84" s="294"/>
      <c r="IA84" s="294"/>
      <c r="IB84" s="294"/>
      <c r="IC84" s="294"/>
      <c r="ID84" s="294"/>
      <c r="IE84" s="294"/>
      <c r="IF84" s="294"/>
      <c r="IG84" s="294"/>
      <c r="IH84" s="294"/>
      <c r="II84" s="294"/>
      <c r="IJ84" s="294"/>
      <c r="IK84" s="294"/>
      <c r="IL84" s="294"/>
      <c r="IM84" s="294"/>
      <c r="IN84" s="294"/>
      <c r="IO84" s="294"/>
      <c r="IP84" s="294"/>
      <c r="IQ84" s="294"/>
      <c r="IR84" s="294"/>
      <c r="IS84" s="294"/>
      <c r="IT84" s="294"/>
      <c r="IU84" s="294"/>
      <c r="IV84" s="294"/>
      <c r="IW84" s="294"/>
      <c r="IX84" s="294"/>
      <c r="IY84" s="294"/>
      <c r="IZ84" s="294"/>
      <c r="JA84" s="294">
        <v>-30790.32</v>
      </c>
      <c r="JB84" s="294"/>
      <c r="JC84" s="294"/>
      <c r="JD84" s="294"/>
      <c r="JE84" s="294"/>
      <c r="JF84" s="294"/>
      <c r="JG84" s="294"/>
      <c r="JH84" s="294"/>
      <c r="JI84" s="294"/>
      <c r="JJ84" s="294"/>
      <c r="JK84" s="294"/>
      <c r="JL84" s="294"/>
      <c r="JM84" s="294"/>
      <c r="JN84" s="294"/>
      <c r="JO84" s="294"/>
      <c r="JP84" s="294"/>
      <c r="JQ84" s="294"/>
      <c r="JR84" s="294"/>
      <c r="JS84" s="294"/>
      <c r="JT84" s="294"/>
      <c r="JU84" s="294"/>
      <c r="JV84" s="294"/>
      <c r="JW84" s="294"/>
      <c r="JX84" s="294"/>
      <c r="JY84" s="294"/>
      <c r="JZ84" s="294"/>
      <c r="KA84" s="294"/>
      <c r="KB84" s="294"/>
      <c r="KC84" s="294"/>
      <c r="KD84" s="294"/>
      <c r="KE84" s="294"/>
      <c r="KF84" s="294"/>
      <c r="KG84" s="294"/>
      <c r="KH84" s="294">
        <v>-23409.54</v>
      </c>
      <c r="KI84" s="294"/>
      <c r="KJ84" s="294"/>
      <c r="KK84" s="294">
        <v>-171270</v>
      </c>
      <c r="KL84" s="294"/>
      <c r="KM84" s="294"/>
      <c r="KN84" s="294"/>
      <c r="KO84" s="294"/>
      <c r="KP84" s="294"/>
      <c r="KQ84" s="294"/>
      <c r="KR84" s="294"/>
      <c r="KS84" s="294"/>
      <c r="KT84" s="294"/>
      <c r="KU84" s="294"/>
      <c r="KV84" s="294"/>
      <c r="KW84" s="294"/>
      <c r="KX84" s="294"/>
      <c r="KY84" s="294"/>
      <c r="KZ84" s="294"/>
      <c r="LA84" s="294"/>
      <c r="LB84" s="294"/>
      <c r="LC84" s="294"/>
      <c r="LD84" s="294"/>
      <c r="LE84" s="294"/>
      <c r="LF84" s="294"/>
      <c r="LG84" s="294"/>
      <c r="LH84" s="294"/>
      <c r="LI84" s="294"/>
      <c r="LJ84" s="294"/>
      <c r="LK84" s="294"/>
      <c r="LL84" s="294"/>
      <c r="LM84" s="294"/>
      <c r="LN84" s="294"/>
      <c r="LO84" s="294"/>
      <c r="LP84" s="294"/>
      <c r="LQ84" s="294"/>
      <c r="LR84" s="294"/>
      <c r="LS84" s="294"/>
      <c r="LT84" s="294"/>
      <c r="LU84" s="294"/>
      <c r="LV84" s="294"/>
      <c r="LW84" s="294"/>
      <c r="LX84" s="294"/>
      <c r="LY84" s="294"/>
      <c r="LZ84" s="294"/>
      <c r="MA84" s="294"/>
      <c r="MB84" s="294"/>
      <c r="MC84" s="294"/>
      <c r="MD84" s="294"/>
      <c r="ME84" s="294"/>
      <c r="MF84" s="294"/>
      <c r="MG84" s="294"/>
      <c r="MH84" s="294"/>
      <c r="MI84" s="294"/>
      <c r="MJ84" s="294"/>
      <c r="MK84" s="294"/>
      <c r="ML84" s="294"/>
      <c r="MM84" s="294"/>
      <c r="MN84" s="294"/>
      <c r="MO84" s="294"/>
      <c r="MP84" s="294"/>
      <c r="MQ84" s="294"/>
      <c r="MR84" s="294"/>
      <c r="MS84" s="294"/>
      <c r="MT84" s="294"/>
      <c r="MU84" s="294"/>
      <c r="MV84" s="294"/>
      <c r="MW84" s="294"/>
      <c r="MX84" s="294"/>
      <c r="MY84" s="294"/>
      <c r="MZ84" s="294"/>
      <c r="NA84" s="294"/>
      <c r="NB84" s="294"/>
      <c r="NC84" s="294"/>
      <c r="ND84" s="294"/>
      <c r="NE84" s="294"/>
      <c r="NF84" s="294"/>
      <c r="NG84" s="294"/>
      <c r="NH84" s="294"/>
      <c r="NI84" s="294"/>
      <c r="NJ84" s="294"/>
      <c r="NK84" s="294"/>
      <c r="NL84" s="294"/>
      <c r="NM84" s="294"/>
      <c r="NN84" s="294"/>
      <c r="NO84" s="294"/>
      <c r="NP84" s="294"/>
      <c r="NQ84" s="294"/>
      <c r="NR84" s="294"/>
      <c r="NS84" s="294"/>
      <c r="NT84" s="294"/>
      <c r="NU84" s="294"/>
      <c r="NV84" s="294"/>
      <c r="NW84" s="294"/>
      <c r="NX84" s="294"/>
      <c r="NY84" s="294"/>
      <c r="NZ84" s="294"/>
      <c r="OA84" s="294"/>
      <c r="OB84" s="294"/>
      <c r="OC84" s="294"/>
      <c r="OD84" s="294"/>
      <c r="OE84" s="294"/>
      <c r="OF84" s="294"/>
      <c r="OG84" s="294"/>
      <c r="OH84" s="294"/>
      <c r="OI84" s="294"/>
      <c r="OJ84" s="294"/>
      <c r="OK84" s="294"/>
      <c r="OL84" s="294"/>
      <c r="OM84" s="294"/>
      <c r="ON84" s="294"/>
      <c r="OO84" s="294"/>
      <c r="OP84" s="294"/>
      <c r="OQ84" s="294"/>
      <c r="OR84" s="294"/>
      <c r="OS84" s="294"/>
      <c r="OT84" s="294"/>
      <c r="OU84" s="294"/>
      <c r="OV84" s="294"/>
      <c r="OW84" s="294"/>
      <c r="OX84" s="294"/>
      <c r="OY84" s="294"/>
      <c r="OZ84" s="294"/>
      <c r="PA84" s="294"/>
      <c r="PB84" s="294"/>
      <c r="PC84" s="294"/>
      <c r="PD84" s="294"/>
      <c r="PE84" s="294"/>
      <c r="PF84" s="294"/>
      <c r="PG84" s="294"/>
      <c r="PH84" s="294"/>
      <c r="PI84" s="294"/>
      <c r="PJ84" s="294"/>
      <c r="PK84" s="294"/>
      <c r="PL84" s="294"/>
      <c r="PM84" s="294"/>
      <c r="PN84" s="294"/>
      <c r="PO84" s="294"/>
      <c r="PP84" s="294"/>
      <c r="PQ84" s="294"/>
      <c r="PR84" s="294"/>
      <c r="PS84" s="294"/>
      <c r="PT84" s="294"/>
      <c r="PU84" s="294"/>
      <c r="PV84" s="294"/>
      <c r="PW84" s="294"/>
      <c r="PX84" s="294"/>
      <c r="PY84" s="294"/>
      <c r="PZ84" s="294"/>
      <c r="QA84" s="294"/>
      <c r="QB84" s="294"/>
      <c r="QC84" s="294"/>
      <c r="QD84" s="294"/>
      <c r="QE84" s="294"/>
      <c r="QF84" s="294"/>
      <c r="QG84" s="294"/>
      <c r="QH84" s="294"/>
      <c r="QI84" s="294"/>
      <c r="QJ84" s="294"/>
      <c r="QK84" s="294"/>
      <c r="QL84" s="294"/>
      <c r="QM84" s="294"/>
      <c r="QN84" s="294"/>
      <c r="QO84" s="294"/>
      <c r="QP84" s="294"/>
      <c r="QQ84" s="294"/>
      <c r="QR84" s="294"/>
      <c r="QS84" s="294"/>
      <c r="QT84" s="294"/>
      <c r="QU84" s="294"/>
      <c r="QV84" s="294"/>
      <c r="QW84" s="294"/>
      <c r="QX84" s="294"/>
      <c r="QY84" s="294"/>
      <c r="QZ84" s="294"/>
      <c r="RA84" s="294"/>
      <c r="RB84" s="294"/>
      <c r="RC84" s="294"/>
      <c r="RD84" s="294"/>
      <c r="RE84" s="294"/>
      <c r="RF84" s="294"/>
      <c r="RG84" s="294"/>
      <c r="RH84" s="294"/>
      <c r="RI84" s="294"/>
      <c r="RJ84" s="294"/>
      <c r="RK84" s="294"/>
      <c r="RL84" s="294"/>
      <c r="RM84" s="294"/>
      <c r="RN84" s="294"/>
      <c r="RO84" s="294"/>
      <c r="RP84" s="294"/>
      <c r="RQ84" s="294"/>
      <c r="RR84" s="294"/>
      <c r="RS84" s="294"/>
      <c r="RT84" s="294"/>
      <c r="RU84" s="294"/>
      <c r="RV84" s="294"/>
      <c r="RW84" s="294"/>
      <c r="RX84" s="294"/>
      <c r="RY84" s="294"/>
      <c r="RZ84" s="294"/>
      <c r="SA84" s="294"/>
      <c r="SB84" s="294"/>
      <c r="SC84" s="294"/>
      <c r="SD84" s="294"/>
      <c r="SE84" s="294"/>
      <c r="SF84" s="294"/>
      <c r="SG84" s="294"/>
      <c r="SH84" s="294"/>
      <c r="SI84" s="294"/>
      <c r="SJ84" s="294"/>
      <c r="SK84" s="294"/>
      <c r="SL84" s="294"/>
      <c r="SM84" s="294"/>
      <c r="SN84" s="294"/>
      <c r="SO84" s="294"/>
      <c r="SP84" s="294"/>
      <c r="SQ84" s="294"/>
      <c r="SR84" s="294"/>
      <c r="SS84" s="294"/>
      <c r="ST84" s="294"/>
      <c r="SU84" s="294"/>
      <c r="SV84" s="294"/>
      <c r="SW84" s="294"/>
      <c r="SX84" s="294"/>
      <c r="SY84" s="294"/>
      <c r="SZ84" s="294"/>
      <c r="TA84" s="294"/>
      <c r="TB84" s="294"/>
      <c r="TC84" s="294"/>
      <c r="TD84" s="294"/>
      <c r="TE84" s="294"/>
      <c r="TF84" s="294"/>
      <c r="TG84" s="294"/>
      <c r="TH84" s="294"/>
      <c r="TI84" s="294"/>
      <c r="TJ84" s="294"/>
      <c r="TK84" s="294"/>
      <c r="TL84" s="294"/>
      <c r="TM84" s="294"/>
      <c r="TN84" s="294"/>
      <c r="TO84" s="294"/>
      <c r="TP84" s="294"/>
      <c r="TQ84" s="294"/>
      <c r="TR84" s="294"/>
      <c r="TS84" s="294"/>
      <c r="TT84" s="294"/>
      <c r="TU84" s="294"/>
      <c r="TV84" s="294"/>
      <c r="TW84" s="294"/>
      <c r="TX84" s="294"/>
      <c r="TY84" s="294"/>
      <c r="TZ84" s="294"/>
      <c r="UA84" s="294"/>
      <c r="UB84" s="294"/>
      <c r="UC84" s="294"/>
      <c r="UD84" s="294"/>
      <c r="UE84" s="294"/>
      <c r="UF84" s="294"/>
      <c r="UG84" s="294"/>
      <c r="UH84" s="294">
        <v>-222275</v>
      </c>
      <c r="UI84" s="294"/>
      <c r="UJ84" s="294"/>
      <c r="UK84" s="294"/>
      <c r="UL84" s="294"/>
      <c r="UM84" s="294"/>
      <c r="UN84" s="294"/>
      <c r="UO84" s="294"/>
      <c r="UP84" s="294"/>
      <c r="UQ84" s="294"/>
      <c r="UR84" s="294"/>
      <c r="US84" s="294"/>
      <c r="UT84" s="294"/>
      <c r="UU84" s="294"/>
      <c r="UV84" s="294"/>
      <c r="UW84" s="294"/>
      <c r="UX84" s="294"/>
      <c r="UY84" s="294"/>
      <c r="UZ84" s="294"/>
      <c r="VA84" s="294"/>
      <c r="VB84" s="294"/>
      <c r="VC84" s="294"/>
      <c r="VD84" s="294"/>
      <c r="VE84" s="294"/>
      <c r="VF84" s="294"/>
      <c r="VG84" s="294"/>
      <c r="VH84" s="294"/>
      <c r="VI84" s="294"/>
      <c r="VJ84" s="294"/>
      <c r="VK84" s="294"/>
      <c r="VL84" s="294"/>
      <c r="VM84" s="294"/>
      <c r="VN84" s="294"/>
      <c r="VO84" s="294"/>
      <c r="VP84" s="294"/>
      <c r="VQ84" s="294"/>
      <c r="VR84" s="294"/>
      <c r="VS84" s="294"/>
      <c r="VT84" s="294"/>
      <c r="VU84" s="294"/>
      <c r="VV84" s="294"/>
      <c r="VW84" s="294"/>
      <c r="VX84" s="294"/>
      <c r="VY84" s="294"/>
      <c r="VZ84" s="294"/>
      <c r="WA84" s="294"/>
      <c r="WB84" s="294"/>
      <c r="WC84" s="294"/>
      <c r="WD84" s="294">
        <v>0</v>
      </c>
      <c r="WE84" s="294"/>
      <c r="WF84" s="294"/>
      <c r="WG84" s="294"/>
      <c r="WH84" s="294"/>
      <c r="WI84" s="294"/>
      <c r="WJ84" s="294"/>
      <c r="WK84" s="294"/>
      <c r="WL84" s="294"/>
      <c r="WM84" s="294">
        <v>-137060</v>
      </c>
      <c r="WN84" s="294"/>
      <c r="WO84" s="294"/>
      <c r="WP84" s="294"/>
      <c r="WQ84" s="294"/>
      <c r="WR84" s="294"/>
      <c r="WS84" s="294"/>
      <c r="WT84" s="294"/>
      <c r="WU84" s="294"/>
      <c r="WV84" s="294"/>
      <c r="WW84" s="294"/>
      <c r="WX84" s="294"/>
      <c r="WY84" s="294"/>
      <c r="WZ84" s="294"/>
      <c r="XA84" s="294"/>
      <c r="XB84" s="294"/>
      <c r="XC84" s="294"/>
      <c r="XD84" s="294"/>
      <c r="XE84" s="294"/>
      <c r="XF84" s="294"/>
      <c r="XG84" s="294"/>
      <c r="XH84" s="294"/>
      <c r="XI84" s="294"/>
      <c r="XJ84" s="294"/>
      <c r="XK84" s="294"/>
      <c r="XL84" s="294"/>
      <c r="XM84" s="294"/>
      <c r="XN84" s="294"/>
      <c r="XO84" s="294"/>
      <c r="XP84" s="294"/>
      <c r="XQ84" s="294"/>
      <c r="XR84" s="294"/>
      <c r="XS84" s="294"/>
      <c r="XT84" s="294"/>
      <c r="XU84" s="294"/>
      <c r="XV84" s="294"/>
      <c r="XW84" s="294"/>
      <c r="XX84" s="294"/>
      <c r="XY84" s="294"/>
      <c r="XZ84" s="294"/>
      <c r="YA84" s="294"/>
      <c r="YB84" s="294"/>
      <c r="YC84" s="294"/>
      <c r="YD84" s="294"/>
      <c r="YE84" s="294"/>
      <c r="YF84" s="294"/>
      <c r="YG84" s="294"/>
      <c r="YH84" s="294"/>
      <c r="YI84" s="294"/>
      <c r="YJ84" s="294">
        <v>0</v>
      </c>
      <c r="YK84" s="294"/>
      <c r="YL84" s="294"/>
      <c r="YM84" s="294"/>
      <c r="YN84" s="294"/>
      <c r="YO84" s="294"/>
      <c r="YP84" s="294"/>
      <c r="YQ84" s="294"/>
      <c r="YR84" s="294"/>
      <c r="YS84" s="294"/>
      <c r="YT84" s="294"/>
      <c r="YU84" s="294"/>
      <c r="YV84" s="294"/>
      <c r="YW84" s="294"/>
      <c r="YX84" s="294"/>
      <c r="YY84" s="294"/>
      <c r="YZ84" s="294"/>
      <c r="ZA84" s="294"/>
      <c r="ZB84" s="294"/>
      <c r="ZC84" s="294"/>
      <c r="ZD84" s="294"/>
      <c r="ZE84" s="294"/>
      <c r="ZF84" s="294"/>
      <c r="ZG84" s="294"/>
      <c r="ZH84" s="294"/>
      <c r="ZI84" s="294"/>
      <c r="ZJ84" s="294"/>
      <c r="ZK84" s="294"/>
      <c r="ZL84" s="294"/>
      <c r="ZM84" s="294"/>
      <c r="ZN84" s="294"/>
      <c r="ZO84" s="294"/>
      <c r="ZP84" s="294"/>
      <c r="ZQ84" s="294"/>
      <c r="ZR84" s="294"/>
      <c r="ZS84" s="294">
        <v>-1508943</v>
      </c>
      <c r="ZT84" s="294"/>
      <c r="ZU84" s="294"/>
      <c r="ZV84" s="294"/>
      <c r="ZW84" s="294"/>
      <c r="ZX84" s="294"/>
      <c r="ZY84" s="294"/>
      <c r="ZZ84" s="294"/>
      <c r="AAA84" s="294"/>
      <c r="AAB84" s="294"/>
      <c r="AAC84" s="294"/>
      <c r="AAD84" s="294"/>
      <c r="AAE84" s="294"/>
      <c r="AAF84" s="294"/>
      <c r="AAG84" s="294"/>
      <c r="AAH84" s="294"/>
      <c r="AAI84" s="294"/>
      <c r="AAJ84" s="294"/>
      <c r="AAK84" s="294"/>
      <c r="AAL84" s="294"/>
      <c r="AAM84" s="294"/>
      <c r="AAN84" s="294"/>
      <c r="AAO84" s="294"/>
      <c r="AAP84" s="294"/>
      <c r="AAQ84" s="294"/>
      <c r="AAR84" s="294"/>
      <c r="AAS84" s="294"/>
      <c r="AAT84" s="294"/>
      <c r="AAU84" s="294"/>
      <c r="AAV84" s="294"/>
      <c r="AAW84" s="294"/>
      <c r="AAX84" s="294"/>
      <c r="AAY84" s="294"/>
      <c r="AAZ84" s="294"/>
      <c r="ABA84" s="294"/>
      <c r="ABB84" s="294"/>
      <c r="ABC84" s="294">
        <v>0</v>
      </c>
      <c r="ABD84" s="294"/>
      <c r="ABE84" s="294"/>
      <c r="ABF84" s="294"/>
      <c r="ABG84" s="294"/>
      <c r="ABH84" s="294"/>
      <c r="ABI84" s="294"/>
      <c r="ABJ84" s="294"/>
      <c r="ABK84" s="294">
        <v>0</v>
      </c>
      <c r="ABL84" s="294"/>
      <c r="ABM84" s="294"/>
      <c r="ABN84" s="294"/>
      <c r="ABO84" s="294"/>
      <c r="ABP84" s="294"/>
      <c r="ABQ84" s="294"/>
      <c r="ABR84" s="294"/>
      <c r="ABS84" s="294"/>
      <c r="ABT84" s="294"/>
      <c r="ABU84" s="294"/>
      <c r="ABV84" s="294"/>
      <c r="ABW84" s="294"/>
      <c r="ABX84" s="294"/>
      <c r="ABY84" s="294"/>
      <c r="ABZ84" s="294"/>
      <c r="ACA84" s="294"/>
      <c r="ACB84" s="294"/>
      <c r="ACC84" s="294"/>
      <c r="ACD84" s="294"/>
      <c r="ACE84" s="294"/>
      <c r="ACF84" s="294"/>
      <c r="ACG84" s="294"/>
      <c r="ACH84" s="294"/>
      <c r="ACI84" s="294"/>
      <c r="ACJ84" s="294"/>
      <c r="ACK84" s="294"/>
      <c r="ACL84" s="294"/>
      <c r="ACM84" s="294"/>
      <c r="ACN84" s="294"/>
      <c r="ACO84" s="294"/>
      <c r="ACP84" s="294"/>
      <c r="ACQ84" s="294"/>
      <c r="ACR84" s="294"/>
      <c r="ACS84" s="294"/>
      <c r="ACT84" s="294"/>
      <c r="ACU84" s="294"/>
      <c r="ACV84" s="294"/>
      <c r="ACW84" s="294"/>
      <c r="ACX84" s="294"/>
      <c r="ACY84" s="294"/>
      <c r="ACZ84" s="294"/>
      <c r="ADA84" s="294"/>
      <c r="ADB84" s="294"/>
      <c r="ADC84" s="294"/>
      <c r="ADD84" s="294"/>
      <c r="ADE84" s="294"/>
      <c r="ADF84" s="294"/>
      <c r="ADG84" s="294"/>
      <c r="ADH84" s="294"/>
      <c r="ADI84" s="294"/>
      <c r="ADJ84" s="294"/>
      <c r="ADK84" s="294"/>
      <c r="ADL84" s="294"/>
      <c r="ADM84" s="294"/>
      <c r="ADN84" s="294"/>
      <c r="ADO84" s="294"/>
      <c r="ADP84" s="294"/>
      <c r="ADQ84" s="294"/>
      <c r="ADR84" s="294"/>
      <c r="ADS84" s="294"/>
      <c r="ADT84" s="294"/>
      <c r="ADU84" s="294"/>
      <c r="ADV84" s="294"/>
      <c r="ADW84" s="294"/>
      <c r="ADX84" s="294"/>
      <c r="ADY84" s="294"/>
      <c r="ADZ84" s="294"/>
      <c r="AEA84" s="294"/>
      <c r="AEB84" s="294"/>
      <c r="AEC84" s="294"/>
      <c r="AED84" s="294"/>
      <c r="AEE84" s="294"/>
      <c r="AEF84" s="294"/>
      <c r="AEG84" s="294"/>
      <c r="AEH84" s="294"/>
      <c r="AEI84" s="294"/>
      <c r="AEJ84" s="294"/>
      <c r="AEK84" s="294"/>
      <c r="AEL84" s="294"/>
      <c r="AEM84" s="294"/>
      <c r="AEN84" s="294"/>
      <c r="AEO84" s="294"/>
      <c r="AEP84" s="294"/>
      <c r="AEQ84" s="294"/>
      <c r="AER84" s="294"/>
      <c r="AES84" s="294"/>
      <c r="AET84" s="294"/>
      <c r="AEU84" s="294"/>
      <c r="AEV84" s="294"/>
      <c r="AEW84" s="294"/>
      <c r="AEX84" s="294"/>
      <c r="AEY84" s="294"/>
      <c r="AEZ84" s="294"/>
      <c r="AFA84" s="294"/>
      <c r="AFB84" s="294"/>
      <c r="AFC84" s="294"/>
      <c r="AFD84" s="294"/>
      <c r="AFE84" s="294"/>
      <c r="AFF84" s="294"/>
      <c r="AFG84" s="294"/>
      <c r="AFH84" s="294"/>
      <c r="AFI84" s="294"/>
      <c r="AFJ84" s="294"/>
      <c r="AFK84" s="294"/>
      <c r="AFL84" s="294"/>
      <c r="AFM84" s="294"/>
      <c r="AFN84" s="294"/>
      <c r="AFO84" s="294"/>
      <c r="AFP84" s="294"/>
      <c r="AFQ84" s="294"/>
      <c r="AFR84" s="294"/>
      <c r="AFS84" s="294"/>
      <c r="AFT84" s="294"/>
      <c r="AFU84" s="294"/>
      <c r="AFV84" s="294"/>
      <c r="AFW84" s="294"/>
      <c r="AFX84" s="294"/>
      <c r="AFY84" s="294"/>
      <c r="AFZ84" s="294"/>
      <c r="AGA84" s="294"/>
      <c r="AGB84" s="294"/>
      <c r="AGC84" s="294"/>
      <c r="AGD84" s="294"/>
      <c r="AGE84" s="294"/>
      <c r="AGF84" s="294"/>
      <c r="AGG84" s="294"/>
      <c r="AGH84" s="294"/>
      <c r="AGI84" s="294"/>
      <c r="AGJ84" s="294"/>
      <c r="AGK84" s="294"/>
      <c r="AGL84" s="294"/>
      <c r="AGM84" s="294"/>
      <c r="AGN84" s="294"/>
      <c r="AGO84" s="294"/>
      <c r="AGP84" s="294"/>
      <c r="AGQ84" s="294"/>
      <c r="AGR84" s="294"/>
      <c r="AGS84" s="294"/>
      <c r="AGT84" s="294"/>
      <c r="AGU84" s="294"/>
      <c r="AGV84" s="294"/>
      <c r="AGW84" s="294"/>
      <c r="AGX84" s="294"/>
      <c r="AGY84" s="294"/>
      <c r="AGZ84" s="294"/>
      <c r="AHA84" s="294"/>
      <c r="AHB84" s="294"/>
      <c r="AHC84" s="294"/>
      <c r="AHD84" s="294"/>
      <c r="AHE84" s="294"/>
      <c r="AHF84" s="294"/>
      <c r="AHG84" s="294"/>
      <c r="AHH84" s="294"/>
      <c r="AHI84" s="294"/>
      <c r="AHJ84" s="294"/>
      <c r="AHK84" s="294"/>
      <c r="AHL84" s="294"/>
      <c r="AHM84" s="294"/>
      <c r="AHN84" s="294"/>
      <c r="AHO84" s="294"/>
      <c r="AHP84" s="294"/>
      <c r="AHQ84" s="294"/>
      <c r="AHR84" s="331"/>
      <c r="AHS84" s="294">
        <f t="shared" si="51"/>
        <v>-2093747.8599999999</v>
      </c>
      <c r="AHT84" s="269" t="b">
        <f t="shared" si="52"/>
        <v>1</v>
      </c>
      <c r="AHU84" s="269" t="s">
        <v>6278</v>
      </c>
      <c r="AHV84" s="269" t="s">
        <v>6111</v>
      </c>
      <c r="AHW84" s="269" t="s">
        <v>6112</v>
      </c>
    </row>
    <row r="85" spans="1:907" ht="24.6" x14ac:dyDescent="0.7">
      <c r="A85" s="268" t="s">
        <v>6278</v>
      </c>
      <c r="B85" s="268" t="s">
        <v>6113</v>
      </c>
      <c r="C85" s="269" t="s">
        <v>6114</v>
      </c>
      <c r="D85" s="294">
        <v>-31299.19</v>
      </c>
      <c r="E85" s="294"/>
      <c r="F85" s="294"/>
      <c r="G85" s="294"/>
      <c r="H85" s="294"/>
      <c r="I85" s="294"/>
      <c r="J85" s="294"/>
      <c r="K85" s="294"/>
      <c r="L85" s="294"/>
      <c r="M85" s="294">
        <v>-525272.80000000005</v>
      </c>
      <c r="N85" s="294">
        <v>-398150</v>
      </c>
      <c r="O85" s="294">
        <v>-199264.8</v>
      </c>
      <c r="P85" s="294"/>
      <c r="Q85" s="294">
        <v>-47412.2</v>
      </c>
      <c r="R85" s="294"/>
      <c r="S85" s="294">
        <v>-353300</v>
      </c>
      <c r="T85" s="294"/>
      <c r="U85" s="294"/>
      <c r="V85" s="294">
        <v>-3498.9</v>
      </c>
      <c r="W85" s="294"/>
      <c r="X85" s="294">
        <v>0</v>
      </c>
      <c r="Y85" s="294"/>
      <c r="Z85" s="294"/>
      <c r="AA85" s="294">
        <v>-169300</v>
      </c>
      <c r="AB85" s="294">
        <v>-3850</v>
      </c>
      <c r="AC85" s="294">
        <v>-3581130.84</v>
      </c>
      <c r="AD85" s="294">
        <v>-298300</v>
      </c>
      <c r="AE85" s="294">
        <v>-503953.71</v>
      </c>
      <c r="AF85" s="294">
        <v>-985893</v>
      </c>
      <c r="AG85" s="294">
        <v>-70572</v>
      </c>
      <c r="AH85" s="294">
        <v>-303668.42</v>
      </c>
      <c r="AI85" s="294"/>
      <c r="AJ85" s="294"/>
      <c r="AK85" s="294"/>
      <c r="AL85" s="294"/>
      <c r="AM85" s="294"/>
      <c r="AN85" s="294"/>
      <c r="AO85" s="294"/>
      <c r="AP85" s="294"/>
      <c r="AQ85" s="294">
        <v>-104657.44</v>
      </c>
      <c r="AR85" s="294">
        <v>-59468</v>
      </c>
      <c r="AS85" s="294">
        <v>-113040</v>
      </c>
      <c r="AT85" s="294">
        <v>-19354578.09</v>
      </c>
      <c r="AU85" s="294">
        <v>0</v>
      </c>
      <c r="AV85" s="294">
        <v>0</v>
      </c>
      <c r="AW85" s="294"/>
      <c r="AX85" s="294">
        <v>-1170722.58</v>
      </c>
      <c r="AY85" s="294">
        <v>-75185</v>
      </c>
      <c r="AZ85" s="294"/>
      <c r="BA85" s="294">
        <v>-9435</v>
      </c>
      <c r="BB85" s="294">
        <v>-1010</v>
      </c>
      <c r="BC85" s="294">
        <v>-7763.38</v>
      </c>
      <c r="BD85" s="294">
        <v>-19626</v>
      </c>
      <c r="BE85" s="294"/>
      <c r="BF85" s="294">
        <v>-1987438.12</v>
      </c>
      <c r="BG85" s="294"/>
      <c r="BH85" s="294"/>
      <c r="BI85" s="294">
        <v>-738374.26</v>
      </c>
      <c r="BJ85" s="294"/>
      <c r="BK85" s="294">
        <v>-147020</v>
      </c>
      <c r="BL85" s="294">
        <v>-52335</v>
      </c>
      <c r="BM85" s="294">
        <v>-7953.7</v>
      </c>
      <c r="BN85" s="294">
        <v>-4800</v>
      </c>
      <c r="BO85" s="294">
        <v>-270525.15000000002</v>
      </c>
      <c r="BP85" s="294"/>
      <c r="BQ85" s="294">
        <v>0</v>
      </c>
      <c r="BR85" s="294">
        <v>-335674</v>
      </c>
      <c r="BS85" s="294">
        <v>-32850</v>
      </c>
      <c r="BT85" s="294">
        <v>-77400</v>
      </c>
      <c r="BU85" s="294">
        <v>-322611.5</v>
      </c>
      <c r="BV85" s="294">
        <v>-116360</v>
      </c>
      <c r="BW85" s="294">
        <v>-60898.35</v>
      </c>
      <c r="BX85" s="294">
        <v>-117750</v>
      </c>
      <c r="BY85" s="294">
        <v>-30750</v>
      </c>
      <c r="BZ85" s="294"/>
      <c r="CA85" s="294">
        <v>-1514897.69</v>
      </c>
      <c r="CB85" s="294">
        <v>-2481047.1800000002</v>
      </c>
      <c r="CC85" s="294">
        <v>-866653.92</v>
      </c>
      <c r="CD85" s="294">
        <v>-86152</v>
      </c>
      <c r="CE85" s="294">
        <v>-459762.72</v>
      </c>
      <c r="CF85" s="294">
        <v>-85700</v>
      </c>
      <c r="CG85" s="294">
        <v>-47415.76</v>
      </c>
      <c r="CH85" s="294">
        <v>-136560</v>
      </c>
      <c r="CI85" s="294">
        <v>-43587</v>
      </c>
      <c r="CJ85" s="294">
        <v>-30420</v>
      </c>
      <c r="CK85" s="294">
        <v>-196802.04</v>
      </c>
      <c r="CL85" s="294">
        <v>-157450</v>
      </c>
      <c r="CM85" s="294">
        <v>-74456</v>
      </c>
      <c r="CN85" s="294">
        <v>-184190</v>
      </c>
      <c r="CO85" s="294">
        <v>-42720</v>
      </c>
      <c r="CP85" s="294">
        <v>-88640</v>
      </c>
      <c r="CQ85" s="294">
        <v>-75975</v>
      </c>
      <c r="CR85" s="294">
        <v>-94200</v>
      </c>
      <c r="CS85" s="294">
        <v>-90800</v>
      </c>
      <c r="CT85" s="294">
        <v>-709618.2</v>
      </c>
      <c r="CU85" s="294"/>
      <c r="CV85" s="294">
        <v>-69595</v>
      </c>
      <c r="CW85" s="294"/>
      <c r="CX85" s="294"/>
      <c r="CY85" s="294">
        <v>-310547.15000000002</v>
      </c>
      <c r="CZ85" s="294">
        <v>-25812.400000000001</v>
      </c>
      <c r="DA85" s="294">
        <v>-27300</v>
      </c>
      <c r="DB85" s="294">
        <v>-300846.40000000002</v>
      </c>
      <c r="DC85" s="294">
        <v>-1064981.5</v>
      </c>
      <c r="DD85" s="294">
        <v>-830671.19</v>
      </c>
      <c r="DE85" s="294">
        <v>-140666</v>
      </c>
      <c r="DF85" s="294">
        <v>-333006</v>
      </c>
      <c r="DG85" s="294">
        <v>-207550</v>
      </c>
      <c r="DH85" s="294">
        <v>-585493</v>
      </c>
      <c r="DI85" s="294">
        <v>-1126757.6000000001</v>
      </c>
      <c r="DJ85" s="294">
        <v>-168775</v>
      </c>
      <c r="DK85" s="294">
        <v>-1526813.6</v>
      </c>
      <c r="DL85" s="294"/>
      <c r="DM85" s="294">
        <v>-32050</v>
      </c>
      <c r="DN85" s="294">
        <v>-1620777</v>
      </c>
      <c r="DO85" s="294"/>
      <c r="DP85" s="294">
        <v>-134360</v>
      </c>
      <c r="DQ85" s="294">
        <v>-368422.8</v>
      </c>
      <c r="DR85" s="294">
        <v>-290575</v>
      </c>
      <c r="DS85" s="294">
        <v>-119760</v>
      </c>
      <c r="DT85" s="294">
        <v>-518979.56</v>
      </c>
      <c r="DU85" s="294">
        <v>-4049093.5</v>
      </c>
      <c r="DV85" s="294"/>
      <c r="DW85" s="294"/>
      <c r="DX85" s="294">
        <v>-3530520.4</v>
      </c>
      <c r="DY85" s="294">
        <v>-1180916.3999999999</v>
      </c>
      <c r="DZ85" s="294"/>
      <c r="EA85" s="294">
        <v>-90030</v>
      </c>
      <c r="EB85" s="294">
        <v>-265974</v>
      </c>
      <c r="EC85" s="294">
        <v>-187528.6</v>
      </c>
      <c r="ED85" s="294">
        <v>-98575</v>
      </c>
      <c r="EE85" s="294">
        <v>-283842.25</v>
      </c>
      <c r="EF85" s="294">
        <v>-6942081.8300000001</v>
      </c>
      <c r="EG85" s="294">
        <v>-839064.27</v>
      </c>
      <c r="EH85" s="294">
        <v>-1022996.63</v>
      </c>
      <c r="EI85" s="294">
        <v>-217075</v>
      </c>
      <c r="EJ85" s="294">
        <v>-453896.54</v>
      </c>
      <c r="EK85" s="294">
        <v>-112299.02</v>
      </c>
      <c r="EL85" s="294">
        <v>-51942</v>
      </c>
      <c r="EM85" s="294">
        <v>-112748</v>
      </c>
      <c r="EN85" s="294">
        <v>-19770.259999999998</v>
      </c>
      <c r="EO85" s="294">
        <v>-921978.25</v>
      </c>
      <c r="EP85" s="294">
        <v>-55400</v>
      </c>
      <c r="EQ85" s="294">
        <v>-702830.3</v>
      </c>
      <c r="ER85" s="294">
        <v>-111360</v>
      </c>
      <c r="ES85" s="294">
        <v>-48150</v>
      </c>
      <c r="ET85" s="294">
        <v>-466152</v>
      </c>
      <c r="EU85" s="294">
        <v>-26259.47</v>
      </c>
      <c r="EV85" s="294">
        <v>-1000092.1</v>
      </c>
      <c r="EW85" s="294">
        <v>-2973003.01</v>
      </c>
      <c r="EX85" s="294"/>
      <c r="EY85" s="294">
        <v>-51095</v>
      </c>
      <c r="EZ85" s="294">
        <v>-289843.34999999998</v>
      </c>
      <c r="FA85" s="294">
        <v>-300425</v>
      </c>
      <c r="FB85" s="294">
        <v>-2986641.5</v>
      </c>
      <c r="FC85" s="294">
        <v>-266775.59999999998</v>
      </c>
      <c r="FD85" s="294">
        <v>-2917940.82</v>
      </c>
      <c r="FE85" s="294">
        <v>-168500</v>
      </c>
      <c r="FF85" s="294"/>
      <c r="FG85" s="294">
        <v>-29501.8</v>
      </c>
      <c r="FH85" s="294">
        <v>-119034.5</v>
      </c>
      <c r="FI85" s="294">
        <v>-826320.92</v>
      </c>
      <c r="FJ85" s="294">
        <v>-33280</v>
      </c>
      <c r="FK85" s="294"/>
      <c r="FL85" s="294"/>
      <c r="FM85" s="294">
        <v>-1724402.4</v>
      </c>
      <c r="FN85" s="294">
        <v>-41250</v>
      </c>
      <c r="FO85" s="294"/>
      <c r="FP85" s="294"/>
      <c r="FQ85" s="294">
        <v>-44870</v>
      </c>
      <c r="FR85" s="294"/>
      <c r="FS85" s="294"/>
      <c r="FT85" s="294">
        <v>-89515</v>
      </c>
      <c r="FU85" s="294"/>
      <c r="FV85" s="294"/>
      <c r="FW85" s="294">
        <v>-343100.19</v>
      </c>
      <c r="FX85" s="294"/>
      <c r="FY85" s="294"/>
      <c r="FZ85" s="294"/>
      <c r="GA85" s="294">
        <v>-169975</v>
      </c>
      <c r="GB85" s="294">
        <v>-127075</v>
      </c>
      <c r="GC85" s="294">
        <v>-38900</v>
      </c>
      <c r="GD85" s="294">
        <v>-1733.4</v>
      </c>
      <c r="GE85" s="294">
        <v>-356029.01</v>
      </c>
      <c r="GF85" s="294">
        <v>-53550</v>
      </c>
      <c r="GG85" s="294">
        <v>-14962</v>
      </c>
      <c r="GH85" s="294">
        <v>-109293.66</v>
      </c>
      <c r="GI85" s="294">
        <v>-173475</v>
      </c>
      <c r="GJ85" s="294"/>
      <c r="GK85" s="294"/>
      <c r="GL85" s="294">
        <v>-105650</v>
      </c>
      <c r="GM85" s="294">
        <v>-10400</v>
      </c>
      <c r="GN85" s="294">
        <v>-30440</v>
      </c>
      <c r="GO85" s="294">
        <v>-64350</v>
      </c>
      <c r="GP85" s="294">
        <v>0</v>
      </c>
      <c r="GQ85" s="294">
        <v>-479564.95</v>
      </c>
      <c r="GR85" s="294">
        <v>-41850</v>
      </c>
      <c r="GS85" s="294">
        <v>-1380</v>
      </c>
      <c r="GT85" s="294">
        <v>-205520</v>
      </c>
      <c r="GU85" s="294">
        <v>-49900</v>
      </c>
      <c r="GV85" s="294">
        <v>-984621.9</v>
      </c>
      <c r="GW85" s="294">
        <v>-1199293.58</v>
      </c>
      <c r="GX85" s="294">
        <v>-980512.7</v>
      </c>
      <c r="GY85" s="294">
        <v>-11842812.689999999</v>
      </c>
      <c r="GZ85" s="294">
        <v>-693659.32</v>
      </c>
      <c r="HA85" s="294"/>
      <c r="HB85" s="294"/>
      <c r="HC85" s="294">
        <v>-45572129.039999999</v>
      </c>
      <c r="HD85" s="294">
        <v>-4328881.22</v>
      </c>
      <c r="HE85" s="294"/>
      <c r="HF85" s="294">
        <v>-47631.6</v>
      </c>
      <c r="HG85" s="294">
        <v>-81150</v>
      </c>
      <c r="HH85" s="294">
        <v>-1319834.77</v>
      </c>
      <c r="HI85" s="294"/>
      <c r="HJ85" s="294">
        <v>-23282003.370000001</v>
      </c>
      <c r="HK85" s="294">
        <v>-3845251.4</v>
      </c>
      <c r="HL85" s="294"/>
      <c r="HM85" s="294">
        <v>-776844.89</v>
      </c>
      <c r="HN85" s="294">
        <v>-1278538</v>
      </c>
      <c r="HO85" s="294"/>
      <c r="HP85" s="294">
        <v>-2463913.7000000002</v>
      </c>
      <c r="HQ85" s="294"/>
      <c r="HR85" s="294">
        <v>-704283.98</v>
      </c>
      <c r="HS85" s="294">
        <v>-451485</v>
      </c>
      <c r="HT85" s="294"/>
      <c r="HU85" s="294"/>
      <c r="HV85" s="294"/>
      <c r="HW85" s="294"/>
      <c r="HX85" s="294"/>
      <c r="HY85" s="294"/>
      <c r="HZ85" s="294"/>
      <c r="IA85" s="294"/>
      <c r="IB85" s="294"/>
      <c r="IC85" s="294"/>
      <c r="ID85" s="294"/>
      <c r="IE85" s="294"/>
      <c r="IF85" s="294"/>
      <c r="IG85" s="294"/>
      <c r="IH85" s="294">
        <v>-1471992.8</v>
      </c>
      <c r="II85" s="294"/>
      <c r="IJ85" s="294"/>
      <c r="IK85" s="294">
        <v>-258081.15</v>
      </c>
      <c r="IL85" s="294">
        <v>-296450</v>
      </c>
      <c r="IM85" s="294">
        <v>-1490679</v>
      </c>
      <c r="IN85" s="294"/>
      <c r="IO85" s="294"/>
      <c r="IP85" s="294"/>
      <c r="IQ85" s="294"/>
      <c r="IR85" s="294"/>
      <c r="IS85" s="294"/>
      <c r="IT85" s="294"/>
      <c r="IU85" s="294">
        <v>0</v>
      </c>
      <c r="IV85" s="294"/>
      <c r="IW85" s="294"/>
      <c r="IX85" s="294"/>
      <c r="IY85" s="294"/>
      <c r="IZ85" s="294"/>
      <c r="JA85" s="294">
        <v>-340839</v>
      </c>
      <c r="JB85" s="294">
        <v>-15250</v>
      </c>
      <c r="JC85" s="294">
        <v>-93565</v>
      </c>
      <c r="JD85" s="294"/>
      <c r="JE85" s="294">
        <v>-339698.05</v>
      </c>
      <c r="JF85" s="294"/>
      <c r="JG85" s="294">
        <v>-87225</v>
      </c>
      <c r="JH85" s="294"/>
      <c r="JI85" s="294"/>
      <c r="JJ85" s="294">
        <v>-199295</v>
      </c>
      <c r="JK85" s="294">
        <v>-500938.15</v>
      </c>
      <c r="JL85" s="294">
        <v>-49500</v>
      </c>
      <c r="JM85" s="294">
        <v>-200200</v>
      </c>
      <c r="JN85" s="294">
        <v>-313190</v>
      </c>
      <c r="JO85" s="294">
        <v>-166800</v>
      </c>
      <c r="JP85" s="294">
        <v>-431047</v>
      </c>
      <c r="JQ85" s="294">
        <v>-22510</v>
      </c>
      <c r="JR85" s="294">
        <v>-593490</v>
      </c>
      <c r="JS85" s="294"/>
      <c r="JT85" s="294"/>
      <c r="JU85" s="294">
        <v>-1037239.34</v>
      </c>
      <c r="JV85" s="294"/>
      <c r="JW85" s="294"/>
      <c r="JX85" s="294"/>
      <c r="JY85" s="294"/>
      <c r="JZ85" s="294"/>
      <c r="KA85" s="294"/>
      <c r="KB85" s="294"/>
      <c r="KC85" s="294"/>
      <c r="KD85" s="294"/>
      <c r="KE85" s="294"/>
      <c r="KF85" s="294"/>
      <c r="KG85" s="294"/>
      <c r="KH85" s="294">
        <v>-3323283.79</v>
      </c>
      <c r="KI85" s="294">
        <v>-59122.96</v>
      </c>
      <c r="KJ85" s="294"/>
      <c r="KK85" s="294">
        <v>-36174</v>
      </c>
      <c r="KL85" s="294">
        <v>0</v>
      </c>
      <c r="KM85" s="294"/>
      <c r="KN85" s="294"/>
      <c r="KO85" s="294">
        <v>-35900</v>
      </c>
      <c r="KP85" s="294">
        <v>-208506.15</v>
      </c>
      <c r="KQ85" s="294"/>
      <c r="KR85" s="294">
        <v>-94555</v>
      </c>
      <c r="KS85" s="294">
        <v>-103494.8</v>
      </c>
      <c r="KT85" s="294">
        <v>-387436.15</v>
      </c>
      <c r="KU85" s="294">
        <v>-22400</v>
      </c>
      <c r="KV85" s="294">
        <v>-25000</v>
      </c>
      <c r="KW85" s="294">
        <v>-11094690.74</v>
      </c>
      <c r="KX85" s="294">
        <v>-43425</v>
      </c>
      <c r="KY85" s="294"/>
      <c r="KZ85" s="294"/>
      <c r="LA85" s="294">
        <v>-122275</v>
      </c>
      <c r="LB85" s="294">
        <v>-758134</v>
      </c>
      <c r="LC85" s="294">
        <v>-422086.75</v>
      </c>
      <c r="LD85" s="294">
        <v>-103675</v>
      </c>
      <c r="LE85" s="294">
        <v>-253500</v>
      </c>
      <c r="LF85" s="294">
        <v>-112750</v>
      </c>
      <c r="LG85" s="294">
        <v>0</v>
      </c>
      <c r="LH85" s="294"/>
      <c r="LI85" s="294">
        <v>-113140.2</v>
      </c>
      <c r="LJ85" s="294"/>
      <c r="LK85" s="294"/>
      <c r="LL85" s="294"/>
      <c r="LM85" s="294">
        <v>-1224679</v>
      </c>
      <c r="LN85" s="294"/>
      <c r="LO85" s="294"/>
      <c r="LP85" s="294">
        <v>-43870</v>
      </c>
      <c r="LQ85" s="294"/>
      <c r="LR85" s="294">
        <v>-5596323.7400000002</v>
      </c>
      <c r="LS85" s="294"/>
      <c r="LT85" s="294"/>
      <c r="LU85" s="294">
        <v>-521735</v>
      </c>
      <c r="LV85" s="294">
        <v>-12253657.689999999</v>
      </c>
      <c r="LW85" s="294">
        <v>-15566771.16</v>
      </c>
      <c r="LX85" s="294">
        <v>-2611483.2200000002</v>
      </c>
      <c r="LY85" s="294"/>
      <c r="LZ85" s="294"/>
      <c r="MA85" s="294">
        <v>-1422834.92</v>
      </c>
      <c r="MB85" s="294">
        <v>-1327838.6599999999</v>
      </c>
      <c r="MC85" s="294"/>
      <c r="MD85" s="294">
        <v>-105950</v>
      </c>
      <c r="ME85" s="294">
        <v>-9638120.3499999996</v>
      </c>
      <c r="MF85" s="294">
        <v>-36920</v>
      </c>
      <c r="MG85" s="294">
        <v>-1214500.06</v>
      </c>
      <c r="MH85" s="294">
        <v>-81980</v>
      </c>
      <c r="MI85" s="294">
        <v>-1173160.28</v>
      </c>
      <c r="MJ85" s="294"/>
      <c r="MK85" s="294">
        <v>-44074.6</v>
      </c>
      <c r="ML85" s="294">
        <v>-60161.84</v>
      </c>
      <c r="MM85" s="294">
        <v>-75395</v>
      </c>
      <c r="MN85" s="294"/>
      <c r="MO85" s="294">
        <v>-2300</v>
      </c>
      <c r="MP85" s="294">
        <v>-68550</v>
      </c>
      <c r="MQ85" s="294">
        <v>-850699.37</v>
      </c>
      <c r="MR85" s="294">
        <v>-1312917.52</v>
      </c>
      <c r="MS85" s="294"/>
      <c r="MT85" s="294"/>
      <c r="MU85" s="294"/>
      <c r="MV85" s="294"/>
      <c r="MW85" s="294"/>
      <c r="MX85" s="294"/>
      <c r="MY85" s="294">
        <v>-1671989.6000999999</v>
      </c>
      <c r="MZ85" s="294">
        <v>-170750</v>
      </c>
      <c r="NA85" s="294">
        <v>-237644.79999999999</v>
      </c>
      <c r="NB85" s="294">
        <v>-103275</v>
      </c>
      <c r="NC85" s="294"/>
      <c r="ND85" s="294">
        <v>-1778535.75</v>
      </c>
      <c r="NE85" s="294">
        <v>-5645825.79</v>
      </c>
      <c r="NF85" s="294">
        <v>-495706.61</v>
      </c>
      <c r="NG85" s="294">
        <v>-488727.6</v>
      </c>
      <c r="NH85" s="294"/>
      <c r="NI85" s="294">
        <v>-35566.800000000003</v>
      </c>
      <c r="NJ85" s="294">
        <v>-1174391</v>
      </c>
      <c r="NK85" s="294">
        <v>-79189.899999999994</v>
      </c>
      <c r="NL85" s="294">
        <v>-335224.89</v>
      </c>
      <c r="NM85" s="294">
        <v>-2464130.39</v>
      </c>
      <c r="NN85" s="294">
        <v>-2079850.56</v>
      </c>
      <c r="NO85" s="294">
        <v>-1779344.69</v>
      </c>
      <c r="NP85" s="294"/>
      <c r="NQ85" s="294"/>
      <c r="NR85" s="294"/>
      <c r="NS85" s="294"/>
      <c r="NT85" s="294"/>
      <c r="NU85" s="294"/>
      <c r="NV85" s="294"/>
      <c r="NW85" s="294">
        <v>-3842987.4</v>
      </c>
      <c r="NX85" s="294">
        <v>-11381170.27</v>
      </c>
      <c r="NY85" s="294">
        <v>-862515.19</v>
      </c>
      <c r="NZ85" s="294"/>
      <c r="OA85" s="294">
        <v>-103150</v>
      </c>
      <c r="OB85" s="294"/>
      <c r="OC85" s="294"/>
      <c r="OD85" s="294">
        <v>0</v>
      </c>
      <c r="OE85" s="294">
        <v>-170535.15</v>
      </c>
      <c r="OF85" s="294">
        <v>-649927.82999999996</v>
      </c>
      <c r="OG85" s="294">
        <v>-263839.48</v>
      </c>
      <c r="OH85" s="294"/>
      <c r="OI85" s="294">
        <v>-505615.93</v>
      </c>
      <c r="OJ85" s="294"/>
      <c r="OK85" s="294"/>
      <c r="OL85" s="294"/>
      <c r="OM85" s="294">
        <v>-3161227.68</v>
      </c>
      <c r="ON85" s="294">
        <v>-237383.77</v>
      </c>
      <c r="OO85" s="294">
        <v>-10616273.560000001</v>
      </c>
      <c r="OP85" s="294"/>
      <c r="OQ85" s="294"/>
      <c r="OR85" s="294"/>
      <c r="OS85" s="294">
        <v>-3500</v>
      </c>
      <c r="OT85" s="294">
        <v>-45000</v>
      </c>
      <c r="OU85" s="294">
        <v>0</v>
      </c>
      <c r="OV85" s="294">
        <v>-3150</v>
      </c>
      <c r="OW85" s="294">
        <v>-56860</v>
      </c>
      <c r="OX85" s="294">
        <v>-266300</v>
      </c>
      <c r="OY85" s="294">
        <v>-161450</v>
      </c>
      <c r="OZ85" s="294"/>
      <c r="PA85" s="294">
        <v>-702241.04</v>
      </c>
      <c r="PB85" s="294">
        <v>-2059914.64</v>
      </c>
      <c r="PC85" s="294">
        <v>-24447</v>
      </c>
      <c r="PD85" s="294">
        <v>-364400</v>
      </c>
      <c r="PE85" s="294">
        <v>-1030790.78</v>
      </c>
      <c r="PF85" s="294">
        <v>-1118976.8799999999</v>
      </c>
      <c r="PG85" s="294">
        <v>-941026.59</v>
      </c>
      <c r="PH85" s="294">
        <v>-161800</v>
      </c>
      <c r="PI85" s="294">
        <v>-2267995.2999999998</v>
      </c>
      <c r="PJ85" s="294">
        <v>-210166.79</v>
      </c>
      <c r="PK85" s="294">
        <v>-107500</v>
      </c>
      <c r="PL85" s="294">
        <v>0</v>
      </c>
      <c r="PM85" s="294">
        <v>-376300.48</v>
      </c>
      <c r="PN85" s="294">
        <v>-1974951.3</v>
      </c>
      <c r="PO85" s="294">
        <v>-2962644.49</v>
      </c>
      <c r="PP85" s="294"/>
      <c r="PQ85" s="294">
        <v>-212827.81</v>
      </c>
      <c r="PR85" s="294">
        <v>-58100</v>
      </c>
      <c r="PS85" s="294">
        <v>-70000</v>
      </c>
      <c r="PT85" s="294">
        <v>-18815415.699999999</v>
      </c>
      <c r="PU85" s="294">
        <v>-3773745.17</v>
      </c>
      <c r="PV85" s="294">
        <v>-2844715.6</v>
      </c>
      <c r="PW85" s="294">
        <v>-288023.76</v>
      </c>
      <c r="PX85" s="294">
        <v>-2358944</v>
      </c>
      <c r="PY85" s="294"/>
      <c r="PZ85" s="294">
        <v>-907822</v>
      </c>
      <c r="QA85" s="294">
        <v>-106963.05</v>
      </c>
      <c r="QB85" s="294">
        <v>-6498219.2999999998</v>
      </c>
      <c r="QC85" s="294"/>
      <c r="QD85" s="294">
        <v>-2080901.15</v>
      </c>
      <c r="QE85" s="294">
        <v>-89350</v>
      </c>
      <c r="QF85" s="294">
        <v>-177600</v>
      </c>
      <c r="QG85" s="294">
        <v>-3442650.29</v>
      </c>
      <c r="QH85" s="294">
        <v>-16500</v>
      </c>
      <c r="QI85" s="294">
        <v>-609981.80000000005</v>
      </c>
      <c r="QJ85" s="294">
        <v>-102700</v>
      </c>
      <c r="QK85" s="294">
        <v>-317244</v>
      </c>
      <c r="QL85" s="294">
        <v>-90200</v>
      </c>
      <c r="QM85" s="294"/>
      <c r="QN85" s="294">
        <v>-703165.51</v>
      </c>
      <c r="QO85" s="294">
        <v>-22500</v>
      </c>
      <c r="QP85" s="294">
        <v>-16099.98</v>
      </c>
      <c r="QQ85" s="294"/>
      <c r="QR85" s="294">
        <v>-17334</v>
      </c>
      <c r="QS85" s="294">
        <v>-950760.87</v>
      </c>
      <c r="QT85" s="294">
        <v>-15083042.68</v>
      </c>
      <c r="QU85" s="294"/>
      <c r="QV85" s="294"/>
      <c r="QW85" s="294"/>
      <c r="QX85" s="294"/>
      <c r="QY85" s="294">
        <v>-411249.8</v>
      </c>
      <c r="QZ85" s="294"/>
      <c r="RA85" s="294"/>
      <c r="RB85" s="294">
        <v>-26656.799999999999</v>
      </c>
      <c r="RC85" s="294">
        <v>-1014083.13</v>
      </c>
      <c r="RD85" s="294">
        <v>0</v>
      </c>
      <c r="RE85" s="294">
        <v>-12500</v>
      </c>
      <c r="RF85" s="294">
        <v>-48200</v>
      </c>
      <c r="RG85" s="294">
        <v>-30737168.210000001</v>
      </c>
      <c r="RH85" s="294">
        <v>-292190</v>
      </c>
      <c r="RI85" s="294">
        <v>-907654</v>
      </c>
      <c r="RJ85" s="294">
        <v>-332167.76</v>
      </c>
      <c r="RK85" s="294">
        <v>-480078.59</v>
      </c>
      <c r="RL85" s="294">
        <v>-4567501.95</v>
      </c>
      <c r="RM85" s="294">
        <v>-7462496.5499999998</v>
      </c>
      <c r="RN85" s="294">
        <v>-272610</v>
      </c>
      <c r="RO85" s="294">
        <v>-438570.05</v>
      </c>
      <c r="RP85" s="294">
        <v>-429142</v>
      </c>
      <c r="RQ85" s="294">
        <v>-81411.83</v>
      </c>
      <c r="RR85" s="294">
        <v>-303337.88</v>
      </c>
      <c r="RS85" s="294">
        <v>-768552.47</v>
      </c>
      <c r="RT85" s="294">
        <v>-1969221.75</v>
      </c>
      <c r="RU85" s="294">
        <v>-1472068.15</v>
      </c>
      <c r="RV85" s="294">
        <v>-95520</v>
      </c>
      <c r="RW85" s="294">
        <v>-570715</v>
      </c>
      <c r="RX85" s="294">
        <v>-46500</v>
      </c>
      <c r="RY85" s="294">
        <v>-11000</v>
      </c>
      <c r="RZ85" s="294">
        <v>-59350</v>
      </c>
      <c r="SA85" s="294"/>
      <c r="SB85" s="294"/>
      <c r="SC85" s="294"/>
      <c r="SD85" s="294">
        <v>-149250</v>
      </c>
      <c r="SE85" s="294">
        <v>-163000</v>
      </c>
      <c r="SF85" s="294">
        <v>-2145362.9</v>
      </c>
      <c r="SG85" s="294">
        <v>-152700</v>
      </c>
      <c r="SH85" s="294">
        <v>-377585</v>
      </c>
      <c r="SI85" s="294">
        <v>-83400</v>
      </c>
      <c r="SJ85" s="294">
        <v>-14000</v>
      </c>
      <c r="SK85" s="294">
        <v>-657170</v>
      </c>
      <c r="SL85" s="294">
        <v>-29070.5</v>
      </c>
      <c r="SM85" s="294">
        <v>-1051068.7</v>
      </c>
      <c r="SN85" s="294">
        <v>-95000</v>
      </c>
      <c r="SO85" s="294">
        <v>-27600</v>
      </c>
      <c r="SP85" s="294">
        <v>-192997</v>
      </c>
      <c r="SQ85" s="294">
        <v>-81440</v>
      </c>
      <c r="SR85" s="294"/>
      <c r="SS85" s="294"/>
      <c r="ST85" s="294">
        <v>-104050</v>
      </c>
      <c r="SU85" s="294">
        <v>-35103254.130000003</v>
      </c>
      <c r="SV85" s="294"/>
      <c r="SW85" s="294"/>
      <c r="SX85" s="294"/>
      <c r="SY85" s="294"/>
      <c r="SZ85" s="294"/>
      <c r="TA85" s="294"/>
      <c r="TB85" s="294"/>
      <c r="TC85" s="294"/>
      <c r="TD85" s="294"/>
      <c r="TE85" s="294"/>
      <c r="TF85" s="294">
        <v>-2354</v>
      </c>
      <c r="TG85" s="294"/>
      <c r="TH85" s="294">
        <v>0</v>
      </c>
      <c r="TI85" s="294">
        <v>-1367486.18</v>
      </c>
      <c r="TJ85" s="294"/>
      <c r="TK85" s="294">
        <v>-74600</v>
      </c>
      <c r="TL85" s="294">
        <v>-444654.6</v>
      </c>
      <c r="TM85" s="294">
        <v>-710797</v>
      </c>
      <c r="TN85" s="294"/>
      <c r="TO85" s="294">
        <v>-30225</v>
      </c>
      <c r="TP85" s="294">
        <v>-5776376.8600000003</v>
      </c>
      <c r="TQ85" s="294">
        <v>-157409.4</v>
      </c>
      <c r="TR85" s="294">
        <v>-1403850.4</v>
      </c>
      <c r="TS85" s="294">
        <v>-96000</v>
      </c>
      <c r="TT85" s="294">
        <v>-120000</v>
      </c>
      <c r="TU85" s="294">
        <v>-56736.09</v>
      </c>
      <c r="TV85" s="294">
        <v>-53114</v>
      </c>
      <c r="TW85" s="294">
        <v>-238305</v>
      </c>
      <c r="TX85" s="294">
        <v>-24750</v>
      </c>
      <c r="TY85" s="294">
        <v>-788724.75</v>
      </c>
      <c r="TZ85" s="294"/>
      <c r="UA85" s="294">
        <v>-909177.3</v>
      </c>
      <c r="UB85" s="294">
        <v>-295600</v>
      </c>
      <c r="UC85" s="294">
        <v>-68250</v>
      </c>
      <c r="UD85" s="294">
        <v>-246165</v>
      </c>
      <c r="UE85" s="294">
        <v>-830990</v>
      </c>
      <c r="UF85" s="294"/>
      <c r="UG85" s="294"/>
      <c r="UH85" s="294">
        <v>-261700</v>
      </c>
      <c r="UI85" s="294"/>
      <c r="UJ85" s="294"/>
      <c r="UK85" s="294"/>
      <c r="UL85" s="294"/>
      <c r="UM85" s="294"/>
      <c r="UN85" s="294"/>
      <c r="UO85" s="294"/>
      <c r="UP85" s="294">
        <v>-757221.07</v>
      </c>
      <c r="UQ85" s="294">
        <v>-184550</v>
      </c>
      <c r="UR85" s="294">
        <v>-637540</v>
      </c>
      <c r="US85" s="294">
        <v>-71700</v>
      </c>
      <c r="UT85" s="294">
        <v>-7982</v>
      </c>
      <c r="UU85" s="294"/>
      <c r="UV85" s="294"/>
      <c r="UW85" s="294"/>
      <c r="UX85" s="294"/>
      <c r="UY85" s="294"/>
      <c r="UZ85" s="294"/>
      <c r="VA85" s="294">
        <v>-219220</v>
      </c>
      <c r="VB85" s="294">
        <v>-175200</v>
      </c>
      <c r="VC85" s="294"/>
      <c r="VD85" s="294"/>
      <c r="VE85" s="294">
        <v>-109950</v>
      </c>
      <c r="VF85" s="294">
        <v>-2500</v>
      </c>
      <c r="VG85" s="294">
        <v>-65260</v>
      </c>
      <c r="VH85" s="294"/>
      <c r="VI85" s="294"/>
      <c r="VJ85" s="294">
        <v>-40580</v>
      </c>
      <c r="VK85" s="294">
        <v>-3595.2</v>
      </c>
      <c r="VL85" s="294">
        <v>-1986781.31</v>
      </c>
      <c r="VM85" s="294">
        <v>-107550</v>
      </c>
      <c r="VN85" s="294">
        <v>-145490</v>
      </c>
      <c r="VO85" s="294">
        <v>-251020</v>
      </c>
      <c r="VP85" s="294">
        <v>-457449.4</v>
      </c>
      <c r="VQ85" s="294">
        <v>-546626.5</v>
      </c>
      <c r="VR85" s="294">
        <v>-368016.2</v>
      </c>
      <c r="VS85" s="294">
        <v>-112150</v>
      </c>
      <c r="VT85" s="294">
        <v>-176550</v>
      </c>
      <c r="VU85" s="294">
        <v>-780661.01</v>
      </c>
      <c r="VV85" s="294"/>
      <c r="VW85" s="294">
        <v>-550105.76</v>
      </c>
      <c r="VX85" s="294">
        <v>-482023.6</v>
      </c>
      <c r="VY85" s="294">
        <v>-65003.9</v>
      </c>
      <c r="VZ85" s="294">
        <v>-87500</v>
      </c>
      <c r="WA85" s="294">
        <v>-1461098.6</v>
      </c>
      <c r="WB85" s="294">
        <v>-306025</v>
      </c>
      <c r="WC85" s="294">
        <v>-160000</v>
      </c>
      <c r="WD85" s="294">
        <v>-77377.22</v>
      </c>
      <c r="WE85" s="294">
        <v>-18500</v>
      </c>
      <c r="WF85" s="294">
        <v>-209230</v>
      </c>
      <c r="WG85" s="294">
        <v>-442193.35</v>
      </c>
      <c r="WH85" s="294">
        <v>-188800</v>
      </c>
      <c r="WI85" s="294">
        <v>-270700</v>
      </c>
      <c r="WJ85" s="294">
        <v>-102681</v>
      </c>
      <c r="WK85" s="294">
        <v>-2529331.96</v>
      </c>
      <c r="WL85" s="294">
        <v>-378778.4</v>
      </c>
      <c r="WM85" s="294">
        <v>0</v>
      </c>
      <c r="WN85" s="294">
        <v>-329276.55</v>
      </c>
      <c r="WO85" s="294">
        <v>0</v>
      </c>
      <c r="WP85" s="294">
        <v>-585334.89</v>
      </c>
      <c r="WQ85" s="294">
        <v>-1669028.08</v>
      </c>
      <c r="WR85" s="294">
        <v>-1566020.3</v>
      </c>
      <c r="WS85" s="294">
        <v>-112640</v>
      </c>
      <c r="WT85" s="294">
        <v>-633288.54</v>
      </c>
      <c r="WU85" s="294">
        <v>-34660791.700000003</v>
      </c>
      <c r="WV85" s="294">
        <v>-271535</v>
      </c>
      <c r="WW85" s="294">
        <v>-159580</v>
      </c>
      <c r="WX85" s="294">
        <v>-55448.18</v>
      </c>
      <c r="WY85" s="294"/>
      <c r="WZ85" s="294">
        <v>-70460</v>
      </c>
      <c r="XA85" s="294">
        <v>-33423.85</v>
      </c>
      <c r="XB85" s="294">
        <v>-89190</v>
      </c>
      <c r="XC85" s="294">
        <v>-6807227.4000000004</v>
      </c>
      <c r="XD85" s="294">
        <v>-177441.32</v>
      </c>
      <c r="XE85" s="294">
        <v>-123217</v>
      </c>
      <c r="XF85" s="294">
        <v>-712241.55</v>
      </c>
      <c r="XG85" s="294">
        <v>-73620</v>
      </c>
      <c r="XH85" s="294">
        <v>-833277.4</v>
      </c>
      <c r="XI85" s="294">
        <v>-214213.2</v>
      </c>
      <c r="XJ85" s="294">
        <v>-501900</v>
      </c>
      <c r="XK85" s="294">
        <v>-1052519.0900000001</v>
      </c>
      <c r="XL85" s="294">
        <v>-103550</v>
      </c>
      <c r="XM85" s="294">
        <v>-165833.72</v>
      </c>
      <c r="XN85" s="294">
        <v>-875670</v>
      </c>
      <c r="XO85" s="294"/>
      <c r="XP85" s="294">
        <v>-142000</v>
      </c>
      <c r="XQ85" s="294">
        <v>-382586</v>
      </c>
      <c r="XR85" s="294">
        <v>-744140</v>
      </c>
      <c r="XS85" s="294">
        <v>-75200</v>
      </c>
      <c r="XT85" s="294">
        <v>-449004.9</v>
      </c>
      <c r="XU85" s="294">
        <v>-27500</v>
      </c>
      <c r="XV85" s="294">
        <v>-73130</v>
      </c>
      <c r="XW85" s="294">
        <v>-77700</v>
      </c>
      <c r="XX85" s="294">
        <v>-47050</v>
      </c>
      <c r="XY85" s="294">
        <v>-157294</v>
      </c>
      <c r="XZ85" s="294">
        <v>-69600</v>
      </c>
      <c r="YA85" s="294">
        <v>-50700</v>
      </c>
      <c r="YB85" s="294">
        <v>-42300</v>
      </c>
      <c r="YC85" s="294">
        <v>-24175</v>
      </c>
      <c r="YD85" s="294">
        <v>-54000</v>
      </c>
      <c r="YE85" s="294">
        <v>-373140.78</v>
      </c>
      <c r="YF85" s="294">
        <v>-155750</v>
      </c>
      <c r="YG85" s="294">
        <v>-500849.6</v>
      </c>
      <c r="YH85" s="294">
        <v>-61100</v>
      </c>
      <c r="YI85" s="294">
        <v>-2172780</v>
      </c>
      <c r="YJ85" s="294">
        <v>-138020</v>
      </c>
      <c r="YK85" s="294">
        <v>-453097.6</v>
      </c>
      <c r="YL85" s="294">
        <v>-95206</v>
      </c>
      <c r="YM85" s="294">
        <v>-1255934</v>
      </c>
      <c r="YN85" s="294">
        <v>-199900</v>
      </c>
      <c r="YO85" s="294">
        <v>-69627.199999999997</v>
      </c>
      <c r="YP85" s="294">
        <v>-217590</v>
      </c>
      <c r="YQ85" s="294">
        <v>-101300</v>
      </c>
      <c r="YR85" s="294">
        <v>-59950</v>
      </c>
      <c r="YS85" s="294">
        <v>-157320</v>
      </c>
      <c r="YT85" s="294">
        <v>-315934.09999999998</v>
      </c>
      <c r="YU85" s="294">
        <v>-71900</v>
      </c>
      <c r="YV85" s="294">
        <v>-904368.74</v>
      </c>
      <c r="YW85" s="294">
        <v>-113643.2</v>
      </c>
      <c r="YX85" s="294"/>
      <c r="YY85" s="294"/>
      <c r="YZ85" s="294"/>
      <c r="ZA85" s="294">
        <v>-23900</v>
      </c>
      <c r="ZB85" s="294"/>
      <c r="ZC85" s="294"/>
      <c r="ZD85" s="294">
        <v>-703151</v>
      </c>
      <c r="ZE85" s="294"/>
      <c r="ZF85" s="294">
        <v>-105430</v>
      </c>
      <c r="ZG85" s="294">
        <v>-130970</v>
      </c>
      <c r="ZH85" s="294"/>
      <c r="ZI85" s="294">
        <v>-44875</v>
      </c>
      <c r="ZJ85" s="294">
        <v>-57750</v>
      </c>
      <c r="ZK85" s="294"/>
      <c r="ZL85" s="294"/>
      <c r="ZM85" s="294">
        <v>-87542.399999999994</v>
      </c>
      <c r="ZN85" s="294">
        <v>-976323.84</v>
      </c>
      <c r="ZO85" s="294">
        <v>-257175</v>
      </c>
      <c r="ZP85" s="294">
        <v>-141160.79999999999</v>
      </c>
      <c r="ZQ85" s="294">
        <v>-103150</v>
      </c>
      <c r="ZR85" s="294">
        <v>-98353</v>
      </c>
      <c r="ZS85" s="294">
        <v>-294738.40000000002</v>
      </c>
      <c r="ZT85" s="294">
        <v>-176200</v>
      </c>
      <c r="ZU85" s="294">
        <v>-504430.89</v>
      </c>
      <c r="ZV85" s="294">
        <v>-29965.42</v>
      </c>
      <c r="ZW85" s="294">
        <v>-175900</v>
      </c>
      <c r="ZX85" s="294">
        <v>-138475</v>
      </c>
      <c r="ZY85" s="294">
        <v>-104175</v>
      </c>
      <c r="ZZ85" s="294">
        <v>-31953.599999999999</v>
      </c>
      <c r="AAA85" s="294">
        <v>-194525</v>
      </c>
      <c r="AAB85" s="294">
        <v>-162772.1</v>
      </c>
      <c r="AAC85" s="294">
        <v>-73264.399999999994</v>
      </c>
      <c r="AAD85" s="294">
        <v>-578526</v>
      </c>
      <c r="AAE85" s="294">
        <v>-67400</v>
      </c>
      <c r="AAF85" s="294">
        <v>-38250</v>
      </c>
      <c r="AAG85" s="294">
        <v>-32600</v>
      </c>
      <c r="AAH85" s="294">
        <v>-137783.75</v>
      </c>
      <c r="AAI85" s="294">
        <v>-458898</v>
      </c>
      <c r="AAJ85" s="294">
        <v>-692434.01</v>
      </c>
      <c r="AAK85" s="294">
        <v>-56500</v>
      </c>
      <c r="AAL85" s="294">
        <v>-165225</v>
      </c>
      <c r="AAM85" s="294"/>
      <c r="AAN85" s="294">
        <v>-26475</v>
      </c>
      <c r="AAO85" s="294">
        <v>-1294176.94</v>
      </c>
      <c r="AAP85" s="294">
        <v>-829861.93</v>
      </c>
      <c r="AAQ85" s="294">
        <v>-119400</v>
      </c>
      <c r="AAR85" s="294"/>
      <c r="AAS85" s="294">
        <v>-511900</v>
      </c>
      <c r="AAT85" s="294">
        <v>-119300</v>
      </c>
      <c r="AAU85" s="294">
        <v>-232960</v>
      </c>
      <c r="AAV85" s="294">
        <v>-5435265.1500000004</v>
      </c>
      <c r="AAW85" s="294">
        <v>-1717600</v>
      </c>
      <c r="AAX85" s="294">
        <v>-473519.5</v>
      </c>
      <c r="AAY85" s="294"/>
      <c r="AAZ85" s="294">
        <v>-2760494.9</v>
      </c>
      <c r="ABA85" s="294"/>
      <c r="ABB85" s="294">
        <v>-244925</v>
      </c>
      <c r="ABC85" s="294">
        <v>-342982</v>
      </c>
      <c r="ABD85" s="294">
        <v>-689250</v>
      </c>
      <c r="ABE85" s="294">
        <v>-996908.03</v>
      </c>
      <c r="ABF85" s="294">
        <v>-253020</v>
      </c>
      <c r="ABG85" s="294">
        <v>-106000</v>
      </c>
      <c r="ABH85" s="294">
        <v>-1486969.3</v>
      </c>
      <c r="ABI85" s="294">
        <v>-459817.5</v>
      </c>
      <c r="ABJ85" s="294">
        <v>-218760</v>
      </c>
      <c r="ABK85" s="294">
        <v>-1383596</v>
      </c>
      <c r="ABL85" s="294">
        <v>-2949148.88</v>
      </c>
      <c r="ABM85" s="294"/>
      <c r="ABN85" s="294"/>
      <c r="ABO85" s="294">
        <v>-15917697.5</v>
      </c>
      <c r="ABP85" s="294">
        <v>-1538824.8</v>
      </c>
      <c r="ABQ85" s="294">
        <v>-33800</v>
      </c>
      <c r="ABR85" s="294">
        <v>-320200</v>
      </c>
      <c r="ABS85" s="294"/>
      <c r="ABT85" s="294">
        <v>-102000</v>
      </c>
      <c r="ABU85" s="294">
        <v>0</v>
      </c>
      <c r="ABV85" s="294">
        <v>-99375</v>
      </c>
      <c r="ABW85" s="294"/>
      <c r="ABX85" s="294"/>
      <c r="ABY85" s="294"/>
      <c r="ABZ85" s="294"/>
      <c r="ACA85" s="294">
        <v>-12000</v>
      </c>
      <c r="ACB85" s="294">
        <v>-991689.87</v>
      </c>
      <c r="ACC85" s="294">
        <v>-494025</v>
      </c>
      <c r="ACD85" s="294">
        <v>-726942.16</v>
      </c>
      <c r="ACE85" s="294">
        <v>-99440</v>
      </c>
      <c r="ACF85" s="294">
        <v>-116875</v>
      </c>
      <c r="ACG85" s="294">
        <v>-2954746.42</v>
      </c>
      <c r="ACH85" s="294"/>
      <c r="ACI85" s="294"/>
      <c r="ACJ85" s="294"/>
      <c r="ACK85" s="294">
        <v>-2052296.12</v>
      </c>
      <c r="ACL85" s="294">
        <v>-3759926.14</v>
      </c>
      <c r="ACM85" s="294">
        <v>-692724.8</v>
      </c>
      <c r="ACN85" s="294"/>
      <c r="ACO85" s="294">
        <v>-63500</v>
      </c>
      <c r="ACP85" s="294"/>
      <c r="ACQ85" s="294">
        <v>-5662679.7300000004</v>
      </c>
      <c r="ACR85" s="294">
        <v>-137800</v>
      </c>
      <c r="ACS85" s="294">
        <v>-4001496.6</v>
      </c>
      <c r="ACT85" s="294">
        <v>-2448757.0499999998</v>
      </c>
      <c r="ACU85" s="294"/>
      <c r="ACV85" s="294"/>
      <c r="ACW85" s="294">
        <v>-870445.47</v>
      </c>
      <c r="ACX85" s="294">
        <v>-101878</v>
      </c>
      <c r="ACY85" s="294">
        <v>-162349.20000000001</v>
      </c>
      <c r="ACZ85" s="294">
        <v>-1233837.95</v>
      </c>
      <c r="ADA85" s="294">
        <v>-87350</v>
      </c>
      <c r="ADB85" s="294">
        <v>-11950</v>
      </c>
      <c r="ADC85" s="294">
        <v>-222963</v>
      </c>
      <c r="ADD85" s="294">
        <v>-75195</v>
      </c>
      <c r="ADE85" s="294">
        <v>-62250</v>
      </c>
      <c r="ADF85" s="294">
        <v>-5594064.54</v>
      </c>
      <c r="ADG85" s="294">
        <v>-448672.91</v>
      </c>
      <c r="ADH85" s="294"/>
      <c r="ADI85" s="294">
        <v>-6820</v>
      </c>
      <c r="ADJ85" s="294"/>
      <c r="ADK85" s="294"/>
      <c r="ADL85" s="294">
        <v>-5600</v>
      </c>
      <c r="ADM85" s="294">
        <v>-77400</v>
      </c>
      <c r="ADN85" s="294">
        <v>-168800</v>
      </c>
      <c r="ADO85" s="294">
        <v>-1008813.8</v>
      </c>
      <c r="ADP85" s="294">
        <v>-1842548.8</v>
      </c>
      <c r="ADQ85" s="294"/>
      <c r="ADR85" s="294">
        <v>-234071.8</v>
      </c>
      <c r="ADS85" s="294">
        <v>-1152651.8400000001</v>
      </c>
      <c r="ADT85" s="294"/>
      <c r="ADU85" s="294"/>
      <c r="ADV85" s="294"/>
      <c r="ADW85" s="294"/>
      <c r="ADX85" s="294"/>
      <c r="ADY85" s="294">
        <v>-5919240.5499999998</v>
      </c>
      <c r="ADZ85" s="294">
        <v>-332376.88</v>
      </c>
      <c r="AEA85" s="294">
        <v>-3639388.65</v>
      </c>
      <c r="AEB85" s="294">
        <v>-110395</v>
      </c>
      <c r="AEC85" s="294"/>
      <c r="AED85" s="294">
        <v>-252270</v>
      </c>
      <c r="AEE85" s="294">
        <v>-200900.15</v>
      </c>
      <c r="AEF85" s="294">
        <v>-62380</v>
      </c>
      <c r="AEG85" s="294"/>
      <c r="AEH85" s="294">
        <v>-9900</v>
      </c>
      <c r="AEI85" s="294">
        <v>-2983831.02</v>
      </c>
      <c r="AEJ85" s="294">
        <v>-864805.44</v>
      </c>
      <c r="AEK85" s="294">
        <v>-883442.37</v>
      </c>
      <c r="AEL85" s="294">
        <v>-1888221.16</v>
      </c>
      <c r="AEM85" s="294">
        <v>-73510</v>
      </c>
      <c r="AEN85" s="294">
        <v>-465856.4</v>
      </c>
      <c r="AEO85" s="294">
        <v>-361532.35</v>
      </c>
      <c r="AEP85" s="294">
        <v>-10755355.140000001</v>
      </c>
      <c r="AEQ85" s="294">
        <v>-32085</v>
      </c>
      <c r="AER85" s="294">
        <v>-3930615.64</v>
      </c>
      <c r="AES85" s="294">
        <v>-263166.09999999998</v>
      </c>
      <c r="AET85" s="294">
        <v>-217662</v>
      </c>
      <c r="AEU85" s="294">
        <v>-44865</v>
      </c>
      <c r="AEV85" s="294">
        <v>-1802753.91</v>
      </c>
      <c r="AEW85" s="294">
        <v>-102215</v>
      </c>
      <c r="AEX85" s="294">
        <v>-736289.5</v>
      </c>
      <c r="AEY85" s="294">
        <v>-107440</v>
      </c>
      <c r="AEZ85" s="294">
        <v>-590195</v>
      </c>
      <c r="AFA85" s="294">
        <v>-104337.60000000001</v>
      </c>
      <c r="AFB85" s="294">
        <v>-80227.600000000006</v>
      </c>
      <c r="AFC85" s="294">
        <v>-4220822.3499999996</v>
      </c>
      <c r="AFD85" s="294"/>
      <c r="AFE85" s="294">
        <v>-90000</v>
      </c>
      <c r="AFF85" s="294">
        <v>-160560</v>
      </c>
      <c r="AFG85" s="294"/>
      <c r="AFH85" s="294">
        <v>-34500</v>
      </c>
      <c r="AFI85" s="294"/>
      <c r="AFJ85" s="294">
        <v>-72930</v>
      </c>
      <c r="AFK85" s="294">
        <v>-114650</v>
      </c>
      <c r="AFL85" s="294">
        <v>-138650</v>
      </c>
      <c r="AFM85" s="294"/>
      <c r="AFN85" s="294"/>
      <c r="AFO85" s="294"/>
      <c r="AFP85" s="294">
        <v>-662536.31999999995</v>
      </c>
      <c r="AFQ85" s="294">
        <v>-1602099.09</v>
      </c>
      <c r="AFR85" s="294">
        <v>-5578058.4000000004</v>
      </c>
      <c r="AFS85" s="294">
        <v>-1256974.55</v>
      </c>
      <c r="AFT85" s="294">
        <v>-138540</v>
      </c>
      <c r="AFU85" s="294">
        <v>-46700</v>
      </c>
      <c r="AFV85" s="294">
        <v>-55500</v>
      </c>
      <c r="AFW85" s="294">
        <v>-77657.899999999994</v>
      </c>
      <c r="AFX85" s="294">
        <v>-131010</v>
      </c>
      <c r="AFY85" s="294">
        <v>-747050.4</v>
      </c>
      <c r="AFZ85" s="294">
        <v>-6680937.3799999999</v>
      </c>
      <c r="AGA85" s="294">
        <v>-88320</v>
      </c>
      <c r="AGB85" s="294">
        <v>-6078621.9000000004</v>
      </c>
      <c r="AGC85" s="294">
        <v>-69175</v>
      </c>
      <c r="AGD85" s="294"/>
      <c r="AGE85" s="294">
        <v>-49579.5</v>
      </c>
      <c r="AGF85" s="294">
        <v>-20725</v>
      </c>
      <c r="AGG85" s="294">
        <v>-232821.5</v>
      </c>
      <c r="AGH85" s="294">
        <v>-74155.08</v>
      </c>
      <c r="AGI85" s="294">
        <v>-214124.5</v>
      </c>
      <c r="AGJ85" s="294">
        <v>-51525</v>
      </c>
      <c r="AGK85" s="294">
        <v>-39640.5</v>
      </c>
      <c r="AGL85" s="294">
        <v>-124185.02</v>
      </c>
      <c r="AGM85" s="294">
        <v>-516834.27</v>
      </c>
      <c r="AGN85" s="294">
        <v>-212510.72</v>
      </c>
      <c r="AGO85" s="294">
        <v>-1063254.3999999999</v>
      </c>
      <c r="AGP85" s="294">
        <v>-633473.76</v>
      </c>
      <c r="AGQ85" s="294">
        <v>-2019342.29</v>
      </c>
      <c r="AGR85" s="294">
        <v>-2191142.2400000002</v>
      </c>
      <c r="AGS85" s="294">
        <v>-160248.44</v>
      </c>
      <c r="AGT85" s="294">
        <v>-521067.5</v>
      </c>
      <c r="AGU85" s="294"/>
      <c r="AGV85" s="294"/>
      <c r="AGW85" s="294">
        <v>-1035939.19</v>
      </c>
      <c r="AGX85" s="294">
        <v>-186500</v>
      </c>
      <c r="AGY85" s="294">
        <v>-234208.08</v>
      </c>
      <c r="AGZ85" s="294"/>
      <c r="AHA85" s="294">
        <v>-133600</v>
      </c>
      <c r="AHB85" s="294"/>
      <c r="AHC85" s="294">
        <v>-75660</v>
      </c>
      <c r="AHD85" s="294">
        <v>-142571</v>
      </c>
      <c r="AHE85" s="294"/>
      <c r="AHF85" s="294">
        <v>-42250</v>
      </c>
      <c r="AHG85" s="294">
        <v>-96753.37</v>
      </c>
      <c r="AHH85" s="294">
        <v>-105711</v>
      </c>
      <c r="AHI85" s="294"/>
      <c r="AHJ85" s="294">
        <v>-239796.04</v>
      </c>
      <c r="AHK85" s="294">
        <v>-40740</v>
      </c>
      <c r="AHL85" s="294">
        <v>-302289.58</v>
      </c>
      <c r="AHM85" s="294">
        <v>-73000</v>
      </c>
      <c r="AHN85" s="294"/>
      <c r="AHO85" s="294">
        <v>-56600</v>
      </c>
      <c r="AHP85" s="294">
        <v>-179466.22</v>
      </c>
      <c r="AHQ85" s="294">
        <v>-35127.5</v>
      </c>
      <c r="AHR85" s="331">
        <v>-134100</v>
      </c>
      <c r="AHS85" s="294">
        <f t="shared" si="51"/>
        <v>-737769010.06009972</v>
      </c>
      <c r="AHT85" s="269" t="b">
        <f t="shared" si="52"/>
        <v>1</v>
      </c>
      <c r="AHU85" s="269" t="s">
        <v>6278</v>
      </c>
      <c r="AHV85" s="269" t="s">
        <v>6113</v>
      </c>
      <c r="AHW85" s="269" t="s">
        <v>6114</v>
      </c>
    </row>
    <row r="86" spans="1:907" ht="24.6" x14ac:dyDescent="0.7">
      <c r="A86" s="268" t="s">
        <v>6278</v>
      </c>
      <c r="B86" s="268" t="s">
        <v>6115</v>
      </c>
      <c r="C86" s="269" t="s">
        <v>6116</v>
      </c>
      <c r="D86" s="294">
        <v>-72629</v>
      </c>
      <c r="E86" s="294">
        <v>-511652.8</v>
      </c>
      <c r="F86" s="294">
        <v>-841749</v>
      </c>
      <c r="G86" s="294">
        <v>-72838.5</v>
      </c>
      <c r="H86" s="294">
        <v>-676663</v>
      </c>
      <c r="I86" s="294">
        <v>-44198.51</v>
      </c>
      <c r="J86" s="294">
        <v>-220384.5</v>
      </c>
      <c r="K86" s="294">
        <v>-42570</v>
      </c>
      <c r="L86" s="294">
        <v>-287942.84999999998</v>
      </c>
      <c r="M86" s="294">
        <v>-603396.46</v>
      </c>
      <c r="N86" s="294">
        <v>-638490.43000000005</v>
      </c>
      <c r="O86" s="294">
        <v>-25538.06</v>
      </c>
      <c r="P86" s="294">
        <v>-1483722.64</v>
      </c>
      <c r="Q86" s="294">
        <v>-93210.54</v>
      </c>
      <c r="R86" s="294">
        <v>-62855.75</v>
      </c>
      <c r="S86" s="294">
        <v>-378400</v>
      </c>
      <c r="T86" s="294">
        <v>-134119.91</v>
      </c>
      <c r="U86" s="294">
        <v>-88655.6</v>
      </c>
      <c r="V86" s="294">
        <v>-3400</v>
      </c>
      <c r="W86" s="294">
        <v>-197509.97</v>
      </c>
      <c r="X86" s="294">
        <v>-23710</v>
      </c>
      <c r="Y86" s="294">
        <v>-2740</v>
      </c>
      <c r="Z86" s="294">
        <v>-373790.75</v>
      </c>
      <c r="AA86" s="294">
        <v>-423564.3</v>
      </c>
      <c r="AB86" s="294">
        <v>-301534.51</v>
      </c>
      <c r="AC86" s="294">
        <v>-4208349.6500000004</v>
      </c>
      <c r="AD86" s="294">
        <v>-247997.95</v>
      </c>
      <c r="AE86" s="294">
        <v>-402165</v>
      </c>
      <c r="AF86" s="294">
        <v>-254531.52</v>
      </c>
      <c r="AG86" s="294">
        <v>-89157.06</v>
      </c>
      <c r="AH86" s="294">
        <v>-515647</v>
      </c>
      <c r="AI86" s="294">
        <v>-545633.65</v>
      </c>
      <c r="AJ86" s="294">
        <v>-184375</v>
      </c>
      <c r="AK86" s="294">
        <v>-81472.179999999993</v>
      </c>
      <c r="AL86" s="294">
        <v>-475110.7</v>
      </c>
      <c r="AM86" s="294">
        <v>-102544.11</v>
      </c>
      <c r="AN86" s="294"/>
      <c r="AO86" s="294">
        <v>-135045.91</v>
      </c>
      <c r="AP86" s="294">
        <v>-411294.89</v>
      </c>
      <c r="AQ86" s="294">
        <v>-146994.85999999999</v>
      </c>
      <c r="AR86" s="294">
        <v>-220293.34</v>
      </c>
      <c r="AS86" s="294">
        <v>-172058</v>
      </c>
      <c r="AT86" s="294">
        <v>-1799408.27</v>
      </c>
      <c r="AU86" s="294">
        <v>0</v>
      </c>
      <c r="AV86" s="294">
        <v>-32600.92</v>
      </c>
      <c r="AW86" s="294">
        <v>-223172.36</v>
      </c>
      <c r="AX86" s="294">
        <v>-244085.28</v>
      </c>
      <c r="AY86" s="294">
        <v>-194649.05</v>
      </c>
      <c r="AZ86" s="294">
        <v>-42048.83</v>
      </c>
      <c r="BA86" s="294">
        <v>-4000</v>
      </c>
      <c r="BB86" s="294">
        <v>-19084.8</v>
      </c>
      <c r="BC86" s="294">
        <v>-4996.66</v>
      </c>
      <c r="BD86" s="294">
        <v>-47177.9</v>
      </c>
      <c r="BE86" s="294"/>
      <c r="BF86" s="294">
        <v>-339186.2</v>
      </c>
      <c r="BG86" s="294">
        <v>0</v>
      </c>
      <c r="BH86" s="294">
        <v>-103795.09</v>
      </c>
      <c r="BI86" s="294">
        <v>-415527</v>
      </c>
      <c r="BJ86" s="294">
        <v>-253779</v>
      </c>
      <c r="BK86" s="294">
        <v>-346052.95</v>
      </c>
      <c r="BL86" s="294">
        <v>-29492.98</v>
      </c>
      <c r="BM86" s="294">
        <v>-257460.41</v>
      </c>
      <c r="BN86" s="294">
        <v>-127874.82</v>
      </c>
      <c r="BO86" s="294">
        <v>-39946.9</v>
      </c>
      <c r="BP86" s="294"/>
      <c r="BQ86" s="294">
        <v>-20095.91</v>
      </c>
      <c r="BR86" s="294">
        <v>-360469.86</v>
      </c>
      <c r="BS86" s="294">
        <v>-67829.3</v>
      </c>
      <c r="BT86" s="294">
        <v>-5942.14</v>
      </c>
      <c r="BU86" s="294">
        <v>-191693.32</v>
      </c>
      <c r="BV86" s="294">
        <v>-213989.45</v>
      </c>
      <c r="BW86" s="294">
        <v>-80967.259999999995</v>
      </c>
      <c r="BX86" s="294">
        <v>-36917.08</v>
      </c>
      <c r="BY86" s="294">
        <v>-21031.33</v>
      </c>
      <c r="BZ86" s="294">
        <v>-509252.55</v>
      </c>
      <c r="CA86" s="294">
        <v>-502445.08</v>
      </c>
      <c r="CB86" s="294">
        <v>-483040.26</v>
      </c>
      <c r="CC86" s="294">
        <v>-306686.78999999998</v>
      </c>
      <c r="CD86" s="294">
        <v>-110772.78</v>
      </c>
      <c r="CE86" s="294">
        <v>-178987.14</v>
      </c>
      <c r="CF86" s="294">
        <v>-233456.05</v>
      </c>
      <c r="CG86" s="294">
        <v>-16820</v>
      </c>
      <c r="CH86" s="294">
        <v>-52935</v>
      </c>
      <c r="CI86" s="294">
        <v>-823946.53</v>
      </c>
      <c r="CJ86" s="294">
        <v>-154821.92000000001</v>
      </c>
      <c r="CK86" s="294">
        <v>-162852.6</v>
      </c>
      <c r="CL86" s="294">
        <v>-44208.68</v>
      </c>
      <c r="CM86" s="294">
        <v>-47290.720000000001</v>
      </c>
      <c r="CN86" s="294">
        <v>-196044.27</v>
      </c>
      <c r="CO86" s="294">
        <v>-9095.15</v>
      </c>
      <c r="CP86" s="294">
        <v>-65310.8</v>
      </c>
      <c r="CQ86" s="294">
        <v>-113508.69</v>
      </c>
      <c r="CR86" s="294">
        <v>-157146.85</v>
      </c>
      <c r="CS86" s="294">
        <v>-43804.75</v>
      </c>
      <c r="CT86" s="294">
        <v>-366655.04</v>
      </c>
      <c r="CU86" s="294">
        <v>-67162.509999999995</v>
      </c>
      <c r="CV86" s="294">
        <v>-231808.81</v>
      </c>
      <c r="CW86" s="294">
        <v>-380901.17</v>
      </c>
      <c r="CX86" s="294">
        <v>-11830</v>
      </c>
      <c r="CY86" s="294">
        <v>-566013.94999999995</v>
      </c>
      <c r="CZ86" s="294">
        <v>-113501.11</v>
      </c>
      <c r="DA86" s="294">
        <v>-59622.8</v>
      </c>
      <c r="DB86" s="294">
        <v>-258971.75</v>
      </c>
      <c r="DC86" s="294">
        <v>-879071</v>
      </c>
      <c r="DD86" s="294">
        <v>-264794.89</v>
      </c>
      <c r="DE86" s="294">
        <v>-507605.3</v>
      </c>
      <c r="DF86" s="294">
        <v>-93743.72</v>
      </c>
      <c r="DG86" s="294">
        <v>0</v>
      </c>
      <c r="DH86" s="294">
        <v>-82202.2</v>
      </c>
      <c r="DI86" s="294">
        <v>-173394.4</v>
      </c>
      <c r="DJ86" s="294">
        <v>-242660.88</v>
      </c>
      <c r="DK86" s="294">
        <v>-128595.1</v>
      </c>
      <c r="DL86" s="294">
        <v>-208550.5</v>
      </c>
      <c r="DM86" s="294">
        <v>-115094</v>
      </c>
      <c r="DN86" s="294">
        <v>-73639.45</v>
      </c>
      <c r="DO86" s="294">
        <v>-200737.13</v>
      </c>
      <c r="DP86" s="294">
        <v>-103468.39</v>
      </c>
      <c r="DQ86" s="294">
        <v>-882044.77</v>
      </c>
      <c r="DR86" s="294">
        <v>-139676.72</v>
      </c>
      <c r="DS86" s="294">
        <v>-226026</v>
      </c>
      <c r="DT86" s="294">
        <v>-49140</v>
      </c>
      <c r="DU86" s="294">
        <v>0</v>
      </c>
      <c r="DV86" s="294">
        <v>-204544.4</v>
      </c>
      <c r="DW86" s="294">
        <v>-84965</v>
      </c>
      <c r="DX86" s="294">
        <v>-235130.34</v>
      </c>
      <c r="DY86" s="294">
        <v>-158658.57</v>
      </c>
      <c r="DZ86" s="294">
        <v>-223540.02</v>
      </c>
      <c r="EA86" s="294">
        <v>-48849</v>
      </c>
      <c r="EB86" s="294">
        <v>-347323</v>
      </c>
      <c r="EC86" s="294">
        <v>-379320.06</v>
      </c>
      <c r="ED86" s="294">
        <v>-553661.9</v>
      </c>
      <c r="EE86" s="294">
        <v>-10400</v>
      </c>
      <c r="EF86" s="294">
        <v>-13200</v>
      </c>
      <c r="EG86" s="294">
        <v>-75400.88</v>
      </c>
      <c r="EH86" s="294">
        <v>-322741.13</v>
      </c>
      <c r="EI86" s="294">
        <v>-306139.18</v>
      </c>
      <c r="EJ86" s="294">
        <v>-154390.70000000001</v>
      </c>
      <c r="EK86" s="294">
        <v>-555882.48</v>
      </c>
      <c r="EL86" s="294">
        <v>-208415</v>
      </c>
      <c r="EM86" s="294">
        <v>-183780.82</v>
      </c>
      <c r="EN86" s="294"/>
      <c r="EO86" s="294">
        <v>-719205.64</v>
      </c>
      <c r="EP86" s="294">
        <v>-121228.31</v>
      </c>
      <c r="EQ86" s="294">
        <v>-130367.45</v>
      </c>
      <c r="ER86" s="294">
        <v>-259340.74</v>
      </c>
      <c r="ES86" s="294">
        <v>-214093.98</v>
      </c>
      <c r="ET86" s="294">
        <v>-499084.2</v>
      </c>
      <c r="EU86" s="294">
        <v>-543539.37</v>
      </c>
      <c r="EV86" s="294">
        <v>-238004.6</v>
      </c>
      <c r="EW86" s="294">
        <v>-1594508.65</v>
      </c>
      <c r="EX86" s="294">
        <v>-24650</v>
      </c>
      <c r="EY86" s="294">
        <v>-92428.95</v>
      </c>
      <c r="EZ86" s="294">
        <v>-814650.51</v>
      </c>
      <c r="FA86" s="294">
        <v>-33074</v>
      </c>
      <c r="FB86" s="294">
        <v>-115376.74</v>
      </c>
      <c r="FC86" s="294">
        <v>-198170.76</v>
      </c>
      <c r="FD86" s="294">
        <v>-30450.84</v>
      </c>
      <c r="FE86" s="294">
        <v>-136754.12</v>
      </c>
      <c r="FF86" s="294">
        <v>-23571.95</v>
      </c>
      <c r="FG86" s="294">
        <v>-35107.47</v>
      </c>
      <c r="FH86" s="294">
        <v>-78877.05</v>
      </c>
      <c r="FI86" s="294">
        <v>-546262.18000000005</v>
      </c>
      <c r="FJ86" s="294">
        <v>-71480.33</v>
      </c>
      <c r="FK86" s="294">
        <v>0</v>
      </c>
      <c r="FL86" s="294">
        <v>-104177.8</v>
      </c>
      <c r="FM86" s="294">
        <v>-374648.16</v>
      </c>
      <c r="FN86" s="294">
        <v>-132606.39999999999</v>
      </c>
      <c r="FO86" s="294">
        <v>-17722</v>
      </c>
      <c r="FP86" s="294">
        <v>-9643.9599999999991</v>
      </c>
      <c r="FQ86" s="294">
        <v>-15533.99</v>
      </c>
      <c r="FR86" s="294">
        <v>-331541.09999999998</v>
      </c>
      <c r="FS86" s="294">
        <v>-66133.399999999994</v>
      </c>
      <c r="FT86" s="294">
        <v>-65715.600000000006</v>
      </c>
      <c r="FU86" s="294">
        <v>-48185</v>
      </c>
      <c r="FV86" s="294">
        <v>-18240</v>
      </c>
      <c r="FW86" s="294">
        <v>-442322.35</v>
      </c>
      <c r="FX86" s="294">
        <v>-592942.49</v>
      </c>
      <c r="FY86" s="294">
        <v>-56667.9</v>
      </c>
      <c r="FZ86" s="294">
        <v>-87797.55</v>
      </c>
      <c r="GA86" s="294">
        <v>-436210.38</v>
      </c>
      <c r="GB86" s="294">
        <v>-202597.01</v>
      </c>
      <c r="GC86" s="294">
        <v>-230435.62</v>
      </c>
      <c r="GD86" s="294">
        <v>-63060</v>
      </c>
      <c r="GE86" s="294">
        <v>-24334.400000000001</v>
      </c>
      <c r="GF86" s="294">
        <v>-138037.75</v>
      </c>
      <c r="GG86" s="294">
        <v>-47880</v>
      </c>
      <c r="GH86" s="294">
        <v>-268011.28000000003</v>
      </c>
      <c r="GI86" s="294">
        <v>-197941.94</v>
      </c>
      <c r="GJ86" s="294">
        <v>-21510.81</v>
      </c>
      <c r="GK86" s="294">
        <v>-35103</v>
      </c>
      <c r="GL86" s="294">
        <v>-115912.02</v>
      </c>
      <c r="GM86" s="294"/>
      <c r="GN86" s="294">
        <v>-36010.949999999997</v>
      </c>
      <c r="GO86" s="294">
        <v>-42024.1</v>
      </c>
      <c r="GP86" s="294">
        <v>-49397.69</v>
      </c>
      <c r="GQ86" s="294">
        <v>-419104.36</v>
      </c>
      <c r="GR86" s="294">
        <v>-176737.45</v>
      </c>
      <c r="GS86" s="294">
        <v>-89533.34</v>
      </c>
      <c r="GT86" s="294">
        <v>-42590</v>
      </c>
      <c r="GU86" s="294"/>
      <c r="GV86" s="294">
        <v>-37871</v>
      </c>
      <c r="GW86" s="294">
        <v>-42705.7</v>
      </c>
      <c r="GX86" s="294">
        <v>-53637.83</v>
      </c>
      <c r="GY86" s="294">
        <v>-491634.21</v>
      </c>
      <c r="GZ86" s="294">
        <v>-58831.26</v>
      </c>
      <c r="HA86" s="294">
        <v>-73825.600000000006</v>
      </c>
      <c r="HB86" s="294">
        <v>-45041</v>
      </c>
      <c r="HC86" s="294">
        <v>-1662200.79</v>
      </c>
      <c r="HD86" s="294">
        <v>-2511673.14</v>
      </c>
      <c r="HE86" s="294">
        <v>-38642.400000000001</v>
      </c>
      <c r="HF86" s="294">
        <v>-54810</v>
      </c>
      <c r="HG86" s="294">
        <v>-39539</v>
      </c>
      <c r="HH86" s="294">
        <v>-677344.04</v>
      </c>
      <c r="HI86" s="294">
        <v>-16440</v>
      </c>
      <c r="HJ86" s="294"/>
      <c r="HK86" s="294">
        <v>-166081</v>
      </c>
      <c r="HL86" s="294">
        <v>-122913</v>
      </c>
      <c r="HM86" s="294">
        <v>-474551.63</v>
      </c>
      <c r="HN86" s="294">
        <v>-368800</v>
      </c>
      <c r="HO86" s="294">
        <v>-40403.57</v>
      </c>
      <c r="HP86" s="294">
        <v>-124623</v>
      </c>
      <c r="HQ86" s="294">
        <v>-258868.96</v>
      </c>
      <c r="HR86" s="294">
        <v>-78053.740000000005</v>
      </c>
      <c r="HS86" s="294">
        <v>-213498.26</v>
      </c>
      <c r="HT86" s="294">
        <v>-166020</v>
      </c>
      <c r="HU86" s="294">
        <v>-148063.16</v>
      </c>
      <c r="HV86" s="294">
        <v>-52405</v>
      </c>
      <c r="HW86" s="294">
        <v>-74260.5</v>
      </c>
      <c r="HX86" s="294">
        <v>-456982.51</v>
      </c>
      <c r="HY86" s="294">
        <v>-299158.95</v>
      </c>
      <c r="HZ86" s="294">
        <v>-155240.81</v>
      </c>
      <c r="IA86" s="294">
        <v>-176517.5</v>
      </c>
      <c r="IB86" s="294">
        <v>-168131.58</v>
      </c>
      <c r="IC86" s="294">
        <v>-360746.18</v>
      </c>
      <c r="ID86" s="294">
        <v>-35441.440000000002</v>
      </c>
      <c r="IE86" s="294">
        <v>-61205.120000000003</v>
      </c>
      <c r="IF86" s="294">
        <v>-170451.59</v>
      </c>
      <c r="IG86" s="294">
        <v>-18732</v>
      </c>
      <c r="IH86" s="294">
        <v>-253233</v>
      </c>
      <c r="II86" s="294">
        <v>0</v>
      </c>
      <c r="IJ86" s="294">
        <v>0</v>
      </c>
      <c r="IK86" s="294">
        <v>-160350.20000000001</v>
      </c>
      <c r="IL86" s="294">
        <v>-638276.88</v>
      </c>
      <c r="IM86" s="294">
        <v>-86575</v>
      </c>
      <c r="IN86" s="294">
        <v>-53010.74</v>
      </c>
      <c r="IO86" s="294">
        <v>-85458.66</v>
      </c>
      <c r="IP86" s="294">
        <v>-51346</v>
      </c>
      <c r="IQ86" s="294">
        <v>-157880.04999999999</v>
      </c>
      <c r="IR86" s="294">
        <v>-82844.83</v>
      </c>
      <c r="IS86" s="294">
        <v>-1212947.1200000001</v>
      </c>
      <c r="IT86" s="294">
        <v>-215746.5</v>
      </c>
      <c r="IU86" s="294">
        <v>0</v>
      </c>
      <c r="IV86" s="294">
        <v>-60566</v>
      </c>
      <c r="IW86" s="294">
        <v>-50605.05</v>
      </c>
      <c r="IX86" s="294">
        <v>-116919.67999999999</v>
      </c>
      <c r="IY86" s="294">
        <v>-144583.14000000001</v>
      </c>
      <c r="IZ86" s="294">
        <v>-25158</v>
      </c>
      <c r="JA86" s="294">
        <v>-81802.509999999995</v>
      </c>
      <c r="JB86" s="294">
        <v>-4440</v>
      </c>
      <c r="JC86" s="294">
        <v>-8988</v>
      </c>
      <c r="JD86" s="294">
        <v>-216956.59</v>
      </c>
      <c r="JE86" s="294"/>
      <c r="JF86" s="294">
        <v>-47436.35</v>
      </c>
      <c r="JG86" s="294">
        <v>-161460.1</v>
      </c>
      <c r="JH86" s="294">
        <v>-12180.88</v>
      </c>
      <c r="JI86" s="294">
        <v>-356684.44</v>
      </c>
      <c r="JJ86" s="294">
        <v>-126068.94</v>
      </c>
      <c r="JK86" s="294">
        <v>-100775</v>
      </c>
      <c r="JL86" s="294">
        <v>-99633.8</v>
      </c>
      <c r="JM86" s="294">
        <v>-266625.91999999998</v>
      </c>
      <c r="JN86" s="294">
        <v>-392862.7</v>
      </c>
      <c r="JO86" s="294">
        <v>-27403</v>
      </c>
      <c r="JP86" s="294">
        <v>-192955.12</v>
      </c>
      <c r="JQ86" s="294">
        <v>-109632</v>
      </c>
      <c r="JR86" s="294">
        <v>-28080</v>
      </c>
      <c r="JS86" s="294">
        <v>-2200</v>
      </c>
      <c r="JT86" s="294">
        <v>-87988.93</v>
      </c>
      <c r="JU86" s="294">
        <v>-27080</v>
      </c>
      <c r="JV86" s="294">
        <v>-38517.699999999997</v>
      </c>
      <c r="JW86" s="294"/>
      <c r="JX86" s="294">
        <v>-682155</v>
      </c>
      <c r="JY86" s="294">
        <v>-25662</v>
      </c>
      <c r="JZ86" s="294">
        <v>-29570</v>
      </c>
      <c r="KA86" s="294">
        <v>-178296.46</v>
      </c>
      <c r="KB86" s="294">
        <v>-43160</v>
      </c>
      <c r="KC86" s="294">
        <v>-171191.37</v>
      </c>
      <c r="KD86" s="294">
        <v>-69830.05</v>
      </c>
      <c r="KE86" s="294">
        <v>-35575.300000000003</v>
      </c>
      <c r="KF86" s="294">
        <v>-160512.9</v>
      </c>
      <c r="KG86" s="294">
        <v>-66567</v>
      </c>
      <c r="KH86" s="294">
        <v>-682254.53</v>
      </c>
      <c r="KI86" s="294">
        <v>-313394.53000000003</v>
      </c>
      <c r="KJ86" s="294">
        <v>0</v>
      </c>
      <c r="KK86" s="294">
        <v>-873359.09</v>
      </c>
      <c r="KL86" s="294">
        <v>-4500</v>
      </c>
      <c r="KM86" s="294">
        <v>-292659.18</v>
      </c>
      <c r="KN86" s="294">
        <v>-1131604.0900000001</v>
      </c>
      <c r="KO86" s="294">
        <v>-76673</v>
      </c>
      <c r="KP86" s="294">
        <v>-314511.59000000003</v>
      </c>
      <c r="KQ86" s="294">
        <v>-552537.65</v>
      </c>
      <c r="KR86" s="294">
        <v>-161528.29999999999</v>
      </c>
      <c r="KS86" s="294">
        <v>-136147.84</v>
      </c>
      <c r="KT86" s="294">
        <v>-733911.92</v>
      </c>
      <c r="KU86" s="294">
        <v>-280774.40000000002</v>
      </c>
      <c r="KV86" s="294">
        <v>-249753.7</v>
      </c>
      <c r="KW86" s="294">
        <v>-1027816.46</v>
      </c>
      <c r="KX86" s="294">
        <v>-187410.89</v>
      </c>
      <c r="KY86" s="294">
        <v>-49288.95</v>
      </c>
      <c r="KZ86" s="294">
        <v>0</v>
      </c>
      <c r="LA86" s="294">
        <v>-79450.899999999994</v>
      </c>
      <c r="LB86" s="294">
        <v>-533986.51</v>
      </c>
      <c r="LC86" s="294">
        <v>-266981.05</v>
      </c>
      <c r="LD86" s="294">
        <v>-268718.90000000002</v>
      </c>
      <c r="LE86" s="294">
        <v>-99383</v>
      </c>
      <c r="LF86" s="294">
        <v>-288226.75</v>
      </c>
      <c r="LG86" s="294">
        <v>-8620</v>
      </c>
      <c r="LH86" s="294">
        <v>-6944</v>
      </c>
      <c r="LI86" s="294">
        <v>-9148.9</v>
      </c>
      <c r="LJ86" s="294">
        <v>-294289.5</v>
      </c>
      <c r="LK86" s="294">
        <v>-833122.51</v>
      </c>
      <c r="LL86" s="294">
        <v>-193233.28</v>
      </c>
      <c r="LM86" s="294">
        <v>-436212.27</v>
      </c>
      <c r="LN86" s="294">
        <v>-366643.20000000001</v>
      </c>
      <c r="LO86" s="294">
        <v>-89618</v>
      </c>
      <c r="LP86" s="294">
        <v>-309252.59999999998</v>
      </c>
      <c r="LQ86" s="294">
        <v>-13398</v>
      </c>
      <c r="LR86" s="294">
        <v>-97920</v>
      </c>
      <c r="LS86" s="294">
        <v>-216942.57</v>
      </c>
      <c r="LT86" s="294">
        <v>-47444.01</v>
      </c>
      <c r="LU86" s="294">
        <v>-56315.66</v>
      </c>
      <c r="LV86" s="294">
        <v>-121085</v>
      </c>
      <c r="LW86" s="294">
        <v>-250003</v>
      </c>
      <c r="LX86" s="294">
        <v>-368989.22</v>
      </c>
      <c r="LY86" s="294">
        <v>-304662.68</v>
      </c>
      <c r="LZ86" s="294">
        <v>-188111.51</v>
      </c>
      <c r="MA86" s="294">
        <v>-50997.02</v>
      </c>
      <c r="MB86" s="294">
        <v>-14448.78</v>
      </c>
      <c r="MC86" s="294">
        <v>-194223.14</v>
      </c>
      <c r="MD86" s="294">
        <v>-79911</v>
      </c>
      <c r="ME86" s="294">
        <v>-262932.77</v>
      </c>
      <c r="MF86" s="294">
        <v>-337294.6</v>
      </c>
      <c r="MG86" s="294">
        <v>-897268.83</v>
      </c>
      <c r="MH86" s="294">
        <v>-273115.05</v>
      </c>
      <c r="MI86" s="294">
        <v>-78019</v>
      </c>
      <c r="MJ86" s="294">
        <v>-89362.21</v>
      </c>
      <c r="MK86" s="294">
        <v>-202728.56</v>
      </c>
      <c r="ML86" s="294">
        <v>-227646.91</v>
      </c>
      <c r="MM86" s="294">
        <v>-223838.56</v>
      </c>
      <c r="MN86" s="294">
        <v>-107160.8</v>
      </c>
      <c r="MO86" s="294">
        <v>-165805.79999999999</v>
      </c>
      <c r="MP86" s="294">
        <v>-71820.600000000006</v>
      </c>
      <c r="MQ86" s="294">
        <v>-17010</v>
      </c>
      <c r="MR86" s="294">
        <v>-45390</v>
      </c>
      <c r="MS86" s="294">
        <v>0</v>
      </c>
      <c r="MT86" s="294">
        <v>-658708.69999999995</v>
      </c>
      <c r="MU86" s="294">
        <v>-113023.9</v>
      </c>
      <c r="MV86" s="294">
        <v>-188180</v>
      </c>
      <c r="MW86" s="294">
        <v>-182699.05</v>
      </c>
      <c r="MX86" s="294">
        <v>-83342.210000000006</v>
      </c>
      <c r="MY86" s="294">
        <v>-42938.81</v>
      </c>
      <c r="MZ86" s="294">
        <v>-107740.44</v>
      </c>
      <c r="NA86" s="294">
        <v>-55301</v>
      </c>
      <c r="NB86" s="294">
        <v>-196778.53</v>
      </c>
      <c r="NC86" s="294">
        <v>-1230</v>
      </c>
      <c r="ND86" s="294">
        <v>-50448.9</v>
      </c>
      <c r="NE86" s="294">
        <v>-6150</v>
      </c>
      <c r="NF86" s="294">
        <v>-223084</v>
      </c>
      <c r="NG86" s="294">
        <v>-145404.5</v>
      </c>
      <c r="NH86" s="294">
        <v>-38241.800000000003</v>
      </c>
      <c r="NI86" s="294">
        <v>-88767.3</v>
      </c>
      <c r="NJ86" s="294">
        <v>-398170.6</v>
      </c>
      <c r="NK86" s="294">
        <v>-169277.8</v>
      </c>
      <c r="NL86" s="294">
        <v>-38552.44</v>
      </c>
      <c r="NM86" s="294">
        <v>-275802.28000000003</v>
      </c>
      <c r="NN86" s="294">
        <v>-62816.32</v>
      </c>
      <c r="NO86" s="294">
        <v>-82696</v>
      </c>
      <c r="NP86" s="294">
        <v>-1301733</v>
      </c>
      <c r="NQ86" s="294">
        <v>-3020</v>
      </c>
      <c r="NR86" s="294">
        <v>-240392.4</v>
      </c>
      <c r="NS86" s="294">
        <v>0</v>
      </c>
      <c r="NT86" s="294">
        <v>-19144</v>
      </c>
      <c r="NU86" s="294">
        <v>-9726.5</v>
      </c>
      <c r="NV86" s="294">
        <v>0</v>
      </c>
      <c r="NW86" s="294">
        <v>-2160</v>
      </c>
      <c r="NX86" s="294">
        <v>-347472</v>
      </c>
      <c r="NY86" s="294">
        <v>-146182.39999999999</v>
      </c>
      <c r="NZ86" s="294">
        <v>-64521.7</v>
      </c>
      <c r="OA86" s="294">
        <v>-16838.8</v>
      </c>
      <c r="OB86" s="294">
        <v>-54218</v>
      </c>
      <c r="OC86" s="294">
        <v>-398623.34</v>
      </c>
      <c r="OD86" s="294">
        <v>-3162.5</v>
      </c>
      <c r="OE86" s="294">
        <v>-322616.2</v>
      </c>
      <c r="OF86" s="294">
        <v>-261804.86</v>
      </c>
      <c r="OG86" s="294">
        <v>-509824.6</v>
      </c>
      <c r="OH86" s="294">
        <v>-81539.070000000007</v>
      </c>
      <c r="OI86" s="294">
        <v>-246521.44</v>
      </c>
      <c r="OJ86" s="294">
        <v>-67572.2</v>
      </c>
      <c r="OK86" s="294">
        <v>-70766.39</v>
      </c>
      <c r="OL86" s="294">
        <v>-249246.6</v>
      </c>
      <c r="OM86" s="294">
        <v>-38148.5</v>
      </c>
      <c r="ON86" s="294">
        <v>-10296.6</v>
      </c>
      <c r="OO86" s="294">
        <v>-436785.73</v>
      </c>
      <c r="OP86" s="294">
        <v>-38605</v>
      </c>
      <c r="OQ86" s="294">
        <v>-4160</v>
      </c>
      <c r="OR86" s="294">
        <v>-61513</v>
      </c>
      <c r="OS86" s="294">
        <v>0</v>
      </c>
      <c r="OT86" s="294">
        <v>-163181</v>
      </c>
      <c r="OU86" s="294">
        <v>-28163.05</v>
      </c>
      <c r="OV86" s="294">
        <v>-66996</v>
      </c>
      <c r="OW86" s="294">
        <v>-90401.24</v>
      </c>
      <c r="OX86" s="294">
        <v>-77588.600000000006</v>
      </c>
      <c r="OY86" s="294">
        <v>-52834.52</v>
      </c>
      <c r="OZ86" s="294">
        <v>-98911</v>
      </c>
      <c r="PA86" s="294">
        <v>-127957.75</v>
      </c>
      <c r="PB86" s="294">
        <v>-455425.59</v>
      </c>
      <c r="PC86" s="294">
        <v>-20741.5</v>
      </c>
      <c r="PD86" s="294">
        <v>-132970</v>
      </c>
      <c r="PE86" s="294">
        <v>-122969.17</v>
      </c>
      <c r="PF86" s="294"/>
      <c r="PG86" s="294">
        <v>-61806.9</v>
      </c>
      <c r="PH86" s="294">
        <v>-133138.14000000001</v>
      </c>
      <c r="PI86" s="294">
        <v>-86184</v>
      </c>
      <c r="PJ86" s="294">
        <v>-102541.3</v>
      </c>
      <c r="PK86" s="294">
        <v>-182422.31</v>
      </c>
      <c r="PL86" s="294">
        <v>-100006.5</v>
      </c>
      <c r="PM86" s="294">
        <v>-48952.42</v>
      </c>
      <c r="PN86" s="294">
        <v>-138542.23000000001</v>
      </c>
      <c r="PO86" s="294">
        <v>-350510.28</v>
      </c>
      <c r="PP86" s="294">
        <v>-107691</v>
      </c>
      <c r="PQ86" s="294">
        <v>-165901.54999999999</v>
      </c>
      <c r="PR86" s="294">
        <v>-227356.89</v>
      </c>
      <c r="PS86" s="294">
        <v>-110792.1</v>
      </c>
      <c r="PT86" s="294">
        <v>-1423083.2</v>
      </c>
      <c r="PU86" s="294">
        <v>-462356</v>
      </c>
      <c r="PV86" s="294">
        <v>-457101</v>
      </c>
      <c r="PW86" s="294">
        <v>-146406</v>
      </c>
      <c r="PX86" s="294">
        <v>-991548.49</v>
      </c>
      <c r="PY86" s="294">
        <v>-439144</v>
      </c>
      <c r="PZ86" s="294">
        <v>-627468.80000000005</v>
      </c>
      <c r="QA86" s="294">
        <v>-78956</v>
      </c>
      <c r="QB86" s="294">
        <v>-52855</v>
      </c>
      <c r="QC86" s="294">
        <v>-128032</v>
      </c>
      <c r="QD86" s="294">
        <v>-372134.56</v>
      </c>
      <c r="QE86" s="294">
        <v>-315977.40999999997</v>
      </c>
      <c r="QF86" s="294">
        <v>-135584</v>
      </c>
      <c r="QG86" s="294">
        <v>-356568.6</v>
      </c>
      <c r="QH86" s="294">
        <v>-407195.64</v>
      </c>
      <c r="QI86" s="294">
        <v>-496730.15</v>
      </c>
      <c r="QJ86" s="294">
        <v>-495525.88</v>
      </c>
      <c r="QK86" s="294"/>
      <c r="QL86" s="294">
        <v>-569059.24</v>
      </c>
      <c r="QM86" s="294">
        <v>-163709.54999999999</v>
      </c>
      <c r="QN86" s="294">
        <v>-278439.5</v>
      </c>
      <c r="QO86" s="294">
        <v>-149497</v>
      </c>
      <c r="QP86" s="294">
        <v>-51810</v>
      </c>
      <c r="QQ86" s="294">
        <v>-109606</v>
      </c>
      <c r="QR86" s="294">
        <v>-27700</v>
      </c>
      <c r="QS86" s="294">
        <v>-286894.15000000002</v>
      </c>
      <c r="QT86" s="294">
        <v>-695524.65</v>
      </c>
      <c r="QU86" s="294">
        <v>-104655.16</v>
      </c>
      <c r="QV86" s="294">
        <v>-576515.32999999996</v>
      </c>
      <c r="QW86" s="294">
        <v>-11600</v>
      </c>
      <c r="QX86" s="294">
        <v>-223826.2</v>
      </c>
      <c r="QY86" s="294">
        <v>-926611.66</v>
      </c>
      <c r="QZ86" s="294">
        <v>-95425.65</v>
      </c>
      <c r="RA86" s="294">
        <v>-159820.42000000001</v>
      </c>
      <c r="RB86" s="294">
        <v>-278075.59999999998</v>
      </c>
      <c r="RC86" s="294">
        <v>-425475.5</v>
      </c>
      <c r="RD86" s="294">
        <v>-420553.19</v>
      </c>
      <c r="RE86" s="294">
        <v>-73830</v>
      </c>
      <c r="RF86" s="294">
        <v>-64363.5</v>
      </c>
      <c r="RG86" s="294">
        <v>-965621.08</v>
      </c>
      <c r="RH86" s="294">
        <v>-803688.8</v>
      </c>
      <c r="RI86" s="294">
        <v>-5261.56</v>
      </c>
      <c r="RJ86" s="294">
        <v>-176945.3</v>
      </c>
      <c r="RK86" s="294">
        <v>-596773.75</v>
      </c>
      <c r="RL86" s="294">
        <v>-490743.3</v>
      </c>
      <c r="RM86" s="294">
        <v>-1152890.76</v>
      </c>
      <c r="RN86" s="294">
        <v>-136988</v>
      </c>
      <c r="RO86" s="294">
        <v>-126640</v>
      </c>
      <c r="RP86" s="294">
        <v>-392382.99</v>
      </c>
      <c r="RQ86" s="294">
        <v>-364637</v>
      </c>
      <c r="RR86" s="294">
        <v>-533602.36</v>
      </c>
      <c r="RS86" s="294">
        <v>-262754</v>
      </c>
      <c r="RT86" s="294">
        <v>-303917.44</v>
      </c>
      <c r="RU86" s="294">
        <v>-64555</v>
      </c>
      <c r="RV86" s="294">
        <v>-27109.4</v>
      </c>
      <c r="RW86" s="294">
        <v>-106179.88</v>
      </c>
      <c r="RX86" s="294">
        <v>-107124.4</v>
      </c>
      <c r="RY86" s="294">
        <v>-176365.01</v>
      </c>
      <c r="RZ86" s="294">
        <v>-42559</v>
      </c>
      <c r="SA86" s="294">
        <v>-4562257.25</v>
      </c>
      <c r="SB86" s="294">
        <v>-127099</v>
      </c>
      <c r="SC86" s="294">
        <v>-60503.81</v>
      </c>
      <c r="SD86" s="294">
        <v>-77770</v>
      </c>
      <c r="SE86" s="294">
        <v>-248960.87</v>
      </c>
      <c r="SF86" s="294">
        <v>-312727.59000000003</v>
      </c>
      <c r="SG86" s="294">
        <v>-291342.8</v>
      </c>
      <c r="SH86" s="294">
        <v>-129648.9</v>
      </c>
      <c r="SI86" s="294">
        <v>-243647.55</v>
      </c>
      <c r="SJ86" s="294">
        <v>-1284</v>
      </c>
      <c r="SK86" s="294">
        <v>-1783153.88</v>
      </c>
      <c r="SL86" s="294">
        <v>-8041.17</v>
      </c>
      <c r="SM86" s="294">
        <v>-905399.25</v>
      </c>
      <c r="SN86" s="294">
        <v>-494883.88</v>
      </c>
      <c r="SO86" s="294">
        <v>-235593.4</v>
      </c>
      <c r="SP86" s="294">
        <v>-157461.9</v>
      </c>
      <c r="SQ86" s="294">
        <v>-38185</v>
      </c>
      <c r="SR86" s="294">
        <v>-68741</v>
      </c>
      <c r="SS86" s="294">
        <v>-133588.46</v>
      </c>
      <c r="ST86" s="294">
        <v>-377071</v>
      </c>
      <c r="SU86" s="294">
        <v>-542955.80000000005</v>
      </c>
      <c r="SV86" s="294">
        <v>-147081.9</v>
      </c>
      <c r="SW86" s="294">
        <v>-112099.8</v>
      </c>
      <c r="SX86" s="294">
        <v>-127531.7</v>
      </c>
      <c r="SY86" s="294">
        <v>-174874</v>
      </c>
      <c r="SZ86" s="294">
        <v>-96081.600000000006</v>
      </c>
      <c r="TA86" s="294">
        <v>-180913.77</v>
      </c>
      <c r="TB86" s="294">
        <v>-389378</v>
      </c>
      <c r="TC86" s="294">
        <v>-256330</v>
      </c>
      <c r="TD86" s="294">
        <v>-175035.85</v>
      </c>
      <c r="TE86" s="294">
        <v>-254821</v>
      </c>
      <c r="TF86" s="294">
        <v>-312809.71999999997</v>
      </c>
      <c r="TG86" s="294">
        <v>-47778.17</v>
      </c>
      <c r="TH86" s="294">
        <v>-105446.09</v>
      </c>
      <c r="TI86" s="294">
        <v>-1406071.61</v>
      </c>
      <c r="TJ86" s="294">
        <v>-138386.4</v>
      </c>
      <c r="TK86" s="294">
        <v>-340704.6</v>
      </c>
      <c r="TL86" s="294">
        <v>-682634.92</v>
      </c>
      <c r="TM86" s="294">
        <v>-101000</v>
      </c>
      <c r="TN86" s="294">
        <v>-12519</v>
      </c>
      <c r="TO86" s="294">
        <v>-211700.65</v>
      </c>
      <c r="TP86" s="294">
        <v>-4766930.26</v>
      </c>
      <c r="TQ86" s="294">
        <v>-271959.5</v>
      </c>
      <c r="TR86" s="294">
        <v>-600871.68999999994</v>
      </c>
      <c r="TS86" s="294">
        <v>-1273185.8</v>
      </c>
      <c r="TT86" s="294">
        <v>-256853</v>
      </c>
      <c r="TU86" s="294">
        <v>-160067.9</v>
      </c>
      <c r="TV86" s="294">
        <v>-105351</v>
      </c>
      <c r="TW86" s="294">
        <v>-315031.08</v>
      </c>
      <c r="TX86" s="294">
        <v>0</v>
      </c>
      <c r="TY86" s="294">
        <v>-1900418.57</v>
      </c>
      <c r="TZ86" s="294">
        <v>0</v>
      </c>
      <c r="UA86" s="294">
        <v>-401722.49</v>
      </c>
      <c r="UB86" s="294">
        <v>-303050.25</v>
      </c>
      <c r="UC86" s="294">
        <v>-273471.5</v>
      </c>
      <c r="UD86" s="294">
        <v>-202941</v>
      </c>
      <c r="UE86" s="294">
        <v>-1333270.04</v>
      </c>
      <c r="UF86" s="294">
        <v>-105484.99</v>
      </c>
      <c r="UG86" s="294">
        <v>-294575</v>
      </c>
      <c r="UH86" s="294">
        <v>-13803</v>
      </c>
      <c r="UI86" s="294">
        <v>-36074</v>
      </c>
      <c r="UJ86" s="294">
        <v>-612173.69999999995</v>
      </c>
      <c r="UK86" s="294">
        <v>-639340</v>
      </c>
      <c r="UL86" s="294">
        <v>-255173.55</v>
      </c>
      <c r="UM86" s="294">
        <v>-1239433.7</v>
      </c>
      <c r="UN86" s="294">
        <v>-125718.43</v>
      </c>
      <c r="UO86" s="294">
        <v>-254203.31</v>
      </c>
      <c r="UP86" s="294">
        <v>-286346.98</v>
      </c>
      <c r="UQ86" s="294">
        <v>-188037.64</v>
      </c>
      <c r="UR86" s="294">
        <v>-321185.57</v>
      </c>
      <c r="US86" s="294">
        <v>-1116767.2</v>
      </c>
      <c r="UT86" s="294">
        <v>-12288</v>
      </c>
      <c r="UU86" s="294">
        <v>-141403.20000000001</v>
      </c>
      <c r="UV86" s="294">
        <v>-673658.73</v>
      </c>
      <c r="UW86" s="294">
        <v>-160078</v>
      </c>
      <c r="UX86" s="294">
        <v>-157625.16</v>
      </c>
      <c r="UY86" s="294">
        <v>-80970</v>
      </c>
      <c r="UZ86" s="294">
        <v>-658181.19999999995</v>
      </c>
      <c r="VA86" s="294">
        <v>-353647.12</v>
      </c>
      <c r="VB86" s="294">
        <v>-350610.8</v>
      </c>
      <c r="VC86" s="294">
        <v>-519892.6</v>
      </c>
      <c r="VD86" s="294">
        <v>-84255.5</v>
      </c>
      <c r="VE86" s="294">
        <v>-349860.18</v>
      </c>
      <c r="VF86" s="294">
        <v>-139300</v>
      </c>
      <c r="VG86" s="294">
        <v>-50941.1</v>
      </c>
      <c r="VH86" s="294">
        <v>-209204</v>
      </c>
      <c r="VI86" s="294">
        <v>-34601</v>
      </c>
      <c r="VJ86" s="294">
        <v>-128628</v>
      </c>
      <c r="VK86" s="294">
        <v>-81866.899999999994</v>
      </c>
      <c r="VL86" s="294">
        <v>-788372.16</v>
      </c>
      <c r="VM86" s="294">
        <v>-192576.6</v>
      </c>
      <c r="VN86" s="294">
        <v>-342502.6</v>
      </c>
      <c r="VO86" s="294">
        <v>-427485.17</v>
      </c>
      <c r="VP86" s="294">
        <v>-83835.59</v>
      </c>
      <c r="VQ86" s="294">
        <v>-265620.40000000002</v>
      </c>
      <c r="VR86" s="294">
        <v>-236384.4</v>
      </c>
      <c r="VS86" s="294">
        <v>-13562</v>
      </c>
      <c r="VT86" s="294">
        <v>-268556.55</v>
      </c>
      <c r="VU86" s="294">
        <v>-943855.57</v>
      </c>
      <c r="VV86" s="294">
        <v>-276424.01</v>
      </c>
      <c r="VW86" s="294">
        <v>-74338.509999999995</v>
      </c>
      <c r="VX86" s="294">
        <v>-153047.28</v>
      </c>
      <c r="VY86" s="294">
        <v>-85728.5</v>
      </c>
      <c r="VZ86" s="294">
        <v>0</v>
      </c>
      <c r="WA86" s="294">
        <v>-2153532.56</v>
      </c>
      <c r="WB86" s="294">
        <v>-159804.9</v>
      </c>
      <c r="WC86" s="294">
        <v>-88775.9</v>
      </c>
      <c r="WD86" s="294">
        <v>-67553.3</v>
      </c>
      <c r="WE86" s="294">
        <v>-116811.6</v>
      </c>
      <c r="WF86" s="294">
        <v>-187199.52</v>
      </c>
      <c r="WG86" s="294">
        <v>-400779.86</v>
      </c>
      <c r="WH86" s="294">
        <v>-270083.7</v>
      </c>
      <c r="WI86" s="294">
        <v>-202484.9</v>
      </c>
      <c r="WJ86" s="294">
        <v>-226581.05</v>
      </c>
      <c r="WK86" s="294">
        <v>-297531.12</v>
      </c>
      <c r="WL86" s="294">
        <v>-221008.4</v>
      </c>
      <c r="WM86" s="294">
        <v>-100846.65</v>
      </c>
      <c r="WN86" s="294">
        <v>-169996.77</v>
      </c>
      <c r="WO86" s="294">
        <v>-389889.79</v>
      </c>
      <c r="WP86" s="294">
        <v>-69593.45</v>
      </c>
      <c r="WQ86" s="294">
        <v>-77188.350000000006</v>
      </c>
      <c r="WR86" s="294">
        <v>-172803.18</v>
      </c>
      <c r="WS86" s="294">
        <v>-33615</v>
      </c>
      <c r="WT86" s="294">
        <v>-141794.54</v>
      </c>
      <c r="WU86" s="294">
        <v>-646027</v>
      </c>
      <c r="WV86" s="294">
        <v>-157769.18</v>
      </c>
      <c r="WW86" s="294">
        <v>-288928.2</v>
      </c>
      <c r="WX86" s="294">
        <v>-5308.17</v>
      </c>
      <c r="WY86" s="294">
        <v>-340811.21</v>
      </c>
      <c r="WZ86" s="294">
        <v>-592459.55000000005</v>
      </c>
      <c r="XA86" s="294">
        <v>-2553.6999999999998</v>
      </c>
      <c r="XB86" s="294">
        <v>-156546</v>
      </c>
      <c r="XC86" s="294">
        <v>-797084.2</v>
      </c>
      <c r="XD86" s="294">
        <v>-60686.39</v>
      </c>
      <c r="XE86" s="294">
        <v>-39638.9</v>
      </c>
      <c r="XF86" s="294">
        <v>-140937.20000000001</v>
      </c>
      <c r="XG86" s="294">
        <v>-398683.55</v>
      </c>
      <c r="XH86" s="294">
        <v>-418901.6</v>
      </c>
      <c r="XI86" s="294">
        <v>-168283.6</v>
      </c>
      <c r="XJ86" s="294">
        <v>-470484.98</v>
      </c>
      <c r="XK86" s="294">
        <v>-696121.76</v>
      </c>
      <c r="XL86" s="294">
        <v>-168915.88</v>
      </c>
      <c r="XM86" s="294">
        <v>-188707.8</v>
      </c>
      <c r="XN86" s="294">
        <v>-284912.96999999997</v>
      </c>
      <c r="XO86" s="294">
        <v>-166979.28</v>
      </c>
      <c r="XP86" s="294">
        <v>-151783.04999999999</v>
      </c>
      <c r="XQ86" s="294">
        <v>-807565.1</v>
      </c>
      <c r="XR86" s="294">
        <v>-570036.97</v>
      </c>
      <c r="XS86" s="294">
        <v>-174953.95</v>
      </c>
      <c r="XT86" s="294">
        <v>-154498.74</v>
      </c>
      <c r="XU86" s="294">
        <v>0</v>
      </c>
      <c r="XV86" s="294">
        <v>-29084.400000000001</v>
      </c>
      <c r="XW86" s="294">
        <v>-80831.5</v>
      </c>
      <c r="XX86" s="294">
        <v>-129768</v>
      </c>
      <c r="XY86" s="294">
        <v>-228583.3</v>
      </c>
      <c r="XZ86" s="294">
        <v>-156138.20000000001</v>
      </c>
      <c r="YA86" s="294">
        <v>-28425.4</v>
      </c>
      <c r="YB86" s="294">
        <v>-16424</v>
      </c>
      <c r="YC86" s="294">
        <v>-130604.08</v>
      </c>
      <c r="YD86" s="294">
        <v>-209430.32</v>
      </c>
      <c r="YE86" s="294">
        <v>-540685.86</v>
      </c>
      <c r="YF86" s="294">
        <v>-85884.77</v>
      </c>
      <c r="YG86" s="294">
        <v>-309573.3</v>
      </c>
      <c r="YH86" s="294">
        <v>-93304.06</v>
      </c>
      <c r="YI86" s="294">
        <v>-894758.11</v>
      </c>
      <c r="YJ86" s="294">
        <v>-124742.82</v>
      </c>
      <c r="YK86" s="294">
        <v>-483624.88</v>
      </c>
      <c r="YL86" s="294">
        <v>-53159.88</v>
      </c>
      <c r="YM86" s="294">
        <v>-793271.08</v>
      </c>
      <c r="YN86" s="294">
        <v>-543540.72</v>
      </c>
      <c r="YO86" s="294">
        <v>-177120.9</v>
      </c>
      <c r="YP86" s="294">
        <v>-128999.5</v>
      </c>
      <c r="YQ86" s="294">
        <v>-237869.8</v>
      </c>
      <c r="YR86" s="294">
        <v>-53659.89</v>
      </c>
      <c r="YS86" s="294">
        <v>-117371.45</v>
      </c>
      <c r="YT86" s="294">
        <v>-180902.39</v>
      </c>
      <c r="YU86" s="294">
        <v>-191659.2</v>
      </c>
      <c r="YV86" s="294">
        <v>-950103.5</v>
      </c>
      <c r="YW86" s="294">
        <v>-276658.94</v>
      </c>
      <c r="YX86" s="294">
        <v>-107225</v>
      </c>
      <c r="YY86" s="294">
        <v>-367314.81</v>
      </c>
      <c r="YZ86" s="294">
        <v>-129639</v>
      </c>
      <c r="ZA86" s="294">
        <v>-88885.87</v>
      </c>
      <c r="ZB86" s="294">
        <v>-123510.9</v>
      </c>
      <c r="ZC86" s="294">
        <v>-226108.58</v>
      </c>
      <c r="ZD86" s="294">
        <v>-31010</v>
      </c>
      <c r="ZE86" s="294">
        <v>-77361.88</v>
      </c>
      <c r="ZF86" s="294">
        <v>-30380</v>
      </c>
      <c r="ZG86" s="294">
        <v>-53405</v>
      </c>
      <c r="ZH86" s="294">
        <v>-119810.83</v>
      </c>
      <c r="ZI86" s="294">
        <v>-82521.55</v>
      </c>
      <c r="ZJ86" s="294">
        <v>-63255</v>
      </c>
      <c r="ZK86" s="294">
        <v>-721613.17</v>
      </c>
      <c r="ZL86" s="294"/>
      <c r="ZM86" s="294">
        <v>-55897.599999999999</v>
      </c>
      <c r="ZN86" s="294">
        <v>-115537.73</v>
      </c>
      <c r="ZO86" s="294">
        <v>-196057</v>
      </c>
      <c r="ZP86" s="294">
        <v>-127914.78</v>
      </c>
      <c r="ZQ86" s="294">
        <v>-144100</v>
      </c>
      <c r="ZR86" s="294">
        <v>-89730</v>
      </c>
      <c r="ZS86" s="294">
        <v>-765791.32</v>
      </c>
      <c r="ZT86" s="294">
        <v>-50336.33</v>
      </c>
      <c r="ZU86" s="294">
        <v>-363342.46</v>
      </c>
      <c r="ZV86" s="294">
        <v>-109275.89</v>
      </c>
      <c r="ZW86" s="294">
        <v>-232733.79</v>
      </c>
      <c r="ZX86" s="294">
        <v>-89755.5</v>
      </c>
      <c r="ZY86" s="294">
        <v>-123221.36</v>
      </c>
      <c r="ZZ86" s="294">
        <v>-474065.05</v>
      </c>
      <c r="AAA86" s="294">
        <v>-100464.4</v>
      </c>
      <c r="AAB86" s="294">
        <v>-100949.09</v>
      </c>
      <c r="AAC86" s="294"/>
      <c r="AAD86" s="294">
        <v>-529495.46</v>
      </c>
      <c r="AAE86" s="294">
        <v>-128709.6</v>
      </c>
      <c r="AAF86" s="294">
        <v>-79362.2</v>
      </c>
      <c r="AAG86" s="294">
        <v>-91509.62</v>
      </c>
      <c r="AAH86" s="294">
        <v>-175471.5</v>
      </c>
      <c r="AAI86" s="294">
        <v>-283199.95</v>
      </c>
      <c r="AAJ86" s="294">
        <v>-235603.39</v>
      </c>
      <c r="AAK86" s="294">
        <v>-292257.18</v>
      </c>
      <c r="AAL86" s="294">
        <v>-93710.43</v>
      </c>
      <c r="AAM86" s="294">
        <v>-420998.24</v>
      </c>
      <c r="AAN86" s="294">
        <v>-55238.400000000001</v>
      </c>
      <c r="AAO86" s="294">
        <v>-1468243.82</v>
      </c>
      <c r="AAP86" s="294">
        <v>-484018.2</v>
      </c>
      <c r="AAQ86" s="294">
        <v>-171895.86</v>
      </c>
      <c r="AAR86" s="294">
        <v>-130360.78</v>
      </c>
      <c r="AAS86" s="294">
        <v>-620670.06999999995</v>
      </c>
      <c r="AAT86" s="294">
        <v>-7202</v>
      </c>
      <c r="AAU86" s="294">
        <v>-78030</v>
      </c>
      <c r="AAV86" s="294">
        <v>-266777.33</v>
      </c>
      <c r="AAW86" s="294">
        <v>-649439.80000000005</v>
      </c>
      <c r="AAX86" s="294">
        <v>-360725.25</v>
      </c>
      <c r="AAY86" s="294">
        <v>-171760.65</v>
      </c>
      <c r="AAZ86" s="294">
        <v>-1139825.1499999999</v>
      </c>
      <c r="ABA86" s="294">
        <v>-817094.04</v>
      </c>
      <c r="ABB86" s="294">
        <v>-268415.74</v>
      </c>
      <c r="ABC86" s="294">
        <v>-328460.09000000003</v>
      </c>
      <c r="ABD86" s="294">
        <v>-154163.4</v>
      </c>
      <c r="ABE86" s="294">
        <v>-218787</v>
      </c>
      <c r="ABF86" s="294">
        <v>-108547.42</v>
      </c>
      <c r="ABG86" s="294">
        <v>-205170.28</v>
      </c>
      <c r="ABH86" s="294">
        <v>-777164</v>
      </c>
      <c r="ABI86" s="294">
        <v>-427661.6</v>
      </c>
      <c r="ABJ86" s="294">
        <v>-279669.75</v>
      </c>
      <c r="ABK86" s="294">
        <v>-323197.99</v>
      </c>
      <c r="ABL86" s="294">
        <v>-191954.92</v>
      </c>
      <c r="ABM86" s="294">
        <v>-10040.879999999999</v>
      </c>
      <c r="ABN86" s="294">
        <v>-7595.8</v>
      </c>
      <c r="ABO86" s="294">
        <v>-1102763.04</v>
      </c>
      <c r="ABP86" s="294">
        <v>-63778.96</v>
      </c>
      <c r="ABQ86" s="294">
        <v>-338907.72</v>
      </c>
      <c r="ABR86" s="294">
        <v>-260410</v>
      </c>
      <c r="ABS86" s="294">
        <v>-593841.05000000005</v>
      </c>
      <c r="ABT86" s="294">
        <v>-183449.3</v>
      </c>
      <c r="ABU86" s="294">
        <v>-88958.67</v>
      </c>
      <c r="ABV86" s="294">
        <v>-442275.8</v>
      </c>
      <c r="ABW86" s="294"/>
      <c r="ABX86" s="294">
        <v>-2621519.37</v>
      </c>
      <c r="ABY86" s="294">
        <v>-16064</v>
      </c>
      <c r="ABZ86" s="294">
        <v>-133100.38</v>
      </c>
      <c r="ACA86" s="294">
        <v>-18552</v>
      </c>
      <c r="ACB86" s="294">
        <v>-12650</v>
      </c>
      <c r="ACC86" s="294">
        <v>-1395772.67</v>
      </c>
      <c r="ACD86" s="294">
        <v>-112742.04</v>
      </c>
      <c r="ACE86" s="294">
        <v>-259765.8</v>
      </c>
      <c r="ACF86" s="294">
        <v>-88200.1</v>
      </c>
      <c r="ACG86" s="294">
        <v>-120562.11</v>
      </c>
      <c r="ACH86" s="294">
        <v>-107232.92</v>
      </c>
      <c r="ACI86" s="294">
        <v>-58890</v>
      </c>
      <c r="ACJ86" s="294">
        <v>-436095</v>
      </c>
      <c r="ACK86" s="294">
        <v>-124820</v>
      </c>
      <c r="ACL86" s="294">
        <v>-114247</v>
      </c>
      <c r="ACM86" s="294">
        <v>-178339.9</v>
      </c>
      <c r="ACN86" s="294">
        <v>-1281503.8600000001</v>
      </c>
      <c r="ACO86" s="294">
        <v>-711822.54</v>
      </c>
      <c r="ACP86" s="294">
        <v>-1005634.89</v>
      </c>
      <c r="ACQ86" s="294">
        <v>-1456813.62</v>
      </c>
      <c r="ACR86" s="294">
        <v>-837699.94</v>
      </c>
      <c r="ACS86" s="294">
        <v>-990272.04</v>
      </c>
      <c r="ACT86" s="294">
        <v>-858488.15</v>
      </c>
      <c r="ACU86" s="294">
        <v>-274012.39</v>
      </c>
      <c r="ACV86" s="294">
        <v>-225705</v>
      </c>
      <c r="ACW86" s="294">
        <v>-66874.14</v>
      </c>
      <c r="ACX86" s="294">
        <v>-40842.94</v>
      </c>
      <c r="ACY86" s="294">
        <v>-289110.90000000002</v>
      </c>
      <c r="ACZ86" s="294">
        <v>-249692.63</v>
      </c>
      <c r="ADA86" s="294">
        <v>-181106</v>
      </c>
      <c r="ADB86" s="294">
        <v>-164750.6</v>
      </c>
      <c r="ADC86" s="294">
        <v>-181029.95</v>
      </c>
      <c r="ADD86" s="294">
        <v>-23894</v>
      </c>
      <c r="ADE86" s="294">
        <v>-180322.3</v>
      </c>
      <c r="ADF86" s="294">
        <v>-609875.23</v>
      </c>
      <c r="ADG86" s="294">
        <v>-97961.34</v>
      </c>
      <c r="ADH86" s="294">
        <v>-828010.55</v>
      </c>
      <c r="ADI86" s="294">
        <v>-149024.5</v>
      </c>
      <c r="ADJ86" s="294">
        <v>-693145.16</v>
      </c>
      <c r="ADK86" s="294">
        <v>-74029.440000000002</v>
      </c>
      <c r="ADL86" s="294">
        <v>-76055.399999999994</v>
      </c>
      <c r="ADM86" s="294">
        <v>-105146.75</v>
      </c>
      <c r="ADN86" s="294">
        <v>-154641.4</v>
      </c>
      <c r="ADO86" s="294">
        <v>-5279785.41</v>
      </c>
      <c r="ADP86" s="294">
        <v>-306011.71999999997</v>
      </c>
      <c r="ADQ86" s="294">
        <v>-427353.5</v>
      </c>
      <c r="ADR86" s="294">
        <v>-53832.07</v>
      </c>
      <c r="ADS86" s="294">
        <v>-2345936.86</v>
      </c>
      <c r="ADT86" s="294">
        <v>-98643.5</v>
      </c>
      <c r="ADU86" s="294">
        <v>-466969.48</v>
      </c>
      <c r="ADV86" s="294">
        <v>-18725</v>
      </c>
      <c r="ADW86" s="294">
        <v>-65998.5</v>
      </c>
      <c r="ADX86" s="294">
        <v>-131983.78</v>
      </c>
      <c r="ADY86" s="294">
        <v>-6402666.7400000002</v>
      </c>
      <c r="ADZ86" s="294">
        <v>-904511.94</v>
      </c>
      <c r="AEA86" s="294">
        <v>-392244.5</v>
      </c>
      <c r="AEB86" s="294">
        <v>-159346.91</v>
      </c>
      <c r="AEC86" s="294">
        <v>-296929.09999999998</v>
      </c>
      <c r="AED86" s="294">
        <v>-196552</v>
      </c>
      <c r="AEE86" s="294">
        <v>-76473.3</v>
      </c>
      <c r="AEF86" s="294">
        <v>-58577.8</v>
      </c>
      <c r="AEG86" s="294">
        <v>-120410.5</v>
      </c>
      <c r="AEH86" s="294">
        <v>-56304</v>
      </c>
      <c r="AEI86" s="294">
        <v>-1267089.6200000001</v>
      </c>
      <c r="AEJ86" s="294">
        <v>-192031.33</v>
      </c>
      <c r="AEK86" s="294">
        <v>-56700.5</v>
      </c>
      <c r="AEL86" s="294">
        <v>-80246</v>
      </c>
      <c r="AEM86" s="294">
        <v>-175363.48</v>
      </c>
      <c r="AEN86" s="294">
        <v>-624189.18999999994</v>
      </c>
      <c r="AEO86" s="294">
        <v>-42924.4</v>
      </c>
      <c r="AEP86" s="294">
        <v>-979167.97</v>
      </c>
      <c r="AEQ86" s="294">
        <v>-78399.149999999994</v>
      </c>
      <c r="AER86" s="294">
        <v>-735001.61</v>
      </c>
      <c r="AES86" s="294">
        <v>-54666.3</v>
      </c>
      <c r="AET86" s="294">
        <v>-486890</v>
      </c>
      <c r="AEU86" s="294">
        <v>-10592.5</v>
      </c>
      <c r="AEV86" s="294">
        <v>-357325.38</v>
      </c>
      <c r="AEW86" s="294">
        <v>-460592.02</v>
      </c>
      <c r="AEX86" s="294">
        <v>-759145.44</v>
      </c>
      <c r="AEY86" s="294">
        <v>-361320.03</v>
      </c>
      <c r="AEZ86" s="294">
        <v>-203244.33</v>
      </c>
      <c r="AFA86" s="294">
        <v>-441028.51</v>
      </c>
      <c r="AFB86" s="294">
        <v>-21582.97</v>
      </c>
      <c r="AFC86" s="294">
        <v>-28470</v>
      </c>
      <c r="AFD86" s="294">
        <v>-120031.84</v>
      </c>
      <c r="AFE86" s="294">
        <v>-88211</v>
      </c>
      <c r="AFF86" s="294">
        <v>-446321</v>
      </c>
      <c r="AFG86" s="294">
        <v>-724537.46</v>
      </c>
      <c r="AFH86" s="294">
        <v>-91503.91</v>
      </c>
      <c r="AFI86" s="294">
        <v>-131119.97</v>
      </c>
      <c r="AFJ86" s="294">
        <v>-202265</v>
      </c>
      <c r="AFK86" s="294">
        <v>-124285.28</v>
      </c>
      <c r="AFL86" s="294">
        <v>-158623.81</v>
      </c>
      <c r="AFM86" s="294">
        <v>-110765.1</v>
      </c>
      <c r="AFN86" s="294">
        <v>-102775.75</v>
      </c>
      <c r="AFO86" s="294">
        <v>-49045</v>
      </c>
      <c r="AFP86" s="294">
        <v>-717628.7</v>
      </c>
      <c r="AFQ86" s="294">
        <v>-76542.850000000006</v>
      </c>
      <c r="AFR86" s="294">
        <v>-111426</v>
      </c>
      <c r="AFS86" s="294">
        <v>-362167.2</v>
      </c>
      <c r="AFT86" s="294">
        <v>-380089.56</v>
      </c>
      <c r="AFU86" s="294">
        <v>-293850.63</v>
      </c>
      <c r="AFV86" s="294">
        <v>-12329.8</v>
      </c>
      <c r="AFW86" s="294">
        <v>-555645.24</v>
      </c>
      <c r="AFX86" s="294">
        <v>-433903.22</v>
      </c>
      <c r="AFY86" s="294">
        <v>-41018.400000000001</v>
      </c>
      <c r="AFZ86" s="294">
        <v>-177661.3</v>
      </c>
      <c r="AGA86" s="294">
        <v>-66419</v>
      </c>
      <c r="AGB86" s="294">
        <v>-1208450.9099999999</v>
      </c>
      <c r="AGC86" s="294">
        <v>-234200.42</v>
      </c>
      <c r="AGD86" s="294">
        <v>-265833.95</v>
      </c>
      <c r="AGE86" s="294">
        <v>-454660.75</v>
      </c>
      <c r="AGF86" s="294">
        <v>-869546.87</v>
      </c>
      <c r="AGG86" s="294">
        <v>-234109</v>
      </c>
      <c r="AGH86" s="294">
        <v>-159596.76999999999</v>
      </c>
      <c r="AGI86" s="294">
        <v>0</v>
      </c>
      <c r="AGJ86" s="294">
        <v>-160203.97</v>
      </c>
      <c r="AGK86" s="294">
        <v>-216234.6</v>
      </c>
      <c r="AGL86" s="294">
        <v>-33294</v>
      </c>
      <c r="AGM86" s="294">
        <v>-249523.32</v>
      </c>
      <c r="AGN86" s="294">
        <v>-195237.42</v>
      </c>
      <c r="AGO86" s="294">
        <v>-443392.58</v>
      </c>
      <c r="AGP86" s="294">
        <v>0</v>
      </c>
      <c r="AGQ86" s="294">
        <v>-157387.25</v>
      </c>
      <c r="AGR86" s="294">
        <v>-39610.5</v>
      </c>
      <c r="AGS86" s="294">
        <v>-31838</v>
      </c>
      <c r="AGT86" s="294">
        <v>-8239</v>
      </c>
      <c r="AGU86" s="294">
        <v>0</v>
      </c>
      <c r="AGV86" s="294"/>
      <c r="AGW86" s="294">
        <v>-653087.51</v>
      </c>
      <c r="AGX86" s="294">
        <v>-534533.23</v>
      </c>
      <c r="AGY86" s="294">
        <v>-83517</v>
      </c>
      <c r="AGZ86" s="294"/>
      <c r="AHA86" s="294">
        <v>-309374</v>
      </c>
      <c r="AHB86" s="294">
        <v>-69395</v>
      </c>
      <c r="AHC86" s="294">
        <v>-16035</v>
      </c>
      <c r="AHD86" s="294">
        <v>-322047.08</v>
      </c>
      <c r="AHE86" s="294">
        <v>-182960</v>
      </c>
      <c r="AHF86" s="294">
        <v>-60812.08</v>
      </c>
      <c r="AHG86" s="294">
        <v>-254154.17</v>
      </c>
      <c r="AHH86" s="294">
        <v>-35895</v>
      </c>
      <c r="AHI86" s="294">
        <v>-24078.05</v>
      </c>
      <c r="AHJ86" s="294">
        <v>-130</v>
      </c>
      <c r="AHK86" s="294">
        <v>-98490.4</v>
      </c>
      <c r="AHL86" s="294">
        <v>-258596.46</v>
      </c>
      <c r="AHM86" s="294">
        <v>-44130</v>
      </c>
      <c r="AHN86" s="294">
        <v>-139425.74</v>
      </c>
      <c r="AHO86" s="294">
        <v>-180051.32</v>
      </c>
      <c r="AHP86" s="294">
        <v>-259949.57</v>
      </c>
      <c r="AHQ86" s="294">
        <v>-84512.89</v>
      </c>
      <c r="AHR86" s="331">
        <v>-207205.86</v>
      </c>
      <c r="AHS86" s="294">
        <f t="shared" si="51"/>
        <v>-252969775.14000005</v>
      </c>
      <c r="AHT86" s="269" t="b">
        <f t="shared" si="52"/>
        <v>1</v>
      </c>
      <c r="AHU86" s="269" t="s">
        <v>6278</v>
      </c>
      <c r="AHV86" s="269" t="s">
        <v>6115</v>
      </c>
      <c r="AHW86" s="269" t="s">
        <v>6116</v>
      </c>
    </row>
    <row r="87" spans="1:907" ht="24.6" x14ac:dyDescent="0.7">
      <c r="A87" s="268" t="s">
        <v>6278</v>
      </c>
      <c r="B87" s="268" t="s">
        <v>6117</v>
      </c>
      <c r="C87" s="269" t="s">
        <v>6118</v>
      </c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>
        <v>-62260</v>
      </c>
      <c r="AA87" s="294"/>
      <c r="AB87" s="294"/>
      <c r="AC87" s="294"/>
      <c r="AD87" s="294"/>
      <c r="AE87" s="294">
        <v>-96970.26</v>
      </c>
      <c r="AF87" s="294">
        <v>-14000</v>
      </c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>
        <v>-5580</v>
      </c>
      <c r="AS87" s="294">
        <v>-20775</v>
      </c>
      <c r="AT87" s="294"/>
      <c r="AU87" s="294"/>
      <c r="AV87" s="294"/>
      <c r="AW87" s="294"/>
      <c r="AX87" s="294"/>
      <c r="AY87" s="294"/>
      <c r="AZ87" s="294"/>
      <c r="BA87" s="294"/>
      <c r="BB87" s="294"/>
      <c r="BC87" s="294"/>
      <c r="BD87" s="294">
        <v>0</v>
      </c>
      <c r="BE87" s="294"/>
      <c r="BF87" s="294"/>
      <c r="BG87" s="294"/>
      <c r="BH87" s="294"/>
      <c r="BI87" s="294"/>
      <c r="BJ87" s="294"/>
      <c r="BK87" s="294"/>
      <c r="BL87" s="294"/>
      <c r="BM87" s="294"/>
      <c r="BN87" s="294"/>
      <c r="BO87" s="294"/>
      <c r="BP87" s="294"/>
      <c r="BQ87" s="294"/>
      <c r="BR87" s="294"/>
      <c r="BS87" s="294"/>
      <c r="BT87" s="294"/>
      <c r="BU87" s="294"/>
      <c r="BV87" s="294"/>
      <c r="BW87" s="294"/>
      <c r="BX87" s="294"/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294"/>
      <c r="CO87" s="294"/>
      <c r="CP87" s="294"/>
      <c r="CQ87" s="294"/>
      <c r="CR87" s="294"/>
      <c r="CS87" s="294"/>
      <c r="CT87" s="294"/>
      <c r="CU87" s="294"/>
      <c r="CV87" s="294"/>
      <c r="CW87" s="294"/>
      <c r="CX87" s="294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294"/>
      <c r="DL87" s="294"/>
      <c r="DM87" s="294"/>
      <c r="DN87" s="294"/>
      <c r="DO87" s="294"/>
      <c r="DP87" s="294"/>
      <c r="DQ87" s="294"/>
      <c r="DR87" s="294"/>
      <c r="DS87" s="294"/>
      <c r="DT87" s="294"/>
      <c r="DU87" s="294"/>
      <c r="DV87" s="294">
        <v>-49149</v>
      </c>
      <c r="DW87" s="294">
        <v>-26350</v>
      </c>
      <c r="DX87" s="294"/>
      <c r="DY87" s="294"/>
      <c r="DZ87" s="294">
        <v>-13555.15</v>
      </c>
      <c r="EA87" s="294"/>
      <c r="EB87" s="294"/>
      <c r="EC87" s="294"/>
      <c r="ED87" s="294"/>
      <c r="EE87" s="294">
        <v>-57490</v>
      </c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>
        <v>-48000</v>
      </c>
      <c r="ES87" s="294"/>
      <c r="ET87" s="294"/>
      <c r="EU87" s="294">
        <v>-3948</v>
      </c>
      <c r="EV87" s="294"/>
      <c r="EW87" s="294">
        <v>-87800</v>
      </c>
      <c r="EX87" s="294"/>
      <c r="EY87" s="294"/>
      <c r="EZ87" s="294"/>
      <c r="FA87" s="294"/>
      <c r="FB87" s="294"/>
      <c r="FC87" s="294"/>
      <c r="FD87" s="294"/>
      <c r="FE87" s="294"/>
      <c r="FF87" s="294"/>
      <c r="FG87" s="294">
        <v>-1860</v>
      </c>
      <c r="FH87" s="294"/>
      <c r="FI87" s="294"/>
      <c r="FJ87" s="294"/>
      <c r="FK87" s="294"/>
      <c r="FL87" s="294"/>
      <c r="FM87" s="294"/>
      <c r="FN87" s="294"/>
      <c r="FO87" s="294"/>
      <c r="FP87" s="294"/>
      <c r="FQ87" s="294"/>
      <c r="FR87" s="294">
        <v>-15500</v>
      </c>
      <c r="FS87" s="294"/>
      <c r="FT87" s="294"/>
      <c r="FU87" s="294"/>
      <c r="FV87" s="294"/>
      <c r="FW87" s="294"/>
      <c r="FX87" s="294"/>
      <c r="FY87" s="294"/>
      <c r="FZ87" s="294"/>
      <c r="GA87" s="294"/>
      <c r="GB87" s="294"/>
      <c r="GC87" s="294"/>
      <c r="GD87" s="294"/>
      <c r="GE87" s="294"/>
      <c r="GF87" s="294"/>
      <c r="GG87" s="294"/>
      <c r="GH87" s="294"/>
      <c r="GI87" s="294"/>
      <c r="GJ87" s="294"/>
      <c r="GK87" s="294"/>
      <c r="GL87" s="294"/>
      <c r="GM87" s="294"/>
      <c r="GN87" s="294"/>
      <c r="GO87" s="294"/>
      <c r="GP87" s="294"/>
      <c r="GQ87" s="294">
        <v>-21828</v>
      </c>
      <c r="GR87" s="294"/>
      <c r="GS87" s="294"/>
      <c r="GT87" s="294"/>
      <c r="GU87" s="294">
        <v>0</v>
      </c>
      <c r="GV87" s="294"/>
      <c r="GW87" s="294"/>
      <c r="GX87" s="294"/>
      <c r="GY87" s="294"/>
      <c r="GZ87" s="294"/>
      <c r="HA87" s="294"/>
      <c r="HB87" s="294"/>
      <c r="HC87" s="294"/>
      <c r="HD87" s="294"/>
      <c r="HE87" s="294"/>
      <c r="HF87" s="294"/>
      <c r="HG87" s="294"/>
      <c r="HH87" s="294"/>
      <c r="HI87" s="294"/>
      <c r="HJ87" s="294"/>
      <c r="HK87" s="294"/>
      <c r="HL87" s="294"/>
      <c r="HM87" s="294"/>
      <c r="HN87" s="294"/>
      <c r="HO87" s="294"/>
      <c r="HP87" s="294"/>
      <c r="HQ87" s="294"/>
      <c r="HR87" s="294"/>
      <c r="HS87" s="294"/>
      <c r="HT87" s="294"/>
      <c r="HU87" s="294"/>
      <c r="HV87" s="294"/>
      <c r="HW87" s="294"/>
      <c r="HX87" s="294"/>
      <c r="HY87" s="294"/>
      <c r="HZ87" s="294"/>
      <c r="IA87" s="294">
        <v>-4000</v>
      </c>
      <c r="IB87" s="294"/>
      <c r="IC87" s="294"/>
      <c r="ID87" s="294"/>
      <c r="IE87" s="294"/>
      <c r="IF87" s="294"/>
      <c r="IG87" s="294"/>
      <c r="IH87" s="294"/>
      <c r="II87" s="294"/>
      <c r="IJ87" s="294"/>
      <c r="IK87" s="294">
        <v>-4000</v>
      </c>
      <c r="IL87" s="294">
        <v>-4400</v>
      </c>
      <c r="IM87" s="294"/>
      <c r="IN87" s="294"/>
      <c r="IO87" s="294">
        <v>-27700</v>
      </c>
      <c r="IP87" s="294"/>
      <c r="IQ87" s="294"/>
      <c r="IR87" s="294"/>
      <c r="IS87" s="294"/>
      <c r="IT87" s="294"/>
      <c r="IU87" s="294"/>
      <c r="IV87" s="294"/>
      <c r="IW87" s="294"/>
      <c r="IX87" s="294">
        <v>-30260</v>
      </c>
      <c r="IY87" s="294"/>
      <c r="IZ87" s="294"/>
      <c r="JA87" s="294"/>
      <c r="JB87" s="294"/>
      <c r="JC87" s="294"/>
      <c r="JD87" s="294"/>
      <c r="JE87" s="294"/>
      <c r="JF87" s="294"/>
      <c r="JG87" s="294"/>
      <c r="JH87" s="294"/>
      <c r="JI87" s="294"/>
      <c r="JJ87" s="294"/>
      <c r="JK87" s="294"/>
      <c r="JL87" s="294"/>
      <c r="JM87" s="294">
        <v>-197522</v>
      </c>
      <c r="JN87" s="294"/>
      <c r="JO87" s="294">
        <v>-45047</v>
      </c>
      <c r="JP87" s="294"/>
      <c r="JQ87" s="294"/>
      <c r="JR87" s="294"/>
      <c r="JS87" s="294"/>
      <c r="JT87" s="294"/>
      <c r="JU87" s="294"/>
      <c r="JV87" s="294"/>
      <c r="JW87" s="294"/>
      <c r="JX87" s="294"/>
      <c r="JY87" s="294"/>
      <c r="JZ87" s="294"/>
      <c r="KA87" s="294"/>
      <c r="KB87" s="294"/>
      <c r="KC87" s="294"/>
      <c r="KD87" s="294"/>
      <c r="KE87" s="294"/>
      <c r="KF87" s="294"/>
      <c r="KG87" s="294"/>
      <c r="KH87" s="294"/>
      <c r="KI87" s="294"/>
      <c r="KJ87" s="294"/>
      <c r="KK87" s="294"/>
      <c r="KL87" s="294"/>
      <c r="KM87" s="294"/>
      <c r="KN87" s="294"/>
      <c r="KO87" s="294"/>
      <c r="KP87" s="294"/>
      <c r="KQ87" s="294"/>
      <c r="KR87" s="294"/>
      <c r="KS87" s="294">
        <v>-3680</v>
      </c>
      <c r="KT87" s="294"/>
      <c r="KU87" s="294">
        <v>-2500</v>
      </c>
      <c r="KV87" s="294"/>
      <c r="KW87" s="294"/>
      <c r="KX87" s="294"/>
      <c r="KY87" s="294"/>
      <c r="KZ87" s="294"/>
      <c r="LA87" s="294">
        <v>-38232</v>
      </c>
      <c r="LB87" s="294"/>
      <c r="LC87" s="294"/>
      <c r="LD87" s="294"/>
      <c r="LE87" s="294"/>
      <c r="LF87" s="294"/>
      <c r="LG87" s="294"/>
      <c r="LH87" s="294"/>
      <c r="LI87" s="294"/>
      <c r="LJ87" s="294"/>
      <c r="LK87" s="294"/>
      <c r="LL87" s="294"/>
      <c r="LM87" s="294"/>
      <c r="LN87" s="294"/>
      <c r="LO87" s="294"/>
      <c r="LP87" s="294"/>
      <c r="LQ87" s="294"/>
      <c r="LR87" s="294"/>
      <c r="LS87" s="294"/>
      <c r="LT87" s="294"/>
      <c r="LU87" s="294">
        <v>-132140</v>
      </c>
      <c r="LV87" s="294"/>
      <c r="LW87" s="294"/>
      <c r="LX87" s="294"/>
      <c r="LY87" s="294"/>
      <c r="LZ87" s="294">
        <v>-42160</v>
      </c>
      <c r="MA87" s="294"/>
      <c r="MB87" s="294"/>
      <c r="MC87" s="294"/>
      <c r="MD87" s="294"/>
      <c r="ME87" s="294"/>
      <c r="MF87" s="294"/>
      <c r="MG87" s="294">
        <v>-702713.5</v>
      </c>
      <c r="MH87" s="294"/>
      <c r="MI87" s="294"/>
      <c r="MJ87" s="294"/>
      <c r="MK87" s="294"/>
      <c r="ML87" s="294"/>
      <c r="MM87" s="294"/>
      <c r="MN87" s="294"/>
      <c r="MO87" s="294"/>
      <c r="MP87" s="294"/>
      <c r="MQ87" s="294"/>
      <c r="MR87" s="294"/>
      <c r="MS87" s="294"/>
      <c r="MT87" s="294"/>
      <c r="MU87" s="294"/>
      <c r="MV87" s="294"/>
      <c r="MW87" s="294">
        <v>-13125</v>
      </c>
      <c r="MX87" s="294"/>
      <c r="MY87" s="294"/>
      <c r="MZ87" s="294"/>
      <c r="NA87" s="294"/>
      <c r="NB87" s="294"/>
      <c r="NC87" s="294"/>
      <c r="ND87" s="294"/>
      <c r="NE87" s="294"/>
      <c r="NF87" s="294"/>
      <c r="NG87" s="294"/>
      <c r="NH87" s="294"/>
      <c r="NI87" s="294"/>
      <c r="NJ87" s="294"/>
      <c r="NK87" s="294"/>
      <c r="NL87" s="294"/>
      <c r="NM87" s="294"/>
      <c r="NN87" s="294"/>
      <c r="NO87" s="294"/>
      <c r="NP87" s="294"/>
      <c r="NQ87" s="294"/>
      <c r="NR87" s="294"/>
      <c r="NS87" s="294"/>
      <c r="NT87" s="294"/>
      <c r="NU87" s="294"/>
      <c r="NV87" s="294"/>
      <c r="NW87" s="294"/>
      <c r="NX87" s="294"/>
      <c r="NY87" s="294"/>
      <c r="NZ87" s="294"/>
      <c r="OA87" s="294">
        <v>-52680</v>
      </c>
      <c r="OB87" s="294"/>
      <c r="OC87" s="294"/>
      <c r="OD87" s="294"/>
      <c r="OE87" s="294"/>
      <c r="OF87" s="294">
        <v>-4960</v>
      </c>
      <c r="OG87" s="294"/>
      <c r="OH87" s="294"/>
      <c r="OI87" s="294">
        <v>-1307.9000000000001</v>
      </c>
      <c r="OJ87" s="294"/>
      <c r="OK87" s="294"/>
      <c r="OL87" s="294"/>
      <c r="OM87" s="294"/>
      <c r="ON87" s="294"/>
      <c r="OO87" s="294"/>
      <c r="OP87" s="294"/>
      <c r="OQ87" s="294"/>
      <c r="OR87" s="294"/>
      <c r="OS87" s="294"/>
      <c r="OT87" s="294">
        <v>-1200</v>
      </c>
      <c r="OU87" s="294"/>
      <c r="OV87" s="294"/>
      <c r="OW87" s="294"/>
      <c r="OX87" s="294"/>
      <c r="OY87" s="294"/>
      <c r="OZ87" s="294"/>
      <c r="PA87" s="294"/>
      <c r="PB87" s="294"/>
      <c r="PC87" s="294"/>
      <c r="PD87" s="294"/>
      <c r="PE87" s="294">
        <v>-54450</v>
      </c>
      <c r="PF87" s="294"/>
      <c r="PG87" s="294"/>
      <c r="PH87" s="294"/>
      <c r="PI87" s="294">
        <v>-20850</v>
      </c>
      <c r="PJ87" s="294"/>
      <c r="PK87" s="294"/>
      <c r="PL87" s="294"/>
      <c r="PM87" s="294"/>
      <c r="PN87" s="294"/>
      <c r="PO87" s="294"/>
      <c r="PP87" s="294"/>
      <c r="PQ87" s="294"/>
      <c r="PR87" s="294">
        <v>-12593.9</v>
      </c>
      <c r="PS87" s="294">
        <v>-68750</v>
      </c>
      <c r="PT87" s="294"/>
      <c r="PU87" s="294"/>
      <c r="PV87" s="294"/>
      <c r="PW87" s="294"/>
      <c r="PX87" s="294">
        <v>-93427</v>
      </c>
      <c r="PY87" s="294"/>
      <c r="PZ87" s="294"/>
      <c r="QA87" s="294"/>
      <c r="QB87" s="294"/>
      <c r="QC87" s="294"/>
      <c r="QD87" s="294"/>
      <c r="QE87" s="294"/>
      <c r="QF87" s="294"/>
      <c r="QG87" s="294">
        <v>-8400</v>
      </c>
      <c r="QH87" s="294"/>
      <c r="QI87" s="294"/>
      <c r="QJ87" s="294"/>
      <c r="QK87" s="294"/>
      <c r="QL87" s="294"/>
      <c r="QM87" s="294"/>
      <c r="QN87" s="294"/>
      <c r="QO87" s="294"/>
      <c r="QP87" s="294"/>
      <c r="QQ87" s="294"/>
      <c r="QR87" s="294"/>
      <c r="QS87" s="294"/>
      <c r="QT87" s="294"/>
      <c r="QU87" s="294"/>
      <c r="QV87" s="294"/>
      <c r="QW87" s="294"/>
      <c r="QX87" s="294"/>
      <c r="QY87" s="294"/>
      <c r="QZ87" s="294"/>
      <c r="RA87" s="294"/>
      <c r="RB87" s="294"/>
      <c r="RC87" s="294"/>
      <c r="RD87" s="294"/>
      <c r="RE87" s="294"/>
      <c r="RF87" s="294"/>
      <c r="RG87" s="294"/>
      <c r="RH87" s="294"/>
      <c r="RI87" s="294">
        <v>-7704</v>
      </c>
      <c r="RJ87" s="294"/>
      <c r="RK87" s="294"/>
      <c r="RL87" s="294"/>
      <c r="RM87" s="294"/>
      <c r="RN87" s="294"/>
      <c r="RO87" s="294"/>
      <c r="RP87" s="294"/>
      <c r="RQ87" s="294"/>
      <c r="RR87" s="294"/>
      <c r="RS87" s="294"/>
      <c r="RT87" s="294"/>
      <c r="RU87" s="294"/>
      <c r="RV87" s="294"/>
      <c r="RW87" s="294"/>
      <c r="RX87" s="294"/>
      <c r="RY87" s="294"/>
      <c r="RZ87" s="294"/>
      <c r="SA87" s="294"/>
      <c r="SB87" s="294"/>
      <c r="SC87" s="294"/>
      <c r="SD87" s="294"/>
      <c r="SE87" s="294"/>
      <c r="SF87" s="294"/>
      <c r="SG87" s="294"/>
      <c r="SH87" s="294"/>
      <c r="SI87" s="294">
        <v>-35100</v>
      </c>
      <c r="SJ87" s="294"/>
      <c r="SK87" s="294"/>
      <c r="SL87" s="294"/>
      <c r="SM87" s="294"/>
      <c r="SN87" s="294"/>
      <c r="SO87" s="294"/>
      <c r="SP87" s="294"/>
      <c r="SQ87" s="294">
        <v>-8890</v>
      </c>
      <c r="SR87" s="294"/>
      <c r="SS87" s="294"/>
      <c r="ST87" s="294"/>
      <c r="SU87" s="294"/>
      <c r="SV87" s="294"/>
      <c r="SW87" s="294"/>
      <c r="SX87" s="294"/>
      <c r="SY87" s="294"/>
      <c r="SZ87" s="294">
        <v>-100000</v>
      </c>
      <c r="TA87" s="294"/>
      <c r="TB87" s="294"/>
      <c r="TC87" s="294"/>
      <c r="TD87" s="294"/>
      <c r="TE87" s="294"/>
      <c r="TF87" s="294"/>
      <c r="TG87" s="294"/>
      <c r="TH87" s="294"/>
      <c r="TI87" s="294"/>
      <c r="TJ87" s="294"/>
      <c r="TK87" s="294"/>
      <c r="TL87" s="294"/>
      <c r="TM87" s="294"/>
      <c r="TN87" s="294"/>
      <c r="TO87" s="294"/>
      <c r="TP87" s="294"/>
      <c r="TQ87" s="294"/>
      <c r="TR87" s="294"/>
      <c r="TS87" s="294"/>
      <c r="TT87" s="294"/>
      <c r="TU87" s="294"/>
      <c r="TV87" s="294"/>
      <c r="TW87" s="294"/>
      <c r="TX87" s="294"/>
      <c r="TY87" s="294"/>
      <c r="TZ87" s="294"/>
      <c r="UA87" s="294"/>
      <c r="UB87" s="294">
        <v>-73000</v>
      </c>
      <c r="UC87" s="294">
        <v>-102730</v>
      </c>
      <c r="UD87" s="294"/>
      <c r="UE87" s="294"/>
      <c r="UF87" s="294"/>
      <c r="UG87" s="294"/>
      <c r="UH87" s="294">
        <v>-42810</v>
      </c>
      <c r="UI87" s="294"/>
      <c r="UJ87" s="294">
        <v>-120407.5</v>
      </c>
      <c r="UK87" s="294"/>
      <c r="UL87" s="294"/>
      <c r="UM87" s="294"/>
      <c r="UN87" s="294"/>
      <c r="UO87" s="294"/>
      <c r="UP87" s="294"/>
      <c r="UQ87" s="294"/>
      <c r="UR87" s="294"/>
      <c r="US87" s="294">
        <v>-3700</v>
      </c>
      <c r="UT87" s="294"/>
      <c r="UU87" s="294"/>
      <c r="UV87" s="294"/>
      <c r="UW87" s="294"/>
      <c r="UX87" s="294">
        <v>-129500</v>
      </c>
      <c r="UY87" s="294"/>
      <c r="UZ87" s="294"/>
      <c r="VA87" s="294"/>
      <c r="VB87" s="294">
        <v>-1765</v>
      </c>
      <c r="VC87" s="294"/>
      <c r="VD87" s="294"/>
      <c r="VE87" s="294"/>
      <c r="VF87" s="294"/>
      <c r="VG87" s="294">
        <v>-8000</v>
      </c>
      <c r="VH87" s="294"/>
      <c r="VI87" s="294"/>
      <c r="VJ87" s="294"/>
      <c r="VK87" s="294"/>
      <c r="VL87" s="294"/>
      <c r="VM87" s="294"/>
      <c r="VN87" s="294"/>
      <c r="VO87" s="294"/>
      <c r="VP87" s="294"/>
      <c r="VQ87" s="294"/>
      <c r="VR87" s="294"/>
      <c r="VS87" s="294"/>
      <c r="VT87" s="294"/>
      <c r="VU87" s="294"/>
      <c r="VV87" s="294"/>
      <c r="VW87" s="294"/>
      <c r="VX87" s="294"/>
      <c r="VY87" s="294"/>
      <c r="VZ87" s="294"/>
      <c r="WA87" s="294"/>
      <c r="WB87" s="294"/>
      <c r="WC87" s="294"/>
      <c r="WD87" s="294"/>
      <c r="WE87" s="294"/>
      <c r="WF87" s="294"/>
      <c r="WG87" s="294"/>
      <c r="WH87" s="294"/>
      <c r="WI87" s="294"/>
      <c r="WJ87" s="294"/>
      <c r="WK87" s="294"/>
      <c r="WL87" s="294"/>
      <c r="WM87" s="294">
        <v>-1062524.3700000001</v>
      </c>
      <c r="WN87" s="294"/>
      <c r="WO87" s="294"/>
      <c r="WP87" s="294"/>
      <c r="WQ87" s="294"/>
      <c r="WR87" s="294"/>
      <c r="WS87" s="294"/>
      <c r="WT87" s="294"/>
      <c r="WU87" s="294"/>
      <c r="WV87" s="294"/>
      <c r="WW87" s="294"/>
      <c r="WX87" s="294"/>
      <c r="WY87" s="294"/>
      <c r="WZ87" s="294">
        <v>-76962</v>
      </c>
      <c r="XA87" s="294"/>
      <c r="XB87" s="294"/>
      <c r="XC87" s="294"/>
      <c r="XD87" s="294"/>
      <c r="XE87" s="294"/>
      <c r="XF87" s="294"/>
      <c r="XG87" s="294"/>
      <c r="XH87" s="294"/>
      <c r="XI87" s="294"/>
      <c r="XJ87" s="294"/>
      <c r="XK87" s="294"/>
      <c r="XL87" s="294"/>
      <c r="XM87" s="294"/>
      <c r="XN87" s="294"/>
      <c r="XO87" s="294"/>
      <c r="XP87" s="294"/>
      <c r="XQ87" s="294"/>
      <c r="XR87" s="294"/>
      <c r="XS87" s="294"/>
      <c r="XT87" s="294"/>
      <c r="XU87" s="294"/>
      <c r="XV87" s="294"/>
      <c r="XW87" s="294"/>
      <c r="XX87" s="294"/>
      <c r="XY87" s="294"/>
      <c r="XZ87" s="294"/>
      <c r="YA87" s="294"/>
      <c r="YB87" s="294"/>
      <c r="YC87" s="294"/>
      <c r="YD87" s="294"/>
      <c r="YE87" s="294"/>
      <c r="YF87" s="294"/>
      <c r="YG87" s="294"/>
      <c r="YH87" s="294"/>
      <c r="YI87" s="294">
        <v>-56250</v>
      </c>
      <c r="YJ87" s="294"/>
      <c r="YK87" s="294"/>
      <c r="YL87" s="294"/>
      <c r="YM87" s="294"/>
      <c r="YN87" s="294"/>
      <c r="YO87" s="294"/>
      <c r="YP87" s="294"/>
      <c r="YQ87" s="294"/>
      <c r="YR87" s="294"/>
      <c r="YS87" s="294"/>
      <c r="YT87" s="294"/>
      <c r="YU87" s="294"/>
      <c r="YV87" s="294"/>
      <c r="YW87" s="294"/>
      <c r="YX87" s="294"/>
      <c r="YY87" s="294"/>
      <c r="YZ87" s="294"/>
      <c r="ZA87" s="294"/>
      <c r="ZB87" s="294"/>
      <c r="ZC87" s="294">
        <v>-22791</v>
      </c>
      <c r="ZD87" s="294">
        <v>-28950</v>
      </c>
      <c r="ZE87" s="294"/>
      <c r="ZF87" s="294"/>
      <c r="ZG87" s="294"/>
      <c r="ZH87" s="294"/>
      <c r="ZI87" s="294"/>
      <c r="ZJ87" s="294"/>
      <c r="ZK87" s="294"/>
      <c r="ZL87" s="294"/>
      <c r="ZM87" s="294"/>
      <c r="ZN87" s="294"/>
      <c r="ZO87" s="294"/>
      <c r="ZP87" s="294"/>
      <c r="ZQ87" s="294"/>
      <c r="ZR87" s="294"/>
      <c r="ZS87" s="294"/>
      <c r="ZT87" s="294"/>
      <c r="ZU87" s="294"/>
      <c r="ZV87" s="294"/>
      <c r="ZW87" s="294"/>
      <c r="ZX87" s="294">
        <v>-23400</v>
      </c>
      <c r="ZY87" s="294"/>
      <c r="ZZ87" s="294"/>
      <c r="AAA87" s="294"/>
      <c r="AAB87" s="294"/>
      <c r="AAC87" s="294"/>
      <c r="AAD87" s="294"/>
      <c r="AAE87" s="294"/>
      <c r="AAF87" s="294"/>
      <c r="AAG87" s="294"/>
      <c r="AAH87" s="294">
        <v>-33500</v>
      </c>
      <c r="AAI87" s="294"/>
      <c r="AAJ87" s="294"/>
      <c r="AAK87" s="294"/>
      <c r="AAL87" s="294"/>
      <c r="AAM87" s="294"/>
      <c r="AAN87" s="294"/>
      <c r="AAO87" s="294">
        <v>-2838218.8</v>
      </c>
      <c r="AAP87" s="294">
        <v>-11250</v>
      </c>
      <c r="AAQ87" s="294"/>
      <c r="AAR87" s="294"/>
      <c r="AAS87" s="294"/>
      <c r="AAT87" s="294"/>
      <c r="AAU87" s="294"/>
      <c r="AAV87" s="294"/>
      <c r="AAW87" s="294"/>
      <c r="AAX87" s="294"/>
      <c r="AAY87" s="294"/>
      <c r="AAZ87" s="294"/>
      <c r="ABA87" s="294"/>
      <c r="ABB87" s="294"/>
      <c r="ABC87" s="294">
        <v>-21420</v>
      </c>
      <c r="ABD87" s="294"/>
      <c r="ABE87" s="294"/>
      <c r="ABF87" s="294"/>
      <c r="ABG87" s="294"/>
      <c r="ABH87" s="294"/>
      <c r="ABI87" s="294">
        <v>0</v>
      </c>
      <c r="ABJ87" s="294"/>
      <c r="ABK87" s="294">
        <v>0</v>
      </c>
      <c r="ABL87" s="294"/>
      <c r="ABM87" s="294"/>
      <c r="ABN87" s="294"/>
      <c r="ABO87" s="294">
        <v>-589000</v>
      </c>
      <c r="ABP87" s="294"/>
      <c r="ABQ87" s="294"/>
      <c r="ABR87" s="294"/>
      <c r="ABS87" s="294"/>
      <c r="ABT87" s="294"/>
      <c r="ABU87" s="294"/>
      <c r="ABV87" s="294"/>
      <c r="ABW87" s="294"/>
      <c r="ABX87" s="294"/>
      <c r="ABY87" s="294"/>
      <c r="ABZ87" s="294"/>
      <c r="ACA87" s="294"/>
      <c r="ACB87" s="294"/>
      <c r="ACC87" s="294"/>
      <c r="ACD87" s="294"/>
      <c r="ACE87" s="294">
        <v>-1980</v>
      </c>
      <c r="ACF87" s="294"/>
      <c r="ACG87" s="294"/>
      <c r="ACH87" s="294"/>
      <c r="ACI87" s="294">
        <v>0</v>
      </c>
      <c r="ACJ87" s="294"/>
      <c r="ACK87" s="294"/>
      <c r="ACL87" s="294"/>
      <c r="ACM87" s="294">
        <v>-73170</v>
      </c>
      <c r="ACN87" s="294"/>
      <c r="ACO87" s="294"/>
      <c r="ACP87" s="294"/>
      <c r="ACQ87" s="294"/>
      <c r="ACR87" s="294"/>
      <c r="ACS87" s="294">
        <v>-1</v>
      </c>
      <c r="ACT87" s="294"/>
      <c r="ACU87" s="294"/>
      <c r="ACV87" s="294">
        <v>-111956</v>
      </c>
      <c r="ACW87" s="294"/>
      <c r="ACX87" s="294">
        <v>-41627.5</v>
      </c>
      <c r="ACY87" s="294"/>
      <c r="ACZ87" s="294"/>
      <c r="ADA87" s="294">
        <v>-695857.1</v>
      </c>
      <c r="ADB87" s="294"/>
      <c r="ADC87" s="294"/>
      <c r="ADD87" s="294"/>
      <c r="ADE87" s="294"/>
      <c r="ADF87" s="294">
        <v>-9000</v>
      </c>
      <c r="ADG87" s="294"/>
      <c r="ADH87" s="294">
        <v>-21309</v>
      </c>
      <c r="ADI87" s="294">
        <v>-4000</v>
      </c>
      <c r="ADJ87" s="294"/>
      <c r="ADK87" s="294">
        <v>-48390</v>
      </c>
      <c r="ADL87" s="294"/>
      <c r="ADM87" s="294"/>
      <c r="ADN87" s="294"/>
      <c r="ADO87" s="294">
        <v>-862550</v>
      </c>
      <c r="ADP87" s="294"/>
      <c r="ADQ87" s="294"/>
      <c r="ADR87" s="294"/>
      <c r="ADS87" s="294"/>
      <c r="ADT87" s="294"/>
      <c r="ADU87" s="294"/>
      <c r="ADV87" s="294"/>
      <c r="ADW87" s="294"/>
      <c r="ADX87" s="294"/>
      <c r="ADY87" s="294"/>
      <c r="ADZ87" s="294"/>
      <c r="AEA87" s="294"/>
      <c r="AEB87" s="294"/>
      <c r="AEC87" s="294"/>
      <c r="AED87" s="294"/>
      <c r="AEE87" s="294"/>
      <c r="AEF87" s="294"/>
      <c r="AEG87" s="294"/>
      <c r="AEH87" s="294"/>
      <c r="AEI87" s="294">
        <v>-34260</v>
      </c>
      <c r="AEJ87" s="294"/>
      <c r="AEK87" s="294"/>
      <c r="AEL87" s="294"/>
      <c r="AEM87" s="294"/>
      <c r="AEN87" s="294"/>
      <c r="AEO87" s="294"/>
      <c r="AEP87" s="294"/>
      <c r="AEQ87" s="294"/>
      <c r="AER87" s="294"/>
      <c r="AES87" s="294"/>
      <c r="AET87" s="294"/>
      <c r="AEU87" s="294"/>
      <c r="AEV87" s="294"/>
      <c r="AEW87" s="294"/>
      <c r="AEX87" s="294"/>
      <c r="AEY87" s="294"/>
      <c r="AEZ87" s="294"/>
      <c r="AFA87" s="294"/>
      <c r="AFB87" s="294"/>
      <c r="AFC87" s="294"/>
      <c r="AFD87" s="294"/>
      <c r="AFE87" s="294"/>
      <c r="AFF87" s="294"/>
      <c r="AFG87" s="294"/>
      <c r="AFH87" s="294"/>
      <c r="AFI87" s="294"/>
      <c r="AFJ87" s="294"/>
      <c r="AFK87" s="294"/>
      <c r="AFL87" s="294"/>
      <c r="AFM87" s="294"/>
      <c r="AFN87" s="294"/>
      <c r="AFO87" s="294"/>
      <c r="AFP87" s="294"/>
      <c r="AFQ87" s="294"/>
      <c r="AFR87" s="294"/>
      <c r="AFS87" s="294"/>
      <c r="AFT87" s="294"/>
      <c r="AFU87" s="294"/>
      <c r="AFV87" s="294"/>
      <c r="AFW87" s="294"/>
      <c r="AFX87" s="294"/>
      <c r="AFY87" s="294"/>
      <c r="AFZ87" s="294"/>
      <c r="AGA87" s="294"/>
      <c r="AGB87" s="294"/>
      <c r="AGC87" s="294"/>
      <c r="AGD87" s="294"/>
      <c r="AGE87" s="294">
        <v>-10540</v>
      </c>
      <c r="AGF87" s="294"/>
      <c r="AGG87" s="294"/>
      <c r="AGH87" s="294"/>
      <c r="AGI87" s="294"/>
      <c r="AGJ87" s="294"/>
      <c r="AGK87" s="294"/>
      <c r="AGL87" s="294"/>
      <c r="AGM87" s="294"/>
      <c r="AGN87" s="294"/>
      <c r="AGO87" s="294"/>
      <c r="AGP87" s="294"/>
      <c r="AGQ87" s="294"/>
      <c r="AGR87" s="294"/>
      <c r="AGS87" s="294"/>
      <c r="AGT87" s="294"/>
      <c r="AGU87" s="294"/>
      <c r="AGV87" s="294"/>
      <c r="AGW87" s="294"/>
      <c r="AGX87" s="294"/>
      <c r="AGY87" s="294"/>
      <c r="AGZ87" s="294"/>
      <c r="AHA87" s="294"/>
      <c r="AHB87" s="294"/>
      <c r="AHC87" s="294"/>
      <c r="AHD87" s="294"/>
      <c r="AHE87" s="294"/>
      <c r="AHF87" s="294"/>
      <c r="AHG87" s="294"/>
      <c r="AHH87" s="294">
        <v>-11360</v>
      </c>
      <c r="AHI87" s="294"/>
      <c r="AHJ87" s="294"/>
      <c r="AHK87" s="294"/>
      <c r="AHL87" s="294"/>
      <c r="AHM87" s="294"/>
      <c r="AHN87" s="294"/>
      <c r="AHO87" s="294"/>
      <c r="AHP87" s="294"/>
      <c r="AHQ87" s="294"/>
      <c r="AHR87" s="331"/>
      <c r="AHS87" s="294">
        <f t="shared" si="51"/>
        <v>-9415036.9800000004</v>
      </c>
      <c r="AHT87" s="269" t="b">
        <f t="shared" si="52"/>
        <v>1</v>
      </c>
      <c r="AHU87" s="269" t="s">
        <v>6278</v>
      </c>
      <c r="AHV87" s="269" t="s">
        <v>6117</v>
      </c>
      <c r="AHW87" s="269" t="s">
        <v>6118</v>
      </c>
    </row>
    <row r="88" spans="1:907" ht="24.6" x14ac:dyDescent="0.7">
      <c r="A88" s="268" t="s">
        <v>6278</v>
      </c>
      <c r="B88" s="268" t="s">
        <v>6119</v>
      </c>
      <c r="C88" s="269" t="s">
        <v>6120</v>
      </c>
      <c r="D88" s="294"/>
      <c r="E88" s="294">
        <v>-61420</v>
      </c>
      <c r="F88" s="294"/>
      <c r="G88" s="294">
        <v>-41240</v>
      </c>
      <c r="H88" s="294"/>
      <c r="I88" s="294"/>
      <c r="J88" s="294">
        <v>-939815</v>
      </c>
      <c r="K88" s="294">
        <v>0</v>
      </c>
      <c r="L88" s="294"/>
      <c r="M88" s="294"/>
      <c r="N88" s="294"/>
      <c r="O88" s="294">
        <v>-39510</v>
      </c>
      <c r="P88" s="294"/>
      <c r="Q88" s="294"/>
      <c r="R88" s="294"/>
      <c r="S88" s="294">
        <v>-5718895</v>
      </c>
      <c r="T88" s="294">
        <v>-5002976</v>
      </c>
      <c r="U88" s="294"/>
      <c r="V88" s="294"/>
      <c r="W88" s="294">
        <v>-6950773.6799999997</v>
      </c>
      <c r="X88" s="294"/>
      <c r="Y88" s="294"/>
      <c r="Z88" s="294"/>
      <c r="AA88" s="294"/>
      <c r="AB88" s="294"/>
      <c r="AC88" s="294">
        <v>-5063850</v>
      </c>
      <c r="AD88" s="294"/>
      <c r="AE88" s="294">
        <v>-139617.51</v>
      </c>
      <c r="AF88" s="294">
        <v>-11342240</v>
      </c>
      <c r="AG88" s="294"/>
      <c r="AH88" s="294"/>
      <c r="AI88" s="294"/>
      <c r="AJ88" s="294"/>
      <c r="AK88" s="294"/>
      <c r="AL88" s="294"/>
      <c r="AM88" s="294">
        <v>0</v>
      </c>
      <c r="AN88" s="294"/>
      <c r="AO88" s="294"/>
      <c r="AP88" s="294">
        <v>-3800</v>
      </c>
      <c r="AQ88" s="294"/>
      <c r="AR88" s="294"/>
      <c r="AS88" s="294"/>
      <c r="AT88" s="294">
        <v>-326390</v>
      </c>
      <c r="AU88" s="294"/>
      <c r="AV88" s="294">
        <v>-500</v>
      </c>
      <c r="AW88" s="294">
        <v>-26460</v>
      </c>
      <c r="AX88" s="294">
        <v>-62165</v>
      </c>
      <c r="AY88" s="294"/>
      <c r="AZ88" s="294"/>
      <c r="BA88" s="294"/>
      <c r="BB88" s="294"/>
      <c r="BC88" s="294"/>
      <c r="BD88" s="294"/>
      <c r="BE88" s="294"/>
      <c r="BF88" s="294"/>
      <c r="BG88" s="294"/>
      <c r="BH88" s="294">
        <v>-65513</v>
      </c>
      <c r="BI88" s="294">
        <v>-616120</v>
      </c>
      <c r="BJ88" s="294"/>
      <c r="BK88" s="294"/>
      <c r="BL88" s="294">
        <v>-80000</v>
      </c>
      <c r="BM88" s="294"/>
      <c r="BN88" s="294">
        <v>-225684</v>
      </c>
      <c r="BO88" s="294"/>
      <c r="BP88" s="294">
        <v>-24445</v>
      </c>
      <c r="BQ88" s="294"/>
      <c r="BR88" s="294">
        <v>0</v>
      </c>
      <c r="BS88" s="294">
        <v>0</v>
      </c>
      <c r="BT88" s="294"/>
      <c r="BU88" s="294"/>
      <c r="BV88" s="294"/>
      <c r="BW88" s="294"/>
      <c r="BX88" s="294"/>
      <c r="BY88" s="294"/>
      <c r="BZ88" s="294"/>
      <c r="CA88" s="294"/>
      <c r="CB88" s="294"/>
      <c r="CC88" s="294"/>
      <c r="CD88" s="294"/>
      <c r="CE88" s="294">
        <v>-36000</v>
      </c>
      <c r="CF88" s="294"/>
      <c r="CG88" s="294">
        <v>-251600</v>
      </c>
      <c r="CH88" s="294">
        <v>0</v>
      </c>
      <c r="CI88" s="294">
        <v>0</v>
      </c>
      <c r="CJ88" s="294"/>
      <c r="CK88" s="294">
        <v>-1050</v>
      </c>
      <c r="CL88" s="294"/>
      <c r="CM88" s="294">
        <v>-250</v>
      </c>
      <c r="CN88" s="294"/>
      <c r="CO88" s="294">
        <v>-25265</v>
      </c>
      <c r="CP88" s="294">
        <v>-9350</v>
      </c>
      <c r="CQ88" s="294">
        <v>-1400</v>
      </c>
      <c r="CR88" s="294">
        <v>-3800</v>
      </c>
      <c r="CS88" s="294">
        <v>-650</v>
      </c>
      <c r="CT88" s="294"/>
      <c r="CU88" s="294">
        <v>0</v>
      </c>
      <c r="CV88" s="294"/>
      <c r="CW88" s="294"/>
      <c r="CX88" s="294"/>
      <c r="CY88" s="294">
        <v>0</v>
      </c>
      <c r="CZ88" s="294"/>
      <c r="DA88" s="294">
        <v>-1000</v>
      </c>
      <c r="DB88" s="294">
        <v>-1039500</v>
      </c>
      <c r="DC88" s="294">
        <v>-374635.5</v>
      </c>
      <c r="DD88" s="294"/>
      <c r="DE88" s="294">
        <v>-835</v>
      </c>
      <c r="DF88" s="294"/>
      <c r="DG88" s="294"/>
      <c r="DH88" s="294">
        <v>-50960</v>
      </c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>
        <v>-1372950</v>
      </c>
      <c r="DT88" s="294">
        <v>-869792</v>
      </c>
      <c r="DU88" s="294">
        <v>-156000</v>
      </c>
      <c r="DV88" s="294">
        <v>-235500</v>
      </c>
      <c r="DW88" s="294">
        <v>-1104575</v>
      </c>
      <c r="DX88" s="294">
        <v>-78000</v>
      </c>
      <c r="DY88" s="294">
        <v>-352545.58</v>
      </c>
      <c r="DZ88" s="294"/>
      <c r="EA88" s="294">
        <v>-7240</v>
      </c>
      <c r="EB88" s="294">
        <v>-520953</v>
      </c>
      <c r="EC88" s="294">
        <v>-26810</v>
      </c>
      <c r="ED88" s="294"/>
      <c r="EE88" s="294"/>
      <c r="EF88" s="294">
        <v>-714614</v>
      </c>
      <c r="EG88" s="294"/>
      <c r="EH88" s="294"/>
      <c r="EI88" s="294">
        <v>-12000</v>
      </c>
      <c r="EJ88" s="294"/>
      <c r="EK88" s="294">
        <v>-2064590</v>
      </c>
      <c r="EL88" s="294"/>
      <c r="EM88" s="294">
        <v>-32190.9</v>
      </c>
      <c r="EN88" s="294"/>
      <c r="EO88" s="294"/>
      <c r="EP88" s="294"/>
      <c r="EQ88" s="294"/>
      <c r="ER88" s="294"/>
      <c r="ES88" s="294"/>
      <c r="ET88" s="294"/>
      <c r="EU88" s="294">
        <v>-3466950</v>
      </c>
      <c r="EV88" s="294"/>
      <c r="EW88" s="294">
        <v>-8841145.1999999993</v>
      </c>
      <c r="EX88" s="294">
        <v>-38475</v>
      </c>
      <c r="EY88" s="294"/>
      <c r="EZ88" s="294"/>
      <c r="FA88" s="294"/>
      <c r="FB88" s="294"/>
      <c r="FC88" s="294">
        <v>-181200</v>
      </c>
      <c r="FD88" s="294"/>
      <c r="FE88" s="294"/>
      <c r="FF88" s="294"/>
      <c r="FG88" s="294"/>
      <c r="FH88" s="294">
        <v>-140000</v>
      </c>
      <c r="FI88" s="294"/>
      <c r="FJ88" s="294"/>
      <c r="FK88" s="294">
        <v>0</v>
      </c>
      <c r="FL88" s="294"/>
      <c r="FM88" s="294">
        <v>0</v>
      </c>
      <c r="FN88" s="294"/>
      <c r="FO88" s="294">
        <v>-240000</v>
      </c>
      <c r="FP88" s="294">
        <v>-30000</v>
      </c>
      <c r="FQ88" s="294"/>
      <c r="FR88" s="294"/>
      <c r="FS88" s="294"/>
      <c r="FT88" s="294">
        <v>-70000</v>
      </c>
      <c r="FU88" s="294"/>
      <c r="FV88" s="294"/>
      <c r="FW88" s="294"/>
      <c r="FX88" s="294"/>
      <c r="FY88" s="294">
        <v>-70000</v>
      </c>
      <c r="FZ88" s="294"/>
      <c r="GA88" s="294">
        <v>-807298.2</v>
      </c>
      <c r="GB88" s="294">
        <v>-120000</v>
      </c>
      <c r="GC88" s="294">
        <v>-76850.8</v>
      </c>
      <c r="GD88" s="294"/>
      <c r="GE88" s="294"/>
      <c r="GF88" s="294"/>
      <c r="GG88" s="294">
        <v>0</v>
      </c>
      <c r="GH88" s="294">
        <v>-2850000</v>
      </c>
      <c r="GI88" s="294">
        <v>-78000</v>
      </c>
      <c r="GJ88" s="294"/>
      <c r="GK88" s="294"/>
      <c r="GL88" s="294">
        <v>-100000</v>
      </c>
      <c r="GM88" s="294"/>
      <c r="GN88" s="294">
        <v>-64000</v>
      </c>
      <c r="GO88" s="294">
        <v>-81000</v>
      </c>
      <c r="GP88" s="294"/>
      <c r="GQ88" s="294">
        <v>-2759820</v>
      </c>
      <c r="GR88" s="294">
        <v>-41500</v>
      </c>
      <c r="GS88" s="294"/>
      <c r="GT88" s="294"/>
      <c r="GU88" s="294">
        <v>-29337.200000000001</v>
      </c>
      <c r="GV88" s="294"/>
      <c r="GW88" s="294"/>
      <c r="GX88" s="294"/>
      <c r="GY88" s="294"/>
      <c r="GZ88" s="294">
        <v>-28000</v>
      </c>
      <c r="HA88" s="294"/>
      <c r="HB88" s="294"/>
      <c r="HC88" s="294"/>
      <c r="HD88" s="294"/>
      <c r="HE88" s="294"/>
      <c r="HF88" s="294"/>
      <c r="HG88" s="294"/>
      <c r="HH88" s="294">
        <v>-92310</v>
      </c>
      <c r="HI88" s="294"/>
      <c r="HJ88" s="294"/>
      <c r="HK88" s="294"/>
      <c r="HL88" s="294">
        <v>0</v>
      </c>
      <c r="HM88" s="294"/>
      <c r="HN88" s="294"/>
      <c r="HO88" s="294"/>
      <c r="HP88" s="294"/>
      <c r="HQ88" s="294"/>
      <c r="HR88" s="294"/>
      <c r="HS88" s="294"/>
      <c r="HT88" s="294"/>
      <c r="HU88" s="294"/>
      <c r="HV88" s="294">
        <v>-6163.2</v>
      </c>
      <c r="HW88" s="294"/>
      <c r="HX88" s="294"/>
      <c r="HY88" s="294"/>
      <c r="HZ88" s="294"/>
      <c r="IA88" s="294"/>
      <c r="IB88" s="294"/>
      <c r="IC88" s="294"/>
      <c r="ID88" s="294"/>
      <c r="IE88" s="294"/>
      <c r="IF88" s="294"/>
      <c r="IG88" s="294"/>
      <c r="IH88" s="294"/>
      <c r="II88" s="294">
        <v>0</v>
      </c>
      <c r="IJ88" s="294"/>
      <c r="IK88" s="294"/>
      <c r="IL88" s="294">
        <v>-945200</v>
      </c>
      <c r="IM88" s="294">
        <v>-281979.2</v>
      </c>
      <c r="IN88" s="294"/>
      <c r="IO88" s="294">
        <v>-150723.64000000001</v>
      </c>
      <c r="IP88" s="294"/>
      <c r="IQ88" s="294">
        <v>-136490.4</v>
      </c>
      <c r="IR88" s="294"/>
      <c r="IS88" s="294">
        <v>-66000</v>
      </c>
      <c r="IT88" s="294">
        <v>-15000</v>
      </c>
      <c r="IU88" s="294">
        <v>-6286.25</v>
      </c>
      <c r="IV88" s="294"/>
      <c r="IW88" s="294">
        <v>-18501.599999999999</v>
      </c>
      <c r="IX88" s="294"/>
      <c r="IY88" s="294"/>
      <c r="IZ88" s="294">
        <v>-9410</v>
      </c>
      <c r="JA88" s="294">
        <v>-30660</v>
      </c>
      <c r="JB88" s="294"/>
      <c r="JC88" s="294"/>
      <c r="JD88" s="294"/>
      <c r="JE88" s="294"/>
      <c r="JF88" s="294">
        <v>-305578</v>
      </c>
      <c r="JG88" s="294"/>
      <c r="JH88" s="294">
        <v>-28152</v>
      </c>
      <c r="JI88" s="294"/>
      <c r="JJ88" s="294">
        <v>-17890</v>
      </c>
      <c r="JK88" s="294">
        <v>-43335</v>
      </c>
      <c r="JL88" s="294"/>
      <c r="JM88" s="294"/>
      <c r="JN88" s="294">
        <v>-869775</v>
      </c>
      <c r="JO88" s="294"/>
      <c r="JP88" s="294"/>
      <c r="JQ88" s="294"/>
      <c r="JR88" s="294">
        <v>-1904260</v>
      </c>
      <c r="JS88" s="294">
        <v>-1950</v>
      </c>
      <c r="JT88" s="294"/>
      <c r="JU88" s="294"/>
      <c r="JV88" s="294"/>
      <c r="JW88" s="294"/>
      <c r="JX88" s="294">
        <v>-7971563.9000000004</v>
      </c>
      <c r="JY88" s="294">
        <v>-26430</v>
      </c>
      <c r="JZ88" s="294">
        <v>-6222.05</v>
      </c>
      <c r="KA88" s="294"/>
      <c r="KB88" s="294">
        <v>-15068.9</v>
      </c>
      <c r="KC88" s="294"/>
      <c r="KD88" s="294">
        <v>-70000</v>
      </c>
      <c r="KE88" s="294"/>
      <c r="KF88" s="294">
        <v>-5885</v>
      </c>
      <c r="KG88" s="294">
        <v>-70000</v>
      </c>
      <c r="KH88" s="294"/>
      <c r="KI88" s="294"/>
      <c r="KJ88" s="294"/>
      <c r="KK88" s="294">
        <v>-343218.3</v>
      </c>
      <c r="KL88" s="294">
        <v>0</v>
      </c>
      <c r="KM88" s="294"/>
      <c r="KN88" s="294">
        <v>0</v>
      </c>
      <c r="KO88" s="294"/>
      <c r="KP88" s="294"/>
      <c r="KQ88" s="294">
        <v>-18411641.5</v>
      </c>
      <c r="KR88" s="294"/>
      <c r="KS88" s="294">
        <v>-208585</v>
      </c>
      <c r="KT88" s="294"/>
      <c r="KU88" s="294"/>
      <c r="KV88" s="294">
        <v>-16692</v>
      </c>
      <c r="KW88" s="294"/>
      <c r="KX88" s="294"/>
      <c r="KY88" s="294">
        <v>-733500</v>
      </c>
      <c r="KZ88" s="294">
        <v>-1140776.67</v>
      </c>
      <c r="LA88" s="294"/>
      <c r="LB88" s="294">
        <v>-4955250</v>
      </c>
      <c r="LC88" s="294">
        <v>-2990988</v>
      </c>
      <c r="LD88" s="294"/>
      <c r="LE88" s="294"/>
      <c r="LF88" s="294">
        <v>-293289</v>
      </c>
      <c r="LG88" s="294"/>
      <c r="LH88" s="294"/>
      <c r="LI88" s="294"/>
      <c r="LJ88" s="294"/>
      <c r="LK88" s="294">
        <v>-498620.45</v>
      </c>
      <c r="LL88" s="294"/>
      <c r="LM88" s="294"/>
      <c r="LN88" s="294"/>
      <c r="LO88" s="294"/>
      <c r="LP88" s="294"/>
      <c r="LQ88" s="294"/>
      <c r="LR88" s="294"/>
      <c r="LS88" s="294"/>
      <c r="LT88" s="294"/>
      <c r="LU88" s="294">
        <v>-21588774.559999999</v>
      </c>
      <c r="LV88" s="294"/>
      <c r="LW88" s="294">
        <v>-297445.05</v>
      </c>
      <c r="LX88" s="294"/>
      <c r="LY88" s="294">
        <v>0</v>
      </c>
      <c r="LZ88" s="294"/>
      <c r="MA88" s="294"/>
      <c r="MB88" s="294"/>
      <c r="MC88" s="294"/>
      <c r="MD88" s="294">
        <v>-347536</v>
      </c>
      <c r="ME88" s="294"/>
      <c r="MF88" s="294"/>
      <c r="MG88" s="294">
        <v>-45000</v>
      </c>
      <c r="MH88" s="294"/>
      <c r="MI88" s="294"/>
      <c r="MJ88" s="294"/>
      <c r="MK88" s="294">
        <v>-25277.599999999999</v>
      </c>
      <c r="ML88" s="294"/>
      <c r="MM88" s="294"/>
      <c r="MN88" s="294">
        <v>-57206</v>
      </c>
      <c r="MO88" s="294"/>
      <c r="MP88" s="294"/>
      <c r="MQ88" s="294"/>
      <c r="MR88" s="294"/>
      <c r="MS88" s="294"/>
      <c r="MT88" s="294"/>
      <c r="MU88" s="294">
        <v>-313880</v>
      </c>
      <c r="MV88" s="294"/>
      <c r="MW88" s="294">
        <v>-146900</v>
      </c>
      <c r="MX88" s="294"/>
      <c r="MY88" s="294">
        <v>-37030</v>
      </c>
      <c r="MZ88" s="294"/>
      <c r="NA88" s="294"/>
      <c r="NB88" s="294"/>
      <c r="NC88" s="294"/>
      <c r="ND88" s="294">
        <v>-1384200</v>
      </c>
      <c r="NE88" s="294"/>
      <c r="NF88" s="294"/>
      <c r="NG88" s="294">
        <v>-30760</v>
      </c>
      <c r="NH88" s="294"/>
      <c r="NI88" s="294"/>
      <c r="NJ88" s="294"/>
      <c r="NK88" s="294"/>
      <c r="NL88" s="294"/>
      <c r="NM88" s="294"/>
      <c r="NN88" s="294"/>
      <c r="NO88" s="294"/>
      <c r="NP88" s="294">
        <v>-45381.8</v>
      </c>
      <c r="NQ88" s="294">
        <v>0</v>
      </c>
      <c r="NR88" s="294"/>
      <c r="NS88" s="294">
        <v>-4140</v>
      </c>
      <c r="NT88" s="294"/>
      <c r="NU88" s="294"/>
      <c r="NV88" s="294">
        <v>0</v>
      </c>
      <c r="NW88" s="294"/>
      <c r="NX88" s="294"/>
      <c r="NY88" s="294"/>
      <c r="NZ88" s="294"/>
      <c r="OA88" s="294"/>
      <c r="OB88" s="294"/>
      <c r="OC88" s="294"/>
      <c r="OD88" s="294"/>
      <c r="OE88" s="294"/>
      <c r="OF88" s="294"/>
      <c r="OG88" s="294">
        <v>-557895.6</v>
      </c>
      <c r="OH88" s="294">
        <v>-257498</v>
      </c>
      <c r="OI88" s="294"/>
      <c r="OJ88" s="294"/>
      <c r="OK88" s="294"/>
      <c r="OL88" s="294"/>
      <c r="OM88" s="294">
        <v>-222646</v>
      </c>
      <c r="ON88" s="294">
        <v>-214000</v>
      </c>
      <c r="OO88" s="294">
        <v>-44529393.479999997</v>
      </c>
      <c r="OP88" s="294"/>
      <c r="OQ88" s="294">
        <v>-3670.04</v>
      </c>
      <c r="OR88" s="294">
        <v>-19255</v>
      </c>
      <c r="OS88" s="294"/>
      <c r="OT88" s="294">
        <v>-105090</v>
      </c>
      <c r="OU88" s="294"/>
      <c r="OV88" s="294"/>
      <c r="OW88" s="294"/>
      <c r="OX88" s="294">
        <v>-3346825</v>
      </c>
      <c r="OY88" s="294"/>
      <c r="OZ88" s="294">
        <v>-206170.48</v>
      </c>
      <c r="PA88" s="294"/>
      <c r="PB88" s="294">
        <v>-19553141.199999999</v>
      </c>
      <c r="PC88" s="294">
        <v>-66000</v>
      </c>
      <c r="PD88" s="294">
        <v>0</v>
      </c>
      <c r="PE88" s="294"/>
      <c r="PF88" s="294">
        <v>-797500</v>
      </c>
      <c r="PG88" s="294"/>
      <c r="PH88" s="294"/>
      <c r="PI88" s="294"/>
      <c r="PJ88" s="294">
        <v>-869890</v>
      </c>
      <c r="PK88" s="294">
        <v>-538440</v>
      </c>
      <c r="PL88" s="294">
        <v>-1601164</v>
      </c>
      <c r="PM88" s="294">
        <v>0</v>
      </c>
      <c r="PN88" s="294">
        <v>-41724.5</v>
      </c>
      <c r="PO88" s="294"/>
      <c r="PP88" s="294"/>
      <c r="PQ88" s="294"/>
      <c r="PR88" s="294">
        <v>-15000</v>
      </c>
      <c r="PS88" s="294"/>
      <c r="PT88" s="294">
        <v>-422700</v>
      </c>
      <c r="PU88" s="294">
        <v>-82129.210000000006</v>
      </c>
      <c r="PV88" s="294"/>
      <c r="PW88" s="294"/>
      <c r="PX88" s="294">
        <v>-1438800</v>
      </c>
      <c r="PY88" s="294"/>
      <c r="PZ88" s="294"/>
      <c r="QA88" s="294">
        <v>-3800</v>
      </c>
      <c r="QB88" s="294"/>
      <c r="QC88" s="294"/>
      <c r="QD88" s="294">
        <v>-110800</v>
      </c>
      <c r="QE88" s="294">
        <v>-94248.16</v>
      </c>
      <c r="QF88" s="294">
        <v>0</v>
      </c>
      <c r="QG88" s="294">
        <v>-360</v>
      </c>
      <c r="QH88" s="294"/>
      <c r="QI88" s="294">
        <v>-149638.79</v>
      </c>
      <c r="QJ88" s="294"/>
      <c r="QK88" s="294"/>
      <c r="QL88" s="294"/>
      <c r="QM88" s="294"/>
      <c r="QN88" s="294">
        <v>-1724426.9</v>
      </c>
      <c r="QO88" s="294">
        <v>-667766.91</v>
      </c>
      <c r="QP88" s="294">
        <v>-34036.699999999997</v>
      </c>
      <c r="QQ88" s="294">
        <v>-53423.3</v>
      </c>
      <c r="QR88" s="294"/>
      <c r="QS88" s="294"/>
      <c r="QT88" s="294"/>
      <c r="QU88" s="294"/>
      <c r="QV88" s="294">
        <v>-37723.43</v>
      </c>
      <c r="QW88" s="294"/>
      <c r="QX88" s="294"/>
      <c r="QY88" s="294">
        <v>-285391.26</v>
      </c>
      <c r="QZ88" s="294"/>
      <c r="RA88" s="294">
        <v>-707579.9</v>
      </c>
      <c r="RB88" s="294">
        <v>0</v>
      </c>
      <c r="RC88" s="294">
        <v>-23149.8</v>
      </c>
      <c r="RD88" s="294">
        <v>-182279.9</v>
      </c>
      <c r="RE88" s="294"/>
      <c r="RF88" s="294">
        <v>-9255.5</v>
      </c>
      <c r="RG88" s="294"/>
      <c r="RH88" s="294">
        <v>-266726</v>
      </c>
      <c r="RI88" s="294">
        <v>-1872000</v>
      </c>
      <c r="RJ88" s="294">
        <v>-113494.57</v>
      </c>
      <c r="RK88" s="294">
        <v>-197011.7</v>
      </c>
      <c r="RL88" s="294">
        <v>-313623</v>
      </c>
      <c r="RM88" s="294">
        <v>-307940.59999999998</v>
      </c>
      <c r="RN88" s="294">
        <v>-23320</v>
      </c>
      <c r="RO88" s="294">
        <v>-289493.5</v>
      </c>
      <c r="RP88" s="294">
        <v>-1335750</v>
      </c>
      <c r="RQ88" s="294">
        <v>-3357450</v>
      </c>
      <c r="RR88" s="294"/>
      <c r="RS88" s="294"/>
      <c r="RT88" s="294"/>
      <c r="RU88" s="294">
        <v>-212850</v>
      </c>
      <c r="RV88" s="294">
        <v>-125750</v>
      </c>
      <c r="RW88" s="294"/>
      <c r="RX88" s="294"/>
      <c r="RY88" s="294">
        <v>-18473.099999999999</v>
      </c>
      <c r="RZ88" s="294">
        <v>-131000.1</v>
      </c>
      <c r="SA88" s="294">
        <v>-253025</v>
      </c>
      <c r="SB88" s="294"/>
      <c r="SC88" s="294"/>
      <c r="SD88" s="294"/>
      <c r="SE88" s="294"/>
      <c r="SF88" s="294"/>
      <c r="SG88" s="294"/>
      <c r="SH88" s="294">
        <v>-62944.5</v>
      </c>
      <c r="SI88" s="294">
        <v>-273223.15000000002</v>
      </c>
      <c r="SJ88" s="294"/>
      <c r="SK88" s="294"/>
      <c r="SL88" s="294"/>
      <c r="SM88" s="294">
        <v>-138846.20000000001</v>
      </c>
      <c r="SN88" s="294"/>
      <c r="SO88" s="294"/>
      <c r="SP88" s="294">
        <v>0</v>
      </c>
      <c r="SQ88" s="294"/>
      <c r="SR88" s="294"/>
      <c r="SS88" s="294"/>
      <c r="ST88" s="294"/>
      <c r="SU88" s="294">
        <v>-63330</v>
      </c>
      <c r="SV88" s="294"/>
      <c r="SW88" s="294"/>
      <c r="SX88" s="294"/>
      <c r="SY88" s="294"/>
      <c r="SZ88" s="294"/>
      <c r="TA88" s="294"/>
      <c r="TB88" s="294">
        <v>-9585378</v>
      </c>
      <c r="TC88" s="294"/>
      <c r="TD88" s="294"/>
      <c r="TE88" s="294"/>
      <c r="TF88" s="294"/>
      <c r="TG88" s="294"/>
      <c r="TH88" s="294"/>
      <c r="TI88" s="294">
        <v>-1925634</v>
      </c>
      <c r="TJ88" s="294"/>
      <c r="TK88" s="294"/>
      <c r="TL88" s="294"/>
      <c r="TM88" s="294"/>
      <c r="TN88" s="294"/>
      <c r="TO88" s="294"/>
      <c r="TP88" s="294">
        <v>-422851.63</v>
      </c>
      <c r="TQ88" s="294">
        <v>-20171.5</v>
      </c>
      <c r="TR88" s="294"/>
      <c r="TS88" s="294">
        <v>-34775</v>
      </c>
      <c r="TT88" s="294"/>
      <c r="TU88" s="294"/>
      <c r="TV88" s="294"/>
      <c r="TW88" s="294"/>
      <c r="TX88" s="294"/>
      <c r="TY88" s="294">
        <v>-4448890</v>
      </c>
      <c r="TZ88" s="294"/>
      <c r="UA88" s="294">
        <v>0</v>
      </c>
      <c r="UB88" s="294"/>
      <c r="UC88" s="294"/>
      <c r="UD88" s="294"/>
      <c r="UE88" s="294"/>
      <c r="UF88" s="294"/>
      <c r="UG88" s="294"/>
      <c r="UH88" s="294"/>
      <c r="UI88" s="294"/>
      <c r="UJ88" s="294">
        <v>-1341261</v>
      </c>
      <c r="UK88" s="294">
        <v>-13210</v>
      </c>
      <c r="UL88" s="294"/>
      <c r="UM88" s="294"/>
      <c r="UN88" s="294"/>
      <c r="UO88" s="294"/>
      <c r="UP88" s="294">
        <v>-22292608.82</v>
      </c>
      <c r="UQ88" s="294"/>
      <c r="UR88" s="294"/>
      <c r="US88" s="294">
        <v>-12124550</v>
      </c>
      <c r="UT88" s="294"/>
      <c r="UU88" s="294"/>
      <c r="UV88" s="294">
        <v>-3051200</v>
      </c>
      <c r="UW88" s="294"/>
      <c r="UX88" s="294"/>
      <c r="UY88" s="294"/>
      <c r="UZ88" s="294"/>
      <c r="VA88" s="294">
        <v>-4606570</v>
      </c>
      <c r="VB88" s="294"/>
      <c r="VC88" s="294">
        <v>0</v>
      </c>
      <c r="VD88" s="294"/>
      <c r="VE88" s="294"/>
      <c r="VF88" s="294"/>
      <c r="VG88" s="294"/>
      <c r="VH88" s="294">
        <v>-5015658.0199999996</v>
      </c>
      <c r="VI88" s="294"/>
      <c r="VJ88" s="294"/>
      <c r="VK88" s="294">
        <v>-22160</v>
      </c>
      <c r="VL88" s="294">
        <v>-14500</v>
      </c>
      <c r="VM88" s="294"/>
      <c r="VN88" s="294"/>
      <c r="VO88" s="294">
        <v>0</v>
      </c>
      <c r="VP88" s="294">
        <v>-11282170</v>
      </c>
      <c r="VQ88" s="294">
        <v>-10775110</v>
      </c>
      <c r="VR88" s="294">
        <v>-1898995</v>
      </c>
      <c r="VS88" s="294">
        <v>-56000</v>
      </c>
      <c r="VT88" s="294"/>
      <c r="VU88" s="294">
        <v>-14797930</v>
      </c>
      <c r="VV88" s="294"/>
      <c r="VW88" s="294"/>
      <c r="VX88" s="294"/>
      <c r="VY88" s="294"/>
      <c r="VZ88" s="294">
        <v>0</v>
      </c>
      <c r="WA88" s="294"/>
      <c r="WB88" s="294"/>
      <c r="WC88" s="294"/>
      <c r="WD88" s="294"/>
      <c r="WE88" s="294"/>
      <c r="WF88" s="294"/>
      <c r="WG88" s="294"/>
      <c r="WH88" s="294">
        <v>-195400</v>
      </c>
      <c r="WI88" s="294">
        <v>-21500</v>
      </c>
      <c r="WJ88" s="294"/>
      <c r="WK88" s="294"/>
      <c r="WL88" s="294">
        <v>-4707600</v>
      </c>
      <c r="WM88" s="294"/>
      <c r="WN88" s="294">
        <v>-2603305</v>
      </c>
      <c r="WO88" s="294"/>
      <c r="WP88" s="294"/>
      <c r="WQ88" s="294"/>
      <c r="WR88" s="294"/>
      <c r="WS88" s="294"/>
      <c r="WT88" s="294"/>
      <c r="WU88" s="294">
        <v>-11227020</v>
      </c>
      <c r="WV88" s="294"/>
      <c r="WW88" s="294"/>
      <c r="WX88" s="294"/>
      <c r="WY88" s="294"/>
      <c r="WZ88" s="294"/>
      <c r="XA88" s="294"/>
      <c r="XB88" s="294"/>
      <c r="XC88" s="294">
        <v>-1619000</v>
      </c>
      <c r="XD88" s="294"/>
      <c r="XE88" s="294"/>
      <c r="XF88" s="294"/>
      <c r="XG88" s="294"/>
      <c r="XH88" s="294"/>
      <c r="XI88" s="294"/>
      <c r="XJ88" s="294">
        <v>-1376806.2</v>
      </c>
      <c r="XK88" s="294">
        <v>-9423400</v>
      </c>
      <c r="XL88" s="294"/>
      <c r="XM88" s="294">
        <v>-35684.5</v>
      </c>
      <c r="XN88" s="294">
        <v>-3773125</v>
      </c>
      <c r="XO88" s="294"/>
      <c r="XP88" s="294"/>
      <c r="XQ88" s="294">
        <v>-4340000</v>
      </c>
      <c r="XR88" s="294">
        <v>-2734700</v>
      </c>
      <c r="XS88" s="294">
        <v>-11470.4</v>
      </c>
      <c r="XT88" s="294"/>
      <c r="XU88" s="294"/>
      <c r="XV88" s="294"/>
      <c r="XW88" s="294"/>
      <c r="XX88" s="294"/>
      <c r="XY88" s="294">
        <v>-90452.9</v>
      </c>
      <c r="XZ88" s="294"/>
      <c r="YA88" s="294"/>
      <c r="YB88" s="294"/>
      <c r="YC88" s="294"/>
      <c r="YD88" s="294">
        <v>-31126.3</v>
      </c>
      <c r="YE88" s="294">
        <v>-826466.66</v>
      </c>
      <c r="YF88" s="294"/>
      <c r="YG88" s="294">
        <v>-5924010</v>
      </c>
      <c r="YH88" s="294"/>
      <c r="YI88" s="294">
        <v>-4431049.53</v>
      </c>
      <c r="YJ88" s="294"/>
      <c r="YK88" s="294"/>
      <c r="YL88" s="294"/>
      <c r="YM88" s="294">
        <v>-5136850</v>
      </c>
      <c r="YN88" s="294">
        <v>-1433600</v>
      </c>
      <c r="YO88" s="294"/>
      <c r="YP88" s="294"/>
      <c r="YQ88" s="294"/>
      <c r="YR88" s="294"/>
      <c r="YS88" s="294"/>
      <c r="YT88" s="294"/>
      <c r="YU88" s="294"/>
      <c r="YV88" s="294">
        <v>-79500</v>
      </c>
      <c r="YW88" s="294">
        <v>-202785.95</v>
      </c>
      <c r="YX88" s="294">
        <v>-17280</v>
      </c>
      <c r="YY88" s="294"/>
      <c r="YZ88" s="294">
        <v>-32000</v>
      </c>
      <c r="ZA88" s="294"/>
      <c r="ZB88" s="294"/>
      <c r="ZC88" s="294"/>
      <c r="ZD88" s="294">
        <v>-350012</v>
      </c>
      <c r="ZE88" s="294">
        <v>-1921260</v>
      </c>
      <c r="ZF88" s="294">
        <v>-855600</v>
      </c>
      <c r="ZG88" s="294"/>
      <c r="ZH88" s="294"/>
      <c r="ZI88" s="294"/>
      <c r="ZJ88" s="294"/>
      <c r="ZK88" s="294">
        <v>-8147879.7000000002</v>
      </c>
      <c r="ZL88" s="294">
        <v>-3829466.68</v>
      </c>
      <c r="ZM88" s="294"/>
      <c r="ZN88" s="294">
        <v>-1171800</v>
      </c>
      <c r="ZO88" s="294"/>
      <c r="ZP88" s="294">
        <v>-1400000</v>
      </c>
      <c r="ZQ88" s="294"/>
      <c r="ZR88" s="294"/>
      <c r="ZS88" s="294"/>
      <c r="ZT88" s="294">
        <v>-5923680</v>
      </c>
      <c r="ZU88" s="294">
        <v>-3270190</v>
      </c>
      <c r="ZV88" s="294"/>
      <c r="ZW88" s="294"/>
      <c r="ZX88" s="294"/>
      <c r="ZY88" s="294">
        <v>-7942200</v>
      </c>
      <c r="ZZ88" s="294"/>
      <c r="AAA88" s="294"/>
      <c r="AAB88" s="294"/>
      <c r="AAC88" s="294"/>
      <c r="AAD88" s="294"/>
      <c r="AAE88" s="294"/>
      <c r="AAF88" s="294"/>
      <c r="AAG88" s="294">
        <v>-83210</v>
      </c>
      <c r="AAH88" s="294">
        <v>-7985825</v>
      </c>
      <c r="AAI88" s="294"/>
      <c r="AAJ88" s="294">
        <v>-3136040</v>
      </c>
      <c r="AAK88" s="294">
        <v>-12685.3</v>
      </c>
      <c r="AAL88" s="294">
        <v>-65060</v>
      </c>
      <c r="AAM88" s="294">
        <v>-626040</v>
      </c>
      <c r="AAN88" s="294"/>
      <c r="AAO88" s="294">
        <v>-1406852.2</v>
      </c>
      <c r="AAP88" s="294">
        <v>-2800</v>
      </c>
      <c r="AAQ88" s="294"/>
      <c r="AAR88" s="294">
        <v>-1413374.84</v>
      </c>
      <c r="AAS88" s="294">
        <v>-21162450</v>
      </c>
      <c r="AAT88" s="294"/>
      <c r="AAU88" s="294"/>
      <c r="AAV88" s="294"/>
      <c r="AAW88" s="294">
        <v>-3734860</v>
      </c>
      <c r="AAX88" s="294"/>
      <c r="AAY88" s="294"/>
      <c r="AAZ88" s="294">
        <v>-5869613.0499999998</v>
      </c>
      <c r="ABA88" s="294"/>
      <c r="ABB88" s="294"/>
      <c r="ABC88" s="294">
        <v>0</v>
      </c>
      <c r="ABD88" s="294"/>
      <c r="ABE88" s="294"/>
      <c r="ABF88" s="294"/>
      <c r="ABG88" s="294"/>
      <c r="ABH88" s="294">
        <v>-2107820</v>
      </c>
      <c r="ABI88" s="294">
        <v>-8725075</v>
      </c>
      <c r="ABJ88" s="294">
        <v>-73970</v>
      </c>
      <c r="ABK88" s="294">
        <v>-36593.599999999999</v>
      </c>
      <c r="ABL88" s="294"/>
      <c r="ABM88" s="294"/>
      <c r="ABN88" s="294"/>
      <c r="ABO88" s="294">
        <v>-639200</v>
      </c>
      <c r="ABP88" s="294"/>
      <c r="ABQ88" s="294"/>
      <c r="ABR88" s="294"/>
      <c r="ABS88" s="294"/>
      <c r="ABT88" s="294"/>
      <c r="ABU88" s="294"/>
      <c r="ABV88" s="294"/>
      <c r="ABW88" s="294"/>
      <c r="ABX88" s="294"/>
      <c r="ABY88" s="294"/>
      <c r="ABZ88" s="294"/>
      <c r="ACA88" s="294"/>
      <c r="ACB88" s="294"/>
      <c r="ACC88" s="294"/>
      <c r="ACD88" s="294">
        <v>-416154.74</v>
      </c>
      <c r="ACE88" s="294"/>
      <c r="ACF88" s="294"/>
      <c r="ACG88" s="294"/>
      <c r="ACH88" s="294">
        <v>-36704.85</v>
      </c>
      <c r="ACI88" s="294"/>
      <c r="ACJ88" s="294">
        <v>0</v>
      </c>
      <c r="ACK88" s="294"/>
      <c r="ACL88" s="294"/>
      <c r="ACM88" s="294">
        <v>-70422.05</v>
      </c>
      <c r="ACN88" s="294"/>
      <c r="ACO88" s="294"/>
      <c r="ACP88" s="294"/>
      <c r="ACQ88" s="294">
        <v>-3082465</v>
      </c>
      <c r="ACR88" s="294"/>
      <c r="ACS88" s="294"/>
      <c r="ACT88" s="294"/>
      <c r="ACU88" s="294">
        <v>-83200</v>
      </c>
      <c r="ACV88" s="294"/>
      <c r="ACW88" s="294"/>
      <c r="ACX88" s="294"/>
      <c r="ACY88" s="294"/>
      <c r="ACZ88" s="294"/>
      <c r="ADA88" s="294">
        <v>-267429.38</v>
      </c>
      <c r="ADB88" s="294">
        <v>-342.4</v>
      </c>
      <c r="ADC88" s="294">
        <v>-315000</v>
      </c>
      <c r="ADD88" s="294"/>
      <c r="ADE88" s="294"/>
      <c r="ADF88" s="294">
        <v>-1283670</v>
      </c>
      <c r="ADG88" s="294">
        <v>-302220</v>
      </c>
      <c r="ADH88" s="294"/>
      <c r="ADI88" s="294">
        <v>-26809.919999999998</v>
      </c>
      <c r="ADJ88" s="294"/>
      <c r="ADK88" s="294"/>
      <c r="ADL88" s="294"/>
      <c r="ADM88" s="294">
        <v>-104824.69</v>
      </c>
      <c r="ADN88" s="294">
        <v>-14766</v>
      </c>
      <c r="ADO88" s="294"/>
      <c r="ADP88" s="294"/>
      <c r="ADQ88" s="294">
        <v>0</v>
      </c>
      <c r="ADR88" s="294"/>
      <c r="ADS88" s="294"/>
      <c r="ADT88" s="294"/>
      <c r="ADU88" s="294"/>
      <c r="ADV88" s="294"/>
      <c r="ADW88" s="294"/>
      <c r="ADX88" s="294"/>
      <c r="ADY88" s="294">
        <v>-603500</v>
      </c>
      <c r="ADZ88" s="294"/>
      <c r="AEA88" s="294"/>
      <c r="AEB88" s="294"/>
      <c r="AEC88" s="294"/>
      <c r="AED88" s="294"/>
      <c r="AEE88" s="294"/>
      <c r="AEF88" s="294"/>
      <c r="AEG88" s="294">
        <v>-292287.75</v>
      </c>
      <c r="AEH88" s="294"/>
      <c r="AEI88" s="294"/>
      <c r="AEJ88" s="294"/>
      <c r="AEK88" s="294"/>
      <c r="AEL88" s="294"/>
      <c r="AEM88" s="294"/>
      <c r="AEN88" s="294"/>
      <c r="AEO88" s="294"/>
      <c r="AEP88" s="294"/>
      <c r="AEQ88" s="294"/>
      <c r="AER88" s="294">
        <v>-103779.3</v>
      </c>
      <c r="AES88" s="294">
        <v>-395640.25</v>
      </c>
      <c r="AET88" s="294"/>
      <c r="AEU88" s="294"/>
      <c r="AEV88" s="294"/>
      <c r="AEW88" s="294">
        <v>-245813.54</v>
      </c>
      <c r="AEX88" s="294">
        <v>-544703.31000000006</v>
      </c>
      <c r="AEY88" s="294"/>
      <c r="AEZ88" s="294"/>
      <c r="AFA88" s="294"/>
      <c r="AFB88" s="294">
        <v>-17505.2</v>
      </c>
      <c r="AFC88" s="294">
        <v>-2565578.2400000002</v>
      </c>
      <c r="AFD88" s="294"/>
      <c r="AFE88" s="294"/>
      <c r="AFF88" s="294"/>
      <c r="AFG88" s="294"/>
      <c r="AFH88" s="294"/>
      <c r="AFI88" s="294"/>
      <c r="AFJ88" s="294"/>
      <c r="AFK88" s="294"/>
      <c r="AFL88" s="294"/>
      <c r="AFM88" s="294"/>
      <c r="AFN88" s="294"/>
      <c r="AFO88" s="294"/>
      <c r="AFP88" s="294">
        <v>-306595.15000000002</v>
      </c>
      <c r="AFQ88" s="294">
        <v>-1228450</v>
      </c>
      <c r="AFR88" s="294"/>
      <c r="AFS88" s="294">
        <v>0</v>
      </c>
      <c r="AFT88" s="294">
        <v>-4345</v>
      </c>
      <c r="AFU88" s="294"/>
      <c r="AFV88" s="294">
        <v>-4769</v>
      </c>
      <c r="AFW88" s="294"/>
      <c r="AFX88" s="294"/>
      <c r="AFY88" s="294"/>
      <c r="AFZ88" s="294"/>
      <c r="AGA88" s="294"/>
      <c r="AGB88" s="294">
        <v>-6547132.3099999996</v>
      </c>
      <c r="AGC88" s="294">
        <v>-3500</v>
      </c>
      <c r="AGD88" s="294"/>
      <c r="AGE88" s="294"/>
      <c r="AGF88" s="294">
        <v>0</v>
      </c>
      <c r="AGG88" s="294"/>
      <c r="AGH88" s="294"/>
      <c r="AGI88" s="294"/>
      <c r="AGJ88" s="294"/>
      <c r="AGK88" s="294"/>
      <c r="AGL88" s="294"/>
      <c r="AGM88" s="294"/>
      <c r="AGN88" s="294"/>
      <c r="AGO88" s="294"/>
      <c r="AGP88" s="294"/>
      <c r="AGQ88" s="294"/>
      <c r="AGR88" s="294"/>
      <c r="AGS88" s="294"/>
      <c r="AGT88" s="294"/>
      <c r="AGU88" s="294">
        <v>-256000</v>
      </c>
      <c r="AGV88" s="294">
        <v>0</v>
      </c>
      <c r="AGW88" s="294"/>
      <c r="AGX88" s="294"/>
      <c r="AGY88" s="294">
        <v>-24099.61</v>
      </c>
      <c r="AGZ88" s="294"/>
      <c r="AHA88" s="294"/>
      <c r="AHB88" s="294">
        <v>-1390150</v>
      </c>
      <c r="AHC88" s="294"/>
      <c r="AHD88" s="294"/>
      <c r="AHE88" s="294"/>
      <c r="AHF88" s="294">
        <v>-61102.35</v>
      </c>
      <c r="AHG88" s="294"/>
      <c r="AHH88" s="294"/>
      <c r="AHI88" s="294"/>
      <c r="AHJ88" s="294"/>
      <c r="AHK88" s="294"/>
      <c r="AHL88" s="294"/>
      <c r="AHM88" s="294">
        <v>-154050</v>
      </c>
      <c r="AHN88" s="294"/>
      <c r="AHO88" s="294">
        <v>-119999.5</v>
      </c>
      <c r="AHP88" s="294"/>
      <c r="AHQ88" s="294">
        <v>-158855</v>
      </c>
      <c r="AHR88" s="331">
        <v>-180434</v>
      </c>
      <c r="AHS88" s="294">
        <f>SUM(D88:AHR88)</f>
        <v>-498638648.43999994</v>
      </c>
      <c r="AHT88" s="269" t="b">
        <f t="shared" si="52"/>
        <v>1</v>
      </c>
      <c r="AHU88" s="269" t="s">
        <v>6278</v>
      </c>
      <c r="AHV88" s="269" t="s">
        <v>6119</v>
      </c>
      <c r="AHW88" s="269" t="s">
        <v>6120</v>
      </c>
    </row>
    <row r="89" spans="1:907" ht="24.6" x14ac:dyDescent="0.7">
      <c r="A89" s="268" t="s">
        <v>6278</v>
      </c>
      <c r="B89" s="268" t="s">
        <v>6121</v>
      </c>
      <c r="C89" s="269" t="s">
        <v>6122</v>
      </c>
      <c r="D89" s="294">
        <v>-47000</v>
      </c>
      <c r="E89" s="294">
        <v>-861870</v>
      </c>
      <c r="F89" s="294">
        <v>-855315</v>
      </c>
      <c r="G89" s="294">
        <v>-548460</v>
      </c>
      <c r="H89" s="294">
        <v>-2515231.6</v>
      </c>
      <c r="I89" s="294">
        <v>-46085</v>
      </c>
      <c r="J89" s="294">
        <v>-2950</v>
      </c>
      <c r="K89" s="294">
        <v>-136985.5</v>
      </c>
      <c r="L89" s="294">
        <v>-109990</v>
      </c>
      <c r="M89" s="294">
        <v>-251945</v>
      </c>
      <c r="N89" s="294">
        <v>-689585</v>
      </c>
      <c r="O89" s="294">
        <v>-529149</v>
      </c>
      <c r="P89" s="294">
        <v>-100365</v>
      </c>
      <c r="Q89" s="294">
        <v>-1693765</v>
      </c>
      <c r="R89" s="294">
        <v>-80638.55</v>
      </c>
      <c r="S89" s="294">
        <v>-2853303</v>
      </c>
      <c r="T89" s="294">
        <v>-159275</v>
      </c>
      <c r="U89" s="294">
        <v>-45500</v>
      </c>
      <c r="V89" s="294"/>
      <c r="W89" s="294">
        <v>-1148262</v>
      </c>
      <c r="X89" s="294">
        <v>-387395</v>
      </c>
      <c r="Y89" s="294">
        <v>-196335</v>
      </c>
      <c r="Z89" s="294">
        <v>-442024.6</v>
      </c>
      <c r="AA89" s="294">
        <v>-1470394</v>
      </c>
      <c r="AB89" s="294">
        <v>-248591</v>
      </c>
      <c r="AC89" s="294">
        <v>-5244905</v>
      </c>
      <c r="AD89" s="294">
        <v>-405505</v>
      </c>
      <c r="AE89" s="294">
        <v>-2739111.2</v>
      </c>
      <c r="AF89" s="294">
        <v>-4254222</v>
      </c>
      <c r="AG89" s="294">
        <v>-1398832.4</v>
      </c>
      <c r="AH89" s="294">
        <v>-1013890</v>
      </c>
      <c r="AI89" s="294">
        <v>-5952479.5199999996</v>
      </c>
      <c r="AJ89" s="294">
        <v>-896865.83</v>
      </c>
      <c r="AK89" s="294">
        <v>-1211644</v>
      </c>
      <c r="AL89" s="294">
        <v>-482158</v>
      </c>
      <c r="AM89" s="294">
        <v>-596705</v>
      </c>
      <c r="AN89" s="294">
        <v>-213505.75</v>
      </c>
      <c r="AO89" s="294">
        <v>-572543</v>
      </c>
      <c r="AP89" s="294">
        <v>-2006192</v>
      </c>
      <c r="AQ89" s="294">
        <v>-567552.6</v>
      </c>
      <c r="AR89" s="294">
        <v>-1754352</v>
      </c>
      <c r="AS89" s="294">
        <v>-1675019</v>
      </c>
      <c r="AT89" s="294">
        <v>-1284080</v>
      </c>
      <c r="AU89" s="294">
        <v>-53315</v>
      </c>
      <c r="AV89" s="294">
        <v>-15805</v>
      </c>
      <c r="AW89" s="294">
        <v>-172550</v>
      </c>
      <c r="AX89" s="294">
        <v>-1416260</v>
      </c>
      <c r="AY89" s="294">
        <v>-2856350</v>
      </c>
      <c r="AZ89" s="294">
        <v>-332585</v>
      </c>
      <c r="BA89" s="294">
        <v>-11460</v>
      </c>
      <c r="BB89" s="294">
        <v>-157285</v>
      </c>
      <c r="BC89" s="294">
        <v>-300799</v>
      </c>
      <c r="BD89" s="294">
        <v>-24845</v>
      </c>
      <c r="BE89" s="294">
        <v>-236631</v>
      </c>
      <c r="BF89" s="294">
        <v>-991605</v>
      </c>
      <c r="BG89" s="294">
        <v>-99385</v>
      </c>
      <c r="BH89" s="294">
        <v>0</v>
      </c>
      <c r="BI89" s="294">
        <v>-1076600</v>
      </c>
      <c r="BJ89" s="294">
        <v>-1513735</v>
      </c>
      <c r="BK89" s="294">
        <v>-695940</v>
      </c>
      <c r="BL89" s="294">
        <v>-236901.3</v>
      </c>
      <c r="BM89" s="294">
        <v>-271665</v>
      </c>
      <c r="BN89" s="294">
        <v>-296374</v>
      </c>
      <c r="BO89" s="294">
        <v>-227185</v>
      </c>
      <c r="BP89" s="294">
        <v>-71390</v>
      </c>
      <c r="BQ89" s="294">
        <v>-6855</v>
      </c>
      <c r="BR89" s="294">
        <v>-3000673.42</v>
      </c>
      <c r="BS89" s="294">
        <v>-14665</v>
      </c>
      <c r="BT89" s="294">
        <v>-64135</v>
      </c>
      <c r="BU89" s="294">
        <v>-194144</v>
      </c>
      <c r="BV89" s="294">
        <v>-240096</v>
      </c>
      <c r="BW89" s="294">
        <v>-134865</v>
      </c>
      <c r="BX89" s="294">
        <v>-103573</v>
      </c>
      <c r="BY89" s="294">
        <v>-80076</v>
      </c>
      <c r="BZ89" s="294">
        <v>-3614200.9</v>
      </c>
      <c r="CA89" s="294">
        <v>-882627</v>
      </c>
      <c r="CB89" s="294">
        <v>-285860</v>
      </c>
      <c r="CC89" s="294">
        <v>-1857037</v>
      </c>
      <c r="CD89" s="294">
        <v>-292320</v>
      </c>
      <c r="CE89" s="294">
        <v>-355295</v>
      </c>
      <c r="CF89" s="294">
        <v>-60700</v>
      </c>
      <c r="CG89" s="294">
        <v>-311538</v>
      </c>
      <c r="CH89" s="294">
        <v>-603853.44999999995</v>
      </c>
      <c r="CI89" s="294">
        <v>-493730</v>
      </c>
      <c r="CJ89" s="294">
        <v>-386015</v>
      </c>
      <c r="CK89" s="294">
        <v>-229195</v>
      </c>
      <c r="CL89" s="294">
        <v>-310360</v>
      </c>
      <c r="CM89" s="294">
        <v>-190770</v>
      </c>
      <c r="CN89" s="294">
        <v>-527404</v>
      </c>
      <c r="CO89" s="294">
        <v>-159895</v>
      </c>
      <c r="CP89" s="294">
        <v>-612125</v>
      </c>
      <c r="CQ89" s="294">
        <v>-287050</v>
      </c>
      <c r="CR89" s="294">
        <v>-315040</v>
      </c>
      <c r="CS89" s="294">
        <v>-211390</v>
      </c>
      <c r="CT89" s="294">
        <v>-69380</v>
      </c>
      <c r="CU89" s="294">
        <v>-123505</v>
      </c>
      <c r="CV89" s="294">
        <v>-450192.5</v>
      </c>
      <c r="CW89" s="294">
        <v>-2076299</v>
      </c>
      <c r="CX89" s="294">
        <v>-49921.4</v>
      </c>
      <c r="CY89" s="294">
        <v>-1548512</v>
      </c>
      <c r="CZ89" s="294">
        <v>-899713.2</v>
      </c>
      <c r="DA89" s="294">
        <v>-179973</v>
      </c>
      <c r="DB89" s="294">
        <v>-1952097.05</v>
      </c>
      <c r="DC89" s="294">
        <v>-952229</v>
      </c>
      <c r="DD89" s="294">
        <v>-840730.5</v>
      </c>
      <c r="DE89" s="294">
        <v>-653460</v>
      </c>
      <c r="DF89" s="294">
        <v>-1141371.5</v>
      </c>
      <c r="DG89" s="294">
        <v>0</v>
      </c>
      <c r="DH89" s="294">
        <v>-1896208.9</v>
      </c>
      <c r="DI89" s="294">
        <v>-1544533.9</v>
      </c>
      <c r="DJ89" s="294">
        <v>-423549.1</v>
      </c>
      <c r="DK89" s="294">
        <v>-6454229</v>
      </c>
      <c r="DL89" s="294">
        <v>-75735</v>
      </c>
      <c r="DM89" s="294">
        <v>-29745</v>
      </c>
      <c r="DN89" s="294">
        <v>-31437.06</v>
      </c>
      <c r="DO89" s="294">
        <v>-789862</v>
      </c>
      <c r="DP89" s="294">
        <v>-63074.8</v>
      </c>
      <c r="DQ89" s="294">
        <v>-652229.68999999994</v>
      </c>
      <c r="DR89" s="294">
        <v>-109780</v>
      </c>
      <c r="DS89" s="294">
        <v>-268411</v>
      </c>
      <c r="DT89" s="294">
        <v>-10144736</v>
      </c>
      <c r="DU89" s="294">
        <v>-1007564.65</v>
      </c>
      <c r="DV89" s="294">
        <v>-1720269.8</v>
      </c>
      <c r="DW89" s="294">
        <v>-4042158.8</v>
      </c>
      <c r="DX89" s="294">
        <v>-2547351</v>
      </c>
      <c r="DY89" s="294">
        <v>-3422190.09</v>
      </c>
      <c r="DZ89" s="294">
        <v>-3032064.95</v>
      </c>
      <c r="EA89" s="294">
        <v>-589054.19999999995</v>
      </c>
      <c r="EB89" s="294">
        <v>-863127</v>
      </c>
      <c r="EC89" s="294">
        <v>-503742.6</v>
      </c>
      <c r="ED89" s="294">
        <v>-535963.19999999995</v>
      </c>
      <c r="EE89" s="294">
        <v>-2541471.5</v>
      </c>
      <c r="EF89" s="294">
        <v>-302837</v>
      </c>
      <c r="EG89" s="294">
        <v>-850489.65</v>
      </c>
      <c r="EH89" s="294">
        <v>-273384</v>
      </c>
      <c r="EI89" s="294">
        <v>-1136372.5</v>
      </c>
      <c r="EJ89" s="294">
        <v>-1311073</v>
      </c>
      <c r="EK89" s="294">
        <v>-262003</v>
      </c>
      <c r="EL89" s="294">
        <v>-137816.5</v>
      </c>
      <c r="EM89" s="294">
        <v>-302517.09999999998</v>
      </c>
      <c r="EN89" s="294">
        <v>-1235548</v>
      </c>
      <c r="EO89" s="294">
        <v>-1560571</v>
      </c>
      <c r="EP89" s="294">
        <v>-659867.27</v>
      </c>
      <c r="EQ89" s="294">
        <v>-228986.5</v>
      </c>
      <c r="ER89" s="294">
        <v>-32880</v>
      </c>
      <c r="ES89" s="294">
        <v>-33520</v>
      </c>
      <c r="ET89" s="294">
        <v>-2968884.3</v>
      </c>
      <c r="EU89" s="294">
        <v>-482152</v>
      </c>
      <c r="EV89" s="294">
        <v>-304945.2</v>
      </c>
      <c r="EW89" s="294">
        <v>-2968711.9</v>
      </c>
      <c r="EX89" s="294">
        <v>-60013.4</v>
      </c>
      <c r="EY89" s="294">
        <v>-257419.4</v>
      </c>
      <c r="EZ89" s="294">
        <v>-484253.3</v>
      </c>
      <c r="FA89" s="294">
        <v>-689373.26</v>
      </c>
      <c r="FB89" s="294">
        <v>-1719400</v>
      </c>
      <c r="FC89" s="294">
        <v>-1196322.75</v>
      </c>
      <c r="FD89" s="294">
        <v>-154400</v>
      </c>
      <c r="FE89" s="294">
        <v>-97902</v>
      </c>
      <c r="FF89" s="294">
        <v>-87540</v>
      </c>
      <c r="FG89" s="294">
        <v>-180798.75</v>
      </c>
      <c r="FH89" s="294">
        <v>-351102.63</v>
      </c>
      <c r="FI89" s="294">
        <v>-2035313</v>
      </c>
      <c r="FJ89" s="294">
        <v>-79558</v>
      </c>
      <c r="FK89" s="294">
        <v>0</v>
      </c>
      <c r="FL89" s="294">
        <v>-65484.2</v>
      </c>
      <c r="FM89" s="294">
        <v>-196668.79999999999</v>
      </c>
      <c r="FN89" s="294">
        <v>-47528</v>
      </c>
      <c r="FO89" s="294">
        <v>-118357.2</v>
      </c>
      <c r="FP89" s="294">
        <v>-30250</v>
      </c>
      <c r="FQ89" s="294"/>
      <c r="FR89" s="294">
        <v>-209580</v>
      </c>
      <c r="FS89" s="294">
        <v>-124002.2</v>
      </c>
      <c r="FT89" s="294">
        <v>-531560.80000000005</v>
      </c>
      <c r="FU89" s="294">
        <v>-9600</v>
      </c>
      <c r="FV89" s="294">
        <v>-58647.65</v>
      </c>
      <c r="FW89" s="294">
        <v>-4798389</v>
      </c>
      <c r="FX89" s="294">
        <v>-2698539.89</v>
      </c>
      <c r="FY89" s="294">
        <v>-2025864.6</v>
      </c>
      <c r="FZ89" s="294">
        <v>-300966.75</v>
      </c>
      <c r="GA89" s="294">
        <v>-4563412.3499999996</v>
      </c>
      <c r="GB89" s="294">
        <v>-404220</v>
      </c>
      <c r="GC89" s="294">
        <v>-557134</v>
      </c>
      <c r="GD89" s="294">
        <v>-365097</v>
      </c>
      <c r="GE89" s="294">
        <v>-63958</v>
      </c>
      <c r="GF89" s="294">
        <v>-211569</v>
      </c>
      <c r="GG89" s="294">
        <v>-634839.5</v>
      </c>
      <c r="GH89" s="294">
        <v>-1069664.75</v>
      </c>
      <c r="GI89" s="294">
        <v>-391293.4</v>
      </c>
      <c r="GJ89" s="294">
        <v>-57728</v>
      </c>
      <c r="GK89" s="294">
        <v>-859414.27</v>
      </c>
      <c r="GL89" s="294">
        <v>-336754.4</v>
      </c>
      <c r="GM89" s="294">
        <v>-486802</v>
      </c>
      <c r="GN89" s="294">
        <v>-44182</v>
      </c>
      <c r="GO89" s="294">
        <v>-158441</v>
      </c>
      <c r="GP89" s="294">
        <v>-120490.7</v>
      </c>
      <c r="GQ89" s="294">
        <v>-4385603.5999999996</v>
      </c>
      <c r="GR89" s="294">
        <v>-151044.5</v>
      </c>
      <c r="GS89" s="294">
        <v>-78795</v>
      </c>
      <c r="GT89" s="294">
        <v>-473818.69</v>
      </c>
      <c r="GU89" s="294">
        <v>-186378</v>
      </c>
      <c r="GV89" s="294">
        <v>-72514.83</v>
      </c>
      <c r="GW89" s="294">
        <v>-263061.40000000002</v>
      </c>
      <c r="GX89" s="294">
        <v>-118435</v>
      </c>
      <c r="GY89" s="294">
        <v>-3346195</v>
      </c>
      <c r="GZ89" s="294">
        <v>-333478</v>
      </c>
      <c r="HA89" s="294">
        <v>-2575414.7000000002</v>
      </c>
      <c r="HB89" s="294">
        <v>-656551</v>
      </c>
      <c r="HC89" s="294">
        <v>-7638190</v>
      </c>
      <c r="HD89" s="294"/>
      <c r="HE89" s="294">
        <v>-10780708.5</v>
      </c>
      <c r="HF89" s="294">
        <v>-484933</v>
      </c>
      <c r="HG89" s="294">
        <v>-3492104</v>
      </c>
      <c r="HH89" s="294">
        <v>-754844.67</v>
      </c>
      <c r="HI89" s="294">
        <v>-793051.8</v>
      </c>
      <c r="HJ89" s="294">
        <v>-407747.56</v>
      </c>
      <c r="HK89" s="294">
        <v>-2773927.5</v>
      </c>
      <c r="HL89" s="294">
        <v>-1184500</v>
      </c>
      <c r="HM89" s="294">
        <v>-897877.25</v>
      </c>
      <c r="HN89" s="294">
        <v>-346731.4</v>
      </c>
      <c r="HO89" s="294">
        <v>-1751408</v>
      </c>
      <c r="HP89" s="294">
        <v>-2237957.6</v>
      </c>
      <c r="HQ89" s="294">
        <v>-849677.25</v>
      </c>
      <c r="HR89" s="294">
        <v>-1498136.2</v>
      </c>
      <c r="HS89" s="294">
        <v>-8094180</v>
      </c>
      <c r="HT89" s="294">
        <v>-1977863</v>
      </c>
      <c r="HU89" s="294">
        <v>-994272.89</v>
      </c>
      <c r="HV89" s="294">
        <v>-1169560</v>
      </c>
      <c r="HW89" s="294">
        <v>-2434706</v>
      </c>
      <c r="HX89" s="294">
        <v>-1956480.42</v>
      </c>
      <c r="HY89" s="294">
        <v>-339663.87</v>
      </c>
      <c r="HZ89" s="294">
        <v>-1080385</v>
      </c>
      <c r="IA89" s="294">
        <v>-1109287</v>
      </c>
      <c r="IB89" s="294">
        <v>-219749.3</v>
      </c>
      <c r="IC89" s="294">
        <v>-843840.7</v>
      </c>
      <c r="ID89" s="294">
        <v>-363751.25</v>
      </c>
      <c r="IE89" s="294">
        <v>-1426100.5</v>
      </c>
      <c r="IF89" s="294">
        <v>-579793.09</v>
      </c>
      <c r="IG89" s="294">
        <v>-481489.5</v>
      </c>
      <c r="IH89" s="294">
        <v>-3897970</v>
      </c>
      <c r="II89" s="294">
        <v>-184985</v>
      </c>
      <c r="IJ89" s="294">
        <v>-126692</v>
      </c>
      <c r="IK89" s="294">
        <v>-727652.2</v>
      </c>
      <c r="IL89" s="294">
        <v>-1303585.5</v>
      </c>
      <c r="IM89" s="294">
        <v>-48879</v>
      </c>
      <c r="IN89" s="294">
        <v>-186887</v>
      </c>
      <c r="IO89" s="294">
        <v>-154447.38</v>
      </c>
      <c r="IP89" s="294">
        <v>-424654</v>
      </c>
      <c r="IQ89" s="294">
        <v>-658998.88</v>
      </c>
      <c r="IR89" s="294">
        <v>-203108.5</v>
      </c>
      <c r="IS89" s="294"/>
      <c r="IT89" s="294">
        <v>-1066450</v>
      </c>
      <c r="IU89" s="294">
        <v>-450</v>
      </c>
      <c r="IV89" s="294">
        <v>-1000651.5</v>
      </c>
      <c r="IW89" s="294">
        <v>-710608.3</v>
      </c>
      <c r="IX89" s="294">
        <v>-250213.5</v>
      </c>
      <c r="IY89" s="294">
        <v>-748596</v>
      </c>
      <c r="IZ89" s="294">
        <v>-47610</v>
      </c>
      <c r="JA89" s="294">
        <v>-369300</v>
      </c>
      <c r="JB89" s="294">
        <v>-10595</v>
      </c>
      <c r="JC89" s="294">
        <v>-308896.8</v>
      </c>
      <c r="JD89" s="294">
        <v>-2820406</v>
      </c>
      <c r="JE89" s="294">
        <v>-381560</v>
      </c>
      <c r="JF89" s="294">
        <v>-5971478</v>
      </c>
      <c r="JG89" s="294">
        <v>-361435</v>
      </c>
      <c r="JH89" s="294">
        <v>-398799</v>
      </c>
      <c r="JI89" s="294">
        <v>-128150</v>
      </c>
      <c r="JJ89" s="294">
        <v>-44757.38</v>
      </c>
      <c r="JK89" s="294">
        <v>-3698307</v>
      </c>
      <c r="JL89" s="294">
        <v>-150070.39999999999</v>
      </c>
      <c r="JM89" s="294">
        <v>-365881.3</v>
      </c>
      <c r="JN89" s="294">
        <v>-2645668.4</v>
      </c>
      <c r="JO89" s="294">
        <v>-2012918.6</v>
      </c>
      <c r="JP89" s="294">
        <v>-804425.76</v>
      </c>
      <c r="JQ89" s="294">
        <v>-848496.8</v>
      </c>
      <c r="JR89" s="294">
        <v>-2234729.5</v>
      </c>
      <c r="JS89" s="294">
        <v>-15000</v>
      </c>
      <c r="JT89" s="294">
        <v>-95058.92</v>
      </c>
      <c r="JU89" s="294">
        <v>-50625</v>
      </c>
      <c r="JV89" s="294">
        <v>-224982.25</v>
      </c>
      <c r="JW89" s="294"/>
      <c r="JX89" s="294">
        <v>-658052</v>
      </c>
      <c r="JY89" s="294">
        <v>-434489.25</v>
      </c>
      <c r="JZ89" s="294">
        <v>-230477.5</v>
      </c>
      <c r="KA89" s="294">
        <v>-369043.56</v>
      </c>
      <c r="KB89" s="294">
        <v>-60950</v>
      </c>
      <c r="KC89" s="294">
        <v>0</v>
      </c>
      <c r="KD89" s="294">
        <v>-37890</v>
      </c>
      <c r="KE89" s="294">
        <v>-55880</v>
      </c>
      <c r="KF89" s="294">
        <v>-80935</v>
      </c>
      <c r="KG89" s="294">
        <v>-106615</v>
      </c>
      <c r="KH89" s="294">
        <v>-3361380</v>
      </c>
      <c r="KI89" s="294">
        <v>-2875624.7</v>
      </c>
      <c r="KJ89" s="294">
        <v>0</v>
      </c>
      <c r="KK89" s="294">
        <v>-1334031.07</v>
      </c>
      <c r="KL89" s="294">
        <v>-40920</v>
      </c>
      <c r="KM89" s="294">
        <v>-3000</v>
      </c>
      <c r="KN89" s="294">
        <v>-1085216.02</v>
      </c>
      <c r="KO89" s="294">
        <v>-195129</v>
      </c>
      <c r="KP89" s="294">
        <v>-1057388</v>
      </c>
      <c r="KQ89" s="294">
        <v>-3701897.15</v>
      </c>
      <c r="KR89" s="294">
        <v>-345287.95</v>
      </c>
      <c r="KS89" s="294">
        <v>-1816197.75</v>
      </c>
      <c r="KT89" s="294">
        <v>-2565384.5099999998</v>
      </c>
      <c r="KU89" s="294">
        <v>-304326.5</v>
      </c>
      <c r="KV89" s="294">
        <v>-465258</v>
      </c>
      <c r="KW89" s="294">
        <v>-3802430.05</v>
      </c>
      <c r="KX89" s="294">
        <v>-405668.15</v>
      </c>
      <c r="KY89" s="294">
        <v>-1580409</v>
      </c>
      <c r="KZ89" s="294">
        <v>-117535</v>
      </c>
      <c r="LA89" s="294">
        <v>-241478.7</v>
      </c>
      <c r="LB89" s="294">
        <v>-184553.5</v>
      </c>
      <c r="LC89" s="294">
        <v>-415755</v>
      </c>
      <c r="LD89" s="294">
        <v>-1129351.2</v>
      </c>
      <c r="LE89" s="294">
        <v>-175329.15</v>
      </c>
      <c r="LF89" s="294">
        <v>-345475</v>
      </c>
      <c r="LG89" s="294">
        <v>-18900212</v>
      </c>
      <c r="LH89" s="294">
        <v>-2397555.2000000002</v>
      </c>
      <c r="LI89" s="294">
        <v>-389135.5</v>
      </c>
      <c r="LJ89" s="294">
        <v>-3414847</v>
      </c>
      <c r="LK89" s="294">
        <v>-559317.65</v>
      </c>
      <c r="LL89" s="294">
        <v>-121959.5</v>
      </c>
      <c r="LM89" s="294">
        <v>-3606</v>
      </c>
      <c r="LN89" s="294">
        <v>-195035</v>
      </c>
      <c r="LO89" s="294">
        <v>144566.71</v>
      </c>
      <c r="LP89" s="294">
        <v>-2520832.5</v>
      </c>
      <c r="LQ89" s="294">
        <v>-209224.5</v>
      </c>
      <c r="LR89" s="294">
        <v>-3646866</v>
      </c>
      <c r="LS89" s="294">
        <v>-66225</v>
      </c>
      <c r="LT89" s="294">
        <v>-79505</v>
      </c>
      <c r="LU89" s="294">
        <v>-2157600</v>
      </c>
      <c r="LV89" s="294">
        <v>-3821958.6</v>
      </c>
      <c r="LW89" s="294">
        <v>-3404375.5</v>
      </c>
      <c r="LX89" s="294">
        <v>-2632030</v>
      </c>
      <c r="LY89" s="294">
        <v>-213420.18</v>
      </c>
      <c r="LZ89" s="294">
        <v>-780780</v>
      </c>
      <c r="MA89" s="294">
        <v>-143493.79999999999</v>
      </c>
      <c r="MB89" s="294">
        <v>-512214.89</v>
      </c>
      <c r="MC89" s="294">
        <v>-230640</v>
      </c>
      <c r="MD89" s="294">
        <v>-214202.3</v>
      </c>
      <c r="ME89" s="294">
        <v>-1294185</v>
      </c>
      <c r="MF89" s="294">
        <v>-1052378.2</v>
      </c>
      <c r="MG89" s="294">
        <v>-6200146.2000000002</v>
      </c>
      <c r="MH89" s="294">
        <v>-228821</v>
      </c>
      <c r="MI89" s="294">
        <v>-594305.5</v>
      </c>
      <c r="MJ89" s="294">
        <v>-89151</v>
      </c>
      <c r="MK89" s="294">
        <v>-895229</v>
      </c>
      <c r="ML89" s="294">
        <v>-571950</v>
      </c>
      <c r="MM89" s="294">
        <v>-262191.25</v>
      </c>
      <c r="MN89" s="294">
        <v>-141415.70000000001</v>
      </c>
      <c r="MO89" s="294">
        <v>-321214</v>
      </c>
      <c r="MP89" s="294">
        <v>-572998</v>
      </c>
      <c r="MQ89" s="294">
        <v>-676297</v>
      </c>
      <c r="MR89" s="294">
        <v>-3193</v>
      </c>
      <c r="MS89" s="294">
        <v>-633771.5</v>
      </c>
      <c r="MT89" s="294">
        <v>-273910</v>
      </c>
      <c r="MU89" s="294">
        <v>-606146</v>
      </c>
      <c r="MV89" s="294">
        <v>-837759.6</v>
      </c>
      <c r="MW89" s="294">
        <v>-1230778.3</v>
      </c>
      <c r="MX89" s="294">
        <v>-400478.4</v>
      </c>
      <c r="MY89" s="294">
        <v>-2175332.2000000002</v>
      </c>
      <c r="MZ89" s="294">
        <v>-4285524.8500000006</v>
      </c>
      <c r="NA89" s="294">
        <v>-805664.5</v>
      </c>
      <c r="NB89" s="294">
        <v>-302717.90000000002</v>
      </c>
      <c r="NC89" s="294">
        <v>-23245</v>
      </c>
      <c r="ND89" s="294">
        <v>-2228455</v>
      </c>
      <c r="NE89" s="294">
        <v>-39120</v>
      </c>
      <c r="NF89" s="294">
        <v>-59425</v>
      </c>
      <c r="NG89" s="294">
        <v>-177481</v>
      </c>
      <c r="NH89" s="294">
        <v>-69710</v>
      </c>
      <c r="NI89" s="294">
        <v>-1838959.81</v>
      </c>
      <c r="NJ89" s="294">
        <v>-1814973.8</v>
      </c>
      <c r="NK89" s="294">
        <v>-13072475.800000001</v>
      </c>
      <c r="NL89" s="294">
        <v>-23833</v>
      </c>
      <c r="NM89" s="294">
        <v>-296876</v>
      </c>
      <c r="NN89" s="294">
        <v>-572253.59</v>
      </c>
      <c r="NO89" s="294">
        <v>-441979</v>
      </c>
      <c r="NP89" s="294">
        <v>-523465</v>
      </c>
      <c r="NQ89" s="294">
        <v>-56880</v>
      </c>
      <c r="NR89" s="294">
        <v>-425098.86</v>
      </c>
      <c r="NS89" s="294">
        <v>-279832.8</v>
      </c>
      <c r="NT89" s="294">
        <v>-37545.15</v>
      </c>
      <c r="NU89" s="294">
        <v>-75701.5</v>
      </c>
      <c r="NV89" s="294">
        <v>0</v>
      </c>
      <c r="NW89" s="294">
        <v>-1232990</v>
      </c>
      <c r="NX89" s="294">
        <v>-3724930</v>
      </c>
      <c r="NY89" s="294">
        <v>-324573.75</v>
      </c>
      <c r="NZ89" s="294">
        <v>-312322</v>
      </c>
      <c r="OA89" s="294"/>
      <c r="OB89" s="294">
        <v>-148082</v>
      </c>
      <c r="OC89" s="294">
        <v>-278631.43</v>
      </c>
      <c r="OD89" s="294">
        <v>0</v>
      </c>
      <c r="OE89" s="294">
        <v>-3085007</v>
      </c>
      <c r="OF89" s="294">
        <v>-1333929.95</v>
      </c>
      <c r="OG89" s="294">
        <v>-616342.15</v>
      </c>
      <c r="OH89" s="294">
        <v>-228850</v>
      </c>
      <c r="OI89" s="294">
        <v>-70940</v>
      </c>
      <c r="OJ89" s="294">
        <v>-2016567.4500000002</v>
      </c>
      <c r="OK89" s="294">
        <v>-139428.70000000001</v>
      </c>
      <c r="OL89" s="294"/>
      <c r="OM89" s="294">
        <v>-2598760</v>
      </c>
      <c r="ON89" s="294">
        <v>-6457678.3200000003</v>
      </c>
      <c r="OO89" s="294">
        <v>-6421944.9000000004</v>
      </c>
      <c r="OP89" s="294">
        <v>-584448.80000000005</v>
      </c>
      <c r="OQ89" s="294">
        <v>-766004</v>
      </c>
      <c r="OR89" s="294">
        <v>-678009</v>
      </c>
      <c r="OS89" s="294">
        <v>-6368820</v>
      </c>
      <c r="OT89" s="294">
        <v>-476470.92</v>
      </c>
      <c r="OU89" s="294">
        <v>-104282.3</v>
      </c>
      <c r="OV89" s="294">
        <v>-76665</v>
      </c>
      <c r="OW89" s="294">
        <v>-134901.70000000001</v>
      </c>
      <c r="OX89" s="294">
        <v>-1803475.1</v>
      </c>
      <c r="OY89" s="294">
        <v>-249571.9</v>
      </c>
      <c r="OZ89" s="294">
        <v>-409968.6</v>
      </c>
      <c r="PA89" s="294">
        <v>-121390.2</v>
      </c>
      <c r="PB89" s="294">
        <v>-4145062.3</v>
      </c>
      <c r="PC89" s="294">
        <v>-153863.1</v>
      </c>
      <c r="PD89" s="294">
        <v>-897748.5</v>
      </c>
      <c r="PE89" s="294">
        <v>-184434</v>
      </c>
      <c r="PF89" s="294">
        <v>-443219.8</v>
      </c>
      <c r="PG89" s="294">
        <v>-676505.5</v>
      </c>
      <c r="PH89" s="294">
        <v>-431664.8</v>
      </c>
      <c r="PI89" s="294">
        <v>-433694.6</v>
      </c>
      <c r="PJ89" s="294">
        <v>-97796.5</v>
      </c>
      <c r="PK89" s="294">
        <v>-560303.5</v>
      </c>
      <c r="PL89" s="294">
        <v>-280537.3</v>
      </c>
      <c r="PM89" s="294">
        <v>-2342669</v>
      </c>
      <c r="PN89" s="294">
        <v>-200725</v>
      </c>
      <c r="PO89" s="294">
        <v>-4957384</v>
      </c>
      <c r="PP89" s="294">
        <v>-1380778.7</v>
      </c>
      <c r="PQ89" s="294">
        <v>-149780</v>
      </c>
      <c r="PR89" s="294">
        <v>-14985</v>
      </c>
      <c r="PS89" s="294">
        <v>-50575</v>
      </c>
      <c r="PT89" s="294">
        <v>-11338705.5</v>
      </c>
      <c r="PU89" s="294">
        <v>-2548188.1</v>
      </c>
      <c r="PV89" s="294">
        <v>-5440</v>
      </c>
      <c r="PW89" s="294">
        <v>-693406.6</v>
      </c>
      <c r="PX89" s="294">
        <v>-5541548.7000000002</v>
      </c>
      <c r="PY89" s="294">
        <v>-825635</v>
      </c>
      <c r="PZ89" s="294">
        <v>-3310207</v>
      </c>
      <c r="QA89" s="294">
        <v>-60785</v>
      </c>
      <c r="QB89" s="294">
        <v>-3589545</v>
      </c>
      <c r="QC89" s="294">
        <v>-85550.8</v>
      </c>
      <c r="QD89" s="294">
        <v>-299203.3</v>
      </c>
      <c r="QE89" s="294">
        <v>-198701.3</v>
      </c>
      <c r="QF89" s="294">
        <v>-167358.65</v>
      </c>
      <c r="QG89" s="294">
        <v>-221665</v>
      </c>
      <c r="QH89" s="294"/>
      <c r="QI89" s="294">
        <v>-199195</v>
      </c>
      <c r="QJ89" s="294"/>
      <c r="QK89" s="294">
        <v>-323224.25</v>
      </c>
      <c r="QL89" s="294">
        <v>-967276</v>
      </c>
      <c r="QM89" s="294">
        <v>-1772082</v>
      </c>
      <c r="QN89" s="294">
        <v>-218839.5</v>
      </c>
      <c r="QO89" s="294">
        <v>-9385.2999999999993</v>
      </c>
      <c r="QP89" s="294">
        <v>-66760</v>
      </c>
      <c r="QQ89" s="294">
        <v>-36240</v>
      </c>
      <c r="QR89" s="294">
        <v>-212007.2</v>
      </c>
      <c r="QS89" s="294">
        <v>-5230</v>
      </c>
      <c r="QT89" s="294">
        <v>-1966318.2</v>
      </c>
      <c r="QU89" s="294">
        <v>-34346.83</v>
      </c>
      <c r="QV89" s="294">
        <v>-232532.09</v>
      </c>
      <c r="QW89" s="294">
        <v>-51850</v>
      </c>
      <c r="QX89" s="294">
        <v>-47555</v>
      </c>
      <c r="QY89" s="294">
        <v>-2092277.3</v>
      </c>
      <c r="QZ89" s="294">
        <v>-453792.2</v>
      </c>
      <c r="RA89" s="294">
        <v>-425555</v>
      </c>
      <c r="RB89" s="294">
        <v>-169820</v>
      </c>
      <c r="RC89" s="294">
        <v>-216707</v>
      </c>
      <c r="RD89" s="294">
        <v>-32955</v>
      </c>
      <c r="RE89" s="294">
        <v>0</v>
      </c>
      <c r="RF89" s="294">
        <v>-36930</v>
      </c>
      <c r="RG89" s="294">
        <v>-1130860</v>
      </c>
      <c r="RH89" s="294">
        <v>-2194160.4</v>
      </c>
      <c r="RI89" s="294">
        <v>-115280</v>
      </c>
      <c r="RJ89" s="294">
        <v>-138328</v>
      </c>
      <c r="RK89" s="294">
        <v>-674395</v>
      </c>
      <c r="RL89" s="294">
        <v>-1257313.46</v>
      </c>
      <c r="RM89" s="294">
        <v>-3012905</v>
      </c>
      <c r="RN89" s="294">
        <v>-914010</v>
      </c>
      <c r="RO89" s="294">
        <v>-229390</v>
      </c>
      <c r="RP89" s="294">
        <v>-1505651.5</v>
      </c>
      <c r="RQ89" s="294">
        <v>-2996937.1</v>
      </c>
      <c r="RR89" s="294">
        <v>-544920.4</v>
      </c>
      <c r="RS89" s="294">
        <v>-427590</v>
      </c>
      <c r="RT89" s="294">
        <v>-385963</v>
      </c>
      <c r="RU89" s="294">
        <v>-2595704</v>
      </c>
      <c r="RV89" s="294">
        <v>-515980</v>
      </c>
      <c r="RW89" s="294">
        <v>-598050.75</v>
      </c>
      <c r="RX89" s="294">
        <v>-110767.7</v>
      </c>
      <c r="RY89" s="294">
        <v>-182300</v>
      </c>
      <c r="RZ89" s="294">
        <v>-851830.9</v>
      </c>
      <c r="SA89" s="294">
        <v>-909903.92</v>
      </c>
      <c r="SB89" s="294">
        <v>-75345</v>
      </c>
      <c r="SC89" s="294">
        <v>-286436.90000000002</v>
      </c>
      <c r="SD89" s="294">
        <v>-963200</v>
      </c>
      <c r="SE89" s="294">
        <v>-366250</v>
      </c>
      <c r="SF89" s="294">
        <v>-175723.79</v>
      </c>
      <c r="SG89" s="294">
        <v>-649506.9</v>
      </c>
      <c r="SH89" s="294">
        <v>-3186090</v>
      </c>
      <c r="SI89" s="294">
        <v>-617975</v>
      </c>
      <c r="SJ89" s="294">
        <v>-133816</v>
      </c>
      <c r="SK89" s="294">
        <v>-2999805</v>
      </c>
      <c r="SL89" s="294">
        <v>-17811.8</v>
      </c>
      <c r="SM89" s="294">
        <v>-4665941.8</v>
      </c>
      <c r="SN89" s="294">
        <v>-269205</v>
      </c>
      <c r="SO89" s="294">
        <v>-641176</v>
      </c>
      <c r="SP89" s="294">
        <v>-1250314.8</v>
      </c>
      <c r="SQ89" s="294">
        <v>-424288</v>
      </c>
      <c r="SR89" s="294">
        <v>-101040</v>
      </c>
      <c r="SS89" s="294">
        <v>-2163944.35</v>
      </c>
      <c r="ST89" s="294">
        <v>-1157496.3</v>
      </c>
      <c r="SU89" s="294">
        <v>-10079413</v>
      </c>
      <c r="SV89" s="294">
        <v>-85286</v>
      </c>
      <c r="SW89" s="294">
        <v>-60166.85</v>
      </c>
      <c r="SX89" s="294">
        <v>-172818.65</v>
      </c>
      <c r="SY89" s="294">
        <v>-12422</v>
      </c>
      <c r="SZ89" s="294">
        <v>-45730</v>
      </c>
      <c r="TA89" s="294">
        <v>-94547.5</v>
      </c>
      <c r="TB89" s="294">
        <v>-1114563</v>
      </c>
      <c r="TC89" s="294">
        <v>-579789</v>
      </c>
      <c r="TD89" s="294">
        <v>-84107.3</v>
      </c>
      <c r="TE89" s="294">
        <v>-45690.8</v>
      </c>
      <c r="TF89" s="294">
        <v>-1638457</v>
      </c>
      <c r="TG89" s="294">
        <v>-53510</v>
      </c>
      <c r="TH89" s="294">
        <v>-26051.1</v>
      </c>
      <c r="TI89" s="294">
        <v>-25643536</v>
      </c>
      <c r="TJ89" s="294">
        <v>-298805.3</v>
      </c>
      <c r="TK89" s="294">
        <v>-324610</v>
      </c>
      <c r="TL89" s="294">
        <v>-933645</v>
      </c>
      <c r="TM89" s="294">
        <v>-832810</v>
      </c>
      <c r="TN89" s="294">
        <v>-256095</v>
      </c>
      <c r="TO89" s="294">
        <v>-818564.36</v>
      </c>
      <c r="TP89" s="294">
        <v>-3307170.88</v>
      </c>
      <c r="TQ89" s="294">
        <v>-114930</v>
      </c>
      <c r="TR89" s="294">
        <v>-1029735.5</v>
      </c>
      <c r="TS89" s="294">
        <v>-644422.72</v>
      </c>
      <c r="TT89" s="294">
        <v>-877965</v>
      </c>
      <c r="TU89" s="294">
        <v>-251005</v>
      </c>
      <c r="TV89" s="294">
        <v>-594000</v>
      </c>
      <c r="TW89" s="294">
        <v>-923960</v>
      </c>
      <c r="TX89" s="294">
        <v>-142585</v>
      </c>
      <c r="TY89" s="294">
        <v>-1404385</v>
      </c>
      <c r="TZ89" s="294">
        <v>-133993.5</v>
      </c>
      <c r="UA89" s="294">
        <v>-2261623</v>
      </c>
      <c r="UB89" s="294">
        <v>-3103838</v>
      </c>
      <c r="UC89" s="294">
        <v>-989875</v>
      </c>
      <c r="UD89" s="294">
        <v>-65258.5</v>
      </c>
      <c r="UE89" s="294">
        <v>-10891545</v>
      </c>
      <c r="UF89" s="294">
        <v>-1088017.21</v>
      </c>
      <c r="UG89" s="294">
        <v>-341308.5</v>
      </c>
      <c r="UH89" s="294">
        <v>-967828.52</v>
      </c>
      <c r="UI89" s="294">
        <v>-185626</v>
      </c>
      <c r="UJ89" s="294">
        <v>-7880527.75</v>
      </c>
      <c r="UK89" s="294">
        <v>-1987377.45</v>
      </c>
      <c r="UL89" s="294">
        <v>-1218991.51</v>
      </c>
      <c r="UM89" s="294">
        <v>-3106565</v>
      </c>
      <c r="UN89" s="294">
        <v>-998435.44</v>
      </c>
      <c r="UO89" s="294">
        <v>-2990866.1</v>
      </c>
      <c r="UP89" s="294">
        <v>-10895461</v>
      </c>
      <c r="UQ89" s="294">
        <v>-2068255.2</v>
      </c>
      <c r="UR89" s="294">
        <v>-955553</v>
      </c>
      <c r="US89" s="294">
        <v>-4708501.9400000004</v>
      </c>
      <c r="UT89" s="294">
        <v>-433615</v>
      </c>
      <c r="UU89" s="294">
        <v>-2060405.8</v>
      </c>
      <c r="UV89" s="294">
        <v>-1962000</v>
      </c>
      <c r="UW89" s="294">
        <v>-554649.27</v>
      </c>
      <c r="UX89" s="294">
        <v>-577561.35</v>
      </c>
      <c r="UY89" s="294">
        <v>-3288145</v>
      </c>
      <c r="UZ89" s="294">
        <v>-751678.58</v>
      </c>
      <c r="VA89" s="294">
        <v>-2699652.8</v>
      </c>
      <c r="VB89" s="294">
        <v>-334976.5</v>
      </c>
      <c r="VC89" s="294">
        <v>-1877992.86</v>
      </c>
      <c r="VD89" s="294">
        <v>-843871</v>
      </c>
      <c r="VE89" s="294">
        <v>-1173788</v>
      </c>
      <c r="VF89" s="294">
        <v>-316968</v>
      </c>
      <c r="VG89" s="294">
        <v>-558335.73</v>
      </c>
      <c r="VH89" s="294">
        <v>-2170315</v>
      </c>
      <c r="VI89" s="294">
        <v>-691340</v>
      </c>
      <c r="VJ89" s="294">
        <v>-386453.5</v>
      </c>
      <c r="VK89" s="294">
        <v>-82699</v>
      </c>
      <c r="VL89" s="294">
        <v>-18798230.5</v>
      </c>
      <c r="VM89" s="294">
        <v>-547895</v>
      </c>
      <c r="VN89" s="294">
        <v>-1940329.61</v>
      </c>
      <c r="VO89" s="294">
        <v>-184770</v>
      </c>
      <c r="VP89" s="294">
        <v>-1092465.3999999999</v>
      </c>
      <c r="VQ89" s="294">
        <v>-412891</v>
      </c>
      <c r="VR89" s="294">
        <v>-277415</v>
      </c>
      <c r="VS89" s="294">
        <v>-69619</v>
      </c>
      <c r="VT89" s="294">
        <v>-1050</v>
      </c>
      <c r="VU89" s="294">
        <v>-2984101.8</v>
      </c>
      <c r="VV89" s="294">
        <v>-121504</v>
      </c>
      <c r="VW89" s="294">
        <v>-550425.81000000006</v>
      </c>
      <c r="VX89" s="294">
        <v>-875315.18</v>
      </c>
      <c r="VY89" s="294">
        <v>-88330</v>
      </c>
      <c r="VZ89" s="294">
        <v>-96394.91</v>
      </c>
      <c r="WA89" s="294"/>
      <c r="WB89" s="294">
        <v>-395823</v>
      </c>
      <c r="WC89" s="294">
        <v>-171861</v>
      </c>
      <c r="WD89" s="294">
        <v>-161653.95000000001</v>
      </c>
      <c r="WE89" s="294">
        <v>-145256</v>
      </c>
      <c r="WF89" s="294">
        <v>-828495</v>
      </c>
      <c r="WG89" s="294">
        <v>-2197405</v>
      </c>
      <c r="WH89" s="294">
        <v>-1446229</v>
      </c>
      <c r="WI89" s="294">
        <v>-773632</v>
      </c>
      <c r="WJ89" s="294">
        <v>-32164</v>
      </c>
      <c r="WK89" s="294">
        <v>-104799.5</v>
      </c>
      <c r="WL89" s="294">
        <v>-1789403</v>
      </c>
      <c r="WM89" s="294">
        <v>-586473.52</v>
      </c>
      <c r="WN89" s="294">
        <v>-2497229</v>
      </c>
      <c r="WO89" s="294">
        <v>-994136</v>
      </c>
      <c r="WP89" s="294">
        <v>-446490.55</v>
      </c>
      <c r="WQ89" s="294">
        <v>-608934</v>
      </c>
      <c r="WR89" s="294">
        <v>-2521108</v>
      </c>
      <c r="WS89" s="294">
        <v>-60440</v>
      </c>
      <c r="WT89" s="294">
        <v>-681057.5</v>
      </c>
      <c r="WU89" s="294">
        <v>-914695</v>
      </c>
      <c r="WV89" s="294">
        <v>-2077205</v>
      </c>
      <c r="WW89" s="294">
        <v>-168142</v>
      </c>
      <c r="WX89" s="294">
        <v>-311887.26</v>
      </c>
      <c r="WY89" s="294">
        <v>-225332</v>
      </c>
      <c r="WZ89" s="294">
        <v>-254559.53</v>
      </c>
      <c r="XA89" s="294">
        <v>-1792</v>
      </c>
      <c r="XB89" s="294">
        <v>-307785</v>
      </c>
      <c r="XC89" s="294">
        <v>-1473768</v>
      </c>
      <c r="XD89" s="294">
        <v>-267455.11</v>
      </c>
      <c r="XE89" s="294">
        <v>-5180</v>
      </c>
      <c r="XF89" s="294">
        <v>-46732</v>
      </c>
      <c r="XG89" s="294">
        <v>-177155</v>
      </c>
      <c r="XH89" s="294">
        <v>-5987215</v>
      </c>
      <c r="XI89" s="294">
        <v>-259150.83</v>
      </c>
      <c r="XJ89" s="294">
        <v>-520895</v>
      </c>
      <c r="XK89" s="294">
        <v>-2961607.05</v>
      </c>
      <c r="XL89" s="294">
        <v>-89024</v>
      </c>
      <c r="XM89" s="294">
        <v>-217210</v>
      </c>
      <c r="XN89" s="294">
        <v>-602907</v>
      </c>
      <c r="XO89" s="294">
        <v>-28437</v>
      </c>
      <c r="XP89" s="294">
        <v>-81277</v>
      </c>
      <c r="XQ89" s="294">
        <v>-858780.5</v>
      </c>
      <c r="XR89" s="294">
        <v>-501705</v>
      </c>
      <c r="XS89" s="294">
        <v>-43012.5</v>
      </c>
      <c r="XT89" s="294">
        <v>-140421</v>
      </c>
      <c r="XU89" s="294">
        <v>-426310</v>
      </c>
      <c r="XV89" s="294">
        <v>-65300</v>
      </c>
      <c r="XW89" s="294">
        <v>-127823</v>
      </c>
      <c r="XX89" s="294">
        <v>-139700</v>
      </c>
      <c r="XY89" s="294">
        <v>-185405</v>
      </c>
      <c r="XZ89" s="294">
        <v>-43079</v>
      </c>
      <c r="YA89" s="294">
        <v>-117470</v>
      </c>
      <c r="YB89" s="294">
        <v>-28240</v>
      </c>
      <c r="YC89" s="294">
        <v>-69550</v>
      </c>
      <c r="YD89" s="294">
        <v>-14630</v>
      </c>
      <c r="YE89" s="294">
        <v>-5706213</v>
      </c>
      <c r="YF89" s="294">
        <v>-265746.5</v>
      </c>
      <c r="YG89" s="294">
        <v>-1921150</v>
      </c>
      <c r="YH89" s="294">
        <v>-62772.5</v>
      </c>
      <c r="YI89" s="294">
        <v>-5049998.46</v>
      </c>
      <c r="YJ89" s="294">
        <v>0</v>
      </c>
      <c r="YK89" s="294">
        <v>-1311942</v>
      </c>
      <c r="YL89" s="294">
        <v>-162852</v>
      </c>
      <c r="YM89" s="294">
        <v>-845578</v>
      </c>
      <c r="YN89" s="294">
        <v>-759040</v>
      </c>
      <c r="YO89" s="294">
        <v>-15861</v>
      </c>
      <c r="YP89" s="294">
        <v>-386990</v>
      </c>
      <c r="YQ89" s="294">
        <v>-1014368.94</v>
      </c>
      <c r="YR89" s="294">
        <v>-208071</v>
      </c>
      <c r="YS89" s="294">
        <v>-150815</v>
      </c>
      <c r="YT89" s="294">
        <v>-326593.5</v>
      </c>
      <c r="YU89" s="294">
        <v>-99128</v>
      </c>
      <c r="YV89" s="294">
        <v>-2196585</v>
      </c>
      <c r="YW89" s="294">
        <v>-569376</v>
      </c>
      <c r="YX89" s="294">
        <v>-911419.97</v>
      </c>
      <c r="YY89" s="294">
        <v>-110235</v>
      </c>
      <c r="YZ89" s="294">
        <v>-324139.3</v>
      </c>
      <c r="ZA89" s="294">
        <v>-14335</v>
      </c>
      <c r="ZB89" s="294">
        <v>-79123</v>
      </c>
      <c r="ZC89" s="294">
        <v>-901880</v>
      </c>
      <c r="ZD89" s="294">
        <v>-14180</v>
      </c>
      <c r="ZE89" s="294">
        <v>-132780.6</v>
      </c>
      <c r="ZF89" s="294">
        <v>-185117.8</v>
      </c>
      <c r="ZG89" s="294">
        <v>-83619.3</v>
      </c>
      <c r="ZH89" s="294">
        <v>-262475</v>
      </c>
      <c r="ZI89" s="294">
        <v>-198686.5</v>
      </c>
      <c r="ZJ89" s="294">
        <v>-25950.5</v>
      </c>
      <c r="ZK89" s="294">
        <v>-1635292</v>
      </c>
      <c r="ZL89" s="294">
        <v>-6310478</v>
      </c>
      <c r="ZM89" s="294">
        <v>-69290</v>
      </c>
      <c r="ZN89" s="294">
        <v>-1328324.6000000001</v>
      </c>
      <c r="ZO89" s="294">
        <v>-6406015</v>
      </c>
      <c r="ZP89" s="294">
        <v>-428020</v>
      </c>
      <c r="ZQ89" s="294">
        <v>-936129.4</v>
      </c>
      <c r="ZR89" s="294">
        <v>-116935</v>
      </c>
      <c r="ZS89" s="294">
        <v>-820375.85</v>
      </c>
      <c r="ZT89" s="294">
        <v>-86472</v>
      </c>
      <c r="ZU89" s="294">
        <v>-1565687</v>
      </c>
      <c r="ZV89" s="294">
        <v>-260110</v>
      </c>
      <c r="ZW89" s="294">
        <v>-169469.8</v>
      </c>
      <c r="ZX89" s="294">
        <v>-225068.21</v>
      </c>
      <c r="ZY89" s="294">
        <v>-58705</v>
      </c>
      <c r="ZZ89" s="294">
        <v>-1457815</v>
      </c>
      <c r="AAA89" s="294">
        <v>-454285</v>
      </c>
      <c r="AAB89" s="294">
        <v>-521050</v>
      </c>
      <c r="AAC89" s="294">
        <v>-17490</v>
      </c>
      <c r="AAD89" s="294">
        <v>-361632.8</v>
      </c>
      <c r="AAE89" s="294">
        <v>-105615.59</v>
      </c>
      <c r="AAF89" s="294">
        <v>-45415.5</v>
      </c>
      <c r="AAG89" s="294">
        <v>-52055</v>
      </c>
      <c r="AAH89" s="294">
        <v>-995832.5</v>
      </c>
      <c r="AAI89" s="294">
        <v>-341247</v>
      </c>
      <c r="AAJ89" s="294">
        <v>-538460</v>
      </c>
      <c r="AAK89" s="294">
        <v>-317115</v>
      </c>
      <c r="AAL89" s="294">
        <v>-26832.2</v>
      </c>
      <c r="AAM89" s="294">
        <v>-889100</v>
      </c>
      <c r="AAN89" s="294">
        <v>-76550</v>
      </c>
      <c r="AAO89" s="294">
        <v>-626050</v>
      </c>
      <c r="AAP89" s="294">
        <v>-422405.65</v>
      </c>
      <c r="AAQ89" s="294">
        <v>-724676.35</v>
      </c>
      <c r="AAR89" s="294">
        <v>-213504</v>
      </c>
      <c r="AAS89" s="294">
        <v>-556440.31000000006</v>
      </c>
      <c r="AAT89" s="294">
        <v>-85320</v>
      </c>
      <c r="AAU89" s="294">
        <v>-130220</v>
      </c>
      <c r="AAV89" s="294">
        <v>-236261.9</v>
      </c>
      <c r="AAW89" s="294">
        <v>-2082331.53</v>
      </c>
      <c r="AAX89" s="294">
        <v>-82605</v>
      </c>
      <c r="AAY89" s="294">
        <v>-253610</v>
      </c>
      <c r="AAZ89" s="294">
        <v>-3559365</v>
      </c>
      <c r="ABA89" s="294">
        <v>-431879.3</v>
      </c>
      <c r="ABB89" s="294">
        <v>-110477.55</v>
      </c>
      <c r="ABC89" s="294">
        <v>-437905</v>
      </c>
      <c r="ABD89" s="294">
        <v>-237994.7</v>
      </c>
      <c r="ABE89" s="294">
        <v>-234107.6</v>
      </c>
      <c r="ABF89" s="294">
        <v>-304757.46999999997</v>
      </c>
      <c r="ABG89" s="294">
        <v>-316626.95</v>
      </c>
      <c r="ABH89" s="294">
        <v>-665421.15</v>
      </c>
      <c r="ABI89" s="294">
        <v>-2976286.2</v>
      </c>
      <c r="ABJ89" s="294">
        <v>-174330</v>
      </c>
      <c r="ABK89" s="294">
        <v>0</v>
      </c>
      <c r="ABL89" s="294">
        <v>-92910</v>
      </c>
      <c r="ABM89" s="294">
        <v>-94702</v>
      </c>
      <c r="ABN89" s="294">
        <v>-65541.5</v>
      </c>
      <c r="ABO89" s="294">
        <v>-2814588.96</v>
      </c>
      <c r="ABP89" s="294">
        <v>-252397</v>
      </c>
      <c r="ABQ89" s="294">
        <v>-31936.3</v>
      </c>
      <c r="ABR89" s="294">
        <v>-576762.27</v>
      </c>
      <c r="ABS89" s="294">
        <v>-251845.72</v>
      </c>
      <c r="ABT89" s="294">
        <v>-1187016.96</v>
      </c>
      <c r="ABU89" s="294">
        <v>-66858.7</v>
      </c>
      <c r="ABV89" s="294">
        <v>-626516.19999999995</v>
      </c>
      <c r="ABW89" s="294">
        <v>-35475</v>
      </c>
      <c r="ABX89" s="294">
        <v>-2020826.65</v>
      </c>
      <c r="ABY89" s="294">
        <v>6696.72</v>
      </c>
      <c r="ABZ89" s="294">
        <v>-209365.09</v>
      </c>
      <c r="ACA89" s="294">
        <v>-99784.66</v>
      </c>
      <c r="ACB89" s="294">
        <v>-61318.19</v>
      </c>
      <c r="ACC89" s="294">
        <v>-3671092.92</v>
      </c>
      <c r="ACD89" s="294">
        <v>-393857.1</v>
      </c>
      <c r="ACE89" s="294">
        <v>-257159.36</v>
      </c>
      <c r="ACF89" s="294">
        <v>-728057.52999999991</v>
      </c>
      <c r="ACG89" s="294">
        <v>-251526.83</v>
      </c>
      <c r="ACH89" s="294">
        <v>-744700.55</v>
      </c>
      <c r="ACI89" s="294">
        <v>-1352114</v>
      </c>
      <c r="ACJ89" s="294">
        <v>-138435</v>
      </c>
      <c r="ACK89" s="294">
        <v>-862130.5</v>
      </c>
      <c r="ACL89" s="294">
        <v>-570785</v>
      </c>
      <c r="ACM89" s="294">
        <v>-159190</v>
      </c>
      <c r="ACN89" s="294">
        <v>-401874</v>
      </c>
      <c r="ACO89" s="294"/>
      <c r="ACP89" s="294">
        <v>-2053233.2</v>
      </c>
      <c r="ACQ89" s="294">
        <v>-2485178</v>
      </c>
      <c r="ACR89" s="294">
        <v>-159944</v>
      </c>
      <c r="ACS89" s="294">
        <v>-681155</v>
      </c>
      <c r="ACT89" s="294">
        <v>-168010</v>
      </c>
      <c r="ACU89" s="294"/>
      <c r="ACV89" s="294">
        <v>-828115.78</v>
      </c>
      <c r="ACW89" s="294"/>
      <c r="ACX89" s="294">
        <v>-92406.74</v>
      </c>
      <c r="ACY89" s="294">
        <v>-14105</v>
      </c>
      <c r="ACZ89" s="294">
        <v>-407119.5</v>
      </c>
      <c r="ADA89" s="294">
        <v>-811825</v>
      </c>
      <c r="ADB89" s="294">
        <v>-44490</v>
      </c>
      <c r="ADC89" s="294">
        <v>-119505.52</v>
      </c>
      <c r="ADD89" s="294"/>
      <c r="ADE89" s="294"/>
      <c r="ADF89" s="294">
        <v>-997306</v>
      </c>
      <c r="ADG89" s="294">
        <v>-764726.65</v>
      </c>
      <c r="ADH89" s="294">
        <v>-925.2</v>
      </c>
      <c r="ADI89" s="294">
        <v>-1660733.75</v>
      </c>
      <c r="ADJ89" s="294"/>
      <c r="ADK89" s="294">
        <v>-170853.3</v>
      </c>
      <c r="ADL89" s="294">
        <v>-395219.73</v>
      </c>
      <c r="ADM89" s="294">
        <v>-139027.5</v>
      </c>
      <c r="ADN89" s="294">
        <v>-203740.57</v>
      </c>
      <c r="ADO89" s="294"/>
      <c r="ADP89" s="294">
        <v>-67200</v>
      </c>
      <c r="ADQ89" s="294">
        <v>-1114980</v>
      </c>
      <c r="ADR89" s="294">
        <v>-69792.429999999993</v>
      </c>
      <c r="ADS89" s="294">
        <v>-6042011.0499999998</v>
      </c>
      <c r="ADT89" s="294">
        <v>-8883</v>
      </c>
      <c r="ADU89" s="294">
        <v>-993319.25</v>
      </c>
      <c r="ADV89" s="294">
        <v>-37547.300000000003</v>
      </c>
      <c r="ADW89" s="294"/>
      <c r="ADX89" s="294">
        <v>-15135</v>
      </c>
      <c r="ADY89" s="294"/>
      <c r="ADZ89" s="294">
        <v>-2771123</v>
      </c>
      <c r="AEA89" s="294">
        <v>-695087.2</v>
      </c>
      <c r="AEB89" s="294">
        <v>-440786.5</v>
      </c>
      <c r="AEC89" s="294">
        <v>-97604</v>
      </c>
      <c r="AED89" s="294">
        <v>-1490658.69</v>
      </c>
      <c r="AEE89" s="294">
        <v>-758706.2</v>
      </c>
      <c r="AEF89" s="294">
        <v>-1919262</v>
      </c>
      <c r="AEG89" s="294">
        <v>-37000</v>
      </c>
      <c r="AEH89" s="294">
        <v>-432615</v>
      </c>
      <c r="AEI89" s="294">
        <v>-619720.4</v>
      </c>
      <c r="AEJ89" s="294">
        <v>-197965.41</v>
      </c>
      <c r="AEK89" s="294">
        <v>-300193</v>
      </c>
      <c r="AEL89" s="294">
        <v>-377388.35</v>
      </c>
      <c r="AEM89" s="294">
        <v>-1670015</v>
      </c>
      <c r="AEN89" s="294">
        <v>-275482</v>
      </c>
      <c r="AEO89" s="294">
        <v>-274368</v>
      </c>
      <c r="AEP89" s="294">
        <v>-798162</v>
      </c>
      <c r="AEQ89" s="294">
        <v>-81126</v>
      </c>
      <c r="AER89" s="294">
        <v>-258544</v>
      </c>
      <c r="AES89" s="294">
        <v>-3597713.7</v>
      </c>
      <c r="AET89" s="294">
        <v>-142645</v>
      </c>
      <c r="AEU89" s="294">
        <v>-856772.92</v>
      </c>
      <c r="AEV89" s="294">
        <v>-623905</v>
      </c>
      <c r="AEW89" s="294">
        <v>-463735</v>
      </c>
      <c r="AEX89" s="294">
        <v>-712528</v>
      </c>
      <c r="AEY89" s="294">
        <v>-701381</v>
      </c>
      <c r="AEZ89" s="294">
        <v>-712634.9</v>
      </c>
      <c r="AFA89" s="294">
        <v>-1311155</v>
      </c>
      <c r="AFB89" s="294">
        <v>-138421.4</v>
      </c>
      <c r="AFC89" s="294">
        <v>-208500</v>
      </c>
      <c r="AFD89" s="294">
        <v>-514407</v>
      </c>
      <c r="AFE89" s="294">
        <v>-169990</v>
      </c>
      <c r="AFF89" s="294">
        <v>0</v>
      </c>
      <c r="AFG89" s="294">
        <v>-546258.75</v>
      </c>
      <c r="AFH89" s="294">
        <v>-30530</v>
      </c>
      <c r="AFI89" s="294">
        <v>-105512.9</v>
      </c>
      <c r="AFJ89" s="294">
        <v>-368234.05</v>
      </c>
      <c r="AFK89" s="294">
        <v>-123721</v>
      </c>
      <c r="AFL89" s="294">
        <v>-323862.31</v>
      </c>
      <c r="AFM89" s="294">
        <v>-98722.5</v>
      </c>
      <c r="AFN89" s="294">
        <v>-822559.16</v>
      </c>
      <c r="AFO89" s="294">
        <v>-158781.28</v>
      </c>
      <c r="AFP89" s="294">
        <v>-2142487.2599999998</v>
      </c>
      <c r="AFQ89" s="294">
        <v>-521807.28</v>
      </c>
      <c r="AFR89" s="294">
        <v>-177705</v>
      </c>
      <c r="AFS89" s="294">
        <v>-264015</v>
      </c>
      <c r="AFT89" s="294">
        <v>-38744.620000000003</v>
      </c>
      <c r="AFU89" s="294">
        <v>-271496.31</v>
      </c>
      <c r="AFV89" s="294">
        <v>-96933</v>
      </c>
      <c r="AFW89" s="294">
        <v>-1669909.32</v>
      </c>
      <c r="AFX89" s="294">
        <v>-624561.72</v>
      </c>
      <c r="AFY89" s="294"/>
      <c r="AFZ89" s="294">
        <v>-956852.21</v>
      </c>
      <c r="AGA89" s="294">
        <v>-318345</v>
      </c>
      <c r="AGB89" s="294">
        <v>-1574966.05</v>
      </c>
      <c r="AGC89" s="294">
        <v>-174863.08</v>
      </c>
      <c r="AGD89" s="294">
        <v>-174646.69</v>
      </c>
      <c r="AGE89" s="294">
        <v>-70132.800000000003</v>
      </c>
      <c r="AGF89" s="294">
        <v>-1027786.75</v>
      </c>
      <c r="AGG89" s="294">
        <v>-262325.33</v>
      </c>
      <c r="AGH89" s="294">
        <v>-57132.5</v>
      </c>
      <c r="AGI89" s="294">
        <v>0</v>
      </c>
      <c r="AGJ89" s="294">
        <v>-213944</v>
      </c>
      <c r="AGK89" s="294">
        <v>-183796.08</v>
      </c>
      <c r="AGL89" s="294">
        <v>-266725</v>
      </c>
      <c r="AGM89" s="294">
        <v>-1706319.98</v>
      </c>
      <c r="AGN89" s="294">
        <v>-1898419</v>
      </c>
      <c r="AGO89" s="294">
        <v>-147365</v>
      </c>
      <c r="AGP89" s="294">
        <v>-45105</v>
      </c>
      <c r="AGQ89" s="294">
        <v>-142710</v>
      </c>
      <c r="AGR89" s="294">
        <v>-377221.97</v>
      </c>
      <c r="AGS89" s="294">
        <v>-37190.199999999997</v>
      </c>
      <c r="AGT89" s="294">
        <v>-113732.6</v>
      </c>
      <c r="AGU89" s="294">
        <v>-1906770</v>
      </c>
      <c r="AGV89" s="294">
        <v>-3463657.5</v>
      </c>
      <c r="AGW89" s="294">
        <v>-754029.87</v>
      </c>
      <c r="AGX89" s="294">
        <v>-315031.19</v>
      </c>
      <c r="AGY89" s="294">
        <v>-389524</v>
      </c>
      <c r="AGZ89" s="294">
        <v>-194692</v>
      </c>
      <c r="AHA89" s="294">
        <v>-576331</v>
      </c>
      <c r="AHB89" s="294">
        <v>-77051.039999999994</v>
      </c>
      <c r="AHC89" s="294">
        <v>-15638.65</v>
      </c>
      <c r="AHD89" s="294">
        <v>-198474</v>
      </c>
      <c r="AHE89" s="294">
        <v>-515253.32</v>
      </c>
      <c r="AHF89" s="294">
        <v>-669462.09</v>
      </c>
      <c r="AHG89" s="294">
        <v>-394524.52</v>
      </c>
      <c r="AHH89" s="294">
        <v>-558474</v>
      </c>
      <c r="AHI89" s="294">
        <v>-444450.1</v>
      </c>
      <c r="AHJ89" s="294"/>
      <c r="AHK89" s="294">
        <v>-917607</v>
      </c>
      <c r="AHL89" s="294">
        <v>-6568185</v>
      </c>
      <c r="AHM89" s="294">
        <v>-48760</v>
      </c>
      <c r="AHN89" s="294">
        <v>-201503.39</v>
      </c>
      <c r="AHO89" s="294">
        <v>-565480.49</v>
      </c>
      <c r="AHP89" s="294">
        <v>-32840</v>
      </c>
      <c r="AHQ89" s="294">
        <v>-268268.13</v>
      </c>
      <c r="AHR89" s="331">
        <v>-1417344</v>
      </c>
      <c r="AHS89" s="294">
        <f t="shared" si="51"/>
        <v>-901634646.96999991</v>
      </c>
      <c r="AHT89" s="269" t="b">
        <f t="shared" si="52"/>
        <v>1</v>
      </c>
      <c r="AHU89" s="269" t="s">
        <v>6278</v>
      </c>
      <c r="AHV89" s="269" t="s">
        <v>6121</v>
      </c>
      <c r="AHW89" s="269" t="s">
        <v>6122</v>
      </c>
    </row>
    <row r="90" spans="1:907" ht="24.6" x14ac:dyDescent="0.7">
      <c r="A90" s="268" t="s">
        <v>6278</v>
      </c>
      <c r="B90" s="268" t="s">
        <v>6123</v>
      </c>
      <c r="C90" s="269" t="s">
        <v>6124</v>
      </c>
      <c r="D90" s="294">
        <v>0</v>
      </c>
      <c r="E90" s="294">
        <v>-668600</v>
      </c>
      <c r="F90" s="294">
        <v>-274900</v>
      </c>
      <c r="G90" s="294">
        <v>-9400</v>
      </c>
      <c r="H90" s="294"/>
      <c r="I90" s="294">
        <v>-61050</v>
      </c>
      <c r="J90" s="294"/>
      <c r="K90" s="294">
        <v>-35100</v>
      </c>
      <c r="L90" s="294">
        <v>-236100</v>
      </c>
      <c r="M90" s="294"/>
      <c r="N90" s="294"/>
      <c r="O90" s="294">
        <v>-22690</v>
      </c>
      <c r="P90" s="294">
        <v>-57500</v>
      </c>
      <c r="Q90" s="294"/>
      <c r="R90" s="294"/>
      <c r="S90" s="294"/>
      <c r="T90" s="294">
        <v>-48400</v>
      </c>
      <c r="U90" s="294"/>
      <c r="V90" s="294"/>
      <c r="W90" s="294">
        <v>-2722180</v>
      </c>
      <c r="X90" s="294">
        <v>-26400</v>
      </c>
      <c r="Y90" s="294">
        <v>-67000</v>
      </c>
      <c r="Z90" s="294"/>
      <c r="AA90" s="294">
        <v>-247900</v>
      </c>
      <c r="AB90" s="294">
        <v>-263600</v>
      </c>
      <c r="AC90" s="294">
        <v>-3417705</v>
      </c>
      <c r="AD90" s="294">
        <v>-2069310</v>
      </c>
      <c r="AE90" s="294">
        <v>-59482.18</v>
      </c>
      <c r="AF90" s="294">
        <v>-9870880</v>
      </c>
      <c r="AG90" s="294">
        <v>-442000</v>
      </c>
      <c r="AH90" s="294">
        <v>-855600</v>
      </c>
      <c r="AI90" s="294">
        <v>-637990</v>
      </c>
      <c r="AJ90" s="294">
        <v>-156205</v>
      </c>
      <c r="AK90" s="294">
        <v>-499120</v>
      </c>
      <c r="AL90" s="294"/>
      <c r="AM90" s="294">
        <v>-66845.33</v>
      </c>
      <c r="AN90" s="294">
        <v>-7220</v>
      </c>
      <c r="AO90" s="294">
        <v>-969920</v>
      </c>
      <c r="AP90" s="294">
        <v>-274200</v>
      </c>
      <c r="AQ90" s="294"/>
      <c r="AR90" s="294">
        <v>-695285</v>
      </c>
      <c r="AS90" s="294">
        <v>-36500</v>
      </c>
      <c r="AT90" s="294">
        <v>-2473270</v>
      </c>
      <c r="AU90" s="294">
        <v>-10680</v>
      </c>
      <c r="AV90" s="294">
        <v>-7120</v>
      </c>
      <c r="AW90" s="294">
        <v>-18240</v>
      </c>
      <c r="AX90" s="294">
        <v>-319487</v>
      </c>
      <c r="AY90" s="294">
        <v>-815345</v>
      </c>
      <c r="AZ90" s="294">
        <v>-9120</v>
      </c>
      <c r="BA90" s="294">
        <v>-3780</v>
      </c>
      <c r="BB90" s="294">
        <v>-25100</v>
      </c>
      <c r="BC90" s="294">
        <v>-46280</v>
      </c>
      <c r="BD90" s="294">
        <v>0</v>
      </c>
      <c r="BE90" s="294">
        <v>-32480</v>
      </c>
      <c r="BF90" s="294"/>
      <c r="BG90" s="294">
        <v>-23560</v>
      </c>
      <c r="BH90" s="294">
        <v>-90000</v>
      </c>
      <c r="BI90" s="294">
        <v>-6764294</v>
      </c>
      <c r="BJ90" s="294">
        <v>-4200</v>
      </c>
      <c r="BK90" s="294">
        <v>-685609</v>
      </c>
      <c r="BL90" s="294">
        <v>-126750</v>
      </c>
      <c r="BM90" s="294">
        <v>-2345447</v>
      </c>
      <c r="BN90" s="294">
        <v>-682077</v>
      </c>
      <c r="BO90" s="294">
        <v>-284212</v>
      </c>
      <c r="BP90" s="294">
        <v>-43020</v>
      </c>
      <c r="BQ90" s="294">
        <v>-108095.8</v>
      </c>
      <c r="BR90" s="294">
        <v>-1395770</v>
      </c>
      <c r="BS90" s="294">
        <v>-35000</v>
      </c>
      <c r="BT90" s="294"/>
      <c r="BU90" s="294"/>
      <c r="BV90" s="294"/>
      <c r="BW90" s="294"/>
      <c r="BX90" s="294"/>
      <c r="BY90" s="294"/>
      <c r="BZ90" s="294">
        <v>-151125</v>
      </c>
      <c r="CA90" s="294">
        <v>-29900</v>
      </c>
      <c r="CB90" s="294">
        <v>0</v>
      </c>
      <c r="CC90" s="294">
        <v>-1371025</v>
      </c>
      <c r="CD90" s="294">
        <v>-358550</v>
      </c>
      <c r="CE90" s="294">
        <v>-207400</v>
      </c>
      <c r="CF90" s="294"/>
      <c r="CG90" s="294">
        <v>-582090</v>
      </c>
      <c r="CH90" s="294">
        <v>-400500</v>
      </c>
      <c r="CI90" s="294">
        <v>-1570379.64</v>
      </c>
      <c r="CJ90" s="294">
        <v>-70000</v>
      </c>
      <c r="CK90" s="294">
        <v>-180000</v>
      </c>
      <c r="CL90" s="294">
        <v>-82000</v>
      </c>
      <c r="CM90" s="294">
        <v>-41000</v>
      </c>
      <c r="CN90" s="294">
        <v>-99800</v>
      </c>
      <c r="CO90" s="294">
        <v>-105000</v>
      </c>
      <c r="CP90" s="294">
        <v>-41000</v>
      </c>
      <c r="CQ90" s="294">
        <v>-123000</v>
      </c>
      <c r="CR90" s="294">
        <v>-41000</v>
      </c>
      <c r="CS90" s="294">
        <v>-70000</v>
      </c>
      <c r="CT90" s="294">
        <v>-2890494</v>
      </c>
      <c r="CU90" s="294">
        <v>-122370</v>
      </c>
      <c r="CV90" s="294">
        <v>-59396</v>
      </c>
      <c r="CW90" s="294">
        <v>-2830008</v>
      </c>
      <c r="CX90" s="294">
        <v>0</v>
      </c>
      <c r="CY90" s="294">
        <v>-1095173</v>
      </c>
      <c r="CZ90" s="294">
        <v>-552375</v>
      </c>
      <c r="DA90" s="294">
        <v>-267216</v>
      </c>
      <c r="DB90" s="294">
        <v>-2391230</v>
      </c>
      <c r="DC90" s="294">
        <v>-1796725</v>
      </c>
      <c r="DD90" s="294"/>
      <c r="DE90" s="294">
        <v>-695520</v>
      </c>
      <c r="DF90" s="294">
        <v>-182850</v>
      </c>
      <c r="DG90" s="294">
        <v>0</v>
      </c>
      <c r="DH90" s="294">
        <v>-108900</v>
      </c>
      <c r="DI90" s="294">
        <v>-150690</v>
      </c>
      <c r="DJ90" s="294"/>
      <c r="DK90" s="294">
        <v>-2839244.3</v>
      </c>
      <c r="DL90" s="294"/>
      <c r="DM90" s="294">
        <v>-100000</v>
      </c>
      <c r="DN90" s="294"/>
      <c r="DO90" s="294"/>
      <c r="DP90" s="294"/>
      <c r="DQ90" s="294"/>
      <c r="DR90" s="294"/>
      <c r="DS90" s="294">
        <v>-614300</v>
      </c>
      <c r="DT90" s="294">
        <v>-10151120</v>
      </c>
      <c r="DU90" s="294">
        <v>-1274055</v>
      </c>
      <c r="DV90" s="294">
        <v>-3665115</v>
      </c>
      <c r="DW90" s="294">
        <v>-5327731</v>
      </c>
      <c r="DX90" s="294">
        <v>-3416054</v>
      </c>
      <c r="DY90" s="294">
        <v>-546532</v>
      </c>
      <c r="DZ90" s="294">
        <v>-1118480</v>
      </c>
      <c r="EA90" s="294">
        <v>-20230</v>
      </c>
      <c r="EB90" s="294">
        <v>-352655</v>
      </c>
      <c r="EC90" s="294">
        <v>-272780</v>
      </c>
      <c r="ED90" s="294">
        <v>-910395</v>
      </c>
      <c r="EE90" s="294">
        <v>-2371710</v>
      </c>
      <c r="EF90" s="294">
        <v>-1702235</v>
      </c>
      <c r="EG90" s="294">
        <v>-556798.43999999994</v>
      </c>
      <c r="EH90" s="294">
        <v>-134395</v>
      </c>
      <c r="EI90" s="294">
        <v>-1402647.5</v>
      </c>
      <c r="EJ90" s="294">
        <v>-605225.1</v>
      </c>
      <c r="EK90" s="294">
        <v>-910730</v>
      </c>
      <c r="EL90" s="294">
        <v>-74820</v>
      </c>
      <c r="EM90" s="294">
        <v>-590475.06999999995</v>
      </c>
      <c r="EN90" s="294">
        <v>0</v>
      </c>
      <c r="EO90" s="294"/>
      <c r="EP90" s="294"/>
      <c r="EQ90" s="294"/>
      <c r="ER90" s="294"/>
      <c r="ES90" s="294"/>
      <c r="ET90" s="294"/>
      <c r="EU90" s="294"/>
      <c r="EV90" s="294"/>
      <c r="EW90" s="294">
        <v>-686850.1</v>
      </c>
      <c r="EX90" s="294">
        <v>-5400</v>
      </c>
      <c r="EY90" s="294">
        <v>-47910</v>
      </c>
      <c r="EZ90" s="294">
        <v>0</v>
      </c>
      <c r="FA90" s="294">
        <v>-72892</v>
      </c>
      <c r="FB90" s="294">
        <v>-610347</v>
      </c>
      <c r="FC90" s="294">
        <v>-322340</v>
      </c>
      <c r="FD90" s="294">
        <v>-121775</v>
      </c>
      <c r="FE90" s="294">
        <v>-73810</v>
      </c>
      <c r="FF90" s="294">
        <v>-27690</v>
      </c>
      <c r="FG90" s="294">
        <v>-48370</v>
      </c>
      <c r="FH90" s="294">
        <v>-29300</v>
      </c>
      <c r="FI90" s="294"/>
      <c r="FJ90" s="294">
        <v>-542690</v>
      </c>
      <c r="FK90" s="294">
        <v>-25400</v>
      </c>
      <c r="FL90" s="294"/>
      <c r="FM90" s="294">
        <v>-2289353.0099999998</v>
      </c>
      <c r="FN90" s="294">
        <v>-2150615</v>
      </c>
      <c r="FO90" s="294">
        <v>-415350</v>
      </c>
      <c r="FP90" s="294">
        <v>-40890</v>
      </c>
      <c r="FQ90" s="294">
        <v>-2440150</v>
      </c>
      <c r="FR90" s="294"/>
      <c r="FS90" s="294"/>
      <c r="FT90" s="294"/>
      <c r="FU90" s="294"/>
      <c r="FV90" s="294">
        <v>-22014</v>
      </c>
      <c r="FW90" s="294"/>
      <c r="FX90" s="294"/>
      <c r="FY90" s="294">
        <v>-8750</v>
      </c>
      <c r="FZ90" s="294"/>
      <c r="GA90" s="294">
        <v>-20855</v>
      </c>
      <c r="GB90" s="294">
        <v>-35000</v>
      </c>
      <c r="GC90" s="294"/>
      <c r="GD90" s="294"/>
      <c r="GE90" s="294"/>
      <c r="GF90" s="294">
        <v>-140066</v>
      </c>
      <c r="GG90" s="294">
        <v>0</v>
      </c>
      <c r="GH90" s="294">
        <v>-1649601.5</v>
      </c>
      <c r="GI90" s="294">
        <v>-1553116.7</v>
      </c>
      <c r="GJ90" s="294">
        <v>0</v>
      </c>
      <c r="GK90" s="294">
        <v>-1013822</v>
      </c>
      <c r="GL90" s="294">
        <v>-645070.25</v>
      </c>
      <c r="GM90" s="294">
        <v>-71543</v>
      </c>
      <c r="GN90" s="294">
        <v>-4075</v>
      </c>
      <c r="GO90" s="294">
        <v>-157568.29999999999</v>
      </c>
      <c r="GP90" s="294">
        <v>-193839.9</v>
      </c>
      <c r="GQ90" s="294">
        <v>-6211633</v>
      </c>
      <c r="GR90" s="294">
        <v>-815630</v>
      </c>
      <c r="GS90" s="294"/>
      <c r="GT90" s="294">
        <v>-1099930</v>
      </c>
      <c r="GU90" s="294">
        <v>-271585</v>
      </c>
      <c r="GV90" s="294"/>
      <c r="GW90" s="294">
        <v>-956230.65</v>
      </c>
      <c r="GX90" s="294">
        <v>-332030</v>
      </c>
      <c r="GY90" s="294"/>
      <c r="GZ90" s="294">
        <v>-138890</v>
      </c>
      <c r="HA90" s="294"/>
      <c r="HB90" s="294">
        <v>-336540</v>
      </c>
      <c r="HC90" s="294">
        <v>-166917.5</v>
      </c>
      <c r="HD90" s="294"/>
      <c r="HE90" s="294">
        <v>-771726</v>
      </c>
      <c r="HF90" s="294">
        <v>-131290</v>
      </c>
      <c r="HG90" s="294">
        <v>-437218.6</v>
      </c>
      <c r="HH90" s="294">
        <v>-485460</v>
      </c>
      <c r="HI90" s="294">
        <v>-1515170.4</v>
      </c>
      <c r="HJ90" s="294">
        <v>-5864802</v>
      </c>
      <c r="HK90" s="294">
        <v>-1151335</v>
      </c>
      <c r="HL90" s="294"/>
      <c r="HM90" s="294">
        <v>-761340.65</v>
      </c>
      <c r="HN90" s="294">
        <v>-484280</v>
      </c>
      <c r="HO90" s="294">
        <v>-726515.7</v>
      </c>
      <c r="HP90" s="294">
        <v>-171850</v>
      </c>
      <c r="HQ90" s="294">
        <v>-364800</v>
      </c>
      <c r="HR90" s="294">
        <v>-287400</v>
      </c>
      <c r="HS90" s="294">
        <v>-4429850</v>
      </c>
      <c r="HT90" s="294">
        <v>-649900</v>
      </c>
      <c r="HU90" s="294"/>
      <c r="HV90" s="294">
        <v>-725326.5</v>
      </c>
      <c r="HW90" s="294">
        <v>-300100</v>
      </c>
      <c r="HX90" s="294"/>
      <c r="HY90" s="294">
        <v>-4400</v>
      </c>
      <c r="HZ90" s="294">
        <v>-1148777</v>
      </c>
      <c r="IA90" s="294">
        <v>-407400</v>
      </c>
      <c r="IB90" s="294">
        <v>-182425</v>
      </c>
      <c r="IC90" s="294">
        <v>-306383.5</v>
      </c>
      <c r="ID90" s="294">
        <v>-236300</v>
      </c>
      <c r="IE90" s="294">
        <v>0</v>
      </c>
      <c r="IF90" s="294"/>
      <c r="IG90" s="294">
        <v>-115090</v>
      </c>
      <c r="IH90" s="294"/>
      <c r="II90" s="294">
        <v>0</v>
      </c>
      <c r="IJ90" s="294">
        <v>0</v>
      </c>
      <c r="IK90" s="294"/>
      <c r="IL90" s="294">
        <v>-1269562</v>
      </c>
      <c r="IM90" s="294"/>
      <c r="IN90" s="294">
        <v>-316030</v>
      </c>
      <c r="IO90" s="294"/>
      <c r="IP90" s="294">
        <v>-379469</v>
      </c>
      <c r="IQ90" s="294">
        <v>-575830.86</v>
      </c>
      <c r="IR90" s="294">
        <v>-309019</v>
      </c>
      <c r="IS90" s="294">
        <v>-9345236</v>
      </c>
      <c r="IT90" s="294">
        <v>-2848095</v>
      </c>
      <c r="IU90" s="294"/>
      <c r="IV90" s="294"/>
      <c r="IW90" s="294"/>
      <c r="IX90" s="294"/>
      <c r="IY90" s="294"/>
      <c r="IZ90" s="294"/>
      <c r="JA90" s="294"/>
      <c r="JB90" s="294"/>
      <c r="JC90" s="294"/>
      <c r="JD90" s="294"/>
      <c r="JE90" s="294"/>
      <c r="JF90" s="294">
        <v>-1673357</v>
      </c>
      <c r="JG90" s="294">
        <v>-625095</v>
      </c>
      <c r="JH90" s="294">
        <v>-521700</v>
      </c>
      <c r="JI90" s="294">
        <v>-312049.84999999998</v>
      </c>
      <c r="JJ90" s="294"/>
      <c r="JK90" s="294">
        <v>-5165268</v>
      </c>
      <c r="JL90" s="294">
        <v>-11728</v>
      </c>
      <c r="JM90" s="294">
        <v>-325122</v>
      </c>
      <c r="JN90" s="294">
        <v>-576050</v>
      </c>
      <c r="JO90" s="294">
        <v>-1731812</v>
      </c>
      <c r="JP90" s="294">
        <v>-144125.99</v>
      </c>
      <c r="JQ90" s="294"/>
      <c r="JR90" s="294">
        <v>-3639075</v>
      </c>
      <c r="JS90" s="294">
        <v>-76350</v>
      </c>
      <c r="JT90" s="294"/>
      <c r="JU90" s="294"/>
      <c r="JV90" s="294"/>
      <c r="JW90" s="294"/>
      <c r="JX90" s="294">
        <v>-881425</v>
      </c>
      <c r="JY90" s="294">
        <v>-448766.58</v>
      </c>
      <c r="JZ90" s="294"/>
      <c r="KA90" s="294"/>
      <c r="KB90" s="294">
        <v>-60000</v>
      </c>
      <c r="KC90" s="294"/>
      <c r="KD90" s="294"/>
      <c r="KE90" s="294"/>
      <c r="KF90" s="294"/>
      <c r="KG90" s="294"/>
      <c r="KH90" s="294"/>
      <c r="KI90" s="294">
        <v>-1052085</v>
      </c>
      <c r="KJ90" s="294"/>
      <c r="KK90" s="294">
        <v>-147000</v>
      </c>
      <c r="KL90" s="294">
        <v>-84600</v>
      </c>
      <c r="KM90" s="294">
        <v>0</v>
      </c>
      <c r="KN90" s="294">
        <v>-60360</v>
      </c>
      <c r="KO90" s="294"/>
      <c r="KP90" s="294"/>
      <c r="KQ90" s="294">
        <v>-4157450</v>
      </c>
      <c r="KR90" s="294">
        <v>-301915</v>
      </c>
      <c r="KS90" s="294">
        <v>-514332.25</v>
      </c>
      <c r="KT90" s="294">
        <v>-983375</v>
      </c>
      <c r="KU90" s="294">
        <v>-5868160.5199999996</v>
      </c>
      <c r="KV90" s="294">
        <v>-1240600</v>
      </c>
      <c r="KW90" s="294">
        <v>0</v>
      </c>
      <c r="KX90" s="294">
        <v>-24320</v>
      </c>
      <c r="KY90" s="294">
        <v>-6432640</v>
      </c>
      <c r="KZ90" s="294"/>
      <c r="LA90" s="294"/>
      <c r="LB90" s="294"/>
      <c r="LC90" s="294"/>
      <c r="LD90" s="294"/>
      <c r="LE90" s="294">
        <v>-167000</v>
      </c>
      <c r="LF90" s="294"/>
      <c r="LG90" s="294">
        <v>-1162438</v>
      </c>
      <c r="LH90" s="294">
        <v>-1067838</v>
      </c>
      <c r="LI90" s="294">
        <v>-77205</v>
      </c>
      <c r="LJ90" s="294">
        <v>-2877662</v>
      </c>
      <c r="LK90" s="294">
        <v>-82248.83</v>
      </c>
      <c r="LL90" s="294">
        <v>-108721</v>
      </c>
      <c r="LM90" s="294">
        <v>-18831</v>
      </c>
      <c r="LN90" s="294">
        <v>-319830</v>
      </c>
      <c r="LO90" s="294">
        <v>-569085.92000000004</v>
      </c>
      <c r="LP90" s="294">
        <v>-954269</v>
      </c>
      <c r="LQ90" s="294">
        <v>-63000</v>
      </c>
      <c r="LR90" s="294">
        <v>-3645100</v>
      </c>
      <c r="LS90" s="294"/>
      <c r="LT90" s="294">
        <v>-199204.2</v>
      </c>
      <c r="LU90" s="294">
        <v>0</v>
      </c>
      <c r="LV90" s="294">
        <v>-4687512</v>
      </c>
      <c r="LW90" s="294">
        <v>-13228720</v>
      </c>
      <c r="LX90" s="294">
        <v>-3701532</v>
      </c>
      <c r="LY90" s="294"/>
      <c r="LZ90" s="294">
        <v>-227000</v>
      </c>
      <c r="MA90" s="294">
        <v>-68000</v>
      </c>
      <c r="MB90" s="294"/>
      <c r="MC90" s="294">
        <v>-40000</v>
      </c>
      <c r="MD90" s="294">
        <v>-45000</v>
      </c>
      <c r="ME90" s="294"/>
      <c r="MF90" s="294"/>
      <c r="MG90" s="294">
        <v>-11709660</v>
      </c>
      <c r="MH90" s="294"/>
      <c r="MI90" s="294"/>
      <c r="MJ90" s="294">
        <v>-566000</v>
      </c>
      <c r="MK90" s="294">
        <v>-380138</v>
      </c>
      <c r="ML90" s="294">
        <v>-402105</v>
      </c>
      <c r="MM90" s="294">
        <v>-24530</v>
      </c>
      <c r="MN90" s="294">
        <v>-29700</v>
      </c>
      <c r="MO90" s="294">
        <v>-236396</v>
      </c>
      <c r="MP90" s="294">
        <v>-969780.8</v>
      </c>
      <c r="MQ90" s="294">
        <v>-381645</v>
      </c>
      <c r="MR90" s="294"/>
      <c r="MS90" s="294"/>
      <c r="MT90" s="294">
        <v>-30458</v>
      </c>
      <c r="MU90" s="294">
        <v>-48630</v>
      </c>
      <c r="MV90" s="294">
        <v>-253025</v>
      </c>
      <c r="MW90" s="294"/>
      <c r="MX90" s="294">
        <v>-296650</v>
      </c>
      <c r="MY90" s="294">
        <v>-402175</v>
      </c>
      <c r="MZ90" s="294">
        <v>-2201425</v>
      </c>
      <c r="NA90" s="294">
        <v>-399726</v>
      </c>
      <c r="NB90" s="294">
        <v>-416020</v>
      </c>
      <c r="NC90" s="294">
        <v>-2750</v>
      </c>
      <c r="ND90" s="294">
        <v>0</v>
      </c>
      <c r="NE90" s="294">
        <v>0</v>
      </c>
      <c r="NF90" s="294">
        <v>-41500</v>
      </c>
      <c r="NG90" s="294">
        <v>-1352400</v>
      </c>
      <c r="NH90" s="294"/>
      <c r="NI90" s="294">
        <v>0</v>
      </c>
      <c r="NJ90" s="294">
        <v>-879900</v>
      </c>
      <c r="NK90" s="294">
        <v>-1957450</v>
      </c>
      <c r="NL90" s="294"/>
      <c r="NM90" s="294"/>
      <c r="NN90" s="294"/>
      <c r="NO90" s="294">
        <v>-93000</v>
      </c>
      <c r="NP90" s="294">
        <v>-1364415</v>
      </c>
      <c r="NQ90" s="294"/>
      <c r="NR90" s="294"/>
      <c r="NS90" s="294"/>
      <c r="NT90" s="294"/>
      <c r="NU90" s="294"/>
      <c r="NV90" s="294"/>
      <c r="NW90" s="294">
        <v>-27500</v>
      </c>
      <c r="NX90" s="294">
        <v>-1728645</v>
      </c>
      <c r="NY90" s="294">
        <v>-494240</v>
      </c>
      <c r="NZ90" s="294">
        <v>-27250</v>
      </c>
      <c r="OA90" s="294">
        <v>-80800</v>
      </c>
      <c r="OB90" s="294"/>
      <c r="OC90" s="294">
        <v>-402855</v>
      </c>
      <c r="OD90" s="294">
        <v>0</v>
      </c>
      <c r="OE90" s="294">
        <v>-9272232.0999999996</v>
      </c>
      <c r="OF90" s="294">
        <v>-406550</v>
      </c>
      <c r="OG90" s="294">
        <v>-840436.5</v>
      </c>
      <c r="OH90" s="294">
        <v>-2055117</v>
      </c>
      <c r="OI90" s="294">
        <v>-24216.6</v>
      </c>
      <c r="OJ90" s="294">
        <v>-4778574.3</v>
      </c>
      <c r="OK90" s="294"/>
      <c r="OL90" s="294"/>
      <c r="OM90" s="294"/>
      <c r="ON90" s="294">
        <v>-962244.1</v>
      </c>
      <c r="OO90" s="294">
        <v>-586605</v>
      </c>
      <c r="OP90" s="294">
        <v>-413325</v>
      </c>
      <c r="OQ90" s="294">
        <v>-85710</v>
      </c>
      <c r="OR90" s="294">
        <v>-549911</v>
      </c>
      <c r="OS90" s="294">
        <v>-9240</v>
      </c>
      <c r="OT90" s="294">
        <v>-172286.5</v>
      </c>
      <c r="OU90" s="294">
        <v>-126188</v>
      </c>
      <c r="OV90" s="294">
        <v>0</v>
      </c>
      <c r="OW90" s="294">
        <v>-502112.5</v>
      </c>
      <c r="OX90" s="294">
        <v>-2521642</v>
      </c>
      <c r="OY90" s="294">
        <v>-385836</v>
      </c>
      <c r="OZ90" s="294">
        <v>-121671</v>
      </c>
      <c r="PA90" s="294">
        <v>-63900</v>
      </c>
      <c r="PB90" s="294">
        <v>-14370888.75</v>
      </c>
      <c r="PC90" s="294"/>
      <c r="PD90" s="294">
        <v>-77980</v>
      </c>
      <c r="PE90" s="294">
        <v>-105000</v>
      </c>
      <c r="PF90" s="294"/>
      <c r="PG90" s="294"/>
      <c r="PH90" s="294"/>
      <c r="PI90" s="294">
        <v>-28000</v>
      </c>
      <c r="PJ90" s="294"/>
      <c r="PK90" s="294"/>
      <c r="PL90" s="294"/>
      <c r="PM90" s="294">
        <v>-74900</v>
      </c>
      <c r="PN90" s="294">
        <v>-20000</v>
      </c>
      <c r="PO90" s="294">
        <v>-564100</v>
      </c>
      <c r="PP90" s="294"/>
      <c r="PQ90" s="294"/>
      <c r="PR90" s="294"/>
      <c r="PS90" s="294"/>
      <c r="PT90" s="294">
        <v>-3418507.5</v>
      </c>
      <c r="PU90" s="294"/>
      <c r="PV90" s="294"/>
      <c r="PW90" s="294"/>
      <c r="PX90" s="294">
        <v>-4938971</v>
      </c>
      <c r="PY90" s="294"/>
      <c r="PZ90" s="294"/>
      <c r="QA90" s="294"/>
      <c r="QB90" s="294"/>
      <c r="QC90" s="294"/>
      <c r="QD90" s="294"/>
      <c r="QE90" s="294">
        <v>-124800</v>
      </c>
      <c r="QF90" s="294"/>
      <c r="QG90" s="294">
        <v>-9500</v>
      </c>
      <c r="QH90" s="294"/>
      <c r="QI90" s="294"/>
      <c r="QJ90" s="294"/>
      <c r="QK90" s="294"/>
      <c r="QL90" s="294"/>
      <c r="QM90" s="294">
        <v>-1191057</v>
      </c>
      <c r="QN90" s="294">
        <v>-2709820</v>
      </c>
      <c r="QO90" s="294"/>
      <c r="QP90" s="294"/>
      <c r="QQ90" s="294"/>
      <c r="QR90" s="294"/>
      <c r="QS90" s="294"/>
      <c r="QT90" s="294">
        <v>-18810185</v>
      </c>
      <c r="QU90" s="294"/>
      <c r="QV90" s="294">
        <v>-651950</v>
      </c>
      <c r="QW90" s="294"/>
      <c r="QX90" s="294"/>
      <c r="QY90" s="294">
        <v>-1868575</v>
      </c>
      <c r="QZ90" s="294"/>
      <c r="RA90" s="294">
        <v>-15750</v>
      </c>
      <c r="RB90" s="294"/>
      <c r="RC90" s="294"/>
      <c r="RD90" s="294">
        <v>-15600</v>
      </c>
      <c r="RE90" s="294"/>
      <c r="RF90" s="294">
        <v>-170000</v>
      </c>
      <c r="RG90" s="294"/>
      <c r="RH90" s="294">
        <v>0</v>
      </c>
      <c r="RI90" s="294">
        <v>0</v>
      </c>
      <c r="RJ90" s="294">
        <v>-1650</v>
      </c>
      <c r="RK90" s="294">
        <v>-249950</v>
      </c>
      <c r="RL90" s="294">
        <v>0</v>
      </c>
      <c r="RM90" s="294"/>
      <c r="RN90" s="294">
        <v>0</v>
      </c>
      <c r="RO90" s="294">
        <v>0</v>
      </c>
      <c r="RP90" s="294">
        <v>-79800</v>
      </c>
      <c r="RQ90" s="294">
        <v>0</v>
      </c>
      <c r="RR90" s="294">
        <v>0</v>
      </c>
      <c r="RS90" s="294">
        <v>0</v>
      </c>
      <c r="RT90" s="294">
        <v>0</v>
      </c>
      <c r="RU90" s="294">
        <v>-4600</v>
      </c>
      <c r="RV90" s="294">
        <v>0</v>
      </c>
      <c r="RW90" s="294">
        <v>0</v>
      </c>
      <c r="RX90" s="294">
        <v>0</v>
      </c>
      <c r="RY90" s="294">
        <v>-1211350</v>
      </c>
      <c r="RZ90" s="294">
        <v>-1650</v>
      </c>
      <c r="SA90" s="294">
        <v>-1035000</v>
      </c>
      <c r="SB90" s="294"/>
      <c r="SC90" s="294">
        <v>-422100</v>
      </c>
      <c r="SD90" s="294">
        <v>-159100</v>
      </c>
      <c r="SE90" s="294">
        <v>-164800</v>
      </c>
      <c r="SF90" s="294">
        <v>-49742.98</v>
      </c>
      <c r="SG90" s="294">
        <v>-296520</v>
      </c>
      <c r="SH90" s="294">
        <v>-1377093</v>
      </c>
      <c r="SI90" s="294"/>
      <c r="SJ90" s="294"/>
      <c r="SK90" s="294">
        <v>-1279768.74</v>
      </c>
      <c r="SL90" s="294"/>
      <c r="SM90" s="294">
        <v>-131975</v>
      </c>
      <c r="SN90" s="294">
        <v>-366365</v>
      </c>
      <c r="SO90" s="294">
        <v>-1035529</v>
      </c>
      <c r="SP90" s="294">
        <v>-697864</v>
      </c>
      <c r="SQ90" s="294">
        <v>-395100</v>
      </c>
      <c r="SR90" s="294">
        <v>-308080</v>
      </c>
      <c r="SS90" s="294">
        <v>-769533.18</v>
      </c>
      <c r="ST90" s="294">
        <v>-293825</v>
      </c>
      <c r="SU90" s="294">
        <v>-32224218</v>
      </c>
      <c r="SV90" s="294"/>
      <c r="SW90" s="294"/>
      <c r="SX90" s="294"/>
      <c r="SY90" s="294"/>
      <c r="SZ90" s="294"/>
      <c r="TA90" s="294"/>
      <c r="TB90" s="294">
        <v>-624825</v>
      </c>
      <c r="TC90" s="294"/>
      <c r="TD90" s="294"/>
      <c r="TE90" s="294"/>
      <c r="TF90" s="294"/>
      <c r="TG90" s="294"/>
      <c r="TH90" s="294"/>
      <c r="TI90" s="294">
        <v>-2205734</v>
      </c>
      <c r="TJ90" s="294"/>
      <c r="TK90" s="294"/>
      <c r="TL90" s="294"/>
      <c r="TM90" s="294"/>
      <c r="TN90" s="294"/>
      <c r="TO90" s="294"/>
      <c r="TP90" s="294">
        <v>-2014160.37</v>
      </c>
      <c r="TQ90" s="294"/>
      <c r="TR90" s="294"/>
      <c r="TS90" s="294"/>
      <c r="TT90" s="294"/>
      <c r="TU90" s="294"/>
      <c r="TV90" s="294"/>
      <c r="TW90" s="294">
        <v>0</v>
      </c>
      <c r="TX90" s="294"/>
      <c r="TY90" s="294">
        <v>-2043400</v>
      </c>
      <c r="TZ90" s="294"/>
      <c r="UA90" s="294">
        <v>-1230750</v>
      </c>
      <c r="UB90" s="294">
        <v>-423540</v>
      </c>
      <c r="UC90" s="294">
        <v>-119300</v>
      </c>
      <c r="UD90" s="294">
        <v>-20300</v>
      </c>
      <c r="UE90" s="294">
        <v>-11997800</v>
      </c>
      <c r="UF90" s="294"/>
      <c r="UG90" s="294">
        <v>-4970</v>
      </c>
      <c r="UH90" s="294"/>
      <c r="UI90" s="294"/>
      <c r="UJ90" s="294">
        <v>-1361131.8</v>
      </c>
      <c r="UK90" s="294">
        <v>-749185</v>
      </c>
      <c r="UL90" s="294">
        <v>-138610</v>
      </c>
      <c r="UM90" s="294">
        <v>-216320.65</v>
      </c>
      <c r="UN90" s="294">
        <v>-137360</v>
      </c>
      <c r="UO90" s="294">
        <v>-364407.06</v>
      </c>
      <c r="UP90" s="294">
        <v>-2595562</v>
      </c>
      <c r="UQ90" s="294"/>
      <c r="UR90" s="294"/>
      <c r="US90" s="294">
        <v>-2601825</v>
      </c>
      <c r="UT90" s="294"/>
      <c r="UU90" s="294"/>
      <c r="UV90" s="294">
        <v>-4772960</v>
      </c>
      <c r="UW90" s="294"/>
      <c r="UX90" s="294">
        <v>-16692</v>
      </c>
      <c r="UY90" s="294"/>
      <c r="UZ90" s="294"/>
      <c r="VA90" s="294">
        <v>-2614200</v>
      </c>
      <c r="VB90" s="294">
        <v>-4700</v>
      </c>
      <c r="VC90" s="294"/>
      <c r="VD90" s="294"/>
      <c r="VE90" s="294"/>
      <c r="VF90" s="294"/>
      <c r="VG90" s="294">
        <v>-5400</v>
      </c>
      <c r="VH90" s="294">
        <v>-1044640</v>
      </c>
      <c r="VI90" s="294"/>
      <c r="VJ90" s="294"/>
      <c r="VK90" s="294"/>
      <c r="VL90" s="294">
        <v>-11530455.5</v>
      </c>
      <c r="VM90" s="294">
        <v>-304000</v>
      </c>
      <c r="VN90" s="294">
        <v>-90000</v>
      </c>
      <c r="VO90" s="294">
        <v>-41100</v>
      </c>
      <c r="VP90" s="294">
        <v>-220000</v>
      </c>
      <c r="VQ90" s="294"/>
      <c r="VR90" s="294">
        <v>-125000</v>
      </c>
      <c r="VS90" s="294"/>
      <c r="VT90" s="294">
        <v>-27559</v>
      </c>
      <c r="VU90" s="294">
        <v>-6546800</v>
      </c>
      <c r="VV90" s="294"/>
      <c r="VW90" s="294"/>
      <c r="VX90" s="294"/>
      <c r="VY90" s="294">
        <v>-75000</v>
      </c>
      <c r="VZ90" s="294"/>
      <c r="WA90" s="294"/>
      <c r="WB90" s="294">
        <v>-68650</v>
      </c>
      <c r="WC90" s="294">
        <v>-100500</v>
      </c>
      <c r="WD90" s="294"/>
      <c r="WE90" s="294">
        <v>-80273</v>
      </c>
      <c r="WF90" s="294">
        <v>-110500</v>
      </c>
      <c r="WG90" s="294">
        <v>-405155</v>
      </c>
      <c r="WH90" s="294"/>
      <c r="WI90" s="294">
        <v>-67000</v>
      </c>
      <c r="WJ90" s="294">
        <v>-134000</v>
      </c>
      <c r="WK90" s="294">
        <v>-67000</v>
      </c>
      <c r="WL90" s="294">
        <v>-124800</v>
      </c>
      <c r="WM90" s="294">
        <v>-67000</v>
      </c>
      <c r="WN90" s="294">
        <v>-1714050</v>
      </c>
      <c r="WO90" s="294">
        <v>-1230900</v>
      </c>
      <c r="WP90" s="294">
        <v>-126210</v>
      </c>
      <c r="WQ90" s="294">
        <v>-109538</v>
      </c>
      <c r="WR90" s="294">
        <v>-67000</v>
      </c>
      <c r="WS90" s="294"/>
      <c r="WT90" s="294">
        <v>-166400</v>
      </c>
      <c r="WU90" s="294"/>
      <c r="WV90" s="294">
        <v>-33500</v>
      </c>
      <c r="WW90" s="294">
        <v>-62100</v>
      </c>
      <c r="WX90" s="294">
        <v>-189643.47</v>
      </c>
      <c r="WY90" s="294"/>
      <c r="WZ90" s="294">
        <v>-50880</v>
      </c>
      <c r="XA90" s="294"/>
      <c r="XB90" s="294">
        <v>-124200</v>
      </c>
      <c r="XC90" s="294">
        <v>-6311950</v>
      </c>
      <c r="XD90" s="294">
        <v>-161159.17000000001</v>
      </c>
      <c r="XE90" s="294">
        <v>-16300</v>
      </c>
      <c r="XF90" s="294"/>
      <c r="XG90" s="294">
        <v>-81500</v>
      </c>
      <c r="XH90" s="294"/>
      <c r="XI90" s="294">
        <v>-485420</v>
      </c>
      <c r="XJ90" s="294"/>
      <c r="XK90" s="294">
        <v>-4877680</v>
      </c>
      <c r="XL90" s="294"/>
      <c r="XM90" s="294">
        <v>-28000</v>
      </c>
      <c r="XN90" s="294">
        <v>-464200</v>
      </c>
      <c r="XO90" s="294">
        <v>0</v>
      </c>
      <c r="XP90" s="294">
        <v>-26000</v>
      </c>
      <c r="XQ90" s="294">
        <v>-56000</v>
      </c>
      <c r="XR90" s="294"/>
      <c r="XS90" s="294">
        <v>-44000</v>
      </c>
      <c r="XT90" s="294">
        <v>-44000</v>
      </c>
      <c r="XU90" s="294">
        <v>-1140720</v>
      </c>
      <c r="XV90" s="294">
        <v>-22000</v>
      </c>
      <c r="XW90" s="294">
        <v>-66000</v>
      </c>
      <c r="XX90" s="294">
        <v>-66000</v>
      </c>
      <c r="XY90" s="294">
        <v>-88000</v>
      </c>
      <c r="XZ90" s="294">
        <v>0</v>
      </c>
      <c r="YA90" s="294">
        <v>-22000</v>
      </c>
      <c r="YB90" s="294">
        <v>-22000</v>
      </c>
      <c r="YC90" s="294">
        <v>-66000</v>
      </c>
      <c r="YD90" s="294">
        <v>-22000</v>
      </c>
      <c r="YE90" s="294">
        <v>-3667600</v>
      </c>
      <c r="YF90" s="294">
        <v>-49610</v>
      </c>
      <c r="YG90" s="294">
        <v>-260900</v>
      </c>
      <c r="YH90" s="294"/>
      <c r="YI90" s="294">
        <v>-363700</v>
      </c>
      <c r="YJ90" s="294">
        <v>-3250</v>
      </c>
      <c r="YK90" s="294">
        <v>-5262900</v>
      </c>
      <c r="YL90" s="294">
        <v>-24005</v>
      </c>
      <c r="YM90" s="294">
        <v>-1373900</v>
      </c>
      <c r="YN90" s="294">
        <v>0</v>
      </c>
      <c r="YO90" s="294">
        <v>-108526</v>
      </c>
      <c r="YP90" s="294"/>
      <c r="YQ90" s="294">
        <v>-44550</v>
      </c>
      <c r="YR90" s="294">
        <v>-4800</v>
      </c>
      <c r="YS90" s="294"/>
      <c r="YT90" s="294"/>
      <c r="YU90" s="294"/>
      <c r="YV90" s="294">
        <v>-1985490</v>
      </c>
      <c r="YW90" s="294"/>
      <c r="YX90" s="294">
        <v>-80000</v>
      </c>
      <c r="YY90" s="294"/>
      <c r="YZ90" s="294"/>
      <c r="ZA90" s="294"/>
      <c r="ZB90" s="294">
        <v>-32000</v>
      </c>
      <c r="ZC90" s="294"/>
      <c r="ZD90" s="294"/>
      <c r="ZE90" s="294"/>
      <c r="ZF90" s="294"/>
      <c r="ZG90" s="294"/>
      <c r="ZH90" s="294"/>
      <c r="ZI90" s="294"/>
      <c r="ZJ90" s="294"/>
      <c r="ZK90" s="294">
        <v>-288000</v>
      </c>
      <c r="ZL90" s="294">
        <v>-4137525.8</v>
      </c>
      <c r="ZM90" s="294"/>
      <c r="ZN90" s="294"/>
      <c r="ZO90" s="294"/>
      <c r="ZP90" s="294"/>
      <c r="ZQ90" s="294"/>
      <c r="ZR90" s="294"/>
      <c r="ZS90" s="294">
        <v>-70000</v>
      </c>
      <c r="ZT90" s="294">
        <v>-55545</v>
      </c>
      <c r="ZU90" s="294"/>
      <c r="ZV90" s="294"/>
      <c r="ZW90" s="294">
        <v>-53000</v>
      </c>
      <c r="ZX90" s="294"/>
      <c r="ZY90" s="294"/>
      <c r="ZZ90" s="294"/>
      <c r="AAA90" s="294"/>
      <c r="AAB90" s="294"/>
      <c r="AAC90" s="294">
        <v>0</v>
      </c>
      <c r="AAD90" s="294"/>
      <c r="AAE90" s="294"/>
      <c r="AAF90" s="294"/>
      <c r="AAG90" s="294"/>
      <c r="AAH90" s="294">
        <v>-4058500</v>
      </c>
      <c r="AAI90" s="294"/>
      <c r="AAJ90" s="294"/>
      <c r="AAK90" s="294"/>
      <c r="AAL90" s="294"/>
      <c r="AAM90" s="294"/>
      <c r="AAN90" s="294"/>
      <c r="AAO90" s="294">
        <v>-6955954.5</v>
      </c>
      <c r="AAP90" s="294">
        <v>-98000</v>
      </c>
      <c r="AAQ90" s="294"/>
      <c r="AAR90" s="294"/>
      <c r="AAS90" s="294"/>
      <c r="AAT90" s="294"/>
      <c r="AAU90" s="294"/>
      <c r="AAV90" s="294"/>
      <c r="AAW90" s="294">
        <v>-1506899.59</v>
      </c>
      <c r="AAX90" s="294"/>
      <c r="AAY90" s="294"/>
      <c r="AAZ90" s="294"/>
      <c r="ABA90" s="294">
        <v>0</v>
      </c>
      <c r="ABB90" s="294"/>
      <c r="ABC90" s="294">
        <v>0</v>
      </c>
      <c r="ABD90" s="294"/>
      <c r="ABE90" s="294"/>
      <c r="ABF90" s="294"/>
      <c r="ABG90" s="294"/>
      <c r="ABH90" s="294">
        <v>-1007770</v>
      </c>
      <c r="ABI90" s="294">
        <v>-2111575</v>
      </c>
      <c r="ABJ90" s="294"/>
      <c r="ABK90" s="294">
        <v>-60000</v>
      </c>
      <c r="ABL90" s="294"/>
      <c r="ABM90" s="294"/>
      <c r="ABN90" s="294"/>
      <c r="ABO90" s="294">
        <v>-1637495</v>
      </c>
      <c r="ABP90" s="294"/>
      <c r="ABQ90" s="294"/>
      <c r="ABR90" s="294"/>
      <c r="ABS90" s="294"/>
      <c r="ABT90" s="294"/>
      <c r="ABU90" s="294"/>
      <c r="ABV90" s="294"/>
      <c r="ABW90" s="294"/>
      <c r="ABX90" s="294">
        <v>-12862414</v>
      </c>
      <c r="ABY90" s="294"/>
      <c r="ABZ90" s="294"/>
      <c r="ACA90" s="294"/>
      <c r="ACB90" s="294"/>
      <c r="ACC90" s="294">
        <v>-5256937.9400000004</v>
      </c>
      <c r="ACD90" s="294"/>
      <c r="ACE90" s="294"/>
      <c r="ACF90" s="294"/>
      <c r="ACG90" s="294"/>
      <c r="ACH90" s="294"/>
      <c r="ACI90" s="294">
        <v>-3267615</v>
      </c>
      <c r="ACJ90" s="294"/>
      <c r="ACK90" s="294"/>
      <c r="ACL90" s="294"/>
      <c r="ACM90" s="294"/>
      <c r="ACN90" s="294"/>
      <c r="ACO90" s="294"/>
      <c r="ACP90" s="294">
        <v>-642200</v>
      </c>
      <c r="ACQ90" s="294">
        <v>-1092133.67</v>
      </c>
      <c r="ACR90" s="294"/>
      <c r="ACS90" s="294">
        <v>-91750</v>
      </c>
      <c r="ACT90" s="294"/>
      <c r="ACU90" s="294"/>
      <c r="ACV90" s="294">
        <v>0</v>
      </c>
      <c r="ACW90" s="294">
        <v>-83000</v>
      </c>
      <c r="ACX90" s="294"/>
      <c r="ACY90" s="294"/>
      <c r="ACZ90" s="294">
        <v>-881640</v>
      </c>
      <c r="ADA90" s="294"/>
      <c r="ADB90" s="294">
        <v>-70000</v>
      </c>
      <c r="ADC90" s="294"/>
      <c r="ADD90" s="294"/>
      <c r="ADE90" s="294"/>
      <c r="ADF90" s="294">
        <v>-50160</v>
      </c>
      <c r="ADG90" s="294"/>
      <c r="ADH90" s="294"/>
      <c r="ADI90" s="294"/>
      <c r="ADJ90" s="294"/>
      <c r="ADK90" s="294"/>
      <c r="ADL90" s="294"/>
      <c r="ADM90" s="294"/>
      <c r="ADN90" s="294"/>
      <c r="ADO90" s="294">
        <v>-21139640</v>
      </c>
      <c r="ADP90" s="294">
        <v>-1643750</v>
      </c>
      <c r="ADQ90" s="294">
        <v>-357273</v>
      </c>
      <c r="ADR90" s="294"/>
      <c r="ADS90" s="294">
        <v>-14206000</v>
      </c>
      <c r="ADT90" s="294"/>
      <c r="ADU90" s="294"/>
      <c r="ADV90" s="294"/>
      <c r="ADW90" s="294"/>
      <c r="ADX90" s="294"/>
      <c r="ADY90" s="294"/>
      <c r="ADZ90" s="294">
        <v>-2219604</v>
      </c>
      <c r="AEA90" s="294">
        <v>-1984460</v>
      </c>
      <c r="AEB90" s="294">
        <v>-470400</v>
      </c>
      <c r="AEC90" s="294">
        <v>-170210</v>
      </c>
      <c r="AED90" s="294">
        <v>-1419100</v>
      </c>
      <c r="AEE90" s="294"/>
      <c r="AEF90" s="294"/>
      <c r="AEG90" s="294"/>
      <c r="AEH90" s="294">
        <v>-388000</v>
      </c>
      <c r="AEI90" s="294">
        <v>-772380</v>
      </c>
      <c r="AEJ90" s="294"/>
      <c r="AEK90" s="294">
        <v>-350700</v>
      </c>
      <c r="AEL90" s="294">
        <v>-1261500</v>
      </c>
      <c r="AEM90" s="294"/>
      <c r="AEN90" s="294"/>
      <c r="AEO90" s="294"/>
      <c r="AEP90" s="294"/>
      <c r="AEQ90" s="294"/>
      <c r="AER90" s="294"/>
      <c r="AES90" s="294">
        <v>-3676720</v>
      </c>
      <c r="AET90" s="294"/>
      <c r="AEU90" s="294"/>
      <c r="AEV90" s="294"/>
      <c r="AEW90" s="294"/>
      <c r="AEX90" s="294"/>
      <c r="AEY90" s="294"/>
      <c r="AEZ90" s="294"/>
      <c r="AFA90" s="294"/>
      <c r="AFB90" s="294"/>
      <c r="AFC90" s="294">
        <v>-4487300</v>
      </c>
      <c r="AFD90" s="294"/>
      <c r="AFE90" s="294"/>
      <c r="AFF90" s="294">
        <v>-15600</v>
      </c>
      <c r="AFG90" s="294">
        <v>-70721</v>
      </c>
      <c r="AFH90" s="294"/>
      <c r="AFI90" s="294"/>
      <c r="AFJ90" s="294"/>
      <c r="AFK90" s="294"/>
      <c r="AFL90" s="294"/>
      <c r="AFM90" s="294"/>
      <c r="AFN90" s="294"/>
      <c r="AFO90" s="294">
        <v>0</v>
      </c>
      <c r="AFP90" s="294">
        <v>-3723100</v>
      </c>
      <c r="AFQ90" s="294"/>
      <c r="AFR90" s="294"/>
      <c r="AFS90" s="294">
        <v>-75000</v>
      </c>
      <c r="AFT90" s="294">
        <v>-25000</v>
      </c>
      <c r="AFU90" s="294">
        <v>-1750</v>
      </c>
      <c r="AFV90" s="294">
        <v>-50000</v>
      </c>
      <c r="AFW90" s="294"/>
      <c r="AFX90" s="294"/>
      <c r="AFY90" s="294">
        <v>-75000</v>
      </c>
      <c r="AFZ90" s="294">
        <v>-172150</v>
      </c>
      <c r="AGA90" s="294">
        <v>-187464</v>
      </c>
      <c r="AGB90" s="294">
        <v>-893092.4</v>
      </c>
      <c r="AGC90" s="294"/>
      <c r="AGD90" s="294"/>
      <c r="AGE90" s="294"/>
      <c r="AGF90" s="294"/>
      <c r="AGG90" s="294"/>
      <c r="AGH90" s="294"/>
      <c r="AGI90" s="294"/>
      <c r="AGJ90" s="294"/>
      <c r="AGK90" s="294"/>
      <c r="AGL90" s="294"/>
      <c r="AGM90" s="294">
        <v>-869720</v>
      </c>
      <c r="AGN90" s="294"/>
      <c r="AGO90" s="294"/>
      <c r="AGP90" s="294"/>
      <c r="AGQ90" s="294"/>
      <c r="AGR90" s="294"/>
      <c r="AGS90" s="294"/>
      <c r="AGT90" s="294">
        <v>0</v>
      </c>
      <c r="AGU90" s="294"/>
      <c r="AGV90" s="294">
        <v>-7758142.6100000003</v>
      </c>
      <c r="AGW90" s="294">
        <v>-129586</v>
      </c>
      <c r="AGX90" s="294">
        <v>-60000</v>
      </c>
      <c r="AGY90" s="294">
        <v>0</v>
      </c>
      <c r="AGZ90" s="294">
        <v>-120000</v>
      </c>
      <c r="AHA90" s="294"/>
      <c r="AHB90" s="294">
        <v>-141000</v>
      </c>
      <c r="AHC90" s="294">
        <v>-24000</v>
      </c>
      <c r="AHD90" s="294">
        <v>-228000</v>
      </c>
      <c r="AHE90" s="294">
        <v>-57000</v>
      </c>
      <c r="AHF90" s="294">
        <v>-116000</v>
      </c>
      <c r="AHG90" s="294">
        <v>-800</v>
      </c>
      <c r="AHH90" s="294">
        <v>-93000</v>
      </c>
      <c r="AHI90" s="294">
        <v>-20000</v>
      </c>
      <c r="AHJ90" s="294"/>
      <c r="AHK90" s="294">
        <v>-48000</v>
      </c>
      <c r="AHL90" s="294">
        <v>-1712600</v>
      </c>
      <c r="AHM90" s="294">
        <v>-45900</v>
      </c>
      <c r="AHN90" s="294">
        <v>-112850</v>
      </c>
      <c r="AHO90" s="294">
        <v>-102500</v>
      </c>
      <c r="AHP90" s="294">
        <v>-208400</v>
      </c>
      <c r="AHQ90" s="294">
        <v>-51900</v>
      </c>
      <c r="AHR90" s="331">
        <v>-349200</v>
      </c>
      <c r="AHS90" s="294">
        <f t="shared" si="51"/>
        <v>-581601184.70000005</v>
      </c>
      <c r="AHT90" s="269" t="b">
        <f t="shared" si="52"/>
        <v>1</v>
      </c>
      <c r="AHU90" s="269" t="s">
        <v>6278</v>
      </c>
      <c r="AHV90" s="269" t="s">
        <v>6123</v>
      </c>
      <c r="AHW90" s="269" t="s">
        <v>6124</v>
      </c>
    </row>
    <row r="91" spans="1:907" ht="24.6" x14ac:dyDescent="0.7">
      <c r="A91" s="268" t="s">
        <v>6278</v>
      </c>
      <c r="B91" s="268" t="s">
        <v>6125</v>
      </c>
      <c r="C91" s="269" t="s">
        <v>6126</v>
      </c>
      <c r="D91" s="294"/>
      <c r="E91" s="294"/>
      <c r="F91" s="294"/>
      <c r="G91" s="294">
        <v>-14121.83</v>
      </c>
      <c r="H91" s="294">
        <v>-50977.87</v>
      </c>
      <c r="I91" s="294"/>
      <c r="J91" s="294"/>
      <c r="K91" s="294"/>
      <c r="L91" s="294">
        <v>-221072.34</v>
      </c>
      <c r="M91" s="294"/>
      <c r="N91" s="294">
        <v>-3010</v>
      </c>
      <c r="O91" s="294">
        <v>-460695.92</v>
      </c>
      <c r="P91" s="294"/>
      <c r="Q91" s="294">
        <v>-1059448.93</v>
      </c>
      <c r="R91" s="294">
        <v>-6618.38</v>
      </c>
      <c r="S91" s="294"/>
      <c r="T91" s="294"/>
      <c r="U91" s="294"/>
      <c r="V91" s="294">
        <v>-4064567</v>
      </c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>
        <v>-498950</v>
      </c>
      <c r="AH91" s="294"/>
      <c r="AI91" s="294"/>
      <c r="AJ91" s="294"/>
      <c r="AK91" s="294"/>
      <c r="AL91" s="294"/>
      <c r="AM91" s="294"/>
      <c r="AN91" s="294"/>
      <c r="AO91" s="294"/>
      <c r="AP91" s="294"/>
      <c r="AQ91" s="294"/>
      <c r="AR91" s="294"/>
      <c r="AS91" s="294"/>
      <c r="AT91" s="294"/>
      <c r="AU91" s="294"/>
      <c r="AV91" s="294"/>
      <c r="AW91" s="294"/>
      <c r="AX91" s="294">
        <v>-7162.7</v>
      </c>
      <c r="AY91" s="294"/>
      <c r="AZ91" s="294"/>
      <c r="BA91" s="294"/>
      <c r="BB91" s="294"/>
      <c r="BC91" s="294">
        <v>-63110</v>
      </c>
      <c r="BD91" s="294">
        <v>-62073.52</v>
      </c>
      <c r="BE91" s="294">
        <v>-56408.26</v>
      </c>
      <c r="BF91" s="294"/>
      <c r="BG91" s="294">
        <v>-56237.8</v>
      </c>
      <c r="BH91" s="294"/>
      <c r="BI91" s="294"/>
      <c r="BJ91" s="294"/>
      <c r="BK91" s="294"/>
      <c r="BL91" s="294"/>
      <c r="BM91" s="294"/>
      <c r="BN91" s="294"/>
      <c r="BO91" s="294"/>
      <c r="BP91" s="294"/>
      <c r="BQ91" s="294"/>
      <c r="BR91" s="294"/>
      <c r="BS91" s="294"/>
      <c r="BT91" s="294"/>
      <c r="BU91" s="294"/>
      <c r="BV91" s="294"/>
      <c r="BW91" s="294"/>
      <c r="BX91" s="294"/>
      <c r="BY91" s="294"/>
      <c r="BZ91" s="294"/>
      <c r="CA91" s="294"/>
      <c r="CB91" s="294"/>
      <c r="CC91" s="294"/>
      <c r="CD91" s="294"/>
      <c r="CE91" s="294"/>
      <c r="CF91" s="294"/>
      <c r="CG91" s="294"/>
      <c r="CH91" s="294"/>
      <c r="CI91" s="294"/>
      <c r="CJ91" s="294"/>
      <c r="CK91" s="294"/>
      <c r="CL91" s="294"/>
      <c r="CM91" s="294"/>
      <c r="CN91" s="294"/>
      <c r="CO91" s="294"/>
      <c r="CP91" s="294"/>
      <c r="CQ91" s="294"/>
      <c r="CR91" s="294"/>
      <c r="CS91" s="294"/>
      <c r="CT91" s="294"/>
      <c r="CU91" s="294">
        <v>-14870</v>
      </c>
      <c r="CV91" s="294">
        <v>-42880</v>
      </c>
      <c r="CW91" s="294"/>
      <c r="CX91" s="294">
        <v>-3240</v>
      </c>
      <c r="CY91" s="294">
        <v>-118300</v>
      </c>
      <c r="CZ91" s="294">
        <v>-108280</v>
      </c>
      <c r="DA91" s="294">
        <v>-49330</v>
      </c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>
        <v>-276645</v>
      </c>
      <c r="DW91" s="294"/>
      <c r="DX91" s="294"/>
      <c r="DY91" s="294"/>
      <c r="DZ91" s="294"/>
      <c r="EA91" s="294">
        <v>-55190</v>
      </c>
      <c r="EB91" s="294">
        <v>-160900</v>
      </c>
      <c r="EC91" s="294"/>
      <c r="ED91" s="294">
        <v>-42500</v>
      </c>
      <c r="EE91" s="294"/>
      <c r="EF91" s="294">
        <v>0</v>
      </c>
      <c r="EG91" s="294">
        <v>-4500</v>
      </c>
      <c r="EH91" s="294">
        <v>-44280</v>
      </c>
      <c r="EI91" s="294"/>
      <c r="EJ91" s="294">
        <v>-243950</v>
      </c>
      <c r="EK91" s="294"/>
      <c r="EL91" s="294">
        <v>-132280</v>
      </c>
      <c r="EM91" s="294"/>
      <c r="EN91" s="294">
        <v>-25800</v>
      </c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  <c r="FI91" s="294"/>
      <c r="FJ91" s="294"/>
      <c r="FK91" s="294"/>
      <c r="FL91" s="294"/>
      <c r="FM91" s="294"/>
      <c r="FN91" s="294"/>
      <c r="FO91" s="294"/>
      <c r="FP91" s="294"/>
      <c r="FQ91" s="294"/>
      <c r="FR91" s="294"/>
      <c r="FS91" s="294"/>
      <c r="FT91" s="294"/>
      <c r="FU91" s="294"/>
      <c r="FV91" s="294"/>
      <c r="FW91" s="294"/>
      <c r="FX91" s="294"/>
      <c r="FY91" s="294"/>
      <c r="FZ91" s="294"/>
      <c r="GA91" s="294"/>
      <c r="GB91" s="294"/>
      <c r="GC91" s="294"/>
      <c r="GD91" s="294"/>
      <c r="GE91" s="294"/>
      <c r="GF91" s="294"/>
      <c r="GG91" s="294"/>
      <c r="GH91" s="294"/>
      <c r="GI91" s="294"/>
      <c r="GJ91" s="294"/>
      <c r="GK91" s="294"/>
      <c r="GL91" s="294"/>
      <c r="GM91" s="294"/>
      <c r="GN91" s="294"/>
      <c r="GO91" s="294"/>
      <c r="GP91" s="294"/>
      <c r="GQ91" s="294">
        <v>-23100</v>
      </c>
      <c r="GR91" s="294"/>
      <c r="GS91" s="294"/>
      <c r="GT91" s="294"/>
      <c r="GU91" s="294"/>
      <c r="GV91" s="294"/>
      <c r="GW91" s="294"/>
      <c r="GX91" s="294"/>
      <c r="GY91" s="294"/>
      <c r="GZ91" s="294"/>
      <c r="HA91" s="294"/>
      <c r="HB91" s="294"/>
      <c r="HC91" s="294"/>
      <c r="HD91" s="294"/>
      <c r="HE91" s="294"/>
      <c r="HF91" s="294"/>
      <c r="HG91" s="294"/>
      <c r="HH91" s="294"/>
      <c r="HI91" s="294"/>
      <c r="HJ91" s="294"/>
      <c r="HK91" s="294"/>
      <c r="HL91" s="294"/>
      <c r="HM91" s="294"/>
      <c r="HN91" s="294"/>
      <c r="HO91" s="294">
        <v>-1003435</v>
      </c>
      <c r="HP91" s="294"/>
      <c r="HQ91" s="294"/>
      <c r="HR91" s="294"/>
      <c r="HS91" s="294"/>
      <c r="HT91" s="294"/>
      <c r="HU91" s="294"/>
      <c r="HV91" s="294"/>
      <c r="HW91" s="294"/>
      <c r="HX91" s="294"/>
      <c r="HY91" s="294"/>
      <c r="HZ91" s="294"/>
      <c r="IA91" s="294"/>
      <c r="IB91" s="294"/>
      <c r="IC91" s="294"/>
      <c r="ID91" s="294"/>
      <c r="IE91" s="294"/>
      <c r="IF91" s="294"/>
      <c r="IG91" s="294"/>
      <c r="IH91" s="294"/>
      <c r="II91" s="294"/>
      <c r="IJ91" s="294"/>
      <c r="IK91" s="294"/>
      <c r="IL91" s="294"/>
      <c r="IM91" s="294"/>
      <c r="IN91" s="294"/>
      <c r="IO91" s="294"/>
      <c r="IP91" s="294"/>
      <c r="IQ91" s="294"/>
      <c r="IR91" s="294"/>
      <c r="IS91" s="294"/>
      <c r="IT91" s="294"/>
      <c r="IU91" s="294"/>
      <c r="IV91" s="294"/>
      <c r="IW91" s="294"/>
      <c r="IX91" s="294"/>
      <c r="IY91" s="294"/>
      <c r="IZ91" s="294"/>
      <c r="JA91" s="294"/>
      <c r="JB91" s="294"/>
      <c r="JC91" s="294"/>
      <c r="JD91" s="294"/>
      <c r="JE91" s="294"/>
      <c r="JF91" s="294"/>
      <c r="JG91" s="294"/>
      <c r="JH91" s="294"/>
      <c r="JI91" s="294"/>
      <c r="JJ91" s="294">
        <v>-14500</v>
      </c>
      <c r="JK91" s="294"/>
      <c r="JL91" s="294"/>
      <c r="JM91" s="294"/>
      <c r="JN91" s="294"/>
      <c r="JO91" s="294"/>
      <c r="JP91" s="294">
        <v>-2823247.1</v>
      </c>
      <c r="JQ91" s="294"/>
      <c r="JR91" s="294"/>
      <c r="JS91" s="294"/>
      <c r="JT91" s="294"/>
      <c r="JU91" s="294"/>
      <c r="JV91" s="294"/>
      <c r="JW91" s="294"/>
      <c r="JX91" s="294"/>
      <c r="JY91" s="294"/>
      <c r="JZ91" s="294"/>
      <c r="KA91" s="294"/>
      <c r="KB91" s="294"/>
      <c r="KC91" s="294"/>
      <c r="KD91" s="294"/>
      <c r="KE91" s="294"/>
      <c r="KF91" s="294"/>
      <c r="KG91" s="294"/>
      <c r="KH91" s="294"/>
      <c r="KI91" s="294"/>
      <c r="KJ91" s="294"/>
      <c r="KK91" s="294"/>
      <c r="KL91" s="294"/>
      <c r="KM91" s="294"/>
      <c r="KN91" s="294"/>
      <c r="KO91" s="294"/>
      <c r="KP91" s="294"/>
      <c r="KQ91" s="294"/>
      <c r="KR91" s="294"/>
      <c r="KS91" s="294"/>
      <c r="KT91" s="294"/>
      <c r="KU91" s="294"/>
      <c r="KV91" s="294">
        <v>-522840</v>
      </c>
      <c r="KW91" s="294"/>
      <c r="KX91" s="294"/>
      <c r="KY91" s="294"/>
      <c r="KZ91" s="294"/>
      <c r="LA91" s="294"/>
      <c r="LB91" s="294"/>
      <c r="LC91" s="294"/>
      <c r="LD91" s="294"/>
      <c r="LE91" s="294"/>
      <c r="LF91" s="294"/>
      <c r="LG91" s="294"/>
      <c r="LH91" s="294"/>
      <c r="LI91" s="294"/>
      <c r="LJ91" s="294"/>
      <c r="LK91" s="294"/>
      <c r="LL91" s="294"/>
      <c r="LM91" s="294"/>
      <c r="LN91" s="294"/>
      <c r="LO91" s="294"/>
      <c r="LP91" s="294"/>
      <c r="LQ91" s="294"/>
      <c r="LR91" s="294"/>
      <c r="LS91" s="294"/>
      <c r="LT91" s="294"/>
      <c r="LU91" s="294"/>
      <c r="LV91" s="294"/>
      <c r="LW91" s="294">
        <v>0</v>
      </c>
      <c r="LX91" s="294"/>
      <c r="LY91" s="294">
        <v>0</v>
      </c>
      <c r="LZ91" s="294"/>
      <c r="MA91" s="294"/>
      <c r="MB91" s="294"/>
      <c r="MC91" s="294"/>
      <c r="MD91" s="294"/>
      <c r="ME91" s="294"/>
      <c r="MF91" s="294"/>
      <c r="MG91" s="294"/>
      <c r="MH91" s="294"/>
      <c r="MI91" s="294"/>
      <c r="MJ91" s="294"/>
      <c r="MK91" s="294"/>
      <c r="ML91" s="294"/>
      <c r="MM91" s="294"/>
      <c r="MN91" s="294"/>
      <c r="MO91" s="294"/>
      <c r="MP91" s="294"/>
      <c r="MQ91" s="294"/>
      <c r="MR91" s="294"/>
      <c r="MS91" s="294"/>
      <c r="MT91" s="294">
        <v>-2416039</v>
      </c>
      <c r="MU91" s="294"/>
      <c r="MV91" s="294"/>
      <c r="MW91" s="294"/>
      <c r="MX91" s="294"/>
      <c r="MY91" s="294"/>
      <c r="MZ91" s="294"/>
      <c r="NA91" s="294"/>
      <c r="NB91" s="294">
        <v>-58877</v>
      </c>
      <c r="NC91" s="294"/>
      <c r="ND91" s="294"/>
      <c r="NE91" s="294"/>
      <c r="NF91" s="294"/>
      <c r="NG91" s="294"/>
      <c r="NH91" s="294"/>
      <c r="NI91" s="294"/>
      <c r="NJ91" s="294"/>
      <c r="NK91" s="294"/>
      <c r="NL91" s="294"/>
      <c r="NM91" s="294"/>
      <c r="NN91" s="294"/>
      <c r="NO91" s="294"/>
      <c r="NP91" s="294"/>
      <c r="NQ91" s="294"/>
      <c r="NR91" s="294"/>
      <c r="NS91" s="294"/>
      <c r="NT91" s="294"/>
      <c r="NU91" s="294"/>
      <c r="NV91" s="294"/>
      <c r="NW91" s="294">
        <v>-202583.25</v>
      </c>
      <c r="NX91" s="294"/>
      <c r="NY91" s="294"/>
      <c r="NZ91" s="294"/>
      <c r="OA91" s="294"/>
      <c r="OB91" s="294"/>
      <c r="OC91" s="294"/>
      <c r="OD91" s="294"/>
      <c r="OE91" s="294"/>
      <c r="OF91" s="294"/>
      <c r="OG91" s="294"/>
      <c r="OH91" s="294"/>
      <c r="OI91" s="294"/>
      <c r="OJ91" s="294"/>
      <c r="OK91" s="294"/>
      <c r="OL91" s="294"/>
      <c r="OM91" s="294"/>
      <c r="ON91" s="294"/>
      <c r="OO91" s="294"/>
      <c r="OP91" s="294"/>
      <c r="OQ91" s="294"/>
      <c r="OR91" s="294"/>
      <c r="OS91" s="294"/>
      <c r="OT91" s="294"/>
      <c r="OU91" s="294"/>
      <c r="OV91" s="294"/>
      <c r="OW91" s="294"/>
      <c r="OX91" s="294"/>
      <c r="OY91" s="294"/>
      <c r="OZ91" s="294"/>
      <c r="PA91" s="294"/>
      <c r="PB91" s="294"/>
      <c r="PC91" s="294"/>
      <c r="PD91" s="294"/>
      <c r="PE91" s="294"/>
      <c r="PF91" s="294"/>
      <c r="PG91" s="294"/>
      <c r="PH91" s="294"/>
      <c r="PI91" s="294"/>
      <c r="PJ91" s="294"/>
      <c r="PK91" s="294"/>
      <c r="PL91" s="294"/>
      <c r="PM91" s="294"/>
      <c r="PN91" s="294"/>
      <c r="PO91" s="294">
        <v>-305591.28999999998</v>
      </c>
      <c r="PP91" s="294"/>
      <c r="PQ91" s="294"/>
      <c r="PR91" s="294"/>
      <c r="PS91" s="294"/>
      <c r="PT91" s="294"/>
      <c r="PU91" s="294"/>
      <c r="PV91" s="294"/>
      <c r="PW91" s="294"/>
      <c r="PX91" s="294"/>
      <c r="PY91" s="294"/>
      <c r="PZ91" s="294">
        <v>-223370</v>
      </c>
      <c r="QA91" s="294"/>
      <c r="QB91" s="294"/>
      <c r="QC91" s="294"/>
      <c r="QD91" s="294"/>
      <c r="QE91" s="294"/>
      <c r="QF91" s="294"/>
      <c r="QG91" s="294"/>
      <c r="QH91" s="294">
        <v>-2415391</v>
      </c>
      <c r="QI91" s="294"/>
      <c r="QJ91" s="294">
        <v>-34110</v>
      </c>
      <c r="QK91" s="294"/>
      <c r="QL91" s="294"/>
      <c r="QM91" s="294">
        <v>-2199880</v>
      </c>
      <c r="QN91" s="294"/>
      <c r="QO91" s="294">
        <v>0</v>
      </c>
      <c r="QP91" s="294"/>
      <c r="QQ91" s="294"/>
      <c r="QR91" s="294"/>
      <c r="QS91" s="294"/>
      <c r="QT91" s="294"/>
      <c r="QU91" s="294"/>
      <c r="QV91" s="294">
        <v>-41690</v>
      </c>
      <c r="QW91" s="294"/>
      <c r="QX91" s="294"/>
      <c r="QY91" s="294">
        <v>-33550</v>
      </c>
      <c r="QZ91" s="294"/>
      <c r="RA91" s="294"/>
      <c r="RB91" s="294">
        <v>-12040</v>
      </c>
      <c r="RC91" s="294"/>
      <c r="RD91" s="294"/>
      <c r="RE91" s="294"/>
      <c r="RF91" s="294"/>
      <c r="RG91" s="294"/>
      <c r="RH91" s="294"/>
      <c r="RI91" s="294"/>
      <c r="RJ91" s="294"/>
      <c r="RK91" s="294"/>
      <c r="RL91" s="294"/>
      <c r="RM91" s="294"/>
      <c r="RN91" s="294"/>
      <c r="RO91" s="294"/>
      <c r="RP91" s="294">
        <v>-1120</v>
      </c>
      <c r="RQ91" s="294"/>
      <c r="RR91" s="294"/>
      <c r="RS91" s="294"/>
      <c r="RT91" s="294"/>
      <c r="RU91" s="294"/>
      <c r="RV91" s="294"/>
      <c r="RW91" s="294"/>
      <c r="RX91" s="294">
        <v>-400</v>
      </c>
      <c r="RY91" s="294"/>
      <c r="RZ91" s="294"/>
      <c r="SA91" s="294"/>
      <c r="SB91" s="294"/>
      <c r="SC91" s="294"/>
      <c r="SD91" s="294"/>
      <c r="SE91" s="294"/>
      <c r="SF91" s="294">
        <v>-1325</v>
      </c>
      <c r="SG91" s="294"/>
      <c r="SH91" s="294"/>
      <c r="SI91" s="294"/>
      <c r="SJ91" s="294"/>
      <c r="SK91" s="294"/>
      <c r="SL91" s="294"/>
      <c r="SM91" s="294">
        <v>-769060</v>
      </c>
      <c r="SN91" s="294"/>
      <c r="SO91" s="294"/>
      <c r="SP91" s="294"/>
      <c r="SQ91" s="294"/>
      <c r="SR91" s="294"/>
      <c r="SS91" s="294">
        <v>-194250</v>
      </c>
      <c r="ST91" s="294"/>
      <c r="SU91" s="294"/>
      <c r="SV91" s="294"/>
      <c r="SW91" s="294"/>
      <c r="SX91" s="294"/>
      <c r="SY91" s="294"/>
      <c r="SZ91" s="294"/>
      <c r="TA91" s="294"/>
      <c r="TB91" s="294"/>
      <c r="TC91" s="294"/>
      <c r="TD91" s="294"/>
      <c r="TE91" s="294"/>
      <c r="TF91" s="294"/>
      <c r="TG91" s="294"/>
      <c r="TH91" s="294"/>
      <c r="TI91" s="294"/>
      <c r="TJ91" s="294"/>
      <c r="TK91" s="294"/>
      <c r="TL91" s="294"/>
      <c r="TM91" s="294"/>
      <c r="TN91" s="294"/>
      <c r="TO91" s="294"/>
      <c r="TP91" s="294"/>
      <c r="TQ91" s="294">
        <v>-530</v>
      </c>
      <c r="TR91" s="294"/>
      <c r="TS91" s="294"/>
      <c r="TT91" s="294"/>
      <c r="TU91" s="294"/>
      <c r="TV91" s="294"/>
      <c r="TW91" s="294"/>
      <c r="TX91" s="294"/>
      <c r="TY91" s="294"/>
      <c r="TZ91" s="294"/>
      <c r="UA91" s="294"/>
      <c r="UB91" s="294"/>
      <c r="UC91" s="294"/>
      <c r="UD91" s="294"/>
      <c r="UE91" s="294"/>
      <c r="UF91" s="294"/>
      <c r="UG91" s="294"/>
      <c r="UH91" s="294"/>
      <c r="UI91" s="294"/>
      <c r="UJ91" s="294"/>
      <c r="UK91" s="294"/>
      <c r="UL91" s="294"/>
      <c r="UM91" s="294"/>
      <c r="UN91" s="294"/>
      <c r="UO91" s="294"/>
      <c r="UP91" s="294"/>
      <c r="UQ91" s="294"/>
      <c r="UR91" s="294"/>
      <c r="US91" s="294">
        <v>-187980</v>
      </c>
      <c r="UT91" s="294"/>
      <c r="UU91" s="294">
        <v>-360</v>
      </c>
      <c r="UV91" s="294"/>
      <c r="UW91" s="294">
        <v>-8580</v>
      </c>
      <c r="UX91" s="294"/>
      <c r="UY91" s="294"/>
      <c r="UZ91" s="294"/>
      <c r="VA91" s="294"/>
      <c r="VB91" s="294">
        <v>-114849.9</v>
      </c>
      <c r="VC91" s="294">
        <v>-24640</v>
      </c>
      <c r="VD91" s="294">
        <v>-221810</v>
      </c>
      <c r="VE91" s="294">
        <v>-3140</v>
      </c>
      <c r="VF91" s="294">
        <v>-24780</v>
      </c>
      <c r="VG91" s="294">
        <v>-79310.42</v>
      </c>
      <c r="VH91" s="294">
        <v>-62000</v>
      </c>
      <c r="VI91" s="294"/>
      <c r="VJ91" s="294"/>
      <c r="VK91" s="294"/>
      <c r="VL91" s="294"/>
      <c r="VM91" s="294"/>
      <c r="VN91" s="294"/>
      <c r="VO91" s="294"/>
      <c r="VP91" s="294"/>
      <c r="VQ91" s="294"/>
      <c r="VR91" s="294"/>
      <c r="VS91" s="294"/>
      <c r="VT91" s="294"/>
      <c r="VU91" s="294"/>
      <c r="VV91" s="294"/>
      <c r="VW91" s="294"/>
      <c r="VX91" s="294"/>
      <c r="VY91" s="294"/>
      <c r="VZ91" s="294"/>
      <c r="WA91" s="294">
        <v>-1058980</v>
      </c>
      <c r="WB91" s="294"/>
      <c r="WC91" s="294"/>
      <c r="WD91" s="294"/>
      <c r="WE91" s="294"/>
      <c r="WF91" s="294"/>
      <c r="WG91" s="294"/>
      <c r="WH91" s="294"/>
      <c r="WI91" s="294"/>
      <c r="WJ91" s="294"/>
      <c r="WK91" s="294"/>
      <c r="WL91" s="294"/>
      <c r="WM91" s="294"/>
      <c r="WN91" s="294"/>
      <c r="WO91" s="294"/>
      <c r="WP91" s="294">
        <v>-7050</v>
      </c>
      <c r="WQ91" s="294"/>
      <c r="WR91" s="294"/>
      <c r="WS91" s="294"/>
      <c r="WT91" s="294"/>
      <c r="WU91" s="294">
        <v>-441479.79</v>
      </c>
      <c r="WV91" s="294"/>
      <c r="WW91" s="294"/>
      <c r="WX91" s="294">
        <v>-12410</v>
      </c>
      <c r="WY91" s="294"/>
      <c r="WZ91" s="294"/>
      <c r="XA91" s="294"/>
      <c r="XB91" s="294">
        <v>-32090</v>
      </c>
      <c r="XC91" s="294"/>
      <c r="XD91" s="294"/>
      <c r="XE91" s="294"/>
      <c r="XF91" s="294"/>
      <c r="XG91" s="294"/>
      <c r="XH91" s="294"/>
      <c r="XI91" s="294"/>
      <c r="XJ91" s="294"/>
      <c r="XK91" s="294"/>
      <c r="XL91" s="294"/>
      <c r="XM91" s="294"/>
      <c r="XN91" s="294"/>
      <c r="XO91" s="294"/>
      <c r="XP91" s="294"/>
      <c r="XQ91" s="294"/>
      <c r="XR91" s="294"/>
      <c r="XS91" s="294"/>
      <c r="XT91" s="294"/>
      <c r="XU91" s="294"/>
      <c r="XV91" s="294"/>
      <c r="XW91" s="294"/>
      <c r="XX91" s="294"/>
      <c r="XY91" s="294"/>
      <c r="XZ91" s="294"/>
      <c r="YA91" s="294"/>
      <c r="YB91" s="294"/>
      <c r="YC91" s="294"/>
      <c r="YD91" s="294"/>
      <c r="YE91" s="294"/>
      <c r="YF91" s="294"/>
      <c r="YG91" s="294"/>
      <c r="YH91" s="294"/>
      <c r="YI91" s="294">
        <v>-122719</v>
      </c>
      <c r="YJ91" s="294"/>
      <c r="YK91" s="294"/>
      <c r="YL91" s="294"/>
      <c r="YM91" s="294"/>
      <c r="YN91" s="294"/>
      <c r="YO91" s="294"/>
      <c r="YP91" s="294"/>
      <c r="YQ91" s="294"/>
      <c r="YR91" s="294"/>
      <c r="YS91" s="294"/>
      <c r="YT91" s="294"/>
      <c r="YU91" s="294"/>
      <c r="YV91" s="294"/>
      <c r="YW91" s="294"/>
      <c r="YX91" s="294">
        <v>-27900</v>
      </c>
      <c r="YY91" s="294">
        <v>-1597381</v>
      </c>
      <c r="YZ91" s="294">
        <v>-86230</v>
      </c>
      <c r="ZA91" s="294">
        <v>-1067715</v>
      </c>
      <c r="ZB91" s="294"/>
      <c r="ZC91" s="294"/>
      <c r="ZD91" s="294"/>
      <c r="ZE91" s="294"/>
      <c r="ZF91" s="294"/>
      <c r="ZG91" s="294"/>
      <c r="ZH91" s="294"/>
      <c r="ZI91" s="294"/>
      <c r="ZJ91" s="294"/>
      <c r="ZK91" s="294"/>
      <c r="ZL91" s="294">
        <v>-2373369.96</v>
      </c>
      <c r="ZM91" s="294">
        <v>-74332.5</v>
      </c>
      <c r="ZN91" s="294">
        <v>-385359.7</v>
      </c>
      <c r="ZO91" s="294">
        <v>-323763.95</v>
      </c>
      <c r="ZP91" s="294">
        <v>-1143966.03</v>
      </c>
      <c r="ZQ91" s="294"/>
      <c r="ZR91" s="294"/>
      <c r="ZS91" s="294">
        <v>-2439854.1</v>
      </c>
      <c r="ZT91" s="294"/>
      <c r="ZU91" s="294">
        <v>-1337072.5900000001</v>
      </c>
      <c r="ZV91" s="294"/>
      <c r="ZW91" s="294">
        <v>-11200</v>
      </c>
      <c r="ZX91" s="294">
        <v>-185017.3</v>
      </c>
      <c r="ZY91" s="294">
        <v>-247129.52</v>
      </c>
      <c r="ZZ91" s="294"/>
      <c r="AAA91" s="294">
        <v>-197293.23</v>
      </c>
      <c r="AAB91" s="294">
        <v>-365279.99</v>
      </c>
      <c r="AAC91" s="294">
        <v>-1257032.49</v>
      </c>
      <c r="AAD91" s="294"/>
      <c r="AAE91" s="294">
        <v>-114131.45</v>
      </c>
      <c r="AAF91" s="294"/>
      <c r="AAG91" s="294"/>
      <c r="AAH91" s="294"/>
      <c r="AAI91" s="294"/>
      <c r="AAJ91" s="294"/>
      <c r="AAK91" s="294"/>
      <c r="AAL91" s="294"/>
      <c r="AAM91" s="294">
        <v>-32750</v>
      </c>
      <c r="AAN91" s="294"/>
      <c r="AAO91" s="294">
        <v>-205620</v>
      </c>
      <c r="AAP91" s="294">
        <v>-342252.79999999999</v>
      </c>
      <c r="AAQ91" s="294">
        <v>-314663.40000000002</v>
      </c>
      <c r="AAR91" s="294">
        <v>-82737.69</v>
      </c>
      <c r="AAS91" s="294">
        <v>-1000420.38</v>
      </c>
      <c r="AAT91" s="294">
        <v>-388011.8</v>
      </c>
      <c r="AAU91" s="294">
        <v>-558066.03</v>
      </c>
      <c r="AAV91" s="294">
        <v>-158480.9</v>
      </c>
      <c r="AAW91" s="294">
        <v>-473906.31</v>
      </c>
      <c r="AAX91" s="294">
        <v>-689492</v>
      </c>
      <c r="AAY91" s="294">
        <v>-133913.37</v>
      </c>
      <c r="AAZ91" s="294">
        <v>-2233780.39</v>
      </c>
      <c r="ABA91" s="294">
        <v>-978682.56</v>
      </c>
      <c r="ABB91" s="294">
        <v>-672194</v>
      </c>
      <c r="ABC91" s="294">
        <v>-988903.54</v>
      </c>
      <c r="ABD91" s="294">
        <v>-357787.32</v>
      </c>
      <c r="ABE91" s="294">
        <v>-437183.53</v>
      </c>
      <c r="ABF91" s="294">
        <v>-356362.28</v>
      </c>
      <c r="ABG91" s="294">
        <v>-158071.59</v>
      </c>
      <c r="ABH91" s="294">
        <v>-1542677.68</v>
      </c>
      <c r="ABI91" s="294">
        <v>-261404.77</v>
      </c>
      <c r="ABJ91" s="294">
        <v>-1099027.33</v>
      </c>
      <c r="ABK91" s="294">
        <v>-1007770.65</v>
      </c>
      <c r="ABL91" s="294">
        <v>-143063.94</v>
      </c>
      <c r="ABM91" s="294">
        <v>-408100.7</v>
      </c>
      <c r="ABN91" s="294">
        <v>-113532.88</v>
      </c>
      <c r="ABO91" s="294">
        <v>-2319810</v>
      </c>
      <c r="ABP91" s="294"/>
      <c r="ABQ91" s="294"/>
      <c r="ABR91" s="294"/>
      <c r="ABS91" s="294"/>
      <c r="ABT91" s="294"/>
      <c r="ABU91" s="294"/>
      <c r="ABV91" s="294"/>
      <c r="ABW91" s="294"/>
      <c r="ABX91" s="294">
        <v>-2120500</v>
      </c>
      <c r="ABY91" s="294"/>
      <c r="ABZ91" s="294"/>
      <c r="ACA91" s="294"/>
      <c r="ACB91" s="294"/>
      <c r="ACC91" s="294"/>
      <c r="ACD91" s="294"/>
      <c r="ACE91" s="294"/>
      <c r="ACF91" s="294"/>
      <c r="ACG91" s="294"/>
      <c r="ACH91" s="294"/>
      <c r="ACI91" s="294"/>
      <c r="ACJ91" s="294"/>
      <c r="ACK91" s="294">
        <v>-9450</v>
      </c>
      <c r="ACL91" s="294"/>
      <c r="ACM91" s="294">
        <v>-27120</v>
      </c>
      <c r="ACN91" s="294"/>
      <c r="ACO91" s="294"/>
      <c r="ACP91" s="294">
        <v>-31240</v>
      </c>
      <c r="ACQ91" s="294"/>
      <c r="ACR91" s="294">
        <v>-9800</v>
      </c>
      <c r="ACS91" s="294"/>
      <c r="ACT91" s="294"/>
      <c r="ACU91" s="294"/>
      <c r="ACV91" s="294"/>
      <c r="ACW91" s="294"/>
      <c r="ACX91" s="294"/>
      <c r="ACY91" s="294"/>
      <c r="ACZ91" s="294">
        <v>-143877</v>
      </c>
      <c r="ADA91" s="294"/>
      <c r="ADB91" s="294"/>
      <c r="ADC91" s="294"/>
      <c r="ADD91" s="294"/>
      <c r="ADE91" s="294"/>
      <c r="ADF91" s="294"/>
      <c r="ADG91" s="294"/>
      <c r="ADH91" s="294"/>
      <c r="ADI91" s="294"/>
      <c r="ADJ91" s="294"/>
      <c r="ADK91" s="294"/>
      <c r="ADL91" s="294">
        <v>-149439</v>
      </c>
      <c r="ADM91" s="294"/>
      <c r="ADN91" s="294"/>
      <c r="ADO91" s="294"/>
      <c r="ADP91" s="294"/>
      <c r="ADQ91" s="294"/>
      <c r="ADR91" s="294"/>
      <c r="ADS91" s="294"/>
      <c r="ADT91" s="294"/>
      <c r="ADU91" s="294"/>
      <c r="ADV91" s="294"/>
      <c r="ADW91" s="294"/>
      <c r="ADX91" s="294"/>
      <c r="ADY91" s="294"/>
      <c r="ADZ91" s="294"/>
      <c r="AEA91" s="294"/>
      <c r="AEB91" s="294"/>
      <c r="AEC91" s="294"/>
      <c r="AED91" s="294"/>
      <c r="AEE91" s="294"/>
      <c r="AEF91" s="294"/>
      <c r="AEG91" s="294"/>
      <c r="AEH91" s="294"/>
      <c r="AEI91" s="294"/>
      <c r="AEJ91" s="294"/>
      <c r="AEK91" s="294"/>
      <c r="AEL91" s="294"/>
      <c r="AEM91" s="294"/>
      <c r="AEN91" s="294"/>
      <c r="AEO91" s="294"/>
      <c r="AEP91" s="294"/>
      <c r="AEQ91" s="294"/>
      <c r="AER91" s="294"/>
      <c r="AES91" s="294"/>
      <c r="AET91" s="294"/>
      <c r="AEU91" s="294"/>
      <c r="AEV91" s="294"/>
      <c r="AEW91" s="294"/>
      <c r="AEX91" s="294"/>
      <c r="AEY91" s="294"/>
      <c r="AEZ91" s="294"/>
      <c r="AFA91" s="294"/>
      <c r="AFB91" s="294"/>
      <c r="AFC91" s="294">
        <v>-813640</v>
      </c>
      <c r="AFD91" s="294">
        <v>-1514120</v>
      </c>
      <c r="AFE91" s="294"/>
      <c r="AFF91" s="294"/>
      <c r="AFG91" s="294"/>
      <c r="AFH91" s="294"/>
      <c r="AFI91" s="294">
        <v>-1800</v>
      </c>
      <c r="AFJ91" s="294"/>
      <c r="AFK91" s="294"/>
      <c r="AFL91" s="294"/>
      <c r="AFM91" s="294"/>
      <c r="AFN91" s="294"/>
      <c r="AFO91" s="294"/>
      <c r="AFP91" s="294"/>
      <c r="AFQ91" s="294">
        <v>-29850</v>
      </c>
      <c r="AFR91" s="294"/>
      <c r="AFS91" s="294"/>
      <c r="AFT91" s="294"/>
      <c r="AFU91" s="294"/>
      <c r="AFV91" s="294"/>
      <c r="AFW91" s="294"/>
      <c r="AFX91" s="294"/>
      <c r="AFY91" s="294"/>
      <c r="AFZ91" s="294"/>
      <c r="AGA91" s="294">
        <v>-32933.06</v>
      </c>
      <c r="AGB91" s="294"/>
      <c r="AGC91" s="294"/>
      <c r="AGD91" s="294"/>
      <c r="AGE91" s="294"/>
      <c r="AGF91" s="294"/>
      <c r="AGG91" s="294">
        <v>-9600</v>
      </c>
      <c r="AGH91" s="294"/>
      <c r="AGI91" s="294"/>
      <c r="AGJ91" s="294"/>
      <c r="AGK91" s="294"/>
      <c r="AGL91" s="294"/>
      <c r="AGM91" s="294"/>
      <c r="AGN91" s="294"/>
      <c r="AGO91" s="294"/>
      <c r="AGP91" s="294"/>
      <c r="AGQ91" s="294"/>
      <c r="AGR91" s="294"/>
      <c r="AGS91" s="294">
        <v>-4360</v>
      </c>
      <c r="AGT91" s="294"/>
      <c r="AGU91" s="294">
        <v>-1075990</v>
      </c>
      <c r="AGV91" s="294"/>
      <c r="AGW91" s="294"/>
      <c r="AGX91" s="294"/>
      <c r="AGY91" s="294"/>
      <c r="AGZ91" s="294"/>
      <c r="AHA91" s="294"/>
      <c r="AHB91" s="294"/>
      <c r="AHC91" s="294"/>
      <c r="AHD91" s="294"/>
      <c r="AHE91" s="294"/>
      <c r="AHF91" s="294">
        <v>-7800</v>
      </c>
      <c r="AHG91" s="294"/>
      <c r="AHH91" s="294">
        <v>-21050</v>
      </c>
      <c r="AHI91" s="294"/>
      <c r="AHJ91" s="294"/>
      <c r="AHK91" s="294">
        <v>-46591.16</v>
      </c>
      <c r="AHL91" s="294"/>
      <c r="AHM91" s="294"/>
      <c r="AHN91" s="294"/>
      <c r="AHO91" s="294"/>
      <c r="AHP91" s="294"/>
      <c r="AHQ91" s="294"/>
      <c r="AHR91" s="331"/>
      <c r="AHS91" s="294">
        <f t="shared" si="51"/>
        <v>-60388364.170000009</v>
      </c>
      <c r="AHT91" s="269" t="b">
        <f t="shared" si="52"/>
        <v>1</v>
      </c>
      <c r="AHU91" s="269" t="s">
        <v>6278</v>
      </c>
      <c r="AHV91" s="269" t="s">
        <v>6125</v>
      </c>
      <c r="AHW91" s="269" t="s">
        <v>6126</v>
      </c>
    </row>
    <row r="92" spans="1:907" ht="24.6" x14ac:dyDescent="0.7">
      <c r="A92" s="268" t="s">
        <v>6278</v>
      </c>
      <c r="B92" s="268" t="s">
        <v>6127</v>
      </c>
      <c r="C92" s="269" t="s">
        <v>6128</v>
      </c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>
        <v>-66098.33</v>
      </c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>
        <v>-627009</v>
      </c>
      <c r="AC92" s="294"/>
      <c r="AD92" s="294"/>
      <c r="AE92" s="294"/>
      <c r="AF92" s="294">
        <v>-6919.5</v>
      </c>
      <c r="AG92" s="294"/>
      <c r="AH92" s="294"/>
      <c r="AI92" s="294"/>
      <c r="AJ92" s="294"/>
      <c r="AK92" s="294"/>
      <c r="AL92" s="294"/>
      <c r="AM92" s="294"/>
      <c r="AN92" s="294"/>
      <c r="AO92" s="294"/>
      <c r="AP92" s="294"/>
      <c r="AQ92" s="294"/>
      <c r="AR92" s="294"/>
      <c r="AS92" s="294"/>
      <c r="AT92" s="294"/>
      <c r="AU92" s="294"/>
      <c r="AV92" s="294"/>
      <c r="AW92" s="294"/>
      <c r="AX92" s="294"/>
      <c r="AY92" s="294"/>
      <c r="AZ92" s="294"/>
      <c r="BA92" s="294"/>
      <c r="BB92" s="294"/>
      <c r="BC92" s="294"/>
      <c r="BD92" s="294"/>
      <c r="BE92" s="294"/>
      <c r="BF92" s="294"/>
      <c r="BG92" s="294"/>
      <c r="BH92" s="294"/>
      <c r="BI92" s="294"/>
      <c r="BJ92" s="294"/>
      <c r="BK92" s="294"/>
      <c r="BL92" s="294"/>
      <c r="BM92" s="294"/>
      <c r="BN92" s="294"/>
      <c r="BO92" s="294"/>
      <c r="BP92" s="294"/>
      <c r="BQ92" s="294"/>
      <c r="BR92" s="294"/>
      <c r="BS92" s="294"/>
      <c r="BT92" s="294"/>
      <c r="BU92" s="294"/>
      <c r="BV92" s="294"/>
      <c r="BW92" s="294"/>
      <c r="BX92" s="294"/>
      <c r="BY92" s="294"/>
      <c r="BZ92" s="294"/>
      <c r="CA92" s="294"/>
      <c r="CB92" s="294"/>
      <c r="CC92" s="294"/>
      <c r="CD92" s="294"/>
      <c r="CE92" s="294"/>
      <c r="CF92" s="294"/>
      <c r="CG92" s="294"/>
      <c r="CH92" s="294"/>
      <c r="CI92" s="294"/>
      <c r="CJ92" s="294"/>
      <c r="CK92" s="294"/>
      <c r="CL92" s="294"/>
      <c r="CM92" s="294"/>
      <c r="CN92" s="294"/>
      <c r="CO92" s="294"/>
      <c r="CP92" s="294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>
        <v>-34680</v>
      </c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  <c r="FI92" s="294"/>
      <c r="FJ92" s="294"/>
      <c r="FK92" s="294"/>
      <c r="FL92" s="294"/>
      <c r="FM92" s="294"/>
      <c r="FN92" s="294"/>
      <c r="FO92" s="294"/>
      <c r="FP92" s="294"/>
      <c r="FQ92" s="294"/>
      <c r="FR92" s="294"/>
      <c r="FS92" s="294"/>
      <c r="FT92" s="294"/>
      <c r="FU92" s="294"/>
      <c r="FV92" s="294"/>
      <c r="FW92" s="294"/>
      <c r="FX92" s="294"/>
      <c r="FY92" s="294"/>
      <c r="FZ92" s="294"/>
      <c r="GA92" s="294"/>
      <c r="GB92" s="294"/>
      <c r="GC92" s="294"/>
      <c r="GD92" s="294"/>
      <c r="GE92" s="294"/>
      <c r="GF92" s="294"/>
      <c r="GG92" s="294"/>
      <c r="GH92" s="294"/>
      <c r="GI92" s="294"/>
      <c r="GJ92" s="294"/>
      <c r="GK92" s="294"/>
      <c r="GL92" s="294"/>
      <c r="GM92" s="294"/>
      <c r="GN92" s="294"/>
      <c r="GO92" s="294"/>
      <c r="GP92" s="294"/>
      <c r="GQ92" s="294"/>
      <c r="GR92" s="294"/>
      <c r="GS92" s="294"/>
      <c r="GT92" s="294"/>
      <c r="GU92" s="294"/>
      <c r="GV92" s="294"/>
      <c r="GW92" s="294">
        <v>-71723.16</v>
      </c>
      <c r="GX92" s="294"/>
      <c r="GY92" s="294"/>
      <c r="GZ92" s="294"/>
      <c r="HA92" s="294"/>
      <c r="HB92" s="294"/>
      <c r="HC92" s="294"/>
      <c r="HD92" s="294"/>
      <c r="HE92" s="294"/>
      <c r="HF92" s="294"/>
      <c r="HG92" s="294"/>
      <c r="HH92" s="294"/>
      <c r="HI92" s="294"/>
      <c r="HJ92" s="294"/>
      <c r="HK92" s="294"/>
      <c r="HL92" s="294"/>
      <c r="HM92" s="294"/>
      <c r="HN92" s="294"/>
      <c r="HO92" s="294"/>
      <c r="HP92" s="294"/>
      <c r="HQ92" s="294"/>
      <c r="HR92" s="294"/>
      <c r="HS92" s="294"/>
      <c r="HT92" s="294"/>
      <c r="HU92" s="294"/>
      <c r="HV92" s="294"/>
      <c r="HW92" s="294"/>
      <c r="HX92" s="294"/>
      <c r="HY92" s="294"/>
      <c r="HZ92" s="294"/>
      <c r="IA92" s="294"/>
      <c r="IB92" s="294"/>
      <c r="IC92" s="294"/>
      <c r="ID92" s="294"/>
      <c r="IE92" s="294"/>
      <c r="IF92" s="294"/>
      <c r="IG92" s="294"/>
      <c r="IH92" s="294"/>
      <c r="II92" s="294"/>
      <c r="IJ92" s="294"/>
      <c r="IK92" s="294"/>
      <c r="IL92" s="294"/>
      <c r="IM92" s="294"/>
      <c r="IN92" s="294"/>
      <c r="IO92" s="294"/>
      <c r="IP92" s="294"/>
      <c r="IQ92" s="294"/>
      <c r="IR92" s="294"/>
      <c r="IS92" s="294"/>
      <c r="IT92" s="294"/>
      <c r="IU92" s="294"/>
      <c r="IV92" s="294"/>
      <c r="IW92" s="294"/>
      <c r="IX92" s="294"/>
      <c r="IY92" s="294"/>
      <c r="IZ92" s="294"/>
      <c r="JA92" s="294"/>
      <c r="JB92" s="294"/>
      <c r="JC92" s="294"/>
      <c r="JD92" s="294"/>
      <c r="JE92" s="294"/>
      <c r="JF92" s="294"/>
      <c r="JG92" s="294"/>
      <c r="JH92" s="294"/>
      <c r="JI92" s="294"/>
      <c r="JJ92" s="294"/>
      <c r="JK92" s="294"/>
      <c r="JL92" s="294"/>
      <c r="JM92" s="294"/>
      <c r="JN92" s="294"/>
      <c r="JO92" s="294"/>
      <c r="JP92" s="294"/>
      <c r="JQ92" s="294"/>
      <c r="JR92" s="294"/>
      <c r="JS92" s="294"/>
      <c r="JT92" s="294">
        <v>-115800</v>
      </c>
      <c r="JU92" s="294"/>
      <c r="JV92" s="294"/>
      <c r="JW92" s="294"/>
      <c r="JX92" s="294"/>
      <c r="JY92" s="294"/>
      <c r="JZ92" s="294"/>
      <c r="KA92" s="294"/>
      <c r="KB92" s="294"/>
      <c r="KC92" s="294"/>
      <c r="KD92" s="294"/>
      <c r="KE92" s="294"/>
      <c r="KF92" s="294"/>
      <c r="KG92" s="294"/>
      <c r="KH92" s="294"/>
      <c r="KI92" s="294"/>
      <c r="KJ92" s="294"/>
      <c r="KK92" s="294"/>
      <c r="KL92" s="294"/>
      <c r="KM92" s="294"/>
      <c r="KN92" s="294"/>
      <c r="KO92" s="294"/>
      <c r="KP92" s="294"/>
      <c r="KQ92" s="294"/>
      <c r="KR92" s="294"/>
      <c r="KS92" s="294"/>
      <c r="KT92" s="294"/>
      <c r="KU92" s="294"/>
      <c r="KV92" s="294"/>
      <c r="KW92" s="294"/>
      <c r="KX92" s="294"/>
      <c r="KY92" s="294"/>
      <c r="KZ92" s="294"/>
      <c r="LA92" s="294"/>
      <c r="LB92" s="294"/>
      <c r="LC92" s="294"/>
      <c r="LD92" s="294"/>
      <c r="LE92" s="294"/>
      <c r="LF92" s="294"/>
      <c r="LG92" s="294"/>
      <c r="LH92" s="294"/>
      <c r="LI92" s="294"/>
      <c r="LJ92" s="294"/>
      <c r="LK92" s="294"/>
      <c r="LL92" s="294"/>
      <c r="LM92" s="294"/>
      <c r="LN92" s="294"/>
      <c r="LO92" s="294"/>
      <c r="LP92" s="294"/>
      <c r="LQ92" s="294"/>
      <c r="LR92" s="294"/>
      <c r="LS92" s="294"/>
      <c r="LT92" s="294"/>
      <c r="LU92" s="294"/>
      <c r="LV92" s="294"/>
      <c r="LW92" s="294"/>
      <c r="LX92" s="294"/>
      <c r="LY92" s="294"/>
      <c r="LZ92" s="294"/>
      <c r="MA92" s="294"/>
      <c r="MB92" s="294"/>
      <c r="MC92" s="294"/>
      <c r="MD92" s="294"/>
      <c r="ME92" s="294"/>
      <c r="MF92" s="294"/>
      <c r="MG92" s="294"/>
      <c r="MH92" s="294"/>
      <c r="MI92" s="294"/>
      <c r="MJ92" s="294"/>
      <c r="MK92" s="294"/>
      <c r="ML92" s="294"/>
      <c r="MM92" s="294"/>
      <c r="MN92" s="294"/>
      <c r="MO92" s="294"/>
      <c r="MP92" s="294"/>
      <c r="MQ92" s="294"/>
      <c r="MR92" s="294"/>
      <c r="MS92" s="294"/>
      <c r="MT92" s="294"/>
      <c r="MU92" s="294"/>
      <c r="MV92" s="294"/>
      <c r="MW92" s="294"/>
      <c r="MX92" s="294"/>
      <c r="MY92" s="294"/>
      <c r="MZ92" s="294"/>
      <c r="NA92" s="294"/>
      <c r="NB92" s="294"/>
      <c r="NC92" s="294"/>
      <c r="ND92" s="294"/>
      <c r="NE92" s="294"/>
      <c r="NF92" s="294"/>
      <c r="NG92" s="294"/>
      <c r="NH92" s="294"/>
      <c r="NI92" s="294"/>
      <c r="NJ92" s="294"/>
      <c r="NK92" s="294"/>
      <c r="NL92" s="294"/>
      <c r="NM92" s="294"/>
      <c r="NN92" s="294"/>
      <c r="NO92" s="294"/>
      <c r="NP92" s="294"/>
      <c r="NQ92" s="294"/>
      <c r="NR92" s="294"/>
      <c r="NS92" s="294"/>
      <c r="NT92" s="294"/>
      <c r="NU92" s="294"/>
      <c r="NV92" s="294"/>
      <c r="NW92" s="294"/>
      <c r="NX92" s="294"/>
      <c r="NY92" s="294"/>
      <c r="NZ92" s="294"/>
      <c r="OA92" s="294"/>
      <c r="OB92" s="294"/>
      <c r="OC92" s="294"/>
      <c r="OD92" s="294"/>
      <c r="OE92" s="294"/>
      <c r="OF92" s="294"/>
      <c r="OG92" s="294"/>
      <c r="OH92" s="294"/>
      <c r="OI92" s="294"/>
      <c r="OJ92" s="294">
        <v>-965020</v>
      </c>
      <c r="OK92" s="294"/>
      <c r="OL92" s="294"/>
      <c r="OM92" s="294"/>
      <c r="ON92" s="294"/>
      <c r="OO92" s="294"/>
      <c r="OP92" s="294"/>
      <c r="OQ92" s="294"/>
      <c r="OR92" s="294"/>
      <c r="OS92" s="294"/>
      <c r="OT92" s="294"/>
      <c r="OU92" s="294"/>
      <c r="OV92" s="294"/>
      <c r="OW92" s="294"/>
      <c r="OX92" s="294"/>
      <c r="OY92" s="294"/>
      <c r="OZ92" s="294"/>
      <c r="PA92" s="294"/>
      <c r="PB92" s="294"/>
      <c r="PC92" s="294"/>
      <c r="PD92" s="294"/>
      <c r="PE92" s="294"/>
      <c r="PF92" s="294"/>
      <c r="PG92" s="294"/>
      <c r="PH92" s="294"/>
      <c r="PI92" s="294"/>
      <c r="PJ92" s="294"/>
      <c r="PK92" s="294"/>
      <c r="PL92" s="294"/>
      <c r="PM92" s="294"/>
      <c r="PN92" s="294"/>
      <c r="PO92" s="294"/>
      <c r="PP92" s="294"/>
      <c r="PQ92" s="294"/>
      <c r="PR92" s="294"/>
      <c r="PS92" s="294"/>
      <c r="PT92" s="294"/>
      <c r="PU92" s="294"/>
      <c r="PV92" s="294"/>
      <c r="PW92" s="294"/>
      <c r="PX92" s="294"/>
      <c r="PY92" s="294"/>
      <c r="PZ92" s="294"/>
      <c r="QA92" s="294"/>
      <c r="QB92" s="294"/>
      <c r="QC92" s="294"/>
      <c r="QD92" s="294">
        <v>-5064186.13</v>
      </c>
      <c r="QE92" s="294"/>
      <c r="QF92" s="294"/>
      <c r="QG92" s="294"/>
      <c r="QH92" s="294">
        <v>-29920</v>
      </c>
      <c r="QI92" s="294"/>
      <c r="QJ92" s="294"/>
      <c r="QK92" s="294"/>
      <c r="QL92" s="294"/>
      <c r="QM92" s="294"/>
      <c r="QN92" s="294"/>
      <c r="QO92" s="294"/>
      <c r="QP92" s="294"/>
      <c r="QQ92" s="294">
        <v>-20320</v>
      </c>
      <c r="QR92" s="294"/>
      <c r="QS92" s="294"/>
      <c r="QT92" s="294"/>
      <c r="QU92" s="294"/>
      <c r="QV92" s="294"/>
      <c r="QW92" s="294"/>
      <c r="QX92" s="294"/>
      <c r="QY92" s="294"/>
      <c r="QZ92" s="294"/>
      <c r="RA92" s="294"/>
      <c r="RB92" s="294"/>
      <c r="RC92" s="294"/>
      <c r="RD92" s="294"/>
      <c r="RE92" s="294"/>
      <c r="RF92" s="294"/>
      <c r="RG92" s="294"/>
      <c r="RH92" s="294"/>
      <c r="RI92" s="294"/>
      <c r="RJ92" s="294"/>
      <c r="RK92" s="294"/>
      <c r="RL92" s="294"/>
      <c r="RM92" s="294"/>
      <c r="RN92" s="294"/>
      <c r="RO92" s="294"/>
      <c r="RP92" s="294"/>
      <c r="RQ92" s="294"/>
      <c r="RR92" s="294"/>
      <c r="RS92" s="294"/>
      <c r="RT92" s="294"/>
      <c r="RU92" s="294"/>
      <c r="RV92" s="294"/>
      <c r="RW92" s="294"/>
      <c r="RX92" s="294"/>
      <c r="RY92" s="294"/>
      <c r="RZ92" s="294"/>
      <c r="SA92" s="294"/>
      <c r="SB92" s="294"/>
      <c r="SC92" s="294"/>
      <c r="SD92" s="294"/>
      <c r="SE92" s="294"/>
      <c r="SF92" s="294"/>
      <c r="SG92" s="294"/>
      <c r="SH92" s="294"/>
      <c r="SI92" s="294"/>
      <c r="SJ92" s="294"/>
      <c r="SK92" s="294"/>
      <c r="SL92" s="294"/>
      <c r="SM92" s="294"/>
      <c r="SN92" s="294"/>
      <c r="SO92" s="294"/>
      <c r="SP92" s="294"/>
      <c r="SQ92" s="294"/>
      <c r="SR92" s="294"/>
      <c r="SS92" s="294"/>
      <c r="ST92" s="294"/>
      <c r="SU92" s="294"/>
      <c r="SV92" s="294"/>
      <c r="SW92" s="294"/>
      <c r="SX92" s="294"/>
      <c r="SY92" s="294"/>
      <c r="SZ92" s="294"/>
      <c r="TA92" s="294"/>
      <c r="TB92" s="294"/>
      <c r="TC92" s="294"/>
      <c r="TD92" s="294"/>
      <c r="TE92" s="294"/>
      <c r="TF92" s="294"/>
      <c r="TG92" s="294"/>
      <c r="TH92" s="294"/>
      <c r="TI92" s="294"/>
      <c r="TJ92" s="294"/>
      <c r="TK92" s="294"/>
      <c r="TL92" s="294"/>
      <c r="TM92" s="294"/>
      <c r="TN92" s="294"/>
      <c r="TO92" s="294"/>
      <c r="TP92" s="294"/>
      <c r="TQ92" s="294"/>
      <c r="TR92" s="294"/>
      <c r="TS92" s="294"/>
      <c r="TT92" s="294"/>
      <c r="TU92" s="294"/>
      <c r="TV92" s="294"/>
      <c r="TW92" s="294"/>
      <c r="TX92" s="294"/>
      <c r="TY92" s="294"/>
      <c r="TZ92" s="294"/>
      <c r="UA92" s="294"/>
      <c r="UB92" s="294"/>
      <c r="UC92" s="294"/>
      <c r="UD92" s="294"/>
      <c r="UE92" s="294"/>
      <c r="UF92" s="294"/>
      <c r="UG92" s="294"/>
      <c r="UH92" s="294"/>
      <c r="UI92" s="294"/>
      <c r="UJ92" s="294">
        <v>-3696650.64</v>
      </c>
      <c r="UK92" s="294"/>
      <c r="UL92" s="294"/>
      <c r="UM92" s="294"/>
      <c r="UN92" s="294"/>
      <c r="UO92" s="294"/>
      <c r="UP92" s="294"/>
      <c r="UQ92" s="294"/>
      <c r="UR92" s="294"/>
      <c r="US92" s="294"/>
      <c r="UT92" s="294"/>
      <c r="UU92" s="294"/>
      <c r="UV92" s="294"/>
      <c r="UW92" s="294">
        <v>-19063</v>
      </c>
      <c r="UX92" s="294"/>
      <c r="UY92" s="294"/>
      <c r="UZ92" s="294"/>
      <c r="VA92" s="294"/>
      <c r="VB92" s="294"/>
      <c r="VC92" s="294"/>
      <c r="VD92" s="294"/>
      <c r="VE92" s="294"/>
      <c r="VF92" s="294"/>
      <c r="VG92" s="294"/>
      <c r="VH92" s="294"/>
      <c r="VI92" s="294"/>
      <c r="VJ92" s="294"/>
      <c r="VK92" s="294"/>
      <c r="VL92" s="294"/>
      <c r="VM92" s="294"/>
      <c r="VN92" s="294"/>
      <c r="VO92" s="294"/>
      <c r="VP92" s="294"/>
      <c r="VQ92" s="294"/>
      <c r="VR92" s="294"/>
      <c r="VS92" s="294"/>
      <c r="VT92" s="294"/>
      <c r="VU92" s="294"/>
      <c r="VV92" s="294"/>
      <c r="VW92" s="294"/>
      <c r="VX92" s="294"/>
      <c r="VY92" s="294"/>
      <c r="VZ92" s="294"/>
      <c r="WA92" s="294"/>
      <c r="WB92" s="294"/>
      <c r="WC92" s="294"/>
      <c r="WD92" s="294">
        <v>-15071.05</v>
      </c>
      <c r="WE92" s="294"/>
      <c r="WF92" s="294"/>
      <c r="WG92" s="294"/>
      <c r="WH92" s="294"/>
      <c r="WI92" s="294"/>
      <c r="WJ92" s="294"/>
      <c r="WK92" s="294"/>
      <c r="WL92" s="294"/>
      <c r="WM92" s="294"/>
      <c r="WN92" s="294"/>
      <c r="WO92" s="294"/>
      <c r="WP92" s="294">
        <v>-92557.4</v>
      </c>
      <c r="WQ92" s="294"/>
      <c r="WR92" s="294"/>
      <c r="WS92" s="294"/>
      <c r="WT92" s="294"/>
      <c r="WU92" s="294"/>
      <c r="WV92" s="294"/>
      <c r="WW92" s="294"/>
      <c r="WX92" s="294"/>
      <c r="WY92" s="294"/>
      <c r="WZ92" s="294"/>
      <c r="XA92" s="294"/>
      <c r="XB92" s="294"/>
      <c r="XC92" s="294"/>
      <c r="XD92" s="294"/>
      <c r="XE92" s="294"/>
      <c r="XF92" s="294"/>
      <c r="XG92" s="294"/>
      <c r="XH92" s="294"/>
      <c r="XI92" s="294"/>
      <c r="XJ92" s="294"/>
      <c r="XK92" s="294"/>
      <c r="XL92" s="294"/>
      <c r="XM92" s="294"/>
      <c r="XN92" s="294"/>
      <c r="XO92" s="294"/>
      <c r="XP92" s="294"/>
      <c r="XQ92" s="294"/>
      <c r="XR92" s="294"/>
      <c r="XS92" s="294"/>
      <c r="XT92" s="294"/>
      <c r="XU92" s="294"/>
      <c r="XV92" s="294"/>
      <c r="XW92" s="294"/>
      <c r="XX92" s="294"/>
      <c r="XY92" s="294"/>
      <c r="XZ92" s="294"/>
      <c r="YA92" s="294"/>
      <c r="YB92" s="294"/>
      <c r="YC92" s="294"/>
      <c r="YD92" s="294"/>
      <c r="YE92" s="294"/>
      <c r="YF92" s="294"/>
      <c r="YG92" s="294"/>
      <c r="YH92" s="294"/>
      <c r="YI92" s="294"/>
      <c r="YJ92" s="294"/>
      <c r="YK92" s="294"/>
      <c r="YL92" s="294"/>
      <c r="YM92" s="294"/>
      <c r="YN92" s="294"/>
      <c r="YO92" s="294"/>
      <c r="YP92" s="294"/>
      <c r="YQ92" s="294"/>
      <c r="YR92" s="294"/>
      <c r="YS92" s="294"/>
      <c r="YT92" s="294"/>
      <c r="YU92" s="294"/>
      <c r="YV92" s="294"/>
      <c r="YW92" s="294"/>
      <c r="YX92" s="294"/>
      <c r="YY92" s="294"/>
      <c r="YZ92" s="294"/>
      <c r="ZA92" s="294"/>
      <c r="ZB92" s="294"/>
      <c r="ZC92" s="294"/>
      <c r="ZD92" s="294"/>
      <c r="ZE92" s="294"/>
      <c r="ZF92" s="294"/>
      <c r="ZG92" s="294"/>
      <c r="ZH92" s="294"/>
      <c r="ZI92" s="294"/>
      <c r="ZJ92" s="294"/>
      <c r="ZK92" s="294"/>
      <c r="ZL92" s="294"/>
      <c r="ZM92" s="294"/>
      <c r="ZN92" s="294"/>
      <c r="ZO92" s="294"/>
      <c r="ZP92" s="294"/>
      <c r="ZQ92" s="294"/>
      <c r="ZR92" s="294"/>
      <c r="ZS92" s="294"/>
      <c r="ZT92" s="294"/>
      <c r="ZU92" s="294"/>
      <c r="ZV92" s="294"/>
      <c r="ZW92" s="294"/>
      <c r="ZX92" s="294"/>
      <c r="ZY92" s="294"/>
      <c r="ZZ92" s="294"/>
      <c r="AAA92" s="294"/>
      <c r="AAB92" s="294"/>
      <c r="AAC92" s="294"/>
      <c r="AAD92" s="294"/>
      <c r="AAE92" s="294"/>
      <c r="AAF92" s="294"/>
      <c r="AAG92" s="294"/>
      <c r="AAH92" s="294"/>
      <c r="AAI92" s="294"/>
      <c r="AAJ92" s="294"/>
      <c r="AAK92" s="294"/>
      <c r="AAL92" s="294"/>
      <c r="AAM92" s="294">
        <v>-67431.199999999997</v>
      </c>
      <c r="AAN92" s="294"/>
      <c r="AAO92" s="294"/>
      <c r="AAP92" s="294"/>
      <c r="AAQ92" s="294"/>
      <c r="AAR92" s="294"/>
      <c r="AAS92" s="294"/>
      <c r="AAT92" s="294"/>
      <c r="AAU92" s="294"/>
      <c r="AAV92" s="294"/>
      <c r="AAW92" s="294"/>
      <c r="AAX92" s="294"/>
      <c r="AAY92" s="294"/>
      <c r="AAZ92" s="294"/>
      <c r="ABA92" s="294"/>
      <c r="ABB92" s="294"/>
      <c r="ABC92" s="294">
        <v>0</v>
      </c>
      <c r="ABD92" s="294"/>
      <c r="ABE92" s="294">
        <v>-38712.32</v>
      </c>
      <c r="ABF92" s="294"/>
      <c r="ABG92" s="294"/>
      <c r="ABH92" s="294"/>
      <c r="ABI92" s="294"/>
      <c r="ABJ92" s="294"/>
      <c r="ABK92" s="294">
        <v>0</v>
      </c>
      <c r="ABL92" s="294"/>
      <c r="ABM92" s="294"/>
      <c r="ABN92" s="294"/>
      <c r="ABO92" s="294"/>
      <c r="ABP92" s="294"/>
      <c r="ABQ92" s="294"/>
      <c r="ABR92" s="294"/>
      <c r="ABS92" s="294"/>
      <c r="ABT92" s="294"/>
      <c r="ABU92" s="294"/>
      <c r="ABV92" s="294"/>
      <c r="ABW92" s="294"/>
      <c r="ABX92" s="294"/>
      <c r="ABY92" s="294"/>
      <c r="ABZ92" s="294"/>
      <c r="ACA92" s="294"/>
      <c r="ACB92" s="294"/>
      <c r="ACC92" s="294"/>
      <c r="ACD92" s="294"/>
      <c r="ACE92" s="294"/>
      <c r="ACF92" s="294"/>
      <c r="ACG92" s="294"/>
      <c r="ACH92" s="294"/>
      <c r="ACI92" s="294"/>
      <c r="ACJ92" s="294"/>
      <c r="ACK92" s="294"/>
      <c r="ACL92" s="294"/>
      <c r="ACM92" s="294"/>
      <c r="ACN92" s="294"/>
      <c r="ACO92" s="294"/>
      <c r="ACP92" s="294"/>
      <c r="ACQ92" s="294"/>
      <c r="ACR92" s="294"/>
      <c r="ACS92" s="294"/>
      <c r="ACT92" s="294"/>
      <c r="ACU92" s="294"/>
      <c r="ACV92" s="294"/>
      <c r="ACW92" s="294"/>
      <c r="ACX92" s="294"/>
      <c r="ACY92" s="294"/>
      <c r="ACZ92" s="294"/>
      <c r="ADA92" s="294"/>
      <c r="ADB92" s="294"/>
      <c r="ADC92" s="294"/>
      <c r="ADD92" s="294"/>
      <c r="ADE92" s="294"/>
      <c r="ADF92" s="294"/>
      <c r="ADG92" s="294"/>
      <c r="ADH92" s="294"/>
      <c r="ADI92" s="294"/>
      <c r="ADJ92" s="294"/>
      <c r="ADK92" s="294"/>
      <c r="ADL92" s="294"/>
      <c r="ADM92" s="294"/>
      <c r="ADN92" s="294"/>
      <c r="ADO92" s="294"/>
      <c r="ADP92" s="294"/>
      <c r="ADQ92" s="294"/>
      <c r="ADR92" s="294"/>
      <c r="ADS92" s="294"/>
      <c r="ADT92" s="294"/>
      <c r="ADU92" s="294"/>
      <c r="ADV92" s="294"/>
      <c r="ADW92" s="294"/>
      <c r="ADX92" s="294"/>
      <c r="ADY92" s="294"/>
      <c r="ADZ92" s="294"/>
      <c r="AEA92" s="294"/>
      <c r="AEB92" s="294"/>
      <c r="AEC92" s="294"/>
      <c r="AED92" s="294"/>
      <c r="AEE92" s="294"/>
      <c r="AEF92" s="294"/>
      <c r="AEG92" s="294"/>
      <c r="AEH92" s="294"/>
      <c r="AEI92" s="294"/>
      <c r="AEJ92" s="294"/>
      <c r="AEK92" s="294"/>
      <c r="AEL92" s="294"/>
      <c r="AEM92" s="294"/>
      <c r="AEN92" s="294"/>
      <c r="AEO92" s="294"/>
      <c r="AEP92" s="294"/>
      <c r="AEQ92" s="294"/>
      <c r="AER92" s="294"/>
      <c r="AES92" s="294"/>
      <c r="AET92" s="294"/>
      <c r="AEU92" s="294"/>
      <c r="AEV92" s="294"/>
      <c r="AEW92" s="294"/>
      <c r="AEX92" s="294"/>
      <c r="AEY92" s="294"/>
      <c r="AEZ92" s="294"/>
      <c r="AFA92" s="294"/>
      <c r="AFB92" s="294"/>
      <c r="AFC92" s="294"/>
      <c r="AFD92" s="294"/>
      <c r="AFE92" s="294"/>
      <c r="AFF92" s="294"/>
      <c r="AFG92" s="294"/>
      <c r="AFH92" s="294"/>
      <c r="AFI92" s="294"/>
      <c r="AFJ92" s="294"/>
      <c r="AFK92" s="294"/>
      <c r="AFL92" s="294"/>
      <c r="AFM92" s="294"/>
      <c r="AFN92" s="294"/>
      <c r="AFO92" s="294"/>
      <c r="AFP92" s="294"/>
      <c r="AFQ92" s="294">
        <v>-13000</v>
      </c>
      <c r="AFR92" s="294"/>
      <c r="AFS92" s="294"/>
      <c r="AFT92" s="294"/>
      <c r="AFU92" s="294"/>
      <c r="AFV92" s="294"/>
      <c r="AFW92" s="294"/>
      <c r="AFX92" s="294"/>
      <c r="AFY92" s="294"/>
      <c r="AFZ92" s="294"/>
      <c r="AGA92" s="294"/>
      <c r="AGB92" s="294">
        <v>-668509.29</v>
      </c>
      <c r="AGC92" s="294"/>
      <c r="AGD92" s="294"/>
      <c r="AGE92" s="294"/>
      <c r="AGF92" s="294"/>
      <c r="AGG92" s="294"/>
      <c r="AGH92" s="294"/>
      <c r="AGI92" s="294"/>
      <c r="AGJ92" s="294"/>
      <c r="AGK92" s="294"/>
      <c r="AGL92" s="294"/>
      <c r="AGM92" s="294"/>
      <c r="AGN92" s="294"/>
      <c r="AGO92" s="294"/>
      <c r="AGP92" s="294"/>
      <c r="AGQ92" s="294"/>
      <c r="AGR92" s="294"/>
      <c r="AGS92" s="294">
        <v>-105410</v>
      </c>
      <c r="AGT92" s="294"/>
      <c r="AGU92" s="294"/>
      <c r="AGV92" s="294"/>
      <c r="AGW92" s="294"/>
      <c r="AGX92" s="294"/>
      <c r="AGY92" s="294"/>
      <c r="AGZ92" s="294"/>
      <c r="AHA92" s="294"/>
      <c r="AHB92" s="294"/>
      <c r="AHC92" s="294"/>
      <c r="AHD92" s="294"/>
      <c r="AHE92" s="294"/>
      <c r="AHF92" s="294"/>
      <c r="AHG92" s="294"/>
      <c r="AHH92" s="294"/>
      <c r="AHI92" s="294"/>
      <c r="AHJ92" s="294"/>
      <c r="AHK92" s="294"/>
      <c r="AHL92" s="294"/>
      <c r="AHM92" s="294"/>
      <c r="AHN92" s="294"/>
      <c r="AHO92" s="294"/>
      <c r="AHP92" s="294"/>
      <c r="AHQ92" s="294"/>
      <c r="AHR92" s="331"/>
      <c r="AHS92" s="294">
        <f t="shared" si="51"/>
        <v>-11718081.02</v>
      </c>
      <c r="AHT92" s="269" t="b">
        <f t="shared" si="52"/>
        <v>1</v>
      </c>
      <c r="AHU92" s="269" t="s">
        <v>6278</v>
      </c>
      <c r="AHV92" s="269" t="s">
        <v>6127</v>
      </c>
      <c r="AHW92" s="269" t="s">
        <v>6128</v>
      </c>
    </row>
    <row r="93" spans="1:907" ht="24.6" x14ac:dyDescent="0.7">
      <c r="A93" s="268" t="s">
        <v>6278</v>
      </c>
      <c r="B93" s="268" t="s">
        <v>6129</v>
      </c>
      <c r="C93" s="269" t="s">
        <v>6130</v>
      </c>
      <c r="D93" s="294">
        <v>0</v>
      </c>
      <c r="E93" s="294">
        <v>-5822900</v>
      </c>
      <c r="F93" s="294">
        <v>-6288455</v>
      </c>
      <c r="G93" s="294">
        <v>-2462200</v>
      </c>
      <c r="H93" s="294">
        <v>-907450</v>
      </c>
      <c r="I93" s="294">
        <v>-2350650</v>
      </c>
      <c r="J93" s="294">
        <v>-492200</v>
      </c>
      <c r="K93" s="294">
        <v>-682850</v>
      </c>
      <c r="L93" s="294">
        <v>-2633205.69</v>
      </c>
      <c r="M93" s="294">
        <v>-2331000</v>
      </c>
      <c r="N93" s="294">
        <v>-1792000</v>
      </c>
      <c r="O93" s="294">
        <v>-3874713</v>
      </c>
      <c r="P93" s="294">
        <v>-727430</v>
      </c>
      <c r="Q93" s="294">
        <v>-2843146</v>
      </c>
      <c r="R93" s="294">
        <v>-1600150</v>
      </c>
      <c r="S93" s="294">
        <v>-7185450</v>
      </c>
      <c r="T93" s="294">
        <v>-607800</v>
      </c>
      <c r="U93" s="294">
        <v>-2268400</v>
      </c>
      <c r="V93" s="294">
        <v>-942028</v>
      </c>
      <c r="W93" s="294">
        <v>-1397742.16</v>
      </c>
      <c r="X93" s="294">
        <v>-1644311</v>
      </c>
      <c r="Y93" s="294">
        <v>-896699</v>
      </c>
      <c r="Z93" s="294">
        <v>-5163439.5599999996</v>
      </c>
      <c r="AA93" s="294">
        <v>-7716777</v>
      </c>
      <c r="AB93" s="294">
        <v>-4420001</v>
      </c>
      <c r="AC93" s="294">
        <v>-811142</v>
      </c>
      <c r="AD93" s="294">
        <v>-8960645</v>
      </c>
      <c r="AE93" s="294">
        <v>-9293569.25</v>
      </c>
      <c r="AF93" s="294">
        <v>-1827178</v>
      </c>
      <c r="AG93" s="294">
        <v>-10394745</v>
      </c>
      <c r="AH93" s="294">
        <v>-4178742</v>
      </c>
      <c r="AI93" s="294">
        <v>-2304367</v>
      </c>
      <c r="AJ93" s="294">
        <v>-160297.57999999999</v>
      </c>
      <c r="AK93" s="294">
        <v>-4749355.1100000003</v>
      </c>
      <c r="AL93" s="294">
        <v>-375286</v>
      </c>
      <c r="AM93" s="294">
        <v>-2222203</v>
      </c>
      <c r="AN93" s="294">
        <v>-181621</v>
      </c>
      <c r="AO93" s="294">
        <v>-1402851</v>
      </c>
      <c r="AP93" s="294">
        <v>-1218588</v>
      </c>
      <c r="AQ93" s="294">
        <v>-2599762</v>
      </c>
      <c r="AR93" s="294">
        <v>-5842572</v>
      </c>
      <c r="AS93" s="294">
        <v>-1807182</v>
      </c>
      <c r="AT93" s="294">
        <v>-1912716.2</v>
      </c>
      <c r="AU93" s="294">
        <v>-192600</v>
      </c>
      <c r="AV93" s="294">
        <v>-43800</v>
      </c>
      <c r="AW93" s="294">
        <v>-180200</v>
      </c>
      <c r="AX93" s="294">
        <v>-1917900</v>
      </c>
      <c r="AY93" s="294">
        <v>-2994900</v>
      </c>
      <c r="AZ93" s="294">
        <v>-101930</v>
      </c>
      <c r="BA93" s="294">
        <v>-71700</v>
      </c>
      <c r="BB93" s="294">
        <v>-100700</v>
      </c>
      <c r="BC93" s="294">
        <v>-129454</v>
      </c>
      <c r="BD93" s="294">
        <v>-222900</v>
      </c>
      <c r="BE93" s="294">
        <v>-374300</v>
      </c>
      <c r="BF93" s="294">
        <v>-88100</v>
      </c>
      <c r="BG93" s="294">
        <v>-120201.5</v>
      </c>
      <c r="BH93" s="294">
        <v>-549000</v>
      </c>
      <c r="BI93" s="294">
        <v>-11670</v>
      </c>
      <c r="BJ93" s="294">
        <v>-36390</v>
      </c>
      <c r="BK93" s="294">
        <v>-2085914</v>
      </c>
      <c r="BL93" s="294">
        <v>-156209</v>
      </c>
      <c r="BM93" s="294">
        <v>-6902458</v>
      </c>
      <c r="BN93" s="294">
        <v>-2493711</v>
      </c>
      <c r="BO93" s="294">
        <v>-1451090</v>
      </c>
      <c r="BP93" s="294">
        <v>-530620</v>
      </c>
      <c r="BQ93" s="294">
        <v>-470810</v>
      </c>
      <c r="BR93" s="294">
        <v>-226866</v>
      </c>
      <c r="BS93" s="294">
        <v>-282810</v>
      </c>
      <c r="BT93" s="294">
        <v>-937230</v>
      </c>
      <c r="BU93" s="294">
        <v>-1622652.5</v>
      </c>
      <c r="BV93" s="294">
        <v>-1117920</v>
      </c>
      <c r="BW93" s="294">
        <v>-493450</v>
      </c>
      <c r="BX93" s="294">
        <v>-290400</v>
      </c>
      <c r="BY93" s="294">
        <v>-294030</v>
      </c>
      <c r="BZ93" s="294">
        <v>-581990</v>
      </c>
      <c r="CA93" s="294">
        <v>-3049229.86</v>
      </c>
      <c r="CB93" s="294">
        <v>-1001302.18</v>
      </c>
      <c r="CC93" s="294">
        <v>-1437370.95</v>
      </c>
      <c r="CD93" s="294">
        <v>-2729324.4699999997</v>
      </c>
      <c r="CE93" s="294">
        <v>-1375101.25</v>
      </c>
      <c r="CF93" s="294">
        <v>-1629605.6</v>
      </c>
      <c r="CG93" s="294">
        <v>-59452.9</v>
      </c>
      <c r="CH93" s="294">
        <v>-736118.75</v>
      </c>
      <c r="CI93" s="294">
        <v>-903982.25</v>
      </c>
      <c r="CJ93" s="294">
        <v>-365475.75</v>
      </c>
      <c r="CK93" s="294">
        <v>-891675</v>
      </c>
      <c r="CL93" s="294">
        <v>-2524168.61</v>
      </c>
      <c r="CM93" s="294">
        <v>-759751.5</v>
      </c>
      <c r="CN93" s="294">
        <v>-1082195.6299999999</v>
      </c>
      <c r="CO93" s="294">
        <v>-231427.88</v>
      </c>
      <c r="CP93" s="294">
        <v>-3571682.53</v>
      </c>
      <c r="CQ93" s="294">
        <v>-831053.13</v>
      </c>
      <c r="CR93" s="294">
        <v>-1321661.75</v>
      </c>
      <c r="CS93" s="294">
        <v>-983424.5</v>
      </c>
      <c r="CT93" s="294">
        <v>-65814</v>
      </c>
      <c r="CU93" s="294">
        <v>-359032</v>
      </c>
      <c r="CV93" s="294">
        <v>-3861168.8</v>
      </c>
      <c r="CW93" s="294">
        <v>-3366002.7</v>
      </c>
      <c r="CX93" s="294">
        <v>-421843.5</v>
      </c>
      <c r="CY93" s="294">
        <v>-2857128.05</v>
      </c>
      <c r="CZ93" s="294">
        <v>-381844.6</v>
      </c>
      <c r="DA93" s="294">
        <v>-373175.4</v>
      </c>
      <c r="DB93" s="294">
        <v>0</v>
      </c>
      <c r="DC93" s="294">
        <v>-1122206.75</v>
      </c>
      <c r="DD93" s="294">
        <v>-10885.75</v>
      </c>
      <c r="DE93" s="294">
        <v>-11036.1</v>
      </c>
      <c r="DF93" s="294">
        <v>-43643.75</v>
      </c>
      <c r="DG93" s="294">
        <v>-5753935.5800000001</v>
      </c>
      <c r="DH93" s="294">
        <v>-2422587.4</v>
      </c>
      <c r="DI93" s="294">
        <v>-534680.25</v>
      </c>
      <c r="DJ93" s="294">
        <v>-33946</v>
      </c>
      <c r="DK93" s="294"/>
      <c r="DL93" s="294">
        <v>-3388</v>
      </c>
      <c r="DM93" s="294">
        <v>0</v>
      </c>
      <c r="DN93" s="294">
        <v>0</v>
      </c>
      <c r="DO93" s="294">
        <v>0</v>
      </c>
      <c r="DP93" s="294">
        <v>-7779.5</v>
      </c>
      <c r="DQ93" s="294">
        <v>0</v>
      </c>
      <c r="DR93" s="294">
        <v>-292665.45</v>
      </c>
      <c r="DS93" s="294">
        <v>0</v>
      </c>
      <c r="DT93" s="294">
        <v>-247061.75</v>
      </c>
      <c r="DU93" s="294">
        <v>-119983.75</v>
      </c>
      <c r="DV93" s="294">
        <v>-3429798.75</v>
      </c>
      <c r="DW93" s="294">
        <v>-1372607.42</v>
      </c>
      <c r="DX93" s="294">
        <v>-103749.25</v>
      </c>
      <c r="DY93" s="294">
        <v>-682133.25</v>
      </c>
      <c r="DZ93" s="294">
        <v>-2324222.62</v>
      </c>
      <c r="EA93" s="294">
        <v>-385506</v>
      </c>
      <c r="EB93" s="294">
        <v>-359438.25</v>
      </c>
      <c r="EC93" s="294">
        <v>-202126</v>
      </c>
      <c r="ED93" s="294">
        <v>-1755161.39</v>
      </c>
      <c r="EE93" s="294">
        <v>-69513</v>
      </c>
      <c r="EF93" s="294">
        <v>-63898.1</v>
      </c>
      <c r="EG93" s="294">
        <v>-2069814.78</v>
      </c>
      <c r="EH93" s="294">
        <v>-800544.45</v>
      </c>
      <c r="EI93" s="294">
        <v>-1550299.85</v>
      </c>
      <c r="EJ93" s="294">
        <v>-1924441.7</v>
      </c>
      <c r="EK93" s="294">
        <v>-992470.5</v>
      </c>
      <c r="EL93" s="294">
        <v>-273100</v>
      </c>
      <c r="EM93" s="294">
        <v>-4211471.62</v>
      </c>
      <c r="EN93" s="294">
        <v>-35278.769999999997</v>
      </c>
      <c r="EO93" s="294">
        <v>-3522136.25</v>
      </c>
      <c r="EP93" s="294">
        <v>-2242526.25</v>
      </c>
      <c r="EQ93" s="294">
        <v>-2642662.12</v>
      </c>
      <c r="ER93" s="294">
        <v>-868441.5</v>
      </c>
      <c r="ES93" s="294">
        <v>-418961.25</v>
      </c>
      <c r="ET93" s="294">
        <v>-8927012.8000000007</v>
      </c>
      <c r="EU93" s="294">
        <v>-4154033.5</v>
      </c>
      <c r="EV93" s="294">
        <v>-1577251.25</v>
      </c>
      <c r="EW93" s="294">
        <v>0</v>
      </c>
      <c r="EX93" s="294">
        <v>-174748.22</v>
      </c>
      <c r="EY93" s="294">
        <v>-1662694.93</v>
      </c>
      <c r="EZ93" s="294">
        <v>-2188287.7000000002</v>
      </c>
      <c r="FA93" s="294">
        <v>-4292147.5199999996</v>
      </c>
      <c r="FB93" s="294">
        <v>-2397990.84</v>
      </c>
      <c r="FC93" s="294">
        <v>-4362402.46</v>
      </c>
      <c r="FD93" s="294">
        <v>-1430203.95</v>
      </c>
      <c r="FE93" s="294">
        <v>-725837.01</v>
      </c>
      <c r="FF93" s="294">
        <v>-1292524.06</v>
      </c>
      <c r="FG93" s="294">
        <v>-939629.38</v>
      </c>
      <c r="FH93" s="294">
        <v>-915738.52</v>
      </c>
      <c r="FI93" s="294">
        <v>-19152.25</v>
      </c>
      <c r="FJ93" s="294">
        <v>-1746.75</v>
      </c>
      <c r="FK93" s="294">
        <v>-218758.5</v>
      </c>
      <c r="FL93" s="294">
        <v>-9832.65</v>
      </c>
      <c r="FM93" s="294">
        <v>-38664.51</v>
      </c>
      <c r="FN93" s="294">
        <v>-955027.5</v>
      </c>
      <c r="FO93" s="294">
        <v>-16379</v>
      </c>
      <c r="FP93" s="294">
        <v>-1518114</v>
      </c>
      <c r="FQ93" s="294">
        <v>0</v>
      </c>
      <c r="FR93" s="294">
        <v>-31064.75</v>
      </c>
      <c r="FS93" s="294">
        <v>-38963.75</v>
      </c>
      <c r="FT93" s="294">
        <v>-300132.25</v>
      </c>
      <c r="FU93" s="294">
        <v>-89204.25</v>
      </c>
      <c r="FV93" s="294">
        <v>-69982.75</v>
      </c>
      <c r="FW93" s="294">
        <v>-564802.54</v>
      </c>
      <c r="FX93" s="294">
        <v>-4053987.05</v>
      </c>
      <c r="FY93" s="294">
        <v>-1083113.75</v>
      </c>
      <c r="FZ93" s="294">
        <v>-613882.92000000004</v>
      </c>
      <c r="GA93" s="294">
        <v>-179940.07</v>
      </c>
      <c r="GB93" s="294">
        <v>-787285.5</v>
      </c>
      <c r="GC93" s="294">
        <v>-348080.5</v>
      </c>
      <c r="GD93" s="294">
        <v>-160200</v>
      </c>
      <c r="GE93" s="294">
        <v>-10380</v>
      </c>
      <c r="GF93" s="294">
        <v>-244806.25</v>
      </c>
      <c r="GG93" s="294">
        <v>0</v>
      </c>
      <c r="GH93" s="294">
        <v>-4195879</v>
      </c>
      <c r="GI93" s="294">
        <v>-973948.45</v>
      </c>
      <c r="GJ93" s="294">
        <v>-701126.93</v>
      </c>
      <c r="GK93" s="294">
        <v>-1249732.1599999999</v>
      </c>
      <c r="GL93" s="294">
        <v>-1493147.3</v>
      </c>
      <c r="GM93" s="294">
        <v>-383271.25</v>
      </c>
      <c r="GN93" s="294">
        <v>0</v>
      </c>
      <c r="GO93" s="294">
        <v>-322095.5</v>
      </c>
      <c r="GP93" s="294">
        <v>-4279</v>
      </c>
      <c r="GQ93" s="294"/>
      <c r="GR93" s="294">
        <v>0</v>
      </c>
      <c r="GS93" s="294">
        <v>-8395</v>
      </c>
      <c r="GT93" s="294">
        <v>-6889</v>
      </c>
      <c r="GU93" s="294">
        <v>-1092.75</v>
      </c>
      <c r="GV93" s="294">
        <v>0</v>
      </c>
      <c r="GW93" s="294">
        <v>-35653</v>
      </c>
      <c r="GX93" s="294">
        <v>-2951</v>
      </c>
      <c r="GY93" s="294">
        <v>-314069.81</v>
      </c>
      <c r="GZ93" s="294">
        <v>-237491</v>
      </c>
      <c r="HA93" s="294">
        <v>-2458691.25</v>
      </c>
      <c r="HB93" s="294">
        <v>-1259337.25</v>
      </c>
      <c r="HC93" s="294">
        <v>-2785133.68</v>
      </c>
      <c r="HD93" s="294">
        <v>-1947559.75</v>
      </c>
      <c r="HE93" s="294">
        <v>-5397767.5999999996</v>
      </c>
      <c r="HF93" s="294">
        <v>-23362754.719999999</v>
      </c>
      <c r="HG93" s="294">
        <v>-5911388.0999999996</v>
      </c>
      <c r="HH93" s="294">
        <v>-2497827</v>
      </c>
      <c r="HI93" s="294">
        <v>-18050863.130000003</v>
      </c>
      <c r="HJ93" s="294"/>
      <c r="HK93" s="294">
        <v>-8069951.75</v>
      </c>
      <c r="HL93" s="294">
        <v>-33442108.449999999</v>
      </c>
      <c r="HM93" s="294">
        <v>-3049420</v>
      </c>
      <c r="HN93" s="294">
        <v>-4942774.08</v>
      </c>
      <c r="HO93" s="294">
        <v>-11940790.529999999</v>
      </c>
      <c r="HP93" s="294">
        <v>-1008661.75</v>
      </c>
      <c r="HQ93" s="294">
        <v>-11488931.800000001</v>
      </c>
      <c r="HR93" s="294">
        <v>0</v>
      </c>
      <c r="HS93" s="294">
        <v>0</v>
      </c>
      <c r="HT93" s="294">
        <v>0</v>
      </c>
      <c r="HU93" s="294">
        <v>-1734609.11</v>
      </c>
      <c r="HV93" s="294">
        <v>-3098184.75</v>
      </c>
      <c r="HW93" s="294">
        <v>0</v>
      </c>
      <c r="HX93" s="294">
        <v>0</v>
      </c>
      <c r="HY93" s="294">
        <v>-1294104.1200000001</v>
      </c>
      <c r="HZ93" s="294">
        <v>0</v>
      </c>
      <c r="IA93" s="294">
        <v>0</v>
      </c>
      <c r="IB93" s="294">
        <v>-299706.75</v>
      </c>
      <c r="IC93" s="294">
        <v>0</v>
      </c>
      <c r="ID93" s="294">
        <v>0</v>
      </c>
      <c r="IE93" s="294">
        <v>0</v>
      </c>
      <c r="IF93" s="294">
        <v>-879095.37</v>
      </c>
      <c r="IG93" s="294">
        <v>0</v>
      </c>
      <c r="IH93" s="294">
        <v>-18255</v>
      </c>
      <c r="II93" s="294">
        <v>-7851326.75</v>
      </c>
      <c r="IJ93" s="294">
        <v>-8136567</v>
      </c>
      <c r="IK93" s="294">
        <v>-29408783</v>
      </c>
      <c r="IL93" s="294">
        <v>-5894327.5</v>
      </c>
      <c r="IM93" s="294">
        <v>-9273738.6600000001</v>
      </c>
      <c r="IN93" s="294">
        <v>-2745226.04</v>
      </c>
      <c r="IO93" s="294">
        <v>-1535643.75</v>
      </c>
      <c r="IP93" s="294">
        <v>-1253740.75</v>
      </c>
      <c r="IQ93" s="294">
        <v>-1636948.19</v>
      </c>
      <c r="IR93" s="294">
        <v>-7443742.75</v>
      </c>
      <c r="IS93" s="294">
        <v>-1207476</v>
      </c>
      <c r="IT93" s="294">
        <v>-2641141.2000000002</v>
      </c>
      <c r="IU93" s="294">
        <v>-2411262</v>
      </c>
      <c r="IV93" s="294">
        <v>-7525303.2599999998</v>
      </c>
      <c r="IW93" s="294">
        <v>-1429002.1</v>
      </c>
      <c r="IX93" s="294">
        <v>-4824831</v>
      </c>
      <c r="IY93" s="294">
        <v>-5510184</v>
      </c>
      <c r="IZ93" s="294">
        <v>-1024527</v>
      </c>
      <c r="JA93" s="294">
        <v>-1960382</v>
      </c>
      <c r="JB93" s="294">
        <v>-5032241.4000000004</v>
      </c>
      <c r="JC93" s="294">
        <v>-13019380.09</v>
      </c>
      <c r="JD93" s="294">
        <v>-4733543.41</v>
      </c>
      <c r="JE93" s="294">
        <v>-1400</v>
      </c>
      <c r="JF93" s="294">
        <v>-1581250.4</v>
      </c>
      <c r="JG93" s="294">
        <v>-6348554.5</v>
      </c>
      <c r="JH93" s="294">
        <v>-3779454</v>
      </c>
      <c r="JI93" s="294">
        <v>-2580301.6</v>
      </c>
      <c r="JJ93" s="294">
        <v>-24174.799999999999</v>
      </c>
      <c r="JK93" s="294">
        <v>-620817.13</v>
      </c>
      <c r="JL93" s="294">
        <v>-5792631.6399999997</v>
      </c>
      <c r="JM93" s="294">
        <v>-4856010.76</v>
      </c>
      <c r="JN93" s="294">
        <v>-14445616.390000001</v>
      </c>
      <c r="JO93" s="294">
        <v>-9062676.9499999993</v>
      </c>
      <c r="JP93" s="294">
        <v>-6719614.0899999999</v>
      </c>
      <c r="JQ93" s="294">
        <v>-4114976</v>
      </c>
      <c r="JR93" s="294"/>
      <c r="JS93" s="294">
        <v>-438481.25</v>
      </c>
      <c r="JT93" s="294">
        <v>-859637.68</v>
      </c>
      <c r="JU93" s="294">
        <v>0</v>
      </c>
      <c r="JV93" s="294">
        <v>-1406604</v>
      </c>
      <c r="JW93" s="294">
        <v>-761743.75</v>
      </c>
      <c r="JX93" s="294">
        <v>-3131536.25</v>
      </c>
      <c r="JY93" s="294"/>
      <c r="JZ93" s="294"/>
      <c r="KA93" s="294">
        <v>0</v>
      </c>
      <c r="KB93" s="294"/>
      <c r="KC93" s="294">
        <v>-1406919</v>
      </c>
      <c r="KD93" s="294">
        <v>-1656640.75</v>
      </c>
      <c r="KE93" s="294">
        <v>-205656</v>
      </c>
      <c r="KF93" s="294">
        <v>0</v>
      </c>
      <c r="KG93" s="294">
        <v>-310720</v>
      </c>
      <c r="KH93" s="294">
        <v>-153622</v>
      </c>
      <c r="KI93" s="294">
        <v>-3869149</v>
      </c>
      <c r="KJ93" s="294">
        <v>-3793356</v>
      </c>
      <c r="KK93" s="294">
        <v>-5259568</v>
      </c>
      <c r="KL93" s="294">
        <v>-1363981</v>
      </c>
      <c r="KM93" s="294">
        <v>-1161060</v>
      </c>
      <c r="KN93" s="294">
        <v>-1332819</v>
      </c>
      <c r="KO93" s="294"/>
      <c r="KP93" s="294">
        <v>-3288341</v>
      </c>
      <c r="KQ93" s="294">
        <v>-238923.75</v>
      </c>
      <c r="KR93" s="294">
        <v>-4154498.46</v>
      </c>
      <c r="KS93" s="294">
        <v>-3351294.32</v>
      </c>
      <c r="KT93" s="294">
        <v>-5115326.99</v>
      </c>
      <c r="KU93" s="294">
        <v>-2668716.7400000002</v>
      </c>
      <c r="KV93" s="294">
        <v>-3019302.36</v>
      </c>
      <c r="KW93" s="294">
        <v>-200</v>
      </c>
      <c r="KX93" s="294">
        <v>-704754.71</v>
      </c>
      <c r="KY93" s="294"/>
      <c r="KZ93" s="294">
        <v>-141305</v>
      </c>
      <c r="LA93" s="294">
        <v>-370920</v>
      </c>
      <c r="LB93" s="294">
        <v>-418800</v>
      </c>
      <c r="LC93" s="294">
        <v>-485439</v>
      </c>
      <c r="LD93" s="294">
        <v>0</v>
      </c>
      <c r="LE93" s="294">
        <v>-605550</v>
      </c>
      <c r="LF93" s="294"/>
      <c r="LG93" s="294">
        <v>-1734543.57</v>
      </c>
      <c r="LH93" s="294">
        <v>-5095412.43</v>
      </c>
      <c r="LI93" s="294">
        <v>-4214483.7</v>
      </c>
      <c r="LJ93" s="294">
        <v>-9237259.1699999999</v>
      </c>
      <c r="LK93" s="294">
        <v>-9113805.6899999995</v>
      </c>
      <c r="LL93" s="294">
        <v>-9128994.7699999996</v>
      </c>
      <c r="LM93" s="294">
        <v>-2376255.06</v>
      </c>
      <c r="LN93" s="294">
        <v>-14856385.689999999</v>
      </c>
      <c r="LO93" s="294">
        <v>-2797763.16</v>
      </c>
      <c r="LP93" s="294">
        <v>-12855687.27</v>
      </c>
      <c r="LQ93" s="294">
        <v>-3940550.4499999997</v>
      </c>
      <c r="LR93" s="294"/>
      <c r="LS93" s="294"/>
      <c r="LT93" s="294"/>
      <c r="LU93" s="294">
        <v>-309587.88</v>
      </c>
      <c r="LV93" s="294">
        <v>-3067643.45</v>
      </c>
      <c r="LW93" s="294">
        <v>-3527701.89</v>
      </c>
      <c r="LX93" s="294">
        <v>-4089635.5</v>
      </c>
      <c r="LY93" s="294">
        <v>-16219572</v>
      </c>
      <c r="LZ93" s="294">
        <v>-13709938.17</v>
      </c>
      <c r="MA93" s="294">
        <v>-20173387.25</v>
      </c>
      <c r="MB93" s="294">
        <v>-13602756.960000001</v>
      </c>
      <c r="MC93" s="294">
        <v>-13527504</v>
      </c>
      <c r="MD93" s="294">
        <v>-10653114</v>
      </c>
      <c r="ME93" s="294">
        <v>-25495830</v>
      </c>
      <c r="MF93" s="294">
        <v>-11178112.5</v>
      </c>
      <c r="MG93" s="294">
        <v>0</v>
      </c>
      <c r="MH93" s="294">
        <v>-151464</v>
      </c>
      <c r="MI93" s="294">
        <v>-1613408</v>
      </c>
      <c r="MJ93" s="294">
        <v>-79033</v>
      </c>
      <c r="MK93" s="294">
        <v>0</v>
      </c>
      <c r="ML93" s="294">
        <v>-52736</v>
      </c>
      <c r="MM93" s="294">
        <v>-1838501</v>
      </c>
      <c r="MN93" s="294">
        <v>-7391</v>
      </c>
      <c r="MO93" s="294">
        <v>-253981</v>
      </c>
      <c r="MP93" s="294">
        <v>-378995</v>
      </c>
      <c r="MQ93" s="294">
        <v>-1035307.8</v>
      </c>
      <c r="MR93" s="294">
        <v>-5677</v>
      </c>
      <c r="MS93" s="294">
        <v>-597167.25</v>
      </c>
      <c r="MT93" s="294">
        <v>-1540930.26</v>
      </c>
      <c r="MU93" s="294">
        <v>-6494333.5</v>
      </c>
      <c r="MV93" s="294">
        <v>-3865466.75</v>
      </c>
      <c r="MW93" s="294">
        <v>-5159569.25</v>
      </c>
      <c r="MX93" s="294">
        <v>-1510940.75</v>
      </c>
      <c r="MY93" s="294">
        <v>-16384205.75</v>
      </c>
      <c r="MZ93" s="294">
        <v>-5327933</v>
      </c>
      <c r="NA93" s="294">
        <v>-4407477.8</v>
      </c>
      <c r="NB93" s="294">
        <v>-1893258</v>
      </c>
      <c r="NC93" s="294">
        <v>-850562.25</v>
      </c>
      <c r="ND93" s="294">
        <v>-750677.3</v>
      </c>
      <c r="NE93" s="294">
        <v>-1245613.6000000001</v>
      </c>
      <c r="NF93" s="294">
        <v>-798786</v>
      </c>
      <c r="NG93" s="294">
        <v>-1698951.43</v>
      </c>
      <c r="NH93" s="294">
        <v>-4891074.25</v>
      </c>
      <c r="NI93" s="294">
        <v>-44287.5</v>
      </c>
      <c r="NJ93" s="294">
        <v>-3417560.25</v>
      </c>
      <c r="NK93" s="294">
        <v>-793292.5</v>
      </c>
      <c r="NL93" s="294">
        <v>0</v>
      </c>
      <c r="NM93" s="294">
        <v>-505220.3</v>
      </c>
      <c r="NN93" s="294">
        <v>0</v>
      </c>
      <c r="NO93" s="294">
        <v>0</v>
      </c>
      <c r="NP93" s="294">
        <v>-49479</v>
      </c>
      <c r="NQ93" s="294">
        <v>-1566449</v>
      </c>
      <c r="NR93" s="294">
        <v>-2492812</v>
      </c>
      <c r="NS93" s="294">
        <v>-1021143.13</v>
      </c>
      <c r="NT93" s="294">
        <v>-208874.55</v>
      </c>
      <c r="NU93" s="294">
        <v>-61397.5</v>
      </c>
      <c r="NV93" s="294">
        <v>-37474.75</v>
      </c>
      <c r="NW93" s="294">
        <v>-609151</v>
      </c>
      <c r="NX93" s="294">
        <v>-1188412.72</v>
      </c>
      <c r="NY93" s="294">
        <v>-3970571</v>
      </c>
      <c r="NZ93" s="294">
        <v>-5163367.8099999996</v>
      </c>
      <c r="OA93" s="294">
        <v>-5606240.4500000002</v>
      </c>
      <c r="OB93" s="294">
        <v>-13948866.84</v>
      </c>
      <c r="OC93" s="294">
        <v>-8220493.1200000001</v>
      </c>
      <c r="OD93" s="294">
        <v>-3472</v>
      </c>
      <c r="OE93" s="294">
        <v>-205390.09</v>
      </c>
      <c r="OF93" s="294">
        <v>-1124702.29</v>
      </c>
      <c r="OG93" s="294">
        <v>0</v>
      </c>
      <c r="OH93" s="294">
        <v>-5310754.7</v>
      </c>
      <c r="OI93" s="294">
        <v>-3344724.14</v>
      </c>
      <c r="OJ93" s="294">
        <v>-9084848.3100000005</v>
      </c>
      <c r="OK93" s="294"/>
      <c r="OL93" s="294">
        <v>-1966527.02</v>
      </c>
      <c r="OM93" s="294">
        <v>-56790</v>
      </c>
      <c r="ON93" s="294">
        <v>-6945153</v>
      </c>
      <c r="OO93" s="294">
        <v>-2070153.95</v>
      </c>
      <c r="OP93" s="294">
        <v>-6972957</v>
      </c>
      <c r="OQ93" s="294">
        <v>-2818631</v>
      </c>
      <c r="OR93" s="294">
        <v>-16878614.199999999</v>
      </c>
      <c r="OS93" s="294">
        <v>-107636.75</v>
      </c>
      <c r="OT93" s="294">
        <v>-2679000.9500000002</v>
      </c>
      <c r="OU93" s="294">
        <v>-97472</v>
      </c>
      <c r="OV93" s="294">
        <v>0</v>
      </c>
      <c r="OW93" s="294">
        <v>-2374105.6</v>
      </c>
      <c r="OX93" s="294">
        <v>-1330701</v>
      </c>
      <c r="OY93" s="294">
        <v>-1852541.8</v>
      </c>
      <c r="OZ93" s="294">
        <v>-1095711.5</v>
      </c>
      <c r="PA93" s="294">
        <v>-1893904.4</v>
      </c>
      <c r="PB93" s="294"/>
      <c r="PC93" s="294">
        <v>-368876.86</v>
      </c>
      <c r="PD93" s="294">
        <v>0</v>
      </c>
      <c r="PE93" s="294">
        <v>0</v>
      </c>
      <c r="PF93" s="294">
        <v>-26055.57</v>
      </c>
      <c r="PG93" s="294">
        <v>-13025.8</v>
      </c>
      <c r="PH93" s="294">
        <v>-61210</v>
      </c>
      <c r="PI93" s="294">
        <v>-390497.44</v>
      </c>
      <c r="PJ93" s="294">
        <v>-300692</v>
      </c>
      <c r="PK93" s="294">
        <v>0</v>
      </c>
      <c r="PL93" s="294">
        <v>-1077690.1000000001</v>
      </c>
      <c r="PM93" s="294">
        <v>-1537059.68</v>
      </c>
      <c r="PN93" s="294">
        <v>0</v>
      </c>
      <c r="PO93" s="294">
        <v>-181981.4</v>
      </c>
      <c r="PP93" s="294">
        <v>-71938.570000000007</v>
      </c>
      <c r="PQ93" s="294">
        <v>0</v>
      </c>
      <c r="PR93" s="294"/>
      <c r="PS93" s="294">
        <v>-211758.53</v>
      </c>
      <c r="PT93" s="294">
        <v>-33840</v>
      </c>
      <c r="PU93" s="294">
        <v>-800400</v>
      </c>
      <c r="PV93" s="294"/>
      <c r="PW93" s="294"/>
      <c r="PX93" s="294"/>
      <c r="PY93" s="294">
        <v>0</v>
      </c>
      <c r="PZ93" s="294">
        <v>-451415</v>
      </c>
      <c r="QA93" s="294">
        <v>-5000</v>
      </c>
      <c r="QB93" s="294"/>
      <c r="QC93" s="294">
        <v>0</v>
      </c>
      <c r="QD93" s="294"/>
      <c r="QE93" s="294">
        <v>0</v>
      </c>
      <c r="QF93" s="294"/>
      <c r="QG93" s="294">
        <v>-3960</v>
      </c>
      <c r="QH93" s="294"/>
      <c r="QI93" s="294">
        <v>0</v>
      </c>
      <c r="QJ93" s="294">
        <v>-19390</v>
      </c>
      <c r="QK93" s="294">
        <v>0</v>
      </c>
      <c r="QL93" s="294">
        <v>-6400</v>
      </c>
      <c r="QM93" s="294">
        <v>0</v>
      </c>
      <c r="QN93" s="294">
        <v>-3126884</v>
      </c>
      <c r="QO93" s="294"/>
      <c r="QP93" s="294"/>
      <c r="QQ93" s="294"/>
      <c r="QR93" s="294"/>
      <c r="QS93" s="294">
        <v>-1327346.48</v>
      </c>
      <c r="QT93" s="294">
        <v>-154107.70000000001</v>
      </c>
      <c r="QU93" s="294">
        <v>-383630</v>
      </c>
      <c r="QV93" s="294">
        <v>-9013130.8399999999</v>
      </c>
      <c r="QW93" s="294">
        <v>-286380</v>
      </c>
      <c r="QX93" s="294">
        <v>-1424190</v>
      </c>
      <c r="QY93" s="294">
        <v>-2289313.6</v>
      </c>
      <c r="QZ93" s="294">
        <v>-2892087.5</v>
      </c>
      <c r="RA93" s="294">
        <v>-364351.96</v>
      </c>
      <c r="RB93" s="294">
        <v>-1284234.6499999999</v>
      </c>
      <c r="RC93" s="294">
        <v>-3210491.1</v>
      </c>
      <c r="RD93" s="294">
        <v>-126719.95</v>
      </c>
      <c r="RE93" s="294"/>
      <c r="RF93" s="294">
        <v>-2900776.89</v>
      </c>
      <c r="RG93" s="294">
        <v>-3148592.85</v>
      </c>
      <c r="RH93" s="294">
        <v>-642933</v>
      </c>
      <c r="RI93" s="294">
        <v>-2196940</v>
      </c>
      <c r="RJ93" s="294">
        <v>-403230</v>
      </c>
      <c r="RK93" s="294">
        <v>-157710</v>
      </c>
      <c r="RL93" s="294">
        <v>-1962368</v>
      </c>
      <c r="RM93" s="294">
        <v>0</v>
      </c>
      <c r="RN93" s="294">
        <v>0</v>
      </c>
      <c r="RO93" s="294">
        <v>-211050</v>
      </c>
      <c r="RP93" s="294">
        <v>-274806</v>
      </c>
      <c r="RQ93" s="294">
        <v>-3509733</v>
      </c>
      <c r="RR93" s="294">
        <v>-17350</v>
      </c>
      <c r="RS93" s="294">
        <v>-911935</v>
      </c>
      <c r="RT93" s="294">
        <v>-1505162</v>
      </c>
      <c r="RU93" s="294">
        <v>-3259645</v>
      </c>
      <c r="RV93" s="294">
        <v>-18195</v>
      </c>
      <c r="RW93" s="294">
        <v>0</v>
      </c>
      <c r="RX93" s="294">
        <v>0</v>
      </c>
      <c r="RY93" s="294">
        <v>-715209.85</v>
      </c>
      <c r="RZ93" s="294">
        <v>-1277373</v>
      </c>
      <c r="SA93" s="294">
        <v>-255570</v>
      </c>
      <c r="SB93" s="294"/>
      <c r="SC93" s="294">
        <v>-887270.35</v>
      </c>
      <c r="SD93" s="294">
        <v>-1111641</v>
      </c>
      <c r="SE93" s="294">
        <v>-202298</v>
      </c>
      <c r="SF93" s="294">
        <v>-1697181</v>
      </c>
      <c r="SG93" s="294">
        <v>-679394</v>
      </c>
      <c r="SH93" s="294">
        <v>-2242404</v>
      </c>
      <c r="SI93" s="294"/>
      <c r="SJ93" s="294">
        <v>-357682.22</v>
      </c>
      <c r="SK93" s="294">
        <v>-1372079</v>
      </c>
      <c r="SL93" s="294">
        <v>-276195.67</v>
      </c>
      <c r="SM93" s="294">
        <v>-1888948.93</v>
      </c>
      <c r="SN93" s="294">
        <v>-2099920.58</v>
      </c>
      <c r="SO93" s="294">
        <v>-6769588.2000000002</v>
      </c>
      <c r="SP93" s="294">
        <v>-15491.81</v>
      </c>
      <c r="SQ93" s="294">
        <v>-1118482.94</v>
      </c>
      <c r="SR93" s="294">
        <v>-466038.75</v>
      </c>
      <c r="SS93" s="294">
        <v>-2405432.6</v>
      </c>
      <c r="ST93" s="294">
        <v>-969016.75</v>
      </c>
      <c r="SU93" s="294">
        <v>-686448.7</v>
      </c>
      <c r="SV93" s="294"/>
      <c r="SW93" s="294">
        <v>-462100</v>
      </c>
      <c r="SX93" s="294">
        <v>0</v>
      </c>
      <c r="SY93" s="294">
        <v>0</v>
      </c>
      <c r="SZ93" s="294">
        <v>0</v>
      </c>
      <c r="TA93" s="294"/>
      <c r="TB93" s="294">
        <v>0</v>
      </c>
      <c r="TC93" s="294">
        <v>0</v>
      </c>
      <c r="TD93" s="294">
        <v>0</v>
      </c>
      <c r="TE93" s="294">
        <v>0</v>
      </c>
      <c r="TF93" s="294">
        <v>0</v>
      </c>
      <c r="TG93" s="294"/>
      <c r="TH93" s="294">
        <v>0</v>
      </c>
      <c r="TI93" s="294">
        <v>0</v>
      </c>
      <c r="TJ93" s="294">
        <v>-3150</v>
      </c>
      <c r="TK93" s="294"/>
      <c r="TL93" s="294">
        <v>0</v>
      </c>
      <c r="TM93" s="294"/>
      <c r="TN93" s="294"/>
      <c r="TO93" s="294">
        <v>-635635.36</v>
      </c>
      <c r="TP93" s="294">
        <v>0</v>
      </c>
      <c r="TQ93" s="294">
        <v>-50832</v>
      </c>
      <c r="TR93" s="294"/>
      <c r="TS93" s="294"/>
      <c r="TT93" s="294">
        <v>-7261.68</v>
      </c>
      <c r="TU93" s="294">
        <v>-33034</v>
      </c>
      <c r="TV93" s="294"/>
      <c r="TW93" s="294"/>
      <c r="TX93" s="294"/>
      <c r="TY93" s="294">
        <v>-217106.75</v>
      </c>
      <c r="TZ93" s="294"/>
      <c r="UA93" s="294">
        <v>-617153.94999999995</v>
      </c>
      <c r="UB93" s="294">
        <v>0</v>
      </c>
      <c r="UC93" s="294">
        <v>0</v>
      </c>
      <c r="UD93" s="294">
        <v>-505649.5</v>
      </c>
      <c r="UE93" s="294">
        <v>-101265.5</v>
      </c>
      <c r="UF93" s="294"/>
      <c r="UG93" s="294"/>
      <c r="UH93" s="294">
        <v>-1463894.5</v>
      </c>
      <c r="UI93" s="294">
        <v>-2927401.55</v>
      </c>
      <c r="UJ93" s="294"/>
      <c r="UK93" s="294">
        <v>-500440.8</v>
      </c>
      <c r="UL93" s="294">
        <v>-420995.73</v>
      </c>
      <c r="UM93" s="294">
        <v>-319200</v>
      </c>
      <c r="UN93" s="294">
        <v>-356684.87</v>
      </c>
      <c r="UO93" s="294">
        <v>-814090.84</v>
      </c>
      <c r="UP93" s="294"/>
      <c r="UQ93" s="294">
        <v>-1954060</v>
      </c>
      <c r="UR93" s="294">
        <v>-1443178</v>
      </c>
      <c r="US93" s="294">
        <v>-2054930</v>
      </c>
      <c r="UT93" s="294">
        <v>-519700</v>
      </c>
      <c r="UU93" s="294">
        <v>-1456270</v>
      </c>
      <c r="UV93" s="294">
        <v>-4709684</v>
      </c>
      <c r="UW93" s="294">
        <v>-328390</v>
      </c>
      <c r="UX93" s="294">
        <v>0</v>
      </c>
      <c r="UY93" s="294">
        <v>-2016030</v>
      </c>
      <c r="UZ93" s="294">
        <v>-2587769.58</v>
      </c>
      <c r="VA93" s="294">
        <v>-1301500</v>
      </c>
      <c r="VB93" s="294">
        <v>-1009228.55</v>
      </c>
      <c r="VC93" s="294">
        <v>-1639550</v>
      </c>
      <c r="VD93" s="294">
        <v>-1952596.6</v>
      </c>
      <c r="VE93" s="294">
        <v>-567947</v>
      </c>
      <c r="VF93" s="294">
        <v>-793221.6</v>
      </c>
      <c r="VG93" s="294">
        <v>-183200.5</v>
      </c>
      <c r="VH93" s="294">
        <v>-2774320</v>
      </c>
      <c r="VI93" s="294">
        <v>-1283236</v>
      </c>
      <c r="VJ93" s="294">
        <v>-573140</v>
      </c>
      <c r="VK93" s="294">
        <v>-1323882.98</v>
      </c>
      <c r="VL93" s="294">
        <v>-460975.95</v>
      </c>
      <c r="VM93" s="294">
        <v>-5857727.1699999999</v>
      </c>
      <c r="VN93" s="294">
        <v>-2783157.91</v>
      </c>
      <c r="VO93" s="294">
        <v>-10224983.050000001</v>
      </c>
      <c r="VP93" s="294">
        <v>-3247302.53</v>
      </c>
      <c r="VQ93" s="294">
        <v>-3733136.15</v>
      </c>
      <c r="VR93" s="294">
        <v>-4883856.38</v>
      </c>
      <c r="VS93" s="294"/>
      <c r="VT93" s="294">
        <v>-5385118.1699999999</v>
      </c>
      <c r="VU93" s="294">
        <v>-1229552.31</v>
      </c>
      <c r="VV93" s="294">
        <v>-467382.44</v>
      </c>
      <c r="VW93" s="294">
        <v>-1935545.93</v>
      </c>
      <c r="VX93" s="294">
        <v>-534020.31999999995</v>
      </c>
      <c r="VY93" s="294">
        <v>-133904.13</v>
      </c>
      <c r="VZ93" s="294">
        <v>-2005684.32</v>
      </c>
      <c r="WA93" s="294"/>
      <c r="WB93" s="294">
        <v>-1220010</v>
      </c>
      <c r="WC93" s="294">
        <v>-1205297.8</v>
      </c>
      <c r="WD93" s="294">
        <v>-5174512.4000000004</v>
      </c>
      <c r="WE93" s="294">
        <v>-2081210.32</v>
      </c>
      <c r="WF93" s="294">
        <v>-2516039.6</v>
      </c>
      <c r="WG93" s="294">
        <v>-5783634.2999999998</v>
      </c>
      <c r="WH93" s="294">
        <v>-2212546.5</v>
      </c>
      <c r="WI93" s="294">
        <v>-1620814.7</v>
      </c>
      <c r="WJ93" s="294">
        <v>-9413931.8000000007</v>
      </c>
      <c r="WK93" s="294">
        <v>-1138928.2</v>
      </c>
      <c r="WL93" s="294">
        <v>-1075813.6000000001</v>
      </c>
      <c r="WM93" s="294">
        <v>-1435338.9000000001</v>
      </c>
      <c r="WN93" s="294">
        <v>-7447203.6699999999</v>
      </c>
      <c r="WO93" s="294">
        <v>0</v>
      </c>
      <c r="WP93" s="294">
        <v>-1511694.2</v>
      </c>
      <c r="WQ93" s="294">
        <v>-958502.8</v>
      </c>
      <c r="WR93" s="294">
        <v>-4757388.62</v>
      </c>
      <c r="WS93" s="294">
        <v>-1397036.4</v>
      </c>
      <c r="WT93" s="294">
        <v>-3733844.33</v>
      </c>
      <c r="WU93" s="294"/>
      <c r="WV93" s="294">
        <v>-3767924.4</v>
      </c>
      <c r="WW93" s="294">
        <v>-1333273.3999999999</v>
      </c>
      <c r="WX93" s="294"/>
      <c r="WY93" s="294">
        <v>-32928</v>
      </c>
      <c r="WZ93" s="294">
        <v>-295484.59999999998</v>
      </c>
      <c r="XA93" s="294">
        <v>-205012.3</v>
      </c>
      <c r="XB93" s="294">
        <v>-2050785</v>
      </c>
      <c r="XC93" s="294"/>
      <c r="XD93" s="294">
        <v>-1392842.2</v>
      </c>
      <c r="XE93" s="294">
        <v>-7480</v>
      </c>
      <c r="XF93" s="294">
        <v>-533573.19999999995</v>
      </c>
      <c r="XG93" s="294">
        <v>-852649.7</v>
      </c>
      <c r="XH93" s="294">
        <v>-2059173.19</v>
      </c>
      <c r="XI93" s="294">
        <v>-3925002.77</v>
      </c>
      <c r="XJ93" s="294">
        <v>-13651997.5</v>
      </c>
      <c r="XK93" s="294">
        <v>-9731542.7599999998</v>
      </c>
      <c r="XL93" s="294">
        <v>-3283861.9</v>
      </c>
      <c r="XM93" s="294">
        <v>-3298520.84</v>
      </c>
      <c r="XN93" s="294">
        <v>-16775348.18</v>
      </c>
      <c r="XO93" s="294">
        <v>-9929936.9199999999</v>
      </c>
      <c r="XP93" s="294">
        <v>-6342352.7000000002</v>
      </c>
      <c r="XQ93" s="294">
        <v>-12118553.75</v>
      </c>
      <c r="XR93" s="294">
        <v>-7968798.5</v>
      </c>
      <c r="XS93" s="294">
        <v>-4456769.5999999996</v>
      </c>
      <c r="XT93" s="294">
        <v>-3903061.5</v>
      </c>
      <c r="XU93" s="294">
        <v>-3030574.16</v>
      </c>
      <c r="XV93" s="294">
        <v>-6205982.1600000001</v>
      </c>
      <c r="XW93" s="294">
        <v>-5706072.1299999999</v>
      </c>
      <c r="XX93" s="294">
        <v>-2536368.5</v>
      </c>
      <c r="XY93" s="294">
        <v>-4379845.8</v>
      </c>
      <c r="XZ93" s="294">
        <v>-1658570.2</v>
      </c>
      <c r="YA93" s="294">
        <v>-1161535.1399999999</v>
      </c>
      <c r="YB93" s="294">
        <v>-2897889.69</v>
      </c>
      <c r="YC93" s="294">
        <v>-4808534.25</v>
      </c>
      <c r="YD93" s="294">
        <v>-6614049.1200000001</v>
      </c>
      <c r="YE93" s="294">
        <v>0</v>
      </c>
      <c r="YF93" s="294">
        <v>-2343153.98</v>
      </c>
      <c r="YG93" s="294">
        <v>-2298381.08</v>
      </c>
      <c r="YH93" s="294">
        <v>-244281.25</v>
      </c>
      <c r="YI93" s="294">
        <v>-2599970.41</v>
      </c>
      <c r="YJ93" s="294">
        <v>-623868.25</v>
      </c>
      <c r="YK93" s="294">
        <v>-3200325.12</v>
      </c>
      <c r="YL93" s="294">
        <v>-130721.75</v>
      </c>
      <c r="YM93" s="294">
        <v>-3976871.19</v>
      </c>
      <c r="YN93" s="294">
        <v>-322173.75</v>
      </c>
      <c r="YO93" s="294">
        <v>-1078653.5</v>
      </c>
      <c r="YP93" s="294">
        <v>-337929.01</v>
      </c>
      <c r="YQ93" s="294">
        <v>-1563009.48</v>
      </c>
      <c r="YR93" s="294">
        <v>-228798</v>
      </c>
      <c r="YS93" s="294">
        <v>-769424</v>
      </c>
      <c r="YT93" s="294">
        <v>-1405939.75</v>
      </c>
      <c r="YU93" s="294">
        <v>-662617.05000000005</v>
      </c>
      <c r="YV93" s="294">
        <v>-170350</v>
      </c>
      <c r="YW93" s="294">
        <v>-471740</v>
      </c>
      <c r="YX93" s="294">
        <v>-297110</v>
      </c>
      <c r="YY93" s="294">
        <v>-169700</v>
      </c>
      <c r="YZ93" s="294">
        <v>-156890</v>
      </c>
      <c r="ZA93" s="294">
        <v>-607360</v>
      </c>
      <c r="ZB93" s="294">
        <v>-68350</v>
      </c>
      <c r="ZC93" s="294"/>
      <c r="ZD93" s="294"/>
      <c r="ZE93" s="294">
        <v>0</v>
      </c>
      <c r="ZF93" s="294"/>
      <c r="ZG93" s="294"/>
      <c r="ZH93" s="294"/>
      <c r="ZI93" s="294"/>
      <c r="ZJ93" s="294">
        <v>0</v>
      </c>
      <c r="ZK93" s="294"/>
      <c r="ZL93" s="294">
        <v>0</v>
      </c>
      <c r="ZM93" s="294">
        <v>0</v>
      </c>
      <c r="ZN93" s="294"/>
      <c r="ZO93" s="294">
        <v>0</v>
      </c>
      <c r="ZP93" s="294">
        <v>0</v>
      </c>
      <c r="ZQ93" s="294">
        <v>0</v>
      </c>
      <c r="ZR93" s="294">
        <v>0</v>
      </c>
      <c r="ZS93" s="294">
        <v>0</v>
      </c>
      <c r="ZT93" s="294">
        <v>0</v>
      </c>
      <c r="ZU93" s="294">
        <v>0</v>
      </c>
      <c r="ZV93" s="294"/>
      <c r="ZW93" s="294">
        <v>-71158.5</v>
      </c>
      <c r="ZX93" s="294">
        <v>0</v>
      </c>
      <c r="ZY93" s="294">
        <v>0</v>
      </c>
      <c r="ZZ93" s="294"/>
      <c r="AAA93" s="294">
        <v>0</v>
      </c>
      <c r="AAB93" s="294">
        <v>0</v>
      </c>
      <c r="AAC93" s="294">
        <v>0</v>
      </c>
      <c r="AAD93" s="294">
        <v>0</v>
      </c>
      <c r="AAE93" s="294">
        <v>0</v>
      </c>
      <c r="AAF93" s="294"/>
      <c r="AAG93" s="294">
        <v>0</v>
      </c>
      <c r="AAH93" s="294">
        <v>0</v>
      </c>
      <c r="AAI93" s="294">
        <v>-306527.75</v>
      </c>
      <c r="AAJ93" s="294"/>
      <c r="AAK93" s="294"/>
      <c r="AAL93" s="294">
        <v>0</v>
      </c>
      <c r="AAM93" s="294">
        <v>0</v>
      </c>
      <c r="AAN93" s="294">
        <v>-4285</v>
      </c>
      <c r="AAO93" s="294">
        <v>-12150</v>
      </c>
      <c r="AAP93" s="294"/>
      <c r="AAQ93" s="294">
        <v>-3833145.74</v>
      </c>
      <c r="AAR93" s="294">
        <v>0</v>
      </c>
      <c r="AAS93" s="294"/>
      <c r="AAT93" s="294"/>
      <c r="AAU93" s="294">
        <v>0</v>
      </c>
      <c r="AAV93" s="294"/>
      <c r="AAW93" s="294"/>
      <c r="AAX93" s="294"/>
      <c r="AAY93" s="294"/>
      <c r="AAZ93" s="294"/>
      <c r="ABA93" s="294"/>
      <c r="ABB93" s="294"/>
      <c r="ABC93" s="294">
        <v>0</v>
      </c>
      <c r="ABD93" s="294"/>
      <c r="ABE93" s="294"/>
      <c r="ABF93" s="294"/>
      <c r="ABG93" s="294"/>
      <c r="ABH93" s="294"/>
      <c r="ABI93" s="294"/>
      <c r="ABJ93" s="294"/>
      <c r="ABK93" s="294">
        <v>0</v>
      </c>
      <c r="ABL93" s="294"/>
      <c r="ABM93" s="294"/>
      <c r="ABN93" s="294">
        <v>-298420</v>
      </c>
      <c r="ABO93" s="294">
        <v>0</v>
      </c>
      <c r="ABP93" s="294">
        <v>0</v>
      </c>
      <c r="ABQ93" s="294">
        <v>0</v>
      </c>
      <c r="ABR93" s="294">
        <v>-481840</v>
      </c>
      <c r="ABS93" s="294">
        <v>-18920</v>
      </c>
      <c r="ABT93" s="294">
        <v>0</v>
      </c>
      <c r="ABU93" s="294">
        <v>0</v>
      </c>
      <c r="ABV93" s="294">
        <v>-17380</v>
      </c>
      <c r="ABW93" s="294"/>
      <c r="ABX93" s="294"/>
      <c r="ABY93" s="294"/>
      <c r="ABZ93" s="294">
        <v>-13200</v>
      </c>
      <c r="ACA93" s="294">
        <v>-173800</v>
      </c>
      <c r="ACB93" s="294">
        <v>-222</v>
      </c>
      <c r="ACC93" s="294">
        <v>-8400</v>
      </c>
      <c r="ACD93" s="294">
        <v>255900</v>
      </c>
      <c r="ACE93" s="294">
        <v>-6600</v>
      </c>
      <c r="ACF93" s="294">
        <v>-660680</v>
      </c>
      <c r="ACG93" s="294"/>
      <c r="ACH93" s="294">
        <v>-1358750</v>
      </c>
      <c r="ACI93" s="294"/>
      <c r="ACJ93" s="294"/>
      <c r="ACK93" s="294"/>
      <c r="ACL93" s="294"/>
      <c r="ACM93" s="294"/>
      <c r="ACN93" s="294"/>
      <c r="ACO93" s="294"/>
      <c r="ACP93" s="294"/>
      <c r="ACQ93" s="294">
        <v>-1048909.8899999999</v>
      </c>
      <c r="ACR93" s="294"/>
      <c r="ACS93" s="294"/>
      <c r="ACT93" s="294"/>
      <c r="ACU93" s="294"/>
      <c r="ACV93" s="294"/>
      <c r="ACW93" s="294"/>
      <c r="ACX93" s="294"/>
      <c r="ACY93" s="294"/>
      <c r="ACZ93" s="294"/>
      <c r="ADA93" s="294"/>
      <c r="ADB93" s="294"/>
      <c r="ADC93" s="294"/>
      <c r="ADD93" s="294">
        <v>-64067</v>
      </c>
      <c r="ADE93" s="294"/>
      <c r="ADF93" s="294">
        <v>-16080</v>
      </c>
      <c r="ADG93" s="294"/>
      <c r="ADH93" s="294"/>
      <c r="ADI93" s="294"/>
      <c r="ADJ93" s="294"/>
      <c r="ADK93" s="294"/>
      <c r="ADL93" s="294"/>
      <c r="ADM93" s="294"/>
      <c r="ADN93" s="294"/>
      <c r="ADO93" s="294"/>
      <c r="ADP93" s="294"/>
      <c r="ADQ93" s="294"/>
      <c r="ADR93" s="294"/>
      <c r="ADS93" s="294"/>
      <c r="ADT93" s="294"/>
      <c r="ADU93" s="294">
        <v>-3024402.55</v>
      </c>
      <c r="ADV93" s="294"/>
      <c r="ADW93" s="294">
        <v>-39796.410000000003</v>
      </c>
      <c r="ADX93" s="294"/>
      <c r="ADY93" s="294">
        <v>-86702.47</v>
      </c>
      <c r="ADZ93" s="294"/>
      <c r="AEA93" s="294">
        <v>-286381.84999999998</v>
      </c>
      <c r="AEB93" s="294">
        <v>-380114.68</v>
      </c>
      <c r="AEC93" s="294"/>
      <c r="AED93" s="294">
        <v>-7942.43</v>
      </c>
      <c r="AEE93" s="294">
        <v>-32500</v>
      </c>
      <c r="AEF93" s="294"/>
      <c r="AEG93" s="294">
        <v>-268799.24</v>
      </c>
      <c r="AEH93" s="294">
        <v>-514439.99</v>
      </c>
      <c r="AEI93" s="294">
        <v>-2901236.64</v>
      </c>
      <c r="AEJ93" s="294">
        <v>-406517.06999999995</v>
      </c>
      <c r="AEK93" s="294">
        <v>-213476.86</v>
      </c>
      <c r="AEL93" s="294">
        <v>-300855.59999999998</v>
      </c>
      <c r="AEM93" s="294">
        <v>-40559.4</v>
      </c>
      <c r="AEN93" s="294"/>
      <c r="AEO93" s="294">
        <v>-319900.69</v>
      </c>
      <c r="AEP93" s="294">
        <v>-22603.25</v>
      </c>
      <c r="AEQ93" s="294">
        <v>0</v>
      </c>
      <c r="AER93" s="294">
        <v>-107059.23</v>
      </c>
      <c r="AES93" s="294">
        <v>-67687.5</v>
      </c>
      <c r="AET93" s="294">
        <v>-1772260</v>
      </c>
      <c r="AEU93" s="294">
        <v>-2815720</v>
      </c>
      <c r="AEV93" s="294">
        <v>-1991750</v>
      </c>
      <c r="AEW93" s="294">
        <v>-1418760</v>
      </c>
      <c r="AEX93" s="294">
        <v>-2789210</v>
      </c>
      <c r="AEY93" s="294">
        <v>-1718940</v>
      </c>
      <c r="AEZ93" s="294">
        <v>-1315830</v>
      </c>
      <c r="AFA93" s="294">
        <v>-1238040</v>
      </c>
      <c r="AFB93" s="294">
        <v>-634640</v>
      </c>
      <c r="AFC93" s="294">
        <v>-420301.04</v>
      </c>
      <c r="AFD93" s="294">
        <v>-84394</v>
      </c>
      <c r="AFE93" s="294">
        <v>-1595316</v>
      </c>
      <c r="AFF93" s="294">
        <v>-520972.5</v>
      </c>
      <c r="AFG93" s="294">
        <v>-908085.27</v>
      </c>
      <c r="AFH93" s="294">
        <v>-30575.07</v>
      </c>
      <c r="AFI93" s="294">
        <v>-145637.76999999999</v>
      </c>
      <c r="AFJ93" s="294">
        <v>-924838.44</v>
      </c>
      <c r="AFK93" s="294">
        <v>-1218374.75</v>
      </c>
      <c r="AFL93" s="294">
        <v>-1150645.21</v>
      </c>
      <c r="AFM93" s="294">
        <v>-1325394.8999999999</v>
      </c>
      <c r="AFN93" s="294">
        <v>-1619944.23</v>
      </c>
      <c r="AFO93" s="294">
        <v>-2199049.62</v>
      </c>
      <c r="AFP93" s="294">
        <v>-437564.54</v>
      </c>
      <c r="AFQ93" s="294">
        <v>-10760584.66</v>
      </c>
      <c r="AFR93" s="294">
        <v>-1836006.59</v>
      </c>
      <c r="AFS93" s="294">
        <v>-8834064.25</v>
      </c>
      <c r="AFT93" s="294">
        <v>-4685725.4399999995</v>
      </c>
      <c r="AFU93" s="294">
        <v>-1012862.75</v>
      </c>
      <c r="AFV93" s="294">
        <v>-612196.19999999995</v>
      </c>
      <c r="AFW93" s="294">
        <v>-4480304.16</v>
      </c>
      <c r="AFX93" s="294">
        <v>-3438013</v>
      </c>
      <c r="AFY93" s="294">
        <v>-174230</v>
      </c>
      <c r="AFZ93" s="294">
        <v>-5540059.8600000003</v>
      </c>
      <c r="AGA93" s="294">
        <v>-562927.19999999995</v>
      </c>
      <c r="AGB93" s="294">
        <v>-6200</v>
      </c>
      <c r="AGC93" s="294">
        <v>-426711.93</v>
      </c>
      <c r="AGD93" s="294">
        <v>-1406398</v>
      </c>
      <c r="AGE93" s="294">
        <v>-884200</v>
      </c>
      <c r="AGF93" s="294">
        <v>-4944800</v>
      </c>
      <c r="AGG93" s="294">
        <v>-650250</v>
      </c>
      <c r="AGH93" s="294">
        <v>-180800</v>
      </c>
      <c r="AGI93" s="294">
        <v>-193800</v>
      </c>
      <c r="AGJ93" s="294">
        <v>-474350</v>
      </c>
      <c r="AGK93" s="294">
        <v>-592600</v>
      </c>
      <c r="AGL93" s="294">
        <v>-1320800</v>
      </c>
      <c r="AGM93" s="294">
        <v>-64668.5</v>
      </c>
      <c r="AGN93" s="294">
        <v>-74469</v>
      </c>
      <c r="AGO93" s="294">
        <v>-697753.41</v>
      </c>
      <c r="AGP93" s="294">
        <v>-276608</v>
      </c>
      <c r="AGQ93" s="294">
        <v>-415470</v>
      </c>
      <c r="AGR93" s="294">
        <v>-1224048</v>
      </c>
      <c r="AGS93" s="294">
        <v>-1283597</v>
      </c>
      <c r="AGT93" s="294">
        <v>-156961</v>
      </c>
      <c r="AGU93" s="294">
        <v>-81991.850000000006</v>
      </c>
      <c r="AGV93" s="294">
        <v>-889922.68</v>
      </c>
      <c r="AGW93" s="294">
        <v>-307987.75</v>
      </c>
      <c r="AGX93" s="294">
        <v>-847419.26</v>
      </c>
      <c r="AGY93" s="294">
        <v>-1369273.92</v>
      </c>
      <c r="AGZ93" s="294">
        <v>-233812.75</v>
      </c>
      <c r="AHA93" s="294">
        <v>-1663821.15</v>
      </c>
      <c r="AHB93" s="294">
        <v>-2146141.75</v>
      </c>
      <c r="AHC93" s="294">
        <v>-524104.75</v>
      </c>
      <c r="AHD93" s="294">
        <v>-3725513</v>
      </c>
      <c r="AHE93" s="294">
        <v>-4601720.6500000004</v>
      </c>
      <c r="AHF93" s="294">
        <v>-2549438.12</v>
      </c>
      <c r="AHG93" s="294">
        <v>-338935.75</v>
      </c>
      <c r="AHH93" s="294">
        <v>-3213479</v>
      </c>
      <c r="AHI93" s="294">
        <v>-580124.75</v>
      </c>
      <c r="AHJ93" s="294"/>
      <c r="AHK93" s="294">
        <v>-2683172.5</v>
      </c>
      <c r="AHL93" s="294">
        <v>-1442465.13</v>
      </c>
      <c r="AHM93" s="294">
        <v>-623781</v>
      </c>
      <c r="AHN93" s="294">
        <v>-735136</v>
      </c>
      <c r="AHO93" s="294">
        <v>-1069511.22</v>
      </c>
      <c r="AHP93" s="294">
        <v>-2862244.45</v>
      </c>
      <c r="AHQ93" s="294">
        <v>-625847.5</v>
      </c>
      <c r="AHR93" s="331">
        <v>-1701233.85</v>
      </c>
      <c r="AHS93" s="294">
        <f t="shared" si="51"/>
        <v>-1590303979.650001</v>
      </c>
      <c r="AHT93" s="269" t="b">
        <f t="shared" si="52"/>
        <v>1</v>
      </c>
      <c r="AHU93" s="269" t="s">
        <v>6278</v>
      </c>
      <c r="AHV93" s="269" t="s">
        <v>6129</v>
      </c>
      <c r="AHW93" s="269" t="s">
        <v>6130</v>
      </c>
    </row>
    <row r="94" spans="1:907" ht="24.6" x14ac:dyDescent="0.7">
      <c r="A94" s="268" t="s">
        <v>6278</v>
      </c>
      <c r="B94" s="268" t="s">
        <v>6131</v>
      </c>
      <c r="C94" s="269" t="s">
        <v>6132</v>
      </c>
      <c r="D94" s="294"/>
      <c r="E94" s="294">
        <v>-251636.25</v>
      </c>
      <c r="F94" s="294"/>
      <c r="G94" s="294"/>
      <c r="H94" s="294"/>
      <c r="I94" s="294"/>
      <c r="J94" s="294">
        <v>-2846.25</v>
      </c>
      <c r="K94" s="294"/>
      <c r="L94" s="294">
        <v>-125881.5</v>
      </c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>
        <v>-182088</v>
      </c>
      <c r="Y94" s="294"/>
      <c r="Z94" s="294"/>
      <c r="AA94" s="294"/>
      <c r="AB94" s="294"/>
      <c r="AC94" s="294"/>
      <c r="AD94" s="294">
        <v>-461368</v>
      </c>
      <c r="AE94" s="294">
        <v>-50770</v>
      </c>
      <c r="AF94" s="294">
        <v>-515</v>
      </c>
      <c r="AG94" s="294"/>
      <c r="AH94" s="294"/>
      <c r="AI94" s="294"/>
      <c r="AJ94" s="294">
        <v>-85227</v>
      </c>
      <c r="AK94" s="294">
        <v>-99660</v>
      </c>
      <c r="AL94" s="294"/>
      <c r="AM94" s="294">
        <v>-505976</v>
      </c>
      <c r="AN94" s="294"/>
      <c r="AO94" s="294">
        <v>-23425</v>
      </c>
      <c r="AP94" s="294"/>
      <c r="AQ94" s="294">
        <v>-179060</v>
      </c>
      <c r="AR94" s="294"/>
      <c r="AS94" s="294"/>
      <c r="AT94" s="294">
        <v>-149573.5</v>
      </c>
      <c r="AU94" s="294"/>
      <c r="AV94" s="294"/>
      <c r="AW94" s="294"/>
      <c r="AX94" s="294">
        <v>-419</v>
      </c>
      <c r="AY94" s="294"/>
      <c r="AZ94" s="294"/>
      <c r="BA94" s="294"/>
      <c r="BB94" s="294"/>
      <c r="BC94" s="294"/>
      <c r="BD94" s="294"/>
      <c r="BE94" s="294"/>
      <c r="BF94" s="294"/>
      <c r="BG94" s="294"/>
      <c r="BH94" s="294">
        <v>-78658.75</v>
      </c>
      <c r="BI94" s="294">
        <v>-794426.21</v>
      </c>
      <c r="BJ94" s="294">
        <v>-134302.41</v>
      </c>
      <c r="BK94" s="294"/>
      <c r="BL94" s="294"/>
      <c r="BM94" s="294">
        <v>-108964.5</v>
      </c>
      <c r="BN94" s="294"/>
      <c r="BO94" s="294">
        <v>-49403.25</v>
      </c>
      <c r="BP94" s="294">
        <v>-47089.5</v>
      </c>
      <c r="BQ94" s="294"/>
      <c r="BR94" s="294">
        <v>-855232</v>
      </c>
      <c r="BS94" s="294"/>
      <c r="BT94" s="294">
        <v>-89981.25</v>
      </c>
      <c r="BU94" s="294">
        <v>-50791.5</v>
      </c>
      <c r="BV94" s="294">
        <v>-5940</v>
      </c>
      <c r="BW94" s="294">
        <v>-9320</v>
      </c>
      <c r="BX94" s="294">
        <v>-4100</v>
      </c>
      <c r="BY94" s="294">
        <v>-152720</v>
      </c>
      <c r="BZ94" s="294">
        <v>-69103.5</v>
      </c>
      <c r="CA94" s="294"/>
      <c r="CB94" s="294"/>
      <c r="CC94" s="294">
        <v>0</v>
      </c>
      <c r="CD94" s="294"/>
      <c r="CE94" s="294">
        <v>-78210</v>
      </c>
      <c r="CF94" s="294"/>
      <c r="CG94" s="294"/>
      <c r="CH94" s="294"/>
      <c r="CI94" s="294">
        <v>0</v>
      </c>
      <c r="CJ94" s="294"/>
      <c r="CK94" s="294"/>
      <c r="CL94" s="294"/>
      <c r="CM94" s="294"/>
      <c r="CN94" s="294">
        <v>-13569</v>
      </c>
      <c r="CO94" s="294"/>
      <c r="CP94" s="294"/>
      <c r="CQ94" s="294"/>
      <c r="CR94" s="294"/>
      <c r="CS94" s="294"/>
      <c r="CT94" s="294"/>
      <c r="CU94" s="294"/>
      <c r="CV94" s="294">
        <v>-868040</v>
      </c>
      <c r="CW94" s="294"/>
      <c r="CX94" s="294">
        <v>0</v>
      </c>
      <c r="CY94" s="294">
        <v>-1628.75</v>
      </c>
      <c r="CZ94" s="294">
        <v>0</v>
      </c>
      <c r="DA94" s="294">
        <v>-69983</v>
      </c>
      <c r="DB94" s="294"/>
      <c r="DC94" s="294">
        <v>-6357</v>
      </c>
      <c r="DD94" s="294"/>
      <c r="DE94" s="294"/>
      <c r="DF94" s="294">
        <v>-10275</v>
      </c>
      <c r="DG94" s="294">
        <v>-116807</v>
      </c>
      <c r="DH94" s="294"/>
      <c r="DI94" s="294">
        <v>-9953</v>
      </c>
      <c r="DJ94" s="294"/>
      <c r="DK94" s="294"/>
      <c r="DL94" s="294"/>
      <c r="DM94" s="294">
        <v>0</v>
      </c>
      <c r="DN94" s="294"/>
      <c r="DO94" s="294"/>
      <c r="DP94" s="294"/>
      <c r="DQ94" s="294">
        <v>-203713.5</v>
      </c>
      <c r="DR94" s="294"/>
      <c r="DS94" s="294">
        <v>-23005</v>
      </c>
      <c r="DT94" s="294">
        <v>-128600</v>
      </c>
      <c r="DU94" s="294"/>
      <c r="DV94" s="294">
        <v>-3000</v>
      </c>
      <c r="DW94" s="294"/>
      <c r="DX94" s="294"/>
      <c r="DY94" s="294">
        <v>-44504.75</v>
      </c>
      <c r="DZ94" s="294">
        <v>-2204516.0499999998</v>
      </c>
      <c r="EA94" s="294"/>
      <c r="EB94" s="294">
        <v>-835</v>
      </c>
      <c r="EC94" s="294">
        <v>-635354.5</v>
      </c>
      <c r="ED94" s="294">
        <v>-86457.75</v>
      </c>
      <c r="EE94" s="294">
        <v>-12515</v>
      </c>
      <c r="EF94" s="294"/>
      <c r="EG94" s="294"/>
      <c r="EH94" s="294">
        <v>-5537.5</v>
      </c>
      <c r="EI94" s="294">
        <v>0</v>
      </c>
      <c r="EJ94" s="294">
        <v>-539777.5</v>
      </c>
      <c r="EK94" s="294">
        <v>-141467.5</v>
      </c>
      <c r="EL94" s="294">
        <v>-1086996.22</v>
      </c>
      <c r="EM94" s="294"/>
      <c r="EN94" s="294">
        <v>-32800</v>
      </c>
      <c r="EO94" s="294">
        <v>0</v>
      </c>
      <c r="EP94" s="294">
        <v>-321558.5</v>
      </c>
      <c r="EQ94" s="294">
        <v>-60200</v>
      </c>
      <c r="ER94" s="294"/>
      <c r="ES94" s="294"/>
      <c r="ET94" s="294">
        <v>-1125754</v>
      </c>
      <c r="EU94" s="294">
        <v>0</v>
      </c>
      <c r="EV94" s="294">
        <v>-4653</v>
      </c>
      <c r="EW94" s="294">
        <v>0</v>
      </c>
      <c r="EX94" s="294">
        <v>-8090</v>
      </c>
      <c r="EY94" s="294"/>
      <c r="EZ94" s="294"/>
      <c r="FA94" s="294">
        <v>-118026.25</v>
      </c>
      <c r="FB94" s="294"/>
      <c r="FC94" s="294">
        <v>-16836</v>
      </c>
      <c r="FD94" s="294">
        <v>-9797.5</v>
      </c>
      <c r="FE94" s="294"/>
      <c r="FF94" s="294"/>
      <c r="FG94" s="294"/>
      <c r="FH94" s="294"/>
      <c r="FI94" s="294"/>
      <c r="FJ94" s="294"/>
      <c r="FK94" s="294"/>
      <c r="FL94" s="294"/>
      <c r="FM94" s="294"/>
      <c r="FN94" s="294"/>
      <c r="FO94" s="294"/>
      <c r="FP94" s="294"/>
      <c r="FQ94" s="294"/>
      <c r="FR94" s="294"/>
      <c r="FS94" s="294"/>
      <c r="FT94" s="294"/>
      <c r="FU94" s="294"/>
      <c r="FV94" s="294">
        <v>-12078</v>
      </c>
      <c r="FW94" s="294"/>
      <c r="FX94" s="294"/>
      <c r="FY94" s="294"/>
      <c r="FZ94" s="294">
        <v>-23410.75</v>
      </c>
      <c r="GA94" s="294">
        <v>-44974</v>
      </c>
      <c r="GB94" s="294"/>
      <c r="GC94" s="294"/>
      <c r="GD94" s="294"/>
      <c r="GE94" s="294"/>
      <c r="GF94" s="294"/>
      <c r="GG94" s="294">
        <v>0</v>
      </c>
      <c r="GH94" s="294"/>
      <c r="GI94" s="294">
        <v>0</v>
      </c>
      <c r="GJ94" s="294">
        <v>-14664</v>
      </c>
      <c r="GK94" s="294"/>
      <c r="GL94" s="294"/>
      <c r="GM94" s="294"/>
      <c r="GN94" s="294"/>
      <c r="GO94" s="294"/>
      <c r="GP94" s="294"/>
      <c r="GQ94" s="294"/>
      <c r="GR94" s="294"/>
      <c r="GS94" s="294"/>
      <c r="GT94" s="294"/>
      <c r="GU94" s="294"/>
      <c r="GV94" s="294"/>
      <c r="GW94" s="294"/>
      <c r="GX94" s="294"/>
      <c r="GY94" s="294">
        <v>-700</v>
      </c>
      <c r="GZ94" s="294">
        <v>-6912.5</v>
      </c>
      <c r="HA94" s="294"/>
      <c r="HB94" s="294">
        <v>-46402.87</v>
      </c>
      <c r="HC94" s="294"/>
      <c r="HD94" s="294"/>
      <c r="HE94" s="294"/>
      <c r="HF94" s="294"/>
      <c r="HG94" s="294"/>
      <c r="HH94" s="294"/>
      <c r="HI94" s="294"/>
      <c r="HJ94" s="294"/>
      <c r="HK94" s="294">
        <v>-5992331.25</v>
      </c>
      <c r="HL94" s="294"/>
      <c r="HM94" s="294">
        <v>-373599.4</v>
      </c>
      <c r="HN94" s="294"/>
      <c r="HO94" s="294"/>
      <c r="HP94" s="294"/>
      <c r="HQ94" s="294">
        <v>-117009</v>
      </c>
      <c r="HR94" s="294"/>
      <c r="HS94" s="294"/>
      <c r="HT94" s="294">
        <v>-83951.83</v>
      </c>
      <c r="HU94" s="294"/>
      <c r="HV94" s="294">
        <v>-850</v>
      </c>
      <c r="HW94" s="294"/>
      <c r="HX94" s="294"/>
      <c r="HY94" s="294"/>
      <c r="HZ94" s="294">
        <v>-133220</v>
      </c>
      <c r="IA94" s="294"/>
      <c r="IB94" s="294">
        <v>-147721.5</v>
      </c>
      <c r="IC94" s="294"/>
      <c r="ID94" s="294"/>
      <c r="IE94" s="294">
        <v>0</v>
      </c>
      <c r="IF94" s="294"/>
      <c r="IG94" s="294"/>
      <c r="IH94" s="294"/>
      <c r="II94" s="294"/>
      <c r="IJ94" s="294"/>
      <c r="IK94" s="294">
        <v>0</v>
      </c>
      <c r="IL94" s="294">
        <v>-6441</v>
      </c>
      <c r="IM94" s="294"/>
      <c r="IN94" s="294"/>
      <c r="IO94" s="294"/>
      <c r="IP94" s="294">
        <v>-177368.25</v>
      </c>
      <c r="IQ94" s="294"/>
      <c r="IR94" s="294"/>
      <c r="IS94" s="294"/>
      <c r="IT94" s="294">
        <v>-409152.75</v>
      </c>
      <c r="IU94" s="294"/>
      <c r="IV94" s="294"/>
      <c r="IW94" s="294"/>
      <c r="IX94" s="294">
        <v>-4404.17</v>
      </c>
      <c r="IY94" s="294"/>
      <c r="IZ94" s="294"/>
      <c r="JA94" s="294"/>
      <c r="JB94" s="294">
        <v>0</v>
      </c>
      <c r="JC94" s="294">
        <v>-5775881.5</v>
      </c>
      <c r="JD94" s="294">
        <v>-5324.5</v>
      </c>
      <c r="JE94" s="294">
        <v>-203985</v>
      </c>
      <c r="JF94" s="294">
        <v>-99809.95</v>
      </c>
      <c r="JG94" s="294">
        <v>-2513</v>
      </c>
      <c r="JH94" s="294">
        <v>-1944</v>
      </c>
      <c r="JI94" s="294"/>
      <c r="JJ94" s="294">
        <v>-100901.75</v>
      </c>
      <c r="JK94" s="294">
        <v>-27769.599999999999</v>
      </c>
      <c r="JL94" s="294">
        <v>-42467.5</v>
      </c>
      <c r="JM94" s="294">
        <v>-2270041.75</v>
      </c>
      <c r="JN94" s="294">
        <v>-2508736.5299999998</v>
      </c>
      <c r="JO94" s="294">
        <v>-1182796.19</v>
      </c>
      <c r="JP94" s="294">
        <v>-196411.22</v>
      </c>
      <c r="JQ94" s="294">
        <v>-1734356.3</v>
      </c>
      <c r="JR94" s="294"/>
      <c r="JS94" s="294"/>
      <c r="JT94" s="294"/>
      <c r="JU94" s="294">
        <v>-252</v>
      </c>
      <c r="JV94" s="294"/>
      <c r="JW94" s="294"/>
      <c r="JX94" s="294"/>
      <c r="JY94" s="294"/>
      <c r="JZ94" s="294"/>
      <c r="KA94" s="294"/>
      <c r="KB94" s="294"/>
      <c r="KC94" s="294"/>
      <c r="KD94" s="294"/>
      <c r="KE94" s="294"/>
      <c r="KF94" s="294">
        <v>0</v>
      </c>
      <c r="KG94" s="294"/>
      <c r="KH94" s="294">
        <v>-5220</v>
      </c>
      <c r="KI94" s="294">
        <v>-17235</v>
      </c>
      <c r="KJ94" s="294"/>
      <c r="KK94" s="294"/>
      <c r="KL94" s="294"/>
      <c r="KM94" s="294">
        <v>-23788</v>
      </c>
      <c r="KN94" s="294"/>
      <c r="KO94" s="294"/>
      <c r="KP94" s="294">
        <v>0</v>
      </c>
      <c r="KQ94" s="294">
        <v>-2050</v>
      </c>
      <c r="KR94" s="294">
        <v>-1129743.75</v>
      </c>
      <c r="KS94" s="294">
        <v>-4188.75</v>
      </c>
      <c r="KT94" s="294">
        <v>-135495.75</v>
      </c>
      <c r="KU94" s="294">
        <v>-28880</v>
      </c>
      <c r="KV94" s="294">
        <v>-117253.22</v>
      </c>
      <c r="KW94" s="294">
        <v>-179461.4</v>
      </c>
      <c r="KX94" s="294"/>
      <c r="KY94" s="294"/>
      <c r="KZ94" s="294"/>
      <c r="LA94" s="294"/>
      <c r="LB94" s="294">
        <v>-12240</v>
      </c>
      <c r="LC94" s="294"/>
      <c r="LD94" s="294"/>
      <c r="LE94" s="294"/>
      <c r="LF94" s="294"/>
      <c r="LG94" s="294"/>
      <c r="LH94" s="294"/>
      <c r="LI94" s="294"/>
      <c r="LJ94" s="294">
        <v>-240</v>
      </c>
      <c r="LK94" s="294">
        <v>-30812.79</v>
      </c>
      <c r="LL94" s="294"/>
      <c r="LM94" s="294"/>
      <c r="LN94" s="294"/>
      <c r="LO94" s="294"/>
      <c r="LP94" s="294"/>
      <c r="LQ94" s="294"/>
      <c r="LR94" s="294"/>
      <c r="LS94" s="294"/>
      <c r="LT94" s="294">
        <v>-961558</v>
      </c>
      <c r="LU94" s="294">
        <v>-3799514.75</v>
      </c>
      <c r="LV94" s="294"/>
      <c r="LW94" s="294">
        <v>-85368</v>
      </c>
      <c r="LX94" s="294">
        <v>0</v>
      </c>
      <c r="LY94" s="294"/>
      <c r="LZ94" s="294"/>
      <c r="MA94" s="294"/>
      <c r="MB94" s="294"/>
      <c r="MC94" s="294">
        <v>-57325</v>
      </c>
      <c r="MD94" s="294"/>
      <c r="ME94" s="294">
        <v>0</v>
      </c>
      <c r="MF94" s="294"/>
      <c r="MG94" s="294"/>
      <c r="MH94" s="294">
        <v>0</v>
      </c>
      <c r="MI94" s="294"/>
      <c r="MJ94" s="294"/>
      <c r="MK94" s="294"/>
      <c r="ML94" s="294">
        <v>0</v>
      </c>
      <c r="MM94" s="294">
        <v>0</v>
      </c>
      <c r="MN94" s="294"/>
      <c r="MO94" s="294">
        <v>0</v>
      </c>
      <c r="MP94" s="294">
        <v>0</v>
      </c>
      <c r="MQ94" s="294">
        <v>-5720</v>
      </c>
      <c r="MR94" s="294">
        <v>0</v>
      </c>
      <c r="MS94" s="294">
        <v>-64847.75</v>
      </c>
      <c r="MT94" s="294"/>
      <c r="MU94" s="294">
        <v>-3116347.6</v>
      </c>
      <c r="MV94" s="294">
        <v>0</v>
      </c>
      <c r="MW94" s="294"/>
      <c r="MX94" s="294">
        <v>-18540.599999999999</v>
      </c>
      <c r="MY94" s="294"/>
      <c r="MZ94" s="294"/>
      <c r="NA94" s="294">
        <v>-15666</v>
      </c>
      <c r="NB94" s="294"/>
      <c r="NC94" s="294">
        <v>-15780.75</v>
      </c>
      <c r="ND94" s="294"/>
      <c r="NE94" s="294">
        <v>-1939.5</v>
      </c>
      <c r="NF94" s="294"/>
      <c r="NG94" s="294"/>
      <c r="NH94" s="294"/>
      <c r="NI94" s="294">
        <v>0</v>
      </c>
      <c r="NJ94" s="294"/>
      <c r="NK94" s="294">
        <v>-17952.5</v>
      </c>
      <c r="NL94" s="294"/>
      <c r="NM94" s="294">
        <v>-195025.2</v>
      </c>
      <c r="NN94" s="294"/>
      <c r="NO94" s="294"/>
      <c r="NP94" s="294"/>
      <c r="NQ94" s="294"/>
      <c r="NR94" s="294"/>
      <c r="NS94" s="294"/>
      <c r="NT94" s="294"/>
      <c r="NU94" s="294"/>
      <c r="NV94" s="294"/>
      <c r="NW94" s="294">
        <v>-804102</v>
      </c>
      <c r="NX94" s="294">
        <v>-395756</v>
      </c>
      <c r="NY94" s="294"/>
      <c r="NZ94" s="294">
        <v>-2336178.02</v>
      </c>
      <c r="OA94" s="294">
        <v>-3141214.5</v>
      </c>
      <c r="OB94" s="294">
        <v>-305609.25</v>
      </c>
      <c r="OC94" s="294"/>
      <c r="OD94" s="294"/>
      <c r="OE94" s="294"/>
      <c r="OF94" s="294"/>
      <c r="OG94" s="294">
        <v>-2193826.1800000002</v>
      </c>
      <c r="OH94" s="294"/>
      <c r="OI94" s="294">
        <v>-386056.85</v>
      </c>
      <c r="OJ94" s="294"/>
      <c r="OK94" s="294"/>
      <c r="OL94" s="294"/>
      <c r="OM94" s="294">
        <v>-11523441.75</v>
      </c>
      <c r="ON94" s="294"/>
      <c r="OO94" s="294">
        <v>-473543.75</v>
      </c>
      <c r="OP94" s="294"/>
      <c r="OQ94" s="294"/>
      <c r="OR94" s="294"/>
      <c r="OS94" s="294">
        <v>0</v>
      </c>
      <c r="OT94" s="294"/>
      <c r="OU94" s="294">
        <v>-30717.8</v>
      </c>
      <c r="OV94" s="294"/>
      <c r="OW94" s="294"/>
      <c r="OX94" s="294"/>
      <c r="OY94" s="294"/>
      <c r="OZ94" s="294"/>
      <c r="PA94" s="294">
        <v>-86133.5</v>
      </c>
      <c r="PB94" s="294">
        <v>-661255.69999999995</v>
      </c>
      <c r="PC94" s="294"/>
      <c r="PD94" s="294"/>
      <c r="PE94" s="294">
        <v>-12800</v>
      </c>
      <c r="PF94" s="294">
        <v>-3120</v>
      </c>
      <c r="PG94" s="294"/>
      <c r="PH94" s="294"/>
      <c r="PI94" s="294"/>
      <c r="PJ94" s="294"/>
      <c r="PK94" s="294">
        <v>-7218.75</v>
      </c>
      <c r="PL94" s="294">
        <v>-69092</v>
      </c>
      <c r="PM94" s="294">
        <v>-388544.48</v>
      </c>
      <c r="PN94" s="294"/>
      <c r="PO94" s="294"/>
      <c r="PP94" s="294">
        <v>-41099.75</v>
      </c>
      <c r="PQ94" s="294"/>
      <c r="PR94" s="294"/>
      <c r="PS94" s="294"/>
      <c r="PT94" s="294"/>
      <c r="PU94" s="294"/>
      <c r="PV94" s="294"/>
      <c r="PW94" s="294"/>
      <c r="PX94" s="294"/>
      <c r="PY94" s="294">
        <v>0</v>
      </c>
      <c r="PZ94" s="294"/>
      <c r="QA94" s="294"/>
      <c r="QB94" s="294"/>
      <c r="QC94" s="294">
        <v>0</v>
      </c>
      <c r="QD94" s="294"/>
      <c r="QE94" s="294">
        <v>0</v>
      </c>
      <c r="QF94" s="294"/>
      <c r="QG94" s="294"/>
      <c r="QH94" s="294"/>
      <c r="QI94" s="294"/>
      <c r="QJ94" s="294"/>
      <c r="QK94" s="294">
        <v>-103873</v>
      </c>
      <c r="QL94" s="294"/>
      <c r="QM94" s="294"/>
      <c r="QN94" s="294">
        <v>0</v>
      </c>
      <c r="QO94" s="294"/>
      <c r="QP94" s="294"/>
      <c r="QQ94" s="294"/>
      <c r="QR94" s="294"/>
      <c r="QS94" s="294"/>
      <c r="QT94" s="294"/>
      <c r="QU94" s="294">
        <v>-34211</v>
      </c>
      <c r="QV94" s="294"/>
      <c r="QW94" s="294">
        <v>-2720</v>
      </c>
      <c r="QX94" s="294">
        <v>-2627270</v>
      </c>
      <c r="QY94" s="294">
        <v>-39499</v>
      </c>
      <c r="QZ94" s="294">
        <v>-163250</v>
      </c>
      <c r="RA94" s="294">
        <v>-96028</v>
      </c>
      <c r="RB94" s="294">
        <v>-8268683.0999999996</v>
      </c>
      <c r="RC94" s="294">
        <v>-290881.40000000002</v>
      </c>
      <c r="RD94" s="294">
        <v>-2040538.2</v>
      </c>
      <c r="RE94" s="294">
        <v>-19496</v>
      </c>
      <c r="RF94" s="294">
        <v>-11087</v>
      </c>
      <c r="RG94" s="294"/>
      <c r="RH94" s="294">
        <v>-32757</v>
      </c>
      <c r="RI94" s="294"/>
      <c r="RJ94" s="294"/>
      <c r="RK94" s="294">
        <v>-16062</v>
      </c>
      <c r="RL94" s="294"/>
      <c r="RM94" s="294"/>
      <c r="RN94" s="294">
        <v>-3946</v>
      </c>
      <c r="RO94" s="294"/>
      <c r="RP94" s="294"/>
      <c r="RQ94" s="294"/>
      <c r="RR94" s="294"/>
      <c r="RS94" s="294"/>
      <c r="RT94" s="294"/>
      <c r="RU94" s="294"/>
      <c r="RV94" s="294"/>
      <c r="RW94" s="294"/>
      <c r="RX94" s="294"/>
      <c r="RY94" s="294"/>
      <c r="RZ94" s="294"/>
      <c r="SA94" s="294">
        <v>-151777</v>
      </c>
      <c r="SB94" s="294"/>
      <c r="SC94" s="294">
        <v>-24980</v>
      </c>
      <c r="SD94" s="294"/>
      <c r="SE94" s="294"/>
      <c r="SF94" s="294"/>
      <c r="SG94" s="294"/>
      <c r="SH94" s="294"/>
      <c r="SI94" s="294"/>
      <c r="SJ94" s="294"/>
      <c r="SK94" s="294">
        <v>-7300</v>
      </c>
      <c r="SL94" s="294">
        <v>-39899</v>
      </c>
      <c r="SM94" s="294">
        <v>-3050</v>
      </c>
      <c r="SN94" s="294"/>
      <c r="SO94" s="294">
        <v>-150273</v>
      </c>
      <c r="SP94" s="294">
        <v>-69178.25</v>
      </c>
      <c r="SQ94" s="294">
        <v>-19953.990000000002</v>
      </c>
      <c r="SR94" s="294">
        <v>-340</v>
      </c>
      <c r="SS94" s="294">
        <v>-42079.5</v>
      </c>
      <c r="ST94" s="294"/>
      <c r="SU94" s="294"/>
      <c r="SV94" s="294"/>
      <c r="SW94" s="294"/>
      <c r="SX94" s="294"/>
      <c r="SY94" s="294"/>
      <c r="SZ94" s="294"/>
      <c r="TA94" s="294"/>
      <c r="TB94" s="294"/>
      <c r="TC94" s="294"/>
      <c r="TD94" s="294"/>
      <c r="TE94" s="294"/>
      <c r="TF94" s="294">
        <v>-6750</v>
      </c>
      <c r="TG94" s="294"/>
      <c r="TH94" s="294"/>
      <c r="TI94" s="294">
        <v>0</v>
      </c>
      <c r="TJ94" s="294">
        <v>-9766</v>
      </c>
      <c r="TK94" s="294">
        <v>-8664</v>
      </c>
      <c r="TL94" s="294">
        <v>-32012.25</v>
      </c>
      <c r="TM94" s="294"/>
      <c r="TN94" s="294"/>
      <c r="TO94" s="294">
        <v>-6027</v>
      </c>
      <c r="TP94" s="294">
        <v>-9819</v>
      </c>
      <c r="TQ94" s="294"/>
      <c r="TR94" s="294">
        <v>-198600</v>
      </c>
      <c r="TS94" s="294">
        <v>0</v>
      </c>
      <c r="TT94" s="294">
        <v>-7163</v>
      </c>
      <c r="TU94" s="294">
        <v>-32687.43</v>
      </c>
      <c r="TV94" s="294">
        <v>-12917.5</v>
      </c>
      <c r="TW94" s="294">
        <v>-28185.5</v>
      </c>
      <c r="TX94" s="294">
        <v>0</v>
      </c>
      <c r="TY94" s="294">
        <v>-1070</v>
      </c>
      <c r="TZ94" s="294"/>
      <c r="UA94" s="294"/>
      <c r="UB94" s="294">
        <v>-33160</v>
      </c>
      <c r="UC94" s="294"/>
      <c r="UD94" s="294"/>
      <c r="UE94" s="294"/>
      <c r="UF94" s="294"/>
      <c r="UG94" s="294"/>
      <c r="UH94" s="294">
        <v>-245266</v>
      </c>
      <c r="UI94" s="294">
        <v>-1028060</v>
      </c>
      <c r="UJ94" s="294"/>
      <c r="UK94" s="294"/>
      <c r="UL94" s="294">
        <v>-62046</v>
      </c>
      <c r="UM94" s="294"/>
      <c r="UN94" s="294"/>
      <c r="UO94" s="294">
        <v>-311727</v>
      </c>
      <c r="UP94" s="294"/>
      <c r="UQ94" s="294">
        <v>-29977.5</v>
      </c>
      <c r="UR94" s="294"/>
      <c r="US94" s="294"/>
      <c r="UT94" s="294"/>
      <c r="UU94" s="294">
        <v>-44990</v>
      </c>
      <c r="UV94" s="294"/>
      <c r="UW94" s="294"/>
      <c r="UX94" s="294"/>
      <c r="UY94" s="294">
        <v>0</v>
      </c>
      <c r="UZ94" s="294">
        <v>-29904</v>
      </c>
      <c r="VA94" s="294"/>
      <c r="VB94" s="294"/>
      <c r="VC94" s="294"/>
      <c r="VD94" s="294"/>
      <c r="VE94" s="294"/>
      <c r="VF94" s="294"/>
      <c r="VG94" s="294"/>
      <c r="VH94" s="294"/>
      <c r="VI94" s="294"/>
      <c r="VJ94" s="294"/>
      <c r="VK94" s="294"/>
      <c r="VL94" s="294">
        <v>-9133</v>
      </c>
      <c r="VM94" s="294"/>
      <c r="VN94" s="294">
        <v>-314057.8</v>
      </c>
      <c r="VO94" s="294">
        <v>-285706.39</v>
      </c>
      <c r="VP94" s="294">
        <v>-73600.75</v>
      </c>
      <c r="VQ94" s="294">
        <v>-27358</v>
      </c>
      <c r="VR94" s="294">
        <v>-700</v>
      </c>
      <c r="VS94" s="294">
        <v>0</v>
      </c>
      <c r="VT94" s="294">
        <v>-33061</v>
      </c>
      <c r="VU94" s="294">
        <v>-151794</v>
      </c>
      <c r="VV94" s="294">
        <v>-605551.5</v>
      </c>
      <c r="VW94" s="294">
        <v>-21665</v>
      </c>
      <c r="VX94" s="294">
        <v>-2514747</v>
      </c>
      <c r="VY94" s="294">
        <v>-15783.5</v>
      </c>
      <c r="VZ94" s="294">
        <v>-169939.04</v>
      </c>
      <c r="WA94" s="294"/>
      <c r="WB94" s="294">
        <v>-14345.5</v>
      </c>
      <c r="WC94" s="294"/>
      <c r="WD94" s="294">
        <v>0</v>
      </c>
      <c r="WE94" s="294"/>
      <c r="WF94" s="294"/>
      <c r="WG94" s="294"/>
      <c r="WH94" s="294">
        <v>-96207</v>
      </c>
      <c r="WI94" s="294">
        <v>-20433.5</v>
      </c>
      <c r="WJ94" s="294"/>
      <c r="WK94" s="294"/>
      <c r="WL94" s="294">
        <v>0</v>
      </c>
      <c r="WM94" s="294"/>
      <c r="WN94" s="294"/>
      <c r="WO94" s="294">
        <v>-6479.75</v>
      </c>
      <c r="WP94" s="294">
        <v>-32943.14</v>
      </c>
      <c r="WQ94" s="294"/>
      <c r="WR94" s="294"/>
      <c r="WS94" s="294"/>
      <c r="WT94" s="294"/>
      <c r="WU94" s="294">
        <v>-8965013</v>
      </c>
      <c r="WV94" s="294"/>
      <c r="WW94" s="294"/>
      <c r="WX94" s="294"/>
      <c r="WY94" s="294"/>
      <c r="WZ94" s="294">
        <v>-385418.6</v>
      </c>
      <c r="XA94" s="294"/>
      <c r="XB94" s="294"/>
      <c r="XC94" s="294"/>
      <c r="XD94" s="294">
        <v>-9554</v>
      </c>
      <c r="XE94" s="294"/>
      <c r="XF94" s="294">
        <v>0</v>
      </c>
      <c r="XG94" s="294">
        <v>-28788</v>
      </c>
      <c r="XH94" s="294"/>
      <c r="XI94" s="294"/>
      <c r="XJ94" s="294"/>
      <c r="XK94" s="294"/>
      <c r="XL94" s="294">
        <v>-24283.75</v>
      </c>
      <c r="XM94" s="294"/>
      <c r="XN94" s="294"/>
      <c r="XO94" s="294"/>
      <c r="XP94" s="294"/>
      <c r="XQ94" s="294"/>
      <c r="XR94" s="294"/>
      <c r="XS94" s="294"/>
      <c r="XT94" s="294"/>
      <c r="XU94" s="294"/>
      <c r="XV94" s="294"/>
      <c r="XW94" s="294"/>
      <c r="XX94" s="294"/>
      <c r="XY94" s="294"/>
      <c r="XZ94" s="294">
        <v>-258618</v>
      </c>
      <c r="YA94" s="294"/>
      <c r="YB94" s="294"/>
      <c r="YC94" s="294"/>
      <c r="YD94" s="294"/>
      <c r="YE94" s="294"/>
      <c r="YF94" s="294">
        <v>-39902</v>
      </c>
      <c r="YG94" s="294">
        <v>-21274.5</v>
      </c>
      <c r="YH94" s="294">
        <v>-13075</v>
      </c>
      <c r="YI94" s="294">
        <v>-5400</v>
      </c>
      <c r="YJ94" s="294">
        <v>-10925</v>
      </c>
      <c r="YK94" s="294">
        <v>-155872.29999999999</v>
      </c>
      <c r="YL94" s="294">
        <v>0</v>
      </c>
      <c r="YM94" s="294">
        <v>-35922.5</v>
      </c>
      <c r="YN94" s="294">
        <v>-20380</v>
      </c>
      <c r="YO94" s="294"/>
      <c r="YP94" s="294">
        <v>-15744.4</v>
      </c>
      <c r="YQ94" s="294"/>
      <c r="YR94" s="294"/>
      <c r="YS94" s="294">
        <v>-3586.5</v>
      </c>
      <c r="YT94" s="294">
        <v>-10682.5</v>
      </c>
      <c r="YU94" s="294">
        <v>0</v>
      </c>
      <c r="YV94" s="294"/>
      <c r="YW94" s="294"/>
      <c r="YX94" s="294"/>
      <c r="YY94" s="294"/>
      <c r="YZ94" s="294"/>
      <c r="ZA94" s="294"/>
      <c r="ZB94" s="294"/>
      <c r="ZC94" s="294"/>
      <c r="ZD94" s="294"/>
      <c r="ZE94" s="294"/>
      <c r="ZF94" s="294"/>
      <c r="ZG94" s="294"/>
      <c r="ZH94" s="294"/>
      <c r="ZI94" s="294"/>
      <c r="ZJ94" s="294"/>
      <c r="ZK94" s="294"/>
      <c r="ZL94" s="294">
        <v>0</v>
      </c>
      <c r="ZM94" s="294"/>
      <c r="ZN94" s="294"/>
      <c r="ZO94" s="294">
        <v>0</v>
      </c>
      <c r="ZP94" s="294">
        <v>-10583</v>
      </c>
      <c r="ZQ94" s="294"/>
      <c r="ZR94" s="294">
        <v>-7680</v>
      </c>
      <c r="ZS94" s="294"/>
      <c r="ZT94" s="294"/>
      <c r="ZU94" s="294"/>
      <c r="ZV94" s="294"/>
      <c r="ZW94" s="294">
        <v>0</v>
      </c>
      <c r="ZX94" s="294"/>
      <c r="ZY94" s="294"/>
      <c r="ZZ94" s="294"/>
      <c r="AAA94" s="294"/>
      <c r="AAB94" s="294"/>
      <c r="AAC94" s="294">
        <v>0</v>
      </c>
      <c r="AAD94" s="294"/>
      <c r="AAE94" s="294"/>
      <c r="AAF94" s="294"/>
      <c r="AAG94" s="294"/>
      <c r="AAH94" s="294"/>
      <c r="AAI94" s="294"/>
      <c r="AAJ94" s="294"/>
      <c r="AAK94" s="294"/>
      <c r="AAL94" s="294"/>
      <c r="AAM94" s="294"/>
      <c r="AAN94" s="294"/>
      <c r="AAO94" s="294"/>
      <c r="AAP94" s="294"/>
      <c r="AAQ94" s="294">
        <v>-642654.5</v>
      </c>
      <c r="AAR94" s="294"/>
      <c r="AAS94" s="294"/>
      <c r="AAT94" s="294"/>
      <c r="AAU94" s="294"/>
      <c r="AAV94" s="294"/>
      <c r="AAW94" s="294"/>
      <c r="AAX94" s="294"/>
      <c r="AAY94" s="294"/>
      <c r="AAZ94" s="294"/>
      <c r="ABA94" s="294"/>
      <c r="ABB94" s="294"/>
      <c r="ABC94" s="294">
        <v>0</v>
      </c>
      <c r="ABD94" s="294"/>
      <c r="ABE94" s="294">
        <v>-31436</v>
      </c>
      <c r="ABF94" s="294"/>
      <c r="ABG94" s="294"/>
      <c r="ABH94" s="294"/>
      <c r="ABI94" s="294"/>
      <c r="ABJ94" s="294"/>
      <c r="ABK94" s="294">
        <v>0</v>
      </c>
      <c r="ABL94" s="294"/>
      <c r="ABM94" s="294"/>
      <c r="ABN94" s="294"/>
      <c r="ABO94" s="294"/>
      <c r="ABP94" s="294"/>
      <c r="ABQ94" s="294"/>
      <c r="ABR94" s="294">
        <v>-260000</v>
      </c>
      <c r="ABS94" s="294"/>
      <c r="ABT94" s="294"/>
      <c r="ABU94" s="294"/>
      <c r="ABV94" s="294"/>
      <c r="ABW94" s="294"/>
      <c r="ABX94" s="294">
        <v>-186460.25</v>
      </c>
      <c r="ABY94" s="294"/>
      <c r="ABZ94" s="294"/>
      <c r="ACA94" s="294"/>
      <c r="ACB94" s="294"/>
      <c r="ACC94" s="294"/>
      <c r="ACD94" s="294"/>
      <c r="ACE94" s="294"/>
      <c r="ACF94" s="294"/>
      <c r="ACG94" s="294"/>
      <c r="ACH94" s="294"/>
      <c r="ACI94" s="294"/>
      <c r="ACJ94" s="294"/>
      <c r="ACK94" s="294"/>
      <c r="ACL94" s="294"/>
      <c r="ACM94" s="294">
        <v>-42595</v>
      </c>
      <c r="ACN94" s="294"/>
      <c r="ACO94" s="294"/>
      <c r="ACP94" s="294"/>
      <c r="ACQ94" s="294"/>
      <c r="ACR94" s="294"/>
      <c r="ACS94" s="294"/>
      <c r="ACT94" s="294"/>
      <c r="ACU94" s="294"/>
      <c r="ACV94" s="294"/>
      <c r="ACW94" s="294"/>
      <c r="ACX94" s="294"/>
      <c r="ACY94" s="294"/>
      <c r="ACZ94" s="294">
        <v>0</v>
      </c>
      <c r="ADA94" s="294"/>
      <c r="ADB94" s="294"/>
      <c r="ADC94" s="294"/>
      <c r="ADD94" s="294"/>
      <c r="ADE94" s="294">
        <v>-19713.5</v>
      </c>
      <c r="ADF94" s="294"/>
      <c r="ADG94" s="294">
        <v>-116095.75</v>
      </c>
      <c r="ADH94" s="294"/>
      <c r="ADI94" s="294"/>
      <c r="ADJ94" s="294">
        <v>0</v>
      </c>
      <c r="ADK94" s="294"/>
      <c r="ADL94" s="294">
        <v>-256782</v>
      </c>
      <c r="ADM94" s="294"/>
      <c r="ADN94" s="294"/>
      <c r="ADO94" s="294"/>
      <c r="ADP94" s="294"/>
      <c r="ADQ94" s="294"/>
      <c r="ADR94" s="294"/>
      <c r="ADS94" s="294"/>
      <c r="ADT94" s="294"/>
      <c r="ADU94" s="294"/>
      <c r="ADV94" s="294"/>
      <c r="ADW94" s="294"/>
      <c r="ADX94" s="294"/>
      <c r="ADY94" s="294"/>
      <c r="ADZ94" s="294"/>
      <c r="AEA94" s="294"/>
      <c r="AEB94" s="294">
        <v>-6312</v>
      </c>
      <c r="AEC94" s="294"/>
      <c r="AED94" s="294"/>
      <c r="AEE94" s="294"/>
      <c r="AEF94" s="294">
        <v>-117307</v>
      </c>
      <c r="AEG94" s="294"/>
      <c r="AEH94" s="294"/>
      <c r="AEI94" s="294">
        <v>-2580</v>
      </c>
      <c r="AEJ94" s="294"/>
      <c r="AEK94" s="294"/>
      <c r="AEL94" s="294"/>
      <c r="AEM94" s="294">
        <v>-1039000</v>
      </c>
      <c r="AEN94" s="294"/>
      <c r="AEO94" s="294"/>
      <c r="AEP94" s="294"/>
      <c r="AEQ94" s="294"/>
      <c r="AER94" s="294"/>
      <c r="AES94" s="294">
        <v>-4576</v>
      </c>
      <c r="AET94" s="294"/>
      <c r="AEU94" s="294"/>
      <c r="AEV94" s="294"/>
      <c r="AEW94" s="294"/>
      <c r="AEX94" s="294"/>
      <c r="AEY94" s="294"/>
      <c r="AEZ94" s="294"/>
      <c r="AFA94" s="294"/>
      <c r="AFB94" s="294"/>
      <c r="AFC94" s="294">
        <v>0</v>
      </c>
      <c r="AFD94" s="294">
        <v>0</v>
      </c>
      <c r="AFE94" s="294"/>
      <c r="AFF94" s="294"/>
      <c r="AFG94" s="294"/>
      <c r="AFH94" s="294"/>
      <c r="AFI94" s="294">
        <v>-8625.5</v>
      </c>
      <c r="AFJ94" s="294"/>
      <c r="AFK94" s="294"/>
      <c r="AFL94" s="294"/>
      <c r="AFM94" s="294">
        <v>-6150</v>
      </c>
      <c r="AFN94" s="294"/>
      <c r="AFO94" s="294"/>
      <c r="AFP94" s="294"/>
      <c r="AFQ94" s="294"/>
      <c r="AFR94" s="294"/>
      <c r="AFS94" s="294"/>
      <c r="AFT94" s="294"/>
      <c r="AFU94" s="294"/>
      <c r="AFV94" s="294">
        <v>-2831</v>
      </c>
      <c r="AFW94" s="294"/>
      <c r="AFX94" s="294"/>
      <c r="AFY94" s="294"/>
      <c r="AFZ94" s="294"/>
      <c r="AGA94" s="294"/>
      <c r="AGB94" s="294"/>
      <c r="AGC94" s="294">
        <v>-366136.72</v>
      </c>
      <c r="AGD94" s="294"/>
      <c r="AGE94" s="294"/>
      <c r="AGF94" s="294"/>
      <c r="AGG94" s="294"/>
      <c r="AGH94" s="294"/>
      <c r="AGI94" s="294"/>
      <c r="AGJ94" s="294"/>
      <c r="AGK94" s="294"/>
      <c r="AGL94" s="294"/>
      <c r="AGM94" s="294"/>
      <c r="AGN94" s="294"/>
      <c r="AGO94" s="294"/>
      <c r="AGP94" s="294"/>
      <c r="AGQ94" s="294"/>
      <c r="AGR94" s="294"/>
      <c r="AGS94" s="294">
        <v>-47850</v>
      </c>
      <c r="AGT94" s="294"/>
      <c r="AGU94" s="294"/>
      <c r="AGV94" s="294"/>
      <c r="AGW94" s="294"/>
      <c r="AGX94" s="294"/>
      <c r="AGY94" s="294"/>
      <c r="AGZ94" s="294">
        <v>-51623</v>
      </c>
      <c r="AHA94" s="294">
        <v>-216813</v>
      </c>
      <c r="AHB94" s="294"/>
      <c r="AHC94" s="294"/>
      <c r="AHD94" s="294"/>
      <c r="AHE94" s="294"/>
      <c r="AHF94" s="294"/>
      <c r="AHG94" s="294"/>
      <c r="AHH94" s="294"/>
      <c r="AHI94" s="294"/>
      <c r="AHJ94" s="294"/>
      <c r="AHK94" s="294"/>
      <c r="AHL94" s="294"/>
      <c r="AHM94" s="294">
        <v>-68323.5</v>
      </c>
      <c r="AHN94" s="294"/>
      <c r="AHO94" s="294"/>
      <c r="AHP94" s="294"/>
      <c r="AHQ94" s="294">
        <v>0</v>
      </c>
      <c r="AHR94" s="331"/>
      <c r="AHS94" s="294">
        <f t="shared" si="51"/>
        <v>-101515581.55000001</v>
      </c>
      <c r="AHT94" s="269" t="b">
        <f t="shared" si="52"/>
        <v>1</v>
      </c>
      <c r="AHU94" s="269" t="s">
        <v>6278</v>
      </c>
      <c r="AHV94" s="269" t="s">
        <v>6131</v>
      </c>
      <c r="AHW94" s="269" t="s">
        <v>6132</v>
      </c>
    </row>
    <row r="95" spans="1:907" ht="24.6" x14ac:dyDescent="0.7">
      <c r="A95" s="268" t="s">
        <v>6278</v>
      </c>
      <c r="B95" s="268" t="s">
        <v>6133</v>
      </c>
      <c r="C95" s="269" t="s">
        <v>6134</v>
      </c>
      <c r="D95" s="294">
        <v>0</v>
      </c>
      <c r="E95" s="294"/>
      <c r="F95" s="294">
        <v>-1400</v>
      </c>
      <c r="G95" s="294"/>
      <c r="H95" s="294">
        <v>-362146</v>
      </c>
      <c r="I95" s="294"/>
      <c r="J95" s="294">
        <v>-1760</v>
      </c>
      <c r="K95" s="294">
        <v>-10554</v>
      </c>
      <c r="L95" s="294">
        <v>-4314</v>
      </c>
      <c r="M95" s="294">
        <v>-1320</v>
      </c>
      <c r="N95" s="294"/>
      <c r="O95" s="294">
        <v>-37125</v>
      </c>
      <c r="P95" s="294"/>
      <c r="Q95" s="294">
        <v>-54845</v>
      </c>
      <c r="R95" s="294">
        <v>-14689</v>
      </c>
      <c r="S95" s="294">
        <v>-588400</v>
      </c>
      <c r="T95" s="294">
        <v>0</v>
      </c>
      <c r="U95" s="294">
        <v>-9360</v>
      </c>
      <c r="V95" s="294">
        <v>-2510309</v>
      </c>
      <c r="W95" s="294">
        <v>-1210812.75</v>
      </c>
      <c r="X95" s="294"/>
      <c r="Y95" s="294">
        <v>-30314</v>
      </c>
      <c r="Z95" s="294"/>
      <c r="AA95" s="294"/>
      <c r="AB95" s="294">
        <v>-3659</v>
      </c>
      <c r="AC95" s="294">
        <v>-365611.25</v>
      </c>
      <c r="AD95" s="294"/>
      <c r="AE95" s="294">
        <v>-285029</v>
      </c>
      <c r="AF95" s="294">
        <v>-355387.25</v>
      </c>
      <c r="AG95" s="294">
        <v>-294950.5</v>
      </c>
      <c r="AH95" s="294">
        <v>-388440.25</v>
      </c>
      <c r="AI95" s="294"/>
      <c r="AJ95" s="294">
        <v>-261615.08</v>
      </c>
      <c r="AK95" s="294">
        <v>0</v>
      </c>
      <c r="AL95" s="294">
        <v>-423065.97</v>
      </c>
      <c r="AM95" s="294">
        <v>-1721461</v>
      </c>
      <c r="AN95" s="294"/>
      <c r="AO95" s="294"/>
      <c r="AP95" s="294">
        <v>-2241994.75</v>
      </c>
      <c r="AQ95" s="294"/>
      <c r="AR95" s="294"/>
      <c r="AS95" s="294">
        <v>-235053</v>
      </c>
      <c r="AT95" s="294">
        <v>-1711.5</v>
      </c>
      <c r="AU95" s="294"/>
      <c r="AV95" s="294"/>
      <c r="AW95" s="294"/>
      <c r="AX95" s="294">
        <v>-69865.5</v>
      </c>
      <c r="AY95" s="294"/>
      <c r="AZ95" s="294"/>
      <c r="BA95" s="294">
        <v>-3137</v>
      </c>
      <c r="BB95" s="294">
        <v>-2133.5</v>
      </c>
      <c r="BC95" s="294"/>
      <c r="BD95" s="294"/>
      <c r="BE95" s="294"/>
      <c r="BF95" s="294">
        <v>-1553.75</v>
      </c>
      <c r="BG95" s="294"/>
      <c r="BH95" s="294"/>
      <c r="BI95" s="294">
        <v>-36644.5</v>
      </c>
      <c r="BJ95" s="294">
        <v>-1844.25</v>
      </c>
      <c r="BK95" s="294">
        <v>-1064</v>
      </c>
      <c r="BL95" s="294">
        <v>-310</v>
      </c>
      <c r="BM95" s="294">
        <v>-2490</v>
      </c>
      <c r="BN95" s="294">
        <v>-520</v>
      </c>
      <c r="BO95" s="294">
        <v>-894</v>
      </c>
      <c r="BP95" s="294"/>
      <c r="BQ95" s="294"/>
      <c r="BR95" s="294">
        <v>-71128</v>
      </c>
      <c r="BS95" s="294"/>
      <c r="BT95" s="294">
        <v>-342822.5</v>
      </c>
      <c r="BU95" s="294">
        <v>-440970.75</v>
      </c>
      <c r="BV95" s="294">
        <v>-33180</v>
      </c>
      <c r="BW95" s="294">
        <v>-22899.5</v>
      </c>
      <c r="BX95" s="294">
        <v>-26097.5</v>
      </c>
      <c r="BY95" s="294">
        <v>-31244.25</v>
      </c>
      <c r="BZ95" s="294">
        <v>-8000</v>
      </c>
      <c r="CA95" s="294"/>
      <c r="CB95" s="294"/>
      <c r="CC95" s="294"/>
      <c r="CD95" s="294"/>
      <c r="CE95" s="294">
        <v>-152448.5</v>
      </c>
      <c r="CF95" s="294"/>
      <c r="CG95" s="294">
        <v>-94904.25</v>
      </c>
      <c r="CH95" s="294">
        <v>-12345.5</v>
      </c>
      <c r="CI95" s="294">
        <v>-3097</v>
      </c>
      <c r="CJ95" s="294">
        <v>-41041</v>
      </c>
      <c r="CK95" s="294">
        <v>-40805.25</v>
      </c>
      <c r="CL95" s="294">
        <v>-28197.5</v>
      </c>
      <c r="CM95" s="294">
        <v>-18372.25</v>
      </c>
      <c r="CN95" s="294">
        <v>-28368</v>
      </c>
      <c r="CO95" s="294">
        <v>-7836.5</v>
      </c>
      <c r="CP95" s="294">
        <v>-51207.5</v>
      </c>
      <c r="CQ95" s="294">
        <v>-65875</v>
      </c>
      <c r="CR95" s="294">
        <v>-23995.75</v>
      </c>
      <c r="CS95" s="294">
        <v>-31642.5</v>
      </c>
      <c r="CT95" s="294">
        <v>-3704610.75</v>
      </c>
      <c r="CU95" s="294">
        <v>-93377.75</v>
      </c>
      <c r="CV95" s="294">
        <v>-232069.25</v>
      </c>
      <c r="CW95" s="294">
        <v>-322084.5</v>
      </c>
      <c r="CX95" s="294">
        <v>-48856.5</v>
      </c>
      <c r="CY95" s="294">
        <v>-188359.25</v>
      </c>
      <c r="CZ95" s="294">
        <v>-292017.25</v>
      </c>
      <c r="DA95" s="294">
        <v>-158430.5</v>
      </c>
      <c r="DB95" s="294">
        <v>-210000</v>
      </c>
      <c r="DC95" s="294">
        <v>-886806.5</v>
      </c>
      <c r="DD95" s="294">
        <v>-222.5</v>
      </c>
      <c r="DE95" s="294">
        <v>-1535</v>
      </c>
      <c r="DF95" s="294">
        <v>-7434.5</v>
      </c>
      <c r="DG95" s="294">
        <v>-845</v>
      </c>
      <c r="DH95" s="294">
        <v>-725030</v>
      </c>
      <c r="DI95" s="294">
        <v>-4618</v>
      </c>
      <c r="DJ95" s="294">
        <v>-51327.5</v>
      </c>
      <c r="DK95" s="294"/>
      <c r="DL95" s="294">
        <v>-16578</v>
      </c>
      <c r="DM95" s="294">
        <v>-12160.5</v>
      </c>
      <c r="DN95" s="294">
        <v>-57222</v>
      </c>
      <c r="DO95" s="294">
        <v>-3230</v>
      </c>
      <c r="DP95" s="294">
        <v>-14610.5</v>
      </c>
      <c r="DQ95" s="294">
        <v>-428579.5</v>
      </c>
      <c r="DR95" s="294">
        <v>-6391</v>
      </c>
      <c r="DS95" s="294">
        <v>-6090</v>
      </c>
      <c r="DT95" s="294">
        <v>-42553</v>
      </c>
      <c r="DU95" s="294">
        <v>-58233.5</v>
      </c>
      <c r="DV95" s="294">
        <v>-2370</v>
      </c>
      <c r="DW95" s="294"/>
      <c r="DX95" s="294">
        <v>-2758</v>
      </c>
      <c r="DY95" s="294">
        <v>-2827</v>
      </c>
      <c r="DZ95" s="294">
        <v>-705055.75</v>
      </c>
      <c r="EA95" s="294"/>
      <c r="EB95" s="294">
        <v>-69228</v>
      </c>
      <c r="EC95" s="294"/>
      <c r="ED95" s="294">
        <v>-34292.25</v>
      </c>
      <c r="EE95" s="294">
        <v>-18039</v>
      </c>
      <c r="EF95" s="294"/>
      <c r="EG95" s="294"/>
      <c r="EH95" s="294">
        <v>-3400</v>
      </c>
      <c r="EI95" s="294">
        <v>0</v>
      </c>
      <c r="EJ95" s="294"/>
      <c r="EK95" s="294">
        <v>-106049</v>
      </c>
      <c r="EL95" s="294">
        <v>-335836</v>
      </c>
      <c r="EM95" s="294"/>
      <c r="EN95" s="294">
        <v>-700</v>
      </c>
      <c r="EO95" s="294">
        <v>0</v>
      </c>
      <c r="EP95" s="294">
        <v>-259120.5</v>
      </c>
      <c r="EQ95" s="294"/>
      <c r="ER95" s="294"/>
      <c r="ES95" s="294"/>
      <c r="ET95" s="294">
        <v>-2696239.5</v>
      </c>
      <c r="EU95" s="294">
        <v>-22803.5</v>
      </c>
      <c r="EV95" s="294">
        <v>0</v>
      </c>
      <c r="EW95" s="294">
        <v>0</v>
      </c>
      <c r="EX95" s="294">
        <v>-45118.5</v>
      </c>
      <c r="EY95" s="294"/>
      <c r="EZ95" s="294">
        <v>-690</v>
      </c>
      <c r="FA95" s="294"/>
      <c r="FB95" s="294"/>
      <c r="FC95" s="294"/>
      <c r="FD95" s="294">
        <v>-47442.5</v>
      </c>
      <c r="FE95" s="294"/>
      <c r="FF95" s="294"/>
      <c r="FG95" s="294"/>
      <c r="FH95" s="294"/>
      <c r="FI95" s="294"/>
      <c r="FJ95" s="294"/>
      <c r="FK95" s="294"/>
      <c r="FL95" s="294">
        <v>-466380</v>
      </c>
      <c r="FM95" s="294"/>
      <c r="FN95" s="294"/>
      <c r="FO95" s="294"/>
      <c r="FP95" s="294"/>
      <c r="FQ95" s="294">
        <v>-99316</v>
      </c>
      <c r="FR95" s="294">
        <v>-96394</v>
      </c>
      <c r="FS95" s="294">
        <v>-45023</v>
      </c>
      <c r="FT95" s="294">
        <v>-257931.5</v>
      </c>
      <c r="FU95" s="294">
        <v>-98387.75</v>
      </c>
      <c r="FV95" s="294">
        <v>-21269</v>
      </c>
      <c r="FW95" s="294">
        <v>-602964.64</v>
      </c>
      <c r="FX95" s="294">
        <v>-103658</v>
      </c>
      <c r="FY95" s="294">
        <v>-456003.75</v>
      </c>
      <c r="FZ95" s="294">
        <v>-572852.64</v>
      </c>
      <c r="GA95" s="294">
        <v>-65647</v>
      </c>
      <c r="GB95" s="294">
        <v>-285846</v>
      </c>
      <c r="GC95" s="294">
        <v>-12732</v>
      </c>
      <c r="GD95" s="294">
        <v>-11525</v>
      </c>
      <c r="GE95" s="294">
        <v>-304400</v>
      </c>
      <c r="GF95" s="294"/>
      <c r="GG95" s="294">
        <v>0</v>
      </c>
      <c r="GH95" s="294"/>
      <c r="GI95" s="294">
        <v>-650</v>
      </c>
      <c r="GJ95" s="294"/>
      <c r="GK95" s="294"/>
      <c r="GL95" s="294"/>
      <c r="GM95" s="294"/>
      <c r="GN95" s="294"/>
      <c r="GO95" s="294"/>
      <c r="GP95" s="294"/>
      <c r="GQ95" s="294"/>
      <c r="GR95" s="294"/>
      <c r="GS95" s="294"/>
      <c r="GT95" s="294">
        <v>-195</v>
      </c>
      <c r="GU95" s="294"/>
      <c r="GV95" s="294"/>
      <c r="GW95" s="294">
        <v>-60784.25</v>
      </c>
      <c r="GX95" s="294"/>
      <c r="GY95" s="294">
        <v>-2741927.75</v>
      </c>
      <c r="GZ95" s="294">
        <v>-102000.5</v>
      </c>
      <c r="HA95" s="294">
        <v>-405757.75</v>
      </c>
      <c r="HB95" s="294">
        <v>-5892603.75</v>
      </c>
      <c r="HC95" s="294">
        <v>-2804852.75</v>
      </c>
      <c r="HD95" s="294">
        <v>-863863.65</v>
      </c>
      <c r="HE95" s="294">
        <v>-1895723.8</v>
      </c>
      <c r="HF95" s="294">
        <v>-2402338.3199999998</v>
      </c>
      <c r="HG95" s="294">
        <v>-1322005.75</v>
      </c>
      <c r="HH95" s="294">
        <v>-1595165.25</v>
      </c>
      <c r="HI95" s="294">
        <v>-274803</v>
      </c>
      <c r="HJ95" s="294"/>
      <c r="HK95" s="294">
        <v>-2347544.25</v>
      </c>
      <c r="HL95" s="294"/>
      <c r="HM95" s="294">
        <v>-5995.1</v>
      </c>
      <c r="HN95" s="294">
        <v>-110869</v>
      </c>
      <c r="HO95" s="294">
        <v>-7231</v>
      </c>
      <c r="HP95" s="294">
        <v>-11209.95</v>
      </c>
      <c r="HQ95" s="294">
        <v>-7762342.5999999996</v>
      </c>
      <c r="HR95" s="294">
        <v>0</v>
      </c>
      <c r="HS95" s="294"/>
      <c r="HT95" s="294">
        <v>-2948238.65</v>
      </c>
      <c r="HU95" s="294"/>
      <c r="HV95" s="294"/>
      <c r="HW95" s="294">
        <v>-3073088.55</v>
      </c>
      <c r="HX95" s="294"/>
      <c r="HY95" s="294">
        <v>-1000</v>
      </c>
      <c r="HZ95" s="294">
        <v>-153672.5</v>
      </c>
      <c r="IA95" s="294">
        <v>-113478</v>
      </c>
      <c r="IB95" s="294"/>
      <c r="IC95" s="294">
        <v>-2021684.75</v>
      </c>
      <c r="ID95" s="294">
        <v>0</v>
      </c>
      <c r="IE95" s="294"/>
      <c r="IF95" s="294"/>
      <c r="IG95" s="294">
        <v>-20874</v>
      </c>
      <c r="IH95" s="294">
        <v>-21679.5</v>
      </c>
      <c r="II95" s="294">
        <v>-26302.5</v>
      </c>
      <c r="IJ95" s="294">
        <v>-1389002</v>
      </c>
      <c r="IK95" s="294">
        <v>-1111270</v>
      </c>
      <c r="IL95" s="294">
        <v>-16276502.25</v>
      </c>
      <c r="IM95" s="294">
        <v>-11796642</v>
      </c>
      <c r="IN95" s="294">
        <v>-74219.5</v>
      </c>
      <c r="IO95" s="294">
        <v>-1472798.5</v>
      </c>
      <c r="IP95" s="294">
        <v>-256014.5</v>
      </c>
      <c r="IQ95" s="294">
        <v>-5043317.83</v>
      </c>
      <c r="IR95" s="294">
        <v>-47775</v>
      </c>
      <c r="IS95" s="294">
        <v>-31240</v>
      </c>
      <c r="IT95" s="294">
        <v>-1828</v>
      </c>
      <c r="IU95" s="294"/>
      <c r="IV95" s="294">
        <v>-6403</v>
      </c>
      <c r="IW95" s="294">
        <v>-11148</v>
      </c>
      <c r="IX95" s="294"/>
      <c r="IY95" s="294">
        <v>-528.25</v>
      </c>
      <c r="IZ95" s="294">
        <v>-1570.5</v>
      </c>
      <c r="JA95" s="294">
        <v>-8306</v>
      </c>
      <c r="JB95" s="294">
        <v>-438.75</v>
      </c>
      <c r="JC95" s="294"/>
      <c r="JD95" s="294">
        <v>-6268.75</v>
      </c>
      <c r="JE95" s="294">
        <v>-200601.25</v>
      </c>
      <c r="JF95" s="294">
        <v>-198789.93</v>
      </c>
      <c r="JG95" s="294">
        <v>-2250</v>
      </c>
      <c r="JH95" s="294">
        <v>-50</v>
      </c>
      <c r="JI95" s="294"/>
      <c r="JJ95" s="294">
        <v>-9540</v>
      </c>
      <c r="JK95" s="294">
        <v>-24411.93</v>
      </c>
      <c r="JL95" s="294">
        <v>-54571</v>
      </c>
      <c r="JM95" s="294">
        <v>-502690.59</v>
      </c>
      <c r="JN95" s="294"/>
      <c r="JO95" s="294">
        <v>-41701.75</v>
      </c>
      <c r="JP95" s="294"/>
      <c r="JQ95" s="294"/>
      <c r="JR95" s="294">
        <v>0</v>
      </c>
      <c r="JS95" s="294"/>
      <c r="JT95" s="294">
        <v>-6382</v>
      </c>
      <c r="JU95" s="294"/>
      <c r="JV95" s="294"/>
      <c r="JW95" s="294"/>
      <c r="JX95" s="294">
        <v>-57272</v>
      </c>
      <c r="JY95" s="294"/>
      <c r="JZ95" s="294"/>
      <c r="KA95" s="294"/>
      <c r="KB95" s="294"/>
      <c r="KC95" s="294"/>
      <c r="KD95" s="294"/>
      <c r="KE95" s="294"/>
      <c r="KF95" s="294"/>
      <c r="KG95" s="294"/>
      <c r="KH95" s="294">
        <v>-482309.27</v>
      </c>
      <c r="KI95" s="294">
        <v>-433909</v>
      </c>
      <c r="KJ95" s="294">
        <v>-292551</v>
      </c>
      <c r="KK95" s="294"/>
      <c r="KL95" s="294">
        <v>-3700</v>
      </c>
      <c r="KM95" s="294">
        <v>-61959</v>
      </c>
      <c r="KN95" s="294">
        <v>-478137</v>
      </c>
      <c r="KO95" s="294"/>
      <c r="KP95" s="294"/>
      <c r="KQ95" s="294">
        <v>-2907.5</v>
      </c>
      <c r="KR95" s="294">
        <v>-519567.75</v>
      </c>
      <c r="KS95" s="294">
        <v>-273905.25</v>
      </c>
      <c r="KT95" s="294"/>
      <c r="KU95" s="294">
        <v>-127435.75</v>
      </c>
      <c r="KV95" s="294">
        <v>-526685.35</v>
      </c>
      <c r="KW95" s="294">
        <v>-314291.5</v>
      </c>
      <c r="KX95" s="294"/>
      <c r="KY95" s="294">
        <v>-37950</v>
      </c>
      <c r="KZ95" s="294"/>
      <c r="LA95" s="294">
        <v>-34164.25</v>
      </c>
      <c r="LB95" s="294"/>
      <c r="LC95" s="294">
        <v>-6952.04</v>
      </c>
      <c r="LD95" s="294"/>
      <c r="LE95" s="294"/>
      <c r="LF95" s="294"/>
      <c r="LG95" s="294">
        <v>-1626528.2</v>
      </c>
      <c r="LH95" s="294"/>
      <c r="LI95" s="294"/>
      <c r="LJ95" s="294">
        <v>-3356.75</v>
      </c>
      <c r="LK95" s="294">
        <v>-51491</v>
      </c>
      <c r="LL95" s="294"/>
      <c r="LM95" s="294"/>
      <c r="LN95" s="294"/>
      <c r="LO95" s="294">
        <v>-3000</v>
      </c>
      <c r="LP95" s="294">
        <v>-3544.5</v>
      </c>
      <c r="LQ95" s="294"/>
      <c r="LR95" s="294"/>
      <c r="LS95" s="294"/>
      <c r="LT95" s="294"/>
      <c r="LU95" s="294"/>
      <c r="LV95" s="294"/>
      <c r="LW95" s="294">
        <v>-4000</v>
      </c>
      <c r="LX95" s="294"/>
      <c r="LY95" s="294">
        <v>-83100</v>
      </c>
      <c r="LZ95" s="294"/>
      <c r="MA95" s="294"/>
      <c r="MB95" s="294"/>
      <c r="MC95" s="294"/>
      <c r="MD95" s="294"/>
      <c r="ME95" s="294">
        <v>-787808</v>
      </c>
      <c r="MF95" s="294">
        <v>-87382</v>
      </c>
      <c r="MG95" s="294"/>
      <c r="MH95" s="294">
        <v>0</v>
      </c>
      <c r="MI95" s="294"/>
      <c r="MJ95" s="294">
        <v>0</v>
      </c>
      <c r="MK95" s="294"/>
      <c r="ML95" s="294">
        <v>0</v>
      </c>
      <c r="MM95" s="294"/>
      <c r="MN95" s="294">
        <v>0</v>
      </c>
      <c r="MO95" s="294">
        <v>0</v>
      </c>
      <c r="MP95" s="294">
        <v>0</v>
      </c>
      <c r="MQ95" s="294"/>
      <c r="MR95" s="294">
        <v>0</v>
      </c>
      <c r="MS95" s="294">
        <v>-204385.25</v>
      </c>
      <c r="MT95" s="294">
        <v>-18295.63</v>
      </c>
      <c r="MU95" s="294">
        <v>-2099912.25</v>
      </c>
      <c r="MV95" s="294">
        <v>0</v>
      </c>
      <c r="MW95" s="294"/>
      <c r="MX95" s="294">
        <v>-208302.97</v>
      </c>
      <c r="MY95" s="294"/>
      <c r="MZ95" s="294"/>
      <c r="NA95" s="294">
        <v>-20942</v>
      </c>
      <c r="NB95" s="294"/>
      <c r="NC95" s="294"/>
      <c r="ND95" s="294">
        <v>-374526.5</v>
      </c>
      <c r="NE95" s="294">
        <v>-1176724.3999999999</v>
      </c>
      <c r="NF95" s="294">
        <v>-86568.25</v>
      </c>
      <c r="NG95" s="294">
        <v>-1002256.25</v>
      </c>
      <c r="NH95" s="294">
        <v>-299769.3</v>
      </c>
      <c r="NI95" s="294">
        <v>-9092.25</v>
      </c>
      <c r="NJ95" s="294">
        <v>-279980.25</v>
      </c>
      <c r="NK95" s="294">
        <v>-542805.5</v>
      </c>
      <c r="NL95" s="294">
        <v>-16221</v>
      </c>
      <c r="NM95" s="294">
        <v>-365918.65</v>
      </c>
      <c r="NN95" s="294">
        <v>0</v>
      </c>
      <c r="NO95" s="294">
        <v>0</v>
      </c>
      <c r="NP95" s="294"/>
      <c r="NQ95" s="294"/>
      <c r="NR95" s="294"/>
      <c r="NS95" s="294"/>
      <c r="NT95" s="294">
        <v>-60322</v>
      </c>
      <c r="NU95" s="294"/>
      <c r="NV95" s="294"/>
      <c r="NW95" s="294">
        <v>-419803.5</v>
      </c>
      <c r="NX95" s="294">
        <v>-456179.25</v>
      </c>
      <c r="NY95" s="294">
        <v>-1659</v>
      </c>
      <c r="NZ95" s="294">
        <v>-5385.5</v>
      </c>
      <c r="OA95" s="294">
        <v>-206208.68</v>
      </c>
      <c r="OB95" s="294"/>
      <c r="OC95" s="294">
        <v>-25639</v>
      </c>
      <c r="OD95" s="294"/>
      <c r="OE95" s="294"/>
      <c r="OF95" s="294"/>
      <c r="OG95" s="294">
        <v>0</v>
      </c>
      <c r="OH95" s="294"/>
      <c r="OI95" s="294"/>
      <c r="OJ95" s="294">
        <v>-636871.55000000005</v>
      </c>
      <c r="OK95" s="294"/>
      <c r="OL95" s="294"/>
      <c r="OM95" s="294">
        <v>-9884425.5199999996</v>
      </c>
      <c r="ON95" s="294"/>
      <c r="OO95" s="294">
        <v>-298988.23</v>
      </c>
      <c r="OP95" s="294">
        <v>0</v>
      </c>
      <c r="OQ95" s="294">
        <v>-1159246.5</v>
      </c>
      <c r="OR95" s="294">
        <v>-2066472.85</v>
      </c>
      <c r="OS95" s="294">
        <v>-131492</v>
      </c>
      <c r="OT95" s="294"/>
      <c r="OU95" s="294">
        <v>-54304.25</v>
      </c>
      <c r="OV95" s="294">
        <v>0</v>
      </c>
      <c r="OW95" s="294">
        <v>-636766</v>
      </c>
      <c r="OX95" s="294">
        <v>-8954.5</v>
      </c>
      <c r="OY95" s="294"/>
      <c r="OZ95" s="294"/>
      <c r="PA95" s="294">
        <v>-6708</v>
      </c>
      <c r="PB95" s="294"/>
      <c r="PC95" s="294"/>
      <c r="PD95" s="294"/>
      <c r="PE95" s="294"/>
      <c r="PF95" s="294"/>
      <c r="PG95" s="294">
        <v>-30400</v>
      </c>
      <c r="PH95" s="294"/>
      <c r="PI95" s="294"/>
      <c r="PJ95" s="294"/>
      <c r="PK95" s="294"/>
      <c r="PL95" s="294">
        <v>-2814</v>
      </c>
      <c r="PM95" s="294">
        <v>-1230</v>
      </c>
      <c r="PN95" s="294"/>
      <c r="PO95" s="294"/>
      <c r="PP95" s="294"/>
      <c r="PQ95" s="294"/>
      <c r="PR95" s="294"/>
      <c r="PS95" s="294"/>
      <c r="PT95" s="294">
        <v>-948162.4</v>
      </c>
      <c r="PU95" s="294"/>
      <c r="PV95" s="294"/>
      <c r="PW95" s="294"/>
      <c r="PX95" s="294"/>
      <c r="PY95" s="294"/>
      <c r="PZ95" s="294"/>
      <c r="QA95" s="294"/>
      <c r="QB95" s="294"/>
      <c r="QC95" s="294"/>
      <c r="QD95" s="294">
        <v>0</v>
      </c>
      <c r="QE95" s="294">
        <v>0</v>
      </c>
      <c r="QF95" s="294"/>
      <c r="QG95" s="294"/>
      <c r="QH95" s="294"/>
      <c r="QI95" s="294"/>
      <c r="QJ95" s="294"/>
      <c r="QK95" s="294">
        <v>0</v>
      </c>
      <c r="QL95" s="294"/>
      <c r="QM95" s="294"/>
      <c r="QN95" s="294"/>
      <c r="QO95" s="294"/>
      <c r="QP95" s="294"/>
      <c r="QQ95" s="294"/>
      <c r="QR95" s="294"/>
      <c r="QS95" s="294"/>
      <c r="QT95" s="294">
        <v>-633293</v>
      </c>
      <c r="QU95" s="294">
        <v>-5460</v>
      </c>
      <c r="QV95" s="294"/>
      <c r="QW95" s="294">
        <v>-194844</v>
      </c>
      <c r="QX95" s="294"/>
      <c r="QY95" s="294"/>
      <c r="QZ95" s="294"/>
      <c r="RA95" s="294">
        <v>-154953</v>
      </c>
      <c r="RB95" s="294">
        <v>-174456</v>
      </c>
      <c r="RC95" s="294">
        <v>-166491.5</v>
      </c>
      <c r="RD95" s="294"/>
      <c r="RE95" s="294">
        <v>-13836</v>
      </c>
      <c r="RF95" s="294"/>
      <c r="RG95" s="294">
        <v>0</v>
      </c>
      <c r="RH95" s="294">
        <v>-3314</v>
      </c>
      <c r="RI95" s="294">
        <v>-1351</v>
      </c>
      <c r="RJ95" s="294"/>
      <c r="RK95" s="294">
        <v>-1478</v>
      </c>
      <c r="RL95" s="294">
        <v>-3203</v>
      </c>
      <c r="RM95" s="294">
        <v>-5400</v>
      </c>
      <c r="RN95" s="294">
        <v>-2875</v>
      </c>
      <c r="RO95" s="294">
        <v>-2913</v>
      </c>
      <c r="RP95" s="294">
        <v>-4554</v>
      </c>
      <c r="RQ95" s="294">
        <v>-3020</v>
      </c>
      <c r="RR95" s="294">
        <v>-2164</v>
      </c>
      <c r="RS95" s="294">
        <v>-2156</v>
      </c>
      <c r="RT95" s="294">
        <v>-4219</v>
      </c>
      <c r="RU95" s="294">
        <v>-2618</v>
      </c>
      <c r="RV95" s="294">
        <v>-10203</v>
      </c>
      <c r="RW95" s="294">
        <v>-791</v>
      </c>
      <c r="RX95" s="294">
        <v>-840</v>
      </c>
      <c r="RY95" s="294">
        <v>-5447</v>
      </c>
      <c r="RZ95" s="294"/>
      <c r="SA95" s="294"/>
      <c r="SB95" s="294"/>
      <c r="SC95" s="294">
        <v>-166900</v>
      </c>
      <c r="SD95" s="294">
        <v>-271272.5</v>
      </c>
      <c r="SE95" s="294">
        <v>-26762</v>
      </c>
      <c r="SF95" s="294">
        <v>-360</v>
      </c>
      <c r="SG95" s="294">
        <v>-170</v>
      </c>
      <c r="SH95" s="294">
        <v>-350355</v>
      </c>
      <c r="SI95" s="294"/>
      <c r="SJ95" s="294">
        <v>-324771</v>
      </c>
      <c r="SK95" s="294">
        <v>-8212</v>
      </c>
      <c r="SL95" s="294">
        <v>-138882.5</v>
      </c>
      <c r="SM95" s="294"/>
      <c r="SN95" s="294"/>
      <c r="SO95" s="294"/>
      <c r="SP95" s="294"/>
      <c r="SQ95" s="294"/>
      <c r="SR95" s="294"/>
      <c r="SS95" s="294">
        <v>-156533.5</v>
      </c>
      <c r="ST95" s="294"/>
      <c r="SU95" s="294"/>
      <c r="SV95" s="294"/>
      <c r="SW95" s="294"/>
      <c r="SX95" s="294"/>
      <c r="SY95" s="294"/>
      <c r="SZ95" s="294"/>
      <c r="TA95" s="294"/>
      <c r="TB95" s="294"/>
      <c r="TC95" s="294"/>
      <c r="TD95" s="294"/>
      <c r="TE95" s="294"/>
      <c r="TF95" s="294">
        <v>-31576</v>
      </c>
      <c r="TG95" s="294"/>
      <c r="TH95" s="294"/>
      <c r="TI95" s="294">
        <v>-123750</v>
      </c>
      <c r="TJ95" s="294">
        <v>-330</v>
      </c>
      <c r="TK95" s="294">
        <v>-360</v>
      </c>
      <c r="TL95" s="294">
        <v>-1097</v>
      </c>
      <c r="TM95" s="294">
        <v>-80</v>
      </c>
      <c r="TN95" s="294"/>
      <c r="TO95" s="294"/>
      <c r="TP95" s="294">
        <v>-161806.5</v>
      </c>
      <c r="TQ95" s="294"/>
      <c r="TR95" s="294"/>
      <c r="TS95" s="294">
        <v>0</v>
      </c>
      <c r="TT95" s="294">
        <v>-71839</v>
      </c>
      <c r="TU95" s="294">
        <v>-3938</v>
      </c>
      <c r="TV95" s="294">
        <v>-111</v>
      </c>
      <c r="TW95" s="294">
        <v>-274</v>
      </c>
      <c r="TX95" s="294"/>
      <c r="TY95" s="294">
        <v>-3518</v>
      </c>
      <c r="TZ95" s="294"/>
      <c r="UA95" s="294">
        <v>-750</v>
      </c>
      <c r="UB95" s="294"/>
      <c r="UC95" s="294"/>
      <c r="UD95" s="294"/>
      <c r="UE95" s="294"/>
      <c r="UF95" s="294"/>
      <c r="UG95" s="294"/>
      <c r="UH95" s="294">
        <v>-56018</v>
      </c>
      <c r="UI95" s="294">
        <v>-17316.5</v>
      </c>
      <c r="UJ95" s="294"/>
      <c r="UK95" s="294"/>
      <c r="UL95" s="294"/>
      <c r="UM95" s="294"/>
      <c r="UN95" s="294"/>
      <c r="UO95" s="294">
        <v>-360</v>
      </c>
      <c r="UP95" s="294">
        <v>0</v>
      </c>
      <c r="UQ95" s="294">
        <v>-29806.75</v>
      </c>
      <c r="UR95" s="294"/>
      <c r="US95" s="294">
        <v>-149539</v>
      </c>
      <c r="UT95" s="294"/>
      <c r="UU95" s="294">
        <v>-284820</v>
      </c>
      <c r="UV95" s="294">
        <v>-13317</v>
      </c>
      <c r="UW95" s="294">
        <v>-3009</v>
      </c>
      <c r="UX95" s="294"/>
      <c r="UY95" s="294">
        <v>-98434</v>
      </c>
      <c r="UZ95" s="294">
        <v>-209301.25</v>
      </c>
      <c r="VA95" s="294">
        <v>-28653</v>
      </c>
      <c r="VB95" s="294">
        <v>-30682</v>
      </c>
      <c r="VC95" s="294">
        <v>-2952</v>
      </c>
      <c r="VD95" s="294">
        <v>-4854.25</v>
      </c>
      <c r="VE95" s="294">
        <v>-61292</v>
      </c>
      <c r="VF95" s="294">
        <v>-109534.25</v>
      </c>
      <c r="VG95" s="294">
        <v>-4106</v>
      </c>
      <c r="VH95" s="294">
        <v>-300353.25</v>
      </c>
      <c r="VI95" s="294">
        <v>-637</v>
      </c>
      <c r="VJ95" s="294">
        <v>-1757</v>
      </c>
      <c r="VK95" s="294"/>
      <c r="VL95" s="294"/>
      <c r="VM95" s="294"/>
      <c r="VN95" s="294">
        <v>-3123080.75</v>
      </c>
      <c r="VO95" s="294">
        <v>-982805.85</v>
      </c>
      <c r="VP95" s="294"/>
      <c r="VQ95" s="294"/>
      <c r="VR95" s="294">
        <v>-16995.25</v>
      </c>
      <c r="VS95" s="294">
        <v>-26226.25</v>
      </c>
      <c r="VT95" s="294"/>
      <c r="VU95" s="294">
        <v>0</v>
      </c>
      <c r="VV95" s="294"/>
      <c r="VW95" s="294">
        <v>-3050</v>
      </c>
      <c r="VX95" s="294">
        <v>-7650</v>
      </c>
      <c r="VY95" s="294"/>
      <c r="VZ95" s="294">
        <v>-16150.5</v>
      </c>
      <c r="WA95" s="294"/>
      <c r="WB95" s="294">
        <v>0</v>
      </c>
      <c r="WC95" s="294">
        <v>-449289.6</v>
      </c>
      <c r="WD95" s="294">
        <v>-774089.75</v>
      </c>
      <c r="WE95" s="294"/>
      <c r="WF95" s="294">
        <v>-617305</v>
      </c>
      <c r="WG95" s="294">
        <v>-1804254.8</v>
      </c>
      <c r="WH95" s="294">
        <v>-448969.1</v>
      </c>
      <c r="WI95" s="294">
        <v>-46093.599999999999</v>
      </c>
      <c r="WJ95" s="294">
        <v>-357534.2</v>
      </c>
      <c r="WK95" s="294"/>
      <c r="WL95" s="294"/>
      <c r="WM95" s="294"/>
      <c r="WN95" s="294">
        <v>-2664822</v>
      </c>
      <c r="WO95" s="294"/>
      <c r="WP95" s="294"/>
      <c r="WQ95" s="294">
        <v>-759441.23</v>
      </c>
      <c r="WR95" s="294"/>
      <c r="WS95" s="294">
        <v>-86221.2</v>
      </c>
      <c r="WT95" s="294"/>
      <c r="WU95" s="294"/>
      <c r="WV95" s="294"/>
      <c r="WW95" s="294">
        <v>-61580</v>
      </c>
      <c r="WX95" s="294"/>
      <c r="WY95" s="294"/>
      <c r="WZ95" s="294"/>
      <c r="XA95" s="294"/>
      <c r="XB95" s="294"/>
      <c r="XC95" s="294">
        <v>-26162</v>
      </c>
      <c r="XD95" s="294"/>
      <c r="XE95" s="294"/>
      <c r="XF95" s="294"/>
      <c r="XG95" s="294"/>
      <c r="XH95" s="294"/>
      <c r="XI95" s="294"/>
      <c r="XJ95" s="294"/>
      <c r="XK95" s="294"/>
      <c r="XL95" s="294"/>
      <c r="XM95" s="294"/>
      <c r="XN95" s="294">
        <v>-2677</v>
      </c>
      <c r="XO95" s="294">
        <v>-2221</v>
      </c>
      <c r="XP95" s="294"/>
      <c r="XQ95" s="294"/>
      <c r="XR95" s="294"/>
      <c r="XS95" s="294"/>
      <c r="XT95" s="294"/>
      <c r="XU95" s="294"/>
      <c r="XV95" s="294">
        <v>0</v>
      </c>
      <c r="XW95" s="294"/>
      <c r="XX95" s="294"/>
      <c r="XY95" s="294">
        <v>-525</v>
      </c>
      <c r="XZ95" s="294"/>
      <c r="YA95" s="294"/>
      <c r="YB95" s="294"/>
      <c r="YC95" s="294"/>
      <c r="YD95" s="294"/>
      <c r="YE95" s="294"/>
      <c r="YF95" s="294">
        <v>-4217</v>
      </c>
      <c r="YG95" s="294">
        <v>-10149</v>
      </c>
      <c r="YH95" s="294">
        <v>0</v>
      </c>
      <c r="YI95" s="294">
        <v>-24759</v>
      </c>
      <c r="YJ95" s="294">
        <v>0</v>
      </c>
      <c r="YK95" s="294">
        <v>-1951.5</v>
      </c>
      <c r="YL95" s="294"/>
      <c r="YM95" s="294">
        <v>-2809</v>
      </c>
      <c r="YN95" s="294">
        <v>0</v>
      </c>
      <c r="YO95" s="294">
        <v>-1100</v>
      </c>
      <c r="YP95" s="294"/>
      <c r="YQ95" s="294"/>
      <c r="YR95" s="294"/>
      <c r="YS95" s="294">
        <v>-644</v>
      </c>
      <c r="YT95" s="294">
        <v>-704.5</v>
      </c>
      <c r="YU95" s="294"/>
      <c r="YV95" s="294"/>
      <c r="YW95" s="294"/>
      <c r="YX95" s="294"/>
      <c r="YY95" s="294"/>
      <c r="YZ95" s="294"/>
      <c r="ZA95" s="294"/>
      <c r="ZB95" s="294"/>
      <c r="ZC95" s="294"/>
      <c r="ZD95" s="294"/>
      <c r="ZE95" s="294"/>
      <c r="ZF95" s="294"/>
      <c r="ZG95" s="294"/>
      <c r="ZH95" s="294"/>
      <c r="ZI95" s="294"/>
      <c r="ZJ95" s="294"/>
      <c r="ZK95" s="294"/>
      <c r="ZL95" s="294"/>
      <c r="ZM95" s="294"/>
      <c r="ZN95" s="294"/>
      <c r="ZO95" s="294"/>
      <c r="ZP95" s="294"/>
      <c r="ZQ95" s="294"/>
      <c r="ZR95" s="294"/>
      <c r="ZS95" s="294"/>
      <c r="ZT95" s="294"/>
      <c r="ZU95" s="294"/>
      <c r="ZV95" s="294"/>
      <c r="ZW95" s="294"/>
      <c r="ZX95" s="294"/>
      <c r="ZY95" s="294"/>
      <c r="ZZ95" s="294"/>
      <c r="AAA95" s="294"/>
      <c r="AAB95" s="294"/>
      <c r="AAC95" s="294"/>
      <c r="AAD95" s="294"/>
      <c r="AAE95" s="294"/>
      <c r="AAF95" s="294"/>
      <c r="AAG95" s="294"/>
      <c r="AAH95" s="294"/>
      <c r="AAI95" s="294"/>
      <c r="AAJ95" s="294"/>
      <c r="AAK95" s="294"/>
      <c r="AAL95" s="294"/>
      <c r="AAM95" s="294"/>
      <c r="AAN95" s="294"/>
      <c r="AAO95" s="294">
        <v>-25400</v>
      </c>
      <c r="AAP95" s="294">
        <v>-450050</v>
      </c>
      <c r="AAQ95" s="294"/>
      <c r="AAR95" s="294">
        <v>-106711</v>
      </c>
      <c r="AAS95" s="294"/>
      <c r="AAT95" s="294"/>
      <c r="AAU95" s="294">
        <v>0</v>
      </c>
      <c r="AAV95" s="294"/>
      <c r="AAW95" s="294">
        <v>-208421.5</v>
      </c>
      <c r="AAX95" s="294"/>
      <c r="AAY95" s="294"/>
      <c r="AAZ95" s="294">
        <v>-4470</v>
      </c>
      <c r="ABA95" s="294">
        <v>-3375242.75</v>
      </c>
      <c r="ABB95" s="294"/>
      <c r="ABC95" s="294">
        <v>-16970</v>
      </c>
      <c r="ABD95" s="294">
        <v>-1200</v>
      </c>
      <c r="ABE95" s="294"/>
      <c r="ABF95" s="294">
        <v>-217591</v>
      </c>
      <c r="ABG95" s="294"/>
      <c r="ABH95" s="294"/>
      <c r="ABI95" s="294">
        <v>-33220</v>
      </c>
      <c r="ABJ95" s="294"/>
      <c r="ABK95" s="294">
        <v>0</v>
      </c>
      <c r="ABL95" s="294"/>
      <c r="ABM95" s="294">
        <v>-2210</v>
      </c>
      <c r="ABN95" s="294">
        <v>-494809</v>
      </c>
      <c r="ABO95" s="294"/>
      <c r="ABP95" s="294"/>
      <c r="ABQ95" s="294"/>
      <c r="ABR95" s="294"/>
      <c r="ABS95" s="294"/>
      <c r="ABT95" s="294"/>
      <c r="ABU95" s="294"/>
      <c r="ABV95" s="294"/>
      <c r="ABW95" s="294"/>
      <c r="ABX95" s="294">
        <v>0</v>
      </c>
      <c r="ABY95" s="294"/>
      <c r="ABZ95" s="294"/>
      <c r="ACA95" s="294">
        <v>-1295</v>
      </c>
      <c r="ACB95" s="294"/>
      <c r="ACC95" s="294">
        <v>-89785.71</v>
      </c>
      <c r="ACD95" s="294"/>
      <c r="ACE95" s="294"/>
      <c r="ACF95" s="294">
        <v>0</v>
      </c>
      <c r="ACG95" s="294"/>
      <c r="ACH95" s="294"/>
      <c r="ACI95" s="294">
        <v>-12221.07</v>
      </c>
      <c r="ACJ95" s="294">
        <v>-12624</v>
      </c>
      <c r="ACK95" s="294">
        <v>-12480</v>
      </c>
      <c r="ACL95" s="294">
        <v>-9240</v>
      </c>
      <c r="ACM95" s="294"/>
      <c r="ACN95" s="294"/>
      <c r="ACO95" s="294"/>
      <c r="ACP95" s="294">
        <v>-13440</v>
      </c>
      <c r="ACQ95" s="294"/>
      <c r="ACR95" s="294"/>
      <c r="ACS95" s="294">
        <v>-1353</v>
      </c>
      <c r="ACT95" s="294"/>
      <c r="ACU95" s="294"/>
      <c r="ACV95" s="294"/>
      <c r="ACW95" s="294">
        <v>-200</v>
      </c>
      <c r="ACX95" s="294">
        <v>-300200</v>
      </c>
      <c r="ACY95" s="294"/>
      <c r="ACZ95" s="294"/>
      <c r="ADA95" s="294">
        <v>-83854.75</v>
      </c>
      <c r="ADB95" s="294"/>
      <c r="ADC95" s="294"/>
      <c r="ADD95" s="294"/>
      <c r="ADE95" s="294"/>
      <c r="ADF95" s="294"/>
      <c r="ADG95" s="294"/>
      <c r="ADH95" s="294"/>
      <c r="ADI95" s="294"/>
      <c r="ADJ95" s="294">
        <v>0</v>
      </c>
      <c r="ADK95" s="294"/>
      <c r="ADL95" s="294"/>
      <c r="ADM95" s="294"/>
      <c r="ADN95" s="294"/>
      <c r="ADO95" s="294"/>
      <c r="ADP95" s="294"/>
      <c r="ADQ95" s="294"/>
      <c r="ADR95" s="294"/>
      <c r="ADS95" s="294"/>
      <c r="ADT95" s="294"/>
      <c r="ADU95" s="294"/>
      <c r="ADV95" s="294"/>
      <c r="ADW95" s="294"/>
      <c r="ADX95" s="294"/>
      <c r="ADY95" s="294">
        <v>-6012</v>
      </c>
      <c r="ADZ95" s="294"/>
      <c r="AEA95" s="294">
        <v>-261845</v>
      </c>
      <c r="AEB95" s="294">
        <v>-5643.5</v>
      </c>
      <c r="AEC95" s="294"/>
      <c r="AED95" s="294">
        <v>0</v>
      </c>
      <c r="AEE95" s="294"/>
      <c r="AEF95" s="294">
        <v>-2320</v>
      </c>
      <c r="AEG95" s="294"/>
      <c r="AEH95" s="294">
        <v>-1220</v>
      </c>
      <c r="AEI95" s="294">
        <v>-131548</v>
      </c>
      <c r="AEJ95" s="294">
        <v>-3756</v>
      </c>
      <c r="AEK95" s="294">
        <v>-3079</v>
      </c>
      <c r="AEL95" s="294">
        <v>-1922</v>
      </c>
      <c r="AEM95" s="294">
        <v>-4750</v>
      </c>
      <c r="AEN95" s="294"/>
      <c r="AEO95" s="294"/>
      <c r="AEP95" s="294"/>
      <c r="AEQ95" s="294">
        <v>-265</v>
      </c>
      <c r="AER95" s="294"/>
      <c r="AES95" s="294">
        <v>0</v>
      </c>
      <c r="AET95" s="294">
        <v>-558225.25</v>
      </c>
      <c r="AEU95" s="294">
        <v>-34925.5</v>
      </c>
      <c r="AEV95" s="294">
        <v>-117989.75</v>
      </c>
      <c r="AEW95" s="294">
        <v>-34017</v>
      </c>
      <c r="AEX95" s="294">
        <v>-584074.75</v>
      </c>
      <c r="AEY95" s="294">
        <v>-108702.5</v>
      </c>
      <c r="AEZ95" s="294">
        <v>-52212.5</v>
      </c>
      <c r="AFA95" s="294">
        <v>-3113</v>
      </c>
      <c r="AFB95" s="294">
        <v>-3090.5</v>
      </c>
      <c r="AFC95" s="294"/>
      <c r="AFD95" s="294">
        <v>0</v>
      </c>
      <c r="AFE95" s="294"/>
      <c r="AFF95" s="294"/>
      <c r="AFG95" s="294"/>
      <c r="AFH95" s="294">
        <v>-5270</v>
      </c>
      <c r="AFI95" s="294"/>
      <c r="AFJ95" s="294"/>
      <c r="AFK95" s="294"/>
      <c r="AFL95" s="294"/>
      <c r="AFM95" s="294"/>
      <c r="AFN95" s="294"/>
      <c r="AFO95" s="294"/>
      <c r="AFP95" s="294">
        <v>-8726</v>
      </c>
      <c r="AFQ95" s="294">
        <v>-20301</v>
      </c>
      <c r="AFR95" s="294">
        <v>-29982</v>
      </c>
      <c r="AFS95" s="294">
        <v>-11529</v>
      </c>
      <c r="AFT95" s="294">
        <v>-610</v>
      </c>
      <c r="AFU95" s="294">
        <v>-3912</v>
      </c>
      <c r="AFV95" s="294"/>
      <c r="AFW95" s="294">
        <v>-8955</v>
      </c>
      <c r="AFX95" s="294"/>
      <c r="AFY95" s="294">
        <v>-1852.5</v>
      </c>
      <c r="AFZ95" s="294">
        <v>-20120</v>
      </c>
      <c r="AGA95" s="294"/>
      <c r="AGB95" s="294"/>
      <c r="AGC95" s="294">
        <v>-32151.19</v>
      </c>
      <c r="AGD95" s="294"/>
      <c r="AGE95" s="294">
        <v>-261198.75</v>
      </c>
      <c r="AGF95" s="294">
        <v>-591552.21</v>
      </c>
      <c r="AGG95" s="294">
        <v>-1800</v>
      </c>
      <c r="AGH95" s="294"/>
      <c r="AGI95" s="294">
        <v>0</v>
      </c>
      <c r="AGJ95" s="294"/>
      <c r="AGK95" s="294">
        <v>-217355.75</v>
      </c>
      <c r="AGL95" s="294"/>
      <c r="AGM95" s="294"/>
      <c r="AGN95" s="294"/>
      <c r="AGO95" s="294"/>
      <c r="AGP95" s="294">
        <v>-15711.5</v>
      </c>
      <c r="AGQ95" s="294"/>
      <c r="AGR95" s="294">
        <v>-5050</v>
      </c>
      <c r="AGS95" s="294"/>
      <c r="AGT95" s="294">
        <v>0</v>
      </c>
      <c r="AGU95" s="294">
        <v>-366815</v>
      </c>
      <c r="AGV95" s="294">
        <v>-49843</v>
      </c>
      <c r="AGW95" s="294">
        <v>-104051.6</v>
      </c>
      <c r="AGX95" s="294">
        <v>-7803</v>
      </c>
      <c r="AGY95" s="294">
        <v>-48175.73</v>
      </c>
      <c r="AGZ95" s="294">
        <v>0</v>
      </c>
      <c r="AHA95" s="294">
        <v>-206611</v>
      </c>
      <c r="AHB95" s="294">
        <v>-224519.07</v>
      </c>
      <c r="AHC95" s="294">
        <v>-377227.59</v>
      </c>
      <c r="AHD95" s="294">
        <v>-222475.75</v>
      </c>
      <c r="AHE95" s="294">
        <v>-69455</v>
      </c>
      <c r="AHF95" s="294">
        <v>-157382</v>
      </c>
      <c r="AHG95" s="294">
        <v>-53620</v>
      </c>
      <c r="AHH95" s="294">
        <v>-58010.75</v>
      </c>
      <c r="AHI95" s="294">
        <v>-110235</v>
      </c>
      <c r="AHJ95" s="294"/>
      <c r="AHK95" s="294">
        <v>-366937</v>
      </c>
      <c r="AHL95" s="294"/>
      <c r="AHM95" s="294">
        <v>-80862.25</v>
      </c>
      <c r="AHN95" s="294">
        <v>-241751</v>
      </c>
      <c r="AHO95" s="294"/>
      <c r="AHP95" s="294"/>
      <c r="AHQ95" s="294">
        <v>-965871.97</v>
      </c>
      <c r="AHR95" s="331"/>
      <c r="AHS95" s="294">
        <f t="shared" si="51"/>
        <v>-165466790.23999995</v>
      </c>
      <c r="AHT95" s="269" t="b">
        <f t="shared" si="52"/>
        <v>1</v>
      </c>
      <c r="AHU95" s="269" t="s">
        <v>6278</v>
      </c>
      <c r="AHV95" s="269" t="s">
        <v>6133</v>
      </c>
      <c r="AHW95" s="269" t="s">
        <v>6134</v>
      </c>
    </row>
    <row r="96" spans="1:907" ht="24.6" x14ac:dyDescent="0.7">
      <c r="A96" s="268" t="s">
        <v>6278</v>
      </c>
      <c r="B96" s="268" t="s">
        <v>6135</v>
      </c>
      <c r="C96" s="269" t="s">
        <v>6136</v>
      </c>
      <c r="D96" s="294">
        <v>0</v>
      </c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4"/>
      <c r="BT96" s="294"/>
      <c r="BU96" s="294"/>
      <c r="BV96" s="294"/>
      <c r="BW96" s="294"/>
      <c r="BX96" s="294"/>
      <c r="BY96" s="294"/>
      <c r="BZ96" s="294">
        <v>0</v>
      </c>
      <c r="CA96" s="294"/>
      <c r="CB96" s="294"/>
      <c r="CC96" s="294"/>
      <c r="CD96" s="294"/>
      <c r="CE96" s="294"/>
      <c r="CF96" s="294"/>
      <c r="CG96" s="294">
        <v>-1785543.75</v>
      </c>
      <c r="CH96" s="294"/>
      <c r="CI96" s="294"/>
      <c r="CJ96" s="294"/>
      <c r="CK96" s="294"/>
      <c r="CL96" s="294"/>
      <c r="CM96" s="294"/>
      <c r="CN96" s="294"/>
      <c r="CO96" s="294"/>
      <c r="CP96" s="294"/>
      <c r="CQ96" s="294"/>
      <c r="CR96" s="294"/>
      <c r="CS96" s="294"/>
      <c r="CT96" s="294">
        <v>-10655410.060000001</v>
      </c>
      <c r="CU96" s="294"/>
      <c r="CV96" s="294"/>
      <c r="CW96" s="294"/>
      <c r="CX96" s="294"/>
      <c r="CY96" s="294"/>
      <c r="CZ96" s="294"/>
      <c r="DA96" s="294"/>
      <c r="DB96" s="294"/>
      <c r="DC96" s="294">
        <v>-2100197.9500000002</v>
      </c>
      <c r="DD96" s="294"/>
      <c r="DE96" s="294"/>
      <c r="DF96" s="294"/>
      <c r="DG96" s="294"/>
      <c r="DH96" s="294"/>
      <c r="DI96" s="294"/>
      <c r="DJ96" s="294"/>
      <c r="DK96" s="294"/>
      <c r="DL96" s="294"/>
      <c r="DM96" s="294"/>
      <c r="DN96" s="294"/>
      <c r="DO96" s="294"/>
      <c r="DP96" s="294"/>
      <c r="DQ96" s="294"/>
      <c r="DR96" s="294"/>
      <c r="DS96" s="294"/>
      <c r="DT96" s="294"/>
      <c r="DU96" s="294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>
        <v>-1932231.53</v>
      </c>
      <c r="EF96" s="294">
        <v>-1180214.42</v>
      </c>
      <c r="EG96" s="294"/>
      <c r="EH96" s="294"/>
      <c r="EI96" s="294">
        <v>-12250</v>
      </c>
      <c r="EJ96" s="294"/>
      <c r="EK96" s="294"/>
      <c r="EL96" s="294"/>
      <c r="EM96" s="294"/>
      <c r="EN96" s="294">
        <v>-1337366.94</v>
      </c>
      <c r="EO96" s="294"/>
      <c r="EP96" s="294"/>
      <c r="EQ96" s="294"/>
      <c r="ER96" s="294"/>
      <c r="ES96" s="294"/>
      <c r="ET96" s="294"/>
      <c r="EU96" s="294"/>
      <c r="EV96" s="294"/>
      <c r="EW96" s="294">
        <v>-5946227.0999999996</v>
      </c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  <c r="FI96" s="294"/>
      <c r="FJ96" s="294"/>
      <c r="FK96" s="294"/>
      <c r="FL96" s="294"/>
      <c r="FM96" s="294"/>
      <c r="FN96" s="294"/>
      <c r="FO96" s="294"/>
      <c r="FP96" s="294"/>
      <c r="FQ96" s="294"/>
      <c r="FR96" s="294"/>
      <c r="FS96" s="294"/>
      <c r="FT96" s="294"/>
      <c r="FU96" s="294"/>
      <c r="FV96" s="294"/>
      <c r="FW96" s="294"/>
      <c r="FX96" s="294"/>
      <c r="FY96" s="294"/>
      <c r="FZ96" s="294"/>
      <c r="GA96" s="294"/>
      <c r="GB96" s="294"/>
      <c r="GC96" s="294"/>
      <c r="GD96" s="294"/>
      <c r="GE96" s="294">
        <v>-1663419.28</v>
      </c>
      <c r="GF96" s="294"/>
      <c r="GG96" s="294"/>
      <c r="GH96" s="294"/>
      <c r="GI96" s="294"/>
      <c r="GJ96" s="294"/>
      <c r="GK96" s="294"/>
      <c r="GL96" s="294"/>
      <c r="GM96" s="294"/>
      <c r="GN96" s="294"/>
      <c r="GO96" s="294"/>
      <c r="GP96" s="294"/>
      <c r="GQ96" s="294"/>
      <c r="GR96" s="294"/>
      <c r="GS96" s="294"/>
      <c r="GT96" s="294"/>
      <c r="GU96" s="294"/>
      <c r="GV96" s="294"/>
      <c r="GW96" s="294"/>
      <c r="GX96" s="294"/>
      <c r="GY96" s="294">
        <v>-1705506.72</v>
      </c>
      <c r="GZ96" s="294"/>
      <c r="HA96" s="294"/>
      <c r="HB96" s="294"/>
      <c r="HC96" s="294"/>
      <c r="HD96" s="294"/>
      <c r="HE96" s="294"/>
      <c r="HF96" s="294"/>
      <c r="HG96" s="294"/>
      <c r="HH96" s="294"/>
      <c r="HI96" s="294"/>
      <c r="HJ96" s="294"/>
      <c r="HK96" s="294"/>
      <c r="HL96" s="294"/>
      <c r="HM96" s="294"/>
      <c r="HN96" s="294"/>
      <c r="HO96" s="294"/>
      <c r="HP96" s="294"/>
      <c r="HQ96" s="294"/>
      <c r="HR96" s="294">
        <v>-3747023.75</v>
      </c>
      <c r="HS96" s="294">
        <v>-10393490.210000001</v>
      </c>
      <c r="HT96" s="294"/>
      <c r="HU96" s="294"/>
      <c r="HV96" s="294"/>
      <c r="HW96" s="294"/>
      <c r="HX96" s="294"/>
      <c r="HY96" s="294"/>
      <c r="HZ96" s="294"/>
      <c r="IA96" s="294"/>
      <c r="IB96" s="294"/>
      <c r="IC96" s="294"/>
      <c r="ID96" s="294"/>
      <c r="IE96" s="294"/>
      <c r="IF96" s="294"/>
      <c r="IG96" s="294"/>
      <c r="IH96" s="294"/>
      <c r="II96" s="294">
        <v>0</v>
      </c>
      <c r="IJ96" s="294"/>
      <c r="IK96" s="294"/>
      <c r="IL96" s="294"/>
      <c r="IM96" s="294"/>
      <c r="IN96" s="294"/>
      <c r="IO96" s="294"/>
      <c r="IP96" s="294"/>
      <c r="IQ96" s="294"/>
      <c r="IR96" s="294"/>
      <c r="IS96" s="294">
        <v>-5891125.3700000001</v>
      </c>
      <c r="IT96" s="294"/>
      <c r="IU96" s="294"/>
      <c r="IV96" s="294"/>
      <c r="IW96" s="294"/>
      <c r="IX96" s="294"/>
      <c r="IY96" s="294"/>
      <c r="IZ96" s="294"/>
      <c r="JA96" s="294"/>
      <c r="JB96" s="294"/>
      <c r="JC96" s="294"/>
      <c r="JD96" s="294"/>
      <c r="JE96" s="294">
        <v>-265164.59999999998</v>
      </c>
      <c r="JF96" s="294">
        <v>-1246261.75</v>
      </c>
      <c r="JG96" s="294"/>
      <c r="JH96" s="294"/>
      <c r="JI96" s="294"/>
      <c r="JJ96" s="294"/>
      <c r="JK96" s="294">
        <v>-34223601.689999998</v>
      </c>
      <c r="JL96" s="294"/>
      <c r="JM96" s="294"/>
      <c r="JN96" s="294"/>
      <c r="JO96" s="294"/>
      <c r="JP96" s="294"/>
      <c r="JQ96" s="294"/>
      <c r="JR96" s="294">
        <v>-1237248.96</v>
      </c>
      <c r="JS96" s="294">
        <v>-183053.25</v>
      </c>
      <c r="JT96" s="294"/>
      <c r="JU96" s="294"/>
      <c r="JV96" s="294"/>
      <c r="JW96" s="294"/>
      <c r="JX96" s="294"/>
      <c r="JY96" s="294"/>
      <c r="JZ96" s="294"/>
      <c r="KA96" s="294"/>
      <c r="KB96" s="294"/>
      <c r="KC96" s="294"/>
      <c r="KD96" s="294"/>
      <c r="KE96" s="294"/>
      <c r="KF96" s="294"/>
      <c r="KG96" s="294"/>
      <c r="KH96" s="294"/>
      <c r="KI96" s="294"/>
      <c r="KJ96" s="294"/>
      <c r="KK96" s="294"/>
      <c r="KL96" s="294"/>
      <c r="KM96" s="294"/>
      <c r="KN96" s="294"/>
      <c r="KO96" s="294"/>
      <c r="KP96" s="294"/>
      <c r="KQ96" s="294">
        <v>-11535004.880000001</v>
      </c>
      <c r="KR96" s="294"/>
      <c r="KS96" s="294"/>
      <c r="KT96" s="294">
        <v>-1426248.06</v>
      </c>
      <c r="KU96" s="294"/>
      <c r="KV96" s="294"/>
      <c r="KW96" s="294">
        <v>-13352835.68</v>
      </c>
      <c r="KX96" s="294"/>
      <c r="KY96" s="294">
        <v>-624494</v>
      </c>
      <c r="KZ96" s="294"/>
      <c r="LA96" s="294"/>
      <c r="LB96" s="294"/>
      <c r="LC96" s="294"/>
      <c r="LD96" s="294"/>
      <c r="LE96" s="294"/>
      <c r="LF96" s="294"/>
      <c r="LG96" s="294"/>
      <c r="LH96" s="294">
        <v>-252254.5</v>
      </c>
      <c r="LI96" s="294">
        <v>-4818277.13</v>
      </c>
      <c r="LJ96" s="294">
        <v>-5616515.5</v>
      </c>
      <c r="LK96" s="294"/>
      <c r="LL96" s="294"/>
      <c r="LM96" s="294"/>
      <c r="LN96" s="294"/>
      <c r="LO96" s="294"/>
      <c r="LP96" s="294"/>
      <c r="LQ96" s="294"/>
      <c r="LR96" s="294">
        <v>-3313839.06</v>
      </c>
      <c r="LS96" s="294"/>
      <c r="LT96" s="294"/>
      <c r="LU96" s="294">
        <v>-13605020.08</v>
      </c>
      <c r="LV96" s="294">
        <v>-3732873.5</v>
      </c>
      <c r="LW96" s="294">
        <v>-11165246.5</v>
      </c>
      <c r="LX96" s="294">
        <v>-763590.48</v>
      </c>
      <c r="LY96" s="294"/>
      <c r="LZ96" s="294"/>
      <c r="MA96" s="294"/>
      <c r="MB96" s="294"/>
      <c r="MC96" s="294"/>
      <c r="MD96" s="294"/>
      <c r="ME96" s="294">
        <v>-4763010.92</v>
      </c>
      <c r="MF96" s="294"/>
      <c r="MG96" s="294"/>
      <c r="MH96" s="294"/>
      <c r="MI96" s="294"/>
      <c r="MJ96" s="294"/>
      <c r="MK96" s="294"/>
      <c r="ML96" s="294"/>
      <c r="MM96" s="294"/>
      <c r="MN96" s="294"/>
      <c r="MO96" s="294"/>
      <c r="MP96" s="294"/>
      <c r="MQ96" s="294"/>
      <c r="MR96" s="294"/>
      <c r="MS96" s="294">
        <v>-7842758.6100000003</v>
      </c>
      <c r="MT96" s="294"/>
      <c r="MU96" s="294"/>
      <c r="MV96" s="294"/>
      <c r="MW96" s="294"/>
      <c r="MX96" s="294"/>
      <c r="MY96" s="294"/>
      <c r="MZ96" s="294"/>
      <c r="NA96" s="294"/>
      <c r="NB96" s="294"/>
      <c r="NC96" s="294"/>
      <c r="ND96" s="294">
        <v>0</v>
      </c>
      <c r="NE96" s="294"/>
      <c r="NF96" s="294"/>
      <c r="NG96" s="294"/>
      <c r="NH96" s="294"/>
      <c r="NI96" s="294"/>
      <c r="NJ96" s="294">
        <v>-15663246.119999999</v>
      </c>
      <c r="NK96" s="294">
        <v>-411565</v>
      </c>
      <c r="NL96" s="294"/>
      <c r="NM96" s="294"/>
      <c r="NN96" s="294"/>
      <c r="NO96" s="294"/>
      <c r="NP96" s="294">
        <v>0</v>
      </c>
      <c r="NQ96" s="294"/>
      <c r="NR96" s="294"/>
      <c r="NS96" s="294"/>
      <c r="NT96" s="294"/>
      <c r="NU96" s="294"/>
      <c r="NV96" s="294"/>
      <c r="NW96" s="294">
        <v>-12360631.49</v>
      </c>
      <c r="NX96" s="294">
        <v>-3373931.96</v>
      </c>
      <c r="NY96" s="294"/>
      <c r="NZ96" s="294"/>
      <c r="OA96" s="294"/>
      <c r="OB96" s="294"/>
      <c r="OC96" s="294"/>
      <c r="OD96" s="294">
        <v>-21920</v>
      </c>
      <c r="OE96" s="294"/>
      <c r="OF96" s="294"/>
      <c r="OG96" s="294"/>
      <c r="OH96" s="294"/>
      <c r="OI96" s="294"/>
      <c r="OJ96" s="294"/>
      <c r="OK96" s="294"/>
      <c r="OL96" s="294"/>
      <c r="OM96" s="294">
        <v>-28507</v>
      </c>
      <c r="ON96" s="294">
        <v>-6099654.9800000004</v>
      </c>
      <c r="OO96" s="294">
        <v>-798996.66</v>
      </c>
      <c r="OP96" s="294"/>
      <c r="OQ96" s="294"/>
      <c r="OR96" s="294"/>
      <c r="OS96" s="294">
        <v>-4188793.71</v>
      </c>
      <c r="OT96" s="294"/>
      <c r="OU96" s="294"/>
      <c r="OV96" s="294"/>
      <c r="OW96" s="294"/>
      <c r="OX96" s="294"/>
      <c r="OY96" s="294"/>
      <c r="OZ96" s="294"/>
      <c r="PA96" s="294"/>
      <c r="PB96" s="294">
        <v>-6524868.0099999998</v>
      </c>
      <c r="PC96" s="294"/>
      <c r="PD96" s="294"/>
      <c r="PE96" s="294"/>
      <c r="PF96" s="294"/>
      <c r="PG96" s="294"/>
      <c r="PH96" s="294"/>
      <c r="PI96" s="294"/>
      <c r="PJ96" s="294"/>
      <c r="PK96" s="294"/>
      <c r="PL96" s="294"/>
      <c r="PM96" s="294"/>
      <c r="PN96" s="294"/>
      <c r="PO96" s="294"/>
      <c r="PP96" s="294"/>
      <c r="PQ96" s="294"/>
      <c r="PR96" s="294"/>
      <c r="PS96" s="294"/>
      <c r="PT96" s="294">
        <v>-4798082.41</v>
      </c>
      <c r="PU96" s="294"/>
      <c r="PV96" s="294"/>
      <c r="PW96" s="294"/>
      <c r="PX96" s="294"/>
      <c r="PY96" s="294"/>
      <c r="PZ96" s="294"/>
      <c r="QA96" s="294"/>
      <c r="QB96" s="294"/>
      <c r="QC96" s="294"/>
      <c r="QD96" s="294"/>
      <c r="QE96" s="294"/>
      <c r="QF96" s="294"/>
      <c r="QG96" s="294"/>
      <c r="QH96" s="294"/>
      <c r="QI96" s="294"/>
      <c r="QJ96" s="294"/>
      <c r="QK96" s="294"/>
      <c r="QL96" s="294"/>
      <c r="QM96" s="294"/>
      <c r="QN96" s="294"/>
      <c r="QO96" s="294"/>
      <c r="QP96" s="294"/>
      <c r="QQ96" s="294"/>
      <c r="QR96" s="294"/>
      <c r="QS96" s="294"/>
      <c r="QT96" s="294"/>
      <c r="QU96" s="294"/>
      <c r="QV96" s="294"/>
      <c r="QW96" s="294"/>
      <c r="QX96" s="294"/>
      <c r="QY96" s="294"/>
      <c r="QZ96" s="294"/>
      <c r="RA96" s="294"/>
      <c r="RB96" s="294"/>
      <c r="RC96" s="294"/>
      <c r="RD96" s="294"/>
      <c r="RE96" s="294"/>
      <c r="RF96" s="294"/>
      <c r="RG96" s="294"/>
      <c r="RH96" s="294"/>
      <c r="RI96" s="294"/>
      <c r="RJ96" s="294"/>
      <c r="RK96" s="294"/>
      <c r="RL96" s="294"/>
      <c r="RM96" s="294"/>
      <c r="RN96" s="294"/>
      <c r="RO96" s="294"/>
      <c r="RP96" s="294"/>
      <c r="RQ96" s="294"/>
      <c r="RR96" s="294"/>
      <c r="RS96" s="294"/>
      <c r="RT96" s="294"/>
      <c r="RU96" s="294"/>
      <c r="RV96" s="294"/>
      <c r="RW96" s="294"/>
      <c r="RX96" s="294"/>
      <c r="RY96" s="294"/>
      <c r="RZ96" s="294"/>
      <c r="SA96" s="294"/>
      <c r="SB96" s="294"/>
      <c r="SC96" s="294"/>
      <c r="SD96" s="294"/>
      <c r="SE96" s="294"/>
      <c r="SF96" s="294"/>
      <c r="SG96" s="294"/>
      <c r="SH96" s="294"/>
      <c r="SI96" s="294"/>
      <c r="SJ96" s="294"/>
      <c r="SK96" s="294"/>
      <c r="SL96" s="294"/>
      <c r="SM96" s="294">
        <v>-1523696.35</v>
      </c>
      <c r="SN96" s="294"/>
      <c r="SO96" s="294"/>
      <c r="SP96" s="294"/>
      <c r="SQ96" s="294"/>
      <c r="SR96" s="294"/>
      <c r="SS96" s="294"/>
      <c r="ST96" s="294"/>
      <c r="SU96" s="294"/>
      <c r="SV96" s="294"/>
      <c r="SW96" s="294"/>
      <c r="SX96" s="294"/>
      <c r="SY96" s="294"/>
      <c r="SZ96" s="294"/>
      <c r="TA96" s="294"/>
      <c r="TB96" s="294"/>
      <c r="TC96" s="294"/>
      <c r="TD96" s="294"/>
      <c r="TE96" s="294"/>
      <c r="TF96" s="294"/>
      <c r="TG96" s="294"/>
      <c r="TH96" s="294"/>
      <c r="TI96" s="294"/>
      <c r="TJ96" s="294"/>
      <c r="TK96" s="294"/>
      <c r="TL96" s="294"/>
      <c r="TM96" s="294"/>
      <c r="TN96" s="294"/>
      <c r="TO96" s="294"/>
      <c r="TP96" s="294"/>
      <c r="TQ96" s="294"/>
      <c r="TR96" s="294"/>
      <c r="TS96" s="294"/>
      <c r="TT96" s="294"/>
      <c r="TU96" s="294"/>
      <c r="TV96" s="294"/>
      <c r="TW96" s="294"/>
      <c r="TX96" s="294"/>
      <c r="TY96" s="294">
        <v>-1951931.65</v>
      </c>
      <c r="TZ96" s="294"/>
      <c r="UA96" s="294">
        <v>0</v>
      </c>
      <c r="UB96" s="294"/>
      <c r="UC96" s="294"/>
      <c r="UD96" s="294"/>
      <c r="UE96" s="294">
        <v>-190191</v>
      </c>
      <c r="UF96" s="294"/>
      <c r="UG96" s="294"/>
      <c r="UH96" s="294"/>
      <c r="UI96" s="294"/>
      <c r="UJ96" s="294">
        <v>0</v>
      </c>
      <c r="UK96" s="294"/>
      <c r="UL96" s="294"/>
      <c r="UM96" s="294"/>
      <c r="UN96" s="294"/>
      <c r="UO96" s="294"/>
      <c r="UP96" s="294">
        <v>0</v>
      </c>
      <c r="UQ96" s="294"/>
      <c r="UR96" s="294"/>
      <c r="US96" s="294"/>
      <c r="UT96" s="294"/>
      <c r="UU96" s="294"/>
      <c r="UV96" s="294"/>
      <c r="UW96" s="294"/>
      <c r="UX96" s="294"/>
      <c r="UY96" s="294"/>
      <c r="UZ96" s="294"/>
      <c r="VA96" s="294"/>
      <c r="VB96" s="294"/>
      <c r="VC96" s="294"/>
      <c r="VD96" s="294"/>
      <c r="VE96" s="294"/>
      <c r="VF96" s="294"/>
      <c r="VG96" s="294"/>
      <c r="VH96" s="294">
        <v>-2079093.75</v>
      </c>
      <c r="VI96" s="294"/>
      <c r="VJ96" s="294"/>
      <c r="VK96" s="294"/>
      <c r="VL96" s="294"/>
      <c r="VM96" s="294"/>
      <c r="VN96" s="294"/>
      <c r="VO96" s="294"/>
      <c r="VP96" s="294"/>
      <c r="VQ96" s="294"/>
      <c r="VR96" s="294"/>
      <c r="VS96" s="294"/>
      <c r="VT96" s="294"/>
      <c r="VU96" s="294"/>
      <c r="VV96" s="294"/>
      <c r="VW96" s="294"/>
      <c r="VX96" s="294"/>
      <c r="VY96" s="294"/>
      <c r="VZ96" s="294"/>
      <c r="WA96" s="294">
        <v>-278228.75</v>
      </c>
      <c r="WB96" s="294"/>
      <c r="WC96" s="294"/>
      <c r="WD96" s="294"/>
      <c r="WE96" s="294"/>
      <c r="WF96" s="294"/>
      <c r="WG96" s="294"/>
      <c r="WH96" s="294"/>
      <c r="WI96" s="294"/>
      <c r="WJ96" s="294"/>
      <c r="WK96" s="294"/>
      <c r="WL96" s="294"/>
      <c r="WM96" s="294"/>
      <c r="WN96" s="294"/>
      <c r="WO96" s="294"/>
      <c r="WP96" s="294"/>
      <c r="WQ96" s="294"/>
      <c r="WR96" s="294"/>
      <c r="WS96" s="294"/>
      <c r="WT96" s="294"/>
      <c r="WU96" s="294">
        <v>-1864269.29</v>
      </c>
      <c r="WV96" s="294"/>
      <c r="WW96" s="294"/>
      <c r="WX96" s="294"/>
      <c r="WY96" s="294"/>
      <c r="WZ96" s="294"/>
      <c r="XA96" s="294"/>
      <c r="XB96" s="294"/>
      <c r="XC96" s="294">
        <v>-1788989.3</v>
      </c>
      <c r="XD96" s="294"/>
      <c r="XE96" s="294"/>
      <c r="XF96" s="294"/>
      <c r="XG96" s="294"/>
      <c r="XH96" s="294"/>
      <c r="XI96" s="294"/>
      <c r="XJ96" s="294"/>
      <c r="XK96" s="294"/>
      <c r="XL96" s="294"/>
      <c r="XM96" s="294"/>
      <c r="XN96" s="294"/>
      <c r="XO96" s="294"/>
      <c r="XP96" s="294"/>
      <c r="XQ96" s="294"/>
      <c r="XR96" s="294"/>
      <c r="XS96" s="294"/>
      <c r="XT96" s="294"/>
      <c r="XU96" s="294"/>
      <c r="XV96" s="294"/>
      <c r="XW96" s="294"/>
      <c r="XX96" s="294"/>
      <c r="XY96" s="294"/>
      <c r="XZ96" s="294"/>
      <c r="YA96" s="294"/>
      <c r="YB96" s="294"/>
      <c r="YC96" s="294"/>
      <c r="YD96" s="294"/>
      <c r="YE96" s="294">
        <v>0</v>
      </c>
      <c r="YF96" s="294"/>
      <c r="YG96" s="294"/>
      <c r="YH96" s="294"/>
      <c r="YI96" s="294"/>
      <c r="YJ96" s="294"/>
      <c r="YK96" s="294"/>
      <c r="YL96" s="294"/>
      <c r="YM96" s="294"/>
      <c r="YN96" s="294"/>
      <c r="YO96" s="294"/>
      <c r="YP96" s="294"/>
      <c r="YQ96" s="294"/>
      <c r="YR96" s="294"/>
      <c r="YS96" s="294"/>
      <c r="YT96" s="294"/>
      <c r="YU96" s="294"/>
      <c r="YV96" s="294">
        <v>-2259600.25</v>
      </c>
      <c r="YW96" s="294"/>
      <c r="YX96" s="294"/>
      <c r="YY96" s="294"/>
      <c r="YZ96" s="294"/>
      <c r="ZA96" s="294"/>
      <c r="ZB96" s="294"/>
      <c r="ZC96" s="294"/>
      <c r="ZD96" s="294"/>
      <c r="ZE96" s="294"/>
      <c r="ZF96" s="294"/>
      <c r="ZG96" s="294"/>
      <c r="ZH96" s="294"/>
      <c r="ZI96" s="294"/>
      <c r="ZJ96" s="294"/>
      <c r="ZK96" s="294"/>
      <c r="ZL96" s="294"/>
      <c r="ZM96" s="294"/>
      <c r="ZN96" s="294"/>
      <c r="ZO96" s="294"/>
      <c r="ZP96" s="294"/>
      <c r="ZQ96" s="294"/>
      <c r="ZR96" s="294"/>
      <c r="ZS96" s="294"/>
      <c r="ZT96" s="294"/>
      <c r="ZU96" s="294"/>
      <c r="ZV96" s="294"/>
      <c r="ZW96" s="294"/>
      <c r="ZX96" s="294"/>
      <c r="ZY96" s="294"/>
      <c r="ZZ96" s="294"/>
      <c r="AAA96" s="294"/>
      <c r="AAB96" s="294"/>
      <c r="AAC96" s="294"/>
      <c r="AAD96" s="294"/>
      <c r="AAE96" s="294"/>
      <c r="AAF96" s="294"/>
      <c r="AAG96" s="294"/>
      <c r="AAH96" s="294"/>
      <c r="AAI96" s="294"/>
      <c r="AAJ96" s="294"/>
      <c r="AAK96" s="294"/>
      <c r="AAL96" s="294"/>
      <c r="AAM96" s="294"/>
      <c r="AAN96" s="294"/>
      <c r="AAO96" s="294">
        <v>-3111300.5</v>
      </c>
      <c r="AAP96" s="294"/>
      <c r="AAQ96" s="294"/>
      <c r="AAR96" s="294"/>
      <c r="AAS96" s="294"/>
      <c r="AAT96" s="294"/>
      <c r="AAU96" s="294"/>
      <c r="AAV96" s="294"/>
      <c r="AAW96" s="294"/>
      <c r="AAX96" s="294"/>
      <c r="AAY96" s="294"/>
      <c r="AAZ96" s="294"/>
      <c r="ABA96" s="294"/>
      <c r="ABB96" s="294"/>
      <c r="ABC96" s="294">
        <v>0</v>
      </c>
      <c r="ABD96" s="294"/>
      <c r="ABE96" s="294"/>
      <c r="ABF96" s="294"/>
      <c r="ABG96" s="294"/>
      <c r="ABH96" s="294"/>
      <c r="ABI96" s="294"/>
      <c r="ABJ96" s="294"/>
      <c r="ABK96" s="294">
        <v>0</v>
      </c>
      <c r="ABL96" s="294"/>
      <c r="ABM96" s="294"/>
      <c r="ABN96" s="294"/>
      <c r="ABO96" s="294">
        <v>-1861891.84</v>
      </c>
      <c r="ABP96" s="294"/>
      <c r="ABQ96" s="294"/>
      <c r="ABR96" s="294"/>
      <c r="ABS96" s="294"/>
      <c r="ABT96" s="294"/>
      <c r="ABU96" s="294"/>
      <c r="ABV96" s="294"/>
      <c r="ABW96" s="294"/>
      <c r="ABX96" s="294"/>
      <c r="ABY96" s="294"/>
      <c r="ABZ96" s="294"/>
      <c r="ACA96" s="294"/>
      <c r="ACB96" s="294"/>
      <c r="ACC96" s="294"/>
      <c r="ACD96" s="294"/>
      <c r="ACE96" s="294"/>
      <c r="ACF96" s="294"/>
      <c r="ACG96" s="294"/>
      <c r="ACH96" s="294"/>
      <c r="ACI96" s="294">
        <v>-3615518.7</v>
      </c>
      <c r="ACJ96" s="294"/>
      <c r="ACK96" s="294"/>
      <c r="ACL96" s="294"/>
      <c r="ACM96" s="294"/>
      <c r="ACN96" s="294"/>
      <c r="ACO96" s="294"/>
      <c r="ACP96" s="294">
        <v>-165400</v>
      </c>
      <c r="ACQ96" s="294"/>
      <c r="ACR96" s="294"/>
      <c r="ACS96" s="294"/>
      <c r="ACT96" s="294"/>
      <c r="ACU96" s="294"/>
      <c r="ACV96" s="294"/>
      <c r="ACW96" s="294"/>
      <c r="ACX96" s="294"/>
      <c r="ACY96" s="294"/>
      <c r="ACZ96" s="294"/>
      <c r="ADA96" s="294"/>
      <c r="ADB96" s="294"/>
      <c r="ADC96" s="294"/>
      <c r="ADD96" s="294"/>
      <c r="ADE96" s="294"/>
      <c r="ADF96" s="294"/>
      <c r="ADG96" s="294"/>
      <c r="ADH96" s="294"/>
      <c r="ADI96" s="294"/>
      <c r="ADJ96" s="294"/>
      <c r="ADK96" s="294"/>
      <c r="ADL96" s="294"/>
      <c r="ADM96" s="294"/>
      <c r="ADN96" s="294"/>
      <c r="ADO96" s="294">
        <v>-4564811.59</v>
      </c>
      <c r="ADP96" s="294"/>
      <c r="ADQ96" s="294"/>
      <c r="ADR96" s="294"/>
      <c r="ADS96" s="294"/>
      <c r="ADT96" s="294"/>
      <c r="ADU96" s="294"/>
      <c r="ADV96" s="294"/>
      <c r="ADW96" s="294"/>
      <c r="ADX96" s="294"/>
      <c r="ADY96" s="294"/>
      <c r="ADZ96" s="294">
        <v>-1230351.75</v>
      </c>
      <c r="AEA96" s="294"/>
      <c r="AEB96" s="294"/>
      <c r="AEC96" s="294"/>
      <c r="AED96" s="294"/>
      <c r="AEE96" s="294"/>
      <c r="AEF96" s="294"/>
      <c r="AEG96" s="294"/>
      <c r="AEH96" s="294"/>
      <c r="AEI96" s="294"/>
      <c r="AEJ96" s="294"/>
      <c r="AEK96" s="294"/>
      <c r="AEL96" s="294"/>
      <c r="AEM96" s="294"/>
      <c r="AEN96" s="294"/>
      <c r="AEO96" s="294"/>
      <c r="AEP96" s="294"/>
      <c r="AEQ96" s="294"/>
      <c r="AER96" s="294"/>
      <c r="AES96" s="294">
        <v>-5074133.75</v>
      </c>
      <c r="AET96" s="294"/>
      <c r="AEU96" s="294"/>
      <c r="AEV96" s="294"/>
      <c r="AEW96" s="294"/>
      <c r="AEX96" s="294"/>
      <c r="AEY96" s="294"/>
      <c r="AEZ96" s="294"/>
      <c r="AFA96" s="294"/>
      <c r="AFB96" s="294"/>
      <c r="AFC96" s="294"/>
      <c r="AFD96" s="294">
        <v>-350977</v>
      </c>
      <c r="AFE96" s="294"/>
      <c r="AFF96" s="294"/>
      <c r="AFG96" s="294"/>
      <c r="AFH96" s="294"/>
      <c r="AFI96" s="294"/>
      <c r="AFJ96" s="294"/>
      <c r="AFK96" s="294"/>
      <c r="AFL96" s="294"/>
      <c r="AFM96" s="294"/>
      <c r="AFN96" s="294"/>
      <c r="AFO96" s="294"/>
      <c r="AFP96" s="294"/>
      <c r="AFQ96" s="294"/>
      <c r="AFR96" s="294"/>
      <c r="AFS96" s="294"/>
      <c r="AFT96" s="294"/>
      <c r="AFU96" s="294"/>
      <c r="AFV96" s="294"/>
      <c r="AFW96" s="294"/>
      <c r="AFX96" s="294"/>
      <c r="AFY96" s="294"/>
      <c r="AFZ96" s="294"/>
      <c r="AGA96" s="294"/>
      <c r="AGB96" s="294">
        <v>0</v>
      </c>
      <c r="AGC96" s="294"/>
      <c r="AGD96" s="294"/>
      <c r="AGE96" s="294"/>
      <c r="AGF96" s="294"/>
      <c r="AGG96" s="294"/>
      <c r="AGH96" s="294"/>
      <c r="AGI96" s="294"/>
      <c r="AGJ96" s="294"/>
      <c r="AGK96" s="294"/>
      <c r="AGL96" s="294"/>
      <c r="AGM96" s="294">
        <v>-472794.27</v>
      </c>
      <c r="AGN96" s="294">
        <v>-118319.5</v>
      </c>
      <c r="AGO96" s="294"/>
      <c r="AGP96" s="294"/>
      <c r="AGQ96" s="294"/>
      <c r="AGR96" s="294"/>
      <c r="AGS96" s="294"/>
      <c r="AGT96" s="294"/>
      <c r="AGU96" s="294">
        <v>0</v>
      </c>
      <c r="AGV96" s="294">
        <v>-31109917.039999999</v>
      </c>
      <c r="AGW96" s="294"/>
      <c r="AGX96" s="294"/>
      <c r="AGY96" s="294"/>
      <c r="AGZ96" s="294"/>
      <c r="AHA96" s="294"/>
      <c r="AHB96" s="294"/>
      <c r="AHC96" s="294"/>
      <c r="AHD96" s="294"/>
      <c r="AHE96" s="294"/>
      <c r="AHF96" s="294"/>
      <c r="AHG96" s="294"/>
      <c r="AHH96" s="294"/>
      <c r="AHI96" s="294"/>
      <c r="AHJ96" s="294"/>
      <c r="AHK96" s="294"/>
      <c r="AHL96" s="294">
        <v>-2250454.25</v>
      </c>
      <c r="AHM96" s="294"/>
      <c r="AHN96" s="294"/>
      <c r="AHO96" s="294"/>
      <c r="AHP96" s="294"/>
      <c r="AHQ96" s="294"/>
      <c r="AHR96" s="331"/>
      <c r="AHS96" s="294">
        <f t="shared" si="51"/>
        <v>-288449374.10000002</v>
      </c>
      <c r="AHT96" s="269" t="b">
        <f t="shared" si="52"/>
        <v>1</v>
      </c>
      <c r="AHU96" s="269" t="s">
        <v>6278</v>
      </c>
      <c r="AHV96" s="269" t="s">
        <v>6135</v>
      </c>
      <c r="AHW96" s="269" t="s">
        <v>6136</v>
      </c>
    </row>
    <row r="97" spans="1:907" ht="24.6" x14ac:dyDescent="0.7">
      <c r="A97" s="268" t="s">
        <v>6278</v>
      </c>
      <c r="B97" s="268" t="s">
        <v>6137</v>
      </c>
      <c r="C97" s="269" t="s">
        <v>6138</v>
      </c>
      <c r="D97" s="294">
        <v>0</v>
      </c>
      <c r="E97" s="294">
        <v>-33263.199999999997</v>
      </c>
      <c r="F97" s="294">
        <v>-6850</v>
      </c>
      <c r="G97" s="294"/>
      <c r="H97" s="294">
        <v>-9414.1</v>
      </c>
      <c r="I97" s="294">
        <v>-56880.2</v>
      </c>
      <c r="J97" s="294">
        <v>-8214.1</v>
      </c>
      <c r="K97" s="294">
        <v>-13194.1</v>
      </c>
      <c r="L97" s="294">
        <v>-40564.5</v>
      </c>
      <c r="M97" s="294">
        <v>-37258.449999999997</v>
      </c>
      <c r="N97" s="294">
        <v>-69542.98</v>
      </c>
      <c r="O97" s="294">
        <v>-28649</v>
      </c>
      <c r="P97" s="294">
        <v>-8477.4</v>
      </c>
      <c r="Q97" s="294">
        <v>-4537.7</v>
      </c>
      <c r="R97" s="294">
        <v>-1958</v>
      </c>
      <c r="S97" s="294">
        <v>-15100</v>
      </c>
      <c r="T97" s="294">
        <v>-5602.6</v>
      </c>
      <c r="U97" s="294">
        <v>-1200</v>
      </c>
      <c r="V97" s="294"/>
      <c r="W97" s="294">
        <v>-49066.53</v>
      </c>
      <c r="X97" s="294"/>
      <c r="Y97" s="294">
        <v>0</v>
      </c>
      <c r="Z97" s="294">
        <v>-22744.240000000002</v>
      </c>
      <c r="AA97" s="294"/>
      <c r="AB97" s="294"/>
      <c r="AC97" s="294"/>
      <c r="AD97" s="294">
        <v>-501857.24</v>
      </c>
      <c r="AE97" s="294"/>
      <c r="AF97" s="294"/>
      <c r="AG97" s="294">
        <v>-603034</v>
      </c>
      <c r="AH97" s="294">
        <v>-412256.63</v>
      </c>
      <c r="AI97" s="294"/>
      <c r="AJ97" s="294">
        <v>-7431.74</v>
      </c>
      <c r="AK97" s="294"/>
      <c r="AL97" s="294"/>
      <c r="AM97" s="294"/>
      <c r="AN97" s="294"/>
      <c r="AO97" s="294">
        <v>-105095.71</v>
      </c>
      <c r="AP97" s="294">
        <v>-67490.31</v>
      </c>
      <c r="AQ97" s="294">
        <v>-83482.539999999994</v>
      </c>
      <c r="AR97" s="294"/>
      <c r="AS97" s="294"/>
      <c r="AT97" s="294"/>
      <c r="AU97" s="294">
        <v>-20403.55</v>
      </c>
      <c r="AV97" s="294"/>
      <c r="AW97" s="294"/>
      <c r="AX97" s="294">
        <v>-56786.39</v>
      </c>
      <c r="AY97" s="294">
        <v>-560</v>
      </c>
      <c r="AZ97" s="294"/>
      <c r="BA97" s="294"/>
      <c r="BB97" s="294">
        <v>-1057.5</v>
      </c>
      <c r="BC97" s="294">
        <v>0</v>
      </c>
      <c r="BD97" s="294"/>
      <c r="BE97" s="294"/>
      <c r="BF97" s="294"/>
      <c r="BG97" s="294"/>
      <c r="BH97" s="294"/>
      <c r="BI97" s="294">
        <v>-24709.5</v>
      </c>
      <c r="BJ97" s="294">
        <v>0</v>
      </c>
      <c r="BK97" s="294">
        <v>-9141.85</v>
      </c>
      <c r="BL97" s="294">
        <v>-250</v>
      </c>
      <c r="BM97" s="294">
        <v>-6355.8</v>
      </c>
      <c r="BN97" s="294">
        <v>-26375.05</v>
      </c>
      <c r="BO97" s="294">
        <v>0</v>
      </c>
      <c r="BP97" s="294"/>
      <c r="BQ97" s="294"/>
      <c r="BR97" s="294"/>
      <c r="BS97" s="294">
        <v>0</v>
      </c>
      <c r="BT97" s="294"/>
      <c r="BU97" s="294"/>
      <c r="BV97" s="294"/>
      <c r="BW97" s="294"/>
      <c r="BX97" s="294"/>
      <c r="BY97" s="294"/>
      <c r="BZ97" s="294"/>
      <c r="CA97" s="294"/>
      <c r="CB97" s="294">
        <v>-8000</v>
      </c>
      <c r="CC97" s="294"/>
      <c r="CD97" s="294">
        <v>-20913</v>
      </c>
      <c r="CE97" s="294"/>
      <c r="CF97" s="294">
        <v>0</v>
      </c>
      <c r="CG97" s="294">
        <v>-2842</v>
      </c>
      <c r="CH97" s="294"/>
      <c r="CI97" s="294">
        <v>0</v>
      </c>
      <c r="CJ97" s="294"/>
      <c r="CK97" s="294">
        <v>-16037.73</v>
      </c>
      <c r="CL97" s="294">
        <v>-44696.13</v>
      </c>
      <c r="CM97" s="294">
        <v>-16013.41</v>
      </c>
      <c r="CN97" s="294"/>
      <c r="CO97" s="294">
        <v>0</v>
      </c>
      <c r="CP97" s="294">
        <v>-960</v>
      </c>
      <c r="CQ97" s="294">
        <v>-300</v>
      </c>
      <c r="CR97" s="294">
        <v>-69522.92</v>
      </c>
      <c r="CS97" s="294">
        <v>-8404.4</v>
      </c>
      <c r="CT97" s="294">
        <v>-62211.4</v>
      </c>
      <c r="CU97" s="294">
        <v>-18663.5</v>
      </c>
      <c r="CV97" s="294">
        <v>-99691.5</v>
      </c>
      <c r="CW97" s="294">
        <v>-56916</v>
      </c>
      <c r="CX97" s="294"/>
      <c r="CY97" s="294">
        <v>-13024</v>
      </c>
      <c r="CZ97" s="294">
        <v>-61829.5</v>
      </c>
      <c r="DA97" s="294">
        <v>-43247</v>
      </c>
      <c r="DB97" s="294"/>
      <c r="DC97" s="294">
        <v>-645455</v>
      </c>
      <c r="DD97" s="294"/>
      <c r="DE97" s="294"/>
      <c r="DF97" s="294">
        <v>-42090</v>
      </c>
      <c r="DG97" s="294"/>
      <c r="DH97" s="294">
        <v>-150210</v>
      </c>
      <c r="DI97" s="294">
        <v>-20127</v>
      </c>
      <c r="DJ97" s="294"/>
      <c r="DK97" s="294"/>
      <c r="DL97" s="294">
        <v>-21132.6</v>
      </c>
      <c r="DM97" s="294">
        <v>-5591.4</v>
      </c>
      <c r="DN97" s="294">
        <v>-7606</v>
      </c>
      <c r="DO97" s="294"/>
      <c r="DP97" s="294">
        <v>-23093.8</v>
      </c>
      <c r="DQ97" s="294">
        <v>-54922.2</v>
      </c>
      <c r="DR97" s="294">
        <v>-27173</v>
      </c>
      <c r="DS97" s="294">
        <v>-18938.400000000001</v>
      </c>
      <c r="DT97" s="294"/>
      <c r="DU97" s="294"/>
      <c r="DV97" s="294">
        <v>-89264.59</v>
      </c>
      <c r="DW97" s="294"/>
      <c r="DX97" s="294">
        <v>-16346.87</v>
      </c>
      <c r="DY97" s="294">
        <v>-28794</v>
      </c>
      <c r="DZ97" s="294">
        <v>-1087463.49</v>
      </c>
      <c r="EA97" s="294"/>
      <c r="EB97" s="294"/>
      <c r="EC97" s="294"/>
      <c r="ED97" s="294"/>
      <c r="EE97" s="294"/>
      <c r="EF97" s="294"/>
      <c r="EG97" s="294">
        <v>-25694.35</v>
      </c>
      <c r="EH97" s="294">
        <v>-23920.98</v>
      </c>
      <c r="EI97" s="294">
        <v>-7834.44</v>
      </c>
      <c r="EJ97" s="294">
        <v>-133756.5</v>
      </c>
      <c r="EK97" s="294"/>
      <c r="EL97" s="294">
        <v>-131947.25</v>
      </c>
      <c r="EM97" s="294">
        <v>-138</v>
      </c>
      <c r="EN97" s="294">
        <v>-666</v>
      </c>
      <c r="EO97" s="294"/>
      <c r="EP97" s="294"/>
      <c r="EQ97" s="294">
        <v>-385.5</v>
      </c>
      <c r="ER97" s="294"/>
      <c r="ES97" s="294"/>
      <c r="ET97" s="294">
        <v>-66331.5</v>
      </c>
      <c r="EU97" s="294"/>
      <c r="EV97" s="294"/>
      <c r="EW97" s="294">
        <v>-1745</v>
      </c>
      <c r="EX97" s="294">
        <v>-1314</v>
      </c>
      <c r="EY97" s="294">
        <v>-9916</v>
      </c>
      <c r="EZ97" s="294">
        <v>0</v>
      </c>
      <c r="FA97" s="294">
        <v>-32387</v>
      </c>
      <c r="FB97" s="294">
        <v>-60145.25</v>
      </c>
      <c r="FC97" s="294">
        <v>0</v>
      </c>
      <c r="FD97" s="294">
        <v>-11156</v>
      </c>
      <c r="FE97" s="294">
        <v>-46865</v>
      </c>
      <c r="FF97" s="294">
        <v>-700</v>
      </c>
      <c r="FG97" s="294">
        <v>-10952.6</v>
      </c>
      <c r="FH97" s="294">
        <v>-6150.5</v>
      </c>
      <c r="FI97" s="294"/>
      <c r="FJ97" s="294">
        <v>-929677.24</v>
      </c>
      <c r="FK97" s="294"/>
      <c r="FL97" s="294"/>
      <c r="FM97" s="294"/>
      <c r="FN97" s="294">
        <v>-117408</v>
      </c>
      <c r="FO97" s="294"/>
      <c r="FP97" s="294"/>
      <c r="FQ97" s="294"/>
      <c r="FR97" s="294">
        <v>-21910.2</v>
      </c>
      <c r="FS97" s="294">
        <v>0</v>
      </c>
      <c r="FT97" s="294"/>
      <c r="FU97" s="294">
        <v>-340</v>
      </c>
      <c r="FV97" s="294">
        <v>-25152.16</v>
      </c>
      <c r="FW97" s="294"/>
      <c r="FX97" s="294">
        <v>-2960</v>
      </c>
      <c r="FY97" s="294">
        <v>-41950.86</v>
      </c>
      <c r="FZ97" s="294">
        <v>0</v>
      </c>
      <c r="GA97" s="294">
        <v>-80679.570000000007</v>
      </c>
      <c r="GB97" s="294">
        <v>-22225.09</v>
      </c>
      <c r="GC97" s="294">
        <v>-8345.49</v>
      </c>
      <c r="GD97" s="294"/>
      <c r="GE97" s="294"/>
      <c r="GF97" s="294"/>
      <c r="GG97" s="294">
        <v>-19033.75</v>
      </c>
      <c r="GH97" s="294"/>
      <c r="GI97" s="294"/>
      <c r="GJ97" s="294"/>
      <c r="GK97" s="294">
        <v>-1902</v>
      </c>
      <c r="GL97" s="294"/>
      <c r="GM97" s="294">
        <v>-1538</v>
      </c>
      <c r="GN97" s="294"/>
      <c r="GO97" s="294"/>
      <c r="GP97" s="294"/>
      <c r="GQ97" s="294"/>
      <c r="GR97" s="294"/>
      <c r="GS97" s="294"/>
      <c r="GT97" s="294"/>
      <c r="GU97" s="294"/>
      <c r="GV97" s="294"/>
      <c r="GW97" s="294"/>
      <c r="GX97" s="294"/>
      <c r="GY97" s="294">
        <v>-713</v>
      </c>
      <c r="GZ97" s="294"/>
      <c r="HA97" s="294">
        <v>-360</v>
      </c>
      <c r="HB97" s="294"/>
      <c r="HC97" s="294"/>
      <c r="HD97" s="294">
        <v>-394397.39999999997</v>
      </c>
      <c r="HE97" s="294">
        <v>-69300.800000000003</v>
      </c>
      <c r="HF97" s="294">
        <v>-66628.600000000006</v>
      </c>
      <c r="HG97" s="294">
        <v>-153824.74</v>
      </c>
      <c r="HH97" s="294"/>
      <c r="HI97" s="294">
        <v>-107985.1</v>
      </c>
      <c r="HJ97" s="294">
        <v>0</v>
      </c>
      <c r="HK97" s="294">
        <v>-1292284.26</v>
      </c>
      <c r="HL97" s="294"/>
      <c r="HM97" s="294">
        <v>-182130.18</v>
      </c>
      <c r="HN97" s="294"/>
      <c r="HO97" s="294">
        <v>-99646</v>
      </c>
      <c r="HP97" s="294">
        <v>-68318.87</v>
      </c>
      <c r="HQ97" s="294">
        <v>-189001.87</v>
      </c>
      <c r="HR97" s="294">
        <v>0</v>
      </c>
      <c r="HS97" s="294"/>
      <c r="HT97" s="294"/>
      <c r="HU97" s="294"/>
      <c r="HV97" s="294">
        <v>-106476.04</v>
      </c>
      <c r="HW97" s="294"/>
      <c r="HX97" s="294"/>
      <c r="HY97" s="294">
        <v>-45941.5</v>
      </c>
      <c r="HZ97" s="294"/>
      <c r="IA97" s="294">
        <v>-105067.95</v>
      </c>
      <c r="IB97" s="294"/>
      <c r="IC97" s="294">
        <v>-263446.25</v>
      </c>
      <c r="ID97" s="294"/>
      <c r="IE97" s="294">
        <v>-208921.35</v>
      </c>
      <c r="IF97" s="294"/>
      <c r="IG97" s="294"/>
      <c r="IH97" s="294"/>
      <c r="II97" s="294"/>
      <c r="IJ97" s="294">
        <v>-7442</v>
      </c>
      <c r="IK97" s="294">
        <v>-83700.59</v>
      </c>
      <c r="IL97" s="294">
        <v>-152157.76999999999</v>
      </c>
      <c r="IM97" s="294"/>
      <c r="IN97" s="294"/>
      <c r="IO97" s="294"/>
      <c r="IP97" s="294"/>
      <c r="IQ97" s="294">
        <v>-5902.5</v>
      </c>
      <c r="IR97" s="294">
        <v>-1225</v>
      </c>
      <c r="IS97" s="294"/>
      <c r="IT97" s="294">
        <v>-1058</v>
      </c>
      <c r="IU97" s="294"/>
      <c r="IV97" s="294"/>
      <c r="IW97" s="294">
        <v>-310947.73</v>
      </c>
      <c r="IX97" s="294"/>
      <c r="IY97" s="294">
        <v>-15416.01</v>
      </c>
      <c r="IZ97" s="294"/>
      <c r="JA97" s="294">
        <v>-15476</v>
      </c>
      <c r="JB97" s="294">
        <v>-38449.82</v>
      </c>
      <c r="JC97" s="294">
        <v>-335747.19</v>
      </c>
      <c r="JD97" s="294">
        <v>-1175</v>
      </c>
      <c r="JE97" s="294"/>
      <c r="JF97" s="294">
        <v>-127646</v>
      </c>
      <c r="JG97" s="294">
        <v>-15337.73</v>
      </c>
      <c r="JH97" s="294">
        <v>-26672</v>
      </c>
      <c r="JI97" s="294"/>
      <c r="JJ97" s="294"/>
      <c r="JK97" s="294">
        <v>-167405.9</v>
      </c>
      <c r="JL97" s="294">
        <v>-51515.57</v>
      </c>
      <c r="JM97" s="294"/>
      <c r="JN97" s="294">
        <v>-34288</v>
      </c>
      <c r="JO97" s="294">
        <v>-58107</v>
      </c>
      <c r="JP97" s="294"/>
      <c r="JQ97" s="294"/>
      <c r="JR97" s="294"/>
      <c r="JS97" s="294"/>
      <c r="JT97" s="294"/>
      <c r="JU97" s="294"/>
      <c r="JV97" s="294"/>
      <c r="JW97" s="294"/>
      <c r="JX97" s="294"/>
      <c r="JY97" s="294"/>
      <c r="JZ97" s="294"/>
      <c r="KA97" s="294"/>
      <c r="KB97" s="294"/>
      <c r="KC97" s="294"/>
      <c r="KD97" s="294"/>
      <c r="KE97" s="294"/>
      <c r="KF97" s="294"/>
      <c r="KG97" s="294"/>
      <c r="KH97" s="294"/>
      <c r="KI97" s="294">
        <v>-114846.66</v>
      </c>
      <c r="KJ97" s="294">
        <v>-62127.15</v>
      </c>
      <c r="KK97" s="294">
        <v>-221322.52</v>
      </c>
      <c r="KL97" s="294">
        <v>-58037.16</v>
      </c>
      <c r="KM97" s="294">
        <v>-29113.78</v>
      </c>
      <c r="KN97" s="294">
        <v>-39592.94</v>
      </c>
      <c r="KO97" s="294"/>
      <c r="KP97" s="294">
        <v>-53416.2</v>
      </c>
      <c r="KQ97" s="294">
        <v>-1278243.45</v>
      </c>
      <c r="KR97" s="294">
        <v>-32405.03</v>
      </c>
      <c r="KS97" s="294">
        <v>-707066.25</v>
      </c>
      <c r="KT97" s="294">
        <v>-26981.74</v>
      </c>
      <c r="KU97" s="294">
        <v>-1175612</v>
      </c>
      <c r="KV97" s="294">
        <v>-99868.37</v>
      </c>
      <c r="KW97" s="294"/>
      <c r="KX97" s="294"/>
      <c r="KY97" s="294"/>
      <c r="KZ97" s="294">
        <v>-49259.4</v>
      </c>
      <c r="LA97" s="294"/>
      <c r="LB97" s="294">
        <v>-255996.75</v>
      </c>
      <c r="LC97" s="294">
        <v>-8625.9599999999991</v>
      </c>
      <c r="LD97" s="294">
        <v>-11472</v>
      </c>
      <c r="LE97" s="294">
        <v>-45485.760000000002</v>
      </c>
      <c r="LF97" s="294"/>
      <c r="LG97" s="294">
        <v>-27177.82</v>
      </c>
      <c r="LH97" s="294">
        <v>-3625</v>
      </c>
      <c r="LI97" s="294"/>
      <c r="LJ97" s="294">
        <v>-68856.490000000005</v>
      </c>
      <c r="LK97" s="294">
        <v>-108222.7</v>
      </c>
      <c r="LL97" s="294">
        <v>-751402.35</v>
      </c>
      <c r="LM97" s="294">
        <v>-200404</v>
      </c>
      <c r="LN97" s="294">
        <v>-504606.2</v>
      </c>
      <c r="LO97" s="294">
        <v>-9589</v>
      </c>
      <c r="LP97" s="294">
        <v>-18100.75</v>
      </c>
      <c r="LQ97" s="294">
        <v>-35691.800000000003</v>
      </c>
      <c r="LR97" s="294">
        <v>-40392.620000000003</v>
      </c>
      <c r="LS97" s="294"/>
      <c r="LT97" s="294"/>
      <c r="LU97" s="294"/>
      <c r="LV97" s="294">
        <v>-396006.36</v>
      </c>
      <c r="LW97" s="294"/>
      <c r="LX97" s="294">
        <v>-17846</v>
      </c>
      <c r="LY97" s="294"/>
      <c r="LZ97" s="294"/>
      <c r="MA97" s="294">
        <v>-34312.86</v>
      </c>
      <c r="MB97" s="294"/>
      <c r="MC97" s="294">
        <v>-28730.51</v>
      </c>
      <c r="MD97" s="294">
        <v>-30350</v>
      </c>
      <c r="ME97" s="294">
        <v>-37170.720000000001</v>
      </c>
      <c r="MF97" s="294"/>
      <c r="MG97" s="294"/>
      <c r="MH97" s="294"/>
      <c r="MI97" s="294"/>
      <c r="MJ97" s="294"/>
      <c r="MK97" s="294">
        <v>-1400</v>
      </c>
      <c r="ML97" s="294"/>
      <c r="MM97" s="294"/>
      <c r="MN97" s="294"/>
      <c r="MO97" s="294"/>
      <c r="MP97" s="294"/>
      <c r="MQ97" s="294"/>
      <c r="MR97" s="294"/>
      <c r="MS97" s="294">
        <v>-289310.03999999998</v>
      </c>
      <c r="MT97" s="294">
        <v>-1468171.07</v>
      </c>
      <c r="MU97" s="294">
        <v>-64684</v>
      </c>
      <c r="MV97" s="294"/>
      <c r="MW97" s="294"/>
      <c r="MX97" s="294">
        <v>-645687</v>
      </c>
      <c r="MY97" s="294">
        <v>-298972.09999999998</v>
      </c>
      <c r="MZ97" s="294">
        <v>0</v>
      </c>
      <c r="NA97" s="294">
        <v>-111065</v>
      </c>
      <c r="NB97" s="294">
        <v>-16510</v>
      </c>
      <c r="NC97" s="294"/>
      <c r="ND97" s="294">
        <v>-4000</v>
      </c>
      <c r="NE97" s="294">
        <v>-111674.1</v>
      </c>
      <c r="NF97" s="294">
        <v>-159896.20000000001</v>
      </c>
      <c r="NG97" s="294">
        <v>0</v>
      </c>
      <c r="NH97" s="294">
        <v>-79467.8</v>
      </c>
      <c r="NI97" s="294">
        <v>-45184</v>
      </c>
      <c r="NJ97" s="294">
        <v>-32422.400000000001</v>
      </c>
      <c r="NK97" s="294">
        <v>-47932</v>
      </c>
      <c r="NL97" s="294"/>
      <c r="NM97" s="294">
        <v>-34317.33</v>
      </c>
      <c r="NN97" s="294"/>
      <c r="NO97" s="294">
        <v>0</v>
      </c>
      <c r="NP97" s="294">
        <v>-1334</v>
      </c>
      <c r="NQ97" s="294">
        <v>-97245.3</v>
      </c>
      <c r="NR97" s="294">
        <v>-179362.85</v>
      </c>
      <c r="NS97" s="294">
        <v>-100498.55</v>
      </c>
      <c r="NT97" s="294">
        <v>-8743.7000000000007</v>
      </c>
      <c r="NU97" s="294"/>
      <c r="NV97" s="294">
        <v>-1563</v>
      </c>
      <c r="NW97" s="294"/>
      <c r="NX97" s="294"/>
      <c r="NY97" s="294">
        <v>-43409.33</v>
      </c>
      <c r="NZ97" s="294">
        <v>-21661.5</v>
      </c>
      <c r="OA97" s="294"/>
      <c r="OB97" s="294">
        <v>-97822</v>
      </c>
      <c r="OC97" s="294">
        <v>-125</v>
      </c>
      <c r="OD97" s="294">
        <v>0</v>
      </c>
      <c r="OE97" s="294"/>
      <c r="OF97" s="294">
        <v>-87453.2</v>
      </c>
      <c r="OG97" s="294">
        <v>0</v>
      </c>
      <c r="OH97" s="294">
        <v>-729454.7</v>
      </c>
      <c r="OI97" s="294">
        <v>-367742.9</v>
      </c>
      <c r="OJ97" s="294">
        <v>-456911.3</v>
      </c>
      <c r="OK97" s="294"/>
      <c r="OL97" s="294"/>
      <c r="OM97" s="294">
        <v>-23603.25</v>
      </c>
      <c r="ON97" s="294"/>
      <c r="OO97" s="294">
        <v>-511037.91</v>
      </c>
      <c r="OP97" s="294">
        <v>0</v>
      </c>
      <c r="OQ97" s="294">
        <v>-10685.49</v>
      </c>
      <c r="OR97" s="294"/>
      <c r="OS97" s="294">
        <v>0</v>
      </c>
      <c r="OT97" s="294">
        <v>-28162.400000000001</v>
      </c>
      <c r="OU97" s="294">
        <v>0</v>
      </c>
      <c r="OV97" s="294">
        <v>0</v>
      </c>
      <c r="OW97" s="294">
        <v>-63608</v>
      </c>
      <c r="OX97" s="294">
        <v>-75921.399999999994</v>
      </c>
      <c r="OY97" s="294">
        <v>-24439.200000000001</v>
      </c>
      <c r="OZ97" s="294"/>
      <c r="PA97" s="294"/>
      <c r="PB97" s="294">
        <v>-7712</v>
      </c>
      <c r="PC97" s="294">
        <v>-46142</v>
      </c>
      <c r="PD97" s="294"/>
      <c r="PE97" s="294">
        <v>-18757.490000000002</v>
      </c>
      <c r="PF97" s="294"/>
      <c r="PG97" s="294">
        <v>-7510</v>
      </c>
      <c r="PH97" s="294"/>
      <c r="PI97" s="294"/>
      <c r="PJ97" s="294"/>
      <c r="PK97" s="294">
        <v>-38305</v>
      </c>
      <c r="PL97" s="294">
        <v>-100</v>
      </c>
      <c r="PM97" s="294"/>
      <c r="PN97" s="294"/>
      <c r="PO97" s="294">
        <v>-143615.45000000001</v>
      </c>
      <c r="PP97" s="294"/>
      <c r="PQ97" s="294"/>
      <c r="PR97" s="294"/>
      <c r="PS97" s="294"/>
      <c r="PT97" s="294"/>
      <c r="PU97" s="294"/>
      <c r="PV97" s="294"/>
      <c r="PW97" s="294"/>
      <c r="PX97" s="294"/>
      <c r="PY97" s="294"/>
      <c r="PZ97" s="294"/>
      <c r="QA97" s="294"/>
      <c r="QB97" s="294"/>
      <c r="QC97" s="294"/>
      <c r="QD97" s="294"/>
      <c r="QE97" s="294"/>
      <c r="QF97" s="294"/>
      <c r="QG97" s="294"/>
      <c r="QH97" s="294"/>
      <c r="QI97" s="294"/>
      <c r="QJ97" s="294"/>
      <c r="QK97" s="294"/>
      <c r="QL97" s="294"/>
      <c r="QM97" s="294"/>
      <c r="QN97" s="294"/>
      <c r="QO97" s="294"/>
      <c r="QP97" s="294"/>
      <c r="QQ97" s="294"/>
      <c r="QR97" s="294"/>
      <c r="QS97" s="294"/>
      <c r="QT97" s="294"/>
      <c r="QU97" s="294"/>
      <c r="QV97" s="294">
        <v>-18559</v>
      </c>
      <c r="QW97" s="294"/>
      <c r="QX97" s="294"/>
      <c r="QY97" s="294">
        <v>-17800</v>
      </c>
      <c r="QZ97" s="294">
        <v>-3650</v>
      </c>
      <c r="RA97" s="294">
        <v>-17386</v>
      </c>
      <c r="RB97" s="294"/>
      <c r="RC97" s="294">
        <v>-47308.5</v>
      </c>
      <c r="RD97" s="294"/>
      <c r="RE97" s="294"/>
      <c r="RF97" s="294"/>
      <c r="RG97" s="294"/>
      <c r="RH97" s="294">
        <v>-2972</v>
      </c>
      <c r="RI97" s="294">
        <v>-19728.2</v>
      </c>
      <c r="RJ97" s="294">
        <v>-55539.14</v>
      </c>
      <c r="RK97" s="294"/>
      <c r="RL97" s="294"/>
      <c r="RM97" s="294"/>
      <c r="RN97" s="294"/>
      <c r="RO97" s="294">
        <v>-8346</v>
      </c>
      <c r="RP97" s="294">
        <v>-23586</v>
      </c>
      <c r="RQ97" s="294"/>
      <c r="RR97" s="294">
        <v>-2972</v>
      </c>
      <c r="RS97" s="294"/>
      <c r="RT97" s="294"/>
      <c r="RU97" s="294"/>
      <c r="RV97" s="294">
        <v>-11727</v>
      </c>
      <c r="RW97" s="294">
        <v>0</v>
      </c>
      <c r="RX97" s="294"/>
      <c r="RY97" s="294"/>
      <c r="RZ97" s="294"/>
      <c r="SA97" s="294"/>
      <c r="SB97" s="294"/>
      <c r="SC97" s="294">
        <v>-64888.4</v>
      </c>
      <c r="SD97" s="294">
        <v>-290269.46000000002</v>
      </c>
      <c r="SE97" s="294">
        <v>-1150</v>
      </c>
      <c r="SF97" s="294">
        <v>-68830.2</v>
      </c>
      <c r="SG97" s="294">
        <v>-89600</v>
      </c>
      <c r="SH97" s="294">
        <v>-34047.800000000003</v>
      </c>
      <c r="SI97" s="294"/>
      <c r="SJ97" s="294"/>
      <c r="SK97" s="294">
        <v>-225486.72</v>
      </c>
      <c r="SL97" s="294"/>
      <c r="SM97" s="294"/>
      <c r="SN97" s="294">
        <v>-2969.49</v>
      </c>
      <c r="SO97" s="294">
        <v>-4095</v>
      </c>
      <c r="SP97" s="294"/>
      <c r="SQ97" s="294">
        <v>-28975.11</v>
      </c>
      <c r="SR97" s="294"/>
      <c r="SS97" s="294"/>
      <c r="ST97" s="294">
        <v>-299732.62</v>
      </c>
      <c r="SU97" s="294"/>
      <c r="SV97" s="294"/>
      <c r="SW97" s="294"/>
      <c r="SX97" s="294"/>
      <c r="SY97" s="294"/>
      <c r="SZ97" s="294"/>
      <c r="TA97" s="294"/>
      <c r="TB97" s="294"/>
      <c r="TC97" s="294"/>
      <c r="TD97" s="294"/>
      <c r="TE97" s="294"/>
      <c r="TF97" s="294"/>
      <c r="TG97" s="294"/>
      <c r="TH97" s="294"/>
      <c r="TI97" s="294"/>
      <c r="TJ97" s="294"/>
      <c r="TK97" s="294">
        <v>-940</v>
      </c>
      <c r="TL97" s="294">
        <v>-65515.8</v>
      </c>
      <c r="TM97" s="294"/>
      <c r="TN97" s="294"/>
      <c r="TO97" s="294"/>
      <c r="TP97" s="294"/>
      <c r="TQ97" s="294"/>
      <c r="TR97" s="294"/>
      <c r="TS97" s="294"/>
      <c r="TT97" s="294">
        <v>-725</v>
      </c>
      <c r="TU97" s="294"/>
      <c r="TV97" s="294">
        <v>-10037.200000000001</v>
      </c>
      <c r="TW97" s="294"/>
      <c r="TX97" s="294"/>
      <c r="TY97" s="294"/>
      <c r="TZ97" s="294"/>
      <c r="UA97" s="294"/>
      <c r="UB97" s="294">
        <v>-207886.03</v>
      </c>
      <c r="UC97" s="294">
        <v>-1235</v>
      </c>
      <c r="UD97" s="294">
        <v>-205381.99</v>
      </c>
      <c r="UE97" s="294"/>
      <c r="UF97" s="294"/>
      <c r="UG97" s="294"/>
      <c r="UH97" s="294"/>
      <c r="UI97" s="294"/>
      <c r="UJ97" s="294"/>
      <c r="UK97" s="294"/>
      <c r="UL97" s="294"/>
      <c r="UM97" s="294"/>
      <c r="UN97" s="294">
        <v>-164679.47</v>
      </c>
      <c r="UO97" s="294"/>
      <c r="UP97" s="294"/>
      <c r="UQ97" s="294">
        <v>-65747.22</v>
      </c>
      <c r="UR97" s="294"/>
      <c r="US97" s="294">
        <v>-55259.46</v>
      </c>
      <c r="UT97" s="294"/>
      <c r="UU97" s="294"/>
      <c r="UV97" s="294">
        <v>-65505.01</v>
      </c>
      <c r="UW97" s="294">
        <v>-168</v>
      </c>
      <c r="UX97" s="294"/>
      <c r="UY97" s="294">
        <v>-64309.14</v>
      </c>
      <c r="UZ97" s="294"/>
      <c r="VA97" s="294"/>
      <c r="VB97" s="294">
        <v>-96019.29</v>
      </c>
      <c r="VC97" s="294"/>
      <c r="VD97" s="294"/>
      <c r="VE97" s="294">
        <v>-8675.4699999999993</v>
      </c>
      <c r="VF97" s="294"/>
      <c r="VG97" s="294"/>
      <c r="VH97" s="294"/>
      <c r="VI97" s="294"/>
      <c r="VJ97" s="294"/>
      <c r="VK97" s="294"/>
      <c r="VL97" s="294">
        <v>-3705</v>
      </c>
      <c r="VM97" s="294"/>
      <c r="VN97" s="294">
        <v>-44473.1</v>
      </c>
      <c r="VO97" s="294"/>
      <c r="VP97" s="294"/>
      <c r="VQ97" s="294">
        <v>-23477.9</v>
      </c>
      <c r="VR97" s="294"/>
      <c r="VS97" s="294"/>
      <c r="VT97" s="294">
        <v>-5897.6</v>
      </c>
      <c r="VU97" s="294"/>
      <c r="VV97" s="294"/>
      <c r="VW97" s="294">
        <v>-11302.4</v>
      </c>
      <c r="VX97" s="294"/>
      <c r="VY97" s="294"/>
      <c r="VZ97" s="294"/>
      <c r="WA97" s="294"/>
      <c r="WB97" s="294"/>
      <c r="WC97" s="294">
        <v>-913</v>
      </c>
      <c r="WD97" s="294"/>
      <c r="WE97" s="294"/>
      <c r="WF97" s="294"/>
      <c r="WG97" s="294"/>
      <c r="WH97" s="294">
        <v>-2000</v>
      </c>
      <c r="WI97" s="294">
        <v>0</v>
      </c>
      <c r="WJ97" s="294"/>
      <c r="WK97" s="294"/>
      <c r="WL97" s="294"/>
      <c r="WM97" s="294"/>
      <c r="WN97" s="294"/>
      <c r="WO97" s="294"/>
      <c r="WP97" s="294"/>
      <c r="WQ97" s="294"/>
      <c r="WR97" s="294">
        <v>-40720</v>
      </c>
      <c r="WS97" s="294">
        <v>-190</v>
      </c>
      <c r="WT97" s="294"/>
      <c r="WU97" s="294">
        <v>0</v>
      </c>
      <c r="WV97" s="294"/>
      <c r="WW97" s="294"/>
      <c r="WX97" s="294"/>
      <c r="WY97" s="294"/>
      <c r="WZ97" s="294">
        <v>0</v>
      </c>
      <c r="XA97" s="294"/>
      <c r="XB97" s="294"/>
      <c r="XC97" s="294">
        <v>-1400</v>
      </c>
      <c r="XD97" s="294"/>
      <c r="XE97" s="294"/>
      <c r="XF97" s="294"/>
      <c r="XG97" s="294"/>
      <c r="XH97" s="294"/>
      <c r="XI97" s="294"/>
      <c r="XJ97" s="294"/>
      <c r="XK97" s="294"/>
      <c r="XL97" s="294"/>
      <c r="XM97" s="294"/>
      <c r="XN97" s="294"/>
      <c r="XO97" s="294"/>
      <c r="XP97" s="294"/>
      <c r="XQ97" s="294"/>
      <c r="XR97" s="294"/>
      <c r="XS97" s="294"/>
      <c r="XT97" s="294"/>
      <c r="XU97" s="294"/>
      <c r="XV97" s="294"/>
      <c r="XW97" s="294"/>
      <c r="XX97" s="294"/>
      <c r="XY97" s="294"/>
      <c r="XZ97" s="294"/>
      <c r="YA97" s="294"/>
      <c r="YB97" s="294"/>
      <c r="YC97" s="294"/>
      <c r="YD97" s="294"/>
      <c r="YE97" s="294"/>
      <c r="YF97" s="294"/>
      <c r="YG97" s="294"/>
      <c r="YH97" s="294"/>
      <c r="YI97" s="294"/>
      <c r="YJ97" s="294"/>
      <c r="YK97" s="294"/>
      <c r="YL97" s="294"/>
      <c r="YM97" s="294"/>
      <c r="YN97" s="294"/>
      <c r="YO97" s="294"/>
      <c r="YP97" s="294"/>
      <c r="YQ97" s="294"/>
      <c r="YR97" s="294"/>
      <c r="YS97" s="294"/>
      <c r="YT97" s="294"/>
      <c r="YU97" s="294"/>
      <c r="YV97" s="294"/>
      <c r="YW97" s="294"/>
      <c r="YX97" s="294"/>
      <c r="YY97" s="294"/>
      <c r="YZ97" s="294"/>
      <c r="ZA97" s="294"/>
      <c r="ZB97" s="294"/>
      <c r="ZC97" s="294"/>
      <c r="ZD97" s="294"/>
      <c r="ZE97" s="294"/>
      <c r="ZF97" s="294"/>
      <c r="ZG97" s="294"/>
      <c r="ZH97" s="294"/>
      <c r="ZI97" s="294"/>
      <c r="ZJ97" s="294"/>
      <c r="ZK97" s="294"/>
      <c r="ZL97" s="294"/>
      <c r="ZM97" s="294"/>
      <c r="ZN97" s="294"/>
      <c r="ZO97" s="294"/>
      <c r="ZP97" s="294"/>
      <c r="ZQ97" s="294"/>
      <c r="ZR97" s="294"/>
      <c r="ZS97" s="294"/>
      <c r="ZT97" s="294"/>
      <c r="ZU97" s="294"/>
      <c r="ZV97" s="294"/>
      <c r="ZW97" s="294"/>
      <c r="ZX97" s="294"/>
      <c r="ZY97" s="294"/>
      <c r="ZZ97" s="294"/>
      <c r="AAA97" s="294"/>
      <c r="AAB97" s="294"/>
      <c r="AAC97" s="294"/>
      <c r="AAD97" s="294"/>
      <c r="AAE97" s="294"/>
      <c r="AAF97" s="294"/>
      <c r="AAG97" s="294"/>
      <c r="AAH97" s="294">
        <v>-610</v>
      </c>
      <c r="AAI97" s="294"/>
      <c r="AAJ97" s="294"/>
      <c r="AAK97" s="294"/>
      <c r="AAL97" s="294"/>
      <c r="AAM97" s="294"/>
      <c r="AAN97" s="294">
        <v>-9447.6200000000008</v>
      </c>
      <c r="AAO97" s="294"/>
      <c r="AAP97" s="294"/>
      <c r="AAQ97" s="294"/>
      <c r="AAR97" s="294"/>
      <c r="AAS97" s="294"/>
      <c r="AAT97" s="294"/>
      <c r="AAU97" s="294"/>
      <c r="AAV97" s="294"/>
      <c r="AAW97" s="294"/>
      <c r="AAX97" s="294"/>
      <c r="AAY97" s="294"/>
      <c r="AAZ97" s="294"/>
      <c r="ABA97" s="294"/>
      <c r="ABB97" s="294"/>
      <c r="ABC97" s="294">
        <v>0</v>
      </c>
      <c r="ABD97" s="294"/>
      <c r="ABE97" s="294"/>
      <c r="ABF97" s="294"/>
      <c r="ABG97" s="294"/>
      <c r="ABH97" s="294"/>
      <c r="ABI97" s="294"/>
      <c r="ABJ97" s="294"/>
      <c r="ABK97" s="294">
        <v>0</v>
      </c>
      <c r="ABL97" s="294"/>
      <c r="ABM97" s="294"/>
      <c r="ABN97" s="294"/>
      <c r="ABO97" s="294"/>
      <c r="ABP97" s="294"/>
      <c r="ABQ97" s="294"/>
      <c r="ABR97" s="294"/>
      <c r="ABS97" s="294"/>
      <c r="ABT97" s="294"/>
      <c r="ABU97" s="294"/>
      <c r="ABV97" s="294"/>
      <c r="ABW97" s="294"/>
      <c r="ABX97" s="294"/>
      <c r="ABY97" s="294"/>
      <c r="ABZ97" s="294"/>
      <c r="ACA97" s="294">
        <v>-23242.3</v>
      </c>
      <c r="ACB97" s="294">
        <v>0</v>
      </c>
      <c r="ACC97" s="294">
        <v>-300385.57</v>
      </c>
      <c r="ACD97" s="294">
        <v>257152.1</v>
      </c>
      <c r="ACE97" s="294">
        <v>-193208.77</v>
      </c>
      <c r="ACF97" s="294">
        <v>-112834.2</v>
      </c>
      <c r="ACG97" s="294"/>
      <c r="ACH97" s="294">
        <v>-187764.93</v>
      </c>
      <c r="ACI97" s="294"/>
      <c r="ACJ97" s="294">
        <v>-5722.2</v>
      </c>
      <c r="ACK97" s="294">
        <v>-18910.55</v>
      </c>
      <c r="ACL97" s="294">
        <v>-13410.6</v>
      </c>
      <c r="ACM97" s="294"/>
      <c r="ACN97" s="294"/>
      <c r="ACO97" s="294"/>
      <c r="ACP97" s="294">
        <v>-17427.88</v>
      </c>
      <c r="ACQ97" s="294"/>
      <c r="ACR97" s="294"/>
      <c r="ACS97" s="294"/>
      <c r="ACT97" s="294"/>
      <c r="ACU97" s="294"/>
      <c r="ACV97" s="294"/>
      <c r="ACW97" s="294">
        <v>-374159.5</v>
      </c>
      <c r="ACX97" s="294"/>
      <c r="ACY97" s="294"/>
      <c r="ACZ97" s="294"/>
      <c r="ADA97" s="294">
        <v>-73610.350000000006</v>
      </c>
      <c r="ADB97" s="294"/>
      <c r="ADC97" s="294"/>
      <c r="ADD97" s="294"/>
      <c r="ADE97" s="294"/>
      <c r="ADF97" s="294">
        <v>-52790.58</v>
      </c>
      <c r="ADG97" s="294"/>
      <c r="ADH97" s="294"/>
      <c r="ADI97" s="294"/>
      <c r="ADJ97" s="294"/>
      <c r="ADK97" s="294"/>
      <c r="ADL97" s="294"/>
      <c r="ADM97" s="294"/>
      <c r="ADN97" s="294"/>
      <c r="ADO97" s="294">
        <v>-2550576.23</v>
      </c>
      <c r="ADP97" s="294"/>
      <c r="ADQ97" s="294"/>
      <c r="ADR97" s="294"/>
      <c r="ADS97" s="294"/>
      <c r="ADT97" s="294"/>
      <c r="ADU97" s="294"/>
      <c r="ADV97" s="294"/>
      <c r="ADW97" s="294"/>
      <c r="ADX97" s="294"/>
      <c r="ADY97" s="294">
        <v>0</v>
      </c>
      <c r="ADZ97" s="294">
        <v>-907</v>
      </c>
      <c r="AEA97" s="294">
        <v>-80577</v>
      </c>
      <c r="AEB97" s="294">
        <v>-97017.5</v>
      </c>
      <c r="AEC97" s="294"/>
      <c r="AED97" s="294"/>
      <c r="AEE97" s="294">
        <v>-9996</v>
      </c>
      <c r="AEF97" s="294">
        <v>-97525</v>
      </c>
      <c r="AEG97" s="294">
        <v>-23133</v>
      </c>
      <c r="AEH97" s="294">
        <v>-34667.75</v>
      </c>
      <c r="AEI97" s="294">
        <v>-1682389.89</v>
      </c>
      <c r="AEJ97" s="294">
        <v>-16596</v>
      </c>
      <c r="AEK97" s="294">
        <v>-36808</v>
      </c>
      <c r="AEL97" s="294">
        <v>-179786.1</v>
      </c>
      <c r="AEM97" s="294"/>
      <c r="AEN97" s="294"/>
      <c r="AEO97" s="294">
        <v>-23676.5</v>
      </c>
      <c r="AEP97" s="294"/>
      <c r="AEQ97" s="294">
        <v>-48405.75</v>
      </c>
      <c r="AER97" s="294"/>
      <c r="AES97" s="294"/>
      <c r="AET97" s="294">
        <v>-403</v>
      </c>
      <c r="AEU97" s="294">
        <v>-12150.9</v>
      </c>
      <c r="AEV97" s="294">
        <v>-48156.5</v>
      </c>
      <c r="AEW97" s="294">
        <v>-50818.8</v>
      </c>
      <c r="AEX97" s="294">
        <v>-22770.92</v>
      </c>
      <c r="AEY97" s="294"/>
      <c r="AEZ97" s="294">
        <v>-23798.6</v>
      </c>
      <c r="AFA97" s="294">
        <v>-145</v>
      </c>
      <c r="AFB97" s="294">
        <v>-3975.8</v>
      </c>
      <c r="AFC97" s="294"/>
      <c r="AFD97" s="294"/>
      <c r="AFE97" s="294"/>
      <c r="AFF97" s="294"/>
      <c r="AFG97" s="294"/>
      <c r="AFH97" s="294"/>
      <c r="AFI97" s="294"/>
      <c r="AFJ97" s="294"/>
      <c r="AFK97" s="294"/>
      <c r="AFL97" s="294"/>
      <c r="AFM97" s="294"/>
      <c r="AFN97" s="294"/>
      <c r="AFO97" s="294"/>
      <c r="AFP97" s="294">
        <v>-128643.3</v>
      </c>
      <c r="AFQ97" s="294"/>
      <c r="AFR97" s="294"/>
      <c r="AFS97" s="294"/>
      <c r="AFT97" s="294"/>
      <c r="AFU97" s="294"/>
      <c r="AFV97" s="294"/>
      <c r="AFW97" s="294"/>
      <c r="AFX97" s="294"/>
      <c r="AFY97" s="294"/>
      <c r="AFZ97" s="294"/>
      <c r="AGA97" s="294"/>
      <c r="AGB97" s="294"/>
      <c r="AGC97" s="294"/>
      <c r="AGD97" s="294"/>
      <c r="AGE97" s="294"/>
      <c r="AGF97" s="294"/>
      <c r="AGG97" s="294"/>
      <c r="AGH97" s="294"/>
      <c r="AGI97" s="294"/>
      <c r="AGJ97" s="294"/>
      <c r="AGK97" s="294"/>
      <c r="AGL97" s="294"/>
      <c r="AGM97" s="294">
        <v>-1964</v>
      </c>
      <c r="AGN97" s="294"/>
      <c r="AGO97" s="294"/>
      <c r="AGP97" s="294"/>
      <c r="AGQ97" s="294"/>
      <c r="AGR97" s="294"/>
      <c r="AGS97" s="294"/>
      <c r="AGT97" s="294"/>
      <c r="AGU97" s="294">
        <v>-5284</v>
      </c>
      <c r="AGV97" s="294">
        <v>-7438.99</v>
      </c>
      <c r="AGW97" s="294"/>
      <c r="AGX97" s="294">
        <v>-5545.2</v>
      </c>
      <c r="AGY97" s="294"/>
      <c r="AGZ97" s="294">
        <v>-13948</v>
      </c>
      <c r="AHA97" s="294"/>
      <c r="AHB97" s="294">
        <v>0</v>
      </c>
      <c r="AHC97" s="294"/>
      <c r="AHD97" s="294">
        <v>-2255.1999999999998</v>
      </c>
      <c r="AHE97" s="294">
        <v>-339352.75</v>
      </c>
      <c r="AHF97" s="294">
        <v>-2197.4</v>
      </c>
      <c r="AHG97" s="294">
        <v>-5238.2</v>
      </c>
      <c r="AHH97" s="294">
        <v>-93743.7</v>
      </c>
      <c r="AHI97" s="294">
        <v>-1830</v>
      </c>
      <c r="AHJ97" s="294"/>
      <c r="AHK97" s="294">
        <v>-201334.1</v>
      </c>
      <c r="AHL97" s="294"/>
      <c r="AHM97" s="294"/>
      <c r="AHN97" s="294">
        <v>-450</v>
      </c>
      <c r="AHO97" s="294"/>
      <c r="AHP97" s="294">
        <v>-62006</v>
      </c>
      <c r="AHQ97" s="294"/>
      <c r="AHR97" s="331">
        <v>-50</v>
      </c>
      <c r="AHS97" s="294">
        <f t="shared" si="51"/>
        <v>-34482822.709999993</v>
      </c>
      <c r="AHT97" s="269" t="b">
        <f t="shared" si="52"/>
        <v>1</v>
      </c>
      <c r="AHU97" s="269" t="s">
        <v>6278</v>
      </c>
      <c r="AHV97" s="269" t="s">
        <v>6137</v>
      </c>
      <c r="AHW97" s="269" t="s">
        <v>6138</v>
      </c>
    </row>
    <row r="98" spans="1:907" ht="24.6" x14ac:dyDescent="0.7">
      <c r="A98" s="268" t="s">
        <v>6278</v>
      </c>
      <c r="B98" s="268" t="s">
        <v>6139</v>
      </c>
      <c r="C98" s="269" t="s">
        <v>6140</v>
      </c>
      <c r="D98" s="294">
        <v>0</v>
      </c>
      <c r="E98" s="294"/>
      <c r="F98" s="294"/>
      <c r="G98" s="294"/>
      <c r="H98" s="294"/>
      <c r="I98" s="294"/>
      <c r="J98" s="294">
        <v>-3482</v>
      </c>
      <c r="K98" s="294"/>
      <c r="L98" s="294">
        <v>-16214.25</v>
      </c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  <c r="AS98" s="294"/>
      <c r="AT98" s="294"/>
      <c r="AU98" s="294"/>
      <c r="AV98" s="294"/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294"/>
      <c r="BQ98" s="294"/>
      <c r="BR98" s="294"/>
      <c r="BS98" s="294"/>
      <c r="BT98" s="294"/>
      <c r="BU98" s="294"/>
      <c r="BV98" s="294"/>
      <c r="BW98" s="294"/>
      <c r="BX98" s="294"/>
      <c r="BY98" s="294"/>
      <c r="BZ98" s="294"/>
      <c r="CA98" s="294"/>
      <c r="CB98" s="294">
        <v>-405</v>
      </c>
      <c r="CC98" s="294"/>
      <c r="CD98" s="294"/>
      <c r="CE98" s="294"/>
      <c r="CF98" s="294"/>
      <c r="CG98" s="294">
        <v>-2264.5</v>
      </c>
      <c r="CH98" s="294"/>
      <c r="CI98" s="294"/>
      <c r="CJ98" s="294"/>
      <c r="CK98" s="294"/>
      <c r="CL98" s="294"/>
      <c r="CM98" s="294"/>
      <c r="CN98" s="294"/>
      <c r="CO98" s="294"/>
      <c r="CP98" s="294"/>
      <c r="CQ98" s="294"/>
      <c r="CR98" s="294"/>
      <c r="CS98" s="294"/>
      <c r="CT98" s="294">
        <v>-99010.5</v>
      </c>
      <c r="CU98" s="294"/>
      <c r="CV98" s="294"/>
      <c r="CW98" s="294">
        <v>-650</v>
      </c>
      <c r="CX98" s="294"/>
      <c r="CY98" s="294">
        <v>-71739.5</v>
      </c>
      <c r="CZ98" s="294">
        <v>-2350</v>
      </c>
      <c r="DA98" s="294"/>
      <c r="DB98" s="294"/>
      <c r="DC98" s="294">
        <v>-6000</v>
      </c>
      <c r="DD98" s="294"/>
      <c r="DE98" s="294"/>
      <c r="DF98" s="294"/>
      <c r="DG98" s="294"/>
      <c r="DH98" s="294"/>
      <c r="DI98" s="294"/>
      <c r="DJ98" s="294"/>
      <c r="DK98" s="294"/>
      <c r="DL98" s="294"/>
      <c r="DM98" s="294"/>
      <c r="DN98" s="294"/>
      <c r="DO98" s="294"/>
      <c r="DP98" s="294"/>
      <c r="DQ98" s="294">
        <v>-3354</v>
      </c>
      <c r="DR98" s="294"/>
      <c r="DS98" s="294"/>
      <c r="DT98" s="294"/>
      <c r="DU98" s="294"/>
      <c r="DV98" s="294"/>
      <c r="DW98" s="294"/>
      <c r="DX98" s="294"/>
      <c r="DY98" s="294"/>
      <c r="DZ98" s="294">
        <v>-16800</v>
      </c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>
        <v>-27536.39</v>
      </c>
      <c r="FC98" s="294"/>
      <c r="FD98" s="294"/>
      <c r="FE98" s="294"/>
      <c r="FF98" s="294"/>
      <c r="FG98" s="294"/>
      <c r="FH98" s="294"/>
      <c r="FI98" s="294"/>
      <c r="FJ98" s="294"/>
      <c r="FK98" s="294"/>
      <c r="FL98" s="294"/>
      <c r="FM98" s="294"/>
      <c r="FN98" s="294"/>
      <c r="FO98" s="294"/>
      <c r="FP98" s="294"/>
      <c r="FQ98" s="294"/>
      <c r="FR98" s="294"/>
      <c r="FS98" s="294"/>
      <c r="FT98" s="294"/>
      <c r="FU98" s="294"/>
      <c r="FV98" s="294"/>
      <c r="FW98" s="294"/>
      <c r="FX98" s="294"/>
      <c r="FY98" s="294"/>
      <c r="FZ98" s="294"/>
      <c r="GA98" s="294"/>
      <c r="GB98" s="294"/>
      <c r="GC98" s="294"/>
      <c r="GD98" s="294"/>
      <c r="GE98" s="294"/>
      <c r="GF98" s="294"/>
      <c r="GG98" s="294"/>
      <c r="GH98" s="294"/>
      <c r="GI98" s="294"/>
      <c r="GJ98" s="294"/>
      <c r="GK98" s="294"/>
      <c r="GL98" s="294"/>
      <c r="GM98" s="294"/>
      <c r="GN98" s="294"/>
      <c r="GO98" s="294"/>
      <c r="GP98" s="294"/>
      <c r="GQ98" s="294"/>
      <c r="GR98" s="294"/>
      <c r="GS98" s="294"/>
      <c r="GT98" s="294"/>
      <c r="GU98" s="294"/>
      <c r="GV98" s="294"/>
      <c r="GW98" s="294"/>
      <c r="GX98" s="294"/>
      <c r="GY98" s="294">
        <v>-2612</v>
      </c>
      <c r="GZ98" s="294"/>
      <c r="HA98" s="294"/>
      <c r="HB98" s="294"/>
      <c r="HC98" s="294">
        <v>-240475.75</v>
      </c>
      <c r="HD98" s="294"/>
      <c r="HE98" s="294">
        <v>-37751.29</v>
      </c>
      <c r="HF98" s="294">
        <v>-510431.75</v>
      </c>
      <c r="HG98" s="294"/>
      <c r="HH98" s="294"/>
      <c r="HI98" s="294">
        <v>-24170</v>
      </c>
      <c r="HJ98" s="294">
        <v>0</v>
      </c>
      <c r="HK98" s="294"/>
      <c r="HL98" s="294"/>
      <c r="HM98" s="294"/>
      <c r="HN98" s="294"/>
      <c r="HO98" s="294"/>
      <c r="HP98" s="294">
        <v>-37414.51</v>
      </c>
      <c r="HQ98" s="294">
        <v>-229934.93</v>
      </c>
      <c r="HR98" s="294">
        <v>-18500</v>
      </c>
      <c r="HS98" s="294">
        <v>0</v>
      </c>
      <c r="HT98" s="294"/>
      <c r="HU98" s="294"/>
      <c r="HV98" s="294"/>
      <c r="HW98" s="294"/>
      <c r="HX98" s="294"/>
      <c r="HY98" s="294">
        <v>-320</v>
      </c>
      <c r="HZ98" s="294"/>
      <c r="IA98" s="294"/>
      <c r="IB98" s="294"/>
      <c r="IC98" s="294"/>
      <c r="ID98" s="294"/>
      <c r="IE98" s="294"/>
      <c r="IF98" s="294"/>
      <c r="IG98" s="294"/>
      <c r="IH98" s="294"/>
      <c r="II98" s="294"/>
      <c r="IJ98" s="294"/>
      <c r="IK98" s="294"/>
      <c r="IL98" s="294">
        <v>-60865.31</v>
      </c>
      <c r="IM98" s="294"/>
      <c r="IN98" s="294"/>
      <c r="IO98" s="294"/>
      <c r="IP98" s="294"/>
      <c r="IQ98" s="294">
        <v>-1357.5</v>
      </c>
      <c r="IR98" s="294"/>
      <c r="IS98" s="294"/>
      <c r="IT98" s="294">
        <v>-2300</v>
      </c>
      <c r="IU98" s="294"/>
      <c r="IV98" s="294"/>
      <c r="IW98" s="294"/>
      <c r="IX98" s="294"/>
      <c r="IY98" s="294"/>
      <c r="IZ98" s="294"/>
      <c r="JA98" s="294"/>
      <c r="JB98" s="294"/>
      <c r="JC98" s="294">
        <v>-18544.939999999999</v>
      </c>
      <c r="JD98" s="294"/>
      <c r="JE98" s="294"/>
      <c r="JF98" s="294">
        <v>-810</v>
      </c>
      <c r="JG98" s="294"/>
      <c r="JH98" s="294"/>
      <c r="JI98" s="294"/>
      <c r="JJ98" s="294"/>
      <c r="JK98" s="294"/>
      <c r="JL98" s="294"/>
      <c r="JM98" s="294"/>
      <c r="JN98" s="294"/>
      <c r="JO98" s="294"/>
      <c r="JP98" s="294"/>
      <c r="JQ98" s="294"/>
      <c r="JR98" s="294"/>
      <c r="JS98" s="294"/>
      <c r="JT98" s="294"/>
      <c r="JU98" s="294"/>
      <c r="JV98" s="294"/>
      <c r="JW98" s="294"/>
      <c r="JX98" s="294"/>
      <c r="JY98" s="294"/>
      <c r="JZ98" s="294"/>
      <c r="KA98" s="294"/>
      <c r="KB98" s="294"/>
      <c r="KC98" s="294"/>
      <c r="KD98" s="294"/>
      <c r="KE98" s="294"/>
      <c r="KF98" s="294"/>
      <c r="KG98" s="294"/>
      <c r="KH98" s="294"/>
      <c r="KI98" s="294"/>
      <c r="KJ98" s="294"/>
      <c r="KK98" s="294"/>
      <c r="KL98" s="294">
        <v>-7200.75</v>
      </c>
      <c r="KM98" s="294"/>
      <c r="KN98" s="294">
        <v>-440</v>
      </c>
      <c r="KO98" s="294"/>
      <c r="KP98" s="294"/>
      <c r="KQ98" s="294"/>
      <c r="KR98" s="294">
        <v>-2410.0700000000002</v>
      </c>
      <c r="KS98" s="294">
        <v>-12725.6</v>
      </c>
      <c r="KT98" s="294">
        <v>-51127.33</v>
      </c>
      <c r="KU98" s="294">
        <v>-14663.94</v>
      </c>
      <c r="KV98" s="294">
        <v>-4759</v>
      </c>
      <c r="KW98" s="294"/>
      <c r="KX98" s="294"/>
      <c r="KY98" s="294"/>
      <c r="KZ98" s="294">
        <v>-1650</v>
      </c>
      <c r="LA98" s="294"/>
      <c r="LB98" s="294"/>
      <c r="LC98" s="294"/>
      <c r="LD98" s="294"/>
      <c r="LE98" s="294"/>
      <c r="LF98" s="294"/>
      <c r="LG98" s="294">
        <v>-99038.7</v>
      </c>
      <c r="LH98" s="294"/>
      <c r="LI98" s="294"/>
      <c r="LJ98" s="294">
        <v>-147976.65</v>
      </c>
      <c r="LK98" s="294"/>
      <c r="LL98" s="294"/>
      <c r="LM98" s="294"/>
      <c r="LN98" s="294"/>
      <c r="LO98" s="294"/>
      <c r="LP98" s="294">
        <v>-6300</v>
      </c>
      <c r="LQ98" s="294"/>
      <c r="LR98" s="294"/>
      <c r="LS98" s="294"/>
      <c r="LT98" s="294"/>
      <c r="LU98" s="294"/>
      <c r="LV98" s="294">
        <v>-6387.5</v>
      </c>
      <c r="LW98" s="294">
        <v>-18545</v>
      </c>
      <c r="LX98" s="294">
        <v>-5795</v>
      </c>
      <c r="LY98" s="294"/>
      <c r="LZ98" s="294"/>
      <c r="MA98" s="294"/>
      <c r="MB98" s="294"/>
      <c r="MC98" s="294"/>
      <c r="MD98" s="294"/>
      <c r="ME98" s="294">
        <v>-3700</v>
      </c>
      <c r="MF98" s="294"/>
      <c r="MG98" s="294"/>
      <c r="MH98" s="294"/>
      <c r="MI98" s="294"/>
      <c r="MJ98" s="294"/>
      <c r="MK98" s="294"/>
      <c r="ML98" s="294"/>
      <c r="MM98" s="294"/>
      <c r="MN98" s="294"/>
      <c r="MO98" s="294"/>
      <c r="MP98" s="294"/>
      <c r="MQ98" s="294"/>
      <c r="MR98" s="294"/>
      <c r="MS98" s="294">
        <v>-191833.5</v>
      </c>
      <c r="MT98" s="294">
        <v>-31477.5</v>
      </c>
      <c r="MU98" s="294"/>
      <c r="MV98" s="294"/>
      <c r="MW98" s="294"/>
      <c r="MX98" s="294"/>
      <c r="MY98" s="294"/>
      <c r="MZ98" s="294"/>
      <c r="NA98" s="294">
        <v>-2761</v>
      </c>
      <c r="NB98" s="294"/>
      <c r="NC98" s="294"/>
      <c r="ND98" s="294"/>
      <c r="NE98" s="294">
        <v>-3932</v>
      </c>
      <c r="NF98" s="294">
        <v>-1360</v>
      </c>
      <c r="NG98" s="294">
        <v>0</v>
      </c>
      <c r="NH98" s="294"/>
      <c r="NI98" s="294"/>
      <c r="NJ98" s="294"/>
      <c r="NK98" s="294"/>
      <c r="NL98" s="294"/>
      <c r="NM98" s="294"/>
      <c r="NN98" s="294"/>
      <c r="NO98" s="294"/>
      <c r="NP98" s="294"/>
      <c r="NQ98" s="294"/>
      <c r="NR98" s="294">
        <v>-120</v>
      </c>
      <c r="NS98" s="294"/>
      <c r="NT98" s="294">
        <v>-676</v>
      </c>
      <c r="NU98" s="294"/>
      <c r="NV98" s="294"/>
      <c r="NW98" s="294"/>
      <c r="NX98" s="294"/>
      <c r="NY98" s="294"/>
      <c r="NZ98" s="294">
        <v>-420</v>
      </c>
      <c r="OA98" s="294"/>
      <c r="OB98" s="294"/>
      <c r="OC98" s="294">
        <v>-9465.5</v>
      </c>
      <c r="OD98" s="294"/>
      <c r="OE98" s="294"/>
      <c r="OF98" s="294"/>
      <c r="OG98" s="294">
        <v>-329.7</v>
      </c>
      <c r="OH98" s="294"/>
      <c r="OI98" s="294"/>
      <c r="OJ98" s="294">
        <v>-170600.34</v>
      </c>
      <c r="OK98" s="294"/>
      <c r="OL98" s="294"/>
      <c r="OM98" s="294">
        <v>-1720</v>
      </c>
      <c r="ON98" s="294">
        <v>-875</v>
      </c>
      <c r="OO98" s="294">
        <v>-98428.51</v>
      </c>
      <c r="OP98" s="294">
        <v>0</v>
      </c>
      <c r="OQ98" s="294">
        <v>0</v>
      </c>
      <c r="OR98" s="294"/>
      <c r="OS98" s="294"/>
      <c r="OT98" s="294"/>
      <c r="OU98" s="294"/>
      <c r="OV98" s="294"/>
      <c r="OW98" s="294"/>
      <c r="OX98" s="294"/>
      <c r="OY98" s="294"/>
      <c r="OZ98" s="294"/>
      <c r="PA98" s="294"/>
      <c r="PB98" s="294"/>
      <c r="PC98" s="294"/>
      <c r="PD98" s="294"/>
      <c r="PE98" s="294"/>
      <c r="PF98" s="294"/>
      <c r="PG98" s="294"/>
      <c r="PH98" s="294"/>
      <c r="PI98" s="294"/>
      <c r="PJ98" s="294"/>
      <c r="PK98" s="294"/>
      <c r="PL98" s="294"/>
      <c r="PM98" s="294"/>
      <c r="PN98" s="294"/>
      <c r="PO98" s="294">
        <v>-15892</v>
      </c>
      <c r="PP98" s="294"/>
      <c r="PQ98" s="294"/>
      <c r="PR98" s="294"/>
      <c r="PS98" s="294"/>
      <c r="PT98" s="294"/>
      <c r="PU98" s="294"/>
      <c r="PV98" s="294"/>
      <c r="PW98" s="294"/>
      <c r="PX98" s="294"/>
      <c r="PY98" s="294"/>
      <c r="PZ98" s="294"/>
      <c r="QA98" s="294"/>
      <c r="QB98" s="294"/>
      <c r="QC98" s="294"/>
      <c r="QD98" s="294"/>
      <c r="QE98" s="294"/>
      <c r="QF98" s="294"/>
      <c r="QG98" s="294"/>
      <c r="QH98" s="294"/>
      <c r="QI98" s="294"/>
      <c r="QJ98" s="294"/>
      <c r="QK98" s="294"/>
      <c r="QL98" s="294"/>
      <c r="QM98" s="294"/>
      <c r="QN98" s="294"/>
      <c r="QO98" s="294"/>
      <c r="QP98" s="294"/>
      <c r="QQ98" s="294"/>
      <c r="QR98" s="294"/>
      <c r="QS98" s="294"/>
      <c r="QT98" s="294"/>
      <c r="QU98" s="294"/>
      <c r="QV98" s="294"/>
      <c r="QW98" s="294"/>
      <c r="QX98" s="294"/>
      <c r="QY98" s="294"/>
      <c r="QZ98" s="294"/>
      <c r="RA98" s="294"/>
      <c r="RB98" s="294"/>
      <c r="RC98" s="294">
        <v>-11876.9</v>
      </c>
      <c r="RD98" s="294"/>
      <c r="RE98" s="294"/>
      <c r="RF98" s="294"/>
      <c r="RG98" s="294"/>
      <c r="RH98" s="294"/>
      <c r="RI98" s="294"/>
      <c r="RJ98" s="294">
        <v>-350</v>
      </c>
      <c r="RK98" s="294"/>
      <c r="RL98" s="294"/>
      <c r="RM98" s="294"/>
      <c r="RN98" s="294"/>
      <c r="RO98" s="294"/>
      <c r="RP98" s="294"/>
      <c r="RQ98" s="294"/>
      <c r="RR98" s="294"/>
      <c r="RS98" s="294"/>
      <c r="RT98" s="294"/>
      <c r="RU98" s="294"/>
      <c r="RV98" s="294"/>
      <c r="RW98" s="294"/>
      <c r="RX98" s="294"/>
      <c r="RY98" s="294"/>
      <c r="RZ98" s="294"/>
      <c r="SA98" s="294"/>
      <c r="SB98" s="294"/>
      <c r="SC98" s="294">
        <v>-460</v>
      </c>
      <c r="SD98" s="294">
        <v>-55838</v>
      </c>
      <c r="SE98" s="294">
        <v>-5060</v>
      </c>
      <c r="SF98" s="294"/>
      <c r="SG98" s="294"/>
      <c r="SH98" s="294">
        <v>-10700</v>
      </c>
      <c r="SI98" s="294"/>
      <c r="SJ98" s="294"/>
      <c r="SK98" s="294">
        <v>-1500</v>
      </c>
      <c r="SL98" s="294"/>
      <c r="SM98" s="294"/>
      <c r="SN98" s="294"/>
      <c r="SO98" s="294"/>
      <c r="SP98" s="294"/>
      <c r="SQ98" s="294"/>
      <c r="SR98" s="294"/>
      <c r="SS98" s="294">
        <v>-4050</v>
      </c>
      <c r="ST98" s="294"/>
      <c r="SU98" s="294"/>
      <c r="SV98" s="294"/>
      <c r="SW98" s="294"/>
      <c r="SX98" s="294"/>
      <c r="SY98" s="294"/>
      <c r="SZ98" s="294"/>
      <c r="TA98" s="294"/>
      <c r="TB98" s="294"/>
      <c r="TC98" s="294"/>
      <c r="TD98" s="294"/>
      <c r="TE98" s="294"/>
      <c r="TF98" s="294"/>
      <c r="TG98" s="294"/>
      <c r="TH98" s="294"/>
      <c r="TI98" s="294"/>
      <c r="TJ98" s="294"/>
      <c r="TK98" s="294"/>
      <c r="TL98" s="294"/>
      <c r="TM98" s="294"/>
      <c r="TN98" s="294"/>
      <c r="TO98" s="294"/>
      <c r="TP98" s="294"/>
      <c r="TQ98" s="294"/>
      <c r="TR98" s="294"/>
      <c r="TS98" s="294"/>
      <c r="TT98" s="294"/>
      <c r="TU98" s="294"/>
      <c r="TV98" s="294"/>
      <c r="TW98" s="294"/>
      <c r="TX98" s="294"/>
      <c r="TY98" s="294"/>
      <c r="TZ98" s="294"/>
      <c r="UA98" s="294"/>
      <c r="UB98" s="294"/>
      <c r="UC98" s="294"/>
      <c r="UD98" s="294">
        <v>-154827</v>
      </c>
      <c r="UE98" s="294"/>
      <c r="UF98" s="294"/>
      <c r="UG98" s="294"/>
      <c r="UH98" s="294"/>
      <c r="UI98" s="294"/>
      <c r="UJ98" s="294"/>
      <c r="UK98" s="294"/>
      <c r="UL98" s="294"/>
      <c r="UM98" s="294"/>
      <c r="UN98" s="294"/>
      <c r="UO98" s="294"/>
      <c r="UP98" s="294"/>
      <c r="UQ98" s="294"/>
      <c r="UR98" s="294"/>
      <c r="US98" s="294"/>
      <c r="UT98" s="294"/>
      <c r="UU98" s="294">
        <v>-4725</v>
      </c>
      <c r="UV98" s="294"/>
      <c r="UW98" s="294"/>
      <c r="UX98" s="294"/>
      <c r="UY98" s="294"/>
      <c r="UZ98" s="294"/>
      <c r="VA98" s="294"/>
      <c r="VB98" s="294"/>
      <c r="VC98" s="294"/>
      <c r="VD98" s="294"/>
      <c r="VE98" s="294"/>
      <c r="VF98" s="294"/>
      <c r="VG98" s="294"/>
      <c r="VH98" s="294"/>
      <c r="VI98" s="294"/>
      <c r="VJ98" s="294"/>
      <c r="VK98" s="294"/>
      <c r="VL98" s="294"/>
      <c r="VM98" s="294"/>
      <c r="VN98" s="294"/>
      <c r="VO98" s="294">
        <v>-830</v>
      </c>
      <c r="VP98" s="294"/>
      <c r="VQ98" s="294"/>
      <c r="VR98" s="294"/>
      <c r="VS98" s="294"/>
      <c r="VT98" s="294"/>
      <c r="VU98" s="294">
        <v>-35892.199999999997</v>
      </c>
      <c r="VV98" s="294"/>
      <c r="VW98" s="294"/>
      <c r="VX98" s="294"/>
      <c r="VY98" s="294"/>
      <c r="VZ98" s="294"/>
      <c r="WA98" s="294"/>
      <c r="WB98" s="294"/>
      <c r="WC98" s="294"/>
      <c r="WD98" s="294"/>
      <c r="WE98" s="294"/>
      <c r="WF98" s="294"/>
      <c r="WG98" s="294"/>
      <c r="WH98" s="294"/>
      <c r="WI98" s="294"/>
      <c r="WJ98" s="294"/>
      <c r="WK98" s="294"/>
      <c r="WL98" s="294"/>
      <c r="WM98" s="294"/>
      <c r="WN98" s="294"/>
      <c r="WO98" s="294"/>
      <c r="WP98" s="294"/>
      <c r="WQ98" s="294"/>
      <c r="WR98" s="294"/>
      <c r="WS98" s="294"/>
      <c r="WT98" s="294"/>
      <c r="WU98" s="294"/>
      <c r="WV98" s="294"/>
      <c r="WW98" s="294"/>
      <c r="WX98" s="294"/>
      <c r="WY98" s="294"/>
      <c r="WZ98" s="294"/>
      <c r="XA98" s="294"/>
      <c r="XB98" s="294"/>
      <c r="XC98" s="294"/>
      <c r="XD98" s="294"/>
      <c r="XE98" s="294"/>
      <c r="XF98" s="294"/>
      <c r="XG98" s="294"/>
      <c r="XH98" s="294"/>
      <c r="XI98" s="294"/>
      <c r="XJ98" s="294"/>
      <c r="XK98" s="294"/>
      <c r="XL98" s="294"/>
      <c r="XM98" s="294"/>
      <c r="XN98" s="294"/>
      <c r="XO98" s="294"/>
      <c r="XP98" s="294"/>
      <c r="XQ98" s="294"/>
      <c r="XR98" s="294"/>
      <c r="XS98" s="294"/>
      <c r="XT98" s="294"/>
      <c r="XU98" s="294"/>
      <c r="XV98" s="294"/>
      <c r="XW98" s="294"/>
      <c r="XX98" s="294"/>
      <c r="XY98" s="294"/>
      <c r="XZ98" s="294"/>
      <c r="YA98" s="294"/>
      <c r="YB98" s="294"/>
      <c r="YC98" s="294"/>
      <c r="YD98" s="294"/>
      <c r="YE98" s="294"/>
      <c r="YF98" s="294"/>
      <c r="YG98" s="294"/>
      <c r="YH98" s="294"/>
      <c r="YI98" s="294"/>
      <c r="YJ98" s="294"/>
      <c r="YK98" s="294"/>
      <c r="YL98" s="294"/>
      <c r="YM98" s="294"/>
      <c r="YN98" s="294"/>
      <c r="YO98" s="294"/>
      <c r="YP98" s="294"/>
      <c r="YQ98" s="294"/>
      <c r="YR98" s="294"/>
      <c r="YS98" s="294"/>
      <c r="YT98" s="294"/>
      <c r="YU98" s="294"/>
      <c r="YV98" s="294"/>
      <c r="YW98" s="294"/>
      <c r="YX98" s="294"/>
      <c r="YY98" s="294"/>
      <c r="YZ98" s="294"/>
      <c r="ZA98" s="294"/>
      <c r="ZB98" s="294"/>
      <c r="ZC98" s="294"/>
      <c r="ZD98" s="294"/>
      <c r="ZE98" s="294"/>
      <c r="ZF98" s="294"/>
      <c r="ZG98" s="294"/>
      <c r="ZH98" s="294"/>
      <c r="ZI98" s="294"/>
      <c r="ZJ98" s="294"/>
      <c r="ZK98" s="294"/>
      <c r="ZL98" s="294"/>
      <c r="ZM98" s="294"/>
      <c r="ZN98" s="294"/>
      <c r="ZO98" s="294"/>
      <c r="ZP98" s="294"/>
      <c r="ZQ98" s="294"/>
      <c r="ZR98" s="294"/>
      <c r="ZS98" s="294"/>
      <c r="ZT98" s="294"/>
      <c r="ZU98" s="294"/>
      <c r="ZV98" s="294"/>
      <c r="ZW98" s="294"/>
      <c r="ZX98" s="294"/>
      <c r="ZY98" s="294"/>
      <c r="ZZ98" s="294"/>
      <c r="AAA98" s="294"/>
      <c r="AAB98" s="294"/>
      <c r="AAC98" s="294"/>
      <c r="AAD98" s="294"/>
      <c r="AAE98" s="294"/>
      <c r="AAF98" s="294"/>
      <c r="AAG98" s="294"/>
      <c r="AAH98" s="294"/>
      <c r="AAI98" s="294"/>
      <c r="AAJ98" s="294"/>
      <c r="AAK98" s="294"/>
      <c r="AAL98" s="294"/>
      <c r="AAM98" s="294"/>
      <c r="AAN98" s="294"/>
      <c r="AAO98" s="294"/>
      <c r="AAP98" s="294"/>
      <c r="AAQ98" s="294"/>
      <c r="AAR98" s="294"/>
      <c r="AAS98" s="294"/>
      <c r="AAT98" s="294"/>
      <c r="AAU98" s="294"/>
      <c r="AAV98" s="294"/>
      <c r="AAW98" s="294"/>
      <c r="AAX98" s="294"/>
      <c r="AAY98" s="294"/>
      <c r="AAZ98" s="294"/>
      <c r="ABA98" s="294"/>
      <c r="ABB98" s="294"/>
      <c r="ABC98" s="294">
        <v>0</v>
      </c>
      <c r="ABD98" s="294"/>
      <c r="ABE98" s="294"/>
      <c r="ABF98" s="294"/>
      <c r="ABG98" s="294"/>
      <c r="ABH98" s="294"/>
      <c r="ABI98" s="294"/>
      <c r="ABJ98" s="294"/>
      <c r="ABK98" s="294">
        <v>0</v>
      </c>
      <c r="ABL98" s="294"/>
      <c r="ABM98" s="294"/>
      <c r="ABN98" s="294"/>
      <c r="ABO98" s="294"/>
      <c r="ABP98" s="294"/>
      <c r="ABQ98" s="294"/>
      <c r="ABR98" s="294"/>
      <c r="ABS98" s="294"/>
      <c r="ABT98" s="294"/>
      <c r="ABU98" s="294"/>
      <c r="ABV98" s="294"/>
      <c r="ABW98" s="294"/>
      <c r="ABX98" s="294"/>
      <c r="ABY98" s="294"/>
      <c r="ABZ98" s="294"/>
      <c r="ACA98" s="294"/>
      <c r="ACB98" s="294"/>
      <c r="ACC98" s="294"/>
      <c r="ACD98" s="294"/>
      <c r="ACE98" s="294"/>
      <c r="ACF98" s="294"/>
      <c r="ACG98" s="294"/>
      <c r="ACH98" s="294"/>
      <c r="ACI98" s="294"/>
      <c r="ACJ98" s="294"/>
      <c r="ACK98" s="294"/>
      <c r="ACL98" s="294"/>
      <c r="ACM98" s="294"/>
      <c r="ACN98" s="294"/>
      <c r="ACO98" s="294"/>
      <c r="ACP98" s="294"/>
      <c r="ACQ98" s="294"/>
      <c r="ACR98" s="294"/>
      <c r="ACS98" s="294"/>
      <c r="ACT98" s="294"/>
      <c r="ACU98" s="294"/>
      <c r="ACV98" s="294"/>
      <c r="ACW98" s="294"/>
      <c r="ACX98" s="294"/>
      <c r="ACY98" s="294"/>
      <c r="ACZ98" s="294"/>
      <c r="ADA98" s="294"/>
      <c r="ADB98" s="294"/>
      <c r="ADC98" s="294"/>
      <c r="ADD98" s="294"/>
      <c r="ADE98" s="294"/>
      <c r="ADF98" s="294"/>
      <c r="ADG98" s="294"/>
      <c r="ADH98" s="294"/>
      <c r="ADI98" s="294"/>
      <c r="ADJ98" s="294"/>
      <c r="ADK98" s="294"/>
      <c r="ADL98" s="294"/>
      <c r="ADM98" s="294"/>
      <c r="ADN98" s="294"/>
      <c r="ADO98" s="294"/>
      <c r="ADP98" s="294"/>
      <c r="ADQ98" s="294"/>
      <c r="ADR98" s="294"/>
      <c r="ADS98" s="294"/>
      <c r="ADT98" s="294"/>
      <c r="ADU98" s="294"/>
      <c r="ADV98" s="294"/>
      <c r="ADW98" s="294"/>
      <c r="ADX98" s="294"/>
      <c r="ADY98" s="294"/>
      <c r="ADZ98" s="294"/>
      <c r="AEA98" s="294"/>
      <c r="AEB98" s="294"/>
      <c r="AEC98" s="294"/>
      <c r="AED98" s="294"/>
      <c r="AEE98" s="294"/>
      <c r="AEF98" s="294"/>
      <c r="AEG98" s="294"/>
      <c r="AEH98" s="294"/>
      <c r="AEI98" s="294"/>
      <c r="AEJ98" s="294"/>
      <c r="AEK98" s="294"/>
      <c r="AEL98" s="294"/>
      <c r="AEM98" s="294"/>
      <c r="AEN98" s="294"/>
      <c r="AEO98" s="294"/>
      <c r="AEP98" s="294"/>
      <c r="AEQ98" s="294"/>
      <c r="AER98" s="294">
        <v>-219804.31</v>
      </c>
      <c r="AES98" s="294">
        <v>0</v>
      </c>
      <c r="AET98" s="294">
        <v>-750</v>
      </c>
      <c r="AEU98" s="294"/>
      <c r="AEV98" s="294"/>
      <c r="AEW98" s="294"/>
      <c r="AEX98" s="294">
        <v>-700</v>
      </c>
      <c r="AEY98" s="294"/>
      <c r="AEZ98" s="294"/>
      <c r="AFA98" s="294"/>
      <c r="AFB98" s="294"/>
      <c r="AFC98" s="294"/>
      <c r="AFD98" s="294"/>
      <c r="AFE98" s="294"/>
      <c r="AFF98" s="294"/>
      <c r="AFG98" s="294"/>
      <c r="AFH98" s="294"/>
      <c r="AFI98" s="294"/>
      <c r="AFJ98" s="294"/>
      <c r="AFK98" s="294"/>
      <c r="AFL98" s="294"/>
      <c r="AFM98" s="294"/>
      <c r="AFN98" s="294"/>
      <c r="AFO98" s="294"/>
      <c r="AFP98" s="294">
        <v>-5462</v>
      </c>
      <c r="AFQ98" s="294"/>
      <c r="AFR98" s="294"/>
      <c r="AFS98" s="294"/>
      <c r="AFT98" s="294"/>
      <c r="AFU98" s="294"/>
      <c r="AFV98" s="294"/>
      <c r="AFW98" s="294"/>
      <c r="AFX98" s="294"/>
      <c r="AFY98" s="294"/>
      <c r="AFZ98" s="294"/>
      <c r="AGA98" s="294"/>
      <c r="AGB98" s="294"/>
      <c r="AGC98" s="294"/>
      <c r="AGD98" s="294"/>
      <c r="AGE98" s="294"/>
      <c r="AGF98" s="294"/>
      <c r="AGG98" s="294"/>
      <c r="AGH98" s="294"/>
      <c r="AGI98" s="294"/>
      <c r="AGJ98" s="294"/>
      <c r="AGK98" s="294"/>
      <c r="AGL98" s="294"/>
      <c r="AGM98" s="294">
        <v>-10970</v>
      </c>
      <c r="AGN98" s="294"/>
      <c r="AGO98" s="294"/>
      <c r="AGP98" s="294"/>
      <c r="AGQ98" s="294"/>
      <c r="AGR98" s="294"/>
      <c r="AGS98" s="294"/>
      <c r="AGT98" s="294"/>
      <c r="AGU98" s="294">
        <v>-10070.31</v>
      </c>
      <c r="AGV98" s="294">
        <v>-7052.2</v>
      </c>
      <c r="AGW98" s="294"/>
      <c r="AGX98" s="294"/>
      <c r="AGY98" s="294"/>
      <c r="AGZ98" s="294"/>
      <c r="AHA98" s="294"/>
      <c r="AHB98" s="294"/>
      <c r="AHC98" s="294"/>
      <c r="AHD98" s="294"/>
      <c r="AHE98" s="294">
        <v>-2710</v>
      </c>
      <c r="AHF98" s="294"/>
      <c r="AHG98" s="294"/>
      <c r="AHH98" s="294">
        <v>-1431</v>
      </c>
      <c r="AHI98" s="294"/>
      <c r="AHJ98" s="294"/>
      <c r="AHK98" s="294"/>
      <c r="AHL98" s="294"/>
      <c r="AHM98" s="294"/>
      <c r="AHN98" s="294"/>
      <c r="AHO98" s="294"/>
      <c r="AHP98" s="294"/>
      <c r="AHQ98" s="294"/>
      <c r="AHR98" s="331"/>
      <c r="AHS98" s="294">
        <f t="shared" si="51"/>
        <v>-2892963.6300000004</v>
      </c>
      <c r="AHT98" s="269" t="b">
        <f t="shared" si="52"/>
        <v>1</v>
      </c>
      <c r="AHU98" s="269" t="s">
        <v>6278</v>
      </c>
      <c r="AHV98" s="269" t="s">
        <v>6139</v>
      </c>
      <c r="AHW98" s="269" t="s">
        <v>6140</v>
      </c>
    </row>
    <row r="99" spans="1:907" ht="24.6" x14ac:dyDescent="0.7">
      <c r="A99" s="268" t="s">
        <v>6278</v>
      </c>
      <c r="B99" s="268" t="s">
        <v>6141</v>
      </c>
      <c r="C99" s="269" t="s">
        <v>6142</v>
      </c>
      <c r="D99" s="294">
        <v>0</v>
      </c>
      <c r="E99" s="294">
        <v>-30514</v>
      </c>
      <c r="F99" s="294">
        <v>-1250</v>
      </c>
      <c r="G99" s="294"/>
      <c r="H99" s="294">
        <v>-51995</v>
      </c>
      <c r="I99" s="294">
        <v>-124350</v>
      </c>
      <c r="J99" s="294">
        <v>-102303.25</v>
      </c>
      <c r="K99" s="294">
        <v>-34850</v>
      </c>
      <c r="L99" s="294">
        <v>-44400</v>
      </c>
      <c r="M99" s="294">
        <v>-9950</v>
      </c>
      <c r="N99" s="294">
        <v>-157226</v>
      </c>
      <c r="O99" s="294">
        <v>-1100</v>
      </c>
      <c r="P99" s="294">
        <v>-254730</v>
      </c>
      <c r="Q99" s="294">
        <v>-2500</v>
      </c>
      <c r="R99" s="294"/>
      <c r="S99" s="294">
        <v>-19900</v>
      </c>
      <c r="T99" s="294">
        <v>-5300</v>
      </c>
      <c r="U99" s="294">
        <v>-6890.25</v>
      </c>
      <c r="V99" s="294"/>
      <c r="W99" s="294"/>
      <c r="X99" s="294"/>
      <c r="Y99" s="294"/>
      <c r="Z99" s="294"/>
      <c r="AA99" s="294">
        <v>0</v>
      </c>
      <c r="AB99" s="294"/>
      <c r="AC99" s="294"/>
      <c r="AD99" s="294">
        <v>0</v>
      </c>
      <c r="AE99" s="294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294"/>
      <c r="AR99" s="294"/>
      <c r="AS99" s="294"/>
      <c r="AT99" s="294"/>
      <c r="AU99" s="294">
        <v>-200</v>
      </c>
      <c r="AV99" s="294"/>
      <c r="AW99" s="294"/>
      <c r="AX99" s="294">
        <v>-49931.5</v>
      </c>
      <c r="AY99" s="294">
        <v>-7200</v>
      </c>
      <c r="AZ99" s="294">
        <v>-1400</v>
      </c>
      <c r="BA99" s="294">
        <v>0</v>
      </c>
      <c r="BB99" s="294"/>
      <c r="BC99" s="294">
        <v>-200</v>
      </c>
      <c r="BD99" s="294"/>
      <c r="BE99" s="294">
        <v>-6227</v>
      </c>
      <c r="BF99" s="294">
        <v>-3000</v>
      </c>
      <c r="BG99" s="294">
        <v>-600</v>
      </c>
      <c r="BH99" s="294">
        <v>-3630</v>
      </c>
      <c r="BI99" s="294">
        <v>-394</v>
      </c>
      <c r="BJ99" s="294"/>
      <c r="BK99" s="294"/>
      <c r="BL99" s="294">
        <v>-1730</v>
      </c>
      <c r="BM99" s="294">
        <v>-250</v>
      </c>
      <c r="BN99" s="294"/>
      <c r="BO99" s="294"/>
      <c r="BP99" s="294"/>
      <c r="BQ99" s="294"/>
      <c r="BR99" s="294"/>
      <c r="BS99" s="294">
        <v>-560</v>
      </c>
      <c r="BT99" s="294">
        <v>-560</v>
      </c>
      <c r="BU99" s="294"/>
      <c r="BV99" s="294">
        <v>-640</v>
      </c>
      <c r="BW99" s="294"/>
      <c r="BX99" s="294"/>
      <c r="BY99" s="294">
        <v>-280</v>
      </c>
      <c r="BZ99" s="294">
        <v>-36000</v>
      </c>
      <c r="CA99" s="294">
        <v>-21736</v>
      </c>
      <c r="CB99" s="294">
        <v>-114663.25</v>
      </c>
      <c r="CC99" s="294">
        <v>-102939.5</v>
      </c>
      <c r="CD99" s="294">
        <v>-71106.25</v>
      </c>
      <c r="CE99" s="294">
        <v>-52271</v>
      </c>
      <c r="CF99" s="294">
        <v>-131975.5</v>
      </c>
      <c r="CG99" s="294"/>
      <c r="CH99" s="294">
        <v>-1500</v>
      </c>
      <c r="CI99" s="294"/>
      <c r="CJ99" s="294"/>
      <c r="CK99" s="294">
        <v>-700</v>
      </c>
      <c r="CL99" s="294">
        <v>-50</v>
      </c>
      <c r="CM99" s="294">
        <v>-1400</v>
      </c>
      <c r="CN99" s="294"/>
      <c r="CO99" s="294"/>
      <c r="CP99" s="294"/>
      <c r="CQ99" s="294"/>
      <c r="CR99" s="294"/>
      <c r="CS99" s="294"/>
      <c r="CT99" s="294">
        <v>-12587.5</v>
      </c>
      <c r="CU99" s="294"/>
      <c r="CV99" s="294"/>
      <c r="CW99" s="294">
        <v>-4530.75</v>
      </c>
      <c r="CX99" s="294"/>
      <c r="CY99" s="294">
        <v>-1425</v>
      </c>
      <c r="CZ99" s="294">
        <v>-8727</v>
      </c>
      <c r="DA99" s="294">
        <v>-41520</v>
      </c>
      <c r="DB99" s="294">
        <v>-22916.85</v>
      </c>
      <c r="DC99" s="294">
        <v>-94779</v>
      </c>
      <c r="DD99" s="294"/>
      <c r="DE99" s="294">
        <v>-2708</v>
      </c>
      <c r="DF99" s="294">
        <v>-59328</v>
      </c>
      <c r="DG99" s="294">
        <v>-264686.75</v>
      </c>
      <c r="DH99" s="294">
        <v>-496440</v>
      </c>
      <c r="DI99" s="294">
        <v>-185108.88</v>
      </c>
      <c r="DJ99" s="294">
        <v>-9364</v>
      </c>
      <c r="DK99" s="294"/>
      <c r="DL99" s="294">
        <v>-1576</v>
      </c>
      <c r="DM99" s="294">
        <v>-7840</v>
      </c>
      <c r="DN99" s="294"/>
      <c r="DO99" s="294"/>
      <c r="DP99" s="294"/>
      <c r="DQ99" s="294">
        <v>0</v>
      </c>
      <c r="DR99" s="294">
        <v>-373</v>
      </c>
      <c r="DS99" s="294"/>
      <c r="DT99" s="294"/>
      <c r="DU99" s="294"/>
      <c r="DV99" s="294">
        <v>-3650</v>
      </c>
      <c r="DW99" s="294"/>
      <c r="DX99" s="294">
        <v>-800</v>
      </c>
      <c r="DY99" s="294"/>
      <c r="DZ99" s="294"/>
      <c r="EA99" s="294"/>
      <c r="EB99" s="294">
        <v>-3317.5</v>
      </c>
      <c r="EC99" s="294">
        <v>-2364</v>
      </c>
      <c r="ED99" s="294"/>
      <c r="EE99" s="294"/>
      <c r="EF99" s="294"/>
      <c r="EG99" s="294">
        <v>-2839.1</v>
      </c>
      <c r="EH99" s="294">
        <v>-204</v>
      </c>
      <c r="EI99" s="294"/>
      <c r="EJ99" s="294">
        <v>-2542</v>
      </c>
      <c r="EK99" s="294"/>
      <c r="EL99" s="294"/>
      <c r="EM99" s="294"/>
      <c r="EN99" s="294"/>
      <c r="EO99" s="294"/>
      <c r="EP99" s="294"/>
      <c r="EQ99" s="294"/>
      <c r="ER99" s="294"/>
      <c r="ES99" s="294">
        <v>-217598.25</v>
      </c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  <c r="FI99" s="294"/>
      <c r="FJ99" s="294"/>
      <c r="FK99" s="294"/>
      <c r="FL99" s="294"/>
      <c r="FM99" s="294"/>
      <c r="FN99" s="294"/>
      <c r="FO99" s="294"/>
      <c r="FP99" s="294"/>
      <c r="FQ99" s="294"/>
      <c r="FR99" s="294"/>
      <c r="FS99" s="294"/>
      <c r="FT99" s="294"/>
      <c r="FU99" s="294"/>
      <c r="FV99" s="294"/>
      <c r="FW99" s="294"/>
      <c r="FX99" s="294"/>
      <c r="FY99" s="294"/>
      <c r="FZ99" s="294"/>
      <c r="GA99" s="294"/>
      <c r="GB99" s="294"/>
      <c r="GC99" s="294"/>
      <c r="GD99" s="294"/>
      <c r="GE99" s="294">
        <v>0</v>
      </c>
      <c r="GF99" s="294"/>
      <c r="GG99" s="294"/>
      <c r="GH99" s="294"/>
      <c r="GI99" s="294"/>
      <c r="GJ99" s="294"/>
      <c r="GK99" s="294"/>
      <c r="GL99" s="294"/>
      <c r="GM99" s="294"/>
      <c r="GN99" s="294"/>
      <c r="GO99" s="294"/>
      <c r="GP99" s="294"/>
      <c r="GQ99" s="294"/>
      <c r="GR99" s="294"/>
      <c r="GS99" s="294"/>
      <c r="GT99" s="294">
        <v>-290</v>
      </c>
      <c r="GU99" s="294"/>
      <c r="GV99" s="294"/>
      <c r="GW99" s="294"/>
      <c r="GX99" s="294"/>
      <c r="GY99" s="294"/>
      <c r="GZ99" s="294"/>
      <c r="HA99" s="294">
        <v>-4409</v>
      </c>
      <c r="HB99" s="294"/>
      <c r="HC99" s="294"/>
      <c r="HD99" s="294">
        <v>-917.66</v>
      </c>
      <c r="HE99" s="294">
        <v>-3634</v>
      </c>
      <c r="HF99" s="294">
        <v>-116209.45</v>
      </c>
      <c r="HG99" s="294">
        <v>-15266</v>
      </c>
      <c r="HH99" s="294"/>
      <c r="HI99" s="294"/>
      <c r="HJ99" s="294"/>
      <c r="HK99" s="294"/>
      <c r="HL99" s="294"/>
      <c r="HM99" s="294"/>
      <c r="HN99" s="294"/>
      <c r="HO99" s="294"/>
      <c r="HP99" s="294"/>
      <c r="HQ99" s="294"/>
      <c r="HR99" s="294"/>
      <c r="HS99" s="294"/>
      <c r="HT99" s="294"/>
      <c r="HU99" s="294"/>
      <c r="HV99" s="294">
        <v>-4358.16</v>
      </c>
      <c r="HW99" s="294"/>
      <c r="HX99" s="294"/>
      <c r="HY99" s="294"/>
      <c r="HZ99" s="294"/>
      <c r="IA99" s="294"/>
      <c r="IB99" s="294"/>
      <c r="IC99" s="294"/>
      <c r="ID99" s="294"/>
      <c r="IE99" s="294"/>
      <c r="IF99" s="294"/>
      <c r="IG99" s="294"/>
      <c r="IH99" s="294"/>
      <c r="II99" s="294"/>
      <c r="IJ99" s="294"/>
      <c r="IK99" s="294">
        <v>-4559.5</v>
      </c>
      <c r="IL99" s="294"/>
      <c r="IM99" s="294"/>
      <c r="IN99" s="294"/>
      <c r="IO99" s="294"/>
      <c r="IP99" s="294"/>
      <c r="IQ99" s="294"/>
      <c r="IR99" s="294">
        <v>-1210</v>
      </c>
      <c r="IS99" s="294"/>
      <c r="IT99" s="294"/>
      <c r="IU99" s="294"/>
      <c r="IV99" s="294"/>
      <c r="IW99" s="294"/>
      <c r="IX99" s="294"/>
      <c r="IY99" s="294"/>
      <c r="IZ99" s="294"/>
      <c r="JA99" s="294"/>
      <c r="JB99" s="294"/>
      <c r="JC99" s="294"/>
      <c r="JD99" s="294"/>
      <c r="JE99" s="294"/>
      <c r="JF99" s="294"/>
      <c r="JG99" s="294">
        <v>-28548</v>
      </c>
      <c r="JH99" s="294"/>
      <c r="JI99" s="294"/>
      <c r="JJ99" s="294"/>
      <c r="JK99" s="294">
        <v>-3154</v>
      </c>
      <c r="JL99" s="294"/>
      <c r="JM99" s="294"/>
      <c r="JN99" s="294"/>
      <c r="JO99" s="294"/>
      <c r="JP99" s="294"/>
      <c r="JQ99" s="294"/>
      <c r="JR99" s="294"/>
      <c r="JS99" s="294"/>
      <c r="JT99" s="294"/>
      <c r="JU99" s="294"/>
      <c r="JV99" s="294"/>
      <c r="JW99" s="294"/>
      <c r="JX99" s="294"/>
      <c r="JY99" s="294"/>
      <c r="JZ99" s="294"/>
      <c r="KA99" s="294"/>
      <c r="KB99" s="294"/>
      <c r="KC99" s="294"/>
      <c r="KD99" s="294"/>
      <c r="KE99" s="294"/>
      <c r="KF99" s="294"/>
      <c r="KG99" s="294"/>
      <c r="KH99" s="294"/>
      <c r="KI99" s="294">
        <v>-6583</v>
      </c>
      <c r="KJ99" s="294"/>
      <c r="KK99" s="294">
        <v>-20800</v>
      </c>
      <c r="KL99" s="294"/>
      <c r="KM99" s="294">
        <v>-3560</v>
      </c>
      <c r="KN99" s="294"/>
      <c r="KO99" s="294"/>
      <c r="KP99" s="294">
        <v>-19138</v>
      </c>
      <c r="KQ99" s="294">
        <v>-757</v>
      </c>
      <c r="KR99" s="294">
        <v>-1680</v>
      </c>
      <c r="KS99" s="294">
        <v>-4450</v>
      </c>
      <c r="KT99" s="294">
        <v>-700</v>
      </c>
      <c r="KU99" s="294"/>
      <c r="KV99" s="294"/>
      <c r="KW99" s="294"/>
      <c r="KX99" s="294"/>
      <c r="KY99" s="294"/>
      <c r="KZ99" s="294"/>
      <c r="LA99" s="294"/>
      <c r="LB99" s="294"/>
      <c r="LC99" s="294"/>
      <c r="LD99" s="294"/>
      <c r="LE99" s="294">
        <v>-55</v>
      </c>
      <c r="LF99" s="294"/>
      <c r="LG99" s="294"/>
      <c r="LH99" s="294"/>
      <c r="LI99" s="294"/>
      <c r="LJ99" s="294">
        <v>-6280</v>
      </c>
      <c r="LK99" s="294">
        <v>-280205.45</v>
      </c>
      <c r="LL99" s="294"/>
      <c r="LM99" s="294"/>
      <c r="LN99" s="294"/>
      <c r="LO99" s="294"/>
      <c r="LP99" s="294">
        <v>-15930</v>
      </c>
      <c r="LQ99" s="294"/>
      <c r="LR99" s="294"/>
      <c r="LS99" s="294"/>
      <c r="LT99" s="294"/>
      <c r="LU99" s="294"/>
      <c r="LV99" s="294"/>
      <c r="LW99" s="294"/>
      <c r="LX99" s="294">
        <v>-3784</v>
      </c>
      <c r="LY99" s="294"/>
      <c r="LZ99" s="294"/>
      <c r="MA99" s="294"/>
      <c r="MB99" s="294"/>
      <c r="MC99" s="294"/>
      <c r="MD99" s="294"/>
      <c r="ME99" s="294">
        <v>-508</v>
      </c>
      <c r="MF99" s="294"/>
      <c r="MG99" s="294"/>
      <c r="MH99" s="294"/>
      <c r="MI99" s="294"/>
      <c r="MJ99" s="294"/>
      <c r="MK99" s="294"/>
      <c r="ML99" s="294"/>
      <c r="MM99" s="294"/>
      <c r="MN99" s="294"/>
      <c r="MO99" s="294"/>
      <c r="MP99" s="294"/>
      <c r="MQ99" s="294"/>
      <c r="MR99" s="294"/>
      <c r="MS99" s="294">
        <v>-11166</v>
      </c>
      <c r="MT99" s="294"/>
      <c r="MU99" s="294">
        <v>-5097.5</v>
      </c>
      <c r="MV99" s="294"/>
      <c r="MW99" s="294"/>
      <c r="MX99" s="294"/>
      <c r="MY99" s="294"/>
      <c r="MZ99" s="294"/>
      <c r="NA99" s="294">
        <v>-1000</v>
      </c>
      <c r="NB99" s="294"/>
      <c r="NC99" s="294"/>
      <c r="ND99" s="294"/>
      <c r="NE99" s="294"/>
      <c r="NF99" s="294"/>
      <c r="NG99" s="294"/>
      <c r="NH99" s="294">
        <v>-4931.25</v>
      </c>
      <c r="NI99" s="294"/>
      <c r="NJ99" s="294">
        <v>-8715</v>
      </c>
      <c r="NK99" s="294">
        <v>-620</v>
      </c>
      <c r="NL99" s="294"/>
      <c r="NM99" s="294"/>
      <c r="NN99" s="294"/>
      <c r="NO99" s="294">
        <v>0</v>
      </c>
      <c r="NP99" s="294">
        <v>0</v>
      </c>
      <c r="NQ99" s="294">
        <v>-93086.75</v>
      </c>
      <c r="NR99" s="294">
        <v>-1400</v>
      </c>
      <c r="NS99" s="294">
        <v>-20077.2</v>
      </c>
      <c r="NT99" s="294">
        <v>-2807</v>
      </c>
      <c r="NU99" s="294">
        <v>-402</v>
      </c>
      <c r="NV99" s="294">
        <v>-1405</v>
      </c>
      <c r="NW99" s="294"/>
      <c r="NX99" s="294"/>
      <c r="NY99" s="294">
        <v>-138485</v>
      </c>
      <c r="NZ99" s="294"/>
      <c r="OA99" s="294"/>
      <c r="OB99" s="294"/>
      <c r="OC99" s="294"/>
      <c r="OD99" s="294"/>
      <c r="OE99" s="294"/>
      <c r="OF99" s="294">
        <v>-2179.9499999999998</v>
      </c>
      <c r="OG99" s="294"/>
      <c r="OH99" s="294">
        <v>-4340</v>
      </c>
      <c r="OI99" s="294">
        <v>-5001</v>
      </c>
      <c r="OJ99" s="294"/>
      <c r="OK99" s="294"/>
      <c r="OL99" s="294"/>
      <c r="OM99" s="294"/>
      <c r="ON99" s="294"/>
      <c r="OO99" s="294">
        <v>-12107</v>
      </c>
      <c r="OP99" s="294">
        <v>-1467</v>
      </c>
      <c r="OQ99" s="294"/>
      <c r="OR99" s="294"/>
      <c r="OS99" s="294"/>
      <c r="OT99" s="294"/>
      <c r="OU99" s="294">
        <v>-700</v>
      </c>
      <c r="OV99" s="294"/>
      <c r="OW99" s="294"/>
      <c r="OX99" s="294">
        <v>-7111</v>
      </c>
      <c r="OY99" s="294"/>
      <c r="OZ99" s="294"/>
      <c r="PA99" s="294"/>
      <c r="PB99" s="294"/>
      <c r="PC99" s="294"/>
      <c r="PD99" s="294"/>
      <c r="PE99" s="294"/>
      <c r="PF99" s="294"/>
      <c r="PG99" s="294"/>
      <c r="PH99" s="294"/>
      <c r="PI99" s="294"/>
      <c r="PJ99" s="294"/>
      <c r="PK99" s="294">
        <v>-1194</v>
      </c>
      <c r="PL99" s="294"/>
      <c r="PM99" s="294"/>
      <c r="PN99" s="294"/>
      <c r="PO99" s="294">
        <v>-3412.8</v>
      </c>
      <c r="PP99" s="294"/>
      <c r="PQ99" s="294"/>
      <c r="PR99" s="294"/>
      <c r="PS99" s="294"/>
      <c r="PT99" s="294"/>
      <c r="PU99" s="294"/>
      <c r="PV99" s="294"/>
      <c r="PW99" s="294"/>
      <c r="PX99" s="294"/>
      <c r="PY99" s="294"/>
      <c r="PZ99" s="294"/>
      <c r="QA99" s="294"/>
      <c r="QB99" s="294"/>
      <c r="QC99" s="294"/>
      <c r="QD99" s="294"/>
      <c r="QE99" s="294"/>
      <c r="QF99" s="294"/>
      <c r="QG99" s="294"/>
      <c r="QH99" s="294"/>
      <c r="QI99" s="294"/>
      <c r="QJ99" s="294"/>
      <c r="QK99" s="294"/>
      <c r="QL99" s="294"/>
      <c r="QM99" s="294"/>
      <c r="QN99" s="294"/>
      <c r="QO99" s="294"/>
      <c r="QP99" s="294"/>
      <c r="QQ99" s="294"/>
      <c r="QR99" s="294"/>
      <c r="QS99" s="294"/>
      <c r="QT99" s="294"/>
      <c r="QU99" s="294"/>
      <c r="QV99" s="294"/>
      <c r="QW99" s="294">
        <v>-2094.75</v>
      </c>
      <c r="QX99" s="294"/>
      <c r="QY99" s="294">
        <v>-2100</v>
      </c>
      <c r="QZ99" s="294"/>
      <c r="RA99" s="294"/>
      <c r="RB99" s="294"/>
      <c r="RC99" s="294"/>
      <c r="RD99" s="294"/>
      <c r="RE99" s="294"/>
      <c r="RF99" s="294"/>
      <c r="RG99" s="294"/>
      <c r="RH99" s="294"/>
      <c r="RI99" s="294"/>
      <c r="RJ99" s="294"/>
      <c r="RK99" s="294"/>
      <c r="RL99" s="294"/>
      <c r="RM99" s="294"/>
      <c r="RN99" s="294"/>
      <c r="RO99" s="294"/>
      <c r="RP99" s="294"/>
      <c r="RQ99" s="294"/>
      <c r="RR99" s="294"/>
      <c r="RS99" s="294"/>
      <c r="RT99" s="294"/>
      <c r="RU99" s="294"/>
      <c r="RV99" s="294"/>
      <c r="RW99" s="294"/>
      <c r="RX99" s="294"/>
      <c r="RY99" s="294"/>
      <c r="RZ99" s="294"/>
      <c r="SA99" s="294">
        <v>-213</v>
      </c>
      <c r="SB99" s="294"/>
      <c r="SC99" s="294">
        <v>-14188</v>
      </c>
      <c r="SD99" s="294">
        <v>-31674</v>
      </c>
      <c r="SE99" s="294"/>
      <c r="SF99" s="294"/>
      <c r="SG99" s="294"/>
      <c r="SH99" s="294">
        <v>-5420</v>
      </c>
      <c r="SI99" s="294">
        <v>-1650</v>
      </c>
      <c r="SJ99" s="294"/>
      <c r="SK99" s="294">
        <v>-70608</v>
      </c>
      <c r="SL99" s="294"/>
      <c r="SM99" s="294">
        <v>0</v>
      </c>
      <c r="SN99" s="294"/>
      <c r="SO99" s="294"/>
      <c r="SP99" s="294"/>
      <c r="SQ99" s="294">
        <v>-12209</v>
      </c>
      <c r="SR99" s="294"/>
      <c r="SS99" s="294"/>
      <c r="ST99" s="294">
        <v>-17415</v>
      </c>
      <c r="SU99" s="294"/>
      <c r="SV99" s="294"/>
      <c r="SW99" s="294"/>
      <c r="SX99" s="294"/>
      <c r="SY99" s="294"/>
      <c r="SZ99" s="294"/>
      <c r="TA99" s="294"/>
      <c r="TB99" s="294"/>
      <c r="TC99" s="294"/>
      <c r="TD99" s="294"/>
      <c r="TE99" s="294"/>
      <c r="TF99" s="294"/>
      <c r="TG99" s="294"/>
      <c r="TH99" s="294"/>
      <c r="TI99" s="294"/>
      <c r="TJ99" s="294"/>
      <c r="TK99" s="294"/>
      <c r="TL99" s="294"/>
      <c r="TM99" s="294">
        <v>-900</v>
      </c>
      <c r="TN99" s="294"/>
      <c r="TO99" s="294"/>
      <c r="TP99" s="294"/>
      <c r="TQ99" s="294"/>
      <c r="TR99" s="294"/>
      <c r="TS99" s="294"/>
      <c r="TT99" s="294"/>
      <c r="TU99" s="294"/>
      <c r="TV99" s="294"/>
      <c r="TW99" s="294"/>
      <c r="TX99" s="294"/>
      <c r="TY99" s="294">
        <v>-1117</v>
      </c>
      <c r="TZ99" s="294"/>
      <c r="UA99" s="294">
        <v>-20500.5</v>
      </c>
      <c r="UB99" s="294">
        <v>-79422.3</v>
      </c>
      <c r="UC99" s="294">
        <v>-27011</v>
      </c>
      <c r="UD99" s="294">
        <v>-34452</v>
      </c>
      <c r="UE99" s="294">
        <v>-12890</v>
      </c>
      <c r="UF99" s="294">
        <v>-1720</v>
      </c>
      <c r="UG99" s="294"/>
      <c r="UH99" s="294"/>
      <c r="UI99" s="294"/>
      <c r="UJ99" s="294"/>
      <c r="UK99" s="294"/>
      <c r="UL99" s="294"/>
      <c r="UM99" s="294"/>
      <c r="UN99" s="294"/>
      <c r="UO99" s="294"/>
      <c r="UP99" s="294"/>
      <c r="UQ99" s="294"/>
      <c r="UR99" s="294"/>
      <c r="US99" s="294">
        <v>-2100</v>
      </c>
      <c r="UT99" s="294"/>
      <c r="UU99" s="294"/>
      <c r="UV99" s="294"/>
      <c r="UW99" s="294">
        <v>-2262</v>
      </c>
      <c r="UX99" s="294"/>
      <c r="UY99" s="294"/>
      <c r="UZ99" s="294"/>
      <c r="VA99" s="294"/>
      <c r="VB99" s="294">
        <v>-4652.75</v>
      </c>
      <c r="VC99" s="294"/>
      <c r="VD99" s="294"/>
      <c r="VE99" s="294"/>
      <c r="VF99" s="294"/>
      <c r="VG99" s="294"/>
      <c r="VH99" s="294"/>
      <c r="VI99" s="294"/>
      <c r="VJ99" s="294"/>
      <c r="VK99" s="294"/>
      <c r="VL99" s="294">
        <v>-1342.5</v>
      </c>
      <c r="VM99" s="294"/>
      <c r="VN99" s="294">
        <v>-8850</v>
      </c>
      <c r="VO99" s="294"/>
      <c r="VP99" s="294"/>
      <c r="VQ99" s="294"/>
      <c r="VR99" s="294"/>
      <c r="VS99" s="294"/>
      <c r="VT99" s="294"/>
      <c r="VU99" s="294"/>
      <c r="VV99" s="294"/>
      <c r="VW99" s="294"/>
      <c r="VX99" s="294"/>
      <c r="VY99" s="294"/>
      <c r="VZ99" s="294"/>
      <c r="WA99" s="294"/>
      <c r="WB99" s="294"/>
      <c r="WC99" s="294"/>
      <c r="WD99" s="294"/>
      <c r="WE99" s="294"/>
      <c r="WF99" s="294"/>
      <c r="WG99" s="294"/>
      <c r="WH99" s="294"/>
      <c r="WI99" s="294"/>
      <c r="WJ99" s="294"/>
      <c r="WK99" s="294"/>
      <c r="WL99" s="294">
        <v>-840</v>
      </c>
      <c r="WM99" s="294"/>
      <c r="WN99" s="294"/>
      <c r="WO99" s="294"/>
      <c r="WP99" s="294"/>
      <c r="WQ99" s="294"/>
      <c r="WR99" s="294">
        <v>-3358</v>
      </c>
      <c r="WS99" s="294"/>
      <c r="WT99" s="294"/>
      <c r="WU99" s="294"/>
      <c r="WV99" s="294"/>
      <c r="WW99" s="294"/>
      <c r="WX99" s="294">
        <v>-13335.75</v>
      </c>
      <c r="WY99" s="294"/>
      <c r="WZ99" s="294"/>
      <c r="XA99" s="294"/>
      <c r="XB99" s="294"/>
      <c r="XC99" s="294"/>
      <c r="XD99" s="294"/>
      <c r="XE99" s="294"/>
      <c r="XF99" s="294"/>
      <c r="XG99" s="294"/>
      <c r="XH99" s="294"/>
      <c r="XI99" s="294"/>
      <c r="XJ99" s="294"/>
      <c r="XK99" s="294"/>
      <c r="XL99" s="294"/>
      <c r="XM99" s="294"/>
      <c r="XN99" s="294"/>
      <c r="XO99" s="294"/>
      <c r="XP99" s="294"/>
      <c r="XQ99" s="294"/>
      <c r="XR99" s="294"/>
      <c r="XS99" s="294"/>
      <c r="XT99" s="294"/>
      <c r="XU99" s="294"/>
      <c r="XV99" s="294"/>
      <c r="XW99" s="294"/>
      <c r="XX99" s="294"/>
      <c r="XY99" s="294"/>
      <c r="XZ99" s="294"/>
      <c r="YA99" s="294"/>
      <c r="YB99" s="294"/>
      <c r="YC99" s="294"/>
      <c r="YD99" s="294"/>
      <c r="YE99" s="294"/>
      <c r="YF99" s="294"/>
      <c r="YG99" s="294"/>
      <c r="YH99" s="294"/>
      <c r="YI99" s="294"/>
      <c r="YJ99" s="294"/>
      <c r="YK99" s="294"/>
      <c r="YL99" s="294"/>
      <c r="YM99" s="294"/>
      <c r="YN99" s="294"/>
      <c r="YO99" s="294"/>
      <c r="YP99" s="294"/>
      <c r="YQ99" s="294"/>
      <c r="YR99" s="294"/>
      <c r="YS99" s="294"/>
      <c r="YT99" s="294"/>
      <c r="YU99" s="294"/>
      <c r="YV99" s="294">
        <v>-700</v>
      </c>
      <c r="YW99" s="294"/>
      <c r="YX99" s="294"/>
      <c r="YY99" s="294"/>
      <c r="YZ99" s="294"/>
      <c r="ZA99" s="294"/>
      <c r="ZB99" s="294"/>
      <c r="ZC99" s="294"/>
      <c r="ZD99" s="294"/>
      <c r="ZE99" s="294"/>
      <c r="ZF99" s="294"/>
      <c r="ZG99" s="294"/>
      <c r="ZH99" s="294"/>
      <c r="ZI99" s="294"/>
      <c r="ZJ99" s="294"/>
      <c r="ZK99" s="294"/>
      <c r="ZL99" s="294"/>
      <c r="ZM99" s="294"/>
      <c r="ZN99" s="294"/>
      <c r="ZO99" s="294"/>
      <c r="ZP99" s="294"/>
      <c r="ZQ99" s="294"/>
      <c r="ZR99" s="294"/>
      <c r="ZS99" s="294"/>
      <c r="ZT99" s="294"/>
      <c r="ZU99" s="294"/>
      <c r="ZV99" s="294"/>
      <c r="ZW99" s="294"/>
      <c r="ZX99" s="294"/>
      <c r="ZY99" s="294"/>
      <c r="ZZ99" s="294"/>
      <c r="AAA99" s="294"/>
      <c r="AAB99" s="294"/>
      <c r="AAC99" s="294"/>
      <c r="AAD99" s="294"/>
      <c r="AAE99" s="294"/>
      <c r="AAF99" s="294"/>
      <c r="AAG99" s="294"/>
      <c r="AAH99" s="294"/>
      <c r="AAI99" s="294">
        <v>-2320</v>
      </c>
      <c r="AAJ99" s="294"/>
      <c r="AAK99" s="294"/>
      <c r="AAL99" s="294"/>
      <c r="AAM99" s="294"/>
      <c r="AAN99" s="294">
        <v>-659</v>
      </c>
      <c r="AAO99" s="294"/>
      <c r="AAP99" s="294"/>
      <c r="AAQ99" s="294"/>
      <c r="AAR99" s="294"/>
      <c r="AAS99" s="294"/>
      <c r="AAT99" s="294"/>
      <c r="AAU99" s="294"/>
      <c r="AAV99" s="294"/>
      <c r="AAW99" s="294"/>
      <c r="AAX99" s="294"/>
      <c r="AAY99" s="294"/>
      <c r="AAZ99" s="294"/>
      <c r="ABA99" s="294"/>
      <c r="ABB99" s="294"/>
      <c r="ABC99" s="294">
        <v>0</v>
      </c>
      <c r="ABD99" s="294"/>
      <c r="ABE99" s="294"/>
      <c r="ABF99" s="294"/>
      <c r="ABG99" s="294"/>
      <c r="ABH99" s="294"/>
      <c r="ABI99" s="294"/>
      <c r="ABJ99" s="294"/>
      <c r="ABK99" s="294">
        <v>0</v>
      </c>
      <c r="ABL99" s="294"/>
      <c r="ABM99" s="294"/>
      <c r="ABN99" s="294"/>
      <c r="ABO99" s="294"/>
      <c r="ABP99" s="294"/>
      <c r="ABQ99" s="294"/>
      <c r="ABR99" s="294"/>
      <c r="ABS99" s="294"/>
      <c r="ABT99" s="294"/>
      <c r="ABU99" s="294"/>
      <c r="ABV99" s="294"/>
      <c r="ABW99" s="294"/>
      <c r="ABX99" s="294"/>
      <c r="ABY99" s="294"/>
      <c r="ABZ99" s="294"/>
      <c r="ACA99" s="294">
        <v>-301.5</v>
      </c>
      <c r="ACB99" s="294"/>
      <c r="ACC99" s="294"/>
      <c r="ACD99" s="294"/>
      <c r="ACE99" s="294"/>
      <c r="ACF99" s="294"/>
      <c r="ACG99" s="294"/>
      <c r="ACH99" s="294"/>
      <c r="ACI99" s="294"/>
      <c r="ACJ99" s="294"/>
      <c r="ACK99" s="294"/>
      <c r="ACL99" s="294">
        <v>-8095</v>
      </c>
      <c r="ACM99" s="294"/>
      <c r="ACN99" s="294"/>
      <c r="ACO99" s="294"/>
      <c r="ACP99" s="294"/>
      <c r="ACQ99" s="294"/>
      <c r="ACR99" s="294"/>
      <c r="ACS99" s="294"/>
      <c r="ACT99" s="294"/>
      <c r="ACU99" s="294"/>
      <c r="ACV99" s="294"/>
      <c r="ACW99" s="294"/>
      <c r="ACX99" s="294"/>
      <c r="ACY99" s="294"/>
      <c r="ACZ99" s="294"/>
      <c r="ADA99" s="294"/>
      <c r="ADB99" s="294"/>
      <c r="ADC99" s="294"/>
      <c r="ADD99" s="294"/>
      <c r="ADE99" s="294"/>
      <c r="ADF99" s="294"/>
      <c r="ADG99" s="294"/>
      <c r="ADH99" s="294"/>
      <c r="ADI99" s="294"/>
      <c r="ADJ99" s="294"/>
      <c r="ADK99" s="294"/>
      <c r="ADL99" s="294">
        <v>-50</v>
      </c>
      <c r="ADM99" s="294"/>
      <c r="ADN99" s="294"/>
      <c r="ADO99" s="294"/>
      <c r="ADP99" s="294"/>
      <c r="ADQ99" s="294">
        <v>0</v>
      </c>
      <c r="ADR99" s="294"/>
      <c r="ADS99" s="294"/>
      <c r="ADT99" s="294">
        <v>0</v>
      </c>
      <c r="ADU99" s="294"/>
      <c r="ADV99" s="294"/>
      <c r="ADW99" s="294"/>
      <c r="ADX99" s="294"/>
      <c r="ADY99" s="294"/>
      <c r="ADZ99" s="294"/>
      <c r="AEA99" s="294"/>
      <c r="AEB99" s="294">
        <v>-23052</v>
      </c>
      <c r="AEC99" s="294"/>
      <c r="AED99" s="294"/>
      <c r="AEE99" s="294"/>
      <c r="AEF99" s="294"/>
      <c r="AEG99" s="294"/>
      <c r="AEH99" s="294">
        <v>-7364.75</v>
      </c>
      <c r="AEI99" s="294"/>
      <c r="AEJ99" s="294">
        <v>-1532.4</v>
      </c>
      <c r="AEK99" s="294"/>
      <c r="AEL99" s="294"/>
      <c r="AEM99" s="294"/>
      <c r="AEN99" s="294"/>
      <c r="AEO99" s="294"/>
      <c r="AEP99" s="294"/>
      <c r="AEQ99" s="294"/>
      <c r="AER99" s="294"/>
      <c r="AES99" s="294">
        <v>0</v>
      </c>
      <c r="AET99" s="294"/>
      <c r="AEU99" s="294">
        <v>-10</v>
      </c>
      <c r="AEV99" s="294"/>
      <c r="AEW99" s="294"/>
      <c r="AEX99" s="294"/>
      <c r="AEY99" s="294"/>
      <c r="AEZ99" s="294"/>
      <c r="AFA99" s="294"/>
      <c r="AFB99" s="294"/>
      <c r="AFC99" s="294"/>
      <c r="AFD99" s="294"/>
      <c r="AFE99" s="294"/>
      <c r="AFF99" s="294"/>
      <c r="AFG99" s="294"/>
      <c r="AFH99" s="294"/>
      <c r="AFI99" s="294">
        <v>-1635</v>
      </c>
      <c r="AFJ99" s="294"/>
      <c r="AFK99" s="294"/>
      <c r="AFL99" s="294">
        <v>-2031</v>
      </c>
      <c r="AFM99" s="294"/>
      <c r="AFN99" s="294"/>
      <c r="AFO99" s="294"/>
      <c r="AFP99" s="294"/>
      <c r="AFQ99" s="294"/>
      <c r="AFR99" s="294"/>
      <c r="AFS99" s="294"/>
      <c r="AFT99" s="294"/>
      <c r="AFU99" s="294"/>
      <c r="AFV99" s="294"/>
      <c r="AFW99" s="294"/>
      <c r="AFX99" s="294"/>
      <c r="AFY99" s="294"/>
      <c r="AFZ99" s="294"/>
      <c r="AGA99" s="294"/>
      <c r="AGB99" s="294"/>
      <c r="AGC99" s="294"/>
      <c r="AGD99" s="294"/>
      <c r="AGE99" s="294"/>
      <c r="AGF99" s="294"/>
      <c r="AGG99" s="294"/>
      <c r="AGH99" s="294"/>
      <c r="AGI99" s="294"/>
      <c r="AGJ99" s="294"/>
      <c r="AGK99" s="294"/>
      <c r="AGL99" s="294"/>
      <c r="AGM99" s="294"/>
      <c r="AGN99" s="294"/>
      <c r="AGO99" s="294"/>
      <c r="AGP99" s="294"/>
      <c r="AGQ99" s="294"/>
      <c r="AGR99" s="294"/>
      <c r="AGS99" s="294"/>
      <c r="AGT99" s="294"/>
      <c r="AGU99" s="294">
        <v>0</v>
      </c>
      <c r="AGV99" s="294">
        <v>-2816</v>
      </c>
      <c r="AGW99" s="294"/>
      <c r="AGX99" s="294"/>
      <c r="AGY99" s="294"/>
      <c r="AGZ99" s="294"/>
      <c r="AHA99" s="294"/>
      <c r="AHB99" s="294"/>
      <c r="AHC99" s="294"/>
      <c r="AHD99" s="294"/>
      <c r="AHE99" s="294">
        <v>-12943.75</v>
      </c>
      <c r="AHF99" s="294"/>
      <c r="AHG99" s="294">
        <v>-150</v>
      </c>
      <c r="AHH99" s="294"/>
      <c r="AHI99" s="294"/>
      <c r="AHJ99" s="294"/>
      <c r="AHK99" s="294"/>
      <c r="AHL99" s="294"/>
      <c r="AHM99" s="294"/>
      <c r="AHN99" s="294"/>
      <c r="AHO99" s="294"/>
      <c r="AHP99" s="294"/>
      <c r="AHQ99" s="294"/>
      <c r="AHR99" s="331"/>
      <c r="AHS99" s="294">
        <f t="shared" si="51"/>
        <v>-4215305.7000000011</v>
      </c>
      <c r="AHT99" s="269" t="b">
        <f t="shared" si="52"/>
        <v>1</v>
      </c>
      <c r="AHU99" s="269" t="s">
        <v>6278</v>
      </c>
      <c r="AHV99" s="269" t="s">
        <v>6141</v>
      </c>
      <c r="AHW99" s="269" t="s">
        <v>6142</v>
      </c>
    </row>
    <row r="100" spans="1:907" ht="24.6" x14ac:dyDescent="0.7">
      <c r="A100" s="268" t="s">
        <v>6278</v>
      </c>
      <c r="B100" s="268" t="s">
        <v>6143</v>
      </c>
      <c r="C100" s="269" t="s">
        <v>6144</v>
      </c>
      <c r="D100" s="294">
        <v>-530000</v>
      </c>
      <c r="E100" s="294"/>
      <c r="F100" s="294">
        <v>-1265625</v>
      </c>
      <c r="G100" s="294"/>
      <c r="H100" s="294">
        <v>-2412878.5</v>
      </c>
      <c r="I100" s="294"/>
      <c r="J100" s="294">
        <v>-510335.05</v>
      </c>
      <c r="K100" s="294">
        <v>-350112.5</v>
      </c>
      <c r="L100" s="294">
        <v>-1118739.29</v>
      </c>
      <c r="M100" s="294"/>
      <c r="N100" s="294"/>
      <c r="O100" s="294"/>
      <c r="P100" s="294"/>
      <c r="Q100" s="294">
        <v>-219820</v>
      </c>
      <c r="R100" s="294">
        <v>-1213510</v>
      </c>
      <c r="S100" s="294">
        <v>-673171</v>
      </c>
      <c r="T100" s="294"/>
      <c r="U100" s="294">
        <v>-715768</v>
      </c>
      <c r="V100" s="294">
        <v>-269000</v>
      </c>
      <c r="W100" s="294">
        <v>-2685450.7</v>
      </c>
      <c r="X100" s="294">
        <v>-1866851.7</v>
      </c>
      <c r="Y100" s="294">
        <v>-1303069</v>
      </c>
      <c r="Z100" s="294">
        <v>-884687.5</v>
      </c>
      <c r="AA100" s="294">
        <v>-1487525</v>
      </c>
      <c r="AB100" s="294">
        <v>-1340021.57</v>
      </c>
      <c r="AC100" s="294">
        <v>-1405937.5</v>
      </c>
      <c r="AD100" s="294">
        <v>-2475955</v>
      </c>
      <c r="AE100" s="294">
        <v>-5433165.4000000004</v>
      </c>
      <c r="AF100" s="294">
        <v>-2710843</v>
      </c>
      <c r="AG100" s="294">
        <v>-528863.5</v>
      </c>
      <c r="AH100" s="294">
        <v>-1163991</v>
      </c>
      <c r="AI100" s="294">
        <v>-3925209.29</v>
      </c>
      <c r="AJ100" s="294">
        <v>-1989297.5</v>
      </c>
      <c r="AK100" s="294">
        <v>-1628912.86</v>
      </c>
      <c r="AL100" s="294">
        <v>-596725</v>
      </c>
      <c r="AM100" s="294">
        <v>0</v>
      </c>
      <c r="AN100" s="294">
        <v>-515432.9</v>
      </c>
      <c r="AO100" s="294">
        <v>-1296345</v>
      </c>
      <c r="AP100" s="294">
        <v>-1957830.95</v>
      </c>
      <c r="AQ100" s="294">
        <v>-1073911.48</v>
      </c>
      <c r="AR100" s="294">
        <v>-417292.5</v>
      </c>
      <c r="AS100" s="294">
        <v>-1131268.3</v>
      </c>
      <c r="AT100" s="294">
        <v>0</v>
      </c>
      <c r="AU100" s="294">
        <v>-893179.97</v>
      </c>
      <c r="AV100" s="294">
        <v>-867721.68</v>
      </c>
      <c r="AW100" s="294">
        <v>-793850.96</v>
      </c>
      <c r="AX100" s="294">
        <v>-3505941.91</v>
      </c>
      <c r="AY100" s="294">
        <v>-1933696.58</v>
      </c>
      <c r="AZ100" s="294">
        <v>-663889.99</v>
      </c>
      <c r="BA100" s="294">
        <v>-909457.63</v>
      </c>
      <c r="BB100" s="294">
        <v>-158731.19</v>
      </c>
      <c r="BC100" s="294">
        <v>-989882.48</v>
      </c>
      <c r="BD100" s="294">
        <v>-253796.24</v>
      </c>
      <c r="BE100" s="294">
        <v>-1442676.22</v>
      </c>
      <c r="BF100" s="294">
        <v>-4897047.5</v>
      </c>
      <c r="BG100" s="294">
        <v>-455051.06</v>
      </c>
      <c r="BH100" s="294">
        <v>-645374.78</v>
      </c>
      <c r="BI100" s="294">
        <v>-196755</v>
      </c>
      <c r="BJ100" s="294">
        <v>0</v>
      </c>
      <c r="BK100" s="294">
        <v>-1504543.71</v>
      </c>
      <c r="BL100" s="294">
        <v>-1243849.1599999999</v>
      </c>
      <c r="BM100" s="294">
        <v>-1660660</v>
      </c>
      <c r="BN100" s="294">
        <v>-1136306.8600000001</v>
      </c>
      <c r="BO100" s="294">
        <v>-2342512.83</v>
      </c>
      <c r="BP100" s="294"/>
      <c r="BQ100" s="294">
        <v>-447334</v>
      </c>
      <c r="BR100" s="294">
        <v>-2207273</v>
      </c>
      <c r="BS100" s="294"/>
      <c r="BT100" s="294"/>
      <c r="BU100" s="294"/>
      <c r="BV100" s="294"/>
      <c r="BW100" s="294"/>
      <c r="BX100" s="294"/>
      <c r="BY100" s="294"/>
      <c r="BZ100" s="294">
        <v>-22700</v>
      </c>
      <c r="CA100" s="294"/>
      <c r="CB100" s="294">
        <v>-1135767</v>
      </c>
      <c r="CC100" s="294"/>
      <c r="CD100" s="294"/>
      <c r="CE100" s="294"/>
      <c r="CF100" s="294"/>
      <c r="CG100" s="294">
        <v>-744560</v>
      </c>
      <c r="CH100" s="294">
        <v>-816882.5</v>
      </c>
      <c r="CI100" s="294">
        <v>-2715274</v>
      </c>
      <c r="CJ100" s="294">
        <v>-254490</v>
      </c>
      <c r="CK100" s="294">
        <v>-3566.35</v>
      </c>
      <c r="CL100" s="294">
        <v>-1160500</v>
      </c>
      <c r="CM100" s="294">
        <v>-106320</v>
      </c>
      <c r="CN100" s="294">
        <v>-2918425</v>
      </c>
      <c r="CO100" s="294">
        <v>-24000</v>
      </c>
      <c r="CP100" s="294">
        <v>-1036580</v>
      </c>
      <c r="CQ100" s="294">
        <v>-680125</v>
      </c>
      <c r="CR100" s="294">
        <v>-532267.5</v>
      </c>
      <c r="CS100" s="294">
        <v>-670245.25</v>
      </c>
      <c r="CT100" s="294">
        <v>-154634</v>
      </c>
      <c r="CU100" s="294"/>
      <c r="CV100" s="294"/>
      <c r="CW100" s="294"/>
      <c r="CX100" s="294"/>
      <c r="CY100" s="294"/>
      <c r="CZ100" s="294"/>
      <c r="DA100" s="294"/>
      <c r="DB100" s="294">
        <v>-374633</v>
      </c>
      <c r="DC100" s="294">
        <v>-383997</v>
      </c>
      <c r="DD100" s="294"/>
      <c r="DE100" s="294"/>
      <c r="DF100" s="294"/>
      <c r="DG100" s="294"/>
      <c r="DH100" s="294">
        <v>0</v>
      </c>
      <c r="DI100" s="294"/>
      <c r="DJ100" s="294"/>
      <c r="DK100" s="294">
        <v>0</v>
      </c>
      <c r="DL100" s="294"/>
      <c r="DM100" s="294"/>
      <c r="DN100" s="294">
        <v>-1611502.5</v>
      </c>
      <c r="DO100" s="294"/>
      <c r="DP100" s="294">
        <v>-705125</v>
      </c>
      <c r="DQ100" s="294"/>
      <c r="DR100" s="294">
        <v>-61090</v>
      </c>
      <c r="DS100" s="294"/>
      <c r="DT100" s="294">
        <v>-259397</v>
      </c>
      <c r="DU100" s="294">
        <v>-72523.25</v>
      </c>
      <c r="DV100" s="294"/>
      <c r="DW100" s="294"/>
      <c r="DX100" s="294"/>
      <c r="DY100" s="294"/>
      <c r="DZ100" s="294"/>
      <c r="EA100" s="294">
        <v>0</v>
      </c>
      <c r="EB100" s="294"/>
      <c r="EC100" s="294"/>
      <c r="ED100" s="294"/>
      <c r="EE100" s="294">
        <v>0</v>
      </c>
      <c r="EF100" s="294">
        <v>0</v>
      </c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>
        <v>0</v>
      </c>
      <c r="EU100" s="294"/>
      <c r="EV100" s="294"/>
      <c r="EW100" s="294"/>
      <c r="EX100" s="294">
        <v>-569571.88</v>
      </c>
      <c r="EY100" s="294">
        <v>-2829803.25</v>
      </c>
      <c r="EZ100" s="294">
        <v>-1522702.38</v>
      </c>
      <c r="FA100" s="294">
        <v>-4144765.88</v>
      </c>
      <c r="FB100" s="294">
        <v>-3546498.22</v>
      </c>
      <c r="FC100" s="294"/>
      <c r="FD100" s="294"/>
      <c r="FE100" s="294">
        <v>-1949382.05</v>
      </c>
      <c r="FF100" s="294"/>
      <c r="FG100" s="294">
        <v>-704920.12</v>
      </c>
      <c r="FH100" s="294">
        <v>-750712.22</v>
      </c>
      <c r="FI100" s="294">
        <v>-21212</v>
      </c>
      <c r="FJ100" s="294"/>
      <c r="FK100" s="294"/>
      <c r="FL100" s="294"/>
      <c r="FM100" s="294"/>
      <c r="FN100" s="294"/>
      <c r="FO100" s="294"/>
      <c r="FP100" s="294"/>
      <c r="FQ100" s="294"/>
      <c r="FR100" s="294"/>
      <c r="FS100" s="294"/>
      <c r="FT100" s="294"/>
      <c r="FU100" s="294"/>
      <c r="FV100" s="294">
        <v>-1952624.5</v>
      </c>
      <c r="FW100" s="294"/>
      <c r="FX100" s="294"/>
      <c r="FY100" s="294"/>
      <c r="FZ100" s="294"/>
      <c r="GA100" s="294">
        <v>0</v>
      </c>
      <c r="GB100" s="294"/>
      <c r="GC100" s="294"/>
      <c r="GD100" s="294"/>
      <c r="GE100" s="294">
        <v>-164405</v>
      </c>
      <c r="GF100" s="294"/>
      <c r="GG100" s="294"/>
      <c r="GH100" s="294"/>
      <c r="GI100" s="294"/>
      <c r="GJ100" s="294"/>
      <c r="GK100" s="294"/>
      <c r="GL100" s="294"/>
      <c r="GM100" s="294"/>
      <c r="GN100" s="294"/>
      <c r="GO100" s="294"/>
      <c r="GP100" s="294"/>
      <c r="GQ100" s="294">
        <v>-70000</v>
      </c>
      <c r="GR100" s="294"/>
      <c r="GS100" s="294"/>
      <c r="GT100" s="294"/>
      <c r="GU100" s="294"/>
      <c r="GV100" s="294"/>
      <c r="GW100" s="294"/>
      <c r="GX100" s="294"/>
      <c r="GY100" s="294"/>
      <c r="GZ100" s="294"/>
      <c r="HA100" s="294"/>
      <c r="HB100" s="294"/>
      <c r="HC100" s="294">
        <v>0</v>
      </c>
      <c r="HD100" s="294"/>
      <c r="HE100" s="294"/>
      <c r="HF100" s="294"/>
      <c r="HG100" s="294">
        <v>-428000</v>
      </c>
      <c r="HH100" s="294"/>
      <c r="HI100" s="294">
        <v>-186177</v>
      </c>
      <c r="HJ100" s="294"/>
      <c r="HK100" s="294"/>
      <c r="HL100" s="294">
        <v>-1125</v>
      </c>
      <c r="HM100" s="294"/>
      <c r="HN100" s="294"/>
      <c r="HO100" s="294"/>
      <c r="HP100" s="294"/>
      <c r="HQ100" s="294"/>
      <c r="HR100" s="294">
        <v>-2406500</v>
      </c>
      <c r="HS100" s="294">
        <v>-297834.5</v>
      </c>
      <c r="HT100" s="294"/>
      <c r="HU100" s="294"/>
      <c r="HV100" s="294"/>
      <c r="HW100" s="294"/>
      <c r="HX100" s="294"/>
      <c r="HY100" s="294"/>
      <c r="HZ100" s="294"/>
      <c r="IA100" s="294"/>
      <c r="IB100" s="294"/>
      <c r="IC100" s="294"/>
      <c r="ID100" s="294"/>
      <c r="IE100" s="294">
        <v>-276550</v>
      </c>
      <c r="IF100" s="294">
        <v>-191800</v>
      </c>
      <c r="IG100" s="294"/>
      <c r="IH100" s="294"/>
      <c r="II100" s="294">
        <v>-184192.76</v>
      </c>
      <c r="IJ100" s="294"/>
      <c r="IK100" s="294"/>
      <c r="IL100" s="294"/>
      <c r="IM100" s="294"/>
      <c r="IN100" s="294">
        <v>0</v>
      </c>
      <c r="IO100" s="294"/>
      <c r="IP100" s="294"/>
      <c r="IQ100" s="294"/>
      <c r="IR100" s="294"/>
      <c r="IS100" s="294">
        <v>0</v>
      </c>
      <c r="IT100" s="294">
        <v>0</v>
      </c>
      <c r="IU100" s="294"/>
      <c r="IV100" s="294"/>
      <c r="IW100" s="294"/>
      <c r="IX100" s="294"/>
      <c r="IY100" s="294"/>
      <c r="IZ100" s="294"/>
      <c r="JA100" s="294"/>
      <c r="JB100" s="294"/>
      <c r="JC100" s="294"/>
      <c r="JD100" s="294"/>
      <c r="JE100" s="294">
        <v>-479045</v>
      </c>
      <c r="JF100" s="294">
        <v>-1548878.41</v>
      </c>
      <c r="JG100" s="294"/>
      <c r="JH100" s="294"/>
      <c r="JI100" s="294"/>
      <c r="JJ100" s="294"/>
      <c r="JK100" s="294">
        <v>-6057817</v>
      </c>
      <c r="JL100" s="294"/>
      <c r="JM100" s="294">
        <v>-561563</v>
      </c>
      <c r="JN100" s="294"/>
      <c r="JO100" s="294"/>
      <c r="JP100" s="294"/>
      <c r="JQ100" s="294">
        <v>-1649384.3</v>
      </c>
      <c r="JR100" s="294">
        <v>0</v>
      </c>
      <c r="JS100" s="294">
        <v>0</v>
      </c>
      <c r="JT100" s="294"/>
      <c r="JU100" s="294"/>
      <c r="JV100" s="294">
        <v>0</v>
      </c>
      <c r="JW100" s="294">
        <v>-358082.81</v>
      </c>
      <c r="JX100" s="294">
        <v>-4615171.5</v>
      </c>
      <c r="JY100" s="294"/>
      <c r="JZ100" s="294">
        <v>-288700</v>
      </c>
      <c r="KA100" s="294"/>
      <c r="KB100" s="294"/>
      <c r="KC100" s="294"/>
      <c r="KD100" s="294">
        <v>-18400</v>
      </c>
      <c r="KE100" s="294">
        <v>-138812.5</v>
      </c>
      <c r="KF100" s="294">
        <v>-280785</v>
      </c>
      <c r="KG100" s="294"/>
      <c r="KH100" s="294">
        <v>-728433</v>
      </c>
      <c r="KI100" s="294"/>
      <c r="KJ100" s="294"/>
      <c r="KK100" s="294">
        <v>57260</v>
      </c>
      <c r="KL100" s="294"/>
      <c r="KM100" s="294"/>
      <c r="KN100" s="294"/>
      <c r="KO100" s="294">
        <v>0</v>
      </c>
      <c r="KP100" s="294"/>
      <c r="KQ100" s="294">
        <v>0</v>
      </c>
      <c r="KR100" s="294">
        <v>0</v>
      </c>
      <c r="KS100" s="294"/>
      <c r="KT100" s="294"/>
      <c r="KU100" s="294">
        <v>0</v>
      </c>
      <c r="KV100" s="294"/>
      <c r="KW100" s="294">
        <v>0</v>
      </c>
      <c r="KX100" s="294"/>
      <c r="KY100" s="294">
        <v>-343817</v>
      </c>
      <c r="KZ100" s="294"/>
      <c r="LA100" s="294">
        <v>-374100</v>
      </c>
      <c r="LB100" s="294"/>
      <c r="LC100" s="294"/>
      <c r="LD100" s="294"/>
      <c r="LE100" s="294"/>
      <c r="LF100" s="294"/>
      <c r="LG100" s="294">
        <v>0</v>
      </c>
      <c r="LH100" s="294">
        <v>0</v>
      </c>
      <c r="LI100" s="294">
        <v>0</v>
      </c>
      <c r="LJ100" s="294">
        <v>0</v>
      </c>
      <c r="LK100" s="294"/>
      <c r="LL100" s="294"/>
      <c r="LM100" s="294"/>
      <c r="LN100" s="294"/>
      <c r="LO100" s="294"/>
      <c r="LP100" s="294"/>
      <c r="LQ100" s="294"/>
      <c r="LR100" s="294">
        <v>0</v>
      </c>
      <c r="LS100" s="294"/>
      <c r="LT100" s="294"/>
      <c r="LU100" s="294">
        <v>0</v>
      </c>
      <c r="LV100" s="294">
        <v>0</v>
      </c>
      <c r="LW100" s="294">
        <v>0</v>
      </c>
      <c r="LX100" s="294">
        <v>0</v>
      </c>
      <c r="LY100" s="294"/>
      <c r="LZ100" s="294"/>
      <c r="MA100" s="294"/>
      <c r="MB100" s="294"/>
      <c r="MC100" s="294"/>
      <c r="MD100" s="294"/>
      <c r="ME100" s="294"/>
      <c r="MF100" s="294">
        <v>-20055</v>
      </c>
      <c r="MG100" s="294">
        <v>0</v>
      </c>
      <c r="MH100" s="294">
        <v>-219076</v>
      </c>
      <c r="MI100" s="294"/>
      <c r="MJ100" s="294"/>
      <c r="MK100" s="294">
        <v>-3200</v>
      </c>
      <c r="ML100" s="294"/>
      <c r="MM100" s="294"/>
      <c r="MN100" s="294">
        <v>-163662.22</v>
      </c>
      <c r="MO100" s="294">
        <v>-1522788.28</v>
      </c>
      <c r="MP100" s="294"/>
      <c r="MQ100" s="294">
        <v>-2521345.6800000002</v>
      </c>
      <c r="MR100" s="294">
        <v>0</v>
      </c>
      <c r="MS100" s="294">
        <v>-146042</v>
      </c>
      <c r="MT100" s="294">
        <v>0</v>
      </c>
      <c r="MU100" s="294"/>
      <c r="MV100" s="294">
        <v>0</v>
      </c>
      <c r="MW100" s="294"/>
      <c r="MX100" s="294">
        <v>-744819</v>
      </c>
      <c r="MY100" s="294">
        <v>0</v>
      </c>
      <c r="MZ100" s="294">
        <v>0</v>
      </c>
      <c r="NA100" s="294"/>
      <c r="NB100" s="294"/>
      <c r="NC100" s="294">
        <v>-114666</v>
      </c>
      <c r="ND100" s="294">
        <v>-276889</v>
      </c>
      <c r="NE100" s="294"/>
      <c r="NF100" s="294">
        <v>0</v>
      </c>
      <c r="NG100" s="294">
        <v>-479217.77</v>
      </c>
      <c r="NH100" s="294"/>
      <c r="NI100" s="294"/>
      <c r="NJ100" s="294"/>
      <c r="NK100" s="294"/>
      <c r="NL100" s="294">
        <v>0</v>
      </c>
      <c r="NM100" s="294"/>
      <c r="NN100" s="294">
        <v>0</v>
      </c>
      <c r="NO100" s="294"/>
      <c r="NP100" s="294">
        <v>0</v>
      </c>
      <c r="NQ100" s="294"/>
      <c r="NR100" s="294"/>
      <c r="NS100" s="294"/>
      <c r="NT100" s="294"/>
      <c r="NU100" s="294"/>
      <c r="NV100" s="294"/>
      <c r="NW100" s="294">
        <v>-97575</v>
      </c>
      <c r="NX100" s="294"/>
      <c r="NY100" s="294"/>
      <c r="NZ100" s="294">
        <v>-286500</v>
      </c>
      <c r="OA100" s="294"/>
      <c r="OB100" s="294">
        <v>-5494187.5</v>
      </c>
      <c r="OC100" s="294"/>
      <c r="OD100" s="294"/>
      <c r="OE100" s="294">
        <v>-858388</v>
      </c>
      <c r="OF100" s="294"/>
      <c r="OG100" s="294">
        <v>-243102</v>
      </c>
      <c r="OH100" s="294"/>
      <c r="OI100" s="294"/>
      <c r="OJ100" s="294"/>
      <c r="OK100" s="294"/>
      <c r="OL100" s="294"/>
      <c r="OM100" s="294">
        <v>0</v>
      </c>
      <c r="ON100" s="294"/>
      <c r="OO100" s="294">
        <v>-737000</v>
      </c>
      <c r="OP100" s="294">
        <v>0</v>
      </c>
      <c r="OQ100" s="294"/>
      <c r="OR100" s="294"/>
      <c r="OS100" s="294">
        <v>-1133897.73</v>
      </c>
      <c r="OT100" s="294"/>
      <c r="OU100" s="294"/>
      <c r="OV100" s="294"/>
      <c r="OW100" s="294"/>
      <c r="OX100" s="294">
        <v>-943847</v>
      </c>
      <c r="OY100" s="294"/>
      <c r="OZ100" s="294"/>
      <c r="PA100" s="294"/>
      <c r="PB100" s="294">
        <v>-265599</v>
      </c>
      <c r="PC100" s="294"/>
      <c r="PD100" s="294"/>
      <c r="PE100" s="294"/>
      <c r="PF100" s="294"/>
      <c r="PG100" s="294"/>
      <c r="PH100" s="294"/>
      <c r="PI100" s="294"/>
      <c r="PJ100" s="294"/>
      <c r="PK100" s="294">
        <v>-623671</v>
      </c>
      <c r="PL100" s="294"/>
      <c r="PM100" s="294"/>
      <c r="PN100" s="294"/>
      <c r="PO100" s="294"/>
      <c r="PP100" s="294"/>
      <c r="PQ100" s="294">
        <v>-1751750</v>
      </c>
      <c r="PR100" s="294"/>
      <c r="PS100" s="294"/>
      <c r="PT100" s="294">
        <v>0</v>
      </c>
      <c r="PU100" s="294"/>
      <c r="PV100" s="294"/>
      <c r="PW100" s="294"/>
      <c r="PX100" s="294"/>
      <c r="PY100" s="294"/>
      <c r="PZ100" s="294"/>
      <c r="QA100" s="294">
        <v>-689603</v>
      </c>
      <c r="QB100" s="294"/>
      <c r="QC100" s="294"/>
      <c r="QD100" s="294"/>
      <c r="QE100" s="294">
        <v>-586883</v>
      </c>
      <c r="QF100" s="294"/>
      <c r="QG100" s="294"/>
      <c r="QH100" s="294"/>
      <c r="QI100" s="294"/>
      <c r="QJ100" s="294"/>
      <c r="QK100" s="294"/>
      <c r="QL100" s="294"/>
      <c r="QM100" s="294">
        <v>-653087.29</v>
      </c>
      <c r="QN100" s="294">
        <v>-92639</v>
      </c>
      <c r="QO100" s="294">
        <v>-367000</v>
      </c>
      <c r="QP100" s="294"/>
      <c r="QQ100" s="294"/>
      <c r="QR100" s="294"/>
      <c r="QS100" s="294"/>
      <c r="QT100" s="294"/>
      <c r="QU100" s="294"/>
      <c r="QV100" s="294"/>
      <c r="QW100" s="294">
        <v>-495564</v>
      </c>
      <c r="QX100" s="294">
        <v>0</v>
      </c>
      <c r="QY100" s="294">
        <v>-541200</v>
      </c>
      <c r="QZ100" s="294"/>
      <c r="RA100" s="294"/>
      <c r="RB100" s="294"/>
      <c r="RC100" s="294"/>
      <c r="RD100" s="294">
        <v>-116000</v>
      </c>
      <c r="RE100" s="294"/>
      <c r="RF100" s="294"/>
      <c r="RG100" s="294">
        <v>-27763750</v>
      </c>
      <c r="RH100" s="294"/>
      <c r="RI100" s="294">
        <v>-2387037</v>
      </c>
      <c r="RJ100" s="294">
        <v>-6715911.6600000001</v>
      </c>
      <c r="RK100" s="294">
        <v>-6191647</v>
      </c>
      <c r="RL100" s="294">
        <v>-8739493.7300000004</v>
      </c>
      <c r="RM100" s="294">
        <v>-28567539</v>
      </c>
      <c r="RN100" s="294">
        <v>-2427241</v>
      </c>
      <c r="RO100" s="294"/>
      <c r="RP100" s="294"/>
      <c r="RQ100" s="294">
        <v>-13277221</v>
      </c>
      <c r="RR100" s="294">
        <v>-7617778</v>
      </c>
      <c r="RS100" s="294">
        <v>-2187525.21</v>
      </c>
      <c r="RT100" s="294">
        <v>-15000</v>
      </c>
      <c r="RU100" s="294">
        <v>-1626421.06</v>
      </c>
      <c r="RV100" s="294">
        <v>-2993950</v>
      </c>
      <c r="RW100" s="294">
        <v>-4527530</v>
      </c>
      <c r="RX100" s="294">
        <v>-6675206</v>
      </c>
      <c r="RY100" s="294">
        <v>-1070084.6499999999</v>
      </c>
      <c r="RZ100" s="294">
        <v>-1965500</v>
      </c>
      <c r="SA100" s="294">
        <v>-15569169.1</v>
      </c>
      <c r="SB100" s="294"/>
      <c r="SC100" s="294"/>
      <c r="SD100" s="294"/>
      <c r="SE100" s="294"/>
      <c r="SF100" s="294"/>
      <c r="SG100" s="294"/>
      <c r="SH100" s="294"/>
      <c r="SI100" s="294"/>
      <c r="SJ100" s="294"/>
      <c r="SK100" s="294"/>
      <c r="SL100" s="294"/>
      <c r="SM100" s="294">
        <v>-190629</v>
      </c>
      <c r="SN100" s="294"/>
      <c r="SO100" s="294"/>
      <c r="SP100" s="294"/>
      <c r="SQ100" s="294"/>
      <c r="SR100" s="294"/>
      <c r="SS100" s="294">
        <v>-3065177.39</v>
      </c>
      <c r="ST100" s="294">
        <v>-174300</v>
      </c>
      <c r="SU100" s="294">
        <v>0</v>
      </c>
      <c r="SV100" s="294"/>
      <c r="SW100" s="294">
        <v>-2570470</v>
      </c>
      <c r="SX100" s="294">
        <v>-40400</v>
      </c>
      <c r="SY100" s="294"/>
      <c r="SZ100" s="294">
        <v>-26194</v>
      </c>
      <c r="TA100" s="294"/>
      <c r="TB100" s="294">
        <v>-203827.29</v>
      </c>
      <c r="TC100" s="294"/>
      <c r="TD100" s="294">
        <v>-2000</v>
      </c>
      <c r="TE100" s="294"/>
      <c r="TF100" s="294">
        <v>-1337693.75</v>
      </c>
      <c r="TG100" s="294"/>
      <c r="TH100" s="294">
        <v>-21900</v>
      </c>
      <c r="TI100" s="294">
        <v>-400543.65</v>
      </c>
      <c r="TJ100" s="294"/>
      <c r="TK100" s="294"/>
      <c r="TL100" s="294"/>
      <c r="TM100" s="294"/>
      <c r="TN100" s="294"/>
      <c r="TO100" s="294"/>
      <c r="TP100" s="294">
        <v>-711024</v>
      </c>
      <c r="TQ100" s="294"/>
      <c r="TR100" s="294"/>
      <c r="TS100" s="294"/>
      <c r="TT100" s="294"/>
      <c r="TU100" s="294"/>
      <c r="TV100" s="294"/>
      <c r="TW100" s="294"/>
      <c r="TX100" s="294"/>
      <c r="TY100" s="294">
        <v>0</v>
      </c>
      <c r="TZ100" s="294"/>
      <c r="UA100" s="294">
        <v>0</v>
      </c>
      <c r="UB100" s="294">
        <v>-6076501</v>
      </c>
      <c r="UC100" s="294"/>
      <c r="UD100" s="294"/>
      <c r="UE100" s="294">
        <v>-73500</v>
      </c>
      <c r="UF100" s="294"/>
      <c r="UG100" s="294"/>
      <c r="UH100" s="294"/>
      <c r="UI100" s="294"/>
      <c r="UJ100" s="294">
        <v>-4302824</v>
      </c>
      <c r="UK100" s="294"/>
      <c r="UL100" s="294"/>
      <c r="UM100" s="294"/>
      <c r="UN100" s="294"/>
      <c r="UO100" s="294"/>
      <c r="UP100" s="294">
        <v>-189500</v>
      </c>
      <c r="UQ100" s="294"/>
      <c r="UR100" s="294"/>
      <c r="US100" s="294">
        <v>-229924</v>
      </c>
      <c r="UT100" s="294"/>
      <c r="UU100" s="294">
        <v>0</v>
      </c>
      <c r="UV100" s="294"/>
      <c r="UW100" s="294"/>
      <c r="UX100" s="294"/>
      <c r="UY100" s="294"/>
      <c r="UZ100" s="294">
        <v>-3474000</v>
      </c>
      <c r="VA100" s="294"/>
      <c r="VB100" s="294"/>
      <c r="VC100" s="294"/>
      <c r="VD100" s="294"/>
      <c r="VE100" s="294"/>
      <c r="VF100" s="294"/>
      <c r="VG100" s="294">
        <v>-2452076.6</v>
      </c>
      <c r="VH100" s="294">
        <v>-5704654</v>
      </c>
      <c r="VI100" s="294"/>
      <c r="VJ100" s="294"/>
      <c r="VK100" s="294"/>
      <c r="VL100" s="294">
        <v>-306720</v>
      </c>
      <c r="VM100" s="294"/>
      <c r="VN100" s="294"/>
      <c r="VO100" s="294"/>
      <c r="VP100" s="294"/>
      <c r="VQ100" s="294"/>
      <c r="VR100" s="294"/>
      <c r="VS100" s="294"/>
      <c r="VT100" s="294"/>
      <c r="VU100" s="294">
        <v>0</v>
      </c>
      <c r="VV100" s="294"/>
      <c r="VW100" s="294"/>
      <c r="VX100" s="294"/>
      <c r="VY100" s="294"/>
      <c r="VZ100" s="294">
        <v>-30650</v>
      </c>
      <c r="WA100" s="294">
        <v>0</v>
      </c>
      <c r="WB100" s="294"/>
      <c r="WC100" s="294"/>
      <c r="WD100" s="294"/>
      <c r="WE100" s="294"/>
      <c r="WF100" s="294"/>
      <c r="WG100" s="294">
        <v>0</v>
      </c>
      <c r="WH100" s="294"/>
      <c r="WI100" s="294"/>
      <c r="WJ100" s="294"/>
      <c r="WK100" s="294">
        <v>0</v>
      </c>
      <c r="WL100" s="294">
        <v>0</v>
      </c>
      <c r="WM100" s="294"/>
      <c r="WN100" s="294"/>
      <c r="WO100" s="294"/>
      <c r="WP100" s="294">
        <v>0</v>
      </c>
      <c r="WQ100" s="294"/>
      <c r="WR100" s="294"/>
      <c r="WS100" s="294"/>
      <c r="WT100" s="294"/>
      <c r="WU100" s="294">
        <v>-3208577.43</v>
      </c>
      <c r="WV100" s="294"/>
      <c r="WW100" s="294">
        <v>0</v>
      </c>
      <c r="WX100" s="294">
        <v>-114800</v>
      </c>
      <c r="WY100" s="294"/>
      <c r="WZ100" s="294"/>
      <c r="XA100" s="294"/>
      <c r="XB100" s="294"/>
      <c r="XC100" s="294"/>
      <c r="XD100" s="294"/>
      <c r="XE100" s="294"/>
      <c r="XF100" s="294">
        <v>0</v>
      </c>
      <c r="XG100" s="294"/>
      <c r="XH100" s="294">
        <v>-605000</v>
      </c>
      <c r="XI100" s="294"/>
      <c r="XJ100" s="294"/>
      <c r="XK100" s="294">
        <v>-107550</v>
      </c>
      <c r="XL100" s="294"/>
      <c r="XM100" s="294"/>
      <c r="XN100" s="294"/>
      <c r="XO100" s="294"/>
      <c r="XP100" s="294"/>
      <c r="XQ100" s="294"/>
      <c r="XR100" s="294"/>
      <c r="XS100" s="294"/>
      <c r="XT100" s="294"/>
      <c r="XU100" s="294"/>
      <c r="XV100" s="294"/>
      <c r="XW100" s="294"/>
      <c r="XX100" s="294"/>
      <c r="XY100" s="294"/>
      <c r="XZ100" s="294"/>
      <c r="YA100" s="294"/>
      <c r="YB100" s="294"/>
      <c r="YC100" s="294"/>
      <c r="YD100" s="294"/>
      <c r="YE100" s="294">
        <v>0</v>
      </c>
      <c r="YF100" s="294"/>
      <c r="YG100" s="294"/>
      <c r="YH100" s="294"/>
      <c r="YI100" s="294">
        <v>-144000</v>
      </c>
      <c r="YJ100" s="294"/>
      <c r="YK100" s="294"/>
      <c r="YL100" s="294"/>
      <c r="YM100" s="294"/>
      <c r="YN100" s="294"/>
      <c r="YO100" s="294"/>
      <c r="YP100" s="294"/>
      <c r="YQ100" s="294"/>
      <c r="YR100" s="294"/>
      <c r="YS100" s="294"/>
      <c r="YT100" s="294"/>
      <c r="YU100" s="294"/>
      <c r="YV100" s="294">
        <v>-17739</v>
      </c>
      <c r="YW100" s="294"/>
      <c r="YX100" s="294"/>
      <c r="YY100" s="294"/>
      <c r="YZ100" s="294">
        <v>-185623</v>
      </c>
      <c r="ZA100" s="294"/>
      <c r="ZB100" s="294">
        <v>0</v>
      </c>
      <c r="ZC100" s="294">
        <v>-97504</v>
      </c>
      <c r="ZD100" s="294"/>
      <c r="ZE100" s="294"/>
      <c r="ZF100" s="294"/>
      <c r="ZG100" s="294">
        <v>-2756836</v>
      </c>
      <c r="ZH100" s="294">
        <v>0</v>
      </c>
      <c r="ZI100" s="294"/>
      <c r="ZJ100" s="294"/>
      <c r="ZK100" s="294"/>
      <c r="ZL100" s="294">
        <v>0</v>
      </c>
      <c r="ZM100" s="294"/>
      <c r="ZN100" s="294"/>
      <c r="ZO100" s="294"/>
      <c r="ZP100" s="294"/>
      <c r="ZQ100" s="294"/>
      <c r="ZR100" s="294">
        <v>-100000</v>
      </c>
      <c r="ZS100" s="294"/>
      <c r="ZT100" s="294"/>
      <c r="ZU100" s="294"/>
      <c r="ZV100" s="294"/>
      <c r="ZW100" s="294"/>
      <c r="ZX100" s="294">
        <v>-125000</v>
      </c>
      <c r="ZY100" s="294">
        <v>0</v>
      </c>
      <c r="ZZ100" s="294"/>
      <c r="AAA100" s="294"/>
      <c r="AAB100" s="294">
        <v>0</v>
      </c>
      <c r="AAC100" s="294">
        <v>0</v>
      </c>
      <c r="AAD100" s="294">
        <v>-2079250</v>
      </c>
      <c r="AAE100" s="294"/>
      <c r="AAF100" s="294"/>
      <c r="AAG100" s="294"/>
      <c r="AAH100" s="294">
        <v>0</v>
      </c>
      <c r="AAI100" s="294"/>
      <c r="AAJ100" s="294"/>
      <c r="AAK100" s="294"/>
      <c r="AAL100" s="294"/>
      <c r="AAM100" s="294"/>
      <c r="AAN100" s="294"/>
      <c r="AAO100" s="294">
        <v>-6588957.29</v>
      </c>
      <c r="AAP100" s="294"/>
      <c r="AAQ100" s="294">
        <v>-2452205</v>
      </c>
      <c r="AAR100" s="294"/>
      <c r="AAS100" s="294"/>
      <c r="AAT100" s="294"/>
      <c r="AAU100" s="294"/>
      <c r="AAV100" s="294"/>
      <c r="AAW100" s="294">
        <v>-8143629</v>
      </c>
      <c r="AAX100" s="294">
        <v>-2420600</v>
      </c>
      <c r="AAY100" s="294">
        <v>-7197003.5099999998</v>
      </c>
      <c r="AAZ100" s="294"/>
      <c r="ABA100" s="294"/>
      <c r="ABB100" s="294">
        <v>-4884630</v>
      </c>
      <c r="ABC100" s="294">
        <v>-3035308.66</v>
      </c>
      <c r="ABD100" s="294">
        <v>-2531326</v>
      </c>
      <c r="ABE100" s="294"/>
      <c r="ABF100" s="294">
        <v>-1231112.1499999999</v>
      </c>
      <c r="ABG100" s="294">
        <v>-3298326</v>
      </c>
      <c r="ABH100" s="294">
        <v>-6450580.04</v>
      </c>
      <c r="ABI100" s="294">
        <v>-5919317</v>
      </c>
      <c r="ABJ100" s="294"/>
      <c r="ABK100" s="294">
        <v>-1684055</v>
      </c>
      <c r="ABL100" s="294"/>
      <c r="ABM100" s="294">
        <v>-2163557</v>
      </c>
      <c r="ABN100" s="294"/>
      <c r="ABO100" s="294">
        <v>-2100</v>
      </c>
      <c r="ABP100" s="294"/>
      <c r="ABQ100" s="294"/>
      <c r="ABR100" s="294"/>
      <c r="ABS100" s="294">
        <v>-1952200</v>
      </c>
      <c r="ABT100" s="294">
        <v>-165988</v>
      </c>
      <c r="ABU100" s="294">
        <v>-149833</v>
      </c>
      <c r="ABV100" s="294">
        <v>-205500</v>
      </c>
      <c r="ABW100" s="294">
        <v>-50500</v>
      </c>
      <c r="ABX100" s="294"/>
      <c r="ABY100" s="294"/>
      <c r="ABZ100" s="294"/>
      <c r="ACA100" s="294"/>
      <c r="ACB100" s="294">
        <v>-1984170.5</v>
      </c>
      <c r="ACC100" s="294">
        <v>-1786500</v>
      </c>
      <c r="ACD100" s="294"/>
      <c r="ACE100" s="294"/>
      <c r="ACF100" s="294"/>
      <c r="ACG100" s="294"/>
      <c r="ACH100" s="294"/>
      <c r="ACI100" s="294">
        <v>-64673</v>
      </c>
      <c r="ACJ100" s="294"/>
      <c r="ACK100" s="294"/>
      <c r="ACL100" s="294">
        <v>-2331750</v>
      </c>
      <c r="ACM100" s="294"/>
      <c r="ACN100" s="294">
        <v>-458900</v>
      </c>
      <c r="ACO100" s="294"/>
      <c r="ACP100" s="294"/>
      <c r="ACQ100" s="294"/>
      <c r="ACR100" s="294"/>
      <c r="ACS100" s="294"/>
      <c r="ACT100" s="294">
        <v>-646493</v>
      </c>
      <c r="ACU100" s="294"/>
      <c r="ACV100" s="294">
        <v>-105834.33</v>
      </c>
      <c r="ACW100" s="294">
        <v>-679507</v>
      </c>
      <c r="ACX100" s="294"/>
      <c r="ACY100" s="294"/>
      <c r="ACZ100" s="294">
        <v>-1321804.5</v>
      </c>
      <c r="ADA100" s="294"/>
      <c r="ADB100" s="294"/>
      <c r="ADC100" s="294"/>
      <c r="ADD100" s="294">
        <v>-130000</v>
      </c>
      <c r="ADE100" s="294">
        <v>-143412</v>
      </c>
      <c r="ADF100" s="294">
        <v>0</v>
      </c>
      <c r="ADG100" s="294">
        <v>-428146</v>
      </c>
      <c r="ADH100" s="294"/>
      <c r="ADI100" s="294"/>
      <c r="ADJ100" s="294">
        <v>0</v>
      </c>
      <c r="ADK100" s="294"/>
      <c r="ADL100" s="294"/>
      <c r="ADM100" s="294"/>
      <c r="ADN100" s="294"/>
      <c r="ADO100" s="294"/>
      <c r="ADP100" s="294">
        <v>-891876</v>
      </c>
      <c r="ADQ100" s="294"/>
      <c r="ADR100" s="294">
        <v>2682278</v>
      </c>
      <c r="ADS100" s="294">
        <v>0</v>
      </c>
      <c r="ADT100" s="294">
        <v>-1262962.5</v>
      </c>
      <c r="ADU100" s="294">
        <v>-3467873.26</v>
      </c>
      <c r="ADV100" s="294"/>
      <c r="ADW100" s="294"/>
      <c r="ADX100" s="294"/>
      <c r="ADY100" s="294">
        <v>-4457.24</v>
      </c>
      <c r="ADZ100" s="294">
        <v>-105400</v>
      </c>
      <c r="AEA100" s="294">
        <v>-8687700</v>
      </c>
      <c r="AEB100" s="294">
        <v>-1902906.5</v>
      </c>
      <c r="AEC100" s="294">
        <v>-1852672</v>
      </c>
      <c r="AED100" s="294"/>
      <c r="AEE100" s="294"/>
      <c r="AEF100" s="294">
        <v>-2815723.25</v>
      </c>
      <c r="AEG100" s="294"/>
      <c r="AEH100" s="294">
        <v>-1566671.75</v>
      </c>
      <c r="AEI100" s="294"/>
      <c r="AEJ100" s="294"/>
      <c r="AEK100" s="294">
        <v>-1035140</v>
      </c>
      <c r="AEL100" s="294">
        <v>-1739587.5</v>
      </c>
      <c r="AEM100" s="294">
        <v>-703566</v>
      </c>
      <c r="AEN100" s="294"/>
      <c r="AEO100" s="294">
        <v>-1426791.62</v>
      </c>
      <c r="AEP100" s="294">
        <v>-1853691.5</v>
      </c>
      <c r="AEQ100" s="294"/>
      <c r="AER100" s="294">
        <v>-6914459.8600000003</v>
      </c>
      <c r="AES100" s="294">
        <v>-3054731</v>
      </c>
      <c r="AET100" s="294"/>
      <c r="AEU100" s="294"/>
      <c r="AEV100" s="294"/>
      <c r="AEW100" s="294"/>
      <c r="AEX100" s="294"/>
      <c r="AEY100" s="294"/>
      <c r="AEZ100" s="294"/>
      <c r="AFA100" s="294"/>
      <c r="AFB100" s="294"/>
      <c r="AFC100" s="294"/>
      <c r="AFD100" s="294">
        <v>-7003550</v>
      </c>
      <c r="AFE100" s="294"/>
      <c r="AFF100" s="294"/>
      <c r="AFG100" s="294"/>
      <c r="AFH100" s="294"/>
      <c r="AFI100" s="294"/>
      <c r="AFJ100" s="294"/>
      <c r="AFK100" s="294"/>
      <c r="AFL100" s="294"/>
      <c r="AFM100" s="294"/>
      <c r="AFN100" s="294"/>
      <c r="AFO100" s="294"/>
      <c r="AFP100" s="294">
        <v>-1865290</v>
      </c>
      <c r="AFQ100" s="294"/>
      <c r="AFR100" s="294"/>
      <c r="AFS100" s="294"/>
      <c r="AFT100" s="294">
        <v>-234080.65</v>
      </c>
      <c r="AFU100" s="294">
        <v>-6969000</v>
      </c>
      <c r="AFV100" s="294"/>
      <c r="AFW100" s="294"/>
      <c r="AFX100" s="294">
        <v>-6331689.2300000004</v>
      </c>
      <c r="AFY100" s="294"/>
      <c r="AFZ100" s="294"/>
      <c r="AGA100" s="294"/>
      <c r="AGB100" s="294">
        <v>-391130</v>
      </c>
      <c r="AGC100" s="294"/>
      <c r="AGD100" s="294"/>
      <c r="AGE100" s="294">
        <v>-2809585.26</v>
      </c>
      <c r="AGF100" s="294"/>
      <c r="AGG100" s="294"/>
      <c r="AGH100" s="294"/>
      <c r="AGI100" s="294"/>
      <c r="AGJ100" s="294"/>
      <c r="AGK100" s="294">
        <v>-3261047</v>
      </c>
      <c r="AGL100" s="294">
        <v>0</v>
      </c>
      <c r="AGM100" s="294">
        <v>-221772</v>
      </c>
      <c r="AGN100" s="294">
        <v>-310864</v>
      </c>
      <c r="AGO100" s="294"/>
      <c r="AGP100" s="294"/>
      <c r="AGQ100" s="294"/>
      <c r="AGR100" s="294"/>
      <c r="AGS100" s="294"/>
      <c r="AGT100" s="294"/>
      <c r="AGU100" s="294">
        <v>-62564</v>
      </c>
      <c r="AGV100" s="294">
        <v>0</v>
      </c>
      <c r="AGW100" s="294">
        <v>-442000</v>
      </c>
      <c r="AGX100" s="294"/>
      <c r="AGY100" s="294"/>
      <c r="AGZ100" s="294"/>
      <c r="AHA100" s="294"/>
      <c r="AHB100" s="294">
        <v>-61010</v>
      </c>
      <c r="AHC100" s="294"/>
      <c r="AHD100" s="294"/>
      <c r="AHE100" s="294"/>
      <c r="AHF100" s="294"/>
      <c r="AHG100" s="294"/>
      <c r="AHH100" s="294"/>
      <c r="AHI100" s="294"/>
      <c r="AHJ100" s="294"/>
      <c r="AHK100" s="294"/>
      <c r="AHL100" s="294">
        <v>0</v>
      </c>
      <c r="AHM100" s="294">
        <v>0</v>
      </c>
      <c r="AHN100" s="294"/>
      <c r="AHO100" s="294"/>
      <c r="AHP100" s="294"/>
      <c r="AHQ100" s="294"/>
      <c r="AHR100" s="331"/>
      <c r="AHS100" s="294">
        <f>SUM(D100:AHR100)</f>
        <v>-473085268.45999998</v>
      </c>
      <c r="AHT100" s="269" t="b">
        <f t="shared" si="52"/>
        <v>1</v>
      </c>
      <c r="AHU100" s="269" t="s">
        <v>6278</v>
      </c>
      <c r="AHV100" s="269" t="s">
        <v>6143</v>
      </c>
      <c r="AHW100" s="269" t="s">
        <v>6144</v>
      </c>
    </row>
    <row r="101" spans="1:907" ht="24.6" x14ac:dyDescent="0.7">
      <c r="A101" s="268" t="s">
        <v>6278</v>
      </c>
      <c r="B101" s="268" t="s">
        <v>6145</v>
      </c>
      <c r="C101" s="269" t="s">
        <v>6146</v>
      </c>
      <c r="D101" s="294">
        <v>0</v>
      </c>
      <c r="E101" s="294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4"/>
      <c r="AS101" s="294"/>
      <c r="AT101" s="294"/>
      <c r="AU101" s="294"/>
      <c r="AV101" s="294"/>
      <c r="AW101" s="294"/>
      <c r="AX101" s="294"/>
      <c r="AY101" s="294"/>
      <c r="AZ101" s="294"/>
      <c r="BA101" s="294"/>
      <c r="BB101" s="294"/>
      <c r="BC101" s="294"/>
      <c r="BD101" s="294"/>
      <c r="BE101" s="294"/>
      <c r="BF101" s="294"/>
      <c r="BG101" s="294"/>
      <c r="BH101" s="294"/>
      <c r="BI101" s="294"/>
      <c r="BJ101" s="294"/>
      <c r="BK101" s="294"/>
      <c r="BL101" s="294"/>
      <c r="BM101" s="294"/>
      <c r="BN101" s="294"/>
      <c r="BO101" s="294"/>
      <c r="BP101" s="294"/>
      <c r="BQ101" s="294"/>
      <c r="BR101" s="294"/>
      <c r="BS101" s="294"/>
      <c r="BT101" s="294"/>
      <c r="BU101" s="294"/>
      <c r="BV101" s="294"/>
      <c r="BW101" s="294"/>
      <c r="BX101" s="294"/>
      <c r="BY101" s="294"/>
      <c r="BZ101" s="294">
        <v>-3566.89</v>
      </c>
      <c r="CA101" s="294"/>
      <c r="CB101" s="294"/>
      <c r="CC101" s="294"/>
      <c r="CD101" s="294"/>
      <c r="CE101" s="294"/>
      <c r="CF101" s="294"/>
      <c r="CG101" s="294">
        <v>0</v>
      </c>
      <c r="CH101" s="294"/>
      <c r="CI101" s="294"/>
      <c r="CJ101" s="294"/>
      <c r="CK101" s="294"/>
      <c r="CL101" s="294"/>
      <c r="CM101" s="294"/>
      <c r="CN101" s="294"/>
      <c r="CO101" s="294"/>
      <c r="CP101" s="294"/>
      <c r="CQ101" s="294"/>
      <c r="CR101" s="294"/>
      <c r="CS101" s="294"/>
      <c r="CT101" s="294">
        <v>0</v>
      </c>
      <c r="CU101" s="294"/>
      <c r="CV101" s="294"/>
      <c r="CW101" s="294"/>
      <c r="CX101" s="294"/>
      <c r="CY101" s="294"/>
      <c r="CZ101" s="294"/>
      <c r="DA101" s="294"/>
      <c r="DB101" s="294"/>
      <c r="DC101" s="294"/>
      <c r="DD101" s="294"/>
      <c r="DE101" s="294"/>
      <c r="DF101" s="294"/>
      <c r="DG101" s="294"/>
      <c r="DH101" s="294"/>
      <c r="DI101" s="294"/>
      <c r="DJ101" s="294"/>
      <c r="DK101" s="294">
        <v>0</v>
      </c>
      <c r="DL101" s="294"/>
      <c r="DM101" s="294"/>
      <c r="DN101" s="294"/>
      <c r="DO101" s="294"/>
      <c r="DP101" s="294"/>
      <c r="DQ101" s="294"/>
      <c r="DR101" s="294"/>
      <c r="DS101" s="294"/>
      <c r="DT101" s="294">
        <v>-64838.879999999997</v>
      </c>
      <c r="DU101" s="294">
        <v>0</v>
      </c>
      <c r="DV101" s="294"/>
      <c r="DW101" s="294">
        <v>0</v>
      </c>
      <c r="DX101" s="294">
        <v>0</v>
      </c>
      <c r="DY101" s="294">
        <v>0</v>
      </c>
      <c r="DZ101" s="294">
        <v>0</v>
      </c>
      <c r="EA101" s="294">
        <v>0</v>
      </c>
      <c r="EB101" s="294">
        <v>0</v>
      </c>
      <c r="EC101" s="294">
        <v>0</v>
      </c>
      <c r="ED101" s="294">
        <v>0</v>
      </c>
      <c r="EE101" s="294">
        <v>0</v>
      </c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  <c r="FI101" s="294"/>
      <c r="FJ101" s="294"/>
      <c r="FK101" s="294"/>
      <c r="FL101" s="294">
        <v>-7316.76</v>
      </c>
      <c r="FM101" s="294"/>
      <c r="FN101" s="294"/>
      <c r="FO101" s="294"/>
      <c r="FP101" s="294"/>
      <c r="FQ101" s="294"/>
      <c r="FR101" s="294"/>
      <c r="FS101" s="294"/>
      <c r="FT101" s="294"/>
      <c r="FU101" s="294"/>
      <c r="FV101" s="294"/>
      <c r="FW101" s="294"/>
      <c r="FX101" s="294"/>
      <c r="FY101" s="294"/>
      <c r="FZ101" s="294"/>
      <c r="GA101" s="294"/>
      <c r="GB101" s="294"/>
      <c r="GC101" s="294"/>
      <c r="GD101" s="294"/>
      <c r="GE101" s="294"/>
      <c r="GF101" s="294"/>
      <c r="GG101" s="294"/>
      <c r="GH101" s="294"/>
      <c r="GI101" s="294"/>
      <c r="GJ101" s="294"/>
      <c r="GK101" s="294"/>
      <c r="GL101" s="294"/>
      <c r="GM101" s="294"/>
      <c r="GN101" s="294"/>
      <c r="GO101" s="294"/>
      <c r="GP101" s="294"/>
      <c r="GQ101" s="294"/>
      <c r="GR101" s="294"/>
      <c r="GS101" s="294"/>
      <c r="GT101" s="294"/>
      <c r="GU101" s="294"/>
      <c r="GV101" s="294"/>
      <c r="GW101" s="294"/>
      <c r="GX101" s="294"/>
      <c r="GY101" s="294"/>
      <c r="GZ101" s="294"/>
      <c r="HA101" s="294"/>
      <c r="HB101" s="294"/>
      <c r="HC101" s="294">
        <v>0</v>
      </c>
      <c r="HD101" s="294"/>
      <c r="HE101" s="294"/>
      <c r="HF101" s="294"/>
      <c r="HG101" s="294"/>
      <c r="HH101" s="294"/>
      <c r="HI101" s="294"/>
      <c r="HJ101" s="294"/>
      <c r="HK101" s="294"/>
      <c r="HL101" s="294"/>
      <c r="HM101" s="294"/>
      <c r="HN101" s="294"/>
      <c r="HO101" s="294"/>
      <c r="HP101" s="294"/>
      <c r="HQ101" s="294"/>
      <c r="HR101" s="294"/>
      <c r="HS101" s="294"/>
      <c r="HT101" s="294"/>
      <c r="HU101" s="294"/>
      <c r="HV101" s="294"/>
      <c r="HW101" s="294"/>
      <c r="HX101" s="294"/>
      <c r="HY101" s="294"/>
      <c r="HZ101" s="294"/>
      <c r="IA101" s="294"/>
      <c r="IB101" s="294"/>
      <c r="IC101" s="294"/>
      <c r="ID101" s="294"/>
      <c r="IE101" s="294"/>
      <c r="IF101" s="294"/>
      <c r="IG101" s="294"/>
      <c r="IH101" s="294"/>
      <c r="II101" s="294"/>
      <c r="IJ101" s="294"/>
      <c r="IK101" s="294"/>
      <c r="IL101" s="294"/>
      <c r="IM101" s="294"/>
      <c r="IN101" s="294"/>
      <c r="IO101" s="294"/>
      <c r="IP101" s="294"/>
      <c r="IQ101" s="294"/>
      <c r="IR101" s="294"/>
      <c r="IS101" s="294"/>
      <c r="IT101" s="294"/>
      <c r="IU101" s="294"/>
      <c r="IV101" s="294"/>
      <c r="IW101" s="294"/>
      <c r="IX101" s="294"/>
      <c r="IY101" s="294"/>
      <c r="IZ101" s="294"/>
      <c r="JA101" s="294"/>
      <c r="JB101" s="294"/>
      <c r="JC101" s="294"/>
      <c r="JD101" s="294"/>
      <c r="JE101" s="294">
        <v>0</v>
      </c>
      <c r="JF101" s="294"/>
      <c r="JG101" s="294"/>
      <c r="JH101" s="294"/>
      <c r="JI101" s="294"/>
      <c r="JJ101" s="294"/>
      <c r="JK101" s="294">
        <v>0</v>
      </c>
      <c r="JL101" s="294"/>
      <c r="JM101" s="294"/>
      <c r="JN101" s="294"/>
      <c r="JO101" s="294"/>
      <c r="JP101" s="294"/>
      <c r="JQ101" s="294"/>
      <c r="JR101" s="294"/>
      <c r="JS101" s="294"/>
      <c r="JT101" s="294"/>
      <c r="JU101" s="294"/>
      <c r="JV101" s="294"/>
      <c r="JW101" s="294"/>
      <c r="JX101" s="294"/>
      <c r="JY101" s="294"/>
      <c r="JZ101" s="294"/>
      <c r="KA101" s="294"/>
      <c r="KB101" s="294"/>
      <c r="KC101" s="294"/>
      <c r="KD101" s="294"/>
      <c r="KE101" s="294"/>
      <c r="KF101" s="294"/>
      <c r="KG101" s="294"/>
      <c r="KH101" s="294"/>
      <c r="KI101" s="294"/>
      <c r="KJ101" s="294"/>
      <c r="KK101" s="294"/>
      <c r="KL101" s="294"/>
      <c r="KM101" s="294"/>
      <c r="KN101" s="294"/>
      <c r="KO101" s="294"/>
      <c r="KP101" s="294"/>
      <c r="KQ101" s="294"/>
      <c r="KR101" s="294"/>
      <c r="KS101" s="294"/>
      <c r="KT101" s="294"/>
      <c r="KU101" s="294"/>
      <c r="KV101" s="294"/>
      <c r="KW101" s="294"/>
      <c r="KX101" s="294"/>
      <c r="KY101" s="294"/>
      <c r="KZ101" s="294"/>
      <c r="LA101" s="294"/>
      <c r="LB101" s="294"/>
      <c r="LC101" s="294"/>
      <c r="LD101" s="294"/>
      <c r="LE101" s="294"/>
      <c r="LF101" s="294"/>
      <c r="LG101" s="294"/>
      <c r="LH101" s="294"/>
      <c r="LI101" s="294"/>
      <c r="LJ101" s="294"/>
      <c r="LK101" s="294"/>
      <c r="LL101" s="294"/>
      <c r="LM101" s="294"/>
      <c r="LN101" s="294"/>
      <c r="LO101" s="294"/>
      <c r="LP101" s="294"/>
      <c r="LQ101" s="294"/>
      <c r="LR101" s="294"/>
      <c r="LS101" s="294"/>
      <c r="LT101" s="294"/>
      <c r="LU101" s="294"/>
      <c r="LV101" s="294"/>
      <c r="LW101" s="294">
        <v>-937122.63</v>
      </c>
      <c r="LX101" s="294">
        <v>-269431.40999999997</v>
      </c>
      <c r="LY101" s="294"/>
      <c r="LZ101" s="294"/>
      <c r="MA101" s="294"/>
      <c r="MB101" s="294"/>
      <c r="MC101" s="294"/>
      <c r="MD101" s="294"/>
      <c r="ME101" s="294"/>
      <c r="MF101" s="294"/>
      <c r="MG101" s="294"/>
      <c r="MH101" s="294"/>
      <c r="MI101" s="294"/>
      <c r="MJ101" s="294"/>
      <c r="MK101" s="294"/>
      <c r="ML101" s="294"/>
      <c r="MM101" s="294"/>
      <c r="MN101" s="294"/>
      <c r="MO101" s="294"/>
      <c r="MP101" s="294"/>
      <c r="MQ101" s="294"/>
      <c r="MR101" s="294"/>
      <c r="MS101" s="294">
        <v>0</v>
      </c>
      <c r="MT101" s="294"/>
      <c r="MU101" s="294"/>
      <c r="MV101" s="294"/>
      <c r="MW101" s="294"/>
      <c r="MX101" s="294"/>
      <c r="MY101" s="294"/>
      <c r="MZ101" s="294"/>
      <c r="NA101" s="294"/>
      <c r="NB101" s="294"/>
      <c r="NC101" s="294"/>
      <c r="ND101" s="294"/>
      <c r="NE101" s="294"/>
      <c r="NF101" s="294"/>
      <c r="NG101" s="294"/>
      <c r="NH101" s="294"/>
      <c r="NI101" s="294"/>
      <c r="NJ101" s="294"/>
      <c r="NK101" s="294"/>
      <c r="NL101" s="294"/>
      <c r="NM101" s="294"/>
      <c r="NN101" s="294"/>
      <c r="NO101" s="294"/>
      <c r="NP101" s="294">
        <v>-3654.6</v>
      </c>
      <c r="NQ101" s="294"/>
      <c r="NR101" s="294"/>
      <c r="NS101" s="294"/>
      <c r="NT101" s="294"/>
      <c r="NU101" s="294"/>
      <c r="NV101" s="294"/>
      <c r="NW101" s="294">
        <v>0</v>
      </c>
      <c r="NX101" s="294"/>
      <c r="NY101" s="294"/>
      <c r="NZ101" s="294"/>
      <c r="OA101" s="294"/>
      <c r="OB101" s="294"/>
      <c r="OC101" s="294"/>
      <c r="OD101" s="294"/>
      <c r="OE101" s="294"/>
      <c r="OF101" s="294"/>
      <c r="OG101" s="294">
        <v>0</v>
      </c>
      <c r="OH101" s="294"/>
      <c r="OI101" s="294"/>
      <c r="OJ101" s="294"/>
      <c r="OK101" s="294"/>
      <c r="OL101" s="294"/>
      <c r="OM101" s="294"/>
      <c r="ON101" s="294"/>
      <c r="OO101" s="294"/>
      <c r="OP101" s="294">
        <v>0</v>
      </c>
      <c r="OQ101" s="294">
        <v>0</v>
      </c>
      <c r="OR101" s="294">
        <v>0</v>
      </c>
      <c r="OS101" s="294">
        <v>-24882.16</v>
      </c>
      <c r="OT101" s="294"/>
      <c r="OU101" s="294"/>
      <c r="OV101" s="294"/>
      <c r="OW101" s="294"/>
      <c r="OX101" s="294"/>
      <c r="OY101" s="294"/>
      <c r="OZ101" s="294"/>
      <c r="PA101" s="294"/>
      <c r="PB101" s="294">
        <v>-96303.28</v>
      </c>
      <c r="PC101" s="294"/>
      <c r="PD101" s="294"/>
      <c r="PE101" s="294"/>
      <c r="PF101" s="294"/>
      <c r="PG101" s="294">
        <v>0</v>
      </c>
      <c r="PH101" s="294"/>
      <c r="PI101" s="294">
        <v>0</v>
      </c>
      <c r="PJ101" s="294"/>
      <c r="PK101" s="294"/>
      <c r="PL101" s="294"/>
      <c r="PM101" s="294"/>
      <c r="PN101" s="294"/>
      <c r="PO101" s="294"/>
      <c r="PP101" s="294"/>
      <c r="PQ101" s="294"/>
      <c r="PR101" s="294"/>
      <c r="PS101" s="294"/>
      <c r="PT101" s="294">
        <v>-34382.160000000003</v>
      </c>
      <c r="PU101" s="294">
        <v>-94287.48</v>
      </c>
      <c r="PV101" s="294">
        <v>-21830.63</v>
      </c>
      <c r="PW101" s="294">
        <v>-12551.55</v>
      </c>
      <c r="PX101" s="294">
        <v>-504127.54</v>
      </c>
      <c r="PY101" s="294">
        <v>0</v>
      </c>
      <c r="PZ101" s="294">
        <v>0</v>
      </c>
      <c r="QA101" s="294">
        <v>-12773.62</v>
      </c>
      <c r="QB101" s="294">
        <v>-47072.800000000003</v>
      </c>
      <c r="QC101" s="294">
        <v>-12419</v>
      </c>
      <c r="QD101" s="294">
        <v>-73262.899999999994</v>
      </c>
      <c r="QE101" s="294">
        <v>0</v>
      </c>
      <c r="QF101" s="294"/>
      <c r="QG101" s="294">
        <v>-27603.37</v>
      </c>
      <c r="QH101" s="294">
        <v>-9229.09</v>
      </c>
      <c r="QI101" s="294">
        <v>-92668.03</v>
      </c>
      <c r="QJ101" s="294">
        <v>-21394.58</v>
      </c>
      <c r="QK101" s="294">
        <v>0</v>
      </c>
      <c r="QL101" s="294">
        <v>-9154.68</v>
      </c>
      <c r="QM101" s="294">
        <v>-217316.09</v>
      </c>
      <c r="QN101" s="294">
        <v>-3294.95</v>
      </c>
      <c r="QO101" s="294">
        <v>0</v>
      </c>
      <c r="QP101" s="294">
        <v>-6647.24</v>
      </c>
      <c r="QQ101" s="294">
        <v>0</v>
      </c>
      <c r="QR101" s="294">
        <v>-7302.51</v>
      </c>
      <c r="QS101" s="294">
        <v>-6065.82</v>
      </c>
      <c r="QT101" s="294">
        <v>-59898.080000000002</v>
      </c>
      <c r="QU101" s="294"/>
      <c r="QV101" s="294"/>
      <c r="QW101" s="294"/>
      <c r="QX101" s="294"/>
      <c r="QY101" s="294">
        <v>0</v>
      </c>
      <c r="QZ101" s="294"/>
      <c r="RA101" s="294"/>
      <c r="RB101" s="294">
        <v>-9305.39</v>
      </c>
      <c r="RC101" s="294"/>
      <c r="RD101" s="294"/>
      <c r="RE101" s="294"/>
      <c r="RF101" s="294"/>
      <c r="RG101" s="294"/>
      <c r="RH101" s="294"/>
      <c r="RI101" s="294"/>
      <c r="RJ101" s="294"/>
      <c r="RK101" s="294"/>
      <c r="RL101" s="294"/>
      <c r="RM101" s="294"/>
      <c r="RN101" s="294"/>
      <c r="RO101" s="294"/>
      <c r="RP101" s="294"/>
      <c r="RQ101" s="294"/>
      <c r="RR101" s="294"/>
      <c r="RS101" s="294"/>
      <c r="RT101" s="294"/>
      <c r="RU101" s="294"/>
      <c r="RV101" s="294"/>
      <c r="RW101" s="294"/>
      <c r="RX101" s="294"/>
      <c r="RY101" s="294"/>
      <c r="RZ101" s="294"/>
      <c r="SA101" s="294"/>
      <c r="SB101" s="294"/>
      <c r="SC101" s="294"/>
      <c r="SD101" s="294"/>
      <c r="SE101" s="294"/>
      <c r="SF101" s="294"/>
      <c r="SG101" s="294"/>
      <c r="SH101" s="294"/>
      <c r="SI101" s="294"/>
      <c r="SJ101" s="294"/>
      <c r="SK101" s="294"/>
      <c r="SL101" s="294"/>
      <c r="SM101" s="294"/>
      <c r="SN101" s="294"/>
      <c r="SO101" s="294"/>
      <c r="SP101" s="294"/>
      <c r="SQ101" s="294"/>
      <c r="SR101" s="294"/>
      <c r="SS101" s="294"/>
      <c r="ST101" s="294"/>
      <c r="SU101" s="294"/>
      <c r="SV101" s="294"/>
      <c r="SW101" s="294"/>
      <c r="SX101" s="294"/>
      <c r="SY101" s="294"/>
      <c r="SZ101" s="294"/>
      <c r="TA101" s="294"/>
      <c r="TB101" s="294"/>
      <c r="TC101" s="294"/>
      <c r="TD101" s="294"/>
      <c r="TE101" s="294"/>
      <c r="TF101" s="294"/>
      <c r="TG101" s="294"/>
      <c r="TH101" s="294"/>
      <c r="TI101" s="294"/>
      <c r="TJ101" s="294"/>
      <c r="TK101" s="294"/>
      <c r="TL101" s="294"/>
      <c r="TM101" s="294"/>
      <c r="TN101" s="294"/>
      <c r="TO101" s="294"/>
      <c r="TP101" s="294"/>
      <c r="TQ101" s="294"/>
      <c r="TR101" s="294"/>
      <c r="TS101" s="294"/>
      <c r="TT101" s="294"/>
      <c r="TU101" s="294"/>
      <c r="TV101" s="294"/>
      <c r="TW101" s="294"/>
      <c r="TX101" s="294"/>
      <c r="TY101" s="294"/>
      <c r="TZ101" s="294"/>
      <c r="UA101" s="294"/>
      <c r="UB101" s="294"/>
      <c r="UC101" s="294"/>
      <c r="UD101" s="294"/>
      <c r="UE101" s="294"/>
      <c r="UF101" s="294"/>
      <c r="UG101" s="294"/>
      <c r="UH101" s="294"/>
      <c r="UI101" s="294"/>
      <c r="UJ101" s="294"/>
      <c r="UK101" s="294"/>
      <c r="UL101" s="294"/>
      <c r="UM101" s="294"/>
      <c r="UN101" s="294"/>
      <c r="UO101" s="294"/>
      <c r="UP101" s="294"/>
      <c r="UQ101" s="294"/>
      <c r="UR101" s="294"/>
      <c r="US101" s="294"/>
      <c r="UT101" s="294"/>
      <c r="UU101" s="294"/>
      <c r="UV101" s="294"/>
      <c r="UW101" s="294"/>
      <c r="UX101" s="294"/>
      <c r="UY101" s="294"/>
      <c r="UZ101" s="294"/>
      <c r="VA101" s="294"/>
      <c r="VB101" s="294"/>
      <c r="VC101" s="294"/>
      <c r="VD101" s="294"/>
      <c r="VE101" s="294"/>
      <c r="VF101" s="294"/>
      <c r="VG101" s="294"/>
      <c r="VH101" s="294"/>
      <c r="VI101" s="294"/>
      <c r="VJ101" s="294"/>
      <c r="VK101" s="294"/>
      <c r="VL101" s="294"/>
      <c r="VM101" s="294"/>
      <c r="VN101" s="294"/>
      <c r="VO101" s="294"/>
      <c r="VP101" s="294"/>
      <c r="VQ101" s="294"/>
      <c r="VR101" s="294"/>
      <c r="VS101" s="294"/>
      <c r="VT101" s="294"/>
      <c r="VU101" s="294"/>
      <c r="VV101" s="294"/>
      <c r="VW101" s="294"/>
      <c r="VX101" s="294"/>
      <c r="VY101" s="294"/>
      <c r="VZ101" s="294"/>
      <c r="WA101" s="294">
        <v>-33824.980000000003</v>
      </c>
      <c r="WB101" s="294"/>
      <c r="WC101" s="294"/>
      <c r="WD101" s="294"/>
      <c r="WE101" s="294"/>
      <c r="WF101" s="294"/>
      <c r="WG101" s="294"/>
      <c r="WH101" s="294"/>
      <c r="WI101" s="294"/>
      <c r="WJ101" s="294"/>
      <c r="WK101" s="294"/>
      <c r="WL101" s="294"/>
      <c r="WM101" s="294"/>
      <c r="WN101" s="294"/>
      <c r="WO101" s="294"/>
      <c r="WP101" s="294"/>
      <c r="WQ101" s="294"/>
      <c r="WR101" s="294"/>
      <c r="WS101" s="294"/>
      <c r="WT101" s="294"/>
      <c r="WU101" s="294"/>
      <c r="WV101" s="294"/>
      <c r="WW101" s="294"/>
      <c r="WX101" s="294"/>
      <c r="WY101" s="294"/>
      <c r="WZ101" s="294"/>
      <c r="XA101" s="294"/>
      <c r="XB101" s="294"/>
      <c r="XC101" s="294"/>
      <c r="XD101" s="294"/>
      <c r="XE101" s="294"/>
      <c r="XF101" s="294"/>
      <c r="XG101" s="294"/>
      <c r="XH101" s="294"/>
      <c r="XI101" s="294"/>
      <c r="XJ101" s="294"/>
      <c r="XK101" s="294"/>
      <c r="XL101" s="294"/>
      <c r="XM101" s="294"/>
      <c r="XN101" s="294"/>
      <c r="XO101" s="294"/>
      <c r="XP101" s="294"/>
      <c r="XQ101" s="294"/>
      <c r="XR101" s="294"/>
      <c r="XS101" s="294"/>
      <c r="XT101" s="294"/>
      <c r="XU101" s="294"/>
      <c r="XV101" s="294"/>
      <c r="XW101" s="294"/>
      <c r="XX101" s="294"/>
      <c r="XY101" s="294"/>
      <c r="XZ101" s="294"/>
      <c r="YA101" s="294"/>
      <c r="YB101" s="294"/>
      <c r="YC101" s="294"/>
      <c r="YD101" s="294"/>
      <c r="YE101" s="294"/>
      <c r="YF101" s="294"/>
      <c r="YG101" s="294"/>
      <c r="YH101" s="294"/>
      <c r="YI101" s="294"/>
      <c r="YJ101" s="294"/>
      <c r="YK101" s="294"/>
      <c r="YL101" s="294"/>
      <c r="YM101" s="294"/>
      <c r="YN101" s="294"/>
      <c r="YO101" s="294"/>
      <c r="YP101" s="294"/>
      <c r="YQ101" s="294"/>
      <c r="YR101" s="294"/>
      <c r="YS101" s="294"/>
      <c r="YT101" s="294"/>
      <c r="YU101" s="294"/>
      <c r="YV101" s="294"/>
      <c r="YW101" s="294"/>
      <c r="YX101" s="294"/>
      <c r="YY101" s="294"/>
      <c r="YZ101" s="294"/>
      <c r="ZA101" s="294"/>
      <c r="ZB101" s="294"/>
      <c r="ZC101" s="294"/>
      <c r="ZD101" s="294"/>
      <c r="ZE101" s="294">
        <v>-7506.84</v>
      </c>
      <c r="ZF101" s="294"/>
      <c r="ZG101" s="294"/>
      <c r="ZH101" s="294"/>
      <c r="ZI101" s="294">
        <v>0</v>
      </c>
      <c r="ZJ101" s="294"/>
      <c r="ZK101" s="294"/>
      <c r="ZL101" s="294"/>
      <c r="ZM101" s="294"/>
      <c r="ZN101" s="294"/>
      <c r="ZO101" s="294"/>
      <c r="ZP101" s="294"/>
      <c r="ZQ101" s="294"/>
      <c r="ZR101" s="294"/>
      <c r="ZS101" s="294"/>
      <c r="ZT101" s="294"/>
      <c r="ZU101" s="294"/>
      <c r="ZV101" s="294"/>
      <c r="ZW101" s="294"/>
      <c r="ZX101" s="294"/>
      <c r="ZY101" s="294"/>
      <c r="ZZ101" s="294"/>
      <c r="AAA101" s="294"/>
      <c r="AAB101" s="294"/>
      <c r="AAC101" s="294"/>
      <c r="AAD101" s="294"/>
      <c r="AAE101" s="294"/>
      <c r="AAF101" s="294"/>
      <c r="AAG101" s="294"/>
      <c r="AAH101" s="294">
        <v>-1463.4</v>
      </c>
      <c r="AAI101" s="294"/>
      <c r="AAJ101" s="294"/>
      <c r="AAK101" s="294"/>
      <c r="AAL101" s="294"/>
      <c r="AAM101" s="294"/>
      <c r="AAN101" s="294"/>
      <c r="AAO101" s="294"/>
      <c r="AAP101" s="294"/>
      <c r="AAQ101" s="294"/>
      <c r="AAR101" s="294"/>
      <c r="AAS101" s="294"/>
      <c r="AAT101" s="294"/>
      <c r="AAU101" s="294"/>
      <c r="AAV101" s="294"/>
      <c r="AAW101" s="294"/>
      <c r="AAX101" s="294"/>
      <c r="AAY101" s="294"/>
      <c r="AAZ101" s="294"/>
      <c r="ABA101" s="294"/>
      <c r="ABB101" s="294"/>
      <c r="ABC101" s="294">
        <v>0</v>
      </c>
      <c r="ABD101" s="294"/>
      <c r="ABE101" s="294"/>
      <c r="ABF101" s="294"/>
      <c r="ABG101" s="294"/>
      <c r="ABH101" s="294"/>
      <c r="ABI101" s="294"/>
      <c r="ABJ101" s="294">
        <v>0</v>
      </c>
      <c r="ABK101" s="294">
        <v>0</v>
      </c>
      <c r="ABL101" s="294"/>
      <c r="ABM101" s="294"/>
      <c r="ABN101" s="294"/>
      <c r="ABO101" s="294"/>
      <c r="ABP101" s="294"/>
      <c r="ABQ101" s="294"/>
      <c r="ABR101" s="294"/>
      <c r="ABS101" s="294"/>
      <c r="ABT101" s="294"/>
      <c r="ABU101" s="294"/>
      <c r="ABV101" s="294"/>
      <c r="ABW101" s="294"/>
      <c r="ABX101" s="294">
        <v>-9049.6</v>
      </c>
      <c r="ABY101" s="294"/>
      <c r="ABZ101" s="294"/>
      <c r="ACA101" s="294"/>
      <c r="ACB101" s="294"/>
      <c r="ACC101" s="294"/>
      <c r="ACD101" s="294">
        <v>13388.19</v>
      </c>
      <c r="ACE101" s="294"/>
      <c r="ACF101" s="294"/>
      <c r="ACG101" s="294"/>
      <c r="ACH101" s="294"/>
      <c r="ACI101" s="294">
        <v>-7413.55</v>
      </c>
      <c r="ACJ101" s="294"/>
      <c r="ACK101" s="294"/>
      <c r="ACL101" s="294"/>
      <c r="ACM101" s="294">
        <v>-4603.3900000000003</v>
      </c>
      <c r="ACN101" s="294"/>
      <c r="ACO101" s="294"/>
      <c r="ACP101" s="294"/>
      <c r="ACQ101" s="294"/>
      <c r="ACR101" s="294"/>
      <c r="ACS101" s="294"/>
      <c r="ACT101" s="294"/>
      <c r="ACU101" s="294"/>
      <c r="ACV101" s="294"/>
      <c r="ACW101" s="294"/>
      <c r="ACX101" s="294"/>
      <c r="ACY101" s="294"/>
      <c r="ACZ101" s="294"/>
      <c r="ADA101" s="294"/>
      <c r="ADB101" s="294"/>
      <c r="ADC101" s="294"/>
      <c r="ADD101" s="294"/>
      <c r="ADE101" s="294"/>
      <c r="ADF101" s="294"/>
      <c r="ADG101" s="294">
        <v>0</v>
      </c>
      <c r="ADH101" s="294"/>
      <c r="ADI101" s="294"/>
      <c r="ADJ101" s="294"/>
      <c r="ADK101" s="294"/>
      <c r="ADL101" s="294"/>
      <c r="ADM101" s="294"/>
      <c r="ADN101" s="294"/>
      <c r="ADO101" s="294"/>
      <c r="ADP101" s="294"/>
      <c r="ADQ101" s="294"/>
      <c r="ADR101" s="294"/>
      <c r="ADS101" s="294"/>
      <c r="ADT101" s="294"/>
      <c r="ADU101" s="294"/>
      <c r="ADV101" s="294"/>
      <c r="ADW101" s="294"/>
      <c r="ADX101" s="294"/>
      <c r="ADY101" s="294"/>
      <c r="ADZ101" s="294">
        <v>-5711.7</v>
      </c>
      <c r="AEA101" s="294"/>
      <c r="AEB101" s="294"/>
      <c r="AEC101" s="294"/>
      <c r="AED101" s="294"/>
      <c r="AEE101" s="294"/>
      <c r="AEF101" s="294"/>
      <c r="AEG101" s="294"/>
      <c r="AEH101" s="294"/>
      <c r="AEI101" s="294"/>
      <c r="AEJ101" s="294"/>
      <c r="AEK101" s="294"/>
      <c r="AEL101" s="294"/>
      <c r="AEM101" s="294"/>
      <c r="AEN101" s="294"/>
      <c r="AEO101" s="294"/>
      <c r="AEP101" s="294"/>
      <c r="AEQ101" s="294"/>
      <c r="AER101" s="294"/>
      <c r="AES101" s="294"/>
      <c r="AET101" s="294"/>
      <c r="AEU101" s="294"/>
      <c r="AEV101" s="294"/>
      <c r="AEW101" s="294"/>
      <c r="AEX101" s="294"/>
      <c r="AEY101" s="294"/>
      <c r="AEZ101" s="294"/>
      <c r="AFA101" s="294"/>
      <c r="AFB101" s="294"/>
      <c r="AFC101" s="294"/>
      <c r="AFD101" s="294"/>
      <c r="AFE101" s="294"/>
      <c r="AFF101" s="294"/>
      <c r="AFG101" s="294"/>
      <c r="AFH101" s="294"/>
      <c r="AFI101" s="294"/>
      <c r="AFJ101" s="294"/>
      <c r="AFK101" s="294"/>
      <c r="AFL101" s="294"/>
      <c r="AFM101" s="294"/>
      <c r="AFN101" s="294"/>
      <c r="AFO101" s="294"/>
      <c r="AFP101" s="294"/>
      <c r="AFQ101" s="294"/>
      <c r="AFR101" s="294"/>
      <c r="AFS101" s="294"/>
      <c r="AFT101" s="294"/>
      <c r="AFU101" s="294"/>
      <c r="AFV101" s="294"/>
      <c r="AFW101" s="294"/>
      <c r="AFX101" s="294"/>
      <c r="AFY101" s="294"/>
      <c r="AFZ101" s="294"/>
      <c r="AGA101" s="294"/>
      <c r="AGB101" s="294">
        <v>0</v>
      </c>
      <c r="AGC101" s="294"/>
      <c r="AGD101" s="294"/>
      <c r="AGE101" s="294"/>
      <c r="AGF101" s="294"/>
      <c r="AGG101" s="294"/>
      <c r="AGH101" s="294"/>
      <c r="AGI101" s="294"/>
      <c r="AGJ101" s="294"/>
      <c r="AGK101" s="294"/>
      <c r="AGL101" s="294"/>
      <c r="AGM101" s="294">
        <v>0</v>
      </c>
      <c r="AGN101" s="294"/>
      <c r="AGO101" s="294"/>
      <c r="AGP101" s="294"/>
      <c r="AGQ101" s="294"/>
      <c r="AGR101" s="294"/>
      <c r="AGS101" s="294"/>
      <c r="AGT101" s="294"/>
      <c r="AGU101" s="294">
        <v>0</v>
      </c>
      <c r="AGV101" s="294"/>
      <c r="AGW101" s="294"/>
      <c r="AGX101" s="294"/>
      <c r="AGY101" s="294"/>
      <c r="AGZ101" s="294"/>
      <c r="AHA101" s="294"/>
      <c r="AHB101" s="294"/>
      <c r="AHC101" s="294"/>
      <c r="AHD101" s="294"/>
      <c r="AHE101" s="294"/>
      <c r="AHF101" s="294"/>
      <c r="AHG101" s="294"/>
      <c r="AHH101" s="294"/>
      <c r="AHI101" s="294"/>
      <c r="AHJ101" s="294"/>
      <c r="AHK101" s="294"/>
      <c r="AHL101" s="294"/>
      <c r="AHM101" s="294"/>
      <c r="AHN101" s="294"/>
      <c r="AHO101" s="294"/>
      <c r="AHP101" s="294"/>
      <c r="AHQ101" s="294"/>
      <c r="AHR101" s="331"/>
      <c r="AHS101" s="294">
        <f t="shared" si="51"/>
        <v>-2745889.39</v>
      </c>
      <c r="AHT101" s="269" t="b">
        <f t="shared" si="52"/>
        <v>1</v>
      </c>
      <c r="AHU101" s="269" t="s">
        <v>6278</v>
      </c>
      <c r="AHV101" s="269" t="s">
        <v>6145</v>
      </c>
      <c r="AHW101" s="269" t="s">
        <v>6146</v>
      </c>
    </row>
    <row r="102" spans="1:907" ht="24.6" x14ac:dyDescent="0.7">
      <c r="A102" s="268" t="s">
        <v>6278</v>
      </c>
      <c r="B102" s="268" t="s">
        <v>6147</v>
      </c>
      <c r="C102" s="269" t="s">
        <v>6148</v>
      </c>
      <c r="D102" s="294">
        <v>0</v>
      </c>
      <c r="E102" s="294"/>
      <c r="F102" s="294"/>
      <c r="G102" s="294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>
        <v>0</v>
      </c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  <c r="AH102" s="294"/>
      <c r="AI102" s="294"/>
      <c r="AJ102" s="294"/>
      <c r="AK102" s="294">
        <v>0</v>
      </c>
      <c r="AL102" s="294">
        <v>-54290</v>
      </c>
      <c r="AM102" s="294">
        <v>0</v>
      </c>
      <c r="AN102" s="294"/>
      <c r="AO102" s="294"/>
      <c r="AP102" s="294"/>
      <c r="AQ102" s="294"/>
      <c r="AR102" s="294"/>
      <c r="AS102" s="294"/>
      <c r="AT102" s="294"/>
      <c r="AU102" s="294"/>
      <c r="AV102" s="294"/>
      <c r="AW102" s="294"/>
      <c r="AX102" s="294"/>
      <c r="AY102" s="294"/>
      <c r="AZ102" s="294"/>
      <c r="BA102" s="294"/>
      <c r="BB102" s="294"/>
      <c r="BC102" s="294"/>
      <c r="BD102" s="294"/>
      <c r="BE102" s="294"/>
      <c r="BF102" s="294"/>
      <c r="BG102" s="294"/>
      <c r="BH102" s="294"/>
      <c r="BI102" s="294">
        <v>0</v>
      </c>
      <c r="BJ102" s="294">
        <v>0</v>
      </c>
      <c r="BK102" s="294"/>
      <c r="BL102" s="294"/>
      <c r="BM102" s="294"/>
      <c r="BN102" s="294"/>
      <c r="BO102" s="294"/>
      <c r="BP102" s="294"/>
      <c r="BQ102" s="294"/>
      <c r="BR102" s="294"/>
      <c r="BS102" s="294"/>
      <c r="BT102" s="294"/>
      <c r="BU102" s="294"/>
      <c r="BV102" s="294"/>
      <c r="BW102" s="294"/>
      <c r="BX102" s="294"/>
      <c r="BY102" s="294"/>
      <c r="BZ102" s="294"/>
      <c r="CA102" s="294"/>
      <c r="CB102" s="294"/>
      <c r="CC102" s="294"/>
      <c r="CD102" s="294"/>
      <c r="CE102" s="294"/>
      <c r="CF102" s="294"/>
      <c r="CG102" s="294">
        <v>0</v>
      </c>
      <c r="CH102" s="294"/>
      <c r="CI102" s="294"/>
      <c r="CJ102" s="294"/>
      <c r="CK102" s="294"/>
      <c r="CL102" s="294"/>
      <c r="CM102" s="294"/>
      <c r="CN102" s="294"/>
      <c r="CO102" s="294"/>
      <c r="CP102" s="294"/>
      <c r="CQ102" s="294"/>
      <c r="CR102" s="294"/>
      <c r="CS102" s="294"/>
      <c r="CT102" s="294">
        <v>0</v>
      </c>
      <c r="CU102" s="294"/>
      <c r="CV102" s="294"/>
      <c r="CW102" s="294"/>
      <c r="CX102" s="294"/>
      <c r="CY102" s="294"/>
      <c r="CZ102" s="294"/>
      <c r="DA102" s="294"/>
      <c r="DB102" s="294">
        <v>0</v>
      </c>
      <c r="DC102" s="294">
        <v>0</v>
      </c>
      <c r="DD102" s="294"/>
      <c r="DE102" s="294"/>
      <c r="DF102" s="294"/>
      <c r="DG102" s="294"/>
      <c r="DH102" s="294"/>
      <c r="DI102" s="294"/>
      <c r="DJ102" s="294"/>
      <c r="DK102" s="294">
        <v>0</v>
      </c>
      <c r="DL102" s="294"/>
      <c r="DM102" s="294"/>
      <c r="DN102" s="294"/>
      <c r="DO102" s="294"/>
      <c r="DP102" s="294"/>
      <c r="DQ102" s="294"/>
      <c r="DR102" s="294"/>
      <c r="DS102" s="294"/>
      <c r="DT102" s="294">
        <v>-187440.33</v>
      </c>
      <c r="DU102" s="294"/>
      <c r="DV102" s="294"/>
      <c r="DW102" s="294"/>
      <c r="DX102" s="294"/>
      <c r="DY102" s="294"/>
      <c r="DZ102" s="294">
        <v>-29802</v>
      </c>
      <c r="EA102" s="294">
        <v>-40785.5</v>
      </c>
      <c r="EB102" s="294"/>
      <c r="EC102" s="294"/>
      <c r="ED102" s="294"/>
      <c r="EE102" s="294">
        <v>0</v>
      </c>
      <c r="EF102" s="294">
        <v>0</v>
      </c>
      <c r="EG102" s="294"/>
      <c r="EH102" s="294"/>
      <c r="EI102" s="294"/>
      <c r="EJ102" s="294"/>
      <c r="EK102" s="294"/>
      <c r="EL102" s="294"/>
      <c r="EM102" s="294"/>
      <c r="EN102" s="294">
        <v>-1840</v>
      </c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  <c r="FI102" s="294"/>
      <c r="FJ102" s="294"/>
      <c r="FK102" s="294"/>
      <c r="FL102" s="294"/>
      <c r="FM102" s="294"/>
      <c r="FN102" s="294"/>
      <c r="FO102" s="294"/>
      <c r="FP102" s="294"/>
      <c r="FQ102" s="294">
        <v>0</v>
      </c>
      <c r="FR102" s="294"/>
      <c r="FS102" s="294"/>
      <c r="FT102" s="294"/>
      <c r="FU102" s="294"/>
      <c r="FV102" s="294"/>
      <c r="FW102" s="294">
        <v>-321584</v>
      </c>
      <c r="FX102" s="294"/>
      <c r="FY102" s="294"/>
      <c r="FZ102" s="294"/>
      <c r="GA102" s="294"/>
      <c r="GB102" s="294"/>
      <c r="GC102" s="294"/>
      <c r="GD102" s="294"/>
      <c r="GE102" s="294">
        <v>0</v>
      </c>
      <c r="GF102" s="294"/>
      <c r="GG102" s="294"/>
      <c r="GH102" s="294"/>
      <c r="GI102" s="294"/>
      <c r="GJ102" s="294"/>
      <c r="GK102" s="294">
        <v>-16000</v>
      </c>
      <c r="GL102" s="294"/>
      <c r="GM102" s="294"/>
      <c r="GN102" s="294"/>
      <c r="GO102" s="294"/>
      <c r="GP102" s="294">
        <v>-1073.56</v>
      </c>
      <c r="GQ102" s="294"/>
      <c r="GR102" s="294"/>
      <c r="GS102" s="294"/>
      <c r="GT102" s="294"/>
      <c r="GU102" s="294"/>
      <c r="GV102" s="294"/>
      <c r="GW102" s="294"/>
      <c r="GX102" s="294"/>
      <c r="GY102" s="294"/>
      <c r="GZ102" s="294"/>
      <c r="HA102" s="294"/>
      <c r="HB102" s="294"/>
      <c r="HC102" s="294"/>
      <c r="HD102" s="294"/>
      <c r="HE102" s="294"/>
      <c r="HF102" s="294"/>
      <c r="HG102" s="294"/>
      <c r="HH102" s="294"/>
      <c r="HI102" s="294"/>
      <c r="HJ102" s="294">
        <v>0</v>
      </c>
      <c r="HK102" s="294"/>
      <c r="HL102" s="294"/>
      <c r="HM102" s="294">
        <v>0</v>
      </c>
      <c r="HN102" s="294"/>
      <c r="HO102" s="294"/>
      <c r="HP102" s="294"/>
      <c r="HQ102" s="294"/>
      <c r="HR102" s="294">
        <v>0</v>
      </c>
      <c r="HS102" s="294">
        <v>0</v>
      </c>
      <c r="HT102" s="294"/>
      <c r="HU102" s="294"/>
      <c r="HV102" s="294"/>
      <c r="HW102" s="294"/>
      <c r="HX102" s="294"/>
      <c r="HY102" s="294"/>
      <c r="HZ102" s="294"/>
      <c r="IA102" s="294"/>
      <c r="IB102" s="294"/>
      <c r="IC102" s="294"/>
      <c r="ID102" s="294"/>
      <c r="IE102" s="294"/>
      <c r="IF102" s="294"/>
      <c r="IG102" s="294"/>
      <c r="IH102" s="294"/>
      <c r="II102" s="294">
        <v>0</v>
      </c>
      <c r="IJ102" s="294"/>
      <c r="IK102" s="294"/>
      <c r="IL102" s="294"/>
      <c r="IM102" s="294"/>
      <c r="IN102" s="294"/>
      <c r="IO102" s="294"/>
      <c r="IP102" s="294"/>
      <c r="IQ102" s="294"/>
      <c r="IR102" s="294"/>
      <c r="IS102" s="294">
        <v>0</v>
      </c>
      <c r="IT102" s="294">
        <v>0</v>
      </c>
      <c r="IU102" s="294"/>
      <c r="IV102" s="294"/>
      <c r="IW102" s="294"/>
      <c r="IX102" s="294"/>
      <c r="IY102" s="294"/>
      <c r="IZ102" s="294"/>
      <c r="JA102" s="294"/>
      <c r="JB102" s="294"/>
      <c r="JC102" s="294"/>
      <c r="JD102" s="294"/>
      <c r="JE102" s="294">
        <v>0</v>
      </c>
      <c r="JF102" s="294">
        <v>-3.02</v>
      </c>
      <c r="JG102" s="294"/>
      <c r="JH102" s="294"/>
      <c r="JI102" s="294"/>
      <c r="JJ102" s="294"/>
      <c r="JK102" s="294">
        <v>0</v>
      </c>
      <c r="JL102" s="294"/>
      <c r="JM102" s="294"/>
      <c r="JN102" s="294"/>
      <c r="JO102" s="294"/>
      <c r="JP102" s="294"/>
      <c r="JQ102" s="294"/>
      <c r="JR102" s="294">
        <v>0</v>
      </c>
      <c r="JS102" s="294">
        <v>0</v>
      </c>
      <c r="JT102" s="294"/>
      <c r="JU102" s="294"/>
      <c r="JV102" s="294"/>
      <c r="JW102" s="294"/>
      <c r="JX102" s="294"/>
      <c r="JY102" s="294"/>
      <c r="JZ102" s="294"/>
      <c r="KA102" s="294"/>
      <c r="KB102" s="294"/>
      <c r="KC102" s="294"/>
      <c r="KD102" s="294"/>
      <c r="KE102" s="294"/>
      <c r="KF102" s="294"/>
      <c r="KG102" s="294"/>
      <c r="KH102" s="294"/>
      <c r="KI102" s="294"/>
      <c r="KJ102" s="294"/>
      <c r="KK102" s="294"/>
      <c r="KL102" s="294"/>
      <c r="KM102" s="294"/>
      <c r="KN102" s="294"/>
      <c r="KO102" s="294"/>
      <c r="KP102" s="294"/>
      <c r="KQ102" s="294">
        <v>0</v>
      </c>
      <c r="KR102" s="294"/>
      <c r="KS102" s="294"/>
      <c r="KT102" s="294"/>
      <c r="KU102" s="294"/>
      <c r="KV102" s="294"/>
      <c r="KW102" s="294">
        <v>0</v>
      </c>
      <c r="KX102" s="294"/>
      <c r="KY102" s="294"/>
      <c r="KZ102" s="294"/>
      <c r="LA102" s="294"/>
      <c r="LB102" s="294"/>
      <c r="LC102" s="294"/>
      <c r="LD102" s="294"/>
      <c r="LE102" s="294"/>
      <c r="LF102" s="294"/>
      <c r="LG102" s="294">
        <v>0</v>
      </c>
      <c r="LH102" s="294">
        <v>0</v>
      </c>
      <c r="LI102" s="294">
        <v>0</v>
      </c>
      <c r="LJ102" s="294">
        <v>0</v>
      </c>
      <c r="LK102" s="294"/>
      <c r="LL102" s="294"/>
      <c r="LM102" s="294"/>
      <c r="LN102" s="294"/>
      <c r="LO102" s="294"/>
      <c r="LP102" s="294"/>
      <c r="LQ102" s="294"/>
      <c r="LR102" s="294">
        <v>0</v>
      </c>
      <c r="LS102" s="294"/>
      <c r="LT102" s="294"/>
      <c r="LU102" s="294">
        <v>0</v>
      </c>
      <c r="LV102" s="294">
        <v>0</v>
      </c>
      <c r="LW102" s="294"/>
      <c r="LX102" s="294">
        <v>0</v>
      </c>
      <c r="LY102" s="294"/>
      <c r="LZ102" s="294"/>
      <c r="MA102" s="294"/>
      <c r="MB102" s="294"/>
      <c r="MC102" s="294"/>
      <c r="MD102" s="294"/>
      <c r="ME102" s="294"/>
      <c r="MF102" s="294"/>
      <c r="MG102" s="294"/>
      <c r="MH102" s="294"/>
      <c r="MI102" s="294"/>
      <c r="MJ102" s="294"/>
      <c r="MK102" s="294"/>
      <c r="ML102" s="294"/>
      <c r="MM102" s="294"/>
      <c r="MN102" s="294"/>
      <c r="MO102" s="294"/>
      <c r="MP102" s="294"/>
      <c r="MQ102" s="294"/>
      <c r="MR102" s="294"/>
      <c r="MS102" s="294">
        <v>0</v>
      </c>
      <c r="MT102" s="294"/>
      <c r="MU102" s="294"/>
      <c r="MV102" s="294"/>
      <c r="MW102" s="294"/>
      <c r="MX102" s="294"/>
      <c r="MY102" s="294"/>
      <c r="MZ102" s="294"/>
      <c r="NA102" s="294"/>
      <c r="NB102" s="294"/>
      <c r="NC102" s="294"/>
      <c r="ND102" s="294"/>
      <c r="NE102" s="294"/>
      <c r="NF102" s="294"/>
      <c r="NG102" s="294">
        <v>0</v>
      </c>
      <c r="NH102" s="294"/>
      <c r="NI102" s="294"/>
      <c r="NJ102" s="294"/>
      <c r="NK102" s="294"/>
      <c r="NL102" s="294"/>
      <c r="NM102" s="294"/>
      <c r="NN102" s="294"/>
      <c r="NO102" s="294"/>
      <c r="NP102" s="294">
        <v>0</v>
      </c>
      <c r="NQ102" s="294"/>
      <c r="NR102" s="294"/>
      <c r="NS102" s="294"/>
      <c r="NT102" s="294"/>
      <c r="NU102" s="294"/>
      <c r="NV102" s="294"/>
      <c r="NW102" s="294">
        <v>0</v>
      </c>
      <c r="NX102" s="294"/>
      <c r="NY102" s="294"/>
      <c r="NZ102" s="294"/>
      <c r="OA102" s="294"/>
      <c r="OB102" s="294"/>
      <c r="OC102" s="294"/>
      <c r="OD102" s="294"/>
      <c r="OE102" s="294"/>
      <c r="OF102" s="294"/>
      <c r="OG102" s="294"/>
      <c r="OH102" s="294"/>
      <c r="OI102" s="294"/>
      <c r="OJ102" s="294"/>
      <c r="OK102" s="294"/>
      <c r="OL102" s="294"/>
      <c r="OM102" s="294">
        <v>0</v>
      </c>
      <c r="ON102" s="294"/>
      <c r="OO102" s="294"/>
      <c r="OP102" s="294"/>
      <c r="OQ102" s="294"/>
      <c r="OR102" s="294"/>
      <c r="OS102" s="294"/>
      <c r="OT102" s="294"/>
      <c r="OU102" s="294"/>
      <c r="OV102" s="294"/>
      <c r="OW102" s="294"/>
      <c r="OX102" s="294"/>
      <c r="OY102" s="294"/>
      <c r="OZ102" s="294"/>
      <c r="PA102" s="294"/>
      <c r="PB102" s="294">
        <v>0</v>
      </c>
      <c r="PC102" s="294"/>
      <c r="PD102" s="294"/>
      <c r="PE102" s="294"/>
      <c r="PF102" s="294"/>
      <c r="PG102" s="294"/>
      <c r="PH102" s="294"/>
      <c r="PI102" s="294"/>
      <c r="PJ102" s="294"/>
      <c r="PK102" s="294"/>
      <c r="PL102" s="294"/>
      <c r="PM102" s="294"/>
      <c r="PN102" s="294"/>
      <c r="PO102" s="294"/>
      <c r="PP102" s="294"/>
      <c r="PQ102" s="294"/>
      <c r="PR102" s="294"/>
      <c r="PS102" s="294"/>
      <c r="PT102" s="294">
        <v>-87489</v>
      </c>
      <c r="PU102" s="294"/>
      <c r="PV102" s="294"/>
      <c r="PW102" s="294">
        <v>-22800</v>
      </c>
      <c r="PX102" s="294"/>
      <c r="PY102" s="294"/>
      <c r="PZ102" s="294"/>
      <c r="QA102" s="294"/>
      <c r="QB102" s="294"/>
      <c r="QC102" s="294"/>
      <c r="QD102" s="294"/>
      <c r="QE102" s="294"/>
      <c r="QF102" s="294"/>
      <c r="QG102" s="294"/>
      <c r="QH102" s="294"/>
      <c r="QI102" s="294"/>
      <c r="QJ102" s="294"/>
      <c r="QK102" s="294"/>
      <c r="QL102" s="294"/>
      <c r="QM102" s="294"/>
      <c r="QN102" s="294">
        <v>-3292</v>
      </c>
      <c r="QO102" s="294"/>
      <c r="QP102" s="294"/>
      <c r="QQ102" s="294"/>
      <c r="QR102" s="294"/>
      <c r="QS102" s="294"/>
      <c r="QT102" s="294">
        <v>-465943.4</v>
      </c>
      <c r="QU102" s="294"/>
      <c r="QV102" s="294"/>
      <c r="QW102" s="294"/>
      <c r="QX102" s="294"/>
      <c r="QY102" s="294"/>
      <c r="QZ102" s="294"/>
      <c r="RA102" s="294">
        <v>-73106</v>
      </c>
      <c r="RB102" s="294">
        <v>-122212</v>
      </c>
      <c r="RC102" s="294"/>
      <c r="RD102" s="294"/>
      <c r="RE102" s="294"/>
      <c r="RF102" s="294"/>
      <c r="RG102" s="294">
        <v>0</v>
      </c>
      <c r="RH102" s="294"/>
      <c r="RI102" s="294"/>
      <c r="RJ102" s="294"/>
      <c r="RK102" s="294"/>
      <c r="RL102" s="294"/>
      <c r="RM102" s="294"/>
      <c r="RN102" s="294"/>
      <c r="RO102" s="294"/>
      <c r="RP102" s="294"/>
      <c r="RQ102" s="294"/>
      <c r="RR102" s="294"/>
      <c r="RS102" s="294"/>
      <c r="RT102" s="294"/>
      <c r="RU102" s="294"/>
      <c r="RV102" s="294"/>
      <c r="RW102" s="294"/>
      <c r="RX102" s="294"/>
      <c r="RY102" s="294"/>
      <c r="RZ102" s="294"/>
      <c r="SA102" s="294">
        <v>-2700</v>
      </c>
      <c r="SB102" s="294"/>
      <c r="SC102" s="294"/>
      <c r="SD102" s="294"/>
      <c r="SE102" s="294"/>
      <c r="SF102" s="294"/>
      <c r="SG102" s="294"/>
      <c r="SH102" s="294"/>
      <c r="SI102" s="294"/>
      <c r="SJ102" s="294"/>
      <c r="SK102" s="294"/>
      <c r="SL102" s="294"/>
      <c r="SM102" s="294">
        <v>0</v>
      </c>
      <c r="SN102" s="294"/>
      <c r="SO102" s="294"/>
      <c r="SP102" s="294"/>
      <c r="SQ102" s="294"/>
      <c r="SR102" s="294"/>
      <c r="SS102" s="294"/>
      <c r="ST102" s="294"/>
      <c r="SU102" s="294">
        <v>0</v>
      </c>
      <c r="SV102" s="294"/>
      <c r="SW102" s="294"/>
      <c r="SX102" s="294">
        <v>0</v>
      </c>
      <c r="SY102" s="294"/>
      <c r="SZ102" s="294"/>
      <c r="TA102" s="294"/>
      <c r="TB102" s="294"/>
      <c r="TC102" s="294"/>
      <c r="TD102" s="294"/>
      <c r="TE102" s="294"/>
      <c r="TF102" s="294"/>
      <c r="TG102" s="294"/>
      <c r="TH102" s="294"/>
      <c r="TI102" s="294">
        <v>0</v>
      </c>
      <c r="TJ102" s="294"/>
      <c r="TK102" s="294"/>
      <c r="TL102" s="294"/>
      <c r="TM102" s="294"/>
      <c r="TN102" s="294"/>
      <c r="TO102" s="294"/>
      <c r="TP102" s="294"/>
      <c r="TQ102" s="294"/>
      <c r="TR102" s="294"/>
      <c r="TS102" s="294"/>
      <c r="TT102" s="294"/>
      <c r="TU102" s="294"/>
      <c r="TV102" s="294"/>
      <c r="TW102" s="294"/>
      <c r="TX102" s="294"/>
      <c r="TY102" s="294"/>
      <c r="TZ102" s="294"/>
      <c r="UA102" s="294"/>
      <c r="UB102" s="294"/>
      <c r="UC102" s="294"/>
      <c r="UD102" s="294"/>
      <c r="UE102" s="294"/>
      <c r="UF102" s="294"/>
      <c r="UG102" s="294"/>
      <c r="UH102" s="294"/>
      <c r="UI102" s="294"/>
      <c r="UJ102" s="294">
        <v>0</v>
      </c>
      <c r="UK102" s="294"/>
      <c r="UL102" s="294"/>
      <c r="UM102" s="294"/>
      <c r="UN102" s="294"/>
      <c r="UO102" s="294"/>
      <c r="UP102" s="294">
        <v>0</v>
      </c>
      <c r="UQ102" s="294"/>
      <c r="UR102" s="294"/>
      <c r="US102" s="294"/>
      <c r="UT102" s="294"/>
      <c r="UU102" s="294"/>
      <c r="UV102" s="294"/>
      <c r="UW102" s="294"/>
      <c r="UX102" s="294"/>
      <c r="UY102" s="294"/>
      <c r="UZ102" s="294"/>
      <c r="VA102" s="294"/>
      <c r="VB102" s="294"/>
      <c r="VC102" s="294"/>
      <c r="VD102" s="294"/>
      <c r="VE102" s="294"/>
      <c r="VF102" s="294"/>
      <c r="VG102" s="294"/>
      <c r="VH102" s="294"/>
      <c r="VI102" s="294"/>
      <c r="VJ102" s="294"/>
      <c r="VK102" s="294"/>
      <c r="VL102" s="294">
        <v>0</v>
      </c>
      <c r="VM102" s="294"/>
      <c r="VN102" s="294"/>
      <c r="VO102" s="294"/>
      <c r="VP102" s="294"/>
      <c r="VQ102" s="294"/>
      <c r="VR102" s="294"/>
      <c r="VS102" s="294"/>
      <c r="VT102" s="294"/>
      <c r="VU102" s="294">
        <v>0</v>
      </c>
      <c r="VV102" s="294"/>
      <c r="VW102" s="294"/>
      <c r="VX102" s="294"/>
      <c r="VY102" s="294"/>
      <c r="VZ102" s="294"/>
      <c r="WA102" s="294">
        <v>0</v>
      </c>
      <c r="WB102" s="294"/>
      <c r="WC102" s="294"/>
      <c r="WD102" s="294"/>
      <c r="WE102" s="294"/>
      <c r="WF102" s="294"/>
      <c r="WG102" s="294"/>
      <c r="WH102" s="294"/>
      <c r="WI102" s="294"/>
      <c r="WJ102" s="294"/>
      <c r="WK102" s="294"/>
      <c r="WL102" s="294"/>
      <c r="WM102" s="294"/>
      <c r="WN102" s="294"/>
      <c r="WO102" s="294"/>
      <c r="WP102" s="294">
        <v>0</v>
      </c>
      <c r="WQ102" s="294"/>
      <c r="WR102" s="294"/>
      <c r="WS102" s="294"/>
      <c r="WT102" s="294"/>
      <c r="WU102" s="294">
        <v>0</v>
      </c>
      <c r="WV102" s="294"/>
      <c r="WW102" s="294"/>
      <c r="WX102" s="294"/>
      <c r="WY102" s="294"/>
      <c r="WZ102" s="294"/>
      <c r="XA102" s="294"/>
      <c r="XB102" s="294"/>
      <c r="XC102" s="294"/>
      <c r="XD102" s="294"/>
      <c r="XE102" s="294"/>
      <c r="XF102" s="294"/>
      <c r="XG102" s="294"/>
      <c r="XH102" s="294"/>
      <c r="XI102" s="294"/>
      <c r="XJ102" s="294"/>
      <c r="XK102" s="294"/>
      <c r="XL102" s="294"/>
      <c r="XM102" s="294"/>
      <c r="XN102" s="294"/>
      <c r="XO102" s="294"/>
      <c r="XP102" s="294"/>
      <c r="XQ102" s="294"/>
      <c r="XR102" s="294"/>
      <c r="XS102" s="294"/>
      <c r="XT102" s="294"/>
      <c r="XU102" s="294"/>
      <c r="XV102" s="294"/>
      <c r="XW102" s="294"/>
      <c r="XX102" s="294"/>
      <c r="XY102" s="294"/>
      <c r="XZ102" s="294"/>
      <c r="YA102" s="294"/>
      <c r="YB102" s="294"/>
      <c r="YC102" s="294"/>
      <c r="YD102" s="294"/>
      <c r="YE102" s="294">
        <v>0</v>
      </c>
      <c r="YF102" s="294"/>
      <c r="YG102" s="294"/>
      <c r="YH102" s="294"/>
      <c r="YI102" s="294">
        <v>0</v>
      </c>
      <c r="YJ102" s="294"/>
      <c r="YK102" s="294"/>
      <c r="YL102" s="294"/>
      <c r="YM102" s="294"/>
      <c r="YN102" s="294"/>
      <c r="YO102" s="294"/>
      <c r="YP102" s="294"/>
      <c r="YQ102" s="294"/>
      <c r="YR102" s="294"/>
      <c r="YS102" s="294"/>
      <c r="YT102" s="294"/>
      <c r="YU102" s="294"/>
      <c r="YV102" s="294">
        <v>0</v>
      </c>
      <c r="YW102" s="294"/>
      <c r="YX102" s="294"/>
      <c r="YY102" s="294"/>
      <c r="YZ102" s="294"/>
      <c r="ZA102" s="294"/>
      <c r="ZB102" s="294"/>
      <c r="ZC102" s="294">
        <v>0</v>
      </c>
      <c r="ZD102" s="294"/>
      <c r="ZE102" s="294"/>
      <c r="ZF102" s="294"/>
      <c r="ZG102" s="294"/>
      <c r="ZH102" s="294"/>
      <c r="ZI102" s="294"/>
      <c r="ZJ102" s="294"/>
      <c r="ZK102" s="294"/>
      <c r="ZL102" s="294"/>
      <c r="ZM102" s="294"/>
      <c r="ZN102" s="294"/>
      <c r="ZO102" s="294"/>
      <c r="ZP102" s="294"/>
      <c r="ZQ102" s="294"/>
      <c r="ZR102" s="294"/>
      <c r="ZS102" s="294"/>
      <c r="ZT102" s="294"/>
      <c r="ZU102" s="294"/>
      <c r="ZV102" s="294"/>
      <c r="ZW102" s="294"/>
      <c r="ZX102" s="294"/>
      <c r="ZY102" s="294"/>
      <c r="ZZ102" s="294"/>
      <c r="AAA102" s="294"/>
      <c r="AAB102" s="294"/>
      <c r="AAC102" s="294"/>
      <c r="AAD102" s="294"/>
      <c r="AAE102" s="294"/>
      <c r="AAF102" s="294"/>
      <c r="AAG102" s="294"/>
      <c r="AAH102" s="294">
        <v>0</v>
      </c>
      <c r="AAI102" s="294"/>
      <c r="AAJ102" s="294"/>
      <c r="AAK102" s="294"/>
      <c r="AAL102" s="294"/>
      <c r="AAM102" s="294"/>
      <c r="AAN102" s="294"/>
      <c r="AAO102" s="294"/>
      <c r="AAP102" s="294"/>
      <c r="AAQ102" s="294"/>
      <c r="AAR102" s="294">
        <v>-63827</v>
      </c>
      <c r="AAS102" s="294"/>
      <c r="AAT102" s="294"/>
      <c r="AAU102" s="294">
        <v>-33542.5</v>
      </c>
      <c r="AAV102" s="294"/>
      <c r="AAW102" s="294"/>
      <c r="AAX102" s="294"/>
      <c r="AAY102" s="294"/>
      <c r="AAZ102" s="294">
        <v>-34427</v>
      </c>
      <c r="ABA102" s="294"/>
      <c r="ABB102" s="294"/>
      <c r="ABC102" s="294">
        <v>0</v>
      </c>
      <c r="ABD102" s="294"/>
      <c r="ABE102" s="294"/>
      <c r="ABF102" s="294"/>
      <c r="ABG102" s="294">
        <v>-1300</v>
      </c>
      <c r="ABH102" s="294"/>
      <c r="ABI102" s="294"/>
      <c r="ABJ102" s="294"/>
      <c r="ABK102" s="294">
        <v>0</v>
      </c>
      <c r="ABL102" s="294"/>
      <c r="ABM102" s="294"/>
      <c r="ABN102" s="294"/>
      <c r="ABO102" s="294"/>
      <c r="ABP102" s="294"/>
      <c r="ABQ102" s="294"/>
      <c r="ABR102" s="294"/>
      <c r="ABS102" s="294"/>
      <c r="ABT102" s="294"/>
      <c r="ABU102" s="294"/>
      <c r="ABV102" s="294"/>
      <c r="ABW102" s="294"/>
      <c r="ABX102" s="294">
        <v>0</v>
      </c>
      <c r="ABY102" s="294"/>
      <c r="ABZ102" s="294"/>
      <c r="ACA102" s="294"/>
      <c r="ACB102" s="294"/>
      <c r="ACC102" s="294"/>
      <c r="ACD102" s="294">
        <v>-41100</v>
      </c>
      <c r="ACE102" s="294"/>
      <c r="ACF102" s="294"/>
      <c r="ACG102" s="294"/>
      <c r="ACH102" s="294"/>
      <c r="ACI102" s="294">
        <v>-479064</v>
      </c>
      <c r="ACJ102" s="294"/>
      <c r="ACK102" s="294"/>
      <c r="ACL102" s="294"/>
      <c r="ACM102" s="294"/>
      <c r="ACN102" s="294"/>
      <c r="ACO102" s="294"/>
      <c r="ACP102" s="294">
        <v>0</v>
      </c>
      <c r="ACQ102" s="294"/>
      <c r="ACR102" s="294"/>
      <c r="ACS102" s="294"/>
      <c r="ACT102" s="294"/>
      <c r="ACU102" s="294"/>
      <c r="ACV102" s="294"/>
      <c r="ACW102" s="294">
        <v>0</v>
      </c>
      <c r="ACX102" s="294"/>
      <c r="ACY102" s="294"/>
      <c r="ACZ102" s="294"/>
      <c r="ADA102" s="294"/>
      <c r="ADB102" s="294"/>
      <c r="ADC102" s="294"/>
      <c r="ADD102" s="294"/>
      <c r="ADE102" s="294"/>
      <c r="ADF102" s="294">
        <v>0</v>
      </c>
      <c r="ADG102" s="294">
        <v>0</v>
      </c>
      <c r="ADH102" s="294"/>
      <c r="ADI102" s="294"/>
      <c r="ADJ102" s="294"/>
      <c r="ADK102" s="294"/>
      <c r="ADL102" s="294"/>
      <c r="ADM102" s="294"/>
      <c r="ADN102" s="294"/>
      <c r="ADO102" s="294">
        <v>0</v>
      </c>
      <c r="ADP102" s="294"/>
      <c r="ADQ102" s="294"/>
      <c r="ADR102" s="294"/>
      <c r="ADS102" s="294">
        <v>0</v>
      </c>
      <c r="ADT102" s="294"/>
      <c r="ADU102" s="294"/>
      <c r="ADV102" s="294"/>
      <c r="ADW102" s="294"/>
      <c r="ADX102" s="294"/>
      <c r="ADY102" s="294">
        <v>0</v>
      </c>
      <c r="ADZ102" s="294">
        <v>-4970</v>
      </c>
      <c r="AEA102" s="294"/>
      <c r="AEB102" s="294"/>
      <c r="AEC102" s="294"/>
      <c r="AED102" s="294"/>
      <c r="AEE102" s="294"/>
      <c r="AEF102" s="294"/>
      <c r="AEG102" s="294"/>
      <c r="AEH102" s="294"/>
      <c r="AEI102" s="294"/>
      <c r="AEJ102" s="294"/>
      <c r="AEK102" s="294"/>
      <c r="AEL102" s="294"/>
      <c r="AEM102" s="294"/>
      <c r="AEN102" s="294"/>
      <c r="AEO102" s="294"/>
      <c r="AEP102" s="294"/>
      <c r="AEQ102" s="294"/>
      <c r="AER102" s="294"/>
      <c r="AES102" s="294">
        <v>0</v>
      </c>
      <c r="AET102" s="294"/>
      <c r="AEU102" s="294"/>
      <c r="AEV102" s="294"/>
      <c r="AEW102" s="294"/>
      <c r="AEX102" s="294"/>
      <c r="AEY102" s="294">
        <v>0</v>
      </c>
      <c r="AEZ102" s="294"/>
      <c r="AFA102" s="294"/>
      <c r="AFB102" s="294"/>
      <c r="AFC102" s="294"/>
      <c r="AFD102" s="294">
        <v>0</v>
      </c>
      <c r="AFE102" s="294"/>
      <c r="AFF102" s="294"/>
      <c r="AFG102" s="294"/>
      <c r="AFH102" s="294"/>
      <c r="AFI102" s="294"/>
      <c r="AFJ102" s="294"/>
      <c r="AFK102" s="294"/>
      <c r="AFL102" s="294"/>
      <c r="AFM102" s="294"/>
      <c r="AFN102" s="294"/>
      <c r="AFO102" s="294"/>
      <c r="AFP102" s="294"/>
      <c r="AFQ102" s="294"/>
      <c r="AFR102" s="294"/>
      <c r="AFS102" s="294"/>
      <c r="AFT102" s="294"/>
      <c r="AFU102" s="294"/>
      <c r="AFV102" s="294"/>
      <c r="AFW102" s="294"/>
      <c r="AFX102" s="294"/>
      <c r="AFY102" s="294"/>
      <c r="AFZ102" s="294"/>
      <c r="AGA102" s="294"/>
      <c r="AGB102" s="294">
        <v>0</v>
      </c>
      <c r="AGC102" s="294"/>
      <c r="AGD102" s="294"/>
      <c r="AGE102" s="294"/>
      <c r="AGF102" s="294"/>
      <c r="AGG102" s="294"/>
      <c r="AGH102" s="294"/>
      <c r="AGI102" s="294"/>
      <c r="AGJ102" s="294"/>
      <c r="AGK102" s="294"/>
      <c r="AGL102" s="294"/>
      <c r="AGM102" s="294">
        <v>0</v>
      </c>
      <c r="AGN102" s="294"/>
      <c r="AGO102" s="294"/>
      <c r="AGP102" s="294"/>
      <c r="AGQ102" s="294"/>
      <c r="AGR102" s="294"/>
      <c r="AGS102" s="294"/>
      <c r="AGT102" s="294"/>
      <c r="AGU102" s="294">
        <v>0</v>
      </c>
      <c r="AGV102" s="294">
        <v>0</v>
      </c>
      <c r="AGW102" s="294"/>
      <c r="AGX102" s="294"/>
      <c r="AGY102" s="294"/>
      <c r="AGZ102" s="294"/>
      <c r="AHA102" s="294"/>
      <c r="AHB102" s="294"/>
      <c r="AHC102" s="294"/>
      <c r="AHD102" s="294"/>
      <c r="AHE102" s="294"/>
      <c r="AHF102" s="294"/>
      <c r="AHG102" s="294"/>
      <c r="AHH102" s="294"/>
      <c r="AHI102" s="294"/>
      <c r="AHJ102" s="294"/>
      <c r="AHK102" s="294"/>
      <c r="AHL102" s="294">
        <v>0</v>
      </c>
      <c r="AHM102" s="294"/>
      <c r="AHN102" s="294"/>
      <c r="AHO102" s="294"/>
      <c r="AHP102" s="294"/>
      <c r="AHQ102" s="294"/>
      <c r="AHR102" s="331"/>
      <c r="AHS102" s="294">
        <f t="shared" si="51"/>
        <v>-2088591.31</v>
      </c>
      <c r="AHT102" s="269" t="b">
        <f t="shared" si="52"/>
        <v>1</v>
      </c>
      <c r="AHU102" s="269" t="s">
        <v>6278</v>
      </c>
      <c r="AHV102" s="269" t="s">
        <v>6147</v>
      </c>
      <c r="AHW102" s="269" t="s">
        <v>6148</v>
      </c>
    </row>
    <row r="103" spans="1:907" ht="24.6" x14ac:dyDescent="0.7">
      <c r="A103" s="268" t="s">
        <v>6278</v>
      </c>
      <c r="B103" s="268" t="s">
        <v>6149</v>
      </c>
      <c r="C103" s="269" t="s">
        <v>6150</v>
      </c>
      <c r="D103" s="294">
        <v>0</v>
      </c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>
        <v>-45445.36</v>
      </c>
      <c r="W103" s="294">
        <v>0</v>
      </c>
      <c r="X103" s="294"/>
      <c r="Y103" s="294"/>
      <c r="Z103" s="294"/>
      <c r="AA103" s="294"/>
      <c r="AB103" s="294"/>
      <c r="AC103" s="294">
        <v>0</v>
      </c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>
        <v>-29.9</v>
      </c>
      <c r="AS103" s="294"/>
      <c r="AT103" s="294"/>
      <c r="AU103" s="294"/>
      <c r="AV103" s="294"/>
      <c r="AW103" s="294"/>
      <c r="AX103" s="294"/>
      <c r="AY103" s="294"/>
      <c r="AZ103" s="294"/>
      <c r="BA103" s="294"/>
      <c r="BB103" s="294"/>
      <c r="BC103" s="294"/>
      <c r="BD103" s="294"/>
      <c r="BE103" s="294"/>
      <c r="BF103" s="294"/>
      <c r="BG103" s="294"/>
      <c r="BH103" s="294"/>
      <c r="BI103" s="294">
        <v>0</v>
      </c>
      <c r="BJ103" s="294">
        <v>0</v>
      </c>
      <c r="BK103" s="294"/>
      <c r="BL103" s="294"/>
      <c r="BM103" s="294"/>
      <c r="BN103" s="294"/>
      <c r="BO103" s="294"/>
      <c r="BP103" s="294"/>
      <c r="BQ103" s="294"/>
      <c r="BR103" s="294"/>
      <c r="BS103" s="294"/>
      <c r="BT103" s="294"/>
      <c r="BU103" s="294"/>
      <c r="BV103" s="294"/>
      <c r="BW103" s="294"/>
      <c r="BX103" s="294"/>
      <c r="BY103" s="294"/>
      <c r="BZ103" s="294">
        <v>-190264.28</v>
      </c>
      <c r="CA103" s="294"/>
      <c r="CB103" s="294"/>
      <c r="CC103" s="294"/>
      <c r="CD103" s="294"/>
      <c r="CE103" s="294"/>
      <c r="CF103" s="294"/>
      <c r="CG103" s="294">
        <v>0</v>
      </c>
      <c r="CH103" s="294"/>
      <c r="CI103" s="294"/>
      <c r="CJ103" s="294"/>
      <c r="CK103" s="294"/>
      <c r="CL103" s="294"/>
      <c r="CM103" s="294"/>
      <c r="CN103" s="294"/>
      <c r="CO103" s="294"/>
      <c r="CP103" s="294"/>
      <c r="CQ103" s="294"/>
      <c r="CR103" s="294"/>
      <c r="CS103" s="294"/>
      <c r="CT103" s="294">
        <v>0</v>
      </c>
      <c r="CU103" s="294"/>
      <c r="CV103" s="294"/>
      <c r="CW103" s="294"/>
      <c r="CX103" s="294"/>
      <c r="CY103" s="294"/>
      <c r="CZ103" s="294"/>
      <c r="DA103" s="294"/>
      <c r="DB103" s="294">
        <v>0</v>
      </c>
      <c r="DC103" s="294">
        <v>0</v>
      </c>
      <c r="DD103" s="294"/>
      <c r="DE103" s="294"/>
      <c r="DF103" s="294"/>
      <c r="DG103" s="294"/>
      <c r="DH103" s="294"/>
      <c r="DI103" s="294"/>
      <c r="DJ103" s="294"/>
      <c r="DK103" s="294">
        <v>0</v>
      </c>
      <c r="DL103" s="294"/>
      <c r="DM103" s="294"/>
      <c r="DN103" s="294"/>
      <c r="DO103" s="294"/>
      <c r="DP103" s="294"/>
      <c r="DQ103" s="294"/>
      <c r="DR103" s="294"/>
      <c r="DS103" s="294"/>
      <c r="DT103" s="294">
        <v>0</v>
      </c>
      <c r="DU103" s="294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>
        <v>0</v>
      </c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  <c r="FI103" s="294"/>
      <c r="FJ103" s="294"/>
      <c r="FK103" s="294"/>
      <c r="FL103" s="294"/>
      <c r="FM103" s="294"/>
      <c r="FN103" s="294"/>
      <c r="FO103" s="294"/>
      <c r="FP103" s="294"/>
      <c r="FQ103" s="294"/>
      <c r="FR103" s="294"/>
      <c r="FS103" s="294"/>
      <c r="FT103" s="294"/>
      <c r="FU103" s="294"/>
      <c r="FV103" s="294"/>
      <c r="FW103" s="294"/>
      <c r="FX103" s="294"/>
      <c r="FY103" s="294"/>
      <c r="FZ103" s="294"/>
      <c r="GA103" s="294"/>
      <c r="GB103" s="294"/>
      <c r="GC103" s="294"/>
      <c r="GD103" s="294"/>
      <c r="GE103" s="294">
        <v>0</v>
      </c>
      <c r="GF103" s="294"/>
      <c r="GG103" s="294"/>
      <c r="GH103" s="294"/>
      <c r="GI103" s="294"/>
      <c r="GJ103" s="294"/>
      <c r="GK103" s="294"/>
      <c r="GL103" s="294"/>
      <c r="GM103" s="294"/>
      <c r="GN103" s="294"/>
      <c r="GO103" s="294"/>
      <c r="GP103" s="294"/>
      <c r="GQ103" s="294"/>
      <c r="GR103" s="294"/>
      <c r="GS103" s="294"/>
      <c r="GT103" s="294"/>
      <c r="GU103" s="294"/>
      <c r="GV103" s="294"/>
      <c r="GW103" s="294"/>
      <c r="GX103" s="294"/>
      <c r="GY103" s="294"/>
      <c r="GZ103" s="294"/>
      <c r="HA103" s="294"/>
      <c r="HB103" s="294"/>
      <c r="HC103" s="294">
        <v>0</v>
      </c>
      <c r="HD103" s="294"/>
      <c r="HE103" s="294"/>
      <c r="HF103" s="294"/>
      <c r="HG103" s="294"/>
      <c r="HH103" s="294"/>
      <c r="HI103" s="294"/>
      <c r="HJ103" s="294"/>
      <c r="HK103" s="294"/>
      <c r="HL103" s="294"/>
      <c r="HM103" s="294"/>
      <c r="HN103" s="294"/>
      <c r="HO103" s="294"/>
      <c r="HP103" s="294"/>
      <c r="HQ103" s="294"/>
      <c r="HR103" s="294">
        <v>1E-3</v>
      </c>
      <c r="HS103" s="294"/>
      <c r="HT103" s="294"/>
      <c r="HU103" s="294"/>
      <c r="HV103" s="294">
        <v>0</v>
      </c>
      <c r="HW103" s="294"/>
      <c r="HX103" s="294"/>
      <c r="HY103" s="294"/>
      <c r="HZ103" s="294"/>
      <c r="IA103" s="294"/>
      <c r="IB103" s="294"/>
      <c r="IC103" s="294"/>
      <c r="ID103" s="294"/>
      <c r="IE103" s="294"/>
      <c r="IF103" s="294"/>
      <c r="IG103" s="294"/>
      <c r="IH103" s="294"/>
      <c r="II103" s="294"/>
      <c r="IJ103" s="294"/>
      <c r="IK103" s="294"/>
      <c r="IL103" s="294"/>
      <c r="IM103" s="294"/>
      <c r="IN103" s="294"/>
      <c r="IO103" s="294"/>
      <c r="IP103" s="294"/>
      <c r="IQ103" s="294"/>
      <c r="IR103" s="294"/>
      <c r="IS103" s="294"/>
      <c r="IT103" s="294"/>
      <c r="IU103" s="294"/>
      <c r="IV103" s="294"/>
      <c r="IW103" s="294"/>
      <c r="IX103" s="294"/>
      <c r="IY103" s="294"/>
      <c r="IZ103" s="294"/>
      <c r="JA103" s="294"/>
      <c r="JB103" s="294"/>
      <c r="JC103" s="294"/>
      <c r="JD103" s="294"/>
      <c r="JE103" s="294">
        <v>0</v>
      </c>
      <c r="JF103" s="294">
        <v>-224941.57</v>
      </c>
      <c r="JG103" s="294"/>
      <c r="JH103" s="294"/>
      <c r="JI103" s="294"/>
      <c r="JJ103" s="294"/>
      <c r="JK103" s="294">
        <v>0</v>
      </c>
      <c r="JL103" s="294"/>
      <c r="JM103" s="294"/>
      <c r="JN103" s="294"/>
      <c r="JO103" s="294"/>
      <c r="JP103" s="294"/>
      <c r="JQ103" s="294"/>
      <c r="JR103" s="294">
        <v>0</v>
      </c>
      <c r="JS103" s="294"/>
      <c r="JT103" s="294"/>
      <c r="JU103" s="294"/>
      <c r="JV103" s="294"/>
      <c r="JW103" s="294"/>
      <c r="JX103" s="294"/>
      <c r="JY103" s="294"/>
      <c r="JZ103" s="294"/>
      <c r="KA103" s="294"/>
      <c r="KB103" s="294"/>
      <c r="KC103" s="294"/>
      <c r="KD103" s="294"/>
      <c r="KE103" s="294"/>
      <c r="KF103" s="294"/>
      <c r="KG103" s="294"/>
      <c r="KH103" s="294"/>
      <c r="KI103" s="294"/>
      <c r="KJ103" s="294"/>
      <c r="KK103" s="294"/>
      <c r="KL103" s="294"/>
      <c r="KM103" s="294"/>
      <c r="KN103" s="294"/>
      <c r="KO103" s="294"/>
      <c r="KP103" s="294"/>
      <c r="KQ103" s="294"/>
      <c r="KR103" s="294"/>
      <c r="KS103" s="294"/>
      <c r="KT103" s="294"/>
      <c r="KU103" s="294"/>
      <c r="KV103" s="294"/>
      <c r="KW103" s="294"/>
      <c r="KX103" s="294"/>
      <c r="KY103" s="294"/>
      <c r="KZ103" s="294"/>
      <c r="LA103" s="294"/>
      <c r="LB103" s="294"/>
      <c r="LC103" s="294"/>
      <c r="LD103" s="294"/>
      <c r="LE103" s="294"/>
      <c r="LF103" s="294"/>
      <c r="LG103" s="294">
        <v>0</v>
      </c>
      <c r="LH103" s="294">
        <v>0</v>
      </c>
      <c r="LI103" s="294">
        <v>0</v>
      </c>
      <c r="LJ103" s="294"/>
      <c r="LK103" s="294"/>
      <c r="LL103" s="294"/>
      <c r="LM103" s="294"/>
      <c r="LN103" s="294"/>
      <c r="LO103" s="294"/>
      <c r="LP103" s="294"/>
      <c r="LQ103" s="294"/>
      <c r="LR103" s="294"/>
      <c r="LS103" s="294"/>
      <c r="LT103" s="294"/>
      <c r="LU103" s="294">
        <v>0</v>
      </c>
      <c r="LV103" s="294">
        <v>0</v>
      </c>
      <c r="LW103" s="294"/>
      <c r="LX103" s="294"/>
      <c r="LY103" s="294"/>
      <c r="LZ103" s="294"/>
      <c r="MA103" s="294"/>
      <c r="MB103" s="294"/>
      <c r="MC103" s="294"/>
      <c r="MD103" s="294"/>
      <c r="ME103" s="294"/>
      <c r="MF103" s="294"/>
      <c r="MG103" s="294"/>
      <c r="MH103" s="294"/>
      <c r="MI103" s="294"/>
      <c r="MJ103" s="294"/>
      <c r="MK103" s="294"/>
      <c r="ML103" s="294"/>
      <c r="MM103" s="294"/>
      <c r="MN103" s="294"/>
      <c r="MO103" s="294"/>
      <c r="MP103" s="294"/>
      <c r="MQ103" s="294"/>
      <c r="MR103" s="294"/>
      <c r="MS103" s="294"/>
      <c r="MT103" s="294"/>
      <c r="MU103" s="294"/>
      <c r="MV103" s="294"/>
      <c r="MW103" s="294"/>
      <c r="MX103" s="294"/>
      <c r="MY103" s="294"/>
      <c r="MZ103" s="294"/>
      <c r="NA103" s="294"/>
      <c r="NB103" s="294"/>
      <c r="NC103" s="294"/>
      <c r="ND103" s="294"/>
      <c r="NE103" s="294"/>
      <c r="NF103" s="294"/>
      <c r="NG103" s="294"/>
      <c r="NH103" s="294"/>
      <c r="NI103" s="294"/>
      <c r="NJ103" s="294"/>
      <c r="NK103" s="294"/>
      <c r="NL103" s="294"/>
      <c r="NM103" s="294"/>
      <c r="NN103" s="294"/>
      <c r="NO103" s="294"/>
      <c r="NP103" s="294">
        <v>-134472.21</v>
      </c>
      <c r="NQ103" s="294"/>
      <c r="NR103" s="294"/>
      <c r="NS103" s="294"/>
      <c r="NT103" s="294"/>
      <c r="NU103" s="294"/>
      <c r="NV103" s="294"/>
      <c r="NW103" s="294">
        <v>0</v>
      </c>
      <c r="NX103" s="294"/>
      <c r="NY103" s="294"/>
      <c r="NZ103" s="294"/>
      <c r="OA103" s="294"/>
      <c r="OB103" s="294"/>
      <c r="OC103" s="294"/>
      <c r="OD103" s="294"/>
      <c r="OE103" s="294"/>
      <c r="OF103" s="294"/>
      <c r="OG103" s="294">
        <v>0</v>
      </c>
      <c r="OH103" s="294"/>
      <c r="OI103" s="294"/>
      <c r="OJ103" s="294"/>
      <c r="OK103" s="294"/>
      <c r="OL103" s="294"/>
      <c r="OM103" s="294"/>
      <c r="ON103" s="294"/>
      <c r="OO103" s="294"/>
      <c r="OP103" s="294"/>
      <c r="OQ103" s="294"/>
      <c r="OR103" s="294"/>
      <c r="OS103" s="294"/>
      <c r="OT103" s="294"/>
      <c r="OU103" s="294"/>
      <c r="OV103" s="294"/>
      <c r="OW103" s="294"/>
      <c r="OX103" s="294"/>
      <c r="OY103" s="294"/>
      <c r="OZ103" s="294"/>
      <c r="PA103" s="294"/>
      <c r="PB103" s="294">
        <v>-752982.56</v>
      </c>
      <c r="PC103" s="294"/>
      <c r="PD103" s="294"/>
      <c r="PE103" s="294"/>
      <c r="PF103" s="294"/>
      <c r="PG103" s="294"/>
      <c r="PH103" s="294"/>
      <c r="PI103" s="294"/>
      <c r="PJ103" s="294"/>
      <c r="PK103" s="294"/>
      <c r="PL103" s="294"/>
      <c r="PM103" s="294"/>
      <c r="PN103" s="294"/>
      <c r="PO103" s="294"/>
      <c r="PP103" s="294"/>
      <c r="PQ103" s="294"/>
      <c r="PR103" s="294"/>
      <c r="PS103" s="294"/>
      <c r="PT103" s="294">
        <v>-191567.86</v>
      </c>
      <c r="PU103" s="294">
        <v>0</v>
      </c>
      <c r="PV103" s="294"/>
      <c r="PW103" s="294">
        <v>-87063.69</v>
      </c>
      <c r="PX103" s="294"/>
      <c r="PY103" s="294"/>
      <c r="PZ103" s="294"/>
      <c r="QA103" s="294"/>
      <c r="QB103" s="294"/>
      <c r="QC103" s="294"/>
      <c r="QD103" s="294"/>
      <c r="QE103" s="294"/>
      <c r="QF103" s="294"/>
      <c r="QG103" s="294"/>
      <c r="QH103" s="294"/>
      <c r="QI103" s="294"/>
      <c r="QJ103" s="294"/>
      <c r="QK103" s="294"/>
      <c r="QL103" s="294"/>
      <c r="QM103" s="294"/>
      <c r="QN103" s="294">
        <v>-115308.66</v>
      </c>
      <c r="QO103" s="294"/>
      <c r="QP103" s="294"/>
      <c r="QQ103" s="294"/>
      <c r="QR103" s="294"/>
      <c r="QS103" s="294"/>
      <c r="QT103" s="294">
        <v>-144796.38</v>
      </c>
      <c r="QU103" s="294"/>
      <c r="QV103" s="294"/>
      <c r="QW103" s="294"/>
      <c r="QX103" s="294"/>
      <c r="QY103" s="294"/>
      <c r="QZ103" s="294"/>
      <c r="RA103" s="294"/>
      <c r="RB103" s="294">
        <v>-35534.19</v>
      </c>
      <c r="RC103" s="294"/>
      <c r="RD103" s="294"/>
      <c r="RE103" s="294"/>
      <c r="RF103" s="294"/>
      <c r="RG103" s="294">
        <v>0</v>
      </c>
      <c r="RH103" s="294"/>
      <c r="RI103" s="294"/>
      <c r="RJ103" s="294"/>
      <c r="RK103" s="294"/>
      <c r="RL103" s="294"/>
      <c r="RM103" s="294"/>
      <c r="RN103" s="294"/>
      <c r="RO103" s="294"/>
      <c r="RP103" s="294"/>
      <c r="RQ103" s="294"/>
      <c r="RR103" s="294"/>
      <c r="RS103" s="294"/>
      <c r="RT103" s="294"/>
      <c r="RU103" s="294"/>
      <c r="RV103" s="294"/>
      <c r="RW103" s="294"/>
      <c r="RX103" s="294"/>
      <c r="RY103" s="294"/>
      <c r="RZ103" s="294"/>
      <c r="SA103" s="294">
        <v>-968213.49</v>
      </c>
      <c r="SB103" s="294"/>
      <c r="SC103" s="294"/>
      <c r="SD103" s="294"/>
      <c r="SE103" s="294"/>
      <c r="SF103" s="294"/>
      <c r="SG103" s="294"/>
      <c r="SH103" s="294"/>
      <c r="SI103" s="294"/>
      <c r="SJ103" s="294"/>
      <c r="SK103" s="294"/>
      <c r="SL103" s="294"/>
      <c r="SM103" s="294"/>
      <c r="SN103" s="294"/>
      <c r="SO103" s="294"/>
      <c r="SP103" s="294"/>
      <c r="SQ103" s="294"/>
      <c r="SR103" s="294"/>
      <c r="SS103" s="294"/>
      <c r="ST103" s="294"/>
      <c r="SU103" s="294"/>
      <c r="SV103" s="294"/>
      <c r="SW103" s="294"/>
      <c r="SX103" s="294"/>
      <c r="SY103" s="294"/>
      <c r="SZ103" s="294"/>
      <c r="TA103" s="294"/>
      <c r="TB103" s="294"/>
      <c r="TC103" s="294"/>
      <c r="TD103" s="294"/>
      <c r="TE103" s="294"/>
      <c r="TF103" s="294"/>
      <c r="TG103" s="294"/>
      <c r="TH103" s="294"/>
      <c r="TI103" s="294">
        <v>0</v>
      </c>
      <c r="TJ103" s="294"/>
      <c r="TK103" s="294"/>
      <c r="TL103" s="294"/>
      <c r="TM103" s="294"/>
      <c r="TN103" s="294"/>
      <c r="TO103" s="294"/>
      <c r="TP103" s="294"/>
      <c r="TQ103" s="294"/>
      <c r="TR103" s="294"/>
      <c r="TS103" s="294"/>
      <c r="TT103" s="294"/>
      <c r="TU103" s="294"/>
      <c r="TV103" s="294"/>
      <c r="TW103" s="294"/>
      <c r="TX103" s="294"/>
      <c r="TY103" s="294"/>
      <c r="TZ103" s="294"/>
      <c r="UA103" s="294">
        <v>0</v>
      </c>
      <c r="UB103" s="294"/>
      <c r="UC103" s="294"/>
      <c r="UD103" s="294"/>
      <c r="UE103" s="294"/>
      <c r="UF103" s="294"/>
      <c r="UG103" s="294"/>
      <c r="UH103" s="294"/>
      <c r="UI103" s="294"/>
      <c r="UJ103" s="294"/>
      <c r="UK103" s="294"/>
      <c r="UL103" s="294"/>
      <c r="UM103" s="294"/>
      <c r="UN103" s="294"/>
      <c r="UO103" s="294"/>
      <c r="UP103" s="294"/>
      <c r="UQ103" s="294"/>
      <c r="UR103" s="294"/>
      <c r="US103" s="294"/>
      <c r="UT103" s="294"/>
      <c r="UU103" s="294"/>
      <c r="UV103" s="294"/>
      <c r="UW103" s="294"/>
      <c r="UX103" s="294"/>
      <c r="UY103" s="294"/>
      <c r="UZ103" s="294"/>
      <c r="VA103" s="294"/>
      <c r="VB103" s="294"/>
      <c r="VC103" s="294"/>
      <c r="VD103" s="294"/>
      <c r="VE103" s="294"/>
      <c r="VF103" s="294"/>
      <c r="VG103" s="294"/>
      <c r="VH103" s="294"/>
      <c r="VI103" s="294"/>
      <c r="VJ103" s="294"/>
      <c r="VK103" s="294"/>
      <c r="VL103" s="294">
        <v>0</v>
      </c>
      <c r="VM103" s="294"/>
      <c r="VN103" s="294"/>
      <c r="VO103" s="294"/>
      <c r="VP103" s="294"/>
      <c r="VQ103" s="294">
        <v>-52810.89</v>
      </c>
      <c r="VR103" s="294"/>
      <c r="VS103" s="294"/>
      <c r="VT103" s="294"/>
      <c r="VU103" s="294"/>
      <c r="VV103" s="294"/>
      <c r="VW103" s="294"/>
      <c r="VX103" s="294"/>
      <c r="VY103" s="294"/>
      <c r="VZ103" s="294"/>
      <c r="WA103" s="294">
        <v>-2518788.77</v>
      </c>
      <c r="WB103" s="294"/>
      <c r="WC103" s="294"/>
      <c r="WD103" s="294"/>
      <c r="WE103" s="294"/>
      <c r="WF103" s="294"/>
      <c r="WG103" s="294"/>
      <c r="WH103" s="294"/>
      <c r="WI103" s="294"/>
      <c r="WJ103" s="294"/>
      <c r="WK103" s="294"/>
      <c r="WL103" s="294"/>
      <c r="WM103" s="294"/>
      <c r="WN103" s="294"/>
      <c r="WO103" s="294"/>
      <c r="WP103" s="294"/>
      <c r="WQ103" s="294"/>
      <c r="WR103" s="294"/>
      <c r="WS103" s="294"/>
      <c r="WT103" s="294"/>
      <c r="WU103" s="294"/>
      <c r="WV103" s="294"/>
      <c r="WW103" s="294"/>
      <c r="WX103" s="294"/>
      <c r="WY103" s="294"/>
      <c r="WZ103" s="294"/>
      <c r="XA103" s="294"/>
      <c r="XB103" s="294"/>
      <c r="XC103" s="294"/>
      <c r="XD103" s="294"/>
      <c r="XE103" s="294"/>
      <c r="XF103" s="294"/>
      <c r="XG103" s="294"/>
      <c r="XH103" s="294"/>
      <c r="XI103" s="294"/>
      <c r="XJ103" s="294"/>
      <c r="XK103" s="294"/>
      <c r="XL103" s="294"/>
      <c r="XM103" s="294"/>
      <c r="XN103" s="294"/>
      <c r="XO103" s="294"/>
      <c r="XP103" s="294"/>
      <c r="XQ103" s="294"/>
      <c r="XR103" s="294"/>
      <c r="XS103" s="294"/>
      <c r="XT103" s="294"/>
      <c r="XU103" s="294"/>
      <c r="XV103" s="294"/>
      <c r="XW103" s="294"/>
      <c r="XX103" s="294"/>
      <c r="XY103" s="294"/>
      <c r="XZ103" s="294"/>
      <c r="YA103" s="294"/>
      <c r="YB103" s="294"/>
      <c r="YC103" s="294"/>
      <c r="YD103" s="294"/>
      <c r="YE103" s="294"/>
      <c r="YF103" s="294"/>
      <c r="YG103" s="294"/>
      <c r="YH103" s="294"/>
      <c r="YI103" s="294">
        <v>0</v>
      </c>
      <c r="YJ103" s="294"/>
      <c r="YK103" s="294"/>
      <c r="YL103" s="294"/>
      <c r="YM103" s="294"/>
      <c r="YN103" s="294"/>
      <c r="YO103" s="294"/>
      <c r="YP103" s="294"/>
      <c r="YQ103" s="294"/>
      <c r="YR103" s="294"/>
      <c r="YS103" s="294"/>
      <c r="YT103" s="294"/>
      <c r="YU103" s="294"/>
      <c r="YV103" s="294">
        <v>0</v>
      </c>
      <c r="YW103" s="294"/>
      <c r="YX103" s="294"/>
      <c r="YY103" s="294"/>
      <c r="YZ103" s="294"/>
      <c r="ZA103" s="294"/>
      <c r="ZB103" s="294"/>
      <c r="ZC103" s="294"/>
      <c r="ZD103" s="294"/>
      <c r="ZE103" s="294">
        <v>-10235.1</v>
      </c>
      <c r="ZF103" s="294"/>
      <c r="ZG103" s="294"/>
      <c r="ZH103" s="294"/>
      <c r="ZI103" s="294"/>
      <c r="ZJ103" s="294"/>
      <c r="ZK103" s="294"/>
      <c r="ZL103" s="294"/>
      <c r="ZM103" s="294"/>
      <c r="ZN103" s="294"/>
      <c r="ZO103" s="294"/>
      <c r="ZP103" s="294"/>
      <c r="ZQ103" s="294"/>
      <c r="ZR103" s="294"/>
      <c r="ZS103" s="294"/>
      <c r="ZT103" s="294"/>
      <c r="ZU103" s="294"/>
      <c r="ZV103" s="294"/>
      <c r="ZW103" s="294"/>
      <c r="ZX103" s="294"/>
      <c r="ZY103" s="294"/>
      <c r="ZZ103" s="294"/>
      <c r="AAA103" s="294"/>
      <c r="AAB103" s="294"/>
      <c r="AAC103" s="294"/>
      <c r="AAD103" s="294"/>
      <c r="AAE103" s="294"/>
      <c r="AAF103" s="294"/>
      <c r="AAG103" s="294"/>
      <c r="AAH103" s="294">
        <v>-69601.5</v>
      </c>
      <c r="AAI103" s="294"/>
      <c r="AAJ103" s="294"/>
      <c r="AAK103" s="294"/>
      <c r="AAL103" s="294"/>
      <c r="AAM103" s="294"/>
      <c r="AAN103" s="294"/>
      <c r="AAO103" s="294"/>
      <c r="AAP103" s="294"/>
      <c r="AAQ103" s="294"/>
      <c r="AAR103" s="294"/>
      <c r="AAS103" s="294"/>
      <c r="AAT103" s="294"/>
      <c r="AAU103" s="294"/>
      <c r="AAV103" s="294"/>
      <c r="AAW103" s="294"/>
      <c r="AAX103" s="294"/>
      <c r="AAY103" s="294"/>
      <c r="AAZ103" s="294"/>
      <c r="ABA103" s="294"/>
      <c r="ABB103" s="294"/>
      <c r="ABC103" s="294">
        <v>0</v>
      </c>
      <c r="ABD103" s="294"/>
      <c r="ABE103" s="294"/>
      <c r="ABF103" s="294"/>
      <c r="ABG103" s="294"/>
      <c r="ABH103" s="294"/>
      <c r="ABI103" s="294"/>
      <c r="ABJ103" s="294">
        <v>0</v>
      </c>
      <c r="ABK103" s="294">
        <v>0</v>
      </c>
      <c r="ABL103" s="294"/>
      <c r="ABM103" s="294"/>
      <c r="ABN103" s="294"/>
      <c r="ABO103" s="294"/>
      <c r="ABP103" s="294"/>
      <c r="ABQ103" s="294"/>
      <c r="ABR103" s="294"/>
      <c r="ABS103" s="294"/>
      <c r="ABT103" s="294"/>
      <c r="ABU103" s="294"/>
      <c r="ABV103" s="294"/>
      <c r="ABW103" s="294"/>
      <c r="ABX103" s="294">
        <v>-69509.039999999994</v>
      </c>
      <c r="ABY103" s="294"/>
      <c r="ABZ103" s="294"/>
      <c r="ACA103" s="294"/>
      <c r="ACB103" s="294"/>
      <c r="ACC103" s="294"/>
      <c r="ACD103" s="294">
        <v>-39459.199999999997</v>
      </c>
      <c r="ACE103" s="294"/>
      <c r="ACF103" s="294"/>
      <c r="ACG103" s="294"/>
      <c r="ACH103" s="294"/>
      <c r="ACI103" s="294">
        <v>-10631.86</v>
      </c>
      <c r="ACJ103" s="294"/>
      <c r="ACK103" s="294"/>
      <c r="ACL103" s="294"/>
      <c r="ACM103" s="294">
        <v>-8684.85</v>
      </c>
      <c r="ACN103" s="294"/>
      <c r="ACO103" s="294">
        <v>-113451.85</v>
      </c>
      <c r="ACP103" s="294"/>
      <c r="ACQ103" s="294"/>
      <c r="ACR103" s="294"/>
      <c r="ACS103" s="294"/>
      <c r="ACT103" s="294"/>
      <c r="ACU103" s="294"/>
      <c r="ACV103" s="294"/>
      <c r="ACW103" s="294"/>
      <c r="ACX103" s="294"/>
      <c r="ACY103" s="294"/>
      <c r="ACZ103" s="294"/>
      <c r="ADA103" s="294"/>
      <c r="ADB103" s="294"/>
      <c r="ADC103" s="294"/>
      <c r="ADD103" s="294"/>
      <c r="ADE103" s="294"/>
      <c r="ADF103" s="294"/>
      <c r="ADG103" s="294"/>
      <c r="ADH103" s="294"/>
      <c r="ADI103" s="294"/>
      <c r="ADJ103" s="294"/>
      <c r="ADK103" s="294"/>
      <c r="ADL103" s="294"/>
      <c r="ADM103" s="294"/>
      <c r="ADN103" s="294"/>
      <c r="ADO103" s="294">
        <v>-777706.44</v>
      </c>
      <c r="ADP103" s="294"/>
      <c r="ADQ103" s="294"/>
      <c r="ADR103" s="294"/>
      <c r="ADS103" s="294">
        <v>0</v>
      </c>
      <c r="ADT103" s="294"/>
      <c r="ADU103" s="294"/>
      <c r="ADV103" s="294"/>
      <c r="ADW103" s="294"/>
      <c r="ADX103" s="294"/>
      <c r="ADY103" s="294">
        <v>-533057.77</v>
      </c>
      <c r="ADZ103" s="294">
        <v>-124353.23</v>
      </c>
      <c r="AEA103" s="294"/>
      <c r="AEB103" s="294"/>
      <c r="AEC103" s="294"/>
      <c r="AED103" s="294"/>
      <c r="AEE103" s="294"/>
      <c r="AEF103" s="294"/>
      <c r="AEG103" s="294"/>
      <c r="AEH103" s="294"/>
      <c r="AEI103" s="294"/>
      <c r="AEJ103" s="294"/>
      <c r="AEK103" s="294"/>
      <c r="AEL103" s="294"/>
      <c r="AEM103" s="294"/>
      <c r="AEN103" s="294"/>
      <c r="AEO103" s="294"/>
      <c r="AEP103" s="294"/>
      <c r="AEQ103" s="294"/>
      <c r="AER103" s="294"/>
      <c r="AES103" s="294"/>
      <c r="AET103" s="294"/>
      <c r="AEU103" s="294"/>
      <c r="AEV103" s="294"/>
      <c r="AEW103" s="294"/>
      <c r="AEX103" s="294"/>
      <c r="AEY103" s="294"/>
      <c r="AEZ103" s="294"/>
      <c r="AFA103" s="294"/>
      <c r="AFB103" s="294"/>
      <c r="AFC103" s="294">
        <v>0</v>
      </c>
      <c r="AFD103" s="294"/>
      <c r="AFE103" s="294"/>
      <c r="AFF103" s="294"/>
      <c r="AFG103" s="294"/>
      <c r="AFH103" s="294"/>
      <c r="AFI103" s="294"/>
      <c r="AFJ103" s="294"/>
      <c r="AFK103" s="294"/>
      <c r="AFL103" s="294"/>
      <c r="AFM103" s="294"/>
      <c r="AFN103" s="294"/>
      <c r="AFO103" s="294"/>
      <c r="AFP103" s="294"/>
      <c r="AFQ103" s="294"/>
      <c r="AFR103" s="294"/>
      <c r="AFS103" s="294"/>
      <c r="AFT103" s="294"/>
      <c r="AFU103" s="294"/>
      <c r="AFV103" s="294"/>
      <c r="AFW103" s="294"/>
      <c r="AFX103" s="294"/>
      <c r="AFY103" s="294"/>
      <c r="AFZ103" s="294"/>
      <c r="AGA103" s="294"/>
      <c r="AGB103" s="294">
        <v>0</v>
      </c>
      <c r="AGC103" s="294"/>
      <c r="AGD103" s="294"/>
      <c r="AGE103" s="294"/>
      <c r="AGF103" s="294"/>
      <c r="AGG103" s="294"/>
      <c r="AGH103" s="294"/>
      <c r="AGI103" s="294"/>
      <c r="AGJ103" s="294"/>
      <c r="AGK103" s="294"/>
      <c r="AGL103" s="294"/>
      <c r="AGM103" s="294">
        <v>0</v>
      </c>
      <c r="AGN103" s="294"/>
      <c r="AGO103" s="294"/>
      <c r="AGP103" s="294"/>
      <c r="AGQ103" s="294"/>
      <c r="AGR103" s="294"/>
      <c r="AGS103" s="294"/>
      <c r="AGT103" s="294"/>
      <c r="AGU103" s="294">
        <v>0</v>
      </c>
      <c r="AGV103" s="294"/>
      <c r="AGW103" s="294"/>
      <c r="AGX103" s="294"/>
      <c r="AGY103" s="294"/>
      <c r="AGZ103" s="294"/>
      <c r="AHA103" s="294"/>
      <c r="AHB103" s="294"/>
      <c r="AHC103" s="294"/>
      <c r="AHD103" s="294"/>
      <c r="AHE103" s="294"/>
      <c r="AHF103" s="294"/>
      <c r="AHG103" s="294"/>
      <c r="AHH103" s="294"/>
      <c r="AHI103" s="294"/>
      <c r="AHJ103" s="294"/>
      <c r="AHK103" s="294"/>
      <c r="AHL103" s="294"/>
      <c r="AHM103" s="294"/>
      <c r="AHN103" s="294"/>
      <c r="AHO103" s="294"/>
      <c r="AHP103" s="294"/>
      <c r="AHQ103" s="294"/>
      <c r="AHR103" s="331"/>
      <c r="AHS103" s="294">
        <f t="shared" si="51"/>
        <v>-7218910.6490000002</v>
      </c>
      <c r="AHT103" s="269" t="b">
        <f t="shared" si="52"/>
        <v>1</v>
      </c>
      <c r="AHU103" s="269" t="s">
        <v>6278</v>
      </c>
      <c r="AHV103" s="269" t="s">
        <v>6149</v>
      </c>
      <c r="AHW103" s="269" t="s">
        <v>6150</v>
      </c>
    </row>
    <row r="104" spans="1:907" ht="24.6" x14ac:dyDescent="0.7">
      <c r="A104" s="268" t="s">
        <v>6278</v>
      </c>
      <c r="B104" s="268" t="s">
        <v>6151</v>
      </c>
      <c r="C104" s="269" t="s">
        <v>6152</v>
      </c>
      <c r="D104" s="294"/>
      <c r="E104" s="294"/>
      <c r="F104" s="294"/>
      <c r="G104" s="294"/>
      <c r="H104" s="294">
        <v>-58613</v>
      </c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>
        <v>0</v>
      </c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  <c r="AH104" s="294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4"/>
      <c r="AS104" s="294"/>
      <c r="AT104" s="294"/>
      <c r="AU104" s="294"/>
      <c r="AV104" s="294"/>
      <c r="AW104" s="294"/>
      <c r="AX104" s="294"/>
      <c r="AY104" s="294"/>
      <c r="AZ104" s="294"/>
      <c r="BA104" s="294"/>
      <c r="BB104" s="294"/>
      <c r="BC104" s="294"/>
      <c r="BD104" s="294"/>
      <c r="BE104" s="294"/>
      <c r="BF104" s="294"/>
      <c r="BG104" s="294"/>
      <c r="BH104" s="294"/>
      <c r="BI104" s="294"/>
      <c r="BJ104" s="294"/>
      <c r="BK104" s="294"/>
      <c r="BL104" s="294"/>
      <c r="BM104" s="294"/>
      <c r="BN104" s="294"/>
      <c r="BO104" s="294"/>
      <c r="BP104" s="294"/>
      <c r="BQ104" s="294"/>
      <c r="BR104" s="294"/>
      <c r="BS104" s="294"/>
      <c r="BT104" s="294"/>
      <c r="BU104" s="294"/>
      <c r="BV104" s="294"/>
      <c r="BW104" s="294"/>
      <c r="BX104" s="294"/>
      <c r="BY104" s="294"/>
      <c r="BZ104" s="294"/>
      <c r="CA104" s="294"/>
      <c r="CB104" s="294"/>
      <c r="CC104" s="294"/>
      <c r="CD104" s="294"/>
      <c r="CE104" s="294"/>
      <c r="CF104" s="294"/>
      <c r="CG104" s="294"/>
      <c r="CH104" s="294"/>
      <c r="CI104" s="294"/>
      <c r="CJ104" s="294"/>
      <c r="CK104" s="294"/>
      <c r="CL104" s="294"/>
      <c r="CM104" s="294"/>
      <c r="CN104" s="294"/>
      <c r="CO104" s="294"/>
      <c r="CP104" s="294"/>
      <c r="CQ104" s="294"/>
      <c r="CR104" s="294"/>
      <c r="CS104" s="294"/>
      <c r="CT104" s="294"/>
      <c r="CU104" s="294"/>
      <c r="CV104" s="294"/>
      <c r="CW104" s="294"/>
      <c r="CX104" s="294"/>
      <c r="CY104" s="294"/>
      <c r="CZ104" s="294"/>
      <c r="DA104" s="294"/>
      <c r="DB104" s="294"/>
      <c r="DC104" s="294"/>
      <c r="DD104" s="294"/>
      <c r="DE104" s="294"/>
      <c r="DF104" s="294"/>
      <c r="DG104" s="294"/>
      <c r="DH104" s="294"/>
      <c r="DI104" s="294"/>
      <c r="DJ104" s="294"/>
      <c r="DK104" s="294"/>
      <c r="DL104" s="294"/>
      <c r="DM104" s="294"/>
      <c r="DN104" s="294"/>
      <c r="DO104" s="294"/>
      <c r="DP104" s="294"/>
      <c r="DQ104" s="294"/>
      <c r="DR104" s="294"/>
      <c r="DS104" s="294"/>
      <c r="DT104" s="294"/>
      <c r="DU104" s="294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  <c r="FI104" s="294"/>
      <c r="FJ104" s="294"/>
      <c r="FK104" s="294"/>
      <c r="FL104" s="294"/>
      <c r="FM104" s="294"/>
      <c r="FN104" s="294"/>
      <c r="FO104" s="294"/>
      <c r="FP104" s="294"/>
      <c r="FQ104" s="294"/>
      <c r="FR104" s="294"/>
      <c r="FS104" s="294">
        <v>-8900.7999999999993</v>
      </c>
      <c r="FT104" s="294"/>
      <c r="FU104" s="294"/>
      <c r="FV104" s="294"/>
      <c r="FW104" s="294"/>
      <c r="FX104" s="294"/>
      <c r="FY104" s="294"/>
      <c r="FZ104" s="294"/>
      <c r="GA104" s="294"/>
      <c r="GB104" s="294"/>
      <c r="GC104" s="294"/>
      <c r="GD104" s="294"/>
      <c r="GE104" s="294"/>
      <c r="GF104" s="294"/>
      <c r="GG104" s="294"/>
      <c r="GH104" s="294"/>
      <c r="GI104" s="294"/>
      <c r="GJ104" s="294"/>
      <c r="GK104" s="294"/>
      <c r="GL104" s="294"/>
      <c r="GM104" s="294">
        <v>-1727.43</v>
      </c>
      <c r="GN104" s="294"/>
      <c r="GO104" s="294"/>
      <c r="GP104" s="294"/>
      <c r="GQ104" s="294"/>
      <c r="GR104" s="294"/>
      <c r="GS104" s="294"/>
      <c r="GT104" s="294"/>
      <c r="GU104" s="294"/>
      <c r="GV104" s="294"/>
      <c r="GW104" s="294"/>
      <c r="GX104" s="294"/>
      <c r="GY104" s="294"/>
      <c r="GZ104" s="294"/>
      <c r="HA104" s="294"/>
      <c r="HB104" s="294"/>
      <c r="HC104" s="294"/>
      <c r="HD104" s="294"/>
      <c r="HE104" s="294"/>
      <c r="HF104" s="294"/>
      <c r="HG104" s="294"/>
      <c r="HH104" s="294"/>
      <c r="HI104" s="294"/>
      <c r="HJ104" s="294"/>
      <c r="HK104" s="294"/>
      <c r="HL104" s="294"/>
      <c r="HM104" s="294"/>
      <c r="HN104" s="294"/>
      <c r="HO104" s="294"/>
      <c r="HP104" s="294"/>
      <c r="HQ104" s="294"/>
      <c r="HR104" s="294"/>
      <c r="HS104" s="294"/>
      <c r="HT104" s="294"/>
      <c r="HU104" s="294"/>
      <c r="HV104" s="294"/>
      <c r="HW104" s="294"/>
      <c r="HX104" s="294"/>
      <c r="HY104" s="294"/>
      <c r="HZ104" s="294"/>
      <c r="IA104" s="294"/>
      <c r="IB104" s="294"/>
      <c r="IC104" s="294"/>
      <c r="ID104" s="294"/>
      <c r="IE104" s="294"/>
      <c r="IF104" s="294"/>
      <c r="IG104" s="294"/>
      <c r="IH104" s="294"/>
      <c r="II104" s="294"/>
      <c r="IJ104" s="294"/>
      <c r="IK104" s="294"/>
      <c r="IL104" s="294"/>
      <c r="IM104" s="294"/>
      <c r="IN104" s="294"/>
      <c r="IO104" s="294"/>
      <c r="IP104" s="294"/>
      <c r="IQ104" s="294"/>
      <c r="IR104" s="294"/>
      <c r="IS104" s="294">
        <v>0</v>
      </c>
      <c r="IT104" s="294"/>
      <c r="IU104" s="294"/>
      <c r="IV104" s="294"/>
      <c r="IW104" s="294"/>
      <c r="IX104" s="294"/>
      <c r="IY104" s="294"/>
      <c r="IZ104" s="294"/>
      <c r="JA104" s="294"/>
      <c r="JB104" s="294"/>
      <c r="JC104" s="294"/>
      <c r="JD104" s="294"/>
      <c r="JE104" s="294"/>
      <c r="JF104" s="294"/>
      <c r="JG104" s="294"/>
      <c r="JH104" s="294"/>
      <c r="JI104" s="294"/>
      <c r="JJ104" s="294">
        <v>-2000000</v>
      </c>
      <c r="JK104" s="294">
        <v>-16500000</v>
      </c>
      <c r="JL104" s="294"/>
      <c r="JM104" s="294"/>
      <c r="JN104" s="294"/>
      <c r="JO104" s="294"/>
      <c r="JP104" s="294">
        <v>-821621</v>
      </c>
      <c r="JQ104" s="294"/>
      <c r="JR104" s="294"/>
      <c r="JS104" s="294"/>
      <c r="JT104" s="294"/>
      <c r="JU104" s="294"/>
      <c r="JV104" s="294"/>
      <c r="JW104" s="294"/>
      <c r="JX104" s="294"/>
      <c r="JY104" s="294"/>
      <c r="JZ104" s="294"/>
      <c r="KA104" s="294"/>
      <c r="KB104" s="294"/>
      <c r="KC104" s="294"/>
      <c r="KD104" s="294"/>
      <c r="KE104" s="294"/>
      <c r="KF104" s="294"/>
      <c r="KG104" s="294"/>
      <c r="KH104" s="294"/>
      <c r="KI104" s="294"/>
      <c r="KJ104" s="294"/>
      <c r="KK104" s="294"/>
      <c r="KL104" s="294"/>
      <c r="KM104" s="294"/>
      <c r="KN104" s="294"/>
      <c r="KO104" s="294"/>
      <c r="KP104" s="294"/>
      <c r="KQ104" s="294"/>
      <c r="KR104" s="294"/>
      <c r="KS104" s="294"/>
      <c r="KT104" s="294"/>
      <c r="KU104" s="294"/>
      <c r="KV104" s="294"/>
      <c r="KW104" s="294"/>
      <c r="KX104" s="294"/>
      <c r="KY104" s="294"/>
      <c r="KZ104" s="294"/>
      <c r="LA104" s="294"/>
      <c r="LB104" s="294"/>
      <c r="LC104" s="294"/>
      <c r="LD104" s="294"/>
      <c r="LE104" s="294"/>
      <c r="LF104" s="294"/>
      <c r="LG104" s="294"/>
      <c r="LH104" s="294"/>
      <c r="LI104" s="294"/>
      <c r="LJ104" s="294"/>
      <c r="LK104" s="294"/>
      <c r="LL104" s="294"/>
      <c r="LM104" s="294">
        <v>-239108</v>
      </c>
      <c r="LN104" s="294"/>
      <c r="LO104" s="294"/>
      <c r="LP104" s="294"/>
      <c r="LQ104" s="294"/>
      <c r="LR104" s="294">
        <v>-91623</v>
      </c>
      <c r="LS104" s="294"/>
      <c r="LT104" s="294"/>
      <c r="LU104" s="294"/>
      <c r="LV104" s="294">
        <v>-326331.2</v>
      </c>
      <c r="LW104" s="294"/>
      <c r="LX104" s="294">
        <v>-72751</v>
      </c>
      <c r="LY104" s="294"/>
      <c r="LZ104" s="294"/>
      <c r="MA104" s="294"/>
      <c r="MB104" s="294"/>
      <c r="MC104" s="294"/>
      <c r="MD104" s="294"/>
      <c r="ME104" s="294"/>
      <c r="MF104" s="294"/>
      <c r="MG104" s="294"/>
      <c r="MH104" s="294"/>
      <c r="MI104" s="294"/>
      <c r="MJ104" s="294"/>
      <c r="MK104" s="294"/>
      <c r="ML104" s="294"/>
      <c r="MM104" s="294"/>
      <c r="MN104" s="294"/>
      <c r="MO104" s="294"/>
      <c r="MP104" s="294"/>
      <c r="MQ104" s="294"/>
      <c r="MR104" s="294"/>
      <c r="MS104" s="294">
        <v>-10267</v>
      </c>
      <c r="MT104" s="294"/>
      <c r="MU104" s="294"/>
      <c r="MV104" s="294"/>
      <c r="MW104" s="294"/>
      <c r="MX104" s="294"/>
      <c r="MY104" s="294"/>
      <c r="MZ104" s="294"/>
      <c r="NA104" s="294"/>
      <c r="NB104" s="294"/>
      <c r="NC104" s="294"/>
      <c r="ND104" s="294"/>
      <c r="NE104" s="294"/>
      <c r="NF104" s="294"/>
      <c r="NG104" s="294"/>
      <c r="NH104" s="294"/>
      <c r="NI104" s="294"/>
      <c r="NJ104" s="294"/>
      <c r="NK104" s="294"/>
      <c r="NL104" s="294"/>
      <c r="NM104" s="294"/>
      <c r="NN104" s="294"/>
      <c r="NO104" s="294"/>
      <c r="NP104" s="294"/>
      <c r="NQ104" s="294"/>
      <c r="NR104" s="294"/>
      <c r="NS104" s="294"/>
      <c r="NT104" s="294"/>
      <c r="NU104" s="294"/>
      <c r="NV104" s="294"/>
      <c r="NW104" s="294"/>
      <c r="NX104" s="294"/>
      <c r="NY104" s="294"/>
      <c r="NZ104" s="294">
        <v>-70962</v>
      </c>
      <c r="OA104" s="294"/>
      <c r="OB104" s="294"/>
      <c r="OC104" s="294"/>
      <c r="OD104" s="294"/>
      <c r="OE104" s="294"/>
      <c r="OF104" s="294">
        <v>-3596221</v>
      </c>
      <c r="OG104" s="294"/>
      <c r="OH104" s="294"/>
      <c r="OI104" s="294"/>
      <c r="OJ104" s="294"/>
      <c r="OK104" s="294"/>
      <c r="OL104" s="294"/>
      <c r="OM104" s="294"/>
      <c r="ON104" s="294"/>
      <c r="OO104" s="294"/>
      <c r="OP104" s="294"/>
      <c r="OQ104" s="294"/>
      <c r="OR104" s="294"/>
      <c r="OS104" s="294"/>
      <c r="OT104" s="294"/>
      <c r="OU104" s="294"/>
      <c r="OV104" s="294"/>
      <c r="OW104" s="294"/>
      <c r="OX104" s="294"/>
      <c r="OY104" s="294"/>
      <c r="OZ104" s="294"/>
      <c r="PA104" s="294"/>
      <c r="PB104" s="294"/>
      <c r="PC104" s="294"/>
      <c r="PD104" s="294"/>
      <c r="PE104" s="294"/>
      <c r="PF104" s="294"/>
      <c r="PG104" s="294"/>
      <c r="PH104" s="294"/>
      <c r="PI104" s="294"/>
      <c r="PJ104" s="294"/>
      <c r="PK104" s="294"/>
      <c r="PL104" s="294"/>
      <c r="PM104" s="294"/>
      <c r="PN104" s="294"/>
      <c r="PO104" s="294"/>
      <c r="PP104" s="294"/>
      <c r="PQ104" s="294"/>
      <c r="PR104" s="294"/>
      <c r="PS104" s="294"/>
      <c r="PT104" s="294"/>
      <c r="PU104" s="294"/>
      <c r="PV104" s="294"/>
      <c r="PW104" s="294"/>
      <c r="PX104" s="294"/>
      <c r="PY104" s="294"/>
      <c r="PZ104" s="294"/>
      <c r="QA104" s="294"/>
      <c r="QB104" s="294"/>
      <c r="QC104" s="294"/>
      <c r="QD104" s="294"/>
      <c r="QE104" s="294">
        <v>-20225</v>
      </c>
      <c r="QF104" s="294"/>
      <c r="QG104" s="294"/>
      <c r="QH104" s="294"/>
      <c r="QI104" s="294"/>
      <c r="QJ104" s="294"/>
      <c r="QK104" s="294"/>
      <c r="QL104" s="294"/>
      <c r="QM104" s="294"/>
      <c r="QN104" s="294"/>
      <c r="QO104" s="294"/>
      <c r="QP104" s="294"/>
      <c r="QQ104" s="294"/>
      <c r="QR104" s="294"/>
      <c r="QS104" s="294"/>
      <c r="QT104" s="294"/>
      <c r="QU104" s="294"/>
      <c r="QV104" s="294"/>
      <c r="QW104" s="294">
        <v>-192446.25</v>
      </c>
      <c r="QX104" s="294"/>
      <c r="QY104" s="294"/>
      <c r="QZ104" s="294"/>
      <c r="RA104" s="294"/>
      <c r="RB104" s="294"/>
      <c r="RC104" s="294"/>
      <c r="RD104" s="294"/>
      <c r="RE104" s="294"/>
      <c r="RF104" s="294"/>
      <c r="RG104" s="294"/>
      <c r="RH104" s="294"/>
      <c r="RI104" s="294"/>
      <c r="RJ104" s="294"/>
      <c r="RK104" s="294"/>
      <c r="RL104" s="294"/>
      <c r="RM104" s="294"/>
      <c r="RN104" s="294"/>
      <c r="RO104" s="294"/>
      <c r="RP104" s="294"/>
      <c r="RQ104" s="294"/>
      <c r="RR104" s="294"/>
      <c r="RS104" s="294"/>
      <c r="RT104" s="294"/>
      <c r="RU104" s="294"/>
      <c r="RV104" s="294"/>
      <c r="RW104" s="294"/>
      <c r="RX104" s="294"/>
      <c r="RY104" s="294"/>
      <c r="RZ104" s="294"/>
      <c r="SA104" s="294"/>
      <c r="SB104" s="294"/>
      <c r="SC104" s="294"/>
      <c r="SD104" s="294"/>
      <c r="SE104" s="294"/>
      <c r="SF104" s="294"/>
      <c r="SG104" s="294"/>
      <c r="SH104" s="294"/>
      <c r="SI104" s="294"/>
      <c r="SJ104" s="294"/>
      <c r="SK104" s="294"/>
      <c r="SL104" s="294"/>
      <c r="SM104" s="294"/>
      <c r="SN104" s="294">
        <v>-324905</v>
      </c>
      <c r="SO104" s="294"/>
      <c r="SP104" s="294">
        <v>-93739.31</v>
      </c>
      <c r="SQ104" s="294">
        <v>-1205656</v>
      </c>
      <c r="SR104" s="294">
        <v>-456595</v>
      </c>
      <c r="SS104" s="294"/>
      <c r="ST104" s="294"/>
      <c r="SU104" s="294"/>
      <c r="SV104" s="294"/>
      <c r="SW104" s="294"/>
      <c r="SX104" s="294"/>
      <c r="SY104" s="294"/>
      <c r="SZ104" s="294"/>
      <c r="TA104" s="294"/>
      <c r="TB104" s="294"/>
      <c r="TC104" s="294"/>
      <c r="TD104" s="294"/>
      <c r="TE104" s="294"/>
      <c r="TF104" s="294"/>
      <c r="TG104" s="294"/>
      <c r="TH104" s="294"/>
      <c r="TI104" s="294"/>
      <c r="TJ104" s="294"/>
      <c r="TK104" s="294"/>
      <c r="TL104" s="294">
        <v>-48588.68</v>
      </c>
      <c r="TM104" s="294"/>
      <c r="TN104" s="294"/>
      <c r="TO104" s="294"/>
      <c r="TP104" s="294"/>
      <c r="TQ104" s="294"/>
      <c r="TR104" s="294"/>
      <c r="TS104" s="294"/>
      <c r="TT104" s="294"/>
      <c r="TU104" s="294"/>
      <c r="TV104" s="294"/>
      <c r="TW104" s="294"/>
      <c r="TX104" s="294"/>
      <c r="TY104" s="294"/>
      <c r="TZ104" s="294"/>
      <c r="UA104" s="294">
        <v>-217727.14</v>
      </c>
      <c r="UB104" s="294"/>
      <c r="UC104" s="294"/>
      <c r="UD104" s="294"/>
      <c r="UE104" s="294">
        <v>-332175.2</v>
      </c>
      <c r="UF104" s="294"/>
      <c r="UG104" s="294"/>
      <c r="UH104" s="294"/>
      <c r="UI104" s="294"/>
      <c r="UJ104" s="294"/>
      <c r="UK104" s="294"/>
      <c r="UL104" s="294"/>
      <c r="UM104" s="294"/>
      <c r="UN104" s="294"/>
      <c r="UO104" s="294"/>
      <c r="UP104" s="294"/>
      <c r="UQ104" s="294">
        <v>-24316</v>
      </c>
      <c r="UR104" s="294"/>
      <c r="US104" s="294"/>
      <c r="UT104" s="294"/>
      <c r="UU104" s="294"/>
      <c r="UV104" s="294"/>
      <c r="UW104" s="294">
        <v>-8500</v>
      </c>
      <c r="UX104" s="294"/>
      <c r="UY104" s="294"/>
      <c r="UZ104" s="294">
        <v>-159645.45000000001</v>
      </c>
      <c r="VA104" s="294">
        <v>-39045</v>
      </c>
      <c r="VB104" s="294">
        <v>-36086</v>
      </c>
      <c r="VC104" s="294">
        <v>-31343</v>
      </c>
      <c r="VD104" s="294"/>
      <c r="VE104" s="294">
        <v>-129615.56</v>
      </c>
      <c r="VF104" s="294"/>
      <c r="VG104" s="294"/>
      <c r="VH104" s="294"/>
      <c r="VI104" s="294">
        <v>-21564</v>
      </c>
      <c r="VJ104" s="294"/>
      <c r="VK104" s="294"/>
      <c r="VL104" s="294"/>
      <c r="VM104" s="294"/>
      <c r="VN104" s="294">
        <v>-6534</v>
      </c>
      <c r="VO104" s="294"/>
      <c r="VP104" s="294"/>
      <c r="VQ104" s="294"/>
      <c r="VR104" s="294"/>
      <c r="VS104" s="294"/>
      <c r="VT104" s="294"/>
      <c r="VU104" s="294"/>
      <c r="VV104" s="294"/>
      <c r="VW104" s="294"/>
      <c r="VX104" s="294"/>
      <c r="VY104" s="294"/>
      <c r="VZ104" s="294">
        <v>-1500000</v>
      </c>
      <c r="WA104" s="294"/>
      <c r="WB104" s="294"/>
      <c r="WC104" s="294"/>
      <c r="WD104" s="294"/>
      <c r="WE104" s="294"/>
      <c r="WF104" s="294"/>
      <c r="WG104" s="294"/>
      <c r="WH104" s="294"/>
      <c r="WI104" s="294"/>
      <c r="WJ104" s="294"/>
      <c r="WK104" s="294"/>
      <c r="WL104" s="294"/>
      <c r="WM104" s="294"/>
      <c r="WN104" s="294"/>
      <c r="WO104" s="294"/>
      <c r="WP104" s="294"/>
      <c r="WQ104" s="294"/>
      <c r="WR104" s="294"/>
      <c r="WS104" s="294"/>
      <c r="WT104" s="294"/>
      <c r="WU104" s="294"/>
      <c r="WV104" s="294">
        <v>-30893</v>
      </c>
      <c r="WW104" s="294"/>
      <c r="WX104" s="294"/>
      <c r="WY104" s="294"/>
      <c r="WZ104" s="294"/>
      <c r="XA104" s="294"/>
      <c r="XB104" s="294"/>
      <c r="XC104" s="294"/>
      <c r="XD104" s="294"/>
      <c r="XE104" s="294"/>
      <c r="XF104" s="294"/>
      <c r="XG104" s="294"/>
      <c r="XH104" s="294"/>
      <c r="XI104" s="294">
        <v>0</v>
      </c>
      <c r="XJ104" s="294">
        <v>0</v>
      </c>
      <c r="XK104" s="294">
        <v>0</v>
      </c>
      <c r="XL104" s="294"/>
      <c r="XM104" s="294">
        <v>0</v>
      </c>
      <c r="XN104" s="294">
        <v>0</v>
      </c>
      <c r="XO104" s="294"/>
      <c r="XP104" s="294">
        <v>0</v>
      </c>
      <c r="XQ104" s="294"/>
      <c r="XR104" s="294"/>
      <c r="XS104" s="294"/>
      <c r="XT104" s="294">
        <v>0</v>
      </c>
      <c r="XU104" s="294"/>
      <c r="XV104" s="294">
        <v>0</v>
      </c>
      <c r="XW104" s="294"/>
      <c r="XX104" s="294"/>
      <c r="XY104" s="294"/>
      <c r="XZ104" s="294">
        <v>0</v>
      </c>
      <c r="YA104" s="294"/>
      <c r="YB104" s="294"/>
      <c r="YC104" s="294"/>
      <c r="YD104" s="294"/>
      <c r="YE104" s="294"/>
      <c r="YF104" s="294"/>
      <c r="YG104" s="294"/>
      <c r="YH104" s="294"/>
      <c r="YI104" s="294"/>
      <c r="YJ104" s="294"/>
      <c r="YK104" s="294"/>
      <c r="YL104" s="294"/>
      <c r="YM104" s="294"/>
      <c r="YN104" s="294"/>
      <c r="YO104" s="294"/>
      <c r="YP104" s="294"/>
      <c r="YQ104" s="294"/>
      <c r="YR104" s="294"/>
      <c r="YS104" s="294"/>
      <c r="YT104" s="294"/>
      <c r="YU104" s="294"/>
      <c r="YV104" s="294"/>
      <c r="YW104" s="294"/>
      <c r="YX104" s="294"/>
      <c r="YY104" s="294"/>
      <c r="YZ104" s="294"/>
      <c r="ZA104" s="294"/>
      <c r="ZB104" s="294"/>
      <c r="ZC104" s="294"/>
      <c r="ZD104" s="294"/>
      <c r="ZE104" s="294"/>
      <c r="ZF104" s="294"/>
      <c r="ZG104" s="294"/>
      <c r="ZH104" s="294"/>
      <c r="ZI104" s="294"/>
      <c r="ZJ104" s="294"/>
      <c r="ZK104" s="294"/>
      <c r="ZL104" s="294"/>
      <c r="ZM104" s="294"/>
      <c r="ZN104" s="294"/>
      <c r="ZO104" s="294">
        <v>0</v>
      </c>
      <c r="ZP104" s="294"/>
      <c r="ZQ104" s="294"/>
      <c r="ZR104" s="294"/>
      <c r="ZS104" s="294"/>
      <c r="ZT104" s="294"/>
      <c r="ZU104" s="294"/>
      <c r="ZV104" s="294"/>
      <c r="ZW104" s="294"/>
      <c r="ZX104" s="294"/>
      <c r="ZY104" s="294"/>
      <c r="ZZ104" s="294"/>
      <c r="AAA104" s="294"/>
      <c r="AAB104" s="294"/>
      <c r="AAC104" s="294"/>
      <c r="AAD104" s="294"/>
      <c r="AAE104" s="294"/>
      <c r="AAF104" s="294"/>
      <c r="AAG104" s="294"/>
      <c r="AAH104" s="294"/>
      <c r="AAI104" s="294"/>
      <c r="AAJ104" s="294"/>
      <c r="AAK104" s="294"/>
      <c r="AAL104" s="294"/>
      <c r="AAM104" s="294"/>
      <c r="AAN104" s="294"/>
      <c r="AAO104" s="294"/>
      <c r="AAP104" s="294"/>
      <c r="AAQ104" s="294"/>
      <c r="AAR104" s="294"/>
      <c r="AAS104" s="294"/>
      <c r="AAT104" s="294"/>
      <c r="AAU104" s="294"/>
      <c r="AAV104" s="294"/>
      <c r="AAW104" s="294"/>
      <c r="AAX104" s="294"/>
      <c r="AAY104" s="294"/>
      <c r="AAZ104" s="294"/>
      <c r="ABA104" s="294"/>
      <c r="ABB104" s="294"/>
      <c r="ABC104" s="294">
        <v>0</v>
      </c>
      <c r="ABD104" s="294"/>
      <c r="ABE104" s="294"/>
      <c r="ABF104" s="294"/>
      <c r="ABG104" s="294"/>
      <c r="ABH104" s="294"/>
      <c r="ABI104" s="294"/>
      <c r="ABJ104" s="294"/>
      <c r="ABK104" s="294">
        <v>0</v>
      </c>
      <c r="ABL104" s="294"/>
      <c r="ABM104" s="294"/>
      <c r="ABN104" s="294">
        <v>-32664</v>
      </c>
      <c r="ABO104" s="294">
        <v>-15000</v>
      </c>
      <c r="ABP104" s="294"/>
      <c r="ABQ104" s="294"/>
      <c r="ABR104" s="294"/>
      <c r="ABS104" s="294"/>
      <c r="ABT104" s="294"/>
      <c r="ABU104" s="294"/>
      <c r="ABV104" s="294"/>
      <c r="ABW104" s="294"/>
      <c r="ABX104" s="294"/>
      <c r="ABY104" s="294"/>
      <c r="ABZ104" s="294"/>
      <c r="ACA104" s="294"/>
      <c r="ACB104" s="294"/>
      <c r="ACC104" s="294"/>
      <c r="ACD104" s="294"/>
      <c r="ACE104" s="294"/>
      <c r="ACF104" s="294"/>
      <c r="ACG104" s="294"/>
      <c r="ACH104" s="294"/>
      <c r="ACI104" s="294"/>
      <c r="ACJ104" s="294"/>
      <c r="ACK104" s="294">
        <v>-1146212.5</v>
      </c>
      <c r="ACL104" s="294"/>
      <c r="ACM104" s="294"/>
      <c r="ACN104" s="294"/>
      <c r="ACO104" s="294"/>
      <c r="ACP104" s="294"/>
      <c r="ACQ104" s="294"/>
      <c r="ACR104" s="294"/>
      <c r="ACS104" s="294"/>
      <c r="ACT104" s="294"/>
      <c r="ACU104" s="294"/>
      <c r="ACV104" s="294"/>
      <c r="ACW104" s="294"/>
      <c r="ACX104" s="294">
        <v>-1357952</v>
      </c>
      <c r="ACY104" s="294"/>
      <c r="ACZ104" s="294"/>
      <c r="ADA104" s="294"/>
      <c r="ADB104" s="294"/>
      <c r="ADC104" s="294"/>
      <c r="ADD104" s="294"/>
      <c r="ADE104" s="294"/>
      <c r="ADF104" s="294"/>
      <c r="ADG104" s="294"/>
      <c r="ADH104" s="294"/>
      <c r="ADI104" s="294"/>
      <c r="ADJ104" s="294"/>
      <c r="ADK104" s="294"/>
      <c r="ADL104" s="294"/>
      <c r="ADM104" s="294"/>
      <c r="ADN104" s="294"/>
      <c r="ADO104" s="294">
        <v>-10501750</v>
      </c>
      <c r="ADP104" s="294"/>
      <c r="ADQ104" s="294"/>
      <c r="ADR104" s="294"/>
      <c r="ADS104" s="294"/>
      <c r="ADT104" s="294"/>
      <c r="ADU104" s="294"/>
      <c r="ADV104" s="294"/>
      <c r="ADW104" s="294"/>
      <c r="ADX104" s="294"/>
      <c r="ADY104" s="294"/>
      <c r="ADZ104" s="294"/>
      <c r="AEA104" s="294"/>
      <c r="AEB104" s="294">
        <v>-216785.56</v>
      </c>
      <c r="AEC104" s="294"/>
      <c r="AED104" s="294"/>
      <c r="AEE104" s="294"/>
      <c r="AEF104" s="294"/>
      <c r="AEG104" s="294"/>
      <c r="AEH104" s="294"/>
      <c r="AEI104" s="294"/>
      <c r="AEJ104" s="294"/>
      <c r="AEK104" s="294"/>
      <c r="AEL104" s="294">
        <v>-257006</v>
      </c>
      <c r="AEM104" s="294"/>
      <c r="AEN104" s="294"/>
      <c r="AEO104" s="294"/>
      <c r="AEP104" s="294"/>
      <c r="AEQ104" s="294"/>
      <c r="AER104" s="294"/>
      <c r="AES104" s="294">
        <v>-6573457.8399999999</v>
      </c>
      <c r="AET104" s="294"/>
      <c r="AEU104" s="294"/>
      <c r="AEV104" s="294"/>
      <c r="AEW104" s="294"/>
      <c r="AEX104" s="294"/>
      <c r="AEY104" s="294"/>
      <c r="AEZ104" s="294"/>
      <c r="AFA104" s="294"/>
      <c r="AFB104" s="294"/>
      <c r="AFC104" s="294"/>
      <c r="AFD104" s="294"/>
      <c r="AFE104" s="294"/>
      <c r="AFF104" s="294"/>
      <c r="AFG104" s="294"/>
      <c r="AFH104" s="294"/>
      <c r="AFI104" s="294"/>
      <c r="AFJ104" s="294"/>
      <c r="AFK104" s="294"/>
      <c r="AFL104" s="294"/>
      <c r="AFM104" s="294"/>
      <c r="AFN104" s="294"/>
      <c r="AFO104" s="294"/>
      <c r="AFP104" s="294"/>
      <c r="AFQ104" s="294"/>
      <c r="AFR104" s="294"/>
      <c r="AFS104" s="294"/>
      <c r="AFT104" s="294"/>
      <c r="AFU104" s="294"/>
      <c r="AFV104" s="294"/>
      <c r="AFW104" s="294"/>
      <c r="AFX104" s="294"/>
      <c r="AFY104" s="294"/>
      <c r="AFZ104" s="294"/>
      <c r="AGA104" s="294"/>
      <c r="AGB104" s="294"/>
      <c r="AGC104" s="294"/>
      <c r="AGD104" s="294"/>
      <c r="AGE104" s="294"/>
      <c r="AGF104" s="294"/>
      <c r="AGG104" s="294"/>
      <c r="AGH104" s="294"/>
      <c r="AGI104" s="294"/>
      <c r="AGJ104" s="294"/>
      <c r="AGK104" s="294"/>
      <c r="AGL104" s="294"/>
      <c r="AGM104" s="294"/>
      <c r="AGN104" s="294">
        <v>-17500</v>
      </c>
      <c r="AGO104" s="294"/>
      <c r="AGP104" s="294">
        <v>0</v>
      </c>
      <c r="AGQ104" s="294"/>
      <c r="AGR104" s="294"/>
      <c r="AGS104" s="294"/>
      <c r="AGT104" s="294"/>
      <c r="AGU104" s="294"/>
      <c r="AGV104" s="294"/>
      <c r="AGW104" s="294"/>
      <c r="AGX104" s="294"/>
      <c r="AGY104" s="294"/>
      <c r="AGZ104" s="294"/>
      <c r="AHA104" s="294"/>
      <c r="AHB104" s="294"/>
      <c r="AHC104" s="294"/>
      <c r="AHD104" s="294"/>
      <c r="AHE104" s="294"/>
      <c r="AHF104" s="294"/>
      <c r="AHG104" s="294"/>
      <c r="AHH104" s="294"/>
      <c r="AHI104" s="294"/>
      <c r="AHJ104" s="294"/>
      <c r="AHK104" s="294"/>
      <c r="AHL104" s="294"/>
      <c r="AHM104" s="294"/>
      <c r="AHN104" s="294"/>
      <c r="AHO104" s="294"/>
      <c r="AHP104" s="294"/>
      <c r="AHQ104" s="294"/>
      <c r="AHR104" s="331"/>
      <c r="AHS104" s="294">
        <f t="shared" si="51"/>
        <v>-48796052.920000002</v>
      </c>
      <c r="AHT104" s="269" t="b">
        <f t="shared" si="52"/>
        <v>1</v>
      </c>
      <c r="AHU104" s="269" t="s">
        <v>6278</v>
      </c>
      <c r="AHV104" s="269" t="s">
        <v>6151</v>
      </c>
      <c r="AHW104" s="269" t="s">
        <v>6152</v>
      </c>
    </row>
    <row r="105" spans="1:907" ht="24.6" x14ac:dyDescent="0.7">
      <c r="A105" s="268" t="s">
        <v>6278</v>
      </c>
      <c r="B105" s="268" t="s">
        <v>6153</v>
      </c>
      <c r="C105" s="269" t="s">
        <v>6154</v>
      </c>
      <c r="D105" s="294">
        <v>-56894.04</v>
      </c>
      <c r="E105" s="294"/>
      <c r="F105" s="294"/>
      <c r="G105" s="294">
        <v>-42751.05</v>
      </c>
      <c r="H105" s="294"/>
      <c r="I105" s="294"/>
      <c r="J105" s="294"/>
      <c r="K105" s="294"/>
      <c r="L105" s="294"/>
      <c r="M105" s="294"/>
      <c r="N105" s="294"/>
      <c r="O105" s="294">
        <v>-838.28</v>
      </c>
      <c r="P105" s="294"/>
      <c r="Q105" s="294">
        <v>-40014</v>
      </c>
      <c r="R105" s="294">
        <v>-18571</v>
      </c>
      <c r="S105" s="294"/>
      <c r="T105" s="294"/>
      <c r="U105" s="294"/>
      <c r="V105" s="294"/>
      <c r="W105" s="294"/>
      <c r="X105" s="294"/>
      <c r="Y105" s="294">
        <v>-491964.78</v>
      </c>
      <c r="Z105" s="294">
        <v>-404161.25</v>
      </c>
      <c r="AA105" s="294"/>
      <c r="AB105" s="294">
        <v>-15560</v>
      </c>
      <c r="AC105" s="294"/>
      <c r="AD105" s="294"/>
      <c r="AE105" s="294">
        <v>-798908.31</v>
      </c>
      <c r="AF105" s="294"/>
      <c r="AG105" s="294"/>
      <c r="AH105" s="294"/>
      <c r="AI105" s="294"/>
      <c r="AJ105" s="294"/>
      <c r="AK105" s="294">
        <v>-110740</v>
      </c>
      <c r="AL105" s="294"/>
      <c r="AM105" s="294">
        <v>-16680</v>
      </c>
      <c r="AN105" s="294"/>
      <c r="AO105" s="294">
        <v>-492394.76</v>
      </c>
      <c r="AP105" s="294"/>
      <c r="AQ105" s="294"/>
      <c r="AR105" s="294"/>
      <c r="AS105" s="294"/>
      <c r="AT105" s="294">
        <v>-132</v>
      </c>
      <c r="AU105" s="294">
        <v>-1213143</v>
      </c>
      <c r="AV105" s="294"/>
      <c r="AW105" s="294"/>
      <c r="AX105" s="294">
        <v>0</v>
      </c>
      <c r="AY105" s="294"/>
      <c r="AZ105" s="294"/>
      <c r="BA105" s="294"/>
      <c r="BB105" s="294"/>
      <c r="BC105" s="294">
        <v>-331284.65000000002</v>
      </c>
      <c r="BD105" s="294"/>
      <c r="BE105" s="294"/>
      <c r="BF105" s="294">
        <v>-574166</v>
      </c>
      <c r="BG105" s="294"/>
      <c r="BH105" s="294"/>
      <c r="BI105" s="294">
        <v>-265750</v>
      </c>
      <c r="BJ105" s="294">
        <v>-1957548.16</v>
      </c>
      <c r="BK105" s="294">
        <v>-27297</v>
      </c>
      <c r="BL105" s="294">
        <v>-450082</v>
      </c>
      <c r="BM105" s="294"/>
      <c r="BN105" s="294">
        <v>-35629</v>
      </c>
      <c r="BO105" s="294"/>
      <c r="BP105" s="294">
        <v>-1882</v>
      </c>
      <c r="BQ105" s="294">
        <v>-2675</v>
      </c>
      <c r="BR105" s="294"/>
      <c r="BS105" s="294"/>
      <c r="BT105" s="294"/>
      <c r="BU105" s="294">
        <v>-100000</v>
      </c>
      <c r="BV105" s="294"/>
      <c r="BW105" s="294">
        <v>-4398.7</v>
      </c>
      <c r="BX105" s="294"/>
      <c r="BY105" s="294"/>
      <c r="BZ105" s="294"/>
      <c r="CA105" s="294"/>
      <c r="CB105" s="294"/>
      <c r="CC105" s="294">
        <v>-6000</v>
      </c>
      <c r="CD105" s="294"/>
      <c r="CE105" s="294"/>
      <c r="CF105" s="294"/>
      <c r="CG105" s="294">
        <v>-3866554.29</v>
      </c>
      <c r="CH105" s="294"/>
      <c r="CI105" s="294"/>
      <c r="CJ105" s="294"/>
      <c r="CK105" s="294"/>
      <c r="CL105" s="294"/>
      <c r="CM105" s="294"/>
      <c r="CN105" s="294">
        <v>-58967.66</v>
      </c>
      <c r="CO105" s="294"/>
      <c r="CP105" s="294"/>
      <c r="CQ105" s="294"/>
      <c r="CR105" s="294"/>
      <c r="CS105" s="294"/>
      <c r="CT105" s="294"/>
      <c r="CU105" s="294"/>
      <c r="CV105" s="294"/>
      <c r="CW105" s="294"/>
      <c r="CX105" s="294">
        <v>0</v>
      </c>
      <c r="CY105" s="294">
        <v>0</v>
      </c>
      <c r="CZ105" s="294">
        <v>-14100</v>
      </c>
      <c r="DA105" s="294">
        <v>-13000</v>
      </c>
      <c r="DB105" s="294"/>
      <c r="DC105" s="294">
        <v>-4849413.37</v>
      </c>
      <c r="DD105" s="294">
        <v>-93690.65</v>
      </c>
      <c r="DE105" s="294"/>
      <c r="DF105" s="294">
        <v>-799212.5</v>
      </c>
      <c r="DG105" s="294">
        <v>-87214.61</v>
      </c>
      <c r="DH105" s="294">
        <v>-628292.72</v>
      </c>
      <c r="DI105" s="294"/>
      <c r="DJ105" s="294"/>
      <c r="DK105" s="294"/>
      <c r="DL105" s="294"/>
      <c r="DM105" s="294"/>
      <c r="DN105" s="294"/>
      <c r="DO105" s="294"/>
      <c r="DP105" s="294">
        <v>-448</v>
      </c>
      <c r="DQ105" s="294"/>
      <c r="DR105" s="294"/>
      <c r="DS105" s="294">
        <v>-254774.55</v>
      </c>
      <c r="DT105" s="294"/>
      <c r="DU105" s="294"/>
      <c r="DV105" s="294"/>
      <c r="DW105" s="294"/>
      <c r="DX105" s="294"/>
      <c r="DY105" s="294"/>
      <c r="DZ105" s="294"/>
      <c r="EA105" s="294"/>
      <c r="EB105" s="294">
        <v>-74066</v>
      </c>
      <c r="EC105" s="294">
        <v>-25750</v>
      </c>
      <c r="ED105" s="294"/>
      <c r="EE105" s="294"/>
      <c r="EF105" s="294"/>
      <c r="EG105" s="294"/>
      <c r="EH105" s="294"/>
      <c r="EI105" s="294"/>
      <c r="EJ105" s="294"/>
      <c r="EK105" s="294"/>
      <c r="EL105" s="294">
        <v>-142367.75</v>
      </c>
      <c r="EM105" s="294">
        <v>-900</v>
      </c>
      <c r="EN105" s="294"/>
      <c r="EO105" s="294"/>
      <c r="EP105" s="294"/>
      <c r="EQ105" s="294">
        <v>-78225.17</v>
      </c>
      <c r="ER105" s="294"/>
      <c r="ES105" s="294"/>
      <c r="ET105" s="294"/>
      <c r="EU105" s="294"/>
      <c r="EV105" s="294"/>
      <c r="EW105" s="294"/>
      <c r="EX105" s="294"/>
      <c r="EY105" s="294">
        <v>-347729.6</v>
      </c>
      <c r="EZ105" s="294"/>
      <c r="FA105" s="294"/>
      <c r="FB105" s="294"/>
      <c r="FC105" s="294"/>
      <c r="FD105" s="294"/>
      <c r="FE105" s="294">
        <v>-300580.67</v>
      </c>
      <c r="FF105" s="294"/>
      <c r="FG105" s="294"/>
      <c r="FH105" s="294">
        <v>-159602.5</v>
      </c>
      <c r="FI105" s="294"/>
      <c r="FJ105" s="294"/>
      <c r="FK105" s="294">
        <v>-63043.55</v>
      </c>
      <c r="FL105" s="294"/>
      <c r="FM105" s="294">
        <v>-136908.38</v>
      </c>
      <c r="FN105" s="294"/>
      <c r="FO105" s="294"/>
      <c r="FP105" s="294"/>
      <c r="FQ105" s="294"/>
      <c r="FR105" s="294"/>
      <c r="FS105" s="294">
        <v>-63795.75</v>
      </c>
      <c r="FT105" s="294"/>
      <c r="FU105" s="294"/>
      <c r="FV105" s="294"/>
      <c r="FW105" s="294"/>
      <c r="FX105" s="294">
        <v>-330500</v>
      </c>
      <c r="FY105" s="294"/>
      <c r="FZ105" s="294"/>
      <c r="GA105" s="294"/>
      <c r="GB105" s="294">
        <v>-21330</v>
      </c>
      <c r="GC105" s="294"/>
      <c r="GD105" s="294"/>
      <c r="GE105" s="294"/>
      <c r="GF105" s="294"/>
      <c r="GG105" s="294">
        <v>-91137.5</v>
      </c>
      <c r="GH105" s="294"/>
      <c r="GI105" s="294"/>
      <c r="GJ105" s="294"/>
      <c r="GK105" s="294">
        <v>-32267</v>
      </c>
      <c r="GL105" s="294"/>
      <c r="GM105" s="294">
        <v>-347975.05</v>
      </c>
      <c r="GN105" s="294"/>
      <c r="GO105" s="294"/>
      <c r="GP105" s="294"/>
      <c r="GQ105" s="294"/>
      <c r="GR105" s="294"/>
      <c r="GS105" s="294">
        <v>-2797076</v>
      </c>
      <c r="GT105" s="294"/>
      <c r="GU105" s="294">
        <v>-18450.46</v>
      </c>
      <c r="GV105" s="294"/>
      <c r="GW105" s="294"/>
      <c r="GX105" s="294"/>
      <c r="GY105" s="294">
        <v>-751514.5</v>
      </c>
      <c r="GZ105" s="294"/>
      <c r="HA105" s="294"/>
      <c r="HB105" s="294">
        <v>-2000000</v>
      </c>
      <c r="HC105" s="294">
        <v>-12752925.550000001</v>
      </c>
      <c r="HD105" s="294">
        <v>-8117</v>
      </c>
      <c r="HE105" s="294"/>
      <c r="HF105" s="294"/>
      <c r="HG105" s="294"/>
      <c r="HH105" s="294"/>
      <c r="HI105" s="294"/>
      <c r="HJ105" s="294"/>
      <c r="HK105" s="294">
        <v>-270600</v>
      </c>
      <c r="HL105" s="294">
        <v>0</v>
      </c>
      <c r="HM105" s="294">
        <v>-80000</v>
      </c>
      <c r="HN105" s="294">
        <v>-16080</v>
      </c>
      <c r="HO105" s="294"/>
      <c r="HP105" s="294"/>
      <c r="HQ105" s="294">
        <v>0</v>
      </c>
      <c r="HR105" s="294"/>
      <c r="HS105" s="294"/>
      <c r="HT105" s="294"/>
      <c r="HU105" s="294"/>
      <c r="HV105" s="294">
        <v>-224558.41</v>
      </c>
      <c r="HW105" s="294">
        <v>-358450</v>
      </c>
      <c r="HX105" s="294">
        <v>-2065358.12</v>
      </c>
      <c r="HY105" s="294"/>
      <c r="HZ105" s="294">
        <v>-449795.05</v>
      </c>
      <c r="IA105" s="294"/>
      <c r="IB105" s="294"/>
      <c r="IC105" s="294">
        <v>-1906530.09</v>
      </c>
      <c r="ID105" s="294">
        <v>-1953109.14</v>
      </c>
      <c r="IE105" s="294">
        <v>-16068</v>
      </c>
      <c r="IF105" s="294"/>
      <c r="IG105" s="294">
        <v>-15895</v>
      </c>
      <c r="IH105" s="294">
        <v>0</v>
      </c>
      <c r="II105" s="294"/>
      <c r="IJ105" s="294">
        <v>-111481.25</v>
      </c>
      <c r="IK105" s="294">
        <v>-80200.5</v>
      </c>
      <c r="IL105" s="294">
        <v>-151554.75</v>
      </c>
      <c r="IM105" s="294"/>
      <c r="IN105" s="294">
        <v>-32656</v>
      </c>
      <c r="IO105" s="294"/>
      <c r="IP105" s="294"/>
      <c r="IQ105" s="294">
        <v>-47871.76</v>
      </c>
      <c r="IR105" s="294"/>
      <c r="IS105" s="294"/>
      <c r="IT105" s="294"/>
      <c r="IU105" s="294"/>
      <c r="IV105" s="294">
        <v>-599754</v>
      </c>
      <c r="IW105" s="294">
        <v>-78007.289999999994</v>
      </c>
      <c r="IX105" s="294"/>
      <c r="IY105" s="294">
        <v>-190100</v>
      </c>
      <c r="IZ105" s="294"/>
      <c r="JA105" s="294"/>
      <c r="JB105" s="294"/>
      <c r="JC105" s="294"/>
      <c r="JD105" s="294"/>
      <c r="JE105" s="294">
        <v>-90</v>
      </c>
      <c r="JF105" s="294"/>
      <c r="JG105" s="294"/>
      <c r="JH105" s="294">
        <v>-1694690.51</v>
      </c>
      <c r="JI105" s="294"/>
      <c r="JJ105" s="294">
        <v>-4750</v>
      </c>
      <c r="JK105" s="294">
        <v>-79780</v>
      </c>
      <c r="JL105" s="294"/>
      <c r="JM105" s="294"/>
      <c r="JN105" s="294">
        <v>-247435</v>
      </c>
      <c r="JO105" s="294"/>
      <c r="JP105" s="294"/>
      <c r="JQ105" s="294"/>
      <c r="JR105" s="294"/>
      <c r="JS105" s="294"/>
      <c r="JT105" s="294"/>
      <c r="JU105" s="294"/>
      <c r="JV105" s="294"/>
      <c r="JW105" s="294"/>
      <c r="JX105" s="294">
        <v>-36013.800000000003</v>
      </c>
      <c r="JY105" s="294"/>
      <c r="JZ105" s="294"/>
      <c r="KA105" s="294"/>
      <c r="KB105" s="294"/>
      <c r="KC105" s="294"/>
      <c r="KD105" s="294"/>
      <c r="KE105" s="294"/>
      <c r="KF105" s="294"/>
      <c r="KG105" s="294"/>
      <c r="KH105" s="294"/>
      <c r="KI105" s="294">
        <v>-26130</v>
      </c>
      <c r="KJ105" s="294"/>
      <c r="KK105" s="294"/>
      <c r="KL105" s="294"/>
      <c r="KM105" s="294"/>
      <c r="KN105" s="294"/>
      <c r="KO105" s="294"/>
      <c r="KP105" s="294"/>
      <c r="KQ105" s="294"/>
      <c r="KR105" s="294"/>
      <c r="KS105" s="294"/>
      <c r="KT105" s="294"/>
      <c r="KU105" s="294">
        <v>-163635</v>
      </c>
      <c r="KV105" s="294">
        <v>-167030</v>
      </c>
      <c r="KW105" s="294"/>
      <c r="KX105" s="294"/>
      <c r="KY105" s="294">
        <v>-1240</v>
      </c>
      <c r="KZ105" s="294"/>
      <c r="LA105" s="294">
        <v>-88140</v>
      </c>
      <c r="LB105" s="294"/>
      <c r="LC105" s="294"/>
      <c r="LD105" s="294"/>
      <c r="LE105" s="294"/>
      <c r="LF105" s="294"/>
      <c r="LG105" s="294">
        <v>-302538</v>
      </c>
      <c r="LH105" s="294"/>
      <c r="LI105" s="294"/>
      <c r="LJ105" s="294"/>
      <c r="LK105" s="294">
        <v>-3370.5</v>
      </c>
      <c r="LL105" s="294"/>
      <c r="LM105" s="294"/>
      <c r="LN105" s="294"/>
      <c r="LO105" s="294"/>
      <c r="LP105" s="294">
        <v>-201301.8</v>
      </c>
      <c r="LQ105" s="294"/>
      <c r="LR105" s="294">
        <v>-1491022.04</v>
      </c>
      <c r="LS105" s="294"/>
      <c r="LT105" s="294"/>
      <c r="LU105" s="294"/>
      <c r="LV105" s="294">
        <v>-10603</v>
      </c>
      <c r="LW105" s="294">
        <v>-3360252.84</v>
      </c>
      <c r="LX105" s="294">
        <v>-2598266.1</v>
      </c>
      <c r="LY105" s="294"/>
      <c r="LZ105" s="294">
        <v>-124511.5</v>
      </c>
      <c r="MA105" s="294"/>
      <c r="MB105" s="294"/>
      <c r="MC105" s="294"/>
      <c r="MD105" s="294">
        <v>-499566</v>
      </c>
      <c r="ME105" s="294"/>
      <c r="MF105" s="294"/>
      <c r="MG105" s="294"/>
      <c r="MH105" s="294"/>
      <c r="MI105" s="294">
        <v>-11556</v>
      </c>
      <c r="MJ105" s="294"/>
      <c r="MK105" s="294"/>
      <c r="ML105" s="294"/>
      <c r="MM105" s="294"/>
      <c r="MN105" s="294"/>
      <c r="MO105" s="294"/>
      <c r="MP105" s="294"/>
      <c r="MQ105" s="294"/>
      <c r="MR105" s="294">
        <v>-14800</v>
      </c>
      <c r="MS105" s="294"/>
      <c r="MT105" s="294"/>
      <c r="MU105" s="294">
        <v>-3156110</v>
      </c>
      <c r="MV105" s="294"/>
      <c r="MW105" s="294"/>
      <c r="MX105" s="294"/>
      <c r="MY105" s="294">
        <v>-107783</v>
      </c>
      <c r="MZ105" s="294"/>
      <c r="NA105" s="294"/>
      <c r="NB105" s="294">
        <v>-124360</v>
      </c>
      <c r="NC105" s="294"/>
      <c r="ND105" s="294"/>
      <c r="NE105" s="294">
        <v>0</v>
      </c>
      <c r="NF105" s="294"/>
      <c r="NG105" s="294">
        <v>-673057</v>
      </c>
      <c r="NH105" s="294">
        <v>-2330</v>
      </c>
      <c r="NI105" s="294">
        <v>-2466659.5</v>
      </c>
      <c r="NJ105" s="294"/>
      <c r="NK105" s="294">
        <v>-60775</v>
      </c>
      <c r="NL105" s="294"/>
      <c r="NM105" s="294">
        <v>-15934</v>
      </c>
      <c r="NN105" s="294"/>
      <c r="NO105" s="294">
        <v>-11649</v>
      </c>
      <c r="NP105" s="294"/>
      <c r="NQ105" s="294"/>
      <c r="NR105" s="294"/>
      <c r="NS105" s="294"/>
      <c r="NT105" s="294"/>
      <c r="NU105" s="294">
        <v>-4750</v>
      </c>
      <c r="NV105" s="294">
        <v>-8000</v>
      </c>
      <c r="NW105" s="294">
        <v>0</v>
      </c>
      <c r="NX105" s="294"/>
      <c r="NY105" s="294">
        <v>-166000</v>
      </c>
      <c r="NZ105" s="294">
        <v>-36758.199999999997</v>
      </c>
      <c r="OA105" s="294"/>
      <c r="OB105" s="294"/>
      <c r="OC105" s="294">
        <v>-30909.5</v>
      </c>
      <c r="OD105" s="294"/>
      <c r="OE105" s="294">
        <v>0</v>
      </c>
      <c r="OF105" s="294"/>
      <c r="OG105" s="294"/>
      <c r="OH105" s="294"/>
      <c r="OI105" s="294">
        <v>-51916</v>
      </c>
      <c r="OJ105" s="294"/>
      <c r="OK105" s="294">
        <v>-761560.95</v>
      </c>
      <c r="OL105" s="294"/>
      <c r="OM105" s="294"/>
      <c r="ON105" s="294"/>
      <c r="OO105" s="294"/>
      <c r="OP105" s="294"/>
      <c r="OQ105" s="294"/>
      <c r="OR105" s="294">
        <v>-267595</v>
      </c>
      <c r="OS105" s="294"/>
      <c r="OT105" s="294"/>
      <c r="OU105" s="294">
        <v>-50750.1</v>
      </c>
      <c r="OV105" s="294"/>
      <c r="OW105" s="294"/>
      <c r="OX105" s="294"/>
      <c r="OY105" s="294"/>
      <c r="OZ105" s="294"/>
      <c r="PA105" s="294"/>
      <c r="PB105" s="294">
        <v>-118386.7</v>
      </c>
      <c r="PC105" s="294"/>
      <c r="PD105" s="294"/>
      <c r="PE105" s="294"/>
      <c r="PF105" s="294"/>
      <c r="PG105" s="294"/>
      <c r="PH105" s="294"/>
      <c r="PI105" s="294"/>
      <c r="PJ105" s="294"/>
      <c r="PK105" s="294"/>
      <c r="PL105" s="294"/>
      <c r="PM105" s="294"/>
      <c r="PN105" s="294"/>
      <c r="PO105" s="294"/>
      <c r="PP105" s="294"/>
      <c r="PQ105" s="294"/>
      <c r="PR105" s="294"/>
      <c r="PS105" s="294"/>
      <c r="PT105" s="294">
        <v>-55000</v>
      </c>
      <c r="PU105" s="294"/>
      <c r="PV105" s="294"/>
      <c r="PW105" s="294"/>
      <c r="PX105" s="294"/>
      <c r="PY105" s="294"/>
      <c r="PZ105" s="294"/>
      <c r="QA105" s="294"/>
      <c r="QB105" s="294"/>
      <c r="QC105" s="294"/>
      <c r="QD105" s="294"/>
      <c r="QE105" s="294"/>
      <c r="QF105" s="294"/>
      <c r="QG105" s="294"/>
      <c r="QH105" s="294"/>
      <c r="QI105" s="294"/>
      <c r="QJ105" s="294"/>
      <c r="QK105" s="294"/>
      <c r="QL105" s="294"/>
      <c r="QM105" s="294"/>
      <c r="QN105" s="294"/>
      <c r="QO105" s="294"/>
      <c r="QP105" s="294"/>
      <c r="QQ105" s="294"/>
      <c r="QR105" s="294"/>
      <c r="QS105" s="294"/>
      <c r="QT105" s="294"/>
      <c r="QU105" s="294">
        <v>-17613</v>
      </c>
      <c r="QV105" s="294"/>
      <c r="QW105" s="294">
        <v>-57538</v>
      </c>
      <c r="QX105" s="294"/>
      <c r="QY105" s="294"/>
      <c r="QZ105" s="294"/>
      <c r="RA105" s="294"/>
      <c r="RB105" s="294"/>
      <c r="RC105" s="294">
        <v>-119187.19</v>
      </c>
      <c r="RD105" s="294"/>
      <c r="RE105" s="294"/>
      <c r="RF105" s="294"/>
      <c r="RG105" s="294"/>
      <c r="RH105" s="294">
        <v>-54057.5</v>
      </c>
      <c r="RI105" s="294">
        <v>-51665.5</v>
      </c>
      <c r="RJ105" s="294">
        <v>-2722481.3</v>
      </c>
      <c r="RK105" s="294">
        <v>-53781.5</v>
      </c>
      <c r="RL105" s="294">
        <v>-71859.75</v>
      </c>
      <c r="RM105" s="294">
        <v>-71526.25</v>
      </c>
      <c r="RN105" s="294">
        <v>-57144.75</v>
      </c>
      <c r="RO105" s="294"/>
      <c r="RP105" s="294">
        <v>-135935.5</v>
      </c>
      <c r="RQ105" s="294"/>
      <c r="RR105" s="294"/>
      <c r="RS105" s="294"/>
      <c r="RT105" s="294">
        <v>-50223.5</v>
      </c>
      <c r="RU105" s="294">
        <v>-14069</v>
      </c>
      <c r="RV105" s="294">
        <v>-26009</v>
      </c>
      <c r="RW105" s="294">
        <v>-428335.77</v>
      </c>
      <c r="RX105" s="294">
        <v>-456676.35</v>
      </c>
      <c r="RY105" s="294">
        <v>-55773.5</v>
      </c>
      <c r="RZ105" s="294">
        <v>-34102.75</v>
      </c>
      <c r="SA105" s="294"/>
      <c r="SB105" s="294"/>
      <c r="SC105" s="294"/>
      <c r="SD105" s="294">
        <v>-36743</v>
      </c>
      <c r="SE105" s="294"/>
      <c r="SF105" s="294"/>
      <c r="SG105" s="294">
        <v>-103695.5</v>
      </c>
      <c r="SH105" s="294"/>
      <c r="SI105" s="294">
        <v>-332468.25</v>
      </c>
      <c r="SJ105" s="294">
        <v>-51159.5</v>
      </c>
      <c r="SK105" s="294">
        <v>-142918.39999999999</v>
      </c>
      <c r="SL105" s="294"/>
      <c r="SM105" s="294">
        <v>-985516.12</v>
      </c>
      <c r="SN105" s="294">
        <v>-264287.8</v>
      </c>
      <c r="SO105" s="294">
        <v>-134012.5</v>
      </c>
      <c r="SP105" s="294">
        <v>-1883811.71</v>
      </c>
      <c r="SQ105" s="294"/>
      <c r="SR105" s="294"/>
      <c r="SS105" s="294">
        <v>-78732.25</v>
      </c>
      <c r="ST105" s="294"/>
      <c r="SU105" s="294">
        <v>-205953</v>
      </c>
      <c r="SV105" s="294">
        <v>-26120</v>
      </c>
      <c r="SW105" s="294"/>
      <c r="SX105" s="294"/>
      <c r="SY105" s="294"/>
      <c r="SZ105" s="294"/>
      <c r="TA105" s="294"/>
      <c r="TB105" s="294">
        <v>-36302</v>
      </c>
      <c r="TC105" s="294"/>
      <c r="TD105" s="294"/>
      <c r="TE105" s="294"/>
      <c r="TF105" s="294"/>
      <c r="TG105" s="294"/>
      <c r="TH105" s="294">
        <v>0</v>
      </c>
      <c r="TI105" s="294"/>
      <c r="TJ105" s="294"/>
      <c r="TK105" s="294">
        <v>-8000</v>
      </c>
      <c r="TL105" s="294"/>
      <c r="TM105" s="294">
        <v>-73969.5</v>
      </c>
      <c r="TN105" s="294">
        <v>-31634.5</v>
      </c>
      <c r="TO105" s="294"/>
      <c r="TP105" s="294">
        <v>-35094.99</v>
      </c>
      <c r="TQ105" s="294"/>
      <c r="TR105" s="294">
        <v>-26599.919999999998</v>
      </c>
      <c r="TS105" s="294"/>
      <c r="TT105" s="294">
        <v>-91696.08</v>
      </c>
      <c r="TU105" s="294">
        <v>-316957.5</v>
      </c>
      <c r="TV105" s="294"/>
      <c r="TW105" s="294">
        <v>-6750</v>
      </c>
      <c r="TX105" s="294">
        <v>-225000</v>
      </c>
      <c r="TY105" s="294">
        <v>-84866</v>
      </c>
      <c r="TZ105" s="294"/>
      <c r="UA105" s="294"/>
      <c r="UB105" s="294">
        <v>-32866</v>
      </c>
      <c r="UC105" s="294">
        <v>-166364.25</v>
      </c>
      <c r="UD105" s="294"/>
      <c r="UE105" s="294">
        <v>-334172</v>
      </c>
      <c r="UF105" s="294"/>
      <c r="UG105" s="294">
        <v>-20460.5</v>
      </c>
      <c r="UH105" s="294">
        <v>-1118065</v>
      </c>
      <c r="UI105" s="294">
        <v>-9390</v>
      </c>
      <c r="UJ105" s="294"/>
      <c r="UK105" s="294">
        <v>-80661.75</v>
      </c>
      <c r="UL105" s="294">
        <v>-106433.75</v>
      </c>
      <c r="UM105" s="294"/>
      <c r="UN105" s="294">
        <v>-50123.5</v>
      </c>
      <c r="UO105" s="294">
        <v>-45239</v>
      </c>
      <c r="UP105" s="294">
        <v>-464921.94</v>
      </c>
      <c r="UQ105" s="294">
        <v>-26200</v>
      </c>
      <c r="UR105" s="294">
        <v>-58618.98</v>
      </c>
      <c r="US105" s="294">
        <v>-75047.17</v>
      </c>
      <c r="UT105" s="294"/>
      <c r="UU105" s="294"/>
      <c r="UV105" s="294"/>
      <c r="UW105" s="294"/>
      <c r="UX105" s="294">
        <v>-11856.75</v>
      </c>
      <c r="UY105" s="294">
        <v>-65445</v>
      </c>
      <c r="UZ105" s="294">
        <v>-66650.350000000006</v>
      </c>
      <c r="VA105" s="294">
        <v>-94439.25</v>
      </c>
      <c r="VB105" s="294">
        <v>-45334.879999999997</v>
      </c>
      <c r="VC105" s="294"/>
      <c r="VD105" s="294">
        <v>-47129.5</v>
      </c>
      <c r="VE105" s="294">
        <v>-30036</v>
      </c>
      <c r="VF105" s="294">
        <v>-2650</v>
      </c>
      <c r="VG105" s="294">
        <v>-6461.69</v>
      </c>
      <c r="VH105" s="294">
        <v>-59708</v>
      </c>
      <c r="VI105" s="294"/>
      <c r="VJ105" s="294"/>
      <c r="VK105" s="294"/>
      <c r="VL105" s="294"/>
      <c r="VM105" s="294">
        <v>-28839.25</v>
      </c>
      <c r="VN105" s="294">
        <v>-510102</v>
      </c>
      <c r="VO105" s="294">
        <v>-167221.84</v>
      </c>
      <c r="VP105" s="294"/>
      <c r="VQ105" s="294"/>
      <c r="VR105" s="294"/>
      <c r="VS105" s="294"/>
      <c r="VT105" s="294">
        <v>-87495</v>
      </c>
      <c r="VU105" s="294"/>
      <c r="VV105" s="294">
        <v>-1030880.76</v>
      </c>
      <c r="VW105" s="294">
        <v>-880414.6</v>
      </c>
      <c r="VX105" s="294">
        <v>-171230.28</v>
      </c>
      <c r="VY105" s="294"/>
      <c r="VZ105" s="294"/>
      <c r="WA105" s="294">
        <v>0</v>
      </c>
      <c r="WB105" s="294"/>
      <c r="WC105" s="294"/>
      <c r="WD105" s="294">
        <v>-249000</v>
      </c>
      <c r="WE105" s="294"/>
      <c r="WF105" s="294"/>
      <c r="WG105" s="294">
        <v>-2300623.5</v>
      </c>
      <c r="WH105" s="294">
        <v>-1274406.68</v>
      </c>
      <c r="WI105" s="294">
        <v>-11436</v>
      </c>
      <c r="WJ105" s="294">
        <v>-297083.17</v>
      </c>
      <c r="WK105" s="294"/>
      <c r="WL105" s="294">
        <v>-12916</v>
      </c>
      <c r="WM105" s="294"/>
      <c r="WN105" s="294"/>
      <c r="WO105" s="294"/>
      <c r="WP105" s="294">
        <v>0</v>
      </c>
      <c r="WQ105" s="294">
        <v>-29538</v>
      </c>
      <c r="WR105" s="294"/>
      <c r="WS105" s="294">
        <v>-14073.75</v>
      </c>
      <c r="WT105" s="294">
        <v>-28900</v>
      </c>
      <c r="WU105" s="294">
        <v>0</v>
      </c>
      <c r="WV105" s="294">
        <v>-264010</v>
      </c>
      <c r="WW105" s="294">
        <v>-36436.480000000003</v>
      </c>
      <c r="WX105" s="294">
        <v>-18910</v>
      </c>
      <c r="WY105" s="294"/>
      <c r="WZ105" s="294"/>
      <c r="XA105" s="294"/>
      <c r="XB105" s="294">
        <v>-380476.51</v>
      </c>
      <c r="XC105" s="294">
        <v>-7613976.5999999996</v>
      </c>
      <c r="XD105" s="294"/>
      <c r="XE105" s="294"/>
      <c r="XF105" s="294"/>
      <c r="XG105" s="294"/>
      <c r="XH105" s="294">
        <v>-55763</v>
      </c>
      <c r="XI105" s="294">
        <v>-25390</v>
      </c>
      <c r="XJ105" s="294">
        <v>-30104</v>
      </c>
      <c r="XK105" s="294">
        <v>-61544</v>
      </c>
      <c r="XL105" s="294"/>
      <c r="XM105" s="294">
        <v>-67103.5</v>
      </c>
      <c r="XN105" s="294">
        <v>-906628</v>
      </c>
      <c r="XO105" s="294">
        <v>-35388.75</v>
      </c>
      <c r="XP105" s="294">
        <v>-1225355</v>
      </c>
      <c r="XQ105" s="294"/>
      <c r="XR105" s="294">
        <v>-59491.75</v>
      </c>
      <c r="XS105" s="294">
        <v>-22026.5</v>
      </c>
      <c r="XT105" s="294">
        <v>-194441</v>
      </c>
      <c r="XU105" s="294">
        <v>-19642</v>
      </c>
      <c r="XV105" s="294">
        <v>-24349</v>
      </c>
      <c r="XW105" s="294">
        <v>-23967.5</v>
      </c>
      <c r="XX105" s="294">
        <v>-37400</v>
      </c>
      <c r="XY105" s="294">
        <v>-106824</v>
      </c>
      <c r="XZ105" s="294">
        <v>-175365.77</v>
      </c>
      <c r="YA105" s="294">
        <v>-13525.5</v>
      </c>
      <c r="YB105" s="294">
        <v>-18190</v>
      </c>
      <c r="YC105" s="294">
        <v>-121400</v>
      </c>
      <c r="YD105" s="294">
        <v>-90365.56</v>
      </c>
      <c r="YE105" s="294"/>
      <c r="YF105" s="294"/>
      <c r="YG105" s="294">
        <v>-452557</v>
      </c>
      <c r="YH105" s="294">
        <v>-654900</v>
      </c>
      <c r="YI105" s="294"/>
      <c r="YJ105" s="294"/>
      <c r="YK105" s="294">
        <v>-283663.89</v>
      </c>
      <c r="YL105" s="294"/>
      <c r="YM105" s="294"/>
      <c r="YN105" s="294"/>
      <c r="YO105" s="294"/>
      <c r="YP105" s="294"/>
      <c r="YQ105" s="294"/>
      <c r="YR105" s="294"/>
      <c r="YS105" s="294"/>
      <c r="YT105" s="294">
        <v>-173905</v>
      </c>
      <c r="YU105" s="294">
        <v>-7331</v>
      </c>
      <c r="YV105" s="294">
        <v>-2624023.06</v>
      </c>
      <c r="YW105" s="294"/>
      <c r="YX105" s="294"/>
      <c r="YY105" s="294"/>
      <c r="YZ105" s="294"/>
      <c r="ZA105" s="294"/>
      <c r="ZB105" s="294"/>
      <c r="ZC105" s="294">
        <v>0</v>
      </c>
      <c r="ZD105" s="294"/>
      <c r="ZE105" s="294">
        <v>-572791</v>
      </c>
      <c r="ZF105" s="294"/>
      <c r="ZG105" s="294"/>
      <c r="ZH105" s="294">
        <v>-327996.65000000002</v>
      </c>
      <c r="ZI105" s="294"/>
      <c r="ZJ105" s="294">
        <v>-53000</v>
      </c>
      <c r="ZK105" s="294"/>
      <c r="ZL105" s="294">
        <v>0</v>
      </c>
      <c r="ZM105" s="294"/>
      <c r="ZN105" s="294"/>
      <c r="ZO105" s="294"/>
      <c r="ZP105" s="294"/>
      <c r="ZQ105" s="294"/>
      <c r="ZR105" s="294">
        <v>-23300</v>
      </c>
      <c r="ZS105" s="294"/>
      <c r="ZT105" s="294">
        <v>-84200</v>
      </c>
      <c r="ZU105" s="294"/>
      <c r="ZV105" s="294"/>
      <c r="ZW105" s="294"/>
      <c r="ZX105" s="294">
        <v>-300177.34000000003</v>
      </c>
      <c r="ZY105" s="294">
        <v>-94900</v>
      </c>
      <c r="ZZ105" s="294"/>
      <c r="AAA105" s="294">
        <v>-306260.64</v>
      </c>
      <c r="AAB105" s="294">
        <v>-279468</v>
      </c>
      <c r="AAC105" s="294"/>
      <c r="AAD105" s="294"/>
      <c r="AAE105" s="294">
        <v>-190172</v>
      </c>
      <c r="AAF105" s="294">
        <v>-426986</v>
      </c>
      <c r="AAG105" s="294">
        <v>-658940</v>
      </c>
      <c r="AAH105" s="294">
        <v>-600</v>
      </c>
      <c r="AAI105" s="294">
        <v>-54899.66</v>
      </c>
      <c r="AAJ105" s="294">
        <v>-584699.31000000006</v>
      </c>
      <c r="AAK105" s="294"/>
      <c r="AAL105" s="294">
        <v>-681795.09</v>
      </c>
      <c r="AAM105" s="294"/>
      <c r="AAN105" s="294"/>
      <c r="AAO105" s="294"/>
      <c r="AAP105" s="294"/>
      <c r="AAQ105" s="294"/>
      <c r="AAR105" s="294"/>
      <c r="AAS105" s="294"/>
      <c r="AAT105" s="294"/>
      <c r="AAU105" s="294">
        <v>-276860</v>
      </c>
      <c r="AAV105" s="294"/>
      <c r="AAW105" s="294"/>
      <c r="AAX105" s="294"/>
      <c r="AAY105" s="294">
        <v>-32330</v>
      </c>
      <c r="AAZ105" s="294"/>
      <c r="ABA105" s="294"/>
      <c r="ABB105" s="294"/>
      <c r="ABC105" s="294">
        <v>0</v>
      </c>
      <c r="ABD105" s="294"/>
      <c r="ABE105" s="294"/>
      <c r="ABF105" s="294"/>
      <c r="ABG105" s="294">
        <v>-509780</v>
      </c>
      <c r="ABH105" s="294"/>
      <c r="ABI105" s="294">
        <v>-1142030</v>
      </c>
      <c r="ABJ105" s="294"/>
      <c r="ABK105" s="294">
        <v>0</v>
      </c>
      <c r="ABL105" s="294"/>
      <c r="ABM105" s="294">
        <v>-99000</v>
      </c>
      <c r="ABN105" s="294"/>
      <c r="ABO105" s="294">
        <v>-6529085.3099999996</v>
      </c>
      <c r="ABP105" s="294">
        <v>-82058</v>
      </c>
      <c r="ABQ105" s="294"/>
      <c r="ABR105" s="294">
        <v>-27986</v>
      </c>
      <c r="ABS105" s="294">
        <v>-25437</v>
      </c>
      <c r="ABT105" s="294">
        <v>-126120</v>
      </c>
      <c r="ABU105" s="294"/>
      <c r="ABV105" s="294">
        <v>-148621.5</v>
      </c>
      <c r="ABW105" s="294">
        <v>-15177.55</v>
      </c>
      <c r="ABX105" s="294">
        <v>-95750</v>
      </c>
      <c r="ABY105" s="294"/>
      <c r="ABZ105" s="294">
        <v>0</v>
      </c>
      <c r="ACA105" s="294"/>
      <c r="ACB105" s="294"/>
      <c r="ACC105" s="294"/>
      <c r="ACD105" s="294"/>
      <c r="ACE105" s="294"/>
      <c r="ACF105" s="294"/>
      <c r="ACG105" s="294">
        <v>-600</v>
      </c>
      <c r="ACH105" s="294"/>
      <c r="ACI105" s="294">
        <v>-621821</v>
      </c>
      <c r="ACJ105" s="294"/>
      <c r="ACK105" s="294"/>
      <c r="ACL105" s="294"/>
      <c r="ACM105" s="294"/>
      <c r="ACN105" s="294"/>
      <c r="ACO105" s="294"/>
      <c r="ACP105" s="294"/>
      <c r="ACQ105" s="294"/>
      <c r="ACR105" s="294"/>
      <c r="ACS105" s="294">
        <v>-2929.81</v>
      </c>
      <c r="ACT105" s="294"/>
      <c r="ACU105" s="294"/>
      <c r="ACV105" s="294"/>
      <c r="ACW105" s="294"/>
      <c r="ACX105" s="294"/>
      <c r="ACY105" s="294"/>
      <c r="ACZ105" s="294"/>
      <c r="ADA105" s="294"/>
      <c r="ADB105" s="294"/>
      <c r="ADC105" s="294"/>
      <c r="ADD105" s="294"/>
      <c r="ADE105" s="294"/>
      <c r="ADF105" s="294"/>
      <c r="ADG105" s="294">
        <v>0</v>
      </c>
      <c r="ADH105" s="294"/>
      <c r="ADI105" s="294">
        <v>0</v>
      </c>
      <c r="ADJ105" s="294"/>
      <c r="ADK105" s="294">
        <v>-2000</v>
      </c>
      <c r="ADL105" s="294"/>
      <c r="ADM105" s="294"/>
      <c r="ADN105" s="294"/>
      <c r="ADO105" s="294"/>
      <c r="ADP105" s="294"/>
      <c r="ADQ105" s="294"/>
      <c r="ADR105" s="294">
        <v>-14400</v>
      </c>
      <c r="ADS105" s="294"/>
      <c r="ADT105" s="294"/>
      <c r="ADU105" s="294"/>
      <c r="ADV105" s="294"/>
      <c r="ADW105" s="294">
        <v>-5500</v>
      </c>
      <c r="ADX105" s="294"/>
      <c r="ADY105" s="294"/>
      <c r="ADZ105" s="294">
        <v>-19252</v>
      </c>
      <c r="AEA105" s="294"/>
      <c r="AEB105" s="294">
        <v>-416379.05</v>
      </c>
      <c r="AEC105" s="294"/>
      <c r="AED105" s="294"/>
      <c r="AEE105" s="294">
        <v>-958313.57</v>
      </c>
      <c r="AEF105" s="294"/>
      <c r="AEG105" s="294">
        <v>-404000</v>
      </c>
      <c r="AEH105" s="294"/>
      <c r="AEI105" s="294">
        <v>-5000</v>
      </c>
      <c r="AEJ105" s="294"/>
      <c r="AEK105" s="294"/>
      <c r="AEL105" s="294">
        <v>-365809.91999999998</v>
      </c>
      <c r="AEM105" s="294"/>
      <c r="AEN105" s="294"/>
      <c r="AEO105" s="294"/>
      <c r="AEP105" s="294"/>
      <c r="AEQ105" s="294"/>
      <c r="AER105" s="294">
        <v>-26200</v>
      </c>
      <c r="AES105" s="294">
        <v>-316551.61</v>
      </c>
      <c r="AET105" s="294"/>
      <c r="AEU105" s="294"/>
      <c r="AEV105" s="294"/>
      <c r="AEW105" s="294"/>
      <c r="AEX105" s="294"/>
      <c r="AEY105" s="294"/>
      <c r="AEZ105" s="294"/>
      <c r="AFA105" s="294">
        <v>-586569.24</v>
      </c>
      <c r="AFB105" s="294">
        <v>-1250825</v>
      </c>
      <c r="AFC105" s="294">
        <v>-408403</v>
      </c>
      <c r="AFD105" s="294">
        <v>-419846.2</v>
      </c>
      <c r="AFE105" s="294"/>
      <c r="AFF105" s="294"/>
      <c r="AFG105" s="294">
        <v>0</v>
      </c>
      <c r="AFH105" s="294">
        <v>-455040.79</v>
      </c>
      <c r="AFI105" s="294">
        <v>-641228</v>
      </c>
      <c r="AFJ105" s="294">
        <v>-463812</v>
      </c>
      <c r="AFK105" s="294"/>
      <c r="AFL105" s="294">
        <v>0</v>
      </c>
      <c r="AFM105" s="294"/>
      <c r="AFN105" s="294">
        <v>-49483.35</v>
      </c>
      <c r="AFO105" s="294"/>
      <c r="AFP105" s="294">
        <v>-104424</v>
      </c>
      <c r="AFQ105" s="294">
        <v>-118099</v>
      </c>
      <c r="AFR105" s="294">
        <v>-947933</v>
      </c>
      <c r="AFS105" s="294">
        <v>-687836.51</v>
      </c>
      <c r="AFT105" s="294">
        <v>-50592</v>
      </c>
      <c r="AFU105" s="294">
        <v>-446751.99</v>
      </c>
      <c r="AFV105" s="294"/>
      <c r="AFW105" s="294">
        <v>-394697</v>
      </c>
      <c r="AFX105" s="294">
        <v>-9953.0300000000007</v>
      </c>
      <c r="AFY105" s="294">
        <v>-8930</v>
      </c>
      <c r="AFZ105" s="294"/>
      <c r="AGA105" s="294">
        <v>-120641.18</v>
      </c>
      <c r="AGB105" s="294"/>
      <c r="AGC105" s="294"/>
      <c r="AGD105" s="294"/>
      <c r="AGE105" s="294"/>
      <c r="AGF105" s="294"/>
      <c r="AGG105" s="294"/>
      <c r="AGH105" s="294"/>
      <c r="AGI105" s="294"/>
      <c r="AGJ105" s="294"/>
      <c r="AGK105" s="294">
        <v>-52360</v>
      </c>
      <c r="AGL105" s="294"/>
      <c r="AGM105" s="294">
        <v>-446167.96</v>
      </c>
      <c r="AGN105" s="294"/>
      <c r="AGO105" s="294"/>
      <c r="AGP105" s="294">
        <v>-30</v>
      </c>
      <c r="AGQ105" s="294"/>
      <c r="AGR105" s="294"/>
      <c r="AGS105" s="294"/>
      <c r="AGT105" s="294">
        <v>-46956</v>
      </c>
      <c r="AGU105" s="294">
        <v>-370260</v>
      </c>
      <c r="AGV105" s="294"/>
      <c r="AGW105" s="294"/>
      <c r="AGX105" s="294">
        <v>0</v>
      </c>
      <c r="AGY105" s="294"/>
      <c r="AGZ105" s="294"/>
      <c r="AHA105" s="294"/>
      <c r="AHB105" s="294"/>
      <c r="AHC105" s="294">
        <v>-19765</v>
      </c>
      <c r="AHD105" s="294"/>
      <c r="AHE105" s="294"/>
      <c r="AHF105" s="294">
        <v>-11667.4</v>
      </c>
      <c r="AHG105" s="294"/>
      <c r="AHH105" s="294"/>
      <c r="AHI105" s="294"/>
      <c r="AHJ105" s="294"/>
      <c r="AHK105" s="294">
        <v>-42600</v>
      </c>
      <c r="AHL105" s="294">
        <v>-397130</v>
      </c>
      <c r="AHM105" s="294"/>
      <c r="AHN105" s="294"/>
      <c r="AHO105" s="294"/>
      <c r="AHP105" s="294"/>
      <c r="AHQ105" s="294"/>
      <c r="AHR105" s="331"/>
      <c r="AHS105" s="294">
        <f t="shared" si="51"/>
        <v>-127672809.91</v>
      </c>
      <c r="AHT105" s="269" t="b">
        <f t="shared" si="52"/>
        <v>1</v>
      </c>
      <c r="AHU105" s="269" t="s">
        <v>6278</v>
      </c>
      <c r="AHV105" s="269" t="s">
        <v>6153</v>
      </c>
      <c r="AHW105" s="269" t="s">
        <v>6154</v>
      </c>
    </row>
    <row r="106" spans="1:907" ht="24.6" x14ac:dyDescent="0.7">
      <c r="A106" s="268" t="s">
        <v>6278</v>
      </c>
      <c r="B106" s="268" t="s">
        <v>6155</v>
      </c>
      <c r="C106" s="269" t="s">
        <v>6156</v>
      </c>
      <c r="D106" s="294">
        <v>-364209</v>
      </c>
      <c r="E106" s="294">
        <v>-299298</v>
      </c>
      <c r="F106" s="294">
        <v>-384</v>
      </c>
      <c r="G106" s="294">
        <v>-168950</v>
      </c>
      <c r="H106" s="294"/>
      <c r="I106" s="294">
        <v>-190710</v>
      </c>
      <c r="J106" s="294"/>
      <c r="K106" s="294"/>
      <c r="L106" s="294">
        <v>-752</v>
      </c>
      <c r="M106" s="294"/>
      <c r="N106" s="294">
        <v>-13472.9</v>
      </c>
      <c r="O106" s="294">
        <v>-223202</v>
      </c>
      <c r="P106" s="294">
        <v>-539722</v>
      </c>
      <c r="Q106" s="294"/>
      <c r="R106" s="294"/>
      <c r="S106" s="294"/>
      <c r="T106" s="294"/>
      <c r="U106" s="294"/>
      <c r="V106" s="294">
        <v>-9514595.5</v>
      </c>
      <c r="W106" s="294">
        <v>-151760</v>
      </c>
      <c r="X106" s="294"/>
      <c r="Y106" s="294"/>
      <c r="Z106" s="294"/>
      <c r="AA106" s="294">
        <v>-218800</v>
      </c>
      <c r="AB106" s="294"/>
      <c r="AC106" s="294">
        <v>-85100</v>
      </c>
      <c r="AD106" s="294">
        <v>-2459099.04</v>
      </c>
      <c r="AE106" s="294"/>
      <c r="AF106" s="294">
        <v>-1641372.8</v>
      </c>
      <c r="AG106" s="294">
        <v>-912103</v>
      </c>
      <c r="AH106" s="294">
        <v>-11250654.66</v>
      </c>
      <c r="AI106" s="294"/>
      <c r="AJ106" s="294">
        <v>-48285</v>
      </c>
      <c r="AK106" s="294">
        <v>-165170</v>
      </c>
      <c r="AL106" s="294">
        <v>-378434</v>
      </c>
      <c r="AM106" s="294"/>
      <c r="AN106" s="294">
        <v>-6780</v>
      </c>
      <c r="AO106" s="294">
        <v>-16086</v>
      </c>
      <c r="AP106" s="294">
        <v>-743051.8</v>
      </c>
      <c r="AQ106" s="294">
        <v>-434041.32</v>
      </c>
      <c r="AR106" s="294">
        <v>0</v>
      </c>
      <c r="AS106" s="294">
        <v>-243528</v>
      </c>
      <c r="AT106" s="294">
        <v>-318848</v>
      </c>
      <c r="AU106" s="294"/>
      <c r="AV106" s="294"/>
      <c r="AW106" s="294"/>
      <c r="AX106" s="294">
        <v>-1089409</v>
      </c>
      <c r="AY106" s="294"/>
      <c r="AZ106" s="294">
        <v>-114350</v>
      </c>
      <c r="BA106" s="294"/>
      <c r="BB106" s="294"/>
      <c r="BC106" s="294"/>
      <c r="BD106" s="294"/>
      <c r="BE106" s="294">
        <v>-59460</v>
      </c>
      <c r="BF106" s="294"/>
      <c r="BG106" s="294"/>
      <c r="BH106" s="294">
        <v>-1221646.78</v>
      </c>
      <c r="BI106" s="294">
        <v>-2306410.5</v>
      </c>
      <c r="BJ106" s="294">
        <v>-3531178.81</v>
      </c>
      <c r="BK106" s="294"/>
      <c r="BL106" s="294"/>
      <c r="BM106" s="294"/>
      <c r="BN106" s="294">
        <v>-2000</v>
      </c>
      <c r="BO106" s="294">
        <v>-73922</v>
      </c>
      <c r="BP106" s="294">
        <v>-595264.5</v>
      </c>
      <c r="BQ106" s="294"/>
      <c r="BR106" s="294"/>
      <c r="BS106" s="294">
        <v>-422187.5</v>
      </c>
      <c r="BT106" s="294">
        <v>-717987.5</v>
      </c>
      <c r="BU106" s="294">
        <v>-2804293.68</v>
      </c>
      <c r="BV106" s="294">
        <v>-964270</v>
      </c>
      <c r="BW106" s="294">
        <v>-1303192</v>
      </c>
      <c r="BX106" s="294">
        <v>-303620</v>
      </c>
      <c r="BY106" s="294">
        <v>-1138350</v>
      </c>
      <c r="BZ106" s="294">
        <v>-933168.06</v>
      </c>
      <c r="CA106" s="294"/>
      <c r="CB106" s="294"/>
      <c r="CC106" s="294">
        <v>-73110</v>
      </c>
      <c r="CD106" s="294"/>
      <c r="CE106" s="294">
        <v>-19431.2</v>
      </c>
      <c r="CF106" s="294">
        <v>0</v>
      </c>
      <c r="CG106" s="294">
        <v>-1498835.28</v>
      </c>
      <c r="CH106" s="294">
        <v>-57440</v>
      </c>
      <c r="CI106" s="294">
        <v>-247695</v>
      </c>
      <c r="CJ106" s="294">
        <v>-192470</v>
      </c>
      <c r="CK106" s="294">
        <v>-193762.22</v>
      </c>
      <c r="CL106" s="294">
        <v>-13770</v>
      </c>
      <c r="CM106" s="294">
        <v>-210780</v>
      </c>
      <c r="CN106" s="294">
        <v>-160577</v>
      </c>
      <c r="CO106" s="294">
        <v>-11656</v>
      </c>
      <c r="CP106" s="294">
        <v>-89420</v>
      </c>
      <c r="CQ106" s="294">
        <v>-64684</v>
      </c>
      <c r="CR106" s="294">
        <v>-93234</v>
      </c>
      <c r="CS106" s="294">
        <v>-45461</v>
      </c>
      <c r="CT106" s="294"/>
      <c r="CU106" s="294"/>
      <c r="CV106" s="294"/>
      <c r="CW106" s="294">
        <v>0</v>
      </c>
      <c r="CX106" s="294">
        <v>-410</v>
      </c>
      <c r="CY106" s="294">
        <v>-44300</v>
      </c>
      <c r="CZ106" s="294">
        <v>-375261</v>
      </c>
      <c r="DA106" s="294"/>
      <c r="DB106" s="294"/>
      <c r="DC106" s="294">
        <v>-14248104.32</v>
      </c>
      <c r="DD106" s="294">
        <v>0</v>
      </c>
      <c r="DE106" s="294"/>
      <c r="DF106" s="294">
        <v>-64017</v>
      </c>
      <c r="DG106" s="294"/>
      <c r="DH106" s="294">
        <v>-269340</v>
      </c>
      <c r="DI106" s="294"/>
      <c r="DJ106" s="294">
        <v>-1409097.5</v>
      </c>
      <c r="DK106" s="294"/>
      <c r="DL106" s="294">
        <v>-2603500</v>
      </c>
      <c r="DM106" s="294">
        <v>-389728</v>
      </c>
      <c r="DN106" s="294"/>
      <c r="DO106" s="294">
        <v>-3197350</v>
      </c>
      <c r="DP106" s="294"/>
      <c r="DQ106" s="294">
        <v>-2708869.67</v>
      </c>
      <c r="DR106" s="294">
        <v>-202519</v>
      </c>
      <c r="DS106" s="294">
        <v>-2885820</v>
      </c>
      <c r="DT106" s="294"/>
      <c r="DU106" s="294"/>
      <c r="DV106" s="294">
        <v>-5157974.5</v>
      </c>
      <c r="DW106" s="294"/>
      <c r="DX106" s="294"/>
      <c r="DY106" s="294">
        <v>-125468.08</v>
      </c>
      <c r="DZ106" s="294"/>
      <c r="EA106" s="294">
        <v>-1222825</v>
      </c>
      <c r="EB106" s="294">
        <v>-955020</v>
      </c>
      <c r="EC106" s="294">
        <v>-1206000</v>
      </c>
      <c r="ED106" s="294">
        <v>-1151625</v>
      </c>
      <c r="EE106" s="294">
        <v>-2068594.35</v>
      </c>
      <c r="EF106" s="294">
        <v>-109936</v>
      </c>
      <c r="EG106" s="294"/>
      <c r="EH106" s="294"/>
      <c r="EI106" s="294">
        <v>-301612.37</v>
      </c>
      <c r="EJ106" s="294"/>
      <c r="EK106" s="294"/>
      <c r="EL106" s="294"/>
      <c r="EM106" s="294"/>
      <c r="EN106" s="294">
        <v>-288847.01</v>
      </c>
      <c r="EO106" s="294"/>
      <c r="EP106" s="294">
        <v>0</v>
      </c>
      <c r="EQ106" s="294"/>
      <c r="ER106" s="294"/>
      <c r="ES106" s="294"/>
      <c r="ET106" s="294">
        <v>-563565</v>
      </c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>
        <v>-1227592</v>
      </c>
      <c r="FE106" s="294">
        <v>-221134</v>
      </c>
      <c r="FF106" s="294">
        <v>-686672.46</v>
      </c>
      <c r="FG106" s="294">
        <v>-13806.5</v>
      </c>
      <c r="FH106" s="294"/>
      <c r="FI106" s="294">
        <v>0</v>
      </c>
      <c r="FJ106" s="294">
        <v>-258707.5</v>
      </c>
      <c r="FK106" s="294"/>
      <c r="FL106" s="294">
        <v>-237343.5</v>
      </c>
      <c r="FM106" s="294"/>
      <c r="FN106" s="294">
        <v>-57250</v>
      </c>
      <c r="FO106" s="294"/>
      <c r="FP106" s="294">
        <v>0</v>
      </c>
      <c r="FQ106" s="294"/>
      <c r="FR106" s="294">
        <v>-1226125</v>
      </c>
      <c r="FS106" s="294">
        <v>-3846946.62</v>
      </c>
      <c r="FT106" s="294">
        <v>-2923482</v>
      </c>
      <c r="FU106" s="294">
        <v>-1592000</v>
      </c>
      <c r="FV106" s="294">
        <v>-25580.799999999999</v>
      </c>
      <c r="FW106" s="294">
        <v>-5722062.5</v>
      </c>
      <c r="FX106" s="294">
        <v>-3780687.5</v>
      </c>
      <c r="FY106" s="294">
        <v>-5616250</v>
      </c>
      <c r="FZ106" s="294">
        <v>-10000</v>
      </c>
      <c r="GA106" s="294">
        <v>-4701070</v>
      </c>
      <c r="GB106" s="294">
        <v>-1948069.44</v>
      </c>
      <c r="GC106" s="294">
        <v>-10000</v>
      </c>
      <c r="GD106" s="294">
        <v>-886875</v>
      </c>
      <c r="GE106" s="294">
        <v>-104944</v>
      </c>
      <c r="GF106" s="294">
        <v>-113500</v>
      </c>
      <c r="GG106" s="294">
        <v>0</v>
      </c>
      <c r="GH106" s="294"/>
      <c r="GI106" s="294"/>
      <c r="GJ106" s="294"/>
      <c r="GK106" s="294"/>
      <c r="GL106" s="294">
        <v>-401500</v>
      </c>
      <c r="GM106" s="294">
        <v>-24624</v>
      </c>
      <c r="GN106" s="294">
        <v>-1928540</v>
      </c>
      <c r="GO106" s="294">
        <v>-2013492.5</v>
      </c>
      <c r="GP106" s="294">
        <v>-1127375</v>
      </c>
      <c r="GQ106" s="294"/>
      <c r="GR106" s="294">
        <v>0</v>
      </c>
      <c r="GS106" s="294"/>
      <c r="GT106" s="294">
        <v>-6897642.3399999999</v>
      </c>
      <c r="GU106" s="294">
        <v>-1147620</v>
      </c>
      <c r="GV106" s="294">
        <v>-4558562</v>
      </c>
      <c r="GW106" s="294">
        <v>-2253972</v>
      </c>
      <c r="GX106" s="294">
        <v>-3456527</v>
      </c>
      <c r="GY106" s="294"/>
      <c r="GZ106" s="294"/>
      <c r="HA106" s="294">
        <v>-18690</v>
      </c>
      <c r="HB106" s="294"/>
      <c r="HC106" s="294"/>
      <c r="HD106" s="294">
        <v>-528742.5</v>
      </c>
      <c r="HE106" s="294">
        <v>-915500</v>
      </c>
      <c r="HF106" s="294"/>
      <c r="HG106" s="294"/>
      <c r="HH106" s="294"/>
      <c r="HI106" s="294">
        <v>0</v>
      </c>
      <c r="HJ106" s="294"/>
      <c r="HK106" s="294"/>
      <c r="HL106" s="294">
        <v>-26213</v>
      </c>
      <c r="HM106" s="294"/>
      <c r="HN106" s="294">
        <v>-201000</v>
      </c>
      <c r="HO106" s="294"/>
      <c r="HP106" s="294">
        <v>-270703.52</v>
      </c>
      <c r="HQ106" s="294"/>
      <c r="HR106" s="294"/>
      <c r="HS106" s="294"/>
      <c r="HT106" s="294"/>
      <c r="HU106" s="294"/>
      <c r="HV106" s="294"/>
      <c r="HW106" s="294"/>
      <c r="HX106" s="294"/>
      <c r="HY106" s="294">
        <v>-24554</v>
      </c>
      <c r="HZ106" s="294">
        <v>-24</v>
      </c>
      <c r="IA106" s="294"/>
      <c r="IB106" s="294"/>
      <c r="IC106" s="294"/>
      <c r="ID106" s="294"/>
      <c r="IE106" s="294"/>
      <c r="IF106" s="294">
        <v>0</v>
      </c>
      <c r="IG106" s="294"/>
      <c r="IH106" s="294"/>
      <c r="II106" s="294"/>
      <c r="IJ106" s="294">
        <v>0</v>
      </c>
      <c r="IK106" s="294"/>
      <c r="IL106" s="294">
        <v>-45600</v>
      </c>
      <c r="IM106" s="294"/>
      <c r="IN106" s="294">
        <v>-639360</v>
      </c>
      <c r="IO106" s="294"/>
      <c r="IP106" s="294">
        <v>0</v>
      </c>
      <c r="IQ106" s="294">
        <v>-355149.72</v>
      </c>
      <c r="IR106" s="294"/>
      <c r="IS106" s="294"/>
      <c r="IT106" s="294">
        <v>0</v>
      </c>
      <c r="IU106" s="294"/>
      <c r="IV106" s="294"/>
      <c r="IW106" s="294"/>
      <c r="IX106" s="294"/>
      <c r="IY106" s="294"/>
      <c r="IZ106" s="294"/>
      <c r="JA106" s="294"/>
      <c r="JB106" s="294"/>
      <c r="JC106" s="294"/>
      <c r="JD106" s="294"/>
      <c r="JE106" s="294"/>
      <c r="JF106" s="294">
        <v>-218499</v>
      </c>
      <c r="JG106" s="294">
        <v>-599778.86</v>
      </c>
      <c r="JH106" s="294"/>
      <c r="JI106" s="294"/>
      <c r="JJ106" s="294"/>
      <c r="JK106" s="294">
        <v>-184367.5</v>
      </c>
      <c r="JL106" s="294">
        <v>-1532021</v>
      </c>
      <c r="JM106" s="294"/>
      <c r="JN106" s="294">
        <v>-1061832.33</v>
      </c>
      <c r="JO106" s="294">
        <v>-1503094.4</v>
      </c>
      <c r="JP106" s="294"/>
      <c r="JQ106" s="294"/>
      <c r="JR106" s="294">
        <v>-683158.66</v>
      </c>
      <c r="JS106" s="294"/>
      <c r="JT106" s="294"/>
      <c r="JU106" s="294"/>
      <c r="JV106" s="294"/>
      <c r="JW106" s="294"/>
      <c r="JX106" s="294"/>
      <c r="JY106" s="294"/>
      <c r="JZ106" s="294"/>
      <c r="KA106" s="294"/>
      <c r="KB106" s="294"/>
      <c r="KC106" s="294"/>
      <c r="KD106" s="294"/>
      <c r="KE106" s="294">
        <v>-35600</v>
      </c>
      <c r="KF106" s="294"/>
      <c r="KG106" s="294"/>
      <c r="KH106" s="294"/>
      <c r="KI106" s="294">
        <v>1523466.75</v>
      </c>
      <c r="KJ106" s="294"/>
      <c r="KK106" s="294"/>
      <c r="KL106" s="294">
        <v>-173700</v>
      </c>
      <c r="KM106" s="294">
        <v>0</v>
      </c>
      <c r="KN106" s="294">
        <v>0</v>
      </c>
      <c r="KO106" s="294"/>
      <c r="KP106" s="294">
        <v>0</v>
      </c>
      <c r="KQ106" s="294"/>
      <c r="KR106" s="294">
        <v>0</v>
      </c>
      <c r="KS106" s="294"/>
      <c r="KT106" s="294"/>
      <c r="KU106" s="294"/>
      <c r="KV106" s="294">
        <v>-110580</v>
      </c>
      <c r="KW106" s="294"/>
      <c r="KX106" s="294"/>
      <c r="KY106" s="294">
        <v>-375094</v>
      </c>
      <c r="KZ106" s="294"/>
      <c r="LA106" s="294"/>
      <c r="LB106" s="294"/>
      <c r="LC106" s="294">
        <v>-6085547.5</v>
      </c>
      <c r="LD106" s="294"/>
      <c r="LE106" s="294">
        <v>-2590412.5</v>
      </c>
      <c r="LF106" s="294"/>
      <c r="LG106" s="294"/>
      <c r="LH106" s="294"/>
      <c r="LI106" s="294"/>
      <c r="LJ106" s="294"/>
      <c r="LK106" s="294">
        <v>-77750</v>
      </c>
      <c r="LL106" s="294"/>
      <c r="LM106" s="294"/>
      <c r="LN106" s="294"/>
      <c r="LO106" s="294"/>
      <c r="LP106" s="294"/>
      <c r="LQ106" s="294"/>
      <c r="LR106" s="294">
        <v>-48740</v>
      </c>
      <c r="LS106" s="294"/>
      <c r="LT106" s="294">
        <v>-271430</v>
      </c>
      <c r="LU106" s="294"/>
      <c r="LV106" s="294"/>
      <c r="LW106" s="294">
        <v>-484250.16</v>
      </c>
      <c r="LX106" s="294">
        <v>-4000</v>
      </c>
      <c r="LY106" s="294"/>
      <c r="LZ106" s="294"/>
      <c r="MA106" s="294"/>
      <c r="MB106" s="294"/>
      <c r="MC106" s="294"/>
      <c r="MD106" s="294"/>
      <c r="ME106" s="294"/>
      <c r="MF106" s="294"/>
      <c r="MG106" s="294">
        <v>-193070</v>
      </c>
      <c r="MH106" s="294"/>
      <c r="MI106" s="294"/>
      <c r="MJ106" s="294"/>
      <c r="MK106" s="294"/>
      <c r="ML106" s="294"/>
      <c r="MM106" s="294">
        <v>-28580</v>
      </c>
      <c r="MN106" s="294"/>
      <c r="MO106" s="294">
        <v>-32304</v>
      </c>
      <c r="MP106" s="294">
        <v>-341448</v>
      </c>
      <c r="MQ106" s="294">
        <v>-45000</v>
      </c>
      <c r="MR106" s="294"/>
      <c r="MS106" s="294"/>
      <c r="MT106" s="294"/>
      <c r="MU106" s="294">
        <v>-215250</v>
      </c>
      <c r="MV106" s="294"/>
      <c r="MW106" s="294">
        <v>-4359.93</v>
      </c>
      <c r="MX106" s="294"/>
      <c r="MY106" s="294"/>
      <c r="MZ106" s="294"/>
      <c r="NA106" s="294">
        <v>-186119.04000000001</v>
      </c>
      <c r="NB106" s="294">
        <v>-18000</v>
      </c>
      <c r="NC106" s="294"/>
      <c r="ND106" s="294">
        <v>-5463270</v>
      </c>
      <c r="NE106" s="294"/>
      <c r="NF106" s="294"/>
      <c r="NG106" s="294"/>
      <c r="NH106" s="294">
        <v>-284960</v>
      </c>
      <c r="NI106" s="294"/>
      <c r="NJ106" s="294">
        <v>-2472510</v>
      </c>
      <c r="NK106" s="294">
        <v>-263445</v>
      </c>
      <c r="NL106" s="294"/>
      <c r="NM106" s="294">
        <v>-2372407.67</v>
      </c>
      <c r="NN106" s="294">
        <v>-91287.83</v>
      </c>
      <c r="NO106" s="294"/>
      <c r="NP106" s="294">
        <v>0</v>
      </c>
      <c r="NQ106" s="294"/>
      <c r="NR106" s="294">
        <v>-732319.2</v>
      </c>
      <c r="NS106" s="294"/>
      <c r="NT106" s="294"/>
      <c r="NU106" s="294"/>
      <c r="NV106" s="294">
        <v>-360</v>
      </c>
      <c r="NW106" s="294"/>
      <c r="NX106" s="294"/>
      <c r="NY106" s="294"/>
      <c r="NZ106" s="294">
        <v>-50407</v>
      </c>
      <c r="OA106" s="294">
        <v>-462201.5</v>
      </c>
      <c r="OB106" s="294">
        <v>0</v>
      </c>
      <c r="OC106" s="294">
        <v>-210</v>
      </c>
      <c r="OD106" s="294"/>
      <c r="OE106" s="294"/>
      <c r="OF106" s="294"/>
      <c r="OG106" s="294">
        <v>-122900</v>
      </c>
      <c r="OH106" s="294">
        <v>-2920247.72</v>
      </c>
      <c r="OI106" s="294"/>
      <c r="OJ106" s="294"/>
      <c r="OK106" s="294">
        <v>-1435683.34</v>
      </c>
      <c r="OL106" s="294"/>
      <c r="OM106" s="294"/>
      <c r="ON106" s="294"/>
      <c r="OO106" s="294"/>
      <c r="OP106" s="294"/>
      <c r="OQ106" s="294">
        <v>-2451937.5</v>
      </c>
      <c r="OR106" s="294"/>
      <c r="OS106" s="294">
        <v>-30376</v>
      </c>
      <c r="OT106" s="294">
        <v>-343498.97</v>
      </c>
      <c r="OU106" s="294">
        <v>-177009</v>
      </c>
      <c r="OV106" s="294">
        <v>-227919</v>
      </c>
      <c r="OW106" s="294">
        <v>-948940.5</v>
      </c>
      <c r="OX106" s="294"/>
      <c r="OY106" s="294">
        <v>-943969</v>
      </c>
      <c r="OZ106" s="294">
        <v>-1122175</v>
      </c>
      <c r="PA106" s="294">
        <v>-605220</v>
      </c>
      <c r="PB106" s="294">
        <v>0</v>
      </c>
      <c r="PC106" s="294">
        <v>-137435</v>
      </c>
      <c r="PD106" s="294">
        <v>-698500</v>
      </c>
      <c r="PE106" s="294">
        <v>-1700600</v>
      </c>
      <c r="PF106" s="294"/>
      <c r="PG106" s="294"/>
      <c r="PH106" s="294"/>
      <c r="PI106" s="294">
        <v>-697625</v>
      </c>
      <c r="PJ106" s="294">
        <v>-327606</v>
      </c>
      <c r="PK106" s="294"/>
      <c r="PL106" s="294"/>
      <c r="PM106" s="294"/>
      <c r="PN106" s="294">
        <v>-1706927</v>
      </c>
      <c r="PO106" s="294">
        <v>0</v>
      </c>
      <c r="PP106" s="294"/>
      <c r="PQ106" s="294"/>
      <c r="PR106" s="294">
        <v>-274000</v>
      </c>
      <c r="PS106" s="294"/>
      <c r="PT106" s="294"/>
      <c r="PU106" s="294">
        <v>-850818.2</v>
      </c>
      <c r="PV106" s="294"/>
      <c r="PW106" s="294"/>
      <c r="PX106" s="294"/>
      <c r="PY106" s="294"/>
      <c r="PZ106" s="294"/>
      <c r="QA106" s="294"/>
      <c r="QB106" s="294">
        <v>-439000</v>
      </c>
      <c r="QC106" s="294"/>
      <c r="QD106" s="294"/>
      <c r="QE106" s="294"/>
      <c r="QF106" s="294"/>
      <c r="QG106" s="294"/>
      <c r="QH106" s="294"/>
      <c r="QI106" s="294"/>
      <c r="QJ106" s="294"/>
      <c r="QK106" s="294"/>
      <c r="QL106" s="294"/>
      <c r="QM106" s="294"/>
      <c r="QN106" s="294"/>
      <c r="QO106" s="294"/>
      <c r="QP106" s="294"/>
      <c r="QQ106" s="294"/>
      <c r="QR106" s="294"/>
      <c r="QS106" s="294"/>
      <c r="QT106" s="294"/>
      <c r="QU106" s="294"/>
      <c r="QV106" s="294"/>
      <c r="QW106" s="294"/>
      <c r="QX106" s="294"/>
      <c r="QY106" s="294"/>
      <c r="QZ106" s="294"/>
      <c r="RA106" s="294"/>
      <c r="RB106" s="294"/>
      <c r="RC106" s="294"/>
      <c r="RD106" s="294"/>
      <c r="RE106" s="294"/>
      <c r="RF106" s="294"/>
      <c r="RG106" s="294"/>
      <c r="RH106" s="294">
        <v>-14610097.02</v>
      </c>
      <c r="RI106" s="294">
        <v>-18540</v>
      </c>
      <c r="RJ106" s="294"/>
      <c r="RK106" s="294">
        <v>0</v>
      </c>
      <c r="RL106" s="294">
        <v>-299611</v>
      </c>
      <c r="RM106" s="294"/>
      <c r="RN106" s="294"/>
      <c r="RO106" s="294">
        <v>-4762859</v>
      </c>
      <c r="RP106" s="294">
        <v>-6113570</v>
      </c>
      <c r="RQ106" s="294"/>
      <c r="RR106" s="294"/>
      <c r="RS106" s="294"/>
      <c r="RT106" s="294">
        <v>-4442950</v>
      </c>
      <c r="RU106" s="294"/>
      <c r="RV106" s="294"/>
      <c r="RW106" s="294"/>
      <c r="RX106" s="294">
        <v>-2000</v>
      </c>
      <c r="RY106" s="294"/>
      <c r="RZ106" s="294"/>
      <c r="SA106" s="294">
        <v>0</v>
      </c>
      <c r="SB106" s="294"/>
      <c r="SC106" s="294">
        <v>-2679000</v>
      </c>
      <c r="SD106" s="294">
        <v>-3238400</v>
      </c>
      <c r="SE106" s="294"/>
      <c r="SF106" s="294"/>
      <c r="SG106" s="294">
        <v>-2102022.77</v>
      </c>
      <c r="SH106" s="294">
        <v>-3882500</v>
      </c>
      <c r="SI106" s="294">
        <v>-229000</v>
      </c>
      <c r="SJ106" s="294">
        <v>0</v>
      </c>
      <c r="SK106" s="294">
        <v>-3170055.94</v>
      </c>
      <c r="SL106" s="294">
        <v>-78000</v>
      </c>
      <c r="SM106" s="294"/>
      <c r="SN106" s="294">
        <v>-5340</v>
      </c>
      <c r="SO106" s="294"/>
      <c r="SP106" s="294"/>
      <c r="SQ106" s="294"/>
      <c r="SR106" s="294"/>
      <c r="SS106" s="294">
        <v>-331902.67</v>
      </c>
      <c r="ST106" s="294">
        <v>-582515.17000000004</v>
      </c>
      <c r="SU106" s="294"/>
      <c r="SV106" s="294"/>
      <c r="SW106" s="294"/>
      <c r="SX106" s="294"/>
      <c r="SY106" s="294"/>
      <c r="SZ106" s="294"/>
      <c r="TA106" s="294"/>
      <c r="TB106" s="294"/>
      <c r="TC106" s="294"/>
      <c r="TD106" s="294">
        <v>-1232</v>
      </c>
      <c r="TE106" s="294"/>
      <c r="TF106" s="294">
        <v>-8775</v>
      </c>
      <c r="TG106" s="294"/>
      <c r="TH106" s="294"/>
      <c r="TI106" s="294"/>
      <c r="TJ106" s="294">
        <v>-461692.4</v>
      </c>
      <c r="TK106" s="294"/>
      <c r="TL106" s="294">
        <v>-1683774</v>
      </c>
      <c r="TM106" s="294">
        <v>-373113</v>
      </c>
      <c r="TN106" s="294">
        <v>-2706577</v>
      </c>
      <c r="TO106" s="294">
        <v>-204332</v>
      </c>
      <c r="TP106" s="294">
        <v>-4430021</v>
      </c>
      <c r="TQ106" s="294">
        <v>-132876</v>
      </c>
      <c r="TR106" s="294">
        <v>-8592</v>
      </c>
      <c r="TS106" s="294">
        <v>-1300659</v>
      </c>
      <c r="TT106" s="294">
        <v>-144000</v>
      </c>
      <c r="TU106" s="294">
        <v>-174563</v>
      </c>
      <c r="TV106" s="294">
        <v>-2400</v>
      </c>
      <c r="TW106" s="294">
        <v>-524979</v>
      </c>
      <c r="TX106" s="294">
        <v>-151373</v>
      </c>
      <c r="TY106" s="294"/>
      <c r="TZ106" s="294">
        <v>0</v>
      </c>
      <c r="UA106" s="294"/>
      <c r="UB106" s="294"/>
      <c r="UC106" s="294">
        <v>-2407955.42</v>
      </c>
      <c r="UD106" s="294">
        <v>-1304650</v>
      </c>
      <c r="UE106" s="294">
        <v>-8448920.5500000007</v>
      </c>
      <c r="UF106" s="294">
        <v>-1473550</v>
      </c>
      <c r="UG106" s="294">
        <v>-755018.5</v>
      </c>
      <c r="UH106" s="294">
        <v>-13612</v>
      </c>
      <c r="UI106" s="294">
        <v>-373052.47</v>
      </c>
      <c r="UJ106" s="294"/>
      <c r="UK106" s="294">
        <v>-4746234</v>
      </c>
      <c r="UL106" s="294">
        <v>-3221025</v>
      </c>
      <c r="UM106" s="294">
        <v>-3008160</v>
      </c>
      <c r="UN106" s="294">
        <v>-2076738</v>
      </c>
      <c r="UO106" s="294">
        <v>0</v>
      </c>
      <c r="UP106" s="294"/>
      <c r="UQ106" s="294"/>
      <c r="UR106" s="294"/>
      <c r="US106" s="294">
        <v>-13120470.699999999</v>
      </c>
      <c r="UT106" s="294"/>
      <c r="UU106" s="294"/>
      <c r="UV106" s="294"/>
      <c r="UW106" s="294">
        <v>-1585000</v>
      </c>
      <c r="UX106" s="294">
        <v>-1751000</v>
      </c>
      <c r="UY106" s="294">
        <v>-2650405</v>
      </c>
      <c r="UZ106" s="294"/>
      <c r="VA106" s="294">
        <v>-6791070</v>
      </c>
      <c r="VB106" s="294">
        <v>-4047665</v>
      </c>
      <c r="VC106" s="294">
        <v>-5311908</v>
      </c>
      <c r="VD106" s="294">
        <v>-1592000</v>
      </c>
      <c r="VE106" s="294">
        <v>-1541241</v>
      </c>
      <c r="VF106" s="294">
        <v>-1723884</v>
      </c>
      <c r="VG106" s="294"/>
      <c r="VH106" s="294"/>
      <c r="VI106" s="294">
        <v>-1916739</v>
      </c>
      <c r="VJ106" s="294">
        <v>-1512028</v>
      </c>
      <c r="VK106" s="294">
        <v>-7498</v>
      </c>
      <c r="VL106" s="294"/>
      <c r="VM106" s="294">
        <v>-513220</v>
      </c>
      <c r="VN106" s="294">
        <v>-2044817.81</v>
      </c>
      <c r="VO106" s="294">
        <v>-3801590</v>
      </c>
      <c r="VP106" s="294">
        <v>-769500</v>
      </c>
      <c r="VQ106" s="294">
        <v>-1174362.1499999999</v>
      </c>
      <c r="VR106" s="294">
        <v>-636290</v>
      </c>
      <c r="VS106" s="294"/>
      <c r="VT106" s="294">
        <v>0</v>
      </c>
      <c r="VU106" s="294">
        <v>-480000</v>
      </c>
      <c r="VV106" s="294">
        <v>-412471</v>
      </c>
      <c r="VW106" s="294">
        <v>-564535</v>
      </c>
      <c r="VX106" s="294">
        <v>-864510.15</v>
      </c>
      <c r="VY106" s="294">
        <v>-179280</v>
      </c>
      <c r="VZ106" s="294"/>
      <c r="WA106" s="294"/>
      <c r="WB106" s="294">
        <v>-52211</v>
      </c>
      <c r="WC106" s="294">
        <v>-39253</v>
      </c>
      <c r="WD106" s="294">
        <v>-18436</v>
      </c>
      <c r="WE106" s="294"/>
      <c r="WF106" s="294">
        <v>-20760</v>
      </c>
      <c r="WG106" s="294"/>
      <c r="WH106" s="294">
        <v>-124653</v>
      </c>
      <c r="WI106" s="294">
        <v>-1118555</v>
      </c>
      <c r="WJ106" s="294">
        <v>-124125</v>
      </c>
      <c r="WK106" s="294">
        <v>-356205</v>
      </c>
      <c r="WL106" s="294">
        <v>-122420</v>
      </c>
      <c r="WM106" s="294">
        <v>-417000</v>
      </c>
      <c r="WN106" s="294">
        <v>-23114</v>
      </c>
      <c r="WO106" s="294"/>
      <c r="WP106" s="294"/>
      <c r="WQ106" s="294"/>
      <c r="WR106" s="294">
        <v>-178456</v>
      </c>
      <c r="WS106" s="294">
        <v>-53920</v>
      </c>
      <c r="WT106" s="294">
        <v>-75370</v>
      </c>
      <c r="WU106" s="294">
        <v>-1499487.73</v>
      </c>
      <c r="WV106" s="294"/>
      <c r="WW106" s="294">
        <v>-4000</v>
      </c>
      <c r="WX106" s="294"/>
      <c r="WY106" s="294"/>
      <c r="WZ106" s="294"/>
      <c r="XA106" s="294"/>
      <c r="XB106" s="294">
        <v>0</v>
      </c>
      <c r="XC106" s="294">
        <v>-461995</v>
      </c>
      <c r="XD106" s="294">
        <v>0</v>
      </c>
      <c r="XE106" s="294">
        <v>0</v>
      </c>
      <c r="XF106" s="294">
        <v>-145161</v>
      </c>
      <c r="XG106" s="294">
        <v>-454750</v>
      </c>
      <c r="XH106" s="294">
        <v>-1402829.8</v>
      </c>
      <c r="XI106" s="294">
        <v>-119003.68</v>
      </c>
      <c r="XJ106" s="294"/>
      <c r="XK106" s="294"/>
      <c r="XL106" s="294"/>
      <c r="XM106" s="294"/>
      <c r="XN106" s="294"/>
      <c r="XO106" s="294">
        <v>-44400</v>
      </c>
      <c r="XP106" s="294">
        <v>-86265</v>
      </c>
      <c r="XQ106" s="294"/>
      <c r="XR106" s="294"/>
      <c r="XS106" s="294"/>
      <c r="XT106" s="294"/>
      <c r="XU106" s="294"/>
      <c r="XV106" s="294">
        <v>-90300</v>
      </c>
      <c r="XW106" s="294"/>
      <c r="XX106" s="294"/>
      <c r="XY106" s="294">
        <v>-8140</v>
      </c>
      <c r="XZ106" s="294"/>
      <c r="YA106" s="294"/>
      <c r="YB106" s="294"/>
      <c r="YC106" s="294"/>
      <c r="YD106" s="294">
        <v>-750</v>
      </c>
      <c r="YE106" s="294">
        <v>-4438229</v>
      </c>
      <c r="YF106" s="294">
        <v>-193848</v>
      </c>
      <c r="YG106" s="294">
        <v>-37200</v>
      </c>
      <c r="YH106" s="294">
        <v>-79600</v>
      </c>
      <c r="YI106" s="294">
        <v>-5454509</v>
      </c>
      <c r="YJ106" s="294">
        <v>-676638</v>
      </c>
      <c r="YK106" s="294">
        <v>-304340.55</v>
      </c>
      <c r="YL106" s="294"/>
      <c r="YM106" s="294">
        <v>-951023.28</v>
      </c>
      <c r="YN106" s="294">
        <v>-558350</v>
      </c>
      <c r="YO106" s="294">
        <v>-40000</v>
      </c>
      <c r="YP106" s="294">
        <v>-377751.8</v>
      </c>
      <c r="YQ106" s="294">
        <v>-1969771.13</v>
      </c>
      <c r="YR106" s="294"/>
      <c r="YS106" s="294">
        <v>-105720</v>
      </c>
      <c r="YT106" s="294">
        <v>-5000</v>
      </c>
      <c r="YU106" s="294">
        <v>0</v>
      </c>
      <c r="YV106" s="294">
        <v>-2803425.01</v>
      </c>
      <c r="YW106" s="294">
        <v>-547138.4</v>
      </c>
      <c r="YX106" s="294">
        <v>-282994.09000000003</v>
      </c>
      <c r="YY106" s="294">
        <v>0</v>
      </c>
      <c r="YZ106" s="294"/>
      <c r="ZA106" s="294">
        <v>-1920465.89</v>
      </c>
      <c r="ZB106" s="294"/>
      <c r="ZC106" s="294">
        <v>-1560</v>
      </c>
      <c r="ZD106" s="294"/>
      <c r="ZE106" s="294"/>
      <c r="ZF106" s="294">
        <v>-1048700</v>
      </c>
      <c r="ZG106" s="294">
        <v>-10820</v>
      </c>
      <c r="ZH106" s="294">
        <v>-10970</v>
      </c>
      <c r="ZI106" s="294">
        <v>-332611.12</v>
      </c>
      <c r="ZJ106" s="294">
        <v>-198077</v>
      </c>
      <c r="ZK106" s="294">
        <v>0</v>
      </c>
      <c r="ZL106" s="294">
        <v>-64912</v>
      </c>
      <c r="ZM106" s="294">
        <v>0</v>
      </c>
      <c r="ZN106" s="294"/>
      <c r="ZO106" s="294">
        <v>0</v>
      </c>
      <c r="ZP106" s="294">
        <v>0</v>
      </c>
      <c r="ZQ106" s="294"/>
      <c r="ZR106" s="294"/>
      <c r="ZS106" s="294">
        <v>0</v>
      </c>
      <c r="ZT106" s="294">
        <v>0</v>
      </c>
      <c r="ZU106" s="294">
        <v>-165784</v>
      </c>
      <c r="ZV106" s="294">
        <v>0</v>
      </c>
      <c r="ZW106" s="294">
        <v>0</v>
      </c>
      <c r="ZX106" s="294"/>
      <c r="ZY106" s="294"/>
      <c r="ZZ106" s="294"/>
      <c r="AAA106" s="294">
        <v>0</v>
      </c>
      <c r="AAB106" s="294"/>
      <c r="AAC106" s="294"/>
      <c r="AAD106" s="294"/>
      <c r="AAE106" s="294">
        <v>0</v>
      </c>
      <c r="AAF106" s="294">
        <v>-91490</v>
      </c>
      <c r="AAG106" s="294">
        <v>0</v>
      </c>
      <c r="AAH106" s="294"/>
      <c r="AAI106" s="294">
        <v>-856630</v>
      </c>
      <c r="AAJ106" s="294">
        <v>-466450</v>
      </c>
      <c r="AAK106" s="294"/>
      <c r="AAL106" s="294">
        <v>-158500</v>
      </c>
      <c r="AAM106" s="294">
        <v>-59700</v>
      </c>
      <c r="AAN106" s="294">
        <v>-233000</v>
      </c>
      <c r="AAO106" s="294">
        <v>-10688280</v>
      </c>
      <c r="AAP106" s="294">
        <v>-3579724</v>
      </c>
      <c r="AAQ106" s="294">
        <v>-504089</v>
      </c>
      <c r="AAR106" s="294">
        <v>-7756668.6200000001</v>
      </c>
      <c r="AAS106" s="294">
        <v>-4880532.26</v>
      </c>
      <c r="AAT106" s="294">
        <v>-158500</v>
      </c>
      <c r="AAU106" s="294">
        <v>-3576379.64</v>
      </c>
      <c r="AAV106" s="294">
        <v>-6112517.5</v>
      </c>
      <c r="AAW106" s="294">
        <v>-592474</v>
      </c>
      <c r="AAX106" s="294"/>
      <c r="AAY106" s="294">
        <v>-623891.9</v>
      </c>
      <c r="AAZ106" s="294">
        <v>-7823915</v>
      </c>
      <c r="ABA106" s="294"/>
      <c r="ABB106" s="294"/>
      <c r="ABC106" s="294">
        <v>0</v>
      </c>
      <c r="ABD106" s="294"/>
      <c r="ABE106" s="294">
        <v>838530</v>
      </c>
      <c r="ABF106" s="294"/>
      <c r="ABG106" s="294"/>
      <c r="ABH106" s="294"/>
      <c r="ABI106" s="294">
        <v>-992570</v>
      </c>
      <c r="ABJ106" s="294">
        <v>-463600</v>
      </c>
      <c r="ABK106" s="294">
        <v>-39740</v>
      </c>
      <c r="ABL106" s="294"/>
      <c r="ABM106" s="294">
        <v>0</v>
      </c>
      <c r="ABN106" s="294">
        <v>-2946996</v>
      </c>
      <c r="ABO106" s="294"/>
      <c r="ABP106" s="294"/>
      <c r="ABQ106" s="294"/>
      <c r="ABR106" s="294">
        <v>-753610</v>
      </c>
      <c r="ABS106" s="294"/>
      <c r="ABT106" s="294"/>
      <c r="ABU106" s="294"/>
      <c r="ABV106" s="294"/>
      <c r="ABW106" s="294"/>
      <c r="ABX106" s="294"/>
      <c r="ABY106" s="294"/>
      <c r="ABZ106" s="294"/>
      <c r="ACA106" s="294"/>
      <c r="ACB106" s="294"/>
      <c r="ACC106" s="294">
        <v>-179487.95</v>
      </c>
      <c r="ACD106" s="294"/>
      <c r="ACE106" s="294"/>
      <c r="ACF106" s="294">
        <v>-5477.1</v>
      </c>
      <c r="ACG106" s="294"/>
      <c r="ACH106" s="294"/>
      <c r="ACI106" s="294">
        <v>-1154112.1599999999</v>
      </c>
      <c r="ACJ106" s="294"/>
      <c r="ACK106" s="294"/>
      <c r="ACL106" s="294"/>
      <c r="ACM106" s="294"/>
      <c r="ACN106" s="294"/>
      <c r="ACO106" s="294"/>
      <c r="ACP106" s="294"/>
      <c r="ACQ106" s="294"/>
      <c r="ACR106" s="294"/>
      <c r="ACS106" s="294"/>
      <c r="ACT106" s="294"/>
      <c r="ACU106" s="294"/>
      <c r="ACV106" s="294"/>
      <c r="ACW106" s="294"/>
      <c r="ACX106" s="294"/>
      <c r="ACY106" s="294"/>
      <c r="ACZ106" s="294"/>
      <c r="ADA106" s="294"/>
      <c r="ADB106" s="294"/>
      <c r="ADC106" s="294"/>
      <c r="ADD106" s="294"/>
      <c r="ADE106" s="294"/>
      <c r="ADF106" s="294"/>
      <c r="ADG106" s="294"/>
      <c r="ADH106" s="294"/>
      <c r="ADI106" s="294">
        <v>-37500</v>
      </c>
      <c r="ADJ106" s="294"/>
      <c r="ADK106" s="294">
        <v>-49040</v>
      </c>
      <c r="ADL106" s="294">
        <v>-2623905</v>
      </c>
      <c r="ADM106" s="294">
        <v>-415000</v>
      </c>
      <c r="ADN106" s="294">
        <v>-490000</v>
      </c>
      <c r="ADO106" s="294">
        <v>-2061.0100000000002</v>
      </c>
      <c r="ADP106" s="294"/>
      <c r="ADQ106" s="294"/>
      <c r="ADR106" s="294"/>
      <c r="ADS106" s="294">
        <v>0</v>
      </c>
      <c r="ADT106" s="294"/>
      <c r="ADU106" s="294"/>
      <c r="ADV106" s="294"/>
      <c r="ADW106" s="294"/>
      <c r="ADX106" s="294">
        <v>-560376</v>
      </c>
      <c r="ADY106" s="294"/>
      <c r="ADZ106" s="294">
        <v>0</v>
      </c>
      <c r="AEA106" s="294">
        <v>-31582</v>
      </c>
      <c r="AEB106" s="294"/>
      <c r="AEC106" s="294"/>
      <c r="AED106" s="294">
        <v>-4274219</v>
      </c>
      <c r="AEE106" s="294">
        <v>-31100</v>
      </c>
      <c r="AEF106" s="294">
        <v>-1379825</v>
      </c>
      <c r="AEG106" s="294"/>
      <c r="AEH106" s="294">
        <v>-294203.03000000003</v>
      </c>
      <c r="AEI106" s="294"/>
      <c r="AEJ106" s="294">
        <v>451467.86</v>
      </c>
      <c r="AEK106" s="294"/>
      <c r="AEL106" s="294">
        <v>-768349</v>
      </c>
      <c r="AEM106" s="294"/>
      <c r="AEN106" s="294">
        <v>-116880</v>
      </c>
      <c r="AEO106" s="294">
        <v>-5864</v>
      </c>
      <c r="AEP106" s="294">
        <v>-4607353</v>
      </c>
      <c r="AEQ106" s="294"/>
      <c r="AER106" s="294">
        <v>-18500</v>
      </c>
      <c r="AES106" s="294">
        <v>-2109852.36</v>
      </c>
      <c r="AET106" s="294">
        <v>-1375692.32</v>
      </c>
      <c r="AEU106" s="294">
        <v>-4139919.76</v>
      </c>
      <c r="AEV106" s="294">
        <v>-3411970</v>
      </c>
      <c r="AEW106" s="294">
        <v>-1199561.67</v>
      </c>
      <c r="AEX106" s="294">
        <v>-160939.67000000001</v>
      </c>
      <c r="AEY106" s="294">
        <v>-1264104.1200000001</v>
      </c>
      <c r="AEZ106" s="294">
        <v>-2363304.5</v>
      </c>
      <c r="AFA106" s="294">
        <v>-1051000</v>
      </c>
      <c r="AFB106" s="294"/>
      <c r="AFC106" s="294">
        <v>-16462</v>
      </c>
      <c r="AFD106" s="294">
        <v>-795000</v>
      </c>
      <c r="AFE106" s="294">
        <v>-655930</v>
      </c>
      <c r="AFF106" s="294">
        <v>-781901.22</v>
      </c>
      <c r="AFG106" s="294">
        <v>-731151.5</v>
      </c>
      <c r="AFH106" s="294">
        <v>-605385</v>
      </c>
      <c r="AFI106" s="294">
        <v>-521369</v>
      </c>
      <c r="AFJ106" s="294">
        <v>-315490</v>
      </c>
      <c r="AFK106" s="294"/>
      <c r="AFL106" s="294">
        <v>-577693</v>
      </c>
      <c r="AFM106" s="294">
        <v>-1518539.3</v>
      </c>
      <c r="AFN106" s="294">
        <v>-275974.5</v>
      </c>
      <c r="AFO106" s="294">
        <v>-3337272.84</v>
      </c>
      <c r="AFP106" s="294"/>
      <c r="AFQ106" s="294">
        <v>-453630.65</v>
      </c>
      <c r="AFR106" s="294">
        <v>-11778107.789999999</v>
      </c>
      <c r="AFS106" s="294"/>
      <c r="AFT106" s="294">
        <v>-112348</v>
      </c>
      <c r="AFU106" s="294"/>
      <c r="AFV106" s="294"/>
      <c r="AFW106" s="294">
        <v>-9899595</v>
      </c>
      <c r="AFX106" s="294">
        <v>-1927970.01</v>
      </c>
      <c r="AFY106" s="294">
        <v>-4131800</v>
      </c>
      <c r="AFZ106" s="294">
        <v>-9704374.8200000003</v>
      </c>
      <c r="AGA106" s="294"/>
      <c r="AGB106" s="294">
        <v>-129500</v>
      </c>
      <c r="AGC106" s="294">
        <v>-3749433</v>
      </c>
      <c r="AGD106" s="294"/>
      <c r="AGE106" s="294"/>
      <c r="AGF106" s="294">
        <v>-2617696.27</v>
      </c>
      <c r="AGG106" s="294">
        <v>-2614125</v>
      </c>
      <c r="AGH106" s="294">
        <v>-802125</v>
      </c>
      <c r="AGI106" s="294"/>
      <c r="AGJ106" s="294">
        <v>-2138786.4</v>
      </c>
      <c r="AGK106" s="294"/>
      <c r="AGL106" s="294">
        <v>-1025663.21</v>
      </c>
      <c r="AGM106" s="294">
        <v>-549479.19999999995</v>
      </c>
      <c r="AGN106" s="294"/>
      <c r="AGO106" s="294">
        <v>-7216182</v>
      </c>
      <c r="AGP106" s="294"/>
      <c r="AGQ106" s="294"/>
      <c r="AGR106" s="294">
        <v>-5272961.9000000004</v>
      </c>
      <c r="AGS106" s="294">
        <v>-872687.5</v>
      </c>
      <c r="AGT106" s="294">
        <v>-4077350</v>
      </c>
      <c r="AGU106" s="294">
        <v>-144900</v>
      </c>
      <c r="AGV106" s="294">
        <v>-518950</v>
      </c>
      <c r="AGW106" s="294"/>
      <c r="AGX106" s="294">
        <v>-5951049</v>
      </c>
      <c r="AGY106" s="294">
        <v>-7195921</v>
      </c>
      <c r="AGZ106" s="294">
        <v>-613400</v>
      </c>
      <c r="AHA106" s="294">
        <v>-1034675</v>
      </c>
      <c r="AHB106" s="294"/>
      <c r="AHC106" s="294">
        <v>-614100</v>
      </c>
      <c r="AHD106" s="294"/>
      <c r="AHE106" s="294">
        <v>-2197875</v>
      </c>
      <c r="AHF106" s="294">
        <v>-535198.09</v>
      </c>
      <c r="AHG106" s="294"/>
      <c r="AHH106" s="294">
        <v>0</v>
      </c>
      <c r="AHI106" s="294">
        <v>-28412</v>
      </c>
      <c r="AHJ106" s="294">
        <v>0</v>
      </c>
      <c r="AHK106" s="294">
        <v>-16616</v>
      </c>
      <c r="AHL106" s="294"/>
      <c r="AHM106" s="294"/>
      <c r="AHN106" s="294">
        <v>-3500</v>
      </c>
      <c r="AHO106" s="294">
        <v>-226000</v>
      </c>
      <c r="AHP106" s="294"/>
      <c r="AHQ106" s="294">
        <v>-52080</v>
      </c>
      <c r="AHR106" s="331"/>
      <c r="AHS106" s="294">
        <f t="shared" si="51"/>
        <v>-556300824.91999984</v>
      </c>
      <c r="AHT106" s="269" t="b">
        <f t="shared" si="52"/>
        <v>1</v>
      </c>
      <c r="AHU106" s="269" t="s">
        <v>6278</v>
      </c>
      <c r="AHV106" s="269" t="s">
        <v>6155</v>
      </c>
      <c r="AHW106" s="269" t="s">
        <v>6156</v>
      </c>
    </row>
    <row r="107" spans="1:907" ht="24.6" x14ac:dyDescent="0.7">
      <c r="A107" s="268" t="s">
        <v>6278</v>
      </c>
      <c r="B107" s="268" t="s">
        <v>6157</v>
      </c>
      <c r="C107" s="269" t="s">
        <v>6158</v>
      </c>
      <c r="D107" s="294">
        <v>-1474880</v>
      </c>
      <c r="E107" s="294">
        <v>-129166</v>
      </c>
      <c r="F107" s="294"/>
      <c r="G107" s="294"/>
      <c r="H107" s="294">
        <v>-492870</v>
      </c>
      <c r="I107" s="294"/>
      <c r="J107" s="294"/>
      <c r="K107" s="294"/>
      <c r="L107" s="294"/>
      <c r="M107" s="294"/>
      <c r="N107" s="294"/>
      <c r="O107" s="294"/>
      <c r="P107" s="294">
        <v>-12230</v>
      </c>
      <c r="Q107" s="294">
        <v>-147113</v>
      </c>
      <c r="R107" s="294">
        <v>-66722.509999999995</v>
      </c>
      <c r="S107" s="294"/>
      <c r="T107" s="294"/>
      <c r="U107" s="294"/>
      <c r="V107" s="294"/>
      <c r="W107" s="294">
        <v>-138600</v>
      </c>
      <c r="X107" s="294"/>
      <c r="Y107" s="294">
        <v>-419616.8</v>
      </c>
      <c r="Z107" s="294"/>
      <c r="AA107" s="294"/>
      <c r="AB107" s="294">
        <v>-35940</v>
      </c>
      <c r="AC107" s="294"/>
      <c r="AD107" s="294"/>
      <c r="AE107" s="294"/>
      <c r="AF107" s="294"/>
      <c r="AG107" s="294"/>
      <c r="AH107" s="294"/>
      <c r="AI107" s="294"/>
      <c r="AJ107" s="294"/>
      <c r="AK107" s="294">
        <v>-66807</v>
      </c>
      <c r="AL107" s="294"/>
      <c r="AM107" s="294"/>
      <c r="AN107" s="294"/>
      <c r="AO107" s="294">
        <v>-189228.3</v>
      </c>
      <c r="AP107" s="294"/>
      <c r="AQ107" s="294"/>
      <c r="AR107" s="294"/>
      <c r="AS107" s="294"/>
      <c r="AT107" s="294">
        <v>-2427520</v>
      </c>
      <c r="AU107" s="294"/>
      <c r="AV107" s="294"/>
      <c r="AW107" s="294"/>
      <c r="AX107" s="294">
        <v>-88720</v>
      </c>
      <c r="AY107" s="294"/>
      <c r="AZ107" s="294"/>
      <c r="BA107" s="294"/>
      <c r="BB107" s="294">
        <v>-7830</v>
      </c>
      <c r="BC107" s="294"/>
      <c r="BD107" s="294"/>
      <c r="BE107" s="294"/>
      <c r="BF107" s="294">
        <v>-626840</v>
      </c>
      <c r="BG107" s="294"/>
      <c r="BH107" s="294"/>
      <c r="BI107" s="294"/>
      <c r="BJ107" s="294"/>
      <c r="BK107" s="294"/>
      <c r="BL107" s="294"/>
      <c r="BM107" s="294"/>
      <c r="BN107" s="294"/>
      <c r="BO107" s="294">
        <v>-161025</v>
      </c>
      <c r="BP107" s="294">
        <v>-73403</v>
      </c>
      <c r="BQ107" s="294">
        <v>-53590</v>
      </c>
      <c r="BR107" s="294"/>
      <c r="BS107" s="294"/>
      <c r="BT107" s="294"/>
      <c r="BU107" s="294"/>
      <c r="BV107" s="294"/>
      <c r="BW107" s="294"/>
      <c r="BX107" s="294"/>
      <c r="BY107" s="294">
        <v>-87625</v>
      </c>
      <c r="BZ107" s="294"/>
      <c r="CA107" s="294"/>
      <c r="CB107" s="294"/>
      <c r="CC107" s="294"/>
      <c r="CD107" s="294">
        <v>-87385</v>
      </c>
      <c r="CE107" s="294"/>
      <c r="CF107" s="294"/>
      <c r="CG107" s="294">
        <v>-1040479</v>
      </c>
      <c r="CH107" s="294">
        <v>-149736.5</v>
      </c>
      <c r="CI107" s="294">
        <v>-618835</v>
      </c>
      <c r="CJ107" s="294">
        <v>-211850</v>
      </c>
      <c r="CK107" s="294">
        <v>-40320</v>
      </c>
      <c r="CL107" s="294"/>
      <c r="CM107" s="294"/>
      <c r="CN107" s="294">
        <v>-262050</v>
      </c>
      <c r="CO107" s="294"/>
      <c r="CP107" s="294">
        <v>-60950</v>
      </c>
      <c r="CQ107" s="294">
        <v>-160402.5</v>
      </c>
      <c r="CR107" s="294">
        <v>-49455</v>
      </c>
      <c r="CS107" s="294">
        <v>-33657</v>
      </c>
      <c r="CT107" s="294">
        <v>-32300</v>
      </c>
      <c r="CU107" s="294"/>
      <c r="CV107" s="294"/>
      <c r="CW107" s="294">
        <v>0</v>
      </c>
      <c r="CX107" s="294"/>
      <c r="CY107" s="294">
        <v>-767406.5</v>
      </c>
      <c r="CZ107" s="294">
        <v>-90300</v>
      </c>
      <c r="DA107" s="294"/>
      <c r="DB107" s="294"/>
      <c r="DC107" s="294"/>
      <c r="DD107" s="294"/>
      <c r="DE107" s="294"/>
      <c r="DF107" s="294"/>
      <c r="DG107" s="294">
        <v>-403554</v>
      </c>
      <c r="DH107" s="294"/>
      <c r="DI107" s="294"/>
      <c r="DJ107" s="294"/>
      <c r="DK107" s="294"/>
      <c r="DL107" s="294"/>
      <c r="DM107" s="294"/>
      <c r="DN107" s="294">
        <v>-53950</v>
      </c>
      <c r="DO107" s="294"/>
      <c r="DP107" s="294"/>
      <c r="DQ107" s="294">
        <v>-309335.44</v>
      </c>
      <c r="DR107" s="294"/>
      <c r="DS107" s="294">
        <v>-191622</v>
      </c>
      <c r="DT107" s="294"/>
      <c r="DU107" s="294"/>
      <c r="DV107" s="294">
        <v>-101958</v>
      </c>
      <c r="DW107" s="294"/>
      <c r="DX107" s="294"/>
      <c r="DY107" s="294">
        <v>-270620</v>
      </c>
      <c r="DZ107" s="294"/>
      <c r="EA107" s="294"/>
      <c r="EB107" s="294"/>
      <c r="EC107" s="294"/>
      <c r="ED107" s="294"/>
      <c r="EE107" s="294">
        <v>-467720</v>
      </c>
      <c r="EF107" s="294"/>
      <c r="EG107" s="294"/>
      <c r="EH107" s="294"/>
      <c r="EI107" s="294">
        <v>-36688</v>
      </c>
      <c r="EJ107" s="294">
        <v>-155256.73000000001</v>
      </c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>
        <v>-213366</v>
      </c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>
        <v>-128720</v>
      </c>
      <c r="FE107" s="294">
        <v>-36750</v>
      </c>
      <c r="FF107" s="294"/>
      <c r="FG107" s="294"/>
      <c r="FH107" s="294"/>
      <c r="FI107" s="294"/>
      <c r="FJ107" s="294"/>
      <c r="FK107" s="294"/>
      <c r="FL107" s="294"/>
      <c r="FM107" s="294">
        <v>-102221</v>
      </c>
      <c r="FN107" s="294">
        <v>-45590</v>
      </c>
      <c r="FO107" s="294"/>
      <c r="FP107" s="294">
        <v>-6000</v>
      </c>
      <c r="FQ107" s="294"/>
      <c r="FR107" s="294"/>
      <c r="FS107" s="294"/>
      <c r="FT107" s="294"/>
      <c r="FU107" s="294"/>
      <c r="FV107" s="294">
        <v>-99340</v>
      </c>
      <c r="FW107" s="294"/>
      <c r="FX107" s="294">
        <v>-276376</v>
      </c>
      <c r="FY107" s="294">
        <v>-176668.38</v>
      </c>
      <c r="FZ107" s="294"/>
      <c r="GA107" s="294"/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294"/>
      <c r="GO107" s="294"/>
      <c r="GP107" s="294"/>
      <c r="GQ107" s="294"/>
      <c r="GR107" s="294"/>
      <c r="GS107" s="294"/>
      <c r="GT107" s="294"/>
      <c r="GU107" s="294"/>
      <c r="GV107" s="294"/>
      <c r="GW107" s="294">
        <v>-150332.5</v>
      </c>
      <c r="GX107" s="294"/>
      <c r="GY107" s="294"/>
      <c r="GZ107" s="294"/>
      <c r="HA107" s="294"/>
      <c r="HB107" s="294"/>
      <c r="HC107" s="294"/>
      <c r="HD107" s="294"/>
      <c r="HE107" s="294"/>
      <c r="HF107" s="294"/>
      <c r="HG107" s="294">
        <v>-45240</v>
      </c>
      <c r="HH107" s="294"/>
      <c r="HI107" s="294">
        <v>-85800</v>
      </c>
      <c r="HJ107" s="294"/>
      <c r="HK107" s="294"/>
      <c r="HL107" s="294"/>
      <c r="HM107" s="294"/>
      <c r="HN107" s="294"/>
      <c r="HO107" s="294"/>
      <c r="HP107" s="294"/>
      <c r="HQ107" s="294"/>
      <c r="HR107" s="294"/>
      <c r="HS107" s="294"/>
      <c r="HT107" s="294">
        <v>-14835</v>
      </c>
      <c r="HU107" s="294"/>
      <c r="HV107" s="294"/>
      <c r="HW107" s="294">
        <v>-44480</v>
      </c>
      <c r="HX107" s="294">
        <v>-248454.46</v>
      </c>
      <c r="HY107" s="294">
        <v>-37341</v>
      </c>
      <c r="HZ107" s="294"/>
      <c r="IA107" s="294"/>
      <c r="IB107" s="294"/>
      <c r="IC107" s="294"/>
      <c r="ID107" s="294"/>
      <c r="IE107" s="294">
        <v>-461367.5</v>
      </c>
      <c r="IF107" s="294"/>
      <c r="IG107" s="294">
        <v>-41440</v>
      </c>
      <c r="IH107" s="294"/>
      <c r="II107" s="294"/>
      <c r="IJ107" s="294"/>
      <c r="IK107" s="294"/>
      <c r="IL107" s="294"/>
      <c r="IM107" s="294"/>
      <c r="IN107" s="294"/>
      <c r="IO107" s="294"/>
      <c r="IP107" s="294"/>
      <c r="IQ107" s="294">
        <v>-33010</v>
      </c>
      <c r="IR107" s="294"/>
      <c r="IS107" s="294"/>
      <c r="IT107" s="294">
        <v>0</v>
      </c>
      <c r="IU107" s="294"/>
      <c r="IV107" s="294"/>
      <c r="IW107" s="294"/>
      <c r="IX107" s="294"/>
      <c r="IY107" s="294"/>
      <c r="IZ107" s="294"/>
      <c r="JA107" s="294"/>
      <c r="JB107" s="294"/>
      <c r="JC107" s="294"/>
      <c r="JD107" s="294"/>
      <c r="JE107" s="294">
        <v>-764816.5</v>
      </c>
      <c r="JF107" s="294"/>
      <c r="JG107" s="294"/>
      <c r="JH107" s="294"/>
      <c r="JI107" s="294"/>
      <c r="JJ107" s="294"/>
      <c r="JK107" s="294">
        <v>-498950</v>
      </c>
      <c r="JL107" s="294">
        <v>-182279</v>
      </c>
      <c r="JM107" s="294"/>
      <c r="JN107" s="294"/>
      <c r="JO107" s="294"/>
      <c r="JP107" s="294"/>
      <c r="JQ107" s="294">
        <v>-46960</v>
      </c>
      <c r="JR107" s="294"/>
      <c r="JS107" s="294"/>
      <c r="JT107" s="294"/>
      <c r="JU107" s="294"/>
      <c r="JV107" s="294"/>
      <c r="JW107" s="294"/>
      <c r="JX107" s="294"/>
      <c r="JY107" s="294"/>
      <c r="JZ107" s="294"/>
      <c r="KA107" s="294">
        <v>-133115</v>
      </c>
      <c r="KB107" s="294"/>
      <c r="KC107" s="294"/>
      <c r="KD107" s="294">
        <v>-32680</v>
      </c>
      <c r="KE107" s="294"/>
      <c r="KF107" s="294"/>
      <c r="KG107" s="294"/>
      <c r="KH107" s="294"/>
      <c r="KI107" s="294"/>
      <c r="KJ107" s="294"/>
      <c r="KK107" s="294"/>
      <c r="KL107" s="294"/>
      <c r="KM107" s="294"/>
      <c r="KN107" s="294"/>
      <c r="KO107" s="294"/>
      <c r="KP107" s="294"/>
      <c r="KQ107" s="294">
        <v>-1455420</v>
      </c>
      <c r="KR107" s="294"/>
      <c r="KS107" s="294"/>
      <c r="KT107" s="294">
        <v>-422835</v>
      </c>
      <c r="KU107" s="294"/>
      <c r="KV107" s="294">
        <v>-142920</v>
      </c>
      <c r="KW107" s="294"/>
      <c r="KX107" s="294">
        <v>-44000</v>
      </c>
      <c r="KY107" s="294"/>
      <c r="KZ107" s="294"/>
      <c r="LA107" s="294"/>
      <c r="LB107" s="294"/>
      <c r="LC107" s="294"/>
      <c r="LD107" s="294"/>
      <c r="LE107" s="294"/>
      <c r="LF107" s="294"/>
      <c r="LG107" s="294"/>
      <c r="LH107" s="294"/>
      <c r="LI107" s="294"/>
      <c r="LJ107" s="294"/>
      <c r="LK107" s="294"/>
      <c r="LL107" s="294"/>
      <c r="LM107" s="294"/>
      <c r="LN107" s="294"/>
      <c r="LO107" s="294"/>
      <c r="LP107" s="294"/>
      <c r="LQ107" s="294">
        <v>0</v>
      </c>
      <c r="LR107" s="294"/>
      <c r="LS107" s="294"/>
      <c r="LT107" s="294"/>
      <c r="LU107" s="294"/>
      <c r="LV107" s="294">
        <v>-182385</v>
      </c>
      <c r="LW107" s="294">
        <v>-197220</v>
      </c>
      <c r="LX107" s="294">
        <v>-161317</v>
      </c>
      <c r="LY107" s="294">
        <v>-148173</v>
      </c>
      <c r="LZ107" s="294">
        <v>-226091</v>
      </c>
      <c r="MA107" s="294">
        <v>-71304</v>
      </c>
      <c r="MB107" s="294"/>
      <c r="MC107" s="294"/>
      <c r="MD107" s="294">
        <v>-151729</v>
      </c>
      <c r="ME107" s="294">
        <v>-310543</v>
      </c>
      <c r="MF107" s="294"/>
      <c r="MG107" s="294">
        <v>-1572585</v>
      </c>
      <c r="MH107" s="294"/>
      <c r="MI107" s="294"/>
      <c r="MJ107" s="294"/>
      <c r="MK107" s="294"/>
      <c r="ML107" s="294"/>
      <c r="MM107" s="294"/>
      <c r="MN107" s="294"/>
      <c r="MO107" s="294">
        <v>-50150</v>
      </c>
      <c r="MP107" s="294"/>
      <c r="MQ107" s="294"/>
      <c r="MR107" s="294"/>
      <c r="MS107" s="294"/>
      <c r="MT107" s="294"/>
      <c r="MU107" s="294"/>
      <c r="MV107" s="294">
        <v>-401740</v>
      </c>
      <c r="MW107" s="294">
        <v>-373955.84000000003</v>
      </c>
      <c r="MX107" s="294">
        <v>-150529</v>
      </c>
      <c r="MY107" s="294">
        <v>-294477</v>
      </c>
      <c r="MZ107" s="294"/>
      <c r="NA107" s="294">
        <v>-102200</v>
      </c>
      <c r="NB107" s="294">
        <v>-46691</v>
      </c>
      <c r="NC107" s="294"/>
      <c r="ND107" s="294"/>
      <c r="NE107" s="294"/>
      <c r="NF107" s="294"/>
      <c r="NG107" s="294"/>
      <c r="NH107" s="294"/>
      <c r="NI107" s="294"/>
      <c r="NJ107" s="294"/>
      <c r="NK107" s="294"/>
      <c r="NL107" s="294"/>
      <c r="NM107" s="294"/>
      <c r="NN107" s="294"/>
      <c r="NO107" s="294"/>
      <c r="NP107" s="294">
        <v>-496200</v>
      </c>
      <c r="NQ107" s="294"/>
      <c r="NR107" s="294"/>
      <c r="NS107" s="294"/>
      <c r="NT107" s="294">
        <v>-14332</v>
      </c>
      <c r="NU107" s="294"/>
      <c r="NV107" s="294"/>
      <c r="NW107" s="294"/>
      <c r="NX107" s="294"/>
      <c r="NY107" s="294">
        <v>-580000</v>
      </c>
      <c r="NZ107" s="294">
        <v>0</v>
      </c>
      <c r="OA107" s="294"/>
      <c r="OB107" s="294"/>
      <c r="OC107" s="294"/>
      <c r="OD107" s="294"/>
      <c r="OE107" s="294"/>
      <c r="OF107" s="294"/>
      <c r="OG107" s="294"/>
      <c r="OH107" s="294"/>
      <c r="OI107" s="294"/>
      <c r="OJ107" s="294"/>
      <c r="OK107" s="294"/>
      <c r="OL107" s="294"/>
      <c r="OM107" s="294"/>
      <c r="ON107" s="294"/>
      <c r="OO107" s="294">
        <v>-706927</v>
      </c>
      <c r="OP107" s="294"/>
      <c r="OQ107" s="294">
        <v>-82270</v>
      </c>
      <c r="OR107" s="294">
        <v>-11290</v>
      </c>
      <c r="OS107" s="294"/>
      <c r="OT107" s="294"/>
      <c r="OU107" s="294"/>
      <c r="OV107" s="294"/>
      <c r="OW107" s="294"/>
      <c r="OX107" s="294"/>
      <c r="OY107" s="294"/>
      <c r="OZ107" s="294"/>
      <c r="PA107" s="294"/>
      <c r="PB107" s="294">
        <v>0</v>
      </c>
      <c r="PC107" s="294"/>
      <c r="PD107" s="294">
        <v>-169435</v>
      </c>
      <c r="PE107" s="294"/>
      <c r="PF107" s="294"/>
      <c r="PG107" s="294"/>
      <c r="PH107" s="294"/>
      <c r="PI107" s="294"/>
      <c r="PJ107" s="294">
        <v>-254562</v>
      </c>
      <c r="PK107" s="294"/>
      <c r="PL107" s="294">
        <v>-86432</v>
      </c>
      <c r="PM107" s="294"/>
      <c r="PN107" s="294"/>
      <c r="PO107" s="294"/>
      <c r="PP107" s="294"/>
      <c r="PQ107" s="294"/>
      <c r="PR107" s="294"/>
      <c r="PS107" s="294">
        <v>-434327</v>
      </c>
      <c r="PT107" s="294"/>
      <c r="PU107" s="294"/>
      <c r="PV107" s="294"/>
      <c r="PW107" s="294">
        <v>-157923</v>
      </c>
      <c r="PX107" s="294"/>
      <c r="PY107" s="294"/>
      <c r="PZ107" s="294"/>
      <c r="QA107" s="294"/>
      <c r="QB107" s="294"/>
      <c r="QC107" s="294">
        <v>-117550</v>
      </c>
      <c r="QD107" s="294"/>
      <c r="QE107" s="294">
        <v>-20803</v>
      </c>
      <c r="QF107" s="294"/>
      <c r="QG107" s="294"/>
      <c r="QH107" s="294"/>
      <c r="QI107" s="294"/>
      <c r="QJ107" s="294"/>
      <c r="QK107" s="294"/>
      <c r="QL107" s="294"/>
      <c r="QM107" s="294"/>
      <c r="QN107" s="294"/>
      <c r="QO107" s="294"/>
      <c r="QP107" s="294">
        <v>-241674</v>
      </c>
      <c r="QQ107" s="294"/>
      <c r="QR107" s="294">
        <v>-94767</v>
      </c>
      <c r="QS107" s="294"/>
      <c r="QT107" s="294"/>
      <c r="QU107" s="294"/>
      <c r="QV107" s="294"/>
      <c r="QW107" s="294">
        <v>-121590</v>
      </c>
      <c r="QX107" s="294">
        <v>0</v>
      </c>
      <c r="QY107" s="294"/>
      <c r="QZ107" s="294"/>
      <c r="RA107" s="294"/>
      <c r="RB107" s="294"/>
      <c r="RC107" s="294"/>
      <c r="RD107" s="294">
        <v>-161775</v>
      </c>
      <c r="RE107" s="294">
        <v>-325970</v>
      </c>
      <c r="RF107" s="294"/>
      <c r="RG107" s="294">
        <v>-1604865</v>
      </c>
      <c r="RH107" s="294"/>
      <c r="RI107" s="294"/>
      <c r="RJ107" s="294"/>
      <c r="RK107" s="294">
        <v>-124680</v>
      </c>
      <c r="RL107" s="294">
        <v>-256263</v>
      </c>
      <c r="RM107" s="294">
        <v>-987467</v>
      </c>
      <c r="RN107" s="294">
        <v>-49559</v>
      </c>
      <c r="RO107" s="294"/>
      <c r="RP107" s="294">
        <v>-200491</v>
      </c>
      <c r="RQ107" s="294">
        <v>-501715</v>
      </c>
      <c r="RR107" s="294"/>
      <c r="RS107" s="294"/>
      <c r="RT107" s="294"/>
      <c r="RU107" s="294"/>
      <c r="RV107" s="294"/>
      <c r="RW107" s="294">
        <v>-87660</v>
      </c>
      <c r="RX107" s="294">
        <v>-67263</v>
      </c>
      <c r="RY107" s="294"/>
      <c r="RZ107" s="294">
        <v>-61703</v>
      </c>
      <c r="SA107" s="294">
        <v>-63666.91</v>
      </c>
      <c r="SB107" s="294">
        <v>0</v>
      </c>
      <c r="SC107" s="294"/>
      <c r="SD107" s="294"/>
      <c r="SE107" s="294"/>
      <c r="SF107" s="294"/>
      <c r="SG107" s="294"/>
      <c r="SH107" s="294"/>
      <c r="SI107" s="294"/>
      <c r="SJ107" s="294"/>
      <c r="SK107" s="294"/>
      <c r="SL107" s="294"/>
      <c r="SM107" s="294"/>
      <c r="SN107" s="294"/>
      <c r="SO107" s="294"/>
      <c r="SP107" s="294"/>
      <c r="SQ107" s="294"/>
      <c r="SR107" s="294"/>
      <c r="SS107" s="294"/>
      <c r="ST107" s="294"/>
      <c r="SU107" s="294"/>
      <c r="SV107" s="294">
        <v>-79401</v>
      </c>
      <c r="SW107" s="294">
        <v>0</v>
      </c>
      <c r="SX107" s="294"/>
      <c r="SY107" s="294">
        <v>-170500</v>
      </c>
      <c r="SZ107" s="294">
        <v>-101725</v>
      </c>
      <c r="TA107" s="294">
        <v>-168000</v>
      </c>
      <c r="TB107" s="294">
        <v>-443955</v>
      </c>
      <c r="TC107" s="294">
        <v>-216135</v>
      </c>
      <c r="TD107" s="294">
        <v>-24000</v>
      </c>
      <c r="TE107" s="294"/>
      <c r="TF107" s="294">
        <v>-313160</v>
      </c>
      <c r="TG107" s="294"/>
      <c r="TH107" s="294"/>
      <c r="TI107" s="294"/>
      <c r="TJ107" s="294"/>
      <c r="TK107" s="294">
        <v>-18900</v>
      </c>
      <c r="TL107" s="294"/>
      <c r="TM107" s="294"/>
      <c r="TN107" s="294">
        <v>0</v>
      </c>
      <c r="TO107" s="294"/>
      <c r="TP107" s="294"/>
      <c r="TQ107" s="294"/>
      <c r="TR107" s="294"/>
      <c r="TS107" s="294"/>
      <c r="TT107" s="294"/>
      <c r="TU107" s="294">
        <v>-36400</v>
      </c>
      <c r="TV107" s="294"/>
      <c r="TW107" s="294">
        <v>-45612</v>
      </c>
      <c r="TX107" s="294"/>
      <c r="TY107" s="294"/>
      <c r="TZ107" s="294"/>
      <c r="UA107" s="294">
        <v>-1500000</v>
      </c>
      <c r="UB107" s="294">
        <v>-313125</v>
      </c>
      <c r="UC107" s="294"/>
      <c r="UD107" s="294">
        <v>-43253</v>
      </c>
      <c r="UE107" s="294"/>
      <c r="UF107" s="294"/>
      <c r="UG107" s="294"/>
      <c r="UH107" s="294"/>
      <c r="UI107" s="294"/>
      <c r="UJ107" s="294"/>
      <c r="UK107" s="294"/>
      <c r="UL107" s="294">
        <v>-76923</v>
      </c>
      <c r="UM107" s="294">
        <v>-93550</v>
      </c>
      <c r="UN107" s="294"/>
      <c r="UO107" s="294"/>
      <c r="UP107" s="294">
        <v>-640390</v>
      </c>
      <c r="UQ107" s="294"/>
      <c r="UR107" s="294"/>
      <c r="US107" s="294">
        <v>-947749.81</v>
      </c>
      <c r="UT107" s="294"/>
      <c r="UU107" s="294"/>
      <c r="UV107" s="294"/>
      <c r="UW107" s="294"/>
      <c r="UX107" s="294"/>
      <c r="UY107" s="294">
        <v>-136780</v>
      </c>
      <c r="UZ107" s="294"/>
      <c r="VA107" s="294"/>
      <c r="VB107" s="294">
        <v>-109760</v>
      </c>
      <c r="VC107" s="294">
        <v>-307080</v>
      </c>
      <c r="VD107" s="294">
        <v>-120990</v>
      </c>
      <c r="VE107" s="294"/>
      <c r="VF107" s="294"/>
      <c r="VG107" s="294">
        <v>0</v>
      </c>
      <c r="VH107" s="294"/>
      <c r="VI107" s="294"/>
      <c r="VJ107" s="294"/>
      <c r="VK107" s="294"/>
      <c r="VL107" s="294"/>
      <c r="VM107" s="294">
        <v>-46269</v>
      </c>
      <c r="VN107" s="294"/>
      <c r="VO107" s="294"/>
      <c r="VP107" s="294"/>
      <c r="VQ107" s="294"/>
      <c r="VR107" s="294"/>
      <c r="VS107" s="294">
        <v>-5450</v>
      </c>
      <c r="VT107" s="294"/>
      <c r="VU107" s="294"/>
      <c r="VV107" s="294"/>
      <c r="VW107" s="294"/>
      <c r="VX107" s="294"/>
      <c r="VY107" s="294"/>
      <c r="VZ107" s="294"/>
      <c r="WA107" s="294"/>
      <c r="WB107" s="294">
        <v>-232132.84</v>
      </c>
      <c r="WC107" s="294"/>
      <c r="WD107" s="294"/>
      <c r="WE107" s="294">
        <v>-79000</v>
      </c>
      <c r="WF107" s="294"/>
      <c r="WG107" s="294">
        <v>-153460</v>
      </c>
      <c r="WH107" s="294">
        <v>-339130</v>
      </c>
      <c r="WI107" s="294">
        <v>-41863</v>
      </c>
      <c r="WJ107" s="294">
        <v>-126580</v>
      </c>
      <c r="WK107" s="294">
        <v>0</v>
      </c>
      <c r="WL107" s="294"/>
      <c r="WM107" s="294"/>
      <c r="WN107" s="294"/>
      <c r="WO107" s="294"/>
      <c r="WP107" s="294"/>
      <c r="WQ107" s="294"/>
      <c r="WR107" s="294"/>
      <c r="WS107" s="294">
        <v>-75872.5</v>
      </c>
      <c r="WT107" s="294">
        <v>-142527.48000000001</v>
      </c>
      <c r="WU107" s="294"/>
      <c r="WV107" s="294"/>
      <c r="WW107" s="294"/>
      <c r="WX107" s="294"/>
      <c r="WY107" s="294"/>
      <c r="WZ107" s="294">
        <v>-2409</v>
      </c>
      <c r="XA107" s="294">
        <v>-40898</v>
      </c>
      <c r="XB107" s="294">
        <v>-59465</v>
      </c>
      <c r="XC107" s="294"/>
      <c r="XD107" s="294">
        <v>-93430</v>
      </c>
      <c r="XE107" s="294"/>
      <c r="XF107" s="294">
        <v>-50358</v>
      </c>
      <c r="XG107" s="294"/>
      <c r="XH107" s="294">
        <v>-2135050</v>
      </c>
      <c r="XI107" s="294">
        <v>-252993.5</v>
      </c>
      <c r="XJ107" s="294"/>
      <c r="XK107" s="294">
        <v>-884216.25</v>
      </c>
      <c r="XL107" s="294">
        <v>-17400</v>
      </c>
      <c r="XM107" s="294">
        <v>-104775</v>
      </c>
      <c r="XN107" s="294"/>
      <c r="XO107" s="294">
        <v>-41700</v>
      </c>
      <c r="XP107" s="294"/>
      <c r="XQ107" s="294"/>
      <c r="XR107" s="294">
        <v>-336400</v>
      </c>
      <c r="XS107" s="294"/>
      <c r="XT107" s="294"/>
      <c r="XU107" s="294">
        <v>-12600</v>
      </c>
      <c r="XV107" s="294"/>
      <c r="XW107" s="294"/>
      <c r="XX107" s="294"/>
      <c r="XY107" s="294">
        <v>-63693</v>
      </c>
      <c r="XZ107" s="294"/>
      <c r="YA107" s="294"/>
      <c r="YB107" s="294">
        <v>-11670</v>
      </c>
      <c r="YC107" s="294"/>
      <c r="YD107" s="294"/>
      <c r="YE107" s="294">
        <v>-2083900</v>
      </c>
      <c r="YF107" s="294">
        <v>-6142</v>
      </c>
      <c r="YG107" s="294"/>
      <c r="YH107" s="294"/>
      <c r="YI107" s="294"/>
      <c r="YJ107" s="294">
        <v>-157774</v>
      </c>
      <c r="YK107" s="294"/>
      <c r="YL107" s="294"/>
      <c r="YM107" s="294"/>
      <c r="YN107" s="294"/>
      <c r="YO107" s="294">
        <v>-757887.5</v>
      </c>
      <c r="YP107" s="294"/>
      <c r="YQ107" s="294">
        <v>-2400</v>
      </c>
      <c r="YR107" s="294"/>
      <c r="YS107" s="294"/>
      <c r="YT107" s="294"/>
      <c r="YU107" s="294"/>
      <c r="YV107" s="294"/>
      <c r="YW107" s="294">
        <v>-94902</v>
      </c>
      <c r="YX107" s="294"/>
      <c r="YY107" s="294"/>
      <c r="YZ107" s="294">
        <v>-21000</v>
      </c>
      <c r="ZA107" s="294"/>
      <c r="ZB107" s="294"/>
      <c r="ZC107" s="294"/>
      <c r="ZD107" s="294">
        <v>-93900</v>
      </c>
      <c r="ZE107" s="294"/>
      <c r="ZF107" s="294"/>
      <c r="ZG107" s="294"/>
      <c r="ZH107" s="294"/>
      <c r="ZI107" s="294"/>
      <c r="ZJ107" s="294"/>
      <c r="ZK107" s="294">
        <v>-208812</v>
      </c>
      <c r="ZL107" s="294">
        <v>-1300000</v>
      </c>
      <c r="ZM107" s="294"/>
      <c r="ZN107" s="294"/>
      <c r="ZO107" s="294"/>
      <c r="ZP107" s="294"/>
      <c r="ZQ107" s="294"/>
      <c r="ZR107" s="294"/>
      <c r="ZS107" s="294"/>
      <c r="ZT107" s="294"/>
      <c r="ZU107" s="294"/>
      <c r="ZV107" s="294"/>
      <c r="ZW107" s="294"/>
      <c r="ZX107" s="294"/>
      <c r="ZY107" s="294"/>
      <c r="ZZ107" s="294"/>
      <c r="AAA107" s="294"/>
      <c r="AAB107" s="294"/>
      <c r="AAC107" s="294"/>
      <c r="AAD107" s="294"/>
      <c r="AAE107" s="294"/>
      <c r="AAF107" s="294"/>
      <c r="AAG107" s="294"/>
      <c r="AAH107" s="294"/>
      <c r="AAI107" s="294">
        <v>-167850</v>
      </c>
      <c r="AAJ107" s="294"/>
      <c r="AAK107" s="294"/>
      <c r="AAL107" s="294"/>
      <c r="AAM107" s="294"/>
      <c r="AAN107" s="294"/>
      <c r="AAO107" s="294"/>
      <c r="AAP107" s="294"/>
      <c r="AAQ107" s="294"/>
      <c r="AAR107" s="294"/>
      <c r="AAS107" s="294"/>
      <c r="AAT107" s="294"/>
      <c r="AAU107" s="294"/>
      <c r="AAV107" s="294"/>
      <c r="AAW107" s="294"/>
      <c r="AAX107" s="294"/>
      <c r="AAY107" s="294">
        <v>-9510</v>
      </c>
      <c r="AAZ107" s="294"/>
      <c r="ABA107" s="294"/>
      <c r="ABB107" s="294"/>
      <c r="ABC107" s="294">
        <v>0</v>
      </c>
      <c r="ABD107" s="294"/>
      <c r="ABE107" s="294"/>
      <c r="ABF107" s="294"/>
      <c r="ABG107" s="294"/>
      <c r="ABH107" s="294"/>
      <c r="ABI107" s="294">
        <v>-23940</v>
      </c>
      <c r="ABJ107" s="294">
        <v>-18379</v>
      </c>
      <c r="ABK107" s="294">
        <v>0</v>
      </c>
      <c r="ABL107" s="294"/>
      <c r="ABM107" s="294"/>
      <c r="ABN107" s="294"/>
      <c r="ABO107" s="294"/>
      <c r="ABP107" s="294">
        <v>-116337.5</v>
      </c>
      <c r="ABQ107" s="294"/>
      <c r="ABR107" s="294">
        <v>-216603.75</v>
      </c>
      <c r="ABS107" s="294">
        <v>-104470</v>
      </c>
      <c r="ABT107" s="294"/>
      <c r="ABU107" s="294">
        <v>-12600</v>
      </c>
      <c r="ABV107" s="294">
        <v>-167200</v>
      </c>
      <c r="ABW107" s="294"/>
      <c r="ABX107" s="294">
        <v>-1496300.37</v>
      </c>
      <c r="ABY107" s="294"/>
      <c r="ABZ107" s="294"/>
      <c r="ACA107" s="294"/>
      <c r="ACB107" s="294"/>
      <c r="ACC107" s="294"/>
      <c r="ACD107" s="294"/>
      <c r="ACE107" s="294"/>
      <c r="ACF107" s="294"/>
      <c r="ACG107" s="294"/>
      <c r="ACH107" s="294"/>
      <c r="ACI107" s="294"/>
      <c r="ACJ107" s="294">
        <v>-77785</v>
      </c>
      <c r="ACK107" s="294"/>
      <c r="ACL107" s="294"/>
      <c r="ACM107" s="294"/>
      <c r="ACN107" s="294"/>
      <c r="ACO107" s="294"/>
      <c r="ACP107" s="294"/>
      <c r="ACQ107" s="294"/>
      <c r="ACR107" s="294"/>
      <c r="ACS107" s="294"/>
      <c r="ACT107" s="294"/>
      <c r="ACU107" s="294"/>
      <c r="ACV107" s="294">
        <v>-506454.93</v>
      </c>
      <c r="ACW107" s="294"/>
      <c r="ACX107" s="294"/>
      <c r="ACY107" s="294"/>
      <c r="ACZ107" s="294"/>
      <c r="ADA107" s="294"/>
      <c r="ADB107" s="294"/>
      <c r="ADC107" s="294"/>
      <c r="ADD107" s="294"/>
      <c r="ADE107" s="294"/>
      <c r="ADF107" s="294"/>
      <c r="ADG107" s="294"/>
      <c r="ADH107" s="294"/>
      <c r="ADI107" s="294"/>
      <c r="ADJ107" s="294"/>
      <c r="ADK107" s="294">
        <v>-21000</v>
      </c>
      <c r="ADL107" s="294"/>
      <c r="ADM107" s="294"/>
      <c r="ADN107" s="294"/>
      <c r="ADO107" s="294"/>
      <c r="ADP107" s="294"/>
      <c r="ADQ107" s="294">
        <v>-423173</v>
      </c>
      <c r="ADR107" s="294"/>
      <c r="ADS107" s="294"/>
      <c r="ADT107" s="294"/>
      <c r="ADU107" s="294"/>
      <c r="ADV107" s="294"/>
      <c r="ADW107" s="294"/>
      <c r="ADX107" s="294"/>
      <c r="ADY107" s="294"/>
      <c r="ADZ107" s="294"/>
      <c r="AEA107" s="294">
        <v>-1396538.8399999999</v>
      </c>
      <c r="AEB107" s="294"/>
      <c r="AEC107" s="294"/>
      <c r="AED107" s="294"/>
      <c r="AEE107" s="294"/>
      <c r="AEF107" s="294"/>
      <c r="AEG107" s="294"/>
      <c r="AEH107" s="294"/>
      <c r="AEI107" s="294"/>
      <c r="AEJ107" s="294"/>
      <c r="AEK107" s="294"/>
      <c r="AEL107" s="294"/>
      <c r="AEM107" s="294">
        <v>-225487.5</v>
      </c>
      <c r="AEN107" s="294"/>
      <c r="AEO107" s="294">
        <v>-183712</v>
      </c>
      <c r="AEP107" s="294"/>
      <c r="AEQ107" s="294"/>
      <c r="AER107" s="294"/>
      <c r="AES107" s="294">
        <v>-1382140</v>
      </c>
      <c r="AET107" s="294">
        <v>-282195</v>
      </c>
      <c r="AEU107" s="294">
        <v>-254074</v>
      </c>
      <c r="AEV107" s="294"/>
      <c r="AEW107" s="294">
        <v>-144510</v>
      </c>
      <c r="AEX107" s="294"/>
      <c r="AEY107" s="294"/>
      <c r="AEZ107" s="294">
        <v>-83495</v>
      </c>
      <c r="AFA107" s="294">
        <v>-252443</v>
      </c>
      <c r="AFB107" s="294">
        <v>-264181</v>
      </c>
      <c r="AFC107" s="294"/>
      <c r="AFD107" s="294"/>
      <c r="AFE107" s="294"/>
      <c r="AFF107" s="294"/>
      <c r="AFG107" s="294"/>
      <c r="AFH107" s="294">
        <v>-339326</v>
      </c>
      <c r="AFI107" s="294"/>
      <c r="AFJ107" s="294"/>
      <c r="AFK107" s="294"/>
      <c r="AFL107" s="294"/>
      <c r="AFM107" s="294"/>
      <c r="AFN107" s="294"/>
      <c r="AFO107" s="294"/>
      <c r="AFP107" s="294">
        <v>0</v>
      </c>
      <c r="AFQ107" s="294"/>
      <c r="AFR107" s="294"/>
      <c r="AFS107" s="294"/>
      <c r="AFT107" s="294"/>
      <c r="AFU107" s="294"/>
      <c r="AFV107" s="294"/>
      <c r="AFW107" s="294"/>
      <c r="AFX107" s="294"/>
      <c r="AFY107" s="294"/>
      <c r="AFZ107" s="294"/>
      <c r="AGA107" s="294"/>
      <c r="AGB107" s="294"/>
      <c r="AGC107" s="294">
        <v>-67080</v>
      </c>
      <c r="AGD107" s="294"/>
      <c r="AGE107" s="294">
        <v>-92240</v>
      </c>
      <c r="AGF107" s="294">
        <v>0</v>
      </c>
      <c r="AGG107" s="294"/>
      <c r="AGH107" s="294"/>
      <c r="AGI107" s="294">
        <v>-20160</v>
      </c>
      <c r="AGJ107" s="294"/>
      <c r="AGK107" s="294"/>
      <c r="AGL107" s="294"/>
      <c r="AGM107" s="294"/>
      <c r="AGN107" s="294"/>
      <c r="AGO107" s="294"/>
      <c r="AGP107" s="294"/>
      <c r="AGQ107" s="294"/>
      <c r="AGR107" s="294"/>
      <c r="AGS107" s="294"/>
      <c r="AGT107" s="294"/>
      <c r="AGU107" s="294">
        <v>-1327980</v>
      </c>
      <c r="AGV107" s="294">
        <v>-1082265</v>
      </c>
      <c r="AGW107" s="294"/>
      <c r="AGX107" s="294"/>
      <c r="AGY107" s="294"/>
      <c r="AGZ107" s="294"/>
      <c r="AHA107" s="294"/>
      <c r="AHB107" s="294">
        <v>-112215</v>
      </c>
      <c r="AHC107" s="294"/>
      <c r="AHD107" s="294"/>
      <c r="AHE107" s="294"/>
      <c r="AHF107" s="294"/>
      <c r="AHG107" s="294"/>
      <c r="AHH107" s="294"/>
      <c r="AHI107" s="294"/>
      <c r="AHJ107" s="294"/>
      <c r="AHK107" s="294"/>
      <c r="AHL107" s="294">
        <v>-240000</v>
      </c>
      <c r="AHM107" s="294"/>
      <c r="AHN107" s="294">
        <v>-27600</v>
      </c>
      <c r="AHO107" s="294">
        <v>-58871</v>
      </c>
      <c r="AHP107" s="294"/>
      <c r="AHQ107" s="294"/>
      <c r="AHR107" s="331">
        <v>-137035.5</v>
      </c>
      <c r="AHS107" s="294">
        <f t="shared" si="51"/>
        <v>-58109715.640000001</v>
      </c>
      <c r="AHT107" s="269" t="b">
        <f t="shared" si="52"/>
        <v>1</v>
      </c>
      <c r="AHU107" s="269" t="s">
        <v>6278</v>
      </c>
      <c r="AHV107" s="269" t="s">
        <v>6157</v>
      </c>
      <c r="AHW107" s="269" t="s">
        <v>6158</v>
      </c>
    </row>
    <row r="108" spans="1:907" ht="24.6" x14ac:dyDescent="0.7">
      <c r="A108" s="268" t="s">
        <v>6278</v>
      </c>
      <c r="B108" s="268" t="s">
        <v>6159</v>
      </c>
      <c r="C108" s="269" t="s">
        <v>6160</v>
      </c>
      <c r="D108" s="294">
        <v>-179750</v>
      </c>
      <c r="E108" s="294"/>
      <c r="F108" s="294"/>
      <c r="G108" s="294"/>
      <c r="H108" s="294">
        <v>-18820</v>
      </c>
      <c r="I108" s="294">
        <v>-78453</v>
      </c>
      <c r="J108" s="294"/>
      <c r="K108" s="294"/>
      <c r="L108" s="294"/>
      <c r="M108" s="294"/>
      <c r="N108" s="294"/>
      <c r="O108" s="294"/>
      <c r="P108" s="294"/>
      <c r="Q108" s="294"/>
      <c r="R108" s="294">
        <v>-26358.66</v>
      </c>
      <c r="S108" s="294"/>
      <c r="T108" s="294"/>
      <c r="U108" s="294"/>
      <c r="V108" s="294"/>
      <c r="W108" s="294">
        <v>-40716</v>
      </c>
      <c r="X108" s="294"/>
      <c r="Y108" s="294"/>
      <c r="Z108" s="294"/>
      <c r="AA108" s="294"/>
      <c r="AB108" s="294">
        <v>-101522</v>
      </c>
      <c r="AC108" s="294"/>
      <c r="AD108" s="294"/>
      <c r="AE108" s="294"/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>
        <v>-1230943.75</v>
      </c>
      <c r="AU108" s="294"/>
      <c r="AV108" s="294"/>
      <c r="AW108" s="294"/>
      <c r="AX108" s="294">
        <v>-34837</v>
      </c>
      <c r="AY108" s="294"/>
      <c r="AZ108" s="294"/>
      <c r="BA108" s="294"/>
      <c r="BB108" s="294">
        <v>-49675</v>
      </c>
      <c r="BC108" s="294"/>
      <c r="BD108" s="294"/>
      <c r="BE108" s="294"/>
      <c r="BF108" s="294">
        <v>-46790</v>
      </c>
      <c r="BG108" s="294"/>
      <c r="BH108" s="294"/>
      <c r="BI108" s="294">
        <v>-750493.5</v>
      </c>
      <c r="BJ108" s="294"/>
      <c r="BK108" s="294">
        <v>-286601.09999999998</v>
      </c>
      <c r="BL108" s="294"/>
      <c r="BM108" s="294"/>
      <c r="BN108" s="294">
        <v>-264493</v>
      </c>
      <c r="BO108" s="294">
        <v>-64660</v>
      </c>
      <c r="BP108" s="294"/>
      <c r="BQ108" s="294">
        <v>-32025</v>
      </c>
      <c r="BR108" s="294"/>
      <c r="BS108" s="294"/>
      <c r="BT108" s="294"/>
      <c r="BU108" s="294"/>
      <c r="BV108" s="294"/>
      <c r="BW108" s="294"/>
      <c r="BX108" s="294"/>
      <c r="BY108" s="294">
        <v>-32136</v>
      </c>
      <c r="BZ108" s="294">
        <v>0</v>
      </c>
      <c r="CA108" s="294"/>
      <c r="CB108" s="294"/>
      <c r="CC108" s="294"/>
      <c r="CD108" s="294">
        <v>-30048</v>
      </c>
      <c r="CE108" s="294"/>
      <c r="CF108" s="294"/>
      <c r="CG108" s="294">
        <v>-246437.49</v>
      </c>
      <c r="CH108" s="294">
        <v>-83791.13</v>
      </c>
      <c r="CI108" s="294">
        <v>-33500</v>
      </c>
      <c r="CJ108" s="294">
        <v>-55050</v>
      </c>
      <c r="CK108" s="294">
        <v>-10080</v>
      </c>
      <c r="CL108" s="294"/>
      <c r="CM108" s="294"/>
      <c r="CN108" s="294">
        <v>-56300</v>
      </c>
      <c r="CO108" s="294"/>
      <c r="CP108" s="294"/>
      <c r="CQ108" s="294"/>
      <c r="CR108" s="294">
        <v>-26145</v>
      </c>
      <c r="CS108" s="294">
        <v>-39019.5</v>
      </c>
      <c r="CT108" s="294"/>
      <c r="CU108" s="294"/>
      <c r="CV108" s="294"/>
      <c r="CW108" s="294">
        <v>0</v>
      </c>
      <c r="CX108" s="294"/>
      <c r="CY108" s="294">
        <v>-81640</v>
      </c>
      <c r="CZ108" s="294">
        <v>-20328</v>
      </c>
      <c r="DA108" s="294"/>
      <c r="DB108" s="294"/>
      <c r="DC108" s="294"/>
      <c r="DD108" s="294"/>
      <c r="DE108" s="294"/>
      <c r="DF108" s="294"/>
      <c r="DG108" s="294">
        <v>-189498</v>
      </c>
      <c r="DH108" s="294"/>
      <c r="DI108" s="294"/>
      <c r="DJ108" s="294"/>
      <c r="DK108" s="294"/>
      <c r="DL108" s="294"/>
      <c r="DM108" s="294"/>
      <c r="DN108" s="294">
        <v>-59590</v>
      </c>
      <c r="DO108" s="294"/>
      <c r="DP108" s="294"/>
      <c r="DQ108" s="294">
        <v>-39060</v>
      </c>
      <c r="DR108" s="294"/>
      <c r="DS108" s="294">
        <v>-115028</v>
      </c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>
        <v>-126050</v>
      </c>
      <c r="EF108" s="294"/>
      <c r="EG108" s="294"/>
      <c r="EH108" s="294"/>
      <c r="EI108" s="294"/>
      <c r="EJ108" s="294">
        <v>-74800</v>
      </c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>
        <v>-83474.5</v>
      </c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>
        <v>-25020</v>
      </c>
      <c r="FE108" s="294">
        <v>-20400</v>
      </c>
      <c r="FF108" s="294"/>
      <c r="FG108" s="294"/>
      <c r="FH108" s="294"/>
      <c r="FI108" s="294"/>
      <c r="FJ108" s="294"/>
      <c r="FK108" s="294"/>
      <c r="FL108" s="294"/>
      <c r="FM108" s="294"/>
      <c r="FN108" s="294">
        <v>-110100</v>
      </c>
      <c r="FO108" s="294"/>
      <c r="FP108" s="294"/>
      <c r="FQ108" s="294"/>
      <c r="FR108" s="294"/>
      <c r="FS108" s="294"/>
      <c r="FT108" s="294"/>
      <c r="FU108" s="294"/>
      <c r="FV108" s="294">
        <v>-6720</v>
      </c>
      <c r="FW108" s="294"/>
      <c r="FX108" s="294">
        <v>-167060</v>
      </c>
      <c r="FY108" s="294">
        <v>-19835</v>
      </c>
      <c r="FZ108" s="294"/>
      <c r="GA108" s="294"/>
      <c r="GB108" s="294"/>
      <c r="GC108" s="294"/>
      <c r="GD108" s="294"/>
      <c r="GE108" s="294"/>
      <c r="GF108" s="294"/>
      <c r="GG108" s="294"/>
      <c r="GH108" s="294"/>
      <c r="GI108" s="294"/>
      <c r="GJ108" s="294"/>
      <c r="GK108" s="294"/>
      <c r="GL108" s="294"/>
      <c r="GM108" s="294"/>
      <c r="GN108" s="294"/>
      <c r="GO108" s="294"/>
      <c r="GP108" s="294"/>
      <c r="GQ108" s="294"/>
      <c r="GR108" s="294"/>
      <c r="GS108" s="294">
        <v>-7800</v>
      </c>
      <c r="GT108" s="294"/>
      <c r="GU108" s="294"/>
      <c r="GV108" s="294"/>
      <c r="GW108" s="294">
        <v>-91430</v>
      </c>
      <c r="GX108" s="294"/>
      <c r="GY108" s="294"/>
      <c r="GZ108" s="294"/>
      <c r="HA108" s="294"/>
      <c r="HB108" s="294"/>
      <c r="HC108" s="294"/>
      <c r="HD108" s="294"/>
      <c r="HE108" s="294"/>
      <c r="HF108" s="294"/>
      <c r="HG108" s="294"/>
      <c r="HH108" s="294"/>
      <c r="HI108" s="294">
        <v>-28825</v>
      </c>
      <c r="HJ108" s="294"/>
      <c r="HK108" s="294"/>
      <c r="HL108" s="294"/>
      <c r="HM108" s="294"/>
      <c r="HN108" s="294"/>
      <c r="HO108" s="294"/>
      <c r="HP108" s="294"/>
      <c r="HQ108" s="294"/>
      <c r="HR108" s="294"/>
      <c r="HS108" s="294"/>
      <c r="HT108" s="294">
        <v>-48782</v>
      </c>
      <c r="HU108" s="294"/>
      <c r="HV108" s="294"/>
      <c r="HW108" s="294">
        <v>-111094</v>
      </c>
      <c r="HX108" s="294">
        <v>-54185</v>
      </c>
      <c r="HY108" s="294">
        <v>-81598</v>
      </c>
      <c r="HZ108" s="294"/>
      <c r="IA108" s="294"/>
      <c r="IB108" s="294"/>
      <c r="IC108" s="294"/>
      <c r="ID108" s="294"/>
      <c r="IE108" s="294">
        <v>-15834</v>
      </c>
      <c r="IF108" s="294"/>
      <c r="IG108" s="294"/>
      <c r="IH108" s="294"/>
      <c r="II108" s="294"/>
      <c r="IJ108" s="294"/>
      <c r="IK108" s="294"/>
      <c r="IL108" s="294"/>
      <c r="IM108" s="294"/>
      <c r="IN108" s="294"/>
      <c r="IO108" s="294"/>
      <c r="IP108" s="294"/>
      <c r="IQ108" s="294">
        <v>-6905</v>
      </c>
      <c r="IR108" s="294"/>
      <c r="IS108" s="294"/>
      <c r="IT108" s="294">
        <v>0</v>
      </c>
      <c r="IU108" s="294"/>
      <c r="IV108" s="294"/>
      <c r="IW108" s="294"/>
      <c r="IX108" s="294"/>
      <c r="IY108" s="294"/>
      <c r="IZ108" s="294"/>
      <c r="JA108" s="294"/>
      <c r="JB108" s="294"/>
      <c r="JC108" s="294"/>
      <c r="JD108" s="294"/>
      <c r="JE108" s="294"/>
      <c r="JF108" s="294"/>
      <c r="JG108" s="294"/>
      <c r="JH108" s="294"/>
      <c r="JI108" s="294"/>
      <c r="JJ108" s="294"/>
      <c r="JK108" s="294">
        <v>-705900</v>
      </c>
      <c r="JL108" s="294"/>
      <c r="JM108" s="294"/>
      <c r="JN108" s="294"/>
      <c r="JO108" s="294">
        <v>-95729.48</v>
      </c>
      <c r="JP108" s="294"/>
      <c r="JQ108" s="294"/>
      <c r="JR108" s="294"/>
      <c r="JS108" s="294"/>
      <c r="JT108" s="294"/>
      <c r="JU108" s="294"/>
      <c r="JV108" s="294"/>
      <c r="JW108" s="294"/>
      <c r="JX108" s="294"/>
      <c r="JY108" s="294"/>
      <c r="JZ108" s="294"/>
      <c r="KA108" s="294"/>
      <c r="KB108" s="294"/>
      <c r="KC108" s="294"/>
      <c r="KD108" s="294">
        <v>-129905</v>
      </c>
      <c r="KE108" s="294"/>
      <c r="KF108" s="294"/>
      <c r="KG108" s="294"/>
      <c r="KH108" s="294"/>
      <c r="KI108" s="294"/>
      <c r="KJ108" s="294"/>
      <c r="KK108" s="294"/>
      <c r="KL108" s="294"/>
      <c r="KM108" s="294"/>
      <c r="KN108" s="294"/>
      <c r="KO108" s="294"/>
      <c r="KP108" s="294"/>
      <c r="KQ108" s="294"/>
      <c r="KR108" s="294"/>
      <c r="KS108" s="294"/>
      <c r="KT108" s="294">
        <v>-154875</v>
      </c>
      <c r="KU108" s="294"/>
      <c r="KV108" s="294"/>
      <c r="KW108" s="294"/>
      <c r="KX108" s="294"/>
      <c r="KY108" s="294"/>
      <c r="KZ108" s="294"/>
      <c r="LA108" s="294"/>
      <c r="LB108" s="294"/>
      <c r="LC108" s="294"/>
      <c r="LD108" s="294"/>
      <c r="LE108" s="294"/>
      <c r="LF108" s="294"/>
      <c r="LG108" s="294"/>
      <c r="LH108" s="294"/>
      <c r="LI108" s="294"/>
      <c r="LJ108" s="294"/>
      <c r="LK108" s="294"/>
      <c r="LL108" s="294"/>
      <c r="LM108" s="294"/>
      <c r="LN108" s="294"/>
      <c r="LO108" s="294"/>
      <c r="LP108" s="294"/>
      <c r="LQ108" s="294">
        <v>0</v>
      </c>
      <c r="LR108" s="294"/>
      <c r="LS108" s="294"/>
      <c r="LT108" s="294"/>
      <c r="LU108" s="294"/>
      <c r="LV108" s="294">
        <v>-435795</v>
      </c>
      <c r="LW108" s="294"/>
      <c r="LX108" s="294">
        <v>-240482.25</v>
      </c>
      <c r="LY108" s="294">
        <v>-139677</v>
      </c>
      <c r="LZ108" s="294">
        <v>-18260</v>
      </c>
      <c r="MA108" s="294">
        <v>-135797</v>
      </c>
      <c r="MB108" s="294"/>
      <c r="MC108" s="294">
        <v>-101862</v>
      </c>
      <c r="MD108" s="294"/>
      <c r="ME108" s="294"/>
      <c r="MF108" s="294"/>
      <c r="MG108" s="294">
        <v>-749846</v>
      </c>
      <c r="MH108" s="294">
        <v>0</v>
      </c>
      <c r="MI108" s="294"/>
      <c r="MJ108" s="294"/>
      <c r="MK108" s="294"/>
      <c r="ML108" s="294"/>
      <c r="MM108" s="294"/>
      <c r="MN108" s="294"/>
      <c r="MO108" s="294">
        <v>-28300</v>
      </c>
      <c r="MP108" s="294"/>
      <c r="MQ108" s="294"/>
      <c r="MR108" s="294"/>
      <c r="MS108" s="294"/>
      <c r="MT108" s="294"/>
      <c r="MU108" s="294"/>
      <c r="MV108" s="294"/>
      <c r="MW108" s="294"/>
      <c r="MX108" s="294"/>
      <c r="MY108" s="294">
        <v>-144512</v>
      </c>
      <c r="MZ108" s="294"/>
      <c r="NA108" s="294">
        <v>-207210</v>
      </c>
      <c r="NB108" s="294">
        <v>-13210</v>
      </c>
      <c r="NC108" s="294"/>
      <c r="ND108" s="294"/>
      <c r="NE108" s="294"/>
      <c r="NF108" s="294"/>
      <c r="NG108" s="294"/>
      <c r="NH108" s="294"/>
      <c r="NI108" s="294"/>
      <c r="NJ108" s="294"/>
      <c r="NK108" s="294"/>
      <c r="NL108" s="294"/>
      <c r="NM108" s="294"/>
      <c r="NN108" s="294"/>
      <c r="NO108" s="294"/>
      <c r="NP108" s="294">
        <v>-147700</v>
      </c>
      <c r="NQ108" s="294"/>
      <c r="NR108" s="294"/>
      <c r="NS108" s="294"/>
      <c r="NT108" s="294">
        <v>-23357.27</v>
      </c>
      <c r="NU108" s="294"/>
      <c r="NV108" s="294"/>
      <c r="NW108" s="294"/>
      <c r="NX108" s="294"/>
      <c r="NY108" s="294"/>
      <c r="NZ108" s="294"/>
      <c r="OA108" s="294">
        <v>0</v>
      </c>
      <c r="OB108" s="294"/>
      <c r="OC108" s="294"/>
      <c r="OD108" s="294"/>
      <c r="OE108" s="294"/>
      <c r="OF108" s="294"/>
      <c r="OG108" s="294"/>
      <c r="OH108" s="294"/>
      <c r="OI108" s="294"/>
      <c r="OJ108" s="294"/>
      <c r="OK108" s="294"/>
      <c r="OL108" s="294"/>
      <c r="OM108" s="294"/>
      <c r="ON108" s="294"/>
      <c r="OO108" s="294"/>
      <c r="OP108" s="294"/>
      <c r="OQ108" s="294">
        <v>-13167</v>
      </c>
      <c r="OR108" s="294">
        <v>-61934</v>
      </c>
      <c r="OS108" s="294"/>
      <c r="OT108" s="294"/>
      <c r="OU108" s="294"/>
      <c r="OV108" s="294"/>
      <c r="OW108" s="294"/>
      <c r="OX108" s="294"/>
      <c r="OY108" s="294"/>
      <c r="OZ108" s="294"/>
      <c r="PA108" s="294"/>
      <c r="PB108" s="294">
        <v>0</v>
      </c>
      <c r="PC108" s="294"/>
      <c r="PD108" s="294">
        <v>-244066.5</v>
      </c>
      <c r="PE108" s="294"/>
      <c r="PF108" s="294"/>
      <c r="PG108" s="294"/>
      <c r="PH108" s="294"/>
      <c r="PI108" s="294"/>
      <c r="PJ108" s="294">
        <v>-66045</v>
      </c>
      <c r="PK108" s="294"/>
      <c r="PL108" s="294">
        <v>-109595</v>
      </c>
      <c r="PM108" s="294"/>
      <c r="PN108" s="294"/>
      <c r="PO108" s="294"/>
      <c r="PP108" s="294"/>
      <c r="PQ108" s="294"/>
      <c r="PR108" s="294">
        <v>-58456.17</v>
      </c>
      <c r="PS108" s="294">
        <v>-30590</v>
      </c>
      <c r="PT108" s="294"/>
      <c r="PU108" s="294"/>
      <c r="PV108" s="294"/>
      <c r="PW108" s="294">
        <v>-254899</v>
      </c>
      <c r="PX108" s="294"/>
      <c r="PY108" s="294"/>
      <c r="PZ108" s="294"/>
      <c r="QA108" s="294"/>
      <c r="QB108" s="294"/>
      <c r="QC108" s="294">
        <v>-61410</v>
      </c>
      <c r="QD108" s="294"/>
      <c r="QE108" s="294">
        <v>-23341</v>
      </c>
      <c r="QF108" s="294"/>
      <c r="QG108" s="294"/>
      <c r="QH108" s="294"/>
      <c r="QI108" s="294"/>
      <c r="QJ108" s="294"/>
      <c r="QK108" s="294"/>
      <c r="QL108" s="294"/>
      <c r="QM108" s="294"/>
      <c r="QN108" s="294"/>
      <c r="QO108" s="294"/>
      <c r="QP108" s="294"/>
      <c r="QQ108" s="294"/>
      <c r="QR108" s="294">
        <v>-76402.5</v>
      </c>
      <c r="QS108" s="294"/>
      <c r="QT108" s="294"/>
      <c r="QU108" s="294"/>
      <c r="QV108" s="294"/>
      <c r="QW108" s="294">
        <v>-22260</v>
      </c>
      <c r="QX108" s="294"/>
      <c r="QY108" s="294"/>
      <c r="QZ108" s="294"/>
      <c r="RA108" s="294"/>
      <c r="RB108" s="294"/>
      <c r="RC108" s="294"/>
      <c r="RD108" s="294">
        <v>-90425</v>
      </c>
      <c r="RE108" s="294">
        <v>-124245</v>
      </c>
      <c r="RF108" s="294"/>
      <c r="RG108" s="294">
        <v>-1371365</v>
      </c>
      <c r="RH108" s="294"/>
      <c r="RI108" s="294"/>
      <c r="RJ108" s="294"/>
      <c r="RK108" s="294">
        <v>-174600</v>
      </c>
      <c r="RL108" s="294">
        <v>-98464</v>
      </c>
      <c r="RM108" s="294">
        <v>-256210</v>
      </c>
      <c r="RN108" s="294">
        <v>-62409</v>
      </c>
      <c r="RO108" s="294"/>
      <c r="RP108" s="294">
        <v>-68241</v>
      </c>
      <c r="RQ108" s="294">
        <v>-151200</v>
      </c>
      <c r="RR108" s="294"/>
      <c r="RS108" s="294"/>
      <c r="RT108" s="294"/>
      <c r="RU108" s="294"/>
      <c r="RV108" s="294"/>
      <c r="RW108" s="294">
        <v>-8400</v>
      </c>
      <c r="RX108" s="294"/>
      <c r="RY108" s="294"/>
      <c r="RZ108" s="294">
        <v>-20270</v>
      </c>
      <c r="SA108" s="294">
        <v>-24890</v>
      </c>
      <c r="SB108" s="294"/>
      <c r="SC108" s="294"/>
      <c r="SD108" s="294"/>
      <c r="SE108" s="294"/>
      <c r="SF108" s="294"/>
      <c r="SG108" s="294"/>
      <c r="SH108" s="294"/>
      <c r="SI108" s="294"/>
      <c r="SJ108" s="294"/>
      <c r="SK108" s="294"/>
      <c r="SL108" s="294"/>
      <c r="SM108" s="294"/>
      <c r="SN108" s="294"/>
      <c r="SO108" s="294"/>
      <c r="SP108" s="294"/>
      <c r="SQ108" s="294"/>
      <c r="SR108" s="294"/>
      <c r="SS108" s="294"/>
      <c r="ST108" s="294"/>
      <c r="SU108" s="294"/>
      <c r="SV108" s="294">
        <v>-71715</v>
      </c>
      <c r="SW108" s="294">
        <v>-174807</v>
      </c>
      <c r="SX108" s="294"/>
      <c r="SY108" s="294"/>
      <c r="SZ108" s="294">
        <v>-75600</v>
      </c>
      <c r="TA108" s="294"/>
      <c r="TB108" s="294"/>
      <c r="TC108" s="294"/>
      <c r="TD108" s="294">
        <v>-15040</v>
      </c>
      <c r="TE108" s="294">
        <v>-316799</v>
      </c>
      <c r="TF108" s="294">
        <v>-21900</v>
      </c>
      <c r="TG108" s="294"/>
      <c r="TH108" s="294"/>
      <c r="TI108" s="294"/>
      <c r="TJ108" s="294"/>
      <c r="TK108" s="294"/>
      <c r="TL108" s="294"/>
      <c r="TM108" s="294"/>
      <c r="TN108" s="294"/>
      <c r="TO108" s="294"/>
      <c r="TP108" s="294"/>
      <c r="TQ108" s="294"/>
      <c r="TR108" s="294"/>
      <c r="TS108" s="294"/>
      <c r="TT108" s="294"/>
      <c r="TU108" s="294">
        <v>-6600</v>
      </c>
      <c r="TV108" s="294"/>
      <c r="TW108" s="294">
        <v>-25578</v>
      </c>
      <c r="TX108" s="294"/>
      <c r="TY108" s="294"/>
      <c r="TZ108" s="294"/>
      <c r="UA108" s="294">
        <v>-550000</v>
      </c>
      <c r="UB108" s="294">
        <v>-9660</v>
      </c>
      <c r="UC108" s="294"/>
      <c r="UD108" s="294">
        <v>-251510</v>
      </c>
      <c r="UE108" s="294"/>
      <c r="UF108" s="294"/>
      <c r="UG108" s="294"/>
      <c r="UH108" s="294"/>
      <c r="UI108" s="294"/>
      <c r="UJ108" s="294"/>
      <c r="UK108" s="294"/>
      <c r="UL108" s="294">
        <v>-5265</v>
      </c>
      <c r="UM108" s="294">
        <v>-14189</v>
      </c>
      <c r="UN108" s="294"/>
      <c r="UO108" s="294"/>
      <c r="UP108" s="294"/>
      <c r="UQ108" s="294"/>
      <c r="UR108" s="294"/>
      <c r="US108" s="294">
        <v>-85263</v>
      </c>
      <c r="UT108" s="294"/>
      <c r="UU108" s="294"/>
      <c r="UV108" s="294"/>
      <c r="UW108" s="294"/>
      <c r="UX108" s="294"/>
      <c r="UY108" s="294">
        <v>-62600</v>
      </c>
      <c r="UZ108" s="294"/>
      <c r="VA108" s="294"/>
      <c r="VB108" s="294">
        <v>-36603.5</v>
      </c>
      <c r="VC108" s="294">
        <v>-143740</v>
      </c>
      <c r="VD108" s="294"/>
      <c r="VE108" s="294"/>
      <c r="VF108" s="294"/>
      <c r="VG108" s="294"/>
      <c r="VH108" s="294"/>
      <c r="VI108" s="294"/>
      <c r="VJ108" s="294"/>
      <c r="VK108" s="294"/>
      <c r="VL108" s="294"/>
      <c r="VM108" s="294">
        <v>-46595</v>
      </c>
      <c r="VN108" s="294"/>
      <c r="VO108" s="294"/>
      <c r="VP108" s="294"/>
      <c r="VQ108" s="294"/>
      <c r="VR108" s="294"/>
      <c r="VS108" s="294">
        <v>0</v>
      </c>
      <c r="VT108" s="294"/>
      <c r="VU108" s="294"/>
      <c r="VV108" s="294"/>
      <c r="VW108" s="294"/>
      <c r="VX108" s="294"/>
      <c r="VY108" s="294"/>
      <c r="VZ108" s="294"/>
      <c r="WA108" s="294"/>
      <c r="WB108" s="294">
        <v>-249865</v>
      </c>
      <c r="WC108" s="294"/>
      <c r="WD108" s="294"/>
      <c r="WE108" s="294">
        <v>-9660</v>
      </c>
      <c r="WF108" s="294"/>
      <c r="WG108" s="294">
        <v>-83760</v>
      </c>
      <c r="WH108" s="294">
        <v>-69240</v>
      </c>
      <c r="WI108" s="294">
        <v>-22447</v>
      </c>
      <c r="WJ108" s="294">
        <v>-60549</v>
      </c>
      <c r="WK108" s="294"/>
      <c r="WL108" s="294"/>
      <c r="WM108" s="294">
        <v>-22425</v>
      </c>
      <c r="WN108" s="294"/>
      <c r="WO108" s="294"/>
      <c r="WP108" s="294"/>
      <c r="WQ108" s="294"/>
      <c r="WR108" s="294"/>
      <c r="WS108" s="294">
        <v>-10540</v>
      </c>
      <c r="WT108" s="294">
        <v>-40897.5</v>
      </c>
      <c r="WU108" s="294"/>
      <c r="WV108" s="294"/>
      <c r="WW108" s="294"/>
      <c r="WX108" s="294">
        <v>-134596</v>
      </c>
      <c r="WY108" s="294"/>
      <c r="WZ108" s="294">
        <v>-704</v>
      </c>
      <c r="XA108" s="294">
        <v>-26412</v>
      </c>
      <c r="XB108" s="294">
        <v>-15880</v>
      </c>
      <c r="XC108" s="294"/>
      <c r="XD108" s="294">
        <v>-64410</v>
      </c>
      <c r="XE108" s="294"/>
      <c r="XF108" s="294"/>
      <c r="XG108" s="294"/>
      <c r="XH108" s="294">
        <v>-368010</v>
      </c>
      <c r="XI108" s="294"/>
      <c r="XJ108" s="294"/>
      <c r="XK108" s="294"/>
      <c r="XL108" s="294"/>
      <c r="XM108" s="294">
        <v>-120571.5</v>
      </c>
      <c r="XN108" s="294"/>
      <c r="XO108" s="294">
        <v>-13680</v>
      </c>
      <c r="XP108" s="294"/>
      <c r="XQ108" s="294"/>
      <c r="XR108" s="294">
        <v>-101850</v>
      </c>
      <c r="XS108" s="294"/>
      <c r="XT108" s="294"/>
      <c r="XU108" s="294"/>
      <c r="XV108" s="294"/>
      <c r="XW108" s="294"/>
      <c r="XX108" s="294"/>
      <c r="XY108" s="294">
        <v>-1500</v>
      </c>
      <c r="XZ108" s="294"/>
      <c r="YA108" s="294"/>
      <c r="YB108" s="294"/>
      <c r="YC108" s="294"/>
      <c r="YD108" s="294"/>
      <c r="YE108" s="294"/>
      <c r="YF108" s="294">
        <v>-68413</v>
      </c>
      <c r="YG108" s="294"/>
      <c r="YH108" s="294"/>
      <c r="YI108" s="294"/>
      <c r="YJ108" s="294">
        <v>-79005.5</v>
      </c>
      <c r="YK108" s="294"/>
      <c r="YL108" s="294"/>
      <c r="YM108" s="294"/>
      <c r="YN108" s="294"/>
      <c r="YO108" s="294"/>
      <c r="YP108" s="294"/>
      <c r="YQ108" s="294">
        <v>-2100</v>
      </c>
      <c r="YR108" s="294"/>
      <c r="YS108" s="294"/>
      <c r="YT108" s="294"/>
      <c r="YU108" s="294"/>
      <c r="YV108" s="294"/>
      <c r="YW108" s="294">
        <v>-43153</v>
      </c>
      <c r="YX108" s="294"/>
      <c r="YY108" s="294"/>
      <c r="YZ108" s="294"/>
      <c r="ZA108" s="294"/>
      <c r="ZB108" s="294"/>
      <c r="ZC108" s="294"/>
      <c r="ZD108" s="294">
        <v>-45500</v>
      </c>
      <c r="ZE108" s="294"/>
      <c r="ZF108" s="294"/>
      <c r="ZG108" s="294"/>
      <c r="ZH108" s="294"/>
      <c r="ZI108" s="294"/>
      <c r="ZJ108" s="294"/>
      <c r="ZK108" s="294">
        <v>-224247</v>
      </c>
      <c r="ZL108" s="294">
        <v>-1400000</v>
      </c>
      <c r="ZM108" s="294"/>
      <c r="ZN108" s="294"/>
      <c r="ZO108" s="294"/>
      <c r="ZP108" s="294"/>
      <c r="ZQ108" s="294"/>
      <c r="ZR108" s="294"/>
      <c r="ZS108" s="294"/>
      <c r="ZT108" s="294"/>
      <c r="ZU108" s="294"/>
      <c r="ZV108" s="294"/>
      <c r="ZW108" s="294"/>
      <c r="ZX108" s="294"/>
      <c r="ZY108" s="294"/>
      <c r="ZZ108" s="294"/>
      <c r="AAA108" s="294"/>
      <c r="AAB108" s="294"/>
      <c r="AAC108" s="294"/>
      <c r="AAD108" s="294"/>
      <c r="AAE108" s="294"/>
      <c r="AAF108" s="294"/>
      <c r="AAG108" s="294"/>
      <c r="AAH108" s="294"/>
      <c r="AAI108" s="294">
        <v>-98570</v>
      </c>
      <c r="AAJ108" s="294"/>
      <c r="AAK108" s="294"/>
      <c r="AAL108" s="294"/>
      <c r="AAM108" s="294"/>
      <c r="AAN108" s="294"/>
      <c r="AAO108" s="294"/>
      <c r="AAP108" s="294"/>
      <c r="AAQ108" s="294"/>
      <c r="AAR108" s="294"/>
      <c r="AAS108" s="294"/>
      <c r="AAT108" s="294"/>
      <c r="AAU108" s="294"/>
      <c r="AAV108" s="294"/>
      <c r="AAW108" s="294"/>
      <c r="AAX108" s="294"/>
      <c r="AAY108" s="294">
        <v>-3140</v>
      </c>
      <c r="AAZ108" s="294"/>
      <c r="ABA108" s="294"/>
      <c r="ABB108" s="294"/>
      <c r="ABC108" s="294">
        <v>0</v>
      </c>
      <c r="ABD108" s="294"/>
      <c r="ABE108" s="294"/>
      <c r="ABF108" s="294"/>
      <c r="ABG108" s="294"/>
      <c r="ABH108" s="294"/>
      <c r="ABI108" s="294"/>
      <c r="ABJ108" s="294">
        <v>-23924.5</v>
      </c>
      <c r="ABK108" s="294">
        <v>0</v>
      </c>
      <c r="ABL108" s="294"/>
      <c r="ABM108" s="294">
        <v>0</v>
      </c>
      <c r="ABN108" s="294"/>
      <c r="ABO108" s="294"/>
      <c r="ABP108" s="294">
        <v>-215990</v>
      </c>
      <c r="ABQ108" s="294"/>
      <c r="ABR108" s="294"/>
      <c r="ABS108" s="294">
        <v>-87600</v>
      </c>
      <c r="ABT108" s="294"/>
      <c r="ABU108" s="294">
        <v>-59430</v>
      </c>
      <c r="ABV108" s="294">
        <v>-26520</v>
      </c>
      <c r="ABW108" s="294"/>
      <c r="ABX108" s="294"/>
      <c r="ABY108" s="294"/>
      <c r="ABZ108" s="294"/>
      <c r="ACA108" s="294"/>
      <c r="ACB108" s="294"/>
      <c r="ACC108" s="294"/>
      <c r="ACD108" s="294"/>
      <c r="ACE108" s="294"/>
      <c r="ACF108" s="294"/>
      <c r="ACG108" s="294">
        <v>-23400</v>
      </c>
      <c r="ACH108" s="294"/>
      <c r="ACI108" s="294"/>
      <c r="ACJ108" s="294">
        <v>-133086</v>
      </c>
      <c r="ACK108" s="294"/>
      <c r="ACL108" s="294"/>
      <c r="ACM108" s="294"/>
      <c r="ACN108" s="294"/>
      <c r="ACO108" s="294"/>
      <c r="ACP108" s="294"/>
      <c r="ACQ108" s="294"/>
      <c r="ACR108" s="294"/>
      <c r="ACS108" s="294"/>
      <c r="ACT108" s="294"/>
      <c r="ACU108" s="294"/>
      <c r="ACV108" s="294">
        <v>-16123.52</v>
      </c>
      <c r="ACW108" s="294"/>
      <c r="ACX108" s="294"/>
      <c r="ACY108" s="294"/>
      <c r="ACZ108" s="294"/>
      <c r="ADA108" s="294"/>
      <c r="ADB108" s="294"/>
      <c r="ADC108" s="294"/>
      <c r="ADD108" s="294"/>
      <c r="ADE108" s="294"/>
      <c r="ADF108" s="294"/>
      <c r="ADG108" s="294"/>
      <c r="ADH108" s="294"/>
      <c r="ADI108" s="294"/>
      <c r="ADJ108" s="294"/>
      <c r="ADK108" s="294"/>
      <c r="ADL108" s="294"/>
      <c r="ADM108" s="294"/>
      <c r="ADN108" s="294"/>
      <c r="ADO108" s="294"/>
      <c r="ADP108" s="294"/>
      <c r="ADQ108" s="294">
        <v>-371582</v>
      </c>
      <c r="ADR108" s="294"/>
      <c r="ADS108" s="294"/>
      <c r="ADT108" s="294"/>
      <c r="ADU108" s="294"/>
      <c r="ADV108" s="294"/>
      <c r="ADW108" s="294"/>
      <c r="ADX108" s="294"/>
      <c r="ADY108" s="294"/>
      <c r="ADZ108" s="294"/>
      <c r="AEA108" s="294">
        <v>-510893.1</v>
      </c>
      <c r="AEB108" s="294"/>
      <c r="AEC108" s="294"/>
      <c r="AED108" s="294"/>
      <c r="AEE108" s="294"/>
      <c r="AEF108" s="294"/>
      <c r="AEG108" s="294"/>
      <c r="AEH108" s="294"/>
      <c r="AEI108" s="294"/>
      <c r="AEJ108" s="294"/>
      <c r="AEK108" s="294"/>
      <c r="AEL108" s="294"/>
      <c r="AEM108" s="294"/>
      <c r="AEN108" s="294">
        <v>-37770</v>
      </c>
      <c r="AEO108" s="294">
        <v>-123208</v>
      </c>
      <c r="AEP108" s="294"/>
      <c r="AEQ108" s="294"/>
      <c r="AER108" s="294"/>
      <c r="AES108" s="294">
        <v>-142240</v>
      </c>
      <c r="AET108" s="294">
        <v>-108140</v>
      </c>
      <c r="AEU108" s="294">
        <v>-375097.5</v>
      </c>
      <c r="AEV108" s="294"/>
      <c r="AEW108" s="294">
        <v>-169715</v>
      </c>
      <c r="AEX108" s="294"/>
      <c r="AEY108" s="294">
        <v>-269435</v>
      </c>
      <c r="AEZ108" s="294">
        <v>-57770</v>
      </c>
      <c r="AFA108" s="294">
        <v>-66790</v>
      </c>
      <c r="AFB108" s="294">
        <v>-120572</v>
      </c>
      <c r="AFC108" s="294"/>
      <c r="AFD108" s="294"/>
      <c r="AFE108" s="294"/>
      <c r="AFF108" s="294"/>
      <c r="AFG108" s="294"/>
      <c r="AFH108" s="294">
        <v>-4151</v>
      </c>
      <c r="AFI108" s="294"/>
      <c r="AFJ108" s="294"/>
      <c r="AFK108" s="294"/>
      <c r="AFL108" s="294"/>
      <c r="AFM108" s="294"/>
      <c r="AFN108" s="294"/>
      <c r="AFO108" s="294"/>
      <c r="AFP108" s="294">
        <v>0</v>
      </c>
      <c r="AFQ108" s="294"/>
      <c r="AFR108" s="294"/>
      <c r="AFS108" s="294"/>
      <c r="AFT108" s="294"/>
      <c r="AFU108" s="294"/>
      <c r="AFV108" s="294"/>
      <c r="AFW108" s="294"/>
      <c r="AFX108" s="294"/>
      <c r="AFY108" s="294"/>
      <c r="AFZ108" s="294"/>
      <c r="AGA108" s="294"/>
      <c r="AGB108" s="294"/>
      <c r="AGC108" s="294"/>
      <c r="AGD108" s="294"/>
      <c r="AGE108" s="294">
        <v>-75200</v>
      </c>
      <c r="AGF108" s="294">
        <v>0</v>
      </c>
      <c r="AGG108" s="294"/>
      <c r="AGH108" s="294"/>
      <c r="AGI108" s="294">
        <v>-103630</v>
      </c>
      <c r="AGJ108" s="294"/>
      <c r="AGK108" s="294"/>
      <c r="AGL108" s="294"/>
      <c r="AGM108" s="294"/>
      <c r="AGN108" s="294"/>
      <c r="AGO108" s="294"/>
      <c r="AGP108" s="294"/>
      <c r="AGQ108" s="294"/>
      <c r="AGR108" s="294"/>
      <c r="AGS108" s="294"/>
      <c r="AGT108" s="294"/>
      <c r="AGU108" s="294">
        <v>-57810</v>
      </c>
      <c r="AGV108" s="294">
        <v>-262292</v>
      </c>
      <c r="AGW108" s="294"/>
      <c r="AGX108" s="294"/>
      <c r="AGY108" s="294"/>
      <c r="AGZ108" s="294"/>
      <c r="AHA108" s="294"/>
      <c r="AHB108" s="294"/>
      <c r="AHC108" s="294"/>
      <c r="AHD108" s="294"/>
      <c r="AHE108" s="294"/>
      <c r="AHF108" s="294"/>
      <c r="AHG108" s="294"/>
      <c r="AHH108" s="294"/>
      <c r="AHI108" s="294"/>
      <c r="AHJ108" s="294"/>
      <c r="AHK108" s="294"/>
      <c r="AHL108" s="294"/>
      <c r="AHM108" s="294"/>
      <c r="AHN108" s="294">
        <v>-20850</v>
      </c>
      <c r="AHO108" s="294">
        <v>-135771</v>
      </c>
      <c r="AHP108" s="294"/>
      <c r="AHQ108" s="294"/>
      <c r="AHR108" s="331">
        <v>-44351</v>
      </c>
      <c r="AHS108" s="294">
        <f t="shared" si="51"/>
        <v>-21286936.419999998</v>
      </c>
      <c r="AHT108" s="269" t="b">
        <f t="shared" si="52"/>
        <v>1</v>
      </c>
      <c r="AHU108" s="269" t="s">
        <v>6278</v>
      </c>
      <c r="AHV108" s="269" t="s">
        <v>6159</v>
      </c>
      <c r="AHW108" s="269" t="s">
        <v>6160</v>
      </c>
    </row>
    <row r="109" spans="1:907" ht="24.6" x14ac:dyDescent="0.7">
      <c r="A109" s="268" t="s">
        <v>6278</v>
      </c>
      <c r="B109" s="268" t="s">
        <v>6161</v>
      </c>
      <c r="C109" s="269" t="s">
        <v>6162</v>
      </c>
      <c r="D109" s="294"/>
      <c r="E109" s="294"/>
      <c r="F109" s="294"/>
      <c r="G109" s="294"/>
      <c r="H109" s="294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>
        <v>-960</v>
      </c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294"/>
      <c r="AU109" s="294"/>
      <c r="AV109" s="294"/>
      <c r="AW109" s="294"/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  <c r="BR109" s="294"/>
      <c r="BS109" s="294"/>
      <c r="BT109" s="294"/>
      <c r="BU109" s="294"/>
      <c r="BV109" s="294"/>
      <c r="BW109" s="294"/>
      <c r="BX109" s="294"/>
      <c r="BY109" s="294"/>
      <c r="BZ109" s="294">
        <v>0</v>
      </c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294"/>
      <c r="CO109" s="294"/>
      <c r="CP109" s="294"/>
      <c r="CQ109" s="294"/>
      <c r="CR109" s="294"/>
      <c r="CS109" s="294"/>
      <c r="CT109" s="294"/>
      <c r="CU109" s="294"/>
      <c r="CV109" s="294"/>
      <c r="CW109" s="294"/>
      <c r="CX109" s="294"/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294"/>
      <c r="DL109" s="294"/>
      <c r="DM109" s="294"/>
      <c r="DN109" s="294"/>
      <c r="DO109" s="294"/>
      <c r="DP109" s="294"/>
      <c r="DQ109" s="294">
        <v>-559622</v>
      </c>
      <c r="DR109" s="294"/>
      <c r="DS109" s="294"/>
      <c r="DT109" s="294"/>
      <c r="DU109" s="294"/>
      <c r="DV109" s="294">
        <v>-56214</v>
      </c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  <c r="FI109" s="294"/>
      <c r="FJ109" s="294"/>
      <c r="FK109" s="294"/>
      <c r="FL109" s="294"/>
      <c r="FM109" s="294"/>
      <c r="FN109" s="294"/>
      <c r="FO109" s="294"/>
      <c r="FP109" s="294"/>
      <c r="FQ109" s="294"/>
      <c r="FR109" s="294"/>
      <c r="FS109" s="294"/>
      <c r="FT109" s="294"/>
      <c r="FU109" s="294"/>
      <c r="FV109" s="294"/>
      <c r="FW109" s="294"/>
      <c r="FX109" s="294">
        <v>-397860</v>
      </c>
      <c r="FY109" s="294"/>
      <c r="FZ109" s="294"/>
      <c r="GA109" s="294"/>
      <c r="GB109" s="294"/>
      <c r="GC109" s="294"/>
      <c r="GD109" s="294"/>
      <c r="GE109" s="294"/>
      <c r="GF109" s="294"/>
      <c r="GG109" s="294"/>
      <c r="GH109" s="294"/>
      <c r="GI109" s="294"/>
      <c r="GJ109" s="294"/>
      <c r="GK109" s="294"/>
      <c r="GL109" s="294"/>
      <c r="GM109" s="294"/>
      <c r="GN109" s="294"/>
      <c r="GO109" s="294"/>
      <c r="GP109" s="294"/>
      <c r="GQ109" s="294"/>
      <c r="GR109" s="294"/>
      <c r="GS109" s="294"/>
      <c r="GT109" s="294"/>
      <c r="GU109" s="294"/>
      <c r="GV109" s="294"/>
      <c r="GW109" s="294"/>
      <c r="GX109" s="294"/>
      <c r="GY109" s="294"/>
      <c r="GZ109" s="294"/>
      <c r="HA109" s="294"/>
      <c r="HB109" s="294"/>
      <c r="HC109" s="294"/>
      <c r="HD109" s="294"/>
      <c r="HE109" s="294"/>
      <c r="HF109" s="294"/>
      <c r="HG109" s="294"/>
      <c r="HH109" s="294"/>
      <c r="HI109" s="294"/>
      <c r="HJ109" s="294"/>
      <c r="HK109" s="294"/>
      <c r="HL109" s="294"/>
      <c r="HM109" s="294"/>
      <c r="HN109" s="294"/>
      <c r="HO109" s="294"/>
      <c r="HP109" s="294"/>
      <c r="HQ109" s="294"/>
      <c r="HR109" s="294"/>
      <c r="HS109" s="294"/>
      <c r="HT109" s="294"/>
      <c r="HU109" s="294"/>
      <c r="HV109" s="294"/>
      <c r="HW109" s="294"/>
      <c r="HX109" s="294"/>
      <c r="HY109" s="294"/>
      <c r="HZ109" s="294"/>
      <c r="IA109" s="294"/>
      <c r="IB109" s="294"/>
      <c r="IC109" s="294"/>
      <c r="ID109" s="294"/>
      <c r="IE109" s="294"/>
      <c r="IF109" s="294"/>
      <c r="IG109" s="294"/>
      <c r="IH109" s="294"/>
      <c r="II109" s="294"/>
      <c r="IJ109" s="294"/>
      <c r="IK109" s="294"/>
      <c r="IL109" s="294"/>
      <c r="IM109" s="294"/>
      <c r="IN109" s="294"/>
      <c r="IO109" s="294"/>
      <c r="IP109" s="294"/>
      <c r="IQ109" s="294">
        <v>0</v>
      </c>
      <c r="IR109" s="294"/>
      <c r="IS109" s="294"/>
      <c r="IT109" s="294">
        <v>0</v>
      </c>
      <c r="IU109" s="294"/>
      <c r="IV109" s="294"/>
      <c r="IW109" s="294"/>
      <c r="IX109" s="294"/>
      <c r="IY109" s="294"/>
      <c r="IZ109" s="294"/>
      <c r="JA109" s="294"/>
      <c r="JB109" s="294"/>
      <c r="JC109" s="294"/>
      <c r="JD109" s="294"/>
      <c r="JE109" s="294"/>
      <c r="JF109" s="294"/>
      <c r="JG109" s="294"/>
      <c r="JH109" s="294"/>
      <c r="JI109" s="294"/>
      <c r="JJ109" s="294"/>
      <c r="JK109" s="294"/>
      <c r="JL109" s="294"/>
      <c r="JM109" s="294"/>
      <c r="JN109" s="294"/>
      <c r="JO109" s="294"/>
      <c r="JP109" s="294"/>
      <c r="JQ109" s="294"/>
      <c r="JR109" s="294"/>
      <c r="JS109" s="294"/>
      <c r="JT109" s="294"/>
      <c r="JU109" s="294"/>
      <c r="JV109" s="294"/>
      <c r="JW109" s="294"/>
      <c r="JX109" s="294"/>
      <c r="JY109" s="294"/>
      <c r="JZ109" s="294"/>
      <c r="KA109" s="294"/>
      <c r="KB109" s="294"/>
      <c r="KC109" s="294"/>
      <c r="KD109" s="294"/>
      <c r="KE109" s="294"/>
      <c r="KF109" s="294"/>
      <c r="KG109" s="294"/>
      <c r="KH109" s="294"/>
      <c r="KI109" s="294"/>
      <c r="KJ109" s="294"/>
      <c r="KK109" s="294"/>
      <c r="KL109" s="294"/>
      <c r="KM109" s="294"/>
      <c r="KN109" s="294"/>
      <c r="KO109" s="294"/>
      <c r="KP109" s="294"/>
      <c r="KQ109" s="294"/>
      <c r="KR109" s="294"/>
      <c r="KS109" s="294"/>
      <c r="KT109" s="294"/>
      <c r="KU109" s="294"/>
      <c r="KV109" s="294"/>
      <c r="KW109" s="294"/>
      <c r="KX109" s="294"/>
      <c r="KY109" s="294"/>
      <c r="KZ109" s="294"/>
      <c r="LA109" s="294"/>
      <c r="LB109" s="294"/>
      <c r="LC109" s="294"/>
      <c r="LD109" s="294"/>
      <c r="LE109" s="294"/>
      <c r="LF109" s="294"/>
      <c r="LG109" s="294"/>
      <c r="LH109" s="294"/>
      <c r="LI109" s="294"/>
      <c r="LJ109" s="294"/>
      <c r="LK109" s="294"/>
      <c r="LL109" s="294"/>
      <c r="LM109" s="294"/>
      <c r="LN109" s="294"/>
      <c r="LO109" s="294"/>
      <c r="LP109" s="294"/>
      <c r="LQ109" s="294"/>
      <c r="LR109" s="294"/>
      <c r="LS109" s="294"/>
      <c r="LT109" s="294"/>
      <c r="LU109" s="294"/>
      <c r="LV109" s="294"/>
      <c r="LW109" s="294"/>
      <c r="LX109" s="294">
        <v>-9663</v>
      </c>
      <c r="LY109" s="294"/>
      <c r="LZ109" s="294">
        <v>-17804</v>
      </c>
      <c r="MA109" s="294"/>
      <c r="MB109" s="294"/>
      <c r="MC109" s="294"/>
      <c r="MD109" s="294"/>
      <c r="ME109" s="294"/>
      <c r="MF109" s="294"/>
      <c r="MG109" s="294"/>
      <c r="MH109" s="294"/>
      <c r="MI109" s="294"/>
      <c r="MJ109" s="294"/>
      <c r="MK109" s="294"/>
      <c r="ML109" s="294"/>
      <c r="MM109" s="294"/>
      <c r="MN109" s="294"/>
      <c r="MO109" s="294"/>
      <c r="MP109" s="294"/>
      <c r="MQ109" s="294"/>
      <c r="MR109" s="294"/>
      <c r="MS109" s="294"/>
      <c r="MT109" s="294"/>
      <c r="MU109" s="294"/>
      <c r="MV109" s="294"/>
      <c r="MW109" s="294"/>
      <c r="MX109" s="294">
        <v>-638310</v>
      </c>
      <c r="MY109" s="294"/>
      <c r="MZ109" s="294"/>
      <c r="NA109" s="294"/>
      <c r="NB109" s="294"/>
      <c r="NC109" s="294"/>
      <c r="ND109" s="294"/>
      <c r="NE109" s="294"/>
      <c r="NF109" s="294"/>
      <c r="NG109" s="294"/>
      <c r="NH109" s="294"/>
      <c r="NI109" s="294"/>
      <c r="NJ109" s="294"/>
      <c r="NK109" s="294"/>
      <c r="NL109" s="294"/>
      <c r="NM109" s="294"/>
      <c r="NN109" s="294"/>
      <c r="NO109" s="294"/>
      <c r="NP109" s="294"/>
      <c r="NQ109" s="294"/>
      <c r="NR109" s="294"/>
      <c r="NS109" s="294"/>
      <c r="NT109" s="294"/>
      <c r="NU109" s="294"/>
      <c r="NV109" s="294"/>
      <c r="NW109" s="294"/>
      <c r="NX109" s="294"/>
      <c r="NY109" s="294"/>
      <c r="NZ109" s="294">
        <v>-1785.8</v>
      </c>
      <c r="OA109" s="294"/>
      <c r="OB109" s="294"/>
      <c r="OC109" s="294"/>
      <c r="OD109" s="294"/>
      <c r="OE109" s="294"/>
      <c r="OF109" s="294"/>
      <c r="OG109" s="294"/>
      <c r="OH109" s="294"/>
      <c r="OI109" s="294"/>
      <c r="OJ109" s="294"/>
      <c r="OK109" s="294"/>
      <c r="OL109" s="294"/>
      <c r="OM109" s="294"/>
      <c r="ON109" s="294"/>
      <c r="OO109" s="294"/>
      <c r="OP109" s="294"/>
      <c r="OQ109" s="294"/>
      <c r="OR109" s="294"/>
      <c r="OS109" s="294"/>
      <c r="OT109" s="294"/>
      <c r="OU109" s="294"/>
      <c r="OV109" s="294"/>
      <c r="OW109" s="294"/>
      <c r="OX109" s="294"/>
      <c r="OY109" s="294"/>
      <c r="OZ109" s="294"/>
      <c r="PA109" s="294"/>
      <c r="PB109" s="294"/>
      <c r="PC109" s="294"/>
      <c r="PD109" s="294"/>
      <c r="PE109" s="294"/>
      <c r="PF109" s="294"/>
      <c r="PG109" s="294"/>
      <c r="PH109" s="294"/>
      <c r="PI109" s="294"/>
      <c r="PJ109" s="294"/>
      <c r="PK109" s="294"/>
      <c r="PL109" s="294"/>
      <c r="PM109" s="294"/>
      <c r="PN109" s="294"/>
      <c r="PO109" s="294"/>
      <c r="PP109" s="294"/>
      <c r="PQ109" s="294"/>
      <c r="PR109" s="294"/>
      <c r="PS109" s="294"/>
      <c r="PT109" s="294"/>
      <c r="PU109" s="294"/>
      <c r="PV109" s="294"/>
      <c r="PW109" s="294"/>
      <c r="PX109" s="294"/>
      <c r="PY109" s="294"/>
      <c r="PZ109" s="294"/>
      <c r="QA109" s="294"/>
      <c r="QB109" s="294"/>
      <c r="QC109" s="294"/>
      <c r="QD109" s="294"/>
      <c r="QE109" s="294"/>
      <c r="QF109" s="294"/>
      <c r="QG109" s="294"/>
      <c r="QH109" s="294"/>
      <c r="QI109" s="294"/>
      <c r="QJ109" s="294"/>
      <c r="QK109" s="294">
        <v>-517340</v>
      </c>
      <c r="QL109" s="294"/>
      <c r="QM109" s="294"/>
      <c r="QN109" s="294"/>
      <c r="QO109" s="294"/>
      <c r="QP109" s="294"/>
      <c r="QQ109" s="294"/>
      <c r="QR109" s="294"/>
      <c r="QS109" s="294"/>
      <c r="QT109" s="294"/>
      <c r="QU109" s="294"/>
      <c r="QV109" s="294"/>
      <c r="QW109" s="294"/>
      <c r="QX109" s="294"/>
      <c r="QY109" s="294"/>
      <c r="QZ109" s="294"/>
      <c r="RA109" s="294"/>
      <c r="RB109" s="294"/>
      <c r="RC109" s="294"/>
      <c r="RD109" s="294"/>
      <c r="RE109" s="294"/>
      <c r="RF109" s="294"/>
      <c r="RG109" s="294"/>
      <c r="RH109" s="294"/>
      <c r="RI109" s="294"/>
      <c r="RJ109" s="294"/>
      <c r="RK109" s="294"/>
      <c r="RL109" s="294">
        <v>0</v>
      </c>
      <c r="RM109" s="294">
        <v>-875650</v>
      </c>
      <c r="RN109" s="294"/>
      <c r="RO109" s="294"/>
      <c r="RP109" s="294"/>
      <c r="RQ109" s="294"/>
      <c r="RR109" s="294"/>
      <c r="RS109" s="294"/>
      <c r="RT109" s="294"/>
      <c r="RU109" s="294"/>
      <c r="RV109" s="294"/>
      <c r="RW109" s="294"/>
      <c r="RX109" s="294"/>
      <c r="RY109" s="294"/>
      <c r="RZ109" s="294"/>
      <c r="SA109" s="294">
        <v>0</v>
      </c>
      <c r="SB109" s="294">
        <v>0</v>
      </c>
      <c r="SC109" s="294"/>
      <c r="SD109" s="294"/>
      <c r="SE109" s="294"/>
      <c r="SF109" s="294"/>
      <c r="SG109" s="294"/>
      <c r="SH109" s="294"/>
      <c r="SI109" s="294"/>
      <c r="SJ109" s="294"/>
      <c r="SK109" s="294"/>
      <c r="SL109" s="294"/>
      <c r="SM109" s="294"/>
      <c r="SN109" s="294"/>
      <c r="SO109" s="294"/>
      <c r="SP109" s="294"/>
      <c r="SQ109" s="294"/>
      <c r="SR109" s="294"/>
      <c r="SS109" s="294"/>
      <c r="ST109" s="294"/>
      <c r="SU109" s="294"/>
      <c r="SV109" s="294"/>
      <c r="SW109" s="294"/>
      <c r="SX109" s="294"/>
      <c r="SY109" s="294"/>
      <c r="SZ109" s="294"/>
      <c r="TA109" s="294"/>
      <c r="TB109" s="294"/>
      <c r="TC109" s="294"/>
      <c r="TD109" s="294"/>
      <c r="TE109" s="294"/>
      <c r="TF109" s="294"/>
      <c r="TG109" s="294"/>
      <c r="TH109" s="294"/>
      <c r="TI109" s="294"/>
      <c r="TJ109" s="294"/>
      <c r="TK109" s="294"/>
      <c r="TL109" s="294"/>
      <c r="TM109" s="294"/>
      <c r="TN109" s="294"/>
      <c r="TO109" s="294"/>
      <c r="TP109" s="294"/>
      <c r="TQ109" s="294"/>
      <c r="TR109" s="294"/>
      <c r="TS109" s="294"/>
      <c r="TT109" s="294"/>
      <c r="TU109" s="294"/>
      <c r="TV109" s="294"/>
      <c r="TW109" s="294"/>
      <c r="TX109" s="294"/>
      <c r="TY109" s="294"/>
      <c r="TZ109" s="294"/>
      <c r="UA109" s="294"/>
      <c r="UB109" s="294"/>
      <c r="UC109" s="294"/>
      <c r="UD109" s="294"/>
      <c r="UE109" s="294"/>
      <c r="UF109" s="294"/>
      <c r="UG109" s="294"/>
      <c r="UH109" s="294"/>
      <c r="UI109" s="294"/>
      <c r="UJ109" s="294"/>
      <c r="UK109" s="294"/>
      <c r="UL109" s="294"/>
      <c r="UM109" s="294"/>
      <c r="UN109" s="294"/>
      <c r="UO109" s="294"/>
      <c r="UP109" s="294"/>
      <c r="UQ109" s="294"/>
      <c r="UR109" s="294"/>
      <c r="US109" s="294"/>
      <c r="UT109" s="294"/>
      <c r="UU109" s="294"/>
      <c r="UV109" s="294"/>
      <c r="UW109" s="294"/>
      <c r="UX109" s="294"/>
      <c r="UY109" s="294"/>
      <c r="UZ109" s="294"/>
      <c r="VA109" s="294"/>
      <c r="VB109" s="294"/>
      <c r="VC109" s="294"/>
      <c r="VD109" s="294"/>
      <c r="VE109" s="294"/>
      <c r="VF109" s="294"/>
      <c r="VG109" s="294"/>
      <c r="VH109" s="294"/>
      <c r="VI109" s="294"/>
      <c r="VJ109" s="294"/>
      <c r="VK109" s="294"/>
      <c r="VL109" s="294"/>
      <c r="VM109" s="294"/>
      <c r="VN109" s="294">
        <v>-13841</v>
      </c>
      <c r="VO109" s="294"/>
      <c r="VP109" s="294"/>
      <c r="VQ109" s="294"/>
      <c r="VR109" s="294">
        <v>-57327</v>
      </c>
      <c r="VS109" s="294"/>
      <c r="VT109" s="294"/>
      <c r="VU109" s="294"/>
      <c r="VV109" s="294"/>
      <c r="VW109" s="294"/>
      <c r="VX109" s="294"/>
      <c r="VY109" s="294"/>
      <c r="VZ109" s="294"/>
      <c r="WA109" s="294"/>
      <c r="WB109" s="294"/>
      <c r="WC109" s="294"/>
      <c r="WD109" s="294"/>
      <c r="WE109" s="294"/>
      <c r="WF109" s="294"/>
      <c r="WG109" s="294"/>
      <c r="WH109" s="294"/>
      <c r="WI109" s="294"/>
      <c r="WJ109" s="294"/>
      <c r="WK109" s="294"/>
      <c r="WL109" s="294"/>
      <c r="WM109" s="294"/>
      <c r="WN109" s="294"/>
      <c r="WO109" s="294"/>
      <c r="WP109" s="294"/>
      <c r="WQ109" s="294"/>
      <c r="WR109" s="294"/>
      <c r="WS109" s="294"/>
      <c r="WT109" s="294"/>
      <c r="WU109" s="294"/>
      <c r="WV109" s="294"/>
      <c r="WW109" s="294"/>
      <c r="WX109" s="294"/>
      <c r="WY109" s="294"/>
      <c r="WZ109" s="294"/>
      <c r="XA109" s="294"/>
      <c r="XB109" s="294"/>
      <c r="XC109" s="294"/>
      <c r="XD109" s="294"/>
      <c r="XE109" s="294"/>
      <c r="XF109" s="294"/>
      <c r="XG109" s="294"/>
      <c r="XH109" s="294"/>
      <c r="XI109" s="294"/>
      <c r="XJ109" s="294"/>
      <c r="XK109" s="294"/>
      <c r="XL109" s="294"/>
      <c r="XM109" s="294"/>
      <c r="XN109" s="294"/>
      <c r="XO109" s="294"/>
      <c r="XP109" s="294"/>
      <c r="XQ109" s="294"/>
      <c r="XR109" s="294"/>
      <c r="XS109" s="294"/>
      <c r="XT109" s="294"/>
      <c r="XU109" s="294"/>
      <c r="XV109" s="294"/>
      <c r="XW109" s="294"/>
      <c r="XX109" s="294"/>
      <c r="XY109" s="294"/>
      <c r="XZ109" s="294"/>
      <c r="YA109" s="294"/>
      <c r="YB109" s="294"/>
      <c r="YC109" s="294"/>
      <c r="YD109" s="294"/>
      <c r="YE109" s="294"/>
      <c r="YF109" s="294"/>
      <c r="YG109" s="294"/>
      <c r="YH109" s="294"/>
      <c r="YI109" s="294"/>
      <c r="YJ109" s="294"/>
      <c r="YK109" s="294"/>
      <c r="YL109" s="294"/>
      <c r="YM109" s="294"/>
      <c r="YN109" s="294"/>
      <c r="YO109" s="294"/>
      <c r="YP109" s="294"/>
      <c r="YQ109" s="294"/>
      <c r="YR109" s="294"/>
      <c r="YS109" s="294"/>
      <c r="YT109" s="294"/>
      <c r="YU109" s="294"/>
      <c r="YV109" s="294"/>
      <c r="YW109" s="294"/>
      <c r="YX109" s="294"/>
      <c r="YY109" s="294"/>
      <c r="YZ109" s="294"/>
      <c r="ZA109" s="294"/>
      <c r="ZB109" s="294"/>
      <c r="ZC109" s="294"/>
      <c r="ZD109" s="294"/>
      <c r="ZE109" s="294"/>
      <c r="ZF109" s="294"/>
      <c r="ZG109" s="294"/>
      <c r="ZH109" s="294"/>
      <c r="ZI109" s="294"/>
      <c r="ZJ109" s="294"/>
      <c r="ZK109" s="294"/>
      <c r="ZL109" s="294"/>
      <c r="ZM109" s="294"/>
      <c r="ZN109" s="294"/>
      <c r="ZO109" s="294"/>
      <c r="ZP109" s="294"/>
      <c r="ZQ109" s="294"/>
      <c r="ZR109" s="294"/>
      <c r="ZS109" s="294"/>
      <c r="ZT109" s="294"/>
      <c r="ZU109" s="294"/>
      <c r="ZV109" s="294"/>
      <c r="ZW109" s="294"/>
      <c r="ZX109" s="294"/>
      <c r="ZY109" s="294"/>
      <c r="ZZ109" s="294"/>
      <c r="AAA109" s="294"/>
      <c r="AAB109" s="294"/>
      <c r="AAC109" s="294"/>
      <c r="AAD109" s="294"/>
      <c r="AAE109" s="294"/>
      <c r="AAF109" s="294"/>
      <c r="AAG109" s="294"/>
      <c r="AAH109" s="294"/>
      <c r="AAI109" s="294"/>
      <c r="AAJ109" s="294"/>
      <c r="AAK109" s="294"/>
      <c r="AAL109" s="294"/>
      <c r="AAM109" s="294"/>
      <c r="AAN109" s="294"/>
      <c r="AAO109" s="294"/>
      <c r="AAP109" s="294"/>
      <c r="AAQ109" s="294"/>
      <c r="AAR109" s="294"/>
      <c r="AAS109" s="294"/>
      <c r="AAT109" s="294"/>
      <c r="AAU109" s="294"/>
      <c r="AAV109" s="294"/>
      <c r="AAW109" s="294"/>
      <c r="AAX109" s="294"/>
      <c r="AAY109" s="294">
        <v>-68630</v>
      </c>
      <c r="AAZ109" s="294"/>
      <c r="ABA109" s="294"/>
      <c r="ABB109" s="294"/>
      <c r="ABC109" s="294">
        <v>0</v>
      </c>
      <c r="ABD109" s="294"/>
      <c r="ABE109" s="294"/>
      <c r="ABF109" s="294"/>
      <c r="ABG109" s="294"/>
      <c r="ABH109" s="294"/>
      <c r="ABI109" s="294"/>
      <c r="ABJ109" s="294"/>
      <c r="ABK109" s="294">
        <v>0</v>
      </c>
      <c r="ABL109" s="294"/>
      <c r="ABM109" s="294"/>
      <c r="ABN109" s="294"/>
      <c r="ABO109" s="294"/>
      <c r="ABP109" s="294"/>
      <c r="ABQ109" s="294"/>
      <c r="ABR109" s="294"/>
      <c r="ABS109" s="294"/>
      <c r="ABT109" s="294"/>
      <c r="ABU109" s="294"/>
      <c r="ABV109" s="294"/>
      <c r="ABW109" s="294"/>
      <c r="ABX109" s="294">
        <v>0</v>
      </c>
      <c r="ABY109" s="294"/>
      <c r="ABZ109" s="294"/>
      <c r="ACA109" s="294"/>
      <c r="ACB109" s="294"/>
      <c r="ACC109" s="294"/>
      <c r="ACD109" s="294"/>
      <c r="ACE109" s="294"/>
      <c r="ACF109" s="294"/>
      <c r="ACG109" s="294"/>
      <c r="ACH109" s="294"/>
      <c r="ACI109" s="294"/>
      <c r="ACJ109" s="294"/>
      <c r="ACK109" s="294"/>
      <c r="ACL109" s="294"/>
      <c r="ACM109" s="294"/>
      <c r="ACN109" s="294"/>
      <c r="ACO109" s="294"/>
      <c r="ACP109" s="294"/>
      <c r="ACQ109" s="294"/>
      <c r="ACR109" s="294"/>
      <c r="ACS109" s="294"/>
      <c r="ACT109" s="294"/>
      <c r="ACU109" s="294"/>
      <c r="ACV109" s="294"/>
      <c r="ACW109" s="294"/>
      <c r="ACX109" s="294"/>
      <c r="ACY109" s="294"/>
      <c r="ACZ109" s="294"/>
      <c r="ADA109" s="294"/>
      <c r="ADB109" s="294"/>
      <c r="ADC109" s="294"/>
      <c r="ADD109" s="294"/>
      <c r="ADE109" s="294"/>
      <c r="ADF109" s="294"/>
      <c r="ADG109" s="294"/>
      <c r="ADH109" s="294"/>
      <c r="ADI109" s="294"/>
      <c r="ADJ109" s="294"/>
      <c r="ADK109" s="294"/>
      <c r="ADL109" s="294"/>
      <c r="ADM109" s="294"/>
      <c r="ADN109" s="294"/>
      <c r="ADO109" s="294"/>
      <c r="ADP109" s="294"/>
      <c r="ADQ109" s="294"/>
      <c r="ADR109" s="294"/>
      <c r="ADS109" s="294"/>
      <c r="ADT109" s="294"/>
      <c r="ADU109" s="294"/>
      <c r="ADV109" s="294"/>
      <c r="ADW109" s="294"/>
      <c r="ADX109" s="294"/>
      <c r="ADY109" s="294"/>
      <c r="ADZ109" s="294"/>
      <c r="AEA109" s="294"/>
      <c r="AEB109" s="294"/>
      <c r="AEC109" s="294"/>
      <c r="AED109" s="294"/>
      <c r="AEE109" s="294"/>
      <c r="AEF109" s="294"/>
      <c r="AEG109" s="294"/>
      <c r="AEH109" s="294"/>
      <c r="AEI109" s="294"/>
      <c r="AEJ109" s="294"/>
      <c r="AEK109" s="294"/>
      <c r="AEL109" s="294"/>
      <c r="AEM109" s="294"/>
      <c r="AEN109" s="294"/>
      <c r="AEO109" s="294"/>
      <c r="AEP109" s="294"/>
      <c r="AEQ109" s="294"/>
      <c r="AER109" s="294"/>
      <c r="AES109" s="294">
        <v>0</v>
      </c>
      <c r="AET109" s="294"/>
      <c r="AEU109" s="294"/>
      <c r="AEV109" s="294"/>
      <c r="AEW109" s="294"/>
      <c r="AEX109" s="294"/>
      <c r="AEY109" s="294"/>
      <c r="AEZ109" s="294"/>
      <c r="AFA109" s="294"/>
      <c r="AFB109" s="294"/>
      <c r="AFC109" s="294"/>
      <c r="AFD109" s="294"/>
      <c r="AFE109" s="294"/>
      <c r="AFF109" s="294"/>
      <c r="AFG109" s="294"/>
      <c r="AFH109" s="294"/>
      <c r="AFI109" s="294"/>
      <c r="AFJ109" s="294"/>
      <c r="AFK109" s="294"/>
      <c r="AFL109" s="294"/>
      <c r="AFM109" s="294"/>
      <c r="AFN109" s="294"/>
      <c r="AFO109" s="294"/>
      <c r="AFP109" s="294"/>
      <c r="AFQ109" s="294"/>
      <c r="AFR109" s="294"/>
      <c r="AFS109" s="294"/>
      <c r="AFT109" s="294"/>
      <c r="AFU109" s="294"/>
      <c r="AFV109" s="294"/>
      <c r="AFW109" s="294"/>
      <c r="AFX109" s="294"/>
      <c r="AFY109" s="294"/>
      <c r="AFZ109" s="294"/>
      <c r="AGA109" s="294"/>
      <c r="AGB109" s="294"/>
      <c r="AGC109" s="294"/>
      <c r="AGD109" s="294"/>
      <c r="AGE109" s="294"/>
      <c r="AGF109" s="294">
        <v>0</v>
      </c>
      <c r="AGG109" s="294"/>
      <c r="AGH109" s="294"/>
      <c r="AGI109" s="294"/>
      <c r="AGJ109" s="294"/>
      <c r="AGK109" s="294"/>
      <c r="AGL109" s="294"/>
      <c r="AGM109" s="294"/>
      <c r="AGN109" s="294"/>
      <c r="AGO109" s="294"/>
      <c r="AGP109" s="294"/>
      <c r="AGQ109" s="294"/>
      <c r="AGR109" s="294"/>
      <c r="AGS109" s="294"/>
      <c r="AGT109" s="294"/>
      <c r="AGU109" s="294"/>
      <c r="AGV109" s="294"/>
      <c r="AGW109" s="294"/>
      <c r="AGX109" s="294"/>
      <c r="AGY109" s="294"/>
      <c r="AGZ109" s="294"/>
      <c r="AHA109" s="294"/>
      <c r="AHB109" s="294"/>
      <c r="AHC109" s="294"/>
      <c r="AHD109" s="294"/>
      <c r="AHE109" s="294"/>
      <c r="AHF109" s="294"/>
      <c r="AHG109" s="294"/>
      <c r="AHH109" s="294"/>
      <c r="AHI109" s="294"/>
      <c r="AHJ109" s="294"/>
      <c r="AHK109" s="294"/>
      <c r="AHL109" s="294"/>
      <c r="AHM109" s="294"/>
      <c r="AHN109" s="294"/>
      <c r="AHO109" s="294"/>
      <c r="AHP109" s="294"/>
      <c r="AHQ109" s="294"/>
      <c r="AHR109" s="331"/>
      <c r="AHS109" s="294">
        <f t="shared" si="51"/>
        <v>-3215006.8</v>
      </c>
      <c r="AHT109" s="269" t="b">
        <f t="shared" si="52"/>
        <v>1</v>
      </c>
      <c r="AHU109" s="269" t="s">
        <v>6278</v>
      </c>
      <c r="AHV109" s="269" t="s">
        <v>6161</v>
      </c>
      <c r="AHW109" s="269" t="s">
        <v>6162</v>
      </c>
    </row>
    <row r="110" spans="1:907" ht="24.6" x14ac:dyDescent="0.7">
      <c r="A110" s="268" t="s">
        <v>6278</v>
      </c>
      <c r="B110" s="268" t="s">
        <v>6163</v>
      </c>
      <c r="C110" s="269" t="s">
        <v>6164</v>
      </c>
      <c r="D110" s="294"/>
      <c r="E110" s="294"/>
      <c r="F110" s="294"/>
      <c r="G110" s="294"/>
      <c r="H110" s="294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>
        <v>-3306.9</v>
      </c>
      <c r="AL110" s="294"/>
      <c r="AM110" s="294"/>
      <c r="AN110" s="294"/>
      <c r="AO110" s="294"/>
      <c r="AP110" s="294"/>
      <c r="AQ110" s="294"/>
      <c r="AR110" s="294"/>
      <c r="AS110" s="294">
        <v>-1325</v>
      </c>
      <c r="AT110" s="294"/>
      <c r="AU110" s="294"/>
      <c r="AV110" s="294"/>
      <c r="AW110" s="294"/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  <c r="BR110" s="294"/>
      <c r="BS110" s="294"/>
      <c r="BT110" s="294"/>
      <c r="BU110" s="294"/>
      <c r="BV110" s="294"/>
      <c r="BW110" s="294"/>
      <c r="BX110" s="294"/>
      <c r="BY110" s="294"/>
      <c r="BZ110" s="294">
        <v>0</v>
      </c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294"/>
      <c r="CO110" s="294"/>
      <c r="CP110" s="294"/>
      <c r="CQ110" s="294"/>
      <c r="CR110" s="294"/>
      <c r="CS110" s="294"/>
      <c r="CT110" s="294"/>
      <c r="CU110" s="294"/>
      <c r="CV110" s="294"/>
      <c r="CW110" s="294"/>
      <c r="CX110" s="294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294"/>
      <c r="DL110" s="294"/>
      <c r="DM110" s="294"/>
      <c r="DN110" s="294"/>
      <c r="DO110" s="294"/>
      <c r="DP110" s="294"/>
      <c r="DQ110" s="294">
        <v>-89670</v>
      </c>
      <c r="DR110" s="294"/>
      <c r="DS110" s="294"/>
      <c r="DT110" s="294"/>
      <c r="DU110" s="294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  <c r="FI110" s="294"/>
      <c r="FJ110" s="294"/>
      <c r="FK110" s="294"/>
      <c r="FL110" s="294"/>
      <c r="FM110" s="294"/>
      <c r="FN110" s="294"/>
      <c r="FO110" s="294"/>
      <c r="FP110" s="294"/>
      <c r="FQ110" s="294"/>
      <c r="FR110" s="294"/>
      <c r="FS110" s="294"/>
      <c r="FT110" s="294"/>
      <c r="FU110" s="294"/>
      <c r="FV110" s="294"/>
      <c r="FW110" s="294"/>
      <c r="FX110" s="294">
        <v>-217890</v>
      </c>
      <c r="FY110" s="294"/>
      <c r="FZ110" s="294"/>
      <c r="GA110" s="294"/>
      <c r="GB110" s="294"/>
      <c r="GC110" s="294"/>
      <c r="GD110" s="294"/>
      <c r="GE110" s="294"/>
      <c r="GF110" s="294"/>
      <c r="GG110" s="294"/>
      <c r="GH110" s="294"/>
      <c r="GI110" s="294"/>
      <c r="GJ110" s="294"/>
      <c r="GK110" s="294"/>
      <c r="GL110" s="294"/>
      <c r="GM110" s="294"/>
      <c r="GN110" s="294"/>
      <c r="GO110" s="294"/>
      <c r="GP110" s="294"/>
      <c r="GQ110" s="294"/>
      <c r="GR110" s="294"/>
      <c r="GS110" s="294"/>
      <c r="GT110" s="294"/>
      <c r="GU110" s="294"/>
      <c r="GV110" s="294"/>
      <c r="GW110" s="294"/>
      <c r="GX110" s="294"/>
      <c r="GY110" s="294"/>
      <c r="GZ110" s="294"/>
      <c r="HA110" s="294"/>
      <c r="HB110" s="294"/>
      <c r="HC110" s="294"/>
      <c r="HD110" s="294"/>
      <c r="HE110" s="294"/>
      <c r="HF110" s="294"/>
      <c r="HG110" s="294"/>
      <c r="HH110" s="294"/>
      <c r="HI110" s="294"/>
      <c r="HJ110" s="294"/>
      <c r="HK110" s="294"/>
      <c r="HL110" s="294"/>
      <c r="HM110" s="294"/>
      <c r="HN110" s="294"/>
      <c r="HO110" s="294"/>
      <c r="HP110" s="294"/>
      <c r="HQ110" s="294"/>
      <c r="HR110" s="294"/>
      <c r="HS110" s="294"/>
      <c r="HT110" s="294"/>
      <c r="HU110" s="294"/>
      <c r="HV110" s="294"/>
      <c r="HW110" s="294"/>
      <c r="HX110" s="294"/>
      <c r="HY110" s="294"/>
      <c r="HZ110" s="294"/>
      <c r="IA110" s="294"/>
      <c r="IB110" s="294"/>
      <c r="IC110" s="294"/>
      <c r="ID110" s="294"/>
      <c r="IE110" s="294"/>
      <c r="IF110" s="294"/>
      <c r="IG110" s="294"/>
      <c r="IH110" s="294"/>
      <c r="II110" s="294"/>
      <c r="IJ110" s="294"/>
      <c r="IK110" s="294"/>
      <c r="IL110" s="294"/>
      <c r="IM110" s="294"/>
      <c r="IN110" s="294"/>
      <c r="IO110" s="294"/>
      <c r="IP110" s="294"/>
      <c r="IQ110" s="294">
        <v>0</v>
      </c>
      <c r="IR110" s="294"/>
      <c r="IS110" s="294"/>
      <c r="IT110" s="294">
        <v>0</v>
      </c>
      <c r="IU110" s="294"/>
      <c r="IV110" s="294"/>
      <c r="IW110" s="294"/>
      <c r="IX110" s="294"/>
      <c r="IY110" s="294"/>
      <c r="IZ110" s="294"/>
      <c r="JA110" s="294"/>
      <c r="JB110" s="294"/>
      <c r="JC110" s="294"/>
      <c r="JD110" s="294"/>
      <c r="JE110" s="294"/>
      <c r="JF110" s="294"/>
      <c r="JG110" s="294"/>
      <c r="JH110" s="294"/>
      <c r="JI110" s="294"/>
      <c r="JJ110" s="294"/>
      <c r="JK110" s="294"/>
      <c r="JL110" s="294"/>
      <c r="JM110" s="294"/>
      <c r="JN110" s="294"/>
      <c r="JO110" s="294"/>
      <c r="JP110" s="294"/>
      <c r="JQ110" s="294"/>
      <c r="JR110" s="294"/>
      <c r="JS110" s="294"/>
      <c r="JT110" s="294"/>
      <c r="JU110" s="294"/>
      <c r="JV110" s="294"/>
      <c r="JW110" s="294"/>
      <c r="JX110" s="294"/>
      <c r="JY110" s="294"/>
      <c r="JZ110" s="294"/>
      <c r="KA110" s="294"/>
      <c r="KB110" s="294"/>
      <c r="KC110" s="294"/>
      <c r="KD110" s="294"/>
      <c r="KE110" s="294"/>
      <c r="KF110" s="294"/>
      <c r="KG110" s="294"/>
      <c r="KH110" s="294"/>
      <c r="KI110" s="294"/>
      <c r="KJ110" s="294"/>
      <c r="KK110" s="294"/>
      <c r="KL110" s="294"/>
      <c r="KM110" s="294"/>
      <c r="KN110" s="294"/>
      <c r="KO110" s="294"/>
      <c r="KP110" s="294"/>
      <c r="KQ110" s="294"/>
      <c r="KR110" s="294"/>
      <c r="KS110" s="294"/>
      <c r="KT110" s="294"/>
      <c r="KU110" s="294"/>
      <c r="KV110" s="294"/>
      <c r="KW110" s="294"/>
      <c r="KX110" s="294"/>
      <c r="KY110" s="294"/>
      <c r="KZ110" s="294"/>
      <c r="LA110" s="294"/>
      <c r="LB110" s="294"/>
      <c r="LC110" s="294"/>
      <c r="LD110" s="294"/>
      <c r="LE110" s="294"/>
      <c r="LF110" s="294"/>
      <c r="LG110" s="294"/>
      <c r="LH110" s="294"/>
      <c r="LI110" s="294"/>
      <c r="LJ110" s="294"/>
      <c r="LK110" s="294"/>
      <c r="LL110" s="294"/>
      <c r="LM110" s="294"/>
      <c r="LN110" s="294"/>
      <c r="LO110" s="294"/>
      <c r="LP110" s="294"/>
      <c r="LQ110" s="294"/>
      <c r="LR110" s="294"/>
      <c r="LS110" s="294"/>
      <c r="LT110" s="294"/>
      <c r="LU110" s="294"/>
      <c r="LV110" s="294"/>
      <c r="LW110" s="294"/>
      <c r="LX110" s="294">
        <v>-3869</v>
      </c>
      <c r="LY110" s="294"/>
      <c r="LZ110" s="294"/>
      <c r="MA110" s="294"/>
      <c r="MB110" s="294"/>
      <c r="MC110" s="294"/>
      <c r="MD110" s="294"/>
      <c r="ME110" s="294"/>
      <c r="MF110" s="294"/>
      <c r="MG110" s="294"/>
      <c r="MH110" s="294"/>
      <c r="MI110" s="294"/>
      <c r="MJ110" s="294"/>
      <c r="MK110" s="294"/>
      <c r="ML110" s="294"/>
      <c r="MM110" s="294"/>
      <c r="MN110" s="294"/>
      <c r="MO110" s="294"/>
      <c r="MP110" s="294"/>
      <c r="MQ110" s="294"/>
      <c r="MR110" s="294"/>
      <c r="MS110" s="294"/>
      <c r="MT110" s="294"/>
      <c r="MU110" s="294"/>
      <c r="MV110" s="294"/>
      <c r="MW110" s="294"/>
      <c r="MX110" s="294"/>
      <c r="MY110" s="294"/>
      <c r="MZ110" s="294"/>
      <c r="NA110" s="294"/>
      <c r="NB110" s="294"/>
      <c r="NC110" s="294"/>
      <c r="ND110" s="294"/>
      <c r="NE110" s="294"/>
      <c r="NF110" s="294">
        <v>0</v>
      </c>
      <c r="NG110" s="294"/>
      <c r="NH110" s="294"/>
      <c r="NI110" s="294"/>
      <c r="NJ110" s="294"/>
      <c r="NK110" s="294"/>
      <c r="NL110" s="294"/>
      <c r="NM110" s="294"/>
      <c r="NN110" s="294"/>
      <c r="NO110" s="294"/>
      <c r="NP110" s="294"/>
      <c r="NQ110" s="294"/>
      <c r="NR110" s="294"/>
      <c r="NS110" s="294"/>
      <c r="NT110" s="294"/>
      <c r="NU110" s="294"/>
      <c r="NV110" s="294"/>
      <c r="NW110" s="294"/>
      <c r="NX110" s="294"/>
      <c r="NY110" s="294"/>
      <c r="NZ110" s="294">
        <v>-7451.4</v>
      </c>
      <c r="OA110" s="294"/>
      <c r="OB110" s="294"/>
      <c r="OC110" s="294"/>
      <c r="OD110" s="294"/>
      <c r="OE110" s="294"/>
      <c r="OF110" s="294"/>
      <c r="OG110" s="294"/>
      <c r="OH110" s="294"/>
      <c r="OI110" s="294"/>
      <c r="OJ110" s="294"/>
      <c r="OK110" s="294"/>
      <c r="OL110" s="294"/>
      <c r="OM110" s="294"/>
      <c r="ON110" s="294"/>
      <c r="OO110" s="294"/>
      <c r="OP110" s="294"/>
      <c r="OQ110" s="294"/>
      <c r="OR110" s="294"/>
      <c r="OS110" s="294"/>
      <c r="OT110" s="294"/>
      <c r="OU110" s="294"/>
      <c r="OV110" s="294"/>
      <c r="OW110" s="294"/>
      <c r="OX110" s="294"/>
      <c r="OY110" s="294"/>
      <c r="OZ110" s="294"/>
      <c r="PA110" s="294"/>
      <c r="PB110" s="294"/>
      <c r="PC110" s="294"/>
      <c r="PD110" s="294"/>
      <c r="PE110" s="294"/>
      <c r="PF110" s="294"/>
      <c r="PG110" s="294"/>
      <c r="PH110" s="294"/>
      <c r="PI110" s="294"/>
      <c r="PJ110" s="294"/>
      <c r="PK110" s="294"/>
      <c r="PL110" s="294"/>
      <c r="PM110" s="294"/>
      <c r="PN110" s="294"/>
      <c r="PO110" s="294"/>
      <c r="PP110" s="294"/>
      <c r="PQ110" s="294"/>
      <c r="PR110" s="294"/>
      <c r="PS110" s="294"/>
      <c r="PT110" s="294"/>
      <c r="PU110" s="294"/>
      <c r="PV110" s="294"/>
      <c r="PW110" s="294"/>
      <c r="PX110" s="294"/>
      <c r="PY110" s="294"/>
      <c r="PZ110" s="294"/>
      <c r="QA110" s="294"/>
      <c r="QB110" s="294"/>
      <c r="QC110" s="294"/>
      <c r="QD110" s="294"/>
      <c r="QE110" s="294"/>
      <c r="QF110" s="294"/>
      <c r="QG110" s="294"/>
      <c r="QH110" s="294"/>
      <c r="QI110" s="294"/>
      <c r="QJ110" s="294"/>
      <c r="QK110" s="294">
        <v>-69010</v>
      </c>
      <c r="QL110" s="294"/>
      <c r="QM110" s="294"/>
      <c r="QN110" s="294"/>
      <c r="QO110" s="294"/>
      <c r="QP110" s="294"/>
      <c r="QQ110" s="294"/>
      <c r="QR110" s="294"/>
      <c r="QS110" s="294"/>
      <c r="QT110" s="294"/>
      <c r="QU110" s="294"/>
      <c r="QV110" s="294"/>
      <c r="QW110" s="294"/>
      <c r="QX110" s="294"/>
      <c r="QY110" s="294"/>
      <c r="QZ110" s="294"/>
      <c r="RA110" s="294"/>
      <c r="RB110" s="294"/>
      <c r="RC110" s="294"/>
      <c r="RD110" s="294"/>
      <c r="RE110" s="294"/>
      <c r="RF110" s="294"/>
      <c r="RG110" s="294"/>
      <c r="RH110" s="294"/>
      <c r="RI110" s="294"/>
      <c r="RJ110" s="294"/>
      <c r="RK110" s="294"/>
      <c r="RL110" s="294">
        <v>0</v>
      </c>
      <c r="RM110" s="294"/>
      <c r="RN110" s="294"/>
      <c r="RO110" s="294"/>
      <c r="RP110" s="294"/>
      <c r="RQ110" s="294"/>
      <c r="RR110" s="294"/>
      <c r="RS110" s="294"/>
      <c r="RT110" s="294"/>
      <c r="RU110" s="294"/>
      <c r="RV110" s="294"/>
      <c r="RW110" s="294"/>
      <c r="RX110" s="294"/>
      <c r="RY110" s="294"/>
      <c r="RZ110" s="294"/>
      <c r="SA110" s="294">
        <v>0</v>
      </c>
      <c r="SB110" s="294">
        <v>0</v>
      </c>
      <c r="SC110" s="294"/>
      <c r="SD110" s="294"/>
      <c r="SE110" s="294"/>
      <c r="SF110" s="294"/>
      <c r="SG110" s="294"/>
      <c r="SH110" s="294"/>
      <c r="SI110" s="294"/>
      <c r="SJ110" s="294"/>
      <c r="SK110" s="294"/>
      <c r="SL110" s="294"/>
      <c r="SM110" s="294"/>
      <c r="SN110" s="294"/>
      <c r="SO110" s="294"/>
      <c r="SP110" s="294"/>
      <c r="SQ110" s="294"/>
      <c r="SR110" s="294"/>
      <c r="SS110" s="294"/>
      <c r="ST110" s="294"/>
      <c r="SU110" s="294"/>
      <c r="SV110" s="294"/>
      <c r="SW110" s="294"/>
      <c r="SX110" s="294"/>
      <c r="SY110" s="294"/>
      <c r="SZ110" s="294"/>
      <c r="TA110" s="294"/>
      <c r="TB110" s="294"/>
      <c r="TC110" s="294"/>
      <c r="TD110" s="294"/>
      <c r="TE110" s="294"/>
      <c r="TF110" s="294"/>
      <c r="TG110" s="294"/>
      <c r="TH110" s="294"/>
      <c r="TI110" s="294"/>
      <c r="TJ110" s="294"/>
      <c r="TK110" s="294"/>
      <c r="TL110" s="294"/>
      <c r="TM110" s="294"/>
      <c r="TN110" s="294"/>
      <c r="TO110" s="294"/>
      <c r="TP110" s="294"/>
      <c r="TQ110" s="294"/>
      <c r="TR110" s="294"/>
      <c r="TS110" s="294"/>
      <c r="TT110" s="294"/>
      <c r="TU110" s="294"/>
      <c r="TV110" s="294"/>
      <c r="TW110" s="294"/>
      <c r="TX110" s="294"/>
      <c r="TY110" s="294"/>
      <c r="TZ110" s="294"/>
      <c r="UA110" s="294"/>
      <c r="UB110" s="294"/>
      <c r="UC110" s="294"/>
      <c r="UD110" s="294"/>
      <c r="UE110" s="294"/>
      <c r="UF110" s="294"/>
      <c r="UG110" s="294"/>
      <c r="UH110" s="294"/>
      <c r="UI110" s="294"/>
      <c r="UJ110" s="294"/>
      <c r="UK110" s="294"/>
      <c r="UL110" s="294"/>
      <c r="UM110" s="294"/>
      <c r="UN110" s="294"/>
      <c r="UO110" s="294"/>
      <c r="UP110" s="294"/>
      <c r="UQ110" s="294"/>
      <c r="UR110" s="294"/>
      <c r="US110" s="294"/>
      <c r="UT110" s="294"/>
      <c r="UU110" s="294"/>
      <c r="UV110" s="294"/>
      <c r="UW110" s="294"/>
      <c r="UX110" s="294"/>
      <c r="UY110" s="294"/>
      <c r="UZ110" s="294"/>
      <c r="VA110" s="294"/>
      <c r="VB110" s="294"/>
      <c r="VC110" s="294"/>
      <c r="VD110" s="294"/>
      <c r="VE110" s="294"/>
      <c r="VF110" s="294"/>
      <c r="VG110" s="294"/>
      <c r="VH110" s="294"/>
      <c r="VI110" s="294"/>
      <c r="VJ110" s="294"/>
      <c r="VK110" s="294"/>
      <c r="VL110" s="294"/>
      <c r="VM110" s="294">
        <v>-29600</v>
      </c>
      <c r="VN110" s="294"/>
      <c r="VO110" s="294"/>
      <c r="VP110" s="294"/>
      <c r="VQ110" s="294"/>
      <c r="VR110" s="294">
        <v>-39480</v>
      </c>
      <c r="VS110" s="294"/>
      <c r="VT110" s="294"/>
      <c r="VU110" s="294"/>
      <c r="VV110" s="294"/>
      <c r="VW110" s="294"/>
      <c r="VX110" s="294"/>
      <c r="VY110" s="294"/>
      <c r="VZ110" s="294"/>
      <c r="WA110" s="294"/>
      <c r="WB110" s="294"/>
      <c r="WC110" s="294"/>
      <c r="WD110" s="294"/>
      <c r="WE110" s="294"/>
      <c r="WF110" s="294"/>
      <c r="WG110" s="294"/>
      <c r="WH110" s="294"/>
      <c r="WI110" s="294"/>
      <c r="WJ110" s="294"/>
      <c r="WK110" s="294"/>
      <c r="WL110" s="294"/>
      <c r="WM110" s="294"/>
      <c r="WN110" s="294"/>
      <c r="WO110" s="294"/>
      <c r="WP110" s="294"/>
      <c r="WQ110" s="294"/>
      <c r="WR110" s="294"/>
      <c r="WS110" s="294"/>
      <c r="WT110" s="294"/>
      <c r="WU110" s="294"/>
      <c r="WV110" s="294"/>
      <c r="WW110" s="294"/>
      <c r="WX110" s="294"/>
      <c r="WY110" s="294"/>
      <c r="WZ110" s="294"/>
      <c r="XA110" s="294"/>
      <c r="XB110" s="294"/>
      <c r="XC110" s="294"/>
      <c r="XD110" s="294"/>
      <c r="XE110" s="294"/>
      <c r="XF110" s="294"/>
      <c r="XG110" s="294"/>
      <c r="XH110" s="294"/>
      <c r="XI110" s="294"/>
      <c r="XJ110" s="294"/>
      <c r="XK110" s="294"/>
      <c r="XL110" s="294"/>
      <c r="XM110" s="294"/>
      <c r="XN110" s="294"/>
      <c r="XO110" s="294"/>
      <c r="XP110" s="294"/>
      <c r="XQ110" s="294"/>
      <c r="XR110" s="294"/>
      <c r="XS110" s="294"/>
      <c r="XT110" s="294"/>
      <c r="XU110" s="294"/>
      <c r="XV110" s="294"/>
      <c r="XW110" s="294"/>
      <c r="XX110" s="294"/>
      <c r="XY110" s="294"/>
      <c r="XZ110" s="294"/>
      <c r="YA110" s="294"/>
      <c r="YB110" s="294"/>
      <c r="YC110" s="294"/>
      <c r="YD110" s="294"/>
      <c r="YE110" s="294"/>
      <c r="YF110" s="294"/>
      <c r="YG110" s="294"/>
      <c r="YH110" s="294"/>
      <c r="YI110" s="294"/>
      <c r="YJ110" s="294"/>
      <c r="YK110" s="294"/>
      <c r="YL110" s="294"/>
      <c r="YM110" s="294"/>
      <c r="YN110" s="294"/>
      <c r="YO110" s="294"/>
      <c r="YP110" s="294"/>
      <c r="YQ110" s="294">
        <v>-2590</v>
      </c>
      <c r="YR110" s="294"/>
      <c r="YS110" s="294"/>
      <c r="YT110" s="294"/>
      <c r="YU110" s="294"/>
      <c r="YV110" s="294"/>
      <c r="YW110" s="294"/>
      <c r="YX110" s="294"/>
      <c r="YY110" s="294"/>
      <c r="YZ110" s="294"/>
      <c r="ZA110" s="294"/>
      <c r="ZB110" s="294"/>
      <c r="ZC110" s="294"/>
      <c r="ZD110" s="294"/>
      <c r="ZE110" s="294"/>
      <c r="ZF110" s="294"/>
      <c r="ZG110" s="294"/>
      <c r="ZH110" s="294"/>
      <c r="ZI110" s="294"/>
      <c r="ZJ110" s="294"/>
      <c r="ZK110" s="294"/>
      <c r="ZL110" s="294"/>
      <c r="ZM110" s="294"/>
      <c r="ZN110" s="294"/>
      <c r="ZO110" s="294"/>
      <c r="ZP110" s="294"/>
      <c r="ZQ110" s="294"/>
      <c r="ZR110" s="294"/>
      <c r="ZS110" s="294"/>
      <c r="ZT110" s="294"/>
      <c r="ZU110" s="294"/>
      <c r="ZV110" s="294"/>
      <c r="ZW110" s="294"/>
      <c r="ZX110" s="294"/>
      <c r="ZY110" s="294"/>
      <c r="ZZ110" s="294"/>
      <c r="AAA110" s="294"/>
      <c r="AAB110" s="294"/>
      <c r="AAC110" s="294"/>
      <c r="AAD110" s="294"/>
      <c r="AAE110" s="294"/>
      <c r="AAF110" s="294"/>
      <c r="AAG110" s="294"/>
      <c r="AAH110" s="294"/>
      <c r="AAI110" s="294"/>
      <c r="AAJ110" s="294"/>
      <c r="AAK110" s="294"/>
      <c r="AAL110" s="294"/>
      <c r="AAM110" s="294"/>
      <c r="AAN110" s="294"/>
      <c r="AAO110" s="294"/>
      <c r="AAP110" s="294"/>
      <c r="AAQ110" s="294"/>
      <c r="AAR110" s="294"/>
      <c r="AAS110" s="294"/>
      <c r="AAT110" s="294"/>
      <c r="AAU110" s="294"/>
      <c r="AAV110" s="294"/>
      <c r="AAW110" s="294"/>
      <c r="AAX110" s="294"/>
      <c r="AAY110" s="294">
        <v>-29150</v>
      </c>
      <c r="AAZ110" s="294"/>
      <c r="ABA110" s="294"/>
      <c r="ABB110" s="294"/>
      <c r="ABC110" s="294">
        <v>0</v>
      </c>
      <c r="ABD110" s="294"/>
      <c r="ABE110" s="294"/>
      <c r="ABF110" s="294"/>
      <c r="ABG110" s="294"/>
      <c r="ABH110" s="294"/>
      <c r="ABI110" s="294"/>
      <c r="ABJ110" s="294"/>
      <c r="ABK110" s="294">
        <v>0</v>
      </c>
      <c r="ABL110" s="294"/>
      <c r="ABM110" s="294"/>
      <c r="ABN110" s="294"/>
      <c r="ABO110" s="294"/>
      <c r="ABP110" s="294"/>
      <c r="ABQ110" s="294"/>
      <c r="ABR110" s="294"/>
      <c r="ABS110" s="294"/>
      <c r="ABT110" s="294"/>
      <c r="ABU110" s="294"/>
      <c r="ABV110" s="294"/>
      <c r="ABW110" s="294"/>
      <c r="ABX110" s="294"/>
      <c r="ABY110" s="294"/>
      <c r="ABZ110" s="294"/>
      <c r="ACA110" s="294"/>
      <c r="ACB110" s="294"/>
      <c r="ACC110" s="294"/>
      <c r="ACD110" s="294"/>
      <c r="ACE110" s="294"/>
      <c r="ACF110" s="294"/>
      <c r="ACG110" s="294"/>
      <c r="ACH110" s="294"/>
      <c r="ACI110" s="294"/>
      <c r="ACJ110" s="294"/>
      <c r="ACK110" s="294"/>
      <c r="ACL110" s="294"/>
      <c r="ACM110" s="294"/>
      <c r="ACN110" s="294"/>
      <c r="ACO110" s="294"/>
      <c r="ACP110" s="294"/>
      <c r="ACQ110" s="294"/>
      <c r="ACR110" s="294"/>
      <c r="ACS110" s="294"/>
      <c r="ACT110" s="294"/>
      <c r="ACU110" s="294"/>
      <c r="ACV110" s="294"/>
      <c r="ACW110" s="294"/>
      <c r="ACX110" s="294"/>
      <c r="ACY110" s="294"/>
      <c r="ACZ110" s="294"/>
      <c r="ADA110" s="294"/>
      <c r="ADB110" s="294"/>
      <c r="ADC110" s="294"/>
      <c r="ADD110" s="294"/>
      <c r="ADE110" s="294"/>
      <c r="ADF110" s="294"/>
      <c r="ADG110" s="294"/>
      <c r="ADH110" s="294"/>
      <c r="ADI110" s="294"/>
      <c r="ADJ110" s="294"/>
      <c r="ADK110" s="294"/>
      <c r="ADL110" s="294"/>
      <c r="ADM110" s="294"/>
      <c r="ADN110" s="294"/>
      <c r="ADO110" s="294"/>
      <c r="ADP110" s="294"/>
      <c r="ADQ110" s="294"/>
      <c r="ADR110" s="294"/>
      <c r="ADS110" s="294"/>
      <c r="ADT110" s="294">
        <v>-88620</v>
      </c>
      <c r="ADU110" s="294"/>
      <c r="ADV110" s="294"/>
      <c r="ADW110" s="294"/>
      <c r="ADX110" s="294"/>
      <c r="ADY110" s="294"/>
      <c r="ADZ110" s="294"/>
      <c r="AEA110" s="294"/>
      <c r="AEB110" s="294"/>
      <c r="AEC110" s="294"/>
      <c r="AED110" s="294"/>
      <c r="AEE110" s="294"/>
      <c r="AEF110" s="294"/>
      <c r="AEG110" s="294"/>
      <c r="AEH110" s="294"/>
      <c r="AEI110" s="294"/>
      <c r="AEJ110" s="294"/>
      <c r="AEK110" s="294"/>
      <c r="AEL110" s="294"/>
      <c r="AEM110" s="294"/>
      <c r="AEN110" s="294"/>
      <c r="AEO110" s="294"/>
      <c r="AEP110" s="294"/>
      <c r="AEQ110" s="294"/>
      <c r="AER110" s="294"/>
      <c r="AES110" s="294">
        <v>0</v>
      </c>
      <c r="AET110" s="294"/>
      <c r="AEU110" s="294"/>
      <c r="AEV110" s="294"/>
      <c r="AEW110" s="294"/>
      <c r="AEX110" s="294"/>
      <c r="AEY110" s="294"/>
      <c r="AEZ110" s="294"/>
      <c r="AFA110" s="294"/>
      <c r="AFB110" s="294"/>
      <c r="AFC110" s="294"/>
      <c r="AFD110" s="294"/>
      <c r="AFE110" s="294"/>
      <c r="AFF110" s="294"/>
      <c r="AFG110" s="294"/>
      <c r="AFH110" s="294"/>
      <c r="AFI110" s="294"/>
      <c r="AFJ110" s="294"/>
      <c r="AFK110" s="294"/>
      <c r="AFL110" s="294"/>
      <c r="AFM110" s="294"/>
      <c r="AFN110" s="294"/>
      <c r="AFO110" s="294"/>
      <c r="AFP110" s="294"/>
      <c r="AFQ110" s="294"/>
      <c r="AFR110" s="294"/>
      <c r="AFS110" s="294"/>
      <c r="AFT110" s="294"/>
      <c r="AFU110" s="294"/>
      <c r="AFV110" s="294"/>
      <c r="AFW110" s="294"/>
      <c r="AFX110" s="294"/>
      <c r="AFY110" s="294"/>
      <c r="AFZ110" s="294"/>
      <c r="AGA110" s="294"/>
      <c r="AGB110" s="294"/>
      <c r="AGC110" s="294"/>
      <c r="AGD110" s="294"/>
      <c r="AGE110" s="294"/>
      <c r="AGF110" s="294">
        <v>0</v>
      </c>
      <c r="AGG110" s="294"/>
      <c r="AGH110" s="294"/>
      <c r="AGI110" s="294"/>
      <c r="AGJ110" s="294"/>
      <c r="AGK110" s="294"/>
      <c r="AGL110" s="294"/>
      <c r="AGM110" s="294"/>
      <c r="AGN110" s="294"/>
      <c r="AGO110" s="294"/>
      <c r="AGP110" s="294"/>
      <c r="AGQ110" s="294"/>
      <c r="AGR110" s="294"/>
      <c r="AGS110" s="294"/>
      <c r="AGT110" s="294"/>
      <c r="AGU110" s="294"/>
      <c r="AGV110" s="294"/>
      <c r="AGW110" s="294"/>
      <c r="AGX110" s="294"/>
      <c r="AGY110" s="294"/>
      <c r="AGZ110" s="294"/>
      <c r="AHA110" s="294"/>
      <c r="AHB110" s="294"/>
      <c r="AHC110" s="294"/>
      <c r="AHD110" s="294"/>
      <c r="AHE110" s="294"/>
      <c r="AHF110" s="294"/>
      <c r="AHG110" s="294"/>
      <c r="AHH110" s="294"/>
      <c r="AHI110" s="294"/>
      <c r="AHJ110" s="294"/>
      <c r="AHK110" s="294"/>
      <c r="AHL110" s="294"/>
      <c r="AHM110" s="294"/>
      <c r="AHN110" s="294"/>
      <c r="AHO110" s="294"/>
      <c r="AHP110" s="294"/>
      <c r="AHQ110" s="294"/>
      <c r="AHR110" s="331"/>
      <c r="AHS110" s="294">
        <f>SUM(D110:AHR110)</f>
        <v>-581962.30000000005</v>
      </c>
      <c r="AHT110" s="269" t="b">
        <f t="shared" si="52"/>
        <v>1</v>
      </c>
      <c r="AHU110" s="269" t="s">
        <v>6278</v>
      </c>
      <c r="AHV110" s="269" t="s">
        <v>6163</v>
      </c>
      <c r="AHW110" s="269" t="s">
        <v>6164</v>
      </c>
    </row>
    <row r="111" spans="1:907" ht="24.6" x14ac:dyDescent="0.7">
      <c r="A111" s="268" t="s">
        <v>6278</v>
      </c>
      <c r="B111" s="268" t="s">
        <v>6165</v>
      </c>
      <c r="C111" s="269" t="s">
        <v>6166</v>
      </c>
      <c r="D111" s="294">
        <v>-2085000</v>
      </c>
      <c r="E111" s="294"/>
      <c r="F111" s="294"/>
      <c r="G111" s="294"/>
      <c r="H111" s="294"/>
      <c r="I111" s="294"/>
      <c r="J111" s="294"/>
      <c r="K111" s="294">
        <v>-170000</v>
      </c>
      <c r="L111" s="294">
        <v>-160000</v>
      </c>
      <c r="M111" s="294"/>
      <c r="N111" s="294"/>
      <c r="O111" s="294"/>
      <c r="P111" s="294"/>
      <c r="Q111" s="294"/>
      <c r="R111" s="294">
        <v>-85000</v>
      </c>
      <c r="S111" s="294"/>
      <c r="T111" s="294">
        <v>-135000</v>
      </c>
      <c r="U111" s="294">
        <v>-25000</v>
      </c>
      <c r="V111" s="294"/>
      <c r="W111" s="294"/>
      <c r="X111" s="294"/>
      <c r="Y111" s="294">
        <v>-210000</v>
      </c>
      <c r="Z111" s="294"/>
      <c r="AA111" s="294">
        <v>-120000</v>
      </c>
      <c r="AB111" s="294"/>
      <c r="AC111" s="294">
        <v>-505000</v>
      </c>
      <c r="AD111" s="294"/>
      <c r="AE111" s="294">
        <v>-140000</v>
      </c>
      <c r="AF111" s="294">
        <v>-435000</v>
      </c>
      <c r="AG111" s="294"/>
      <c r="AH111" s="294"/>
      <c r="AI111" s="294">
        <v>-215000</v>
      </c>
      <c r="AJ111" s="294"/>
      <c r="AK111" s="294">
        <v>-80000</v>
      </c>
      <c r="AL111" s="294">
        <v>-175000</v>
      </c>
      <c r="AM111" s="294">
        <v>-195000</v>
      </c>
      <c r="AN111" s="294">
        <v>-60000</v>
      </c>
      <c r="AO111" s="294"/>
      <c r="AP111" s="294"/>
      <c r="AQ111" s="294">
        <v>-115000</v>
      </c>
      <c r="AR111" s="294"/>
      <c r="AS111" s="294">
        <v>-60000</v>
      </c>
      <c r="AT111" s="294">
        <v>-800000</v>
      </c>
      <c r="AU111" s="294">
        <v>-90000</v>
      </c>
      <c r="AV111" s="294">
        <v>-50000</v>
      </c>
      <c r="AW111" s="294">
        <v>-350000</v>
      </c>
      <c r="AX111" s="294">
        <v>-110000</v>
      </c>
      <c r="AY111" s="294">
        <v>-155000</v>
      </c>
      <c r="AZ111" s="294">
        <v>-80000</v>
      </c>
      <c r="BA111" s="294">
        <v>-65000</v>
      </c>
      <c r="BB111" s="294">
        <v>-50000</v>
      </c>
      <c r="BC111" s="294">
        <v>-70000</v>
      </c>
      <c r="BD111" s="294">
        <v>-75000</v>
      </c>
      <c r="BE111" s="294">
        <v>-120000</v>
      </c>
      <c r="BF111" s="294">
        <v>-265000</v>
      </c>
      <c r="BG111" s="294">
        <v>-10000</v>
      </c>
      <c r="BH111" s="294">
        <v>-10000</v>
      </c>
      <c r="BI111" s="294"/>
      <c r="BJ111" s="294">
        <v>-520000</v>
      </c>
      <c r="BK111" s="294">
        <v>-115000</v>
      </c>
      <c r="BL111" s="294"/>
      <c r="BM111" s="294"/>
      <c r="BN111" s="294"/>
      <c r="BO111" s="294"/>
      <c r="BP111" s="294">
        <v>-50000</v>
      </c>
      <c r="BQ111" s="294">
        <v>-30000</v>
      </c>
      <c r="BR111" s="294"/>
      <c r="BS111" s="294">
        <v>-120000</v>
      </c>
      <c r="BT111" s="294"/>
      <c r="BU111" s="294">
        <v>-95000</v>
      </c>
      <c r="BV111" s="294"/>
      <c r="BW111" s="294"/>
      <c r="BX111" s="294">
        <v>-75000</v>
      </c>
      <c r="BY111" s="294"/>
      <c r="BZ111" s="294">
        <v>0</v>
      </c>
      <c r="CA111" s="294">
        <v>-100000</v>
      </c>
      <c r="CB111" s="294">
        <v>0</v>
      </c>
      <c r="CC111" s="294"/>
      <c r="CD111" s="294">
        <v>-80000</v>
      </c>
      <c r="CE111" s="294">
        <v>-90000</v>
      </c>
      <c r="CF111" s="294">
        <v>0</v>
      </c>
      <c r="CG111" s="294">
        <v>-1890000</v>
      </c>
      <c r="CH111" s="294">
        <v>-85000</v>
      </c>
      <c r="CI111" s="294">
        <v>-470000</v>
      </c>
      <c r="CJ111" s="294">
        <v>-70000</v>
      </c>
      <c r="CK111" s="294">
        <v>-110000</v>
      </c>
      <c r="CL111" s="294">
        <v>-85000</v>
      </c>
      <c r="CM111" s="294">
        <v>-105000</v>
      </c>
      <c r="CN111" s="294">
        <v>-210000</v>
      </c>
      <c r="CO111" s="294">
        <v>-50000</v>
      </c>
      <c r="CP111" s="294">
        <v>-110000</v>
      </c>
      <c r="CQ111" s="294">
        <v>-55000</v>
      </c>
      <c r="CR111" s="294">
        <v>-100000</v>
      </c>
      <c r="CS111" s="294">
        <v>-95000</v>
      </c>
      <c r="CT111" s="294"/>
      <c r="CU111" s="294">
        <v>-100000</v>
      </c>
      <c r="CV111" s="294">
        <v>-95000</v>
      </c>
      <c r="CW111" s="294">
        <v>-175000</v>
      </c>
      <c r="CX111" s="294">
        <v>-80000</v>
      </c>
      <c r="CY111" s="294">
        <v>-135000</v>
      </c>
      <c r="CZ111" s="294">
        <v>-50000</v>
      </c>
      <c r="DA111" s="294"/>
      <c r="DB111" s="294">
        <v>-585000</v>
      </c>
      <c r="DC111" s="294">
        <v>-490000</v>
      </c>
      <c r="DD111" s="294">
        <v>-135000</v>
      </c>
      <c r="DE111" s="294"/>
      <c r="DF111" s="294">
        <v>-145000</v>
      </c>
      <c r="DG111" s="294">
        <v>-160000</v>
      </c>
      <c r="DH111" s="294"/>
      <c r="DI111" s="294"/>
      <c r="DJ111" s="294">
        <v>-80000</v>
      </c>
      <c r="DK111" s="294">
        <v>-2175000</v>
      </c>
      <c r="DL111" s="294">
        <v>-75000</v>
      </c>
      <c r="DM111" s="294">
        <v>-135000</v>
      </c>
      <c r="DN111" s="294">
        <v>-155000</v>
      </c>
      <c r="DO111" s="294">
        <v>-155000</v>
      </c>
      <c r="DP111" s="294">
        <v>-110000</v>
      </c>
      <c r="DQ111" s="294">
        <v>-435000</v>
      </c>
      <c r="DR111" s="294">
        <v>-120000</v>
      </c>
      <c r="DS111" s="294">
        <v>-265000</v>
      </c>
      <c r="DT111" s="294"/>
      <c r="DU111" s="294">
        <v>0</v>
      </c>
      <c r="DV111" s="294"/>
      <c r="DW111" s="294">
        <v>-320000</v>
      </c>
      <c r="DX111" s="294">
        <v>-80000</v>
      </c>
      <c r="DY111" s="294"/>
      <c r="DZ111" s="294"/>
      <c r="EA111" s="294">
        <v>-55000</v>
      </c>
      <c r="EB111" s="294"/>
      <c r="EC111" s="294"/>
      <c r="ED111" s="294"/>
      <c r="EE111" s="294">
        <v>-360000</v>
      </c>
      <c r="EF111" s="294">
        <v>-400000</v>
      </c>
      <c r="EG111" s="294">
        <v>-110000</v>
      </c>
      <c r="EH111" s="294">
        <v>-115000</v>
      </c>
      <c r="EI111" s="294">
        <v>-120000</v>
      </c>
      <c r="EJ111" s="294">
        <v>-180000</v>
      </c>
      <c r="EK111" s="294">
        <v>-240000</v>
      </c>
      <c r="EL111" s="294">
        <v>-65000</v>
      </c>
      <c r="EM111" s="294"/>
      <c r="EN111" s="294">
        <v>-960000</v>
      </c>
      <c r="EO111" s="294">
        <v>-100000</v>
      </c>
      <c r="EP111" s="294">
        <v>-130000</v>
      </c>
      <c r="EQ111" s="294">
        <v>-95000</v>
      </c>
      <c r="ER111" s="294">
        <v>-70000</v>
      </c>
      <c r="ES111" s="294">
        <v>-90000</v>
      </c>
      <c r="ET111" s="294">
        <v>-170000</v>
      </c>
      <c r="EU111" s="294">
        <v>-155000</v>
      </c>
      <c r="EV111" s="294">
        <v>-115000</v>
      </c>
      <c r="EW111" s="294"/>
      <c r="EX111" s="294">
        <v>-55000</v>
      </c>
      <c r="EY111" s="294">
        <v>-75000</v>
      </c>
      <c r="EZ111" s="294">
        <v>-130000</v>
      </c>
      <c r="FA111" s="294"/>
      <c r="FB111" s="294"/>
      <c r="FC111" s="294">
        <v>-145000</v>
      </c>
      <c r="FD111" s="294">
        <v>-70000</v>
      </c>
      <c r="FE111" s="294">
        <v>-50000</v>
      </c>
      <c r="FF111" s="294">
        <v>-80000</v>
      </c>
      <c r="FG111" s="294">
        <v>-75000</v>
      </c>
      <c r="FH111" s="294">
        <v>-60000</v>
      </c>
      <c r="FI111" s="294"/>
      <c r="FJ111" s="294">
        <v>-80000</v>
      </c>
      <c r="FK111" s="294">
        <v>-65000</v>
      </c>
      <c r="FL111" s="294"/>
      <c r="FM111" s="294">
        <v>-100000</v>
      </c>
      <c r="FN111" s="294">
        <v>-95000</v>
      </c>
      <c r="FO111" s="294">
        <v>-55000</v>
      </c>
      <c r="FP111" s="294">
        <v>-30000</v>
      </c>
      <c r="FQ111" s="294"/>
      <c r="FR111" s="294"/>
      <c r="FS111" s="294"/>
      <c r="FT111" s="294"/>
      <c r="FU111" s="294">
        <v>-140000</v>
      </c>
      <c r="FV111" s="294">
        <v>-111500</v>
      </c>
      <c r="FW111" s="294">
        <v>-210000</v>
      </c>
      <c r="FX111" s="294">
        <v>-125000</v>
      </c>
      <c r="FY111" s="294">
        <v>-160000</v>
      </c>
      <c r="FZ111" s="294">
        <v>-75000</v>
      </c>
      <c r="GA111" s="294"/>
      <c r="GB111" s="294"/>
      <c r="GC111" s="294">
        <v>-140000</v>
      </c>
      <c r="GD111" s="294"/>
      <c r="GE111" s="294"/>
      <c r="GF111" s="294"/>
      <c r="GG111" s="294"/>
      <c r="GH111" s="294"/>
      <c r="GI111" s="294"/>
      <c r="GJ111" s="294">
        <v>-60000</v>
      </c>
      <c r="GK111" s="294">
        <v>-85000</v>
      </c>
      <c r="GL111" s="294">
        <v>-240000</v>
      </c>
      <c r="GM111" s="294"/>
      <c r="GN111" s="294"/>
      <c r="GO111" s="294"/>
      <c r="GP111" s="294"/>
      <c r="GQ111" s="294"/>
      <c r="GR111" s="294"/>
      <c r="GS111" s="294"/>
      <c r="GT111" s="294">
        <v>-190000</v>
      </c>
      <c r="GU111" s="294">
        <v>-70000</v>
      </c>
      <c r="GV111" s="294">
        <v>-145000</v>
      </c>
      <c r="GW111" s="294"/>
      <c r="GX111" s="294">
        <v>-80000</v>
      </c>
      <c r="GY111" s="294">
        <v>-385000</v>
      </c>
      <c r="GZ111" s="294">
        <v>-95000</v>
      </c>
      <c r="HA111" s="294">
        <v>-135000</v>
      </c>
      <c r="HB111" s="294">
        <v>-100000</v>
      </c>
      <c r="HC111" s="294"/>
      <c r="HD111" s="294"/>
      <c r="HE111" s="294">
        <v>-550000</v>
      </c>
      <c r="HF111" s="294">
        <v>-465000</v>
      </c>
      <c r="HG111" s="294">
        <v>-110000</v>
      </c>
      <c r="HH111" s="294"/>
      <c r="HI111" s="294">
        <v>-55000</v>
      </c>
      <c r="HJ111" s="294">
        <v>-650000</v>
      </c>
      <c r="HK111" s="294"/>
      <c r="HL111" s="294">
        <v>0</v>
      </c>
      <c r="HM111" s="294"/>
      <c r="HN111" s="294">
        <v>-65000</v>
      </c>
      <c r="HO111" s="294"/>
      <c r="HP111" s="294">
        <v>-240000</v>
      </c>
      <c r="HQ111" s="294"/>
      <c r="HR111" s="294"/>
      <c r="HS111" s="294">
        <v>-315000</v>
      </c>
      <c r="HT111" s="294">
        <v>-140000</v>
      </c>
      <c r="HU111" s="294">
        <v>-55000</v>
      </c>
      <c r="HV111" s="294">
        <v>-180000</v>
      </c>
      <c r="HW111" s="294">
        <v>0</v>
      </c>
      <c r="HX111" s="294"/>
      <c r="HY111" s="294">
        <v>-45000</v>
      </c>
      <c r="HZ111" s="294">
        <v>-55000</v>
      </c>
      <c r="IA111" s="294"/>
      <c r="IB111" s="294"/>
      <c r="IC111" s="294"/>
      <c r="ID111" s="294">
        <v>-40000</v>
      </c>
      <c r="IE111" s="294">
        <v>-80000</v>
      </c>
      <c r="IF111" s="294">
        <v>-60000</v>
      </c>
      <c r="IG111" s="294">
        <v>-35000</v>
      </c>
      <c r="IH111" s="294"/>
      <c r="II111" s="294"/>
      <c r="IJ111" s="294">
        <v>0</v>
      </c>
      <c r="IK111" s="294">
        <v>-145000</v>
      </c>
      <c r="IL111" s="294"/>
      <c r="IM111" s="294"/>
      <c r="IN111" s="294">
        <v>-70000</v>
      </c>
      <c r="IO111" s="294">
        <v>-100000</v>
      </c>
      <c r="IP111" s="294">
        <v>-55000</v>
      </c>
      <c r="IQ111" s="294">
        <v>-165000</v>
      </c>
      <c r="IR111" s="294">
        <v>-45000</v>
      </c>
      <c r="IS111" s="294"/>
      <c r="IT111" s="294">
        <v>0</v>
      </c>
      <c r="IU111" s="294">
        <v>-160000</v>
      </c>
      <c r="IV111" s="294">
        <v>-110000</v>
      </c>
      <c r="IW111" s="294"/>
      <c r="IX111" s="294">
        <v>-105000</v>
      </c>
      <c r="IY111" s="294">
        <v>-60000</v>
      </c>
      <c r="IZ111" s="294">
        <v>-45000</v>
      </c>
      <c r="JA111" s="294">
        <v>-35000</v>
      </c>
      <c r="JB111" s="294"/>
      <c r="JC111" s="294">
        <v>-445000</v>
      </c>
      <c r="JD111" s="294">
        <v>-50000</v>
      </c>
      <c r="JE111" s="294"/>
      <c r="JF111" s="294"/>
      <c r="JG111" s="294">
        <v>-70000</v>
      </c>
      <c r="JH111" s="294"/>
      <c r="JI111" s="294">
        <v>-35000</v>
      </c>
      <c r="JJ111" s="294">
        <v>-60000</v>
      </c>
      <c r="JK111" s="294">
        <v>-285000</v>
      </c>
      <c r="JL111" s="294">
        <v>-45000</v>
      </c>
      <c r="JM111" s="294">
        <v>-50000</v>
      </c>
      <c r="JN111" s="294">
        <v>-61950</v>
      </c>
      <c r="JO111" s="294">
        <v>-50000</v>
      </c>
      <c r="JP111" s="294">
        <v>-110000</v>
      </c>
      <c r="JQ111" s="294">
        <v>-55000</v>
      </c>
      <c r="JR111" s="294">
        <v>-165000</v>
      </c>
      <c r="JS111" s="294">
        <v>-275000</v>
      </c>
      <c r="JT111" s="294"/>
      <c r="JU111" s="294">
        <v>-80000</v>
      </c>
      <c r="JV111" s="294">
        <v>-100000</v>
      </c>
      <c r="JW111" s="294"/>
      <c r="JX111" s="294">
        <v>-195000</v>
      </c>
      <c r="JY111" s="294">
        <v>-500000</v>
      </c>
      <c r="JZ111" s="294">
        <v>-105000</v>
      </c>
      <c r="KA111" s="294">
        <v>-120000</v>
      </c>
      <c r="KB111" s="294">
        <v>-75000</v>
      </c>
      <c r="KC111" s="294">
        <v>-55000</v>
      </c>
      <c r="KD111" s="294">
        <v>-90000</v>
      </c>
      <c r="KE111" s="294">
        <v>-50000</v>
      </c>
      <c r="KF111" s="294">
        <v>-55000</v>
      </c>
      <c r="KG111" s="294"/>
      <c r="KH111" s="294">
        <v>-1915000</v>
      </c>
      <c r="KI111" s="294"/>
      <c r="KJ111" s="294"/>
      <c r="KK111" s="294">
        <v>-70000</v>
      </c>
      <c r="KL111" s="294"/>
      <c r="KM111" s="294"/>
      <c r="KN111" s="294">
        <v>-295000</v>
      </c>
      <c r="KO111" s="294">
        <v>-150000</v>
      </c>
      <c r="KP111" s="294">
        <v>-55000</v>
      </c>
      <c r="KQ111" s="294">
        <v>-530000</v>
      </c>
      <c r="KR111" s="294"/>
      <c r="KS111" s="294">
        <v>-125000</v>
      </c>
      <c r="KT111" s="294"/>
      <c r="KU111" s="294"/>
      <c r="KV111" s="294">
        <v>-85000</v>
      </c>
      <c r="KW111" s="294"/>
      <c r="KX111" s="294">
        <v>-125000</v>
      </c>
      <c r="KY111" s="294"/>
      <c r="KZ111" s="294">
        <v>-105000</v>
      </c>
      <c r="LA111" s="294">
        <v>-55000</v>
      </c>
      <c r="LB111" s="294"/>
      <c r="LC111" s="294"/>
      <c r="LD111" s="294"/>
      <c r="LE111" s="294">
        <v>-120000</v>
      </c>
      <c r="LF111" s="294"/>
      <c r="LG111" s="294">
        <v>-1300000</v>
      </c>
      <c r="LH111" s="294"/>
      <c r="LI111" s="294"/>
      <c r="LJ111" s="294"/>
      <c r="LK111" s="294">
        <v>-111500</v>
      </c>
      <c r="LL111" s="294"/>
      <c r="LM111" s="294"/>
      <c r="LN111" s="294">
        <v>-190000</v>
      </c>
      <c r="LO111" s="294">
        <v>-10000</v>
      </c>
      <c r="LP111" s="294">
        <v>-215000</v>
      </c>
      <c r="LQ111" s="294">
        <v>-120000</v>
      </c>
      <c r="LR111" s="294">
        <v>-445000</v>
      </c>
      <c r="LS111" s="294"/>
      <c r="LT111" s="294">
        <v>-110000</v>
      </c>
      <c r="LU111" s="294"/>
      <c r="LV111" s="294">
        <v>-520000</v>
      </c>
      <c r="LW111" s="294">
        <v>-735000</v>
      </c>
      <c r="LX111" s="294">
        <v>0</v>
      </c>
      <c r="LY111" s="294">
        <v>-150000</v>
      </c>
      <c r="LZ111" s="294">
        <v>-155000</v>
      </c>
      <c r="MA111" s="294"/>
      <c r="MB111" s="294">
        <v>-125000</v>
      </c>
      <c r="MC111" s="294"/>
      <c r="MD111" s="294">
        <v>-85000</v>
      </c>
      <c r="ME111" s="294"/>
      <c r="MF111" s="294"/>
      <c r="MG111" s="294"/>
      <c r="MH111" s="294">
        <v>-115000</v>
      </c>
      <c r="MI111" s="294"/>
      <c r="MJ111" s="294"/>
      <c r="MK111" s="294"/>
      <c r="ML111" s="294">
        <v>-105000</v>
      </c>
      <c r="MM111" s="294"/>
      <c r="MN111" s="294">
        <v>-65000</v>
      </c>
      <c r="MO111" s="294">
        <v>-110000</v>
      </c>
      <c r="MP111" s="294">
        <v>-80000</v>
      </c>
      <c r="MQ111" s="294">
        <v>-75000</v>
      </c>
      <c r="MR111" s="294">
        <v>-65000</v>
      </c>
      <c r="MS111" s="294"/>
      <c r="MT111" s="294">
        <v>-85000</v>
      </c>
      <c r="MU111" s="294">
        <v>-115000</v>
      </c>
      <c r="MV111" s="294">
        <v>-1005000</v>
      </c>
      <c r="MW111" s="294">
        <v>0</v>
      </c>
      <c r="MX111" s="294">
        <v>-80000</v>
      </c>
      <c r="MY111" s="294">
        <v>-120000</v>
      </c>
      <c r="MZ111" s="294">
        <v>-150000</v>
      </c>
      <c r="NA111" s="294">
        <v>-45000</v>
      </c>
      <c r="NB111" s="294">
        <v>-110000</v>
      </c>
      <c r="NC111" s="294">
        <v>-35000</v>
      </c>
      <c r="ND111" s="294">
        <v>-1245000</v>
      </c>
      <c r="NE111" s="294"/>
      <c r="NF111" s="294">
        <v>-70000</v>
      </c>
      <c r="NG111" s="294"/>
      <c r="NH111" s="294"/>
      <c r="NI111" s="294">
        <v>-95000</v>
      </c>
      <c r="NJ111" s="294">
        <v>-160000</v>
      </c>
      <c r="NK111" s="294">
        <v>-205000</v>
      </c>
      <c r="NL111" s="294"/>
      <c r="NM111" s="294">
        <v>-90000</v>
      </c>
      <c r="NN111" s="294"/>
      <c r="NO111" s="294">
        <v>-55000</v>
      </c>
      <c r="NP111" s="294">
        <v>-310000</v>
      </c>
      <c r="NQ111" s="294"/>
      <c r="NR111" s="294"/>
      <c r="NS111" s="294">
        <v>-70000</v>
      </c>
      <c r="NT111" s="294">
        <v>-70000</v>
      </c>
      <c r="NU111" s="294"/>
      <c r="NV111" s="294">
        <v>-75000</v>
      </c>
      <c r="NW111" s="294">
        <v>-774000</v>
      </c>
      <c r="NX111" s="294"/>
      <c r="NY111" s="294">
        <v>-105000</v>
      </c>
      <c r="NZ111" s="294">
        <v>-95000</v>
      </c>
      <c r="OA111" s="294"/>
      <c r="OB111" s="294">
        <v>-90000</v>
      </c>
      <c r="OC111" s="294">
        <v>0</v>
      </c>
      <c r="OD111" s="294"/>
      <c r="OE111" s="294"/>
      <c r="OF111" s="294">
        <v>-100000</v>
      </c>
      <c r="OG111" s="294"/>
      <c r="OH111" s="294"/>
      <c r="OI111" s="294">
        <v>-95000</v>
      </c>
      <c r="OJ111" s="294"/>
      <c r="OK111" s="294"/>
      <c r="OL111" s="294">
        <v>0</v>
      </c>
      <c r="OM111" s="294"/>
      <c r="ON111" s="294">
        <v>-575000</v>
      </c>
      <c r="OO111" s="294">
        <v>-1140000</v>
      </c>
      <c r="OP111" s="294">
        <v>-160000</v>
      </c>
      <c r="OQ111" s="294">
        <v>-420000</v>
      </c>
      <c r="OR111" s="294">
        <v>-110000</v>
      </c>
      <c r="OS111" s="294">
        <v>-490000</v>
      </c>
      <c r="OT111" s="294">
        <v>-65000</v>
      </c>
      <c r="OU111" s="294">
        <v>-105000</v>
      </c>
      <c r="OV111" s="294">
        <v>-125000</v>
      </c>
      <c r="OW111" s="294">
        <v>0</v>
      </c>
      <c r="OX111" s="294">
        <v>-250000</v>
      </c>
      <c r="OY111" s="294">
        <v>-65000</v>
      </c>
      <c r="OZ111" s="294">
        <v>-70000</v>
      </c>
      <c r="PA111" s="294">
        <v>-70000</v>
      </c>
      <c r="PB111" s="294">
        <v>-595000</v>
      </c>
      <c r="PC111" s="294"/>
      <c r="PD111" s="294">
        <v>-200000</v>
      </c>
      <c r="PE111" s="294"/>
      <c r="PF111" s="294">
        <v>-85000</v>
      </c>
      <c r="PG111" s="294"/>
      <c r="PH111" s="294">
        <v>-90000</v>
      </c>
      <c r="PI111" s="294">
        <v>-60000</v>
      </c>
      <c r="PJ111" s="294">
        <v>-75000</v>
      </c>
      <c r="PK111" s="294"/>
      <c r="PL111" s="294">
        <v>-85000</v>
      </c>
      <c r="PM111" s="294">
        <v>-285000</v>
      </c>
      <c r="PN111" s="294">
        <v>-50000</v>
      </c>
      <c r="PO111" s="294"/>
      <c r="PP111" s="294">
        <v>-45000</v>
      </c>
      <c r="PQ111" s="294"/>
      <c r="PR111" s="294">
        <v>-35000</v>
      </c>
      <c r="PS111" s="294">
        <v>-30000</v>
      </c>
      <c r="PT111" s="294">
        <v>-2838650</v>
      </c>
      <c r="PU111" s="294"/>
      <c r="PV111" s="294"/>
      <c r="PW111" s="294">
        <v>-155000</v>
      </c>
      <c r="PX111" s="294"/>
      <c r="PY111" s="294">
        <v>-130000</v>
      </c>
      <c r="PZ111" s="294">
        <v>-295000</v>
      </c>
      <c r="QA111" s="294">
        <v>-65000</v>
      </c>
      <c r="QB111" s="294"/>
      <c r="QC111" s="294"/>
      <c r="QD111" s="294"/>
      <c r="QE111" s="294">
        <v>-70000</v>
      </c>
      <c r="QF111" s="294"/>
      <c r="QG111" s="294"/>
      <c r="QH111" s="294"/>
      <c r="QI111" s="294">
        <v>-140000</v>
      </c>
      <c r="QJ111" s="294">
        <v>-85000</v>
      </c>
      <c r="QK111" s="294"/>
      <c r="QL111" s="294"/>
      <c r="QM111" s="294">
        <v>-125000</v>
      </c>
      <c r="QN111" s="294">
        <v>-315000</v>
      </c>
      <c r="QO111" s="294">
        <v>-60000</v>
      </c>
      <c r="QP111" s="294">
        <v>-30000</v>
      </c>
      <c r="QQ111" s="294"/>
      <c r="QR111" s="294">
        <v>-40000</v>
      </c>
      <c r="QS111" s="294"/>
      <c r="QT111" s="294">
        <v>-1330000</v>
      </c>
      <c r="QU111" s="294"/>
      <c r="QV111" s="294">
        <v>-140000</v>
      </c>
      <c r="QW111" s="294">
        <v>-125000</v>
      </c>
      <c r="QX111" s="294">
        <v>-90000</v>
      </c>
      <c r="QY111" s="294">
        <v>-210000</v>
      </c>
      <c r="QZ111" s="294">
        <v>-55000</v>
      </c>
      <c r="RA111" s="294">
        <v>-290000</v>
      </c>
      <c r="RB111" s="294">
        <v>-175000</v>
      </c>
      <c r="RC111" s="294">
        <v>-50000</v>
      </c>
      <c r="RD111" s="294">
        <v>-35000</v>
      </c>
      <c r="RE111" s="294">
        <v>-45000</v>
      </c>
      <c r="RF111" s="294">
        <v>-80000</v>
      </c>
      <c r="RG111" s="294"/>
      <c r="RH111" s="294">
        <v>-320000</v>
      </c>
      <c r="RI111" s="294"/>
      <c r="RJ111" s="294">
        <v>-130000</v>
      </c>
      <c r="RK111" s="294">
        <v>-180000</v>
      </c>
      <c r="RL111" s="294">
        <v>-90000</v>
      </c>
      <c r="RM111" s="294">
        <v>-265000</v>
      </c>
      <c r="RN111" s="294">
        <v>-55000</v>
      </c>
      <c r="RO111" s="294">
        <v>-95000</v>
      </c>
      <c r="RP111" s="294">
        <v>-360000</v>
      </c>
      <c r="RQ111" s="294">
        <v>-200000</v>
      </c>
      <c r="RR111" s="294">
        <v>-40000</v>
      </c>
      <c r="RS111" s="294">
        <v>-35000</v>
      </c>
      <c r="RT111" s="294">
        <v>-100000</v>
      </c>
      <c r="RU111" s="294">
        <v>-70000</v>
      </c>
      <c r="RV111" s="294"/>
      <c r="RW111" s="294">
        <v>0</v>
      </c>
      <c r="RX111" s="294">
        <v>-35000</v>
      </c>
      <c r="RY111" s="294">
        <v>-70000</v>
      </c>
      <c r="RZ111" s="294">
        <v>-50000</v>
      </c>
      <c r="SA111" s="294"/>
      <c r="SB111" s="294"/>
      <c r="SC111" s="294"/>
      <c r="SD111" s="294"/>
      <c r="SE111" s="294">
        <v>-75000</v>
      </c>
      <c r="SF111" s="294">
        <v>-45000</v>
      </c>
      <c r="SG111" s="294">
        <v>-120000</v>
      </c>
      <c r="SH111" s="294">
        <v>-180000</v>
      </c>
      <c r="SI111" s="294">
        <v>-50000</v>
      </c>
      <c r="SJ111" s="294">
        <v>-110000</v>
      </c>
      <c r="SK111" s="294">
        <v>-165000</v>
      </c>
      <c r="SL111" s="294">
        <v>-60000</v>
      </c>
      <c r="SM111" s="294">
        <v>0</v>
      </c>
      <c r="SN111" s="294">
        <v>0</v>
      </c>
      <c r="SO111" s="294">
        <v>-110000</v>
      </c>
      <c r="SP111" s="294"/>
      <c r="SQ111" s="294">
        <v>-55000</v>
      </c>
      <c r="SR111" s="294"/>
      <c r="SS111" s="294"/>
      <c r="ST111" s="294"/>
      <c r="SU111" s="294"/>
      <c r="SV111" s="294">
        <v>0</v>
      </c>
      <c r="SW111" s="294">
        <v>-145000</v>
      </c>
      <c r="SX111" s="294">
        <v>-90000</v>
      </c>
      <c r="SY111" s="294">
        <v>-45000</v>
      </c>
      <c r="SZ111" s="294">
        <v>-45000</v>
      </c>
      <c r="TA111" s="294">
        <v>-80000</v>
      </c>
      <c r="TB111" s="294">
        <v>-155000</v>
      </c>
      <c r="TC111" s="294"/>
      <c r="TD111" s="294">
        <v>-45000</v>
      </c>
      <c r="TE111" s="294">
        <v>-95000</v>
      </c>
      <c r="TF111" s="294">
        <v>-165000</v>
      </c>
      <c r="TG111" s="294">
        <v>-30000</v>
      </c>
      <c r="TH111" s="294"/>
      <c r="TI111" s="294">
        <v>-945000</v>
      </c>
      <c r="TJ111" s="294">
        <v>-65000</v>
      </c>
      <c r="TK111" s="294">
        <v>-97635</v>
      </c>
      <c r="TL111" s="294">
        <v>-125000</v>
      </c>
      <c r="TM111" s="294"/>
      <c r="TN111" s="294">
        <v>-80000</v>
      </c>
      <c r="TO111" s="294">
        <v>-35000</v>
      </c>
      <c r="TP111" s="294">
        <v>-280000</v>
      </c>
      <c r="TQ111" s="294">
        <v>-80000</v>
      </c>
      <c r="TR111" s="294">
        <v>-135000</v>
      </c>
      <c r="TS111" s="294">
        <v>0</v>
      </c>
      <c r="TT111" s="294">
        <v>-55000</v>
      </c>
      <c r="TU111" s="294">
        <v>-50000</v>
      </c>
      <c r="TV111" s="294">
        <v>-60000</v>
      </c>
      <c r="TW111" s="294">
        <v>-80000</v>
      </c>
      <c r="TX111" s="294">
        <v>-50000</v>
      </c>
      <c r="TY111" s="294">
        <v>-320000</v>
      </c>
      <c r="TZ111" s="294">
        <v>-45000</v>
      </c>
      <c r="UA111" s="294">
        <v>-500000</v>
      </c>
      <c r="UB111" s="294"/>
      <c r="UC111" s="294"/>
      <c r="UD111" s="294">
        <v>-80000</v>
      </c>
      <c r="UE111" s="294"/>
      <c r="UF111" s="294">
        <v>-55000</v>
      </c>
      <c r="UG111" s="294">
        <v>-35000</v>
      </c>
      <c r="UH111" s="294">
        <v>-55000</v>
      </c>
      <c r="UI111" s="294">
        <v>-55000</v>
      </c>
      <c r="UJ111" s="294">
        <v>-429920</v>
      </c>
      <c r="UK111" s="294">
        <v>-175000</v>
      </c>
      <c r="UL111" s="294">
        <v>-65000</v>
      </c>
      <c r="UM111" s="294">
        <v>-150000</v>
      </c>
      <c r="UN111" s="294">
        <v>-110000</v>
      </c>
      <c r="UO111" s="294"/>
      <c r="UP111" s="294"/>
      <c r="UQ111" s="294">
        <v>-95000</v>
      </c>
      <c r="UR111" s="294">
        <v>-105000</v>
      </c>
      <c r="US111" s="294">
        <v>-340000</v>
      </c>
      <c r="UT111" s="294">
        <v>-20000</v>
      </c>
      <c r="UU111" s="294"/>
      <c r="UV111" s="294">
        <v>-245000</v>
      </c>
      <c r="UW111" s="294"/>
      <c r="UX111" s="294"/>
      <c r="UY111" s="294">
        <v>-95000</v>
      </c>
      <c r="UZ111" s="294"/>
      <c r="VA111" s="294"/>
      <c r="VB111" s="294">
        <v>-65000</v>
      </c>
      <c r="VC111" s="294"/>
      <c r="VD111" s="294">
        <v>-50000</v>
      </c>
      <c r="VE111" s="294"/>
      <c r="VF111" s="294">
        <v>-75000</v>
      </c>
      <c r="VG111" s="294">
        <v>-50000</v>
      </c>
      <c r="VH111" s="294"/>
      <c r="VI111" s="294"/>
      <c r="VJ111" s="294">
        <v>-60000</v>
      </c>
      <c r="VK111" s="294">
        <v>-30000</v>
      </c>
      <c r="VL111" s="294"/>
      <c r="VM111" s="294">
        <v>-65000</v>
      </c>
      <c r="VN111" s="294">
        <v>-65000</v>
      </c>
      <c r="VO111" s="294">
        <v>-170000</v>
      </c>
      <c r="VP111" s="294">
        <v>0</v>
      </c>
      <c r="VQ111" s="294">
        <v>-155000</v>
      </c>
      <c r="VR111" s="294"/>
      <c r="VS111" s="294"/>
      <c r="VT111" s="294"/>
      <c r="VU111" s="294">
        <v>-365000</v>
      </c>
      <c r="VV111" s="294"/>
      <c r="VW111" s="294">
        <v>-315000</v>
      </c>
      <c r="VX111" s="294"/>
      <c r="VY111" s="294"/>
      <c r="VZ111" s="294">
        <v>-169000</v>
      </c>
      <c r="WA111" s="294"/>
      <c r="WB111" s="294">
        <v>-195000</v>
      </c>
      <c r="WC111" s="294">
        <v>-145000</v>
      </c>
      <c r="WD111" s="294"/>
      <c r="WE111" s="294">
        <v>-45000</v>
      </c>
      <c r="WF111" s="294">
        <v>-130000</v>
      </c>
      <c r="WG111" s="294">
        <v>-235000</v>
      </c>
      <c r="WH111" s="294">
        <v>-255000</v>
      </c>
      <c r="WI111" s="294">
        <v>-125000</v>
      </c>
      <c r="WJ111" s="294">
        <v>-175000</v>
      </c>
      <c r="WK111" s="294">
        <v>-65000</v>
      </c>
      <c r="WL111" s="294">
        <v>-200000</v>
      </c>
      <c r="WM111" s="294"/>
      <c r="WN111" s="294">
        <v>-325000</v>
      </c>
      <c r="WO111" s="294">
        <v>-325000</v>
      </c>
      <c r="WP111" s="294"/>
      <c r="WQ111" s="294">
        <v>-220000</v>
      </c>
      <c r="WR111" s="294">
        <v>-220000</v>
      </c>
      <c r="WS111" s="294">
        <v>-120000</v>
      </c>
      <c r="WT111" s="294">
        <v>-215000</v>
      </c>
      <c r="WU111" s="294">
        <v>-385000</v>
      </c>
      <c r="WV111" s="294"/>
      <c r="WW111" s="294"/>
      <c r="WX111" s="294">
        <v>-90000</v>
      </c>
      <c r="WY111" s="294"/>
      <c r="WZ111" s="294">
        <v>-55000</v>
      </c>
      <c r="XA111" s="294">
        <v>-70000</v>
      </c>
      <c r="XB111" s="294">
        <v>-140000</v>
      </c>
      <c r="XC111" s="294">
        <v>-430000</v>
      </c>
      <c r="XD111" s="294">
        <v>-40000</v>
      </c>
      <c r="XE111" s="294">
        <v>-75000</v>
      </c>
      <c r="XF111" s="294">
        <v>-40000</v>
      </c>
      <c r="XG111" s="294">
        <v>-50000</v>
      </c>
      <c r="XH111" s="294">
        <v>-1435000</v>
      </c>
      <c r="XI111" s="294">
        <v>-150000</v>
      </c>
      <c r="XJ111" s="294">
        <v>-155000</v>
      </c>
      <c r="XK111" s="294">
        <v>-450000</v>
      </c>
      <c r="XL111" s="294">
        <v>-145000</v>
      </c>
      <c r="XM111" s="294"/>
      <c r="XN111" s="294">
        <v>-205000</v>
      </c>
      <c r="XO111" s="294">
        <v>-115000</v>
      </c>
      <c r="XP111" s="294">
        <v>-140000</v>
      </c>
      <c r="XQ111" s="294">
        <v>-200000</v>
      </c>
      <c r="XR111" s="294">
        <v>-120000</v>
      </c>
      <c r="XS111" s="294">
        <v>-85000</v>
      </c>
      <c r="XT111" s="294">
        <v>-90000</v>
      </c>
      <c r="XU111" s="294">
        <v>-90000</v>
      </c>
      <c r="XV111" s="294">
        <v>-85000</v>
      </c>
      <c r="XW111" s="294">
        <v>-55000</v>
      </c>
      <c r="XX111" s="294">
        <v>-60000</v>
      </c>
      <c r="XY111" s="294">
        <v>-115000</v>
      </c>
      <c r="XZ111" s="294">
        <v>-70000</v>
      </c>
      <c r="YA111" s="294">
        <v>-60000</v>
      </c>
      <c r="YB111" s="294"/>
      <c r="YC111" s="294">
        <v>-70000</v>
      </c>
      <c r="YD111" s="294">
        <v>-100000</v>
      </c>
      <c r="YE111" s="294"/>
      <c r="YF111" s="294">
        <v>-105000</v>
      </c>
      <c r="YG111" s="294">
        <v>-120000</v>
      </c>
      <c r="YH111" s="294"/>
      <c r="YI111" s="294">
        <v>-245000</v>
      </c>
      <c r="YJ111" s="294">
        <v>-110000</v>
      </c>
      <c r="YK111" s="294">
        <v>-195000</v>
      </c>
      <c r="YL111" s="294">
        <v>-75000</v>
      </c>
      <c r="YM111" s="294">
        <v>-230000</v>
      </c>
      <c r="YN111" s="294">
        <v>-120000</v>
      </c>
      <c r="YO111" s="294"/>
      <c r="YP111" s="294">
        <v>-100000</v>
      </c>
      <c r="YQ111" s="294">
        <v>-95000</v>
      </c>
      <c r="YR111" s="294">
        <v>-115000</v>
      </c>
      <c r="YS111" s="294"/>
      <c r="YT111" s="294">
        <v>-265000</v>
      </c>
      <c r="YU111" s="294">
        <v>-140000</v>
      </c>
      <c r="YV111" s="294">
        <v>-740000</v>
      </c>
      <c r="YW111" s="294">
        <v>-220000</v>
      </c>
      <c r="YX111" s="294">
        <v>-170000</v>
      </c>
      <c r="YY111" s="294">
        <v>-70000</v>
      </c>
      <c r="YZ111" s="294">
        <v>0</v>
      </c>
      <c r="ZA111" s="294">
        <v>-120000</v>
      </c>
      <c r="ZB111" s="294">
        <v>-30000</v>
      </c>
      <c r="ZC111" s="294">
        <v>-415000</v>
      </c>
      <c r="ZD111" s="294">
        <v>-85000</v>
      </c>
      <c r="ZE111" s="294">
        <v>-55000</v>
      </c>
      <c r="ZF111" s="294">
        <v>-90000</v>
      </c>
      <c r="ZG111" s="294">
        <v>-60000</v>
      </c>
      <c r="ZH111" s="294">
        <v>-100000</v>
      </c>
      <c r="ZI111" s="294">
        <v>-55000</v>
      </c>
      <c r="ZJ111" s="294">
        <v>-75000</v>
      </c>
      <c r="ZK111" s="294">
        <v>-325000</v>
      </c>
      <c r="ZL111" s="294"/>
      <c r="ZM111" s="294"/>
      <c r="ZN111" s="294">
        <v>-205000</v>
      </c>
      <c r="ZO111" s="294">
        <v>-400000</v>
      </c>
      <c r="ZP111" s="294">
        <v>-210000</v>
      </c>
      <c r="ZQ111" s="294"/>
      <c r="ZR111" s="294">
        <v>-130000</v>
      </c>
      <c r="ZS111" s="294"/>
      <c r="ZT111" s="294"/>
      <c r="ZU111" s="294">
        <v>-280000</v>
      </c>
      <c r="ZV111" s="294">
        <v>-75000</v>
      </c>
      <c r="ZW111" s="294">
        <v>-75000</v>
      </c>
      <c r="ZX111" s="294">
        <v>-70000</v>
      </c>
      <c r="ZY111" s="294"/>
      <c r="ZZ111" s="294"/>
      <c r="AAA111" s="294">
        <v>-80000</v>
      </c>
      <c r="AAB111" s="294">
        <v>-75000</v>
      </c>
      <c r="AAC111" s="294"/>
      <c r="AAD111" s="294"/>
      <c r="AAE111" s="294"/>
      <c r="AAF111" s="294"/>
      <c r="AAG111" s="294"/>
      <c r="AAH111" s="294"/>
      <c r="AAI111" s="294">
        <v>-80000</v>
      </c>
      <c r="AAJ111" s="294">
        <v>-110000</v>
      </c>
      <c r="AAK111" s="294"/>
      <c r="AAL111" s="294"/>
      <c r="AAM111" s="294">
        <v>-80000</v>
      </c>
      <c r="AAN111" s="294"/>
      <c r="AAO111" s="294"/>
      <c r="AAP111" s="294">
        <v>-130000</v>
      </c>
      <c r="AAQ111" s="294">
        <v>-125000</v>
      </c>
      <c r="AAR111" s="294"/>
      <c r="AAS111" s="294"/>
      <c r="AAT111" s="294">
        <v>-85000</v>
      </c>
      <c r="AAU111" s="294">
        <v>-145000</v>
      </c>
      <c r="AAV111" s="294">
        <v>-160000</v>
      </c>
      <c r="AAW111" s="294">
        <v>-45000</v>
      </c>
      <c r="AAX111" s="294"/>
      <c r="AAY111" s="294"/>
      <c r="AAZ111" s="294">
        <v>-570000</v>
      </c>
      <c r="ABA111" s="294"/>
      <c r="ABB111" s="294">
        <v>-60000</v>
      </c>
      <c r="ABC111" s="294">
        <v>-80000</v>
      </c>
      <c r="ABD111" s="294">
        <v>-90000</v>
      </c>
      <c r="ABE111" s="294"/>
      <c r="ABF111" s="294">
        <v>-90000</v>
      </c>
      <c r="ABG111" s="294"/>
      <c r="ABH111" s="294">
        <v>-535000</v>
      </c>
      <c r="ABI111" s="294">
        <v>-435000</v>
      </c>
      <c r="ABJ111" s="294">
        <v>-80000</v>
      </c>
      <c r="ABK111" s="294">
        <v>0</v>
      </c>
      <c r="ABL111" s="294">
        <v>-45000</v>
      </c>
      <c r="ABM111" s="294"/>
      <c r="ABN111" s="294"/>
      <c r="ABO111" s="294"/>
      <c r="ABP111" s="294">
        <v>-85000</v>
      </c>
      <c r="ABQ111" s="294">
        <v>-150000</v>
      </c>
      <c r="ABR111" s="294">
        <v>-80000</v>
      </c>
      <c r="ABS111" s="294">
        <v>-105000</v>
      </c>
      <c r="ABT111" s="294">
        <v>-85000</v>
      </c>
      <c r="ABU111" s="294">
        <v>-85000</v>
      </c>
      <c r="ABV111" s="294">
        <v>-80000</v>
      </c>
      <c r="ABW111" s="294">
        <v>-50000</v>
      </c>
      <c r="ABX111" s="294">
        <v>0</v>
      </c>
      <c r="ABY111" s="294"/>
      <c r="ABZ111" s="294"/>
      <c r="ACA111" s="294">
        <v>-65000</v>
      </c>
      <c r="ACB111" s="294">
        <v>-75000</v>
      </c>
      <c r="ACC111" s="294">
        <v>-150000</v>
      </c>
      <c r="ACD111" s="294"/>
      <c r="ACE111" s="294">
        <v>0</v>
      </c>
      <c r="ACF111" s="294">
        <v>-60000</v>
      </c>
      <c r="ACG111" s="294">
        <v>-100000</v>
      </c>
      <c r="ACH111" s="294">
        <v>-45000</v>
      </c>
      <c r="ACI111" s="294"/>
      <c r="ACJ111" s="294"/>
      <c r="ACK111" s="294"/>
      <c r="ACL111" s="294"/>
      <c r="ACM111" s="294"/>
      <c r="ACN111" s="294"/>
      <c r="ACO111" s="294">
        <v>-275000</v>
      </c>
      <c r="ACP111" s="294"/>
      <c r="ACQ111" s="294"/>
      <c r="ACR111" s="294">
        <v>-85000</v>
      </c>
      <c r="ACS111" s="294"/>
      <c r="ACT111" s="294">
        <v>-130000</v>
      </c>
      <c r="ACU111" s="294"/>
      <c r="ACV111" s="294">
        <v>-490000</v>
      </c>
      <c r="ACW111" s="294">
        <v>-85000</v>
      </c>
      <c r="ACX111" s="294">
        <v>-90000</v>
      </c>
      <c r="ACY111" s="294"/>
      <c r="ACZ111" s="294"/>
      <c r="ADA111" s="294">
        <v>-55000</v>
      </c>
      <c r="ADB111" s="294"/>
      <c r="ADC111" s="294">
        <v>-55000</v>
      </c>
      <c r="ADD111" s="294">
        <v>-120000</v>
      </c>
      <c r="ADE111" s="294">
        <v>0</v>
      </c>
      <c r="ADF111" s="294">
        <v>-285000</v>
      </c>
      <c r="ADG111" s="294"/>
      <c r="ADH111" s="294">
        <v>-80000</v>
      </c>
      <c r="ADI111" s="294"/>
      <c r="ADJ111" s="294"/>
      <c r="ADK111" s="294">
        <v>-40000</v>
      </c>
      <c r="ADL111" s="294">
        <v>-55000</v>
      </c>
      <c r="ADM111" s="294">
        <v>-30000</v>
      </c>
      <c r="ADN111" s="294">
        <v>-90000</v>
      </c>
      <c r="ADO111" s="294"/>
      <c r="ADP111" s="294"/>
      <c r="ADQ111" s="294">
        <v>-175000</v>
      </c>
      <c r="ADR111" s="294"/>
      <c r="ADS111" s="294"/>
      <c r="ADT111" s="294"/>
      <c r="ADU111" s="294">
        <v>0</v>
      </c>
      <c r="ADV111" s="294">
        <v>-145000</v>
      </c>
      <c r="ADW111" s="294">
        <v>-40000</v>
      </c>
      <c r="ADX111" s="294"/>
      <c r="ADY111" s="294">
        <v>-985000</v>
      </c>
      <c r="ADZ111" s="294">
        <v>-210000</v>
      </c>
      <c r="AEA111" s="294">
        <v>-280000</v>
      </c>
      <c r="AEB111" s="294">
        <v>-50000</v>
      </c>
      <c r="AEC111" s="294">
        <v>-55000</v>
      </c>
      <c r="AED111" s="294"/>
      <c r="AEE111" s="294">
        <v>-70000</v>
      </c>
      <c r="AEF111" s="294"/>
      <c r="AEG111" s="294"/>
      <c r="AEH111" s="294">
        <v>-5000</v>
      </c>
      <c r="AEI111" s="294"/>
      <c r="AEJ111" s="294">
        <v>-80000</v>
      </c>
      <c r="AEK111" s="294">
        <v>-50000</v>
      </c>
      <c r="AEL111" s="294"/>
      <c r="AEM111" s="294">
        <v>-110000</v>
      </c>
      <c r="AEN111" s="294">
        <v>-265000</v>
      </c>
      <c r="AEO111" s="294">
        <v>-65000</v>
      </c>
      <c r="AEP111" s="294">
        <v>-145000</v>
      </c>
      <c r="AEQ111" s="294">
        <v>-45000</v>
      </c>
      <c r="AER111" s="294">
        <v>-90000</v>
      </c>
      <c r="AES111" s="294"/>
      <c r="AET111" s="294">
        <v>-185000</v>
      </c>
      <c r="AEU111" s="294">
        <v>-141000</v>
      </c>
      <c r="AEV111" s="294">
        <v>-95000</v>
      </c>
      <c r="AEW111" s="294"/>
      <c r="AEX111" s="294">
        <v>-845000</v>
      </c>
      <c r="AEY111" s="294">
        <v>-95000</v>
      </c>
      <c r="AEZ111" s="294">
        <v>-135000</v>
      </c>
      <c r="AFA111" s="294">
        <v>-120000</v>
      </c>
      <c r="AFB111" s="294">
        <v>-70000</v>
      </c>
      <c r="AFC111" s="294"/>
      <c r="AFD111" s="294"/>
      <c r="AFE111" s="294">
        <v>-130000</v>
      </c>
      <c r="AFF111" s="294">
        <v>-100000</v>
      </c>
      <c r="AFG111" s="294"/>
      <c r="AFH111" s="294">
        <v>-185000</v>
      </c>
      <c r="AFI111" s="294">
        <v>-70000</v>
      </c>
      <c r="AFJ111" s="294">
        <v>-110000</v>
      </c>
      <c r="AFK111" s="294">
        <v>-130000</v>
      </c>
      <c r="AFL111" s="294"/>
      <c r="AFM111" s="294">
        <v>-75000</v>
      </c>
      <c r="AFN111" s="294">
        <v>-85000</v>
      </c>
      <c r="AFO111" s="294">
        <v>-105000</v>
      </c>
      <c r="AFP111" s="294">
        <v>-485000</v>
      </c>
      <c r="AFQ111" s="294">
        <v>-125000</v>
      </c>
      <c r="AFR111" s="294">
        <v>-220000</v>
      </c>
      <c r="AFS111" s="294">
        <v>-120000</v>
      </c>
      <c r="AFT111" s="294">
        <v>-195000</v>
      </c>
      <c r="AFU111" s="294">
        <v>-100000</v>
      </c>
      <c r="AFV111" s="294">
        <v>-70000</v>
      </c>
      <c r="AFW111" s="294">
        <v>-125000</v>
      </c>
      <c r="AFX111" s="294">
        <v>-680000</v>
      </c>
      <c r="AFY111" s="294">
        <v>-60000</v>
      </c>
      <c r="AFZ111" s="294">
        <v>-325000</v>
      </c>
      <c r="AGA111" s="294">
        <v>-85000</v>
      </c>
      <c r="AGB111" s="294">
        <v>-730000</v>
      </c>
      <c r="AGC111" s="294">
        <v>-65000</v>
      </c>
      <c r="AGD111" s="294">
        <v>-70000</v>
      </c>
      <c r="AGE111" s="294">
        <v>-80000</v>
      </c>
      <c r="AGF111" s="294">
        <v>0</v>
      </c>
      <c r="AGG111" s="294">
        <v>-280000</v>
      </c>
      <c r="AGH111" s="294">
        <v>-40000</v>
      </c>
      <c r="AGI111" s="294">
        <v>-110000</v>
      </c>
      <c r="AGJ111" s="294"/>
      <c r="AGK111" s="294">
        <v>-65000</v>
      </c>
      <c r="AGL111" s="294"/>
      <c r="AGM111" s="294">
        <v>-1055000</v>
      </c>
      <c r="AGN111" s="294"/>
      <c r="AGO111" s="294">
        <v>-165000</v>
      </c>
      <c r="AGP111" s="294">
        <v>-75000</v>
      </c>
      <c r="AGQ111" s="294">
        <v>-210000</v>
      </c>
      <c r="AGR111" s="294">
        <v>-155000</v>
      </c>
      <c r="AGS111" s="294">
        <v>-70000</v>
      </c>
      <c r="AGT111" s="294">
        <v>-80000</v>
      </c>
      <c r="AGU111" s="294"/>
      <c r="AGV111" s="294"/>
      <c r="AGW111" s="294">
        <v>-75000</v>
      </c>
      <c r="AGX111" s="294">
        <v>-215000</v>
      </c>
      <c r="AGY111" s="294">
        <v>-360000</v>
      </c>
      <c r="AGZ111" s="294">
        <v>-195000</v>
      </c>
      <c r="AHA111" s="294">
        <v>-150000</v>
      </c>
      <c r="AHB111" s="294">
        <v>-145000</v>
      </c>
      <c r="AHC111" s="294">
        <v>-45000</v>
      </c>
      <c r="AHD111" s="294">
        <v>-120000</v>
      </c>
      <c r="AHE111" s="294"/>
      <c r="AHF111" s="294"/>
      <c r="AHG111" s="294">
        <v>-80000</v>
      </c>
      <c r="AHH111" s="294">
        <v>-100000</v>
      </c>
      <c r="AHI111" s="294">
        <v>-100000</v>
      </c>
      <c r="AHJ111" s="294">
        <v>0</v>
      </c>
      <c r="AHK111" s="294">
        <v>-65000</v>
      </c>
      <c r="AHL111" s="294">
        <v>-475000</v>
      </c>
      <c r="AHM111" s="294"/>
      <c r="AHN111" s="294">
        <v>-65000</v>
      </c>
      <c r="AHO111" s="294">
        <v>-80000</v>
      </c>
      <c r="AHP111" s="294">
        <v>-235000</v>
      </c>
      <c r="AHQ111" s="294">
        <v>-70000</v>
      </c>
      <c r="AHR111" s="331">
        <v>-85000</v>
      </c>
      <c r="AHS111" s="294">
        <f t="shared" si="51"/>
        <v>-104475155</v>
      </c>
      <c r="AHT111" s="269" t="b">
        <f t="shared" si="52"/>
        <v>1</v>
      </c>
      <c r="AHU111" s="269" t="s">
        <v>6278</v>
      </c>
      <c r="AHV111" s="269" t="s">
        <v>6165</v>
      </c>
      <c r="AHW111" s="269" t="s">
        <v>6166</v>
      </c>
    </row>
    <row r="112" spans="1:907" ht="24.6" x14ac:dyDescent="0.7">
      <c r="A112" s="268" t="s">
        <v>6278</v>
      </c>
      <c r="B112" s="268" t="s">
        <v>6167</v>
      </c>
      <c r="C112" s="269" t="s">
        <v>6168</v>
      </c>
      <c r="D112" s="294">
        <v>-21738440</v>
      </c>
      <c r="E112" s="294">
        <v>-1191920</v>
      </c>
      <c r="F112" s="294"/>
      <c r="G112" s="294">
        <v>-350000</v>
      </c>
      <c r="H112" s="294">
        <v>-2000000</v>
      </c>
      <c r="I112" s="294">
        <v>-867887.5</v>
      </c>
      <c r="J112" s="294">
        <v>-1700000</v>
      </c>
      <c r="K112" s="294">
        <v>-874000</v>
      </c>
      <c r="L112" s="294">
        <v>-1125247</v>
      </c>
      <c r="M112" s="294">
        <v>-520415</v>
      </c>
      <c r="N112" s="294">
        <v>-565000</v>
      </c>
      <c r="O112" s="294">
        <v>-477990</v>
      </c>
      <c r="P112" s="294">
        <v>-608500</v>
      </c>
      <c r="Q112" s="294">
        <v>-435460</v>
      </c>
      <c r="R112" s="294">
        <v>-435300</v>
      </c>
      <c r="S112" s="294">
        <v>-1295000</v>
      </c>
      <c r="T112" s="294">
        <v>-420822.5</v>
      </c>
      <c r="U112" s="294">
        <v>-360450</v>
      </c>
      <c r="V112" s="294">
        <v>-27270986.75</v>
      </c>
      <c r="W112" s="294">
        <v>-3684694.86</v>
      </c>
      <c r="X112" s="294">
        <v>-885431</v>
      </c>
      <c r="Y112" s="294">
        <v>-1800000</v>
      </c>
      <c r="Z112" s="294">
        <v>-459888</v>
      </c>
      <c r="AA112" s="294">
        <v>-1258325</v>
      </c>
      <c r="AB112" s="294">
        <v>-608951.25</v>
      </c>
      <c r="AC112" s="294">
        <v>-4708647.5</v>
      </c>
      <c r="AD112" s="294">
        <v>-1401461.87</v>
      </c>
      <c r="AE112" s="294"/>
      <c r="AF112" s="294">
        <v>-3158271.75</v>
      </c>
      <c r="AG112" s="294"/>
      <c r="AH112" s="294">
        <v>-4002965.52</v>
      </c>
      <c r="AI112" s="294">
        <v>-1708672.31</v>
      </c>
      <c r="AJ112" s="294">
        <v>-923230</v>
      </c>
      <c r="AK112" s="294">
        <v>-667757</v>
      </c>
      <c r="AL112" s="294">
        <v>-1758143.75</v>
      </c>
      <c r="AM112" s="294">
        <v>-806615</v>
      </c>
      <c r="AN112" s="294">
        <v>-102840</v>
      </c>
      <c r="AO112" s="294">
        <v>-803191.25</v>
      </c>
      <c r="AP112" s="294"/>
      <c r="AQ112" s="294">
        <v>-413749.38</v>
      </c>
      <c r="AR112" s="294">
        <v>-337463</v>
      </c>
      <c r="AS112" s="294">
        <v>-461480</v>
      </c>
      <c r="AT112" s="294">
        <v>-6059605</v>
      </c>
      <c r="AU112" s="294">
        <v>-440450</v>
      </c>
      <c r="AV112" s="294">
        <v>-375730</v>
      </c>
      <c r="AW112" s="294">
        <v>-400000</v>
      </c>
      <c r="AX112" s="294">
        <v>-581860</v>
      </c>
      <c r="AY112" s="294">
        <v>-1013280</v>
      </c>
      <c r="AZ112" s="294">
        <v>-310490</v>
      </c>
      <c r="BA112" s="294">
        <v>-310065</v>
      </c>
      <c r="BB112" s="294">
        <v>-241160</v>
      </c>
      <c r="BC112" s="294">
        <v>-131378.16</v>
      </c>
      <c r="BD112" s="294">
        <v>-439915</v>
      </c>
      <c r="BE112" s="294">
        <v>-428346</v>
      </c>
      <c r="BF112" s="294">
        <v>-3118808</v>
      </c>
      <c r="BG112" s="294">
        <v>-288150</v>
      </c>
      <c r="BH112" s="294">
        <v>-10000</v>
      </c>
      <c r="BI112" s="294">
        <v>-4304111</v>
      </c>
      <c r="BJ112" s="294">
        <v>-3595794.75</v>
      </c>
      <c r="BK112" s="294">
        <v>-673606</v>
      </c>
      <c r="BL112" s="294"/>
      <c r="BM112" s="294">
        <v>-784940.25</v>
      </c>
      <c r="BN112" s="294">
        <v>-763002</v>
      </c>
      <c r="BO112" s="294">
        <v>-579180</v>
      </c>
      <c r="BP112" s="294">
        <v>-223062.5</v>
      </c>
      <c r="BQ112" s="294">
        <v>-202350</v>
      </c>
      <c r="BR112" s="294"/>
      <c r="BS112" s="294">
        <v>-618550</v>
      </c>
      <c r="BT112" s="294"/>
      <c r="BU112" s="294">
        <v>-492520</v>
      </c>
      <c r="BV112" s="294"/>
      <c r="BW112" s="294"/>
      <c r="BX112" s="294">
        <v>-441270</v>
      </c>
      <c r="BY112" s="294">
        <v>-383445</v>
      </c>
      <c r="BZ112" s="294">
        <v>0</v>
      </c>
      <c r="CA112" s="294">
        <v>-451100</v>
      </c>
      <c r="CB112" s="294">
        <v>-30600.25</v>
      </c>
      <c r="CC112" s="294">
        <v>-1711049.86</v>
      </c>
      <c r="CD112" s="294">
        <v>-502231.89</v>
      </c>
      <c r="CE112" s="294">
        <v>-458550</v>
      </c>
      <c r="CF112" s="294">
        <v>0</v>
      </c>
      <c r="CG112" s="294">
        <v>-14330000</v>
      </c>
      <c r="CH112" s="294">
        <v>-442510</v>
      </c>
      <c r="CI112" s="294">
        <v>-2557856</v>
      </c>
      <c r="CJ112" s="294">
        <v>-380344.2</v>
      </c>
      <c r="CK112" s="294">
        <v>-967250</v>
      </c>
      <c r="CL112" s="294">
        <v>-570000</v>
      </c>
      <c r="CM112" s="294">
        <v>-627467.5</v>
      </c>
      <c r="CN112" s="294">
        <v>-1308475</v>
      </c>
      <c r="CO112" s="294">
        <v>-298890</v>
      </c>
      <c r="CP112" s="294">
        <v>-454735</v>
      </c>
      <c r="CQ112" s="294">
        <v>-471318</v>
      </c>
      <c r="CR112" s="294">
        <v>-634197.5</v>
      </c>
      <c r="CS112" s="294">
        <v>-627625</v>
      </c>
      <c r="CT112" s="294">
        <v>-5700000</v>
      </c>
      <c r="CU112" s="294">
        <v>-335297.5</v>
      </c>
      <c r="CV112" s="294">
        <v>-417000</v>
      </c>
      <c r="CW112" s="294">
        <v>-741715</v>
      </c>
      <c r="CX112" s="294">
        <v>-477730</v>
      </c>
      <c r="CY112" s="294">
        <v>-727161.25</v>
      </c>
      <c r="CZ112" s="294">
        <v>-349645</v>
      </c>
      <c r="DA112" s="294">
        <v>0</v>
      </c>
      <c r="DB112" s="294">
        <v>-4886263</v>
      </c>
      <c r="DC112" s="294">
        <v>-9105373</v>
      </c>
      <c r="DD112" s="294">
        <v>-1251557</v>
      </c>
      <c r="DE112" s="294">
        <v>-358800</v>
      </c>
      <c r="DF112" s="294"/>
      <c r="DG112" s="294">
        <v>-2211537</v>
      </c>
      <c r="DH112" s="294"/>
      <c r="DI112" s="294">
        <v>-693855.94</v>
      </c>
      <c r="DJ112" s="294">
        <v>-547963</v>
      </c>
      <c r="DK112" s="294">
        <v>-15125839</v>
      </c>
      <c r="DL112" s="294">
        <v>-697770</v>
      </c>
      <c r="DM112" s="294">
        <v>-618980</v>
      </c>
      <c r="DN112" s="294">
        <v>-412000</v>
      </c>
      <c r="DO112" s="294">
        <v>-642000</v>
      </c>
      <c r="DP112" s="294">
        <v>-485000</v>
      </c>
      <c r="DQ112" s="294">
        <v>-1369141</v>
      </c>
      <c r="DR112" s="294">
        <v>-1137965</v>
      </c>
      <c r="DS112" s="294">
        <v>-1745000</v>
      </c>
      <c r="DT112" s="294"/>
      <c r="DU112" s="294">
        <v>-1189960</v>
      </c>
      <c r="DV112" s="294">
        <v>-3495000</v>
      </c>
      <c r="DW112" s="294">
        <v>-3650000</v>
      </c>
      <c r="DX112" s="294">
        <v>-1150006.6000000001</v>
      </c>
      <c r="DY112" s="294"/>
      <c r="DZ112" s="294">
        <v>-1430000</v>
      </c>
      <c r="EA112" s="294">
        <v>-352250</v>
      </c>
      <c r="EB112" s="294">
        <v>-1051124</v>
      </c>
      <c r="EC112" s="294">
        <v>-1094300</v>
      </c>
      <c r="ED112" s="294">
        <v>-443200</v>
      </c>
      <c r="EE112" s="294">
        <v>-3446942.5</v>
      </c>
      <c r="EF112" s="294">
        <v>-3032397.5</v>
      </c>
      <c r="EG112" s="294">
        <v>-11016.25</v>
      </c>
      <c r="EH112" s="294">
        <v>-459545</v>
      </c>
      <c r="EI112" s="294">
        <v>-502190</v>
      </c>
      <c r="EJ112" s="294">
        <v>-953446.5</v>
      </c>
      <c r="EK112" s="294">
        <v>-1100810</v>
      </c>
      <c r="EL112" s="294">
        <v>-444770</v>
      </c>
      <c r="EM112" s="294"/>
      <c r="EN112" s="294">
        <v>-8272150</v>
      </c>
      <c r="EO112" s="294">
        <v>-635827.5</v>
      </c>
      <c r="EP112" s="294">
        <v>-579585</v>
      </c>
      <c r="EQ112" s="294">
        <v>-890890</v>
      </c>
      <c r="ER112" s="294">
        <v>-407755</v>
      </c>
      <c r="ES112" s="294">
        <v>-756495</v>
      </c>
      <c r="ET112" s="294">
        <v>-2098420</v>
      </c>
      <c r="EU112" s="294">
        <v>-844042.5</v>
      </c>
      <c r="EV112" s="294">
        <v>-604600</v>
      </c>
      <c r="EW112" s="294">
        <v>-9995000</v>
      </c>
      <c r="EX112" s="294">
        <v>-555270</v>
      </c>
      <c r="EY112" s="294">
        <v>-834531</v>
      </c>
      <c r="EZ112" s="294">
        <v>-632020</v>
      </c>
      <c r="FA112" s="294">
        <v>-2063794.75</v>
      </c>
      <c r="FB112" s="294"/>
      <c r="FC112" s="294">
        <v>-750000</v>
      </c>
      <c r="FD112" s="294">
        <v>-889320</v>
      </c>
      <c r="FE112" s="294">
        <v>-359025</v>
      </c>
      <c r="FF112" s="294">
        <v>-581992.5</v>
      </c>
      <c r="FG112" s="294">
        <v>-604440</v>
      </c>
      <c r="FH112" s="294">
        <v>-1028586.27</v>
      </c>
      <c r="FI112" s="294"/>
      <c r="FJ112" s="294">
        <v>-437820</v>
      </c>
      <c r="FK112" s="294">
        <v>-306000</v>
      </c>
      <c r="FL112" s="294">
        <v>-803786</v>
      </c>
      <c r="FM112" s="294">
        <v>-850000</v>
      </c>
      <c r="FN112" s="294">
        <v>-644412.5</v>
      </c>
      <c r="FO112" s="294"/>
      <c r="FP112" s="294">
        <v>-74030</v>
      </c>
      <c r="FQ112" s="294"/>
      <c r="FR112" s="294">
        <v>-348000</v>
      </c>
      <c r="FS112" s="294"/>
      <c r="FT112" s="294"/>
      <c r="FU112" s="294"/>
      <c r="FV112" s="294">
        <v>-633830</v>
      </c>
      <c r="FW112" s="294">
        <v>-1568023</v>
      </c>
      <c r="FX112" s="294">
        <v>-1000000</v>
      </c>
      <c r="FY112" s="294">
        <v>-682780</v>
      </c>
      <c r="FZ112" s="294">
        <v>-840580</v>
      </c>
      <c r="GA112" s="294">
        <v>-1749675</v>
      </c>
      <c r="GB112" s="294">
        <v>-468742</v>
      </c>
      <c r="GC112" s="294">
        <v>-633630</v>
      </c>
      <c r="GD112" s="294">
        <v>-416795</v>
      </c>
      <c r="GE112" s="294"/>
      <c r="GF112" s="294"/>
      <c r="GG112" s="294">
        <v>-573000</v>
      </c>
      <c r="GH112" s="294"/>
      <c r="GI112" s="294"/>
      <c r="GJ112" s="294">
        <v>-300000</v>
      </c>
      <c r="GK112" s="294">
        <v>-661039</v>
      </c>
      <c r="GL112" s="294">
        <v>-2600000</v>
      </c>
      <c r="GM112" s="294">
        <v>-390380</v>
      </c>
      <c r="GN112" s="294">
        <v>-420000</v>
      </c>
      <c r="GO112" s="294"/>
      <c r="GP112" s="294"/>
      <c r="GQ112" s="294">
        <v>-3341427</v>
      </c>
      <c r="GR112" s="294">
        <v>-681241</v>
      </c>
      <c r="GS112" s="294">
        <v>-359050</v>
      </c>
      <c r="GT112" s="294">
        <v>-1091000</v>
      </c>
      <c r="GU112" s="294">
        <v>-260000</v>
      </c>
      <c r="GV112" s="294">
        <v>-950000</v>
      </c>
      <c r="GW112" s="294">
        <v>-773510</v>
      </c>
      <c r="GX112" s="294">
        <v>-694490</v>
      </c>
      <c r="GY112" s="294">
        <v>-3711497.5</v>
      </c>
      <c r="GZ112" s="294">
        <v>-192645</v>
      </c>
      <c r="HA112" s="294">
        <v>-443766</v>
      </c>
      <c r="HB112" s="294">
        <v>-888265</v>
      </c>
      <c r="HC112" s="294"/>
      <c r="HD112" s="294"/>
      <c r="HE112" s="294">
        <v>-1817550</v>
      </c>
      <c r="HF112" s="294">
        <v>-1182142.7</v>
      </c>
      <c r="HG112" s="294">
        <v>-1019721</v>
      </c>
      <c r="HH112" s="294">
        <v>-2697000</v>
      </c>
      <c r="HI112" s="294">
        <v>-776404</v>
      </c>
      <c r="HJ112" s="294">
        <v>-6300000</v>
      </c>
      <c r="HK112" s="294"/>
      <c r="HL112" s="294">
        <v>-1800000</v>
      </c>
      <c r="HM112" s="294">
        <v>-1104000</v>
      </c>
      <c r="HN112" s="294">
        <v>-500000</v>
      </c>
      <c r="HO112" s="294">
        <v>-836462</v>
      </c>
      <c r="HP112" s="294">
        <v>-1200000</v>
      </c>
      <c r="HQ112" s="294">
        <v>-800000</v>
      </c>
      <c r="HR112" s="294">
        <v>-11920249.77</v>
      </c>
      <c r="HS112" s="294">
        <v>-2119027.5</v>
      </c>
      <c r="HT112" s="294">
        <v>-977810</v>
      </c>
      <c r="HU112" s="294">
        <v>-270000</v>
      </c>
      <c r="HV112" s="294">
        <v>-1122500</v>
      </c>
      <c r="HW112" s="294">
        <v>-462085</v>
      </c>
      <c r="HX112" s="294">
        <v>-718869.72</v>
      </c>
      <c r="HY112" s="294">
        <v>-584805</v>
      </c>
      <c r="HZ112" s="294">
        <v>-734168.75</v>
      </c>
      <c r="IA112" s="294">
        <v>-568275</v>
      </c>
      <c r="IB112" s="294">
        <v>-497947.5</v>
      </c>
      <c r="IC112" s="294">
        <v>-699800</v>
      </c>
      <c r="ID112" s="294">
        <v>-262440</v>
      </c>
      <c r="IE112" s="294">
        <v>-1044085</v>
      </c>
      <c r="IF112" s="294">
        <v>-611634</v>
      </c>
      <c r="IG112" s="294">
        <v>-735040</v>
      </c>
      <c r="IH112" s="294"/>
      <c r="II112" s="294">
        <v>-2300000</v>
      </c>
      <c r="IJ112" s="294"/>
      <c r="IK112" s="294">
        <v>-1334154</v>
      </c>
      <c r="IL112" s="294">
        <v>-2460723.75</v>
      </c>
      <c r="IM112" s="294"/>
      <c r="IN112" s="294"/>
      <c r="IO112" s="294">
        <v>-440260</v>
      </c>
      <c r="IP112" s="294">
        <v>-754025</v>
      </c>
      <c r="IQ112" s="294">
        <v>0</v>
      </c>
      <c r="IR112" s="294">
        <v>-577077.5</v>
      </c>
      <c r="IS112" s="294"/>
      <c r="IT112" s="294"/>
      <c r="IU112" s="294">
        <v>-754000</v>
      </c>
      <c r="IV112" s="294">
        <v>-1700000</v>
      </c>
      <c r="IW112" s="294">
        <v>-1132989.7</v>
      </c>
      <c r="IX112" s="294">
        <v>-971477</v>
      </c>
      <c r="IY112" s="294">
        <v>-340000</v>
      </c>
      <c r="IZ112" s="294">
        <v>-302740</v>
      </c>
      <c r="JA112" s="294">
        <v>-530000</v>
      </c>
      <c r="JB112" s="294">
        <v>-560458</v>
      </c>
      <c r="JC112" s="294">
        <v>-934378</v>
      </c>
      <c r="JD112" s="294">
        <v>-695640.01</v>
      </c>
      <c r="JE112" s="294">
        <v>-2808459</v>
      </c>
      <c r="JF112" s="294"/>
      <c r="JG112" s="294">
        <v>-368715</v>
      </c>
      <c r="JH112" s="294"/>
      <c r="JI112" s="294">
        <v>-320020</v>
      </c>
      <c r="JJ112" s="294">
        <v>-566937.5</v>
      </c>
      <c r="JK112" s="294">
        <v>-6174583.75</v>
      </c>
      <c r="JL112" s="294">
        <v>-1739805</v>
      </c>
      <c r="JM112" s="294">
        <v>-1311745</v>
      </c>
      <c r="JN112" s="294">
        <v>-920610</v>
      </c>
      <c r="JO112" s="294">
        <v>-611080</v>
      </c>
      <c r="JP112" s="294">
        <v>-1787627</v>
      </c>
      <c r="JQ112" s="294">
        <v>-1308126</v>
      </c>
      <c r="JR112" s="294">
        <v>-5700653.75</v>
      </c>
      <c r="JS112" s="294">
        <v>-2400000</v>
      </c>
      <c r="JT112" s="294">
        <v>0</v>
      </c>
      <c r="JU112" s="294"/>
      <c r="JV112" s="294">
        <v>-873275</v>
      </c>
      <c r="JW112" s="294">
        <v>-810595</v>
      </c>
      <c r="JX112" s="294">
        <v>-1710000</v>
      </c>
      <c r="JY112" s="294">
        <v>-923713.75</v>
      </c>
      <c r="JZ112" s="294">
        <v>-1019000</v>
      </c>
      <c r="KA112" s="294">
        <v>-1327280</v>
      </c>
      <c r="KB112" s="294">
        <v>-496230</v>
      </c>
      <c r="KC112" s="294">
        <v>-1477550</v>
      </c>
      <c r="KD112" s="294">
        <v>-408475</v>
      </c>
      <c r="KE112" s="294">
        <v>-237485</v>
      </c>
      <c r="KF112" s="294">
        <v>-613532.5</v>
      </c>
      <c r="KG112" s="294"/>
      <c r="KH112" s="294">
        <v>-38353462.270000003</v>
      </c>
      <c r="KI112" s="294"/>
      <c r="KJ112" s="294"/>
      <c r="KK112" s="294">
        <v>-74530</v>
      </c>
      <c r="KL112" s="294"/>
      <c r="KM112" s="294"/>
      <c r="KN112" s="294">
        <v>-1630317</v>
      </c>
      <c r="KO112" s="294">
        <v>-700000</v>
      </c>
      <c r="KP112" s="294"/>
      <c r="KQ112" s="294">
        <v>-4669008.75</v>
      </c>
      <c r="KR112" s="294">
        <v>-827291</v>
      </c>
      <c r="KS112" s="294">
        <v>-774216.52</v>
      </c>
      <c r="KT112" s="294">
        <v>-178078</v>
      </c>
      <c r="KU112" s="294">
        <v>-888572</v>
      </c>
      <c r="KV112" s="294">
        <v>-849277</v>
      </c>
      <c r="KW112" s="294"/>
      <c r="KX112" s="294">
        <v>-1118578.5</v>
      </c>
      <c r="KY112" s="294">
        <v>-6100000</v>
      </c>
      <c r="KZ112" s="294">
        <v>-1000000</v>
      </c>
      <c r="LA112" s="294">
        <v>-929310</v>
      </c>
      <c r="LB112" s="294"/>
      <c r="LC112" s="294">
        <v>-1045000</v>
      </c>
      <c r="LD112" s="294">
        <v>-1470000</v>
      </c>
      <c r="LE112" s="294">
        <v>-682793</v>
      </c>
      <c r="LF112" s="294"/>
      <c r="LG112" s="294">
        <v>-15700000</v>
      </c>
      <c r="LH112" s="294"/>
      <c r="LI112" s="294">
        <v>-7427311</v>
      </c>
      <c r="LJ112" s="294">
        <v>-3260000</v>
      </c>
      <c r="LK112" s="294">
        <v>-1299737.5</v>
      </c>
      <c r="LL112" s="294">
        <v>-400000</v>
      </c>
      <c r="LM112" s="294"/>
      <c r="LN112" s="294">
        <v>-982700</v>
      </c>
      <c r="LO112" s="294">
        <v>0</v>
      </c>
      <c r="LP112" s="294">
        <v>-1177105</v>
      </c>
      <c r="LQ112" s="294">
        <v>-650000</v>
      </c>
      <c r="LR112" s="294">
        <v>-3703505</v>
      </c>
      <c r="LS112" s="294"/>
      <c r="LT112" s="294">
        <v>-264610</v>
      </c>
      <c r="LU112" s="294">
        <v>-9150000.5</v>
      </c>
      <c r="LV112" s="294">
        <v>-5745000</v>
      </c>
      <c r="LW112" s="294">
        <v>-9983950</v>
      </c>
      <c r="LX112" s="294">
        <v>-8000</v>
      </c>
      <c r="LY112" s="294">
        <v>-962610</v>
      </c>
      <c r="LZ112" s="294">
        <v>-1500000</v>
      </c>
      <c r="MA112" s="294">
        <v>-1042000</v>
      </c>
      <c r="MB112" s="294">
        <v>-900000</v>
      </c>
      <c r="MC112" s="294">
        <v>-1528520</v>
      </c>
      <c r="MD112" s="294">
        <v>-537330</v>
      </c>
      <c r="ME112" s="294"/>
      <c r="MF112" s="294">
        <v>-544960</v>
      </c>
      <c r="MG112" s="294">
        <v>-13826292</v>
      </c>
      <c r="MH112" s="294">
        <v>-740000</v>
      </c>
      <c r="MI112" s="294">
        <v>-658507.5</v>
      </c>
      <c r="MJ112" s="294">
        <v>-460006.44</v>
      </c>
      <c r="MK112" s="294">
        <v>-498000</v>
      </c>
      <c r="ML112" s="294">
        <v>-1045000</v>
      </c>
      <c r="MM112" s="294">
        <v>-514900</v>
      </c>
      <c r="MN112" s="294">
        <v>-686862.25</v>
      </c>
      <c r="MO112" s="294">
        <v>-1502115.75</v>
      </c>
      <c r="MP112" s="294">
        <v>-870000</v>
      </c>
      <c r="MQ112" s="294">
        <v>-824321</v>
      </c>
      <c r="MR112" s="294">
        <v>-579750</v>
      </c>
      <c r="MS112" s="294">
        <v>-11400000</v>
      </c>
      <c r="MT112" s="294"/>
      <c r="MU112" s="294">
        <v>0</v>
      </c>
      <c r="MV112" s="294">
        <v>-1500000</v>
      </c>
      <c r="MW112" s="294"/>
      <c r="MX112" s="294">
        <v>0</v>
      </c>
      <c r="MY112" s="294">
        <v>-2623775</v>
      </c>
      <c r="MZ112" s="294">
        <v>-1901508</v>
      </c>
      <c r="NA112" s="294">
        <v>-1034548</v>
      </c>
      <c r="NB112" s="294">
        <v>-505380</v>
      </c>
      <c r="NC112" s="294">
        <v>-533040</v>
      </c>
      <c r="ND112" s="294">
        <v>-14464762</v>
      </c>
      <c r="NE112" s="294">
        <v>-2794396</v>
      </c>
      <c r="NF112" s="294">
        <v>-868835</v>
      </c>
      <c r="NG112" s="294">
        <v>-9405925</v>
      </c>
      <c r="NH112" s="294">
        <v>-671000</v>
      </c>
      <c r="NI112" s="294">
        <v>-1956098</v>
      </c>
      <c r="NJ112" s="294">
        <v>-2610000</v>
      </c>
      <c r="NK112" s="294">
        <v>-5721366.4800000004</v>
      </c>
      <c r="NL112" s="294">
        <v>-806012</v>
      </c>
      <c r="NM112" s="294">
        <v>-1256424.55</v>
      </c>
      <c r="NN112" s="294">
        <v>-1144310.0900000001</v>
      </c>
      <c r="NO112" s="294">
        <v>-1033436.34</v>
      </c>
      <c r="NP112" s="294">
        <v>-4652400</v>
      </c>
      <c r="NQ112" s="294">
        <v>-130000</v>
      </c>
      <c r="NR112" s="294"/>
      <c r="NS112" s="294">
        <v>-656245</v>
      </c>
      <c r="NT112" s="294">
        <v>-456161.5</v>
      </c>
      <c r="NU112" s="294">
        <v>-170000</v>
      </c>
      <c r="NV112" s="294">
        <v>-400000</v>
      </c>
      <c r="NW112" s="294">
        <v>-8650000</v>
      </c>
      <c r="NX112" s="294">
        <v>-301994.59999999998</v>
      </c>
      <c r="NY112" s="294">
        <v>-868927.49</v>
      </c>
      <c r="NZ112" s="294">
        <v>-546035</v>
      </c>
      <c r="OA112" s="294">
        <v>-46957.5</v>
      </c>
      <c r="OB112" s="294">
        <v>-1560670</v>
      </c>
      <c r="OC112" s="294">
        <v>0</v>
      </c>
      <c r="OD112" s="294"/>
      <c r="OE112" s="294"/>
      <c r="OF112" s="294">
        <v>-824529</v>
      </c>
      <c r="OG112" s="294"/>
      <c r="OH112" s="294">
        <v>-1140373</v>
      </c>
      <c r="OI112" s="294">
        <v>-700000</v>
      </c>
      <c r="OJ112" s="294">
        <v>-1869983.5</v>
      </c>
      <c r="OK112" s="294">
        <v>-522720</v>
      </c>
      <c r="OL112" s="294">
        <v>-874165</v>
      </c>
      <c r="OM112" s="294">
        <v>-10125625.18</v>
      </c>
      <c r="ON112" s="294">
        <v>-3181611</v>
      </c>
      <c r="OO112" s="294">
        <v>-4750000</v>
      </c>
      <c r="OP112" s="294">
        <v>-974000</v>
      </c>
      <c r="OQ112" s="294">
        <v>-1700000</v>
      </c>
      <c r="OR112" s="294">
        <v>-694120</v>
      </c>
      <c r="OS112" s="294">
        <v>-8247315</v>
      </c>
      <c r="OT112" s="294">
        <v>-571481</v>
      </c>
      <c r="OU112" s="294">
        <v>-1106688.5</v>
      </c>
      <c r="OV112" s="294">
        <v>-1345760</v>
      </c>
      <c r="OW112" s="294">
        <v>-979557.5</v>
      </c>
      <c r="OX112" s="294">
        <v>-3787010</v>
      </c>
      <c r="OY112" s="294">
        <v>-754020</v>
      </c>
      <c r="OZ112" s="294">
        <v>-480493</v>
      </c>
      <c r="PA112" s="294">
        <v>-962000</v>
      </c>
      <c r="PB112" s="294">
        <v>-2024300</v>
      </c>
      <c r="PC112" s="294"/>
      <c r="PD112" s="294">
        <v>-5000</v>
      </c>
      <c r="PE112" s="294">
        <v>-394840</v>
      </c>
      <c r="PF112" s="294"/>
      <c r="PG112" s="294"/>
      <c r="PH112" s="294">
        <v>-807670</v>
      </c>
      <c r="PI112" s="294">
        <v>-1075245</v>
      </c>
      <c r="PJ112" s="294">
        <v>-847347.5</v>
      </c>
      <c r="PK112" s="294"/>
      <c r="PL112" s="294">
        <v>-1298795</v>
      </c>
      <c r="PM112" s="294"/>
      <c r="PN112" s="294">
        <v>-475000</v>
      </c>
      <c r="PO112" s="294"/>
      <c r="PP112" s="294">
        <v>-1059075</v>
      </c>
      <c r="PQ112" s="294"/>
      <c r="PR112" s="294">
        <v>-541850</v>
      </c>
      <c r="PS112" s="294">
        <v>-186866</v>
      </c>
      <c r="PT112" s="294">
        <v>-21421613</v>
      </c>
      <c r="PU112" s="294"/>
      <c r="PV112" s="294"/>
      <c r="PW112" s="294"/>
      <c r="PX112" s="294"/>
      <c r="PY112" s="294">
        <v>-1580101.64</v>
      </c>
      <c r="PZ112" s="294">
        <v>-3241086</v>
      </c>
      <c r="QA112" s="294"/>
      <c r="QB112" s="294">
        <v>-3231939</v>
      </c>
      <c r="QC112" s="294">
        <v>-60000</v>
      </c>
      <c r="QD112" s="294">
        <v>-3057994.5</v>
      </c>
      <c r="QE112" s="294">
        <v>-843031</v>
      </c>
      <c r="QF112" s="294"/>
      <c r="QG112" s="294"/>
      <c r="QH112" s="294"/>
      <c r="QI112" s="294">
        <v>-905530</v>
      </c>
      <c r="QJ112" s="294">
        <v>-770000</v>
      </c>
      <c r="QK112" s="294">
        <v>-543770</v>
      </c>
      <c r="QL112" s="294"/>
      <c r="QM112" s="294">
        <v>-3782210</v>
      </c>
      <c r="QN112" s="294">
        <v>-2150000</v>
      </c>
      <c r="QO112" s="294">
        <v>-751935</v>
      </c>
      <c r="QP112" s="294"/>
      <c r="QQ112" s="294">
        <v>-13679.5</v>
      </c>
      <c r="QR112" s="294">
        <v>-425930</v>
      </c>
      <c r="QS112" s="294"/>
      <c r="QT112" s="294">
        <v>-1637280</v>
      </c>
      <c r="QU112" s="294">
        <v>-862425</v>
      </c>
      <c r="QV112" s="294">
        <v>-1700000</v>
      </c>
      <c r="QW112" s="294">
        <v>-983220</v>
      </c>
      <c r="QX112" s="294">
        <v>-930000</v>
      </c>
      <c r="QY112" s="294">
        <v>-2068274</v>
      </c>
      <c r="QZ112" s="294">
        <v>-1474895</v>
      </c>
      <c r="RA112" s="294">
        <v>-1655933.25</v>
      </c>
      <c r="RB112" s="294">
        <v>-4167103.75</v>
      </c>
      <c r="RC112" s="294">
        <v>-576465</v>
      </c>
      <c r="RD112" s="294">
        <v>-654850</v>
      </c>
      <c r="RE112" s="294">
        <v>-1000000</v>
      </c>
      <c r="RF112" s="294">
        <v>-563600</v>
      </c>
      <c r="RG112" s="294">
        <v>-12650000</v>
      </c>
      <c r="RH112" s="294">
        <v>-2995840</v>
      </c>
      <c r="RI112" s="294">
        <v>-797840</v>
      </c>
      <c r="RJ112" s="294">
        <v>-1403520</v>
      </c>
      <c r="RK112" s="294">
        <v>-606171.25</v>
      </c>
      <c r="RL112" s="294">
        <v>-767708.77</v>
      </c>
      <c r="RM112" s="294">
        <v>-2497602</v>
      </c>
      <c r="RN112" s="294">
        <v>-881352.5</v>
      </c>
      <c r="RO112" s="294">
        <v>-1099870</v>
      </c>
      <c r="RP112" s="294">
        <v>-2987854</v>
      </c>
      <c r="RQ112" s="294">
        <v>-2925255.5</v>
      </c>
      <c r="RR112" s="294">
        <v>-2515120</v>
      </c>
      <c r="RS112" s="294">
        <v>-693050</v>
      </c>
      <c r="RT112" s="294">
        <v>-300000</v>
      </c>
      <c r="RU112" s="294">
        <v>-538165</v>
      </c>
      <c r="RV112" s="294">
        <v>-908090</v>
      </c>
      <c r="RW112" s="294">
        <v>-793830</v>
      </c>
      <c r="RX112" s="294">
        <v>-995075</v>
      </c>
      <c r="RY112" s="294">
        <v>-253769</v>
      </c>
      <c r="RZ112" s="294">
        <v>-897750</v>
      </c>
      <c r="SA112" s="294"/>
      <c r="SB112" s="294">
        <v>-965046</v>
      </c>
      <c r="SC112" s="294">
        <v>-1266880</v>
      </c>
      <c r="SD112" s="294">
        <v>-455800</v>
      </c>
      <c r="SE112" s="294">
        <v>-796885</v>
      </c>
      <c r="SF112" s="294">
        <v>-2500000</v>
      </c>
      <c r="SG112" s="294">
        <v>-1111865</v>
      </c>
      <c r="SH112" s="294">
        <v>-92979.99</v>
      </c>
      <c r="SI112" s="294">
        <v>-1115982.5</v>
      </c>
      <c r="SJ112" s="294">
        <v>-600000</v>
      </c>
      <c r="SK112" s="294">
        <v>-3164535</v>
      </c>
      <c r="SL112" s="294">
        <v>-505295</v>
      </c>
      <c r="SM112" s="294">
        <v>-5195957.32</v>
      </c>
      <c r="SN112" s="294">
        <v>-1133359.5</v>
      </c>
      <c r="SO112" s="294">
        <v>-1889068.75</v>
      </c>
      <c r="SP112" s="294">
        <v>-2253413</v>
      </c>
      <c r="SQ112" s="294">
        <v>-687434</v>
      </c>
      <c r="SR112" s="294">
        <v>-1574597.8</v>
      </c>
      <c r="SS112" s="294">
        <v>-669061</v>
      </c>
      <c r="ST112" s="294">
        <v>-660000</v>
      </c>
      <c r="SU112" s="294">
        <v>-7667969.96</v>
      </c>
      <c r="SV112" s="294">
        <v>-1332487.5</v>
      </c>
      <c r="SW112" s="294">
        <v>-1107725</v>
      </c>
      <c r="SX112" s="294">
        <v>-1518328.75</v>
      </c>
      <c r="SY112" s="294">
        <v>-358707.5</v>
      </c>
      <c r="SZ112" s="294">
        <v>-807010</v>
      </c>
      <c r="TA112" s="294">
        <v>-685940</v>
      </c>
      <c r="TB112" s="294">
        <v>-1713285.5</v>
      </c>
      <c r="TC112" s="294">
        <v>-711337.5</v>
      </c>
      <c r="TD112" s="294">
        <v>-605029.5</v>
      </c>
      <c r="TE112" s="294">
        <v>-1574241</v>
      </c>
      <c r="TF112" s="294">
        <v>-751520</v>
      </c>
      <c r="TG112" s="294">
        <v>-933057.5</v>
      </c>
      <c r="TH112" s="294">
        <v>-483382.5</v>
      </c>
      <c r="TI112" s="294">
        <v>-15811888.75</v>
      </c>
      <c r="TJ112" s="294">
        <v>-731335</v>
      </c>
      <c r="TK112" s="294">
        <v>-689027.5</v>
      </c>
      <c r="TL112" s="294">
        <v>-659095</v>
      </c>
      <c r="TM112" s="294">
        <v>-1406035</v>
      </c>
      <c r="TN112" s="294">
        <v>-717208.75</v>
      </c>
      <c r="TO112" s="294">
        <v>-302620</v>
      </c>
      <c r="TP112" s="294">
        <v>-3172400</v>
      </c>
      <c r="TQ112" s="294">
        <v>-678372.75</v>
      </c>
      <c r="TR112" s="294">
        <v>-1302700</v>
      </c>
      <c r="TS112" s="294">
        <v>-625000</v>
      </c>
      <c r="TT112" s="294">
        <v>-710440</v>
      </c>
      <c r="TU112" s="294">
        <v>-429423.75</v>
      </c>
      <c r="TV112" s="294">
        <v>-557460</v>
      </c>
      <c r="TW112" s="294">
        <v>-715530</v>
      </c>
      <c r="TX112" s="294">
        <v>-587364</v>
      </c>
      <c r="TY112" s="294">
        <v>-7515960</v>
      </c>
      <c r="TZ112" s="294">
        <v>-593420</v>
      </c>
      <c r="UA112" s="294">
        <v>-6500000</v>
      </c>
      <c r="UB112" s="294">
        <v>-5044820</v>
      </c>
      <c r="UC112" s="294">
        <v>-683300</v>
      </c>
      <c r="UD112" s="294">
        <v>-550000</v>
      </c>
      <c r="UE112" s="294">
        <v>-1890000</v>
      </c>
      <c r="UF112" s="294">
        <v>-496348</v>
      </c>
      <c r="UG112" s="294">
        <v>-855000</v>
      </c>
      <c r="UH112" s="294">
        <v>-1147011</v>
      </c>
      <c r="UI112" s="294">
        <v>-977803</v>
      </c>
      <c r="UJ112" s="294">
        <v>-9610765</v>
      </c>
      <c r="UK112" s="294">
        <v>-1238050</v>
      </c>
      <c r="UL112" s="294">
        <v>-1817093</v>
      </c>
      <c r="UM112" s="294">
        <v>-1598687</v>
      </c>
      <c r="UN112" s="294">
        <v>-2331173</v>
      </c>
      <c r="UO112" s="294">
        <v>-1082037.5</v>
      </c>
      <c r="UP112" s="294">
        <v>-18000000</v>
      </c>
      <c r="UQ112" s="294">
        <v>-884180</v>
      </c>
      <c r="UR112" s="294">
        <v>-1188730</v>
      </c>
      <c r="US112" s="294">
        <v>-4160927</v>
      </c>
      <c r="UT112" s="294">
        <v>-873759</v>
      </c>
      <c r="UU112" s="294">
        <v>-1251158</v>
      </c>
      <c r="UV112" s="294">
        <v>-2003000</v>
      </c>
      <c r="UW112" s="294">
        <v>-644560</v>
      </c>
      <c r="UX112" s="294">
        <v>-532710</v>
      </c>
      <c r="UY112" s="294">
        <v>-1479198.75</v>
      </c>
      <c r="UZ112" s="294">
        <v>-2354357</v>
      </c>
      <c r="VA112" s="294">
        <v>-2252455</v>
      </c>
      <c r="VB112" s="294">
        <v>-803840</v>
      </c>
      <c r="VC112" s="294">
        <v>-1730634</v>
      </c>
      <c r="VD112" s="294">
        <v>-1403210</v>
      </c>
      <c r="VE112" s="294">
        <v>-606120</v>
      </c>
      <c r="VF112" s="294">
        <v>-629937</v>
      </c>
      <c r="VG112" s="294">
        <v>-560370</v>
      </c>
      <c r="VH112" s="294">
        <v>-3113192.5</v>
      </c>
      <c r="VI112" s="294">
        <v>-565350</v>
      </c>
      <c r="VJ112" s="294">
        <v>-408225</v>
      </c>
      <c r="VK112" s="294">
        <v>-455480</v>
      </c>
      <c r="VL112" s="294">
        <v>-6999213</v>
      </c>
      <c r="VM112" s="294">
        <v>-682720</v>
      </c>
      <c r="VN112" s="294">
        <v>-650000</v>
      </c>
      <c r="VO112" s="294">
        <v>-229995</v>
      </c>
      <c r="VP112" s="294">
        <v>-2036987.5</v>
      </c>
      <c r="VQ112" s="294">
        <v>-1100000</v>
      </c>
      <c r="VR112" s="294">
        <v>-1065000</v>
      </c>
      <c r="VS112" s="294"/>
      <c r="VT112" s="294">
        <v>-651485</v>
      </c>
      <c r="VU112" s="294">
        <v>-2000000</v>
      </c>
      <c r="VV112" s="294"/>
      <c r="VW112" s="294">
        <v>-593957</v>
      </c>
      <c r="VX112" s="294">
        <v>-885799</v>
      </c>
      <c r="VY112" s="294">
        <v>-655910</v>
      </c>
      <c r="VZ112" s="294">
        <v>-778292.5</v>
      </c>
      <c r="WA112" s="294">
        <v>-21500000</v>
      </c>
      <c r="WB112" s="294">
        <v>-1928876.62</v>
      </c>
      <c r="WC112" s="294">
        <v>-1749599</v>
      </c>
      <c r="WD112" s="294">
        <v>-2014772.5</v>
      </c>
      <c r="WE112" s="294">
        <v>-604547</v>
      </c>
      <c r="WF112" s="294">
        <v>-1234717.5</v>
      </c>
      <c r="WG112" s="294">
        <v>-2075840</v>
      </c>
      <c r="WH112" s="294">
        <v>-2119142.5</v>
      </c>
      <c r="WI112" s="294">
        <v>-678687.5</v>
      </c>
      <c r="WJ112" s="294">
        <v>-1910433.5</v>
      </c>
      <c r="WK112" s="294">
        <v>-1057167.5</v>
      </c>
      <c r="WL112" s="294">
        <v>-3479115</v>
      </c>
      <c r="WM112" s="294">
        <v>-1219988.5</v>
      </c>
      <c r="WN112" s="294">
        <v>-3042840</v>
      </c>
      <c r="WO112" s="294">
        <v>-3326378.5</v>
      </c>
      <c r="WP112" s="294">
        <v>-1340195</v>
      </c>
      <c r="WQ112" s="294">
        <v>-1588422.5</v>
      </c>
      <c r="WR112" s="294">
        <v>-1895945.01</v>
      </c>
      <c r="WS112" s="294">
        <v>-505492.5</v>
      </c>
      <c r="WT112" s="294">
        <v>-2583065.75</v>
      </c>
      <c r="WU112" s="294">
        <v>-5961762.2599999998</v>
      </c>
      <c r="WV112" s="294">
        <v>-1448612.5</v>
      </c>
      <c r="WW112" s="294">
        <v>-834596</v>
      </c>
      <c r="WX112" s="294">
        <v>-509147</v>
      </c>
      <c r="WY112" s="294">
        <v>-950940</v>
      </c>
      <c r="WZ112" s="294">
        <v>-942595</v>
      </c>
      <c r="XA112" s="294">
        <v>-819300</v>
      </c>
      <c r="XB112" s="294">
        <v>-559055</v>
      </c>
      <c r="XC112" s="294">
        <v>-4931470</v>
      </c>
      <c r="XD112" s="294">
        <v>-512117.5</v>
      </c>
      <c r="XE112" s="294"/>
      <c r="XF112" s="294">
        <v>-350000</v>
      </c>
      <c r="XG112" s="294">
        <v>-873591.25</v>
      </c>
      <c r="XH112" s="294">
        <v>-25487268.25</v>
      </c>
      <c r="XI112" s="294">
        <v>-2337730</v>
      </c>
      <c r="XJ112" s="294">
        <v>-2327650</v>
      </c>
      <c r="XK112" s="294">
        <v>-8650138.75</v>
      </c>
      <c r="XL112" s="294">
        <v>-2280252.5</v>
      </c>
      <c r="XM112" s="294">
        <v>-2956392.5</v>
      </c>
      <c r="XN112" s="294">
        <v>-4505890</v>
      </c>
      <c r="XO112" s="294">
        <v>-1915645</v>
      </c>
      <c r="XP112" s="294">
        <v>-1712480</v>
      </c>
      <c r="XQ112" s="294">
        <v>-4686880</v>
      </c>
      <c r="XR112" s="294">
        <v>-3213530.45</v>
      </c>
      <c r="XS112" s="294">
        <v>-959965</v>
      </c>
      <c r="XT112" s="294">
        <v>-1027375</v>
      </c>
      <c r="XU112" s="294">
        <v>-1808650</v>
      </c>
      <c r="XV112" s="294">
        <v>-1429620</v>
      </c>
      <c r="XW112" s="294">
        <v>-848677.5</v>
      </c>
      <c r="XX112" s="294">
        <v>-983400</v>
      </c>
      <c r="XY112" s="294">
        <v>-1224022.5</v>
      </c>
      <c r="XZ112" s="294">
        <v>-937795</v>
      </c>
      <c r="YA112" s="294">
        <v>-1332975</v>
      </c>
      <c r="YB112" s="294">
        <v>-1196289.01</v>
      </c>
      <c r="YC112" s="294">
        <v>-880482.5</v>
      </c>
      <c r="YD112" s="294">
        <v>-1257432</v>
      </c>
      <c r="YE112" s="294">
        <v>-8526959.4000000004</v>
      </c>
      <c r="YF112" s="294">
        <v>-1177590</v>
      </c>
      <c r="YG112" s="294">
        <v>-2700900</v>
      </c>
      <c r="YH112" s="294">
        <v>-690050</v>
      </c>
      <c r="YI112" s="294">
        <v>-4707756</v>
      </c>
      <c r="YJ112" s="294">
        <v>-1605807.5</v>
      </c>
      <c r="YK112" s="294">
        <v>-1516083.88</v>
      </c>
      <c r="YL112" s="294">
        <v>-835371</v>
      </c>
      <c r="YM112" s="294">
        <v>-5617382</v>
      </c>
      <c r="YN112" s="294">
        <v>-3527883</v>
      </c>
      <c r="YO112" s="294">
        <v>-1536260</v>
      </c>
      <c r="YP112" s="294">
        <v>-1337930</v>
      </c>
      <c r="YQ112" s="294">
        <v>-830171.9</v>
      </c>
      <c r="YR112" s="294">
        <v>-858280</v>
      </c>
      <c r="YS112" s="294">
        <v>-531680</v>
      </c>
      <c r="YT112" s="294">
        <v>-818100</v>
      </c>
      <c r="YU112" s="294">
        <v>-829245.1</v>
      </c>
      <c r="YV112" s="294">
        <v>-8450508</v>
      </c>
      <c r="YW112" s="294">
        <v>-2241063</v>
      </c>
      <c r="YX112" s="294">
        <v>-937188</v>
      </c>
      <c r="YY112" s="294">
        <v>-976985</v>
      </c>
      <c r="YZ112" s="294">
        <v>0</v>
      </c>
      <c r="ZA112" s="294">
        <v>-740465</v>
      </c>
      <c r="ZB112" s="294">
        <v>-1074696</v>
      </c>
      <c r="ZC112" s="294">
        <v>-7206734.7000000002</v>
      </c>
      <c r="ZD112" s="294">
        <v>-415622</v>
      </c>
      <c r="ZE112" s="294">
        <v>-205330</v>
      </c>
      <c r="ZF112" s="294">
        <v>-703207.5</v>
      </c>
      <c r="ZG112" s="294">
        <v>-415715</v>
      </c>
      <c r="ZH112" s="294">
        <v>-641610</v>
      </c>
      <c r="ZI112" s="294">
        <v>-465055</v>
      </c>
      <c r="ZJ112" s="294">
        <v>-536515</v>
      </c>
      <c r="ZK112" s="294">
        <v>-2539000</v>
      </c>
      <c r="ZL112" s="294">
        <v>-18500000</v>
      </c>
      <c r="ZM112" s="294">
        <v>-160000</v>
      </c>
      <c r="ZN112" s="294">
        <v>-1465962</v>
      </c>
      <c r="ZO112" s="294">
        <v>-3500000</v>
      </c>
      <c r="ZP112" s="294">
        <v>-1810775</v>
      </c>
      <c r="ZQ112" s="294"/>
      <c r="ZR112" s="294">
        <v>-343000</v>
      </c>
      <c r="ZS112" s="294">
        <v>-1758978</v>
      </c>
      <c r="ZT112" s="294">
        <v>-166158.5</v>
      </c>
      <c r="ZU112" s="294">
        <v>-835695</v>
      </c>
      <c r="ZV112" s="294">
        <v>-95000</v>
      </c>
      <c r="ZW112" s="294">
        <v>-100000</v>
      </c>
      <c r="ZX112" s="294">
        <v>-932086.5</v>
      </c>
      <c r="ZY112" s="294">
        <v>-192600</v>
      </c>
      <c r="ZZ112" s="294">
        <v>-75000</v>
      </c>
      <c r="AAA112" s="294">
        <v>-453047</v>
      </c>
      <c r="AAB112" s="294">
        <v>-307248</v>
      </c>
      <c r="AAC112" s="294">
        <v>-1162769</v>
      </c>
      <c r="AAD112" s="294">
        <v>-93272.6</v>
      </c>
      <c r="AAE112" s="294">
        <v>-145719</v>
      </c>
      <c r="AAF112" s="294">
        <v>-173450</v>
      </c>
      <c r="AAG112" s="294">
        <v>-229386</v>
      </c>
      <c r="AAH112" s="294">
        <v>-7539691.21</v>
      </c>
      <c r="AAI112" s="294">
        <v>-793631.25</v>
      </c>
      <c r="AAJ112" s="294">
        <v>-2146359</v>
      </c>
      <c r="AAK112" s="294">
        <v>-1834840</v>
      </c>
      <c r="AAL112" s="294"/>
      <c r="AAM112" s="294">
        <v>-3297378</v>
      </c>
      <c r="AAN112" s="294"/>
      <c r="AAO112" s="294">
        <v>-26705815</v>
      </c>
      <c r="AAP112" s="294">
        <v>-1255271</v>
      </c>
      <c r="AAQ112" s="294">
        <v>-850000</v>
      </c>
      <c r="AAR112" s="294">
        <v>-1060000</v>
      </c>
      <c r="AAS112" s="294">
        <v>-2267500</v>
      </c>
      <c r="AAT112" s="294">
        <v>-1659166</v>
      </c>
      <c r="AAU112" s="294">
        <v>-983030</v>
      </c>
      <c r="AAV112" s="294">
        <v>-1633926</v>
      </c>
      <c r="AAW112" s="294">
        <v>-3906650</v>
      </c>
      <c r="AAX112" s="294">
        <v>-1053024</v>
      </c>
      <c r="AAY112" s="294">
        <v>-2200984.25</v>
      </c>
      <c r="AAZ112" s="294">
        <v>-3904968.5</v>
      </c>
      <c r="ABA112" s="294">
        <v>-2298413.5</v>
      </c>
      <c r="ABB112" s="294">
        <v>-828976</v>
      </c>
      <c r="ABC112" s="294">
        <v>-778930.5</v>
      </c>
      <c r="ABD112" s="294">
        <v>-1350760</v>
      </c>
      <c r="ABE112" s="294"/>
      <c r="ABF112" s="294">
        <v>-1485580</v>
      </c>
      <c r="ABG112" s="294">
        <v>-765384</v>
      </c>
      <c r="ABH112" s="294">
        <v>-7157115</v>
      </c>
      <c r="ABI112" s="294">
        <v>-4224006.5</v>
      </c>
      <c r="ABJ112" s="294">
        <v>-770430</v>
      </c>
      <c r="ABK112" s="294">
        <v>-442000</v>
      </c>
      <c r="ABL112" s="294">
        <v>-1148871</v>
      </c>
      <c r="ABM112" s="294">
        <v>-841675</v>
      </c>
      <c r="ABN112" s="294">
        <v>-490871</v>
      </c>
      <c r="ABO112" s="294">
        <v>-4664250</v>
      </c>
      <c r="ABP112" s="294">
        <v>-985944</v>
      </c>
      <c r="ABQ112" s="294">
        <v>-819933</v>
      </c>
      <c r="ABR112" s="294">
        <v>-810000</v>
      </c>
      <c r="ABS112" s="294">
        <v>-3920957.5</v>
      </c>
      <c r="ABT112" s="294">
        <v>-997935.5</v>
      </c>
      <c r="ABU112" s="294">
        <v>-1030000</v>
      </c>
      <c r="ABV112" s="294">
        <v>-848692.65</v>
      </c>
      <c r="ABW112" s="294">
        <v>-383600</v>
      </c>
      <c r="ABX112" s="294"/>
      <c r="ABY112" s="294"/>
      <c r="ABZ112" s="294">
        <v>-1478700</v>
      </c>
      <c r="ACA112" s="294">
        <v>-543095</v>
      </c>
      <c r="ACB112" s="294">
        <v>-702060</v>
      </c>
      <c r="ACC112" s="294">
        <v>-5659776</v>
      </c>
      <c r="ACD112" s="294">
        <v>4864577.5</v>
      </c>
      <c r="ACE112" s="294">
        <v>-560000</v>
      </c>
      <c r="ACF112" s="294">
        <v>-748640</v>
      </c>
      <c r="ACG112" s="294"/>
      <c r="ACH112" s="294">
        <v>-980055</v>
      </c>
      <c r="ACI112" s="294">
        <v>-45204705.350000001</v>
      </c>
      <c r="ACJ112" s="294">
        <v>-673880</v>
      </c>
      <c r="ACK112" s="294"/>
      <c r="ACL112" s="294">
        <v>-1931753</v>
      </c>
      <c r="ACM112" s="294"/>
      <c r="ACN112" s="294"/>
      <c r="ACO112" s="294"/>
      <c r="ACP112" s="294">
        <v>-3000000</v>
      </c>
      <c r="ACQ112" s="294"/>
      <c r="ACR112" s="294">
        <v>-840780</v>
      </c>
      <c r="ACS112" s="294"/>
      <c r="ACT112" s="294">
        <v>-1900000</v>
      </c>
      <c r="ACU112" s="294"/>
      <c r="ACV112" s="294">
        <v>-4729362.5</v>
      </c>
      <c r="ACW112" s="294">
        <v>-744030</v>
      </c>
      <c r="ACX112" s="294">
        <v>-1098605</v>
      </c>
      <c r="ACY112" s="294"/>
      <c r="ACZ112" s="294"/>
      <c r="ADA112" s="294">
        <v>-929960</v>
      </c>
      <c r="ADB112" s="294"/>
      <c r="ADC112" s="294">
        <v>-768780</v>
      </c>
      <c r="ADD112" s="294">
        <v>-800000</v>
      </c>
      <c r="ADE112" s="294">
        <v>0</v>
      </c>
      <c r="ADF112" s="294">
        <v>-3170177.75</v>
      </c>
      <c r="ADG112" s="294">
        <v>-2519854</v>
      </c>
      <c r="ADH112" s="294">
        <v>-38800</v>
      </c>
      <c r="ADI112" s="294"/>
      <c r="ADJ112" s="294"/>
      <c r="ADK112" s="294">
        <v>-274245</v>
      </c>
      <c r="ADL112" s="294">
        <v>-785000</v>
      </c>
      <c r="ADM112" s="294">
        <v>-500000</v>
      </c>
      <c r="ADN112" s="294">
        <v>-1181670</v>
      </c>
      <c r="ADO112" s="294">
        <v>-33478754</v>
      </c>
      <c r="ADP112" s="294">
        <v>-2304635</v>
      </c>
      <c r="ADQ112" s="294"/>
      <c r="ADR112" s="294"/>
      <c r="ADS112" s="294">
        <v>-3000000</v>
      </c>
      <c r="ADT112" s="294">
        <v>-1232200</v>
      </c>
      <c r="ADU112" s="294">
        <v>0</v>
      </c>
      <c r="ADV112" s="294">
        <v>-1100000</v>
      </c>
      <c r="ADW112" s="294">
        <v>-958192.5</v>
      </c>
      <c r="ADX112" s="294">
        <v>-1441265</v>
      </c>
      <c r="ADY112" s="294">
        <v>-18749625.25</v>
      </c>
      <c r="ADZ112" s="294">
        <v>-4629320.4800000004</v>
      </c>
      <c r="AEA112" s="294">
        <v>-2851888.75</v>
      </c>
      <c r="AEB112" s="294">
        <v>-776000.5</v>
      </c>
      <c r="AEC112" s="294">
        <v>-1068672.75</v>
      </c>
      <c r="AED112" s="294">
        <v>-3000000</v>
      </c>
      <c r="AEE112" s="294">
        <v>-988280</v>
      </c>
      <c r="AEF112" s="294"/>
      <c r="AEG112" s="294">
        <v>0</v>
      </c>
      <c r="AEH112" s="294">
        <v>-692264</v>
      </c>
      <c r="AEI112" s="294"/>
      <c r="AEJ112" s="294">
        <v>-1486711.25</v>
      </c>
      <c r="AEK112" s="294">
        <v>-772500</v>
      </c>
      <c r="AEL112" s="294">
        <v>-751648.75</v>
      </c>
      <c r="AEM112" s="294">
        <v>-2180000</v>
      </c>
      <c r="AEN112" s="294">
        <v>-1729834.02</v>
      </c>
      <c r="AEO112" s="294">
        <v>-668648.12</v>
      </c>
      <c r="AEP112" s="294">
        <v>-1858452.05</v>
      </c>
      <c r="AEQ112" s="294">
        <v>-551306</v>
      </c>
      <c r="AER112" s="294">
        <v>-1985073.22</v>
      </c>
      <c r="AES112" s="294">
        <v>-11044438</v>
      </c>
      <c r="AET112" s="294">
        <v>-1252392.5</v>
      </c>
      <c r="AEU112" s="294">
        <v>-1214040</v>
      </c>
      <c r="AEV112" s="294">
        <v>-1099957.6000000001</v>
      </c>
      <c r="AEW112" s="294">
        <v>-102335</v>
      </c>
      <c r="AEX112" s="294">
        <v>-1545000</v>
      </c>
      <c r="AEY112" s="294">
        <v>-1075098.75</v>
      </c>
      <c r="AEZ112" s="294">
        <v>-617527.5</v>
      </c>
      <c r="AFA112" s="294">
        <v>-730320</v>
      </c>
      <c r="AFB112" s="294">
        <v>-365725</v>
      </c>
      <c r="AFC112" s="294">
        <v>-10400000</v>
      </c>
      <c r="AFD112" s="294">
        <v>-2968212.5</v>
      </c>
      <c r="AFE112" s="294">
        <v>-945840</v>
      </c>
      <c r="AFF112" s="294">
        <v>-293890</v>
      </c>
      <c r="AFG112" s="294">
        <v>-3150000</v>
      </c>
      <c r="AFH112" s="294">
        <v>-2135405</v>
      </c>
      <c r="AFI112" s="294">
        <v>-1498960</v>
      </c>
      <c r="AFJ112" s="294">
        <v>-681255</v>
      </c>
      <c r="AFK112" s="294">
        <v>-1006530</v>
      </c>
      <c r="AFL112" s="294">
        <v>-2928750</v>
      </c>
      <c r="AFM112" s="294">
        <v>-660000</v>
      </c>
      <c r="AFN112" s="294">
        <v>-600000</v>
      </c>
      <c r="AFO112" s="294">
        <v>-920100</v>
      </c>
      <c r="AFP112" s="294">
        <v>-6813804</v>
      </c>
      <c r="AFQ112" s="294">
        <v>-1309740</v>
      </c>
      <c r="AFR112" s="294">
        <v>-1732225</v>
      </c>
      <c r="AFS112" s="294">
        <v>-1888515</v>
      </c>
      <c r="AFT112" s="294">
        <v>-2117780</v>
      </c>
      <c r="AFU112" s="294">
        <v>-2030065</v>
      </c>
      <c r="AFV112" s="294">
        <v>-465140</v>
      </c>
      <c r="AFW112" s="294">
        <v>-1293140</v>
      </c>
      <c r="AFX112" s="294">
        <v>-5147755</v>
      </c>
      <c r="AFY112" s="294">
        <v>-355940</v>
      </c>
      <c r="AFZ112" s="294">
        <v>-1684950</v>
      </c>
      <c r="AGA112" s="294">
        <v>-482760</v>
      </c>
      <c r="AGB112" s="294">
        <v>-7940000</v>
      </c>
      <c r="AGC112" s="294">
        <v>-374245</v>
      </c>
      <c r="AGD112" s="294">
        <v>-455000</v>
      </c>
      <c r="AGE112" s="294">
        <v>-553455</v>
      </c>
      <c r="AGF112" s="294">
        <v>-1173010</v>
      </c>
      <c r="AGG112" s="294">
        <v>-670845</v>
      </c>
      <c r="AGH112" s="294">
        <v>-250000</v>
      </c>
      <c r="AGI112" s="294">
        <v>-576790</v>
      </c>
      <c r="AGJ112" s="294">
        <v>-350000</v>
      </c>
      <c r="AGK112" s="294">
        <v>-504375</v>
      </c>
      <c r="AGL112" s="294">
        <v>-539715</v>
      </c>
      <c r="AGM112" s="294">
        <v>-7527041.9199999999</v>
      </c>
      <c r="AGN112" s="294">
        <v>-2212000</v>
      </c>
      <c r="AGO112" s="294">
        <v>-2779305</v>
      </c>
      <c r="AGP112" s="294">
        <v>-1327715.5</v>
      </c>
      <c r="AGQ112" s="294">
        <v>-3506775</v>
      </c>
      <c r="AGR112" s="294">
        <v>-958480</v>
      </c>
      <c r="AGS112" s="294">
        <v>-1512152</v>
      </c>
      <c r="AGT112" s="294">
        <v>-1139338</v>
      </c>
      <c r="AGU112" s="294">
        <v>-12988632.5</v>
      </c>
      <c r="AGV112" s="294">
        <v>-9412024.5</v>
      </c>
      <c r="AGW112" s="294">
        <v>-800177</v>
      </c>
      <c r="AGX112" s="294">
        <v>-1141676.28</v>
      </c>
      <c r="AGY112" s="294">
        <v>-2054325</v>
      </c>
      <c r="AGZ112" s="294">
        <v>-2155134.6</v>
      </c>
      <c r="AHA112" s="294">
        <v>-1335000</v>
      </c>
      <c r="AHB112" s="294">
        <v>-1391020</v>
      </c>
      <c r="AHC112" s="294">
        <v>-463512</v>
      </c>
      <c r="AHD112" s="294">
        <v>-1086181.5</v>
      </c>
      <c r="AHE112" s="294">
        <v>-892000</v>
      </c>
      <c r="AHF112" s="294">
        <v>-875472</v>
      </c>
      <c r="AHG112" s="294">
        <v>-485858</v>
      </c>
      <c r="AHH112" s="294">
        <v>-637611.5</v>
      </c>
      <c r="AHI112" s="294">
        <v>-517108</v>
      </c>
      <c r="AHJ112" s="294">
        <v>0</v>
      </c>
      <c r="AHK112" s="294">
        <v>-628530.19999999995</v>
      </c>
      <c r="AHL112" s="294">
        <v>-4395500</v>
      </c>
      <c r="AHM112" s="294">
        <v>-347730</v>
      </c>
      <c r="AHN112" s="294">
        <v>-467800</v>
      </c>
      <c r="AHO112" s="294">
        <v>-635910</v>
      </c>
      <c r="AHP112" s="294">
        <v>-1300465</v>
      </c>
      <c r="AHQ112" s="294">
        <v>-477922.5</v>
      </c>
      <c r="AHR112" s="331">
        <v>-488330</v>
      </c>
      <c r="AHS112" s="294">
        <f t="shared" si="51"/>
        <v>-1609639000.8300002</v>
      </c>
      <c r="AHT112" s="269" t="b">
        <f t="shared" si="52"/>
        <v>1</v>
      </c>
      <c r="AHU112" s="269" t="s">
        <v>6278</v>
      </c>
      <c r="AHV112" s="269" t="s">
        <v>6167</v>
      </c>
      <c r="AHW112" s="269" t="s">
        <v>6168</v>
      </c>
    </row>
    <row r="113" spans="1:907" ht="24.6" x14ac:dyDescent="0.7">
      <c r="A113" s="268" t="s">
        <v>6278</v>
      </c>
      <c r="B113" s="268" t="s">
        <v>6169</v>
      </c>
      <c r="C113" s="269" t="s">
        <v>6170</v>
      </c>
      <c r="D113" s="294">
        <v>-1979770</v>
      </c>
      <c r="E113" s="294">
        <v>-198480</v>
      </c>
      <c r="F113" s="294"/>
      <c r="G113" s="294">
        <v>-50000</v>
      </c>
      <c r="H113" s="294">
        <v>-200000</v>
      </c>
      <c r="I113" s="294">
        <v>-83010</v>
      </c>
      <c r="J113" s="294">
        <v>-200000</v>
      </c>
      <c r="K113" s="294">
        <v>-350000</v>
      </c>
      <c r="L113" s="294">
        <v>-70020</v>
      </c>
      <c r="M113" s="294">
        <v>-103274</v>
      </c>
      <c r="N113" s="294">
        <v>-70000</v>
      </c>
      <c r="O113" s="294">
        <v>-66180</v>
      </c>
      <c r="P113" s="294">
        <v>-79161.25</v>
      </c>
      <c r="Q113" s="294">
        <v>-290100</v>
      </c>
      <c r="R113" s="294">
        <v>-28252.5</v>
      </c>
      <c r="S113" s="294"/>
      <c r="T113" s="294">
        <v>-74050</v>
      </c>
      <c r="U113" s="294"/>
      <c r="V113" s="294">
        <v>-1315000</v>
      </c>
      <c r="W113" s="294">
        <v>-242912.46</v>
      </c>
      <c r="X113" s="294">
        <v>-15180</v>
      </c>
      <c r="Y113" s="294">
        <v>-20000</v>
      </c>
      <c r="Z113" s="294">
        <v>-96000</v>
      </c>
      <c r="AA113" s="294">
        <v>-111485</v>
      </c>
      <c r="AB113" s="294">
        <v>0</v>
      </c>
      <c r="AC113" s="294">
        <v>-371537.5</v>
      </c>
      <c r="AD113" s="294">
        <v>-101740</v>
      </c>
      <c r="AE113" s="294"/>
      <c r="AF113" s="294">
        <v>-211395</v>
      </c>
      <c r="AG113" s="294"/>
      <c r="AH113" s="294">
        <v>-350216.89</v>
      </c>
      <c r="AI113" s="294">
        <v>-63520</v>
      </c>
      <c r="AJ113" s="294">
        <v>-110315</v>
      </c>
      <c r="AK113" s="294">
        <v>-28260</v>
      </c>
      <c r="AL113" s="294">
        <v>-149894.49</v>
      </c>
      <c r="AM113" s="294">
        <v>-204750</v>
      </c>
      <c r="AN113" s="294">
        <v>-1800</v>
      </c>
      <c r="AO113" s="294">
        <v>-36195</v>
      </c>
      <c r="AP113" s="294"/>
      <c r="AQ113" s="294">
        <v>-68251.94</v>
      </c>
      <c r="AR113" s="294">
        <v>-20000</v>
      </c>
      <c r="AS113" s="294">
        <v>-54332</v>
      </c>
      <c r="AT113" s="294">
        <v>-840920</v>
      </c>
      <c r="AU113" s="294">
        <v>-18640</v>
      </c>
      <c r="AV113" s="294">
        <v>-66890</v>
      </c>
      <c r="AW113" s="294">
        <v>0</v>
      </c>
      <c r="AX113" s="294">
        <v>-259570</v>
      </c>
      <c r="AY113" s="294">
        <v>-27780</v>
      </c>
      <c r="AZ113" s="294">
        <v>-11000</v>
      </c>
      <c r="BA113" s="294">
        <v>-14490</v>
      </c>
      <c r="BB113" s="294">
        <v>-26530</v>
      </c>
      <c r="BC113" s="294">
        <v>-53000</v>
      </c>
      <c r="BD113" s="294"/>
      <c r="BE113" s="294">
        <v>-12600</v>
      </c>
      <c r="BF113" s="294">
        <v>-204265</v>
      </c>
      <c r="BG113" s="294">
        <v>-37721.25</v>
      </c>
      <c r="BH113" s="294">
        <v>-4440</v>
      </c>
      <c r="BI113" s="294"/>
      <c r="BJ113" s="294">
        <v>-859218.75</v>
      </c>
      <c r="BK113" s="294">
        <v>-54479.25</v>
      </c>
      <c r="BL113" s="294"/>
      <c r="BM113" s="294">
        <v>-6545</v>
      </c>
      <c r="BN113" s="294">
        <v>-51880</v>
      </c>
      <c r="BO113" s="294">
        <v>-14145</v>
      </c>
      <c r="BP113" s="294"/>
      <c r="BQ113" s="294">
        <v>-16420</v>
      </c>
      <c r="BR113" s="294"/>
      <c r="BS113" s="294">
        <v>-17250</v>
      </c>
      <c r="BT113" s="294"/>
      <c r="BU113" s="294">
        <v>-24960</v>
      </c>
      <c r="BV113" s="294"/>
      <c r="BW113" s="294"/>
      <c r="BX113" s="294"/>
      <c r="BY113" s="294">
        <v>-36255</v>
      </c>
      <c r="BZ113" s="294">
        <v>0</v>
      </c>
      <c r="CA113" s="294">
        <v>-113537.5</v>
      </c>
      <c r="CB113" s="294">
        <v>0</v>
      </c>
      <c r="CC113" s="294">
        <v>-207837.5</v>
      </c>
      <c r="CD113" s="294">
        <v>-61605</v>
      </c>
      <c r="CE113" s="294">
        <v>-47445</v>
      </c>
      <c r="CF113" s="294">
        <v>0</v>
      </c>
      <c r="CG113" s="294">
        <v>-1100000</v>
      </c>
      <c r="CH113" s="294">
        <v>-4020</v>
      </c>
      <c r="CI113" s="294"/>
      <c r="CJ113" s="294"/>
      <c r="CK113" s="294">
        <v>-6210</v>
      </c>
      <c r="CL113" s="294">
        <v>-25000</v>
      </c>
      <c r="CM113" s="294"/>
      <c r="CN113" s="294">
        <v>-45880</v>
      </c>
      <c r="CO113" s="294"/>
      <c r="CP113" s="294">
        <v>-140875</v>
      </c>
      <c r="CQ113" s="294">
        <v>-9360</v>
      </c>
      <c r="CR113" s="294">
        <v>-40440</v>
      </c>
      <c r="CS113" s="294">
        <v>-32880</v>
      </c>
      <c r="CT113" s="294">
        <v>-500000</v>
      </c>
      <c r="CU113" s="294"/>
      <c r="CV113" s="294">
        <v>-25700</v>
      </c>
      <c r="CW113" s="294">
        <v>-86340</v>
      </c>
      <c r="CX113" s="294">
        <v>-14890</v>
      </c>
      <c r="CY113" s="294">
        <v>-35835</v>
      </c>
      <c r="CZ113" s="294">
        <v>-22560</v>
      </c>
      <c r="DA113" s="294">
        <v>0</v>
      </c>
      <c r="DB113" s="294">
        <v>-433536</v>
      </c>
      <c r="DC113" s="294">
        <v>-1122860</v>
      </c>
      <c r="DD113" s="294">
        <v>-34000</v>
      </c>
      <c r="DE113" s="294">
        <v>-72000</v>
      </c>
      <c r="DF113" s="294"/>
      <c r="DG113" s="294"/>
      <c r="DH113" s="294"/>
      <c r="DI113" s="294">
        <v>-54572.9</v>
      </c>
      <c r="DJ113" s="294">
        <v>-39123</v>
      </c>
      <c r="DK113" s="294">
        <v>-1388960</v>
      </c>
      <c r="DL113" s="294">
        <v>-118762</v>
      </c>
      <c r="DM113" s="294">
        <v>-145313.5</v>
      </c>
      <c r="DN113" s="294">
        <v>-26000</v>
      </c>
      <c r="DO113" s="294">
        <v>-22000</v>
      </c>
      <c r="DP113" s="294">
        <v>-40000</v>
      </c>
      <c r="DQ113" s="294">
        <v>-67863.75</v>
      </c>
      <c r="DR113" s="294">
        <v>-60507.5</v>
      </c>
      <c r="DS113" s="294">
        <v>-300000</v>
      </c>
      <c r="DT113" s="294"/>
      <c r="DU113" s="294">
        <v>-74128</v>
      </c>
      <c r="DV113" s="294">
        <v>-210000</v>
      </c>
      <c r="DW113" s="294">
        <v>-50000</v>
      </c>
      <c r="DX113" s="294">
        <v>-135142</v>
      </c>
      <c r="DY113" s="294"/>
      <c r="DZ113" s="294">
        <v>-175000</v>
      </c>
      <c r="EA113" s="294">
        <v>-58380</v>
      </c>
      <c r="EB113" s="294">
        <v>-102170</v>
      </c>
      <c r="EC113" s="294">
        <v>-190875</v>
      </c>
      <c r="ED113" s="294">
        <v>0</v>
      </c>
      <c r="EE113" s="294">
        <v>-446231.25</v>
      </c>
      <c r="EF113" s="294">
        <v>-263945</v>
      </c>
      <c r="EG113" s="294">
        <v>-37313.75</v>
      </c>
      <c r="EH113" s="294">
        <v>-94010</v>
      </c>
      <c r="EI113" s="294">
        <v>-25600</v>
      </c>
      <c r="EJ113" s="294">
        <v>-133610</v>
      </c>
      <c r="EK113" s="294">
        <v>-176837.5</v>
      </c>
      <c r="EL113" s="294"/>
      <c r="EM113" s="294"/>
      <c r="EN113" s="294">
        <v>-1872794</v>
      </c>
      <c r="EO113" s="294">
        <v>-89295</v>
      </c>
      <c r="EP113" s="294">
        <v>-279460</v>
      </c>
      <c r="EQ113" s="294">
        <v>-203520</v>
      </c>
      <c r="ER113" s="294">
        <v>-74900</v>
      </c>
      <c r="ES113" s="294">
        <v>-53280</v>
      </c>
      <c r="ET113" s="294">
        <v>-131220</v>
      </c>
      <c r="EU113" s="294">
        <v>-88177.5</v>
      </c>
      <c r="EV113" s="294">
        <v>-134505</v>
      </c>
      <c r="EW113" s="294">
        <v>-869000</v>
      </c>
      <c r="EX113" s="294">
        <v>-30810</v>
      </c>
      <c r="EY113" s="294">
        <v>-97581.75</v>
      </c>
      <c r="EZ113" s="294">
        <v>-10080</v>
      </c>
      <c r="FA113" s="294">
        <v>-54675</v>
      </c>
      <c r="FB113" s="294"/>
      <c r="FC113" s="294">
        <v>-30000</v>
      </c>
      <c r="FD113" s="294">
        <v>-106510</v>
      </c>
      <c r="FE113" s="294">
        <v>-41850</v>
      </c>
      <c r="FF113" s="294">
        <v>-30620</v>
      </c>
      <c r="FG113" s="294">
        <v>-54190</v>
      </c>
      <c r="FH113" s="294">
        <v>-66511.460000000006</v>
      </c>
      <c r="FI113" s="294"/>
      <c r="FJ113" s="294"/>
      <c r="FK113" s="294">
        <v>-75150</v>
      </c>
      <c r="FL113" s="294"/>
      <c r="FM113" s="294">
        <v>-40000</v>
      </c>
      <c r="FN113" s="294">
        <v>-77660</v>
      </c>
      <c r="FO113" s="294"/>
      <c r="FP113" s="294"/>
      <c r="FQ113" s="294"/>
      <c r="FR113" s="294">
        <v>-44000</v>
      </c>
      <c r="FS113" s="294"/>
      <c r="FT113" s="294"/>
      <c r="FU113" s="294"/>
      <c r="FV113" s="294">
        <v>-50010</v>
      </c>
      <c r="FW113" s="294">
        <v>-195788</v>
      </c>
      <c r="FX113" s="294">
        <v>-90000</v>
      </c>
      <c r="FY113" s="294">
        <v>-34130</v>
      </c>
      <c r="FZ113" s="294">
        <v>-54630</v>
      </c>
      <c r="GA113" s="294">
        <v>-249030</v>
      </c>
      <c r="GB113" s="294">
        <v>-85075.5</v>
      </c>
      <c r="GC113" s="294">
        <v>-23130</v>
      </c>
      <c r="GD113" s="294">
        <v>-48900</v>
      </c>
      <c r="GE113" s="294"/>
      <c r="GF113" s="294"/>
      <c r="GG113" s="294">
        <v>-44000</v>
      </c>
      <c r="GH113" s="294"/>
      <c r="GI113" s="294"/>
      <c r="GJ113" s="294">
        <v>-30000</v>
      </c>
      <c r="GK113" s="294">
        <v>-63797</v>
      </c>
      <c r="GL113" s="294"/>
      <c r="GM113" s="294">
        <v>-40285</v>
      </c>
      <c r="GN113" s="294">
        <v>-58000</v>
      </c>
      <c r="GO113" s="294"/>
      <c r="GP113" s="294"/>
      <c r="GQ113" s="294">
        <v>0</v>
      </c>
      <c r="GR113" s="294">
        <v>-5760</v>
      </c>
      <c r="GS113" s="294">
        <v>-14685</v>
      </c>
      <c r="GT113" s="294">
        <v>-40000</v>
      </c>
      <c r="GU113" s="294">
        <v>-30000</v>
      </c>
      <c r="GV113" s="294">
        <v>-25000</v>
      </c>
      <c r="GW113" s="294">
        <v>-73345</v>
      </c>
      <c r="GX113" s="294">
        <v>-100000</v>
      </c>
      <c r="GY113" s="294">
        <v>-106560</v>
      </c>
      <c r="GZ113" s="294"/>
      <c r="HA113" s="294">
        <v>-80812.5</v>
      </c>
      <c r="HB113" s="294">
        <v>-78150</v>
      </c>
      <c r="HC113" s="294"/>
      <c r="HD113" s="294"/>
      <c r="HE113" s="294"/>
      <c r="HF113" s="294">
        <v>-180000</v>
      </c>
      <c r="HG113" s="294">
        <v>-95592</v>
      </c>
      <c r="HH113" s="294">
        <v>-65000</v>
      </c>
      <c r="HI113" s="294">
        <v>-111194</v>
      </c>
      <c r="HJ113" s="294">
        <v>-2700000</v>
      </c>
      <c r="HK113" s="294"/>
      <c r="HL113" s="294">
        <v>-46488</v>
      </c>
      <c r="HM113" s="294"/>
      <c r="HN113" s="294">
        <v>-400000</v>
      </c>
      <c r="HO113" s="294"/>
      <c r="HP113" s="294">
        <v>-30000</v>
      </c>
      <c r="HQ113" s="294">
        <v>-30000</v>
      </c>
      <c r="HR113" s="294">
        <v>-1161900</v>
      </c>
      <c r="HS113" s="294">
        <v>-238137.5</v>
      </c>
      <c r="HT113" s="294">
        <v>-176940</v>
      </c>
      <c r="HU113" s="294">
        <v>-90000</v>
      </c>
      <c r="HV113" s="294">
        <v>-24030</v>
      </c>
      <c r="HW113" s="294">
        <v>-21320</v>
      </c>
      <c r="HX113" s="294">
        <v>-123374.76</v>
      </c>
      <c r="HY113" s="294">
        <v>-15940</v>
      </c>
      <c r="HZ113" s="294">
        <v>-43400</v>
      </c>
      <c r="IA113" s="294">
        <v>-51885</v>
      </c>
      <c r="IB113" s="294">
        <v>-9390</v>
      </c>
      <c r="IC113" s="294">
        <v>-140000</v>
      </c>
      <c r="ID113" s="294">
        <v>-25200</v>
      </c>
      <c r="IE113" s="294">
        <v>-17645</v>
      </c>
      <c r="IF113" s="294">
        <v>-59340</v>
      </c>
      <c r="IG113" s="294">
        <v>-22050</v>
      </c>
      <c r="IH113" s="294"/>
      <c r="II113" s="294">
        <v>-300000</v>
      </c>
      <c r="IJ113" s="294"/>
      <c r="IK113" s="294">
        <v>-51754</v>
      </c>
      <c r="IL113" s="294">
        <v>-255687</v>
      </c>
      <c r="IM113" s="294"/>
      <c r="IN113" s="294"/>
      <c r="IO113" s="294">
        <v>-70545</v>
      </c>
      <c r="IP113" s="294">
        <v>-115780</v>
      </c>
      <c r="IQ113" s="294">
        <v>0</v>
      </c>
      <c r="IR113" s="294">
        <v>-42317.5</v>
      </c>
      <c r="IS113" s="294"/>
      <c r="IT113" s="294">
        <v>0</v>
      </c>
      <c r="IU113" s="294">
        <v>-47000</v>
      </c>
      <c r="IV113" s="294">
        <v>-100000</v>
      </c>
      <c r="IW113" s="294">
        <v>-703467.94</v>
      </c>
      <c r="IX113" s="294"/>
      <c r="IY113" s="294">
        <v>-10000</v>
      </c>
      <c r="IZ113" s="294">
        <v>-23840</v>
      </c>
      <c r="JA113" s="294">
        <v>-25000</v>
      </c>
      <c r="JB113" s="294">
        <v>-45540</v>
      </c>
      <c r="JC113" s="294">
        <v>-82050</v>
      </c>
      <c r="JD113" s="294"/>
      <c r="JE113" s="294">
        <v>-192240</v>
      </c>
      <c r="JF113" s="294"/>
      <c r="JG113" s="294"/>
      <c r="JH113" s="294"/>
      <c r="JI113" s="294"/>
      <c r="JJ113" s="294"/>
      <c r="JK113" s="294">
        <v>-755800</v>
      </c>
      <c r="JL113" s="294"/>
      <c r="JM113" s="294"/>
      <c r="JN113" s="294"/>
      <c r="JO113" s="294"/>
      <c r="JP113" s="294"/>
      <c r="JQ113" s="294"/>
      <c r="JR113" s="294">
        <v>-335460</v>
      </c>
      <c r="JS113" s="294">
        <v>-170000</v>
      </c>
      <c r="JT113" s="294"/>
      <c r="JU113" s="294"/>
      <c r="JV113" s="294">
        <v>-60760</v>
      </c>
      <c r="JW113" s="294"/>
      <c r="JX113" s="294">
        <v>-110000</v>
      </c>
      <c r="JY113" s="294">
        <v>-52020</v>
      </c>
      <c r="JZ113" s="294">
        <v>-142975</v>
      </c>
      <c r="KA113" s="294"/>
      <c r="KB113" s="294">
        <v>-50550</v>
      </c>
      <c r="KC113" s="294"/>
      <c r="KD113" s="294">
        <v>-17280</v>
      </c>
      <c r="KE113" s="294"/>
      <c r="KF113" s="294">
        <v>-13500</v>
      </c>
      <c r="KG113" s="294"/>
      <c r="KH113" s="294"/>
      <c r="KI113" s="294"/>
      <c r="KJ113" s="294"/>
      <c r="KK113" s="294">
        <v>-54060</v>
      </c>
      <c r="KL113" s="294"/>
      <c r="KM113" s="294"/>
      <c r="KN113" s="294">
        <v>-110115</v>
      </c>
      <c r="KO113" s="294"/>
      <c r="KP113" s="294"/>
      <c r="KQ113" s="294">
        <v>-684106.29</v>
      </c>
      <c r="KR113" s="294">
        <v>-65010</v>
      </c>
      <c r="KS113" s="294">
        <v>-244329</v>
      </c>
      <c r="KT113" s="294">
        <v>-66148</v>
      </c>
      <c r="KU113" s="294">
        <v>-119871</v>
      </c>
      <c r="KV113" s="294">
        <v>-125647.5</v>
      </c>
      <c r="KW113" s="294"/>
      <c r="KX113" s="294">
        <v>-136740</v>
      </c>
      <c r="KY113" s="294"/>
      <c r="KZ113" s="294">
        <v>-80000</v>
      </c>
      <c r="LA113" s="294">
        <v>-9937.5</v>
      </c>
      <c r="LB113" s="294"/>
      <c r="LC113" s="294"/>
      <c r="LD113" s="294"/>
      <c r="LE113" s="294">
        <v>-120231.5</v>
      </c>
      <c r="LF113" s="294"/>
      <c r="LG113" s="294">
        <v>-550000</v>
      </c>
      <c r="LH113" s="294"/>
      <c r="LI113" s="294">
        <v>-819164</v>
      </c>
      <c r="LJ113" s="294">
        <v>-160000</v>
      </c>
      <c r="LK113" s="294">
        <v>-40500</v>
      </c>
      <c r="LL113" s="294"/>
      <c r="LM113" s="294"/>
      <c r="LN113" s="294">
        <v>-157300</v>
      </c>
      <c r="LO113" s="294">
        <v>0</v>
      </c>
      <c r="LP113" s="294">
        <v>-87814</v>
      </c>
      <c r="LQ113" s="294">
        <v>-50000</v>
      </c>
      <c r="LR113" s="294">
        <v>-379320</v>
      </c>
      <c r="LS113" s="294"/>
      <c r="LT113" s="294">
        <v>-28700</v>
      </c>
      <c r="LU113" s="294"/>
      <c r="LV113" s="294">
        <v>-1500000</v>
      </c>
      <c r="LW113" s="294">
        <v>-210000</v>
      </c>
      <c r="LX113" s="294">
        <v>0</v>
      </c>
      <c r="LY113" s="294">
        <v>-120000</v>
      </c>
      <c r="LZ113" s="294">
        <v>-110000</v>
      </c>
      <c r="MA113" s="294">
        <v>-160000</v>
      </c>
      <c r="MB113" s="294"/>
      <c r="MC113" s="294">
        <v>-65800</v>
      </c>
      <c r="MD113" s="294">
        <v>-42180</v>
      </c>
      <c r="ME113" s="294"/>
      <c r="MF113" s="294">
        <v>-141000</v>
      </c>
      <c r="MG113" s="294">
        <v>-1577445.5</v>
      </c>
      <c r="MH113" s="294">
        <v>-100000</v>
      </c>
      <c r="MI113" s="294"/>
      <c r="MJ113" s="294"/>
      <c r="MK113" s="294"/>
      <c r="ML113" s="294">
        <v>-35000</v>
      </c>
      <c r="MM113" s="294">
        <v>-90000</v>
      </c>
      <c r="MN113" s="294">
        <v>-18837</v>
      </c>
      <c r="MO113" s="294">
        <v>-258628.5</v>
      </c>
      <c r="MP113" s="294">
        <v>-55000</v>
      </c>
      <c r="MQ113" s="294">
        <v>-29796</v>
      </c>
      <c r="MR113" s="294">
        <v>0</v>
      </c>
      <c r="MS113" s="294"/>
      <c r="MT113" s="294"/>
      <c r="MU113" s="294"/>
      <c r="MV113" s="294"/>
      <c r="MW113" s="294"/>
      <c r="MX113" s="294"/>
      <c r="MY113" s="294">
        <v>-97135</v>
      </c>
      <c r="MZ113" s="294"/>
      <c r="NA113" s="294">
        <v>-123214</v>
      </c>
      <c r="NB113" s="294">
        <v>-4640</v>
      </c>
      <c r="NC113" s="294">
        <v>-2790</v>
      </c>
      <c r="ND113" s="294">
        <v>-4597586</v>
      </c>
      <c r="NE113" s="294"/>
      <c r="NF113" s="294">
        <v>-107077.5</v>
      </c>
      <c r="NG113" s="294"/>
      <c r="NH113" s="294">
        <v>-50000</v>
      </c>
      <c r="NI113" s="294">
        <v>-566831.72</v>
      </c>
      <c r="NJ113" s="294">
        <v>-350000</v>
      </c>
      <c r="NK113" s="294">
        <v>-301345.5</v>
      </c>
      <c r="NL113" s="294">
        <v>-7665</v>
      </c>
      <c r="NM113" s="294"/>
      <c r="NN113" s="294">
        <v>-31260</v>
      </c>
      <c r="NO113" s="294">
        <v>-178743.71</v>
      </c>
      <c r="NP113" s="294">
        <v>-546100</v>
      </c>
      <c r="NQ113" s="294">
        <v>-160000</v>
      </c>
      <c r="NR113" s="294"/>
      <c r="NS113" s="294">
        <v>-27315</v>
      </c>
      <c r="NT113" s="294">
        <v>-30000</v>
      </c>
      <c r="NU113" s="294">
        <v>-40000</v>
      </c>
      <c r="NV113" s="294">
        <v>-6000</v>
      </c>
      <c r="NW113" s="294">
        <v>-1100000</v>
      </c>
      <c r="NX113" s="294"/>
      <c r="NY113" s="294"/>
      <c r="NZ113" s="294">
        <v>-78840</v>
      </c>
      <c r="OA113" s="294">
        <v>-76020</v>
      </c>
      <c r="OB113" s="294">
        <v>-190420</v>
      </c>
      <c r="OC113" s="294"/>
      <c r="OD113" s="294"/>
      <c r="OE113" s="294"/>
      <c r="OF113" s="294">
        <v>-75112</v>
      </c>
      <c r="OG113" s="294"/>
      <c r="OH113" s="294">
        <v>-112730</v>
      </c>
      <c r="OI113" s="294"/>
      <c r="OJ113" s="294">
        <v>-295967.5</v>
      </c>
      <c r="OK113" s="294">
        <v>-15660</v>
      </c>
      <c r="OL113" s="294">
        <v>-54724</v>
      </c>
      <c r="OM113" s="294">
        <v>-982188.57</v>
      </c>
      <c r="ON113" s="294">
        <v>-307102</v>
      </c>
      <c r="OO113" s="294">
        <v>0</v>
      </c>
      <c r="OP113" s="294">
        <v>-56000</v>
      </c>
      <c r="OQ113" s="294">
        <v>-125000</v>
      </c>
      <c r="OR113" s="294"/>
      <c r="OS113" s="294">
        <v>-361751.5</v>
      </c>
      <c r="OT113" s="294">
        <v>-90810</v>
      </c>
      <c r="OU113" s="294">
        <v>-150282.5</v>
      </c>
      <c r="OV113" s="294">
        <v>-179000</v>
      </c>
      <c r="OW113" s="294">
        <v>-95085</v>
      </c>
      <c r="OX113" s="294">
        <v>-163300</v>
      </c>
      <c r="OY113" s="294">
        <v>-114440</v>
      </c>
      <c r="OZ113" s="294">
        <v>-199952</v>
      </c>
      <c r="PA113" s="294">
        <v>-10000</v>
      </c>
      <c r="PB113" s="294">
        <v>-1870075</v>
      </c>
      <c r="PC113" s="294"/>
      <c r="PD113" s="294"/>
      <c r="PE113" s="294">
        <v>-71575</v>
      </c>
      <c r="PF113" s="294"/>
      <c r="PG113" s="294"/>
      <c r="PH113" s="294">
        <v>-31937.5</v>
      </c>
      <c r="PI113" s="294">
        <v>-138600</v>
      </c>
      <c r="PJ113" s="294">
        <v>-198891.25</v>
      </c>
      <c r="PK113" s="294"/>
      <c r="PL113" s="294">
        <v>-178380</v>
      </c>
      <c r="PM113" s="294"/>
      <c r="PN113" s="294">
        <v>-80000</v>
      </c>
      <c r="PO113" s="294"/>
      <c r="PP113" s="294">
        <v>-99515</v>
      </c>
      <c r="PQ113" s="294"/>
      <c r="PR113" s="294">
        <v>-110607.5</v>
      </c>
      <c r="PS113" s="294">
        <v>-25310</v>
      </c>
      <c r="PT113" s="294">
        <v>-3428211</v>
      </c>
      <c r="PU113" s="294"/>
      <c r="PV113" s="294">
        <v>-70999.5</v>
      </c>
      <c r="PW113" s="294">
        <v>-79172.5</v>
      </c>
      <c r="PX113" s="294"/>
      <c r="PY113" s="294">
        <v>-102518.75</v>
      </c>
      <c r="PZ113" s="294">
        <v>-475208</v>
      </c>
      <c r="QA113" s="294"/>
      <c r="QB113" s="294">
        <v>-82670</v>
      </c>
      <c r="QC113" s="294">
        <v>-626805</v>
      </c>
      <c r="QD113" s="294">
        <v>-1066300</v>
      </c>
      <c r="QE113" s="294">
        <v>-101730</v>
      </c>
      <c r="QF113" s="294"/>
      <c r="QG113" s="294"/>
      <c r="QH113" s="294"/>
      <c r="QI113" s="294">
        <v>-82585</v>
      </c>
      <c r="QJ113" s="294"/>
      <c r="QK113" s="294"/>
      <c r="QL113" s="294"/>
      <c r="QM113" s="294">
        <v>-323774.5</v>
      </c>
      <c r="QN113" s="294">
        <v>-50000</v>
      </c>
      <c r="QO113" s="294">
        <v>-83908.11</v>
      </c>
      <c r="QP113" s="294"/>
      <c r="QQ113" s="294"/>
      <c r="QR113" s="294">
        <v>-8160</v>
      </c>
      <c r="QS113" s="294"/>
      <c r="QT113" s="294">
        <v>-826550</v>
      </c>
      <c r="QU113" s="294"/>
      <c r="QV113" s="294"/>
      <c r="QW113" s="294"/>
      <c r="QX113" s="294">
        <v>-16520</v>
      </c>
      <c r="QY113" s="294">
        <v>-132950</v>
      </c>
      <c r="QZ113" s="294"/>
      <c r="RA113" s="294">
        <v>-310930</v>
      </c>
      <c r="RB113" s="294"/>
      <c r="RC113" s="294"/>
      <c r="RD113" s="294">
        <v>-200990</v>
      </c>
      <c r="RE113" s="294"/>
      <c r="RF113" s="294">
        <v>-43890</v>
      </c>
      <c r="RG113" s="294">
        <v>-3900000</v>
      </c>
      <c r="RH113" s="294"/>
      <c r="RI113" s="294">
        <v>-75460</v>
      </c>
      <c r="RJ113" s="294">
        <v>-382480</v>
      </c>
      <c r="RK113" s="294">
        <v>-69040</v>
      </c>
      <c r="RL113" s="294">
        <v>-72013.789999999994</v>
      </c>
      <c r="RM113" s="294">
        <v>-400028</v>
      </c>
      <c r="RN113" s="294">
        <v>-39520</v>
      </c>
      <c r="RO113" s="294">
        <v>-11690</v>
      </c>
      <c r="RP113" s="294">
        <v>-267420</v>
      </c>
      <c r="RQ113" s="294"/>
      <c r="RR113" s="294">
        <v>-152400</v>
      </c>
      <c r="RS113" s="294"/>
      <c r="RT113" s="294">
        <v>-102825.5</v>
      </c>
      <c r="RU113" s="294">
        <v>-17580</v>
      </c>
      <c r="RV113" s="294">
        <v>-20860</v>
      </c>
      <c r="RW113" s="294"/>
      <c r="RX113" s="294"/>
      <c r="RY113" s="294">
        <v>-31770</v>
      </c>
      <c r="RZ113" s="294"/>
      <c r="SA113" s="294"/>
      <c r="SB113" s="294">
        <v>-46100</v>
      </c>
      <c r="SC113" s="294">
        <v>-142710</v>
      </c>
      <c r="SD113" s="294">
        <v>-50000</v>
      </c>
      <c r="SE113" s="294">
        <v>-22780</v>
      </c>
      <c r="SF113" s="294">
        <v>-5000</v>
      </c>
      <c r="SG113" s="294">
        <v>-51200</v>
      </c>
      <c r="SH113" s="294">
        <v>-15000</v>
      </c>
      <c r="SI113" s="294">
        <v>-45105</v>
      </c>
      <c r="SJ113" s="294">
        <v>-60000</v>
      </c>
      <c r="SK113" s="294">
        <v>-44060</v>
      </c>
      <c r="SL113" s="294"/>
      <c r="SM113" s="294">
        <v>-597785.62</v>
      </c>
      <c r="SN113" s="294">
        <v>-77545</v>
      </c>
      <c r="SO113" s="294">
        <v>-310552.5</v>
      </c>
      <c r="SP113" s="294">
        <v>-156512.5</v>
      </c>
      <c r="SQ113" s="294">
        <v>-106865</v>
      </c>
      <c r="SR113" s="294">
        <v>-77660.25</v>
      </c>
      <c r="SS113" s="294">
        <v>-65821.5</v>
      </c>
      <c r="ST113" s="294">
        <v>-75000</v>
      </c>
      <c r="SU113" s="294">
        <v>-885792.5</v>
      </c>
      <c r="SV113" s="294">
        <v>-132232.5</v>
      </c>
      <c r="SW113" s="294">
        <v>-154390</v>
      </c>
      <c r="SX113" s="294">
        <v>-39620</v>
      </c>
      <c r="SY113" s="294">
        <v>0</v>
      </c>
      <c r="SZ113" s="294">
        <v>-5520</v>
      </c>
      <c r="TA113" s="294"/>
      <c r="TB113" s="294">
        <v>-56025</v>
      </c>
      <c r="TC113" s="294">
        <v>-88460</v>
      </c>
      <c r="TD113" s="294">
        <v>-10380</v>
      </c>
      <c r="TE113" s="294">
        <v>-284765</v>
      </c>
      <c r="TF113" s="294">
        <v>-34630</v>
      </c>
      <c r="TG113" s="294">
        <v>-52480</v>
      </c>
      <c r="TH113" s="294">
        <v>-634017</v>
      </c>
      <c r="TI113" s="294">
        <v>-1275201</v>
      </c>
      <c r="TJ113" s="294">
        <v>-104295</v>
      </c>
      <c r="TK113" s="294">
        <v>-35170</v>
      </c>
      <c r="TL113" s="294">
        <v>-76245</v>
      </c>
      <c r="TM113" s="294"/>
      <c r="TN113" s="294">
        <v>-7340</v>
      </c>
      <c r="TO113" s="294">
        <v>-37030</v>
      </c>
      <c r="TP113" s="294">
        <v>-294750</v>
      </c>
      <c r="TQ113" s="294">
        <v>-69150.5</v>
      </c>
      <c r="TR113" s="294">
        <v>-176730</v>
      </c>
      <c r="TS113" s="294">
        <v>-20000</v>
      </c>
      <c r="TT113" s="294">
        <v>-15940</v>
      </c>
      <c r="TU113" s="294">
        <v>-60117.5</v>
      </c>
      <c r="TV113" s="294">
        <v>-83340</v>
      </c>
      <c r="TW113" s="294"/>
      <c r="TX113" s="294">
        <v>-90577.5</v>
      </c>
      <c r="TY113" s="294">
        <v>-421360</v>
      </c>
      <c r="TZ113" s="294">
        <v>-27700</v>
      </c>
      <c r="UA113" s="294">
        <v>-1200000</v>
      </c>
      <c r="UB113" s="294">
        <v>-135970</v>
      </c>
      <c r="UC113" s="294"/>
      <c r="UD113" s="294">
        <v>-30000</v>
      </c>
      <c r="UE113" s="294">
        <v>-150000</v>
      </c>
      <c r="UF113" s="294">
        <v>-18480</v>
      </c>
      <c r="UG113" s="294">
        <v>-95000</v>
      </c>
      <c r="UH113" s="294">
        <v>-123690</v>
      </c>
      <c r="UI113" s="294">
        <v>-48180</v>
      </c>
      <c r="UJ113" s="294">
        <v>-721130</v>
      </c>
      <c r="UK113" s="294">
        <v>-243622.5</v>
      </c>
      <c r="UL113" s="294">
        <v>-227190</v>
      </c>
      <c r="UM113" s="294">
        <v>-212460</v>
      </c>
      <c r="UN113" s="294">
        <v>-205810</v>
      </c>
      <c r="UO113" s="294">
        <v>-49700</v>
      </c>
      <c r="UP113" s="294">
        <v>-3000000</v>
      </c>
      <c r="UQ113" s="294">
        <v>-87060</v>
      </c>
      <c r="UR113" s="294">
        <v>-62190</v>
      </c>
      <c r="US113" s="294">
        <v>-443085</v>
      </c>
      <c r="UT113" s="294">
        <v>-30370</v>
      </c>
      <c r="UU113" s="294">
        <v>-103575</v>
      </c>
      <c r="UV113" s="294">
        <v>-350000</v>
      </c>
      <c r="UW113" s="294">
        <v>-104960</v>
      </c>
      <c r="UX113" s="294">
        <v>-67240</v>
      </c>
      <c r="UY113" s="294">
        <v>-42140</v>
      </c>
      <c r="UZ113" s="294">
        <v>-213560</v>
      </c>
      <c r="VA113" s="294">
        <v>-286045</v>
      </c>
      <c r="VB113" s="294">
        <v>-96960</v>
      </c>
      <c r="VC113" s="294">
        <v>-233810</v>
      </c>
      <c r="VD113" s="294">
        <v>-14020</v>
      </c>
      <c r="VE113" s="294">
        <v>-68460</v>
      </c>
      <c r="VF113" s="294">
        <v>-95226</v>
      </c>
      <c r="VG113" s="294">
        <v>-97775</v>
      </c>
      <c r="VH113" s="294">
        <v>-95200</v>
      </c>
      <c r="VI113" s="294">
        <v>-90048</v>
      </c>
      <c r="VJ113" s="294">
        <v>-63895</v>
      </c>
      <c r="VK113" s="294"/>
      <c r="VL113" s="294">
        <v>-438310</v>
      </c>
      <c r="VM113" s="294"/>
      <c r="VN113" s="294">
        <v>-130000</v>
      </c>
      <c r="VO113" s="294"/>
      <c r="VP113" s="294">
        <v>-64050</v>
      </c>
      <c r="VQ113" s="294">
        <v>-100000</v>
      </c>
      <c r="VR113" s="294">
        <v>-80000</v>
      </c>
      <c r="VS113" s="294"/>
      <c r="VT113" s="294">
        <v>-142055</v>
      </c>
      <c r="VU113" s="294">
        <v>-200000</v>
      </c>
      <c r="VV113" s="294"/>
      <c r="VW113" s="294">
        <v>-18083.5</v>
      </c>
      <c r="VX113" s="294">
        <v>-90970</v>
      </c>
      <c r="VY113" s="294">
        <v>-116010</v>
      </c>
      <c r="VZ113" s="294">
        <v>-118020</v>
      </c>
      <c r="WA113" s="294">
        <v>-9700000</v>
      </c>
      <c r="WB113" s="294">
        <v>-39886.879999999997</v>
      </c>
      <c r="WC113" s="294">
        <v>-238620</v>
      </c>
      <c r="WD113" s="294">
        <v>-339682.5</v>
      </c>
      <c r="WE113" s="294">
        <v>-20640</v>
      </c>
      <c r="WF113" s="294">
        <v>-169215.3</v>
      </c>
      <c r="WG113" s="294">
        <v>-176100</v>
      </c>
      <c r="WH113" s="294"/>
      <c r="WI113" s="294">
        <v>-163537.5</v>
      </c>
      <c r="WJ113" s="294">
        <v>-74537.5</v>
      </c>
      <c r="WK113" s="294"/>
      <c r="WL113" s="294">
        <v>-363339</v>
      </c>
      <c r="WM113" s="294">
        <v>-94505</v>
      </c>
      <c r="WN113" s="294"/>
      <c r="WO113" s="294">
        <v>-379934.5</v>
      </c>
      <c r="WP113" s="294"/>
      <c r="WQ113" s="294"/>
      <c r="WR113" s="294">
        <v>-167000</v>
      </c>
      <c r="WS113" s="294">
        <v>-44520</v>
      </c>
      <c r="WT113" s="294">
        <v>-227025</v>
      </c>
      <c r="WU113" s="294"/>
      <c r="WV113" s="294"/>
      <c r="WW113" s="294">
        <v>-87811</v>
      </c>
      <c r="WX113" s="294">
        <v>-105886</v>
      </c>
      <c r="WY113" s="294"/>
      <c r="WZ113" s="294">
        <v>0</v>
      </c>
      <c r="XA113" s="294">
        <v>-109234</v>
      </c>
      <c r="XB113" s="294"/>
      <c r="XC113" s="294"/>
      <c r="XD113" s="294">
        <v>-88552.5</v>
      </c>
      <c r="XE113" s="294"/>
      <c r="XF113" s="294"/>
      <c r="XG113" s="294"/>
      <c r="XH113" s="294">
        <v>-2486603.75</v>
      </c>
      <c r="XI113" s="294">
        <v>-192037.5</v>
      </c>
      <c r="XJ113" s="294">
        <v>-212920</v>
      </c>
      <c r="XK113" s="294">
        <v>-704665</v>
      </c>
      <c r="XL113" s="294">
        <v>-64725</v>
      </c>
      <c r="XM113" s="294">
        <v>-310057.5</v>
      </c>
      <c r="XN113" s="294">
        <v>-133707</v>
      </c>
      <c r="XO113" s="294">
        <v>-234275</v>
      </c>
      <c r="XP113" s="294">
        <v>-214902</v>
      </c>
      <c r="XQ113" s="294">
        <v>-261150</v>
      </c>
      <c r="XR113" s="294">
        <v>-467799.55</v>
      </c>
      <c r="XS113" s="294">
        <v>-240695</v>
      </c>
      <c r="XT113" s="294">
        <v>-108506.25</v>
      </c>
      <c r="XU113" s="294">
        <v>-198416</v>
      </c>
      <c r="XV113" s="294">
        <v>-27000</v>
      </c>
      <c r="XW113" s="294">
        <v>-47400</v>
      </c>
      <c r="XX113" s="294">
        <v>-166608.14000000001</v>
      </c>
      <c r="XY113" s="294">
        <v>-133785</v>
      </c>
      <c r="XZ113" s="294">
        <v>-120990</v>
      </c>
      <c r="YA113" s="294">
        <v>-63015</v>
      </c>
      <c r="YB113" s="294">
        <v>-28125</v>
      </c>
      <c r="YC113" s="294">
        <v>-80640</v>
      </c>
      <c r="YD113" s="294"/>
      <c r="YE113" s="294">
        <v>-652167.6</v>
      </c>
      <c r="YF113" s="294">
        <v>-16560</v>
      </c>
      <c r="YG113" s="294">
        <v>-150830</v>
      </c>
      <c r="YH113" s="294">
        <v>-57400</v>
      </c>
      <c r="YI113" s="294">
        <v>-633296.5</v>
      </c>
      <c r="YJ113" s="294">
        <v>-63725</v>
      </c>
      <c r="YK113" s="294">
        <v>-500000</v>
      </c>
      <c r="YL113" s="294">
        <v>-106348</v>
      </c>
      <c r="YM113" s="294">
        <v>-464494</v>
      </c>
      <c r="YN113" s="294">
        <v>-82540</v>
      </c>
      <c r="YO113" s="294">
        <v>-42320</v>
      </c>
      <c r="YP113" s="294">
        <v>-241000</v>
      </c>
      <c r="YQ113" s="294">
        <v>-106090</v>
      </c>
      <c r="YR113" s="294">
        <v>-143975</v>
      </c>
      <c r="YS113" s="294">
        <v>-78645</v>
      </c>
      <c r="YT113" s="294">
        <v>-26615</v>
      </c>
      <c r="YU113" s="294">
        <v>-125658.75</v>
      </c>
      <c r="YV113" s="294">
        <v>-484230</v>
      </c>
      <c r="YW113" s="294">
        <v>-77450</v>
      </c>
      <c r="YX113" s="294"/>
      <c r="YY113" s="294">
        <v>-1260</v>
      </c>
      <c r="YZ113" s="294">
        <v>0</v>
      </c>
      <c r="ZA113" s="294">
        <v>-17320</v>
      </c>
      <c r="ZB113" s="294">
        <v>-37020</v>
      </c>
      <c r="ZC113" s="294"/>
      <c r="ZD113" s="294">
        <v>-17500</v>
      </c>
      <c r="ZE113" s="294"/>
      <c r="ZF113" s="294">
        <v>-96440</v>
      </c>
      <c r="ZG113" s="294">
        <v>-51675</v>
      </c>
      <c r="ZH113" s="294">
        <v>-98730</v>
      </c>
      <c r="ZI113" s="294">
        <v>-31560</v>
      </c>
      <c r="ZJ113" s="294">
        <v>-63882.5</v>
      </c>
      <c r="ZK113" s="294">
        <v>-88820</v>
      </c>
      <c r="ZL113" s="294">
        <v>-2300000</v>
      </c>
      <c r="ZM113" s="294">
        <v>-9000</v>
      </c>
      <c r="ZN113" s="294">
        <v>-144396</v>
      </c>
      <c r="ZO113" s="294">
        <v>-700000</v>
      </c>
      <c r="ZP113" s="294">
        <v>-144810</v>
      </c>
      <c r="ZQ113" s="294"/>
      <c r="ZR113" s="294"/>
      <c r="ZS113" s="294">
        <v>-72980</v>
      </c>
      <c r="ZT113" s="294">
        <v>-58307.5</v>
      </c>
      <c r="ZU113" s="294">
        <v>-109450</v>
      </c>
      <c r="ZV113" s="294">
        <v>-840</v>
      </c>
      <c r="ZW113" s="294">
        <v>-10000</v>
      </c>
      <c r="ZX113" s="294">
        <v>-32830</v>
      </c>
      <c r="ZY113" s="294">
        <v>-29100</v>
      </c>
      <c r="ZZ113" s="294"/>
      <c r="AAA113" s="294">
        <v>-28123</v>
      </c>
      <c r="AAB113" s="294">
        <v>-60790</v>
      </c>
      <c r="AAC113" s="294">
        <v>-16200</v>
      </c>
      <c r="AAD113" s="294">
        <v>-17704</v>
      </c>
      <c r="AAE113" s="294">
        <v>-12885</v>
      </c>
      <c r="AAF113" s="294">
        <v>-6600</v>
      </c>
      <c r="AAG113" s="294">
        <v>-20070</v>
      </c>
      <c r="AAH113" s="294"/>
      <c r="AAI113" s="294">
        <v>-114086</v>
      </c>
      <c r="AAJ113" s="294">
        <v>-60680</v>
      </c>
      <c r="AAK113" s="294">
        <v>-94000</v>
      </c>
      <c r="AAL113" s="294"/>
      <c r="AAM113" s="294">
        <v>-162240</v>
      </c>
      <c r="AAN113" s="294"/>
      <c r="AAO113" s="294">
        <v>-1105010</v>
      </c>
      <c r="AAP113" s="294">
        <v>-126571</v>
      </c>
      <c r="AAQ113" s="294">
        <v>-170000</v>
      </c>
      <c r="AAR113" s="294">
        <v>-140000</v>
      </c>
      <c r="AAS113" s="294">
        <v>-159370</v>
      </c>
      <c r="AAT113" s="294">
        <v>-152476</v>
      </c>
      <c r="AAU113" s="294">
        <v>-198560</v>
      </c>
      <c r="AAV113" s="294">
        <v>-94200</v>
      </c>
      <c r="AAW113" s="294">
        <v>-224740</v>
      </c>
      <c r="AAX113" s="294">
        <v>-357642</v>
      </c>
      <c r="AAY113" s="294">
        <v>-196783.75</v>
      </c>
      <c r="AAZ113" s="294">
        <v>-272051.5</v>
      </c>
      <c r="ABA113" s="294">
        <v>-271535.5</v>
      </c>
      <c r="ABB113" s="294"/>
      <c r="ABC113" s="294">
        <v>-131650</v>
      </c>
      <c r="ABD113" s="294">
        <v>-150220</v>
      </c>
      <c r="ABE113" s="294"/>
      <c r="ABF113" s="294">
        <v>-468442</v>
      </c>
      <c r="ABG113" s="294">
        <v>-91030</v>
      </c>
      <c r="ABH113" s="294">
        <v>-706430</v>
      </c>
      <c r="ABI113" s="294">
        <v>-389550</v>
      </c>
      <c r="ABJ113" s="294">
        <v>-83040</v>
      </c>
      <c r="ABK113" s="294">
        <v>-86000</v>
      </c>
      <c r="ABL113" s="294">
        <v>-106335</v>
      </c>
      <c r="ABM113" s="294">
        <v>-106140</v>
      </c>
      <c r="ABN113" s="294">
        <v>-14370</v>
      </c>
      <c r="ABO113" s="294">
        <v>0</v>
      </c>
      <c r="ABP113" s="294"/>
      <c r="ABQ113" s="294">
        <v>-131325</v>
      </c>
      <c r="ABR113" s="294">
        <v>-40000</v>
      </c>
      <c r="ABS113" s="294">
        <v>-230910</v>
      </c>
      <c r="ABT113" s="294">
        <v>-2530</v>
      </c>
      <c r="ABU113" s="294"/>
      <c r="ABV113" s="294"/>
      <c r="ABW113" s="294"/>
      <c r="ABX113" s="294"/>
      <c r="ABY113" s="294">
        <v>0.5</v>
      </c>
      <c r="ABZ113" s="294">
        <v>-23860</v>
      </c>
      <c r="ACA113" s="294">
        <v>-80450</v>
      </c>
      <c r="ACB113" s="294"/>
      <c r="ACC113" s="294">
        <v>-278440</v>
      </c>
      <c r="ACD113" s="294"/>
      <c r="ACE113" s="294">
        <v>-40000</v>
      </c>
      <c r="ACF113" s="294">
        <v>-125930</v>
      </c>
      <c r="ACG113" s="294"/>
      <c r="ACH113" s="294">
        <v>-80000</v>
      </c>
      <c r="ACI113" s="294">
        <v>-12586771.85</v>
      </c>
      <c r="ACJ113" s="294">
        <v>-10540</v>
      </c>
      <c r="ACK113" s="294"/>
      <c r="ACL113" s="294"/>
      <c r="ACM113" s="294"/>
      <c r="ACN113" s="294"/>
      <c r="ACO113" s="294"/>
      <c r="ACP113" s="294"/>
      <c r="ACQ113" s="294"/>
      <c r="ACR113" s="294">
        <v>-16500</v>
      </c>
      <c r="ACS113" s="294"/>
      <c r="ACT113" s="294"/>
      <c r="ACU113" s="294"/>
      <c r="ACV113" s="294">
        <v>-509730</v>
      </c>
      <c r="ACW113" s="294"/>
      <c r="ACX113" s="294">
        <v>-123890</v>
      </c>
      <c r="ACY113" s="294"/>
      <c r="ACZ113" s="294"/>
      <c r="ADA113" s="294">
        <v>-13580</v>
      </c>
      <c r="ADB113" s="294"/>
      <c r="ADC113" s="294">
        <v>-88170</v>
      </c>
      <c r="ADD113" s="294">
        <v>-2900</v>
      </c>
      <c r="ADE113" s="294">
        <v>0</v>
      </c>
      <c r="ADF113" s="294"/>
      <c r="ADG113" s="294"/>
      <c r="ADH113" s="294"/>
      <c r="ADI113" s="294"/>
      <c r="ADJ113" s="294"/>
      <c r="ADK113" s="294"/>
      <c r="ADL113" s="294">
        <v>-200000</v>
      </c>
      <c r="ADM113" s="294"/>
      <c r="ADN113" s="294">
        <v>-11000</v>
      </c>
      <c r="ADO113" s="294">
        <v>-2150890</v>
      </c>
      <c r="ADP113" s="294">
        <v>-263318.5</v>
      </c>
      <c r="ADQ113" s="294"/>
      <c r="ADR113" s="294"/>
      <c r="ADS113" s="294"/>
      <c r="ADT113" s="294">
        <v>-18840</v>
      </c>
      <c r="ADU113" s="294">
        <v>0</v>
      </c>
      <c r="ADV113" s="294">
        <v>-60000</v>
      </c>
      <c r="ADW113" s="294">
        <v>-14930</v>
      </c>
      <c r="ADX113" s="294"/>
      <c r="ADY113" s="294"/>
      <c r="ADZ113" s="294">
        <v>-370614</v>
      </c>
      <c r="AEA113" s="294">
        <v>-350624.44</v>
      </c>
      <c r="AEB113" s="294">
        <v>0</v>
      </c>
      <c r="AEC113" s="294">
        <v>-378550</v>
      </c>
      <c r="AED113" s="294">
        <v>-600000</v>
      </c>
      <c r="AEE113" s="294">
        <v>-3220</v>
      </c>
      <c r="AEF113" s="294"/>
      <c r="AEG113" s="294">
        <v>0</v>
      </c>
      <c r="AEH113" s="294">
        <v>-81100</v>
      </c>
      <c r="AEI113" s="294"/>
      <c r="AEJ113" s="294"/>
      <c r="AEK113" s="294">
        <v>-32000</v>
      </c>
      <c r="AEL113" s="294">
        <v>-82682.5</v>
      </c>
      <c r="AEM113" s="294">
        <v>-30000</v>
      </c>
      <c r="AEN113" s="294">
        <v>-496168.74</v>
      </c>
      <c r="AEO113" s="294">
        <v>-63255</v>
      </c>
      <c r="AEP113" s="294">
        <v>-120420</v>
      </c>
      <c r="AEQ113" s="294">
        <v>-89784</v>
      </c>
      <c r="AER113" s="294"/>
      <c r="AES113" s="294">
        <v>-602767</v>
      </c>
      <c r="AET113" s="294">
        <v>-95200</v>
      </c>
      <c r="AEU113" s="294">
        <v>-106502.5</v>
      </c>
      <c r="AEV113" s="294">
        <v>-116360</v>
      </c>
      <c r="AEW113" s="294">
        <v>-58240</v>
      </c>
      <c r="AEX113" s="294">
        <v>-170000</v>
      </c>
      <c r="AEY113" s="294">
        <v>-66900</v>
      </c>
      <c r="AEZ113" s="294">
        <v>-106202.5</v>
      </c>
      <c r="AFA113" s="294">
        <v>-109882.5</v>
      </c>
      <c r="AFB113" s="294">
        <v>-42832.5</v>
      </c>
      <c r="AFC113" s="294">
        <v>-600000</v>
      </c>
      <c r="AFD113" s="294">
        <v>-243842.5</v>
      </c>
      <c r="AFE113" s="294">
        <v>-13280</v>
      </c>
      <c r="AFF113" s="294"/>
      <c r="AFG113" s="294">
        <v>-150000</v>
      </c>
      <c r="AFH113" s="294">
        <v>0</v>
      </c>
      <c r="AFI113" s="294">
        <v>-67560</v>
      </c>
      <c r="AFJ113" s="294">
        <v>-29120</v>
      </c>
      <c r="AFK113" s="294">
        <v>-86000</v>
      </c>
      <c r="AFL113" s="294">
        <v>-139240</v>
      </c>
      <c r="AFM113" s="294">
        <v>-110000</v>
      </c>
      <c r="AFN113" s="294">
        <v>-150000</v>
      </c>
      <c r="AFO113" s="294">
        <v>-187180</v>
      </c>
      <c r="AFP113" s="294">
        <v>-2200950</v>
      </c>
      <c r="AFQ113" s="294">
        <v>-184055</v>
      </c>
      <c r="AFR113" s="294">
        <v>-297805</v>
      </c>
      <c r="AFS113" s="294"/>
      <c r="AFT113" s="294">
        <v>-298600</v>
      </c>
      <c r="AFU113" s="294">
        <v>-355645</v>
      </c>
      <c r="AFV113" s="294">
        <v>-32040</v>
      </c>
      <c r="AFW113" s="294">
        <v>-115000</v>
      </c>
      <c r="AFX113" s="294">
        <v>-726900</v>
      </c>
      <c r="AFY113" s="294">
        <v>-49700</v>
      </c>
      <c r="AFZ113" s="294">
        <v>-68280</v>
      </c>
      <c r="AGA113" s="294">
        <v>-47490</v>
      </c>
      <c r="AGB113" s="294">
        <v>-880000</v>
      </c>
      <c r="AGC113" s="294">
        <v>-22320</v>
      </c>
      <c r="AGD113" s="294"/>
      <c r="AGE113" s="294">
        <v>-49085</v>
      </c>
      <c r="AGF113" s="294">
        <v>-134482.5</v>
      </c>
      <c r="AGG113" s="294">
        <v>-103010</v>
      </c>
      <c r="AGH113" s="294">
        <v>-35000</v>
      </c>
      <c r="AGI113" s="294">
        <v>-76960</v>
      </c>
      <c r="AGJ113" s="294"/>
      <c r="AGK113" s="294">
        <v>-35040</v>
      </c>
      <c r="AGL113" s="294"/>
      <c r="AGM113" s="294">
        <v>-823947.51</v>
      </c>
      <c r="AGN113" s="294">
        <v>-210000</v>
      </c>
      <c r="AGO113" s="294">
        <v>-101700</v>
      </c>
      <c r="AGP113" s="294">
        <v>-176860</v>
      </c>
      <c r="AGQ113" s="294">
        <v>-300000</v>
      </c>
      <c r="AGR113" s="294">
        <v>-30140</v>
      </c>
      <c r="AGS113" s="294">
        <v>-85300</v>
      </c>
      <c r="AGT113" s="294">
        <v>-199297.5</v>
      </c>
      <c r="AGU113" s="294">
        <v>-1152517.25</v>
      </c>
      <c r="AGV113" s="294">
        <v>-396054</v>
      </c>
      <c r="AGW113" s="294">
        <v>-8208</v>
      </c>
      <c r="AGX113" s="294">
        <v>-177085.87</v>
      </c>
      <c r="AGY113" s="294">
        <v>-176000</v>
      </c>
      <c r="AGZ113" s="294">
        <v>-172555.88</v>
      </c>
      <c r="AHA113" s="294">
        <v>-5000</v>
      </c>
      <c r="AHB113" s="294">
        <v>-28500</v>
      </c>
      <c r="AHC113" s="294">
        <v>-8820</v>
      </c>
      <c r="AHD113" s="294">
        <v>-163641</v>
      </c>
      <c r="AHE113" s="294">
        <v>-9500</v>
      </c>
      <c r="AHF113" s="294">
        <v>-60512</v>
      </c>
      <c r="AHG113" s="294">
        <v>-67788</v>
      </c>
      <c r="AHH113" s="294">
        <v>-35767.5</v>
      </c>
      <c r="AHI113" s="294">
        <v>-95614</v>
      </c>
      <c r="AHJ113" s="294"/>
      <c r="AHK113" s="294">
        <v>-158872</v>
      </c>
      <c r="AHL113" s="294">
        <v>-572595</v>
      </c>
      <c r="AHM113" s="294">
        <v>-30410</v>
      </c>
      <c r="AHN113" s="294">
        <v>-68610</v>
      </c>
      <c r="AHO113" s="294">
        <v>-70000</v>
      </c>
      <c r="AHP113" s="294">
        <v>-83030</v>
      </c>
      <c r="AHQ113" s="294">
        <v>-11383.75</v>
      </c>
      <c r="AHR113" s="331">
        <v>-62675</v>
      </c>
      <c r="AHS113" s="294">
        <f t="shared" si="51"/>
        <v>-157338054.66</v>
      </c>
      <c r="AHT113" s="269" t="b">
        <f t="shared" si="52"/>
        <v>1</v>
      </c>
      <c r="AHU113" s="269" t="s">
        <v>6278</v>
      </c>
      <c r="AHV113" s="269" t="s">
        <v>6169</v>
      </c>
      <c r="AHW113" s="269" t="s">
        <v>6170</v>
      </c>
    </row>
    <row r="114" spans="1:907" ht="24.6" x14ac:dyDescent="0.7">
      <c r="A114" s="268" t="s">
        <v>6278</v>
      </c>
      <c r="B114" s="268" t="s">
        <v>6171</v>
      </c>
      <c r="C114" s="269" t="s">
        <v>6172</v>
      </c>
      <c r="D114" s="294"/>
      <c r="E114" s="294">
        <v>-6000</v>
      </c>
      <c r="F114" s="294"/>
      <c r="G114" s="294"/>
      <c r="H114" s="294">
        <v>-34500</v>
      </c>
      <c r="I114" s="294"/>
      <c r="J114" s="294"/>
      <c r="K114" s="294"/>
      <c r="L114" s="294"/>
      <c r="M114" s="294"/>
      <c r="N114" s="294"/>
      <c r="O114" s="294"/>
      <c r="P114" s="294"/>
      <c r="Q114" s="294">
        <v>-8500</v>
      </c>
      <c r="R114" s="294"/>
      <c r="S114" s="294"/>
      <c r="T114" s="294"/>
      <c r="U114" s="294">
        <v>-5500</v>
      </c>
      <c r="V114" s="294"/>
      <c r="W114" s="294">
        <v>-346500</v>
      </c>
      <c r="X114" s="294"/>
      <c r="Y114" s="294">
        <v>-24000</v>
      </c>
      <c r="Z114" s="294"/>
      <c r="AA114" s="294">
        <v>-3000</v>
      </c>
      <c r="AB114" s="294">
        <v>-34774</v>
      </c>
      <c r="AC114" s="294"/>
      <c r="AD114" s="294"/>
      <c r="AE114" s="294"/>
      <c r="AF114" s="294"/>
      <c r="AG114" s="294"/>
      <c r="AH114" s="294"/>
      <c r="AI114" s="294"/>
      <c r="AJ114" s="294"/>
      <c r="AK114" s="294"/>
      <c r="AL114" s="294">
        <v>-25000</v>
      </c>
      <c r="AM114" s="294">
        <v>-8500</v>
      </c>
      <c r="AN114" s="294">
        <v>-5500</v>
      </c>
      <c r="AO114" s="294"/>
      <c r="AP114" s="294"/>
      <c r="AQ114" s="294">
        <v>-4000</v>
      </c>
      <c r="AR114" s="294"/>
      <c r="AS114" s="294">
        <v>-8500</v>
      </c>
      <c r="AT114" s="294">
        <v>0</v>
      </c>
      <c r="AU114" s="294"/>
      <c r="AV114" s="294">
        <v>-1000</v>
      </c>
      <c r="AW114" s="294"/>
      <c r="AX114" s="294"/>
      <c r="AY114" s="294">
        <v>-25000</v>
      </c>
      <c r="AZ114" s="294">
        <v>-12000</v>
      </c>
      <c r="BA114" s="294">
        <v>-2000</v>
      </c>
      <c r="BB114" s="294"/>
      <c r="BC114" s="294"/>
      <c r="BD114" s="294">
        <v>-1500</v>
      </c>
      <c r="BE114" s="294">
        <v>-1000</v>
      </c>
      <c r="BF114" s="294"/>
      <c r="BG114" s="294"/>
      <c r="BH114" s="294"/>
      <c r="BI114" s="294"/>
      <c r="BJ114" s="294">
        <v>-14500</v>
      </c>
      <c r="BK114" s="294"/>
      <c r="BL114" s="294"/>
      <c r="BM114" s="294"/>
      <c r="BN114" s="294"/>
      <c r="BO114" s="294"/>
      <c r="BP114" s="294"/>
      <c r="BQ114" s="294"/>
      <c r="BR114" s="294"/>
      <c r="BS114" s="294"/>
      <c r="BT114" s="294"/>
      <c r="BU114" s="294">
        <v>-3000</v>
      </c>
      <c r="BV114" s="294"/>
      <c r="BW114" s="294"/>
      <c r="BX114" s="294"/>
      <c r="BY114" s="294"/>
      <c r="BZ114" s="294">
        <v>0</v>
      </c>
      <c r="CA114" s="294">
        <v>-5250</v>
      </c>
      <c r="CB114" s="294"/>
      <c r="CC114" s="294"/>
      <c r="CD114" s="294">
        <v>-1500</v>
      </c>
      <c r="CE114" s="294">
        <v>-99000</v>
      </c>
      <c r="CF114" s="294"/>
      <c r="CG114" s="294">
        <v>-57266.67</v>
      </c>
      <c r="CH114" s="294">
        <v>-11500</v>
      </c>
      <c r="CI114" s="294">
        <v>-63000</v>
      </c>
      <c r="CJ114" s="294"/>
      <c r="CK114" s="294">
        <v>-15500</v>
      </c>
      <c r="CL114" s="294">
        <v>-3000</v>
      </c>
      <c r="CM114" s="294">
        <v>-3000</v>
      </c>
      <c r="CN114" s="294">
        <v>-5000</v>
      </c>
      <c r="CO114" s="294"/>
      <c r="CP114" s="294">
        <v>-1500</v>
      </c>
      <c r="CQ114" s="294">
        <v>-3500</v>
      </c>
      <c r="CR114" s="294">
        <v>0</v>
      </c>
      <c r="CS114" s="294">
        <v>-2500</v>
      </c>
      <c r="CT114" s="294"/>
      <c r="CU114" s="294"/>
      <c r="CV114" s="294"/>
      <c r="CW114" s="294"/>
      <c r="CX114" s="294">
        <v>0</v>
      </c>
      <c r="CY114" s="294"/>
      <c r="CZ114" s="294"/>
      <c r="DA114" s="294"/>
      <c r="DB114" s="294"/>
      <c r="DC114" s="294"/>
      <c r="DD114" s="294">
        <v>-3000</v>
      </c>
      <c r="DE114" s="294"/>
      <c r="DF114" s="294">
        <v>-388500</v>
      </c>
      <c r="DG114" s="294"/>
      <c r="DH114" s="294"/>
      <c r="DI114" s="294"/>
      <c r="DJ114" s="294"/>
      <c r="DK114" s="294"/>
      <c r="DL114" s="294"/>
      <c r="DM114" s="294">
        <v>-3000</v>
      </c>
      <c r="DN114" s="294"/>
      <c r="DO114" s="294"/>
      <c r="DP114" s="294"/>
      <c r="DQ114" s="294"/>
      <c r="DR114" s="294">
        <v>-3000</v>
      </c>
      <c r="DS114" s="294">
        <v>-11500</v>
      </c>
      <c r="DT114" s="294"/>
      <c r="DU114" s="294">
        <v>0</v>
      </c>
      <c r="DV114" s="294"/>
      <c r="DW114" s="294"/>
      <c r="DX114" s="294"/>
      <c r="DY114" s="294"/>
      <c r="DZ114" s="294"/>
      <c r="EA114" s="294">
        <v>-1000</v>
      </c>
      <c r="EB114" s="294"/>
      <c r="EC114" s="294"/>
      <c r="ED114" s="294"/>
      <c r="EE114" s="294">
        <v>-1000</v>
      </c>
      <c r="EF114" s="294"/>
      <c r="EG114" s="294">
        <v>-19500</v>
      </c>
      <c r="EH114" s="294">
        <v>-4500</v>
      </c>
      <c r="EI114" s="294">
        <v>-190258.06</v>
      </c>
      <c r="EJ114" s="294"/>
      <c r="EK114" s="294">
        <v>-10000</v>
      </c>
      <c r="EL114" s="294">
        <v>-7000</v>
      </c>
      <c r="EM114" s="294"/>
      <c r="EN114" s="294"/>
      <c r="EO114" s="294"/>
      <c r="EP114" s="294"/>
      <c r="EQ114" s="294">
        <v>-7000</v>
      </c>
      <c r="ER114" s="294">
        <v>-19366</v>
      </c>
      <c r="ES114" s="294"/>
      <c r="ET114" s="294">
        <v>-14000</v>
      </c>
      <c r="EU114" s="294">
        <v>-5500</v>
      </c>
      <c r="EV114" s="294"/>
      <c r="EW114" s="294"/>
      <c r="EX114" s="294">
        <v>-5000</v>
      </c>
      <c r="EY114" s="294"/>
      <c r="EZ114" s="294">
        <v>-3000</v>
      </c>
      <c r="FA114" s="294"/>
      <c r="FB114" s="294"/>
      <c r="FC114" s="294">
        <v>-10500</v>
      </c>
      <c r="FD114" s="294">
        <v>-6500</v>
      </c>
      <c r="FE114" s="294">
        <v>-1500</v>
      </c>
      <c r="FF114" s="294"/>
      <c r="FG114" s="294">
        <v>-17800</v>
      </c>
      <c r="FH114" s="294"/>
      <c r="FI114" s="294"/>
      <c r="FJ114" s="294">
        <v>-1500</v>
      </c>
      <c r="FK114" s="294"/>
      <c r="FL114" s="294"/>
      <c r="FM114" s="294">
        <v>-189000</v>
      </c>
      <c r="FN114" s="294">
        <v>-7000</v>
      </c>
      <c r="FO114" s="294">
        <v>-4500</v>
      </c>
      <c r="FP114" s="294">
        <v>-4500</v>
      </c>
      <c r="FQ114" s="294"/>
      <c r="FR114" s="294"/>
      <c r="FS114" s="294"/>
      <c r="FT114" s="294"/>
      <c r="FU114" s="294"/>
      <c r="FV114" s="294">
        <v>-5000</v>
      </c>
      <c r="FW114" s="294"/>
      <c r="FX114" s="294">
        <v>-7500</v>
      </c>
      <c r="FY114" s="294">
        <v>0</v>
      </c>
      <c r="FZ114" s="294">
        <v>-24000</v>
      </c>
      <c r="GA114" s="294"/>
      <c r="GB114" s="294">
        <v>0</v>
      </c>
      <c r="GC114" s="294"/>
      <c r="GD114" s="294"/>
      <c r="GE114" s="294"/>
      <c r="GF114" s="294"/>
      <c r="GG114" s="294"/>
      <c r="GH114" s="294"/>
      <c r="GI114" s="294"/>
      <c r="GJ114" s="294">
        <v>-4000</v>
      </c>
      <c r="GK114" s="294">
        <v>-117500</v>
      </c>
      <c r="GL114" s="294"/>
      <c r="GM114" s="294">
        <v>-3000</v>
      </c>
      <c r="GN114" s="294"/>
      <c r="GO114" s="294">
        <v>0</v>
      </c>
      <c r="GP114" s="294"/>
      <c r="GQ114" s="294"/>
      <c r="GR114" s="294">
        <v>-11000</v>
      </c>
      <c r="GS114" s="294"/>
      <c r="GT114" s="294">
        <v>-9500</v>
      </c>
      <c r="GU114" s="294">
        <v>-84000</v>
      </c>
      <c r="GV114" s="294">
        <v>-12000</v>
      </c>
      <c r="GW114" s="294"/>
      <c r="GX114" s="294">
        <v>-4000</v>
      </c>
      <c r="GY114" s="294">
        <v>-300000</v>
      </c>
      <c r="GZ114" s="294"/>
      <c r="HA114" s="294"/>
      <c r="HB114" s="294"/>
      <c r="HC114" s="294"/>
      <c r="HD114" s="294"/>
      <c r="HE114" s="294">
        <v>-149370</v>
      </c>
      <c r="HF114" s="294">
        <v>-96127</v>
      </c>
      <c r="HG114" s="294">
        <v>-30000</v>
      </c>
      <c r="HH114" s="294">
        <v>-836628</v>
      </c>
      <c r="HI114" s="294">
        <v>-8000</v>
      </c>
      <c r="HJ114" s="294"/>
      <c r="HK114" s="294"/>
      <c r="HL114" s="294">
        <v>-20500</v>
      </c>
      <c r="HM114" s="294"/>
      <c r="HN114" s="294">
        <v>-9000</v>
      </c>
      <c r="HO114" s="294"/>
      <c r="HP114" s="294">
        <v>-6000</v>
      </c>
      <c r="HQ114" s="294"/>
      <c r="HR114" s="294"/>
      <c r="HS114" s="294"/>
      <c r="HT114" s="294">
        <v>-5000</v>
      </c>
      <c r="HU114" s="294"/>
      <c r="HV114" s="294">
        <v>-10000</v>
      </c>
      <c r="HW114" s="294">
        <v>0</v>
      </c>
      <c r="HX114" s="294"/>
      <c r="HY114" s="294">
        <v>-9000</v>
      </c>
      <c r="HZ114" s="294"/>
      <c r="IA114" s="294"/>
      <c r="IB114" s="294"/>
      <c r="IC114" s="294"/>
      <c r="ID114" s="294"/>
      <c r="IE114" s="294">
        <v>-1500</v>
      </c>
      <c r="IF114" s="294">
        <v>-6000</v>
      </c>
      <c r="IG114" s="294"/>
      <c r="IH114" s="294"/>
      <c r="II114" s="294"/>
      <c r="IJ114" s="294">
        <v>0</v>
      </c>
      <c r="IK114" s="294"/>
      <c r="IL114" s="294">
        <v>-44500</v>
      </c>
      <c r="IM114" s="294"/>
      <c r="IN114" s="294"/>
      <c r="IO114" s="294"/>
      <c r="IP114" s="294">
        <v>-6500</v>
      </c>
      <c r="IQ114" s="294">
        <v>0</v>
      </c>
      <c r="IR114" s="294">
        <v>-1500</v>
      </c>
      <c r="IS114" s="294"/>
      <c r="IT114" s="294">
        <v>0</v>
      </c>
      <c r="IU114" s="294">
        <v>-3000</v>
      </c>
      <c r="IV114" s="294">
        <v>-5000</v>
      </c>
      <c r="IW114" s="294"/>
      <c r="IX114" s="294">
        <v>-1300</v>
      </c>
      <c r="IY114" s="294"/>
      <c r="IZ114" s="294">
        <v>-2900</v>
      </c>
      <c r="JA114" s="294"/>
      <c r="JB114" s="294"/>
      <c r="JC114" s="294"/>
      <c r="JD114" s="294"/>
      <c r="JE114" s="294"/>
      <c r="JF114" s="294"/>
      <c r="JG114" s="294"/>
      <c r="JH114" s="294"/>
      <c r="JI114" s="294"/>
      <c r="JJ114" s="294"/>
      <c r="JK114" s="294">
        <v>-21000</v>
      </c>
      <c r="JL114" s="294"/>
      <c r="JM114" s="294"/>
      <c r="JN114" s="294"/>
      <c r="JO114" s="294"/>
      <c r="JP114" s="294"/>
      <c r="JQ114" s="294">
        <v>-939</v>
      </c>
      <c r="JR114" s="294"/>
      <c r="JS114" s="294"/>
      <c r="JT114" s="294"/>
      <c r="JU114" s="294">
        <v>-7000</v>
      </c>
      <c r="JV114" s="294"/>
      <c r="JW114" s="294"/>
      <c r="JX114" s="294"/>
      <c r="JY114" s="294"/>
      <c r="JZ114" s="294"/>
      <c r="KA114" s="294">
        <v>-7000</v>
      </c>
      <c r="KB114" s="294">
        <v>-135500</v>
      </c>
      <c r="KC114" s="294">
        <v>-19500</v>
      </c>
      <c r="KD114" s="294">
        <v>-6000</v>
      </c>
      <c r="KE114" s="294"/>
      <c r="KF114" s="294"/>
      <c r="KG114" s="294"/>
      <c r="KH114" s="294">
        <v>-427500</v>
      </c>
      <c r="KI114" s="294"/>
      <c r="KJ114" s="294"/>
      <c r="KK114" s="294"/>
      <c r="KL114" s="294"/>
      <c r="KM114" s="294"/>
      <c r="KN114" s="294">
        <v>-23500</v>
      </c>
      <c r="KO114" s="294">
        <v>-2000</v>
      </c>
      <c r="KP114" s="294"/>
      <c r="KQ114" s="294">
        <v>-3500</v>
      </c>
      <c r="KR114" s="294"/>
      <c r="KS114" s="294">
        <v>-11000</v>
      </c>
      <c r="KT114" s="294"/>
      <c r="KU114" s="294"/>
      <c r="KV114" s="294"/>
      <c r="KW114" s="294"/>
      <c r="KX114" s="294">
        <v>-15000</v>
      </c>
      <c r="KY114" s="294"/>
      <c r="KZ114" s="294"/>
      <c r="LA114" s="294">
        <v>-12000</v>
      </c>
      <c r="LB114" s="294"/>
      <c r="LC114" s="294"/>
      <c r="LD114" s="294"/>
      <c r="LE114" s="294">
        <v>-2500</v>
      </c>
      <c r="LF114" s="294"/>
      <c r="LG114" s="294"/>
      <c r="LH114" s="294"/>
      <c r="LI114" s="294"/>
      <c r="LJ114" s="294"/>
      <c r="LK114" s="294"/>
      <c r="LL114" s="294"/>
      <c r="LM114" s="294"/>
      <c r="LN114" s="294"/>
      <c r="LO114" s="294">
        <v>0</v>
      </c>
      <c r="LP114" s="294">
        <v>-12000</v>
      </c>
      <c r="LQ114" s="294">
        <v>-3000</v>
      </c>
      <c r="LR114" s="294"/>
      <c r="LS114" s="294"/>
      <c r="LT114" s="294">
        <v>-1000</v>
      </c>
      <c r="LU114" s="294"/>
      <c r="LV114" s="294"/>
      <c r="LW114" s="294"/>
      <c r="LX114" s="294">
        <v>0</v>
      </c>
      <c r="LY114" s="294"/>
      <c r="LZ114" s="294">
        <v>-29225</v>
      </c>
      <c r="MA114" s="294"/>
      <c r="MB114" s="294">
        <v>-4000</v>
      </c>
      <c r="MC114" s="294"/>
      <c r="MD114" s="294">
        <v>-30000</v>
      </c>
      <c r="ME114" s="294"/>
      <c r="MF114" s="294"/>
      <c r="MG114" s="294">
        <v>0</v>
      </c>
      <c r="MH114" s="294">
        <v>-3000</v>
      </c>
      <c r="MI114" s="294"/>
      <c r="MJ114" s="294"/>
      <c r="MK114" s="294"/>
      <c r="ML114" s="294"/>
      <c r="MM114" s="294"/>
      <c r="MN114" s="294"/>
      <c r="MO114" s="294">
        <v>-2000</v>
      </c>
      <c r="MP114" s="294"/>
      <c r="MQ114" s="294"/>
      <c r="MR114" s="294"/>
      <c r="MS114" s="294"/>
      <c r="MT114" s="294">
        <v>-43500</v>
      </c>
      <c r="MU114" s="294"/>
      <c r="MV114" s="294">
        <v>-40196</v>
      </c>
      <c r="MW114" s="294"/>
      <c r="MX114" s="294">
        <v>-12500</v>
      </c>
      <c r="MY114" s="294">
        <v>-1E-4</v>
      </c>
      <c r="MZ114" s="294"/>
      <c r="NA114" s="294">
        <v>-3677</v>
      </c>
      <c r="NB114" s="294">
        <v>-27150</v>
      </c>
      <c r="NC114" s="294">
        <v>-2500</v>
      </c>
      <c r="ND114" s="294"/>
      <c r="NE114" s="294"/>
      <c r="NF114" s="294">
        <v>-4500</v>
      </c>
      <c r="NG114" s="294"/>
      <c r="NH114" s="294"/>
      <c r="NI114" s="294"/>
      <c r="NJ114" s="294">
        <v>-40000</v>
      </c>
      <c r="NK114" s="294">
        <v>-26500</v>
      </c>
      <c r="NL114" s="294"/>
      <c r="NM114" s="294"/>
      <c r="NN114" s="294">
        <v>0</v>
      </c>
      <c r="NO114" s="294"/>
      <c r="NP114" s="294"/>
      <c r="NQ114" s="294"/>
      <c r="NR114" s="294"/>
      <c r="NS114" s="294"/>
      <c r="NT114" s="294"/>
      <c r="NU114" s="294"/>
      <c r="NV114" s="294"/>
      <c r="NW114" s="294"/>
      <c r="NX114" s="294">
        <v>-6848117</v>
      </c>
      <c r="NY114" s="294"/>
      <c r="NZ114" s="294"/>
      <c r="OA114" s="294"/>
      <c r="OB114" s="294">
        <v>0</v>
      </c>
      <c r="OC114" s="294">
        <v>0</v>
      </c>
      <c r="OD114" s="294"/>
      <c r="OE114" s="294"/>
      <c r="OF114" s="294">
        <v>-5500</v>
      </c>
      <c r="OG114" s="294"/>
      <c r="OH114" s="294"/>
      <c r="OI114" s="294">
        <v>-4000</v>
      </c>
      <c r="OJ114" s="294"/>
      <c r="OK114" s="294"/>
      <c r="OL114" s="294">
        <v>-4500</v>
      </c>
      <c r="OM114" s="294"/>
      <c r="ON114" s="294">
        <v>-48500</v>
      </c>
      <c r="OO114" s="294"/>
      <c r="OP114" s="294">
        <v>-17000</v>
      </c>
      <c r="OQ114" s="294">
        <v>-1000</v>
      </c>
      <c r="OR114" s="294"/>
      <c r="OS114" s="294">
        <v>0</v>
      </c>
      <c r="OT114" s="294"/>
      <c r="OU114" s="294">
        <v>-12000</v>
      </c>
      <c r="OV114" s="294"/>
      <c r="OW114" s="294"/>
      <c r="OX114" s="294">
        <v>0</v>
      </c>
      <c r="OY114" s="294"/>
      <c r="OZ114" s="294">
        <v>-28500</v>
      </c>
      <c r="PA114" s="294">
        <v>-45000</v>
      </c>
      <c r="PB114" s="294"/>
      <c r="PC114" s="294">
        <v>-220000</v>
      </c>
      <c r="PD114" s="294">
        <v>-3000</v>
      </c>
      <c r="PE114" s="294"/>
      <c r="PF114" s="294">
        <v>-422000</v>
      </c>
      <c r="PG114" s="294"/>
      <c r="PH114" s="294"/>
      <c r="PI114" s="294">
        <v>-5902</v>
      </c>
      <c r="PJ114" s="294">
        <v>-20500</v>
      </c>
      <c r="PK114" s="294"/>
      <c r="PL114" s="294"/>
      <c r="PM114" s="294">
        <v>-498200</v>
      </c>
      <c r="PN114" s="294">
        <v>-5000</v>
      </c>
      <c r="PO114" s="294"/>
      <c r="PP114" s="294">
        <v>-8000</v>
      </c>
      <c r="PQ114" s="294"/>
      <c r="PR114" s="294"/>
      <c r="PS114" s="294"/>
      <c r="PT114" s="294"/>
      <c r="PU114" s="294"/>
      <c r="PV114" s="294">
        <v>-11500</v>
      </c>
      <c r="PW114" s="294">
        <v>-4500</v>
      </c>
      <c r="PX114" s="294"/>
      <c r="PY114" s="294">
        <v>-3000</v>
      </c>
      <c r="PZ114" s="294">
        <v>-5000</v>
      </c>
      <c r="QA114" s="294"/>
      <c r="QB114" s="294"/>
      <c r="QC114" s="294"/>
      <c r="QD114" s="294"/>
      <c r="QE114" s="294">
        <v>-4000</v>
      </c>
      <c r="QF114" s="294"/>
      <c r="QG114" s="294"/>
      <c r="QH114" s="294"/>
      <c r="QI114" s="294">
        <v>-5500</v>
      </c>
      <c r="QJ114" s="294"/>
      <c r="QK114" s="294"/>
      <c r="QL114" s="294"/>
      <c r="QM114" s="294">
        <v>-43000</v>
      </c>
      <c r="QN114" s="294"/>
      <c r="QO114" s="294"/>
      <c r="QP114" s="294"/>
      <c r="QQ114" s="294"/>
      <c r="QR114" s="294"/>
      <c r="QS114" s="294"/>
      <c r="QT114" s="294"/>
      <c r="QU114" s="294">
        <v>-10000</v>
      </c>
      <c r="QV114" s="294">
        <v>-15000</v>
      </c>
      <c r="QW114" s="294">
        <v>0</v>
      </c>
      <c r="QX114" s="294"/>
      <c r="QY114" s="294">
        <v>-27000</v>
      </c>
      <c r="QZ114" s="294">
        <v>-327731</v>
      </c>
      <c r="RA114" s="294">
        <v>-426209</v>
      </c>
      <c r="RB114" s="294"/>
      <c r="RC114" s="294">
        <v>-139419</v>
      </c>
      <c r="RD114" s="294">
        <v>-4500</v>
      </c>
      <c r="RE114" s="294">
        <v>-24000</v>
      </c>
      <c r="RF114" s="294">
        <v>-224500</v>
      </c>
      <c r="RG114" s="294"/>
      <c r="RH114" s="294">
        <v>-44612.92</v>
      </c>
      <c r="RI114" s="294">
        <v>-281415</v>
      </c>
      <c r="RJ114" s="294"/>
      <c r="RK114" s="294">
        <v>-159500</v>
      </c>
      <c r="RL114" s="294">
        <v>-5806</v>
      </c>
      <c r="RM114" s="294"/>
      <c r="RN114" s="294">
        <v>-6000</v>
      </c>
      <c r="RO114" s="294">
        <v>-10000</v>
      </c>
      <c r="RP114" s="294">
        <v>-20500</v>
      </c>
      <c r="RQ114" s="294">
        <v>-26000</v>
      </c>
      <c r="RR114" s="294">
        <v>-3000</v>
      </c>
      <c r="RS114" s="294">
        <v>-15000</v>
      </c>
      <c r="RT114" s="294"/>
      <c r="RU114" s="294">
        <v>-11000</v>
      </c>
      <c r="RV114" s="294">
        <v>-12000</v>
      </c>
      <c r="RW114" s="294">
        <v>-8000</v>
      </c>
      <c r="RX114" s="294">
        <v>-5166</v>
      </c>
      <c r="RY114" s="294">
        <v>-5145</v>
      </c>
      <c r="RZ114" s="294">
        <v>-14000</v>
      </c>
      <c r="SA114" s="294">
        <v>0</v>
      </c>
      <c r="SB114" s="294">
        <v>-1000</v>
      </c>
      <c r="SC114" s="294"/>
      <c r="SD114" s="294"/>
      <c r="SE114" s="294">
        <v>-5000</v>
      </c>
      <c r="SF114" s="294">
        <v>-11500</v>
      </c>
      <c r="SG114" s="294">
        <v>-11000</v>
      </c>
      <c r="SH114" s="294">
        <v>-31000</v>
      </c>
      <c r="SI114" s="294">
        <v>-8000</v>
      </c>
      <c r="SJ114" s="294">
        <v>-7000</v>
      </c>
      <c r="SK114" s="294"/>
      <c r="SL114" s="294"/>
      <c r="SM114" s="294"/>
      <c r="SN114" s="294"/>
      <c r="SO114" s="294">
        <v>-5500</v>
      </c>
      <c r="SP114" s="294"/>
      <c r="SQ114" s="294">
        <v>-3000</v>
      </c>
      <c r="SR114" s="294"/>
      <c r="SS114" s="294"/>
      <c r="ST114" s="294"/>
      <c r="SU114" s="294"/>
      <c r="SV114" s="294"/>
      <c r="SW114" s="294">
        <v>-4000</v>
      </c>
      <c r="SX114" s="294">
        <v>-11000</v>
      </c>
      <c r="SY114" s="294">
        <v>-6000</v>
      </c>
      <c r="SZ114" s="294"/>
      <c r="TA114" s="294">
        <v>-4500</v>
      </c>
      <c r="TB114" s="294">
        <v>-6050</v>
      </c>
      <c r="TC114" s="294"/>
      <c r="TD114" s="294"/>
      <c r="TE114" s="294">
        <v>-13000</v>
      </c>
      <c r="TF114" s="294">
        <v>-7000</v>
      </c>
      <c r="TG114" s="294">
        <v>-4500</v>
      </c>
      <c r="TH114" s="294"/>
      <c r="TI114" s="294"/>
      <c r="TJ114" s="294"/>
      <c r="TK114" s="294">
        <v>-26000</v>
      </c>
      <c r="TL114" s="294"/>
      <c r="TM114" s="294">
        <v>-18000</v>
      </c>
      <c r="TN114" s="294">
        <v>-18000</v>
      </c>
      <c r="TO114" s="294"/>
      <c r="TP114" s="294"/>
      <c r="TQ114" s="294">
        <v>-7500</v>
      </c>
      <c r="TR114" s="294">
        <v>-22998</v>
      </c>
      <c r="TS114" s="294"/>
      <c r="TT114" s="294"/>
      <c r="TU114" s="294">
        <v>-1500</v>
      </c>
      <c r="TV114" s="294"/>
      <c r="TW114" s="294">
        <v>-4500</v>
      </c>
      <c r="TX114" s="294">
        <v>-6000</v>
      </c>
      <c r="TY114" s="294">
        <v>-9033</v>
      </c>
      <c r="TZ114" s="294"/>
      <c r="UA114" s="294">
        <v>-90000</v>
      </c>
      <c r="UB114" s="294"/>
      <c r="UC114" s="294"/>
      <c r="UD114" s="294">
        <v>-11500</v>
      </c>
      <c r="UE114" s="294"/>
      <c r="UF114" s="294"/>
      <c r="UG114" s="294"/>
      <c r="UH114" s="294"/>
      <c r="UI114" s="294"/>
      <c r="UJ114" s="294">
        <v>-3000</v>
      </c>
      <c r="UK114" s="294"/>
      <c r="UL114" s="294"/>
      <c r="UM114" s="294"/>
      <c r="UN114" s="294"/>
      <c r="UO114" s="294"/>
      <c r="UP114" s="294">
        <v>-280195</v>
      </c>
      <c r="UQ114" s="294"/>
      <c r="UR114" s="294"/>
      <c r="US114" s="294">
        <v>-61778</v>
      </c>
      <c r="UT114" s="294"/>
      <c r="UU114" s="294"/>
      <c r="UV114" s="294">
        <v>-23000</v>
      </c>
      <c r="UW114" s="294"/>
      <c r="UX114" s="294"/>
      <c r="UY114" s="294">
        <v>-12000</v>
      </c>
      <c r="UZ114" s="294"/>
      <c r="VA114" s="294"/>
      <c r="VB114" s="294"/>
      <c r="VC114" s="294">
        <v>0</v>
      </c>
      <c r="VD114" s="294"/>
      <c r="VE114" s="294"/>
      <c r="VF114" s="294">
        <v>-6500</v>
      </c>
      <c r="VG114" s="294"/>
      <c r="VH114" s="294"/>
      <c r="VI114" s="294"/>
      <c r="VJ114" s="294">
        <v>-6000</v>
      </c>
      <c r="VK114" s="294"/>
      <c r="VL114" s="294"/>
      <c r="VM114" s="294"/>
      <c r="VN114" s="294">
        <v>-5500</v>
      </c>
      <c r="VO114" s="294">
        <v>-90000</v>
      </c>
      <c r="VP114" s="294"/>
      <c r="VQ114" s="294">
        <v>-11500</v>
      </c>
      <c r="VR114" s="294">
        <v>-32400</v>
      </c>
      <c r="VS114" s="294"/>
      <c r="VT114" s="294"/>
      <c r="VU114" s="294">
        <v>0</v>
      </c>
      <c r="VV114" s="294"/>
      <c r="VW114" s="294">
        <v>-3000</v>
      </c>
      <c r="VX114" s="294">
        <v>-355758</v>
      </c>
      <c r="VY114" s="294"/>
      <c r="VZ114" s="294">
        <v>-31500</v>
      </c>
      <c r="WA114" s="294"/>
      <c r="WB114" s="294">
        <v>-39000</v>
      </c>
      <c r="WC114" s="294"/>
      <c r="WD114" s="294"/>
      <c r="WE114" s="294"/>
      <c r="WF114" s="294">
        <v>-10500</v>
      </c>
      <c r="WG114" s="294">
        <v>-22000</v>
      </c>
      <c r="WH114" s="294">
        <v>-28000</v>
      </c>
      <c r="WI114" s="294">
        <v>-16300</v>
      </c>
      <c r="WJ114" s="294">
        <v>-40000</v>
      </c>
      <c r="WK114" s="294">
        <v>-6000</v>
      </c>
      <c r="WL114" s="294"/>
      <c r="WM114" s="294">
        <v>-11500</v>
      </c>
      <c r="WN114" s="294">
        <v>-39000</v>
      </c>
      <c r="WO114" s="294">
        <v>-45000</v>
      </c>
      <c r="WP114" s="294"/>
      <c r="WQ114" s="294">
        <v>-522354</v>
      </c>
      <c r="WR114" s="294">
        <v>-13000</v>
      </c>
      <c r="WS114" s="294">
        <v>-18500</v>
      </c>
      <c r="WT114" s="294">
        <v>-158414</v>
      </c>
      <c r="WU114" s="294"/>
      <c r="WV114" s="294">
        <v>-19500</v>
      </c>
      <c r="WW114" s="294"/>
      <c r="WX114" s="294"/>
      <c r="WY114" s="294"/>
      <c r="WZ114" s="294">
        <v>-35000</v>
      </c>
      <c r="XA114" s="294">
        <v>-10500</v>
      </c>
      <c r="XB114" s="294">
        <v>-32500</v>
      </c>
      <c r="XC114" s="294">
        <v>-26300</v>
      </c>
      <c r="XD114" s="294">
        <v>-3000</v>
      </c>
      <c r="XE114" s="294"/>
      <c r="XF114" s="294">
        <v>-6500</v>
      </c>
      <c r="XG114" s="294">
        <v>-271500</v>
      </c>
      <c r="XH114" s="294"/>
      <c r="XI114" s="294">
        <v>-54000</v>
      </c>
      <c r="XJ114" s="294">
        <v>-4000</v>
      </c>
      <c r="XK114" s="294"/>
      <c r="XL114" s="294">
        <v>-7500</v>
      </c>
      <c r="XM114" s="294"/>
      <c r="XN114" s="294">
        <v>-40000</v>
      </c>
      <c r="XO114" s="294">
        <v>-6000</v>
      </c>
      <c r="XP114" s="294">
        <v>-15672</v>
      </c>
      <c r="XQ114" s="294">
        <v>0</v>
      </c>
      <c r="XR114" s="294"/>
      <c r="XS114" s="294"/>
      <c r="XT114" s="294">
        <v>-6850</v>
      </c>
      <c r="XU114" s="294">
        <v>-47903</v>
      </c>
      <c r="XV114" s="294">
        <v>-1000</v>
      </c>
      <c r="XW114" s="294">
        <v>-31008</v>
      </c>
      <c r="XX114" s="294">
        <v>-7500</v>
      </c>
      <c r="XY114" s="294">
        <v>0</v>
      </c>
      <c r="XZ114" s="294">
        <v>-16000</v>
      </c>
      <c r="YA114" s="294">
        <v>-15000</v>
      </c>
      <c r="YB114" s="294"/>
      <c r="YC114" s="294"/>
      <c r="YD114" s="294"/>
      <c r="YE114" s="294"/>
      <c r="YF114" s="294"/>
      <c r="YG114" s="294">
        <v>-10000</v>
      </c>
      <c r="YH114" s="294"/>
      <c r="YI114" s="294">
        <v>-30000</v>
      </c>
      <c r="YJ114" s="294">
        <v>-6000</v>
      </c>
      <c r="YK114" s="294">
        <v>-14756</v>
      </c>
      <c r="YL114" s="294">
        <v>-15000</v>
      </c>
      <c r="YM114" s="294">
        <v>-59500</v>
      </c>
      <c r="YN114" s="294">
        <v>-18000</v>
      </c>
      <c r="YO114" s="294">
        <v>-76500</v>
      </c>
      <c r="YP114" s="294">
        <v>-4500</v>
      </c>
      <c r="YQ114" s="294">
        <v>-1500</v>
      </c>
      <c r="YR114" s="294">
        <v>-3000</v>
      </c>
      <c r="YS114" s="294"/>
      <c r="YT114" s="294">
        <v>-13500</v>
      </c>
      <c r="YU114" s="294">
        <v>-16000</v>
      </c>
      <c r="YV114" s="294">
        <v>-13936</v>
      </c>
      <c r="YW114" s="294">
        <v>0</v>
      </c>
      <c r="YX114" s="294">
        <v>-1500</v>
      </c>
      <c r="YY114" s="294">
        <v>-14000</v>
      </c>
      <c r="YZ114" s="294"/>
      <c r="ZA114" s="294"/>
      <c r="ZB114" s="294"/>
      <c r="ZC114" s="294">
        <v>0</v>
      </c>
      <c r="ZD114" s="294"/>
      <c r="ZE114" s="294">
        <v>-11000</v>
      </c>
      <c r="ZF114" s="294">
        <v>-3500</v>
      </c>
      <c r="ZG114" s="294"/>
      <c r="ZH114" s="294"/>
      <c r="ZI114" s="294"/>
      <c r="ZJ114" s="294"/>
      <c r="ZK114" s="294">
        <v>-16000</v>
      </c>
      <c r="ZL114" s="294"/>
      <c r="ZM114" s="294"/>
      <c r="ZN114" s="294">
        <v>-5000</v>
      </c>
      <c r="ZO114" s="294">
        <v>0</v>
      </c>
      <c r="ZP114" s="294">
        <v>-20000</v>
      </c>
      <c r="ZQ114" s="294"/>
      <c r="ZR114" s="294">
        <v>-17000</v>
      </c>
      <c r="ZS114" s="294"/>
      <c r="ZT114" s="294">
        <v>0</v>
      </c>
      <c r="ZU114" s="294">
        <v>-12399.96</v>
      </c>
      <c r="ZV114" s="294">
        <v>0</v>
      </c>
      <c r="ZW114" s="294"/>
      <c r="ZX114" s="294"/>
      <c r="ZY114" s="294"/>
      <c r="ZZ114" s="294"/>
      <c r="AAA114" s="294">
        <v>0</v>
      </c>
      <c r="AAB114" s="294"/>
      <c r="AAC114" s="294"/>
      <c r="AAD114" s="294"/>
      <c r="AAE114" s="294"/>
      <c r="AAF114" s="294">
        <v>-6000</v>
      </c>
      <c r="AAG114" s="294">
        <v>-1500</v>
      </c>
      <c r="AAH114" s="294"/>
      <c r="AAI114" s="294">
        <v>-9000</v>
      </c>
      <c r="AAJ114" s="294">
        <v>-4000</v>
      </c>
      <c r="AAK114" s="294"/>
      <c r="AAL114" s="294"/>
      <c r="AAM114" s="294">
        <v>-6000</v>
      </c>
      <c r="AAN114" s="294"/>
      <c r="AAO114" s="294"/>
      <c r="AAP114" s="294"/>
      <c r="AAQ114" s="294">
        <v>-46500</v>
      </c>
      <c r="AAR114" s="294">
        <v>-1500</v>
      </c>
      <c r="AAS114" s="294">
        <v>-5850</v>
      </c>
      <c r="AAT114" s="294"/>
      <c r="AAU114" s="294"/>
      <c r="AAV114" s="294"/>
      <c r="AAW114" s="294">
        <v>-26500</v>
      </c>
      <c r="AAX114" s="294">
        <v>-6000</v>
      </c>
      <c r="AAY114" s="294"/>
      <c r="AAZ114" s="294">
        <v>-27452</v>
      </c>
      <c r="ABA114" s="294"/>
      <c r="ABB114" s="294"/>
      <c r="ABC114" s="294">
        <v>-5000</v>
      </c>
      <c r="ABD114" s="294">
        <v>-2500</v>
      </c>
      <c r="ABE114" s="294"/>
      <c r="ABF114" s="294">
        <v>-3000</v>
      </c>
      <c r="ABG114" s="294"/>
      <c r="ABH114" s="294">
        <v>-1233451</v>
      </c>
      <c r="ABI114" s="294"/>
      <c r="ABJ114" s="294">
        <v>-2500</v>
      </c>
      <c r="ABK114" s="294">
        <v>-1500</v>
      </c>
      <c r="ABL114" s="294">
        <v>-4000</v>
      </c>
      <c r="ABM114" s="294"/>
      <c r="ABN114" s="294"/>
      <c r="ABO114" s="294"/>
      <c r="ABP114" s="294">
        <v>-3000</v>
      </c>
      <c r="ABQ114" s="294">
        <v>-254000</v>
      </c>
      <c r="ABR114" s="294"/>
      <c r="ABS114" s="294"/>
      <c r="ABT114" s="294">
        <v>-12951</v>
      </c>
      <c r="ABU114" s="294">
        <v>-4500</v>
      </c>
      <c r="ABV114" s="294"/>
      <c r="ABW114" s="294"/>
      <c r="ABX114" s="294"/>
      <c r="ABY114" s="294"/>
      <c r="ABZ114" s="294"/>
      <c r="ACA114" s="294"/>
      <c r="ACB114" s="294"/>
      <c r="ACC114" s="294">
        <v>-24500</v>
      </c>
      <c r="ACD114" s="294"/>
      <c r="ACE114" s="294"/>
      <c r="ACF114" s="294">
        <v>-3500</v>
      </c>
      <c r="ACG114" s="294"/>
      <c r="ACH114" s="294"/>
      <c r="ACI114" s="294"/>
      <c r="ACJ114" s="294"/>
      <c r="ACK114" s="294"/>
      <c r="ACL114" s="294"/>
      <c r="ACM114" s="294"/>
      <c r="ACN114" s="294"/>
      <c r="ACO114" s="294"/>
      <c r="ACP114" s="294">
        <v>-70000</v>
      </c>
      <c r="ACQ114" s="294"/>
      <c r="ACR114" s="294"/>
      <c r="ACS114" s="294"/>
      <c r="ACT114" s="294"/>
      <c r="ACU114" s="294"/>
      <c r="ACV114" s="294"/>
      <c r="ACW114" s="294">
        <v>-7000</v>
      </c>
      <c r="ACX114" s="294">
        <v>-7500</v>
      </c>
      <c r="ACY114" s="294"/>
      <c r="ACZ114" s="294"/>
      <c r="ADA114" s="294">
        <v>-4500</v>
      </c>
      <c r="ADB114" s="294"/>
      <c r="ADC114" s="294">
        <v>-23800</v>
      </c>
      <c r="ADD114" s="294"/>
      <c r="ADE114" s="294">
        <v>0</v>
      </c>
      <c r="ADF114" s="294"/>
      <c r="ADG114" s="294"/>
      <c r="ADH114" s="294"/>
      <c r="ADI114" s="294"/>
      <c r="ADJ114" s="294"/>
      <c r="ADK114" s="294"/>
      <c r="ADL114" s="294"/>
      <c r="ADM114" s="294"/>
      <c r="ADN114" s="294"/>
      <c r="ADO114" s="294"/>
      <c r="ADP114" s="294"/>
      <c r="ADQ114" s="294">
        <v>-44849</v>
      </c>
      <c r="ADR114" s="294"/>
      <c r="ADS114" s="294">
        <v>-67483</v>
      </c>
      <c r="ADT114" s="294">
        <v>-16500</v>
      </c>
      <c r="ADU114" s="294">
        <v>-9000</v>
      </c>
      <c r="ADV114" s="294">
        <v>-6500</v>
      </c>
      <c r="ADW114" s="294"/>
      <c r="ADX114" s="294"/>
      <c r="ADY114" s="294"/>
      <c r="ADZ114" s="294"/>
      <c r="AEA114" s="294">
        <v>-18000</v>
      </c>
      <c r="AEB114" s="294">
        <v>-10000</v>
      </c>
      <c r="AEC114" s="294">
        <v>-11500</v>
      </c>
      <c r="AED114" s="294"/>
      <c r="AEE114" s="294">
        <v>-42500</v>
      </c>
      <c r="AEF114" s="294"/>
      <c r="AEG114" s="294"/>
      <c r="AEH114" s="294"/>
      <c r="AEI114" s="294">
        <v>-78200</v>
      </c>
      <c r="AEJ114" s="294"/>
      <c r="AEK114" s="294">
        <v>-6000</v>
      </c>
      <c r="AEL114" s="294"/>
      <c r="AEM114" s="294">
        <v>-7500</v>
      </c>
      <c r="AEN114" s="294">
        <v>-4000</v>
      </c>
      <c r="AEO114" s="294">
        <v>-6000</v>
      </c>
      <c r="AEP114" s="294">
        <v>-10500</v>
      </c>
      <c r="AEQ114" s="294"/>
      <c r="AER114" s="294">
        <v>-18000</v>
      </c>
      <c r="AES114" s="294">
        <v>-65500</v>
      </c>
      <c r="AET114" s="294">
        <v>-14000</v>
      </c>
      <c r="AEU114" s="294">
        <v>-1500</v>
      </c>
      <c r="AEV114" s="294">
        <v>-10000</v>
      </c>
      <c r="AEW114" s="294"/>
      <c r="AEX114" s="294">
        <v>-565113</v>
      </c>
      <c r="AEY114" s="294">
        <v>-5500</v>
      </c>
      <c r="AEZ114" s="294">
        <v>-2000</v>
      </c>
      <c r="AFA114" s="294">
        <v>-5000</v>
      </c>
      <c r="AFB114" s="294">
        <v>-76000</v>
      </c>
      <c r="AFC114" s="294">
        <v>-536000</v>
      </c>
      <c r="AFD114" s="294"/>
      <c r="AFE114" s="294">
        <v>-8000</v>
      </c>
      <c r="AFF114" s="294"/>
      <c r="AFG114" s="294">
        <v>-369919.35</v>
      </c>
      <c r="AFH114" s="294">
        <v>-518500</v>
      </c>
      <c r="AFI114" s="294">
        <v>-68400</v>
      </c>
      <c r="AFJ114" s="294"/>
      <c r="AFK114" s="294"/>
      <c r="AFL114" s="294"/>
      <c r="AFM114" s="294"/>
      <c r="AFN114" s="294"/>
      <c r="AFO114" s="294"/>
      <c r="AFP114" s="294">
        <v>-8000</v>
      </c>
      <c r="AFQ114" s="294">
        <v>-308600</v>
      </c>
      <c r="AFR114" s="294"/>
      <c r="AFS114" s="294">
        <v>-1000</v>
      </c>
      <c r="AFT114" s="294">
        <v>0</v>
      </c>
      <c r="AFU114" s="294"/>
      <c r="AFV114" s="294">
        <v>-2000</v>
      </c>
      <c r="AFW114" s="294"/>
      <c r="AFX114" s="294"/>
      <c r="AFY114" s="294"/>
      <c r="AFZ114" s="294"/>
      <c r="AGA114" s="294">
        <v>-1500</v>
      </c>
      <c r="AGB114" s="294"/>
      <c r="AGC114" s="294"/>
      <c r="AGD114" s="294">
        <v>-109374</v>
      </c>
      <c r="AGE114" s="294">
        <v>0</v>
      </c>
      <c r="AGF114" s="294">
        <v>-26650</v>
      </c>
      <c r="AGG114" s="294">
        <v>-10000</v>
      </c>
      <c r="AGH114" s="294"/>
      <c r="AGI114" s="294">
        <v>-18000</v>
      </c>
      <c r="AGJ114" s="294"/>
      <c r="AGK114" s="294"/>
      <c r="AGL114" s="294"/>
      <c r="AGM114" s="294">
        <v>-8000</v>
      </c>
      <c r="AGN114" s="294">
        <v>-1000</v>
      </c>
      <c r="AGO114" s="294"/>
      <c r="AGP114" s="294"/>
      <c r="AGQ114" s="294"/>
      <c r="AGR114" s="294"/>
      <c r="AGS114" s="294"/>
      <c r="AGT114" s="294"/>
      <c r="AGU114" s="294">
        <v>0</v>
      </c>
      <c r="AGV114" s="294">
        <v>-83000</v>
      </c>
      <c r="AGW114" s="294">
        <v>-15500</v>
      </c>
      <c r="AGX114" s="294">
        <v>-1000</v>
      </c>
      <c r="AGY114" s="294">
        <v>-9000</v>
      </c>
      <c r="AGZ114" s="294">
        <v>-41000</v>
      </c>
      <c r="AHA114" s="294">
        <v>0</v>
      </c>
      <c r="AHB114" s="294">
        <v>-8500</v>
      </c>
      <c r="AHC114" s="294">
        <v>-1500</v>
      </c>
      <c r="AHD114" s="294"/>
      <c r="AHE114" s="294"/>
      <c r="AHF114" s="294"/>
      <c r="AHG114" s="294"/>
      <c r="AHH114" s="294"/>
      <c r="AHI114" s="294">
        <v>-346097</v>
      </c>
      <c r="AHJ114" s="294"/>
      <c r="AHK114" s="294"/>
      <c r="AHL114" s="294"/>
      <c r="AHM114" s="294"/>
      <c r="AHN114" s="294"/>
      <c r="AHO114" s="294"/>
      <c r="AHP114" s="294"/>
      <c r="AHQ114" s="294"/>
      <c r="AHR114" s="331">
        <v>-6500</v>
      </c>
      <c r="AHS114" s="294">
        <f t="shared" si="51"/>
        <v>-23396743.960100003</v>
      </c>
      <c r="AHT114" s="269" t="b">
        <f t="shared" si="52"/>
        <v>1</v>
      </c>
      <c r="AHU114" s="269" t="s">
        <v>6278</v>
      </c>
      <c r="AHV114" s="269" t="s">
        <v>6171</v>
      </c>
      <c r="AHW114" s="269" t="s">
        <v>6172</v>
      </c>
    </row>
    <row r="115" spans="1:907" ht="24.6" x14ac:dyDescent="0.7">
      <c r="A115" s="268" t="s">
        <v>6278</v>
      </c>
      <c r="B115" s="268" t="s">
        <v>6173</v>
      </c>
      <c r="C115" s="269" t="s">
        <v>6174</v>
      </c>
      <c r="D115" s="294">
        <v>-17470000</v>
      </c>
      <c r="E115" s="294"/>
      <c r="F115" s="294"/>
      <c r="G115" s="294"/>
      <c r="H115" s="294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>
        <v>-12000000</v>
      </c>
      <c r="W115" s="294">
        <v>-946451.9</v>
      </c>
      <c r="X115" s="294"/>
      <c r="Y115" s="294"/>
      <c r="Z115" s="294"/>
      <c r="AA115" s="294">
        <v>-10230.030000000001</v>
      </c>
      <c r="AB115" s="294"/>
      <c r="AC115" s="294">
        <v>-1591790</v>
      </c>
      <c r="AD115" s="294"/>
      <c r="AE115" s="294"/>
      <c r="AF115" s="294">
        <v>-2039905.48</v>
      </c>
      <c r="AG115" s="294"/>
      <c r="AH115" s="294"/>
      <c r="AI115" s="294"/>
      <c r="AJ115" s="294"/>
      <c r="AK115" s="294"/>
      <c r="AL115" s="294">
        <v>-1999990</v>
      </c>
      <c r="AM115" s="294"/>
      <c r="AN115" s="294"/>
      <c r="AO115" s="294"/>
      <c r="AP115" s="294"/>
      <c r="AQ115" s="294"/>
      <c r="AR115" s="294"/>
      <c r="AS115" s="294"/>
      <c r="AT115" s="294">
        <v>-3200000</v>
      </c>
      <c r="AU115" s="294"/>
      <c r="AV115" s="294"/>
      <c r="AW115" s="294"/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>
        <v>-15480</v>
      </c>
      <c r="BI115" s="294">
        <v>-37007972</v>
      </c>
      <c r="BJ115" s="294">
        <v>-7934921</v>
      </c>
      <c r="BK115" s="294"/>
      <c r="BL115" s="294"/>
      <c r="BM115" s="294"/>
      <c r="BN115" s="294"/>
      <c r="BO115" s="294"/>
      <c r="BP115" s="294"/>
      <c r="BQ115" s="294"/>
      <c r="BR115" s="294">
        <v>-16187696</v>
      </c>
      <c r="BS115" s="294"/>
      <c r="BT115" s="294"/>
      <c r="BU115" s="294"/>
      <c r="BV115" s="294"/>
      <c r="BW115" s="294"/>
      <c r="BX115" s="294"/>
      <c r="BY115" s="294"/>
      <c r="BZ115" s="294">
        <v>-3045474</v>
      </c>
      <c r="CA115" s="294"/>
      <c r="CB115" s="294"/>
      <c r="CC115" s="294"/>
      <c r="CD115" s="294"/>
      <c r="CE115" s="294"/>
      <c r="CF115" s="294"/>
      <c r="CG115" s="294">
        <v>-4520000</v>
      </c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>
        <v>-7653000</v>
      </c>
      <c r="CU115" s="294"/>
      <c r="CV115" s="294"/>
      <c r="CW115" s="294"/>
      <c r="CX115" s="294"/>
      <c r="CY115" s="294"/>
      <c r="CZ115" s="294"/>
      <c r="DA115" s="294"/>
      <c r="DB115" s="294">
        <v>-6050000</v>
      </c>
      <c r="DC115" s="294">
        <v>-8926470</v>
      </c>
      <c r="DD115" s="294"/>
      <c r="DE115" s="294"/>
      <c r="DF115" s="294"/>
      <c r="DG115" s="294"/>
      <c r="DH115" s="294"/>
      <c r="DI115" s="294"/>
      <c r="DJ115" s="294"/>
      <c r="DK115" s="294">
        <v>-47020073.140000001</v>
      </c>
      <c r="DL115" s="294">
        <v>-469200</v>
      </c>
      <c r="DM115" s="294">
        <v>-673488</v>
      </c>
      <c r="DN115" s="294">
        <v>-722378.02</v>
      </c>
      <c r="DO115" s="294"/>
      <c r="DP115" s="294">
        <v>-2288787.92</v>
      </c>
      <c r="DQ115" s="294"/>
      <c r="DR115" s="294">
        <v>-1137278.47</v>
      </c>
      <c r="DS115" s="294">
        <v>-1702119.4</v>
      </c>
      <c r="DT115" s="294">
        <v>-4807883.49</v>
      </c>
      <c r="DU115" s="294"/>
      <c r="DV115" s="294"/>
      <c r="DW115" s="294"/>
      <c r="DX115" s="294">
        <v>-1231442</v>
      </c>
      <c r="DY115" s="294"/>
      <c r="DZ115" s="294">
        <v>-3117360</v>
      </c>
      <c r="EA115" s="294"/>
      <c r="EB115" s="294">
        <v>-39700</v>
      </c>
      <c r="EC115" s="294"/>
      <c r="ED115" s="294"/>
      <c r="EE115" s="294">
        <v>-26250260.539999999</v>
      </c>
      <c r="EF115" s="294">
        <v>-7602021.1600000001</v>
      </c>
      <c r="EG115" s="294"/>
      <c r="EH115" s="294"/>
      <c r="EI115" s="294"/>
      <c r="EJ115" s="294"/>
      <c r="EK115" s="294"/>
      <c r="EL115" s="294"/>
      <c r="EM115" s="294"/>
      <c r="EN115" s="294">
        <v>-21145748.48</v>
      </c>
      <c r="EO115" s="294"/>
      <c r="EP115" s="294"/>
      <c r="EQ115" s="294"/>
      <c r="ER115" s="294"/>
      <c r="ES115" s="294"/>
      <c r="ET115" s="294"/>
      <c r="EU115" s="294"/>
      <c r="EV115" s="294"/>
      <c r="EW115" s="294">
        <v>-8454743.5</v>
      </c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  <c r="FI115" s="294">
        <v>-2500000</v>
      </c>
      <c r="FJ115" s="294"/>
      <c r="FK115" s="294"/>
      <c r="FL115" s="294"/>
      <c r="FM115" s="294"/>
      <c r="FN115" s="294">
        <v>-8400</v>
      </c>
      <c r="FO115" s="294"/>
      <c r="FP115" s="294"/>
      <c r="FQ115" s="294">
        <v>-10541620</v>
      </c>
      <c r="FR115" s="294"/>
      <c r="FS115" s="294"/>
      <c r="FT115" s="294"/>
      <c r="FU115" s="294"/>
      <c r="FV115" s="294"/>
      <c r="FW115" s="294">
        <v>-36610.550000000003</v>
      </c>
      <c r="FX115" s="294"/>
      <c r="FY115" s="294"/>
      <c r="FZ115" s="294"/>
      <c r="GA115" s="294"/>
      <c r="GB115" s="294"/>
      <c r="GC115" s="294"/>
      <c r="GD115" s="294"/>
      <c r="GE115" s="294">
        <v>-7187500</v>
      </c>
      <c r="GF115" s="294"/>
      <c r="GG115" s="294"/>
      <c r="GH115" s="294">
        <v>-920098.92</v>
      </c>
      <c r="GI115" s="294"/>
      <c r="GJ115" s="294"/>
      <c r="GK115" s="294"/>
      <c r="GL115" s="294"/>
      <c r="GM115" s="294"/>
      <c r="GN115" s="294"/>
      <c r="GO115" s="294"/>
      <c r="GP115" s="294"/>
      <c r="GQ115" s="294">
        <v>-1755265</v>
      </c>
      <c r="GR115" s="294">
        <v>-47800</v>
      </c>
      <c r="GS115" s="294"/>
      <c r="GT115" s="294"/>
      <c r="GU115" s="294"/>
      <c r="GV115" s="294">
        <v>-89200</v>
      </c>
      <c r="GW115" s="294"/>
      <c r="GX115" s="294"/>
      <c r="GY115" s="294">
        <v>-2100000</v>
      </c>
      <c r="GZ115" s="294"/>
      <c r="HA115" s="294"/>
      <c r="HB115" s="294"/>
      <c r="HC115" s="294">
        <v>-67677596</v>
      </c>
      <c r="HD115" s="294">
        <v>-2708602.18</v>
      </c>
      <c r="HE115" s="294">
        <v>-3561837.6</v>
      </c>
      <c r="HF115" s="294"/>
      <c r="HG115" s="294"/>
      <c r="HH115" s="294">
        <v>-3205080</v>
      </c>
      <c r="HI115" s="294"/>
      <c r="HJ115" s="294">
        <v>-21637272.760000002</v>
      </c>
      <c r="HK115" s="294"/>
      <c r="HL115" s="294"/>
      <c r="HM115" s="294"/>
      <c r="HN115" s="294"/>
      <c r="HO115" s="294"/>
      <c r="HP115" s="294"/>
      <c r="HQ115" s="294"/>
      <c r="HR115" s="294">
        <v>-5096000</v>
      </c>
      <c r="HS115" s="294">
        <v>-25625000</v>
      </c>
      <c r="HT115" s="294"/>
      <c r="HU115" s="294"/>
      <c r="HV115" s="294"/>
      <c r="HW115" s="294"/>
      <c r="HX115" s="294"/>
      <c r="HY115" s="294"/>
      <c r="HZ115" s="294"/>
      <c r="IA115" s="294"/>
      <c r="IB115" s="294"/>
      <c r="IC115" s="294"/>
      <c r="ID115" s="294"/>
      <c r="IE115" s="294"/>
      <c r="IF115" s="294"/>
      <c r="IG115" s="294"/>
      <c r="IH115" s="294"/>
      <c r="II115" s="294">
        <v>-1150000</v>
      </c>
      <c r="IJ115" s="294"/>
      <c r="IK115" s="294"/>
      <c r="IL115" s="294"/>
      <c r="IM115" s="294"/>
      <c r="IN115" s="294"/>
      <c r="IO115" s="294"/>
      <c r="IP115" s="294"/>
      <c r="IQ115" s="294"/>
      <c r="IR115" s="294"/>
      <c r="IS115" s="294">
        <v>-4094199</v>
      </c>
      <c r="IT115" s="294">
        <v>-66000000</v>
      </c>
      <c r="IU115" s="294">
        <v>-560000</v>
      </c>
      <c r="IV115" s="294"/>
      <c r="IW115" s="294">
        <v>-157900</v>
      </c>
      <c r="IX115" s="294"/>
      <c r="IY115" s="294"/>
      <c r="IZ115" s="294">
        <v>70948</v>
      </c>
      <c r="JA115" s="294"/>
      <c r="JB115" s="294"/>
      <c r="JC115" s="294"/>
      <c r="JD115" s="294"/>
      <c r="JE115" s="294">
        <v>-1500000</v>
      </c>
      <c r="JF115" s="294">
        <v>0</v>
      </c>
      <c r="JG115" s="294"/>
      <c r="JH115" s="294"/>
      <c r="JI115" s="294"/>
      <c r="JJ115" s="294"/>
      <c r="JK115" s="294">
        <v>-30293153.02</v>
      </c>
      <c r="JL115" s="294"/>
      <c r="JM115" s="294"/>
      <c r="JN115" s="294"/>
      <c r="JO115" s="294"/>
      <c r="JP115" s="294"/>
      <c r="JQ115" s="294"/>
      <c r="JR115" s="294">
        <v>-10000000</v>
      </c>
      <c r="JS115" s="294">
        <v>-2046230</v>
      </c>
      <c r="JT115" s="294"/>
      <c r="JU115" s="294">
        <v>-70500</v>
      </c>
      <c r="JV115" s="294">
        <v>-51194</v>
      </c>
      <c r="JW115" s="294">
        <v>-28600</v>
      </c>
      <c r="JX115" s="294"/>
      <c r="JY115" s="294"/>
      <c r="JZ115" s="294">
        <v>-53300</v>
      </c>
      <c r="KA115" s="294">
        <v>-119600</v>
      </c>
      <c r="KB115" s="294">
        <v>-126600</v>
      </c>
      <c r="KC115" s="294">
        <v>-164000</v>
      </c>
      <c r="KD115" s="294">
        <v>-60824</v>
      </c>
      <c r="KE115" s="294"/>
      <c r="KF115" s="294"/>
      <c r="KG115" s="294"/>
      <c r="KH115" s="294"/>
      <c r="KI115" s="294"/>
      <c r="KJ115" s="294"/>
      <c r="KK115" s="294"/>
      <c r="KL115" s="294"/>
      <c r="KM115" s="294"/>
      <c r="KN115" s="294">
        <v>-870000</v>
      </c>
      <c r="KO115" s="294"/>
      <c r="KP115" s="294"/>
      <c r="KQ115" s="294">
        <v>-3823864.22</v>
      </c>
      <c r="KR115" s="294">
        <v>-78560</v>
      </c>
      <c r="KS115" s="294"/>
      <c r="KT115" s="294"/>
      <c r="KU115" s="294">
        <v>-94804</v>
      </c>
      <c r="KV115" s="294"/>
      <c r="KW115" s="294">
        <v>-1438889.13</v>
      </c>
      <c r="KX115" s="294">
        <v>-546284</v>
      </c>
      <c r="KY115" s="294">
        <v>-4800000</v>
      </c>
      <c r="KZ115" s="294">
        <v>-18900</v>
      </c>
      <c r="LA115" s="294">
        <v>0</v>
      </c>
      <c r="LB115" s="294"/>
      <c r="LC115" s="294"/>
      <c r="LD115" s="294"/>
      <c r="LE115" s="294"/>
      <c r="LF115" s="294"/>
      <c r="LG115" s="294">
        <v>-8548336.0999999996</v>
      </c>
      <c r="LH115" s="294">
        <v>-68163375.689999998</v>
      </c>
      <c r="LI115" s="294">
        <v>-8080042</v>
      </c>
      <c r="LJ115" s="294">
        <v>-17559762</v>
      </c>
      <c r="LK115" s="294"/>
      <c r="LL115" s="294"/>
      <c r="LM115" s="294"/>
      <c r="LN115" s="294"/>
      <c r="LO115" s="294">
        <v>5040</v>
      </c>
      <c r="LP115" s="294"/>
      <c r="LQ115" s="294"/>
      <c r="LR115" s="294">
        <v>-1526118.77</v>
      </c>
      <c r="LS115" s="294"/>
      <c r="LT115" s="294"/>
      <c r="LU115" s="294">
        <v>-4628736.3899999997</v>
      </c>
      <c r="LV115" s="294">
        <v>-26921816.73</v>
      </c>
      <c r="LW115" s="294">
        <v>-6563329</v>
      </c>
      <c r="LX115" s="294">
        <v>-2000000</v>
      </c>
      <c r="LY115" s="294"/>
      <c r="LZ115" s="294">
        <v>-558991.21</v>
      </c>
      <c r="MA115" s="294">
        <v>-19200</v>
      </c>
      <c r="MB115" s="294"/>
      <c r="MC115" s="294">
        <v>-15600</v>
      </c>
      <c r="MD115" s="294">
        <v>-67299</v>
      </c>
      <c r="ME115" s="294"/>
      <c r="MF115" s="294">
        <v>-179000</v>
      </c>
      <c r="MG115" s="294">
        <v>-9095643</v>
      </c>
      <c r="MH115" s="294"/>
      <c r="MI115" s="294"/>
      <c r="MJ115" s="294"/>
      <c r="MK115" s="294"/>
      <c r="ML115" s="294"/>
      <c r="MM115" s="294"/>
      <c r="MN115" s="294"/>
      <c r="MO115" s="294"/>
      <c r="MP115" s="294"/>
      <c r="MQ115" s="294"/>
      <c r="MR115" s="294"/>
      <c r="MS115" s="294">
        <v>-20168917.75</v>
      </c>
      <c r="MT115" s="294">
        <v>-800000</v>
      </c>
      <c r="MU115" s="294">
        <v>-933480</v>
      </c>
      <c r="MV115" s="294"/>
      <c r="MW115" s="294"/>
      <c r="MX115" s="294"/>
      <c r="MY115" s="294">
        <v>-597711.12</v>
      </c>
      <c r="MZ115" s="294"/>
      <c r="NA115" s="294"/>
      <c r="NB115" s="294"/>
      <c r="NC115" s="294"/>
      <c r="ND115" s="294">
        <v>-57149152</v>
      </c>
      <c r="NE115" s="294">
        <v>-5442294.9400000004</v>
      </c>
      <c r="NF115" s="294"/>
      <c r="NG115" s="294">
        <v>-2459744</v>
      </c>
      <c r="NH115" s="294"/>
      <c r="NI115" s="294">
        <v>-2739527.95</v>
      </c>
      <c r="NJ115" s="294">
        <v>-2166954</v>
      </c>
      <c r="NK115" s="294"/>
      <c r="NL115" s="294"/>
      <c r="NM115" s="294">
        <v>0</v>
      </c>
      <c r="NN115" s="294"/>
      <c r="NO115" s="294"/>
      <c r="NP115" s="294">
        <v>-1380436</v>
      </c>
      <c r="NQ115" s="294"/>
      <c r="NR115" s="294"/>
      <c r="NS115" s="294"/>
      <c r="NT115" s="294"/>
      <c r="NU115" s="294"/>
      <c r="NV115" s="294"/>
      <c r="NW115" s="294">
        <v>-39503091.75</v>
      </c>
      <c r="NX115" s="294"/>
      <c r="NY115" s="294"/>
      <c r="NZ115" s="294"/>
      <c r="OA115" s="294"/>
      <c r="OB115" s="294"/>
      <c r="OC115" s="294"/>
      <c r="OD115" s="294"/>
      <c r="OE115" s="294"/>
      <c r="OF115" s="294">
        <v>-410429</v>
      </c>
      <c r="OG115" s="294">
        <v>-5467185.3099999996</v>
      </c>
      <c r="OH115" s="294"/>
      <c r="OI115" s="294">
        <v>-1020000</v>
      </c>
      <c r="OJ115" s="294">
        <v>-3567000</v>
      </c>
      <c r="OK115" s="294">
        <v>-1372982.57</v>
      </c>
      <c r="OL115" s="294">
        <v>-437839.16</v>
      </c>
      <c r="OM115" s="294">
        <v>-3003136.33</v>
      </c>
      <c r="ON115" s="294"/>
      <c r="OO115" s="294">
        <v>-3311151.69</v>
      </c>
      <c r="OP115" s="294"/>
      <c r="OQ115" s="294"/>
      <c r="OR115" s="294"/>
      <c r="OS115" s="294">
        <v>-1844756</v>
      </c>
      <c r="OT115" s="294"/>
      <c r="OU115" s="294"/>
      <c r="OV115" s="294"/>
      <c r="OW115" s="294"/>
      <c r="OX115" s="294"/>
      <c r="OY115" s="294"/>
      <c r="OZ115" s="294"/>
      <c r="PA115" s="294"/>
      <c r="PB115" s="294">
        <v>-9215057.9100000001</v>
      </c>
      <c r="PC115" s="294"/>
      <c r="PD115" s="294"/>
      <c r="PE115" s="294"/>
      <c r="PF115" s="294"/>
      <c r="PG115" s="294"/>
      <c r="PH115" s="294"/>
      <c r="PI115" s="294"/>
      <c r="PJ115" s="294"/>
      <c r="PK115" s="294"/>
      <c r="PL115" s="294"/>
      <c r="PM115" s="294"/>
      <c r="PN115" s="294"/>
      <c r="PO115" s="294"/>
      <c r="PP115" s="294"/>
      <c r="PQ115" s="294"/>
      <c r="PR115" s="294"/>
      <c r="PS115" s="294"/>
      <c r="PT115" s="294"/>
      <c r="PU115" s="294"/>
      <c r="PV115" s="294"/>
      <c r="PW115" s="294"/>
      <c r="PX115" s="294"/>
      <c r="PY115" s="294"/>
      <c r="PZ115" s="294"/>
      <c r="QA115" s="294">
        <v>-701680</v>
      </c>
      <c r="QB115" s="294"/>
      <c r="QC115" s="294"/>
      <c r="QD115" s="294"/>
      <c r="QE115" s="294"/>
      <c r="QF115" s="294"/>
      <c r="QG115" s="294"/>
      <c r="QH115" s="294"/>
      <c r="QI115" s="294"/>
      <c r="QJ115" s="294"/>
      <c r="QK115" s="294"/>
      <c r="QL115" s="294"/>
      <c r="QM115" s="294"/>
      <c r="QN115" s="294"/>
      <c r="QO115" s="294"/>
      <c r="QP115" s="294"/>
      <c r="QQ115" s="294"/>
      <c r="QR115" s="294"/>
      <c r="QS115" s="294"/>
      <c r="QT115" s="294">
        <v>-1468561</v>
      </c>
      <c r="QU115" s="294"/>
      <c r="QV115" s="294"/>
      <c r="QW115" s="294"/>
      <c r="QX115" s="294"/>
      <c r="QY115" s="294"/>
      <c r="QZ115" s="294"/>
      <c r="RA115" s="294"/>
      <c r="RB115" s="294"/>
      <c r="RC115" s="294"/>
      <c r="RD115" s="294"/>
      <c r="RE115" s="294"/>
      <c r="RF115" s="294"/>
      <c r="RG115" s="294">
        <v>-7000000</v>
      </c>
      <c r="RH115" s="294"/>
      <c r="RI115" s="294"/>
      <c r="RJ115" s="294"/>
      <c r="RK115" s="294"/>
      <c r="RL115" s="294"/>
      <c r="RM115" s="294"/>
      <c r="RN115" s="294"/>
      <c r="RO115" s="294"/>
      <c r="RP115" s="294"/>
      <c r="RQ115" s="294"/>
      <c r="RR115" s="294"/>
      <c r="RS115" s="294"/>
      <c r="RT115" s="294"/>
      <c r="RU115" s="294"/>
      <c r="RV115" s="294"/>
      <c r="RW115" s="294"/>
      <c r="RX115" s="294"/>
      <c r="RY115" s="294"/>
      <c r="RZ115" s="294"/>
      <c r="SA115" s="294">
        <v>-2000000</v>
      </c>
      <c r="SB115" s="294"/>
      <c r="SC115" s="294"/>
      <c r="SD115" s="294"/>
      <c r="SE115" s="294"/>
      <c r="SF115" s="294"/>
      <c r="SG115" s="294"/>
      <c r="SH115" s="294"/>
      <c r="SI115" s="294"/>
      <c r="SJ115" s="294"/>
      <c r="SK115" s="294"/>
      <c r="SL115" s="294"/>
      <c r="SM115" s="294">
        <v>-10620.05</v>
      </c>
      <c r="SN115" s="294">
        <v>-56200</v>
      </c>
      <c r="SO115" s="294">
        <v>-64300</v>
      </c>
      <c r="SP115" s="294"/>
      <c r="SQ115" s="294">
        <v>-39300</v>
      </c>
      <c r="SR115" s="294">
        <v>-45100</v>
      </c>
      <c r="SS115" s="294">
        <v>-84200</v>
      </c>
      <c r="ST115" s="294"/>
      <c r="SU115" s="294">
        <v>-1952948</v>
      </c>
      <c r="SV115" s="294"/>
      <c r="SW115" s="294"/>
      <c r="SX115" s="294"/>
      <c r="SY115" s="294"/>
      <c r="SZ115" s="294"/>
      <c r="TA115" s="294"/>
      <c r="TB115" s="294"/>
      <c r="TC115" s="294"/>
      <c r="TD115" s="294"/>
      <c r="TE115" s="294"/>
      <c r="TF115" s="294"/>
      <c r="TG115" s="294"/>
      <c r="TH115" s="294"/>
      <c r="TI115" s="294">
        <v>-7559411</v>
      </c>
      <c r="TJ115" s="294"/>
      <c r="TK115" s="294"/>
      <c r="TL115" s="294"/>
      <c r="TM115" s="294"/>
      <c r="TN115" s="294"/>
      <c r="TO115" s="294"/>
      <c r="TP115" s="294"/>
      <c r="TQ115" s="294"/>
      <c r="TR115" s="294"/>
      <c r="TS115" s="294"/>
      <c r="TT115" s="294"/>
      <c r="TU115" s="294"/>
      <c r="TV115" s="294"/>
      <c r="TW115" s="294"/>
      <c r="TX115" s="294"/>
      <c r="TY115" s="294"/>
      <c r="TZ115" s="294"/>
      <c r="UA115" s="294">
        <v>-12454289.09</v>
      </c>
      <c r="UB115" s="294">
        <v>-300000</v>
      </c>
      <c r="UC115" s="294"/>
      <c r="UD115" s="294"/>
      <c r="UE115" s="294"/>
      <c r="UF115" s="294"/>
      <c r="UG115" s="294"/>
      <c r="UH115" s="294"/>
      <c r="UI115" s="294"/>
      <c r="UJ115" s="294">
        <v>-4729246</v>
      </c>
      <c r="UK115" s="294"/>
      <c r="UL115" s="294"/>
      <c r="UM115" s="294"/>
      <c r="UN115" s="294"/>
      <c r="UO115" s="294"/>
      <c r="UP115" s="294">
        <v>-10000000</v>
      </c>
      <c r="UQ115" s="294"/>
      <c r="UR115" s="294"/>
      <c r="US115" s="294"/>
      <c r="UT115" s="294"/>
      <c r="UU115" s="294"/>
      <c r="UV115" s="294">
        <v>-150000</v>
      </c>
      <c r="UW115" s="294"/>
      <c r="UX115" s="294"/>
      <c r="UY115" s="294"/>
      <c r="UZ115" s="294"/>
      <c r="VA115" s="294"/>
      <c r="VB115" s="294"/>
      <c r="VC115" s="294"/>
      <c r="VD115" s="294"/>
      <c r="VE115" s="294"/>
      <c r="VF115" s="294"/>
      <c r="VG115" s="294"/>
      <c r="VH115" s="294">
        <v>-98090</v>
      </c>
      <c r="VI115" s="294"/>
      <c r="VJ115" s="294"/>
      <c r="VK115" s="294"/>
      <c r="VL115" s="294">
        <v>-8341613</v>
      </c>
      <c r="VM115" s="294"/>
      <c r="VN115" s="294"/>
      <c r="VO115" s="294"/>
      <c r="VP115" s="294"/>
      <c r="VQ115" s="294"/>
      <c r="VR115" s="294"/>
      <c r="VS115" s="294"/>
      <c r="VT115" s="294"/>
      <c r="VU115" s="294"/>
      <c r="VV115" s="294"/>
      <c r="VW115" s="294"/>
      <c r="VX115" s="294">
        <v>-50176</v>
      </c>
      <c r="VY115" s="294"/>
      <c r="VZ115" s="294"/>
      <c r="WA115" s="294">
        <v>-8700000</v>
      </c>
      <c r="WB115" s="294"/>
      <c r="WC115" s="294"/>
      <c r="WD115" s="294"/>
      <c r="WE115" s="294"/>
      <c r="WF115" s="294"/>
      <c r="WG115" s="294"/>
      <c r="WH115" s="294"/>
      <c r="WI115" s="294"/>
      <c r="WJ115" s="294"/>
      <c r="WK115" s="294"/>
      <c r="WL115" s="294"/>
      <c r="WM115" s="294"/>
      <c r="WN115" s="294"/>
      <c r="WO115" s="294"/>
      <c r="WP115" s="294"/>
      <c r="WQ115" s="294"/>
      <c r="WR115" s="294"/>
      <c r="WS115" s="294"/>
      <c r="WT115" s="294"/>
      <c r="WU115" s="294">
        <v>-3569848</v>
      </c>
      <c r="WV115" s="294"/>
      <c r="WW115" s="294"/>
      <c r="WX115" s="294"/>
      <c r="WY115" s="294"/>
      <c r="WZ115" s="294"/>
      <c r="XA115" s="294"/>
      <c r="XB115" s="294"/>
      <c r="XC115" s="294">
        <v>-8613945</v>
      </c>
      <c r="XD115" s="294"/>
      <c r="XE115" s="294"/>
      <c r="XF115" s="294"/>
      <c r="XG115" s="294">
        <v>-3000</v>
      </c>
      <c r="XH115" s="294">
        <v>-5450690</v>
      </c>
      <c r="XI115" s="294"/>
      <c r="XJ115" s="294"/>
      <c r="XK115" s="294">
        <v>-12372226.859999999</v>
      </c>
      <c r="XL115" s="294"/>
      <c r="XM115" s="294"/>
      <c r="XN115" s="294"/>
      <c r="XO115" s="294"/>
      <c r="XP115" s="294"/>
      <c r="XQ115" s="294"/>
      <c r="XR115" s="294"/>
      <c r="XS115" s="294"/>
      <c r="XT115" s="294"/>
      <c r="XU115" s="294"/>
      <c r="XV115" s="294"/>
      <c r="XW115" s="294"/>
      <c r="XX115" s="294"/>
      <c r="XY115" s="294"/>
      <c r="XZ115" s="294"/>
      <c r="YA115" s="294"/>
      <c r="YB115" s="294"/>
      <c r="YC115" s="294"/>
      <c r="YD115" s="294"/>
      <c r="YE115" s="294">
        <v>-22840000</v>
      </c>
      <c r="YF115" s="294"/>
      <c r="YG115" s="294"/>
      <c r="YH115" s="294"/>
      <c r="YI115" s="294">
        <v>-1955773</v>
      </c>
      <c r="YJ115" s="294"/>
      <c r="YK115" s="294"/>
      <c r="YL115" s="294">
        <v>-61546</v>
      </c>
      <c r="YM115" s="294"/>
      <c r="YN115" s="294"/>
      <c r="YO115" s="294">
        <v>-43440</v>
      </c>
      <c r="YP115" s="294"/>
      <c r="YQ115" s="294">
        <v>-120600</v>
      </c>
      <c r="YR115" s="294"/>
      <c r="YS115" s="294"/>
      <c r="YT115" s="294"/>
      <c r="YU115" s="294"/>
      <c r="YV115" s="294">
        <v>-3995706</v>
      </c>
      <c r="YW115" s="294">
        <v>-116000</v>
      </c>
      <c r="YX115" s="294"/>
      <c r="YY115" s="294"/>
      <c r="YZ115" s="294"/>
      <c r="ZA115" s="294">
        <v>-11100</v>
      </c>
      <c r="ZB115" s="294"/>
      <c r="ZC115" s="294">
        <v>-4455400.42</v>
      </c>
      <c r="ZD115" s="294">
        <v>-36600</v>
      </c>
      <c r="ZE115" s="294">
        <v>-31400</v>
      </c>
      <c r="ZF115" s="294">
        <v>-83100</v>
      </c>
      <c r="ZG115" s="294">
        <v>-21200</v>
      </c>
      <c r="ZH115" s="294"/>
      <c r="ZI115" s="294"/>
      <c r="ZJ115" s="294">
        <v>-22400</v>
      </c>
      <c r="ZK115" s="294"/>
      <c r="ZL115" s="294">
        <v>-36632065</v>
      </c>
      <c r="ZM115" s="294"/>
      <c r="ZN115" s="294"/>
      <c r="ZO115" s="294"/>
      <c r="ZP115" s="294"/>
      <c r="ZQ115" s="294"/>
      <c r="ZR115" s="294"/>
      <c r="ZS115" s="294"/>
      <c r="ZT115" s="294"/>
      <c r="ZU115" s="294"/>
      <c r="ZV115" s="294"/>
      <c r="ZW115" s="294"/>
      <c r="ZX115" s="294"/>
      <c r="ZY115" s="294"/>
      <c r="ZZ115" s="294"/>
      <c r="AAA115" s="294"/>
      <c r="AAB115" s="294"/>
      <c r="AAC115" s="294"/>
      <c r="AAD115" s="294"/>
      <c r="AAE115" s="294"/>
      <c r="AAF115" s="294"/>
      <c r="AAG115" s="294"/>
      <c r="AAH115" s="294"/>
      <c r="AAI115" s="294"/>
      <c r="AAJ115" s="294"/>
      <c r="AAK115" s="294"/>
      <c r="AAL115" s="294"/>
      <c r="AAM115" s="294"/>
      <c r="AAN115" s="294"/>
      <c r="AAO115" s="294">
        <v>-18600000</v>
      </c>
      <c r="AAP115" s="294"/>
      <c r="AAQ115" s="294"/>
      <c r="AAR115" s="294"/>
      <c r="AAS115" s="294"/>
      <c r="AAT115" s="294"/>
      <c r="AAU115" s="294"/>
      <c r="AAV115" s="294"/>
      <c r="AAW115" s="294"/>
      <c r="AAX115" s="294"/>
      <c r="AAY115" s="294"/>
      <c r="AAZ115" s="294"/>
      <c r="ABA115" s="294"/>
      <c r="ABB115" s="294"/>
      <c r="ABC115" s="294">
        <v>0</v>
      </c>
      <c r="ABD115" s="294"/>
      <c r="ABE115" s="294"/>
      <c r="ABF115" s="294"/>
      <c r="ABG115" s="294"/>
      <c r="ABH115" s="294"/>
      <c r="ABI115" s="294"/>
      <c r="ABJ115" s="294"/>
      <c r="ABK115" s="294">
        <v>0</v>
      </c>
      <c r="ABL115" s="294"/>
      <c r="ABM115" s="294"/>
      <c r="ABN115" s="294"/>
      <c r="ABO115" s="294">
        <v>-43709633</v>
      </c>
      <c r="ABP115" s="294"/>
      <c r="ABQ115" s="294"/>
      <c r="ABR115" s="294"/>
      <c r="ABS115" s="294"/>
      <c r="ABT115" s="294"/>
      <c r="ABU115" s="294"/>
      <c r="ABV115" s="294"/>
      <c r="ABW115" s="294"/>
      <c r="ABX115" s="294"/>
      <c r="ABY115" s="294"/>
      <c r="ABZ115" s="294"/>
      <c r="ACA115" s="294"/>
      <c r="ACB115" s="294"/>
      <c r="ACC115" s="294"/>
      <c r="ACD115" s="294"/>
      <c r="ACE115" s="294"/>
      <c r="ACF115" s="294"/>
      <c r="ACG115" s="294"/>
      <c r="ACH115" s="294"/>
      <c r="ACI115" s="294"/>
      <c r="ACJ115" s="294"/>
      <c r="ACK115" s="294"/>
      <c r="ACL115" s="294"/>
      <c r="ACM115" s="294"/>
      <c r="ACN115" s="294"/>
      <c r="ACO115" s="294"/>
      <c r="ACP115" s="294"/>
      <c r="ACQ115" s="294"/>
      <c r="ACR115" s="294"/>
      <c r="ACS115" s="294"/>
      <c r="ACT115" s="294"/>
      <c r="ACU115" s="294"/>
      <c r="ACV115" s="294"/>
      <c r="ACW115" s="294"/>
      <c r="ACX115" s="294"/>
      <c r="ACY115" s="294"/>
      <c r="ACZ115" s="294"/>
      <c r="ADA115" s="294"/>
      <c r="ADB115" s="294"/>
      <c r="ADC115" s="294"/>
      <c r="ADD115" s="294"/>
      <c r="ADE115" s="294"/>
      <c r="ADF115" s="294">
        <v>-4477731</v>
      </c>
      <c r="ADG115" s="294">
        <v>-2480000</v>
      </c>
      <c r="ADH115" s="294"/>
      <c r="ADI115" s="294"/>
      <c r="ADJ115" s="294"/>
      <c r="ADK115" s="294"/>
      <c r="ADL115" s="294"/>
      <c r="ADM115" s="294"/>
      <c r="ADN115" s="294"/>
      <c r="ADO115" s="294">
        <v>-1500000</v>
      </c>
      <c r="ADP115" s="294"/>
      <c r="ADQ115" s="294"/>
      <c r="ADR115" s="294"/>
      <c r="ADS115" s="294">
        <v>-1800000</v>
      </c>
      <c r="ADT115" s="294"/>
      <c r="ADU115" s="294"/>
      <c r="ADV115" s="294"/>
      <c r="ADW115" s="294"/>
      <c r="ADX115" s="294"/>
      <c r="ADY115" s="294">
        <v>-36259240.039999999</v>
      </c>
      <c r="ADZ115" s="294">
        <v>-6482194.96</v>
      </c>
      <c r="AEA115" s="294"/>
      <c r="AEB115" s="294"/>
      <c r="AEC115" s="294"/>
      <c r="AED115" s="294"/>
      <c r="AEE115" s="294"/>
      <c r="AEF115" s="294"/>
      <c r="AEG115" s="294"/>
      <c r="AEH115" s="294"/>
      <c r="AEI115" s="294"/>
      <c r="AEJ115" s="294"/>
      <c r="AEK115" s="294"/>
      <c r="AEL115" s="294"/>
      <c r="AEM115" s="294"/>
      <c r="AEN115" s="294"/>
      <c r="AEO115" s="294"/>
      <c r="AEP115" s="294"/>
      <c r="AEQ115" s="294"/>
      <c r="AER115" s="294"/>
      <c r="AES115" s="294">
        <v>-10117234</v>
      </c>
      <c r="AET115" s="294">
        <v>-765000</v>
      </c>
      <c r="AEU115" s="294"/>
      <c r="AEV115" s="294"/>
      <c r="AEW115" s="294"/>
      <c r="AEX115" s="294"/>
      <c r="AEY115" s="294"/>
      <c r="AEZ115" s="294">
        <v>-810000</v>
      </c>
      <c r="AFA115" s="294"/>
      <c r="AFB115" s="294"/>
      <c r="AFC115" s="294">
        <v>-1463652.97</v>
      </c>
      <c r="AFD115" s="294">
        <v>-3900000</v>
      </c>
      <c r="AFE115" s="294"/>
      <c r="AFF115" s="294"/>
      <c r="AFG115" s="294"/>
      <c r="AFH115" s="294">
        <v>-4896800</v>
      </c>
      <c r="AFI115" s="294"/>
      <c r="AFJ115" s="294"/>
      <c r="AFK115" s="294"/>
      <c r="AFL115" s="294"/>
      <c r="AFM115" s="294"/>
      <c r="AFN115" s="294"/>
      <c r="AFO115" s="294"/>
      <c r="AFP115" s="294">
        <v>-11061830</v>
      </c>
      <c r="AFQ115" s="294"/>
      <c r="AFR115" s="294"/>
      <c r="AFS115" s="294"/>
      <c r="AFT115" s="294"/>
      <c r="AFU115" s="294"/>
      <c r="AFV115" s="294"/>
      <c r="AFW115" s="294"/>
      <c r="AFX115" s="294"/>
      <c r="AFY115" s="294"/>
      <c r="AFZ115" s="294"/>
      <c r="AGA115" s="294"/>
      <c r="AGB115" s="294">
        <v>-2310000</v>
      </c>
      <c r="AGC115" s="294"/>
      <c r="AGD115" s="294"/>
      <c r="AGE115" s="294"/>
      <c r="AGF115" s="294"/>
      <c r="AGG115" s="294"/>
      <c r="AGH115" s="294"/>
      <c r="AGI115" s="294"/>
      <c r="AGJ115" s="294"/>
      <c r="AGK115" s="294"/>
      <c r="AGL115" s="294"/>
      <c r="AGM115" s="294">
        <v>-11719109.33</v>
      </c>
      <c r="AGN115" s="294">
        <v>-1426392.17</v>
      </c>
      <c r="AGO115" s="294"/>
      <c r="AGP115" s="294"/>
      <c r="AGQ115" s="294"/>
      <c r="AGR115" s="294"/>
      <c r="AGS115" s="294"/>
      <c r="AGT115" s="294"/>
      <c r="AGU115" s="294">
        <v>-31464063.579999998</v>
      </c>
      <c r="AGV115" s="294">
        <v>-71200000</v>
      </c>
      <c r="AGW115" s="294"/>
      <c r="AGX115" s="294"/>
      <c r="AGY115" s="294"/>
      <c r="AGZ115" s="294"/>
      <c r="AHA115" s="294"/>
      <c r="AHB115" s="294"/>
      <c r="AHC115" s="294"/>
      <c r="AHD115" s="294"/>
      <c r="AHE115" s="294"/>
      <c r="AHF115" s="294"/>
      <c r="AHG115" s="294"/>
      <c r="AHH115" s="294"/>
      <c r="AHI115" s="294"/>
      <c r="AHJ115" s="294"/>
      <c r="AHK115" s="294"/>
      <c r="AHL115" s="294">
        <v>-45901668</v>
      </c>
      <c r="AHM115" s="294"/>
      <c r="AHN115" s="294"/>
      <c r="AHO115" s="294"/>
      <c r="AHP115" s="294"/>
      <c r="AHQ115" s="294"/>
      <c r="AHR115" s="331"/>
      <c r="AHS115" s="294">
        <f t="shared" si="51"/>
        <v>-1335535581.7500002</v>
      </c>
      <c r="AHT115" s="269" t="b">
        <f t="shared" si="52"/>
        <v>1</v>
      </c>
      <c r="AHU115" s="269" t="s">
        <v>6278</v>
      </c>
      <c r="AHV115" s="269" t="s">
        <v>6173</v>
      </c>
      <c r="AHW115" s="269" t="s">
        <v>6174</v>
      </c>
    </row>
    <row r="116" spans="1:907" ht="24.6" x14ac:dyDescent="0.7">
      <c r="A116" s="268" t="s">
        <v>6278</v>
      </c>
      <c r="B116" s="268" t="s">
        <v>6175</v>
      </c>
      <c r="C116" s="269" t="s">
        <v>6176</v>
      </c>
      <c r="D116" s="294"/>
      <c r="E116" s="294">
        <v>-676800</v>
      </c>
      <c r="F116" s="294">
        <v>-2109000</v>
      </c>
      <c r="G116" s="294"/>
      <c r="H116" s="294">
        <v>-356600</v>
      </c>
      <c r="I116" s="294">
        <v>-744300</v>
      </c>
      <c r="J116" s="294">
        <v>0</v>
      </c>
      <c r="K116" s="294">
        <v>-960200</v>
      </c>
      <c r="L116" s="294">
        <v>-709282</v>
      </c>
      <c r="M116" s="294">
        <v>-1379400</v>
      </c>
      <c r="N116" s="294">
        <v>0</v>
      </c>
      <c r="O116" s="294">
        <v>-174600</v>
      </c>
      <c r="P116" s="294">
        <v>-1028000</v>
      </c>
      <c r="Q116" s="294">
        <v>-562700</v>
      </c>
      <c r="R116" s="294">
        <v>0</v>
      </c>
      <c r="S116" s="294">
        <v>-1395500</v>
      </c>
      <c r="T116" s="294">
        <v>-652300</v>
      </c>
      <c r="U116" s="294">
        <v>-1208400</v>
      </c>
      <c r="V116" s="294"/>
      <c r="W116" s="294">
        <v>-2133200</v>
      </c>
      <c r="X116" s="294">
        <v>-977000</v>
      </c>
      <c r="Y116" s="294">
        <v>-848600</v>
      </c>
      <c r="Z116" s="294">
        <v>-1944100</v>
      </c>
      <c r="AA116" s="294">
        <v>-117200</v>
      </c>
      <c r="AB116" s="294">
        <v>-817400</v>
      </c>
      <c r="AC116" s="294">
        <v>-2005400</v>
      </c>
      <c r="AD116" s="294">
        <v>-1954416</v>
      </c>
      <c r="AE116" s="294">
        <v>-778161</v>
      </c>
      <c r="AF116" s="294">
        <v>-3047000</v>
      </c>
      <c r="AG116" s="294">
        <v>-1907400</v>
      </c>
      <c r="AH116" s="294">
        <v>-8841100</v>
      </c>
      <c r="AI116" s="294"/>
      <c r="AJ116" s="294">
        <v>-421400</v>
      </c>
      <c r="AK116" s="294">
        <v>-493200</v>
      </c>
      <c r="AL116" s="294">
        <v>-1144200</v>
      </c>
      <c r="AM116" s="294">
        <v>-591200</v>
      </c>
      <c r="AN116" s="294">
        <v>-1252800</v>
      </c>
      <c r="AO116" s="294"/>
      <c r="AP116" s="294"/>
      <c r="AQ116" s="294">
        <v>-2965800</v>
      </c>
      <c r="AR116" s="294">
        <v>-2077600</v>
      </c>
      <c r="AS116" s="294">
        <v>-1640700</v>
      </c>
      <c r="AT116" s="294"/>
      <c r="AU116" s="294">
        <v>-100000</v>
      </c>
      <c r="AV116" s="294">
        <v>-731900</v>
      </c>
      <c r="AW116" s="294">
        <v>-2321500</v>
      </c>
      <c r="AX116" s="294">
        <v>-2698000</v>
      </c>
      <c r="AY116" s="294">
        <v>-3458700</v>
      </c>
      <c r="AZ116" s="294">
        <v>-960300</v>
      </c>
      <c r="BA116" s="294">
        <v>-1009700</v>
      </c>
      <c r="BB116" s="294">
        <v>-1193600</v>
      </c>
      <c r="BC116" s="294">
        <v>-989600</v>
      </c>
      <c r="BD116" s="294">
        <v>-443400</v>
      </c>
      <c r="BE116" s="294">
        <v>-3074200</v>
      </c>
      <c r="BF116" s="294">
        <v>-3597100</v>
      </c>
      <c r="BG116" s="294">
        <v>-909100</v>
      </c>
      <c r="BH116" s="294">
        <v>-499490</v>
      </c>
      <c r="BI116" s="294"/>
      <c r="BJ116" s="294"/>
      <c r="BK116" s="294">
        <v>-1901800</v>
      </c>
      <c r="BL116" s="294">
        <v>-3961800</v>
      </c>
      <c r="BM116" s="294">
        <v>-619800</v>
      </c>
      <c r="BN116" s="294">
        <v>-820318</v>
      </c>
      <c r="BO116" s="294">
        <v>-1125000</v>
      </c>
      <c r="BP116" s="294">
        <v>-685300</v>
      </c>
      <c r="BQ116" s="294">
        <v>-149600</v>
      </c>
      <c r="BR116" s="294"/>
      <c r="BS116" s="294">
        <v>-679900</v>
      </c>
      <c r="BT116" s="294">
        <v>0</v>
      </c>
      <c r="BU116" s="294">
        <v>-1242955.82</v>
      </c>
      <c r="BV116" s="294">
        <v>-1702800</v>
      </c>
      <c r="BW116" s="294">
        <v>-544100</v>
      </c>
      <c r="BX116" s="294">
        <v>-1324500</v>
      </c>
      <c r="BY116" s="294">
        <v>-1266000</v>
      </c>
      <c r="BZ116" s="294">
        <v>-1299346</v>
      </c>
      <c r="CA116" s="294">
        <v>-2755500</v>
      </c>
      <c r="CB116" s="294">
        <v>-3416500</v>
      </c>
      <c r="CC116" s="294">
        <v>-5626500</v>
      </c>
      <c r="CD116" s="294">
        <v>-1522000</v>
      </c>
      <c r="CE116" s="294">
        <v>-1745600</v>
      </c>
      <c r="CF116" s="294">
        <v>-2894500</v>
      </c>
      <c r="CG116" s="294"/>
      <c r="CH116" s="294">
        <v>-438900</v>
      </c>
      <c r="CI116" s="294">
        <v>-947521</v>
      </c>
      <c r="CJ116" s="294">
        <v>-882900</v>
      </c>
      <c r="CK116" s="294">
        <v>-602606</v>
      </c>
      <c r="CL116" s="294">
        <v>-571700</v>
      </c>
      <c r="CM116" s="294">
        <v>-500900</v>
      </c>
      <c r="CN116" s="294">
        <v>-906000</v>
      </c>
      <c r="CO116" s="294">
        <v>-341700</v>
      </c>
      <c r="CP116" s="294">
        <v>-532100</v>
      </c>
      <c r="CQ116" s="294">
        <v>-636900</v>
      </c>
      <c r="CR116" s="294">
        <v>-612100</v>
      </c>
      <c r="CS116" s="294">
        <v>-385000</v>
      </c>
      <c r="CT116" s="294"/>
      <c r="CU116" s="294">
        <v>-620500</v>
      </c>
      <c r="CV116" s="294">
        <v>-268900</v>
      </c>
      <c r="CW116" s="294">
        <v>-4447800</v>
      </c>
      <c r="CX116" s="294">
        <v>-724800</v>
      </c>
      <c r="CY116" s="294">
        <v>-795700</v>
      </c>
      <c r="CZ116" s="294">
        <v>-764539</v>
      </c>
      <c r="DA116" s="294">
        <v>-588000</v>
      </c>
      <c r="DB116" s="294"/>
      <c r="DC116" s="294"/>
      <c r="DD116" s="294">
        <v>-659600</v>
      </c>
      <c r="DE116" s="294">
        <v>-1154019.76</v>
      </c>
      <c r="DF116" s="294">
        <v>-1464500</v>
      </c>
      <c r="DG116" s="294">
        <v>-1639000</v>
      </c>
      <c r="DH116" s="294">
        <v>-2228600</v>
      </c>
      <c r="DI116" s="294"/>
      <c r="DJ116" s="294">
        <v>-338600</v>
      </c>
      <c r="DK116" s="294"/>
      <c r="DL116" s="294">
        <v>-613400</v>
      </c>
      <c r="DM116" s="294">
        <v>-866600</v>
      </c>
      <c r="DN116" s="294">
        <v>-1173400</v>
      </c>
      <c r="DO116" s="294">
        <v>-637400</v>
      </c>
      <c r="DP116" s="294">
        <v>-450000</v>
      </c>
      <c r="DQ116" s="294"/>
      <c r="DR116" s="294">
        <v>-580400</v>
      </c>
      <c r="DS116" s="294">
        <v>-1747700</v>
      </c>
      <c r="DT116" s="294"/>
      <c r="DU116" s="294">
        <v>-2457100</v>
      </c>
      <c r="DV116" s="294">
        <v>-7970900</v>
      </c>
      <c r="DW116" s="294">
        <v>-1595000</v>
      </c>
      <c r="DX116" s="294">
        <v>-598850</v>
      </c>
      <c r="DY116" s="294"/>
      <c r="DZ116" s="294">
        <v>-778300</v>
      </c>
      <c r="EA116" s="294">
        <v>-1444738.11</v>
      </c>
      <c r="EB116" s="294"/>
      <c r="EC116" s="294">
        <v>0</v>
      </c>
      <c r="ED116" s="294">
        <v>-8390900</v>
      </c>
      <c r="EE116" s="294"/>
      <c r="EF116" s="294"/>
      <c r="EG116" s="294">
        <v>-3946980</v>
      </c>
      <c r="EH116" s="294">
        <v>-608900</v>
      </c>
      <c r="EI116" s="294">
        <v>-683941.94</v>
      </c>
      <c r="EJ116" s="294">
        <v>-1800000</v>
      </c>
      <c r="EK116" s="294">
        <v>-2790000</v>
      </c>
      <c r="EL116" s="294">
        <v>-1004100</v>
      </c>
      <c r="EM116" s="294"/>
      <c r="EN116" s="294"/>
      <c r="EO116" s="294">
        <v>-262200</v>
      </c>
      <c r="EP116" s="294">
        <v>-1148200</v>
      </c>
      <c r="EQ116" s="294">
        <v>-677800</v>
      </c>
      <c r="ER116" s="294">
        <v>-545200</v>
      </c>
      <c r="ES116" s="294">
        <v>-304800</v>
      </c>
      <c r="ET116" s="294">
        <v>-458800</v>
      </c>
      <c r="EU116" s="294">
        <v>-685000</v>
      </c>
      <c r="EV116" s="294">
        <v>-1078660</v>
      </c>
      <c r="EW116" s="294"/>
      <c r="EX116" s="294">
        <v>-352681.88</v>
      </c>
      <c r="EY116" s="294">
        <v>-560400</v>
      </c>
      <c r="EZ116" s="294">
        <v>-778500</v>
      </c>
      <c r="FA116" s="294">
        <v>-1032100</v>
      </c>
      <c r="FB116" s="294">
        <v>-870400</v>
      </c>
      <c r="FC116" s="294">
        <v>-1065924</v>
      </c>
      <c r="FD116" s="294">
        <v>-500700</v>
      </c>
      <c r="FE116" s="294">
        <v>-72000</v>
      </c>
      <c r="FF116" s="294">
        <v>-485200</v>
      </c>
      <c r="FG116" s="294">
        <v>-456200</v>
      </c>
      <c r="FH116" s="294">
        <v>-426692.3</v>
      </c>
      <c r="FI116" s="294"/>
      <c r="FJ116" s="294">
        <v>-550868</v>
      </c>
      <c r="FK116" s="294">
        <v>-120993</v>
      </c>
      <c r="FL116" s="294"/>
      <c r="FM116" s="294">
        <v>-552328</v>
      </c>
      <c r="FN116" s="294">
        <v>-547400</v>
      </c>
      <c r="FO116" s="294">
        <v>-318800</v>
      </c>
      <c r="FP116" s="294">
        <v>-52363</v>
      </c>
      <c r="FQ116" s="294"/>
      <c r="FR116" s="294">
        <v>-1469200</v>
      </c>
      <c r="FS116" s="294">
        <v>-4039600</v>
      </c>
      <c r="FT116" s="294">
        <v>-2219103</v>
      </c>
      <c r="FU116" s="294">
        <v>-4404650</v>
      </c>
      <c r="FV116" s="294">
        <v>-1053100</v>
      </c>
      <c r="FW116" s="294">
        <v>-2913000</v>
      </c>
      <c r="FX116" s="294">
        <v>-739600</v>
      </c>
      <c r="FY116" s="294">
        <v>-3677100</v>
      </c>
      <c r="FZ116" s="294">
        <v>-3120000</v>
      </c>
      <c r="GA116" s="294">
        <v>-1294505</v>
      </c>
      <c r="GB116" s="294">
        <v>-826279</v>
      </c>
      <c r="GC116" s="294">
        <v>-1496000</v>
      </c>
      <c r="GD116" s="294">
        <v>-415500</v>
      </c>
      <c r="GE116" s="294"/>
      <c r="GF116" s="294">
        <v>-443500</v>
      </c>
      <c r="GG116" s="294">
        <v>-412600</v>
      </c>
      <c r="GH116" s="294"/>
      <c r="GI116" s="294">
        <v>-632000</v>
      </c>
      <c r="GJ116" s="294">
        <v>-428800</v>
      </c>
      <c r="GK116" s="294">
        <v>-455900</v>
      </c>
      <c r="GL116" s="294">
        <v>-2956900</v>
      </c>
      <c r="GM116" s="294">
        <v>-500500</v>
      </c>
      <c r="GN116" s="294">
        <v>-196900</v>
      </c>
      <c r="GO116" s="294">
        <v>-355200</v>
      </c>
      <c r="GP116" s="294">
        <v>-442800</v>
      </c>
      <c r="GQ116" s="294"/>
      <c r="GR116" s="294">
        <v>-417468</v>
      </c>
      <c r="GS116" s="294">
        <v>-546900</v>
      </c>
      <c r="GT116" s="294">
        <v>-1433800</v>
      </c>
      <c r="GU116" s="294">
        <v>-508125</v>
      </c>
      <c r="GV116" s="294">
        <v>-751738</v>
      </c>
      <c r="GW116" s="294">
        <v>-49636</v>
      </c>
      <c r="GX116" s="294">
        <v>-881400</v>
      </c>
      <c r="GY116" s="294"/>
      <c r="GZ116" s="294">
        <v>-324300</v>
      </c>
      <c r="HA116" s="294">
        <v>-2250056</v>
      </c>
      <c r="HB116" s="294">
        <v>-4081200</v>
      </c>
      <c r="HC116" s="294"/>
      <c r="HD116" s="294">
        <v>-177108.33</v>
      </c>
      <c r="HE116" s="294">
        <v>-2878898.97</v>
      </c>
      <c r="HF116" s="294">
        <v>-4497600</v>
      </c>
      <c r="HG116" s="294">
        <v>-1021500</v>
      </c>
      <c r="HH116" s="294">
        <v>-7567200</v>
      </c>
      <c r="HI116" s="294">
        <v>-967200</v>
      </c>
      <c r="HJ116" s="294"/>
      <c r="HK116" s="294"/>
      <c r="HL116" s="294">
        <v>-4275300</v>
      </c>
      <c r="HM116" s="294">
        <v>-600000</v>
      </c>
      <c r="HN116" s="294">
        <v>-1024800</v>
      </c>
      <c r="HO116" s="294">
        <v>-2463882</v>
      </c>
      <c r="HP116" s="294">
        <v>-6107859</v>
      </c>
      <c r="HQ116" s="294">
        <v>-450000</v>
      </c>
      <c r="HR116" s="294"/>
      <c r="HS116" s="294"/>
      <c r="HT116" s="294">
        <v>0</v>
      </c>
      <c r="HU116" s="294">
        <v>-715200</v>
      </c>
      <c r="HV116" s="294">
        <v>-1357000</v>
      </c>
      <c r="HW116" s="294">
        <v>-810000</v>
      </c>
      <c r="HX116" s="294">
        <v>-5616000</v>
      </c>
      <c r="HY116" s="294">
        <v>-2727750</v>
      </c>
      <c r="HZ116" s="294">
        <v>-2008900</v>
      </c>
      <c r="IA116" s="294">
        <v>-1005000</v>
      </c>
      <c r="IB116" s="294">
        <v>-3888000</v>
      </c>
      <c r="IC116" s="294">
        <v>-633000</v>
      </c>
      <c r="ID116" s="294">
        <v>-447000</v>
      </c>
      <c r="IE116" s="294">
        <v>-582250</v>
      </c>
      <c r="IF116" s="294">
        <v>-27788</v>
      </c>
      <c r="IG116" s="294">
        <v>-976300</v>
      </c>
      <c r="IH116" s="294"/>
      <c r="II116" s="294"/>
      <c r="IJ116" s="294">
        <v>0</v>
      </c>
      <c r="IK116" s="294">
        <v>-5975400</v>
      </c>
      <c r="IL116" s="294">
        <v>-15493026</v>
      </c>
      <c r="IM116" s="294">
        <v>-2587500</v>
      </c>
      <c r="IN116" s="294">
        <v>-1774800</v>
      </c>
      <c r="IO116" s="294">
        <v>-2155164.4500000002</v>
      </c>
      <c r="IP116" s="294">
        <v>-2928500</v>
      </c>
      <c r="IQ116" s="294">
        <v>-1628000</v>
      </c>
      <c r="IR116" s="294">
        <v>-1175800</v>
      </c>
      <c r="IS116" s="294"/>
      <c r="IT116" s="294"/>
      <c r="IU116" s="294">
        <v>-662200</v>
      </c>
      <c r="IV116" s="294">
        <v>-574900</v>
      </c>
      <c r="IW116" s="294">
        <v>-3468637</v>
      </c>
      <c r="IX116" s="294">
        <v>-358703</v>
      </c>
      <c r="IY116" s="294">
        <v>-921700</v>
      </c>
      <c r="IZ116" s="294">
        <v>-550200</v>
      </c>
      <c r="JA116" s="294">
        <v>-791320</v>
      </c>
      <c r="JB116" s="294">
        <v>-900000</v>
      </c>
      <c r="JC116" s="294">
        <v>-616900</v>
      </c>
      <c r="JD116" s="294">
        <v>-289000</v>
      </c>
      <c r="JE116" s="294"/>
      <c r="JF116" s="294"/>
      <c r="JG116" s="294">
        <v>-4081000</v>
      </c>
      <c r="JH116" s="294">
        <v>-2700000</v>
      </c>
      <c r="JI116" s="294">
        <v>-1945200</v>
      </c>
      <c r="JJ116" s="294">
        <v>-3116600</v>
      </c>
      <c r="JK116" s="294"/>
      <c r="JL116" s="294">
        <v>-969985</v>
      </c>
      <c r="JM116" s="294">
        <v>-1146047</v>
      </c>
      <c r="JN116" s="294">
        <v>-2203512</v>
      </c>
      <c r="JO116" s="294">
        <v>-2054600</v>
      </c>
      <c r="JP116" s="294">
        <v>-1991013.6</v>
      </c>
      <c r="JQ116" s="294">
        <v>-582344</v>
      </c>
      <c r="JR116" s="294"/>
      <c r="JS116" s="294"/>
      <c r="JT116" s="294"/>
      <c r="JU116" s="294">
        <v>-778100</v>
      </c>
      <c r="JV116" s="294">
        <v>-522200</v>
      </c>
      <c r="JW116" s="294">
        <v>-272400</v>
      </c>
      <c r="JX116" s="294">
        <v>-4200000</v>
      </c>
      <c r="JY116" s="294">
        <v>-4440236</v>
      </c>
      <c r="JZ116" s="294">
        <v>-760600</v>
      </c>
      <c r="KA116" s="294">
        <v>-562900</v>
      </c>
      <c r="KB116" s="294">
        <v>-438800</v>
      </c>
      <c r="KC116" s="294">
        <v>-1719900</v>
      </c>
      <c r="KD116" s="294">
        <v>-900300</v>
      </c>
      <c r="KE116" s="294">
        <v>-244700</v>
      </c>
      <c r="KF116" s="294">
        <v>-465600</v>
      </c>
      <c r="KG116" s="294"/>
      <c r="KH116" s="294"/>
      <c r="KI116" s="294">
        <v>-223784</v>
      </c>
      <c r="KJ116" s="294">
        <v>-1021100</v>
      </c>
      <c r="KK116" s="294">
        <v>-3277000</v>
      </c>
      <c r="KL116" s="294">
        <v>-1469148</v>
      </c>
      <c r="KM116" s="294"/>
      <c r="KN116" s="294">
        <v>-3610000</v>
      </c>
      <c r="KO116" s="294">
        <v>-2388600</v>
      </c>
      <c r="KP116" s="294">
        <v>-2210100</v>
      </c>
      <c r="KQ116" s="294"/>
      <c r="KR116" s="294">
        <v>-400300</v>
      </c>
      <c r="KS116" s="294">
        <v>-636300</v>
      </c>
      <c r="KT116" s="294">
        <v>-2888600</v>
      </c>
      <c r="KU116" s="294">
        <v>-1213800</v>
      </c>
      <c r="KV116" s="294">
        <v>-1728600</v>
      </c>
      <c r="KW116" s="294"/>
      <c r="KX116" s="294">
        <v>-1352600</v>
      </c>
      <c r="KY116" s="294"/>
      <c r="KZ116" s="294">
        <v>-1037300</v>
      </c>
      <c r="LA116" s="294">
        <v>-21000</v>
      </c>
      <c r="LB116" s="294">
        <v>-2260908</v>
      </c>
      <c r="LC116" s="294">
        <v>-827200</v>
      </c>
      <c r="LD116" s="294">
        <v>-5699700</v>
      </c>
      <c r="LE116" s="294">
        <v>-1332400</v>
      </c>
      <c r="LF116" s="294">
        <v>0</v>
      </c>
      <c r="LG116" s="294"/>
      <c r="LH116" s="294"/>
      <c r="LI116" s="294"/>
      <c r="LJ116" s="294"/>
      <c r="LK116" s="294">
        <v>-1208600</v>
      </c>
      <c r="LL116" s="294">
        <v>-1404845</v>
      </c>
      <c r="LM116" s="294">
        <v>0</v>
      </c>
      <c r="LN116" s="294"/>
      <c r="LO116" s="294">
        <v>-505501</v>
      </c>
      <c r="LP116" s="294">
        <v>-867700</v>
      </c>
      <c r="LQ116" s="294">
        <v>-330000</v>
      </c>
      <c r="LR116" s="294"/>
      <c r="LS116" s="294">
        <v>-1279200</v>
      </c>
      <c r="LT116" s="294">
        <v>0</v>
      </c>
      <c r="LU116" s="294"/>
      <c r="LV116" s="294"/>
      <c r="LW116" s="294"/>
      <c r="LX116" s="294"/>
      <c r="LY116" s="294">
        <v>-985000</v>
      </c>
      <c r="LZ116" s="294">
        <v>-1952404</v>
      </c>
      <c r="MA116" s="294">
        <v>-694700</v>
      </c>
      <c r="MB116" s="294">
        <v>-1115600</v>
      </c>
      <c r="MC116" s="294">
        <v>-673100</v>
      </c>
      <c r="MD116" s="294">
        <v>-2014140</v>
      </c>
      <c r="ME116" s="294">
        <v>-3341100</v>
      </c>
      <c r="MF116" s="294">
        <v>-290300</v>
      </c>
      <c r="MG116" s="294">
        <v>0</v>
      </c>
      <c r="MH116" s="294">
        <v>-2576715</v>
      </c>
      <c r="MI116" s="294">
        <v>-402000</v>
      </c>
      <c r="MJ116" s="294">
        <v>-145591</v>
      </c>
      <c r="MK116" s="294">
        <v>-327100</v>
      </c>
      <c r="ML116" s="294">
        <v>-573100</v>
      </c>
      <c r="MM116" s="294">
        <v>-1243965</v>
      </c>
      <c r="MN116" s="294">
        <v>-2403400</v>
      </c>
      <c r="MO116" s="294">
        <v>-3533046</v>
      </c>
      <c r="MP116" s="294">
        <v>-668502</v>
      </c>
      <c r="MQ116" s="294">
        <v>-909400</v>
      </c>
      <c r="MR116" s="294">
        <v>-487904</v>
      </c>
      <c r="MS116" s="294"/>
      <c r="MT116" s="294">
        <v>-1956000</v>
      </c>
      <c r="MU116" s="294">
        <v>-1647600</v>
      </c>
      <c r="MV116" s="294">
        <v>-765900</v>
      </c>
      <c r="MW116" s="294">
        <v>-3576600</v>
      </c>
      <c r="MX116" s="294">
        <v>-752600</v>
      </c>
      <c r="MY116" s="294">
        <v>0</v>
      </c>
      <c r="MZ116" s="294">
        <v>-8781600</v>
      </c>
      <c r="NA116" s="294">
        <v>-1253500</v>
      </c>
      <c r="NB116" s="294">
        <v>-2941600</v>
      </c>
      <c r="NC116" s="294">
        <v>-460500</v>
      </c>
      <c r="ND116" s="294"/>
      <c r="NE116" s="294">
        <v>-3961210</v>
      </c>
      <c r="NF116" s="294">
        <v>-513800</v>
      </c>
      <c r="NG116" s="294"/>
      <c r="NH116" s="294">
        <v>-3566800</v>
      </c>
      <c r="NI116" s="294">
        <v>-2576400</v>
      </c>
      <c r="NJ116" s="294">
        <v>-4800000</v>
      </c>
      <c r="NK116" s="294">
        <v>-1354200</v>
      </c>
      <c r="NL116" s="294">
        <v>-200000</v>
      </c>
      <c r="NM116" s="294">
        <v>-725000</v>
      </c>
      <c r="NN116" s="294">
        <v>-612100</v>
      </c>
      <c r="NO116" s="294">
        <v>-636969</v>
      </c>
      <c r="NP116" s="294"/>
      <c r="NQ116" s="294">
        <v>-1700800</v>
      </c>
      <c r="NR116" s="294">
        <v>-541991</v>
      </c>
      <c r="NS116" s="294">
        <v>-137288</v>
      </c>
      <c r="NT116" s="294">
        <v>-686600</v>
      </c>
      <c r="NU116" s="294">
        <v>-541499</v>
      </c>
      <c r="NV116" s="294">
        <v>-1068400</v>
      </c>
      <c r="NW116" s="294"/>
      <c r="NX116" s="294">
        <v>-5935619</v>
      </c>
      <c r="NY116" s="294">
        <v>-1594880</v>
      </c>
      <c r="NZ116" s="294">
        <v>-2521503</v>
      </c>
      <c r="OA116" s="294">
        <v>-800100</v>
      </c>
      <c r="OB116" s="294">
        <v>-3351060</v>
      </c>
      <c r="OC116" s="294">
        <v>0</v>
      </c>
      <c r="OD116" s="294"/>
      <c r="OE116" s="294">
        <v>-14063208</v>
      </c>
      <c r="OF116" s="294">
        <v>-1315500</v>
      </c>
      <c r="OG116" s="294"/>
      <c r="OH116" s="294">
        <v>-7479277</v>
      </c>
      <c r="OI116" s="294">
        <v>-2604800</v>
      </c>
      <c r="OJ116" s="294">
        <v>-3317758.47</v>
      </c>
      <c r="OK116" s="294">
        <v>-1056179</v>
      </c>
      <c r="OL116" s="294">
        <v>0</v>
      </c>
      <c r="OM116" s="294"/>
      <c r="ON116" s="294">
        <v>-9261880</v>
      </c>
      <c r="OO116" s="294">
        <v>-8860600</v>
      </c>
      <c r="OP116" s="294">
        <v>-3227300</v>
      </c>
      <c r="OQ116" s="294">
        <v>-670000</v>
      </c>
      <c r="OR116" s="294">
        <v>-1487100</v>
      </c>
      <c r="OS116" s="294"/>
      <c r="OT116" s="294">
        <v>-1577100</v>
      </c>
      <c r="OU116" s="294">
        <v>-2353900</v>
      </c>
      <c r="OV116" s="294">
        <v>-2119140</v>
      </c>
      <c r="OW116" s="294">
        <v>-3268300</v>
      </c>
      <c r="OX116" s="294">
        <v>-6300000</v>
      </c>
      <c r="OY116" s="294">
        <v>-612471</v>
      </c>
      <c r="OZ116" s="294">
        <v>-667091</v>
      </c>
      <c r="PA116" s="294">
        <v>-1731200</v>
      </c>
      <c r="PB116" s="294"/>
      <c r="PC116" s="294"/>
      <c r="PD116" s="294">
        <v>-2149400</v>
      </c>
      <c r="PE116" s="294">
        <v>-285800</v>
      </c>
      <c r="PF116" s="294">
        <v>0</v>
      </c>
      <c r="PG116" s="294">
        <v>-1118600</v>
      </c>
      <c r="PH116" s="294">
        <v>-840000</v>
      </c>
      <c r="PI116" s="294"/>
      <c r="PJ116" s="294">
        <v>-1173400</v>
      </c>
      <c r="PK116" s="294">
        <v>-779100</v>
      </c>
      <c r="PL116" s="294">
        <v>-607300</v>
      </c>
      <c r="PM116" s="294">
        <v>-1339600</v>
      </c>
      <c r="PN116" s="294">
        <v>-585744</v>
      </c>
      <c r="PO116" s="294">
        <v>-1575100</v>
      </c>
      <c r="PP116" s="294">
        <v>-310000</v>
      </c>
      <c r="PQ116" s="294">
        <v>-229300</v>
      </c>
      <c r="PR116" s="294">
        <v>-320800</v>
      </c>
      <c r="PS116" s="294"/>
      <c r="PT116" s="294"/>
      <c r="PU116" s="294"/>
      <c r="PV116" s="294"/>
      <c r="PW116" s="294">
        <v>-140900</v>
      </c>
      <c r="PX116" s="294">
        <v>-11756100</v>
      </c>
      <c r="PY116" s="294">
        <v>-450650</v>
      </c>
      <c r="PZ116" s="294">
        <v>-1502387</v>
      </c>
      <c r="QA116" s="294">
        <v>-311500</v>
      </c>
      <c r="QB116" s="294">
        <v>-2253600</v>
      </c>
      <c r="QC116" s="294"/>
      <c r="QD116" s="294"/>
      <c r="QE116" s="294">
        <v>-2736000</v>
      </c>
      <c r="QF116" s="294"/>
      <c r="QG116" s="294">
        <v>-882300</v>
      </c>
      <c r="QH116" s="294"/>
      <c r="QI116" s="294">
        <v>-754400</v>
      </c>
      <c r="QJ116" s="294">
        <v>-725600</v>
      </c>
      <c r="QK116" s="294">
        <v>-1951688</v>
      </c>
      <c r="QL116" s="294"/>
      <c r="QM116" s="294">
        <v>-1145900</v>
      </c>
      <c r="QN116" s="294"/>
      <c r="QO116" s="294">
        <v>-87100</v>
      </c>
      <c r="QP116" s="294">
        <v>-263700</v>
      </c>
      <c r="QQ116" s="294"/>
      <c r="QR116" s="294">
        <v>-273200</v>
      </c>
      <c r="QS116" s="294"/>
      <c r="QT116" s="294"/>
      <c r="QU116" s="294">
        <v>-376200</v>
      </c>
      <c r="QV116" s="294">
        <v>-2520000</v>
      </c>
      <c r="QW116" s="294">
        <v>0</v>
      </c>
      <c r="QX116" s="294">
        <v>-1631620</v>
      </c>
      <c r="QY116" s="294">
        <v>-1097900</v>
      </c>
      <c r="QZ116" s="294">
        <v>-364400</v>
      </c>
      <c r="RA116" s="294">
        <v>-2726800</v>
      </c>
      <c r="RB116" s="294"/>
      <c r="RC116" s="294">
        <v>-31600</v>
      </c>
      <c r="RD116" s="294">
        <v>-990700</v>
      </c>
      <c r="RE116" s="294">
        <v>-335900</v>
      </c>
      <c r="RF116" s="294">
        <v>-817300</v>
      </c>
      <c r="RG116" s="294"/>
      <c r="RH116" s="294">
        <v>-1070000</v>
      </c>
      <c r="RI116" s="294">
        <v>0</v>
      </c>
      <c r="RJ116" s="294">
        <v>-718800</v>
      </c>
      <c r="RK116" s="294">
        <v>0</v>
      </c>
      <c r="RL116" s="294">
        <v>-889100</v>
      </c>
      <c r="RM116" s="294">
        <v>-4124200</v>
      </c>
      <c r="RN116" s="294">
        <v>-364946</v>
      </c>
      <c r="RO116" s="294">
        <v>-690600</v>
      </c>
      <c r="RP116" s="294">
        <v>-1265700</v>
      </c>
      <c r="RQ116" s="294">
        <v>-1301900</v>
      </c>
      <c r="RR116" s="294">
        <v>-62800</v>
      </c>
      <c r="RS116" s="294">
        <v>-90400</v>
      </c>
      <c r="RT116" s="294">
        <v>-1560000</v>
      </c>
      <c r="RU116" s="294">
        <v>-422500</v>
      </c>
      <c r="RV116" s="294">
        <v>-1955800</v>
      </c>
      <c r="RW116" s="294">
        <v>-1019100</v>
      </c>
      <c r="RX116" s="294">
        <v>-60600</v>
      </c>
      <c r="RY116" s="294">
        <v>-359194</v>
      </c>
      <c r="RZ116" s="294">
        <v>-325900</v>
      </c>
      <c r="SA116" s="294"/>
      <c r="SB116" s="294">
        <v>-477100</v>
      </c>
      <c r="SC116" s="294">
        <v>-313500</v>
      </c>
      <c r="SD116" s="294">
        <v>-812300</v>
      </c>
      <c r="SE116" s="294">
        <v>-348200</v>
      </c>
      <c r="SF116" s="294">
        <v>-905400</v>
      </c>
      <c r="SG116" s="294">
        <v>-1131400</v>
      </c>
      <c r="SH116" s="294">
        <v>-580000</v>
      </c>
      <c r="SI116" s="294">
        <v>-252300</v>
      </c>
      <c r="SJ116" s="294">
        <v>-465400</v>
      </c>
      <c r="SK116" s="294">
        <v>-1055500</v>
      </c>
      <c r="SL116" s="294">
        <v>-252100</v>
      </c>
      <c r="SM116" s="294">
        <v>-3188200</v>
      </c>
      <c r="SN116" s="294">
        <v>0</v>
      </c>
      <c r="SO116" s="294">
        <v>-351900</v>
      </c>
      <c r="SP116" s="294">
        <v>-1877519.2</v>
      </c>
      <c r="SQ116" s="294">
        <v>-237000</v>
      </c>
      <c r="SR116" s="294"/>
      <c r="SS116" s="294">
        <v>-146900</v>
      </c>
      <c r="ST116" s="294">
        <v>0</v>
      </c>
      <c r="SU116" s="294"/>
      <c r="SV116" s="294">
        <v>-444200</v>
      </c>
      <c r="SW116" s="294">
        <v>-5817700</v>
      </c>
      <c r="SX116" s="294">
        <v>-2645220</v>
      </c>
      <c r="SY116" s="294">
        <v>-497100</v>
      </c>
      <c r="SZ116" s="294">
        <v>-360600</v>
      </c>
      <c r="TA116" s="294">
        <v>-416100</v>
      </c>
      <c r="TB116" s="294">
        <v>-1274200</v>
      </c>
      <c r="TC116" s="294">
        <v>-351400</v>
      </c>
      <c r="TD116" s="294">
        <v>-829700</v>
      </c>
      <c r="TE116" s="294">
        <v>-623500</v>
      </c>
      <c r="TF116" s="294">
        <v>-1164800</v>
      </c>
      <c r="TG116" s="294">
        <v>-432790</v>
      </c>
      <c r="TH116" s="294">
        <v>-318500</v>
      </c>
      <c r="TI116" s="294"/>
      <c r="TJ116" s="294">
        <v>-1087258</v>
      </c>
      <c r="TK116" s="294">
        <v>-205219</v>
      </c>
      <c r="TL116" s="294">
        <v>-1815187</v>
      </c>
      <c r="TM116" s="294">
        <v>-2814700</v>
      </c>
      <c r="TN116" s="294">
        <v>-609298</v>
      </c>
      <c r="TO116" s="294">
        <v>-946420</v>
      </c>
      <c r="TP116" s="294">
        <v>-480372</v>
      </c>
      <c r="TQ116" s="294">
        <v>-1187300</v>
      </c>
      <c r="TR116" s="294">
        <v>-737200</v>
      </c>
      <c r="TS116" s="294">
        <v>-4605979</v>
      </c>
      <c r="TT116" s="294">
        <v>-3006148</v>
      </c>
      <c r="TU116" s="294">
        <v>-873818</v>
      </c>
      <c r="TV116" s="294">
        <v>-1468284</v>
      </c>
      <c r="TW116" s="294">
        <v>-449900</v>
      </c>
      <c r="TX116" s="294">
        <v>-384000</v>
      </c>
      <c r="TY116" s="294">
        <v>-430081</v>
      </c>
      <c r="TZ116" s="294">
        <v>-431202</v>
      </c>
      <c r="UA116" s="294"/>
      <c r="UB116" s="294"/>
      <c r="UC116" s="294">
        <v>-1057100</v>
      </c>
      <c r="UD116" s="294">
        <v>-1697800</v>
      </c>
      <c r="UE116" s="294">
        <v>-100000</v>
      </c>
      <c r="UF116" s="294">
        <v>-385900</v>
      </c>
      <c r="UG116" s="294">
        <v>-1658800</v>
      </c>
      <c r="UH116" s="294">
        <v>-239100</v>
      </c>
      <c r="UI116" s="294">
        <v>-456600</v>
      </c>
      <c r="UJ116" s="294"/>
      <c r="UK116" s="294">
        <v>-2471048</v>
      </c>
      <c r="UL116" s="294">
        <v>-1695600</v>
      </c>
      <c r="UM116" s="294">
        <v>-311520</v>
      </c>
      <c r="UN116" s="294">
        <v>-1414700</v>
      </c>
      <c r="UO116" s="294">
        <v>-2896004</v>
      </c>
      <c r="UP116" s="294"/>
      <c r="UQ116" s="294">
        <v>-1156212</v>
      </c>
      <c r="UR116" s="294">
        <v>-1421578</v>
      </c>
      <c r="US116" s="294">
        <v>-5154500</v>
      </c>
      <c r="UT116" s="294">
        <v>-251600</v>
      </c>
      <c r="UU116" s="294">
        <v>-1185590</v>
      </c>
      <c r="UV116" s="294">
        <v>-1262500</v>
      </c>
      <c r="UW116" s="294">
        <v>-720900</v>
      </c>
      <c r="UX116" s="294">
        <v>-77000</v>
      </c>
      <c r="UY116" s="294">
        <v>-475700</v>
      </c>
      <c r="UZ116" s="294">
        <v>-128800</v>
      </c>
      <c r="VA116" s="294">
        <v>-1234600</v>
      </c>
      <c r="VB116" s="294">
        <v>-478735</v>
      </c>
      <c r="VC116" s="294">
        <v>0</v>
      </c>
      <c r="VD116" s="294">
        <v>-818200</v>
      </c>
      <c r="VE116" s="294">
        <v>-228059</v>
      </c>
      <c r="VF116" s="294">
        <v>-492526</v>
      </c>
      <c r="VG116" s="294">
        <v>-442900</v>
      </c>
      <c r="VH116" s="294">
        <v>-2089945</v>
      </c>
      <c r="VI116" s="294">
        <v>-304200</v>
      </c>
      <c r="VJ116" s="294">
        <v>-804572</v>
      </c>
      <c r="VK116" s="294"/>
      <c r="VL116" s="294"/>
      <c r="VM116" s="294">
        <v>-808400</v>
      </c>
      <c r="VN116" s="294">
        <v>-1000600</v>
      </c>
      <c r="VO116" s="294">
        <v>-2126800</v>
      </c>
      <c r="VP116" s="294">
        <v>-3231500</v>
      </c>
      <c r="VQ116" s="294"/>
      <c r="VR116" s="294">
        <v>-787000</v>
      </c>
      <c r="VS116" s="294"/>
      <c r="VT116" s="294"/>
      <c r="VU116" s="294">
        <v>-4039000</v>
      </c>
      <c r="VV116" s="294"/>
      <c r="VW116" s="294">
        <v>0</v>
      </c>
      <c r="VX116" s="294">
        <v>-1074700</v>
      </c>
      <c r="VY116" s="294">
        <v>-373200</v>
      </c>
      <c r="VZ116" s="294">
        <v>-757600</v>
      </c>
      <c r="WA116" s="294"/>
      <c r="WB116" s="294">
        <v>-3460400</v>
      </c>
      <c r="WC116" s="294">
        <v>-733700</v>
      </c>
      <c r="WD116" s="294">
        <v>-2263650.02</v>
      </c>
      <c r="WE116" s="294">
        <v>-393900</v>
      </c>
      <c r="WF116" s="294">
        <v>-778800</v>
      </c>
      <c r="WG116" s="294">
        <v>-1191365</v>
      </c>
      <c r="WH116" s="294">
        <v>-1741700</v>
      </c>
      <c r="WI116" s="294">
        <v>-3067400</v>
      </c>
      <c r="WJ116" s="294">
        <v>-2517600</v>
      </c>
      <c r="WK116" s="294">
        <v>-4500</v>
      </c>
      <c r="WL116" s="294">
        <v>-7705529</v>
      </c>
      <c r="WM116" s="294">
        <v>-1019500</v>
      </c>
      <c r="WN116" s="294">
        <v>-932040</v>
      </c>
      <c r="WO116" s="294">
        <v>-4982600</v>
      </c>
      <c r="WP116" s="294">
        <v>0</v>
      </c>
      <c r="WQ116" s="294">
        <v>-2929700</v>
      </c>
      <c r="WR116" s="294">
        <v>-1119000</v>
      </c>
      <c r="WS116" s="294">
        <v>-496500</v>
      </c>
      <c r="WT116" s="294">
        <v>-3919100</v>
      </c>
      <c r="WU116" s="294"/>
      <c r="WV116" s="294">
        <v>-3831800</v>
      </c>
      <c r="WW116" s="294">
        <v>-3251400</v>
      </c>
      <c r="WX116" s="294">
        <v>-828700</v>
      </c>
      <c r="WY116" s="294">
        <v>0</v>
      </c>
      <c r="WZ116" s="294">
        <v>-752300</v>
      </c>
      <c r="XA116" s="294">
        <v>-397600</v>
      </c>
      <c r="XB116" s="294">
        <v>-608700</v>
      </c>
      <c r="XC116" s="294"/>
      <c r="XD116" s="294">
        <v>-692200</v>
      </c>
      <c r="XE116" s="294"/>
      <c r="XF116" s="294">
        <v>-289900</v>
      </c>
      <c r="XG116" s="294">
        <v>-341850</v>
      </c>
      <c r="XH116" s="294"/>
      <c r="XI116" s="294">
        <v>-2089700</v>
      </c>
      <c r="XJ116" s="294">
        <v>0</v>
      </c>
      <c r="XK116" s="294"/>
      <c r="XL116" s="294">
        <v>-1109900</v>
      </c>
      <c r="XM116" s="294">
        <v>0</v>
      </c>
      <c r="XN116" s="294">
        <v>-1908388</v>
      </c>
      <c r="XO116" s="294">
        <v>-809100</v>
      </c>
      <c r="XP116" s="294">
        <v>-662400</v>
      </c>
      <c r="XQ116" s="294">
        <v>-3344200</v>
      </c>
      <c r="XR116" s="294">
        <v>-1861000</v>
      </c>
      <c r="XS116" s="294">
        <v>-2077300</v>
      </c>
      <c r="XT116" s="294">
        <v>-458500</v>
      </c>
      <c r="XU116" s="294">
        <v>0</v>
      </c>
      <c r="XV116" s="294">
        <v>-730400</v>
      </c>
      <c r="XW116" s="294">
        <v>-348121</v>
      </c>
      <c r="XX116" s="294">
        <v>-467100</v>
      </c>
      <c r="XY116" s="294">
        <v>-414400</v>
      </c>
      <c r="XZ116" s="294">
        <v>-425500</v>
      </c>
      <c r="YA116" s="294">
        <v>-575400</v>
      </c>
      <c r="YB116" s="294">
        <v>-618400</v>
      </c>
      <c r="YC116" s="294">
        <v>-417900</v>
      </c>
      <c r="YD116" s="294">
        <v>-621200</v>
      </c>
      <c r="YE116" s="294"/>
      <c r="YF116" s="294">
        <v>-2040100</v>
      </c>
      <c r="YG116" s="294">
        <v>-3084200</v>
      </c>
      <c r="YH116" s="294">
        <v>0</v>
      </c>
      <c r="YI116" s="294"/>
      <c r="YJ116" s="294">
        <v>-1808800</v>
      </c>
      <c r="YK116" s="294">
        <v>-2340000</v>
      </c>
      <c r="YL116" s="294">
        <v>-621800</v>
      </c>
      <c r="YM116" s="294">
        <v>-12852623</v>
      </c>
      <c r="YN116" s="294">
        <v>-1029100</v>
      </c>
      <c r="YO116" s="294">
        <v>-14400</v>
      </c>
      <c r="YP116" s="294">
        <v>-515990</v>
      </c>
      <c r="YQ116" s="294">
        <v>-764700</v>
      </c>
      <c r="YR116" s="294">
        <v>-129200</v>
      </c>
      <c r="YS116" s="294">
        <v>0</v>
      </c>
      <c r="YT116" s="294">
        <v>-1472000</v>
      </c>
      <c r="YU116" s="294">
        <v>-394000</v>
      </c>
      <c r="YV116" s="294"/>
      <c r="YW116" s="294">
        <v>-102500</v>
      </c>
      <c r="YX116" s="294">
        <v>-502300</v>
      </c>
      <c r="YY116" s="294">
        <v>-576600</v>
      </c>
      <c r="YZ116" s="294">
        <v>0</v>
      </c>
      <c r="ZA116" s="294">
        <v>-1768700</v>
      </c>
      <c r="ZB116" s="294">
        <v>-553100</v>
      </c>
      <c r="ZC116" s="294"/>
      <c r="ZD116" s="294">
        <v>-340300</v>
      </c>
      <c r="ZE116" s="294">
        <v>-1225400</v>
      </c>
      <c r="ZF116" s="294">
        <v>-1033000</v>
      </c>
      <c r="ZG116" s="294">
        <v>-354100</v>
      </c>
      <c r="ZH116" s="294">
        <v>-420700</v>
      </c>
      <c r="ZI116" s="294">
        <v>-277600</v>
      </c>
      <c r="ZJ116" s="294">
        <v>-451330</v>
      </c>
      <c r="ZK116" s="294">
        <v>-1096000</v>
      </c>
      <c r="ZL116" s="294"/>
      <c r="ZM116" s="294">
        <v>-200000</v>
      </c>
      <c r="ZN116" s="294">
        <v>-2451900</v>
      </c>
      <c r="ZO116" s="294">
        <v>0</v>
      </c>
      <c r="ZP116" s="294">
        <v>-957900</v>
      </c>
      <c r="ZQ116" s="294">
        <v>-1333500</v>
      </c>
      <c r="ZR116" s="294">
        <v>-488400</v>
      </c>
      <c r="ZS116" s="294">
        <v>-819700</v>
      </c>
      <c r="ZT116" s="294">
        <v>-802100</v>
      </c>
      <c r="ZU116" s="294">
        <v>-2124343</v>
      </c>
      <c r="ZV116" s="294">
        <v>-338600</v>
      </c>
      <c r="ZW116" s="294">
        <v>-87000</v>
      </c>
      <c r="ZX116" s="294">
        <v>-228100</v>
      </c>
      <c r="ZY116" s="294">
        <v>-522200</v>
      </c>
      <c r="ZZ116" s="294"/>
      <c r="AAA116" s="294">
        <v>-542900</v>
      </c>
      <c r="AAB116" s="294">
        <v>-561300</v>
      </c>
      <c r="AAC116" s="294">
        <v>-437300</v>
      </c>
      <c r="AAD116" s="294">
        <v>-800500</v>
      </c>
      <c r="AAE116" s="294">
        <v>-148200</v>
      </c>
      <c r="AAF116" s="294">
        <v>-264200</v>
      </c>
      <c r="AAG116" s="294">
        <v>-228049</v>
      </c>
      <c r="AAH116" s="294">
        <v>-2000000</v>
      </c>
      <c r="AAI116" s="294">
        <v>-37700</v>
      </c>
      <c r="AAJ116" s="294">
        <v>-231700</v>
      </c>
      <c r="AAK116" s="294">
        <v>-831600</v>
      </c>
      <c r="AAL116" s="294">
        <v>-392600</v>
      </c>
      <c r="AAM116" s="294">
        <v>-686400</v>
      </c>
      <c r="AAN116" s="294">
        <v>-387400</v>
      </c>
      <c r="AAO116" s="294"/>
      <c r="AAP116" s="294">
        <v>-648600</v>
      </c>
      <c r="AAQ116" s="294">
        <v>-216200</v>
      </c>
      <c r="AAR116" s="294">
        <v>-1860300</v>
      </c>
      <c r="AAS116" s="294">
        <v>-1430700</v>
      </c>
      <c r="AAT116" s="294">
        <v>0</v>
      </c>
      <c r="AAU116" s="294">
        <v>-811687</v>
      </c>
      <c r="AAV116" s="294">
        <v>-799400</v>
      </c>
      <c r="AAW116" s="294">
        <v>-3075297</v>
      </c>
      <c r="AAX116" s="294">
        <v>-122400</v>
      </c>
      <c r="AAY116" s="294">
        <v>-609800</v>
      </c>
      <c r="AAZ116" s="294">
        <v>-4874500</v>
      </c>
      <c r="ABA116" s="294">
        <v>-2277000</v>
      </c>
      <c r="ABB116" s="294">
        <v>-904300</v>
      </c>
      <c r="ABC116" s="294">
        <v>-1009300</v>
      </c>
      <c r="ABD116" s="294">
        <v>-1322300</v>
      </c>
      <c r="ABE116" s="294">
        <v>-117000</v>
      </c>
      <c r="ABF116" s="294">
        <v>-569000</v>
      </c>
      <c r="ABG116" s="294">
        <v>-113600</v>
      </c>
      <c r="ABH116" s="294">
        <v>-2506800</v>
      </c>
      <c r="ABI116" s="294">
        <v>-16427300</v>
      </c>
      <c r="ABJ116" s="294">
        <v>-392900</v>
      </c>
      <c r="ABK116" s="294">
        <v>0</v>
      </c>
      <c r="ABL116" s="294">
        <v>-393200</v>
      </c>
      <c r="ABM116" s="294">
        <v>0</v>
      </c>
      <c r="ABN116" s="294">
        <v>-645600</v>
      </c>
      <c r="ABO116" s="294"/>
      <c r="ABP116" s="294">
        <v>-557000</v>
      </c>
      <c r="ABQ116" s="294">
        <v>-3844100</v>
      </c>
      <c r="ABR116" s="294">
        <v>-2800000</v>
      </c>
      <c r="ABS116" s="294">
        <v>-2000100</v>
      </c>
      <c r="ABT116" s="294">
        <v>-1288000</v>
      </c>
      <c r="ABU116" s="294">
        <v>-2972000</v>
      </c>
      <c r="ABV116" s="294">
        <v>-1286700</v>
      </c>
      <c r="ABW116" s="294">
        <v>-679700</v>
      </c>
      <c r="ABX116" s="294"/>
      <c r="ABY116" s="294">
        <v>-590400</v>
      </c>
      <c r="ABZ116" s="294">
        <v>-1229200</v>
      </c>
      <c r="ACA116" s="294">
        <v>-460366</v>
      </c>
      <c r="ACB116" s="294">
        <v>-422000</v>
      </c>
      <c r="ACC116" s="294">
        <v>-536300</v>
      </c>
      <c r="ACD116" s="294"/>
      <c r="ACE116" s="294">
        <v>0</v>
      </c>
      <c r="ACF116" s="294">
        <v>-287500</v>
      </c>
      <c r="ACG116" s="294">
        <v>-1053200</v>
      </c>
      <c r="ACH116" s="294">
        <v>-369600</v>
      </c>
      <c r="ACI116" s="294"/>
      <c r="ACJ116" s="294">
        <v>-1458644</v>
      </c>
      <c r="ACK116" s="294"/>
      <c r="ACL116" s="294">
        <v>-2517900</v>
      </c>
      <c r="ACM116" s="294"/>
      <c r="ACN116" s="294">
        <v>-4929400</v>
      </c>
      <c r="ACO116" s="294"/>
      <c r="ACP116" s="294"/>
      <c r="ACQ116" s="294"/>
      <c r="ACR116" s="294">
        <v>-1581900</v>
      </c>
      <c r="ACS116" s="294"/>
      <c r="ACT116" s="294">
        <v>-3501100</v>
      </c>
      <c r="ACU116" s="294"/>
      <c r="ACV116" s="294">
        <v>-1680000</v>
      </c>
      <c r="ACW116" s="294">
        <v>-2196600</v>
      </c>
      <c r="ACX116" s="294">
        <v>-1821250</v>
      </c>
      <c r="ACY116" s="294"/>
      <c r="ACZ116" s="294">
        <v>-344150</v>
      </c>
      <c r="ADA116" s="294">
        <v>-2031600</v>
      </c>
      <c r="ADB116" s="294"/>
      <c r="ADC116" s="294">
        <v>-601200</v>
      </c>
      <c r="ADD116" s="294">
        <v>-897800</v>
      </c>
      <c r="ADE116" s="294"/>
      <c r="ADF116" s="294"/>
      <c r="ADG116" s="294">
        <v>-5600400</v>
      </c>
      <c r="ADH116" s="294">
        <v>-642400</v>
      </c>
      <c r="ADI116" s="294">
        <v>-3225600</v>
      </c>
      <c r="ADJ116" s="294">
        <v>-4088200</v>
      </c>
      <c r="ADK116" s="294">
        <v>-561000</v>
      </c>
      <c r="ADL116" s="294">
        <v>-470800</v>
      </c>
      <c r="ADM116" s="294">
        <v>-600000</v>
      </c>
      <c r="ADN116" s="294">
        <v>-3537700</v>
      </c>
      <c r="ADO116" s="294"/>
      <c r="ADP116" s="294">
        <v>-8617400</v>
      </c>
      <c r="ADQ116" s="294">
        <v>-2835700</v>
      </c>
      <c r="ADR116" s="294"/>
      <c r="ADS116" s="294"/>
      <c r="ADT116" s="294">
        <v>-1105000</v>
      </c>
      <c r="ADU116" s="294">
        <v>0</v>
      </c>
      <c r="ADV116" s="294">
        <v>-171000</v>
      </c>
      <c r="ADW116" s="294">
        <v>-343700</v>
      </c>
      <c r="ADX116" s="294">
        <v>-437700</v>
      </c>
      <c r="ADY116" s="294"/>
      <c r="ADZ116" s="294">
        <v>-28675220</v>
      </c>
      <c r="AEA116" s="294">
        <v>-1564500</v>
      </c>
      <c r="AEB116" s="294">
        <v>-985700</v>
      </c>
      <c r="AEC116" s="294">
        <v>-732000</v>
      </c>
      <c r="AED116" s="294">
        <v>-3000000</v>
      </c>
      <c r="AEE116" s="294">
        <v>-1515300</v>
      </c>
      <c r="AEF116" s="294">
        <v>-538300</v>
      </c>
      <c r="AEG116" s="294"/>
      <c r="AEH116" s="294">
        <v>-741600</v>
      </c>
      <c r="AEI116" s="294"/>
      <c r="AEJ116" s="294">
        <v>-531000</v>
      </c>
      <c r="AEK116" s="294">
        <v>-1474600</v>
      </c>
      <c r="AEL116" s="294"/>
      <c r="AEM116" s="294">
        <v>-640400</v>
      </c>
      <c r="AEN116" s="294">
        <v>-1740900</v>
      </c>
      <c r="AEO116" s="294">
        <v>-664900</v>
      </c>
      <c r="AEP116" s="294">
        <v>-925900</v>
      </c>
      <c r="AEQ116" s="294"/>
      <c r="AER116" s="294">
        <v>-2328922</v>
      </c>
      <c r="AES116" s="294"/>
      <c r="AET116" s="294">
        <v>-4051500</v>
      </c>
      <c r="AEU116" s="294">
        <v>-1868275</v>
      </c>
      <c r="AEV116" s="294">
        <v>-1616900</v>
      </c>
      <c r="AEW116" s="294">
        <v>-1175700</v>
      </c>
      <c r="AEX116" s="294">
        <v>-5260400</v>
      </c>
      <c r="AEY116" s="294">
        <v>-3027900</v>
      </c>
      <c r="AEZ116" s="294">
        <v>-1762800</v>
      </c>
      <c r="AFA116" s="294">
        <v>-1719200</v>
      </c>
      <c r="AFB116" s="294">
        <v>-670200</v>
      </c>
      <c r="AFC116" s="294">
        <v>-16405700</v>
      </c>
      <c r="AFD116" s="294">
        <v>-1920000</v>
      </c>
      <c r="AFE116" s="294">
        <v>-1150000</v>
      </c>
      <c r="AFF116" s="294">
        <v>-4053400</v>
      </c>
      <c r="AFG116" s="294">
        <v>-3579900</v>
      </c>
      <c r="AFH116" s="294">
        <v>-1375400</v>
      </c>
      <c r="AFI116" s="294">
        <v>-4187300</v>
      </c>
      <c r="AFJ116" s="294">
        <v>-1078100</v>
      </c>
      <c r="AFK116" s="294">
        <v>0</v>
      </c>
      <c r="AFL116" s="294">
        <v>-2034236.43</v>
      </c>
      <c r="AFM116" s="294">
        <v>-3946400</v>
      </c>
      <c r="AFN116" s="294">
        <v>-643200</v>
      </c>
      <c r="AFO116" s="294">
        <v>-5851500</v>
      </c>
      <c r="AFP116" s="294">
        <v>-1292955</v>
      </c>
      <c r="AFQ116" s="294">
        <v>-3690600</v>
      </c>
      <c r="AFR116" s="294">
        <v>-7665891.4500000002</v>
      </c>
      <c r="AFS116" s="294">
        <v>-2753000</v>
      </c>
      <c r="AFT116" s="294">
        <v>-3624100</v>
      </c>
      <c r="AFU116" s="294">
        <v>-3715200</v>
      </c>
      <c r="AFV116" s="294">
        <v>-2590500</v>
      </c>
      <c r="AFW116" s="294">
        <v>-159400</v>
      </c>
      <c r="AFX116" s="294">
        <v>-7311910.7699999996</v>
      </c>
      <c r="AFY116" s="294">
        <v>-1664600</v>
      </c>
      <c r="AFZ116" s="294">
        <v>-6026000</v>
      </c>
      <c r="AGA116" s="294">
        <v>-1160616.57</v>
      </c>
      <c r="AGB116" s="294"/>
      <c r="AGC116" s="294">
        <v>-2252400</v>
      </c>
      <c r="AGD116" s="294">
        <v>-2160000</v>
      </c>
      <c r="AGE116" s="294">
        <v>-188480</v>
      </c>
      <c r="AGF116" s="294">
        <v>-4400800</v>
      </c>
      <c r="AGG116" s="294">
        <v>-1960900</v>
      </c>
      <c r="AGH116" s="294">
        <v>-929200</v>
      </c>
      <c r="AGI116" s="294">
        <v>-1017200</v>
      </c>
      <c r="AGJ116" s="294">
        <v>-378100</v>
      </c>
      <c r="AGK116" s="294">
        <v>-1668053</v>
      </c>
      <c r="AGL116" s="294">
        <v>-2055400</v>
      </c>
      <c r="AGM116" s="294">
        <v>-5500000</v>
      </c>
      <c r="AGN116" s="294">
        <v>-4194166.67</v>
      </c>
      <c r="AGO116" s="294">
        <v>-2615600</v>
      </c>
      <c r="AGP116" s="294">
        <v>-2220000</v>
      </c>
      <c r="AGQ116" s="294">
        <v>-11760000</v>
      </c>
      <c r="AGR116" s="294">
        <v>-6777200</v>
      </c>
      <c r="AGS116" s="294">
        <v>-3636000</v>
      </c>
      <c r="AGT116" s="294">
        <v>-262000</v>
      </c>
      <c r="AGU116" s="294"/>
      <c r="AGV116" s="294"/>
      <c r="AGW116" s="294">
        <v>-1466100</v>
      </c>
      <c r="AGX116" s="294">
        <v>-5553400</v>
      </c>
      <c r="AGY116" s="294">
        <v>-9928959</v>
      </c>
      <c r="AGZ116" s="294">
        <v>-1416800</v>
      </c>
      <c r="AHA116" s="294">
        <v>-840200</v>
      </c>
      <c r="AHB116" s="294">
        <v>-3941100</v>
      </c>
      <c r="AHC116" s="294">
        <v>-872400</v>
      </c>
      <c r="AHD116" s="294">
        <v>-3488500</v>
      </c>
      <c r="AHE116" s="294">
        <v>-845800</v>
      </c>
      <c r="AHF116" s="294">
        <v>-1372600</v>
      </c>
      <c r="AHG116" s="294">
        <v>-1749000</v>
      </c>
      <c r="AHH116" s="294">
        <v>-2850000</v>
      </c>
      <c r="AHI116" s="294">
        <v>-670600</v>
      </c>
      <c r="AHJ116" s="294">
        <v>-60800</v>
      </c>
      <c r="AHK116" s="294">
        <v>-560800</v>
      </c>
      <c r="AHL116" s="294"/>
      <c r="AHM116" s="294">
        <v>-845500</v>
      </c>
      <c r="AHN116" s="294">
        <v>-1160400</v>
      </c>
      <c r="AHO116" s="294">
        <v>-540000</v>
      </c>
      <c r="AHP116" s="294">
        <v>-987900</v>
      </c>
      <c r="AHQ116" s="294">
        <v>-613400</v>
      </c>
      <c r="AHR116" s="331">
        <v>-1317700</v>
      </c>
      <c r="AHS116" s="294">
        <f t="shared" si="51"/>
        <v>-1205708606.7400002</v>
      </c>
      <c r="AHT116" s="269" t="b">
        <f t="shared" si="52"/>
        <v>1</v>
      </c>
      <c r="AHU116" s="269" t="s">
        <v>6278</v>
      </c>
      <c r="AHV116" s="269" t="s">
        <v>6175</v>
      </c>
      <c r="AHW116" s="269" t="s">
        <v>6176</v>
      </c>
    </row>
    <row r="117" spans="1:907" ht="24.6" x14ac:dyDescent="0.7">
      <c r="A117" s="268" t="s">
        <v>6278</v>
      </c>
      <c r="B117" s="268" t="s">
        <v>6177</v>
      </c>
      <c r="C117" s="269" t="s">
        <v>6178</v>
      </c>
      <c r="D117" s="294">
        <v>-72650</v>
      </c>
      <c r="E117" s="294">
        <v>-10350</v>
      </c>
      <c r="F117" s="294"/>
      <c r="G117" s="294">
        <v>0</v>
      </c>
      <c r="H117" s="294"/>
      <c r="I117" s="294"/>
      <c r="J117" s="294"/>
      <c r="K117" s="294"/>
      <c r="L117" s="294"/>
      <c r="M117" s="294">
        <v>-246250</v>
      </c>
      <c r="N117" s="294">
        <v>-141850</v>
      </c>
      <c r="O117" s="294"/>
      <c r="P117" s="294"/>
      <c r="Q117" s="294"/>
      <c r="R117" s="294"/>
      <c r="S117" s="294"/>
      <c r="T117" s="294"/>
      <c r="U117" s="294"/>
      <c r="V117" s="294"/>
      <c r="W117" s="294"/>
      <c r="X117" s="294">
        <v>-280425</v>
      </c>
      <c r="Y117" s="294"/>
      <c r="Z117" s="294"/>
      <c r="AA117" s="294"/>
      <c r="AB117" s="294">
        <v>-2405950</v>
      </c>
      <c r="AC117" s="294"/>
      <c r="AD117" s="294"/>
      <c r="AE117" s="294"/>
      <c r="AF117" s="294"/>
      <c r="AG117" s="294"/>
      <c r="AH117" s="294">
        <v>0</v>
      </c>
      <c r="AI117" s="294"/>
      <c r="AJ117" s="294"/>
      <c r="AK117" s="294">
        <v>0</v>
      </c>
      <c r="AL117" s="294">
        <v>-710294</v>
      </c>
      <c r="AM117" s="294"/>
      <c r="AN117" s="294"/>
      <c r="AO117" s="294">
        <v>-13350</v>
      </c>
      <c r="AP117" s="294"/>
      <c r="AQ117" s="294"/>
      <c r="AR117" s="294"/>
      <c r="AS117" s="294"/>
      <c r="AT117" s="294"/>
      <c r="AU117" s="294"/>
      <c r="AV117" s="294"/>
      <c r="AW117" s="294"/>
      <c r="AX117" s="294"/>
      <c r="AY117" s="294">
        <v>-99285</v>
      </c>
      <c r="AZ117" s="294"/>
      <c r="BA117" s="294">
        <v>-26160</v>
      </c>
      <c r="BB117" s="294">
        <v>-48000</v>
      </c>
      <c r="BC117" s="294"/>
      <c r="BD117" s="294"/>
      <c r="BE117" s="294"/>
      <c r="BF117" s="294"/>
      <c r="BG117" s="294">
        <v>-5000</v>
      </c>
      <c r="BH117" s="294">
        <v>-20000</v>
      </c>
      <c r="BI117" s="294">
        <v>-973875</v>
      </c>
      <c r="BJ117" s="294"/>
      <c r="BK117" s="294"/>
      <c r="BL117" s="294">
        <v>-817370</v>
      </c>
      <c r="BM117" s="294"/>
      <c r="BN117" s="294"/>
      <c r="BO117" s="294"/>
      <c r="BP117" s="294"/>
      <c r="BQ117" s="294"/>
      <c r="BR117" s="294"/>
      <c r="BS117" s="294"/>
      <c r="BT117" s="294">
        <v>-34800</v>
      </c>
      <c r="BU117" s="294">
        <v>-339758</v>
      </c>
      <c r="BV117" s="294">
        <v>-90750</v>
      </c>
      <c r="BW117" s="294">
        <v>-5800</v>
      </c>
      <c r="BX117" s="294">
        <v>0</v>
      </c>
      <c r="BY117" s="294"/>
      <c r="BZ117" s="294"/>
      <c r="CA117" s="294"/>
      <c r="CB117" s="294"/>
      <c r="CC117" s="294">
        <v>-715630.55</v>
      </c>
      <c r="CD117" s="294">
        <v>0</v>
      </c>
      <c r="CE117" s="294">
        <v>-3600</v>
      </c>
      <c r="CF117" s="294"/>
      <c r="CG117" s="294">
        <v>-433950</v>
      </c>
      <c r="CH117" s="294"/>
      <c r="CI117" s="294"/>
      <c r="CJ117" s="294"/>
      <c r="CK117" s="294"/>
      <c r="CL117" s="294"/>
      <c r="CM117" s="294"/>
      <c r="CN117" s="294"/>
      <c r="CO117" s="294"/>
      <c r="CP117" s="294"/>
      <c r="CQ117" s="294"/>
      <c r="CR117" s="294"/>
      <c r="CS117" s="294"/>
      <c r="CT117" s="294"/>
      <c r="CU117" s="294"/>
      <c r="CV117" s="294"/>
      <c r="CW117" s="294"/>
      <c r="CX117" s="294">
        <v>-5000</v>
      </c>
      <c r="CY117" s="294">
        <v>-20000</v>
      </c>
      <c r="CZ117" s="294">
        <v>-56800</v>
      </c>
      <c r="DA117" s="294"/>
      <c r="DB117" s="294"/>
      <c r="DC117" s="294"/>
      <c r="DD117" s="294">
        <v>-846625</v>
      </c>
      <c r="DE117" s="294">
        <v>-1595250</v>
      </c>
      <c r="DF117" s="294">
        <v>-289375</v>
      </c>
      <c r="DG117" s="294"/>
      <c r="DH117" s="294">
        <v>-345500</v>
      </c>
      <c r="DI117" s="294"/>
      <c r="DJ117" s="294">
        <v>-441125</v>
      </c>
      <c r="DK117" s="294"/>
      <c r="DL117" s="294"/>
      <c r="DM117" s="294">
        <v>-1249887.5</v>
      </c>
      <c r="DN117" s="294"/>
      <c r="DO117" s="294">
        <v>-25000</v>
      </c>
      <c r="DP117" s="294">
        <v>-10000</v>
      </c>
      <c r="DQ117" s="294"/>
      <c r="DR117" s="294"/>
      <c r="DS117" s="294">
        <v>-109900</v>
      </c>
      <c r="DT117" s="294"/>
      <c r="DU117" s="294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>
        <v>-1950</v>
      </c>
      <c r="EI117" s="294">
        <v>-34350</v>
      </c>
      <c r="EJ117" s="294"/>
      <c r="EK117" s="294"/>
      <c r="EL117" s="294"/>
      <c r="EM117" s="294">
        <v>-23700</v>
      </c>
      <c r="EN117" s="294"/>
      <c r="EO117" s="294"/>
      <c r="EP117" s="294"/>
      <c r="EQ117" s="294"/>
      <c r="ER117" s="294"/>
      <c r="ES117" s="294"/>
      <c r="ET117" s="294">
        <v>-321195</v>
      </c>
      <c r="EU117" s="294"/>
      <c r="EV117" s="294"/>
      <c r="EW117" s="294">
        <v>-24828375</v>
      </c>
      <c r="EX117" s="294">
        <v>-5000</v>
      </c>
      <c r="EY117" s="294">
        <v>-13500</v>
      </c>
      <c r="EZ117" s="294"/>
      <c r="FA117" s="294"/>
      <c r="FB117" s="294"/>
      <c r="FC117" s="294"/>
      <c r="FD117" s="294">
        <v>-5750</v>
      </c>
      <c r="FE117" s="294">
        <v>-77910</v>
      </c>
      <c r="FF117" s="294">
        <v>-8450</v>
      </c>
      <c r="FG117" s="294">
        <v>-222799</v>
      </c>
      <c r="FH117" s="294">
        <v>-5000</v>
      </c>
      <c r="FI117" s="294"/>
      <c r="FJ117" s="294"/>
      <c r="FK117" s="294"/>
      <c r="FL117" s="294"/>
      <c r="FM117" s="294">
        <v>-76650</v>
      </c>
      <c r="FN117" s="294"/>
      <c r="FO117" s="294"/>
      <c r="FP117" s="294">
        <v>-2400</v>
      </c>
      <c r="FQ117" s="294"/>
      <c r="FR117" s="294"/>
      <c r="FS117" s="294"/>
      <c r="FT117" s="294"/>
      <c r="FU117" s="294"/>
      <c r="FV117" s="294"/>
      <c r="FW117" s="294"/>
      <c r="FX117" s="294"/>
      <c r="FY117" s="294">
        <v>-3000</v>
      </c>
      <c r="FZ117" s="294"/>
      <c r="GA117" s="294"/>
      <c r="GB117" s="294">
        <v>-6080</v>
      </c>
      <c r="GC117" s="294"/>
      <c r="GD117" s="294"/>
      <c r="GE117" s="294"/>
      <c r="GF117" s="294">
        <v>-28000</v>
      </c>
      <c r="GG117" s="294">
        <v>-1200</v>
      </c>
      <c r="GH117" s="294"/>
      <c r="GI117" s="294"/>
      <c r="GJ117" s="294">
        <v>-63000</v>
      </c>
      <c r="GK117" s="294">
        <v>-37535</v>
      </c>
      <c r="GL117" s="294"/>
      <c r="GM117" s="294">
        <v>-3065062.5</v>
      </c>
      <c r="GN117" s="294"/>
      <c r="GO117" s="294">
        <v>-29100</v>
      </c>
      <c r="GP117" s="294">
        <v>0</v>
      </c>
      <c r="GQ117" s="294"/>
      <c r="GR117" s="294">
        <v>-172123</v>
      </c>
      <c r="GS117" s="294"/>
      <c r="GT117" s="294">
        <v>-131000</v>
      </c>
      <c r="GU117" s="294"/>
      <c r="GV117" s="294"/>
      <c r="GW117" s="294"/>
      <c r="GX117" s="294"/>
      <c r="GY117" s="294"/>
      <c r="GZ117" s="294"/>
      <c r="HA117" s="294">
        <v>-711090</v>
      </c>
      <c r="HB117" s="294"/>
      <c r="HC117" s="294"/>
      <c r="HD117" s="294">
        <v>-830437</v>
      </c>
      <c r="HE117" s="294"/>
      <c r="HF117" s="294">
        <v>-3422785</v>
      </c>
      <c r="HG117" s="294">
        <v>-15000</v>
      </c>
      <c r="HH117" s="294"/>
      <c r="HI117" s="294"/>
      <c r="HJ117" s="294"/>
      <c r="HK117" s="294"/>
      <c r="HL117" s="294"/>
      <c r="HM117" s="294"/>
      <c r="HN117" s="294">
        <v>-17800</v>
      </c>
      <c r="HO117" s="294"/>
      <c r="HP117" s="294">
        <v>-5000</v>
      </c>
      <c r="HQ117" s="294"/>
      <c r="HR117" s="294"/>
      <c r="HS117" s="294"/>
      <c r="HT117" s="294"/>
      <c r="HU117" s="294"/>
      <c r="HV117" s="294"/>
      <c r="HW117" s="294"/>
      <c r="HX117" s="294"/>
      <c r="HY117" s="294"/>
      <c r="HZ117" s="294"/>
      <c r="IA117" s="294"/>
      <c r="IB117" s="294"/>
      <c r="IC117" s="294"/>
      <c r="ID117" s="294"/>
      <c r="IE117" s="294"/>
      <c r="IF117" s="294"/>
      <c r="IG117" s="294"/>
      <c r="IH117" s="294">
        <v>-63240</v>
      </c>
      <c r="II117" s="294"/>
      <c r="IJ117" s="294"/>
      <c r="IK117" s="294">
        <v>-297000</v>
      </c>
      <c r="IL117" s="294"/>
      <c r="IM117" s="294"/>
      <c r="IN117" s="294"/>
      <c r="IO117" s="294">
        <v>-113100</v>
      </c>
      <c r="IP117" s="294">
        <v>-1257500</v>
      </c>
      <c r="IQ117" s="294">
        <v>-1028000</v>
      </c>
      <c r="IR117" s="294">
        <v>-1070218.75</v>
      </c>
      <c r="IS117" s="294"/>
      <c r="IT117" s="294"/>
      <c r="IU117" s="294">
        <v>-140000</v>
      </c>
      <c r="IV117" s="294">
        <v>-70000</v>
      </c>
      <c r="IW117" s="294"/>
      <c r="IX117" s="294"/>
      <c r="IY117" s="294"/>
      <c r="IZ117" s="294"/>
      <c r="JA117" s="294"/>
      <c r="JB117" s="294"/>
      <c r="JC117" s="294">
        <v>-36280</v>
      </c>
      <c r="JD117" s="294"/>
      <c r="JE117" s="294"/>
      <c r="JF117" s="294"/>
      <c r="JG117" s="294"/>
      <c r="JH117" s="294"/>
      <c r="JI117" s="294"/>
      <c r="JJ117" s="294">
        <v>-3900</v>
      </c>
      <c r="JK117" s="294"/>
      <c r="JL117" s="294"/>
      <c r="JM117" s="294"/>
      <c r="JN117" s="294"/>
      <c r="JO117" s="294"/>
      <c r="JP117" s="294"/>
      <c r="JQ117" s="294"/>
      <c r="JR117" s="294">
        <v>-1352982.5</v>
      </c>
      <c r="JS117" s="294"/>
      <c r="JT117" s="294"/>
      <c r="JU117" s="294"/>
      <c r="JV117" s="294"/>
      <c r="JW117" s="294"/>
      <c r="JX117" s="294">
        <v>0</v>
      </c>
      <c r="JY117" s="294"/>
      <c r="JZ117" s="294"/>
      <c r="KA117" s="294"/>
      <c r="KB117" s="294"/>
      <c r="KC117" s="294"/>
      <c r="KD117" s="294"/>
      <c r="KE117" s="294"/>
      <c r="KF117" s="294"/>
      <c r="KG117" s="294"/>
      <c r="KH117" s="294">
        <v>-78030000</v>
      </c>
      <c r="KI117" s="294"/>
      <c r="KJ117" s="294"/>
      <c r="KK117" s="294"/>
      <c r="KL117" s="294"/>
      <c r="KM117" s="294"/>
      <c r="KN117" s="294">
        <v>0</v>
      </c>
      <c r="KO117" s="294"/>
      <c r="KP117" s="294"/>
      <c r="KQ117" s="294"/>
      <c r="KR117" s="294"/>
      <c r="KS117" s="294"/>
      <c r="KT117" s="294"/>
      <c r="KU117" s="294"/>
      <c r="KV117" s="294">
        <v>-5250</v>
      </c>
      <c r="KW117" s="294"/>
      <c r="KX117" s="294"/>
      <c r="KY117" s="294"/>
      <c r="KZ117" s="294">
        <v>-70200</v>
      </c>
      <c r="LA117" s="294"/>
      <c r="LB117" s="294">
        <v>-1380910.5</v>
      </c>
      <c r="LC117" s="294"/>
      <c r="LD117" s="294"/>
      <c r="LE117" s="294"/>
      <c r="LF117" s="294">
        <v>0</v>
      </c>
      <c r="LG117" s="294"/>
      <c r="LH117" s="294"/>
      <c r="LI117" s="294"/>
      <c r="LJ117" s="294"/>
      <c r="LK117" s="294"/>
      <c r="LL117" s="294"/>
      <c r="LM117" s="294"/>
      <c r="LN117" s="294">
        <v>-1270400</v>
      </c>
      <c r="LO117" s="294">
        <v>0</v>
      </c>
      <c r="LP117" s="294"/>
      <c r="LQ117" s="294">
        <v>-40000</v>
      </c>
      <c r="LR117" s="294">
        <v>-4800</v>
      </c>
      <c r="LS117" s="294"/>
      <c r="LT117" s="294"/>
      <c r="LU117" s="294"/>
      <c r="LV117" s="294"/>
      <c r="LW117" s="294"/>
      <c r="LX117" s="294">
        <v>0</v>
      </c>
      <c r="LY117" s="294"/>
      <c r="LZ117" s="294">
        <v>0</v>
      </c>
      <c r="MA117" s="294"/>
      <c r="MB117" s="294"/>
      <c r="MC117" s="294"/>
      <c r="MD117" s="294"/>
      <c r="ME117" s="294"/>
      <c r="MF117" s="294">
        <v>-85000</v>
      </c>
      <c r="MG117" s="294">
        <v>0</v>
      </c>
      <c r="MH117" s="294">
        <v>-85500</v>
      </c>
      <c r="MI117" s="294"/>
      <c r="MJ117" s="294"/>
      <c r="MK117" s="294"/>
      <c r="ML117" s="294"/>
      <c r="MM117" s="294">
        <v>-401749.99</v>
      </c>
      <c r="MN117" s="294"/>
      <c r="MO117" s="294">
        <v>-29660</v>
      </c>
      <c r="MP117" s="294">
        <v>-30000</v>
      </c>
      <c r="MQ117" s="294"/>
      <c r="MR117" s="294"/>
      <c r="MS117" s="294"/>
      <c r="MT117" s="294"/>
      <c r="MU117" s="294"/>
      <c r="MV117" s="294"/>
      <c r="MW117" s="294">
        <v>-1600000</v>
      </c>
      <c r="MX117" s="294">
        <v>-3000000</v>
      </c>
      <c r="MY117" s="294">
        <v>-317600</v>
      </c>
      <c r="MZ117" s="294"/>
      <c r="NA117" s="294">
        <v>-43769</v>
      </c>
      <c r="NB117" s="294"/>
      <c r="NC117" s="294">
        <v>-34040</v>
      </c>
      <c r="ND117" s="294"/>
      <c r="NE117" s="294"/>
      <c r="NF117" s="294"/>
      <c r="NG117" s="294"/>
      <c r="NH117" s="294">
        <v>-1000</v>
      </c>
      <c r="NI117" s="294"/>
      <c r="NJ117" s="294"/>
      <c r="NK117" s="294"/>
      <c r="NL117" s="294"/>
      <c r="NM117" s="294"/>
      <c r="NN117" s="294"/>
      <c r="NO117" s="294">
        <v>-22800</v>
      </c>
      <c r="NP117" s="294">
        <v>-2679950</v>
      </c>
      <c r="NQ117" s="294"/>
      <c r="NR117" s="294"/>
      <c r="NS117" s="294"/>
      <c r="NT117" s="294">
        <v>-200419.35</v>
      </c>
      <c r="NU117" s="294">
        <v>-216725.6</v>
      </c>
      <c r="NV117" s="294">
        <v>-241769.35</v>
      </c>
      <c r="NW117" s="294"/>
      <c r="NX117" s="294">
        <v>-5327754.26</v>
      </c>
      <c r="NY117" s="294">
        <v>-265747.5</v>
      </c>
      <c r="NZ117" s="294"/>
      <c r="OA117" s="294"/>
      <c r="OB117" s="294"/>
      <c r="OC117" s="294"/>
      <c r="OD117" s="294"/>
      <c r="OE117" s="294"/>
      <c r="OF117" s="294"/>
      <c r="OG117" s="294">
        <v>-30340</v>
      </c>
      <c r="OH117" s="294"/>
      <c r="OI117" s="294"/>
      <c r="OJ117" s="294"/>
      <c r="OK117" s="294"/>
      <c r="OL117" s="294">
        <v>-160600</v>
      </c>
      <c r="OM117" s="294">
        <v>-1279515</v>
      </c>
      <c r="ON117" s="294">
        <v>-5000</v>
      </c>
      <c r="OO117" s="294">
        <v>-614000</v>
      </c>
      <c r="OP117" s="294"/>
      <c r="OQ117" s="294">
        <v>0</v>
      </c>
      <c r="OR117" s="294"/>
      <c r="OS117" s="294">
        <v>-114270</v>
      </c>
      <c r="OT117" s="294"/>
      <c r="OU117" s="294"/>
      <c r="OV117" s="294"/>
      <c r="OW117" s="294">
        <v>-35790</v>
      </c>
      <c r="OX117" s="294"/>
      <c r="OY117" s="294"/>
      <c r="OZ117" s="294"/>
      <c r="PA117" s="294"/>
      <c r="PB117" s="294"/>
      <c r="PC117" s="294">
        <v>-716225</v>
      </c>
      <c r="PD117" s="294"/>
      <c r="PE117" s="294"/>
      <c r="PF117" s="294"/>
      <c r="PG117" s="294"/>
      <c r="PH117" s="294"/>
      <c r="PI117" s="294"/>
      <c r="PJ117" s="294"/>
      <c r="PK117" s="294"/>
      <c r="PL117" s="294"/>
      <c r="PM117" s="294"/>
      <c r="PN117" s="294"/>
      <c r="PO117" s="294"/>
      <c r="PP117" s="294"/>
      <c r="PQ117" s="294">
        <v>-142812</v>
      </c>
      <c r="PR117" s="294"/>
      <c r="PS117" s="294"/>
      <c r="PT117" s="294">
        <v>-3154840</v>
      </c>
      <c r="PU117" s="294"/>
      <c r="PV117" s="294"/>
      <c r="PW117" s="294">
        <v>-34720</v>
      </c>
      <c r="PX117" s="294"/>
      <c r="PY117" s="294">
        <v>-15000</v>
      </c>
      <c r="PZ117" s="294">
        <v>-60000</v>
      </c>
      <c r="QA117" s="294"/>
      <c r="QB117" s="294"/>
      <c r="QC117" s="294"/>
      <c r="QD117" s="294"/>
      <c r="QE117" s="294"/>
      <c r="QF117" s="294"/>
      <c r="QG117" s="294"/>
      <c r="QH117" s="294"/>
      <c r="QI117" s="294"/>
      <c r="QJ117" s="294"/>
      <c r="QK117" s="294"/>
      <c r="QL117" s="294"/>
      <c r="QM117" s="294">
        <v>-55000</v>
      </c>
      <c r="QN117" s="294">
        <v>-50000</v>
      </c>
      <c r="QO117" s="294">
        <v>-15000</v>
      </c>
      <c r="QP117" s="294"/>
      <c r="QQ117" s="294"/>
      <c r="QR117" s="294">
        <v>-10000</v>
      </c>
      <c r="QS117" s="294"/>
      <c r="QT117" s="294"/>
      <c r="QU117" s="294"/>
      <c r="QV117" s="294"/>
      <c r="QW117" s="294"/>
      <c r="QX117" s="294"/>
      <c r="QY117" s="294">
        <v>0</v>
      </c>
      <c r="QZ117" s="294"/>
      <c r="RA117" s="294"/>
      <c r="RB117" s="294"/>
      <c r="RC117" s="294">
        <v>-815490</v>
      </c>
      <c r="RD117" s="294"/>
      <c r="RE117" s="294">
        <v>-1000000</v>
      </c>
      <c r="RF117" s="294"/>
      <c r="RG117" s="294">
        <v>-3110000</v>
      </c>
      <c r="RH117" s="294">
        <v>-25195</v>
      </c>
      <c r="RI117" s="294">
        <v>0</v>
      </c>
      <c r="RJ117" s="294"/>
      <c r="RK117" s="294"/>
      <c r="RL117" s="294"/>
      <c r="RM117" s="294"/>
      <c r="RN117" s="294">
        <v>-17600</v>
      </c>
      <c r="RO117" s="294">
        <v>-6000</v>
      </c>
      <c r="RP117" s="294"/>
      <c r="RQ117" s="294"/>
      <c r="RR117" s="294"/>
      <c r="RS117" s="294">
        <v>-9400</v>
      </c>
      <c r="RT117" s="294"/>
      <c r="RU117" s="294"/>
      <c r="RV117" s="294"/>
      <c r="RW117" s="294">
        <v>-6760</v>
      </c>
      <c r="RX117" s="294"/>
      <c r="RY117" s="294"/>
      <c r="RZ117" s="294">
        <v>-54060</v>
      </c>
      <c r="SA117" s="294"/>
      <c r="SB117" s="294">
        <v>-20000</v>
      </c>
      <c r="SC117" s="294"/>
      <c r="SD117" s="294">
        <v>-3721375</v>
      </c>
      <c r="SE117" s="294">
        <v>-2289100</v>
      </c>
      <c r="SF117" s="294">
        <v>-2675875</v>
      </c>
      <c r="SG117" s="294">
        <v>-4498500</v>
      </c>
      <c r="SH117" s="294">
        <v>-1094750</v>
      </c>
      <c r="SI117" s="294">
        <v>-2862250</v>
      </c>
      <c r="SJ117" s="294"/>
      <c r="SK117" s="294">
        <v>-4683562.5</v>
      </c>
      <c r="SL117" s="294">
        <v>-3630500</v>
      </c>
      <c r="SM117" s="294"/>
      <c r="SN117" s="294">
        <v>0</v>
      </c>
      <c r="SO117" s="294">
        <v>-3900</v>
      </c>
      <c r="SP117" s="294"/>
      <c r="SQ117" s="294">
        <v>-8150</v>
      </c>
      <c r="SR117" s="294"/>
      <c r="SS117" s="294"/>
      <c r="ST117" s="294"/>
      <c r="SU117" s="294"/>
      <c r="SV117" s="294">
        <v>-33840</v>
      </c>
      <c r="SW117" s="294"/>
      <c r="SX117" s="294"/>
      <c r="SY117" s="294">
        <v>-1440</v>
      </c>
      <c r="SZ117" s="294">
        <v>-9140</v>
      </c>
      <c r="TA117" s="294"/>
      <c r="TB117" s="294">
        <v>-173040</v>
      </c>
      <c r="TC117" s="294"/>
      <c r="TD117" s="294">
        <v>-42190</v>
      </c>
      <c r="TE117" s="294">
        <v>-5000</v>
      </c>
      <c r="TF117" s="294"/>
      <c r="TG117" s="294"/>
      <c r="TH117" s="294">
        <v>-37000</v>
      </c>
      <c r="TI117" s="294">
        <v>-55000</v>
      </c>
      <c r="TJ117" s="294"/>
      <c r="TK117" s="294">
        <v>-4800</v>
      </c>
      <c r="TL117" s="294"/>
      <c r="TM117" s="294"/>
      <c r="TN117" s="294"/>
      <c r="TO117" s="294"/>
      <c r="TP117" s="294"/>
      <c r="TQ117" s="294"/>
      <c r="TR117" s="294"/>
      <c r="TS117" s="294"/>
      <c r="TT117" s="294"/>
      <c r="TU117" s="294"/>
      <c r="TV117" s="294"/>
      <c r="TW117" s="294"/>
      <c r="TX117" s="294"/>
      <c r="TY117" s="294"/>
      <c r="TZ117" s="294"/>
      <c r="UA117" s="294"/>
      <c r="UB117" s="294"/>
      <c r="UC117" s="294"/>
      <c r="UD117" s="294"/>
      <c r="UE117" s="294"/>
      <c r="UF117" s="294"/>
      <c r="UG117" s="294"/>
      <c r="UH117" s="294">
        <v>-2138208</v>
      </c>
      <c r="UI117" s="294"/>
      <c r="UJ117" s="294"/>
      <c r="UK117" s="294"/>
      <c r="UL117" s="294"/>
      <c r="UM117" s="294"/>
      <c r="UN117" s="294"/>
      <c r="UO117" s="294"/>
      <c r="UP117" s="294"/>
      <c r="UQ117" s="294">
        <v>-3923815</v>
      </c>
      <c r="UR117" s="294"/>
      <c r="US117" s="294"/>
      <c r="UT117" s="294"/>
      <c r="UU117" s="294"/>
      <c r="UV117" s="294">
        <v>-1602500</v>
      </c>
      <c r="UW117" s="294"/>
      <c r="UX117" s="294"/>
      <c r="UY117" s="294"/>
      <c r="UZ117" s="294"/>
      <c r="VA117" s="294"/>
      <c r="VB117" s="294"/>
      <c r="VC117" s="294"/>
      <c r="VD117" s="294"/>
      <c r="VE117" s="294">
        <v>-2225958</v>
      </c>
      <c r="VF117" s="294"/>
      <c r="VG117" s="294"/>
      <c r="VH117" s="294"/>
      <c r="VI117" s="294">
        <v>-5000</v>
      </c>
      <c r="VJ117" s="294">
        <v>-1500</v>
      </c>
      <c r="VK117" s="294"/>
      <c r="VL117" s="294"/>
      <c r="VM117" s="294"/>
      <c r="VN117" s="294"/>
      <c r="VO117" s="294">
        <v>-15600</v>
      </c>
      <c r="VP117" s="294"/>
      <c r="VQ117" s="294">
        <v>-130000</v>
      </c>
      <c r="VR117" s="294"/>
      <c r="VS117" s="294"/>
      <c r="VT117" s="294">
        <v>-1033360</v>
      </c>
      <c r="VU117" s="294"/>
      <c r="VV117" s="294">
        <v>-660000</v>
      </c>
      <c r="VW117" s="294"/>
      <c r="VX117" s="294">
        <v>-10350</v>
      </c>
      <c r="VY117" s="294"/>
      <c r="VZ117" s="294"/>
      <c r="WA117" s="294"/>
      <c r="WB117" s="294">
        <v>-4000</v>
      </c>
      <c r="WC117" s="294"/>
      <c r="WD117" s="294"/>
      <c r="WE117" s="294"/>
      <c r="WF117" s="294"/>
      <c r="WG117" s="294">
        <v>-15000</v>
      </c>
      <c r="WH117" s="294">
        <v>-30000</v>
      </c>
      <c r="WI117" s="294">
        <v>-4500</v>
      </c>
      <c r="WJ117" s="294">
        <v>-3385790</v>
      </c>
      <c r="WK117" s="294"/>
      <c r="WL117" s="294"/>
      <c r="WM117" s="294"/>
      <c r="WN117" s="294">
        <v>-10000</v>
      </c>
      <c r="WO117" s="294"/>
      <c r="WP117" s="294">
        <v>-385572</v>
      </c>
      <c r="WQ117" s="294"/>
      <c r="WR117" s="294"/>
      <c r="WS117" s="294"/>
      <c r="WT117" s="294"/>
      <c r="WU117" s="294"/>
      <c r="WV117" s="294"/>
      <c r="WW117" s="294"/>
      <c r="WX117" s="294"/>
      <c r="WY117" s="294"/>
      <c r="WZ117" s="294"/>
      <c r="XA117" s="294">
        <v>-76260</v>
      </c>
      <c r="XB117" s="294">
        <v>-10000</v>
      </c>
      <c r="XC117" s="294">
        <v>-640675</v>
      </c>
      <c r="XD117" s="294">
        <v>-65600</v>
      </c>
      <c r="XE117" s="294">
        <v>0</v>
      </c>
      <c r="XF117" s="294"/>
      <c r="XG117" s="294">
        <v>-12000</v>
      </c>
      <c r="XH117" s="294"/>
      <c r="XI117" s="294">
        <v>-38020</v>
      </c>
      <c r="XJ117" s="294">
        <v>-20700</v>
      </c>
      <c r="XK117" s="294"/>
      <c r="XL117" s="294">
        <v>-112760</v>
      </c>
      <c r="XM117" s="294">
        <v>-187756.5</v>
      </c>
      <c r="XN117" s="294"/>
      <c r="XO117" s="294"/>
      <c r="XP117" s="294"/>
      <c r="XQ117" s="294">
        <v>-87810</v>
      </c>
      <c r="XR117" s="294"/>
      <c r="XS117" s="294"/>
      <c r="XT117" s="294">
        <v>-800</v>
      </c>
      <c r="XU117" s="294">
        <v>-66860</v>
      </c>
      <c r="XV117" s="294">
        <v>-75770</v>
      </c>
      <c r="XW117" s="294">
        <v>-21270</v>
      </c>
      <c r="XX117" s="294"/>
      <c r="XY117" s="294">
        <v>-20840</v>
      </c>
      <c r="XZ117" s="294"/>
      <c r="YA117" s="294">
        <v>-24150</v>
      </c>
      <c r="YB117" s="294"/>
      <c r="YC117" s="294"/>
      <c r="YD117" s="294">
        <v>-23160</v>
      </c>
      <c r="YE117" s="294"/>
      <c r="YF117" s="294">
        <v>-84000</v>
      </c>
      <c r="YG117" s="294"/>
      <c r="YH117" s="294"/>
      <c r="YI117" s="294">
        <v>-120000</v>
      </c>
      <c r="YJ117" s="294">
        <v>-674500</v>
      </c>
      <c r="YK117" s="294">
        <v>-360170</v>
      </c>
      <c r="YL117" s="294"/>
      <c r="YM117" s="294"/>
      <c r="YN117" s="294">
        <v>-608276</v>
      </c>
      <c r="YO117" s="294"/>
      <c r="YP117" s="294"/>
      <c r="YQ117" s="294">
        <v>0</v>
      </c>
      <c r="YR117" s="294"/>
      <c r="YS117" s="294"/>
      <c r="YT117" s="294">
        <v>-9040</v>
      </c>
      <c r="YU117" s="294"/>
      <c r="YV117" s="294"/>
      <c r="YW117" s="294"/>
      <c r="YX117" s="294"/>
      <c r="YY117" s="294">
        <v>-8400</v>
      </c>
      <c r="YZ117" s="294">
        <v>0</v>
      </c>
      <c r="ZA117" s="294">
        <v>0</v>
      </c>
      <c r="ZB117" s="294"/>
      <c r="ZC117" s="294">
        <v>-4512080</v>
      </c>
      <c r="ZD117" s="294"/>
      <c r="ZE117" s="294">
        <v>-378677</v>
      </c>
      <c r="ZF117" s="294"/>
      <c r="ZG117" s="294">
        <v>0</v>
      </c>
      <c r="ZH117" s="294">
        <v>-80820</v>
      </c>
      <c r="ZI117" s="294"/>
      <c r="ZJ117" s="294">
        <v>-95110</v>
      </c>
      <c r="ZK117" s="294"/>
      <c r="ZL117" s="294"/>
      <c r="ZM117" s="294"/>
      <c r="ZN117" s="294"/>
      <c r="ZO117" s="294"/>
      <c r="ZP117" s="294"/>
      <c r="ZQ117" s="294"/>
      <c r="ZR117" s="294"/>
      <c r="ZS117" s="294"/>
      <c r="ZT117" s="294"/>
      <c r="ZU117" s="294"/>
      <c r="ZV117" s="294"/>
      <c r="ZW117" s="294"/>
      <c r="ZX117" s="294"/>
      <c r="ZY117" s="294">
        <v>-25540</v>
      </c>
      <c r="ZZ117" s="294">
        <v>-89600</v>
      </c>
      <c r="AAA117" s="294"/>
      <c r="AAB117" s="294"/>
      <c r="AAC117" s="294"/>
      <c r="AAD117" s="294"/>
      <c r="AAE117" s="294"/>
      <c r="AAF117" s="294"/>
      <c r="AAG117" s="294"/>
      <c r="AAH117" s="294"/>
      <c r="AAI117" s="294">
        <v>-75180</v>
      </c>
      <c r="AAJ117" s="294"/>
      <c r="AAK117" s="294">
        <v>-143500</v>
      </c>
      <c r="AAL117" s="294"/>
      <c r="AAM117" s="294">
        <v>-356000</v>
      </c>
      <c r="AAN117" s="294"/>
      <c r="AAO117" s="294"/>
      <c r="AAP117" s="294"/>
      <c r="AAQ117" s="294">
        <v>-49550</v>
      </c>
      <c r="AAR117" s="294">
        <v>-309515</v>
      </c>
      <c r="AAS117" s="294"/>
      <c r="AAT117" s="294"/>
      <c r="AAU117" s="294">
        <v>-250540</v>
      </c>
      <c r="AAV117" s="294">
        <v>-511946</v>
      </c>
      <c r="AAW117" s="294"/>
      <c r="AAX117" s="294"/>
      <c r="AAY117" s="294"/>
      <c r="AAZ117" s="294"/>
      <c r="ABA117" s="294"/>
      <c r="ABB117" s="294"/>
      <c r="ABC117" s="294">
        <v>0</v>
      </c>
      <c r="ABD117" s="294"/>
      <c r="ABE117" s="294"/>
      <c r="ABF117" s="294"/>
      <c r="ABG117" s="294"/>
      <c r="ABH117" s="294"/>
      <c r="ABI117" s="294"/>
      <c r="ABJ117" s="294"/>
      <c r="ABK117" s="294">
        <v>0</v>
      </c>
      <c r="ABL117" s="294"/>
      <c r="ABM117" s="294"/>
      <c r="ABN117" s="294"/>
      <c r="ABO117" s="294"/>
      <c r="ABP117" s="294">
        <v>-71168</v>
      </c>
      <c r="ABQ117" s="294"/>
      <c r="ABR117" s="294">
        <v>-113400</v>
      </c>
      <c r="ABS117" s="294"/>
      <c r="ABT117" s="294"/>
      <c r="ABU117" s="294"/>
      <c r="ABV117" s="294">
        <v>-14100</v>
      </c>
      <c r="ABW117" s="294"/>
      <c r="ABX117" s="294"/>
      <c r="ABY117" s="294"/>
      <c r="ABZ117" s="294"/>
      <c r="ACA117" s="294"/>
      <c r="ACB117" s="294">
        <v>-18293.68</v>
      </c>
      <c r="ACC117" s="294"/>
      <c r="ACD117" s="294"/>
      <c r="ACE117" s="294">
        <v>-557603</v>
      </c>
      <c r="ACF117" s="294"/>
      <c r="ACG117" s="294"/>
      <c r="ACH117" s="294">
        <v>-77240</v>
      </c>
      <c r="ACI117" s="294"/>
      <c r="ACJ117" s="294">
        <v>-65000</v>
      </c>
      <c r="ACK117" s="294"/>
      <c r="ACL117" s="294"/>
      <c r="ACM117" s="294"/>
      <c r="ACN117" s="294"/>
      <c r="ACO117" s="294"/>
      <c r="ACP117" s="294">
        <v>-400000</v>
      </c>
      <c r="ACQ117" s="294"/>
      <c r="ACR117" s="294">
        <v>-71480</v>
      </c>
      <c r="ACS117" s="294"/>
      <c r="ACT117" s="294"/>
      <c r="ACU117" s="294"/>
      <c r="ACV117" s="294"/>
      <c r="ACW117" s="294">
        <v>-5000</v>
      </c>
      <c r="ACX117" s="294"/>
      <c r="ACY117" s="294">
        <v>-980000</v>
      </c>
      <c r="ACZ117" s="294"/>
      <c r="ADA117" s="294">
        <v>-4500</v>
      </c>
      <c r="ADB117" s="294"/>
      <c r="ADC117" s="294"/>
      <c r="ADD117" s="294">
        <v>-36480</v>
      </c>
      <c r="ADE117" s="294">
        <v>0</v>
      </c>
      <c r="ADF117" s="294"/>
      <c r="ADG117" s="294">
        <v>-330000</v>
      </c>
      <c r="ADH117" s="294"/>
      <c r="ADI117" s="294"/>
      <c r="ADJ117" s="294"/>
      <c r="ADK117" s="294"/>
      <c r="ADL117" s="294"/>
      <c r="ADM117" s="294"/>
      <c r="ADN117" s="294"/>
      <c r="ADO117" s="294"/>
      <c r="ADP117" s="294"/>
      <c r="ADQ117" s="294">
        <v>-2762343.76</v>
      </c>
      <c r="ADR117" s="294"/>
      <c r="ADS117" s="294"/>
      <c r="ADT117" s="294"/>
      <c r="ADU117" s="294"/>
      <c r="ADV117" s="294"/>
      <c r="ADW117" s="294">
        <v>-449032.71</v>
      </c>
      <c r="ADX117" s="294"/>
      <c r="ADY117" s="294"/>
      <c r="ADZ117" s="294"/>
      <c r="AEA117" s="294">
        <v>-240600</v>
      </c>
      <c r="AEB117" s="294"/>
      <c r="AEC117" s="294">
        <v>-10000</v>
      </c>
      <c r="AED117" s="294"/>
      <c r="AEE117" s="294">
        <v>-1421812.5</v>
      </c>
      <c r="AEF117" s="294"/>
      <c r="AEG117" s="294">
        <v>-20850</v>
      </c>
      <c r="AEH117" s="294">
        <v>-11000</v>
      </c>
      <c r="AEI117" s="294"/>
      <c r="AEJ117" s="294">
        <v>-35000</v>
      </c>
      <c r="AEK117" s="294"/>
      <c r="AEL117" s="294"/>
      <c r="AEM117" s="294">
        <v>-5000</v>
      </c>
      <c r="AEN117" s="294"/>
      <c r="AEO117" s="294">
        <v>-10000</v>
      </c>
      <c r="AEP117" s="294">
        <v>-50000</v>
      </c>
      <c r="AEQ117" s="294"/>
      <c r="AER117" s="294">
        <v>-777124</v>
      </c>
      <c r="AES117" s="294">
        <v>-357734</v>
      </c>
      <c r="AET117" s="294"/>
      <c r="AEU117" s="294">
        <v>-62480</v>
      </c>
      <c r="AEV117" s="294"/>
      <c r="AEW117" s="294"/>
      <c r="AEX117" s="294">
        <v>-55000</v>
      </c>
      <c r="AEY117" s="294"/>
      <c r="AEZ117" s="294"/>
      <c r="AFA117" s="294"/>
      <c r="AFB117" s="294"/>
      <c r="AFC117" s="294">
        <v>-1416000</v>
      </c>
      <c r="AFD117" s="294"/>
      <c r="AFE117" s="294">
        <v>-250000</v>
      </c>
      <c r="AFF117" s="294">
        <v>-1276000</v>
      </c>
      <c r="AFG117" s="294">
        <v>-727000</v>
      </c>
      <c r="AFH117" s="294">
        <v>-998005</v>
      </c>
      <c r="AFI117" s="294">
        <v>-1559000</v>
      </c>
      <c r="AFJ117" s="294">
        <v>-199000</v>
      </c>
      <c r="AFK117" s="294">
        <v>-836000</v>
      </c>
      <c r="AFL117" s="294">
        <v>-3302000</v>
      </c>
      <c r="AFM117" s="294">
        <v>-755177</v>
      </c>
      <c r="AFN117" s="294">
        <v>-180000</v>
      </c>
      <c r="AFO117" s="294">
        <v>-1010000</v>
      </c>
      <c r="AFP117" s="294">
        <v>-10981691</v>
      </c>
      <c r="AFQ117" s="294">
        <v>-10930050</v>
      </c>
      <c r="AFR117" s="294">
        <v>-241000</v>
      </c>
      <c r="AFS117" s="294">
        <v>-231000</v>
      </c>
      <c r="AFT117" s="294">
        <v>-257000</v>
      </c>
      <c r="AFU117" s="294">
        <v>-1065000</v>
      </c>
      <c r="AFV117" s="294">
        <v>-360963.21</v>
      </c>
      <c r="AFW117" s="294">
        <v>-606000</v>
      </c>
      <c r="AFX117" s="294">
        <v>-3648000</v>
      </c>
      <c r="AFY117" s="294">
        <v>-689367.2</v>
      </c>
      <c r="AFZ117" s="294">
        <v>-499000</v>
      </c>
      <c r="AGA117" s="294">
        <v>-4246869</v>
      </c>
      <c r="AGB117" s="294">
        <v>-20000</v>
      </c>
      <c r="AGC117" s="294">
        <v>-5000</v>
      </c>
      <c r="AGD117" s="294">
        <v>-162177</v>
      </c>
      <c r="AGE117" s="294">
        <v>-10000</v>
      </c>
      <c r="AGF117" s="294">
        <v>-37050</v>
      </c>
      <c r="AGG117" s="294"/>
      <c r="AGH117" s="294"/>
      <c r="AGI117" s="294"/>
      <c r="AGJ117" s="294"/>
      <c r="AGK117" s="294"/>
      <c r="AGL117" s="294"/>
      <c r="AGM117" s="294">
        <v>-4162166.66</v>
      </c>
      <c r="AGN117" s="294"/>
      <c r="AGO117" s="294"/>
      <c r="AGP117" s="294"/>
      <c r="AGQ117" s="294"/>
      <c r="AGR117" s="294">
        <v>-3312000</v>
      </c>
      <c r="AGS117" s="294"/>
      <c r="AGT117" s="294"/>
      <c r="AGU117" s="294">
        <v>-14700</v>
      </c>
      <c r="AGV117" s="294"/>
      <c r="AGW117" s="294"/>
      <c r="AGX117" s="294">
        <v>-1185660</v>
      </c>
      <c r="AGY117" s="294">
        <v>-3367000</v>
      </c>
      <c r="AGZ117" s="294">
        <v>-830717.5</v>
      </c>
      <c r="AHA117" s="294">
        <v>-266000</v>
      </c>
      <c r="AHB117" s="294"/>
      <c r="AHC117" s="294"/>
      <c r="AHD117" s="294"/>
      <c r="AHE117" s="294"/>
      <c r="AHF117" s="294"/>
      <c r="AHG117" s="294"/>
      <c r="AHH117" s="294"/>
      <c r="AHI117" s="294"/>
      <c r="AHJ117" s="294"/>
      <c r="AHK117" s="294"/>
      <c r="AHL117" s="294"/>
      <c r="AHM117" s="294"/>
      <c r="AHN117" s="294">
        <v>-14640</v>
      </c>
      <c r="AHO117" s="294">
        <v>-63140</v>
      </c>
      <c r="AHP117" s="294"/>
      <c r="AHQ117" s="294">
        <v>-75877</v>
      </c>
      <c r="AHR117" s="331">
        <v>-24840</v>
      </c>
      <c r="AHS117" s="294">
        <f t="shared" si="51"/>
        <v>-279494458.56999999</v>
      </c>
      <c r="AHT117" s="269" t="b">
        <f t="shared" si="52"/>
        <v>1</v>
      </c>
      <c r="AHU117" s="269" t="s">
        <v>6278</v>
      </c>
      <c r="AHV117" s="269" t="s">
        <v>6177</v>
      </c>
      <c r="AHW117" s="269" t="s">
        <v>6178</v>
      </c>
    </row>
    <row r="118" spans="1:907" ht="24.6" x14ac:dyDescent="0.7">
      <c r="A118" s="268" t="s">
        <v>6278</v>
      </c>
      <c r="B118" s="268" t="s">
        <v>6179</v>
      </c>
      <c r="C118" s="269" t="s">
        <v>6032</v>
      </c>
      <c r="D118" s="294">
        <v>-12028.05</v>
      </c>
      <c r="E118" s="294">
        <v>-615384.15</v>
      </c>
      <c r="F118" s="294">
        <v>-443753</v>
      </c>
      <c r="G118" s="294">
        <v>-528839.85</v>
      </c>
      <c r="H118" s="294">
        <v>-897000</v>
      </c>
      <c r="I118" s="294">
        <v>-974185.21</v>
      </c>
      <c r="J118" s="294">
        <v>-639201.82999999996</v>
      </c>
      <c r="K118" s="294">
        <v>-363837.82</v>
      </c>
      <c r="L118" s="294">
        <v>-14298.29</v>
      </c>
      <c r="M118" s="294">
        <v>-428762.61</v>
      </c>
      <c r="N118" s="294">
        <v>-51736.11</v>
      </c>
      <c r="O118" s="294">
        <v>-366604.45</v>
      </c>
      <c r="P118" s="294">
        <v>-159817.06</v>
      </c>
      <c r="Q118" s="294">
        <v>-222168.3</v>
      </c>
      <c r="R118" s="294">
        <v>-217074.84</v>
      </c>
      <c r="S118" s="294">
        <v>-965128.88</v>
      </c>
      <c r="T118" s="294">
        <v>-392131.14</v>
      </c>
      <c r="U118" s="294">
        <v>-86212.62</v>
      </c>
      <c r="V118" s="294">
        <v>-5084062.8899999997</v>
      </c>
      <c r="W118" s="294">
        <v>-2124518.83</v>
      </c>
      <c r="X118" s="294">
        <v>-24674.76</v>
      </c>
      <c r="Y118" s="294">
        <v>-376837.73</v>
      </c>
      <c r="Z118" s="294">
        <v>-51149.48</v>
      </c>
      <c r="AA118" s="294">
        <v>-293553.91999999998</v>
      </c>
      <c r="AB118" s="294">
        <v>-700676.05</v>
      </c>
      <c r="AC118" s="294">
        <v>-1420194.99</v>
      </c>
      <c r="AD118" s="294">
        <v>-342687.93</v>
      </c>
      <c r="AE118" s="294">
        <v>-136029.94</v>
      </c>
      <c r="AF118" s="294">
        <v>-1394791.33</v>
      </c>
      <c r="AG118" s="294">
        <v>-214790.96</v>
      </c>
      <c r="AH118" s="294">
        <v>-2006227.46</v>
      </c>
      <c r="AI118" s="294">
        <v>-305901.03000000003</v>
      </c>
      <c r="AJ118" s="294">
        <v>-253663.11</v>
      </c>
      <c r="AK118" s="294">
        <v>-287198.07</v>
      </c>
      <c r="AL118" s="294">
        <v>-13435.3</v>
      </c>
      <c r="AM118" s="294">
        <v>-711738.47</v>
      </c>
      <c r="AN118" s="294">
        <v>-98009.03</v>
      </c>
      <c r="AO118" s="294">
        <v>-188578.79</v>
      </c>
      <c r="AP118" s="294">
        <v>-219901.37</v>
      </c>
      <c r="AQ118" s="294">
        <v>-110556.64</v>
      </c>
      <c r="AR118" s="294">
        <v>-277469.12</v>
      </c>
      <c r="AS118" s="294">
        <v>-587215.54</v>
      </c>
      <c r="AT118" s="294">
        <v>-2404213.9</v>
      </c>
      <c r="AU118" s="294">
        <v>-9641.74</v>
      </c>
      <c r="AV118" s="294">
        <v>-87576.68</v>
      </c>
      <c r="AW118" s="294">
        <v>-183873.66</v>
      </c>
      <c r="AX118" s="294">
        <v>-10869</v>
      </c>
      <c r="AY118" s="294">
        <v>-5593.85</v>
      </c>
      <c r="AZ118" s="294">
        <v>-3352</v>
      </c>
      <c r="BA118" s="294">
        <v>-126196.41</v>
      </c>
      <c r="BB118" s="294">
        <v>-78124.12</v>
      </c>
      <c r="BC118" s="294"/>
      <c r="BD118" s="294">
        <v>-70866.51999999999</v>
      </c>
      <c r="BE118" s="294">
        <v>0</v>
      </c>
      <c r="BF118" s="294">
        <v>-1136731.54</v>
      </c>
      <c r="BG118" s="294">
        <v>-78371.319999999992</v>
      </c>
      <c r="BH118" s="294">
        <v>-45839.75</v>
      </c>
      <c r="BI118" s="294">
        <v>-133948.73000000001</v>
      </c>
      <c r="BJ118" s="294"/>
      <c r="BK118" s="294">
        <v>-346530.5</v>
      </c>
      <c r="BL118" s="294">
        <v>-135815.43</v>
      </c>
      <c r="BM118" s="294">
        <v>-306155.74</v>
      </c>
      <c r="BN118" s="294">
        <v>-221549.18</v>
      </c>
      <c r="BO118" s="294">
        <v>-86332.2</v>
      </c>
      <c r="BP118" s="294">
        <v>-87051.82</v>
      </c>
      <c r="BQ118" s="294">
        <v>-90608.89</v>
      </c>
      <c r="BR118" s="294">
        <v>-2208047.56</v>
      </c>
      <c r="BS118" s="294"/>
      <c r="BT118" s="294">
        <v>-432170.21</v>
      </c>
      <c r="BU118" s="294">
        <v>-682570.05</v>
      </c>
      <c r="BV118" s="294">
        <v>-234611.06</v>
      </c>
      <c r="BW118" s="294">
        <v>-265018.45</v>
      </c>
      <c r="BX118" s="294">
        <v>-326897.56</v>
      </c>
      <c r="BY118" s="294">
        <v>-429203.20000000001</v>
      </c>
      <c r="BZ118" s="294">
        <v>-829522.04</v>
      </c>
      <c r="CA118" s="294">
        <v>-101045.4</v>
      </c>
      <c r="CB118" s="294">
        <v>-282002.73</v>
      </c>
      <c r="CC118" s="294">
        <v>-637784.25</v>
      </c>
      <c r="CD118" s="294">
        <v>-129221.96</v>
      </c>
      <c r="CE118" s="294">
        <v>-430714.81</v>
      </c>
      <c r="CF118" s="294">
        <v>-125000</v>
      </c>
      <c r="CG118" s="294">
        <v>-5704566.9100000001</v>
      </c>
      <c r="CH118" s="294">
        <v>-179686.88</v>
      </c>
      <c r="CI118" s="294">
        <v>-754714.86</v>
      </c>
      <c r="CJ118" s="294">
        <v>-152807.57</v>
      </c>
      <c r="CK118" s="294">
        <v>-448444.96</v>
      </c>
      <c r="CL118" s="294">
        <v>-509496.19</v>
      </c>
      <c r="CM118" s="294">
        <v>-182080.66</v>
      </c>
      <c r="CN118" s="294">
        <v>-424261.67</v>
      </c>
      <c r="CO118" s="294">
        <v>-194367.96</v>
      </c>
      <c r="CP118" s="294">
        <v>-156935.26</v>
      </c>
      <c r="CQ118" s="294">
        <v>-180224.01</v>
      </c>
      <c r="CR118" s="294">
        <v>-206497.54</v>
      </c>
      <c r="CS118" s="294">
        <v>-168556.74</v>
      </c>
      <c r="CT118" s="294">
        <v>-2070222.19</v>
      </c>
      <c r="CU118" s="294">
        <v>-359086</v>
      </c>
      <c r="CV118" s="294">
        <v>-322394.38</v>
      </c>
      <c r="CW118" s="294">
        <v>-184.68</v>
      </c>
      <c r="CX118" s="294">
        <v>-98345.68</v>
      </c>
      <c r="CY118" s="294">
        <v>-2838.93</v>
      </c>
      <c r="CZ118" s="294">
        <v>-334143.81</v>
      </c>
      <c r="DA118" s="294">
        <v>-236451.17</v>
      </c>
      <c r="DB118" s="294">
        <v>-3310621.96</v>
      </c>
      <c r="DC118" s="294">
        <v>-4968768.91</v>
      </c>
      <c r="DD118" s="294">
        <v>-14083.2</v>
      </c>
      <c r="DE118" s="294">
        <v>-160682.51999999999</v>
      </c>
      <c r="DF118" s="294">
        <v>-283227.01</v>
      </c>
      <c r="DG118" s="294">
        <v>-309393.01</v>
      </c>
      <c r="DH118" s="294">
        <v>-535634.05000000005</v>
      </c>
      <c r="DI118" s="294">
        <v>-21283.91</v>
      </c>
      <c r="DJ118" s="294">
        <v>-28136.62</v>
      </c>
      <c r="DK118" s="294">
        <v>-5832263.1200000001</v>
      </c>
      <c r="DL118" s="294">
        <v>-13863.53</v>
      </c>
      <c r="DM118" s="294">
        <v>-319588.40000000002</v>
      </c>
      <c r="DN118" s="294">
        <v>-597895.84</v>
      </c>
      <c r="DO118" s="294">
        <v>-712279.4</v>
      </c>
      <c r="DP118" s="294">
        <v>-325576.49</v>
      </c>
      <c r="DQ118" s="294">
        <v>-489358.59</v>
      </c>
      <c r="DR118" s="294">
        <v>-523738.31</v>
      </c>
      <c r="DS118" s="294">
        <v>-602660.93999999994</v>
      </c>
      <c r="DT118" s="294">
        <v>-2430807.27</v>
      </c>
      <c r="DU118" s="294">
        <v>-271877.51</v>
      </c>
      <c r="DV118" s="294">
        <v>-2168472.5699999998</v>
      </c>
      <c r="DW118" s="294">
        <v>-3350358.74</v>
      </c>
      <c r="DX118" s="294">
        <v>-889670.81</v>
      </c>
      <c r="DY118" s="294">
        <v>-1624927.2</v>
      </c>
      <c r="DZ118" s="294">
        <v>-381636.23</v>
      </c>
      <c r="EA118" s="294">
        <v>-75471.3</v>
      </c>
      <c r="EB118" s="294">
        <v>-694722.3</v>
      </c>
      <c r="EC118" s="294">
        <v>-5350</v>
      </c>
      <c r="ED118" s="294">
        <v>-1393454.32</v>
      </c>
      <c r="EE118" s="294">
        <v>-2619063.46</v>
      </c>
      <c r="EF118" s="294">
        <v>-2213681.0299999998</v>
      </c>
      <c r="EG118" s="294">
        <v>-3570641.44</v>
      </c>
      <c r="EH118" s="294">
        <v>-544275.06000000006</v>
      </c>
      <c r="EI118" s="294">
        <v>-285330.67</v>
      </c>
      <c r="EJ118" s="294">
        <v>-615475.71</v>
      </c>
      <c r="EK118" s="294">
        <v>-369685.71</v>
      </c>
      <c r="EL118" s="294">
        <v>-488884.06</v>
      </c>
      <c r="EM118" s="294">
        <v>-3370.86</v>
      </c>
      <c r="EN118" s="294"/>
      <c r="EO118" s="294">
        <v>-1088656.93</v>
      </c>
      <c r="EP118" s="294">
        <v>-1009276.06</v>
      </c>
      <c r="EQ118" s="294">
        <v>-343988.04</v>
      </c>
      <c r="ER118" s="294">
        <v>-560707.04</v>
      </c>
      <c r="ES118" s="294">
        <v>-3531</v>
      </c>
      <c r="ET118" s="294">
        <v>-1536722.34</v>
      </c>
      <c r="EU118" s="294">
        <v>-1036835.98</v>
      </c>
      <c r="EV118" s="294">
        <v>-709746.78</v>
      </c>
      <c r="EW118" s="294">
        <v>-8216798.2800000003</v>
      </c>
      <c r="EX118" s="294">
        <v>-119083.22</v>
      </c>
      <c r="EY118" s="294">
        <v>-411047.33</v>
      </c>
      <c r="EZ118" s="294">
        <v>-350015.06</v>
      </c>
      <c r="FA118" s="294">
        <v>-785525.24</v>
      </c>
      <c r="FB118" s="294">
        <v>-420270.6</v>
      </c>
      <c r="FC118" s="294">
        <v>-10013.200000000001</v>
      </c>
      <c r="FD118" s="294">
        <v>-570704.23</v>
      </c>
      <c r="FE118" s="294">
        <v>-854474.76</v>
      </c>
      <c r="FF118" s="294"/>
      <c r="FG118" s="294">
        <v>-156305.31</v>
      </c>
      <c r="FH118" s="294">
        <v>-518403.77</v>
      </c>
      <c r="FI118" s="294"/>
      <c r="FJ118" s="294">
        <v>-320262.48</v>
      </c>
      <c r="FK118" s="294">
        <v>-370902.23</v>
      </c>
      <c r="FL118" s="294"/>
      <c r="FM118" s="294">
        <v>-389436.8</v>
      </c>
      <c r="FN118" s="294">
        <v>-600839.11</v>
      </c>
      <c r="FO118" s="294">
        <v>-1605</v>
      </c>
      <c r="FP118" s="294">
        <v>-93289.71</v>
      </c>
      <c r="FQ118" s="294">
        <v>-61089.46</v>
      </c>
      <c r="FR118" s="294">
        <v>-205093.24</v>
      </c>
      <c r="FS118" s="294">
        <v>-818413.55</v>
      </c>
      <c r="FT118" s="294">
        <v>-604628.51</v>
      </c>
      <c r="FU118" s="294">
        <v>-1067653.56</v>
      </c>
      <c r="FV118" s="294">
        <v>-426285.29</v>
      </c>
      <c r="FW118" s="294">
        <v>-1470086.74</v>
      </c>
      <c r="FX118" s="294"/>
      <c r="FY118" s="294">
        <v>-710834.18</v>
      </c>
      <c r="FZ118" s="294">
        <v>-446278.88</v>
      </c>
      <c r="GA118" s="294">
        <v>-1163184.77</v>
      </c>
      <c r="GB118" s="294">
        <v>-766445.32</v>
      </c>
      <c r="GC118" s="294"/>
      <c r="GD118" s="294">
        <v>-181473.13</v>
      </c>
      <c r="GE118" s="294">
        <v>-129104.44</v>
      </c>
      <c r="GF118" s="294">
        <v>-341012.61</v>
      </c>
      <c r="GG118" s="294">
        <v>-152725.51</v>
      </c>
      <c r="GH118" s="294"/>
      <c r="GI118" s="294">
        <v>-242625.32</v>
      </c>
      <c r="GJ118" s="294"/>
      <c r="GK118" s="294">
        <v>-285272.14</v>
      </c>
      <c r="GL118" s="294">
        <v>-19083.34</v>
      </c>
      <c r="GM118" s="294">
        <v>-167872.16</v>
      </c>
      <c r="GN118" s="294">
        <v>-97539.07</v>
      </c>
      <c r="GO118" s="294">
        <v>-227652.38</v>
      </c>
      <c r="GP118" s="294">
        <v>-78479.41</v>
      </c>
      <c r="GQ118" s="294"/>
      <c r="GR118" s="294">
        <v>-528889.96</v>
      </c>
      <c r="GS118" s="294">
        <v>-554144.42000000004</v>
      </c>
      <c r="GT118" s="294">
        <v>-1020424.38</v>
      </c>
      <c r="GU118" s="294">
        <v>-109356.66</v>
      </c>
      <c r="GV118" s="294">
        <v>-499792.92</v>
      </c>
      <c r="GW118" s="294">
        <v>-981801.64</v>
      </c>
      <c r="GX118" s="294">
        <v>-261755.22</v>
      </c>
      <c r="GY118" s="294">
        <v>-1691859.89</v>
      </c>
      <c r="GZ118" s="294">
        <v>-41189.01</v>
      </c>
      <c r="HA118" s="294">
        <v>-81814.05</v>
      </c>
      <c r="HB118" s="294">
        <v>-25888.97</v>
      </c>
      <c r="HC118" s="294">
        <v>-53939</v>
      </c>
      <c r="HD118" s="294">
        <v>-60387.15</v>
      </c>
      <c r="HE118" s="294">
        <v>-766208.86</v>
      </c>
      <c r="HF118" s="294">
        <v>-64298.69</v>
      </c>
      <c r="HG118" s="294">
        <v>-1398488.0299999998</v>
      </c>
      <c r="HH118" s="294">
        <v>-800342.83</v>
      </c>
      <c r="HI118" s="294">
        <v>-222574.13</v>
      </c>
      <c r="HJ118" s="294"/>
      <c r="HK118" s="294">
        <v>-289816.17</v>
      </c>
      <c r="HL118" s="294">
        <v>-1608727.44</v>
      </c>
      <c r="HM118" s="294">
        <v>-1860.58</v>
      </c>
      <c r="HN118" s="294">
        <v>-241100.21</v>
      </c>
      <c r="HO118" s="294">
        <v>-149985.84</v>
      </c>
      <c r="HP118" s="294">
        <v>-620124.06999999995</v>
      </c>
      <c r="HQ118" s="294">
        <v>-345890.79</v>
      </c>
      <c r="HR118" s="294">
        <v>-176681.54</v>
      </c>
      <c r="HS118" s="294">
        <v>-75312.08</v>
      </c>
      <c r="HT118" s="294">
        <v>-10757.7</v>
      </c>
      <c r="HU118" s="294">
        <v>-269273.96000000002</v>
      </c>
      <c r="HV118" s="294">
        <v>-306149.78000000003</v>
      </c>
      <c r="HW118" s="294">
        <v>-414622.68</v>
      </c>
      <c r="HX118" s="294">
        <v>-491713.14</v>
      </c>
      <c r="HY118" s="294">
        <v>-346583.67</v>
      </c>
      <c r="HZ118" s="294">
        <v>-404005.34</v>
      </c>
      <c r="IA118" s="294">
        <v>-332176.23</v>
      </c>
      <c r="IB118" s="294">
        <v>-186985.22</v>
      </c>
      <c r="IC118" s="294">
        <v>-391430.01</v>
      </c>
      <c r="ID118" s="294">
        <v>-191981.91</v>
      </c>
      <c r="IE118" s="294">
        <v>-581868.5</v>
      </c>
      <c r="IF118" s="294">
        <v>-344495.41</v>
      </c>
      <c r="IG118" s="294">
        <v>-302046.51</v>
      </c>
      <c r="IH118" s="294"/>
      <c r="II118" s="294">
        <v>-1590471.8</v>
      </c>
      <c r="IJ118" s="294">
        <v>-4649.78</v>
      </c>
      <c r="IK118" s="294">
        <v>-464480.27</v>
      </c>
      <c r="IL118" s="294">
        <v>-2862020.5</v>
      </c>
      <c r="IM118" s="294">
        <v>-472328.18</v>
      </c>
      <c r="IN118" s="294">
        <v>-212348.66</v>
      </c>
      <c r="IO118" s="294">
        <v>-301536.27</v>
      </c>
      <c r="IP118" s="294">
        <v>-22664.26</v>
      </c>
      <c r="IQ118" s="294">
        <v>-845801.33</v>
      </c>
      <c r="IR118" s="294">
        <v>0</v>
      </c>
      <c r="IS118" s="294">
        <v>-3902835.09</v>
      </c>
      <c r="IT118" s="294">
        <v>0</v>
      </c>
      <c r="IU118" s="294">
        <v>-6344.65</v>
      </c>
      <c r="IV118" s="294">
        <v>-8732.1299999999992</v>
      </c>
      <c r="IW118" s="294">
        <v>-642282.51</v>
      </c>
      <c r="IX118" s="294">
        <v>-504222.68</v>
      </c>
      <c r="IY118" s="294">
        <v>-245390.04</v>
      </c>
      <c r="IZ118" s="294">
        <v>-14277.62</v>
      </c>
      <c r="JA118" s="294">
        <v>-245160.37</v>
      </c>
      <c r="JB118" s="294">
        <v>-287111.11</v>
      </c>
      <c r="JC118" s="294">
        <v>-261982.19</v>
      </c>
      <c r="JD118" s="294">
        <v>-253709.49</v>
      </c>
      <c r="JE118" s="294">
        <v>-8318.7199999999993</v>
      </c>
      <c r="JF118" s="294">
        <v>-55808.22</v>
      </c>
      <c r="JG118" s="294">
        <v>-773581.67</v>
      </c>
      <c r="JH118" s="294">
        <v>-288522.33</v>
      </c>
      <c r="JI118" s="294"/>
      <c r="JJ118" s="294">
        <v>-11786.46</v>
      </c>
      <c r="JK118" s="294">
        <v>-3194659.61</v>
      </c>
      <c r="JL118" s="294">
        <v>-425653.99</v>
      </c>
      <c r="JM118" s="294">
        <v>-20612.54</v>
      </c>
      <c r="JN118" s="294">
        <v>-1316948.6200000001</v>
      </c>
      <c r="JO118" s="294">
        <v>-182453.57</v>
      </c>
      <c r="JP118" s="294">
        <v>-2151030.83</v>
      </c>
      <c r="JQ118" s="294">
        <v>-493814.86</v>
      </c>
      <c r="JR118" s="294">
        <v>-3180400.91</v>
      </c>
      <c r="JS118" s="294"/>
      <c r="JT118" s="294">
        <v>-621756.79</v>
      </c>
      <c r="JU118" s="294">
        <v>-343221.42</v>
      </c>
      <c r="JV118" s="294">
        <v>-780518.42</v>
      </c>
      <c r="JW118" s="294">
        <v>-86697.87</v>
      </c>
      <c r="JX118" s="294">
        <v>-1478408.89</v>
      </c>
      <c r="JY118" s="294">
        <v>-433605.86</v>
      </c>
      <c r="JZ118" s="294">
        <v>-822410.06</v>
      </c>
      <c r="KA118" s="294">
        <v>-520632.12</v>
      </c>
      <c r="KB118" s="294"/>
      <c r="KC118" s="294">
        <v>-276197.71000000002</v>
      </c>
      <c r="KD118" s="294">
        <v>0</v>
      </c>
      <c r="KE118" s="294">
        <v>-75819.58</v>
      </c>
      <c r="KF118" s="294"/>
      <c r="KG118" s="294">
        <v>-14635.46</v>
      </c>
      <c r="KH118" s="294">
        <v>-11738859.67</v>
      </c>
      <c r="KI118" s="294"/>
      <c r="KJ118" s="294">
        <v>-56388.54</v>
      </c>
      <c r="KK118" s="294">
        <v>-168339.98</v>
      </c>
      <c r="KL118" s="294">
        <v>-357339.95</v>
      </c>
      <c r="KM118" s="294"/>
      <c r="KN118" s="294">
        <v>-2165186.65</v>
      </c>
      <c r="KO118" s="294">
        <v>-277717.49</v>
      </c>
      <c r="KP118" s="294"/>
      <c r="KQ118" s="294">
        <v>-7502271.6100000003</v>
      </c>
      <c r="KR118" s="294">
        <v>-246204.08</v>
      </c>
      <c r="KS118" s="294">
        <v>-568842.74</v>
      </c>
      <c r="KT118" s="294">
        <v>-870655.08</v>
      </c>
      <c r="KU118" s="294">
        <v>-331765.21999999997</v>
      </c>
      <c r="KV118" s="294">
        <v>-401759.63</v>
      </c>
      <c r="KW118" s="294">
        <v>-5150140.99</v>
      </c>
      <c r="KX118" s="294">
        <v>-368201.49</v>
      </c>
      <c r="KY118" s="294">
        <v>-2483660.38</v>
      </c>
      <c r="KZ118" s="294">
        <v>-500259.66</v>
      </c>
      <c r="LA118" s="294">
        <v>-331095.2</v>
      </c>
      <c r="LB118" s="294">
        <v>-559071.11</v>
      </c>
      <c r="LC118" s="294">
        <v>-860323.86</v>
      </c>
      <c r="LD118" s="294">
        <v>-757035.06</v>
      </c>
      <c r="LE118" s="294">
        <v>-225611.17</v>
      </c>
      <c r="LF118" s="294">
        <v>-382791.55</v>
      </c>
      <c r="LG118" s="294">
        <v>-5827611.4100000001</v>
      </c>
      <c r="LH118" s="294">
        <v>-25533.54</v>
      </c>
      <c r="LI118" s="294"/>
      <c r="LJ118" s="294">
        <v>-165706.18</v>
      </c>
      <c r="LK118" s="294">
        <v>-248509.72</v>
      </c>
      <c r="LL118" s="294">
        <v>-831323.05</v>
      </c>
      <c r="LM118" s="294">
        <v>-608620.67000000004</v>
      </c>
      <c r="LN118" s="294">
        <v>-524546.63</v>
      </c>
      <c r="LO118" s="294">
        <v>-31101.49</v>
      </c>
      <c r="LP118" s="294">
        <v>-269299.96000000002</v>
      </c>
      <c r="LQ118" s="294">
        <v>0</v>
      </c>
      <c r="LR118" s="294">
        <v>-1538397.2</v>
      </c>
      <c r="LS118" s="294">
        <v>-900000</v>
      </c>
      <c r="LT118" s="294">
        <v>-205687.67999999999</v>
      </c>
      <c r="LU118" s="294">
        <v>-573465.68999999994</v>
      </c>
      <c r="LV118" s="294">
        <v>-1699666.42</v>
      </c>
      <c r="LW118" s="294"/>
      <c r="LX118" s="294">
        <v>-1247430.8600000001</v>
      </c>
      <c r="LY118" s="294">
        <v>-639662.39</v>
      </c>
      <c r="LZ118" s="294">
        <v>-1041571.99</v>
      </c>
      <c r="MA118" s="294">
        <v>-317700.74</v>
      </c>
      <c r="MB118" s="294">
        <v>-525837.73</v>
      </c>
      <c r="MC118" s="294">
        <v>-292753.90999999997</v>
      </c>
      <c r="MD118" s="294">
        <v>-312245.78000000003</v>
      </c>
      <c r="ME118" s="294">
        <v>-1249486.97</v>
      </c>
      <c r="MF118" s="294">
        <v>-292472.01</v>
      </c>
      <c r="MG118" s="294">
        <v>-385019.96</v>
      </c>
      <c r="MH118" s="294">
        <v>-227697.3</v>
      </c>
      <c r="MI118" s="294">
        <v>0</v>
      </c>
      <c r="MJ118" s="294">
        <v>-150291.44</v>
      </c>
      <c r="MK118" s="294">
        <v>-112833.82</v>
      </c>
      <c r="ML118" s="294">
        <v>-241631.7</v>
      </c>
      <c r="MM118" s="294">
        <v>-141147.49</v>
      </c>
      <c r="MN118" s="294">
        <v>-163543.47999999998</v>
      </c>
      <c r="MO118" s="294">
        <v>-463536.62</v>
      </c>
      <c r="MP118" s="294">
        <v>-192901.19000000003</v>
      </c>
      <c r="MQ118" s="294">
        <v>-419558.78</v>
      </c>
      <c r="MR118" s="294">
        <v>-154739.62</v>
      </c>
      <c r="MS118" s="294">
        <v>-6260200.4400000004</v>
      </c>
      <c r="MT118" s="294">
        <v>-419338.61</v>
      </c>
      <c r="MU118" s="294">
        <v>-520081.7</v>
      </c>
      <c r="MV118" s="294">
        <v>-589595.16</v>
      </c>
      <c r="MW118" s="294">
        <v>-1182641.69</v>
      </c>
      <c r="MX118" s="294"/>
      <c r="MY118" s="294">
        <v>-903887.5297999999</v>
      </c>
      <c r="MZ118" s="294">
        <v>-2081247.3599999999</v>
      </c>
      <c r="NA118" s="294">
        <v>-792809.94</v>
      </c>
      <c r="NB118" s="294">
        <v>-274735.86</v>
      </c>
      <c r="NC118" s="294">
        <v>-75575.099999999991</v>
      </c>
      <c r="ND118" s="294">
        <v>-7315875.6900000004</v>
      </c>
      <c r="NE118" s="294">
        <v>-64376.39</v>
      </c>
      <c r="NF118" s="294">
        <v>-630710.43000000005</v>
      </c>
      <c r="NG118" s="294">
        <v>-1858184.47</v>
      </c>
      <c r="NH118" s="294">
        <v>-272363.63</v>
      </c>
      <c r="NI118" s="294">
        <v>-1611002.45</v>
      </c>
      <c r="NJ118" s="294">
        <v>-860961.73</v>
      </c>
      <c r="NK118" s="294">
        <v>-1743904.29</v>
      </c>
      <c r="NL118" s="294">
        <v>-262439.90000000002</v>
      </c>
      <c r="NM118" s="294">
        <v>-1125862.8500000001</v>
      </c>
      <c r="NN118" s="294">
        <v>-439769.72</v>
      </c>
      <c r="NO118" s="294">
        <v>-481261.03</v>
      </c>
      <c r="NP118" s="294">
        <v>-1614140.45</v>
      </c>
      <c r="NQ118" s="294">
        <v>-120000</v>
      </c>
      <c r="NR118" s="294">
        <v>-138454.44</v>
      </c>
      <c r="NS118" s="294">
        <v>-209252.5</v>
      </c>
      <c r="NT118" s="294">
        <v>-139043.78</v>
      </c>
      <c r="NU118" s="294">
        <v>-3901.39</v>
      </c>
      <c r="NV118" s="294">
        <v>-205245.53</v>
      </c>
      <c r="NW118" s="294">
        <v>-48000</v>
      </c>
      <c r="NX118" s="294">
        <v>-1332714.58</v>
      </c>
      <c r="NY118" s="294">
        <v>-207124.44</v>
      </c>
      <c r="NZ118" s="294">
        <v>-172729.34</v>
      </c>
      <c r="OA118" s="294">
        <v>-446662.14999999997</v>
      </c>
      <c r="OB118" s="294">
        <v>-365423.99</v>
      </c>
      <c r="OC118" s="294">
        <v>-492732</v>
      </c>
      <c r="OD118" s="294">
        <v>0</v>
      </c>
      <c r="OE118" s="294">
        <v>0</v>
      </c>
      <c r="OF118" s="294">
        <v>-606311.82999999996</v>
      </c>
      <c r="OG118" s="294">
        <v>-1822220.71</v>
      </c>
      <c r="OH118" s="294">
        <v>-671420.37</v>
      </c>
      <c r="OI118" s="294">
        <v>-599712.6</v>
      </c>
      <c r="OJ118" s="294">
        <v>-24472.43</v>
      </c>
      <c r="OK118" s="294"/>
      <c r="OL118" s="294"/>
      <c r="OM118" s="294"/>
      <c r="ON118" s="294">
        <v>-4650232.79</v>
      </c>
      <c r="OO118" s="294">
        <v>-1030883.26</v>
      </c>
      <c r="OP118" s="294">
        <v>-13845.06</v>
      </c>
      <c r="OQ118" s="294">
        <v>-875435.12</v>
      </c>
      <c r="OR118" s="294">
        <v>-186676.41</v>
      </c>
      <c r="OS118" s="294">
        <v>-1902059.24</v>
      </c>
      <c r="OT118" s="294">
        <v>-738.3</v>
      </c>
      <c r="OU118" s="294">
        <v>-395653.64</v>
      </c>
      <c r="OV118" s="294">
        <v>-1218043</v>
      </c>
      <c r="OW118" s="294">
        <v>-1414632.65</v>
      </c>
      <c r="OX118" s="294">
        <v>-2518309.5099999998</v>
      </c>
      <c r="OY118" s="294">
        <v>-285636.98</v>
      </c>
      <c r="OZ118" s="294">
        <v>-27394.120000000003</v>
      </c>
      <c r="PA118" s="294">
        <v>-623960.81000000006</v>
      </c>
      <c r="PB118" s="294">
        <v>-38160</v>
      </c>
      <c r="PC118" s="294">
        <v>-201752.26</v>
      </c>
      <c r="PD118" s="294">
        <v>-388663.7</v>
      </c>
      <c r="PE118" s="294">
        <v>-86060.15</v>
      </c>
      <c r="PF118" s="294">
        <v>-393552.02</v>
      </c>
      <c r="PG118" s="294"/>
      <c r="PH118" s="294">
        <v>-185796.01</v>
      </c>
      <c r="PI118" s="294">
        <v>-354213.54</v>
      </c>
      <c r="PJ118" s="294">
        <v>-204397.25</v>
      </c>
      <c r="PK118" s="294">
        <v>-244547.46</v>
      </c>
      <c r="PL118" s="294">
        <v>-301762.15999999997</v>
      </c>
      <c r="PM118" s="294">
        <v>-322735.23</v>
      </c>
      <c r="PN118" s="294">
        <v>0</v>
      </c>
      <c r="PO118" s="294">
        <v>-545628.53</v>
      </c>
      <c r="PP118" s="294">
        <v>-7153.01</v>
      </c>
      <c r="PQ118" s="294">
        <v>-205199.54</v>
      </c>
      <c r="PR118" s="294">
        <v>-149217.81</v>
      </c>
      <c r="PS118" s="294">
        <v>-14775.79</v>
      </c>
      <c r="PT118" s="294"/>
      <c r="PU118" s="294">
        <v>-64088.23</v>
      </c>
      <c r="PV118" s="294"/>
      <c r="PW118" s="294"/>
      <c r="PX118" s="294"/>
      <c r="PY118" s="294">
        <v>-392943.78</v>
      </c>
      <c r="PZ118" s="294">
        <v>-428964.66</v>
      </c>
      <c r="QA118" s="294">
        <v>-167900</v>
      </c>
      <c r="QB118" s="294">
        <v>-1637014.41</v>
      </c>
      <c r="QC118" s="294">
        <v>-305885.39</v>
      </c>
      <c r="QD118" s="294">
        <v>-407688.99</v>
      </c>
      <c r="QE118" s="294">
        <v>-187303.44</v>
      </c>
      <c r="QF118" s="294">
        <v>-213885.32</v>
      </c>
      <c r="QG118" s="294"/>
      <c r="QH118" s="294">
        <v>-511116.15</v>
      </c>
      <c r="QI118" s="294">
        <v>-205014.57</v>
      </c>
      <c r="QJ118" s="294">
        <v>-217104.74</v>
      </c>
      <c r="QK118" s="294">
        <v>-1024241.53</v>
      </c>
      <c r="QL118" s="294">
        <v>-589147.32999999996</v>
      </c>
      <c r="QM118" s="294">
        <v>-448391.13</v>
      </c>
      <c r="QN118" s="294">
        <v>-2945623.4</v>
      </c>
      <c r="QO118" s="294">
        <v>-172045.47</v>
      </c>
      <c r="QP118" s="294">
        <v>-66841.31</v>
      </c>
      <c r="QQ118" s="294">
        <v>-206068.84</v>
      </c>
      <c r="QR118" s="294">
        <v>-51587.83</v>
      </c>
      <c r="QS118" s="294"/>
      <c r="QT118" s="294"/>
      <c r="QU118" s="294">
        <v>-321191.89</v>
      </c>
      <c r="QV118" s="294">
        <v>-541700</v>
      </c>
      <c r="QW118" s="294">
        <v>-219475.26</v>
      </c>
      <c r="QX118" s="294">
        <v>-247236.28</v>
      </c>
      <c r="QY118" s="294">
        <v>-813941.93</v>
      </c>
      <c r="QZ118" s="294">
        <v>-10339.040000000001</v>
      </c>
      <c r="RA118" s="294">
        <v>-449826.42</v>
      </c>
      <c r="RB118" s="294"/>
      <c r="RC118" s="294">
        <v>-238181.98</v>
      </c>
      <c r="RD118" s="294">
        <v>-136830.1</v>
      </c>
      <c r="RE118" s="294">
        <v>-118504.55</v>
      </c>
      <c r="RF118" s="294">
        <v>-91590.33</v>
      </c>
      <c r="RG118" s="294">
        <v>-4608908.12</v>
      </c>
      <c r="RH118" s="294">
        <v>-468167.39</v>
      </c>
      <c r="RI118" s="294">
        <v>-506450.6</v>
      </c>
      <c r="RJ118" s="294">
        <v>-437378.77</v>
      </c>
      <c r="RK118" s="294">
        <v>-434397.07</v>
      </c>
      <c r="RL118" s="294"/>
      <c r="RM118" s="294">
        <v>-846895.56</v>
      </c>
      <c r="RN118" s="294">
        <v>-202704.85</v>
      </c>
      <c r="RO118" s="294">
        <v>-2172.3200000000002</v>
      </c>
      <c r="RP118" s="294">
        <v>-3361140.55</v>
      </c>
      <c r="RQ118" s="294">
        <v>-1073605.55</v>
      </c>
      <c r="RR118" s="294">
        <v>-134027.37</v>
      </c>
      <c r="RS118" s="294">
        <v>-546297.32999999996</v>
      </c>
      <c r="RT118" s="294">
        <v>-453753.2</v>
      </c>
      <c r="RU118" s="294">
        <v>-351767.66</v>
      </c>
      <c r="RV118" s="294">
        <v>-139222.69</v>
      </c>
      <c r="RW118" s="294">
        <v>-158962.19</v>
      </c>
      <c r="RX118" s="294">
        <v>-212839.6</v>
      </c>
      <c r="RY118" s="294">
        <v>-65175.93</v>
      </c>
      <c r="RZ118" s="294">
        <v>-13832.2</v>
      </c>
      <c r="SA118" s="294">
        <v>-3313846.06</v>
      </c>
      <c r="SB118" s="294">
        <v>0</v>
      </c>
      <c r="SC118" s="294">
        <v>-225644.06</v>
      </c>
      <c r="SD118" s="294">
        <v>-155531.68</v>
      </c>
      <c r="SE118" s="294">
        <v>-139916.65</v>
      </c>
      <c r="SF118" s="294">
        <v>-256957.33</v>
      </c>
      <c r="SG118" s="294">
        <v>-99732.43</v>
      </c>
      <c r="SH118" s="294">
        <v>-493551.07</v>
      </c>
      <c r="SI118" s="294">
        <v>-199871.16</v>
      </c>
      <c r="SJ118" s="294">
        <v>-220500</v>
      </c>
      <c r="SK118" s="294">
        <v>-511585.74</v>
      </c>
      <c r="SL118" s="294">
        <v>-75619.58</v>
      </c>
      <c r="SM118" s="294">
        <v>-2512314.4900000002</v>
      </c>
      <c r="SN118" s="294">
        <v>-271840.73</v>
      </c>
      <c r="SO118" s="294">
        <v>-281933.05</v>
      </c>
      <c r="SP118" s="294">
        <v>-18648.27</v>
      </c>
      <c r="SQ118" s="294">
        <v>-222400.31</v>
      </c>
      <c r="SR118" s="294">
        <v>-193101.68</v>
      </c>
      <c r="SS118" s="294">
        <v>-185637.37</v>
      </c>
      <c r="ST118" s="294">
        <v>-203435.12</v>
      </c>
      <c r="SU118" s="294">
        <v>-2326000</v>
      </c>
      <c r="SV118" s="294">
        <v>-322606.53999999998</v>
      </c>
      <c r="SW118" s="294">
        <v>-339893.62</v>
      </c>
      <c r="SX118" s="294">
        <v>-323618.5</v>
      </c>
      <c r="SY118" s="294">
        <v>-205546.44</v>
      </c>
      <c r="SZ118" s="294">
        <v>-192798.25</v>
      </c>
      <c r="TA118" s="294">
        <v>-102400</v>
      </c>
      <c r="TB118" s="294">
        <v>-2055505.09</v>
      </c>
      <c r="TC118" s="294">
        <v>-339793.76</v>
      </c>
      <c r="TD118" s="294">
        <v>-137735.96</v>
      </c>
      <c r="TE118" s="294">
        <v>-437220.28</v>
      </c>
      <c r="TF118" s="294">
        <v>-619989.6</v>
      </c>
      <c r="TG118" s="294">
        <v>-177575.7</v>
      </c>
      <c r="TH118" s="294">
        <v>-107679.42</v>
      </c>
      <c r="TI118" s="294">
        <v>-13699343.220000001</v>
      </c>
      <c r="TJ118" s="294">
        <v>-588097.54</v>
      </c>
      <c r="TK118" s="294">
        <v>-678082.07</v>
      </c>
      <c r="TL118" s="294">
        <v>-973014.97</v>
      </c>
      <c r="TM118" s="294">
        <v>-1096349.3600000001</v>
      </c>
      <c r="TN118" s="294">
        <v>-247842.64</v>
      </c>
      <c r="TO118" s="294">
        <v>-268074.3</v>
      </c>
      <c r="TP118" s="294">
        <v>-866987.3</v>
      </c>
      <c r="TQ118" s="294">
        <v>-789245.31</v>
      </c>
      <c r="TR118" s="294">
        <v>-1129466.8700000001</v>
      </c>
      <c r="TS118" s="294">
        <v>-1424053.29</v>
      </c>
      <c r="TT118" s="294">
        <v>-526606.30000000005</v>
      </c>
      <c r="TU118" s="294">
        <v>-551225.18000000005</v>
      </c>
      <c r="TV118" s="294">
        <v>-687282.87</v>
      </c>
      <c r="TW118" s="294">
        <v>-596644.66</v>
      </c>
      <c r="TX118" s="294">
        <v>-193091.43</v>
      </c>
      <c r="TY118" s="294">
        <v>-2564129.64</v>
      </c>
      <c r="TZ118" s="294">
        <v>-561218.18999999994</v>
      </c>
      <c r="UA118" s="294">
        <v>-1858943.9</v>
      </c>
      <c r="UB118" s="294">
        <v>-1114331.04</v>
      </c>
      <c r="UC118" s="294">
        <v>-549525.02</v>
      </c>
      <c r="UD118" s="294">
        <v>-446192.2</v>
      </c>
      <c r="UE118" s="294">
        <v>-5525647.3200000003</v>
      </c>
      <c r="UF118" s="294">
        <v>-391053.2</v>
      </c>
      <c r="UG118" s="294">
        <v>-337949.57</v>
      </c>
      <c r="UH118" s="294">
        <v>-147177.82</v>
      </c>
      <c r="UI118" s="294">
        <v>-155720.54</v>
      </c>
      <c r="UJ118" s="294">
        <v>-4432784.8600000003</v>
      </c>
      <c r="UK118" s="294">
        <v>-402390.38</v>
      </c>
      <c r="UL118" s="294">
        <v>-275173.59000000003</v>
      </c>
      <c r="UM118" s="294">
        <v>-430726.23</v>
      </c>
      <c r="UN118" s="294">
        <v>-493513.72</v>
      </c>
      <c r="UO118" s="294">
        <v>-226240</v>
      </c>
      <c r="UP118" s="294">
        <v>-7757719.6600000001</v>
      </c>
      <c r="UQ118" s="294">
        <v>-825375.16</v>
      </c>
      <c r="UR118" s="294">
        <v>-519190.69</v>
      </c>
      <c r="US118" s="294">
        <v>-3239794.02</v>
      </c>
      <c r="UT118" s="294">
        <v>-311655.03999999998</v>
      </c>
      <c r="UU118" s="294">
        <v>-547507.43999999994</v>
      </c>
      <c r="UV118" s="294">
        <v>-2131559.35</v>
      </c>
      <c r="UW118" s="294">
        <v>-632592.19999999995</v>
      </c>
      <c r="UX118" s="294">
        <v>-194954.2</v>
      </c>
      <c r="UY118" s="294">
        <v>-626677.53</v>
      </c>
      <c r="UZ118" s="294">
        <v>-304042.86</v>
      </c>
      <c r="VA118" s="294">
        <v>-1268113.46</v>
      </c>
      <c r="VB118" s="294">
        <v>-601222.98</v>
      </c>
      <c r="VC118" s="294">
        <v>-1257683.42</v>
      </c>
      <c r="VD118" s="294">
        <v>-608942.42000000004</v>
      </c>
      <c r="VE118" s="294">
        <v>-415426.09</v>
      </c>
      <c r="VF118" s="294">
        <v>-354669.05</v>
      </c>
      <c r="VG118" s="294">
        <v>-182461.28</v>
      </c>
      <c r="VH118" s="294">
        <v>-2120641.38</v>
      </c>
      <c r="VI118" s="294">
        <v>-135644.51999999999</v>
      </c>
      <c r="VJ118" s="294">
        <v>-409188.33</v>
      </c>
      <c r="VK118" s="294"/>
      <c r="VL118" s="294"/>
      <c r="VM118" s="294">
        <v>-54978.78</v>
      </c>
      <c r="VN118" s="294">
        <v>-489754.68</v>
      </c>
      <c r="VO118" s="294">
        <v>-778088.33</v>
      </c>
      <c r="VP118" s="294">
        <v>-827813.98</v>
      </c>
      <c r="VQ118" s="294">
        <v>-598787.34</v>
      </c>
      <c r="VR118" s="294">
        <v>-353696.8</v>
      </c>
      <c r="VS118" s="294">
        <v>-292419</v>
      </c>
      <c r="VT118" s="294">
        <v>-269759.21999999997</v>
      </c>
      <c r="VU118" s="294">
        <v>-2441212.81</v>
      </c>
      <c r="VV118" s="294">
        <v>-220608.8</v>
      </c>
      <c r="VW118" s="294">
        <v>-1194955.8500000001</v>
      </c>
      <c r="VX118" s="294">
        <v>-527831.27</v>
      </c>
      <c r="VY118" s="294">
        <v>-162386.96</v>
      </c>
      <c r="VZ118" s="294">
        <v>-350296.06</v>
      </c>
      <c r="WA118" s="294">
        <v>-129692.16</v>
      </c>
      <c r="WB118" s="294">
        <v>-32966.300000000003</v>
      </c>
      <c r="WC118" s="294">
        <v>-407782.14</v>
      </c>
      <c r="WD118" s="294"/>
      <c r="WE118" s="294">
        <v>-264581.53999999998</v>
      </c>
      <c r="WF118" s="294">
        <v>-485913.12000000005</v>
      </c>
      <c r="WG118" s="294">
        <v>-439073.44</v>
      </c>
      <c r="WH118" s="294">
        <v>-658649.19999999995</v>
      </c>
      <c r="WI118" s="294">
        <v>-287278.52</v>
      </c>
      <c r="WJ118" s="294">
        <v>-504363.79</v>
      </c>
      <c r="WK118" s="294">
        <v>-489872.4</v>
      </c>
      <c r="WL118" s="294">
        <v>-3229213.9000000004</v>
      </c>
      <c r="WM118" s="294">
        <v>-495968.64</v>
      </c>
      <c r="WN118" s="294">
        <v>-898421.04</v>
      </c>
      <c r="WO118" s="294">
        <v>-846579.39</v>
      </c>
      <c r="WP118" s="294">
        <v>-345241.98</v>
      </c>
      <c r="WQ118" s="294">
        <v>-583712.22</v>
      </c>
      <c r="WR118" s="294">
        <v>-578936.70000000007</v>
      </c>
      <c r="WS118" s="294">
        <v>-291845.59000000003</v>
      </c>
      <c r="WT118" s="294">
        <v>-667033.59</v>
      </c>
      <c r="WU118" s="294">
        <v>-257132.04</v>
      </c>
      <c r="WV118" s="294">
        <v>-250135.79</v>
      </c>
      <c r="WW118" s="294">
        <v>-5331.75</v>
      </c>
      <c r="WX118" s="294">
        <v>-171511.42</v>
      </c>
      <c r="WY118" s="294">
        <v>-221847.05</v>
      </c>
      <c r="WZ118" s="294"/>
      <c r="XA118" s="294"/>
      <c r="XB118" s="294"/>
      <c r="XC118" s="294">
        <v>-2074785.38</v>
      </c>
      <c r="XD118" s="294">
        <v>-4504.6100000000006</v>
      </c>
      <c r="XE118" s="294">
        <v>-183679.28</v>
      </c>
      <c r="XF118" s="294">
        <v>-141131.75</v>
      </c>
      <c r="XG118" s="294">
        <v>-284335.84000000003</v>
      </c>
      <c r="XH118" s="294">
        <v>-4036296.37</v>
      </c>
      <c r="XI118" s="294">
        <v>-451644.18</v>
      </c>
      <c r="XJ118" s="294">
        <v>-371389.77</v>
      </c>
      <c r="XK118" s="294">
        <v>-1944479.29</v>
      </c>
      <c r="XL118" s="294">
        <v>-321635.84999999998</v>
      </c>
      <c r="XM118" s="294">
        <v>-549665.4</v>
      </c>
      <c r="XN118" s="294">
        <v>-637489.22</v>
      </c>
      <c r="XO118" s="294">
        <v>-275846.52</v>
      </c>
      <c r="XP118" s="294">
        <v>-280542.86</v>
      </c>
      <c r="XQ118" s="294">
        <v>-686526.5</v>
      </c>
      <c r="XR118" s="294">
        <v>-467404.44</v>
      </c>
      <c r="XS118" s="294">
        <v>-165446.63</v>
      </c>
      <c r="XT118" s="294">
        <v>-233877.1</v>
      </c>
      <c r="XU118" s="294">
        <v>-195329.99</v>
      </c>
      <c r="XV118" s="294">
        <v>-160068.9</v>
      </c>
      <c r="XW118" s="294">
        <v>-157588.01999999999</v>
      </c>
      <c r="XX118" s="294">
        <v>-116663.59</v>
      </c>
      <c r="XY118" s="294">
        <v>-188902.56</v>
      </c>
      <c r="XZ118" s="294">
        <v>-190997.47</v>
      </c>
      <c r="YA118" s="294">
        <v>-122824.28</v>
      </c>
      <c r="YB118" s="294">
        <v>-136630.46</v>
      </c>
      <c r="YC118" s="294"/>
      <c r="YD118" s="294">
        <v>-145893.76999999999</v>
      </c>
      <c r="YE118" s="294">
        <v>-4306644.41</v>
      </c>
      <c r="YF118" s="294">
        <v>-243916.96</v>
      </c>
      <c r="YG118" s="294">
        <v>-512660.73</v>
      </c>
      <c r="YH118" s="294">
        <v>-89720.12</v>
      </c>
      <c r="YI118" s="294">
        <v>-846005.11</v>
      </c>
      <c r="YJ118" s="294">
        <v>-266102.24</v>
      </c>
      <c r="YK118" s="294">
        <v>-976366.14</v>
      </c>
      <c r="YL118" s="294">
        <v>-192526.93</v>
      </c>
      <c r="YM118" s="294">
        <v>-1918597.42</v>
      </c>
      <c r="YN118" s="294">
        <v>-787707.53</v>
      </c>
      <c r="YO118" s="294">
        <v>-350810.8</v>
      </c>
      <c r="YP118" s="294">
        <v>-266292.17</v>
      </c>
      <c r="YQ118" s="294">
        <v>-338377.94</v>
      </c>
      <c r="YR118" s="294">
        <v>-205988.18</v>
      </c>
      <c r="YS118" s="294">
        <v>-133966.06</v>
      </c>
      <c r="YT118" s="294">
        <v>-377066.79</v>
      </c>
      <c r="YU118" s="294">
        <v>-411585.5</v>
      </c>
      <c r="YV118" s="294">
        <v>-1898393.21</v>
      </c>
      <c r="YW118" s="294">
        <v>-193962.64</v>
      </c>
      <c r="YX118" s="294">
        <v>-349581.27</v>
      </c>
      <c r="YY118" s="294">
        <v>-299999.63</v>
      </c>
      <c r="YZ118" s="294"/>
      <c r="ZA118" s="294">
        <v>-104513.23</v>
      </c>
      <c r="ZB118" s="294">
        <v>-152634.23000000001</v>
      </c>
      <c r="ZC118" s="294"/>
      <c r="ZD118" s="294">
        <v>-149578.4</v>
      </c>
      <c r="ZE118" s="294">
        <v>-526729.04</v>
      </c>
      <c r="ZF118" s="294">
        <v>-175098.03</v>
      </c>
      <c r="ZG118" s="294">
        <v>-174762.6</v>
      </c>
      <c r="ZH118" s="294">
        <v>-4242.8</v>
      </c>
      <c r="ZI118" s="294">
        <v>-4316.59</v>
      </c>
      <c r="ZJ118" s="294">
        <v>-258845.83</v>
      </c>
      <c r="ZK118" s="294">
        <v>-978079.44</v>
      </c>
      <c r="ZL118" s="294">
        <v>-4310399.33</v>
      </c>
      <c r="ZM118" s="294">
        <v>-176133.3</v>
      </c>
      <c r="ZN118" s="294">
        <v>-721065.34</v>
      </c>
      <c r="ZO118" s="294">
        <v>-945153.48</v>
      </c>
      <c r="ZP118" s="294">
        <v>-1270196.97</v>
      </c>
      <c r="ZQ118" s="294">
        <v>-177423.2</v>
      </c>
      <c r="ZR118" s="294">
        <v>-324306.51</v>
      </c>
      <c r="ZS118" s="294">
        <v>-282460.28999999998</v>
      </c>
      <c r="ZT118" s="294">
        <v>-415459.75</v>
      </c>
      <c r="ZU118" s="294"/>
      <c r="ZV118" s="294">
        <v>-140473.96</v>
      </c>
      <c r="ZW118" s="294">
        <v>-194115.36</v>
      </c>
      <c r="ZX118" s="294">
        <v>-188538.73</v>
      </c>
      <c r="ZY118" s="294">
        <v>-645133.17000000004</v>
      </c>
      <c r="ZZ118" s="294">
        <v>-398306.68</v>
      </c>
      <c r="AAA118" s="294">
        <v>-173490.45</v>
      </c>
      <c r="AAB118" s="294">
        <v>-173464.68</v>
      </c>
      <c r="AAC118" s="294">
        <v>-147701.19</v>
      </c>
      <c r="AAD118" s="294">
        <v>-236554.22</v>
      </c>
      <c r="AAE118" s="294">
        <v>-141860.57999999999</v>
      </c>
      <c r="AAF118" s="294">
        <v>-4023.2</v>
      </c>
      <c r="AAG118" s="294">
        <v>-117799.4</v>
      </c>
      <c r="AAH118" s="294"/>
      <c r="AAI118" s="294">
        <v>-593579.06000000006</v>
      </c>
      <c r="AAJ118" s="294"/>
      <c r="AAK118" s="294">
        <v>-740700.67</v>
      </c>
      <c r="AAL118" s="294">
        <v>-709625.79</v>
      </c>
      <c r="AAM118" s="294">
        <v>-962848.61</v>
      </c>
      <c r="AAN118" s="294">
        <v>-331996.34999999998</v>
      </c>
      <c r="AAO118" s="294">
        <v>-6211019.8899999997</v>
      </c>
      <c r="AAP118" s="294">
        <v>-1174370.5900000001</v>
      </c>
      <c r="AAQ118" s="294">
        <v>-166620</v>
      </c>
      <c r="AAR118" s="294">
        <v>-868575.08</v>
      </c>
      <c r="AAS118" s="294">
        <v>-384990.24</v>
      </c>
      <c r="AAT118" s="294">
        <v>-149991.4</v>
      </c>
      <c r="AAU118" s="294">
        <v>-526296.93999999994</v>
      </c>
      <c r="AAV118" s="294">
        <v>-442665.69</v>
      </c>
      <c r="AAW118" s="294">
        <v>-2075727.76</v>
      </c>
      <c r="AAX118" s="294">
        <v>-563919.28</v>
      </c>
      <c r="AAY118" s="294">
        <v>-458504.32</v>
      </c>
      <c r="AAZ118" s="294">
        <v>-3933132.36</v>
      </c>
      <c r="ABA118" s="294">
        <v>-820302.63</v>
      </c>
      <c r="ABB118" s="294">
        <v>-613926.89</v>
      </c>
      <c r="ABC118" s="294">
        <v>-284640.90000000002</v>
      </c>
      <c r="ABD118" s="294">
        <v>-378996.09</v>
      </c>
      <c r="ABE118" s="294">
        <v>-290594.98</v>
      </c>
      <c r="ABF118" s="294">
        <v>-565605.29</v>
      </c>
      <c r="ABG118" s="294">
        <v>-272145.39</v>
      </c>
      <c r="ABH118" s="294">
        <v>-2569790.12</v>
      </c>
      <c r="ABI118" s="294">
        <v>-1901303.1</v>
      </c>
      <c r="ABJ118" s="294">
        <v>-452325.08</v>
      </c>
      <c r="ABK118" s="294">
        <v>-390907.5</v>
      </c>
      <c r="ABL118" s="294">
        <v>-366374.11</v>
      </c>
      <c r="ABM118" s="294">
        <v>-111255.9</v>
      </c>
      <c r="ABN118" s="294">
        <v>-291690.8</v>
      </c>
      <c r="ABO118" s="294">
        <v>-63485.52</v>
      </c>
      <c r="ABP118" s="294">
        <v>-280046</v>
      </c>
      <c r="ABQ118" s="294"/>
      <c r="ABR118" s="294">
        <v>-345796.66</v>
      </c>
      <c r="ABS118" s="294">
        <v>-281692.01</v>
      </c>
      <c r="ABT118" s="294">
        <v>-167651.39000000001</v>
      </c>
      <c r="ABU118" s="294">
        <v>-14997.56</v>
      </c>
      <c r="ABV118" s="294">
        <v>-179016.93</v>
      </c>
      <c r="ABW118" s="294">
        <v>-60855.75</v>
      </c>
      <c r="ABX118" s="294"/>
      <c r="ABY118" s="294">
        <v>0</v>
      </c>
      <c r="ABZ118" s="294">
        <v>-12733</v>
      </c>
      <c r="ACA118" s="294">
        <v>-139345.68</v>
      </c>
      <c r="ACB118" s="294">
        <v>-139543.75</v>
      </c>
      <c r="ACC118" s="294">
        <v>-95596.49</v>
      </c>
      <c r="ACD118" s="294"/>
      <c r="ACE118" s="294">
        <v>-121794.28</v>
      </c>
      <c r="ACF118" s="294">
        <v>-462492.27</v>
      </c>
      <c r="ACG118" s="294">
        <v>-224965.87</v>
      </c>
      <c r="ACH118" s="294">
        <v>-13736.46</v>
      </c>
      <c r="ACI118" s="294">
        <v>-16082655.449999999</v>
      </c>
      <c r="ACJ118" s="294">
        <v>-162146.75</v>
      </c>
      <c r="ACK118" s="294">
        <v>-454145.45</v>
      </c>
      <c r="ACL118" s="294">
        <v>-581428.63</v>
      </c>
      <c r="ACM118" s="294">
        <v>-99582.16</v>
      </c>
      <c r="ACN118" s="294"/>
      <c r="ACO118" s="294"/>
      <c r="ACP118" s="294"/>
      <c r="ACQ118" s="294"/>
      <c r="ACR118" s="294">
        <v>-615849.68000000005</v>
      </c>
      <c r="ACS118" s="294"/>
      <c r="ACT118" s="294">
        <v>-841663</v>
      </c>
      <c r="ACU118" s="294"/>
      <c r="ACV118" s="294">
        <v>-2091021.27</v>
      </c>
      <c r="ACW118" s="294">
        <v>-211380.13</v>
      </c>
      <c r="ACX118" s="294"/>
      <c r="ACY118" s="294"/>
      <c r="ACZ118" s="294">
        <v>-118779.23</v>
      </c>
      <c r="ADA118" s="294">
        <v>-275653.37</v>
      </c>
      <c r="ADB118" s="294"/>
      <c r="ADC118" s="294">
        <v>-306081.68</v>
      </c>
      <c r="ADD118" s="294">
        <v>-155003.72</v>
      </c>
      <c r="ADE118" s="294">
        <v>-222000</v>
      </c>
      <c r="ADF118" s="294"/>
      <c r="ADG118" s="294"/>
      <c r="ADH118" s="294">
        <v>-83754.41</v>
      </c>
      <c r="ADI118" s="294">
        <v>-70337.19</v>
      </c>
      <c r="ADJ118" s="294"/>
      <c r="ADK118" s="294">
        <v>-3106.52</v>
      </c>
      <c r="ADL118" s="294">
        <v>-5457.71</v>
      </c>
      <c r="ADM118" s="294"/>
      <c r="ADN118" s="294"/>
      <c r="ADO118" s="294">
        <v>-6858673.9400000004</v>
      </c>
      <c r="ADP118" s="294">
        <v>-1162096.8799999999</v>
      </c>
      <c r="ADQ118" s="294">
        <v>-1316743.6200000001</v>
      </c>
      <c r="ADR118" s="294"/>
      <c r="ADS118" s="294">
        <v>-24116.23</v>
      </c>
      <c r="ADT118" s="294">
        <v>-302377.89</v>
      </c>
      <c r="ADU118" s="294">
        <v>-10934.56</v>
      </c>
      <c r="ADV118" s="294">
        <v>-381336.09</v>
      </c>
      <c r="ADW118" s="294">
        <v>-149306.23999999999</v>
      </c>
      <c r="ADX118" s="294">
        <v>-175549.7</v>
      </c>
      <c r="ADY118" s="294">
        <v>-4384740.05</v>
      </c>
      <c r="ADZ118" s="294">
        <v>-24441.47</v>
      </c>
      <c r="AEA118" s="294">
        <v>-1274281.9099999999</v>
      </c>
      <c r="AEB118" s="294">
        <v>-181988.55</v>
      </c>
      <c r="AEC118" s="294">
        <v>-242093.59</v>
      </c>
      <c r="AED118" s="294">
        <v>0</v>
      </c>
      <c r="AEE118" s="294">
        <v>-455624.11</v>
      </c>
      <c r="AEF118" s="294">
        <v>-439703.97</v>
      </c>
      <c r="AEG118" s="294">
        <v>-4285.16</v>
      </c>
      <c r="AEH118" s="294">
        <v>-296245.90000000002</v>
      </c>
      <c r="AEI118" s="294">
        <v>-27246.97</v>
      </c>
      <c r="AEJ118" s="294">
        <v>-255700</v>
      </c>
      <c r="AEK118" s="294">
        <v>-164390</v>
      </c>
      <c r="AEL118" s="294">
        <v>0</v>
      </c>
      <c r="AEM118" s="294">
        <v>-610978.23</v>
      </c>
      <c r="AEN118" s="294">
        <v>-284770.31</v>
      </c>
      <c r="AEO118" s="294">
        <v>-301572.56</v>
      </c>
      <c r="AEP118" s="294">
        <v>-438467.06</v>
      </c>
      <c r="AEQ118" s="294">
        <v>-843.16</v>
      </c>
      <c r="AER118" s="294">
        <v>-407856.57</v>
      </c>
      <c r="AES118" s="294">
        <v>-4613946.03</v>
      </c>
      <c r="AET118" s="294">
        <v>-435473.55</v>
      </c>
      <c r="AEU118" s="294">
        <v>-402089.91</v>
      </c>
      <c r="AEV118" s="294">
        <v>-527226.14</v>
      </c>
      <c r="AEW118" s="294">
        <v>-335423.99</v>
      </c>
      <c r="AEX118" s="294">
        <v>-1108134.7</v>
      </c>
      <c r="AEY118" s="294">
        <v>-162881.81</v>
      </c>
      <c r="AEZ118" s="294">
        <v>-868778.04</v>
      </c>
      <c r="AFA118" s="294">
        <v>-176598.17</v>
      </c>
      <c r="AFB118" s="294">
        <v>-109716.23</v>
      </c>
      <c r="AFC118" s="294">
        <v>-4551351.8600000003</v>
      </c>
      <c r="AFD118" s="294">
        <v>-95746.76</v>
      </c>
      <c r="AFE118" s="294">
        <v>-6067.66</v>
      </c>
      <c r="AFF118" s="294">
        <v>-195604.61</v>
      </c>
      <c r="AFG118" s="294">
        <v>-328141.84000000003</v>
      </c>
      <c r="AFH118" s="294">
        <v>-1573806.2</v>
      </c>
      <c r="AFI118" s="294">
        <v>-451451.29</v>
      </c>
      <c r="AFJ118" s="294">
        <v>-557078.54</v>
      </c>
      <c r="AFK118" s="294">
        <v>-66750.880000000005</v>
      </c>
      <c r="AFL118" s="294">
        <v>-459381.44</v>
      </c>
      <c r="AFM118" s="294">
        <v>-265364.31</v>
      </c>
      <c r="AFN118" s="294">
        <v>-211747.29</v>
      </c>
      <c r="AFO118" s="294">
        <v>-262395.8</v>
      </c>
      <c r="AFP118" s="294">
        <v>-4405182.93</v>
      </c>
      <c r="AFQ118" s="294">
        <v>-904626.62000000011</v>
      </c>
      <c r="AFR118" s="294">
        <v>-496701.04</v>
      </c>
      <c r="AFS118" s="294">
        <v>108995.48999999999</v>
      </c>
      <c r="AFT118" s="294">
        <v>-226532.57</v>
      </c>
      <c r="AFU118" s="294">
        <v>-1073147.1400000001</v>
      </c>
      <c r="AFV118" s="294">
        <v>-297052.58</v>
      </c>
      <c r="AFW118" s="294">
        <v>-586296.91999999993</v>
      </c>
      <c r="AFX118" s="294">
        <v>-1466087.6</v>
      </c>
      <c r="AFY118" s="294">
        <v>-345144.87</v>
      </c>
      <c r="AFZ118" s="294">
        <v>-665586.69000000006</v>
      </c>
      <c r="AGA118" s="294">
        <v>-287370.31</v>
      </c>
      <c r="AGB118" s="294">
        <v>-3220000</v>
      </c>
      <c r="AGC118" s="294"/>
      <c r="AGD118" s="294">
        <v>-335000</v>
      </c>
      <c r="AGE118" s="294">
        <v>-155227.96</v>
      </c>
      <c r="AGF118" s="294">
        <v>-432479.93</v>
      </c>
      <c r="AGG118" s="294">
        <v>-540164.04</v>
      </c>
      <c r="AGH118" s="294">
        <v>-241456.69</v>
      </c>
      <c r="AGI118" s="294">
        <v>-253423.98</v>
      </c>
      <c r="AGJ118" s="294">
        <v>-125573.88</v>
      </c>
      <c r="AGK118" s="294">
        <v>-330252.51</v>
      </c>
      <c r="AGL118" s="294">
        <v>-162122.26</v>
      </c>
      <c r="AGM118" s="294">
        <v>-5946866.3700000001</v>
      </c>
      <c r="AGN118" s="294">
        <v>-554118.62</v>
      </c>
      <c r="AGO118" s="294">
        <v>-237041.23</v>
      </c>
      <c r="AGP118" s="294">
        <v>-340244.36</v>
      </c>
      <c r="AGQ118" s="294">
        <v>-687704.29</v>
      </c>
      <c r="AGR118" s="294">
        <v>-403928.73</v>
      </c>
      <c r="AGS118" s="294">
        <v>-550608.36</v>
      </c>
      <c r="AGT118" s="294">
        <v>-470691.8</v>
      </c>
      <c r="AGU118" s="294">
        <v>-3987652.5</v>
      </c>
      <c r="AGV118" s="294">
        <v>-5117130.54</v>
      </c>
      <c r="AGW118" s="294">
        <v>-327134.38</v>
      </c>
      <c r="AGX118" s="294">
        <v>-465391.18</v>
      </c>
      <c r="AGY118" s="294">
        <v>-1199060.26</v>
      </c>
      <c r="AGZ118" s="294">
        <v>-354039.7</v>
      </c>
      <c r="AHA118" s="294">
        <v>-651146.93999999994</v>
      </c>
      <c r="AHB118" s="294">
        <v>-463499.7</v>
      </c>
      <c r="AHC118" s="294">
        <v>-239072.38</v>
      </c>
      <c r="AHD118" s="294">
        <v>-333918.53000000003</v>
      </c>
      <c r="AHE118" s="294">
        <v>-310007.58</v>
      </c>
      <c r="AHF118" s="294">
        <v>-121366.22</v>
      </c>
      <c r="AHG118" s="294">
        <v>-338974.88</v>
      </c>
      <c r="AHH118" s="294">
        <v>-329744.95</v>
      </c>
      <c r="AHI118" s="294">
        <v>-187976.76</v>
      </c>
      <c r="AHJ118" s="294">
        <v>-335789.29</v>
      </c>
      <c r="AHK118" s="294">
        <v>-501401.1</v>
      </c>
      <c r="AHL118" s="294">
        <v>-5949344.7300000004</v>
      </c>
      <c r="AHM118" s="294">
        <v>-164018.18</v>
      </c>
      <c r="AHN118" s="294">
        <v>-296202.64</v>
      </c>
      <c r="AHO118" s="294">
        <v>-341585.69</v>
      </c>
      <c r="AHP118" s="294">
        <v>-669815.26</v>
      </c>
      <c r="AHQ118" s="294">
        <v>-299401.75</v>
      </c>
      <c r="AHR118" s="331">
        <v>-100336.45</v>
      </c>
      <c r="AHS118" s="294">
        <f t="shared" si="51"/>
        <v>-606238786.34979987</v>
      </c>
      <c r="AHT118" s="269" t="b">
        <f t="shared" si="52"/>
        <v>1</v>
      </c>
      <c r="AHU118" s="269" t="s">
        <v>6278</v>
      </c>
      <c r="AHV118" s="269" t="s">
        <v>6179</v>
      </c>
      <c r="AHW118" s="269" t="s">
        <v>6032</v>
      </c>
    </row>
    <row r="119" spans="1:907" ht="24.6" x14ac:dyDescent="0.7">
      <c r="A119" s="268" t="s">
        <v>6278</v>
      </c>
      <c r="B119" s="268" t="s">
        <v>6180</v>
      </c>
      <c r="C119" s="269" t="s">
        <v>6181</v>
      </c>
      <c r="D119" s="294"/>
      <c r="E119" s="294"/>
      <c r="F119" s="294"/>
      <c r="G119" s="294"/>
      <c r="H119" s="294"/>
      <c r="I119" s="294"/>
      <c r="J119" s="294"/>
      <c r="K119" s="294"/>
      <c r="L119" s="294">
        <v>-213040</v>
      </c>
      <c r="M119" s="294"/>
      <c r="N119" s="294"/>
      <c r="O119" s="294">
        <v>-100000</v>
      </c>
      <c r="P119" s="294"/>
      <c r="Q119" s="294"/>
      <c r="R119" s="294"/>
      <c r="S119" s="294"/>
      <c r="T119" s="294"/>
      <c r="U119" s="294"/>
      <c r="V119" s="294"/>
      <c r="W119" s="294"/>
      <c r="X119" s="294">
        <v>-4700</v>
      </c>
      <c r="Y119" s="294"/>
      <c r="Z119" s="294"/>
      <c r="AA119" s="294"/>
      <c r="AB119" s="294">
        <v>-142068</v>
      </c>
      <c r="AC119" s="294">
        <v>-36000</v>
      </c>
      <c r="AD119" s="294"/>
      <c r="AE119" s="294"/>
      <c r="AF119" s="294"/>
      <c r="AG119" s="294"/>
      <c r="AH119" s="294"/>
      <c r="AI119" s="294"/>
      <c r="AJ119" s="294"/>
      <c r="AK119" s="294">
        <v>0</v>
      </c>
      <c r="AL119" s="294"/>
      <c r="AM119" s="294"/>
      <c r="AN119" s="294">
        <v>-117210</v>
      </c>
      <c r="AO119" s="294"/>
      <c r="AP119" s="294">
        <v>-27250</v>
      </c>
      <c r="AQ119" s="294"/>
      <c r="AR119" s="294"/>
      <c r="AS119" s="294">
        <v>-712291.3</v>
      </c>
      <c r="AT119" s="294"/>
      <c r="AU119" s="294"/>
      <c r="AV119" s="294"/>
      <c r="AW119" s="294"/>
      <c r="AX119" s="294"/>
      <c r="AY119" s="294"/>
      <c r="AZ119" s="294">
        <v>-8250</v>
      </c>
      <c r="BA119" s="294"/>
      <c r="BB119" s="294"/>
      <c r="BC119" s="294"/>
      <c r="BD119" s="294"/>
      <c r="BE119" s="294"/>
      <c r="BF119" s="294"/>
      <c r="BG119" s="294">
        <v>-99000</v>
      </c>
      <c r="BH119" s="294"/>
      <c r="BI119" s="294">
        <v>-1557394.5</v>
      </c>
      <c r="BJ119" s="294">
        <v>-678800</v>
      </c>
      <c r="BK119" s="294"/>
      <c r="BL119" s="294"/>
      <c r="BM119" s="294"/>
      <c r="BN119" s="294">
        <v>-13970</v>
      </c>
      <c r="BO119" s="294"/>
      <c r="BP119" s="294"/>
      <c r="BQ119" s="294"/>
      <c r="BR119" s="294"/>
      <c r="BS119" s="294"/>
      <c r="BT119" s="294"/>
      <c r="BU119" s="294"/>
      <c r="BV119" s="294"/>
      <c r="BW119" s="294"/>
      <c r="BX119" s="294"/>
      <c r="BY119" s="294"/>
      <c r="BZ119" s="294"/>
      <c r="CA119" s="294"/>
      <c r="CB119" s="294"/>
      <c r="CC119" s="294">
        <v>-90920</v>
      </c>
      <c r="CD119" s="294"/>
      <c r="CE119" s="294">
        <v>-14420</v>
      </c>
      <c r="CF119" s="294"/>
      <c r="CG119" s="294"/>
      <c r="CH119" s="294"/>
      <c r="CI119" s="294"/>
      <c r="CJ119" s="294"/>
      <c r="CK119" s="294"/>
      <c r="CL119" s="294"/>
      <c r="CM119" s="294"/>
      <c r="CN119" s="294"/>
      <c r="CO119" s="294"/>
      <c r="CP119" s="294"/>
      <c r="CQ119" s="294"/>
      <c r="CR119" s="294"/>
      <c r="CS119" s="294"/>
      <c r="CT119" s="294"/>
      <c r="CU119" s="294"/>
      <c r="CV119" s="294"/>
      <c r="CW119" s="294"/>
      <c r="CX119" s="294">
        <v>-23220</v>
      </c>
      <c r="CY119" s="294"/>
      <c r="CZ119" s="294"/>
      <c r="DA119" s="294"/>
      <c r="DB119" s="294"/>
      <c r="DC119" s="294"/>
      <c r="DD119" s="294"/>
      <c r="DE119" s="294"/>
      <c r="DF119" s="294"/>
      <c r="DG119" s="294">
        <v>-239870</v>
      </c>
      <c r="DH119" s="294">
        <v>-423320</v>
      </c>
      <c r="DI119" s="294"/>
      <c r="DJ119" s="294"/>
      <c r="DK119" s="294"/>
      <c r="DL119" s="294">
        <v>-990292</v>
      </c>
      <c r="DM119" s="294"/>
      <c r="DN119" s="294"/>
      <c r="DO119" s="294"/>
      <c r="DP119" s="294"/>
      <c r="DQ119" s="294">
        <v>0</v>
      </c>
      <c r="DR119" s="294"/>
      <c r="DS119" s="294"/>
      <c r="DT119" s="294"/>
      <c r="DU119" s="294">
        <v>0</v>
      </c>
      <c r="DV119" s="294">
        <v>-243075</v>
      </c>
      <c r="DW119" s="294"/>
      <c r="DX119" s="294"/>
      <c r="DY119" s="294"/>
      <c r="DZ119" s="294"/>
      <c r="EA119" s="294"/>
      <c r="EB119" s="294">
        <v>-37800</v>
      </c>
      <c r="EC119" s="294"/>
      <c r="ED119" s="294"/>
      <c r="EE119" s="294"/>
      <c r="EF119" s="294"/>
      <c r="EG119" s="294">
        <v>-14062</v>
      </c>
      <c r="EH119" s="294">
        <v>-9590</v>
      </c>
      <c r="EI119" s="294">
        <v>-62897.2</v>
      </c>
      <c r="EJ119" s="294"/>
      <c r="EK119" s="294"/>
      <c r="EL119" s="294"/>
      <c r="EM119" s="294"/>
      <c r="EN119" s="294"/>
      <c r="EO119" s="294"/>
      <c r="EP119" s="294">
        <v>0</v>
      </c>
      <c r="EQ119" s="294"/>
      <c r="ER119" s="294"/>
      <c r="ES119" s="294"/>
      <c r="ET119" s="294"/>
      <c r="EU119" s="294"/>
      <c r="EV119" s="294"/>
      <c r="EW119" s="294"/>
      <c r="EX119" s="294">
        <v>-5680</v>
      </c>
      <c r="EY119" s="294"/>
      <c r="EZ119" s="294"/>
      <c r="FA119" s="294"/>
      <c r="FB119" s="294">
        <v>-395925</v>
      </c>
      <c r="FC119" s="294"/>
      <c r="FD119" s="294"/>
      <c r="FE119" s="294"/>
      <c r="FF119" s="294">
        <v>-176404.82</v>
      </c>
      <c r="FG119" s="294"/>
      <c r="FH119" s="294"/>
      <c r="FI119" s="294"/>
      <c r="FJ119" s="294"/>
      <c r="FK119" s="294"/>
      <c r="FL119" s="294"/>
      <c r="FM119" s="294"/>
      <c r="FN119" s="294">
        <v>-46200</v>
      </c>
      <c r="FO119" s="294"/>
      <c r="FP119" s="294"/>
      <c r="FQ119" s="294"/>
      <c r="FR119" s="294"/>
      <c r="FS119" s="294">
        <v>0</v>
      </c>
      <c r="FT119" s="294"/>
      <c r="FU119" s="294"/>
      <c r="FV119" s="294">
        <v>-63800</v>
      </c>
      <c r="FW119" s="294">
        <v>-51500</v>
      </c>
      <c r="FX119" s="294"/>
      <c r="FY119" s="294">
        <v>-51330</v>
      </c>
      <c r="FZ119" s="294">
        <v>-1585525</v>
      </c>
      <c r="GA119" s="294">
        <v>-18000</v>
      </c>
      <c r="GB119" s="294">
        <v>-110458</v>
      </c>
      <c r="GC119" s="294"/>
      <c r="GD119" s="294">
        <v>-28600</v>
      </c>
      <c r="GE119" s="294"/>
      <c r="GF119" s="294">
        <v>-367925</v>
      </c>
      <c r="GG119" s="294"/>
      <c r="GH119" s="294"/>
      <c r="GI119" s="294"/>
      <c r="GJ119" s="294"/>
      <c r="GK119" s="294"/>
      <c r="GL119" s="294"/>
      <c r="GM119" s="294">
        <v>-81195</v>
      </c>
      <c r="GN119" s="294">
        <v>-9000</v>
      </c>
      <c r="GO119" s="294">
        <v>-1000</v>
      </c>
      <c r="GP119" s="294">
        <v>-60430</v>
      </c>
      <c r="GQ119" s="294"/>
      <c r="GR119" s="294"/>
      <c r="GS119" s="294"/>
      <c r="GT119" s="294"/>
      <c r="GU119" s="294"/>
      <c r="GV119" s="294"/>
      <c r="GW119" s="294"/>
      <c r="GX119" s="294"/>
      <c r="GY119" s="294"/>
      <c r="GZ119" s="294"/>
      <c r="HA119" s="294"/>
      <c r="HB119" s="294"/>
      <c r="HC119" s="294"/>
      <c r="HD119" s="294"/>
      <c r="HE119" s="294"/>
      <c r="HF119" s="294"/>
      <c r="HG119" s="294"/>
      <c r="HH119" s="294"/>
      <c r="HI119" s="294"/>
      <c r="HJ119" s="294"/>
      <c r="HK119" s="294"/>
      <c r="HL119" s="294"/>
      <c r="HM119" s="294"/>
      <c r="HN119" s="294"/>
      <c r="HO119" s="294"/>
      <c r="HP119" s="294">
        <v>-92199.46</v>
      </c>
      <c r="HQ119" s="294">
        <v>-62680.56</v>
      </c>
      <c r="HR119" s="294"/>
      <c r="HS119" s="294"/>
      <c r="HT119" s="294"/>
      <c r="HU119" s="294"/>
      <c r="HV119" s="294">
        <v>-19670.759999999998</v>
      </c>
      <c r="HW119" s="294"/>
      <c r="HX119" s="294"/>
      <c r="HY119" s="294"/>
      <c r="HZ119" s="294"/>
      <c r="IA119" s="294"/>
      <c r="IB119" s="294"/>
      <c r="IC119" s="294"/>
      <c r="ID119" s="294"/>
      <c r="IE119" s="294"/>
      <c r="IF119" s="294"/>
      <c r="IG119" s="294"/>
      <c r="IH119" s="294"/>
      <c r="II119" s="294"/>
      <c r="IJ119" s="294"/>
      <c r="IK119" s="294">
        <v>-55080</v>
      </c>
      <c r="IL119" s="294">
        <v>-374000</v>
      </c>
      <c r="IM119" s="294"/>
      <c r="IN119" s="294"/>
      <c r="IO119" s="294">
        <v>-140191.76</v>
      </c>
      <c r="IP119" s="294"/>
      <c r="IQ119" s="294">
        <v>-141284</v>
      </c>
      <c r="IR119" s="294"/>
      <c r="IS119" s="294"/>
      <c r="IT119" s="294">
        <v>-49576</v>
      </c>
      <c r="IU119" s="294"/>
      <c r="IV119" s="294"/>
      <c r="IW119" s="294"/>
      <c r="IX119" s="294"/>
      <c r="IY119" s="294"/>
      <c r="IZ119" s="294"/>
      <c r="JA119" s="294"/>
      <c r="JB119" s="294">
        <v>0</v>
      </c>
      <c r="JC119" s="294"/>
      <c r="JD119" s="294"/>
      <c r="JE119" s="294"/>
      <c r="JF119" s="294">
        <v>-209900</v>
      </c>
      <c r="JG119" s="294"/>
      <c r="JH119" s="294"/>
      <c r="JI119" s="294"/>
      <c r="JJ119" s="294"/>
      <c r="JK119" s="294"/>
      <c r="JL119" s="294"/>
      <c r="JM119" s="294"/>
      <c r="JN119" s="294">
        <v>-1310.06</v>
      </c>
      <c r="JO119" s="294"/>
      <c r="JP119" s="294">
        <v>-1339388.1200000001</v>
      </c>
      <c r="JQ119" s="294">
        <v>0</v>
      </c>
      <c r="JR119" s="294"/>
      <c r="JS119" s="294"/>
      <c r="JT119" s="294"/>
      <c r="JU119" s="294"/>
      <c r="JV119" s="294">
        <v>-48096.5</v>
      </c>
      <c r="JW119" s="294">
        <v>-81545</v>
      </c>
      <c r="JX119" s="294">
        <v>-16500</v>
      </c>
      <c r="JY119" s="294"/>
      <c r="JZ119" s="294">
        <v>-169311.6</v>
      </c>
      <c r="KA119" s="294"/>
      <c r="KB119" s="294"/>
      <c r="KC119" s="294"/>
      <c r="KD119" s="294">
        <v>0</v>
      </c>
      <c r="KE119" s="294"/>
      <c r="KF119" s="294"/>
      <c r="KG119" s="294">
        <v>-20000</v>
      </c>
      <c r="KH119" s="294"/>
      <c r="KI119" s="294"/>
      <c r="KJ119" s="294"/>
      <c r="KK119" s="294"/>
      <c r="KL119" s="294"/>
      <c r="KM119" s="294"/>
      <c r="KN119" s="294"/>
      <c r="KO119" s="294"/>
      <c r="KP119" s="294"/>
      <c r="KQ119" s="294"/>
      <c r="KR119" s="294"/>
      <c r="KS119" s="294"/>
      <c r="KT119" s="294"/>
      <c r="KU119" s="294">
        <v>-257160.42</v>
      </c>
      <c r="KV119" s="294"/>
      <c r="KW119" s="294"/>
      <c r="KX119" s="294">
        <v>-238000</v>
      </c>
      <c r="KY119" s="294">
        <v>-116676</v>
      </c>
      <c r="KZ119" s="294"/>
      <c r="LA119" s="294"/>
      <c r="LB119" s="294"/>
      <c r="LC119" s="294"/>
      <c r="LD119" s="294"/>
      <c r="LE119" s="294">
        <v>-45150</v>
      </c>
      <c r="LF119" s="294">
        <v>-16403.04</v>
      </c>
      <c r="LG119" s="294"/>
      <c r="LH119" s="294">
        <v>-8402.4</v>
      </c>
      <c r="LI119" s="294"/>
      <c r="LJ119" s="294"/>
      <c r="LK119" s="294"/>
      <c r="LL119" s="294"/>
      <c r="LM119" s="294"/>
      <c r="LN119" s="294"/>
      <c r="LO119" s="294">
        <v>-34608</v>
      </c>
      <c r="LP119" s="294"/>
      <c r="LQ119" s="294">
        <v>-100000</v>
      </c>
      <c r="LR119" s="294">
        <v>-1825</v>
      </c>
      <c r="LS119" s="294"/>
      <c r="LT119" s="294"/>
      <c r="LU119" s="294">
        <v>-19643545.809999999</v>
      </c>
      <c r="LV119" s="294"/>
      <c r="LW119" s="294"/>
      <c r="LX119" s="294">
        <v>-99327</v>
      </c>
      <c r="LY119" s="294"/>
      <c r="LZ119" s="294">
        <v>-314200</v>
      </c>
      <c r="MA119" s="294"/>
      <c r="MB119" s="294"/>
      <c r="MC119" s="294"/>
      <c r="MD119" s="294"/>
      <c r="ME119" s="294"/>
      <c r="MF119" s="294"/>
      <c r="MG119" s="294"/>
      <c r="MH119" s="294"/>
      <c r="MI119" s="294"/>
      <c r="MJ119" s="294">
        <v>0</v>
      </c>
      <c r="MK119" s="294"/>
      <c r="ML119" s="294"/>
      <c r="MM119" s="294"/>
      <c r="MN119" s="294">
        <v>0</v>
      </c>
      <c r="MO119" s="294"/>
      <c r="MP119" s="294">
        <v>-268010</v>
      </c>
      <c r="MQ119" s="294">
        <v>0</v>
      </c>
      <c r="MR119" s="294"/>
      <c r="MS119" s="294"/>
      <c r="MT119" s="294"/>
      <c r="MU119" s="294"/>
      <c r="MV119" s="294"/>
      <c r="MW119" s="294"/>
      <c r="MX119" s="294"/>
      <c r="MY119" s="294"/>
      <c r="MZ119" s="294"/>
      <c r="NA119" s="294"/>
      <c r="NB119" s="294">
        <v>-3500</v>
      </c>
      <c r="NC119" s="294"/>
      <c r="ND119" s="294"/>
      <c r="NE119" s="294"/>
      <c r="NF119" s="294"/>
      <c r="NG119" s="294">
        <v>-2100</v>
      </c>
      <c r="NH119" s="294"/>
      <c r="NI119" s="294"/>
      <c r="NJ119" s="294"/>
      <c r="NK119" s="294"/>
      <c r="NL119" s="294"/>
      <c r="NM119" s="294"/>
      <c r="NN119" s="294"/>
      <c r="NO119" s="294"/>
      <c r="NP119" s="294"/>
      <c r="NQ119" s="294"/>
      <c r="NR119" s="294">
        <v>-67980</v>
      </c>
      <c r="NS119" s="294">
        <v>0</v>
      </c>
      <c r="NT119" s="294">
        <v>-2340</v>
      </c>
      <c r="NU119" s="294"/>
      <c r="NV119" s="294">
        <v>-18222.099999999999</v>
      </c>
      <c r="NW119" s="294">
        <v>0</v>
      </c>
      <c r="NX119" s="294">
        <v>-300682.59999999998</v>
      </c>
      <c r="NY119" s="294"/>
      <c r="NZ119" s="294">
        <v>-91157</v>
      </c>
      <c r="OA119" s="294">
        <v>0</v>
      </c>
      <c r="OB119" s="294"/>
      <c r="OC119" s="294">
        <v>-59200</v>
      </c>
      <c r="OD119" s="294"/>
      <c r="OE119" s="294">
        <v>0</v>
      </c>
      <c r="OF119" s="294"/>
      <c r="OG119" s="294"/>
      <c r="OH119" s="294"/>
      <c r="OI119" s="294"/>
      <c r="OJ119" s="294">
        <v>-34775</v>
      </c>
      <c r="OK119" s="294">
        <v>-6000</v>
      </c>
      <c r="OL119" s="294"/>
      <c r="OM119" s="294"/>
      <c r="ON119" s="294"/>
      <c r="OO119" s="294"/>
      <c r="OP119" s="294"/>
      <c r="OQ119" s="294"/>
      <c r="OR119" s="294"/>
      <c r="OS119" s="294"/>
      <c r="OT119" s="294">
        <v>0</v>
      </c>
      <c r="OU119" s="294">
        <v>-16000</v>
      </c>
      <c r="OV119" s="294"/>
      <c r="OW119" s="294"/>
      <c r="OX119" s="294">
        <v>-80408.5</v>
      </c>
      <c r="OY119" s="294"/>
      <c r="OZ119" s="294"/>
      <c r="PA119" s="294">
        <v>-10000</v>
      </c>
      <c r="PB119" s="294">
        <v>-3041396.74</v>
      </c>
      <c r="PC119" s="294"/>
      <c r="PD119" s="294"/>
      <c r="PE119" s="294">
        <v>-247707.36</v>
      </c>
      <c r="PF119" s="294"/>
      <c r="PG119" s="294"/>
      <c r="PH119" s="294"/>
      <c r="PI119" s="294"/>
      <c r="PJ119" s="294">
        <v>-39420</v>
      </c>
      <c r="PK119" s="294"/>
      <c r="PL119" s="294">
        <v>-310570</v>
      </c>
      <c r="PM119" s="294"/>
      <c r="PN119" s="294"/>
      <c r="PO119" s="294"/>
      <c r="PP119" s="294"/>
      <c r="PQ119" s="294"/>
      <c r="PR119" s="294"/>
      <c r="PS119" s="294"/>
      <c r="PT119" s="294"/>
      <c r="PU119" s="294"/>
      <c r="PV119" s="294"/>
      <c r="PW119" s="294"/>
      <c r="PX119" s="294"/>
      <c r="PY119" s="294"/>
      <c r="PZ119" s="294"/>
      <c r="QA119" s="294"/>
      <c r="QB119" s="294"/>
      <c r="QC119" s="294"/>
      <c r="QD119" s="294"/>
      <c r="QE119" s="294">
        <v>-147000</v>
      </c>
      <c r="QF119" s="294"/>
      <c r="QG119" s="294"/>
      <c r="QH119" s="294"/>
      <c r="QI119" s="294"/>
      <c r="QJ119" s="294"/>
      <c r="QK119" s="294"/>
      <c r="QL119" s="294"/>
      <c r="QM119" s="294"/>
      <c r="QN119" s="294"/>
      <c r="QO119" s="294"/>
      <c r="QP119" s="294"/>
      <c r="QQ119" s="294">
        <v>-49240</v>
      </c>
      <c r="QR119" s="294"/>
      <c r="QS119" s="294"/>
      <c r="QT119" s="294">
        <v>-344803.85</v>
      </c>
      <c r="QU119" s="294"/>
      <c r="QV119" s="294"/>
      <c r="QW119" s="294"/>
      <c r="QX119" s="294"/>
      <c r="QY119" s="294"/>
      <c r="QZ119" s="294">
        <v>0</v>
      </c>
      <c r="RA119" s="294"/>
      <c r="RB119" s="294"/>
      <c r="RC119" s="294"/>
      <c r="RD119" s="294"/>
      <c r="RE119" s="294"/>
      <c r="RF119" s="294"/>
      <c r="RG119" s="294"/>
      <c r="RH119" s="294"/>
      <c r="RI119" s="294"/>
      <c r="RJ119" s="294"/>
      <c r="RK119" s="294"/>
      <c r="RL119" s="294">
        <v>-303590</v>
      </c>
      <c r="RM119" s="294"/>
      <c r="RN119" s="294"/>
      <c r="RO119" s="294"/>
      <c r="RP119" s="294"/>
      <c r="RQ119" s="294"/>
      <c r="RR119" s="294">
        <v>-14000</v>
      </c>
      <c r="RS119" s="294"/>
      <c r="RT119" s="294"/>
      <c r="RU119" s="294"/>
      <c r="RV119" s="294"/>
      <c r="RW119" s="294"/>
      <c r="RX119" s="294">
        <v>-106400</v>
      </c>
      <c r="RY119" s="294"/>
      <c r="RZ119" s="294"/>
      <c r="SA119" s="294"/>
      <c r="SB119" s="294"/>
      <c r="SC119" s="294"/>
      <c r="SD119" s="294"/>
      <c r="SE119" s="294"/>
      <c r="SF119" s="294"/>
      <c r="SG119" s="294"/>
      <c r="SH119" s="294"/>
      <c r="SI119" s="294"/>
      <c r="SJ119" s="294"/>
      <c r="SK119" s="294">
        <v>-24330</v>
      </c>
      <c r="SL119" s="294"/>
      <c r="SM119" s="294"/>
      <c r="SN119" s="294"/>
      <c r="SO119" s="294">
        <v>-54600</v>
      </c>
      <c r="SP119" s="294"/>
      <c r="SQ119" s="294"/>
      <c r="SR119" s="294"/>
      <c r="SS119" s="294">
        <v>-1073567.5</v>
      </c>
      <c r="ST119" s="294">
        <v>-235880</v>
      </c>
      <c r="SU119" s="294"/>
      <c r="SV119" s="294">
        <v>-105600</v>
      </c>
      <c r="SW119" s="294">
        <v>0</v>
      </c>
      <c r="SX119" s="294"/>
      <c r="SY119" s="294"/>
      <c r="SZ119" s="294"/>
      <c r="TA119" s="294"/>
      <c r="TB119" s="294"/>
      <c r="TC119" s="294"/>
      <c r="TD119" s="294">
        <v>0</v>
      </c>
      <c r="TE119" s="294"/>
      <c r="TF119" s="294"/>
      <c r="TG119" s="294"/>
      <c r="TH119" s="294"/>
      <c r="TI119" s="294">
        <v>-124615</v>
      </c>
      <c r="TJ119" s="294">
        <v>-154650</v>
      </c>
      <c r="TK119" s="294">
        <v>-19200</v>
      </c>
      <c r="TL119" s="294"/>
      <c r="TM119" s="294"/>
      <c r="TN119" s="294"/>
      <c r="TO119" s="294"/>
      <c r="TP119" s="294"/>
      <c r="TQ119" s="294"/>
      <c r="TR119" s="294"/>
      <c r="TS119" s="294"/>
      <c r="TT119" s="294"/>
      <c r="TU119" s="294"/>
      <c r="TV119" s="294"/>
      <c r="TW119" s="294">
        <v>-92600</v>
      </c>
      <c r="TX119" s="294"/>
      <c r="TY119" s="294"/>
      <c r="TZ119" s="294"/>
      <c r="UA119" s="294"/>
      <c r="UB119" s="294"/>
      <c r="UC119" s="294"/>
      <c r="UD119" s="294"/>
      <c r="UE119" s="294"/>
      <c r="UF119" s="294"/>
      <c r="UG119" s="294"/>
      <c r="UH119" s="294">
        <v>-178915</v>
      </c>
      <c r="UI119" s="294"/>
      <c r="UJ119" s="294">
        <v>-459560</v>
      </c>
      <c r="UK119" s="294"/>
      <c r="UL119" s="294"/>
      <c r="UM119" s="294"/>
      <c r="UN119" s="294"/>
      <c r="UO119" s="294"/>
      <c r="UP119" s="294">
        <v>-153250</v>
      </c>
      <c r="UQ119" s="294"/>
      <c r="UR119" s="294"/>
      <c r="US119" s="294"/>
      <c r="UT119" s="294">
        <v>-80060</v>
      </c>
      <c r="UU119" s="294"/>
      <c r="UV119" s="294"/>
      <c r="UW119" s="294">
        <v>-30300</v>
      </c>
      <c r="UX119" s="294"/>
      <c r="UY119" s="294"/>
      <c r="UZ119" s="294"/>
      <c r="VA119" s="294"/>
      <c r="VB119" s="294">
        <v>-97820</v>
      </c>
      <c r="VC119" s="294"/>
      <c r="VD119" s="294"/>
      <c r="VE119" s="294">
        <v>-204240</v>
      </c>
      <c r="VF119" s="294">
        <v>-148830</v>
      </c>
      <c r="VG119" s="294"/>
      <c r="VH119" s="294"/>
      <c r="VI119" s="294"/>
      <c r="VJ119" s="294"/>
      <c r="VK119" s="294"/>
      <c r="VL119" s="294"/>
      <c r="VM119" s="294"/>
      <c r="VN119" s="294"/>
      <c r="VO119" s="294"/>
      <c r="VP119" s="294"/>
      <c r="VQ119" s="294">
        <v>-5300</v>
      </c>
      <c r="VR119" s="294"/>
      <c r="VS119" s="294">
        <v>0</v>
      </c>
      <c r="VT119" s="294">
        <v>-403850</v>
      </c>
      <c r="VU119" s="294"/>
      <c r="VV119" s="294"/>
      <c r="VW119" s="294">
        <v>-431084</v>
      </c>
      <c r="VX119" s="294"/>
      <c r="VY119" s="294"/>
      <c r="VZ119" s="294"/>
      <c r="WA119" s="294"/>
      <c r="WB119" s="294"/>
      <c r="WC119" s="294"/>
      <c r="WD119" s="294"/>
      <c r="WE119" s="294"/>
      <c r="WF119" s="294"/>
      <c r="WG119" s="294"/>
      <c r="WH119" s="294">
        <v>-628340</v>
      </c>
      <c r="WI119" s="294"/>
      <c r="WJ119" s="294"/>
      <c r="WK119" s="294"/>
      <c r="WL119" s="294"/>
      <c r="WM119" s="294">
        <v>-152100</v>
      </c>
      <c r="WN119" s="294"/>
      <c r="WO119" s="294">
        <v>-184022.08</v>
      </c>
      <c r="WP119" s="294"/>
      <c r="WQ119" s="294">
        <v>-250862</v>
      </c>
      <c r="WR119" s="294"/>
      <c r="WS119" s="294"/>
      <c r="WT119" s="294">
        <v>-1111133</v>
      </c>
      <c r="WU119" s="294"/>
      <c r="WV119" s="294"/>
      <c r="WW119" s="294">
        <v>-656350</v>
      </c>
      <c r="WX119" s="294">
        <v>-105990.2</v>
      </c>
      <c r="WY119" s="294">
        <v>-16317.5</v>
      </c>
      <c r="WZ119" s="294"/>
      <c r="XA119" s="294"/>
      <c r="XB119" s="294"/>
      <c r="XC119" s="294"/>
      <c r="XD119" s="294"/>
      <c r="XE119" s="294">
        <v>-327825</v>
      </c>
      <c r="XF119" s="294"/>
      <c r="XG119" s="294"/>
      <c r="XH119" s="294"/>
      <c r="XI119" s="294">
        <v>-65000</v>
      </c>
      <c r="XJ119" s="294">
        <v>-45650</v>
      </c>
      <c r="XK119" s="294"/>
      <c r="XL119" s="294"/>
      <c r="XM119" s="294"/>
      <c r="XN119" s="294"/>
      <c r="XO119" s="294"/>
      <c r="XP119" s="294"/>
      <c r="XQ119" s="294"/>
      <c r="XR119" s="294"/>
      <c r="XS119" s="294"/>
      <c r="XT119" s="294"/>
      <c r="XU119" s="294">
        <v>-26460</v>
      </c>
      <c r="XV119" s="294"/>
      <c r="XW119" s="294"/>
      <c r="XX119" s="294"/>
      <c r="XY119" s="294">
        <v>-7000</v>
      </c>
      <c r="XZ119" s="294"/>
      <c r="YA119" s="294"/>
      <c r="YB119" s="294"/>
      <c r="YC119" s="294"/>
      <c r="YD119" s="294"/>
      <c r="YE119" s="294"/>
      <c r="YF119" s="294"/>
      <c r="YG119" s="294"/>
      <c r="YH119" s="294"/>
      <c r="YI119" s="294"/>
      <c r="YJ119" s="294"/>
      <c r="YK119" s="294">
        <v>0</v>
      </c>
      <c r="YL119" s="294"/>
      <c r="YM119" s="294"/>
      <c r="YN119" s="294"/>
      <c r="YO119" s="294"/>
      <c r="YP119" s="294"/>
      <c r="YQ119" s="294"/>
      <c r="YR119" s="294"/>
      <c r="YS119" s="294"/>
      <c r="YT119" s="294"/>
      <c r="YU119" s="294"/>
      <c r="YV119" s="294"/>
      <c r="YW119" s="294">
        <v>-69450</v>
      </c>
      <c r="YX119" s="294"/>
      <c r="YY119" s="294">
        <v>-380570</v>
      </c>
      <c r="YZ119" s="294">
        <v>-1640</v>
      </c>
      <c r="ZA119" s="294"/>
      <c r="ZB119" s="294">
        <v>0</v>
      </c>
      <c r="ZC119" s="294">
        <v>-21342296.300000001</v>
      </c>
      <c r="ZD119" s="294"/>
      <c r="ZE119" s="294"/>
      <c r="ZF119" s="294"/>
      <c r="ZG119" s="294">
        <v>-167150</v>
      </c>
      <c r="ZH119" s="294"/>
      <c r="ZI119" s="294"/>
      <c r="ZJ119" s="294">
        <v>0</v>
      </c>
      <c r="ZK119" s="294"/>
      <c r="ZL119" s="294"/>
      <c r="ZM119" s="294">
        <v>-60910</v>
      </c>
      <c r="ZN119" s="294"/>
      <c r="ZO119" s="294"/>
      <c r="ZP119" s="294"/>
      <c r="ZQ119" s="294"/>
      <c r="ZR119" s="294"/>
      <c r="ZS119" s="294"/>
      <c r="ZT119" s="294">
        <v>-44000</v>
      </c>
      <c r="ZU119" s="294">
        <v>-250220</v>
      </c>
      <c r="ZV119" s="294"/>
      <c r="ZW119" s="294"/>
      <c r="ZX119" s="294"/>
      <c r="ZY119" s="294"/>
      <c r="ZZ119" s="294"/>
      <c r="AAA119" s="294"/>
      <c r="AAB119" s="294">
        <v>-75400</v>
      </c>
      <c r="AAC119" s="294"/>
      <c r="AAD119" s="294"/>
      <c r="AAE119" s="294"/>
      <c r="AAF119" s="294">
        <v>-188440</v>
      </c>
      <c r="AAG119" s="294"/>
      <c r="AAH119" s="294"/>
      <c r="AAI119" s="294">
        <v>-125207</v>
      </c>
      <c r="AAJ119" s="294"/>
      <c r="AAK119" s="294"/>
      <c r="AAL119" s="294"/>
      <c r="AAM119" s="294"/>
      <c r="AAN119" s="294"/>
      <c r="AAO119" s="294"/>
      <c r="AAP119" s="294">
        <v>-298190</v>
      </c>
      <c r="AAQ119" s="294"/>
      <c r="AAR119" s="294"/>
      <c r="AAS119" s="294">
        <v>-54925</v>
      </c>
      <c r="AAT119" s="294"/>
      <c r="AAU119" s="294">
        <v>-612870</v>
      </c>
      <c r="AAV119" s="294"/>
      <c r="AAW119" s="294"/>
      <c r="AAX119" s="294"/>
      <c r="AAY119" s="294">
        <v>-84805</v>
      </c>
      <c r="AAZ119" s="294"/>
      <c r="ABA119" s="294"/>
      <c r="ABB119" s="294"/>
      <c r="ABC119" s="294">
        <v>-329660</v>
      </c>
      <c r="ABD119" s="294"/>
      <c r="ABE119" s="294"/>
      <c r="ABF119" s="294"/>
      <c r="ABG119" s="294">
        <v>-21000</v>
      </c>
      <c r="ABH119" s="294"/>
      <c r="ABI119" s="294">
        <v>-66960</v>
      </c>
      <c r="ABJ119" s="294"/>
      <c r="ABK119" s="294">
        <v>0</v>
      </c>
      <c r="ABL119" s="294"/>
      <c r="ABM119" s="294"/>
      <c r="ABN119" s="294"/>
      <c r="ABO119" s="294"/>
      <c r="ABP119" s="294"/>
      <c r="ABQ119" s="294"/>
      <c r="ABR119" s="294"/>
      <c r="ABS119" s="294"/>
      <c r="ABT119" s="294"/>
      <c r="ABU119" s="294"/>
      <c r="ABV119" s="294"/>
      <c r="ABW119" s="294"/>
      <c r="ABX119" s="294"/>
      <c r="ABY119" s="294"/>
      <c r="ABZ119" s="294"/>
      <c r="ACA119" s="294"/>
      <c r="ACB119" s="294">
        <v>-23000</v>
      </c>
      <c r="ACC119" s="294">
        <v>-40700</v>
      </c>
      <c r="ACD119" s="294"/>
      <c r="ACE119" s="294"/>
      <c r="ACF119" s="294"/>
      <c r="ACG119" s="294"/>
      <c r="ACH119" s="294">
        <v>-153976</v>
      </c>
      <c r="ACI119" s="294"/>
      <c r="ACJ119" s="294"/>
      <c r="ACK119" s="294"/>
      <c r="ACL119" s="294"/>
      <c r="ACM119" s="294"/>
      <c r="ACN119" s="294">
        <v>-99150</v>
      </c>
      <c r="ACO119" s="294"/>
      <c r="ACP119" s="294"/>
      <c r="ACQ119" s="294"/>
      <c r="ACR119" s="294"/>
      <c r="ACS119" s="294"/>
      <c r="ACT119" s="294"/>
      <c r="ACU119" s="294"/>
      <c r="ACV119" s="294"/>
      <c r="ACW119" s="294"/>
      <c r="ACX119" s="294">
        <v>-30000</v>
      </c>
      <c r="ACY119" s="294"/>
      <c r="ACZ119" s="294"/>
      <c r="ADA119" s="294"/>
      <c r="ADB119" s="294"/>
      <c r="ADC119" s="294">
        <v>-105960</v>
      </c>
      <c r="ADD119" s="294"/>
      <c r="ADE119" s="294"/>
      <c r="ADF119" s="294"/>
      <c r="ADG119" s="294"/>
      <c r="ADH119" s="294"/>
      <c r="ADI119" s="294"/>
      <c r="ADJ119" s="294"/>
      <c r="ADK119" s="294"/>
      <c r="ADL119" s="294">
        <v>-13945</v>
      </c>
      <c r="ADM119" s="294"/>
      <c r="ADN119" s="294"/>
      <c r="ADO119" s="294"/>
      <c r="ADP119" s="294"/>
      <c r="ADQ119" s="294"/>
      <c r="ADR119" s="294"/>
      <c r="ADS119" s="294"/>
      <c r="ADT119" s="294"/>
      <c r="ADU119" s="294"/>
      <c r="ADV119" s="294"/>
      <c r="ADW119" s="294"/>
      <c r="ADX119" s="294"/>
      <c r="ADY119" s="294"/>
      <c r="ADZ119" s="294"/>
      <c r="AEA119" s="294">
        <v>-20000</v>
      </c>
      <c r="AEB119" s="294"/>
      <c r="AEC119" s="294"/>
      <c r="AED119" s="294">
        <v>-113015</v>
      </c>
      <c r="AEE119" s="294"/>
      <c r="AEF119" s="294">
        <v>-13750</v>
      </c>
      <c r="AEG119" s="294"/>
      <c r="AEH119" s="294"/>
      <c r="AEI119" s="294"/>
      <c r="AEJ119" s="294"/>
      <c r="AEK119" s="294">
        <v>-29532</v>
      </c>
      <c r="AEL119" s="294"/>
      <c r="AEM119" s="294">
        <v>-25600</v>
      </c>
      <c r="AEN119" s="294"/>
      <c r="AEO119" s="294"/>
      <c r="AEP119" s="294"/>
      <c r="AEQ119" s="294"/>
      <c r="AER119" s="294"/>
      <c r="AES119" s="294"/>
      <c r="AET119" s="294"/>
      <c r="AEU119" s="294"/>
      <c r="AEV119" s="294"/>
      <c r="AEW119" s="294"/>
      <c r="AEX119" s="294"/>
      <c r="AEY119" s="294"/>
      <c r="AEZ119" s="294"/>
      <c r="AFA119" s="294">
        <v>-1750</v>
      </c>
      <c r="AFB119" s="294"/>
      <c r="AFC119" s="294"/>
      <c r="AFD119" s="294">
        <v>-435955</v>
      </c>
      <c r="AFE119" s="294"/>
      <c r="AFF119" s="294">
        <v>-8493.5</v>
      </c>
      <c r="AFG119" s="294">
        <v>-18350</v>
      </c>
      <c r="AFH119" s="294">
        <v>-3900</v>
      </c>
      <c r="AFI119" s="294">
        <v>-20000</v>
      </c>
      <c r="AFJ119" s="294">
        <v>-148450</v>
      </c>
      <c r="AFK119" s="294"/>
      <c r="AFL119" s="294">
        <v>-35370</v>
      </c>
      <c r="AFM119" s="294"/>
      <c r="AFN119" s="294"/>
      <c r="AFO119" s="294">
        <v>-210262</v>
      </c>
      <c r="AFP119" s="294"/>
      <c r="AFQ119" s="294"/>
      <c r="AFR119" s="294"/>
      <c r="AFS119" s="294"/>
      <c r="AFT119" s="294">
        <v>-80150</v>
      </c>
      <c r="AFU119" s="294"/>
      <c r="AFV119" s="294"/>
      <c r="AFW119" s="294">
        <v>-15250</v>
      </c>
      <c r="AFX119" s="294"/>
      <c r="AFY119" s="294"/>
      <c r="AFZ119" s="294"/>
      <c r="AGA119" s="294"/>
      <c r="AGB119" s="294"/>
      <c r="AGC119" s="294">
        <v>-451425.62</v>
      </c>
      <c r="AGD119" s="294"/>
      <c r="AGE119" s="294">
        <v>-9625</v>
      </c>
      <c r="AGF119" s="294">
        <v>-233400</v>
      </c>
      <c r="AGG119" s="294">
        <v>-8850</v>
      </c>
      <c r="AGH119" s="294"/>
      <c r="AGI119" s="294"/>
      <c r="AGJ119" s="294">
        <v>-39840</v>
      </c>
      <c r="AGK119" s="294"/>
      <c r="AGL119" s="294"/>
      <c r="AGM119" s="294"/>
      <c r="AGN119" s="294">
        <v>-10530</v>
      </c>
      <c r="AGO119" s="294"/>
      <c r="AGP119" s="294"/>
      <c r="AGQ119" s="294"/>
      <c r="AGR119" s="294"/>
      <c r="AGS119" s="294"/>
      <c r="AGT119" s="294"/>
      <c r="AGU119" s="294"/>
      <c r="AGV119" s="294"/>
      <c r="AGW119" s="294"/>
      <c r="AGX119" s="294"/>
      <c r="AGY119" s="294"/>
      <c r="AGZ119" s="294"/>
      <c r="AHA119" s="294"/>
      <c r="AHB119" s="294"/>
      <c r="AHC119" s="294"/>
      <c r="AHD119" s="294"/>
      <c r="AHE119" s="294"/>
      <c r="AHF119" s="294">
        <v>-107492</v>
      </c>
      <c r="AHG119" s="294"/>
      <c r="AHH119" s="294"/>
      <c r="AHI119" s="294"/>
      <c r="AHJ119" s="294"/>
      <c r="AHK119" s="294"/>
      <c r="AHL119" s="294"/>
      <c r="AHM119" s="294"/>
      <c r="AHN119" s="294"/>
      <c r="AHO119" s="294"/>
      <c r="AHP119" s="294"/>
      <c r="AHQ119" s="294"/>
      <c r="AHR119" s="331">
        <v>-79550</v>
      </c>
      <c r="AHS119" s="294">
        <f t="shared" si="51"/>
        <v>-72589213.160000011</v>
      </c>
      <c r="AHT119" s="269" t="b">
        <f t="shared" si="52"/>
        <v>1</v>
      </c>
      <c r="AHU119" s="269" t="s">
        <v>6278</v>
      </c>
      <c r="AHV119" s="269" t="s">
        <v>6180</v>
      </c>
      <c r="AHW119" s="269" t="s">
        <v>6181</v>
      </c>
    </row>
    <row r="120" spans="1:907" ht="24.6" x14ac:dyDescent="0.7">
      <c r="A120" s="268" t="s">
        <v>6278</v>
      </c>
      <c r="B120" s="268" t="s">
        <v>6182</v>
      </c>
      <c r="C120" s="269" t="s">
        <v>6183</v>
      </c>
      <c r="D120" s="294">
        <v>-84748</v>
      </c>
      <c r="E120" s="294"/>
      <c r="F120" s="294"/>
      <c r="G120" s="294"/>
      <c r="H120" s="294">
        <v>-500</v>
      </c>
      <c r="I120" s="294"/>
      <c r="J120" s="294"/>
      <c r="K120" s="294"/>
      <c r="L120" s="294">
        <v>-136000</v>
      </c>
      <c r="M120" s="294"/>
      <c r="N120" s="294"/>
      <c r="O120" s="294"/>
      <c r="P120" s="294">
        <v>-15874696.49</v>
      </c>
      <c r="Q120" s="294"/>
      <c r="R120" s="294"/>
      <c r="S120" s="294"/>
      <c r="T120" s="294">
        <v>-109500</v>
      </c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4"/>
      <c r="AF120" s="294"/>
      <c r="AG120" s="294"/>
      <c r="AH120" s="294"/>
      <c r="AI120" s="294"/>
      <c r="AJ120" s="294"/>
      <c r="AK120" s="294">
        <v>0</v>
      </c>
      <c r="AL120" s="294">
        <v>-16500</v>
      </c>
      <c r="AM120" s="294">
        <v>0</v>
      </c>
      <c r="AN120" s="294"/>
      <c r="AO120" s="294"/>
      <c r="AP120" s="294"/>
      <c r="AQ120" s="294"/>
      <c r="AR120" s="294"/>
      <c r="AS120" s="294"/>
      <c r="AT120" s="294">
        <v>-19000</v>
      </c>
      <c r="AU120" s="294"/>
      <c r="AV120" s="294"/>
      <c r="AW120" s="294"/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>
        <v>-84250.25</v>
      </c>
      <c r="BI120" s="294"/>
      <c r="BJ120" s="294"/>
      <c r="BK120" s="294"/>
      <c r="BL120" s="294"/>
      <c r="BM120" s="294"/>
      <c r="BN120" s="294"/>
      <c r="BO120" s="294"/>
      <c r="BP120" s="294"/>
      <c r="BQ120" s="294">
        <v>-515</v>
      </c>
      <c r="BR120" s="294"/>
      <c r="BS120" s="294"/>
      <c r="BT120" s="294"/>
      <c r="BU120" s="294"/>
      <c r="BV120" s="294"/>
      <c r="BW120" s="294"/>
      <c r="BX120" s="294"/>
      <c r="BY120" s="294"/>
      <c r="BZ120" s="294"/>
      <c r="CA120" s="294"/>
      <c r="CB120" s="294"/>
      <c r="CC120" s="294"/>
      <c r="CD120" s="294"/>
      <c r="CE120" s="294"/>
      <c r="CF120" s="294"/>
      <c r="CG120" s="294"/>
      <c r="CH120" s="294"/>
      <c r="CI120" s="294"/>
      <c r="CJ120" s="294"/>
      <c r="CK120" s="294"/>
      <c r="CL120" s="294"/>
      <c r="CM120" s="294"/>
      <c r="CN120" s="294"/>
      <c r="CO120" s="294"/>
      <c r="CP120" s="294"/>
      <c r="CQ120" s="294"/>
      <c r="CR120" s="294"/>
      <c r="CS120" s="294"/>
      <c r="CT120" s="294"/>
      <c r="CU120" s="294"/>
      <c r="CV120" s="294"/>
      <c r="CW120" s="294"/>
      <c r="CX120" s="294"/>
      <c r="CY120" s="294"/>
      <c r="CZ120" s="294"/>
      <c r="DA120" s="294"/>
      <c r="DB120" s="294"/>
      <c r="DC120" s="294"/>
      <c r="DD120" s="294"/>
      <c r="DE120" s="294"/>
      <c r="DF120" s="294"/>
      <c r="DG120" s="294"/>
      <c r="DH120" s="294"/>
      <c r="DI120" s="294"/>
      <c r="DJ120" s="294"/>
      <c r="DK120" s="294"/>
      <c r="DL120" s="294"/>
      <c r="DM120" s="294"/>
      <c r="DN120" s="294"/>
      <c r="DO120" s="294"/>
      <c r="DP120" s="294"/>
      <c r="DQ120" s="294"/>
      <c r="DR120" s="294"/>
      <c r="DS120" s="294"/>
      <c r="DT120" s="294"/>
      <c r="DU120" s="294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>
        <v>-293000.26</v>
      </c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  <c r="FI120" s="294"/>
      <c r="FJ120" s="294"/>
      <c r="FK120" s="294"/>
      <c r="FL120" s="294"/>
      <c r="FM120" s="294"/>
      <c r="FN120" s="294"/>
      <c r="FO120" s="294"/>
      <c r="FP120" s="294"/>
      <c r="FQ120" s="294">
        <v>0</v>
      </c>
      <c r="FR120" s="294"/>
      <c r="FS120" s="294"/>
      <c r="FT120" s="294">
        <v>-95916.9</v>
      </c>
      <c r="FU120" s="294">
        <v>-647004.04</v>
      </c>
      <c r="FV120" s="294">
        <v>0</v>
      </c>
      <c r="FW120" s="294">
        <v>-175585</v>
      </c>
      <c r="FX120" s="294"/>
      <c r="FY120" s="294">
        <v>0</v>
      </c>
      <c r="FZ120" s="294"/>
      <c r="GA120" s="294">
        <v>0</v>
      </c>
      <c r="GB120" s="294">
        <v>0</v>
      </c>
      <c r="GC120" s="294">
        <v>-20255</v>
      </c>
      <c r="GD120" s="294">
        <v>-6823.34</v>
      </c>
      <c r="GE120" s="294">
        <v>-2623273.14</v>
      </c>
      <c r="GF120" s="294"/>
      <c r="GG120" s="294"/>
      <c r="GH120" s="294"/>
      <c r="GI120" s="294"/>
      <c r="GJ120" s="294"/>
      <c r="GK120" s="294"/>
      <c r="GL120" s="294"/>
      <c r="GM120" s="294"/>
      <c r="GN120" s="294"/>
      <c r="GO120" s="294"/>
      <c r="GP120" s="294"/>
      <c r="GQ120" s="294"/>
      <c r="GR120" s="294"/>
      <c r="GS120" s="294"/>
      <c r="GT120" s="294"/>
      <c r="GU120" s="294"/>
      <c r="GV120" s="294"/>
      <c r="GW120" s="294"/>
      <c r="GX120" s="294"/>
      <c r="GY120" s="294"/>
      <c r="GZ120" s="294"/>
      <c r="HA120" s="294"/>
      <c r="HB120" s="294"/>
      <c r="HC120" s="294"/>
      <c r="HD120" s="294"/>
      <c r="HE120" s="294"/>
      <c r="HF120" s="294"/>
      <c r="HG120" s="294"/>
      <c r="HH120" s="294"/>
      <c r="HI120" s="294"/>
      <c r="HJ120" s="294"/>
      <c r="HK120" s="294"/>
      <c r="HL120" s="294"/>
      <c r="HM120" s="294"/>
      <c r="HN120" s="294"/>
      <c r="HO120" s="294"/>
      <c r="HP120" s="294"/>
      <c r="HQ120" s="294"/>
      <c r="HR120" s="294"/>
      <c r="HS120" s="294"/>
      <c r="HT120" s="294"/>
      <c r="HU120" s="294"/>
      <c r="HV120" s="294"/>
      <c r="HW120" s="294"/>
      <c r="HX120" s="294"/>
      <c r="HY120" s="294"/>
      <c r="HZ120" s="294"/>
      <c r="IA120" s="294"/>
      <c r="IB120" s="294"/>
      <c r="IC120" s="294"/>
      <c r="ID120" s="294"/>
      <c r="IE120" s="294"/>
      <c r="IF120" s="294"/>
      <c r="IG120" s="294"/>
      <c r="IH120" s="294"/>
      <c r="II120" s="294"/>
      <c r="IJ120" s="294"/>
      <c r="IK120" s="294"/>
      <c r="IL120" s="294"/>
      <c r="IM120" s="294"/>
      <c r="IN120" s="294"/>
      <c r="IO120" s="294"/>
      <c r="IP120" s="294"/>
      <c r="IQ120" s="294"/>
      <c r="IR120" s="294"/>
      <c r="IS120" s="294">
        <v>-149100</v>
      </c>
      <c r="IT120" s="294"/>
      <c r="IU120" s="294"/>
      <c r="IV120" s="294"/>
      <c r="IW120" s="294"/>
      <c r="IX120" s="294">
        <v>-1800</v>
      </c>
      <c r="IY120" s="294"/>
      <c r="IZ120" s="294"/>
      <c r="JA120" s="294"/>
      <c r="JB120" s="294">
        <v>0</v>
      </c>
      <c r="JC120" s="294"/>
      <c r="JD120" s="294"/>
      <c r="JE120" s="294"/>
      <c r="JF120" s="294"/>
      <c r="JG120" s="294"/>
      <c r="JH120" s="294"/>
      <c r="JI120" s="294"/>
      <c r="JJ120" s="294"/>
      <c r="JK120" s="294"/>
      <c r="JL120" s="294"/>
      <c r="JM120" s="294"/>
      <c r="JN120" s="294"/>
      <c r="JO120" s="294"/>
      <c r="JP120" s="294"/>
      <c r="JQ120" s="294"/>
      <c r="JR120" s="294"/>
      <c r="JS120" s="294"/>
      <c r="JT120" s="294"/>
      <c r="JU120" s="294"/>
      <c r="JV120" s="294"/>
      <c r="JW120" s="294"/>
      <c r="JX120" s="294"/>
      <c r="JY120" s="294"/>
      <c r="JZ120" s="294"/>
      <c r="KA120" s="294"/>
      <c r="KB120" s="294"/>
      <c r="KC120" s="294"/>
      <c r="KD120" s="294"/>
      <c r="KE120" s="294"/>
      <c r="KF120" s="294"/>
      <c r="KG120" s="294"/>
      <c r="KH120" s="294">
        <v>0</v>
      </c>
      <c r="KI120" s="294"/>
      <c r="KJ120" s="294"/>
      <c r="KK120" s="294"/>
      <c r="KL120" s="294"/>
      <c r="KM120" s="294"/>
      <c r="KN120" s="294"/>
      <c r="KO120" s="294"/>
      <c r="KP120" s="294"/>
      <c r="KQ120" s="294"/>
      <c r="KR120" s="294"/>
      <c r="KS120" s="294"/>
      <c r="KT120" s="294">
        <v>-694500</v>
      </c>
      <c r="KU120" s="294"/>
      <c r="KV120" s="294"/>
      <c r="KW120" s="294"/>
      <c r="KX120" s="294"/>
      <c r="KY120" s="294"/>
      <c r="KZ120" s="294"/>
      <c r="LA120" s="294"/>
      <c r="LB120" s="294"/>
      <c r="LC120" s="294"/>
      <c r="LD120" s="294"/>
      <c r="LE120" s="294">
        <v>-106132.5</v>
      </c>
      <c r="LF120" s="294">
        <v>0</v>
      </c>
      <c r="LG120" s="294"/>
      <c r="LH120" s="294"/>
      <c r="LI120" s="294"/>
      <c r="LJ120" s="294"/>
      <c r="LK120" s="294"/>
      <c r="LL120" s="294"/>
      <c r="LM120" s="294"/>
      <c r="LN120" s="294">
        <v>-206431.45</v>
      </c>
      <c r="LO120" s="294">
        <v>-249080</v>
      </c>
      <c r="LP120" s="294"/>
      <c r="LQ120" s="294"/>
      <c r="LR120" s="294"/>
      <c r="LS120" s="294"/>
      <c r="LT120" s="294"/>
      <c r="LU120" s="294"/>
      <c r="LV120" s="294"/>
      <c r="LW120" s="294"/>
      <c r="LX120" s="294"/>
      <c r="LY120" s="294"/>
      <c r="LZ120" s="294">
        <v>-286</v>
      </c>
      <c r="MA120" s="294"/>
      <c r="MB120" s="294"/>
      <c r="MC120" s="294"/>
      <c r="MD120" s="294"/>
      <c r="ME120" s="294"/>
      <c r="MF120" s="294"/>
      <c r="MG120" s="294">
        <v>-1376500</v>
      </c>
      <c r="MH120" s="294"/>
      <c r="MI120" s="294">
        <v>-336500</v>
      </c>
      <c r="MJ120" s="294">
        <v>0</v>
      </c>
      <c r="MK120" s="294">
        <v>-375500</v>
      </c>
      <c r="ML120" s="294">
        <v>-1496000</v>
      </c>
      <c r="MM120" s="294">
        <v>-1632000</v>
      </c>
      <c r="MN120" s="294"/>
      <c r="MO120" s="294">
        <v>-8500</v>
      </c>
      <c r="MP120" s="294"/>
      <c r="MQ120" s="294">
        <v>-301500</v>
      </c>
      <c r="MR120" s="294"/>
      <c r="MS120" s="294"/>
      <c r="MT120" s="294"/>
      <c r="MU120" s="294"/>
      <c r="MV120" s="294"/>
      <c r="MW120" s="294">
        <v>-49000</v>
      </c>
      <c r="MX120" s="294"/>
      <c r="MY120" s="294"/>
      <c r="MZ120" s="294"/>
      <c r="NA120" s="294"/>
      <c r="NB120" s="294"/>
      <c r="NC120" s="294"/>
      <c r="ND120" s="294"/>
      <c r="NE120" s="294">
        <v>0</v>
      </c>
      <c r="NF120" s="294"/>
      <c r="NG120" s="294">
        <v>-5367500</v>
      </c>
      <c r="NH120" s="294"/>
      <c r="NI120" s="294"/>
      <c r="NJ120" s="294"/>
      <c r="NK120" s="294"/>
      <c r="NL120" s="294"/>
      <c r="NM120" s="294"/>
      <c r="NN120" s="294"/>
      <c r="NO120" s="294"/>
      <c r="NP120" s="294"/>
      <c r="NQ120" s="294"/>
      <c r="NR120" s="294"/>
      <c r="NS120" s="294"/>
      <c r="NT120" s="294"/>
      <c r="NU120" s="294"/>
      <c r="NV120" s="294">
        <v>0</v>
      </c>
      <c r="NW120" s="294"/>
      <c r="NX120" s="294"/>
      <c r="NY120" s="294"/>
      <c r="NZ120" s="294"/>
      <c r="OA120" s="294"/>
      <c r="OB120" s="294"/>
      <c r="OC120" s="294">
        <v>0</v>
      </c>
      <c r="OD120" s="294"/>
      <c r="OE120" s="294">
        <v>-30000</v>
      </c>
      <c r="OF120" s="294"/>
      <c r="OG120" s="294"/>
      <c r="OH120" s="294"/>
      <c r="OI120" s="294"/>
      <c r="OJ120" s="294"/>
      <c r="OK120" s="294"/>
      <c r="OL120" s="294">
        <v>0</v>
      </c>
      <c r="OM120" s="294"/>
      <c r="ON120" s="294"/>
      <c r="OO120" s="294">
        <v>-5751500</v>
      </c>
      <c r="OP120" s="294"/>
      <c r="OQ120" s="294"/>
      <c r="OR120" s="294"/>
      <c r="OS120" s="294"/>
      <c r="OT120" s="294">
        <v>-127000</v>
      </c>
      <c r="OU120" s="294"/>
      <c r="OV120" s="294"/>
      <c r="OW120" s="294"/>
      <c r="OX120" s="294"/>
      <c r="OY120" s="294"/>
      <c r="OZ120" s="294"/>
      <c r="PA120" s="294"/>
      <c r="PB120" s="294"/>
      <c r="PC120" s="294"/>
      <c r="PD120" s="294"/>
      <c r="PE120" s="294"/>
      <c r="PF120" s="294"/>
      <c r="PG120" s="294"/>
      <c r="PH120" s="294"/>
      <c r="PI120" s="294"/>
      <c r="PJ120" s="294"/>
      <c r="PK120" s="294"/>
      <c r="PL120" s="294"/>
      <c r="PM120" s="294"/>
      <c r="PN120" s="294"/>
      <c r="PO120" s="294"/>
      <c r="PP120" s="294"/>
      <c r="PQ120" s="294"/>
      <c r="PR120" s="294"/>
      <c r="PS120" s="294"/>
      <c r="PT120" s="294"/>
      <c r="PU120" s="294"/>
      <c r="PV120" s="294"/>
      <c r="PW120" s="294"/>
      <c r="PX120" s="294"/>
      <c r="PY120" s="294"/>
      <c r="PZ120" s="294"/>
      <c r="QA120" s="294"/>
      <c r="QB120" s="294"/>
      <c r="QC120" s="294"/>
      <c r="QD120" s="294"/>
      <c r="QE120" s="294"/>
      <c r="QF120" s="294"/>
      <c r="QG120" s="294"/>
      <c r="QH120" s="294"/>
      <c r="QI120" s="294"/>
      <c r="QJ120" s="294"/>
      <c r="QK120" s="294"/>
      <c r="QL120" s="294"/>
      <c r="QM120" s="294"/>
      <c r="QN120" s="294"/>
      <c r="QO120" s="294"/>
      <c r="QP120" s="294"/>
      <c r="QQ120" s="294"/>
      <c r="QR120" s="294"/>
      <c r="QS120" s="294"/>
      <c r="QT120" s="294"/>
      <c r="QU120" s="294"/>
      <c r="QV120" s="294"/>
      <c r="QW120" s="294"/>
      <c r="QX120" s="294"/>
      <c r="QY120" s="294"/>
      <c r="QZ120" s="294"/>
      <c r="RA120" s="294"/>
      <c r="RB120" s="294"/>
      <c r="RC120" s="294">
        <v>0</v>
      </c>
      <c r="RD120" s="294"/>
      <c r="RE120" s="294"/>
      <c r="RF120" s="294"/>
      <c r="RG120" s="294"/>
      <c r="RH120" s="294"/>
      <c r="RI120" s="294"/>
      <c r="RJ120" s="294"/>
      <c r="RK120" s="294"/>
      <c r="RL120" s="294"/>
      <c r="RM120" s="294"/>
      <c r="RN120" s="294"/>
      <c r="RO120" s="294"/>
      <c r="RP120" s="294">
        <v>0</v>
      </c>
      <c r="RQ120" s="294"/>
      <c r="RR120" s="294"/>
      <c r="RS120" s="294"/>
      <c r="RT120" s="294"/>
      <c r="RU120" s="294"/>
      <c r="RV120" s="294">
        <v>-18750</v>
      </c>
      <c r="RW120" s="294"/>
      <c r="RX120" s="294"/>
      <c r="RY120" s="294"/>
      <c r="RZ120" s="294"/>
      <c r="SA120" s="294">
        <v>-44300</v>
      </c>
      <c r="SB120" s="294"/>
      <c r="SC120" s="294"/>
      <c r="SD120" s="294"/>
      <c r="SE120" s="294"/>
      <c r="SF120" s="294"/>
      <c r="SG120" s="294"/>
      <c r="SH120" s="294"/>
      <c r="SI120" s="294"/>
      <c r="SJ120" s="294"/>
      <c r="SK120" s="294"/>
      <c r="SL120" s="294"/>
      <c r="SM120" s="294"/>
      <c r="SN120" s="294"/>
      <c r="SO120" s="294"/>
      <c r="SP120" s="294"/>
      <c r="SQ120" s="294"/>
      <c r="SR120" s="294"/>
      <c r="SS120" s="294"/>
      <c r="ST120" s="294"/>
      <c r="SU120" s="294"/>
      <c r="SV120" s="294"/>
      <c r="SW120" s="294"/>
      <c r="SX120" s="294"/>
      <c r="SY120" s="294"/>
      <c r="SZ120" s="294"/>
      <c r="TA120" s="294"/>
      <c r="TB120" s="294"/>
      <c r="TC120" s="294"/>
      <c r="TD120" s="294"/>
      <c r="TE120" s="294"/>
      <c r="TF120" s="294"/>
      <c r="TG120" s="294"/>
      <c r="TH120" s="294"/>
      <c r="TI120" s="294">
        <v>-70500</v>
      </c>
      <c r="TJ120" s="294"/>
      <c r="TK120" s="294"/>
      <c r="TL120" s="294"/>
      <c r="TM120" s="294"/>
      <c r="TN120" s="294"/>
      <c r="TO120" s="294"/>
      <c r="TP120" s="294"/>
      <c r="TQ120" s="294"/>
      <c r="TR120" s="294"/>
      <c r="TS120" s="294"/>
      <c r="TT120" s="294"/>
      <c r="TU120" s="294"/>
      <c r="TV120" s="294"/>
      <c r="TW120" s="294">
        <v>-10000</v>
      </c>
      <c r="TX120" s="294"/>
      <c r="TY120" s="294"/>
      <c r="TZ120" s="294"/>
      <c r="UA120" s="294"/>
      <c r="UB120" s="294"/>
      <c r="UC120" s="294"/>
      <c r="UD120" s="294"/>
      <c r="UE120" s="294">
        <v>-103052.87</v>
      </c>
      <c r="UF120" s="294"/>
      <c r="UG120" s="294"/>
      <c r="UH120" s="294"/>
      <c r="UI120" s="294"/>
      <c r="UJ120" s="294"/>
      <c r="UK120" s="294"/>
      <c r="UL120" s="294"/>
      <c r="UM120" s="294"/>
      <c r="UN120" s="294"/>
      <c r="UO120" s="294">
        <v>0</v>
      </c>
      <c r="UP120" s="294"/>
      <c r="UQ120" s="294"/>
      <c r="UR120" s="294"/>
      <c r="US120" s="294"/>
      <c r="UT120" s="294"/>
      <c r="UU120" s="294"/>
      <c r="UV120" s="294"/>
      <c r="UW120" s="294"/>
      <c r="UX120" s="294"/>
      <c r="UY120" s="294"/>
      <c r="UZ120" s="294"/>
      <c r="VA120" s="294"/>
      <c r="VB120" s="294"/>
      <c r="VC120" s="294"/>
      <c r="VD120" s="294"/>
      <c r="VE120" s="294"/>
      <c r="VF120" s="294"/>
      <c r="VG120" s="294"/>
      <c r="VH120" s="294"/>
      <c r="VI120" s="294"/>
      <c r="VJ120" s="294"/>
      <c r="VK120" s="294"/>
      <c r="VL120" s="294"/>
      <c r="VM120" s="294"/>
      <c r="VN120" s="294"/>
      <c r="VO120" s="294"/>
      <c r="VP120" s="294"/>
      <c r="VQ120" s="294"/>
      <c r="VR120" s="294"/>
      <c r="VS120" s="294"/>
      <c r="VT120" s="294"/>
      <c r="VU120" s="294"/>
      <c r="VV120" s="294"/>
      <c r="VW120" s="294"/>
      <c r="VX120" s="294"/>
      <c r="VY120" s="294"/>
      <c r="VZ120" s="294"/>
      <c r="WA120" s="294"/>
      <c r="WB120" s="294">
        <v>-146000</v>
      </c>
      <c r="WC120" s="294"/>
      <c r="WD120" s="294"/>
      <c r="WE120" s="294"/>
      <c r="WF120" s="294"/>
      <c r="WG120" s="294"/>
      <c r="WH120" s="294">
        <v>-13030</v>
      </c>
      <c r="WI120" s="294"/>
      <c r="WJ120" s="294"/>
      <c r="WK120" s="294"/>
      <c r="WL120" s="294"/>
      <c r="WM120" s="294"/>
      <c r="WN120" s="294"/>
      <c r="WO120" s="294">
        <v>-20500</v>
      </c>
      <c r="WP120" s="294">
        <v>-9000</v>
      </c>
      <c r="WQ120" s="294"/>
      <c r="WR120" s="294"/>
      <c r="WS120" s="294"/>
      <c r="WT120" s="294"/>
      <c r="WU120" s="294"/>
      <c r="WV120" s="294"/>
      <c r="WW120" s="294"/>
      <c r="WX120" s="294"/>
      <c r="WY120" s="294">
        <v>-131900</v>
      </c>
      <c r="WZ120" s="294"/>
      <c r="XA120" s="294"/>
      <c r="XB120" s="294"/>
      <c r="XC120" s="294"/>
      <c r="XD120" s="294">
        <v>-17500</v>
      </c>
      <c r="XE120" s="294"/>
      <c r="XF120" s="294"/>
      <c r="XG120" s="294"/>
      <c r="XH120" s="294"/>
      <c r="XI120" s="294"/>
      <c r="XJ120" s="294"/>
      <c r="XK120" s="294"/>
      <c r="XL120" s="294"/>
      <c r="XM120" s="294"/>
      <c r="XN120" s="294"/>
      <c r="XO120" s="294"/>
      <c r="XP120" s="294"/>
      <c r="XQ120" s="294"/>
      <c r="XR120" s="294"/>
      <c r="XS120" s="294"/>
      <c r="XT120" s="294"/>
      <c r="XU120" s="294"/>
      <c r="XV120" s="294"/>
      <c r="XW120" s="294"/>
      <c r="XX120" s="294"/>
      <c r="XY120" s="294"/>
      <c r="XZ120" s="294"/>
      <c r="YA120" s="294"/>
      <c r="YB120" s="294"/>
      <c r="YC120" s="294"/>
      <c r="YD120" s="294"/>
      <c r="YE120" s="294"/>
      <c r="YF120" s="294"/>
      <c r="YG120" s="294"/>
      <c r="YH120" s="294"/>
      <c r="YI120" s="294"/>
      <c r="YJ120" s="294"/>
      <c r="YK120" s="294"/>
      <c r="YL120" s="294"/>
      <c r="YM120" s="294"/>
      <c r="YN120" s="294"/>
      <c r="YO120" s="294"/>
      <c r="YP120" s="294"/>
      <c r="YQ120" s="294"/>
      <c r="YR120" s="294"/>
      <c r="YS120" s="294"/>
      <c r="YT120" s="294"/>
      <c r="YU120" s="294"/>
      <c r="YV120" s="294"/>
      <c r="YW120" s="294"/>
      <c r="YX120" s="294"/>
      <c r="YY120" s="294"/>
      <c r="YZ120" s="294"/>
      <c r="ZA120" s="294"/>
      <c r="ZB120" s="294"/>
      <c r="ZC120" s="294"/>
      <c r="ZD120" s="294"/>
      <c r="ZE120" s="294"/>
      <c r="ZF120" s="294"/>
      <c r="ZG120" s="294"/>
      <c r="ZH120" s="294"/>
      <c r="ZI120" s="294"/>
      <c r="ZJ120" s="294">
        <v>-128530</v>
      </c>
      <c r="ZK120" s="294"/>
      <c r="ZL120" s="294">
        <v>-277054.94</v>
      </c>
      <c r="ZM120" s="294"/>
      <c r="ZN120" s="294"/>
      <c r="ZO120" s="294"/>
      <c r="ZP120" s="294"/>
      <c r="ZQ120" s="294"/>
      <c r="ZR120" s="294"/>
      <c r="ZS120" s="294"/>
      <c r="ZT120" s="294"/>
      <c r="ZU120" s="294"/>
      <c r="ZV120" s="294"/>
      <c r="ZW120" s="294"/>
      <c r="ZX120" s="294"/>
      <c r="ZY120" s="294"/>
      <c r="ZZ120" s="294"/>
      <c r="AAA120" s="294"/>
      <c r="AAB120" s="294"/>
      <c r="AAC120" s="294"/>
      <c r="AAD120" s="294"/>
      <c r="AAE120" s="294"/>
      <c r="AAF120" s="294"/>
      <c r="AAG120" s="294"/>
      <c r="AAH120" s="294"/>
      <c r="AAI120" s="294"/>
      <c r="AAJ120" s="294"/>
      <c r="AAK120" s="294"/>
      <c r="AAL120" s="294"/>
      <c r="AAM120" s="294"/>
      <c r="AAN120" s="294"/>
      <c r="AAO120" s="294"/>
      <c r="AAP120" s="294"/>
      <c r="AAQ120" s="294"/>
      <c r="AAR120" s="294"/>
      <c r="AAS120" s="294"/>
      <c r="AAT120" s="294"/>
      <c r="AAU120" s="294"/>
      <c r="AAV120" s="294"/>
      <c r="AAW120" s="294">
        <v>-17000</v>
      </c>
      <c r="AAX120" s="294"/>
      <c r="AAY120" s="294"/>
      <c r="AAZ120" s="294"/>
      <c r="ABA120" s="294"/>
      <c r="ABB120" s="294"/>
      <c r="ABC120" s="294">
        <v>0</v>
      </c>
      <c r="ABD120" s="294"/>
      <c r="ABE120" s="294"/>
      <c r="ABF120" s="294"/>
      <c r="ABG120" s="294"/>
      <c r="ABH120" s="294"/>
      <c r="ABI120" s="294"/>
      <c r="ABJ120" s="294"/>
      <c r="ABK120" s="294">
        <v>0</v>
      </c>
      <c r="ABL120" s="294"/>
      <c r="ABM120" s="294"/>
      <c r="ABN120" s="294"/>
      <c r="ABO120" s="294"/>
      <c r="ABP120" s="294"/>
      <c r="ABQ120" s="294"/>
      <c r="ABR120" s="294"/>
      <c r="ABS120" s="294"/>
      <c r="ABT120" s="294"/>
      <c r="ABU120" s="294"/>
      <c r="ABV120" s="294"/>
      <c r="ABW120" s="294"/>
      <c r="ABX120" s="294"/>
      <c r="ABY120" s="294"/>
      <c r="ABZ120" s="294"/>
      <c r="ACA120" s="294"/>
      <c r="ACB120" s="294"/>
      <c r="ACC120" s="294"/>
      <c r="ACD120" s="294">
        <v>-19200</v>
      </c>
      <c r="ACE120" s="294"/>
      <c r="ACF120" s="294"/>
      <c r="ACG120" s="294">
        <v>-1500</v>
      </c>
      <c r="ACH120" s="294"/>
      <c r="ACI120" s="294">
        <v>-219458.9</v>
      </c>
      <c r="ACJ120" s="294"/>
      <c r="ACK120" s="294"/>
      <c r="ACL120" s="294"/>
      <c r="ACM120" s="294"/>
      <c r="ACN120" s="294">
        <v>-9307</v>
      </c>
      <c r="ACO120" s="294"/>
      <c r="ACP120" s="294"/>
      <c r="ACQ120" s="294"/>
      <c r="ACR120" s="294"/>
      <c r="ACS120" s="294"/>
      <c r="ACT120" s="294"/>
      <c r="ACU120" s="294"/>
      <c r="ACV120" s="294"/>
      <c r="ACW120" s="294"/>
      <c r="ACX120" s="294"/>
      <c r="ACY120" s="294"/>
      <c r="ACZ120" s="294"/>
      <c r="ADA120" s="294"/>
      <c r="ADB120" s="294"/>
      <c r="ADC120" s="294"/>
      <c r="ADD120" s="294"/>
      <c r="ADE120" s="294"/>
      <c r="ADF120" s="294"/>
      <c r="ADG120" s="294"/>
      <c r="ADH120" s="294"/>
      <c r="ADI120" s="294">
        <v>-4656</v>
      </c>
      <c r="ADJ120" s="294"/>
      <c r="ADK120" s="294"/>
      <c r="ADL120" s="294"/>
      <c r="ADM120" s="294"/>
      <c r="ADN120" s="294"/>
      <c r="ADO120" s="294"/>
      <c r="ADP120" s="294"/>
      <c r="ADQ120" s="294"/>
      <c r="ADR120" s="294"/>
      <c r="ADS120" s="294"/>
      <c r="ADT120" s="294"/>
      <c r="ADU120" s="294"/>
      <c r="ADV120" s="294"/>
      <c r="ADW120" s="294"/>
      <c r="ADX120" s="294"/>
      <c r="ADY120" s="294"/>
      <c r="ADZ120" s="294"/>
      <c r="AEA120" s="294"/>
      <c r="AEB120" s="294"/>
      <c r="AEC120" s="294"/>
      <c r="AED120" s="294"/>
      <c r="AEE120" s="294"/>
      <c r="AEF120" s="294"/>
      <c r="AEG120" s="294"/>
      <c r="AEH120" s="294"/>
      <c r="AEI120" s="294"/>
      <c r="AEJ120" s="294"/>
      <c r="AEK120" s="294"/>
      <c r="AEL120" s="294">
        <v>-3700</v>
      </c>
      <c r="AEM120" s="294"/>
      <c r="AEN120" s="294"/>
      <c r="AEO120" s="294"/>
      <c r="AEP120" s="294"/>
      <c r="AEQ120" s="294"/>
      <c r="AER120" s="294"/>
      <c r="AES120" s="294"/>
      <c r="AET120" s="294"/>
      <c r="AEU120" s="294"/>
      <c r="AEV120" s="294"/>
      <c r="AEW120" s="294"/>
      <c r="AEX120" s="294"/>
      <c r="AEY120" s="294"/>
      <c r="AEZ120" s="294"/>
      <c r="AFA120" s="294"/>
      <c r="AFB120" s="294"/>
      <c r="AFC120" s="294"/>
      <c r="AFD120" s="294"/>
      <c r="AFE120" s="294"/>
      <c r="AFF120" s="294"/>
      <c r="AFG120" s="294"/>
      <c r="AFH120" s="294"/>
      <c r="AFI120" s="294"/>
      <c r="AFJ120" s="294"/>
      <c r="AFK120" s="294"/>
      <c r="AFL120" s="294"/>
      <c r="AFM120" s="294"/>
      <c r="AFN120" s="294"/>
      <c r="AFO120" s="294"/>
      <c r="AFP120" s="294"/>
      <c r="AFQ120" s="294"/>
      <c r="AFR120" s="294"/>
      <c r="AFS120" s="294"/>
      <c r="AFT120" s="294"/>
      <c r="AFU120" s="294"/>
      <c r="AFV120" s="294"/>
      <c r="AFW120" s="294"/>
      <c r="AFX120" s="294"/>
      <c r="AFY120" s="294"/>
      <c r="AFZ120" s="294"/>
      <c r="AGA120" s="294"/>
      <c r="AGB120" s="294"/>
      <c r="AGC120" s="294"/>
      <c r="AGD120" s="294"/>
      <c r="AGE120" s="294"/>
      <c r="AGF120" s="294"/>
      <c r="AGG120" s="294"/>
      <c r="AGH120" s="294"/>
      <c r="AGI120" s="294"/>
      <c r="AGJ120" s="294"/>
      <c r="AGK120" s="294"/>
      <c r="AGL120" s="294"/>
      <c r="AGM120" s="294"/>
      <c r="AGN120" s="294"/>
      <c r="AGO120" s="294"/>
      <c r="AGP120" s="294"/>
      <c r="AGQ120" s="294"/>
      <c r="AGR120" s="294"/>
      <c r="AGS120" s="294"/>
      <c r="AGT120" s="294"/>
      <c r="AGU120" s="294">
        <v>-112583.35</v>
      </c>
      <c r="AGV120" s="294"/>
      <c r="AGW120" s="294"/>
      <c r="AGX120" s="294"/>
      <c r="AGY120" s="294"/>
      <c r="AGZ120" s="294"/>
      <c r="AHA120" s="294"/>
      <c r="AHB120" s="294"/>
      <c r="AHC120" s="294"/>
      <c r="AHD120" s="294"/>
      <c r="AHE120" s="294"/>
      <c r="AHF120" s="294"/>
      <c r="AHG120" s="294"/>
      <c r="AHH120" s="294">
        <v>-240200</v>
      </c>
      <c r="AHI120" s="294"/>
      <c r="AHJ120" s="294"/>
      <c r="AHK120" s="294"/>
      <c r="AHL120" s="294"/>
      <c r="AHM120" s="294"/>
      <c r="AHN120" s="294"/>
      <c r="AHO120" s="294"/>
      <c r="AHP120" s="294"/>
      <c r="AHQ120" s="294"/>
      <c r="AHR120" s="331"/>
      <c r="AHS120" s="294">
        <f>SUM(D120:AHR120)</f>
        <v>-40064120.43</v>
      </c>
      <c r="AHT120" s="269" t="b">
        <f t="shared" si="52"/>
        <v>1</v>
      </c>
      <c r="AHU120" s="269" t="s">
        <v>6278</v>
      </c>
      <c r="AHV120" s="269" t="s">
        <v>6182</v>
      </c>
      <c r="AHW120" s="269" t="s">
        <v>6183</v>
      </c>
    </row>
    <row r="121" spans="1:907" ht="24.6" x14ac:dyDescent="0.7">
      <c r="A121" s="268" t="s">
        <v>6279</v>
      </c>
      <c r="B121" s="268" t="s">
        <v>6184</v>
      </c>
      <c r="C121" s="269" t="s">
        <v>6185</v>
      </c>
      <c r="D121" s="294">
        <v>-683000</v>
      </c>
      <c r="E121" s="294">
        <v>-38328</v>
      </c>
      <c r="F121" s="294">
        <v>-7256</v>
      </c>
      <c r="G121" s="294">
        <v>-56302</v>
      </c>
      <c r="H121" s="294">
        <v>-122500</v>
      </c>
      <c r="I121" s="294">
        <v>-19329.53</v>
      </c>
      <c r="J121" s="294">
        <v>0</v>
      </c>
      <c r="K121" s="294">
        <v>-671575.92</v>
      </c>
      <c r="L121" s="294">
        <v>-117583.96</v>
      </c>
      <c r="M121" s="294">
        <v>-231521</v>
      </c>
      <c r="N121" s="294">
        <v>0</v>
      </c>
      <c r="O121" s="294">
        <v>-23195</v>
      </c>
      <c r="P121" s="294">
        <v>0</v>
      </c>
      <c r="Q121" s="294">
        <v>-247157</v>
      </c>
      <c r="R121" s="294">
        <v>-12000</v>
      </c>
      <c r="S121" s="294">
        <v>-8500</v>
      </c>
      <c r="T121" s="294">
        <v>-49858.5</v>
      </c>
      <c r="U121" s="294">
        <v>-32658.5</v>
      </c>
      <c r="V121" s="294">
        <v>-32214237.539999999</v>
      </c>
      <c r="W121" s="294">
        <v>-16423</v>
      </c>
      <c r="X121" s="294">
        <v>-2081099.12</v>
      </c>
      <c r="Y121" s="294"/>
      <c r="Z121" s="294">
        <v>-2443604.35</v>
      </c>
      <c r="AA121" s="294">
        <v>-936955.35</v>
      </c>
      <c r="AB121" s="294">
        <v>-2360552.17</v>
      </c>
      <c r="AC121" s="294">
        <v>-3632378.12</v>
      </c>
      <c r="AD121" s="294">
        <v>-2149188.9900000002</v>
      </c>
      <c r="AE121" s="294">
        <v>-1195280.1800000002</v>
      </c>
      <c r="AF121" s="294">
        <v>-1515965.27</v>
      </c>
      <c r="AG121" s="294">
        <v>-4808966.8600000003</v>
      </c>
      <c r="AH121" s="294">
        <v>-1317839.68</v>
      </c>
      <c r="AI121" s="294">
        <v>-447301.98</v>
      </c>
      <c r="AJ121" s="294">
        <v>-232710.97</v>
      </c>
      <c r="AK121" s="294">
        <v>-239918.58</v>
      </c>
      <c r="AL121" s="294">
        <v>-103919.8</v>
      </c>
      <c r="AM121" s="294">
        <v>-3623006.35</v>
      </c>
      <c r="AN121" s="294">
        <v>-172840.41</v>
      </c>
      <c r="AO121" s="294">
        <v>-2881205.23</v>
      </c>
      <c r="AP121" s="294">
        <v>-190000</v>
      </c>
      <c r="AQ121" s="294">
        <v>-624893.68999999994</v>
      </c>
      <c r="AR121" s="294">
        <v>-1811632.39</v>
      </c>
      <c r="AS121" s="294">
        <v>-83569.02</v>
      </c>
      <c r="AT121" s="294">
        <v>-6736</v>
      </c>
      <c r="AU121" s="294">
        <v>0</v>
      </c>
      <c r="AV121" s="294">
        <v>-10919</v>
      </c>
      <c r="AW121" s="294">
        <v>-1771.35</v>
      </c>
      <c r="AX121" s="294">
        <v>-232808</v>
      </c>
      <c r="AY121" s="294">
        <v>-18085.5</v>
      </c>
      <c r="AZ121" s="294">
        <v>-1000</v>
      </c>
      <c r="BA121" s="294">
        <v>-15892</v>
      </c>
      <c r="BB121" s="294">
        <v>0</v>
      </c>
      <c r="BC121" s="294"/>
      <c r="BD121" s="294"/>
      <c r="BE121" s="294"/>
      <c r="BF121" s="294"/>
      <c r="BG121" s="294"/>
      <c r="BH121" s="294">
        <v>-1040</v>
      </c>
      <c r="BI121" s="294">
        <v>0</v>
      </c>
      <c r="BJ121" s="294"/>
      <c r="BK121" s="294"/>
      <c r="BL121" s="294">
        <v>-21034</v>
      </c>
      <c r="BM121" s="294">
        <v>-12000</v>
      </c>
      <c r="BN121" s="294">
        <v>-17632.330000000002</v>
      </c>
      <c r="BO121" s="294">
        <v>0</v>
      </c>
      <c r="BP121" s="294"/>
      <c r="BQ121" s="294"/>
      <c r="BR121" s="294">
        <v>-29500</v>
      </c>
      <c r="BS121" s="294">
        <v>-4000</v>
      </c>
      <c r="BT121" s="294">
        <v>-43496</v>
      </c>
      <c r="BU121" s="294">
        <v>-72541.5</v>
      </c>
      <c r="BV121" s="294">
        <v>-29022</v>
      </c>
      <c r="BW121" s="294">
        <v>-18996</v>
      </c>
      <c r="BX121" s="294">
        <v>-4200</v>
      </c>
      <c r="BY121" s="294">
        <v>-16748</v>
      </c>
      <c r="BZ121" s="294"/>
      <c r="CA121" s="294"/>
      <c r="CB121" s="294">
        <v>0</v>
      </c>
      <c r="CC121" s="294">
        <v>-104720</v>
      </c>
      <c r="CD121" s="294"/>
      <c r="CE121" s="294">
        <v>-5264</v>
      </c>
      <c r="CF121" s="294">
        <v>-70920.97</v>
      </c>
      <c r="CG121" s="294">
        <v>-218500</v>
      </c>
      <c r="CH121" s="294">
        <v>-203881</v>
      </c>
      <c r="CI121" s="294">
        <v>0</v>
      </c>
      <c r="CJ121" s="294">
        <v>-29798</v>
      </c>
      <c r="CK121" s="294">
        <v>-35787.620000000003</v>
      </c>
      <c r="CL121" s="294">
        <v>-10017</v>
      </c>
      <c r="CM121" s="294">
        <v>-1828</v>
      </c>
      <c r="CN121" s="294">
        <v>-23931.19</v>
      </c>
      <c r="CO121" s="294">
        <v>-8826</v>
      </c>
      <c r="CP121" s="294">
        <v>-26662.2</v>
      </c>
      <c r="CQ121" s="294"/>
      <c r="CR121" s="294">
        <v>-1046936</v>
      </c>
      <c r="CS121" s="294">
        <v>-67893.259999999995</v>
      </c>
      <c r="CT121" s="294">
        <v>0</v>
      </c>
      <c r="CU121" s="294">
        <v>-102053</v>
      </c>
      <c r="CV121" s="294">
        <v>-1024719.43</v>
      </c>
      <c r="CW121" s="294">
        <v>0</v>
      </c>
      <c r="CX121" s="294">
        <v>-10205.39</v>
      </c>
      <c r="CY121" s="294">
        <v>-1001470.9</v>
      </c>
      <c r="CZ121" s="294">
        <v>-650029</v>
      </c>
      <c r="DA121" s="294">
        <v>-311507.5</v>
      </c>
      <c r="DB121" s="294">
        <v>-678098.91</v>
      </c>
      <c r="DC121" s="294">
        <v>-24230360.079999998</v>
      </c>
      <c r="DD121" s="294">
        <v>-12467</v>
      </c>
      <c r="DE121" s="294">
        <v>-2796.63</v>
      </c>
      <c r="DF121" s="294">
        <v>-554190</v>
      </c>
      <c r="DG121" s="294">
        <v>-234160.6</v>
      </c>
      <c r="DH121" s="294">
        <v>-1504008</v>
      </c>
      <c r="DI121" s="294">
        <v>-42678</v>
      </c>
      <c r="DJ121" s="294">
        <v>-6052.7</v>
      </c>
      <c r="DK121" s="294">
        <v>-2081437.15</v>
      </c>
      <c r="DL121" s="294">
        <v>-51978.32</v>
      </c>
      <c r="DM121" s="294">
        <v>-131698.62</v>
      </c>
      <c r="DN121" s="294">
        <v>-151666.6</v>
      </c>
      <c r="DO121" s="294">
        <v>-95535.2</v>
      </c>
      <c r="DP121" s="294">
        <v>-224140.35</v>
      </c>
      <c r="DQ121" s="294">
        <v>-686307.54</v>
      </c>
      <c r="DR121" s="294">
        <v>-278019</v>
      </c>
      <c r="DS121" s="294">
        <v>-427551.94</v>
      </c>
      <c r="DT121" s="294">
        <v>-85992</v>
      </c>
      <c r="DU121" s="294">
        <v>-38738</v>
      </c>
      <c r="DV121" s="294"/>
      <c r="DW121" s="294">
        <v>-323121.65000000002</v>
      </c>
      <c r="DX121" s="294">
        <v>-48768.46</v>
      </c>
      <c r="DY121" s="294">
        <v>-328569</v>
      </c>
      <c r="DZ121" s="294">
        <v>-334889.76</v>
      </c>
      <c r="EA121" s="294">
        <v>-58291.5</v>
      </c>
      <c r="EB121" s="294">
        <v>-33418</v>
      </c>
      <c r="EC121" s="294">
        <v>-79810.899999999994</v>
      </c>
      <c r="ED121" s="294">
        <v>-10062.75</v>
      </c>
      <c r="EE121" s="294">
        <v>0</v>
      </c>
      <c r="EF121" s="294">
        <v>0</v>
      </c>
      <c r="EG121" s="294">
        <v>-55184</v>
      </c>
      <c r="EH121" s="294">
        <v>-3655.23</v>
      </c>
      <c r="EI121" s="294">
        <v>-24427.96</v>
      </c>
      <c r="EJ121" s="294">
        <v>-215888.2</v>
      </c>
      <c r="EK121" s="294">
        <v>-64122</v>
      </c>
      <c r="EL121" s="294">
        <v>-9329.25</v>
      </c>
      <c r="EM121" s="294">
        <v>-102244.2</v>
      </c>
      <c r="EN121" s="294">
        <v>-146727.91</v>
      </c>
      <c r="EO121" s="294"/>
      <c r="EP121" s="294"/>
      <c r="EQ121" s="294"/>
      <c r="ER121" s="294"/>
      <c r="ES121" s="294"/>
      <c r="ET121" s="294"/>
      <c r="EU121" s="294"/>
      <c r="EV121" s="294"/>
      <c r="EW121" s="294">
        <v>-332160.39</v>
      </c>
      <c r="EX121" s="294">
        <v>-245493.67</v>
      </c>
      <c r="EY121" s="294">
        <v>-188191.4</v>
      </c>
      <c r="EZ121" s="294">
        <v>-127536</v>
      </c>
      <c r="FA121" s="294"/>
      <c r="FB121" s="294">
        <v>-421092.61</v>
      </c>
      <c r="FC121" s="294">
        <v>-586466.5</v>
      </c>
      <c r="FD121" s="294">
        <v>-107862.33</v>
      </c>
      <c r="FE121" s="294">
        <v>-762995.09</v>
      </c>
      <c r="FF121" s="294">
        <v>-216647.52</v>
      </c>
      <c r="FG121" s="294">
        <v>-640731.02</v>
      </c>
      <c r="FH121" s="294">
        <v>-388566.5</v>
      </c>
      <c r="FI121" s="294">
        <v>-336476.36</v>
      </c>
      <c r="FJ121" s="294">
        <v>-95388</v>
      </c>
      <c r="FK121" s="294"/>
      <c r="FL121" s="294">
        <v>-29248</v>
      </c>
      <c r="FM121" s="294">
        <v>-51359</v>
      </c>
      <c r="FN121" s="294">
        <v>-26911.73</v>
      </c>
      <c r="FO121" s="294">
        <v>-514</v>
      </c>
      <c r="FP121" s="294"/>
      <c r="FQ121" s="294">
        <v>0</v>
      </c>
      <c r="FR121" s="294">
        <v>-75526</v>
      </c>
      <c r="FS121" s="294">
        <v>0</v>
      </c>
      <c r="FT121" s="294">
        <v>0</v>
      </c>
      <c r="FU121" s="294"/>
      <c r="FV121" s="294">
        <v>-69676.66</v>
      </c>
      <c r="FW121" s="294">
        <v>0</v>
      </c>
      <c r="FX121" s="294">
        <v>-203243</v>
      </c>
      <c r="FY121" s="294">
        <v>0</v>
      </c>
      <c r="FZ121" s="294">
        <v>0</v>
      </c>
      <c r="GA121" s="294">
        <v>-16254.53</v>
      </c>
      <c r="GB121" s="294">
        <v>-181607.9</v>
      </c>
      <c r="GC121" s="294">
        <v>-37763</v>
      </c>
      <c r="GD121" s="294"/>
      <c r="GE121" s="294">
        <v>-35290.910000000003</v>
      </c>
      <c r="GF121" s="294">
        <v>-55183.95</v>
      </c>
      <c r="GG121" s="294">
        <v>-330560.65999999997</v>
      </c>
      <c r="GH121" s="294">
        <v>-131224.5</v>
      </c>
      <c r="GI121" s="294">
        <v>-78843</v>
      </c>
      <c r="GJ121" s="294">
        <v>-99272</v>
      </c>
      <c r="GK121" s="294">
        <v>0</v>
      </c>
      <c r="GL121" s="294">
        <v>0</v>
      </c>
      <c r="GM121" s="294">
        <v>-74988.25</v>
      </c>
      <c r="GN121" s="294"/>
      <c r="GO121" s="294"/>
      <c r="GP121" s="294"/>
      <c r="GQ121" s="294"/>
      <c r="GR121" s="294"/>
      <c r="GS121" s="294"/>
      <c r="GT121" s="294"/>
      <c r="GU121" s="294">
        <v>0</v>
      </c>
      <c r="GV121" s="294"/>
      <c r="GW121" s="294"/>
      <c r="GX121" s="294"/>
      <c r="GY121" s="294">
        <v>-537492.57999999996</v>
      </c>
      <c r="GZ121" s="294"/>
      <c r="HA121" s="294">
        <v>-4437086.7699999996</v>
      </c>
      <c r="HB121" s="294">
        <v>-1255510.5</v>
      </c>
      <c r="HC121" s="294">
        <v>-9426712.5500000007</v>
      </c>
      <c r="HD121" s="294">
        <v>-3613365.21</v>
      </c>
      <c r="HE121" s="294">
        <v>-7739321.3499999996</v>
      </c>
      <c r="HF121" s="294">
        <v>-5792082.71</v>
      </c>
      <c r="HG121" s="294">
        <v>-4938411.5</v>
      </c>
      <c r="HH121" s="294">
        <v>-3018331.9</v>
      </c>
      <c r="HI121" s="294">
        <v>-1622379.04</v>
      </c>
      <c r="HJ121" s="294">
        <v>0</v>
      </c>
      <c r="HK121" s="294">
        <v>-11305498.060000001</v>
      </c>
      <c r="HL121" s="294">
        <v>-5351830.53</v>
      </c>
      <c r="HM121" s="294">
        <v>-10625396.68</v>
      </c>
      <c r="HN121" s="294">
        <v>-1980214.8</v>
      </c>
      <c r="HO121" s="294">
        <v>-1954940.98</v>
      </c>
      <c r="HP121" s="294">
        <v>-6599906.04</v>
      </c>
      <c r="HQ121" s="294">
        <v>-5842586.7800000003</v>
      </c>
      <c r="HR121" s="294">
        <v>-1651602.42</v>
      </c>
      <c r="HS121" s="294">
        <v>-596382.06000000006</v>
      </c>
      <c r="HT121" s="294">
        <v>-307348.5</v>
      </c>
      <c r="HU121" s="294">
        <v>-147212</v>
      </c>
      <c r="HV121" s="294">
        <v>-1545365.05</v>
      </c>
      <c r="HW121" s="294"/>
      <c r="HX121" s="294">
        <v>-871028.75</v>
      </c>
      <c r="HY121" s="294">
        <v>-425594.5</v>
      </c>
      <c r="HZ121" s="294">
        <v>-350566.25</v>
      </c>
      <c r="IA121" s="294">
        <v>-253443</v>
      </c>
      <c r="IB121" s="294">
        <v>-1033224.25</v>
      </c>
      <c r="IC121" s="294">
        <v>-700000</v>
      </c>
      <c r="ID121" s="294"/>
      <c r="IE121" s="294">
        <v>-47395.3</v>
      </c>
      <c r="IF121" s="294"/>
      <c r="IG121" s="294"/>
      <c r="IH121" s="294">
        <v>-2380147.5</v>
      </c>
      <c r="II121" s="294">
        <v>-152608.25</v>
      </c>
      <c r="IJ121" s="294">
        <v>-934051.68</v>
      </c>
      <c r="IK121" s="294">
        <v>-81699.25</v>
      </c>
      <c r="IL121" s="294">
        <v>-192425.26</v>
      </c>
      <c r="IM121" s="294">
        <v>-211725.75</v>
      </c>
      <c r="IN121" s="294">
        <v>-9140</v>
      </c>
      <c r="IO121" s="294">
        <v>-42533</v>
      </c>
      <c r="IP121" s="294">
        <v>-61830.2</v>
      </c>
      <c r="IQ121" s="294"/>
      <c r="IR121" s="294">
        <v>-945630.1</v>
      </c>
      <c r="IS121" s="294"/>
      <c r="IT121" s="294">
        <v>-245366.86</v>
      </c>
      <c r="IU121" s="294">
        <v>-1333272.1200000001</v>
      </c>
      <c r="IV121" s="294">
        <v>-2073332.42</v>
      </c>
      <c r="IW121" s="294">
        <v>-1698173.2</v>
      </c>
      <c r="IX121" s="294">
        <v>-841</v>
      </c>
      <c r="IY121" s="294">
        <v>-293411.61</v>
      </c>
      <c r="IZ121" s="294">
        <v>-28652.15</v>
      </c>
      <c r="JA121" s="294">
        <v>-75529</v>
      </c>
      <c r="JB121" s="294">
        <v>0</v>
      </c>
      <c r="JC121" s="294">
        <v>-3225051.59</v>
      </c>
      <c r="JD121" s="294">
        <v>-139566</v>
      </c>
      <c r="JE121" s="294">
        <v>-224362</v>
      </c>
      <c r="JF121" s="294">
        <v>-19336.080000000002</v>
      </c>
      <c r="JG121" s="294">
        <v>-192845.27</v>
      </c>
      <c r="JH121" s="294">
        <v>-132300</v>
      </c>
      <c r="JI121" s="294">
        <v>-58353</v>
      </c>
      <c r="JJ121" s="294">
        <v>-49712</v>
      </c>
      <c r="JK121" s="294">
        <v>0</v>
      </c>
      <c r="JL121" s="294">
        <v>0</v>
      </c>
      <c r="JM121" s="294"/>
      <c r="JN121" s="294">
        <v>-80032</v>
      </c>
      <c r="JO121" s="294">
        <v>-51184</v>
      </c>
      <c r="JP121" s="294"/>
      <c r="JQ121" s="294"/>
      <c r="JR121" s="294"/>
      <c r="JS121" s="294"/>
      <c r="JT121" s="294"/>
      <c r="JU121" s="294">
        <v>0</v>
      </c>
      <c r="JV121" s="294"/>
      <c r="JW121" s="294"/>
      <c r="JX121" s="294"/>
      <c r="JY121" s="294"/>
      <c r="JZ121" s="294"/>
      <c r="KA121" s="294"/>
      <c r="KB121" s="294"/>
      <c r="KC121" s="294"/>
      <c r="KD121" s="294"/>
      <c r="KE121" s="294"/>
      <c r="KF121" s="294"/>
      <c r="KG121" s="294"/>
      <c r="KH121" s="294">
        <v>-7281156</v>
      </c>
      <c r="KI121" s="294">
        <v>-2420324.88</v>
      </c>
      <c r="KJ121" s="294">
        <v>-2509566.85</v>
      </c>
      <c r="KK121" s="294">
        <v>-2527181.04</v>
      </c>
      <c r="KL121" s="294">
        <v>-2267151.67</v>
      </c>
      <c r="KM121" s="294">
        <v>-6665240.8700000001</v>
      </c>
      <c r="KN121" s="294">
        <v>-4839681.4400000004</v>
      </c>
      <c r="KO121" s="294">
        <v>-1761934</v>
      </c>
      <c r="KP121" s="294">
        <v>-32168</v>
      </c>
      <c r="KQ121" s="294">
        <v>0</v>
      </c>
      <c r="KR121" s="294">
        <v>-614735.6</v>
      </c>
      <c r="KS121" s="294">
        <v>-1436489.77</v>
      </c>
      <c r="KT121" s="294">
        <v>-3191192</v>
      </c>
      <c r="KU121" s="294">
        <v>-5498974.5199999996</v>
      </c>
      <c r="KV121" s="294">
        <v>-1403025.53</v>
      </c>
      <c r="KW121" s="294">
        <v>-256539.58</v>
      </c>
      <c r="KX121" s="294">
        <v>-1197329</v>
      </c>
      <c r="KY121" s="294">
        <v>-419609.73</v>
      </c>
      <c r="KZ121" s="294">
        <v>-778345</v>
      </c>
      <c r="LA121" s="294">
        <v>-251875.84</v>
      </c>
      <c r="LB121" s="294">
        <v>-173702.25</v>
      </c>
      <c r="LC121" s="294">
        <v>-265237</v>
      </c>
      <c r="LD121" s="294"/>
      <c r="LE121" s="294">
        <v>0</v>
      </c>
      <c r="LF121" s="294">
        <v>0</v>
      </c>
      <c r="LG121" s="294">
        <v>-5657072.3099999996</v>
      </c>
      <c r="LH121" s="294">
        <v>-1700219.15</v>
      </c>
      <c r="LI121" s="294">
        <v>-1391135.1099999999</v>
      </c>
      <c r="LJ121" s="294">
        <v>0</v>
      </c>
      <c r="LK121" s="294">
        <v>-1332410</v>
      </c>
      <c r="LL121" s="294">
        <v>-2894187.38</v>
      </c>
      <c r="LM121" s="294">
        <v>-266619</v>
      </c>
      <c r="LN121" s="294">
        <v>-40203.42</v>
      </c>
      <c r="LO121" s="294">
        <v>1910.6</v>
      </c>
      <c r="LP121" s="294">
        <v>-2323320.77</v>
      </c>
      <c r="LQ121" s="294">
        <v>-887501.6</v>
      </c>
      <c r="LR121" s="294">
        <v>-3234200.2</v>
      </c>
      <c r="LS121" s="294"/>
      <c r="LT121" s="294"/>
      <c r="LU121" s="294">
        <v>-4955852.46</v>
      </c>
      <c r="LV121" s="294">
        <v>-886713.65</v>
      </c>
      <c r="LW121" s="294">
        <v>-1023580</v>
      </c>
      <c r="LX121" s="294">
        <v>-2109049.19</v>
      </c>
      <c r="LY121" s="294">
        <v>-39509.49</v>
      </c>
      <c r="LZ121" s="294">
        <v>-359628</v>
      </c>
      <c r="MA121" s="294">
        <v>-507541.03</v>
      </c>
      <c r="MB121" s="294">
        <v>-564114.59</v>
      </c>
      <c r="MC121" s="294">
        <v>-250836</v>
      </c>
      <c r="MD121" s="294">
        <v>-685505.68</v>
      </c>
      <c r="ME121" s="294">
        <v>-220584.6</v>
      </c>
      <c r="MF121" s="294">
        <v>0</v>
      </c>
      <c r="MG121" s="294"/>
      <c r="MH121" s="294">
        <v>-964000</v>
      </c>
      <c r="MI121" s="294"/>
      <c r="MJ121" s="294"/>
      <c r="MK121" s="294"/>
      <c r="ML121" s="294"/>
      <c r="MM121" s="294"/>
      <c r="MN121" s="294">
        <v>-472350</v>
      </c>
      <c r="MO121" s="294">
        <v>-1143000</v>
      </c>
      <c r="MP121" s="294">
        <v>-625000</v>
      </c>
      <c r="MQ121" s="294"/>
      <c r="MR121" s="294">
        <v>-878500</v>
      </c>
      <c r="MS121" s="294">
        <v>-281029.46999999997</v>
      </c>
      <c r="MT121" s="294">
        <v>-161162</v>
      </c>
      <c r="MU121" s="294">
        <v>-1978244.42</v>
      </c>
      <c r="MV121" s="294">
        <v>-733726</v>
      </c>
      <c r="MW121" s="294">
        <v>-9995966.4700000007</v>
      </c>
      <c r="MX121" s="294">
        <v>-1633489</v>
      </c>
      <c r="MY121" s="294">
        <v>-3870785.38</v>
      </c>
      <c r="MZ121" s="294">
        <v>-2255251.5</v>
      </c>
      <c r="NA121" s="294">
        <v>-1666350.47</v>
      </c>
      <c r="NB121" s="294">
        <v>-196625.61</v>
      </c>
      <c r="NC121" s="294">
        <v>-202483</v>
      </c>
      <c r="ND121" s="294">
        <v>-10060044.33</v>
      </c>
      <c r="NE121" s="294">
        <v>-12644723</v>
      </c>
      <c r="NF121" s="294">
        <v>-3531664.5</v>
      </c>
      <c r="NG121" s="294">
        <v>-33137696.539999999</v>
      </c>
      <c r="NH121" s="294">
        <v>-3805956.2</v>
      </c>
      <c r="NI121" s="294">
        <v>-3788348.43</v>
      </c>
      <c r="NJ121" s="294">
        <v>-5677216.8499999996</v>
      </c>
      <c r="NK121" s="294">
        <v>-40849605</v>
      </c>
      <c r="NL121" s="294">
        <v>-545364</v>
      </c>
      <c r="NM121" s="294">
        <v>-16072368.689999999</v>
      </c>
      <c r="NN121" s="294">
        <v>-5941419.2300000004</v>
      </c>
      <c r="NO121" s="294">
        <v>-652870.18000000005</v>
      </c>
      <c r="NP121" s="294">
        <v>-959500</v>
      </c>
      <c r="NQ121" s="294">
        <v>-374602.45</v>
      </c>
      <c r="NR121" s="294">
        <v>-4501104.17</v>
      </c>
      <c r="NS121" s="294">
        <v>-3010820.4</v>
      </c>
      <c r="NT121" s="294">
        <v>-1264379.8500000001</v>
      </c>
      <c r="NU121" s="294">
        <v>-258636</v>
      </c>
      <c r="NV121" s="294">
        <v>-878831.15</v>
      </c>
      <c r="NW121" s="294">
        <v>-1620109</v>
      </c>
      <c r="NX121" s="294">
        <v>-3427882.5</v>
      </c>
      <c r="NY121" s="294">
        <v>-448974</v>
      </c>
      <c r="NZ121" s="294">
        <v>-260127.58000000002</v>
      </c>
      <c r="OA121" s="294">
        <v>-82190.38</v>
      </c>
      <c r="OB121" s="294">
        <v>-722315</v>
      </c>
      <c r="OC121" s="294">
        <v>-752839</v>
      </c>
      <c r="OD121" s="294">
        <v>-12981342.279999999</v>
      </c>
      <c r="OE121" s="294">
        <v>-4977883.63</v>
      </c>
      <c r="OF121" s="294">
        <v>-918575.7</v>
      </c>
      <c r="OG121" s="294">
        <v>-4437220.4800000004</v>
      </c>
      <c r="OH121" s="294">
        <v>-2170649.33</v>
      </c>
      <c r="OI121" s="294">
        <v>-2938281.28</v>
      </c>
      <c r="OJ121" s="294">
        <v>-5564828.0999999996</v>
      </c>
      <c r="OK121" s="294">
        <v>-475783.9</v>
      </c>
      <c r="OL121" s="294"/>
      <c r="OM121" s="294">
        <v>-15889474.279999999</v>
      </c>
      <c r="ON121" s="294">
        <v>-4012499.95</v>
      </c>
      <c r="OO121" s="294">
        <v>-11884762.58</v>
      </c>
      <c r="OP121" s="294">
        <v>-2981119.62</v>
      </c>
      <c r="OQ121" s="294">
        <v>-4316155.04</v>
      </c>
      <c r="OR121" s="294"/>
      <c r="OS121" s="294">
        <v>0</v>
      </c>
      <c r="OT121" s="294">
        <v>-3836666.69</v>
      </c>
      <c r="OU121" s="294">
        <v>-2368895.94</v>
      </c>
      <c r="OV121" s="294">
        <v>-424953.52</v>
      </c>
      <c r="OW121" s="294">
        <v>-1744975.02</v>
      </c>
      <c r="OX121" s="294">
        <v>-6465605.2999999998</v>
      </c>
      <c r="OY121" s="294">
        <v>-273047.27</v>
      </c>
      <c r="OZ121" s="294">
        <v>-799533</v>
      </c>
      <c r="PA121" s="294"/>
      <c r="PB121" s="294"/>
      <c r="PC121" s="294">
        <v>-6221</v>
      </c>
      <c r="PD121" s="294"/>
      <c r="PE121" s="294">
        <v>-14124</v>
      </c>
      <c r="PF121" s="294"/>
      <c r="PG121" s="294">
        <v>-22556.7</v>
      </c>
      <c r="PH121" s="294"/>
      <c r="PI121" s="294"/>
      <c r="PJ121" s="294"/>
      <c r="PK121" s="294">
        <v>-12648.64</v>
      </c>
      <c r="PL121" s="294">
        <v>-46441.5</v>
      </c>
      <c r="PM121" s="294">
        <v>-1514</v>
      </c>
      <c r="PN121" s="294">
        <v>-35687</v>
      </c>
      <c r="PO121" s="294">
        <v>0</v>
      </c>
      <c r="PP121" s="294"/>
      <c r="PQ121" s="294"/>
      <c r="PR121" s="294"/>
      <c r="PS121" s="294"/>
      <c r="PT121" s="294">
        <v>0</v>
      </c>
      <c r="PU121" s="294">
        <v>-169612.5</v>
      </c>
      <c r="PV121" s="294"/>
      <c r="PW121" s="294"/>
      <c r="PX121" s="294"/>
      <c r="PY121" s="294"/>
      <c r="PZ121" s="294"/>
      <c r="QA121" s="294">
        <v>0</v>
      </c>
      <c r="QB121" s="294">
        <v>-139451.25</v>
      </c>
      <c r="QC121" s="294"/>
      <c r="QD121" s="294"/>
      <c r="QE121" s="294">
        <v>0</v>
      </c>
      <c r="QF121" s="294">
        <v>-3603</v>
      </c>
      <c r="QG121" s="294"/>
      <c r="QH121" s="294">
        <v>-50318</v>
      </c>
      <c r="QI121" s="294">
        <v>-71455</v>
      </c>
      <c r="QJ121" s="294">
        <v>-8062</v>
      </c>
      <c r="QK121" s="294"/>
      <c r="QL121" s="294">
        <v>-2188</v>
      </c>
      <c r="QM121" s="294">
        <v>0</v>
      </c>
      <c r="QN121" s="294"/>
      <c r="QO121" s="294">
        <v>-412</v>
      </c>
      <c r="QP121" s="294">
        <v>-7368</v>
      </c>
      <c r="QQ121" s="294"/>
      <c r="QR121" s="294">
        <v>-15911</v>
      </c>
      <c r="QS121" s="294"/>
      <c r="QT121" s="294">
        <v>-9108.94</v>
      </c>
      <c r="QU121" s="294">
        <v>0</v>
      </c>
      <c r="QV121" s="294"/>
      <c r="QW121" s="294">
        <v>-13750.5</v>
      </c>
      <c r="QX121" s="294"/>
      <c r="QY121" s="294">
        <v>-7968</v>
      </c>
      <c r="QZ121" s="294">
        <v>-26844</v>
      </c>
      <c r="RA121" s="294">
        <v>-69319</v>
      </c>
      <c r="RB121" s="294"/>
      <c r="RC121" s="294">
        <v>-976</v>
      </c>
      <c r="RD121" s="294">
        <v>-12695</v>
      </c>
      <c r="RE121" s="294"/>
      <c r="RF121" s="294"/>
      <c r="RG121" s="294">
        <v>-7046.75</v>
      </c>
      <c r="RH121" s="294">
        <v>-40102</v>
      </c>
      <c r="RI121" s="294">
        <v>-10175</v>
      </c>
      <c r="RJ121" s="294">
        <v>-36801</v>
      </c>
      <c r="RK121" s="294"/>
      <c r="RL121" s="294"/>
      <c r="RM121" s="294">
        <v>-16452</v>
      </c>
      <c r="RN121" s="294">
        <v>-9360</v>
      </c>
      <c r="RO121" s="294"/>
      <c r="RP121" s="294">
        <v>-34486.160000000003</v>
      </c>
      <c r="RQ121" s="294">
        <v>-13157</v>
      </c>
      <c r="RR121" s="294">
        <v>-19401</v>
      </c>
      <c r="RS121" s="294">
        <v>-11316.5</v>
      </c>
      <c r="RT121" s="294"/>
      <c r="RU121" s="294">
        <v>-12445</v>
      </c>
      <c r="RV121" s="294"/>
      <c r="RW121" s="294">
        <v>-13271</v>
      </c>
      <c r="RX121" s="294"/>
      <c r="RY121" s="294"/>
      <c r="RZ121" s="294"/>
      <c r="SA121" s="294">
        <v>-174372.25</v>
      </c>
      <c r="SB121" s="294"/>
      <c r="SC121" s="294">
        <v>-128227.8</v>
      </c>
      <c r="SD121" s="294"/>
      <c r="SE121" s="294">
        <v>-5870.51</v>
      </c>
      <c r="SF121" s="294">
        <v>-7140</v>
      </c>
      <c r="SG121" s="294">
        <v>-93667.78</v>
      </c>
      <c r="SH121" s="294">
        <v>-744791.68</v>
      </c>
      <c r="SI121" s="294">
        <v>-3174.61</v>
      </c>
      <c r="SJ121" s="294">
        <v>0</v>
      </c>
      <c r="SK121" s="294">
        <v>-110995.23</v>
      </c>
      <c r="SL121" s="294">
        <v>-9861</v>
      </c>
      <c r="SM121" s="294">
        <v>-174193.13</v>
      </c>
      <c r="SN121" s="294">
        <v>-52044.160000000003</v>
      </c>
      <c r="SO121" s="294">
        <v>0</v>
      </c>
      <c r="SP121" s="294">
        <v>-4567.88</v>
      </c>
      <c r="SQ121" s="294">
        <v>-87693.92</v>
      </c>
      <c r="SR121" s="294">
        <v>-36768.400000000001</v>
      </c>
      <c r="SS121" s="294">
        <v>-35340.29</v>
      </c>
      <c r="ST121" s="294">
        <v>-55156.03</v>
      </c>
      <c r="SU121" s="294">
        <v>-582747.04</v>
      </c>
      <c r="SV121" s="294">
        <v>-15156.07</v>
      </c>
      <c r="SW121" s="294">
        <v>-439494</v>
      </c>
      <c r="SX121" s="294">
        <v>-135181.32999999999</v>
      </c>
      <c r="SY121" s="294">
        <v>-6474.45</v>
      </c>
      <c r="SZ121" s="294">
        <v>-231252.21</v>
      </c>
      <c r="TA121" s="294"/>
      <c r="TB121" s="294">
        <v>0</v>
      </c>
      <c r="TC121" s="294">
        <v>-11272.94</v>
      </c>
      <c r="TD121" s="294">
        <v>-38222</v>
      </c>
      <c r="TE121" s="294">
        <v>-21630.33</v>
      </c>
      <c r="TF121" s="294">
        <v>-136168.34</v>
      </c>
      <c r="TG121" s="294">
        <v>-13524</v>
      </c>
      <c r="TH121" s="294">
        <v>-35815.17</v>
      </c>
      <c r="TI121" s="294">
        <v>-162529.12</v>
      </c>
      <c r="TJ121" s="294">
        <v>-51893.04</v>
      </c>
      <c r="TK121" s="294"/>
      <c r="TL121" s="294">
        <v>-10427.84</v>
      </c>
      <c r="TM121" s="294">
        <v>-25135.200000000001</v>
      </c>
      <c r="TN121" s="294">
        <v>-22947.599999999999</v>
      </c>
      <c r="TO121" s="294"/>
      <c r="TP121" s="294">
        <v>-61321.32</v>
      </c>
      <c r="TQ121" s="294">
        <v>-21098.12</v>
      </c>
      <c r="TR121" s="294">
        <v>-37895</v>
      </c>
      <c r="TS121" s="294">
        <v>-244833.68</v>
      </c>
      <c r="TT121" s="294">
        <v>-12394</v>
      </c>
      <c r="TU121" s="294">
        <v>-27800.83</v>
      </c>
      <c r="TV121" s="294">
        <v>-10078.5</v>
      </c>
      <c r="TW121" s="294">
        <v>-16846.189999999999</v>
      </c>
      <c r="TX121" s="294">
        <v>-17932.810000000001</v>
      </c>
      <c r="TY121" s="294">
        <v>-237787.51999999999</v>
      </c>
      <c r="TZ121" s="294">
        <v>-19039.349999999999</v>
      </c>
      <c r="UA121" s="294">
        <v>-120939.96</v>
      </c>
      <c r="UB121" s="294">
        <v>-216297.72</v>
      </c>
      <c r="UC121" s="294">
        <v>0</v>
      </c>
      <c r="UD121" s="294">
        <v>-64177.96</v>
      </c>
      <c r="UE121" s="294">
        <v>-189887.94</v>
      </c>
      <c r="UF121" s="294">
        <v>0</v>
      </c>
      <c r="UG121" s="294"/>
      <c r="UH121" s="294"/>
      <c r="UI121" s="294"/>
      <c r="UJ121" s="294">
        <v>-32397.93</v>
      </c>
      <c r="UK121" s="294">
        <v>-22956.98</v>
      </c>
      <c r="UL121" s="294"/>
      <c r="UM121" s="294">
        <v>-2158.0100000000002</v>
      </c>
      <c r="UN121" s="294">
        <v>-15226.47</v>
      </c>
      <c r="UO121" s="294">
        <v>-32977.21</v>
      </c>
      <c r="UP121" s="294">
        <v>0</v>
      </c>
      <c r="UQ121" s="294">
        <v>-24216</v>
      </c>
      <c r="UR121" s="294"/>
      <c r="US121" s="294">
        <v>-53105.14</v>
      </c>
      <c r="UT121" s="294"/>
      <c r="UU121" s="294">
        <v>-257</v>
      </c>
      <c r="UV121" s="294">
        <v>-75133.14</v>
      </c>
      <c r="UW121" s="294">
        <v>0</v>
      </c>
      <c r="UX121" s="294">
        <v>0</v>
      </c>
      <c r="UY121" s="294">
        <v>-4098.43</v>
      </c>
      <c r="UZ121" s="294">
        <v>-20108</v>
      </c>
      <c r="VA121" s="294">
        <v>-51073.42</v>
      </c>
      <c r="VB121" s="294">
        <v>-10105</v>
      </c>
      <c r="VC121" s="294">
        <v>-47082.93</v>
      </c>
      <c r="VD121" s="294"/>
      <c r="VE121" s="294">
        <v>-7616.67</v>
      </c>
      <c r="VF121" s="294">
        <v>-16907.5</v>
      </c>
      <c r="VG121" s="294">
        <v>-4844</v>
      </c>
      <c r="VH121" s="294">
        <v>-39883.18</v>
      </c>
      <c r="VI121" s="294"/>
      <c r="VJ121" s="294">
        <v>-20700.57</v>
      </c>
      <c r="VK121" s="294"/>
      <c r="VL121" s="294">
        <v>-10161.82</v>
      </c>
      <c r="VM121" s="294">
        <v>-25975</v>
      </c>
      <c r="VN121" s="294">
        <v>-10427.620000000001</v>
      </c>
      <c r="VO121" s="294">
        <v>-22863</v>
      </c>
      <c r="VP121" s="294">
        <v>0</v>
      </c>
      <c r="VQ121" s="294">
        <v>-266488</v>
      </c>
      <c r="VR121" s="294">
        <v>-66292</v>
      </c>
      <c r="VS121" s="294">
        <v>-1828</v>
      </c>
      <c r="VT121" s="294">
        <v>-32276</v>
      </c>
      <c r="VU121" s="294"/>
      <c r="VV121" s="294">
        <v>-11931.5</v>
      </c>
      <c r="VW121" s="294">
        <v>0</v>
      </c>
      <c r="VX121" s="294">
        <v>-70032</v>
      </c>
      <c r="VY121" s="294">
        <v>0</v>
      </c>
      <c r="VZ121" s="294">
        <v>-7200</v>
      </c>
      <c r="WA121" s="294"/>
      <c r="WB121" s="294">
        <v>-826025.28</v>
      </c>
      <c r="WC121" s="294">
        <v>-1139879</v>
      </c>
      <c r="WD121" s="294"/>
      <c r="WE121" s="294"/>
      <c r="WF121" s="294">
        <v>-36926</v>
      </c>
      <c r="WG121" s="294">
        <v>-319691.44</v>
      </c>
      <c r="WH121" s="294">
        <v>-81002.77</v>
      </c>
      <c r="WI121" s="294">
        <v>-11500</v>
      </c>
      <c r="WJ121" s="294"/>
      <c r="WK121" s="294">
        <v>-80968.38</v>
      </c>
      <c r="WL121" s="294">
        <v>-90017.72</v>
      </c>
      <c r="WM121" s="294">
        <v>0</v>
      </c>
      <c r="WN121" s="294">
        <v>-806686.75</v>
      </c>
      <c r="WO121" s="294">
        <v>-52157</v>
      </c>
      <c r="WP121" s="294"/>
      <c r="WQ121" s="294"/>
      <c r="WR121" s="294">
        <v>-242998</v>
      </c>
      <c r="WS121" s="294">
        <v>-128632.33</v>
      </c>
      <c r="WT121" s="294">
        <v>-290463.46999999997</v>
      </c>
      <c r="WU121" s="294">
        <v>0</v>
      </c>
      <c r="WV121" s="294">
        <v>0</v>
      </c>
      <c r="WW121" s="294">
        <v>-3000</v>
      </c>
      <c r="WX121" s="294">
        <v>-19740</v>
      </c>
      <c r="WY121" s="294">
        <v>-414296.59</v>
      </c>
      <c r="WZ121" s="294"/>
      <c r="XA121" s="294">
        <v>0</v>
      </c>
      <c r="XB121" s="294">
        <v>-13471.5</v>
      </c>
      <c r="XC121" s="294">
        <v>0</v>
      </c>
      <c r="XD121" s="294">
        <v>-143037</v>
      </c>
      <c r="XE121" s="294"/>
      <c r="XF121" s="294"/>
      <c r="XG121" s="294">
        <v>-15677.84</v>
      </c>
      <c r="XH121" s="294">
        <v>-1261064.3500000001</v>
      </c>
      <c r="XI121" s="294"/>
      <c r="XJ121" s="294"/>
      <c r="XK121" s="294"/>
      <c r="XL121" s="294"/>
      <c r="XM121" s="294"/>
      <c r="XN121" s="294"/>
      <c r="XO121" s="294"/>
      <c r="XP121" s="294"/>
      <c r="XQ121" s="294"/>
      <c r="XR121" s="294"/>
      <c r="XS121" s="294"/>
      <c r="XT121" s="294"/>
      <c r="XU121" s="294"/>
      <c r="XV121" s="294"/>
      <c r="XW121" s="294"/>
      <c r="XX121" s="294"/>
      <c r="XY121" s="294"/>
      <c r="XZ121" s="294"/>
      <c r="YA121" s="294"/>
      <c r="YB121" s="294"/>
      <c r="YC121" s="294"/>
      <c r="YD121" s="294"/>
      <c r="YE121" s="294">
        <v>0</v>
      </c>
      <c r="YF121" s="294"/>
      <c r="YG121" s="294"/>
      <c r="YH121" s="294"/>
      <c r="YI121" s="294"/>
      <c r="YJ121" s="294"/>
      <c r="YK121" s="294"/>
      <c r="YL121" s="294"/>
      <c r="YM121" s="294"/>
      <c r="YN121" s="294"/>
      <c r="YO121" s="294"/>
      <c r="YP121" s="294"/>
      <c r="YQ121" s="294"/>
      <c r="YR121" s="294"/>
      <c r="YS121" s="294"/>
      <c r="YT121" s="294"/>
      <c r="YU121" s="294"/>
      <c r="YV121" s="294">
        <v>-48522.15</v>
      </c>
      <c r="YW121" s="294"/>
      <c r="YX121" s="294">
        <v>-9347</v>
      </c>
      <c r="YY121" s="294"/>
      <c r="YZ121" s="294">
        <v>-53671.5</v>
      </c>
      <c r="ZA121" s="294">
        <v>-5484</v>
      </c>
      <c r="ZB121" s="294"/>
      <c r="ZC121" s="294">
        <v>-30224</v>
      </c>
      <c r="ZD121" s="294"/>
      <c r="ZE121" s="294"/>
      <c r="ZF121" s="294"/>
      <c r="ZG121" s="294"/>
      <c r="ZH121" s="294"/>
      <c r="ZI121" s="294"/>
      <c r="ZJ121" s="294"/>
      <c r="ZK121" s="294"/>
      <c r="ZL121" s="294">
        <v>-721372.03</v>
      </c>
      <c r="ZM121" s="294">
        <v>-1828</v>
      </c>
      <c r="ZN121" s="294">
        <v>-12796</v>
      </c>
      <c r="ZO121" s="294">
        <v>0</v>
      </c>
      <c r="ZP121" s="294"/>
      <c r="ZQ121" s="294"/>
      <c r="ZR121" s="294"/>
      <c r="ZS121" s="294"/>
      <c r="ZT121" s="294">
        <v>-21911</v>
      </c>
      <c r="ZU121" s="294">
        <v>0</v>
      </c>
      <c r="ZV121" s="294"/>
      <c r="ZW121" s="294">
        <v>-7312</v>
      </c>
      <c r="ZX121" s="294"/>
      <c r="ZY121" s="294">
        <v>-5390.91</v>
      </c>
      <c r="ZZ121" s="294"/>
      <c r="AAA121" s="294"/>
      <c r="AAB121" s="294"/>
      <c r="AAC121" s="294"/>
      <c r="AAD121" s="294">
        <v>-2558</v>
      </c>
      <c r="AAE121" s="294"/>
      <c r="AAF121" s="294">
        <v>-9140</v>
      </c>
      <c r="AAG121" s="294"/>
      <c r="AAH121" s="294"/>
      <c r="AAI121" s="294"/>
      <c r="AAJ121" s="294"/>
      <c r="AAK121" s="294"/>
      <c r="AAL121" s="294"/>
      <c r="AAM121" s="294"/>
      <c r="AAN121" s="294"/>
      <c r="AAO121" s="294">
        <v>0</v>
      </c>
      <c r="AAP121" s="294"/>
      <c r="AAQ121" s="294"/>
      <c r="AAR121" s="294"/>
      <c r="AAS121" s="294"/>
      <c r="AAT121" s="294"/>
      <c r="AAU121" s="294"/>
      <c r="AAV121" s="294"/>
      <c r="AAW121" s="294"/>
      <c r="AAX121" s="294"/>
      <c r="AAY121" s="294"/>
      <c r="AAZ121" s="294">
        <v>-100260</v>
      </c>
      <c r="ABA121" s="294">
        <v>-5500</v>
      </c>
      <c r="ABB121" s="294">
        <v>-7226</v>
      </c>
      <c r="ABC121" s="294">
        <v>0</v>
      </c>
      <c r="ABD121" s="294"/>
      <c r="ABE121" s="294">
        <v>-9920</v>
      </c>
      <c r="ABF121" s="294"/>
      <c r="ABG121" s="294"/>
      <c r="ABH121" s="294"/>
      <c r="ABI121" s="294">
        <v>-7312</v>
      </c>
      <c r="ABJ121" s="294">
        <v>0</v>
      </c>
      <c r="ABK121" s="294">
        <v>0</v>
      </c>
      <c r="ABL121" s="294"/>
      <c r="ABM121" s="294">
        <v>-2000</v>
      </c>
      <c r="ABN121" s="294"/>
      <c r="ABO121" s="294">
        <v>0</v>
      </c>
      <c r="ABP121" s="294">
        <v>-1211173.3400000001</v>
      </c>
      <c r="ABQ121" s="294">
        <v>-462778.5</v>
      </c>
      <c r="ABR121" s="294">
        <v>-1181524.4099999999</v>
      </c>
      <c r="ABS121" s="294">
        <v>-869044.2</v>
      </c>
      <c r="ABT121" s="294">
        <v>-122076</v>
      </c>
      <c r="ABU121" s="294">
        <v>-503591.64</v>
      </c>
      <c r="ABV121" s="294">
        <v>-487351.17</v>
      </c>
      <c r="ABW121" s="294"/>
      <c r="ABX121" s="294">
        <v>0</v>
      </c>
      <c r="ABY121" s="294">
        <v>-4611953</v>
      </c>
      <c r="ABZ121" s="294">
        <v>-4571644.9400000004</v>
      </c>
      <c r="ACA121" s="294">
        <v>-1288625.3400000001</v>
      </c>
      <c r="ACB121" s="294">
        <v>-5236126.32</v>
      </c>
      <c r="ACC121" s="294">
        <v>-3578129.8</v>
      </c>
      <c r="ACD121" s="294">
        <v>-1469525.26</v>
      </c>
      <c r="ACE121" s="294">
        <v>-1240895.1299999999</v>
      </c>
      <c r="ACF121" s="294">
        <v>-1015903.58</v>
      </c>
      <c r="ACG121" s="294">
        <v>-2985825.93</v>
      </c>
      <c r="ACH121" s="294">
        <v>-3145233.5</v>
      </c>
      <c r="ACI121" s="294">
        <v>-584.70000000000005</v>
      </c>
      <c r="ACJ121" s="294">
        <v>-445</v>
      </c>
      <c r="ACK121" s="294">
        <v>-163757</v>
      </c>
      <c r="ACL121" s="294">
        <v>-1204940.28</v>
      </c>
      <c r="ACM121" s="294">
        <v>-150537.75</v>
      </c>
      <c r="ACN121" s="294"/>
      <c r="ACO121" s="294">
        <v>0</v>
      </c>
      <c r="ACP121" s="294">
        <v>-4610911.25</v>
      </c>
      <c r="ACQ121" s="294">
        <v>0</v>
      </c>
      <c r="ACR121" s="294">
        <v>-342629</v>
      </c>
      <c r="ACS121" s="294">
        <v>-2062934.28</v>
      </c>
      <c r="ACT121" s="294">
        <v>-79514</v>
      </c>
      <c r="ACU121" s="294">
        <v>0</v>
      </c>
      <c r="ACV121" s="294">
        <v>-179291.15</v>
      </c>
      <c r="ACW121" s="294">
        <v>-1347605.14</v>
      </c>
      <c r="ACX121" s="294">
        <v>-175774</v>
      </c>
      <c r="ACY121" s="294">
        <v>-731452.19</v>
      </c>
      <c r="ACZ121" s="294">
        <v>-251970.23</v>
      </c>
      <c r="ADA121" s="294">
        <v>-16574</v>
      </c>
      <c r="ADB121" s="294"/>
      <c r="ADC121" s="294"/>
      <c r="ADD121" s="294"/>
      <c r="ADE121" s="294"/>
      <c r="ADF121" s="294"/>
      <c r="ADG121" s="294">
        <v>-1010517.36</v>
      </c>
      <c r="ADH121" s="294"/>
      <c r="ADI121" s="294">
        <v>-446194</v>
      </c>
      <c r="ADJ121" s="294"/>
      <c r="ADK121" s="294">
        <v>-175000</v>
      </c>
      <c r="ADL121" s="294">
        <v>-1165000</v>
      </c>
      <c r="ADM121" s="294"/>
      <c r="ADN121" s="294"/>
      <c r="ADO121" s="294">
        <v>-18279638</v>
      </c>
      <c r="ADP121" s="294">
        <v>-3133418.95</v>
      </c>
      <c r="ADQ121" s="294">
        <v>-5630941</v>
      </c>
      <c r="ADR121" s="294"/>
      <c r="ADS121" s="294">
        <v>0</v>
      </c>
      <c r="ADT121" s="294">
        <v>0</v>
      </c>
      <c r="ADU121" s="294">
        <v>-762547.3</v>
      </c>
      <c r="ADV121" s="294">
        <v>-7154492.5499999998</v>
      </c>
      <c r="ADW121" s="294">
        <v>-43157.38</v>
      </c>
      <c r="ADX121" s="294"/>
      <c r="ADY121" s="294">
        <v>0</v>
      </c>
      <c r="ADZ121" s="294">
        <v>0</v>
      </c>
      <c r="AEA121" s="294">
        <v>-1624077.5</v>
      </c>
      <c r="AEB121" s="294">
        <v>-1536089.05</v>
      </c>
      <c r="AEC121" s="294">
        <v>-416298.56</v>
      </c>
      <c r="AED121" s="294">
        <v>-965949.18</v>
      </c>
      <c r="AEE121" s="294">
        <v>-495745.79</v>
      </c>
      <c r="AEF121" s="294">
        <v>-1055588.03</v>
      </c>
      <c r="AEG121" s="294">
        <v>-101755.72</v>
      </c>
      <c r="AEH121" s="294">
        <v>-1275314.49</v>
      </c>
      <c r="AEI121" s="294">
        <v>-2688</v>
      </c>
      <c r="AEJ121" s="294">
        <v>8819.9</v>
      </c>
      <c r="AEK121" s="294">
        <v>-453469.16</v>
      </c>
      <c r="AEL121" s="294">
        <v>-393648.5</v>
      </c>
      <c r="AEM121" s="294">
        <v>-1100879.4099999999</v>
      </c>
      <c r="AEN121" s="294">
        <v>-1462622.72</v>
      </c>
      <c r="AEO121" s="294">
        <v>-546057</v>
      </c>
      <c r="AEP121" s="294">
        <v>-1185181.44</v>
      </c>
      <c r="AEQ121" s="294">
        <v>-192945.53</v>
      </c>
      <c r="AER121" s="294">
        <v>-633550.65</v>
      </c>
      <c r="AES121" s="294">
        <v>-199422.96</v>
      </c>
      <c r="AET121" s="294">
        <v>-2098361.86</v>
      </c>
      <c r="AEU121" s="294">
        <v>-357241.2</v>
      </c>
      <c r="AEV121" s="294">
        <v>-72588.570000000007</v>
      </c>
      <c r="AEW121" s="294">
        <v>-400021.71</v>
      </c>
      <c r="AEX121" s="294">
        <v>-135485.20000000001</v>
      </c>
      <c r="AEY121" s="294">
        <v>-189983.4</v>
      </c>
      <c r="AEZ121" s="294">
        <v>-16640.75</v>
      </c>
      <c r="AFA121" s="294">
        <v>-324068.2</v>
      </c>
      <c r="AFB121" s="294">
        <v>-214</v>
      </c>
      <c r="AFC121" s="294">
        <v>-159713</v>
      </c>
      <c r="AFD121" s="294">
        <v>-2342</v>
      </c>
      <c r="AFE121" s="294">
        <v>-62724</v>
      </c>
      <c r="AFF121" s="294">
        <v>-5356</v>
      </c>
      <c r="AFG121" s="294"/>
      <c r="AFH121" s="294">
        <v>-76776</v>
      </c>
      <c r="AFI121" s="294"/>
      <c r="AFJ121" s="294"/>
      <c r="AFK121" s="294"/>
      <c r="AFL121" s="294">
        <v>0</v>
      </c>
      <c r="AFM121" s="294"/>
      <c r="AFN121" s="294"/>
      <c r="AFO121" s="294">
        <v>-4068</v>
      </c>
      <c r="AFP121" s="294">
        <v>0</v>
      </c>
      <c r="AFQ121" s="294">
        <v>-513</v>
      </c>
      <c r="AFR121" s="294">
        <v>-23708</v>
      </c>
      <c r="AFS121" s="294">
        <v>-53300</v>
      </c>
      <c r="AFT121" s="294"/>
      <c r="AFU121" s="294"/>
      <c r="AFV121" s="294"/>
      <c r="AFW121" s="294">
        <v>-291452</v>
      </c>
      <c r="AFX121" s="294"/>
      <c r="AFY121" s="294"/>
      <c r="AFZ121" s="294">
        <v>-25592</v>
      </c>
      <c r="AGA121" s="294"/>
      <c r="AGB121" s="294">
        <v>0</v>
      </c>
      <c r="AGC121" s="294"/>
      <c r="AGD121" s="294"/>
      <c r="AGE121" s="294"/>
      <c r="AGF121" s="294"/>
      <c r="AGG121" s="294"/>
      <c r="AGH121" s="294"/>
      <c r="AGI121" s="294"/>
      <c r="AGJ121" s="294"/>
      <c r="AGK121" s="294">
        <v>-2581.75</v>
      </c>
      <c r="AGL121" s="294"/>
      <c r="AGM121" s="294">
        <v>-1753754.66</v>
      </c>
      <c r="AGN121" s="294">
        <v>-253776</v>
      </c>
      <c r="AGO121" s="294"/>
      <c r="AGP121" s="294"/>
      <c r="AGQ121" s="294"/>
      <c r="AGR121" s="294"/>
      <c r="AGS121" s="294"/>
      <c r="AGT121" s="294"/>
      <c r="AGU121" s="294">
        <v>-3392452.87</v>
      </c>
      <c r="AGV121" s="294">
        <v>0</v>
      </c>
      <c r="AGW121" s="294">
        <v>-58894</v>
      </c>
      <c r="AGX121" s="294">
        <v>-92274.03</v>
      </c>
      <c r="AGY121" s="294">
        <v>-281739.06</v>
      </c>
      <c r="AGZ121" s="294">
        <v>-303504</v>
      </c>
      <c r="AHA121" s="294"/>
      <c r="AHB121" s="294">
        <v>-191464.1</v>
      </c>
      <c r="AHC121" s="294">
        <v>-9140</v>
      </c>
      <c r="AHD121" s="294">
        <v>0.5</v>
      </c>
      <c r="AHE121" s="294">
        <v>-4340323.8899999997</v>
      </c>
      <c r="AHF121" s="294">
        <v>-180948.85</v>
      </c>
      <c r="AHG121" s="294">
        <v>-2390.4299999999998</v>
      </c>
      <c r="AHH121" s="294">
        <v>-1254492.7</v>
      </c>
      <c r="AHI121" s="294">
        <v>-354826.95</v>
      </c>
      <c r="AHJ121" s="294">
        <v>-1522077.27</v>
      </c>
      <c r="AHK121" s="294">
        <v>-326632.99</v>
      </c>
      <c r="AHL121" s="294">
        <v>0</v>
      </c>
      <c r="AHM121" s="294">
        <v>-25772</v>
      </c>
      <c r="AHN121" s="294">
        <v>-11980.86</v>
      </c>
      <c r="AHO121" s="294"/>
      <c r="AHP121" s="294">
        <v>-1671628.83</v>
      </c>
      <c r="AHQ121" s="294">
        <v>-68798.05</v>
      </c>
      <c r="AHR121" s="331">
        <v>-55341</v>
      </c>
      <c r="AHS121" s="294">
        <f t="shared" si="51"/>
        <v>-701200850.36000025</v>
      </c>
      <c r="AHT121" s="269" t="b">
        <f t="shared" si="52"/>
        <v>1</v>
      </c>
      <c r="AHU121" s="269" t="s">
        <v>6279</v>
      </c>
      <c r="AHV121" s="269" t="s">
        <v>6184</v>
      </c>
      <c r="AHW121" s="269" t="s">
        <v>6185</v>
      </c>
    </row>
    <row r="122" spans="1:907" ht="24.6" x14ac:dyDescent="0.7">
      <c r="A122" s="268" t="s">
        <v>6278</v>
      </c>
      <c r="B122" s="268" t="s">
        <v>6186</v>
      </c>
      <c r="C122" s="269" t="s">
        <v>6187</v>
      </c>
      <c r="D122" s="294"/>
      <c r="E122" s="294"/>
      <c r="F122" s="294"/>
      <c r="G122" s="294"/>
      <c r="H122" s="294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4">
        <v>0</v>
      </c>
      <c r="W122" s="294"/>
      <c r="X122" s="294"/>
      <c r="Y122" s="294"/>
      <c r="Z122" s="294"/>
      <c r="AA122" s="294"/>
      <c r="AB122" s="294"/>
      <c r="AC122" s="294"/>
      <c r="AD122" s="294"/>
      <c r="AE122" s="294"/>
      <c r="AF122" s="294"/>
      <c r="AG122" s="294"/>
      <c r="AH122" s="294"/>
      <c r="AI122" s="294"/>
      <c r="AJ122" s="294"/>
      <c r="AK122" s="294"/>
      <c r="AL122" s="294"/>
      <c r="AM122" s="294"/>
      <c r="AN122" s="294"/>
      <c r="AO122" s="294"/>
      <c r="AP122" s="294"/>
      <c r="AQ122" s="294"/>
      <c r="AR122" s="294"/>
      <c r="AS122" s="294"/>
      <c r="AT122" s="294">
        <v>0</v>
      </c>
      <c r="AU122" s="294"/>
      <c r="AV122" s="294"/>
      <c r="AW122" s="294"/>
      <c r="AX122" s="294"/>
      <c r="AY122" s="294"/>
      <c r="AZ122" s="294"/>
      <c r="BA122" s="294"/>
      <c r="BB122" s="294"/>
      <c r="BC122" s="294">
        <v>-30000</v>
      </c>
      <c r="BD122" s="294"/>
      <c r="BE122" s="294"/>
      <c r="BF122" s="294"/>
      <c r="BG122" s="294"/>
      <c r="BH122" s="294">
        <v>-5.98</v>
      </c>
      <c r="BI122" s="294"/>
      <c r="BJ122" s="294">
        <v>-17975.95</v>
      </c>
      <c r="BK122" s="294"/>
      <c r="BL122" s="294"/>
      <c r="BM122" s="294"/>
      <c r="BN122" s="294"/>
      <c r="BO122" s="294"/>
      <c r="BP122" s="294"/>
      <c r="BQ122" s="294"/>
      <c r="BR122" s="294">
        <v>-4000</v>
      </c>
      <c r="BS122" s="294"/>
      <c r="BT122" s="294"/>
      <c r="BU122" s="294"/>
      <c r="BV122" s="294"/>
      <c r="BW122" s="294"/>
      <c r="BX122" s="294"/>
      <c r="BY122" s="294"/>
      <c r="BZ122" s="294"/>
      <c r="CA122" s="294"/>
      <c r="CB122" s="294"/>
      <c r="CC122" s="294"/>
      <c r="CD122" s="294"/>
      <c r="CE122" s="294"/>
      <c r="CF122" s="294"/>
      <c r="CG122" s="294"/>
      <c r="CH122" s="294"/>
      <c r="CI122" s="294"/>
      <c r="CJ122" s="294"/>
      <c r="CK122" s="294"/>
      <c r="CL122" s="294"/>
      <c r="CM122" s="294"/>
      <c r="CN122" s="294"/>
      <c r="CO122" s="294"/>
      <c r="CP122" s="294">
        <v>0</v>
      </c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>
        <v>-392491.89</v>
      </c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  <c r="FI122" s="294"/>
      <c r="FJ122" s="294"/>
      <c r="FK122" s="294"/>
      <c r="FL122" s="294"/>
      <c r="FM122" s="294"/>
      <c r="FN122" s="294"/>
      <c r="FO122" s="294"/>
      <c r="FP122" s="294"/>
      <c r="FQ122" s="294"/>
      <c r="FR122" s="294"/>
      <c r="FS122" s="294"/>
      <c r="FT122" s="294"/>
      <c r="FU122" s="294"/>
      <c r="FV122" s="294"/>
      <c r="FW122" s="294"/>
      <c r="FX122" s="294"/>
      <c r="FY122" s="294"/>
      <c r="FZ122" s="294"/>
      <c r="GA122" s="294"/>
      <c r="GB122" s="294"/>
      <c r="GC122" s="294"/>
      <c r="GD122" s="294"/>
      <c r="GE122" s="294"/>
      <c r="GF122" s="294"/>
      <c r="GG122" s="294"/>
      <c r="GH122" s="294"/>
      <c r="GI122" s="294"/>
      <c r="GJ122" s="294"/>
      <c r="GK122" s="294"/>
      <c r="GL122" s="294"/>
      <c r="GM122" s="294"/>
      <c r="GN122" s="294"/>
      <c r="GO122" s="294"/>
      <c r="GP122" s="294"/>
      <c r="GQ122" s="294"/>
      <c r="GR122" s="294"/>
      <c r="GS122" s="294"/>
      <c r="GT122" s="294"/>
      <c r="GU122" s="294"/>
      <c r="GV122" s="294"/>
      <c r="GW122" s="294"/>
      <c r="GX122" s="294"/>
      <c r="GY122" s="294">
        <v>0</v>
      </c>
      <c r="GZ122" s="294"/>
      <c r="HA122" s="294"/>
      <c r="HB122" s="294"/>
      <c r="HC122" s="294"/>
      <c r="HD122" s="294"/>
      <c r="HE122" s="294"/>
      <c r="HF122" s="294"/>
      <c r="HG122" s="294"/>
      <c r="HH122" s="294"/>
      <c r="HI122" s="294"/>
      <c r="HJ122" s="294"/>
      <c r="HK122" s="294"/>
      <c r="HL122" s="294"/>
      <c r="HM122" s="294"/>
      <c r="HN122" s="294"/>
      <c r="HO122" s="294"/>
      <c r="HP122" s="294"/>
      <c r="HQ122" s="294"/>
      <c r="HR122" s="294"/>
      <c r="HS122" s="294"/>
      <c r="HT122" s="294"/>
      <c r="HU122" s="294"/>
      <c r="HV122" s="294"/>
      <c r="HW122" s="294"/>
      <c r="HX122" s="294"/>
      <c r="HY122" s="294"/>
      <c r="HZ122" s="294"/>
      <c r="IA122" s="294"/>
      <c r="IB122" s="294"/>
      <c r="IC122" s="294"/>
      <c r="ID122" s="294"/>
      <c r="IE122" s="294"/>
      <c r="IF122" s="294"/>
      <c r="IG122" s="294"/>
      <c r="IH122" s="294"/>
      <c r="II122" s="294"/>
      <c r="IJ122" s="294"/>
      <c r="IK122" s="294"/>
      <c r="IL122" s="294"/>
      <c r="IM122" s="294"/>
      <c r="IN122" s="294"/>
      <c r="IO122" s="294"/>
      <c r="IP122" s="294"/>
      <c r="IQ122" s="294"/>
      <c r="IR122" s="294"/>
      <c r="IS122" s="294">
        <v>-77550</v>
      </c>
      <c r="IT122" s="294">
        <v>-29275</v>
      </c>
      <c r="IU122" s="294"/>
      <c r="IV122" s="294"/>
      <c r="IW122" s="294"/>
      <c r="IX122" s="294"/>
      <c r="IY122" s="294"/>
      <c r="IZ122" s="294"/>
      <c r="JA122" s="294"/>
      <c r="JB122" s="294"/>
      <c r="JC122" s="294"/>
      <c r="JD122" s="294"/>
      <c r="JE122" s="294"/>
      <c r="JF122" s="294"/>
      <c r="JG122" s="294"/>
      <c r="JH122" s="294"/>
      <c r="JI122" s="294"/>
      <c r="JJ122" s="294"/>
      <c r="JK122" s="294"/>
      <c r="JL122" s="294"/>
      <c r="JM122" s="294"/>
      <c r="JN122" s="294"/>
      <c r="JO122" s="294"/>
      <c r="JP122" s="294"/>
      <c r="JQ122" s="294"/>
      <c r="JR122" s="294"/>
      <c r="JS122" s="294"/>
      <c r="JT122" s="294"/>
      <c r="JU122" s="294"/>
      <c r="JV122" s="294"/>
      <c r="JW122" s="294"/>
      <c r="JX122" s="294"/>
      <c r="JY122" s="294"/>
      <c r="JZ122" s="294"/>
      <c r="KA122" s="294"/>
      <c r="KB122" s="294"/>
      <c r="KC122" s="294"/>
      <c r="KD122" s="294"/>
      <c r="KE122" s="294"/>
      <c r="KF122" s="294"/>
      <c r="KG122" s="294"/>
      <c r="KH122" s="294"/>
      <c r="KI122" s="294"/>
      <c r="KJ122" s="294"/>
      <c r="KK122" s="294"/>
      <c r="KL122" s="294"/>
      <c r="KM122" s="294"/>
      <c r="KN122" s="294"/>
      <c r="KO122" s="294"/>
      <c r="KP122" s="294"/>
      <c r="KQ122" s="294">
        <v>-9950</v>
      </c>
      <c r="KR122" s="294"/>
      <c r="KS122" s="294"/>
      <c r="KT122" s="294"/>
      <c r="KU122" s="294"/>
      <c r="KV122" s="294"/>
      <c r="KW122" s="294"/>
      <c r="KX122" s="294"/>
      <c r="KY122" s="294"/>
      <c r="KZ122" s="294"/>
      <c r="LA122" s="294"/>
      <c r="LB122" s="294"/>
      <c r="LC122" s="294"/>
      <c r="LD122" s="294"/>
      <c r="LE122" s="294"/>
      <c r="LF122" s="294"/>
      <c r="LG122" s="294"/>
      <c r="LH122" s="294"/>
      <c r="LI122" s="294"/>
      <c r="LJ122" s="294"/>
      <c r="LK122" s="294"/>
      <c r="LL122" s="294"/>
      <c r="LM122" s="294"/>
      <c r="LN122" s="294"/>
      <c r="LO122" s="294"/>
      <c r="LP122" s="294"/>
      <c r="LQ122" s="294"/>
      <c r="LR122" s="294"/>
      <c r="LS122" s="294"/>
      <c r="LT122" s="294"/>
      <c r="LU122" s="294"/>
      <c r="LV122" s="294"/>
      <c r="LW122" s="294"/>
      <c r="LX122" s="294">
        <v>0</v>
      </c>
      <c r="LY122" s="294"/>
      <c r="LZ122" s="294"/>
      <c r="MA122" s="294"/>
      <c r="MB122" s="294"/>
      <c r="MC122" s="294"/>
      <c r="MD122" s="294"/>
      <c r="ME122" s="294"/>
      <c r="MF122" s="294"/>
      <c r="MG122" s="294"/>
      <c r="MH122" s="294"/>
      <c r="MI122" s="294"/>
      <c r="MJ122" s="294"/>
      <c r="MK122" s="294"/>
      <c r="ML122" s="294"/>
      <c r="MM122" s="294"/>
      <c r="MN122" s="294"/>
      <c r="MO122" s="294"/>
      <c r="MP122" s="294"/>
      <c r="MQ122" s="294"/>
      <c r="MR122" s="294"/>
      <c r="MS122" s="294"/>
      <c r="MT122" s="294"/>
      <c r="MU122" s="294"/>
      <c r="MV122" s="294"/>
      <c r="MW122" s="294"/>
      <c r="MX122" s="294"/>
      <c r="MY122" s="294"/>
      <c r="MZ122" s="294"/>
      <c r="NA122" s="294"/>
      <c r="NB122" s="294"/>
      <c r="NC122" s="294"/>
      <c r="ND122" s="294"/>
      <c r="NE122" s="294"/>
      <c r="NF122" s="294"/>
      <c r="NG122" s="294">
        <v>0</v>
      </c>
      <c r="NH122" s="294"/>
      <c r="NI122" s="294"/>
      <c r="NJ122" s="294"/>
      <c r="NK122" s="294"/>
      <c r="NL122" s="294"/>
      <c r="NM122" s="294"/>
      <c r="NN122" s="294"/>
      <c r="NO122" s="294"/>
      <c r="NP122" s="294"/>
      <c r="NQ122" s="294"/>
      <c r="NR122" s="294"/>
      <c r="NS122" s="294"/>
      <c r="NT122" s="294"/>
      <c r="NU122" s="294"/>
      <c r="NV122" s="294"/>
      <c r="NW122" s="294"/>
      <c r="NX122" s="294"/>
      <c r="NY122" s="294"/>
      <c r="NZ122" s="294">
        <v>0</v>
      </c>
      <c r="OA122" s="294"/>
      <c r="OB122" s="294"/>
      <c r="OC122" s="294"/>
      <c r="OD122" s="294">
        <v>0</v>
      </c>
      <c r="OE122" s="294"/>
      <c r="OF122" s="294"/>
      <c r="OG122" s="294"/>
      <c r="OH122" s="294"/>
      <c r="OI122" s="294"/>
      <c r="OJ122" s="294"/>
      <c r="OK122" s="294"/>
      <c r="OL122" s="294"/>
      <c r="OM122" s="294"/>
      <c r="ON122" s="294"/>
      <c r="OO122" s="294"/>
      <c r="OP122" s="294"/>
      <c r="OQ122" s="294"/>
      <c r="OR122" s="294"/>
      <c r="OS122" s="294"/>
      <c r="OT122" s="294"/>
      <c r="OU122" s="294"/>
      <c r="OV122" s="294"/>
      <c r="OW122" s="294"/>
      <c r="OX122" s="294"/>
      <c r="OY122" s="294"/>
      <c r="OZ122" s="294"/>
      <c r="PA122" s="294"/>
      <c r="PB122" s="294"/>
      <c r="PC122" s="294"/>
      <c r="PD122" s="294"/>
      <c r="PE122" s="294"/>
      <c r="PF122" s="294"/>
      <c r="PG122" s="294"/>
      <c r="PH122" s="294"/>
      <c r="PI122" s="294"/>
      <c r="PJ122" s="294"/>
      <c r="PK122" s="294"/>
      <c r="PL122" s="294"/>
      <c r="PM122" s="294"/>
      <c r="PN122" s="294"/>
      <c r="PO122" s="294"/>
      <c r="PP122" s="294"/>
      <c r="PQ122" s="294"/>
      <c r="PR122" s="294"/>
      <c r="PS122" s="294"/>
      <c r="PT122" s="294"/>
      <c r="PU122" s="294"/>
      <c r="PV122" s="294"/>
      <c r="PW122" s="294"/>
      <c r="PX122" s="294"/>
      <c r="PY122" s="294"/>
      <c r="PZ122" s="294"/>
      <c r="QA122" s="294"/>
      <c r="QB122" s="294"/>
      <c r="QC122" s="294"/>
      <c r="QD122" s="294"/>
      <c r="QE122" s="294"/>
      <c r="QF122" s="294"/>
      <c r="QG122" s="294"/>
      <c r="QH122" s="294"/>
      <c r="QI122" s="294"/>
      <c r="QJ122" s="294"/>
      <c r="QK122" s="294"/>
      <c r="QL122" s="294"/>
      <c r="QM122" s="294"/>
      <c r="QN122" s="294"/>
      <c r="QO122" s="294"/>
      <c r="QP122" s="294"/>
      <c r="QQ122" s="294"/>
      <c r="QR122" s="294"/>
      <c r="QS122" s="294"/>
      <c r="QT122" s="294"/>
      <c r="QU122" s="294"/>
      <c r="QV122" s="294"/>
      <c r="QW122" s="294"/>
      <c r="QX122" s="294"/>
      <c r="QY122" s="294"/>
      <c r="QZ122" s="294"/>
      <c r="RA122" s="294"/>
      <c r="RB122" s="294"/>
      <c r="RC122" s="294"/>
      <c r="RD122" s="294"/>
      <c r="RE122" s="294"/>
      <c r="RF122" s="294"/>
      <c r="RG122" s="294"/>
      <c r="RH122" s="294"/>
      <c r="RI122" s="294"/>
      <c r="RJ122" s="294"/>
      <c r="RK122" s="294"/>
      <c r="RL122" s="294"/>
      <c r="RM122" s="294"/>
      <c r="RN122" s="294"/>
      <c r="RO122" s="294">
        <v>-435.94</v>
      </c>
      <c r="RP122" s="294"/>
      <c r="RQ122" s="294"/>
      <c r="RR122" s="294"/>
      <c r="RS122" s="294"/>
      <c r="RT122" s="294"/>
      <c r="RU122" s="294"/>
      <c r="RV122" s="294">
        <v>0</v>
      </c>
      <c r="RW122" s="294"/>
      <c r="RX122" s="294"/>
      <c r="RY122" s="294"/>
      <c r="RZ122" s="294"/>
      <c r="SA122" s="294">
        <v>-201000</v>
      </c>
      <c r="SB122" s="294"/>
      <c r="SC122" s="294"/>
      <c r="SD122" s="294"/>
      <c r="SE122" s="294"/>
      <c r="SF122" s="294"/>
      <c r="SG122" s="294"/>
      <c r="SH122" s="294"/>
      <c r="SI122" s="294"/>
      <c r="SJ122" s="294"/>
      <c r="SK122" s="294"/>
      <c r="SL122" s="294"/>
      <c r="SM122" s="294"/>
      <c r="SN122" s="294"/>
      <c r="SO122" s="294"/>
      <c r="SP122" s="294"/>
      <c r="SQ122" s="294"/>
      <c r="SR122" s="294"/>
      <c r="SS122" s="294">
        <v>-100</v>
      </c>
      <c r="ST122" s="294"/>
      <c r="SU122" s="294"/>
      <c r="SV122" s="294"/>
      <c r="SW122" s="294"/>
      <c r="SX122" s="294"/>
      <c r="SY122" s="294"/>
      <c r="SZ122" s="294"/>
      <c r="TA122" s="294"/>
      <c r="TB122" s="294"/>
      <c r="TC122" s="294"/>
      <c r="TD122" s="294"/>
      <c r="TE122" s="294"/>
      <c r="TF122" s="294"/>
      <c r="TG122" s="294"/>
      <c r="TH122" s="294"/>
      <c r="TI122" s="294"/>
      <c r="TJ122" s="294"/>
      <c r="TK122" s="294"/>
      <c r="TL122" s="294"/>
      <c r="TM122" s="294"/>
      <c r="TN122" s="294"/>
      <c r="TO122" s="294"/>
      <c r="TP122" s="294">
        <v>-24500</v>
      </c>
      <c r="TQ122" s="294"/>
      <c r="TR122" s="294"/>
      <c r="TS122" s="294"/>
      <c r="TT122" s="294"/>
      <c r="TU122" s="294"/>
      <c r="TV122" s="294"/>
      <c r="TW122" s="294"/>
      <c r="TX122" s="294"/>
      <c r="TY122" s="294"/>
      <c r="TZ122" s="294"/>
      <c r="UA122" s="294"/>
      <c r="UB122" s="294"/>
      <c r="UC122" s="294"/>
      <c r="UD122" s="294"/>
      <c r="UE122" s="294"/>
      <c r="UF122" s="294"/>
      <c r="UG122" s="294"/>
      <c r="UH122" s="294"/>
      <c r="UI122" s="294"/>
      <c r="UJ122" s="294"/>
      <c r="UK122" s="294"/>
      <c r="UL122" s="294"/>
      <c r="UM122" s="294"/>
      <c r="UN122" s="294"/>
      <c r="UO122" s="294"/>
      <c r="UP122" s="294"/>
      <c r="UQ122" s="294"/>
      <c r="UR122" s="294"/>
      <c r="US122" s="294"/>
      <c r="UT122" s="294"/>
      <c r="UU122" s="294"/>
      <c r="UV122" s="294"/>
      <c r="UW122" s="294"/>
      <c r="UX122" s="294"/>
      <c r="UY122" s="294"/>
      <c r="UZ122" s="294"/>
      <c r="VA122" s="294"/>
      <c r="VB122" s="294"/>
      <c r="VC122" s="294"/>
      <c r="VD122" s="294"/>
      <c r="VE122" s="294"/>
      <c r="VF122" s="294"/>
      <c r="VG122" s="294"/>
      <c r="VH122" s="294"/>
      <c r="VI122" s="294"/>
      <c r="VJ122" s="294"/>
      <c r="VK122" s="294"/>
      <c r="VL122" s="294"/>
      <c r="VM122" s="294"/>
      <c r="VN122" s="294"/>
      <c r="VO122" s="294"/>
      <c r="VP122" s="294"/>
      <c r="VQ122" s="294"/>
      <c r="VR122" s="294"/>
      <c r="VS122" s="294"/>
      <c r="VT122" s="294"/>
      <c r="VU122" s="294"/>
      <c r="VV122" s="294"/>
      <c r="VW122" s="294"/>
      <c r="VX122" s="294"/>
      <c r="VY122" s="294"/>
      <c r="VZ122" s="294"/>
      <c r="WA122" s="294"/>
      <c r="WB122" s="294"/>
      <c r="WC122" s="294"/>
      <c r="WD122" s="294"/>
      <c r="WE122" s="294"/>
      <c r="WF122" s="294"/>
      <c r="WG122" s="294"/>
      <c r="WH122" s="294"/>
      <c r="WI122" s="294"/>
      <c r="WJ122" s="294"/>
      <c r="WK122" s="294"/>
      <c r="WL122" s="294"/>
      <c r="WM122" s="294"/>
      <c r="WN122" s="294"/>
      <c r="WO122" s="294"/>
      <c r="WP122" s="294"/>
      <c r="WQ122" s="294"/>
      <c r="WR122" s="294"/>
      <c r="WS122" s="294"/>
      <c r="WT122" s="294"/>
      <c r="WU122" s="294"/>
      <c r="WV122" s="294"/>
      <c r="WW122" s="294"/>
      <c r="WX122" s="294"/>
      <c r="WY122" s="294"/>
      <c r="WZ122" s="294"/>
      <c r="XA122" s="294"/>
      <c r="XB122" s="294"/>
      <c r="XC122" s="294"/>
      <c r="XD122" s="294"/>
      <c r="XE122" s="294"/>
      <c r="XF122" s="294"/>
      <c r="XG122" s="294"/>
      <c r="XH122" s="294"/>
      <c r="XI122" s="294"/>
      <c r="XJ122" s="294"/>
      <c r="XK122" s="294"/>
      <c r="XL122" s="294"/>
      <c r="XM122" s="294"/>
      <c r="XN122" s="294"/>
      <c r="XO122" s="294"/>
      <c r="XP122" s="294"/>
      <c r="XQ122" s="294"/>
      <c r="XR122" s="294"/>
      <c r="XS122" s="294"/>
      <c r="XT122" s="294"/>
      <c r="XU122" s="294"/>
      <c r="XV122" s="294"/>
      <c r="XW122" s="294"/>
      <c r="XX122" s="294"/>
      <c r="XY122" s="294"/>
      <c r="XZ122" s="294"/>
      <c r="YA122" s="294"/>
      <c r="YB122" s="294"/>
      <c r="YC122" s="294"/>
      <c r="YD122" s="294"/>
      <c r="YE122" s="294"/>
      <c r="YF122" s="294"/>
      <c r="YG122" s="294"/>
      <c r="YH122" s="294"/>
      <c r="YI122" s="294"/>
      <c r="YJ122" s="294"/>
      <c r="YK122" s="294"/>
      <c r="YL122" s="294"/>
      <c r="YM122" s="294"/>
      <c r="YN122" s="294"/>
      <c r="YO122" s="294"/>
      <c r="YP122" s="294"/>
      <c r="YQ122" s="294"/>
      <c r="YR122" s="294"/>
      <c r="YS122" s="294"/>
      <c r="YT122" s="294"/>
      <c r="YU122" s="294"/>
      <c r="YV122" s="294"/>
      <c r="YW122" s="294"/>
      <c r="YX122" s="294"/>
      <c r="YY122" s="294"/>
      <c r="YZ122" s="294"/>
      <c r="ZA122" s="294"/>
      <c r="ZB122" s="294"/>
      <c r="ZC122" s="294"/>
      <c r="ZD122" s="294"/>
      <c r="ZE122" s="294"/>
      <c r="ZF122" s="294"/>
      <c r="ZG122" s="294"/>
      <c r="ZH122" s="294"/>
      <c r="ZI122" s="294">
        <v>0</v>
      </c>
      <c r="ZJ122" s="294"/>
      <c r="ZK122" s="294">
        <v>0</v>
      </c>
      <c r="ZL122" s="294"/>
      <c r="ZM122" s="294"/>
      <c r="ZN122" s="294"/>
      <c r="ZO122" s="294">
        <v>0</v>
      </c>
      <c r="ZP122" s="294"/>
      <c r="ZQ122" s="294"/>
      <c r="ZR122" s="294">
        <v>-39.06</v>
      </c>
      <c r="ZS122" s="294"/>
      <c r="ZT122" s="294"/>
      <c r="ZU122" s="294"/>
      <c r="ZV122" s="294"/>
      <c r="ZW122" s="294"/>
      <c r="ZX122" s="294"/>
      <c r="ZY122" s="294"/>
      <c r="ZZ122" s="294"/>
      <c r="AAA122" s="294"/>
      <c r="AAB122" s="294"/>
      <c r="AAC122" s="294"/>
      <c r="AAD122" s="294"/>
      <c r="AAE122" s="294"/>
      <c r="AAF122" s="294"/>
      <c r="AAG122" s="294"/>
      <c r="AAH122" s="294"/>
      <c r="AAI122" s="294"/>
      <c r="AAJ122" s="294"/>
      <c r="AAK122" s="294"/>
      <c r="AAL122" s="294"/>
      <c r="AAM122" s="294"/>
      <c r="AAN122" s="294"/>
      <c r="AAO122" s="294">
        <v>-21304221</v>
      </c>
      <c r="AAP122" s="294">
        <v>-53425.11</v>
      </c>
      <c r="AAQ122" s="294"/>
      <c r="AAR122" s="294"/>
      <c r="AAS122" s="294"/>
      <c r="AAT122" s="294"/>
      <c r="AAU122" s="294"/>
      <c r="AAV122" s="294"/>
      <c r="AAW122" s="294"/>
      <c r="AAX122" s="294"/>
      <c r="AAY122" s="294"/>
      <c r="AAZ122" s="294"/>
      <c r="ABA122" s="294"/>
      <c r="ABB122" s="294"/>
      <c r="ABC122" s="294">
        <v>0</v>
      </c>
      <c r="ABD122" s="294"/>
      <c r="ABE122" s="294"/>
      <c r="ABF122" s="294"/>
      <c r="ABG122" s="294"/>
      <c r="ABH122" s="294"/>
      <c r="ABI122" s="294"/>
      <c r="ABJ122" s="294"/>
      <c r="ABK122" s="294">
        <v>0</v>
      </c>
      <c r="ABL122" s="294"/>
      <c r="ABM122" s="294"/>
      <c r="ABN122" s="294"/>
      <c r="ABO122" s="294"/>
      <c r="ABP122" s="294"/>
      <c r="ABQ122" s="294"/>
      <c r="ABR122" s="294"/>
      <c r="ABS122" s="294"/>
      <c r="ABT122" s="294"/>
      <c r="ABU122" s="294"/>
      <c r="ABV122" s="294"/>
      <c r="ABW122" s="294"/>
      <c r="ABX122" s="294">
        <v>0</v>
      </c>
      <c r="ABY122" s="294"/>
      <c r="ABZ122" s="294"/>
      <c r="ACA122" s="294"/>
      <c r="ACB122" s="294"/>
      <c r="ACC122" s="294"/>
      <c r="ACD122" s="294"/>
      <c r="ACE122" s="294"/>
      <c r="ACF122" s="294"/>
      <c r="ACG122" s="294"/>
      <c r="ACH122" s="294"/>
      <c r="ACI122" s="294">
        <v>-38442.04</v>
      </c>
      <c r="ACJ122" s="294"/>
      <c r="ACK122" s="294"/>
      <c r="ACL122" s="294"/>
      <c r="ACM122" s="294"/>
      <c r="ACN122" s="294"/>
      <c r="ACO122" s="294"/>
      <c r="ACP122" s="294"/>
      <c r="ACQ122" s="294"/>
      <c r="ACR122" s="294"/>
      <c r="ACS122" s="294"/>
      <c r="ACT122" s="294"/>
      <c r="ACU122" s="294"/>
      <c r="ACV122" s="294">
        <v>0</v>
      </c>
      <c r="ACW122" s="294"/>
      <c r="ACX122" s="294"/>
      <c r="ACY122" s="294"/>
      <c r="ACZ122" s="294"/>
      <c r="ADA122" s="294"/>
      <c r="ADB122" s="294"/>
      <c r="ADC122" s="294"/>
      <c r="ADD122" s="294"/>
      <c r="ADE122" s="294"/>
      <c r="ADF122" s="294"/>
      <c r="ADG122" s="294"/>
      <c r="ADH122" s="294"/>
      <c r="ADI122" s="294"/>
      <c r="ADJ122" s="294"/>
      <c r="ADK122" s="294">
        <v>0</v>
      </c>
      <c r="ADL122" s="294"/>
      <c r="ADM122" s="294"/>
      <c r="ADN122" s="294"/>
      <c r="ADO122" s="294"/>
      <c r="ADP122" s="294"/>
      <c r="ADQ122" s="294"/>
      <c r="ADR122" s="294"/>
      <c r="ADS122" s="294"/>
      <c r="ADT122" s="294"/>
      <c r="ADU122" s="294"/>
      <c r="ADV122" s="294"/>
      <c r="ADW122" s="294"/>
      <c r="ADX122" s="294"/>
      <c r="ADY122" s="294"/>
      <c r="ADZ122" s="294"/>
      <c r="AEA122" s="294"/>
      <c r="AEB122" s="294"/>
      <c r="AEC122" s="294"/>
      <c r="AED122" s="294"/>
      <c r="AEE122" s="294"/>
      <c r="AEF122" s="294"/>
      <c r="AEG122" s="294"/>
      <c r="AEH122" s="294"/>
      <c r="AEI122" s="294"/>
      <c r="AEJ122" s="294"/>
      <c r="AEK122" s="294"/>
      <c r="AEL122" s="294"/>
      <c r="AEM122" s="294"/>
      <c r="AEN122" s="294"/>
      <c r="AEO122" s="294"/>
      <c r="AEP122" s="294"/>
      <c r="AEQ122" s="294"/>
      <c r="AER122" s="294"/>
      <c r="AES122" s="294"/>
      <c r="AET122" s="294"/>
      <c r="AEU122" s="294"/>
      <c r="AEV122" s="294"/>
      <c r="AEW122" s="294"/>
      <c r="AEX122" s="294"/>
      <c r="AEY122" s="294"/>
      <c r="AEZ122" s="294"/>
      <c r="AFA122" s="294"/>
      <c r="AFB122" s="294"/>
      <c r="AFC122" s="294">
        <v>-14823</v>
      </c>
      <c r="AFD122" s="294"/>
      <c r="AFE122" s="294"/>
      <c r="AFF122" s="294"/>
      <c r="AFG122" s="294"/>
      <c r="AFH122" s="294"/>
      <c r="AFI122" s="294"/>
      <c r="AFJ122" s="294"/>
      <c r="AFK122" s="294"/>
      <c r="AFL122" s="294"/>
      <c r="AFM122" s="294"/>
      <c r="AFN122" s="294"/>
      <c r="AFO122" s="294"/>
      <c r="AFP122" s="294"/>
      <c r="AFQ122" s="294"/>
      <c r="AFR122" s="294"/>
      <c r="AFS122" s="294"/>
      <c r="AFT122" s="294"/>
      <c r="AFU122" s="294"/>
      <c r="AFV122" s="294"/>
      <c r="AFW122" s="294"/>
      <c r="AFX122" s="294"/>
      <c r="AFY122" s="294"/>
      <c r="AFZ122" s="294"/>
      <c r="AGA122" s="294"/>
      <c r="AGB122" s="294"/>
      <c r="AGC122" s="294"/>
      <c r="AGD122" s="294"/>
      <c r="AGE122" s="294"/>
      <c r="AGF122" s="294"/>
      <c r="AGG122" s="294"/>
      <c r="AGH122" s="294"/>
      <c r="AGI122" s="294"/>
      <c r="AGJ122" s="294"/>
      <c r="AGK122" s="294"/>
      <c r="AGL122" s="294"/>
      <c r="AGM122" s="294"/>
      <c r="AGN122" s="294"/>
      <c r="AGO122" s="294"/>
      <c r="AGP122" s="294"/>
      <c r="AGQ122" s="294"/>
      <c r="AGR122" s="294"/>
      <c r="AGS122" s="294"/>
      <c r="AGT122" s="294"/>
      <c r="AGU122" s="294"/>
      <c r="AGV122" s="294"/>
      <c r="AGW122" s="294"/>
      <c r="AGX122" s="294"/>
      <c r="AGY122" s="294"/>
      <c r="AGZ122" s="294"/>
      <c r="AHA122" s="294"/>
      <c r="AHB122" s="294"/>
      <c r="AHC122" s="294"/>
      <c r="AHD122" s="294"/>
      <c r="AHE122" s="294"/>
      <c r="AHF122" s="294"/>
      <c r="AHG122" s="294"/>
      <c r="AHH122" s="294"/>
      <c r="AHI122" s="294"/>
      <c r="AHJ122" s="294"/>
      <c r="AHK122" s="294"/>
      <c r="AHL122" s="294"/>
      <c r="AHM122" s="294"/>
      <c r="AHN122" s="294"/>
      <c r="AHO122" s="294"/>
      <c r="AHP122" s="294"/>
      <c r="AHQ122" s="294"/>
      <c r="AHR122" s="331"/>
      <c r="AHS122" s="294">
        <f t="shared" si="51"/>
        <v>-22198234.969999999</v>
      </c>
      <c r="AHT122" s="269" t="b">
        <f t="shared" si="52"/>
        <v>1</v>
      </c>
      <c r="AHU122" s="269" t="s">
        <v>6278</v>
      </c>
      <c r="AHV122" s="269" t="s">
        <v>6186</v>
      </c>
      <c r="AHW122" s="269" t="s">
        <v>6187</v>
      </c>
    </row>
    <row r="123" spans="1:907" ht="24.6" x14ac:dyDescent="0.7">
      <c r="A123" s="268" t="s">
        <v>6278</v>
      </c>
      <c r="B123" s="268" t="s">
        <v>6188</v>
      </c>
      <c r="C123" s="269" t="s">
        <v>6189</v>
      </c>
      <c r="D123" s="294"/>
      <c r="E123" s="294">
        <v>-6840</v>
      </c>
      <c r="F123" s="294"/>
      <c r="G123" s="294"/>
      <c r="H123" s="294"/>
      <c r="I123" s="294">
        <v>-19929.27</v>
      </c>
      <c r="J123" s="294"/>
      <c r="K123" s="294"/>
      <c r="L123" s="294"/>
      <c r="M123" s="294">
        <v>-9000</v>
      </c>
      <c r="N123" s="294"/>
      <c r="O123" s="294">
        <v>0</v>
      </c>
      <c r="P123" s="294">
        <v>-128745</v>
      </c>
      <c r="Q123" s="294">
        <v>0</v>
      </c>
      <c r="R123" s="294"/>
      <c r="S123" s="294"/>
      <c r="T123" s="294"/>
      <c r="U123" s="294"/>
      <c r="V123" s="294"/>
      <c r="W123" s="294">
        <v>-253245.96</v>
      </c>
      <c r="X123" s="294">
        <v>0</v>
      </c>
      <c r="Y123" s="294"/>
      <c r="Z123" s="294">
        <v>-108614.88</v>
      </c>
      <c r="AA123" s="294"/>
      <c r="AB123" s="294"/>
      <c r="AC123" s="294">
        <v>0</v>
      </c>
      <c r="AD123" s="294"/>
      <c r="AE123" s="294"/>
      <c r="AF123" s="294">
        <v>0</v>
      </c>
      <c r="AG123" s="294">
        <v>-67</v>
      </c>
      <c r="AH123" s="294">
        <v>-1509250</v>
      </c>
      <c r="AI123" s="294"/>
      <c r="AJ123" s="294">
        <v>0</v>
      </c>
      <c r="AK123" s="294"/>
      <c r="AL123" s="294">
        <v>-165908</v>
      </c>
      <c r="AM123" s="294">
        <v>0</v>
      </c>
      <c r="AN123" s="294"/>
      <c r="AO123" s="294">
        <v>-55000</v>
      </c>
      <c r="AP123" s="294">
        <v>-87147.02</v>
      </c>
      <c r="AQ123" s="294"/>
      <c r="AR123" s="294">
        <v>-13564.84</v>
      </c>
      <c r="AS123" s="294">
        <v>-4000</v>
      </c>
      <c r="AT123" s="294">
        <v>-970715.33</v>
      </c>
      <c r="AU123" s="294">
        <v>0</v>
      </c>
      <c r="AV123" s="294"/>
      <c r="AW123" s="294"/>
      <c r="AX123" s="294"/>
      <c r="AY123" s="294"/>
      <c r="AZ123" s="294"/>
      <c r="BA123" s="294"/>
      <c r="BB123" s="294"/>
      <c r="BC123" s="294"/>
      <c r="BD123" s="294"/>
      <c r="BE123" s="294"/>
      <c r="BF123" s="294"/>
      <c r="BG123" s="294"/>
      <c r="BH123" s="294"/>
      <c r="BI123" s="294">
        <v>0</v>
      </c>
      <c r="BJ123" s="294">
        <v>-1069530.8799999999</v>
      </c>
      <c r="BK123" s="294"/>
      <c r="BL123" s="294"/>
      <c r="BM123" s="294"/>
      <c r="BN123" s="294"/>
      <c r="BO123" s="294"/>
      <c r="BP123" s="294"/>
      <c r="BQ123" s="294"/>
      <c r="BR123" s="294"/>
      <c r="BS123" s="294">
        <v>0</v>
      </c>
      <c r="BT123" s="294">
        <v>-20058</v>
      </c>
      <c r="BU123" s="294">
        <v>0</v>
      </c>
      <c r="BV123" s="294"/>
      <c r="BW123" s="294">
        <v>-6950</v>
      </c>
      <c r="BX123" s="294"/>
      <c r="BY123" s="294">
        <v>-492126.29</v>
      </c>
      <c r="BZ123" s="294"/>
      <c r="CA123" s="294"/>
      <c r="CB123" s="294"/>
      <c r="CC123" s="294"/>
      <c r="CD123" s="294"/>
      <c r="CE123" s="294"/>
      <c r="CF123" s="294">
        <v>-74051</v>
      </c>
      <c r="CG123" s="294"/>
      <c r="CH123" s="294">
        <v>0</v>
      </c>
      <c r="CI123" s="294">
        <v>0</v>
      </c>
      <c r="CJ123" s="294">
        <v>0</v>
      </c>
      <c r="CK123" s="294"/>
      <c r="CL123" s="294"/>
      <c r="CM123" s="294"/>
      <c r="CN123" s="294"/>
      <c r="CO123" s="294">
        <v>-85260</v>
      </c>
      <c r="CP123" s="294"/>
      <c r="CQ123" s="294">
        <v>0</v>
      </c>
      <c r="CR123" s="294">
        <v>0</v>
      </c>
      <c r="CS123" s="294"/>
      <c r="CT123" s="294">
        <v>0</v>
      </c>
      <c r="CU123" s="294">
        <v>-352678.56</v>
      </c>
      <c r="CV123" s="294"/>
      <c r="CW123" s="294">
        <v>0</v>
      </c>
      <c r="CX123" s="294"/>
      <c r="CY123" s="294"/>
      <c r="CZ123" s="294">
        <v>0</v>
      </c>
      <c r="DA123" s="294"/>
      <c r="DB123" s="294"/>
      <c r="DC123" s="294">
        <v>0</v>
      </c>
      <c r="DD123" s="294"/>
      <c r="DE123" s="294">
        <v>-1205900</v>
      </c>
      <c r="DF123" s="294">
        <v>0</v>
      </c>
      <c r="DG123" s="294">
        <v>-158060</v>
      </c>
      <c r="DH123" s="294">
        <v>-18500</v>
      </c>
      <c r="DI123" s="294"/>
      <c r="DJ123" s="294">
        <v>-10000</v>
      </c>
      <c r="DK123" s="294">
        <v>-3809607.64</v>
      </c>
      <c r="DL123" s="294">
        <v>0</v>
      </c>
      <c r="DM123" s="294"/>
      <c r="DN123" s="294">
        <v>-289560</v>
      </c>
      <c r="DO123" s="294"/>
      <c r="DP123" s="294">
        <v>-182893.11</v>
      </c>
      <c r="DQ123" s="294">
        <v>-100950</v>
      </c>
      <c r="DR123" s="294"/>
      <c r="DS123" s="294">
        <v>-70000</v>
      </c>
      <c r="DT123" s="294"/>
      <c r="DU123" s="294">
        <v>0</v>
      </c>
      <c r="DV123" s="294">
        <v>-475938</v>
      </c>
      <c r="DW123" s="294">
        <v>-49300</v>
      </c>
      <c r="DX123" s="294"/>
      <c r="DY123" s="294"/>
      <c r="DZ123" s="294">
        <v>-227250</v>
      </c>
      <c r="EA123" s="294">
        <v>-294310</v>
      </c>
      <c r="EB123" s="294">
        <v>-207180</v>
      </c>
      <c r="EC123" s="294">
        <v>0</v>
      </c>
      <c r="ED123" s="294"/>
      <c r="EE123" s="294">
        <v>-100000</v>
      </c>
      <c r="EF123" s="294"/>
      <c r="EG123" s="294"/>
      <c r="EH123" s="294">
        <v>0</v>
      </c>
      <c r="EI123" s="294">
        <v>-1082945.2</v>
      </c>
      <c r="EJ123" s="294">
        <v>-167556</v>
      </c>
      <c r="EK123" s="294">
        <v>-14000</v>
      </c>
      <c r="EL123" s="294">
        <v>-2498</v>
      </c>
      <c r="EM123" s="294">
        <v>-79122</v>
      </c>
      <c r="EN123" s="294"/>
      <c r="EO123" s="294"/>
      <c r="EP123" s="294">
        <v>0</v>
      </c>
      <c r="EQ123" s="294"/>
      <c r="ER123" s="294"/>
      <c r="ES123" s="294">
        <v>-51200</v>
      </c>
      <c r="ET123" s="294">
        <v>-384200</v>
      </c>
      <c r="EU123" s="294"/>
      <c r="EV123" s="294"/>
      <c r="EW123" s="294"/>
      <c r="EX123" s="294">
        <v>-38050</v>
      </c>
      <c r="EY123" s="294">
        <v>-1454135</v>
      </c>
      <c r="EZ123" s="294">
        <v>0</v>
      </c>
      <c r="FA123" s="294">
        <v>-88400</v>
      </c>
      <c r="FB123" s="294">
        <v>0</v>
      </c>
      <c r="FC123" s="294">
        <v>-280800</v>
      </c>
      <c r="FD123" s="294">
        <v>0</v>
      </c>
      <c r="FE123" s="294">
        <v>-257660</v>
      </c>
      <c r="FF123" s="294"/>
      <c r="FG123" s="294">
        <v>-60180</v>
      </c>
      <c r="FH123" s="294">
        <v>-27050</v>
      </c>
      <c r="FI123" s="294"/>
      <c r="FJ123" s="294">
        <v>-27744</v>
      </c>
      <c r="FK123" s="294"/>
      <c r="FL123" s="294">
        <v>-27452.25</v>
      </c>
      <c r="FM123" s="294">
        <v>-285714.53999999998</v>
      </c>
      <c r="FN123" s="294"/>
      <c r="FO123" s="294">
        <v>-95095</v>
      </c>
      <c r="FP123" s="294"/>
      <c r="FQ123" s="294">
        <v>-70030</v>
      </c>
      <c r="FR123" s="294"/>
      <c r="FS123" s="294">
        <v>-91690</v>
      </c>
      <c r="FT123" s="294"/>
      <c r="FU123" s="294"/>
      <c r="FV123" s="294">
        <v>-123460</v>
      </c>
      <c r="FW123" s="294"/>
      <c r="FX123" s="294"/>
      <c r="FY123" s="294"/>
      <c r="FZ123" s="294"/>
      <c r="GA123" s="294"/>
      <c r="GB123" s="294">
        <v>-14400</v>
      </c>
      <c r="GC123" s="294">
        <v>-110115</v>
      </c>
      <c r="GD123" s="294">
        <v>-35000</v>
      </c>
      <c r="GE123" s="294"/>
      <c r="GF123" s="294">
        <v>-115705</v>
      </c>
      <c r="GG123" s="294">
        <v>0</v>
      </c>
      <c r="GH123" s="294">
        <v>-1489815</v>
      </c>
      <c r="GI123" s="294">
        <v>-139393.20000000001</v>
      </c>
      <c r="GJ123" s="294"/>
      <c r="GK123" s="294">
        <v>-372215.89</v>
      </c>
      <c r="GL123" s="294">
        <v>-80179.820000000007</v>
      </c>
      <c r="GM123" s="294">
        <v>0</v>
      </c>
      <c r="GN123" s="294">
        <v>0</v>
      </c>
      <c r="GO123" s="294"/>
      <c r="GP123" s="294"/>
      <c r="GQ123" s="294"/>
      <c r="GR123" s="294"/>
      <c r="GS123" s="294"/>
      <c r="GT123" s="294">
        <v>0</v>
      </c>
      <c r="GU123" s="294"/>
      <c r="GV123" s="294">
        <v>-127900</v>
      </c>
      <c r="GW123" s="294">
        <v>-208971.4</v>
      </c>
      <c r="GX123" s="294"/>
      <c r="GY123" s="294"/>
      <c r="GZ123" s="294">
        <v>-70055</v>
      </c>
      <c r="HA123" s="294">
        <v>-51944</v>
      </c>
      <c r="HB123" s="294"/>
      <c r="HC123" s="294"/>
      <c r="HD123" s="294"/>
      <c r="HE123" s="294"/>
      <c r="HF123" s="294"/>
      <c r="HG123" s="294"/>
      <c r="HH123" s="294"/>
      <c r="HI123" s="294">
        <v>-50000</v>
      </c>
      <c r="HJ123" s="294"/>
      <c r="HK123" s="294">
        <v>-42680.08</v>
      </c>
      <c r="HL123" s="294"/>
      <c r="HM123" s="294">
        <v>0</v>
      </c>
      <c r="HN123" s="294"/>
      <c r="HO123" s="294">
        <v>-141225</v>
      </c>
      <c r="HP123" s="294"/>
      <c r="HQ123" s="294"/>
      <c r="HR123" s="294">
        <v>-5377892</v>
      </c>
      <c r="HS123" s="294"/>
      <c r="HT123" s="294"/>
      <c r="HU123" s="294"/>
      <c r="HV123" s="294">
        <v>-88910</v>
      </c>
      <c r="HW123" s="294"/>
      <c r="HX123" s="294">
        <v>-419270</v>
      </c>
      <c r="HY123" s="294"/>
      <c r="HZ123" s="294"/>
      <c r="IA123" s="294"/>
      <c r="IB123" s="294"/>
      <c r="IC123" s="294">
        <v>-88000</v>
      </c>
      <c r="ID123" s="294"/>
      <c r="IE123" s="294"/>
      <c r="IF123" s="294"/>
      <c r="IG123" s="294"/>
      <c r="IH123" s="294"/>
      <c r="II123" s="294">
        <v>-46742</v>
      </c>
      <c r="IJ123" s="294">
        <v>-185750</v>
      </c>
      <c r="IK123" s="294">
        <v>-44700</v>
      </c>
      <c r="IL123" s="294">
        <v>-1346.88</v>
      </c>
      <c r="IM123" s="294"/>
      <c r="IN123" s="294">
        <v>0</v>
      </c>
      <c r="IO123" s="294">
        <v>-169403.15</v>
      </c>
      <c r="IP123" s="294"/>
      <c r="IQ123" s="294"/>
      <c r="IR123" s="294">
        <v>0</v>
      </c>
      <c r="IS123" s="294">
        <v>-4844534.75</v>
      </c>
      <c r="IT123" s="294"/>
      <c r="IU123" s="294"/>
      <c r="IV123" s="294">
        <v>0</v>
      </c>
      <c r="IW123" s="294">
        <v>-100000</v>
      </c>
      <c r="IX123" s="294"/>
      <c r="IY123" s="294">
        <v>-350569</v>
      </c>
      <c r="IZ123" s="294">
        <v>-158980</v>
      </c>
      <c r="JA123" s="294">
        <v>-713875</v>
      </c>
      <c r="JB123" s="294"/>
      <c r="JC123" s="294"/>
      <c r="JD123" s="294">
        <v>0</v>
      </c>
      <c r="JE123" s="294"/>
      <c r="JF123" s="294"/>
      <c r="JG123" s="294">
        <v>-176560.8</v>
      </c>
      <c r="JH123" s="294"/>
      <c r="JI123" s="294">
        <v>-80000</v>
      </c>
      <c r="JJ123" s="294"/>
      <c r="JK123" s="294">
        <v>0</v>
      </c>
      <c r="JL123" s="294"/>
      <c r="JM123" s="294">
        <v>-596929</v>
      </c>
      <c r="JN123" s="294"/>
      <c r="JO123" s="294">
        <v>-138664</v>
      </c>
      <c r="JP123" s="294"/>
      <c r="JQ123" s="294">
        <v>-8850</v>
      </c>
      <c r="JR123" s="294"/>
      <c r="JS123" s="294"/>
      <c r="JT123" s="294"/>
      <c r="JU123" s="294">
        <v>-64160</v>
      </c>
      <c r="JV123" s="294"/>
      <c r="JW123" s="294"/>
      <c r="JX123" s="294"/>
      <c r="JY123" s="294"/>
      <c r="JZ123" s="294">
        <v>-12000</v>
      </c>
      <c r="KA123" s="294"/>
      <c r="KB123" s="294"/>
      <c r="KC123" s="294"/>
      <c r="KD123" s="294"/>
      <c r="KE123" s="294"/>
      <c r="KF123" s="294"/>
      <c r="KG123" s="294">
        <v>-16150</v>
      </c>
      <c r="KH123" s="294"/>
      <c r="KI123" s="294"/>
      <c r="KJ123" s="294"/>
      <c r="KK123" s="294"/>
      <c r="KL123" s="294">
        <v>-130000</v>
      </c>
      <c r="KM123" s="294"/>
      <c r="KN123" s="294">
        <v>-195500</v>
      </c>
      <c r="KO123" s="294">
        <v>-857038.26</v>
      </c>
      <c r="KP123" s="294">
        <v>0</v>
      </c>
      <c r="KQ123" s="294"/>
      <c r="KR123" s="294">
        <v>-233600</v>
      </c>
      <c r="KS123" s="294"/>
      <c r="KT123" s="294">
        <v>-110409</v>
      </c>
      <c r="KU123" s="294"/>
      <c r="KV123" s="294"/>
      <c r="KW123" s="294"/>
      <c r="KX123" s="294">
        <v>-229510</v>
      </c>
      <c r="KY123" s="294"/>
      <c r="KZ123" s="294"/>
      <c r="LA123" s="294">
        <v>-85150</v>
      </c>
      <c r="LB123" s="294"/>
      <c r="LC123" s="294"/>
      <c r="LD123" s="294">
        <v>-30425</v>
      </c>
      <c r="LE123" s="294">
        <v>0</v>
      </c>
      <c r="LF123" s="294">
        <v>-25000</v>
      </c>
      <c r="LG123" s="294">
        <v>-2253182</v>
      </c>
      <c r="LH123" s="294"/>
      <c r="LI123" s="294"/>
      <c r="LJ123" s="294">
        <v>-414069.32999999996</v>
      </c>
      <c r="LK123" s="294"/>
      <c r="LL123" s="294">
        <v>0</v>
      </c>
      <c r="LM123" s="294"/>
      <c r="LN123" s="294">
        <v>-126000</v>
      </c>
      <c r="LO123" s="294">
        <v>-83640</v>
      </c>
      <c r="LP123" s="294"/>
      <c r="LQ123" s="294"/>
      <c r="LR123" s="294">
        <v>0</v>
      </c>
      <c r="LS123" s="294"/>
      <c r="LT123" s="294"/>
      <c r="LU123" s="294"/>
      <c r="LV123" s="294">
        <v>-96149</v>
      </c>
      <c r="LW123" s="294">
        <v>0</v>
      </c>
      <c r="LX123" s="294">
        <v>-75514.69</v>
      </c>
      <c r="LY123" s="294"/>
      <c r="LZ123" s="294"/>
      <c r="MA123" s="294"/>
      <c r="MB123" s="294"/>
      <c r="MC123" s="294">
        <v>-364330</v>
      </c>
      <c r="MD123" s="294">
        <v>-110510</v>
      </c>
      <c r="ME123" s="294">
        <v>-200318.5</v>
      </c>
      <c r="MF123" s="294">
        <v>-112752.06</v>
      </c>
      <c r="MG123" s="294">
        <v>-4301822.05</v>
      </c>
      <c r="MH123" s="294"/>
      <c r="MI123" s="294">
        <v>-93400</v>
      </c>
      <c r="MJ123" s="294">
        <v>-63900</v>
      </c>
      <c r="MK123" s="294">
        <v>0</v>
      </c>
      <c r="ML123" s="294"/>
      <c r="MM123" s="294"/>
      <c r="MN123" s="294">
        <v>-329800</v>
      </c>
      <c r="MO123" s="294">
        <v>-2301320</v>
      </c>
      <c r="MP123" s="294">
        <v>-147650</v>
      </c>
      <c r="MQ123" s="294"/>
      <c r="MR123" s="294">
        <v>-238521.03</v>
      </c>
      <c r="MS123" s="294"/>
      <c r="MT123" s="294">
        <v>0</v>
      </c>
      <c r="MU123" s="294">
        <v>-81000</v>
      </c>
      <c r="MV123" s="294"/>
      <c r="MW123" s="294"/>
      <c r="MX123" s="294">
        <v>0</v>
      </c>
      <c r="MY123" s="294">
        <v>-226152</v>
      </c>
      <c r="MZ123" s="294">
        <v>-120690</v>
      </c>
      <c r="NA123" s="294"/>
      <c r="NB123" s="294">
        <v>-59544</v>
      </c>
      <c r="NC123" s="294">
        <v>-5482</v>
      </c>
      <c r="ND123" s="294">
        <v>-1695943.71</v>
      </c>
      <c r="NE123" s="294"/>
      <c r="NF123" s="294">
        <v>0</v>
      </c>
      <c r="NG123" s="294"/>
      <c r="NH123" s="294"/>
      <c r="NI123" s="294">
        <v>-2153200</v>
      </c>
      <c r="NJ123" s="294">
        <v>-108300.2</v>
      </c>
      <c r="NK123" s="294"/>
      <c r="NL123" s="294"/>
      <c r="NM123" s="294"/>
      <c r="NN123" s="294">
        <v>-45336</v>
      </c>
      <c r="NO123" s="294"/>
      <c r="NP123" s="294">
        <v>-30500</v>
      </c>
      <c r="NQ123" s="294">
        <v>0</v>
      </c>
      <c r="NR123" s="294"/>
      <c r="NS123" s="294">
        <v>0</v>
      </c>
      <c r="NT123" s="294">
        <v>-248090</v>
      </c>
      <c r="NU123" s="294">
        <v>0</v>
      </c>
      <c r="NV123" s="294"/>
      <c r="NW123" s="294">
        <v>-13573620.470000001</v>
      </c>
      <c r="NX123" s="294"/>
      <c r="NY123" s="294"/>
      <c r="NZ123" s="294"/>
      <c r="OA123" s="294">
        <v>-105000</v>
      </c>
      <c r="OB123" s="294"/>
      <c r="OC123" s="294"/>
      <c r="OD123" s="294"/>
      <c r="OE123" s="294"/>
      <c r="OF123" s="294">
        <v>-1453000</v>
      </c>
      <c r="OG123" s="294">
        <v>-205231</v>
      </c>
      <c r="OH123" s="294"/>
      <c r="OI123" s="294"/>
      <c r="OJ123" s="294">
        <v>-117200</v>
      </c>
      <c r="OK123" s="294"/>
      <c r="OL123" s="294"/>
      <c r="OM123" s="294"/>
      <c r="ON123" s="294"/>
      <c r="OO123" s="294">
        <v>-488576</v>
      </c>
      <c r="OP123" s="294">
        <v>-2990535.13</v>
      </c>
      <c r="OQ123" s="294">
        <v>-93553.64</v>
      </c>
      <c r="OR123" s="294"/>
      <c r="OS123" s="294">
        <v>-14939371.08</v>
      </c>
      <c r="OT123" s="294"/>
      <c r="OU123" s="294">
        <v>-16000</v>
      </c>
      <c r="OV123" s="294">
        <v>0</v>
      </c>
      <c r="OW123" s="294"/>
      <c r="OX123" s="294">
        <v>-1382429.69</v>
      </c>
      <c r="OY123" s="294"/>
      <c r="OZ123" s="294">
        <v>-113788</v>
      </c>
      <c r="PA123" s="294">
        <v>0</v>
      </c>
      <c r="PB123" s="294"/>
      <c r="PC123" s="294"/>
      <c r="PD123" s="294"/>
      <c r="PE123" s="294"/>
      <c r="PF123" s="294"/>
      <c r="PG123" s="294"/>
      <c r="PH123" s="294"/>
      <c r="PI123" s="294"/>
      <c r="PJ123" s="294"/>
      <c r="PK123" s="294"/>
      <c r="PL123" s="294"/>
      <c r="PM123" s="294"/>
      <c r="PN123" s="294">
        <v>0</v>
      </c>
      <c r="PO123" s="294"/>
      <c r="PP123" s="294"/>
      <c r="PQ123" s="294"/>
      <c r="PR123" s="294"/>
      <c r="PS123" s="294"/>
      <c r="PT123" s="294"/>
      <c r="PU123" s="294"/>
      <c r="PV123" s="294"/>
      <c r="PW123" s="294"/>
      <c r="PX123" s="294"/>
      <c r="PY123" s="294"/>
      <c r="PZ123" s="294"/>
      <c r="QA123" s="294"/>
      <c r="QB123" s="294">
        <v>-11100</v>
      </c>
      <c r="QC123" s="294"/>
      <c r="QD123" s="294"/>
      <c r="QE123" s="294"/>
      <c r="QF123" s="294"/>
      <c r="QG123" s="294"/>
      <c r="QH123" s="294"/>
      <c r="QI123" s="294"/>
      <c r="QJ123" s="294"/>
      <c r="QK123" s="294"/>
      <c r="QL123" s="294"/>
      <c r="QM123" s="294"/>
      <c r="QN123" s="294"/>
      <c r="QO123" s="294"/>
      <c r="QP123" s="294"/>
      <c r="QQ123" s="294"/>
      <c r="QR123" s="294">
        <v>0</v>
      </c>
      <c r="QS123" s="294"/>
      <c r="QT123" s="294"/>
      <c r="QU123" s="294"/>
      <c r="QV123" s="294"/>
      <c r="QW123" s="294"/>
      <c r="QX123" s="294"/>
      <c r="QY123" s="294">
        <v>-253147</v>
      </c>
      <c r="QZ123" s="294"/>
      <c r="RA123" s="294"/>
      <c r="RB123" s="294"/>
      <c r="RC123" s="294"/>
      <c r="RD123" s="294"/>
      <c r="RE123" s="294"/>
      <c r="RF123" s="294"/>
      <c r="RG123" s="294"/>
      <c r="RH123" s="294">
        <v>-69722.3</v>
      </c>
      <c r="RI123" s="294"/>
      <c r="RJ123" s="294"/>
      <c r="RK123" s="294"/>
      <c r="RL123" s="294"/>
      <c r="RM123" s="294">
        <v>0</v>
      </c>
      <c r="RN123" s="294">
        <v>-7800</v>
      </c>
      <c r="RO123" s="294">
        <v>-385500</v>
      </c>
      <c r="RP123" s="294"/>
      <c r="RQ123" s="294">
        <v>-71950</v>
      </c>
      <c r="RR123" s="294">
        <v>-106128</v>
      </c>
      <c r="RS123" s="294"/>
      <c r="RT123" s="294"/>
      <c r="RU123" s="294"/>
      <c r="RV123" s="294"/>
      <c r="RW123" s="294"/>
      <c r="RX123" s="294"/>
      <c r="RY123" s="294"/>
      <c r="RZ123" s="294"/>
      <c r="SA123" s="294"/>
      <c r="SB123" s="294">
        <v>-337470</v>
      </c>
      <c r="SC123" s="294">
        <v>-173200</v>
      </c>
      <c r="SD123" s="294">
        <v>-171750</v>
      </c>
      <c r="SE123" s="294">
        <v>-134300</v>
      </c>
      <c r="SF123" s="294">
        <v>-1518236.91</v>
      </c>
      <c r="SG123" s="294">
        <v>-216200</v>
      </c>
      <c r="SH123" s="294">
        <v>-58300</v>
      </c>
      <c r="SI123" s="294">
        <v>-239875</v>
      </c>
      <c r="SJ123" s="294">
        <v>-152050</v>
      </c>
      <c r="SK123" s="294">
        <v>-317060</v>
      </c>
      <c r="SL123" s="294">
        <v>-49625</v>
      </c>
      <c r="SM123" s="294">
        <v>-735669.12</v>
      </c>
      <c r="SN123" s="294">
        <v>-724337.7</v>
      </c>
      <c r="SO123" s="294">
        <v>-840128</v>
      </c>
      <c r="SP123" s="294"/>
      <c r="SQ123" s="294">
        <v>-693798</v>
      </c>
      <c r="SR123" s="294">
        <v>-283400</v>
      </c>
      <c r="SS123" s="294">
        <v>-1050948</v>
      </c>
      <c r="ST123" s="294"/>
      <c r="SU123" s="294">
        <v>-57000</v>
      </c>
      <c r="SV123" s="294">
        <v>-476263.31</v>
      </c>
      <c r="SW123" s="294">
        <v>-34632.15</v>
      </c>
      <c r="SX123" s="294">
        <v>-449509</v>
      </c>
      <c r="SY123" s="294">
        <v>-90000</v>
      </c>
      <c r="SZ123" s="294">
        <v>-55200</v>
      </c>
      <c r="TA123" s="294"/>
      <c r="TB123" s="294">
        <v>0</v>
      </c>
      <c r="TC123" s="294"/>
      <c r="TD123" s="294">
        <v>-215000</v>
      </c>
      <c r="TE123" s="294">
        <v>-253138</v>
      </c>
      <c r="TF123" s="294">
        <v>-436090.44</v>
      </c>
      <c r="TG123" s="294">
        <v>-276418.08</v>
      </c>
      <c r="TH123" s="294">
        <v>-61106.64</v>
      </c>
      <c r="TI123" s="294"/>
      <c r="TJ123" s="294">
        <v>-22992.59</v>
      </c>
      <c r="TK123" s="294"/>
      <c r="TL123" s="294">
        <v>-282900</v>
      </c>
      <c r="TM123" s="294">
        <v>-384065.05</v>
      </c>
      <c r="TN123" s="294">
        <v>-82250</v>
      </c>
      <c r="TO123" s="294">
        <v>-101056</v>
      </c>
      <c r="TP123" s="294">
        <v>-1240094.4099999999</v>
      </c>
      <c r="TQ123" s="294">
        <v>-335450</v>
      </c>
      <c r="TR123" s="294">
        <v>-287635</v>
      </c>
      <c r="TS123" s="294">
        <v>-151080</v>
      </c>
      <c r="TT123" s="294">
        <v>-71100</v>
      </c>
      <c r="TU123" s="294">
        <v>-186450</v>
      </c>
      <c r="TV123" s="294"/>
      <c r="TW123" s="294">
        <v>-188490</v>
      </c>
      <c r="TX123" s="294">
        <v>0</v>
      </c>
      <c r="TY123" s="294">
        <v>-835357.99</v>
      </c>
      <c r="TZ123" s="294">
        <v>-141130</v>
      </c>
      <c r="UA123" s="294"/>
      <c r="UB123" s="294">
        <v>-600100</v>
      </c>
      <c r="UC123" s="294">
        <v>-2864533</v>
      </c>
      <c r="UD123" s="294">
        <v>-836390</v>
      </c>
      <c r="UE123" s="294">
        <v>-625895.32999999996</v>
      </c>
      <c r="UF123" s="294"/>
      <c r="UG123" s="294">
        <v>-2318920.87</v>
      </c>
      <c r="UH123" s="294">
        <v>-20444</v>
      </c>
      <c r="UI123" s="294">
        <v>-46700</v>
      </c>
      <c r="UJ123" s="294">
        <v>-529797</v>
      </c>
      <c r="UK123" s="294">
        <v>-61854</v>
      </c>
      <c r="UL123" s="294">
        <v>-117915</v>
      </c>
      <c r="UM123" s="294">
        <v>-227520</v>
      </c>
      <c r="UN123" s="294">
        <v>-70100</v>
      </c>
      <c r="UO123" s="294">
        <v>-484768.5</v>
      </c>
      <c r="UP123" s="294">
        <v>-894108.78</v>
      </c>
      <c r="UQ123" s="294">
        <v>-155748.79</v>
      </c>
      <c r="UR123" s="294"/>
      <c r="US123" s="294">
        <v>-159692.48000000001</v>
      </c>
      <c r="UT123" s="294"/>
      <c r="UU123" s="294">
        <v>-97979.839999999997</v>
      </c>
      <c r="UV123" s="294"/>
      <c r="UW123" s="294">
        <v>-40106</v>
      </c>
      <c r="UX123" s="294">
        <v>0</v>
      </c>
      <c r="UY123" s="294">
        <v>-198138</v>
      </c>
      <c r="UZ123" s="294">
        <v>-228662</v>
      </c>
      <c r="VA123" s="294">
        <v>-340125</v>
      </c>
      <c r="VB123" s="294">
        <v>-630737</v>
      </c>
      <c r="VC123" s="294"/>
      <c r="VD123" s="294"/>
      <c r="VE123" s="294">
        <v>-327699</v>
      </c>
      <c r="VF123" s="294">
        <v>-130680</v>
      </c>
      <c r="VG123" s="294"/>
      <c r="VH123" s="294">
        <v>-398700</v>
      </c>
      <c r="VI123" s="294"/>
      <c r="VJ123" s="294"/>
      <c r="VK123" s="294">
        <v>-363556.56</v>
      </c>
      <c r="VL123" s="294">
        <v>-994191</v>
      </c>
      <c r="VM123" s="294">
        <v>-287101.01</v>
      </c>
      <c r="VN123" s="294">
        <v>-296025</v>
      </c>
      <c r="VO123" s="294"/>
      <c r="VP123" s="294">
        <v>0</v>
      </c>
      <c r="VQ123" s="294">
        <v>-576893</v>
      </c>
      <c r="VR123" s="294"/>
      <c r="VS123" s="294"/>
      <c r="VT123" s="294"/>
      <c r="VU123" s="294">
        <v>-623129.30000000005</v>
      </c>
      <c r="VV123" s="294"/>
      <c r="VW123" s="294">
        <v>0</v>
      </c>
      <c r="VX123" s="294">
        <v>-1459169.88</v>
      </c>
      <c r="VY123" s="294"/>
      <c r="VZ123" s="294">
        <v>-16880</v>
      </c>
      <c r="WA123" s="294"/>
      <c r="WB123" s="294">
        <v>0</v>
      </c>
      <c r="WC123" s="294"/>
      <c r="WD123" s="294"/>
      <c r="WE123" s="294"/>
      <c r="WF123" s="294"/>
      <c r="WG123" s="294">
        <v>-333038</v>
      </c>
      <c r="WH123" s="294">
        <v>-544559.26</v>
      </c>
      <c r="WI123" s="294">
        <v>-84930</v>
      </c>
      <c r="WJ123" s="294"/>
      <c r="WK123" s="294">
        <v>0</v>
      </c>
      <c r="WL123" s="294">
        <v>-657875</v>
      </c>
      <c r="WM123" s="294">
        <v>-27800</v>
      </c>
      <c r="WN123" s="294">
        <v>-709456.6</v>
      </c>
      <c r="WO123" s="294">
        <v>-398750</v>
      </c>
      <c r="WP123" s="294"/>
      <c r="WQ123" s="294">
        <v>-121141</v>
      </c>
      <c r="WR123" s="294"/>
      <c r="WS123" s="294">
        <v>-177043</v>
      </c>
      <c r="WT123" s="294">
        <v>0</v>
      </c>
      <c r="WU123" s="294">
        <v>-1664129.74</v>
      </c>
      <c r="WV123" s="294"/>
      <c r="WW123" s="294">
        <v>-1821010</v>
      </c>
      <c r="WX123" s="294">
        <v>0</v>
      </c>
      <c r="WY123" s="294">
        <v>-59000</v>
      </c>
      <c r="WZ123" s="294"/>
      <c r="XA123" s="294"/>
      <c r="XB123" s="294"/>
      <c r="XC123" s="294">
        <v>0</v>
      </c>
      <c r="XD123" s="294">
        <v>-325330</v>
      </c>
      <c r="XE123" s="294"/>
      <c r="XF123" s="294"/>
      <c r="XG123" s="294"/>
      <c r="XH123" s="294"/>
      <c r="XI123" s="294">
        <v>-439438.75</v>
      </c>
      <c r="XJ123" s="294"/>
      <c r="XK123" s="294"/>
      <c r="XL123" s="294">
        <v>-97593.91</v>
      </c>
      <c r="XM123" s="294">
        <v>-1299500.44</v>
      </c>
      <c r="XN123" s="294">
        <v>-596176.54</v>
      </c>
      <c r="XO123" s="294">
        <v>-34128.04</v>
      </c>
      <c r="XP123" s="294">
        <v>-103660</v>
      </c>
      <c r="XQ123" s="294">
        <v>-169000</v>
      </c>
      <c r="XR123" s="294">
        <v>-52800</v>
      </c>
      <c r="XS123" s="294">
        <v>-17800</v>
      </c>
      <c r="XT123" s="294">
        <v>-5826.6</v>
      </c>
      <c r="XU123" s="294"/>
      <c r="XV123" s="294">
        <v>-503200</v>
      </c>
      <c r="XW123" s="294"/>
      <c r="XX123" s="294"/>
      <c r="XY123" s="294">
        <v>-205405.44</v>
      </c>
      <c r="XZ123" s="294">
        <v>-205471.04</v>
      </c>
      <c r="YA123" s="294">
        <v>-28820.3</v>
      </c>
      <c r="YB123" s="294">
        <v>-63225</v>
      </c>
      <c r="YC123" s="294"/>
      <c r="YD123" s="294"/>
      <c r="YE123" s="294"/>
      <c r="YF123" s="294">
        <v>-123400</v>
      </c>
      <c r="YG123" s="294"/>
      <c r="YH123" s="294">
        <v>-139610</v>
      </c>
      <c r="YI123" s="294">
        <v>-97900</v>
      </c>
      <c r="YJ123" s="294"/>
      <c r="YK123" s="294"/>
      <c r="YL123" s="294"/>
      <c r="YM123" s="294">
        <v>-321480</v>
      </c>
      <c r="YN123" s="294">
        <v>-692450</v>
      </c>
      <c r="YO123" s="294">
        <v>-385603</v>
      </c>
      <c r="YP123" s="294">
        <v>-691701</v>
      </c>
      <c r="YQ123" s="294">
        <v>-381687</v>
      </c>
      <c r="YR123" s="294">
        <v>-24100</v>
      </c>
      <c r="YS123" s="294">
        <v>-97206.78</v>
      </c>
      <c r="YT123" s="294">
        <v>-378930</v>
      </c>
      <c r="YU123" s="294"/>
      <c r="YV123" s="294">
        <v>-2585610</v>
      </c>
      <c r="YW123" s="294">
        <v>-90000</v>
      </c>
      <c r="YX123" s="294">
        <v>0</v>
      </c>
      <c r="YY123" s="294"/>
      <c r="YZ123" s="294">
        <v>-466480</v>
      </c>
      <c r="ZA123" s="294">
        <v>-54110</v>
      </c>
      <c r="ZB123" s="294"/>
      <c r="ZC123" s="294"/>
      <c r="ZD123" s="294"/>
      <c r="ZE123" s="294"/>
      <c r="ZF123" s="294"/>
      <c r="ZG123" s="294">
        <v>-407655</v>
      </c>
      <c r="ZH123" s="294"/>
      <c r="ZI123" s="294">
        <v>-15000</v>
      </c>
      <c r="ZJ123" s="294"/>
      <c r="ZK123" s="294"/>
      <c r="ZL123" s="294">
        <v>-1343024</v>
      </c>
      <c r="ZM123" s="294"/>
      <c r="ZN123" s="294"/>
      <c r="ZO123" s="294">
        <v>-272743</v>
      </c>
      <c r="ZP123" s="294">
        <v>0</v>
      </c>
      <c r="ZQ123" s="294"/>
      <c r="ZR123" s="294"/>
      <c r="ZS123" s="294"/>
      <c r="ZT123" s="294">
        <v>-86790</v>
      </c>
      <c r="ZU123" s="294"/>
      <c r="ZV123" s="294"/>
      <c r="ZW123" s="294">
        <v>-47550</v>
      </c>
      <c r="ZX123" s="294">
        <v>0</v>
      </c>
      <c r="ZY123" s="294">
        <v>-33950</v>
      </c>
      <c r="ZZ123" s="294"/>
      <c r="AAA123" s="294"/>
      <c r="AAB123" s="294">
        <v>-135600</v>
      </c>
      <c r="AAC123" s="294"/>
      <c r="AAD123" s="294"/>
      <c r="AAE123" s="294"/>
      <c r="AAF123" s="294">
        <v>-88600</v>
      </c>
      <c r="AAG123" s="294"/>
      <c r="AAH123" s="294"/>
      <c r="AAI123" s="294"/>
      <c r="AAJ123" s="294"/>
      <c r="AAK123" s="294"/>
      <c r="AAL123" s="294">
        <v>-258940</v>
      </c>
      <c r="AAM123" s="294">
        <v>-1251412</v>
      </c>
      <c r="AAN123" s="294">
        <v>0</v>
      </c>
      <c r="AAO123" s="294"/>
      <c r="AAP123" s="294">
        <v>-270460</v>
      </c>
      <c r="AAQ123" s="294">
        <v>-432200</v>
      </c>
      <c r="AAR123" s="294"/>
      <c r="AAS123" s="294">
        <v>-366600</v>
      </c>
      <c r="AAT123" s="294"/>
      <c r="AAU123" s="294">
        <v>0</v>
      </c>
      <c r="AAV123" s="294"/>
      <c r="AAW123" s="294">
        <v>0</v>
      </c>
      <c r="AAX123" s="294">
        <v>0</v>
      </c>
      <c r="AAY123" s="294">
        <v>-40075</v>
      </c>
      <c r="AAZ123" s="294"/>
      <c r="ABA123" s="294">
        <v>-176257.6</v>
      </c>
      <c r="ABB123" s="294">
        <v>0</v>
      </c>
      <c r="ABC123" s="294">
        <v>-138780</v>
      </c>
      <c r="ABD123" s="294">
        <v>0</v>
      </c>
      <c r="ABE123" s="294">
        <v>-382000</v>
      </c>
      <c r="ABF123" s="294">
        <v>-275000</v>
      </c>
      <c r="ABG123" s="294">
        <v>-14900</v>
      </c>
      <c r="ABH123" s="294"/>
      <c r="ABI123" s="294"/>
      <c r="ABJ123" s="294"/>
      <c r="ABK123" s="294">
        <v>0</v>
      </c>
      <c r="ABL123" s="294"/>
      <c r="ABM123" s="294">
        <v>-71190.14</v>
      </c>
      <c r="ABN123" s="294"/>
      <c r="ABO123" s="294">
        <v>-282662.24</v>
      </c>
      <c r="ABP123" s="294"/>
      <c r="ABQ123" s="294"/>
      <c r="ABR123" s="294">
        <v>-218280</v>
      </c>
      <c r="ABS123" s="294"/>
      <c r="ABT123" s="294"/>
      <c r="ABU123" s="294">
        <v>-45000</v>
      </c>
      <c r="ABV123" s="294">
        <v>0</v>
      </c>
      <c r="ABW123" s="294">
        <v>0</v>
      </c>
      <c r="ABX123" s="294">
        <v>-347300</v>
      </c>
      <c r="ABY123" s="294">
        <v>-287025</v>
      </c>
      <c r="ABZ123" s="294"/>
      <c r="ACA123" s="294">
        <v>-67740</v>
      </c>
      <c r="ACB123" s="294">
        <v>-23000</v>
      </c>
      <c r="ACC123" s="294">
        <v>-45700</v>
      </c>
      <c r="ACD123" s="294"/>
      <c r="ACE123" s="294">
        <v>-170221</v>
      </c>
      <c r="ACF123" s="294"/>
      <c r="ACG123" s="294">
        <v>-55200</v>
      </c>
      <c r="ACH123" s="294">
        <v>-199942</v>
      </c>
      <c r="ACI123" s="294"/>
      <c r="ACJ123" s="294"/>
      <c r="ACK123" s="294">
        <v>-347272</v>
      </c>
      <c r="ACL123" s="294"/>
      <c r="ACM123" s="294">
        <v>-3156000</v>
      </c>
      <c r="ACN123" s="294"/>
      <c r="ACO123" s="294"/>
      <c r="ACP123" s="294">
        <v>-2858364.1</v>
      </c>
      <c r="ACQ123" s="294"/>
      <c r="ACR123" s="294">
        <v>-233346</v>
      </c>
      <c r="ACS123" s="294"/>
      <c r="ACT123" s="294"/>
      <c r="ACU123" s="294"/>
      <c r="ACV123" s="294"/>
      <c r="ACW123" s="294">
        <v>-37415</v>
      </c>
      <c r="ACX123" s="294">
        <v>-339000</v>
      </c>
      <c r="ACY123" s="294"/>
      <c r="ACZ123" s="294">
        <v>-62150</v>
      </c>
      <c r="ADA123" s="294"/>
      <c r="ADB123" s="294"/>
      <c r="ADC123" s="294"/>
      <c r="ADD123" s="294"/>
      <c r="ADE123" s="294"/>
      <c r="ADF123" s="294"/>
      <c r="ADG123" s="294">
        <v>-174000</v>
      </c>
      <c r="ADH123" s="294">
        <v>0</v>
      </c>
      <c r="ADI123" s="294"/>
      <c r="ADJ123" s="294"/>
      <c r="ADK123" s="294"/>
      <c r="ADL123" s="294"/>
      <c r="ADM123" s="294"/>
      <c r="ADN123" s="294"/>
      <c r="ADO123" s="294"/>
      <c r="ADP123" s="294">
        <v>0</v>
      </c>
      <c r="ADQ123" s="294">
        <v>-303060</v>
      </c>
      <c r="ADR123" s="294"/>
      <c r="ADS123" s="294"/>
      <c r="ADT123" s="294"/>
      <c r="ADU123" s="294"/>
      <c r="ADV123" s="294"/>
      <c r="ADW123" s="294"/>
      <c r="ADX123" s="294"/>
      <c r="ADY123" s="294"/>
      <c r="ADZ123" s="294">
        <v>-672061.7</v>
      </c>
      <c r="AEA123" s="294">
        <v>-403352</v>
      </c>
      <c r="AEB123" s="294">
        <v>-709452.5</v>
      </c>
      <c r="AEC123" s="294">
        <v>-207796.3</v>
      </c>
      <c r="AED123" s="294"/>
      <c r="AEE123" s="294"/>
      <c r="AEF123" s="294">
        <v>-222920</v>
      </c>
      <c r="AEG123" s="294">
        <v>0</v>
      </c>
      <c r="AEH123" s="294"/>
      <c r="AEI123" s="294">
        <v>-21000</v>
      </c>
      <c r="AEJ123" s="294"/>
      <c r="AEK123" s="294"/>
      <c r="AEL123" s="294">
        <v>0</v>
      </c>
      <c r="AEM123" s="294">
        <v>-456845</v>
      </c>
      <c r="AEN123" s="294"/>
      <c r="AEO123" s="294"/>
      <c r="AEP123" s="294">
        <v>-12000</v>
      </c>
      <c r="AEQ123" s="294"/>
      <c r="AER123" s="294">
        <v>-592502.25</v>
      </c>
      <c r="AES123" s="294">
        <v>-274261.40000000002</v>
      </c>
      <c r="AET123" s="294"/>
      <c r="AEU123" s="294">
        <v>-19800</v>
      </c>
      <c r="AEV123" s="294">
        <v>0</v>
      </c>
      <c r="AEW123" s="294">
        <v>0</v>
      </c>
      <c r="AEX123" s="294">
        <v>-212336</v>
      </c>
      <c r="AEY123" s="294"/>
      <c r="AEZ123" s="294">
        <v>-187946</v>
      </c>
      <c r="AFA123" s="294"/>
      <c r="AFB123" s="294">
        <v>-61000</v>
      </c>
      <c r="AFC123" s="294"/>
      <c r="AFD123" s="294">
        <v>-184657.3</v>
      </c>
      <c r="AFE123" s="294"/>
      <c r="AFF123" s="294"/>
      <c r="AFG123" s="294"/>
      <c r="AFH123" s="294"/>
      <c r="AFI123" s="294">
        <v>-456300</v>
      </c>
      <c r="AFJ123" s="294">
        <v>0</v>
      </c>
      <c r="AFK123" s="294">
        <v>-68715</v>
      </c>
      <c r="AFL123" s="294">
        <v>0</v>
      </c>
      <c r="AFM123" s="294"/>
      <c r="AFN123" s="294"/>
      <c r="AFO123" s="294">
        <v>0</v>
      </c>
      <c r="AFP123" s="294"/>
      <c r="AFQ123" s="294"/>
      <c r="AFR123" s="294"/>
      <c r="AFS123" s="294">
        <v>-97800</v>
      </c>
      <c r="AFT123" s="294"/>
      <c r="AFU123" s="294"/>
      <c r="AFV123" s="294"/>
      <c r="AFW123" s="294"/>
      <c r="AFX123" s="294"/>
      <c r="AFY123" s="294"/>
      <c r="AFZ123" s="294"/>
      <c r="AGA123" s="294"/>
      <c r="AGB123" s="294"/>
      <c r="AGC123" s="294"/>
      <c r="AGD123" s="294"/>
      <c r="AGE123" s="294"/>
      <c r="AGF123" s="294"/>
      <c r="AGG123" s="294">
        <v>-75199.350000000006</v>
      </c>
      <c r="AGH123" s="294"/>
      <c r="AGI123" s="294"/>
      <c r="AGJ123" s="294"/>
      <c r="AGK123" s="294"/>
      <c r="AGL123" s="294"/>
      <c r="AGM123" s="294"/>
      <c r="AGN123" s="294"/>
      <c r="AGO123" s="294">
        <v>-359620</v>
      </c>
      <c r="AGP123" s="294"/>
      <c r="AGQ123" s="294"/>
      <c r="AGR123" s="294"/>
      <c r="AGS123" s="294"/>
      <c r="AGT123" s="294">
        <v>-51560</v>
      </c>
      <c r="AGU123" s="294"/>
      <c r="AGV123" s="294"/>
      <c r="AGW123" s="294"/>
      <c r="AGX123" s="294">
        <v>-1953415</v>
      </c>
      <c r="AGY123" s="294"/>
      <c r="AGZ123" s="294">
        <v>-266000</v>
      </c>
      <c r="AHA123" s="294"/>
      <c r="AHB123" s="294">
        <v>-66756</v>
      </c>
      <c r="AHC123" s="294">
        <v>-15170</v>
      </c>
      <c r="AHD123" s="294"/>
      <c r="AHE123" s="294"/>
      <c r="AHF123" s="294"/>
      <c r="AHG123" s="294"/>
      <c r="AHH123" s="294"/>
      <c r="AHI123" s="294">
        <v>-163920</v>
      </c>
      <c r="AHJ123" s="294"/>
      <c r="AHK123" s="294"/>
      <c r="AHL123" s="294"/>
      <c r="AHM123" s="294">
        <v>-1130360</v>
      </c>
      <c r="AHN123" s="294">
        <v>-90695</v>
      </c>
      <c r="AHO123" s="294"/>
      <c r="AHP123" s="294">
        <v>0</v>
      </c>
      <c r="AHQ123" s="294">
        <v>-1340150</v>
      </c>
      <c r="AHR123" s="331">
        <v>-194959</v>
      </c>
      <c r="AHS123" s="294">
        <f t="shared" si="51"/>
        <v>-163082746.93000001</v>
      </c>
      <c r="AHT123" s="269" t="b">
        <f t="shared" si="52"/>
        <v>1</v>
      </c>
      <c r="AHU123" s="269" t="s">
        <v>6278</v>
      </c>
      <c r="AHV123" s="269" t="s">
        <v>6188</v>
      </c>
      <c r="AHW123" s="269" t="s">
        <v>6189</v>
      </c>
    </row>
    <row r="124" spans="1:907" ht="24.6" x14ac:dyDescent="0.7">
      <c r="A124" s="268" t="s">
        <v>6278</v>
      </c>
      <c r="B124" s="268" t="s">
        <v>6190</v>
      </c>
      <c r="C124" s="269" t="s">
        <v>6191</v>
      </c>
      <c r="D124" s="294">
        <v>-16070</v>
      </c>
      <c r="E124" s="294"/>
      <c r="F124" s="294"/>
      <c r="G124" s="294">
        <v>0</v>
      </c>
      <c r="H124" s="294">
        <v>0</v>
      </c>
      <c r="I124" s="294">
        <v>-45288</v>
      </c>
      <c r="J124" s="294"/>
      <c r="K124" s="294"/>
      <c r="L124" s="294"/>
      <c r="M124" s="294">
        <v>-111900</v>
      </c>
      <c r="N124" s="294">
        <v>0</v>
      </c>
      <c r="O124" s="294"/>
      <c r="P124" s="294"/>
      <c r="Q124" s="294">
        <v>-130223.2</v>
      </c>
      <c r="R124" s="294">
        <v>-29094</v>
      </c>
      <c r="S124" s="294"/>
      <c r="T124" s="294">
        <v>-63000</v>
      </c>
      <c r="U124" s="294"/>
      <c r="V124" s="294">
        <v>-2243013</v>
      </c>
      <c r="W124" s="294">
        <v>-592364.1</v>
      </c>
      <c r="X124" s="294">
        <v>0</v>
      </c>
      <c r="Y124" s="294"/>
      <c r="Z124" s="294">
        <v>-9600</v>
      </c>
      <c r="AA124" s="294"/>
      <c r="AB124" s="294"/>
      <c r="AC124" s="294">
        <v>0</v>
      </c>
      <c r="AD124" s="294">
        <v>-705796.45</v>
      </c>
      <c r="AE124" s="294">
        <v>-398351.8</v>
      </c>
      <c r="AF124" s="294">
        <v>0</v>
      </c>
      <c r="AG124" s="294">
        <v>-88281</v>
      </c>
      <c r="AH124" s="294">
        <v>-74586.2</v>
      </c>
      <c r="AI124" s="294"/>
      <c r="AJ124" s="294"/>
      <c r="AK124" s="294"/>
      <c r="AL124" s="294">
        <v>-182720</v>
      </c>
      <c r="AM124" s="294">
        <v>-8143.88</v>
      </c>
      <c r="AN124" s="294">
        <v>-194392.5</v>
      </c>
      <c r="AO124" s="294">
        <v>-97244.2</v>
      </c>
      <c r="AP124" s="294">
        <v>-2541</v>
      </c>
      <c r="AQ124" s="294">
        <v>-7449</v>
      </c>
      <c r="AR124" s="294">
        <v>-331276.42</v>
      </c>
      <c r="AS124" s="294"/>
      <c r="AT124" s="294">
        <v>-853322.94</v>
      </c>
      <c r="AU124" s="294">
        <v>0</v>
      </c>
      <c r="AV124" s="294">
        <v>-675375.24</v>
      </c>
      <c r="AW124" s="294">
        <v>0</v>
      </c>
      <c r="AX124" s="294"/>
      <c r="AY124" s="294"/>
      <c r="AZ124" s="294"/>
      <c r="BA124" s="294">
        <v>-18272</v>
      </c>
      <c r="BB124" s="294"/>
      <c r="BC124" s="294"/>
      <c r="BD124" s="294"/>
      <c r="BE124" s="294"/>
      <c r="BF124" s="294">
        <v>0</v>
      </c>
      <c r="BG124" s="294"/>
      <c r="BH124" s="294">
        <v>-183</v>
      </c>
      <c r="BI124" s="294">
        <v>-112000</v>
      </c>
      <c r="BJ124" s="294">
        <v>-3912609.64</v>
      </c>
      <c r="BK124" s="294"/>
      <c r="BL124" s="294">
        <v>-181150</v>
      </c>
      <c r="BM124" s="294"/>
      <c r="BN124" s="294"/>
      <c r="BO124" s="294"/>
      <c r="BP124" s="294"/>
      <c r="BQ124" s="294">
        <v>0</v>
      </c>
      <c r="BR124" s="294">
        <v>-27323</v>
      </c>
      <c r="BS124" s="294">
        <v>-22970</v>
      </c>
      <c r="BT124" s="294">
        <v>-10695</v>
      </c>
      <c r="BU124" s="294">
        <v>0</v>
      </c>
      <c r="BV124" s="294"/>
      <c r="BW124" s="294">
        <v>-52866</v>
      </c>
      <c r="BX124" s="294">
        <v>-12180</v>
      </c>
      <c r="BY124" s="294">
        <v>0</v>
      </c>
      <c r="BZ124" s="294">
        <v>-1689638.48</v>
      </c>
      <c r="CA124" s="294"/>
      <c r="CB124" s="294"/>
      <c r="CC124" s="294"/>
      <c r="CD124" s="294"/>
      <c r="CE124" s="294"/>
      <c r="CF124" s="294"/>
      <c r="CG124" s="294"/>
      <c r="CH124" s="294"/>
      <c r="CI124" s="294"/>
      <c r="CJ124" s="294">
        <v>0</v>
      </c>
      <c r="CK124" s="294"/>
      <c r="CL124" s="294"/>
      <c r="CM124" s="294"/>
      <c r="CN124" s="294"/>
      <c r="CO124" s="294"/>
      <c r="CP124" s="294"/>
      <c r="CQ124" s="294"/>
      <c r="CR124" s="294"/>
      <c r="CS124" s="294"/>
      <c r="CT124" s="294">
        <v>0</v>
      </c>
      <c r="CU124" s="294">
        <v>0</v>
      </c>
      <c r="CV124" s="294"/>
      <c r="CW124" s="294">
        <v>0</v>
      </c>
      <c r="CX124" s="294">
        <v>-6210.2</v>
      </c>
      <c r="CY124" s="294"/>
      <c r="CZ124" s="294"/>
      <c r="DA124" s="294">
        <v>0</v>
      </c>
      <c r="DB124" s="294">
        <v>-187013</v>
      </c>
      <c r="DC124" s="294"/>
      <c r="DD124" s="294"/>
      <c r="DE124" s="294"/>
      <c r="DF124" s="294">
        <v>-125000</v>
      </c>
      <c r="DG124" s="294"/>
      <c r="DH124" s="294">
        <v>-266265</v>
      </c>
      <c r="DI124" s="294"/>
      <c r="DJ124" s="294">
        <v>-258368</v>
      </c>
      <c r="DK124" s="294">
        <v>-102621</v>
      </c>
      <c r="DL124" s="294">
        <v>0</v>
      </c>
      <c r="DM124" s="294">
        <v>-402699</v>
      </c>
      <c r="DN124" s="294">
        <v>-839696</v>
      </c>
      <c r="DO124" s="294">
        <v>-440711.67</v>
      </c>
      <c r="DP124" s="294"/>
      <c r="DQ124" s="294">
        <v>-8195336.2400000002</v>
      </c>
      <c r="DR124" s="294">
        <v>-119297</v>
      </c>
      <c r="DS124" s="294">
        <v>-752550.96</v>
      </c>
      <c r="DT124" s="294">
        <v>-76551</v>
      </c>
      <c r="DU124" s="294">
        <v>0</v>
      </c>
      <c r="DV124" s="294">
        <v>-9395676.7200000007</v>
      </c>
      <c r="DW124" s="294">
        <v>-231633</v>
      </c>
      <c r="DX124" s="294"/>
      <c r="DY124" s="294"/>
      <c r="DZ124" s="294">
        <v>-31187</v>
      </c>
      <c r="EA124" s="294">
        <v>-364000</v>
      </c>
      <c r="EB124" s="294">
        <v>-87850</v>
      </c>
      <c r="EC124" s="294">
        <v>0</v>
      </c>
      <c r="ED124" s="294"/>
      <c r="EE124" s="294">
        <v>0</v>
      </c>
      <c r="EF124" s="294">
        <v>-889016.29</v>
      </c>
      <c r="EG124" s="294"/>
      <c r="EH124" s="294"/>
      <c r="EI124" s="294"/>
      <c r="EJ124" s="294">
        <v>-254393</v>
      </c>
      <c r="EK124" s="294">
        <v>-602167</v>
      </c>
      <c r="EL124" s="294">
        <v>-1224294</v>
      </c>
      <c r="EM124" s="294">
        <v>-307616</v>
      </c>
      <c r="EN124" s="294"/>
      <c r="EO124" s="294"/>
      <c r="EP124" s="294">
        <v>9067</v>
      </c>
      <c r="EQ124" s="294"/>
      <c r="ER124" s="294">
        <v>-47042.2</v>
      </c>
      <c r="ES124" s="294">
        <v>-47050</v>
      </c>
      <c r="ET124" s="294">
        <v>-210472.51</v>
      </c>
      <c r="EU124" s="294">
        <v>-268371.14</v>
      </c>
      <c r="EV124" s="294"/>
      <c r="EW124" s="294">
        <v>-3155786.8</v>
      </c>
      <c r="EX124" s="294"/>
      <c r="EY124" s="294">
        <v>0</v>
      </c>
      <c r="EZ124" s="294">
        <v>0</v>
      </c>
      <c r="FA124" s="294"/>
      <c r="FB124" s="294">
        <v>0</v>
      </c>
      <c r="FC124" s="294">
        <v>0</v>
      </c>
      <c r="FD124" s="294">
        <v>-32500</v>
      </c>
      <c r="FE124" s="294">
        <v>-635750</v>
      </c>
      <c r="FF124" s="294">
        <v>-118096.43</v>
      </c>
      <c r="FG124" s="294">
        <v>-13728</v>
      </c>
      <c r="FH124" s="294">
        <v>-430465</v>
      </c>
      <c r="FI124" s="294">
        <v>0</v>
      </c>
      <c r="FJ124" s="294">
        <v>0</v>
      </c>
      <c r="FK124" s="294"/>
      <c r="FL124" s="294">
        <v>-153921</v>
      </c>
      <c r="FM124" s="294">
        <v>-302526.65999999997</v>
      </c>
      <c r="FN124" s="294">
        <v>0</v>
      </c>
      <c r="FO124" s="294">
        <v>-265374.03999999998</v>
      </c>
      <c r="FP124" s="294">
        <v>0</v>
      </c>
      <c r="FQ124" s="294">
        <v>-469540</v>
      </c>
      <c r="FR124" s="294">
        <v>-100000</v>
      </c>
      <c r="FS124" s="294">
        <v>-16800</v>
      </c>
      <c r="FT124" s="294">
        <v>-36000</v>
      </c>
      <c r="FU124" s="294">
        <v>-3150</v>
      </c>
      <c r="FV124" s="294">
        <v>0</v>
      </c>
      <c r="FW124" s="294">
        <v>-12000</v>
      </c>
      <c r="FX124" s="294">
        <v>-268110</v>
      </c>
      <c r="FY124" s="294"/>
      <c r="FZ124" s="294">
        <v>0</v>
      </c>
      <c r="GA124" s="294">
        <v>0</v>
      </c>
      <c r="GB124" s="294">
        <v>-417299</v>
      </c>
      <c r="GC124" s="294">
        <v>-71755</v>
      </c>
      <c r="GD124" s="294">
        <v>-456114.8</v>
      </c>
      <c r="GE124" s="294">
        <v>-2076993.04</v>
      </c>
      <c r="GF124" s="294"/>
      <c r="GG124" s="294">
        <v>-22500</v>
      </c>
      <c r="GH124" s="294">
        <v>-384540</v>
      </c>
      <c r="GI124" s="294">
        <v>-71000</v>
      </c>
      <c r="GJ124" s="294"/>
      <c r="GK124" s="294">
        <v>-12605.81</v>
      </c>
      <c r="GL124" s="294">
        <v>-180214</v>
      </c>
      <c r="GM124" s="294">
        <v>0</v>
      </c>
      <c r="GN124" s="294">
        <v>0</v>
      </c>
      <c r="GO124" s="294"/>
      <c r="GP124" s="294">
        <v>-450577.1</v>
      </c>
      <c r="GQ124" s="294">
        <v>-164105</v>
      </c>
      <c r="GR124" s="294"/>
      <c r="GS124" s="294"/>
      <c r="GT124" s="294">
        <v>-17100</v>
      </c>
      <c r="GU124" s="294">
        <v>0</v>
      </c>
      <c r="GV124" s="294">
        <v>-195540</v>
      </c>
      <c r="GW124" s="294">
        <v>-80046</v>
      </c>
      <c r="GX124" s="294"/>
      <c r="GY124" s="294">
        <v>-591990</v>
      </c>
      <c r="GZ124" s="294">
        <v>0</v>
      </c>
      <c r="HA124" s="294">
        <v>-424388.16</v>
      </c>
      <c r="HB124" s="294"/>
      <c r="HC124" s="294"/>
      <c r="HD124" s="294"/>
      <c r="HE124" s="294">
        <v>0</v>
      </c>
      <c r="HF124" s="294">
        <v>0</v>
      </c>
      <c r="HG124" s="294">
        <v>-234800</v>
      </c>
      <c r="HH124" s="294"/>
      <c r="HI124" s="294">
        <v>-540747</v>
      </c>
      <c r="HJ124" s="294"/>
      <c r="HK124" s="294">
        <v>-228780</v>
      </c>
      <c r="HL124" s="294">
        <v>0</v>
      </c>
      <c r="HM124" s="294"/>
      <c r="HN124" s="294">
        <v>-478761.8</v>
      </c>
      <c r="HO124" s="294">
        <v>-530994.1</v>
      </c>
      <c r="HP124" s="294"/>
      <c r="HQ124" s="294"/>
      <c r="HR124" s="294">
        <v>-193028.7</v>
      </c>
      <c r="HS124" s="294"/>
      <c r="HT124" s="294"/>
      <c r="HU124" s="294"/>
      <c r="HV124" s="294">
        <v>-575188.44999999995</v>
      </c>
      <c r="HW124" s="294"/>
      <c r="HX124" s="294"/>
      <c r="HY124" s="294"/>
      <c r="HZ124" s="294">
        <v>0</v>
      </c>
      <c r="IA124" s="294">
        <v>-565373</v>
      </c>
      <c r="IB124" s="294"/>
      <c r="IC124" s="294"/>
      <c r="ID124" s="294"/>
      <c r="IE124" s="294"/>
      <c r="IF124" s="294">
        <v>-5100</v>
      </c>
      <c r="IG124" s="294">
        <v>-50230</v>
      </c>
      <c r="IH124" s="294"/>
      <c r="II124" s="294">
        <v>-710435.7</v>
      </c>
      <c r="IJ124" s="294">
        <v>-117900</v>
      </c>
      <c r="IK124" s="294">
        <v>-457888.17</v>
      </c>
      <c r="IL124" s="294">
        <v>-1281780.47</v>
      </c>
      <c r="IM124" s="294">
        <v>-410636.82</v>
      </c>
      <c r="IN124" s="294">
        <v>0</v>
      </c>
      <c r="IO124" s="294">
        <v>-148360.98000000001</v>
      </c>
      <c r="IP124" s="294">
        <v>-468076</v>
      </c>
      <c r="IQ124" s="294">
        <v>-180140</v>
      </c>
      <c r="IR124" s="294"/>
      <c r="IS124" s="294">
        <v>-4223850</v>
      </c>
      <c r="IT124" s="294">
        <v>-160000</v>
      </c>
      <c r="IU124" s="294"/>
      <c r="IV124" s="294">
        <v>-1141753.76</v>
      </c>
      <c r="IW124" s="294">
        <v>-613471.04</v>
      </c>
      <c r="IX124" s="294"/>
      <c r="IY124" s="294"/>
      <c r="IZ124" s="294"/>
      <c r="JA124" s="294">
        <v>-23938</v>
      </c>
      <c r="JB124" s="294">
        <v>-1149747.24</v>
      </c>
      <c r="JC124" s="294">
        <v>-663189</v>
      </c>
      <c r="JD124" s="294"/>
      <c r="JE124" s="294">
        <v>-1544610</v>
      </c>
      <c r="JF124" s="294">
        <v>-325400.40000000002</v>
      </c>
      <c r="JG124" s="294">
        <v>-211094</v>
      </c>
      <c r="JH124" s="294"/>
      <c r="JI124" s="294"/>
      <c r="JJ124" s="294">
        <v>-60051.199999999997</v>
      </c>
      <c r="JK124" s="294">
        <v>0</v>
      </c>
      <c r="JL124" s="294">
        <v>-2800</v>
      </c>
      <c r="JM124" s="294">
        <v>-416226</v>
      </c>
      <c r="JN124" s="294">
        <v>-1179318.6399999999</v>
      </c>
      <c r="JO124" s="294">
        <v>-315033.46000000002</v>
      </c>
      <c r="JP124" s="294"/>
      <c r="JQ124" s="294">
        <v>-35055.800000000003</v>
      </c>
      <c r="JR124" s="294"/>
      <c r="JS124" s="294">
        <v>0</v>
      </c>
      <c r="JT124" s="294">
        <v>-141265.62</v>
      </c>
      <c r="JU124" s="294"/>
      <c r="JV124" s="294"/>
      <c r="JW124" s="294"/>
      <c r="JX124" s="294">
        <v>-436129.06</v>
      </c>
      <c r="JY124" s="294"/>
      <c r="JZ124" s="294"/>
      <c r="KA124" s="294"/>
      <c r="KB124" s="294">
        <v>-47400</v>
      </c>
      <c r="KC124" s="294"/>
      <c r="KD124" s="294">
        <v>0</v>
      </c>
      <c r="KE124" s="294">
        <v>-3012.5</v>
      </c>
      <c r="KF124" s="294"/>
      <c r="KG124" s="294"/>
      <c r="KH124" s="294"/>
      <c r="KI124" s="294"/>
      <c r="KJ124" s="294"/>
      <c r="KK124" s="294"/>
      <c r="KL124" s="294"/>
      <c r="KM124" s="294"/>
      <c r="KN124" s="294"/>
      <c r="KO124" s="294"/>
      <c r="KP124" s="294"/>
      <c r="KQ124" s="294">
        <v>-162475</v>
      </c>
      <c r="KR124" s="294"/>
      <c r="KS124" s="294"/>
      <c r="KT124" s="294"/>
      <c r="KU124" s="294"/>
      <c r="KV124" s="294">
        <v>-72300</v>
      </c>
      <c r="KW124" s="294"/>
      <c r="KX124" s="294">
        <v>-141729</v>
      </c>
      <c r="KY124" s="294">
        <v>-859249.85</v>
      </c>
      <c r="KZ124" s="294"/>
      <c r="LA124" s="294">
        <v>-78000</v>
      </c>
      <c r="LB124" s="294"/>
      <c r="LC124" s="294"/>
      <c r="LD124" s="294"/>
      <c r="LE124" s="294">
        <v>0</v>
      </c>
      <c r="LF124" s="294"/>
      <c r="LG124" s="294">
        <v>-1124222.8</v>
      </c>
      <c r="LH124" s="294"/>
      <c r="LI124" s="294">
        <v>0</v>
      </c>
      <c r="LJ124" s="294"/>
      <c r="LK124" s="294">
        <v>0</v>
      </c>
      <c r="LL124" s="294">
        <v>0</v>
      </c>
      <c r="LM124" s="294"/>
      <c r="LN124" s="294">
        <v>-21223.3</v>
      </c>
      <c r="LO124" s="294"/>
      <c r="LP124" s="294">
        <v>-115000</v>
      </c>
      <c r="LQ124" s="294"/>
      <c r="LR124" s="294">
        <v>0</v>
      </c>
      <c r="LS124" s="294"/>
      <c r="LT124" s="294">
        <v>-357300</v>
      </c>
      <c r="LU124" s="294">
        <v>-1623100</v>
      </c>
      <c r="LV124" s="294"/>
      <c r="LW124" s="294">
        <v>-3385971.59</v>
      </c>
      <c r="LX124" s="294">
        <v>-645442</v>
      </c>
      <c r="LY124" s="294">
        <v>-4044</v>
      </c>
      <c r="LZ124" s="294"/>
      <c r="MA124" s="294">
        <v>-236314</v>
      </c>
      <c r="MB124" s="294"/>
      <c r="MC124" s="294">
        <v>-43511.6</v>
      </c>
      <c r="MD124" s="294">
        <v>-451972.56</v>
      </c>
      <c r="ME124" s="294">
        <v>-412582.2</v>
      </c>
      <c r="MF124" s="294"/>
      <c r="MG124" s="294"/>
      <c r="MH124" s="294"/>
      <c r="MI124" s="294">
        <v>-165000</v>
      </c>
      <c r="MJ124" s="294"/>
      <c r="MK124" s="294"/>
      <c r="ML124" s="294"/>
      <c r="MM124" s="294"/>
      <c r="MN124" s="294"/>
      <c r="MO124" s="294">
        <v>-6600</v>
      </c>
      <c r="MP124" s="294"/>
      <c r="MQ124" s="294"/>
      <c r="MR124" s="294"/>
      <c r="MS124" s="294"/>
      <c r="MT124" s="294"/>
      <c r="MU124" s="294"/>
      <c r="MV124" s="294"/>
      <c r="MW124" s="294"/>
      <c r="MX124" s="294"/>
      <c r="MY124" s="294"/>
      <c r="MZ124" s="294"/>
      <c r="NA124" s="294">
        <v>-200000</v>
      </c>
      <c r="NB124" s="294"/>
      <c r="NC124" s="294">
        <v>-247950.02</v>
      </c>
      <c r="ND124" s="294">
        <v>-1588760</v>
      </c>
      <c r="NE124" s="294"/>
      <c r="NF124" s="294"/>
      <c r="NG124" s="294">
        <v>0</v>
      </c>
      <c r="NH124" s="294"/>
      <c r="NI124" s="294"/>
      <c r="NJ124" s="294"/>
      <c r="NK124" s="294"/>
      <c r="NL124" s="294"/>
      <c r="NM124" s="294">
        <v>-140304.45000000001</v>
      </c>
      <c r="NN124" s="294"/>
      <c r="NO124" s="294"/>
      <c r="NP124" s="294"/>
      <c r="NQ124" s="294"/>
      <c r="NR124" s="294"/>
      <c r="NS124" s="294"/>
      <c r="NT124" s="294"/>
      <c r="NU124" s="294"/>
      <c r="NV124" s="294">
        <v>-83820</v>
      </c>
      <c r="NW124" s="294">
        <v>0</v>
      </c>
      <c r="NX124" s="294">
        <v>-381718</v>
      </c>
      <c r="NY124" s="294">
        <v>-1715000</v>
      </c>
      <c r="NZ124" s="294"/>
      <c r="OA124" s="294">
        <v>0</v>
      </c>
      <c r="OB124" s="294">
        <v>-935869.95</v>
      </c>
      <c r="OC124" s="294"/>
      <c r="OD124" s="294"/>
      <c r="OE124" s="294">
        <v>0</v>
      </c>
      <c r="OF124" s="294"/>
      <c r="OG124" s="294"/>
      <c r="OH124" s="294"/>
      <c r="OI124" s="294"/>
      <c r="OJ124" s="294">
        <v>0</v>
      </c>
      <c r="OK124" s="294">
        <v>-100000</v>
      </c>
      <c r="OL124" s="294"/>
      <c r="OM124" s="294"/>
      <c r="ON124" s="294"/>
      <c r="OO124" s="294"/>
      <c r="OP124" s="294">
        <v>-1195561</v>
      </c>
      <c r="OQ124" s="294"/>
      <c r="OR124" s="294">
        <v>0</v>
      </c>
      <c r="OS124" s="294">
        <v>-1701369.93</v>
      </c>
      <c r="OT124" s="294"/>
      <c r="OU124" s="294">
        <v>-533111.4</v>
      </c>
      <c r="OV124" s="294"/>
      <c r="OW124" s="294">
        <v>0</v>
      </c>
      <c r="OX124" s="294"/>
      <c r="OY124" s="294"/>
      <c r="OZ124" s="294">
        <v>-316235</v>
      </c>
      <c r="PA124" s="294">
        <v>0</v>
      </c>
      <c r="PB124" s="294">
        <v>-57819.4</v>
      </c>
      <c r="PC124" s="294"/>
      <c r="PD124" s="294">
        <v>-172294</v>
      </c>
      <c r="PE124" s="294"/>
      <c r="PF124" s="294"/>
      <c r="PG124" s="294">
        <v>-654410</v>
      </c>
      <c r="PH124" s="294"/>
      <c r="PI124" s="294">
        <v>-228660</v>
      </c>
      <c r="PJ124" s="294"/>
      <c r="PK124" s="294">
        <v>-19800</v>
      </c>
      <c r="PL124" s="294"/>
      <c r="PM124" s="294">
        <v>-171350</v>
      </c>
      <c r="PN124" s="294">
        <v>-18000</v>
      </c>
      <c r="PO124" s="294">
        <v>-314800</v>
      </c>
      <c r="PP124" s="294">
        <v>-171040</v>
      </c>
      <c r="PQ124" s="294"/>
      <c r="PR124" s="294"/>
      <c r="PS124" s="294">
        <v>0</v>
      </c>
      <c r="PT124" s="294"/>
      <c r="PU124" s="294"/>
      <c r="PV124" s="294"/>
      <c r="PW124" s="294"/>
      <c r="PX124" s="294"/>
      <c r="PY124" s="294"/>
      <c r="PZ124" s="294">
        <v>-13400</v>
      </c>
      <c r="QA124" s="294">
        <v>0</v>
      </c>
      <c r="QB124" s="294">
        <v>-171000</v>
      </c>
      <c r="QC124" s="294"/>
      <c r="QD124" s="294">
        <v>-826203.2</v>
      </c>
      <c r="QE124" s="294">
        <v>0</v>
      </c>
      <c r="QF124" s="294">
        <v>-349200</v>
      </c>
      <c r="QG124" s="294"/>
      <c r="QH124" s="294"/>
      <c r="QI124" s="294"/>
      <c r="QJ124" s="294"/>
      <c r="QK124" s="294">
        <v>-100000</v>
      </c>
      <c r="QL124" s="294"/>
      <c r="QM124" s="294"/>
      <c r="QN124" s="294">
        <v>-13395</v>
      </c>
      <c r="QO124" s="294"/>
      <c r="QP124" s="294">
        <v>-259661.83</v>
      </c>
      <c r="QQ124" s="294"/>
      <c r="QR124" s="294"/>
      <c r="QS124" s="294">
        <v>-300845</v>
      </c>
      <c r="QT124" s="294"/>
      <c r="QU124" s="294"/>
      <c r="QV124" s="294"/>
      <c r="QW124" s="294"/>
      <c r="QX124" s="294"/>
      <c r="QY124" s="294">
        <v>-45000</v>
      </c>
      <c r="QZ124" s="294"/>
      <c r="RA124" s="294">
        <v>-1612891.21</v>
      </c>
      <c r="RB124" s="294"/>
      <c r="RC124" s="294">
        <v>-19300</v>
      </c>
      <c r="RD124" s="294"/>
      <c r="RE124" s="294">
        <v>-177680</v>
      </c>
      <c r="RF124" s="294">
        <v>0</v>
      </c>
      <c r="RG124" s="294">
        <v>-1831795.8</v>
      </c>
      <c r="RH124" s="294">
        <v>-24750</v>
      </c>
      <c r="RI124" s="294">
        <v>-101285</v>
      </c>
      <c r="RJ124" s="294">
        <v>-211950</v>
      </c>
      <c r="RK124" s="294">
        <v>-495640</v>
      </c>
      <c r="RL124" s="294"/>
      <c r="RM124" s="294">
        <v>-90000</v>
      </c>
      <c r="RN124" s="294">
        <v>-24175</v>
      </c>
      <c r="RO124" s="294">
        <v>-382463</v>
      </c>
      <c r="RP124" s="294">
        <v>-251325</v>
      </c>
      <c r="RQ124" s="294">
        <v>-255110</v>
      </c>
      <c r="RR124" s="294">
        <v>-6550</v>
      </c>
      <c r="RS124" s="294">
        <v>-14500</v>
      </c>
      <c r="RT124" s="294">
        <v>-43900</v>
      </c>
      <c r="RU124" s="294"/>
      <c r="RV124" s="294">
        <v>-15320</v>
      </c>
      <c r="RW124" s="294">
        <v>0</v>
      </c>
      <c r="RX124" s="294">
        <v>-20250</v>
      </c>
      <c r="RY124" s="294"/>
      <c r="RZ124" s="294">
        <v>-164600</v>
      </c>
      <c r="SA124" s="294"/>
      <c r="SB124" s="294">
        <v>-81200</v>
      </c>
      <c r="SC124" s="294">
        <v>-101230</v>
      </c>
      <c r="SD124" s="294">
        <v>0</v>
      </c>
      <c r="SE124" s="294">
        <v>-441050</v>
      </c>
      <c r="SF124" s="294">
        <v>-695320.45</v>
      </c>
      <c r="SG124" s="294">
        <v>-429850</v>
      </c>
      <c r="SH124" s="294">
        <v>-1080900</v>
      </c>
      <c r="SI124" s="294">
        <v>-372000</v>
      </c>
      <c r="SJ124" s="294">
        <v>-18000</v>
      </c>
      <c r="SK124" s="294">
        <v>-70000</v>
      </c>
      <c r="SL124" s="294">
        <v>-151492.03</v>
      </c>
      <c r="SM124" s="294">
        <v>0</v>
      </c>
      <c r="SN124" s="294">
        <v>-1442754.66</v>
      </c>
      <c r="SO124" s="294">
        <v>-81875</v>
      </c>
      <c r="SP124" s="294">
        <v>-1288414</v>
      </c>
      <c r="SQ124" s="294">
        <v>-28925</v>
      </c>
      <c r="SR124" s="294">
        <v>-630246.44999999995</v>
      </c>
      <c r="SS124" s="294">
        <v>-167325</v>
      </c>
      <c r="ST124" s="294">
        <v>0</v>
      </c>
      <c r="SU124" s="294">
        <v>-119500</v>
      </c>
      <c r="SV124" s="294">
        <v>-426884.13</v>
      </c>
      <c r="SW124" s="294">
        <v>-110989.61</v>
      </c>
      <c r="SX124" s="294">
        <v>-412880.34</v>
      </c>
      <c r="SY124" s="294"/>
      <c r="SZ124" s="294">
        <v>0</v>
      </c>
      <c r="TA124" s="294"/>
      <c r="TB124" s="294">
        <v>-88400</v>
      </c>
      <c r="TC124" s="294"/>
      <c r="TD124" s="294">
        <v>-542000</v>
      </c>
      <c r="TE124" s="294"/>
      <c r="TF124" s="294">
        <v>-10000</v>
      </c>
      <c r="TG124" s="294">
        <v>-292908</v>
      </c>
      <c r="TH124" s="294"/>
      <c r="TI124" s="294"/>
      <c r="TJ124" s="294">
        <v>-54800</v>
      </c>
      <c r="TK124" s="294">
        <v>-164800</v>
      </c>
      <c r="TL124" s="294">
        <v>-99900</v>
      </c>
      <c r="TM124" s="294"/>
      <c r="TN124" s="294"/>
      <c r="TO124" s="294"/>
      <c r="TP124" s="294">
        <v>-568864.28</v>
      </c>
      <c r="TQ124" s="294"/>
      <c r="TR124" s="294">
        <v>-56302</v>
      </c>
      <c r="TS124" s="294">
        <v>0</v>
      </c>
      <c r="TT124" s="294">
        <v>-11300</v>
      </c>
      <c r="TU124" s="294"/>
      <c r="TV124" s="294"/>
      <c r="TW124" s="294">
        <v>-45550</v>
      </c>
      <c r="TX124" s="294"/>
      <c r="TY124" s="294"/>
      <c r="TZ124" s="294">
        <v>-64470</v>
      </c>
      <c r="UA124" s="294">
        <v>-470500</v>
      </c>
      <c r="UB124" s="294">
        <v>-100000</v>
      </c>
      <c r="UC124" s="294"/>
      <c r="UD124" s="294">
        <v>-75830.2</v>
      </c>
      <c r="UE124" s="294"/>
      <c r="UF124" s="294"/>
      <c r="UG124" s="294">
        <v>-223000</v>
      </c>
      <c r="UH124" s="294"/>
      <c r="UI124" s="294"/>
      <c r="UJ124" s="294">
        <v>-135200</v>
      </c>
      <c r="UK124" s="294">
        <v>-39800</v>
      </c>
      <c r="UL124" s="294"/>
      <c r="UM124" s="294"/>
      <c r="UN124" s="294">
        <v>-9000</v>
      </c>
      <c r="UO124" s="294">
        <v>-420829.9</v>
      </c>
      <c r="UP124" s="294">
        <v>-14629557.35</v>
      </c>
      <c r="UQ124" s="294"/>
      <c r="UR124" s="294"/>
      <c r="US124" s="294">
        <v>-660194</v>
      </c>
      <c r="UT124" s="294"/>
      <c r="UU124" s="294">
        <v>-119775.2</v>
      </c>
      <c r="UV124" s="294">
        <v>-1367703.1</v>
      </c>
      <c r="UW124" s="294">
        <v>0</v>
      </c>
      <c r="UX124" s="294">
        <v>0</v>
      </c>
      <c r="UY124" s="294">
        <v>-352936.92</v>
      </c>
      <c r="UZ124" s="294">
        <v>-324440</v>
      </c>
      <c r="VA124" s="294">
        <v>-149080</v>
      </c>
      <c r="VB124" s="294">
        <v>0</v>
      </c>
      <c r="VC124" s="294">
        <v>-154629</v>
      </c>
      <c r="VD124" s="294"/>
      <c r="VE124" s="294">
        <v>-824832.98</v>
      </c>
      <c r="VF124" s="294">
        <v>-255606</v>
      </c>
      <c r="VG124" s="294">
        <v>-286935.34999999998</v>
      </c>
      <c r="VH124" s="294">
        <v>-768881</v>
      </c>
      <c r="VI124" s="294">
        <v>-366263.56</v>
      </c>
      <c r="VJ124" s="294">
        <v>-9120</v>
      </c>
      <c r="VK124" s="294">
        <v>-1280828.94</v>
      </c>
      <c r="VL124" s="294">
        <v>-1017916.62</v>
      </c>
      <c r="VM124" s="294">
        <v>-195135</v>
      </c>
      <c r="VN124" s="294">
        <v>-16200</v>
      </c>
      <c r="VO124" s="294">
        <v>-626152.81999999995</v>
      </c>
      <c r="VP124" s="294">
        <v>0</v>
      </c>
      <c r="VQ124" s="294">
        <v>-695836.84</v>
      </c>
      <c r="VR124" s="294">
        <v>-723371.65</v>
      </c>
      <c r="VS124" s="294">
        <v>-29570</v>
      </c>
      <c r="VT124" s="294">
        <v>-111860</v>
      </c>
      <c r="VU124" s="294"/>
      <c r="VV124" s="294">
        <v>-894860</v>
      </c>
      <c r="VW124" s="294"/>
      <c r="VX124" s="294">
        <v>-34420</v>
      </c>
      <c r="VY124" s="294"/>
      <c r="VZ124" s="294">
        <v>-46288</v>
      </c>
      <c r="WA124" s="294"/>
      <c r="WB124" s="294">
        <v>-210500</v>
      </c>
      <c r="WC124" s="294">
        <v>-829710.05</v>
      </c>
      <c r="WD124" s="294">
        <v>-32135</v>
      </c>
      <c r="WE124" s="294"/>
      <c r="WF124" s="294">
        <v>-230650</v>
      </c>
      <c r="WG124" s="294">
        <v>-106300</v>
      </c>
      <c r="WH124" s="294">
        <v>-525606.1</v>
      </c>
      <c r="WI124" s="294">
        <v>-301550</v>
      </c>
      <c r="WJ124" s="294">
        <v>-253500</v>
      </c>
      <c r="WK124" s="294">
        <v>0</v>
      </c>
      <c r="WL124" s="294">
        <v>-527025</v>
      </c>
      <c r="WM124" s="294">
        <v>-185975</v>
      </c>
      <c r="WN124" s="294">
        <v>-165000</v>
      </c>
      <c r="WO124" s="294">
        <v>-1048760.2</v>
      </c>
      <c r="WP124" s="294">
        <v>-399755</v>
      </c>
      <c r="WQ124" s="294"/>
      <c r="WR124" s="294">
        <v>-141650</v>
      </c>
      <c r="WS124" s="294">
        <v>-83250</v>
      </c>
      <c r="WT124" s="294">
        <v>0</v>
      </c>
      <c r="WU124" s="294">
        <v>-532500</v>
      </c>
      <c r="WV124" s="294"/>
      <c r="WW124" s="294">
        <v>-398841.1</v>
      </c>
      <c r="WX124" s="294"/>
      <c r="WY124" s="294">
        <v>-253389.23</v>
      </c>
      <c r="WZ124" s="294">
        <v>-164380.21</v>
      </c>
      <c r="XA124" s="294"/>
      <c r="XB124" s="294">
        <v>-679177</v>
      </c>
      <c r="XC124" s="294">
        <v>0</v>
      </c>
      <c r="XD124" s="294">
        <v>-770990.05</v>
      </c>
      <c r="XE124" s="294"/>
      <c r="XF124" s="294">
        <v>-410602.1</v>
      </c>
      <c r="XG124" s="294">
        <v>-33125</v>
      </c>
      <c r="XH124" s="294">
        <v>-113617</v>
      </c>
      <c r="XI124" s="294">
        <v>-791772.6</v>
      </c>
      <c r="XJ124" s="294">
        <v>-224653</v>
      </c>
      <c r="XK124" s="294">
        <v>-1481679</v>
      </c>
      <c r="XL124" s="294">
        <v>-375295</v>
      </c>
      <c r="XM124" s="294">
        <v>-144095</v>
      </c>
      <c r="XN124" s="294">
        <v>-711001</v>
      </c>
      <c r="XO124" s="294">
        <v>-533206</v>
      </c>
      <c r="XP124" s="294">
        <v>-515326</v>
      </c>
      <c r="XQ124" s="294">
        <v>-319189</v>
      </c>
      <c r="XR124" s="294">
        <v>-1620162.74</v>
      </c>
      <c r="XS124" s="294">
        <v>-626464</v>
      </c>
      <c r="XT124" s="294">
        <v>-115669</v>
      </c>
      <c r="XU124" s="294">
        <v>-187643</v>
      </c>
      <c r="XV124" s="294">
        <v>-336160</v>
      </c>
      <c r="XW124" s="294">
        <v>-308611.01</v>
      </c>
      <c r="XX124" s="294">
        <v>-353698</v>
      </c>
      <c r="XY124" s="294">
        <v>-209455</v>
      </c>
      <c r="XZ124" s="294">
        <v>-310819</v>
      </c>
      <c r="YA124" s="294">
        <v>-293698.59000000003</v>
      </c>
      <c r="YB124" s="294">
        <v>-256232</v>
      </c>
      <c r="YC124" s="294">
        <v>-897957.04</v>
      </c>
      <c r="YD124" s="294">
        <v>-400571</v>
      </c>
      <c r="YE124" s="294">
        <v>-1820592</v>
      </c>
      <c r="YF124" s="294">
        <v>-80350</v>
      </c>
      <c r="YG124" s="294">
        <v>0</v>
      </c>
      <c r="YH124" s="294">
        <v>-100000</v>
      </c>
      <c r="YI124" s="294">
        <v>-284472</v>
      </c>
      <c r="YJ124" s="294"/>
      <c r="YK124" s="294">
        <v>0</v>
      </c>
      <c r="YL124" s="294"/>
      <c r="YM124" s="294"/>
      <c r="YN124" s="294">
        <v>-116575</v>
      </c>
      <c r="YO124" s="294">
        <v>-136335</v>
      </c>
      <c r="YP124" s="294">
        <v>-154511</v>
      </c>
      <c r="YQ124" s="294">
        <v>-162075</v>
      </c>
      <c r="YR124" s="294">
        <v>0</v>
      </c>
      <c r="YS124" s="294">
        <v>-247319.24</v>
      </c>
      <c r="YT124" s="294"/>
      <c r="YU124" s="294">
        <v>-67500</v>
      </c>
      <c r="YV124" s="294">
        <v>-381900</v>
      </c>
      <c r="YW124" s="294">
        <v>-327455</v>
      </c>
      <c r="YX124" s="294"/>
      <c r="YY124" s="294"/>
      <c r="YZ124" s="294">
        <v>-97400</v>
      </c>
      <c r="ZA124" s="294"/>
      <c r="ZB124" s="294">
        <v>0</v>
      </c>
      <c r="ZC124" s="294"/>
      <c r="ZD124" s="294"/>
      <c r="ZE124" s="294">
        <v>0</v>
      </c>
      <c r="ZF124" s="294">
        <v>-22500</v>
      </c>
      <c r="ZG124" s="294">
        <v>-15700</v>
      </c>
      <c r="ZH124" s="294">
        <v>0</v>
      </c>
      <c r="ZI124" s="294">
        <v>-15040</v>
      </c>
      <c r="ZJ124" s="294"/>
      <c r="ZK124" s="294">
        <v>-112986</v>
      </c>
      <c r="ZL124" s="294">
        <v>-459750</v>
      </c>
      <c r="ZM124" s="294"/>
      <c r="ZN124" s="294">
        <v>-107310</v>
      </c>
      <c r="ZO124" s="294">
        <v>-158060</v>
      </c>
      <c r="ZP124" s="294">
        <v>-1331436.92</v>
      </c>
      <c r="ZQ124" s="294">
        <v>-1126505.46</v>
      </c>
      <c r="ZR124" s="294">
        <v>-186615</v>
      </c>
      <c r="ZS124" s="294">
        <v>0</v>
      </c>
      <c r="ZT124" s="294">
        <v>-734222</v>
      </c>
      <c r="ZU124" s="294">
        <v>-2221758.62</v>
      </c>
      <c r="ZV124" s="294">
        <v>0</v>
      </c>
      <c r="ZW124" s="294">
        <v>-596073.80000000005</v>
      </c>
      <c r="ZX124" s="294"/>
      <c r="ZY124" s="294">
        <v>-92560</v>
      </c>
      <c r="ZZ124" s="294">
        <v>-91347.62</v>
      </c>
      <c r="AAA124" s="294"/>
      <c r="AAB124" s="294"/>
      <c r="AAC124" s="294"/>
      <c r="AAD124" s="294">
        <v>-34560</v>
      </c>
      <c r="AAE124" s="294"/>
      <c r="AAF124" s="294">
        <v>-122270</v>
      </c>
      <c r="AAG124" s="294"/>
      <c r="AAH124" s="294">
        <v>0</v>
      </c>
      <c r="AAI124" s="294"/>
      <c r="AAJ124" s="294"/>
      <c r="AAK124" s="294"/>
      <c r="AAL124" s="294">
        <v>0</v>
      </c>
      <c r="AAM124" s="294"/>
      <c r="AAN124" s="294"/>
      <c r="AAO124" s="294">
        <v>-2349219.3199999998</v>
      </c>
      <c r="AAP124" s="294"/>
      <c r="AAQ124" s="294"/>
      <c r="AAR124" s="294">
        <v>-100000</v>
      </c>
      <c r="AAS124" s="294"/>
      <c r="AAT124" s="294"/>
      <c r="AAU124" s="294"/>
      <c r="AAV124" s="294"/>
      <c r="AAW124" s="294"/>
      <c r="AAX124" s="294">
        <v>-232634.23</v>
      </c>
      <c r="AAY124" s="294">
        <v>0</v>
      </c>
      <c r="AAZ124" s="294"/>
      <c r="ABA124" s="294"/>
      <c r="ABB124" s="294"/>
      <c r="ABC124" s="294">
        <v>-22116.49</v>
      </c>
      <c r="ABD124" s="294"/>
      <c r="ABE124" s="294"/>
      <c r="ABF124" s="294">
        <v>-150700</v>
      </c>
      <c r="ABG124" s="294">
        <v>0</v>
      </c>
      <c r="ABH124" s="294"/>
      <c r="ABI124" s="294"/>
      <c r="ABJ124" s="294"/>
      <c r="ABK124" s="294">
        <v>0</v>
      </c>
      <c r="ABL124" s="294"/>
      <c r="ABM124" s="294">
        <v>-30100</v>
      </c>
      <c r="ABN124" s="294"/>
      <c r="ABO124" s="294">
        <v>-165000</v>
      </c>
      <c r="ABP124" s="294"/>
      <c r="ABQ124" s="294"/>
      <c r="ABR124" s="294"/>
      <c r="ABS124" s="294"/>
      <c r="ABT124" s="294"/>
      <c r="ABU124" s="294"/>
      <c r="ABV124" s="294"/>
      <c r="ABW124" s="294"/>
      <c r="ABX124" s="294">
        <v>-672326.03</v>
      </c>
      <c r="ABY124" s="294"/>
      <c r="ABZ124" s="294">
        <v>-46700</v>
      </c>
      <c r="ACA124" s="294"/>
      <c r="ACB124" s="294"/>
      <c r="ACC124" s="294"/>
      <c r="ACD124" s="294">
        <v>-78133</v>
      </c>
      <c r="ACE124" s="294">
        <v>0</v>
      </c>
      <c r="ACF124" s="294"/>
      <c r="ACG124" s="294">
        <v>-131500</v>
      </c>
      <c r="ACH124" s="294">
        <v>-104001</v>
      </c>
      <c r="ACI124" s="294">
        <v>-2669625.41</v>
      </c>
      <c r="ACJ124" s="294">
        <v>-31139</v>
      </c>
      <c r="ACK124" s="294"/>
      <c r="ACL124" s="294"/>
      <c r="ACM124" s="294"/>
      <c r="ACN124" s="294"/>
      <c r="ACO124" s="294"/>
      <c r="ACP124" s="294">
        <v>-969692.66</v>
      </c>
      <c r="ACQ124" s="294"/>
      <c r="ACR124" s="294"/>
      <c r="ACS124" s="294">
        <v>0</v>
      </c>
      <c r="ACT124" s="294"/>
      <c r="ACU124" s="294"/>
      <c r="ACV124" s="294">
        <v>-222000</v>
      </c>
      <c r="ACW124" s="294"/>
      <c r="ACX124" s="294"/>
      <c r="ACY124" s="294"/>
      <c r="ACZ124" s="294"/>
      <c r="ADA124" s="294"/>
      <c r="ADB124" s="294">
        <v>-100000</v>
      </c>
      <c r="ADC124" s="294">
        <v>-450000</v>
      </c>
      <c r="ADD124" s="294">
        <v>-126600</v>
      </c>
      <c r="ADE124" s="294"/>
      <c r="ADF124" s="294"/>
      <c r="ADG124" s="294">
        <v>-533548</v>
      </c>
      <c r="ADH124" s="294">
        <v>0</v>
      </c>
      <c r="ADI124" s="294">
        <v>-281761.40000000002</v>
      </c>
      <c r="ADJ124" s="294"/>
      <c r="ADK124" s="294">
        <v>-2104404.88</v>
      </c>
      <c r="ADL124" s="294">
        <v>-1225087.18</v>
      </c>
      <c r="ADM124" s="294">
        <v>-61359</v>
      </c>
      <c r="ADN124" s="294">
        <v>-22885</v>
      </c>
      <c r="ADO124" s="294">
        <v>-896909.7</v>
      </c>
      <c r="ADP124" s="294">
        <v>-786218.01</v>
      </c>
      <c r="ADQ124" s="294">
        <v>-569147.94999999995</v>
      </c>
      <c r="ADR124" s="294">
        <v>-1075010</v>
      </c>
      <c r="ADS124" s="294">
        <v>-893854</v>
      </c>
      <c r="ADT124" s="294">
        <v>-7063.82</v>
      </c>
      <c r="ADU124" s="294">
        <v>-151227</v>
      </c>
      <c r="ADV124" s="294">
        <v>0</v>
      </c>
      <c r="ADW124" s="294"/>
      <c r="ADX124" s="294"/>
      <c r="ADY124" s="294">
        <v>0</v>
      </c>
      <c r="ADZ124" s="294">
        <v>0</v>
      </c>
      <c r="AEA124" s="294"/>
      <c r="AEB124" s="294">
        <v>-152500</v>
      </c>
      <c r="AEC124" s="294">
        <v>-240673</v>
      </c>
      <c r="AED124" s="294">
        <v>0</v>
      </c>
      <c r="AEE124" s="294">
        <v>-544965.65</v>
      </c>
      <c r="AEF124" s="294"/>
      <c r="AEG124" s="294">
        <v>-686164.81</v>
      </c>
      <c r="AEH124" s="294"/>
      <c r="AEI124" s="294">
        <v>-150599</v>
      </c>
      <c r="AEJ124" s="294"/>
      <c r="AEK124" s="294">
        <v>-416759.21</v>
      </c>
      <c r="AEL124" s="294">
        <v>-333200</v>
      </c>
      <c r="AEM124" s="294"/>
      <c r="AEN124" s="294"/>
      <c r="AEO124" s="294">
        <v>0</v>
      </c>
      <c r="AEP124" s="294"/>
      <c r="AEQ124" s="294"/>
      <c r="AER124" s="294"/>
      <c r="AES124" s="294">
        <v>-129000</v>
      </c>
      <c r="AET124" s="294">
        <v>-814833.11</v>
      </c>
      <c r="AEU124" s="294">
        <v>-224340.19</v>
      </c>
      <c r="AEV124" s="294">
        <v>-391860</v>
      </c>
      <c r="AEW124" s="294">
        <v>-326129.81</v>
      </c>
      <c r="AEX124" s="294">
        <v>-141647.46</v>
      </c>
      <c r="AEY124" s="294">
        <v>-300000</v>
      </c>
      <c r="AEZ124" s="294">
        <v>-203952.72</v>
      </c>
      <c r="AFA124" s="294">
        <v>-311536.02</v>
      </c>
      <c r="AFB124" s="294">
        <v>-379680</v>
      </c>
      <c r="AFC124" s="294"/>
      <c r="AFD124" s="294">
        <v>-5425598.79</v>
      </c>
      <c r="AFE124" s="294"/>
      <c r="AFF124" s="294">
        <v>-298296.53000000003</v>
      </c>
      <c r="AFG124" s="294"/>
      <c r="AFH124" s="294">
        <v>-38118.080000000002</v>
      </c>
      <c r="AFI124" s="294">
        <v>-123396.23</v>
      </c>
      <c r="AFJ124" s="294"/>
      <c r="AFK124" s="294">
        <v>-443704.61</v>
      </c>
      <c r="AFL124" s="294"/>
      <c r="AFM124" s="294">
        <v>-396470.5</v>
      </c>
      <c r="AFN124" s="294">
        <v>-281625</v>
      </c>
      <c r="AFO124" s="294">
        <v>-597135.04</v>
      </c>
      <c r="AFP124" s="294"/>
      <c r="AFQ124" s="294"/>
      <c r="AFR124" s="294">
        <v>-411650.64</v>
      </c>
      <c r="AFS124" s="294"/>
      <c r="AFT124" s="294"/>
      <c r="AFU124" s="294">
        <v>0</v>
      </c>
      <c r="AFV124" s="294">
        <v>-21725</v>
      </c>
      <c r="AFW124" s="294">
        <v>-71632.69</v>
      </c>
      <c r="AFX124" s="294"/>
      <c r="AFY124" s="294"/>
      <c r="AFZ124" s="294"/>
      <c r="AGA124" s="294"/>
      <c r="AGB124" s="294"/>
      <c r="AGC124" s="294"/>
      <c r="AGD124" s="294">
        <v>-331779.90999999997</v>
      </c>
      <c r="AGE124" s="294">
        <v>-155352.78</v>
      </c>
      <c r="AGF124" s="294"/>
      <c r="AGG124" s="294">
        <v>0</v>
      </c>
      <c r="AGH124" s="294">
        <v>-163556</v>
      </c>
      <c r="AGI124" s="294">
        <v>-500000</v>
      </c>
      <c r="AGJ124" s="294">
        <v>-179189.28</v>
      </c>
      <c r="AGK124" s="294"/>
      <c r="AGL124" s="294">
        <v>-57655.61</v>
      </c>
      <c r="AGM124" s="294">
        <v>-467170.77</v>
      </c>
      <c r="AGN124" s="294"/>
      <c r="AGO124" s="294">
        <v>-786476.6</v>
      </c>
      <c r="AGP124" s="294">
        <v>-38650.370000000003</v>
      </c>
      <c r="AGQ124" s="294"/>
      <c r="AGR124" s="294"/>
      <c r="AGS124" s="294"/>
      <c r="AGT124" s="294"/>
      <c r="AGU124" s="294">
        <v>-1849870.21</v>
      </c>
      <c r="AGV124" s="294">
        <v>-444847</v>
      </c>
      <c r="AGW124" s="294">
        <v>-485298.96</v>
      </c>
      <c r="AGX124" s="294">
        <v>-279492.14</v>
      </c>
      <c r="AGY124" s="294">
        <v>0</v>
      </c>
      <c r="AGZ124" s="294">
        <v>-77975.899999999994</v>
      </c>
      <c r="AHA124" s="294"/>
      <c r="AHB124" s="294"/>
      <c r="AHC124" s="294">
        <v>-19955.86</v>
      </c>
      <c r="AHD124" s="294"/>
      <c r="AHE124" s="294"/>
      <c r="AHF124" s="294">
        <v>-171433.86</v>
      </c>
      <c r="AHG124" s="294">
        <v>-119716.52</v>
      </c>
      <c r="AHH124" s="294"/>
      <c r="AHI124" s="294"/>
      <c r="AHJ124" s="294">
        <v>-37904.35</v>
      </c>
      <c r="AHK124" s="294">
        <v>-170506.81</v>
      </c>
      <c r="AHL124" s="294"/>
      <c r="AHM124" s="294">
        <v>0</v>
      </c>
      <c r="AHN124" s="294">
        <v>-288756.08</v>
      </c>
      <c r="AHO124" s="294">
        <v>0</v>
      </c>
      <c r="AHP124" s="294">
        <v>-305109.88</v>
      </c>
      <c r="AHQ124" s="294">
        <v>-54380.02</v>
      </c>
      <c r="AHR124" s="331">
        <v>-38363.300000000003</v>
      </c>
      <c r="AHS124" s="294">
        <f t="shared" si="51"/>
        <v>-205325934.26000011</v>
      </c>
      <c r="AHT124" s="269" t="b">
        <f t="shared" si="52"/>
        <v>1</v>
      </c>
      <c r="AHU124" s="269" t="s">
        <v>6278</v>
      </c>
      <c r="AHV124" s="269" t="s">
        <v>6190</v>
      </c>
      <c r="AHW124" s="269" t="s">
        <v>6191</v>
      </c>
    </row>
    <row r="125" spans="1:907" ht="24.6" x14ac:dyDescent="0.7">
      <c r="A125" s="268" t="s">
        <v>6278</v>
      </c>
      <c r="B125" s="268" t="s">
        <v>6192</v>
      </c>
      <c r="C125" s="269" t="s">
        <v>6193</v>
      </c>
      <c r="D125" s="294">
        <v>-3312814.55</v>
      </c>
      <c r="E125" s="294">
        <v>-239369.88</v>
      </c>
      <c r="F125" s="294"/>
      <c r="G125" s="294">
        <v>0</v>
      </c>
      <c r="H125" s="294">
        <v>-3780038.78</v>
      </c>
      <c r="I125" s="294">
        <v>0</v>
      </c>
      <c r="J125" s="294">
        <v>-40977635.359999999</v>
      </c>
      <c r="K125" s="294"/>
      <c r="L125" s="294">
        <v>-869585.81</v>
      </c>
      <c r="M125" s="294">
        <v>-44195.76</v>
      </c>
      <c r="N125" s="294"/>
      <c r="O125" s="294">
        <v>-3567.38</v>
      </c>
      <c r="P125" s="294">
        <v>-22291276.59</v>
      </c>
      <c r="Q125" s="294">
        <v>-54813.16</v>
      </c>
      <c r="R125" s="294">
        <v>-34748.28</v>
      </c>
      <c r="S125" s="294"/>
      <c r="T125" s="294"/>
      <c r="U125" s="294"/>
      <c r="V125" s="294">
        <v>0</v>
      </c>
      <c r="W125" s="294">
        <v>-54394.61</v>
      </c>
      <c r="X125" s="294">
        <v>0</v>
      </c>
      <c r="Y125" s="294">
        <v>0</v>
      </c>
      <c r="Z125" s="294">
        <v>-141729.03</v>
      </c>
      <c r="AA125" s="294">
        <v>0</v>
      </c>
      <c r="AB125" s="294">
        <v>-914</v>
      </c>
      <c r="AC125" s="294">
        <v>-5839449.7000000002</v>
      </c>
      <c r="AD125" s="294">
        <v>-4047684.88</v>
      </c>
      <c r="AE125" s="294">
        <v>-2000000</v>
      </c>
      <c r="AF125" s="294">
        <v>-1119077.1200000001</v>
      </c>
      <c r="AG125" s="294">
        <v>-151026.88</v>
      </c>
      <c r="AH125" s="294">
        <v>-169005.52</v>
      </c>
      <c r="AI125" s="294">
        <v>0</v>
      </c>
      <c r="AJ125" s="294"/>
      <c r="AK125" s="294"/>
      <c r="AL125" s="294"/>
      <c r="AM125" s="294"/>
      <c r="AN125" s="294">
        <v>-26312610.579999998</v>
      </c>
      <c r="AO125" s="294">
        <v>-3471075.66</v>
      </c>
      <c r="AP125" s="294">
        <v>0</v>
      </c>
      <c r="AQ125" s="294"/>
      <c r="AR125" s="294">
        <v>-500000</v>
      </c>
      <c r="AS125" s="294"/>
      <c r="AT125" s="294"/>
      <c r="AU125" s="294"/>
      <c r="AV125" s="294"/>
      <c r="AW125" s="294"/>
      <c r="AX125" s="294">
        <v>-54367.14</v>
      </c>
      <c r="AY125" s="294"/>
      <c r="AZ125" s="294">
        <v>0</v>
      </c>
      <c r="BA125" s="294">
        <v>-31591.56</v>
      </c>
      <c r="BB125" s="294">
        <v>0</v>
      </c>
      <c r="BC125" s="294"/>
      <c r="BD125" s="294">
        <v>0</v>
      </c>
      <c r="BE125" s="294"/>
      <c r="BF125" s="294">
        <v>-844862.14</v>
      </c>
      <c r="BG125" s="294">
        <v>-18499.68</v>
      </c>
      <c r="BH125" s="294">
        <v>-6301.86</v>
      </c>
      <c r="BI125" s="294">
        <v>-117605.18</v>
      </c>
      <c r="BJ125" s="294">
        <v>-1280698.49</v>
      </c>
      <c r="BK125" s="294">
        <v>-31384.74</v>
      </c>
      <c r="BL125" s="294"/>
      <c r="BM125" s="294">
        <v>-48001.05</v>
      </c>
      <c r="BN125" s="294">
        <v>-25594.11</v>
      </c>
      <c r="BO125" s="294">
        <v>-6178.81</v>
      </c>
      <c r="BP125" s="294"/>
      <c r="BQ125" s="294"/>
      <c r="BR125" s="294">
        <v>0</v>
      </c>
      <c r="BS125" s="294">
        <v>-200927.64</v>
      </c>
      <c r="BT125" s="294">
        <v>-2287.98</v>
      </c>
      <c r="BU125" s="294">
        <v>0</v>
      </c>
      <c r="BV125" s="294"/>
      <c r="BW125" s="294">
        <v>-89650.92</v>
      </c>
      <c r="BX125" s="294">
        <v>-3203.58</v>
      </c>
      <c r="BY125" s="294">
        <v>0</v>
      </c>
      <c r="BZ125" s="294">
        <v>0</v>
      </c>
      <c r="CA125" s="294"/>
      <c r="CB125" s="294"/>
      <c r="CC125" s="294"/>
      <c r="CD125" s="294"/>
      <c r="CE125" s="294">
        <v>0</v>
      </c>
      <c r="CF125" s="294"/>
      <c r="CG125" s="294">
        <v>0</v>
      </c>
      <c r="CH125" s="294">
        <v>-242701.6</v>
      </c>
      <c r="CI125" s="294">
        <v>-245286.1</v>
      </c>
      <c r="CJ125" s="294">
        <v>-43581.599999999999</v>
      </c>
      <c r="CK125" s="294">
        <v>-172402.11</v>
      </c>
      <c r="CL125" s="294">
        <v>-264105.84999999998</v>
      </c>
      <c r="CM125" s="294">
        <v>-147191.45000000001</v>
      </c>
      <c r="CN125" s="294">
        <v>0</v>
      </c>
      <c r="CO125" s="294">
        <v>-1870.04</v>
      </c>
      <c r="CP125" s="294">
        <v>-73277.48</v>
      </c>
      <c r="CQ125" s="294">
        <v>-4358.22</v>
      </c>
      <c r="CR125" s="294">
        <v>0</v>
      </c>
      <c r="CS125" s="294">
        <v>-10330.31</v>
      </c>
      <c r="CT125" s="294">
        <v>0</v>
      </c>
      <c r="CU125" s="294"/>
      <c r="CV125" s="294">
        <v>-16789.3</v>
      </c>
      <c r="CW125" s="294">
        <v>-231741.1</v>
      </c>
      <c r="CX125" s="294">
        <v>0</v>
      </c>
      <c r="CY125" s="294">
        <v>-38883.019999999997</v>
      </c>
      <c r="CZ125" s="294">
        <v>0</v>
      </c>
      <c r="DA125" s="294">
        <v>-55237.38</v>
      </c>
      <c r="DB125" s="294"/>
      <c r="DC125" s="294">
        <v>-15395831.23</v>
      </c>
      <c r="DD125" s="294"/>
      <c r="DE125" s="294"/>
      <c r="DF125" s="294"/>
      <c r="DG125" s="294">
        <v>-2613682.56</v>
      </c>
      <c r="DH125" s="294">
        <v>-10770246.41</v>
      </c>
      <c r="DI125" s="294">
        <v>-187262.2</v>
      </c>
      <c r="DJ125" s="294">
        <v>-2122345.4500000002</v>
      </c>
      <c r="DK125" s="294">
        <v>0</v>
      </c>
      <c r="DL125" s="294">
        <v>-11452.9</v>
      </c>
      <c r="DM125" s="294">
        <v>-92284.77</v>
      </c>
      <c r="DN125" s="294">
        <v>-77066.679999999993</v>
      </c>
      <c r="DO125" s="294">
        <v>-48040.82</v>
      </c>
      <c r="DP125" s="294">
        <v>-14734.76</v>
      </c>
      <c r="DQ125" s="294">
        <v>-412689.79</v>
      </c>
      <c r="DR125" s="294">
        <v>-5968.8</v>
      </c>
      <c r="DS125" s="294">
        <v>-81387.97</v>
      </c>
      <c r="DT125" s="294"/>
      <c r="DU125" s="294"/>
      <c r="DV125" s="294"/>
      <c r="DW125" s="294"/>
      <c r="DX125" s="294">
        <v>-373213.22</v>
      </c>
      <c r="DY125" s="294"/>
      <c r="DZ125" s="294"/>
      <c r="EA125" s="294">
        <v>-28561.52</v>
      </c>
      <c r="EB125" s="294">
        <v>0</v>
      </c>
      <c r="EC125" s="294">
        <v>-956662.7</v>
      </c>
      <c r="ED125" s="294">
        <v>-37201.300000000003</v>
      </c>
      <c r="EE125" s="294">
        <v>0</v>
      </c>
      <c r="EF125" s="294">
        <v>-29709.72</v>
      </c>
      <c r="EG125" s="294">
        <v>-119910.97</v>
      </c>
      <c r="EH125" s="294">
        <v>0</v>
      </c>
      <c r="EI125" s="294">
        <v>-1824.95</v>
      </c>
      <c r="EJ125" s="294">
        <v>-14224.27</v>
      </c>
      <c r="EK125" s="294">
        <v>-125490.4</v>
      </c>
      <c r="EL125" s="294">
        <v>-144127.06</v>
      </c>
      <c r="EM125" s="294">
        <v>-172633.48</v>
      </c>
      <c r="EN125" s="294"/>
      <c r="EO125" s="294">
        <v>-25000</v>
      </c>
      <c r="EP125" s="294">
        <v>0</v>
      </c>
      <c r="EQ125" s="294">
        <v>-79630.789999999994</v>
      </c>
      <c r="ER125" s="294">
        <v>-12573.28</v>
      </c>
      <c r="ES125" s="294">
        <v>-224744.99</v>
      </c>
      <c r="ET125" s="294">
        <v>-2791.86</v>
      </c>
      <c r="EU125" s="294">
        <v>-34421.53</v>
      </c>
      <c r="EV125" s="294">
        <v>-56056.17</v>
      </c>
      <c r="EW125" s="294">
        <v>-36587.379999999997</v>
      </c>
      <c r="EX125" s="294">
        <v>-11285.72</v>
      </c>
      <c r="EY125" s="294">
        <v>-2287.98</v>
      </c>
      <c r="EZ125" s="294">
        <v>-84590.29</v>
      </c>
      <c r="FA125" s="294">
        <v>-27048.11</v>
      </c>
      <c r="FB125" s="294">
        <v>-107848.26</v>
      </c>
      <c r="FC125" s="294">
        <v>-18656.5</v>
      </c>
      <c r="FD125" s="294">
        <v>-10416.950000000001</v>
      </c>
      <c r="FE125" s="294">
        <v>0</v>
      </c>
      <c r="FF125" s="294">
        <v>-51136.84</v>
      </c>
      <c r="FG125" s="294"/>
      <c r="FH125" s="294">
        <v>-1668.37</v>
      </c>
      <c r="FI125" s="294"/>
      <c r="FJ125" s="294"/>
      <c r="FK125" s="294"/>
      <c r="FL125" s="294"/>
      <c r="FM125" s="294"/>
      <c r="FN125" s="294"/>
      <c r="FO125" s="294"/>
      <c r="FP125" s="294"/>
      <c r="FQ125" s="294">
        <v>-2354.2399999999998</v>
      </c>
      <c r="FR125" s="294">
        <v>-164352.82999999999</v>
      </c>
      <c r="FS125" s="294">
        <v>-212879.56</v>
      </c>
      <c r="FT125" s="294">
        <v>-21153.71</v>
      </c>
      <c r="FU125" s="294"/>
      <c r="FV125" s="294">
        <v>-31626.18</v>
      </c>
      <c r="FW125" s="294">
        <v>-11698.38</v>
      </c>
      <c r="FX125" s="294">
        <v>-59831.71</v>
      </c>
      <c r="FY125" s="294">
        <v>-62410.69</v>
      </c>
      <c r="FZ125" s="294"/>
      <c r="GA125" s="294">
        <v>-5455.54</v>
      </c>
      <c r="GB125" s="294">
        <v>-73724.570000000007</v>
      </c>
      <c r="GC125" s="294">
        <v>-63799.81</v>
      </c>
      <c r="GD125" s="294"/>
      <c r="GE125" s="294">
        <v>-89909.81</v>
      </c>
      <c r="GF125" s="294">
        <v>-9766.84</v>
      </c>
      <c r="GG125" s="294">
        <v>-4189.18</v>
      </c>
      <c r="GH125" s="294"/>
      <c r="GI125" s="294">
        <v>-21669.82</v>
      </c>
      <c r="GJ125" s="294">
        <v>-3193.44</v>
      </c>
      <c r="GK125" s="294">
        <v>-62259.46</v>
      </c>
      <c r="GL125" s="294"/>
      <c r="GM125" s="294"/>
      <c r="GN125" s="294"/>
      <c r="GO125" s="294">
        <v>0</v>
      </c>
      <c r="GP125" s="294"/>
      <c r="GQ125" s="294"/>
      <c r="GR125" s="294"/>
      <c r="GS125" s="294"/>
      <c r="GT125" s="294"/>
      <c r="GU125" s="294">
        <v>0</v>
      </c>
      <c r="GV125" s="294"/>
      <c r="GW125" s="294"/>
      <c r="GX125" s="294"/>
      <c r="GY125" s="294"/>
      <c r="GZ125" s="294">
        <v>-4602.92</v>
      </c>
      <c r="HA125" s="294"/>
      <c r="HB125" s="294"/>
      <c r="HC125" s="294"/>
      <c r="HD125" s="294"/>
      <c r="HE125" s="294">
        <v>0</v>
      </c>
      <c r="HF125" s="294">
        <v>0</v>
      </c>
      <c r="HG125" s="294">
        <v>0</v>
      </c>
      <c r="HH125" s="294"/>
      <c r="HI125" s="294"/>
      <c r="HJ125" s="294"/>
      <c r="HK125" s="294"/>
      <c r="HL125" s="294"/>
      <c r="HM125" s="294"/>
      <c r="HN125" s="294"/>
      <c r="HO125" s="294"/>
      <c r="HP125" s="294">
        <v>-30733.95</v>
      </c>
      <c r="HQ125" s="294"/>
      <c r="HR125" s="294">
        <v>-203000.85</v>
      </c>
      <c r="HS125" s="294"/>
      <c r="HT125" s="294"/>
      <c r="HU125" s="294"/>
      <c r="HV125" s="294">
        <v>-15105.38</v>
      </c>
      <c r="HW125" s="294"/>
      <c r="HX125" s="294"/>
      <c r="HY125" s="294">
        <v>0</v>
      </c>
      <c r="HZ125" s="294"/>
      <c r="IA125" s="294"/>
      <c r="IB125" s="294"/>
      <c r="IC125" s="294"/>
      <c r="ID125" s="294">
        <v>0</v>
      </c>
      <c r="IE125" s="294"/>
      <c r="IF125" s="294"/>
      <c r="IG125" s="294"/>
      <c r="IH125" s="294"/>
      <c r="II125" s="294">
        <v>-189736.54</v>
      </c>
      <c r="IJ125" s="294">
        <v>-35580.870000000003</v>
      </c>
      <c r="IK125" s="294">
        <v>-14315.32</v>
      </c>
      <c r="IL125" s="294"/>
      <c r="IM125" s="294"/>
      <c r="IN125" s="294">
        <v>-2188.5500000000002</v>
      </c>
      <c r="IO125" s="294"/>
      <c r="IP125" s="294">
        <v>-3096.64</v>
      </c>
      <c r="IQ125" s="294">
        <v>-98056.94</v>
      </c>
      <c r="IR125" s="294">
        <v>-3660.61</v>
      </c>
      <c r="IS125" s="294"/>
      <c r="IT125" s="294">
        <v>13853.57</v>
      </c>
      <c r="IU125" s="294"/>
      <c r="IV125" s="294"/>
      <c r="IW125" s="294"/>
      <c r="IX125" s="294"/>
      <c r="IY125" s="294"/>
      <c r="IZ125" s="294"/>
      <c r="JA125" s="294">
        <v>-1606.21</v>
      </c>
      <c r="JB125" s="294"/>
      <c r="JC125" s="294">
        <v>-142368.94</v>
      </c>
      <c r="JD125" s="294"/>
      <c r="JE125" s="294">
        <v>0</v>
      </c>
      <c r="JF125" s="294">
        <v>-25465.31</v>
      </c>
      <c r="JG125" s="294">
        <v>-253075.23</v>
      </c>
      <c r="JH125" s="294"/>
      <c r="JI125" s="294"/>
      <c r="JJ125" s="294">
        <v>-185990.26</v>
      </c>
      <c r="JK125" s="294">
        <v>0</v>
      </c>
      <c r="JL125" s="294"/>
      <c r="JM125" s="294"/>
      <c r="JN125" s="294"/>
      <c r="JO125" s="294"/>
      <c r="JP125" s="294"/>
      <c r="JQ125" s="294"/>
      <c r="JR125" s="294">
        <v>-326916</v>
      </c>
      <c r="JS125" s="294"/>
      <c r="JT125" s="294"/>
      <c r="JU125" s="294">
        <v>-1296947.72</v>
      </c>
      <c r="JV125" s="294"/>
      <c r="JW125" s="294"/>
      <c r="JX125" s="294"/>
      <c r="JY125" s="294"/>
      <c r="JZ125" s="294">
        <v>-4778493.42</v>
      </c>
      <c r="KA125" s="294"/>
      <c r="KB125" s="294"/>
      <c r="KC125" s="294">
        <v>0</v>
      </c>
      <c r="KD125" s="294"/>
      <c r="KE125" s="294"/>
      <c r="KF125" s="294"/>
      <c r="KG125" s="294"/>
      <c r="KH125" s="294"/>
      <c r="KI125" s="294">
        <v>-248501.25</v>
      </c>
      <c r="KJ125" s="294"/>
      <c r="KK125" s="294">
        <v>-338018.21</v>
      </c>
      <c r="KL125" s="294"/>
      <c r="KM125" s="294"/>
      <c r="KN125" s="294"/>
      <c r="KO125" s="294">
        <v>-90199.75</v>
      </c>
      <c r="KP125" s="294"/>
      <c r="KQ125" s="294">
        <v>-1059804.7</v>
      </c>
      <c r="KR125" s="294"/>
      <c r="KS125" s="294"/>
      <c r="KT125" s="294"/>
      <c r="KU125" s="294"/>
      <c r="KV125" s="294"/>
      <c r="KW125" s="294"/>
      <c r="KX125" s="294"/>
      <c r="KY125" s="294">
        <v>-90324.49</v>
      </c>
      <c r="KZ125" s="294"/>
      <c r="LA125" s="294">
        <v>-16011</v>
      </c>
      <c r="LB125" s="294"/>
      <c r="LC125" s="294"/>
      <c r="LD125" s="294"/>
      <c r="LE125" s="294">
        <v>0</v>
      </c>
      <c r="LF125" s="294">
        <v>-396647.2</v>
      </c>
      <c r="LG125" s="294">
        <v>0</v>
      </c>
      <c r="LH125" s="294"/>
      <c r="LI125" s="294"/>
      <c r="LJ125" s="294">
        <v>0</v>
      </c>
      <c r="LK125" s="294"/>
      <c r="LL125" s="294"/>
      <c r="LM125" s="294"/>
      <c r="LN125" s="294"/>
      <c r="LO125" s="294">
        <v>-502768.11</v>
      </c>
      <c r="LP125" s="294"/>
      <c r="LQ125" s="294"/>
      <c r="LR125" s="294">
        <v>-86104.76</v>
      </c>
      <c r="LS125" s="294"/>
      <c r="LT125" s="294"/>
      <c r="LU125" s="294">
        <v>0</v>
      </c>
      <c r="LV125" s="294">
        <v>0</v>
      </c>
      <c r="LW125" s="294">
        <v>-428992.4</v>
      </c>
      <c r="LX125" s="294"/>
      <c r="LY125" s="294"/>
      <c r="LZ125" s="294">
        <v>-118352.36</v>
      </c>
      <c r="MA125" s="294">
        <v>-46238.53</v>
      </c>
      <c r="MB125" s="294"/>
      <c r="MC125" s="294">
        <v>-21034.76</v>
      </c>
      <c r="MD125" s="294"/>
      <c r="ME125" s="294">
        <v>-5260.45</v>
      </c>
      <c r="MF125" s="294"/>
      <c r="MG125" s="294">
        <v>0</v>
      </c>
      <c r="MH125" s="294">
        <v>-28874.92</v>
      </c>
      <c r="MI125" s="294">
        <v>-10538.34</v>
      </c>
      <c r="MJ125" s="294">
        <v>0</v>
      </c>
      <c r="MK125" s="294"/>
      <c r="ML125" s="294">
        <v>-160234.54</v>
      </c>
      <c r="MM125" s="294"/>
      <c r="MN125" s="294">
        <v>-31979.05</v>
      </c>
      <c r="MO125" s="294">
        <v>-84292.28</v>
      </c>
      <c r="MP125" s="294">
        <v>-99964.34</v>
      </c>
      <c r="MQ125" s="294">
        <v>-3665.18</v>
      </c>
      <c r="MR125" s="294"/>
      <c r="MS125" s="294">
        <v>-43916.45</v>
      </c>
      <c r="MT125" s="294">
        <v>-68718.27</v>
      </c>
      <c r="MU125" s="294">
        <v>-31049.33</v>
      </c>
      <c r="MV125" s="294"/>
      <c r="MW125" s="294"/>
      <c r="MX125" s="294"/>
      <c r="MY125" s="294">
        <v>-32832.43</v>
      </c>
      <c r="MZ125" s="294"/>
      <c r="NA125" s="294">
        <v>-196310.9</v>
      </c>
      <c r="NB125" s="294">
        <v>-65872.929999999993</v>
      </c>
      <c r="NC125" s="294"/>
      <c r="ND125" s="294">
        <v>0</v>
      </c>
      <c r="NE125" s="294">
        <v>-336094.13</v>
      </c>
      <c r="NF125" s="294"/>
      <c r="NG125" s="294">
        <v>-105118.06</v>
      </c>
      <c r="NH125" s="294">
        <v>-14938.86</v>
      </c>
      <c r="NI125" s="294">
        <v>-7543.39</v>
      </c>
      <c r="NJ125" s="294">
        <v>-22899.37</v>
      </c>
      <c r="NK125" s="294">
        <v>-671033.22</v>
      </c>
      <c r="NL125" s="294"/>
      <c r="NM125" s="294">
        <v>-21377.15</v>
      </c>
      <c r="NN125" s="294">
        <v>-706078.45</v>
      </c>
      <c r="NO125" s="294"/>
      <c r="NP125" s="294">
        <v>0</v>
      </c>
      <c r="NQ125" s="294">
        <v>-628678.17000000004</v>
      </c>
      <c r="NR125" s="294"/>
      <c r="NS125" s="294">
        <v>-545792.44999999995</v>
      </c>
      <c r="NT125" s="294">
        <v>0</v>
      </c>
      <c r="NU125" s="294">
        <v>-105490.15</v>
      </c>
      <c r="NV125" s="294"/>
      <c r="NW125" s="294">
        <v>-28533.78</v>
      </c>
      <c r="NX125" s="294"/>
      <c r="NY125" s="294"/>
      <c r="NZ125" s="294"/>
      <c r="OA125" s="294"/>
      <c r="OB125" s="294"/>
      <c r="OC125" s="294"/>
      <c r="OD125" s="294"/>
      <c r="OE125" s="294">
        <v>-155367.82999999999</v>
      </c>
      <c r="OF125" s="294">
        <v>-116410.86</v>
      </c>
      <c r="OG125" s="294">
        <v>-549694.56999999995</v>
      </c>
      <c r="OH125" s="294">
        <v>-16160.38</v>
      </c>
      <c r="OI125" s="294">
        <v>-47818</v>
      </c>
      <c r="OJ125" s="294"/>
      <c r="OK125" s="294">
        <v>-21600.92</v>
      </c>
      <c r="OL125" s="294"/>
      <c r="OM125" s="294">
        <v>-131812.87</v>
      </c>
      <c r="ON125" s="294">
        <v>-1133780.6399999999</v>
      </c>
      <c r="OO125" s="294">
        <v>-435482.72</v>
      </c>
      <c r="OP125" s="294">
        <v>-449225.55</v>
      </c>
      <c r="OQ125" s="294">
        <v>-9480.84</v>
      </c>
      <c r="OR125" s="294"/>
      <c r="OS125" s="294">
        <v>-120896.19</v>
      </c>
      <c r="OT125" s="294"/>
      <c r="OU125" s="294"/>
      <c r="OV125" s="294"/>
      <c r="OW125" s="294"/>
      <c r="OX125" s="294">
        <v>-3337548.96</v>
      </c>
      <c r="OY125" s="294"/>
      <c r="OZ125" s="294"/>
      <c r="PA125" s="294"/>
      <c r="PB125" s="294">
        <v>-286768.81</v>
      </c>
      <c r="PC125" s="294"/>
      <c r="PD125" s="294"/>
      <c r="PE125" s="294"/>
      <c r="PF125" s="294"/>
      <c r="PG125" s="294"/>
      <c r="PH125" s="294"/>
      <c r="PI125" s="294"/>
      <c r="PJ125" s="294"/>
      <c r="PK125" s="294">
        <v>-315.73</v>
      </c>
      <c r="PL125" s="294">
        <v>0</v>
      </c>
      <c r="PM125" s="294"/>
      <c r="PN125" s="294"/>
      <c r="PO125" s="294">
        <v>-15428.85</v>
      </c>
      <c r="PP125" s="294"/>
      <c r="PQ125" s="294"/>
      <c r="PR125" s="294"/>
      <c r="PS125" s="294"/>
      <c r="PT125" s="294"/>
      <c r="PU125" s="294"/>
      <c r="PV125" s="294"/>
      <c r="PW125" s="294"/>
      <c r="PX125" s="294"/>
      <c r="PY125" s="294"/>
      <c r="PZ125" s="294"/>
      <c r="QA125" s="294"/>
      <c r="QB125" s="294"/>
      <c r="QC125" s="294"/>
      <c r="QD125" s="294"/>
      <c r="QE125" s="294"/>
      <c r="QF125" s="294"/>
      <c r="QG125" s="294"/>
      <c r="QH125" s="294"/>
      <c r="QI125" s="294"/>
      <c r="QJ125" s="294"/>
      <c r="QK125" s="294">
        <v>-33042.65</v>
      </c>
      <c r="QL125" s="294"/>
      <c r="QM125" s="294"/>
      <c r="QN125" s="294">
        <v>-62644.480000000003</v>
      </c>
      <c r="QO125" s="294"/>
      <c r="QP125" s="294"/>
      <c r="QQ125" s="294"/>
      <c r="QR125" s="294"/>
      <c r="QS125" s="294"/>
      <c r="QT125" s="294"/>
      <c r="QU125" s="294"/>
      <c r="QV125" s="294"/>
      <c r="QW125" s="294"/>
      <c r="QX125" s="294"/>
      <c r="QY125" s="294"/>
      <c r="QZ125" s="294"/>
      <c r="RA125" s="294"/>
      <c r="RB125" s="294"/>
      <c r="RC125" s="294"/>
      <c r="RD125" s="294"/>
      <c r="RE125" s="294"/>
      <c r="RF125" s="294"/>
      <c r="RG125" s="294"/>
      <c r="RH125" s="294">
        <v>-48281.55</v>
      </c>
      <c r="RI125" s="294"/>
      <c r="RJ125" s="294"/>
      <c r="RK125" s="294"/>
      <c r="RL125" s="294"/>
      <c r="RM125" s="294"/>
      <c r="RN125" s="294"/>
      <c r="RO125" s="294">
        <v>-360294.82</v>
      </c>
      <c r="RP125" s="294"/>
      <c r="RQ125" s="294"/>
      <c r="RR125" s="294">
        <v>-147934.93</v>
      </c>
      <c r="RS125" s="294"/>
      <c r="RT125" s="294"/>
      <c r="RU125" s="294">
        <v>-2720.49</v>
      </c>
      <c r="RV125" s="294"/>
      <c r="RW125" s="294"/>
      <c r="RX125" s="294"/>
      <c r="RY125" s="294"/>
      <c r="RZ125" s="294">
        <v>-19781.189999999999</v>
      </c>
      <c r="SA125" s="294">
        <v>-6463855.7800000003</v>
      </c>
      <c r="SB125" s="294"/>
      <c r="SC125" s="294">
        <v>0</v>
      </c>
      <c r="SD125" s="294"/>
      <c r="SE125" s="294"/>
      <c r="SF125" s="294">
        <v>-11150.23</v>
      </c>
      <c r="SG125" s="294">
        <v>-50567.85</v>
      </c>
      <c r="SH125" s="294"/>
      <c r="SI125" s="294">
        <v>-81675.740000000005</v>
      </c>
      <c r="SJ125" s="294"/>
      <c r="SK125" s="294">
        <v>-77775.289999999994</v>
      </c>
      <c r="SL125" s="294"/>
      <c r="SM125" s="294">
        <v>-174913.31</v>
      </c>
      <c r="SN125" s="294">
        <v>-28108.880000000001</v>
      </c>
      <c r="SO125" s="294">
        <v>0</v>
      </c>
      <c r="SP125" s="294">
        <v>-12238.41</v>
      </c>
      <c r="SQ125" s="294">
        <v>-509435.39</v>
      </c>
      <c r="SR125" s="294">
        <v>0</v>
      </c>
      <c r="SS125" s="294">
        <v>-27371.84</v>
      </c>
      <c r="ST125" s="294">
        <v>-23934.76</v>
      </c>
      <c r="SU125" s="294">
        <v>0</v>
      </c>
      <c r="SV125" s="294">
        <v>-59697.9</v>
      </c>
      <c r="SW125" s="294">
        <v>0</v>
      </c>
      <c r="SX125" s="294">
        <v>-572759.18999999994</v>
      </c>
      <c r="SY125" s="294">
        <v>0</v>
      </c>
      <c r="SZ125" s="294"/>
      <c r="TA125" s="294"/>
      <c r="TB125" s="294"/>
      <c r="TC125" s="294">
        <v>-30976.54</v>
      </c>
      <c r="TD125" s="294">
        <v>-5181.4399999999996</v>
      </c>
      <c r="TE125" s="294"/>
      <c r="TF125" s="294">
        <v>-42179.839999999997</v>
      </c>
      <c r="TG125" s="294">
        <v>-37119.760000000002</v>
      </c>
      <c r="TH125" s="294">
        <v>0</v>
      </c>
      <c r="TI125" s="294">
        <v>-230851.72</v>
      </c>
      <c r="TJ125" s="294">
        <v>-34921.300000000003</v>
      </c>
      <c r="TK125" s="294"/>
      <c r="TL125" s="294">
        <v>-6937.22</v>
      </c>
      <c r="TM125" s="294">
        <v>-242681.75</v>
      </c>
      <c r="TN125" s="294">
        <v>-11326.03</v>
      </c>
      <c r="TO125" s="294"/>
      <c r="TP125" s="294">
        <v>-25993.96</v>
      </c>
      <c r="TQ125" s="294">
        <v>-13875.52</v>
      </c>
      <c r="TR125" s="294">
        <v>-35794.53</v>
      </c>
      <c r="TS125" s="294">
        <v>-1424</v>
      </c>
      <c r="TT125" s="294"/>
      <c r="TU125" s="294">
        <v>0</v>
      </c>
      <c r="TV125" s="294"/>
      <c r="TW125" s="294">
        <v>-7851.17</v>
      </c>
      <c r="TX125" s="294"/>
      <c r="TY125" s="294">
        <v>-67157.509999999995</v>
      </c>
      <c r="TZ125" s="294">
        <v>-27756.74</v>
      </c>
      <c r="UA125" s="294">
        <v>-68398.710000000006</v>
      </c>
      <c r="UB125" s="294">
        <v>-1130529.79</v>
      </c>
      <c r="UC125" s="294">
        <v>0</v>
      </c>
      <c r="UD125" s="294">
        <v>-15863.34</v>
      </c>
      <c r="UE125" s="294">
        <v>-1111765.68</v>
      </c>
      <c r="UF125" s="294"/>
      <c r="UG125" s="294"/>
      <c r="UH125" s="294"/>
      <c r="UI125" s="294"/>
      <c r="UJ125" s="294">
        <v>-238.61</v>
      </c>
      <c r="UK125" s="294">
        <v>-8900.18</v>
      </c>
      <c r="UL125" s="294">
        <v>-7166.36</v>
      </c>
      <c r="UM125" s="294">
        <v>-31410.3</v>
      </c>
      <c r="UN125" s="294">
        <v>-1555.75</v>
      </c>
      <c r="UO125" s="294">
        <v>-5768.86</v>
      </c>
      <c r="UP125" s="294">
        <v>-1005605.08</v>
      </c>
      <c r="UQ125" s="294">
        <v>-4541.72</v>
      </c>
      <c r="UR125" s="294"/>
      <c r="US125" s="294">
        <v>-81619.44</v>
      </c>
      <c r="UT125" s="294"/>
      <c r="UU125" s="294">
        <v>-160918.64000000001</v>
      </c>
      <c r="UV125" s="294">
        <v>-6227.63</v>
      </c>
      <c r="UW125" s="294">
        <v>0</v>
      </c>
      <c r="UX125" s="294"/>
      <c r="UY125" s="294">
        <v>-8418.25</v>
      </c>
      <c r="UZ125" s="294"/>
      <c r="VA125" s="294">
        <v>-20223.63</v>
      </c>
      <c r="VB125" s="294"/>
      <c r="VC125" s="294">
        <v>-17437.39</v>
      </c>
      <c r="VD125" s="294"/>
      <c r="VE125" s="294">
        <v>-285775.42</v>
      </c>
      <c r="VF125" s="294"/>
      <c r="VG125" s="294"/>
      <c r="VH125" s="294">
        <v>-7910.28</v>
      </c>
      <c r="VI125" s="294"/>
      <c r="VJ125" s="294"/>
      <c r="VK125" s="294"/>
      <c r="VL125" s="294">
        <v>-9194.26</v>
      </c>
      <c r="VM125" s="294">
        <v>-13228.1</v>
      </c>
      <c r="VN125" s="294">
        <v>-9817.51</v>
      </c>
      <c r="VO125" s="294"/>
      <c r="VP125" s="294"/>
      <c r="VQ125" s="294"/>
      <c r="VR125" s="294"/>
      <c r="VS125" s="294"/>
      <c r="VT125" s="294"/>
      <c r="VU125" s="294">
        <v>-184</v>
      </c>
      <c r="VV125" s="294"/>
      <c r="VW125" s="294">
        <v>0</v>
      </c>
      <c r="VX125" s="294"/>
      <c r="VY125" s="294"/>
      <c r="VZ125" s="294"/>
      <c r="WA125" s="294"/>
      <c r="WB125" s="294">
        <v>-46176.85</v>
      </c>
      <c r="WC125" s="294"/>
      <c r="WD125" s="294"/>
      <c r="WE125" s="294"/>
      <c r="WF125" s="294"/>
      <c r="WG125" s="294"/>
      <c r="WH125" s="294">
        <v>-6827.37</v>
      </c>
      <c r="WI125" s="294">
        <v>-37523.99</v>
      </c>
      <c r="WJ125" s="294"/>
      <c r="WK125" s="294">
        <v>-2859.79</v>
      </c>
      <c r="WL125" s="294"/>
      <c r="WM125" s="294">
        <v>-38759.78</v>
      </c>
      <c r="WN125" s="294">
        <v>-90784.28</v>
      </c>
      <c r="WO125" s="294"/>
      <c r="WP125" s="294"/>
      <c r="WQ125" s="294"/>
      <c r="WR125" s="294"/>
      <c r="WS125" s="294"/>
      <c r="WT125" s="294"/>
      <c r="WU125" s="294">
        <v>-226309.87</v>
      </c>
      <c r="WV125" s="294"/>
      <c r="WW125" s="294"/>
      <c r="WX125" s="294"/>
      <c r="WY125" s="294"/>
      <c r="WZ125" s="294"/>
      <c r="XA125" s="294"/>
      <c r="XB125" s="294">
        <v>-64188.65</v>
      </c>
      <c r="XC125" s="294">
        <v>0</v>
      </c>
      <c r="XD125" s="294"/>
      <c r="XE125" s="294"/>
      <c r="XF125" s="294"/>
      <c r="XG125" s="294"/>
      <c r="XH125" s="294"/>
      <c r="XI125" s="294">
        <v>-6543.23</v>
      </c>
      <c r="XJ125" s="294"/>
      <c r="XK125" s="294">
        <v>0</v>
      </c>
      <c r="XL125" s="294">
        <v>0</v>
      </c>
      <c r="XM125" s="294">
        <v>-275.83999999999997</v>
      </c>
      <c r="XN125" s="294"/>
      <c r="XO125" s="294">
        <v>-3294.41</v>
      </c>
      <c r="XP125" s="294">
        <v>-41832.15</v>
      </c>
      <c r="XQ125" s="294">
        <v>-4118.37</v>
      </c>
      <c r="XR125" s="294">
        <v>0</v>
      </c>
      <c r="XS125" s="294">
        <v>0</v>
      </c>
      <c r="XT125" s="294">
        <v>0</v>
      </c>
      <c r="XU125" s="294"/>
      <c r="XV125" s="294">
        <v>-1165.92</v>
      </c>
      <c r="XW125" s="294">
        <v>-1732.76</v>
      </c>
      <c r="XX125" s="294"/>
      <c r="XY125" s="294">
        <v>-3721.06</v>
      </c>
      <c r="XZ125" s="294"/>
      <c r="YA125" s="294"/>
      <c r="YB125" s="294"/>
      <c r="YC125" s="294"/>
      <c r="YD125" s="294"/>
      <c r="YE125" s="294">
        <v>-92268.65</v>
      </c>
      <c r="YF125" s="294"/>
      <c r="YG125" s="294"/>
      <c r="YH125" s="294"/>
      <c r="YI125" s="294"/>
      <c r="YJ125" s="294"/>
      <c r="YK125" s="294"/>
      <c r="YL125" s="294"/>
      <c r="YM125" s="294"/>
      <c r="YN125" s="294"/>
      <c r="YO125" s="294"/>
      <c r="YP125" s="294"/>
      <c r="YQ125" s="294"/>
      <c r="YR125" s="294"/>
      <c r="YS125" s="294"/>
      <c r="YT125" s="294"/>
      <c r="YU125" s="294"/>
      <c r="YV125" s="294">
        <v>0</v>
      </c>
      <c r="YW125" s="294">
        <v>-12286.57</v>
      </c>
      <c r="YX125" s="294"/>
      <c r="YY125" s="294"/>
      <c r="YZ125" s="294">
        <v>-220954.9</v>
      </c>
      <c r="ZA125" s="294"/>
      <c r="ZB125" s="294">
        <v>-941.58</v>
      </c>
      <c r="ZC125" s="294"/>
      <c r="ZD125" s="294"/>
      <c r="ZE125" s="294">
        <v>-1793.02</v>
      </c>
      <c r="ZF125" s="294"/>
      <c r="ZG125" s="294"/>
      <c r="ZH125" s="294"/>
      <c r="ZI125" s="294"/>
      <c r="ZJ125" s="294"/>
      <c r="ZK125" s="294"/>
      <c r="ZL125" s="294">
        <v>-302168.57</v>
      </c>
      <c r="ZM125" s="294"/>
      <c r="ZN125" s="294"/>
      <c r="ZO125" s="294">
        <v>0</v>
      </c>
      <c r="ZP125" s="294">
        <v>0</v>
      </c>
      <c r="ZQ125" s="294"/>
      <c r="ZR125" s="294"/>
      <c r="ZS125" s="294"/>
      <c r="ZT125" s="294">
        <v>-44549.07</v>
      </c>
      <c r="ZU125" s="294">
        <v>-4718.59</v>
      </c>
      <c r="ZV125" s="294"/>
      <c r="ZW125" s="294">
        <v>0</v>
      </c>
      <c r="ZX125" s="294"/>
      <c r="ZY125" s="294">
        <v>-5260.04</v>
      </c>
      <c r="ZZ125" s="294"/>
      <c r="AAA125" s="294"/>
      <c r="AAB125" s="294"/>
      <c r="AAC125" s="294"/>
      <c r="AAD125" s="294"/>
      <c r="AAE125" s="294"/>
      <c r="AAF125" s="294"/>
      <c r="AAG125" s="294"/>
      <c r="AAH125" s="294">
        <v>0</v>
      </c>
      <c r="AAI125" s="294"/>
      <c r="AAJ125" s="294"/>
      <c r="AAK125" s="294"/>
      <c r="AAL125" s="294"/>
      <c r="AAM125" s="294"/>
      <c r="AAN125" s="294"/>
      <c r="AAO125" s="294"/>
      <c r="AAP125" s="294"/>
      <c r="AAQ125" s="294"/>
      <c r="AAR125" s="294"/>
      <c r="AAS125" s="294"/>
      <c r="AAT125" s="294"/>
      <c r="AAU125" s="294">
        <v>-126903.74</v>
      </c>
      <c r="AAV125" s="294"/>
      <c r="AAW125" s="294"/>
      <c r="AAX125" s="294">
        <v>0</v>
      </c>
      <c r="AAY125" s="294"/>
      <c r="AAZ125" s="294">
        <v>-14441.25</v>
      </c>
      <c r="ABA125" s="294">
        <v>-53321</v>
      </c>
      <c r="ABB125" s="294">
        <v>-8172.56</v>
      </c>
      <c r="ABC125" s="294">
        <v>0</v>
      </c>
      <c r="ABD125" s="294"/>
      <c r="ABE125" s="294">
        <v>-19875</v>
      </c>
      <c r="ABF125" s="294"/>
      <c r="ABG125" s="294"/>
      <c r="ABH125" s="294"/>
      <c r="ABI125" s="294"/>
      <c r="ABJ125" s="294"/>
      <c r="ABK125" s="294">
        <v>0</v>
      </c>
      <c r="ABL125" s="294"/>
      <c r="ABM125" s="294"/>
      <c r="ABN125" s="294"/>
      <c r="ABO125" s="294">
        <v>-390855.63</v>
      </c>
      <c r="ABP125" s="294"/>
      <c r="ABQ125" s="294"/>
      <c r="ABR125" s="294">
        <v>-15539.47</v>
      </c>
      <c r="ABS125" s="294">
        <v>-46718.43</v>
      </c>
      <c r="ABT125" s="294">
        <v>0</v>
      </c>
      <c r="ABU125" s="294"/>
      <c r="ABV125" s="294"/>
      <c r="ABW125" s="294"/>
      <c r="ABX125" s="294"/>
      <c r="ABY125" s="294">
        <v>-7573.43</v>
      </c>
      <c r="ABZ125" s="294">
        <v>0</v>
      </c>
      <c r="ACA125" s="294"/>
      <c r="ACB125" s="294">
        <v>0</v>
      </c>
      <c r="ACC125" s="294">
        <v>0</v>
      </c>
      <c r="ACD125" s="294"/>
      <c r="ACE125" s="294"/>
      <c r="ACF125" s="294">
        <v>-1592.42</v>
      </c>
      <c r="ACG125" s="294"/>
      <c r="ACH125" s="294">
        <v>-8439.5</v>
      </c>
      <c r="ACI125" s="294"/>
      <c r="ACJ125" s="294"/>
      <c r="ACK125" s="294"/>
      <c r="ACL125" s="294"/>
      <c r="ACM125" s="294"/>
      <c r="ACN125" s="294"/>
      <c r="ACO125" s="294"/>
      <c r="ACP125" s="294">
        <v>-19373.689999999999</v>
      </c>
      <c r="ACQ125" s="294"/>
      <c r="ACR125" s="294"/>
      <c r="ACS125" s="294">
        <v>-20345.009999999998</v>
      </c>
      <c r="ACT125" s="294"/>
      <c r="ACU125" s="294"/>
      <c r="ACV125" s="294"/>
      <c r="ACW125" s="294"/>
      <c r="ACX125" s="294"/>
      <c r="ACY125" s="294"/>
      <c r="ACZ125" s="294"/>
      <c r="ADA125" s="294"/>
      <c r="ADB125" s="294"/>
      <c r="ADC125" s="294"/>
      <c r="ADD125" s="294"/>
      <c r="ADE125" s="294"/>
      <c r="ADF125" s="294"/>
      <c r="ADG125" s="294"/>
      <c r="ADH125" s="294"/>
      <c r="ADI125" s="294"/>
      <c r="ADJ125" s="294"/>
      <c r="ADK125" s="294"/>
      <c r="ADL125" s="294">
        <v>-137658.85999999999</v>
      </c>
      <c r="ADM125" s="294"/>
      <c r="ADN125" s="294"/>
      <c r="ADO125" s="294"/>
      <c r="ADP125" s="294">
        <v>-106559.66</v>
      </c>
      <c r="ADQ125" s="294">
        <v>-415110.31</v>
      </c>
      <c r="ADR125" s="294"/>
      <c r="ADS125" s="294">
        <v>-358134.27</v>
      </c>
      <c r="ADT125" s="294">
        <v>0</v>
      </c>
      <c r="ADU125" s="294"/>
      <c r="ADV125" s="294"/>
      <c r="ADW125" s="294"/>
      <c r="ADX125" s="294"/>
      <c r="ADY125" s="294"/>
      <c r="ADZ125" s="294"/>
      <c r="AEA125" s="294">
        <v>0</v>
      </c>
      <c r="AEB125" s="294">
        <v>-9438.2000000000007</v>
      </c>
      <c r="AEC125" s="294"/>
      <c r="AED125" s="294"/>
      <c r="AEE125" s="294"/>
      <c r="AEF125" s="294"/>
      <c r="AEG125" s="294"/>
      <c r="AEH125" s="294"/>
      <c r="AEI125" s="294"/>
      <c r="AEJ125" s="294"/>
      <c r="AEK125" s="294"/>
      <c r="AEL125" s="294">
        <v>-9375.57</v>
      </c>
      <c r="AEM125" s="294">
        <v>-48049.51</v>
      </c>
      <c r="AEN125" s="294"/>
      <c r="AEO125" s="294"/>
      <c r="AEP125" s="294"/>
      <c r="AEQ125" s="294"/>
      <c r="AER125" s="294"/>
      <c r="AES125" s="294">
        <v>0</v>
      </c>
      <c r="AET125" s="294"/>
      <c r="AEU125" s="294">
        <v>0</v>
      </c>
      <c r="AEV125" s="294">
        <v>-14042.35</v>
      </c>
      <c r="AEW125" s="294"/>
      <c r="AEX125" s="294">
        <v>-360631.28</v>
      </c>
      <c r="AEY125" s="294"/>
      <c r="AEZ125" s="294">
        <v>0</v>
      </c>
      <c r="AFA125" s="294"/>
      <c r="AFB125" s="294"/>
      <c r="AFC125" s="294"/>
      <c r="AFD125" s="294"/>
      <c r="AFE125" s="294"/>
      <c r="AFF125" s="294">
        <v>-209174.6</v>
      </c>
      <c r="AFG125" s="294">
        <v>-53164.61</v>
      </c>
      <c r="AFH125" s="294"/>
      <c r="AFI125" s="294">
        <v>-57966.82</v>
      </c>
      <c r="AFJ125" s="294">
        <v>-12743.38</v>
      </c>
      <c r="AFK125" s="294"/>
      <c r="AFL125" s="294"/>
      <c r="AFM125" s="294"/>
      <c r="AFN125" s="294">
        <v>0</v>
      </c>
      <c r="AFO125" s="294"/>
      <c r="AFP125" s="294"/>
      <c r="AFQ125" s="294"/>
      <c r="AFR125" s="294"/>
      <c r="AFS125" s="294">
        <v>-9630.6</v>
      </c>
      <c r="AFT125" s="294">
        <v>-10808.75</v>
      </c>
      <c r="AFU125" s="294"/>
      <c r="AFV125" s="294"/>
      <c r="AFW125" s="294"/>
      <c r="AFX125" s="294"/>
      <c r="AFY125" s="294"/>
      <c r="AFZ125" s="294"/>
      <c r="AGA125" s="294"/>
      <c r="AGB125" s="294"/>
      <c r="AGC125" s="294"/>
      <c r="AGD125" s="294"/>
      <c r="AGE125" s="294"/>
      <c r="AGF125" s="294">
        <v>-5709.79</v>
      </c>
      <c r="AGG125" s="294"/>
      <c r="AGH125" s="294"/>
      <c r="AGI125" s="294"/>
      <c r="AGJ125" s="294"/>
      <c r="AGK125" s="294"/>
      <c r="AGL125" s="294"/>
      <c r="AGM125" s="294"/>
      <c r="AGN125" s="294">
        <v>-138356.26</v>
      </c>
      <c r="AGO125" s="294"/>
      <c r="AGP125" s="294"/>
      <c r="AGQ125" s="294"/>
      <c r="AGR125" s="294"/>
      <c r="AGS125" s="294"/>
      <c r="AGT125" s="294"/>
      <c r="AGU125" s="294">
        <v>-615507.74</v>
      </c>
      <c r="AGV125" s="294">
        <v>-25387.83</v>
      </c>
      <c r="AGW125" s="294"/>
      <c r="AGX125" s="294"/>
      <c r="AGY125" s="294">
        <v>0</v>
      </c>
      <c r="AGZ125" s="294"/>
      <c r="AHA125" s="294"/>
      <c r="AHB125" s="294"/>
      <c r="AHC125" s="294"/>
      <c r="AHD125" s="294"/>
      <c r="AHE125" s="294"/>
      <c r="AHF125" s="294"/>
      <c r="AHG125" s="294"/>
      <c r="AHH125" s="294"/>
      <c r="AHI125" s="294"/>
      <c r="AHJ125" s="294">
        <v>-2026.76</v>
      </c>
      <c r="AHK125" s="294">
        <v>-6192.28</v>
      </c>
      <c r="AHL125" s="294"/>
      <c r="AHM125" s="294"/>
      <c r="AHN125" s="294"/>
      <c r="AHO125" s="294"/>
      <c r="AHP125" s="294"/>
      <c r="AHQ125" s="294">
        <v>-3003.97</v>
      </c>
      <c r="AHR125" s="331"/>
      <c r="AHS125" s="294">
        <f t="shared" ref="AHS125:AHS130" si="53">SUM(D125:AHR125)</f>
        <v>-195378257.08999988</v>
      </c>
      <c r="AHT125" s="269" t="b">
        <f t="shared" ref="AHT125:AHT148" si="54">AHV125=B125</f>
        <v>1</v>
      </c>
      <c r="AHU125" s="269" t="s">
        <v>6278</v>
      </c>
      <c r="AHV125" s="269" t="s">
        <v>6192</v>
      </c>
      <c r="AHW125" s="269" t="s">
        <v>6193</v>
      </c>
    </row>
    <row r="126" spans="1:907" ht="24.6" x14ac:dyDescent="0.7">
      <c r="A126" s="268" t="s">
        <v>6278</v>
      </c>
      <c r="B126" s="268" t="s">
        <v>6194</v>
      </c>
      <c r="C126" s="269" t="s">
        <v>6195</v>
      </c>
      <c r="D126" s="294"/>
      <c r="E126" s="294"/>
      <c r="F126" s="294"/>
      <c r="G126" s="294"/>
      <c r="H126" s="294">
        <v>-2000</v>
      </c>
      <c r="I126" s="294">
        <v>-1695.96</v>
      </c>
      <c r="J126" s="294">
        <v>-193462.66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>
        <v>0</v>
      </c>
      <c r="AC126" s="294"/>
      <c r="AD126" s="294">
        <v>0</v>
      </c>
      <c r="AE126" s="294">
        <v>-403.79</v>
      </c>
      <c r="AF126" s="294">
        <v>0</v>
      </c>
      <c r="AG126" s="294">
        <v>0</v>
      </c>
      <c r="AH126" s="294">
        <v>-150</v>
      </c>
      <c r="AI126" s="294"/>
      <c r="AJ126" s="294">
        <v>-587.19000000000005</v>
      </c>
      <c r="AK126" s="294"/>
      <c r="AL126" s="294"/>
      <c r="AM126" s="294">
        <v>-5907.27</v>
      </c>
      <c r="AN126" s="294"/>
      <c r="AO126" s="294"/>
      <c r="AP126" s="294"/>
      <c r="AQ126" s="294">
        <v>-2915.69</v>
      </c>
      <c r="AR126" s="294"/>
      <c r="AS126" s="294"/>
      <c r="AT126" s="294"/>
      <c r="AU126" s="294"/>
      <c r="AV126" s="294">
        <v>-182.73</v>
      </c>
      <c r="AW126" s="294"/>
      <c r="AX126" s="294">
        <v>-391</v>
      </c>
      <c r="AY126" s="294"/>
      <c r="AZ126" s="294">
        <v>-704.98</v>
      </c>
      <c r="BA126" s="294"/>
      <c r="BB126" s="294">
        <v>0</v>
      </c>
      <c r="BC126" s="294"/>
      <c r="BD126" s="294"/>
      <c r="BE126" s="294"/>
      <c r="BF126" s="294"/>
      <c r="BG126" s="294"/>
      <c r="BH126" s="294">
        <v>-4021.54</v>
      </c>
      <c r="BI126" s="294"/>
      <c r="BJ126" s="294"/>
      <c r="BK126" s="294">
        <v>-17.73</v>
      </c>
      <c r="BL126" s="294"/>
      <c r="BM126" s="294"/>
      <c r="BN126" s="294"/>
      <c r="BO126" s="294">
        <v>0</v>
      </c>
      <c r="BP126" s="294">
        <v>-1200</v>
      </c>
      <c r="BQ126" s="294"/>
      <c r="BR126" s="294"/>
      <c r="BS126" s="294">
        <v>-3000</v>
      </c>
      <c r="BT126" s="294"/>
      <c r="BU126" s="294">
        <v>0</v>
      </c>
      <c r="BV126" s="294"/>
      <c r="BW126" s="294"/>
      <c r="BX126" s="294"/>
      <c r="BY126" s="294">
        <v>0</v>
      </c>
      <c r="BZ126" s="294">
        <v>293000</v>
      </c>
      <c r="CA126" s="294">
        <v>0</v>
      </c>
      <c r="CB126" s="294">
        <v>-3681.98</v>
      </c>
      <c r="CC126" s="294">
        <v>-3023.29</v>
      </c>
      <c r="CD126" s="294"/>
      <c r="CE126" s="294">
        <v>-2403.34</v>
      </c>
      <c r="CF126" s="294">
        <v>-2662.13</v>
      </c>
      <c r="CG126" s="294"/>
      <c r="CH126" s="294"/>
      <c r="CI126" s="294"/>
      <c r="CJ126" s="294"/>
      <c r="CK126" s="294"/>
      <c r="CL126" s="294"/>
      <c r="CM126" s="294"/>
      <c r="CN126" s="294"/>
      <c r="CO126" s="294">
        <v>0</v>
      </c>
      <c r="CP126" s="294"/>
      <c r="CQ126" s="294"/>
      <c r="CR126" s="294"/>
      <c r="CS126" s="294">
        <v>0</v>
      </c>
      <c r="CT126" s="294"/>
      <c r="CU126" s="294"/>
      <c r="CV126" s="294">
        <v>-192.57</v>
      </c>
      <c r="CW126" s="294">
        <v>-164.91</v>
      </c>
      <c r="CX126" s="294">
        <v>0</v>
      </c>
      <c r="CY126" s="294"/>
      <c r="CZ126" s="294">
        <v>0</v>
      </c>
      <c r="DA126" s="294"/>
      <c r="DB126" s="294"/>
      <c r="DC126" s="294">
        <v>-32659.98</v>
      </c>
      <c r="DD126" s="294">
        <v>-2339.9</v>
      </c>
      <c r="DE126" s="294"/>
      <c r="DF126" s="294">
        <v>-74238.5</v>
      </c>
      <c r="DG126" s="294">
        <v>-606968</v>
      </c>
      <c r="DH126" s="294">
        <v>-18432.150000000001</v>
      </c>
      <c r="DI126" s="294">
        <v>-562855</v>
      </c>
      <c r="DJ126" s="294">
        <v>-501361</v>
      </c>
      <c r="DK126" s="294"/>
      <c r="DL126" s="294">
        <v>0</v>
      </c>
      <c r="DM126" s="294"/>
      <c r="DN126" s="294"/>
      <c r="DO126" s="294">
        <v>-1000</v>
      </c>
      <c r="DP126" s="294"/>
      <c r="DQ126" s="294"/>
      <c r="DR126" s="294"/>
      <c r="DS126" s="294"/>
      <c r="DT126" s="294"/>
      <c r="DU126" s="294">
        <v>0</v>
      </c>
      <c r="DV126" s="294">
        <v>-212093</v>
      </c>
      <c r="DW126" s="294">
        <v>-472.43</v>
      </c>
      <c r="DX126" s="294"/>
      <c r="DY126" s="294"/>
      <c r="DZ126" s="294">
        <v>-717.55</v>
      </c>
      <c r="EA126" s="294">
        <v>-59.95</v>
      </c>
      <c r="EB126" s="294">
        <v>-650.41999999999996</v>
      </c>
      <c r="EC126" s="294">
        <v>0</v>
      </c>
      <c r="ED126" s="294"/>
      <c r="EE126" s="294"/>
      <c r="EF126" s="294"/>
      <c r="EG126" s="294">
        <v>-3818.58</v>
      </c>
      <c r="EH126" s="294"/>
      <c r="EI126" s="294">
        <v>0</v>
      </c>
      <c r="EJ126" s="294">
        <v>-44784.58</v>
      </c>
      <c r="EK126" s="294">
        <v>-3006.57</v>
      </c>
      <c r="EL126" s="294">
        <v>-1536.85</v>
      </c>
      <c r="EM126" s="294">
        <v>-203058.43</v>
      </c>
      <c r="EN126" s="294"/>
      <c r="EO126" s="294"/>
      <c r="EP126" s="294"/>
      <c r="EQ126" s="294">
        <v>-26543.18</v>
      </c>
      <c r="ER126" s="294"/>
      <c r="ES126" s="294">
        <v>-8855.35</v>
      </c>
      <c r="ET126" s="294"/>
      <c r="EU126" s="294">
        <v>-55.21</v>
      </c>
      <c r="EV126" s="294"/>
      <c r="EW126" s="294"/>
      <c r="EX126" s="294">
        <v>-2113.67</v>
      </c>
      <c r="EY126" s="294"/>
      <c r="EZ126" s="294">
        <v>0</v>
      </c>
      <c r="FA126" s="294"/>
      <c r="FB126" s="294">
        <v>-517.33000000000004</v>
      </c>
      <c r="FC126" s="294"/>
      <c r="FD126" s="294"/>
      <c r="FE126" s="294"/>
      <c r="FF126" s="294">
        <v>-335.58</v>
      </c>
      <c r="FG126" s="294">
        <v>-8.0399999999999991</v>
      </c>
      <c r="FH126" s="294"/>
      <c r="FI126" s="294"/>
      <c r="FJ126" s="294"/>
      <c r="FK126" s="294"/>
      <c r="FL126" s="294"/>
      <c r="FM126" s="294"/>
      <c r="FN126" s="294"/>
      <c r="FO126" s="294"/>
      <c r="FP126" s="294"/>
      <c r="FQ126" s="294"/>
      <c r="FR126" s="294"/>
      <c r="FS126" s="294">
        <v>-2328.73</v>
      </c>
      <c r="FT126" s="294"/>
      <c r="FU126" s="294"/>
      <c r="FV126" s="294"/>
      <c r="FW126" s="294"/>
      <c r="FX126" s="294">
        <v>-9457.48</v>
      </c>
      <c r="FY126" s="294">
        <v>-17640.22</v>
      </c>
      <c r="FZ126" s="294"/>
      <c r="GA126" s="294">
        <v>-9249.65</v>
      </c>
      <c r="GB126" s="294"/>
      <c r="GC126" s="294">
        <v>-4111.83</v>
      </c>
      <c r="GD126" s="294">
        <v>-115.33</v>
      </c>
      <c r="GE126" s="294"/>
      <c r="GF126" s="294">
        <v>-92.36</v>
      </c>
      <c r="GG126" s="294"/>
      <c r="GH126" s="294">
        <v>-107500</v>
      </c>
      <c r="GI126" s="294"/>
      <c r="GJ126" s="294">
        <v>0</v>
      </c>
      <c r="GK126" s="294"/>
      <c r="GL126" s="294">
        <v>-166898</v>
      </c>
      <c r="GM126" s="294"/>
      <c r="GN126" s="294"/>
      <c r="GO126" s="294"/>
      <c r="GP126" s="294"/>
      <c r="GQ126" s="294"/>
      <c r="GR126" s="294">
        <v>0</v>
      </c>
      <c r="GS126" s="294"/>
      <c r="GT126" s="294">
        <v>-18.23</v>
      </c>
      <c r="GU126" s="294">
        <v>0</v>
      </c>
      <c r="GV126" s="294"/>
      <c r="GW126" s="294"/>
      <c r="GX126" s="294"/>
      <c r="GY126" s="294"/>
      <c r="GZ126" s="294"/>
      <c r="HA126" s="294"/>
      <c r="HB126" s="294"/>
      <c r="HC126" s="294"/>
      <c r="HD126" s="294"/>
      <c r="HE126" s="294"/>
      <c r="HF126" s="294"/>
      <c r="HG126" s="294"/>
      <c r="HH126" s="294"/>
      <c r="HI126" s="294"/>
      <c r="HJ126" s="294"/>
      <c r="HK126" s="294"/>
      <c r="HL126" s="294"/>
      <c r="HM126" s="294"/>
      <c r="HN126" s="294">
        <v>-10000</v>
      </c>
      <c r="HO126" s="294">
        <v>-216.28</v>
      </c>
      <c r="HP126" s="294">
        <v>-157.16</v>
      </c>
      <c r="HQ126" s="294"/>
      <c r="HR126" s="294"/>
      <c r="HS126" s="294"/>
      <c r="HT126" s="294">
        <v>-252000</v>
      </c>
      <c r="HU126" s="294"/>
      <c r="HV126" s="294">
        <v>-240.54</v>
      </c>
      <c r="HW126" s="294"/>
      <c r="HX126" s="294">
        <v>-145123.70000000001</v>
      </c>
      <c r="HY126" s="294">
        <v>-2481.7199999999998</v>
      </c>
      <c r="HZ126" s="294">
        <v>-61.8</v>
      </c>
      <c r="IA126" s="294">
        <v>-2625.6</v>
      </c>
      <c r="IB126" s="294">
        <v>-233.46</v>
      </c>
      <c r="IC126" s="294">
        <v>-848.73</v>
      </c>
      <c r="ID126" s="294"/>
      <c r="IE126" s="294">
        <v>-52.37</v>
      </c>
      <c r="IF126" s="294">
        <v>-20525.72</v>
      </c>
      <c r="IG126" s="294">
        <v>-302.76</v>
      </c>
      <c r="IH126" s="294"/>
      <c r="II126" s="294"/>
      <c r="IJ126" s="294">
        <v>-140.91</v>
      </c>
      <c r="IK126" s="294"/>
      <c r="IL126" s="294"/>
      <c r="IM126" s="294"/>
      <c r="IN126" s="294"/>
      <c r="IO126" s="294"/>
      <c r="IP126" s="294"/>
      <c r="IQ126" s="294"/>
      <c r="IR126" s="294"/>
      <c r="IS126" s="294"/>
      <c r="IT126" s="294"/>
      <c r="IU126" s="294"/>
      <c r="IV126" s="294"/>
      <c r="IW126" s="294">
        <v>-306.55</v>
      </c>
      <c r="IX126" s="294"/>
      <c r="IY126" s="294"/>
      <c r="IZ126" s="294">
        <v>0</v>
      </c>
      <c r="JA126" s="294">
        <v>-14</v>
      </c>
      <c r="JB126" s="294"/>
      <c r="JC126" s="294"/>
      <c r="JD126" s="294"/>
      <c r="JE126" s="294">
        <v>0</v>
      </c>
      <c r="JF126" s="294">
        <v>-1757881.18</v>
      </c>
      <c r="JG126" s="294">
        <v>-2918.04</v>
      </c>
      <c r="JH126" s="294"/>
      <c r="JI126" s="294">
        <v>-349.77</v>
      </c>
      <c r="JJ126" s="294"/>
      <c r="JK126" s="294"/>
      <c r="JL126" s="294"/>
      <c r="JM126" s="294">
        <v>-9234.14</v>
      </c>
      <c r="JN126" s="294"/>
      <c r="JO126" s="294">
        <v>-75.59</v>
      </c>
      <c r="JP126" s="294"/>
      <c r="JQ126" s="294">
        <v>0</v>
      </c>
      <c r="JR126" s="294"/>
      <c r="JS126" s="294"/>
      <c r="JT126" s="294"/>
      <c r="JU126" s="294"/>
      <c r="JV126" s="294"/>
      <c r="JW126" s="294"/>
      <c r="JX126" s="294">
        <v>-958.51</v>
      </c>
      <c r="JY126" s="294">
        <v>-6834.3</v>
      </c>
      <c r="JZ126" s="294">
        <v>0</v>
      </c>
      <c r="KA126" s="294">
        <v>0</v>
      </c>
      <c r="KB126" s="294"/>
      <c r="KC126" s="294"/>
      <c r="KD126" s="294"/>
      <c r="KE126" s="294"/>
      <c r="KF126" s="294"/>
      <c r="KG126" s="294"/>
      <c r="KH126" s="294"/>
      <c r="KI126" s="294">
        <v>-8014.93</v>
      </c>
      <c r="KJ126" s="294"/>
      <c r="KK126" s="294">
        <v>-736</v>
      </c>
      <c r="KL126" s="294"/>
      <c r="KM126" s="294">
        <v>-16311.77</v>
      </c>
      <c r="KN126" s="294"/>
      <c r="KO126" s="294"/>
      <c r="KP126" s="294"/>
      <c r="KQ126" s="294"/>
      <c r="KR126" s="294"/>
      <c r="KS126" s="294"/>
      <c r="KT126" s="294">
        <v>-118921.94</v>
      </c>
      <c r="KU126" s="294"/>
      <c r="KV126" s="294">
        <v>-946.78</v>
      </c>
      <c r="KW126" s="294"/>
      <c r="KX126" s="294">
        <v>0</v>
      </c>
      <c r="KY126" s="294"/>
      <c r="KZ126" s="294"/>
      <c r="LA126" s="294"/>
      <c r="LB126" s="294"/>
      <c r="LC126" s="294"/>
      <c r="LD126" s="294"/>
      <c r="LE126" s="294">
        <v>-2096.04</v>
      </c>
      <c r="LF126" s="294">
        <v>-17327.27</v>
      </c>
      <c r="LG126" s="294">
        <v>-16317941.92</v>
      </c>
      <c r="LH126" s="294"/>
      <c r="LI126" s="294"/>
      <c r="LJ126" s="294"/>
      <c r="LK126" s="294">
        <v>0</v>
      </c>
      <c r="LL126" s="294"/>
      <c r="LM126" s="294">
        <v>8668.85</v>
      </c>
      <c r="LN126" s="294"/>
      <c r="LO126" s="294"/>
      <c r="LP126" s="294"/>
      <c r="LQ126" s="294"/>
      <c r="LR126" s="294"/>
      <c r="LS126" s="294"/>
      <c r="LT126" s="294"/>
      <c r="LU126" s="294"/>
      <c r="LV126" s="294"/>
      <c r="LW126" s="294"/>
      <c r="LX126" s="294"/>
      <c r="LY126" s="294">
        <v>0</v>
      </c>
      <c r="LZ126" s="294"/>
      <c r="MA126" s="294">
        <v>0</v>
      </c>
      <c r="MB126" s="294"/>
      <c r="MC126" s="294">
        <v>-284.72000000000003</v>
      </c>
      <c r="MD126" s="294">
        <v>-51.02</v>
      </c>
      <c r="ME126" s="294"/>
      <c r="MF126" s="294">
        <v>-176.04</v>
      </c>
      <c r="MG126" s="294"/>
      <c r="MH126" s="294"/>
      <c r="MI126" s="294"/>
      <c r="MJ126" s="294"/>
      <c r="MK126" s="294"/>
      <c r="ML126" s="294"/>
      <c r="MM126" s="294"/>
      <c r="MN126" s="294">
        <v>0</v>
      </c>
      <c r="MO126" s="294"/>
      <c r="MP126" s="294">
        <v>-340.09</v>
      </c>
      <c r="MQ126" s="294">
        <v>-1318.54</v>
      </c>
      <c r="MR126" s="294"/>
      <c r="MS126" s="294"/>
      <c r="MT126" s="294"/>
      <c r="MU126" s="294">
        <v>-62.91</v>
      </c>
      <c r="MV126" s="294"/>
      <c r="MW126" s="294"/>
      <c r="MX126" s="294"/>
      <c r="MY126" s="294"/>
      <c r="MZ126" s="294"/>
      <c r="NA126" s="294">
        <v>-14673.09</v>
      </c>
      <c r="NB126" s="294"/>
      <c r="NC126" s="294"/>
      <c r="ND126" s="294"/>
      <c r="NE126" s="294">
        <v>0</v>
      </c>
      <c r="NF126" s="294">
        <v>0</v>
      </c>
      <c r="NG126" s="294"/>
      <c r="NH126" s="294">
        <v>0</v>
      </c>
      <c r="NI126" s="294"/>
      <c r="NJ126" s="294">
        <v>-368.21</v>
      </c>
      <c r="NK126" s="294"/>
      <c r="NL126" s="294">
        <v>0</v>
      </c>
      <c r="NM126" s="294"/>
      <c r="NN126" s="294"/>
      <c r="NO126" s="294"/>
      <c r="NP126" s="294"/>
      <c r="NQ126" s="294"/>
      <c r="NR126" s="294"/>
      <c r="NS126" s="294"/>
      <c r="NT126" s="294"/>
      <c r="NU126" s="294"/>
      <c r="NV126" s="294">
        <v>-10794.36</v>
      </c>
      <c r="NW126" s="294"/>
      <c r="NX126" s="294">
        <v>-9100</v>
      </c>
      <c r="NY126" s="294"/>
      <c r="NZ126" s="294"/>
      <c r="OA126" s="294"/>
      <c r="OB126" s="294"/>
      <c r="OC126" s="294"/>
      <c r="OD126" s="294"/>
      <c r="OE126" s="294">
        <v>0</v>
      </c>
      <c r="OF126" s="294">
        <v>-286.39999999999998</v>
      </c>
      <c r="OG126" s="294">
        <v>-34384.15</v>
      </c>
      <c r="OH126" s="294"/>
      <c r="OI126" s="294"/>
      <c r="OJ126" s="294"/>
      <c r="OK126" s="294"/>
      <c r="OL126" s="294"/>
      <c r="OM126" s="294"/>
      <c r="ON126" s="294"/>
      <c r="OO126" s="294">
        <v>-2316.06</v>
      </c>
      <c r="OP126" s="294"/>
      <c r="OQ126" s="294"/>
      <c r="OR126" s="294"/>
      <c r="OS126" s="294"/>
      <c r="OT126" s="294"/>
      <c r="OU126" s="294"/>
      <c r="OV126" s="294">
        <v>-1500</v>
      </c>
      <c r="OW126" s="294"/>
      <c r="OX126" s="294"/>
      <c r="OY126" s="294">
        <v>-38.130000000000003</v>
      </c>
      <c r="OZ126" s="294">
        <v>-500</v>
      </c>
      <c r="PA126" s="294"/>
      <c r="PB126" s="294"/>
      <c r="PC126" s="294"/>
      <c r="PD126" s="294"/>
      <c r="PE126" s="294"/>
      <c r="PF126" s="294"/>
      <c r="PG126" s="294"/>
      <c r="PH126" s="294"/>
      <c r="PI126" s="294">
        <v>-83630</v>
      </c>
      <c r="PJ126" s="294">
        <v>-7088.51</v>
      </c>
      <c r="PK126" s="294"/>
      <c r="PL126" s="294"/>
      <c r="PM126" s="294"/>
      <c r="PN126" s="294">
        <v>-13.96</v>
      </c>
      <c r="PO126" s="294"/>
      <c r="PP126" s="294"/>
      <c r="PQ126" s="294"/>
      <c r="PR126" s="294"/>
      <c r="PS126" s="294"/>
      <c r="PT126" s="294"/>
      <c r="PU126" s="294"/>
      <c r="PV126" s="294"/>
      <c r="PW126" s="294"/>
      <c r="PX126" s="294"/>
      <c r="PY126" s="294">
        <v>-848.19</v>
      </c>
      <c r="PZ126" s="294"/>
      <c r="QA126" s="294"/>
      <c r="QB126" s="294"/>
      <c r="QC126" s="294"/>
      <c r="QD126" s="294"/>
      <c r="QE126" s="294"/>
      <c r="QF126" s="294"/>
      <c r="QG126" s="294"/>
      <c r="QH126" s="294"/>
      <c r="QI126" s="294">
        <v>-40000</v>
      </c>
      <c r="QJ126" s="294"/>
      <c r="QK126" s="294">
        <v>-122.92</v>
      </c>
      <c r="QL126" s="294">
        <v>-125000</v>
      </c>
      <c r="QM126" s="294"/>
      <c r="QN126" s="294"/>
      <c r="QO126" s="294"/>
      <c r="QP126" s="294"/>
      <c r="QQ126" s="294"/>
      <c r="QR126" s="294"/>
      <c r="QS126" s="294"/>
      <c r="QT126" s="294"/>
      <c r="QU126" s="294"/>
      <c r="QV126" s="294"/>
      <c r="QW126" s="294"/>
      <c r="QX126" s="294"/>
      <c r="QY126" s="294">
        <v>-250</v>
      </c>
      <c r="QZ126" s="294">
        <v>-480</v>
      </c>
      <c r="RA126" s="294"/>
      <c r="RB126" s="294"/>
      <c r="RC126" s="294"/>
      <c r="RD126" s="294">
        <v>0</v>
      </c>
      <c r="RE126" s="294"/>
      <c r="RF126" s="294"/>
      <c r="RG126" s="294"/>
      <c r="RH126" s="294">
        <v>-1386.52</v>
      </c>
      <c r="RI126" s="294"/>
      <c r="RJ126" s="294"/>
      <c r="RK126" s="294"/>
      <c r="RL126" s="294"/>
      <c r="RM126" s="294"/>
      <c r="RN126" s="294">
        <v>-273258.55</v>
      </c>
      <c r="RO126" s="294"/>
      <c r="RP126" s="294">
        <v>0</v>
      </c>
      <c r="RQ126" s="294"/>
      <c r="RR126" s="294">
        <v>-1546.41</v>
      </c>
      <c r="RS126" s="294"/>
      <c r="RT126" s="294">
        <v>0</v>
      </c>
      <c r="RU126" s="294"/>
      <c r="RV126" s="294">
        <v>-11862.31</v>
      </c>
      <c r="RW126" s="294">
        <v>-5764.42</v>
      </c>
      <c r="RX126" s="294"/>
      <c r="RY126" s="294"/>
      <c r="RZ126" s="294"/>
      <c r="SA126" s="294"/>
      <c r="SB126" s="294"/>
      <c r="SC126" s="294"/>
      <c r="SD126" s="294"/>
      <c r="SE126" s="294"/>
      <c r="SF126" s="294"/>
      <c r="SG126" s="294"/>
      <c r="SH126" s="294">
        <v>-24600</v>
      </c>
      <c r="SI126" s="294"/>
      <c r="SJ126" s="294"/>
      <c r="SK126" s="294">
        <v>0</v>
      </c>
      <c r="SL126" s="294"/>
      <c r="SM126" s="294"/>
      <c r="SN126" s="294">
        <v>0</v>
      </c>
      <c r="SO126" s="294">
        <v>-3930.97</v>
      </c>
      <c r="SP126" s="294">
        <v>-492910.35</v>
      </c>
      <c r="SQ126" s="294">
        <v>-11260</v>
      </c>
      <c r="SR126" s="294">
        <v>-200</v>
      </c>
      <c r="SS126" s="294">
        <v>-11090.87</v>
      </c>
      <c r="ST126" s="294">
        <v>-300</v>
      </c>
      <c r="SU126" s="294"/>
      <c r="SV126" s="294"/>
      <c r="SW126" s="294"/>
      <c r="SX126" s="294"/>
      <c r="SY126" s="294"/>
      <c r="SZ126" s="294"/>
      <c r="TA126" s="294"/>
      <c r="TB126" s="294"/>
      <c r="TC126" s="294">
        <v>-79.91</v>
      </c>
      <c r="TD126" s="294"/>
      <c r="TE126" s="294"/>
      <c r="TF126" s="294"/>
      <c r="TG126" s="294">
        <v>0</v>
      </c>
      <c r="TH126" s="294"/>
      <c r="TI126" s="294"/>
      <c r="TJ126" s="294">
        <v>-1056.76</v>
      </c>
      <c r="TK126" s="294"/>
      <c r="TL126" s="294"/>
      <c r="TM126" s="294"/>
      <c r="TN126" s="294"/>
      <c r="TO126" s="294">
        <v>-222.45</v>
      </c>
      <c r="TP126" s="294"/>
      <c r="TQ126" s="294">
        <v>-540.04</v>
      </c>
      <c r="TR126" s="294"/>
      <c r="TS126" s="294"/>
      <c r="TT126" s="294"/>
      <c r="TU126" s="294">
        <v>0</v>
      </c>
      <c r="TV126" s="294"/>
      <c r="TW126" s="294"/>
      <c r="TX126" s="294"/>
      <c r="TY126" s="294"/>
      <c r="TZ126" s="294">
        <v>-606.11</v>
      </c>
      <c r="UA126" s="294"/>
      <c r="UB126" s="294"/>
      <c r="UC126" s="294"/>
      <c r="UD126" s="294"/>
      <c r="UE126" s="294"/>
      <c r="UF126" s="294">
        <v>-38084.06</v>
      </c>
      <c r="UG126" s="294"/>
      <c r="UH126" s="294"/>
      <c r="UI126" s="294"/>
      <c r="UJ126" s="294"/>
      <c r="UK126" s="294"/>
      <c r="UL126" s="294"/>
      <c r="UM126" s="294">
        <v>-18.22</v>
      </c>
      <c r="UN126" s="294"/>
      <c r="UO126" s="294">
        <v>0</v>
      </c>
      <c r="UP126" s="294"/>
      <c r="UQ126" s="294">
        <v>0</v>
      </c>
      <c r="UR126" s="294"/>
      <c r="US126" s="294">
        <v>-998.92</v>
      </c>
      <c r="UT126" s="294"/>
      <c r="UU126" s="294"/>
      <c r="UV126" s="294"/>
      <c r="UW126" s="294"/>
      <c r="UX126" s="294"/>
      <c r="UY126" s="294"/>
      <c r="UZ126" s="294"/>
      <c r="VA126" s="294"/>
      <c r="VB126" s="294"/>
      <c r="VC126" s="294"/>
      <c r="VD126" s="294"/>
      <c r="VE126" s="294">
        <v>-10131.709999999999</v>
      </c>
      <c r="VF126" s="294"/>
      <c r="VG126" s="294"/>
      <c r="VH126" s="294"/>
      <c r="VI126" s="294"/>
      <c r="VJ126" s="294"/>
      <c r="VK126" s="294"/>
      <c r="VL126" s="294"/>
      <c r="VM126" s="294"/>
      <c r="VN126" s="294">
        <v>-1128</v>
      </c>
      <c r="VO126" s="294"/>
      <c r="VP126" s="294"/>
      <c r="VQ126" s="294"/>
      <c r="VR126" s="294"/>
      <c r="VS126" s="294"/>
      <c r="VT126" s="294"/>
      <c r="VU126" s="294"/>
      <c r="VV126" s="294">
        <v>0</v>
      </c>
      <c r="VW126" s="294"/>
      <c r="VX126" s="294"/>
      <c r="VY126" s="294">
        <v>0</v>
      </c>
      <c r="VZ126" s="294"/>
      <c r="WA126" s="294"/>
      <c r="WB126" s="294">
        <v>-24.01</v>
      </c>
      <c r="WC126" s="294">
        <v>-127.79</v>
      </c>
      <c r="WD126" s="294"/>
      <c r="WE126" s="294">
        <v>-194.24</v>
      </c>
      <c r="WF126" s="294"/>
      <c r="WG126" s="294">
        <v>-70278.53</v>
      </c>
      <c r="WH126" s="294"/>
      <c r="WI126" s="294">
        <v>-26.25</v>
      </c>
      <c r="WJ126" s="294">
        <v>-329.79</v>
      </c>
      <c r="WK126" s="294">
        <v>-48329.73</v>
      </c>
      <c r="WL126" s="294">
        <v>-8649.93</v>
      </c>
      <c r="WM126" s="294">
        <v>-14.42</v>
      </c>
      <c r="WN126" s="294"/>
      <c r="WO126" s="294"/>
      <c r="WP126" s="294">
        <v>0</v>
      </c>
      <c r="WQ126" s="294"/>
      <c r="WR126" s="294">
        <v>0</v>
      </c>
      <c r="WS126" s="294">
        <v>-1012.32</v>
      </c>
      <c r="WT126" s="294"/>
      <c r="WU126" s="294">
        <v>0</v>
      </c>
      <c r="WV126" s="294">
        <v>-21844.84</v>
      </c>
      <c r="WW126" s="294"/>
      <c r="WX126" s="294">
        <v>-202.19</v>
      </c>
      <c r="WY126" s="294">
        <v>-283.89</v>
      </c>
      <c r="WZ126" s="294"/>
      <c r="XA126" s="294"/>
      <c r="XB126" s="294"/>
      <c r="XC126" s="294">
        <v>-562.30999999999995</v>
      </c>
      <c r="XD126" s="294"/>
      <c r="XE126" s="294">
        <v>-720</v>
      </c>
      <c r="XF126" s="294"/>
      <c r="XG126" s="294"/>
      <c r="XH126" s="294"/>
      <c r="XI126" s="294">
        <v>0</v>
      </c>
      <c r="XJ126" s="294"/>
      <c r="XK126" s="294"/>
      <c r="XL126" s="294"/>
      <c r="XM126" s="294"/>
      <c r="XN126" s="294"/>
      <c r="XO126" s="294"/>
      <c r="XP126" s="294"/>
      <c r="XQ126" s="294"/>
      <c r="XR126" s="294"/>
      <c r="XS126" s="294"/>
      <c r="XT126" s="294"/>
      <c r="XU126" s="294"/>
      <c r="XV126" s="294"/>
      <c r="XW126" s="294">
        <v>0</v>
      </c>
      <c r="XX126" s="294"/>
      <c r="XY126" s="294"/>
      <c r="XZ126" s="294"/>
      <c r="YA126" s="294"/>
      <c r="YB126" s="294"/>
      <c r="YC126" s="294">
        <v>0</v>
      </c>
      <c r="YD126" s="294"/>
      <c r="YE126" s="294"/>
      <c r="YF126" s="294">
        <v>-51.99</v>
      </c>
      <c r="YG126" s="294"/>
      <c r="YH126" s="294"/>
      <c r="YI126" s="294"/>
      <c r="YJ126" s="294"/>
      <c r="YK126" s="294"/>
      <c r="YL126" s="294"/>
      <c r="YM126" s="294"/>
      <c r="YN126" s="294">
        <v>-266.97000000000003</v>
      </c>
      <c r="YO126" s="294"/>
      <c r="YP126" s="294"/>
      <c r="YQ126" s="294">
        <v>-210.7</v>
      </c>
      <c r="YR126" s="294">
        <v>-283.26</v>
      </c>
      <c r="YS126" s="294"/>
      <c r="YT126" s="294"/>
      <c r="YU126" s="294"/>
      <c r="YV126" s="294"/>
      <c r="YW126" s="294">
        <v>-195.27</v>
      </c>
      <c r="YX126" s="294"/>
      <c r="YY126" s="294"/>
      <c r="YZ126" s="294"/>
      <c r="ZA126" s="294"/>
      <c r="ZB126" s="294"/>
      <c r="ZC126" s="294"/>
      <c r="ZD126" s="294"/>
      <c r="ZE126" s="294"/>
      <c r="ZF126" s="294"/>
      <c r="ZG126" s="294"/>
      <c r="ZH126" s="294">
        <v>0</v>
      </c>
      <c r="ZI126" s="294"/>
      <c r="ZJ126" s="294">
        <v>-14980</v>
      </c>
      <c r="ZK126" s="294"/>
      <c r="ZL126" s="294"/>
      <c r="ZM126" s="294"/>
      <c r="ZN126" s="294"/>
      <c r="ZO126" s="294"/>
      <c r="ZP126" s="294">
        <v>-66.77</v>
      </c>
      <c r="ZQ126" s="294"/>
      <c r="ZR126" s="294"/>
      <c r="ZS126" s="294"/>
      <c r="ZT126" s="294">
        <v>-291.56</v>
      </c>
      <c r="ZU126" s="294"/>
      <c r="ZV126" s="294"/>
      <c r="ZW126" s="294">
        <v>-65.56</v>
      </c>
      <c r="ZX126" s="294"/>
      <c r="ZY126" s="294"/>
      <c r="ZZ126" s="294"/>
      <c r="AAA126" s="294">
        <v>-3.29</v>
      </c>
      <c r="AAB126" s="294"/>
      <c r="AAC126" s="294">
        <v>0</v>
      </c>
      <c r="AAD126" s="294"/>
      <c r="AAE126" s="294"/>
      <c r="AAF126" s="294"/>
      <c r="AAG126" s="294"/>
      <c r="AAH126" s="294"/>
      <c r="AAI126" s="294"/>
      <c r="AAJ126" s="294"/>
      <c r="AAK126" s="294"/>
      <c r="AAL126" s="294">
        <v>-1600</v>
      </c>
      <c r="AAM126" s="294">
        <v>-182.85</v>
      </c>
      <c r="AAN126" s="294"/>
      <c r="AAO126" s="294"/>
      <c r="AAP126" s="294">
        <v>-74146.070000000007</v>
      </c>
      <c r="AAQ126" s="294"/>
      <c r="AAR126" s="294">
        <v>-6415.28</v>
      </c>
      <c r="AAS126" s="294">
        <v>0</v>
      </c>
      <c r="AAT126" s="294"/>
      <c r="AAU126" s="294">
        <v>-349.43</v>
      </c>
      <c r="AAV126" s="294"/>
      <c r="AAW126" s="294">
        <v>-65586.34</v>
      </c>
      <c r="AAX126" s="294"/>
      <c r="AAY126" s="294">
        <v>0</v>
      </c>
      <c r="AAZ126" s="294"/>
      <c r="ABA126" s="294"/>
      <c r="ABB126" s="294">
        <v>-84.35</v>
      </c>
      <c r="ABC126" s="294">
        <v>-1586.2</v>
      </c>
      <c r="ABD126" s="294">
        <v>-17352.45</v>
      </c>
      <c r="ABE126" s="294"/>
      <c r="ABF126" s="294"/>
      <c r="ABG126" s="294">
        <v>-28910.44</v>
      </c>
      <c r="ABH126" s="294">
        <v>0</v>
      </c>
      <c r="ABI126" s="294"/>
      <c r="ABJ126" s="294">
        <v>-3299.29</v>
      </c>
      <c r="ABK126" s="294">
        <v>0</v>
      </c>
      <c r="ABL126" s="294"/>
      <c r="ABM126" s="294">
        <v>0</v>
      </c>
      <c r="ABN126" s="294">
        <v>-88543.54</v>
      </c>
      <c r="ABO126" s="294"/>
      <c r="ABP126" s="294"/>
      <c r="ABQ126" s="294"/>
      <c r="ABR126" s="294"/>
      <c r="ABS126" s="294"/>
      <c r="ABT126" s="294">
        <v>-10000</v>
      </c>
      <c r="ABU126" s="294"/>
      <c r="ABV126" s="294"/>
      <c r="ABW126" s="294"/>
      <c r="ABX126" s="294"/>
      <c r="ABY126" s="294"/>
      <c r="ABZ126" s="294">
        <v>-875.8</v>
      </c>
      <c r="ACA126" s="294"/>
      <c r="ACB126" s="294"/>
      <c r="ACC126" s="294">
        <v>0</v>
      </c>
      <c r="ACD126" s="294"/>
      <c r="ACE126" s="294">
        <v>-1375.16</v>
      </c>
      <c r="ACF126" s="294"/>
      <c r="ACG126" s="294">
        <v>-321.13</v>
      </c>
      <c r="ACH126" s="294">
        <v>-377.19</v>
      </c>
      <c r="ACI126" s="294"/>
      <c r="ACJ126" s="294"/>
      <c r="ACK126" s="294"/>
      <c r="ACL126" s="294"/>
      <c r="ACM126" s="294">
        <v>-307338.69</v>
      </c>
      <c r="ACN126" s="294"/>
      <c r="ACO126" s="294"/>
      <c r="ACP126" s="294"/>
      <c r="ACQ126" s="294">
        <v>0</v>
      </c>
      <c r="ACR126" s="294"/>
      <c r="ACS126" s="294"/>
      <c r="ACT126" s="294"/>
      <c r="ACU126" s="294"/>
      <c r="ACV126" s="294"/>
      <c r="ACW126" s="294"/>
      <c r="ACX126" s="294"/>
      <c r="ACY126" s="294"/>
      <c r="ACZ126" s="294"/>
      <c r="ADA126" s="294"/>
      <c r="ADB126" s="294"/>
      <c r="ADC126" s="294"/>
      <c r="ADD126" s="294"/>
      <c r="ADE126" s="294"/>
      <c r="ADF126" s="294"/>
      <c r="ADG126" s="294"/>
      <c r="ADH126" s="294">
        <v>-12504.25</v>
      </c>
      <c r="ADI126" s="294"/>
      <c r="ADJ126" s="294">
        <v>0</v>
      </c>
      <c r="ADK126" s="294"/>
      <c r="ADL126" s="294"/>
      <c r="ADM126" s="294"/>
      <c r="ADN126" s="294"/>
      <c r="ADO126" s="294"/>
      <c r="ADP126" s="294">
        <v>-8650</v>
      </c>
      <c r="ADQ126" s="294">
        <v>-270.69</v>
      </c>
      <c r="ADR126" s="294"/>
      <c r="ADS126" s="294"/>
      <c r="ADT126" s="294"/>
      <c r="ADU126" s="294"/>
      <c r="ADV126" s="294">
        <v>0</v>
      </c>
      <c r="ADW126" s="294"/>
      <c r="ADX126" s="294"/>
      <c r="ADY126" s="294"/>
      <c r="ADZ126" s="294"/>
      <c r="AEA126" s="294"/>
      <c r="AEB126" s="294">
        <v>-120376.96000000001</v>
      </c>
      <c r="AEC126" s="294"/>
      <c r="AED126" s="294"/>
      <c r="AEE126" s="294"/>
      <c r="AEF126" s="294"/>
      <c r="AEG126" s="294">
        <v>0</v>
      </c>
      <c r="AEH126" s="294"/>
      <c r="AEI126" s="294">
        <v>-3000</v>
      </c>
      <c r="AEJ126" s="294">
        <v>-9000</v>
      </c>
      <c r="AEK126" s="294">
        <v>-15.68</v>
      </c>
      <c r="AEL126" s="294"/>
      <c r="AEM126" s="294"/>
      <c r="AEN126" s="294">
        <v>-597.28</v>
      </c>
      <c r="AEO126" s="294"/>
      <c r="AEP126" s="294"/>
      <c r="AEQ126" s="294"/>
      <c r="AER126" s="294">
        <v>-50921.22</v>
      </c>
      <c r="AES126" s="294"/>
      <c r="AET126" s="294">
        <v>0</v>
      </c>
      <c r="AEU126" s="294">
        <v>-34.28</v>
      </c>
      <c r="AEV126" s="294">
        <v>-9.84</v>
      </c>
      <c r="AEW126" s="294"/>
      <c r="AEX126" s="294">
        <v>-161.9</v>
      </c>
      <c r="AEY126" s="294"/>
      <c r="AEZ126" s="294">
        <v>0</v>
      </c>
      <c r="AFA126" s="294">
        <v>-198.83</v>
      </c>
      <c r="AFB126" s="294">
        <v>-98.67</v>
      </c>
      <c r="AFC126" s="294"/>
      <c r="AFD126" s="294"/>
      <c r="AFE126" s="294">
        <v>-582.66</v>
      </c>
      <c r="AFF126" s="294"/>
      <c r="AFG126" s="294"/>
      <c r="AFH126" s="294"/>
      <c r="AFI126" s="294"/>
      <c r="AFJ126" s="294">
        <v>0</v>
      </c>
      <c r="AFK126" s="294"/>
      <c r="AFL126" s="294"/>
      <c r="AFM126" s="294">
        <v>-433.27</v>
      </c>
      <c r="AFN126" s="294">
        <v>0</v>
      </c>
      <c r="AFO126" s="294"/>
      <c r="AFP126" s="294"/>
      <c r="AFQ126" s="294"/>
      <c r="AFR126" s="294"/>
      <c r="AFS126" s="294">
        <v>0</v>
      </c>
      <c r="AFT126" s="294"/>
      <c r="AFU126" s="294"/>
      <c r="AFV126" s="294"/>
      <c r="AFW126" s="294"/>
      <c r="AFX126" s="294"/>
      <c r="AFY126" s="294"/>
      <c r="AFZ126" s="294"/>
      <c r="AGA126" s="294"/>
      <c r="AGB126" s="294"/>
      <c r="AGC126" s="294"/>
      <c r="AGD126" s="294"/>
      <c r="AGE126" s="294"/>
      <c r="AGF126" s="294">
        <v>-1.27</v>
      </c>
      <c r="AGG126" s="294">
        <v>0</v>
      </c>
      <c r="AGH126" s="294">
        <v>-0.56999999999999995</v>
      </c>
      <c r="AGI126" s="294"/>
      <c r="AGJ126" s="294">
        <v>-0.16</v>
      </c>
      <c r="AGK126" s="294"/>
      <c r="AGL126" s="294"/>
      <c r="AGM126" s="294"/>
      <c r="AGN126" s="294"/>
      <c r="AGO126" s="294"/>
      <c r="AGP126" s="294"/>
      <c r="AGQ126" s="294"/>
      <c r="AGR126" s="294"/>
      <c r="AGS126" s="294">
        <v>0</v>
      </c>
      <c r="AGT126" s="294"/>
      <c r="AGU126" s="294"/>
      <c r="AGV126" s="294"/>
      <c r="AGW126" s="294"/>
      <c r="AGX126" s="294"/>
      <c r="AGY126" s="294"/>
      <c r="AGZ126" s="294"/>
      <c r="AHA126" s="294"/>
      <c r="AHB126" s="294"/>
      <c r="AHC126" s="294"/>
      <c r="AHD126" s="294"/>
      <c r="AHE126" s="294"/>
      <c r="AHF126" s="294"/>
      <c r="AHG126" s="294"/>
      <c r="AHH126" s="294"/>
      <c r="AHI126" s="294"/>
      <c r="AHJ126" s="294"/>
      <c r="AHK126" s="294"/>
      <c r="AHL126" s="294"/>
      <c r="AHM126" s="294">
        <v>0</v>
      </c>
      <c r="AHN126" s="294">
        <v>-100</v>
      </c>
      <c r="AHO126" s="294"/>
      <c r="AHP126" s="294">
        <v>0</v>
      </c>
      <c r="AHQ126" s="294">
        <v>-56.79</v>
      </c>
      <c r="AHR126" s="331"/>
      <c r="AHS126" s="294">
        <f t="shared" si="53"/>
        <v>-23457850.489999998</v>
      </c>
      <c r="AHT126" s="269" t="b">
        <f t="shared" si="54"/>
        <v>1</v>
      </c>
      <c r="AHU126" s="269" t="s">
        <v>6278</v>
      </c>
      <c r="AHV126" s="269" t="s">
        <v>6194</v>
      </c>
      <c r="AHW126" s="269" t="s">
        <v>6195</v>
      </c>
    </row>
    <row r="127" spans="1:907" ht="24.6" x14ac:dyDescent="0.7">
      <c r="A127" s="268" t="s">
        <v>6278</v>
      </c>
      <c r="B127" s="268" t="s">
        <v>6196</v>
      </c>
      <c r="C127" s="269" t="s">
        <v>6197</v>
      </c>
      <c r="D127" s="294">
        <v>-2397983.25</v>
      </c>
      <c r="E127" s="294">
        <v>0</v>
      </c>
      <c r="F127" s="294"/>
      <c r="G127" s="294">
        <v>-53052</v>
      </c>
      <c r="H127" s="294">
        <v>-159000</v>
      </c>
      <c r="I127" s="294"/>
      <c r="J127" s="294">
        <v>-1841736.5</v>
      </c>
      <c r="K127" s="294"/>
      <c r="L127" s="294">
        <v>-341527</v>
      </c>
      <c r="M127" s="294"/>
      <c r="N127" s="294"/>
      <c r="O127" s="294">
        <v>0</v>
      </c>
      <c r="P127" s="294">
        <v>0</v>
      </c>
      <c r="Q127" s="294"/>
      <c r="R127" s="294"/>
      <c r="S127" s="294"/>
      <c r="T127" s="294"/>
      <c r="U127" s="294"/>
      <c r="V127" s="294">
        <v>-72728680.829999998</v>
      </c>
      <c r="W127" s="294">
        <v>-212880</v>
      </c>
      <c r="X127" s="294">
        <v>0</v>
      </c>
      <c r="Y127" s="294">
        <v>-1066018.07</v>
      </c>
      <c r="Z127" s="294">
        <v>-190722.5</v>
      </c>
      <c r="AA127" s="294">
        <v>-153225</v>
      </c>
      <c r="AB127" s="294">
        <v>-287215.69</v>
      </c>
      <c r="AC127" s="294">
        <v>-515195</v>
      </c>
      <c r="AD127" s="294">
        <v>-174476.2</v>
      </c>
      <c r="AE127" s="294">
        <v>0</v>
      </c>
      <c r="AF127" s="294">
        <v>-2103</v>
      </c>
      <c r="AG127" s="294">
        <v>-288836</v>
      </c>
      <c r="AH127" s="294">
        <v>-13604383.300000001</v>
      </c>
      <c r="AI127" s="294">
        <v>-746421</v>
      </c>
      <c r="AJ127" s="294">
        <v>-53525</v>
      </c>
      <c r="AK127" s="294">
        <v>0</v>
      </c>
      <c r="AL127" s="294">
        <v>-412790</v>
      </c>
      <c r="AM127" s="294">
        <v>-231003.5</v>
      </c>
      <c r="AN127" s="294"/>
      <c r="AO127" s="294">
        <v>-137988</v>
      </c>
      <c r="AP127" s="294">
        <v>-71480</v>
      </c>
      <c r="AQ127" s="294">
        <v>-21000</v>
      </c>
      <c r="AR127" s="294">
        <v>-1770650.65</v>
      </c>
      <c r="AS127" s="294"/>
      <c r="AT127" s="294">
        <v>-148662.71</v>
      </c>
      <c r="AU127" s="294">
        <v>0</v>
      </c>
      <c r="AV127" s="294">
        <v>-221813.47</v>
      </c>
      <c r="AW127" s="294">
        <v>-2190</v>
      </c>
      <c r="AX127" s="294"/>
      <c r="AY127" s="294"/>
      <c r="AZ127" s="294">
        <v>-19300</v>
      </c>
      <c r="BA127" s="294">
        <v>-56300</v>
      </c>
      <c r="BB127" s="294"/>
      <c r="BC127" s="294"/>
      <c r="BD127" s="294">
        <v>-229300</v>
      </c>
      <c r="BE127" s="294">
        <v>-16200</v>
      </c>
      <c r="BF127" s="294">
        <v>-247415.09</v>
      </c>
      <c r="BG127" s="294">
        <v>-6510</v>
      </c>
      <c r="BH127" s="294">
        <v>-3313157</v>
      </c>
      <c r="BI127" s="294">
        <v>-227556.85</v>
      </c>
      <c r="BJ127" s="294">
        <v>-143070</v>
      </c>
      <c r="BK127" s="294">
        <v>-128500</v>
      </c>
      <c r="BL127" s="294">
        <v>-10000</v>
      </c>
      <c r="BM127" s="294">
        <v>-2417.5</v>
      </c>
      <c r="BN127" s="294">
        <v>-25611.58</v>
      </c>
      <c r="BO127" s="294">
        <v>-158514.94</v>
      </c>
      <c r="BP127" s="294"/>
      <c r="BQ127" s="294"/>
      <c r="BR127" s="294">
        <v>-20253479.030000001</v>
      </c>
      <c r="BS127" s="294">
        <v>-30339.5</v>
      </c>
      <c r="BT127" s="294">
        <v>-13299.12</v>
      </c>
      <c r="BU127" s="294">
        <v>-89340</v>
      </c>
      <c r="BV127" s="294">
        <v>-10569</v>
      </c>
      <c r="BW127" s="294">
        <v>-11995</v>
      </c>
      <c r="BX127" s="294">
        <v>0</v>
      </c>
      <c r="BY127" s="294">
        <v>0</v>
      </c>
      <c r="BZ127" s="294"/>
      <c r="CA127" s="294"/>
      <c r="CB127" s="294">
        <v>0</v>
      </c>
      <c r="CC127" s="294">
        <v>0</v>
      </c>
      <c r="CD127" s="294"/>
      <c r="CE127" s="294">
        <v>0</v>
      </c>
      <c r="CF127" s="294"/>
      <c r="CG127" s="294">
        <v>-615965.94999999995</v>
      </c>
      <c r="CH127" s="294">
        <v>-443503.53</v>
      </c>
      <c r="CI127" s="294">
        <v>-417721.49</v>
      </c>
      <c r="CJ127" s="294">
        <v>-99711.8</v>
      </c>
      <c r="CK127" s="294">
        <v>-16357.05</v>
      </c>
      <c r="CL127" s="294">
        <v>-225604</v>
      </c>
      <c r="CM127" s="294">
        <v>-199750</v>
      </c>
      <c r="CN127" s="294"/>
      <c r="CO127" s="294">
        <v>-12950</v>
      </c>
      <c r="CP127" s="294">
        <v>-87213</v>
      </c>
      <c r="CQ127" s="294">
        <v>-21061.5</v>
      </c>
      <c r="CR127" s="294"/>
      <c r="CS127" s="294">
        <v>-386002</v>
      </c>
      <c r="CT127" s="294">
        <v>-937701.88</v>
      </c>
      <c r="CU127" s="294"/>
      <c r="CV127" s="294">
        <v>-113008</v>
      </c>
      <c r="CW127" s="294">
        <v>-148498.15</v>
      </c>
      <c r="CX127" s="294">
        <v>0</v>
      </c>
      <c r="CY127" s="294">
        <v>-85544</v>
      </c>
      <c r="CZ127" s="294"/>
      <c r="DA127" s="294">
        <v>0</v>
      </c>
      <c r="DB127" s="294">
        <v>-812815.64</v>
      </c>
      <c r="DC127" s="294">
        <v>-1183628</v>
      </c>
      <c r="DD127" s="294">
        <v>-275821.45</v>
      </c>
      <c r="DE127" s="294">
        <v>-73121</v>
      </c>
      <c r="DF127" s="294">
        <v>0</v>
      </c>
      <c r="DG127" s="294">
        <v>-325000</v>
      </c>
      <c r="DH127" s="294">
        <v>-3508.65</v>
      </c>
      <c r="DI127" s="294">
        <v>0</v>
      </c>
      <c r="DJ127" s="294">
        <v>-52450</v>
      </c>
      <c r="DK127" s="294">
        <v>-52176294.270000003</v>
      </c>
      <c r="DL127" s="294"/>
      <c r="DM127" s="294">
        <v>0</v>
      </c>
      <c r="DN127" s="294">
        <v>-198934.16</v>
      </c>
      <c r="DO127" s="294">
        <v>0</v>
      </c>
      <c r="DP127" s="294">
        <v>0</v>
      </c>
      <c r="DQ127" s="294">
        <v>-363374.48</v>
      </c>
      <c r="DR127" s="294">
        <v>0</v>
      </c>
      <c r="DS127" s="294"/>
      <c r="DT127" s="294">
        <v>-18311301.809999999</v>
      </c>
      <c r="DU127" s="294"/>
      <c r="DV127" s="294">
        <v>-133200</v>
      </c>
      <c r="DW127" s="294">
        <v>-224176</v>
      </c>
      <c r="DX127" s="294">
        <v>-203879</v>
      </c>
      <c r="DY127" s="294"/>
      <c r="DZ127" s="294">
        <v>-76565</v>
      </c>
      <c r="EA127" s="294">
        <v>0</v>
      </c>
      <c r="EB127" s="294">
        <v>-24720</v>
      </c>
      <c r="EC127" s="294"/>
      <c r="ED127" s="294">
        <v>-219234.8</v>
      </c>
      <c r="EE127" s="294">
        <v>-859954.5</v>
      </c>
      <c r="EF127" s="294">
        <v>-236193.43</v>
      </c>
      <c r="EG127" s="294">
        <v>0</v>
      </c>
      <c r="EH127" s="294">
        <v>-174818</v>
      </c>
      <c r="EI127" s="294">
        <v>-6200</v>
      </c>
      <c r="EJ127" s="294">
        <v>-7486</v>
      </c>
      <c r="EK127" s="294">
        <v>-15050</v>
      </c>
      <c r="EL127" s="294">
        <v>-1100</v>
      </c>
      <c r="EM127" s="294">
        <v>-123751.2</v>
      </c>
      <c r="EN127" s="294">
        <v>-33892957.670000002</v>
      </c>
      <c r="EO127" s="294"/>
      <c r="EP127" s="294"/>
      <c r="EQ127" s="294">
        <v>0</v>
      </c>
      <c r="ER127" s="294"/>
      <c r="ES127" s="294"/>
      <c r="ET127" s="294"/>
      <c r="EU127" s="294"/>
      <c r="EV127" s="294"/>
      <c r="EW127" s="294">
        <v>-5710465.7199999997</v>
      </c>
      <c r="EX127" s="294">
        <v>-12960</v>
      </c>
      <c r="EY127" s="294">
        <v>-144600</v>
      </c>
      <c r="EZ127" s="294">
        <v>0</v>
      </c>
      <c r="FA127" s="294">
        <v>-76185</v>
      </c>
      <c r="FB127" s="294">
        <v>-33862.019999999997</v>
      </c>
      <c r="FC127" s="294">
        <v>-305194.5</v>
      </c>
      <c r="FD127" s="294">
        <v>-2160</v>
      </c>
      <c r="FE127" s="294">
        <v>-220456.46</v>
      </c>
      <c r="FF127" s="294">
        <v>-71173</v>
      </c>
      <c r="FG127" s="294">
        <v>-18000</v>
      </c>
      <c r="FH127" s="294">
        <v>-3187</v>
      </c>
      <c r="FI127" s="294">
        <v>-990133.66</v>
      </c>
      <c r="FJ127" s="294"/>
      <c r="FK127" s="294"/>
      <c r="FL127" s="294">
        <v>0</v>
      </c>
      <c r="FM127" s="294">
        <v>-360299.14</v>
      </c>
      <c r="FN127" s="294"/>
      <c r="FO127" s="294"/>
      <c r="FP127" s="294"/>
      <c r="FQ127" s="294">
        <v>-9545602.3900000006</v>
      </c>
      <c r="FR127" s="294">
        <v>-898</v>
      </c>
      <c r="FS127" s="294">
        <v>-8425.2000000000007</v>
      </c>
      <c r="FT127" s="294">
        <v>0</v>
      </c>
      <c r="FU127" s="294">
        <v>-50086.15</v>
      </c>
      <c r="FV127" s="294">
        <v>-311162.7</v>
      </c>
      <c r="FW127" s="294">
        <v>-27047</v>
      </c>
      <c r="FX127" s="294">
        <v>0</v>
      </c>
      <c r="FY127" s="294">
        <v>-1292</v>
      </c>
      <c r="FZ127" s="294">
        <v>-1915</v>
      </c>
      <c r="GA127" s="294"/>
      <c r="GB127" s="294">
        <v>0</v>
      </c>
      <c r="GC127" s="294">
        <v>-89539.42</v>
      </c>
      <c r="GD127" s="294">
        <v>-55683</v>
      </c>
      <c r="GE127" s="294">
        <v>-15490095.369999999</v>
      </c>
      <c r="GF127" s="294"/>
      <c r="GG127" s="294">
        <v>-22653.1</v>
      </c>
      <c r="GH127" s="294">
        <v>-9073947.25</v>
      </c>
      <c r="GI127" s="294">
        <v>0</v>
      </c>
      <c r="GJ127" s="294">
        <v>-20320</v>
      </c>
      <c r="GK127" s="294">
        <v>-16598.439999999999</v>
      </c>
      <c r="GL127" s="294">
        <v>-374851.27</v>
      </c>
      <c r="GM127" s="294">
        <v>-29707</v>
      </c>
      <c r="GN127" s="294">
        <v>0</v>
      </c>
      <c r="GO127" s="294">
        <v>-4718.04</v>
      </c>
      <c r="GP127" s="294"/>
      <c r="GQ127" s="294">
        <v>-671029.87</v>
      </c>
      <c r="GR127" s="294">
        <v>-14645</v>
      </c>
      <c r="GS127" s="294">
        <v>0</v>
      </c>
      <c r="GT127" s="294">
        <v>-30404</v>
      </c>
      <c r="GU127" s="294">
        <v>-22246</v>
      </c>
      <c r="GV127" s="294"/>
      <c r="GW127" s="294">
        <v>-35340.199999999997</v>
      </c>
      <c r="GX127" s="294">
        <v>-144530.67000000001</v>
      </c>
      <c r="GY127" s="294">
        <v>-85500</v>
      </c>
      <c r="GZ127" s="294">
        <v>-18480</v>
      </c>
      <c r="HA127" s="294">
        <v>-2527689.7000000002</v>
      </c>
      <c r="HB127" s="294">
        <v>-109075</v>
      </c>
      <c r="HC127" s="294">
        <v>-2368001.16</v>
      </c>
      <c r="HD127" s="294">
        <v>-1648351.08</v>
      </c>
      <c r="HE127" s="294">
        <v>-3492026.45</v>
      </c>
      <c r="HF127" s="294">
        <v>-1230456.6499999999</v>
      </c>
      <c r="HG127" s="294"/>
      <c r="HH127" s="294">
        <v>0</v>
      </c>
      <c r="HI127" s="294"/>
      <c r="HJ127" s="294">
        <v>-631553.62</v>
      </c>
      <c r="HK127" s="294"/>
      <c r="HL127" s="294">
        <v>-4346450</v>
      </c>
      <c r="HM127" s="294"/>
      <c r="HN127" s="294">
        <v>-151.77000000000001</v>
      </c>
      <c r="HO127" s="294">
        <v>-3660.69</v>
      </c>
      <c r="HP127" s="294">
        <v>-734985.99</v>
      </c>
      <c r="HQ127" s="294">
        <v>-27880.37</v>
      </c>
      <c r="HR127" s="294">
        <v>-3116928.0300000003</v>
      </c>
      <c r="HS127" s="294">
        <v>-101782.43</v>
      </c>
      <c r="HT127" s="294"/>
      <c r="HU127" s="294">
        <v>0</v>
      </c>
      <c r="HV127" s="294">
        <v>0</v>
      </c>
      <c r="HW127" s="294"/>
      <c r="HX127" s="294">
        <v>-7496.6</v>
      </c>
      <c r="HY127" s="294">
        <v>-209618</v>
      </c>
      <c r="HZ127" s="294"/>
      <c r="IA127" s="294"/>
      <c r="IB127" s="294"/>
      <c r="IC127" s="294">
        <v>0</v>
      </c>
      <c r="ID127" s="294">
        <v>-139050</v>
      </c>
      <c r="IE127" s="294"/>
      <c r="IF127" s="294"/>
      <c r="IG127" s="294"/>
      <c r="IH127" s="294">
        <v>-336112.52</v>
      </c>
      <c r="II127" s="294">
        <v>-1662810.25</v>
      </c>
      <c r="IJ127" s="294">
        <v>-180808.53</v>
      </c>
      <c r="IK127" s="294">
        <v>-181.37</v>
      </c>
      <c r="IL127" s="294">
        <v>0</v>
      </c>
      <c r="IM127" s="294">
        <v>-257603.12</v>
      </c>
      <c r="IN127" s="294"/>
      <c r="IO127" s="294">
        <v>-600150</v>
      </c>
      <c r="IP127" s="294">
        <v>0</v>
      </c>
      <c r="IQ127" s="294">
        <v>-288589.51</v>
      </c>
      <c r="IR127" s="294">
        <v>-2000</v>
      </c>
      <c r="IS127" s="294">
        <v>-1162121.17</v>
      </c>
      <c r="IT127" s="294">
        <v>-29297220.330000002</v>
      </c>
      <c r="IU127" s="294">
        <v>0</v>
      </c>
      <c r="IV127" s="294"/>
      <c r="IW127" s="294">
        <v>0</v>
      </c>
      <c r="IX127" s="294"/>
      <c r="IY127" s="294"/>
      <c r="IZ127" s="294"/>
      <c r="JA127" s="294"/>
      <c r="JB127" s="294"/>
      <c r="JC127" s="294">
        <v>-417023.5</v>
      </c>
      <c r="JD127" s="294">
        <v>0</v>
      </c>
      <c r="JE127" s="294">
        <v>-1459793.77</v>
      </c>
      <c r="JF127" s="294">
        <v>-344396.18</v>
      </c>
      <c r="JG127" s="294">
        <v>-252000</v>
      </c>
      <c r="JH127" s="294">
        <v>0</v>
      </c>
      <c r="JI127" s="294"/>
      <c r="JJ127" s="294">
        <v>-55445.36</v>
      </c>
      <c r="JK127" s="294">
        <v>-12519793.359999999</v>
      </c>
      <c r="JL127" s="294"/>
      <c r="JM127" s="294"/>
      <c r="JN127" s="294">
        <v>-169949.2</v>
      </c>
      <c r="JO127" s="294"/>
      <c r="JP127" s="294">
        <v>0</v>
      </c>
      <c r="JQ127" s="294">
        <v>0</v>
      </c>
      <c r="JR127" s="294">
        <v>0</v>
      </c>
      <c r="JS127" s="294">
        <v>0</v>
      </c>
      <c r="JT127" s="294">
        <v>-153330</v>
      </c>
      <c r="JU127" s="294"/>
      <c r="JV127" s="294">
        <v>-2250</v>
      </c>
      <c r="JW127" s="294">
        <v>-10000</v>
      </c>
      <c r="JX127" s="294">
        <v>0</v>
      </c>
      <c r="JY127" s="294">
        <v>0</v>
      </c>
      <c r="JZ127" s="294"/>
      <c r="KA127" s="294"/>
      <c r="KB127" s="294">
        <v>-631057.09</v>
      </c>
      <c r="KC127" s="294">
        <v>-956.76</v>
      </c>
      <c r="KD127" s="294">
        <v>-462550</v>
      </c>
      <c r="KE127" s="294">
        <v>0</v>
      </c>
      <c r="KF127" s="294">
        <v>0</v>
      </c>
      <c r="KG127" s="294">
        <v>-386053.73</v>
      </c>
      <c r="KH127" s="294">
        <v>-20591731.149999999</v>
      </c>
      <c r="KI127" s="294"/>
      <c r="KJ127" s="294">
        <v>0</v>
      </c>
      <c r="KK127" s="294">
        <v>0</v>
      </c>
      <c r="KL127" s="294">
        <v>0</v>
      </c>
      <c r="KM127" s="294"/>
      <c r="KN127" s="294"/>
      <c r="KO127" s="294"/>
      <c r="KP127" s="294"/>
      <c r="KQ127" s="294">
        <v>0</v>
      </c>
      <c r="KR127" s="294">
        <v>-36327.75</v>
      </c>
      <c r="KS127" s="294">
        <v>-26749.58</v>
      </c>
      <c r="KT127" s="294">
        <v>-1377531.06</v>
      </c>
      <c r="KU127" s="294">
        <v>-481760</v>
      </c>
      <c r="KV127" s="294">
        <v>-212200</v>
      </c>
      <c r="KW127" s="294"/>
      <c r="KX127" s="294">
        <v>-332416.8</v>
      </c>
      <c r="KY127" s="294">
        <v>-21251550.329999998</v>
      </c>
      <c r="KZ127" s="294"/>
      <c r="LA127" s="294">
        <v>0</v>
      </c>
      <c r="LB127" s="294"/>
      <c r="LC127" s="294">
        <v>-425594.3</v>
      </c>
      <c r="LD127" s="294"/>
      <c r="LE127" s="294">
        <v>0</v>
      </c>
      <c r="LF127" s="294">
        <v>-97821.97</v>
      </c>
      <c r="LG127" s="294">
        <v>-785833.5</v>
      </c>
      <c r="LH127" s="294">
        <v>0</v>
      </c>
      <c r="LI127" s="294">
        <v>-61751.02</v>
      </c>
      <c r="LJ127" s="294">
        <v>0</v>
      </c>
      <c r="LK127" s="294"/>
      <c r="LL127" s="294">
        <v>-281553.46000000002</v>
      </c>
      <c r="LM127" s="294"/>
      <c r="LN127" s="294">
        <v>-66810</v>
      </c>
      <c r="LO127" s="294"/>
      <c r="LP127" s="294"/>
      <c r="LQ127" s="294"/>
      <c r="LR127" s="294">
        <v>0</v>
      </c>
      <c r="LS127" s="294"/>
      <c r="LT127" s="294"/>
      <c r="LU127" s="294">
        <v>-3817145.05</v>
      </c>
      <c r="LV127" s="294">
        <v>-7453853</v>
      </c>
      <c r="LW127" s="294">
        <v>0</v>
      </c>
      <c r="LX127" s="294"/>
      <c r="LY127" s="294"/>
      <c r="LZ127" s="294">
        <v>-4965629.97</v>
      </c>
      <c r="MA127" s="294">
        <v>-1590354.41</v>
      </c>
      <c r="MB127" s="294"/>
      <c r="MC127" s="294">
        <v>0</v>
      </c>
      <c r="MD127" s="294">
        <v>-361547.25</v>
      </c>
      <c r="ME127" s="294">
        <v>0</v>
      </c>
      <c r="MF127" s="294"/>
      <c r="MG127" s="294">
        <v>-54705290.879999995</v>
      </c>
      <c r="MH127" s="294">
        <v>-6705</v>
      </c>
      <c r="MI127" s="294">
        <v>-11784</v>
      </c>
      <c r="MJ127" s="294">
        <v>0</v>
      </c>
      <c r="MK127" s="294">
        <v>0</v>
      </c>
      <c r="ML127" s="294">
        <v>-2000</v>
      </c>
      <c r="MM127" s="294">
        <v>-2268000</v>
      </c>
      <c r="MN127" s="294">
        <v>-19529.39</v>
      </c>
      <c r="MO127" s="294">
        <v>-147862</v>
      </c>
      <c r="MP127" s="294">
        <v>0</v>
      </c>
      <c r="MQ127" s="294">
        <v>-574650</v>
      </c>
      <c r="MR127" s="294">
        <v>-10500</v>
      </c>
      <c r="MS127" s="294">
        <v>-80162744.499999985</v>
      </c>
      <c r="MT127" s="294"/>
      <c r="MU127" s="294"/>
      <c r="MV127" s="294"/>
      <c r="MW127" s="294">
        <v>-632123</v>
      </c>
      <c r="MX127" s="294">
        <v>-207680</v>
      </c>
      <c r="MY127" s="294">
        <v>-411342.0601</v>
      </c>
      <c r="MZ127" s="294">
        <v>-38919.99</v>
      </c>
      <c r="NA127" s="294">
        <v>-72735.02</v>
      </c>
      <c r="NB127" s="294"/>
      <c r="NC127" s="294">
        <v>-250972</v>
      </c>
      <c r="ND127" s="294">
        <v>-20594957.780000001</v>
      </c>
      <c r="NE127" s="294">
        <v>0</v>
      </c>
      <c r="NF127" s="294">
        <v>0</v>
      </c>
      <c r="NG127" s="294">
        <v>0</v>
      </c>
      <c r="NH127" s="294"/>
      <c r="NI127" s="294"/>
      <c r="NJ127" s="294">
        <v>-18906.39</v>
      </c>
      <c r="NK127" s="294"/>
      <c r="NL127" s="294">
        <v>0</v>
      </c>
      <c r="NM127" s="294"/>
      <c r="NN127" s="294">
        <v>0</v>
      </c>
      <c r="NO127" s="294"/>
      <c r="NP127" s="294">
        <v>-273124.09000000003</v>
      </c>
      <c r="NQ127" s="294"/>
      <c r="NR127" s="294"/>
      <c r="NS127" s="294">
        <v>-18630.48</v>
      </c>
      <c r="NT127" s="294">
        <v>-24936.43</v>
      </c>
      <c r="NU127" s="294">
        <v>0</v>
      </c>
      <c r="NV127" s="294">
        <v>0</v>
      </c>
      <c r="NW127" s="294">
        <v>0</v>
      </c>
      <c r="NX127" s="294">
        <v>-4575934.68</v>
      </c>
      <c r="NY127" s="294">
        <v>-128372</v>
      </c>
      <c r="NZ127" s="294">
        <v>-275096</v>
      </c>
      <c r="OA127" s="294"/>
      <c r="OB127" s="294">
        <v>-202000</v>
      </c>
      <c r="OC127" s="294">
        <v>0</v>
      </c>
      <c r="OD127" s="294">
        <v>-3415880.26</v>
      </c>
      <c r="OE127" s="294">
        <v>-500000</v>
      </c>
      <c r="OF127" s="294">
        <v>-120265.74</v>
      </c>
      <c r="OG127" s="294">
        <v>-1656946</v>
      </c>
      <c r="OH127" s="294"/>
      <c r="OI127" s="294">
        <v>-160058.13</v>
      </c>
      <c r="OJ127" s="294">
        <v>-1081772.5</v>
      </c>
      <c r="OK127" s="294"/>
      <c r="OL127" s="294"/>
      <c r="OM127" s="294">
        <v>0</v>
      </c>
      <c r="ON127" s="294"/>
      <c r="OO127" s="294">
        <v>0</v>
      </c>
      <c r="OP127" s="294">
        <v>0</v>
      </c>
      <c r="OQ127" s="294"/>
      <c r="OR127" s="294"/>
      <c r="OS127" s="294">
        <v>-609146.04</v>
      </c>
      <c r="OT127" s="294">
        <v>-133750</v>
      </c>
      <c r="OU127" s="294">
        <v>-542737.17999999993</v>
      </c>
      <c r="OV127" s="294">
        <v>-541318.1</v>
      </c>
      <c r="OW127" s="294">
        <v>-107250</v>
      </c>
      <c r="OX127" s="294">
        <v>-1461275.52</v>
      </c>
      <c r="OY127" s="294">
        <v>-2251165.3899999997</v>
      </c>
      <c r="OZ127" s="294">
        <v>-119835</v>
      </c>
      <c r="PA127" s="294">
        <v>-214381.86</v>
      </c>
      <c r="PB127" s="294">
        <v>-16357285.359999999</v>
      </c>
      <c r="PC127" s="294"/>
      <c r="PD127" s="294">
        <v>0</v>
      </c>
      <c r="PE127" s="294">
        <v>-293.14999999999998</v>
      </c>
      <c r="PF127" s="294"/>
      <c r="PG127" s="294">
        <v>-112400</v>
      </c>
      <c r="PH127" s="294"/>
      <c r="PI127" s="294"/>
      <c r="PJ127" s="294">
        <v>-100826.25</v>
      </c>
      <c r="PK127" s="294"/>
      <c r="PL127" s="294"/>
      <c r="PM127" s="294">
        <v>-9015973.5800000001</v>
      </c>
      <c r="PN127" s="294">
        <v>-1258698.6399999999</v>
      </c>
      <c r="PO127" s="294">
        <v>-415236.56</v>
      </c>
      <c r="PP127" s="294"/>
      <c r="PQ127" s="294"/>
      <c r="PR127" s="294"/>
      <c r="PS127" s="294"/>
      <c r="PT127" s="294">
        <v>-5235247.93</v>
      </c>
      <c r="PU127" s="294">
        <v>0</v>
      </c>
      <c r="PV127" s="294"/>
      <c r="PW127" s="294"/>
      <c r="PX127" s="294">
        <v>-48200</v>
      </c>
      <c r="PY127" s="294">
        <v>-44862.19</v>
      </c>
      <c r="PZ127" s="294">
        <v>-130460</v>
      </c>
      <c r="QA127" s="294"/>
      <c r="QB127" s="294"/>
      <c r="QC127" s="294">
        <v>-624269</v>
      </c>
      <c r="QD127" s="294"/>
      <c r="QE127" s="294">
        <v>-17787.73</v>
      </c>
      <c r="QF127" s="294"/>
      <c r="QG127" s="294">
        <v>-608240.30000000005</v>
      </c>
      <c r="QH127" s="294"/>
      <c r="QI127" s="294"/>
      <c r="QJ127" s="294">
        <v>-352150</v>
      </c>
      <c r="QK127" s="294">
        <v>0</v>
      </c>
      <c r="QL127" s="294"/>
      <c r="QM127" s="294"/>
      <c r="QN127" s="294">
        <v>-967984.33</v>
      </c>
      <c r="QO127" s="294">
        <v>0</v>
      </c>
      <c r="QP127" s="294"/>
      <c r="QQ127" s="294"/>
      <c r="QR127" s="294"/>
      <c r="QS127" s="294"/>
      <c r="QT127" s="294">
        <v>-1693170.2200000002</v>
      </c>
      <c r="QU127" s="294">
        <v>-118350</v>
      </c>
      <c r="QV127" s="294">
        <v>0</v>
      </c>
      <c r="QW127" s="294">
        <v>-50160</v>
      </c>
      <c r="QX127" s="294"/>
      <c r="QY127" s="294"/>
      <c r="QZ127" s="294">
        <v>0</v>
      </c>
      <c r="RA127" s="294"/>
      <c r="RB127" s="294"/>
      <c r="RC127" s="294">
        <v>-155944</v>
      </c>
      <c r="RD127" s="294">
        <v>0</v>
      </c>
      <c r="RE127" s="294">
        <v>-852</v>
      </c>
      <c r="RF127" s="294">
        <v>0</v>
      </c>
      <c r="RG127" s="294">
        <v>-14918502.83</v>
      </c>
      <c r="RH127" s="294"/>
      <c r="RI127" s="294">
        <v>0</v>
      </c>
      <c r="RJ127" s="294">
        <v>-209290</v>
      </c>
      <c r="RK127" s="294">
        <v>-31357</v>
      </c>
      <c r="RL127" s="294"/>
      <c r="RM127" s="294"/>
      <c r="RN127" s="294">
        <v>-15380.26</v>
      </c>
      <c r="RO127" s="294">
        <v>0</v>
      </c>
      <c r="RP127" s="294">
        <v>0</v>
      </c>
      <c r="RQ127" s="294">
        <v>0</v>
      </c>
      <c r="RR127" s="294"/>
      <c r="RS127" s="294">
        <v>-23197</v>
      </c>
      <c r="RT127" s="294"/>
      <c r="RU127" s="294"/>
      <c r="RV127" s="294">
        <v>-1864</v>
      </c>
      <c r="RW127" s="294"/>
      <c r="RX127" s="294">
        <v>0</v>
      </c>
      <c r="RY127" s="294">
        <v>0</v>
      </c>
      <c r="RZ127" s="294">
        <v>0</v>
      </c>
      <c r="SA127" s="294">
        <v>-802501.21</v>
      </c>
      <c r="SB127" s="294">
        <v>-2400</v>
      </c>
      <c r="SC127" s="294"/>
      <c r="SD127" s="294">
        <v>-77500</v>
      </c>
      <c r="SE127" s="294">
        <v>0</v>
      </c>
      <c r="SF127" s="294">
        <v>-25000</v>
      </c>
      <c r="SG127" s="294">
        <v>-43475</v>
      </c>
      <c r="SH127" s="294">
        <v>0</v>
      </c>
      <c r="SI127" s="294"/>
      <c r="SJ127" s="294"/>
      <c r="SK127" s="294">
        <v>-981397.75</v>
      </c>
      <c r="SL127" s="294"/>
      <c r="SM127" s="294">
        <v>-150050</v>
      </c>
      <c r="SN127" s="294">
        <v>0</v>
      </c>
      <c r="SO127" s="294">
        <v>-53160</v>
      </c>
      <c r="SP127" s="294"/>
      <c r="SQ127" s="294"/>
      <c r="SR127" s="294">
        <v>-27311</v>
      </c>
      <c r="SS127" s="294">
        <v>-75151</v>
      </c>
      <c r="ST127" s="294"/>
      <c r="SU127" s="294">
        <v>-15000</v>
      </c>
      <c r="SV127" s="294">
        <v>-10000</v>
      </c>
      <c r="SW127" s="294"/>
      <c r="SX127" s="294">
        <v>-368713.12</v>
      </c>
      <c r="SY127" s="294"/>
      <c r="SZ127" s="294"/>
      <c r="TA127" s="294"/>
      <c r="TB127" s="294">
        <v>0</v>
      </c>
      <c r="TC127" s="294"/>
      <c r="TD127" s="294">
        <v>-10000</v>
      </c>
      <c r="TE127" s="294">
        <v>0</v>
      </c>
      <c r="TF127" s="294"/>
      <c r="TG127" s="294">
        <v>0</v>
      </c>
      <c r="TH127" s="294">
        <v>0</v>
      </c>
      <c r="TI127" s="294">
        <v>-6605863.7199999997</v>
      </c>
      <c r="TJ127" s="294"/>
      <c r="TK127" s="294"/>
      <c r="TL127" s="294"/>
      <c r="TM127" s="294">
        <v>0</v>
      </c>
      <c r="TN127" s="294">
        <v>0</v>
      </c>
      <c r="TO127" s="294">
        <v>0</v>
      </c>
      <c r="TP127" s="294">
        <v>-1730.74</v>
      </c>
      <c r="TQ127" s="294">
        <v>-8800</v>
      </c>
      <c r="TR127" s="294">
        <v>-409.37</v>
      </c>
      <c r="TS127" s="294"/>
      <c r="TT127" s="294">
        <v>0</v>
      </c>
      <c r="TU127" s="294"/>
      <c r="TV127" s="294"/>
      <c r="TW127" s="294"/>
      <c r="TX127" s="294">
        <v>0</v>
      </c>
      <c r="TY127" s="294"/>
      <c r="TZ127" s="294">
        <v>-2400</v>
      </c>
      <c r="UA127" s="294">
        <v>0</v>
      </c>
      <c r="UB127" s="294"/>
      <c r="UC127" s="294"/>
      <c r="UD127" s="294"/>
      <c r="UE127" s="294">
        <v>-361049.22</v>
      </c>
      <c r="UF127" s="294">
        <v>0</v>
      </c>
      <c r="UG127" s="294">
        <v>-57.74</v>
      </c>
      <c r="UH127" s="294"/>
      <c r="UI127" s="294">
        <v>0</v>
      </c>
      <c r="UJ127" s="294"/>
      <c r="UK127" s="294">
        <v>-494824</v>
      </c>
      <c r="UL127" s="294">
        <v>-48331.8</v>
      </c>
      <c r="UM127" s="294">
        <v>-24250</v>
      </c>
      <c r="UN127" s="294">
        <v>-98939</v>
      </c>
      <c r="UO127" s="294">
        <v>-197238.1</v>
      </c>
      <c r="UP127" s="294">
        <v>-18112048.52</v>
      </c>
      <c r="UQ127" s="294">
        <v>0</v>
      </c>
      <c r="UR127" s="294">
        <v>0</v>
      </c>
      <c r="US127" s="294">
        <v>-30340</v>
      </c>
      <c r="UT127" s="294">
        <v>0</v>
      </c>
      <c r="UU127" s="294">
        <v>-54074.25</v>
      </c>
      <c r="UV127" s="294">
        <v>-189225.9</v>
      </c>
      <c r="UW127" s="294">
        <v>-11670</v>
      </c>
      <c r="UX127" s="294">
        <v>-24600</v>
      </c>
      <c r="UY127" s="294">
        <v>0</v>
      </c>
      <c r="UZ127" s="294">
        <v>-302618.11</v>
      </c>
      <c r="VA127" s="294">
        <v>0</v>
      </c>
      <c r="VB127" s="294">
        <v>-46000</v>
      </c>
      <c r="VC127" s="294">
        <v>-28547.94</v>
      </c>
      <c r="VD127" s="294">
        <v>-112418</v>
      </c>
      <c r="VE127" s="294">
        <v>0</v>
      </c>
      <c r="VF127" s="294">
        <v>-82293.77</v>
      </c>
      <c r="VG127" s="294">
        <v>0</v>
      </c>
      <c r="VH127" s="294">
        <v>-857.5</v>
      </c>
      <c r="VI127" s="294">
        <v>0</v>
      </c>
      <c r="VJ127" s="294">
        <v>-10850</v>
      </c>
      <c r="VK127" s="294">
        <v>-986529</v>
      </c>
      <c r="VL127" s="294">
        <v>-267305.93</v>
      </c>
      <c r="VM127" s="294"/>
      <c r="VN127" s="294">
        <v>-2603</v>
      </c>
      <c r="VO127" s="294">
        <v>-305190</v>
      </c>
      <c r="VP127" s="294">
        <v>0</v>
      </c>
      <c r="VQ127" s="294">
        <v>-7023862.3399999999</v>
      </c>
      <c r="VR127" s="294">
        <v>-186039.78</v>
      </c>
      <c r="VS127" s="294">
        <v>-51800</v>
      </c>
      <c r="VT127" s="294">
        <v>-548435</v>
      </c>
      <c r="VU127" s="294">
        <v>-225000</v>
      </c>
      <c r="VV127" s="294"/>
      <c r="VW127" s="294">
        <v>-5115635.32</v>
      </c>
      <c r="VX127" s="294">
        <v>-40195.760000000002</v>
      </c>
      <c r="VY127" s="294">
        <v>0</v>
      </c>
      <c r="VZ127" s="294"/>
      <c r="WA127" s="294">
        <v>-4804757.43</v>
      </c>
      <c r="WB127" s="294">
        <v>-14629.77</v>
      </c>
      <c r="WC127" s="294">
        <v>-1655791.75</v>
      </c>
      <c r="WD127" s="294">
        <v>0</v>
      </c>
      <c r="WE127" s="294"/>
      <c r="WF127" s="294">
        <v>-252413</v>
      </c>
      <c r="WG127" s="294"/>
      <c r="WH127" s="294">
        <v>-41735.25</v>
      </c>
      <c r="WI127" s="294">
        <v>-2750</v>
      </c>
      <c r="WJ127" s="294">
        <v>-354739.14</v>
      </c>
      <c r="WK127" s="294">
        <v>-129523.41</v>
      </c>
      <c r="WL127" s="294">
        <v>-255059.16</v>
      </c>
      <c r="WM127" s="294">
        <v>-24500</v>
      </c>
      <c r="WN127" s="294">
        <v>-1609495.85</v>
      </c>
      <c r="WO127" s="294">
        <v>-16360</v>
      </c>
      <c r="WP127" s="294">
        <v>0</v>
      </c>
      <c r="WQ127" s="294">
        <v>-80820</v>
      </c>
      <c r="WR127" s="294">
        <v>-287898.43</v>
      </c>
      <c r="WS127" s="294">
        <v>-174740</v>
      </c>
      <c r="WT127" s="294">
        <v>-149777.10999999999</v>
      </c>
      <c r="WU127" s="294">
        <v>-174085</v>
      </c>
      <c r="WV127" s="294">
        <v>-136750</v>
      </c>
      <c r="WW127" s="294"/>
      <c r="WX127" s="294">
        <v>-55587.35</v>
      </c>
      <c r="WY127" s="294">
        <v>-168235</v>
      </c>
      <c r="WZ127" s="294">
        <v>-1376233.92</v>
      </c>
      <c r="XA127" s="294">
        <v>-44800</v>
      </c>
      <c r="XB127" s="294">
        <v>-64950</v>
      </c>
      <c r="XC127" s="294">
        <v>0</v>
      </c>
      <c r="XD127" s="294">
        <v>-92781.34</v>
      </c>
      <c r="XE127" s="294"/>
      <c r="XF127" s="294"/>
      <c r="XG127" s="294">
        <v>-63000</v>
      </c>
      <c r="XH127" s="294">
        <v>-358711.57</v>
      </c>
      <c r="XI127" s="294">
        <v>-22055</v>
      </c>
      <c r="XJ127" s="294">
        <v>-201660</v>
      </c>
      <c r="XK127" s="294">
        <v>-3388095.87</v>
      </c>
      <c r="XL127" s="294">
        <v>-157805</v>
      </c>
      <c r="XM127" s="294">
        <v>0</v>
      </c>
      <c r="XN127" s="294">
        <v>0</v>
      </c>
      <c r="XO127" s="294">
        <v>-17000</v>
      </c>
      <c r="XP127" s="294">
        <v>0</v>
      </c>
      <c r="XQ127" s="294">
        <v>-1651231.96</v>
      </c>
      <c r="XR127" s="294">
        <v>-277731.81</v>
      </c>
      <c r="XS127" s="294">
        <v>0</v>
      </c>
      <c r="XT127" s="294">
        <v>-7.05</v>
      </c>
      <c r="XU127" s="294">
        <v>-384000</v>
      </c>
      <c r="XV127" s="294">
        <v>-368703.3</v>
      </c>
      <c r="XW127" s="294">
        <v>0</v>
      </c>
      <c r="XX127" s="294">
        <v>-81593.14</v>
      </c>
      <c r="XY127" s="294">
        <v>-71130</v>
      </c>
      <c r="XZ127" s="294">
        <v>0</v>
      </c>
      <c r="YA127" s="294">
        <v>0</v>
      </c>
      <c r="YB127" s="294">
        <v>-30000</v>
      </c>
      <c r="YC127" s="294">
        <v>-852360.27</v>
      </c>
      <c r="YD127" s="294">
        <v>-57300</v>
      </c>
      <c r="YE127" s="294">
        <v>-7447049.6200000001</v>
      </c>
      <c r="YF127" s="294">
        <v>-22987.38</v>
      </c>
      <c r="YG127" s="294">
        <v>-5335</v>
      </c>
      <c r="YH127" s="294"/>
      <c r="YI127" s="294">
        <v>-2324733.63</v>
      </c>
      <c r="YJ127" s="294">
        <v>-72200</v>
      </c>
      <c r="YK127" s="294">
        <v>0</v>
      </c>
      <c r="YL127" s="294"/>
      <c r="YM127" s="294">
        <v>-369802</v>
      </c>
      <c r="YN127" s="294"/>
      <c r="YO127" s="294"/>
      <c r="YP127" s="294">
        <v>-225302</v>
      </c>
      <c r="YQ127" s="294">
        <v>-28000</v>
      </c>
      <c r="YR127" s="294"/>
      <c r="YS127" s="294">
        <v>0</v>
      </c>
      <c r="YT127" s="294">
        <v>-364569.21</v>
      </c>
      <c r="YU127" s="294">
        <v>-135940</v>
      </c>
      <c r="YV127" s="294">
        <v>-2206084.63</v>
      </c>
      <c r="YW127" s="294">
        <v>0</v>
      </c>
      <c r="YX127" s="294"/>
      <c r="YY127" s="294">
        <v>0</v>
      </c>
      <c r="YZ127" s="294">
        <v>-81154</v>
      </c>
      <c r="ZA127" s="294"/>
      <c r="ZB127" s="294">
        <v>-58110</v>
      </c>
      <c r="ZC127" s="294"/>
      <c r="ZD127" s="294"/>
      <c r="ZE127" s="294">
        <v>-250</v>
      </c>
      <c r="ZF127" s="294"/>
      <c r="ZG127" s="294"/>
      <c r="ZH127" s="294"/>
      <c r="ZI127" s="294"/>
      <c r="ZJ127" s="294">
        <v>-91640</v>
      </c>
      <c r="ZK127" s="294"/>
      <c r="ZL127" s="294">
        <v>-939614.76</v>
      </c>
      <c r="ZM127" s="294">
        <v>0</v>
      </c>
      <c r="ZN127" s="294"/>
      <c r="ZO127" s="294">
        <v>-2056473.5</v>
      </c>
      <c r="ZP127" s="294">
        <v>-839492</v>
      </c>
      <c r="ZQ127" s="294">
        <v>-1047900</v>
      </c>
      <c r="ZR127" s="294">
        <v>0</v>
      </c>
      <c r="ZS127" s="294">
        <v>-593050</v>
      </c>
      <c r="ZT127" s="294">
        <v>-334205.44</v>
      </c>
      <c r="ZU127" s="294">
        <v>-735600</v>
      </c>
      <c r="ZV127" s="294">
        <v>-3772.18</v>
      </c>
      <c r="ZW127" s="294">
        <v>-229406.05</v>
      </c>
      <c r="ZX127" s="294">
        <v>-147472.45000000001</v>
      </c>
      <c r="ZY127" s="294">
        <v>-168000</v>
      </c>
      <c r="ZZ127" s="294">
        <v>-27500</v>
      </c>
      <c r="AAA127" s="294"/>
      <c r="AAB127" s="294">
        <v>0</v>
      </c>
      <c r="AAC127" s="294"/>
      <c r="AAD127" s="294">
        <v>-1721566.62</v>
      </c>
      <c r="AAE127" s="294">
        <v>-33200</v>
      </c>
      <c r="AAF127" s="294">
        <v>-170912</v>
      </c>
      <c r="AAG127" s="294">
        <v>-107350</v>
      </c>
      <c r="AAH127" s="294">
        <v>-901188.81</v>
      </c>
      <c r="AAI127" s="294"/>
      <c r="AAJ127" s="294">
        <v>0</v>
      </c>
      <c r="AAK127" s="294">
        <v>-523646</v>
      </c>
      <c r="AAL127" s="294"/>
      <c r="AAM127" s="294">
        <v>0</v>
      </c>
      <c r="AAN127" s="294">
        <v>-8552</v>
      </c>
      <c r="AAO127" s="294">
        <v>-27780615.559999999</v>
      </c>
      <c r="AAP127" s="294">
        <v>-278800</v>
      </c>
      <c r="AAQ127" s="294">
        <v>-205574.25</v>
      </c>
      <c r="AAR127" s="294">
        <v>-67540</v>
      </c>
      <c r="AAS127" s="294">
        <v>0</v>
      </c>
      <c r="AAT127" s="294">
        <v>-76900</v>
      </c>
      <c r="AAU127" s="294">
        <v>0</v>
      </c>
      <c r="AAV127" s="294"/>
      <c r="AAW127" s="294">
        <v>-1594633.75</v>
      </c>
      <c r="AAX127" s="294">
        <v>-52565</v>
      </c>
      <c r="AAY127" s="294">
        <v>-173235.23</v>
      </c>
      <c r="AAZ127" s="294">
        <v>-286000</v>
      </c>
      <c r="ABA127" s="294"/>
      <c r="ABB127" s="294">
        <v>-358740.5</v>
      </c>
      <c r="ABC127" s="294">
        <v>-21300</v>
      </c>
      <c r="ABD127" s="294"/>
      <c r="ABE127" s="294">
        <v>-137314.39000000001</v>
      </c>
      <c r="ABF127" s="294">
        <v>0</v>
      </c>
      <c r="ABG127" s="294">
        <v>-497346.03</v>
      </c>
      <c r="ABH127" s="294">
        <v>-1292189</v>
      </c>
      <c r="ABI127" s="294">
        <v>-441283.22</v>
      </c>
      <c r="ABJ127" s="294">
        <v>-829424.25</v>
      </c>
      <c r="ABK127" s="294">
        <v>-454225.3</v>
      </c>
      <c r="ABL127" s="294">
        <v>0</v>
      </c>
      <c r="ABM127" s="294">
        <v>-10500</v>
      </c>
      <c r="ABN127" s="294">
        <v>-3000</v>
      </c>
      <c r="ABO127" s="294">
        <v>-12505542.220000001</v>
      </c>
      <c r="ABP127" s="294">
        <v>-290240</v>
      </c>
      <c r="ABQ127" s="294">
        <v>-9900</v>
      </c>
      <c r="ABR127" s="294">
        <v>-1545613.9</v>
      </c>
      <c r="ABS127" s="294">
        <v>-225277</v>
      </c>
      <c r="ABT127" s="294">
        <v>-110.06</v>
      </c>
      <c r="ABU127" s="294">
        <v>-264362</v>
      </c>
      <c r="ABV127" s="294">
        <v>-118215</v>
      </c>
      <c r="ABW127" s="294"/>
      <c r="ABX127" s="294">
        <v>-788506.22</v>
      </c>
      <c r="ABY127" s="294"/>
      <c r="ABZ127" s="294">
        <v>-482730</v>
      </c>
      <c r="ACA127" s="294"/>
      <c r="ACB127" s="294">
        <v>-2000</v>
      </c>
      <c r="ACC127" s="294">
        <v>-141350</v>
      </c>
      <c r="ACD127" s="294">
        <v>-7000</v>
      </c>
      <c r="ACE127" s="294">
        <v>0</v>
      </c>
      <c r="ACF127" s="294">
        <v>-10934</v>
      </c>
      <c r="ACG127" s="294">
        <v>-15960</v>
      </c>
      <c r="ACH127" s="294">
        <v>-95002.93</v>
      </c>
      <c r="ACI127" s="294">
        <v>-30471790.690000001</v>
      </c>
      <c r="ACJ127" s="294">
        <v>-194750</v>
      </c>
      <c r="ACK127" s="294"/>
      <c r="ACL127" s="294"/>
      <c r="ACM127" s="294">
        <v>-24448.22</v>
      </c>
      <c r="ACN127" s="294">
        <v>0</v>
      </c>
      <c r="ACO127" s="294">
        <v>-377188.25</v>
      </c>
      <c r="ACP127" s="294">
        <v>-6700340.3399999999</v>
      </c>
      <c r="ACQ127" s="294">
        <v>0</v>
      </c>
      <c r="ACR127" s="294">
        <v>-60000</v>
      </c>
      <c r="ACS127" s="294">
        <v>-2273483.2400000002</v>
      </c>
      <c r="ACT127" s="294"/>
      <c r="ACU127" s="294">
        <v>0</v>
      </c>
      <c r="ACV127" s="294">
        <v>0</v>
      </c>
      <c r="ACW127" s="294"/>
      <c r="ACX127" s="294">
        <v>-5075</v>
      </c>
      <c r="ACY127" s="294">
        <v>-266253.75</v>
      </c>
      <c r="ACZ127" s="294">
        <v>-146266</v>
      </c>
      <c r="ADA127" s="294">
        <v>0</v>
      </c>
      <c r="ADB127" s="294">
        <v>-1105125</v>
      </c>
      <c r="ADC127" s="294"/>
      <c r="ADD127" s="294">
        <v>-369611.36</v>
      </c>
      <c r="ADE127" s="294">
        <v>-848</v>
      </c>
      <c r="ADF127" s="294"/>
      <c r="ADG127" s="294">
        <v>-682964.21</v>
      </c>
      <c r="ADH127" s="294"/>
      <c r="ADI127" s="294">
        <v>0</v>
      </c>
      <c r="ADJ127" s="294"/>
      <c r="ADK127" s="294">
        <v>-289177.5</v>
      </c>
      <c r="ADL127" s="294">
        <v>0</v>
      </c>
      <c r="ADM127" s="294">
        <v>0</v>
      </c>
      <c r="ADN127" s="294">
        <v>-57460.66</v>
      </c>
      <c r="ADO127" s="294"/>
      <c r="ADP127" s="294">
        <v>-459324.62</v>
      </c>
      <c r="ADQ127" s="294">
        <v>-4381</v>
      </c>
      <c r="ADR127" s="294"/>
      <c r="ADS127" s="294">
        <v>-804062.6</v>
      </c>
      <c r="ADT127" s="294">
        <v>0</v>
      </c>
      <c r="ADU127" s="294">
        <v>-692198.55</v>
      </c>
      <c r="ADV127" s="294">
        <v>0</v>
      </c>
      <c r="ADW127" s="294">
        <v>-17438.93</v>
      </c>
      <c r="ADX127" s="294">
        <v>-48950</v>
      </c>
      <c r="ADY127" s="294">
        <v>-126380</v>
      </c>
      <c r="ADZ127" s="294">
        <v>-278548.46000000002</v>
      </c>
      <c r="AEA127" s="294">
        <v>0</v>
      </c>
      <c r="AEB127" s="294">
        <v>-219922.16</v>
      </c>
      <c r="AEC127" s="294">
        <v>-620684.12</v>
      </c>
      <c r="AED127" s="294">
        <v>-1134</v>
      </c>
      <c r="AEE127" s="294">
        <v>-26043.64</v>
      </c>
      <c r="AEF127" s="294">
        <v>-12450</v>
      </c>
      <c r="AEG127" s="294">
        <v>-40000</v>
      </c>
      <c r="AEH127" s="294"/>
      <c r="AEI127" s="294">
        <v>-567254.12</v>
      </c>
      <c r="AEJ127" s="294">
        <v>8563.14</v>
      </c>
      <c r="AEK127" s="294">
        <v>-53273</v>
      </c>
      <c r="AEL127" s="294"/>
      <c r="AEM127" s="294">
        <v>-13526</v>
      </c>
      <c r="AEN127" s="294"/>
      <c r="AEO127" s="294">
        <v>-53230</v>
      </c>
      <c r="AEP127" s="294">
        <v>0</v>
      </c>
      <c r="AEQ127" s="294">
        <v>-48690.400000000001</v>
      </c>
      <c r="AER127" s="294">
        <v>-60755.17</v>
      </c>
      <c r="AES127" s="294">
        <v>-24557774.77</v>
      </c>
      <c r="AET127" s="294">
        <v>-391720</v>
      </c>
      <c r="AEU127" s="294">
        <v>-78729.070000000007</v>
      </c>
      <c r="AEV127" s="294">
        <v>-17550</v>
      </c>
      <c r="AEW127" s="294">
        <v>0</v>
      </c>
      <c r="AEX127" s="294">
        <v>-289999.3</v>
      </c>
      <c r="AEY127" s="294">
        <v>0</v>
      </c>
      <c r="AEZ127" s="294">
        <v>-456368.93</v>
      </c>
      <c r="AFA127" s="294">
        <v>-19977</v>
      </c>
      <c r="AFB127" s="294"/>
      <c r="AFC127" s="294">
        <v>-97459786.370000005</v>
      </c>
      <c r="AFD127" s="294">
        <v>-569539.14</v>
      </c>
      <c r="AFE127" s="294">
        <v>0</v>
      </c>
      <c r="AFF127" s="294">
        <v>-1000781.84</v>
      </c>
      <c r="AFG127" s="294"/>
      <c r="AFH127" s="294">
        <v>-202944.92</v>
      </c>
      <c r="AFI127" s="294">
        <v>0</v>
      </c>
      <c r="AFJ127" s="294">
        <v>0</v>
      </c>
      <c r="AFK127" s="294">
        <v>-495654</v>
      </c>
      <c r="AFL127" s="294">
        <v>0</v>
      </c>
      <c r="AFM127" s="294">
        <v>-242325</v>
      </c>
      <c r="AFN127" s="294">
        <v>-309613.7</v>
      </c>
      <c r="AFO127" s="294">
        <v>-350350</v>
      </c>
      <c r="AFP127" s="294">
        <v>-363657.27</v>
      </c>
      <c r="AFQ127" s="294">
        <v>-44600</v>
      </c>
      <c r="AFR127" s="294"/>
      <c r="AFS127" s="294">
        <v>-32107.919999999998</v>
      </c>
      <c r="AFT127" s="294">
        <v>-377114.28</v>
      </c>
      <c r="AFU127" s="294">
        <v>-38391.14</v>
      </c>
      <c r="AFV127" s="294">
        <v>0</v>
      </c>
      <c r="AFW127" s="294">
        <v>-5000</v>
      </c>
      <c r="AFX127" s="294"/>
      <c r="AFY127" s="294">
        <v>0</v>
      </c>
      <c r="AFZ127" s="294">
        <v>-1064325</v>
      </c>
      <c r="AGA127" s="294">
        <v>-4653</v>
      </c>
      <c r="AGB127" s="294">
        <v>-59654017.25</v>
      </c>
      <c r="AGC127" s="294">
        <v>-62550</v>
      </c>
      <c r="AGD127" s="294">
        <v>-413675.86</v>
      </c>
      <c r="AGE127" s="294">
        <v>0</v>
      </c>
      <c r="AGF127" s="294">
        <v>-488</v>
      </c>
      <c r="AGG127" s="294">
        <v>0</v>
      </c>
      <c r="AGH127" s="294">
        <v>-93705</v>
      </c>
      <c r="AGI127" s="294">
        <v>-203672.5</v>
      </c>
      <c r="AGJ127" s="294">
        <v>-184156.51</v>
      </c>
      <c r="AGK127" s="294">
        <v>-210333</v>
      </c>
      <c r="AGL127" s="294">
        <v>-75363.179999999993</v>
      </c>
      <c r="AGM127" s="294">
        <v>-390611</v>
      </c>
      <c r="AGN127" s="294">
        <v>-1492866.67</v>
      </c>
      <c r="AGO127" s="294">
        <v>-38769</v>
      </c>
      <c r="AGP127" s="294">
        <v>-27579.9</v>
      </c>
      <c r="AGQ127" s="294">
        <v>0</v>
      </c>
      <c r="AGR127" s="294">
        <v>0</v>
      </c>
      <c r="AGS127" s="294"/>
      <c r="AGT127" s="294"/>
      <c r="AGU127" s="294">
        <v>-1120444.5</v>
      </c>
      <c r="AGV127" s="294">
        <v>-4316108.67</v>
      </c>
      <c r="AGW127" s="294"/>
      <c r="AGX127" s="294">
        <v>0</v>
      </c>
      <c r="AGY127" s="294"/>
      <c r="AGZ127" s="294">
        <v>-334956</v>
      </c>
      <c r="AHA127" s="294">
        <v>-399721</v>
      </c>
      <c r="AHB127" s="294">
        <v>0</v>
      </c>
      <c r="AHC127" s="294"/>
      <c r="AHD127" s="294">
        <v>-451050</v>
      </c>
      <c r="AHE127" s="294">
        <v>0</v>
      </c>
      <c r="AHF127" s="294">
        <v>-31026</v>
      </c>
      <c r="AHG127" s="294">
        <v>0</v>
      </c>
      <c r="AHH127" s="294">
        <v>-261391.41</v>
      </c>
      <c r="AHI127" s="294"/>
      <c r="AHJ127" s="294">
        <v>-798853.73</v>
      </c>
      <c r="AHK127" s="294">
        <v>-63519.42</v>
      </c>
      <c r="AHL127" s="294">
        <v>-1437278.14</v>
      </c>
      <c r="AHM127" s="294"/>
      <c r="AHN127" s="294">
        <v>0</v>
      </c>
      <c r="AHO127" s="294">
        <v>-65321</v>
      </c>
      <c r="AHP127" s="294">
        <v>0</v>
      </c>
      <c r="AHQ127" s="294">
        <v>-10126.75</v>
      </c>
      <c r="AHR127" s="331"/>
      <c r="AHS127" s="294">
        <f t="shared" si="53"/>
        <v>-1034288520.740099</v>
      </c>
      <c r="AHT127" s="269" t="b">
        <f t="shared" si="54"/>
        <v>1</v>
      </c>
      <c r="AHU127" s="269" t="s">
        <v>6278</v>
      </c>
      <c r="AHV127" s="269" t="s">
        <v>6196</v>
      </c>
      <c r="AHW127" s="269" t="s">
        <v>6197</v>
      </c>
    </row>
    <row r="128" spans="1:907" ht="24.6" x14ac:dyDescent="0.7">
      <c r="A128" s="268" t="s">
        <v>6278</v>
      </c>
      <c r="B128" s="268" t="s">
        <v>6198</v>
      </c>
      <c r="C128" s="269" t="s">
        <v>6199</v>
      </c>
      <c r="D128" s="294"/>
      <c r="E128" s="294">
        <v>-350026</v>
      </c>
      <c r="F128" s="294"/>
      <c r="G128" s="294"/>
      <c r="H128" s="294"/>
      <c r="I128" s="294">
        <v>-27469</v>
      </c>
      <c r="J128" s="294"/>
      <c r="K128" s="294">
        <v>-111558</v>
      </c>
      <c r="L128" s="294">
        <v>-56281</v>
      </c>
      <c r="M128" s="294">
        <v>-49840</v>
      </c>
      <c r="N128" s="294"/>
      <c r="O128" s="294">
        <v>-54540</v>
      </c>
      <c r="P128" s="294"/>
      <c r="Q128" s="294"/>
      <c r="R128" s="294"/>
      <c r="S128" s="294"/>
      <c r="T128" s="294"/>
      <c r="U128" s="294">
        <v>-15000</v>
      </c>
      <c r="V128" s="294">
        <v>-2162889</v>
      </c>
      <c r="W128" s="294"/>
      <c r="X128" s="294"/>
      <c r="Y128" s="294">
        <v>-462387</v>
      </c>
      <c r="Z128" s="294"/>
      <c r="AA128" s="294">
        <v>-4485</v>
      </c>
      <c r="AB128" s="294">
        <v>-5410</v>
      </c>
      <c r="AC128" s="294"/>
      <c r="AD128" s="294">
        <v>-20554</v>
      </c>
      <c r="AE128" s="294">
        <v>-24700</v>
      </c>
      <c r="AF128" s="294">
        <v>-2340</v>
      </c>
      <c r="AG128" s="294"/>
      <c r="AH128" s="294">
        <v>-311976</v>
      </c>
      <c r="AI128" s="294">
        <v>-196603</v>
      </c>
      <c r="AJ128" s="294"/>
      <c r="AK128" s="294">
        <v>-30900</v>
      </c>
      <c r="AL128" s="294"/>
      <c r="AM128" s="294">
        <v>-5047</v>
      </c>
      <c r="AN128" s="294"/>
      <c r="AO128" s="294">
        <v>-112535.72</v>
      </c>
      <c r="AP128" s="294">
        <v>-228815</v>
      </c>
      <c r="AQ128" s="294"/>
      <c r="AR128" s="294">
        <v>-39883</v>
      </c>
      <c r="AS128" s="294">
        <v>-4404</v>
      </c>
      <c r="AT128" s="294">
        <v>-425256.41</v>
      </c>
      <c r="AU128" s="294">
        <v>-3600</v>
      </c>
      <c r="AV128" s="294">
        <v>-29099</v>
      </c>
      <c r="AW128" s="294">
        <v>-174759</v>
      </c>
      <c r="AX128" s="294">
        <v>-1500</v>
      </c>
      <c r="AY128" s="294">
        <v>-89244</v>
      </c>
      <c r="AZ128" s="294"/>
      <c r="BA128" s="294"/>
      <c r="BB128" s="294">
        <v>-2200</v>
      </c>
      <c r="BC128" s="294">
        <v>-79317</v>
      </c>
      <c r="BD128" s="294"/>
      <c r="BE128" s="294">
        <v>-44905</v>
      </c>
      <c r="BF128" s="294">
        <v>-10000</v>
      </c>
      <c r="BG128" s="294">
        <v>-781</v>
      </c>
      <c r="BH128" s="294"/>
      <c r="BI128" s="294"/>
      <c r="BJ128" s="294">
        <v>-346398</v>
      </c>
      <c r="BK128" s="294">
        <v>-68800</v>
      </c>
      <c r="BL128" s="294"/>
      <c r="BM128" s="294">
        <v>-21050</v>
      </c>
      <c r="BN128" s="294">
        <v>-87979</v>
      </c>
      <c r="BO128" s="294">
        <v>-57000</v>
      </c>
      <c r="BP128" s="294"/>
      <c r="BQ128" s="294">
        <v>-600</v>
      </c>
      <c r="BR128" s="294">
        <v>-59880</v>
      </c>
      <c r="BS128" s="294">
        <v>-5897</v>
      </c>
      <c r="BT128" s="294">
        <v>-28768</v>
      </c>
      <c r="BU128" s="294"/>
      <c r="BV128" s="294">
        <v>-19044</v>
      </c>
      <c r="BW128" s="294">
        <v>-2327</v>
      </c>
      <c r="BX128" s="294">
        <v>-7211</v>
      </c>
      <c r="BY128" s="294"/>
      <c r="BZ128" s="294">
        <v>-601781.64</v>
      </c>
      <c r="CA128" s="294">
        <v>-69572.240000000005</v>
      </c>
      <c r="CB128" s="294">
        <v>-6000</v>
      </c>
      <c r="CC128" s="294"/>
      <c r="CD128" s="294"/>
      <c r="CE128" s="294"/>
      <c r="CF128" s="294">
        <v>-70902</v>
      </c>
      <c r="CG128" s="294">
        <v>-1231502</v>
      </c>
      <c r="CH128" s="294"/>
      <c r="CI128" s="294"/>
      <c r="CJ128" s="294"/>
      <c r="CK128" s="294"/>
      <c r="CL128" s="294"/>
      <c r="CM128" s="294"/>
      <c r="CN128" s="294">
        <v>-5500</v>
      </c>
      <c r="CO128" s="294"/>
      <c r="CP128" s="294"/>
      <c r="CQ128" s="294"/>
      <c r="CR128" s="294"/>
      <c r="CS128" s="294"/>
      <c r="CT128" s="294"/>
      <c r="CU128" s="294"/>
      <c r="CV128" s="294">
        <v>-1039</v>
      </c>
      <c r="CW128" s="294">
        <v>-224600</v>
      </c>
      <c r="CX128" s="294">
        <v>-7800</v>
      </c>
      <c r="CY128" s="294">
        <v>-7400</v>
      </c>
      <c r="CZ128" s="294"/>
      <c r="DA128" s="294">
        <v>-26767</v>
      </c>
      <c r="DB128" s="294"/>
      <c r="DC128" s="294">
        <v>-7136</v>
      </c>
      <c r="DD128" s="294"/>
      <c r="DE128" s="294"/>
      <c r="DF128" s="294"/>
      <c r="DG128" s="294"/>
      <c r="DH128" s="294"/>
      <c r="DI128" s="294"/>
      <c r="DJ128" s="294"/>
      <c r="DK128" s="294"/>
      <c r="DL128" s="294"/>
      <c r="DM128" s="294">
        <v>-35000</v>
      </c>
      <c r="DN128" s="294"/>
      <c r="DO128" s="294"/>
      <c r="DP128" s="294"/>
      <c r="DQ128" s="294"/>
      <c r="DR128" s="294"/>
      <c r="DS128" s="294"/>
      <c r="DT128" s="294">
        <v>-36000</v>
      </c>
      <c r="DU128" s="294"/>
      <c r="DV128" s="294"/>
      <c r="DW128" s="294">
        <v>-37095</v>
      </c>
      <c r="DX128" s="294"/>
      <c r="DY128" s="294"/>
      <c r="DZ128" s="294">
        <v>-16735</v>
      </c>
      <c r="EA128" s="294">
        <v>-22595</v>
      </c>
      <c r="EB128" s="294">
        <v>-25400</v>
      </c>
      <c r="EC128" s="294"/>
      <c r="ED128" s="294"/>
      <c r="EE128" s="294"/>
      <c r="EF128" s="294">
        <v>-12400</v>
      </c>
      <c r="EG128" s="294"/>
      <c r="EH128" s="294"/>
      <c r="EI128" s="294"/>
      <c r="EJ128" s="294"/>
      <c r="EK128" s="294">
        <v>-1932</v>
      </c>
      <c r="EL128" s="294"/>
      <c r="EM128" s="294"/>
      <c r="EN128" s="294"/>
      <c r="EO128" s="294"/>
      <c r="EP128" s="294"/>
      <c r="EQ128" s="294"/>
      <c r="ER128" s="294"/>
      <c r="ES128" s="294">
        <v>-124612</v>
      </c>
      <c r="ET128" s="294">
        <v>-153300</v>
      </c>
      <c r="EU128" s="294"/>
      <c r="EV128" s="294">
        <v>-63125.75</v>
      </c>
      <c r="EW128" s="294">
        <v>-102650</v>
      </c>
      <c r="EX128" s="294"/>
      <c r="EY128" s="294"/>
      <c r="EZ128" s="294"/>
      <c r="FA128" s="294"/>
      <c r="FB128" s="294"/>
      <c r="FC128" s="294"/>
      <c r="FD128" s="294"/>
      <c r="FE128" s="294"/>
      <c r="FF128" s="294">
        <v>-31311</v>
      </c>
      <c r="FG128" s="294">
        <v>-31147</v>
      </c>
      <c r="FH128" s="294"/>
      <c r="FI128" s="294"/>
      <c r="FJ128" s="294">
        <v>-50756</v>
      </c>
      <c r="FK128" s="294">
        <v>-355129</v>
      </c>
      <c r="FL128" s="294">
        <v>-390474</v>
      </c>
      <c r="FM128" s="294">
        <v>-24005</v>
      </c>
      <c r="FN128" s="294">
        <v>0</v>
      </c>
      <c r="FO128" s="294">
        <v>-34693.75</v>
      </c>
      <c r="FP128" s="294">
        <v>-3532</v>
      </c>
      <c r="FQ128" s="294"/>
      <c r="FR128" s="294">
        <v>-53433</v>
      </c>
      <c r="FS128" s="294">
        <v>-44954</v>
      </c>
      <c r="FT128" s="294">
        <v>-300</v>
      </c>
      <c r="FU128" s="294">
        <v>-820935</v>
      </c>
      <c r="FV128" s="294">
        <v>-19549</v>
      </c>
      <c r="FW128" s="294">
        <v>-328653.5</v>
      </c>
      <c r="FX128" s="294">
        <v>-41217</v>
      </c>
      <c r="FY128" s="294">
        <v>-192473</v>
      </c>
      <c r="FZ128" s="294"/>
      <c r="GA128" s="294"/>
      <c r="GB128" s="294">
        <v>-73416</v>
      </c>
      <c r="GC128" s="294"/>
      <c r="GD128" s="294">
        <v>-26922</v>
      </c>
      <c r="GE128" s="294">
        <v>-44955.5</v>
      </c>
      <c r="GF128" s="294"/>
      <c r="GG128" s="294"/>
      <c r="GH128" s="294">
        <v>-20</v>
      </c>
      <c r="GI128" s="294"/>
      <c r="GJ128" s="294"/>
      <c r="GK128" s="294"/>
      <c r="GL128" s="294"/>
      <c r="GM128" s="294"/>
      <c r="GN128" s="294"/>
      <c r="GO128" s="294"/>
      <c r="GP128" s="294"/>
      <c r="GQ128" s="294"/>
      <c r="GR128" s="294"/>
      <c r="GS128" s="294"/>
      <c r="GT128" s="294"/>
      <c r="GU128" s="294"/>
      <c r="GV128" s="294"/>
      <c r="GW128" s="294"/>
      <c r="GX128" s="294"/>
      <c r="GY128" s="294"/>
      <c r="GZ128" s="294">
        <v>-177993</v>
      </c>
      <c r="HA128" s="294">
        <v>-31030.7</v>
      </c>
      <c r="HB128" s="294">
        <v>-17189</v>
      </c>
      <c r="HC128" s="294">
        <v>-260369</v>
      </c>
      <c r="HD128" s="294">
        <v>-8055</v>
      </c>
      <c r="HE128" s="294"/>
      <c r="HF128" s="294">
        <v>-181335.17</v>
      </c>
      <c r="HG128" s="294">
        <v>-24207</v>
      </c>
      <c r="HH128" s="294">
        <v>0</v>
      </c>
      <c r="HI128" s="294"/>
      <c r="HJ128" s="294">
        <v>-23674</v>
      </c>
      <c r="HK128" s="294"/>
      <c r="HL128" s="294"/>
      <c r="HM128" s="294"/>
      <c r="HN128" s="294"/>
      <c r="HO128" s="294"/>
      <c r="HP128" s="294"/>
      <c r="HQ128" s="294">
        <v>0</v>
      </c>
      <c r="HR128" s="294"/>
      <c r="HS128" s="294"/>
      <c r="HT128" s="294">
        <v>-216716</v>
      </c>
      <c r="HU128" s="294">
        <v>-9404</v>
      </c>
      <c r="HV128" s="294">
        <v>-6632.5</v>
      </c>
      <c r="HW128" s="294"/>
      <c r="HX128" s="294"/>
      <c r="HY128" s="294"/>
      <c r="HZ128" s="294">
        <v>-37454</v>
      </c>
      <c r="IA128" s="294"/>
      <c r="IB128" s="294"/>
      <c r="IC128" s="294"/>
      <c r="ID128" s="294"/>
      <c r="IE128" s="294">
        <v>-33910</v>
      </c>
      <c r="IF128" s="294"/>
      <c r="IG128" s="294"/>
      <c r="IH128" s="294">
        <v>0</v>
      </c>
      <c r="II128" s="294">
        <v>-24124</v>
      </c>
      <c r="IJ128" s="294">
        <v>-93393</v>
      </c>
      <c r="IK128" s="294">
        <v>-12100</v>
      </c>
      <c r="IL128" s="294">
        <v>-19608.25</v>
      </c>
      <c r="IM128" s="294">
        <v>-56259</v>
      </c>
      <c r="IN128" s="294">
        <v>-61497</v>
      </c>
      <c r="IO128" s="294">
        <v>-7450</v>
      </c>
      <c r="IP128" s="294">
        <v>-21400</v>
      </c>
      <c r="IQ128" s="294">
        <v>-94568</v>
      </c>
      <c r="IR128" s="294">
        <v>-2235</v>
      </c>
      <c r="IS128" s="294">
        <v>-1042153</v>
      </c>
      <c r="IT128" s="294">
        <v>-58988</v>
      </c>
      <c r="IU128" s="294"/>
      <c r="IV128" s="294">
        <v>-207139</v>
      </c>
      <c r="IW128" s="294"/>
      <c r="IX128" s="294"/>
      <c r="IY128" s="294">
        <v>-18893</v>
      </c>
      <c r="IZ128" s="294"/>
      <c r="JA128" s="294"/>
      <c r="JB128" s="294"/>
      <c r="JC128" s="294">
        <v>-9782</v>
      </c>
      <c r="JD128" s="294">
        <v>-47544</v>
      </c>
      <c r="JE128" s="294"/>
      <c r="JF128" s="294">
        <v>-12000</v>
      </c>
      <c r="JG128" s="294">
        <v>-4550</v>
      </c>
      <c r="JH128" s="294"/>
      <c r="JI128" s="294"/>
      <c r="JJ128" s="294"/>
      <c r="JK128" s="294">
        <v>-179459</v>
      </c>
      <c r="JL128" s="294"/>
      <c r="JM128" s="294"/>
      <c r="JN128" s="294"/>
      <c r="JO128" s="294"/>
      <c r="JP128" s="294"/>
      <c r="JQ128" s="294"/>
      <c r="JR128" s="294"/>
      <c r="JS128" s="294"/>
      <c r="JT128" s="294"/>
      <c r="JU128" s="294">
        <v>-4959.6000000000004</v>
      </c>
      <c r="JV128" s="294">
        <v>-103723</v>
      </c>
      <c r="JW128" s="294"/>
      <c r="JX128" s="294">
        <v>-348166</v>
      </c>
      <c r="JY128" s="294"/>
      <c r="JZ128" s="294"/>
      <c r="KA128" s="294">
        <v>0</v>
      </c>
      <c r="KB128" s="294">
        <v>-6270</v>
      </c>
      <c r="KC128" s="294"/>
      <c r="KD128" s="294">
        <v>-366998</v>
      </c>
      <c r="KE128" s="294">
        <v>-4140</v>
      </c>
      <c r="KF128" s="294">
        <v>0</v>
      </c>
      <c r="KG128" s="294">
        <v>-30744</v>
      </c>
      <c r="KH128" s="294"/>
      <c r="KI128" s="294"/>
      <c r="KJ128" s="294"/>
      <c r="KK128" s="294"/>
      <c r="KL128" s="294"/>
      <c r="KM128" s="294"/>
      <c r="KN128" s="294"/>
      <c r="KO128" s="294">
        <v>0</v>
      </c>
      <c r="KP128" s="294"/>
      <c r="KQ128" s="294">
        <v>-78809</v>
      </c>
      <c r="KR128" s="294">
        <v>-43086</v>
      </c>
      <c r="KS128" s="294">
        <v>-39148</v>
      </c>
      <c r="KT128" s="294"/>
      <c r="KU128" s="294">
        <v>-114106.25</v>
      </c>
      <c r="KV128" s="294">
        <v>-1710</v>
      </c>
      <c r="KW128" s="294">
        <v>-165184.25</v>
      </c>
      <c r="KX128" s="294">
        <v>0</v>
      </c>
      <c r="KY128" s="294">
        <v>-10000</v>
      </c>
      <c r="KZ128" s="294"/>
      <c r="LA128" s="294"/>
      <c r="LB128" s="294"/>
      <c r="LC128" s="294"/>
      <c r="LD128" s="294"/>
      <c r="LE128" s="294"/>
      <c r="LF128" s="294"/>
      <c r="LG128" s="294"/>
      <c r="LH128" s="294">
        <v>-93856</v>
      </c>
      <c r="LI128" s="294">
        <v>-185446.47</v>
      </c>
      <c r="LJ128" s="294">
        <v>-159082</v>
      </c>
      <c r="LK128" s="294"/>
      <c r="LL128" s="294"/>
      <c r="LM128" s="294"/>
      <c r="LN128" s="294"/>
      <c r="LO128" s="294"/>
      <c r="LP128" s="294"/>
      <c r="LQ128" s="294">
        <v>-4450</v>
      </c>
      <c r="LR128" s="294"/>
      <c r="LS128" s="294"/>
      <c r="LT128" s="294"/>
      <c r="LU128" s="294">
        <v>-1974740.75</v>
      </c>
      <c r="LV128" s="294">
        <v>-317000</v>
      </c>
      <c r="LW128" s="294"/>
      <c r="LX128" s="294">
        <v>-91753</v>
      </c>
      <c r="LY128" s="294"/>
      <c r="LZ128" s="294"/>
      <c r="MA128" s="294"/>
      <c r="MB128" s="294"/>
      <c r="MC128" s="294"/>
      <c r="MD128" s="294"/>
      <c r="ME128" s="294"/>
      <c r="MF128" s="294"/>
      <c r="MG128" s="294"/>
      <c r="MH128" s="294"/>
      <c r="MI128" s="294"/>
      <c r="MJ128" s="294">
        <v>0</v>
      </c>
      <c r="MK128" s="294"/>
      <c r="ML128" s="294"/>
      <c r="MM128" s="294"/>
      <c r="MN128" s="294"/>
      <c r="MO128" s="294"/>
      <c r="MP128" s="294"/>
      <c r="MQ128" s="294">
        <v>-113549.25</v>
      </c>
      <c r="MR128" s="294">
        <v>-36010</v>
      </c>
      <c r="MS128" s="294">
        <v>-237163</v>
      </c>
      <c r="MT128" s="294"/>
      <c r="MU128" s="294"/>
      <c r="MV128" s="294">
        <v>-192691</v>
      </c>
      <c r="MW128" s="294"/>
      <c r="MX128" s="294"/>
      <c r="MY128" s="294">
        <v>-34104</v>
      </c>
      <c r="MZ128" s="294"/>
      <c r="NA128" s="294">
        <v>-20725</v>
      </c>
      <c r="NB128" s="294"/>
      <c r="NC128" s="294"/>
      <c r="ND128" s="294">
        <v>-37500</v>
      </c>
      <c r="NE128" s="294"/>
      <c r="NF128" s="294"/>
      <c r="NG128" s="294"/>
      <c r="NH128" s="294">
        <v>0</v>
      </c>
      <c r="NI128" s="294"/>
      <c r="NJ128" s="294">
        <v>-36753</v>
      </c>
      <c r="NK128" s="294"/>
      <c r="NL128" s="294"/>
      <c r="NM128" s="294"/>
      <c r="NN128" s="294"/>
      <c r="NO128" s="294"/>
      <c r="NP128" s="294">
        <v>-39083.9</v>
      </c>
      <c r="NQ128" s="294">
        <v>-43687</v>
      </c>
      <c r="NR128" s="294">
        <v>0</v>
      </c>
      <c r="NS128" s="294"/>
      <c r="NT128" s="294">
        <v>-6533</v>
      </c>
      <c r="NU128" s="294"/>
      <c r="NV128" s="294"/>
      <c r="NW128" s="294"/>
      <c r="NX128" s="294"/>
      <c r="NY128" s="294">
        <v>0</v>
      </c>
      <c r="NZ128" s="294"/>
      <c r="OA128" s="294"/>
      <c r="OB128" s="294"/>
      <c r="OC128" s="294">
        <v>0</v>
      </c>
      <c r="OD128" s="294">
        <v>-108000</v>
      </c>
      <c r="OE128" s="294">
        <v>-326086.43</v>
      </c>
      <c r="OF128" s="294"/>
      <c r="OG128" s="294">
        <v>-793259.05</v>
      </c>
      <c r="OH128" s="294">
        <v>-61388</v>
      </c>
      <c r="OI128" s="294"/>
      <c r="OJ128" s="294">
        <v>-351149.92</v>
      </c>
      <c r="OK128" s="294"/>
      <c r="OL128" s="294"/>
      <c r="OM128" s="294"/>
      <c r="ON128" s="294">
        <v>0</v>
      </c>
      <c r="OO128" s="294">
        <v>-242400</v>
      </c>
      <c r="OP128" s="294"/>
      <c r="OQ128" s="294"/>
      <c r="OR128" s="294"/>
      <c r="OS128" s="294">
        <v>-13000</v>
      </c>
      <c r="OT128" s="294"/>
      <c r="OU128" s="294"/>
      <c r="OV128" s="294">
        <v>-49777</v>
      </c>
      <c r="OW128" s="294">
        <v>-1835</v>
      </c>
      <c r="OX128" s="294"/>
      <c r="OY128" s="294"/>
      <c r="OZ128" s="294">
        <v>-97393</v>
      </c>
      <c r="PA128" s="294"/>
      <c r="PB128" s="294">
        <v>-341559</v>
      </c>
      <c r="PC128" s="294"/>
      <c r="PD128" s="294">
        <v>-44650</v>
      </c>
      <c r="PE128" s="294"/>
      <c r="PF128" s="294">
        <v>0</v>
      </c>
      <c r="PG128" s="294">
        <v>-142508</v>
      </c>
      <c r="PH128" s="294"/>
      <c r="PI128" s="294">
        <v>-6500</v>
      </c>
      <c r="PJ128" s="294"/>
      <c r="PK128" s="294">
        <v>-63420</v>
      </c>
      <c r="PL128" s="294">
        <v>-12800</v>
      </c>
      <c r="PM128" s="294">
        <v>-12044</v>
      </c>
      <c r="PN128" s="294"/>
      <c r="PO128" s="294">
        <v>-55375</v>
      </c>
      <c r="PP128" s="294"/>
      <c r="PQ128" s="294"/>
      <c r="PR128" s="294"/>
      <c r="PS128" s="294"/>
      <c r="PT128" s="294"/>
      <c r="PU128" s="294">
        <v>-45471</v>
      </c>
      <c r="PV128" s="294">
        <v>0</v>
      </c>
      <c r="PW128" s="294"/>
      <c r="PX128" s="294"/>
      <c r="PY128" s="294">
        <v>-42653</v>
      </c>
      <c r="PZ128" s="294">
        <v>-774633</v>
      </c>
      <c r="QA128" s="294"/>
      <c r="QB128" s="294"/>
      <c r="QC128" s="294">
        <v>-102535</v>
      </c>
      <c r="QD128" s="294"/>
      <c r="QE128" s="294">
        <v>-202769</v>
      </c>
      <c r="QF128" s="294">
        <v>-75869</v>
      </c>
      <c r="QG128" s="294">
        <v>-143046</v>
      </c>
      <c r="QH128" s="294">
        <v>-176997</v>
      </c>
      <c r="QI128" s="294"/>
      <c r="QJ128" s="294">
        <v>-7184</v>
      </c>
      <c r="QK128" s="294">
        <v>-5439</v>
      </c>
      <c r="QL128" s="294"/>
      <c r="QM128" s="294">
        <v>-526929.52</v>
      </c>
      <c r="QN128" s="294"/>
      <c r="QO128" s="294">
        <v>-17000</v>
      </c>
      <c r="QP128" s="294"/>
      <c r="QQ128" s="294">
        <v>-22178</v>
      </c>
      <c r="QR128" s="294"/>
      <c r="QS128" s="294"/>
      <c r="QT128" s="294">
        <v>-685970</v>
      </c>
      <c r="QU128" s="294">
        <v>-33725</v>
      </c>
      <c r="QV128" s="294">
        <v>-53000</v>
      </c>
      <c r="QW128" s="294"/>
      <c r="QX128" s="294"/>
      <c r="QY128" s="294">
        <v>-144835</v>
      </c>
      <c r="QZ128" s="294">
        <v>-10800</v>
      </c>
      <c r="RA128" s="294"/>
      <c r="RB128" s="294">
        <v>-23778</v>
      </c>
      <c r="RC128" s="294"/>
      <c r="RD128" s="294"/>
      <c r="RE128" s="294"/>
      <c r="RF128" s="294"/>
      <c r="RG128" s="294">
        <v>-283910.25</v>
      </c>
      <c r="RH128" s="294">
        <v>-55556</v>
      </c>
      <c r="RI128" s="294">
        <v>-64270</v>
      </c>
      <c r="RJ128" s="294"/>
      <c r="RK128" s="294"/>
      <c r="RL128" s="294">
        <v>-277548</v>
      </c>
      <c r="RM128" s="294">
        <v>-402227</v>
      </c>
      <c r="RN128" s="294">
        <v>-539571</v>
      </c>
      <c r="RO128" s="294"/>
      <c r="RP128" s="294">
        <v>-362589</v>
      </c>
      <c r="RQ128" s="294">
        <v>-99003</v>
      </c>
      <c r="RR128" s="294">
        <v>-562222</v>
      </c>
      <c r="RS128" s="294">
        <v>-1000</v>
      </c>
      <c r="RT128" s="294">
        <v>-120970</v>
      </c>
      <c r="RU128" s="294"/>
      <c r="RV128" s="294">
        <v>-400818</v>
      </c>
      <c r="RW128" s="294">
        <v>-31000</v>
      </c>
      <c r="RX128" s="294">
        <v>-129948</v>
      </c>
      <c r="RY128" s="294">
        <v>-44437</v>
      </c>
      <c r="RZ128" s="294">
        <v>-261412</v>
      </c>
      <c r="SA128" s="294">
        <v>-50000</v>
      </c>
      <c r="SB128" s="294"/>
      <c r="SC128" s="294"/>
      <c r="SD128" s="294"/>
      <c r="SE128" s="294"/>
      <c r="SF128" s="294"/>
      <c r="SG128" s="294"/>
      <c r="SH128" s="294"/>
      <c r="SI128" s="294"/>
      <c r="SJ128" s="294">
        <v>-16200</v>
      </c>
      <c r="SK128" s="294"/>
      <c r="SL128" s="294"/>
      <c r="SM128" s="294">
        <v>-77500</v>
      </c>
      <c r="SN128" s="294"/>
      <c r="SO128" s="294"/>
      <c r="SP128" s="294"/>
      <c r="SQ128" s="294"/>
      <c r="SR128" s="294"/>
      <c r="SS128" s="294"/>
      <c r="ST128" s="294"/>
      <c r="SU128" s="294"/>
      <c r="SV128" s="294"/>
      <c r="SW128" s="294"/>
      <c r="SX128" s="294"/>
      <c r="SY128" s="294"/>
      <c r="SZ128" s="294"/>
      <c r="TA128" s="294"/>
      <c r="TB128" s="294"/>
      <c r="TC128" s="294"/>
      <c r="TD128" s="294"/>
      <c r="TE128" s="294"/>
      <c r="TF128" s="294"/>
      <c r="TG128" s="294"/>
      <c r="TH128" s="294"/>
      <c r="TI128" s="294">
        <v>-3500</v>
      </c>
      <c r="TJ128" s="294"/>
      <c r="TK128" s="294"/>
      <c r="TL128" s="294"/>
      <c r="TM128" s="294"/>
      <c r="TN128" s="294"/>
      <c r="TO128" s="294"/>
      <c r="TP128" s="294"/>
      <c r="TQ128" s="294"/>
      <c r="TR128" s="294"/>
      <c r="TS128" s="294">
        <v>-68241</v>
      </c>
      <c r="TT128" s="294"/>
      <c r="TU128" s="294"/>
      <c r="TV128" s="294">
        <v>-13500</v>
      </c>
      <c r="TW128" s="294"/>
      <c r="TX128" s="294"/>
      <c r="TY128" s="294"/>
      <c r="TZ128" s="294"/>
      <c r="UA128" s="294"/>
      <c r="UB128" s="294"/>
      <c r="UC128" s="294"/>
      <c r="UD128" s="294"/>
      <c r="UE128" s="294">
        <v>-113490</v>
      </c>
      <c r="UF128" s="294"/>
      <c r="UG128" s="294"/>
      <c r="UH128" s="294">
        <v>-6400</v>
      </c>
      <c r="UI128" s="294"/>
      <c r="UJ128" s="294"/>
      <c r="UK128" s="294"/>
      <c r="UL128" s="294"/>
      <c r="UM128" s="294"/>
      <c r="UN128" s="294"/>
      <c r="UO128" s="294"/>
      <c r="UP128" s="294"/>
      <c r="UQ128" s="294">
        <v>-8180</v>
      </c>
      <c r="UR128" s="294"/>
      <c r="US128" s="294"/>
      <c r="UT128" s="294"/>
      <c r="UU128" s="294">
        <v>-39416</v>
      </c>
      <c r="UV128" s="294">
        <v>-33774</v>
      </c>
      <c r="UW128" s="294">
        <v>-7000</v>
      </c>
      <c r="UX128" s="294"/>
      <c r="UY128" s="294">
        <v>-41450</v>
      </c>
      <c r="UZ128" s="294"/>
      <c r="VA128" s="294"/>
      <c r="VB128" s="294">
        <v>-63870</v>
      </c>
      <c r="VC128" s="294"/>
      <c r="VD128" s="294"/>
      <c r="VE128" s="294">
        <v>-16727</v>
      </c>
      <c r="VF128" s="294"/>
      <c r="VG128" s="294"/>
      <c r="VH128" s="294"/>
      <c r="VI128" s="294"/>
      <c r="VJ128" s="294"/>
      <c r="VK128" s="294"/>
      <c r="VL128" s="294"/>
      <c r="VM128" s="294"/>
      <c r="VN128" s="294"/>
      <c r="VO128" s="294"/>
      <c r="VP128" s="294"/>
      <c r="VQ128" s="294"/>
      <c r="VR128" s="294">
        <v>-929</v>
      </c>
      <c r="VS128" s="294"/>
      <c r="VT128" s="294">
        <v>-219615.5</v>
      </c>
      <c r="VU128" s="294">
        <v>-18856</v>
      </c>
      <c r="VV128" s="294"/>
      <c r="VW128" s="294"/>
      <c r="VX128" s="294">
        <v>-246597.76000000001</v>
      </c>
      <c r="VY128" s="294"/>
      <c r="VZ128" s="294">
        <v>-20270</v>
      </c>
      <c r="WA128" s="294"/>
      <c r="WB128" s="294">
        <v>-234805</v>
      </c>
      <c r="WC128" s="294">
        <v>-172006.87</v>
      </c>
      <c r="WD128" s="294">
        <v>-315418.73</v>
      </c>
      <c r="WE128" s="294"/>
      <c r="WF128" s="294">
        <v>-42121</v>
      </c>
      <c r="WG128" s="294"/>
      <c r="WH128" s="294">
        <v>-1000</v>
      </c>
      <c r="WI128" s="294">
        <v>-27302</v>
      </c>
      <c r="WJ128" s="294"/>
      <c r="WK128" s="294"/>
      <c r="WL128" s="294">
        <v>-23998</v>
      </c>
      <c r="WM128" s="294"/>
      <c r="WN128" s="294">
        <v>-29976</v>
      </c>
      <c r="WO128" s="294">
        <v>-47874</v>
      </c>
      <c r="WP128" s="294">
        <v>-5000</v>
      </c>
      <c r="WQ128" s="294">
        <v>-24200</v>
      </c>
      <c r="WR128" s="294"/>
      <c r="WS128" s="294">
        <v>-139613.91</v>
      </c>
      <c r="WT128" s="294">
        <v>-357986</v>
      </c>
      <c r="WU128" s="294">
        <v>-121000</v>
      </c>
      <c r="WV128" s="294"/>
      <c r="WW128" s="294">
        <v>0</v>
      </c>
      <c r="WX128" s="294">
        <v>0</v>
      </c>
      <c r="WY128" s="294">
        <v>-198331</v>
      </c>
      <c r="WZ128" s="294">
        <v>-1413</v>
      </c>
      <c r="XA128" s="294"/>
      <c r="XB128" s="294">
        <v>-22974</v>
      </c>
      <c r="XC128" s="294">
        <v>-724035</v>
      </c>
      <c r="XD128" s="294">
        <v>-784656.78</v>
      </c>
      <c r="XE128" s="294"/>
      <c r="XF128" s="294"/>
      <c r="XG128" s="294">
        <v>-5000</v>
      </c>
      <c r="XH128" s="294">
        <v>-179868.25</v>
      </c>
      <c r="XI128" s="294"/>
      <c r="XJ128" s="294">
        <v>-24124</v>
      </c>
      <c r="XK128" s="294"/>
      <c r="XL128" s="294">
        <v>-34000</v>
      </c>
      <c r="XM128" s="294">
        <v>-93804</v>
      </c>
      <c r="XN128" s="294">
        <v>-52525</v>
      </c>
      <c r="XO128" s="294">
        <v>-8070</v>
      </c>
      <c r="XP128" s="294"/>
      <c r="XQ128" s="294">
        <v>0</v>
      </c>
      <c r="XR128" s="294">
        <v>-332457</v>
      </c>
      <c r="XS128" s="294">
        <v>-33009</v>
      </c>
      <c r="XT128" s="294">
        <v>-48459</v>
      </c>
      <c r="XU128" s="294">
        <v>-69308</v>
      </c>
      <c r="XV128" s="294"/>
      <c r="XW128" s="294">
        <v>-54395</v>
      </c>
      <c r="XX128" s="294">
        <v>-22609</v>
      </c>
      <c r="XY128" s="294">
        <v>0</v>
      </c>
      <c r="XZ128" s="294">
        <v>0</v>
      </c>
      <c r="YA128" s="294">
        <v>-60734</v>
      </c>
      <c r="YB128" s="294"/>
      <c r="YC128" s="294">
        <v>-25220</v>
      </c>
      <c r="YD128" s="294">
        <v>0</v>
      </c>
      <c r="YE128" s="294"/>
      <c r="YF128" s="294"/>
      <c r="YG128" s="294"/>
      <c r="YH128" s="294"/>
      <c r="YI128" s="294"/>
      <c r="YJ128" s="294"/>
      <c r="YK128" s="294"/>
      <c r="YL128" s="294">
        <v>-36473</v>
      </c>
      <c r="YM128" s="294"/>
      <c r="YN128" s="294"/>
      <c r="YO128" s="294"/>
      <c r="YP128" s="294"/>
      <c r="YQ128" s="294"/>
      <c r="YR128" s="294"/>
      <c r="YS128" s="294"/>
      <c r="YT128" s="294"/>
      <c r="YU128" s="294"/>
      <c r="YV128" s="294">
        <v>-144785</v>
      </c>
      <c r="YW128" s="294">
        <v>-109200</v>
      </c>
      <c r="YX128" s="294"/>
      <c r="YY128" s="294"/>
      <c r="YZ128" s="294"/>
      <c r="ZA128" s="294"/>
      <c r="ZB128" s="294"/>
      <c r="ZC128" s="294"/>
      <c r="ZD128" s="294">
        <v>-15960</v>
      </c>
      <c r="ZE128" s="294">
        <v>-234297.5</v>
      </c>
      <c r="ZF128" s="294">
        <v>-65786</v>
      </c>
      <c r="ZG128" s="294">
        <v>-20490</v>
      </c>
      <c r="ZH128" s="294"/>
      <c r="ZI128" s="294">
        <v>-11362</v>
      </c>
      <c r="ZJ128" s="294">
        <v>-31497</v>
      </c>
      <c r="ZK128" s="294"/>
      <c r="ZL128" s="294">
        <v>-15398.75</v>
      </c>
      <c r="ZM128" s="294">
        <v>-112657</v>
      </c>
      <c r="ZN128" s="294">
        <v>-500</v>
      </c>
      <c r="ZO128" s="294">
        <v>-188832</v>
      </c>
      <c r="ZP128" s="294">
        <v>-7196</v>
      </c>
      <c r="ZQ128" s="294">
        <v>-14565</v>
      </c>
      <c r="ZR128" s="294">
        <v>-49440</v>
      </c>
      <c r="ZS128" s="294"/>
      <c r="ZT128" s="294">
        <v>-399910</v>
      </c>
      <c r="ZU128" s="294">
        <v>-175750</v>
      </c>
      <c r="ZV128" s="294">
        <v>-34813.94</v>
      </c>
      <c r="ZW128" s="294">
        <v>-43018</v>
      </c>
      <c r="ZX128" s="294">
        <v>-13883</v>
      </c>
      <c r="ZY128" s="294"/>
      <c r="ZZ128" s="294">
        <v>-29020.5</v>
      </c>
      <c r="AAA128" s="294">
        <v>-285188.27</v>
      </c>
      <c r="AAB128" s="294"/>
      <c r="AAC128" s="294"/>
      <c r="AAD128" s="294">
        <v>-38170.379999999997</v>
      </c>
      <c r="AAE128" s="294">
        <v>-11900</v>
      </c>
      <c r="AAF128" s="294">
        <v>-31897</v>
      </c>
      <c r="AAG128" s="294">
        <v>-32188</v>
      </c>
      <c r="AAH128" s="294">
        <v>-259400</v>
      </c>
      <c r="AAI128" s="294">
        <v>-209507</v>
      </c>
      <c r="AAJ128" s="294">
        <v>-132466</v>
      </c>
      <c r="AAK128" s="294"/>
      <c r="AAL128" s="294">
        <v>-75736</v>
      </c>
      <c r="AAM128" s="294">
        <v>-79301</v>
      </c>
      <c r="AAN128" s="294"/>
      <c r="AAO128" s="294">
        <v>-1156468.03</v>
      </c>
      <c r="AAP128" s="294"/>
      <c r="AAQ128" s="294"/>
      <c r="AAR128" s="294"/>
      <c r="AAS128" s="294"/>
      <c r="AAT128" s="294"/>
      <c r="AAU128" s="294"/>
      <c r="AAV128" s="294"/>
      <c r="AAW128" s="294">
        <v>-336449.6</v>
      </c>
      <c r="AAX128" s="294"/>
      <c r="AAY128" s="294"/>
      <c r="AAZ128" s="294"/>
      <c r="ABA128" s="294"/>
      <c r="ABB128" s="294"/>
      <c r="ABC128" s="294">
        <v>0</v>
      </c>
      <c r="ABD128" s="294">
        <v>-40090</v>
      </c>
      <c r="ABE128" s="294"/>
      <c r="ABF128" s="294"/>
      <c r="ABG128" s="294"/>
      <c r="ABH128" s="294">
        <v>-134206</v>
      </c>
      <c r="ABI128" s="294"/>
      <c r="ABJ128" s="294"/>
      <c r="ABK128" s="294">
        <v>0</v>
      </c>
      <c r="ABL128" s="294"/>
      <c r="ABM128" s="294"/>
      <c r="ABN128" s="294"/>
      <c r="ABO128" s="294">
        <v>-474380</v>
      </c>
      <c r="ABP128" s="294"/>
      <c r="ABQ128" s="294"/>
      <c r="ABR128" s="294">
        <v>-26000</v>
      </c>
      <c r="ABS128" s="294">
        <v>0</v>
      </c>
      <c r="ABT128" s="294">
        <v>-12506</v>
      </c>
      <c r="ABU128" s="294"/>
      <c r="ABV128" s="294">
        <v>-12556</v>
      </c>
      <c r="ABW128" s="294"/>
      <c r="ABX128" s="294">
        <v>-496345.5</v>
      </c>
      <c r="ABY128" s="294"/>
      <c r="ABZ128" s="294">
        <v>0</v>
      </c>
      <c r="ACA128" s="294"/>
      <c r="ACB128" s="294">
        <v>-40382</v>
      </c>
      <c r="ACC128" s="294">
        <v>-216424</v>
      </c>
      <c r="ACD128" s="294">
        <v>-68609</v>
      </c>
      <c r="ACE128" s="294"/>
      <c r="ACF128" s="294"/>
      <c r="ACG128" s="294">
        <v>-20725.12</v>
      </c>
      <c r="ACH128" s="294">
        <v>-1500</v>
      </c>
      <c r="ACI128" s="294">
        <v>-695355</v>
      </c>
      <c r="ACJ128" s="294"/>
      <c r="ACK128" s="294"/>
      <c r="ACL128" s="294"/>
      <c r="ACM128" s="294"/>
      <c r="ACN128" s="294"/>
      <c r="ACO128" s="294"/>
      <c r="ACP128" s="294">
        <v>-66449.75</v>
      </c>
      <c r="ACQ128" s="294"/>
      <c r="ACR128" s="294"/>
      <c r="ACS128" s="294">
        <v>-200746</v>
      </c>
      <c r="ACT128" s="294"/>
      <c r="ACU128" s="294">
        <v>-34767</v>
      </c>
      <c r="ACV128" s="294"/>
      <c r="ACW128" s="294"/>
      <c r="ACX128" s="294"/>
      <c r="ACY128" s="294"/>
      <c r="ACZ128" s="294"/>
      <c r="ADA128" s="294">
        <v>-331045</v>
      </c>
      <c r="ADB128" s="294">
        <v>-106371</v>
      </c>
      <c r="ADC128" s="294"/>
      <c r="ADD128" s="294"/>
      <c r="ADE128" s="294"/>
      <c r="ADF128" s="294"/>
      <c r="ADG128" s="294">
        <v>-92183.5</v>
      </c>
      <c r="ADH128" s="294"/>
      <c r="ADI128" s="294">
        <v>-108293.53</v>
      </c>
      <c r="ADJ128" s="294">
        <v>-227799.84</v>
      </c>
      <c r="ADK128" s="294">
        <v>-52942</v>
      </c>
      <c r="ADL128" s="294">
        <v>-204822.48</v>
      </c>
      <c r="ADM128" s="294">
        <v>-69450.5</v>
      </c>
      <c r="ADN128" s="294">
        <v>-50590</v>
      </c>
      <c r="ADO128" s="294">
        <v>-1343183</v>
      </c>
      <c r="ADP128" s="294">
        <v>-183415</v>
      </c>
      <c r="ADQ128" s="294"/>
      <c r="ADR128" s="294">
        <v>-2220.44</v>
      </c>
      <c r="ADS128" s="294">
        <v>-895015</v>
      </c>
      <c r="ADT128" s="294"/>
      <c r="ADU128" s="294">
        <v>-30260</v>
      </c>
      <c r="ADV128" s="294">
        <v>-38000</v>
      </c>
      <c r="ADW128" s="294">
        <v>-4828.8999999999996</v>
      </c>
      <c r="ADX128" s="294"/>
      <c r="ADY128" s="294">
        <v>-579500</v>
      </c>
      <c r="ADZ128" s="294"/>
      <c r="AEA128" s="294">
        <v>-50477</v>
      </c>
      <c r="AEB128" s="294"/>
      <c r="AEC128" s="294"/>
      <c r="AED128" s="294">
        <v>-111651</v>
      </c>
      <c r="AEE128" s="294"/>
      <c r="AEF128" s="294">
        <v>0</v>
      </c>
      <c r="AEG128" s="294"/>
      <c r="AEH128" s="294">
        <v>-35418</v>
      </c>
      <c r="AEI128" s="294">
        <v>-15179</v>
      </c>
      <c r="AEJ128" s="294">
        <v>-5000</v>
      </c>
      <c r="AEK128" s="294"/>
      <c r="AEL128" s="294"/>
      <c r="AEM128" s="294"/>
      <c r="AEN128" s="294"/>
      <c r="AEO128" s="294"/>
      <c r="AEP128" s="294">
        <v>-37994</v>
      </c>
      <c r="AEQ128" s="294"/>
      <c r="AER128" s="294"/>
      <c r="AES128" s="294"/>
      <c r="AET128" s="294"/>
      <c r="AEU128" s="294"/>
      <c r="AEV128" s="294"/>
      <c r="AEW128" s="294"/>
      <c r="AEX128" s="294"/>
      <c r="AEY128" s="294"/>
      <c r="AEZ128" s="294"/>
      <c r="AFA128" s="294"/>
      <c r="AFB128" s="294"/>
      <c r="AFC128" s="294">
        <v>-360342.25</v>
      </c>
      <c r="AFD128" s="294">
        <v>-17809</v>
      </c>
      <c r="AFE128" s="294">
        <v>-278612</v>
      </c>
      <c r="AFF128" s="294"/>
      <c r="AFG128" s="294">
        <v>-4043</v>
      </c>
      <c r="AFH128" s="294"/>
      <c r="AFI128" s="294">
        <v>-23364</v>
      </c>
      <c r="AFJ128" s="294"/>
      <c r="AFK128" s="294">
        <v>-364</v>
      </c>
      <c r="AFL128" s="294">
        <v>0</v>
      </c>
      <c r="AFM128" s="294"/>
      <c r="AFN128" s="294"/>
      <c r="AFO128" s="294">
        <v>-25400</v>
      </c>
      <c r="AFP128" s="294"/>
      <c r="AFQ128" s="294">
        <v>-719949</v>
      </c>
      <c r="AFR128" s="294"/>
      <c r="AFS128" s="294"/>
      <c r="AFT128" s="294">
        <v>-28748</v>
      </c>
      <c r="AFU128" s="294"/>
      <c r="AFV128" s="294"/>
      <c r="AFW128" s="294"/>
      <c r="AFX128" s="294"/>
      <c r="AFY128" s="294">
        <v>-8537</v>
      </c>
      <c r="AFZ128" s="294"/>
      <c r="AGA128" s="294"/>
      <c r="AGB128" s="294"/>
      <c r="AGC128" s="294">
        <v>-18050</v>
      </c>
      <c r="AGD128" s="294"/>
      <c r="AGE128" s="294">
        <v>-74951</v>
      </c>
      <c r="AGF128" s="294"/>
      <c r="AGG128" s="294">
        <v>-156985</v>
      </c>
      <c r="AGH128" s="294"/>
      <c r="AGI128" s="294"/>
      <c r="AGJ128" s="294">
        <v>0</v>
      </c>
      <c r="AGK128" s="294"/>
      <c r="AGL128" s="294"/>
      <c r="AGM128" s="294">
        <v>-8000</v>
      </c>
      <c r="AGN128" s="294">
        <v>-128400</v>
      </c>
      <c r="AGO128" s="294">
        <v>-168937</v>
      </c>
      <c r="AGP128" s="294"/>
      <c r="AGQ128" s="294">
        <v>-78969.09</v>
      </c>
      <c r="AGR128" s="294"/>
      <c r="AGS128" s="294"/>
      <c r="AGT128" s="294"/>
      <c r="AGU128" s="294"/>
      <c r="AGV128" s="294">
        <v>-229000</v>
      </c>
      <c r="AGW128" s="294"/>
      <c r="AGX128" s="294">
        <v>-76788</v>
      </c>
      <c r="AGY128" s="294"/>
      <c r="AGZ128" s="294"/>
      <c r="AHA128" s="294">
        <v>-5600</v>
      </c>
      <c r="AHB128" s="294">
        <v>-213200</v>
      </c>
      <c r="AHC128" s="294">
        <v>-1000</v>
      </c>
      <c r="AHD128" s="294"/>
      <c r="AHE128" s="294"/>
      <c r="AHF128" s="294">
        <v>-71756</v>
      </c>
      <c r="AHG128" s="294">
        <v>-102600</v>
      </c>
      <c r="AHH128" s="294">
        <v>-37760</v>
      </c>
      <c r="AHI128" s="294"/>
      <c r="AHJ128" s="294"/>
      <c r="AHK128" s="294"/>
      <c r="AHL128" s="294">
        <v>-48500</v>
      </c>
      <c r="AHM128" s="294">
        <v>-10000</v>
      </c>
      <c r="AHN128" s="294">
        <v>-1800</v>
      </c>
      <c r="AHO128" s="294"/>
      <c r="AHP128" s="294">
        <v>-113972</v>
      </c>
      <c r="AHQ128" s="294">
        <v>-54251</v>
      </c>
      <c r="AHR128" s="331">
        <v>-132544</v>
      </c>
      <c r="AHS128" s="294">
        <f t="shared" si="53"/>
        <v>-48801926.440000013</v>
      </c>
      <c r="AHT128" s="269" t="b">
        <f t="shared" si="54"/>
        <v>1</v>
      </c>
      <c r="AHU128" s="269" t="s">
        <v>6278</v>
      </c>
      <c r="AHV128" s="269" t="s">
        <v>6198</v>
      </c>
      <c r="AHW128" s="269" t="s">
        <v>6199</v>
      </c>
    </row>
    <row r="129" spans="1:907" ht="24.6" x14ac:dyDescent="0.7">
      <c r="A129" s="268" t="s">
        <v>6278</v>
      </c>
      <c r="B129" s="268" t="s">
        <v>6200</v>
      </c>
      <c r="C129" s="269" t="s">
        <v>6201</v>
      </c>
      <c r="D129" s="294">
        <v>-2043159.68</v>
      </c>
      <c r="E129" s="294">
        <v>-87218.32</v>
      </c>
      <c r="F129" s="294">
        <v>-23472.66</v>
      </c>
      <c r="G129" s="294">
        <v>-28815.08</v>
      </c>
      <c r="H129" s="294">
        <v>-112840.62</v>
      </c>
      <c r="I129" s="294">
        <v>-50865.3</v>
      </c>
      <c r="J129" s="294">
        <v>-94437.3</v>
      </c>
      <c r="K129" s="294">
        <v>-152963.14000000001</v>
      </c>
      <c r="L129" s="294">
        <v>-50997.61</v>
      </c>
      <c r="M129" s="294">
        <v>-30821.63</v>
      </c>
      <c r="N129" s="294">
        <v>-13535</v>
      </c>
      <c r="O129" s="294">
        <v>-40545.550000000003</v>
      </c>
      <c r="P129" s="294">
        <v>-110437.98</v>
      </c>
      <c r="Q129" s="294">
        <v>-11171.6</v>
      </c>
      <c r="R129" s="294">
        <v>-22928.04</v>
      </c>
      <c r="S129" s="294">
        <v>-124297.05</v>
      </c>
      <c r="T129" s="294">
        <v>-80316.7</v>
      </c>
      <c r="U129" s="294">
        <v>-11140.58</v>
      </c>
      <c r="V129" s="294"/>
      <c r="W129" s="294">
        <v>-63337.26</v>
      </c>
      <c r="X129" s="294">
        <v>0</v>
      </c>
      <c r="Y129" s="294">
        <v>-43401.14</v>
      </c>
      <c r="Z129" s="294">
        <v>-78529.83</v>
      </c>
      <c r="AA129" s="294">
        <v>-132047</v>
      </c>
      <c r="AB129" s="294">
        <v>-38990.93</v>
      </c>
      <c r="AC129" s="294">
        <v>-257214.87</v>
      </c>
      <c r="AD129" s="294">
        <v>-59777.49</v>
      </c>
      <c r="AE129" s="294">
        <v>-66318.259999999995</v>
      </c>
      <c r="AF129" s="294">
        <v>-325548.59999999998</v>
      </c>
      <c r="AG129" s="294">
        <v>-118383.94</v>
      </c>
      <c r="AH129" s="294">
        <v>-421048.32000000001</v>
      </c>
      <c r="AI129" s="294">
        <v>-156187.65</v>
      </c>
      <c r="AJ129" s="294">
        <v>-63863.15</v>
      </c>
      <c r="AK129" s="294">
        <v>-6358.94</v>
      </c>
      <c r="AL129" s="294">
        <v>-25602.17</v>
      </c>
      <c r="AM129" s="294">
        <v>-53760.73</v>
      </c>
      <c r="AN129" s="294">
        <v>-141819.20000000001</v>
      </c>
      <c r="AO129" s="294">
        <v>-103491.66</v>
      </c>
      <c r="AP129" s="294">
        <v>-8793.0300000000007</v>
      </c>
      <c r="AQ129" s="294">
        <v>-92497.72</v>
      </c>
      <c r="AR129" s="294">
        <v>-67186.69</v>
      </c>
      <c r="AS129" s="294">
        <v>-46309.450000000004</v>
      </c>
      <c r="AT129" s="294"/>
      <c r="AU129" s="294">
        <v>-22362.68</v>
      </c>
      <c r="AV129" s="294">
        <v>-15895.43</v>
      </c>
      <c r="AW129" s="294">
        <v>-37604.58</v>
      </c>
      <c r="AX129" s="294">
        <v>-23474.84</v>
      </c>
      <c r="AY129" s="294">
        <v>-49645.29</v>
      </c>
      <c r="AZ129" s="294">
        <v>-35271.79</v>
      </c>
      <c r="BA129" s="294">
        <v>-40146.26</v>
      </c>
      <c r="BB129" s="294">
        <v>-24484.15</v>
      </c>
      <c r="BC129" s="294">
        <v>-25824.3</v>
      </c>
      <c r="BD129" s="294">
        <v>-23640.11</v>
      </c>
      <c r="BE129" s="294">
        <v>-17926.8</v>
      </c>
      <c r="BF129" s="294">
        <v>-167983.44</v>
      </c>
      <c r="BG129" s="294">
        <v>-13632.23</v>
      </c>
      <c r="BH129" s="294">
        <v>-7901.8700000000008</v>
      </c>
      <c r="BI129" s="294">
        <v>-680037.58</v>
      </c>
      <c r="BJ129" s="294">
        <v>-15679.55</v>
      </c>
      <c r="BK129" s="294">
        <v>-67025.87</v>
      </c>
      <c r="BL129" s="294">
        <v>-36170.199999999997</v>
      </c>
      <c r="BM129" s="294">
        <v>-83268.990000000005</v>
      </c>
      <c r="BN129" s="294">
        <v>-65596.160000000003</v>
      </c>
      <c r="BO129" s="294">
        <v>-41858.28</v>
      </c>
      <c r="BP129" s="294">
        <v>-783.77</v>
      </c>
      <c r="BQ129" s="294">
        <v>-16302.46</v>
      </c>
      <c r="BR129" s="294">
        <v>-1223629.71</v>
      </c>
      <c r="BS129" s="294">
        <v>-124354.5</v>
      </c>
      <c r="BT129" s="294">
        <v>-229986.45</v>
      </c>
      <c r="BU129" s="294">
        <v>-66286.720000000001</v>
      </c>
      <c r="BV129" s="294">
        <v>-42385.14</v>
      </c>
      <c r="BW129" s="294">
        <v>-89877.91</v>
      </c>
      <c r="BX129" s="294">
        <v>-35920.300000000003</v>
      </c>
      <c r="BY129" s="294">
        <v>0</v>
      </c>
      <c r="BZ129" s="294"/>
      <c r="CA129" s="294">
        <v>-6901.13</v>
      </c>
      <c r="CB129" s="294">
        <v>0</v>
      </c>
      <c r="CC129" s="294">
        <v>-59023.15</v>
      </c>
      <c r="CD129" s="294">
        <v>-14069.85</v>
      </c>
      <c r="CE129" s="294">
        <v>0</v>
      </c>
      <c r="CF129" s="294">
        <v>0</v>
      </c>
      <c r="CG129" s="294">
        <v>-127988.05</v>
      </c>
      <c r="CH129" s="294">
        <v>-107655.48</v>
      </c>
      <c r="CI129" s="294">
        <v>-125267.76</v>
      </c>
      <c r="CJ129" s="294">
        <v>-39901.32</v>
      </c>
      <c r="CK129" s="294">
        <v>-89976.72</v>
      </c>
      <c r="CL129" s="294">
        <v>-47905.75</v>
      </c>
      <c r="CM129" s="294">
        <v>-34225.93</v>
      </c>
      <c r="CN129" s="294">
        <v>-79367.58</v>
      </c>
      <c r="CO129" s="294">
        <v>-14845.14</v>
      </c>
      <c r="CP129" s="294">
        <v>-81750</v>
      </c>
      <c r="CQ129" s="294">
        <v>-34551.129999999997</v>
      </c>
      <c r="CR129" s="294">
        <v>-44225.48</v>
      </c>
      <c r="CS129" s="294">
        <v>-65281.51</v>
      </c>
      <c r="CT129" s="294">
        <v>-42297.53</v>
      </c>
      <c r="CU129" s="294">
        <v>-15136.3</v>
      </c>
      <c r="CV129" s="294">
        <v>-96983.53</v>
      </c>
      <c r="CW129" s="294">
        <v>-13807.29</v>
      </c>
      <c r="CX129" s="294">
        <v>-15431.85</v>
      </c>
      <c r="CY129" s="294">
        <v>-70669.73</v>
      </c>
      <c r="CZ129" s="294">
        <v>-113680.66</v>
      </c>
      <c r="DA129" s="294">
        <v>-26187.46</v>
      </c>
      <c r="DB129" s="294">
        <v>-561430.93000000005</v>
      </c>
      <c r="DC129" s="294">
        <v>-618519.16</v>
      </c>
      <c r="DD129" s="294">
        <v>-19032.87</v>
      </c>
      <c r="DE129" s="294">
        <v>-13714.57</v>
      </c>
      <c r="DF129" s="294">
        <v>-344265.49</v>
      </c>
      <c r="DG129" s="294">
        <v>-58017.49</v>
      </c>
      <c r="DH129" s="294">
        <v>-56143.27</v>
      </c>
      <c r="DI129" s="294">
        <v>-49632.67</v>
      </c>
      <c r="DJ129" s="294">
        <v>-28253.62</v>
      </c>
      <c r="DK129" s="294">
        <v>-8288.99</v>
      </c>
      <c r="DL129" s="294">
        <v>-44182.38</v>
      </c>
      <c r="DM129" s="294">
        <v>-58715.78</v>
      </c>
      <c r="DN129" s="294">
        <v>-24023.86</v>
      </c>
      <c r="DO129" s="294">
        <v>-94413.89</v>
      </c>
      <c r="DP129" s="294">
        <v>-18360.8</v>
      </c>
      <c r="DQ129" s="294">
        <v>-79805.929999999993</v>
      </c>
      <c r="DR129" s="294">
        <v>-32675.73</v>
      </c>
      <c r="DS129" s="294">
        <v>-146535.57</v>
      </c>
      <c r="DT129" s="294"/>
      <c r="DU129" s="294">
        <v>-207351.15</v>
      </c>
      <c r="DV129" s="294">
        <v>-212079.34</v>
      </c>
      <c r="DW129" s="294"/>
      <c r="DX129" s="294">
        <v>-61549.88</v>
      </c>
      <c r="DY129" s="294">
        <v>-105142.91</v>
      </c>
      <c r="DZ129" s="294">
        <v>-52627.199999999997</v>
      </c>
      <c r="EA129" s="294">
        <v>-25408.22</v>
      </c>
      <c r="EB129" s="294">
        <v>-30022.09</v>
      </c>
      <c r="EC129" s="294">
        <v>-48344.41</v>
      </c>
      <c r="ED129" s="294">
        <v>-37045.68</v>
      </c>
      <c r="EE129" s="294">
        <v>-126171.14</v>
      </c>
      <c r="EF129" s="294">
        <v>-310449.36</v>
      </c>
      <c r="EG129" s="294">
        <v>-34824.199999999997</v>
      </c>
      <c r="EH129" s="294">
        <v>-84838.27</v>
      </c>
      <c r="EI129" s="294">
        <v>-95129.75</v>
      </c>
      <c r="EJ129" s="294">
        <v>-36299.67</v>
      </c>
      <c r="EK129" s="294">
        <v>-67847.19</v>
      </c>
      <c r="EL129" s="294">
        <v>-22931.8</v>
      </c>
      <c r="EM129" s="294">
        <v>-36230.54</v>
      </c>
      <c r="EN129" s="294">
        <v>-27172.79</v>
      </c>
      <c r="EO129" s="294">
        <v>-80913.34</v>
      </c>
      <c r="EP129" s="294">
        <v>-20127.490000000002</v>
      </c>
      <c r="EQ129" s="294">
        <v>-25932.49</v>
      </c>
      <c r="ER129" s="294">
        <v>-30615.93</v>
      </c>
      <c r="ES129" s="294">
        <v>-7640.06</v>
      </c>
      <c r="ET129" s="294">
        <v>-71314</v>
      </c>
      <c r="EU129" s="294">
        <v>-87154.02</v>
      </c>
      <c r="EV129" s="294">
        <v>-13888.85</v>
      </c>
      <c r="EW129" s="294">
        <v>-642532.61</v>
      </c>
      <c r="EX129" s="294">
        <v>-15822.04</v>
      </c>
      <c r="EY129" s="294">
        <v>-31545.08</v>
      </c>
      <c r="EZ129" s="294">
        <v>-72855.25</v>
      </c>
      <c r="FA129" s="294">
        <v>-57597.26</v>
      </c>
      <c r="FB129" s="294">
        <v>-50928.75</v>
      </c>
      <c r="FC129" s="294">
        <v>-36171.97</v>
      </c>
      <c r="FD129" s="294">
        <v>-34123.410000000003</v>
      </c>
      <c r="FE129" s="294">
        <v>-23289.75</v>
      </c>
      <c r="FF129" s="294">
        <v>-63772.51</v>
      </c>
      <c r="FG129" s="294">
        <v>-22004.560000000001</v>
      </c>
      <c r="FH129" s="294">
        <v>-20055.400000000001</v>
      </c>
      <c r="FI129" s="294">
        <v>-7095.78</v>
      </c>
      <c r="FJ129" s="294">
        <v>-11207.03</v>
      </c>
      <c r="FK129" s="294">
        <v>-21662.55</v>
      </c>
      <c r="FL129" s="294"/>
      <c r="FM129" s="294">
        <v>-14639.33</v>
      </c>
      <c r="FN129" s="294">
        <v>-40784.379999999997</v>
      </c>
      <c r="FO129" s="294">
        <v>-18233.310000000001</v>
      </c>
      <c r="FP129" s="294">
        <v>0</v>
      </c>
      <c r="FQ129" s="294">
        <v>0</v>
      </c>
      <c r="FR129" s="294">
        <v>-40087.550000000003</v>
      </c>
      <c r="FS129" s="294">
        <v>-43210.87</v>
      </c>
      <c r="FT129" s="294">
        <v>-63117.83</v>
      </c>
      <c r="FU129" s="294">
        <v>-69534.759999999995</v>
      </c>
      <c r="FV129" s="294">
        <v>-29322.240000000002</v>
      </c>
      <c r="FW129" s="294">
        <v>-43196.05</v>
      </c>
      <c r="FX129" s="294">
        <v>-78550.039999999994</v>
      </c>
      <c r="FY129" s="294">
        <v>-83566.86</v>
      </c>
      <c r="FZ129" s="294">
        <v>-52330.84</v>
      </c>
      <c r="GA129" s="294">
        <v>-100055.29</v>
      </c>
      <c r="GB129" s="294">
        <v>-66126.240000000005</v>
      </c>
      <c r="GC129" s="294">
        <v>-72034.73</v>
      </c>
      <c r="GD129" s="294">
        <v>-36499.96</v>
      </c>
      <c r="GE129" s="294">
        <v>-137648.39000000001</v>
      </c>
      <c r="GF129" s="294">
        <v>-21691.360000000001</v>
      </c>
      <c r="GG129" s="294">
        <v>-41895.96</v>
      </c>
      <c r="GH129" s="294">
        <v>-21177.75</v>
      </c>
      <c r="GI129" s="294">
        <v>-79199.759999999995</v>
      </c>
      <c r="GJ129" s="294">
        <v>-38704.53</v>
      </c>
      <c r="GK129" s="294">
        <v>-22050.17</v>
      </c>
      <c r="GL129" s="294">
        <v>-77114.09</v>
      </c>
      <c r="GM129" s="294">
        <v>-25674.6</v>
      </c>
      <c r="GN129" s="294">
        <v>-19905.52</v>
      </c>
      <c r="GO129" s="294">
        <v>-25281.09</v>
      </c>
      <c r="GP129" s="294">
        <v>-20948.490000000002</v>
      </c>
      <c r="GQ129" s="294">
        <v>-234541.57</v>
      </c>
      <c r="GR129" s="294">
        <v>-52259.86</v>
      </c>
      <c r="GS129" s="294">
        <v>-30930.09</v>
      </c>
      <c r="GT129" s="294">
        <v>-75139.48</v>
      </c>
      <c r="GU129" s="294">
        <v>-7804.12</v>
      </c>
      <c r="GV129" s="294">
        <v>-44393.97</v>
      </c>
      <c r="GW129" s="294">
        <v>-24787.040000000001</v>
      </c>
      <c r="GX129" s="294">
        <v>-10325.99</v>
      </c>
      <c r="GY129" s="294">
        <v>-174342.24</v>
      </c>
      <c r="GZ129" s="294">
        <v>-28495.73</v>
      </c>
      <c r="HA129" s="294">
        <v>-17659.330000000002</v>
      </c>
      <c r="HB129" s="294">
        <v>-75541.34</v>
      </c>
      <c r="HC129" s="294">
        <v>-1922860.9700000002</v>
      </c>
      <c r="HD129" s="294">
        <v>-223589.30000000002</v>
      </c>
      <c r="HE129" s="294">
        <v>-272331.3</v>
      </c>
      <c r="HF129" s="294">
        <v>-191028.01</v>
      </c>
      <c r="HG129" s="294">
        <v>-126992.47</v>
      </c>
      <c r="HH129" s="294">
        <v>-164122.66</v>
      </c>
      <c r="HI129" s="294">
        <v>-71721.26999999999</v>
      </c>
      <c r="HJ129" s="294">
        <v>-704761.8</v>
      </c>
      <c r="HK129" s="294">
        <v>-55864</v>
      </c>
      <c r="HL129" s="294">
        <v>-157299.65</v>
      </c>
      <c r="HM129" s="294">
        <v>-44800.42</v>
      </c>
      <c r="HN129" s="294">
        <v>-35493.279999999999</v>
      </c>
      <c r="HO129" s="294">
        <v>-11095.58</v>
      </c>
      <c r="HP129" s="294">
        <v>-30321.38</v>
      </c>
      <c r="HQ129" s="294">
        <v>-41308.01</v>
      </c>
      <c r="HR129" s="294">
        <v>-126095.32</v>
      </c>
      <c r="HS129" s="294">
        <v>-98701.05</v>
      </c>
      <c r="HT129" s="294">
        <v>-2928.1</v>
      </c>
      <c r="HU129" s="294">
        <v>-6643.71</v>
      </c>
      <c r="HV129" s="294">
        <v>-10389.209999999999</v>
      </c>
      <c r="HW129" s="294">
        <v>-31682.22</v>
      </c>
      <c r="HX129" s="294">
        <v>-107315.03</v>
      </c>
      <c r="HY129" s="294">
        <v>-37639.519999999997</v>
      </c>
      <c r="HZ129" s="294">
        <v>-13192.29</v>
      </c>
      <c r="IA129" s="294">
        <v>-29998.17</v>
      </c>
      <c r="IB129" s="294">
        <v>-32397.29</v>
      </c>
      <c r="IC129" s="294">
        <v>-43830.63</v>
      </c>
      <c r="ID129" s="294">
        <v>0</v>
      </c>
      <c r="IE129" s="294">
        <v>-115380.29</v>
      </c>
      <c r="IF129" s="294">
        <v>-33095.86</v>
      </c>
      <c r="IG129" s="294">
        <v>-15973.5</v>
      </c>
      <c r="IH129" s="294">
        <v>-249589.47</v>
      </c>
      <c r="II129" s="294">
        <v>0</v>
      </c>
      <c r="IJ129" s="294">
        <v>0</v>
      </c>
      <c r="IK129" s="294">
        <v>-40701.61</v>
      </c>
      <c r="IL129" s="294">
        <v>-122097.68</v>
      </c>
      <c r="IM129" s="294">
        <v>-24077.08</v>
      </c>
      <c r="IN129" s="294">
        <v>0</v>
      </c>
      <c r="IO129" s="294">
        <v>-16839.259999999998</v>
      </c>
      <c r="IP129" s="294">
        <v>-13583.49</v>
      </c>
      <c r="IQ129" s="294">
        <v>0</v>
      </c>
      <c r="IR129" s="294">
        <v>-17810.23</v>
      </c>
      <c r="IS129" s="294">
        <v>-481155.86</v>
      </c>
      <c r="IT129" s="294">
        <v>-5037.2199999999993</v>
      </c>
      <c r="IU129" s="294">
        <v>-124377.94</v>
      </c>
      <c r="IV129" s="294">
        <v>-47704.959999999999</v>
      </c>
      <c r="IW129" s="294">
        <v>-174599.37</v>
      </c>
      <c r="IX129" s="294">
        <v>-20280.46</v>
      </c>
      <c r="IY129" s="294">
        <v>-18846.39</v>
      </c>
      <c r="IZ129" s="294">
        <v>-25486.560000000001</v>
      </c>
      <c r="JA129" s="294">
        <v>-40589.78</v>
      </c>
      <c r="JB129" s="294">
        <v>-41811.620000000003</v>
      </c>
      <c r="JC129" s="294">
        <v>0</v>
      </c>
      <c r="JD129" s="294">
        <v>-17973.62</v>
      </c>
      <c r="JE129" s="294">
        <v>-51431.92</v>
      </c>
      <c r="JF129" s="294"/>
      <c r="JG129" s="294">
        <v>-7582.59</v>
      </c>
      <c r="JH129" s="294">
        <v>-27215.67</v>
      </c>
      <c r="JI129" s="294">
        <v>-27562.6</v>
      </c>
      <c r="JJ129" s="294">
        <v>-21595.05</v>
      </c>
      <c r="JK129" s="294">
        <v>-44138.42</v>
      </c>
      <c r="JL129" s="294">
        <v>-42409.55</v>
      </c>
      <c r="JM129" s="294">
        <v>-37319.17</v>
      </c>
      <c r="JN129" s="294">
        <v>-81854.45</v>
      </c>
      <c r="JO129" s="294">
        <v>-16527.95</v>
      </c>
      <c r="JP129" s="294">
        <v>-20942.759999999998</v>
      </c>
      <c r="JQ129" s="294">
        <v>-28580.880000000001</v>
      </c>
      <c r="JR129" s="294">
        <v>0</v>
      </c>
      <c r="JS129" s="294">
        <v>0</v>
      </c>
      <c r="JT129" s="294">
        <v>-44182.45</v>
      </c>
      <c r="JU129" s="294">
        <v>-24592.560000000001</v>
      </c>
      <c r="JV129" s="294">
        <v>-25714.720000000001</v>
      </c>
      <c r="JW129" s="294">
        <v>-6511.61</v>
      </c>
      <c r="JX129" s="294">
        <v>0</v>
      </c>
      <c r="JY129" s="294">
        <v>-50171.490000000005</v>
      </c>
      <c r="JZ129" s="294">
        <v>0</v>
      </c>
      <c r="KA129" s="294">
        <v>-40191.730000000003</v>
      </c>
      <c r="KB129" s="294">
        <v>-50838.8</v>
      </c>
      <c r="KC129" s="294">
        <v>-49004.65</v>
      </c>
      <c r="KD129" s="294">
        <v>-5135.3500000000004</v>
      </c>
      <c r="KE129" s="294">
        <v>-15782.03</v>
      </c>
      <c r="KF129" s="294">
        <v>0</v>
      </c>
      <c r="KG129" s="294">
        <v>-10116.27</v>
      </c>
      <c r="KH129" s="294"/>
      <c r="KI129" s="294">
        <v>-453790.04</v>
      </c>
      <c r="KJ129" s="294">
        <v>-119587.1</v>
      </c>
      <c r="KK129" s="294">
        <v>-98399.16</v>
      </c>
      <c r="KL129" s="294">
        <v>-40717.42</v>
      </c>
      <c r="KM129" s="294">
        <v>-43821.38</v>
      </c>
      <c r="KN129" s="294">
        <v>-134698.53</v>
      </c>
      <c r="KO129" s="294">
        <v>-34973.33</v>
      </c>
      <c r="KP129" s="294">
        <v>-54790.03</v>
      </c>
      <c r="KQ129" s="294">
        <v>-117407.33</v>
      </c>
      <c r="KR129" s="294">
        <v>0</v>
      </c>
      <c r="KS129" s="294">
        <v>-74256.240000000005</v>
      </c>
      <c r="KT129" s="294">
        <v>0</v>
      </c>
      <c r="KU129" s="294">
        <v>-21569.08</v>
      </c>
      <c r="KV129" s="294">
        <v>-41953.61</v>
      </c>
      <c r="KW129" s="294">
        <v>-886259.48</v>
      </c>
      <c r="KX129" s="294">
        <v>-28141.79</v>
      </c>
      <c r="KY129" s="294">
        <v>-254764.00999999998</v>
      </c>
      <c r="KZ129" s="294">
        <v>-73835.62</v>
      </c>
      <c r="LA129" s="294">
        <v>-14260.51</v>
      </c>
      <c r="LB129" s="294">
        <v>-45002.09</v>
      </c>
      <c r="LC129" s="294">
        <v>-52918.95</v>
      </c>
      <c r="LD129" s="294">
        <v>-10695.96</v>
      </c>
      <c r="LE129" s="294">
        <v>-52533.78</v>
      </c>
      <c r="LF129" s="294">
        <v>-38354.54</v>
      </c>
      <c r="LG129" s="294">
        <v>-308348.15000000002</v>
      </c>
      <c r="LH129" s="294">
        <v>-9464.7099999999991</v>
      </c>
      <c r="LI129" s="294">
        <v>-72852.289999999994</v>
      </c>
      <c r="LJ129" s="294">
        <v>-253600.52</v>
      </c>
      <c r="LK129" s="294">
        <v>-59326.239999999998</v>
      </c>
      <c r="LL129" s="294">
        <v>-34715.050000000003</v>
      </c>
      <c r="LM129" s="294">
        <v>-23066.91</v>
      </c>
      <c r="LN129" s="294">
        <v>-47226.8</v>
      </c>
      <c r="LO129" s="294">
        <v>-30460.06</v>
      </c>
      <c r="LP129" s="294">
        <v>-46009.63</v>
      </c>
      <c r="LQ129" s="294">
        <v>-60222.53</v>
      </c>
      <c r="LR129" s="294">
        <v>-395420.6</v>
      </c>
      <c r="LS129" s="294">
        <v>-30653.31</v>
      </c>
      <c r="LT129" s="294">
        <v>-17120.59</v>
      </c>
      <c r="LU129" s="294">
        <v>-571442.21</v>
      </c>
      <c r="LV129" s="294">
        <v>-378269.27</v>
      </c>
      <c r="LW129" s="294"/>
      <c r="LX129" s="294"/>
      <c r="LY129" s="294">
        <v>-109512.1</v>
      </c>
      <c r="LZ129" s="294">
        <v>-118449.35</v>
      </c>
      <c r="MA129" s="294">
        <v>-98236.89</v>
      </c>
      <c r="MB129" s="294">
        <v>-39666.449999999997</v>
      </c>
      <c r="MC129" s="294">
        <v>-72155.45</v>
      </c>
      <c r="MD129" s="294">
        <v>-86833.76</v>
      </c>
      <c r="ME129" s="294">
        <v>-176169</v>
      </c>
      <c r="MF129" s="294">
        <v>-19578.599999999999</v>
      </c>
      <c r="MG129" s="294">
        <v>-1157119.1000000001</v>
      </c>
      <c r="MH129" s="294">
        <v>-31802.240000000002</v>
      </c>
      <c r="MI129" s="294">
        <v>-18282.27</v>
      </c>
      <c r="MJ129" s="294">
        <v>-11059.42</v>
      </c>
      <c r="MK129" s="294">
        <v>-18287.21</v>
      </c>
      <c r="ML129" s="294">
        <v>-19982.96</v>
      </c>
      <c r="MM129" s="294">
        <v>-36545.54</v>
      </c>
      <c r="MN129" s="294">
        <v>-21088.98</v>
      </c>
      <c r="MO129" s="294">
        <v>-33183.97</v>
      </c>
      <c r="MP129" s="294">
        <v>-19088.599999999999</v>
      </c>
      <c r="MQ129" s="294">
        <v>-8622.43</v>
      </c>
      <c r="MR129" s="294">
        <v>-22252.78</v>
      </c>
      <c r="MS129" s="294">
        <v>-94960.31</v>
      </c>
      <c r="MT129" s="294">
        <v>-22771.1</v>
      </c>
      <c r="MU129" s="294">
        <v>-87634.62</v>
      </c>
      <c r="MV129" s="294">
        <v>-60178.92</v>
      </c>
      <c r="MW129" s="294">
        <v>-82207.31</v>
      </c>
      <c r="MX129" s="294">
        <v>-73207.539999999994</v>
      </c>
      <c r="MY129" s="294">
        <v>0</v>
      </c>
      <c r="MZ129" s="294">
        <v>0</v>
      </c>
      <c r="NA129" s="294">
        <v>-13623.79</v>
      </c>
      <c r="NB129" s="294">
        <v>-14435.36</v>
      </c>
      <c r="NC129" s="294">
        <v>-12893.52</v>
      </c>
      <c r="ND129" s="294">
        <v>-670603.39</v>
      </c>
      <c r="NE129" s="294">
        <v>0</v>
      </c>
      <c r="NF129" s="294">
        <v>-66471.67</v>
      </c>
      <c r="NG129" s="294">
        <v>-1098799.9099999999</v>
      </c>
      <c r="NH129" s="294">
        <v>-23104.06</v>
      </c>
      <c r="NI129" s="294">
        <v>-41961.84</v>
      </c>
      <c r="NJ129" s="294">
        <v>-213362.44</v>
      </c>
      <c r="NK129" s="294">
        <v>-105972.16</v>
      </c>
      <c r="NL129" s="294">
        <v>-1491.78</v>
      </c>
      <c r="NM129" s="294">
        <v>-53033.51</v>
      </c>
      <c r="NN129" s="294">
        <v>0</v>
      </c>
      <c r="NO129" s="294">
        <v>-24950.25</v>
      </c>
      <c r="NP129" s="294"/>
      <c r="NQ129" s="294">
        <v>-18607.29</v>
      </c>
      <c r="NR129" s="294">
        <v>-10343.02</v>
      </c>
      <c r="NS129" s="294">
        <v>-33867.870000000003</v>
      </c>
      <c r="NT129" s="294">
        <v>-15426.43</v>
      </c>
      <c r="NU129" s="294">
        <v>-4410.9799999999996</v>
      </c>
      <c r="NV129" s="294">
        <v>-15539.2</v>
      </c>
      <c r="NW129" s="294">
        <v>-215964.21</v>
      </c>
      <c r="NX129" s="294">
        <v>-310007.67</v>
      </c>
      <c r="NY129" s="294">
        <v>-43561.32</v>
      </c>
      <c r="NZ129" s="294">
        <v>-50432.22</v>
      </c>
      <c r="OA129" s="294">
        <v>-26328.15</v>
      </c>
      <c r="OB129" s="294">
        <v>0</v>
      </c>
      <c r="OC129" s="294">
        <v>-14948.93</v>
      </c>
      <c r="OD129" s="294">
        <v>-47170.78</v>
      </c>
      <c r="OE129" s="294">
        <v>-259407.48</v>
      </c>
      <c r="OF129" s="294">
        <v>-441.11</v>
      </c>
      <c r="OG129" s="294">
        <v>-172737.54</v>
      </c>
      <c r="OH129" s="294">
        <v>-44339.85</v>
      </c>
      <c r="OI129" s="294">
        <v>-44587.76</v>
      </c>
      <c r="OJ129" s="294">
        <v>-90765.05</v>
      </c>
      <c r="OK129" s="294">
        <v>-18919.53</v>
      </c>
      <c r="OL129" s="294">
        <v>-12677.24</v>
      </c>
      <c r="OM129" s="294">
        <v>-710766.82</v>
      </c>
      <c r="ON129" s="294">
        <v>-155052.85999999999</v>
      </c>
      <c r="OO129" s="294">
        <v>-264128.13</v>
      </c>
      <c r="OP129" s="294">
        <v>-122204.77</v>
      </c>
      <c r="OQ129" s="294">
        <v>-125642.1</v>
      </c>
      <c r="OR129" s="294">
        <v>-18843.599999999999</v>
      </c>
      <c r="OS129" s="294"/>
      <c r="OT129" s="294">
        <v>-18144.89</v>
      </c>
      <c r="OU129" s="294">
        <v>-20497.03</v>
      </c>
      <c r="OV129" s="294">
        <v>-47505.440000000002</v>
      </c>
      <c r="OW129" s="294">
        <v>-35479.42</v>
      </c>
      <c r="OX129" s="294">
        <v>-239669.95</v>
      </c>
      <c r="OY129" s="294">
        <v>-31606.84</v>
      </c>
      <c r="OZ129" s="294">
        <v>-19115.36</v>
      </c>
      <c r="PA129" s="294">
        <v>-26458.080000000002</v>
      </c>
      <c r="PB129" s="294"/>
      <c r="PC129" s="294">
        <v>-46828.91</v>
      </c>
      <c r="PD129" s="294">
        <v>-51002.63</v>
      </c>
      <c r="PE129" s="294">
        <v>-22814.02</v>
      </c>
      <c r="PF129" s="294">
        <v>-66323.37</v>
      </c>
      <c r="PG129" s="294">
        <v>-229150.1</v>
      </c>
      <c r="PH129" s="294">
        <v>-38906.839999999997</v>
      </c>
      <c r="PI129" s="294">
        <v>-39817.480000000003</v>
      </c>
      <c r="PJ129" s="294">
        <v>-47907.21</v>
      </c>
      <c r="PK129" s="294">
        <v>-14713.69</v>
      </c>
      <c r="PL129" s="294">
        <v>-86706.93</v>
      </c>
      <c r="PM129" s="294">
        <v>-73538.350000000006</v>
      </c>
      <c r="PN129" s="294">
        <v>-23868.75</v>
      </c>
      <c r="PO129" s="294">
        <v>-341570.54</v>
      </c>
      <c r="PP129" s="294">
        <v>-37594.370000000003</v>
      </c>
      <c r="PQ129" s="294">
        <v>-38848.25</v>
      </c>
      <c r="PR129" s="294">
        <v>-27652.42</v>
      </c>
      <c r="PS129" s="294">
        <v>-5270.04</v>
      </c>
      <c r="PT129" s="294"/>
      <c r="PU129" s="294"/>
      <c r="PV129" s="294">
        <v>0</v>
      </c>
      <c r="PW129" s="294"/>
      <c r="PX129" s="294"/>
      <c r="PY129" s="294">
        <v>-34713.29</v>
      </c>
      <c r="PZ129" s="294">
        <v>-113269.15</v>
      </c>
      <c r="QA129" s="294"/>
      <c r="QB129" s="294"/>
      <c r="QC129" s="294"/>
      <c r="QD129" s="294"/>
      <c r="QE129" s="294">
        <v>-11907.92</v>
      </c>
      <c r="QF129" s="294">
        <v>-51977.18</v>
      </c>
      <c r="QG129" s="294"/>
      <c r="QH129" s="294"/>
      <c r="QI129" s="294"/>
      <c r="QJ129" s="294"/>
      <c r="QK129" s="294">
        <v>-3264.88</v>
      </c>
      <c r="QL129" s="294"/>
      <c r="QM129" s="294">
        <v>-61.6</v>
      </c>
      <c r="QN129" s="294"/>
      <c r="QO129" s="294">
        <v>-20901.810000000001</v>
      </c>
      <c r="QP129" s="294"/>
      <c r="QQ129" s="294">
        <v>-1338.48</v>
      </c>
      <c r="QR129" s="294"/>
      <c r="QS129" s="294"/>
      <c r="QT129" s="294"/>
      <c r="QU129" s="294">
        <v>-67821.06</v>
      </c>
      <c r="QV129" s="294">
        <v>-173870.55</v>
      </c>
      <c r="QW129" s="294">
        <v>-157152.87</v>
      </c>
      <c r="QX129" s="294">
        <v>-135882.99</v>
      </c>
      <c r="QY129" s="294">
        <v>-21689.84</v>
      </c>
      <c r="QZ129" s="294">
        <v>-43273.440000000002</v>
      </c>
      <c r="RA129" s="294">
        <v>-31631.58</v>
      </c>
      <c r="RB129" s="294"/>
      <c r="RC129" s="294">
        <v>-45551.68</v>
      </c>
      <c r="RD129" s="294">
        <v>-40762.94</v>
      </c>
      <c r="RE129" s="294">
        <v>-25816.11</v>
      </c>
      <c r="RF129" s="294">
        <v>-7820.55</v>
      </c>
      <c r="RG129" s="294">
        <v>-928346.45</v>
      </c>
      <c r="RH129" s="294">
        <v>-42371.360000000001</v>
      </c>
      <c r="RI129" s="294">
        <v>-38524.949999999997</v>
      </c>
      <c r="RJ129" s="294">
        <v>-54489.42</v>
      </c>
      <c r="RK129" s="294">
        <v>-238639.96</v>
      </c>
      <c r="RL129" s="294">
        <v>-84826.92</v>
      </c>
      <c r="RM129" s="294">
        <v>-101555.76</v>
      </c>
      <c r="RN129" s="294">
        <v>-26924.95</v>
      </c>
      <c r="RO129" s="294">
        <v>-29839.59</v>
      </c>
      <c r="RP129" s="294">
        <v>-39579</v>
      </c>
      <c r="RQ129" s="294">
        <v>-62169.53</v>
      </c>
      <c r="RR129" s="294">
        <v>-11219.92</v>
      </c>
      <c r="RS129" s="294">
        <v>-15611.01</v>
      </c>
      <c r="RT129" s="294">
        <v>-12785.97</v>
      </c>
      <c r="RU129" s="294">
        <v>-15071.98</v>
      </c>
      <c r="RV129" s="294">
        <v>-19869.62</v>
      </c>
      <c r="RW129" s="294">
        <v>-21239.51</v>
      </c>
      <c r="RX129" s="294">
        <v>-24230</v>
      </c>
      <c r="RY129" s="294">
        <v>-18059.54</v>
      </c>
      <c r="RZ129" s="294">
        <v>-21692.51</v>
      </c>
      <c r="SA129" s="294">
        <v>-1042238.97</v>
      </c>
      <c r="SB129" s="294">
        <v>-35960.519999999997</v>
      </c>
      <c r="SC129" s="294">
        <v>-25158.55</v>
      </c>
      <c r="SD129" s="294">
        <v>-29808.240000000002</v>
      </c>
      <c r="SE129" s="294">
        <v>-11547.62</v>
      </c>
      <c r="SF129" s="294">
        <v>-42912.19</v>
      </c>
      <c r="SG129" s="294">
        <v>-63030.85</v>
      </c>
      <c r="SH129" s="294">
        <v>-96121.67</v>
      </c>
      <c r="SI129" s="294">
        <v>-25628.3</v>
      </c>
      <c r="SJ129" s="294">
        <v>-1985.31</v>
      </c>
      <c r="SK129" s="294">
        <v>-45480.19</v>
      </c>
      <c r="SL129" s="294">
        <v>-12847.42</v>
      </c>
      <c r="SM129" s="294">
        <v>-200646.69</v>
      </c>
      <c r="SN129" s="294">
        <v>-42795.81</v>
      </c>
      <c r="SO129" s="294">
        <v>-29621.61</v>
      </c>
      <c r="SP129" s="294">
        <v>-60323.69</v>
      </c>
      <c r="SQ129" s="294">
        <v>-47816.12</v>
      </c>
      <c r="SR129" s="294">
        <v>-49291.86</v>
      </c>
      <c r="SS129" s="294">
        <v>-17846.75</v>
      </c>
      <c r="ST129" s="294">
        <v>-14997.17</v>
      </c>
      <c r="SU129" s="294">
        <v>-355350.31</v>
      </c>
      <c r="SV129" s="294">
        <v>-24145.83</v>
      </c>
      <c r="SW129" s="294">
        <v>-37707.800000000003</v>
      </c>
      <c r="SX129" s="294">
        <v>-19230.009999999998</v>
      </c>
      <c r="SY129" s="294">
        <v>-23121.01</v>
      </c>
      <c r="SZ129" s="294">
        <v>-29527.35</v>
      </c>
      <c r="TA129" s="294">
        <v>-28742.65</v>
      </c>
      <c r="TB129" s="294">
        <v>-109806.79</v>
      </c>
      <c r="TC129" s="294">
        <v>-58348.63</v>
      </c>
      <c r="TD129" s="294">
        <v>-14351.87</v>
      </c>
      <c r="TE129" s="294">
        <v>-73247.289999999994</v>
      </c>
      <c r="TF129" s="294">
        <v>-36823.54</v>
      </c>
      <c r="TG129" s="294">
        <v>-24868.18</v>
      </c>
      <c r="TH129" s="294">
        <v>-12422.83</v>
      </c>
      <c r="TI129" s="294">
        <v>-831097.19</v>
      </c>
      <c r="TJ129" s="294">
        <v>-28023.67</v>
      </c>
      <c r="TK129" s="294">
        <v>-27190.92</v>
      </c>
      <c r="TL129" s="294">
        <v>-45799.98</v>
      </c>
      <c r="TM129" s="294">
        <v>-53957.760000000002</v>
      </c>
      <c r="TN129" s="294">
        <v>-4994.03</v>
      </c>
      <c r="TO129" s="294">
        <v>-9842.44</v>
      </c>
      <c r="TP129" s="294">
        <v>-164479.10999999999</v>
      </c>
      <c r="TQ129" s="294">
        <v>-32793.730000000003</v>
      </c>
      <c r="TR129" s="294">
        <v>-34970.639999999999</v>
      </c>
      <c r="TS129" s="294">
        <v>-84888.47</v>
      </c>
      <c r="TT129" s="294">
        <v>-24260.27</v>
      </c>
      <c r="TU129" s="294">
        <v>-18966.189999999999</v>
      </c>
      <c r="TV129" s="294">
        <v>-51065.58</v>
      </c>
      <c r="TW129" s="294">
        <v>-23977.72</v>
      </c>
      <c r="TX129" s="294">
        <v>-26437.57</v>
      </c>
      <c r="TY129" s="294">
        <v>-282292.40999999997</v>
      </c>
      <c r="TZ129" s="294">
        <v>-32942.01</v>
      </c>
      <c r="UA129" s="294">
        <v>-804645.43</v>
      </c>
      <c r="UB129" s="294">
        <v>-40069.01</v>
      </c>
      <c r="UC129" s="294">
        <v>-36412.300000000003</v>
      </c>
      <c r="UD129" s="294">
        <v>-58097.65</v>
      </c>
      <c r="UE129" s="294">
        <v>-595745.43000000005</v>
      </c>
      <c r="UF129" s="294">
        <v>-25108.03</v>
      </c>
      <c r="UG129" s="294">
        <v>-31105.61</v>
      </c>
      <c r="UH129" s="294">
        <v>-56856.12</v>
      </c>
      <c r="UI129" s="294">
        <v>-56581.21</v>
      </c>
      <c r="UJ129" s="294">
        <v>-213426.94999999998</v>
      </c>
      <c r="UK129" s="294">
        <v>-65501.71</v>
      </c>
      <c r="UL129" s="294">
        <v>-38012.21</v>
      </c>
      <c r="UM129" s="294">
        <v>0</v>
      </c>
      <c r="UN129" s="294">
        <v>-10372.39</v>
      </c>
      <c r="UO129" s="294">
        <v>-53061.75</v>
      </c>
      <c r="UP129" s="294">
        <v>-837783.77</v>
      </c>
      <c r="UQ129" s="294">
        <v>-34253.42</v>
      </c>
      <c r="UR129" s="294">
        <v>-49457.52</v>
      </c>
      <c r="US129" s="294">
        <v>-149093.51</v>
      </c>
      <c r="UT129" s="294">
        <v>-19657.98</v>
      </c>
      <c r="UU129" s="294">
        <v>-43685.01</v>
      </c>
      <c r="UV129" s="294">
        <v>-117286.05</v>
      </c>
      <c r="UW129" s="294">
        <v>-7821.64</v>
      </c>
      <c r="UX129" s="294">
        <v>-38612.25</v>
      </c>
      <c r="UY129" s="294">
        <v>-34809.019999999997</v>
      </c>
      <c r="UZ129" s="294">
        <v>-30658.68</v>
      </c>
      <c r="VA129" s="294">
        <v>-72604.5</v>
      </c>
      <c r="VB129" s="294">
        <v>-38800.449999999997</v>
      </c>
      <c r="VC129" s="294">
        <v>-63300.36</v>
      </c>
      <c r="VD129" s="294">
        <v>-14672.06</v>
      </c>
      <c r="VE129" s="294">
        <v>-33606.379999999997</v>
      </c>
      <c r="VF129" s="294">
        <v>-6201.96</v>
      </c>
      <c r="VG129" s="294">
        <v>-17285.05</v>
      </c>
      <c r="VH129" s="294">
        <v>-233629.46</v>
      </c>
      <c r="VI129" s="294">
        <v>-13879.12</v>
      </c>
      <c r="VJ129" s="294">
        <v>-12539.85</v>
      </c>
      <c r="VK129" s="294">
        <v>-13119.19</v>
      </c>
      <c r="VL129" s="294">
        <v>-74215.59</v>
      </c>
      <c r="VM129" s="294">
        <v>-40247.83</v>
      </c>
      <c r="VN129" s="294">
        <v>-41169.53</v>
      </c>
      <c r="VO129" s="294">
        <v>-138535.41</v>
      </c>
      <c r="VP129" s="294">
        <v>-48879.09</v>
      </c>
      <c r="VQ129" s="294"/>
      <c r="VR129" s="294">
        <v>-45403.31</v>
      </c>
      <c r="VS129" s="294">
        <v>-59201.24</v>
      </c>
      <c r="VT129" s="294">
        <v>-17787.509999999998</v>
      </c>
      <c r="VU129" s="294">
        <v>-24078.14</v>
      </c>
      <c r="VV129" s="294">
        <v>-12018.82</v>
      </c>
      <c r="VW129" s="294">
        <v>-265243.68</v>
      </c>
      <c r="VX129" s="294">
        <v>-31075.68</v>
      </c>
      <c r="VY129" s="294">
        <v>-22111.82</v>
      </c>
      <c r="VZ129" s="294">
        <v>-16587.09</v>
      </c>
      <c r="WA129" s="294"/>
      <c r="WB129" s="294">
        <v>-79297.05</v>
      </c>
      <c r="WC129" s="294">
        <v>-81482.33</v>
      </c>
      <c r="WD129" s="294">
        <v>-24065.21</v>
      </c>
      <c r="WE129" s="294">
        <v>-31664.84</v>
      </c>
      <c r="WF129" s="294">
        <v>-35241.89</v>
      </c>
      <c r="WG129" s="294">
        <v>-277814.06</v>
      </c>
      <c r="WH129" s="294">
        <v>-88868.29</v>
      </c>
      <c r="WI129" s="294">
        <v>-38950.06</v>
      </c>
      <c r="WJ129" s="294">
        <v>-43959.35</v>
      </c>
      <c r="WK129" s="294">
        <v>-24941.57</v>
      </c>
      <c r="WL129" s="294">
        <v>-112834.12</v>
      </c>
      <c r="WM129" s="294">
        <v>-52990.34</v>
      </c>
      <c r="WN129" s="294">
        <v>-56076.37</v>
      </c>
      <c r="WO129" s="294">
        <v>-123050.81</v>
      </c>
      <c r="WP129" s="294">
        <v>-32902.080000000002</v>
      </c>
      <c r="WQ129" s="294">
        <v>-84102.04</v>
      </c>
      <c r="WR129" s="294">
        <v>-38257.870000000003</v>
      </c>
      <c r="WS129" s="294">
        <v>-29230.16</v>
      </c>
      <c r="WT129" s="294">
        <v>-72539.72</v>
      </c>
      <c r="WU129" s="294">
        <v>-302638.02</v>
      </c>
      <c r="WV129" s="294">
        <v>-21440.81</v>
      </c>
      <c r="WW129" s="294">
        <v>-20392.03</v>
      </c>
      <c r="WX129" s="294">
        <v>-27964.04</v>
      </c>
      <c r="WY129" s="294">
        <v>-36258.979999999996</v>
      </c>
      <c r="WZ129" s="294">
        <v>-8140.06</v>
      </c>
      <c r="XA129" s="294">
        <v>-29308.87</v>
      </c>
      <c r="XB129" s="294">
        <v>-4324.8100000000004</v>
      </c>
      <c r="XC129" s="294">
        <v>-164004.5</v>
      </c>
      <c r="XD129" s="294">
        <v>-10246.73</v>
      </c>
      <c r="XE129" s="294">
        <v>-17152.89</v>
      </c>
      <c r="XF129" s="294">
        <v>-18578.84</v>
      </c>
      <c r="XG129" s="294">
        <v>-141006.57999999999</v>
      </c>
      <c r="XH129" s="294">
        <v>-386708.07</v>
      </c>
      <c r="XI129" s="294">
        <v>-19773.099999999999</v>
      </c>
      <c r="XJ129" s="294">
        <v>-50135.15</v>
      </c>
      <c r="XK129" s="294">
        <v>-258443.88</v>
      </c>
      <c r="XL129" s="294">
        <v>-19653.66</v>
      </c>
      <c r="XM129" s="294">
        <v>-25339.33</v>
      </c>
      <c r="XN129" s="294">
        <v>-250640.47</v>
      </c>
      <c r="XO129" s="294">
        <v>-123973.83</v>
      </c>
      <c r="XP129" s="294">
        <v>-31076.58</v>
      </c>
      <c r="XQ129" s="294">
        <v>-96415.94</v>
      </c>
      <c r="XR129" s="294">
        <v>-172201.06</v>
      </c>
      <c r="XS129" s="294">
        <v>-32158.12</v>
      </c>
      <c r="XT129" s="294">
        <v>-12978.67</v>
      </c>
      <c r="XU129" s="294">
        <v>-21081.49</v>
      </c>
      <c r="XV129" s="294">
        <v>-34410.32</v>
      </c>
      <c r="XW129" s="294">
        <v>-14770.71</v>
      </c>
      <c r="XX129" s="294">
        <v>-24765.81</v>
      </c>
      <c r="XY129" s="294">
        <v>-53467.33</v>
      </c>
      <c r="XZ129" s="294">
        <v>-8219.2199999999993</v>
      </c>
      <c r="YA129" s="294">
        <v>-55252.91</v>
      </c>
      <c r="YB129" s="294">
        <v>-13105.29</v>
      </c>
      <c r="YC129" s="294">
        <v>-34952.79</v>
      </c>
      <c r="YD129" s="294">
        <v>-25531.17</v>
      </c>
      <c r="YE129" s="294">
        <v>-20119.05</v>
      </c>
      <c r="YF129" s="294">
        <v>-15378.65</v>
      </c>
      <c r="YG129" s="294">
        <v>-111072.65</v>
      </c>
      <c r="YH129" s="294">
        <v>-32000.14</v>
      </c>
      <c r="YI129" s="294">
        <v>-84658.25</v>
      </c>
      <c r="YJ129" s="294">
        <v>-41005.050000000003</v>
      </c>
      <c r="YK129" s="294">
        <v>-126798.78</v>
      </c>
      <c r="YL129" s="294">
        <v>-26672.79</v>
      </c>
      <c r="YM129" s="294">
        <v>-438197.74</v>
      </c>
      <c r="YN129" s="294">
        <v>-198725.46</v>
      </c>
      <c r="YO129" s="294">
        <v>-71687</v>
      </c>
      <c r="YP129" s="294">
        <v>-46261.43</v>
      </c>
      <c r="YQ129" s="294">
        <v>-20894.34</v>
      </c>
      <c r="YR129" s="294">
        <v>-16242.69</v>
      </c>
      <c r="YS129" s="294">
        <v>-25911.79</v>
      </c>
      <c r="YT129" s="294">
        <v>-33644.089999999997</v>
      </c>
      <c r="YU129" s="294">
        <v>-59139.79</v>
      </c>
      <c r="YV129" s="294">
        <v>-184536.94</v>
      </c>
      <c r="YW129" s="294">
        <v>-22956.03</v>
      </c>
      <c r="YX129" s="294">
        <v>-10863.88</v>
      </c>
      <c r="YY129" s="294">
        <v>-45120.92</v>
      </c>
      <c r="YZ129" s="294">
        <v>-28509.69</v>
      </c>
      <c r="ZA129" s="294">
        <v>-6352.77</v>
      </c>
      <c r="ZB129" s="294">
        <v>-40559.129999999997</v>
      </c>
      <c r="ZC129" s="294">
        <v>-18909.759999999998</v>
      </c>
      <c r="ZD129" s="294">
        <v>-26280.06</v>
      </c>
      <c r="ZE129" s="294"/>
      <c r="ZF129" s="294">
        <v>-37827.75</v>
      </c>
      <c r="ZG129" s="294">
        <v>-18272.899999999998</v>
      </c>
      <c r="ZH129" s="294">
        <v>-21812.19</v>
      </c>
      <c r="ZI129" s="294">
        <v>-19080.189999999999</v>
      </c>
      <c r="ZJ129" s="294">
        <v>-14016.34</v>
      </c>
      <c r="ZK129" s="294">
        <v>-100224.87</v>
      </c>
      <c r="ZL129" s="294">
        <v>-616665.02</v>
      </c>
      <c r="ZM129" s="294">
        <v>-24775.34</v>
      </c>
      <c r="ZN129" s="294">
        <v>-78986.694000000003</v>
      </c>
      <c r="ZO129" s="294">
        <v>-352640.43</v>
      </c>
      <c r="ZP129" s="294">
        <v>-69577.58</v>
      </c>
      <c r="ZQ129" s="294">
        <v>-39439.78</v>
      </c>
      <c r="ZR129" s="294">
        <v>-80154.12</v>
      </c>
      <c r="ZS129" s="294">
        <v>-51922.03</v>
      </c>
      <c r="ZT129" s="294">
        <v>-121000.37</v>
      </c>
      <c r="ZU129" s="294">
        <v>-63179.25</v>
      </c>
      <c r="ZV129" s="294">
        <v>-18106.03</v>
      </c>
      <c r="ZW129" s="294">
        <v>-83357.41</v>
      </c>
      <c r="ZX129" s="294">
        <v>-75955.41</v>
      </c>
      <c r="ZY129" s="294">
        <v>-145071.59</v>
      </c>
      <c r="ZZ129" s="294">
        <v>-34245.300000000003</v>
      </c>
      <c r="AAA129" s="294">
        <v>-29637.18</v>
      </c>
      <c r="AAB129" s="294">
        <v>-41467.06</v>
      </c>
      <c r="AAC129" s="294">
        <v>-60285.24</v>
      </c>
      <c r="AAD129" s="294">
        <v>-27361.86</v>
      </c>
      <c r="AAE129" s="294">
        <v>-62365.61</v>
      </c>
      <c r="AAF129" s="294">
        <v>-36777.65</v>
      </c>
      <c r="AAG129" s="294">
        <v>-18771.990000000002</v>
      </c>
      <c r="AAH129" s="294"/>
      <c r="AAI129" s="294">
        <v>-61072.2</v>
      </c>
      <c r="AAJ129" s="294">
        <v>-53403.97</v>
      </c>
      <c r="AAK129" s="294">
        <v>-32067.64</v>
      </c>
      <c r="AAL129" s="294">
        <v>-19613.05</v>
      </c>
      <c r="AAM129" s="294">
        <v>-44335.81</v>
      </c>
      <c r="AAN129" s="294">
        <v>-17649.03</v>
      </c>
      <c r="AAO129" s="294">
        <v>-26891.57</v>
      </c>
      <c r="AAP129" s="294">
        <v>-23121.200000000001</v>
      </c>
      <c r="AAQ129" s="294">
        <v>-62531.25</v>
      </c>
      <c r="AAR129" s="294">
        <v>-140801.95000000001</v>
      </c>
      <c r="AAS129" s="294">
        <v>-59969.85</v>
      </c>
      <c r="AAT129" s="294">
        <v>-30049.43</v>
      </c>
      <c r="AAU129" s="294">
        <v>-37429.629999999997</v>
      </c>
      <c r="AAV129" s="294">
        <v>-73744.34</v>
      </c>
      <c r="AAW129" s="294">
        <v>-133263.1</v>
      </c>
      <c r="AAX129" s="294">
        <v>-27598.89</v>
      </c>
      <c r="AAY129" s="294">
        <v>-193114.08</v>
      </c>
      <c r="AAZ129" s="294">
        <v>-144882.25</v>
      </c>
      <c r="ABA129" s="294">
        <v>-102973.64</v>
      </c>
      <c r="ABB129" s="294">
        <v>-17317.29</v>
      </c>
      <c r="ABC129" s="294">
        <v>-37491.14</v>
      </c>
      <c r="ABD129" s="294">
        <v>-43678.49</v>
      </c>
      <c r="ABE129" s="294">
        <v>-10550.3</v>
      </c>
      <c r="ABF129" s="294">
        <v>-27467.3</v>
      </c>
      <c r="ABG129" s="294">
        <v>-6672.57</v>
      </c>
      <c r="ABH129" s="294">
        <v>-273166.8</v>
      </c>
      <c r="ABI129" s="294">
        <v>-213575.42</v>
      </c>
      <c r="ABJ129" s="294">
        <v>-15001.12</v>
      </c>
      <c r="ABK129" s="294">
        <v>-22472.560000000001</v>
      </c>
      <c r="ABL129" s="294">
        <v>-1354.12</v>
      </c>
      <c r="ABM129" s="294">
        <v>-22812.59</v>
      </c>
      <c r="ABN129" s="294">
        <v>-8262.5499999999993</v>
      </c>
      <c r="ABO129" s="294">
        <v>-292133.21000000002</v>
      </c>
      <c r="ABP129" s="294">
        <v>-30259.54</v>
      </c>
      <c r="ABQ129" s="294">
        <v>-9465.19</v>
      </c>
      <c r="ABR129" s="294">
        <v>-11961.31</v>
      </c>
      <c r="ABS129" s="294">
        <v>-40638.54</v>
      </c>
      <c r="ABT129" s="294">
        <v>-29828.6</v>
      </c>
      <c r="ABU129" s="294">
        <v>-21553.37</v>
      </c>
      <c r="ABV129" s="294">
        <v>-34348.31</v>
      </c>
      <c r="ABW129" s="294">
        <v>-4171.62</v>
      </c>
      <c r="ABX129" s="294"/>
      <c r="ABY129" s="294">
        <v>0</v>
      </c>
      <c r="ABZ129" s="294">
        <v>0</v>
      </c>
      <c r="ACA129" s="294">
        <v>0</v>
      </c>
      <c r="ACB129" s="294">
        <v>-64623.23</v>
      </c>
      <c r="ACC129" s="294">
        <v>0</v>
      </c>
      <c r="ACD129" s="294"/>
      <c r="ACE129" s="294">
        <v>-63110.76</v>
      </c>
      <c r="ACF129" s="294">
        <v>-24975.13</v>
      </c>
      <c r="ACG129" s="294">
        <v>-25975.34</v>
      </c>
      <c r="ACH129" s="294">
        <v>-60685.96</v>
      </c>
      <c r="ACI129" s="294"/>
      <c r="ACJ129" s="294">
        <v>-5770.08</v>
      </c>
      <c r="ACK129" s="294">
        <v>-65505.52</v>
      </c>
      <c r="ACL129" s="294">
        <v>-35211.67</v>
      </c>
      <c r="ACM129" s="294"/>
      <c r="ACN129" s="294">
        <v>-42310.68</v>
      </c>
      <c r="ACO129" s="294"/>
      <c r="ACP129" s="294">
        <v>0</v>
      </c>
      <c r="ACQ129" s="294">
        <v>-277396.84000000003</v>
      </c>
      <c r="ACR129" s="294">
        <v>-10744.03</v>
      </c>
      <c r="ACS129" s="294">
        <v>-279664.86</v>
      </c>
      <c r="ACT129" s="294">
        <v>-11055.53</v>
      </c>
      <c r="ACU129" s="294">
        <v>-11890.56</v>
      </c>
      <c r="ACV129" s="294">
        <v>-336182.57</v>
      </c>
      <c r="ACW129" s="294">
        <v>0</v>
      </c>
      <c r="ACX129" s="294">
        <v>-17640.55</v>
      </c>
      <c r="ACY129" s="294">
        <v>-21971.16</v>
      </c>
      <c r="ACZ129" s="294">
        <v>-24087.86</v>
      </c>
      <c r="ADA129" s="294">
        <v>-5932.86</v>
      </c>
      <c r="ADB129" s="294">
        <v>-11397.33</v>
      </c>
      <c r="ADC129" s="294">
        <v>-9839.69</v>
      </c>
      <c r="ADD129" s="294">
        <v>-11926.96</v>
      </c>
      <c r="ADE129" s="294">
        <v>-14215.64</v>
      </c>
      <c r="ADF129" s="294">
        <v>-162650.29999999999</v>
      </c>
      <c r="ADG129" s="294">
        <v>-58499.3</v>
      </c>
      <c r="ADH129" s="294">
        <v>-34099.910000000003</v>
      </c>
      <c r="ADI129" s="294">
        <v>-2050.4699999999998</v>
      </c>
      <c r="ADJ129" s="294">
        <v>14774.86</v>
      </c>
      <c r="ADK129" s="294">
        <v>-4306.79</v>
      </c>
      <c r="ADL129" s="294">
        <v>-6791.55</v>
      </c>
      <c r="ADM129" s="294">
        <v>-9535.44</v>
      </c>
      <c r="ADN129" s="294">
        <v>-21313.98</v>
      </c>
      <c r="ADO129" s="294"/>
      <c r="ADP129" s="294">
        <v>-46790.59</v>
      </c>
      <c r="ADQ129" s="294">
        <v>-48240.26</v>
      </c>
      <c r="ADR129" s="294">
        <v>-51802.25</v>
      </c>
      <c r="ADS129" s="294">
        <v>-145317.67000000001</v>
      </c>
      <c r="ADT129" s="294">
        <v>0</v>
      </c>
      <c r="ADU129" s="294">
        <v>-7913.72</v>
      </c>
      <c r="ADV129" s="294">
        <v>-58422.47</v>
      </c>
      <c r="ADW129" s="294">
        <v>-13670.63</v>
      </c>
      <c r="ADX129" s="294">
        <v>-9040.86</v>
      </c>
      <c r="ADY129" s="294"/>
      <c r="ADZ129" s="294">
        <v>0</v>
      </c>
      <c r="AEA129" s="294">
        <v>-79719.41</v>
      </c>
      <c r="AEB129" s="294">
        <v>-21188.47</v>
      </c>
      <c r="AEC129" s="294">
        <v>-42427.23</v>
      </c>
      <c r="AED129" s="294">
        <v>-49938.66</v>
      </c>
      <c r="AEE129" s="294">
        <v>-22744.44</v>
      </c>
      <c r="AEF129" s="294">
        <v>-35426.480000000003</v>
      </c>
      <c r="AEG129" s="294">
        <v>-19140.53</v>
      </c>
      <c r="AEH129" s="294">
        <v>-13755.48</v>
      </c>
      <c r="AEI129" s="294">
        <v>-13628.78</v>
      </c>
      <c r="AEJ129" s="294">
        <v>-60081.45</v>
      </c>
      <c r="AEK129" s="294">
        <v>-13328.11</v>
      </c>
      <c r="AEL129" s="294">
        <v>-21501.9</v>
      </c>
      <c r="AEM129" s="294">
        <v>-22375.55</v>
      </c>
      <c r="AEN129" s="294">
        <v>-32276.32</v>
      </c>
      <c r="AEO129" s="294">
        <v>-17246.29</v>
      </c>
      <c r="AEP129" s="294">
        <v>-51141.35</v>
      </c>
      <c r="AEQ129" s="294">
        <v>-10530.33</v>
      </c>
      <c r="AER129" s="294">
        <v>-81488.149999999994</v>
      </c>
      <c r="AES129" s="294">
        <v>-59374.67</v>
      </c>
      <c r="AET129" s="294">
        <v>-67163.929999999993</v>
      </c>
      <c r="AEU129" s="294">
        <v>-67468.570000000007</v>
      </c>
      <c r="AEV129" s="294">
        <v>-26012.560000000001</v>
      </c>
      <c r="AEW129" s="294">
        <v>0</v>
      </c>
      <c r="AEX129" s="294">
        <v>-88121.71</v>
      </c>
      <c r="AEY129" s="294">
        <v>-17513.900000000001</v>
      </c>
      <c r="AEZ129" s="294">
        <v>-19607.03</v>
      </c>
      <c r="AFA129" s="294">
        <v>-8856.15</v>
      </c>
      <c r="AFB129" s="294">
        <v>-11391.85</v>
      </c>
      <c r="AFC129" s="294">
        <v>-501499.07</v>
      </c>
      <c r="AFD129" s="294">
        <v>-59324.07</v>
      </c>
      <c r="AFE129" s="294">
        <v>-36417.269999999997</v>
      </c>
      <c r="AFF129" s="294">
        <v>-61998.93</v>
      </c>
      <c r="AFG129" s="294">
        <v>-116370.22</v>
      </c>
      <c r="AFH129" s="294">
        <v>-40748.22</v>
      </c>
      <c r="AFI129" s="294">
        <v>-21273.15</v>
      </c>
      <c r="AFJ129" s="294">
        <v>0</v>
      </c>
      <c r="AFK129" s="294">
        <v>-112334.64</v>
      </c>
      <c r="AFL129" s="294">
        <v>-47842.97</v>
      </c>
      <c r="AFM129" s="294">
        <v>-19243.8</v>
      </c>
      <c r="AFN129" s="294">
        <v>-26899.8</v>
      </c>
      <c r="AFO129" s="294">
        <v>-36152.07</v>
      </c>
      <c r="AFP129" s="294">
        <v>-528742.02</v>
      </c>
      <c r="AFQ129" s="294">
        <v>-65959.789999999994</v>
      </c>
      <c r="AFR129" s="294">
        <v>-37763.4</v>
      </c>
      <c r="AFS129" s="294">
        <v>-26308.1</v>
      </c>
      <c r="AFT129" s="294">
        <v>-49827.5</v>
      </c>
      <c r="AFU129" s="294">
        <v>-23409.27</v>
      </c>
      <c r="AFV129" s="294">
        <v>-19616.53</v>
      </c>
      <c r="AFW129" s="294">
        <v>-89907.54</v>
      </c>
      <c r="AFX129" s="294">
        <v>-29040.29</v>
      </c>
      <c r="AFY129" s="294">
        <v>-11242.04</v>
      </c>
      <c r="AFZ129" s="294">
        <v>-40845.129999999997</v>
      </c>
      <c r="AGA129" s="294">
        <v>-40159.019999999997</v>
      </c>
      <c r="AGB129" s="294">
        <v>-407419.75</v>
      </c>
      <c r="AGC129" s="294">
        <v>-12671.05</v>
      </c>
      <c r="AGD129" s="294">
        <v>-27839.599999999999</v>
      </c>
      <c r="AGE129" s="294">
        <v>-9741.3799999999992</v>
      </c>
      <c r="AGF129" s="294">
        <v>-61040.88</v>
      </c>
      <c r="AGG129" s="294">
        <v>-21297.71</v>
      </c>
      <c r="AGH129" s="294">
        <v>-16465.96</v>
      </c>
      <c r="AGI129" s="294">
        <v>-33158</v>
      </c>
      <c r="AGJ129" s="294">
        <v>-12385.99</v>
      </c>
      <c r="AGK129" s="294">
        <v>-9794.14</v>
      </c>
      <c r="AGL129" s="294">
        <v>-13536.14</v>
      </c>
      <c r="AGM129" s="294">
        <v>-171209.96000000002</v>
      </c>
      <c r="AGN129" s="294">
        <v>-165934.79999999999</v>
      </c>
      <c r="AGO129" s="294">
        <v>-43768.26</v>
      </c>
      <c r="AGP129" s="294">
        <v>-39469.199999999997</v>
      </c>
      <c r="AGQ129" s="294">
        <v>-425199.77</v>
      </c>
      <c r="AGR129" s="294">
        <v>-38986.519999999997</v>
      </c>
      <c r="AGS129" s="294">
        <v>-2097.35</v>
      </c>
      <c r="AGT129" s="294">
        <v>-41181.71</v>
      </c>
      <c r="AGU129" s="294">
        <v>-29896.48</v>
      </c>
      <c r="AGV129" s="294">
        <v>-229997.94</v>
      </c>
      <c r="AGW129" s="294">
        <v>-23103.439999999999</v>
      </c>
      <c r="AGX129" s="294">
        <v>-65338.62</v>
      </c>
      <c r="AGY129" s="294">
        <v>-198571.48</v>
      </c>
      <c r="AGZ129" s="294">
        <v>-33162.160000000003</v>
      </c>
      <c r="AHA129" s="294">
        <v>-17354.98</v>
      </c>
      <c r="AHB129" s="294">
        <v>-17725.099999999999</v>
      </c>
      <c r="AHC129" s="294">
        <v>0</v>
      </c>
      <c r="AHD129" s="294">
        <v>-32973.279999999999</v>
      </c>
      <c r="AHE129" s="294">
        <v>0</v>
      </c>
      <c r="AHF129" s="294">
        <v>-39565.14</v>
      </c>
      <c r="AHG129" s="294">
        <v>-13545.69</v>
      </c>
      <c r="AHH129" s="294">
        <v>-25955.94</v>
      </c>
      <c r="AHI129" s="294">
        <v>-29318.78</v>
      </c>
      <c r="AHJ129" s="294">
        <v>-81587.09</v>
      </c>
      <c r="AHK129" s="294">
        <v>-14723.35</v>
      </c>
      <c r="AHL129" s="294">
        <v>-43.15</v>
      </c>
      <c r="AHM129" s="294">
        <v>-26937.98</v>
      </c>
      <c r="AHN129" s="294">
        <v>-22334.65</v>
      </c>
      <c r="AHO129" s="294">
        <v>-12276.88</v>
      </c>
      <c r="AHP129" s="294">
        <v>-67217.789999999994</v>
      </c>
      <c r="AHQ129" s="294">
        <v>-7733.91</v>
      </c>
      <c r="AHR129" s="331">
        <v>-12723.93</v>
      </c>
      <c r="AHS129" s="294">
        <f t="shared" si="53"/>
        <v>-69236685.093999937</v>
      </c>
      <c r="AHT129" s="269" t="b">
        <f t="shared" si="54"/>
        <v>1</v>
      </c>
      <c r="AHU129" s="269" t="s">
        <v>6278</v>
      </c>
      <c r="AHV129" s="269" t="s">
        <v>6200</v>
      </c>
      <c r="AHW129" s="269" t="s">
        <v>6201</v>
      </c>
    </row>
    <row r="130" spans="1:907" ht="24.6" x14ac:dyDescent="0.7">
      <c r="A130" s="268" t="s">
        <v>6278</v>
      </c>
      <c r="B130" s="268" t="s">
        <v>6202</v>
      </c>
      <c r="C130" s="269" t="s">
        <v>6203</v>
      </c>
      <c r="D130" s="294">
        <v>0</v>
      </c>
      <c r="E130" s="294">
        <v>0</v>
      </c>
      <c r="F130" s="294"/>
      <c r="G130" s="294">
        <v>0</v>
      </c>
      <c r="H130" s="294"/>
      <c r="I130" s="294">
        <v>-8973</v>
      </c>
      <c r="J130" s="294">
        <v>0</v>
      </c>
      <c r="K130" s="294">
        <v>0</v>
      </c>
      <c r="L130" s="294">
        <v>-11655</v>
      </c>
      <c r="M130" s="294">
        <v>0</v>
      </c>
      <c r="N130" s="294">
        <v>0</v>
      </c>
      <c r="O130" s="294">
        <v>-11</v>
      </c>
      <c r="P130" s="294">
        <v>-20910.3</v>
      </c>
      <c r="Q130" s="294">
        <v>0</v>
      </c>
      <c r="R130" s="294">
        <v>0</v>
      </c>
      <c r="S130" s="294">
        <v>-2934</v>
      </c>
      <c r="T130" s="294">
        <v>0</v>
      </c>
      <c r="U130" s="294">
        <v>-11768</v>
      </c>
      <c r="V130" s="294"/>
      <c r="W130" s="294">
        <v>0</v>
      </c>
      <c r="X130" s="294">
        <v>0</v>
      </c>
      <c r="Y130" s="294"/>
      <c r="Z130" s="294"/>
      <c r="AA130" s="294">
        <v>-4117</v>
      </c>
      <c r="AB130" s="294">
        <v>-847.2</v>
      </c>
      <c r="AC130" s="294">
        <v>0</v>
      </c>
      <c r="AD130" s="294">
        <v>-25944</v>
      </c>
      <c r="AE130" s="294"/>
      <c r="AF130" s="294">
        <v>0</v>
      </c>
      <c r="AG130" s="294">
        <v>-18173</v>
      </c>
      <c r="AH130" s="294"/>
      <c r="AI130" s="294"/>
      <c r="AJ130" s="294">
        <v>-36295.24</v>
      </c>
      <c r="AK130" s="294">
        <v>0</v>
      </c>
      <c r="AL130" s="294"/>
      <c r="AM130" s="294"/>
      <c r="AN130" s="294"/>
      <c r="AO130" s="294">
        <v>-4431.8</v>
      </c>
      <c r="AP130" s="294"/>
      <c r="AQ130" s="294">
        <v>0</v>
      </c>
      <c r="AR130" s="294"/>
      <c r="AS130" s="294">
        <v>0</v>
      </c>
      <c r="AT130" s="294">
        <v>0</v>
      </c>
      <c r="AU130" s="294">
        <v>0</v>
      </c>
      <c r="AV130" s="294">
        <v>0</v>
      </c>
      <c r="AW130" s="294">
        <v>0</v>
      </c>
      <c r="AX130" s="294">
        <v>0</v>
      </c>
      <c r="AY130" s="294"/>
      <c r="AZ130" s="294">
        <v>0</v>
      </c>
      <c r="BA130" s="294">
        <v>0</v>
      </c>
      <c r="BB130" s="294"/>
      <c r="BC130" s="294">
        <v>0</v>
      </c>
      <c r="BD130" s="294">
        <v>0</v>
      </c>
      <c r="BE130" s="294">
        <v>0</v>
      </c>
      <c r="BF130" s="294">
        <v>-5946</v>
      </c>
      <c r="BG130" s="294">
        <v>-1824</v>
      </c>
      <c r="BH130" s="294">
        <v>-2</v>
      </c>
      <c r="BI130" s="294">
        <v>0</v>
      </c>
      <c r="BJ130" s="294"/>
      <c r="BK130" s="294">
        <v>0</v>
      </c>
      <c r="BL130" s="294">
        <v>0</v>
      </c>
      <c r="BM130" s="294">
        <v>-19606</v>
      </c>
      <c r="BN130" s="294">
        <v>-9107</v>
      </c>
      <c r="BO130" s="294">
        <v>-718</v>
      </c>
      <c r="BP130" s="294"/>
      <c r="BQ130" s="294"/>
      <c r="BR130" s="294"/>
      <c r="BS130" s="294">
        <v>0</v>
      </c>
      <c r="BT130" s="294">
        <v>0</v>
      </c>
      <c r="BU130" s="294">
        <v>0</v>
      </c>
      <c r="BV130" s="294">
        <v>0</v>
      </c>
      <c r="BW130" s="294">
        <v>0</v>
      </c>
      <c r="BX130" s="294"/>
      <c r="BY130" s="294">
        <v>0</v>
      </c>
      <c r="BZ130" s="294"/>
      <c r="CA130" s="294"/>
      <c r="CB130" s="294">
        <v>0</v>
      </c>
      <c r="CC130" s="294"/>
      <c r="CD130" s="294"/>
      <c r="CE130" s="294">
        <v>0</v>
      </c>
      <c r="CF130" s="294"/>
      <c r="CG130" s="294"/>
      <c r="CH130" s="294">
        <v>0</v>
      </c>
      <c r="CI130" s="294">
        <v>0</v>
      </c>
      <c r="CJ130" s="294">
        <v>0</v>
      </c>
      <c r="CK130" s="294">
        <v>0</v>
      </c>
      <c r="CL130" s="294">
        <v>0</v>
      </c>
      <c r="CM130" s="294">
        <v>0</v>
      </c>
      <c r="CN130" s="294">
        <v>0</v>
      </c>
      <c r="CO130" s="294">
        <v>0</v>
      </c>
      <c r="CP130" s="294">
        <v>0</v>
      </c>
      <c r="CQ130" s="294">
        <v>-9604</v>
      </c>
      <c r="CR130" s="294">
        <v>0</v>
      </c>
      <c r="CS130" s="294">
        <v>0</v>
      </c>
      <c r="CT130" s="294"/>
      <c r="CU130" s="294">
        <v>0</v>
      </c>
      <c r="CV130" s="294">
        <v>0</v>
      </c>
      <c r="CW130" s="294">
        <v>0</v>
      </c>
      <c r="CX130" s="294"/>
      <c r="CY130" s="294">
        <v>0</v>
      </c>
      <c r="CZ130" s="294">
        <v>0</v>
      </c>
      <c r="DA130" s="294">
        <v>-5469</v>
      </c>
      <c r="DB130" s="294">
        <v>0</v>
      </c>
      <c r="DC130" s="294">
        <v>0</v>
      </c>
      <c r="DD130" s="294">
        <v>0</v>
      </c>
      <c r="DE130" s="294">
        <v>0</v>
      </c>
      <c r="DF130" s="294"/>
      <c r="DG130" s="294">
        <v>0</v>
      </c>
      <c r="DH130" s="294"/>
      <c r="DI130" s="294"/>
      <c r="DJ130" s="294">
        <v>0</v>
      </c>
      <c r="DK130" s="294">
        <v>0</v>
      </c>
      <c r="DL130" s="294">
        <v>0</v>
      </c>
      <c r="DM130" s="294">
        <v>-3000</v>
      </c>
      <c r="DN130" s="294"/>
      <c r="DO130" s="294"/>
      <c r="DP130" s="294"/>
      <c r="DQ130" s="294"/>
      <c r="DR130" s="294">
        <v>-13122</v>
      </c>
      <c r="DS130" s="294">
        <v>0</v>
      </c>
      <c r="DT130" s="294"/>
      <c r="DU130" s="294">
        <v>0</v>
      </c>
      <c r="DV130" s="294"/>
      <c r="DW130" s="294">
        <v>0</v>
      </c>
      <c r="DX130" s="294"/>
      <c r="DY130" s="294"/>
      <c r="DZ130" s="294"/>
      <c r="EA130" s="294">
        <v>0</v>
      </c>
      <c r="EB130" s="294"/>
      <c r="EC130" s="294"/>
      <c r="ED130" s="294">
        <v>0</v>
      </c>
      <c r="EE130" s="294">
        <v>0</v>
      </c>
      <c r="EF130" s="294">
        <v>0</v>
      </c>
      <c r="EG130" s="294">
        <v>-35054.800000000003</v>
      </c>
      <c r="EH130" s="294">
        <v>0</v>
      </c>
      <c r="EI130" s="294">
        <v>-43945.2</v>
      </c>
      <c r="EJ130" s="294">
        <v>0</v>
      </c>
      <c r="EK130" s="294">
        <v>0</v>
      </c>
      <c r="EL130" s="294">
        <v>0</v>
      </c>
      <c r="EM130" s="294">
        <v>0</v>
      </c>
      <c r="EN130" s="294">
        <v>0</v>
      </c>
      <c r="EO130" s="294"/>
      <c r="EP130" s="294"/>
      <c r="EQ130" s="294">
        <v>-32200</v>
      </c>
      <c r="ER130" s="294">
        <v>-2701</v>
      </c>
      <c r="ES130" s="294"/>
      <c r="ET130" s="294">
        <v>0</v>
      </c>
      <c r="EU130" s="294"/>
      <c r="EV130" s="294">
        <v>0</v>
      </c>
      <c r="EW130" s="294"/>
      <c r="EX130" s="294">
        <v>0</v>
      </c>
      <c r="EY130" s="294"/>
      <c r="EZ130" s="294">
        <v>0</v>
      </c>
      <c r="FA130" s="294">
        <v>0</v>
      </c>
      <c r="FB130" s="294">
        <v>0</v>
      </c>
      <c r="FC130" s="294">
        <v>0</v>
      </c>
      <c r="FD130" s="294">
        <v>-622</v>
      </c>
      <c r="FE130" s="294"/>
      <c r="FF130" s="294"/>
      <c r="FG130" s="294">
        <v>0</v>
      </c>
      <c r="FH130" s="294">
        <v>0</v>
      </c>
      <c r="FI130" s="294"/>
      <c r="FJ130" s="294"/>
      <c r="FK130" s="294">
        <v>0</v>
      </c>
      <c r="FL130" s="294"/>
      <c r="FM130" s="294"/>
      <c r="FN130" s="294"/>
      <c r="FO130" s="294">
        <v>0</v>
      </c>
      <c r="FP130" s="294">
        <v>-4394</v>
      </c>
      <c r="FQ130" s="294"/>
      <c r="FR130" s="294"/>
      <c r="FS130" s="294">
        <v>0</v>
      </c>
      <c r="FT130" s="294">
        <v>-1323</v>
      </c>
      <c r="FU130" s="294">
        <v>0</v>
      </c>
      <c r="FV130" s="294">
        <v>0</v>
      </c>
      <c r="FW130" s="294">
        <v>0</v>
      </c>
      <c r="FX130" s="294"/>
      <c r="FY130" s="294">
        <v>-782.6</v>
      </c>
      <c r="FZ130" s="294">
        <v>-18135.599999999999</v>
      </c>
      <c r="GA130" s="294">
        <v>0</v>
      </c>
      <c r="GB130" s="294"/>
      <c r="GC130" s="294"/>
      <c r="GD130" s="294">
        <v>-4397.3999999999996</v>
      </c>
      <c r="GE130" s="294">
        <v>-46989.68</v>
      </c>
      <c r="GF130" s="294">
        <v>0</v>
      </c>
      <c r="GG130" s="294">
        <v>0</v>
      </c>
      <c r="GH130" s="294">
        <v>0</v>
      </c>
      <c r="GI130" s="294"/>
      <c r="GJ130" s="294">
        <v>0</v>
      </c>
      <c r="GK130" s="294"/>
      <c r="GL130" s="294"/>
      <c r="GM130" s="294">
        <v>0</v>
      </c>
      <c r="GN130" s="294">
        <v>-2125</v>
      </c>
      <c r="GO130" s="294">
        <v>0</v>
      </c>
      <c r="GP130" s="294">
        <v>0</v>
      </c>
      <c r="GQ130" s="294">
        <v>0</v>
      </c>
      <c r="GR130" s="294">
        <v>0</v>
      </c>
      <c r="GS130" s="294">
        <v>0</v>
      </c>
      <c r="GT130" s="294">
        <v>0</v>
      </c>
      <c r="GU130" s="294">
        <v>0</v>
      </c>
      <c r="GV130" s="294">
        <v>0</v>
      </c>
      <c r="GW130" s="294">
        <v>0</v>
      </c>
      <c r="GX130" s="294">
        <v>0</v>
      </c>
      <c r="GY130" s="294"/>
      <c r="GZ130" s="294">
        <v>0</v>
      </c>
      <c r="HA130" s="294">
        <v>0</v>
      </c>
      <c r="HB130" s="294">
        <v>-5299</v>
      </c>
      <c r="HC130" s="294">
        <v>0</v>
      </c>
      <c r="HD130" s="294">
        <v>-150952</v>
      </c>
      <c r="HE130" s="294">
        <v>0</v>
      </c>
      <c r="HF130" s="294">
        <v>-7600</v>
      </c>
      <c r="HG130" s="294">
        <v>-2299</v>
      </c>
      <c r="HH130" s="294"/>
      <c r="HI130" s="294">
        <v>0</v>
      </c>
      <c r="HJ130" s="294"/>
      <c r="HK130" s="294">
        <v>0</v>
      </c>
      <c r="HL130" s="294">
        <v>0</v>
      </c>
      <c r="HM130" s="294"/>
      <c r="HN130" s="294">
        <v>0</v>
      </c>
      <c r="HO130" s="294">
        <v>0</v>
      </c>
      <c r="HP130" s="294"/>
      <c r="HQ130" s="294"/>
      <c r="HR130" s="294">
        <v>0</v>
      </c>
      <c r="HS130" s="294">
        <v>0</v>
      </c>
      <c r="HT130" s="294">
        <v>0</v>
      </c>
      <c r="HU130" s="294">
        <v>-6060</v>
      </c>
      <c r="HV130" s="294">
        <v>-6258</v>
      </c>
      <c r="HW130" s="294">
        <v>0</v>
      </c>
      <c r="HX130" s="294">
        <v>0</v>
      </c>
      <c r="HY130" s="294">
        <v>0</v>
      </c>
      <c r="HZ130" s="294">
        <v>0</v>
      </c>
      <c r="IA130" s="294">
        <v>0</v>
      </c>
      <c r="IB130" s="294">
        <v>0</v>
      </c>
      <c r="IC130" s="294">
        <v>0</v>
      </c>
      <c r="ID130" s="294">
        <v>0</v>
      </c>
      <c r="IE130" s="294">
        <v>0</v>
      </c>
      <c r="IF130" s="294">
        <v>-49682.63</v>
      </c>
      <c r="IG130" s="294">
        <v>-1259</v>
      </c>
      <c r="IH130" s="294"/>
      <c r="II130" s="294"/>
      <c r="IJ130" s="294"/>
      <c r="IK130" s="294"/>
      <c r="IL130" s="294">
        <v>0</v>
      </c>
      <c r="IM130" s="294"/>
      <c r="IN130" s="294">
        <v>0</v>
      </c>
      <c r="IO130" s="294"/>
      <c r="IP130" s="294">
        <v>-10172.200000000001</v>
      </c>
      <c r="IQ130" s="294"/>
      <c r="IR130" s="294">
        <v>0</v>
      </c>
      <c r="IS130" s="294"/>
      <c r="IT130" s="294"/>
      <c r="IU130" s="294">
        <v>0</v>
      </c>
      <c r="IV130" s="294">
        <v>0</v>
      </c>
      <c r="IW130" s="294">
        <v>0</v>
      </c>
      <c r="IX130" s="294">
        <v>7321.4</v>
      </c>
      <c r="IY130" s="294">
        <v>0</v>
      </c>
      <c r="IZ130" s="294">
        <v>0</v>
      </c>
      <c r="JA130" s="294"/>
      <c r="JB130" s="294"/>
      <c r="JC130" s="294">
        <v>0</v>
      </c>
      <c r="JD130" s="294">
        <v>0</v>
      </c>
      <c r="JE130" s="294">
        <v>0</v>
      </c>
      <c r="JF130" s="294"/>
      <c r="JG130" s="294">
        <v>0</v>
      </c>
      <c r="JH130" s="294">
        <v>0</v>
      </c>
      <c r="JI130" s="294">
        <v>0</v>
      </c>
      <c r="JJ130" s="294"/>
      <c r="JK130" s="294">
        <v>0</v>
      </c>
      <c r="JL130" s="294">
        <v>0</v>
      </c>
      <c r="JM130" s="294">
        <v>0</v>
      </c>
      <c r="JN130" s="294"/>
      <c r="JO130" s="294">
        <v>0</v>
      </c>
      <c r="JP130" s="294"/>
      <c r="JQ130" s="294">
        <v>0</v>
      </c>
      <c r="JR130" s="294"/>
      <c r="JS130" s="294">
        <v>0</v>
      </c>
      <c r="JT130" s="294">
        <v>0</v>
      </c>
      <c r="JU130" s="294">
        <v>-8619</v>
      </c>
      <c r="JV130" s="294">
        <v>0</v>
      </c>
      <c r="JW130" s="294"/>
      <c r="JX130" s="294">
        <v>0</v>
      </c>
      <c r="JY130" s="294">
        <v>0</v>
      </c>
      <c r="JZ130" s="294">
        <v>0</v>
      </c>
      <c r="KA130" s="294">
        <v>0</v>
      </c>
      <c r="KB130" s="294"/>
      <c r="KC130" s="294"/>
      <c r="KD130" s="294"/>
      <c r="KE130" s="294">
        <v>-4384</v>
      </c>
      <c r="KF130" s="294"/>
      <c r="KG130" s="294"/>
      <c r="KH130" s="294"/>
      <c r="KI130" s="294">
        <v>-12687</v>
      </c>
      <c r="KJ130" s="294">
        <v>0</v>
      </c>
      <c r="KK130" s="294">
        <v>-9505.2000000000007</v>
      </c>
      <c r="KL130" s="294">
        <v>0</v>
      </c>
      <c r="KM130" s="294"/>
      <c r="KN130" s="294"/>
      <c r="KO130" s="294"/>
      <c r="KP130" s="294"/>
      <c r="KQ130" s="294"/>
      <c r="KR130" s="294">
        <v>0</v>
      </c>
      <c r="KS130" s="294"/>
      <c r="KT130" s="294"/>
      <c r="KU130" s="294"/>
      <c r="KV130" s="294"/>
      <c r="KW130" s="294">
        <v>0</v>
      </c>
      <c r="KX130" s="294"/>
      <c r="KY130" s="294">
        <v>0</v>
      </c>
      <c r="KZ130" s="294">
        <v>-132.75</v>
      </c>
      <c r="LA130" s="294">
        <v>0</v>
      </c>
      <c r="LB130" s="294"/>
      <c r="LC130" s="294"/>
      <c r="LD130" s="294"/>
      <c r="LE130" s="294"/>
      <c r="LF130" s="294"/>
      <c r="LG130" s="294"/>
      <c r="LH130" s="294">
        <v>0</v>
      </c>
      <c r="LI130" s="294">
        <v>0</v>
      </c>
      <c r="LJ130" s="294"/>
      <c r="LK130" s="294">
        <v>-48</v>
      </c>
      <c r="LL130" s="294"/>
      <c r="LM130" s="294"/>
      <c r="LN130" s="294"/>
      <c r="LO130" s="294">
        <v>0</v>
      </c>
      <c r="LP130" s="294">
        <v>0</v>
      </c>
      <c r="LQ130" s="294">
        <v>0</v>
      </c>
      <c r="LR130" s="294"/>
      <c r="LS130" s="294"/>
      <c r="LT130" s="294"/>
      <c r="LU130" s="294"/>
      <c r="LV130" s="294">
        <v>0</v>
      </c>
      <c r="LW130" s="294"/>
      <c r="LX130" s="294">
        <v>0</v>
      </c>
      <c r="LY130" s="294">
        <v>0.05</v>
      </c>
      <c r="LZ130" s="294">
        <v>-7701.1</v>
      </c>
      <c r="MA130" s="294">
        <v>0</v>
      </c>
      <c r="MB130" s="294">
        <v>0</v>
      </c>
      <c r="MC130" s="294">
        <v>0</v>
      </c>
      <c r="MD130" s="294"/>
      <c r="ME130" s="294">
        <v>0</v>
      </c>
      <c r="MF130" s="294">
        <v>0</v>
      </c>
      <c r="MG130" s="294">
        <v>0</v>
      </c>
      <c r="MH130" s="294"/>
      <c r="MI130" s="294"/>
      <c r="MJ130" s="294"/>
      <c r="MK130" s="294"/>
      <c r="ML130" s="294">
        <v>0</v>
      </c>
      <c r="MM130" s="294">
        <v>-14105.52</v>
      </c>
      <c r="MN130" s="294">
        <v>0</v>
      </c>
      <c r="MO130" s="294">
        <v>0</v>
      </c>
      <c r="MP130" s="294">
        <v>0</v>
      </c>
      <c r="MQ130" s="294"/>
      <c r="MR130" s="294"/>
      <c r="MS130" s="294"/>
      <c r="MT130" s="294">
        <v>0</v>
      </c>
      <c r="MU130" s="294">
        <v>0</v>
      </c>
      <c r="MV130" s="294"/>
      <c r="MW130" s="294">
        <v>0</v>
      </c>
      <c r="MX130" s="294">
        <v>0</v>
      </c>
      <c r="MY130" s="294">
        <v>0</v>
      </c>
      <c r="MZ130" s="294">
        <v>0</v>
      </c>
      <c r="NA130" s="294">
        <v>-8500</v>
      </c>
      <c r="NB130" s="294">
        <v>0</v>
      </c>
      <c r="NC130" s="294">
        <v>0</v>
      </c>
      <c r="ND130" s="294">
        <v>-3000</v>
      </c>
      <c r="NE130" s="294">
        <v>0</v>
      </c>
      <c r="NF130" s="294"/>
      <c r="NG130" s="294">
        <v>0</v>
      </c>
      <c r="NH130" s="294">
        <v>0</v>
      </c>
      <c r="NI130" s="294">
        <v>0</v>
      </c>
      <c r="NJ130" s="294"/>
      <c r="NK130" s="294">
        <v>0</v>
      </c>
      <c r="NL130" s="294">
        <v>0</v>
      </c>
      <c r="NM130" s="294"/>
      <c r="NN130" s="294"/>
      <c r="NO130" s="294">
        <v>-9805</v>
      </c>
      <c r="NP130" s="294">
        <v>0</v>
      </c>
      <c r="NQ130" s="294"/>
      <c r="NR130" s="294">
        <v>0</v>
      </c>
      <c r="NS130" s="294">
        <v>0</v>
      </c>
      <c r="NT130" s="294"/>
      <c r="NU130" s="294">
        <v>0</v>
      </c>
      <c r="NV130" s="294"/>
      <c r="NW130" s="294">
        <v>0</v>
      </c>
      <c r="NX130" s="294"/>
      <c r="NY130" s="294">
        <v>0</v>
      </c>
      <c r="NZ130" s="294"/>
      <c r="OA130" s="294">
        <v>0</v>
      </c>
      <c r="OB130" s="294">
        <v>0</v>
      </c>
      <c r="OC130" s="294"/>
      <c r="OD130" s="294">
        <v>-12190.83</v>
      </c>
      <c r="OE130" s="294">
        <v>0</v>
      </c>
      <c r="OF130" s="294">
        <v>0</v>
      </c>
      <c r="OG130" s="294"/>
      <c r="OH130" s="294"/>
      <c r="OI130" s="294"/>
      <c r="OJ130" s="294">
        <v>0</v>
      </c>
      <c r="OK130" s="294"/>
      <c r="OL130" s="294">
        <v>0</v>
      </c>
      <c r="OM130" s="294">
        <v>0</v>
      </c>
      <c r="ON130" s="294">
        <v>0</v>
      </c>
      <c r="OO130" s="294">
        <v>-12178</v>
      </c>
      <c r="OP130" s="294">
        <v>0</v>
      </c>
      <c r="OQ130" s="294">
        <v>0</v>
      </c>
      <c r="OR130" s="294">
        <v>0</v>
      </c>
      <c r="OS130" s="294">
        <v>-0.9</v>
      </c>
      <c r="OT130" s="294"/>
      <c r="OU130" s="294">
        <v>0</v>
      </c>
      <c r="OV130" s="294">
        <v>0</v>
      </c>
      <c r="OW130" s="294">
        <v>0</v>
      </c>
      <c r="OX130" s="294">
        <v>0</v>
      </c>
      <c r="OY130" s="294">
        <v>0</v>
      </c>
      <c r="OZ130" s="294">
        <v>0</v>
      </c>
      <c r="PA130" s="294"/>
      <c r="PB130" s="294">
        <v>0</v>
      </c>
      <c r="PC130" s="294">
        <v>-13620</v>
      </c>
      <c r="PD130" s="294">
        <v>-8252</v>
      </c>
      <c r="PE130" s="294">
        <v>-2061</v>
      </c>
      <c r="PF130" s="294"/>
      <c r="PG130" s="294">
        <v>-16474</v>
      </c>
      <c r="PH130" s="294">
        <v>-5949</v>
      </c>
      <c r="PI130" s="294"/>
      <c r="PJ130" s="294"/>
      <c r="PK130" s="294">
        <v>-4817</v>
      </c>
      <c r="PL130" s="294">
        <v>-11143</v>
      </c>
      <c r="PM130" s="294"/>
      <c r="PN130" s="294"/>
      <c r="PO130" s="294"/>
      <c r="PP130" s="294">
        <v>-7381</v>
      </c>
      <c r="PQ130" s="294">
        <v>-4242</v>
      </c>
      <c r="PR130" s="294">
        <v>-528</v>
      </c>
      <c r="PS130" s="294"/>
      <c r="PT130" s="294"/>
      <c r="PU130" s="294"/>
      <c r="PV130" s="294"/>
      <c r="PW130" s="294">
        <v>0</v>
      </c>
      <c r="PX130" s="294"/>
      <c r="PY130" s="294">
        <v>0</v>
      </c>
      <c r="PZ130" s="294">
        <v>0</v>
      </c>
      <c r="QA130" s="294"/>
      <c r="QB130" s="294"/>
      <c r="QC130" s="294">
        <v>0</v>
      </c>
      <c r="QD130" s="294">
        <v>0</v>
      </c>
      <c r="QE130" s="294"/>
      <c r="QF130" s="294"/>
      <c r="QG130" s="294">
        <v>0</v>
      </c>
      <c r="QH130" s="294">
        <v>-77684</v>
      </c>
      <c r="QI130" s="294"/>
      <c r="QJ130" s="294"/>
      <c r="QK130" s="294"/>
      <c r="QL130" s="294">
        <v>0</v>
      </c>
      <c r="QM130" s="294"/>
      <c r="QN130" s="294">
        <v>0</v>
      </c>
      <c r="QO130" s="294">
        <v>0</v>
      </c>
      <c r="QP130" s="294"/>
      <c r="QQ130" s="294">
        <v>0</v>
      </c>
      <c r="QR130" s="294">
        <v>0</v>
      </c>
      <c r="QS130" s="294"/>
      <c r="QT130" s="294"/>
      <c r="QU130" s="294"/>
      <c r="QV130" s="294">
        <v>0</v>
      </c>
      <c r="QW130" s="294"/>
      <c r="QX130" s="294"/>
      <c r="QY130" s="294"/>
      <c r="QZ130" s="294">
        <v>0</v>
      </c>
      <c r="RA130" s="294"/>
      <c r="RB130" s="294">
        <v>-8815</v>
      </c>
      <c r="RC130" s="294">
        <v>0</v>
      </c>
      <c r="RD130" s="294">
        <v>0</v>
      </c>
      <c r="RE130" s="294"/>
      <c r="RF130" s="294"/>
      <c r="RG130" s="294">
        <v>0</v>
      </c>
      <c r="RH130" s="294">
        <v>0</v>
      </c>
      <c r="RI130" s="294">
        <v>-34809</v>
      </c>
      <c r="RJ130" s="294">
        <v>0</v>
      </c>
      <c r="RK130" s="294">
        <v>-13133.4</v>
      </c>
      <c r="RL130" s="294">
        <v>-24809.59</v>
      </c>
      <c r="RM130" s="294">
        <v>-15740</v>
      </c>
      <c r="RN130" s="294">
        <v>0</v>
      </c>
      <c r="RO130" s="294">
        <v>0</v>
      </c>
      <c r="RP130" s="294">
        <v>0</v>
      </c>
      <c r="RQ130" s="294">
        <v>-3343</v>
      </c>
      <c r="RR130" s="294">
        <v>0</v>
      </c>
      <c r="RS130" s="294">
        <v>0</v>
      </c>
      <c r="RT130" s="294">
        <v>0</v>
      </c>
      <c r="RU130" s="294">
        <v>-8615.93</v>
      </c>
      <c r="RV130" s="294">
        <v>-6046</v>
      </c>
      <c r="RW130" s="294">
        <v>0</v>
      </c>
      <c r="RX130" s="294">
        <v>0</v>
      </c>
      <c r="RY130" s="294">
        <v>-2392.6</v>
      </c>
      <c r="RZ130" s="294">
        <v>0</v>
      </c>
      <c r="SA130" s="294">
        <v>0</v>
      </c>
      <c r="SB130" s="294">
        <v>-18371</v>
      </c>
      <c r="SC130" s="294">
        <v>0</v>
      </c>
      <c r="SD130" s="294">
        <v>-18503.8</v>
      </c>
      <c r="SE130" s="294"/>
      <c r="SF130" s="294"/>
      <c r="SG130" s="294">
        <v>0</v>
      </c>
      <c r="SH130" s="294">
        <v>0</v>
      </c>
      <c r="SI130" s="294">
        <v>0</v>
      </c>
      <c r="SJ130" s="294"/>
      <c r="SK130" s="294">
        <v>0</v>
      </c>
      <c r="SL130" s="294">
        <v>-2504</v>
      </c>
      <c r="SM130" s="294">
        <v>0</v>
      </c>
      <c r="SN130" s="294"/>
      <c r="SO130" s="294">
        <v>0</v>
      </c>
      <c r="SP130" s="294">
        <v>0</v>
      </c>
      <c r="SQ130" s="294">
        <v>-3647.25</v>
      </c>
      <c r="SR130" s="294"/>
      <c r="SS130" s="294">
        <v>308</v>
      </c>
      <c r="ST130" s="294"/>
      <c r="SU130" s="294">
        <v>0</v>
      </c>
      <c r="SV130" s="294">
        <v>1873</v>
      </c>
      <c r="SW130" s="294"/>
      <c r="SX130" s="294"/>
      <c r="SY130" s="294">
        <v>0</v>
      </c>
      <c r="SZ130" s="294">
        <v>0</v>
      </c>
      <c r="TA130" s="294"/>
      <c r="TB130" s="294">
        <v>-4576</v>
      </c>
      <c r="TC130" s="294">
        <v>0</v>
      </c>
      <c r="TD130" s="294">
        <v>0</v>
      </c>
      <c r="TE130" s="294">
        <v>0</v>
      </c>
      <c r="TF130" s="294">
        <v>0</v>
      </c>
      <c r="TG130" s="294"/>
      <c r="TH130" s="294">
        <v>0</v>
      </c>
      <c r="TI130" s="294"/>
      <c r="TJ130" s="294"/>
      <c r="TK130" s="294">
        <v>0</v>
      </c>
      <c r="TL130" s="294">
        <v>0</v>
      </c>
      <c r="TM130" s="294"/>
      <c r="TN130" s="294"/>
      <c r="TO130" s="294"/>
      <c r="TP130" s="294"/>
      <c r="TQ130" s="294">
        <v>0</v>
      </c>
      <c r="TR130" s="294"/>
      <c r="TS130" s="294"/>
      <c r="TT130" s="294"/>
      <c r="TU130" s="294"/>
      <c r="TV130" s="294">
        <v>0</v>
      </c>
      <c r="TW130" s="294">
        <v>0</v>
      </c>
      <c r="TX130" s="294">
        <v>0</v>
      </c>
      <c r="TY130" s="294"/>
      <c r="TZ130" s="294"/>
      <c r="UA130" s="294"/>
      <c r="UB130" s="294">
        <v>0</v>
      </c>
      <c r="UC130" s="294"/>
      <c r="UD130" s="294">
        <v>0</v>
      </c>
      <c r="UE130" s="294">
        <v>-591.96</v>
      </c>
      <c r="UF130" s="294"/>
      <c r="UG130" s="294"/>
      <c r="UH130" s="294">
        <v>0</v>
      </c>
      <c r="UI130" s="294">
        <v>0</v>
      </c>
      <c r="UJ130" s="294">
        <v>0</v>
      </c>
      <c r="UK130" s="294">
        <v>0</v>
      </c>
      <c r="UL130" s="294">
        <v>0</v>
      </c>
      <c r="UM130" s="294"/>
      <c r="UN130" s="294"/>
      <c r="UO130" s="294">
        <v>0</v>
      </c>
      <c r="UP130" s="294">
        <v>0</v>
      </c>
      <c r="UQ130" s="294">
        <v>-8796</v>
      </c>
      <c r="UR130" s="294"/>
      <c r="US130" s="294"/>
      <c r="UT130" s="294">
        <v>0</v>
      </c>
      <c r="UU130" s="294"/>
      <c r="UV130" s="294">
        <v>0</v>
      </c>
      <c r="UW130" s="294"/>
      <c r="UX130" s="294"/>
      <c r="UY130" s="294">
        <v>0</v>
      </c>
      <c r="UZ130" s="294">
        <v>-56539.43</v>
      </c>
      <c r="VA130" s="294"/>
      <c r="VB130" s="294"/>
      <c r="VC130" s="294"/>
      <c r="VD130" s="294"/>
      <c r="VE130" s="294">
        <v>0</v>
      </c>
      <c r="VF130" s="294"/>
      <c r="VG130" s="294"/>
      <c r="VH130" s="294">
        <v>0</v>
      </c>
      <c r="VI130" s="294">
        <v>-1073</v>
      </c>
      <c r="VJ130" s="294">
        <v>0</v>
      </c>
      <c r="VK130" s="294"/>
      <c r="VL130" s="294"/>
      <c r="VM130" s="294">
        <v>-3142</v>
      </c>
      <c r="VN130" s="294">
        <v>0</v>
      </c>
      <c r="VO130" s="294">
        <v>0</v>
      </c>
      <c r="VP130" s="294"/>
      <c r="VQ130" s="294"/>
      <c r="VR130" s="294"/>
      <c r="VS130" s="294">
        <v>0</v>
      </c>
      <c r="VT130" s="294"/>
      <c r="VU130" s="294"/>
      <c r="VV130" s="294"/>
      <c r="VW130" s="294">
        <v>-34626.6</v>
      </c>
      <c r="VX130" s="294"/>
      <c r="VY130" s="294">
        <v>0</v>
      </c>
      <c r="VZ130" s="294">
        <v>-8889.15</v>
      </c>
      <c r="WA130" s="294">
        <v>0</v>
      </c>
      <c r="WB130" s="294"/>
      <c r="WC130" s="294"/>
      <c r="WD130" s="294"/>
      <c r="WE130" s="294">
        <v>0</v>
      </c>
      <c r="WF130" s="294">
        <v>0</v>
      </c>
      <c r="WG130" s="294">
        <v>0</v>
      </c>
      <c r="WH130" s="294">
        <v>0</v>
      </c>
      <c r="WI130" s="294">
        <v>0</v>
      </c>
      <c r="WJ130" s="294">
        <v>-8076</v>
      </c>
      <c r="WK130" s="294">
        <v>0</v>
      </c>
      <c r="WL130" s="294">
        <v>0</v>
      </c>
      <c r="WM130" s="294"/>
      <c r="WN130" s="294"/>
      <c r="WO130" s="294">
        <v>-35310.06</v>
      </c>
      <c r="WP130" s="294"/>
      <c r="WQ130" s="294"/>
      <c r="WR130" s="294">
        <v>0</v>
      </c>
      <c r="WS130" s="294">
        <v>0</v>
      </c>
      <c r="WT130" s="294"/>
      <c r="WU130" s="294">
        <v>0</v>
      </c>
      <c r="WV130" s="294">
        <v>0</v>
      </c>
      <c r="WW130" s="294">
        <v>0</v>
      </c>
      <c r="WX130" s="294">
        <v>0</v>
      </c>
      <c r="WY130" s="294"/>
      <c r="WZ130" s="294"/>
      <c r="XA130" s="294"/>
      <c r="XB130" s="294">
        <v>0</v>
      </c>
      <c r="XC130" s="294">
        <v>-244963</v>
      </c>
      <c r="XD130" s="294">
        <v>-6200</v>
      </c>
      <c r="XE130" s="294">
        <v>0</v>
      </c>
      <c r="XF130" s="294"/>
      <c r="XG130" s="294">
        <v>-176</v>
      </c>
      <c r="XH130" s="294"/>
      <c r="XI130" s="294">
        <v>-16642</v>
      </c>
      <c r="XJ130" s="294">
        <v>0</v>
      </c>
      <c r="XK130" s="294"/>
      <c r="XL130" s="294">
        <v>0</v>
      </c>
      <c r="XM130" s="294">
        <v>0</v>
      </c>
      <c r="XN130" s="294">
        <v>-21814</v>
      </c>
      <c r="XO130" s="294">
        <v>0</v>
      </c>
      <c r="XP130" s="294">
        <v>0</v>
      </c>
      <c r="XQ130" s="294">
        <v>0</v>
      </c>
      <c r="XR130" s="294">
        <v>0</v>
      </c>
      <c r="XS130" s="294"/>
      <c r="XT130" s="294">
        <v>0</v>
      </c>
      <c r="XU130" s="294">
        <v>0</v>
      </c>
      <c r="XV130" s="294">
        <v>0</v>
      </c>
      <c r="XW130" s="294">
        <v>0</v>
      </c>
      <c r="XX130" s="294">
        <v>0</v>
      </c>
      <c r="XY130" s="294">
        <v>0</v>
      </c>
      <c r="XZ130" s="294">
        <v>0</v>
      </c>
      <c r="YA130" s="294">
        <v>0</v>
      </c>
      <c r="YB130" s="294">
        <v>0</v>
      </c>
      <c r="YC130" s="294"/>
      <c r="YD130" s="294">
        <v>0</v>
      </c>
      <c r="YE130" s="294">
        <v>0</v>
      </c>
      <c r="YF130" s="294">
        <v>0</v>
      </c>
      <c r="YG130" s="294">
        <v>0</v>
      </c>
      <c r="YH130" s="294">
        <v>0</v>
      </c>
      <c r="YI130" s="294">
        <v>0</v>
      </c>
      <c r="YJ130" s="294">
        <v>-2512</v>
      </c>
      <c r="YK130" s="294">
        <v>0</v>
      </c>
      <c r="YL130" s="294">
        <v>0</v>
      </c>
      <c r="YM130" s="294"/>
      <c r="YN130" s="294">
        <v>0</v>
      </c>
      <c r="YO130" s="294">
        <v>0</v>
      </c>
      <c r="YP130" s="294">
        <v>0</v>
      </c>
      <c r="YQ130" s="294">
        <v>0</v>
      </c>
      <c r="YR130" s="294">
        <v>-17043</v>
      </c>
      <c r="YS130" s="294">
        <v>0</v>
      </c>
      <c r="YT130" s="294">
        <v>0</v>
      </c>
      <c r="YU130" s="294">
        <v>0</v>
      </c>
      <c r="YV130" s="294"/>
      <c r="YW130" s="294">
        <v>0</v>
      </c>
      <c r="YX130" s="294">
        <v>0</v>
      </c>
      <c r="YY130" s="294">
        <v>0</v>
      </c>
      <c r="YZ130" s="294">
        <v>-0.8</v>
      </c>
      <c r="ZA130" s="294">
        <v>0</v>
      </c>
      <c r="ZB130" s="294"/>
      <c r="ZC130" s="294">
        <v>0</v>
      </c>
      <c r="ZD130" s="294">
        <v>-1421</v>
      </c>
      <c r="ZE130" s="294">
        <v>0</v>
      </c>
      <c r="ZF130" s="294">
        <v>0</v>
      </c>
      <c r="ZG130" s="294">
        <v>0</v>
      </c>
      <c r="ZH130" s="294">
        <v>0</v>
      </c>
      <c r="ZI130" s="294"/>
      <c r="ZJ130" s="294">
        <v>0</v>
      </c>
      <c r="ZK130" s="294"/>
      <c r="ZL130" s="294"/>
      <c r="ZM130" s="294">
        <v>0</v>
      </c>
      <c r="ZN130" s="294"/>
      <c r="ZO130" s="294"/>
      <c r="ZP130" s="294"/>
      <c r="ZQ130" s="294"/>
      <c r="ZR130" s="294">
        <v>0</v>
      </c>
      <c r="ZS130" s="294">
        <v>0</v>
      </c>
      <c r="ZT130" s="294">
        <v>0</v>
      </c>
      <c r="ZU130" s="294"/>
      <c r="ZV130" s="294">
        <v>-3457.09</v>
      </c>
      <c r="ZW130" s="294"/>
      <c r="ZX130" s="294"/>
      <c r="ZY130" s="294"/>
      <c r="ZZ130" s="294"/>
      <c r="AAA130" s="294"/>
      <c r="AAB130" s="294"/>
      <c r="AAC130" s="294">
        <v>0</v>
      </c>
      <c r="AAD130" s="294"/>
      <c r="AAE130" s="294">
        <v>0</v>
      </c>
      <c r="AAF130" s="294"/>
      <c r="AAG130" s="294"/>
      <c r="AAH130" s="294"/>
      <c r="AAI130" s="294">
        <v>0</v>
      </c>
      <c r="AAJ130" s="294">
        <v>0</v>
      </c>
      <c r="AAK130" s="294">
        <v>0</v>
      </c>
      <c r="AAL130" s="294">
        <v>0</v>
      </c>
      <c r="AAM130" s="294">
        <v>0</v>
      </c>
      <c r="AAN130" s="294"/>
      <c r="AAO130" s="294"/>
      <c r="AAP130" s="294">
        <v>0</v>
      </c>
      <c r="AAQ130" s="294">
        <v>0</v>
      </c>
      <c r="AAR130" s="294"/>
      <c r="AAS130" s="294">
        <v>0</v>
      </c>
      <c r="AAT130" s="294">
        <v>0</v>
      </c>
      <c r="AAU130" s="294">
        <v>0</v>
      </c>
      <c r="AAV130" s="294">
        <v>0</v>
      </c>
      <c r="AAW130" s="294">
        <v>0</v>
      </c>
      <c r="AAX130" s="294">
        <v>0</v>
      </c>
      <c r="AAY130" s="294"/>
      <c r="AAZ130" s="294">
        <v>0</v>
      </c>
      <c r="ABA130" s="294">
        <v>0</v>
      </c>
      <c r="ABB130" s="294">
        <v>-10460</v>
      </c>
      <c r="ABC130" s="294">
        <v>0.5</v>
      </c>
      <c r="ABD130" s="294">
        <v>0</v>
      </c>
      <c r="ABE130" s="294">
        <v>0</v>
      </c>
      <c r="ABF130" s="294">
        <v>-694</v>
      </c>
      <c r="ABG130" s="294">
        <v>0</v>
      </c>
      <c r="ABH130" s="294">
        <v>0</v>
      </c>
      <c r="ABI130" s="294">
        <v>0</v>
      </c>
      <c r="ABJ130" s="294">
        <v>0</v>
      </c>
      <c r="ABK130" s="294">
        <v>0</v>
      </c>
      <c r="ABL130" s="294"/>
      <c r="ABM130" s="294">
        <v>0</v>
      </c>
      <c r="ABN130" s="294">
        <v>0</v>
      </c>
      <c r="ABO130" s="294">
        <v>0</v>
      </c>
      <c r="ABP130" s="294"/>
      <c r="ABQ130" s="294"/>
      <c r="ABR130" s="294">
        <v>-21222</v>
      </c>
      <c r="ABS130" s="294">
        <v>-7977</v>
      </c>
      <c r="ABT130" s="294">
        <v>-3071</v>
      </c>
      <c r="ABU130" s="294">
        <v>0</v>
      </c>
      <c r="ABV130" s="294">
        <v>-176249</v>
      </c>
      <c r="ABW130" s="294"/>
      <c r="ABX130" s="294">
        <v>-25589</v>
      </c>
      <c r="ABY130" s="294">
        <v>0</v>
      </c>
      <c r="ABZ130" s="294"/>
      <c r="ACA130" s="294">
        <v>0</v>
      </c>
      <c r="ACB130" s="294">
        <v>0</v>
      </c>
      <c r="ACC130" s="294">
        <v>-12561</v>
      </c>
      <c r="ACD130" s="294">
        <v>-86427</v>
      </c>
      <c r="ACE130" s="294"/>
      <c r="ACF130" s="294">
        <v>0</v>
      </c>
      <c r="ACG130" s="294">
        <v>0</v>
      </c>
      <c r="ACH130" s="294">
        <v>0</v>
      </c>
      <c r="ACI130" s="294">
        <v>0</v>
      </c>
      <c r="ACJ130" s="294">
        <v>0</v>
      </c>
      <c r="ACK130" s="294">
        <v>0</v>
      </c>
      <c r="ACL130" s="294">
        <v>0</v>
      </c>
      <c r="ACM130" s="294">
        <v>0</v>
      </c>
      <c r="ACN130" s="294">
        <v>0</v>
      </c>
      <c r="ACO130" s="294"/>
      <c r="ACP130" s="294">
        <v>0</v>
      </c>
      <c r="ACQ130" s="294">
        <v>0</v>
      </c>
      <c r="ACR130" s="294">
        <v>0</v>
      </c>
      <c r="ACS130" s="294">
        <v>-196.8</v>
      </c>
      <c r="ACT130" s="294">
        <v>0</v>
      </c>
      <c r="ACU130" s="294"/>
      <c r="ACV130" s="294">
        <v>0</v>
      </c>
      <c r="ACW130" s="294"/>
      <c r="ACX130" s="294">
        <v>0</v>
      </c>
      <c r="ACY130" s="294"/>
      <c r="ACZ130" s="294"/>
      <c r="ADA130" s="294"/>
      <c r="ADB130" s="294"/>
      <c r="ADC130" s="294">
        <v>0</v>
      </c>
      <c r="ADD130" s="294">
        <v>0</v>
      </c>
      <c r="ADE130" s="294">
        <v>0</v>
      </c>
      <c r="ADF130" s="294">
        <v>0.6</v>
      </c>
      <c r="ADG130" s="294">
        <v>0</v>
      </c>
      <c r="ADH130" s="294"/>
      <c r="ADI130" s="294"/>
      <c r="ADJ130" s="294">
        <v>69188.7</v>
      </c>
      <c r="ADK130" s="294">
        <v>0</v>
      </c>
      <c r="ADL130" s="294">
        <v>0</v>
      </c>
      <c r="ADM130" s="294"/>
      <c r="ADN130" s="294">
        <v>0</v>
      </c>
      <c r="ADO130" s="294">
        <v>0</v>
      </c>
      <c r="ADP130" s="294">
        <v>0</v>
      </c>
      <c r="ADQ130" s="294">
        <v>0</v>
      </c>
      <c r="ADR130" s="294"/>
      <c r="ADS130" s="294">
        <v>0</v>
      </c>
      <c r="ADT130" s="294">
        <v>0</v>
      </c>
      <c r="ADU130" s="294"/>
      <c r="ADV130" s="294"/>
      <c r="ADW130" s="294">
        <v>0</v>
      </c>
      <c r="ADX130" s="294"/>
      <c r="ADY130" s="294">
        <v>0</v>
      </c>
      <c r="ADZ130" s="294">
        <v>0</v>
      </c>
      <c r="AEA130" s="294"/>
      <c r="AEB130" s="294"/>
      <c r="AEC130" s="294">
        <v>0</v>
      </c>
      <c r="AED130" s="294">
        <v>-6598.2</v>
      </c>
      <c r="AEE130" s="294"/>
      <c r="AEF130" s="294">
        <v>-10992</v>
      </c>
      <c r="AEG130" s="294"/>
      <c r="AEH130" s="294"/>
      <c r="AEI130" s="294"/>
      <c r="AEJ130" s="294"/>
      <c r="AEK130" s="294">
        <v>-2763</v>
      </c>
      <c r="AEL130" s="294">
        <v>0</v>
      </c>
      <c r="AEM130" s="294">
        <v>0</v>
      </c>
      <c r="AEN130" s="294">
        <v>0</v>
      </c>
      <c r="AEO130" s="294">
        <v>0</v>
      </c>
      <c r="AEP130" s="294">
        <v>-8502</v>
      </c>
      <c r="AEQ130" s="294"/>
      <c r="AER130" s="294">
        <v>-2020.2</v>
      </c>
      <c r="AES130" s="294"/>
      <c r="AET130" s="294">
        <v>0</v>
      </c>
      <c r="AEU130" s="294">
        <v>0</v>
      </c>
      <c r="AEV130" s="294"/>
      <c r="AEW130" s="294"/>
      <c r="AEX130" s="294">
        <v>-7491.7</v>
      </c>
      <c r="AEY130" s="294"/>
      <c r="AEZ130" s="294">
        <v>0</v>
      </c>
      <c r="AFA130" s="294">
        <v>0</v>
      </c>
      <c r="AFB130" s="294">
        <v>0</v>
      </c>
      <c r="AFC130" s="294"/>
      <c r="AFD130" s="294"/>
      <c r="AFE130" s="294">
        <v>-61462.8</v>
      </c>
      <c r="AFF130" s="294">
        <v>-7987</v>
      </c>
      <c r="AFG130" s="294">
        <v>-8188</v>
      </c>
      <c r="AFH130" s="294">
        <v>-104617</v>
      </c>
      <c r="AFI130" s="294">
        <v>-18940</v>
      </c>
      <c r="AFJ130" s="294">
        <v>0</v>
      </c>
      <c r="AFK130" s="294"/>
      <c r="AFL130" s="294"/>
      <c r="AFM130" s="294">
        <v>-7161</v>
      </c>
      <c r="AFN130" s="294"/>
      <c r="AFO130" s="294">
        <v>-14444</v>
      </c>
      <c r="AFP130" s="294">
        <v>0</v>
      </c>
      <c r="AFQ130" s="294">
        <v>0</v>
      </c>
      <c r="AFR130" s="294">
        <v>0</v>
      </c>
      <c r="AFS130" s="294">
        <v>0</v>
      </c>
      <c r="AFT130" s="294">
        <v>0</v>
      </c>
      <c r="AFU130" s="294">
        <v>-8886</v>
      </c>
      <c r="AFV130" s="294">
        <v>-8112</v>
      </c>
      <c r="AFW130" s="294">
        <v>-5886</v>
      </c>
      <c r="AFX130" s="294">
        <v>0</v>
      </c>
      <c r="AFY130" s="294">
        <v>0</v>
      </c>
      <c r="AFZ130" s="294">
        <v>0</v>
      </c>
      <c r="AGA130" s="294">
        <v>-6946</v>
      </c>
      <c r="AGB130" s="294"/>
      <c r="AGC130" s="294">
        <v>0</v>
      </c>
      <c r="AGD130" s="294"/>
      <c r="AGE130" s="294"/>
      <c r="AGF130" s="294">
        <v>0</v>
      </c>
      <c r="AGG130" s="294">
        <v>0</v>
      </c>
      <c r="AGH130" s="294"/>
      <c r="AGI130" s="294">
        <v>0</v>
      </c>
      <c r="AGJ130" s="294"/>
      <c r="AGK130" s="294">
        <v>0</v>
      </c>
      <c r="AGL130" s="294">
        <v>0</v>
      </c>
      <c r="AGM130" s="294">
        <v>0</v>
      </c>
      <c r="AGN130" s="294"/>
      <c r="AGO130" s="294">
        <v>0</v>
      </c>
      <c r="AGP130" s="294">
        <v>0</v>
      </c>
      <c r="AGQ130" s="294"/>
      <c r="AGR130" s="294"/>
      <c r="AGS130" s="294"/>
      <c r="AGT130" s="294"/>
      <c r="AGU130" s="294">
        <v>0</v>
      </c>
      <c r="AGV130" s="294"/>
      <c r="AGW130" s="294">
        <v>0</v>
      </c>
      <c r="AGX130" s="294">
        <v>0</v>
      </c>
      <c r="AGY130" s="294"/>
      <c r="AGZ130" s="294">
        <v>-2005</v>
      </c>
      <c r="AHA130" s="294">
        <v>0</v>
      </c>
      <c r="AHB130" s="294">
        <v>0</v>
      </c>
      <c r="AHC130" s="294"/>
      <c r="AHD130" s="294">
        <v>0</v>
      </c>
      <c r="AHE130" s="294">
        <v>0</v>
      </c>
      <c r="AHF130" s="294"/>
      <c r="AHG130" s="294">
        <v>0</v>
      </c>
      <c r="AHH130" s="294">
        <v>0</v>
      </c>
      <c r="AHI130" s="294">
        <v>-4608</v>
      </c>
      <c r="AHJ130" s="294"/>
      <c r="AHK130" s="294">
        <v>0</v>
      </c>
      <c r="AHL130" s="294"/>
      <c r="AHM130" s="294">
        <v>0</v>
      </c>
      <c r="AHN130" s="294">
        <v>0</v>
      </c>
      <c r="AHO130" s="294">
        <v>0</v>
      </c>
      <c r="AHP130" s="294">
        <v>0</v>
      </c>
      <c r="AHQ130" s="294">
        <v>0</v>
      </c>
      <c r="AHR130" s="331">
        <v>-895</v>
      </c>
      <c r="AHS130" s="294">
        <f t="shared" si="53"/>
        <v>-2102557.0599999996</v>
      </c>
      <c r="AHT130" s="269" t="b">
        <f t="shared" si="54"/>
        <v>1</v>
      </c>
      <c r="AHU130" s="269" t="s">
        <v>6278</v>
      </c>
      <c r="AHV130" s="269" t="s">
        <v>6202</v>
      </c>
      <c r="AHW130" s="269" t="s">
        <v>6203</v>
      </c>
    </row>
    <row r="131" spans="1:907" ht="24.6" x14ac:dyDescent="0.7">
      <c r="A131" s="268" t="s">
        <v>6278</v>
      </c>
      <c r="B131" s="268" t="s">
        <v>6204</v>
      </c>
      <c r="C131" s="269" t="s">
        <v>6205</v>
      </c>
      <c r="D131" s="294"/>
      <c r="E131" s="294"/>
      <c r="F131" s="294"/>
      <c r="G131" s="294"/>
      <c r="H131" s="294"/>
      <c r="I131" s="294"/>
      <c r="J131" s="294"/>
      <c r="K131" s="294"/>
      <c r="L131" s="294"/>
      <c r="M131" s="294"/>
      <c r="N131" s="294"/>
      <c r="O131" s="294">
        <v>0</v>
      </c>
      <c r="P131" s="294"/>
      <c r="Q131" s="294"/>
      <c r="R131" s="294"/>
      <c r="S131" s="294"/>
      <c r="T131" s="294"/>
      <c r="U131" s="294"/>
      <c r="V131" s="294">
        <v>0</v>
      </c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294">
        <v>0</v>
      </c>
      <c r="AU131" s="294"/>
      <c r="AV131" s="294"/>
      <c r="AW131" s="294"/>
      <c r="AX131" s="294"/>
      <c r="AY131" s="294"/>
      <c r="AZ131" s="294"/>
      <c r="BA131" s="294">
        <v>0</v>
      </c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294"/>
      <c r="BO131" s="294"/>
      <c r="BP131" s="294"/>
      <c r="BQ131" s="294"/>
      <c r="BR131" s="294">
        <v>-18551</v>
      </c>
      <c r="BS131" s="294">
        <v>0</v>
      </c>
      <c r="BT131" s="294">
        <v>-2394</v>
      </c>
      <c r="BU131" s="294">
        <v>-750</v>
      </c>
      <c r="BV131" s="294"/>
      <c r="BW131" s="294">
        <v>-3000</v>
      </c>
      <c r="BX131" s="294"/>
      <c r="BY131" s="294">
        <v>0</v>
      </c>
      <c r="BZ131" s="294"/>
      <c r="CA131" s="294"/>
      <c r="CB131" s="294">
        <v>0</v>
      </c>
      <c r="CC131" s="294">
        <v>0</v>
      </c>
      <c r="CD131" s="294">
        <v>0</v>
      </c>
      <c r="CE131" s="294">
        <v>0</v>
      </c>
      <c r="CF131" s="294"/>
      <c r="CG131" s="294"/>
      <c r="CH131" s="294"/>
      <c r="CI131" s="294"/>
      <c r="CJ131" s="294"/>
      <c r="CK131" s="294"/>
      <c r="CL131" s="294">
        <v>0</v>
      </c>
      <c r="CM131" s="294"/>
      <c r="CN131" s="294"/>
      <c r="CO131" s="294"/>
      <c r="CP131" s="294"/>
      <c r="CQ131" s="294"/>
      <c r="CR131" s="294"/>
      <c r="CS131" s="294"/>
      <c r="CT131" s="294">
        <v>0</v>
      </c>
      <c r="CU131" s="294"/>
      <c r="CV131" s="294"/>
      <c r="CW131" s="294"/>
      <c r="CX131" s="294"/>
      <c r="CY131" s="294"/>
      <c r="CZ131" s="294"/>
      <c r="DA131" s="294"/>
      <c r="DB131" s="294"/>
      <c r="DC131" s="294">
        <v>-10372</v>
      </c>
      <c r="DD131" s="294"/>
      <c r="DE131" s="294"/>
      <c r="DF131" s="294"/>
      <c r="DG131" s="294">
        <v>0</v>
      </c>
      <c r="DH131" s="294">
        <v>-3000</v>
      </c>
      <c r="DI131" s="294"/>
      <c r="DJ131" s="294">
        <v>0</v>
      </c>
      <c r="DK131" s="294"/>
      <c r="DL131" s="294">
        <v>0</v>
      </c>
      <c r="DM131" s="294"/>
      <c r="DN131" s="294"/>
      <c r="DO131" s="294">
        <v>-2520</v>
      </c>
      <c r="DP131" s="294">
        <v>0</v>
      </c>
      <c r="DQ131" s="294">
        <v>0</v>
      </c>
      <c r="DR131" s="294">
        <v>0</v>
      </c>
      <c r="DS131" s="294">
        <v>-1875</v>
      </c>
      <c r="DT131" s="294"/>
      <c r="DU131" s="294"/>
      <c r="DV131" s="294"/>
      <c r="DW131" s="294">
        <v>0</v>
      </c>
      <c r="DX131" s="294"/>
      <c r="DY131" s="294"/>
      <c r="DZ131" s="294"/>
      <c r="EA131" s="294"/>
      <c r="EB131" s="294"/>
      <c r="EC131" s="294"/>
      <c r="ED131" s="294"/>
      <c r="EE131" s="294">
        <v>0</v>
      </c>
      <c r="EF131" s="294">
        <v>0</v>
      </c>
      <c r="EG131" s="294"/>
      <c r="EH131" s="294"/>
      <c r="EI131" s="294"/>
      <c r="EJ131" s="294"/>
      <c r="EK131" s="294">
        <v>0</v>
      </c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>
        <v>0</v>
      </c>
      <c r="EY131" s="294"/>
      <c r="EZ131" s="294">
        <v>0</v>
      </c>
      <c r="FA131" s="294">
        <v>0</v>
      </c>
      <c r="FB131" s="294">
        <v>0</v>
      </c>
      <c r="FC131" s="294"/>
      <c r="FD131" s="294">
        <v>0</v>
      </c>
      <c r="FE131" s="294">
        <v>-1800</v>
      </c>
      <c r="FF131" s="294"/>
      <c r="FG131" s="294"/>
      <c r="FH131" s="294">
        <v>0</v>
      </c>
      <c r="FI131" s="294">
        <v>-21212</v>
      </c>
      <c r="FJ131" s="294">
        <v>0</v>
      </c>
      <c r="FK131" s="294"/>
      <c r="FL131" s="294"/>
      <c r="FM131" s="294"/>
      <c r="FN131" s="294"/>
      <c r="FO131" s="294"/>
      <c r="FP131" s="294"/>
      <c r="FQ131" s="294"/>
      <c r="FR131" s="294"/>
      <c r="FS131" s="294"/>
      <c r="FT131" s="294"/>
      <c r="FU131" s="294"/>
      <c r="FV131" s="294"/>
      <c r="FW131" s="294"/>
      <c r="FX131" s="294"/>
      <c r="FY131" s="294"/>
      <c r="FZ131" s="294"/>
      <c r="GA131" s="294"/>
      <c r="GB131" s="294"/>
      <c r="GC131" s="294"/>
      <c r="GD131" s="294"/>
      <c r="GE131" s="294"/>
      <c r="GF131" s="294">
        <v>0</v>
      </c>
      <c r="GG131" s="294">
        <v>0</v>
      </c>
      <c r="GH131" s="294">
        <v>-1351</v>
      </c>
      <c r="GI131" s="294"/>
      <c r="GJ131" s="294"/>
      <c r="GK131" s="294"/>
      <c r="GL131" s="294">
        <v>0</v>
      </c>
      <c r="GM131" s="294">
        <v>0</v>
      </c>
      <c r="GN131" s="294">
        <v>0</v>
      </c>
      <c r="GO131" s="294">
        <v>0</v>
      </c>
      <c r="GP131" s="294">
        <v>0</v>
      </c>
      <c r="GQ131" s="294"/>
      <c r="GR131" s="294">
        <v>0</v>
      </c>
      <c r="GS131" s="294">
        <v>0</v>
      </c>
      <c r="GT131" s="294">
        <v>0</v>
      </c>
      <c r="GU131" s="294">
        <v>0</v>
      </c>
      <c r="GV131" s="294">
        <v>0</v>
      </c>
      <c r="GW131" s="294">
        <v>0</v>
      </c>
      <c r="GX131" s="294">
        <v>0</v>
      </c>
      <c r="GY131" s="294">
        <v>0</v>
      </c>
      <c r="GZ131" s="294"/>
      <c r="HA131" s="294"/>
      <c r="HB131" s="294"/>
      <c r="HC131" s="294">
        <v>0</v>
      </c>
      <c r="HD131" s="294"/>
      <c r="HE131" s="294"/>
      <c r="HF131" s="294"/>
      <c r="HG131" s="294"/>
      <c r="HH131" s="294"/>
      <c r="HI131" s="294"/>
      <c r="HJ131" s="294">
        <v>0</v>
      </c>
      <c r="HK131" s="294">
        <v>0</v>
      </c>
      <c r="HL131" s="294">
        <v>-1125</v>
      </c>
      <c r="HM131" s="294"/>
      <c r="HN131" s="294">
        <v>0</v>
      </c>
      <c r="HO131" s="294"/>
      <c r="HP131" s="294"/>
      <c r="HQ131" s="294">
        <v>0</v>
      </c>
      <c r="HR131" s="294">
        <v>0</v>
      </c>
      <c r="HS131" s="294">
        <v>0</v>
      </c>
      <c r="HT131" s="294"/>
      <c r="HU131" s="294"/>
      <c r="HV131" s="294">
        <v>0</v>
      </c>
      <c r="HW131" s="294"/>
      <c r="HX131" s="294"/>
      <c r="HY131" s="294"/>
      <c r="HZ131" s="294"/>
      <c r="IA131" s="294"/>
      <c r="IB131" s="294"/>
      <c r="IC131" s="294">
        <v>0</v>
      </c>
      <c r="ID131" s="294"/>
      <c r="IE131" s="294"/>
      <c r="IF131" s="294"/>
      <c r="IG131" s="294"/>
      <c r="IH131" s="294"/>
      <c r="II131" s="294">
        <v>0</v>
      </c>
      <c r="IJ131" s="294"/>
      <c r="IK131" s="294"/>
      <c r="IL131" s="294"/>
      <c r="IM131" s="294"/>
      <c r="IN131" s="294"/>
      <c r="IO131" s="294"/>
      <c r="IP131" s="294"/>
      <c r="IQ131" s="294"/>
      <c r="IR131" s="294"/>
      <c r="IS131" s="294"/>
      <c r="IT131" s="294">
        <v>-77229</v>
      </c>
      <c r="IU131" s="294">
        <v>0</v>
      </c>
      <c r="IV131" s="294">
        <v>0</v>
      </c>
      <c r="IW131" s="294">
        <v>0</v>
      </c>
      <c r="IX131" s="294">
        <v>-1650</v>
      </c>
      <c r="IY131" s="294">
        <v>0</v>
      </c>
      <c r="IZ131" s="294">
        <v>0</v>
      </c>
      <c r="JA131" s="294">
        <v>0</v>
      </c>
      <c r="JB131" s="294">
        <v>0</v>
      </c>
      <c r="JC131" s="294">
        <v>0</v>
      </c>
      <c r="JD131" s="294">
        <v>0</v>
      </c>
      <c r="JE131" s="294">
        <v>-11445</v>
      </c>
      <c r="JF131" s="294"/>
      <c r="JG131" s="294"/>
      <c r="JH131" s="294"/>
      <c r="JI131" s="294"/>
      <c r="JJ131" s="294"/>
      <c r="JK131" s="294">
        <v>0</v>
      </c>
      <c r="JL131" s="294"/>
      <c r="JM131" s="294"/>
      <c r="JN131" s="294"/>
      <c r="JO131" s="294"/>
      <c r="JP131" s="294"/>
      <c r="JQ131" s="294"/>
      <c r="JR131" s="294"/>
      <c r="JS131" s="294">
        <v>0</v>
      </c>
      <c r="JT131" s="294">
        <v>0</v>
      </c>
      <c r="JU131" s="294">
        <v>0</v>
      </c>
      <c r="JV131" s="294"/>
      <c r="JW131" s="294">
        <v>-375</v>
      </c>
      <c r="JX131" s="294">
        <v>0</v>
      </c>
      <c r="JY131" s="294"/>
      <c r="JZ131" s="294">
        <v>0</v>
      </c>
      <c r="KA131" s="294"/>
      <c r="KB131" s="294">
        <v>0</v>
      </c>
      <c r="KC131" s="294"/>
      <c r="KD131" s="294">
        <v>-1500</v>
      </c>
      <c r="KE131" s="294">
        <v>-375</v>
      </c>
      <c r="KF131" s="294"/>
      <c r="KG131" s="294"/>
      <c r="KH131" s="294"/>
      <c r="KI131" s="294"/>
      <c r="KJ131" s="294">
        <v>0</v>
      </c>
      <c r="KK131" s="294"/>
      <c r="KL131" s="294"/>
      <c r="KM131" s="294"/>
      <c r="KN131" s="294"/>
      <c r="KO131" s="294"/>
      <c r="KP131" s="294"/>
      <c r="KQ131" s="294">
        <v>0</v>
      </c>
      <c r="KR131" s="294"/>
      <c r="KS131" s="294"/>
      <c r="KT131" s="294"/>
      <c r="KU131" s="294"/>
      <c r="KV131" s="294"/>
      <c r="KW131" s="294">
        <v>0</v>
      </c>
      <c r="KX131" s="294"/>
      <c r="KY131" s="294"/>
      <c r="KZ131" s="294"/>
      <c r="LA131" s="294"/>
      <c r="LB131" s="294"/>
      <c r="LC131" s="294"/>
      <c r="LD131" s="294"/>
      <c r="LE131" s="294"/>
      <c r="LF131" s="294"/>
      <c r="LG131" s="294">
        <v>0</v>
      </c>
      <c r="LH131" s="294">
        <v>0</v>
      </c>
      <c r="LI131" s="294">
        <v>0</v>
      </c>
      <c r="LJ131" s="294"/>
      <c r="LK131" s="294">
        <v>0</v>
      </c>
      <c r="LL131" s="294"/>
      <c r="LM131" s="294"/>
      <c r="LN131" s="294"/>
      <c r="LO131" s="294"/>
      <c r="LP131" s="294">
        <v>0</v>
      </c>
      <c r="LQ131" s="294"/>
      <c r="LR131" s="294">
        <v>-13248</v>
      </c>
      <c r="LS131" s="294"/>
      <c r="LT131" s="294"/>
      <c r="LU131" s="294">
        <v>0</v>
      </c>
      <c r="LV131" s="294">
        <v>0</v>
      </c>
      <c r="LW131" s="294"/>
      <c r="LX131" s="294"/>
      <c r="LY131" s="294">
        <v>0</v>
      </c>
      <c r="LZ131" s="294">
        <v>0</v>
      </c>
      <c r="MA131" s="294">
        <v>0</v>
      </c>
      <c r="MB131" s="294">
        <v>0</v>
      </c>
      <c r="MC131" s="294">
        <v>0</v>
      </c>
      <c r="MD131" s="294">
        <v>0</v>
      </c>
      <c r="ME131" s="294"/>
      <c r="MF131" s="294">
        <v>-1125</v>
      </c>
      <c r="MG131" s="294">
        <v>0</v>
      </c>
      <c r="MH131" s="294"/>
      <c r="MI131" s="294"/>
      <c r="MJ131" s="294"/>
      <c r="MK131" s="294"/>
      <c r="ML131" s="294"/>
      <c r="MM131" s="294"/>
      <c r="MN131" s="294"/>
      <c r="MO131" s="294"/>
      <c r="MP131" s="294"/>
      <c r="MQ131" s="294"/>
      <c r="MR131" s="294"/>
      <c r="MS131" s="294"/>
      <c r="MT131" s="294">
        <v>-1500</v>
      </c>
      <c r="MU131" s="294">
        <v>-1125</v>
      </c>
      <c r="MV131" s="294">
        <v>0</v>
      </c>
      <c r="MW131" s="294">
        <v>0</v>
      </c>
      <c r="MX131" s="294">
        <v>-2700</v>
      </c>
      <c r="MY131" s="294">
        <v>0</v>
      </c>
      <c r="MZ131" s="294"/>
      <c r="NA131" s="294">
        <v>0</v>
      </c>
      <c r="NB131" s="294"/>
      <c r="NC131" s="294">
        <v>0</v>
      </c>
      <c r="ND131" s="294">
        <v>0</v>
      </c>
      <c r="NE131" s="294">
        <v>0</v>
      </c>
      <c r="NF131" s="294"/>
      <c r="NG131" s="294"/>
      <c r="NH131" s="294">
        <v>0</v>
      </c>
      <c r="NI131" s="294">
        <v>0</v>
      </c>
      <c r="NJ131" s="294">
        <v>0</v>
      </c>
      <c r="NK131" s="294">
        <v>0</v>
      </c>
      <c r="NL131" s="294"/>
      <c r="NM131" s="294"/>
      <c r="NN131" s="294">
        <v>0</v>
      </c>
      <c r="NO131" s="294">
        <v>0</v>
      </c>
      <c r="NP131" s="294"/>
      <c r="NQ131" s="294"/>
      <c r="NR131" s="294"/>
      <c r="NS131" s="294"/>
      <c r="NT131" s="294"/>
      <c r="NU131" s="294"/>
      <c r="NV131" s="294"/>
      <c r="NW131" s="294"/>
      <c r="NX131" s="294"/>
      <c r="NY131" s="294">
        <v>0</v>
      </c>
      <c r="NZ131" s="294"/>
      <c r="OA131" s="294">
        <v>0</v>
      </c>
      <c r="OB131" s="294">
        <v>0</v>
      </c>
      <c r="OC131" s="294"/>
      <c r="OD131" s="294"/>
      <c r="OE131" s="294">
        <v>-3711</v>
      </c>
      <c r="OF131" s="294"/>
      <c r="OG131" s="294"/>
      <c r="OH131" s="294"/>
      <c r="OI131" s="294"/>
      <c r="OJ131" s="294"/>
      <c r="OK131" s="294"/>
      <c r="OL131" s="294"/>
      <c r="OM131" s="294">
        <v>0</v>
      </c>
      <c r="ON131" s="294"/>
      <c r="OO131" s="294"/>
      <c r="OP131" s="294">
        <v>0</v>
      </c>
      <c r="OQ131" s="294"/>
      <c r="OR131" s="294"/>
      <c r="OS131" s="294"/>
      <c r="OT131" s="294"/>
      <c r="OU131" s="294"/>
      <c r="OV131" s="294"/>
      <c r="OW131" s="294"/>
      <c r="OX131" s="294"/>
      <c r="OY131" s="294"/>
      <c r="OZ131" s="294"/>
      <c r="PA131" s="294"/>
      <c r="PB131" s="294"/>
      <c r="PC131" s="294"/>
      <c r="PD131" s="294"/>
      <c r="PE131" s="294"/>
      <c r="PF131" s="294"/>
      <c r="PG131" s="294"/>
      <c r="PH131" s="294"/>
      <c r="PI131" s="294"/>
      <c r="PJ131" s="294"/>
      <c r="PK131" s="294"/>
      <c r="PL131" s="294"/>
      <c r="PM131" s="294"/>
      <c r="PN131" s="294"/>
      <c r="PO131" s="294"/>
      <c r="PP131" s="294"/>
      <c r="PQ131" s="294"/>
      <c r="PR131" s="294"/>
      <c r="PS131" s="294"/>
      <c r="PT131" s="294">
        <v>0</v>
      </c>
      <c r="PU131" s="294">
        <v>0</v>
      </c>
      <c r="PV131" s="294"/>
      <c r="PW131" s="294">
        <v>0</v>
      </c>
      <c r="PX131" s="294">
        <v>0</v>
      </c>
      <c r="PY131" s="294">
        <v>0</v>
      </c>
      <c r="PZ131" s="294">
        <v>-50565</v>
      </c>
      <c r="QA131" s="294">
        <v>0</v>
      </c>
      <c r="QB131" s="294"/>
      <c r="QC131" s="294"/>
      <c r="QD131" s="294">
        <v>0</v>
      </c>
      <c r="QE131" s="294">
        <v>-750</v>
      </c>
      <c r="QF131" s="294"/>
      <c r="QG131" s="294"/>
      <c r="QH131" s="294">
        <v>-11250</v>
      </c>
      <c r="QI131" s="294">
        <v>0</v>
      </c>
      <c r="QJ131" s="294">
        <v>-21955</v>
      </c>
      <c r="QK131" s="294"/>
      <c r="QL131" s="294">
        <v>0</v>
      </c>
      <c r="QM131" s="294"/>
      <c r="QN131" s="294">
        <v>0</v>
      </c>
      <c r="QO131" s="294">
        <v>-1125</v>
      </c>
      <c r="QP131" s="294"/>
      <c r="QQ131" s="294">
        <v>-750</v>
      </c>
      <c r="QR131" s="294">
        <v>0</v>
      </c>
      <c r="QS131" s="294"/>
      <c r="QT131" s="294">
        <v>-90839</v>
      </c>
      <c r="QU131" s="294"/>
      <c r="QV131" s="294">
        <v>0</v>
      </c>
      <c r="QW131" s="294"/>
      <c r="QX131" s="294"/>
      <c r="QY131" s="294"/>
      <c r="QZ131" s="294">
        <v>0</v>
      </c>
      <c r="RA131" s="294"/>
      <c r="RB131" s="294"/>
      <c r="RC131" s="294">
        <v>0</v>
      </c>
      <c r="RD131" s="294">
        <v>0</v>
      </c>
      <c r="RE131" s="294"/>
      <c r="RF131" s="294">
        <v>0</v>
      </c>
      <c r="RG131" s="294"/>
      <c r="RH131" s="294"/>
      <c r="RI131" s="294">
        <v>0</v>
      </c>
      <c r="RJ131" s="294"/>
      <c r="RK131" s="294"/>
      <c r="RL131" s="294"/>
      <c r="RM131" s="294"/>
      <c r="RN131" s="294"/>
      <c r="RO131" s="294">
        <v>0</v>
      </c>
      <c r="RP131" s="294">
        <v>0</v>
      </c>
      <c r="RQ131" s="294"/>
      <c r="RR131" s="294"/>
      <c r="RS131" s="294"/>
      <c r="RT131" s="294"/>
      <c r="RU131" s="294"/>
      <c r="RV131" s="294">
        <v>0</v>
      </c>
      <c r="RW131" s="294">
        <v>0</v>
      </c>
      <c r="RX131" s="294"/>
      <c r="RY131" s="294"/>
      <c r="RZ131" s="294"/>
      <c r="SA131" s="294"/>
      <c r="SB131" s="294"/>
      <c r="SC131" s="294"/>
      <c r="SD131" s="294"/>
      <c r="SE131" s="294"/>
      <c r="SF131" s="294"/>
      <c r="SG131" s="294"/>
      <c r="SH131" s="294"/>
      <c r="SI131" s="294"/>
      <c r="SJ131" s="294"/>
      <c r="SK131" s="294"/>
      <c r="SL131" s="294"/>
      <c r="SM131" s="294">
        <v>0</v>
      </c>
      <c r="SN131" s="294"/>
      <c r="SO131" s="294"/>
      <c r="SP131" s="294"/>
      <c r="SQ131" s="294"/>
      <c r="SR131" s="294"/>
      <c r="SS131" s="294"/>
      <c r="ST131" s="294"/>
      <c r="SU131" s="294"/>
      <c r="SV131" s="294"/>
      <c r="SW131" s="294"/>
      <c r="SX131" s="294"/>
      <c r="SY131" s="294"/>
      <c r="SZ131" s="294"/>
      <c r="TA131" s="294"/>
      <c r="TB131" s="294"/>
      <c r="TC131" s="294"/>
      <c r="TD131" s="294"/>
      <c r="TE131" s="294"/>
      <c r="TF131" s="294"/>
      <c r="TG131" s="294"/>
      <c r="TH131" s="294"/>
      <c r="TI131" s="294"/>
      <c r="TJ131" s="294"/>
      <c r="TK131" s="294"/>
      <c r="TL131" s="294">
        <v>0</v>
      </c>
      <c r="TM131" s="294"/>
      <c r="TN131" s="294"/>
      <c r="TO131" s="294">
        <v>0</v>
      </c>
      <c r="TP131" s="294">
        <v>0</v>
      </c>
      <c r="TQ131" s="294"/>
      <c r="TR131" s="294">
        <v>0</v>
      </c>
      <c r="TS131" s="294"/>
      <c r="TT131" s="294"/>
      <c r="TU131" s="294"/>
      <c r="TV131" s="294"/>
      <c r="TW131" s="294"/>
      <c r="TX131" s="294"/>
      <c r="TY131" s="294"/>
      <c r="TZ131" s="294"/>
      <c r="UA131" s="294"/>
      <c r="UB131" s="294"/>
      <c r="UC131" s="294"/>
      <c r="UD131" s="294"/>
      <c r="UE131" s="294"/>
      <c r="UF131" s="294"/>
      <c r="UG131" s="294"/>
      <c r="UH131" s="294"/>
      <c r="UI131" s="294"/>
      <c r="UJ131" s="294"/>
      <c r="UK131" s="294"/>
      <c r="UL131" s="294"/>
      <c r="UM131" s="294"/>
      <c r="UN131" s="294"/>
      <c r="UO131" s="294"/>
      <c r="UP131" s="294"/>
      <c r="UQ131" s="294"/>
      <c r="UR131" s="294"/>
      <c r="US131" s="294">
        <v>-7333</v>
      </c>
      <c r="UT131" s="294"/>
      <c r="UU131" s="294"/>
      <c r="UV131" s="294"/>
      <c r="UW131" s="294"/>
      <c r="UX131" s="294"/>
      <c r="UY131" s="294"/>
      <c r="UZ131" s="294"/>
      <c r="VA131" s="294"/>
      <c r="VB131" s="294"/>
      <c r="VC131" s="294"/>
      <c r="VD131" s="294"/>
      <c r="VE131" s="294"/>
      <c r="VF131" s="294"/>
      <c r="VG131" s="294"/>
      <c r="VH131" s="294"/>
      <c r="VI131" s="294"/>
      <c r="VJ131" s="294"/>
      <c r="VK131" s="294"/>
      <c r="VL131" s="294">
        <v>0</v>
      </c>
      <c r="VM131" s="294"/>
      <c r="VN131" s="294"/>
      <c r="VO131" s="294">
        <v>0</v>
      </c>
      <c r="VP131" s="294"/>
      <c r="VQ131" s="294"/>
      <c r="VR131" s="294">
        <v>0</v>
      </c>
      <c r="VS131" s="294"/>
      <c r="VT131" s="294"/>
      <c r="VU131" s="294">
        <v>0</v>
      </c>
      <c r="VV131" s="294"/>
      <c r="VW131" s="294"/>
      <c r="VX131" s="294"/>
      <c r="VY131" s="294"/>
      <c r="VZ131" s="294"/>
      <c r="WA131" s="294"/>
      <c r="WB131" s="294"/>
      <c r="WC131" s="294"/>
      <c r="WD131" s="294"/>
      <c r="WE131" s="294"/>
      <c r="WF131" s="294"/>
      <c r="WG131" s="294"/>
      <c r="WH131" s="294"/>
      <c r="WI131" s="294">
        <v>0</v>
      </c>
      <c r="WJ131" s="294"/>
      <c r="WK131" s="294"/>
      <c r="WL131" s="294">
        <v>0</v>
      </c>
      <c r="WM131" s="294"/>
      <c r="WN131" s="294"/>
      <c r="WO131" s="294">
        <v>0</v>
      </c>
      <c r="WP131" s="294"/>
      <c r="WQ131" s="294"/>
      <c r="WR131" s="294"/>
      <c r="WS131" s="294">
        <v>0</v>
      </c>
      <c r="WT131" s="294"/>
      <c r="WU131" s="294">
        <v>0</v>
      </c>
      <c r="WV131" s="294"/>
      <c r="WW131" s="294">
        <v>0</v>
      </c>
      <c r="WX131" s="294">
        <v>0</v>
      </c>
      <c r="WY131" s="294"/>
      <c r="WZ131" s="294"/>
      <c r="XA131" s="294"/>
      <c r="XB131" s="294"/>
      <c r="XC131" s="294">
        <v>0</v>
      </c>
      <c r="XD131" s="294">
        <v>0</v>
      </c>
      <c r="XE131" s="294"/>
      <c r="XF131" s="294"/>
      <c r="XG131" s="294">
        <v>-263</v>
      </c>
      <c r="XH131" s="294">
        <v>0</v>
      </c>
      <c r="XI131" s="294">
        <v>0</v>
      </c>
      <c r="XJ131" s="294"/>
      <c r="XK131" s="294"/>
      <c r="XL131" s="294"/>
      <c r="XM131" s="294"/>
      <c r="XN131" s="294">
        <v>0</v>
      </c>
      <c r="XO131" s="294">
        <v>0</v>
      </c>
      <c r="XP131" s="294">
        <v>0</v>
      </c>
      <c r="XQ131" s="294"/>
      <c r="XR131" s="294">
        <v>0</v>
      </c>
      <c r="XS131" s="294"/>
      <c r="XT131" s="294"/>
      <c r="XU131" s="294"/>
      <c r="XV131" s="294"/>
      <c r="XW131" s="294"/>
      <c r="XX131" s="294"/>
      <c r="XY131" s="294">
        <v>0</v>
      </c>
      <c r="XZ131" s="294">
        <v>0</v>
      </c>
      <c r="YA131" s="294"/>
      <c r="YB131" s="294"/>
      <c r="YC131" s="294"/>
      <c r="YD131" s="294"/>
      <c r="YE131" s="294"/>
      <c r="YF131" s="294">
        <v>0</v>
      </c>
      <c r="YG131" s="294">
        <v>0</v>
      </c>
      <c r="YH131" s="294">
        <v>0</v>
      </c>
      <c r="YI131" s="294">
        <v>0</v>
      </c>
      <c r="YJ131" s="294">
        <v>0</v>
      </c>
      <c r="YK131" s="294">
        <v>0</v>
      </c>
      <c r="YL131" s="294">
        <v>0</v>
      </c>
      <c r="YM131" s="294">
        <v>0</v>
      </c>
      <c r="YN131" s="294">
        <v>0</v>
      </c>
      <c r="YO131" s="294">
        <v>0</v>
      </c>
      <c r="YP131" s="294">
        <v>0</v>
      </c>
      <c r="YQ131" s="294">
        <v>0</v>
      </c>
      <c r="YR131" s="294">
        <v>0</v>
      </c>
      <c r="YS131" s="294">
        <v>0</v>
      </c>
      <c r="YT131" s="294">
        <v>0</v>
      </c>
      <c r="YU131" s="294">
        <v>0</v>
      </c>
      <c r="YV131" s="294"/>
      <c r="YW131" s="294">
        <v>0</v>
      </c>
      <c r="YX131" s="294">
        <v>0</v>
      </c>
      <c r="YY131" s="294">
        <v>0</v>
      </c>
      <c r="YZ131" s="294">
        <v>0</v>
      </c>
      <c r="ZA131" s="294">
        <v>0</v>
      </c>
      <c r="ZB131" s="294">
        <v>-375</v>
      </c>
      <c r="ZC131" s="294">
        <v>0</v>
      </c>
      <c r="ZD131" s="294"/>
      <c r="ZE131" s="294"/>
      <c r="ZF131" s="294"/>
      <c r="ZG131" s="294"/>
      <c r="ZH131" s="294"/>
      <c r="ZI131" s="294"/>
      <c r="ZJ131" s="294">
        <v>0</v>
      </c>
      <c r="ZK131" s="294">
        <v>0</v>
      </c>
      <c r="ZL131" s="294">
        <v>0</v>
      </c>
      <c r="ZM131" s="294">
        <v>0</v>
      </c>
      <c r="ZN131" s="294"/>
      <c r="ZO131" s="294">
        <v>-2535</v>
      </c>
      <c r="ZP131" s="294"/>
      <c r="ZQ131" s="294"/>
      <c r="ZR131" s="294"/>
      <c r="ZS131" s="294"/>
      <c r="ZT131" s="294"/>
      <c r="ZU131" s="294">
        <v>0</v>
      </c>
      <c r="ZV131" s="294"/>
      <c r="ZW131" s="294">
        <v>0</v>
      </c>
      <c r="ZX131" s="294"/>
      <c r="ZY131" s="294"/>
      <c r="ZZ131" s="294"/>
      <c r="AAA131" s="294"/>
      <c r="AAB131" s="294"/>
      <c r="AAC131" s="294">
        <v>0</v>
      </c>
      <c r="AAD131" s="294"/>
      <c r="AAE131" s="294">
        <v>0</v>
      </c>
      <c r="AAF131" s="294"/>
      <c r="AAG131" s="294"/>
      <c r="AAH131" s="294"/>
      <c r="AAI131" s="294">
        <v>0</v>
      </c>
      <c r="AAJ131" s="294">
        <v>0</v>
      </c>
      <c r="AAK131" s="294">
        <v>0</v>
      </c>
      <c r="AAL131" s="294">
        <v>0</v>
      </c>
      <c r="AAM131" s="294">
        <v>-1125</v>
      </c>
      <c r="AAN131" s="294"/>
      <c r="AAO131" s="294"/>
      <c r="AAP131" s="294"/>
      <c r="AAQ131" s="294"/>
      <c r="AAR131" s="294"/>
      <c r="AAS131" s="294">
        <v>0</v>
      </c>
      <c r="AAT131" s="294">
        <v>0</v>
      </c>
      <c r="AAU131" s="294"/>
      <c r="AAV131" s="294"/>
      <c r="AAW131" s="294">
        <v>0</v>
      </c>
      <c r="AAX131" s="294"/>
      <c r="AAY131" s="294"/>
      <c r="AAZ131" s="294">
        <v>-3750</v>
      </c>
      <c r="ABA131" s="294"/>
      <c r="ABB131" s="294"/>
      <c r="ABC131" s="294">
        <v>0</v>
      </c>
      <c r="ABD131" s="294"/>
      <c r="ABE131" s="294"/>
      <c r="ABF131" s="294"/>
      <c r="ABG131" s="294"/>
      <c r="ABH131" s="294">
        <v>0</v>
      </c>
      <c r="ABI131" s="294">
        <v>0</v>
      </c>
      <c r="ABJ131" s="294"/>
      <c r="ABK131" s="294">
        <v>0</v>
      </c>
      <c r="ABL131" s="294"/>
      <c r="ABM131" s="294"/>
      <c r="ABN131" s="294"/>
      <c r="ABO131" s="294">
        <v>0</v>
      </c>
      <c r="ABP131" s="294"/>
      <c r="ABQ131" s="294"/>
      <c r="ABR131" s="294"/>
      <c r="ABS131" s="294"/>
      <c r="ABT131" s="294"/>
      <c r="ABU131" s="294"/>
      <c r="ABV131" s="294"/>
      <c r="ABW131" s="294"/>
      <c r="ABX131" s="294"/>
      <c r="ABY131" s="294">
        <v>0</v>
      </c>
      <c r="ABZ131" s="294"/>
      <c r="ACA131" s="294">
        <v>-375</v>
      </c>
      <c r="ACB131" s="294">
        <v>0</v>
      </c>
      <c r="ACC131" s="294">
        <v>0</v>
      </c>
      <c r="ACD131" s="294">
        <v>0</v>
      </c>
      <c r="ACE131" s="294">
        <v>0</v>
      </c>
      <c r="ACF131" s="294">
        <v>-1500</v>
      </c>
      <c r="ACG131" s="294">
        <v>0</v>
      </c>
      <c r="ACH131" s="294">
        <v>0</v>
      </c>
      <c r="ACI131" s="294">
        <v>-17592</v>
      </c>
      <c r="ACJ131" s="294">
        <v>0</v>
      </c>
      <c r="ACK131" s="294">
        <v>0</v>
      </c>
      <c r="ACL131" s="294">
        <v>0</v>
      </c>
      <c r="ACM131" s="294"/>
      <c r="ACN131" s="294">
        <v>-720</v>
      </c>
      <c r="ACO131" s="294"/>
      <c r="ACP131" s="294">
        <v>0</v>
      </c>
      <c r="ACQ131" s="294">
        <v>0</v>
      </c>
      <c r="ACR131" s="294">
        <v>0</v>
      </c>
      <c r="ACS131" s="294">
        <v>0</v>
      </c>
      <c r="ACT131" s="294">
        <v>0</v>
      </c>
      <c r="ACU131" s="294">
        <v>0</v>
      </c>
      <c r="ACV131" s="294">
        <v>0</v>
      </c>
      <c r="ACW131" s="294">
        <v>0</v>
      </c>
      <c r="ACX131" s="294">
        <v>-1500</v>
      </c>
      <c r="ACY131" s="294"/>
      <c r="ACZ131" s="294">
        <v>0</v>
      </c>
      <c r="ADA131" s="294">
        <v>0</v>
      </c>
      <c r="ADB131" s="294">
        <v>0</v>
      </c>
      <c r="ADC131" s="294">
        <v>0</v>
      </c>
      <c r="ADD131" s="294"/>
      <c r="ADE131" s="294">
        <v>0</v>
      </c>
      <c r="ADF131" s="294">
        <v>0</v>
      </c>
      <c r="ADG131" s="294"/>
      <c r="ADH131" s="294">
        <v>0</v>
      </c>
      <c r="ADI131" s="294"/>
      <c r="ADJ131" s="294">
        <v>825</v>
      </c>
      <c r="ADK131" s="294">
        <v>0</v>
      </c>
      <c r="ADL131" s="294"/>
      <c r="ADM131" s="294"/>
      <c r="ADN131" s="294">
        <v>0</v>
      </c>
      <c r="ADO131" s="294"/>
      <c r="ADP131" s="294">
        <v>0</v>
      </c>
      <c r="ADQ131" s="294"/>
      <c r="ADR131" s="294"/>
      <c r="ADS131" s="294">
        <v>0</v>
      </c>
      <c r="ADT131" s="294">
        <v>0</v>
      </c>
      <c r="ADU131" s="294"/>
      <c r="ADV131" s="294"/>
      <c r="ADW131" s="294"/>
      <c r="ADX131" s="294"/>
      <c r="ADY131" s="294">
        <v>-23285</v>
      </c>
      <c r="ADZ131" s="294"/>
      <c r="AEA131" s="294">
        <v>0</v>
      </c>
      <c r="AEB131" s="294"/>
      <c r="AEC131" s="294"/>
      <c r="AED131" s="294"/>
      <c r="AEE131" s="294">
        <v>0</v>
      </c>
      <c r="AEF131" s="294">
        <v>0</v>
      </c>
      <c r="AEG131" s="294">
        <v>0</v>
      </c>
      <c r="AEH131" s="294"/>
      <c r="AEI131" s="294"/>
      <c r="AEJ131" s="294"/>
      <c r="AEK131" s="294"/>
      <c r="AEL131" s="294"/>
      <c r="AEM131" s="294">
        <v>0</v>
      </c>
      <c r="AEN131" s="294">
        <v>0</v>
      </c>
      <c r="AEO131" s="294"/>
      <c r="AEP131" s="294"/>
      <c r="AEQ131" s="294"/>
      <c r="AER131" s="294"/>
      <c r="AES131" s="294"/>
      <c r="AET131" s="294"/>
      <c r="AEU131" s="294">
        <v>0</v>
      </c>
      <c r="AEV131" s="294"/>
      <c r="AEW131" s="294">
        <v>0</v>
      </c>
      <c r="AEX131" s="294">
        <v>-750</v>
      </c>
      <c r="AEY131" s="294">
        <v>0</v>
      </c>
      <c r="AEZ131" s="294">
        <v>-1125</v>
      </c>
      <c r="AFA131" s="294"/>
      <c r="AFB131" s="294">
        <v>0</v>
      </c>
      <c r="AFC131" s="294"/>
      <c r="AFD131" s="294">
        <v>0</v>
      </c>
      <c r="AFE131" s="294">
        <v>0</v>
      </c>
      <c r="AFF131" s="294"/>
      <c r="AFG131" s="294"/>
      <c r="AFH131" s="294">
        <v>0</v>
      </c>
      <c r="AFI131" s="294"/>
      <c r="AFJ131" s="294"/>
      <c r="AFK131" s="294"/>
      <c r="AFL131" s="294"/>
      <c r="AFM131" s="294">
        <v>0</v>
      </c>
      <c r="AFN131" s="294"/>
      <c r="AFO131" s="294">
        <v>0</v>
      </c>
      <c r="AFP131" s="294"/>
      <c r="AFQ131" s="294"/>
      <c r="AFR131" s="294">
        <v>0</v>
      </c>
      <c r="AFS131" s="294"/>
      <c r="AFT131" s="294">
        <v>0</v>
      </c>
      <c r="AFU131" s="294"/>
      <c r="AFV131" s="294">
        <v>0</v>
      </c>
      <c r="AFW131" s="294"/>
      <c r="AFX131" s="294">
        <v>0</v>
      </c>
      <c r="AFY131" s="294"/>
      <c r="AFZ131" s="294"/>
      <c r="AGA131" s="294"/>
      <c r="AGB131" s="294"/>
      <c r="AGC131" s="294"/>
      <c r="AGD131" s="294"/>
      <c r="AGE131" s="294"/>
      <c r="AGF131" s="294"/>
      <c r="AGG131" s="294"/>
      <c r="AGH131" s="294"/>
      <c r="AGI131" s="294"/>
      <c r="AGJ131" s="294"/>
      <c r="AGK131" s="294"/>
      <c r="AGL131" s="294"/>
      <c r="AGM131" s="294">
        <v>0</v>
      </c>
      <c r="AGN131" s="294"/>
      <c r="AGO131" s="294">
        <v>0</v>
      </c>
      <c r="AGP131" s="294">
        <v>0</v>
      </c>
      <c r="AGQ131" s="294">
        <v>0</v>
      </c>
      <c r="AGR131" s="294"/>
      <c r="AGS131" s="294">
        <v>0</v>
      </c>
      <c r="AGT131" s="294">
        <v>0</v>
      </c>
      <c r="AGU131" s="294">
        <v>0</v>
      </c>
      <c r="AGV131" s="294"/>
      <c r="AGW131" s="294">
        <v>0</v>
      </c>
      <c r="AGX131" s="294">
        <v>0</v>
      </c>
      <c r="AGY131" s="294">
        <v>0</v>
      </c>
      <c r="AGZ131" s="294">
        <v>0</v>
      </c>
      <c r="AHA131" s="294"/>
      <c r="AHB131" s="294">
        <v>0</v>
      </c>
      <c r="AHC131" s="294">
        <v>0</v>
      </c>
      <c r="AHD131" s="294">
        <v>0</v>
      </c>
      <c r="AHE131" s="294">
        <v>0</v>
      </c>
      <c r="AHF131" s="294">
        <v>750</v>
      </c>
      <c r="AHG131" s="294"/>
      <c r="AHH131" s="294">
        <v>-1125</v>
      </c>
      <c r="AHI131" s="294">
        <v>-750</v>
      </c>
      <c r="AHJ131" s="294"/>
      <c r="AHK131" s="294">
        <v>0</v>
      </c>
      <c r="AHL131" s="294">
        <v>0</v>
      </c>
      <c r="AHM131" s="294"/>
      <c r="AHN131" s="294"/>
      <c r="AHO131" s="294"/>
      <c r="AHP131" s="294"/>
      <c r="AHQ131" s="294"/>
      <c r="AHR131" s="331"/>
      <c r="AHS131" s="294">
        <f>SUM(D131:AHR131)</f>
        <v>-423695</v>
      </c>
      <c r="AHT131" s="269" t="b">
        <f t="shared" si="54"/>
        <v>1</v>
      </c>
      <c r="AHU131" s="269" t="s">
        <v>6278</v>
      </c>
      <c r="AHV131" s="269" t="s">
        <v>6204</v>
      </c>
      <c r="AHW131" s="269" t="s">
        <v>6205</v>
      </c>
    </row>
    <row r="132" spans="1:907" ht="24.6" x14ac:dyDescent="0.7">
      <c r="A132" s="268" t="s">
        <v>6278</v>
      </c>
      <c r="B132" s="268" t="s">
        <v>6206</v>
      </c>
      <c r="C132" s="269" t="s">
        <v>6207</v>
      </c>
      <c r="D132" s="294">
        <v>0</v>
      </c>
      <c r="E132" s="294">
        <v>-25698</v>
      </c>
      <c r="F132" s="294">
        <v>-108133</v>
      </c>
      <c r="G132" s="294">
        <v>-18077</v>
      </c>
      <c r="H132" s="294">
        <v>-58613</v>
      </c>
      <c r="I132" s="294">
        <v>-24815</v>
      </c>
      <c r="J132" s="294">
        <v>-45141</v>
      </c>
      <c r="K132" s="294">
        <v>-43966</v>
      </c>
      <c r="L132" s="294">
        <v>0</v>
      </c>
      <c r="M132" s="294">
        <v>0</v>
      </c>
      <c r="N132" s="294">
        <v>-9549.15</v>
      </c>
      <c r="O132" s="294">
        <v>0</v>
      </c>
      <c r="P132" s="294">
        <v>-21624</v>
      </c>
      <c r="Q132" s="294">
        <v>-28186</v>
      </c>
      <c r="R132" s="294">
        <v>-18587</v>
      </c>
      <c r="S132" s="294">
        <v>-6</v>
      </c>
      <c r="T132" s="294">
        <v>-26961</v>
      </c>
      <c r="U132" s="294">
        <v>-15416</v>
      </c>
      <c r="V132" s="294">
        <v>0</v>
      </c>
      <c r="W132" s="294">
        <v>-91342</v>
      </c>
      <c r="X132" s="294">
        <v>0</v>
      </c>
      <c r="Y132" s="294"/>
      <c r="Z132" s="294">
        <v>-64723</v>
      </c>
      <c r="AA132" s="294">
        <v>-16410</v>
      </c>
      <c r="AB132" s="294">
        <v>-12061</v>
      </c>
      <c r="AC132" s="294">
        <v>0</v>
      </c>
      <c r="AD132" s="294">
        <v>-29330</v>
      </c>
      <c r="AE132" s="294"/>
      <c r="AF132" s="294">
        <v>0</v>
      </c>
      <c r="AG132" s="294">
        <v>-17256</v>
      </c>
      <c r="AH132" s="294"/>
      <c r="AI132" s="294">
        <v>-53800</v>
      </c>
      <c r="AJ132" s="294">
        <v>-28433</v>
      </c>
      <c r="AK132" s="294">
        <v>0</v>
      </c>
      <c r="AL132" s="294"/>
      <c r="AM132" s="294">
        <v>0</v>
      </c>
      <c r="AN132" s="294"/>
      <c r="AO132" s="294">
        <v>0</v>
      </c>
      <c r="AP132" s="294">
        <v>0</v>
      </c>
      <c r="AQ132" s="294">
        <v>0</v>
      </c>
      <c r="AR132" s="294">
        <v>0</v>
      </c>
      <c r="AS132" s="294">
        <v>-12917</v>
      </c>
      <c r="AT132" s="294">
        <v>0</v>
      </c>
      <c r="AU132" s="294">
        <v>0</v>
      </c>
      <c r="AV132" s="294">
        <v>0</v>
      </c>
      <c r="AW132" s="294">
        <v>0</v>
      </c>
      <c r="AX132" s="294">
        <v>-20038</v>
      </c>
      <c r="AY132" s="294">
        <v>-28537</v>
      </c>
      <c r="AZ132" s="294">
        <v>0</v>
      </c>
      <c r="BA132" s="294">
        <v>-12334</v>
      </c>
      <c r="BB132" s="294">
        <v>-7360</v>
      </c>
      <c r="BC132" s="294">
        <v>-32207</v>
      </c>
      <c r="BD132" s="294">
        <v>-6382</v>
      </c>
      <c r="BE132" s="294">
        <v>-8508</v>
      </c>
      <c r="BF132" s="294">
        <v>-35785</v>
      </c>
      <c r="BG132" s="294">
        <v>-6898</v>
      </c>
      <c r="BH132" s="294">
        <v>-21</v>
      </c>
      <c r="BI132" s="294">
        <v>0</v>
      </c>
      <c r="BJ132" s="294">
        <v>-52602</v>
      </c>
      <c r="BK132" s="294">
        <v>-18548</v>
      </c>
      <c r="BL132" s="294">
        <v>0</v>
      </c>
      <c r="BM132" s="294">
        <v>-22210</v>
      </c>
      <c r="BN132" s="294">
        <v>-19169.5</v>
      </c>
      <c r="BO132" s="294">
        <v>-9297</v>
      </c>
      <c r="BP132" s="294">
        <v>-1882</v>
      </c>
      <c r="BQ132" s="294">
        <v>-1975</v>
      </c>
      <c r="BR132" s="294">
        <v>-117885</v>
      </c>
      <c r="BS132" s="294">
        <v>-13169</v>
      </c>
      <c r="BT132" s="294">
        <v>-21199</v>
      </c>
      <c r="BU132" s="294">
        <v>-19273</v>
      </c>
      <c r="BV132" s="294">
        <v>0</v>
      </c>
      <c r="BW132" s="294">
        <v>-17607</v>
      </c>
      <c r="BX132" s="294"/>
      <c r="BY132" s="294">
        <v>0</v>
      </c>
      <c r="BZ132" s="294"/>
      <c r="CA132" s="294"/>
      <c r="CB132" s="294">
        <v>0</v>
      </c>
      <c r="CC132" s="294">
        <v>0</v>
      </c>
      <c r="CD132" s="294">
        <v>0</v>
      </c>
      <c r="CE132" s="294">
        <v>0</v>
      </c>
      <c r="CF132" s="294"/>
      <c r="CG132" s="294"/>
      <c r="CH132" s="294">
        <v>0</v>
      </c>
      <c r="CI132" s="294">
        <v>0</v>
      </c>
      <c r="CJ132" s="294">
        <v>0</v>
      </c>
      <c r="CK132" s="294">
        <v>0</v>
      </c>
      <c r="CL132" s="294">
        <v>0</v>
      </c>
      <c r="CM132" s="294">
        <v>0</v>
      </c>
      <c r="CN132" s="294">
        <v>0</v>
      </c>
      <c r="CO132" s="294">
        <v>0</v>
      </c>
      <c r="CP132" s="294">
        <v>-10282</v>
      </c>
      <c r="CQ132" s="294">
        <v>-12178</v>
      </c>
      <c r="CR132" s="294">
        <v>0</v>
      </c>
      <c r="CS132" s="294">
        <v>0</v>
      </c>
      <c r="CT132" s="294">
        <v>0</v>
      </c>
      <c r="CU132" s="294">
        <v>0</v>
      </c>
      <c r="CV132" s="294">
        <v>0</v>
      </c>
      <c r="CW132" s="294">
        <v>0</v>
      </c>
      <c r="CX132" s="294"/>
      <c r="CY132" s="294">
        <v>-17884</v>
      </c>
      <c r="CZ132" s="294">
        <v>0</v>
      </c>
      <c r="DA132" s="294">
        <v>0</v>
      </c>
      <c r="DB132" s="294">
        <v>0</v>
      </c>
      <c r="DC132" s="294">
        <v>0</v>
      </c>
      <c r="DD132" s="294">
        <v>0</v>
      </c>
      <c r="DE132" s="294">
        <v>0</v>
      </c>
      <c r="DF132" s="294"/>
      <c r="DG132" s="294">
        <v>0</v>
      </c>
      <c r="DH132" s="294">
        <v>-38969</v>
      </c>
      <c r="DI132" s="294"/>
      <c r="DJ132" s="294">
        <v>0</v>
      </c>
      <c r="DK132" s="294">
        <v>0</v>
      </c>
      <c r="DL132" s="294">
        <v>0</v>
      </c>
      <c r="DM132" s="294">
        <v>-19688</v>
      </c>
      <c r="DN132" s="294">
        <v>0</v>
      </c>
      <c r="DO132" s="294">
        <v>-17848</v>
      </c>
      <c r="DP132" s="294">
        <v>0</v>
      </c>
      <c r="DQ132" s="294">
        <v>0</v>
      </c>
      <c r="DR132" s="294">
        <v>-13694</v>
      </c>
      <c r="DS132" s="294">
        <v>-32895</v>
      </c>
      <c r="DT132" s="294"/>
      <c r="DU132" s="294">
        <v>-24977</v>
      </c>
      <c r="DV132" s="294"/>
      <c r="DW132" s="294">
        <v>0</v>
      </c>
      <c r="DX132" s="294"/>
      <c r="DY132" s="294"/>
      <c r="DZ132" s="294">
        <v>-62586</v>
      </c>
      <c r="EA132" s="294">
        <v>0</v>
      </c>
      <c r="EB132" s="294">
        <v>0</v>
      </c>
      <c r="EC132" s="294"/>
      <c r="ED132" s="294">
        <v>0</v>
      </c>
      <c r="EE132" s="294">
        <v>-57234</v>
      </c>
      <c r="EF132" s="294">
        <v>0</v>
      </c>
      <c r="EG132" s="294">
        <v>0</v>
      </c>
      <c r="EH132" s="294">
        <v>0</v>
      </c>
      <c r="EI132" s="294">
        <v>-942.5</v>
      </c>
      <c r="EJ132" s="294">
        <v>0</v>
      </c>
      <c r="EK132" s="294">
        <v>0</v>
      </c>
      <c r="EL132" s="294">
        <v>0</v>
      </c>
      <c r="EM132" s="294">
        <v>0</v>
      </c>
      <c r="EN132" s="294">
        <v>0</v>
      </c>
      <c r="EO132" s="294">
        <v>0</v>
      </c>
      <c r="EP132" s="294"/>
      <c r="EQ132" s="294"/>
      <c r="ER132" s="294">
        <v>0</v>
      </c>
      <c r="ES132" s="294">
        <v>0</v>
      </c>
      <c r="ET132" s="294">
        <v>-23508</v>
      </c>
      <c r="EU132" s="294">
        <v>0</v>
      </c>
      <c r="EV132" s="294">
        <v>0</v>
      </c>
      <c r="EW132" s="294">
        <v>0</v>
      </c>
      <c r="EX132" s="294">
        <v>0</v>
      </c>
      <c r="EY132" s="294"/>
      <c r="EZ132" s="294"/>
      <c r="FA132" s="294">
        <v>0</v>
      </c>
      <c r="FB132" s="294"/>
      <c r="FC132" s="294">
        <v>0</v>
      </c>
      <c r="FD132" s="294">
        <v>0</v>
      </c>
      <c r="FE132" s="294"/>
      <c r="FF132" s="294"/>
      <c r="FG132" s="294">
        <v>0</v>
      </c>
      <c r="FH132" s="294">
        <v>0</v>
      </c>
      <c r="FI132" s="294">
        <v>-160207</v>
      </c>
      <c r="FJ132" s="294">
        <v>-13150</v>
      </c>
      <c r="FK132" s="294">
        <v>0</v>
      </c>
      <c r="FL132" s="294">
        <v>0</v>
      </c>
      <c r="FM132" s="294">
        <v>-71733</v>
      </c>
      <c r="FN132" s="294">
        <v>-30989</v>
      </c>
      <c r="FO132" s="294">
        <v>0</v>
      </c>
      <c r="FP132" s="294">
        <v>-4201</v>
      </c>
      <c r="FQ132" s="294"/>
      <c r="FR132" s="294">
        <v>-13722</v>
      </c>
      <c r="FS132" s="294">
        <v>-19623</v>
      </c>
      <c r="FT132" s="294">
        <v>-76590</v>
      </c>
      <c r="FU132" s="294">
        <v>-38349</v>
      </c>
      <c r="FV132" s="294">
        <v>-31344</v>
      </c>
      <c r="FW132" s="294">
        <v>0</v>
      </c>
      <c r="FX132" s="294">
        <v>0</v>
      </c>
      <c r="FY132" s="294">
        <v>-19529</v>
      </c>
      <c r="FZ132" s="294">
        <v>-18014</v>
      </c>
      <c r="GA132" s="294">
        <v>-34656</v>
      </c>
      <c r="GB132" s="294">
        <v>-21346</v>
      </c>
      <c r="GC132" s="294">
        <v>0</v>
      </c>
      <c r="GD132" s="294">
        <v>-11278</v>
      </c>
      <c r="GE132" s="294">
        <v>0</v>
      </c>
      <c r="GF132" s="294">
        <v>0</v>
      </c>
      <c r="GG132" s="294">
        <v>0</v>
      </c>
      <c r="GH132" s="294">
        <v>-30987</v>
      </c>
      <c r="GI132" s="294">
        <v>0</v>
      </c>
      <c r="GJ132" s="294">
        <v>-16132</v>
      </c>
      <c r="GK132" s="294"/>
      <c r="GL132" s="294"/>
      <c r="GM132" s="294">
        <v>-12407</v>
      </c>
      <c r="GN132" s="294">
        <v>-4934</v>
      </c>
      <c r="GO132" s="294">
        <v>0</v>
      </c>
      <c r="GP132" s="294">
        <v>-335</v>
      </c>
      <c r="GQ132" s="294">
        <v>0</v>
      </c>
      <c r="GR132" s="294">
        <v>0</v>
      </c>
      <c r="GS132" s="294">
        <v>0</v>
      </c>
      <c r="GT132" s="294">
        <v>0</v>
      </c>
      <c r="GU132" s="294">
        <v>0</v>
      </c>
      <c r="GV132" s="294">
        <v>0</v>
      </c>
      <c r="GW132" s="294">
        <v>0</v>
      </c>
      <c r="GX132" s="294">
        <v>0</v>
      </c>
      <c r="GY132" s="294"/>
      <c r="GZ132" s="294"/>
      <c r="HA132" s="294">
        <v>0</v>
      </c>
      <c r="HB132" s="294">
        <v>-15088</v>
      </c>
      <c r="HC132" s="294">
        <v>0</v>
      </c>
      <c r="HD132" s="294">
        <v>-101013</v>
      </c>
      <c r="HE132" s="294">
        <v>0</v>
      </c>
      <c r="HF132" s="294">
        <v>-1224</v>
      </c>
      <c r="HG132" s="294">
        <v>-31003.200000000001</v>
      </c>
      <c r="HH132" s="294">
        <v>-45422</v>
      </c>
      <c r="HI132" s="294">
        <v>-4291</v>
      </c>
      <c r="HJ132" s="294">
        <v>0</v>
      </c>
      <c r="HK132" s="294">
        <v>0</v>
      </c>
      <c r="HL132" s="294">
        <v>-26213</v>
      </c>
      <c r="HM132" s="294">
        <v>-20772</v>
      </c>
      <c r="HN132" s="294">
        <v>0</v>
      </c>
      <c r="HO132" s="294">
        <v>-433</v>
      </c>
      <c r="HP132" s="294">
        <v>-18804</v>
      </c>
      <c r="HQ132" s="294">
        <v>-17778</v>
      </c>
      <c r="HR132" s="294">
        <v>0</v>
      </c>
      <c r="HS132" s="294">
        <v>0</v>
      </c>
      <c r="HT132" s="294">
        <v>-4964</v>
      </c>
      <c r="HU132" s="294">
        <v>-3433</v>
      </c>
      <c r="HV132" s="294">
        <v>-10311</v>
      </c>
      <c r="HW132" s="294">
        <v>-31352</v>
      </c>
      <c r="HX132" s="294">
        <v>-50420</v>
      </c>
      <c r="HY132" s="294">
        <v>0</v>
      </c>
      <c r="HZ132" s="294">
        <v>-1022</v>
      </c>
      <c r="IA132" s="294">
        <v>0</v>
      </c>
      <c r="IB132" s="294">
        <v>0</v>
      </c>
      <c r="IC132" s="294">
        <v>-28972</v>
      </c>
      <c r="ID132" s="294">
        <v>-6505</v>
      </c>
      <c r="IE132" s="294">
        <v>-11308</v>
      </c>
      <c r="IF132" s="294">
        <v>0</v>
      </c>
      <c r="IG132" s="294">
        <v>-15097</v>
      </c>
      <c r="IH132" s="294"/>
      <c r="II132" s="294">
        <v>0</v>
      </c>
      <c r="IJ132" s="294">
        <v>-18256</v>
      </c>
      <c r="IK132" s="294"/>
      <c r="IL132" s="294">
        <v>0</v>
      </c>
      <c r="IM132" s="294"/>
      <c r="IN132" s="294">
        <v>0</v>
      </c>
      <c r="IO132" s="294"/>
      <c r="IP132" s="294">
        <v>-13608</v>
      </c>
      <c r="IQ132" s="294">
        <v>-11524</v>
      </c>
      <c r="IR132" s="294">
        <v>0</v>
      </c>
      <c r="IS132" s="294"/>
      <c r="IT132" s="294">
        <v>-774363</v>
      </c>
      <c r="IU132" s="294">
        <v>-22471</v>
      </c>
      <c r="IV132" s="294">
        <v>-17142</v>
      </c>
      <c r="IW132" s="294">
        <v>-16205</v>
      </c>
      <c r="IX132" s="294">
        <v>15344.8</v>
      </c>
      <c r="IY132" s="294">
        <v>-3637</v>
      </c>
      <c r="IZ132" s="294">
        <v>-9391</v>
      </c>
      <c r="JA132" s="294">
        <v>-10326</v>
      </c>
      <c r="JB132" s="294">
        <v>0</v>
      </c>
      <c r="JC132" s="294">
        <v>0</v>
      </c>
      <c r="JD132" s="294">
        <v>0</v>
      </c>
      <c r="JE132" s="294">
        <v>-60569</v>
      </c>
      <c r="JF132" s="294">
        <v>-45013</v>
      </c>
      <c r="JG132" s="294">
        <v>0</v>
      </c>
      <c r="JH132" s="294">
        <v>-3932</v>
      </c>
      <c r="JI132" s="294">
        <v>0</v>
      </c>
      <c r="JJ132" s="294">
        <v>0</v>
      </c>
      <c r="JK132" s="294">
        <v>0</v>
      </c>
      <c r="JL132" s="294">
        <v>0</v>
      </c>
      <c r="JM132" s="294">
        <v>-53993</v>
      </c>
      <c r="JN132" s="294"/>
      <c r="JO132" s="294">
        <v>-4440</v>
      </c>
      <c r="JP132" s="294"/>
      <c r="JQ132" s="294">
        <v>0</v>
      </c>
      <c r="JR132" s="294"/>
      <c r="JS132" s="294">
        <v>-89456</v>
      </c>
      <c r="JT132" s="294">
        <v>-11639</v>
      </c>
      <c r="JU132" s="294">
        <v>-29203</v>
      </c>
      <c r="JV132" s="294">
        <v>-28278</v>
      </c>
      <c r="JW132" s="294">
        <v>-8123</v>
      </c>
      <c r="JX132" s="294">
        <v>0</v>
      </c>
      <c r="JY132" s="294">
        <v>0</v>
      </c>
      <c r="JZ132" s="294">
        <v>0</v>
      </c>
      <c r="KA132" s="294">
        <v>0</v>
      </c>
      <c r="KB132" s="294">
        <v>0</v>
      </c>
      <c r="KC132" s="294">
        <v>0</v>
      </c>
      <c r="KD132" s="294">
        <v>-24009</v>
      </c>
      <c r="KE132" s="294">
        <v>0</v>
      </c>
      <c r="KF132" s="294"/>
      <c r="KG132" s="294">
        <v>-3101</v>
      </c>
      <c r="KH132" s="294"/>
      <c r="KI132" s="294">
        <v>-27866</v>
      </c>
      <c r="KJ132" s="294">
        <v>-12702.6</v>
      </c>
      <c r="KK132" s="294">
        <v>-61729</v>
      </c>
      <c r="KL132" s="294">
        <v>-26858</v>
      </c>
      <c r="KM132" s="294">
        <v>-8671</v>
      </c>
      <c r="KN132" s="294">
        <v>-40492</v>
      </c>
      <c r="KO132" s="294">
        <v>-12825</v>
      </c>
      <c r="KP132" s="294"/>
      <c r="KQ132" s="294">
        <v>0</v>
      </c>
      <c r="KR132" s="294">
        <v>0</v>
      </c>
      <c r="KS132" s="294">
        <v>0</v>
      </c>
      <c r="KT132" s="294">
        <v>0</v>
      </c>
      <c r="KU132" s="294"/>
      <c r="KV132" s="294">
        <v>0</v>
      </c>
      <c r="KW132" s="294">
        <v>0</v>
      </c>
      <c r="KX132" s="294">
        <v>0</v>
      </c>
      <c r="KY132" s="294">
        <v>0</v>
      </c>
      <c r="KZ132" s="294">
        <v>0</v>
      </c>
      <c r="LA132" s="294">
        <v>0</v>
      </c>
      <c r="LB132" s="294"/>
      <c r="LC132" s="294"/>
      <c r="LD132" s="294"/>
      <c r="LE132" s="294"/>
      <c r="LF132" s="294"/>
      <c r="LG132" s="294">
        <v>-287538</v>
      </c>
      <c r="LH132" s="294">
        <v>-186</v>
      </c>
      <c r="LI132" s="294">
        <v>0</v>
      </c>
      <c r="LJ132" s="294"/>
      <c r="LK132" s="294">
        <v>-32967</v>
      </c>
      <c r="LL132" s="294">
        <v>-18057</v>
      </c>
      <c r="LM132" s="294">
        <v>-1987</v>
      </c>
      <c r="LN132" s="294">
        <v>0</v>
      </c>
      <c r="LO132" s="294">
        <v>0</v>
      </c>
      <c r="LP132" s="294">
        <v>-22954</v>
      </c>
      <c r="LQ132" s="294">
        <v>0</v>
      </c>
      <c r="LR132" s="294">
        <v>-78375</v>
      </c>
      <c r="LS132" s="294"/>
      <c r="LT132" s="294">
        <v>-10619</v>
      </c>
      <c r="LU132" s="294">
        <v>0</v>
      </c>
      <c r="LV132" s="294">
        <v>-10603</v>
      </c>
      <c r="LW132" s="294"/>
      <c r="LX132" s="294">
        <v>-72751</v>
      </c>
      <c r="LY132" s="294">
        <v>-28728</v>
      </c>
      <c r="LZ132" s="294">
        <v>-29242.9</v>
      </c>
      <c r="MA132" s="294">
        <v>0</v>
      </c>
      <c r="MB132" s="294">
        <v>-21660</v>
      </c>
      <c r="MC132" s="294">
        <v>-33156</v>
      </c>
      <c r="MD132" s="294">
        <v>0</v>
      </c>
      <c r="ME132" s="294">
        <v>-59110</v>
      </c>
      <c r="MF132" s="294">
        <v>-18930</v>
      </c>
      <c r="MG132" s="294">
        <v>0</v>
      </c>
      <c r="MH132" s="294">
        <v>-42941</v>
      </c>
      <c r="MI132" s="294">
        <v>-9198</v>
      </c>
      <c r="MJ132" s="294">
        <v>-11140</v>
      </c>
      <c r="MK132" s="294">
        <v>0</v>
      </c>
      <c r="ML132" s="294">
        <v>0</v>
      </c>
      <c r="MM132" s="294">
        <v>-315</v>
      </c>
      <c r="MN132" s="294">
        <v>0</v>
      </c>
      <c r="MO132" s="294">
        <v>0</v>
      </c>
      <c r="MP132" s="294">
        <v>0</v>
      </c>
      <c r="MQ132" s="294"/>
      <c r="MR132" s="294">
        <v>-11106</v>
      </c>
      <c r="MS132" s="294"/>
      <c r="MT132" s="294">
        <v>0</v>
      </c>
      <c r="MU132" s="294">
        <v>-13942</v>
      </c>
      <c r="MV132" s="294"/>
      <c r="MW132" s="294">
        <v>0</v>
      </c>
      <c r="MX132" s="294">
        <v>-20836</v>
      </c>
      <c r="MY132" s="294">
        <v>0</v>
      </c>
      <c r="MZ132" s="294">
        <v>0</v>
      </c>
      <c r="NA132" s="294">
        <v>0</v>
      </c>
      <c r="NB132" s="294">
        <v>-964</v>
      </c>
      <c r="NC132" s="294">
        <v>0</v>
      </c>
      <c r="ND132" s="294">
        <v>-460159</v>
      </c>
      <c r="NE132" s="294">
        <v>0</v>
      </c>
      <c r="NF132" s="294">
        <v>0</v>
      </c>
      <c r="NG132" s="294"/>
      <c r="NH132" s="294">
        <v>-11151</v>
      </c>
      <c r="NI132" s="294">
        <v>-7918</v>
      </c>
      <c r="NJ132" s="294">
        <v>0</v>
      </c>
      <c r="NK132" s="294">
        <v>-60775</v>
      </c>
      <c r="NL132" s="294">
        <v>-4820</v>
      </c>
      <c r="NM132" s="294">
        <v>-15934</v>
      </c>
      <c r="NN132" s="294">
        <v>-14798</v>
      </c>
      <c r="NO132" s="294">
        <v>-4508</v>
      </c>
      <c r="NP132" s="294">
        <v>0</v>
      </c>
      <c r="NQ132" s="294"/>
      <c r="NR132" s="294">
        <v>0</v>
      </c>
      <c r="NS132" s="294">
        <v>0</v>
      </c>
      <c r="NT132" s="294">
        <v>-51646</v>
      </c>
      <c r="NU132" s="294"/>
      <c r="NV132" s="294">
        <v>0</v>
      </c>
      <c r="NW132" s="294"/>
      <c r="NX132" s="294"/>
      <c r="NY132" s="294">
        <v>0</v>
      </c>
      <c r="NZ132" s="294"/>
      <c r="OA132" s="294">
        <v>0</v>
      </c>
      <c r="OB132" s="294">
        <v>0</v>
      </c>
      <c r="OC132" s="294"/>
      <c r="OD132" s="294"/>
      <c r="OE132" s="294">
        <v>-46902</v>
      </c>
      <c r="OF132" s="294">
        <v>-19779</v>
      </c>
      <c r="OG132" s="294">
        <v>-61384</v>
      </c>
      <c r="OH132" s="294"/>
      <c r="OI132" s="294">
        <v>-44901.88</v>
      </c>
      <c r="OJ132" s="294">
        <v>-33750.5</v>
      </c>
      <c r="OK132" s="294">
        <v>-11248</v>
      </c>
      <c r="OL132" s="294"/>
      <c r="OM132" s="294">
        <v>0</v>
      </c>
      <c r="ON132" s="294">
        <v>-12493</v>
      </c>
      <c r="OO132" s="294">
        <v>-59816</v>
      </c>
      <c r="OP132" s="294">
        <v>0</v>
      </c>
      <c r="OQ132" s="294">
        <v>-26464</v>
      </c>
      <c r="OR132" s="294">
        <v>-14062</v>
      </c>
      <c r="OS132" s="294">
        <v>-1565</v>
      </c>
      <c r="OT132" s="294">
        <v>0</v>
      </c>
      <c r="OU132" s="294">
        <v>-17232</v>
      </c>
      <c r="OV132" s="294">
        <v>0</v>
      </c>
      <c r="OW132" s="294">
        <v>0</v>
      </c>
      <c r="OX132" s="294">
        <v>0</v>
      </c>
      <c r="OY132" s="294">
        <v>-16506</v>
      </c>
      <c r="OZ132" s="294">
        <v>0</v>
      </c>
      <c r="PA132" s="294">
        <v>-13709</v>
      </c>
      <c r="PB132" s="294">
        <v>0</v>
      </c>
      <c r="PC132" s="294">
        <v>-26286</v>
      </c>
      <c r="PD132" s="294">
        <v>-27615</v>
      </c>
      <c r="PE132" s="294">
        <v>-4928</v>
      </c>
      <c r="PF132" s="294">
        <v>0</v>
      </c>
      <c r="PG132" s="294">
        <v>-97591</v>
      </c>
      <c r="PH132" s="294">
        <v>-15307</v>
      </c>
      <c r="PI132" s="294">
        <v>-25837</v>
      </c>
      <c r="PJ132" s="294">
        <v>-22207.4</v>
      </c>
      <c r="PK132" s="294">
        <v>-18610</v>
      </c>
      <c r="PL132" s="294">
        <v>-33356</v>
      </c>
      <c r="PM132" s="294">
        <v>-70346</v>
      </c>
      <c r="PN132" s="294">
        <v>0</v>
      </c>
      <c r="PO132" s="294">
        <v>-71117</v>
      </c>
      <c r="PP132" s="294">
        <v>-12337</v>
      </c>
      <c r="PQ132" s="294">
        <v>-5253</v>
      </c>
      <c r="PR132" s="294">
        <v>-6870.3</v>
      </c>
      <c r="PS132" s="294">
        <v>-5697</v>
      </c>
      <c r="PT132" s="294">
        <v>0</v>
      </c>
      <c r="PU132" s="294">
        <v>0</v>
      </c>
      <c r="PV132" s="294">
        <v>-73665</v>
      </c>
      <c r="PW132" s="294"/>
      <c r="PX132" s="294">
        <v>-110183</v>
      </c>
      <c r="PY132" s="294">
        <v>0</v>
      </c>
      <c r="PZ132" s="294">
        <v>-26620.79</v>
      </c>
      <c r="QA132" s="294">
        <v>-19893</v>
      </c>
      <c r="QB132" s="294"/>
      <c r="QC132" s="294">
        <v>0</v>
      </c>
      <c r="QD132" s="294">
        <v>0</v>
      </c>
      <c r="QE132" s="294">
        <v>-20366</v>
      </c>
      <c r="QF132" s="294">
        <v>0</v>
      </c>
      <c r="QG132" s="294">
        <v>0</v>
      </c>
      <c r="QH132" s="294"/>
      <c r="QI132" s="294"/>
      <c r="QJ132" s="294"/>
      <c r="QK132" s="294"/>
      <c r="QL132" s="294">
        <v>0</v>
      </c>
      <c r="QM132" s="294"/>
      <c r="QN132" s="294">
        <v>0</v>
      </c>
      <c r="QO132" s="294">
        <v>-14853</v>
      </c>
      <c r="QP132" s="294"/>
      <c r="QQ132" s="294"/>
      <c r="QR132" s="294">
        <v>-4373</v>
      </c>
      <c r="QS132" s="294"/>
      <c r="QT132" s="294">
        <v>0</v>
      </c>
      <c r="QU132" s="294"/>
      <c r="QV132" s="294"/>
      <c r="QW132" s="294">
        <v>-19219</v>
      </c>
      <c r="QX132" s="294">
        <v>0</v>
      </c>
      <c r="QY132" s="294"/>
      <c r="QZ132" s="294">
        <v>0</v>
      </c>
      <c r="RA132" s="294"/>
      <c r="RB132" s="294">
        <v>-44770</v>
      </c>
      <c r="RC132" s="294">
        <v>0</v>
      </c>
      <c r="RD132" s="294">
        <v>0</v>
      </c>
      <c r="RE132" s="294"/>
      <c r="RF132" s="294">
        <v>0</v>
      </c>
      <c r="RG132" s="294"/>
      <c r="RH132" s="294">
        <v>0</v>
      </c>
      <c r="RI132" s="294">
        <v>-18550</v>
      </c>
      <c r="RJ132" s="294">
        <v>0</v>
      </c>
      <c r="RK132" s="294">
        <v>-91955.37</v>
      </c>
      <c r="RL132" s="294">
        <v>-26213</v>
      </c>
      <c r="RM132" s="294">
        <v>-34611</v>
      </c>
      <c r="RN132" s="294">
        <v>-14682.64</v>
      </c>
      <c r="RO132" s="294">
        <v>0</v>
      </c>
      <c r="RP132" s="294"/>
      <c r="RQ132" s="294"/>
      <c r="RR132" s="294">
        <v>0</v>
      </c>
      <c r="RS132" s="294">
        <v>0</v>
      </c>
      <c r="RT132" s="294">
        <v>-30511</v>
      </c>
      <c r="RU132" s="294"/>
      <c r="RV132" s="294">
        <v>0</v>
      </c>
      <c r="RW132" s="294">
        <v>0</v>
      </c>
      <c r="RX132" s="294">
        <v>-5748</v>
      </c>
      <c r="RY132" s="294">
        <v>-47993.04</v>
      </c>
      <c r="RZ132" s="294">
        <v>-11175</v>
      </c>
      <c r="SA132" s="294">
        <v>-136063</v>
      </c>
      <c r="SB132" s="294">
        <v>-40004</v>
      </c>
      <c r="SC132" s="294">
        <v>0</v>
      </c>
      <c r="SD132" s="294">
        <v>-12254</v>
      </c>
      <c r="SE132" s="294">
        <v>-12348</v>
      </c>
      <c r="SF132" s="294">
        <v>-21433</v>
      </c>
      <c r="SG132" s="294">
        <v>-14894</v>
      </c>
      <c r="SH132" s="294">
        <v>-83534</v>
      </c>
      <c r="SI132" s="294">
        <v>0</v>
      </c>
      <c r="SJ132" s="294">
        <v>-14720</v>
      </c>
      <c r="SK132" s="294">
        <v>-37263</v>
      </c>
      <c r="SL132" s="294">
        <v>-4735</v>
      </c>
      <c r="SM132" s="294">
        <v>0</v>
      </c>
      <c r="SN132" s="294">
        <v>-19131</v>
      </c>
      <c r="SO132" s="294">
        <v>-22516</v>
      </c>
      <c r="SP132" s="294">
        <v>-2261</v>
      </c>
      <c r="SQ132" s="294">
        <v>-18244</v>
      </c>
      <c r="SR132" s="294">
        <v>-14334</v>
      </c>
      <c r="SS132" s="294">
        <v>-14592</v>
      </c>
      <c r="ST132" s="294">
        <v>-17663</v>
      </c>
      <c r="SU132" s="294">
        <v>0</v>
      </c>
      <c r="SV132" s="294">
        <v>-24315</v>
      </c>
      <c r="SW132" s="294">
        <v>-36587</v>
      </c>
      <c r="SX132" s="294">
        <v>-14162</v>
      </c>
      <c r="SY132" s="294">
        <v>-8005</v>
      </c>
      <c r="SZ132" s="294">
        <v>0</v>
      </c>
      <c r="TA132" s="294">
        <v>0</v>
      </c>
      <c r="TB132" s="294">
        <v>-36302</v>
      </c>
      <c r="TC132" s="294">
        <v>0</v>
      </c>
      <c r="TD132" s="294">
        <v>-13583</v>
      </c>
      <c r="TE132" s="294">
        <v>-18794</v>
      </c>
      <c r="TF132" s="294">
        <v>-24357</v>
      </c>
      <c r="TG132" s="294">
        <v>-15095</v>
      </c>
      <c r="TH132" s="294">
        <v>0</v>
      </c>
      <c r="TI132" s="294"/>
      <c r="TJ132" s="294">
        <v>0</v>
      </c>
      <c r="TK132" s="294">
        <v>0</v>
      </c>
      <c r="TL132" s="294">
        <v>-67</v>
      </c>
      <c r="TM132" s="294">
        <v>-30943</v>
      </c>
      <c r="TN132" s="294">
        <v>-5990</v>
      </c>
      <c r="TO132" s="294">
        <v>0</v>
      </c>
      <c r="TP132" s="294">
        <v>-86512</v>
      </c>
      <c r="TQ132" s="294">
        <v>-23258</v>
      </c>
      <c r="TR132" s="294">
        <v>-49010</v>
      </c>
      <c r="TS132" s="294">
        <v>0</v>
      </c>
      <c r="TT132" s="294">
        <v>0</v>
      </c>
      <c r="TU132" s="294">
        <v>-10599</v>
      </c>
      <c r="TV132" s="294">
        <v>0</v>
      </c>
      <c r="TW132" s="294">
        <v>0</v>
      </c>
      <c r="TX132" s="294">
        <v>0</v>
      </c>
      <c r="TY132" s="294">
        <v>0</v>
      </c>
      <c r="TZ132" s="294"/>
      <c r="UA132" s="294">
        <v>-165</v>
      </c>
      <c r="UB132" s="294">
        <v>-26624</v>
      </c>
      <c r="UC132" s="294">
        <v>-25479</v>
      </c>
      <c r="UD132" s="294">
        <v>-14801</v>
      </c>
      <c r="UE132" s="294">
        <v>-177889</v>
      </c>
      <c r="UF132" s="294">
        <v>-13904</v>
      </c>
      <c r="UG132" s="294">
        <v>-10876</v>
      </c>
      <c r="UH132" s="294">
        <v>-11410</v>
      </c>
      <c r="UI132" s="294">
        <v>0</v>
      </c>
      <c r="UJ132" s="294">
        <v>0</v>
      </c>
      <c r="UK132" s="294">
        <v>-27523</v>
      </c>
      <c r="UL132" s="294">
        <v>-18583</v>
      </c>
      <c r="UM132" s="294">
        <v>-23215.200000000001</v>
      </c>
      <c r="UN132" s="294">
        <v>0</v>
      </c>
      <c r="UO132" s="294">
        <v>-37270.449999999997</v>
      </c>
      <c r="UP132" s="294"/>
      <c r="UQ132" s="294">
        <v>-24318</v>
      </c>
      <c r="UR132" s="294">
        <v>0</v>
      </c>
      <c r="US132" s="294">
        <v>-88770</v>
      </c>
      <c r="UT132" s="294">
        <v>0</v>
      </c>
      <c r="UU132" s="294">
        <v>-20360.759999999998</v>
      </c>
      <c r="UV132" s="294">
        <v>0</v>
      </c>
      <c r="UW132" s="294">
        <v>0</v>
      </c>
      <c r="UX132" s="294">
        <v>0</v>
      </c>
      <c r="UY132" s="294">
        <v>-5675</v>
      </c>
      <c r="UZ132" s="294">
        <v>0</v>
      </c>
      <c r="VA132" s="294">
        <v>-39045</v>
      </c>
      <c r="VB132" s="294">
        <v>-24126</v>
      </c>
      <c r="VC132" s="294">
        <v>-42969</v>
      </c>
      <c r="VD132" s="294">
        <v>-19273</v>
      </c>
      <c r="VE132" s="294">
        <v>-30036</v>
      </c>
      <c r="VF132" s="294">
        <v>-36</v>
      </c>
      <c r="VG132" s="294">
        <v>0</v>
      </c>
      <c r="VH132" s="294">
        <v>-59708</v>
      </c>
      <c r="VI132" s="294">
        <v>-13564</v>
      </c>
      <c r="VJ132" s="294">
        <v>0</v>
      </c>
      <c r="VK132" s="294">
        <v>-7377.5</v>
      </c>
      <c r="VL132" s="294">
        <v>0</v>
      </c>
      <c r="VM132" s="294"/>
      <c r="VN132" s="294">
        <v>-18929</v>
      </c>
      <c r="VO132" s="294">
        <v>-29868</v>
      </c>
      <c r="VP132" s="294">
        <v>-86376</v>
      </c>
      <c r="VQ132" s="294"/>
      <c r="VR132" s="294"/>
      <c r="VS132" s="294">
        <v>-28561.3</v>
      </c>
      <c r="VT132" s="294">
        <v>-15787</v>
      </c>
      <c r="VU132" s="294"/>
      <c r="VV132" s="294">
        <v>-17597</v>
      </c>
      <c r="VW132" s="294">
        <v>-13765.4</v>
      </c>
      <c r="VX132" s="294"/>
      <c r="VY132" s="294">
        <v>0</v>
      </c>
      <c r="VZ132" s="294">
        <v>-2836.8</v>
      </c>
      <c r="WA132" s="294">
        <v>0</v>
      </c>
      <c r="WB132" s="294">
        <v>-83422</v>
      </c>
      <c r="WC132" s="294">
        <v>-39598</v>
      </c>
      <c r="WD132" s="294">
        <v>-14045</v>
      </c>
      <c r="WE132" s="294">
        <v>-22604</v>
      </c>
      <c r="WF132" s="294">
        <v>-25844</v>
      </c>
      <c r="WG132" s="294">
        <v>-35071</v>
      </c>
      <c r="WH132" s="294">
        <v>-43578</v>
      </c>
      <c r="WI132" s="294">
        <v>-30855</v>
      </c>
      <c r="WJ132" s="294">
        <v>-32712</v>
      </c>
      <c r="WK132" s="294">
        <v>0</v>
      </c>
      <c r="WL132" s="294">
        <v>-112863</v>
      </c>
      <c r="WM132" s="294">
        <v>0</v>
      </c>
      <c r="WN132" s="294">
        <v>-4544</v>
      </c>
      <c r="WO132" s="294">
        <v>-69529</v>
      </c>
      <c r="WP132" s="294">
        <v>-30057</v>
      </c>
      <c r="WQ132" s="294">
        <v>-29538</v>
      </c>
      <c r="WR132" s="294">
        <v>-36228</v>
      </c>
      <c r="WS132" s="294">
        <v>-17429</v>
      </c>
      <c r="WT132" s="294">
        <v>-54332</v>
      </c>
      <c r="WU132" s="294">
        <v>0</v>
      </c>
      <c r="WV132" s="294">
        <v>-30893</v>
      </c>
      <c r="WW132" s="294">
        <v>0</v>
      </c>
      <c r="WX132" s="294">
        <v>-643</v>
      </c>
      <c r="WY132" s="294">
        <v>0</v>
      </c>
      <c r="WZ132" s="294">
        <v>0</v>
      </c>
      <c r="XA132" s="294">
        <v>-19165</v>
      </c>
      <c r="XB132" s="294">
        <v>-19572</v>
      </c>
      <c r="XC132" s="294">
        <v>0</v>
      </c>
      <c r="XD132" s="294">
        <v>-15048</v>
      </c>
      <c r="XE132" s="294">
        <v>-9481</v>
      </c>
      <c r="XF132" s="294">
        <v>0</v>
      </c>
      <c r="XG132" s="294">
        <v>0</v>
      </c>
      <c r="XH132" s="294"/>
      <c r="XI132" s="294">
        <v>-6514</v>
      </c>
      <c r="XJ132" s="294">
        <v>0</v>
      </c>
      <c r="XK132" s="294">
        <v>0</v>
      </c>
      <c r="XL132" s="294">
        <v>0</v>
      </c>
      <c r="XM132" s="294">
        <v>-27833</v>
      </c>
      <c r="XN132" s="294">
        <v>-43480</v>
      </c>
      <c r="XO132" s="294">
        <v>0</v>
      </c>
      <c r="XP132" s="294">
        <v>-24338</v>
      </c>
      <c r="XQ132" s="294">
        <v>0</v>
      </c>
      <c r="XR132" s="294"/>
      <c r="XS132" s="294"/>
      <c r="XT132" s="294">
        <v>-16231</v>
      </c>
      <c r="XU132" s="294">
        <v>-19642</v>
      </c>
      <c r="XV132" s="294">
        <v>-21829</v>
      </c>
      <c r="XW132" s="294"/>
      <c r="XX132" s="294">
        <v>0</v>
      </c>
      <c r="XY132" s="294">
        <v>-15763</v>
      </c>
      <c r="XZ132" s="294">
        <v>0</v>
      </c>
      <c r="YA132" s="294">
        <v>0</v>
      </c>
      <c r="YB132" s="294">
        <v>-300</v>
      </c>
      <c r="YC132" s="294"/>
      <c r="YD132" s="294">
        <v>0</v>
      </c>
      <c r="YE132" s="294">
        <v>-300604</v>
      </c>
      <c r="YF132" s="294">
        <v>-24874</v>
      </c>
      <c r="YG132" s="294">
        <v>-27754</v>
      </c>
      <c r="YH132" s="294">
        <v>0</v>
      </c>
      <c r="YI132" s="294">
        <v>0</v>
      </c>
      <c r="YJ132" s="294">
        <v>-5354</v>
      </c>
      <c r="YK132" s="294">
        <v>-25340</v>
      </c>
      <c r="YL132" s="294">
        <v>-18498</v>
      </c>
      <c r="YM132" s="294">
        <v>-90281</v>
      </c>
      <c r="YN132" s="294">
        <v>0</v>
      </c>
      <c r="YO132" s="294">
        <v>-16556</v>
      </c>
      <c r="YP132" s="294">
        <v>-21012</v>
      </c>
      <c r="YQ132" s="294">
        <v>0</v>
      </c>
      <c r="YR132" s="294">
        <v>0</v>
      </c>
      <c r="YS132" s="294">
        <v>0</v>
      </c>
      <c r="YT132" s="294">
        <v>-14085</v>
      </c>
      <c r="YU132" s="294">
        <v>0</v>
      </c>
      <c r="YV132" s="294">
        <v>-7767</v>
      </c>
      <c r="YW132" s="294">
        <v>0</v>
      </c>
      <c r="YX132" s="294"/>
      <c r="YY132" s="294">
        <v>0</v>
      </c>
      <c r="YZ132" s="294">
        <v>0</v>
      </c>
      <c r="ZA132" s="294"/>
      <c r="ZB132" s="294">
        <v>-9133</v>
      </c>
      <c r="ZC132" s="294">
        <v>0</v>
      </c>
      <c r="ZD132" s="294">
        <v>-10160</v>
      </c>
      <c r="ZE132" s="294">
        <v>-44360</v>
      </c>
      <c r="ZF132" s="294">
        <v>0</v>
      </c>
      <c r="ZG132" s="294">
        <v>-12809</v>
      </c>
      <c r="ZH132" s="294">
        <v>-10970</v>
      </c>
      <c r="ZI132" s="294">
        <v>0</v>
      </c>
      <c r="ZJ132" s="294">
        <v>-8303</v>
      </c>
      <c r="ZK132" s="294">
        <v>0</v>
      </c>
      <c r="ZL132" s="294">
        <v>0</v>
      </c>
      <c r="ZM132" s="294">
        <v>-15084</v>
      </c>
      <c r="ZN132" s="294">
        <v>-24239</v>
      </c>
      <c r="ZO132" s="294">
        <v>-76563</v>
      </c>
      <c r="ZP132" s="294">
        <v>-37743</v>
      </c>
      <c r="ZQ132" s="294"/>
      <c r="ZR132" s="294">
        <v>-44362</v>
      </c>
      <c r="ZS132" s="294"/>
      <c r="ZT132" s="294">
        <v>-33574</v>
      </c>
      <c r="ZU132" s="294">
        <v>-54542</v>
      </c>
      <c r="ZV132" s="294">
        <v>-6711.85</v>
      </c>
      <c r="ZW132" s="294">
        <v>0</v>
      </c>
      <c r="ZX132" s="294">
        <v>-11970</v>
      </c>
      <c r="ZY132" s="294">
        <v>-15939</v>
      </c>
      <c r="ZZ132" s="294">
        <v>-16064.2</v>
      </c>
      <c r="AAA132" s="294">
        <v>-19995</v>
      </c>
      <c r="AAB132" s="294">
        <v>-14580</v>
      </c>
      <c r="AAC132" s="294">
        <v>0</v>
      </c>
      <c r="AAD132" s="294">
        <v>0</v>
      </c>
      <c r="AAE132" s="294">
        <v>-8192</v>
      </c>
      <c r="AAF132" s="294">
        <v>-23001</v>
      </c>
      <c r="AAG132" s="294">
        <v>-350</v>
      </c>
      <c r="AAH132" s="294"/>
      <c r="AAI132" s="294">
        <v>-1232</v>
      </c>
      <c r="AAJ132" s="294"/>
      <c r="AAK132" s="294">
        <v>0</v>
      </c>
      <c r="AAL132" s="294">
        <v>0</v>
      </c>
      <c r="AAM132" s="294">
        <v>-25195</v>
      </c>
      <c r="AAN132" s="294">
        <v>-15275</v>
      </c>
      <c r="AAO132" s="294">
        <v>-395084</v>
      </c>
      <c r="AAP132" s="294">
        <v>0</v>
      </c>
      <c r="AAQ132" s="294">
        <v>0</v>
      </c>
      <c r="AAR132" s="294">
        <v>-41049</v>
      </c>
      <c r="AAS132" s="294">
        <v>-30520</v>
      </c>
      <c r="AAT132" s="294">
        <v>-18536</v>
      </c>
      <c r="AAU132" s="294">
        <v>0</v>
      </c>
      <c r="AAV132" s="294">
        <v>0</v>
      </c>
      <c r="AAW132" s="294">
        <v>0</v>
      </c>
      <c r="AAX132" s="294">
        <v>-14446</v>
      </c>
      <c r="AAY132" s="294">
        <v>-27032</v>
      </c>
      <c r="AAZ132" s="294">
        <v>-90401</v>
      </c>
      <c r="ABA132" s="294">
        <v>0</v>
      </c>
      <c r="ABB132" s="294">
        <v>-14900</v>
      </c>
      <c r="ABC132" s="294">
        <v>0</v>
      </c>
      <c r="ABD132" s="294">
        <v>0</v>
      </c>
      <c r="ABE132" s="294">
        <v>-22487.599999999999</v>
      </c>
      <c r="ABF132" s="294">
        <v>-21997</v>
      </c>
      <c r="ABG132" s="294">
        <v>-18019</v>
      </c>
      <c r="ABH132" s="294">
        <v>0</v>
      </c>
      <c r="ABI132" s="294">
        <v>-5902</v>
      </c>
      <c r="ABJ132" s="294">
        <v>0</v>
      </c>
      <c r="ABK132" s="294">
        <v>-11045</v>
      </c>
      <c r="ABL132" s="294">
        <v>-10102</v>
      </c>
      <c r="ABM132" s="294">
        <v>0</v>
      </c>
      <c r="ABN132" s="294"/>
      <c r="ABO132" s="294">
        <v>0</v>
      </c>
      <c r="ABP132" s="294">
        <v>0</v>
      </c>
      <c r="ABQ132" s="294"/>
      <c r="ABR132" s="294">
        <v>-27986</v>
      </c>
      <c r="ABS132" s="294">
        <v>-20717</v>
      </c>
      <c r="ABT132" s="294">
        <v>0</v>
      </c>
      <c r="ABU132" s="294">
        <v>0</v>
      </c>
      <c r="ABV132" s="294">
        <v>-15235</v>
      </c>
      <c r="ABW132" s="294">
        <v>0</v>
      </c>
      <c r="ABX132" s="294">
        <v>-25195</v>
      </c>
      <c r="ABY132" s="294">
        <v>8520</v>
      </c>
      <c r="ABZ132" s="294"/>
      <c r="ACA132" s="294">
        <v>-16916</v>
      </c>
      <c r="ACB132" s="294">
        <v>0</v>
      </c>
      <c r="ACC132" s="294">
        <v>0</v>
      </c>
      <c r="ACD132" s="294">
        <v>-2</v>
      </c>
      <c r="ACE132" s="294">
        <v>0</v>
      </c>
      <c r="ACF132" s="294">
        <v>-10989</v>
      </c>
      <c r="ACG132" s="294">
        <v>-600</v>
      </c>
      <c r="ACH132" s="294">
        <v>-35213</v>
      </c>
      <c r="ACI132" s="294">
        <v>-226957</v>
      </c>
      <c r="ACJ132" s="294">
        <v>-6578</v>
      </c>
      <c r="ACK132" s="294">
        <v>0</v>
      </c>
      <c r="ACL132" s="294">
        <v>0</v>
      </c>
      <c r="ACM132" s="294">
        <v>-41213</v>
      </c>
      <c r="ACN132" s="294">
        <v>-15677</v>
      </c>
      <c r="ACO132" s="294"/>
      <c r="ACP132" s="294">
        <v>-43</v>
      </c>
      <c r="ACQ132" s="294">
        <v>0</v>
      </c>
      <c r="ACR132" s="294">
        <v>-10357</v>
      </c>
      <c r="ACS132" s="294">
        <v>0</v>
      </c>
      <c r="ACT132" s="294">
        <v>0</v>
      </c>
      <c r="ACU132" s="294">
        <v>-10639</v>
      </c>
      <c r="ACV132" s="294">
        <v>-103201</v>
      </c>
      <c r="ACW132" s="294">
        <v>0</v>
      </c>
      <c r="ACX132" s="294">
        <v>-42452</v>
      </c>
      <c r="ACY132" s="294"/>
      <c r="ACZ132" s="294">
        <v>-45569</v>
      </c>
      <c r="ADA132" s="294">
        <v>0</v>
      </c>
      <c r="ADB132" s="294">
        <v>0</v>
      </c>
      <c r="ADC132" s="294">
        <v>0</v>
      </c>
      <c r="ADD132" s="294">
        <v>-7955</v>
      </c>
      <c r="ADE132" s="294">
        <v>-8558</v>
      </c>
      <c r="ADF132" s="294">
        <v>0</v>
      </c>
      <c r="ADG132" s="294">
        <v>0</v>
      </c>
      <c r="ADH132" s="294">
        <v>0</v>
      </c>
      <c r="ADI132" s="294"/>
      <c r="ADJ132" s="294">
        <v>-56833.07</v>
      </c>
      <c r="ADK132" s="294">
        <v>0</v>
      </c>
      <c r="ADL132" s="294"/>
      <c r="ADM132" s="294">
        <v>0</v>
      </c>
      <c r="ADN132" s="294">
        <v>0</v>
      </c>
      <c r="ADO132" s="294"/>
      <c r="ADP132" s="294">
        <v>0</v>
      </c>
      <c r="ADQ132" s="294">
        <v>0</v>
      </c>
      <c r="ADR132" s="294">
        <v>-54826</v>
      </c>
      <c r="ADS132" s="294">
        <v>0</v>
      </c>
      <c r="ADT132" s="294">
        <v>0</v>
      </c>
      <c r="ADU132" s="294"/>
      <c r="ADV132" s="294">
        <v>0</v>
      </c>
      <c r="ADW132" s="294">
        <v>-8848</v>
      </c>
      <c r="ADX132" s="294">
        <v>-9790.5</v>
      </c>
      <c r="ADY132" s="294">
        <v>-329650.49</v>
      </c>
      <c r="ADZ132" s="294">
        <v>-95200</v>
      </c>
      <c r="AEA132" s="294">
        <v>-34200</v>
      </c>
      <c r="AEB132" s="294"/>
      <c r="AEC132" s="294">
        <v>-18836</v>
      </c>
      <c r="AED132" s="294">
        <v>-21551</v>
      </c>
      <c r="AEE132" s="294">
        <v>-19684</v>
      </c>
      <c r="AEF132" s="294">
        <v>-24989</v>
      </c>
      <c r="AEG132" s="294">
        <v>0</v>
      </c>
      <c r="AEH132" s="294">
        <v>-17145</v>
      </c>
      <c r="AEI132" s="294"/>
      <c r="AEJ132" s="294"/>
      <c r="AEK132" s="294">
        <v>-14021</v>
      </c>
      <c r="AEL132" s="294">
        <v>0</v>
      </c>
      <c r="AEM132" s="294">
        <v>0</v>
      </c>
      <c r="AEN132" s="294">
        <v>0</v>
      </c>
      <c r="AEO132" s="294">
        <v>-24062</v>
      </c>
      <c r="AEP132" s="294">
        <v>0</v>
      </c>
      <c r="AEQ132" s="294">
        <v>0</v>
      </c>
      <c r="AER132" s="294">
        <v>-25267</v>
      </c>
      <c r="AES132" s="294">
        <v>0</v>
      </c>
      <c r="AET132" s="294">
        <v>0</v>
      </c>
      <c r="AEU132" s="294">
        <v>0</v>
      </c>
      <c r="AEV132" s="294"/>
      <c r="AEW132" s="294">
        <v>-7859</v>
      </c>
      <c r="AEX132" s="294">
        <v>46703</v>
      </c>
      <c r="AEY132" s="294">
        <v>0</v>
      </c>
      <c r="AEZ132" s="294">
        <v>-13552</v>
      </c>
      <c r="AFA132" s="294">
        <v>0</v>
      </c>
      <c r="AFB132" s="294">
        <v>0</v>
      </c>
      <c r="AFC132" s="294">
        <v>-74100</v>
      </c>
      <c r="AFD132" s="294"/>
      <c r="AFE132" s="294">
        <v>-12999</v>
      </c>
      <c r="AFF132" s="294">
        <v>0</v>
      </c>
      <c r="AFG132" s="294">
        <v>-22557</v>
      </c>
      <c r="AFH132" s="294">
        <v>0</v>
      </c>
      <c r="AFI132" s="294">
        <v>-11040</v>
      </c>
      <c r="AFJ132" s="294">
        <v>0</v>
      </c>
      <c r="AFK132" s="294">
        <v>38787</v>
      </c>
      <c r="AFL132" s="294">
        <v>-9457</v>
      </c>
      <c r="AFM132" s="294">
        <v>-12233</v>
      </c>
      <c r="AFN132" s="294">
        <v>-10765</v>
      </c>
      <c r="AFO132" s="294">
        <v>-10125</v>
      </c>
      <c r="AFP132" s="294">
        <v>-99111</v>
      </c>
      <c r="AFQ132" s="294">
        <v>0</v>
      </c>
      <c r="AFR132" s="294">
        <v>0</v>
      </c>
      <c r="AFS132" s="294">
        <v>0</v>
      </c>
      <c r="AFT132" s="294">
        <v>0</v>
      </c>
      <c r="AFU132" s="294">
        <v>-11644</v>
      </c>
      <c r="AFV132" s="294">
        <v>-6324</v>
      </c>
      <c r="AFW132" s="294">
        <v>-15424</v>
      </c>
      <c r="AFX132" s="294">
        <v>0</v>
      </c>
      <c r="AFY132" s="294">
        <v>-8930</v>
      </c>
      <c r="AFZ132" s="294">
        <v>0</v>
      </c>
      <c r="AGA132" s="294">
        <v>-13143</v>
      </c>
      <c r="AGB132" s="294"/>
      <c r="AGC132" s="294">
        <v>-16055</v>
      </c>
      <c r="AGD132" s="294">
        <v>-17817</v>
      </c>
      <c r="AGE132" s="294">
        <v>-16023</v>
      </c>
      <c r="AGF132" s="294">
        <v>0</v>
      </c>
      <c r="AGG132" s="294">
        <v>-16888</v>
      </c>
      <c r="AGH132" s="294">
        <v>0</v>
      </c>
      <c r="AGI132" s="294">
        <v>-14722</v>
      </c>
      <c r="AGJ132" s="294">
        <v>0</v>
      </c>
      <c r="AGK132" s="294">
        <v>0</v>
      </c>
      <c r="AGL132" s="294">
        <v>0</v>
      </c>
      <c r="AGM132" s="294">
        <v>0</v>
      </c>
      <c r="AGN132" s="294"/>
      <c r="AGO132" s="294">
        <v>0</v>
      </c>
      <c r="AGP132" s="294">
        <v>0</v>
      </c>
      <c r="AGQ132" s="294">
        <v>0</v>
      </c>
      <c r="AGR132" s="294">
        <v>0</v>
      </c>
      <c r="AGS132" s="294">
        <v>0</v>
      </c>
      <c r="AGT132" s="294">
        <v>0</v>
      </c>
      <c r="AGU132" s="294">
        <v>0</v>
      </c>
      <c r="AGV132" s="294">
        <v>-202</v>
      </c>
      <c r="AGW132" s="294">
        <v>0</v>
      </c>
      <c r="AGX132" s="294">
        <v>0</v>
      </c>
      <c r="AGY132" s="294">
        <v>-33072</v>
      </c>
      <c r="AGZ132" s="294">
        <v>0</v>
      </c>
      <c r="AHA132" s="294">
        <v>0</v>
      </c>
      <c r="AHB132" s="294">
        <v>0</v>
      </c>
      <c r="AHC132" s="294">
        <v>0</v>
      </c>
      <c r="AHD132" s="294">
        <v>0</v>
      </c>
      <c r="AHE132" s="294">
        <v>0</v>
      </c>
      <c r="AHF132" s="294">
        <v>-13744</v>
      </c>
      <c r="AHG132" s="294">
        <v>-15767</v>
      </c>
      <c r="AHH132" s="294">
        <v>-12980</v>
      </c>
      <c r="AHI132" s="294">
        <v>-12265</v>
      </c>
      <c r="AHJ132" s="294"/>
      <c r="AHK132" s="294">
        <v>0</v>
      </c>
      <c r="AHL132" s="294">
        <v>0</v>
      </c>
      <c r="AHM132" s="294">
        <v>0</v>
      </c>
      <c r="AHN132" s="294">
        <v>0</v>
      </c>
      <c r="AHO132" s="294">
        <v>-16009.1</v>
      </c>
      <c r="AHP132" s="294">
        <v>-30228</v>
      </c>
      <c r="AHQ132" s="294">
        <v>-6381</v>
      </c>
      <c r="AHR132" s="331">
        <v>-4025</v>
      </c>
      <c r="AHS132" s="294">
        <f t="shared" ref="AHS132:AHS141" si="55">SUM(D132:AHR132)</f>
        <v>-13519258.190000001</v>
      </c>
      <c r="AHT132" s="269" t="b">
        <f t="shared" si="54"/>
        <v>1</v>
      </c>
      <c r="AHU132" s="269" t="s">
        <v>6278</v>
      </c>
      <c r="AHV132" s="269" t="s">
        <v>6206</v>
      </c>
      <c r="AHW132" s="269" t="s">
        <v>6207</v>
      </c>
    </row>
    <row r="133" spans="1:907" ht="24.6" x14ac:dyDescent="0.7">
      <c r="A133" s="268" t="s">
        <v>6280</v>
      </c>
      <c r="B133" s="268" t="s">
        <v>6208</v>
      </c>
      <c r="C133" s="269" t="s">
        <v>6209</v>
      </c>
      <c r="D133" s="294"/>
      <c r="E133" s="294"/>
      <c r="F133" s="294">
        <v>0</v>
      </c>
      <c r="G133" s="294"/>
      <c r="H133" s="294"/>
      <c r="I133" s="294">
        <v>0</v>
      </c>
      <c r="J133" s="294">
        <v>0</v>
      </c>
      <c r="K133" s="294">
        <v>-3700003.23</v>
      </c>
      <c r="L133" s="294"/>
      <c r="M133" s="294"/>
      <c r="N133" s="294"/>
      <c r="O133" s="294">
        <v>0</v>
      </c>
      <c r="P133" s="294">
        <v>-9701888.6500000004</v>
      </c>
      <c r="Q133" s="294"/>
      <c r="R133" s="294">
        <v>0</v>
      </c>
      <c r="S133" s="294"/>
      <c r="T133" s="294"/>
      <c r="U133" s="294"/>
      <c r="V133" s="294">
        <v>-252040.23</v>
      </c>
      <c r="W133" s="294"/>
      <c r="X133" s="294">
        <v>-1283469.5</v>
      </c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>
        <v>0</v>
      </c>
      <c r="AM133" s="294"/>
      <c r="AN133" s="294"/>
      <c r="AO133" s="294"/>
      <c r="AP133" s="294"/>
      <c r="AQ133" s="294"/>
      <c r="AR133" s="294"/>
      <c r="AS133" s="294"/>
      <c r="AT133" s="294">
        <v>-663852.97</v>
      </c>
      <c r="AU133" s="294"/>
      <c r="AV133" s="294"/>
      <c r="AW133" s="294"/>
      <c r="AX133" s="294">
        <v>-34040</v>
      </c>
      <c r="AY133" s="294"/>
      <c r="AZ133" s="294">
        <v>-78111</v>
      </c>
      <c r="BA133" s="294"/>
      <c r="BB133" s="294"/>
      <c r="BC133" s="294"/>
      <c r="BD133" s="294">
        <v>-144690</v>
      </c>
      <c r="BE133" s="294">
        <v>-338265.01</v>
      </c>
      <c r="BF133" s="294"/>
      <c r="BG133" s="294"/>
      <c r="BH133" s="294">
        <v>-1843000</v>
      </c>
      <c r="BI133" s="294">
        <v>-1101679.75</v>
      </c>
      <c r="BJ133" s="294"/>
      <c r="BK133" s="294">
        <v>-1584370.76</v>
      </c>
      <c r="BL133" s="294"/>
      <c r="BM133" s="294"/>
      <c r="BN133" s="294"/>
      <c r="BO133" s="294">
        <v>-589159.76</v>
      </c>
      <c r="BP133" s="294">
        <v>0</v>
      </c>
      <c r="BQ133" s="294">
        <v>-778586.58</v>
      </c>
      <c r="BR133" s="294">
        <v>-309863.87</v>
      </c>
      <c r="BS133" s="294">
        <v>0</v>
      </c>
      <c r="BT133" s="294">
        <v>-25434</v>
      </c>
      <c r="BU133" s="294">
        <v>-981748</v>
      </c>
      <c r="BV133" s="294"/>
      <c r="BW133" s="294">
        <v>0</v>
      </c>
      <c r="BX133" s="294">
        <v>-473647.2</v>
      </c>
      <c r="BY133" s="294">
        <v>-899045</v>
      </c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294">
        <v>0</v>
      </c>
      <c r="CO133" s="294"/>
      <c r="CP133" s="294"/>
      <c r="CQ133" s="294"/>
      <c r="CR133" s="294"/>
      <c r="CS133" s="294"/>
      <c r="CT133" s="294">
        <v>-13681700</v>
      </c>
      <c r="CU133" s="294"/>
      <c r="CV133" s="294"/>
      <c r="CW133" s="294"/>
      <c r="CX133" s="294"/>
      <c r="CY133" s="294">
        <v>0</v>
      </c>
      <c r="CZ133" s="294">
        <v>0</v>
      </c>
      <c r="DA133" s="294"/>
      <c r="DB133" s="294">
        <v>-422364.3</v>
      </c>
      <c r="DC133" s="294"/>
      <c r="DD133" s="294"/>
      <c r="DE133" s="294"/>
      <c r="DF133" s="294"/>
      <c r="DG133" s="294"/>
      <c r="DH133" s="294"/>
      <c r="DI133" s="294"/>
      <c r="DJ133" s="294">
        <v>-49443</v>
      </c>
      <c r="DK133" s="294">
        <v>-22640446.920000002</v>
      </c>
      <c r="DL133" s="294"/>
      <c r="DM133" s="294">
        <v>-291017.81</v>
      </c>
      <c r="DN133" s="294">
        <v>-2478</v>
      </c>
      <c r="DO133" s="294"/>
      <c r="DP133" s="294">
        <v>-240030.46</v>
      </c>
      <c r="DQ133" s="294">
        <v>-571569.44999999995</v>
      </c>
      <c r="DR133" s="294"/>
      <c r="DS133" s="294"/>
      <c r="DT133" s="294"/>
      <c r="DU133" s="294"/>
      <c r="DV133" s="294">
        <v>-2276640.7799999998</v>
      </c>
      <c r="DW133" s="294"/>
      <c r="DX133" s="294"/>
      <c r="DY133" s="294"/>
      <c r="DZ133" s="294"/>
      <c r="EA133" s="294"/>
      <c r="EB133" s="294">
        <v>0</v>
      </c>
      <c r="EC133" s="294"/>
      <c r="ED133" s="294"/>
      <c r="EE133" s="294"/>
      <c r="EF133" s="294"/>
      <c r="EG133" s="294">
        <v>-100000</v>
      </c>
      <c r="EH133" s="294"/>
      <c r="EI133" s="294">
        <v>-32501</v>
      </c>
      <c r="EJ133" s="294"/>
      <c r="EK133" s="294"/>
      <c r="EL133" s="294">
        <v>-298025.11</v>
      </c>
      <c r="EM133" s="294"/>
      <c r="EN133" s="294">
        <v>-2016368.15</v>
      </c>
      <c r="EO133" s="294"/>
      <c r="EP133" s="294">
        <v>0</v>
      </c>
      <c r="EQ133" s="294"/>
      <c r="ER133" s="294"/>
      <c r="ES133" s="294">
        <v>-489570.62</v>
      </c>
      <c r="ET133" s="294">
        <v>-782006.47</v>
      </c>
      <c r="EU133" s="294"/>
      <c r="EV133" s="294"/>
      <c r="EW133" s="294">
        <v>0</v>
      </c>
      <c r="EX133" s="294"/>
      <c r="EY133" s="294">
        <v>0</v>
      </c>
      <c r="EZ133" s="294"/>
      <c r="FA133" s="294"/>
      <c r="FB133" s="294"/>
      <c r="FC133" s="294">
        <v>0</v>
      </c>
      <c r="FD133" s="294"/>
      <c r="FE133" s="294">
        <v>0</v>
      </c>
      <c r="FF133" s="294">
        <v>-1365644.48</v>
      </c>
      <c r="FG133" s="294"/>
      <c r="FH133" s="294">
        <v>0</v>
      </c>
      <c r="FI133" s="294">
        <v>0</v>
      </c>
      <c r="FJ133" s="294"/>
      <c r="FK133" s="294"/>
      <c r="FL133" s="294"/>
      <c r="FM133" s="294"/>
      <c r="FN133" s="294"/>
      <c r="FO133" s="294">
        <v>-187197.54</v>
      </c>
      <c r="FP133" s="294"/>
      <c r="FQ133" s="294">
        <v>-43819469.950000003</v>
      </c>
      <c r="FR133" s="294"/>
      <c r="FS133" s="294"/>
      <c r="FT133" s="294"/>
      <c r="FU133" s="294">
        <v>-409551.62</v>
      </c>
      <c r="FV133" s="294"/>
      <c r="FW133" s="294"/>
      <c r="FX133" s="294"/>
      <c r="FY133" s="294"/>
      <c r="FZ133" s="294"/>
      <c r="GA133" s="294">
        <v>-1094847.7</v>
      </c>
      <c r="GB133" s="294"/>
      <c r="GC133" s="294"/>
      <c r="GD133" s="294"/>
      <c r="GE133" s="294">
        <v>0</v>
      </c>
      <c r="GF133" s="294"/>
      <c r="GG133" s="294"/>
      <c r="GH133" s="294">
        <v>-881893.87</v>
      </c>
      <c r="GI133" s="294">
        <v>-2199328.61</v>
      </c>
      <c r="GJ133" s="294">
        <v>-5277145.0199999996</v>
      </c>
      <c r="GK133" s="294"/>
      <c r="GL133" s="294">
        <v>-1000000</v>
      </c>
      <c r="GM133" s="294"/>
      <c r="GN133" s="294"/>
      <c r="GO133" s="294"/>
      <c r="GP133" s="294">
        <v>-279343.90999999997</v>
      </c>
      <c r="GQ133" s="294">
        <v>-421426.67</v>
      </c>
      <c r="GR133" s="294"/>
      <c r="GS133" s="294"/>
      <c r="GT133" s="294"/>
      <c r="GU133" s="294"/>
      <c r="GV133" s="294"/>
      <c r="GW133" s="294"/>
      <c r="GX133" s="294"/>
      <c r="GY133" s="294"/>
      <c r="GZ133" s="294"/>
      <c r="HA133" s="294"/>
      <c r="HB133" s="294"/>
      <c r="HC133" s="294">
        <v>0</v>
      </c>
      <c r="HD133" s="294">
        <v>-357422.68</v>
      </c>
      <c r="HE133" s="294">
        <v>-17373460.949999999</v>
      </c>
      <c r="HF133" s="294">
        <v>-1684211.67</v>
      </c>
      <c r="HG133" s="294">
        <v>-2017845.03</v>
      </c>
      <c r="HH133" s="294"/>
      <c r="HI133" s="294">
        <v>-1988112.67</v>
      </c>
      <c r="HJ133" s="294">
        <v>-46767193.82</v>
      </c>
      <c r="HK133" s="294"/>
      <c r="HL133" s="294">
        <v>0</v>
      </c>
      <c r="HM133" s="294">
        <v>-579830.04</v>
      </c>
      <c r="HN133" s="294">
        <v>-1712809.13</v>
      </c>
      <c r="HO133" s="294">
        <v>-387832.4</v>
      </c>
      <c r="HP133" s="294">
        <v>-2519354.1800000002</v>
      </c>
      <c r="HQ133" s="294">
        <v>0</v>
      </c>
      <c r="HR133" s="294">
        <v>-24342474.870000001</v>
      </c>
      <c r="HS133" s="294"/>
      <c r="HT133" s="294"/>
      <c r="HU133" s="294"/>
      <c r="HV133" s="294">
        <v>-30622.5</v>
      </c>
      <c r="HW133" s="294"/>
      <c r="HX133" s="294">
        <v>-62958.16</v>
      </c>
      <c r="HY133" s="294">
        <v>0</v>
      </c>
      <c r="HZ133" s="294"/>
      <c r="IA133" s="294"/>
      <c r="IB133" s="294"/>
      <c r="IC133" s="294">
        <v>-267000</v>
      </c>
      <c r="ID133" s="294">
        <v>0</v>
      </c>
      <c r="IE133" s="294"/>
      <c r="IF133" s="294"/>
      <c r="IG133" s="294"/>
      <c r="IH133" s="294">
        <v>-49110357.770000003</v>
      </c>
      <c r="II133" s="294">
        <v>0</v>
      </c>
      <c r="IJ133" s="294">
        <v>-1021861.62</v>
      </c>
      <c r="IK133" s="294">
        <v>-3147573.52</v>
      </c>
      <c r="IL133" s="294">
        <v>-678496.68</v>
      </c>
      <c r="IM133" s="294">
        <v>-3231953.67</v>
      </c>
      <c r="IN133" s="294">
        <v>0</v>
      </c>
      <c r="IO133" s="294"/>
      <c r="IP133" s="294">
        <v>-540990.91</v>
      </c>
      <c r="IQ133" s="294"/>
      <c r="IR133" s="294">
        <v>-816803.36</v>
      </c>
      <c r="IS133" s="294">
        <v>-4625359.87</v>
      </c>
      <c r="IT133" s="294">
        <v>-1913560.59</v>
      </c>
      <c r="IU133" s="294"/>
      <c r="IV133" s="294"/>
      <c r="IW133" s="294"/>
      <c r="IX133" s="294">
        <v>-779014.25</v>
      </c>
      <c r="IY133" s="294"/>
      <c r="IZ133" s="294"/>
      <c r="JA133" s="294">
        <v>-270799.56</v>
      </c>
      <c r="JB133" s="294"/>
      <c r="JC133" s="294">
        <v>-1621251.95</v>
      </c>
      <c r="JD133" s="294"/>
      <c r="JE133" s="294">
        <v>-596008.84</v>
      </c>
      <c r="JF133" s="294">
        <v>-6094357.9800000004</v>
      </c>
      <c r="JG133" s="294">
        <v>0</v>
      </c>
      <c r="JH133" s="294"/>
      <c r="JI133" s="294">
        <v>0</v>
      </c>
      <c r="JJ133" s="294">
        <v>-120292</v>
      </c>
      <c r="JK133" s="294"/>
      <c r="JL133" s="294"/>
      <c r="JM133" s="294"/>
      <c r="JN133" s="294"/>
      <c r="JO133" s="294">
        <v>-760216.76</v>
      </c>
      <c r="JP133" s="294"/>
      <c r="JQ133" s="294">
        <v>0</v>
      </c>
      <c r="JR133" s="294"/>
      <c r="JS133" s="294"/>
      <c r="JT133" s="294"/>
      <c r="JU133" s="294"/>
      <c r="JV133" s="294">
        <v>-938460.75</v>
      </c>
      <c r="JW133" s="294">
        <v>-279432.95</v>
      </c>
      <c r="JX133" s="294"/>
      <c r="JY133" s="294">
        <v>-23500</v>
      </c>
      <c r="JZ133" s="294"/>
      <c r="KA133" s="294"/>
      <c r="KB133" s="294"/>
      <c r="KC133" s="294"/>
      <c r="KD133" s="294"/>
      <c r="KE133" s="294">
        <v>-139093.88</v>
      </c>
      <c r="KF133" s="294"/>
      <c r="KG133" s="294"/>
      <c r="KH133" s="294">
        <v>-1558820.6</v>
      </c>
      <c r="KI133" s="294"/>
      <c r="KJ133" s="294">
        <v>-10577772.41</v>
      </c>
      <c r="KK133" s="294">
        <v>0</v>
      </c>
      <c r="KL133" s="294">
        <v>-100000</v>
      </c>
      <c r="KM133" s="294">
        <v>-2746057.94</v>
      </c>
      <c r="KN133" s="294">
        <v>-530290.03</v>
      </c>
      <c r="KO133" s="294"/>
      <c r="KP133" s="294"/>
      <c r="KQ133" s="294">
        <v>-429965.37</v>
      </c>
      <c r="KR133" s="294">
        <v>0</v>
      </c>
      <c r="KS133" s="294"/>
      <c r="KT133" s="294">
        <v>0</v>
      </c>
      <c r="KU133" s="294"/>
      <c r="KV133" s="294">
        <v>-1460171.78</v>
      </c>
      <c r="KW133" s="294"/>
      <c r="KX133" s="294">
        <v>-1846318.78</v>
      </c>
      <c r="KY133" s="294">
        <v>-10635325.15</v>
      </c>
      <c r="KZ133" s="294"/>
      <c r="LA133" s="294">
        <v>-2091989.4</v>
      </c>
      <c r="LB133" s="294"/>
      <c r="LC133" s="294"/>
      <c r="LD133" s="294">
        <v>0</v>
      </c>
      <c r="LE133" s="294"/>
      <c r="LF133" s="294">
        <v>-4567215.3899999997</v>
      </c>
      <c r="LG133" s="294">
        <v>-7429800</v>
      </c>
      <c r="LH133" s="294"/>
      <c r="LI133" s="294">
        <v>-6148449.8499999996</v>
      </c>
      <c r="LJ133" s="294"/>
      <c r="LK133" s="294">
        <v>0</v>
      </c>
      <c r="LL133" s="294"/>
      <c r="LM133" s="294"/>
      <c r="LN133" s="294">
        <v>-3883731.61</v>
      </c>
      <c r="LO133" s="294">
        <v>-82000</v>
      </c>
      <c r="LP133" s="294">
        <v>0</v>
      </c>
      <c r="LQ133" s="294"/>
      <c r="LR133" s="294">
        <v>-8230016.7199999997</v>
      </c>
      <c r="LS133" s="294">
        <v>-4165000</v>
      </c>
      <c r="LT133" s="294"/>
      <c r="LU133" s="294"/>
      <c r="LV133" s="294"/>
      <c r="LW133" s="294">
        <v>-4873944</v>
      </c>
      <c r="LX133" s="294">
        <v>-103315.71</v>
      </c>
      <c r="LY133" s="294"/>
      <c r="LZ133" s="294">
        <v>-827746</v>
      </c>
      <c r="MA133" s="294">
        <v>0</v>
      </c>
      <c r="MB133" s="294">
        <v>-544773.38</v>
      </c>
      <c r="MC133" s="294"/>
      <c r="MD133" s="294"/>
      <c r="ME133" s="294">
        <v>-2722784.41</v>
      </c>
      <c r="MF133" s="294"/>
      <c r="MG133" s="294"/>
      <c r="MH133" s="294">
        <v>0</v>
      </c>
      <c r="MI133" s="294"/>
      <c r="MJ133" s="294"/>
      <c r="MK133" s="294"/>
      <c r="ML133" s="294"/>
      <c r="MM133" s="294">
        <v>0</v>
      </c>
      <c r="MN133" s="294">
        <v>0</v>
      </c>
      <c r="MO133" s="294">
        <v>-1033537.58</v>
      </c>
      <c r="MP133" s="294"/>
      <c r="MQ133" s="294"/>
      <c r="MR133" s="294"/>
      <c r="MS133" s="294">
        <v>-203700</v>
      </c>
      <c r="MT133" s="294"/>
      <c r="MU133" s="294"/>
      <c r="MV133" s="294">
        <v>0</v>
      </c>
      <c r="MW133" s="294">
        <v>-1285512.8999999999</v>
      </c>
      <c r="MX133" s="294"/>
      <c r="MY133" s="294"/>
      <c r="MZ133" s="294"/>
      <c r="NA133" s="294">
        <v>-3625350.23</v>
      </c>
      <c r="NB133" s="294"/>
      <c r="NC133" s="294"/>
      <c r="ND133" s="294">
        <v>0</v>
      </c>
      <c r="NE133" s="294"/>
      <c r="NF133" s="294"/>
      <c r="NG133" s="294"/>
      <c r="NH133" s="294">
        <v>0</v>
      </c>
      <c r="NI133" s="294"/>
      <c r="NJ133" s="294"/>
      <c r="NK133" s="294">
        <v>0</v>
      </c>
      <c r="NL133" s="294"/>
      <c r="NM133" s="294"/>
      <c r="NN133" s="294">
        <v>0</v>
      </c>
      <c r="NO133" s="294">
        <v>-451993.99</v>
      </c>
      <c r="NP133" s="294">
        <v>-2337144.6</v>
      </c>
      <c r="NQ133" s="294"/>
      <c r="NR133" s="294">
        <v>-682909.01</v>
      </c>
      <c r="NS133" s="294">
        <v>0</v>
      </c>
      <c r="NT133" s="294"/>
      <c r="NU133" s="294"/>
      <c r="NV133" s="294">
        <v>0</v>
      </c>
      <c r="NW133" s="294">
        <v>0</v>
      </c>
      <c r="NX133" s="294">
        <v>-19893803.899999999</v>
      </c>
      <c r="NY133" s="294">
        <v>-84858.47</v>
      </c>
      <c r="NZ133" s="294"/>
      <c r="OA133" s="294"/>
      <c r="OB133" s="294"/>
      <c r="OC133" s="294"/>
      <c r="OD133" s="294"/>
      <c r="OE133" s="294">
        <v>0</v>
      </c>
      <c r="OF133" s="294">
        <v>-8035718.7999999998</v>
      </c>
      <c r="OG133" s="294">
        <v>-9124687.2799999993</v>
      </c>
      <c r="OH133" s="294">
        <v>-12000</v>
      </c>
      <c r="OI133" s="294"/>
      <c r="OJ133" s="294">
        <v>0</v>
      </c>
      <c r="OK133" s="294"/>
      <c r="OL133" s="294"/>
      <c r="OM133" s="294">
        <v>0</v>
      </c>
      <c r="ON133" s="294">
        <v>-5353328.96</v>
      </c>
      <c r="OO133" s="294"/>
      <c r="OP133" s="294"/>
      <c r="OQ133" s="294">
        <v>-10000000</v>
      </c>
      <c r="OR133" s="294">
        <v>0</v>
      </c>
      <c r="OS133" s="294">
        <v>0</v>
      </c>
      <c r="OT133" s="294"/>
      <c r="OU133" s="294">
        <v>0</v>
      </c>
      <c r="OV133" s="294"/>
      <c r="OW133" s="294"/>
      <c r="OX133" s="294">
        <v>-333790.71999999997</v>
      </c>
      <c r="OY133" s="294"/>
      <c r="OZ133" s="294">
        <v>0</v>
      </c>
      <c r="PA133" s="294">
        <v>-2689233.93</v>
      </c>
      <c r="PB133" s="294"/>
      <c r="PC133" s="294"/>
      <c r="PD133" s="294"/>
      <c r="PE133" s="294"/>
      <c r="PF133" s="294"/>
      <c r="PG133" s="294">
        <v>-4108500</v>
      </c>
      <c r="PH133" s="294"/>
      <c r="PI133" s="294">
        <v>0</v>
      </c>
      <c r="PJ133" s="294"/>
      <c r="PK133" s="294"/>
      <c r="PL133" s="294">
        <v>-1160944.95</v>
      </c>
      <c r="PM133" s="294"/>
      <c r="PN133" s="294">
        <v>0</v>
      </c>
      <c r="PO133" s="294">
        <v>-1289595.8500000001</v>
      </c>
      <c r="PP133" s="294"/>
      <c r="PQ133" s="294"/>
      <c r="PR133" s="294"/>
      <c r="PS133" s="294"/>
      <c r="PT133" s="294">
        <v>-113616215.08</v>
      </c>
      <c r="PU133" s="294">
        <v>-3725421.41</v>
      </c>
      <c r="PV133" s="294">
        <v>-80000</v>
      </c>
      <c r="PW133" s="294"/>
      <c r="PX133" s="294"/>
      <c r="PY133" s="294"/>
      <c r="PZ133" s="294">
        <v>0</v>
      </c>
      <c r="QA133" s="294">
        <v>0</v>
      </c>
      <c r="QB133" s="294">
        <v>-2474863.86</v>
      </c>
      <c r="QC133" s="294"/>
      <c r="QD133" s="294">
        <v>-1512041.61</v>
      </c>
      <c r="QE133" s="294">
        <v>-972097.19</v>
      </c>
      <c r="QF133" s="294"/>
      <c r="QG133" s="294"/>
      <c r="QH133" s="294"/>
      <c r="QI133" s="294">
        <v>-2872676.14</v>
      </c>
      <c r="QJ133" s="294">
        <v>-620298.74</v>
      </c>
      <c r="QK133" s="294">
        <v>0</v>
      </c>
      <c r="QL133" s="294">
        <v>-178015</v>
      </c>
      <c r="QM133" s="294"/>
      <c r="QN133" s="294">
        <v>-1611363.11</v>
      </c>
      <c r="QO133" s="294"/>
      <c r="QP133" s="294"/>
      <c r="QQ133" s="294"/>
      <c r="QR133" s="294">
        <v>-466921.36</v>
      </c>
      <c r="QS133" s="294">
        <v>-241503.73</v>
      </c>
      <c r="QT133" s="294"/>
      <c r="QU133" s="294"/>
      <c r="QV133" s="294"/>
      <c r="QW133" s="294"/>
      <c r="QX133" s="294"/>
      <c r="QY133" s="294"/>
      <c r="QZ133" s="294"/>
      <c r="RA133" s="294"/>
      <c r="RB133" s="294"/>
      <c r="RC133" s="294">
        <v>-752094</v>
      </c>
      <c r="RD133" s="294"/>
      <c r="RE133" s="294">
        <v>-471980.64</v>
      </c>
      <c r="RF133" s="294"/>
      <c r="RG133" s="294"/>
      <c r="RH133" s="294"/>
      <c r="RI133" s="294"/>
      <c r="RJ133" s="294"/>
      <c r="RK133" s="294">
        <v>-360</v>
      </c>
      <c r="RL133" s="294"/>
      <c r="RM133" s="294"/>
      <c r="RN133" s="294"/>
      <c r="RO133" s="294">
        <v>-596677.81000000006</v>
      </c>
      <c r="RP133" s="294"/>
      <c r="RQ133" s="294"/>
      <c r="RR133" s="294">
        <v>-1234727.1000000001</v>
      </c>
      <c r="RS133" s="294"/>
      <c r="RT133" s="294"/>
      <c r="RU133" s="294"/>
      <c r="RV133" s="294"/>
      <c r="RW133" s="294"/>
      <c r="RX133" s="294">
        <v>-648635.25</v>
      </c>
      <c r="RY133" s="294"/>
      <c r="RZ133" s="294"/>
      <c r="SA133" s="294">
        <v>-15216557.49</v>
      </c>
      <c r="SB133" s="294"/>
      <c r="SC133" s="294"/>
      <c r="SD133" s="294"/>
      <c r="SE133" s="294">
        <v>-419101.18</v>
      </c>
      <c r="SF133" s="294">
        <v>-847708.6</v>
      </c>
      <c r="SG133" s="294">
        <v>-267846.74</v>
      </c>
      <c r="SH133" s="294">
        <v>0</v>
      </c>
      <c r="SI133" s="294">
        <v>0</v>
      </c>
      <c r="SJ133" s="294"/>
      <c r="SK133" s="294">
        <v>-1211197.0900000001</v>
      </c>
      <c r="SL133" s="294">
        <v>-78350</v>
      </c>
      <c r="SM133" s="294">
        <v>-2056602.77</v>
      </c>
      <c r="SN133" s="294">
        <v>0</v>
      </c>
      <c r="SO133" s="294">
        <v>-346509</v>
      </c>
      <c r="SP133" s="294">
        <v>-5336777.76</v>
      </c>
      <c r="SQ133" s="294"/>
      <c r="SR133" s="294">
        <v>-768124.25</v>
      </c>
      <c r="SS133" s="294">
        <v>-1113840</v>
      </c>
      <c r="ST133" s="294"/>
      <c r="SU133" s="294"/>
      <c r="SV133" s="294">
        <v>-916609.97</v>
      </c>
      <c r="SW133" s="294">
        <v>-940683.33</v>
      </c>
      <c r="SX133" s="294"/>
      <c r="SY133" s="294">
        <v>0</v>
      </c>
      <c r="SZ133" s="294"/>
      <c r="TA133" s="294"/>
      <c r="TB133" s="294"/>
      <c r="TC133" s="294">
        <v>-10000</v>
      </c>
      <c r="TD133" s="294">
        <v>0</v>
      </c>
      <c r="TE133" s="294">
        <v>0</v>
      </c>
      <c r="TF133" s="294">
        <v>0</v>
      </c>
      <c r="TG133" s="294"/>
      <c r="TH133" s="294">
        <v>0</v>
      </c>
      <c r="TI133" s="294"/>
      <c r="TJ133" s="294"/>
      <c r="TK133" s="294"/>
      <c r="TL133" s="294"/>
      <c r="TM133" s="294">
        <v>0</v>
      </c>
      <c r="TN133" s="294"/>
      <c r="TO133" s="294"/>
      <c r="TP133" s="294">
        <v>0</v>
      </c>
      <c r="TQ133" s="294"/>
      <c r="TR133" s="294"/>
      <c r="TS133" s="294">
        <v>0</v>
      </c>
      <c r="TT133" s="294"/>
      <c r="TU133" s="294"/>
      <c r="TV133" s="294"/>
      <c r="TW133" s="294">
        <v>0</v>
      </c>
      <c r="TX133" s="294"/>
      <c r="TY133" s="294"/>
      <c r="TZ133" s="294"/>
      <c r="UA133" s="294">
        <v>-11384831.65</v>
      </c>
      <c r="UB133" s="294">
        <v>-2134253.69</v>
      </c>
      <c r="UC133" s="294"/>
      <c r="UD133" s="294">
        <v>0</v>
      </c>
      <c r="UE133" s="294">
        <v>-1436776.33</v>
      </c>
      <c r="UF133" s="294">
        <v>0</v>
      </c>
      <c r="UG133" s="294"/>
      <c r="UH133" s="294">
        <v>-5703280.0700000003</v>
      </c>
      <c r="UI133" s="294"/>
      <c r="UJ133" s="294"/>
      <c r="UK133" s="294"/>
      <c r="UL133" s="294">
        <v>0</v>
      </c>
      <c r="UM133" s="294"/>
      <c r="UN133" s="294">
        <v>0</v>
      </c>
      <c r="UO133" s="294"/>
      <c r="UP133" s="294">
        <v>-5971600</v>
      </c>
      <c r="UQ133" s="294">
        <v>0</v>
      </c>
      <c r="UR133" s="294"/>
      <c r="US133" s="294">
        <v>-2545314.38</v>
      </c>
      <c r="UT133" s="294"/>
      <c r="UU133" s="294"/>
      <c r="UV133" s="294">
        <v>-2628551.46</v>
      </c>
      <c r="UW133" s="294">
        <v>-113142</v>
      </c>
      <c r="UX133" s="294"/>
      <c r="UY133" s="294">
        <v>-1655850.85</v>
      </c>
      <c r="UZ133" s="294"/>
      <c r="VA133" s="294">
        <v>-5891425.3499999996</v>
      </c>
      <c r="VB133" s="294">
        <v>-4149402.21</v>
      </c>
      <c r="VC133" s="294">
        <v>-4570187.8600000003</v>
      </c>
      <c r="VD133" s="294">
        <v>-780415.48</v>
      </c>
      <c r="VE133" s="294">
        <v>-405554.77</v>
      </c>
      <c r="VF133" s="294">
        <v>-2400008.19</v>
      </c>
      <c r="VG133" s="294">
        <v>-541921.54</v>
      </c>
      <c r="VH133" s="294">
        <v>-2417141.59</v>
      </c>
      <c r="VI133" s="294"/>
      <c r="VJ133" s="294">
        <v>-127533.07</v>
      </c>
      <c r="VK133" s="294">
        <v>-861455.5</v>
      </c>
      <c r="VL133" s="294"/>
      <c r="VM133" s="294"/>
      <c r="VN133" s="294">
        <v>-2021568.62</v>
      </c>
      <c r="VO133" s="294"/>
      <c r="VP133" s="294">
        <v>-1234853.75</v>
      </c>
      <c r="VQ133" s="294">
        <v>0</v>
      </c>
      <c r="VR133" s="294"/>
      <c r="VS133" s="294">
        <v>0</v>
      </c>
      <c r="VT133" s="294">
        <v>0</v>
      </c>
      <c r="VU133" s="294">
        <v>-8577987</v>
      </c>
      <c r="VV133" s="294">
        <v>-106847.5</v>
      </c>
      <c r="VW133" s="294"/>
      <c r="VX133" s="294">
        <v>-2931116.81</v>
      </c>
      <c r="VY133" s="294">
        <v>0</v>
      </c>
      <c r="VZ133" s="294">
        <v>-187602.86</v>
      </c>
      <c r="WA133" s="294"/>
      <c r="WB133" s="294"/>
      <c r="WC133" s="294"/>
      <c r="WD133" s="294">
        <v>0</v>
      </c>
      <c r="WE133" s="294"/>
      <c r="WF133" s="294"/>
      <c r="WG133" s="294">
        <v>-278794.76</v>
      </c>
      <c r="WH133" s="294"/>
      <c r="WI133" s="294"/>
      <c r="WJ133" s="294">
        <v>0</v>
      </c>
      <c r="WK133" s="294"/>
      <c r="WL133" s="294"/>
      <c r="WM133" s="294">
        <v>-20219.919999999998</v>
      </c>
      <c r="WN133" s="294"/>
      <c r="WO133" s="294"/>
      <c r="WP133" s="294"/>
      <c r="WQ133" s="294"/>
      <c r="WR133" s="294"/>
      <c r="WS133" s="294"/>
      <c r="WT133" s="294"/>
      <c r="WU133" s="294"/>
      <c r="WV133" s="294"/>
      <c r="WW133" s="294"/>
      <c r="WX133" s="294"/>
      <c r="WY133" s="294">
        <v>-1820</v>
      </c>
      <c r="WZ133" s="294">
        <v>-168541.19</v>
      </c>
      <c r="XA133" s="294"/>
      <c r="XB133" s="294">
        <v>0</v>
      </c>
      <c r="XC133" s="294">
        <v>0</v>
      </c>
      <c r="XD133" s="294"/>
      <c r="XE133" s="294">
        <v>0</v>
      </c>
      <c r="XF133" s="294"/>
      <c r="XG133" s="294">
        <v>-805979.52</v>
      </c>
      <c r="XH133" s="294">
        <v>-16000</v>
      </c>
      <c r="XI133" s="294"/>
      <c r="XJ133" s="294"/>
      <c r="XK133" s="294"/>
      <c r="XL133" s="294">
        <v>0</v>
      </c>
      <c r="XM133" s="294"/>
      <c r="XN133" s="294"/>
      <c r="XO133" s="294"/>
      <c r="XP133" s="294"/>
      <c r="XQ133" s="294"/>
      <c r="XR133" s="294"/>
      <c r="XS133" s="294"/>
      <c r="XT133" s="294"/>
      <c r="XU133" s="294"/>
      <c r="XV133" s="294"/>
      <c r="XW133" s="294"/>
      <c r="XX133" s="294"/>
      <c r="XY133" s="294">
        <v>0</v>
      </c>
      <c r="XZ133" s="294"/>
      <c r="YA133" s="294"/>
      <c r="YB133" s="294"/>
      <c r="YC133" s="294"/>
      <c r="YD133" s="294"/>
      <c r="YE133" s="294">
        <v>0</v>
      </c>
      <c r="YF133" s="294"/>
      <c r="YG133" s="294"/>
      <c r="YH133" s="294"/>
      <c r="YI133" s="294">
        <v>-2788330.59</v>
      </c>
      <c r="YJ133" s="294"/>
      <c r="YK133" s="294">
        <v>0</v>
      </c>
      <c r="YL133" s="294"/>
      <c r="YM133" s="294">
        <v>0</v>
      </c>
      <c r="YN133" s="294"/>
      <c r="YO133" s="294"/>
      <c r="YP133" s="294">
        <v>0</v>
      </c>
      <c r="YQ133" s="294">
        <v>-406636</v>
      </c>
      <c r="YR133" s="294"/>
      <c r="YS133" s="294"/>
      <c r="YT133" s="294"/>
      <c r="YU133" s="294"/>
      <c r="YV133" s="294">
        <v>-3660809</v>
      </c>
      <c r="YW133" s="294"/>
      <c r="YX133" s="294">
        <v>-2151617.44</v>
      </c>
      <c r="YY133" s="294"/>
      <c r="YZ133" s="294"/>
      <c r="ZA133" s="294">
        <v>-123780</v>
      </c>
      <c r="ZB133" s="294"/>
      <c r="ZC133" s="294">
        <v>-11042610.82</v>
      </c>
      <c r="ZD133" s="294">
        <v>-247357.5</v>
      </c>
      <c r="ZE133" s="294">
        <v>-761648.32</v>
      </c>
      <c r="ZF133" s="294">
        <v>-1651067.76</v>
      </c>
      <c r="ZG133" s="294">
        <v>0</v>
      </c>
      <c r="ZH133" s="294">
        <v>-752264.17</v>
      </c>
      <c r="ZI133" s="294">
        <v>-8596796.5800000001</v>
      </c>
      <c r="ZJ133" s="294">
        <v>-3664068.64</v>
      </c>
      <c r="ZK133" s="294">
        <v>-9313213.1600000001</v>
      </c>
      <c r="ZL133" s="294">
        <v>-1833707.63</v>
      </c>
      <c r="ZM133" s="294"/>
      <c r="ZN133" s="294"/>
      <c r="ZO133" s="294">
        <v>0</v>
      </c>
      <c r="ZP133" s="294"/>
      <c r="ZQ133" s="294"/>
      <c r="ZR133" s="294"/>
      <c r="ZS133" s="294"/>
      <c r="ZT133" s="294">
        <v>-514698.02</v>
      </c>
      <c r="ZU133" s="294">
        <v>-642526.25</v>
      </c>
      <c r="ZV133" s="294"/>
      <c r="ZW133" s="294">
        <v>0</v>
      </c>
      <c r="ZX133" s="294"/>
      <c r="ZY133" s="294"/>
      <c r="ZZ133" s="294"/>
      <c r="AAA133" s="294"/>
      <c r="AAB133" s="294">
        <v>-1089154.3199999998</v>
      </c>
      <c r="AAC133" s="294"/>
      <c r="AAD133" s="294"/>
      <c r="AAE133" s="294"/>
      <c r="AAF133" s="294">
        <v>0</v>
      </c>
      <c r="AAG133" s="294">
        <v>-645637.49</v>
      </c>
      <c r="AAH133" s="294">
        <v>-2897689.5</v>
      </c>
      <c r="AAI133" s="294">
        <v>0</v>
      </c>
      <c r="AAJ133" s="294"/>
      <c r="AAK133" s="294">
        <v>0</v>
      </c>
      <c r="AAL133" s="294"/>
      <c r="AAM133" s="294"/>
      <c r="AAN133" s="294">
        <v>0</v>
      </c>
      <c r="AAO133" s="294">
        <v>0</v>
      </c>
      <c r="AAP133" s="294">
        <v>-415029.96</v>
      </c>
      <c r="AAQ133" s="294"/>
      <c r="AAR133" s="294">
        <v>0</v>
      </c>
      <c r="AAS133" s="294"/>
      <c r="AAT133" s="294"/>
      <c r="AAU133" s="294"/>
      <c r="AAV133" s="294"/>
      <c r="AAW133" s="294"/>
      <c r="AAX133" s="294">
        <v>0</v>
      </c>
      <c r="AAY133" s="294"/>
      <c r="AAZ133" s="294"/>
      <c r="ABA133" s="294"/>
      <c r="ABB133" s="294"/>
      <c r="ABC133" s="294">
        <v>0</v>
      </c>
      <c r="ABD133" s="294"/>
      <c r="ABE133" s="294"/>
      <c r="ABF133" s="294"/>
      <c r="ABG133" s="294"/>
      <c r="ABH133" s="294"/>
      <c r="ABI133" s="294"/>
      <c r="ABJ133" s="294">
        <v>0</v>
      </c>
      <c r="ABK133" s="294">
        <v>0</v>
      </c>
      <c r="ABL133" s="294"/>
      <c r="ABM133" s="294">
        <v>0</v>
      </c>
      <c r="ABN133" s="294"/>
      <c r="ABO133" s="294"/>
      <c r="ABP133" s="294">
        <v>-2030242.31</v>
      </c>
      <c r="ABQ133" s="294">
        <v>-268088.19</v>
      </c>
      <c r="ABR133" s="294">
        <v>-1943477.66</v>
      </c>
      <c r="ABS133" s="294"/>
      <c r="ABT133" s="294"/>
      <c r="ABU133" s="294"/>
      <c r="ABV133" s="294">
        <v>-1425365.18</v>
      </c>
      <c r="ABW133" s="294"/>
      <c r="ABX133" s="294"/>
      <c r="ABY133" s="294">
        <v>27500</v>
      </c>
      <c r="ABZ133" s="294"/>
      <c r="ACA133" s="294">
        <v>-497586.85</v>
      </c>
      <c r="ACB133" s="294">
        <v>-661113</v>
      </c>
      <c r="ACC133" s="294"/>
      <c r="ACD133" s="294"/>
      <c r="ACE133" s="294">
        <v>0</v>
      </c>
      <c r="ACF133" s="294"/>
      <c r="ACG133" s="294">
        <v>-463676.17</v>
      </c>
      <c r="ACH133" s="294">
        <v>-483679</v>
      </c>
      <c r="ACI133" s="294"/>
      <c r="ACJ133" s="294"/>
      <c r="ACK133" s="294"/>
      <c r="ACL133" s="294"/>
      <c r="ACM133" s="294"/>
      <c r="ACN133" s="294"/>
      <c r="ACO133" s="294"/>
      <c r="ACP133" s="294"/>
      <c r="ACQ133" s="294">
        <v>-327761.13</v>
      </c>
      <c r="ACR133" s="294">
        <v>-413235.94</v>
      </c>
      <c r="ACS133" s="294"/>
      <c r="ACT133" s="294"/>
      <c r="ACU133" s="294"/>
      <c r="ACV133" s="294"/>
      <c r="ACW133" s="294"/>
      <c r="ACX133" s="294"/>
      <c r="ACY133" s="294"/>
      <c r="ACZ133" s="294"/>
      <c r="ADA133" s="294"/>
      <c r="ADB133" s="294"/>
      <c r="ADC133" s="294"/>
      <c r="ADD133" s="294"/>
      <c r="ADE133" s="294"/>
      <c r="ADF133" s="294">
        <v>-4822692.18</v>
      </c>
      <c r="ADG133" s="294">
        <v>-2322337.23</v>
      </c>
      <c r="ADH133" s="294"/>
      <c r="ADI133" s="294">
        <v>-292817.03999999998</v>
      </c>
      <c r="ADJ133" s="294">
        <v>-1119837</v>
      </c>
      <c r="ADK133" s="294"/>
      <c r="ADL133" s="294">
        <v>-6794372.3899999997</v>
      </c>
      <c r="ADM133" s="294">
        <v>-2102970.87</v>
      </c>
      <c r="ADN133" s="294">
        <v>-3200528.29</v>
      </c>
      <c r="ADO133" s="294">
        <v>0</v>
      </c>
      <c r="ADP133" s="294">
        <v>-749839</v>
      </c>
      <c r="ADQ133" s="294">
        <v>-21811.599999999999</v>
      </c>
      <c r="ADR133" s="294">
        <v>1060079.1499999999</v>
      </c>
      <c r="ADS133" s="294">
        <v>-831171.1</v>
      </c>
      <c r="ADT133" s="294"/>
      <c r="ADU133" s="294">
        <v>-36599</v>
      </c>
      <c r="ADV133" s="294"/>
      <c r="ADW133" s="294"/>
      <c r="ADX133" s="294"/>
      <c r="ADY133" s="294">
        <v>-3139400.52</v>
      </c>
      <c r="ADZ133" s="294">
        <v>0</v>
      </c>
      <c r="AEA133" s="294">
        <v>0</v>
      </c>
      <c r="AEB133" s="294">
        <v>0</v>
      </c>
      <c r="AEC133" s="294">
        <v>-2892774.86</v>
      </c>
      <c r="AED133" s="294"/>
      <c r="AEE133" s="294">
        <v>0</v>
      </c>
      <c r="AEF133" s="294">
        <v>-113754.5</v>
      </c>
      <c r="AEG133" s="294"/>
      <c r="AEH133" s="294">
        <v>-43642.71</v>
      </c>
      <c r="AEI133" s="294"/>
      <c r="AEJ133" s="294">
        <v>301751.3</v>
      </c>
      <c r="AEK133" s="294">
        <v>-1594005.08</v>
      </c>
      <c r="AEL133" s="294">
        <v>0</v>
      </c>
      <c r="AEM133" s="294">
        <v>0</v>
      </c>
      <c r="AEN133" s="294">
        <v>-599364.24</v>
      </c>
      <c r="AEO133" s="294"/>
      <c r="AEP133" s="294">
        <v>-2226654.9</v>
      </c>
      <c r="AEQ133" s="294"/>
      <c r="AER133" s="294">
        <v>-6386646.3200000003</v>
      </c>
      <c r="AES133" s="294">
        <v>0</v>
      </c>
      <c r="AET133" s="294"/>
      <c r="AEU133" s="294"/>
      <c r="AEV133" s="294"/>
      <c r="AEW133" s="294"/>
      <c r="AEX133" s="294"/>
      <c r="AEY133" s="294"/>
      <c r="AEZ133" s="294">
        <v>-18636.91</v>
      </c>
      <c r="AFA133" s="294"/>
      <c r="AFB133" s="294"/>
      <c r="AFC133" s="294">
        <v>-2422225</v>
      </c>
      <c r="AFD133" s="294"/>
      <c r="AFE133" s="294">
        <v>-10000</v>
      </c>
      <c r="AFF133" s="294"/>
      <c r="AFG133" s="294">
        <v>0</v>
      </c>
      <c r="AFH133" s="294"/>
      <c r="AFI133" s="294"/>
      <c r="AFJ133" s="294"/>
      <c r="AFK133" s="294"/>
      <c r="AFL133" s="294"/>
      <c r="AFM133" s="294">
        <v>-213819.13</v>
      </c>
      <c r="AFN133" s="294"/>
      <c r="AFO133" s="294">
        <v>-983984.78</v>
      </c>
      <c r="AFP133" s="294">
        <v>-1617616.95</v>
      </c>
      <c r="AFQ133" s="294"/>
      <c r="AFR133" s="294"/>
      <c r="AFS133" s="294"/>
      <c r="AFT133" s="294"/>
      <c r="AFU133" s="294"/>
      <c r="AFV133" s="294"/>
      <c r="AFW133" s="294"/>
      <c r="AFX133" s="294"/>
      <c r="AFY133" s="294"/>
      <c r="AFZ133" s="294">
        <v>0</v>
      </c>
      <c r="AGA133" s="294"/>
      <c r="AGB133" s="294"/>
      <c r="AGC133" s="294"/>
      <c r="AGD133" s="294"/>
      <c r="AGE133" s="294"/>
      <c r="AGF133" s="294">
        <v>0</v>
      </c>
      <c r="AGG133" s="294"/>
      <c r="AGH133" s="294"/>
      <c r="AGI133" s="294"/>
      <c r="AGJ133" s="294"/>
      <c r="AGK133" s="294">
        <v>-923167.98</v>
      </c>
      <c r="AGL133" s="294">
        <v>-212124.35</v>
      </c>
      <c r="AGM133" s="294">
        <v>-2115835.2000000002</v>
      </c>
      <c r="AGN133" s="294">
        <v>-1995634.69</v>
      </c>
      <c r="AGO133" s="294"/>
      <c r="AGP133" s="294"/>
      <c r="AGQ133" s="294">
        <v>0</v>
      </c>
      <c r="AGR133" s="294">
        <v>0</v>
      </c>
      <c r="AGS133" s="294">
        <v>-2136268.0299999998</v>
      </c>
      <c r="AGT133" s="294">
        <v>-1739061.19</v>
      </c>
      <c r="AGU133" s="294"/>
      <c r="AGV133" s="294"/>
      <c r="AGW133" s="294"/>
      <c r="AGX133" s="294"/>
      <c r="AGY133" s="294">
        <v>0</v>
      </c>
      <c r="AGZ133" s="294"/>
      <c r="AHA133" s="294">
        <v>-72000</v>
      </c>
      <c r="AHB133" s="294"/>
      <c r="AHC133" s="294"/>
      <c r="AHD133" s="294"/>
      <c r="AHE133" s="294">
        <v>0</v>
      </c>
      <c r="AHF133" s="294">
        <v>0</v>
      </c>
      <c r="AHG133" s="294"/>
      <c r="AHH133" s="294"/>
      <c r="AHI133" s="294"/>
      <c r="AHJ133" s="294"/>
      <c r="AHK133" s="294">
        <v>0</v>
      </c>
      <c r="AHL133" s="294"/>
      <c r="AHM133" s="294">
        <v>0</v>
      </c>
      <c r="AHN133" s="294">
        <v>-996383.4</v>
      </c>
      <c r="AHO133" s="294"/>
      <c r="AHP133" s="294">
        <v>0</v>
      </c>
      <c r="AHQ133" s="294">
        <v>-99880.18</v>
      </c>
      <c r="AHR133" s="331">
        <v>0</v>
      </c>
      <c r="AHS133" s="294">
        <f t="shared" si="55"/>
        <v>-798522694.5400008</v>
      </c>
      <c r="AHT133" s="269" t="b">
        <f t="shared" si="54"/>
        <v>1</v>
      </c>
      <c r="AHU133" s="269" t="s">
        <v>6280</v>
      </c>
      <c r="AHV133" s="269" t="s">
        <v>6208</v>
      </c>
      <c r="AHW133" s="269" t="s">
        <v>6209</v>
      </c>
    </row>
    <row r="134" spans="1:907" ht="24.6" x14ac:dyDescent="0.7">
      <c r="A134" s="268" t="s">
        <v>6280</v>
      </c>
      <c r="B134" s="268" t="s">
        <v>6210</v>
      </c>
      <c r="C134" s="269" t="s">
        <v>6211</v>
      </c>
      <c r="D134" s="294">
        <v>0</v>
      </c>
      <c r="E134" s="294">
        <v>0</v>
      </c>
      <c r="F134" s="294">
        <v>0</v>
      </c>
      <c r="G134" s="294"/>
      <c r="H134" s="294">
        <v>0</v>
      </c>
      <c r="I134" s="294">
        <v>0</v>
      </c>
      <c r="J134" s="294"/>
      <c r="K134" s="294"/>
      <c r="L134" s="294">
        <v>0</v>
      </c>
      <c r="M134" s="294">
        <v>0</v>
      </c>
      <c r="N134" s="294">
        <v>-20322.98</v>
      </c>
      <c r="O134" s="294">
        <v>0</v>
      </c>
      <c r="P134" s="294">
        <v>0</v>
      </c>
      <c r="Q134" s="294"/>
      <c r="R134" s="294">
        <v>0</v>
      </c>
      <c r="S134" s="294"/>
      <c r="T134" s="294"/>
      <c r="U134" s="294">
        <v>-360662.99</v>
      </c>
      <c r="V134" s="294"/>
      <c r="W134" s="294">
        <v>0</v>
      </c>
      <c r="X134" s="294"/>
      <c r="Y134" s="294">
        <v>0</v>
      </c>
      <c r="Z134" s="294">
        <v>0</v>
      </c>
      <c r="AA134" s="294">
        <v>0</v>
      </c>
      <c r="AB134" s="294">
        <v>0</v>
      </c>
      <c r="AC134" s="294">
        <v>0</v>
      </c>
      <c r="AD134" s="294">
        <v>0</v>
      </c>
      <c r="AE134" s="294">
        <v>0</v>
      </c>
      <c r="AF134" s="294">
        <v>0</v>
      </c>
      <c r="AG134" s="294">
        <v>0</v>
      </c>
      <c r="AH134" s="294">
        <v>0</v>
      </c>
      <c r="AI134" s="294">
        <v>0</v>
      </c>
      <c r="AJ134" s="294"/>
      <c r="AK134" s="294">
        <v>0</v>
      </c>
      <c r="AL134" s="294">
        <v>0</v>
      </c>
      <c r="AM134" s="294">
        <v>0</v>
      </c>
      <c r="AN134" s="294">
        <v>-66000</v>
      </c>
      <c r="AO134" s="294">
        <v>-100473.18</v>
      </c>
      <c r="AP134" s="294">
        <v>0</v>
      </c>
      <c r="AQ134" s="294">
        <v>0</v>
      </c>
      <c r="AR134" s="294">
        <v>0</v>
      </c>
      <c r="AS134" s="294">
        <v>0</v>
      </c>
      <c r="AT134" s="294"/>
      <c r="AU134" s="294">
        <v>0</v>
      </c>
      <c r="AV134" s="294">
        <v>-284118.92</v>
      </c>
      <c r="AW134" s="294">
        <v>0</v>
      </c>
      <c r="AX134" s="294">
        <v>0</v>
      </c>
      <c r="AY134" s="294">
        <v>0</v>
      </c>
      <c r="AZ134" s="294">
        <v>0</v>
      </c>
      <c r="BA134" s="294"/>
      <c r="BB134" s="294"/>
      <c r="BC134" s="294"/>
      <c r="BD134" s="294">
        <v>0</v>
      </c>
      <c r="BE134" s="294">
        <v>0</v>
      </c>
      <c r="BF134" s="294">
        <v>0</v>
      </c>
      <c r="BG134" s="294">
        <v>0</v>
      </c>
      <c r="BH134" s="294">
        <v>-417889.35</v>
      </c>
      <c r="BI134" s="294">
        <v>0</v>
      </c>
      <c r="BJ134" s="294">
        <v>0</v>
      </c>
      <c r="BK134" s="294">
        <v>0</v>
      </c>
      <c r="BL134" s="294">
        <v>0</v>
      </c>
      <c r="BM134" s="294">
        <v>0</v>
      </c>
      <c r="BN134" s="294">
        <v>0</v>
      </c>
      <c r="BO134" s="294">
        <v>0</v>
      </c>
      <c r="BP134" s="294">
        <v>0</v>
      </c>
      <c r="BQ134" s="294">
        <v>0</v>
      </c>
      <c r="BR134" s="294">
        <v>0</v>
      </c>
      <c r="BS134" s="294">
        <v>0</v>
      </c>
      <c r="BT134" s="294">
        <v>0</v>
      </c>
      <c r="BU134" s="294">
        <v>-20345.07</v>
      </c>
      <c r="BV134" s="294"/>
      <c r="BW134" s="294"/>
      <c r="BX134" s="294">
        <v>-62605.11</v>
      </c>
      <c r="BY134" s="294">
        <v>0</v>
      </c>
      <c r="BZ134" s="294">
        <v>0</v>
      </c>
      <c r="CA134" s="294">
        <v>0</v>
      </c>
      <c r="CB134" s="294">
        <v>0</v>
      </c>
      <c r="CC134" s="294">
        <v>0</v>
      </c>
      <c r="CD134" s="294">
        <v>0</v>
      </c>
      <c r="CE134" s="294">
        <v>0</v>
      </c>
      <c r="CF134" s="294">
        <v>0</v>
      </c>
      <c r="CG134" s="294">
        <v>0</v>
      </c>
      <c r="CH134" s="294">
        <v>0</v>
      </c>
      <c r="CI134" s="294">
        <v>0</v>
      </c>
      <c r="CJ134" s="294">
        <v>0</v>
      </c>
      <c r="CK134" s="294">
        <v>0</v>
      </c>
      <c r="CL134" s="294"/>
      <c r="CM134" s="294">
        <v>0</v>
      </c>
      <c r="CN134" s="294">
        <v>0</v>
      </c>
      <c r="CO134" s="294">
        <v>0</v>
      </c>
      <c r="CP134" s="294">
        <v>0</v>
      </c>
      <c r="CQ134" s="294">
        <v>0</v>
      </c>
      <c r="CR134" s="294">
        <v>0</v>
      </c>
      <c r="CS134" s="294">
        <v>0</v>
      </c>
      <c r="CT134" s="294"/>
      <c r="CU134" s="294">
        <v>0</v>
      </c>
      <c r="CV134" s="294">
        <v>-48991.38</v>
      </c>
      <c r="CW134" s="294">
        <v>-182501.65</v>
      </c>
      <c r="CX134" s="294">
        <v>0</v>
      </c>
      <c r="CY134" s="294">
        <v>0</v>
      </c>
      <c r="CZ134" s="294">
        <v>0</v>
      </c>
      <c r="DA134" s="294"/>
      <c r="DB134" s="294">
        <v>0</v>
      </c>
      <c r="DC134" s="294">
        <v>0</v>
      </c>
      <c r="DD134" s="294">
        <v>0</v>
      </c>
      <c r="DE134" s="294">
        <v>-511702.04</v>
      </c>
      <c r="DF134" s="294">
        <v>0</v>
      </c>
      <c r="DG134" s="294">
        <v>0</v>
      </c>
      <c r="DH134" s="294">
        <v>0</v>
      </c>
      <c r="DI134" s="294"/>
      <c r="DJ134" s="294">
        <v>0</v>
      </c>
      <c r="DK134" s="294">
        <v>0</v>
      </c>
      <c r="DL134" s="294">
        <v>0</v>
      </c>
      <c r="DM134" s="294">
        <v>0</v>
      </c>
      <c r="DN134" s="294">
        <v>0</v>
      </c>
      <c r="DO134" s="294">
        <v>0</v>
      </c>
      <c r="DP134" s="294">
        <v>0</v>
      </c>
      <c r="DQ134" s="294">
        <v>0</v>
      </c>
      <c r="DR134" s="294">
        <v>0</v>
      </c>
      <c r="DS134" s="294">
        <v>0</v>
      </c>
      <c r="DT134" s="294">
        <v>0</v>
      </c>
      <c r="DU134" s="294">
        <v>0</v>
      </c>
      <c r="DV134" s="294">
        <v>0</v>
      </c>
      <c r="DW134" s="294">
        <v>0</v>
      </c>
      <c r="DX134" s="294">
        <v>0</v>
      </c>
      <c r="DY134" s="294"/>
      <c r="DZ134" s="294">
        <v>0</v>
      </c>
      <c r="EA134" s="294">
        <v>0</v>
      </c>
      <c r="EB134" s="294">
        <v>0</v>
      </c>
      <c r="EC134" s="294">
        <v>0</v>
      </c>
      <c r="ED134" s="294">
        <v>0</v>
      </c>
      <c r="EE134" s="294">
        <v>0</v>
      </c>
      <c r="EF134" s="294"/>
      <c r="EG134" s="294">
        <v>-187882.98</v>
      </c>
      <c r="EH134" s="294">
        <v>0</v>
      </c>
      <c r="EI134" s="294">
        <v>0</v>
      </c>
      <c r="EJ134" s="294">
        <v>0</v>
      </c>
      <c r="EK134" s="294"/>
      <c r="EL134" s="294">
        <v>0</v>
      </c>
      <c r="EM134" s="294">
        <v>-42739.99</v>
      </c>
      <c r="EN134" s="294">
        <v>0</v>
      </c>
      <c r="EO134" s="294">
        <v>0</v>
      </c>
      <c r="EP134" s="294">
        <v>0</v>
      </c>
      <c r="EQ134" s="294">
        <v>0</v>
      </c>
      <c r="ER134" s="294">
        <v>0</v>
      </c>
      <c r="ES134" s="294">
        <v>0</v>
      </c>
      <c r="ET134" s="294">
        <v>0</v>
      </c>
      <c r="EU134" s="294">
        <v>0</v>
      </c>
      <c r="EV134" s="294">
        <v>0</v>
      </c>
      <c r="EW134" s="294">
        <v>0</v>
      </c>
      <c r="EX134" s="294"/>
      <c r="EY134" s="294">
        <v>0</v>
      </c>
      <c r="EZ134" s="294">
        <v>0</v>
      </c>
      <c r="FA134" s="294"/>
      <c r="FB134" s="294">
        <v>0</v>
      </c>
      <c r="FC134" s="294">
        <v>0</v>
      </c>
      <c r="FD134" s="294">
        <v>0</v>
      </c>
      <c r="FE134" s="294">
        <v>0</v>
      </c>
      <c r="FF134" s="294">
        <v>0</v>
      </c>
      <c r="FG134" s="294">
        <v>0</v>
      </c>
      <c r="FH134" s="294">
        <v>0</v>
      </c>
      <c r="FI134" s="294">
        <v>0</v>
      </c>
      <c r="FJ134" s="294">
        <v>0</v>
      </c>
      <c r="FK134" s="294">
        <v>0</v>
      </c>
      <c r="FL134" s="294"/>
      <c r="FM134" s="294">
        <v>0</v>
      </c>
      <c r="FN134" s="294">
        <v>0</v>
      </c>
      <c r="FO134" s="294">
        <v>-300783.19</v>
      </c>
      <c r="FP134" s="294">
        <v>0</v>
      </c>
      <c r="FQ134" s="294">
        <v>-13982881.26</v>
      </c>
      <c r="FR134" s="294">
        <v>0</v>
      </c>
      <c r="FS134" s="294">
        <v>0</v>
      </c>
      <c r="FT134" s="294">
        <v>0</v>
      </c>
      <c r="FU134" s="294"/>
      <c r="FV134" s="294">
        <v>0</v>
      </c>
      <c r="FW134" s="294">
        <v>0</v>
      </c>
      <c r="FX134" s="294">
        <v>0</v>
      </c>
      <c r="FY134" s="294">
        <v>0</v>
      </c>
      <c r="FZ134" s="294">
        <v>0</v>
      </c>
      <c r="GA134" s="294">
        <v>0</v>
      </c>
      <c r="GB134" s="294">
        <v>0</v>
      </c>
      <c r="GC134" s="294">
        <v>0</v>
      </c>
      <c r="GD134" s="294">
        <v>0</v>
      </c>
      <c r="GE134" s="294">
        <v>0</v>
      </c>
      <c r="GF134" s="294">
        <v>-213698.23</v>
      </c>
      <c r="GG134" s="294">
        <v>0</v>
      </c>
      <c r="GH134" s="294">
        <v>140000.15</v>
      </c>
      <c r="GI134" s="294">
        <v>-165499.43</v>
      </c>
      <c r="GJ134" s="294">
        <v>0</v>
      </c>
      <c r="GK134" s="294">
        <v>-210349.15</v>
      </c>
      <c r="GL134" s="294">
        <v>0</v>
      </c>
      <c r="GM134" s="294">
        <v>0</v>
      </c>
      <c r="GN134" s="294">
        <v>0</v>
      </c>
      <c r="GO134" s="294">
        <v>-667948.04</v>
      </c>
      <c r="GP134" s="294">
        <v>-1048401.45</v>
      </c>
      <c r="GQ134" s="294">
        <v>-849419.77</v>
      </c>
      <c r="GR134" s="294">
        <v>0</v>
      </c>
      <c r="GS134" s="294"/>
      <c r="GT134" s="294">
        <v>0</v>
      </c>
      <c r="GU134" s="294">
        <v>0</v>
      </c>
      <c r="GV134" s="294">
        <v>-1622706.23</v>
      </c>
      <c r="GW134" s="294">
        <v>0</v>
      </c>
      <c r="GX134" s="294"/>
      <c r="GY134" s="294"/>
      <c r="GZ134" s="294"/>
      <c r="HA134" s="294"/>
      <c r="HB134" s="294"/>
      <c r="HC134" s="294"/>
      <c r="HD134" s="294"/>
      <c r="HE134" s="294">
        <v>-923726.6</v>
      </c>
      <c r="HF134" s="294">
        <v>-162305.06</v>
      </c>
      <c r="HG134" s="294">
        <v>0</v>
      </c>
      <c r="HH134" s="294">
        <v>-443230.45</v>
      </c>
      <c r="HI134" s="294">
        <v>0</v>
      </c>
      <c r="HJ134" s="294">
        <v>0</v>
      </c>
      <c r="HK134" s="294">
        <v>0</v>
      </c>
      <c r="HL134" s="294"/>
      <c r="HM134" s="294">
        <v>0</v>
      </c>
      <c r="HN134" s="294">
        <v>-196807.5</v>
      </c>
      <c r="HO134" s="294"/>
      <c r="HP134" s="294">
        <v>0</v>
      </c>
      <c r="HQ134" s="294">
        <v>0</v>
      </c>
      <c r="HR134" s="294">
        <v>0</v>
      </c>
      <c r="HS134" s="294">
        <v>0</v>
      </c>
      <c r="HT134" s="294">
        <v>0</v>
      </c>
      <c r="HU134" s="294">
        <v>0</v>
      </c>
      <c r="HV134" s="294">
        <v>0</v>
      </c>
      <c r="HW134" s="294"/>
      <c r="HX134" s="294">
        <v>0</v>
      </c>
      <c r="HY134" s="294"/>
      <c r="HZ134" s="294">
        <v>0</v>
      </c>
      <c r="IA134" s="294">
        <v>0</v>
      </c>
      <c r="IB134" s="294">
        <v>0</v>
      </c>
      <c r="IC134" s="294">
        <v>0</v>
      </c>
      <c r="ID134" s="294">
        <v>0</v>
      </c>
      <c r="IE134" s="294">
        <v>0</v>
      </c>
      <c r="IF134" s="294">
        <v>-629120</v>
      </c>
      <c r="IG134" s="294">
        <v>0</v>
      </c>
      <c r="IH134" s="294"/>
      <c r="II134" s="294">
        <v>-1368023.66</v>
      </c>
      <c r="IJ134" s="294">
        <v>0</v>
      </c>
      <c r="IK134" s="294">
        <v>-518773.38</v>
      </c>
      <c r="IL134" s="294"/>
      <c r="IM134" s="294">
        <v>0</v>
      </c>
      <c r="IN134" s="294">
        <v>0</v>
      </c>
      <c r="IO134" s="294">
        <v>-289795.89</v>
      </c>
      <c r="IP134" s="294">
        <v>0</v>
      </c>
      <c r="IQ134" s="294">
        <v>-93337.78</v>
      </c>
      <c r="IR134" s="294">
        <v>-67649.05</v>
      </c>
      <c r="IS134" s="294">
        <v>0</v>
      </c>
      <c r="IT134" s="294"/>
      <c r="IU134" s="294">
        <v>0</v>
      </c>
      <c r="IV134" s="294">
        <v>0</v>
      </c>
      <c r="IW134" s="294">
        <v>375010.29</v>
      </c>
      <c r="IX134" s="294">
        <v>-152955.70000000001</v>
      </c>
      <c r="IY134" s="294">
        <v>0</v>
      </c>
      <c r="IZ134" s="294">
        <v>0</v>
      </c>
      <c r="JA134" s="294">
        <v>0</v>
      </c>
      <c r="JB134" s="294">
        <v>0</v>
      </c>
      <c r="JC134" s="294">
        <v>0</v>
      </c>
      <c r="JD134" s="294">
        <v>0</v>
      </c>
      <c r="JE134" s="294">
        <v>0</v>
      </c>
      <c r="JF134" s="294">
        <v>0</v>
      </c>
      <c r="JG134" s="294">
        <v>0</v>
      </c>
      <c r="JH134" s="294"/>
      <c r="JI134" s="294">
        <v>0</v>
      </c>
      <c r="JJ134" s="294">
        <v>0</v>
      </c>
      <c r="JK134" s="294">
        <v>0</v>
      </c>
      <c r="JL134" s="294">
        <v>0</v>
      </c>
      <c r="JM134" s="294">
        <v>0</v>
      </c>
      <c r="JN134" s="294">
        <v>-145505.01</v>
      </c>
      <c r="JO134" s="294">
        <v>0</v>
      </c>
      <c r="JP134" s="294"/>
      <c r="JQ134" s="294">
        <v>0</v>
      </c>
      <c r="JR134" s="294">
        <v>0</v>
      </c>
      <c r="JS134" s="294"/>
      <c r="JT134" s="294">
        <v>-229434.08</v>
      </c>
      <c r="JU134" s="294">
        <v>0</v>
      </c>
      <c r="JV134" s="294">
        <v>-870445.57</v>
      </c>
      <c r="JW134" s="294">
        <v>0</v>
      </c>
      <c r="JX134" s="294">
        <v>-948951.96</v>
      </c>
      <c r="JY134" s="294">
        <v>-62410.31</v>
      </c>
      <c r="JZ134" s="294">
        <v>0</v>
      </c>
      <c r="KA134" s="294">
        <v>0</v>
      </c>
      <c r="KB134" s="294">
        <v>-1037115.94</v>
      </c>
      <c r="KC134" s="294">
        <v>0</v>
      </c>
      <c r="KD134" s="294">
        <v>0</v>
      </c>
      <c r="KE134" s="294">
        <v>0</v>
      </c>
      <c r="KF134" s="294">
        <v>0</v>
      </c>
      <c r="KG134" s="294">
        <v>0</v>
      </c>
      <c r="KH134" s="294">
        <v>0</v>
      </c>
      <c r="KI134" s="294">
        <v>0</v>
      </c>
      <c r="KJ134" s="294"/>
      <c r="KK134" s="294">
        <v>0</v>
      </c>
      <c r="KL134" s="294">
        <v>1E-3</v>
      </c>
      <c r="KM134" s="294">
        <v>-600283.29</v>
      </c>
      <c r="KN134" s="294">
        <v>0</v>
      </c>
      <c r="KO134" s="294">
        <v>-282096.94</v>
      </c>
      <c r="KP134" s="294"/>
      <c r="KQ134" s="294">
        <v>0</v>
      </c>
      <c r="KR134" s="294">
        <v>0</v>
      </c>
      <c r="KS134" s="294">
        <v>0</v>
      </c>
      <c r="KT134" s="294">
        <v>0</v>
      </c>
      <c r="KU134" s="294">
        <v>0</v>
      </c>
      <c r="KV134" s="294">
        <v>0</v>
      </c>
      <c r="KW134" s="294">
        <v>0</v>
      </c>
      <c r="KX134" s="294">
        <v>0</v>
      </c>
      <c r="KY134" s="294">
        <v>0</v>
      </c>
      <c r="KZ134" s="294">
        <v>0</v>
      </c>
      <c r="LA134" s="294">
        <v>0</v>
      </c>
      <c r="LB134" s="294"/>
      <c r="LC134" s="294">
        <v>0</v>
      </c>
      <c r="LD134" s="294">
        <v>0</v>
      </c>
      <c r="LE134" s="294">
        <v>0</v>
      </c>
      <c r="LF134" s="294">
        <v>-199294.91</v>
      </c>
      <c r="LG134" s="294">
        <v>-327373.71000000002</v>
      </c>
      <c r="LH134" s="294"/>
      <c r="LI134" s="294">
        <v>0</v>
      </c>
      <c r="LJ134" s="294">
        <v>0</v>
      </c>
      <c r="LK134" s="294">
        <v>0</v>
      </c>
      <c r="LL134" s="294">
        <v>0</v>
      </c>
      <c r="LM134" s="294"/>
      <c r="LN134" s="294">
        <v>-560377.5</v>
      </c>
      <c r="LO134" s="294">
        <v>-92851.79</v>
      </c>
      <c r="LP134" s="294">
        <v>0</v>
      </c>
      <c r="LQ134" s="294"/>
      <c r="LR134" s="294">
        <v>0</v>
      </c>
      <c r="LS134" s="294">
        <v>0</v>
      </c>
      <c r="LT134" s="294">
        <v>0</v>
      </c>
      <c r="LU134" s="294">
        <v>-396138.44</v>
      </c>
      <c r="LV134" s="294"/>
      <c r="LW134" s="294">
        <v>0</v>
      </c>
      <c r="LX134" s="294"/>
      <c r="LY134" s="294">
        <v>0</v>
      </c>
      <c r="LZ134" s="294"/>
      <c r="MA134" s="294"/>
      <c r="MB134" s="294"/>
      <c r="MC134" s="294">
        <v>0</v>
      </c>
      <c r="MD134" s="294">
        <v>0</v>
      </c>
      <c r="ME134" s="294">
        <v>0</v>
      </c>
      <c r="MF134" s="294"/>
      <c r="MG134" s="294">
        <v>0</v>
      </c>
      <c r="MH134" s="294">
        <v>0</v>
      </c>
      <c r="MI134" s="294"/>
      <c r="MJ134" s="294">
        <v>0</v>
      </c>
      <c r="MK134" s="294"/>
      <c r="ML134" s="294">
        <v>0</v>
      </c>
      <c r="MM134" s="294">
        <v>0</v>
      </c>
      <c r="MN134" s="294">
        <v>0</v>
      </c>
      <c r="MO134" s="294">
        <v>0</v>
      </c>
      <c r="MP134" s="294">
        <v>0</v>
      </c>
      <c r="MQ134" s="294">
        <v>-447206.58</v>
      </c>
      <c r="MR134" s="294">
        <v>0</v>
      </c>
      <c r="MS134" s="294">
        <v>0</v>
      </c>
      <c r="MT134" s="294">
        <v>0</v>
      </c>
      <c r="MU134" s="294">
        <v>0</v>
      </c>
      <c r="MV134" s="294">
        <v>0</v>
      </c>
      <c r="MW134" s="294">
        <v>0</v>
      </c>
      <c r="MX134" s="294">
        <v>0</v>
      </c>
      <c r="MY134" s="294">
        <v>-435024.5601</v>
      </c>
      <c r="MZ134" s="294">
        <v>0</v>
      </c>
      <c r="NA134" s="294">
        <v>-3761822.96</v>
      </c>
      <c r="NB134" s="294">
        <v>0</v>
      </c>
      <c r="NC134" s="294">
        <v>-86000.25</v>
      </c>
      <c r="ND134" s="294">
        <v>0</v>
      </c>
      <c r="NE134" s="294">
        <v>-198299.15</v>
      </c>
      <c r="NF134" s="294">
        <v>0</v>
      </c>
      <c r="NG134" s="294">
        <v>-357578.72</v>
      </c>
      <c r="NH134" s="294">
        <v>0</v>
      </c>
      <c r="NI134" s="294">
        <v>0</v>
      </c>
      <c r="NJ134" s="294">
        <v>0</v>
      </c>
      <c r="NK134" s="294">
        <v>0</v>
      </c>
      <c r="NL134" s="294"/>
      <c r="NM134" s="294">
        <v>0</v>
      </c>
      <c r="NN134" s="294">
        <v>0</v>
      </c>
      <c r="NO134" s="294">
        <v>-230702.75</v>
      </c>
      <c r="NP134" s="294">
        <v>0</v>
      </c>
      <c r="NQ134" s="294">
        <v>0</v>
      </c>
      <c r="NR134" s="294">
        <v>0</v>
      </c>
      <c r="NS134" s="294">
        <v>0</v>
      </c>
      <c r="NT134" s="294">
        <v>0</v>
      </c>
      <c r="NU134" s="294"/>
      <c r="NV134" s="294">
        <v>0</v>
      </c>
      <c r="NW134" s="294">
        <v>0</v>
      </c>
      <c r="NX134" s="294">
        <v>-7200000</v>
      </c>
      <c r="NY134" s="294">
        <v>-118020.84</v>
      </c>
      <c r="NZ134" s="294">
        <v>-320545.09000000003</v>
      </c>
      <c r="OA134" s="294">
        <v>0</v>
      </c>
      <c r="OB134" s="294"/>
      <c r="OC134" s="294">
        <v>-136322.57999999999</v>
      </c>
      <c r="OD134" s="294">
        <v>-4346000.43</v>
      </c>
      <c r="OE134" s="294">
        <v>0</v>
      </c>
      <c r="OF134" s="294">
        <v>0</v>
      </c>
      <c r="OG134" s="294">
        <v>-1712358.2</v>
      </c>
      <c r="OH134" s="294">
        <v>-163418.97</v>
      </c>
      <c r="OI134" s="294">
        <v>0</v>
      </c>
      <c r="OJ134" s="294">
        <v>0</v>
      </c>
      <c r="OK134" s="294"/>
      <c r="OL134" s="294">
        <v>0</v>
      </c>
      <c r="OM134" s="294">
        <v>0</v>
      </c>
      <c r="ON134" s="294">
        <v>0</v>
      </c>
      <c r="OO134" s="294">
        <v>-2099652.96</v>
      </c>
      <c r="OP134" s="294">
        <v>-117446.16</v>
      </c>
      <c r="OQ134" s="294">
        <v>0</v>
      </c>
      <c r="OR134" s="294">
        <v>0</v>
      </c>
      <c r="OS134" s="294">
        <v>-1499117.72</v>
      </c>
      <c r="OT134" s="294">
        <v>-443131.85</v>
      </c>
      <c r="OU134" s="294">
        <v>-1261495.74</v>
      </c>
      <c r="OV134" s="294">
        <v>0</v>
      </c>
      <c r="OW134" s="294">
        <v>0</v>
      </c>
      <c r="OX134" s="294">
        <v>0</v>
      </c>
      <c r="OY134" s="294">
        <v>0</v>
      </c>
      <c r="OZ134" s="294">
        <v>0</v>
      </c>
      <c r="PA134" s="294">
        <v>-44960.31</v>
      </c>
      <c r="PB134" s="294">
        <v>0</v>
      </c>
      <c r="PC134" s="294"/>
      <c r="PD134" s="294">
        <v>0</v>
      </c>
      <c r="PE134" s="294">
        <v>0</v>
      </c>
      <c r="PF134" s="294">
        <v>0</v>
      </c>
      <c r="PG134" s="294">
        <v>0</v>
      </c>
      <c r="PH134" s="294">
        <v>-748066.44</v>
      </c>
      <c r="PI134" s="294">
        <v>0</v>
      </c>
      <c r="PJ134" s="294">
        <v>0</v>
      </c>
      <c r="PK134" s="294">
        <v>-29736.92</v>
      </c>
      <c r="PL134" s="294"/>
      <c r="PM134" s="294">
        <v>0</v>
      </c>
      <c r="PN134" s="294">
        <v>0</v>
      </c>
      <c r="PO134" s="294">
        <v>0</v>
      </c>
      <c r="PP134" s="294">
        <v>-153562.14000000001</v>
      </c>
      <c r="PQ134" s="294">
        <v>0</v>
      </c>
      <c r="PR134" s="294">
        <v>0</v>
      </c>
      <c r="PS134" s="294">
        <v>0</v>
      </c>
      <c r="PT134" s="294">
        <v>0</v>
      </c>
      <c r="PU134" s="294">
        <v>0</v>
      </c>
      <c r="PV134" s="294">
        <v>0</v>
      </c>
      <c r="PW134" s="294">
        <v>0</v>
      </c>
      <c r="PX134" s="294">
        <v>-1865147.22</v>
      </c>
      <c r="PY134" s="294">
        <v>0</v>
      </c>
      <c r="PZ134" s="294">
        <v>0</v>
      </c>
      <c r="QA134" s="294">
        <v>0</v>
      </c>
      <c r="QB134" s="294">
        <v>-840126.21</v>
      </c>
      <c r="QC134" s="294">
        <v>0</v>
      </c>
      <c r="QD134" s="294">
        <v>-601253.38</v>
      </c>
      <c r="QE134" s="294">
        <v>0</v>
      </c>
      <c r="QF134" s="294">
        <v>0</v>
      </c>
      <c r="QG134" s="294">
        <v>0</v>
      </c>
      <c r="QH134" s="294">
        <v>0</v>
      </c>
      <c r="QI134" s="294">
        <v>0</v>
      </c>
      <c r="QJ134" s="294"/>
      <c r="QK134" s="294">
        <v>0</v>
      </c>
      <c r="QL134" s="294">
        <v>0</v>
      </c>
      <c r="QM134" s="294">
        <v>0</v>
      </c>
      <c r="QN134" s="294">
        <v>0</v>
      </c>
      <c r="QO134" s="294">
        <v>0</v>
      </c>
      <c r="QP134" s="294">
        <v>-594065.56999999995</v>
      </c>
      <c r="QQ134" s="294">
        <v>-387989.03</v>
      </c>
      <c r="QR134" s="294">
        <v>-27394.86</v>
      </c>
      <c r="QS134" s="294">
        <v>-153001.67000000001</v>
      </c>
      <c r="QT134" s="294"/>
      <c r="QU134" s="294">
        <v>0</v>
      </c>
      <c r="QV134" s="294">
        <v>0</v>
      </c>
      <c r="QW134" s="294">
        <v>0</v>
      </c>
      <c r="QX134" s="294">
        <v>0</v>
      </c>
      <c r="QY134" s="294">
        <v>0</v>
      </c>
      <c r="QZ134" s="294">
        <v>0</v>
      </c>
      <c r="RA134" s="294">
        <v>0</v>
      </c>
      <c r="RB134" s="294">
        <v>0</v>
      </c>
      <c r="RC134" s="294">
        <v>0</v>
      </c>
      <c r="RD134" s="294">
        <v>0</v>
      </c>
      <c r="RE134" s="294">
        <v>0</v>
      </c>
      <c r="RF134" s="294">
        <v>0</v>
      </c>
      <c r="RG134" s="294"/>
      <c r="RH134" s="294">
        <v>0</v>
      </c>
      <c r="RI134" s="294">
        <v>0</v>
      </c>
      <c r="RJ134" s="294">
        <v>0</v>
      </c>
      <c r="RK134" s="294">
        <v>0</v>
      </c>
      <c r="RL134" s="294">
        <v>0</v>
      </c>
      <c r="RM134" s="294"/>
      <c r="RN134" s="294">
        <v>0</v>
      </c>
      <c r="RO134" s="294">
        <v>0</v>
      </c>
      <c r="RP134" s="294">
        <v>0</v>
      </c>
      <c r="RQ134" s="294">
        <v>0</v>
      </c>
      <c r="RR134" s="294">
        <v>0</v>
      </c>
      <c r="RS134" s="294">
        <v>-58296.13</v>
      </c>
      <c r="RT134" s="294"/>
      <c r="RU134" s="294">
        <v>0</v>
      </c>
      <c r="RV134" s="294">
        <v>0</v>
      </c>
      <c r="RW134" s="294">
        <v>0</v>
      </c>
      <c r="RX134" s="294">
        <v>0</v>
      </c>
      <c r="RY134" s="294"/>
      <c r="RZ134" s="294">
        <v>0</v>
      </c>
      <c r="SA134" s="294">
        <v>-343848.51</v>
      </c>
      <c r="SB134" s="294"/>
      <c r="SC134" s="294">
        <v>0</v>
      </c>
      <c r="SD134" s="294">
        <v>0</v>
      </c>
      <c r="SE134" s="294">
        <v>0</v>
      </c>
      <c r="SF134" s="294">
        <v>0</v>
      </c>
      <c r="SG134" s="294">
        <v>0</v>
      </c>
      <c r="SH134" s="294">
        <v>0</v>
      </c>
      <c r="SI134" s="294">
        <v>0</v>
      </c>
      <c r="SJ134" s="294">
        <v>0</v>
      </c>
      <c r="SK134" s="294">
        <v>0</v>
      </c>
      <c r="SL134" s="294">
        <v>0</v>
      </c>
      <c r="SM134" s="294">
        <v>0</v>
      </c>
      <c r="SN134" s="294">
        <v>0</v>
      </c>
      <c r="SO134" s="294">
        <v>0</v>
      </c>
      <c r="SP134" s="294">
        <v>0</v>
      </c>
      <c r="SQ134" s="294">
        <v>-68765.960000000006</v>
      </c>
      <c r="SR134" s="294">
        <v>0</v>
      </c>
      <c r="SS134" s="294">
        <v>0</v>
      </c>
      <c r="ST134" s="294">
        <v>0</v>
      </c>
      <c r="SU134" s="294">
        <v>-1399345.4</v>
      </c>
      <c r="SV134" s="294">
        <v>0</v>
      </c>
      <c r="SW134" s="294">
        <v>-34218.01</v>
      </c>
      <c r="SX134" s="294">
        <v>0</v>
      </c>
      <c r="SY134" s="294">
        <v>0</v>
      </c>
      <c r="SZ134" s="294">
        <v>0</v>
      </c>
      <c r="TA134" s="294">
        <v>0</v>
      </c>
      <c r="TB134" s="294">
        <v>0</v>
      </c>
      <c r="TC134" s="294">
        <v>0</v>
      </c>
      <c r="TD134" s="294">
        <v>0</v>
      </c>
      <c r="TE134" s="294">
        <v>0</v>
      </c>
      <c r="TF134" s="294">
        <v>0</v>
      </c>
      <c r="TG134" s="294">
        <v>0</v>
      </c>
      <c r="TH134" s="294">
        <v>0</v>
      </c>
      <c r="TI134" s="294">
        <v>0</v>
      </c>
      <c r="TJ134" s="294">
        <v>0</v>
      </c>
      <c r="TK134" s="294">
        <v>0</v>
      </c>
      <c r="TL134" s="294">
        <v>0</v>
      </c>
      <c r="TM134" s="294">
        <v>0</v>
      </c>
      <c r="TN134" s="294">
        <v>0</v>
      </c>
      <c r="TO134" s="294">
        <v>0</v>
      </c>
      <c r="TP134" s="294">
        <v>0</v>
      </c>
      <c r="TQ134" s="294">
        <v>-137743.4</v>
      </c>
      <c r="TR134" s="294">
        <v>0</v>
      </c>
      <c r="TS134" s="294">
        <v>0</v>
      </c>
      <c r="TT134" s="294">
        <v>0</v>
      </c>
      <c r="TU134" s="294">
        <v>0</v>
      </c>
      <c r="TV134" s="294">
        <v>0</v>
      </c>
      <c r="TW134" s="294">
        <v>0</v>
      </c>
      <c r="TX134" s="294">
        <v>0</v>
      </c>
      <c r="TY134" s="294">
        <v>0</v>
      </c>
      <c r="TZ134" s="294">
        <v>0</v>
      </c>
      <c r="UA134" s="294">
        <v>-144234.09</v>
      </c>
      <c r="UB134" s="294">
        <v>-390930.84</v>
      </c>
      <c r="UC134" s="294">
        <v>0</v>
      </c>
      <c r="UD134" s="294">
        <v>0</v>
      </c>
      <c r="UE134" s="294">
        <v>0</v>
      </c>
      <c r="UF134" s="294">
        <v>0</v>
      </c>
      <c r="UG134" s="294">
        <v>0</v>
      </c>
      <c r="UH134" s="294">
        <v>0</v>
      </c>
      <c r="UI134" s="294">
        <v>0</v>
      </c>
      <c r="UJ134" s="294">
        <v>0</v>
      </c>
      <c r="UK134" s="294">
        <v>0</v>
      </c>
      <c r="UL134" s="294">
        <v>0</v>
      </c>
      <c r="UM134" s="294">
        <v>0</v>
      </c>
      <c r="UN134" s="294">
        <v>0</v>
      </c>
      <c r="UO134" s="294">
        <v>0</v>
      </c>
      <c r="UP134" s="294">
        <v>-113510.21</v>
      </c>
      <c r="UQ134" s="294">
        <v>0</v>
      </c>
      <c r="UR134" s="294">
        <v>0</v>
      </c>
      <c r="US134" s="294">
        <v>-4266504.26</v>
      </c>
      <c r="UT134" s="294"/>
      <c r="UU134" s="294">
        <v>-919335.2</v>
      </c>
      <c r="UV134" s="294">
        <v>-100773.75</v>
      </c>
      <c r="UW134" s="294">
        <v>-567251.97</v>
      </c>
      <c r="UX134" s="294"/>
      <c r="UY134" s="294">
        <v>-1749629.11</v>
      </c>
      <c r="UZ134" s="294">
        <v>-50470.07</v>
      </c>
      <c r="VA134" s="294">
        <v>-1825695.07</v>
      </c>
      <c r="VB134" s="294"/>
      <c r="VC134" s="294">
        <v>-1441179.25</v>
      </c>
      <c r="VD134" s="294">
        <v>-1000794.36</v>
      </c>
      <c r="VE134" s="294">
        <v>-1107920</v>
      </c>
      <c r="VF134" s="294">
        <v>-36075.96</v>
      </c>
      <c r="VG134" s="294">
        <v>-242273.11</v>
      </c>
      <c r="VH134" s="294">
        <v>-1543019.18</v>
      </c>
      <c r="VI134" s="294">
        <v>0</v>
      </c>
      <c r="VJ134" s="294">
        <v>0</v>
      </c>
      <c r="VK134" s="294">
        <v>-3479.07</v>
      </c>
      <c r="VL134" s="294">
        <v>447395.65</v>
      </c>
      <c r="VM134" s="294">
        <v>0</v>
      </c>
      <c r="VN134" s="294">
        <v>0</v>
      </c>
      <c r="VO134" s="294">
        <v>-258148</v>
      </c>
      <c r="VP134" s="294">
        <v>0</v>
      </c>
      <c r="VQ134" s="294">
        <v>0</v>
      </c>
      <c r="VR134" s="294">
        <v>-974429.98</v>
      </c>
      <c r="VS134" s="294">
        <v>0</v>
      </c>
      <c r="VT134" s="294">
        <v>0</v>
      </c>
      <c r="VU134" s="294">
        <v>0</v>
      </c>
      <c r="VV134" s="294">
        <v>0</v>
      </c>
      <c r="VW134" s="294">
        <v>0</v>
      </c>
      <c r="VX134" s="294">
        <v>0</v>
      </c>
      <c r="VY134" s="294">
        <v>0</v>
      </c>
      <c r="VZ134" s="294">
        <v>0</v>
      </c>
      <c r="WA134" s="294"/>
      <c r="WB134" s="294">
        <v>0</v>
      </c>
      <c r="WC134" s="294">
        <v>0</v>
      </c>
      <c r="WD134" s="294">
        <v>0</v>
      </c>
      <c r="WE134" s="294"/>
      <c r="WF134" s="294">
        <v>0</v>
      </c>
      <c r="WG134" s="294">
        <v>0</v>
      </c>
      <c r="WH134" s="294">
        <v>0</v>
      </c>
      <c r="WI134" s="294">
        <v>0</v>
      </c>
      <c r="WJ134" s="294">
        <v>0</v>
      </c>
      <c r="WK134" s="294">
        <v>0</v>
      </c>
      <c r="WL134" s="294">
        <v>0</v>
      </c>
      <c r="WM134" s="294">
        <v>0</v>
      </c>
      <c r="WN134" s="294">
        <v>0</v>
      </c>
      <c r="WO134" s="294">
        <v>-1017899.49</v>
      </c>
      <c r="WP134" s="294"/>
      <c r="WQ134" s="294">
        <v>0</v>
      </c>
      <c r="WR134" s="294">
        <v>0</v>
      </c>
      <c r="WS134" s="294">
        <v>0</v>
      </c>
      <c r="WT134" s="294">
        <v>0</v>
      </c>
      <c r="WU134" s="294">
        <v>0</v>
      </c>
      <c r="WV134" s="294"/>
      <c r="WW134" s="294"/>
      <c r="WX134" s="294">
        <v>0</v>
      </c>
      <c r="WY134" s="294">
        <v>0</v>
      </c>
      <c r="WZ134" s="294"/>
      <c r="XA134" s="294">
        <v>0</v>
      </c>
      <c r="XB134" s="294">
        <v>0</v>
      </c>
      <c r="XC134" s="294">
        <v>0</v>
      </c>
      <c r="XD134" s="294">
        <v>0</v>
      </c>
      <c r="XE134" s="294">
        <v>0</v>
      </c>
      <c r="XF134" s="294"/>
      <c r="XG134" s="294">
        <v>-562595.31999999995</v>
      </c>
      <c r="XH134" s="294"/>
      <c r="XI134" s="294">
        <v>0</v>
      </c>
      <c r="XJ134" s="294">
        <v>0</v>
      </c>
      <c r="XK134" s="294">
        <v>0</v>
      </c>
      <c r="XL134" s="294">
        <v>0</v>
      </c>
      <c r="XM134" s="294">
        <v>0</v>
      </c>
      <c r="XN134" s="294">
        <v>0</v>
      </c>
      <c r="XO134" s="294">
        <v>0</v>
      </c>
      <c r="XP134" s="294"/>
      <c r="XQ134" s="294">
        <v>0</v>
      </c>
      <c r="XR134" s="294">
        <v>0</v>
      </c>
      <c r="XS134" s="294"/>
      <c r="XT134" s="294">
        <v>0</v>
      </c>
      <c r="XU134" s="294"/>
      <c r="XV134" s="294">
        <v>0</v>
      </c>
      <c r="XW134" s="294">
        <v>0</v>
      </c>
      <c r="XX134" s="294">
        <v>0</v>
      </c>
      <c r="XY134" s="294">
        <v>0</v>
      </c>
      <c r="XZ134" s="294">
        <v>0</v>
      </c>
      <c r="YA134" s="294">
        <v>0</v>
      </c>
      <c r="YB134" s="294">
        <v>0</v>
      </c>
      <c r="YC134" s="294">
        <v>0</v>
      </c>
      <c r="YD134" s="294">
        <v>0</v>
      </c>
      <c r="YE134" s="294">
        <v>0</v>
      </c>
      <c r="YF134" s="294">
        <v>0</v>
      </c>
      <c r="YG134" s="294">
        <v>0</v>
      </c>
      <c r="YH134" s="294">
        <v>0</v>
      </c>
      <c r="YI134" s="294">
        <v>0</v>
      </c>
      <c r="YJ134" s="294">
        <v>0</v>
      </c>
      <c r="YK134" s="294">
        <v>0</v>
      </c>
      <c r="YL134" s="294">
        <v>0</v>
      </c>
      <c r="YM134" s="294">
        <v>0</v>
      </c>
      <c r="YN134" s="294">
        <v>0</v>
      </c>
      <c r="YO134" s="294">
        <v>0</v>
      </c>
      <c r="YP134" s="294">
        <v>0</v>
      </c>
      <c r="YQ134" s="294">
        <v>0</v>
      </c>
      <c r="YR134" s="294">
        <v>0</v>
      </c>
      <c r="YS134" s="294">
        <v>0</v>
      </c>
      <c r="YT134" s="294">
        <v>0</v>
      </c>
      <c r="YU134" s="294">
        <v>0</v>
      </c>
      <c r="YV134" s="294">
        <v>0</v>
      </c>
      <c r="YW134" s="294">
        <v>0</v>
      </c>
      <c r="YX134" s="294">
        <v>0</v>
      </c>
      <c r="YY134" s="294">
        <v>0</v>
      </c>
      <c r="YZ134" s="294">
        <v>-189673.09</v>
      </c>
      <c r="ZA134" s="294">
        <v>-281721.65000000002</v>
      </c>
      <c r="ZB134" s="294">
        <v>0</v>
      </c>
      <c r="ZC134" s="294">
        <v>-80625.47</v>
      </c>
      <c r="ZD134" s="294">
        <v>0</v>
      </c>
      <c r="ZE134" s="294">
        <v>0</v>
      </c>
      <c r="ZF134" s="294">
        <v>-268366.40000000002</v>
      </c>
      <c r="ZG134" s="294">
        <v>0</v>
      </c>
      <c r="ZH134" s="294">
        <v>0</v>
      </c>
      <c r="ZI134" s="294">
        <v>0</v>
      </c>
      <c r="ZJ134" s="294">
        <v>0</v>
      </c>
      <c r="ZK134" s="294">
        <v>0</v>
      </c>
      <c r="ZL134" s="294">
        <v>-10212376.130000001</v>
      </c>
      <c r="ZM134" s="294">
        <v>-2838458.58</v>
      </c>
      <c r="ZN134" s="294">
        <v>-3840964.54</v>
      </c>
      <c r="ZO134" s="294">
        <v>-1304840.05</v>
      </c>
      <c r="ZP134" s="294">
        <v>-3617128.83</v>
      </c>
      <c r="ZQ134" s="294">
        <v>-279961.59999999998</v>
      </c>
      <c r="ZR134" s="294">
        <v>-5821136.8499999996</v>
      </c>
      <c r="ZS134" s="294"/>
      <c r="ZT134" s="294">
        <v>-3943365</v>
      </c>
      <c r="ZU134" s="294">
        <v>-4226205.75</v>
      </c>
      <c r="ZV134" s="294">
        <v>-528721.84</v>
      </c>
      <c r="ZW134" s="294">
        <v>-6808140.5300000003</v>
      </c>
      <c r="ZX134" s="294">
        <v>-74509.88</v>
      </c>
      <c r="ZY134" s="294">
        <v>-2456499.17</v>
      </c>
      <c r="ZZ134" s="294">
        <v>-1978810.78</v>
      </c>
      <c r="AAA134" s="294"/>
      <c r="AAB134" s="294">
        <v>-416245.32</v>
      </c>
      <c r="AAC134" s="294">
        <v>-382967.82</v>
      </c>
      <c r="AAD134" s="294">
        <v>-3868248.25</v>
      </c>
      <c r="AAE134" s="294">
        <v>-4579.75</v>
      </c>
      <c r="AAF134" s="294">
        <v>-1065866.1499999999</v>
      </c>
      <c r="AAG134" s="294">
        <v>-645224.41</v>
      </c>
      <c r="AAH134" s="294">
        <v>0</v>
      </c>
      <c r="AAI134" s="294">
        <v>0</v>
      </c>
      <c r="AAJ134" s="294">
        <v>0</v>
      </c>
      <c r="AAK134" s="294">
        <v>0</v>
      </c>
      <c r="AAL134" s="294">
        <v>0</v>
      </c>
      <c r="AAM134" s="294">
        <v>0</v>
      </c>
      <c r="AAN134" s="294">
        <v>0</v>
      </c>
      <c r="AAO134" s="294"/>
      <c r="AAP134" s="294">
        <v>0</v>
      </c>
      <c r="AAQ134" s="294">
        <v>0</v>
      </c>
      <c r="AAR134" s="294">
        <v>0</v>
      </c>
      <c r="AAS134" s="294">
        <v>0</v>
      </c>
      <c r="AAT134" s="294">
        <v>0</v>
      </c>
      <c r="AAU134" s="294">
        <v>0</v>
      </c>
      <c r="AAV134" s="294">
        <v>0</v>
      </c>
      <c r="AAW134" s="294">
        <v>0</v>
      </c>
      <c r="AAX134" s="294">
        <v>0</v>
      </c>
      <c r="AAY134" s="294"/>
      <c r="AAZ134" s="294">
        <v>0</v>
      </c>
      <c r="ABA134" s="294">
        <v>-432799.15</v>
      </c>
      <c r="ABB134" s="294">
        <v>0</v>
      </c>
      <c r="ABC134" s="294">
        <v>0</v>
      </c>
      <c r="ABD134" s="294">
        <v>0</v>
      </c>
      <c r="ABE134" s="294">
        <v>0</v>
      </c>
      <c r="ABF134" s="294">
        <v>0</v>
      </c>
      <c r="ABG134" s="294">
        <v>0</v>
      </c>
      <c r="ABH134" s="294">
        <v>0</v>
      </c>
      <c r="ABI134" s="294">
        <v>0</v>
      </c>
      <c r="ABJ134" s="294">
        <v>0</v>
      </c>
      <c r="ABK134" s="294">
        <v>0</v>
      </c>
      <c r="ABL134" s="294">
        <v>0</v>
      </c>
      <c r="ABM134" s="294">
        <v>0</v>
      </c>
      <c r="ABN134" s="294">
        <v>0</v>
      </c>
      <c r="ABO134" s="294"/>
      <c r="ABP134" s="294">
        <v>0</v>
      </c>
      <c r="ABQ134" s="294"/>
      <c r="ABR134" s="294">
        <v>0</v>
      </c>
      <c r="ABS134" s="294"/>
      <c r="ABT134" s="294"/>
      <c r="ABU134" s="294">
        <v>0</v>
      </c>
      <c r="ABV134" s="294">
        <v>0</v>
      </c>
      <c r="ABW134" s="294"/>
      <c r="ABX134" s="294">
        <v>-68836.600000000006</v>
      </c>
      <c r="ABY134" s="294"/>
      <c r="ABZ134" s="294">
        <v>0</v>
      </c>
      <c r="ACA134" s="294"/>
      <c r="ACB134" s="294">
        <v>0</v>
      </c>
      <c r="ACC134" s="294">
        <v>0</v>
      </c>
      <c r="ACD134" s="294"/>
      <c r="ACE134" s="294">
        <v>0</v>
      </c>
      <c r="ACF134" s="294">
        <v>0</v>
      </c>
      <c r="ACG134" s="294">
        <v>-191609.01</v>
      </c>
      <c r="ACH134" s="294"/>
      <c r="ACI134" s="294">
        <v>0</v>
      </c>
      <c r="ACJ134" s="294">
        <v>0</v>
      </c>
      <c r="ACK134" s="294">
        <v>0</v>
      </c>
      <c r="ACL134" s="294">
        <v>0</v>
      </c>
      <c r="ACM134" s="294"/>
      <c r="ACN134" s="294">
        <v>-28193.06</v>
      </c>
      <c r="ACO134" s="294">
        <v>0</v>
      </c>
      <c r="ACP134" s="294"/>
      <c r="ACQ134" s="294">
        <v>0</v>
      </c>
      <c r="ACR134" s="294">
        <v>0</v>
      </c>
      <c r="ACS134" s="294">
        <v>-964746.88</v>
      </c>
      <c r="ACT134" s="294">
        <v>-837359.74</v>
      </c>
      <c r="ACU134" s="294">
        <v>0</v>
      </c>
      <c r="ACV134" s="294">
        <v>0</v>
      </c>
      <c r="ACW134" s="294">
        <v>0</v>
      </c>
      <c r="ACX134" s="294">
        <v>0</v>
      </c>
      <c r="ACY134" s="294">
        <v>0</v>
      </c>
      <c r="ACZ134" s="294">
        <v>0</v>
      </c>
      <c r="ADA134" s="294">
        <v>0</v>
      </c>
      <c r="ADB134" s="294"/>
      <c r="ADC134" s="294">
        <v>0</v>
      </c>
      <c r="ADD134" s="294">
        <v>0</v>
      </c>
      <c r="ADE134" s="294"/>
      <c r="ADF134" s="294"/>
      <c r="ADG134" s="294">
        <v>0</v>
      </c>
      <c r="ADH134" s="294"/>
      <c r="ADI134" s="294">
        <v>-90598.7</v>
      </c>
      <c r="ADJ134" s="294">
        <v>-82417.570000000007</v>
      </c>
      <c r="ADK134" s="294">
        <v>-156.53</v>
      </c>
      <c r="ADL134" s="294">
        <v>0</v>
      </c>
      <c r="ADM134" s="294">
        <v>0</v>
      </c>
      <c r="ADN134" s="294">
        <v>0</v>
      </c>
      <c r="ADO134" s="294">
        <v>0</v>
      </c>
      <c r="ADP134" s="294">
        <v>0</v>
      </c>
      <c r="ADQ134" s="294"/>
      <c r="ADR134" s="294"/>
      <c r="ADS134" s="294">
        <v>0</v>
      </c>
      <c r="ADT134" s="294">
        <v>0</v>
      </c>
      <c r="ADU134" s="294">
        <v>-679005.26</v>
      </c>
      <c r="ADV134" s="294">
        <v>0</v>
      </c>
      <c r="ADW134" s="294"/>
      <c r="ADX134" s="294"/>
      <c r="ADY134" s="294"/>
      <c r="ADZ134" s="294">
        <v>-414856.77</v>
      </c>
      <c r="AEA134" s="294">
        <v>0</v>
      </c>
      <c r="AEB134" s="294">
        <v>0</v>
      </c>
      <c r="AEC134" s="294"/>
      <c r="AED134" s="294"/>
      <c r="AEE134" s="294">
        <v>0</v>
      </c>
      <c r="AEF134" s="294">
        <v>0</v>
      </c>
      <c r="AEG134" s="294">
        <v>0</v>
      </c>
      <c r="AEH134" s="294">
        <v>-8753.43</v>
      </c>
      <c r="AEI134" s="294"/>
      <c r="AEJ134" s="294">
        <v>-592375.82999999996</v>
      </c>
      <c r="AEK134" s="294"/>
      <c r="AEL134" s="294">
        <v>0</v>
      </c>
      <c r="AEM134" s="294">
        <v>0</v>
      </c>
      <c r="AEN134" s="294">
        <v>-370116.56</v>
      </c>
      <c r="AEO134" s="294">
        <v>0</v>
      </c>
      <c r="AEP134" s="294"/>
      <c r="AEQ134" s="294"/>
      <c r="AER134" s="294">
        <v>-542692.32999999996</v>
      </c>
      <c r="AES134" s="294">
        <v>0</v>
      </c>
      <c r="AET134" s="294">
        <v>0</v>
      </c>
      <c r="AEU134" s="294">
        <v>0</v>
      </c>
      <c r="AEV134" s="294">
        <v>0</v>
      </c>
      <c r="AEW134" s="294">
        <v>-30448.09</v>
      </c>
      <c r="AEX134" s="294">
        <v>47790.9</v>
      </c>
      <c r="AEY134" s="294">
        <v>0</v>
      </c>
      <c r="AEZ134" s="294">
        <v>0</v>
      </c>
      <c r="AFA134" s="294">
        <v>0</v>
      </c>
      <c r="AFB134" s="294">
        <v>0</v>
      </c>
      <c r="AFC134" s="294">
        <v>-533519.06000000006</v>
      </c>
      <c r="AFD134" s="294">
        <v>-156375.59</v>
      </c>
      <c r="AFE134" s="294"/>
      <c r="AFF134" s="294">
        <v>0</v>
      </c>
      <c r="AFG134" s="294">
        <v>-0.03</v>
      </c>
      <c r="AFH134" s="294"/>
      <c r="AFI134" s="294">
        <v>0</v>
      </c>
      <c r="AFJ134" s="294">
        <v>0</v>
      </c>
      <c r="AFK134" s="294">
        <v>0</v>
      </c>
      <c r="AFL134" s="294">
        <v>0</v>
      </c>
      <c r="AFM134" s="294">
        <v>0</v>
      </c>
      <c r="AFN134" s="294">
        <v>0</v>
      </c>
      <c r="AFO134" s="294">
        <v>0</v>
      </c>
      <c r="AFP134" s="294">
        <v>-412996.35</v>
      </c>
      <c r="AFQ134" s="294">
        <v>-267309.34999999998</v>
      </c>
      <c r="AFR134" s="294">
        <v>0</v>
      </c>
      <c r="AFS134" s="294">
        <v>0</v>
      </c>
      <c r="AFT134" s="294">
        <v>0</v>
      </c>
      <c r="AFU134" s="294">
        <v>0</v>
      </c>
      <c r="AFV134" s="294">
        <v>0</v>
      </c>
      <c r="AFW134" s="294">
        <v>0</v>
      </c>
      <c r="AFX134" s="294">
        <v>0</v>
      </c>
      <c r="AFY134" s="294">
        <v>0</v>
      </c>
      <c r="AFZ134" s="294">
        <v>0</v>
      </c>
      <c r="AGA134" s="294">
        <v>0</v>
      </c>
      <c r="AGB134" s="294">
        <v>0</v>
      </c>
      <c r="AGC134" s="294">
        <v>0</v>
      </c>
      <c r="AGD134" s="294"/>
      <c r="AGE134" s="294">
        <v>0</v>
      </c>
      <c r="AGF134" s="294">
        <v>0</v>
      </c>
      <c r="AGG134" s="294">
        <v>0</v>
      </c>
      <c r="AGH134" s="294">
        <v>0</v>
      </c>
      <c r="AGI134" s="294">
        <v>-183273.01</v>
      </c>
      <c r="AGJ134" s="294">
        <v>0</v>
      </c>
      <c r="AGK134" s="294">
        <v>0</v>
      </c>
      <c r="AGL134" s="294">
        <v>0</v>
      </c>
      <c r="AGM134" s="294">
        <v>0</v>
      </c>
      <c r="AGN134" s="294">
        <v>0</v>
      </c>
      <c r="AGO134" s="294">
        <v>0</v>
      </c>
      <c r="AGP134" s="294">
        <v>0</v>
      </c>
      <c r="AGQ134" s="294">
        <v>-1331888.48</v>
      </c>
      <c r="AGR134" s="294">
        <v>0</v>
      </c>
      <c r="AGS134" s="294">
        <v>0</v>
      </c>
      <c r="AGT134" s="294">
        <v>0</v>
      </c>
      <c r="AGU134" s="294">
        <v>0</v>
      </c>
      <c r="AGV134" s="294">
        <v>-5302814.1100000003</v>
      </c>
      <c r="AGW134" s="294">
        <v>-464091.4</v>
      </c>
      <c r="AGX134" s="294">
        <v>0</v>
      </c>
      <c r="AGY134" s="294">
        <v>0</v>
      </c>
      <c r="AGZ134" s="294">
        <v>0</v>
      </c>
      <c r="AHA134" s="294">
        <v>0</v>
      </c>
      <c r="AHB134" s="294">
        <v>-341522.47</v>
      </c>
      <c r="AHC134" s="294">
        <v>0</v>
      </c>
      <c r="AHD134" s="294">
        <v>-105576.96000000001</v>
      </c>
      <c r="AHE134" s="294">
        <v>0</v>
      </c>
      <c r="AHF134" s="294">
        <v>-530231.34</v>
      </c>
      <c r="AHG134" s="294">
        <v>0</v>
      </c>
      <c r="AHH134" s="294">
        <v>-26834.45</v>
      </c>
      <c r="AHI134" s="294">
        <v>0</v>
      </c>
      <c r="AHJ134" s="294">
        <v>0</v>
      </c>
      <c r="AHK134" s="294">
        <v>0</v>
      </c>
      <c r="AHL134" s="294">
        <v>-501127.15</v>
      </c>
      <c r="AHM134" s="294">
        <v>-543363.96</v>
      </c>
      <c r="AHN134" s="294">
        <v>-198376.36</v>
      </c>
      <c r="AHO134" s="294">
        <v>0</v>
      </c>
      <c r="AHP134" s="294">
        <v>-549483.71</v>
      </c>
      <c r="AHQ134" s="294">
        <v>0</v>
      </c>
      <c r="AHR134" s="331">
        <v>-283144.46000000002</v>
      </c>
      <c r="AHS134" s="294">
        <f t="shared" si="55"/>
        <v>-153895076.46910003</v>
      </c>
      <c r="AHT134" s="269" t="b">
        <f t="shared" si="54"/>
        <v>1</v>
      </c>
      <c r="AHU134" s="269" t="s">
        <v>6280</v>
      </c>
      <c r="AHV134" s="269" t="s">
        <v>6210</v>
      </c>
      <c r="AHW134" s="269" t="s">
        <v>6211</v>
      </c>
    </row>
    <row r="135" spans="1:907" ht="24.6" x14ac:dyDescent="0.7">
      <c r="A135" s="268" t="s">
        <v>6280</v>
      </c>
      <c r="B135" s="268" t="s">
        <v>6212</v>
      </c>
      <c r="C135" s="269" t="s">
        <v>6213</v>
      </c>
      <c r="D135" s="294">
        <v>0</v>
      </c>
      <c r="E135" s="294">
        <v>-1429929.39</v>
      </c>
      <c r="F135" s="294"/>
      <c r="G135" s="294"/>
      <c r="H135" s="294">
        <v>0</v>
      </c>
      <c r="I135" s="294"/>
      <c r="J135" s="294"/>
      <c r="K135" s="294"/>
      <c r="L135" s="294">
        <v>0</v>
      </c>
      <c r="M135" s="294">
        <v>0</v>
      </c>
      <c r="N135" s="294">
        <v>0</v>
      </c>
      <c r="O135" s="294"/>
      <c r="P135" s="294"/>
      <c r="Q135" s="294"/>
      <c r="R135" s="294"/>
      <c r="S135" s="294"/>
      <c r="T135" s="294"/>
      <c r="U135" s="294"/>
      <c r="V135" s="294">
        <v>0</v>
      </c>
      <c r="W135" s="294"/>
      <c r="X135" s="294">
        <v>-255982</v>
      </c>
      <c r="Y135" s="294">
        <v>0</v>
      </c>
      <c r="Z135" s="294"/>
      <c r="AA135" s="294">
        <v>0</v>
      </c>
      <c r="AB135" s="294">
        <v>0</v>
      </c>
      <c r="AC135" s="294">
        <v>-1048625</v>
      </c>
      <c r="AD135" s="294">
        <v>0</v>
      </c>
      <c r="AE135" s="294">
        <v>-421532.47</v>
      </c>
      <c r="AF135" s="294">
        <v>0</v>
      </c>
      <c r="AG135" s="294">
        <v>0</v>
      </c>
      <c r="AH135" s="294">
        <v>0</v>
      </c>
      <c r="AI135" s="294">
        <v>0</v>
      </c>
      <c r="AJ135" s="294">
        <v>0</v>
      </c>
      <c r="AK135" s="294">
        <v>0</v>
      </c>
      <c r="AL135" s="294">
        <v>0</v>
      </c>
      <c r="AM135" s="294">
        <v>0</v>
      </c>
      <c r="AN135" s="294">
        <v>-273580.5</v>
      </c>
      <c r="AO135" s="294">
        <v>-199762</v>
      </c>
      <c r="AP135" s="294"/>
      <c r="AQ135" s="294">
        <v>0</v>
      </c>
      <c r="AR135" s="294">
        <v>0</v>
      </c>
      <c r="AS135" s="294"/>
      <c r="AT135" s="294"/>
      <c r="AU135" s="294">
        <v>-601451</v>
      </c>
      <c r="AV135" s="294">
        <v>-1260780.45</v>
      </c>
      <c r="AW135" s="294"/>
      <c r="AX135" s="294"/>
      <c r="AY135" s="294"/>
      <c r="AZ135" s="294"/>
      <c r="BA135" s="294"/>
      <c r="BB135" s="294"/>
      <c r="BC135" s="294"/>
      <c r="BD135" s="294"/>
      <c r="BE135" s="294">
        <v>0</v>
      </c>
      <c r="BF135" s="294"/>
      <c r="BG135" s="294"/>
      <c r="BH135" s="294">
        <v>0</v>
      </c>
      <c r="BI135" s="294">
        <v>-170000</v>
      </c>
      <c r="BJ135" s="294"/>
      <c r="BK135" s="294"/>
      <c r="BL135" s="294"/>
      <c r="BM135" s="294">
        <v>0</v>
      </c>
      <c r="BN135" s="294">
        <v>0</v>
      </c>
      <c r="BO135" s="294"/>
      <c r="BP135" s="294"/>
      <c r="BQ135" s="294"/>
      <c r="BR135" s="294">
        <v>0</v>
      </c>
      <c r="BS135" s="294">
        <v>0</v>
      </c>
      <c r="BT135" s="294"/>
      <c r="BU135" s="294"/>
      <c r="BV135" s="294">
        <v>0</v>
      </c>
      <c r="BW135" s="294">
        <v>-452500</v>
      </c>
      <c r="BX135" s="294">
        <v>0</v>
      </c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>
        <v>0</v>
      </c>
      <c r="CI135" s="294">
        <v>0</v>
      </c>
      <c r="CJ135" s="294"/>
      <c r="CK135" s="294">
        <v>0</v>
      </c>
      <c r="CL135" s="294"/>
      <c r="CM135" s="294">
        <v>0</v>
      </c>
      <c r="CN135" s="294"/>
      <c r="CO135" s="294">
        <v>0</v>
      </c>
      <c r="CP135" s="294">
        <v>0</v>
      </c>
      <c r="CQ135" s="294">
        <v>0</v>
      </c>
      <c r="CR135" s="294"/>
      <c r="CS135" s="294">
        <v>0</v>
      </c>
      <c r="CT135" s="294">
        <v>0</v>
      </c>
      <c r="CU135" s="294">
        <v>-1067665.8799999999</v>
      </c>
      <c r="CV135" s="294"/>
      <c r="CW135" s="294">
        <v>-1496873.5</v>
      </c>
      <c r="CX135" s="294">
        <v>0</v>
      </c>
      <c r="CY135" s="294"/>
      <c r="CZ135" s="294"/>
      <c r="DA135" s="294"/>
      <c r="DB135" s="294"/>
      <c r="DC135" s="294">
        <v>-4755000</v>
      </c>
      <c r="DD135" s="294"/>
      <c r="DE135" s="294">
        <v>-1249500</v>
      </c>
      <c r="DF135" s="294">
        <v>0</v>
      </c>
      <c r="DG135" s="294">
        <v>0</v>
      </c>
      <c r="DH135" s="294"/>
      <c r="DI135" s="294"/>
      <c r="DJ135" s="294">
        <v>0</v>
      </c>
      <c r="DK135" s="294"/>
      <c r="DL135" s="294"/>
      <c r="DM135" s="294"/>
      <c r="DN135" s="294">
        <v>-345915.26</v>
      </c>
      <c r="DO135" s="294"/>
      <c r="DP135" s="294"/>
      <c r="DQ135" s="294"/>
      <c r="DR135" s="294"/>
      <c r="DS135" s="294">
        <v>0</v>
      </c>
      <c r="DT135" s="294"/>
      <c r="DU135" s="294"/>
      <c r="DV135" s="294"/>
      <c r="DW135" s="294"/>
      <c r="DX135" s="294"/>
      <c r="DY135" s="294">
        <v>0</v>
      </c>
      <c r="DZ135" s="294">
        <v>0</v>
      </c>
      <c r="EA135" s="294"/>
      <c r="EB135" s="294"/>
      <c r="EC135" s="294"/>
      <c r="ED135" s="294"/>
      <c r="EE135" s="294">
        <v>0</v>
      </c>
      <c r="EF135" s="294">
        <v>0</v>
      </c>
      <c r="EG135" s="294"/>
      <c r="EH135" s="294"/>
      <c r="EI135" s="294">
        <v>-3570</v>
      </c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>
        <v>0</v>
      </c>
      <c r="EX135" s="294"/>
      <c r="EY135" s="294"/>
      <c r="EZ135" s="294"/>
      <c r="FA135" s="294"/>
      <c r="FB135" s="294"/>
      <c r="FC135" s="294"/>
      <c r="FD135" s="294"/>
      <c r="FE135" s="294">
        <v>0</v>
      </c>
      <c r="FF135" s="294"/>
      <c r="FG135" s="294"/>
      <c r="FH135" s="294"/>
      <c r="FI135" s="294"/>
      <c r="FJ135" s="294"/>
      <c r="FK135" s="294">
        <v>0</v>
      </c>
      <c r="FL135" s="294"/>
      <c r="FM135" s="294">
        <v>0</v>
      </c>
      <c r="FN135" s="294"/>
      <c r="FO135" s="294"/>
      <c r="FP135" s="294"/>
      <c r="FQ135" s="294">
        <v>-6767736.7199999997</v>
      </c>
      <c r="FR135" s="294">
        <v>0</v>
      </c>
      <c r="FS135" s="294">
        <v>0</v>
      </c>
      <c r="FT135" s="294"/>
      <c r="FU135" s="294">
        <v>0</v>
      </c>
      <c r="FV135" s="294">
        <v>0</v>
      </c>
      <c r="FW135" s="294">
        <v>-1803735.07</v>
      </c>
      <c r="FX135" s="294">
        <v>-4000000</v>
      </c>
      <c r="FY135" s="294"/>
      <c r="FZ135" s="294">
        <v>0</v>
      </c>
      <c r="GA135" s="294">
        <v>0</v>
      </c>
      <c r="GB135" s="294"/>
      <c r="GC135" s="294"/>
      <c r="GD135" s="294">
        <v>0</v>
      </c>
      <c r="GE135" s="294">
        <v>0</v>
      </c>
      <c r="GF135" s="294"/>
      <c r="GG135" s="294"/>
      <c r="GH135" s="294"/>
      <c r="GI135" s="294"/>
      <c r="GJ135" s="294">
        <v>0</v>
      </c>
      <c r="GK135" s="294">
        <v>-1273252.96</v>
      </c>
      <c r="GL135" s="294"/>
      <c r="GM135" s="294"/>
      <c r="GN135" s="294"/>
      <c r="GO135" s="294"/>
      <c r="GP135" s="294"/>
      <c r="GQ135" s="294"/>
      <c r="GR135" s="294">
        <v>0</v>
      </c>
      <c r="GS135" s="294"/>
      <c r="GT135" s="294"/>
      <c r="GU135" s="294"/>
      <c r="GV135" s="294"/>
      <c r="GW135" s="294"/>
      <c r="GX135" s="294">
        <v>0</v>
      </c>
      <c r="GY135" s="294"/>
      <c r="GZ135" s="294"/>
      <c r="HA135" s="294"/>
      <c r="HB135" s="294">
        <v>0</v>
      </c>
      <c r="HC135" s="294"/>
      <c r="HD135" s="294"/>
      <c r="HE135" s="294"/>
      <c r="HF135" s="294"/>
      <c r="HG135" s="294">
        <v>0</v>
      </c>
      <c r="HH135" s="294"/>
      <c r="HI135" s="294">
        <v>-180000</v>
      </c>
      <c r="HJ135" s="294">
        <v>0</v>
      </c>
      <c r="HK135" s="294">
        <v>0</v>
      </c>
      <c r="HL135" s="294"/>
      <c r="HM135" s="294">
        <v>-600000</v>
      </c>
      <c r="HN135" s="294">
        <v>-608756.14</v>
      </c>
      <c r="HO135" s="294"/>
      <c r="HP135" s="294"/>
      <c r="HQ135" s="294">
        <v>0</v>
      </c>
      <c r="HR135" s="294"/>
      <c r="HS135" s="294"/>
      <c r="HT135" s="294"/>
      <c r="HU135" s="294"/>
      <c r="HV135" s="294">
        <v>-2138298.5499999998</v>
      </c>
      <c r="HW135" s="294">
        <v>-1086896.24</v>
      </c>
      <c r="HX135" s="294"/>
      <c r="HY135" s="294"/>
      <c r="HZ135" s="294"/>
      <c r="IA135" s="294">
        <v>0</v>
      </c>
      <c r="IB135" s="294"/>
      <c r="IC135" s="294">
        <v>-1550000</v>
      </c>
      <c r="ID135" s="294"/>
      <c r="IE135" s="294">
        <v>0</v>
      </c>
      <c r="IF135" s="294"/>
      <c r="IG135" s="294">
        <v>0</v>
      </c>
      <c r="IH135" s="294"/>
      <c r="II135" s="294">
        <v>-301657</v>
      </c>
      <c r="IJ135" s="294">
        <v>-740052</v>
      </c>
      <c r="IK135" s="294">
        <v>-36575.29</v>
      </c>
      <c r="IL135" s="294"/>
      <c r="IM135" s="294">
        <v>0</v>
      </c>
      <c r="IN135" s="294"/>
      <c r="IO135" s="294">
        <v>-20058</v>
      </c>
      <c r="IP135" s="294">
        <v>-132500</v>
      </c>
      <c r="IQ135" s="294">
        <v>-52991.87</v>
      </c>
      <c r="IR135" s="294"/>
      <c r="IS135" s="294"/>
      <c r="IT135" s="294">
        <v>-120000</v>
      </c>
      <c r="IU135" s="294"/>
      <c r="IV135" s="294">
        <v>-1642767.31</v>
      </c>
      <c r="IW135" s="294">
        <v>-196000</v>
      </c>
      <c r="IX135" s="294"/>
      <c r="IY135" s="294">
        <v>-576000</v>
      </c>
      <c r="IZ135" s="294">
        <v>0</v>
      </c>
      <c r="JA135" s="294">
        <v>-117000</v>
      </c>
      <c r="JB135" s="294">
        <v>0</v>
      </c>
      <c r="JC135" s="294"/>
      <c r="JD135" s="294">
        <v>0</v>
      </c>
      <c r="JE135" s="294"/>
      <c r="JF135" s="294">
        <v>-52518.25</v>
      </c>
      <c r="JG135" s="294">
        <v>-134332.88</v>
      </c>
      <c r="JH135" s="294"/>
      <c r="JI135" s="294"/>
      <c r="JJ135" s="294">
        <v>0</v>
      </c>
      <c r="JK135" s="294"/>
      <c r="JL135" s="294"/>
      <c r="JM135" s="294"/>
      <c r="JN135" s="294"/>
      <c r="JO135" s="294"/>
      <c r="JP135" s="294"/>
      <c r="JQ135" s="294"/>
      <c r="JR135" s="294">
        <v>0</v>
      </c>
      <c r="JS135" s="294">
        <v>0</v>
      </c>
      <c r="JT135" s="294"/>
      <c r="JU135" s="294"/>
      <c r="JV135" s="294"/>
      <c r="JW135" s="294"/>
      <c r="JX135" s="294">
        <v>-1140000</v>
      </c>
      <c r="JY135" s="294">
        <v>-1206569.3</v>
      </c>
      <c r="JZ135" s="294"/>
      <c r="KA135" s="294"/>
      <c r="KB135" s="294"/>
      <c r="KC135" s="294"/>
      <c r="KD135" s="294"/>
      <c r="KE135" s="294"/>
      <c r="KF135" s="294"/>
      <c r="KG135" s="294"/>
      <c r="KH135" s="294"/>
      <c r="KI135" s="294"/>
      <c r="KJ135" s="294">
        <v>-565000</v>
      </c>
      <c r="KK135" s="294"/>
      <c r="KL135" s="294"/>
      <c r="KM135" s="294">
        <v>-680000</v>
      </c>
      <c r="KN135" s="294">
        <v>-1070000</v>
      </c>
      <c r="KO135" s="294"/>
      <c r="KP135" s="294">
        <v>-351900</v>
      </c>
      <c r="KQ135" s="294"/>
      <c r="KR135" s="294"/>
      <c r="KS135" s="294"/>
      <c r="KT135" s="294">
        <v>0</v>
      </c>
      <c r="KU135" s="294">
        <v>0</v>
      </c>
      <c r="KV135" s="294"/>
      <c r="KW135" s="294">
        <v>0</v>
      </c>
      <c r="KX135" s="294">
        <v>0</v>
      </c>
      <c r="KY135" s="294">
        <v>-425000</v>
      </c>
      <c r="KZ135" s="294"/>
      <c r="LA135" s="294"/>
      <c r="LB135" s="294"/>
      <c r="LC135" s="294"/>
      <c r="LD135" s="294"/>
      <c r="LE135" s="294"/>
      <c r="LF135" s="294"/>
      <c r="LG135" s="294">
        <v>-120000</v>
      </c>
      <c r="LH135" s="294"/>
      <c r="LI135" s="294"/>
      <c r="LJ135" s="294"/>
      <c r="LK135" s="294">
        <v>-58326</v>
      </c>
      <c r="LL135" s="294">
        <v>0</v>
      </c>
      <c r="LM135" s="294">
        <v>-330000</v>
      </c>
      <c r="LN135" s="294"/>
      <c r="LO135" s="294"/>
      <c r="LP135" s="294">
        <v>-424420</v>
      </c>
      <c r="LQ135" s="294"/>
      <c r="LR135" s="294"/>
      <c r="LS135" s="294"/>
      <c r="LT135" s="294"/>
      <c r="LU135" s="294">
        <v>-12909027.029999999</v>
      </c>
      <c r="LV135" s="294"/>
      <c r="LW135" s="294"/>
      <c r="LX135" s="294">
        <v>-461601.85</v>
      </c>
      <c r="LY135" s="294">
        <v>0</v>
      </c>
      <c r="LZ135" s="294"/>
      <c r="MA135" s="294">
        <v>0</v>
      </c>
      <c r="MB135" s="294">
        <v>-987534</v>
      </c>
      <c r="MC135" s="294">
        <v>-50988</v>
      </c>
      <c r="MD135" s="294">
        <v>0</v>
      </c>
      <c r="ME135" s="294">
        <v>0</v>
      </c>
      <c r="MF135" s="294">
        <v>0</v>
      </c>
      <c r="MG135" s="294"/>
      <c r="MH135" s="294">
        <v>0</v>
      </c>
      <c r="MI135" s="294"/>
      <c r="MJ135" s="294"/>
      <c r="MK135" s="294">
        <v>0</v>
      </c>
      <c r="ML135" s="294"/>
      <c r="MM135" s="294"/>
      <c r="MN135" s="294"/>
      <c r="MO135" s="294">
        <v>0</v>
      </c>
      <c r="MP135" s="294"/>
      <c r="MQ135" s="294"/>
      <c r="MR135" s="294"/>
      <c r="MS135" s="294"/>
      <c r="MT135" s="294">
        <v>0</v>
      </c>
      <c r="MU135" s="294"/>
      <c r="MV135" s="294">
        <v>0</v>
      </c>
      <c r="MW135" s="294"/>
      <c r="MX135" s="294">
        <v>0</v>
      </c>
      <c r="MY135" s="294">
        <v>0</v>
      </c>
      <c r="MZ135" s="294">
        <v>-1557500</v>
      </c>
      <c r="NA135" s="294">
        <v>-422076</v>
      </c>
      <c r="NB135" s="294">
        <v>0</v>
      </c>
      <c r="NC135" s="294"/>
      <c r="ND135" s="294"/>
      <c r="NE135" s="294">
        <v>-1124058.97</v>
      </c>
      <c r="NF135" s="294">
        <v>0</v>
      </c>
      <c r="NG135" s="294"/>
      <c r="NH135" s="294">
        <v>-679228</v>
      </c>
      <c r="NI135" s="294">
        <v>-525000</v>
      </c>
      <c r="NJ135" s="294">
        <v>0</v>
      </c>
      <c r="NK135" s="294"/>
      <c r="NL135" s="294"/>
      <c r="NM135" s="294"/>
      <c r="NN135" s="294"/>
      <c r="NO135" s="294">
        <v>-1707072.62</v>
      </c>
      <c r="NP135" s="294">
        <v>-38592.5</v>
      </c>
      <c r="NQ135" s="294"/>
      <c r="NR135" s="294">
        <v>0</v>
      </c>
      <c r="NS135" s="294"/>
      <c r="NT135" s="294">
        <v>0</v>
      </c>
      <c r="NU135" s="294"/>
      <c r="NV135" s="294">
        <v>0</v>
      </c>
      <c r="NW135" s="294"/>
      <c r="NX135" s="294">
        <v>-3375000</v>
      </c>
      <c r="NY135" s="294"/>
      <c r="NZ135" s="294"/>
      <c r="OA135" s="294"/>
      <c r="OB135" s="294">
        <v>0</v>
      </c>
      <c r="OC135" s="294">
        <v>-250000</v>
      </c>
      <c r="OD135" s="294">
        <v>-6500000</v>
      </c>
      <c r="OE135" s="294"/>
      <c r="OF135" s="294">
        <v>0</v>
      </c>
      <c r="OG135" s="294">
        <v>0</v>
      </c>
      <c r="OH135" s="294">
        <v>-776572</v>
      </c>
      <c r="OI135" s="294"/>
      <c r="OJ135" s="294">
        <v>0</v>
      </c>
      <c r="OK135" s="294">
        <v>0</v>
      </c>
      <c r="OL135" s="294">
        <v>0</v>
      </c>
      <c r="OM135" s="294">
        <v>-27017571.800000001</v>
      </c>
      <c r="ON135" s="294"/>
      <c r="OO135" s="294">
        <v>-3392508</v>
      </c>
      <c r="OP135" s="294"/>
      <c r="OQ135" s="294"/>
      <c r="OR135" s="294"/>
      <c r="OS135" s="294">
        <v>-4719258.2</v>
      </c>
      <c r="OT135" s="294">
        <v>-502108.17</v>
      </c>
      <c r="OU135" s="294">
        <v>-3181983.6</v>
      </c>
      <c r="OV135" s="294">
        <v>0</v>
      </c>
      <c r="OW135" s="294"/>
      <c r="OX135" s="294">
        <v>0</v>
      </c>
      <c r="OY135" s="294">
        <v>0</v>
      </c>
      <c r="OZ135" s="294">
        <v>0</v>
      </c>
      <c r="PA135" s="294">
        <v>-1327719.74</v>
      </c>
      <c r="PB135" s="294"/>
      <c r="PC135" s="294"/>
      <c r="PD135" s="294"/>
      <c r="PE135" s="294"/>
      <c r="PF135" s="294">
        <v>0</v>
      </c>
      <c r="PG135" s="294">
        <v>0</v>
      </c>
      <c r="PH135" s="294"/>
      <c r="PI135" s="294"/>
      <c r="PJ135" s="294">
        <v>0</v>
      </c>
      <c r="PK135" s="294"/>
      <c r="PL135" s="294"/>
      <c r="PM135" s="294"/>
      <c r="PN135" s="294">
        <v>-180000</v>
      </c>
      <c r="PO135" s="294">
        <v>-432000</v>
      </c>
      <c r="PP135" s="294">
        <v>0</v>
      </c>
      <c r="PQ135" s="294"/>
      <c r="PR135" s="294"/>
      <c r="PS135" s="294">
        <v>0</v>
      </c>
      <c r="PT135" s="294">
        <v>0</v>
      </c>
      <c r="PU135" s="294"/>
      <c r="PV135" s="294">
        <v>0</v>
      </c>
      <c r="PW135" s="294">
        <v>0</v>
      </c>
      <c r="PX135" s="294">
        <v>-1342000</v>
      </c>
      <c r="PY135" s="294"/>
      <c r="PZ135" s="294"/>
      <c r="QA135" s="294">
        <v>0</v>
      </c>
      <c r="QB135" s="294">
        <v>-141459.5</v>
      </c>
      <c r="QC135" s="294"/>
      <c r="QD135" s="294"/>
      <c r="QE135" s="294"/>
      <c r="QF135" s="294">
        <v>0</v>
      </c>
      <c r="QG135" s="294"/>
      <c r="QH135" s="294"/>
      <c r="QI135" s="294"/>
      <c r="QJ135" s="294"/>
      <c r="QK135" s="294"/>
      <c r="QL135" s="294">
        <v>-235500</v>
      </c>
      <c r="QM135" s="294">
        <v>0</v>
      </c>
      <c r="QN135" s="294">
        <v>0</v>
      </c>
      <c r="QO135" s="294">
        <v>0</v>
      </c>
      <c r="QP135" s="294"/>
      <c r="QQ135" s="294">
        <v>-338500</v>
      </c>
      <c r="QR135" s="294"/>
      <c r="QS135" s="294"/>
      <c r="QT135" s="294"/>
      <c r="QU135" s="294"/>
      <c r="QV135" s="294">
        <v>-740000</v>
      </c>
      <c r="QW135" s="294"/>
      <c r="QX135" s="294"/>
      <c r="QY135" s="294"/>
      <c r="QZ135" s="294">
        <v>0</v>
      </c>
      <c r="RA135" s="294">
        <v>-1400000</v>
      </c>
      <c r="RB135" s="294">
        <v>0</v>
      </c>
      <c r="RC135" s="294">
        <v>-1198403.6299999999</v>
      </c>
      <c r="RD135" s="294"/>
      <c r="RE135" s="294"/>
      <c r="RF135" s="294"/>
      <c r="RG135" s="294"/>
      <c r="RH135" s="294">
        <v>0</v>
      </c>
      <c r="RI135" s="294"/>
      <c r="RJ135" s="294">
        <v>0</v>
      </c>
      <c r="RK135" s="294">
        <v>0</v>
      </c>
      <c r="RL135" s="294"/>
      <c r="RM135" s="294"/>
      <c r="RN135" s="294">
        <v>0</v>
      </c>
      <c r="RO135" s="294"/>
      <c r="RP135" s="294"/>
      <c r="RQ135" s="294">
        <v>-1372500</v>
      </c>
      <c r="RR135" s="294">
        <v>-390000</v>
      </c>
      <c r="RS135" s="294">
        <v>-545000</v>
      </c>
      <c r="RT135" s="294">
        <v>-353646.39</v>
      </c>
      <c r="RU135" s="294"/>
      <c r="RV135" s="294">
        <v>0</v>
      </c>
      <c r="RW135" s="294">
        <v>-138941</v>
      </c>
      <c r="RX135" s="294">
        <v>-405000</v>
      </c>
      <c r="RY135" s="294"/>
      <c r="RZ135" s="294">
        <v>-152500</v>
      </c>
      <c r="SA135" s="294">
        <v>-8275877.1399999997</v>
      </c>
      <c r="SB135" s="294"/>
      <c r="SC135" s="294"/>
      <c r="SD135" s="294"/>
      <c r="SE135" s="294"/>
      <c r="SF135" s="294"/>
      <c r="SG135" s="294"/>
      <c r="SH135" s="294">
        <v>-8499.98</v>
      </c>
      <c r="SI135" s="294">
        <v>0</v>
      </c>
      <c r="SJ135" s="294">
        <v>-270000</v>
      </c>
      <c r="SK135" s="294"/>
      <c r="SL135" s="294"/>
      <c r="SM135" s="294"/>
      <c r="SN135" s="294"/>
      <c r="SO135" s="294"/>
      <c r="SP135" s="294"/>
      <c r="SQ135" s="294"/>
      <c r="SR135" s="294"/>
      <c r="SS135" s="294">
        <v>1670876.41</v>
      </c>
      <c r="ST135" s="294"/>
      <c r="SU135" s="294">
        <v>-578832</v>
      </c>
      <c r="SV135" s="294">
        <v>-129293</v>
      </c>
      <c r="SW135" s="294">
        <v>-98618.4</v>
      </c>
      <c r="SX135" s="294">
        <v>0</v>
      </c>
      <c r="SY135" s="294">
        <v>0</v>
      </c>
      <c r="SZ135" s="294">
        <v>0</v>
      </c>
      <c r="TA135" s="294"/>
      <c r="TB135" s="294">
        <v>0</v>
      </c>
      <c r="TC135" s="294"/>
      <c r="TD135" s="294">
        <v>0</v>
      </c>
      <c r="TE135" s="294">
        <v>0</v>
      </c>
      <c r="TF135" s="294">
        <v>0</v>
      </c>
      <c r="TG135" s="294"/>
      <c r="TH135" s="294">
        <v>0</v>
      </c>
      <c r="TI135" s="294">
        <v>0</v>
      </c>
      <c r="TJ135" s="294"/>
      <c r="TK135" s="294"/>
      <c r="TL135" s="294">
        <v>0</v>
      </c>
      <c r="TM135" s="294">
        <v>0</v>
      </c>
      <c r="TN135" s="294">
        <v>0</v>
      </c>
      <c r="TO135" s="294"/>
      <c r="TP135" s="294">
        <v>0</v>
      </c>
      <c r="TQ135" s="294"/>
      <c r="TR135" s="294"/>
      <c r="TS135" s="294"/>
      <c r="TT135" s="294">
        <v>0</v>
      </c>
      <c r="TU135" s="294"/>
      <c r="TV135" s="294"/>
      <c r="TW135" s="294">
        <v>-1843509</v>
      </c>
      <c r="TX135" s="294"/>
      <c r="TY135" s="294"/>
      <c r="TZ135" s="294">
        <v>0</v>
      </c>
      <c r="UA135" s="294">
        <v>-106080</v>
      </c>
      <c r="UB135" s="294"/>
      <c r="UC135" s="294">
        <v>0</v>
      </c>
      <c r="UD135" s="294">
        <v>0</v>
      </c>
      <c r="UE135" s="294"/>
      <c r="UF135" s="294"/>
      <c r="UG135" s="294">
        <v>0</v>
      </c>
      <c r="UH135" s="294"/>
      <c r="UI135" s="294"/>
      <c r="UJ135" s="294">
        <v>0</v>
      </c>
      <c r="UK135" s="294"/>
      <c r="UL135" s="294">
        <v>0</v>
      </c>
      <c r="UM135" s="294">
        <v>0</v>
      </c>
      <c r="UN135" s="294"/>
      <c r="UO135" s="294">
        <v>0</v>
      </c>
      <c r="UP135" s="294"/>
      <c r="UQ135" s="294"/>
      <c r="UR135" s="294"/>
      <c r="US135" s="294"/>
      <c r="UT135" s="294"/>
      <c r="UU135" s="294"/>
      <c r="UV135" s="294"/>
      <c r="UW135" s="294"/>
      <c r="UX135" s="294"/>
      <c r="UY135" s="294"/>
      <c r="UZ135" s="294"/>
      <c r="VA135" s="294"/>
      <c r="VB135" s="294">
        <v>-267950</v>
      </c>
      <c r="VC135" s="294"/>
      <c r="VD135" s="294"/>
      <c r="VE135" s="294"/>
      <c r="VF135" s="294"/>
      <c r="VG135" s="294"/>
      <c r="VH135" s="294"/>
      <c r="VI135" s="294"/>
      <c r="VJ135" s="294"/>
      <c r="VK135" s="294">
        <v>0</v>
      </c>
      <c r="VL135" s="294">
        <v>139400</v>
      </c>
      <c r="VM135" s="294"/>
      <c r="VN135" s="294"/>
      <c r="VO135" s="294">
        <v>0</v>
      </c>
      <c r="VP135" s="294"/>
      <c r="VQ135" s="294"/>
      <c r="VR135" s="294">
        <v>-74965</v>
      </c>
      <c r="VS135" s="294"/>
      <c r="VT135" s="294">
        <v>-1601374</v>
      </c>
      <c r="VU135" s="294">
        <v>0</v>
      </c>
      <c r="VV135" s="294"/>
      <c r="VW135" s="294">
        <v>0</v>
      </c>
      <c r="VX135" s="294"/>
      <c r="VY135" s="294">
        <v>0</v>
      </c>
      <c r="VZ135" s="294">
        <v>0</v>
      </c>
      <c r="WA135" s="294"/>
      <c r="WB135" s="294"/>
      <c r="WC135" s="294">
        <v>0</v>
      </c>
      <c r="WD135" s="294">
        <v>0</v>
      </c>
      <c r="WE135" s="294"/>
      <c r="WF135" s="294">
        <v>-95788</v>
      </c>
      <c r="WG135" s="294">
        <v>0</v>
      </c>
      <c r="WH135" s="294">
        <v>0</v>
      </c>
      <c r="WI135" s="294"/>
      <c r="WJ135" s="294">
        <v>-3467840</v>
      </c>
      <c r="WK135" s="294">
        <v>0</v>
      </c>
      <c r="WL135" s="294"/>
      <c r="WM135" s="294">
        <v>0</v>
      </c>
      <c r="WN135" s="294">
        <v>-1146605.92</v>
      </c>
      <c r="WO135" s="294">
        <v>-974137.04</v>
      </c>
      <c r="WP135" s="294"/>
      <c r="WQ135" s="294">
        <v>0</v>
      </c>
      <c r="WR135" s="294"/>
      <c r="WS135" s="294">
        <v>0</v>
      </c>
      <c r="WT135" s="294">
        <v>0</v>
      </c>
      <c r="WU135" s="294"/>
      <c r="WV135" s="294">
        <v>0</v>
      </c>
      <c r="WW135" s="294">
        <v>0</v>
      </c>
      <c r="WX135" s="294">
        <v>-145706</v>
      </c>
      <c r="WY135" s="294"/>
      <c r="WZ135" s="294"/>
      <c r="XA135" s="294"/>
      <c r="XB135" s="294">
        <v>-500000</v>
      </c>
      <c r="XC135" s="294">
        <v>0</v>
      </c>
      <c r="XD135" s="294">
        <v>-393758</v>
      </c>
      <c r="XE135" s="294"/>
      <c r="XF135" s="294"/>
      <c r="XG135" s="294">
        <v>0</v>
      </c>
      <c r="XH135" s="294"/>
      <c r="XI135" s="294"/>
      <c r="XJ135" s="294"/>
      <c r="XK135" s="294">
        <v>0</v>
      </c>
      <c r="XL135" s="294"/>
      <c r="XM135" s="294"/>
      <c r="XN135" s="294">
        <v>0</v>
      </c>
      <c r="XO135" s="294"/>
      <c r="XP135" s="294"/>
      <c r="XQ135" s="294">
        <v>0</v>
      </c>
      <c r="XR135" s="294">
        <v>0</v>
      </c>
      <c r="XS135" s="294"/>
      <c r="XT135" s="294">
        <v>0</v>
      </c>
      <c r="XU135" s="294"/>
      <c r="XV135" s="294"/>
      <c r="XW135" s="294"/>
      <c r="XX135" s="294"/>
      <c r="XY135" s="294"/>
      <c r="XZ135" s="294"/>
      <c r="YA135" s="294">
        <v>0</v>
      </c>
      <c r="YB135" s="294"/>
      <c r="YC135" s="294"/>
      <c r="YD135" s="294"/>
      <c r="YE135" s="294"/>
      <c r="YF135" s="294"/>
      <c r="YG135" s="294">
        <v>0</v>
      </c>
      <c r="YH135" s="294"/>
      <c r="YI135" s="294">
        <v>0</v>
      </c>
      <c r="YJ135" s="294"/>
      <c r="YK135" s="294">
        <v>0</v>
      </c>
      <c r="YL135" s="294">
        <v>0</v>
      </c>
      <c r="YM135" s="294"/>
      <c r="YN135" s="294">
        <v>0</v>
      </c>
      <c r="YO135" s="294"/>
      <c r="YP135" s="294"/>
      <c r="YQ135" s="294">
        <v>0</v>
      </c>
      <c r="YR135" s="294">
        <v>0</v>
      </c>
      <c r="YS135" s="294">
        <v>0</v>
      </c>
      <c r="YT135" s="294">
        <v>0</v>
      </c>
      <c r="YU135" s="294"/>
      <c r="YV135" s="294">
        <v>0</v>
      </c>
      <c r="YW135" s="294"/>
      <c r="YX135" s="294">
        <v>0</v>
      </c>
      <c r="YY135" s="294">
        <v>0</v>
      </c>
      <c r="YZ135" s="294">
        <v>-82480</v>
      </c>
      <c r="ZA135" s="294">
        <v>-234000</v>
      </c>
      <c r="ZB135" s="294">
        <v>0</v>
      </c>
      <c r="ZC135" s="294">
        <v>-3960771.56</v>
      </c>
      <c r="ZD135" s="294"/>
      <c r="ZE135" s="294"/>
      <c r="ZF135" s="294"/>
      <c r="ZG135" s="294"/>
      <c r="ZH135" s="294">
        <v>0</v>
      </c>
      <c r="ZI135" s="294"/>
      <c r="ZJ135" s="294"/>
      <c r="ZK135" s="294"/>
      <c r="ZL135" s="294">
        <v>-7289369.8099999996</v>
      </c>
      <c r="ZM135" s="294">
        <v>0</v>
      </c>
      <c r="ZN135" s="294">
        <v>-141033.25</v>
      </c>
      <c r="ZO135" s="294">
        <v>-6821124.6200000001</v>
      </c>
      <c r="ZP135" s="294">
        <v>-1952096.33</v>
      </c>
      <c r="ZQ135" s="294">
        <v>-1666797.66</v>
      </c>
      <c r="ZR135" s="294">
        <v>-1294034.47</v>
      </c>
      <c r="ZS135" s="294">
        <v>-12374391.460000001</v>
      </c>
      <c r="ZT135" s="294">
        <v>-2937399.91</v>
      </c>
      <c r="ZU135" s="294">
        <v>-1289561.27</v>
      </c>
      <c r="ZV135" s="294">
        <v>-315731.17</v>
      </c>
      <c r="ZW135" s="294">
        <v>-410516.79</v>
      </c>
      <c r="ZX135" s="294">
        <v>-56749.23</v>
      </c>
      <c r="ZY135" s="294">
        <v>-1195596.1399999999</v>
      </c>
      <c r="ZZ135" s="294"/>
      <c r="AAA135" s="294"/>
      <c r="AAB135" s="294">
        <v>-1664152.02</v>
      </c>
      <c r="AAC135" s="294">
        <v>-221304.32000000001</v>
      </c>
      <c r="AAD135" s="294">
        <v>-2283791.1</v>
      </c>
      <c r="AAE135" s="294">
        <v>-3010785.65</v>
      </c>
      <c r="AAF135" s="294">
        <v>-15236.17</v>
      </c>
      <c r="AAG135" s="294">
        <v>0</v>
      </c>
      <c r="AAH135" s="294">
        <v>0</v>
      </c>
      <c r="AAI135" s="294">
        <v>0</v>
      </c>
      <c r="AAJ135" s="294"/>
      <c r="AAK135" s="294"/>
      <c r="AAL135" s="294">
        <v>0</v>
      </c>
      <c r="AAM135" s="294">
        <v>0</v>
      </c>
      <c r="AAN135" s="294"/>
      <c r="AAO135" s="294"/>
      <c r="AAP135" s="294">
        <v>0</v>
      </c>
      <c r="AAQ135" s="294"/>
      <c r="AAR135" s="294">
        <v>0</v>
      </c>
      <c r="AAS135" s="294"/>
      <c r="AAT135" s="294"/>
      <c r="AAU135" s="294"/>
      <c r="AAV135" s="294"/>
      <c r="AAW135" s="294"/>
      <c r="AAX135" s="294">
        <v>0</v>
      </c>
      <c r="AAY135" s="294">
        <v>0</v>
      </c>
      <c r="AAZ135" s="294"/>
      <c r="ABA135" s="294">
        <v>0</v>
      </c>
      <c r="ABB135" s="294"/>
      <c r="ABC135" s="294">
        <v>0</v>
      </c>
      <c r="ABD135" s="294">
        <v>-348056.24</v>
      </c>
      <c r="ABE135" s="294">
        <v>0</v>
      </c>
      <c r="ABF135" s="294">
        <v>0</v>
      </c>
      <c r="ABG135" s="294">
        <v>0</v>
      </c>
      <c r="ABH135" s="294"/>
      <c r="ABI135" s="294">
        <v>0</v>
      </c>
      <c r="ABJ135" s="294">
        <v>0</v>
      </c>
      <c r="ABK135" s="294">
        <v>0</v>
      </c>
      <c r="ABL135" s="294">
        <v>0</v>
      </c>
      <c r="ABM135" s="294">
        <v>0</v>
      </c>
      <c r="ABN135" s="294"/>
      <c r="ABO135" s="294"/>
      <c r="ABP135" s="294"/>
      <c r="ABQ135" s="294"/>
      <c r="ABR135" s="294"/>
      <c r="ABS135" s="294"/>
      <c r="ABT135" s="294"/>
      <c r="ABU135" s="294"/>
      <c r="ABV135" s="294"/>
      <c r="ABW135" s="294"/>
      <c r="ABX135" s="294">
        <v>-1357500</v>
      </c>
      <c r="ABY135" s="294">
        <v>-27500</v>
      </c>
      <c r="ABZ135" s="294"/>
      <c r="ACA135" s="294"/>
      <c r="ACB135" s="294"/>
      <c r="ACC135" s="294">
        <v>-240000</v>
      </c>
      <c r="ACD135" s="294"/>
      <c r="ACE135" s="294">
        <v>0</v>
      </c>
      <c r="ACF135" s="294"/>
      <c r="ACG135" s="294"/>
      <c r="ACH135" s="294">
        <v>-1561500</v>
      </c>
      <c r="ACI135" s="294">
        <v>-50000</v>
      </c>
      <c r="ACJ135" s="294"/>
      <c r="ACK135" s="294">
        <v>0</v>
      </c>
      <c r="ACL135" s="294">
        <v>0</v>
      </c>
      <c r="ACM135" s="294">
        <v>-458272</v>
      </c>
      <c r="ACN135" s="294">
        <v>-10000</v>
      </c>
      <c r="ACO135" s="294"/>
      <c r="ACP135" s="294"/>
      <c r="ACQ135" s="294"/>
      <c r="ACR135" s="294">
        <v>-532500</v>
      </c>
      <c r="ACS135" s="294">
        <v>0</v>
      </c>
      <c r="ACT135" s="294">
        <v>-1376700</v>
      </c>
      <c r="ACU135" s="294"/>
      <c r="ACV135" s="294"/>
      <c r="ACW135" s="294"/>
      <c r="ACX135" s="294"/>
      <c r="ACY135" s="294">
        <v>-500000</v>
      </c>
      <c r="ACZ135" s="294"/>
      <c r="ADA135" s="294">
        <v>0</v>
      </c>
      <c r="ADB135" s="294"/>
      <c r="ADC135" s="294">
        <v>-1125000</v>
      </c>
      <c r="ADD135" s="294"/>
      <c r="ADE135" s="294">
        <v>-960000</v>
      </c>
      <c r="ADF135" s="294">
        <v>0</v>
      </c>
      <c r="ADG135" s="294"/>
      <c r="ADH135" s="294"/>
      <c r="ADI135" s="294">
        <v>0</v>
      </c>
      <c r="ADJ135" s="294">
        <v>-922500</v>
      </c>
      <c r="ADK135" s="294">
        <v>-315000</v>
      </c>
      <c r="ADL135" s="294"/>
      <c r="ADM135" s="294"/>
      <c r="ADN135" s="294">
        <v>-697500</v>
      </c>
      <c r="ADO135" s="294">
        <v>-204000</v>
      </c>
      <c r="ADP135" s="294">
        <v>-187956.43</v>
      </c>
      <c r="ADQ135" s="294"/>
      <c r="ADR135" s="294"/>
      <c r="ADS135" s="294">
        <v>0</v>
      </c>
      <c r="ADT135" s="294">
        <v>0</v>
      </c>
      <c r="ADU135" s="294"/>
      <c r="ADV135" s="294"/>
      <c r="ADW135" s="294"/>
      <c r="ADX135" s="294"/>
      <c r="ADY135" s="294">
        <v>0</v>
      </c>
      <c r="ADZ135" s="294">
        <v>-500000</v>
      </c>
      <c r="AEA135" s="294"/>
      <c r="AEB135" s="294"/>
      <c r="AEC135" s="294"/>
      <c r="AED135" s="294"/>
      <c r="AEE135" s="294"/>
      <c r="AEF135" s="294"/>
      <c r="AEG135" s="294"/>
      <c r="AEH135" s="294"/>
      <c r="AEI135" s="294"/>
      <c r="AEJ135" s="294"/>
      <c r="AEK135" s="294"/>
      <c r="AEL135" s="294"/>
      <c r="AEM135" s="294"/>
      <c r="AEN135" s="294"/>
      <c r="AEO135" s="294"/>
      <c r="AEP135" s="294"/>
      <c r="AEQ135" s="294"/>
      <c r="AER135" s="294"/>
      <c r="AES135" s="294">
        <v>0</v>
      </c>
      <c r="AET135" s="294"/>
      <c r="AEU135" s="294"/>
      <c r="AEV135" s="294"/>
      <c r="AEW135" s="294"/>
      <c r="AEX135" s="294">
        <v>-430000</v>
      </c>
      <c r="AEY135" s="294"/>
      <c r="AEZ135" s="294"/>
      <c r="AFA135" s="294"/>
      <c r="AFB135" s="294"/>
      <c r="AFC135" s="294"/>
      <c r="AFD135" s="294"/>
      <c r="AFE135" s="294"/>
      <c r="AFF135" s="294"/>
      <c r="AFG135" s="294"/>
      <c r="AFH135" s="294"/>
      <c r="AFI135" s="294"/>
      <c r="AFJ135" s="294"/>
      <c r="AFK135" s="294"/>
      <c r="AFL135" s="294"/>
      <c r="AFM135" s="294"/>
      <c r="AFN135" s="294"/>
      <c r="AFO135" s="294"/>
      <c r="AFP135" s="294">
        <v>-2310000</v>
      </c>
      <c r="AFQ135" s="294"/>
      <c r="AFR135" s="294"/>
      <c r="AFS135" s="294"/>
      <c r="AFT135" s="294">
        <v>0</v>
      </c>
      <c r="AFU135" s="294">
        <v>0</v>
      </c>
      <c r="AFV135" s="294"/>
      <c r="AFW135" s="294"/>
      <c r="AFX135" s="294"/>
      <c r="AFY135" s="294">
        <v>0</v>
      </c>
      <c r="AFZ135" s="294"/>
      <c r="AGA135" s="294"/>
      <c r="AGB135" s="294"/>
      <c r="AGC135" s="294">
        <v>-864640</v>
      </c>
      <c r="AGD135" s="294"/>
      <c r="AGE135" s="294">
        <v>0</v>
      </c>
      <c r="AGF135" s="294">
        <v>0</v>
      </c>
      <c r="AGG135" s="294">
        <v>0</v>
      </c>
      <c r="AGH135" s="294"/>
      <c r="AGI135" s="294"/>
      <c r="AGJ135" s="294">
        <v>0</v>
      </c>
      <c r="AGK135" s="294">
        <v>0</v>
      </c>
      <c r="AGL135" s="294"/>
      <c r="AGM135" s="294"/>
      <c r="AGN135" s="294"/>
      <c r="AGO135" s="294"/>
      <c r="AGP135" s="294">
        <v>-1713131.52</v>
      </c>
      <c r="AGQ135" s="294"/>
      <c r="AGR135" s="294"/>
      <c r="AGS135" s="294"/>
      <c r="AGT135" s="294"/>
      <c r="AGU135" s="294"/>
      <c r="AGV135" s="294">
        <v>-6600000</v>
      </c>
      <c r="AGW135" s="294">
        <v>464091.4</v>
      </c>
      <c r="AGX135" s="294">
        <v>0</v>
      </c>
      <c r="AGY135" s="294">
        <v>0</v>
      </c>
      <c r="AGZ135" s="294"/>
      <c r="AHA135" s="294"/>
      <c r="AHB135" s="294"/>
      <c r="AHC135" s="294"/>
      <c r="AHD135" s="294"/>
      <c r="AHE135" s="294">
        <v>0</v>
      </c>
      <c r="AHF135" s="294">
        <v>-1020000</v>
      </c>
      <c r="AHG135" s="294"/>
      <c r="AHH135" s="294">
        <v>-406668</v>
      </c>
      <c r="AHI135" s="294"/>
      <c r="AHJ135" s="294"/>
      <c r="AHK135" s="294"/>
      <c r="AHL135" s="294">
        <v>-2799595.78</v>
      </c>
      <c r="AHM135" s="294"/>
      <c r="AHN135" s="294">
        <v>-1394939</v>
      </c>
      <c r="AHO135" s="294">
        <v>0</v>
      </c>
      <c r="AHP135" s="294">
        <v>-95218.7</v>
      </c>
      <c r="AHQ135" s="294">
        <v>-177920</v>
      </c>
      <c r="AHR135" s="331">
        <v>-139639</v>
      </c>
      <c r="AHS135" s="294">
        <f t="shared" si="55"/>
        <v>-222652987.29999995</v>
      </c>
      <c r="AHT135" s="269" t="b">
        <f t="shared" si="54"/>
        <v>1</v>
      </c>
      <c r="AHU135" s="269" t="s">
        <v>6280</v>
      </c>
      <c r="AHV135" s="269" t="s">
        <v>6212</v>
      </c>
      <c r="AHW135" s="269" t="s">
        <v>6213</v>
      </c>
    </row>
    <row r="136" spans="1:907" ht="24.6" x14ac:dyDescent="0.7">
      <c r="A136" s="268" t="s">
        <v>6280</v>
      </c>
      <c r="B136" s="268" t="s">
        <v>6214</v>
      </c>
      <c r="C136" s="269" t="s">
        <v>6215</v>
      </c>
      <c r="D136" s="294">
        <v>0</v>
      </c>
      <c r="E136" s="294"/>
      <c r="F136" s="294"/>
      <c r="G136" s="294"/>
      <c r="H136" s="294">
        <v>0</v>
      </c>
      <c r="I136" s="294"/>
      <c r="J136" s="294"/>
      <c r="K136" s="294"/>
      <c r="L136" s="294">
        <v>-2937902.27</v>
      </c>
      <c r="M136" s="294"/>
      <c r="N136" s="294"/>
      <c r="O136" s="294">
        <v>-1968.47</v>
      </c>
      <c r="P136" s="294"/>
      <c r="Q136" s="294"/>
      <c r="R136" s="294"/>
      <c r="S136" s="294"/>
      <c r="T136" s="294"/>
      <c r="U136" s="294"/>
      <c r="V136" s="294"/>
      <c r="W136" s="294"/>
      <c r="X136" s="294">
        <v>0</v>
      </c>
      <c r="Y136" s="294"/>
      <c r="Z136" s="294"/>
      <c r="AA136" s="294"/>
      <c r="AB136" s="294">
        <v>-191860</v>
      </c>
      <c r="AC136" s="294">
        <v>0</v>
      </c>
      <c r="AD136" s="294">
        <v>-160732</v>
      </c>
      <c r="AE136" s="294">
        <v>-441220</v>
      </c>
      <c r="AF136" s="294">
        <v>0</v>
      </c>
      <c r="AG136" s="294">
        <v>0</v>
      </c>
      <c r="AH136" s="294">
        <v>0</v>
      </c>
      <c r="AI136" s="294">
        <v>0</v>
      </c>
      <c r="AJ136" s="294">
        <v>0</v>
      </c>
      <c r="AK136" s="294">
        <v>0</v>
      </c>
      <c r="AL136" s="294">
        <v>0</v>
      </c>
      <c r="AM136" s="294">
        <v>0</v>
      </c>
      <c r="AN136" s="294"/>
      <c r="AO136" s="294">
        <v>0</v>
      </c>
      <c r="AP136" s="294">
        <v>-361200</v>
      </c>
      <c r="AQ136" s="294"/>
      <c r="AR136" s="294"/>
      <c r="AS136" s="294"/>
      <c r="AT136" s="294"/>
      <c r="AU136" s="294">
        <v>0</v>
      </c>
      <c r="AV136" s="294">
        <v>-700000</v>
      </c>
      <c r="AW136" s="294"/>
      <c r="AX136" s="294">
        <v>-1063163</v>
      </c>
      <c r="AY136" s="294">
        <v>-500000</v>
      </c>
      <c r="AZ136" s="294">
        <v>0</v>
      </c>
      <c r="BA136" s="294"/>
      <c r="BB136" s="294">
        <v>0</v>
      </c>
      <c r="BC136" s="294"/>
      <c r="BD136" s="294"/>
      <c r="BE136" s="294"/>
      <c r="BF136" s="294"/>
      <c r="BG136" s="294">
        <v>-1012854.98</v>
      </c>
      <c r="BH136" s="294">
        <v>0</v>
      </c>
      <c r="BI136" s="294">
        <v>-3360189.98</v>
      </c>
      <c r="BJ136" s="294">
        <v>0</v>
      </c>
      <c r="BK136" s="294">
        <v>0</v>
      </c>
      <c r="BL136" s="294">
        <v>-339956.81</v>
      </c>
      <c r="BM136" s="294"/>
      <c r="BN136" s="294">
        <v>-1934373.51</v>
      </c>
      <c r="BO136" s="294">
        <v>-1335498</v>
      </c>
      <c r="BP136" s="294">
        <v>-1146958.31</v>
      </c>
      <c r="BQ136" s="294"/>
      <c r="BR136" s="294"/>
      <c r="BS136" s="294"/>
      <c r="BT136" s="294">
        <v>0</v>
      </c>
      <c r="BU136" s="294"/>
      <c r="BV136" s="294">
        <v>-43750</v>
      </c>
      <c r="BW136" s="294"/>
      <c r="BX136" s="294">
        <v>-468792.88</v>
      </c>
      <c r="BY136" s="294"/>
      <c r="BZ136" s="294"/>
      <c r="CA136" s="294">
        <v>-8799.41</v>
      </c>
      <c r="CB136" s="294"/>
      <c r="CC136" s="294">
        <v>-108470.39</v>
      </c>
      <c r="CD136" s="294"/>
      <c r="CE136" s="294">
        <v>0</v>
      </c>
      <c r="CF136" s="294"/>
      <c r="CG136" s="294"/>
      <c r="CH136" s="294"/>
      <c r="CI136" s="294"/>
      <c r="CJ136" s="294"/>
      <c r="CK136" s="294"/>
      <c r="CL136" s="294"/>
      <c r="CM136" s="294"/>
      <c r="CN136" s="294"/>
      <c r="CO136" s="294"/>
      <c r="CP136" s="294"/>
      <c r="CQ136" s="294"/>
      <c r="CR136" s="294">
        <v>0</v>
      </c>
      <c r="CS136" s="294">
        <v>-293529</v>
      </c>
      <c r="CT136" s="294">
        <v>0</v>
      </c>
      <c r="CU136" s="294">
        <v>-810644.28</v>
      </c>
      <c r="CV136" s="294">
        <v>-100407.25</v>
      </c>
      <c r="CW136" s="294">
        <v>-6460.28</v>
      </c>
      <c r="CX136" s="294">
        <v>-680000</v>
      </c>
      <c r="CY136" s="294">
        <v>0</v>
      </c>
      <c r="CZ136" s="294">
        <v>0</v>
      </c>
      <c r="DA136" s="294">
        <v>-773363</v>
      </c>
      <c r="DB136" s="294"/>
      <c r="DC136" s="294"/>
      <c r="DD136" s="294">
        <v>0</v>
      </c>
      <c r="DE136" s="294">
        <v>-24482.5</v>
      </c>
      <c r="DF136" s="294"/>
      <c r="DG136" s="294"/>
      <c r="DH136" s="294">
        <v>-1562879.8</v>
      </c>
      <c r="DI136" s="294"/>
      <c r="DJ136" s="294">
        <v>-663792.66</v>
      </c>
      <c r="DK136" s="294"/>
      <c r="DL136" s="294"/>
      <c r="DM136" s="294"/>
      <c r="DN136" s="294"/>
      <c r="DO136" s="294">
        <v>-424540.46</v>
      </c>
      <c r="DP136" s="294"/>
      <c r="DQ136" s="294">
        <v>-2492010.37</v>
      </c>
      <c r="DR136" s="294">
        <v>0</v>
      </c>
      <c r="DS136" s="294">
        <v>-4607638.67</v>
      </c>
      <c r="DT136" s="294"/>
      <c r="DU136" s="294">
        <v>-150977.75</v>
      </c>
      <c r="DV136" s="294">
        <v>0</v>
      </c>
      <c r="DW136" s="294"/>
      <c r="DX136" s="294">
        <v>-37008.25</v>
      </c>
      <c r="DY136" s="294"/>
      <c r="DZ136" s="294">
        <v>-422456.66</v>
      </c>
      <c r="EA136" s="294">
        <v>-43301</v>
      </c>
      <c r="EB136" s="294">
        <v>-850765.5</v>
      </c>
      <c r="EC136" s="294"/>
      <c r="ED136" s="294"/>
      <c r="EE136" s="294">
        <v>-1894579.41</v>
      </c>
      <c r="EF136" s="294">
        <v>-1106783.45</v>
      </c>
      <c r="EG136" s="294"/>
      <c r="EH136" s="294">
        <v>-3387110.01</v>
      </c>
      <c r="EI136" s="294">
        <v>-152181.26999999999</v>
      </c>
      <c r="EJ136" s="294">
        <v>0</v>
      </c>
      <c r="EK136" s="294"/>
      <c r="EL136" s="294">
        <v>-14622.5</v>
      </c>
      <c r="EM136" s="294">
        <v>0</v>
      </c>
      <c r="EN136" s="294"/>
      <c r="EO136" s="294"/>
      <c r="EP136" s="294">
        <v>-1321600.49</v>
      </c>
      <c r="EQ136" s="294">
        <v>-1114308.19</v>
      </c>
      <c r="ER136" s="294">
        <v>-400260.64</v>
      </c>
      <c r="ES136" s="294">
        <v>0</v>
      </c>
      <c r="ET136" s="294">
        <v>-608282.75</v>
      </c>
      <c r="EU136" s="294">
        <v>-1942822.12</v>
      </c>
      <c r="EV136" s="294"/>
      <c r="EW136" s="294">
        <v>-150938</v>
      </c>
      <c r="EX136" s="294"/>
      <c r="EY136" s="294">
        <v>0</v>
      </c>
      <c r="EZ136" s="294"/>
      <c r="FA136" s="294"/>
      <c r="FB136" s="294"/>
      <c r="FC136" s="294">
        <v>-833000</v>
      </c>
      <c r="FD136" s="294">
        <v>-1262522.06</v>
      </c>
      <c r="FE136" s="294"/>
      <c r="FF136" s="294"/>
      <c r="FG136" s="294"/>
      <c r="FH136" s="294">
        <v>-568581.75</v>
      </c>
      <c r="FI136" s="294">
        <v>0</v>
      </c>
      <c r="FJ136" s="294"/>
      <c r="FK136" s="294"/>
      <c r="FL136" s="294">
        <v>0</v>
      </c>
      <c r="FM136" s="294"/>
      <c r="FN136" s="294">
        <v>0</v>
      </c>
      <c r="FO136" s="294">
        <v>0</v>
      </c>
      <c r="FP136" s="294"/>
      <c r="FQ136" s="294"/>
      <c r="FR136" s="294">
        <v>-1059307.1000000001</v>
      </c>
      <c r="FS136" s="294">
        <v>-3355157.63</v>
      </c>
      <c r="FT136" s="294"/>
      <c r="FU136" s="294">
        <v>-661277.81999999995</v>
      </c>
      <c r="FV136" s="294">
        <v>0</v>
      </c>
      <c r="FW136" s="294"/>
      <c r="FX136" s="294">
        <v>-518766.21</v>
      </c>
      <c r="FY136" s="294">
        <v>-469864.01</v>
      </c>
      <c r="FZ136" s="294"/>
      <c r="GA136" s="294">
        <v>-2955310.32</v>
      </c>
      <c r="GB136" s="294">
        <v>-3011467.63</v>
      </c>
      <c r="GC136" s="294">
        <v>-4537694.3</v>
      </c>
      <c r="GD136" s="294">
        <v>-472815.22</v>
      </c>
      <c r="GE136" s="294">
        <v>-1786348.7</v>
      </c>
      <c r="GF136" s="294">
        <v>-1180545.57</v>
      </c>
      <c r="GG136" s="294">
        <v>0</v>
      </c>
      <c r="GH136" s="294">
        <v>-453725.45</v>
      </c>
      <c r="GI136" s="294">
        <v>-226104</v>
      </c>
      <c r="GJ136" s="294">
        <v>0</v>
      </c>
      <c r="GK136" s="294">
        <v>-550934.93999999994</v>
      </c>
      <c r="GL136" s="294">
        <v>0</v>
      </c>
      <c r="GM136" s="294">
        <v>-301065.02</v>
      </c>
      <c r="GN136" s="294">
        <v>-2081891.56</v>
      </c>
      <c r="GO136" s="294">
        <v>-258492.11</v>
      </c>
      <c r="GP136" s="294">
        <v>-1131966.51</v>
      </c>
      <c r="GQ136" s="294"/>
      <c r="GR136" s="294"/>
      <c r="GS136" s="294"/>
      <c r="GT136" s="294"/>
      <c r="GU136" s="294"/>
      <c r="GV136" s="294"/>
      <c r="GW136" s="294"/>
      <c r="GX136" s="294"/>
      <c r="GY136" s="294">
        <v>-268809</v>
      </c>
      <c r="GZ136" s="294"/>
      <c r="HA136" s="294"/>
      <c r="HB136" s="294"/>
      <c r="HC136" s="294"/>
      <c r="HD136" s="294"/>
      <c r="HE136" s="294"/>
      <c r="HF136" s="294"/>
      <c r="HG136" s="294">
        <v>-1484940.94</v>
      </c>
      <c r="HH136" s="294"/>
      <c r="HI136" s="294">
        <v>-2271413.63</v>
      </c>
      <c r="HJ136" s="294"/>
      <c r="HK136" s="294">
        <v>-541990.75</v>
      </c>
      <c r="HL136" s="294"/>
      <c r="HM136" s="294">
        <v>-60905.29</v>
      </c>
      <c r="HN136" s="294">
        <v>-91230.78</v>
      </c>
      <c r="HO136" s="294"/>
      <c r="HP136" s="294"/>
      <c r="HQ136" s="294"/>
      <c r="HR136" s="294"/>
      <c r="HS136" s="294">
        <v>-1866072.74</v>
      </c>
      <c r="HT136" s="294"/>
      <c r="HU136" s="294"/>
      <c r="HV136" s="294"/>
      <c r="HW136" s="294"/>
      <c r="HX136" s="294"/>
      <c r="HY136" s="294"/>
      <c r="HZ136" s="294">
        <v>-1835193.43</v>
      </c>
      <c r="IA136" s="294"/>
      <c r="IB136" s="294">
        <v>-783594.25</v>
      </c>
      <c r="IC136" s="294">
        <v>0</v>
      </c>
      <c r="ID136" s="294">
        <v>-384228.52</v>
      </c>
      <c r="IE136" s="294">
        <v>-240000</v>
      </c>
      <c r="IF136" s="294">
        <v>-388864.06</v>
      </c>
      <c r="IG136" s="294"/>
      <c r="IH136" s="294"/>
      <c r="II136" s="294">
        <v>-1196784.99</v>
      </c>
      <c r="IJ136" s="294"/>
      <c r="IK136" s="294">
        <v>-1132.4000000000001</v>
      </c>
      <c r="IL136" s="294"/>
      <c r="IM136" s="294">
        <v>0</v>
      </c>
      <c r="IN136" s="294">
        <v>-25872</v>
      </c>
      <c r="IO136" s="294">
        <v>-5369</v>
      </c>
      <c r="IP136" s="294"/>
      <c r="IQ136" s="294">
        <v>-25420</v>
      </c>
      <c r="IR136" s="294">
        <v>-160740.41</v>
      </c>
      <c r="IS136" s="294">
        <v>-242343.67999999999</v>
      </c>
      <c r="IT136" s="294"/>
      <c r="IU136" s="294"/>
      <c r="IV136" s="294"/>
      <c r="IW136" s="294"/>
      <c r="IX136" s="294"/>
      <c r="IY136" s="294"/>
      <c r="IZ136" s="294">
        <v>0</v>
      </c>
      <c r="JA136" s="294">
        <v>-83887.5</v>
      </c>
      <c r="JB136" s="294"/>
      <c r="JC136" s="294"/>
      <c r="JD136" s="294"/>
      <c r="JE136" s="294"/>
      <c r="JF136" s="294"/>
      <c r="JG136" s="294">
        <v>-979494.12</v>
      </c>
      <c r="JH136" s="294"/>
      <c r="JI136" s="294"/>
      <c r="JJ136" s="294">
        <v>-366987.31</v>
      </c>
      <c r="JK136" s="294">
        <v>-14867122.51</v>
      </c>
      <c r="JL136" s="294">
        <v>-43000</v>
      </c>
      <c r="JM136" s="294"/>
      <c r="JN136" s="294">
        <v>-420415.21</v>
      </c>
      <c r="JO136" s="294"/>
      <c r="JP136" s="294"/>
      <c r="JQ136" s="294">
        <v>-499158.56</v>
      </c>
      <c r="JR136" s="294">
        <v>-10355736.380000001</v>
      </c>
      <c r="JS136" s="294"/>
      <c r="JT136" s="294">
        <v>-2389348.88</v>
      </c>
      <c r="JU136" s="294">
        <v>0</v>
      </c>
      <c r="JV136" s="294"/>
      <c r="JW136" s="294">
        <v>-200000</v>
      </c>
      <c r="JX136" s="294"/>
      <c r="JY136" s="294">
        <v>-259686.81</v>
      </c>
      <c r="JZ136" s="294"/>
      <c r="KA136" s="294">
        <v>-1040823.45</v>
      </c>
      <c r="KB136" s="294">
        <v>-487494.39</v>
      </c>
      <c r="KC136" s="294">
        <v>-1480362.87</v>
      </c>
      <c r="KD136" s="294"/>
      <c r="KE136" s="294"/>
      <c r="KF136" s="294">
        <v>-1100839.97</v>
      </c>
      <c r="KG136" s="294"/>
      <c r="KH136" s="294">
        <v>-2571917.0699999998</v>
      </c>
      <c r="KI136" s="294"/>
      <c r="KJ136" s="294"/>
      <c r="KK136" s="294"/>
      <c r="KL136" s="294"/>
      <c r="KM136" s="294">
        <v>-136437.43</v>
      </c>
      <c r="KN136" s="294"/>
      <c r="KO136" s="294"/>
      <c r="KP136" s="294">
        <v>-719180.7</v>
      </c>
      <c r="KQ136" s="294"/>
      <c r="KR136" s="294"/>
      <c r="KS136" s="294"/>
      <c r="KT136" s="294"/>
      <c r="KU136" s="294">
        <v>-605761.43999999994</v>
      </c>
      <c r="KV136" s="294">
        <v>0</v>
      </c>
      <c r="KW136" s="294"/>
      <c r="KX136" s="294">
        <v>-1506360</v>
      </c>
      <c r="KY136" s="294">
        <v>-6966328.4000000004</v>
      </c>
      <c r="KZ136" s="294"/>
      <c r="LA136" s="294">
        <v>0</v>
      </c>
      <c r="LB136" s="294"/>
      <c r="LC136" s="294"/>
      <c r="LD136" s="294"/>
      <c r="LE136" s="294">
        <v>0</v>
      </c>
      <c r="LF136" s="294">
        <v>-521310</v>
      </c>
      <c r="LG136" s="294">
        <v>-1840203.16</v>
      </c>
      <c r="LH136" s="294"/>
      <c r="LI136" s="294"/>
      <c r="LJ136" s="294"/>
      <c r="LK136" s="294">
        <v>-28700</v>
      </c>
      <c r="LL136" s="294"/>
      <c r="LM136" s="294">
        <v>0</v>
      </c>
      <c r="LN136" s="294">
        <v>-1083290</v>
      </c>
      <c r="LO136" s="294"/>
      <c r="LP136" s="294">
        <v>-2087762.39</v>
      </c>
      <c r="LQ136" s="294"/>
      <c r="LR136" s="294"/>
      <c r="LS136" s="294"/>
      <c r="LT136" s="294">
        <v>-717334.88</v>
      </c>
      <c r="LU136" s="294"/>
      <c r="LV136" s="294">
        <v>-12945301.18</v>
      </c>
      <c r="LW136" s="294"/>
      <c r="LX136" s="294">
        <v>-3148198.01</v>
      </c>
      <c r="LY136" s="294">
        <v>0</v>
      </c>
      <c r="LZ136" s="294"/>
      <c r="MA136" s="294">
        <v>-1233425.08</v>
      </c>
      <c r="MB136" s="294"/>
      <c r="MC136" s="294">
        <v>-1163600.5</v>
      </c>
      <c r="MD136" s="294">
        <v>-237272</v>
      </c>
      <c r="ME136" s="294">
        <v>0</v>
      </c>
      <c r="MF136" s="294">
        <v>-859461.59</v>
      </c>
      <c r="MG136" s="294"/>
      <c r="MH136" s="294">
        <v>0</v>
      </c>
      <c r="MI136" s="294"/>
      <c r="MJ136" s="294">
        <v>0</v>
      </c>
      <c r="MK136" s="294"/>
      <c r="ML136" s="294">
        <v>0</v>
      </c>
      <c r="MM136" s="294">
        <v>0</v>
      </c>
      <c r="MN136" s="294">
        <v>0</v>
      </c>
      <c r="MO136" s="294">
        <v>0</v>
      </c>
      <c r="MP136" s="294">
        <v>-1389700</v>
      </c>
      <c r="MQ136" s="294">
        <v>-865285.62</v>
      </c>
      <c r="MR136" s="294"/>
      <c r="MS136" s="294"/>
      <c r="MT136" s="294">
        <v>-2653661.75</v>
      </c>
      <c r="MU136" s="294">
        <v>-1071356.5</v>
      </c>
      <c r="MV136" s="294"/>
      <c r="MW136" s="294"/>
      <c r="MX136" s="294"/>
      <c r="MY136" s="294">
        <v>-1760269.0290000001</v>
      </c>
      <c r="MZ136" s="294">
        <v>-2056755</v>
      </c>
      <c r="NA136" s="294">
        <v>-1502512.55</v>
      </c>
      <c r="NB136" s="294">
        <v>0</v>
      </c>
      <c r="NC136" s="294">
        <v>-299501.17</v>
      </c>
      <c r="ND136" s="294"/>
      <c r="NE136" s="294"/>
      <c r="NF136" s="294"/>
      <c r="NG136" s="294"/>
      <c r="NH136" s="294">
        <v>-468132.02</v>
      </c>
      <c r="NI136" s="294">
        <v>-5904818.46</v>
      </c>
      <c r="NJ136" s="294"/>
      <c r="NK136" s="294">
        <v>-416381.01</v>
      </c>
      <c r="NL136" s="294"/>
      <c r="NM136" s="294"/>
      <c r="NN136" s="294"/>
      <c r="NO136" s="294"/>
      <c r="NP136" s="294"/>
      <c r="NQ136" s="294"/>
      <c r="NR136" s="294"/>
      <c r="NS136" s="294">
        <v>-22114.5</v>
      </c>
      <c r="NT136" s="294">
        <v>-537598</v>
      </c>
      <c r="NU136" s="294"/>
      <c r="NV136" s="294"/>
      <c r="NW136" s="294"/>
      <c r="NX136" s="294">
        <v>-5797212.6599999992</v>
      </c>
      <c r="NY136" s="294"/>
      <c r="NZ136" s="294">
        <v>-63649.65</v>
      </c>
      <c r="OA136" s="294"/>
      <c r="OB136" s="294"/>
      <c r="OC136" s="294"/>
      <c r="OD136" s="294"/>
      <c r="OE136" s="294"/>
      <c r="OF136" s="294">
        <v>-1028945.48</v>
      </c>
      <c r="OG136" s="294">
        <v>-4169541.12</v>
      </c>
      <c r="OH136" s="294"/>
      <c r="OI136" s="294"/>
      <c r="OJ136" s="294">
        <v>-593634.11</v>
      </c>
      <c r="OK136" s="294"/>
      <c r="OL136" s="294"/>
      <c r="OM136" s="294">
        <v>-25480073.059999999</v>
      </c>
      <c r="ON136" s="294">
        <v>-929185</v>
      </c>
      <c r="OO136" s="294">
        <v>-6502988.1399999997</v>
      </c>
      <c r="OP136" s="294">
        <v>-60468.24</v>
      </c>
      <c r="OQ136" s="294">
        <v>-4142312.56</v>
      </c>
      <c r="OR136" s="294">
        <v>0</v>
      </c>
      <c r="OS136" s="294">
        <v>-4309246.63</v>
      </c>
      <c r="OT136" s="294">
        <v>-23707.5</v>
      </c>
      <c r="OU136" s="294">
        <v>-276311.78999999998</v>
      </c>
      <c r="OV136" s="294"/>
      <c r="OW136" s="294">
        <v>0</v>
      </c>
      <c r="OX136" s="294"/>
      <c r="OY136" s="294">
        <v>0</v>
      </c>
      <c r="OZ136" s="294"/>
      <c r="PA136" s="294">
        <v>0</v>
      </c>
      <c r="PB136" s="294">
        <v>0</v>
      </c>
      <c r="PC136" s="294"/>
      <c r="PD136" s="294"/>
      <c r="PE136" s="294">
        <v>0</v>
      </c>
      <c r="PF136" s="294">
        <v>-977125.52</v>
      </c>
      <c r="PG136" s="294"/>
      <c r="PH136" s="294"/>
      <c r="PI136" s="294"/>
      <c r="PJ136" s="294">
        <v>-9600</v>
      </c>
      <c r="PK136" s="294"/>
      <c r="PL136" s="294"/>
      <c r="PM136" s="294"/>
      <c r="PN136" s="294">
        <v>-105492.76</v>
      </c>
      <c r="PO136" s="294"/>
      <c r="PP136" s="294">
        <v>-1352106.55</v>
      </c>
      <c r="PQ136" s="294"/>
      <c r="PR136" s="294">
        <v>-1206023.78</v>
      </c>
      <c r="PS136" s="294"/>
      <c r="PT136" s="294"/>
      <c r="PU136" s="294">
        <v>-547026.27</v>
      </c>
      <c r="PV136" s="294">
        <v>0</v>
      </c>
      <c r="PW136" s="294">
        <v>0</v>
      </c>
      <c r="PX136" s="294">
        <v>0</v>
      </c>
      <c r="PY136" s="294">
        <v>-19485</v>
      </c>
      <c r="PZ136" s="294"/>
      <c r="QA136" s="294">
        <v>0</v>
      </c>
      <c r="QB136" s="294">
        <v>-145101</v>
      </c>
      <c r="QC136" s="294"/>
      <c r="QD136" s="294">
        <v>-46830</v>
      </c>
      <c r="QE136" s="294"/>
      <c r="QF136" s="294">
        <v>0</v>
      </c>
      <c r="QG136" s="294"/>
      <c r="QH136" s="294"/>
      <c r="QI136" s="294">
        <v>0</v>
      </c>
      <c r="QJ136" s="294">
        <v>-4986.5200000000004</v>
      </c>
      <c r="QK136" s="294">
        <v>-2329382.39</v>
      </c>
      <c r="QL136" s="294"/>
      <c r="QM136" s="294">
        <v>0</v>
      </c>
      <c r="QN136" s="294">
        <v>0</v>
      </c>
      <c r="QO136" s="294">
        <v>-376465.65</v>
      </c>
      <c r="QP136" s="294"/>
      <c r="QQ136" s="294"/>
      <c r="QR136" s="294"/>
      <c r="QS136" s="294">
        <v>-194065.07</v>
      </c>
      <c r="QT136" s="294"/>
      <c r="QU136" s="294"/>
      <c r="QV136" s="294"/>
      <c r="QW136" s="294"/>
      <c r="QX136" s="294"/>
      <c r="QY136" s="294"/>
      <c r="QZ136" s="294">
        <v>-349899</v>
      </c>
      <c r="RA136" s="294">
        <v>-396400</v>
      </c>
      <c r="RB136" s="294">
        <v>0</v>
      </c>
      <c r="RC136" s="294">
        <v>-105604.88</v>
      </c>
      <c r="RD136" s="294">
        <v>0</v>
      </c>
      <c r="RE136" s="294">
        <v>-4400</v>
      </c>
      <c r="RF136" s="294">
        <v>-2213479.31</v>
      </c>
      <c r="RG136" s="294">
        <v>0</v>
      </c>
      <c r="RH136" s="294">
        <v>-235651</v>
      </c>
      <c r="RI136" s="294">
        <v>0</v>
      </c>
      <c r="RJ136" s="294">
        <v>-150000</v>
      </c>
      <c r="RK136" s="294"/>
      <c r="RL136" s="294">
        <v>0</v>
      </c>
      <c r="RM136" s="294"/>
      <c r="RN136" s="294">
        <v>-1192168.18</v>
      </c>
      <c r="RO136" s="294">
        <v>-166556</v>
      </c>
      <c r="RP136" s="294">
        <v>-916165.98</v>
      </c>
      <c r="RQ136" s="294">
        <v>-486000</v>
      </c>
      <c r="RR136" s="294">
        <v>-124320</v>
      </c>
      <c r="RS136" s="294">
        <v>-747053.12</v>
      </c>
      <c r="RT136" s="294">
        <v>0</v>
      </c>
      <c r="RU136" s="294">
        <v>-121950</v>
      </c>
      <c r="RV136" s="294">
        <v>-1212392.17</v>
      </c>
      <c r="RW136" s="294">
        <v>-676803.44</v>
      </c>
      <c r="RX136" s="294">
        <v>-186087.8</v>
      </c>
      <c r="RY136" s="294"/>
      <c r="RZ136" s="294">
        <v>-70200</v>
      </c>
      <c r="SA136" s="294"/>
      <c r="SB136" s="294"/>
      <c r="SC136" s="294">
        <v>-3401639.71</v>
      </c>
      <c r="SD136" s="294">
        <v>-1272873.3899999999</v>
      </c>
      <c r="SE136" s="294"/>
      <c r="SF136" s="294">
        <v>-441790</v>
      </c>
      <c r="SG136" s="294">
        <v>-472450.5</v>
      </c>
      <c r="SH136" s="294">
        <v>-95832.04</v>
      </c>
      <c r="SI136" s="294">
        <v>-980324.5</v>
      </c>
      <c r="SJ136" s="294">
        <v>-1093378</v>
      </c>
      <c r="SK136" s="294">
        <v>-4049514.13</v>
      </c>
      <c r="SL136" s="294"/>
      <c r="SM136" s="294">
        <v>-142650</v>
      </c>
      <c r="SN136" s="294"/>
      <c r="SO136" s="294"/>
      <c r="SP136" s="294">
        <v>0</v>
      </c>
      <c r="SQ136" s="294">
        <v>0</v>
      </c>
      <c r="SR136" s="294">
        <v>-475882.91</v>
      </c>
      <c r="SS136" s="294">
        <v>-2300612.23</v>
      </c>
      <c r="ST136" s="294">
        <v>0</v>
      </c>
      <c r="SU136" s="294">
        <v>-64318.69</v>
      </c>
      <c r="SV136" s="294"/>
      <c r="SW136" s="294">
        <v>-22672.5</v>
      </c>
      <c r="SX136" s="294"/>
      <c r="SY136" s="294">
        <v>0</v>
      </c>
      <c r="SZ136" s="294"/>
      <c r="TA136" s="294"/>
      <c r="TB136" s="294">
        <v>0</v>
      </c>
      <c r="TC136" s="294"/>
      <c r="TD136" s="294">
        <v>-97788.75</v>
      </c>
      <c r="TE136" s="294">
        <v>-132892.5</v>
      </c>
      <c r="TF136" s="294">
        <v>-163492.5</v>
      </c>
      <c r="TG136" s="294">
        <v>0</v>
      </c>
      <c r="TH136" s="294">
        <v>0</v>
      </c>
      <c r="TI136" s="294">
        <v>0</v>
      </c>
      <c r="TJ136" s="294">
        <v>-504319.5</v>
      </c>
      <c r="TK136" s="294">
        <v>-325512.5</v>
      </c>
      <c r="TL136" s="294"/>
      <c r="TM136" s="294">
        <v>0</v>
      </c>
      <c r="TN136" s="294"/>
      <c r="TO136" s="294">
        <v>0</v>
      </c>
      <c r="TP136" s="294">
        <v>0</v>
      </c>
      <c r="TQ136" s="294">
        <v>-1304641.3700000001</v>
      </c>
      <c r="TR136" s="294"/>
      <c r="TS136" s="294"/>
      <c r="TT136" s="294">
        <v>-1145188.5</v>
      </c>
      <c r="TU136" s="294">
        <v>0</v>
      </c>
      <c r="TV136" s="294">
        <v>-281696</v>
      </c>
      <c r="TW136" s="294">
        <v>-878500</v>
      </c>
      <c r="TX136" s="294">
        <v>0</v>
      </c>
      <c r="TY136" s="294">
        <v>-9194.06</v>
      </c>
      <c r="TZ136" s="294">
        <v>-881010.5</v>
      </c>
      <c r="UA136" s="294">
        <v>-730804.76</v>
      </c>
      <c r="UB136" s="294">
        <v>0</v>
      </c>
      <c r="UC136" s="294">
        <v>0</v>
      </c>
      <c r="UD136" s="294">
        <v>0</v>
      </c>
      <c r="UE136" s="294">
        <v>-561959.62</v>
      </c>
      <c r="UF136" s="294"/>
      <c r="UG136" s="294">
        <v>0</v>
      </c>
      <c r="UH136" s="294">
        <v>-235012.63</v>
      </c>
      <c r="UI136" s="294">
        <v>-228488.19</v>
      </c>
      <c r="UJ136" s="294">
        <v>-3109967.98</v>
      </c>
      <c r="UK136" s="294">
        <v>-365783</v>
      </c>
      <c r="UL136" s="294">
        <v>-1293046.51</v>
      </c>
      <c r="UM136" s="294">
        <v>0</v>
      </c>
      <c r="UN136" s="294">
        <v>0</v>
      </c>
      <c r="UO136" s="294">
        <v>-2026538.92</v>
      </c>
      <c r="UP136" s="294">
        <v>-5592459.0700000003</v>
      </c>
      <c r="UQ136" s="294">
        <v>-1188206.8</v>
      </c>
      <c r="UR136" s="294"/>
      <c r="US136" s="294"/>
      <c r="UT136" s="294">
        <v>0</v>
      </c>
      <c r="UU136" s="294">
        <v>-807711</v>
      </c>
      <c r="UV136" s="294"/>
      <c r="UW136" s="294">
        <v>-437098.36</v>
      </c>
      <c r="UX136" s="294"/>
      <c r="UY136" s="294">
        <v>-1721517.68</v>
      </c>
      <c r="UZ136" s="294">
        <v>0</v>
      </c>
      <c r="VA136" s="294">
        <v>0</v>
      </c>
      <c r="VB136" s="294">
        <v>0</v>
      </c>
      <c r="VC136" s="294"/>
      <c r="VD136" s="294">
        <v>-2449640.77</v>
      </c>
      <c r="VE136" s="294">
        <v>-804005</v>
      </c>
      <c r="VF136" s="294">
        <v>-3656545.75</v>
      </c>
      <c r="VG136" s="294"/>
      <c r="VH136" s="294">
        <v>0</v>
      </c>
      <c r="VI136" s="294">
        <v>-90052</v>
      </c>
      <c r="VJ136" s="294"/>
      <c r="VK136" s="294"/>
      <c r="VL136" s="294">
        <v>-631490.66</v>
      </c>
      <c r="VM136" s="294"/>
      <c r="VN136" s="294">
        <v>-636751.17000000004</v>
      </c>
      <c r="VO136" s="294">
        <v>-385727.5</v>
      </c>
      <c r="VP136" s="294"/>
      <c r="VQ136" s="294">
        <v>0</v>
      </c>
      <c r="VR136" s="294">
        <v>-33494.25</v>
      </c>
      <c r="VS136" s="294"/>
      <c r="VT136" s="294">
        <v>0</v>
      </c>
      <c r="VU136" s="294">
        <v>-2419808.7000000002</v>
      </c>
      <c r="VV136" s="294"/>
      <c r="VW136" s="294"/>
      <c r="VX136" s="294">
        <v>-22200</v>
      </c>
      <c r="VY136" s="294">
        <v>0</v>
      </c>
      <c r="VZ136" s="294"/>
      <c r="WA136" s="294"/>
      <c r="WB136" s="294"/>
      <c r="WC136" s="294"/>
      <c r="WD136" s="294"/>
      <c r="WE136" s="294"/>
      <c r="WF136" s="294"/>
      <c r="WG136" s="294">
        <v>-222033.75</v>
      </c>
      <c r="WH136" s="294">
        <v>0</v>
      </c>
      <c r="WI136" s="294">
        <v>-1543130</v>
      </c>
      <c r="WJ136" s="294">
        <v>-122051.89</v>
      </c>
      <c r="WK136" s="294"/>
      <c r="WL136" s="294">
        <v>-461239.35</v>
      </c>
      <c r="WM136" s="294"/>
      <c r="WN136" s="294"/>
      <c r="WO136" s="294"/>
      <c r="WP136" s="294"/>
      <c r="WQ136" s="294"/>
      <c r="WR136" s="294"/>
      <c r="WS136" s="294"/>
      <c r="WT136" s="294"/>
      <c r="WU136" s="294"/>
      <c r="WV136" s="294"/>
      <c r="WW136" s="294"/>
      <c r="WX136" s="294"/>
      <c r="WY136" s="294"/>
      <c r="WZ136" s="294"/>
      <c r="XA136" s="294"/>
      <c r="XB136" s="294">
        <v>-701900</v>
      </c>
      <c r="XC136" s="294">
        <v>0</v>
      </c>
      <c r="XD136" s="294"/>
      <c r="XE136" s="294"/>
      <c r="XF136" s="294"/>
      <c r="XG136" s="294"/>
      <c r="XH136" s="294"/>
      <c r="XI136" s="294">
        <v>-1167475.95</v>
      </c>
      <c r="XJ136" s="294">
        <v>0</v>
      </c>
      <c r="XK136" s="294">
        <v>-1834906.23</v>
      </c>
      <c r="XL136" s="294">
        <v>0</v>
      </c>
      <c r="XM136" s="294">
        <v>0</v>
      </c>
      <c r="XN136" s="294">
        <v>-789509</v>
      </c>
      <c r="XO136" s="294">
        <v>0</v>
      </c>
      <c r="XP136" s="294">
        <v>-107642.25</v>
      </c>
      <c r="XQ136" s="294">
        <v>0</v>
      </c>
      <c r="XR136" s="294">
        <v>0</v>
      </c>
      <c r="XS136" s="294">
        <v>0</v>
      </c>
      <c r="XT136" s="294">
        <v>0</v>
      </c>
      <c r="XU136" s="294">
        <v>0</v>
      </c>
      <c r="XV136" s="294">
        <v>-390996.3</v>
      </c>
      <c r="XW136" s="294">
        <v>0</v>
      </c>
      <c r="XX136" s="294">
        <v>0</v>
      </c>
      <c r="XY136" s="294">
        <v>0</v>
      </c>
      <c r="XZ136" s="294">
        <v>0</v>
      </c>
      <c r="YA136" s="294">
        <v>0</v>
      </c>
      <c r="YB136" s="294">
        <v>0</v>
      </c>
      <c r="YC136" s="294">
        <v>0</v>
      </c>
      <c r="YD136" s="294">
        <v>-123384</v>
      </c>
      <c r="YE136" s="294"/>
      <c r="YF136" s="294"/>
      <c r="YG136" s="294"/>
      <c r="YH136" s="294"/>
      <c r="YI136" s="294">
        <v>0</v>
      </c>
      <c r="YJ136" s="294"/>
      <c r="YK136" s="294">
        <v>0</v>
      </c>
      <c r="YL136" s="294"/>
      <c r="YM136" s="294"/>
      <c r="YN136" s="294"/>
      <c r="YO136" s="294">
        <v>-373988</v>
      </c>
      <c r="YP136" s="294"/>
      <c r="YQ136" s="294">
        <v>0</v>
      </c>
      <c r="YR136" s="294">
        <v>0</v>
      </c>
      <c r="YS136" s="294"/>
      <c r="YT136" s="294"/>
      <c r="YU136" s="294"/>
      <c r="YV136" s="294">
        <v>0</v>
      </c>
      <c r="YW136" s="294">
        <v>0</v>
      </c>
      <c r="YX136" s="294">
        <v>0</v>
      </c>
      <c r="YY136" s="294">
        <v>0</v>
      </c>
      <c r="YZ136" s="294">
        <v>-1546727.25</v>
      </c>
      <c r="ZA136" s="294"/>
      <c r="ZB136" s="294"/>
      <c r="ZC136" s="294">
        <v>-2040435</v>
      </c>
      <c r="ZD136" s="294">
        <v>-2181839.96</v>
      </c>
      <c r="ZE136" s="294"/>
      <c r="ZF136" s="294"/>
      <c r="ZG136" s="294">
        <v>-701943.74</v>
      </c>
      <c r="ZH136" s="294">
        <v>0</v>
      </c>
      <c r="ZI136" s="294"/>
      <c r="ZJ136" s="294"/>
      <c r="ZK136" s="294">
        <v>-15000</v>
      </c>
      <c r="ZL136" s="294">
        <v>-2331618.33</v>
      </c>
      <c r="ZM136" s="294">
        <v>-567890.9</v>
      </c>
      <c r="ZN136" s="294">
        <v>-198680.99</v>
      </c>
      <c r="ZO136" s="294">
        <v>-405362.68</v>
      </c>
      <c r="ZP136" s="294">
        <v>-3464381.69</v>
      </c>
      <c r="ZQ136" s="294">
        <v>-315757.18</v>
      </c>
      <c r="ZR136" s="294">
        <v>-3771519.92</v>
      </c>
      <c r="ZS136" s="294">
        <v>0</v>
      </c>
      <c r="ZT136" s="294">
        <v>-640313.99</v>
      </c>
      <c r="ZU136" s="294">
        <v>-2050470.33</v>
      </c>
      <c r="ZV136" s="294">
        <v>-925969.69</v>
      </c>
      <c r="ZW136" s="294">
        <v>-1923087.3600000001</v>
      </c>
      <c r="ZX136" s="294">
        <v>-969141.92</v>
      </c>
      <c r="ZY136" s="294">
        <v>-1868589.15</v>
      </c>
      <c r="ZZ136" s="294">
        <v>-150005.6</v>
      </c>
      <c r="AAA136" s="294">
        <v>-627265.25</v>
      </c>
      <c r="AAB136" s="294">
        <v>-2722526.43</v>
      </c>
      <c r="AAC136" s="294">
        <v>-1055789.6499999999</v>
      </c>
      <c r="AAD136" s="294">
        <v>-1148972.9099999999</v>
      </c>
      <c r="AAE136" s="294">
        <v>-3410399.85</v>
      </c>
      <c r="AAF136" s="294">
        <v>0</v>
      </c>
      <c r="AAG136" s="294">
        <v>-2263176.4</v>
      </c>
      <c r="AAH136" s="294">
        <v>0</v>
      </c>
      <c r="AAI136" s="294">
        <v>-1038974</v>
      </c>
      <c r="AAJ136" s="294"/>
      <c r="AAK136" s="294"/>
      <c r="AAL136" s="294">
        <v>-36369.75</v>
      </c>
      <c r="AAM136" s="294"/>
      <c r="AAN136" s="294">
        <v>0</v>
      </c>
      <c r="AAO136" s="294"/>
      <c r="AAP136" s="294"/>
      <c r="AAQ136" s="294">
        <v>0</v>
      </c>
      <c r="AAR136" s="294">
        <v>-3341121.98</v>
      </c>
      <c r="AAS136" s="294"/>
      <c r="AAT136" s="294">
        <v>0</v>
      </c>
      <c r="AAU136" s="294"/>
      <c r="AAV136" s="294">
        <v>-1406538.3</v>
      </c>
      <c r="AAW136" s="294">
        <v>0</v>
      </c>
      <c r="AAX136" s="294">
        <v>-826992.25</v>
      </c>
      <c r="AAY136" s="294">
        <v>0</v>
      </c>
      <c r="AAZ136" s="294">
        <v>-871095</v>
      </c>
      <c r="ABA136" s="294"/>
      <c r="ABB136" s="294">
        <v>-944150.73</v>
      </c>
      <c r="ABC136" s="294">
        <v>0</v>
      </c>
      <c r="ABD136" s="294">
        <v>-72440</v>
      </c>
      <c r="ABE136" s="294"/>
      <c r="ABF136" s="294"/>
      <c r="ABG136" s="294">
        <v>0</v>
      </c>
      <c r="ABH136" s="294">
        <v>0</v>
      </c>
      <c r="ABI136" s="294">
        <v>-7712714.4699999997</v>
      </c>
      <c r="ABJ136" s="294">
        <v>0</v>
      </c>
      <c r="ABK136" s="294">
        <v>0</v>
      </c>
      <c r="ABL136" s="294"/>
      <c r="ABM136" s="294">
        <v>-634430.77</v>
      </c>
      <c r="ABN136" s="294"/>
      <c r="ABO136" s="294"/>
      <c r="ABP136" s="294"/>
      <c r="ABQ136" s="294"/>
      <c r="ABR136" s="294"/>
      <c r="ABS136" s="294">
        <v>-510796.25</v>
      </c>
      <c r="ABT136" s="294"/>
      <c r="ABU136" s="294"/>
      <c r="ABV136" s="294"/>
      <c r="ABW136" s="294"/>
      <c r="ABX136" s="294"/>
      <c r="ABY136" s="294"/>
      <c r="ABZ136" s="294">
        <v>-2474146</v>
      </c>
      <c r="ACA136" s="294"/>
      <c r="ACB136" s="294"/>
      <c r="ACC136" s="294">
        <v>-865112.88</v>
      </c>
      <c r="ACD136" s="294"/>
      <c r="ACE136" s="294"/>
      <c r="ACF136" s="294"/>
      <c r="ACG136" s="294">
        <v>-1224353</v>
      </c>
      <c r="ACH136" s="294"/>
      <c r="ACI136" s="294">
        <v>-1075179</v>
      </c>
      <c r="ACJ136" s="294"/>
      <c r="ACK136" s="294">
        <v>-780551.88</v>
      </c>
      <c r="ACL136" s="294">
        <v>0</v>
      </c>
      <c r="ACM136" s="294">
        <v>-92120</v>
      </c>
      <c r="ACN136" s="294"/>
      <c r="ACO136" s="294"/>
      <c r="ACP136" s="294"/>
      <c r="ACQ136" s="294"/>
      <c r="ACR136" s="294">
        <v>-51000</v>
      </c>
      <c r="ACS136" s="294">
        <v>-70</v>
      </c>
      <c r="ACT136" s="294">
        <v>-163165</v>
      </c>
      <c r="ACU136" s="294"/>
      <c r="ACV136" s="294"/>
      <c r="ACW136" s="294"/>
      <c r="ACX136" s="294">
        <v>-769689.64</v>
      </c>
      <c r="ACY136" s="294">
        <v>0</v>
      </c>
      <c r="ACZ136" s="294"/>
      <c r="ADA136" s="294">
        <v>0</v>
      </c>
      <c r="ADB136" s="294">
        <v>0</v>
      </c>
      <c r="ADC136" s="294"/>
      <c r="ADD136" s="294"/>
      <c r="ADE136" s="294"/>
      <c r="ADF136" s="294">
        <v>-97814.6</v>
      </c>
      <c r="ADG136" s="294"/>
      <c r="ADH136" s="294">
        <v>-798365.4</v>
      </c>
      <c r="ADI136" s="294"/>
      <c r="ADJ136" s="294"/>
      <c r="ADK136" s="294">
        <v>0</v>
      </c>
      <c r="ADL136" s="294">
        <v>-0.4</v>
      </c>
      <c r="ADM136" s="294"/>
      <c r="ADN136" s="294">
        <v>-0.04</v>
      </c>
      <c r="ADO136" s="294">
        <v>-3518890.92</v>
      </c>
      <c r="ADP136" s="294"/>
      <c r="ADQ136" s="294"/>
      <c r="ADR136" s="294"/>
      <c r="ADS136" s="294"/>
      <c r="ADT136" s="294">
        <v>-80758</v>
      </c>
      <c r="ADU136" s="294"/>
      <c r="ADV136" s="294"/>
      <c r="ADW136" s="294"/>
      <c r="ADX136" s="294"/>
      <c r="ADY136" s="294">
        <v>-477798.5</v>
      </c>
      <c r="ADZ136" s="294">
        <v>-2226810.44</v>
      </c>
      <c r="AEA136" s="294">
        <v>-7121907.6699999999</v>
      </c>
      <c r="AEB136" s="294">
        <v>-4087966.07</v>
      </c>
      <c r="AEC136" s="294"/>
      <c r="AED136" s="294">
        <v>0</v>
      </c>
      <c r="AEE136" s="294">
        <v>-1253588.3400000001</v>
      </c>
      <c r="AEF136" s="294"/>
      <c r="AEG136" s="294"/>
      <c r="AEH136" s="294"/>
      <c r="AEI136" s="294"/>
      <c r="AEJ136" s="294">
        <v>-719834.15</v>
      </c>
      <c r="AEK136" s="294"/>
      <c r="AEL136" s="294">
        <v>-2247343.5099999998</v>
      </c>
      <c r="AEM136" s="294"/>
      <c r="AEN136" s="294"/>
      <c r="AEO136" s="294">
        <v>-394362.75</v>
      </c>
      <c r="AEP136" s="294"/>
      <c r="AEQ136" s="294"/>
      <c r="AER136" s="294"/>
      <c r="AES136" s="294">
        <v>-403158.58</v>
      </c>
      <c r="AET136" s="294">
        <v>-465146.89</v>
      </c>
      <c r="AEU136" s="294">
        <v>-338669.28</v>
      </c>
      <c r="AEV136" s="294">
        <v>-2599851.81</v>
      </c>
      <c r="AEW136" s="294"/>
      <c r="AEX136" s="294">
        <v>-26653.24</v>
      </c>
      <c r="AEY136" s="294"/>
      <c r="AEZ136" s="294">
        <v>-600280.5</v>
      </c>
      <c r="AFA136" s="294"/>
      <c r="AFB136" s="294"/>
      <c r="AFC136" s="294">
        <v>-700000</v>
      </c>
      <c r="AFD136" s="294">
        <v>-3568541.26</v>
      </c>
      <c r="AFE136" s="294"/>
      <c r="AFF136" s="294"/>
      <c r="AFG136" s="294"/>
      <c r="AFH136" s="294"/>
      <c r="AFI136" s="294">
        <v>-203000</v>
      </c>
      <c r="AFJ136" s="294">
        <v>-974912.03</v>
      </c>
      <c r="AFK136" s="294">
        <v>0</v>
      </c>
      <c r="AFL136" s="294"/>
      <c r="AFM136" s="294"/>
      <c r="AFN136" s="294">
        <v>0</v>
      </c>
      <c r="AFO136" s="294"/>
      <c r="AFP136" s="294"/>
      <c r="AFQ136" s="294">
        <v>-530382.07999999996</v>
      </c>
      <c r="AFR136" s="294">
        <v>-109200</v>
      </c>
      <c r="AFS136" s="294">
        <v>-233483.03</v>
      </c>
      <c r="AFT136" s="294"/>
      <c r="AFU136" s="294">
        <v>-425150.67</v>
      </c>
      <c r="AFV136" s="294"/>
      <c r="AFW136" s="294">
        <v>-1671844.47</v>
      </c>
      <c r="AFX136" s="294">
        <v>-933258.26</v>
      </c>
      <c r="AFY136" s="294">
        <v>-206670.73</v>
      </c>
      <c r="AFZ136" s="294">
        <v>-569712.43999999994</v>
      </c>
      <c r="AGA136" s="294"/>
      <c r="AGB136" s="294">
        <v>-1947619</v>
      </c>
      <c r="AGC136" s="294">
        <v>-411506.65</v>
      </c>
      <c r="AGD136" s="294"/>
      <c r="AGE136" s="294">
        <v>-342164.41</v>
      </c>
      <c r="AGF136" s="294">
        <v>-1941133.49</v>
      </c>
      <c r="AGG136" s="294">
        <v>-388695.98</v>
      </c>
      <c r="AGH136" s="294">
        <v>-2132683.7799999998</v>
      </c>
      <c r="AGI136" s="294">
        <v>-2056814</v>
      </c>
      <c r="AGJ136" s="294"/>
      <c r="AGK136" s="294">
        <v>0</v>
      </c>
      <c r="AGL136" s="294"/>
      <c r="AGM136" s="294">
        <v>-1850326.58</v>
      </c>
      <c r="AGN136" s="294"/>
      <c r="AGO136" s="294">
        <v>-275687</v>
      </c>
      <c r="AGP136" s="294"/>
      <c r="AGQ136" s="294"/>
      <c r="AGR136" s="294">
        <v>-1967964.06</v>
      </c>
      <c r="AGS136" s="294">
        <v>-2231016.8199999998</v>
      </c>
      <c r="AGT136" s="294"/>
      <c r="AGU136" s="294"/>
      <c r="AGV136" s="294">
        <v>-1211074.3899999999</v>
      </c>
      <c r="AGW136" s="294">
        <v>0</v>
      </c>
      <c r="AGX136" s="294">
        <v>-381097</v>
      </c>
      <c r="AGY136" s="294">
        <v>-450360.77</v>
      </c>
      <c r="AGZ136" s="294">
        <v>-1298372.75</v>
      </c>
      <c r="AHA136" s="294">
        <v>-747620.31</v>
      </c>
      <c r="AHB136" s="294">
        <v>-748665.55</v>
      </c>
      <c r="AHC136" s="294">
        <v>-300000</v>
      </c>
      <c r="AHD136" s="294">
        <v>-133047.19</v>
      </c>
      <c r="AHE136" s="294">
        <v>-2270633</v>
      </c>
      <c r="AHF136" s="294">
        <v>-560000</v>
      </c>
      <c r="AHG136" s="294">
        <v>-244848.97</v>
      </c>
      <c r="AHH136" s="294">
        <v>-3728672.81</v>
      </c>
      <c r="AHI136" s="294">
        <v>-242362.29</v>
      </c>
      <c r="AHJ136" s="294"/>
      <c r="AHK136" s="294">
        <v>-824065.19</v>
      </c>
      <c r="AHL136" s="294">
        <v>-2876547.74</v>
      </c>
      <c r="AHM136" s="294">
        <v>-288615.59000000003</v>
      </c>
      <c r="AHN136" s="294">
        <v>-433330.87</v>
      </c>
      <c r="AHO136" s="294"/>
      <c r="AHP136" s="294"/>
      <c r="AHQ136" s="294"/>
      <c r="AHR136" s="331">
        <v>-663509.38</v>
      </c>
      <c r="AHS136" s="294">
        <f t="shared" si="55"/>
        <v>-434173975.29900002</v>
      </c>
      <c r="AHT136" s="269" t="b">
        <f t="shared" si="54"/>
        <v>1</v>
      </c>
      <c r="AHU136" s="269" t="s">
        <v>6280</v>
      </c>
      <c r="AHV136" s="269" t="s">
        <v>6214</v>
      </c>
      <c r="AHW136" s="269" t="s">
        <v>6215</v>
      </c>
    </row>
    <row r="137" spans="1:907" ht="24.6" x14ac:dyDescent="0.7">
      <c r="A137" s="268" t="s">
        <v>6281</v>
      </c>
      <c r="B137" s="268" t="s">
        <v>6216</v>
      </c>
      <c r="C137" s="269" t="s">
        <v>6217</v>
      </c>
      <c r="D137" s="294">
        <v>-12651971.890000001</v>
      </c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>
        <v>-39645374.039999999</v>
      </c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>
        <v>-13211336.25</v>
      </c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>
        <v>-6836507.8099999996</v>
      </c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>
        <v>-5508074.9000000004</v>
      </c>
      <c r="BJ137" s="294">
        <v>-7890679.1600000001</v>
      </c>
      <c r="BK137" s="294"/>
      <c r="BL137" s="294"/>
      <c r="BM137" s="294"/>
      <c r="BN137" s="294"/>
      <c r="BO137" s="294"/>
      <c r="BP137" s="294"/>
      <c r="BQ137" s="294"/>
      <c r="BR137" s="294">
        <v>-8323585.4000000004</v>
      </c>
      <c r="BS137" s="294"/>
      <c r="BT137" s="294"/>
      <c r="BU137" s="294"/>
      <c r="BV137" s="294"/>
      <c r="BW137" s="294"/>
      <c r="BX137" s="294"/>
      <c r="BY137" s="294"/>
      <c r="BZ137" s="294">
        <v>-10334268.75</v>
      </c>
      <c r="CA137" s="294"/>
      <c r="CB137" s="294"/>
      <c r="CC137" s="294"/>
      <c r="CD137" s="294"/>
      <c r="CE137" s="294"/>
      <c r="CF137" s="294"/>
      <c r="CG137" s="294">
        <v>-16482605.359999999</v>
      </c>
      <c r="CH137" s="294"/>
      <c r="CI137" s="294"/>
      <c r="CJ137" s="294"/>
      <c r="CK137" s="294"/>
      <c r="CL137" s="294"/>
      <c r="CM137" s="294"/>
      <c r="CN137" s="294"/>
      <c r="CO137" s="294"/>
      <c r="CP137" s="294"/>
      <c r="CQ137" s="294"/>
      <c r="CR137" s="294"/>
      <c r="CS137" s="294"/>
      <c r="CT137" s="294">
        <v>-29949929.850000001</v>
      </c>
      <c r="CU137" s="294"/>
      <c r="CV137" s="294"/>
      <c r="CW137" s="294"/>
      <c r="CX137" s="294"/>
      <c r="CY137" s="294"/>
      <c r="CZ137" s="294"/>
      <c r="DA137" s="294"/>
      <c r="DB137" s="294">
        <v>-14250833.16</v>
      </c>
      <c r="DC137" s="294">
        <v>-16369655.869999999</v>
      </c>
      <c r="DD137" s="294"/>
      <c r="DE137" s="294"/>
      <c r="DF137" s="294"/>
      <c r="DG137" s="294"/>
      <c r="DH137" s="294"/>
      <c r="DI137" s="294"/>
      <c r="DJ137" s="294"/>
      <c r="DK137" s="294">
        <v>-36564103.149999999</v>
      </c>
      <c r="DL137" s="294"/>
      <c r="DM137" s="294"/>
      <c r="DN137" s="294"/>
      <c r="DO137" s="294"/>
      <c r="DP137" s="294"/>
      <c r="DQ137" s="294"/>
      <c r="DR137" s="294"/>
      <c r="DS137" s="294"/>
      <c r="DT137" s="294">
        <v>-22413353.140000001</v>
      </c>
      <c r="DU137" s="294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>
        <v>-4353854.05</v>
      </c>
      <c r="EF137" s="294">
        <v>-5022231.53</v>
      </c>
      <c r="EG137" s="294"/>
      <c r="EH137" s="294"/>
      <c r="EI137" s="294"/>
      <c r="EJ137" s="294"/>
      <c r="EK137" s="294"/>
      <c r="EL137" s="294"/>
      <c r="EM137" s="294"/>
      <c r="EN137" s="294">
        <v>-23327585.449999999</v>
      </c>
      <c r="EO137" s="294"/>
      <c r="EP137" s="294"/>
      <c r="EQ137" s="294"/>
      <c r="ER137" s="294"/>
      <c r="ES137" s="294"/>
      <c r="ET137" s="294"/>
      <c r="EU137" s="294"/>
      <c r="EV137" s="294"/>
      <c r="EW137" s="294">
        <v>0</v>
      </c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  <c r="FI137" s="294">
        <v>-7256721.1299999999</v>
      </c>
      <c r="FJ137" s="294"/>
      <c r="FK137" s="294"/>
      <c r="FL137" s="294"/>
      <c r="FM137" s="294"/>
      <c r="FN137" s="294"/>
      <c r="FO137" s="294"/>
      <c r="FP137" s="294"/>
      <c r="FQ137" s="294">
        <v>-51671899.140000001</v>
      </c>
      <c r="FR137" s="294"/>
      <c r="FS137" s="294"/>
      <c r="FT137" s="294"/>
      <c r="FU137" s="294"/>
      <c r="FV137" s="294"/>
      <c r="FW137" s="294"/>
      <c r="FX137" s="294"/>
      <c r="FY137" s="294"/>
      <c r="FZ137" s="294"/>
      <c r="GA137" s="294"/>
      <c r="GB137" s="294"/>
      <c r="GC137" s="294"/>
      <c r="GD137" s="294"/>
      <c r="GE137" s="294">
        <v>-2566214.83</v>
      </c>
      <c r="GF137" s="294"/>
      <c r="GG137" s="294"/>
      <c r="GH137" s="294"/>
      <c r="GI137" s="294"/>
      <c r="GJ137" s="294"/>
      <c r="GK137" s="294"/>
      <c r="GL137" s="294"/>
      <c r="GM137" s="294"/>
      <c r="GN137" s="294"/>
      <c r="GO137" s="294"/>
      <c r="GP137" s="294"/>
      <c r="GQ137" s="294">
        <v>-19147864.27</v>
      </c>
      <c r="GR137" s="294"/>
      <c r="GS137" s="294"/>
      <c r="GT137" s="294"/>
      <c r="GU137" s="294"/>
      <c r="GV137" s="294"/>
      <c r="GW137" s="294"/>
      <c r="GX137" s="294"/>
      <c r="GY137" s="294">
        <v>-7307919.9900000002</v>
      </c>
      <c r="GZ137" s="294"/>
      <c r="HA137" s="294"/>
      <c r="HB137" s="294"/>
      <c r="HC137" s="294">
        <v>-44983691.200000003</v>
      </c>
      <c r="HD137" s="294"/>
      <c r="HE137" s="294"/>
      <c r="HF137" s="294"/>
      <c r="HG137" s="294"/>
      <c r="HH137" s="294"/>
      <c r="HI137" s="294"/>
      <c r="HJ137" s="294">
        <v>-49725029.270000003</v>
      </c>
      <c r="HK137" s="294"/>
      <c r="HL137" s="294"/>
      <c r="HM137" s="294"/>
      <c r="HN137" s="294"/>
      <c r="HO137" s="294"/>
      <c r="HP137" s="294"/>
      <c r="HQ137" s="294"/>
      <c r="HR137" s="294">
        <v>-45266234.700000003</v>
      </c>
      <c r="HS137" s="294">
        <v>-7124768.0800000001</v>
      </c>
      <c r="HT137" s="294"/>
      <c r="HU137" s="294"/>
      <c r="HV137" s="294"/>
      <c r="HW137" s="294"/>
      <c r="HX137" s="294"/>
      <c r="HY137" s="294"/>
      <c r="HZ137" s="294"/>
      <c r="IA137" s="294"/>
      <c r="IB137" s="294"/>
      <c r="IC137" s="294"/>
      <c r="ID137" s="294"/>
      <c r="IE137" s="294"/>
      <c r="IF137" s="294"/>
      <c r="IG137" s="294"/>
      <c r="IH137" s="294">
        <v>-45610069.229999997</v>
      </c>
      <c r="II137" s="294">
        <v>-21459280.73</v>
      </c>
      <c r="IJ137" s="294"/>
      <c r="IK137" s="294"/>
      <c r="IL137" s="294"/>
      <c r="IM137" s="294"/>
      <c r="IN137" s="294"/>
      <c r="IO137" s="294"/>
      <c r="IP137" s="294"/>
      <c r="IQ137" s="294"/>
      <c r="IR137" s="294"/>
      <c r="IS137" s="294">
        <v>-34807237.539999999</v>
      </c>
      <c r="IT137" s="294">
        <v>-123006967.54000001</v>
      </c>
      <c r="IU137" s="294"/>
      <c r="IV137" s="294"/>
      <c r="IW137" s="294"/>
      <c r="IX137" s="294"/>
      <c r="IY137" s="294"/>
      <c r="IZ137" s="294"/>
      <c r="JA137" s="294"/>
      <c r="JB137" s="294"/>
      <c r="JC137" s="294"/>
      <c r="JD137" s="294"/>
      <c r="JE137" s="294">
        <v>-11230804.48</v>
      </c>
      <c r="JF137" s="294">
        <v>-373724.26</v>
      </c>
      <c r="JG137" s="294"/>
      <c r="JH137" s="294"/>
      <c r="JI137" s="294"/>
      <c r="JJ137" s="294"/>
      <c r="JK137" s="294">
        <v>-27727278.739999998</v>
      </c>
      <c r="JL137" s="294"/>
      <c r="JM137" s="294"/>
      <c r="JN137" s="294"/>
      <c r="JO137" s="294"/>
      <c r="JP137" s="294"/>
      <c r="JQ137" s="294"/>
      <c r="JR137" s="294">
        <v>-51244153.960000001</v>
      </c>
      <c r="JS137" s="294">
        <v>-43144470.57</v>
      </c>
      <c r="JT137" s="294"/>
      <c r="JU137" s="294"/>
      <c r="JV137" s="294"/>
      <c r="JW137" s="294"/>
      <c r="JX137" s="294"/>
      <c r="JY137" s="294"/>
      <c r="JZ137" s="294"/>
      <c r="KA137" s="294"/>
      <c r="KB137" s="294"/>
      <c r="KC137" s="294"/>
      <c r="KD137" s="294"/>
      <c r="KE137" s="294"/>
      <c r="KF137" s="294"/>
      <c r="KG137" s="294"/>
      <c r="KH137" s="294">
        <v>-124664380.01000001</v>
      </c>
      <c r="KI137" s="294"/>
      <c r="KJ137" s="294"/>
      <c r="KK137" s="294"/>
      <c r="KL137" s="294"/>
      <c r="KM137" s="294"/>
      <c r="KN137" s="294"/>
      <c r="KO137" s="294"/>
      <c r="KP137" s="294"/>
      <c r="KQ137" s="294">
        <v>-4529777.0199999996</v>
      </c>
      <c r="KR137" s="294"/>
      <c r="KS137" s="294"/>
      <c r="KT137" s="294">
        <v>-2356113.92</v>
      </c>
      <c r="KU137" s="294"/>
      <c r="KV137" s="294"/>
      <c r="KW137" s="294">
        <v>-7845757.2999999998</v>
      </c>
      <c r="KX137" s="294"/>
      <c r="KY137" s="294">
        <v>-29520990.879999999</v>
      </c>
      <c r="KZ137" s="294"/>
      <c r="LA137" s="294"/>
      <c r="LB137" s="294"/>
      <c r="LC137" s="294"/>
      <c r="LD137" s="294"/>
      <c r="LE137" s="294"/>
      <c r="LF137" s="294"/>
      <c r="LG137" s="294">
        <v>-38353304.369999997</v>
      </c>
      <c r="LH137" s="294">
        <v>-1812828</v>
      </c>
      <c r="LI137" s="294">
        <v>-7792020.3700000001</v>
      </c>
      <c r="LJ137" s="294">
        <v>-31048149.84</v>
      </c>
      <c r="LK137" s="294"/>
      <c r="LL137" s="294"/>
      <c r="LM137" s="294"/>
      <c r="LN137" s="294"/>
      <c r="LO137" s="294"/>
      <c r="LP137" s="294"/>
      <c r="LQ137" s="294"/>
      <c r="LR137" s="294">
        <v>-9240990.4900000002</v>
      </c>
      <c r="LS137" s="294"/>
      <c r="LT137" s="294"/>
      <c r="LU137" s="294">
        <v>-40379552.549999997</v>
      </c>
      <c r="LV137" s="294">
        <v>-7572215.5199999996</v>
      </c>
      <c r="LW137" s="294">
        <v>-35141318.799999997</v>
      </c>
      <c r="LX137" s="294">
        <v>-108693.07</v>
      </c>
      <c r="LY137" s="294"/>
      <c r="LZ137" s="294"/>
      <c r="MA137" s="294"/>
      <c r="MB137" s="294"/>
      <c r="MC137" s="294"/>
      <c r="MD137" s="294"/>
      <c r="ME137" s="294">
        <v>0</v>
      </c>
      <c r="MF137" s="294"/>
      <c r="MG137" s="294">
        <v>-13486188.83</v>
      </c>
      <c r="MH137" s="294"/>
      <c r="MI137" s="294"/>
      <c r="MJ137" s="294"/>
      <c r="MK137" s="294"/>
      <c r="ML137" s="294"/>
      <c r="MM137" s="294"/>
      <c r="MN137" s="294"/>
      <c r="MO137" s="294"/>
      <c r="MP137" s="294"/>
      <c r="MQ137" s="294"/>
      <c r="MR137" s="294"/>
      <c r="MS137" s="294">
        <v>-48065645.840000004</v>
      </c>
      <c r="MT137" s="294"/>
      <c r="MU137" s="294"/>
      <c r="MV137" s="294"/>
      <c r="MW137" s="294"/>
      <c r="MX137" s="294"/>
      <c r="MY137" s="294"/>
      <c r="MZ137" s="294"/>
      <c r="NA137" s="294"/>
      <c r="NB137" s="294"/>
      <c r="NC137" s="294"/>
      <c r="ND137" s="294">
        <v>-225761149.13999999</v>
      </c>
      <c r="NE137" s="294"/>
      <c r="NF137" s="294"/>
      <c r="NG137" s="294"/>
      <c r="NH137" s="294"/>
      <c r="NI137" s="294"/>
      <c r="NJ137" s="294">
        <v>-49137916.240000002</v>
      </c>
      <c r="NK137" s="294">
        <v>-2904866.2</v>
      </c>
      <c r="NL137" s="294"/>
      <c r="NM137" s="294"/>
      <c r="NN137" s="294"/>
      <c r="NO137" s="294"/>
      <c r="NP137" s="294">
        <v>-16040891.789999999</v>
      </c>
      <c r="NQ137" s="294"/>
      <c r="NR137" s="294"/>
      <c r="NS137" s="294"/>
      <c r="NT137" s="294"/>
      <c r="NU137" s="294"/>
      <c r="NV137" s="294"/>
      <c r="NW137" s="294">
        <v>-57882820.640000001</v>
      </c>
      <c r="NX137" s="294">
        <v>-14252548.35</v>
      </c>
      <c r="NY137" s="294"/>
      <c r="NZ137" s="294"/>
      <c r="OA137" s="294"/>
      <c r="OB137" s="294"/>
      <c r="OC137" s="294"/>
      <c r="OD137" s="294">
        <v>-287077533.20999998</v>
      </c>
      <c r="OE137" s="294"/>
      <c r="OF137" s="294"/>
      <c r="OG137" s="294">
        <v>-7328716.6600000001</v>
      </c>
      <c r="OH137" s="294"/>
      <c r="OI137" s="294"/>
      <c r="OJ137" s="294"/>
      <c r="OK137" s="294"/>
      <c r="OL137" s="294"/>
      <c r="OM137" s="294">
        <v>-2106101.67</v>
      </c>
      <c r="ON137" s="294">
        <v>-2084925.48</v>
      </c>
      <c r="OO137" s="294">
        <v>0</v>
      </c>
      <c r="OP137" s="294"/>
      <c r="OQ137" s="294"/>
      <c r="OR137" s="294"/>
      <c r="OS137" s="294">
        <v>-482464.08</v>
      </c>
      <c r="OT137" s="294"/>
      <c r="OU137" s="294"/>
      <c r="OV137" s="294"/>
      <c r="OW137" s="294"/>
      <c r="OX137" s="294"/>
      <c r="OY137" s="294"/>
      <c r="OZ137" s="294"/>
      <c r="PA137" s="294"/>
      <c r="PB137" s="294">
        <v>-25087218.969999999</v>
      </c>
      <c r="PC137" s="294"/>
      <c r="PD137" s="294"/>
      <c r="PE137" s="294"/>
      <c r="PF137" s="294"/>
      <c r="PG137" s="294"/>
      <c r="PH137" s="294"/>
      <c r="PI137" s="294"/>
      <c r="PJ137" s="294"/>
      <c r="PK137" s="294"/>
      <c r="PL137" s="294"/>
      <c r="PM137" s="294"/>
      <c r="PN137" s="294"/>
      <c r="PO137" s="294"/>
      <c r="PP137" s="294"/>
      <c r="PQ137" s="294"/>
      <c r="PR137" s="294"/>
      <c r="PS137" s="294"/>
      <c r="PT137" s="294">
        <v>-146651004.81999999</v>
      </c>
      <c r="PU137" s="294"/>
      <c r="PV137" s="294"/>
      <c r="PW137" s="294"/>
      <c r="PX137" s="294">
        <v>-36602113.390000001</v>
      </c>
      <c r="PY137" s="294"/>
      <c r="PZ137" s="294"/>
      <c r="QA137" s="294"/>
      <c r="QB137" s="294"/>
      <c r="QC137" s="294"/>
      <c r="QD137" s="294"/>
      <c r="QE137" s="294"/>
      <c r="QF137" s="294"/>
      <c r="QG137" s="294"/>
      <c r="QH137" s="294"/>
      <c r="QI137" s="294"/>
      <c r="QJ137" s="294"/>
      <c r="QK137" s="294"/>
      <c r="QL137" s="294"/>
      <c r="QM137" s="294"/>
      <c r="QN137" s="294"/>
      <c r="QO137" s="294">
        <v>-1125</v>
      </c>
      <c r="QP137" s="294"/>
      <c r="QQ137" s="294"/>
      <c r="QR137" s="294"/>
      <c r="QS137" s="294"/>
      <c r="QT137" s="294">
        <v>-9746626.0600000005</v>
      </c>
      <c r="QU137" s="294"/>
      <c r="QV137" s="294"/>
      <c r="QW137" s="294"/>
      <c r="QX137" s="294"/>
      <c r="QY137" s="294"/>
      <c r="QZ137" s="294"/>
      <c r="RA137" s="294"/>
      <c r="RB137" s="294"/>
      <c r="RC137" s="294"/>
      <c r="RD137" s="294"/>
      <c r="RE137" s="294"/>
      <c r="RF137" s="294"/>
      <c r="RG137" s="294">
        <v>-26655871.210000001</v>
      </c>
      <c r="RH137" s="294"/>
      <c r="RI137" s="294"/>
      <c r="RJ137" s="294"/>
      <c r="RK137" s="294"/>
      <c r="RL137" s="294"/>
      <c r="RM137" s="294"/>
      <c r="RN137" s="294"/>
      <c r="RO137" s="294"/>
      <c r="RP137" s="294"/>
      <c r="RQ137" s="294"/>
      <c r="RR137" s="294"/>
      <c r="RS137" s="294"/>
      <c r="RT137" s="294"/>
      <c r="RU137" s="294"/>
      <c r="RV137" s="294"/>
      <c r="RW137" s="294"/>
      <c r="RX137" s="294"/>
      <c r="RY137" s="294"/>
      <c r="RZ137" s="294"/>
      <c r="SA137" s="294">
        <v>-7615867.6799999997</v>
      </c>
      <c r="SB137" s="294"/>
      <c r="SC137" s="294"/>
      <c r="SD137" s="294"/>
      <c r="SE137" s="294"/>
      <c r="SF137" s="294"/>
      <c r="SG137" s="294"/>
      <c r="SH137" s="294"/>
      <c r="SI137" s="294"/>
      <c r="SJ137" s="294"/>
      <c r="SK137" s="294"/>
      <c r="SL137" s="294"/>
      <c r="SM137" s="294">
        <v>-5830691.6699999999</v>
      </c>
      <c r="SN137" s="294"/>
      <c r="SO137" s="294"/>
      <c r="SP137" s="294"/>
      <c r="SQ137" s="294"/>
      <c r="SR137" s="294"/>
      <c r="SS137" s="294"/>
      <c r="ST137" s="294"/>
      <c r="SU137" s="294">
        <v>-30354946.41</v>
      </c>
      <c r="SV137" s="294"/>
      <c r="SW137" s="294"/>
      <c r="SX137" s="294"/>
      <c r="SY137" s="294"/>
      <c r="SZ137" s="294"/>
      <c r="TA137" s="294"/>
      <c r="TB137" s="294"/>
      <c r="TC137" s="294"/>
      <c r="TD137" s="294"/>
      <c r="TE137" s="294"/>
      <c r="TF137" s="294"/>
      <c r="TG137" s="294"/>
      <c r="TH137" s="294"/>
      <c r="TI137" s="294">
        <v>-74512696.069999993</v>
      </c>
      <c r="TJ137" s="294"/>
      <c r="TK137" s="294"/>
      <c r="TL137" s="294"/>
      <c r="TM137" s="294"/>
      <c r="TN137" s="294"/>
      <c r="TO137" s="294"/>
      <c r="TP137" s="294"/>
      <c r="TQ137" s="294"/>
      <c r="TR137" s="294"/>
      <c r="TS137" s="294"/>
      <c r="TT137" s="294"/>
      <c r="TU137" s="294"/>
      <c r="TV137" s="294"/>
      <c r="TW137" s="294"/>
      <c r="TX137" s="294"/>
      <c r="TY137" s="294">
        <v>-4036950.12</v>
      </c>
      <c r="TZ137" s="294"/>
      <c r="UA137" s="294">
        <v>-11778460.789999999</v>
      </c>
      <c r="UB137" s="294"/>
      <c r="UC137" s="294"/>
      <c r="UD137" s="294"/>
      <c r="UE137" s="294">
        <v>-5480139.6299999999</v>
      </c>
      <c r="UF137" s="294"/>
      <c r="UG137" s="294"/>
      <c r="UH137" s="294"/>
      <c r="UI137" s="294"/>
      <c r="UJ137" s="294">
        <v>-5526713.1600000001</v>
      </c>
      <c r="UK137" s="294"/>
      <c r="UL137" s="294"/>
      <c r="UM137" s="294"/>
      <c r="UN137" s="294"/>
      <c r="UO137" s="294"/>
      <c r="UP137" s="294">
        <v>-84572556.019999996</v>
      </c>
      <c r="UQ137" s="294"/>
      <c r="UR137" s="294"/>
      <c r="US137" s="294"/>
      <c r="UT137" s="294"/>
      <c r="UU137" s="294"/>
      <c r="UV137" s="294"/>
      <c r="UW137" s="294"/>
      <c r="UX137" s="294"/>
      <c r="UY137" s="294"/>
      <c r="UZ137" s="294"/>
      <c r="VA137" s="294"/>
      <c r="VB137" s="294"/>
      <c r="VC137" s="294"/>
      <c r="VD137" s="294"/>
      <c r="VE137" s="294"/>
      <c r="VF137" s="294"/>
      <c r="VG137" s="294"/>
      <c r="VH137" s="294">
        <v>-1396159.67</v>
      </c>
      <c r="VI137" s="294"/>
      <c r="VJ137" s="294"/>
      <c r="VK137" s="294"/>
      <c r="VL137" s="294">
        <v>-35974889.329999998</v>
      </c>
      <c r="VM137" s="294"/>
      <c r="VN137" s="294"/>
      <c r="VO137" s="294"/>
      <c r="VP137" s="294"/>
      <c r="VQ137" s="294"/>
      <c r="VR137" s="294"/>
      <c r="VS137" s="294"/>
      <c r="VT137" s="294"/>
      <c r="VU137" s="294"/>
      <c r="VV137" s="294"/>
      <c r="VW137" s="294">
        <v>0</v>
      </c>
      <c r="VX137" s="294"/>
      <c r="VY137" s="294"/>
      <c r="VZ137" s="294"/>
      <c r="WA137" s="294">
        <v>-176985956.43000001</v>
      </c>
      <c r="WB137" s="294"/>
      <c r="WC137" s="294"/>
      <c r="WD137" s="294"/>
      <c r="WE137" s="294"/>
      <c r="WF137" s="294"/>
      <c r="WG137" s="294"/>
      <c r="WH137" s="294"/>
      <c r="WI137" s="294"/>
      <c r="WJ137" s="294"/>
      <c r="WK137" s="294"/>
      <c r="WL137" s="294"/>
      <c r="WM137" s="294"/>
      <c r="WN137" s="294"/>
      <c r="WO137" s="294"/>
      <c r="WP137" s="294"/>
      <c r="WQ137" s="294"/>
      <c r="WR137" s="294"/>
      <c r="WS137" s="294"/>
      <c r="WT137" s="294"/>
      <c r="WU137" s="294">
        <v>-3934081.97</v>
      </c>
      <c r="WV137" s="294"/>
      <c r="WW137" s="294"/>
      <c r="WX137" s="294"/>
      <c r="WY137" s="294"/>
      <c r="WZ137" s="294"/>
      <c r="XA137" s="294"/>
      <c r="XB137" s="294"/>
      <c r="XC137" s="294">
        <v>0</v>
      </c>
      <c r="XD137" s="294"/>
      <c r="XE137" s="294"/>
      <c r="XF137" s="294"/>
      <c r="XG137" s="294"/>
      <c r="XH137" s="294">
        <v>-50489914.359999999</v>
      </c>
      <c r="XI137" s="294"/>
      <c r="XJ137" s="294"/>
      <c r="XK137" s="294">
        <v>-25325017.010000002</v>
      </c>
      <c r="XL137" s="294"/>
      <c r="XM137" s="294"/>
      <c r="XN137" s="294"/>
      <c r="XO137" s="294"/>
      <c r="XP137" s="294"/>
      <c r="XQ137" s="294"/>
      <c r="XR137" s="294"/>
      <c r="XS137" s="294"/>
      <c r="XT137" s="294"/>
      <c r="XU137" s="294"/>
      <c r="XV137" s="294"/>
      <c r="XW137" s="294"/>
      <c r="XX137" s="294"/>
      <c r="XY137" s="294"/>
      <c r="XZ137" s="294"/>
      <c r="YA137" s="294"/>
      <c r="YB137" s="294"/>
      <c r="YC137" s="294"/>
      <c r="YD137" s="294"/>
      <c r="YE137" s="294">
        <v>-93336666.150000006</v>
      </c>
      <c r="YF137" s="294"/>
      <c r="YG137" s="294"/>
      <c r="YH137" s="294"/>
      <c r="YI137" s="294"/>
      <c r="YJ137" s="294"/>
      <c r="YK137" s="294"/>
      <c r="YL137" s="294"/>
      <c r="YM137" s="294"/>
      <c r="YN137" s="294"/>
      <c r="YO137" s="294"/>
      <c r="YP137" s="294"/>
      <c r="YQ137" s="294"/>
      <c r="YR137" s="294"/>
      <c r="YS137" s="294"/>
      <c r="YT137" s="294"/>
      <c r="YU137" s="294"/>
      <c r="YV137" s="294">
        <v>-11748501.77</v>
      </c>
      <c r="YW137" s="294"/>
      <c r="YX137" s="294"/>
      <c r="YY137" s="294"/>
      <c r="YZ137" s="294"/>
      <c r="ZA137" s="294"/>
      <c r="ZB137" s="294"/>
      <c r="ZC137" s="294">
        <v>-14532703.02</v>
      </c>
      <c r="ZD137" s="294"/>
      <c r="ZE137" s="294"/>
      <c r="ZF137" s="294"/>
      <c r="ZG137" s="294"/>
      <c r="ZH137" s="294"/>
      <c r="ZI137" s="294"/>
      <c r="ZJ137" s="294"/>
      <c r="ZK137" s="294"/>
      <c r="ZL137" s="294">
        <v>-18580830.02</v>
      </c>
      <c r="ZM137" s="294"/>
      <c r="ZN137" s="294"/>
      <c r="ZO137" s="294"/>
      <c r="ZP137" s="294"/>
      <c r="ZQ137" s="294"/>
      <c r="ZR137" s="294"/>
      <c r="ZS137" s="294"/>
      <c r="ZT137" s="294"/>
      <c r="ZU137" s="294"/>
      <c r="ZV137" s="294"/>
      <c r="ZW137" s="294"/>
      <c r="ZX137" s="294"/>
      <c r="ZY137" s="294"/>
      <c r="ZZ137" s="294"/>
      <c r="AAA137" s="294"/>
      <c r="AAB137" s="294"/>
      <c r="AAC137" s="294"/>
      <c r="AAD137" s="294"/>
      <c r="AAE137" s="294"/>
      <c r="AAF137" s="294"/>
      <c r="AAG137" s="294"/>
      <c r="AAH137" s="294">
        <v>-10415199.699999999</v>
      </c>
      <c r="AAI137" s="294"/>
      <c r="AAJ137" s="294"/>
      <c r="AAK137" s="294"/>
      <c r="AAL137" s="294"/>
      <c r="AAM137" s="294"/>
      <c r="AAN137" s="294"/>
      <c r="AAO137" s="294">
        <v>-126485796.64</v>
      </c>
      <c r="AAP137" s="294"/>
      <c r="AAQ137" s="294"/>
      <c r="AAR137" s="294"/>
      <c r="AAS137" s="294"/>
      <c r="AAT137" s="294"/>
      <c r="AAU137" s="294"/>
      <c r="AAV137" s="294"/>
      <c r="AAW137" s="294"/>
      <c r="AAX137" s="294"/>
      <c r="AAY137" s="294"/>
      <c r="AAZ137" s="294">
        <v>-30495865.600000001</v>
      </c>
      <c r="ABA137" s="294"/>
      <c r="ABB137" s="294"/>
      <c r="ABC137" s="294">
        <v>0</v>
      </c>
      <c r="ABD137" s="294"/>
      <c r="ABE137" s="294"/>
      <c r="ABF137" s="294"/>
      <c r="ABG137" s="294"/>
      <c r="ABH137" s="294"/>
      <c r="ABI137" s="294"/>
      <c r="ABJ137" s="294"/>
      <c r="ABK137" s="294">
        <v>0</v>
      </c>
      <c r="ABL137" s="294"/>
      <c r="ABM137" s="294"/>
      <c r="ABN137" s="294"/>
      <c r="ABO137" s="294">
        <v>-1141791.8600000001</v>
      </c>
      <c r="ABP137" s="294"/>
      <c r="ABQ137" s="294"/>
      <c r="ABR137" s="294"/>
      <c r="ABS137" s="294"/>
      <c r="ABT137" s="294"/>
      <c r="ABU137" s="294"/>
      <c r="ABV137" s="294"/>
      <c r="ABW137" s="294"/>
      <c r="ABX137" s="294">
        <v>-76368918.609999999</v>
      </c>
      <c r="ABY137" s="294"/>
      <c r="ABZ137" s="294"/>
      <c r="ACA137" s="294"/>
      <c r="ACB137" s="294"/>
      <c r="ACC137" s="294"/>
      <c r="ACD137" s="294"/>
      <c r="ACE137" s="294"/>
      <c r="ACF137" s="294"/>
      <c r="ACG137" s="294"/>
      <c r="ACH137" s="294"/>
      <c r="ACI137" s="294">
        <v>-21565356.050000001</v>
      </c>
      <c r="ACJ137" s="294"/>
      <c r="ACK137" s="294"/>
      <c r="ACL137" s="294"/>
      <c r="ACM137" s="294"/>
      <c r="ACN137" s="294"/>
      <c r="ACO137" s="294"/>
      <c r="ACP137" s="294">
        <v>-20639859.600000001</v>
      </c>
      <c r="ACQ137" s="294">
        <v>-66677600.960000001</v>
      </c>
      <c r="ACR137" s="294"/>
      <c r="ACS137" s="294"/>
      <c r="ACT137" s="294"/>
      <c r="ACU137" s="294"/>
      <c r="ACV137" s="294">
        <v>-3502823.77</v>
      </c>
      <c r="ACW137" s="294"/>
      <c r="ACX137" s="294"/>
      <c r="ACY137" s="294"/>
      <c r="ACZ137" s="294"/>
      <c r="ADA137" s="294"/>
      <c r="ADB137" s="294"/>
      <c r="ADC137" s="294"/>
      <c r="ADD137" s="294"/>
      <c r="ADE137" s="294"/>
      <c r="ADF137" s="294">
        <v>-2875767.75</v>
      </c>
      <c r="ADG137" s="294">
        <v>-3263340.66</v>
      </c>
      <c r="ADH137" s="294"/>
      <c r="ADI137" s="294"/>
      <c r="ADJ137" s="294"/>
      <c r="ADK137" s="294"/>
      <c r="ADL137" s="294"/>
      <c r="ADM137" s="294"/>
      <c r="ADN137" s="294"/>
      <c r="ADO137" s="294">
        <v>-58045277.850000001</v>
      </c>
      <c r="ADP137" s="294">
        <v>-25983839.199999999</v>
      </c>
      <c r="ADQ137" s="294"/>
      <c r="ADR137" s="294"/>
      <c r="ADS137" s="294">
        <v>-4059612.84</v>
      </c>
      <c r="ADT137" s="294"/>
      <c r="ADU137" s="294">
        <v>-5474.57</v>
      </c>
      <c r="ADV137" s="294"/>
      <c r="ADW137" s="294"/>
      <c r="ADX137" s="294"/>
      <c r="ADY137" s="294">
        <v>-40616904.57</v>
      </c>
      <c r="ADZ137" s="294">
        <v>-4559355.8499999996</v>
      </c>
      <c r="AEA137" s="294"/>
      <c r="AEB137" s="294"/>
      <c r="AEC137" s="294"/>
      <c r="AED137" s="294"/>
      <c r="AEE137" s="294"/>
      <c r="AEF137" s="294"/>
      <c r="AEG137" s="294"/>
      <c r="AEH137" s="294"/>
      <c r="AEI137" s="294"/>
      <c r="AEJ137" s="294"/>
      <c r="AEK137" s="294"/>
      <c r="AEL137" s="294"/>
      <c r="AEM137" s="294"/>
      <c r="AEN137" s="294"/>
      <c r="AEO137" s="294"/>
      <c r="AEP137" s="294"/>
      <c r="AEQ137" s="294"/>
      <c r="AER137" s="294"/>
      <c r="AES137" s="294">
        <v>-8890399.7200000007</v>
      </c>
      <c r="AET137" s="294"/>
      <c r="AEU137" s="294"/>
      <c r="AEV137" s="294"/>
      <c r="AEW137" s="294"/>
      <c r="AEX137" s="294"/>
      <c r="AEY137" s="294"/>
      <c r="AEZ137" s="294"/>
      <c r="AFA137" s="294"/>
      <c r="AFB137" s="294"/>
      <c r="AFC137" s="294">
        <v>-15194882.99</v>
      </c>
      <c r="AFD137" s="294">
        <v>-1537698.04</v>
      </c>
      <c r="AFE137" s="294"/>
      <c r="AFF137" s="294"/>
      <c r="AFG137" s="294"/>
      <c r="AFH137" s="294"/>
      <c r="AFI137" s="294"/>
      <c r="AFJ137" s="294"/>
      <c r="AFK137" s="294"/>
      <c r="AFL137" s="294"/>
      <c r="AFM137" s="294"/>
      <c r="AFN137" s="294"/>
      <c r="AFO137" s="294"/>
      <c r="AFP137" s="294">
        <v>-3933745</v>
      </c>
      <c r="AFQ137" s="294"/>
      <c r="AFR137" s="294"/>
      <c r="AFS137" s="294"/>
      <c r="AFT137" s="294"/>
      <c r="AFU137" s="294"/>
      <c r="AFV137" s="294"/>
      <c r="AFW137" s="294"/>
      <c r="AFX137" s="294"/>
      <c r="AFY137" s="294"/>
      <c r="AFZ137" s="294"/>
      <c r="AGA137" s="294"/>
      <c r="AGB137" s="294">
        <v>-11756855.470000001</v>
      </c>
      <c r="AGC137" s="294"/>
      <c r="AGD137" s="294"/>
      <c r="AGE137" s="294"/>
      <c r="AGF137" s="294"/>
      <c r="AGG137" s="294"/>
      <c r="AGH137" s="294"/>
      <c r="AGI137" s="294"/>
      <c r="AGJ137" s="294"/>
      <c r="AGK137" s="294"/>
      <c r="AGL137" s="294"/>
      <c r="AGM137" s="294">
        <v>0</v>
      </c>
      <c r="AGN137" s="294">
        <v>-431614.37</v>
      </c>
      <c r="AGO137" s="294"/>
      <c r="AGP137" s="294"/>
      <c r="AGQ137" s="294"/>
      <c r="AGR137" s="294"/>
      <c r="AGS137" s="294"/>
      <c r="AGT137" s="294"/>
      <c r="AGU137" s="294">
        <v>-34692216.689999998</v>
      </c>
      <c r="AGV137" s="294">
        <v>-3017433.36</v>
      </c>
      <c r="AGW137" s="294"/>
      <c r="AGX137" s="294"/>
      <c r="AGY137" s="294"/>
      <c r="AGZ137" s="294"/>
      <c r="AHA137" s="294"/>
      <c r="AHB137" s="294"/>
      <c r="AHC137" s="294"/>
      <c r="AHD137" s="294"/>
      <c r="AHE137" s="294"/>
      <c r="AHF137" s="294"/>
      <c r="AHG137" s="294"/>
      <c r="AHH137" s="294"/>
      <c r="AHI137" s="294"/>
      <c r="AHJ137" s="294"/>
      <c r="AHK137" s="294"/>
      <c r="AHL137" s="294">
        <v>-7940543.5800000001</v>
      </c>
      <c r="AHM137" s="294"/>
      <c r="AHN137" s="294"/>
      <c r="AHO137" s="294"/>
      <c r="AHP137" s="294"/>
      <c r="AHQ137" s="294"/>
      <c r="AHR137" s="331"/>
      <c r="AHS137" s="294">
        <f t="shared" si="55"/>
        <v>-3424624015.7199988</v>
      </c>
      <c r="AHT137" s="269" t="b">
        <f t="shared" si="54"/>
        <v>1</v>
      </c>
      <c r="AHU137" s="269" t="s">
        <v>6281</v>
      </c>
      <c r="AHV137" s="269" t="s">
        <v>6216</v>
      </c>
      <c r="AHW137" s="269" t="s">
        <v>6217</v>
      </c>
    </row>
    <row r="138" spans="1:907" ht="24.6" x14ac:dyDescent="0.7">
      <c r="A138" s="268" t="s">
        <v>6278</v>
      </c>
      <c r="B138" s="268" t="s">
        <v>6218</v>
      </c>
      <c r="C138" s="269" t="s">
        <v>6219</v>
      </c>
      <c r="D138" s="294">
        <v>-7400966.7999999998</v>
      </c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294"/>
      <c r="AE138" s="294"/>
      <c r="AF138" s="294">
        <v>-3179903.96</v>
      </c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294"/>
      <c r="AR138" s="294"/>
      <c r="AS138" s="294"/>
      <c r="AT138" s="294">
        <v>-533960.4</v>
      </c>
      <c r="AU138" s="294"/>
      <c r="AV138" s="294"/>
      <c r="AW138" s="294"/>
      <c r="AX138" s="294"/>
      <c r="AY138" s="294"/>
      <c r="AZ138" s="294"/>
      <c r="BA138" s="294"/>
      <c r="BB138" s="294"/>
      <c r="BC138" s="294"/>
      <c r="BD138" s="294"/>
      <c r="BE138" s="294"/>
      <c r="BF138" s="294"/>
      <c r="BG138" s="294"/>
      <c r="BH138" s="294"/>
      <c r="BI138" s="294">
        <v>-1771.1</v>
      </c>
      <c r="BJ138" s="294">
        <v>-569141.27</v>
      </c>
      <c r="BK138" s="294"/>
      <c r="BL138" s="294"/>
      <c r="BM138" s="294"/>
      <c r="BN138" s="294"/>
      <c r="BO138" s="294"/>
      <c r="BP138" s="294"/>
      <c r="BQ138" s="294"/>
      <c r="BR138" s="294"/>
      <c r="BS138" s="294"/>
      <c r="BT138" s="294"/>
      <c r="BU138" s="294"/>
      <c r="BV138" s="294"/>
      <c r="BW138" s="294"/>
      <c r="BX138" s="294"/>
      <c r="BY138" s="294"/>
      <c r="BZ138" s="294">
        <v>-439787.37</v>
      </c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294"/>
      <c r="CO138" s="294"/>
      <c r="CP138" s="294"/>
      <c r="CQ138" s="294"/>
      <c r="CR138" s="294"/>
      <c r="CS138" s="294"/>
      <c r="CT138" s="294">
        <v>-2243717.64</v>
      </c>
      <c r="CU138" s="294"/>
      <c r="CV138" s="294"/>
      <c r="CW138" s="294"/>
      <c r="CX138" s="294"/>
      <c r="CY138" s="294"/>
      <c r="CZ138" s="294"/>
      <c r="DA138" s="294"/>
      <c r="DB138" s="294">
        <v>-2841616.4</v>
      </c>
      <c r="DC138" s="294">
        <v>-5049003.2</v>
      </c>
      <c r="DD138" s="294"/>
      <c r="DE138" s="294"/>
      <c r="DF138" s="294"/>
      <c r="DG138" s="294"/>
      <c r="DH138" s="294"/>
      <c r="DI138" s="294"/>
      <c r="DJ138" s="294"/>
      <c r="DK138" s="294">
        <v>-6761188.7199999997</v>
      </c>
      <c r="DL138" s="294"/>
      <c r="DM138" s="294"/>
      <c r="DN138" s="294"/>
      <c r="DO138" s="294"/>
      <c r="DP138" s="294"/>
      <c r="DQ138" s="294"/>
      <c r="DR138" s="294"/>
      <c r="DS138" s="294"/>
      <c r="DT138" s="294">
        <v>-6942516.4100000001</v>
      </c>
      <c r="DU138" s="294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>
        <v>-1862969.32</v>
      </c>
      <c r="EF138" s="294">
        <v>-1123853.3400000001</v>
      </c>
      <c r="EG138" s="294"/>
      <c r="EH138" s="294"/>
      <c r="EI138" s="294"/>
      <c r="EJ138" s="294"/>
      <c r="EK138" s="294"/>
      <c r="EL138" s="294"/>
      <c r="EM138" s="294"/>
      <c r="EN138" s="294">
        <v>-1865892.39</v>
      </c>
      <c r="EO138" s="294"/>
      <c r="EP138" s="294"/>
      <c r="EQ138" s="294"/>
      <c r="ER138" s="294"/>
      <c r="ES138" s="294"/>
      <c r="ET138" s="294"/>
      <c r="EU138" s="294"/>
      <c r="EV138" s="294"/>
      <c r="EW138" s="294">
        <v>-5068462.2</v>
      </c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  <c r="FI138" s="294">
        <v>-4113342.74</v>
      </c>
      <c r="FJ138" s="294"/>
      <c r="FK138" s="294"/>
      <c r="FL138" s="294"/>
      <c r="FM138" s="294"/>
      <c r="FN138" s="294"/>
      <c r="FO138" s="294"/>
      <c r="FP138" s="294"/>
      <c r="FQ138" s="294">
        <v>-2580362.08</v>
      </c>
      <c r="FR138" s="294"/>
      <c r="FS138" s="294"/>
      <c r="FT138" s="294"/>
      <c r="FU138" s="294"/>
      <c r="FV138" s="294"/>
      <c r="FW138" s="294"/>
      <c r="FX138" s="294"/>
      <c r="FY138" s="294"/>
      <c r="FZ138" s="294"/>
      <c r="GA138" s="294"/>
      <c r="GB138" s="294"/>
      <c r="GC138" s="294"/>
      <c r="GD138" s="294"/>
      <c r="GE138" s="294">
        <v>-4938448.59</v>
      </c>
      <c r="GF138" s="294"/>
      <c r="GG138" s="294"/>
      <c r="GH138" s="294"/>
      <c r="GI138" s="294"/>
      <c r="GJ138" s="294"/>
      <c r="GK138" s="294"/>
      <c r="GL138" s="294"/>
      <c r="GM138" s="294"/>
      <c r="GN138" s="294"/>
      <c r="GO138" s="294"/>
      <c r="GP138" s="294"/>
      <c r="GQ138" s="294">
        <v>-5209976.79</v>
      </c>
      <c r="GR138" s="294"/>
      <c r="GS138" s="294"/>
      <c r="GT138" s="294"/>
      <c r="GU138" s="294"/>
      <c r="GV138" s="294"/>
      <c r="GW138" s="294"/>
      <c r="GX138" s="294"/>
      <c r="GY138" s="294">
        <v>-3629600.91</v>
      </c>
      <c r="GZ138" s="294"/>
      <c r="HA138" s="294"/>
      <c r="HB138" s="294"/>
      <c r="HC138" s="294"/>
      <c r="HD138" s="294"/>
      <c r="HE138" s="294"/>
      <c r="HF138" s="294"/>
      <c r="HG138" s="294"/>
      <c r="HH138" s="294"/>
      <c r="HI138" s="294"/>
      <c r="HJ138" s="294">
        <v>-48016262.539999999</v>
      </c>
      <c r="HK138" s="294"/>
      <c r="HL138" s="294"/>
      <c r="HM138" s="294"/>
      <c r="HN138" s="294"/>
      <c r="HO138" s="294"/>
      <c r="HP138" s="294"/>
      <c r="HQ138" s="294"/>
      <c r="HR138" s="294">
        <v>-19800291.359999999</v>
      </c>
      <c r="HS138" s="294">
        <v>-3627749.01</v>
      </c>
      <c r="HT138" s="294"/>
      <c r="HU138" s="294"/>
      <c r="HV138" s="294"/>
      <c r="HW138" s="294"/>
      <c r="HX138" s="294"/>
      <c r="HY138" s="294"/>
      <c r="HZ138" s="294"/>
      <c r="IA138" s="294"/>
      <c r="IB138" s="294"/>
      <c r="IC138" s="294"/>
      <c r="ID138" s="294"/>
      <c r="IE138" s="294"/>
      <c r="IF138" s="294"/>
      <c r="IG138" s="294"/>
      <c r="IH138" s="294">
        <v>-17381416.079999998</v>
      </c>
      <c r="II138" s="294">
        <v>-2943350.22</v>
      </c>
      <c r="IJ138" s="294"/>
      <c r="IK138" s="294"/>
      <c r="IL138" s="294"/>
      <c r="IM138" s="294"/>
      <c r="IN138" s="294"/>
      <c r="IO138" s="294"/>
      <c r="IP138" s="294"/>
      <c r="IQ138" s="294"/>
      <c r="IR138" s="294"/>
      <c r="IS138" s="294"/>
      <c r="IT138" s="294">
        <v>354868.49</v>
      </c>
      <c r="IU138" s="294"/>
      <c r="IV138" s="294"/>
      <c r="IW138" s="294"/>
      <c r="IX138" s="294"/>
      <c r="IY138" s="294"/>
      <c r="IZ138" s="294"/>
      <c r="JA138" s="294"/>
      <c r="JB138" s="294"/>
      <c r="JC138" s="294"/>
      <c r="JD138" s="294"/>
      <c r="JE138" s="294">
        <v>-533252.84</v>
      </c>
      <c r="JF138" s="294">
        <v>-724133.75</v>
      </c>
      <c r="JG138" s="294"/>
      <c r="JH138" s="294"/>
      <c r="JI138" s="294"/>
      <c r="JJ138" s="294"/>
      <c r="JK138" s="294">
        <v>-8838251.8300000001</v>
      </c>
      <c r="JL138" s="294"/>
      <c r="JM138" s="294"/>
      <c r="JN138" s="294"/>
      <c r="JO138" s="294"/>
      <c r="JP138" s="294"/>
      <c r="JQ138" s="294"/>
      <c r="JR138" s="294"/>
      <c r="JS138" s="294"/>
      <c r="JT138" s="294"/>
      <c r="JU138" s="294"/>
      <c r="JV138" s="294"/>
      <c r="JW138" s="294"/>
      <c r="JX138" s="294"/>
      <c r="JY138" s="294"/>
      <c r="JZ138" s="294"/>
      <c r="KA138" s="294"/>
      <c r="KB138" s="294"/>
      <c r="KC138" s="294"/>
      <c r="KD138" s="294"/>
      <c r="KE138" s="294"/>
      <c r="KF138" s="294"/>
      <c r="KG138" s="294"/>
      <c r="KH138" s="294">
        <v>-18801849.620000001</v>
      </c>
      <c r="KI138" s="294"/>
      <c r="KJ138" s="294"/>
      <c r="KK138" s="294"/>
      <c r="KL138" s="294"/>
      <c r="KM138" s="294"/>
      <c r="KN138" s="294"/>
      <c r="KO138" s="294"/>
      <c r="KP138" s="294"/>
      <c r="KQ138" s="294"/>
      <c r="KR138" s="294"/>
      <c r="KS138" s="294"/>
      <c r="KT138" s="294">
        <v>-2140199.25</v>
      </c>
      <c r="KU138" s="294"/>
      <c r="KV138" s="294"/>
      <c r="KW138" s="294">
        <v>-2958225.89</v>
      </c>
      <c r="KX138" s="294"/>
      <c r="KY138" s="294">
        <v>-19685055.719999999</v>
      </c>
      <c r="KZ138" s="294"/>
      <c r="LA138" s="294"/>
      <c r="LB138" s="294"/>
      <c r="LC138" s="294"/>
      <c r="LD138" s="294"/>
      <c r="LE138" s="294"/>
      <c r="LF138" s="294"/>
      <c r="LG138" s="294">
        <v>-19065564.18</v>
      </c>
      <c r="LH138" s="294"/>
      <c r="LI138" s="294">
        <v>-2546421.08</v>
      </c>
      <c r="LJ138" s="294"/>
      <c r="LK138" s="294"/>
      <c r="LL138" s="294"/>
      <c r="LM138" s="294"/>
      <c r="LN138" s="294"/>
      <c r="LO138" s="294"/>
      <c r="LP138" s="294"/>
      <c r="LQ138" s="294"/>
      <c r="LR138" s="294">
        <v>-8065553.0999999996</v>
      </c>
      <c r="LS138" s="294"/>
      <c r="LT138" s="294"/>
      <c r="LU138" s="294"/>
      <c r="LV138" s="294">
        <v>-4745475.34</v>
      </c>
      <c r="LW138" s="294">
        <v>-19130184.120000001</v>
      </c>
      <c r="LX138" s="294">
        <v>-975483.3</v>
      </c>
      <c r="LY138" s="294"/>
      <c r="LZ138" s="294"/>
      <c r="MA138" s="294"/>
      <c r="MB138" s="294"/>
      <c r="MC138" s="294"/>
      <c r="MD138" s="294"/>
      <c r="ME138" s="294">
        <v>-685828.53</v>
      </c>
      <c r="MF138" s="294"/>
      <c r="MG138" s="294">
        <v>-9193406.6799999997</v>
      </c>
      <c r="MH138" s="294"/>
      <c r="MI138" s="294"/>
      <c r="MJ138" s="294"/>
      <c r="MK138" s="294"/>
      <c r="ML138" s="294"/>
      <c r="MM138" s="294"/>
      <c r="MN138" s="294"/>
      <c r="MO138" s="294"/>
      <c r="MP138" s="294"/>
      <c r="MQ138" s="294"/>
      <c r="MR138" s="294"/>
      <c r="MS138" s="294">
        <v>-40740654.859999999</v>
      </c>
      <c r="MT138" s="294"/>
      <c r="MU138" s="294"/>
      <c r="MV138" s="294"/>
      <c r="MW138" s="294"/>
      <c r="MX138" s="294">
        <v>-549</v>
      </c>
      <c r="MY138" s="294"/>
      <c r="MZ138" s="294"/>
      <c r="NA138" s="294"/>
      <c r="NB138" s="294"/>
      <c r="NC138" s="294"/>
      <c r="ND138" s="294">
        <v>-44451291.32</v>
      </c>
      <c r="NE138" s="294"/>
      <c r="NF138" s="294"/>
      <c r="NG138" s="294"/>
      <c r="NH138" s="294"/>
      <c r="NI138" s="294"/>
      <c r="NJ138" s="294">
        <v>-16463247.99</v>
      </c>
      <c r="NK138" s="294">
        <v>-5729422.5300000003</v>
      </c>
      <c r="NL138" s="294"/>
      <c r="NM138" s="294"/>
      <c r="NN138" s="294"/>
      <c r="NO138" s="294"/>
      <c r="NP138" s="294">
        <v>-3984360.08</v>
      </c>
      <c r="NQ138" s="294"/>
      <c r="NR138" s="294"/>
      <c r="NS138" s="294"/>
      <c r="NT138" s="294"/>
      <c r="NU138" s="294"/>
      <c r="NV138" s="294"/>
      <c r="NW138" s="294">
        <v>-14795062.01</v>
      </c>
      <c r="NX138" s="294">
        <v>-8043553.3200000003</v>
      </c>
      <c r="NY138" s="294"/>
      <c r="NZ138" s="294"/>
      <c r="OA138" s="294"/>
      <c r="OB138" s="294"/>
      <c r="OC138" s="294"/>
      <c r="OD138" s="294">
        <v>-9871903.4000000004</v>
      </c>
      <c r="OE138" s="294"/>
      <c r="OF138" s="294"/>
      <c r="OG138" s="294"/>
      <c r="OH138" s="294"/>
      <c r="OI138" s="294"/>
      <c r="OJ138" s="294"/>
      <c r="OK138" s="294"/>
      <c r="OL138" s="294"/>
      <c r="OM138" s="294">
        <v>-2343872.8199999998</v>
      </c>
      <c r="ON138" s="294">
        <v>-6671602.0199999996</v>
      </c>
      <c r="OO138" s="294">
        <v>-7670331.0800000001</v>
      </c>
      <c r="OP138" s="294"/>
      <c r="OQ138" s="294"/>
      <c r="OR138" s="294"/>
      <c r="OS138" s="294">
        <v>-2710861.83</v>
      </c>
      <c r="OT138" s="294"/>
      <c r="OU138" s="294"/>
      <c r="OV138" s="294"/>
      <c r="OW138" s="294"/>
      <c r="OX138" s="294"/>
      <c r="OY138" s="294"/>
      <c r="OZ138" s="294"/>
      <c r="PA138" s="294"/>
      <c r="PB138" s="294">
        <v>-3294976.5</v>
      </c>
      <c r="PC138" s="294"/>
      <c r="PD138" s="294"/>
      <c r="PE138" s="294"/>
      <c r="PF138" s="294"/>
      <c r="PG138" s="294"/>
      <c r="PH138" s="294"/>
      <c r="PI138" s="294"/>
      <c r="PJ138" s="294"/>
      <c r="PK138" s="294"/>
      <c r="PL138" s="294"/>
      <c r="PM138" s="294"/>
      <c r="PN138" s="294"/>
      <c r="PO138" s="294"/>
      <c r="PP138" s="294"/>
      <c r="PQ138" s="294"/>
      <c r="PR138" s="294"/>
      <c r="PS138" s="294"/>
      <c r="PT138" s="294">
        <v>-6197156.7000000002</v>
      </c>
      <c r="PU138" s="294">
        <v>-747372</v>
      </c>
      <c r="PV138" s="294"/>
      <c r="PW138" s="294"/>
      <c r="PX138" s="294"/>
      <c r="PY138" s="294"/>
      <c r="PZ138" s="294"/>
      <c r="QA138" s="294"/>
      <c r="QB138" s="294"/>
      <c r="QC138" s="294"/>
      <c r="QD138" s="294">
        <v>-230931.47</v>
      </c>
      <c r="QE138" s="294"/>
      <c r="QF138" s="294"/>
      <c r="QG138" s="294"/>
      <c r="QH138" s="294"/>
      <c r="QI138" s="294"/>
      <c r="QJ138" s="294"/>
      <c r="QK138" s="294"/>
      <c r="QL138" s="294"/>
      <c r="QM138" s="294"/>
      <c r="QN138" s="294"/>
      <c r="QO138" s="294"/>
      <c r="QP138" s="294"/>
      <c r="QQ138" s="294"/>
      <c r="QR138" s="294"/>
      <c r="QS138" s="294"/>
      <c r="QT138" s="294"/>
      <c r="QU138" s="294"/>
      <c r="QV138" s="294"/>
      <c r="QW138" s="294"/>
      <c r="QX138" s="294"/>
      <c r="QY138" s="294"/>
      <c r="QZ138" s="294"/>
      <c r="RA138" s="294"/>
      <c r="RB138" s="294"/>
      <c r="RC138" s="294"/>
      <c r="RD138" s="294"/>
      <c r="RE138" s="294"/>
      <c r="RF138" s="294"/>
      <c r="RG138" s="294"/>
      <c r="RH138" s="294"/>
      <c r="RI138" s="294"/>
      <c r="RJ138" s="294"/>
      <c r="RK138" s="294"/>
      <c r="RL138" s="294"/>
      <c r="RM138" s="294"/>
      <c r="RN138" s="294"/>
      <c r="RO138" s="294"/>
      <c r="RP138" s="294"/>
      <c r="RQ138" s="294"/>
      <c r="RR138" s="294"/>
      <c r="RS138" s="294"/>
      <c r="RT138" s="294"/>
      <c r="RU138" s="294"/>
      <c r="RV138" s="294"/>
      <c r="RW138" s="294"/>
      <c r="RX138" s="294"/>
      <c r="RY138" s="294"/>
      <c r="RZ138" s="294"/>
      <c r="SA138" s="294">
        <v>-3021937.5</v>
      </c>
      <c r="SB138" s="294"/>
      <c r="SC138" s="294"/>
      <c r="SD138" s="294"/>
      <c r="SE138" s="294"/>
      <c r="SF138" s="294"/>
      <c r="SG138" s="294"/>
      <c r="SH138" s="294"/>
      <c r="SI138" s="294"/>
      <c r="SJ138" s="294"/>
      <c r="SK138" s="294"/>
      <c r="SL138" s="294"/>
      <c r="SM138" s="294">
        <v>-4456018.1500000004</v>
      </c>
      <c r="SN138" s="294"/>
      <c r="SO138" s="294"/>
      <c r="SP138" s="294"/>
      <c r="SQ138" s="294"/>
      <c r="SR138" s="294"/>
      <c r="SS138" s="294"/>
      <c r="ST138" s="294"/>
      <c r="SU138" s="294">
        <v>-2020658.1</v>
      </c>
      <c r="SV138" s="294"/>
      <c r="SW138" s="294"/>
      <c r="SX138" s="294"/>
      <c r="SY138" s="294"/>
      <c r="SZ138" s="294"/>
      <c r="TA138" s="294"/>
      <c r="TB138" s="294"/>
      <c r="TC138" s="294"/>
      <c r="TD138" s="294"/>
      <c r="TE138" s="294"/>
      <c r="TF138" s="294"/>
      <c r="TG138" s="294"/>
      <c r="TH138" s="294"/>
      <c r="TI138" s="294">
        <v>-14549721.199999999</v>
      </c>
      <c r="TJ138" s="294"/>
      <c r="TK138" s="294"/>
      <c r="TL138" s="294"/>
      <c r="TM138" s="294"/>
      <c r="TN138" s="294"/>
      <c r="TO138" s="294"/>
      <c r="TP138" s="294"/>
      <c r="TQ138" s="294"/>
      <c r="TR138" s="294"/>
      <c r="TS138" s="294"/>
      <c r="TT138" s="294"/>
      <c r="TU138" s="294"/>
      <c r="TV138" s="294"/>
      <c r="TW138" s="294"/>
      <c r="TX138" s="294"/>
      <c r="TY138" s="294">
        <v>-6716116.0999999996</v>
      </c>
      <c r="TZ138" s="294"/>
      <c r="UA138" s="294">
        <v>-1363074.12</v>
      </c>
      <c r="UB138" s="294"/>
      <c r="UC138" s="294"/>
      <c r="UD138" s="294"/>
      <c r="UE138" s="294">
        <v>-2410709.54</v>
      </c>
      <c r="UF138" s="294"/>
      <c r="UG138" s="294"/>
      <c r="UH138" s="294"/>
      <c r="UI138" s="294"/>
      <c r="UJ138" s="294"/>
      <c r="UK138" s="294"/>
      <c r="UL138" s="294"/>
      <c r="UM138" s="294"/>
      <c r="UN138" s="294"/>
      <c r="UO138" s="294"/>
      <c r="UP138" s="294"/>
      <c r="UQ138" s="294"/>
      <c r="UR138" s="294"/>
      <c r="US138" s="294"/>
      <c r="UT138" s="294"/>
      <c r="UU138" s="294"/>
      <c r="UV138" s="294"/>
      <c r="UW138" s="294"/>
      <c r="UX138" s="294"/>
      <c r="UY138" s="294"/>
      <c r="UZ138" s="294"/>
      <c r="VA138" s="294"/>
      <c r="VB138" s="294"/>
      <c r="VC138" s="294"/>
      <c r="VD138" s="294"/>
      <c r="VE138" s="294"/>
      <c r="VF138" s="294"/>
      <c r="VG138" s="294"/>
      <c r="VH138" s="294">
        <v>-30187.96</v>
      </c>
      <c r="VI138" s="294"/>
      <c r="VJ138" s="294"/>
      <c r="VK138" s="294">
        <v>0</v>
      </c>
      <c r="VL138" s="294">
        <v>-3764269.59</v>
      </c>
      <c r="VM138" s="294"/>
      <c r="VN138" s="294"/>
      <c r="VO138" s="294"/>
      <c r="VP138" s="294"/>
      <c r="VQ138" s="294"/>
      <c r="VR138" s="294"/>
      <c r="VS138" s="294"/>
      <c r="VT138" s="294">
        <v>0</v>
      </c>
      <c r="VU138" s="294"/>
      <c r="VV138" s="294"/>
      <c r="VW138" s="294">
        <v>0</v>
      </c>
      <c r="VX138" s="294"/>
      <c r="VY138" s="294"/>
      <c r="VZ138" s="294"/>
      <c r="WA138" s="294"/>
      <c r="WB138" s="294"/>
      <c r="WC138" s="294"/>
      <c r="WD138" s="294"/>
      <c r="WE138" s="294"/>
      <c r="WF138" s="294"/>
      <c r="WG138" s="294"/>
      <c r="WH138" s="294"/>
      <c r="WI138" s="294"/>
      <c r="WJ138" s="294"/>
      <c r="WK138" s="294"/>
      <c r="WL138" s="294"/>
      <c r="WM138" s="294"/>
      <c r="WN138" s="294"/>
      <c r="WO138" s="294"/>
      <c r="WP138" s="294"/>
      <c r="WQ138" s="294"/>
      <c r="WR138" s="294"/>
      <c r="WS138" s="294"/>
      <c r="WT138" s="294"/>
      <c r="WU138" s="294">
        <v>-14180803.449999999</v>
      </c>
      <c r="WV138" s="294"/>
      <c r="WW138" s="294"/>
      <c r="WX138" s="294"/>
      <c r="WY138" s="294"/>
      <c r="WZ138" s="294"/>
      <c r="XA138" s="294"/>
      <c r="XB138" s="294"/>
      <c r="XC138" s="294">
        <v>0</v>
      </c>
      <c r="XD138" s="294"/>
      <c r="XE138" s="294"/>
      <c r="XF138" s="294"/>
      <c r="XG138" s="294"/>
      <c r="XH138" s="294">
        <v>-2916787.84</v>
      </c>
      <c r="XI138" s="294"/>
      <c r="XJ138" s="294"/>
      <c r="XK138" s="294">
        <v>-8313539.9900000002</v>
      </c>
      <c r="XL138" s="294"/>
      <c r="XM138" s="294"/>
      <c r="XN138" s="294"/>
      <c r="XO138" s="294"/>
      <c r="XP138" s="294"/>
      <c r="XQ138" s="294"/>
      <c r="XR138" s="294"/>
      <c r="XS138" s="294"/>
      <c r="XT138" s="294"/>
      <c r="XU138" s="294"/>
      <c r="XV138" s="294"/>
      <c r="XW138" s="294"/>
      <c r="XX138" s="294"/>
      <c r="XY138" s="294"/>
      <c r="XZ138" s="294"/>
      <c r="YA138" s="294"/>
      <c r="YB138" s="294"/>
      <c r="YC138" s="294"/>
      <c r="YD138" s="294"/>
      <c r="YE138" s="294">
        <v>-4386311.4400000004</v>
      </c>
      <c r="YF138" s="294"/>
      <c r="YG138" s="294"/>
      <c r="YH138" s="294"/>
      <c r="YI138" s="294"/>
      <c r="YJ138" s="294"/>
      <c r="YK138" s="294"/>
      <c r="YL138" s="294"/>
      <c r="YM138" s="294"/>
      <c r="YN138" s="294"/>
      <c r="YO138" s="294"/>
      <c r="YP138" s="294"/>
      <c r="YQ138" s="294"/>
      <c r="YR138" s="294"/>
      <c r="YS138" s="294"/>
      <c r="YT138" s="294"/>
      <c r="YU138" s="294"/>
      <c r="YV138" s="294">
        <v>-683449.53</v>
      </c>
      <c r="YW138" s="294"/>
      <c r="YX138" s="294"/>
      <c r="YY138" s="294"/>
      <c r="YZ138" s="294"/>
      <c r="ZA138" s="294"/>
      <c r="ZB138" s="294"/>
      <c r="ZC138" s="294">
        <v>-1346471.52</v>
      </c>
      <c r="ZD138" s="294"/>
      <c r="ZE138" s="294"/>
      <c r="ZF138" s="294"/>
      <c r="ZG138" s="294"/>
      <c r="ZH138" s="294"/>
      <c r="ZI138" s="294"/>
      <c r="ZJ138" s="294"/>
      <c r="ZK138" s="294"/>
      <c r="ZL138" s="294">
        <v>0</v>
      </c>
      <c r="ZM138" s="294"/>
      <c r="ZN138" s="294"/>
      <c r="ZO138" s="294"/>
      <c r="ZP138" s="294"/>
      <c r="ZQ138" s="294"/>
      <c r="ZR138" s="294"/>
      <c r="ZS138" s="294"/>
      <c r="ZT138" s="294"/>
      <c r="ZU138" s="294"/>
      <c r="ZV138" s="294"/>
      <c r="ZW138" s="294"/>
      <c r="ZX138" s="294"/>
      <c r="ZY138" s="294"/>
      <c r="ZZ138" s="294"/>
      <c r="AAA138" s="294"/>
      <c r="AAB138" s="294"/>
      <c r="AAC138" s="294"/>
      <c r="AAD138" s="294"/>
      <c r="AAE138" s="294"/>
      <c r="AAF138" s="294"/>
      <c r="AAG138" s="294"/>
      <c r="AAH138" s="294"/>
      <c r="AAI138" s="294"/>
      <c r="AAJ138" s="294"/>
      <c r="AAK138" s="294"/>
      <c r="AAL138" s="294"/>
      <c r="AAM138" s="294"/>
      <c r="AAN138" s="294"/>
      <c r="AAO138" s="294">
        <v>-10249788</v>
      </c>
      <c r="AAP138" s="294"/>
      <c r="AAQ138" s="294"/>
      <c r="AAR138" s="294">
        <v>-10000</v>
      </c>
      <c r="AAS138" s="294"/>
      <c r="AAT138" s="294"/>
      <c r="AAU138" s="294"/>
      <c r="AAV138" s="294"/>
      <c r="AAW138" s="294"/>
      <c r="AAX138" s="294"/>
      <c r="AAY138" s="294"/>
      <c r="AAZ138" s="294">
        <v>-2238422.09</v>
      </c>
      <c r="ABA138" s="294"/>
      <c r="ABB138" s="294"/>
      <c r="ABC138" s="294">
        <v>0</v>
      </c>
      <c r="ABD138" s="294"/>
      <c r="ABE138" s="294">
        <v>-29237</v>
      </c>
      <c r="ABF138" s="294"/>
      <c r="ABG138" s="294"/>
      <c r="ABH138" s="294"/>
      <c r="ABI138" s="294"/>
      <c r="ABJ138" s="294"/>
      <c r="ABK138" s="294">
        <v>0</v>
      </c>
      <c r="ABL138" s="294"/>
      <c r="ABM138" s="294"/>
      <c r="ABN138" s="294"/>
      <c r="ABO138" s="294">
        <v>-13150115.82</v>
      </c>
      <c r="ABP138" s="294"/>
      <c r="ABQ138" s="294"/>
      <c r="ABR138" s="294"/>
      <c r="ABS138" s="294"/>
      <c r="ABT138" s="294"/>
      <c r="ABU138" s="294"/>
      <c r="ABV138" s="294"/>
      <c r="ABW138" s="294"/>
      <c r="ABX138" s="294"/>
      <c r="ABY138" s="294"/>
      <c r="ABZ138" s="294"/>
      <c r="ACA138" s="294"/>
      <c r="ACB138" s="294"/>
      <c r="ACC138" s="294"/>
      <c r="ACD138" s="294"/>
      <c r="ACE138" s="294"/>
      <c r="ACF138" s="294"/>
      <c r="ACG138" s="294"/>
      <c r="ACH138" s="294"/>
      <c r="ACI138" s="294"/>
      <c r="ACJ138" s="294"/>
      <c r="ACK138" s="294"/>
      <c r="ACL138" s="294"/>
      <c r="ACM138" s="294"/>
      <c r="ACN138" s="294"/>
      <c r="ACO138" s="294"/>
      <c r="ACP138" s="294"/>
      <c r="ACQ138" s="294"/>
      <c r="ACR138" s="294"/>
      <c r="ACS138" s="294"/>
      <c r="ACT138" s="294">
        <v>-142304.22</v>
      </c>
      <c r="ACU138" s="294"/>
      <c r="ACV138" s="294"/>
      <c r="ACW138" s="294"/>
      <c r="ACX138" s="294"/>
      <c r="ACY138" s="294"/>
      <c r="ACZ138" s="294"/>
      <c r="ADA138" s="294"/>
      <c r="ADB138" s="294"/>
      <c r="ADC138" s="294"/>
      <c r="ADD138" s="294"/>
      <c r="ADE138" s="294"/>
      <c r="ADF138" s="294">
        <v>-957384.61</v>
      </c>
      <c r="ADG138" s="294">
        <v>-1353928.25</v>
      </c>
      <c r="ADH138" s="294"/>
      <c r="ADI138" s="294"/>
      <c r="ADJ138" s="294"/>
      <c r="ADK138" s="294"/>
      <c r="ADL138" s="294"/>
      <c r="ADM138" s="294"/>
      <c r="ADN138" s="294"/>
      <c r="ADO138" s="294">
        <v>-36953508.039999999</v>
      </c>
      <c r="ADP138" s="294">
        <v>-2400807.73</v>
      </c>
      <c r="ADQ138" s="294"/>
      <c r="ADR138" s="294"/>
      <c r="ADS138" s="294">
        <v>-2007336.64</v>
      </c>
      <c r="ADT138" s="294"/>
      <c r="ADU138" s="294"/>
      <c r="ADV138" s="294"/>
      <c r="ADW138" s="294"/>
      <c r="ADX138" s="294"/>
      <c r="ADY138" s="294">
        <v>-53672576.170000002</v>
      </c>
      <c r="ADZ138" s="294"/>
      <c r="AEA138" s="294"/>
      <c r="AEB138" s="294"/>
      <c r="AEC138" s="294"/>
      <c r="AED138" s="294"/>
      <c r="AEE138" s="294"/>
      <c r="AEF138" s="294"/>
      <c r="AEG138" s="294"/>
      <c r="AEH138" s="294"/>
      <c r="AEI138" s="294"/>
      <c r="AEJ138" s="294"/>
      <c r="AEK138" s="294"/>
      <c r="AEL138" s="294"/>
      <c r="AEM138" s="294"/>
      <c r="AEN138" s="294"/>
      <c r="AEO138" s="294"/>
      <c r="AEP138" s="294"/>
      <c r="AEQ138" s="294"/>
      <c r="AER138" s="294"/>
      <c r="AES138" s="294">
        <v>-1155657.75</v>
      </c>
      <c r="AET138" s="294"/>
      <c r="AEU138" s="294"/>
      <c r="AEV138" s="294"/>
      <c r="AEW138" s="294"/>
      <c r="AEX138" s="294"/>
      <c r="AEY138" s="294"/>
      <c r="AEZ138" s="294"/>
      <c r="AFA138" s="294"/>
      <c r="AFB138" s="294"/>
      <c r="AFC138" s="294">
        <v>-3293793.41</v>
      </c>
      <c r="AFD138" s="294">
        <v>-3801216.54</v>
      </c>
      <c r="AFE138" s="294"/>
      <c r="AFF138" s="294"/>
      <c r="AFG138" s="294"/>
      <c r="AFH138" s="294"/>
      <c r="AFI138" s="294"/>
      <c r="AFJ138" s="294"/>
      <c r="AFK138" s="294"/>
      <c r="AFL138" s="294"/>
      <c r="AFM138" s="294"/>
      <c r="AFN138" s="294"/>
      <c r="AFO138" s="294"/>
      <c r="AFP138" s="294">
        <v>-5977846.46</v>
      </c>
      <c r="AFQ138" s="294"/>
      <c r="AFR138" s="294"/>
      <c r="AFS138" s="294"/>
      <c r="AFT138" s="294"/>
      <c r="AFU138" s="294"/>
      <c r="AFV138" s="294"/>
      <c r="AFW138" s="294"/>
      <c r="AFX138" s="294"/>
      <c r="AFY138" s="294"/>
      <c r="AFZ138" s="294"/>
      <c r="AGA138" s="294"/>
      <c r="AGB138" s="294">
        <v>-2418493.5</v>
      </c>
      <c r="AGC138" s="294"/>
      <c r="AGD138" s="294"/>
      <c r="AGE138" s="294"/>
      <c r="AGF138" s="294"/>
      <c r="AGG138" s="294"/>
      <c r="AGH138" s="294"/>
      <c r="AGI138" s="294"/>
      <c r="AGJ138" s="294"/>
      <c r="AGK138" s="294"/>
      <c r="AGL138" s="294"/>
      <c r="AGM138" s="294">
        <v>-6796120.9000000004</v>
      </c>
      <c r="AGN138" s="294">
        <v>-1296415.43</v>
      </c>
      <c r="AGO138" s="294"/>
      <c r="AGP138" s="294"/>
      <c r="AGQ138" s="294"/>
      <c r="AGR138" s="294"/>
      <c r="AGS138" s="294"/>
      <c r="AGT138" s="294"/>
      <c r="AGU138" s="294">
        <v>-13629806.560000001</v>
      </c>
      <c r="AGV138" s="294">
        <v>-1209215.8400000001</v>
      </c>
      <c r="AGW138" s="294"/>
      <c r="AGX138" s="294"/>
      <c r="AGY138" s="294"/>
      <c r="AGZ138" s="294"/>
      <c r="AHA138" s="294"/>
      <c r="AHB138" s="294"/>
      <c r="AHC138" s="294"/>
      <c r="AHD138" s="294"/>
      <c r="AHE138" s="294"/>
      <c r="AHF138" s="294"/>
      <c r="AHG138" s="294"/>
      <c r="AHH138" s="294"/>
      <c r="AHI138" s="294"/>
      <c r="AHJ138" s="294"/>
      <c r="AHK138" s="294"/>
      <c r="AHL138" s="294">
        <v>-22291.1</v>
      </c>
      <c r="AHM138" s="294"/>
      <c r="AHN138" s="294"/>
      <c r="AHO138" s="294"/>
      <c r="AHP138" s="294"/>
      <c r="AHQ138" s="294"/>
      <c r="AHR138" s="331"/>
      <c r="AHS138" s="294">
        <f t="shared" si="55"/>
        <v>-682733038.59999967</v>
      </c>
      <c r="AHT138" s="269" t="b">
        <f t="shared" si="54"/>
        <v>1</v>
      </c>
      <c r="AHU138" s="269" t="s">
        <v>6278</v>
      </c>
      <c r="AHV138" s="269" t="s">
        <v>6218</v>
      </c>
      <c r="AHW138" s="269" t="s">
        <v>6219</v>
      </c>
    </row>
    <row r="139" spans="1:907" ht="24.6" x14ac:dyDescent="0.7">
      <c r="A139" s="268" t="s">
        <v>6278</v>
      </c>
      <c r="B139" s="268" t="s">
        <v>6220</v>
      </c>
      <c r="C139" s="269" t="s">
        <v>6221</v>
      </c>
      <c r="D139" s="294">
        <v>-9362</v>
      </c>
      <c r="E139" s="294">
        <v>-1466</v>
      </c>
      <c r="F139" s="294">
        <v>-112813.5</v>
      </c>
      <c r="G139" s="294">
        <v>0</v>
      </c>
      <c r="H139" s="294">
        <v>-2360</v>
      </c>
      <c r="I139" s="294">
        <v>-3312</v>
      </c>
      <c r="J139" s="294"/>
      <c r="K139" s="294">
        <v>-2851</v>
      </c>
      <c r="L139" s="294">
        <v>-468</v>
      </c>
      <c r="M139" s="294">
        <v>-13885</v>
      </c>
      <c r="N139" s="294">
        <v>-5346</v>
      </c>
      <c r="O139" s="294">
        <v>-1915</v>
      </c>
      <c r="P139" s="294">
        <v>-3460</v>
      </c>
      <c r="Q139" s="294">
        <v>-23795</v>
      </c>
      <c r="R139" s="294"/>
      <c r="S139" s="294"/>
      <c r="T139" s="294">
        <v>-8306</v>
      </c>
      <c r="U139" s="294">
        <v>-14179</v>
      </c>
      <c r="V139" s="294">
        <v>-22604768.469999999</v>
      </c>
      <c r="W139" s="294">
        <v>-2000</v>
      </c>
      <c r="X139" s="294">
        <v>-916</v>
      </c>
      <c r="Y139" s="294">
        <v>0</v>
      </c>
      <c r="Z139" s="294">
        <v>-119092</v>
      </c>
      <c r="AA139" s="294">
        <v>-1846</v>
      </c>
      <c r="AB139" s="294">
        <v>-775734</v>
      </c>
      <c r="AC139" s="294">
        <v>-204583</v>
      </c>
      <c r="AD139" s="294">
        <v>-4421</v>
      </c>
      <c r="AE139" s="294">
        <v>-352239</v>
      </c>
      <c r="AF139" s="294">
        <v>-6923</v>
      </c>
      <c r="AG139" s="294">
        <v>-7414</v>
      </c>
      <c r="AH139" s="294">
        <v>-29374</v>
      </c>
      <c r="AI139" s="294">
        <v>-788596</v>
      </c>
      <c r="AJ139" s="294">
        <v>-32116</v>
      </c>
      <c r="AK139" s="294">
        <v>-2220</v>
      </c>
      <c r="AL139" s="294">
        <v>-100</v>
      </c>
      <c r="AM139" s="294">
        <v>-68588</v>
      </c>
      <c r="AN139" s="294">
        <v>-260</v>
      </c>
      <c r="AO139" s="294">
        <v>-15584</v>
      </c>
      <c r="AP139" s="294">
        <v>-4894</v>
      </c>
      <c r="AQ139" s="294">
        <v>-11466</v>
      </c>
      <c r="AR139" s="294">
        <v>-80660</v>
      </c>
      <c r="AS139" s="294">
        <v>-30</v>
      </c>
      <c r="AT139" s="294">
        <v>-41833.919999999998</v>
      </c>
      <c r="AU139" s="294">
        <v>-260</v>
      </c>
      <c r="AV139" s="294"/>
      <c r="AW139" s="294">
        <v>-332</v>
      </c>
      <c r="AX139" s="294">
        <v>-8095</v>
      </c>
      <c r="AY139" s="294">
        <v>-6345</v>
      </c>
      <c r="AZ139" s="294">
        <v>0</v>
      </c>
      <c r="BA139" s="294"/>
      <c r="BB139" s="294">
        <v>0</v>
      </c>
      <c r="BC139" s="294"/>
      <c r="BD139" s="294"/>
      <c r="BE139" s="294"/>
      <c r="BF139" s="294">
        <v>-171957.4</v>
      </c>
      <c r="BG139" s="294"/>
      <c r="BH139" s="294"/>
      <c r="BI139" s="294">
        <v>-55167</v>
      </c>
      <c r="BJ139" s="294"/>
      <c r="BK139" s="294">
        <v>-5919.51</v>
      </c>
      <c r="BL139" s="294">
        <v>-2228</v>
      </c>
      <c r="BM139" s="294">
        <v>-4562</v>
      </c>
      <c r="BN139" s="294">
        <v>-111013</v>
      </c>
      <c r="BO139" s="294">
        <v>-52266.5</v>
      </c>
      <c r="BP139" s="294"/>
      <c r="BQ139" s="294"/>
      <c r="BR139" s="294"/>
      <c r="BS139" s="294">
        <v>-32174</v>
      </c>
      <c r="BT139" s="294">
        <v>-2226</v>
      </c>
      <c r="BU139" s="294">
        <v>-8197</v>
      </c>
      <c r="BV139" s="294">
        <v>-2900</v>
      </c>
      <c r="BW139" s="294">
        <v>-17136</v>
      </c>
      <c r="BX139" s="294">
        <v>-15741.65</v>
      </c>
      <c r="BY139" s="294">
        <v>-8313</v>
      </c>
      <c r="BZ139" s="294">
        <v>-97499.68</v>
      </c>
      <c r="CA139" s="294"/>
      <c r="CB139" s="294"/>
      <c r="CC139" s="294"/>
      <c r="CD139" s="294"/>
      <c r="CE139" s="294">
        <v>-1462</v>
      </c>
      <c r="CF139" s="294">
        <v>-30383</v>
      </c>
      <c r="CG139" s="294">
        <v>-6734</v>
      </c>
      <c r="CH139" s="294">
        <v>0</v>
      </c>
      <c r="CI139" s="294">
        <v>0</v>
      </c>
      <c r="CJ139" s="294"/>
      <c r="CK139" s="294">
        <v>-260</v>
      </c>
      <c r="CL139" s="294">
        <v>0</v>
      </c>
      <c r="CM139" s="294"/>
      <c r="CN139" s="294">
        <v>0</v>
      </c>
      <c r="CO139" s="294"/>
      <c r="CP139" s="294">
        <v>-260</v>
      </c>
      <c r="CQ139" s="294"/>
      <c r="CR139" s="294">
        <v>-1242</v>
      </c>
      <c r="CS139" s="294">
        <v>0</v>
      </c>
      <c r="CT139" s="294">
        <v>-1152</v>
      </c>
      <c r="CU139" s="294">
        <v>-15835.5</v>
      </c>
      <c r="CV139" s="294">
        <v>-22853</v>
      </c>
      <c r="CW139" s="294">
        <v>-3500</v>
      </c>
      <c r="CX139" s="294">
        <v>0</v>
      </c>
      <c r="CY139" s="294">
        <v>-10422</v>
      </c>
      <c r="CZ139" s="294">
        <v>-58714</v>
      </c>
      <c r="DA139" s="294">
        <v>-37594</v>
      </c>
      <c r="DB139" s="294">
        <v>-3941</v>
      </c>
      <c r="DC139" s="294">
        <v>-9371761.1500000004</v>
      </c>
      <c r="DD139" s="294">
        <v>-1222</v>
      </c>
      <c r="DE139" s="294">
        <v>0</v>
      </c>
      <c r="DF139" s="294">
        <v>-71348</v>
      </c>
      <c r="DG139" s="294">
        <v>-39887</v>
      </c>
      <c r="DH139" s="294">
        <v>-141934</v>
      </c>
      <c r="DI139" s="294">
        <v>-2051</v>
      </c>
      <c r="DJ139" s="294">
        <v>-569</v>
      </c>
      <c r="DK139" s="294">
        <v>-325008.2</v>
      </c>
      <c r="DL139" s="294">
        <v>-122372</v>
      </c>
      <c r="DM139" s="294">
        <v>-102994</v>
      </c>
      <c r="DN139" s="294">
        <v>-21211</v>
      </c>
      <c r="DO139" s="294">
        <v>-34835</v>
      </c>
      <c r="DP139" s="294">
        <v>-90975</v>
      </c>
      <c r="DQ139" s="294">
        <v>-242187.5</v>
      </c>
      <c r="DR139" s="294">
        <v>-28482.5</v>
      </c>
      <c r="DS139" s="294">
        <v>-473458</v>
      </c>
      <c r="DT139" s="294">
        <v>-1144</v>
      </c>
      <c r="DU139" s="294">
        <v>-158</v>
      </c>
      <c r="DV139" s="294">
        <v>-9880</v>
      </c>
      <c r="DW139" s="294">
        <v>-2214</v>
      </c>
      <c r="DX139" s="294"/>
      <c r="DY139" s="294"/>
      <c r="DZ139" s="294">
        <v>-901</v>
      </c>
      <c r="EA139" s="294"/>
      <c r="EB139" s="294">
        <v>-100000</v>
      </c>
      <c r="EC139" s="294">
        <v>-260</v>
      </c>
      <c r="ED139" s="294"/>
      <c r="EE139" s="294">
        <v>-590</v>
      </c>
      <c r="EF139" s="294">
        <v>-9595</v>
      </c>
      <c r="EG139" s="294">
        <v>-12930</v>
      </c>
      <c r="EH139" s="294">
        <v>0</v>
      </c>
      <c r="EI139" s="294">
        <v>-4030</v>
      </c>
      <c r="EJ139" s="294">
        <v>-90156</v>
      </c>
      <c r="EK139" s="294">
        <v>-18842</v>
      </c>
      <c r="EL139" s="294">
        <v>-610</v>
      </c>
      <c r="EM139" s="294"/>
      <c r="EN139" s="294">
        <v>-6972890.71</v>
      </c>
      <c r="EO139" s="294"/>
      <c r="EP139" s="294"/>
      <c r="EQ139" s="294"/>
      <c r="ER139" s="294"/>
      <c r="ES139" s="294">
        <v>0</v>
      </c>
      <c r="ET139" s="294"/>
      <c r="EU139" s="294"/>
      <c r="EV139" s="294"/>
      <c r="EW139" s="294">
        <v>-36532.5</v>
      </c>
      <c r="EX139" s="294"/>
      <c r="EY139" s="294">
        <v>-260</v>
      </c>
      <c r="EZ139" s="294">
        <v>0</v>
      </c>
      <c r="FA139" s="294">
        <v>0</v>
      </c>
      <c r="FB139" s="294">
        <v>-6388</v>
      </c>
      <c r="FC139" s="294">
        <v>-23140</v>
      </c>
      <c r="FD139" s="294">
        <v>-332</v>
      </c>
      <c r="FE139" s="294">
        <v>-145628</v>
      </c>
      <c r="FF139" s="294"/>
      <c r="FG139" s="294">
        <v>0</v>
      </c>
      <c r="FH139" s="294">
        <v>0</v>
      </c>
      <c r="FI139" s="294">
        <v>-238</v>
      </c>
      <c r="FJ139" s="294">
        <v>-40</v>
      </c>
      <c r="FK139" s="294"/>
      <c r="FL139" s="294">
        <v>-4154</v>
      </c>
      <c r="FM139" s="294">
        <v>-36340</v>
      </c>
      <c r="FN139" s="294">
        <v>-10720</v>
      </c>
      <c r="FO139" s="294"/>
      <c r="FP139" s="294"/>
      <c r="FQ139" s="294">
        <v>-374243</v>
      </c>
      <c r="FR139" s="294">
        <v>-150718.84</v>
      </c>
      <c r="FS139" s="294">
        <v>-13948</v>
      </c>
      <c r="FT139" s="294">
        <v>-21986</v>
      </c>
      <c r="FU139" s="294">
        <v>-43927.5</v>
      </c>
      <c r="FV139" s="294">
        <v>-2026</v>
      </c>
      <c r="FW139" s="294"/>
      <c r="FX139" s="294">
        <v>-25312</v>
      </c>
      <c r="FY139" s="294">
        <v>-9655</v>
      </c>
      <c r="FZ139" s="294">
        <v>-40335</v>
      </c>
      <c r="GA139" s="294">
        <v>-62417</v>
      </c>
      <c r="GB139" s="294">
        <v>-23187</v>
      </c>
      <c r="GC139" s="294">
        <v>-22543</v>
      </c>
      <c r="GD139" s="294"/>
      <c r="GE139" s="294">
        <v>0</v>
      </c>
      <c r="GF139" s="294"/>
      <c r="GG139" s="294">
        <v>-10683</v>
      </c>
      <c r="GH139" s="294">
        <v>18970</v>
      </c>
      <c r="GI139" s="294">
        <v>0</v>
      </c>
      <c r="GJ139" s="294">
        <v>-2676</v>
      </c>
      <c r="GK139" s="294"/>
      <c r="GL139" s="294">
        <v>-13010</v>
      </c>
      <c r="GM139" s="294">
        <v>0</v>
      </c>
      <c r="GN139" s="294"/>
      <c r="GO139" s="294"/>
      <c r="GP139" s="294"/>
      <c r="GQ139" s="294">
        <v>-43456.75</v>
      </c>
      <c r="GR139" s="294"/>
      <c r="GS139" s="294"/>
      <c r="GT139" s="294"/>
      <c r="GU139" s="294"/>
      <c r="GV139" s="294">
        <v>-376220</v>
      </c>
      <c r="GW139" s="294"/>
      <c r="GX139" s="294"/>
      <c r="GY139" s="294">
        <v>-49095</v>
      </c>
      <c r="GZ139" s="294"/>
      <c r="HA139" s="294">
        <v>-72</v>
      </c>
      <c r="HB139" s="294">
        <v>-27560</v>
      </c>
      <c r="HC139" s="294">
        <v>-718160</v>
      </c>
      <c r="HD139" s="294">
        <v>-2301706.2799999998</v>
      </c>
      <c r="HE139" s="294">
        <v>-727758.23</v>
      </c>
      <c r="HF139" s="294">
        <v>-577890</v>
      </c>
      <c r="HG139" s="294">
        <v>-984218</v>
      </c>
      <c r="HH139" s="294">
        <v>-225320</v>
      </c>
      <c r="HI139" s="294">
        <v>-1330</v>
      </c>
      <c r="HJ139" s="294">
        <v>-248716</v>
      </c>
      <c r="HK139" s="294">
        <v>-778156</v>
      </c>
      <c r="HL139" s="294">
        <v>-671592</v>
      </c>
      <c r="HM139" s="294">
        <v>-1179695.02</v>
      </c>
      <c r="HN139" s="294">
        <v>-353440</v>
      </c>
      <c r="HO139" s="294">
        <v>-203852.5</v>
      </c>
      <c r="HP139" s="294">
        <v>-983640</v>
      </c>
      <c r="HQ139" s="294">
        <v>-706396</v>
      </c>
      <c r="HR139" s="294">
        <v>-1915</v>
      </c>
      <c r="HS139" s="294">
        <v>-592</v>
      </c>
      <c r="HT139" s="294">
        <v>-260</v>
      </c>
      <c r="HU139" s="294">
        <v>-34996</v>
      </c>
      <c r="HV139" s="294">
        <v>-3439</v>
      </c>
      <c r="HW139" s="294"/>
      <c r="HX139" s="294">
        <v>-6313</v>
      </c>
      <c r="HY139" s="294">
        <v>-2862</v>
      </c>
      <c r="HZ139" s="294">
        <v>-508</v>
      </c>
      <c r="IA139" s="294">
        <v>-72</v>
      </c>
      <c r="IB139" s="294">
        <v>-130</v>
      </c>
      <c r="IC139" s="294">
        <v>-828</v>
      </c>
      <c r="ID139" s="294"/>
      <c r="IE139" s="294">
        <v>-1566</v>
      </c>
      <c r="IF139" s="294"/>
      <c r="IG139" s="294"/>
      <c r="IH139" s="294">
        <v>-1533922</v>
      </c>
      <c r="II139" s="294">
        <v>-118439.5</v>
      </c>
      <c r="IJ139" s="294">
        <v>-8048</v>
      </c>
      <c r="IK139" s="294">
        <v>-5220</v>
      </c>
      <c r="IL139" s="294">
        <v>-3081</v>
      </c>
      <c r="IM139" s="294">
        <v>-1920</v>
      </c>
      <c r="IN139" s="294">
        <v>-1300</v>
      </c>
      <c r="IO139" s="294">
        <v>-12686.73</v>
      </c>
      <c r="IP139" s="294">
        <v>-53247.5</v>
      </c>
      <c r="IQ139" s="294">
        <v>-86044.74</v>
      </c>
      <c r="IR139" s="294">
        <v>-81126</v>
      </c>
      <c r="IS139" s="294">
        <v>-56050</v>
      </c>
      <c r="IT139" s="294">
        <v>-7233.05</v>
      </c>
      <c r="IU139" s="294">
        <v>0</v>
      </c>
      <c r="IV139" s="294"/>
      <c r="IW139" s="294">
        <v>-190401</v>
      </c>
      <c r="IX139" s="294">
        <v>-3271</v>
      </c>
      <c r="IY139" s="294">
        <v>-686</v>
      </c>
      <c r="IZ139" s="294"/>
      <c r="JA139" s="294"/>
      <c r="JB139" s="294">
        <v>0</v>
      </c>
      <c r="JC139" s="294">
        <v>37776</v>
      </c>
      <c r="JD139" s="294"/>
      <c r="JE139" s="294">
        <v>-684</v>
      </c>
      <c r="JF139" s="294">
        <v>-22496</v>
      </c>
      <c r="JG139" s="294">
        <v>-1010</v>
      </c>
      <c r="JH139" s="294"/>
      <c r="JI139" s="294">
        <v>0</v>
      </c>
      <c r="JJ139" s="294">
        <v>-7160</v>
      </c>
      <c r="JK139" s="294">
        <v>-523591.5</v>
      </c>
      <c r="JL139" s="294">
        <v>0</v>
      </c>
      <c r="JM139" s="294"/>
      <c r="JN139" s="294">
        <v>-10522</v>
      </c>
      <c r="JO139" s="294">
        <v>-6720</v>
      </c>
      <c r="JP139" s="294"/>
      <c r="JQ139" s="294"/>
      <c r="JR139" s="294">
        <v>0</v>
      </c>
      <c r="JS139" s="294">
        <v>0</v>
      </c>
      <c r="JT139" s="294">
        <v>-22725</v>
      </c>
      <c r="JU139" s="294"/>
      <c r="JV139" s="294">
        <v>0</v>
      </c>
      <c r="JW139" s="294">
        <v>-10732.6</v>
      </c>
      <c r="JX139" s="294">
        <v>0</v>
      </c>
      <c r="JY139" s="294">
        <v>0</v>
      </c>
      <c r="JZ139" s="294">
        <v>0</v>
      </c>
      <c r="KA139" s="294">
        <v>-2200</v>
      </c>
      <c r="KB139" s="294">
        <v>0</v>
      </c>
      <c r="KC139" s="294">
        <v>-730</v>
      </c>
      <c r="KD139" s="294">
        <v>0</v>
      </c>
      <c r="KE139" s="294"/>
      <c r="KF139" s="294">
        <v>0</v>
      </c>
      <c r="KG139" s="294">
        <v>0</v>
      </c>
      <c r="KH139" s="294">
        <v>-1213642.5</v>
      </c>
      <c r="KI139" s="294">
        <v>-365978</v>
      </c>
      <c r="KJ139" s="294">
        <v>-190586</v>
      </c>
      <c r="KK139" s="294">
        <v>-306909</v>
      </c>
      <c r="KL139" s="294">
        <v>-26882</v>
      </c>
      <c r="KM139" s="294">
        <v>-150305</v>
      </c>
      <c r="KN139" s="294">
        <v>-44568</v>
      </c>
      <c r="KO139" s="294"/>
      <c r="KP139" s="294">
        <v>-4598</v>
      </c>
      <c r="KQ139" s="294">
        <v>-1659900</v>
      </c>
      <c r="KR139" s="294">
        <v>-1032</v>
      </c>
      <c r="KS139" s="294">
        <v>-1519</v>
      </c>
      <c r="KT139" s="294">
        <v>-7818</v>
      </c>
      <c r="KU139" s="294">
        <v>-34173</v>
      </c>
      <c r="KV139" s="294">
        <v>-351</v>
      </c>
      <c r="KW139" s="294">
        <v>-8957</v>
      </c>
      <c r="KX139" s="294">
        <v>-4852</v>
      </c>
      <c r="KY139" s="294">
        <v>-4620</v>
      </c>
      <c r="KZ139" s="294">
        <v>-117137</v>
      </c>
      <c r="LA139" s="294">
        <v>-108990</v>
      </c>
      <c r="LB139" s="294">
        <v>-83487</v>
      </c>
      <c r="LC139" s="294">
        <v>-36995</v>
      </c>
      <c r="LD139" s="294">
        <v>-28594</v>
      </c>
      <c r="LE139" s="294">
        <v>-210350</v>
      </c>
      <c r="LF139" s="294">
        <v>-110505</v>
      </c>
      <c r="LG139" s="294">
        <v>-1115973.57</v>
      </c>
      <c r="LH139" s="294">
        <v>-3716</v>
      </c>
      <c r="LI139" s="294">
        <v>-520616</v>
      </c>
      <c r="LJ139" s="294">
        <v>-102694.52</v>
      </c>
      <c r="LK139" s="294">
        <v>0</v>
      </c>
      <c r="LL139" s="294">
        <v>-254859</v>
      </c>
      <c r="LM139" s="294">
        <v>-177070</v>
      </c>
      <c r="LN139" s="294">
        <v>-205835.5</v>
      </c>
      <c r="LO139" s="294">
        <v>-21790</v>
      </c>
      <c r="LP139" s="294">
        <v>-315850.3</v>
      </c>
      <c r="LQ139" s="294">
        <v>0</v>
      </c>
      <c r="LR139" s="294">
        <v>-10368</v>
      </c>
      <c r="LS139" s="294"/>
      <c r="LT139" s="294"/>
      <c r="LU139" s="294">
        <v>-40108529.289999999</v>
      </c>
      <c r="LV139" s="294">
        <v>-312938.62</v>
      </c>
      <c r="LW139" s="294">
        <v>-13313629.449999999</v>
      </c>
      <c r="LX139" s="294">
        <v>-123539.18</v>
      </c>
      <c r="LY139" s="294">
        <v>-27869</v>
      </c>
      <c r="LZ139" s="294">
        <v>-36628.74</v>
      </c>
      <c r="MA139" s="294">
        <v>-440</v>
      </c>
      <c r="MB139" s="294">
        <v>-730</v>
      </c>
      <c r="MC139" s="294">
        <v>-55537</v>
      </c>
      <c r="MD139" s="294">
        <v>-36664</v>
      </c>
      <c r="ME139" s="294">
        <v>-591879</v>
      </c>
      <c r="MF139" s="294"/>
      <c r="MG139" s="294">
        <v>-13292</v>
      </c>
      <c r="MH139" s="294">
        <v>-1313242.1000000001</v>
      </c>
      <c r="MI139" s="294">
        <v>-10654</v>
      </c>
      <c r="MJ139" s="294">
        <v>-156834</v>
      </c>
      <c r="MK139" s="294">
        <v>-13290</v>
      </c>
      <c r="ML139" s="294">
        <v>-38633</v>
      </c>
      <c r="MM139" s="294">
        <v>-161199</v>
      </c>
      <c r="MN139" s="294">
        <v>-94461</v>
      </c>
      <c r="MO139" s="294">
        <v>-28305</v>
      </c>
      <c r="MP139" s="294">
        <v>-14308</v>
      </c>
      <c r="MQ139" s="294">
        <v>-5843</v>
      </c>
      <c r="MR139" s="294">
        <v>-28577</v>
      </c>
      <c r="MS139" s="294">
        <v>-189509</v>
      </c>
      <c r="MT139" s="294">
        <v>-1038316</v>
      </c>
      <c r="MU139" s="294">
        <v>-47820</v>
      </c>
      <c r="MV139" s="294">
        <v>-1441</v>
      </c>
      <c r="MW139" s="294">
        <v>-727514</v>
      </c>
      <c r="MX139" s="294">
        <v>-310752</v>
      </c>
      <c r="MY139" s="294">
        <v>-2244561</v>
      </c>
      <c r="MZ139" s="294">
        <v>-2094</v>
      </c>
      <c r="NA139" s="294">
        <v>-278095</v>
      </c>
      <c r="NB139" s="294">
        <v>-34050</v>
      </c>
      <c r="NC139" s="294">
        <v>-1738</v>
      </c>
      <c r="ND139" s="294">
        <v>-2692206.32</v>
      </c>
      <c r="NE139" s="294">
        <v>-2277225</v>
      </c>
      <c r="NF139" s="294">
        <v>-501661.33</v>
      </c>
      <c r="NG139" s="294">
        <v>-1385537</v>
      </c>
      <c r="NH139" s="294">
        <v>-582756</v>
      </c>
      <c r="NI139" s="294">
        <v>-723144</v>
      </c>
      <c r="NJ139" s="294">
        <v>-810283</v>
      </c>
      <c r="NK139" s="294">
        <v>-2117241.5</v>
      </c>
      <c r="NL139" s="294">
        <v>-3624</v>
      </c>
      <c r="NM139" s="294">
        <v>-779951</v>
      </c>
      <c r="NN139" s="294">
        <v>-1062825</v>
      </c>
      <c r="NO139" s="294">
        <v>-141115</v>
      </c>
      <c r="NP139" s="294">
        <v>-23084</v>
      </c>
      <c r="NQ139" s="294">
        <v>-27803</v>
      </c>
      <c r="NR139" s="294"/>
      <c r="NS139" s="294">
        <v>-5651</v>
      </c>
      <c r="NT139" s="294">
        <v>-5366</v>
      </c>
      <c r="NU139" s="294">
        <v>-902</v>
      </c>
      <c r="NV139" s="294">
        <v>-5878</v>
      </c>
      <c r="NW139" s="294">
        <v>-34752</v>
      </c>
      <c r="NX139" s="294">
        <v>-10527161.109999999</v>
      </c>
      <c r="NY139" s="294">
        <v>-61114</v>
      </c>
      <c r="NZ139" s="294">
        <v>-1554</v>
      </c>
      <c r="OA139" s="294">
        <v>-268326.55</v>
      </c>
      <c r="OB139" s="294">
        <v>0</v>
      </c>
      <c r="OC139" s="294"/>
      <c r="OD139" s="294">
        <v>-6885670.2000000002</v>
      </c>
      <c r="OE139" s="294">
        <v>-1920</v>
      </c>
      <c r="OF139" s="294">
        <v>-62752</v>
      </c>
      <c r="OG139" s="294">
        <v>66744</v>
      </c>
      <c r="OH139" s="294">
        <v>-100689.95</v>
      </c>
      <c r="OI139" s="294">
        <v>-303093.40000000002</v>
      </c>
      <c r="OJ139" s="294">
        <v>-717945.94</v>
      </c>
      <c r="OK139" s="294">
        <v>-168874.6</v>
      </c>
      <c r="OL139" s="294">
        <v>-13839192.199999999</v>
      </c>
      <c r="OM139" s="294">
        <v>-2739971.44</v>
      </c>
      <c r="ON139" s="294">
        <v>-474792</v>
      </c>
      <c r="OO139" s="294">
        <v>-12461819</v>
      </c>
      <c r="OP139" s="294">
        <v>-1097125</v>
      </c>
      <c r="OQ139" s="294">
        <v>-1100893</v>
      </c>
      <c r="OR139" s="294"/>
      <c r="OS139" s="294">
        <v>-734727</v>
      </c>
      <c r="OT139" s="294">
        <v>-78327</v>
      </c>
      <c r="OU139" s="294">
        <v>-436529.8</v>
      </c>
      <c r="OV139" s="294">
        <v>-442363.52</v>
      </c>
      <c r="OW139" s="294">
        <v>-717732</v>
      </c>
      <c r="OX139" s="294">
        <v>-2998194.99</v>
      </c>
      <c r="OY139" s="294">
        <v>-1737229.45</v>
      </c>
      <c r="OZ139" s="294">
        <v>-62292</v>
      </c>
      <c r="PA139" s="294">
        <v>0</v>
      </c>
      <c r="PB139" s="294">
        <v>-27201.8</v>
      </c>
      <c r="PC139" s="294"/>
      <c r="PD139" s="294"/>
      <c r="PE139" s="294"/>
      <c r="PF139" s="294">
        <v>-360</v>
      </c>
      <c r="PG139" s="294">
        <v>-93591.61</v>
      </c>
      <c r="PH139" s="294"/>
      <c r="PI139" s="294"/>
      <c r="PJ139" s="294"/>
      <c r="PK139" s="294"/>
      <c r="PL139" s="294">
        <v>-9560</v>
      </c>
      <c r="PM139" s="294">
        <v>-2850</v>
      </c>
      <c r="PN139" s="294"/>
      <c r="PO139" s="294"/>
      <c r="PP139" s="294"/>
      <c r="PQ139" s="294"/>
      <c r="PR139" s="294"/>
      <c r="PS139" s="294"/>
      <c r="PT139" s="294">
        <v>-20455</v>
      </c>
      <c r="PU139" s="294">
        <v>-113197.5</v>
      </c>
      <c r="PV139" s="294">
        <v>0</v>
      </c>
      <c r="PW139" s="294"/>
      <c r="PX139" s="294"/>
      <c r="PY139" s="294"/>
      <c r="PZ139" s="294">
        <v>-131447</v>
      </c>
      <c r="QA139" s="294">
        <v>0</v>
      </c>
      <c r="QB139" s="294">
        <v>-15092</v>
      </c>
      <c r="QC139" s="294"/>
      <c r="QD139" s="294">
        <v>-45962</v>
      </c>
      <c r="QE139" s="294"/>
      <c r="QF139" s="294"/>
      <c r="QG139" s="294">
        <v>0</v>
      </c>
      <c r="QH139" s="294">
        <v>-15978</v>
      </c>
      <c r="QI139" s="294">
        <v>-520</v>
      </c>
      <c r="QJ139" s="294"/>
      <c r="QK139" s="294"/>
      <c r="QL139" s="294">
        <v>-2552</v>
      </c>
      <c r="QM139" s="294"/>
      <c r="QN139" s="294"/>
      <c r="QO139" s="294"/>
      <c r="QP139" s="294">
        <v>0</v>
      </c>
      <c r="QQ139" s="294"/>
      <c r="QR139" s="294"/>
      <c r="QS139" s="294"/>
      <c r="QT139" s="294">
        <v>-44790.81</v>
      </c>
      <c r="QU139" s="294"/>
      <c r="QV139" s="294"/>
      <c r="QW139" s="294">
        <v>-686</v>
      </c>
      <c r="QX139" s="294"/>
      <c r="QY139" s="294">
        <v>-4928</v>
      </c>
      <c r="QZ139" s="294"/>
      <c r="RA139" s="294"/>
      <c r="RB139" s="294"/>
      <c r="RC139" s="294">
        <v>-982</v>
      </c>
      <c r="RD139" s="294">
        <v>-260</v>
      </c>
      <c r="RE139" s="294"/>
      <c r="RF139" s="294"/>
      <c r="RG139" s="294">
        <v>0</v>
      </c>
      <c r="RH139" s="294">
        <v>-5830</v>
      </c>
      <c r="RI139" s="294"/>
      <c r="RJ139" s="294"/>
      <c r="RK139" s="294"/>
      <c r="RL139" s="294"/>
      <c r="RM139" s="294">
        <v>-2340</v>
      </c>
      <c r="RN139" s="294"/>
      <c r="RO139" s="294">
        <v>-3460</v>
      </c>
      <c r="RP139" s="294"/>
      <c r="RQ139" s="294">
        <v>-520</v>
      </c>
      <c r="RR139" s="294"/>
      <c r="RS139" s="294">
        <v>-42</v>
      </c>
      <c r="RT139" s="294">
        <v>-260</v>
      </c>
      <c r="RU139" s="294"/>
      <c r="RV139" s="294"/>
      <c r="RW139" s="294"/>
      <c r="RX139" s="294"/>
      <c r="RY139" s="294"/>
      <c r="RZ139" s="294"/>
      <c r="SA139" s="294">
        <v>-190205</v>
      </c>
      <c r="SB139" s="294">
        <v>-39468</v>
      </c>
      <c r="SC139" s="294">
        <v>-121565</v>
      </c>
      <c r="SD139" s="294">
        <v>-16194</v>
      </c>
      <c r="SE139" s="294">
        <v>-25353</v>
      </c>
      <c r="SF139" s="294">
        <v>-185110</v>
      </c>
      <c r="SG139" s="294">
        <v>-49789</v>
      </c>
      <c r="SH139" s="294">
        <v>-78606</v>
      </c>
      <c r="SI139" s="294">
        <v>-4680</v>
      </c>
      <c r="SJ139" s="294">
        <v>-3110</v>
      </c>
      <c r="SK139" s="294">
        <v>-1820</v>
      </c>
      <c r="SL139" s="294">
        <v>-1540</v>
      </c>
      <c r="SM139" s="294">
        <v>-1260</v>
      </c>
      <c r="SN139" s="294"/>
      <c r="SO139" s="294"/>
      <c r="SP139" s="294">
        <v>-7380</v>
      </c>
      <c r="SQ139" s="294">
        <v>0</v>
      </c>
      <c r="SR139" s="294">
        <v>0</v>
      </c>
      <c r="SS139" s="294">
        <v>-7925</v>
      </c>
      <c r="ST139" s="294">
        <v>-18902</v>
      </c>
      <c r="SU139" s="294">
        <v>-230009</v>
      </c>
      <c r="SV139" s="294">
        <v>-130</v>
      </c>
      <c r="SW139" s="294">
        <v>-13596</v>
      </c>
      <c r="SX139" s="294">
        <v>-27646</v>
      </c>
      <c r="SY139" s="294">
        <v>-1200</v>
      </c>
      <c r="SZ139" s="294">
        <v>-9230</v>
      </c>
      <c r="TA139" s="294"/>
      <c r="TB139" s="294">
        <v>-35320</v>
      </c>
      <c r="TC139" s="294"/>
      <c r="TD139" s="294">
        <v>-7020</v>
      </c>
      <c r="TE139" s="294"/>
      <c r="TF139" s="294"/>
      <c r="TG139" s="294">
        <v>0</v>
      </c>
      <c r="TH139" s="294">
        <v>0</v>
      </c>
      <c r="TI139" s="294">
        <v>-1296</v>
      </c>
      <c r="TJ139" s="294">
        <v>-1920</v>
      </c>
      <c r="TK139" s="294"/>
      <c r="TL139" s="294">
        <v>-2340</v>
      </c>
      <c r="TM139" s="294">
        <v>-9832</v>
      </c>
      <c r="TN139" s="294">
        <v>-10726</v>
      </c>
      <c r="TO139" s="294"/>
      <c r="TP139" s="294">
        <v>-11260</v>
      </c>
      <c r="TQ139" s="294">
        <v>0</v>
      </c>
      <c r="TR139" s="294">
        <v>-5004</v>
      </c>
      <c r="TS139" s="294">
        <v>0</v>
      </c>
      <c r="TT139" s="294"/>
      <c r="TU139" s="294"/>
      <c r="TV139" s="294">
        <v>-225</v>
      </c>
      <c r="TW139" s="294">
        <v>-520</v>
      </c>
      <c r="TX139" s="294"/>
      <c r="TY139" s="294">
        <v>-50559</v>
      </c>
      <c r="TZ139" s="294">
        <v>-3370</v>
      </c>
      <c r="UA139" s="294">
        <v>-10062</v>
      </c>
      <c r="UB139" s="294">
        <v>-260</v>
      </c>
      <c r="UC139" s="294">
        <v>-22744.45</v>
      </c>
      <c r="UD139" s="294">
        <v>-16660</v>
      </c>
      <c r="UE139" s="294">
        <v>-426</v>
      </c>
      <c r="UF139" s="294"/>
      <c r="UG139" s="294"/>
      <c r="UH139" s="294"/>
      <c r="UI139" s="294"/>
      <c r="UJ139" s="294">
        <v>-9897.84</v>
      </c>
      <c r="UK139" s="294">
        <v>-16086</v>
      </c>
      <c r="UL139" s="294">
        <v>-4580</v>
      </c>
      <c r="UM139" s="294">
        <v>-6516</v>
      </c>
      <c r="UN139" s="294">
        <v>-4741</v>
      </c>
      <c r="UO139" s="294">
        <v>-85136</v>
      </c>
      <c r="UP139" s="294">
        <v>-509304</v>
      </c>
      <c r="UQ139" s="294">
        <v>-2060</v>
      </c>
      <c r="UR139" s="294"/>
      <c r="US139" s="294">
        <v>-205937.94</v>
      </c>
      <c r="UT139" s="294"/>
      <c r="UU139" s="294"/>
      <c r="UV139" s="294">
        <v>-126635</v>
      </c>
      <c r="UW139" s="294"/>
      <c r="UX139" s="294"/>
      <c r="UY139" s="294">
        <v>-720</v>
      </c>
      <c r="UZ139" s="294">
        <v>-780</v>
      </c>
      <c r="VA139" s="294"/>
      <c r="VB139" s="294">
        <v>-45715</v>
      </c>
      <c r="VC139" s="294">
        <v>0</v>
      </c>
      <c r="VD139" s="294"/>
      <c r="VE139" s="294"/>
      <c r="VF139" s="294">
        <v>-6720</v>
      </c>
      <c r="VG139" s="294">
        <v>-720</v>
      </c>
      <c r="VH139" s="294">
        <v>-2304</v>
      </c>
      <c r="VI139" s="294">
        <v>-4360</v>
      </c>
      <c r="VJ139" s="294"/>
      <c r="VK139" s="294"/>
      <c r="VL139" s="294">
        <v>-4012</v>
      </c>
      <c r="VM139" s="294">
        <v>-16962</v>
      </c>
      <c r="VN139" s="294"/>
      <c r="VO139" s="294"/>
      <c r="VP139" s="294">
        <v>-130</v>
      </c>
      <c r="VQ139" s="294">
        <v>-142228</v>
      </c>
      <c r="VR139" s="294">
        <v>-260</v>
      </c>
      <c r="VS139" s="294">
        <v>-260</v>
      </c>
      <c r="VT139" s="294">
        <v>-4563</v>
      </c>
      <c r="VU139" s="294">
        <v>-1983</v>
      </c>
      <c r="VV139" s="294">
        <v>0</v>
      </c>
      <c r="VW139" s="294">
        <v>0</v>
      </c>
      <c r="VX139" s="294">
        <v>-11106</v>
      </c>
      <c r="VY139" s="294">
        <v>0</v>
      </c>
      <c r="VZ139" s="294"/>
      <c r="WA139" s="294"/>
      <c r="WB139" s="294">
        <v>-1503</v>
      </c>
      <c r="WC139" s="294">
        <v>-4133</v>
      </c>
      <c r="WD139" s="294">
        <v>-28581.49</v>
      </c>
      <c r="WE139" s="294"/>
      <c r="WF139" s="294"/>
      <c r="WG139" s="294">
        <v>-2184</v>
      </c>
      <c r="WH139" s="294">
        <v>-95743</v>
      </c>
      <c r="WI139" s="294"/>
      <c r="WJ139" s="294">
        <v>-31227.35</v>
      </c>
      <c r="WK139" s="294">
        <v>-520</v>
      </c>
      <c r="WL139" s="294">
        <v>-296</v>
      </c>
      <c r="WM139" s="294">
        <v>0</v>
      </c>
      <c r="WN139" s="294">
        <v>-9135</v>
      </c>
      <c r="WO139" s="294">
        <v>-780</v>
      </c>
      <c r="WP139" s="294"/>
      <c r="WQ139" s="294">
        <v>-390</v>
      </c>
      <c r="WR139" s="294">
        <v>-12008</v>
      </c>
      <c r="WS139" s="294">
        <v>-114</v>
      </c>
      <c r="WT139" s="294">
        <v>-296</v>
      </c>
      <c r="WU139" s="294">
        <v>-41621.5</v>
      </c>
      <c r="WV139" s="294">
        <v>0</v>
      </c>
      <c r="WW139" s="294"/>
      <c r="WX139" s="294">
        <v>-1245</v>
      </c>
      <c r="WY139" s="294">
        <v>-9538.25</v>
      </c>
      <c r="WZ139" s="294"/>
      <c r="XA139" s="294">
        <v>0</v>
      </c>
      <c r="XB139" s="294"/>
      <c r="XC139" s="294">
        <v>0</v>
      </c>
      <c r="XD139" s="294">
        <v>-898</v>
      </c>
      <c r="XE139" s="294">
        <v>-31980</v>
      </c>
      <c r="XF139" s="294">
        <v>0</v>
      </c>
      <c r="XG139" s="294">
        <v>-5281</v>
      </c>
      <c r="XH139" s="294"/>
      <c r="XI139" s="294"/>
      <c r="XJ139" s="294"/>
      <c r="XK139" s="294"/>
      <c r="XL139" s="294"/>
      <c r="XM139" s="294"/>
      <c r="XN139" s="294"/>
      <c r="XO139" s="294"/>
      <c r="XP139" s="294"/>
      <c r="XQ139" s="294"/>
      <c r="XR139" s="294"/>
      <c r="XS139" s="294"/>
      <c r="XT139" s="294"/>
      <c r="XU139" s="294"/>
      <c r="XV139" s="294"/>
      <c r="XW139" s="294"/>
      <c r="XX139" s="294"/>
      <c r="XY139" s="294"/>
      <c r="XZ139" s="294"/>
      <c r="YA139" s="294"/>
      <c r="YB139" s="294"/>
      <c r="YC139" s="294"/>
      <c r="YD139" s="294"/>
      <c r="YE139" s="294">
        <v>0</v>
      </c>
      <c r="YF139" s="294"/>
      <c r="YG139" s="294"/>
      <c r="YH139" s="294"/>
      <c r="YI139" s="294"/>
      <c r="YJ139" s="294"/>
      <c r="YK139" s="294"/>
      <c r="YL139" s="294"/>
      <c r="YM139" s="294"/>
      <c r="YN139" s="294"/>
      <c r="YO139" s="294"/>
      <c r="YP139" s="294"/>
      <c r="YQ139" s="294"/>
      <c r="YR139" s="294"/>
      <c r="YS139" s="294"/>
      <c r="YT139" s="294"/>
      <c r="YU139" s="294"/>
      <c r="YV139" s="294">
        <v>-135982</v>
      </c>
      <c r="YW139" s="294">
        <v>-52511</v>
      </c>
      <c r="YX139" s="294"/>
      <c r="YY139" s="294"/>
      <c r="YZ139" s="294">
        <v>-57945</v>
      </c>
      <c r="ZA139" s="294"/>
      <c r="ZB139" s="294">
        <v>-5400</v>
      </c>
      <c r="ZC139" s="294">
        <v>-12935.51</v>
      </c>
      <c r="ZD139" s="294"/>
      <c r="ZE139" s="294"/>
      <c r="ZF139" s="294"/>
      <c r="ZG139" s="294"/>
      <c r="ZH139" s="294"/>
      <c r="ZI139" s="294"/>
      <c r="ZJ139" s="294"/>
      <c r="ZK139" s="294"/>
      <c r="ZL139" s="294">
        <v>-360066.43</v>
      </c>
      <c r="ZM139" s="294"/>
      <c r="ZN139" s="294">
        <v>-5284</v>
      </c>
      <c r="ZO139" s="294"/>
      <c r="ZP139" s="294"/>
      <c r="ZQ139" s="294"/>
      <c r="ZR139" s="294"/>
      <c r="ZS139" s="294"/>
      <c r="ZT139" s="294">
        <v>-3186</v>
      </c>
      <c r="ZU139" s="294"/>
      <c r="ZV139" s="294"/>
      <c r="ZW139" s="294">
        <v>-2608</v>
      </c>
      <c r="ZX139" s="294"/>
      <c r="ZY139" s="294"/>
      <c r="ZZ139" s="294"/>
      <c r="AAA139" s="294"/>
      <c r="AAB139" s="294">
        <v>-2340</v>
      </c>
      <c r="AAC139" s="294"/>
      <c r="AAD139" s="294"/>
      <c r="AAE139" s="294"/>
      <c r="AAF139" s="294">
        <v>-1300</v>
      </c>
      <c r="AAG139" s="294"/>
      <c r="AAH139" s="294"/>
      <c r="AAI139" s="294"/>
      <c r="AAJ139" s="294"/>
      <c r="AAK139" s="294">
        <v>-21472</v>
      </c>
      <c r="AAL139" s="294"/>
      <c r="AAM139" s="294"/>
      <c r="AAN139" s="294">
        <v>-960</v>
      </c>
      <c r="AAO139" s="294">
        <v>0</v>
      </c>
      <c r="AAP139" s="294"/>
      <c r="AAQ139" s="294">
        <v>-2200</v>
      </c>
      <c r="AAR139" s="294">
        <v>-4300</v>
      </c>
      <c r="AAS139" s="294">
        <v>0</v>
      </c>
      <c r="AAT139" s="294"/>
      <c r="AAU139" s="294">
        <v>-4765</v>
      </c>
      <c r="AAV139" s="294">
        <v>-3200</v>
      </c>
      <c r="AAW139" s="294">
        <v>-3200</v>
      </c>
      <c r="AAX139" s="294"/>
      <c r="AAY139" s="294"/>
      <c r="AAZ139" s="294">
        <v>-220425</v>
      </c>
      <c r="ABA139" s="294">
        <v>0</v>
      </c>
      <c r="ABB139" s="294">
        <v>-552</v>
      </c>
      <c r="ABC139" s="294">
        <v>-4400</v>
      </c>
      <c r="ABD139" s="294">
        <v>-3200</v>
      </c>
      <c r="ABE139" s="294">
        <v>3200</v>
      </c>
      <c r="ABF139" s="294"/>
      <c r="ABG139" s="294">
        <v>-9600</v>
      </c>
      <c r="ABH139" s="294"/>
      <c r="ABI139" s="294">
        <v>-1040</v>
      </c>
      <c r="ABJ139" s="294"/>
      <c r="ABK139" s="294">
        <v>-9753.7000000000007</v>
      </c>
      <c r="ABL139" s="294">
        <v>0</v>
      </c>
      <c r="ABM139" s="294">
        <v>0</v>
      </c>
      <c r="ABN139" s="294"/>
      <c r="ABO139" s="294">
        <v>-1608</v>
      </c>
      <c r="ABP139" s="294">
        <v>-73529</v>
      </c>
      <c r="ABQ139" s="294"/>
      <c r="ABR139" s="294">
        <v>-7120</v>
      </c>
      <c r="ABS139" s="294">
        <v>-4362</v>
      </c>
      <c r="ABT139" s="294">
        <v>-151014</v>
      </c>
      <c r="ABU139" s="294">
        <v>-4489</v>
      </c>
      <c r="ABV139" s="294">
        <v>-3724</v>
      </c>
      <c r="ABW139" s="294"/>
      <c r="ABX139" s="294">
        <v>-1620838.65</v>
      </c>
      <c r="ABY139" s="294">
        <v>-172522</v>
      </c>
      <c r="ABZ139" s="294">
        <v>-449678.4</v>
      </c>
      <c r="ACA139" s="294">
        <v>-328554</v>
      </c>
      <c r="ACB139" s="294">
        <v>-21753.5</v>
      </c>
      <c r="ACC139" s="294">
        <v>-21848</v>
      </c>
      <c r="ACD139" s="294">
        <v>-340047</v>
      </c>
      <c r="ACE139" s="294">
        <v>260</v>
      </c>
      <c r="ACF139" s="294">
        <v>-144</v>
      </c>
      <c r="ACG139" s="294">
        <v>-66241</v>
      </c>
      <c r="ACH139" s="294">
        <v>-587474</v>
      </c>
      <c r="ACI139" s="294">
        <v>-3226953.56</v>
      </c>
      <c r="ACJ139" s="294">
        <v>0</v>
      </c>
      <c r="ACK139" s="294">
        <v>-340</v>
      </c>
      <c r="ACL139" s="294">
        <v>-2700</v>
      </c>
      <c r="ACM139" s="294">
        <v>-58866</v>
      </c>
      <c r="ACN139" s="294"/>
      <c r="ACO139" s="294">
        <v>0</v>
      </c>
      <c r="ACP139" s="294">
        <v>0</v>
      </c>
      <c r="ACQ139" s="294">
        <v>-362255</v>
      </c>
      <c r="ACR139" s="294">
        <v>-43137</v>
      </c>
      <c r="ACS139" s="294">
        <v>-897853</v>
      </c>
      <c r="ACT139" s="294">
        <v>-45168.52</v>
      </c>
      <c r="ACU139" s="294">
        <v>0</v>
      </c>
      <c r="ACV139" s="294">
        <v>-7008</v>
      </c>
      <c r="ACW139" s="294">
        <v>-283302</v>
      </c>
      <c r="ACX139" s="294">
        <v>-2860</v>
      </c>
      <c r="ACY139" s="294"/>
      <c r="ACZ139" s="294">
        <v>-101662</v>
      </c>
      <c r="ADA139" s="294">
        <v>-73</v>
      </c>
      <c r="ADB139" s="294"/>
      <c r="ADC139" s="294"/>
      <c r="ADD139" s="294"/>
      <c r="ADE139" s="294"/>
      <c r="ADF139" s="294">
        <v>-297370.78000000003</v>
      </c>
      <c r="ADG139" s="294"/>
      <c r="ADH139" s="294">
        <v>-424337</v>
      </c>
      <c r="ADI139" s="294">
        <v>-35358</v>
      </c>
      <c r="ADJ139" s="294">
        <v>-555557</v>
      </c>
      <c r="ADK139" s="294">
        <v>-9126044</v>
      </c>
      <c r="ADL139" s="294">
        <v>-65239</v>
      </c>
      <c r="ADM139" s="294">
        <v>-503368</v>
      </c>
      <c r="ADN139" s="294">
        <v>-322077</v>
      </c>
      <c r="ADO139" s="294">
        <v>-5461314</v>
      </c>
      <c r="ADP139" s="294">
        <v>-197039</v>
      </c>
      <c r="ADQ139" s="294">
        <v>-471571</v>
      </c>
      <c r="ADR139" s="294"/>
      <c r="ADS139" s="294">
        <v>0</v>
      </c>
      <c r="ADT139" s="294">
        <v>-6581</v>
      </c>
      <c r="ADU139" s="294">
        <v>-18545</v>
      </c>
      <c r="ADV139" s="294">
        <v>-78154</v>
      </c>
      <c r="ADW139" s="294">
        <v>-202</v>
      </c>
      <c r="ADX139" s="294">
        <v>-31980</v>
      </c>
      <c r="ADY139" s="294">
        <v>-403502.61</v>
      </c>
      <c r="ADZ139" s="294">
        <v>-2209931.4</v>
      </c>
      <c r="AEA139" s="294">
        <v>-1486.5</v>
      </c>
      <c r="AEB139" s="294">
        <v>-559831</v>
      </c>
      <c r="AEC139" s="294">
        <v>-1316</v>
      </c>
      <c r="AED139" s="294">
        <v>-473981</v>
      </c>
      <c r="AEE139" s="294">
        <v>-2261</v>
      </c>
      <c r="AEF139" s="294">
        <v>-114635.25</v>
      </c>
      <c r="AEG139" s="294">
        <v>-70504.320000000007</v>
      </c>
      <c r="AEH139" s="294">
        <v>-400508.8</v>
      </c>
      <c r="AEI139" s="294">
        <v>0</v>
      </c>
      <c r="AEJ139" s="294">
        <v>-887812.99</v>
      </c>
      <c r="AEK139" s="294"/>
      <c r="AEL139" s="294">
        <v>0</v>
      </c>
      <c r="AEM139" s="294">
        <v>-369</v>
      </c>
      <c r="AEN139" s="294">
        <v>-1277355.5900000001</v>
      </c>
      <c r="AEO139" s="294">
        <v>-1477</v>
      </c>
      <c r="AEP139" s="294">
        <v>-11007.5</v>
      </c>
      <c r="AEQ139" s="294">
        <v>-22052</v>
      </c>
      <c r="AER139" s="294">
        <v>-4290272</v>
      </c>
      <c r="AES139" s="294">
        <v>-5798</v>
      </c>
      <c r="AET139" s="294">
        <v>-23842</v>
      </c>
      <c r="AEU139" s="294">
        <v>-3574</v>
      </c>
      <c r="AEV139" s="294">
        <v>-1726</v>
      </c>
      <c r="AEW139" s="294">
        <v>-31335</v>
      </c>
      <c r="AEX139" s="294">
        <v>-409092.97</v>
      </c>
      <c r="AEY139" s="294">
        <v>-2002</v>
      </c>
      <c r="AEZ139" s="294">
        <v>-98194.5</v>
      </c>
      <c r="AFA139" s="294">
        <v>-18011</v>
      </c>
      <c r="AFB139" s="294">
        <v>-537</v>
      </c>
      <c r="AFC139" s="294">
        <v>-37343</v>
      </c>
      <c r="AFD139" s="294">
        <v>-332</v>
      </c>
      <c r="AFE139" s="294">
        <v>-8645</v>
      </c>
      <c r="AFF139" s="294"/>
      <c r="AFG139" s="294"/>
      <c r="AFH139" s="294">
        <v>-11684</v>
      </c>
      <c r="AFI139" s="294"/>
      <c r="AFJ139" s="294">
        <v>-2068</v>
      </c>
      <c r="AFK139" s="294"/>
      <c r="AFL139" s="294">
        <v>0</v>
      </c>
      <c r="AFM139" s="294"/>
      <c r="AFN139" s="294"/>
      <c r="AFO139" s="294">
        <v>-780</v>
      </c>
      <c r="AFP139" s="294">
        <v>-691929.58</v>
      </c>
      <c r="AFQ139" s="294">
        <v>-95</v>
      </c>
      <c r="AFR139" s="294">
        <v>-3376</v>
      </c>
      <c r="AFS139" s="294">
        <v>0</v>
      </c>
      <c r="AFT139" s="294"/>
      <c r="AFU139" s="294"/>
      <c r="AFV139" s="294"/>
      <c r="AFW139" s="294">
        <v>-41316</v>
      </c>
      <c r="AFX139" s="294"/>
      <c r="AFY139" s="294"/>
      <c r="AFZ139" s="294">
        <v>-12040</v>
      </c>
      <c r="AGA139" s="294"/>
      <c r="AGB139" s="294">
        <v>-28485</v>
      </c>
      <c r="AGC139" s="294"/>
      <c r="AGD139" s="294"/>
      <c r="AGE139" s="294"/>
      <c r="AGF139" s="294">
        <v>-41600</v>
      </c>
      <c r="AGG139" s="294"/>
      <c r="AGH139" s="294"/>
      <c r="AGI139" s="294">
        <v>0</v>
      </c>
      <c r="AGJ139" s="294"/>
      <c r="AGK139" s="294">
        <v>-2910</v>
      </c>
      <c r="AGL139" s="294">
        <v>-1200</v>
      </c>
      <c r="AGM139" s="294">
        <v>-452700</v>
      </c>
      <c r="AGN139" s="294">
        <v>-219265.5</v>
      </c>
      <c r="AGO139" s="294"/>
      <c r="AGP139" s="294"/>
      <c r="AGQ139" s="294"/>
      <c r="AGR139" s="294"/>
      <c r="AGS139" s="294">
        <v>0</v>
      </c>
      <c r="AGT139" s="294"/>
      <c r="AGU139" s="294">
        <v>-1100581</v>
      </c>
      <c r="AGV139" s="294">
        <v>-531335</v>
      </c>
      <c r="AGW139" s="294">
        <v>-16146</v>
      </c>
      <c r="AGX139" s="294"/>
      <c r="AGY139" s="294">
        <v>-1732</v>
      </c>
      <c r="AGZ139" s="294">
        <v>-39672</v>
      </c>
      <c r="AHA139" s="294">
        <v>-48248</v>
      </c>
      <c r="AHB139" s="294">
        <v>-40891</v>
      </c>
      <c r="AHC139" s="294">
        <v>0</v>
      </c>
      <c r="AHD139" s="294">
        <v>-17891.12</v>
      </c>
      <c r="AHE139" s="294">
        <v>-60909</v>
      </c>
      <c r="AHF139" s="294">
        <v>-419377</v>
      </c>
      <c r="AHG139" s="294">
        <v>-61796</v>
      </c>
      <c r="AHH139" s="294">
        <v>-3985</v>
      </c>
      <c r="AHI139" s="294">
        <v>-579</v>
      </c>
      <c r="AHJ139" s="294">
        <v>-143137</v>
      </c>
      <c r="AHK139" s="294">
        <v>-72</v>
      </c>
      <c r="AHL139" s="294">
        <v>-2366</v>
      </c>
      <c r="AHM139" s="294">
        <v>0</v>
      </c>
      <c r="AHN139" s="294"/>
      <c r="AHO139" s="294">
        <v>0</v>
      </c>
      <c r="AHP139" s="294">
        <v>-248394.75</v>
      </c>
      <c r="AHQ139" s="294">
        <v>0</v>
      </c>
      <c r="AHR139" s="331"/>
      <c r="AHS139" s="294">
        <f t="shared" si="55"/>
        <v>-245686683.47000012</v>
      </c>
      <c r="AHT139" s="269" t="b">
        <f t="shared" si="54"/>
        <v>1</v>
      </c>
      <c r="AHU139" s="269" t="s">
        <v>6278</v>
      </c>
      <c r="AHV139" s="269" t="s">
        <v>6220</v>
      </c>
      <c r="AHW139" s="269" t="s">
        <v>6221</v>
      </c>
    </row>
    <row r="140" spans="1:907" ht="24.6" x14ac:dyDescent="0.7">
      <c r="A140" s="268" t="s">
        <v>6278</v>
      </c>
      <c r="B140" s="268" t="s">
        <v>6222</v>
      </c>
      <c r="C140" s="269" t="s">
        <v>6223</v>
      </c>
      <c r="D140" s="294">
        <v>-19281</v>
      </c>
      <c r="E140" s="294">
        <v>-3864</v>
      </c>
      <c r="F140" s="294">
        <v>-49383</v>
      </c>
      <c r="G140" s="294">
        <v>0</v>
      </c>
      <c r="H140" s="294">
        <v>-5110</v>
      </c>
      <c r="I140" s="294">
        <v>-8610</v>
      </c>
      <c r="J140" s="294"/>
      <c r="K140" s="294">
        <v>-4662</v>
      </c>
      <c r="L140" s="294">
        <v>-182</v>
      </c>
      <c r="M140" s="294">
        <v>-3200</v>
      </c>
      <c r="N140" s="294">
        <v>-6671</v>
      </c>
      <c r="O140" s="294">
        <v>-2915</v>
      </c>
      <c r="P140" s="294">
        <v>-1778</v>
      </c>
      <c r="Q140" s="294">
        <v>-8332</v>
      </c>
      <c r="R140" s="294"/>
      <c r="S140" s="294"/>
      <c r="T140" s="294">
        <v>-8708</v>
      </c>
      <c r="U140" s="294">
        <v>-6897</v>
      </c>
      <c r="V140" s="294"/>
      <c r="W140" s="294">
        <v>-4970</v>
      </c>
      <c r="X140" s="294">
        <v>-1266</v>
      </c>
      <c r="Y140" s="294">
        <v>-6494</v>
      </c>
      <c r="Z140" s="294">
        <v>-54129.93</v>
      </c>
      <c r="AA140" s="294">
        <v>-2576</v>
      </c>
      <c r="AB140" s="294">
        <v>-719015</v>
      </c>
      <c r="AC140" s="294">
        <v>-778201</v>
      </c>
      <c r="AD140" s="294">
        <v>-11826</v>
      </c>
      <c r="AE140" s="294">
        <v>-177168</v>
      </c>
      <c r="AF140" s="294">
        <v>-9285</v>
      </c>
      <c r="AG140" s="294">
        <v>-13706</v>
      </c>
      <c r="AH140" s="294">
        <v>-69464</v>
      </c>
      <c r="AI140" s="294">
        <v>-2994072</v>
      </c>
      <c r="AJ140" s="294">
        <v>-88417</v>
      </c>
      <c r="AK140" s="294">
        <v>-2100</v>
      </c>
      <c r="AL140" s="294">
        <v>-22740</v>
      </c>
      <c r="AM140" s="294">
        <v>-72379</v>
      </c>
      <c r="AN140" s="294">
        <v>-700</v>
      </c>
      <c r="AO140" s="294">
        <v>-58738</v>
      </c>
      <c r="AP140" s="294">
        <v>-11186</v>
      </c>
      <c r="AQ140" s="294">
        <v>-3774</v>
      </c>
      <c r="AR140" s="294">
        <v>-208598</v>
      </c>
      <c r="AS140" s="294"/>
      <c r="AT140" s="294">
        <v>-2900</v>
      </c>
      <c r="AU140" s="294">
        <v>-700</v>
      </c>
      <c r="AV140" s="294"/>
      <c r="AW140" s="294">
        <v>-13485</v>
      </c>
      <c r="AX140" s="294"/>
      <c r="AY140" s="294"/>
      <c r="AZ140" s="294"/>
      <c r="BA140" s="294"/>
      <c r="BB140" s="294">
        <v>0</v>
      </c>
      <c r="BC140" s="294"/>
      <c r="BD140" s="294"/>
      <c r="BE140" s="294"/>
      <c r="BF140" s="294"/>
      <c r="BG140" s="294"/>
      <c r="BH140" s="294"/>
      <c r="BI140" s="294"/>
      <c r="BJ140" s="294"/>
      <c r="BK140" s="294">
        <v>-7682.4</v>
      </c>
      <c r="BL140" s="294"/>
      <c r="BM140" s="294">
        <v>-771</v>
      </c>
      <c r="BN140" s="294"/>
      <c r="BO140" s="294">
        <v>0</v>
      </c>
      <c r="BP140" s="294"/>
      <c r="BQ140" s="294"/>
      <c r="BR140" s="294">
        <v>-1541</v>
      </c>
      <c r="BS140" s="294"/>
      <c r="BT140" s="294"/>
      <c r="BU140" s="294"/>
      <c r="BV140" s="294">
        <v>-4900</v>
      </c>
      <c r="BW140" s="294"/>
      <c r="BX140" s="294">
        <v>-700</v>
      </c>
      <c r="BY140" s="294">
        <v>-12153</v>
      </c>
      <c r="BZ140" s="294">
        <v>-909.32</v>
      </c>
      <c r="CA140" s="294"/>
      <c r="CB140" s="294"/>
      <c r="CC140" s="294"/>
      <c r="CD140" s="294"/>
      <c r="CE140" s="294">
        <v>-1400</v>
      </c>
      <c r="CF140" s="294">
        <v>-1058</v>
      </c>
      <c r="CG140" s="294">
        <v>-14896</v>
      </c>
      <c r="CH140" s="294">
        <v>0</v>
      </c>
      <c r="CI140" s="294">
        <v>0</v>
      </c>
      <c r="CJ140" s="294"/>
      <c r="CK140" s="294">
        <v>-700</v>
      </c>
      <c r="CL140" s="294">
        <v>0</v>
      </c>
      <c r="CM140" s="294"/>
      <c r="CN140" s="294">
        <v>0</v>
      </c>
      <c r="CO140" s="294"/>
      <c r="CP140" s="294">
        <v>-700</v>
      </c>
      <c r="CQ140" s="294"/>
      <c r="CR140" s="294">
        <v>-3178</v>
      </c>
      <c r="CS140" s="294">
        <v>0</v>
      </c>
      <c r="CT140" s="294">
        <v>-3415</v>
      </c>
      <c r="CU140" s="294">
        <v>-6946</v>
      </c>
      <c r="CV140" s="294">
        <v>-200202</v>
      </c>
      <c r="CW140" s="294"/>
      <c r="CX140" s="294">
        <v>0</v>
      </c>
      <c r="CY140" s="294">
        <v>-1568</v>
      </c>
      <c r="CZ140" s="294">
        <v>-30954</v>
      </c>
      <c r="DA140" s="294">
        <v>-1948</v>
      </c>
      <c r="DB140" s="294">
        <v>-10245</v>
      </c>
      <c r="DC140" s="294">
        <v>-47795</v>
      </c>
      <c r="DD140" s="294">
        <v>-1272</v>
      </c>
      <c r="DE140" s="294">
        <v>0</v>
      </c>
      <c r="DF140" s="294">
        <v>-132677</v>
      </c>
      <c r="DG140" s="294">
        <v>-11520</v>
      </c>
      <c r="DH140" s="294">
        <v>-15428</v>
      </c>
      <c r="DI140" s="294">
        <v>-303484.21999999997</v>
      </c>
      <c r="DJ140" s="294">
        <v>-4945</v>
      </c>
      <c r="DK140" s="294">
        <v>-86617</v>
      </c>
      <c r="DL140" s="294">
        <v>-2907</v>
      </c>
      <c r="DM140" s="294">
        <v>-700</v>
      </c>
      <c r="DN140" s="294">
        <v>-30677</v>
      </c>
      <c r="DO140" s="294">
        <v>-11249</v>
      </c>
      <c r="DP140" s="294">
        <v>0</v>
      </c>
      <c r="DQ140" s="294">
        <v>-178437</v>
      </c>
      <c r="DR140" s="294">
        <v>-4166</v>
      </c>
      <c r="DS140" s="294">
        <v>-4004</v>
      </c>
      <c r="DT140" s="294">
        <v>-3025</v>
      </c>
      <c r="DU140" s="294">
        <v>-115</v>
      </c>
      <c r="DV140" s="294">
        <v>-26600</v>
      </c>
      <c r="DW140" s="294">
        <v>-4978</v>
      </c>
      <c r="DX140" s="294"/>
      <c r="DY140" s="294"/>
      <c r="DZ140" s="294">
        <v>-1246</v>
      </c>
      <c r="EA140" s="294"/>
      <c r="EB140" s="294"/>
      <c r="EC140" s="294">
        <v>-700</v>
      </c>
      <c r="ED140" s="294"/>
      <c r="EE140" s="294">
        <v>-1463</v>
      </c>
      <c r="EF140" s="294">
        <v>0</v>
      </c>
      <c r="EG140" s="294">
        <v>-3087</v>
      </c>
      <c r="EH140" s="294">
        <v>0</v>
      </c>
      <c r="EI140" s="294">
        <v>-18812</v>
      </c>
      <c r="EJ140" s="294">
        <v>-7107</v>
      </c>
      <c r="EK140" s="294">
        <v>-49748</v>
      </c>
      <c r="EL140" s="294">
        <v>-350</v>
      </c>
      <c r="EM140" s="294"/>
      <c r="EN140" s="294">
        <v>-408102.86</v>
      </c>
      <c r="EO140" s="294"/>
      <c r="EP140" s="294"/>
      <c r="EQ140" s="294"/>
      <c r="ER140" s="294"/>
      <c r="ES140" s="294"/>
      <c r="ET140" s="294"/>
      <c r="EU140" s="294"/>
      <c r="EV140" s="294"/>
      <c r="EW140" s="294">
        <v>-3201</v>
      </c>
      <c r="EX140" s="294"/>
      <c r="EY140" s="294">
        <v>-700</v>
      </c>
      <c r="EZ140" s="294">
        <v>0</v>
      </c>
      <c r="FA140" s="294">
        <v>0</v>
      </c>
      <c r="FB140" s="294">
        <v>-21429</v>
      </c>
      <c r="FC140" s="294">
        <v>-7728</v>
      </c>
      <c r="FD140" s="294">
        <v>-728</v>
      </c>
      <c r="FE140" s="294">
        <v>-42788.71</v>
      </c>
      <c r="FF140" s="294"/>
      <c r="FG140" s="294">
        <v>0</v>
      </c>
      <c r="FH140" s="294">
        <v>0</v>
      </c>
      <c r="FI140" s="294">
        <v>-392</v>
      </c>
      <c r="FJ140" s="294">
        <v>-1400</v>
      </c>
      <c r="FK140" s="294"/>
      <c r="FL140" s="294">
        <v>-13172</v>
      </c>
      <c r="FM140" s="294">
        <v>-7820</v>
      </c>
      <c r="FN140" s="294">
        <v>-28196</v>
      </c>
      <c r="FO140" s="294"/>
      <c r="FP140" s="294"/>
      <c r="FQ140" s="294">
        <v>-19955</v>
      </c>
      <c r="FR140" s="294"/>
      <c r="FS140" s="294">
        <v>-6790</v>
      </c>
      <c r="FT140" s="294">
        <v>-2100</v>
      </c>
      <c r="FU140" s="294">
        <v>-32091</v>
      </c>
      <c r="FV140" s="294">
        <v>-44498</v>
      </c>
      <c r="FW140" s="294">
        <v>-47870</v>
      </c>
      <c r="FX140" s="294">
        <v>-1400</v>
      </c>
      <c r="FY140" s="294">
        <v>-700</v>
      </c>
      <c r="FZ140" s="294">
        <v>-21464</v>
      </c>
      <c r="GA140" s="294">
        <v>-14796</v>
      </c>
      <c r="GB140" s="294">
        <v>0</v>
      </c>
      <c r="GC140" s="294">
        <v>-7745.23</v>
      </c>
      <c r="GD140" s="294"/>
      <c r="GE140" s="294">
        <v>0</v>
      </c>
      <c r="GF140" s="294"/>
      <c r="GG140" s="294">
        <v>0</v>
      </c>
      <c r="GH140" s="294">
        <v>-42894.63</v>
      </c>
      <c r="GI140" s="294">
        <v>0</v>
      </c>
      <c r="GJ140" s="294">
        <v>-8386</v>
      </c>
      <c r="GK140" s="294"/>
      <c r="GL140" s="294">
        <v>-10150</v>
      </c>
      <c r="GM140" s="294">
        <v>0</v>
      </c>
      <c r="GN140" s="294"/>
      <c r="GO140" s="294"/>
      <c r="GP140" s="294"/>
      <c r="GQ140" s="294">
        <v>-6400</v>
      </c>
      <c r="GR140" s="294"/>
      <c r="GS140" s="294"/>
      <c r="GT140" s="294"/>
      <c r="GU140" s="294"/>
      <c r="GV140" s="294"/>
      <c r="GW140" s="294"/>
      <c r="GX140" s="294"/>
      <c r="GY140" s="294">
        <v>-114163</v>
      </c>
      <c r="GZ140" s="294"/>
      <c r="HA140" s="294">
        <v>-28</v>
      </c>
      <c r="HB140" s="294">
        <v>-71440.5</v>
      </c>
      <c r="HC140" s="294">
        <v>-89367</v>
      </c>
      <c r="HD140" s="294"/>
      <c r="HE140" s="294">
        <v>-59793</v>
      </c>
      <c r="HF140" s="294">
        <v>-1745881</v>
      </c>
      <c r="HG140" s="294">
        <v>-2591562</v>
      </c>
      <c r="HH140" s="294">
        <v>-218024</v>
      </c>
      <c r="HI140" s="294">
        <v>-3421</v>
      </c>
      <c r="HJ140" s="294">
        <v>-1091271</v>
      </c>
      <c r="HK140" s="294">
        <v>-2072792</v>
      </c>
      <c r="HL140" s="294">
        <v>-1318567</v>
      </c>
      <c r="HM140" s="294">
        <v>-3612155</v>
      </c>
      <c r="HN140" s="294">
        <v>-528719</v>
      </c>
      <c r="HO140" s="294">
        <v>-506131</v>
      </c>
      <c r="HP140" s="294">
        <v>-2486724</v>
      </c>
      <c r="HQ140" s="294">
        <v>-2531014.17</v>
      </c>
      <c r="HR140" s="294">
        <v>-3357</v>
      </c>
      <c r="HS140" s="294">
        <v>-1428</v>
      </c>
      <c r="HT140" s="294">
        <v>-700</v>
      </c>
      <c r="HU140" s="294">
        <v>-19231</v>
      </c>
      <c r="HV140" s="294">
        <v>-37137</v>
      </c>
      <c r="HW140" s="294"/>
      <c r="HX140" s="294">
        <v>-18705</v>
      </c>
      <c r="HY140" s="294">
        <v>-6134</v>
      </c>
      <c r="HZ140" s="294">
        <v>-1313</v>
      </c>
      <c r="IA140" s="294">
        <v>-28</v>
      </c>
      <c r="IB140" s="294">
        <v>-350</v>
      </c>
      <c r="IC140" s="294">
        <v>-1311</v>
      </c>
      <c r="ID140" s="294"/>
      <c r="IE140" s="294">
        <v>-3933</v>
      </c>
      <c r="IF140" s="294"/>
      <c r="IG140" s="294"/>
      <c r="IH140" s="294"/>
      <c r="II140" s="294">
        <v>-33632</v>
      </c>
      <c r="IJ140" s="294">
        <v>-12469</v>
      </c>
      <c r="IK140" s="294">
        <v>-12810</v>
      </c>
      <c r="IL140" s="294">
        <v>-105587</v>
      </c>
      <c r="IM140" s="294">
        <v>-6120</v>
      </c>
      <c r="IN140" s="294">
        <v>-3500</v>
      </c>
      <c r="IO140" s="294">
        <v>-12881</v>
      </c>
      <c r="IP140" s="294">
        <v>-3951</v>
      </c>
      <c r="IQ140" s="294"/>
      <c r="IR140" s="294">
        <v>-18372</v>
      </c>
      <c r="IS140" s="294">
        <v>-148780</v>
      </c>
      <c r="IT140" s="294">
        <v>-10150</v>
      </c>
      <c r="IU140" s="294">
        <v>0</v>
      </c>
      <c r="IV140" s="294"/>
      <c r="IW140" s="294">
        <v>-209361</v>
      </c>
      <c r="IX140" s="294">
        <v>-250</v>
      </c>
      <c r="IY140" s="294"/>
      <c r="IZ140" s="294"/>
      <c r="JA140" s="294"/>
      <c r="JB140" s="294">
        <v>0</v>
      </c>
      <c r="JC140" s="294">
        <v>14880</v>
      </c>
      <c r="JD140" s="294">
        <v>0</v>
      </c>
      <c r="JE140" s="294">
        <v>-1799</v>
      </c>
      <c r="JF140" s="294">
        <v>-262</v>
      </c>
      <c r="JG140" s="294">
        <v>-2434</v>
      </c>
      <c r="JH140" s="294"/>
      <c r="JI140" s="294">
        <v>0</v>
      </c>
      <c r="JJ140" s="294">
        <v>-19026</v>
      </c>
      <c r="JK140" s="294">
        <v>-590532.44999999995</v>
      </c>
      <c r="JL140" s="294"/>
      <c r="JM140" s="294"/>
      <c r="JN140" s="294">
        <v>-378</v>
      </c>
      <c r="JO140" s="294">
        <v>0</v>
      </c>
      <c r="JP140" s="294">
        <v>0</v>
      </c>
      <c r="JQ140" s="294"/>
      <c r="JR140" s="294"/>
      <c r="JS140" s="294"/>
      <c r="JT140" s="294"/>
      <c r="JU140" s="294"/>
      <c r="JV140" s="294"/>
      <c r="JW140" s="294"/>
      <c r="JX140" s="294"/>
      <c r="JY140" s="294"/>
      <c r="JZ140" s="294"/>
      <c r="KA140" s="294"/>
      <c r="KB140" s="294"/>
      <c r="KC140" s="294"/>
      <c r="KD140" s="294"/>
      <c r="KE140" s="294"/>
      <c r="KF140" s="294"/>
      <c r="KG140" s="294"/>
      <c r="KH140" s="294"/>
      <c r="KI140" s="294">
        <v>-1022301</v>
      </c>
      <c r="KJ140" s="294">
        <v>-509399</v>
      </c>
      <c r="KK140" s="294">
        <v>-140977</v>
      </c>
      <c r="KL140" s="294">
        <v>-71605</v>
      </c>
      <c r="KM140" s="294">
        <v>-91664</v>
      </c>
      <c r="KN140" s="294">
        <v>-166891</v>
      </c>
      <c r="KO140" s="294">
        <v>-74291</v>
      </c>
      <c r="KP140" s="294">
        <v>-12104</v>
      </c>
      <c r="KQ140" s="294">
        <v>-42842</v>
      </c>
      <c r="KR140" s="294">
        <v>-2742</v>
      </c>
      <c r="KS140" s="294">
        <v>-2478</v>
      </c>
      <c r="KT140" s="294">
        <v>-34258</v>
      </c>
      <c r="KU140" s="294">
        <v>-2182.4699999999998</v>
      </c>
      <c r="KV140" s="294">
        <v>-39583</v>
      </c>
      <c r="KW140" s="294">
        <v>-13348</v>
      </c>
      <c r="KX140" s="294">
        <v>-10500</v>
      </c>
      <c r="KY140" s="294">
        <v>-11442</v>
      </c>
      <c r="KZ140" s="294">
        <v>-104941</v>
      </c>
      <c r="LA140" s="294">
        <v>-14924</v>
      </c>
      <c r="LB140" s="294">
        <v>-4135</v>
      </c>
      <c r="LC140" s="294">
        <v>-18717</v>
      </c>
      <c r="LD140" s="294">
        <v>-43035</v>
      </c>
      <c r="LE140" s="294">
        <v>-150069</v>
      </c>
      <c r="LF140" s="294">
        <v>-17733</v>
      </c>
      <c r="LG140" s="294">
        <v>-91055.66</v>
      </c>
      <c r="LH140" s="294">
        <v>-7434</v>
      </c>
      <c r="LI140" s="294">
        <v>-53146</v>
      </c>
      <c r="LJ140" s="294">
        <v>-67948</v>
      </c>
      <c r="LK140" s="294">
        <v>0</v>
      </c>
      <c r="LL140" s="294">
        <v>-96166</v>
      </c>
      <c r="LM140" s="294">
        <v>-189132</v>
      </c>
      <c r="LN140" s="294">
        <v>-239864.5</v>
      </c>
      <c r="LO140" s="294"/>
      <c r="LP140" s="294">
        <v>-107403.5</v>
      </c>
      <c r="LQ140" s="294">
        <v>0</v>
      </c>
      <c r="LR140" s="294">
        <v>-24187</v>
      </c>
      <c r="LS140" s="294"/>
      <c r="LT140" s="294"/>
      <c r="LU140" s="294">
        <v>-316351</v>
      </c>
      <c r="LV140" s="294"/>
      <c r="LW140" s="294"/>
      <c r="LX140" s="294">
        <v>-136913</v>
      </c>
      <c r="LY140" s="294">
        <v>-94930.87</v>
      </c>
      <c r="LZ140" s="294">
        <v>-118007</v>
      </c>
      <c r="MA140" s="294">
        <v>-770</v>
      </c>
      <c r="MB140" s="294">
        <v>-1000</v>
      </c>
      <c r="MC140" s="294">
        <v>-4900</v>
      </c>
      <c r="MD140" s="294">
        <v>-71464</v>
      </c>
      <c r="ME140" s="294">
        <v>-17</v>
      </c>
      <c r="MF140" s="294"/>
      <c r="MG140" s="294">
        <v>-33362</v>
      </c>
      <c r="MH140" s="294">
        <v>-794518.29</v>
      </c>
      <c r="MI140" s="294">
        <v>-9977</v>
      </c>
      <c r="MJ140" s="294">
        <v>-40564</v>
      </c>
      <c r="MK140" s="294">
        <v>-11666</v>
      </c>
      <c r="ML140" s="294">
        <v>-13602</v>
      </c>
      <c r="MM140" s="294">
        <v>-49499</v>
      </c>
      <c r="MN140" s="294">
        <v>-31563</v>
      </c>
      <c r="MO140" s="294">
        <v>-8862</v>
      </c>
      <c r="MP140" s="294">
        <v>-3983</v>
      </c>
      <c r="MQ140" s="294">
        <v>-1527</v>
      </c>
      <c r="MR140" s="294">
        <v>-9332</v>
      </c>
      <c r="MS140" s="294">
        <v>-489680</v>
      </c>
      <c r="MT140" s="294">
        <v>-212969.95</v>
      </c>
      <c r="MU140" s="294">
        <v>-127320</v>
      </c>
      <c r="MV140" s="294">
        <v>-4336</v>
      </c>
      <c r="MW140" s="294">
        <v>-4264846.0199999996</v>
      </c>
      <c r="MX140" s="294">
        <v>-322117</v>
      </c>
      <c r="MY140" s="294">
        <v>-1333467</v>
      </c>
      <c r="MZ140" s="294">
        <v>-5306</v>
      </c>
      <c r="NA140" s="294">
        <v>-466421</v>
      </c>
      <c r="NB140" s="294">
        <v>-32061</v>
      </c>
      <c r="NC140" s="294">
        <v>-4750</v>
      </c>
      <c r="ND140" s="294">
        <v>-60269.05</v>
      </c>
      <c r="NE140" s="294">
        <v>-3148</v>
      </c>
      <c r="NF140" s="294">
        <v>-1338158.5</v>
      </c>
      <c r="NG140" s="294">
        <v>-624541</v>
      </c>
      <c r="NH140" s="294">
        <v>-497749</v>
      </c>
      <c r="NI140" s="294">
        <v>-6384</v>
      </c>
      <c r="NJ140" s="294">
        <v>-226272</v>
      </c>
      <c r="NK140" s="294">
        <v>-358360</v>
      </c>
      <c r="NL140" s="294">
        <v>-107915</v>
      </c>
      <c r="NM140" s="294">
        <v>-772</v>
      </c>
      <c r="NN140" s="294">
        <v>-639372.81000000006</v>
      </c>
      <c r="NO140" s="294">
        <v>-4779.5</v>
      </c>
      <c r="NP140" s="294">
        <v>-59663</v>
      </c>
      <c r="NQ140" s="294">
        <v>-33493</v>
      </c>
      <c r="NR140" s="294">
        <v>-7696</v>
      </c>
      <c r="NS140" s="294">
        <v>-5821</v>
      </c>
      <c r="NT140" s="294">
        <v>-14364</v>
      </c>
      <c r="NU140" s="294"/>
      <c r="NV140" s="294">
        <v>-2933</v>
      </c>
      <c r="NW140" s="294">
        <v>-93652</v>
      </c>
      <c r="NX140" s="294">
        <v>-131482.51999999999</v>
      </c>
      <c r="NY140" s="294">
        <v>-164305</v>
      </c>
      <c r="NZ140" s="294">
        <v>-4735</v>
      </c>
      <c r="OA140" s="294">
        <v>-18845</v>
      </c>
      <c r="OB140" s="294">
        <v>0</v>
      </c>
      <c r="OC140" s="294"/>
      <c r="OD140" s="294">
        <v>-7615632.0199999996</v>
      </c>
      <c r="OE140" s="294">
        <v>-7978</v>
      </c>
      <c r="OF140" s="294">
        <v>-3196</v>
      </c>
      <c r="OG140" s="294">
        <v>-1009062.55</v>
      </c>
      <c r="OH140" s="294">
        <v>-20333</v>
      </c>
      <c r="OI140" s="294">
        <v>5341</v>
      </c>
      <c r="OJ140" s="294">
        <v>-1791052</v>
      </c>
      <c r="OK140" s="294">
        <v>-4816</v>
      </c>
      <c r="OL140" s="294">
        <v>-157936</v>
      </c>
      <c r="OM140" s="294">
        <v>-278504.56</v>
      </c>
      <c r="ON140" s="294">
        <v>-1464266.79</v>
      </c>
      <c r="OO140" s="294">
        <v>-2105800</v>
      </c>
      <c r="OP140" s="294">
        <v>-1094327.2</v>
      </c>
      <c r="OQ140" s="294">
        <v>-2111931</v>
      </c>
      <c r="OR140" s="294"/>
      <c r="OS140" s="294">
        <v>-981938</v>
      </c>
      <c r="OT140" s="294">
        <v>-104211.04</v>
      </c>
      <c r="OU140" s="294">
        <v>-1061024</v>
      </c>
      <c r="OV140" s="294">
        <v>-553810</v>
      </c>
      <c r="OW140" s="294">
        <v>-930204</v>
      </c>
      <c r="OX140" s="294">
        <v>-3762261</v>
      </c>
      <c r="OY140" s="294">
        <v>-464587.24</v>
      </c>
      <c r="OZ140" s="294">
        <v>-28227</v>
      </c>
      <c r="PA140" s="294">
        <v>0</v>
      </c>
      <c r="PB140" s="294">
        <v>-11380</v>
      </c>
      <c r="PC140" s="294"/>
      <c r="PD140" s="294"/>
      <c r="PE140" s="294"/>
      <c r="PF140" s="294"/>
      <c r="PG140" s="294"/>
      <c r="PH140" s="294"/>
      <c r="PI140" s="294"/>
      <c r="PJ140" s="294"/>
      <c r="PK140" s="294"/>
      <c r="PL140" s="294">
        <v>-2800</v>
      </c>
      <c r="PM140" s="294"/>
      <c r="PN140" s="294"/>
      <c r="PO140" s="294"/>
      <c r="PP140" s="294"/>
      <c r="PQ140" s="294"/>
      <c r="PR140" s="294"/>
      <c r="PS140" s="294"/>
      <c r="PT140" s="294">
        <v>-22225</v>
      </c>
      <c r="PU140" s="294"/>
      <c r="PV140" s="294"/>
      <c r="PW140" s="294"/>
      <c r="PX140" s="294"/>
      <c r="PY140" s="294"/>
      <c r="PZ140" s="294"/>
      <c r="QA140" s="294">
        <v>0</v>
      </c>
      <c r="QB140" s="294"/>
      <c r="QC140" s="294"/>
      <c r="QD140" s="294"/>
      <c r="QE140" s="294"/>
      <c r="QF140" s="294"/>
      <c r="QG140" s="294"/>
      <c r="QH140" s="294"/>
      <c r="QI140" s="294">
        <v>-1688</v>
      </c>
      <c r="QJ140" s="294"/>
      <c r="QK140" s="294"/>
      <c r="QL140" s="294"/>
      <c r="QM140" s="294"/>
      <c r="QN140" s="294"/>
      <c r="QO140" s="294">
        <v>-574</v>
      </c>
      <c r="QP140" s="294"/>
      <c r="QQ140" s="294"/>
      <c r="QR140" s="294"/>
      <c r="QS140" s="294"/>
      <c r="QT140" s="294">
        <v>-13407</v>
      </c>
      <c r="QU140" s="294"/>
      <c r="QV140" s="294"/>
      <c r="QW140" s="294"/>
      <c r="QX140" s="294"/>
      <c r="QY140" s="294">
        <v>-9452</v>
      </c>
      <c r="QZ140" s="294"/>
      <c r="RA140" s="294">
        <v>-360</v>
      </c>
      <c r="RB140" s="294"/>
      <c r="RC140" s="294">
        <v>-2478</v>
      </c>
      <c r="RD140" s="294">
        <v>-700</v>
      </c>
      <c r="RE140" s="294"/>
      <c r="RF140" s="294"/>
      <c r="RG140" s="294">
        <v>0</v>
      </c>
      <c r="RH140" s="294">
        <v>-16878</v>
      </c>
      <c r="RI140" s="294"/>
      <c r="RJ140" s="294"/>
      <c r="RK140" s="294"/>
      <c r="RL140" s="294"/>
      <c r="RM140" s="294">
        <v>-6300</v>
      </c>
      <c r="RN140" s="294"/>
      <c r="RO140" s="294">
        <v>-3212</v>
      </c>
      <c r="RP140" s="294"/>
      <c r="RQ140" s="294">
        <v>-1400</v>
      </c>
      <c r="RR140" s="294"/>
      <c r="RS140" s="294">
        <v>-107</v>
      </c>
      <c r="RT140" s="294">
        <v>-700</v>
      </c>
      <c r="RU140" s="294"/>
      <c r="RV140" s="294"/>
      <c r="RW140" s="294"/>
      <c r="RX140" s="294"/>
      <c r="RY140" s="294"/>
      <c r="RZ140" s="294"/>
      <c r="SA140" s="294">
        <v>-172512</v>
      </c>
      <c r="SB140" s="294"/>
      <c r="SC140" s="294">
        <v>-8568.33</v>
      </c>
      <c r="SD140" s="294">
        <v>-8321</v>
      </c>
      <c r="SE140" s="294">
        <v>-10166</v>
      </c>
      <c r="SF140" s="294">
        <v>-106695</v>
      </c>
      <c r="SG140" s="294">
        <v>-8400</v>
      </c>
      <c r="SH140" s="294">
        <v>-207998</v>
      </c>
      <c r="SI140" s="294">
        <v>-12600</v>
      </c>
      <c r="SJ140" s="294">
        <v>-1546</v>
      </c>
      <c r="SK140" s="294">
        <v>-4900</v>
      </c>
      <c r="SL140" s="294">
        <v>-260</v>
      </c>
      <c r="SM140" s="294">
        <v>-2100</v>
      </c>
      <c r="SN140" s="294"/>
      <c r="SO140" s="294"/>
      <c r="SP140" s="294">
        <v>-16100</v>
      </c>
      <c r="SQ140" s="294">
        <v>0</v>
      </c>
      <c r="SR140" s="294">
        <v>0</v>
      </c>
      <c r="SS140" s="294">
        <v>0</v>
      </c>
      <c r="ST140" s="294">
        <v>-16800</v>
      </c>
      <c r="SU140" s="294">
        <v>-33628</v>
      </c>
      <c r="SV140" s="294">
        <v>-350</v>
      </c>
      <c r="SW140" s="294">
        <v>-45036</v>
      </c>
      <c r="SX140" s="294">
        <v>-74214</v>
      </c>
      <c r="SY140" s="294"/>
      <c r="SZ140" s="294">
        <v>-23800</v>
      </c>
      <c r="TA140" s="294"/>
      <c r="TB140" s="294">
        <v>0</v>
      </c>
      <c r="TC140" s="294"/>
      <c r="TD140" s="294">
        <v>-18900</v>
      </c>
      <c r="TE140" s="294"/>
      <c r="TF140" s="294"/>
      <c r="TG140" s="294">
        <v>0</v>
      </c>
      <c r="TH140" s="294">
        <v>0</v>
      </c>
      <c r="TI140" s="294">
        <v>-3471</v>
      </c>
      <c r="TJ140" s="294">
        <v>-5760</v>
      </c>
      <c r="TK140" s="294"/>
      <c r="TL140" s="294">
        <v>-6300</v>
      </c>
      <c r="TM140" s="294"/>
      <c r="TN140" s="294">
        <v>-1721</v>
      </c>
      <c r="TO140" s="294"/>
      <c r="TP140" s="294">
        <v>-20455.560000000001</v>
      </c>
      <c r="TQ140" s="294">
        <v>-686</v>
      </c>
      <c r="TR140" s="294">
        <v>-1750</v>
      </c>
      <c r="TS140" s="294">
        <v>0</v>
      </c>
      <c r="TT140" s="294"/>
      <c r="TU140" s="294"/>
      <c r="TV140" s="294">
        <v>-579</v>
      </c>
      <c r="TW140" s="294">
        <v>-1400</v>
      </c>
      <c r="TX140" s="294"/>
      <c r="TY140" s="294">
        <v>-3321</v>
      </c>
      <c r="TZ140" s="294"/>
      <c r="UA140" s="294">
        <v>-18789</v>
      </c>
      <c r="UB140" s="294">
        <v>-700</v>
      </c>
      <c r="UC140" s="294">
        <v>-1400</v>
      </c>
      <c r="UD140" s="294">
        <v>-3500</v>
      </c>
      <c r="UE140" s="294">
        <v>-1064</v>
      </c>
      <c r="UF140" s="294"/>
      <c r="UG140" s="294"/>
      <c r="UH140" s="294"/>
      <c r="UI140" s="294"/>
      <c r="UJ140" s="294">
        <v>-10524.8</v>
      </c>
      <c r="UK140" s="294">
        <v>-8050</v>
      </c>
      <c r="UL140" s="294">
        <v>-9100</v>
      </c>
      <c r="UM140" s="294">
        <v>-564</v>
      </c>
      <c r="UN140" s="294">
        <v>-10057</v>
      </c>
      <c r="UO140" s="294">
        <v>-37383</v>
      </c>
      <c r="UP140" s="294">
        <v>-86899</v>
      </c>
      <c r="UQ140" s="294"/>
      <c r="UR140" s="294"/>
      <c r="US140" s="294">
        <v>-72363</v>
      </c>
      <c r="UT140" s="294"/>
      <c r="UU140" s="294"/>
      <c r="UV140" s="294">
        <v>-8018</v>
      </c>
      <c r="UW140" s="294"/>
      <c r="UX140" s="294"/>
      <c r="UY140" s="294"/>
      <c r="UZ140" s="294">
        <v>-2100</v>
      </c>
      <c r="VA140" s="294"/>
      <c r="VB140" s="294">
        <v>-45646</v>
      </c>
      <c r="VC140" s="294">
        <v>0</v>
      </c>
      <c r="VD140" s="294"/>
      <c r="VE140" s="294"/>
      <c r="VF140" s="294"/>
      <c r="VG140" s="294"/>
      <c r="VH140" s="294">
        <v>-24864</v>
      </c>
      <c r="VI140" s="294">
        <v>-1026</v>
      </c>
      <c r="VJ140" s="294"/>
      <c r="VK140" s="294"/>
      <c r="VL140" s="294">
        <v>-5564</v>
      </c>
      <c r="VM140" s="294"/>
      <c r="VN140" s="294"/>
      <c r="VO140" s="294"/>
      <c r="VP140" s="294">
        <v>-10165</v>
      </c>
      <c r="VQ140" s="294">
        <v>-88474</v>
      </c>
      <c r="VR140" s="294">
        <v>-700</v>
      </c>
      <c r="VS140" s="294">
        <v>-700</v>
      </c>
      <c r="VT140" s="294">
        <v>-13347</v>
      </c>
      <c r="VU140" s="294"/>
      <c r="VV140" s="294"/>
      <c r="VW140" s="294"/>
      <c r="VX140" s="294"/>
      <c r="VY140" s="294">
        <v>0</v>
      </c>
      <c r="VZ140" s="294"/>
      <c r="WA140" s="294"/>
      <c r="WB140" s="294">
        <v>-3974</v>
      </c>
      <c r="WC140" s="294">
        <v>-10223</v>
      </c>
      <c r="WD140" s="294"/>
      <c r="WE140" s="294"/>
      <c r="WF140" s="294"/>
      <c r="WG140" s="294">
        <v>-5168</v>
      </c>
      <c r="WH140" s="294">
        <v>-1988</v>
      </c>
      <c r="WI140" s="294"/>
      <c r="WJ140" s="294">
        <v>-636.5</v>
      </c>
      <c r="WK140" s="294">
        <v>-2383</v>
      </c>
      <c r="WL140" s="294">
        <v>-714</v>
      </c>
      <c r="WM140" s="294">
        <v>0</v>
      </c>
      <c r="WN140" s="294">
        <v>-12322</v>
      </c>
      <c r="WO140" s="294">
        <v>-2100</v>
      </c>
      <c r="WP140" s="294"/>
      <c r="WQ140" s="294">
        <v>-1050</v>
      </c>
      <c r="WR140" s="294">
        <v>-13363</v>
      </c>
      <c r="WS140" s="294">
        <v>-135</v>
      </c>
      <c r="WT140" s="294">
        <v>-714</v>
      </c>
      <c r="WU140" s="294">
        <v>-33252</v>
      </c>
      <c r="WV140" s="294">
        <v>0</v>
      </c>
      <c r="WW140" s="294"/>
      <c r="WX140" s="294"/>
      <c r="WY140" s="294">
        <v>-3921</v>
      </c>
      <c r="WZ140" s="294"/>
      <c r="XA140" s="294"/>
      <c r="XB140" s="294"/>
      <c r="XC140" s="294"/>
      <c r="XD140" s="294">
        <v>-561</v>
      </c>
      <c r="XE140" s="294"/>
      <c r="XF140" s="294">
        <v>0</v>
      </c>
      <c r="XG140" s="294">
        <v>-9907</v>
      </c>
      <c r="XH140" s="294"/>
      <c r="XI140" s="294"/>
      <c r="XJ140" s="294"/>
      <c r="XK140" s="294"/>
      <c r="XL140" s="294"/>
      <c r="XM140" s="294"/>
      <c r="XN140" s="294"/>
      <c r="XO140" s="294"/>
      <c r="XP140" s="294"/>
      <c r="XQ140" s="294"/>
      <c r="XR140" s="294"/>
      <c r="XS140" s="294"/>
      <c r="XT140" s="294"/>
      <c r="XU140" s="294"/>
      <c r="XV140" s="294"/>
      <c r="XW140" s="294"/>
      <c r="XX140" s="294"/>
      <c r="XY140" s="294"/>
      <c r="XZ140" s="294"/>
      <c r="YA140" s="294"/>
      <c r="YB140" s="294"/>
      <c r="YC140" s="294"/>
      <c r="YD140" s="294"/>
      <c r="YE140" s="294">
        <v>-406319</v>
      </c>
      <c r="YF140" s="294"/>
      <c r="YG140" s="294"/>
      <c r="YH140" s="294"/>
      <c r="YI140" s="294"/>
      <c r="YJ140" s="294"/>
      <c r="YK140" s="294"/>
      <c r="YL140" s="294"/>
      <c r="YM140" s="294"/>
      <c r="YN140" s="294"/>
      <c r="YO140" s="294"/>
      <c r="YP140" s="294"/>
      <c r="YQ140" s="294"/>
      <c r="YR140" s="294"/>
      <c r="YS140" s="294"/>
      <c r="YT140" s="294"/>
      <c r="YU140" s="294"/>
      <c r="YV140" s="294"/>
      <c r="YW140" s="294">
        <v>-8112</v>
      </c>
      <c r="YX140" s="294"/>
      <c r="YY140" s="294"/>
      <c r="YZ140" s="294">
        <v>-100</v>
      </c>
      <c r="ZA140" s="294"/>
      <c r="ZB140" s="294"/>
      <c r="ZC140" s="294">
        <v>-12182</v>
      </c>
      <c r="ZD140" s="294"/>
      <c r="ZE140" s="294"/>
      <c r="ZF140" s="294"/>
      <c r="ZG140" s="294"/>
      <c r="ZH140" s="294"/>
      <c r="ZI140" s="294"/>
      <c r="ZJ140" s="294"/>
      <c r="ZK140" s="294"/>
      <c r="ZL140" s="294"/>
      <c r="ZM140" s="294"/>
      <c r="ZN140" s="294"/>
      <c r="ZO140" s="294"/>
      <c r="ZP140" s="294"/>
      <c r="ZQ140" s="294"/>
      <c r="ZR140" s="294"/>
      <c r="ZS140" s="294"/>
      <c r="ZT140" s="294"/>
      <c r="ZU140" s="294"/>
      <c r="ZV140" s="294"/>
      <c r="ZW140" s="294">
        <v>0</v>
      </c>
      <c r="ZX140" s="294"/>
      <c r="ZY140" s="294"/>
      <c r="ZZ140" s="294"/>
      <c r="AAA140" s="294"/>
      <c r="AAB140" s="294">
        <v>-6300</v>
      </c>
      <c r="AAC140" s="294"/>
      <c r="AAD140" s="294"/>
      <c r="AAE140" s="294"/>
      <c r="AAF140" s="294">
        <v>-3500</v>
      </c>
      <c r="AAG140" s="294"/>
      <c r="AAH140" s="294"/>
      <c r="AAI140" s="294"/>
      <c r="AAJ140" s="294"/>
      <c r="AAK140" s="294"/>
      <c r="AAL140" s="294"/>
      <c r="AAM140" s="294"/>
      <c r="AAN140" s="294"/>
      <c r="AAO140" s="294">
        <v>0</v>
      </c>
      <c r="AAP140" s="294"/>
      <c r="AAQ140" s="294"/>
      <c r="AAR140" s="294"/>
      <c r="AAS140" s="294"/>
      <c r="AAT140" s="294"/>
      <c r="AAU140" s="294"/>
      <c r="AAV140" s="294"/>
      <c r="AAW140" s="294"/>
      <c r="AAX140" s="294"/>
      <c r="AAY140" s="294"/>
      <c r="AAZ140" s="294"/>
      <c r="ABA140" s="294"/>
      <c r="ABB140" s="294">
        <v>-28</v>
      </c>
      <c r="ABC140" s="294">
        <v>0</v>
      </c>
      <c r="ABD140" s="294"/>
      <c r="ABE140" s="294"/>
      <c r="ABF140" s="294"/>
      <c r="ABG140" s="294"/>
      <c r="ABH140" s="294"/>
      <c r="ABI140" s="294">
        <v>-2800</v>
      </c>
      <c r="ABJ140" s="294"/>
      <c r="ABK140" s="294">
        <v>0</v>
      </c>
      <c r="ABL140" s="294"/>
      <c r="ABM140" s="294">
        <v>0</v>
      </c>
      <c r="ABN140" s="294"/>
      <c r="ABO140" s="294"/>
      <c r="ABP140" s="294">
        <v>-13052.6</v>
      </c>
      <c r="ABQ140" s="294"/>
      <c r="ABR140" s="294">
        <v>-20459</v>
      </c>
      <c r="ABS140" s="294">
        <v>-11578</v>
      </c>
      <c r="ABT140" s="294">
        <v>-199436</v>
      </c>
      <c r="ABU140" s="294">
        <v>-188947</v>
      </c>
      <c r="ABV140" s="294">
        <v>-10014</v>
      </c>
      <c r="ABW140" s="294"/>
      <c r="ABX140" s="294">
        <v>-3379545.16</v>
      </c>
      <c r="ABY140" s="294">
        <v>-451878</v>
      </c>
      <c r="ABZ140" s="294">
        <v>-3272985.7</v>
      </c>
      <c r="ACA140" s="294">
        <v>-3220</v>
      </c>
      <c r="ACB140" s="294">
        <v>-603412</v>
      </c>
      <c r="ACC140" s="294">
        <v>-54012</v>
      </c>
      <c r="ACD140" s="294">
        <v>-1460579.7</v>
      </c>
      <c r="ACE140" s="294">
        <v>708</v>
      </c>
      <c r="ACF140" s="294">
        <v>-56</v>
      </c>
      <c r="ACG140" s="294">
        <v>-177536</v>
      </c>
      <c r="ACH140" s="294">
        <v>-1574608</v>
      </c>
      <c r="ACI140" s="294"/>
      <c r="ACJ140" s="294">
        <v>0</v>
      </c>
      <c r="ACK140" s="294">
        <v>-11900</v>
      </c>
      <c r="ACL140" s="294">
        <v>-6440</v>
      </c>
      <c r="ACM140" s="294"/>
      <c r="ACN140" s="294"/>
      <c r="ACO140" s="294">
        <v>0</v>
      </c>
      <c r="ACP140" s="294"/>
      <c r="ACQ140" s="294">
        <v>-116526</v>
      </c>
      <c r="ACR140" s="294">
        <v>-39383</v>
      </c>
      <c r="ACS140" s="294">
        <v>-638264.56000000006</v>
      </c>
      <c r="ACT140" s="294">
        <v>-31326</v>
      </c>
      <c r="ACU140" s="294"/>
      <c r="ACV140" s="294">
        <v>-64565</v>
      </c>
      <c r="ACW140" s="294">
        <v>-239485</v>
      </c>
      <c r="ACX140" s="294">
        <v>-7700</v>
      </c>
      <c r="ACY140" s="294"/>
      <c r="ACZ140" s="294">
        <v>-46189</v>
      </c>
      <c r="ADA140" s="294">
        <v>-28</v>
      </c>
      <c r="ADB140" s="294"/>
      <c r="ADC140" s="294"/>
      <c r="ADD140" s="294"/>
      <c r="ADE140" s="294"/>
      <c r="ADF140" s="294"/>
      <c r="ADG140" s="294"/>
      <c r="ADH140" s="294">
        <v>-134554</v>
      </c>
      <c r="ADI140" s="294">
        <v>-100543</v>
      </c>
      <c r="ADJ140" s="294"/>
      <c r="ADK140" s="294"/>
      <c r="ADL140" s="294">
        <v>-19362</v>
      </c>
      <c r="ADM140" s="294">
        <v>-2826</v>
      </c>
      <c r="ADN140" s="294">
        <v>-125352</v>
      </c>
      <c r="ADO140" s="294">
        <v>-14676256</v>
      </c>
      <c r="ADP140" s="294">
        <v>-975158</v>
      </c>
      <c r="ADQ140" s="294">
        <v>-1131204</v>
      </c>
      <c r="ADR140" s="294"/>
      <c r="ADS140" s="294">
        <v>-34486</v>
      </c>
      <c r="ADT140" s="294">
        <v>-1008</v>
      </c>
      <c r="ADU140" s="294">
        <v>-9345</v>
      </c>
      <c r="ADV140" s="294">
        <v>-770</v>
      </c>
      <c r="ADW140" s="294">
        <v>-378</v>
      </c>
      <c r="ADX140" s="294"/>
      <c r="ADY140" s="294">
        <v>-160972</v>
      </c>
      <c r="ADZ140" s="294">
        <v>-496830.6</v>
      </c>
      <c r="AEA140" s="294">
        <v>-686</v>
      </c>
      <c r="AEB140" s="294">
        <v>-261696.5</v>
      </c>
      <c r="AEC140" s="294">
        <v>-112</v>
      </c>
      <c r="AED140" s="294">
        <v>-90377.5</v>
      </c>
      <c r="AEE140" s="294">
        <v>-44966</v>
      </c>
      <c r="AEF140" s="294">
        <v>-18102.5</v>
      </c>
      <c r="AEG140" s="294">
        <v>-351196.82</v>
      </c>
      <c r="AEH140" s="294">
        <v>-185238.27</v>
      </c>
      <c r="AEI140" s="294">
        <v>0</v>
      </c>
      <c r="AEJ140" s="294">
        <v>325654</v>
      </c>
      <c r="AEK140" s="294"/>
      <c r="AEL140" s="294">
        <v>0</v>
      </c>
      <c r="AEM140" s="294">
        <v>-1428</v>
      </c>
      <c r="AEN140" s="294"/>
      <c r="AEO140" s="294">
        <v>-754</v>
      </c>
      <c r="AEP140" s="294">
        <v>-2108210.25</v>
      </c>
      <c r="AEQ140" s="294">
        <v>0</v>
      </c>
      <c r="AER140" s="294">
        <v>-285873</v>
      </c>
      <c r="AES140" s="294">
        <v>-15352</v>
      </c>
      <c r="AET140" s="294">
        <v>-63834</v>
      </c>
      <c r="AEU140" s="294">
        <v>-8876</v>
      </c>
      <c r="AEV140" s="294">
        <v>-4564</v>
      </c>
      <c r="AEW140" s="294">
        <v>-58613</v>
      </c>
      <c r="AEX140" s="294">
        <v>-163700.17000000001</v>
      </c>
      <c r="AEY140" s="294">
        <v>-7590</v>
      </c>
      <c r="AEZ140" s="294">
        <v>-18935</v>
      </c>
      <c r="AFA140" s="294">
        <v>-32708</v>
      </c>
      <c r="AFB140" s="294">
        <v>-1271</v>
      </c>
      <c r="AFC140" s="294">
        <v>-16990</v>
      </c>
      <c r="AFD140" s="294">
        <v>-728</v>
      </c>
      <c r="AFE140" s="294">
        <v>-23271</v>
      </c>
      <c r="AFF140" s="294"/>
      <c r="AFG140" s="294"/>
      <c r="AFH140" s="294">
        <v>-28880</v>
      </c>
      <c r="AFI140" s="294"/>
      <c r="AFJ140" s="294">
        <v>-720</v>
      </c>
      <c r="AFK140" s="294"/>
      <c r="AFL140" s="294">
        <v>0</v>
      </c>
      <c r="AFM140" s="294"/>
      <c r="AFN140" s="294"/>
      <c r="AFO140" s="294">
        <v>-2512</v>
      </c>
      <c r="AFP140" s="294">
        <v>-93973</v>
      </c>
      <c r="AFQ140" s="294">
        <v>-6</v>
      </c>
      <c r="AFR140" s="294">
        <v>-9071</v>
      </c>
      <c r="AFS140" s="294">
        <v>0</v>
      </c>
      <c r="AFT140" s="294"/>
      <c r="AFU140" s="294"/>
      <c r="AFV140" s="294"/>
      <c r="AFW140" s="294">
        <v>-111435</v>
      </c>
      <c r="AFX140" s="294"/>
      <c r="AFY140" s="294"/>
      <c r="AFZ140" s="294">
        <v>-1400</v>
      </c>
      <c r="AGA140" s="294"/>
      <c r="AGB140" s="294">
        <v>-75866</v>
      </c>
      <c r="AGC140" s="294"/>
      <c r="AGD140" s="294"/>
      <c r="AGE140" s="294">
        <v>-22400</v>
      </c>
      <c r="AGF140" s="294"/>
      <c r="AGG140" s="294"/>
      <c r="AGH140" s="294"/>
      <c r="AGI140" s="294"/>
      <c r="AGJ140" s="294"/>
      <c r="AGK140" s="294">
        <v>-711</v>
      </c>
      <c r="AGL140" s="294"/>
      <c r="AGM140" s="294">
        <v>-16233</v>
      </c>
      <c r="AGN140" s="294">
        <v>-6112</v>
      </c>
      <c r="AGO140" s="294"/>
      <c r="AGP140" s="294"/>
      <c r="AGQ140" s="294"/>
      <c r="AGR140" s="294"/>
      <c r="AGS140" s="294">
        <v>0</v>
      </c>
      <c r="AGT140" s="294"/>
      <c r="AGU140" s="294">
        <v>-1986233</v>
      </c>
      <c r="AGV140" s="294">
        <v>-21239</v>
      </c>
      <c r="AGW140" s="294">
        <v>-2100</v>
      </c>
      <c r="AGX140" s="294"/>
      <c r="AGY140" s="294">
        <v>-3668</v>
      </c>
      <c r="AGZ140" s="294">
        <v>0</v>
      </c>
      <c r="AHA140" s="294">
        <v>-127162</v>
      </c>
      <c r="AHB140" s="294"/>
      <c r="AHC140" s="294">
        <v>0</v>
      </c>
      <c r="AHD140" s="294">
        <v>-223290</v>
      </c>
      <c r="AHE140" s="294">
        <v>-157133</v>
      </c>
      <c r="AHF140" s="294">
        <v>-56251</v>
      </c>
      <c r="AHG140" s="294">
        <v>-2375</v>
      </c>
      <c r="AHH140" s="294">
        <v>-279</v>
      </c>
      <c r="AHI140" s="294">
        <v>0</v>
      </c>
      <c r="AHJ140" s="294">
        <v>0</v>
      </c>
      <c r="AHK140" s="294">
        <v>-28</v>
      </c>
      <c r="AHL140" s="294">
        <v>-3178</v>
      </c>
      <c r="AHM140" s="294">
        <v>0</v>
      </c>
      <c r="AHN140" s="294"/>
      <c r="AHO140" s="294"/>
      <c r="AHP140" s="294">
        <v>-617362.82999999996</v>
      </c>
      <c r="AHQ140" s="294">
        <v>0</v>
      </c>
      <c r="AHR140" s="331"/>
      <c r="AHS140" s="294">
        <f t="shared" si="55"/>
        <v>-109691745.80999997</v>
      </c>
      <c r="AHT140" s="269" t="b">
        <f t="shared" si="54"/>
        <v>1</v>
      </c>
      <c r="AHU140" s="269" t="s">
        <v>6278</v>
      </c>
      <c r="AHV140" s="269" t="s">
        <v>6222</v>
      </c>
      <c r="AHW140" s="269" t="s">
        <v>6223</v>
      </c>
    </row>
    <row r="141" spans="1:907" ht="24.6" x14ac:dyDescent="0.7">
      <c r="A141" s="268" t="s">
        <v>6278</v>
      </c>
      <c r="B141" s="268" t="s">
        <v>6224</v>
      </c>
      <c r="C141" s="269" t="s">
        <v>6225</v>
      </c>
      <c r="D141" s="294">
        <v>-14827</v>
      </c>
      <c r="E141" s="294">
        <v>-2324</v>
      </c>
      <c r="F141" s="294">
        <v>-281436</v>
      </c>
      <c r="G141" s="294">
        <v>-8820</v>
      </c>
      <c r="H141" s="294">
        <v>-364845</v>
      </c>
      <c r="I141" s="294">
        <v>-5222</v>
      </c>
      <c r="J141" s="294">
        <v>0</v>
      </c>
      <c r="K141" s="294">
        <v>-4642</v>
      </c>
      <c r="L141" s="294">
        <v>-754</v>
      </c>
      <c r="M141" s="294">
        <v>-60713</v>
      </c>
      <c r="N141" s="294">
        <v>-4706</v>
      </c>
      <c r="O141" s="294">
        <v>-15304.94</v>
      </c>
      <c r="P141" s="294">
        <v>-1588</v>
      </c>
      <c r="Q141" s="294">
        <v>-44650</v>
      </c>
      <c r="R141" s="294"/>
      <c r="S141" s="294"/>
      <c r="T141" s="294"/>
      <c r="U141" s="294"/>
      <c r="V141" s="294">
        <v>-11031650</v>
      </c>
      <c r="W141" s="294">
        <v>-3174</v>
      </c>
      <c r="X141" s="294">
        <v>-1750</v>
      </c>
      <c r="Y141" s="294">
        <v>-7909</v>
      </c>
      <c r="Z141" s="294">
        <v>-259218</v>
      </c>
      <c r="AA141" s="294">
        <v>-1352</v>
      </c>
      <c r="AB141" s="294">
        <v>-621588</v>
      </c>
      <c r="AC141" s="294">
        <v>-201583</v>
      </c>
      <c r="AD141" s="294">
        <v>-26537</v>
      </c>
      <c r="AE141" s="294">
        <v>-132993</v>
      </c>
      <c r="AF141" s="294">
        <v>-10172</v>
      </c>
      <c r="AG141" s="294">
        <v>-8266</v>
      </c>
      <c r="AH141" s="294">
        <v>-46320</v>
      </c>
      <c r="AI141" s="294">
        <v>-1521237</v>
      </c>
      <c r="AJ141" s="294">
        <v>-54057</v>
      </c>
      <c r="AK141" s="294">
        <v>-3708</v>
      </c>
      <c r="AL141" s="294">
        <v>-6180</v>
      </c>
      <c r="AM141" s="294">
        <v>-439391</v>
      </c>
      <c r="AN141" s="294">
        <v>-412</v>
      </c>
      <c r="AO141" s="294">
        <v>-17195</v>
      </c>
      <c r="AP141" s="294">
        <v>-7778</v>
      </c>
      <c r="AQ141" s="294">
        <v>-2106</v>
      </c>
      <c r="AR141" s="294">
        <v>-124852</v>
      </c>
      <c r="AS141" s="294">
        <v>-44</v>
      </c>
      <c r="AT141" s="294">
        <v>-4660</v>
      </c>
      <c r="AU141" s="294">
        <v>-1322</v>
      </c>
      <c r="AV141" s="294"/>
      <c r="AW141" s="294">
        <v>-4507</v>
      </c>
      <c r="AX141" s="294"/>
      <c r="AY141" s="294"/>
      <c r="AZ141" s="294"/>
      <c r="BA141" s="294"/>
      <c r="BB141" s="294">
        <v>0</v>
      </c>
      <c r="BC141" s="294"/>
      <c r="BD141" s="294"/>
      <c r="BE141" s="294"/>
      <c r="BF141" s="294"/>
      <c r="BG141" s="294"/>
      <c r="BH141" s="294"/>
      <c r="BI141" s="294"/>
      <c r="BJ141" s="294"/>
      <c r="BK141" s="294">
        <v>-17813</v>
      </c>
      <c r="BL141" s="294">
        <v>-486</v>
      </c>
      <c r="BM141" s="294">
        <v>-31842</v>
      </c>
      <c r="BN141" s="294"/>
      <c r="BO141" s="294">
        <v>-7925</v>
      </c>
      <c r="BP141" s="294"/>
      <c r="BQ141" s="294"/>
      <c r="BR141" s="294"/>
      <c r="BS141" s="294"/>
      <c r="BT141" s="294">
        <v>-9429</v>
      </c>
      <c r="BU141" s="294">
        <v>-11440</v>
      </c>
      <c r="BV141" s="294">
        <v>-4738</v>
      </c>
      <c r="BW141" s="294">
        <v>-5884</v>
      </c>
      <c r="BX141" s="294">
        <v>-412</v>
      </c>
      <c r="BY141" s="294">
        <v>-44730</v>
      </c>
      <c r="BZ141" s="294">
        <v>-173921</v>
      </c>
      <c r="CA141" s="294"/>
      <c r="CB141" s="294"/>
      <c r="CC141" s="294"/>
      <c r="CD141" s="294"/>
      <c r="CE141" s="294">
        <v>-2450</v>
      </c>
      <c r="CF141" s="294">
        <v>-55461.58</v>
      </c>
      <c r="CG141" s="294">
        <v>-12846</v>
      </c>
      <c r="CH141" s="294">
        <v>0</v>
      </c>
      <c r="CI141" s="294">
        <v>0</v>
      </c>
      <c r="CJ141" s="294"/>
      <c r="CK141" s="294">
        <v>-412</v>
      </c>
      <c r="CL141" s="294">
        <v>0</v>
      </c>
      <c r="CM141" s="294"/>
      <c r="CN141" s="294">
        <v>0</v>
      </c>
      <c r="CO141" s="294"/>
      <c r="CP141" s="294">
        <v>-412</v>
      </c>
      <c r="CQ141" s="294"/>
      <c r="CR141" s="294">
        <v>-1970</v>
      </c>
      <c r="CS141" s="294">
        <v>0</v>
      </c>
      <c r="CT141" s="294">
        <v>-1817</v>
      </c>
      <c r="CU141" s="294">
        <v>-5624</v>
      </c>
      <c r="CV141" s="294">
        <v>-145778</v>
      </c>
      <c r="CW141" s="294"/>
      <c r="CX141" s="294">
        <v>0</v>
      </c>
      <c r="CY141" s="294">
        <v>-1520</v>
      </c>
      <c r="CZ141" s="294">
        <v>-18766</v>
      </c>
      <c r="DA141" s="294">
        <v>-840</v>
      </c>
      <c r="DB141" s="294">
        <v>-296242</v>
      </c>
      <c r="DC141" s="294">
        <v>-16963258.199999999</v>
      </c>
      <c r="DD141" s="294">
        <v>-2540</v>
      </c>
      <c r="DE141" s="294">
        <v>0</v>
      </c>
      <c r="DF141" s="294">
        <v>-9964</v>
      </c>
      <c r="DG141" s="294">
        <v>-109750</v>
      </c>
      <c r="DH141" s="294">
        <v>-906430.56</v>
      </c>
      <c r="DI141" s="294">
        <v>-20135</v>
      </c>
      <c r="DJ141" s="294">
        <v>-46707</v>
      </c>
      <c r="DK141" s="294">
        <v>-424530</v>
      </c>
      <c r="DL141" s="294">
        <v>-212199</v>
      </c>
      <c r="DM141" s="294">
        <v>-178528</v>
      </c>
      <c r="DN141" s="294">
        <v>-84146</v>
      </c>
      <c r="DO141" s="294">
        <v>-63470</v>
      </c>
      <c r="DP141" s="294">
        <v>-106621</v>
      </c>
      <c r="DQ141" s="294">
        <v>-413198</v>
      </c>
      <c r="DR141" s="294">
        <v>-79645</v>
      </c>
      <c r="DS141" s="294">
        <v>-812898</v>
      </c>
      <c r="DT141" s="294">
        <v>-1359</v>
      </c>
      <c r="DU141" s="294">
        <v>-99941</v>
      </c>
      <c r="DV141" s="294">
        <v>-115656</v>
      </c>
      <c r="DW141" s="294">
        <v>-2938</v>
      </c>
      <c r="DX141" s="294"/>
      <c r="DY141" s="294"/>
      <c r="DZ141" s="294">
        <v>-1430</v>
      </c>
      <c r="EA141" s="294">
        <v>-100000</v>
      </c>
      <c r="EB141" s="294"/>
      <c r="EC141" s="294">
        <v>-412</v>
      </c>
      <c r="ED141" s="294"/>
      <c r="EE141" s="294">
        <v>-925</v>
      </c>
      <c r="EF141" s="294">
        <v>-45792</v>
      </c>
      <c r="EG141" s="294">
        <v>-22284</v>
      </c>
      <c r="EH141" s="294">
        <v>0</v>
      </c>
      <c r="EI141" s="294">
        <v>-41599</v>
      </c>
      <c r="EJ141" s="294">
        <v>-100238</v>
      </c>
      <c r="EK141" s="294">
        <v>-29120</v>
      </c>
      <c r="EL141" s="294">
        <v>-1030</v>
      </c>
      <c r="EM141" s="294"/>
      <c r="EN141" s="294">
        <v>-783538.65</v>
      </c>
      <c r="EO141" s="294"/>
      <c r="EP141" s="294"/>
      <c r="EQ141" s="294"/>
      <c r="ER141" s="294"/>
      <c r="ES141" s="294">
        <v>0</v>
      </c>
      <c r="ET141" s="294"/>
      <c r="EU141" s="294"/>
      <c r="EV141" s="294"/>
      <c r="EW141" s="294">
        <v>-2821.8</v>
      </c>
      <c r="EX141" s="294"/>
      <c r="EY141" s="294">
        <v>-412</v>
      </c>
      <c r="EZ141" s="294">
        <v>0</v>
      </c>
      <c r="FA141" s="294">
        <v>0</v>
      </c>
      <c r="FB141" s="294">
        <v>-9999</v>
      </c>
      <c r="FC141" s="294">
        <v>-38728</v>
      </c>
      <c r="FD141" s="294">
        <v>-528</v>
      </c>
      <c r="FE141" s="294">
        <v>-77424.679999999993</v>
      </c>
      <c r="FF141" s="294"/>
      <c r="FG141" s="294">
        <v>0</v>
      </c>
      <c r="FH141" s="294">
        <v>0</v>
      </c>
      <c r="FI141" s="294">
        <v>-380</v>
      </c>
      <c r="FJ141" s="294">
        <v>-1304</v>
      </c>
      <c r="FK141" s="294"/>
      <c r="FL141" s="294">
        <v>-64084</v>
      </c>
      <c r="FM141" s="294">
        <v>-4552</v>
      </c>
      <c r="FN141" s="294">
        <v>-66963</v>
      </c>
      <c r="FO141" s="294"/>
      <c r="FP141" s="294"/>
      <c r="FQ141" s="294">
        <v>-681539.65</v>
      </c>
      <c r="FR141" s="294">
        <v>-319539</v>
      </c>
      <c r="FS141" s="294">
        <v>-23510</v>
      </c>
      <c r="FT141" s="294">
        <v>-56975</v>
      </c>
      <c r="FU141" s="294">
        <v>-61260</v>
      </c>
      <c r="FV141" s="294">
        <v>-33992</v>
      </c>
      <c r="FW141" s="294"/>
      <c r="FX141" s="294">
        <v>-43493</v>
      </c>
      <c r="FY141" s="294">
        <v>-16662</v>
      </c>
      <c r="FZ141" s="294">
        <v>-65219.67</v>
      </c>
      <c r="GA141" s="294">
        <v>-119398</v>
      </c>
      <c r="GB141" s="294">
        <v>-39859</v>
      </c>
      <c r="GC141" s="294">
        <v>-9888</v>
      </c>
      <c r="GD141" s="294"/>
      <c r="GE141" s="294">
        <v>0</v>
      </c>
      <c r="GF141" s="294"/>
      <c r="GG141" s="294">
        <v>-18349</v>
      </c>
      <c r="GH141" s="294">
        <v>15498</v>
      </c>
      <c r="GI141" s="294">
        <v>0</v>
      </c>
      <c r="GJ141" s="294">
        <v>-23492</v>
      </c>
      <c r="GK141" s="294"/>
      <c r="GL141" s="294">
        <v>-47030</v>
      </c>
      <c r="GM141" s="294">
        <v>0</v>
      </c>
      <c r="GN141" s="294"/>
      <c r="GO141" s="294"/>
      <c r="GP141" s="294"/>
      <c r="GQ141" s="294"/>
      <c r="GR141" s="294"/>
      <c r="GS141" s="294"/>
      <c r="GT141" s="294"/>
      <c r="GU141" s="294">
        <v>0</v>
      </c>
      <c r="GV141" s="294"/>
      <c r="GW141" s="294"/>
      <c r="GX141" s="294"/>
      <c r="GY141" s="294">
        <v>-237242</v>
      </c>
      <c r="GZ141" s="294"/>
      <c r="HA141" s="294"/>
      <c r="HB141" s="294"/>
      <c r="HC141" s="294">
        <v>-1239226.48</v>
      </c>
      <c r="HD141" s="294"/>
      <c r="HE141" s="294">
        <v>-1239449</v>
      </c>
      <c r="HF141" s="294">
        <v>-1714399</v>
      </c>
      <c r="HG141" s="294">
        <v>-1558618</v>
      </c>
      <c r="HH141" s="294">
        <v>-2617044</v>
      </c>
      <c r="HI141" s="294">
        <v>-2111</v>
      </c>
      <c r="HJ141" s="294">
        <v>-682955.93</v>
      </c>
      <c r="HK141" s="294">
        <v>-1225601</v>
      </c>
      <c r="HL141" s="294">
        <v>-739487</v>
      </c>
      <c r="HM141" s="294">
        <v>-1825666</v>
      </c>
      <c r="HN141" s="294">
        <v>-382193</v>
      </c>
      <c r="HO141" s="294">
        <v>-376697</v>
      </c>
      <c r="HP141" s="294">
        <v>-1957212</v>
      </c>
      <c r="HQ141" s="294">
        <v>-1088169</v>
      </c>
      <c r="HR141" s="294">
        <v>-101018</v>
      </c>
      <c r="HS141" s="294">
        <v>-320940</v>
      </c>
      <c r="HT141" s="294">
        <v>-412</v>
      </c>
      <c r="HU141" s="294">
        <v>-58201</v>
      </c>
      <c r="HV141" s="294">
        <v>-63498</v>
      </c>
      <c r="HW141" s="294"/>
      <c r="HX141" s="294">
        <v>-193017</v>
      </c>
      <c r="HY141" s="294">
        <v>-4224</v>
      </c>
      <c r="HZ141" s="294">
        <v>-791</v>
      </c>
      <c r="IA141" s="294">
        <v>-116</v>
      </c>
      <c r="IB141" s="294">
        <v>-206</v>
      </c>
      <c r="IC141" s="294">
        <v>-1321</v>
      </c>
      <c r="ID141" s="294"/>
      <c r="IE141" s="294">
        <v>-2715</v>
      </c>
      <c r="IF141" s="294"/>
      <c r="IG141" s="294">
        <v>-74649</v>
      </c>
      <c r="IH141" s="294"/>
      <c r="II141" s="294">
        <v>-83322</v>
      </c>
      <c r="IJ141" s="294">
        <v>-58266</v>
      </c>
      <c r="IK141" s="294">
        <v>-224214</v>
      </c>
      <c r="IL141" s="294"/>
      <c r="IM141" s="294"/>
      <c r="IN141" s="294">
        <v>-2060</v>
      </c>
      <c r="IO141" s="294">
        <v>-4416</v>
      </c>
      <c r="IP141" s="294">
        <v>-36563</v>
      </c>
      <c r="IQ141" s="294"/>
      <c r="IR141" s="294">
        <v>-191161</v>
      </c>
      <c r="IS141" s="294">
        <v>-854662</v>
      </c>
      <c r="IT141" s="294">
        <v>-593854</v>
      </c>
      <c r="IU141" s="294">
        <v>0</v>
      </c>
      <c r="IV141" s="294"/>
      <c r="IW141" s="294">
        <v>-323777</v>
      </c>
      <c r="IX141" s="294">
        <v>-1030</v>
      </c>
      <c r="IY141" s="294"/>
      <c r="IZ141" s="294"/>
      <c r="JA141" s="294"/>
      <c r="JB141" s="294">
        <v>0</v>
      </c>
      <c r="JC141" s="294"/>
      <c r="JD141" s="294">
        <v>0</v>
      </c>
      <c r="JE141" s="294">
        <v>-1073</v>
      </c>
      <c r="JF141" s="294">
        <v>-2958</v>
      </c>
      <c r="JG141" s="294">
        <v>-1594</v>
      </c>
      <c r="JH141" s="294"/>
      <c r="JI141" s="294"/>
      <c r="JJ141" s="294">
        <v>-18124</v>
      </c>
      <c r="JK141" s="294">
        <v>-775926.51</v>
      </c>
      <c r="JL141" s="294">
        <v>0</v>
      </c>
      <c r="JM141" s="294"/>
      <c r="JN141" s="294">
        <v>-18038</v>
      </c>
      <c r="JO141" s="294">
        <v>-11536</v>
      </c>
      <c r="JP141" s="294"/>
      <c r="JQ141" s="294"/>
      <c r="JR141" s="294"/>
      <c r="JS141" s="294"/>
      <c r="JT141" s="294"/>
      <c r="JU141" s="294"/>
      <c r="JV141" s="294"/>
      <c r="JW141" s="294"/>
      <c r="JX141" s="294"/>
      <c r="JY141" s="294"/>
      <c r="JZ141" s="294"/>
      <c r="KA141" s="294"/>
      <c r="KB141" s="294"/>
      <c r="KC141" s="294"/>
      <c r="KD141" s="294"/>
      <c r="KE141" s="294"/>
      <c r="KF141" s="294"/>
      <c r="KG141" s="294"/>
      <c r="KH141" s="294"/>
      <c r="KI141" s="294">
        <v>-898552</v>
      </c>
      <c r="KJ141" s="294">
        <v>-301697</v>
      </c>
      <c r="KK141" s="294">
        <v>-11268</v>
      </c>
      <c r="KL141" s="294">
        <v>-42423</v>
      </c>
      <c r="KM141" s="294">
        <v>-55400</v>
      </c>
      <c r="KN141" s="294">
        <v>-70626</v>
      </c>
      <c r="KO141" s="294">
        <v>-356491</v>
      </c>
      <c r="KP141" s="294">
        <v>-7260</v>
      </c>
      <c r="KQ141" s="294">
        <v>-40287</v>
      </c>
      <c r="KR141" s="294">
        <v>-11421</v>
      </c>
      <c r="KS141" s="294">
        <v>-2492</v>
      </c>
      <c r="KT141" s="294">
        <v>-11196</v>
      </c>
      <c r="KU141" s="294">
        <v>-237844</v>
      </c>
      <c r="KV141" s="294">
        <v>-612</v>
      </c>
      <c r="KW141" s="294">
        <v>-14696</v>
      </c>
      <c r="KX141" s="294">
        <v>-8420</v>
      </c>
      <c r="KY141" s="294">
        <v>-6534</v>
      </c>
      <c r="KZ141" s="294">
        <v>-178743</v>
      </c>
      <c r="LA141" s="294">
        <v>-54181</v>
      </c>
      <c r="LB141" s="294">
        <v>-87760</v>
      </c>
      <c r="LC141" s="294">
        <v>-69090</v>
      </c>
      <c r="LD141" s="294">
        <v>-13531</v>
      </c>
      <c r="LE141" s="294">
        <v>-268384</v>
      </c>
      <c r="LF141" s="294">
        <v>-50981</v>
      </c>
      <c r="LG141" s="294">
        <v>-4818492.55</v>
      </c>
      <c r="LH141" s="294">
        <v>-5918</v>
      </c>
      <c r="LI141" s="294">
        <v>-717270</v>
      </c>
      <c r="LJ141" s="294">
        <v>-42601</v>
      </c>
      <c r="LK141" s="294">
        <v>-234748</v>
      </c>
      <c r="LL141" s="294">
        <v>-919111</v>
      </c>
      <c r="LM141" s="294"/>
      <c r="LN141" s="294">
        <v>-795041</v>
      </c>
      <c r="LO141" s="294">
        <v>-37614</v>
      </c>
      <c r="LP141" s="294">
        <v>-445670</v>
      </c>
      <c r="LQ141" s="294">
        <v>0</v>
      </c>
      <c r="LR141" s="294">
        <v>-16453</v>
      </c>
      <c r="LS141" s="294"/>
      <c r="LT141" s="294"/>
      <c r="LU141" s="294">
        <v>-1487560.6</v>
      </c>
      <c r="LV141" s="294">
        <v>-2735303.68</v>
      </c>
      <c r="LW141" s="294">
        <v>-694534</v>
      </c>
      <c r="LX141" s="294">
        <v>-85914.17</v>
      </c>
      <c r="LY141" s="294">
        <v>-118507.75</v>
      </c>
      <c r="LZ141" s="294">
        <v>-67361</v>
      </c>
      <c r="MA141" s="294">
        <v>-254338.5</v>
      </c>
      <c r="MB141" s="294"/>
      <c r="MC141" s="294">
        <v>-95203</v>
      </c>
      <c r="MD141" s="294">
        <v>-116662</v>
      </c>
      <c r="ME141" s="294">
        <v>-115528</v>
      </c>
      <c r="MF141" s="294"/>
      <c r="MG141" s="294">
        <v>-20886</v>
      </c>
      <c r="MH141" s="294">
        <v>-204108</v>
      </c>
      <c r="MI141" s="294">
        <v>-3009</v>
      </c>
      <c r="MJ141" s="294">
        <v>-18913</v>
      </c>
      <c r="MK141" s="294">
        <v>-2566</v>
      </c>
      <c r="ML141" s="294">
        <v>-9213</v>
      </c>
      <c r="MM141" s="294">
        <v>-24797</v>
      </c>
      <c r="MN141" s="294">
        <v>-18641</v>
      </c>
      <c r="MO141" s="294">
        <v>-5658</v>
      </c>
      <c r="MP141" s="294">
        <v>-2657</v>
      </c>
      <c r="MQ141" s="294">
        <v>-1155</v>
      </c>
      <c r="MR141" s="294">
        <v>-5656</v>
      </c>
      <c r="MS141" s="294">
        <v>-300664</v>
      </c>
      <c r="MT141" s="294">
        <v>-145869.95000000001</v>
      </c>
      <c r="MU141" s="294">
        <v>-75744</v>
      </c>
      <c r="MV141" s="294">
        <v>-2493</v>
      </c>
      <c r="MW141" s="294">
        <v>-1150275</v>
      </c>
      <c r="MX141" s="294">
        <v>-500547</v>
      </c>
      <c r="MY141" s="294">
        <v>-609343</v>
      </c>
      <c r="MZ141" s="294">
        <v>-3322</v>
      </c>
      <c r="NA141" s="294">
        <v>-788467</v>
      </c>
      <c r="NB141" s="294">
        <v>-183239.5</v>
      </c>
      <c r="NC141" s="294">
        <v>-2750</v>
      </c>
      <c r="ND141" s="294">
        <v>-9401856.4499999993</v>
      </c>
      <c r="NE141" s="294">
        <v>-4544421.84</v>
      </c>
      <c r="NF141" s="294">
        <v>-799687.67</v>
      </c>
      <c r="NG141" s="294">
        <v>-5034740.47</v>
      </c>
      <c r="NH141" s="294">
        <v>-1740213</v>
      </c>
      <c r="NI141" s="294">
        <v>-1906781</v>
      </c>
      <c r="NJ141" s="294">
        <v>-1706829</v>
      </c>
      <c r="NK141" s="294">
        <v>-6831735.7800000003</v>
      </c>
      <c r="NL141" s="294">
        <v>-131451</v>
      </c>
      <c r="NM141" s="294">
        <v>-3957905.5</v>
      </c>
      <c r="NN141" s="294">
        <v>-2241227.52</v>
      </c>
      <c r="NO141" s="294">
        <v>-326011.09000000003</v>
      </c>
      <c r="NP141" s="294">
        <v>-6335995</v>
      </c>
      <c r="NQ141" s="294"/>
      <c r="NR141" s="294">
        <v>-7574</v>
      </c>
      <c r="NS141" s="294"/>
      <c r="NT141" s="294">
        <v>-8504</v>
      </c>
      <c r="NU141" s="294"/>
      <c r="NV141" s="294"/>
      <c r="NW141" s="294">
        <v>-54827</v>
      </c>
      <c r="NX141" s="294">
        <v>-153976</v>
      </c>
      <c r="NY141" s="294">
        <v>-96827</v>
      </c>
      <c r="NZ141" s="294">
        <v>-2993</v>
      </c>
      <c r="OA141" s="294">
        <v>-95385.07</v>
      </c>
      <c r="OB141" s="294">
        <v>0</v>
      </c>
      <c r="OC141" s="294"/>
      <c r="OD141" s="294">
        <v>-6242801.5999999996</v>
      </c>
      <c r="OE141" s="294">
        <v>-1223039.3999999999</v>
      </c>
      <c r="OF141" s="294">
        <v>-194948.4</v>
      </c>
      <c r="OG141" s="294">
        <v>-1607027.53</v>
      </c>
      <c r="OH141" s="294">
        <v>-972273.9</v>
      </c>
      <c r="OI141" s="294">
        <v>-990075.4</v>
      </c>
      <c r="OJ141" s="294">
        <v>-2025105.6</v>
      </c>
      <c r="OK141" s="294">
        <v>-165872.93</v>
      </c>
      <c r="OL141" s="294">
        <v>-470749</v>
      </c>
      <c r="OM141" s="294">
        <v>-5076318.16</v>
      </c>
      <c r="ON141" s="294">
        <v>-1180988</v>
      </c>
      <c r="OO141" s="294">
        <v>-5897701</v>
      </c>
      <c r="OP141" s="294">
        <v>-1090517</v>
      </c>
      <c r="OQ141" s="294">
        <v>-1383172</v>
      </c>
      <c r="OR141" s="294"/>
      <c r="OS141" s="294">
        <v>-648154.30000000005</v>
      </c>
      <c r="OT141" s="294"/>
      <c r="OU141" s="294">
        <v>-635422</v>
      </c>
      <c r="OV141" s="294">
        <v>-229084</v>
      </c>
      <c r="OW141" s="294">
        <v>-121313</v>
      </c>
      <c r="OX141" s="294">
        <v>-3531598</v>
      </c>
      <c r="OY141" s="294">
        <v>-301610.23999999999</v>
      </c>
      <c r="OZ141" s="294">
        <v>-201708</v>
      </c>
      <c r="PA141" s="294"/>
      <c r="PB141" s="294">
        <v>-76375</v>
      </c>
      <c r="PC141" s="294"/>
      <c r="PD141" s="294"/>
      <c r="PE141" s="294"/>
      <c r="PF141" s="294">
        <v>-4250</v>
      </c>
      <c r="PG141" s="294"/>
      <c r="PH141" s="294"/>
      <c r="PI141" s="294"/>
      <c r="PJ141" s="294"/>
      <c r="PK141" s="294"/>
      <c r="PL141" s="294">
        <v>-7472</v>
      </c>
      <c r="PM141" s="294">
        <v>-5150</v>
      </c>
      <c r="PN141" s="294"/>
      <c r="PO141" s="294"/>
      <c r="PP141" s="294"/>
      <c r="PQ141" s="294"/>
      <c r="PR141" s="294"/>
      <c r="PS141" s="294"/>
      <c r="PT141" s="294"/>
      <c r="PU141" s="294"/>
      <c r="PV141" s="294"/>
      <c r="PW141" s="294"/>
      <c r="PX141" s="294"/>
      <c r="PY141" s="294"/>
      <c r="PZ141" s="294"/>
      <c r="QA141" s="294">
        <v>0</v>
      </c>
      <c r="QB141" s="294"/>
      <c r="QC141" s="294"/>
      <c r="QD141" s="294"/>
      <c r="QE141" s="294"/>
      <c r="QF141" s="294"/>
      <c r="QG141" s="294"/>
      <c r="QH141" s="294"/>
      <c r="QI141" s="294">
        <v>-536</v>
      </c>
      <c r="QJ141" s="294"/>
      <c r="QK141" s="294"/>
      <c r="QL141" s="294"/>
      <c r="QM141" s="294"/>
      <c r="QN141" s="294"/>
      <c r="QO141" s="294">
        <v>-20</v>
      </c>
      <c r="QP141" s="294"/>
      <c r="QQ141" s="294"/>
      <c r="QR141" s="294"/>
      <c r="QS141" s="294"/>
      <c r="QT141" s="294">
        <v>-7893</v>
      </c>
      <c r="QU141" s="294"/>
      <c r="QV141" s="294"/>
      <c r="QW141" s="294"/>
      <c r="QX141" s="294"/>
      <c r="QY141" s="294">
        <v>-7265</v>
      </c>
      <c r="QZ141" s="294"/>
      <c r="RA141" s="294">
        <v>-326</v>
      </c>
      <c r="RB141" s="294"/>
      <c r="RC141" s="294">
        <v>-1558</v>
      </c>
      <c r="RD141" s="294">
        <v>-412</v>
      </c>
      <c r="RE141" s="294"/>
      <c r="RF141" s="294"/>
      <c r="RG141" s="294"/>
      <c r="RH141" s="294">
        <v>-9270</v>
      </c>
      <c r="RI141" s="294"/>
      <c r="RJ141" s="294"/>
      <c r="RK141" s="294"/>
      <c r="RL141" s="294"/>
      <c r="RM141" s="294">
        <v>-4532</v>
      </c>
      <c r="RN141" s="294"/>
      <c r="RO141" s="294">
        <v>-18738</v>
      </c>
      <c r="RP141" s="294">
        <v>0</v>
      </c>
      <c r="RQ141" s="294">
        <v>-824</v>
      </c>
      <c r="RR141" s="294"/>
      <c r="RS141" s="294">
        <v>-65</v>
      </c>
      <c r="RT141" s="294">
        <v>-412</v>
      </c>
      <c r="RU141" s="294"/>
      <c r="RV141" s="294"/>
      <c r="RW141" s="294"/>
      <c r="RX141" s="294"/>
      <c r="RY141" s="294"/>
      <c r="RZ141" s="294"/>
      <c r="SA141" s="294">
        <v>-395275</v>
      </c>
      <c r="SB141" s="294"/>
      <c r="SC141" s="294">
        <v>-132232.4</v>
      </c>
      <c r="SD141" s="294">
        <v>-88078</v>
      </c>
      <c r="SE141" s="294">
        <v>-26344</v>
      </c>
      <c r="SF141" s="294">
        <v>-38184</v>
      </c>
      <c r="SG141" s="294">
        <v>-80958</v>
      </c>
      <c r="SH141" s="294">
        <v>-177203</v>
      </c>
      <c r="SI141" s="294">
        <v>-7416</v>
      </c>
      <c r="SJ141" s="294">
        <v>-5502</v>
      </c>
      <c r="SK141" s="294">
        <v>-66296</v>
      </c>
      <c r="SL141" s="294">
        <v>-3106</v>
      </c>
      <c r="SM141" s="294">
        <v>-2006</v>
      </c>
      <c r="SN141" s="294"/>
      <c r="SO141" s="294"/>
      <c r="SP141" s="294">
        <v>-9476</v>
      </c>
      <c r="SQ141" s="294">
        <v>0</v>
      </c>
      <c r="SR141" s="294">
        <v>0</v>
      </c>
      <c r="SS141" s="294">
        <v>-13701</v>
      </c>
      <c r="ST141" s="294">
        <v>-35252</v>
      </c>
      <c r="SU141" s="294">
        <v>-403497</v>
      </c>
      <c r="SV141" s="294">
        <v>-206</v>
      </c>
      <c r="SW141" s="294">
        <v>-99194</v>
      </c>
      <c r="SX141" s="294">
        <v>-43773</v>
      </c>
      <c r="SY141" s="294">
        <v>-2060</v>
      </c>
      <c r="SZ141" s="294">
        <v>-14626</v>
      </c>
      <c r="TA141" s="294"/>
      <c r="TB141" s="294">
        <v>-60604</v>
      </c>
      <c r="TC141" s="294"/>
      <c r="TD141" s="294">
        <v>-11124</v>
      </c>
      <c r="TE141" s="294"/>
      <c r="TF141" s="294"/>
      <c r="TG141" s="294">
        <v>0</v>
      </c>
      <c r="TH141" s="294">
        <v>0</v>
      </c>
      <c r="TI141" s="294">
        <v>-2049</v>
      </c>
      <c r="TJ141" s="294">
        <v>-3296</v>
      </c>
      <c r="TK141" s="294"/>
      <c r="TL141" s="294">
        <v>-3708</v>
      </c>
      <c r="TM141" s="294">
        <v>-16902</v>
      </c>
      <c r="TN141" s="294">
        <v>-18611</v>
      </c>
      <c r="TO141" s="294"/>
      <c r="TP141" s="294">
        <v>-18350</v>
      </c>
      <c r="TQ141" s="294">
        <v>0</v>
      </c>
      <c r="TR141" s="294">
        <v>-6860</v>
      </c>
      <c r="TS141" s="294">
        <v>0</v>
      </c>
      <c r="TT141" s="294"/>
      <c r="TU141" s="294"/>
      <c r="TV141" s="294">
        <v>-351</v>
      </c>
      <c r="TW141" s="294">
        <v>-824</v>
      </c>
      <c r="TX141" s="294"/>
      <c r="TY141" s="294">
        <v>-86262</v>
      </c>
      <c r="TZ141" s="294">
        <v>-14086</v>
      </c>
      <c r="UA141" s="294">
        <v>-13937</v>
      </c>
      <c r="UB141" s="294">
        <v>-412</v>
      </c>
      <c r="UC141" s="294">
        <v>0</v>
      </c>
      <c r="UD141" s="294">
        <v>-28428</v>
      </c>
      <c r="UE141" s="294">
        <v>-676</v>
      </c>
      <c r="UF141" s="294"/>
      <c r="UG141" s="294"/>
      <c r="UH141" s="294"/>
      <c r="UI141" s="294"/>
      <c r="UJ141" s="294">
        <v>-10918</v>
      </c>
      <c r="UK141" s="294">
        <v>-54248</v>
      </c>
      <c r="UL141" s="294">
        <v>-7416</v>
      </c>
      <c r="UM141" s="294">
        <v>-10684</v>
      </c>
      <c r="UN141" s="294">
        <v>-2794</v>
      </c>
      <c r="UO141" s="294">
        <v>-22041</v>
      </c>
      <c r="UP141" s="294">
        <v>-451937</v>
      </c>
      <c r="UQ141" s="294">
        <v>-7068</v>
      </c>
      <c r="UR141" s="294"/>
      <c r="US141" s="294">
        <v>-37286</v>
      </c>
      <c r="UT141" s="294"/>
      <c r="UU141" s="294"/>
      <c r="UV141" s="294">
        <v>-3708</v>
      </c>
      <c r="UW141" s="294"/>
      <c r="UX141" s="294"/>
      <c r="UY141" s="294">
        <v>-1106</v>
      </c>
      <c r="UZ141" s="294">
        <v>-1236</v>
      </c>
      <c r="VA141" s="294"/>
      <c r="VB141" s="294">
        <v>-17420</v>
      </c>
      <c r="VC141" s="294">
        <v>0</v>
      </c>
      <c r="VD141" s="294"/>
      <c r="VE141" s="294"/>
      <c r="VF141" s="294">
        <v>-11536</v>
      </c>
      <c r="VG141" s="294">
        <v>-1236</v>
      </c>
      <c r="VH141" s="294">
        <v>-22</v>
      </c>
      <c r="VI141" s="294">
        <v>-1854</v>
      </c>
      <c r="VJ141" s="294"/>
      <c r="VK141" s="294"/>
      <c r="VL141" s="294">
        <v>-3380</v>
      </c>
      <c r="VM141" s="294"/>
      <c r="VN141" s="294"/>
      <c r="VO141" s="294"/>
      <c r="VP141" s="294">
        <v>-22048</v>
      </c>
      <c r="VQ141" s="294">
        <v>-67155</v>
      </c>
      <c r="VR141" s="294">
        <v>-22353</v>
      </c>
      <c r="VS141" s="294">
        <v>-412</v>
      </c>
      <c r="VT141" s="294">
        <v>-21444</v>
      </c>
      <c r="VU141" s="294"/>
      <c r="VV141" s="294"/>
      <c r="VW141" s="294"/>
      <c r="VX141" s="294"/>
      <c r="VY141" s="294">
        <v>0</v>
      </c>
      <c r="VZ141" s="294"/>
      <c r="WA141" s="294"/>
      <c r="WB141" s="294"/>
      <c r="WC141" s="294">
        <v>-9616</v>
      </c>
      <c r="WD141" s="294"/>
      <c r="WE141" s="294"/>
      <c r="WF141" s="294">
        <v>-15244</v>
      </c>
      <c r="WG141" s="294">
        <v>-3942</v>
      </c>
      <c r="WH141" s="294">
        <v>-110897</v>
      </c>
      <c r="WI141" s="294"/>
      <c r="WJ141" s="294">
        <v>-46412</v>
      </c>
      <c r="WK141" s="294">
        <v>-23556.77</v>
      </c>
      <c r="WL141" s="294">
        <v>-470</v>
      </c>
      <c r="WM141" s="294">
        <v>0</v>
      </c>
      <c r="WN141" s="294">
        <v>-97693</v>
      </c>
      <c r="WO141" s="294">
        <v>-1236</v>
      </c>
      <c r="WP141" s="294"/>
      <c r="WQ141" s="294">
        <v>-618</v>
      </c>
      <c r="WR141" s="294">
        <v>-99115</v>
      </c>
      <c r="WS141" s="294">
        <v>-364</v>
      </c>
      <c r="WT141" s="294">
        <v>-947</v>
      </c>
      <c r="WU141" s="294">
        <v>-698293</v>
      </c>
      <c r="WV141" s="294">
        <v>0</v>
      </c>
      <c r="WW141" s="294"/>
      <c r="WX141" s="294"/>
      <c r="WY141" s="294">
        <v>-2755</v>
      </c>
      <c r="WZ141" s="294"/>
      <c r="XA141" s="294"/>
      <c r="XB141" s="294">
        <v>-14500</v>
      </c>
      <c r="XC141" s="294"/>
      <c r="XD141" s="294"/>
      <c r="XE141" s="294"/>
      <c r="XF141" s="294">
        <v>0</v>
      </c>
      <c r="XG141" s="294">
        <v>-10159</v>
      </c>
      <c r="XH141" s="294"/>
      <c r="XI141" s="294"/>
      <c r="XJ141" s="294"/>
      <c r="XK141" s="294"/>
      <c r="XL141" s="294"/>
      <c r="XM141" s="294"/>
      <c r="XN141" s="294"/>
      <c r="XO141" s="294"/>
      <c r="XP141" s="294"/>
      <c r="XQ141" s="294"/>
      <c r="XR141" s="294"/>
      <c r="XS141" s="294"/>
      <c r="XT141" s="294"/>
      <c r="XU141" s="294"/>
      <c r="XV141" s="294"/>
      <c r="XW141" s="294"/>
      <c r="XX141" s="294"/>
      <c r="XY141" s="294"/>
      <c r="XZ141" s="294"/>
      <c r="YA141" s="294"/>
      <c r="YB141" s="294"/>
      <c r="YC141" s="294"/>
      <c r="YD141" s="294"/>
      <c r="YE141" s="294">
        <v>-334446</v>
      </c>
      <c r="YF141" s="294"/>
      <c r="YG141" s="294"/>
      <c r="YH141" s="294"/>
      <c r="YI141" s="294"/>
      <c r="YJ141" s="294"/>
      <c r="YK141" s="294"/>
      <c r="YL141" s="294"/>
      <c r="YM141" s="294"/>
      <c r="YN141" s="294"/>
      <c r="YO141" s="294"/>
      <c r="YP141" s="294"/>
      <c r="YQ141" s="294"/>
      <c r="YR141" s="294"/>
      <c r="YS141" s="294"/>
      <c r="YT141" s="294"/>
      <c r="YU141" s="294"/>
      <c r="YV141" s="294"/>
      <c r="YW141" s="294">
        <v>-18768</v>
      </c>
      <c r="YX141" s="294">
        <v>-58075</v>
      </c>
      <c r="YY141" s="294"/>
      <c r="YZ141" s="294">
        <v>-235742.5</v>
      </c>
      <c r="ZA141" s="294"/>
      <c r="ZB141" s="294"/>
      <c r="ZC141" s="294">
        <v>-5052</v>
      </c>
      <c r="ZD141" s="294"/>
      <c r="ZE141" s="294"/>
      <c r="ZF141" s="294"/>
      <c r="ZG141" s="294"/>
      <c r="ZH141" s="294"/>
      <c r="ZI141" s="294"/>
      <c r="ZJ141" s="294"/>
      <c r="ZK141" s="294"/>
      <c r="ZL141" s="294"/>
      <c r="ZM141" s="294"/>
      <c r="ZN141" s="294"/>
      <c r="ZO141" s="294"/>
      <c r="ZP141" s="294"/>
      <c r="ZQ141" s="294"/>
      <c r="ZR141" s="294"/>
      <c r="ZS141" s="294"/>
      <c r="ZT141" s="294">
        <v>-5472</v>
      </c>
      <c r="ZU141" s="294"/>
      <c r="ZV141" s="294"/>
      <c r="ZW141" s="294"/>
      <c r="ZX141" s="294">
        <v>0</v>
      </c>
      <c r="ZY141" s="294"/>
      <c r="ZZ141" s="294"/>
      <c r="AAA141" s="294"/>
      <c r="AAB141" s="294">
        <v>-3708</v>
      </c>
      <c r="AAC141" s="294"/>
      <c r="AAD141" s="294"/>
      <c r="AAE141" s="294"/>
      <c r="AAF141" s="294">
        <v>-2060</v>
      </c>
      <c r="AAG141" s="294"/>
      <c r="AAH141" s="294"/>
      <c r="AAI141" s="294"/>
      <c r="AAJ141" s="294"/>
      <c r="AAK141" s="294"/>
      <c r="AAL141" s="294"/>
      <c r="AAM141" s="294"/>
      <c r="AAN141" s="294">
        <v>-1648</v>
      </c>
      <c r="AAO141" s="294">
        <v>0</v>
      </c>
      <c r="AAP141" s="294"/>
      <c r="AAQ141" s="294"/>
      <c r="AAR141" s="294"/>
      <c r="AAS141" s="294"/>
      <c r="AAT141" s="294"/>
      <c r="AAU141" s="294"/>
      <c r="AAV141" s="294"/>
      <c r="AAW141" s="294"/>
      <c r="AAX141" s="294"/>
      <c r="AAY141" s="294"/>
      <c r="AAZ141" s="294"/>
      <c r="ABA141" s="294"/>
      <c r="ABB141" s="294">
        <v>-398</v>
      </c>
      <c r="ABC141" s="294">
        <v>0</v>
      </c>
      <c r="ABD141" s="294"/>
      <c r="ABE141" s="294"/>
      <c r="ABF141" s="294"/>
      <c r="ABG141" s="294"/>
      <c r="ABH141" s="294"/>
      <c r="ABI141" s="294">
        <v>-1648</v>
      </c>
      <c r="ABJ141" s="294"/>
      <c r="ABK141" s="294">
        <v>0</v>
      </c>
      <c r="ABL141" s="294"/>
      <c r="ABM141" s="294">
        <v>0</v>
      </c>
      <c r="ABN141" s="294"/>
      <c r="ABO141" s="294"/>
      <c r="ABP141" s="294">
        <v>-1266822.01</v>
      </c>
      <c r="ABQ141" s="294"/>
      <c r="ABR141" s="294">
        <v>-540169.30000000005</v>
      </c>
      <c r="ABS141" s="294">
        <v>-299344</v>
      </c>
      <c r="ABT141" s="294">
        <v>-345212</v>
      </c>
      <c r="ABU141" s="294">
        <v>-153672</v>
      </c>
      <c r="ABV141" s="294">
        <v>-212911</v>
      </c>
      <c r="ABW141" s="294"/>
      <c r="ABX141" s="294">
        <v>-3509947.63</v>
      </c>
      <c r="ABY141" s="294">
        <v>-273526</v>
      </c>
      <c r="ABZ141" s="294">
        <v>-1933474.7</v>
      </c>
      <c r="ACA141" s="294">
        <v>-627196</v>
      </c>
      <c r="ACB141" s="294">
        <v>-8176</v>
      </c>
      <c r="ACC141" s="294">
        <v>-34676</v>
      </c>
      <c r="ACD141" s="294">
        <v>-720143</v>
      </c>
      <c r="ACE141" s="294">
        <v>412</v>
      </c>
      <c r="ACF141" s="294">
        <v>-232</v>
      </c>
      <c r="ACG141" s="294">
        <v>-104953</v>
      </c>
      <c r="ACH141" s="294">
        <v>-933164</v>
      </c>
      <c r="ACI141" s="294"/>
      <c r="ACJ141" s="294"/>
      <c r="ACK141" s="294"/>
      <c r="ACL141" s="294">
        <v>-174887</v>
      </c>
      <c r="ACM141" s="294">
        <v>-101056</v>
      </c>
      <c r="ACN141" s="294"/>
      <c r="ACO141" s="294"/>
      <c r="ACP141" s="294"/>
      <c r="ACQ141" s="294"/>
      <c r="ACR141" s="294">
        <v>0</v>
      </c>
      <c r="ACS141" s="294">
        <v>-15411</v>
      </c>
      <c r="ACT141" s="294">
        <v>-54590</v>
      </c>
      <c r="ACU141" s="294"/>
      <c r="ACV141" s="294"/>
      <c r="ACW141" s="294"/>
      <c r="ACX141" s="294">
        <v>0</v>
      </c>
      <c r="ACY141" s="294"/>
      <c r="ACZ141" s="294">
        <v>-13713</v>
      </c>
      <c r="ADA141" s="294">
        <v>0</v>
      </c>
      <c r="ADB141" s="294"/>
      <c r="ADC141" s="294"/>
      <c r="ADD141" s="294"/>
      <c r="ADE141" s="294"/>
      <c r="ADF141" s="294"/>
      <c r="ADG141" s="294"/>
      <c r="ADH141" s="294">
        <v>-83536</v>
      </c>
      <c r="ADI141" s="294">
        <v>-64730</v>
      </c>
      <c r="ADJ141" s="294"/>
      <c r="ADK141" s="294"/>
      <c r="ADL141" s="294">
        <v>-13244</v>
      </c>
      <c r="ADM141" s="294"/>
      <c r="ADN141" s="294">
        <v>-114479</v>
      </c>
      <c r="ADO141" s="294">
        <v>-4119942</v>
      </c>
      <c r="ADP141" s="294">
        <v>-5457155</v>
      </c>
      <c r="ADQ141" s="294">
        <v>-4126712.5</v>
      </c>
      <c r="ADR141" s="294"/>
      <c r="ADS141" s="294">
        <v>-9382</v>
      </c>
      <c r="ADT141" s="294">
        <v>-11231</v>
      </c>
      <c r="ADU141" s="294">
        <v>-21017</v>
      </c>
      <c r="ADV141" s="294">
        <v>-13132</v>
      </c>
      <c r="ADW141" s="294">
        <v>-322</v>
      </c>
      <c r="ADX141" s="294"/>
      <c r="ADY141" s="294">
        <v>0</v>
      </c>
      <c r="ADZ141" s="294">
        <v>-11408</v>
      </c>
      <c r="AEA141" s="294">
        <v>-995787</v>
      </c>
      <c r="AEB141" s="294">
        <v>-766209.75</v>
      </c>
      <c r="AEC141" s="294">
        <v>-1520878</v>
      </c>
      <c r="AED141" s="294">
        <v>-443568</v>
      </c>
      <c r="AEE141" s="294"/>
      <c r="AEF141" s="294"/>
      <c r="AEG141" s="294">
        <v>-134016</v>
      </c>
      <c r="AEH141" s="294">
        <v>-1133455</v>
      </c>
      <c r="AEI141" s="294">
        <v>0</v>
      </c>
      <c r="AEJ141" s="294">
        <v>-113894</v>
      </c>
      <c r="AEK141" s="294">
        <v>-177507.17</v>
      </c>
      <c r="AEL141" s="294">
        <v>-11650.25</v>
      </c>
      <c r="AEM141" s="294">
        <v>-572424.86</v>
      </c>
      <c r="AEN141" s="294"/>
      <c r="AEO141" s="294">
        <v>-246146</v>
      </c>
      <c r="AEP141" s="294"/>
      <c r="AEQ141" s="294">
        <v>-290675.92</v>
      </c>
      <c r="AER141" s="294">
        <v>-1043568.63</v>
      </c>
      <c r="AES141" s="294">
        <v>-8380</v>
      </c>
      <c r="AET141" s="294">
        <v>-37778</v>
      </c>
      <c r="AEU141" s="294">
        <v>-5672</v>
      </c>
      <c r="AEV141" s="294">
        <v>-2736</v>
      </c>
      <c r="AEW141" s="294">
        <v>-35605</v>
      </c>
      <c r="AEX141" s="294">
        <v>-155863.74</v>
      </c>
      <c r="AEY141" s="294">
        <v>-2678</v>
      </c>
      <c r="AEZ141" s="294">
        <v>-77376.3</v>
      </c>
      <c r="AFA141" s="294">
        <v>-108505</v>
      </c>
      <c r="AFB141" s="294">
        <v>-851</v>
      </c>
      <c r="AFC141" s="294">
        <v>-242808</v>
      </c>
      <c r="AFD141" s="294">
        <v>-232</v>
      </c>
      <c r="AFE141" s="294">
        <v>-14140</v>
      </c>
      <c r="AFF141" s="294"/>
      <c r="AFG141" s="294"/>
      <c r="AFH141" s="294">
        <v>-16892</v>
      </c>
      <c r="AFI141" s="294"/>
      <c r="AFJ141" s="294"/>
      <c r="AFK141" s="294"/>
      <c r="AFL141" s="294">
        <v>0</v>
      </c>
      <c r="AFM141" s="294">
        <v>-824</v>
      </c>
      <c r="AFN141" s="294"/>
      <c r="AFO141" s="294"/>
      <c r="AFP141" s="294">
        <v>-877712</v>
      </c>
      <c r="AFQ141" s="294">
        <v>-116</v>
      </c>
      <c r="AFR141" s="294">
        <v>-767345</v>
      </c>
      <c r="AFS141" s="294">
        <v>0</v>
      </c>
      <c r="AFT141" s="294"/>
      <c r="AFU141" s="294"/>
      <c r="AFV141" s="294"/>
      <c r="AFW141" s="294">
        <v>-65827</v>
      </c>
      <c r="AFX141" s="294"/>
      <c r="AFY141" s="294"/>
      <c r="AFZ141" s="294">
        <v>-3707637.16</v>
      </c>
      <c r="AGA141" s="294"/>
      <c r="AGB141" s="294">
        <v>-45220</v>
      </c>
      <c r="AGC141" s="294"/>
      <c r="AGD141" s="294"/>
      <c r="AGE141" s="294"/>
      <c r="AGF141" s="294"/>
      <c r="AGG141" s="294"/>
      <c r="AGH141" s="294"/>
      <c r="AGI141" s="294"/>
      <c r="AGJ141" s="294"/>
      <c r="AGK141" s="294">
        <v>-6251</v>
      </c>
      <c r="AGL141" s="294"/>
      <c r="AGM141" s="294">
        <v>-782661</v>
      </c>
      <c r="AGN141" s="294">
        <v>-62807</v>
      </c>
      <c r="AGO141" s="294"/>
      <c r="AGP141" s="294"/>
      <c r="AGQ141" s="294"/>
      <c r="AGR141" s="294"/>
      <c r="AGS141" s="294"/>
      <c r="AGT141" s="294"/>
      <c r="AGU141" s="294">
        <v>-1848535</v>
      </c>
      <c r="AGV141" s="294">
        <v>-757246</v>
      </c>
      <c r="AGW141" s="294">
        <v>-10562</v>
      </c>
      <c r="AGX141" s="294"/>
      <c r="AGY141" s="294">
        <v>-386325.32</v>
      </c>
      <c r="AGZ141" s="294">
        <v>-672499</v>
      </c>
      <c r="AHA141" s="294">
        <v>-76486</v>
      </c>
      <c r="AHB141" s="294">
        <v>-70244</v>
      </c>
      <c r="AHC141" s="294">
        <v>-2884</v>
      </c>
      <c r="AHD141" s="294">
        <v>-168126</v>
      </c>
      <c r="AHE141" s="294">
        <v>-1141629.5</v>
      </c>
      <c r="AHF141" s="294">
        <v>-103610</v>
      </c>
      <c r="AHG141" s="294">
        <v>-88332</v>
      </c>
      <c r="AHH141" s="294">
        <v>-524441</v>
      </c>
      <c r="AHI141" s="294">
        <v>-209473.5</v>
      </c>
      <c r="AHJ141" s="294">
        <v>-1874952</v>
      </c>
      <c r="AHK141" s="294">
        <v>-492278.7</v>
      </c>
      <c r="AHL141" s="294">
        <v>-1970</v>
      </c>
      <c r="AHM141" s="294">
        <v>0</v>
      </c>
      <c r="AHN141" s="294"/>
      <c r="AHO141" s="294"/>
      <c r="AHP141" s="294">
        <v>-373493.84</v>
      </c>
      <c r="AHQ141" s="294">
        <v>0</v>
      </c>
      <c r="AHR141" s="331"/>
      <c r="AHS141" s="294">
        <f t="shared" si="55"/>
        <v>-214262646.65000001</v>
      </c>
      <c r="AHT141" s="269" t="b">
        <f t="shared" si="54"/>
        <v>1</v>
      </c>
      <c r="AHU141" s="269" t="s">
        <v>6278</v>
      </c>
      <c r="AHV141" s="269" t="s">
        <v>6224</v>
      </c>
      <c r="AHW141" s="269" t="s">
        <v>6225</v>
      </c>
    </row>
    <row r="142" spans="1:907" ht="24.6" x14ac:dyDescent="0.7">
      <c r="A142" s="268" t="s">
        <v>6278</v>
      </c>
      <c r="B142" s="268" t="s">
        <v>6226</v>
      </c>
      <c r="C142" s="269" t="s">
        <v>6227</v>
      </c>
      <c r="D142" s="294"/>
      <c r="E142" s="294"/>
      <c r="F142" s="294"/>
      <c r="G142" s="294"/>
      <c r="H142" s="294"/>
      <c r="I142" s="294"/>
      <c r="J142" s="294">
        <v>-1312000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4"/>
      <c r="AL142" s="294"/>
      <c r="AM142" s="294"/>
      <c r="AN142" s="294"/>
      <c r="AO142" s="294"/>
      <c r="AP142" s="294"/>
      <c r="AQ142" s="294"/>
      <c r="AR142" s="294"/>
      <c r="AS142" s="294"/>
      <c r="AT142" s="294">
        <v>-211000</v>
      </c>
      <c r="AU142" s="294"/>
      <c r="AV142" s="294"/>
      <c r="AW142" s="294"/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>
        <v>-9966</v>
      </c>
      <c r="BJ142" s="294"/>
      <c r="BK142" s="294"/>
      <c r="BL142" s="294"/>
      <c r="BM142" s="294"/>
      <c r="BN142" s="294"/>
      <c r="BO142" s="294"/>
      <c r="BP142" s="294"/>
      <c r="BQ142" s="294"/>
      <c r="BR142" s="294"/>
      <c r="BS142" s="294"/>
      <c r="BT142" s="294"/>
      <c r="BU142" s="294"/>
      <c r="BV142" s="294"/>
      <c r="BW142" s="294"/>
      <c r="BX142" s="294"/>
      <c r="BY142" s="294"/>
      <c r="BZ142" s="294"/>
      <c r="CA142" s="294"/>
      <c r="CB142" s="294"/>
      <c r="CC142" s="294"/>
      <c r="CD142" s="294"/>
      <c r="CE142" s="294"/>
      <c r="CF142" s="294"/>
      <c r="CG142" s="294"/>
      <c r="CH142" s="294"/>
      <c r="CI142" s="294"/>
      <c r="CJ142" s="294"/>
      <c r="CK142" s="294"/>
      <c r="CL142" s="294"/>
      <c r="CM142" s="294"/>
      <c r="CN142" s="294"/>
      <c r="CO142" s="294"/>
      <c r="CP142" s="294"/>
      <c r="CQ142" s="294"/>
      <c r="CR142" s="294"/>
      <c r="CS142" s="294"/>
      <c r="CT142" s="294"/>
      <c r="CU142" s="294"/>
      <c r="CV142" s="294"/>
      <c r="CW142" s="294"/>
      <c r="CX142" s="294"/>
      <c r="CY142" s="294"/>
      <c r="CZ142" s="294"/>
      <c r="DA142" s="294"/>
      <c r="DB142" s="294"/>
      <c r="DC142" s="294"/>
      <c r="DD142" s="294"/>
      <c r="DE142" s="294"/>
      <c r="DF142" s="294"/>
      <c r="DG142" s="294"/>
      <c r="DH142" s="294"/>
      <c r="DI142" s="294"/>
      <c r="DJ142" s="294"/>
      <c r="DK142" s="294"/>
      <c r="DL142" s="294"/>
      <c r="DM142" s="294"/>
      <c r="DN142" s="294"/>
      <c r="DO142" s="294"/>
      <c r="DP142" s="294"/>
      <c r="DQ142" s="294"/>
      <c r="DR142" s="294"/>
      <c r="DS142" s="294"/>
      <c r="DT142" s="294"/>
      <c r="DU142" s="294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>
        <v>-49000</v>
      </c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  <c r="FI142" s="294"/>
      <c r="FJ142" s="294"/>
      <c r="FK142" s="294"/>
      <c r="FL142" s="294"/>
      <c r="FM142" s="294"/>
      <c r="FN142" s="294"/>
      <c r="FO142" s="294"/>
      <c r="FP142" s="294"/>
      <c r="FQ142" s="294">
        <v>-18880900</v>
      </c>
      <c r="FR142" s="294"/>
      <c r="FS142" s="294"/>
      <c r="FT142" s="294"/>
      <c r="FU142" s="294"/>
      <c r="FV142" s="294"/>
      <c r="FW142" s="294"/>
      <c r="FX142" s="294"/>
      <c r="FY142" s="294"/>
      <c r="FZ142" s="294"/>
      <c r="GA142" s="294"/>
      <c r="GB142" s="294"/>
      <c r="GC142" s="294"/>
      <c r="GD142" s="294"/>
      <c r="GE142" s="294"/>
      <c r="GF142" s="294"/>
      <c r="GG142" s="294"/>
      <c r="GH142" s="294"/>
      <c r="GI142" s="294"/>
      <c r="GJ142" s="294"/>
      <c r="GK142" s="294"/>
      <c r="GL142" s="294"/>
      <c r="GM142" s="294"/>
      <c r="GN142" s="294"/>
      <c r="GO142" s="294"/>
      <c r="GP142" s="294"/>
      <c r="GQ142" s="294"/>
      <c r="GR142" s="294"/>
      <c r="GS142" s="294"/>
      <c r="GT142" s="294"/>
      <c r="GU142" s="294"/>
      <c r="GV142" s="294"/>
      <c r="GW142" s="294"/>
      <c r="GX142" s="294"/>
      <c r="GY142" s="294"/>
      <c r="GZ142" s="294"/>
      <c r="HA142" s="294"/>
      <c r="HB142" s="294"/>
      <c r="HC142" s="294"/>
      <c r="HD142" s="294"/>
      <c r="HE142" s="294"/>
      <c r="HF142" s="294"/>
      <c r="HG142" s="294"/>
      <c r="HH142" s="294"/>
      <c r="HI142" s="294"/>
      <c r="HJ142" s="294">
        <v>-496500</v>
      </c>
      <c r="HK142" s="294"/>
      <c r="HL142" s="294"/>
      <c r="HM142" s="294"/>
      <c r="HN142" s="294"/>
      <c r="HO142" s="294"/>
      <c r="HP142" s="294"/>
      <c r="HQ142" s="294"/>
      <c r="HR142" s="294"/>
      <c r="HS142" s="294"/>
      <c r="HT142" s="294"/>
      <c r="HU142" s="294"/>
      <c r="HV142" s="294"/>
      <c r="HW142" s="294"/>
      <c r="HX142" s="294"/>
      <c r="HY142" s="294"/>
      <c r="HZ142" s="294"/>
      <c r="IA142" s="294"/>
      <c r="IB142" s="294"/>
      <c r="IC142" s="294">
        <v>-36909.25</v>
      </c>
      <c r="ID142" s="294"/>
      <c r="IE142" s="294"/>
      <c r="IF142" s="294"/>
      <c r="IG142" s="294"/>
      <c r="IH142" s="294"/>
      <c r="II142" s="294"/>
      <c r="IJ142" s="294"/>
      <c r="IK142" s="294"/>
      <c r="IL142" s="294"/>
      <c r="IM142" s="294">
        <v>-20000</v>
      </c>
      <c r="IN142" s="294"/>
      <c r="IO142" s="294"/>
      <c r="IP142" s="294"/>
      <c r="IQ142" s="294"/>
      <c r="IR142" s="294"/>
      <c r="IS142" s="294"/>
      <c r="IT142" s="294"/>
      <c r="IU142" s="294"/>
      <c r="IV142" s="294"/>
      <c r="IW142" s="294"/>
      <c r="IX142" s="294"/>
      <c r="IY142" s="294"/>
      <c r="IZ142" s="294"/>
      <c r="JA142" s="294"/>
      <c r="JB142" s="294"/>
      <c r="JC142" s="294"/>
      <c r="JD142" s="294"/>
      <c r="JE142" s="294"/>
      <c r="JF142" s="294"/>
      <c r="JG142" s="294"/>
      <c r="JH142" s="294"/>
      <c r="JI142" s="294"/>
      <c r="JJ142" s="294"/>
      <c r="JK142" s="294"/>
      <c r="JL142" s="294"/>
      <c r="JM142" s="294"/>
      <c r="JN142" s="294"/>
      <c r="JO142" s="294"/>
      <c r="JP142" s="294"/>
      <c r="JQ142" s="294"/>
      <c r="JR142" s="294"/>
      <c r="JS142" s="294"/>
      <c r="JT142" s="294"/>
      <c r="JU142" s="294"/>
      <c r="JV142" s="294"/>
      <c r="JW142" s="294"/>
      <c r="JX142" s="294"/>
      <c r="JY142" s="294"/>
      <c r="JZ142" s="294"/>
      <c r="KA142" s="294"/>
      <c r="KB142" s="294"/>
      <c r="KC142" s="294"/>
      <c r="KD142" s="294"/>
      <c r="KE142" s="294"/>
      <c r="KF142" s="294"/>
      <c r="KG142" s="294"/>
      <c r="KH142" s="294"/>
      <c r="KI142" s="294"/>
      <c r="KJ142" s="294"/>
      <c r="KK142" s="294"/>
      <c r="KL142" s="294"/>
      <c r="KM142" s="294"/>
      <c r="KN142" s="294"/>
      <c r="KO142" s="294"/>
      <c r="KP142" s="294"/>
      <c r="KQ142" s="294"/>
      <c r="KR142" s="294"/>
      <c r="KS142" s="294"/>
      <c r="KT142" s="294"/>
      <c r="KU142" s="294"/>
      <c r="KV142" s="294"/>
      <c r="KW142" s="294"/>
      <c r="KX142" s="294"/>
      <c r="KY142" s="294"/>
      <c r="KZ142" s="294"/>
      <c r="LA142" s="294">
        <v>-17000</v>
      </c>
      <c r="LB142" s="294"/>
      <c r="LC142" s="294"/>
      <c r="LD142" s="294"/>
      <c r="LE142" s="294"/>
      <c r="LF142" s="294"/>
      <c r="LG142" s="294"/>
      <c r="LH142" s="294"/>
      <c r="LI142" s="294">
        <v>-11624.2</v>
      </c>
      <c r="LJ142" s="294"/>
      <c r="LK142" s="294"/>
      <c r="LL142" s="294"/>
      <c r="LM142" s="294"/>
      <c r="LN142" s="294"/>
      <c r="LO142" s="294"/>
      <c r="LP142" s="294"/>
      <c r="LQ142" s="294"/>
      <c r="LR142" s="294"/>
      <c r="LS142" s="294"/>
      <c r="LT142" s="294"/>
      <c r="LU142" s="294"/>
      <c r="LV142" s="294"/>
      <c r="LW142" s="294"/>
      <c r="LX142" s="294"/>
      <c r="LY142" s="294"/>
      <c r="LZ142" s="294"/>
      <c r="MA142" s="294"/>
      <c r="MB142" s="294"/>
      <c r="MC142" s="294"/>
      <c r="MD142" s="294"/>
      <c r="ME142" s="294"/>
      <c r="MF142" s="294">
        <v>-110728</v>
      </c>
      <c r="MG142" s="294"/>
      <c r="MH142" s="294"/>
      <c r="MI142" s="294"/>
      <c r="MJ142" s="294"/>
      <c r="MK142" s="294"/>
      <c r="ML142" s="294"/>
      <c r="MM142" s="294"/>
      <c r="MN142" s="294"/>
      <c r="MO142" s="294"/>
      <c r="MP142" s="294">
        <v>-114068</v>
      </c>
      <c r="MQ142" s="294"/>
      <c r="MR142" s="294">
        <v>-2594148.5</v>
      </c>
      <c r="MS142" s="294"/>
      <c r="MT142" s="294"/>
      <c r="MU142" s="294"/>
      <c r="MV142" s="294"/>
      <c r="MW142" s="294"/>
      <c r="MX142" s="294"/>
      <c r="MY142" s="294"/>
      <c r="MZ142" s="294"/>
      <c r="NA142" s="294"/>
      <c r="NB142" s="294"/>
      <c r="NC142" s="294"/>
      <c r="ND142" s="294">
        <v>-2766585.33</v>
      </c>
      <c r="NE142" s="294"/>
      <c r="NF142" s="294"/>
      <c r="NG142" s="294"/>
      <c r="NH142" s="294"/>
      <c r="NI142" s="294"/>
      <c r="NJ142" s="294"/>
      <c r="NK142" s="294"/>
      <c r="NL142" s="294"/>
      <c r="NM142" s="294"/>
      <c r="NN142" s="294"/>
      <c r="NO142" s="294"/>
      <c r="NP142" s="294"/>
      <c r="NQ142" s="294"/>
      <c r="NR142" s="294"/>
      <c r="NS142" s="294"/>
      <c r="NT142" s="294"/>
      <c r="NU142" s="294"/>
      <c r="NV142" s="294"/>
      <c r="NW142" s="294"/>
      <c r="NX142" s="294"/>
      <c r="NY142" s="294"/>
      <c r="NZ142" s="294"/>
      <c r="OA142" s="294"/>
      <c r="OB142" s="294"/>
      <c r="OC142" s="294"/>
      <c r="OD142" s="294">
        <v>-656000</v>
      </c>
      <c r="OE142" s="294"/>
      <c r="OF142" s="294">
        <v>-33000</v>
      </c>
      <c r="OG142" s="294"/>
      <c r="OH142" s="294"/>
      <c r="OI142" s="294"/>
      <c r="OJ142" s="294"/>
      <c r="OK142" s="294"/>
      <c r="OL142" s="294"/>
      <c r="OM142" s="294"/>
      <c r="ON142" s="294"/>
      <c r="OO142" s="294"/>
      <c r="OP142" s="294"/>
      <c r="OQ142" s="294"/>
      <c r="OR142" s="294"/>
      <c r="OS142" s="294">
        <v>-798103</v>
      </c>
      <c r="OT142" s="294"/>
      <c r="OU142" s="294"/>
      <c r="OV142" s="294"/>
      <c r="OW142" s="294"/>
      <c r="OX142" s="294"/>
      <c r="OY142" s="294"/>
      <c r="OZ142" s="294"/>
      <c r="PA142" s="294"/>
      <c r="PB142" s="294"/>
      <c r="PC142" s="294"/>
      <c r="PD142" s="294"/>
      <c r="PE142" s="294"/>
      <c r="PF142" s="294">
        <v>-524795</v>
      </c>
      <c r="PG142" s="294"/>
      <c r="PH142" s="294"/>
      <c r="PI142" s="294"/>
      <c r="PJ142" s="294"/>
      <c r="PK142" s="294"/>
      <c r="PL142" s="294"/>
      <c r="PM142" s="294"/>
      <c r="PN142" s="294"/>
      <c r="PO142" s="294"/>
      <c r="PP142" s="294">
        <v>-406867</v>
      </c>
      <c r="PQ142" s="294"/>
      <c r="PR142" s="294"/>
      <c r="PS142" s="294"/>
      <c r="PT142" s="294"/>
      <c r="PU142" s="294"/>
      <c r="PV142" s="294">
        <v>-212980</v>
      </c>
      <c r="PW142" s="294"/>
      <c r="PX142" s="294"/>
      <c r="PY142" s="294">
        <v>-8000</v>
      </c>
      <c r="PZ142" s="294"/>
      <c r="QA142" s="294"/>
      <c r="QB142" s="294"/>
      <c r="QC142" s="294"/>
      <c r="QD142" s="294"/>
      <c r="QE142" s="294"/>
      <c r="QF142" s="294"/>
      <c r="QG142" s="294"/>
      <c r="QH142" s="294"/>
      <c r="QI142" s="294"/>
      <c r="QJ142" s="294"/>
      <c r="QK142" s="294"/>
      <c r="QL142" s="294"/>
      <c r="QM142" s="294"/>
      <c r="QN142" s="294"/>
      <c r="QO142" s="294"/>
      <c r="QP142" s="294"/>
      <c r="QQ142" s="294"/>
      <c r="QR142" s="294"/>
      <c r="QS142" s="294"/>
      <c r="QT142" s="294"/>
      <c r="QU142" s="294"/>
      <c r="QV142" s="294"/>
      <c r="QW142" s="294"/>
      <c r="QX142" s="294"/>
      <c r="QY142" s="294"/>
      <c r="QZ142" s="294"/>
      <c r="RA142" s="294">
        <v>-39696</v>
      </c>
      <c r="RB142" s="294"/>
      <c r="RC142" s="294"/>
      <c r="RD142" s="294"/>
      <c r="RE142" s="294"/>
      <c r="RF142" s="294"/>
      <c r="RG142" s="294">
        <v>-498000</v>
      </c>
      <c r="RH142" s="294"/>
      <c r="RI142" s="294">
        <v>-332000</v>
      </c>
      <c r="RJ142" s="294"/>
      <c r="RK142" s="294"/>
      <c r="RL142" s="294"/>
      <c r="RM142" s="294"/>
      <c r="RN142" s="294"/>
      <c r="RO142" s="294"/>
      <c r="RP142" s="294"/>
      <c r="RQ142" s="294"/>
      <c r="RR142" s="294"/>
      <c r="RS142" s="294"/>
      <c r="RT142" s="294"/>
      <c r="RU142" s="294"/>
      <c r="RV142" s="294"/>
      <c r="RW142" s="294"/>
      <c r="RX142" s="294"/>
      <c r="RY142" s="294"/>
      <c r="RZ142" s="294"/>
      <c r="SA142" s="294"/>
      <c r="SB142" s="294"/>
      <c r="SC142" s="294"/>
      <c r="SD142" s="294"/>
      <c r="SE142" s="294"/>
      <c r="SF142" s="294">
        <v>-30025</v>
      </c>
      <c r="SG142" s="294"/>
      <c r="SH142" s="294"/>
      <c r="SI142" s="294"/>
      <c r="SJ142" s="294"/>
      <c r="SK142" s="294"/>
      <c r="SL142" s="294"/>
      <c r="SM142" s="294"/>
      <c r="SN142" s="294"/>
      <c r="SO142" s="294"/>
      <c r="SP142" s="294"/>
      <c r="SQ142" s="294"/>
      <c r="SR142" s="294"/>
      <c r="SS142" s="294"/>
      <c r="ST142" s="294"/>
      <c r="SU142" s="294"/>
      <c r="SV142" s="294"/>
      <c r="SW142" s="294"/>
      <c r="SX142" s="294"/>
      <c r="SY142" s="294"/>
      <c r="SZ142" s="294"/>
      <c r="TA142" s="294"/>
      <c r="TB142" s="294"/>
      <c r="TC142" s="294"/>
      <c r="TD142" s="294"/>
      <c r="TE142" s="294"/>
      <c r="TF142" s="294"/>
      <c r="TG142" s="294"/>
      <c r="TH142" s="294"/>
      <c r="TI142" s="294"/>
      <c r="TJ142" s="294"/>
      <c r="TK142" s="294"/>
      <c r="TL142" s="294"/>
      <c r="TM142" s="294"/>
      <c r="TN142" s="294"/>
      <c r="TO142" s="294"/>
      <c r="TP142" s="294"/>
      <c r="TQ142" s="294"/>
      <c r="TR142" s="294"/>
      <c r="TS142" s="294"/>
      <c r="TT142" s="294"/>
      <c r="TU142" s="294"/>
      <c r="TV142" s="294"/>
      <c r="TW142" s="294"/>
      <c r="TX142" s="294"/>
      <c r="TY142" s="294"/>
      <c r="TZ142" s="294"/>
      <c r="UA142" s="294"/>
      <c r="UB142" s="294"/>
      <c r="UC142" s="294"/>
      <c r="UD142" s="294"/>
      <c r="UE142" s="294"/>
      <c r="UF142" s="294"/>
      <c r="UG142" s="294">
        <v>-17500</v>
      </c>
      <c r="UH142" s="294"/>
      <c r="UI142" s="294"/>
      <c r="UJ142" s="294"/>
      <c r="UK142" s="294"/>
      <c r="UL142" s="294"/>
      <c r="UM142" s="294"/>
      <c r="UN142" s="294"/>
      <c r="UO142" s="294"/>
      <c r="UP142" s="294"/>
      <c r="UQ142" s="294"/>
      <c r="UR142" s="294"/>
      <c r="US142" s="294"/>
      <c r="UT142" s="294"/>
      <c r="UU142" s="294"/>
      <c r="UV142" s="294"/>
      <c r="UW142" s="294"/>
      <c r="UX142" s="294"/>
      <c r="UY142" s="294"/>
      <c r="UZ142" s="294"/>
      <c r="VA142" s="294"/>
      <c r="VB142" s="294"/>
      <c r="VC142" s="294"/>
      <c r="VD142" s="294"/>
      <c r="VE142" s="294"/>
      <c r="VF142" s="294"/>
      <c r="VG142" s="294"/>
      <c r="VH142" s="294"/>
      <c r="VI142" s="294"/>
      <c r="VJ142" s="294"/>
      <c r="VK142" s="294"/>
      <c r="VL142" s="294"/>
      <c r="VM142" s="294"/>
      <c r="VN142" s="294"/>
      <c r="VO142" s="294"/>
      <c r="VP142" s="294"/>
      <c r="VQ142" s="294">
        <v>0</v>
      </c>
      <c r="VR142" s="294"/>
      <c r="VS142" s="294"/>
      <c r="VT142" s="294"/>
      <c r="VU142" s="294"/>
      <c r="VV142" s="294"/>
      <c r="VW142" s="294"/>
      <c r="VX142" s="294"/>
      <c r="VY142" s="294"/>
      <c r="VZ142" s="294"/>
      <c r="WA142" s="294"/>
      <c r="WB142" s="294"/>
      <c r="WC142" s="294"/>
      <c r="WD142" s="294"/>
      <c r="WE142" s="294"/>
      <c r="WF142" s="294"/>
      <c r="WG142" s="294"/>
      <c r="WH142" s="294"/>
      <c r="WI142" s="294"/>
      <c r="WJ142" s="294"/>
      <c r="WK142" s="294"/>
      <c r="WL142" s="294"/>
      <c r="WM142" s="294"/>
      <c r="WN142" s="294"/>
      <c r="WO142" s="294"/>
      <c r="WP142" s="294"/>
      <c r="WQ142" s="294"/>
      <c r="WR142" s="294"/>
      <c r="WS142" s="294"/>
      <c r="WT142" s="294"/>
      <c r="WU142" s="294"/>
      <c r="WV142" s="294"/>
      <c r="WW142" s="294"/>
      <c r="WX142" s="294"/>
      <c r="WY142" s="294"/>
      <c r="WZ142" s="294"/>
      <c r="XA142" s="294"/>
      <c r="XB142" s="294"/>
      <c r="XC142" s="294"/>
      <c r="XD142" s="294"/>
      <c r="XE142" s="294"/>
      <c r="XF142" s="294"/>
      <c r="XG142" s="294"/>
      <c r="XH142" s="294"/>
      <c r="XI142" s="294"/>
      <c r="XJ142" s="294"/>
      <c r="XK142" s="294"/>
      <c r="XL142" s="294"/>
      <c r="XM142" s="294"/>
      <c r="XN142" s="294"/>
      <c r="XO142" s="294"/>
      <c r="XP142" s="294"/>
      <c r="XQ142" s="294"/>
      <c r="XR142" s="294"/>
      <c r="XS142" s="294"/>
      <c r="XT142" s="294"/>
      <c r="XU142" s="294"/>
      <c r="XV142" s="294"/>
      <c r="XW142" s="294"/>
      <c r="XX142" s="294"/>
      <c r="XY142" s="294"/>
      <c r="XZ142" s="294"/>
      <c r="YA142" s="294"/>
      <c r="YB142" s="294"/>
      <c r="YC142" s="294"/>
      <c r="YD142" s="294"/>
      <c r="YE142" s="294"/>
      <c r="YF142" s="294"/>
      <c r="YG142" s="294"/>
      <c r="YH142" s="294"/>
      <c r="YI142" s="294">
        <v>-537814.39</v>
      </c>
      <c r="YJ142" s="294"/>
      <c r="YK142" s="294"/>
      <c r="YL142" s="294"/>
      <c r="YM142" s="294"/>
      <c r="YN142" s="294"/>
      <c r="YO142" s="294"/>
      <c r="YP142" s="294"/>
      <c r="YQ142" s="294"/>
      <c r="YR142" s="294"/>
      <c r="YS142" s="294"/>
      <c r="YT142" s="294"/>
      <c r="YU142" s="294"/>
      <c r="YV142" s="294">
        <v>-1794528.22</v>
      </c>
      <c r="YW142" s="294"/>
      <c r="YX142" s="294"/>
      <c r="YY142" s="294"/>
      <c r="YZ142" s="294"/>
      <c r="ZA142" s="294"/>
      <c r="ZB142" s="294"/>
      <c r="ZC142" s="294"/>
      <c r="ZD142" s="294"/>
      <c r="ZE142" s="294"/>
      <c r="ZF142" s="294"/>
      <c r="ZG142" s="294"/>
      <c r="ZH142" s="294"/>
      <c r="ZI142" s="294"/>
      <c r="ZJ142" s="294"/>
      <c r="ZK142" s="294"/>
      <c r="ZL142" s="294"/>
      <c r="ZM142" s="294"/>
      <c r="ZN142" s="294"/>
      <c r="ZO142" s="294"/>
      <c r="ZP142" s="294"/>
      <c r="ZQ142" s="294"/>
      <c r="ZR142" s="294"/>
      <c r="ZS142" s="294"/>
      <c r="ZT142" s="294"/>
      <c r="ZU142" s="294"/>
      <c r="ZV142" s="294"/>
      <c r="ZW142" s="294"/>
      <c r="ZX142" s="294"/>
      <c r="ZY142" s="294"/>
      <c r="ZZ142" s="294"/>
      <c r="AAA142" s="294"/>
      <c r="AAB142" s="294"/>
      <c r="AAC142" s="294"/>
      <c r="AAD142" s="294"/>
      <c r="AAE142" s="294"/>
      <c r="AAF142" s="294"/>
      <c r="AAG142" s="294"/>
      <c r="AAH142" s="294"/>
      <c r="AAI142" s="294"/>
      <c r="AAJ142" s="294"/>
      <c r="AAK142" s="294"/>
      <c r="AAL142" s="294"/>
      <c r="AAM142" s="294"/>
      <c r="AAN142" s="294"/>
      <c r="AAO142" s="294">
        <v>-156000</v>
      </c>
      <c r="AAP142" s="294"/>
      <c r="AAQ142" s="294"/>
      <c r="AAR142" s="294"/>
      <c r="AAS142" s="294"/>
      <c r="AAT142" s="294"/>
      <c r="AAU142" s="294"/>
      <c r="AAV142" s="294"/>
      <c r="AAW142" s="294"/>
      <c r="AAX142" s="294"/>
      <c r="AAY142" s="294"/>
      <c r="AAZ142" s="294"/>
      <c r="ABA142" s="294"/>
      <c r="ABB142" s="294"/>
      <c r="ABC142" s="294">
        <v>0</v>
      </c>
      <c r="ABD142" s="294"/>
      <c r="ABE142" s="294"/>
      <c r="ABF142" s="294"/>
      <c r="ABG142" s="294"/>
      <c r="ABH142" s="294"/>
      <c r="ABI142" s="294"/>
      <c r="ABJ142" s="294"/>
      <c r="ABK142" s="294">
        <v>0</v>
      </c>
      <c r="ABL142" s="294">
        <v>-5500</v>
      </c>
      <c r="ABM142" s="294"/>
      <c r="ABN142" s="294"/>
      <c r="ABO142" s="294"/>
      <c r="ABP142" s="294"/>
      <c r="ABQ142" s="294"/>
      <c r="ABR142" s="294"/>
      <c r="ABS142" s="294"/>
      <c r="ABT142" s="294"/>
      <c r="ABU142" s="294"/>
      <c r="ABV142" s="294"/>
      <c r="ABW142" s="294"/>
      <c r="ABX142" s="294">
        <v>-2562658.21</v>
      </c>
      <c r="ABY142" s="294"/>
      <c r="ABZ142" s="294"/>
      <c r="ACA142" s="294">
        <v>-6000</v>
      </c>
      <c r="ACB142" s="294"/>
      <c r="ACC142" s="294"/>
      <c r="ACD142" s="294">
        <v>-20000</v>
      </c>
      <c r="ACE142" s="294"/>
      <c r="ACF142" s="294"/>
      <c r="ACG142" s="294"/>
      <c r="ACH142" s="294"/>
      <c r="ACI142" s="294"/>
      <c r="ACJ142" s="294"/>
      <c r="ACK142" s="294"/>
      <c r="ACL142" s="294"/>
      <c r="ACM142" s="294"/>
      <c r="ACN142" s="294">
        <v>-46580</v>
      </c>
      <c r="ACO142" s="294"/>
      <c r="ACP142" s="294"/>
      <c r="ACQ142" s="294">
        <v>-230000</v>
      </c>
      <c r="ACR142" s="294"/>
      <c r="ACS142" s="294"/>
      <c r="ACT142" s="294"/>
      <c r="ACU142" s="294"/>
      <c r="ACV142" s="294"/>
      <c r="ACW142" s="294"/>
      <c r="ACX142" s="294"/>
      <c r="ACY142" s="294"/>
      <c r="ACZ142" s="294"/>
      <c r="ADA142" s="294"/>
      <c r="ADB142" s="294"/>
      <c r="ADC142" s="294"/>
      <c r="ADD142" s="294"/>
      <c r="ADE142" s="294"/>
      <c r="ADF142" s="294"/>
      <c r="ADG142" s="294"/>
      <c r="ADH142" s="294"/>
      <c r="ADI142" s="294"/>
      <c r="ADJ142" s="294"/>
      <c r="ADK142" s="294"/>
      <c r="ADL142" s="294"/>
      <c r="ADM142" s="294"/>
      <c r="ADN142" s="294"/>
      <c r="ADO142" s="294"/>
      <c r="ADP142" s="294"/>
      <c r="ADQ142" s="294"/>
      <c r="ADR142" s="294"/>
      <c r="ADS142" s="294">
        <v>-130000</v>
      </c>
      <c r="ADT142" s="294"/>
      <c r="ADU142" s="294"/>
      <c r="ADV142" s="294"/>
      <c r="ADW142" s="294"/>
      <c r="ADX142" s="294"/>
      <c r="ADY142" s="294"/>
      <c r="ADZ142" s="294"/>
      <c r="AEA142" s="294"/>
      <c r="AEB142" s="294"/>
      <c r="AEC142" s="294"/>
      <c r="AED142" s="294"/>
      <c r="AEE142" s="294"/>
      <c r="AEF142" s="294"/>
      <c r="AEG142" s="294"/>
      <c r="AEH142" s="294"/>
      <c r="AEI142" s="294"/>
      <c r="AEJ142" s="294"/>
      <c r="AEK142" s="294"/>
      <c r="AEL142" s="294"/>
      <c r="AEM142" s="294"/>
      <c r="AEN142" s="294"/>
      <c r="AEO142" s="294"/>
      <c r="AEP142" s="294"/>
      <c r="AEQ142" s="294"/>
      <c r="AER142" s="294"/>
      <c r="AES142" s="294"/>
      <c r="AET142" s="294"/>
      <c r="AEU142" s="294"/>
      <c r="AEV142" s="294"/>
      <c r="AEW142" s="294"/>
      <c r="AEX142" s="294"/>
      <c r="AEY142" s="294"/>
      <c r="AEZ142" s="294"/>
      <c r="AFA142" s="294"/>
      <c r="AFB142" s="294"/>
      <c r="AFC142" s="294">
        <v>-93800</v>
      </c>
      <c r="AFD142" s="294"/>
      <c r="AFE142" s="294"/>
      <c r="AFF142" s="294"/>
      <c r="AFG142" s="294"/>
      <c r="AFH142" s="294"/>
      <c r="AFI142" s="294"/>
      <c r="AFJ142" s="294"/>
      <c r="AFK142" s="294"/>
      <c r="AFL142" s="294"/>
      <c r="AFM142" s="294"/>
      <c r="AFN142" s="294"/>
      <c r="AFO142" s="294"/>
      <c r="AFP142" s="294"/>
      <c r="AFQ142" s="294"/>
      <c r="AFR142" s="294"/>
      <c r="AFS142" s="294"/>
      <c r="AFT142" s="294"/>
      <c r="AFU142" s="294"/>
      <c r="AFV142" s="294"/>
      <c r="AFW142" s="294"/>
      <c r="AFX142" s="294"/>
      <c r="AFY142" s="294"/>
      <c r="AFZ142" s="294"/>
      <c r="AGA142" s="294"/>
      <c r="AGB142" s="294"/>
      <c r="AGC142" s="294"/>
      <c r="AGD142" s="294"/>
      <c r="AGE142" s="294"/>
      <c r="AGF142" s="294"/>
      <c r="AGG142" s="294"/>
      <c r="AGH142" s="294"/>
      <c r="AGI142" s="294"/>
      <c r="AGJ142" s="294"/>
      <c r="AGK142" s="294"/>
      <c r="AGL142" s="294"/>
      <c r="AGM142" s="294"/>
      <c r="AGN142" s="294"/>
      <c r="AGO142" s="294"/>
      <c r="AGP142" s="294"/>
      <c r="AGQ142" s="294"/>
      <c r="AGR142" s="294"/>
      <c r="AGS142" s="294"/>
      <c r="AGT142" s="294"/>
      <c r="AGU142" s="294">
        <v>-43400</v>
      </c>
      <c r="AGV142" s="294">
        <v>-201514</v>
      </c>
      <c r="AGW142" s="294"/>
      <c r="AGX142" s="294"/>
      <c r="AGY142" s="294"/>
      <c r="AGZ142" s="294"/>
      <c r="AHA142" s="294"/>
      <c r="AHB142" s="294"/>
      <c r="AHC142" s="294"/>
      <c r="AHD142" s="294"/>
      <c r="AHE142" s="294"/>
      <c r="AHF142" s="294"/>
      <c r="AHG142" s="294"/>
      <c r="AHH142" s="294">
        <v>-12900</v>
      </c>
      <c r="AHI142" s="294"/>
      <c r="AHJ142" s="294"/>
      <c r="AHK142" s="294"/>
      <c r="AHL142" s="294"/>
      <c r="AHM142" s="294"/>
      <c r="AHN142" s="294"/>
      <c r="AHO142" s="294"/>
      <c r="AHP142" s="294"/>
      <c r="AHQ142" s="294"/>
      <c r="AHR142" s="331"/>
      <c r="AHS142" s="294">
        <f>SUM(D142:AHR142)</f>
        <v>-36028090.100000001</v>
      </c>
      <c r="AHT142" s="269" t="b">
        <f t="shared" si="54"/>
        <v>1</v>
      </c>
      <c r="AHU142" s="269" t="s">
        <v>6278</v>
      </c>
      <c r="AHV142" s="269" t="s">
        <v>6226</v>
      </c>
      <c r="AHW142" s="269" t="s">
        <v>6227</v>
      </c>
    </row>
    <row r="143" spans="1:907" ht="24.6" x14ac:dyDescent="0.7">
      <c r="A143" s="268" t="s">
        <v>6278</v>
      </c>
      <c r="B143" s="268" t="s">
        <v>6228</v>
      </c>
      <c r="C143" s="269" t="s">
        <v>6229</v>
      </c>
      <c r="D143" s="294">
        <v>-9015404.8000000007</v>
      </c>
      <c r="E143" s="294">
        <v>-313456</v>
      </c>
      <c r="F143" s="294">
        <v>-770451.67</v>
      </c>
      <c r="G143" s="294">
        <v>-274061.5</v>
      </c>
      <c r="H143" s="294">
        <v>-838661.2</v>
      </c>
      <c r="I143" s="294">
        <v>-410912.17</v>
      </c>
      <c r="J143" s="294">
        <v>-499686.53</v>
      </c>
      <c r="K143" s="294">
        <v>-414490</v>
      </c>
      <c r="L143" s="294">
        <v>-332487</v>
      </c>
      <c r="M143" s="294">
        <v>-178326.5</v>
      </c>
      <c r="N143" s="294">
        <v>-20600</v>
      </c>
      <c r="O143" s="294">
        <v>-326482.75</v>
      </c>
      <c r="P143" s="294">
        <v>-69450</v>
      </c>
      <c r="Q143" s="294">
        <v>-349734</v>
      </c>
      <c r="R143" s="294">
        <v>-201092</v>
      </c>
      <c r="S143" s="294">
        <v>0</v>
      </c>
      <c r="T143" s="294">
        <v>-526187</v>
      </c>
      <c r="U143" s="294">
        <v>-200804.5</v>
      </c>
      <c r="V143" s="294">
        <v>-9240281</v>
      </c>
      <c r="W143" s="294">
        <v>-893238</v>
      </c>
      <c r="X143" s="294">
        <v>-509939.93</v>
      </c>
      <c r="Y143" s="294">
        <v>-118289</v>
      </c>
      <c r="Z143" s="294">
        <v>-247750</v>
      </c>
      <c r="AA143" s="294">
        <v>-425881.45</v>
      </c>
      <c r="AB143" s="294">
        <v>-165923</v>
      </c>
      <c r="AC143" s="294">
        <v>-757915</v>
      </c>
      <c r="AD143" s="294">
        <v>-385905.81</v>
      </c>
      <c r="AE143" s="294">
        <v>-427422.03</v>
      </c>
      <c r="AF143" s="294">
        <v>-360512</v>
      </c>
      <c r="AG143" s="294">
        <v>-373082.9</v>
      </c>
      <c r="AH143" s="294">
        <v>-1231836.9099999999</v>
      </c>
      <c r="AI143" s="294">
        <v>-512816.2</v>
      </c>
      <c r="AJ143" s="294">
        <v>-306237.76</v>
      </c>
      <c r="AK143" s="294">
        <v>-215166</v>
      </c>
      <c r="AL143" s="294">
        <v>-254411</v>
      </c>
      <c r="AM143" s="294"/>
      <c r="AN143" s="294">
        <v>-150575</v>
      </c>
      <c r="AO143" s="294">
        <v>-382591</v>
      </c>
      <c r="AP143" s="294">
        <v>-442650</v>
      </c>
      <c r="AQ143" s="294">
        <v>-313631</v>
      </c>
      <c r="AR143" s="294">
        <v>-190130</v>
      </c>
      <c r="AS143" s="294">
        <v>-88684.14</v>
      </c>
      <c r="AT143" s="294">
        <v>-1105477.6499999999</v>
      </c>
      <c r="AU143" s="294">
        <v>-24485</v>
      </c>
      <c r="AV143" s="294">
        <v>-85022.25</v>
      </c>
      <c r="AW143" s="294">
        <v>-93279</v>
      </c>
      <c r="AX143" s="294">
        <v>-202800</v>
      </c>
      <c r="AY143" s="294">
        <v>-167298</v>
      </c>
      <c r="AZ143" s="294">
        <v>-70153</v>
      </c>
      <c r="BA143" s="294">
        <v>-17400</v>
      </c>
      <c r="BB143" s="294">
        <v>-26622.5</v>
      </c>
      <c r="BC143" s="294">
        <v>-52437</v>
      </c>
      <c r="BD143" s="294">
        <v>-60100</v>
      </c>
      <c r="BE143" s="294">
        <v>-31335</v>
      </c>
      <c r="BF143" s="294">
        <v>-44200</v>
      </c>
      <c r="BG143" s="294">
        <v>-64445</v>
      </c>
      <c r="BH143" s="294">
        <v>-198525</v>
      </c>
      <c r="BI143" s="294">
        <v>-2358284.1</v>
      </c>
      <c r="BJ143" s="294">
        <v>-588466</v>
      </c>
      <c r="BK143" s="294">
        <v>-5900</v>
      </c>
      <c r="BL143" s="294"/>
      <c r="BM143" s="294">
        <v>0</v>
      </c>
      <c r="BN143" s="294"/>
      <c r="BO143" s="294"/>
      <c r="BP143" s="294">
        <v>0</v>
      </c>
      <c r="BQ143" s="294"/>
      <c r="BR143" s="294">
        <v>-5044193.25</v>
      </c>
      <c r="BS143" s="294">
        <v>-111705</v>
      </c>
      <c r="BT143" s="294">
        <v>-322179</v>
      </c>
      <c r="BU143" s="294">
        <v>-121788</v>
      </c>
      <c r="BV143" s="294">
        <v>-408527</v>
      </c>
      <c r="BW143" s="294">
        <v>-56450</v>
      </c>
      <c r="BX143" s="294">
        <v>-85018.5</v>
      </c>
      <c r="BY143" s="294">
        <v>-191760.34</v>
      </c>
      <c r="BZ143" s="294"/>
      <c r="CA143" s="294">
        <v>-96550</v>
      </c>
      <c r="CB143" s="294">
        <v>-153250</v>
      </c>
      <c r="CC143" s="294">
        <v>-201944.75</v>
      </c>
      <c r="CD143" s="294">
        <v>-289326.2</v>
      </c>
      <c r="CE143" s="294">
        <v>-147849</v>
      </c>
      <c r="CF143" s="294"/>
      <c r="CG143" s="294">
        <v>-5042278</v>
      </c>
      <c r="CH143" s="294">
        <v>-501367</v>
      </c>
      <c r="CI143" s="294">
        <v>-1393340.3</v>
      </c>
      <c r="CJ143" s="294">
        <v>-117873</v>
      </c>
      <c r="CK143" s="294">
        <v>-1044539</v>
      </c>
      <c r="CL143" s="294">
        <v>-268135.2</v>
      </c>
      <c r="CM143" s="294">
        <v>-387252</v>
      </c>
      <c r="CN143" s="294">
        <v>-551903.9</v>
      </c>
      <c r="CO143" s="294">
        <v>-102288.5</v>
      </c>
      <c r="CP143" s="294">
        <v>-140103.49</v>
      </c>
      <c r="CQ143" s="294">
        <v>-24503.88</v>
      </c>
      <c r="CR143" s="294">
        <v>-206835.20000000001</v>
      </c>
      <c r="CS143" s="294">
        <v>-290419</v>
      </c>
      <c r="CT143" s="294"/>
      <c r="CU143" s="294">
        <v>-120657.5</v>
      </c>
      <c r="CV143" s="294"/>
      <c r="CW143" s="294">
        <v>-286809</v>
      </c>
      <c r="CX143" s="294">
        <v>-290123.96000000002</v>
      </c>
      <c r="CY143" s="294">
        <v>-276605</v>
      </c>
      <c r="CZ143" s="294">
        <v>-49213.5</v>
      </c>
      <c r="DA143" s="294">
        <v>-195885</v>
      </c>
      <c r="DB143" s="294">
        <v>-1692234</v>
      </c>
      <c r="DC143" s="294">
        <v>-3246632.88</v>
      </c>
      <c r="DD143" s="294">
        <v>-89750</v>
      </c>
      <c r="DE143" s="294">
        <v>-88281</v>
      </c>
      <c r="DF143" s="294">
        <v>-138780</v>
      </c>
      <c r="DG143" s="294">
        <v>-345957.7</v>
      </c>
      <c r="DH143" s="294"/>
      <c r="DI143" s="294"/>
      <c r="DJ143" s="294"/>
      <c r="DK143" s="294">
        <v>-6931854.6799999997</v>
      </c>
      <c r="DL143" s="294"/>
      <c r="DM143" s="294"/>
      <c r="DN143" s="294">
        <v>0</v>
      </c>
      <c r="DO143" s="294">
        <v>-24500</v>
      </c>
      <c r="DP143" s="294"/>
      <c r="DQ143" s="294">
        <v>0</v>
      </c>
      <c r="DR143" s="294"/>
      <c r="DS143" s="294">
        <v>0</v>
      </c>
      <c r="DT143" s="294">
        <v>-2696333.66</v>
      </c>
      <c r="DU143" s="294">
        <v>-213915</v>
      </c>
      <c r="DV143" s="294"/>
      <c r="DW143" s="294">
        <v>-19500</v>
      </c>
      <c r="DX143" s="294">
        <v>-217049</v>
      </c>
      <c r="DY143" s="294">
        <v>-275788</v>
      </c>
      <c r="DZ143" s="294">
        <v>-41483</v>
      </c>
      <c r="EA143" s="294">
        <v>-3000</v>
      </c>
      <c r="EB143" s="294">
        <v>-494499.5</v>
      </c>
      <c r="EC143" s="294">
        <v>-240750</v>
      </c>
      <c r="ED143" s="294">
        <v>-419113</v>
      </c>
      <c r="EE143" s="294">
        <v>-791290</v>
      </c>
      <c r="EF143" s="294">
        <v>-1353906.75</v>
      </c>
      <c r="EG143" s="294">
        <v>-280857</v>
      </c>
      <c r="EH143" s="294">
        <v>-9396</v>
      </c>
      <c r="EI143" s="294">
        <v>-577606.94999999995</v>
      </c>
      <c r="EJ143" s="294">
        <v>-179678.5</v>
      </c>
      <c r="EK143" s="294"/>
      <c r="EL143" s="294">
        <v>-159337</v>
      </c>
      <c r="EM143" s="294">
        <v>-5875</v>
      </c>
      <c r="EN143" s="294">
        <v>-5792076.5899999999</v>
      </c>
      <c r="EO143" s="294">
        <v>-487842.5</v>
      </c>
      <c r="EP143" s="294">
        <v>-233948.93</v>
      </c>
      <c r="EQ143" s="294">
        <v>-258590</v>
      </c>
      <c r="ER143" s="294">
        <v>-147523</v>
      </c>
      <c r="ES143" s="294">
        <v>-169074</v>
      </c>
      <c r="ET143" s="294">
        <v>-372492.25</v>
      </c>
      <c r="EU143" s="294">
        <v>-1039283.5</v>
      </c>
      <c r="EV143" s="294">
        <v>-280859</v>
      </c>
      <c r="EW143" s="294">
        <v>-3261221.95</v>
      </c>
      <c r="EX143" s="294">
        <v>-62442.75</v>
      </c>
      <c r="EY143" s="294">
        <v>-454870.45</v>
      </c>
      <c r="EZ143" s="294">
        <v>-240319</v>
      </c>
      <c r="FA143" s="294">
        <v>-93375</v>
      </c>
      <c r="FB143" s="294">
        <v>-349777.78</v>
      </c>
      <c r="FC143" s="294">
        <v>-279190</v>
      </c>
      <c r="FD143" s="294">
        <v>-194529.84</v>
      </c>
      <c r="FE143" s="294">
        <v>-47840</v>
      </c>
      <c r="FF143" s="294"/>
      <c r="FG143" s="294">
        <v>-45050</v>
      </c>
      <c r="FH143" s="294">
        <v>-241916</v>
      </c>
      <c r="FI143" s="294">
        <v>-1844429.7</v>
      </c>
      <c r="FJ143" s="294">
        <v>-214940</v>
      </c>
      <c r="FK143" s="294">
        <v>-160974</v>
      </c>
      <c r="FL143" s="294">
        <v>-124563.5</v>
      </c>
      <c r="FM143" s="294">
        <v>-56748</v>
      </c>
      <c r="FN143" s="294">
        <v>-298061</v>
      </c>
      <c r="FO143" s="294"/>
      <c r="FP143" s="294">
        <v>-217885</v>
      </c>
      <c r="FQ143" s="294">
        <v>-9478833.5500000007</v>
      </c>
      <c r="FR143" s="294">
        <v>-24000</v>
      </c>
      <c r="FS143" s="294"/>
      <c r="FT143" s="294"/>
      <c r="FU143" s="294"/>
      <c r="FV143" s="294">
        <v>-187142.5</v>
      </c>
      <c r="FW143" s="294"/>
      <c r="FX143" s="294"/>
      <c r="FY143" s="294"/>
      <c r="FZ143" s="294">
        <v>-110400</v>
      </c>
      <c r="GA143" s="294">
        <v>-1563708.15</v>
      </c>
      <c r="GB143" s="294">
        <v>-950</v>
      </c>
      <c r="GC143" s="294"/>
      <c r="GD143" s="294">
        <v>-283726</v>
      </c>
      <c r="GE143" s="294">
        <v>-842020.8</v>
      </c>
      <c r="GF143" s="294">
        <v>-199325</v>
      </c>
      <c r="GG143" s="294"/>
      <c r="GH143" s="294">
        <v>-292139.46999999997</v>
      </c>
      <c r="GI143" s="294">
        <v>-192145.85</v>
      </c>
      <c r="GJ143" s="294">
        <v>-319879.09999999998</v>
      </c>
      <c r="GK143" s="294"/>
      <c r="GL143" s="294">
        <v>-92158</v>
      </c>
      <c r="GM143" s="294">
        <v>-83932</v>
      </c>
      <c r="GN143" s="294">
        <v>-30705</v>
      </c>
      <c r="GO143" s="294">
        <v>-43693.5</v>
      </c>
      <c r="GP143" s="294"/>
      <c r="GQ143" s="294">
        <v>-2857040.19</v>
      </c>
      <c r="GR143" s="294">
        <v>-326582.40000000002</v>
      </c>
      <c r="GS143" s="294">
        <v>-250690</v>
      </c>
      <c r="GT143" s="294">
        <v>-276270</v>
      </c>
      <c r="GU143" s="294">
        <v>-75898</v>
      </c>
      <c r="GV143" s="294">
        <v>-30368.7</v>
      </c>
      <c r="GW143" s="294">
        <v>-69033</v>
      </c>
      <c r="GX143" s="294">
        <v>-134323</v>
      </c>
      <c r="GY143" s="294"/>
      <c r="GZ143" s="294"/>
      <c r="HA143" s="294">
        <v>-22325</v>
      </c>
      <c r="HB143" s="294">
        <v>-17003</v>
      </c>
      <c r="HC143" s="294">
        <v>-5319512.5</v>
      </c>
      <c r="HD143" s="294">
        <v>0</v>
      </c>
      <c r="HE143" s="294"/>
      <c r="HF143" s="294"/>
      <c r="HG143" s="294">
        <v>-1569170</v>
      </c>
      <c r="HH143" s="294"/>
      <c r="HI143" s="294">
        <v>-150530</v>
      </c>
      <c r="HJ143" s="294">
        <v>-7413007.5999999996</v>
      </c>
      <c r="HK143" s="294">
        <v>-139855</v>
      </c>
      <c r="HL143" s="294">
        <v>-958646.04</v>
      </c>
      <c r="HM143" s="294">
        <v>0</v>
      </c>
      <c r="HN143" s="294">
        <v>-169410.73</v>
      </c>
      <c r="HO143" s="294">
        <v>-6750</v>
      </c>
      <c r="HP143" s="294">
        <v>-54253.56</v>
      </c>
      <c r="HQ143" s="294">
        <v>-142002</v>
      </c>
      <c r="HR143" s="294">
        <v>-2731980</v>
      </c>
      <c r="HS143" s="294">
        <v>-1284791.75</v>
      </c>
      <c r="HT143" s="294">
        <v>-59950</v>
      </c>
      <c r="HU143" s="294"/>
      <c r="HV143" s="294">
        <v>-290350.5</v>
      </c>
      <c r="HW143" s="294">
        <v>-528928.06999999995</v>
      </c>
      <c r="HX143" s="294">
        <v>-241760.29</v>
      </c>
      <c r="HY143" s="294">
        <v>-251036.25</v>
      </c>
      <c r="HZ143" s="294">
        <v>-262219</v>
      </c>
      <c r="IA143" s="294">
        <v>-76573.2</v>
      </c>
      <c r="IB143" s="294">
        <v>-199222.3</v>
      </c>
      <c r="IC143" s="294">
        <v>-1016799.85</v>
      </c>
      <c r="ID143" s="294">
        <v>-21941.200000000001</v>
      </c>
      <c r="IE143" s="294">
        <v>-2318932.9500000002</v>
      </c>
      <c r="IF143" s="294">
        <v>-26795.14</v>
      </c>
      <c r="IG143" s="294"/>
      <c r="IH143" s="294"/>
      <c r="II143" s="294">
        <v>-1085623.22</v>
      </c>
      <c r="IJ143" s="294">
        <v>-68434</v>
      </c>
      <c r="IK143" s="294">
        <v>-179944</v>
      </c>
      <c r="IL143" s="294">
        <v>-625651.64</v>
      </c>
      <c r="IM143" s="294">
        <v>-360612.05</v>
      </c>
      <c r="IN143" s="294">
        <v>-125481</v>
      </c>
      <c r="IO143" s="294">
        <v>-27500</v>
      </c>
      <c r="IP143" s="294">
        <v>-141540</v>
      </c>
      <c r="IQ143" s="294">
        <v>-74480</v>
      </c>
      <c r="IR143" s="294">
        <v>-427413.45</v>
      </c>
      <c r="IS143" s="294">
        <v>-8277139.6299999999</v>
      </c>
      <c r="IT143" s="294">
        <v>-1654487.46</v>
      </c>
      <c r="IU143" s="294">
        <v>0</v>
      </c>
      <c r="IV143" s="294">
        <v>-1001771.5</v>
      </c>
      <c r="IW143" s="294">
        <v>-158090</v>
      </c>
      <c r="IX143" s="294">
        <v>-9630</v>
      </c>
      <c r="IY143" s="294"/>
      <c r="IZ143" s="294"/>
      <c r="JA143" s="294"/>
      <c r="JB143" s="294"/>
      <c r="JC143" s="294"/>
      <c r="JD143" s="294">
        <v>-1750</v>
      </c>
      <c r="JE143" s="294">
        <v>-1661895.45</v>
      </c>
      <c r="JF143" s="294"/>
      <c r="JG143" s="294"/>
      <c r="JH143" s="294"/>
      <c r="JI143" s="294"/>
      <c r="JJ143" s="294"/>
      <c r="JK143" s="294">
        <v>-746018</v>
      </c>
      <c r="JL143" s="294"/>
      <c r="JM143" s="294">
        <v>-17977.5</v>
      </c>
      <c r="JN143" s="294">
        <v>-62800</v>
      </c>
      <c r="JO143" s="294"/>
      <c r="JP143" s="294"/>
      <c r="JQ143" s="294"/>
      <c r="JR143" s="294">
        <v>-3320073.9</v>
      </c>
      <c r="JS143" s="294">
        <v>-2572319.9</v>
      </c>
      <c r="JT143" s="294">
        <v>-274581</v>
      </c>
      <c r="JU143" s="294"/>
      <c r="JV143" s="294">
        <v>-324504</v>
      </c>
      <c r="JW143" s="294">
        <v>-153400</v>
      </c>
      <c r="JX143" s="294"/>
      <c r="JY143" s="294"/>
      <c r="JZ143" s="294"/>
      <c r="KA143" s="294">
        <v>-357365</v>
      </c>
      <c r="KB143" s="294"/>
      <c r="KC143" s="294">
        <v>-477520</v>
      </c>
      <c r="KD143" s="294"/>
      <c r="KE143" s="294">
        <v>-49800</v>
      </c>
      <c r="KF143" s="294">
        <v>-190332.75</v>
      </c>
      <c r="KG143" s="294"/>
      <c r="KH143" s="294">
        <v>-5236120.25</v>
      </c>
      <c r="KI143" s="294">
        <v>-523356</v>
      </c>
      <c r="KJ143" s="294">
        <v>-711819.4</v>
      </c>
      <c r="KK143" s="294">
        <v>-301301.40999999997</v>
      </c>
      <c r="KL143" s="294">
        <v>-544731.85</v>
      </c>
      <c r="KM143" s="294">
        <v>-836169.9</v>
      </c>
      <c r="KN143" s="294">
        <v>-1103569.6100000001</v>
      </c>
      <c r="KO143" s="294"/>
      <c r="KP143" s="294">
        <v>-499207.1</v>
      </c>
      <c r="KQ143" s="294">
        <v>-1202837.21</v>
      </c>
      <c r="KR143" s="294">
        <v>-81740</v>
      </c>
      <c r="KS143" s="294"/>
      <c r="KT143" s="294"/>
      <c r="KU143" s="294"/>
      <c r="KV143" s="294">
        <v>-42300</v>
      </c>
      <c r="KW143" s="294">
        <v>-8391974.6400000006</v>
      </c>
      <c r="KX143" s="294"/>
      <c r="KY143" s="294">
        <v>-4138247.55</v>
      </c>
      <c r="KZ143" s="294"/>
      <c r="LA143" s="294"/>
      <c r="LB143" s="294">
        <v>-33600</v>
      </c>
      <c r="LC143" s="294"/>
      <c r="LD143" s="294">
        <v>-11900</v>
      </c>
      <c r="LE143" s="294">
        <v>-333421</v>
      </c>
      <c r="LF143" s="294">
        <v>-20683</v>
      </c>
      <c r="LG143" s="294">
        <v>-6817836.5</v>
      </c>
      <c r="LH143" s="294">
        <v>-804782.6</v>
      </c>
      <c r="LI143" s="294">
        <v>-1127138</v>
      </c>
      <c r="LJ143" s="294">
        <v>-2641260</v>
      </c>
      <c r="LK143" s="294">
        <v>-544247.06000000006</v>
      </c>
      <c r="LL143" s="294"/>
      <c r="LM143" s="294">
        <v>-238150</v>
      </c>
      <c r="LN143" s="294"/>
      <c r="LO143" s="294">
        <v>-695232</v>
      </c>
      <c r="LP143" s="294"/>
      <c r="LQ143" s="294">
        <v>-290530</v>
      </c>
      <c r="LR143" s="294">
        <v>-1276696.5</v>
      </c>
      <c r="LS143" s="294">
        <v>-122237</v>
      </c>
      <c r="LT143" s="294">
        <v>-165976.5</v>
      </c>
      <c r="LU143" s="294">
        <v>-6880510</v>
      </c>
      <c r="LV143" s="294">
        <v>-2640844.7400000002</v>
      </c>
      <c r="LW143" s="294"/>
      <c r="LX143" s="294"/>
      <c r="LY143" s="294">
        <v>0</v>
      </c>
      <c r="LZ143" s="294">
        <v>-1577121.5</v>
      </c>
      <c r="MA143" s="294">
        <v>-801552.1</v>
      </c>
      <c r="MB143" s="294"/>
      <c r="MC143" s="294">
        <v>-421034.5</v>
      </c>
      <c r="MD143" s="294">
        <v>-1683982</v>
      </c>
      <c r="ME143" s="294">
        <v>-633892</v>
      </c>
      <c r="MF143" s="294">
        <v>-549341.6</v>
      </c>
      <c r="MG143" s="294">
        <v>-7340612.96</v>
      </c>
      <c r="MH143" s="294"/>
      <c r="MI143" s="294">
        <v>-119065</v>
      </c>
      <c r="MJ143" s="294"/>
      <c r="MK143" s="294">
        <v>-297525</v>
      </c>
      <c r="ML143" s="294">
        <v>-466472</v>
      </c>
      <c r="MM143" s="294"/>
      <c r="MN143" s="294">
        <v>-267069.59999999998</v>
      </c>
      <c r="MO143" s="294">
        <v>-161405.9</v>
      </c>
      <c r="MP143" s="294">
        <v>-491125</v>
      </c>
      <c r="MQ143" s="294"/>
      <c r="MR143" s="294">
        <v>-134825</v>
      </c>
      <c r="MS143" s="294">
        <v>-4484053.2</v>
      </c>
      <c r="MT143" s="294">
        <v>-151722</v>
      </c>
      <c r="MU143" s="294">
        <v>-269465</v>
      </c>
      <c r="MV143" s="294">
        <v>-367306</v>
      </c>
      <c r="MW143" s="294"/>
      <c r="MX143" s="294">
        <v>-54815</v>
      </c>
      <c r="MY143" s="294">
        <v>-1560881.61</v>
      </c>
      <c r="MZ143" s="294">
        <v>-1611070</v>
      </c>
      <c r="NA143" s="294">
        <v>-521967.55</v>
      </c>
      <c r="NB143" s="294">
        <v>-38120</v>
      </c>
      <c r="NC143" s="294">
        <v>-83946</v>
      </c>
      <c r="ND143" s="294">
        <v>-8845799.0199999996</v>
      </c>
      <c r="NE143" s="294">
        <v>-1826254.23</v>
      </c>
      <c r="NF143" s="294">
        <v>0</v>
      </c>
      <c r="NG143" s="294">
        <v>-4082943</v>
      </c>
      <c r="NH143" s="294">
        <v>-110048</v>
      </c>
      <c r="NI143" s="294">
        <v>-764029.29</v>
      </c>
      <c r="NJ143" s="294">
        <v>-163237.99</v>
      </c>
      <c r="NK143" s="294">
        <v>-198585.99</v>
      </c>
      <c r="NL143" s="294">
        <v>-59644.56</v>
      </c>
      <c r="NM143" s="294">
        <v>-228745</v>
      </c>
      <c r="NN143" s="294"/>
      <c r="NO143" s="294">
        <v>-188017</v>
      </c>
      <c r="NP143" s="294">
        <v>-1778153</v>
      </c>
      <c r="NQ143" s="294"/>
      <c r="NR143" s="294">
        <v>0</v>
      </c>
      <c r="NS143" s="294"/>
      <c r="NT143" s="294"/>
      <c r="NU143" s="294"/>
      <c r="NV143" s="294">
        <v>-16725</v>
      </c>
      <c r="NW143" s="294"/>
      <c r="NX143" s="294">
        <v>-943876.49</v>
      </c>
      <c r="NY143" s="294"/>
      <c r="NZ143" s="294">
        <v>-122575</v>
      </c>
      <c r="OA143" s="294"/>
      <c r="OB143" s="294">
        <v>-24900</v>
      </c>
      <c r="OC143" s="294">
        <v>-139500</v>
      </c>
      <c r="OD143" s="294">
        <v>-11050644.18</v>
      </c>
      <c r="OE143" s="294">
        <v>-878344</v>
      </c>
      <c r="OF143" s="294">
        <v>-984206.98</v>
      </c>
      <c r="OG143" s="294">
        <v>-2520786.65</v>
      </c>
      <c r="OH143" s="294">
        <v>-562939.5</v>
      </c>
      <c r="OI143" s="294">
        <v>-2899017</v>
      </c>
      <c r="OJ143" s="294"/>
      <c r="OK143" s="294">
        <v>-720278.75</v>
      </c>
      <c r="OL143" s="294"/>
      <c r="OM143" s="294">
        <v>-9432607</v>
      </c>
      <c r="ON143" s="294">
        <v>-345803.04</v>
      </c>
      <c r="OO143" s="294">
        <v>-5878017</v>
      </c>
      <c r="OP143" s="294">
        <v>0</v>
      </c>
      <c r="OQ143" s="294"/>
      <c r="OR143" s="294">
        <v>-339354.58</v>
      </c>
      <c r="OS143" s="294">
        <v>-1103217</v>
      </c>
      <c r="OT143" s="294"/>
      <c r="OU143" s="294">
        <v>-326840.42</v>
      </c>
      <c r="OV143" s="294"/>
      <c r="OW143" s="294">
        <v>-325727</v>
      </c>
      <c r="OX143" s="294">
        <v>-772722</v>
      </c>
      <c r="OY143" s="294">
        <v>-227496.95</v>
      </c>
      <c r="OZ143" s="294">
        <v>-458537.65</v>
      </c>
      <c r="PA143" s="294"/>
      <c r="PB143" s="294">
        <v>-3828965.92</v>
      </c>
      <c r="PC143" s="294">
        <v>0</v>
      </c>
      <c r="PD143" s="294">
        <v>-127181</v>
      </c>
      <c r="PE143" s="294">
        <v>-35000</v>
      </c>
      <c r="PF143" s="294">
        <v>-117769</v>
      </c>
      <c r="PG143" s="294">
        <v>-1150291</v>
      </c>
      <c r="PH143" s="294"/>
      <c r="PI143" s="294"/>
      <c r="PJ143" s="294">
        <v>-433735.85</v>
      </c>
      <c r="PK143" s="294">
        <v>-150445</v>
      </c>
      <c r="PL143" s="294"/>
      <c r="PM143" s="294"/>
      <c r="PN143" s="294">
        <v>-108040</v>
      </c>
      <c r="PO143" s="294">
        <v>-1027528.36</v>
      </c>
      <c r="PP143" s="294"/>
      <c r="PQ143" s="294">
        <v>-266515.84999999998</v>
      </c>
      <c r="PR143" s="294">
        <v>-167934</v>
      </c>
      <c r="PS143" s="294"/>
      <c r="PT143" s="294">
        <v>-7011866.1699999999</v>
      </c>
      <c r="PU143" s="294"/>
      <c r="PV143" s="294"/>
      <c r="PW143" s="294"/>
      <c r="PX143" s="294">
        <v>-490440</v>
      </c>
      <c r="PY143" s="294">
        <v>-80729.5</v>
      </c>
      <c r="PZ143" s="294"/>
      <c r="QA143" s="294"/>
      <c r="QB143" s="294">
        <v>-201495</v>
      </c>
      <c r="QC143" s="294"/>
      <c r="QD143" s="294">
        <v>-48650</v>
      </c>
      <c r="QE143" s="294">
        <v>-166285</v>
      </c>
      <c r="QF143" s="294">
        <v>-359665</v>
      </c>
      <c r="QG143" s="294">
        <v>-32500</v>
      </c>
      <c r="QH143" s="294">
        <v>-28392</v>
      </c>
      <c r="QI143" s="294">
        <v>-870000</v>
      </c>
      <c r="QJ143" s="294"/>
      <c r="QK143" s="294">
        <v>-46796.81</v>
      </c>
      <c r="QL143" s="294">
        <v>-175243.5</v>
      </c>
      <c r="QM143" s="294">
        <v>-983874.02</v>
      </c>
      <c r="QN143" s="294">
        <v>-1198665.1499999999</v>
      </c>
      <c r="QO143" s="294"/>
      <c r="QP143" s="294"/>
      <c r="QQ143" s="294">
        <v>-27665</v>
      </c>
      <c r="QR143" s="294"/>
      <c r="QS143" s="294"/>
      <c r="QT143" s="294">
        <v>-2222809</v>
      </c>
      <c r="QU143" s="294">
        <v>-256340</v>
      </c>
      <c r="QV143" s="294">
        <v>-1259500</v>
      </c>
      <c r="QW143" s="294">
        <v>-321553</v>
      </c>
      <c r="QX143" s="294">
        <v>-54000</v>
      </c>
      <c r="QY143" s="294">
        <v>-990215</v>
      </c>
      <c r="QZ143" s="294"/>
      <c r="RA143" s="294">
        <v>-236528.76</v>
      </c>
      <c r="RB143" s="294">
        <v>-297307</v>
      </c>
      <c r="RC143" s="294">
        <v>-217001.5</v>
      </c>
      <c r="RD143" s="294">
        <v>-189117.8</v>
      </c>
      <c r="RE143" s="294">
        <v>-173750</v>
      </c>
      <c r="RF143" s="294">
        <v>-46450</v>
      </c>
      <c r="RG143" s="294">
        <v>-1509687</v>
      </c>
      <c r="RH143" s="294">
        <v>-737990</v>
      </c>
      <c r="RI143" s="294">
        <v>-220830</v>
      </c>
      <c r="RJ143" s="294">
        <v>-11390</v>
      </c>
      <c r="RK143" s="294">
        <v>-175720</v>
      </c>
      <c r="RL143" s="294"/>
      <c r="RM143" s="294">
        <v>-1067112.5</v>
      </c>
      <c r="RN143" s="294">
        <v>-209310</v>
      </c>
      <c r="RO143" s="294">
        <v>-607224.81000000006</v>
      </c>
      <c r="RP143" s="294">
        <v>-1267480.94</v>
      </c>
      <c r="RQ143" s="294">
        <v>-2384940.7000000002</v>
      </c>
      <c r="RR143" s="294">
        <v>-57884</v>
      </c>
      <c r="RS143" s="294"/>
      <c r="RT143" s="294"/>
      <c r="RU143" s="294">
        <v>-298054.5</v>
      </c>
      <c r="RV143" s="294">
        <v>-207811</v>
      </c>
      <c r="RW143" s="294">
        <v>-296783</v>
      </c>
      <c r="RX143" s="294">
        <v>-104300</v>
      </c>
      <c r="RY143" s="294">
        <v>-94530</v>
      </c>
      <c r="RZ143" s="294">
        <v>-191908.97</v>
      </c>
      <c r="SA143" s="294">
        <v>-2598712</v>
      </c>
      <c r="SB143" s="294">
        <v>-214036</v>
      </c>
      <c r="SC143" s="294">
        <v>-17000</v>
      </c>
      <c r="SD143" s="294">
        <v>0</v>
      </c>
      <c r="SE143" s="294">
        <v>-12500</v>
      </c>
      <c r="SF143" s="294"/>
      <c r="SG143" s="294"/>
      <c r="SH143" s="294">
        <v>-53605</v>
      </c>
      <c r="SI143" s="294">
        <v>-216813</v>
      </c>
      <c r="SJ143" s="294">
        <v>-224305</v>
      </c>
      <c r="SK143" s="294">
        <v>-165225</v>
      </c>
      <c r="SL143" s="294">
        <v>-29950</v>
      </c>
      <c r="SM143" s="294">
        <v>-1717242.85</v>
      </c>
      <c r="SN143" s="294">
        <v>-271844.15000000002</v>
      </c>
      <c r="SO143" s="294">
        <v>-23950</v>
      </c>
      <c r="SP143" s="294">
        <v>-23240</v>
      </c>
      <c r="SQ143" s="294">
        <v>-310312.95</v>
      </c>
      <c r="SR143" s="294">
        <v>-268044.45</v>
      </c>
      <c r="SS143" s="294">
        <v>-26900</v>
      </c>
      <c r="ST143" s="294">
        <v>-120525</v>
      </c>
      <c r="SU143" s="294">
        <v>-2137652</v>
      </c>
      <c r="SV143" s="294">
        <v>-219175</v>
      </c>
      <c r="SW143" s="294">
        <v>-240212</v>
      </c>
      <c r="SX143" s="294">
        <v>-194975</v>
      </c>
      <c r="SY143" s="294">
        <v>-49865</v>
      </c>
      <c r="SZ143" s="294">
        <v>-106705</v>
      </c>
      <c r="TA143" s="294">
        <v>-175345</v>
      </c>
      <c r="TB143" s="294">
        <v>-304230.5</v>
      </c>
      <c r="TC143" s="294">
        <v>-126970</v>
      </c>
      <c r="TD143" s="294">
        <v>-179294.5</v>
      </c>
      <c r="TE143" s="294">
        <v>-74941</v>
      </c>
      <c r="TF143" s="294">
        <v>-496715.5</v>
      </c>
      <c r="TG143" s="294">
        <v>-150650</v>
      </c>
      <c r="TH143" s="294">
        <v>-90925</v>
      </c>
      <c r="TI143" s="294"/>
      <c r="TJ143" s="294">
        <v>-77425</v>
      </c>
      <c r="TK143" s="294">
        <v>-104266</v>
      </c>
      <c r="TL143" s="294">
        <v>-279411</v>
      </c>
      <c r="TM143" s="294">
        <v>-141030</v>
      </c>
      <c r="TN143" s="294">
        <v>-98995</v>
      </c>
      <c r="TO143" s="294">
        <v>-129348</v>
      </c>
      <c r="TP143" s="294">
        <v>-393050</v>
      </c>
      <c r="TQ143" s="294">
        <v>-159280</v>
      </c>
      <c r="TR143" s="294">
        <v>-539976</v>
      </c>
      <c r="TS143" s="294">
        <v>-361403</v>
      </c>
      <c r="TT143" s="294">
        <v>-96911</v>
      </c>
      <c r="TU143" s="294">
        <v>-57665</v>
      </c>
      <c r="TV143" s="294">
        <v>-60900</v>
      </c>
      <c r="TW143" s="294">
        <v>-236161.6</v>
      </c>
      <c r="TX143" s="294">
        <v>-209638.5</v>
      </c>
      <c r="TY143" s="294">
        <v>-2501878</v>
      </c>
      <c r="TZ143" s="294">
        <v>-193807</v>
      </c>
      <c r="UA143" s="294">
        <v>-3103667.74</v>
      </c>
      <c r="UB143" s="294">
        <v>-530059</v>
      </c>
      <c r="UC143" s="294">
        <v>-103175</v>
      </c>
      <c r="UD143" s="294">
        <v>-118888.55</v>
      </c>
      <c r="UE143" s="294">
        <v>-3339043.32</v>
      </c>
      <c r="UF143" s="294">
        <v>-134702</v>
      </c>
      <c r="UG143" s="294">
        <v>-60737</v>
      </c>
      <c r="UH143" s="294">
        <v>-107689</v>
      </c>
      <c r="UI143" s="294">
        <v>-316178</v>
      </c>
      <c r="UJ143" s="294">
        <v>-2306774.46</v>
      </c>
      <c r="UK143" s="294">
        <v>-99540</v>
      </c>
      <c r="UL143" s="294">
        <v>-293282.15000000002</v>
      </c>
      <c r="UM143" s="294">
        <v>-84760.2</v>
      </c>
      <c r="UN143" s="294">
        <v>-177726</v>
      </c>
      <c r="UO143" s="294">
        <v>-202336</v>
      </c>
      <c r="UP143" s="294"/>
      <c r="UQ143" s="294">
        <v>-336400</v>
      </c>
      <c r="UR143" s="294"/>
      <c r="US143" s="294">
        <v>-1661442.37</v>
      </c>
      <c r="UT143" s="294"/>
      <c r="UU143" s="294">
        <v>-71435</v>
      </c>
      <c r="UV143" s="294">
        <v>-414782</v>
      </c>
      <c r="UW143" s="294"/>
      <c r="UX143" s="294">
        <v>-722855.25</v>
      </c>
      <c r="UY143" s="294">
        <v>-260590.7</v>
      </c>
      <c r="UZ143" s="294">
        <v>-132680</v>
      </c>
      <c r="VA143" s="294">
        <v>-185000</v>
      </c>
      <c r="VB143" s="294">
        <v>-340381.93</v>
      </c>
      <c r="VC143" s="294">
        <v>-52160</v>
      </c>
      <c r="VD143" s="294">
        <v>-178966.55</v>
      </c>
      <c r="VE143" s="294">
        <v>-99501</v>
      </c>
      <c r="VF143" s="294">
        <v>-49500</v>
      </c>
      <c r="VG143" s="294">
        <v>-73752.399999999994</v>
      </c>
      <c r="VH143" s="294">
        <v>-674346</v>
      </c>
      <c r="VI143" s="294">
        <v>-186150</v>
      </c>
      <c r="VJ143" s="294">
        <v>-156069.78</v>
      </c>
      <c r="VK143" s="294"/>
      <c r="VL143" s="294">
        <v>-2524560</v>
      </c>
      <c r="VM143" s="294"/>
      <c r="VN143" s="294">
        <v>-172630</v>
      </c>
      <c r="VO143" s="294"/>
      <c r="VP143" s="294">
        <v>-187170</v>
      </c>
      <c r="VQ143" s="294">
        <v>-228956</v>
      </c>
      <c r="VR143" s="294">
        <v>-186098.25</v>
      </c>
      <c r="VS143" s="294"/>
      <c r="VT143" s="294"/>
      <c r="VU143" s="294">
        <v>-4584476.8</v>
      </c>
      <c r="VV143" s="294">
        <v>0</v>
      </c>
      <c r="VW143" s="294">
        <v>-76820.600000000006</v>
      </c>
      <c r="VX143" s="294"/>
      <c r="VY143" s="294">
        <v>0</v>
      </c>
      <c r="VZ143" s="294"/>
      <c r="WA143" s="294"/>
      <c r="WB143" s="294">
        <v>-302244.7</v>
      </c>
      <c r="WC143" s="294"/>
      <c r="WD143" s="294"/>
      <c r="WE143" s="294">
        <v>-273058.3</v>
      </c>
      <c r="WF143" s="294">
        <v>-432360.8</v>
      </c>
      <c r="WG143" s="294">
        <v>-222484</v>
      </c>
      <c r="WH143" s="294">
        <v>-291870</v>
      </c>
      <c r="WI143" s="294">
        <v>-90516</v>
      </c>
      <c r="WJ143" s="294">
        <v>-118373</v>
      </c>
      <c r="WK143" s="294">
        <v>-99510</v>
      </c>
      <c r="WL143" s="294">
        <v>-75920</v>
      </c>
      <c r="WM143" s="294"/>
      <c r="WN143" s="294">
        <v>-551410.5</v>
      </c>
      <c r="WO143" s="294">
        <v>-195707</v>
      </c>
      <c r="WP143" s="294"/>
      <c r="WQ143" s="294">
        <v>-606422.92000000004</v>
      </c>
      <c r="WR143" s="294">
        <v>-451829.58</v>
      </c>
      <c r="WS143" s="294"/>
      <c r="WT143" s="294">
        <v>-768224.5</v>
      </c>
      <c r="WU143" s="294">
        <v>-2431622.4</v>
      </c>
      <c r="WV143" s="294"/>
      <c r="WW143" s="294">
        <v>-47075.4</v>
      </c>
      <c r="WX143" s="294">
        <v>-138534.29999999999</v>
      </c>
      <c r="WY143" s="294"/>
      <c r="WZ143" s="294">
        <v>-179491.57</v>
      </c>
      <c r="XA143" s="294"/>
      <c r="XB143" s="294">
        <v>-386315</v>
      </c>
      <c r="XC143" s="294">
        <v>-956913.05</v>
      </c>
      <c r="XD143" s="294">
        <v>-39950</v>
      </c>
      <c r="XE143" s="294"/>
      <c r="XF143" s="294"/>
      <c r="XG143" s="294">
        <v>-277456.31</v>
      </c>
      <c r="XH143" s="294">
        <v>-3914631.56</v>
      </c>
      <c r="XI143" s="294">
        <v>-337203.65</v>
      </c>
      <c r="XJ143" s="294">
        <v>-321217.5</v>
      </c>
      <c r="XK143" s="294">
        <v>-1220685.1100000001</v>
      </c>
      <c r="XL143" s="294">
        <v>-403300.38</v>
      </c>
      <c r="XM143" s="294">
        <v>-195977</v>
      </c>
      <c r="XN143" s="294">
        <v>-77460</v>
      </c>
      <c r="XO143" s="294">
        <v>-289675</v>
      </c>
      <c r="XP143" s="294">
        <v>-162170</v>
      </c>
      <c r="XQ143" s="294">
        <v>-208661.75</v>
      </c>
      <c r="XR143" s="294">
        <v>-179063.95</v>
      </c>
      <c r="XS143" s="294">
        <v>-315920.25</v>
      </c>
      <c r="XT143" s="294">
        <v>-72328</v>
      </c>
      <c r="XU143" s="294">
        <v>-159910.9</v>
      </c>
      <c r="XV143" s="294">
        <v>-13450</v>
      </c>
      <c r="XW143" s="294">
        <v>-137886</v>
      </c>
      <c r="XX143" s="294">
        <v>-76118</v>
      </c>
      <c r="XY143" s="294">
        <v>-82392.75</v>
      </c>
      <c r="XZ143" s="294">
        <v>-57320</v>
      </c>
      <c r="YA143" s="294">
        <v>-107495</v>
      </c>
      <c r="YB143" s="294">
        <v>-98320</v>
      </c>
      <c r="YC143" s="294">
        <v>-262929.95</v>
      </c>
      <c r="YD143" s="294">
        <v>-165415</v>
      </c>
      <c r="YE143" s="294">
        <v>-5034653.71</v>
      </c>
      <c r="YF143" s="294"/>
      <c r="YG143" s="294"/>
      <c r="YH143" s="294"/>
      <c r="YI143" s="294"/>
      <c r="YJ143" s="294"/>
      <c r="YK143" s="294"/>
      <c r="YL143" s="294"/>
      <c r="YM143" s="294"/>
      <c r="YN143" s="294"/>
      <c r="YO143" s="294"/>
      <c r="YP143" s="294"/>
      <c r="YQ143" s="294"/>
      <c r="YR143" s="294"/>
      <c r="YS143" s="294"/>
      <c r="YT143" s="294"/>
      <c r="YU143" s="294"/>
      <c r="YV143" s="294"/>
      <c r="YW143" s="294">
        <v>-241062</v>
      </c>
      <c r="YX143" s="294">
        <v>-22725</v>
      </c>
      <c r="YY143" s="294">
        <v>-210700</v>
      </c>
      <c r="YZ143" s="294"/>
      <c r="ZA143" s="294">
        <v>-181262</v>
      </c>
      <c r="ZB143" s="294">
        <v>-106226</v>
      </c>
      <c r="ZC143" s="294">
        <v>-2621659.2999999998</v>
      </c>
      <c r="ZD143" s="294">
        <v>-43265</v>
      </c>
      <c r="ZE143" s="294">
        <v>-558050</v>
      </c>
      <c r="ZF143" s="294">
        <v>-293505</v>
      </c>
      <c r="ZG143" s="294">
        <v>-49650</v>
      </c>
      <c r="ZH143" s="294">
        <v>-213660</v>
      </c>
      <c r="ZI143" s="294">
        <v>-186835</v>
      </c>
      <c r="ZJ143" s="294">
        <v>-166000</v>
      </c>
      <c r="ZK143" s="294">
        <v>-205103</v>
      </c>
      <c r="ZL143" s="294">
        <v>-3508874</v>
      </c>
      <c r="ZM143" s="294">
        <v>-434049.5</v>
      </c>
      <c r="ZN143" s="294">
        <v>-1262823</v>
      </c>
      <c r="ZO143" s="294"/>
      <c r="ZP143" s="294">
        <v>-269366.5</v>
      </c>
      <c r="ZQ143" s="294">
        <v>-308589.2</v>
      </c>
      <c r="ZR143" s="294">
        <v>-338271.95</v>
      </c>
      <c r="ZS143" s="294">
        <v>-720406.55</v>
      </c>
      <c r="ZT143" s="294"/>
      <c r="ZU143" s="294">
        <v>-1305186.25</v>
      </c>
      <c r="ZV143" s="294">
        <v>-95165</v>
      </c>
      <c r="ZW143" s="294">
        <v>-190700</v>
      </c>
      <c r="ZX143" s="294"/>
      <c r="ZY143" s="294"/>
      <c r="ZZ143" s="294">
        <v>-27500</v>
      </c>
      <c r="AAA143" s="294">
        <v>-388788.6</v>
      </c>
      <c r="AAB143" s="294">
        <v>-180935.62</v>
      </c>
      <c r="AAC143" s="294"/>
      <c r="AAD143" s="294">
        <v>-227855</v>
      </c>
      <c r="AAE143" s="294">
        <v>-334123.5</v>
      </c>
      <c r="AAF143" s="294"/>
      <c r="AAG143" s="294"/>
      <c r="AAH143" s="294"/>
      <c r="AAI143" s="294">
        <v>-299057.8</v>
      </c>
      <c r="AAJ143" s="294">
        <v>-775580.25</v>
      </c>
      <c r="AAK143" s="294">
        <v>-263478</v>
      </c>
      <c r="AAL143" s="294">
        <v>-185291</v>
      </c>
      <c r="AAM143" s="294"/>
      <c r="AAN143" s="294">
        <v>-513225.75</v>
      </c>
      <c r="AAO143" s="294">
        <v>-12822546.65</v>
      </c>
      <c r="AAP143" s="294">
        <v>-10930</v>
      </c>
      <c r="AAQ143" s="294"/>
      <c r="AAR143" s="294"/>
      <c r="AAS143" s="294">
        <v>-306019</v>
      </c>
      <c r="AAT143" s="294"/>
      <c r="AAU143" s="294">
        <v>-303723</v>
      </c>
      <c r="AAV143" s="294">
        <v>-1997678.8</v>
      </c>
      <c r="AAW143" s="294">
        <v>-1111940</v>
      </c>
      <c r="AAX143" s="294">
        <v>-171125.41</v>
      </c>
      <c r="AAY143" s="294">
        <v>-1393687</v>
      </c>
      <c r="AAZ143" s="294">
        <v>-5343261</v>
      </c>
      <c r="ABA143" s="294">
        <v>0</v>
      </c>
      <c r="ABB143" s="294"/>
      <c r="ABC143" s="294">
        <v>-448962.4</v>
      </c>
      <c r="ABD143" s="294">
        <v>-214249</v>
      </c>
      <c r="ABE143" s="294">
        <v>-33200</v>
      </c>
      <c r="ABF143" s="294">
        <v>0</v>
      </c>
      <c r="ABG143" s="294"/>
      <c r="ABH143" s="294">
        <v>-3637398.35</v>
      </c>
      <c r="ABI143" s="294">
        <v>-1452214.15</v>
      </c>
      <c r="ABJ143" s="294">
        <v>-614836.91</v>
      </c>
      <c r="ABK143" s="294">
        <v>0</v>
      </c>
      <c r="ABL143" s="294">
        <v>-374085</v>
      </c>
      <c r="ABM143" s="294">
        <v>-473662.48</v>
      </c>
      <c r="ABN143" s="294"/>
      <c r="ABO143" s="294">
        <v>-4788919</v>
      </c>
      <c r="ABP143" s="294">
        <v>-664578.94999999995</v>
      </c>
      <c r="ABQ143" s="294">
        <v>-248922</v>
      </c>
      <c r="ABR143" s="294">
        <v>-672544.75</v>
      </c>
      <c r="ABS143" s="294"/>
      <c r="ABT143" s="294">
        <v>-444842</v>
      </c>
      <c r="ABU143" s="294">
        <v>-185892</v>
      </c>
      <c r="ABV143" s="294">
        <v>-306306</v>
      </c>
      <c r="ABW143" s="294">
        <v>-50740</v>
      </c>
      <c r="ABX143" s="294">
        <v>-421786.11</v>
      </c>
      <c r="ABY143" s="294">
        <v>-79775</v>
      </c>
      <c r="ABZ143" s="294"/>
      <c r="ACA143" s="294">
        <v>-514363.86</v>
      </c>
      <c r="ACB143" s="294">
        <v>-274346</v>
      </c>
      <c r="ACC143" s="294">
        <v>-145547</v>
      </c>
      <c r="ACD143" s="294"/>
      <c r="ACE143" s="294">
        <v>-591342.19999999995</v>
      </c>
      <c r="ACF143" s="294">
        <v>-349703</v>
      </c>
      <c r="ACG143" s="294">
        <v>-881025.9</v>
      </c>
      <c r="ACH143" s="294">
        <v>-74207.5</v>
      </c>
      <c r="ACI143" s="294">
        <v>-10610852.1</v>
      </c>
      <c r="ACJ143" s="294">
        <v>-136890</v>
      </c>
      <c r="ACK143" s="294">
        <v>-294065.13</v>
      </c>
      <c r="ACL143" s="294">
        <v>-25554</v>
      </c>
      <c r="ACM143" s="294"/>
      <c r="ACN143" s="294">
        <v>-313165</v>
      </c>
      <c r="ACO143" s="294">
        <v>-500750</v>
      </c>
      <c r="ACP143" s="294">
        <v>-2148940</v>
      </c>
      <c r="ACQ143" s="294">
        <v>-3517471</v>
      </c>
      <c r="ACR143" s="294"/>
      <c r="ACS143" s="294">
        <v>-264351</v>
      </c>
      <c r="ACT143" s="294">
        <v>-195001.5</v>
      </c>
      <c r="ACU143" s="294">
        <v>0</v>
      </c>
      <c r="ACV143" s="294">
        <v>-7358176.7999999998</v>
      </c>
      <c r="ACW143" s="294">
        <v>-357139</v>
      </c>
      <c r="ACX143" s="294">
        <v>-172267.5</v>
      </c>
      <c r="ACY143" s="294">
        <v>-98437.5</v>
      </c>
      <c r="ACZ143" s="294">
        <v>-318896.5</v>
      </c>
      <c r="ADA143" s="294"/>
      <c r="ADB143" s="294"/>
      <c r="ADC143" s="294">
        <v>-412119</v>
      </c>
      <c r="ADD143" s="294">
        <v>-292075</v>
      </c>
      <c r="ADE143" s="294">
        <v>-589565.03</v>
      </c>
      <c r="ADF143" s="294">
        <v>-1174583</v>
      </c>
      <c r="ADG143" s="294">
        <v>-1861178.72</v>
      </c>
      <c r="ADH143" s="294"/>
      <c r="ADI143" s="294">
        <v>-161100</v>
      </c>
      <c r="ADJ143" s="294">
        <v>-180010</v>
      </c>
      <c r="ADK143" s="294"/>
      <c r="ADL143" s="294">
        <v>-15800</v>
      </c>
      <c r="ADM143" s="294">
        <v>-133200</v>
      </c>
      <c r="ADN143" s="294">
        <v>-144285</v>
      </c>
      <c r="ADO143" s="294"/>
      <c r="ADP143" s="294">
        <v>-34320</v>
      </c>
      <c r="ADQ143" s="294">
        <v>-1136228.25</v>
      </c>
      <c r="ADR143" s="294"/>
      <c r="ADS143" s="294">
        <v>-3622443.77</v>
      </c>
      <c r="ADT143" s="294"/>
      <c r="ADU143" s="294">
        <v>-223017</v>
      </c>
      <c r="ADV143" s="294">
        <v>-211925.07</v>
      </c>
      <c r="ADW143" s="294">
        <v>-287384.5</v>
      </c>
      <c r="ADX143" s="294"/>
      <c r="ADY143" s="294">
        <v>-6031531</v>
      </c>
      <c r="ADZ143" s="294">
        <v>-2248075.66</v>
      </c>
      <c r="AEA143" s="294">
        <v>-1433883.75</v>
      </c>
      <c r="AEB143" s="294">
        <v>-311877.5</v>
      </c>
      <c r="AEC143" s="294">
        <v>-37945</v>
      </c>
      <c r="AED143" s="294">
        <v>-1090113.75</v>
      </c>
      <c r="AEE143" s="294">
        <v>-452183.86</v>
      </c>
      <c r="AEF143" s="294">
        <v>-856594.5</v>
      </c>
      <c r="AEG143" s="294"/>
      <c r="AEH143" s="294">
        <v>-465641.63</v>
      </c>
      <c r="AEI143" s="294">
        <v>-395757.55</v>
      </c>
      <c r="AEJ143" s="294">
        <v>-436851</v>
      </c>
      <c r="AEK143" s="294">
        <v>-359397.20999999996</v>
      </c>
      <c r="AEL143" s="294">
        <v>-581017.56999999995</v>
      </c>
      <c r="AEM143" s="294">
        <v>-415360.75</v>
      </c>
      <c r="AEN143" s="294">
        <v>-447238.9</v>
      </c>
      <c r="AEO143" s="294">
        <v>-141737.1</v>
      </c>
      <c r="AEP143" s="294">
        <v>-1508879</v>
      </c>
      <c r="AEQ143" s="294">
        <v>-110490</v>
      </c>
      <c r="AER143" s="294">
        <v>-1035093.22</v>
      </c>
      <c r="AES143" s="294">
        <v>-3362861.86</v>
      </c>
      <c r="AET143" s="294"/>
      <c r="AEU143" s="294">
        <v>-835670</v>
      </c>
      <c r="AEV143" s="294">
        <v>0</v>
      </c>
      <c r="AEW143" s="294">
        <v>-393424.15</v>
      </c>
      <c r="AEX143" s="294">
        <v>-61310</v>
      </c>
      <c r="AEY143" s="294">
        <v>-421437.5</v>
      </c>
      <c r="AEZ143" s="294">
        <v>-137758</v>
      </c>
      <c r="AFA143" s="294">
        <v>-297619.34999999998</v>
      </c>
      <c r="AFB143" s="294">
        <v>-455564.25</v>
      </c>
      <c r="AFC143" s="294">
        <v>-2757599.77</v>
      </c>
      <c r="AFD143" s="294">
        <v>-1799403.6</v>
      </c>
      <c r="AFE143" s="294"/>
      <c r="AFF143" s="294"/>
      <c r="AFG143" s="294"/>
      <c r="AFH143" s="294"/>
      <c r="AFI143" s="294"/>
      <c r="AFJ143" s="294"/>
      <c r="AFK143" s="294"/>
      <c r="AFL143" s="294"/>
      <c r="AFM143" s="294">
        <v>-153250</v>
      </c>
      <c r="AFN143" s="294">
        <v>-52250</v>
      </c>
      <c r="AFO143" s="294">
        <v>0</v>
      </c>
      <c r="AFP143" s="294">
        <v>-3629368</v>
      </c>
      <c r="AFQ143" s="294">
        <v>-79320</v>
      </c>
      <c r="AFR143" s="294"/>
      <c r="AFS143" s="294">
        <v>-48200</v>
      </c>
      <c r="AFT143" s="294">
        <v>0</v>
      </c>
      <c r="AFU143" s="294">
        <v>0</v>
      </c>
      <c r="AFV143" s="294">
        <v>-1200</v>
      </c>
      <c r="AFW143" s="294"/>
      <c r="AFX143" s="294">
        <v>0</v>
      </c>
      <c r="AFY143" s="294">
        <v>0</v>
      </c>
      <c r="AFZ143" s="294">
        <v>-189909.8</v>
      </c>
      <c r="AGA143" s="294">
        <v>-7500</v>
      </c>
      <c r="AGB143" s="294">
        <v>-3585861.37</v>
      </c>
      <c r="AGC143" s="294"/>
      <c r="AGD143" s="294"/>
      <c r="AGE143" s="294">
        <v>-17500</v>
      </c>
      <c r="AGF143" s="294"/>
      <c r="AGG143" s="294">
        <v>-60000</v>
      </c>
      <c r="AGH143" s="294"/>
      <c r="AGI143" s="294"/>
      <c r="AGJ143" s="294"/>
      <c r="AGK143" s="294"/>
      <c r="AGL143" s="294"/>
      <c r="AGM143" s="294">
        <v>-3460058.65</v>
      </c>
      <c r="AGN143" s="294">
        <v>-1326737.1100000001</v>
      </c>
      <c r="AGO143" s="294">
        <v>-169026.6</v>
      </c>
      <c r="AGP143" s="294">
        <v>-59750</v>
      </c>
      <c r="AGQ143" s="294">
        <v>-37668.949999999997</v>
      </c>
      <c r="AGR143" s="294"/>
      <c r="AGS143" s="294">
        <v>-44645</v>
      </c>
      <c r="AGT143" s="294">
        <v>-469763</v>
      </c>
      <c r="AGU143" s="294">
        <v>-4079354</v>
      </c>
      <c r="AGV143" s="294">
        <v>-5809617.2800000003</v>
      </c>
      <c r="AGW143" s="294">
        <v>-534565.30000000005</v>
      </c>
      <c r="AGX143" s="294">
        <v>-788718.5</v>
      </c>
      <c r="AGY143" s="294">
        <v>-1632788.91</v>
      </c>
      <c r="AGZ143" s="294">
        <v>-186296</v>
      </c>
      <c r="AHA143" s="294">
        <v>-936698.3</v>
      </c>
      <c r="AHB143" s="294">
        <v>-733841</v>
      </c>
      <c r="AHC143" s="294">
        <v>-252320</v>
      </c>
      <c r="AHD143" s="294">
        <v>-623205</v>
      </c>
      <c r="AHE143" s="294">
        <v>-146909.5</v>
      </c>
      <c r="AHF143" s="294"/>
      <c r="AHG143" s="294">
        <v>0</v>
      </c>
      <c r="AHH143" s="294"/>
      <c r="AHI143" s="294">
        <v>-530358</v>
      </c>
      <c r="AHJ143" s="294">
        <v>-328017</v>
      </c>
      <c r="AHK143" s="294">
        <v>-392352</v>
      </c>
      <c r="AHL143" s="294"/>
      <c r="AHM143" s="294">
        <v>-313522</v>
      </c>
      <c r="AHN143" s="294">
        <v>-619779.5</v>
      </c>
      <c r="AHO143" s="294">
        <v>-211153.95</v>
      </c>
      <c r="AHP143" s="294">
        <v>-1682591</v>
      </c>
      <c r="AHQ143" s="294">
        <v>-911308.25</v>
      </c>
      <c r="AHR143" s="331">
        <v>-565627.5</v>
      </c>
      <c r="AHS143" s="294">
        <f t="shared" ref="AHS143:AHS148" si="56">SUM(D143:AHR143)</f>
        <v>-549265298.19000006</v>
      </c>
      <c r="AHT143" s="269" t="b">
        <f t="shared" si="54"/>
        <v>1</v>
      </c>
      <c r="AHU143" s="269" t="s">
        <v>6278</v>
      </c>
      <c r="AHV143" s="269" t="s">
        <v>6228</v>
      </c>
      <c r="AHW143" s="269" t="s">
        <v>6229</v>
      </c>
    </row>
    <row r="144" spans="1:907" ht="24.6" x14ac:dyDescent="0.7">
      <c r="A144" s="268" t="s">
        <v>6278</v>
      </c>
      <c r="B144" s="268" t="s">
        <v>6230</v>
      </c>
      <c r="C144" s="269" t="s">
        <v>6231</v>
      </c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>
        <v>-1900</v>
      </c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294"/>
      <c r="AT144" s="294"/>
      <c r="AU144" s="294"/>
      <c r="AV144" s="294"/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  <c r="BS144" s="294"/>
      <c r="BT144" s="294"/>
      <c r="BU144" s="294"/>
      <c r="BV144" s="294"/>
      <c r="BW144" s="294"/>
      <c r="BX144" s="294"/>
      <c r="BY144" s="294"/>
      <c r="BZ144" s="294"/>
      <c r="CA144" s="294"/>
      <c r="CB144" s="294"/>
      <c r="CC144" s="294"/>
      <c r="CD144" s="294"/>
      <c r="CE144" s="294"/>
      <c r="CF144" s="294"/>
      <c r="CG144" s="294"/>
      <c r="CH144" s="294"/>
      <c r="CI144" s="294"/>
      <c r="CJ144" s="294"/>
      <c r="CK144" s="294"/>
      <c r="CL144" s="294"/>
      <c r="CM144" s="294"/>
      <c r="CN144" s="294"/>
      <c r="CO144" s="294"/>
      <c r="CP144" s="294"/>
      <c r="CQ144" s="294"/>
      <c r="CR144" s="294"/>
      <c r="CS144" s="294"/>
      <c r="CT144" s="294"/>
      <c r="CU144" s="294"/>
      <c r="CV144" s="294"/>
      <c r="CW144" s="294"/>
      <c r="CX144" s="294"/>
      <c r="CY144" s="294"/>
      <c r="CZ144" s="294"/>
      <c r="DA144" s="294"/>
      <c r="DB144" s="294"/>
      <c r="DC144" s="294"/>
      <c r="DD144" s="294"/>
      <c r="DE144" s="294"/>
      <c r="DF144" s="294"/>
      <c r="DG144" s="294"/>
      <c r="DH144" s="294"/>
      <c r="DI144" s="294"/>
      <c r="DJ144" s="294"/>
      <c r="DK144" s="294">
        <v>-703950</v>
      </c>
      <c r="DL144" s="294"/>
      <c r="DM144" s="294"/>
      <c r="DN144" s="294"/>
      <c r="DO144" s="294"/>
      <c r="DP144" s="294"/>
      <c r="DQ144" s="294"/>
      <c r="DR144" s="294"/>
      <c r="DS144" s="294"/>
      <c r="DT144" s="294"/>
      <c r="DU144" s="294"/>
      <c r="DV144" s="294"/>
      <c r="DW144" s="294">
        <v>-265206.5</v>
      </c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>
        <v>-540000</v>
      </c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  <c r="FI144" s="294"/>
      <c r="FJ144" s="294"/>
      <c r="FK144" s="294"/>
      <c r="FL144" s="294"/>
      <c r="FM144" s="294"/>
      <c r="FN144" s="294"/>
      <c r="FO144" s="294"/>
      <c r="FP144" s="294"/>
      <c r="FQ144" s="294"/>
      <c r="FR144" s="294"/>
      <c r="FS144" s="294"/>
      <c r="FT144" s="294"/>
      <c r="FU144" s="294"/>
      <c r="FV144" s="294"/>
      <c r="FW144" s="294"/>
      <c r="FX144" s="294"/>
      <c r="FY144" s="294"/>
      <c r="FZ144" s="294"/>
      <c r="GA144" s="294"/>
      <c r="GB144" s="294"/>
      <c r="GC144" s="294"/>
      <c r="GD144" s="294"/>
      <c r="GE144" s="294"/>
      <c r="GF144" s="294"/>
      <c r="GG144" s="294"/>
      <c r="GH144" s="294"/>
      <c r="GI144" s="294"/>
      <c r="GJ144" s="294"/>
      <c r="GK144" s="294"/>
      <c r="GL144" s="294"/>
      <c r="GM144" s="294"/>
      <c r="GN144" s="294"/>
      <c r="GO144" s="294"/>
      <c r="GP144" s="294"/>
      <c r="GQ144" s="294"/>
      <c r="GR144" s="294"/>
      <c r="GS144" s="294"/>
      <c r="GT144" s="294"/>
      <c r="GU144" s="294"/>
      <c r="GV144" s="294"/>
      <c r="GW144" s="294"/>
      <c r="GX144" s="294"/>
      <c r="GY144" s="294"/>
      <c r="GZ144" s="294"/>
      <c r="HA144" s="294"/>
      <c r="HB144" s="294"/>
      <c r="HC144" s="294">
        <v>-1698985</v>
      </c>
      <c r="HD144" s="294"/>
      <c r="HE144" s="294"/>
      <c r="HF144" s="294"/>
      <c r="HG144" s="294"/>
      <c r="HH144" s="294"/>
      <c r="HI144" s="294"/>
      <c r="HJ144" s="294"/>
      <c r="HK144" s="294"/>
      <c r="HL144" s="294"/>
      <c r="HM144" s="294"/>
      <c r="HN144" s="294"/>
      <c r="HO144" s="294"/>
      <c r="HP144" s="294"/>
      <c r="HQ144" s="294"/>
      <c r="HR144" s="294"/>
      <c r="HS144" s="294"/>
      <c r="HT144" s="294"/>
      <c r="HU144" s="294"/>
      <c r="HV144" s="294"/>
      <c r="HW144" s="294"/>
      <c r="HX144" s="294"/>
      <c r="HY144" s="294"/>
      <c r="HZ144" s="294"/>
      <c r="IA144" s="294">
        <v>-300</v>
      </c>
      <c r="IB144" s="294"/>
      <c r="IC144" s="294"/>
      <c r="ID144" s="294"/>
      <c r="IE144" s="294"/>
      <c r="IF144" s="294"/>
      <c r="IG144" s="294"/>
      <c r="IH144" s="294"/>
      <c r="II144" s="294">
        <v>-700000</v>
      </c>
      <c r="IJ144" s="294"/>
      <c r="IK144" s="294"/>
      <c r="IL144" s="294"/>
      <c r="IM144" s="294"/>
      <c r="IN144" s="294"/>
      <c r="IO144" s="294"/>
      <c r="IP144" s="294"/>
      <c r="IQ144" s="294"/>
      <c r="IR144" s="294"/>
      <c r="IS144" s="294">
        <v>-161000</v>
      </c>
      <c r="IT144" s="294"/>
      <c r="IU144" s="294"/>
      <c r="IV144" s="294"/>
      <c r="IW144" s="294"/>
      <c r="IX144" s="294"/>
      <c r="IY144" s="294"/>
      <c r="IZ144" s="294"/>
      <c r="JA144" s="294"/>
      <c r="JB144" s="294"/>
      <c r="JC144" s="294"/>
      <c r="JD144" s="294"/>
      <c r="JE144" s="294">
        <v>-305000</v>
      </c>
      <c r="JF144" s="294"/>
      <c r="JG144" s="294"/>
      <c r="JH144" s="294"/>
      <c r="JI144" s="294"/>
      <c r="JJ144" s="294"/>
      <c r="JK144" s="294"/>
      <c r="JL144" s="294"/>
      <c r="JM144" s="294"/>
      <c r="JN144" s="294"/>
      <c r="JO144" s="294"/>
      <c r="JP144" s="294"/>
      <c r="JQ144" s="294"/>
      <c r="JR144" s="294"/>
      <c r="JS144" s="294"/>
      <c r="JT144" s="294"/>
      <c r="JU144" s="294"/>
      <c r="JV144" s="294"/>
      <c r="JW144" s="294"/>
      <c r="JX144" s="294"/>
      <c r="JY144" s="294"/>
      <c r="JZ144" s="294"/>
      <c r="KA144" s="294"/>
      <c r="KB144" s="294"/>
      <c r="KC144" s="294"/>
      <c r="KD144" s="294"/>
      <c r="KE144" s="294"/>
      <c r="KF144" s="294"/>
      <c r="KG144" s="294"/>
      <c r="KH144" s="294"/>
      <c r="KI144" s="294"/>
      <c r="KJ144" s="294"/>
      <c r="KK144" s="294"/>
      <c r="KL144" s="294"/>
      <c r="KM144" s="294"/>
      <c r="KN144" s="294"/>
      <c r="KO144" s="294"/>
      <c r="KP144" s="294"/>
      <c r="KQ144" s="294"/>
      <c r="KR144" s="294"/>
      <c r="KS144" s="294"/>
      <c r="KT144" s="294"/>
      <c r="KU144" s="294"/>
      <c r="KV144" s="294"/>
      <c r="KW144" s="294"/>
      <c r="KX144" s="294"/>
      <c r="KY144" s="294"/>
      <c r="KZ144" s="294"/>
      <c r="LA144" s="294"/>
      <c r="LB144" s="294"/>
      <c r="LC144" s="294"/>
      <c r="LD144" s="294"/>
      <c r="LE144" s="294"/>
      <c r="LF144" s="294"/>
      <c r="LG144" s="294"/>
      <c r="LH144" s="294"/>
      <c r="LI144" s="294">
        <v>-5024</v>
      </c>
      <c r="LJ144" s="294"/>
      <c r="LK144" s="294"/>
      <c r="LL144" s="294"/>
      <c r="LM144" s="294"/>
      <c r="LN144" s="294"/>
      <c r="LO144" s="294"/>
      <c r="LP144" s="294"/>
      <c r="LQ144" s="294"/>
      <c r="LR144" s="294"/>
      <c r="LS144" s="294"/>
      <c r="LT144" s="294"/>
      <c r="LU144" s="294"/>
      <c r="LV144" s="294"/>
      <c r="LW144" s="294"/>
      <c r="LX144" s="294"/>
      <c r="LY144" s="294"/>
      <c r="LZ144" s="294"/>
      <c r="MA144" s="294"/>
      <c r="MB144" s="294"/>
      <c r="MC144" s="294"/>
      <c r="MD144" s="294"/>
      <c r="ME144" s="294"/>
      <c r="MF144" s="294"/>
      <c r="MG144" s="294"/>
      <c r="MH144" s="294"/>
      <c r="MI144" s="294"/>
      <c r="MJ144" s="294"/>
      <c r="MK144" s="294"/>
      <c r="ML144" s="294"/>
      <c r="MM144" s="294"/>
      <c r="MN144" s="294"/>
      <c r="MO144" s="294"/>
      <c r="MP144" s="294"/>
      <c r="MQ144" s="294"/>
      <c r="MR144" s="294"/>
      <c r="MS144" s="294"/>
      <c r="MT144" s="294"/>
      <c r="MU144" s="294"/>
      <c r="MV144" s="294"/>
      <c r="MW144" s="294"/>
      <c r="MX144" s="294"/>
      <c r="MY144" s="294"/>
      <c r="MZ144" s="294"/>
      <c r="NA144" s="294"/>
      <c r="NB144" s="294"/>
      <c r="NC144" s="294"/>
      <c r="ND144" s="294"/>
      <c r="NE144" s="294"/>
      <c r="NF144" s="294"/>
      <c r="NG144" s="294"/>
      <c r="NH144" s="294"/>
      <c r="NI144" s="294"/>
      <c r="NJ144" s="294"/>
      <c r="NK144" s="294"/>
      <c r="NL144" s="294"/>
      <c r="NM144" s="294"/>
      <c r="NN144" s="294"/>
      <c r="NO144" s="294"/>
      <c r="NP144" s="294">
        <v>-347278</v>
      </c>
      <c r="NQ144" s="294"/>
      <c r="NR144" s="294"/>
      <c r="NS144" s="294"/>
      <c r="NT144" s="294"/>
      <c r="NU144" s="294"/>
      <c r="NV144" s="294"/>
      <c r="NW144" s="294"/>
      <c r="NX144" s="294"/>
      <c r="NY144" s="294"/>
      <c r="NZ144" s="294"/>
      <c r="OA144" s="294"/>
      <c r="OB144" s="294"/>
      <c r="OC144" s="294"/>
      <c r="OD144" s="294"/>
      <c r="OE144" s="294"/>
      <c r="OF144" s="294"/>
      <c r="OG144" s="294"/>
      <c r="OH144" s="294"/>
      <c r="OI144" s="294"/>
      <c r="OJ144" s="294"/>
      <c r="OK144" s="294"/>
      <c r="OL144" s="294"/>
      <c r="OM144" s="294"/>
      <c r="ON144" s="294"/>
      <c r="OO144" s="294"/>
      <c r="OP144" s="294"/>
      <c r="OQ144" s="294"/>
      <c r="OR144" s="294"/>
      <c r="OS144" s="294">
        <v>-736820</v>
      </c>
      <c r="OT144" s="294"/>
      <c r="OU144" s="294"/>
      <c r="OV144" s="294"/>
      <c r="OW144" s="294"/>
      <c r="OX144" s="294"/>
      <c r="OY144" s="294"/>
      <c r="OZ144" s="294"/>
      <c r="PA144" s="294"/>
      <c r="PB144" s="294"/>
      <c r="PC144" s="294"/>
      <c r="PD144" s="294"/>
      <c r="PE144" s="294"/>
      <c r="PF144" s="294"/>
      <c r="PG144" s="294"/>
      <c r="PH144" s="294"/>
      <c r="PI144" s="294"/>
      <c r="PJ144" s="294"/>
      <c r="PK144" s="294"/>
      <c r="PL144" s="294"/>
      <c r="PM144" s="294"/>
      <c r="PN144" s="294"/>
      <c r="PO144" s="294"/>
      <c r="PP144" s="294"/>
      <c r="PQ144" s="294"/>
      <c r="PR144" s="294"/>
      <c r="PS144" s="294"/>
      <c r="PT144" s="294"/>
      <c r="PU144" s="294"/>
      <c r="PV144" s="294"/>
      <c r="PW144" s="294"/>
      <c r="PX144" s="294"/>
      <c r="PY144" s="294"/>
      <c r="PZ144" s="294"/>
      <c r="QA144" s="294"/>
      <c r="QB144" s="294"/>
      <c r="QC144" s="294"/>
      <c r="QD144" s="294"/>
      <c r="QE144" s="294"/>
      <c r="QF144" s="294"/>
      <c r="QG144" s="294"/>
      <c r="QH144" s="294"/>
      <c r="QI144" s="294"/>
      <c r="QJ144" s="294"/>
      <c r="QK144" s="294"/>
      <c r="QL144" s="294"/>
      <c r="QM144" s="294"/>
      <c r="QN144" s="294">
        <v>-406850</v>
      </c>
      <c r="QO144" s="294"/>
      <c r="QP144" s="294"/>
      <c r="QQ144" s="294"/>
      <c r="QR144" s="294"/>
      <c r="QS144" s="294"/>
      <c r="QT144" s="294"/>
      <c r="QU144" s="294"/>
      <c r="QV144" s="294"/>
      <c r="QW144" s="294"/>
      <c r="QX144" s="294"/>
      <c r="QY144" s="294"/>
      <c r="QZ144" s="294"/>
      <c r="RA144" s="294"/>
      <c r="RB144" s="294"/>
      <c r="RC144" s="294"/>
      <c r="RD144" s="294"/>
      <c r="RE144" s="294"/>
      <c r="RF144" s="294"/>
      <c r="RG144" s="294"/>
      <c r="RH144" s="294"/>
      <c r="RI144" s="294"/>
      <c r="RJ144" s="294"/>
      <c r="RK144" s="294"/>
      <c r="RL144" s="294"/>
      <c r="RM144" s="294"/>
      <c r="RN144" s="294"/>
      <c r="RO144" s="294"/>
      <c r="RP144" s="294"/>
      <c r="RQ144" s="294">
        <v>-50000</v>
      </c>
      <c r="RR144" s="294"/>
      <c r="RS144" s="294"/>
      <c r="RT144" s="294"/>
      <c r="RU144" s="294"/>
      <c r="RV144" s="294"/>
      <c r="RW144" s="294"/>
      <c r="RX144" s="294"/>
      <c r="RY144" s="294"/>
      <c r="RZ144" s="294"/>
      <c r="SA144" s="294">
        <v>-297049</v>
      </c>
      <c r="SB144" s="294"/>
      <c r="SC144" s="294"/>
      <c r="SD144" s="294"/>
      <c r="SE144" s="294"/>
      <c r="SF144" s="294"/>
      <c r="SG144" s="294"/>
      <c r="SH144" s="294"/>
      <c r="SI144" s="294"/>
      <c r="SJ144" s="294"/>
      <c r="SK144" s="294"/>
      <c r="SL144" s="294"/>
      <c r="SM144" s="294"/>
      <c r="SN144" s="294"/>
      <c r="SO144" s="294"/>
      <c r="SP144" s="294"/>
      <c r="SQ144" s="294"/>
      <c r="SR144" s="294"/>
      <c r="SS144" s="294"/>
      <c r="ST144" s="294"/>
      <c r="SU144" s="294"/>
      <c r="SV144" s="294"/>
      <c r="SW144" s="294"/>
      <c r="SX144" s="294"/>
      <c r="SY144" s="294"/>
      <c r="SZ144" s="294"/>
      <c r="TA144" s="294"/>
      <c r="TB144" s="294"/>
      <c r="TC144" s="294"/>
      <c r="TD144" s="294"/>
      <c r="TE144" s="294"/>
      <c r="TF144" s="294"/>
      <c r="TG144" s="294"/>
      <c r="TH144" s="294"/>
      <c r="TI144" s="294"/>
      <c r="TJ144" s="294"/>
      <c r="TK144" s="294"/>
      <c r="TL144" s="294"/>
      <c r="TM144" s="294"/>
      <c r="TN144" s="294"/>
      <c r="TO144" s="294"/>
      <c r="TP144" s="294"/>
      <c r="TQ144" s="294"/>
      <c r="TR144" s="294"/>
      <c r="TS144" s="294"/>
      <c r="TT144" s="294"/>
      <c r="TU144" s="294"/>
      <c r="TV144" s="294"/>
      <c r="TW144" s="294"/>
      <c r="TX144" s="294"/>
      <c r="TY144" s="294"/>
      <c r="TZ144" s="294"/>
      <c r="UA144" s="294"/>
      <c r="UB144" s="294"/>
      <c r="UC144" s="294"/>
      <c r="UD144" s="294"/>
      <c r="UE144" s="294"/>
      <c r="UF144" s="294"/>
      <c r="UG144" s="294"/>
      <c r="UH144" s="294"/>
      <c r="UI144" s="294"/>
      <c r="UJ144" s="294"/>
      <c r="UK144" s="294"/>
      <c r="UL144" s="294"/>
      <c r="UM144" s="294"/>
      <c r="UN144" s="294"/>
      <c r="UO144" s="294"/>
      <c r="UP144" s="294"/>
      <c r="UQ144" s="294"/>
      <c r="UR144" s="294"/>
      <c r="US144" s="294"/>
      <c r="UT144" s="294"/>
      <c r="UU144" s="294"/>
      <c r="UV144" s="294"/>
      <c r="UW144" s="294"/>
      <c r="UX144" s="294"/>
      <c r="UY144" s="294"/>
      <c r="UZ144" s="294"/>
      <c r="VA144" s="294"/>
      <c r="VB144" s="294"/>
      <c r="VC144" s="294"/>
      <c r="VD144" s="294"/>
      <c r="VE144" s="294"/>
      <c r="VF144" s="294"/>
      <c r="VG144" s="294"/>
      <c r="VH144" s="294"/>
      <c r="VI144" s="294"/>
      <c r="VJ144" s="294"/>
      <c r="VK144" s="294"/>
      <c r="VL144" s="294">
        <v>-1930124</v>
      </c>
      <c r="VM144" s="294"/>
      <c r="VN144" s="294"/>
      <c r="VO144" s="294"/>
      <c r="VP144" s="294"/>
      <c r="VQ144" s="294"/>
      <c r="VR144" s="294"/>
      <c r="VS144" s="294"/>
      <c r="VT144" s="294"/>
      <c r="VU144" s="294"/>
      <c r="VV144" s="294"/>
      <c r="VW144" s="294"/>
      <c r="VX144" s="294"/>
      <c r="VY144" s="294"/>
      <c r="VZ144" s="294"/>
      <c r="WA144" s="294"/>
      <c r="WB144" s="294"/>
      <c r="WC144" s="294"/>
      <c r="WD144" s="294"/>
      <c r="WE144" s="294"/>
      <c r="WF144" s="294"/>
      <c r="WG144" s="294"/>
      <c r="WH144" s="294"/>
      <c r="WI144" s="294"/>
      <c r="WJ144" s="294"/>
      <c r="WK144" s="294"/>
      <c r="WL144" s="294"/>
      <c r="WM144" s="294"/>
      <c r="WN144" s="294"/>
      <c r="WO144" s="294"/>
      <c r="WP144" s="294"/>
      <c r="WQ144" s="294"/>
      <c r="WR144" s="294"/>
      <c r="WS144" s="294"/>
      <c r="WT144" s="294"/>
      <c r="WU144" s="294"/>
      <c r="WV144" s="294"/>
      <c r="WW144" s="294"/>
      <c r="WX144" s="294"/>
      <c r="WY144" s="294"/>
      <c r="WZ144" s="294"/>
      <c r="XA144" s="294"/>
      <c r="XB144" s="294"/>
      <c r="XC144" s="294"/>
      <c r="XD144" s="294"/>
      <c r="XE144" s="294"/>
      <c r="XF144" s="294"/>
      <c r="XG144" s="294"/>
      <c r="XH144" s="294">
        <v>-191250</v>
      </c>
      <c r="XI144" s="294"/>
      <c r="XJ144" s="294"/>
      <c r="XK144" s="294"/>
      <c r="XL144" s="294"/>
      <c r="XM144" s="294"/>
      <c r="XN144" s="294"/>
      <c r="XO144" s="294"/>
      <c r="XP144" s="294"/>
      <c r="XQ144" s="294"/>
      <c r="XR144" s="294"/>
      <c r="XS144" s="294"/>
      <c r="XT144" s="294"/>
      <c r="XU144" s="294"/>
      <c r="XV144" s="294"/>
      <c r="XW144" s="294"/>
      <c r="XX144" s="294"/>
      <c r="XY144" s="294"/>
      <c r="XZ144" s="294"/>
      <c r="YA144" s="294"/>
      <c r="YB144" s="294"/>
      <c r="YC144" s="294"/>
      <c r="YD144" s="294"/>
      <c r="YE144" s="294"/>
      <c r="YF144" s="294"/>
      <c r="YG144" s="294"/>
      <c r="YH144" s="294"/>
      <c r="YI144" s="294"/>
      <c r="YJ144" s="294"/>
      <c r="YK144" s="294"/>
      <c r="YL144" s="294"/>
      <c r="YM144" s="294"/>
      <c r="YN144" s="294"/>
      <c r="YO144" s="294"/>
      <c r="YP144" s="294"/>
      <c r="YQ144" s="294"/>
      <c r="YR144" s="294"/>
      <c r="YS144" s="294"/>
      <c r="YT144" s="294"/>
      <c r="YU144" s="294"/>
      <c r="YV144" s="294"/>
      <c r="YW144" s="294"/>
      <c r="YX144" s="294"/>
      <c r="YY144" s="294"/>
      <c r="YZ144" s="294"/>
      <c r="ZA144" s="294"/>
      <c r="ZB144" s="294"/>
      <c r="ZC144" s="294"/>
      <c r="ZD144" s="294"/>
      <c r="ZE144" s="294"/>
      <c r="ZF144" s="294"/>
      <c r="ZG144" s="294"/>
      <c r="ZH144" s="294"/>
      <c r="ZI144" s="294"/>
      <c r="ZJ144" s="294"/>
      <c r="ZK144" s="294"/>
      <c r="ZL144" s="294"/>
      <c r="ZM144" s="294"/>
      <c r="ZN144" s="294"/>
      <c r="ZO144" s="294"/>
      <c r="ZP144" s="294"/>
      <c r="ZQ144" s="294"/>
      <c r="ZR144" s="294"/>
      <c r="ZS144" s="294"/>
      <c r="ZT144" s="294"/>
      <c r="ZU144" s="294"/>
      <c r="ZV144" s="294"/>
      <c r="ZW144" s="294"/>
      <c r="ZX144" s="294"/>
      <c r="ZY144" s="294"/>
      <c r="ZZ144" s="294"/>
      <c r="AAA144" s="294"/>
      <c r="AAB144" s="294"/>
      <c r="AAC144" s="294"/>
      <c r="AAD144" s="294"/>
      <c r="AAE144" s="294"/>
      <c r="AAF144" s="294"/>
      <c r="AAG144" s="294"/>
      <c r="AAH144" s="294"/>
      <c r="AAI144" s="294"/>
      <c r="AAJ144" s="294"/>
      <c r="AAK144" s="294"/>
      <c r="AAL144" s="294"/>
      <c r="AAM144" s="294"/>
      <c r="AAN144" s="294"/>
      <c r="AAO144" s="294">
        <v>-7505888.1500000004</v>
      </c>
      <c r="AAP144" s="294"/>
      <c r="AAQ144" s="294"/>
      <c r="AAR144" s="294"/>
      <c r="AAS144" s="294"/>
      <c r="AAT144" s="294"/>
      <c r="AAU144" s="294"/>
      <c r="AAV144" s="294"/>
      <c r="AAW144" s="294"/>
      <c r="AAX144" s="294"/>
      <c r="AAY144" s="294"/>
      <c r="AAZ144" s="294"/>
      <c r="ABA144" s="294"/>
      <c r="ABB144" s="294"/>
      <c r="ABC144" s="294">
        <v>0</v>
      </c>
      <c r="ABD144" s="294"/>
      <c r="ABE144" s="294"/>
      <c r="ABF144" s="294"/>
      <c r="ABG144" s="294"/>
      <c r="ABH144" s="294"/>
      <c r="ABI144" s="294"/>
      <c r="ABJ144" s="294"/>
      <c r="ABK144" s="294">
        <v>0</v>
      </c>
      <c r="ABL144" s="294"/>
      <c r="ABM144" s="294"/>
      <c r="ABN144" s="294"/>
      <c r="ABO144" s="294">
        <v>-14250</v>
      </c>
      <c r="ABP144" s="294"/>
      <c r="ABQ144" s="294"/>
      <c r="ABR144" s="294"/>
      <c r="ABS144" s="294"/>
      <c r="ABT144" s="294"/>
      <c r="ABU144" s="294"/>
      <c r="ABV144" s="294"/>
      <c r="ABW144" s="294"/>
      <c r="ABX144" s="294"/>
      <c r="ABY144" s="294"/>
      <c r="ABZ144" s="294"/>
      <c r="ACA144" s="294"/>
      <c r="ACB144" s="294"/>
      <c r="ACC144" s="294"/>
      <c r="ACD144" s="294"/>
      <c r="ACE144" s="294"/>
      <c r="ACF144" s="294"/>
      <c r="ACG144" s="294"/>
      <c r="ACH144" s="294"/>
      <c r="ACI144" s="294"/>
      <c r="ACJ144" s="294"/>
      <c r="ACK144" s="294"/>
      <c r="ACL144" s="294"/>
      <c r="ACM144" s="294"/>
      <c r="ACN144" s="294"/>
      <c r="ACO144" s="294"/>
      <c r="ACP144" s="294">
        <v>-103000</v>
      </c>
      <c r="ACQ144" s="294"/>
      <c r="ACR144" s="294"/>
      <c r="ACS144" s="294"/>
      <c r="ACT144" s="294"/>
      <c r="ACU144" s="294"/>
      <c r="ACV144" s="294"/>
      <c r="ACW144" s="294"/>
      <c r="ACX144" s="294"/>
      <c r="ACY144" s="294"/>
      <c r="ACZ144" s="294"/>
      <c r="ADA144" s="294"/>
      <c r="ADB144" s="294"/>
      <c r="ADC144" s="294"/>
      <c r="ADD144" s="294"/>
      <c r="ADE144" s="294"/>
      <c r="ADF144" s="294">
        <v>-481970</v>
      </c>
      <c r="ADG144" s="294"/>
      <c r="ADH144" s="294"/>
      <c r="ADI144" s="294"/>
      <c r="ADJ144" s="294"/>
      <c r="ADK144" s="294"/>
      <c r="ADL144" s="294"/>
      <c r="ADM144" s="294"/>
      <c r="ADN144" s="294"/>
      <c r="ADO144" s="294"/>
      <c r="ADP144" s="294"/>
      <c r="ADQ144" s="294">
        <v>0</v>
      </c>
      <c r="ADR144" s="294"/>
      <c r="ADS144" s="294"/>
      <c r="ADT144" s="294"/>
      <c r="ADU144" s="294"/>
      <c r="ADV144" s="294"/>
      <c r="ADW144" s="294"/>
      <c r="ADX144" s="294"/>
      <c r="ADY144" s="294"/>
      <c r="ADZ144" s="294"/>
      <c r="AEA144" s="294"/>
      <c r="AEB144" s="294"/>
      <c r="AEC144" s="294"/>
      <c r="AED144" s="294"/>
      <c r="AEE144" s="294"/>
      <c r="AEF144" s="294"/>
      <c r="AEG144" s="294"/>
      <c r="AEH144" s="294"/>
      <c r="AEI144" s="294"/>
      <c r="AEJ144" s="294"/>
      <c r="AEK144" s="294"/>
      <c r="AEL144" s="294"/>
      <c r="AEM144" s="294"/>
      <c r="AEN144" s="294"/>
      <c r="AEO144" s="294"/>
      <c r="AEP144" s="294"/>
      <c r="AEQ144" s="294"/>
      <c r="AER144" s="294"/>
      <c r="AES144" s="294">
        <v>-328795</v>
      </c>
      <c r="AET144" s="294"/>
      <c r="AEU144" s="294"/>
      <c r="AEV144" s="294"/>
      <c r="AEW144" s="294"/>
      <c r="AEX144" s="294"/>
      <c r="AEY144" s="294"/>
      <c r="AEZ144" s="294"/>
      <c r="AFA144" s="294"/>
      <c r="AFB144" s="294"/>
      <c r="AFC144" s="294"/>
      <c r="AFD144" s="294"/>
      <c r="AFE144" s="294"/>
      <c r="AFF144" s="294"/>
      <c r="AFG144" s="294"/>
      <c r="AFH144" s="294"/>
      <c r="AFI144" s="294"/>
      <c r="AFJ144" s="294"/>
      <c r="AFK144" s="294"/>
      <c r="AFL144" s="294"/>
      <c r="AFM144" s="294"/>
      <c r="AFN144" s="294"/>
      <c r="AFO144" s="294"/>
      <c r="AFP144" s="294"/>
      <c r="AFQ144" s="294"/>
      <c r="AFR144" s="294"/>
      <c r="AFS144" s="294"/>
      <c r="AFT144" s="294"/>
      <c r="AFU144" s="294"/>
      <c r="AFV144" s="294"/>
      <c r="AFW144" s="294"/>
      <c r="AFX144" s="294"/>
      <c r="AFY144" s="294"/>
      <c r="AFZ144" s="294"/>
      <c r="AGA144" s="294"/>
      <c r="AGB144" s="294"/>
      <c r="AGC144" s="294"/>
      <c r="AGD144" s="294"/>
      <c r="AGE144" s="294"/>
      <c r="AGF144" s="294"/>
      <c r="AGG144" s="294"/>
      <c r="AGH144" s="294"/>
      <c r="AGI144" s="294"/>
      <c r="AGJ144" s="294"/>
      <c r="AGK144" s="294"/>
      <c r="AGL144" s="294"/>
      <c r="AGM144" s="294"/>
      <c r="AGN144" s="294"/>
      <c r="AGO144" s="294"/>
      <c r="AGP144" s="294"/>
      <c r="AGQ144" s="294"/>
      <c r="AGR144" s="294"/>
      <c r="AGS144" s="294"/>
      <c r="AGT144" s="294"/>
      <c r="AGU144" s="294"/>
      <c r="AGV144" s="294"/>
      <c r="AGW144" s="294"/>
      <c r="AGX144" s="294"/>
      <c r="AGY144" s="294"/>
      <c r="AGZ144" s="294"/>
      <c r="AHA144" s="294"/>
      <c r="AHB144" s="294"/>
      <c r="AHC144" s="294"/>
      <c r="AHD144" s="294"/>
      <c r="AHE144" s="294"/>
      <c r="AHF144" s="294"/>
      <c r="AHG144" s="294"/>
      <c r="AHH144" s="294"/>
      <c r="AHI144" s="294"/>
      <c r="AHJ144" s="294"/>
      <c r="AHK144" s="294"/>
      <c r="AHL144" s="294"/>
      <c r="AHM144" s="294"/>
      <c r="AHN144" s="294"/>
      <c r="AHO144" s="294"/>
      <c r="AHP144" s="294"/>
      <c r="AHQ144" s="294"/>
      <c r="AHR144" s="331"/>
      <c r="AHS144" s="294">
        <f t="shared" si="56"/>
        <v>-16774639.65</v>
      </c>
      <c r="AHT144" s="269" t="b">
        <f t="shared" si="54"/>
        <v>1</v>
      </c>
      <c r="AHU144" s="269" t="s">
        <v>6278</v>
      </c>
      <c r="AHV144" s="269" t="s">
        <v>6230</v>
      </c>
      <c r="AHW144" s="269" t="s">
        <v>6231</v>
      </c>
    </row>
    <row r="145" spans="1:907" ht="24.6" x14ac:dyDescent="0.7">
      <c r="A145" s="268" t="s">
        <v>6278</v>
      </c>
      <c r="B145" s="268" t="s">
        <v>6232</v>
      </c>
      <c r="C145" s="269" t="s">
        <v>6233</v>
      </c>
      <c r="D145" s="294"/>
      <c r="E145" s="294"/>
      <c r="F145" s="294"/>
      <c r="G145" s="294"/>
      <c r="H145" s="294"/>
      <c r="I145" s="294"/>
      <c r="J145" s="294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294"/>
      <c r="AE145" s="294"/>
      <c r="AF145" s="294"/>
      <c r="AG145" s="294"/>
      <c r="AH145" s="294"/>
      <c r="AI145" s="294"/>
      <c r="AJ145" s="294"/>
      <c r="AK145" s="294"/>
      <c r="AL145" s="294"/>
      <c r="AM145" s="294"/>
      <c r="AN145" s="294"/>
      <c r="AO145" s="294"/>
      <c r="AP145" s="294"/>
      <c r="AQ145" s="294"/>
      <c r="AR145" s="294"/>
      <c r="AS145" s="294"/>
      <c r="AT145" s="294"/>
      <c r="AU145" s="294"/>
      <c r="AV145" s="294"/>
      <c r="AW145" s="294"/>
      <c r="AX145" s="294"/>
      <c r="AY145" s="294"/>
      <c r="AZ145" s="294"/>
      <c r="BA145" s="294"/>
      <c r="BB145" s="294"/>
      <c r="BC145" s="294"/>
      <c r="BD145" s="294"/>
      <c r="BE145" s="294"/>
      <c r="BF145" s="294"/>
      <c r="BG145" s="294"/>
      <c r="BH145" s="294"/>
      <c r="BI145" s="294"/>
      <c r="BJ145" s="294"/>
      <c r="BK145" s="294"/>
      <c r="BL145" s="294"/>
      <c r="BM145" s="294"/>
      <c r="BN145" s="294"/>
      <c r="BO145" s="294"/>
      <c r="BP145" s="294"/>
      <c r="BQ145" s="294"/>
      <c r="BR145" s="294"/>
      <c r="BS145" s="294"/>
      <c r="BT145" s="294"/>
      <c r="BU145" s="294"/>
      <c r="BV145" s="294"/>
      <c r="BW145" s="294"/>
      <c r="BX145" s="294"/>
      <c r="BY145" s="294"/>
      <c r="BZ145" s="294"/>
      <c r="CA145" s="294"/>
      <c r="CB145" s="294"/>
      <c r="CC145" s="294"/>
      <c r="CD145" s="294"/>
      <c r="CE145" s="294"/>
      <c r="CF145" s="294"/>
      <c r="CG145" s="294"/>
      <c r="CH145" s="294"/>
      <c r="CI145" s="294"/>
      <c r="CJ145" s="294"/>
      <c r="CK145" s="294"/>
      <c r="CL145" s="294"/>
      <c r="CM145" s="294"/>
      <c r="CN145" s="294"/>
      <c r="CO145" s="294"/>
      <c r="CP145" s="294"/>
      <c r="CQ145" s="294"/>
      <c r="CR145" s="294"/>
      <c r="CS145" s="294"/>
      <c r="CT145" s="294"/>
      <c r="CU145" s="294"/>
      <c r="CV145" s="294"/>
      <c r="CW145" s="294"/>
      <c r="CX145" s="294"/>
      <c r="CY145" s="294"/>
      <c r="CZ145" s="294"/>
      <c r="DA145" s="294"/>
      <c r="DB145" s="294"/>
      <c r="DC145" s="294"/>
      <c r="DD145" s="294"/>
      <c r="DE145" s="294"/>
      <c r="DF145" s="294"/>
      <c r="DG145" s="294"/>
      <c r="DH145" s="294"/>
      <c r="DI145" s="294"/>
      <c r="DJ145" s="294"/>
      <c r="DK145" s="294"/>
      <c r="DL145" s="294"/>
      <c r="DM145" s="294"/>
      <c r="DN145" s="294"/>
      <c r="DO145" s="294"/>
      <c r="DP145" s="294"/>
      <c r="DQ145" s="294"/>
      <c r="DR145" s="294"/>
      <c r="DS145" s="294"/>
      <c r="DT145" s="294"/>
      <c r="DU145" s="294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>
        <v>-99819</v>
      </c>
      <c r="EQ145" s="294"/>
      <c r="ER145" s="294"/>
      <c r="ES145" s="294"/>
      <c r="ET145" s="294"/>
      <c r="EU145" s="294">
        <v>-10000</v>
      </c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  <c r="FI145" s="294"/>
      <c r="FJ145" s="294"/>
      <c r="FK145" s="294"/>
      <c r="FL145" s="294"/>
      <c r="FM145" s="294"/>
      <c r="FN145" s="294"/>
      <c r="FO145" s="294"/>
      <c r="FP145" s="294"/>
      <c r="FQ145" s="294"/>
      <c r="FR145" s="294"/>
      <c r="FS145" s="294"/>
      <c r="FT145" s="294"/>
      <c r="FU145" s="294"/>
      <c r="FV145" s="294"/>
      <c r="FW145" s="294"/>
      <c r="FX145" s="294"/>
      <c r="FY145" s="294"/>
      <c r="FZ145" s="294"/>
      <c r="GA145" s="294"/>
      <c r="GB145" s="294"/>
      <c r="GC145" s="294"/>
      <c r="GD145" s="294"/>
      <c r="GE145" s="294"/>
      <c r="GF145" s="294"/>
      <c r="GG145" s="294"/>
      <c r="GH145" s="294"/>
      <c r="GI145" s="294"/>
      <c r="GJ145" s="294"/>
      <c r="GK145" s="294"/>
      <c r="GL145" s="294"/>
      <c r="GM145" s="294"/>
      <c r="GN145" s="294"/>
      <c r="GO145" s="294"/>
      <c r="GP145" s="294"/>
      <c r="GQ145" s="294"/>
      <c r="GR145" s="294"/>
      <c r="GS145" s="294"/>
      <c r="GT145" s="294"/>
      <c r="GU145" s="294"/>
      <c r="GV145" s="294"/>
      <c r="GW145" s="294"/>
      <c r="GX145" s="294"/>
      <c r="GY145" s="294"/>
      <c r="GZ145" s="294"/>
      <c r="HA145" s="294"/>
      <c r="HB145" s="294"/>
      <c r="HC145" s="294"/>
      <c r="HD145" s="294"/>
      <c r="HE145" s="294"/>
      <c r="HF145" s="294"/>
      <c r="HG145" s="294"/>
      <c r="HH145" s="294"/>
      <c r="HI145" s="294"/>
      <c r="HJ145" s="294"/>
      <c r="HK145" s="294"/>
      <c r="HL145" s="294"/>
      <c r="HM145" s="294"/>
      <c r="HN145" s="294"/>
      <c r="HO145" s="294"/>
      <c r="HP145" s="294"/>
      <c r="HQ145" s="294"/>
      <c r="HR145" s="294"/>
      <c r="HS145" s="294"/>
      <c r="HT145" s="294"/>
      <c r="HU145" s="294"/>
      <c r="HV145" s="294"/>
      <c r="HW145" s="294"/>
      <c r="HX145" s="294"/>
      <c r="HY145" s="294"/>
      <c r="HZ145" s="294"/>
      <c r="IA145" s="294"/>
      <c r="IB145" s="294"/>
      <c r="IC145" s="294"/>
      <c r="ID145" s="294"/>
      <c r="IE145" s="294"/>
      <c r="IF145" s="294"/>
      <c r="IG145" s="294">
        <v>-30000</v>
      </c>
      <c r="IH145" s="294"/>
      <c r="II145" s="294"/>
      <c r="IJ145" s="294"/>
      <c r="IK145" s="294"/>
      <c r="IL145" s="294"/>
      <c r="IM145" s="294"/>
      <c r="IN145" s="294"/>
      <c r="IO145" s="294"/>
      <c r="IP145" s="294"/>
      <c r="IQ145" s="294"/>
      <c r="IR145" s="294"/>
      <c r="IS145" s="294"/>
      <c r="IT145" s="294"/>
      <c r="IU145" s="294"/>
      <c r="IV145" s="294"/>
      <c r="IW145" s="294"/>
      <c r="IX145" s="294"/>
      <c r="IY145" s="294"/>
      <c r="IZ145" s="294"/>
      <c r="JA145" s="294"/>
      <c r="JB145" s="294"/>
      <c r="JC145" s="294"/>
      <c r="JD145" s="294"/>
      <c r="JE145" s="294"/>
      <c r="JF145" s="294"/>
      <c r="JG145" s="294"/>
      <c r="JH145" s="294"/>
      <c r="JI145" s="294"/>
      <c r="JJ145" s="294"/>
      <c r="JK145" s="294"/>
      <c r="JL145" s="294"/>
      <c r="JM145" s="294"/>
      <c r="JN145" s="294"/>
      <c r="JO145" s="294"/>
      <c r="JP145" s="294"/>
      <c r="JQ145" s="294"/>
      <c r="JR145" s="294"/>
      <c r="JS145" s="294"/>
      <c r="JT145" s="294"/>
      <c r="JU145" s="294"/>
      <c r="JV145" s="294"/>
      <c r="JW145" s="294"/>
      <c r="JX145" s="294"/>
      <c r="JY145" s="294"/>
      <c r="JZ145" s="294"/>
      <c r="KA145" s="294"/>
      <c r="KB145" s="294"/>
      <c r="KC145" s="294"/>
      <c r="KD145" s="294"/>
      <c r="KE145" s="294"/>
      <c r="KF145" s="294"/>
      <c r="KG145" s="294"/>
      <c r="KH145" s="294"/>
      <c r="KI145" s="294"/>
      <c r="KJ145" s="294"/>
      <c r="KK145" s="294"/>
      <c r="KL145" s="294"/>
      <c r="KM145" s="294"/>
      <c r="KN145" s="294"/>
      <c r="KO145" s="294"/>
      <c r="KP145" s="294"/>
      <c r="KQ145" s="294"/>
      <c r="KR145" s="294"/>
      <c r="KS145" s="294"/>
      <c r="KT145" s="294"/>
      <c r="KU145" s="294"/>
      <c r="KV145" s="294"/>
      <c r="KW145" s="294"/>
      <c r="KX145" s="294"/>
      <c r="KY145" s="294"/>
      <c r="KZ145" s="294"/>
      <c r="LA145" s="294"/>
      <c r="LB145" s="294"/>
      <c r="LC145" s="294"/>
      <c r="LD145" s="294"/>
      <c r="LE145" s="294">
        <v>-15000</v>
      </c>
      <c r="LF145" s="294"/>
      <c r="LG145" s="294"/>
      <c r="LH145" s="294"/>
      <c r="LI145" s="294"/>
      <c r="LJ145" s="294"/>
      <c r="LK145" s="294"/>
      <c r="LL145" s="294"/>
      <c r="LM145" s="294"/>
      <c r="LN145" s="294"/>
      <c r="LO145" s="294"/>
      <c r="LP145" s="294"/>
      <c r="LQ145" s="294"/>
      <c r="LR145" s="294"/>
      <c r="LS145" s="294"/>
      <c r="LT145" s="294"/>
      <c r="LU145" s="294"/>
      <c r="LV145" s="294"/>
      <c r="LW145" s="294"/>
      <c r="LX145" s="294"/>
      <c r="LY145" s="294"/>
      <c r="LZ145" s="294"/>
      <c r="MA145" s="294"/>
      <c r="MB145" s="294"/>
      <c r="MC145" s="294"/>
      <c r="MD145" s="294"/>
      <c r="ME145" s="294"/>
      <c r="MF145" s="294"/>
      <c r="MG145" s="294"/>
      <c r="MH145" s="294"/>
      <c r="MI145" s="294"/>
      <c r="MJ145" s="294"/>
      <c r="MK145" s="294"/>
      <c r="ML145" s="294"/>
      <c r="MM145" s="294"/>
      <c r="MN145" s="294"/>
      <c r="MO145" s="294"/>
      <c r="MP145" s="294"/>
      <c r="MQ145" s="294"/>
      <c r="MR145" s="294"/>
      <c r="MS145" s="294"/>
      <c r="MT145" s="294"/>
      <c r="MU145" s="294"/>
      <c r="MV145" s="294"/>
      <c r="MW145" s="294"/>
      <c r="MX145" s="294"/>
      <c r="MY145" s="294"/>
      <c r="MZ145" s="294"/>
      <c r="NA145" s="294"/>
      <c r="NB145" s="294"/>
      <c r="NC145" s="294"/>
      <c r="ND145" s="294">
        <v>-9600</v>
      </c>
      <c r="NE145" s="294"/>
      <c r="NF145" s="294"/>
      <c r="NG145" s="294"/>
      <c r="NH145" s="294"/>
      <c r="NI145" s="294"/>
      <c r="NJ145" s="294"/>
      <c r="NK145" s="294"/>
      <c r="NL145" s="294"/>
      <c r="NM145" s="294"/>
      <c r="NN145" s="294"/>
      <c r="NO145" s="294"/>
      <c r="NP145" s="294"/>
      <c r="NQ145" s="294"/>
      <c r="NR145" s="294"/>
      <c r="NS145" s="294"/>
      <c r="NT145" s="294"/>
      <c r="NU145" s="294"/>
      <c r="NV145" s="294"/>
      <c r="NW145" s="294"/>
      <c r="NX145" s="294"/>
      <c r="NY145" s="294"/>
      <c r="NZ145" s="294"/>
      <c r="OA145" s="294"/>
      <c r="OB145" s="294"/>
      <c r="OC145" s="294"/>
      <c r="OD145" s="294">
        <v>-134000</v>
      </c>
      <c r="OE145" s="294"/>
      <c r="OF145" s="294"/>
      <c r="OG145" s="294"/>
      <c r="OH145" s="294"/>
      <c r="OI145" s="294"/>
      <c r="OJ145" s="294"/>
      <c r="OK145" s="294"/>
      <c r="OL145" s="294"/>
      <c r="OM145" s="294"/>
      <c r="ON145" s="294"/>
      <c r="OO145" s="294"/>
      <c r="OP145" s="294"/>
      <c r="OQ145" s="294"/>
      <c r="OR145" s="294"/>
      <c r="OS145" s="294"/>
      <c r="OT145" s="294"/>
      <c r="OU145" s="294"/>
      <c r="OV145" s="294"/>
      <c r="OW145" s="294"/>
      <c r="OX145" s="294"/>
      <c r="OY145" s="294"/>
      <c r="OZ145" s="294"/>
      <c r="PA145" s="294"/>
      <c r="PB145" s="294"/>
      <c r="PC145" s="294"/>
      <c r="PD145" s="294"/>
      <c r="PE145" s="294"/>
      <c r="PF145" s="294"/>
      <c r="PG145" s="294"/>
      <c r="PH145" s="294">
        <v>-7050</v>
      </c>
      <c r="PI145" s="294"/>
      <c r="PJ145" s="294"/>
      <c r="PK145" s="294"/>
      <c r="PL145" s="294"/>
      <c r="PM145" s="294"/>
      <c r="PN145" s="294"/>
      <c r="PO145" s="294"/>
      <c r="PP145" s="294"/>
      <c r="PQ145" s="294"/>
      <c r="PR145" s="294"/>
      <c r="PS145" s="294"/>
      <c r="PT145" s="294"/>
      <c r="PU145" s="294"/>
      <c r="PV145" s="294"/>
      <c r="PW145" s="294"/>
      <c r="PX145" s="294"/>
      <c r="PY145" s="294"/>
      <c r="PZ145" s="294"/>
      <c r="QA145" s="294"/>
      <c r="QB145" s="294"/>
      <c r="QC145" s="294"/>
      <c r="QD145" s="294"/>
      <c r="QE145" s="294"/>
      <c r="QF145" s="294"/>
      <c r="QG145" s="294"/>
      <c r="QH145" s="294"/>
      <c r="QI145" s="294"/>
      <c r="QJ145" s="294"/>
      <c r="QK145" s="294"/>
      <c r="QL145" s="294"/>
      <c r="QM145" s="294"/>
      <c r="QN145" s="294"/>
      <c r="QO145" s="294"/>
      <c r="QP145" s="294"/>
      <c r="QQ145" s="294"/>
      <c r="QR145" s="294"/>
      <c r="QS145" s="294"/>
      <c r="QT145" s="294"/>
      <c r="QU145" s="294"/>
      <c r="QV145" s="294"/>
      <c r="QW145" s="294"/>
      <c r="QX145" s="294"/>
      <c r="QY145" s="294"/>
      <c r="QZ145" s="294"/>
      <c r="RA145" s="294"/>
      <c r="RB145" s="294"/>
      <c r="RC145" s="294"/>
      <c r="RD145" s="294"/>
      <c r="RE145" s="294"/>
      <c r="RF145" s="294"/>
      <c r="RG145" s="294"/>
      <c r="RH145" s="294"/>
      <c r="RI145" s="294"/>
      <c r="RJ145" s="294"/>
      <c r="RK145" s="294"/>
      <c r="RL145" s="294"/>
      <c r="RM145" s="294"/>
      <c r="RN145" s="294"/>
      <c r="RO145" s="294"/>
      <c r="RP145" s="294"/>
      <c r="RQ145" s="294"/>
      <c r="RR145" s="294"/>
      <c r="RS145" s="294"/>
      <c r="RT145" s="294"/>
      <c r="RU145" s="294"/>
      <c r="RV145" s="294"/>
      <c r="RW145" s="294"/>
      <c r="RX145" s="294"/>
      <c r="RY145" s="294"/>
      <c r="RZ145" s="294"/>
      <c r="SA145" s="294"/>
      <c r="SB145" s="294"/>
      <c r="SC145" s="294"/>
      <c r="SD145" s="294"/>
      <c r="SE145" s="294"/>
      <c r="SF145" s="294"/>
      <c r="SG145" s="294"/>
      <c r="SH145" s="294"/>
      <c r="SI145" s="294"/>
      <c r="SJ145" s="294"/>
      <c r="SK145" s="294"/>
      <c r="SL145" s="294"/>
      <c r="SM145" s="294"/>
      <c r="SN145" s="294">
        <v>-149686.9</v>
      </c>
      <c r="SO145" s="294">
        <v>-401198</v>
      </c>
      <c r="SP145" s="294"/>
      <c r="SQ145" s="294"/>
      <c r="SR145" s="294">
        <v>-207135.5</v>
      </c>
      <c r="SS145" s="294">
        <v>-161709</v>
      </c>
      <c r="ST145" s="294">
        <v>-54355.1</v>
      </c>
      <c r="SU145" s="294"/>
      <c r="SV145" s="294"/>
      <c r="SW145" s="294"/>
      <c r="SX145" s="294"/>
      <c r="SY145" s="294"/>
      <c r="SZ145" s="294"/>
      <c r="TA145" s="294"/>
      <c r="TB145" s="294"/>
      <c r="TC145" s="294"/>
      <c r="TD145" s="294"/>
      <c r="TE145" s="294"/>
      <c r="TF145" s="294"/>
      <c r="TG145" s="294"/>
      <c r="TH145" s="294"/>
      <c r="TI145" s="294"/>
      <c r="TJ145" s="294"/>
      <c r="TK145" s="294"/>
      <c r="TL145" s="294"/>
      <c r="TM145" s="294"/>
      <c r="TN145" s="294"/>
      <c r="TO145" s="294"/>
      <c r="TP145" s="294"/>
      <c r="TQ145" s="294"/>
      <c r="TR145" s="294"/>
      <c r="TS145" s="294"/>
      <c r="TT145" s="294"/>
      <c r="TU145" s="294"/>
      <c r="TV145" s="294"/>
      <c r="TW145" s="294"/>
      <c r="TX145" s="294"/>
      <c r="TY145" s="294"/>
      <c r="TZ145" s="294"/>
      <c r="UA145" s="294"/>
      <c r="UB145" s="294"/>
      <c r="UC145" s="294"/>
      <c r="UD145" s="294"/>
      <c r="UE145" s="294"/>
      <c r="UF145" s="294"/>
      <c r="UG145" s="294"/>
      <c r="UH145" s="294"/>
      <c r="UI145" s="294"/>
      <c r="UJ145" s="294"/>
      <c r="UK145" s="294"/>
      <c r="UL145" s="294"/>
      <c r="UM145" s="294"/>
      <c r="UN145" s="294"/>
      <c r="UO145" s="294"/>
      <c r="UP145" s="294"/>
      <c r="UQ145" s="294"/>
      <c r="UR145" s="294"/>
      <c r="US145" s="294"/>
      <c r="UT145" s="294"/>
      <c r="UU145" s="294"/>
      <c r="UV145" s="294"/>
      <c r="UW145" s="294"/>
      <c r="UX145" s="294"/>
      <c r="UY145" s="294"/>
      <c r="UZ145" s="294"/>
      <c r="VA145" s="294"/>
      <c r="VB145" s="294"/>
      <c r="VC145" s="294"/>
      <c r="VD145" s="294"/>
      <c r="VE145" s="294"/>
      <c r="VF145" s="294"/>
      <c r="VG145" s="294"/>
      <c r="VH145" s="294"/>
      <c r="VI145" s="294"/>
      <c r="VJ145" s="294"/>
      <c r="VK145" s="294"/>
      <c r="VL145" s="294"/>
      <c r="VM145" s="294"/>
      <c r="VN145" s="294"/>
      <c r="VO145" s="294"/>
      <c r="VP145" s="294"/>
      <c r="VQ145" s="294">
        <v>-19945</v>
      </c>
      <c r="VR145" s="294"/>
      <c r="VS145" s="294"/>
      <c r="VT145" s="294"/>
      <c r="VU145" s="294"/>
      <c r="VV145" s="294"/>
      <c r="VW145" s="294"/>
      <c r="VX145" s="294"/>
      <c r="VY145" s="294"/>
      <c r="VZ145" s="294"/>
      <c r="WA145" s="294"/>
      <c r="WB145" s="294"/>
      <c r="WC145" s="294"/>
      <c r="WD145" s="294"/>
      <c r="WE145" s="294"/>
      <c r="WF145" s="294"/>
      <c r="WG145" s="294"/>
      <c r="WH145" s="294"/>
      <c r="WI145" s="294"/>
      <c r="WJ145" s="294"/>
      <c r="WK145" s="294"/>
      <c r="WL145" s="294"/>
      <c r="WM145" s="294"/>
      <c r="WN145" s="294"/>
      <c r="WO145" s="294"/>
      <c r="WP145" s="294"/>
      <c r="WQ145" s="294"/>
      <c r="WR145" s="294"/>
      <c r="WS145" s="294"/>
      <c r="WT145" s="294"/>
      <c r="WU145" s="294"/>
      <c r="WV145" s="294"/>
      <c r="WW145" s="294"/>
      <c r="WX145" s="294"/>
      <c r="WY145" s="294"/>
      <c r="WZ145" s="294"/>
      <c r="XA145" s="294"/>
      <c r="XB145" s="294"/>
      <c r="XC145" s="294"/>
      <c r="XD145" s="294"/>
      <c r="XE145" s="294"/>
      <c r="XF145" s="294"/>
      <c r="XG145" s="294"/>
      <c r="XH145" s="294"/>
      <c r="XI145" s="294"/>
      <c r="XJ145" s="294"/>
      <c r="XK145" s="294"/>
      <c r="XL145" s="294"/>
      <c r="XM145" s="294"/>
      <c r="XN145" s="294"/>
      <c r="XO145" s="294"/>
      <c r="XP145" s="294"/>
      <c r="XQ145" s="294"/>
      <c r="XR145" s="294"/>
      <c r="XS145" s="294"/>
      <c r="XT145" s="294"/>
      <c r="XU145" s="294"/>
      <c r="XV145" s="294"/>
      <c r="XW145" s="294"/>
      <c r="XX145" s="294"/>
      <c r="XY145" s="294"/>
      <c r="XZ145" s="294"/>
      <c r="YA145" s="294"/>
      <c r="YB145" s="294"/>
      <c r="YC145" s="294"/>
      <c r="YD145" s="294"/>
      <c r="YE145" s="294"/>
      <c r="YF145" s="294"/>
      <c r="YG145" s="294"/>
      <c r="YH145" s="294"/>
      <c r="YI145" s="294"/>
      <c r="YJ145" s="294"/>
      <c r="YK145" s="294"/>
      <c r="YL145" s="294"/>
      <c r="YM145" s="294"/>
      <c r="YN145" s="294"/>
      <c r="YO145" s="294"/>
      <c r="YP145" s="294"/>
      <c r="YQ145" s="294"/>
      <c r="YR145" s="294"/>
      <c r="YS145" s="294"/>
      <c r="YT145" s="294"/>
      <c r="YU145" s="294"/>
      <c r="YV145" s="294"/>
      <c r="YW145" s="294"/>
      <c r="YX145" s="294"/>
      <c r="YY145" s="294"/>
      <c r="YZ145" s="294"/>
      <c r="ZA145" s="294"/>
      <c r="ZB145" s="294"/>
      <c r="ZC145" s="294"/>
      <c r="ZD145" s="294"/>
      <c r="ZE145" s="294"/>
      <c r="ZF145" s="294"/>
      <c r="ZG145" s="294"/>
      <c r="ZH145" s="294"/>
      <c r="ZI145" s="294"/>
      <c r="ZJ145" s="294"/>
      <c r="ZK145" s="294"/>
      <c r="ZL145" s="294"/>
      <c r="ZM145" s="294"/>
      <c r="ZN145" s="294"/>
      <c r="ZO145" s="294"/>
      <c r="ZP145" s="294"/>
      <c r="ZQ145" s="294"/>
      <c r="ZR145" s="294"/>
      <c r="ZS145" s="294"/>
      <c r="ZT145" s="294"/>
      <c r="ZU145" s="294"/>
      <c r="ZV145" s="294"/>
      <c r="ZW145" s="294"/>
      <c r="ZX145" s="294"/>
      <c r="ZY145" s="294"/>
      <c r="ZZ145" s="294"/>
      <c r="AAA145" s="294"/>
      <c r="AAB145" s="294"/>
      <c r="AAC145" s="294"/>
      <c r="AAD145" s="294"/>
      <c r="AAE145" s="294"/>
      <c r="AAF145" s="294"/>
      <c r="AAG145" s="294"/>
      <c r="AAH145" s="294"/>
      <c r="AAI145" s="294"/>
      <c r="AAJ145" s="294"/>
      <c r="AAK145" s="294"/>
      <c r="AAL145" s="294"/>
      <c r="AAM145" s="294"/>
      <c r="AAN145" s="294"/>
      <c r="AAO145" s="294"/>
      <c r="AAP145" s="294"/>
      <c r="AAQ145" s="294"/>
      <c r="AAR145" s="294"/>
      <c r="AAS145" s="294"/>
      <c r="AAT145" s="294"/>
      <c r="AAU145" s="294"/>
      <c r="AAV145" s="294"/>
      <c r="AAW145" s="294">
        <v>-237500</v>
      </c>
      <c r="AAX145" s="294"/>
      <c r="AAY145" s="294"/>
      <c r="AAZ145" s="294"/>
      <c r="ABA145" s="294"/>
      <c r="ABB145" s="294"/>
      <c r="ABC145" s="294">
        <v>0</v>
      </c>
      <c r="ABD145" s="294"/>
      <c r="ABE145" s="294"/>
      <c r="ABF145" s="294"/>
      <c r="ABG145" s="294"/>
      <c r="ABH145" s="294"/>
      <c r="ABI145" s="294"/>
      <c r="ABJ145" s="294"/>
      <c r="ABK145" s="294">
        <v>0</v>
      </c>
      <c r="ABL145" s="294"/>
      <c r="ABM145" s="294"/>
      <c r="ABN145" s="294"/>
      <c r="ABO145" s="294"/>
      <c r="ABP145" s="294"/>
      <c r="ABQ145" s="294"/>
      <c r="ABR145" s="294"/>
      <c r="ABS145" s="294"/>
      <c r="ABT145" s="294"/>
      <c r="ABU145" s="294"/>
      <c r="ABV145" s="294"/>
      <c r="ABW145" s="294"/>
      <c r="ABX145" s="294"/>
      <c r="ABY145" s="294"/>
      <c r="ABZ145" s="294"/>
      <c r="ACA145" s="294"/>
      <c r="ACB145" s="294"/>
      <c r="ACC145" s="294"/>
      <c r="ACD145" s="294"/>
      <c r="ACE145" s="294">
        <v>-30000</v>
      </c>
      <c r="ACF145" s="294"/>
      <c r="ACG145" s="294"/>
      <c r="ACH145" s="294"/>
      <c r="ACI145" s="294"/>
      <c r="ACJ145" s="294"/>
      <c r="ACK145" s="294"/>
      <c r="ACL145" s="294"/>
      <c r="ACM145" s="294"/>
      <c r="ACN145" s="294">
        <v>-35000</v>
      </c>
      <c r="ACO145" s="294"/>
      <c r="ACP145" s="294"/>
      <c r="ACQ145" s="294"/>
      <c r="ACR145" s="294"/>
      <c r="ACS145" s="294"/>
      <c r="ACT145" s="294"/>
      <c r="ACU145" s="294"/>
      <c r="ACV145" s="294">
        <v>-1097500</v>
      </c>
      <c r="ACW145" s="294"/>
      <c r="ACX145" s="294"/>
      <c r="ACY145" s="294"/>
      <c r="ACZ145" s="294"/>
      <c r="ADA145" s="294"/>
      <c r="ADB145" s="294"/>
      <c r="ADC145" s="294"/>
      <c r="ADD145" s="294"/>
      <c r="ADE145" s="294"/>
      <c r="ADF145" s="294"/>
      <c r="ADG145" s="294"/>
      <c r="ADH145" s="294"/>
      <c r="ADI145" s="294"/>
      <c r="ADJ145" s="294"/>
      <c r="ADK145" s="294"/>
      <c r="ADL145" s="294"/>
      <c r="ADM145" s="294"/>
      <c r="ADN145" s="294"/>
      <c r="ADO145" s="294"/>
      <c r="ADP145" s="294"/>
      <c r="ADQ145" s="294"/>
      <c r="ADR145" s="294"/>
      <c r="ADS145" s="294"/>
      <c r="ADT145" s="294"/>
      <c r="ADU145" s="294"/>
      <c r="ADV145" s="294"/>
      <c r="ADW145" s="294"/>
      <c r="ADX145" s="294"/>
      <c r="ADY145" s="294"/>
      <c r="ADZ145" s="294"/>
      <c r="AEA145" s="294"/>
      <c r="AEB145" s="294"/>
      <c r="AEC145" s="294"/>
      <c r="AED145" s="294"/>
      <c r="AEE145" s="294"/>
      <c r="AEF145" s="294"/>
      <c r="AEG145" s="294"/>
      <c r="AEH145" s="294"/>
      <c r="AEI145" s="294"/>
      <c r="AEJ145" s="294"/>
      <c r="AEK145" s="294"/>
      <c r="AEL145" s="294"/>
      <c r="AEM145" s="294"/>
      <c r="AEN145" s="294"/>
      <c r="AEO145" s="294"/>
      <c r="AEP145" s="294"/>
      <c r="AEQ145" s="294"/>
      <c r="AER145" s="294"/>
      <c r="AES145" s="294"/>
      <c r="AET145" s="294"/>
      <c r="AEU145" s="294"/>
      <c r="AEV145" s="294"/>
      <c r="AEW145" s="294"/>
      <c r="AEX145" s="294"/>
      <c r="AEY145" s="294"/>
      <c r="AEZ145" s="294"/>
      <c r="AFA145" s="294"/>
      <c r="AFB145" s="294"/>
      <c r="AFC145" s="294"/>
      <c r="AFD145" s="294"/>
      <c r="AFE145" s="294"/>
      <c r="AFF145" s="294"/>
      <c r="AFG145" s="294"/>
      <c r="AFH145" s="294"/>
      <c r="AFI145" s="294"/>
      <c r="AFJ145" s="294"/>
      <c r="AFK145" s="294"/>
      <c r="AFL145" s="294"/>
      <c r="AFM145" s="294"/>
      <c r="AFN145" s="294"/>
      <c r="AFO145" s="294"/>
      <c r="AFP145" s="294"/>
      <c r="AFQ145" s="294"/>
      <c r="AFR145" s="294"/>
      <c r="AFS145" s="294"/>
      <c r="AFT145" s="294"/>
      <c r="AFU145" s="294"/>
      <c r="AFV145" s="294"/>
      <c r="AFW145" s="294"/>
      <c r="AFX145" s="294"/>
      <c r="AFY145" s="294"/>
      <c r="AFZ145" s="294"/>
      <c r="AGA145" s="294"/>
      <c r="AGB145" s="294"/>
      <c r="AGC145" s="294"/>
      <c r="AGD145" s="294"/>
      <c r="AGE145" s="294"/>
      <c r="AGF145" s="294"/>
      <c r="AGG145" s="294"/>
      <c r="AGH145" s="294"/>
      <c r="AGI145" s="294"/>
      <c r="AGJ145" s="294"/>
      <c r="AGK145" s="294"/>
      <c r="AGL145" s="294"/>
      <c r="AGM145" s="294"/>
      <c r="AGN145" s="294"/>
      <c r="AGO145" s="294"/>
      <c r="AGP145" s="294"/>
      <c r="AGQ145" s="294"/>
      <c r="AGR145" s="294"/>
      <c r="AGS145" s="294"/>
      <c r="AGT145" s="294"/>
      <c r="AGU145" s="294"/>
      <c r="AGV145" s="294"/>
      <c r="AGW145" s="294"/>
      <c r="AGX145" s="294"/>
      <c r="AGY145" s="294"/>
      <c r="AGZ145" s="294"/>
      <c r="AHA145" s="294"/>
      <c r="AHB145" s="294"/>
      <c r="AHC145" s="294"/>
      <c r="AHD145" s="294"/>
      <c r="AHE145" s="294"/>
      <c r="AHF145" s="294"/>
      <c r="AHG145" s="294"/>
      <c r="AHH145" s="294"/>
      <c r="AHI145" s="294"/>
      <c r="AHJ145" s="294"/>
      <c r="AHK145" s="294"/>
      <c r="AHL145" s="294"/>
      <c r="AHM145" s="294"/>
      <c r="AHN145" s="294"/>
      <c r="AHO145" s="294"/>
      <c r="AHP145" s="294"/>
      <c r="AHQ145" s="294"/>
      <c r="AHR145" s="331"/>
      <c r="AHS145" s="294">
        <f t="shared" si="56"/>
        <v>-2699498.5</v>
      </c>
      <c r="AHT145" s="269" t="b">
        <f t="shared" si="54"/>
        <v>1</v>
      </c>
      <c r="AHU145" s="269" t="s">
        <v>6278</v>
      </c>
      <c r="AHV145" s="269" t="s">
        <v>6232</v>
      </c>
      <c r="AHW145" s="269" t="s">
        <v>6233</v>
      </c>
    </row>
    <row r="146" spans="1:907" ht="24.6" x14ac:dyDescent="0.7">
      <c r="A146" s="268" t="s">
        <v>6278</v>
      </c>
      <c r="B146" s="268" t="s">
        <v>6234</v>
      </c>
      <c r="C146" s="269" t="s">
        <v>6235</v>
      </c>
      <c r="D146" s="294"/>
      <c r="E146" s="294"/>
      <c r="F146" s="294"/>
      <c r="G146" s="294"/>
      <c r="H146" s="294"/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>
        <v>-505.1</v>
      </c>
      <c r="V146" s="294"/>
      <c r="W146" s="294"/>
      <c r="X146" s="294"/>
      <c r="Y146" s="294"/>
      <c r="Z146" s="294"/>
      <c r="AA146" s="294"/>
      <c r="AB146" s="294"/>
      <c r="AC146" s="294"/>
      <c r="AD146" s="294"/>
      <c r="AE146" s="294"/>
      <c r="AF146" s="294"/>
      <c r="AG146" s="294"/>
      <c r="AH146" s="294"/>
      <c r="AI146" s="294"/>
      <c r="AJ146" s="294"/>
      <c r="AK146" s="294"/>
      <c r="AL146" s="294"/>
      <c r="AM146" s="294"/>
      <c r="AN146" s="294"/>
      <c r="AO146" s="294"/>
      <c r="AP146" s="294"/>
      <c r="AQ146" s="294"/>
      <c r="AR146" s="294"/>
      <c r="AS146" s="294"/>
      <c r="AT146" s="294"/>
      <c r="AU146" s="294"/>
      <c r="AV146" s="294"/>
      <c r="AW146" s="294"/>
      <c r="AX146" s="294"/>
      <c r="AY146" s="294"/>
      <c r="AZ146" s="294"/>
      <c r="BA146" s="294"/>
      <c r="BB146" s="294"/>
      <c r="BC146" s="294"/>
      <c r="BD146" s="294"/>
      <c r="BE146" s="294"/>
      <c r="BF146" s="294"/>
      <c r="BG146" s="294"/>
      <c r="BH146" s="294"/>
      <c r="BI146" s="294"/>
      <c r="BJ146" s="294"/>
      <c r="BK146" s="294"/>
      <c r="BL146" s="294"/>
      <c r="BM146" s="294"/>
      <c r="BN146" s="294"/>
      <c r="BO146" s="294"/>
      <c r="BP146" s="294"/>
      <c r="BQ146" s="294"/>
      <c r="BR146" s="294"/>
      <c r="BS146" s="294"/>
      <c r="BT146" s="294"/>
      <c r="BU146" s="294"/>
      <c r="BV146" s="294"/>
      <c r="BW146" s="294"/>
      <c r="BX146" s="294"/>
      <c r="BY146" s="294"/>
      <c r="BZ146" s="294"/>
      <c r="CA146" s="294"/>
      <c r="CB146" s="294"/>
      <c r="CC146" s="294"/>
      <c r="CD146" s="294"/>
      <c r="CE146" s="294"/>
      <c r="CF146" s="294"/>
      <c r="CG146" s="294"/>
      <c r="CH146" s="294"/>
      <c r="CI146" s="294"/>
      <c r="CJ146" s="294"/>
      <c r="CK146" s="294"/>
      <c r="CL146" s="294"/>
      <c r="CM146" s="294"/>
      <c r="CN146" s="294"/>
      <c r="CO146" s="294"/>
      <c r="CP146" s="294"/>
      <c r="CQ146" s="294"/>
      <c r="CR146" s="294"/>
      <c r="CS146" s="294"/>
      <c r="CT146" s="294"/>
      <c r="CU146" s="294"/>
      <c r="CV146" s="294"/>
      <c r="CW146" s="294"/>
      <c r="CX146" s="294"/>
      <c r="CY146" s="294"/>
      <c r="CZ146" s="294"/>
      <c r="DA146" s="294"/>
      <c r="DB146" s="294"/>
      <c r="DC146" s="294"/>
      <c r="DD146" s="294"/>
      <c r="DE146" s="294"/>
      <c r="DF146" s="294"/>
      <c r="DG146" s="294"/>
      <c r="DH146" s="294"/>
      <c r="DI146" s="294"/>
      <c r="DJ146" s="294"/>
      <c r="DK146" s="294"/>
      <c r="DL146" s="294"/>
      <c r="DM146" s="294"/>
      <c r="DN146" s="294"/>
      <c r="DO146" s="294"/>
      <c r="DP146" s="294"/>
      <c r="DQ146" s="294"/>
      <c r="DR146" s="294"/>
      <c r="DS146" s="294"/>
      <c r="DT146" s="294"/>
      <c r="DU146" s="294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  <c r="FI146" s="294">
        <v>-1396534.5</v>
      </c>
      <c r="FJ146" s="294"/>
      <c r="FK146" s="294"/>
      <c r="FL146" s="294"/>
      <c r="FM146" s="294"/>
      <c r="FN146" s="294"/>
      <c r="FO146" s="294"/>
      <c r="FP146" s="294"/>
      <c r="FQ146" s="294"/>
      <c r="FR146" s="294"/>
      <c r="FS146" s="294"/>
      <c r="FT146" s="294"/>
      <c r="FU146" s="294"/>
      <c r="FV146" s="294"/>
      <c r="FW146" s="294"/>
      <c r="FX146" s="294"/>
      <c r="FY146" s="294"/>
      <c r="FZ146" s="294"/>
      <c r="GA146" s="294"/>
      <c r="GB146" s="294"/>
      <c r="GC146" s="294"/>
      <c r="GD146" s="294"/>
      <c r="GE146" s="294"/>
      <c r="GF146" s="294"/>
      <c r="GG146" s="294"/>
      <c r="GH146" s="294"/>
      <c r="GI146" s="294"/>
      <c r="GJ146" s="294"/>
      <c r="GK146" s="294"/>
      <c r="GL146" s="294"/>
      <c r="GM146" s="294"/>
      <c r="GN146" s="294"/>
      <c r="GO146" s="294"/>
      <c r="GP146" s="294">
        <v>-11350</v>
      </c>
      <c r="GQ146" s="294"/>
      <c r="GR146" s="294"/>
      <c r="GS146" s="294"/>
      <c r="GT146" s="294"/>
      <c r="GU146" s="294"/>
      <c r="GV146" s="294"/>
      <c r="GW146" s="294"/>
      <c r="GX146" s="294"/>
      <c r="GY146" s="294">
        <v>-3240461.17</v>
      </c>
      <c r="GZ146" s="294"/>
      <c r="HA146" s="294"/>
      <c r="HB146" s="294"/>
      <c r="HC146" s="294"/>
      <c r="HD146" s="294"/>
      <c r="HE146" s="294"/>
      <c r="HF146" s="294"/>
      <c r="HG146" s="294"/>
      <c r="HH146" s="294"/>
      <c r="HI146" s="294"/>
      <c r="HJ146" s="294"/>
      <c r="HK146" s="294"/>
      <c r="HL146" s="294"/>
      <c r="HM146" s="294"/>
      <c r="HN146" s="294"/>
      <c r="HO146" s="294"/>
      <c r="HP146" s="294"/>
      <c r="HQ146" s="294"/>
      <c r="HR146" s="294"/>
      <c r="HS146" s="294"/>
      <c r="HT146" s="294"/>
      <c r="HU146" s="294"/>
      <c r="HV146" s="294"/>
      <c r="HW146" s="294"/>
      <c r="HX146" s="294"/>
      <c r="HY146" s="294"/>
      <c r="HZ146" s="294"/>
      <c r="IA146" s="294"/>
      <c r="IB146" s="294"/>
      <c r="IC146" s="294"/>
      <c r="ID146" s="294"/>
      <c r="IE146" s="294"/>
      <c r="IF146" s="294"/>
      <c r="IG146" s="294"/>
      <c r="IH146" s="294"/>
      <c r="II146" s="294"/>
      <c r="IJ146" s="294"/>
      <c r="IK146" s="294"/>
      <c r="IL146" s="294"/>
      <c r="IM146" s="294"/>
      <c r="IN146" s="294"/>
      <c r="IO146" s="294"/>
      <c r="IP146" s="294"/>
      <c r="IQ146" s="294"/>
      <c r="IR146" s="294"/>
      <c r="IS146" s="294"/>
      <c r="IT146" s="294"/>
      <c r="IU146" s="294"/>
      <c r="IV146" s="294"/>
      <c r="IW146" s="294"/>
      <c r="IX146" s="294"/>
      <c r="IY146" s="294"/>
      <c r="IZ146" s="294"/>
      <c r="JA146" s="294"/>
      <c r="JB146" s="294"/>
      <c r="JC146" s="294"/>
      <c r="JD146" s="294"/>
      <c r="JE146" s="294"/>
      <c r="JF146" s="294"/>
      <c r="JG146" s="294"/>
      <c r="JH146" s="294"/>
      <c r="JI146" s="294"/>
      <c r="JJ146" s="294"/>
      <c r="JK146" s="294"/>
      <c r="JL146" s="294"/>
      <c r="JM146" s="294"/>
      <c r="JN146" s="294"/>
      <c r="JO146" s="294"/>
      <c r="JP146" s="294"/>
      <c r="JQ146" s="294"/>
      <c r="JR146" s="294"/>
      <c r="JS146" s="294"/>
      <c r="JT146" s="294"/>
      <c r="JU146" s="294"/>
      <c r="JV146" s="294"/>
      <c r="JW146" s="294"/>
      <c r="JX146" s="294"/>
      <c r="JY146" s="294"/>
      <c r="JZ146" s="294"/>
      <c r="KA146" s="294"/>
      <c r="KB146" s="294"/>
      <c r="KC146" s="294"/>
      <c r="KD146" s="294"/>
      <c r="KE146" s="294"/>
      <c r="KF146" s="294"/>
      <c r="KG146" s="294"/>
      <c r="KH146" s="294"/>
      <c r="KI146" s="294"/>
      <c r="KJ146" s="294"/>
      <c r="KK146" s="294"/>
      <c r="KL146" s="294"/>
      <c r="KM146" s="294"/>
      <c r="KN146" s="294"/>
      <c r="KO146" s="294"/>
      <c r="KP146" s="294"/>
      <c r="KQ146" s="294"/>
      <c r="KR146" s="294"/>
      <c r="KS146" s="294"/>
      <c r="KT146" s="294"/>
      <c r="KU146" s="294"/>
      <c r="KV146" s="294"/>
      <c r="KW146" s="294"/>
      <c r="KX146" s="294"/>
      <c r="KY146" s="294"/>
      <c r="KZ146" s="294"/>
      <c r="LA146" s="294"/>
      <c r="LB146" s="294"/>
      <c r="LC146" s="294"/>
      <c r="LD146" s="294"/>
      <c r="LE146" s="294"/>
      <c r="LF146" s="294"/>
      <c r="LG146" s="294"/>
      <c r="LH146" s="294"/>
      <c r="LI146" s="294"/>
      <c r="LJ146" s="294"/>
      <c r="LK146" s="294"/>
      <c r="LL146" s="294"/>
      <c r="LM146" s="294"/>
      <c r="LN146" s="294"/>
      <c r="LO146" s="294"/>
      <c r="LP146" s="294"/>
      <c r="LQ146" s="294"/>
      <c r="LR146" s="294"/>
      <c r="LS146" s="294"/>
      <c r="LT146" s="294"/>
      <c r="LU146" s="294"/>
      <c r="LV146" s="294"/>
      <c r="LW146" s="294"/>
      <c r="LX146" s="294">
        <v>-2288569.7999999998</v>
      </c>
      <c r="LY146" s="294"/>
      <c r="LZ146" s="294"/>
      <c r="MA146" s="294"/>
      <c r="MB146" s="294"/>
      <c r="MC146" s="294"/>
      <c r="MD146" s="294"/>
      <c r="ME146" s="294"/>
      <c r="MF146" s="294"/>
      <c r="MG146" s="294"/>
      <c r="MH146" s="294"/>
      <c r="MI146" s="294"/>
      <c r="MJ146" s="294"/>
      <c r="MK146" s="294"/>
      <c r="ML146" s="294"/>
      <c r="MM146" s="294"/>
      <c r="MN146" s="294"/>
      <c r="MO146" s="294"/>
      <c r="MP146" s="294"/>
      <c r="MQ146" s="294"/>
      <c r="MR146" s="294"/>
      <c r="MS146" s="294"/>
      <c r="MT146" s="294"/>
      <c r="MU146" s="294"/>
      <c r="MV146" s="294"/>
      <c r="MW146" s="294"/>
      <c r="MX146" s="294"/>
      <c r="MY146" s="294"/>
      <c r="MZ146" s="294"/>
      <c r="NA146" s="294"/>
      <c r="NB146" s="294"/>
      <c r="NC146" s="294"/>
      <c r="ND146" s="294"/>
      <c r="NE146" s="294"/>
      <c r="NF146" s="294"/>
      <c r="NG146" s="294"/>
      <c r="NH146" s="294"/>
      <c r="NI146" s="294"/>
      <c r="NJ146" s="294"/>
      <c r="NK146" s="294"/>
      <c r="NL146" s="294"/>
      <c r="NM146" s="294"/>
      <c r="NN146" s="294"/>
      <c r="NO146" s="294"/>
      <c r="NP146" s="294"/>
      <c r="NQ146" s="294"/>
      <c r="NR146" s="294"/>
      <c r="NS146" s="294"/>
      <c r="NT146" s="294"/>
      <c r="NU146" s="294"/>
      <c r="NV146" s="294"/>
      <c r="NW146" s="294"/>
      <c r="NX146" s="294"/>
      <c r="NY146" s="294"/>
      <c r="NZ146" s="294"/>
      <c r="OA146" s="294"/>
      <c r="OB146" s="294"/>
      <c r="OC146" s="294"/>
      <c r="OD146" s="294"/>
      <c r="OE146" s="294"/>
      <c r="OF146" s="294"/>
      <c r="OG146" s="294"/>
      <c r="OH146" s="294"/>
      <c r="OI146" s="294"/>
      <c r="OJ146" s="294"/>
      <c r="OK146" s="294"/>
      <c r="OL146" s="294"/>
      <c r="OM146" s="294"/>
      <c r="ON146" s="294"/>
      <c r="OO146" s="294"/>
      <c r="OP146" s="294"/>
      <c r="OQ146" s="294"/>
      <c r="OR146" s="294"/>
      <c r="OS146" s="294"/>
      <c r="OT146" s="294"/>
      <c r="OU146" s="294"/>
      <c r="OV146" s="294"/>
      <c r="OW146" s="294"/>
      <c r="OX146" s="294"/>
      <c r="OY146" s="294"/>
      <c r="OZ146" s="294"/>
      <c r="PA146" s="294"/>
      <c r="PB146" s="294"/>
      <c r="PC146" s="294"/>
      <c r="PD146" s="294"/>
      <c r="PE146" s="294"/>
      <c r="PF146" s="294"/>
      <c r="PG146" s="294"/>
      <c r="PH146" s="294"/>
      <c r="PI146" s="294"/>
      <c r="PJ146" s="294"/>
      <c r="PK146" s="294"/>
      <c r="PL146" s="294"/>
      <c r="PM146" s="294"/>
      <c r="PN146" s="294"/>
      <c r="PO146" s="294"/>
      <c r="PP146" s="294"/>
      <c r="PQ146" s="294"/>
      <c r="PR146" s="294"/>
      <c r="PS146" s="294"/>
      <c r="PT146" s="294"/>
      <c r="PU146" s="294"/>
      <c r="PV146" s="294"/>
      <c r="PW146" s="294"/>
      <c r="PX146" s="294"/>
      <c r="PY146" s="294"/>
      <c r="PZ146" s="294"/>
      <c r="QA146" s="294"/>
      <c r="QB146" s="294"/>
      <c r="QC146" s="294"/>
      <c r="QD146" s="294"/>
      <c r="QE146" s="294">
        <v>-12000</v>
      </c>
      <c r="QF146" s="294"/>
      <c r="QG146" s="294"/>
      <c r="QH146" s="294"/>
      <c r="QI146" s="294"/>
      <c r="QJ146" s="294"/>
      <c r="QK146" s="294"/>
      <c r="QL146" s="294"/>
      <c r="QM146" s="294"/>
      <c r="QN146" s="294"/>
      <c r="QO146" s="294"/>
      <c r="QP146" s="294"/>
      <c r="QQ146" s="294"/>
      <c r="QR146" s="294"/>
      <c r="QS146" s="294"/>
      <c r="QT146" s="294"/>
      <c r="QU146" s="294"/>
      <c r="QV146" s="294"/>
      <c r="QW146" s="294"/>
      <c r="QX146" s="294"/>
      <c r="QY146" s="294"/>
      <c r="QZ146" s="294"/>
      <c r="RA146" s="294"/>
      <c r="RB146" s="294"/>
      <c r="RC146" s="294"/>
      <c r="RD146" s="294"/>
      <c r="RE146" s="294"/>
      <c r="RF146" s="294"/>
      <c r="RG146" s="294"/>
      <c r="RH146" s="294"/>
      <c r="RI146" s="294"/>
      <c r="RJ146" s="294"/>
      <c r="RK146" s="294"/>
      <c r="RL146" s="294"/>
      <c r="RM146" s="294"/>
      <c r="RN146" s="294"/>
      <c r="RO146" s="294"/>
      <c r="RP146" s="294"/>
      <c r="RQ146" s="294"/>
      <c r="RR146" s="294"/>
      <c r="RS146" s="294"/>
      <c r="RT146" s="294"/>
      <c r="RU146" s="294"/>
      <c r="RV146" s="294"/>
      <c r="RW146" s="294"/>
      <c r="RX146" s="294"/>
      <c r="RY146" s="294"/>
      <c r="RZ146" s="294"/>
      <c r="SA146" s="294"/>
      <c r="SB146" s="294"/>
      <c r="SC146" s="294"/>
      <c r="SD146" s="294"/>
      <c r="SE146" s="294"/>
      <c r="SF146" s="294"/>
      <c r="SG146" s="294"/>
      <c r="SH146" s="294"/>
      <c r="SI146" s="294"/>
      <c r="SJ146" s="294"/>
      <c r="SK146" s="294"/>
      <c r="SL146" s="294"/>
      <c r="SM146" s="294"/>
      <c r="SN146" s="294"/>
      <c r="SO146" s="294"/>
      <c r="SP146" s="294"/>
      <c r="SQ146" s="294"/>
      <c r="SR146" s="294"/>
      <c r="SS146" s="294"/>
      <c r="ST146" s="294"/>
      <c r="SU146" s="294"/>
      <c r="SV146" s="294"/>
      <c r="SW146" s="294"/>
      <c r="SX146" s="294"/>
      <c r="SY146" s="294"/>
      <c r="SZ146" s="294"/>
      <c r="TA146" s="294"/>
      <c r="TB146" s="294"/>
      <c r="TC146" s="294"/>
      <c r="TD146" s="294"/>
      <c r="TE146" s="294"/>
      <c r="TF146" s="294"/>
      <c r="TG146" s="294"/>
      <c r="TH146" s="294"/>
      <c r="TI146" s="294"/>
      <c r="TJ146" s="294"/>
      <c r="TK146" s="294"/>
      <c r="TL146" s="294"/>
      <c r="TM146" s="294"/>
      <c r="TN146" s="294"/>
      <c r="TO146" s="294"/>
      <c r="TP146" s="294"/>
      <c r="TQ146" s="294"/>
      <c r="TR146" s="294"/>
      <c r="TS146" s="294"/>
      <c r="TT146" s="294"/>
      <c r="TU146" s="294"/>
      <c r="TV146" s="294"/>
      <c r="TW146" s="294"/>
      <c r="TX146" s="294"/>
      <c r="TY146" s="294"/>
      <c r="TZ146" s="294"/>
      <c r="UA146" s="294"/>
      <c r="UB146" s="294"/>
      <c r="UC146" s="294"/>
      <c r="UD146" s="294"/>
      <c r="UE146" s="294"/>
      <c r="UF146" s="294"/>
      <c r="UG146" s="294"/>
      <c r="UH146" s="294"/>
      <c r="UI146" s="294"/>
      <c r="UJ146" s="294"/>
      <c r="UK146" s="294"/>
      <c r="UL146" s="294"/>
      <c r="UM146" s="294"/>
      <c r="UN146" s="294"/>
      <c r="UO146" s="294"/>
      <c r="UP146" s="294"/>
      <c r="UQ146" s="294"/>
      <c r="UR146" s="294"/>
      <c r="US146" s="294"/>
      <c r="UT146" s="294"/>
      <c r="UU146" s="294"/>
      <c r="UV146" s="294"/>
      <c r="UW146" s="294"/>
      <c r="UX146" s="294"/>
      <c r="UY146" s="294"/>
      <c r="UZ146" s="294"/>
      <c r="VA146" s="294"/>
      <c r="VB146" s="294"/>
      <c r="VC146" s="294"/>
      <c r="VD146" s="294"/>
      <c r="VE146" s="294"/>
      <c r="VF146" s="294"/>
      <c r="VG146" s="294"/>
      <c r="VH146" s="294"/>
      <c r="VI146" s="294"/>
      <c r="VJ146" s="294"/>
      <c r="VK146" s="294"/>
      <c r="VL146" s="294"/>
      <c r="VM146" s="294"/>
      <c r="VN146" s="294"/>
      <c r="VO146" s="294"/>
      <c r="VP146" s="294"/>
      <c r="VQ146" s="294"/>
      <c r="VR146" s="294"/>
      <c r="VS146" s="294"/>
      <c r="VT146" s="294"/>
      <c r="VU146" s="294"/>
      <c r="VV146" s="294"/>
      <c r="VW146" s="294"/>
      <c r="VX146" s="294"/>
      <c r="VY146" s="294"/>
      <c r="VZ146" s="294"/>
      <c r="WA146" s="294"/>
      <c r="WB146" s="294"/>
      <c r="WC146" s="294"/>
      <c r="WD146" s="294"/>
      <c r="WE146" s="294"/>
      <c r="WF146" s="294"/>
      <c r="WG146" s="294"/>
      <c r="WH146" s="294"/>
      <c r="WI146" s="294"/>
      <c r="WJ146" s="294"/>
      <c r="WK146" s="294"/>
      <c r="WL146" s="294"/>
      <c r="WM146" s="294"/>
      <c r="WN146" s="294"/>
      <c r="WO146" s="294"/>
      <c r="WP146" s="294"/>
      <c r="WQ146" s="294"/>
      <c r="WR146" s="294"/>
      <c r="WS146" s="294"/>
      <c r="WT146" s="294"/>
      <c r="WU146" s="294"/>
      <c r="WV146" s="294"/>
      <c r="WW146" s="294"/>
      <c r="WX146" s="294"/>
      <c r="WY146" s="294"/>
      <c r="WZ146" s="294"/>
      <c r="XA146" s="294"/>
      <c r="XB146" s="294"/>
      <c r="XC146" s="294"/>
      <c r="XD146" s="294"/>
      <c r="XE146" s="294"/>
      <c r="XF146" s="294"/>
      <c r="XG146" s="294"/>
      <c r="XH146" s="294"/>
      <c r="XI146" s="294"/>
      <c r="XJ146" s="294"/>
      <c r="XK146" s="294"/>
      <c r="XL146" s="294"/>
      <c r="XM146" s="294"/>
      <c r="XN146" s="294"/>
      <c r="XO146" s="294"/>
      <c r="XP146" s="294"/>
      <c r="XQ146" s="294"/>
      <c r="XR146" s="294"/>
      <c r="XS146" s="294"/>
      <c r="XT146" s="294"/>
      <c r="XU146" s="294"/>
      <c r="XV146" s="294"/>
      <c r="XW146" s="294"/>
      <c r="XX146" s="294"/>
      <c r="XY146" s="294"/>
      <c r="XZ146" s="294"/>
      <c r="YA146" s="294"/>
      <c r="YB146" s="294"/>
      <c r="YC146" s="294"/>
      <c r="YD146" s="294"/>
      <c r="YE146" s="294"/>
      <c r="YF146" s="294"/>
      <c r="YG146" s="294"/>
      <c r="YH146" s="294"/>
      <c r="YI146" s="294"/>
      <c r="YJ146" s="294"/>
      <c r="YK146" s="294"/>
      <c r="YL146" s="294"/>
      <c r="YM146" s="294"/>
      <c r="YN146" s="294"/>
      <c r="YO146" s="294"/>
      <c r="YP146" s="294"/>
      <c r="YQ146" s="294"/>
      <c r="YR146" s="294"/>
      <c r="YS146" s="294"/>
      <c r="YT146" s="294"/>
      <c r="YU146" s="294"/>
      <c r="YV146" s="294"/>
      <c r="YW146" s="294"/>
      <c r="YX146" s="294"/>
      <c r="YY146" s="294"/>
      <c r="YZ146" s="294"/>
      <c r="ZA146" s="294"/>
      <c r="ZB146" s="294"/>
      <c r="ZC146" s="294"/>
      <c r="ZD146" s="294"/>
      <c r="ZE146" s="294"/>
      <c r="ZF146" s="294"/>
      <c r="ZG146" s="294"/>
      <c r="ZH146" s="294"/>
      <c r="ZI146" s="294"/>
      <c r="ZJ146" s="294"/>
      <c r="ZK146" s="294"/>
      <c r="ZL146" s="294"/>
      <c r="ZM146" s="294"/>
      <c r="ZN146" s="294"/>
      <c r="ZO146" s="294"/>
      <c r="ZP146" s="294"/>
      <c r="ZQ146" s="294"/>
      <c r="ZR146" s="294"/>
      <c r="ZS146" s="294"/>
      <c r="ZT146" s="294"/>
      <c r="ZU146" s="294"/>
      <c r="ZV146" s="294"/>
      <c r="ZW146" s="294"/>
      <c r="ZX146" s="294"/>
      <c r="ZY146" s="294"/>
      <c r="ZZ146" s="294"/>
      <c r="AAA146" s="294"/>
      <c r="AAB146" s="294"/>
      <c r="AAC146" s="294"/>
      <c r="AAD146" s="294"/>
      <c r="AAE146" s="294"/>
      <c r="AAF146" s="294"/>
      <c r="AAG146" s="294"/>
      <c r="AAH146" s="294"/>
      <c r="AAI146" s="294"/>
      <c r="AAJ146" s="294"/>
      <c r="AAK146" s="294"/>
      <c r="AAL146" s="294"/>
      <c r="AAM146" s="294">
        <v>-614615.25</v>
      </c>
      <c r="AAN146" s="294"/>
      <c r="AAO146" s="294"/>
      <c r="AAP146" s="294"/>
      <c r="AAQ146" s="294"/>
      <c r="AAR146" s="294"/>
      <c r="AAS146" s="294"/>
      <c r="AAT146" s="294"/>
      <c r="AAU146" s="294"/>
      <c r="AAV146" s="294"/>
      <c r="AAW146" s="294"/>
      <c r="AAX146" s="294"/>
      <c r="AAY146" s="294"/>
      <c r="AAZ146" s="294"/>
      <c r="ABA146" s="294"/>
      <c r="ABB146" s="294"/>
      <c r="ABC146" s="294">
        <v>0</v>
      </c>
      <c r="ABD146" s="294"/>
      <c r="ABE146" s="294"/>
      <c r="ABF146" s="294"/>
      <c r="ABG146" s="294"/>
      <c r="ABH146" s="294"/>
      <c r="ABI146" s="294"/>
      <c r="ABJ146" s="294"/>
      <c r="ABK146" s="294">
        <v>0</v>
      </c>
      <c r="ABL146" s="294"/>
      <c r="ABM146" s="294"/>
      <c r="ABN146" s="294"/>
      <c r="ABO146" s="294"/>
      <c r="ABP146" s="294"/>
      <c r="ABQ146" s="294"/>
      <c r="ABR146" s="294"/>
      <c r="ABS146" s="294"/>
      <c r="ABT146" s="294"/>
      <c r="ABU146" s="294"/>
      <c r="ABV146" s="294"/>
      <c r="ABW146" s="294"/>
      <c r="ABX146" s="294"/>
      <c r="ABY146" s="294"/>
      <c r="ABZ146" s="294"/>
      <c r="ACA146" s="294"/>
      <c r="ACB146" s="294"/>
      <c r="ACC146" s="294"/>
      <c r="ACD146" s="294"/>
      <c r="ACE146" s="294"/>
      <c r="ACF146" s="294"/>
      <c r="ACG146" s="294"/>
      <c r="ACH146" s="294"/>
      <c r="ACI146" s="294"/>
      <c r="ACJ146" s="294"/>
      <c r="ACK146" s="294"/>
      <c r="ACL146" s="294"/>
      <c r="ACM146" s="294"/>
      <c r="ACN146" s="294"/>
      <c r="ACO146" s="294"/>
      <c r="ACP146" s="294"/>
      <c r="ACQ146" s="294"/>
      <c r="ACR146" s="294"/>
      <c r="ACS146" s="294"/>
      <c r="ACT146" s="294"/>
      <c r="ACU146" s="294"/>
      <c r="ACV146" s="294"/>
      <c r="ACW146" s="294"/>
      <c r="ACX146" s="294"/>
      <c r="ACY146" s="294"/>
      <c r="ACZ146" s="294"/>
      <c r="ADA146" s="294"/>
      <c r="ADB146" s="294"/>
      <c r="ADC146" s="294"/>
      <c r="ADD146" s="294"/>
      <c r="ADE146" s="294"/>
      <c r="ADF146" s="294"/>
      <c r="ADG146" s="294"/>
      <c r="ADH146" s="294"/>
      <c r="ADI146" s="294"/>
      <c r="ADJ146" s="294"/>
      <c r="ADK146" s="294"/>
      <c r="ADL146" s="294"/>
      <c r="ADM146" s="294"/>
      <c r="ADN146" s="294"/>
      <c r="ADO146" s="294"/>
      <c r="ADP146" s="294"/>
      <c r="ADQ146" s="294"/>
      <c r="ADR146" s="294"/>
      <c r="ADS146" s="294"/>
      <c r="ADT146" s="294"/>
      <c r="ADU146" s="294"/>
      <c r="ADV146" s="294"/>
      <c r="ADW146" s="294"/>
      <c r="ADX146" s="294"/>
      <c r="ADY146" s="294"/>
      <c r="ADZ146" s="294"/>
      <c r="AEA146" s="294"/>
      <c r="AEB146" s="294"/>
      <c r="AEC146" s="294"/>
      <c r="AED146" s="294"/>
      <c r="AEE146" s="294"/>
      <c r="AEF146" s="294"/>
      <c r="AEG146" s="294"/>
      <c r="AEH146" s="294"/>
      <c r="AEI146" s="294"/>
      <c r="AEJ146" s="294"/>
      <c r="AEK146" s="294"/>
      <c r="AEL146" s="294"/>
      <c r="AEM146" s="294"/>
      <c r="AEN146" s="294"/>
      <c r="AEO146" s="294"/>
      <c r="AEP146" s="294"/>
      <c r="AEQ146" s="294"/>
      <c r="AER146" s="294"/>
      <c r="AES146" s="294"/>
      <c r="AET146" s="294"/>
      <c r="AEU146" s="294"/>
      <c r="AEV146" s="294"/>
      <c r="AEW146" s="294"/>
      <c r="AEX146" s="294"/>
      <c r="AEY146" s="294"/>
      <c r="AEZ146" s="294"/>
      <c r="AFA146" s="294"/>
      <c r="AFB146" s="294"/>
      <c r="AFC146" s="294"/>
      <c r="AFD146" s="294"/>
      <c r="AFE146" s="294"/>
      <c r="AFF146" s="294"/>
      <c r="AFG146" s="294"/>
      <c r="AFH146" s="294"/>
      <c r="AFI146" s="294"/>
      <c r="AFJ146" s="294"/>
      <c r="AFK146" s="294"/>
      <c r="AFL146" s="294"/>
      <c r="AFM146" s="294"/>
      <c r="AFN146" s="294"/>
      <c r="AFO146" s="294"/>
      <c r="AFP146" s="294"/>
      <c r="AFQ146" s="294"/>
      <c r="AFR146" s="294"/>
      <c r="AFS146" s="294"/>
      <c r="AFT146" s="294"/>
      <c r="AFU146" s="294"/>
      <c r="AFV146" s="294"/>
      <c r="AFW146" s="294"/>
      <c r="AFX146" s="294"/>
      <c r="AFY146" s="294"/>
      <c r="AFZ146" s="294"/>
      <c r="AGA146" s="294"/>
      <c r="AGB146" s="294"/>
      <c r="AGC146" s="294"/>
      <c r="AGD146" s="294"/>
      <c r="AGE146" s="294"/>
      <c r="AGF146" s="294"/>
      <c r="AGG146" s="294"/>
      <c r="AGH146" s="294"/>
      <c r="AGI146" s="294"/>
      <c r="AGJ146" s="294"/>
      <c r="AGK146" s="294"/>
      <c r="AGL146" s="294"/>
      <c r="AGM146" s="294"/>
      <c r="AGN146" s="294"/>
      <c r="AGO146" s="294"/>
      <c r="AGP146" s="294"/>
      <c r="AGQ146" s="294"/>
      <c r="AGR146" s="294"/>
      <c r="AGS146" s="294"/>
      <c r="AGT146" s="294"/>
      <c r="AGU146" s="294"/>
      <c r="AGV146" s="294"/>
      <c r="AGW146" s="294"/>
      <c r="AGX146" s="294"/>
      <c r="AGY146" s="294"/>
      <c r="AGZ146" s="294"/>
      <c r="AHA146" s="294"/>
      <c r="AHB146" s="294"/>
      <c r="AHC146" s="294"/>
      <c r="AHD146" s="294"/>
      <c r="AHE146" s="294"/>
      <c r="AHF146" s="294"/>
      <c r="AHG146" s="294"/>
      <c r="AHH146" s="294"/>
      <c r="AHI146" s="294"/>
      <c r="AHJ146" s="294"/>
      <c r="AHK146" s="294"/>
      <c r="AHL146" s="294"/>
      <c r="AHM146" s="294"/>
      <c r="AHN146" s="294"/>
      <c r="AHO146" s="294"/>
      <c r="AHP146" s="294"/>
      <c r="AHQ146" s="294"/>
      <c r="AHR146" s="331"/>
      <c r="AHS146" s="294">
        <f t="shared" si="56"/>
        <v>-7564035.8199999994</v>
      </c>
      <c r="AHT146" s="269" t="b">
        <f t="shared" si="54"/>
        <v>1</v>
      </c>
      <c r="AHU146" s="269" t="s">
        <v>6278</v>
      </c>
      <c r="AHV146" s="269" t="s">
        <v>6234</v>
      </c>
      <c r="AHW146" s="269" t="s">
        <v>6235</v>
      </c>
    </row>
    <row r="147" spans="1:907" ht="24.6" x14ac:dyDescent="0.7">
      <c r="A147" s="268" t="s">
        <v>6278</v>
      </c>
      <c r="B147" s="268" t="s">
        <v>6236</v>
      </c>
      <c r="C147" s="269" t="s">
        <v>6237</v>
      </c>
      <c r="D147" s="294"/>
      <c r="E147" s="294"/>
      <c r="F147" s="294"/>
      <c r="G147" s="294"/>
      <c r="H147" s="294"/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294"/>
      <c r="AE147" s="294"/>
      <c r="AF147" s="294"/>
      <c r="AG147" s="294"/>
      <c r="AH147" s="294"/>
      <c r="AI147" s="294"/>
      <c r="AJ147" s="294"/>
      <c r="AK147" s="294"/>
      <c r="AL147" s="294"/>
      <c r="AM147" s="294"/>
      <c r="AN147" s="294"/>
      <c r="AO147" s="294"/>
      <c r="AP147" s="294"/>
      <c r="AQ147" s="294"/>
      <c r="AR147" s="294"/>
      <c r="AS147" s="294"/>
      <c r="AT147" s="294"/>
      <c r="AU147" s="294"/>
      <c r="AV147" s="294"/>
      <c r="AW147" s="294"/>
      <c r="AX147" s="294"/>
      <c r="AY147" s="294"/>
      <c r="AZ147" s="294"/>
      <c r="BA147" s="294"/>
      <c r="BB147" s="294"/>
      <c r="BC147" s="294"/>
      <c r="BD147" s="294"/>
      <c r="BE147" s="294"/>
      <c r="BF147" s="294"/>
      <c r="BG147" s="294"/>
      <c r="BH147" s="294"/>
      <c r="BI147" s="294"/>
      <c r="BJ147" s="294"/>
      <c r="BK147" s="294"/>
      <c r="BL147" s="294"/>
      <c r="BM147" s="294"/>
      <c r="BN147" s="294"/>
      <c r="BO147" s="294"/>
      <c r="BP147" s="294"/>
      <c r="BQ147" s="294"/>
      <c r="BR147" s="294"/>
      <c r="BS147" s="294"/>
      <c r="BT147" s="294"/>
      <c r="BU147" s="294"/>
      <c r="BV147" s="294"/>
      <c r="BW147" s="294"/>
      <c r="BX147" s="294"/>
      <c r="BY147" s="294"/>
      <c r="BZ147" s="294"/>
      <c r="CA147" s="294"/>
      <c r="CB147" s="294"/>
      <c r="CC147" s="294"/>
      <c r="CD147" s="294"/>
      <c r="CE147" s="294"/>
      <c r="CF147" s="294"/>
      <c r="CG147" s="294"/>
      <c r="CH147" s="294"/>
      <c r="CI147" s="294"/>
      <c r="CJ147" s="294"/>
      <c r="CK147" s="294"/>
      <c r="CL147" s="294"/>
      <c r="CM147" s="294"/>
      <c r="CN147" s="294"/>
      <c r="CO147" s="294"/>
      <c r="CP147" s="294"/>
      <c r="CQ147" s="294"/>
      <c r="CR147" s="294"/>
      <c r="CS147" s="294"/>
      <c r="CT147" s="294"/>
      <c r="CU147" s="294"/>
      <c r="CV147" s="294"/>
      <c r="CW147" s="294"/>
      <c r="CX147" s="294"/>
      <c r="CY147" s="294"/>
      <c r="CZ147" s="294"/>
      <c r="DA147" s="294"/>
      <c r="DB147" s="294"/>
      <c r="DC147" s="294"/>
      <c r="DD147" s="294"/>
      <c r="DE147" s="294"/>
      <c r="DF147" s="294"/>
      <c r="DG147" s="294"/>
      <c r="DH147" s="294"/>
      <c r="DI147" s="294"/>
      <c r="DJ147" s="294"/>
      <c r="DK147" s="294"/>
      <c r="DL147" s="294"/>
      <c r="DM147" s="294"/>
      <c r="DN147" s="294"/>
      <c r="DO147" s="294"/>
      <c r="DP147" s="294"/>
      <c r="DQ147" s="294"/>
      <c r="DR147" s="294"/>
      <c r="DS147" s="294"/>
      <c r="DT147" s="294"/>
      <c r="DU147" s="294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  <c r="FI147" s="294"/>
      <c r="FJ147" s="294"/>
      <c r="FK147" s="294"/>
      <c r="FL147" s="294"/>
      <c r="FM147" s="294"/>
      <c r="FN147" s="294"/>
      <c r="FO147" s="294"/>
      <c r="FP147" s="294"/>
      <c r="FQ147" s="294"/>
      <c r="FR147" s="294"/>
      <c r="FS147" s="294"/>
      <c r="FT147" s="294"/>
      <c r="FU147" s="294"/>
      <c r="FV147" s="294"/>
      <c r="FW147" s="294"/>
      <c r="FX147" s="294"/>
      <c r="FY147" s="294"/>
      <c r="FZ147" s="294"/>
      <c r="GA147" s="294"/>
      <c r="GB147" s="294"/>
      <c r="GC147" s="294"/>
      <c r="GD147" s="294"/>
      <c r="GE147" s="294"/>
      <c r="GF147" s="294"/>
      <c r="GG147" s="294"/>
      <c r="GH147" s="294"/>
      <c r="GI147" s="294"/>
      <c r="GJ147" s="294"/>
      <c r="GK147" s="294"/>
      <c r="GL147" s="294"/>
      <c r="GM147" s="294"/>
      <c r="GN147" s="294"/>
      <c r="GO147" s="294"/>
      <c r="GP147" s="294"/>
      <c r="GQ147" s="294"/>
      <c r="GR147" s="294"/>
      <c r="GS147" s="294"/>
      <c r="GT147" s="294"/>
      <c r="GU147" s="294"/>
      <c r="GV147" s="294"/>
      <c r="GW147" s="294"/>
      <c r="GX147" s="294"/>
      <c r="GY147" s="294"/>
      <c r="GZ147" s="294"/>
      <c r="HA147" s="294"/>
      <c r="HB147" s="294"/>
      <c r="HC147" s="294"/>
      <c r="HD147" s="294"/>
      <c r="HE147" s="294"/>
      <c r="HF147" s="294"/>
      <c r="HG147" s="294"/>
      <c r="HH147" s="294"/>
      <c r="HI147" s="294"/>
      <c r="HJ147" s="294"/>
      <c r="HK147" s="294"/>
      <c r="HL147" s="294"/>
      <c r="HM147" s="294"/>
      <c r="HN147" s="294"/>
      <c r="HO147" s="294"/>
      <c r="HP147" s="294"/>
      <c r="HQ147" s="294"/>
      <c r="HR147" s="294"/>
      <c r="HS147" s="294"/>
      <c r="HT147" s="294"/>
      <c r="HU147" s="294"/>
      <c r="HV147" s="294"/>
      <c r="HW147" s="294"/>
      <c r="HX147" s="294"/>
      <c r="HY147" s="294"/>
      <c r="HZ147" s="294"/>
      <c r="IA147" s="294"/>
      <c r="IB147" s="294"/>
      <c r="IC147" s="294"/>
      <c r="ID147" s="294"/>
      <c r="IE147" s="294"/>
      <c r="IF147" s="294"/>
      <c r="IG147" s="294"/>
      <c r="IH147" s="294"/>
      <c r="II147" s="294"/>
      <c r="IJ147" s="294"/>
      <c r="IK147" s="294"/>
      <c r="IL147" s="294"/>
      <c r="IM147" s="294"/>
      <c r="IN147" s="294"/>
      <c r="IO147" s="294"/>
      <c r="IP147" s="294"/>
      <c r="IQ147" s="294"/>
      <c r="IR147" s="294"/>
      <c r="IS147" s="294"/>
      <c r="IT147" s="294"/>
      <c r="IU147" s="294"/>
      <c r="IV147" s="294"/>
      <c r="IW147" s="294"/>
      <c r="IX147" s="294"/>
      <c r="IY147" s="294"/>
      <c r="IZ147" s="294"/>
      <c r="JA147" s="294"/>
      <c r="JB147" s="294"/>
      <c r="JC147" s="294"/>
      <c r="JD147" s="294"/>
      <c r="JE147" s="294"/>
      <c r="JF147" s="294"/>
      <c r="JG147" s="294"/>
      <c r="JH147" s="294"/>
      <c r="JI147" s="294"/>
      <c r="JJ147" s="294"/>
      <c r="JK147" s="294"/>
      <c r="JL147" s="294"/>
      <c r="JM147" s="294"/>
      <c r="JN147" s="294"/>
      <c r="JO147" s="294"/>
      <c r="JP147" s="294"/>
      <c r="JQ147" s="294"/>
      <c r="JR147" s="294"/>
      <c r="JS147" s="294"/>
      <c r="JT147" s="294"/>
      <c r="JU147" s="294"/>
      <c r="JV147" s="294"/>
      <c r="JW147" s="294"/>
      <c r="JX147" s="294"/>
      <c r="JY147" s="294"/>
      <c r="JZ147" s="294"/>
      <c r="KA147" s="294"/>
      <c r="KB147" s="294"/>
      <c r="KC147" s="294"/>
      <c r="KD147" s="294"/>
      <c r="KE147" s="294"/>
      <c r="KF147" s="294"/>
      <c r="KG147" s="294"/>
      <c r="KH147" s="294"/>
      <c r="KI147" s="294"/>
      <c r="KJ147" s="294"/>
      <c r="KK147" s="294"/>
      <c r="KL147" s="294"/>
      <c r="KM147" s="294"/>
      <c r="KN147" s="294"/>
      <c r="KO147" s="294"/>
      <c r="KP147" s="294"/>
      <c r="KQ147" s="294"/>
      <c r="KR147" s="294"/>
      <c r="KS147" s="294"/>
      <c r="KT147" s="294"/>
      <c r="KU147" s="294"/>
      <c r="KV147" s="294"/>
      <c r="KW147" s="294"/>
      <c r="KX147" s="294"/>
      <c r="KY147" s="294"/>
      <c r="KZ147" s="294"/>
      <c r="LA147" s="294"/>
      <c r="LB147" s="294"/>
      <c r="LC147" s="294"/>
      <c r="LD147" s="294"/>
      <c r="LE147" s="294"/>
      <c r="LF147" s="294"/>
      <c r="LG147" s="294"/>
      <c r="LH147" s="294"/>
      <c r="LI147" s="294"/>
      <c r="LJ147" s="294"/>
      <c r="LK147" s="294"/>
      <c r="LL147" s="294"/>
      <c r="LM147" s="294"/>
      <c r="LN147" s="294"/>
      <c r="LO147" s="294"/>
      <c r="LP147" s="294"/>
      <c r="LQ147" s="294"/>
      <c r="LR147" s="294"/>
      <c r="LS147" s="294"/>
      <c r="LT147" s="294"/>
      <c r="LU147" s="294"/>
      <c r="LV147" s="294"/>
      <c r="LW147" s="294"/>
      <c r="LX147" s="294"/>
      <c r="LY147" s="294"/>
      <c r="LZ147" s="294"/>
      <c r="MA147" s="294"/>
      <c r="MB147" s="294"/>
      <c r="MC147" s="294"/>
      <c r="MD147" s="294"/>
      <c r="ME147" s="294"/>
      <c r="MF147" s="294"/>
      <c r="MG147" s="294"/>
      <c r="MH147" s="294"/>
      <c r="MI147" s="294"/>
      <c r="MJ147" s="294"/>
      <c r="MK147" s="294"/>
      <c r="ML147" s="294"/>
      <c r="MM147" s="294"/>
      <c r="MN147" s="294"/>
      <c r="MO147" s="294"/>
      <c r="MP147" s="294"/>
      <c r="MQ147" s="294"/>
      <c r="MR147" s="294"/>
      <c r="MS147" s="294"/>
      <c r="MT147" s="294"/>
      <c r="MU147" s="294"/>
      <c r="MV147" s="294"/>
      <c r="MW147" s="294"/>
      <c r="MX147" s="294"/>
      <c r="MY147" s="294"/>
      <c r="MZ147" s="294"/>
      <c r="NA147" s="294"/>
      <c r="NB147" s="294"/>
      <c r="NC147" s="294"/>
      <c r="ND147" s="294"/>
      <c r="NE147" s="294"/>
      <c r="NF147" s="294"/>
      <c r="NG147" s="294"/>
      <c r="NH147" s="294"/>
      <c r="NI147" s="294"/>
      <c r="NJ147" s="294"/>
      <c r="NK147" s="294"/>
      <c r="NL147" s="294"/>
      <c r="NM147" s="294"/>
      <c r="NN147" s="294"/>
      <c r="NO147" s="294"/>
      <c r="NP147" s="294"/>
      <c r="NQ147" s="294"/>
      <c r="NR147" s="294"/>
      <c r="NS147" s="294"/>
      <c r="NT147" s="294"/>
      <c r="NU147" s="294"/>
      <c r="NV147" s="294"/>
      <c r="NW147" s="294"/>
      <c r="NX147" s="294"/>
      <c r="NY147" s="294"/>
      <c r="NZ147" s="294"/>
      <c r="OA147" s="294"/>
      <c r="OB147" s="294"/>
      <c r="OC147" s="294"/>
      <c r="OD147" s="294"/>
      <c r="OE147" s="294"/>
      <c r="OF147" s="294"/>
      <c r="OG147" s="294"/>
      <c r="OH147" s="294"/>
      <c r="OI147" s="294"/>
      <c r="OJ147" s="294"/>
      <c r="OK147" s="294"/>
      <c r="OL147" s="294"/>
      <c r="OM147" s="294"/>
      <c r="ON147" s="294"/>
      <c r="OO147" s="294"/>
      <c r="OP147" s="294"/>
      <c r="OQ147" s="294"/>
      <c r="OR147" s="294"/>
      <c r="OS147" s="294"/>
      <c r="OT147" s="294"/>
      <c r="OU147" s="294"/>
      <c r="OV147" s="294"/>
      <c r="OW147" s="294"/>
      <c r="OX147" s="294"/>
      <c r="OY147" s="294"/>
      <c r="OZ147" s="294"/>
      <c r="PA147" s="294"/>
      <c r="PB147" s="294"/>
      <c r="PC147" s="294"/>
      <c r="PD147" s="294"/>
      <c r="PE147" s="294"/>
      <c r="PF147" s="294"/>
      <c r="PG147" s="294"/>
      <c r="PH147" s="294"/>
      <c r="PI147" s="294"/>
      <c r="PJ147" s="294"/>
      <c r="PK147" s="294"/>
      <c r="PL147" s="294"/>
      <c r="PM147" s="294"/>
      <c r="PN147" s="294"/>
      <c r="PO147" s="294"/>
      <c r="PP147" s="294"/>
      <c r="PQ147" s="294"/>
      <c r="PR147" s="294"/>
      <c r="PS147" s="294"/>
      <c r="PT147" s="294"/>
      <c r="PU147" s="294"/>
      <c r="PV147" s="294"/>
      <c r="PW147" s="294"/>
      <c r="PX147" s="294"/>
      <c r="PY147" s="294"/>
      <c r="PZ147" s="294"/>
      <c r="QA147" s="294"/>
      <c r="QB147" s="294"/>
      <c r="QC147" s="294"/>
      <c r="QD147" s="294"/>
      <c r="QE147" s="294"/>
      <c r="QF147" s="294"/>
      <c r="QG147" s="294"/>
      <c r="QH147" s="294"/>
      <c r="QI147" s="294"/>
      <c r="QJ147" s="294"/>
      <c r="QK147" s="294"/>
      <c r="QL147" s="294"/>
      <c r="QM147" s="294"/>
      <c r="QN147" s="294"/>
      <c r="QO147" s="294"/>
      <c r="QP147" s="294"/>
      <c r="QQ147" s="294"/>
      <c r="QR147" s="294"/>
      <c r="QS147" s="294"/>
      <c r="QT147" s="294"/>
      <c r="QU147" s="294"/>
      <c r="QV147" s="294"/>
      <c r="QW147" s="294"/>
      <c r="QX147" s="294"/>
      <c r="QY147" s="294"/>
      <c r="QZ147" s="294"/>
      <c r="RA147" s="294"/>
      <c r="RB147" s="294"/>
      <c r="RC147" s="294"/>
      <c r="RD147" s="294"/>
      <c r="RE147" s="294"/>
      <c r="RF147" s="294"/>
      <c r="RG147" s="294"/>
      <c r="RH147" s="294"/>
      <c r="RI147" s="294"/>
      <c r="RJ147" s="294"/>
      <c r="RK147" s="294"/>
      <c r="RL147" s="294"/>
      <c r="RM147" s="294"/>
      <c r="RN147" s="294"/>
      <c r="RO147" s="294"/>
      <c r="RP147" s="294"/>
      <c r="RQ147" s="294"/>
      <c r="RR147" s="294"/>
      <c r="RS147" s="294"/>
      <c r="RT147" s="294"/>
      <c r="RU147" s="294"/>
      <c r="RV147" s="294"/>
      <c r="RW147" s="294"/>
      <c r="RX147" s="294"/>
      <c r="RY147" s="294"/>
      <c r="RZ147" s="294"/>
      <c r="SA147" s="294"/>
      <c r="SB147" s="294"/>
      <c r="SC147" s="294"/>
      <c r="SD147" s="294"/>
      <c r="SE147" s="294"/>
      <c r="SF147" s="294"/>
      <c r="SG147" s="294"/>
      <c r="SH147" s="294"/>
      <c r="SI147" s="294"/>
      <c r="SJ147" s="294"/>
      <c r="SK147" s="294"/>
      <c r="SL147" s="294"/>
      <c r="SM147" s="294"/>
      <c r="SN147" s="294"/>
      <c r="SO147" s="294"/>
      <c r="SP147" s="294"/>
      <c r="SQ147" s="294"/>
      <c r="SR147" s="294"/>
      <c r="SS147" s="294"/>
      <c r="ST147" s="294"/>
      <c r="SU147" s="294"/>
      <c r="SV147" s="294"/>
      <c r="SW147" s="294"/>
      <c r="SX147" s="294"/>
      <c r="SY147" s="294"/>
      <c r="SZ147" s="294"/>
      <c r="TA147" s="294"/>
      <c r="TB147" s="294"/>
      <c r="TC147" s="294"/>
      <c r="TD147" s="294"/>
      <c r="TE147" s="294"/>
      <c r="TF147" s="294"/>
      <c r="TG147" s="294"/>
      <c r="TH147" s="294"/>
      <c r="TI147" s="294"/>
      <c r="TJ147" s="294"/>
      <c r="TK147" s="294"/>
      <c r="TL147" s="294"/>
      <c r="TM147" s="294"/>
      <c r="TN147" s="294"/>
      <c r="TO147" s="294"/>
      <c r="TP147" s="294"/>
      <c r="TQ147" s="294"/>
      <c r="TR147" s="294"/>
      <c r="TS147" s="294"/>
      <c r="TT147" s="294"/>
      <c r="TU147" s="294"/>
      <c r="TV147" s="294"/>
      <c r="TW147" s="294"/>
      <c r="TX147" s="294"/>
      <c r="TY147" s="294"/>
      <c r="TZ147" s="294"/>
      <c r="UA147" s="294"/>
      <c r="UB147" s="294"/>
      <c r="UC147" s="294"/>
      <c r="UD147" s="294"/>
      <c r="UE147" s="294"/>
      <c r="UF147" s="294"/>
      <c r="UG147" s="294"/>
      <c r="UH147" s="294"/>
      <c r="UI147" s="294"/>
      <c r="UJ147" s="294"/>
      <c r="UK147" s="294"/>
      <c r="UL147" s="294"/>
      <c r="UM147" s="294"/>
      <c r="UN147" s="294"/>
      <c r="UO147" s="294"/>
      <c r="UP147" s="294"/>
      <c r="UQ147" s="294"/>
      <c r="UR147" s="294"/>
      <c r="US147" s="294"/>
      <c r="UT147" s="294"/>
      <c r="UU147" s="294"/>
      <c r="UV147" s="294"/>
      <c r="UW147" s="294"/>
      <c r="UX147" s="294"/>
      <c r="UY147" s="294"/>
      <c r="UZ147" s="294"/>
      <c r="VA147" s="294"/>
      <c r="VB147" s="294"/>
      <c r="VC147" s="294"/>
      <c r="VD147" s="294"/>
      <c r="VE147" s="294"/>
      <c r="VF147" s="294"/>
      <c r="VG147" s="294"/>
      <c r="VH147" s="294"/>
      <c r="VI147" s="294"/>
      <c r="VJ147" s="294"/>
      <c r="VK147" s="294"/>
      <c r="VL147" s="294"/>
      <c r="VM147" s="294"/>
      <c r="VN147" s="294"/>
      <c r="VO147" s="294"/>
      <c r="VP147" s="294"/>
      <c r="VQ147" s="294"/>
      <c r="VR147" s="294"/>
      <c r="VS147" s="294"/>
      <c r="VT147" s="294"/>
      <c r="VU147" s="294"/>
      <c r="VV147" s="294"/>
      <c r="VW147" s="294"/>
      <c r="VX147" s="294"/>
      <c r="VY147" s="294"/>
      <c r="VZ147" s="294"/>
      <c r="WA147" s="294"/>
      <c r="WB147" s="294"/>
      <c r="WC147" s="294"/>
      <c r="WD147" s="294"/>
      <c r="WE147" s="294"/>
      <c r="WF147" s="294"/>
      <c r="WG147" s="294"/>
      <c r="WH147" s="294"/>
      <c r="WI147" s="294"/>
      <c r="WJ147" s="294"/>
      <c r="WK147" s="294"/>
      <c r="WL147" s="294"/>
      <c r="WM147" s="294"/>
      <c r="WN147" s="294"/>
      <c r="WO147" s="294"/>
      <c r="WP147" s="294"/>
      <c r="WQ147" s="294"/>
      <c r="WR147" s="294"/>
      <c r="WS147" s="294"/>
      <c r="WT147" s="294"/>
      <c r="WU147" s="294"/>
      <c r="WV147" s="294"/>
      <c r="WW147" s="294"/>
      <c r="WX147" s="294"/>
      <c r="WY147" s="294"/>
      <c r="WZ147" s="294"/>
      <c r="XA147" s="294"/>
      <c r="XB147" s="294"/>
      <c r="XC147" s="294"/>
      <c r="XD147" s="294"/>
      <c r="XE147" s="294"/>
      <c r="XF147" s="294"/>
      <c r="XG147" s="294"/>
      <c r="XH147" s="294"/>
      <c r="XI147" s="294"/>
      <c r="XJ147" s="294"/>
      <c r="XK147" s="294"/>
      <c r="XL147" s="294"/>
      <c r="XM147" s="294"/>
      <c r="XN147" s="294"/>
      <c r="XO147" s="294"/>
      <c r="XP147" s="294"/>
      <c r="XQ147" s="294"/>
      <c r="XR147" s="294"/>
      <c r="XS147" s="294"/>
      <c r="XT147" s="294"/>
      <c r="XU147" s="294"/>
      <c r="XV147" s="294"/>
      <c r="XW147" s="294"/>
      <c r="XX147" s="294"/>
      <c r="XY147" s="294"/>
      <c r="XZ147" s="294"/>
      <c r="YA147" s="294"/>
      <c r="YB147" s="294"/>
      <c r="YC147" s="294"/>
      <c r="YD147" s="294"/>
      <c r="YE147" s="294"/>
      <c r="YF147" s="294"/>
      <c r="YG147" s="294"/>
      <c r="YH147" s="294"/>
      <c r="YI147" s="294"/>
      <c r="YJ147" s="294"/>
      <c r="YK147" s="294"/>
      <c r="YL147" s="294"/>
      <c r="YM147" s="294"/>
      <c r="YN147" s="294"/>
      <c r="YO147" s="294"/>
      <c r="YP147" s="294"/>
      <c r="YQ147" s="294"/>
      <c r="YR147" s="294"/>
      <c r="YS147" s="294"/>
      <c r="YT147" s="294"/>
      <c r="YU147" s="294"/>
      <c r="YV147" s="294"/>
      <c r="YW147" s="294"/>
      <c r="YX147" s="294"/>
      <c r="YY147" s="294"/>
      <c r="YZ147" s="294"/>
      <c r="ZA147" s="294"/>
      <c r="ZB147" s="294"/>
      <c r="ZC147" s="294"/>
      <c r="ZD147" s="294"/>
      <c r="ZE147" s="294"/>
      <c r="ZF147" s="294"/>
      <c r="ZG147" s="294"/>
      <c r="ZH147" s="294"/>
      <c r="ZI147" s="294"/>
      <c r="ZJ147" s="294"/>
      <c r="ZK147" s="294"/>
      <c r="ZL147" s="294"/>
      <c r="ZM147" s="294"/>
      <c r="ZN147" s="294"/>
      <c r="ZO147" s="294"/>
      <c r="ZP147" s="294"/>
      <c r="ZQ147" s="294"/>
      <c r="ZR147" s="294"/>
      <c r="ZS147" s="294"/>
      <c r="ZT147" s="294"/>
      <c r="ZU147" s="294"/>
      <c r="ZV147" s="294"/>
      <c r="ZW147" s="294"/>
      <c r="ZX147" s="294"/>
      <c r="ZY147" s="294"/>
      <c r="ZZ147" s="294"/>
      <c r="AAA147" s="294"/>
      <c r="AAB147" s="294"/>
      <c r="AAC147" s="294"/>
      <c r="AAD147" s="294"/>
      <c r="AAE147" s="294"/>
      <c r="AAF147" s="294"/>
      <c r="AAG147" s="294"/>
      <c r="AAH147" s="294"/>
      <c r="AAI147" s="294"/>
      <c r="AAJ147" s="294"/>
      <c r="AAK147" s="294"/>
      <c r="AAL147" s="294"/>
      <c r="AAM147" s="294"/>
      <c r="AAN147" s="294"/>
      <c r="AAO147" s="294"/>
      <c r="AAP147" s="294"/>
      <c r="AAQ147" s="294"/>
      <c r="AAR147" s="294"/>
      <c r="AAS147" s="294"/>
      <c r="AAT147" s="294"/>
      <c r="AAU147" s="294"/>
      <c r="AAV147" s="294"/>
      <c r="AAW147" s="294"/>
      <c r="AAX147" s="294"/>
      <c r="AAY147" s="294"/>
      <c r="AAZ147" s="294"/>
      <c r="ABA147" s="294"/>
      <c r="ABB147" s="294"/>
      <c r="ABC147" s="294">
        <v>0</v>
      </c>
      <c r="ABD147" s="294"/>
      <c r="ABE147" s="294"/>
      <c r="ABF147" s="294"/>
      <c r="ABG147" s="294"/>
      <c r="ABH147" s="294"/>
      <c r="ABI147" s="294"/>
      <c r="ABJ147" s="294"/>
      <c r="ABK147" s="294">
        <v>0</v>
      </c>
      <c r="ABL147" s="294"/>
      <c r="ABM147" s="294"/>
      <c r="ABN147" s="294"/>
      <c r="ABO147" s="294"/>
      <c r="ABP147" s="294"/>
      <c r="ABQ147" s="294"/>
      <c r="ABR147" s="294"/>
      <c r="ABS147" s="294"/>
      <c r="ABT147" s="294"/>
      <c r="ABU147" s="294"/>
      <c r="ABV147" s="294"/>
      <c r="ABW147" s="294"/>
      <c r="ABX147" s="294"/>
      <c r="ABY147" s="294"/>
      <c r="ABZ147" s="294"/>
      <c r="ACA147" s="294"/>
      <c r="ACB147" s="294"/>
      <c r="ACC147" s="294"/>
      <c r="ACD147" s="294"/>
      <c r="ACE147" s="294"/>
      <c r="ACF147" s="294"/>
      <c r="ACG147" s="294"/>
      <c r="ACH147" s="294"/>
      <c r="ACI147" s="294"/>
      <c r="ACJ147" s="294"/>
      <c r="ACK147" s="294"/>
      <c r="ACL147" s="294"/>
      <c r="ACM147" s="294"/>
      <c r="ACN147" s="294"/>
      <c r="ACO147" s="294"/>
      <c r="ACP147" s="294"/>
      <c r="ACQ147" s="294"/>
      <c r="ACR147" s="294"/>
      <c r="ACS147" s="294"/>
      <c r="ACT147" s="294"/>
      <c r="ACU147" s="294"/>
      <c r="ACV147" s="294"/>
      <c r="ACW147" s="294"/>
      <c r="ACX147" s="294"/>
      <c r="ACY147" s="294"/>
      <c r="ACZ147" s="294"/>
      <c r="ADA147" s="294"/>
      <c r="ADB147" s="294"/>
      <c r="ADC147" s="294"/>
      <c r="ADD147" s="294"/>
      <c r="ADE147" s="294"/>
      <c r="ADF147" s="294"/>
      <c r="ADG147" s="294"/>
      <c r="ADH147" s="294"/>
      <c r="ADI147" s="294"/>
      <c r="ADJ147" s="294"/>
      <c r="ADK147" s="294"/>
      <c r="ADL147" s="294"/>
      <c r="ADM147" s="294"/>
      <c r="ADN147" s="294"/>
      <c r="ADO147" s="294"/>
      <c r="ADP147" s="294"/>
      <c r="ADQ147" s="294"/>
      <c r="ADR147" s="294"/>
      <c r="ADS147" s="294"/>
      <c r="ADT147" s="294"/>
      <c r="ADU147" s="294"/>
      <c r="ADV147" s="294"/>
      <c r="ADW147" s="294"/>
      <c r="ADX147" s="294"/>
      <c r="ADY147" s="294"/>
      <c r="ADZ147" s="294"/>
      <c r="AEA147" s="294"/>
      <c r="AEB147" s="294"/>
      <c r="AEC147" s="294"/>
      <c r="AED147" s="294"/>
      <c r="AEE147" s="294"/>
      <c r="AEF147" s="294"/>
      <c r="AEG147" s="294"/>
      <c r="AEH147" s="294"/>
      <c r="AEI147" s="294"/>
      <c r="AEJ147" s="294"/>
      <c r="AEK147" s="294"/>
      <c r="AEL147" s="294"/>
      <c r="AEM147" s="294"/>
      <c r="AEN147" s="294"/>
      <c r="AEO147" s="294"/>
      <c r="AEP147" s="294"/>
      <c r="AEQ147" s="294"/>
      <c r="AER147" s="294"/>
      <c r="AES147" s="294"/>
      <c r="AET147" s="294"/>
      <c r="AEU147" s="294"/>
      <c r="AEV147" s="294"/>
      <c r="AEW147" s="294"/>
      <c r="AEX147" s="294"/>
      <c r="AEY147" s="294"/>
      <c r="AEZ147" s="294"/>
      <c r="AFA147" s="294"/>
      <c r="AFB147" s="294"/>
      <c r="AFC147" s="294"/>
      <c r="AFD147" s="294"/>
      <c r="AFE147" s="294"/>
      <c r="AFF147" s="294"/>
      <c r="AFG147" s="294"/>
      <c r="AFH147" s="294"/>
      <c r="AFI147" s="294"/>
      <c r="AFJ147" s="294"/>
      <c r="AFK147" s="294"/>
      <c r="AFL147" s="294"/>
      <c r="AFM147" s="294"/>
      <c r="AFN147" s="294"/>
      <c r="AFO147" s="294"/>
      <c r="AFP147" s="294"/>
      <c r="AFQ147" s="294"/>
      <c r="AFR147" s="294"/>
      <c r="AFS147" s="294"/>
      <c r="AFT147" s="294"/>
      <c r="AFU147" s="294"/>
      <c r="AFV147" s="294"/>
      <c r="AFW147" s="294"/>
      <c r="AFX147" s="294"/>
      <c r="AFY147" s="294"/>
      <c r="AFZ147" s="294"/>
      <c r="AGA147" s="294"/>
      <c r="AGB147" s="294"/>
      <c r="AGC147" s="294"/>
      <c r="AGD147" s="294"/>
      <c r="AGE147" s="294"/>
      <c r="AGF147" s="294"/>
      <c r="AGG147" s="294"/>
      <c r="AGH147" s="294"/>
      <c r="AGI147" s="294"/>
      <c r="AGJ147" s="294"/>
      <c r="AGK147" s="294"/>
      <c r="AGL147" s="294"/>
      <c r="AGM147" s="294"/>
      <c r="AGN147" s="294"/>
      <c r="AGO147" s="294"/>
      <c r="AGP147" s="294"/>
      <c r="AGQ147" s="294"/>
      <c r="AGR147" s="294"/>
      <c r="AGS147" s="294"/>
      <c r="AGT147" s="294"/>
      <c r="AGU147" s="294"/>
      <c r="AGV147" s="294"/>
      <c r="AGW147" s="294"/>
      <c r="AGX147" s="294"/>
      <c r="AGY147" s="294"/>
      <c r="AGZ147" s="294"/>
      <c r="AHA147" s="294"/>
      <c r="AHB147" s="294"/>
      <c r="AHC147" s="294"/>
      <c r="AHD147" s="294"/>
      <c r="AHE147" s="294"/>
      <c r="AHF147" s="294"/>
      <c r="AHG147" s="294"/>
      <c r="AHH147" s="294"/>
      <c r="AHI147" s="294"/>
      <c r="AHJ147" s="294"/>
      <c r="AHK147" s="294"/>
      <c r="AHL147" s="294"/>
      <c r="AHM147" s="294"/>
      <c r="AHN147" s="294"/>
      <c r="AHO147" s="294"/>
      <c r="AHP147" s="294"/>
      <c r="AHQ147" s="294"/>
      <c r="AHR147" s="331"/>
      <c r="AHS147" s="294">
        <f t="shared" si="56"/>
        <v>0</v>
      </c>
      <c r="AHT147" s="269" t="b">
        <f t="shared" si="54"/>
        <v>1</v>
      </c>
      <c r="AHU147" s="269" t="s">
        <v>6278</v>
      </c>
      <c r="AHV147" s="269" t="s">
        <v>6236</v>
      </c>
      <c r="AHW147" s="269" t="s">
        <v>6237</v>
      </c>
    </row>
    <row r="148" spans="1:907" ht="24.6" x14ac:dyDescent="0.7">
      <c r="A148" s="268" t="s">
        <v>6278</v>
      </c>
      <c r="B148" s="268" t="s">
        <v>6238</v>
      </c>
      <c r="C148" s="269" t="s">
        <v>6239</v>
      </c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  <c r="AS148" s="294"/>
      <c r="AT148" s="294"/>
      <c r="AU148" s="294"/>
      <c r="AV148" s="294"/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  <c r="BR148" s="294"/>
      <c r="BS148" s="294"/>
      <c r="BT148" s="294"/>
      <c r="BU148" s="294"/>
      <c r="BV148" s="294"/>
      <c r="BW148" s="294"/>
      <c r="BX148" s="294"/>
      <c r="BY148" s="294"/>
      <c r="BZ148" s="294"/>
      <c r="CA148" s="294"/>
      <c r="CB148" s="294"/>
      <c r="CC148" s="294"/>
      <c r="CD148" s="294"/>
      <c r="CE148" s="294"/>
      <c r="CF148" s="294"/>
      <c r="CG148" s="294"/>
      <c r="CH148" s="294"/>
      <c r="CI148" s="294"/>
      <c r="CJ148" s="294"/>
      <c r="CK148" s="294"/>
      <c r="CL148" s="294"/>
      <c r="CM148" s="294"/>
      <c r="CN148" s="294"/>
      <c r="CO148" s="294"/>
      <c r="CP148" s="294"/>
      <c r="CQ148" s="294"/>
      <c r="CR148" s="294"/>
      <c r="CS148" s="294"/>
      <c r="CT148" s="294"/>
      <c r="CU148" s="294"/>
      <c r="CV148" s="294"/>
      <c r="CW148" s="294"/>
      <c r="CX148" s="294"/>
      <c r="CY148" s="294"/>
      <c r="CZ148" s="294"/>
      <c r="DA148" s="294"/>
      <c r="DB148" s="294"/>
      <c r="DC148" s="294"/>
      <c r="DD148" s="294"/>
      <c r="DE148" s="294"/>
      <c r="DF148" s="294"/>
      <c r="DG148" s="294"/>
      <c r="DH148" s="294"/>
      <c r="DI148" s="294"/>
      <c r="DJ148" s="294"/>
      <c r="DK148" s="294"/>
      <c r="DL148" s="294"/>
      <c r="DM148" s="294"/>
      <c r="DN148" s="294"/>
      <c r="DO148" s="294"/>
      <c r="DP148" s="294"/>
      <c r="DQ148" s="294"/>
      <c r="DR148" s="294"/>
      <c r="DS148" s="294"/>
      <c r="DT148" s="294"/>
      <c r="DU148" s="294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>
        <v>-627325</v>
      </c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  <c r="FI148" s="294"/>
      <c r="FJ148" s="294"/>
      <c r="FK148" s="294"/>
      <c r="FL148" s="294"/>
      <c r="FM148" s="294"/>
      <c r="FN148" s="294"/>
      <c r="FO148" s="294"/>
      <c r="FP148" s="294"/>
      <c r="FQ148" s="294">
        <v>-40000</v>
      </c>
      <c r="FR148" s="294"/>
      <c r="FS148" s="294"/>
      <c r="FT148" s="294"/>
      <c r="FU148" s="294"/>
      <c r="FV148" s="294"/>
      <c r="FW148" s="294"/>
      <c r="FX148" s="294"/>
      <c r="FY148" s="294"/>
      <c r="FZ148" s="294"/>
      <c r="GA148" s="294"/>
      <c r="GB148" s="294"/>
      <c r="GC148" s="294"/>
      <c r="GD148" s="294"/>
      <c r="GE148" s="294"/>
      <c r="GF148" s="294"/>
      <c r="GG148" s="294"/>
      <c r="GH148" s="294"/>
      <c r="GI148" s="294"/>
      <c r="GJ148" s="294"/>
      <c r="GK148" s="294"/>
      <c r="GL148" s="294"/>
      <c r="GM148" s="294"/>
      <c r="GN148" s="294"/>
      <c r="GO148" s="294"/>
      <c r="GP148" s="294"/>
      <c r="GQ148" s="294"/>
      <c r="GR148" s="294"/>
      <c r="GS148" s="294"/>
      <c r="GT148" s="294"/>
      <c r="GU148" s="294"/>
      <c r="GV148" s="294"/>
      <c r="GW148" s="294"/>
      <c r="GX148" s="294"/>
      <c r="GY148" s="294"/>
      <c r="GZ148" s="294"/>
      <c r="HA148" s="294"/>
      <c r="HB148" s="294"/>
      <c r="HC148" s="294"/>
      <c r="HD148" s="294"/>
      <c r="HE148" s="294"/>
      <c r="HF148" s="294"/>
      <c r="HG148" s="294"/>
      <c r="HH148" s="294"/>
      <c r="HI148" s="294"/>
      <c r="HJ148" s="294"/>
      <c r="HK148" s="294"/>
      <c r="HL148" s="294"/>
      <c r="HM148" s="294"/>
      <c r="HN148" s="294"/>
      <c r="HO148" s="294"/>
      <c r="HP148" s="294"/>
      <c r="HQ148" s="294"/>
      <c r="HR148" s="294"/>
      <c r="HS148" s="294"/>
      <c r="HT148" s="294"/>
      <c r="HU148" s="294"/>
      <c r="HV148" s="294"/>
      <c r="HW148" s="294"/>
      <c r="HX148" s="294"/>
      <c r="HY148" s="294"/>
      <c r="HZ148" s="294"/>
      <c r="IA148" s="294"/>
      <c r="IB148" s="294"/>
      <c r="IC148" s="294"/>
      <c r="ID148" s="294"/>
      <c r="IE148" s="294"/>
      <c r="IF148" s="294"/>
      <c r="IG148" s="294"/>
      <c r="IH148" s="294"/>
      <c r="II148" s="294"/>
      <c r="IJ148" s="294"/>
      <c r="IK148" s="294"/>
      <c r="IL148" s="294"/>
      <c r="IM148" s="294"/>
      <c r="IN148" s="294"/>
      <c r="IO148" s="294"/>
      <c r="IP148" s="294"/>
      <c r="IQ148" s="294"/>
      <c r="IR148" s="294"/>
      <c r="IS148" s="294"/>
      <c r="IT148" s="294"/>
      <c r="IU148" s="294"/>
      <c r="IV148" s="294"/>
      <c r="IW148" s="294"/>
      <c r="IX148" s="294"/>
      <c r="IY148" s="294"/>
      <c r="IZ148" s="294"/>
      <c r="JA148" s="294"/>
      <c r="JB148" s="294"/>
      <c r="JC148" s="294"/>
      <c r="JD148" s="294"/>
      <c r="JE148" s="294"/>
      <c r="JF148" s="294"/>
      <c r="JG148" s="294"/>
      <c r="JH148" s="294"/>
      <c r="JI148" s="294"/>
      <c r="JJ148" s="294"/>
      <c r="JK148" s="294"/>
      <c r="JL148" s="294"/>
      <c r="JM148" s="294"/>
      <c r="JN148" s="294"/>
      <c r="JO148" s="294"/>
      <c r="JP148" s="294"/>
      <c r="JQ148" s="294"/>
      <c r="JR148" s="294"/>
      <c r="JS148" s="294"/>
      <c r="JT148" s="294"/>
      <c r="JU148" s="294"/>
      <c r="JV148" s="294"/>
      <c r="JW148" s="294"/>
      <c r="JX148" s="294"/>
      <c r="JY148" s="294"/>
      <c r="JZ148" s="294"/>
      <c r="KA148" s="294"/>
      <c r="KB148" s="294"/>
      <c r="KC148" s="294"/>
      <c r="KD148" s="294"/>
      <c r="KE148" s="294"/>
      <c r="KF148" s="294"/>
      <c r="KG148" s="294"/>
      <c r="KH148" s="294"/>
      <c r="KI148" s="294"/>
      <c r="KJ148" s="294"/>
      <c r="KK148" s="294"/>
      <c r="KL148" s="294"/>
      <c r="KM148" s="294"/>
      <c r="KN148" s="294"/>
      <c r="KO148" s="294"/>
      <c r="KP148" s="294"/>
      <c r="KQ148" s="294"/>
      <c r="KR148" s="294"/>
      <c r="KS148" s="294"/>
      <c r="KT148" s="294"/>
      <c r="KU148" s="294"/>
      <c r="KV148" s="294"/>
      <c r="KW148" s="294"/>
      <c r="KX148" s="294"/>
      <c r="KY148" s="294"/>
      <c r="KZ148" s="294"/>
      <c r="LA148" s="294"/>
      <c r="LB148" s="294"/>
      <c r="LC148" s="294"/>
      <c r="LD148" s="294"/>
      <c r="LE148" s="294"/>
      <c r="LF148" s="294"/>
      <c r="LG148" s="294"/>
      <c r="LH148" s="294"/>
      <c r="LI148" s="294"/>
      <c r="LJ148" s="294"/>
      <c r="LK148" s="294"/>
      <c r="LL148" s="294"/>
      <c r="LM148" s="294"/>
      <c r="LN148" s="294"/>
      <c r="LO148" s="294"/>
      <c r="LP148" s="294"/>
      <c r="LQ148" s="294"/>
      <c r="LR148" s="294"/>
      <c r="LS148" s="294"/>
      <c r="LT148" s="294"/>
      <c r="LU148" s="294">
        <v>-220500</v>
      </c>
      <c r="LV148" s="294"/>
      <c r="LW148" s="294"/>
      <c r="LX148" s="294"/>
      <c r="LY148" s="294"/>
      <c r="LZ148" s="294"/>
      <c r="MA148" s="294"/>
      <c r="MB148" s="294"/>
      <c r="MC148" s="294"/>
      <c r="MD148" s="294"/>
      <c r="ME148" s="294"/>
      <c r="MF148" s="294"/>
      <c r="MG148" s="294"/>
      <c r="MH148" s="294"/>
      <c r="MI148" s="294"/>
      <c r="MJ148" s="294"/>
      <c r="MK148" s="294"/>
      <c r="ML148" s="294"/>
      <c r="MM148" s="294"/>
      <c r="MN148" s="294"/>
      <c r="MO148" s="294"/>
      <c r="MP148" s="294"/>
      <c r="MQ148" s="294"/>
      <c r="MR148" s="294"/>
      <c r="MS148" s="294"/>
      <c r="MT148" s="294"/>
      <c r="MU148" s="294"/>
      <c r="MV148" s="294"/>
      <c r="MW148" s="294"/>
      <c r="MX148" s="294"/>
      <c r="MY148" s="294"/>
      <c r="MZ148" s="294"/>
      <c r="NA148" s="294"/>
      <c r="NB148" s="294"/>
      <c r="NC148" s="294"/>
      <c r="ND148" s="294"/>
      <c r="NE148" s="294"/>
      <c r="NF148" s="294"/>
      <c r="NG148" s="294"/>
      <c r="NH148" s="294"/>
      <c r="NI148" s="294"/>
      <c r="NJ148" s="294"/>
      <c r="NK148" s="294"/>
      <c r="NL148" s="294"/>
      <c r="NM148" s="294"/>
      <c r="NN148" s="294"/>
      <c r="NO148" s="294"/>
      <c r="NP148" s="294"/>
      <c r="NQ148" s="294"/>
      <c r="NR148" s="294"/>
      <c r="NS148" s="294"/>
      <c r="NT148" s="294"/>
      <c r="NU148" s="294"/>
      <c r="NV148" s="294"/>
      <c r="NW148" s="294"/>
      <c r="NX148" s="294"/>
      <c r="NY148" s="294"/>
      <c r="NZ148" s="294"/>
      <c r="OA148" s="294"/>
      <c r="OB148" s="294"/>
      <c r="OC148" s="294"/>
      <c r="OD148" s="294"/>
      <c r="OE148" s="294"/>
      <c r="OF148" s="294"/>
      <c r="OG148" s="294"/>
      <c r="OH148" s="294"/>
      <c r="OI148" s="294"/>
      <c r="OJ148" s="294"/>
      <c r="OK148" s="294"/>
      <c r="OL148" s="294"/>
      <c r="OM148" s="294"/>
      <c r="ON148" s="294"/>
      <c r="OO148" s="294"/>
      <c r="OP148" s="294"/>
      <c r="OQ148" s="294"/>
      <c r="OR148" s="294"/>
      <c r="OS148" s="294"/>
      <c r="OT148" s="294"/>
      <c r="OU148" s="294"/>
      <c r="OV148" s="294"/>
      <c r="OW148" s="294"/>
      <c r="OX148" s="294"/>
      <c r="OY148" s="294"/>
      <c r="OZ148" s="294"/>
      <c r="PA148" s="294"/>
      <c r="PB148" s="294"/>
      <c r="PC148" s="294"/>
      <c r="PD148" s="294"/>
      <c r="PE148" s="294"/>
      <c r="PF148" s="294"/>
      <c r="PG148" s="294"/>
      <c r="PH148" s="294"/>
      <c r="PI148" s="294"/>
      <c r="PJ148" s="294"/>
      <c r="PK148" s="294"/>
      <c r="PL148" s="294"/>
      <c r="PM148" s="294"/>
      <c r="PN148" s="294"/>
      <c r="PO148" s="294"/>
      <c r="PP148" s="294"/>
      <c r="PQ148" s="294"/>
      <c r="PR148" s="294"/>
      <c r="PS148" s="294"/>
      <c r="PT148" s="294"/>
      <c r="PU148" s="294"/>
      <c r="PV148" s="294"/>
      <c r="PW148" s="294"/>
      <c r="PX148" s="294"/>
      <c r="PY148" s="294"/>
      <c r="PZ148" s="294"/>
      <c r="QA148" s="294"/>
      <c r="QB148" s="294"/>
      <c r="QC148" s="294"/>
      <c r="QD148" s="294"/>
      <c r="QE148" s="294"/>
      <c r="QF148" s="294"/>
      <c r="QG148" s="294"/>
      <c r="QH148" s="294"/>
      <c r="QI148" s="294"/>
      <c r="QJ148" s="294"/>
      <c r="QK148" s="294"/>
      <c r="QL148" s="294"/>
      <c r="QM148" s="294"/>
      <c r="QN148" s="294"/>
      <c r="QO148" s="294"/>
      <c r="QP148" s="294"/>
      <c r="QQ148" s="294"/>
      <c r="QR148" s="294"/>
      <c r="QS148" s="294"/>
      <c r="QT148" s="294"/>
      <c r="QU148" s="294"/>
      <c r="QV148" s="294"/>
      <c r="QW148" s="294"/>
      <c r="QX148" s="294"/>
      <c r="QY148" s="294"/>
      <c r="QZ148" s="294"/>
      <c r="RA148" s="294"/>
      <c r="RB148" s="294"/>
      <c r="RC148" s="294"/>
      <c r="RD148" s="294"/>
      <c r="RE148" s="294"/>
      <c r="RF148" s="294"/>
      <c r="RG148" s="294"/>
      <c r="RH148" s="294"/>
      <c r="RI148" s="294"/>
      <c r="RJ148" s="294"/>
      <c r="RK148" s="294"/>
      <c r="RL148" s="294"/>
      <c r="RM148" s="294"/>
      <c r="RN148" s="294"/>
      <c r="RO148" s="294"/>
      <c r="RP148" s="294"/>
      <c r="RQ148" s="294"/>
      <c r="RR148" s="294"/>
      <c r="RS148" s="294"/>
      <c r="RT148" s="294"/>
      <c r="RU148" s="294"/>
      <c r="RV148" s="294"/>
      <c r="RW148" s="294"/>
      <c r="RX148" s="294"/>
      <c r="RY148" s="294"/>
      <c r="RZ148" s="294"/>
      <c r="SA148" s="294"/>
      <c r="SB148" s="294"/>
      <c r="SC148" s="294"/>
      <c r="SD148" s="294"/>
      <c r="SE148" s="294"/>
      <c r="SF148" s="294"/>
      <c r="SG148" s="294"/>
      <c r="SH148" s="294"/>
      <c r="SI148" s="294"/>
      <c r="SJ148" s="294"/>
      <c r="SK148" s="294"/>
      <c r="SL148" s="294"/>
      <c r="SM148" s="294"/>
      <c r="SN148" s="294"/>
      <c r="SO148" s="294"/>
      <c r="SP148" s="294"/>
      <c r="SQ148" s="294"/>
      <c r="SR148" s="294"/>
      <c r="SS148" s="294"/>
      <c r="ST148" s="294"/>
      <c r="SU148" s="294"/>
      <c r="SV148" s="294"/>
      <c r="SW148" s="294"/>
      <c r="SX148" s="294"/>
      <c r="SY148" s="294"/>
      <c r="SZ148" s="294"/>
      <c r="TA148" s="294"/>
      <c r="TB148" s="294"/>
      <c r="TC148" s="294"/>
      <c r="TD148" s="294"/>
      <c r="TE148" s="294"/>
      <c r="TF148" s="294"/>
      <c r="TG148" s="294"/>
      <c r="TH148" s="294"/>
      <c r="TI148" s="294"/>
      <c r="TJ148" s="294"/>
      <c r="TK148" s="294"/>
      <c r="TL148" s="294"/>
      <c r="TM148" s="294"/>
      <c r="TN148" s="294"/>
      <c r="TO148" s="294"/>
      <c r="TP148" s="294"/>
      <c r="TQ148" s="294"/>
      <c r="TR148" s="294"/>
      <c r="TS148" s="294"/>
      <c r="TT148" s="294"/>
      <c r="TU148" s="294"/>
      <c r="TV148" s="294"/>
      <c r="TW148" s="294"/>
      <c r="TX148" s="294"/>
      <c r="TY148" s="294"/>
      <c r="TZ148" s="294"/>
      <c r="UA148" s="294"/>
      <c r="UB148" s="294"/>
      <c r="UC148" s="294"/>
      <c r="UD148" s="294"/>
      <c r="UE148" s="294"/>
      <c r="UF148" s="294"/>
      <c r="UG148" s="294"/>
      <c r="UH148" s="294"/>
      <c r="UI148" s="294"/>
      <c r="UJ148" s="294"/>
      <c r="UK148" s="294"/>
      <c r="UL148" s="294"/>
      <c r="UM148" s="294"/>
      <c r="UN148" s="294"/>
      <c r="UO148" s="294"/>
      <c r="UP148" s="294"/>
      <c r="UQ148" s="294"/>
      <c r="UR148" s="294"/>
      <c r="US148" s="294"/>
      <c r="UT148" s="294"/>
      <c r="UU148" s="294"/>
      <c r="UV148" s="294"/>
      <c r="UW148" s="294"/>
      <c r="UX148" s="294"/>
      <c r="UY148" s="294"/>
      <c r="UZ148" s="294"/>
      <c r="VA148" s="294"/>
      <c r="VB148" s="294"/>
      <c r="VC148" s="294"/>
      <c r="VD148" s="294"/>
      <c r="VE148" s="294"/>
      <c r="VF148" s="294"/>
      <c r="VG148" s="294"/>
      <c r="VH148" s="294"/>
      <c r="VI148" s="294"/>
      <c r="VJ148" s="294"/>
      <c r="VK148" s="294"/>
      <c r="VL148" s="294"/>
      <c r="VM148" s="294"/>
      <c r="VN148" s="294"/>
      <c r="VO148" s="294"/>
      <c r="VP148" s="294"/>
      <c r="VQ148" s="294"/>
      <c r="VR148" s="294"/>
      <c r="VS148" s="294"/>
      <c r="VT148" s="294"/>
      <c r="VU148" s="294"/>
      <c r="VV148" s="294"/>
      <c r="VW148" s="294"/>
      <c r="VX148" s="294"/>
      <c r="VY148" s="294"/>
      <c r="VZ148" s="294"/>
      <c r="WA148" s="294"/>
      <c r="WB148" s="294"/>
      <c r="WC148" s="294"/>
      <c r="WD148" s="294"/>
      <c r="WE148" s="294"/>
      <c r="WF148" s="294"/>
      <c r="WG148" s="294"/>
      <c r="WH148" s="294"/>
      <c r="WI148" s="294"/>
      <c r="WJ148" s="294"/>
      <c r="WK148" s="294"/>
      <c r="WL148" s="294"/>
      <c r="WM148" s="294"/>
      <c r="WN148" s="294"/>
      <c r="WO148" s="294"/>
      <c r="WP148" s="294"/>
      <c r="WQ148" s="294"/>
      <c r="WR148" s="294"/>
      <c r="WS148" s="294"/>
      <c r="WT148" s="294"/>
      <c r="WU148" s="294"/>
      <c r="WV148" s="294"/>
      <c r="WW148" s="294"/>
      <c r="WX148" s="294"/>
      <c r="WY148" s="294"/>
      <c r="WZ148" s="294"/>
      <c r="XA148" s="294"/>
      <c r="XB148" s="294"/>
      <c r="XC148" s="294"/>
      <c r="XD148" s="294"/>
      <c r="XE148" s="294"/>
      <c r="XF148" s="294"/>
      <c r="XG148" s="294"/>
      <c r="XH148" s="294"/>
      <c r="XI148" s="294"/>
      <c r="XJ148" s="294"/>
      <c r="XK148" s="294"/>
      <c r="XL148" s="294"/>
      <c r="XM148" s="294"/>
      <c r="XN148" s="294"/>
      <c r="XO148" s="294"/>
      <c r="XP148" s="294"/>
      <c r="XQ148" s="294"/>
      <c r="XR148" s="294"/>
      <c r="XS148" s="294"/>
      <c r="XT148" s="294"/>
      <c r="XU148" s="294"/>
      <c r="XV148" s="294"/>
      <c r="XW148" s="294"/>
      <c r="XX148" s="294"/>
      <c r="XY148" s="294"/>
      <c r="XZ148" s="294"/>
      <c r="YA148" s="294"/>
      <c r="YB148" s="294"/>
      <c r="YC148" s="294"/>
      <c r="YD148" s="294"/>
      <c r="YE148" s="294"/>
      <c r="YF148" s="294"/>
      <c r="YG148" s="294"/>
      <c r="YH148" s="294"/>
      <c r="YI148" s="294"/>
      <c r="YJ148" s="294"/>
      <c r="YK148" s="294"/>
      <c r="YL148" s="294"/>
      <c r="YM148" s="294"/>
      <c r="YN148" s="294"/>
      <c r="YO148" s="294"/>
      <c r="YP148" s="294"/>
      <c r="YQ148" s="294"/>
      <c r="YR148" s="294"/>
      <c r="YS148" s="294"/>
      <c r="YT148" s="294"/>
      <c r="YU148" s="294"/>
      <c r="YV148" s="294"/>
      <c r="YW148" s="294"/>
      <c r="YX148" s="294"/>
      <c r="YY148" s="294"/>
      <c r="YZ148" s="294"/>
      <c r="ZA148" s="294"/>
      <c r="ZB148" s="294"/>
      <c r="ZC148" s="294"/>
      <c r="ZD148" s="294"/>
      <c r="ZE148" s="294"/>
      <c r="ZF148" s="294"/>
      <c r="ZG148" s="294"/>
      <c r="ZH148" s="294"/>
      <c r="ZI148" s="294"/>
      <c r="ZJ148" s="294"/>
      <c r="ZK148" s="294"/>
      <c r="ZL148" s="294"/>
      <c r="ZM148" s="294"/>
      <c r="ZN148" s="294"/>
      <c r="ZO148" s="294"/>
      <c r="ZP148" s="294"/>
      <c r="ZQ148" s="294"/>
      <c r="ZR148" s="294"/>
      <c r="ZS148" s="294"/>
      <c r="ZT148" s="294"/>
      <c r="ZU148" s="294"/>
      <c r="ZV148" s="294"/>
      <c r="ZW148" s="294"/>
      <c r="ZX148" s="294"/>
      <c r="ZY148" s="294"/>
      <c r="ZZ148" s="294"/>
      <c r="AAA148" s="294"/>
      <c r="AAB148" s="294"/>
      <c r="AAC148" s="294"/>
      <c r="AAD148" s="294"/>
      <c r="AAE148" s="294"/>
      <c r="AAF148" s="294"/>
      <c r="AAG148" s="294"/>
      <c r="AAH148" s="294"/>
      <c r="AAI148" s="294"/>
      <c r="AAJ148" s="294"/>
      <c r="AAK148" s="294"/>
      <c r="AAL148" s="294"/>
      <c r="AAM148" s="294"/>
      <c r="AAN148" s="294"/>
      <c r="AAO148" s="294"/>
      <c r="AAP148" s="294"/>
      <c r="AAQ148" s="294"/>
      <c r="AAR148" s="294"/>
      <c r="AAS148" s="294"/>
      <c r="AAT148" s="294"/>
      <c r="AAU148" s="294"/>
      <c r="AAV148" s="294"/>
      <c r="AAW148" s="294"/>
      <c r="AAX148" s="294"/>
      <c r="AAY148" s="294"/>
      <c r="AAZ148" s="294"/>
      <c r="ABA148" s="294"/>
      <c r="ABB148" s="294"/>
      <c r="ABC148" s="294">
        <v>0</v>
      </c>
      <c r="ABD148" s="294"/>
      <c r="ABE148" s="294"/>
      <c r="ABF148" s="294"/>
      <c r="ABG148" s="294"/>
      <c r="ABH148" s="294"/>
      <c r="ABI148" s="294"/>
      <c r="ABJ148" s="294"/>
      <c r="ABK148" s="294">
        <v>0</v>
      </c>
      <c r="ABL148" s="294"/>
      <c r="ABM148" s="294"/>
      <c r="ABN148" s="294"/>
      <c r="ABO148" s="294"/>
      <c r="ABP148" s="294"/>
      <c r="ABQ148" s="294"/>
      <c r="ABR148" s="294"/>
      <c r="ABS148" s="294"/>
      <c r="ABT148" s="294"/>
      <c r="ABU148" s="294"/>
      <c r="ABV148" s="294"/>
      <c r="ABW148" s="294"/>
      <c r="ABX148" s="294"/>
      <c r="ABY148" s="294"/>
      <c r="ABZ148" s="294"/>
      <c r="ACA148" s="294"/>
      <c r="ACB148" s="294"/>
      <c r="ACC148" s="294"/>
      <c r="ACD148" s="294"/>
      <c r="ACE148" s="294"/>
      <c r="ACF148" s="294"/>
      <c r="ACG148" s="294"/>
      <c r="ACH148" s="294"/>
      <c r="ACI148" s="294"/>
      <c r="ACJ148" s="294"/>
      <c r="ACK148" s="294"/>
      <c r="ACL148" s="294"/>
      <c r="ACM148" s="294"/>
      <c r="ACN148" s="294"/>
      <c r="ACO148" s="294"/>
      <c r="ACP148" s="294"/>
      <c r="ACQ148" s="294"/>
      <c r="ACR148" s="294"/>
      <c r="ACS148" s="294"/>
      <c r="ACT148" s="294"/>
      <c r="ACU148" s="294"/>
      <c r="ACV148" s="294"/>
      <c r="ACW148" s="294"/>
      <c r="ACX148" s="294"/>
      <c r="ACY148" s="294"/>
      <c r="ACZ148" s="294"/>
      <c r="ADA148" s="294"/>
      <c r="ADB148" s="294"/>
      <c r="ADC148" s="294"/>
      <c r="ADD148" s="294"/>
      <c r="ADE148" s="294"/>
      <c r="ADF148" s="294"/>
      <c r="ADG148" s="294"/>
      <c r="ADH148" s="294"/>
      <c r="ADI148" s="294"/>
      <c r="ADJ148" s="294"/>
      <c r="ADK148" s="294"/>
      <c r="ADL148" s="294"/>
      <c r="ADM148" s="294"/>
      <c r="ADN148" s="294"/>
      <c r="ADO148" s="294"/>
      <c r="ADP148" s="294"/>
      <c r="ADQ148" s="294"/>
      <c r="ADR148" s="294"/>
      <c r="ADS148" s="294"/>
      <c r="ADT148" s="294"/>
      <c r="ADU148" s="294"/>
      <c r="ADV148" s="294"/>
      <c r="ADW148" s="294"/>
      <c r="ADX148" s="294"/>
      <c r="ADY148" s="294"/>
      <c r="ADZ148" s="294"/>
      <c r="AEA148" s="294"/>
      <c r="AEB148" s="294"/>
      <c r="AEC148" s="294"/>
      <c r="AED148" s="294"/>
      <c r="AEE148" s="294"/>
      <c r="AEF148" s="294"/>
      <c r="AEG148" s="294"/>
      <c r="AEH148" s="294"/>
      <c r="AEI148" s="294"/>
      <c r="AEJ148" s="294"/>
      <c r="AEK148" s="294"/>
      <c r="AEL148" s="294"/>
      <c r="AEM148" s="294"/>
      <c r="AEN148" s="294"/>
      <c r="AEO148" s="294"/>
      <c r="AEP148" s="294"/>
      <c r="AEQ148" s="294"/>
      <c r="AER148" s="294"/>
      <c r="AES148" s="294"/>
      <c r="AET148" s="294"/>
      <c r="AEU148" s="294"/>
      <c r="AEV148" s="294"/>
      <c r="AEW148" s="294"/>
      <c r="AEX148" s="294"/>
      <c r="AEY148" s="294"/>
      <c r="AEZ148" s="294"/>
      <c r="AFA148" s="294"/>
      <c r="AFB148" s="294"/>
      <c r="AFC148" s="294"/>
      <c r="AFD148" s="294"/>
      <c r="AFE148" s="294"/>
      <c r="AFF148" s="294"/>
      <c r="AFG148" s="294"/>
      <c r="AFH148" s="294"/>
      <c r="AFI148" s="294"/>
      <c r="AFJ148" s="294"/>
      <c r="AFK148" s="294"/>
      <c r="AFL148" s="294"/>
      <c r="AFM148" s="294"/>
      <c r="AFN148" s="294"/>
      <c r="AFO148" s="294"/>
      <c r="AFP148" s="294"/>
      <c r="AFQ148" s="294"/>
      <c r="AFR148" s="294"/>
      <c r="AFS148" s="294"/>
      <c r="AFT148" s="294"/>
      <c r="AFU148" s="294"/>
      <c r="AFV148" s="294"/>
      <c r="AFW148" s="294"/>
      <c r="AFX148" s="294"/>
      <c r="AFY148" s="294"/>
      <c r="AFZ148" s="294"/>
      <c r="AGA148" s="294"/>
      <c r="AGB148" s="294"/>
      <c r="AGC148" s="294"/>
      <c r="AGD148" s="294"/>
      <c r="AGE148" s="294"/>
      <c r="AGF148" s="294"/>
      <c r="AGG148" s="294"/>
      <c r="AGH148" s="294"/>
      <c r="AGI148" s="294"/>
      <c r="AGJ148" s="294"/>
      <c r="AGK148" s="294"/>
      <c r="AGL148" s="294"/>
      <c r="AGM148" s="294"/>
      <c r="AGN148" s="294"/>
      <c r="AGO148" s="294"/>
      <c r="AGP148" s="294"/>
      <c r="AGQ148" s="294"/>
      <c r="AGR148" s="294"/>
      <c r="AGS148" s="294"/>
      <c r="AGT148" s="294"/>
      <c r="AGU148" s="294"/>
      <c r="AGV148" s="294"/>
      <c r="AGW148" s="294"/>
      <c r="AGX148" s="294"/>
      <c r="AGY148" s="294"/>
      <c r="AGZ148" s="294"/>
      <c r="AHA148" s="294"/>
      <c r="AHB148" s="294"/>
      <c r="AHC148" s="294"/>
      <c r="AHD148" s="294"/>
      <c r="AHE148" s="294"/>
      <c r="AHF148" s="294"/>
      <c r="AHG148" s="294"/>
      <c r="AHH148" s="294"/>
      <c r="AHI148" s="294"/>
      <c r="AHJ148" s="294"/>
      <c r="AHK148" s="294"/>
      <c r="AHL148" s="294"/>
      <c r="AHM148" s="294"/>
      <c r="AHN148" s="294"/>
      <c r="AHO148" s="294"/>
      <c r="AHP148" s="294"/>
      <c r="AHQ148" s="294"/>
      <c r="AHR148" s="331"/>
      <c r="AHS148" s="294">
        <f t="shared" si="56"/>
        <v>-887825</v>
      </c>
      <c r="AHT148" s="269" t="b">
        <f t="shared" si="54"/>
        <v>1</v>
      </c>
      <c r="AHU148" s="269" t="s">
        <v>6278</v>
      </c>
      <c r="AHV148" s="269" t="s">
        <v>6238</v>
      </c>
      <c r="AHW148" s="269" t="s">
        <v>6239</v>
      </c>
    </row>
    <row r="149" spans="1:907" ht="24.6" x14ac:dyDescent="0.7">
      <c r="B149" s="268" t="s">
        <v>653</v>
      </c>
      <c r="C149" s="269" t="s">
        <v>6241</v>
      </c>
      <c r="D149" s="294">
        <f>SUM(D60:D148)</f>
        <v>-185687637.36000001</v>
      </c>
      <c r="E149" s="294">
        <f t="shared" ref="E149:BP149" si="57">SUM(E60:E148)</f>
        <v>-32625369.149999999</v>
      </c>
      <c r="F149" s="294">
        <f t="shared" si="57"/>
        <v>-55902491.469999991</v>
      </c>
      <c r="G149" s="294">
        <f t="shared" si="57"/>
        <v>-8628021.6199999992</v>
      </c>
      <c r="H149" s="294">
        <f t="shared" si="57"/>
        <v>-53637755.619999997</v>
      </c>
      <c r="I149" s="294">
        <f t="shared" si="57"/>
        <v>-8674467.7400000002</v>
      </c>
      <c r="J149" s="294">
        <f t="shared" si="57"/>
        <v>-67329534.999999985</v>
      </c>
      <c r="K149" s="294">
        <f t="shared" si="57"/>
        <v>-10403497.25</v>
      </c>
      <c r="L149" s="294">
        <f t="shared" si="57"/>
        <v>-22859489.639999997</v>
      </c>
      <c r="M149" s="294">
        <f t="shared" si="57"/>
        <v>-20865398.600000001</v>
      </c>
      <c r="N149" s="294">
        <f t="shared" si="57"/>
        <v>-19968872.159999996</v>
      </c>
      <c r="O149" s="294">
        <f t="shared" si="57"/>
        <v>-14340392.220000001</v>
      </c>
      <c r="P149" s="294">
        <f t="shared" si="57"/>
        <v>-65272961.409999996</v>
      </c>
      <c r="Q149" s="294">
        <f t="shared" si="57"/>
        <v>-14960626.77</v>
      </c>
      <c r="R149" s="294">
        <f t="shared" si="57"/>
        <v>-9457812.9299999978</v>
      </c>
      <c r="S149" s="294">
        <f t="shared" si="57"/>
        <v>-51765080.43</v>
      </c>
      <c r="T149" s="294">
        <f t="shared" si="57"/>
        <v>-17421222.990000002</v>
      </c>
      <c r="U149" s="294">
        <f t="shared" si="57"/>
        <v>-9645587.0699999984</v>
      </c>
      <c r="V149" s="294">
        <f t="shared" si="57"/>
        <v>-422538504.74000001</v>
      </c>
      <c r="W149" s="294">
        <f t="shared" si="57"/>
        <v>-94102965.499999985</v>
      </c>
      <c r="X149" s="294">
        <f t="shared" si="57"/>
        <v>-15542162.219999999</v>
      </c>
      <c r="Y149" s="294">
        <f t="shared" si="57"/>
        <v>-14369225.440000001</v>
      </c>
      <c r="Z149" s="294">
        <f t="shared" si="57"/>
        <v>-31625993.809999999</v>
      </c>
      <c r="AA149" s="294">
        <f t="shared" si="57"/>
        <v>-32203342.830000006</v>
      </c>
      <c r="AB149" s="294">
        <f t="shared" si="57"/>
        <v>-28294395.280000001</v>
      </c>
      <c r="AC149" s="294">
        <f t="shared" si="57"/>
        <v>-177880832.43000001</v>
      </c>
      <c r="AD149" s="294">
        <f t="shared" si="57"/>
        <v>-48036851.160000011</v>
      </c>
      <c r="AE149" s="294">
        <f t="shared" si="57"/>
        <v>-51298717.449999996</v>
      </c>
      <c r="AF149" s="294">
        <f t="shared" si="57"/>
        <v>-162296117.94000003</v>
      </c>
      <c r="AG149" s="294">
        <f t="shared" si="57"/>
        <v>-43907139.299999997</v>
      </c>
      <c r="AH149" s="294">
        <f t="shared" si="57"/>
        <v>-129491421.08999996</v>
      </c>
      <c r="AI149" s="294">
        <f t="shared" si="57"/>
        <v>-71932099.209999993</v>
      </c>
      <c r="AJ149" s="294">
        <f t="shared" si="57"/>
        <v>-26980470.489999991</v>
      </c>
      <c r="AK149" s="294">
        <f t="shared" si="57"/>
        <v>-21348384.619999997</v>
      </c>
      <c r="AL149" s="294">
        <f t="shared" si="57"/>
        <v>-24000059.990000002</v>
      </c>
      <c r="AM149" s="294">
        <f t="shared" si="57"/>
        <v>-45453142.210000001</v>
      </c>
      <c r="AN149" s="294">
        <f t="shared" si="57"/>
        <v>-33162585.929999996</v>
      </c>
      <c r="AO149" s="294">
        <f t="shared" si="57"/>
        <v>-29127667.489999998</v>
      </c>
      <c r="AP149" s="294">
        <f t="shared" si="57"/>
        <v>-19271132.710000005</v>
      </c>
      <c r="AQ149" s="294">
        <f t="shared" si="57"/>
        <v>-19662729.440000001</v>
      </c>
      <c r="AR149" s="294">
        <f t="shared" si="57"/>
        <v>-30963099.5</v>
      </c>
      <c r="AS149" s="294">
        <f t="shared" si="57"/>
        <v>-18303335.469999999</v>
      </c>
      <c r="AT149" s="294">
        <f t="shared" si="57"/>
        <v>-141655507.14999998</v>
      </c>
      <c r="AU149" s="294">
        <f t="shared" si="57"/>
        <v>-4608444.7700000005</v>
      </c>
      <c r="AV149" s="294">
        <f t="shared" si="57"/>
        <v>-6444850.3600000013</v>
      </c>
      <c r="AW149" s="294">
        <f t="shared" si="57"/>
        <v>-9491182.0199999996</v>
      </c>
      <c r="AX149" s="294">
        <f t="shared" si="57"/>
        <v>-21694477.75</v>
      </c>
      <c r="AY149" s="294">
        <f t="shared" si="57"/>
        <v>-28175908.840000004</v>
      </c>
      <c r="AZ149" s="294">
        <f t="shared" si="57"/>
        <v>-4159066.11</v>
      </c>
      <c r="BA149" s="294">
        <f t="shared" si="57"/>
        <v>-6243905.7699999996</v>
      </c>
      <c r="BB149" s="294">
        <f t="shared" si="57"/>
        <v>-2909741.4099999997</v>
      </c>
      <c r="BC149" s="294">
        <f t="shared" si="57"/>
        <v>-5738761.7999999998</v>
      </c>
      <c r="BD149" s="294">
        <f t="shared" si="57"/>
        <v>-4136259.7699999996</v>
      </c>
      <c r="BE149" s="294">
        <f t="shared" si="57"/>
        <v>-8901575.040000001</v>
      </c>
      <c r="BF149" s="294">
        <f t="shared" si="57"/>
        <v>-46671593.869999997</v>
      </c>
      <c r="BG149" s="294">
        <f t="shared" si="57"/>
        <v>-4224400.3900000006</v>
      </c>
      <c r="BH149" s="294">
        <f t="shared" si="57"/>
        <v>-11609491.669999998</v>
      </c>
      <c r="BI149" s="294">
        <f t="shared" si="57"/>
        <v>-240674779.27000001</v>
      </c>
      <c r="BJ149" s="294">
        <f t="shared" si="57"/>
        <v>-96918236.679999977</v>
      </c>
      <c r="BK149" s="294">
        <f t="shared" si="57"/>
        <v>-24977455.890000004</v>
      </c>
      <c r="BL149" s="294">
        <f t="shared" si="57"/>
        <v>-13034194.810000001</v>
      </c>
      <c r="BM149" s="294">
        <f t="shared" si="57"/>
        <v>-33729116.390000001</v>
      </c>
      <c r="BN149" s="294">
        <f t="shared" si="57"/>
        <v>-17182325.449999999</v>
      </c>
      <c r="BO149" s="294">
        <f t="shared" si="57"/>
        <v>-13956753.460000001</v>
      </c>
      <c r="BP149" s="294">
        <f t="shared" si="57"/>
        <v>-5342231.8900000006</v>
      </c>
      <c r="BQ149" s="294">
        <f t="shared" ref="BQ149:EB149" si="58">SUM(BQ60:BQ148)</f>
        <v>-3246585.0000000005</v>
      </c>
      <c r="BR149" s="294">
        <f t="shared" si="58"/>
        <v>-128890907.89000002</v>
      </c>
      <c r="BS149" s="294">
        <f t="shared" si="58"/>
        <v>-6108269.9399999995</v>
      </c>
      <c r="BT149" s="294">
        <f t="shared" si="58"/>
        <v>-6547792.6400000006</v>
      </c>
      <c r="BU149" s="294">
        <f t="shared" si="58"/>
        <v>-17118162.450000003</v>
      </c>
      <c r="BV149" s="294">
        <f t="shared" si="58"/>
        <v>-11537651.680000002</v>
      </c>
      <c r="BW149" s="294">
        <f t="shared" si="58"/>
        <v>-7813592.7500000009</v>
      </c>
      <c r="BX149" s="294">
        <f t="shared" si="58"/>
        <v>-6269218.0600000005</v>
      </c>
      <c r="BY149" s="294">
        <f t="shared" si="58"/>
        <v>-8040118.9000000004</v>
      </c>
      <c r="BZ149" s="294">
        <f t="shared" si="58"/>
        <v>-98460412.733000025</v>
      </c>
      <c r="CA149" s="294">
        <f t="shared" si="58"/>
        <v>-19917043.779999997</v>
      </c>
      <c r="CB149" s="294">
        <f t="shared" si="58"/>
        <v>-27960115.630000003</v>
      </c>
      <c r="CC149" s="294">
        <f t="shared" si="58"/>
        <v>-49707870.990000002</v>
      </c>
      <c r="CD149" s="294">
        <f t="shared" si="58"/>
        <v>-15367709.790000001</v>
      </c>
      <c r="CE149" s="294">
        <f t="shared" si="58"/>
        <v>-12709717.99</v>
      </c>
      <c r="CF149" s="294">
        <f t="shared" si="58"/>
        <v>-13691932.740000002</v>
      </c>
      <c r="CG149" s="294">
        <f t="shared" si="58"/>
        <v>-82918885.979999989</v>
      </c>
      <c r="CH149" s="294">
        <f t="shared" si="58"/>
        <v>-12541973.670000002</v>
      </c>
      <c r="CI149" s="294">
        <f t="shared" si="58"/>
        <v>-38518894.149999999</v>
      </c>
      <c r="CJ149" s="294">
        <f t="shared" si="58"/>
        <v>-7180687.71</v>
      </c>
      <c r="CK149" s="294">
        <f t="shared" si="58"/>
        <v>-12141668.790000001</v>
      </c>
      <c r="CL149" s="294">
        <f t="shared" si="58"/>
        <v>-14481748.159999998</v>
      </c>
      <c r="CM149" s="294">
        <f t="shared" si="58"/>
        <v>-8710007.370000001</v>
      </c>
      <c r="CN149" s="294">
        <f t="shared" si="58"/>
        <v>-21739399.099999998</v>
      </c>
      <c r="CO149" s="294">
        <f t="shared" si="58"/>
        <v>-3644592.2</v>
      </c>
      <c r="CP149" s="294">
        <f t="shared" si="58"/>
        <v>-14140497.039999999</v>
      </c>
      <c r="CQ149" s="294">
        <f t="shared" si="58"/>
        <v>-9094485.8300000019</v>
      </c>
      <c r="CR149" s="294">
        <f t="shared" si="58"/>
        <v>-11744872.509999998</v>
      </c>
      <c r="CS149" s="294">
        <f t="shared" si="58"/>
        <v>-8729872.4699999988</v>
      </c>
      <c r="CT149" s="294">
        <f t="shared" si="58"/>
        <v>-173430229.38999999</v>
      </c>
      <c r="CU149" s="294">
        <f t="shared" si="58"/>
        <v>-7313899.6899999995</v>
      </c>
      <c r="CV149" s="294">
        <f t="shared" si="58"/>
        <v>-15986861.08</v>
      </c>
      <c r="CW149" s="294">
        <f t="shared" si="58"/>
        <v>-34793932.930000007</v>
      </c>
      <c r="CX149" s="294">
        <f t="shared" si="58"/>
        <v>-4226518.7200000007</v>
      </c>
      <c r="CY149" s="294">
        <f t="shared" si="58"/>
        <v>-24215941.079999998</v>
      </c>
      <c r="CZ149" s="294">
        <f t="shared" si="58"/>
        <v>-10936101.380000001</v>
      </c>
      <c r="DA149" s="294">
        <f t="shared" si="58"/>
        <v>-8364873.0200000005</v>
      </c>
      <c r="DB149" s="294">
        <f t="shared" si="58"/>
        <v>-155339693.21000001</v>
      </c>
      <c r="DC149" s="294">
        <f t="shared" si="58"/>
        <v>-271587028.53999996</v>
      </c>
      <c r="DD149" s="294">
        <f t="shared" si="58"/>
        <v>-20341697.809999999</v>
      </c>
      <c r="DE149" s="294">
        <f t="shared" si="58"/>
        <v>-22662987.52</v>
      </c>
      <c r="DF149" s="294">
        <f t="shared" si="58"/>
        <v>-27464327.949999999</v>
      </c>
      <c r="DG149" s="294">
        <f t="shared" si="58"/>
        <v>-30634751.649999999</v>
      </c>
      <c r="DH149" s="294">
        <f t="shared" si="58"/>
        <v>-45075194.850000001</v>
      </c>
      <c r="DI149" s="294">
        <f t="shared" si="58"/>
        <v>-31947935.659999996</v>
      </c>
      <c r="DJ149" s="294">
        <f t="shared" si="58"/>
        <v>-17007791.229999997</v>
      </c>
      <c r="DK149" s="294">
        <f t="shared" si="58"/>
        <v>-409683177.09999996</v>
      </c>
      <c r="DL149" s="294">
        <f t="shared" si="58"/>
        <v>-17365881.459999997</v>
      </c>
      <c r="DM149" s="294">
        <f t="shared" si="58"/>
        <v>-27160837.879999995</v>
      </c>
      <c r="DN149" s="294">
        <f t="shared" si="58"/>
        <v>-19008860.890000001</v>
      </c>
      <c r="DO149" s="294">
        <f t="shared" si="58"/>
        <v>-16544145.889800001</v>
      </c>
      <c r="DP149" s="294">
        <f t="shared" si="58"/>
        <v>-16991860.310000002</v>
      </c>
      <c r="DQ149" s="294">
        <f t="shared" si="58"/>
        <v>-51452722.93999999</v>
      </c>
      <c r="DR149" s="294">
        <f t="shared" si="58"/>
        <v>-14174953.779900001</v>
      </c>
      <c r="DS149" s="294">
        <f t="shared" si="58"/>
        <v>-33869326.030000001</v>
      </c>
      <c r="DT149" s="294">
        <f t="shared" si="58"/>
        <v>-268874695.25000006</v>
      </c>
      <c r="DU149" s="294">
        <f t="shared" si="58"/>
        <v>-38665557.339999996</v>
      </c>
      <c r="DV149" s="294">
        <f t="shared" si="58"/>
        <v>-78328861.640000001</v>
      </c>
      <c r="DW149" s="294">
        <f t="shared" si="58"/>
        <v>-93124245.070000008</v>
      </c>
      <c r="DX149" s="294">
        <f t="shared" si="58"/>
        <v>-35129699.830000006</v>
      </c>
      <c r="DY149" s="294">
        <f t="shared" si="58"/>
        <v>-41644518.299999997</v>
      </c>
      <c r="DZ149" s="294">
        <f t="shared" si="58"/>
        <v>-33147228.850000001</v>
      </c>
      <c r="EA149" s="294">
        <f t="shared" si="58"/>
        <v>-8036298.5699999994</v>
      </c>
      <c r="EB149" s="294">
        <f t="shared" si="58"/>
        <v>-23758044.280000001</v>
      </c>
      <c r="EC149" s="294">
        <f t="shared" ref="EC149:GN149" si="59">SUM(EC60:EC148)</f>
        <v>-16421282.09</v>
      </c>
      <c r="ED149" s="294">
        <f t="shared" si="59"/>
        <v>-58997542.82</v>
      </c>
      <c r="EE149" s="294">
        <f t="shared" si="59"/>
        <v>-87374356.969999984</v>
      </c>
      <c r="EF149" s="294">
        <f t="shared" si="59"/>
        <v>-70826239.079999998</v>
      </c>
      <c r="EG149" s="294">
        <f t="shared" si="59"/>
        <v>-19503797.129999995</v>
      </c>
      <c r="EH149" s="294">
        <f t="shared" si="59"/>
        <v>-18740136.259999998</v>
      </c>
      <c r="EI149" s="294">
        <f t="shared" si="59"/>
        <v>-21681842.650000002</v>
      </c>
      <c r="EJ149" s="294">
        <f t="shared" si="59"/>
        <v>-33573437.990000002</v>
      </c>
      <c r="EK149" s="294">
        <f t="shared" si="59"/>
        <v>-35495550.999999993</v>
      </c>
      <c r="EL149" s="294">
        <f t="shared" si="59"/>
        <v>-15881082.440000001</v>
      </c>
      <c r="EM149" s="294">
        <f t="shared" si="59"/>
        <v>-19731008.999999996</v>
      </c>
      <c r="EN149" s="294">
        <f t="shared" si="59"/>
        <v>-271166145.25999993</v>
      </c>
      <c r="EO149" s="294">
        <f t="shared" si="59"/>
        <v>-23012652.139999997</v>
      </c>
      <c r="EP149" s="294">
        <f t="shared" si="59"/>
        <v>-27177324.439999994</v>
      </c>
      <c r="EQ149" s="294">
        <f t="shared" si="59"/>
        <v>-17100821.489999998</v>
      </c>
      <c r="ER149" s="294">
        <f t="shared" si="59"/>
        <v>-13211007.029999999</v>
      </c>
      <c r="ES149" s="294">
        <f t="shared" si="59"/>
        <v>-7694793.1199999992</v>
      </c>
      <c r="ET149" s="294">
        <f t="shared" si="59"/>
        <v>-52839165.060000002</v>
      </c>
      <c r="EU149" s="294">
        <f t="shared" si="59"/>
        <v>-30973730.330000002</v>
      </c>
      <c r="EV149" s="294">
        <f t="shared" si="59"/>
        <v>-24202089.450000007</v>
      </c>
      <c r="EW149" s="294">
        <f t="shared" si="59"/>
        <v>-310008344.70999992</v>
      </c>
      <c r="EX149" s="294">
        <f t="shared" si="59"/>
        <v>-5007573.6399999997</v>
      </c>
      <c r="EY149" s="294">
        <f t="shared" si="59"/>
        <v>-16090326.960000001</v>
      </c>
      <c r="EZ149" s="294">
        <f t="shared" si="59"/>
        <v>-18908442.489999998</v>
      </c>
      <c r="FA149" s="294">
        <f t="shared" si="59"/>
        <v>-37899661.910000004</v>
      </c>
      <c r="FB149" s="294">
        <f t="shared" si="59"/>
        <v>-53032251.699999996</v>
      </c>
      <c r="FC149" s="294">
        <f t="shared" si="59"/>
        <v>-24779251.169999998</v>
      </c>
      <c r="FD149" s="294">
        <f t="shared" si="59"/>
        <v>-18896567.679999996</v>
      </c>
      <c r="FE149" s="294">
        <f t="shared" si="59"/>
        <v>-13704948.210000001</v>
      </c>
      <c r="FF149" s="294">
        <f t="shared" si="59"/>
        <v>-13410311.98</v>
      </c>
      <c r="FG149" s="294">
        <f t="shared" si="59"/>
        <v>-8663939.2999999989</v>
      </c>
      <c r="FH149" s="294">
        <f t="shared" si="59"/>
        <v>-11796989.640000001</v>
      </c>
      <c r="FI149" s="294">
        <f t="shared" si="59"/>
        <v>-101306451.26000001</v>
      </c>
      <c r="FJ149" s="294">
        <f t="shared" si="59"/>
        <v>-9648324.1899999995</v>
      </c>
      <c r="FK149" s="294">
        <f t="shared" si="59"/>
        <v>-2271110.4899999998</v>
      </c>
      <c r="FL149" s="294">
        <f t="shared" si="59"/>
        <v>-5405358.6999999993</v>
      </c>
      <c r="FM149" s="294">
        <f t="shared" si="59"/>
        <v>-23733151.43</v>
      </c>
      <c r="FN149" s="294">
        <f t="shared" si="59"/>
        <v>-15417555.150000002</v>
      </c>
      <c r="FO149" s="294">
        <f t="shared" si="59"/>
        <v>-7631906.0099999998</v>
      </c>
      <c r="FP149" s="294">
        <f t="shared" si="59"/>
        <v>-5295525.43</v>
      </c>
      <c r="FQ149" s="294">
        <f t="shared" si="59"/>
        <v>-401976834.25000006</v>
      </c>
      <c r="FR149" s="294">
        <f t="shared" si="59"/>
        <v>-17026353.48</v>
      </c>
      <c r="FS149" s="294">
        <f t="shared" si="59"/>
        <v>-30445658.579999998</v>
      </c>
      <c r="FT149" s="294">
        <f t="shared" si="59"/>
        <v>-30489167.140000001</v>
      </c>
      <c r="FU149" s="294">
        <f t="shared" si="59"/>
        <v>-25960622.91</v>
      </c>
      <c r="FV149" s="294">
        <f t="shared" si="59"/>
        <v>-10663090.499999998</v>
      </c>
      <c r="FW149" s="294">
        <f t="shared" si="59"/>
        <v>-57347544.199999996</v>
      </c>
      <c r="FX149" s="294">
        <f t="shared" si="59"/>
        <v>-46785530.469999999</v>
      </c>
      <c r="FY149" s="294">
        <f t="shared" si="59"/>
        <v>-31103025.330000002</v>
      </c>
      <c r="FZ149" s="294">
        <f t="shared" si="59"/>
        <v>-17329708.190000005</v>
      </c>
      <c r="GA149" s="294">
        <f t="shared" si="59"/>
        <v>-63831532.160000011</v>
      </c>
      <c r="GB149" s="294">
        <f t="shared" si="59"/>
        <v>-23997529.309999995</v>
      </c>
      <c r="GC149" s="294">
        <f t="shared" si="59"/>
        <v>-15053820.460000001</v>
      </c>
      <c r="GD149" s="294">
        <f t="shared" si="59"/>
        <v>-7658703.0399999991</v>
      </c>
      <c r="GE149" s="294">
        <f t="shared" si="59"/>
        <v>-191277601.83999997</v>
      </c>
      <c r="GF149" s="294">
        <f t="shared" si="59"/>
        <v>-8518345.7700000014</v>
      </c>
      <c r="GG149" s="294">
        <f t="shared" si="59"/>
        <v>-4914010.7399999993</v>
      </c>
      <c r="GH149" s="294">
        <f t="shared" si="59"/>
        <v>-57601364.160000004</v>
      </c>
      <c r="GI149" s="294">
        <f t="shared" si="59"/>
        <v>-18221828.329999998</v>
      </c>
      <c r="GJ149" s="294">
        <f t="shared" si="59"/>
        <v>-9057675.4199999999</v>
      </c>
      <c r="GK149" s="294">
        <f t="shared" si="59"/>
        <v>-14434501.240000004</v>
      </c>
      <c r="GL149" s="294">
        <f t="shared" si="59"/>
        <v>-24354624.419999998</v>
      </c>
      <c r="GM149" s="294">
        <f t="shared" si="59"/>
        <v>-8786620.6999999993</v>
      </c>
      <c r="GN149" s="294">
        <f t="shared" si="59"/>
        <v>-9049673.2200000007</v>
      </c>
      <c r="GO149" s="294">
        <f t="shared" ref="GO149:IZ149" si="60">SUM(GO60:GO148)</f>
        <v>-7460201.8599999994</v>
      </c>
      <c r="GP149" s="294">
        <f t="shared" si="60"/>
        <v>-7082924.9200000009</v>
      </c>
      <c r="GQ149" s="294">
        <f t="shared" si="60"/>
        <v>-153947850.47999999</v>
      </c>
      <c r="GR149" s="294">
        <f t="shared" si="60"/>
        <v>-7836153.5600000005</v>
      </c>
      <c r="GS149" s="294">
        <f t="shared" si="60"/>
        <v>-11690462.049999999</v>
      </c>
      <c r="GT149" s="294">
        <f t="shared" si="60"/>
        <v>-24068785.050000001</v>
      </c>
      <c r="GU149" s="294">
        <f t="shared" si="60"/>
        <v>-3073460.4400000004</v>
      </c>
      <c r="GV149" s="294">
        <f t="shared" si="60"/>
        <v>-13960913.57</v>
      </c>
      <c r="GW149" s="294">
        <f t="shared" si="60"/>
        <v>-13568776.950000001</v>
      </c>
      <c r="GX149" s="294">
        <f t="shared" si="60"/>
        <v>-11822974.840000002</v>
      </c>
      <c r="GY149" s="294">
        <f t="shared" si="60"/>
        <v>-138571884.14999998</v>
      </c>
      <c r="GZ149" s="294">
        <f t="shared" si="60"/>
        <v>-6583540.8799999999</v>
      </c>
      <c r="HA149" s="294">
        <f t="shared" si="60"/>
        <v>-36131286.910000004</v>
      </c>
      <c r="HB149" s="294">
        <f t="shared" si="60"/>
        <v>-29876727.93</v>
      </c>
      <c r="HC149" s="294">
        <f t="shared" si="60"/>
        <v>-636513308.31000006</v>
      </c>
      <c r="HD149" s="294">
        <f t="shared" si="60"/>
        <v>-163363913.69000006</v>
      </c>
      <c r="HE149" s="294">
        <f t="shared" si="60"/>
        <v>-83317331.879999995</v>
      </c>
      <c r="HF149" s="294">
        <f t="shared" si="60"/>
        <v>-90269295.080000028</v>
      </c>
      <c r="HG149" s="294">
        <f t="shared" si="60"/>
        <v>-45603374.820000008</v>
      </c>
      <c r="HH149" s="294">
        <f t="shared" si="60"/>
        <v>-59801066.960000001</v>
      </c>
      <c r="HI149" s="294">
        <f t="shared" si="60"/>
        <v>-31771126.739999998</v>
      </c>
      <c r="HJ149" s="294">
        <f t="shared" si="60"/>
        <v>-337227592.67000008</v>
      </c>
      <c r="HK149" s="294">
        <f t="shared" si="60"/>
        <v>-69923654.889999986</v>
      </c>
      <c r="HL149" s="294">
        <f t="shared" si="60"/>
        <v>-105630433.37</v>
      </c>
      <c r="HM149" s="294">
        <f t="shared" si="60"/>
        <v>-50471931.18</v>
      </c>
      <c r="HN149" s="294">
        <f t="shared" si="60"/>
        <v>-30826040.620000005</v>
      </c>
      <c r="HO149" s="294">
        <f t="shared" si="60"/>
        <v>-35309569.93</v>
      </c>
      <c r="HP149" s="294">
        <f t="shared" si="60"/>
        <v>-50648468.070000008</v>
      </c>
      <c r="HQ149" s="294">
        <f t="shared" si="60"/>
        <v>-42627033.199999996</v>
      </c>
      <c r="HR149" s="294">
        <f t="shared" si="60"/>
        <v>-372542425.43910003</v>
      </c>
      <c r="HS149" s="294">
        <f t="shared" si="60"/>
        <v>-157061688.41000006</v>
      </c>
      <c r="HT149" s="294">
        <f t="shared" si="60"/>
        <v>-24778481.27</v>
      </c>
      <c r="HU149" s="294">
        <f t="shared" si="60"/>
        <v>-14449885.610000001</v>
      </c>
      <c r="HV149" s="294">
        <f t="shared" si="60"/>
        <v>-26155620.820000004</v>
      </c>
      <c r="HW149" s="294">
        <f t="shared" si="60"/>
        <v>-20992151.339999996</v>
      </c>
      <c r="HX149" s="294">
        <f t="shared" si="60"/>
        <v>-61278321.779999994</v>
      </c>
      <c r="HY149" s="294">
        <f t="shared" si="60"/>
        <v>-32968846.440000001</v>
      </c>
      <c r="HZ149" s="294">
        <f t="shared" si="60"/>
        <v>-27113316.09</v>
      </c>
      <c r="IA149" s="294">
        <f t="shared" si="60"/>
        <v>-18332069.010000002</v>
      </c>
      <c r="IB149" s="294">
        <f t="shared" si="60"/>
        <v>-15600602.190000001</v>
      </c>
      <c r="IC149" s="294">
        <f t="shared" si="60"/>
        <v>-26576587.789999999</v>
      </c>
      <c r="ID149" s="294">
        <f t="shared" si="60"/>
        <v>-7724749.330000001</v>
      </c>
      <c r="IE149" s="294">
        <f t="shared" si="60"/>
        <v>-20609607.559999999</v>
      </c>
      <c r="IF149" s="294">
        <f t="shared" si="60"/>
        <v>-12705600.720000001</v>
      </c>
      <c r="IG149" s="294">
        <f t="shared" si="60"/>
        <v>-9107462.6799999997</v>
      </c>
      <c r="IH149" s="294">
        <f t="shared" si="60"/>
        <v>-325345165.01000005</v>
      </c>
      <c r="II149" s="294">
        <f t="shared" si="60"/>
        <v>-46463208.86999999</v>
      </c>
      <c r="IJ149" s="294">
        <f t="shared" si="60"/>
        <v>-18822059.629999999</v>
      </c>
      <c r="IK149" s="294">
        <f t="shared" si="60"/>
        <v>-73761444.030000001</v>
      </c>
      <c r="IL149" s="294">
        <f t="shared" si="60"/>
        <v>-107907259.50000001</v>
      </c>
      <c r="IM149" s="294">
        <f t="shared" si="60"/>
        <v>-37366466.289999999</v>
      </c>
      <c r="IN149" s="294">
        <f t="shared" si="60"/>
        <v>-11596101.220000003</v>
      </c>
      <c r="IO149" s="294">
        <f t="shared" si="60"/>
        <v>-14421699.869999999</v>
      </c>
      <c r="IP149" s="294">
        <f t="shared" si="60"/>
        <v>-16336943.26</v>
      </c>
      <c r="IQ149" s="294">
        <f t="shared" si="60"/>
        <v>-26319265.580000002</v>
      </c>
      <c r="IR149" s="294">
        <f t="shared" si="60"/>
        <v>-18801293.420000002</v>
      </c>
      <c r="IS149" s="294">
        <f t="shared" si="60"/>
        <v>-494028889.00000012</v>
      </c>
      <c r="IT149" s="294">
        <f t="shared" si="60"/>
        <v>-355822434.49000001</v>
      </c>
      <c r="IU149" s="294">
        <f t="shared" si="60"/>
        <v>-12530279.15</v>
      </c>
      <c r="IV149" s="294">
        <f t="shared" si="60"/>
        <v>-33812533.530000001</v>
      </c>
      <c r="IW149" s="294">
        <f t="shared" si="60"/>
        <v>-19870406.449999999</v>
      </c>
      <c r="IX149" s="294">
        <f t="shared" si="60"/>
        <v>-10054793.51</v>
      </c>
      <c r="IY149" s="294">
        <f t="shared" si="60"/>
        <v>-21899364.860000003</v>
      </c>
      <c r="IZ149" s="294">
        <f t="shared" si="60"/>
        <v>-5589827.54</v>
      </c>
      <c r="JA149" s="294">
        <f t="shared" ref="JA149:LL149" si="61">SUM(JA60:JA148)</f>
        <v>-12906189.52</v>
      </c>
      <c r="JB149" s="294">
        <f t="shared" si="61"/>
        <v>-20948349.280000001</v>
      </c>
      <c r="JC149" s="294">
        <f t="shared" si="61"/>
        <v>-48069386.909999996</v>
      </c>
      <c r="JD149" s="294">
        <f t="shared" si="61"/>
        <v>-16855151.680000003</v>
      </c>
      <c r="JE149" s="294">
        <f t="shared" si="61"/>
        <v>-64616471.930000007</v>
      </c>
      <c r="JF149" s="294">
        <f t="shared" si="61"/>
        <v>-73828448.930000007</v>
      </c>
      <c r="JG149" s="294">
        <f t="shared" si="61"/>
        <v>-25110206.430000003</v>
      </c>
      <c r="JH149" s="294">
        <f t="shared" si="61"/>
        <v>-20027897.670000002</v>
      </c>
      <c r="JI149" s="294">
        <f t="shared" si="61"/>
        <v>-15858947.949999997</v>
      </c>
      <c r="JJ149" s="294">
        <f t="shared" si="61"/>
        <v>-9737130.2100000009</v>
      </c>
      <c r="JK149" s="294">
        <f t="shared" si="61"/>
        <v>-282315443.58999997</v>
      </c>
      <c r="JL149" s="294">
        <f t="shared" si="61"/>
        <v>-23308388.029999997</v>
      </c>
      <c r="JM149" s="294">
        <f t="shared" si="61"/>
        <v>-32184933.350000005</v>
      </c>
      <c r="JN149" s="294">
        <f t="shared" si="61"/>
        <v>-82512819.120000005</v>
      </c>
      <c r="JO149" s="294">
        <f t="shared" si="61"/>
        <v>-34253636.090000004</v>
      </c>
      <c r="JP149" s="294">
        <f t="shared" si="61"/>
        <v>-58269871.149999984</v>
      </c>
      <c r="JQ149" s="294">
        <f t="shared" si="61"/>
        <v>-18584716.5</v>
      </c>
      <c r="JR149" s="294">
        <f t="shared" si="61"/>
        <v>-232901235.74000001</v>
      </c>
      <c r="JS149" s="294">
        <f t="shared" si="61"/>
        <v>-145640672.85000002</v>
      </c>
      <c r="JT149" s="294">
        <f t="shared" si="61"/>
        <v>-16197490.089999996</v>
      </c>
      <c r="JU149" s="294">
        <f t="shared" si="61"/>
        <v>-7280031.4299999997</v>
      </c>
      <c r="JV149" s="294">
        <f t="shared" si="61"/>
        <v>-16814441.370000001</v>
      </c>
      <c r="JW149" s="294">
        <f t="shared" si="61"/>
        <v>-4978236.3899999997</v>
      </c>
      <c r="JX149" s="294">
        <f t="shared" si="61"/>
        <v>-67842077.109999999</v>
      </c>
      <c r="JY149" s="294">
        <f t="shared" si="61"/>
        <v>-23533483.729999997</v>
      </c>
      <c r="JZ149" s="294">
        <f t="shared" si="61"/>
        <v>-18421725.619999997</v>
      </c>
      <c r="KA149" s="294">
        <f t="shared" si="61"/>
        <v>-18476759.530000001</v>
      </c>
      <c r="KB149" s="294">
        <f t="shared" si="61"/>
        <v>-12007314.470000001</v>
      </c>
      <c r="KC149" s="294">
        <f t="shared" si="61"/>
        <v>-15016249.620000001</v>
      </c>
      <c r="KD149" s="294">
        <f t="shared" si="61"/>
        <v>-9065765.8499999996</v>
      </c>
      <c r="KE149" s="294">
        <f t="shared" si="61"/>
        <v>-3044163.9299999997</v>
      </c>
      <c r="KF149" s="294">
        <f t="shared" si="61"/>
        <v>-7631728.2100000009</v>
      </c>
      <c r="KG149" s="294">
        <f t="shared" si="61"/>
        <v>-9537427.7699999996</v>
      </c>
      <c r="KH149" s="294">
        <f t="shared" si="61"/>
        <v>-663334143.50999999</v>
      </c>
      <c r="KI149" s="294">
        <f t="shared" si="61"/>
        <v>-62839634.900000006</v>
      </c>
      <c r="KJ149" s="294">
        <f t="shared" si="61"/>
        <v>-25267431.549999997</v>
      </c>
      <c r="KK149" s="294">
        <f t="shared" si="61"/>
        <v>-23766510.590000004</v>
      </c>
      <c r="KL149" s="294">
        <f t="shared" si="61"/>
        <v>-12073528.919</v>
      </c>
      <c r="KM149" s="294">
        <f t="shared" si="61"/>
        <v>-25000994.639999997</v>
      </c>
      <c r="KN149" s="294">
        <f t="shared" si="61"/>
        <v>-84267623.290000007</v>
      </c>
      <c r="KO149" s="294">
        <f t="shared" si="61"/>
        <v>-14044117.41</v>
      </c>
      <c r="KP149" s="294">
        <f t="shared" si="61"/>
        <v>-16600917.629999999</v>
      </c>
      <c r="KQ149" s="294">
        <f t="shared" si="61"/>
        <v>-202435093.23000002</v>
      </c>
      <c r="KR149" s="294">
        <f t="shared" si="61"/>
        <v>-24068446.420000002</v>
      </c>
      <c r="KS149" s="294">
        <f t="shared" si="61"/>
        <v>-25201580.579999998</v>
      </c>
      <c r="KT149" s="294">
        <f t="shared" si="61"/>
        <v>-103517272.72</v>
      </c>
      <c r="KU149" s="294">
        <f t="shared" si="61"/>
        <v>-28682914.289999999</v>
      </c>
      <c r="KV149" s="294">
        <f t="shared" si="61"/>
        <v>-32149238.210000001</v>
      </c>
      <c r="KW149" s="294">
        <f t="shared" si="61"/>
        <v>-217521726.46000004</v>
      </c>
      <c r="KX149" s="294">
        <f t="shared" si="61"/>
        <v>-27393691.219999999</v>
      </c>
      <c r="KY149" s="294">
        <f t="shared" si="61"/>
        <v>-282575412.89999992</v>
      </c>
      <c r="KZ149" s="294">
        <f t="shared" si="61"/>
        <v>-16768265.5</v>
      </c>
      <c r="LA149" s="294">
        <f t="shared" si="61"/>
        <v>-10376918.51</v>
      </c>
      <c r="LB149" s="294">
        <f t="shared" si="61"/>
        <v>-28512289.210000001</v>
      </c>
      <c r="LC149" s="294">
        <f t="shared" si="61"/>
        <v>-35967345.120000005</v>
      </c>
      <c r="LD149" s="294">
        <f t="shared" si="61"/>
        <v>-23059663.16</v>
      </c>
      <c r="LE149" s="294">
        <f t="shared" si="61"/>
        <v>-19440093.920000002</v>
      </c>
      <c r="LF149" s="294">
        <f t="shared" si="61"/>
        <v>-20221812.109999996</v>
      </c>
      <c r="LG149" s="294">
        <f t="shared" si="61"/>
        <v>-660640826.91999972</v>
      </c>
      <c r="LH149" s="294">
        <f t="shared" si="61"/>
        <v>-152355512.68000001</v>
      </c>
      <c r="LI149" s="294">
        <f t="shared" si="61"/>
        <v>-72221609.469999999</v>
      </c>
      <c r="LJ149" s="294">
        <f t="shared" si="61"/>
        <v>-132172709.28999999</v>
      </c>
      <c r="LK149" s="294">
        <f t="shared" si="61"/>
        <v>-31979155.309999987</v>
      </c>
      <c r="LL149" s="294">
        <f t="shared" si="61"/>
        <v>-26014182.919999998</v>
      </c>
      <c r="LM149" s="294">
        <f t="shared" ref="LM149:NX149" si="62">SUM(LM60:LM148)</f>
        <v>-12517074.41</v>
      </c>
      <c r="LN149" s="294">
        <f t="shared" si="62"/>
        <v>-36057317.640000001</v>
      </c>
      <c r="LO149" s="294">
        <f t="shared" si="62"/>
        <v>-17339408.350000001</v>
      </c>
      <c r="LP149" s="294">
        <f t="shared" si="62"/>
        <v>-41814034.120000005</v>
      </c>
      <c r="LQ149" s="294">
        <f t="shared" si="62"/>
        <v>-9332852.8099999987</v>
      </c>
      <c r="LR149" s="294">
        <f t="shared" si="62"/>
        <v>-194435105.79999998</v>
      </c>
      <c r="LS149" s="294">
        <f t="shared" si="62"/>
        <v>-20781837.120000001</v>
      </c>
      <c r="LT149" s="294">
        <f t="shared" si="62"/>
        <v>-10877775.529999999</v>
      </c>
      <c r="LU149" s="294">
        <f t="shared" si="62"/>
        <v>-439697497.50999999</v>
      </c>
      <c r="LV149" s="294">
        <f t="shared" si="62"/>
        <v>-166718225.14000008</v>
      </c>
      <c r="LW149" s="294">
        <f t="shared" si="62"/>
        <v>-479052820.83000004</v>
      </c>
      <c r="LX149" s="294">
        <f t="shared" si="62"/>
        <v>-118623339.56999998</v>
      </c>
      <c r="LY149" s="294">
        <f t="shared" si="62"/>
        <v>-42325812.600000001</v>
      </c>
      <c r="LZ149" s="294">
        <f t="shared" si="62"/>
        <v>-61187171.56000001</v>
      </c>
      <c r="MA149" s="294">
        <f t="shared" si="62"/>
        <v>-42922413.260000005</v>
      </c>
      <c r="MB149" s="294">
        <f t="shared" si="62"/>
        <v>-32632078.960000001</v>
      </c>
      <c r="MC149" s="294">
        <f t="shared" si="62"/>
        <v>-45297444.969999991</v>
      </c>
      <c r="MD149" s="294">
        <f t="shared" si="62"/>
        <v>-35445761.100000001</v>
      </c>
      <c r="ME149" s="294">
        <f t="shared" si="62"/>
        <v>-98334517.450000003</v>
      </c>
      <c r="MF149" s="294">
        <f t="shared" si="62"/>
        <v>-27097700.900000002</v>
      </c>
      <c r="MG149" s="294">
        <f t="shared" si="62"/>
        <v>-513834916.62</v>
      </c>
      <c r="MH149" s="294">
        <f t="shared" si="62"/>
        <v>-17488251.050000001</v>
      </c>
      <c r="MI149" s="294">
        <f t="shared" si="62"/>
        <v>-10239344.279999999</v>
      </c>
      <c r="MJ149" s="294">
        <f t="shared" si="62"/>
        <v>-5335949.8500000006</v>
      </c>
      <c r="MK149" s="294">
        <f t="shared" si="62"/>
        <v>-6368437.6500000004</v>
      </c>
      <c r="ML149" s="294">
        <f t="shared" si="62"/>
        <v>-14861374.109999999</v>
      </c>
      <c r="MM149" s="294">
        <f t="shared" si="62"/>
        <v>-18755458.459999997</v>
      </c>
      <c r="MN149" s="294">
        <f t="shared" si="62"/>
        <v>-9540939.3900000006</v>
      </c>
      <c r="MO149" s="294">
        <f t="shared" si="62"/>
        <v>-30714299.990000002</v>
      </c>
      <c r="MP149" s="294">
        <f t="shared" si="62"/>
        <v>-14532490.039999999</v>
      </c>
      <c r="MQ149" s="294">
        <f t="shared" si="62"/>
        <v>-15062521.269999998</v>
      </c>
      <c r="MR149" s="294">
        <f t="shared" si="62"/>
        <v>-10933681.620000001</v>
      </c>
      <c r="MS149" s="294">
        <f t="shared" si="62"/>
        <v>-358572248.18000001</v>
      </c>
      <c r="MT149" s="294">
        <f t="shared" si="62"/>
        <v>-27225503.390000001</v>
      </c>
      <c r="MU149" s="294">
        <f t="shared" si="62"/>
        <v>-34021763.68</v>
      </c>
      <c r="MV149" s="294">
        <f t="shared" si="62"/>
        <v>-42383345.790000007</v>
      </c>
      <c r="MW149" s="294">
        <f t="shared" si="62"/>
        <v>-59950524.890000001</v>
      </c>
      <c r="MX149" s="294">
        <f t="shared" si="62"/>
        <v>-24414062.23</v>
      </c>
      <c r="MY149" s="294">
        <f t="shared" si="62"/>
        <v>-63375935.709199995</v>
      </c>
      <c r="MZ149" s="294">
        <f t="shared" si="62"/>
        <v>-62033932.210000001</v>
      </c>
      <c r="NA149" s="294">
        <f t="shared" si="62"/>
        <v>-37484079.829999991</v>
      </c>
      <c r="NB149" s="294">
        <f t="shared" si="62"/>
        <v>-15571242.479999999</v>
      </c>
      <c r="NC149" s="294">
        <f t="shared" si="62"/>
        <v>-5657707.6599999983</v>
      </c>
      <c r="ND149" s="294">
        <f t="shared" si="62"/>
        <v>-765655302.94000006</v>
      </c>
      <c r="NE149" s="294">
        <f t="shared" si="62"/>
        <v>-56421842.530000009</v>
      </c>
      <c r="NF149" s="294">
        <f t="shared" si="62"/>
        <v>-16779306.43</v>
      </c>
      <c r="NG149" s="294">
        <f t="shared" si="62"/>
        <v>-365031167.20000011</v>
      </c>
      <c r="NH149" s="294">
        <f t="shared" si="62"/>
        <v>-24359767.720000003</v>
      </c>
      <c r="NI149" s="294">
        <f t="shared" si="62"/>
        <v>-45573734.32</v>
      </c>
      <c r="NJ149" s="294">
        <f t="shared" si="62"/>
        <v>-156640588.27000004</v>
      </c>
      <c r="NK149" s="294">
        <f t="shared" si="62"/>
        <v>-164086168.89999998</v>
      </c>
      <c r="NL149" s="294">
        <f t="shared" si="62"/>
        <v>-4084528.63</v>
      </c>
      <c r="NM149" s="294">
        <f t="shared" si="62"/>
        <v>-57606238.159999996</v>
      </c>
      <c r="NN149" s="294">
        <f t="shared" si="62"/>
        <v>-20332020.219999999</v>
      </c>
      <c r="NO149" s="294">
        <f t="shared" si="62"/>
        <v>-19168195.771000002</v>
      </c>
      <c r="NP149" s="294">
        <f t="shared" si="62"/>
        <v>-91409801.910000011</v>
      </c>
      <c r="NQ149" s="294">
        <f t="shared" si="62"/>
        <v>-8818208.879999999</v>
      </c>
      <c r="NR149" s="294">
        <f t="shared" si="62"/>
        <v>-15378273.069999998</v>
      </c>
      <c r="NS149" s="294">
        <f t="shared" si="62"/>
        <v>-7549836.5600000005</v>
      </c>
      <c r="NT149" s="294">
        <f t="shared" si="62"/>
        <v>-5461062.9299999997</v>
      </c>
      <c r="NU149" s="294">
        <f t="shared" si="62"/>
        <v>-2375392.1399999997</v>
      </c>
      <c r="NV149" s="294">
        <f t="shared" si="62"/>
        <v>-4173113</v>
      </c>
      <c r="NW149" s="294">
        <f t="shared" si="62"/>
        <v>-410318074.67999995</v>
      </c>
      <c r="NX149" s="294">
        <f t="shared" si="62"/>
        <v>-182546050.41</v>
      </c>
      <c r="NY149" s="294">
        <f t="shared" ref="NY149:QJ149" si="63">SUM(NY60:NY148)</f>
        <v>-23658637.529999997</v>
      </c>
      <c r="NZ149" s="294">
        <f t="shared" si="63"/>
        <v>-22587119.739999995</v>
      </c>
      <c r="OA149" s="294">
        <f t="shared" si="63"/>
        <v>-17596846.129999999</v>
      </c>
      <c r="OB149" s="294">
        <f t="shared" si="63"/>
        <v>-41454747.490000002</v>
      </c>
      <c r="OC149" s="294">
        <f t="shared" si="63"/>
        <v>-19801008.419999998</v>
      </c>
      <c r="OD149" s="294">
        <f t="shared" si="63"/>
        <v>-384052399.90999997</v>
      </c>
      <c r="OE149" s="294">
        <f t="shared" si="63"/>
        <v>-137429061.90000001</v>
      </c>
      <c r="OF149" s="294">
        <f t="shared" si="63"/>
        <v>-29187258.949999996</v>
      </c>
      <c r="OG149" s="294">
        <f t="shared" si="63"/>
        <v>-112979839.71000002</v>
      </c>
      <c r="OH149" s="294">
        <f t="shared" si="63"/>
        <v>-33812587.059999995</v>
      </c>
      <c r="OI149" s="294">
        <f t="shared" si="63"/>
        <v>-33597499.989999995</v>
      </c>
      <c r="OJ149" s="294">
        <f t="shared" si="63"/>
        <v>-91749222.829999998</v>
      </c>
      <c r="OK149" s="294">
        <f t="shared" si="63"/>
        <v>-15397487.469999997</v>
      </c>
      <c r="OL149" s="294">
        <f t="shared" si="63"/>
        <v>-41390936.410000004</v>
      </c>
      <c r="OM149" s="294">
        <f t="shared" si="63"/>
        <v>-334235881.66000003</v>
      </c>
      <c r="ON149" s="294">
        <f t="shared" si="63"/>
        <v>-95472988.670000017</v>
      </c>
      <c r="OO149" s="294">
        <f t="shared" si="63"/>
        <v>-242981904.56999999</v>
      </c>
      <c r="OP149" s="294">
        <f t="shared" si="63"/>
        <v>-44986492.290000007</v>
      </c>
      <c r="OQ149" s="294">
        <f t="shared" si="63"/>
        <v>-51840235.170000002</v>
      </c>
      <c r="OR149" s="294">
        <f t="shared" si="63"/>
        <v>-33272711.27</v>
      </c>
      <c r="OS149" s="294">
        <f t="shared" si="63"/>
        <v>-158028902.82000002</v>
      </c>
      <c r="OT149" s="294">
        <f t="shared" si="63"/>
        <v>-18045965.780000005</v>
      </c>
      <c r="OU149" s="294">
        <f t="shared" si="63"/>
        <v>-18892421.210000001</v>
      </c>
      <c r="OV149" s="294">
        <f t="shared" si="63"/>
        <v>-13303128.599999998</v>
      </c>
      <c r="OW149" s="294">
        <f t="shared" si="63"/>
        <v>-19015159.980000004</v>
      </c>
      <c r="OX149" s="294">
        <f t="shared" si="63"/>
        <v>-82231330.199999988</v>
      </c>
      <c r="OY149" s="294">
        <f t="shared" si="63"/>
        <v>-16875638.969999999</v>
      </c>
      <c r="OZ149" s="294">
        <f t="shared" si="63"/>
        <v>-10501474.879999999</v>
      </c>
      <c r="PA149" s="294">
        <f t="shared" si="63"/>
        <v>-15163413.16</v>
      </c>
      <c r="PB149" s="294">
        <f t="shared" si="63"/>
        <v>-245246142.67000002</v>
      </c>
      <c r="PC149" s="294">
        <f t="shared" si="63"/>
        <v>-8433547.2300000004</v>
      </c>
      <c r="PD149" s="294">
        <f t="shared" si="63"/>
        <v>-58280986.830000006</v>
      </c>
      <c r="PE149" s="294">
        <f t="shared" si="63"/>
        <v>-10140429.140000001</v>
      </c>
      <c r="PF149" s="294">
        <f t="shared" si="63"/>
        <v>-14126009.680000002</v>
      </c>
      <c r="PG149" s="294">
        <f t="shared" si="63"/>
        <v>-42897236.140000001</v>
      </c>
      <c r="PH149" s="294">
        <f t="shared" si="63"/>
        <v>-17617571.350000001</v>
      </c>
      <c r="PI149" s="294">
        <f t="shared" si="63"/>
        <v>-17117404.850000001</v>
      </c>
      <c r="PJ149" s="294">
        <f t="shared" si="63"/>
        <v>-23531739.41</v>
      </c>
      <c r="PK149" s="294">
        <f t="shared" si="63"/>
        <v>-19642577.010000005</v>
      </c>
      <c r="PL149" s="294">
        <f t="shared" si="63"/>
        <v>-14101493.819999998</v>
      </c>
      <c r="PM149" s="294">
        <f t="shared" si="63"/>
        <v>-37502488.730000004</v>
      </c>
      <c r="PN149" s="294">
        <f t="shared" si="63"/>
        <v>-15106046.490000002</v>
      </c>
      <c r="PO149" s="294">
        <f t="shared" si="63"/>
        <v>-74292867.360000014</v>
      </c>
      <c r="PP149" s="294">
        <f t="shared" si="63"/>
        <v>-11545850.900000002</v>
      </c>
      <c r="PQ149" s="294">
        <f t="shared" si="63"/>
        <v>-11278519.119999999</v>
      </c>
      <c r="PR149" s="294">
        <f t="shared" si="63"/>
        <v>-12471128.960000001</v>
      </c>
      <c r="PS149" s="294">
        <f t="shared" si="63"/>
        <v>-7392356.1600000001</v>
      </c>
      <c r="PT149" s="294">
        <f t="shared" si="63"/>
        <v>-813174653.00000012</v>
      </c>
      <c r="PU149" s="294">
        <f t="shared" si="63"/>
        <v>-40773317.340000011</v>
      </c>
      <c r="PV149" s="294">
        <f t="shared" si="63"/>
        <v>-20627658.720000003</v>
      </c>
      <c r="PW149" s="294">
        <f t="shared" si="63"/>
        <v>-12280060.939999999</v>
      </c>
      <c r="PX149" s="294">
        <f t="shared" si="63"/>
        <v>-188477201.03999996</v>
      </c>
      <c r="PY149" s="294">
        <f t="shared" si="63"/>
        <v>-36069119.099999994</v>
      </c>
      <c r="PZ149" s="294">
        <f t="shared" si="63"/>
        <v>-67913187.86999999</v>
      </c>
      <c r="QA149" s="294">
        <f t="shared" si="63"/>
        <v>-16756298.369999999</v>
      </c>
      <c r="QB149" s="294">
        <f t="shared" si="63"/>
        <v>-67233199.939999998</v>
      </c>
      <c r="QC149" s="294">
        <f t="shared" si="63"/>
        <v>-8910221.4100000001</v>
      </c>
      <c r="QD149" s="294">
        <f t="shared" si="63"/>
        <v>-56240259.410000004</v>
      </c>
      <c r="QE149" s="294">
        <f t="shared" si="63"/>
        <v>-23806616.710000005</v>
      </c>
      <c r="QF149" s="294">
        <f t="shared" si="63"/>
        <v>-11196297.52</v>
      </c>
      <c r="QG149" s="294">
        <f t="shared" si="63"/>
        <v>-18252158.82</v>
      </c>
      <c r="QH149" s="294">
        <f t="shared" si="63"/>
        <v>-41637012.020000011</v>
      </c>
      <c r="QI149" s="294">
        <f t="shared" si="63"/>
        <v>-17818082.199999999</v>
      </c>
      <c r="QJ149" s="294">
        <f t="shared" si="63"/>
        <v>-27213203.489999991</v>
      </c>
      <c r="QK149" s="294">
        <f t="shared" ref="QK149:SV149" si="64">SUM(QK60:QK148)</f>
        <v>-24138568.659999996</v>
      </c>
      <c r="QL149" s="294">
        <f t="shared" si="64"/>
        <v>-17767890.029999997</v>
      </c>
      <c r="QM149" s="294">
        <f t="shared" si="64"/>
        <v>-69224636.499999985</v>
      </c>
      <c r="QN149" s="294">
        <f t="shared" si="64"/>
        <v>-71222835.469999999</v>
      </c>
      <c r="QO149" s="294">
        <f t="shared" si="64"/>
        <v>-16240139.650000004</v>
      </c>
      <c r="QP149" s="294">
        <f t="shared" si="64"/>
        <v>-5060823.1000000006</v>
      </c>
      <c r="QQ149" s="294">
        <f t="shared" si="64"/>
        <v>-10378642.880000001</v>
      </c>
      <c r="QR149" s="294">
        <f t="shared" si="64"/>
        <v>-4597725.0200000005</v>
      </c>
      <c r="QS149" s="294">
        <f t="shared" si="64"/>
        <v>-9616721.0000000019</v>
      </c>
      <c r="QT149" s="294">
        <f t="shared" si="64"/>
        <v>-280970271.11000001</v>
      </c>
      <c r="QU149" s="294">
        <f t="shared" si="64"/>
        <v>-8634939.2300000004</v>
      </c>
      <c r="QV149" s="294">
        <f t="shared" si="64"/>
        <v>-57249553.640000001</v>
      </c>
      <c r="QW149" s="294">
        <f t="shared" si="64"/>
        <v>-6584276.4299999997</v>
      </c>
      <c r="QX149" s="294">
        <f t="shared" si="64"/>
        <v>-13705827.66</v>
      </c>
      <c r="QY149" s="294">
        <f t="shared" si="64"/>
        <v>-57257311.969999991</v>
      </c>
      <c r="QZ149" s="294">
        <f t="shared" si="64"/>
        <v>-23815329.129999995</v>
      </c>
      <c r="RA149" s="294">
        <f t="shared" si="64"/>
        <v>-39070443.420000002</v>
      </c>
      <c r="RB149" s="294">
        <f t="shared" si="64"/>
        <v>-27724854.180000003</v>
      </c>
      <c r="RC149" s="294">
        <f t="shared" si="64"/>
        <v>-24022595.389999997</v>
      </c>
      <c r="RD149" s="294">
        <f t="shared" si="64"/>
        <v>-13752608.539999999</v>
      </c>
      <c r="RE149" s="294">
        <f t="shared" si="64"/>
        <v>-4990650.8499999996</v>
      </c>
      <c r="RF149" s="294">
        <f t="shared" si="64"/>
        <v>-12314215.570000002</v>
      </c>
      <c r="RG149" s="294">
        <f t="shared" si="64"/>
        <v>-446869241.46999991</v>
      </c>
      <c r="RH149" s="294">
        <f t="shared" si="64"/>
        <v>-81082568.639999986</v>
      </c>
      <c r="RI149" s="294">
        <f t="shared" si="64"/>
        <v>-22115940.310000002</v>
      </c>
      <c r="RJ149" s="294">
        <f t="shared" si="64"/>
        <v>-22406335.910000004</v>
      </c>
      <c r="RK149" s="294">
        <f t="shared" si="64"/>
        <v>-35229340.389999993</v>
      </c>
      <c r="RL149" s="294">
        <f t="shared" si="64"/>
        <v>-62038779.550000012</v>
      </c>
      <c r="RM149" s="294">
        <f t="shared" si="64"/>
        <v>-117654512.02000001</v>
      </c>
      <c r="RN149" s="294">
        <f t="shared" si="64"/>
        <v>-19037023.529999997</v>
      </c>
      <c r="RO149" s="294">
        <f t="shared" si="64"/>
        <v>-20877004.219999999</v>
      </c>
      <c r="RP149" s="294">
        <f t="shared" si="64"/>
        <v>-68484915.819999993</v>
      </c>
      <c r="RQ149" s="294">
        <f t="shared" si="64"/>
        <v>-90568555.460000008</v>
      </c>
      <c r="RR149" s="294">
        <f t="shared" si="64"/>
        <v>-26743875.220000003</v>
      </c>
      <c r="RS149" s="294">
        <f t="shared" si="64"/>
        <v>-20742898.890000001</v>
      </c>
      <c r="RT149" s="294">
        <f t="shared" si="64"/>
        <v>-32439249.469999999</v>
      </c>
      <c r="RU149" s="294">
        <f t="shared" si="64"/>
        <v>-16333326.83</v>
      </c>
      <c r="RV149" s="294">
        <f t="shared" si="64"/>
        <v>-17305910.780000001</v>
      </c>
      <c r="RW149" s="294">
        <f t="shared" si="64"/>
        <v>-24626281.700000007</v>
      </c>
      <c r="RX149" s="294">
        <f t="shared" si="64"/>
        <v>-17317339.16</v>
      </c>
      <c r="RY149" s="294">
        <f t="shared" si="64"/>
        <v>-11103246.159999998</v>
      </c>
      <c r="RZ149" s="294">
        <f t="shared" si="64"/>
        <v>-13978438.959999999</v>
      </c>
      <c r="SA149" s="294">
        <f t="shared" si="64"/>
        <v>-194493504.03000003</v>
      </c>
      <c r="SB149" s="294">
        <f t="shared" si="64"/>
        <v>-11675440.329999998</v>
      </c>
      <c r="SC149" s="294">
        <f t="shared" si="64"/>
        <v>-18423586.389999997</v>
      </c>
      <c r="SD149" s="294">
        <f t="shared" si="64"/>
        <v>-23575937.619999997</v>
      </c>
      <c r="SE149" s="294">
        <f t="shared" si="64"/>
        <v>-12478192.219999999</v>
      </c>
      <c r="SF149" s="294">
        <f t="shared" si="64"/>
        <v>-27398721.599999998</v>
      </c>
      <c r="SG149" s="294">
        <f t="shared" si="64"/>
        <v>-28819297.07</v>
      </c>
      <c r="SH149" s="294">
        <f t="shared" si="64"/>
        <v>-29625540.16</v>
      </c>
      <c r="SI149" s="294">
        <f t="shared" si="64"/>
        <v>-19098938.419999998</v>
      </c>
      <c r="SJ149" s="294">
        <f t="shared" si="64"/>
        <v>-13621060.100000001</v>
      </c>
      <c r="SK149" s="294">
        <f t="shared" si="64"/>
        <v>-86238978.070000008</v>
      </c>
      <c r="SL149" s="294">
        <f t="shared" si="64"/>
        <v>-7583787.5800000001</v>
      </c>
      <c r="SM149" s="294">
        <f t="shared" si="64"/>
        <v>-105075280.19</v>
      </c>
      <c r="SN149" s="294">
        <f t="shared" si="64"/>
        <v>-19744252.249999996</v>
      </c>
      <c r="SO149" s="294">
        <f t="shared" si="64"/>
        <v>-28019270.739999998</v>
      </c>
      <c r="SP149" s="294">
        <f t="shared" si="64"/>
        <v>-44452355.730000004</v>
      </c>
      <c r="SQ149" s="294">
        <f t="shared" si="64"/>
        <v>-13911197.08</v>
      </c>
      <c r="SR149" s="294">
        <f t="shared" si="64"/>
        <v>-8993334.1399999987</v>
      </c>
      <c r="SS149" s="294">
        <f t="shared" si="64"/>
        <v>-21959722.470000003</v>
      </c>
      <c r="ST149" s="294">
        <f t="shared" si="64"/>
        <v>-15734229.389999999</v>
      </c>
      <c r="SU149" s="294">
        <f t="shared" si="64"/>
        <v>-287229472.67000002</v>
      </c>
      <c r="SV149" s="294">
        <f t="shared" si="64"/>
        <v>-9887546.040000001</v>
      </c>
      <c r="SW149" s="294">
        <f t="shared" ref="SW149:VH149" si="65">SUM(SW60:SW148)</f>
        <v>-22308143.559999999</v>
      </c>
      <c r="SX149" s="294">
        <f t="shared" si="65"/>
        <v>-22179195.609999999</v>
      </c>
      <c r="SY149" s="294">
        <f t="shared" si="65"/>
        <v>-4934518.78</v>
      </c>
      <c r="SZ149" s="294">
        <f t="shared" si="65"/>
        <v>-6161390.1699999999</v>
      </c>
      <c r="TA149" s="294">
        <f t="shared" si="65"/>
        <v>-4418789</v>
      </c>
      <c r="TB149" s="294">
        <f t="shared" si="65"/>
        <v>-64660083.089999996</v>
      </c>
      <c r="TC149" s="294">
        <f t="shared" si="65"/>
        <v>-13593458.98</v>
      </c>
      <c r="TD149" s="294">
        <f t="shared" si="65"/>
        <v>-13541744.979999999</v>
      </c>
      <c r="TE149" s="294">
        <f t="shared" si="65"/>
        <v>-11790626.349999998</v>
      </c>
      <c r="TF149" s="294">
        <f t="shared" si="65"/>
        <v>-35341995.450000003</v>
      </c>
      <c r="TG149" s="294">
        <f t="shared" si="65"/>
        <v>-9859121.4399999995</v>
      </c>
      <c r="TH149" s="294">
        <f t="shared" si="65"/>
        <v>-9012525.5299999993</v>
      </c>
      <c r="TI149" s="294">
        <f t="shared" si="65"/>
        <v>-637384252.69000006</v>
      </c>
      <c r="TJ149" s="294">
        <f t="shared" si="65"/>
        <v>-17835267.560000006</v>
      </c>
      <c r="TK149" s="294">
        <f t="shared" si="65"/>
        <v>-19753271.480000004</v>
      </c>
      <c r="TL149" s="294">
        <f t="shared" si="65"/>
        <v>-68329937.090000004</v>
      </c>
      <c r="TM149" s="294">
        <f t="shared" si="65"/>
        <v>-25252089.370000001</v>
      </c>
      <c r="TN149" s="294">
        <f t="shared" si="65"/>
        <v>-10556358.299999999</v>
      </c>
      <c r="TO149" s="294">
        <f t="shared" si="65"/>
        <v>-10524148.17</v>
      </c>
      <c r="TP149" s="294">
        <f t="shared" si="65"/>
        <v>-72029371.12999998</v>
      </c>
      <c r="TQ149" s="294">
        <f t="shared" si="65"/>
        <v>-14561884.32</v>
      </c>
      <c r="TR149" s="294">
        <f t="shared" si="65"/>
        <v>-35971791.989999995</v>
      </c>
      <c r="TS149" s="294">
        <f t="shared" si="65"/>
        <v>-37480071.909999996</v>
      </c>
      <c r="TT149" s="294">
        <f t="shared" si="65"/>
        <v>-15604717.470000001</v>
      </c>
      <c r="TU149" s="294">
        <f t="shared" si="65"/>
        <v>-10381459.27</v>
      </c>
      <c r="TV149" s="294">
        <f t="shared" si="65"/>
        <v>-20341833</v>
      </c>
      <c r="TW149" s="294">
        <f t="shared" si="65"/>
        <v>-26302540.040000003</v>
      </c>
      <c r="TX149" s="294">
        <f t="shared" si="65"/>
        <v>-7164548.3099999996</v>
      </c>
      <c r="TY149" s="294">
        <f t="shared" si="65"/>
        <v>-110646491.16999999</v>
      </c>
      <c r="TZ149" s="294">
        <f t="shared" si="65"/>
        <v>-6665999.71</v>
      </c>
      <c r="UA149" s="294">
        <f t="shared" si="65"/>
        <v>-150895276.86000001</v>
      </c>
      <c r="UB149" s="294">
        <f t="shared" si="65"/>
        <v>-63073772.599999994</v>
      </c>
      <c r="UC149" s="294">
        <f t="shared" si="65"/>
        <v>-28027773.669999998</v>
      </c>
      <c r="UD149" s="294">
        <f t="shared" si="65"/>
        <v>-21774467.34</v>
      </c>
      <c r="UE149" s="294">
        <f t="shared" si="65"/>
        <v>-264802083.41</v>
      </c>
      <c r="UF149" s="294">
        <f t="shared" si="65"/>
        <v>-12191640.579999998</v>
      </c>
      <c r="UG149" s="294">
        <f t="shared" si="65"/>
        <v>-15259016.200000001</v>
      </c>
      <c r="UH149" s="294">
        <f t="shared" si="65"/>
        <v>-28164130.59</v>
      </c>
      <c r="UI149" s="294">
        <f t="shared" si="65"/>
        <v>-17642622.890000004</v>
      </c>
      <c r="UJ149" s="294">
        <f t="shared" si="65"/>
        <v>-159812939.45000005</v>
      </c>
      <c r="UK149" s="294">
        <f t="shared" si="65"/>
        <v>-49867044.379999995</v>
      </c>
      <c r="UL149" s="294">
        <f t="shared" si="65"/>
        <v>-34922094.930000007</v>
      </c>
      <c r="UM149" s="294">
        <f t="shared" si="65"/>
        <v>-50452872.710000001</v>
      </c>
      <c r="UN149" s="294">
        <f t="shared" si="65"/>
        <v>-29709742.119999997</v>
      </c>
      <c r="UO149" s="294">
        <f t="shared" si="65"/>
        <v>-30752904.629999995</v>
      </c>
      <c r="UP149" s="294">
        <f t="shared" si="65"/>
        <v>-609573244.08999991</v>
      </c>
      <c r="UQ149" s="294">
        <f t="shared" si="65"/>
        <v>-40643894.829999991</v>
      </c>
      <c r="UR149" s="294">
        <f t="shared" si="65"/>
        <v>-29765191.170000002</v>
      </c>
      <c r="US149" s="294">
        <f t="shared" si="65"/>
        <v>-176959124.31999993</v>
      </c>
      <c r="UT149" s="294">
        <f t="shared" si="65"/>
        <v>-9539903.8999999985</v>
      </c>
      <c r="UU149" s="294">
        <f t="shared" si="65"/>
        <v>-24668699.350000001</v>
      </c>
      <c r="UV149" s="294">
        <f t="shared" si="65"/>
        <v>-92681483.609999985</v>
      </c>
      <c r="UW149" s="294">
        <f t="shared" si="65"/>
        <v>-14577206.149999999</v>
      </c>
      <c r="UX149" s="294">
        <f t="shared" si="65"/>
        <v>-21632345.940000001</v>
      </c>
      <c r="UY149" s="294">
        <f t="shared" si="65"/>
        <v>-22203314.719999999</v>
      </c>
      <c r="UZ149" s="294">
        <f t="shared" si="65"/>
        <v>-36469244.669999994</v>
      </c>
      <c r="VA149" s="294">
        <f t="shared" si="65"/>
        <v>-71535339.219999999</v>
      </c>
      <c r="VB149" s="294">
        <f t="shared" si="65"/>
        <v>-33399706.91</v>
      </c>
      <c r="VC149" s="294">
        <f t="shared" si="65"/>
        <v>-38537159.830000006</v>
      </c>
      <c r="VD149" s="294">
        <f t="shared" si="65"/>
        <v>-22796347.119999997</v>
      </c>
      <c r="VE149" s="294">
        <f t="shared" si="65"/>
        <v>-25198455.190000005</v>
      </c>
      <c r="VF149" s="294">
        <f t="shared" si="65"/>
        <v>-24980341.150000002</v>
      </c>
      <c r="VG149" s="294">
        <f t="shared" si="65"/>
        <v>-16649795.749999998</v>
      </c>
      <c r="VH149" s="294">
        <f t="shared" si="65"/>
        <v>-79052455.689999998</v>
      </c>
      <c r="VI149" s="294">
        <f t="shared" ref="VI149:XT149" si="66">SUM(VI60:VI148)</f>
        <v>-17621804.050000001</v>
      </c>
      <c r="VJ149" s="294">
        <f t="shared" si="66"/>
        <v>-10372051.76</v>
      </c>
      <c r="VK149" s="294">
        <f t="shared" si="66"/>
        <v>-7861752.6100000003</v>
      </c>
      <c r="VL149" s="294">
        <f t="shared" si="66"/>
        <v>-410353791.69</v>
      </c>
      <c r="VM149" s="294">
        <f t="shared" si="66"/>
        <v>-22694445.990000002</v>
      </c>
      <c r="VN149" s="294">
        <f t="shared" si="66"/>
        <v>-29592864.620000005</v>
      </c>
      <c r="VO149" s="294">
        <f t="shared" si="66"/>
        <v>-52587178.38000001</v>
      </c>
      <c r="VP149" s="294">
        <f t="shared" si="66"/>
        <v>-69804342.579999998</v>
      </c>
      <c r="VQ149" s="294">
        <f t="shared" si="66"/>
        <v>-49118378.120000005</v>
      </c>
      <c r="VR149" s="294">
        <f t="shared" si="66"/>
        <v>-38573203.659999996</v>
      </c>
      <c r="VS149" s="294">
        <f t="shared" si="66"/>
        <v>-9678248.620000001</v>
      </c>
      <c r="VT149" s="294">
        <f t="shared" si="66"/>
        <v>-26006302.130000003</v>
      </c>
      <c r="VU149" s="294">
        <f t="shared" si="66"/>
        <v>-147825803.91</v>
      </c>
      <c r="VV149" s="294">
        <f t="shared" si="66"/>
        <v>-15457788.440000001</v>
      </c>
      <c r="VW149" s="294">
        <f t="shared" si="66"/>
        <v>-39805712.900000006</v>
      </c>
      <c r="VX149" s="294">
        <f t="shared" si="66"/>
        <v>-27963036.889999997</v>
      </c>
      <c r="VY149" s="294">
        <f t="shared" si="66"/>
        <v>-5919237.9499999993</v>
      </c>
      <c r="VZ149" s="294">
        <f t="shared" si="66"/>
        <v>-12651382.390000001</v>
      </c>
      <c r="WA149" s="294">
        <f t="shared" si="66"/>
        <v>-660295536.93000007</v>
      </c>
      <c r="WB149" s="294">
        <f t="shared" si="66"/>
        <v>-30531040.410000008</v>
      </c>
      <c r="WC149" s="294">
        <f t="shared" si="66"/>
        <v>-18416249.120000001</v>
      </c>
      <c r="WD149" s="294">
        <f t="shared" si="66"/>
        <v>-15430389.650000002</v>
      </c>
      <c r="WE149" s="294">
        <f t="shared" si="66"/>
        <v>-9804359.1199999992</v>
      </c>
      <c r="WF149" s="294">
        <f t="shared" si="66"/>
        <v>-27051026.170000006</v>
      </c>
      <c r="WG149" s="294">
        <f t="shared" si="66"/>
        <v>-48790881.199999996</v>
      </c>
      <c r="WH149" s="294">
        <f t="shared" si="66"/>
        <v>-32192836.740000002</v>
      </c>
      <c r="WI149" s="294">
        <f t="shared" si="66"/>
        <v>-21454792.109999996</v>
      </c>
      <c r="WJ149" s="294">
        <f t="shared" si="66"/>
        <v>-50807550.720000014</v>
      </c>
      <c r="WK149" s="294">
        <f t="shared" si="66"/>
        <v>-13813670.359999999</v>
      </c>
      <c r="WL149" s="294">
        <f t="shared" si="66"/>
        <v>-58151060.43999999</v>
      </c>
      <c r="WM149" s="294">
        <f t="shared" si="66"/>
        <v>-15801176.030000001</v>
      </c>
      <c r="WN149" s="294">
        <f t="shared" si="66"/>
        <v>-56047043.24000001</v>
      </c>
      <c r="WO149" s="294">
        <f t="shared" si="66"/>
        <v>-71937241.829999998</v>
      </c>
      <c r="WP149" s="294">
        <f t="shared" si="66"/>
        <v>-16772094.76</v>
      </c>
      <c r="WQ149" s="294">
        <f t="shared" si="66"/>
        <v>-27228886.759999998</v>
      </c>
      <c r="WR149" s="294">
        <f t="shared" si="66"/>
        <v>-32200653.210000001</v>
      </c>
      <c r="WS149" s="294">
        <f t="shared" si="66"/>
        <v>-10024725.820000002</v>
      </c>
      <c r="WT149" s="294">
        <f t="shared" si="66"/>
        <v>-42327427.709999993</v>
      </c>
      <c r="WU149" s="294">
        <f t="shared" si="66"/>
        <v>-259839342.39000002</v>
      </c>
      <c r="WV149" s="294">
        <f t="shared" si="66"/>
        <v>-29597323.689999998</v>
      </c>
      <c r="WW149" s="294">
        <f t="shared" si="66"/>
        <v>-21120914.510000002</v>
      </c>
      <c r="WX149" s="294">
        <f t="shared" si="66"/>
        <v>-14456742.1</v>
      </c>
      <c r="WY149" s="294">
        <f t="shared" si="66"/>
        <v>-13515079.720000004</v>
      </c>
      <c r="WZ149" s="294">
        <f t="shared" si="66"/>
        <v>-19266040.789999999</v>
      </c>
      <c r="XA149" s="294">
        <f t="shared" si="66"/>
        <v>-8666091.3899999987</v>
      </c>
      <c r="XB149" s="294">
        <f t="shared" si="66"/>
        <v>-15717474.100000001</v>
      </c>
      <c r="XC149" s="294">
        <f t="shared" si="66"/>
        <v>-100838179.59999998</v>
      </c>
      <c r="XD149" s="294">
        <f t="shared" si="66"/>
        <v>-14851754.239999998</v>
      </c>
      <c r="XE149" s="294">
        <f t="shared" si="66"/>
        <v>-7387322.2700000014</v>
      </c>
      <c r="XF149" s="294">
        <f t="shared" si="66"/>
        <v>-7591449.2999999998</v>
      </c>
      <c r="XG149" s="294">
        <f t="shared" si="66"/>
        <v>-16917163.919999998</v>
      </c>
      <c r="XH149" s="294">
        <f t="shared" si="66"/>
        <v>-249461725.60999998</v>
      </c>
      <c r="XI149" s="294">
        <f t="shared" si="66"/>
        <v>-35796780.629999995</v>
      </c>
      <c r="XJ149" s="294">
        <f t="shared" si="66"/>
        <v>-42044721.530000001</v>
      </c>
      <c r="XK149" s="294">
        <f t="shared" si="66"/>
        <v>-166207825.80000004</v>
      </c>
      <c r="XL149" s="294">
        <f t="shared" si="66"/>
        <v>-19362225.930000003</v>
      </c>
      <c r="XM149" s="294">
        <f t="shared" si="66"/>
        <v>-19774057.560000002</v>
      </c>
      <c r="XN149" s="294">
        <f t="shared" si="66"/>
        <v>-72835714.370000005</v>
      </c>
      <c r="XO149" s="294">
        <f t="shared" si="66"/>
        <v>-21734092.149999999</v>
      </c>
      <c r="XP149" s="294">
        <f t="shared" si="66"/>
        <v>-22802899.849999998</v>
      </c>
      <c r="XQ149" s="294">
        <f t="shared" si="66"/>
        <v>-65753465.729999997</v>
      </c>
      <c r="XR149" s="294">
        <f t="shared" si="66"/>
        <v>-58267874.670000009</v>
      </c>
      <c r="XS149" s="294">
        <f t="shared" si="66"/>
        <v>-19387860.27</v>
      </c>
      <c r="XT149" s="294">
        <f t="shared" si="66"/>
        <v>-17929475.700000007</v>
      </c>
      <c r="XU149" s="294">
        <f t="shared" ref="XU149:AAF149" si="67">SUM(XU60:XU148)</f>
        <v>-13188004.6</v>
      </c>
      <c r="XV149" s="294">
        <f t="shared" si="67"/>
        <v>-15694948.310000002</v>
      </c>
      <c r="XW149" s="294">
        <f t="shared" si="67"/>
        <v>-14605917.449999999</v>
      </c>
      <c r="XX149" s="294">
        <f t="shared" si="67"/>
        <v>-9265630.0900000017</v>
      </c>
      <c r="XY149" s="294">
        <f t="shared" si="67"/>
        <v>-17832374.779999997</v>
      </c>
      <c r="XZ149" s="294">
        <f t="shared" si="67"/>
        <v>-10139317.49</v>
      </c>
      <c r="YA149" s="294">
        <f t="shared" si="67"/>
        <v>-8160013.919999999</v>
      </c>
      <c r="YB149" s="294">
        <f t="shared" si="67"/>
        <v>-10887708.33</v>
      </c>
      <c r="YC149" s="294">
        <f t="shared" si="67"/>
        <v>-16296628.699999999</v>
      </c>
      <c r="YD149" s="294">
        <f t="shared" si="67"/>
        <v>-16240186.5</v>
      </c>
      <c r="YE149" s="294">
        <f t="shared" si="67"/>
        <v>-344285190.18000007</v>
      </c>
      <c r="YF149" s="294">
        <f t="shared" si="67"/>
        <v>-23126497.079999994</v>
      </c>
      <c r="YG149" s="294">
        <f t="shared" si="67"/>
        <v>-53167180.479999997</v>
      </c>
      <c r="YH149" s="294">
        <f t="shared" si="67"/>
        <v>-12112039.92</v>
      </c>
      <c r="YI149" s="294">
        <f t="shared" si="67"/>
        <v>-100503068.73999999</v>
      </c>
      <c r="YJ149" s="294">
        <f t="shared" si="67"/>
        <v>-16188405.910000002</v>
      </c>
      <c r="YK149" s="294">
        <f t="shared" si="67"/>
        <v>-48508039.309999987</v>
      </c>
      <c r="YL149" s="294">
        <f t="shared" si="67"/>
        <v>-8768460.1999999993</v>
      </c>
      <c r="YM149" s="294">
        <f t="shared" si="67"/>
        <v>-118585345.02</v>
      </c>
      <c r="YN149" s="294">
        <f t="shared" si="67"/>
        <v>-52471152.359999999</v>
      </c>
      <c r="YO149" s="294">
        <f t="shared" si="67"/>
        <v>-15671751.580000002</v>
      </c>
      <c r="YP149" s="294">
        <f t="shared" si="67"/>
        <v>-13928593.07</v>
      </c>
      <c r="YQ149" s="294">
        <f t="shared" si="67"/>
        <v>-24588834.670000002</v>
      </c>
      <c r="YR149" s="294">
        <f t="shared" si="67"/>
        <v>-7788313.1400000006</v>
      </c>
      <c r="YS149" s="294">
        <f t="shared" si="67"/>
        <v>-10191592.299999999</v>
      </c>
      <c r="YT149" s="294">
        <f t="shared" si="67"/>
        <v>-24448834.800000001</v>
      </c>
      <c r="YU149" s="294">
        <f t="shared" si="67"/>
        <v>-8416008.5099999998</v>
      </c>
      <c r="YV149" s="294">
        <f t="shared" si="67"/>
        <v>-135523880.00999999</v>
      </c>
      <c r="YW149" s="294">
        <f t="shared" si="67"/>
        <v>-18216867.18</v>
      </c>
      <c r="YX149" s="294">
        <f t="shared" si="67"/>
        <v>-10597953.75</v>
      </c>
      <c r="YY149" s="294">
        <f t="shared" si="67"/>
        <v>-9787653.2899999991</v>
      </c>
      <c r="YZ149" s="294">
        <f t="shared" si="67"/>
        <v>-13804559.25</v>
      </c>
      <c r="ZA149" s="294">
        <f t="shared" si="67"/>
        <v>-11501631.930000002</v>
      </c>
      <c r="ZB149" s="294">
        <f t="shared" si="67"/>
        <v>-6117536.2299999995</v>
      </c>
      <c r="ZC149" s="294">
        <f t="shared" si="67"/>
        <v>-157376042.50000003</v>
      </c>
      <c r="ZD149" s="294">
        <f t="shared" si="67"/>
        <v>-6609551.3399999999</v>
      </c>
      <c r="ZE149" s="294">
        <f t="shared" si="67"/>
        <v>-17093590.219999999</v>
      </c>
      <c r="ZF149" s="294">
        <f t="shared" si="67"/>
        <v>-15841777.66</v>
      </c>
      <c r="ZG149" s="294">
        <f t="shared" si="67"/>
        <v>-12420844.08</v>
      </c>
      <c r="ZH149" s="294">
        <f t="shared" si="67"/>
        <v>-10164094.390000001</v>
      </c>
      <c r="ZI149" s="294">
        <f t="shared" si="67"/>
        <v>-17548397.629999999</v>
      </c>
      <c r="ZJ149" s="294">
        <f t="shared" si="67"/>
        <v>-9835758.75</v>
      </c>
      <c r="ZK149" s="294">
        <f t="shared" si="67"/>
        <v>-75640222.840000004</v>
      </c>
      <c r="ZL149" s="294">
        <f t="shared" si="67"/>
        <v>-423775096.3299998</v>
      </c>
      <c r="ZM149" s="294">
        <f t="shared" si="67"/>
        <v>-12612464.26</v>
      </c>
      <c r="ZN149" s="294">
        <f t="shared" si="67"/>
        <v>-37254017.530000001</v>
      </c>
      <c r="ZO149" s="294">
        <f t="shared" si="67"/>
        <v>-81870462.960000023</v>
      </c>
      <c r="ZP149" s="294">
        <f t="shared" si="67"/>
        <v>-44395214.389999993</v>
      </c>
      <c r="ZQ149" s="294">
        <f t="shared" si="67"/>
        <v>-14314478.34</v>
      </c>
      <c r="ZR149" s="294">
        <f t="shared" si="67"/>
        <v>-23521261.050000001</v>
      </c>
      <c r="ZS149" s="294">
        <f t="shared" si="67"/>
        <v>-41617835.159999996</v>
      </c>
      <c r="ZT149" s="294">
        <f t="shared" si="67"/>
        <v>-30616724.109999999</v>
      </c>
      <c r="ZU149" s="294">
        <f t="shared" si="67"/>
        <v>-66942879.620000012</v>
      </c>
      <c r="ZV149" s="294">
        <f t="shared" si="67"/>
        <v>-7510519.7999999989</v>
      </c>
      <c r="ZW149" s="294">
        <f t="shared" si="67"/>
        <v>-22850932.780000001</v>
      </c>
      <c r="ZX149" s="294">
        <f t="shared" si="67"/>
        <v>-13288533.510000002</v>
      </c>
      <c r="ZY149" s="294">
        <f t="shared" si="67"/>
        <v>-33538396.43</v>
      </c>
      <c r="ZZ149" s="294">
        <f t="shared" si="67"/>
        <v>-13496824.949999999</v>
      </c>
      <c r="AAA149" s="294">
        <f t="shared" si="67"/>
        <v>-15962702.879999999</v>
      </c>
      <c r="AAB149" s="294">
        <f t="shared" si="67"/>
        <v>-15953035.479999999</v>
      </c>
      <c r="AAC149" s="294">
        <f t="shared" si="67"/>
        <v>-7646778.1400000006</v>
      </c>
      <c r="AAD149" s="294">
        <f t="shared" si="67"/>
        <v>-29769940.720000003</v>
      </c>
      <c r="AAE149" s="294">
        <f t="shared" si="67"/>
        <v>-11064352.949999999</v>
      </c>
      <c r="AAF149" s="294">
        <f t="shared" si="67"/>
        <v>-6749544.2699999996</v>
      </c>
      <c r="AAG149" s="294">
        <f t="shared" ref="AAG149:ACR149" si="68">SUM(AAG60:AAG148)</f>
        <v>-10665868.9</v>
      </c>
      <c r="AAH149" s="294">
        <f t="shared" si="68"/>
        <v>-111723343.34</v>
      </c>
      <c r="AAI149" s="294">
        <f t="shared" si="68"/>
        <v>-18007452.780000001</v>
      </c>
      <c r="AAJ149" s="294">
        <f t="shared" si="68"/>
        <v>-23851049.789999995</v>
      </c>
      <c r="AAK149" s="294">
        <f t="shared" si="68"/>
        <v>-17633600.830000002</v>
      </c>
      <c r="AAL149" s="294">
        <f t="shared" si="68"/>
        <v>-9907728.4800000004</v>
      </c>
      <c r="AAM149" s="294">
        <f t="shared" si="68"/>
        <v>-35104109.310000002</v>
      </c>
      <c r="AAN149" s="294">
        <f t="shared" si="68"/>
        <v>-5489466.5300000003</v>
      </c>
      <c r="AAO149" s="294">
        <f t="shared" si="68"/>
        <v>-942139662.49000001</v>
      </c>
      <c r="AAP149" s="294">
        <f t="shared" si="68"/>
        <v>-34089773.120000005</v>
      </c>
      <c r="AAQ149" s="294">
        <f t="shared" si="68"/>
        <v>-22670680.469999999</v>
      </c>
      <c r="AAR149" s="294">
        <f t="shared" si="68"/>
        <v>-46302229.670000002</v>
      </c>
      <c r="AAS149" s="294">
        <f t="shared" si="68"/>
        <v>-57538152.25</v>
      </c>
      <c r="AAT149" s="294">
        <f t="shared" si="68"/>
        <v>-11726616.26</v>
      </c>
      <c r="AAU149" s="294">
        <f t="shared" si="68"/>
        <v>-22464510.499999996</v>
      </c>
      <c r="AAV149" s="294">
        <f t="shared" si="68"/>
        <v>-36983055.75999999</v>
      </c>
      <c r="AAW149" s="294">
        <f t="shared" si="68"/>
        <v>-120019014.93000001</v>
      </c>
      <c r="AAX149" s="294">
        <f t="shared" si="68"/>
        <v>-26345480.130000003</v>
      </c>
      <c r="AAY149" s="294">
        <f t="shared" si="68"/>
        <v>-41877886.369999997</v>
      </c>
      <c r="AAZ149" s="294">
        <f t="shared" si="68"/>
        <v>-193445142.09</v>
      </c>
      <c r="ABA149" s="294">
        <f t="shared" si="68"/>
        <v>-48784685.780000001</v>
      </c>
      <c r="ABB149" s="294">
        <f t="shared" si="68"/>
        <v>-17096705.370000001</v>
      </c>
      <c r="ABC149" s="294">
        <f t="shared" si="68"/>
        <v>-27419754.309999995</v>
      </c>
      <c r="ABD149" s="294">
        <f t="shared" si="68"/>
        <v>-23709104.089999996</v>
      </c>
      <c r="ABE149" s="294">
        <f t="shared" si="68"/>
        <v>-8005117.1399999987</v>
      </c>
      <c r="ABF149" s="294">
        <f t="shared" si="68"/>
        <v>-15355260.34</v>
      </c>
      <c r="ABG149" s="294">
        <f t="shared" si="68"/>
        <v>-17196626.23</v>
      </c>
      <c r="ABH149" s="294">
        <f t="shared" si="68"/>
        <v>-145779413.98000005</v>
      </c>
      <c r="ABI149" s="294">
        <f t="shared" si="68"/>
        <v>-134564420.19</v>
      </c>
      <c r="ABJ149" s="294">
        <f t="shared" si="68"/>
        <v>-23769586.100000001</v>
      </c>
      <c r="ABK149" s="294">
        <f t="shared" si="68"/>
        <v>-13312373.9</v>
      </c>
      <c r="ABL149" s="294">
        <f t="shared" si="68"/>
        <v>-20265937.130000003</v>
      </c>
      <c r="ABM149" s="294">
        <f t="shared" si="68"/>
        <v>-9314983.6600000001</v>
      </c>
      <c r="ABN149" s="294">
        <f t="shared" si="68"/>
        <v>-11423993.65</v>
      </c>
      <c r="ABO149" s="294">
        <f t="shared" si="68"/>
        <v>-219725166.36000001</v>
      </c>
      <c r="ABP149" s="294">
        <f t="shared" si="68"/>
        <v>-17766596.760000002</v>
      </c>
      <c r="ABQ149" s="294">
        <f t="shared" si="68"/>
        <v>-25193201.370000001</v>
      </c>
      <c r="ABR149" s="294">
        <f t="shared" si="68"/>
        <v>-36915630.669999994</v>
      </c>
      <c r="ABS149" s="294">
        <f t="shared" si="68"/>
        <v>-32202067.75</v>
      </c>
      <c r="ABT149" s="294">
        <f t="shared" si="68"/>
        <v>-16282565.32</v>
      </c>
      <c r="ABU149" s="294">
        <f t="shared" si="68"/>
        <v>-10532900.280000001</v>
      </c>
      <c r="ABV149" s="294">
        <f t="shared" si="68"/>
        <v>-17254365.449999999</v>
      </c>
      <c r="ABW149" s="294">
        <f t="shared" si="68"/>
        <v>-1819708.9200000002</v>
      </c>
      <c r="ABX149" s="294">
        <f t="shared" si="68"/>
        <v>-502683075.15000004</v>
      </c>
      <c r="ABY149" s="294">
        <f t="shared" si="68"/>
        <v>-16004399.92</v>
      </c>
      <c r="ABZ149" s="294">
        <f t="shared" si="68"/>
        <v>-25067373.959999997</v>
      </c>
      <c r="ACA149" s="294">
        <f t="shared" si="68"/>
        <v>-9849288.9699999988</v>
      </c>
      <c r="ACB149" s="294">
        <f t="shared" si="68"/>
        <v>-16858095.18</v>
      </c>
      <c r="ACC149" s="294">
        <f t="shared" si="68"/>
        <v>-126091847.48999998</v>
      </c>
      <c r="ACD149" s="294">
        <f t="shared" si="68"/>
        <v>-5334582.32</v>
      </c>
      <c r="ACE149" s="294">
        <f t="shared" si="68"/>
        <v>-12747511.839999998</v>
      </c>
      <c r="ACF149" s="294">
        <f t="shared" si="68"/>
        <v>-14859851.669999998</v>
      </c>
      <c r="ACG149" s="294">
        <f t="shared" si="68"/>
        <v>-31540557.169999998</v>
      </c>
      <c r="ACH149" s="294">
        <f t="shared" si="68"/>
        <v>-21637979.660000004</v>
      </c>
      <c r="ACI149" s="294">
        <f t="shared" si="68"/>
        <v>-316455432.66000003</v>
      </c>
      <c r="ACJ149" s="294">
        <f t="shared" si="68"/>
        <v>-15882743.43</v>
      </c>
      <c r="ACK149" s="294">
        <f t="shared" si="68"/>
        <v>-28749665.289999999</v>
      </c>
      <c r="ACL149" s="294">
        <f t="shared" si="68"/>
        <v>-49503996.190000013</v>
      </c>
      <c r="ACM149" s="294">
        <f t="shared" si="68"/>
        <v>-12978116.689999999</v>
      </c>
      <c r="ACN149" s="294">
        <f t="shared" si="68"/>
        <v>-51847501.760000005</v>
      </c>
      <c r="ACO149" s="294">
        <f t="shared" si="68"/>
        <v>-18557836.469999999</v>
      </c>
      <c r="ACP149" s="294">
        <f t="shared" si="68"/>
        <v>-160561851.08999997</v>
      </c>
      <c r="ACQ149" s="294">
        <f t="shared" si="68"/>
        <v>-166795267.06</v>
      </c>
      <c r="ACR149" s="294">
        <f t="shared" si="68"/>
        <v>-31021808.230000004</v>
      </c>
      <c r="ACS149" s="294">
        <f t="shared" ref="ACS149:AFD149" si="69">SUM(ACS60:ACS148)</f>
        <v>-57224960.130000003</v>
      </c>
      <c r="ACT149" s="294">
        <f t="shared" si="69"/>
        <v>-46548532.870000005</v>
      </c>
      <c r="ACU149" s="294">
        <f t="shared" si="69"/>
        <v>-28862572.110000003</v>
      </c>
      <c r="ACV149" s="294">
        <f t="shared" si="69"/>
        <v>-105394284.53</v>
      </c>
      <c r="ACW149" s="294">
        <f t="shared" si="69"/>
        <v>-23725454.27</v>
      </c>
      <c r="ACX149" s="294">
        <f t="shared" si="69"/>
        <v>-18972581.91</v>
      </c>
      <c r="ACY149" s="294">
        <f t="shared" si="69"/>
        <v>-24923081.140000001</v>
      </c>
      <c r="ACZ149" s="294">
        <f t="shared" si="69"/>
        <v>-21088335.309999999</v>
      </c>
      <c r="ADA149" s="294">
        <f t="shared" si="69"/>
        <v>-19213064.449999999</v>
      </c>
      <c r="ADB149" s="294">
        <f t="shared" si="69"/>
        <v>-10505365.41</v>
      </c>
      <c r="ADC149" s="294">
        <f t="shared" si="69"/>
        <v>-25200140.150000002</v>
      </c>
      <c r="ADD149" s="294">
        <f t="shared" si="69"/>
        <v>-11333680.189999999</v>
      </c>
      <c r="ADE149" s="294">
        <f t="shared" si="69"/>
        <v>-11462999.690000001</v>
      </c>
      <c r="ADF149" s="294">
        <f t="shared" si="69"/>
        <v>-104654217.94000001</v>
      </c>
      <c r="ADG149" s="294">
        <f t="shared" si="69"/>
        <v>-59647117.279999986</v>
      </c>
      <c r="ADH149" s="294">
        <f t="shared" si="69"/>
        <v>-4916717.6500000013</v>
      </c>
      <c r="ADI149" s="294">
        <f t="shared" si="69"/>
        <v>-11786602.84</v>
      </c>
      <c r="ADJ149" s="294">
        <f t="shared" si="69"/>
        <v>-31562618.920000002</v>
      </c>
      <c r="ADK149" s="294">
        <f t="shared" si="69"/>
        <v>-14517305.220000001</v>
      </c>
      <c r="ADL149" s="294">
        <f t="shared" si="69"/>
        <v>-19930830.899999999</v>
      </c>
      <c r="ADM149" s="294">
        <f t="shared" si="69"/>
        <v>-18004936.539999999</v>
      </c>
      <c r="ADN149" s="294">
        <f t="shared" si="69"/>
        <v>-33928301</v>
      </c>
      <c r="ADO149" s="294">
        <f t="shared" si="69"/>
        <v>-551650207.38000011</v>
      </c>
      <c r="ADP149" s="294">
        <f t="shared" si="69"/>
        <v>-79660705.200000003</v>
      </c>
      <c r="ADQ149" s="294">
        <f t="shared" si="69"/>
        <v>-44645834.680000007</v>
      </c>
      <c r="ADR149" s="294">
        <f t="shared" si="69"/>
        <v>-4460287.2300000004</v>
      </c>
      <c r="ADS149" s="294">
        <f t="shared" si="69"/>
        <v>-161131792.48999998</v>
      </c>
      <c r="ADT149" s="294">
        <f t="shared" si="69"/>
        <v>-7172994.6299999999</v>
      </c>
      <c r="ADU149" s="294">
        <f t="shared" si="69"/>
        <v>-21629823.899999999</v>
      </c>
      <c r="ADV149" s="294">
        <f t="shared" si="69"/>
        <v>-18926752.16</v>
      </c>
      <c r="ADW149" s="294">
        <f t="shared" si="69"/>
        <v>-8276595.3300000001</v>
      </c>
      <c r="ADX149" s="294">
        <f t="shared" si="69"/>
        <v>-5822981.040000001</v>
      </c>
      <c r="ADY149" s="294">
        <f t="shared" si="69"/>
        <v>-616613811.97000003</v>
      </c>
      <c r="ADZ149" s="294">
        <f t="shared" si="69"/>
        <v>-162250085.32999998</v>
      </c>
      <c r="AEA149" s="294">
        <f t="shared" si="69"/>
        <v>-101837250.94999999</v>
      </c>
      <c r="AEB149" s="294">
        <f t="shared" si="69"/>
        <v>-35848188.780000001</v>
      </c>
      <c r="AEC149" s="294">
        <f t="shared" si="69"/>
        <v>-19712271</v>
      </c>
      <c r="AED149" s="294">
        <f t="shared" si="69"/>
        <v>-47358698.759999998</v>
      </c>
      <c r="AEE149" s="294">
        <f t="shared" si="69"/>
        <v>-33465348.029999997</v>
      </c>
      <c r="AEF149" s="294">
        <f t="shared" si="69"/>
        <v>-23740596.610000003</v>
      </c>
      <c r="AEG149" s="294">
        <f t="shared" si="69"/>
        <v>-14997730.100000001</v>
      </c>
      <c r="AEH149" s="294">
        <f t="shared" si="69"/>
        <v>-14263362.280000003</v>
      </c>
      <c r="AEI149" s="294">
        <f t="shared" si="69"/>
        <v>-39308561.959999993</v>
      </c>
      <c r="AEJ149" s="294">
        <f t="shared" si="69"/>
        <v>-18346541.929999996</v>
      </c>
      <c r="AEK149" s="294">
        <f t="shared" si="69"/>
        <v>-11346607.32</v>
      </c>
      <c r="AEL149" s="294">
        <f t="shared" si="69"/>
        <v>-23904329.649999999</v>
      </c>
      <c r="AEM149" s="294">
        <f t="shared" si="69"/>
        <v>-32987971.289999999</v>
      </c>
      <c r="AEN149" s="294">
        <f t="shared" si="69"/>
        <v>-33728495.469999991</v>
      </c>
      <c r="AEO149" s="294">
        <f t="shared" si="69"/>
        <v>-8384319.4699999997</v>
      </c>
      <c r="AEP149" s="294">
        <f t="shared" si="69"/>
        <v>-76409583.899999991</v>
      </c>
      <c r="AEQ149" s="294">
        <f t="shared" si="69"/>
        <v>-6396714.9800000004</v>
      </c>
      <c r="AER149" s="294">
        <f t="shared" si="69"/>
        <v>-61544051.82</v>
      </c>
      <c r="AES149" s="294">
        <f t="shared" si="69"/>
        <v>-252607591.70000014</v>
      </c>
      <c r="AET149" s="294">
        <f t="shared" si="69"/>
        <v>-42987756.829999991</v>
      </c>
      <c r="AEU149" s="294">
        <f t="shared" si="69"/>
        <v>-25464716.950000003</v>
      </c>
      <c r="AEV149" s="294">
        <f t="shared" si="69"/>
        <v>-31574799.5</v>
      </c>
      <c r="AEW149" s="294">
        <f t="shared" si="69"/>
        <v>-16465332.290000001</v>
      </c>
      <c r="AEX149" s="294">
        <f t="shared" si="69"/>
        <v>-82269201.289999977</v>
      </c>
      <c r="AEY149" s="294">
        <f t="shared" si="69"/>
        <v>-29588446.219999999</v>
      </c>
      <c r="AEZ149" s="294">
        <f t="shared" si="69"/>
        <v>-32027676.359999996</v>
      </c>
      <c r="AFA149" s="294">
        <f t="shared" si="69"/>
        <v>-26954943.710000001</v>
      </c>
      <c r="AFB149" s="294">
        <f t="shared" si="69"/>
        <v>-12458084.330000002</v>
      </c>
      <c r="AFC149" s="294">
        <f t="shared" si="69"/>
        <v>-262821302.67000002</v>
      </c>
      <c r="AFD149" s="294">
        <f t="shared" si="69"/>
        <v>-45334700.380000003</v>
      </c>
      <c r="AFE149" s="294">
        <f t="shared" ref="AFE149:AHP149" si="70">SUM(AFE60:AFE148)</f>
        <v>-32245127.109999999</v>
      </c>
      <c r="AFF149" s="294">
        <f t="shared" si="70"/>
        <v>-20689794.810000002</v>
      </c>
      <c r="AFG149" s="294">
        <f t="shared" si="70"/>
        <v>-34869721.810000002</v>
      </c>
      <c r="AFH149" s="294">
        <f t="shared" si="70"/>
        <v>-28454241.190000001</v>
      </c>
      <c r="AFI149" s="294">
        <f t="shared" si="70"/>
        <v>-20864379.68</v>
      </c>
      <c r="AFJ149" s="294">
        <f t="shared" si="70"/>
        <v>-20806892.249999996</v>
      </c>
      <c r="AFK149" s="294">
        <f t="shared" si="70"/>
        <v>-12652751.529999999</v>
      </c>
      <c r="AFL149" s="294">
        <f t="shared" si="70"/>
        <v>-29458553.349999998</v>
      </c>
      <c r="AFM149" s="294">
        <f t="shared" si="70"/>
        <v>-16985275.5</v>
      </c>
      <c r="AFN149" s="294">
        <f t="shared" si="70"/>
        <v>-14573696.769999998</v>
      </c>
      <c r="AFO149" s="294">
        <f t="shared" si="70"/>
        <v>-31158308.130000003</v>
      </c>
      <c r="AFP149" s="294">
        <f t="shared" si="70"/>
        <v>-244660853.61000001</v>
      </c>
      <c r="AFQ149" s="294">
        <f t="shared" si="70"/>
        <v>-51028750.299999997</v>
      </c>
      <c r="AFR149" s="294">
        <f t="shared" si="70"/>
        <v>-43752310.200000003</v>
      </c>
      <c r="AFS149" s="294">
        <f t="shared" si="70"/>
        <v>-26998544.340000011</v>
      </c>
      <c r="AFT149" s="294">
        <f t="shared" si="70"/>
        <v>-30489036.130000003</v>
      </c>
      <c r="AFU149" s="294">
        <f t="shared" si="70"/>
        <v>-30072269.010000005</v>
      </c>
      <c r="AFV149" s="294">
        <f t="shared" si="70"/>
        <v>-12037456.77</v>
      </c>
      <c r="AFW149" s="294">
        <f t="shared" si="70"/>
        <v>-42948690.68999999</v>
      </c>
      <c r="AFX149" s="294">
        <f t="shared" si="70"/>
        <v>-54816104.559999995</v>
      </c>
      <c r="AFY149" s="294">
        <f t="shared" si="70"/>
        <v>-15808457.859999998</v>
      </c>
      <c r="AFZ149" s="294">
        <f t="shared" si="70"/>
        <v>-66160207.339999989</v>
      </c>
      <c r="AGA149" s="294">
        <f t="shared" si="70"/>
        <v>-16319193.27</v>
      </c>
      <c r="AGB149" s="294">
        <f t="shared" si="70"/>
        <v>-169170972.56</v>
      </c>
      <c r="AGC149" s="294">
        <f t="shared" si="70"/>
        <v>-21112217.43</v>
      </c>
      <c r="AGD149" s="294">
        <f t="shared" si="70"/>
        <v>-18269268.709999997</v>
      </c>
      <c r="AGE149" s="294">
        <f t="shared" si="70"/>
        <v>-18713248.59</v>
      </c>
      <c r="AGF149" s="294">
        <f t="shared" si="70"/>
        <v>-46052903.740000017</v>
      </c>
      <c r="AGG149" s="294">
        <f t="shared" si="70"/>
        <v>-24527923.07</v>
      </c>
      <c r="AGH149" s="294">
        <f t="shared" si="70"/>
        <v>-9952895.4900000002</v>
      </c>
      <c r="AGI149" s="294">
        <f t="shared" si="70"/>
        <v>-12799039.82</v>
      </c>
      <c r="AGJ149" s="294">
        <f t="shared" si="70"/>
        <v>-9196058.2300000004</v>
      </c>
      <c r="AGK149" s="294">
        <f t="shared" si="70"/>
        <v>-15417004.770000001</v>
      </c>
      <c r="AGL149" s="294">
        <f t="shared" si="70"/>
        <v>-16403896.550000001</v>
      </c>
      <c r="AGM149" s="294">
        <f t="shared" si="70"/>
        <v>-157026519.04999998</v>
      </c>
      <c r="AGN149" s="294">
        <f t="shared" si="70"/>
        <v>-49052631.43999999</v>
      </c>
      <c r="AGO149" s="294">
        <f t="shared" si="70"/>
        <v>-31051752.860000007</v>
      </c>
      <c r="AGP149" s="294">
        <f t="shared" si="70"/>
        <v>-11105093.289999997</v>
      </c>
      <c r="AGQ149" s="294">
        <f t="shared" si="70"/>
        <v>-37281762.31000001</v>
      </c>
      <c r="AGR149" s="294">
        <f t="shared" si="70"/>
        <v>-38166314.060000002</v>
      </c>
      <c r="AGS149" s="294">
        <f t="shared" si="70"/>
        <v>-19089478.829999998</v>
      </c>
      <c r="AGT149" s="294">
        <f t="shared" si="70"/>
        <v>-18431512.140000001</v>
      </c>
      <c r="AGU149" s="294">
        <f t="shared" si="70"/>
        <v>-475279952.24000001</v>
      </c>
      <c r="AGV149" s="294">
        <f t="shared" si="70"/>
        <v>-511950808.74000001</v>
      </c>
      <c r="AGW149" s="294">
        <f t="shared" si="70"/>
        <v>-25758016.120000008</v>
      </c>
      <c r="AGX149" s="294">
        <f t="shared" si="70"/>
        <v>-36824491.860000007</v>
      </c>
      <c r="AGY149" s="294">
        <f t="shared" si="70"/>
        <v>-70847197.039999992</v>
      </c>
      <c r="AGZ149" s="294">
        <f t="shared" si="70"/>
        <v>-14349630.410000002</v>
      </c>
      <c r="AHA149" s="294">
        <f t="shared" si="70"/>
        <v>-23882535.699999999</v>
      </c>
      <c r="AHB149" s="294">
        <f t="shared" si="70"/>
        <v>-30443827.460000001</v>
      </c>
      <c r="AHC149" s="294">
        <f t="shared" si="70"/>
        <v>-7321030.2700000005</v>
      </c>
      <c r="AHD149" s="294">
        <f t="shared" si="70"/>
        <v>-45661781.759999998</v>
      </c>
      <c r="AHE149" s="294">
        <f t="shared" si="70"/>
        <v>-45243332.380000003</v>
      </c>
      <c r="AHF149" s="294">
        <f t="shared" si="70"/>
        <v>-21700216.870000001</v>
      </c>
      <c r="AHG149" s="294">
        <f t="shared" si="70"/>
        <v>-12754733.34</v>
      </c>
      <c r="AHH149" s="294">
        <f t="shared" si="70"/>
        <v>-25303281.82</v>
      </c>
      <c r="AHI149" s="294">
        <f t="shared" si="70"/>
        <v>-9948465.1699999981</v>
      </c>
      <c r="AHJ149" s="294">
        <f t="shared" si="70"/>
        <v>-11160880.219999999</v>
      </c>
      <c r="AHK149" s="294">
        <f t="shared" si="70"/>
        <v>-18328081.489999998</v>
      </c>
      <c r="AHL149" s="294">
        <f t="shared" si="70"/>
        <v>-165958521.68000001</v>
      </c>
      <c r="AHM149" s="294">
        <f t="shared" si="70"/>
        <v>-10276109.899999999</v>
      </c>
      <c r="AHN149" s="294">
        <f t="shared" si="70"/>
        <v>-12835276.609999999</v>
      </c>
      <c r="AHO149" s="294">
        <f t="shared" si="70"/>
        <v>-12864904.66</v>
      </c>
      <c r="AHP149" s="294">
        <f t="shared" si="70"/>
        <v>-24135164.989999998</v>
      </c>
      <c r="AHQ149" s="294">
        <f t="shared" ref="AHQ149:AHS149" si="71">SUM(AHQ60:AHQ148)</f>
        <v>-10418254.089999998</v>
      </c>
      <c r="AHR149" s="294">
        <f t="shared" si="71"/>
        <v>-19150849.91</v>
      </c>
      <c r="AHS149" s="294">
        <f t="shared" si="71"/>
        <v>-52112287585.731018</v>
      </c>
    </row>
    <row r="150" spans="1:907" ht="24.6" x14ac:dyDescent="0.7">
      <c r="B150" s="417" t="s">
        <v>653</v>
      </c>
      <c r="C150" s="418" t="s">
        <v>6242</v>
      </c>
      <c r="D150" s="294">
        <f>D149</f>
        <v>-185687637.36000001</v>
      </c>
      <c r="E150" s="294">
        <f t="shared" ref="E150:BP150" si="72">E149</f>
        <v>-32625369.149999999</v>
      </c>
      <c r="F150" s="294">
        <f t="shared" si="72"/>
        <v>-55902491.469999991</v>
      </c>
      <c r="G150" s="294">
        <f t="shared" si="72"/>
        <v>-8628021.6199999992</v>
      </c>
      <c r="H150" s="294">
        <f t="shared" si="72"/>
        <v>-53637755.619999997</v>
      </c>
      <c r="I150" s="294">
        <f t="shared" si="72"/>
        <v>-8674467.7400000002</v>
      </c>
      <c r="J150" s="294">
        <f t="shared" si="72"/>
        <v>-67329534.999999985</v>
      </c>
      <c r="K150" s="294">
        <f t="shared" si="72"/>
        <v>-10403497.25</v>
      </c>
      <c r="L150" s="294">
        <f t="shared" si="72"/>
        <v>-22859489.639999997</v>
      </c>
      <c r="M150" s="294">
        <f t="shared" si="72"/>
        <v>-20865398.600000001</v>
      </c>
      <c r="N150" s="294">
        <f t="shared" si="72"/>
        <v>-19968872.159999996</v>
      </c>
      <c r="O150" s="294">
        <f t="shared" si="72"/>
        <v>-14340392.220000001</v>
      </c>
      <c r="P150" s="294">
        <f t="shared" si="72"/>
        <v>-65272961.409999996</v>
      </c>
      <c r="Q150" s="294">
        <f t="shared" si="72"/>
        <v>-14960626.77</v>
      </c>
      <c r="R150" s="294">
        <f t="shared" si="72"/>
        <v>-9457812.9299999978</v>
      </c>
      <c r="S150" s="294">
        <f t="shared" si="72"/>
        <v>-51765080.43</v>
      </c>
      <c r="T150" s="294">
        <f t="shared" si="72"/>
        <v>-17421222.990000002</v>
      </c>
      <c r="U150" s="294">
        <f t="shared" si="72"/>
        <v>-9645587.0699999984</v>
      </c>
      <c r="V150" s="294">
        <f t="shared" si="72"/>
        <v>-422538504.74000001</v>
      </c>
      <c r="W150" s="294">
        <f t="shared" si="72"/>
        <v>-94102965.499999985</v>
      </c>
      <c r="X150" s="294">
        <f t="shared" si="72"/>
        <v>-15542162.219999999</v>
      </c>
      <c r="Y150" s="294">
        <f t="shared" si="72"/>
        <v>-14369225.440000001</v>
      </c>
      <c r="Z150" s="294">
        <f t="shared" si="72"/>
        <v>-31625993.809999999</v>
      </c>
      <c r="AA150" s="294">
        <f t="shared" si="72"/>
        <v>-32203342.830000006</v>
      </c>
      <c r="AB150" s="294">
        <f t="shared" si="72"/>
        <v>-28294395.280000001</v>
      </c>
      <c r="AC150" s="294">
        <f t="shared" si="72"/>
        <v>-177880832.43000001</v>
      </c>
      <c r="AD150" s="294">
        <f t="shared" si="72"/>
        <v>-48036851.160000011</v>
      </c>
      <c r="AE150" s="294">
        <f t="shared" si="72"/>
        <v>-51298717.449999996</v>
      </c>
      <c r="AF150" s="294">
        <f t="shared" si="72"/>
        <v>-162296117.94000003</v>
      </c>
      <c r="AG150" s="294">
        <f t="shared" si="72"/>
        <v>-43907139.299999997</v>
      </c>
      <c r="AH150" s="294">
        <f t="shared" si="72"/>
        <v>-129491421.08999996</v>
      </c>
      <c r="AI150" s="294">
        <f t="shared" si="72"/>
        <v>-71932099.209999993</v>
      </c>
      <c r="AJ150" s="294">
        <f t="shared" si="72"/>
        <v>-26980470.489999991</v>
      </c>
      <c r="AK150" s="294">
        <f t="shared" si="72"/>
        <v>-21348384.619999997</v>
      </c>
      <c r="AL150" s="294">
        <f t="shared" si="72"/>
        <v>-24000059.990000002</v>
      </c>
      <c r="AM150" s="294">
        <f t="shared" si="72"/>
        <v>-45453142.210000001</v>
      </c>
      <c r="AN150" s="294">
        <f t="shared" si="72"/>
        <v>-33162585.929999996</v>
      </c>
      <c r="AO150" s="294">
        <f t="shared" si="72"/>
        <v>-29127667.489999998</v>
      </c>
      <c r="AP150" s="294">
        <f t="shared" si="72"/>
        <v>-19271132.710000005</v>
      </c>
      <c r="AQ150" s="294">
        <f t="shared" si="72"/>
        <v>-19662729.440000001</v>
      </c>
      <c r="AR150" s="294">
        <f t="shared" si="72"/>
        <v>-30963099.5</v>
      </c>
      <c r="AS150" s="294">
        <f t="shared" si="72"/>
        <v>-18303335.469999999</v>
      </c>
      <c r="AT150" s="294">
        <f t="shared" si="72"/>
        <v>-141655507.14999998</v>
      </c>
      <c r="AU150" s="294">
        <f t="shared" si="72"/>
        <v>-4608444.7700000005</v>
      </c>
      <c r="AV150" s="294">
        <f t="shared" si="72"/>
        <v>-6444850.3600000013</v>
      </c>
      <c r="AW150" s="294">
        <f t="shared" si="72"/>
        <v>-9491182.0199999996</v>
      </c>
      <c r="AX150" s="294">
        <f t="shared" si="72"/>
        <v>-21694477.75</v>
      </c>
      <c r="AY150" s="294">
        <f t="shared" si="72"/>
        <v>-28175908.840000004</v>
      </c>
      <c r="AZ150" s="294">
        <f t="shared" si="72"/>
        <v>-4159066.11</v>
      </c>
      <c r="BA150" s="294">
        <f t="shared" si="72"/>
        <v>-6243905.7699999996</v>
      </c>
      <c r="BB150" s="294">
        <f t="shared" si="72"/>
        <v>-2909741.4099999997</v>
      </c>
      <c r="BC150" s="294">
        <f t="shared" si="72"/>
        <v>-5738761.7999999998</v>
      </c>
      <c r="BD150" s="294">
        <f t="shared" si="72"/>
        <v>-4136259.7699999996</v>
      </c>
      <c r="BE150" s="294">
        <f t="shared" si="72"/>
        <v>-8901575.040000001</v>
      </c>
      <c r="BF150" s="294">
        <f t="shared" si="72"/>
        <v>-46671593.869999997</v>
      </c>
      <c r="BG150" s="294">
        <f t="shared" si="72"/>
        <v>-4224400.3900000006</v>
      </c>
      <c r="BH150" s="294">
        <f t="shared" si="72"/>
        <v>-11609491.669999998</v>
      </c>
      <c r="BI150" s="294">
        <f t="shared" si="72"/>
        <v>-240674779.27000001</v>
      </c>
      <c r="BJ150" s="294">
        <f t="shared" si="72"/>
        <v>-96918236.679999977</v>
      </c>
      <c r="BK150" s="294">
        <f t="shared" si="72"/>
        <v>-24977455.890000004</v>
      </c>
      <c r="BL150" s="294">
        <f t="shared" si="72"/>
        <v>-13034194.810000001</v>
      </c>
      <c r="BM150" s="294">
        <f t="shared" si="72"/>
        <v>-33729116.390000001</v>
      </c>
      <c r="BN150" s="294">
        <f t="shared" si="72"/>
        <v>-17182325.449999999</v>
      </c>
      <c r="BO150" s="294">
        <f t="shared" si="72"/>
        <v>-13956753.460000001</v>
      </c>
      <c r="BP150" s="294">
        <f t="shared" si="72"/>
        <v>-5342231.8900000006</v>
      </c>
      <c r="BQ150" s="294">
        <f t="shared" ref="BQ150:EB150" si="73">BQ149</f>
        <v>-3246585.0000000005</v>
      </c>
      <c r="BR150" s="294">
        <f t="shared" si="73"/>
        <v>-128890907.89000002</v>
      </c>
      <c r="BS150" s="294">
        <f t="shared" si="73"/>
        <v>-6108269.9399999995</v>
      </c>
      <c r="BT150" s="294">
        <f t="shared" si="73"/>
        <v>-6547792.6400000006</v>
      </c>
      <c r="BU150" s="294">
        <f t="shared" si="73"/>
        <v>-17118162.450000003</v>
      </c>
      <c r="BV150" s="294">
        <f t="shared" si="73"/>
        <v>-11537651.680000002</v>
      </c>
      <c r="BW150" s="294">
        <f t="shared" si="73"/>
        <v>-7813592.7500000009</v>
      </c>
      <c r="BX150" s="294">
        <f t="shared" si="73"/>
        <v>-6269218.0600000005</v>
      </c>
      <c r="BY150" s="294">
        <f t="shared" si="73"/>
        <v>-8040118.9000000004</v>
      </c>
      <c r="BZ150" s="294">
        <f t="shared" si="73"/>
        <v>-98460412.733000025</v>
      </c>
      <c r="CA150" s="294">
        <f t="shared" si="73"/>
        <v>-19917043.779999997</v>
      </c>
      <c r="CB150" s="294">
        <f t="shared" si="73"/>
        <v>-27960115.630000003</v>
      </c>
      <c r="CC150" s="294">
        <f t="shared" si="73"/>
        <v>-49707870.990000002</v>
      </c>
      <c r="CD150" s="294">
        <f t="shared" si="73"/>
        <v>-15367709.790000001</v>
      </c>
      <c r="CE150" s="294">
        <f t="shared" si="73"/>
        <v>-12709717.99</v>
      </c>
      <c r="CF150" s="294">
        <f t="shared" si="73"/>
        <v>-13691932.740000002</v>
      </c>
      <c r="CG150" s="294">
        <f t="shared" si="73"/>
        <v>-82918885.979999989</v>
      </c>
      <c r="CH150" s="294">
        <f t="shared" si="73"/>
        <v>-12541973.670000002</v>
      </c>
      <c r="CI150" s="294">
        <f t="shared" si="73"/>
        <v>-38518894.149999999</v>
      </c>
      <c r="CJ150" s="294">
        <f t="shared" si="73"/>
        <v>-7180687.71</v>
      </c>
      <c r="CK150" s="294">
        <f t="shared" si="73"/>
        <v>-12141668.790000001</v>
      </c>
      <c r="CL150" s="294">
        <f t="shared" si="73"/>
        <v>-14481748.159999998</v>
      </c>
      <c r="CM150" s="294">
        <f t="shared" si="73"/>
        <v>-8710007.370000001</v>
      </c>
      <c r="CN150" s="294">
        <f t="shared" si="73"/>
        <v>-21739399.099999998</v>
      </c>
      <c r="CO150" s="294">
        <f t="shared" si="73"/>
        <v>-3644592.2</v>
      </c>
      <c r="CP150" s="294">
        <f t="shared" si="73"/>
        <v>-14140497.039999999</v>
      </c>
      <c r="CQ150" s="294">
        <f t="shared" si="73"/>
        <v>-9094485.8300000019</v>
      </c>
      <c r="CR150" s="294">
        <f t="shared" si="73"/>
        <v>-11744872.509999998</v>
      </c>
      <c r="CS150" s="294">
        <f t="shared" si="73"/>
        <v>-8729872.4699999988</v>
      </c>
      <c r="CT150" s="294">
        <f t="shared" si="73"/>
        <v>-173430229.38999999</v>
      </c>
      <c r="CU150" s="294">
        <f t="shared" si="73"/>
        <v>-7313899.6899999995</v>
      </c>
      <c r="CV150" s="294">
        <f t="shared" si="73"/>
        <v>-15986861.08</v>
      </c>
      <c r="CW150" s="294">
        <f t="shared" si="73"/>
        <v>-34793932.930000007</v>
      </c>
      <c r="CX150" s="294">
        <f t="shared" si="73"/>
        <v>-4226518.7200000007</v>
      </c>
      <c r="CY150" s="294">
        <f t="shared" si="73"/>
        <v>-24215941.079999998</v>
      </c>
      <c r="CZ150" s="294">
        <f t="shared" si="73"/>
        <v>-10936101.380000001</v>
      </c>
      <c r="DA150" s="294">
        <f t="shared" si="73"/>
        <v>-8364873.0200000005</v>
      </c>
      <c r="DB150" s="294">
        <f t="shared" si="73"/>
        <v>-155339693.21000001</v>
      </c>
      <c r="DC150" s="294">
        <f t="shared" si="73"/>
        <v>-271587028.53999996</v>
      </c>
      <c r="DD150" s="294">
        <f t="shared" si="73"/>
        <v>-20341697.809999999</v>
      </c>
      <c r="DE150" s="294">
        <f t="shared" si="73"/>
        <v>-22662987.52</v>
      </c>
      <c r="DF150" s="294">
        <f t="shared" si="73"/>
        <v>-27464327.949999999</v>
      </c>
      <c r="DG150" s="294">
        <f t="shared" si="73"/>
        <v>-30634751.649999999</v>
      </c>
      <c r="DH150" s="294">
        <f t="shared" si="73"/>
        <v>-45075194.850000001</v>
      </c>
      <c r="DI150" s="294">
        <f t="shared" si="73"/>
        <v>-31947935.659999996</v>
      </c>
      <c r="DJ150" s="294">
        <f t="shared" si="73"/>
        <v>-17007791.229999997</v>
      </c>
      <c r="DK150" s="294">
        <f t="shared" si="73"/>
        <v>-409683177.09999996</v>
      </c>
      <c r="DL150" s="294">
        <f t="shared" si="73"/>
        <v>-17365881.459999997</v>
      </c>
      <c r="DM150" s="294">
        <f t="shared" si="73"/>
        <v>-27160837.879999995</v>
      </c>
      <c r="DN150" s="294">
        <f t="shared" si="73"/>
        <v>-19008860.890000001</v>
      </c>
      <c r="DO150" s="294">
        <f t="shared" si="73"/>
        <v>-16544145.889800001</v>
      </c>
      <c r="DP150" s="294">
        <f t="shared" si="73"/>
        <v>-16991860.310000002</v>
      </c>
      <c r="DQ150" s="294">
        <f t="shared" si="73"/>
        <v>-51452722.93999999</v>
      </c>
      <c r="DR150" s="294">
        <f t="shared" si="73"/>
        <v>-14174953.779900001</v>
      </c>
      <c r="DS150" s="294">
        <f t="shared" si="73"/>
        <v>-33869326.030000001</v>
      </c>
      <c r="DT150" s="294">
        <f t="shared" si="73"/>
        <v>-268874695.25000006</v>
      </c>
      <c r="DU150" s="294">
        <f t="shared" si="73"/>
        <v>-38665557.339999996</v>
      </c>
      <c r="DV150" s="294">
        <f t="shared" si="73"/>
        <v>-78328861.640000001</v>
      </c>
      <c r="DW150" s="294">
        <f t="shared" si="73"/>
        <v>-93124245.070000008</v>
      </c>
      <c r="DX150" s="294">
        <f t="shared" si="73"/>
        <v>-35129699.830000006</v>
      </c>
      <c r="DY150" s="294">
        <f t="shared" si="73"/>
        <v>-41644518.299999997</v>
      </c>
      <c r="DZ150" s="294">
        <f t="shared" si="73"/>
        <v>-33147228.850000001</v>
      </c>
      <c r="EA150" s="294">
        <f t="shared" si="73"/>
        <v>-8036298.5699999994</v>
      </c>
      <c r="EB150" s="294">
        <f t="shared" si="73"/>
        <v>-23758044.280000001</v>
      </c>
      <c r="EC150" s="294">
        <f t="shared" ref="EC150:GN150" si="74">EC149</f>
        <v>-16421282.09</v>
      </c>
      <c r="ED150" s="294">
        <f t="shared" si="74"/>
        <v>-58997542.82</v>
      </c>
      <c r="EE150" s="294">
        <f t="shared" si="74"/>
        <v>-87374356.969999984</v>
      </c>
      <c r="EF150" s="294">
        <f t="shared" si="74"/>
        <v>-70826239.079999998</v>
      </c>
      <c r="EG150" s="294">
        <f t="shared" si="74"/>
        <v>-19503797.129999995</v>
      </c>
      <c r="EH150" s="294">
        <f t="shared" si="74"/>
        <v>-18740136.259999998</v>
      </c>
      <c r="EI150" s="294">
        <f t="shared" si="74"/>
        <v>-21681842.650000002</v>
      </c>
      <c r="EJ150" s="294">
        <f t="shared" si="74"/>
        <v>-33573437.990000002</v>
      </c>
      <c r="EK150" s="294">
        <f t="shared" si="74"/>
        <v>-35495550.999999993</v>
      </c>
      <c r="EL150" s="294">
        <f t="shared" si="74"/>
        <v>-15881082.440000001</v>
      </c>
      <c r="EM150" s="294">
        <f t="shared" si="74"/>
        <v>-19731008.999999996</v>
      </c>
      <c r="EN150" s="294">
        <f t="shared" si="74"/>
        <v>-271166145.25999993</v>
      </c>
      <c r="EO150" s="294">
        <f t="shared" si="74"/>
        <v>-23012652.139999997</v>
      </c>
      <c r="EP150" s="294">
        <f t="shared" si="74"/>
        <v>-27177324.439999994</v>
      </c>
      <c r="EQ150" s="294">
        <f t="shared" si="74"/>
        <v>-17100821.489999998</v>
      </c>
      <c r="ER150" s="294">
        <f t="shared" si="74"/>
        <v>-13211007.029999999</v>
      </c>
      <c r="ES150" s="294">
        <f t="shared" si="74"/>
        <v>-7694793.1199999992</v>
      </c>
      <c r="ET150" s="294">
        <f t="shared" si="74"/>
        <v>-52839165.060000002</v>
      </c>
      <c r="EU150" s="294">
        <f t="shared" si="74"/>
        <v>-30973730.330000002</v>
      </c>
      <c r="EV150" s="294">
        <f t="shared" si="74"/>
        <v>-24202089.450000007</v>
      </c>
      <c r="EW150" s="294">
        <f t="shared" si="74"/>
        <v>-310008344.70999992</v>
      </c>
      <c r="EX150" s="294">
        <f t="shared" si="74"/>
        <v>-5007573.6399999997</v>
      </c>
      <c r="EY150" s="294">
        <f t="shared" si="74"/>
        <v>-16090326.960000001</v>
      </c>
      <c r="EZ150" s="294">
        <f t="shared" si="74"/>
        <v>-18908442.489999998</v>
      </c>
      <c r="FA150" s="294">
        <f t="shared" si="74"/>
        <v>-37899661.910000004</v>
      </c>
      <c r="FB150" s="294">
        <f t="shared" si="74"/>
        <v>-53032251.699999996</v>
      </c>
      <c r="FC150" s="294">
        <f t="shared" si="74"/>
        <v>-24779251.169999998</v>
      </c>
      <c r="FD150" s="294">
        <f t="shared" si="74"/>
        <v>-18896567.679999996</v>
      </c>
      <c r="FE150" s="294">
        <f t="shared" si="74"/>
        <v>-13704948.210000001</v>
      </c>
      <c r="FF150" s="294">
        <f t="shared" si="74"/>
        <v>-13410311.98</v>
      </c>
      <c r="FG150" s="294">
        <f t="shared" si="74"/>
        <v>-8663939.2999999989</v>
      </c>
      <c r="FH150" s="294">
        <f t="shared" si="74"/>
        <v>-11796989.640000001</v>
      </c>
      <c r="FI150" s="294">
        <f t="shared" si="74"/>
        <v>-101306451.26000001</v>
      </c>
      <c r="FJ150" s="294">
        <f t="shared" si="74"/>
        <v>-9648324.1899999995</v>
      </c>
      <c r="FK150" s="294">
        <f t="shared" si="74"/>
        <v>-2271110.4899999998</v>
      </c>
      <c r="FL150" s="294">
        <f t="shared" si="74"/>
        <v>-5405358.6999999993</v>
      </c>
      <c r="FM150" s="294">
        <f t="shared" si="74"/>
        <v>-23733151.43</v>
      </c>
      <c r="FN150" s="294">
        <f t="shared" si="74"/>
        <v>-15417555.150000002</v>
      </c>
      <c r="FO150" s="294">
        <f t="shared" si="74"/>
        <v>-7631906.0099999998</v>
      </c>
      <c r="FP150" s="294">
        <f t="shared" si="74"/>
        <v>-5295525.43</v>
      </c>
      <c r="FQ150" s="294">
        <f t="shared" si="74"/>
        <v>-401976834.25000006</v>
      </c>
      <c r="FR150" s="294">
        <f t="shared" si="74"/>
        <v>-17026353.48</v>
      </c>
      <c r="FS150" s="294">
        <f t="shared" si="74"/>
        <v>-30445658.579999998</v>
      </c>
      <c r="FT150" s="294">
        <f t="shared" si="74"/>
        <v>-30489167.140000001</v>
      </c>
      <c r="FU150" s="294">
        <f t="shared" si="74"/>
        <v>-25960622.91</v>
      </c>
      <c r="FV150" s="294">
        <f t="shared" si="74"/>
        <v>-10663090.499999998</v>
      </c>
      <c r="FW150" s="294">
        <f t="shared" si="74"/>
        <v>-57347544.199999996</v>
      </c>
      <c r="FX150" s="294">
        <f t="shared" si="74"/>
        <v>-46785530.469999999</v>
      </c>
      <c r="FY150" s="294">
        <f t="shared" si="74"/>
        <v>-31103025.330000002</v>
      </c>
      <c r="FZ150" s="294">
        <f t="shared" si="74"/>
        <v>-17329708.190000005</v>
      </c>
      <c r="GA150" s="294">
        <f t="shared" si="74"/>
        <v>-63831532.160000011</v>
      </c>
      <c r="GB150" s="294">
        <f t="shared" si="74"/>
        <v>-23997529.309999995</v>
      </c>
      <c r="GC150" s="294">
        <f t="shared" si="74"/>
        <v>-15053820.460000001</v>
      </c>
      <c r="GD150" s="294">
        <f t="shared" si="74"/>
        <v>-7658703.0399999991</v>
      </c>
      <c r="GE150" s="294">
        <f t="shared" si="74"/>
        <v>-191277601.83999997</v>
      </c>
      <c r="GF150" s="294">
        <f t="shared" si="74"/>
        <v>-8518345.7700000014</v>
      </c>
      <c r="GG150" s="294">
        <f t="shared" si="74"/>
        <v>-4914010.7399999993</v>
      </c>
      <c r="GH150" s="294">
        <f t="shared" si="74"/>
        <v>-57601364.160000004</v>
      </c>
      <c r="GI150" s="294">
        <f t="shared" si="74"/>
        <v>-18221828.329999998</v>
      </c>
      <c r="GJ150" s="294">
        <f t="shared" si="74"/>
        <v>-9057675.4199999999</v>
      </c>
      <c r="GK150" s="294">
        <f t="shared" si="74"/>
        <v>-14434501.240000004</v>
      </c>
      <c r="GL150" s="294">
        <f t="shared" si="74"/>
        <v>-24354624.419999998</v>
      </c>
      <c r="GM150" s="294">
        <f t="shared" si="74"/>
        <v>-8786620.6999999993</v>
      </c>
      <c r="GN150" s="294">
        <f t="shared" si="74"/>
        <v>-9049673.2200000007</v>
      </c>
      <c r="GO150" s="294">
        <f t="shared" ref="GO150:IZ150" si="75">GO149</f>
        <v>-7460201.8599999994</v>
      </c>
      <c r="GP150" s="294">
        <f t="shared" si="75"/>
        <v>-7082924.9200000009</v>
      </c>
      <c r="GQ150" s="294">
        <f t="shared" si="75"/>
        <v>-153947850.47999999</v>
      </c>
      <c r="GR150" s="294">
        <f t="shared" si="75"/>
        <v>-7836153.5600000005</v>
      </c>
      <c r="GS150" s="294">
        <f t="shared" si="75"/>
        <v>-11690462.049999999</v>
      </c>
      <c r="GT150" s="294">
        <f t="shared" si="75"/>
        <v>-24068785.050000001</v>
      </c>
      <c r="GU150" s="294">
        <f t="shared" si="75"/>
        <v>-3073460.4400000004</v>
      </c>
      <c r="GV150" s="294">
        <f t="shared" si="75"/>
        <v>-13960913.57</v>
      </c>
      <c r="GW150" s="294">
        <f t="shared" si="75"/>
        <v>-13568776.950000001</v>
      </c>
      <c r="GX150" s="294">
        <f t="shared" si="75"/>
        <v>-11822974.840000002</v>
      </c>
      <c r="GY150" s="294">
        <f t="shared" si="75"/>
        <v>-138571884.14999998</v>
      </c>
      <c r="GZ150" s="294">
        <f t="shared" si="75"/>
        <v>-6583540.8799999999</v>
      </c>
      <c r="HA150" s="294">
        <f t="shared" si="75"/>
        <v>-36131286.910000004</v>
      </c>
      <c r="HB150" s="294">
        <f t="shared" si="75"/>
        <v>-29876727.93</v>
      </c>
      <c r="HC150" s="294">
        <f t="shared" si="75"/>
        <v>-636513308.31000006</v>
      </c>
      <c r="HD150" s="294">
        <f t="shared" si="75"/>
        <v>-163363913.69000006</v>
      </c>
      <c r="HE150" s="294">
        <f t="shared" si="75"/>
        <v>-83317331.879999995</v>
      </c>
      <c r="HF150" s="294">
        <f t="shared" si="75"/>
        <v>-90269295.080000028</v>
      </c>
      <c r="HG150" s="294">
        <f t="shared" si="75"/>
        <v>-45603374.820000008</v>
      </c>
      <c r="HH150" s="294">
        <f t="shared" si="75"/>
        <v>-59801066.960000001</v>
      </c>
      <c r="HI150" s="294">
        <f t="shared" si="75"/>
        <v>-31771126.739999998</v>
      </c>
      <c r="HJ150" s="294">
        <f t="shared" si="75"/>
        <v>-337227592.67000008</v>
      </c>
      <c r="HK150" s="294">
        <f t="shared" si="75"/>
        <v>-69923654.889999986</v>
      </c>
      <c r="HL150" s="294">
        <f t="shared" si="75"/>
        <v>-105630433.37</v>
      </c>
      <c r="HM150" s="294">
        <f t="shared" si="75"/>
        <v>-50471931.18</v>
      </c>
      <c r="HN150" s="294">
        <f t="shared" si="75"/>
        <v>-30826040.620000005</v>
      </c>
      <c r="HO150" s="294">
        <f t="shared" si="75"/>
        <v>-35309569.93</v>
      </c>
      <c r="HP150" s="294">
        <f t="shared" si="75"/>
        <v>-50648468.070000008</v>
      </c>
      <c r="HQ150" s="294">
        <f t="shared" si="75"/>
        <v>-42627033.199999996</v>
      </c>
      <c r="HR150" s="294">
        <f t="shared" si="75"/>
        <v>-372542425.43910003</v>
      </c>
      <c r="HS150" s="294">
        <f t="shared" si="75"/>
        <v>-157061688.41000006</v>
      </c>
      <c r="HT150" s="294">
        <f t="shared" si="75"/>
        <v>-24778481.27</v>
      </c>
      <c r="HU150" s="294">
        <f t="shared" si="75"/>
        <v>-14449885.610000001</v>
      </c>
      <c r="HV150" s="294">
        <f t="shared" si="75"/>
        <v>-26155620.820000004</v>
      </c>
      <c r="HW150" s="294">
        <f t="shared" si="75"/>
        <v>-20992151.339999996</v>
      </c>
      <c r="HX150" s="294">
        <f t="shared" si="75"/>
        <v>-61278321.779999994</v>
      </c>
      <c r="HY150" s="294">
        <f t="shared" si="75"/>
        <v>-32968846.440000001</v>
      </c>
      <c r="HZ150" s="294">
        <f t="shared" si="75"/>
        <v>-27113316.09</v>
      </c>
      <c r="IA150" s="294">
        <f t="shared" si="75"/>
        <v>-18332069.010000002</v>
      </c>
      <c r="IB150" s="294">
        <f t="shared" si="75"/>
        <v>-15600602.190000001</v>
      </c>
      <c r="IC150" s="294">
        <f t="shared" si="75"/>
        <v>-26576587.789999999</v>
      </c>
      <c r="ID150" s="294">
        <f t="shared" si="75"/>
        <v>-7724749.330000001</v>
      </c>
      <c r="IE150" s="294">
        <f t="shared" si="75"/>
        <v>-20609607.559999999</v>
      </c>
      <c r="IF150" s="294">
        <f t="shared" si="75"/>
        <v>-12705600.720000001</v>
      </c>
      <c r="IG150" s="294">
        <f t="shared" si="75"/>
        <v>-9107462.6799999997</v>
      </c>
      <c r="IH150" s="294">
        <f t="shared" si="75"/>
        <v>-325345165.01000005</v>
      </c>
      <c r="II150" s="294">
        <f t="shared" si="75"/>
        <v>-46463208.86999999</v>
      </c>
      <c r="IJ150" s="294">
        <f t="shared" si="75"/>
        <v>-18822059.629999999</v>
      </c>
      <c r="IK150" s="294">
        <f t="shared" si="75"/>
        <v>-73761444.030000001</v>
      </c>
      <c r="IL150" s="294">
        <f t="shared" si="75"/>
        <v>-107907259.50000001</v>
      </c>
      <c r="IM150" s="294">
        <f t="shared" si="75"/>
        <v>-37366466.289999999</v>
      </c>
      <c r="IN150" s="294">
        <f t="shared" si="75"/>
        <v>-11596101.220000003</v>
      </c>
      <c r="IO150" s="294">
        <f t="shared" si="75"/>
        <v>-14421699.869999999</v>
      </c>
      <c r="IP150" s="294">
        <f t="shared" si="75"/>
        <v>-16336943.26</v>
      </c>
      <c r="IQ150" s="294">
        <f t="shared" si="75"/>
        <v>-26319265.580000002</v>
      </c>
      <c r="IR150" s="294">
        <f t="shared" si="75"/>
        <v>-18801293.420000002</v>
      </c>
      <c r="IS150" s="294">
        <f t="shared" si="75"/>
        <v>-494028889.00000012</v>
      </c>
      <c r="IT150" s="294">
        <f t="shared" si="75"/>
        <v>-355822434.49000001</v>
      </c>
      <c r="IU150" s="294">
        <f t="shared" si="75"/>
        <v>-12530279.15</v>
      </c>
      <c r="IV150" s="294">
        <f t="shared" si="75"/>
        <v>-33812533.530000001</v>
      </c>
      <c r="IW150" s="294">
        <f t="shared" si="75"/>
        <v>-19870406.449999999</v>
      </c>
      <c r="IX150" s="294">
        <f t="shared" si="75"/>
        <v>-10054793.51</v>
      </c>
      <c r="IY150" s="294">
        <f t="shared" si="75"/>
        <v>-21899364.860000003</v>
      </c>
      <c r="IZ150" s="294">
        <f t="shared" si="75"/>
        <v>-5589827.54</v>
      </c>
      <c r="JA150" s="294">
        <f t="shared" ref="JA150:LL150" si="76">JA149</f>
        <v>-12906189.52</v>
      </c>
      <c r="JB150" s="294">
        <f t="shared" si="76"/>
        <v>-20948349.280000001</v>
      </c>
      <c r="JC150" s="294">
        <f t="shared" si="76"/>
        <v>-48069386.909999996</v>
      </c>
      <c r="JD150" s="294">
        <f t="shared" si="76"/>
        <v>-16855151.680000003</v>
      </c>
      <c r="JE150" s="294">
        <f t="shared" si="76"/>
        <v>-64616471.930000007</v>
      </c>
      <c r="JF150" s="294">
        <f t="shared" si="76"/>
        <v>-73828448.930000007</v>
      </c>
      <c r="JG150" s="294">
        <f t="shared" si="76"/>
        <v>-25110206.430000003</v>
      </c>
      <c r="JH150" s="294">
        <f t="shared" si="76"/>
        <v>-20027897.670000002</v>
      </c>
      <c r="JI150" s="294">
        <f t="shared" si="76"/>
        <v>-15858947.949999997</v>
      </c>
      <c r="JJ150" s="294">
        <f t="shared" si="76"/>
        <v>-9737130.2100000009</v>
      </c>
      <c r="JK150" s="294">
        <f t="shared" si="76"/>
        <v>-282315443.58999997</v>
      </c>
      <c r="JL150" s="294">
        <f t="shared" si="76"/>
        <v>-23308388.029999997</v>
      </c>
      <c r="JM150" s="294">
        <f t="shared" si="76"/>
        <v>-32184933.350000005</v>
      </c>
      <c r="JN150" s="294">
        <f t="shared" si="76"/>
        <v>-82512819.120000005</v>
      </c>
      <c r="JO150" s="294">
        <f t="shared" si="76"/>
        <v>-34253636.090000004</v>
      </c>
      <c r="JP150" s="294">
        <f t="shared" si="76"/>
        <v>-58269871.149999984</v>
      </c>
      <c r="JQ150" s="294">
        <f t="shared" si="76"/>
        <v>-18584716.5</v>
      </c>
      <c r="JR150" s="294">
        <f t="shared" si="76"/>
        <v>-232901235.74000001</v>
      </c>
      <c r="JS150" s="294">
        <f t="shared" si="76"/>
        <v>-145640672.85000002</v>
      </c>
      <c r="JT150" s="294">
        <f t="shared" si="76"/>
        <v>-16197490.089999996</v>
      </c>
      <c r="JU150" s="294">
        <f t="shared" si="76"/>
        <v>-7280031.4299999997</v>
      </c>
      <c r="JV150" s="294">
        <f t="shared" si="76"/>
        <v>-16814441.370000001</v>
      </c>
      <c r="JW150" s="294">
        <f t="shared" si="76"/>
        <v>-4978236.3899999997</v>
      </c>
      <c r="JX150" s="294">
        <f t="shared" si="76"/>
        <v>-67842077.109999999</v>
      </c>
      <c r="JY150" s="294">
        <f t="shared" si="76"/>
        <v>-23533483.729999997</v>
      </c>
      <c r="JZ150" s="294">
        <f t="shared" si="76"/>
        <v>-18421725.619999997</v>
      </c>
      <c r="KA150" s="294">
        <f t="shared" si="76"/>
        <v>-18476759.530000001</v>
      </c>
      <c r="KB150" s="294">
        <f t="shared" si="76"/>
        <v>-12007314.470000001</v>
      </c>
      <c r="KC150" s="294">
        <f t="shared" si="76"/>
        <v>-15016249.620000001</v>
      </c>
      <c r="KD150" s="294">
        <f t="shared" si="76"/>
        <v>-9065765.8499999996</v>
      </c>
      <c r="KE150" s="294">
        <f t="shared" si="76"/>
        <v>-3044163.9299999997</v>
      </c>
      <c r="KF150" s="294">
        <f t="shared" si="76"/>
        <v>-7631728.2100000009</v>
      </c>
      <c r="KG150" s="294">
        <f t="shared" si="76"/>
        <v>-9537427.7699999996</v>
      </c>
      <c r="KH150" s="294">
        <f t="shared" si="76"/>
        <v>-663334143.50999999</v>
      </c>
      <c r="KI150" s="294">
        <f t="shared" si="76"/>
        <v>-62839634.900000006</v>
      </c>
      <c r="KJ150" s="294">
        <f t="shared" si="76"/>
        <v>-25267431.549999997</v>
      </c>
      <c r="KK150" s="294">
        <f t="shared" si="76"/>
        <v>-23766510.590000004</v>
      </c>
      <c r="KL150" s="294">
        <f t="shared" si="76"/>
        <v>-12073528.919</v>
      </c>
      <c r="KM150" s="294">
        <f t="shared" si="76"/>
        <v>-25000994.639999997</v>
      </c>
      <c r="KN150" s="294">
        <f t="shared" si="76"/>
        <v>-84267623.290000007</v>
      </c>
      <c r="KO150" s="294">
        <f t="shared" si="76"/>
        <v>-14044117.41</v>
      </c>
      <c r="KP150" s="294">
        <f t="shared" si="76"/>
        <v>-16600917.629999999</v>
      </c>
      <c r="KQ150" s="294">
        <f t="shared" si="76"/>
        <v>-202435093.23000002</v>
      </c>
      <c r="KR150" s="294">
        <f t="shared" si="76"/>
        <v>-24068446.420000002</v>
      </c>
      <c r="KS150" s="294">
        <f t="shared" si="76"/>
        <v>-25201580.579999998</v>
      </c>
      <c r="KT150" s="294">
        <f t="shared" si="76"/>
        <v>-103517272.72</v>
      </c>
      <c r="KU150" s="294">
        <f t="shared" si="76"/>
        <v>-28682914.289999999</v>
      </c>
      <c r="KV150" s="294">
        <f t="shared" si="76"/>
        <v>-32149238.210000001</v>
      </c>
      <c r="KW150" s="294">
        <f t="shared" si="76"/>
        <v>-217521726.46000004</v>
      </c>
      <c r="KX150" s="294">
        <f t="shared" si="76"/>
        <v>-27393691.219999999</v>
      </c>
      <c r="KY150" s="294">
        <f t="shared" si="76"/>
        <v>-282575412.89999992</v>
      </c>
      <c r="KZ150" s="294">
        <f t="shared" si="76"/>
        <v>-16768265.5</v>
      </c>
      <c r="LA150" s="294">
        <f t="shared" si="76"/>
        <v>-10376918.51</v>
      </c>
      <c r="LB150" s="294">
        <f t="shared" si="76"/>
        <v>-28512289.210000001</v>
      </c>
      <c r="LC150" s="294">
        <f t="shared" si="76"/>
        <v>-35967345.120000005</v>
      </c>
      <c r="LD150" s="294">
        <f t="shared" si="76"/>
        <v>-23059663.16</v>
      </c>
      <c r="LE150" s="294">
        <f t="shared" si="76"/>
        <v>-19440093.920000002</v>
      </c>
      <c r="LF150" s="294">
        <f t="shared" si="76"/>
        <v>-20221812.109999996</v>
      </c>
      <c r="LG150" s="294">
        <f t="shared" si="76"/>
        <v>-660640826.91999972</v>
      </c>
      <c r="LH150" s="294">
        <f t="shared" si="76"/>
        <v>-152355512.68000001</v>
      </c>
      <c r="LI150" s="294">
        <f t="shared" si="76"/>
        <v>-72221609.469999999</v>
      </c>
      <c r="LJ150" s="294">
        <f t="shared" si="76"/>
        <v>-132172709.28999999</v>
      </c>
      <c r="LK150" s="294">
        <f t="shared" si="76"/>
        <v>-31979155.309999987</v>
      </c>
      <c r="LL150" s="294">
        <f t="shared" si="76"/>
        <v>-26014182.919999998</v>
      </c>
      <c r="LM150" s="294">
        <f t="shared" ref="LM150:NX150" si="77">LM149</f>
        <v>-12517074.41</v>
      </c>
      <c r="LN150" s="294">
        <f t="shared" si="77"/>
        <v>-36057317.640000001</v>
      </c>
      <c r="LO150" s="294">
        <f t="shared" si="77"/>
        <v>-17339408.350000001</v>
      </c>
      <c r="LP150" s="294">
        <f t="shared" si="77"/>
        <v>-41814034.120000005</v>
      </c>
      <c r="LQ150" s="294">
        <f t="shared" si="77"/>
        <v>-9332852.8099999987</v>
      </c>
      <c r="LR150" s="294">
        <f t="shared" si="77"/>
        <v>-194435105.79999998</v>
      </c>
      <c r="LS150" s="294">
        <f t="shared" si="77"/>
        <v>-20781837.120000001</v>
      </c>
      <c r="LT150" s="294">
        <f t="shared" si="77"/>
        <v>-10877775.529999999</v>
      </c>
      <c r="LU150" s="294">
        <f t="shared" si="77"/>
        <v>-439697497.50999999</v>
      </c>
      <c r="LV150" s="294">
        <f t="shared" si="77"/>
        <v>-166718225.14000008</v>
      </c>
      <c r="LW150" s="294">
        <f t="shared" si="77"/>
        <v>-479052820.83000004</v>
      </c>
      <c r="LX150" s="294">
        <f t="shared" si="77"/>
        <v>-118623339.56999998</v>
      </c>
      <c r="LY150" s="294">
        <f t="shared" si="77"/>
        <v>-42325812.600000001</v>
      </c>
      <c r="LZ150" s="294">
        <f t="shared" si="77"/>
        <v>-61187171.56000001</v>
      </c>
      <c r="MA150" s="294">
        <f t="shared" si="77"/>
        <v>-42922413.260000005</v>
      </c>
      <c r="MB150" s="294">
        <f t="shared" si="77"/>
        <v>-32632078.960000001</v>
      </c>
      <c r="MC150" s="294">
        <f t="shared" si="77"/>
        <v>-45297444.969999991</v>
      </c>
      <c r="MD150" s="294">
        <f t="shared" si="77"/>
        <v>-35445761.100000001</v>
      </c>
      <c r="ME150" s="294">
        <f t="shared" si="77"/>
        <v>-98334517.450000003</v>
      </c>
      <c r="MF150" s="294">
        <f t="shared" si="77"/>
        <v>-27097700.900000002</v>
      </c>
      <c r="MG150" s="294">
        <f t="shared" si="77"/>
        <v>-513834916.62</v>
      </c>
      <c r="MH150" s="294">
        <f t="shared" si="77"/>
        <v>-17488251.050000001</v>
      </c>
      <c r="MI150" s="294">
        <f t="shared" si="77"/>
        <v>-10239344.279999999</v>
      </c>
      <c r="MJ150" s="294">
        <f t="shared" si="77"/>
        <v>-5335949.8500000006</v>
      </c>
      <c r="MK150" s="294">
        <f t="shared" si="77"/>
        <v>-6368437.6500000004</v>
      </c>
      <c r="ML150" s="294">
        <f t="shared" si="77"/>
        <v>-14861374.109999999</v>
      </c>
      <c r="MM150" s="294">
        <f t="shared" si="77"/>
        <v>-18755458.459999997</v>
      </c>
      <c r="MN150" s="294">
        <f t="shared" si="77"/>
        <v>-9540939.3900000006</v>
      </c>
      <c r="MO150" s="294">
        <f t="shared" si="77"/>
        <v>-30714299.990000002</v>
      </c>
      <c r="MP150" s="294">
        <f t="shared" si="77"/>
        <v>-14532490.039999999</v>
      </c>
      <c r="MQ150" s="294">
        <f t="shared" si="77"/>
        <v>-15062521.269999998</v>
      </c>
      <c r="MR150" s="294">
        <f t="shared" si="77"/>
        <v>-10933681.620000001</v>
      </c>
      <c r="MS150" s="294">
        <f t="shared" si="77"/>
        <v>-358572248.18000001</v>
      </c>
      <c r="MT150" s="294">
        <f t="shared" si="77"/>
        <v>-27225503.390000001</v>
      </c>
      <c r="MU150" s="294">
        <f t="shared" si="77"/>
        <v>-34021763.68</v>
      </c>
      <c r="MV150" s="294">
        <f t="shared" si="77"/>
        <v>-42383345.790000007</v>
      </c>
      <c r="MW150" s="294">
        <f t="shared" si="77"/>
        <v>-59950524.890000001</v>
      </c>
      <c r="MX150" s="294">
        <f t="shared" si="77"/>
        <v>-24414062.23</v>
      </c>
      <c r="MY150" s="294">
        <f t="shared" si="77"/>
        <v>-63375935.709199995</v>
      </c>
      <c r="MZ150" s="294">
        <f t="shared" si="77"/>
        <v>-62033932.210000001</v>
      </c>
      <c r="NA150" s="294">
        <f t="shared" si="77"/>
        <v>-37484079.829999991</v>
      </c>
      <c r="NB150" s="294">
        <f t="shared" si="77"/>
        <v>-15571242.479999999</v>
      </c>
      <c r="NC150" s="294">
        <f t="shared" si="77"/>
        <v>-5657707.6599999983</v>
      </c>
      <c r="ND150" s="294">
        <f t="shared" si="77"/>
        <v>-765655302.94000006</v>
      </c>
      <c r="NE150" s="294">
        <f t="shared" si="77"/>
        <v>-56421842.530000009</v>
      </c>
      <c r="NF150" s="294">
        <f t="shared" si="77"/>
        <v>-16779306.43</v>
      </c>
      <c r="NG150" s="294">
        <f t="shared" si="77"/>
        <v>-365031167.20000011</v>
      </c>
      <c r="NH150" s="294">
        <f t="shared" si="77"/>
        <v>-24359767.720000003</v>
      </c>
      <c r="NI150" s="294">
        <f t="shared" si="77"/>
        <v>-45573734.32</v>
      </c>
      <c r="NJ150" s="294">
        <f t="shared" si="77"/>
        <v>-156640588.27000004</v>
      </c>
      <c r="NK150" s="294">
        <f t="shared" si="77"/>
        <v>-164086168.89999998</v>
      </c>
      <c r="NL150" s="294">
        <f t="shared" si="77"/>
        <v>-4084528.63</v>
      </c>
      <c r="NM150" s="294">
        <f t="shared" si="77"/>
        <v>-57606238.159999996</v>
      </c>
      <c r="NN150" s="294">
        <f t="shared" si="77"/>
        <v>-20332020.219999999</v>
      </c>
      <c r="NO150" s="294">
        <f t="shared" si="77"/>
        <v>-19168195.771000002</v>
      </c>
      <c r="NP150" s="294">
        <f t="shared" si="77"/>
        <v>-91409801.910000011</v>
      </c>
      <c r="NQ150" s="294">
        <f t="shared" si="77"/>
        <v>-8818208.879999999</v>
      </c>
      <c r="NR150" s="294">
        <f t="shared" si="77"/>
        <v>-15378273.069999998</v>
      </c>
      <c r="NS150" s="294">
        <f t="shared" si="77"/>
        <v>-7549836.5600000005</v>
      </c>
      <c r="NT150" s="294">
        <f t="shared" si="77"/>
        <v>-5461062.9299999997</v>
      </c>
      <c r="NU150" s="294">
        <f t="shared" si="77"/>
        <v>-2375392.1399999997</v>
      </c>
      <c r="NV150" s="294">
        <f t="shared" si="77"/>
        <v>-4173113</v>
      </c>
      <c r="NW150" s="294">
        <f t="shared" si="77"/>
        <v>-410318074.67999995</v>
      </c>
      <c r="NX150" s="294">
        <f t="shared" si="77"/>
        <v>-182546050.41</v>
      </c>
      <c r="NY150" s="294">
        <f t="shared" ref="NY150:QJ150" si="78">NY149</f>
        <v>-23658637.529999997</v>
      </c>
      <c r="NZ150" s="294">
        <f t="shared" si="78"/>
        <v>-22587119.739999995</v>
      </c>
      <c r="OA150" s="294">
        <f t="shared" si="78"/>
        <v>-17596846.129999999</v>
      </c>
      <c r="OB150" s="294">
        <f t="shared" si="78"/>
        <v>-41454747.490000002</v>
      </c>
      <c r="OC150" s="294">
        <f t="shared" si="78"/>
        <v>-19801008.419999998</v>
      </c>
      <c r="OD150" s="294">
        <f t="shared" si="78"/>
        <v>-384052399.90999997</v>
      </c>
      <c r="OE150" s="294">
        <f t="shared" si="78"/>
        <v>-137429061.90000001</v>
      </c>
      <c r="OF150" s="294">
        <f t="shared" si="78"/>
        <v>-29187258.949999996</v>
      </c>
      <c r="OG150" s="294">
        <f t="shared" si="78"/>
        <v>-112979839.71000002</v>
      </c>
      <c r="OH150" s="294">
        <f t="shared" si="78"/>
        <v>-33812587.059999995</v>
      </c>
      <c r="OI150" s="294">
        <f t="shared" si="78"/>
        <v>-33597499.989999995</v>
      </c>
      <c r="OJ150" s="294">
        <f t="shared" si="78"/>
        <v>-91749222.829999998</v>
      </c>
      <c r="OK150" s="294">
        <f t="shared" si="78"/>
        <v>-15397487.469999997</v>
      </c>
      <c r="OL150" s="294">
        <f t="shared" si="78"/>
        <v>-41390936.410000004</v>
      </c>
      <c r="OM150" s="294">
        <f t="shared" si="78"/>
        <v>-334235881.66000003</v>
      </c>
      <c r="ON150" s="294">
        <f t="shared" si="78"/>
        <v>-95472988.670000017</v>
      </c>
      <c r="OO150" s="294">
        <f t="shared" si="78"/>
        <v>-242981904.56999999</v>
      </c>
      <c r="OP150" s="294">
        <f t="shared" si="78"/>
        <v>-44986492.290000007</v>
      </c>
      <c r="OQ150" s="294">
        <f t="shared" si="78"/>
        <v>-51840235.170000002</v>
      </c>
      <c r="OR150" s="294">
        <f t="shared" si="78"/>
        <v>-33272711.27</v>
      </c>
      <c r="OS150" s="294">
        <f t="shared" si="78"/>
        <v>-158028902.82000002</v>
      </c>
      <c r="OT150" s="294">
        <f t="shared" si="78"/>
        <v>-18045965.780000005</v>
      </c>
      <c r="OU150" s="294">
        <f t="shared" si="78"/>
        <v>-18892421.210000001</v>
      </c>
      <c r="OV150" s="294">
        <f t="shared" si="78"/>
        <v>-13303128.599999998</v>
      </c>
      <c r="OW150" s="294">
        <f t="shared" si="78"/>
        <v>-19015159.980000004</v>
      </c>
      <c r="OX150" s="294">
        <f t="shared" si="78"/>
        <v>-82231330.199999988</v>
      </c>
      <c r="OY150" s="294">
        <f t="shared" si="78"/>
        <v>-16875638.969999999</v>
      </c>
      <c r="OZ150" s="294">
        <f t="shared" si="78"/>
        <v>-10501474.879999999</v>
      </c>
      <c r="PA150" s="294">
        <f t="shared" si="78"/>
        <v>-15163413.16</v>
      </c>
      <c r="PB150" s="294">
        <f t="shared" si="78"/>
        <v>-245246142.67000002</v>
      </c>
      <c r="PC150" s="294">
        <f t="shared" si="78"/>
        <v>-8433547.2300000004</v>
      </c>
      <c r="PD150" s="294">
        <f t="shared" si="78"/>
        <v>-58280986.830000006</v>
      </c>
      <c r="PE150" s="294">
        <f t="shared" si="78"/>
        <v>-10140429.140000001</v>
      </c>
      <c r="PF150" s="294">
        <f t="shared" si="78"/>
        <v>-14126009.680000002</v>
      </c>
      <c r="PG150" s="294">
        <f t="shared" si="78"/>
        <v>-42897236.140000001</v>
      </c>
      <c r="PH150" s="294">
        <f t="shared" si="78"/>
        <v>-17617571.350000001</v>
      </c>
      <c r="PI150" s="294">
        <f t="shared" si="78"/>
        <v>-17117404.850000001</v>
      </c>
      <c r="PJ150" s="294">
        <f t="shared" si="78"/>
        <v>-23531739.41</v>
      </c>
      <c r="PK150" s="294">
        <f t="shared" si="78"/>
        <v>-19642577.010000005</v>
      </c>
      <c r="PL150" s="294">
        <f t="shared" si="78"/>
        <v>-14101493.819999998</v>
      </c>
      <c r="PM150" s="294">
        <f t="shared" si="78"/>
        <v>-37502488.730000004</v>
      </c>
      <c r="PN150" s="294">
        <f t="shared" si="78"/>
        <v>-15106046.490000002</v>
      </c>
      <c r="PO150" s="294">
        <f t="shared" si="78"/>
        <v>-74292867.360000014</v>
      </c>
      <c r="PP150" s="294">
        <f t="shared" si="78"/>
        <v>-11545850.900000002</v>
      </c>
      <c r="PQ150" s="294">
        <f t="shared" si="78"/>
        <v>-11278519.119999999</v>
      </c>
      <c r="PR150" s="294">
        <f t="shared" si="78"/>
        <v>-12471128.960000001</v>
      </c>
      <c r="PS150" s="294">
        <f t="shared" si="78"/>
        <v>-7392356.1600000001</v>
      </c>
      <c r="PT150" s="294">
        <f t="shared" si="78"/>
        <v>-813174653.00000012</v>
      </c>
      <c r="PU150" s="294">
        <f t="shared" si="78"/>
        <v>-40773317.340000011</v>
      </c>
      <c r="PV150" s="294">
        <f t="shared" si="78"/>
        <v>-20627658.720000003</v>
      </c>
      <c r="PW150" s="294">
        <f t="shared" si="78"/>
        <v>-12280060.939999999</v>
      </c>
      <c r="PX150" s="294">
        <f t="shared" si="78"/>
        <v>-188477201.03999996</v>
      </c>
      <c r="PY150" s="294">
        <f t="shared" si="78"/>
        <v>-36069119.099999994</v>
      </c>
      <c r="PZ150" s="294">
        <f t="shared" si="78"/>
        <v>-67913187.86999999</v>
      </c>
      <c r="QA150" s="294">
        <f t="shared" si="78"/>
        <v>-16756298.369999999</v>
      </c>
      <c r="QB150" s="294">
        <f t="shared" si="78"/>
        <v>-67233199.939999998</v>
      </c>
      <c r="QC150" s="294">
        <f t="shared" si="78"/>
        <v>-8910221.4100000001</v>
      </c>
      <c r="QD150" s="294">
        <f t="shared" si="78"/>
        <v>-56240259.410000004</v>
      </c>
      <c r="QE150" s="294">
        <f t="shared" si="78"/>
        <v>-23806616.710000005</v>
      </c>
      <c r="QF150" s="294">
        <f t="shared" si="78"/>
        <v>-11196297.52</v>
      </c>
      <c r="QG150" s="294">
        <f t="shared" si="78"/>
        <v>-18252158.82</v>
      </c>
      <c r="QH150" s="294">
        <f t="shared" si="78"/>
        <v>-41637012.020000011</v>
      </c>
      <c r="QI150" s="294">
        <f t="shared" si="78"/>
        <v>-17818082.199999999</v>
      </c>
      <c r="QJ150" s="294">
        <f t="shared" si="78"/>
        <v>-27213203.489999991</v>
      </c>
      <c r="QK150" s="294">
        <f t="shared" ref="QK150:SV150" si="79">QK149</f>
        <v>-24138568.659999996</v>
      </c>
      <c r="QL150" s="294">
        <f t="shared" si="79"/>
        <v>-17767890.029999997</v>
      </c>
      <c r="QM150" s="294">
        <f t="shared" si="79"/>
        <v>-69224636.499999985</v>
      </c>
      <c r="QN150" s="294">
        <f t="shared" si="79"/>
        <v>-71222835.469999999</v>
      </c>
      <c r="QO150" s="294">
        <f t="shared" si="79"/>
        <v>-16240139.650000004</v>
      </c>
      <c r="QP150" s="294">
        <f t="shared" si="79"/>
        <v>-5060823.1000000006</v>
      </c>
      <c r="QQ150" s="294">
        <f t="shared" si="79"/>
        <v>-10378642.880000001</v>
      </c>
      <c r="QR150" s="294">
        <f t="shared" si="79"/>
        <v>-4597725.0200000005</v>
      </c>
      <c r="QS150" s="294">
        <f t="shared" si="79"/>
        <v>-9616721.0000000019</v>
      </c>
      <c r="QT150" s="294">
        <f t="shared" si="79"/>
        <v>-280970271.11000001</v>
      </c>
      <c r="QU150" s="294">
        <f t="shared" si="79"/>
        <v>-8634939.2300000004</v>
      </c>
      <c r="QV150" s="294">
        <f t="shared" si="79"/>
        <v>-57249553.640000001</v>
      </c>
      <c r="QW150" s="294">
        <f t="shared" si="79"/>
        <v>-6584276.4299999997</v>
      </c>
      <c r="QX150" s="294">
        <f t="shared" si="79"/>
        <v>-13705827.66</v>
      </c>
      <c r="QY150" s="294">
        <f t="shared" si="79"/>
        <v>-57257311.969999991</v>
      </c>
      <c r="QZ150" s="294">
        <f t="shared" si="79"/>
        <v>-23815329.129999995</v>
      </c>
      <c r="RA150" s="294">
        <f t="shared" si="79"/>
        <v>-39070443.420000002</v>
      </c>
      <c r="RB150" s="294">
        <f t="shared" si="79"/>
        <v>-27724854.180000003</v>
      </c>
      <c r="RC150" s="294">
        <f t="shared" si="79"/>
        <v>-24022595.389999997</v>
      </c>
      <c r="RD150" s="294">
        <f t="shared" si="79"/>
        <v>-13752608.539999999</v>
      </c>
      <c r="RE150" s="294">
        <f t="shared" si="79"/>
        <v>-4990650.8499999996</v>
      </c>
      <c r="RF150" s="294">
        <f t="shared" si="79"/>
        <v>-12314215.570000002</v>
      </c>
      <c r="RG150" s="294">
        <f t="shared" si="79"/>
        <v>-446869241.46999991</v>
      </c>
      <c r="RH150" s="294">
        <f t="shared" si="79"/>
        <v>-81082568.639999986</v>
      </c>
      <c r="RI150" s="294">
        <f t="shared" si="79"/>
        <v>-22115940.310000002</v>
      </c>
      <c r="RJ150" s="294">
        <f t="shared" si="79"/>
        <v>-22406335.910000004</v>
      </c>
      <c r="RK150" s="294">
        <f t="shared" si="79"/>
        <v>-35229340.389999993</v>
      </c>
      <c r="RL150" s="294">
        <f t="shared" si="79"/>
        <v>-62038779.550000012</v>
      </c>
      <c r="RM150" s="294">
        <f t="shared" si="79"/>
        <v>-117654512.02000001</v>
      </c>
      <c r="RN150" s="294">
        <f t="shared" si="79"/>
        <v>-19037023.529999997</v>
      </c>
      <c r="RO150" s="294">
        <f t="shared" si="79"/>
        <v>-20877004.219999999</v>
      </c>
      <c r="RP150" s="294">
        <f t="shared" si="79"/>
        <v>-68484915.819999993</v>
      </c>
      <c r="RQ150" s="294">
        <f t="shared" si="79"/>
        <v>-90568555.460000008</v>
      </c>
      <c r="RR150" s="294">
        <f t="shared" si="79"/>
        <v>-26743875.220000003</v>
      </c>
      <c r="RS150" s="294">
        <f t="shared" si="79"/>
        <v>-20742898.890000001</v>
      </c>
      <c r="RT150" s="294">
        <f t="shared" si="79"/>
        <v>-32439249.469999999</v>
      </c>
      <c r="RU150" s="294">
        <f t="shared" si="79"/>
        <v>-16333326.83</v>
      </c>
      <c r="RV150" s="294">
        <f t="shared" si="79"/>
        <v>-17305910.780000001</v>
      </c>
      <c r="RW150" s="294">
        <f t="shared" si="79"/>
        <v>-24626281.700000007</v>
      </c>
      <c r="RX150" s="294">
        <f t="shared" si="79"/>
        <v>-17317339.16</v>
      </c>
      <c r="RY150" s="294">
        <f t="shared" si="79"/>
        <v>-11103246.159999998</v>
      </c>
      <c r="RZ150" s="294">
        <f t="shared" si="79"/>
        <v>-13978438.959999999</v>
      </c>
      <c r="SA150" s="294">
        <f t="shared" si="79"/>
        <v>-194493504.03000003</v>
      </c>
      <c r="SB150" s="294">
        <f t="shared" si="79"/>
        <v>-11675440.329999998</v>
      </c>
      <c r="SC150" s="294">
        <f t="shared" si="79"/>
        <v>-18423586.389999997</v>
      </c>
      <c r="SD150" s="294">
        <f t="shared" si="79"/>
        <v>-23575937.619999997</v>
      </c>
      <c r="SE150" s="294">
        <f t="shared" si="79"/>
        <v>-12478192.219999999</v>
      </c>
      <c r="SF150" s="294">
        <f t="shared" si="79"/>
        <v>-27398721.599999998</v>
      </c>
      <c r="SG150" s="294">
        <f t="shared" si="79"/>
        <v>-28819297.07</v>
      </c>
      <c r="SH150" s="294">
        <f t="shared" si="79"/>
        <v>-29625540.16</v>
      </c>
      <c r="SI150" s="294">
        <f t="shared" si="79"/>
        <v>-19098938.419999998</v>
      </c>
      <c r="SJ150" s="294">
        <f t="shared" si="79"/>
        <v>-13621060.100000001</v>
      </c>
      <c r="SK150" s="294">
        <f t="shared" si="79"/>
        <v>-86238978.070000008</v>
      </c>
      <c r="SL150" s="294">
        <f t="shared" si="79"/>
        <v>-7583787.5800000001</v>
      </c>
      <c r="SM150" s="294">
        <f t="shared" si="79"/>
        <v>-105075280.19</v>
      </c>
      <c r="SN150" s="294">
        <f t="shared" si="79"/>
        <v>-19744252.249999996</v>
      </c>
      <c r="SO150" s="294">
        <f t="shared" si="79"/>
        <v>-28019270.739999998</v>
      </c>
      <c r="SP150" s="294">
        <f t="shared" si="79"/>
        <v>-44452355.730000004</v>
      </c>
      <c r="SQ150" s="294">
        <f t="shared" si="79"/>
        <v>-13911197.08</v>
      </c>
      <c r="SR150" s="294">
        <f t="shared" si="79"/>
        <v>-8993334.1399999987</v>
      </c>
      <c r="SS150" s="294">
        <f t="shared" si="79"/>
        <v>-21959722.470000003</v>
      </c>
      <c r="ST150" s="294">
        <f t="shared" si="79"/>
        <v>-15734229.389999999</v>
      </c>
      <c r="SU150" s="294">
        <f t="shared" si="79"/>
        <v>-287229472.67000002</v>
      </c>
      <c r="SV150" s="294">
        <f t="shared" si="79"/>
        <v>-9887546.040000001</v>
      </c>
      <c r="SW150" s="294">
        <f t="shared" ref="SW150:VH150" si="80">SW149</f>
        <v>-22308143.559999999</v>
      </c>
      <c r="SX150" s="294">
        <f t="shared" si="80"/>
        <v>-22179195.609999999</v>
      </c>
      <c r="SY150" s="294">
        <f t="shared" si="80"/>
        <v>-4934518.78</v>
      </c>
      <c r="SZ150" s="294">
        <f t="shared" si="80"/>
        <v>-6161390.1699999999</v>
      </c>
      <c r="TA150" s="294">
        <f t="shared" si="80"/>
        <v>-4418789</v>
      </c>
      <c r="TB150" s="294">
        <f t="shared" si="80"/>
        <v>-64660083.089999996</v>
      </c>
      <c r="TC150" s="294">
        <f t="shared" si="80"/>
        <v>-13593458.98</v>
      </c>
      <c r="TD150" s="294">
        <f t="shared" si="80"/>
        <v>-13541744.979999999</v>
      </c>
      <c r="TE150" s="294">
        <f t="shared" si="80"/>
        <v>-11790626.349999998</v>
      </c>
      <c r="TF150" s="294">
        <f t="shared" si="80"/>
        <v>-35341995.450000003</v>
      </c>
      <c r="TG150" s="294">
        <f t="shared" si="80"/>
        <v>-9859121.4399999995</v>
      </c>
      <c r="TH150" s="294">
        <f t="shared" si="80"/>
        <v>-9012525.5299999993</v>
      </c>
      <c r="TI150" s="294">
        <f t="shared" si="80"/>
        <v>-637384252.69000006</v>
      </c>
      <c r="TJ150" s="294">
        <f t="shared" si="80"/>
        <v>-17835267.560000006</v>
      </c>
      <c r="TK150" s="294">
        <f t="shared" si="80"/>
        <v>-19753271.480000004</v>
      </c>
      <c r="TL150" s="294">
        <f t="shared" si="80"/>
        <v>-68329937.090000004</v>
      </c>
      <c r="TM150" s="294">
        <f t="shared" si="80"/>
        <v>-25252089.370000001</v>
      </c>
      <c r="TN150" s="294">
        <f t="shared" si="80"/>
        <v>-10556358.299999999</v>
      </c>
      <c r="TO150" s="294">
        <f t="shared" si="80"/>
        <v>-10524148.17</v>
      </c>
      <c r="TP150" s="294">
        <f t="shared" si="80"/>
        <v>-72029371.12999998</v>
      </c>
      <c r="TQ150" s="294">
        <f t="shared" si="80"/>
        <v>-14561884.32</v>
      </c>
      <c r="TR150" s="294">
        <f t="shared" si="80"/>
        <v>-35971791.989999995</v>
      </c>
      <c r="TS150" s="294">
        <f t="shared" si="80"/>
        <v>-37480071.909999996</v>
      </c>
      <c r="TT150" s="294">
        <f t="shared" si="80"/>
        <v>-15604717.470000001</v>
      </c>
      <c r="TU150" s="294">
        <f t="shared" si="80"/>
        <v>-10381459.27</v>
      </c>
      <c r="TV150" s="294">
        <f t="shared" si="80"/>
        <v>-20341833</v>
      </c>
      <c r="TW150" s="294">
        <f t="shared" si="80"/>
        <v>-26302540.040000003</v>
      </c>
      <c r="TX150" s="294">
        <f t="shared" si="80"/>
        <v>-7164548.3099999996</v>
      </c>
      <c r="TY150" s="294">
        <f t="shared" si="80"/>
        <v>-110646491.16999999</v>
      </c>
      <c r="TZ150" s="294">
        <f t="shared" si="80"/>
        <v>-6665999.71</v>
      </c>
      <c r="UA150" s="294">
        <f t="shared" si="80"/>
        <v>-150895276.86000001</v>
      </c>
      <c r="UB150" s="294">
        <f t="shared" si="80"/>
        <v>-63073772.599999994</v>
      </c>
      <c r="UC150" s="294">
        <f t="shared" si="80"/>
        <v>-28027773.669999998</v>
      </c>
      <c r="UD150" s="294">
        <f t="shared" si="80"/>
        <v>-21774467.34</v>
      </c>
      <c r="UE150" s="294">
        <f t="shared" si="80"/>
        <v>-264802083.41</v>
      </c>
      <c r="UF150" s="294">
        <f t="shared" si="80"/>
        <v>-12191640.579999998</v>
      </c>
      <c r="UG150" s="294">
        <f t="shared" si="80"/>
        <v>-15259016.200000001</v>
      </c>
      <c r="UH150" s="294">
        <f t="shared" si="80"/>
        <v>-28164130.59</v>
      </c>
      <c r="UI150" s="294">
        <f t="shared" si="80"/>
        <v>-17642622.890000004</v>
      </c>
      <c r="UJ150" s="294">
        <f t="shared" si="80"/>
        <v>-159812939.45000005</v>
      </c>
      <c r="UK150" s="294">
        <f t="shared" si="80"/>
        <v>-49867044.379999995</v>
      </c>
      <c r="UL150" s="294">
        <f t="shared" si="80"/>
        <v>-34922094.930000007</v>
      </c>
      <c r="UM150" s="294">
        <f t="shared" si="80"/>
        <v>-50452872.710000001</v>
      </c>
      <c r="UN150" s="294">
        <f t="shared" si="80"/>
        <v>-29709742.119999997</v>
      </c>
      <c r="UO150" s="294">
        <f t="shared" si="80"/>
        <v>-30752904.629999995</v>
      </c>
      <c r="UP150" s="294">
        <f t="shared" si="80"/>
        <v>-609573244.08999991</v>
      </c>
      <c r="UQ150" s="294">
        <f t="shared" si="80"/>
        <v>-40643894.829999991</v>
      </c>
      <c r="UR150" s="294">
        <f t="shared" si="80"/>
        <v>-29765191.170000002</v>
      </c>
      <c r="US150" s="294">
        <f t="shared" si="80"/>
        <v>-176959124.31999993</v>
      </c>
      <c r="UT150" s="294">
        <f t="shared" si="80"/>
        <v>-9539903.8999999985</v>
      </c>
      <c r="UU150" s="294">
        <f t="shared" si="80"/>
        <v>-24668699.350000001</v>
      </c>
      <c r="UV150" s="294">
        <f t="shared" si="80"/>
        <v>-92681483.609999985</v>
      </c>
      <c r="UW150" s="294">
        <f t="shared" si="80"/>
        <v>-14577206.149999999</v>
      </c>
      <c r="UX150" s="294">
        <f t="shared" si="80"/>
        <v>-21632345.940000001</v>
      </c>
      <c r="UY150" s="294">
        <f t="shared" si="80"/>
        <v>-22203314.719999999</v>
      </c>
      <c r="UZ150" s="294">
        <f t="shared" si="80"/>
        <v>-36469244.669999994</v>
      </c>
      <c r="VA150" s="294">
        <f t="shared" si="80"/>
        <v>-71535339.219999999</v>
      </c>
      <c r="VB150" s="294">
        <f t="shared" si="80"/>
        <v>-33399706.91</v>
      </c>
      <c r="VC150" s="294">
        <f t="shared" si="80"/>
        <v>-38537159.830000006</v>
      </c>
      <c r="VD150" s="294">
        <f t="shared" si="80"/>
        <v>-22796347.119999997</v>
      </c>
      <c r="VE150" s="294">
        <f t="shared" si="80"/>
        <v>-25198455.190000005</v>
      </c>
      <c r="VF150" s="294">
        <f t="shared" si="80"/>
        <v>-24980341.150000002</v>
      </c>
      <c r="VG150" s="294">
        <f t="shared" si="80"/>
        <v>-16649795.749999998</v>
      </c>
      <c r="VH150" s="294">
        <f t="shared" si="80"/>
        <v>-79052455.689999998</v>
      </c>
      <c r="VI150" s="294">
        <f t="shared" ref="VI150:XT150" si="81">VI149</f>
        <v>-17621804.050000001</v>
      </c>
      <c r="VJ150" s="294">
        <f t="shared" si="81"/>
        <v>-10372051.76</v>
      </c>
      <c r="VK150" s="294">
        <f t="shared" si="81"/>
        <v>-7861752.6100000003</v>
      </c>
      <c r="VL150" s="294">
        <f t="shared" si="81"/>
        <v>-410353791.69</v>
      </c>
      <c r="VM150" s="294">
        <f t="shared" si="81"/>
        <v>-22694445.990000002</v>
      </c>
      <c r="VN150" s="294">
        <f t="shared" si="81"/>
        <v>-29592864.620000005</v>
      </c>
      <c r="VO150" s="294">
        <f t="shared" si="81"/>
        <v>-52587178.38000001</v>
      </c>
      <c r="VP150" s="294">
        <f t="shared" si="81"/>
        <v>-69804342.579999998</v>
      </c>
      <c r="VQ150" s="294">
        <f t="shared" si="81"/>
        <v>-49118378.120000005</v>
      </c>
      <c r="VR150" s="294">
        <f t="shared" si="81"/>
        <v>-38573203.659999996</v>
      </c>
      <c r="VS150" s="294">
        <f t="shared" si="81"/>
        <v>-9678248.620000001</v>
      </c>
      <c r="VT150" s="294">
        <f t="shared" si="81"/>
        <v>-26006302.130000003</v>
      </c>
      <c r="VU150" s="294">
        <f t="shared" si="81"/>
        <v>-147825803.91</v>
      </c>
      <c r="VV150" s="294">
        <f t="shared" si="81"/>
        <v>-15457788.440000001</v>
      </c>
      <c r="VW150" s="294">
        <f t="shared" si="81"/>
        <v>-39805712.900000006</v>
      </c>
      <c r="VX150" s="294">
        <f t="shared" si="81"/>
        <v>-27963036.889999997</v>
      </c>
      <c r="VY150" s="294">
        <f t="shared" si="81"/>
        <v>-5919237.9499999993</v>
      </c>
      <c r="VZ150" s="294">
        <f t="shared" si="81"/>
        <v>-12651382.390000001</v>
      </c>
      <c r="WA150" s="294">
        <f t="shared" si="81"/>
        <v>-660295536.93000007</v>
      </c>
      <c r="WB150" s="294">
        <f t="shared" si="81"/>
        <v>-30531040.410000008</v>
      </c>
      <c r="WC150" s="294">
        <f t="shared" si="81"/>
        <v>-18416249.120000001</v>
      </c>
      <c r="WD150" s="294">
        <f t="shared" si="81"/>
        <v>-15430389.650000002</v>
      </c>
      <c r="WE150" s="294">
        <f t="shared" si="81"/>
        <v>-9804359.1199999992</v>
      </c>
      <c r="WF150" s="294">
        <f t="shared" si="81"/>
        <v>-27051026.170000006</v>
      </c>
      <c r="WG150" s="294">
        <f t="shared" si="81"/>
        <v>-48790881.199999996</v>
      </c>
      <c r="WH150" s="294">
        <f t="shared" si="81"/>
        <v>-32192836.740000002</v>
      </c>
      <c r="WI150" s="294">
        <f t="shared" si="81"/>
        <v>-21454792.109999996</v>
      </c>
      <c r="WJ150" s="294">
        <f t="shared" si="81"/>
        <v>-50807550.720000014</v>
      </c>
      <c r="WK150" s="294">
        <f t="shared" si="81"/>
        <v>-13813670.359999999</v>
      </c>
      <c r="WL150" s="294">
        <f t="shared" si="81"/>
        <v>-58151060.43999999</v>
      </c>
      <c r="WM150" s="294">
        <f t="shared" si="81"/>
        <v>-15801176.030000001</v>
      </c>
      <c r="WN150" s="294">
        <f t="shared" si="81"/>
        <v>-56047043.24000001</v>
      </c>
      <c r="WO150" s="294">
        <f t="shared" si="81"/>
        <v>-71937241.829999998</v>
      </c>
      <c r="WP150" s="294">
        <f t="shared" si="81"/>
        <v>-16772094.76</v>
      </c>
      <c r="WQ150" s="294">
        <f t="shared" si="81"/>
        <v>-27228886.759999998</v>
      </c>
      <c r="WR150" s="294">
        <f t="shared" si="81"/>
        <v>-32200653.210000001</v>
      </c>
      <c r="WS150" s="294">
        <f t="shared" si="81"/>
        <v>-10024725.820000002</v>
      </c>
      <c r="WT150" s="294">
        <f t="shared" si="81"/>
        <v>-42327427.709999993</v>
      </c>
      <c r="WU150" s="294">
        <f t="shared" si="81"/>
        <v>-259839342.39000002</v>
      </c>
      <c r="WV150" s="294">
        <f t="shared" si="81"/>
        <v>-29597323.689999998</v>
      </c>
      <c r="WW150" s="294">
        <f t="shared" si="81"/>
        <v>-21120914.510000002</v>
      </c>
      <c r="WX150" s="294">
        <f t="shared" si="81"/>
        <v>-14456742.1</v>
      </c>
      <c r="WY150" s="294">
        <f t="shared" si="81"/>
        <v>-13515079.720000004</v>
      </c>
      <c r="WZ150" s="294">
        <f t="shared" si="81"/>
        <v>-19266040.789999999</v>
      </c>
      <c r="XA150" s="294">
        <f t="shared" si="81"/>
        <v>-8666091.3899999987</v>
      </c>
      <c r="XB150" s="294">
        <f t="shared" si="81"/>
        <v>-15717474.100000001</v>
      </c>
      <c r="XC150" s="294">
        <f t="shared" si="81"/>
        <v>-100838179.59999998</v>
      </c>
      <c r="XD150" s="294">
        <f t="shared" si="81"/>
        <v>-14851754.239999998</v>
      </c>
      <c r="XE150" s="294">
        <f t="shared" si="81"/>
        <v>-7387322.2700000014</v>
      </c>
      <c r="XF150" s="294">
        <f t="shared" si="81"/>
        <v>-7591449.2999999998</v>
      </c>
      <c r="XG150" s="294">
        <f t="shared" si="81"/>
        <v>-16917163.919999998</v>
      </c>
      <c r="XH150" s="294">
        <f t="shared" si="81"/>
        <v>-249461725.60999998</v>
      </c>
      <c r="XI150" s="294">
        <f t="shared" si="81"/>
        <v>-35796780.629999995</v>
      </c>
      <c r="XJ150" s="294">
        <f t="shared" si="81"/>
        <v>-42044721.530000001</v>
      </c>
      <c r="XK150" s="294">
        <f t="shared" si="81"/>
        <v>-166207825.80000004</v>
      </c>
      <c r="XL150" s="294">
        <f t="shared" si="81"/>
        <v>-19362225.930000003</v>
      </c>
      <c r="XM150" s="294">
        <f t="shared" si="81"/>
        <v>-19774057.560000002</v>
      </c>
      <c r="XN150" s="294">
        <f t="shared" si="81"/>
        <v>-72835714.370000005</v>
      </c>
      <c r="XO150" s="294">
        <f t="shared" si="81"/>
        <v>-21734092.149999999</v>
      </c>
      <c r="XP150" s="294">
        <f t="shared" si="81"/>
        <v>-22802899.849999998</v>
      </c>
      <c r="XQ150" s="294">
        <f t="shared" si="81"/>
        <v>-65753465.729999997</v>
      </c>
      <c r="XR150" s="294">
        <f t="shared" si="81"/>
        <v>-58267874.670000009</v>
      </c>
      <c r="XS150" s="294">
        <f t="shared" si="81"/>
        <v>-19387860.27</v>
      </c>
      <c r="XT150" s="294">
        <f t="shared" si="81"/>
        <v>-17929475.700000007</v>
      </c>
      <c r="XU150" s="294">
        <f t="shared" ref="XU150:AAF150" si="82">XU149</f>
        <v>-13188004.6</v>
      </c>
      <c r="XV150" s="294">
        <f t="shared" si="82"/>
        <v>-15694948.310000002</v>
      </c>
      <c r="XW150" s="294">
        <f t="shared" si="82"/>
        <v>-14605917.449999999</v>
      </c>
      <c r="XX150" s="294">
        <f t="shared" si="82"/>
        <v>-9265630.0900000017</v>
      </c>
      <c r="XY150" s="294">
        <f t="shared" si="82"/>
        <v>-17832374.779999997</v>
      </c>
      <c r="XZ150" s="294">
        <f t="shared" si="82"/>
        <v>-10139317.49</v>
      </c>
      <c r="YA150" s="294">
        <f t="shared" si="82"/>
        <v>-8160013.919999999</v>
      </c>
      <c r="YB150" s="294">
        <f t="shared" si="82"/>
        <v>-10887708.33</v>
      </c>
      <c r="YC150" s="294">
        <f t="shared" si="82"/>
        <v>-16296628.699999999</v>
      </c>
      <c r="YD150" s="294">
        <f t="shared" si="82"/>
        <v>-16240186.5</v>
      </c>
      <c r="YE150" s="294">
        <f t="shared" si="82"/>
        <v>-344285190.18000007</v>
      </c>
      <c r="YF150" s="294">
        <f t="shared" si="82"/>
        <v>-23126497.079999994</v>
      </c>
      <c r="YG150" s="294">
        <f t="shared" si="82"/>
        <v>-53167180.479999997</v>
      </c>
      <c r="YH150" s="294">
        <f t="shared" si="82"/>
        <v>-12112039.92</v>
      </c>
      <c r="YI150" s="294">
        <f t="shared" si="82"/>
        <v>-100503068.73999999</v>
      </c>
      <c r="YJ150" s="294">
        <f t="shared" si="82"/>
        <v>-16188405.910000002</v>
      </c>
      <c r="YK150" s="294">
        <f t="shared" si="82"/>
        <v>-48508039.309999987</v>
      </c>
      <c r="YL150" s="294">
        <f t="shared" si="82"/>
        <v>-8768460.1999999993</v>
      </c>
      <c r="YM150" s="294">
        <f t="shared" si="82"/>
        <v>-118585345.02</v>
      </c>
      <c r="YN150" s="294">
        <f t="shared" si="82"/>
        <v>-52471152.359999999</v>
      </c>
      <c r="YO150" s="294">
        <f t="shared" si="82"/>
        <v>-15671751.580000002</v>
      </c>
      <c r="YP150" s="294">
        <f t="shared" si="82"/>
        <v>-13928593.07</v>
      </c>
      <c r="YQ150" s="294">
        <f t="shared" si="82"/>
        <v>-24588834.670000002</v>
      </c>
      <c r="YR150" s="294">
        <f t="shared" si="82"/>
        <v>-7788313.1400000006</v>
      </c>
      <c r="YS150" s="294">
        <f t="shared" si="82"/>
        <v>-10191592.299999999</v>
      </c>
      <c r="YT150" s="294">
        <f t="shared" si="82"/>
        <v>-24448834.800000001</v>
      </c>
      <c r="YU150" s="294">
        <f t="shared" si="82"/>
        <v>-8416008.5099999998</v>
      </c>
      <c r="YV150" s="294">
        <f t="shared" si="82"/>
        <v>-135523880.00999999</v>
      </c>
      <c r="YW150" s="294">
        <f t="shared" si="82"/>
        <v>-18216867.18</v>
      </c>
      <c r="YX150" s="294">
        <f t="shared" si="82"/>
        <v>-10597953.75</v>
      </c>
      <c r="YY150" s="294">
        <f t="shared" si="82"/>
        <v>-9787653.2899999991</v>
      </c>
      <c r="YZ150" s="294">
        <f t="shared" si="82"/>
        <v>-13804559.25</v>
      </c>
      <c r="ZA150" s="294">
        <f t="shared" si="82"/>
        <v>-11501631.930000002</v>
      </c>
      <c r="ZB150" s="294">
        <f t="shared" si="82"/>
        <v>-6117536.2299999995</v>
      </c>
      <c r="ZC150" s="294">
        <f t="shared" si="82"/>
        <v>-157376042.50000003</v>
      </c>
      <c r="ZD150" s="294">
        <f t="shared" si="82"/>
        <v>-6609551.3399999999</v>
      </c>
      <c r="ZE150" s="294">
        <f t="shared" si="82"/>
        <v>-17093590.219999999</v>
      </c>
      <c r="ZF150" s="294">
        <f t="shared" si="82"/>
        <v>-15841777.66</v>
      </c>
      <c r="ZG150" s="294">
        <f t="shared" si="82"/>
        <v>-12420844.08</v>
      </c>
      <c r="ZH150" s="294">
        <f t="shared" si="82"/>
        <v>-10164094.390000001</v>
      </c>
      <c r="ZI150" s="294">
        <f t="shared" si="82"/>
        <v>-17548397.629999999</v>
      </c>
      <c r="ZJ150" s="294">
        <f t="shared" si="82"/>
        <v>-9835758.75</v>
      </c>
      <c r="ZK150" s="294">
        <f t="shared" si="82"/>
        <v>-75640222.840000004</v>
      </c>
      <c r="ZL150" s="294">
        <f t="shared" si="82"/>
        <v>-423775096.3299998</v>
      </c>
      <c r="ZM150" s="294">
        <f t="shared" si="82"/>
        <v>-12612464.26</v>
      </c>
      <c r="ZN150" s="294">
        <f t="shared" si="82"/>
        <v>-37254017.530000001</v>
      </c>
      <c r="ZO150" s="294">
        <f t="shared" si="82"/>
        <v>-81870462.960000023</v>
      </c>
      <c r="ZP150" s="294">
        <f t="shared" si="82"/>
        <v>-44395214.389999993</v>
      </c>
      <c r="ZQ150" s="294">
        <f t="shared" si="82"/>
        <v>-14314478.34</v>
      </c>
      <c r="ZR150" s="294">
        <f t="shared" si="82"/>
        <v>-23521261.050000001</v>
      </c>
      <c r="ZS150" s="294">
        <f t="shared" si="82"/>
        <v>-41617835.159999996</v>
      </c>
      <c r="ZT150" s="294">
        <f t="shared" si="82"/>
        <v>-30616724.109999999</v>
      </c>
      <c r="ZU150" s="294">
        <f t="shared" si="82"/>
        <v>-66942879.620000012</v>
      </c>
      <c r="ZV150" s="294">
        <f t="shared" si="82"/>
        <v>-7510519.7999999989</v>
      </c>
      <c r="ZW150" s="294">
        <f t="shared" si="82"/>
        <v>-22850932.780000001</v>
      </c>
      <c r="ZX150" s="294">
        <f t="shared" si="82"/>
        <v>-13288533.510000002</v>
      </c>
      <c r="ZY150" s="294">
        <f t="shared" si="82"/>
        <v>-33538396.43</v>
      </c>
      <c r="ZZ150" s="294">
        <f t="shared" si="82"/>
        <v>-13496824.949999999</v>
      </c>
      <c r="AAA150" s="294">
        <f t="shared" si="82"/>
        <v>-15962702.879999999</v>
      </c>
      <c r="AAB150" s="294">
        <f t="shared" si="82"/>
        <v>-15953035.479999999</v>
      </c>
      <c r="AAC150" s="294">
        <f t="shared" si="82"/>
        <v>-7646778.1400000006</v>
      </c>
      <c r="AAD150" s="294">
        <f t="shared" si="82"/>
        <v>-29769940.720000003</v>
      </c>
      <c r="AAE150" s="294">
        <f t="shared" si="82"/>
        <v>-11064352.949999999</v>
      </c>
      <c r="AAF150" s="294">
        <f t="shared" si="82"/>
        <v>-6749544.2699999996</v>
      </c>
      <c r="AAG150" s="294">
        <f t="shared" ref="AAG150:ACR150" si="83">AAG149</f>
        <v>-10665868.9</v>
      </c>
      <c r="AAH150" s="294">
        <f t="shared" si="83"/>
        <v>-111723343.34</v>
      </c>
      <c r="AAI150" s="294">
        <f t="shared" si="83"/>
        <v>-18007452.780000001</v>
      </c>
      <c r="AAJ150" s="294">
        <f t="shared" si="83"/>
        <v>-23851049.789999995</v>
      </c>
      <c r="AAK150" s="294">
        <f t="shared" si="83"/>
        <v>-17633600.830000002</v>
      </c>
      <c r="AAL150" s="294">
        <f t="shared" si="83"/>
        <v>-9907728.4800000004</v>
      </c>
      <c r="AAM150" s="294">
        <f t="shared" si="83"/>
        <v>-35104109.310000002</v>
      </c>
      <c r="AAN150" s="294">
        <f t="shared" si="83"/>
        <v>-5489466.5300000003</v>
      </c>
      <c r="AAO150" s="294">
        <f t="shared" si="83"/>
        <v>-942139662.49000001</v>
      </c>
      <c r="AAP150" s="294">
        <f t="shared" si="83"/>
        <v>-34089773.120000005</v>
      </c>
      <c r="AAQ150" s="294">
        <f t="shared" si="83"/>
        <v>-22670680.469999999</v>
      </c>
      <c r="AAR150" s="294">
        <f t="shared" si="83"/>
        <v>-46302229.670000002</v>
      </c>
      <c r="AAS150" s="294">
        <f t="shared" si="83"/>
        <v>-57538152.25</v>
      </c>
      <c r="AAT150" s="294">
        <f t="shared" si="83"/>
        <v>-11726616.26</v>
      </c>
      <c r="AAU150" s="294">
        <f t="shared" si="83"/>
        <v>-22464510.499999996</v>
      </c>
      <c r="AAV150" s="294">
        <f t="shared" si="83"/>
        <v>-36983055.75999999</v>
      </c>
      <c r="AAW150" s="294">
        <f t="shared" si="83"/>
        <v>-120019014.93000001</v>
      </c>
      <c r="AAX150" s="294">
        <f t="shared" si="83"/>
        <v>-26345480.130000003</v>
      </c>
      <c r="AAY150" s="294">
        <f t="shared" si="83"/>
        <v>-41877886.369999997</v>
      </c>
      <c r="AAZ150" s="294">
        <f t="shared" si="83"/>
        <v>-193445142.09</v>
      </c>
      <c r="ABA150" s="294">
        <f t="shared" si="83"/>
        <v>-48784685.780000001</v>
      </c>
      <c r="ABB150" s="294">
        <f t="shared" si="83"/>
        <v>-17096705.370000001</v>
      </c>
      <c r="ABC150" s="294">
        <f t="shared" si="83"/>
        <v>-27419754.309999995</v>
      </c>
      <c r="ABD150" s="294">
        <f t="shared" si="83"/>
        <v>-23709104.089999996</v>
      </c>
      <c r="ABE150" s="294">
        <f t="shared" si="83"/>
        <v>-8005117.1399999987</v>
      </c>
      <c r="ABF150" s="294">
        <f t="shared" si="83"/>
        <v>-15355260.34</v>
      </c>
      <c r="ABG150" s="294">
        <f t="shared" si="83"/>
        <v>-17196626.23</v>
      </c>
      <c r="ABH150" s="294">
        <f t="shared" si="83"/>
        <v>-145779413.98000005</v>
      </c>
      <c r="ABI150" s="294">
        <f t="shared" si="83"/>
        <v>-134564420.19</v>
      </c>
      <c r="ABJ150" s="294">
        <f t="shared" si="83"/>
        <v>-23769586.100000001</v>
      </c>
      <c r="ABK150" s="294">
        <f t="shared" si="83"/>
        <v>-13312373.9</v>
      </c>
      <c r="ABL150" s="294">
        <f t="shared" si="83"/>
        <v>-20265937.130000003</v>
      </c>
      <c r="ABM150" s="294">
        <f t="shared" si="83"/>
        <v>-9314983.6600000001</v>
      </c>
      <c r="ABN150" s="294">
        <f t="shared" si="83"/>
        <v>-11423993.65</v>
      </c>
      <c r="ABO150" s="294">
        <f t="shared" si="83"/>
        <v>-219725166.36000001</v>
      </c>
      <c r="ABP150" s="294">
        <f t="shared" si="83"/>
        <v>-17766596.760000002</v>
      </c>
      <c r="ABQ150" s="294">
        <f t="shared" si="83"/>
        <v>-25193201.370000001</v>
      </c>
      <c r="ABR150" s="294">
        <f t="shared" si="83"/>
        <v>-36915630.669999994</v>
      </c>
      <c r="ABS150" s="294">
        <f t="shared" si="83"/>
        <v>-32202067.75</v>
      </c>
      <c r="ABT150" s="294">
        <f t="shared" si="83"/>
        <v>-16282565.32</v>
      </c>
      <c r="ABU150" s="294">
        <f t="shared" si="83"/>
        <v>-10532900.280000001</v>
      </c>
      <c r="ABV150" s="294">
        <f t="shared" si="83"/>
        <v>-17254365.449999999</v>
      </c>
      <c r="ABW150" s="294">
        <f t="shared" si="83"/>
        <v>-1819708.9200000002</v>
      </c>
      <c r="ABX150" s="294">
        <f t="shared" si="83"/>
        <v>-502683075.15000004</v>
      </c>
      <c r="ABY150" s="294">
        <f t="shared" si="83"/>
        <v>-16004399.92</v>
      </c>
      <c r="ABZ150" s="294">
        <f t="shared" si="83"/>
        <v>-25067373.959999997</v>
      </c>
      <c r="ACA150" s="294">
        <f t="shared" si="83"/>
        <v>-9849288.9699999988</v>
      </c>
      <c r="ACB150" s="294">
        <f t="shared" si="83"/>
        <v>-16858095.18</v>
      </c>
      <c r="ACC150" s="294">
        <f t="shared" si="83"/>
        <v>-126091847.48999998</v>
      </c>
      <c r="ACD150" s="294">
        <f t="shared" si="83"/>
        <v>-5334582.32</v>
      </c>
      <c r="ACE150" s="294">
        <f t="shared" si="83"/>
        <v>-12747511.839999998</v>
      </c>
      <c r="ACF150" s="294">
        <f t="shared" si="83"/>
        <v>-14859851.669999998</v>
      </c>
      <c r="ACG150" s="294">
        <f t="shared" si="83"/>
        <v>-31540557.169999998</v>
      </c>
      <c r="ACH150" s="294">
        <f t="shared" si="83"/>
        <v>-21637979.660000004</v>
      </c>
      <c r="ACI150" s="294">
        <f t="shared" si="83"/>
        <v>-316455432.66000003</v>
      </c>
      <c r="ACJ150" s="294">
        <f t="shared" si="83"/>
        <v>-15882743.43</v>
      </c>
      <c r="ACK150" s="294">
        <f t="shared" si="83"/>
        <v>-28749665.289999999</v>
      </c>
      <c r="ACL150" s="294">
        <f t="shared" si="83"/>
        <v>-49503996.190000013</v>
      </c>
      <c r="ACM150" s="294">
        <f t="shared" si="83"/>
        <v>-12978116.689999999</v>
      </c>
      <c r="ACN150" s="294">
        <f t="shared" si="83"/>
        <v>-51847501.760000005</v>
      </c>
      <c r="ACO150" s="294">
        <f t="shared" si="83"/>
        <v>-18557836.469999999</v>
      </c>
      <c r="ACP150" s="294">
        <f t="shared" si="83"/>
        <v>-160561851.08999997</v>
      </c>
      <c r="ACQ150" s="294">
        <f t="shared" si="83"/>
        <v>-166795267.06</v>
      </c>
      <c r="ACR150" s="294">
        <f t="shared" si="83"/>
        <v>-31021808.230000004</v>
      </c>
      <c r="ACS150" s="294">
        <f t="shared" ref="ACS150:AFD150" si="84">ACS149</f>
        <v>-57224960.130000003</v>
      </c>
      <c r="ACT150" s="294">
        <f t="shared" si="84"/>
        <v>-46548532.870000005</v>
      </c>
      <c r="ACU150" s="294">
        <f t="shared" si="84"/>
        <v>-28862572.110000003</v>
      </c>
      <c r="ACV150" s="294">
        <f t="shared" si="84"/>
        <v>-105394284.53</v>
      </c>
      <c r="ACW150" s="294">
        <f t="shared" si="84"/>
        <v>-23725454.27</v>
      </c>
      <c r="ACX150" s="294">
        <f t="shared" si="84"/>
        <v>-18972581.91</v>
      </c>
      <c r="ACY150" s="294">
        <f t="shared" si="84"/>
        <v>-24923081.140000001</v>
      </c>
      <c r="ACZ150" s="294">
        <f t="shared" si="84"/>
        <v>-21088335.309999999</v>
      </c>
      <c r="ADA150" s="294">
        <f t="shared" si="84"/>
        <v>-19213064.449999999</v>
      </c>
      <c r="ADB150" s="294">
        <f t="shared" si="84"/>
        <v>-10505365.41</v>
      </c>
      <c r="ADC150" s="294">
        <f t="shared" si="84"/>
        <v>-25200140.150000002</v>
      </c>
      <c r="ADD150" s="294">
        <f t="shared" si="84"/>
        <v>-11333680.189999999</v>
      </c>
      <c r="ADE150" s="294">
        <f t="shared" si="84"/>
        <v>-11462999.690000001</v>
      </c>
      <c r="ADF150" s="294">
        <f t="shared" si="84"/>
        <v>-104654217.94000001</v>
      </c>
      <c r="ADG150" s="294">
        <f t="shared" si="84"/>
        <v>-59647117.279999986</v>
      </c>
      <c r="ADH150" s="294">
        <f t="shared" si="84"/>
        <v>-4916717.6500000013</v>
      </c>
      <c r="ADI150" s="294">
        <f t="shared" si="84"/>
        <v>-11786602.84</v>
      </c>
      <c r="ADJ150" s="294">
        <f t="shared" si="84"/>
        <v>-31562618.920000002</v>
      </c>
      <c r="ADK150" s="294">
        <f t="shared" si="84"/>
        <v>-14517305.220000001</v>
      </c>
      <c r="ADL150" s="294">
        <f t="shared" si="84"/>
        <v>-19930830.899999999</v>
      </c>
      <c r="ADM150" s="294">
        <f t="shared" si="84"/>
        <v>-18004936.539999999</v>
      </c>
      <c r="ADN150" s="294">
        <f t="shared" si="84"/>
        <v>-33928301</v>
      </c>
      <c r="ADO150" s="294">
        <f t="shared" si="84"/>
        <v>-551650207.38000011</v>
      </c>
      <c r="ADP150" s="294">
        <f t="shared" si="84"/>
        <v>-79660705.200000003</v>
      </c>
      <c r="ADQ150" s="294">
        <f t="shared" si="84"/>
        <v>-44645834.680000007</v>
      </c>
      <c r="ADR150" s="294">
        <f t="shared" si="84"/>
        <v>-4460287.2300000004</v>
      </c>
      <c r="ADS150" s="294">
        <f t="shared" si="84"/>
        <v>-161131792.48999998</v>
      </c>
      <c r="ADT150" s="294">
        <f t="shared" si="84"/>
        <v>-7172994.6299999999</v>
      </c>
      <c r="ADU150" s="294">
        <f t="shared" si="84"/>
        <v>-21629823.899999999</v>
      </c>
      <c r="ADV150" s="294">
        <f t="shared" si="84"/>
        <v>-18926752.16</v>
      </c>
      <c r="ADW150" s="294">
        <f t="shared" si="84"/>
        <v>-8276595.3300000001</v>
      </c>
      <c r="ADX150" s="294">
        <f t="shared" si="84"/>
        <v>-5822981.040000001</v>
      </c>
      <c r="ADY150" s="294">
        <f t="shared" si="84"/>
        <v>-616613811.97000003</v>
      </c>
      <c r="ADZ150" s="294">
        <f t="shared" si="84"/>
        <v>-162250085.32999998</v>
      </c>
      <c r="AEA150" s="294">
        <f t="shared" si="84"/>
        <v>-101837250.94999999</v>
      </c>
      <c r="AEB150" s="294">
        <f t="shared" si="84"/>
        <v>-35848188.780000001</v>
      </c>
      <c r="AEC150" s="294">
        <f t="shared" si="84"/>
        <v>-19712271</v>
      </c>
      <c r="AED150" s="294">
        <f t="shared" si="84"/>
        <v>-47358698.759999998</v>
      </c>
      <c r="AEE150" s="294">
        <f t="shared" si="84"/>
        <v>-33465348.029999997</v>
      </c>
      <c r="AEF150" s="294">
        <f t="shared" si="84"/>
        <v>-23740596.610000003</v>
      </c>
      <c r="AEG150" s="294">
        <f t="shared" si="84"/>
        <v>-14997730.100000001</v>
      </c>
      <c r="AEH150" s="294">
        <f t="shared" si="84"/>
        <v>-14263362.280000003</v>
      </c>
      <c r="AEI150" s="294">
        <f t="shared" si="84"/>
        <v>-39308561.959999993</v>
      </c>
      <c r="AEJ150" s="294">
        <f t="shared" si="84"/>
        <v>-18346541.929999996</v>
      </c>
      <c r="AEK150" s="294">
        <f t="shared" si="84"/>
        <v>-11346607.32</v>
      </c>
      <c r="AEL150" s="294">
        <f t="shared" si="84"/>
        <v>-23904329.649999999</v>
      </c>
      <c r="AEM150" s="294">
        <f t="shared" si="84"/>
        <v>-32987971.289999999</v>
      </c>
      <c r="AEN150" s="294">
        <f t="shared" si="84"/>
        <v>-33728495.469999991</v>
      </c>
      <c r="AEO150" s="294">
        <f t="shared" si="84"/>
        <v>-8384319.4699999997</v>
      </c>
      <c r="AEP150" s="294">
        <f t="shared" si="84"/>
        <v>-76409583.899999991</v>
      </c>
      <c r="AEQ150" s="294">
        <f t="shared" si="84"/>
        <v>-6396714.9800000004</v>
      </c>
      <c r="AER150" s="294">
        <f t="shared" si="84"/>
        <v>-61544051.82</v>
      </c>
      <c r="AES150" s="294">
        <f t="shared" si="84"/>
        <v>-252607591.70000014</v>
      </c>
      <c r="AET150" s="294">
        <f t="shared" si="84"/>
        <v>-42987756.829999991</v>
      </c>
      <c r="AEU150" s="294">
        <f t="shared" si="84"/>
        <v>-25464716.950000003</v>
      </c>
      <c r="AEV150" s="294">
        <f t="shared" si="84"/>
        <v>-31574799.5</v>
      </c>
      <c r="AEW150" s="294">
        <f t="shared" si="84"/>
        <v>-16465332.290000001</v>
      </c>
      <c r="AEX150" s="294">
        <f t="shared" si="84"/>
        <v>-82269201.289999977</v>
      </c>
      <c r="AEY150" s="294">
        <f t="shared" si="84"/>
        <v>-29588446.219999999</v>
      </c>
      <c r="AEZ150" s="294">
        <f t="shared" si="84"/>
        <v>-32027676.359999996</v>
      </c>
      <c r="AFA150" s="294">
        <f t="shared" si="84"/>
        <v>-26954943.710000001</v>
      </c>
      <c r="AFB150" s="294">
        <f t="shared" si="84"/>
        <v>-12458084.330000002</v>
      </c>
      <c r="AFC150" s="294">
        <f t="shared" si="84"/>
        <v>-262821302.67000002</v>
      </c>
      <c r="AFD150" s="294">
        <f t="shared" si="84"/>
        <v>-45334700.380000003</v>
      </c>
      <c r="AFE150" s="294">
        <f t="shared" ref="AFE150:AHP150" si="85">AFE149</f>
        <v>-32245127.109999999</v>
      </c>
      <c r="AFF150" s="294">
        <f t="shared" si="85"/>
        <v>-20689794.810000002</v>
      </c>
      <c r="AFG150" s="294">
        <f t="shared" si="85"/>
        <v>-34869721.810000002</v>
      </c>
      <c r="AFH150" s="294">
        <f t="shared" si="85"/>
        <v>-28454241.190000001</v>
      </c>
      <c r="AFI150" s="294">
        <f t="shared" si="85"/>
        <v>-20864379.68</v>
      </c>
      <c r="AFJ150" s="294">
        <f t="shared" si="85"/>
        <v>-20806892.249999996</v>
      </c>
      <c r="AFK150" s="294">
        <f t="shared" si="85"/>
        <v>-12652751.529999999</v>
      </c>
      <c r="AFL150" s="294">
        <f t="shared" si="85"/>
        <v>-29458553.349999998</v>
      </c>
      <c r="AFM150" s="294">
        <f t="shared" si="85"/>
        <v>-16985275.5</v>
      </c>
      <c r="AFN150" s="294">
        <f t="shared" si="85"/>
        <v>-14573696.769999998</v>
      </c>
      <c r="AFO150" s="294">
        <f t="shared" si="85"/>
        <v>-31158308.130000003</v>
      </c>
      <c r="AFP150" s="294">
        <f t="shared" si="85"/>
        <v>-244660853.61000001</v>
      </c>
      <c r="AFQ150" s="294">
        <f t="shared" si="85"/>
        <v>-51028750.299999997</v>
      </c>
      <c r="AFR150" s="294">
        <f t="shared" si="85"/>
        <v>-43752310.200000003</v>
      </c>
      <c r="AFS150" s="294">
        <f t="shared" si="85"/>
        <v>-26998544.340000011</v>
      </c>
      <c r="AFT150" s="294">
        <f t="shared" si="85"/>
        <v>-30489036.130000003</v>
      </c>
      <c r="AFU150" s="294">
        <f t="shared" si="85"/>
        <v>-30072269.010000005</v>
      </c>
      <c r="AFV150" s="294">
        <f t="shared" si="85"/>
        <v>-12037456.77</v>
      </c>
      <c r="AFW150" s="294">
        <f t="shared" si="85"/>
        <v>-42948690.68999999</v>
      </c>
      <c r="AFX150" s="294">
        <f t="shared" si="85"/>
        <v>-54816104.559999995</v>
      </c>
      <c r="AFY150" s="294">
        <f t="shared" si="85"/>
        <v>-15808457.859999998</v>
      </c>
      <c r="AFZ150" s="294">
        <f t="shared" si="85"/>
        <v>-66160207.339999989</v>
      </c>
      <c r="AGA150" s="294">
        <f t="shared" si="85"/>
        <v>-16319193.27</v>
      </c>
      <c r="AGB150" s="294">
        <f t="shared" si="85"/>
        <v>-169170972.56</v>
      </c>
      <c r="AGC150" s="294">
        <f t="shared" si="85"/>
        <v>-21112217.43</v>
      </c>
      <c r="AGD150" s="294">
        <f t="shared" si="85"/>
        <v>-18269268.709999997</v>
      </c>
      <c r="AGE150" s="294">
        <f t="shared" si="85"/>
        <v>-18713248.59</v>
      </c>
      <c r="AGF150" s="294">
        <f t="shared" si="85"/>
        <v>-46052903.740000017</v>
      </c>
      <c r="AGG150" s="294">
        <f t="shared" si="85"/>
        <v>-24527923.07</v>
      </c>
      <c r="AGH150" s="294">
        <f t="shared" si="85"/>
        <v>-9952895.4900000002</v>
      </c>
      <c r="AGI150" s="294">
        <f t="shared" si="85"/>
        <v>-12799039.82</v>
      </c>
      <c r="AGJ150" s="294">
        <f t="shared" si="85"/>
        <v>-9196058.2300000004</v>
      </c>
      <c r="AGK150" s="294">
        <f t="shared" si="85"/>
        <v>-15417004.770000001</v>
      </c>
      <c r="AGL150" s="294">
        <f t="shared" si="85"/>
        <v>-16403896.550000001</v>
      </c>
      <c r="AGM150" s="294">
        <f t="shared" si="85"/>
        <v>-157026519.04999998</v>
      </c>
      <c r="AGN150" s="294">
        <f t="shared" si="85"/>
        <v>-49052631.43999999</v>
      </c>
      <c r="AGO150" s="294">
        <f t="shared" si="85"/>
        <v>-31051752.860000007</v>
      </c>
      <c r="AGP150" s="294">
        <f t="shared" si="85"/>
        <v>-11105093.289999997</v>
      </c>
      <c r="AGQ150" s="294">
        <f t="shared" si="85"/>
        <v>-37281762.31000001</v>
      </c>
      <c r="AGR150" s="294">
        <f t="shared" si="85"/>
        <v>-38166314.060000002</v>
      </c>
      <c r="AGS150" s="294">
        <f t="shared" si="85"/>
        <v>-19089478.829999998</v>
      </c>
      <c r="AGT150" s="294">
        <f t="shared" si="85"/>
        <v>-18431512.140000001</v>
      </c>
      <c r="AGU150" s="294">
        <f t="shared" si="85"/>
        <v>-475279952.24000001</v>
      </c>
      <c r="AGV150" s="294">
        <f t="shared" si="85"/>
        <v>-511950808.74000001</v>
      </c>
      <c r="AGW150" s="294">
        <f t="shared" si="85"/>
        <v>-25758016.120000008</v>
      </c>
      <c r="AGX150" s="294">
        <f t="shared" si="85"/>
        <v>-36824491.860000007</v>
      </c>
      <c r="AGY150" s="294">
        <f t="shared" si="85"/>
        <v>-70847197.039999992</v>
      </c>
      <c r="AGZ150" s="294">
        <f t="shared" si="85"/>
        <v>-14349630.410000002</v>
      </c>
      <c r="AHA150" s="294">
        <f t="shared" si="85"/>
        <v>-23882535.699999999</v>
      </c>
      <c r="AHB150" s="294">
        <f t="shared" si="85"/>
        <v>-30443827.460000001</v>
      </c>
      <c r="AHC150" s="294">
        <f t="shared" si="85"/>
        <v>-7321030.2700000005</v>
      </c>
      <c r="AHD150" s="294">
        <f t="shared" si="85"/>
        <v>-45661781.759999998</v>
      </c>
      <c r="AHE150" s="294">
        <f t="shared" si="85"/>
        <v>-45243332.380000003</v>
      </c>
      <c r="AHF150" s="294">
        <f t="shared" si="85"/>
        <v>-21700216.870000001</v>
      </c>
      <c r="AHG150" s="294">
        <f t="shared" si="85"/>
        <v>-12754733.34</v>
      </c>
      <c r="AHH150" s="294">
        <f t="shared" si="85"/>
        <v>-25303281.82</v>
      </c>
      <c r="AHI150" s="294">
        <f t="shared" si="85"/>
        <v>-9948465.1699999981</v>
      </c>
      <c r="AHJ150" s="294">
        <f t="shared" si="85"/>
        <v>-11160880.219999999</v>
      </c>
      <c r="AHK150" s="294">
        <f t="shared" si="85"/>
        <v>-18328081.489999998</v>
      </c>
      <c r="AHL150" s="294">
        <f t="shared" si="85"/>
        <v>-165958521.68000001</v>
      </c>
      <c r="AHM150" s="294">
        <f t="shared" si="85"/>
        <v>-10276109.899999999</v>
      </c>
      <c r="AHN150" s="294">
        <f t="shared" si="85"/>
        <v>-12835276.609999999</v>
      </c>
      <c r="AHO150" s="294">
        <f t="shared" si="85"/>
        <v>-12864904.66</v>
      </c>
      <c r="AHP150" s="294">
        <f t="shared" si="85"/>
        <v>-24135164.989999998</v>
      </c>
      <c r="AHQ150" s="294">
        <f t="shared" ref="AHQ150:AHS150" si="86">AHQ149</f>
        <v>-10418254.089999998</v>
      </c>
      <c r="AHR150" s="294">
        <f t="shared" si="86"/>
        <v>-19150849.91</v>
      </c>
      <c r="AHS150" s="294">
        <f t="shared" si="86"/>
        <v>-52112287585.731018</v>
      </c>
    </row>
    <row r="151" spans="1:907" ht="24.6" x14ac:dyDescent="0.7"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  <c r="BR151" s="294"/>
      <c r="BS151" s="294"/>
      <c r="BT151" s="294"/>
      <c r="BU151" s="294"/>
      <c r="BV151" s="294"/>
      <c r="BW151" s="294"/>
      <c r="BX151" s="294"/>
      <c r="BY151" s="294"/>
      <c r="BZ151" s="294"/>
      <c r="CA151" s="294"/>
      <c r="CB151" s="294"/>
      <c r="CC151" s="294"/>
      <c r="CD151" s="294"/>
      <c r="CE151" s="294"/>
      <c r="CF151" s="294"/>
      <c r="CG151" s="294"/>
      <c r="CH151" s="294"/>
      <c r="CI151" s="294"/>
      <c r="CJ151" s="294"/>
      <c r="CK151" s="294"/>
      <c r="CL151" s="294"/>
      <c r="CM151" s="294"/>
      <c r="CN151" s="294"/>
      <c r="CO151" s="294"/>
      <c r="CP151" s="294"/>
      <c r="CQ151" s="294"/>
      <c r="CR151" s="294"/>
      <c r="CS151" s="294"/>
      <c r="CT151" s="294"/>
      <c r="CU151" s="294"/>
      <c r="CV151" s="294"/>
      <c r="CW151" s="294"/>
      <c r="CX151" s="294"/>
      <c r="CY151" s="294"/>
      <c r="CZ151" s="294"/>
      <c r="DA151" s="294"/>
      <c r="DB151" s="294"/>
      <c r="DC151" s="294"/>
      <c r="DD151" s="294"/>
      <c r="DE151" s="294"/>
      <c r="DF151" s="294"/>
      <c r="DG151" s="294"/>
      <c r="DH151" s="294"/>
      <c r="DI151" s="294"/>
      <c r="DJ151" s="294"/>
      <c r="DK151" s="294"/>
      <c r="DL151" s="294"/>
      <c r="DM151" s="294"/>
      <c r="DN151" s="294"/>
      <c r="DO151" s="294"/>
      <c r="DP151" s="294"/>
      <c r="DQ151" s="294"/>
      <c r="DR151" s="294"/>
      <c r="DS151" s="294"/>
      <c r="DT151" s="294"/>
      <c r="DU151" s="294"/>
      <c r="DV151" s="294"/>
      <c r="DW151" s="294"/>
      <c r="DX151" s="294"/>
      <c r="DY151" s="294"/>
      <c r="DZ151" s="294"/>
      <c r="EA151" s="294"/>
      <c r="EB151" s="294"/>
      <c r="EC151" s="294"/>
      <c r="ED151" s="294"/>
      <c r="EE151" s="294"/>
      <c r="EF151" s="294"/>
      <c r="EG151" s="294"/>
      <c r="EH151" s="294"/>
      <c r="EI151" s="294"/>
      <c r="EJ151" s="294"/>
      <c r="EK151" s="294"/>
      <c r="EL151" s="294"/>
      <c r="EM151" s="294"/>
      <c r="EN151" s="294"/>
      <c r="EO151" s="294"/>
      <c r="EP151" s="294"/>
      <c r="EQ151" s="294"/>
      <c r="ER151" s="294"/>
      <c r="ES151" s="294"/>
      <c r="ET151" s="294"/>
      <c r="EU151" s="294"/>
      <c r="EV151" s="294"/>
      <c r="EW151" s="294"/>
      <c r="EX151" s="294"/>
      <c r="EY151" s="294"/>
      <c r="EZ151" s="294"/>
      <c r="FA151" s="294"/>
      <c r="FB151" s="294"/>
      <c r="FC151" s="294"/>
      <c r="FD151" s="294"/>
      <c r="FE151" s="294"/>
      <c r="FF151" s="294"/>
      <c r="FG151" s="294"/>
      <c r="FH151" s="294"/>
      <c r="FI151" s="294"/>
      <c r="FJ151" s="294"/>
      <c r="FK151" s="294"/>
      <c r="FL151" s="294"/>
      <c r="FM151" s="294"/>
      <c r="FN151" s="294"/>
      <c r="FO151" s="294"/>
      <c r="FP151" s="294"/>
      <c r="FQ151" s="294"/>
      <c r="FR151" s="294"/>
      <c r="FS151" s="294"/>
      <c r="FT151" s="294"/>
      <c r="FU151" s="294"/>
      <c r="FV151" s="294"/>
      <c r="FW151" s="294"/>
      <c r="FX151" s="294"/>
      <c r="FY151" s="294"/>
      <c r="FZ151" s="294"/>
      <c r="GA151" s="294"/>
      <c r="GB151" s="294"/>
      <c r="GC151" s="294"/>
      <c r="GD151" s="294"/>
      <c r="GE151" s="294"/>
      <c r="GF151" s="294"/>
      <c r="GG151" s="294"/>
      <c r="GH151" s="294"/>
      <c r="GI151" s="294"/>
      <c r="GJ151" s="294"/>
      <c r="GK151" s="294"/>
      <c r="GL151" s="294"/>
      <c r="GM151" s="294"/>
      <c r="GN151" s="294"/>
      <c r="GO151" s="294"/>
      <c r="GP151" s="294"/>
      <c r="GQ151" s="294"/>
      <c r="GR151" s="294"/>
      <c r="GS151" s="294"/>
      <c r="GT151" s="294"/>
      <c r="GU151" s="294"/>
      <c r="GV151" s="294"/>
      <c r="GW151" s="294"/>
      <c r="GX151" s="294"/>
      <c r="GY151" s="294"/>
      <c r="GZ151" s="294"/>
      <c r="HA151" s="294"/>
      <c r="HB151" s="294"/>
      <c r="HC151" s="294"/>
      <c r="HD151" s="294"/>
      <c r="HE151" s="294"/>
      <c r="HF151" s="294"/>
      <c r="HG151" s="294"/>
      <c r="HH151" s="294"/>
      <c r="HI151" s="294"/>
      <c r="HJ151" s="294"/>
      <c r="HK151" s="294"/>
      <c r="HL151" s="294"/>
      <c r="HM151" s="294"/>
      <c r="HN151" s="294"/>
      <c r="HO151" s="294"/>
      <c r="HP151" s="294"/>
      <c r="HQ151" s="294"/>
      <c r="HR151" s="294"/>
      <c r="HS151" s="294"/>
      <c r="HT151" s="294"/>
      <c r="HU151" s="294"/>
      <c r="HV151" s="294"/>
      <c r="HW151" s="294"/>
      <c r="HX151" s="294"/>
      <c r="HY151" s="294"/>
      <c r="HZ151" s="294"/>
      <c r="IA151" s="294"/>
      <c r="IB151" s="294"/>
      <c r="IC151" s="294"/>
      <c r="ID151" s="294"/>
      <c r="IE151" s="294"/>
      <c r="IF151" s="294"/>
      <c r="IG151" s="294"/>
      <c r="IH151" s="294"/>
      <c r="II151" s="294"/>
      <c r="IJ151" s="294"/>
      <c r="IK151" s="294"/>
      <c r="IL151" s="294"/>
      <c r="IM151" s="294"/>
      <c r="IN151" s="294"/>
      <c r="IO151" s="294"/>
      <c r="IP151" s="294"/>
      <c r="IQ151" s="294"/>
      <c r="IR151" s="294"/>
      <c r="IS151" s="294"/>
      <c r="IT151" s="294"/>
      <c r="IU151" s="294"/>
      <c r="IV151" s="294"/>
      <c r="IW151" s="294"/>
      <c r="IX151" s="294"/>
      <c r="IY151" s="294"/>
      <c r="IZ151" s="294"/>
      <c r="JA151" s="294"/>
      <c r="JB151" s="294"/>
      <c r="JC151" s="294"/>
      <c r="JD151" s="294"/>
      <c r="JE151" s="294"/>
      <c r="JF151" s="294"/>
      <c r="JG151" s="294"/>
      <c r="JH151" s="294"/>
      <c r="JI151" s="294"/>
      <c r="JJ151" s="294"/>
      <c r="JK151" s="294"/>
      <c r="JL151" s="294"/>
      <c r="JM151" s="294"/>
      <c r="JN151" s="294"/>
      <c r="JO151" s="294"/>
      <c r="JP151" s="294"/>
      <c r="JQ151" s="294"/>
      <c r="JR151" s="294"/>
      <c r="JS151" s="294"/>
      <c r="JT151" s="294"/>
      <c r="JU151" s="294"/>
      <c r="JV151" s="294"/>
      <c r="JW151" s="294"/>
      <c r="JX151" s="294"/>
      <c r="JY151" s="294"/>
      <c r="JZ151" s="294"/>
      <c r="KA151" s="294"/>
      <c r="KB151" s="294"/>
      <c r="KC151" s="294"/>
      <c r="KD151" s="294"/>
      <c r="KE151" s="294"/>
      <c r="KF151" s="294"/>
      <c r="KG151" s="294"/>
      <c r="KH151" s="294"/>
      <c r="KI151" s="294"/>
      <c r="KJ151" s="294"/>
      <c r="KK151" s="294"/>
      <c r="KL151" s="294"/>
      <c r="KM151" s="294"/>
      <c r="KN151" s="294"/>
      <c r="KO151" s="294"/>
      <c r="KP151" s="294"/>
      <c r="KQ151" s="294"/>
      <c r="KR151" s="294"/>
      <c r="KS151" s="294"/>
      <c r="KT151" s="294"/>
      <c r="KU151" s="294"/>
      <c r="KV151" s="294"/>
      <c r="KW151" s="294"/>
      <c r="KX151" s="294"/>
      <c r="KY151" s="294"/>
      <c r="KZ151" s="294"/>
      <c r="LA151" s="294"/>
      <c r="LB151" s="294"/>
      <c r="LC151" s="294"/>
      <c r="LD151" s="294"/>
      <c r="LE151" s="294"/>
      <c r="LF151" s="294"/>
      <c r="LG151" s="294"/>
      <c r="LH151" s="294"/>
      <c r="LI151" s="294"/>
      <c r="LJ151" s="294"/>
      <c r="LK151" s="294"/>
      <c r="LL151" s="294"/>
      <c r="LM151" s="294"/>
      <c r="LN151" s="294"/>
      <c r="LO151" s="294"/>
      <c r="LP151" s="294"/>
      <c r="LQ151" s="294"/>
      <c r="LR151" s="294"/>
      <c r="LS151" s="294"/>
      <c r="LT151" s="294"/>
      <c r="LU151" s="294"/>
      <c r="LV151" s="294"/>
      <c r="LW151" s="294"/>
      <c r="LX151" s="294"/>
      <c r="LY151" s="294"/>
      <c r="LZ151" s="294"/>
      <c r="MA151" s="294"/>
      <c r="MB151" s="294"/>
      <c r="MC151" s="294"/>
      <c r="MD151" s="294"/>
      <c r="ME151" s="294"/>
      <c r="MF151" s="294"/>
      <c r="MG151" s="294"/>
      <c r="MH151" s="294"/>
      <c r="MI151" s="294"/>
      <c r="MJ151" s="294"/>
      <c r="MK151" s="294"/>
      <c r="ML151" s="294"/>
      <c r="MM151" s="294"/>
      <c r="MN151" s="294"/>
      <c r="MO151" s="294"/>
      <c r="MP151" s="294"/>
      <c r="MQ151" s="294"/>
      <c r="MR151" s="294"/>
      <c r="MS151" s="294"/>
      <c r="MT151" s="294"/>
      <c r="MU151" s="294"/>
      <c r="MV151" s="294"/>
      <c r="MW151" s="294"/>
      <c r="MX151" s="294"/>
      <c r="MY151" s="294"/>
      <c r="MZ151" s="294"/>
      <c r="NA151" s="294"/>
      <c r="NB151" s="294"/>
      <c r="NC151" s="294"/>
      <c r="ND151" s="294"/>
      <c r="NE151" s="294"/>
      <c r="NF151" s="294"/>
      <c r="NG151" s="294"/>
      <c r="NH151" s="294"/>
      <c r="NI151" s="294"/>
      <c r="NJ151" s="294"/>
      <c r="NK151" s="294"/>
      <c r="NL151" s="294"/>
      <c r="NM151" s="294"/>
      <c r="NN151" s="294"/>
      <c r="NO151" s="294"/>
      <c r="NP151" s="294"/>
      <c r="NQ151" s="294"/>
      <c r="NR151" s="294"/>
      <c r="NS151" s="294"/>
      <c r="NT151" s="294"/>
      <c r="NU151" s="294"/>
      <c r="NV151" s="294"/>
      <c r="NW151" s="294"/>
      <c r="NX151" s="294"/>
      <c r="NY151" s="294"/>
      <c r="NZ151" s="294"/>
      <c r="OA151" s="294"/>
      <c r="OB151" s="294"/>
      <c r="OC151" s="294"/>
      <c r="OD151" s="294"/>
      <c r="OE151" s="294"/>
      <c r="OF151" s="294"/>
      <c r="OG151" s="294"/>
      <c r="OH151" s="294"/>
      <c r="OI151" s="294"/>
      <c r="OJ151" s="294"/>
      <c r="OK151" s="294"/>
      <c r="OL151" s="294"/>
      <c r="OM151" s="294"/>
      <c r="ON151" s="294"/>
      <c r="OO151" s="294"/>
      <c r="OP151" s="294"/>
      <c r="OQ151" s="294"/>
      <c r="OR151" s="294"/>
      <c r="OS151" s="294"/>
      <c r="OT151" s="294"/>
      <c r="OU151" s="294"/>
      <c r="OV151" s="294"/>
      <c r="OW151" s="294"/>
      <c r="OX151" s="294"/>
      <c r="OY151" s="294"/>
      <c r="OZ151" s="294"/>
      <c r="PA151" s="294"/>
      <c r="PB151" s="294"/>
      <c r="PC151" s="294"/>
      <c r="PD151" s="294"/>
      <c r="PE151" s="294"/>
      <c r="PF151" s="294"/>
      <c r="PG151" s="294"/>
      <c r="PH151" s="294"/>
      <c r="PI151" s="294"/>
      <c r="PJ151" s="294"/>
      <c r="PK151" s="294"/>
      <c r="PL151" s="294"/>
      <c r="PM151" s="294"/>
      <c r="PN151" s="294"/>
      <c r="PO151" s="294"/>
      <c r="PP151" s="294"/>
      <c r="PQ151" s="294"/>
      <c r="PR151" s="294"/>
      <c r="PS151" s="294"/>
      <c r="PT151" s="294"/>
      <c r="PU151" s="294"/>
      <c r="PV151" s="294"/>
      <c r="PW151" s="294"/>
      <c r="PX151" s="294"/>
      <c r="PY151" s="294"/>
      <c r="PZ151" s="294"/>
      <c r="QA151" s="294"/>
      <c r="QB151" s="294"/>
      <c r="QC151" s="294"/>
      <c r="QD151" s="294"/>
      <c r="QE151" s="294"/>
      <c r="QF151" s="294"/>
      <c r="QG151" s="294"/>
      <c r="QH151" s="294"/>
      <c r="QI151" s="294"/>
      <c r="QJ151" s="294"/>
      <c r="QK151" s="294"/>
      <c r="QL151" s="294"/>
      <c r="QM151" s="294"/>
      <c r="QN151" s="294"/>
      <c r="QO151" s="294"/>
      <c r="QP151" s="294"/>
      <c r="QQ151" s="294"/>
      <c r="QR151" s="294"/>
      <c r="QS151" s="294"/>
      <c r="QT151" s="294"/>
      <c r="QU151" s="294"/>
      <c r="QV151" s="294"/>
      <c r="QW151" s="294"/>
      <c r="QX151" s="294"/>
      <c r="QY151" s="294"/>
      <c r="QZ151" s="294"/>
      <c r="RA151" s="294"/>
      <c r="RB151" s="294"/>
      <c r="RC151" s="294"/>
      <c r="RD151" s="294"/>
      <c r="RE151" s="294"/>
      <c r="RF151" s="294"/>
      <c r="RG151" s="294"/>
      <c r="RH151" s="294"/>
      <c r="RI151" s="294"/>
      <c r="RJ151" s="294"/>
      <c r="RK151" s="294"/>
      <c r="RL151" s="294"/>
      <c r="RM151" s="294"/>
      <c r="RN151" s="294"/>
      <c r="RO151" s="294"/>
      <c r="RP151" s="294"/>
      <c r="RQ151" s="294"/>
      <c r="RR151" s="294"/>
      <c r="RS151" s="294"/>
      <c r="RT151" s="294"/>
      <c r="RU151" s="294"/>
      <c r="RV151" s="294"/>
      <c r="RW151" s="294"/>
      <c r="RX151" s="294"/>
      <c r="RY151" s="294"/>
      <c r="RZ151" s="294"/>
      <c r="SA151" s="294"/>
      <c r="SB151" s="294"/>
      <c r="SC151" s="294"/>
      <c r="SD151" s="294"/>
      <c r="SE151" s="294"/>
      <c r="SF151" s="294"/>
      <c r="SG151" s="294"/>
      <c r="SH151" s="294"/>
      <c r="SI151" s="294"/>
      <c r="SJ151" s="294"/>
      <c r="SK151" s="294"/>
      <c r="SL151" s="294"/>
      <c r="SM151" s="294"/>
      <c r="SN151" s="294"/>
      <c r="SO151" s="294"/>
      <c r="SP151" s="294"/>
      <c r="SQ151" s="294"/>
      <c r="SR151" s="294"/>
      <c r="SS151" s="294"/>
      <c r="ST151" s="294"/>
      <c r="SU151" s="294"/>
      <c r="SV151" s="294"/>
      <c r="SW151" s="294"/>
      <c r="SX151" s="294"/>
      <c r="SY151" s="294"/>
      <c r="SZ151" s="294"/>
      <c r="TA151" s="294"/>
      <c r="TB151" s="294"/>
      <c r="TC151" s="294"/>
      <c r="TD151" s="294"/>
      <c r="TE151" s="294"/>
      <c r="TF151" s="294"/>
      <c r="TG151" s="294"/>
      <c r="TH151" s="294"/>
      <c r="TI151" s="294"/>
      <c r="TJ151" s="294"/>
      <c r="TK151" s="294"/>
      <c r="TL151" s="294"/>
      <c r="TM151" s="294"/>
      <c r="TN151" s="294"/>
      <c r="TO151" s="294"/>
      <c r="TP151" s="294"/>
      <c r="TQ151" s="294"/>
      <c r="TR151" s="294"/>
      <c r="TS151" s="294"/>
      <c r="TT151" s="294"/>
      <c r="TU151" s="294"/>
      <c r="TV151" s="294"/>
      <c r="TW151" s="294"/>
      <c r="TX151" s="294"/>
      <c r="TY151" s="294"/>
      <c r="TZ151" s="294"/>
      <c r="UA151" s="294"/>
      <c r="UB151" s="294"/>
      <c r="UC151" s="294"/>
      <c r="UD151" s="294"/>
      <c r="UE151" s="294"/>
      <c r="UF151" s="294"/>
      <c r="UG151" s="294"/>
      <c r="UH151" s="294"/>
      <c r="UI151" s="294"/>
      <c r="UJ151" s="294"/>
      <c r="UK151" s="294"/>
      <c r="UL151" s="294"/>
      <c r="UM151" s="294"/>
      <c r="UN151" s="294"/>
      <c r="UO151" s="294"/>
      <c r="UP151" s="294"/>
      <c r="UQ151" s="294"/>
      <c r="UR151" s="294"/>
      <c r="US151" s="294"/>
      <c r="UT151" s="294"/>
      <c r="UU151" s="294"/>
      <c r="UV151" s="294"/>
      <c r="UW151" s="294"/>
      <c r="UX151" s="294"/>
      <c r="UY151" s="294"/>
      <c r="UZ151" s="294"/>
      <c r="VA151" s="294"/>
      <c r="VB151" s="294"/>
      <c r="VC151" s="294"/>
      <c r="VD151" s="294"/>
      <c r="VE151" s="294"/>
      <c r="VF151" s="294"/>
      <c r="VG151" s="294"/>
      <c r="VH151" s="294"/>
      <c r="VI151" s="294"/>
      <c r="VJ151" s="294"/>
      <c r="VK151" s="294"/>
      <c r="VL151" s="294"/>
      <c r="VM151" s="294"/>
      <c r="VN151" s="294"/>
      <c r="VO151" s="294"/>
      <c r="VP151" s="294"/>
      <c r="VQ151" s="294"/>
      <c r="VR151" s="294"/>
      <c r="VS151" s="294"/>
      <c r="VT151" s="294"/>
      <c r="VU151" s="294"/>
      <c r="VV151" s="294"/>
      <c r="VW151" s="294"/>
      <c r="VX151" s="294"/>
      <c r="VY151" s="294"/>
      <c r="VZ151" s="294"/>
      <c r="WA151" s="294"/>
      <c r="WB151" s="294"/>
      <c r="WC151" s="294"/>
      <c r="WD151" s="294"/>
      <c r="WE151" s="294"/>
      <c r="WF151" s="294"/>
      <c r="WG151" s="294"/>
      <c r="WH151" s="294"/>
      <c r="WI151" s="294"/>
      <c r="WJ151" s="294"/>
      <c r="WK151" s="294"/>
      <c r="WL151" s="294"/>
      <c r="WM151" s="294"/>
      <c r="WN151" s="294"/>
      <c r="WO151" s="294"/>
      <c r="WP151" s="294"/>
      <c r="WQ151" s="294"/>
      <c r="WR151" s="294"/>
      <c r="WS151" s="294"/>
      <c r="WT151" s="294"/>
      <c r="WU151" s="294"/>
      <c r="WV151" s="294"/>
      <c r="WW151" s="294"/>
      <c r="WX151" s="294"/>
      <c r="WY151" s="294"/>
      <c r="WZ151" s="294"/>
      <c r="XA151" s="294"/>
      <c r="XB151" s="294"/>
      <c r="XC151" s="294"/>
      <c r="XD151" s="294"/>
      <c r="XE151" s="294"/>
      <c r="XF151" s="294"/>
      <c r="XG151" s="294"/>
      <c r="XH151" s="294"/>
      <c r="XI151" s="294"/>
      <c r="XJ151" s="294"/>
      <c r="XK151" s="294"/>
      <c r="XL151" s="294"/>
      <c r="XM151" s="294"/>
      <c r="XN151" s="294"/>
      <c r="XO151" s="294"/>
      <c r="XP151" s="294"/>
      <c r="XQ151" s="294"/>
      <c r="XR151" s="294"/>
      <c r="XS151" s="294"/>
      <c r="XT151" s="294"/>
      <c r="XU151" s="294"/>
      <c r="XV151" s="294"/>
      <c r="XW151" s="294"/>
      <c r="XX151" s="294"/>
      <c r="XY151" s="294"/>
      <c r="XZ151" s="294"/>
      <c r="YA151" s="294"/>
      <c r="YB151" s="294"/>
      <c r="YC151" s="294"/>
      <c r="YD151" s="294"/>
      <c r="YE151" s="294"/>
      <c r="YF151" s="294"/>
      <c r="YG151" s="294"/>
      <c r="YH151" s="294"/>
      <c r="YI151" s="294"/>
      <c r="YJ151" s="294"/>
      <c r="YK151" s="294"/>
      <c r="YL151" s="294"/>
      <c r="YM151" s="294"/>
      <c r="YN151" s="294"/>
      <c r="YO151" s="294"/>
      <c r="YP151" s="294"/>
      <c r="YQ151" s="294"/>
      <c r="YR151" s="294"/>
      <c r="YS151" s="294"/>
      <c r="YT151" s="294"/>
      <c r="YU151" s="294"/>
      <c r="YV151" s="294"/>
      <c r="YW151" s="294"/>
      <c r="YX151" s="294"/>
      <c r="YY151" s="294"/>
      <c r="YZ151" s="294"/>
      <c r="ZA151" s="294"/>
      <c r="ZB151" s="294"/>
      <c r="ZC151" s="294"/>
      <c r="ZD151" s="294"/>
      <c r="ZE151" s="294"/>
      <c r="ZF151" s="294"/>
      <c r="ZG151" s="294"/>
      <c r="ZH151" s="294"/>
      <c r="ZI151" s="294"/>
      <c r="ZJ151" s="294"/>
      <c r="ZK151" s="294"/>
      <c r="ZL151" s="294"/>
      <c r="ZM151" s="294"/>
      <c r="ZN151" s="294"/>
      <c r="ZO151" s="294"/>
      <c r="ZP151" s="294"/>
      <c r="ZQ151" s="294"/>
      <c r="ZR151" s="294"/>
      <c r="ZS151" s="294"/>
      <c r="ZT151" s="294"/>
      <c r="ZU151" s="294"/>
      <c r="ZV151" s="294"/>
      <c r="ZW151" s="294"/>
      <c r="ZX151" s="294"/>
      <c r="ZY151" s="294"/>
      <c r="ZZ151" s="294"/>
      <c r="AAA151" s="294"/>
      <c r="AAB151" s="294"/>
      <c r="AAC151" s="294"/>
      <c r="AAD151" s="294"/>
      <c r="AAE151" s="294"/>
      <c r="AAF151" s="294"/>
      <c r="AAG151" s="294"/>
      <c r="AAH151" s="294"/>
      <c r="AAI151" s="294"/>
      <c r="AAJ151" s="294"/>
      <c r="AAK151" s="294"/>
      <c r="AAL151" s="294"/>
      <c r="AAM151" s="294"/>
      <c r="AAN151" s="294"/>
      <c r="AAO151" s="294"/>
      <c r="AAP151" s="294"/>
      <c r="AAQ151" s="294"/>
      <c r="AAR151" s="294"/>
      <c r="AAS151" s="294"/>
      <c r="AAT151" s="294"/>
      <c r="AAU151" s="294"/>
      <c r="AAV151" s="294"/>
      <c r="AAW151" s="294"/>
      <c r="AAX151" s="294"/>
      <c r="AAY151" s="294"/>
      <c r="AAZ151" s="294"/>
      <c r="ABA151" s="294"/>
      <c r="ABB151" s="294"/>
      <c r="ABC151" s="294"/>
      <c r="ABD151" s="294"/>
      <c r="ABE151" s="294"/>
      <c r="ABF151" s="294"/>
      <c r="ABG151" s="294"/>
      <c r="ABH151" s="294"/>
      <c r="ABI151" s="294"/>
      <c r="ABJ151" s="294"/>
      <c r="ABK151" s="294"/>
      <c r="ABL151" s="294"/>
      <c r="ABM151" s="294"/>
      <c r="ABN151" s="294"/>
      <c r="ABO151" s="294"/>
      <c r="ABP151" s="294"/>
      <c r="ABQ151" s="294"/>
      <c r="ABR151" s="294"/>
      <c r="ABS151" s="294"/>
      <c r="ABT151" s="294"/>
      <c r="ABU151" s="294"/>
      <c r="ABV151" s="294"/>
      <c r="ABW151" s="294"/>
      <c r="ABX151" s="294"/>
      <c r="ABY151" s="294"/>
      <c r="ABZ151" s="294"/>
      <c r="ACA151" s="294"/>
      <c r="ACB151" s="294"/>
      <c r="ACC151" s="294"/>
      <c r="ACD151" s="294"/>
      <c r="ACE151" s="294"/>
      <c r="ACF151" s="294"/>
      <c r="ACG151" s="294"/>
      <c r="ACH151" s="294"/>
      <c r="ACI151" s="294"/>
      <c r="ACJ151" s="294"/>
      <c r="ACK151" s="294"/>
      <c r="ACL151" s="294"/>
      <c r="ACM151" s="294"/>
      <c r="ACN151" s="294"/>
      <c r="ACO151" s="294"/>
      <c r="ACP151" s="294"/>
      <c r="ACQ151" s="294"/>
      <c r="ACR151" s="294"/>
      <c r="ACS151" s="294"/>
      <c r="ACT151" s="294"/>
      <c r="ACU151" s="294"/>
      <c r="ACV151" s="294"/>
      <c r="ACW151" s="294"/>
      <c r="ACX151" s="294"/>
      <c r="ACY151" s="294"/>
      <c r="ACZ151" s="294"/>
      <c r="ADA151" s="294"/>
      <c r="ADB151" s="294"/>
      <c r="ADC151" s="294"/>
      <c r="ADD151" s="294"/>
      <c r="ADE151" s="294"/>
      <c r="ADF151" s="294"/>
      <c r="ADG151" s="294"/>
      <c r="ADH151" s="294"/>
      <c r="ADI151" s="294"/>
      <c r="ADJ151" s="294"/>
      <c r="ADK151" s="294"/>
      <c r="ADL151" s="294"/>
      <c r="ADM151" s="294"/>
      <c r="ADN151" s="294"/>
      <c r="ADO151" s="294"/>
      <c r="ADP151" s="294"/>
      <c r="ADQ151" s="294"/>
      <c r="ADR151" s="294"/>
      <c r="ADS151" s="294"/>
      <c r="ADT151" s="294"/>
      <c r="ADU151" s="294"/>
      <c r="ADV151" s="294"/>
      <c r="ADW151" s="294"/>
      <c r="ADX151" s="294"/>
      <c r="ADY151" s="294"/>
      <c r="ADZ151" s="294"/>
      <c r="AEA151" s="294"/>
      <c r="AEB151" s="294"/>
      <c r="AEC151" s="294"/>
      <c r="AED151" s="294"/>
      <c r="AEE151" s="294"/>
      <c r="AEF151" s="294"/>
      <c r="AEG151" s="294"/>
      <c r="AEH151" s="294"/>
      <c r="AEI151" s="294"/>
      <c r="AEJ151" s="294"/>
      <c r="AEK151" s="294"/>
      <c r="AEL151" s="294"/>
      <c r="AEM151" s="294"/>
      <c r="AEN151" s="294"/>
      <c r="AEO151" s="294"/>
      <c r="AEP151" s="294"/>
      <c r="AEQ151" s="294"/>
      <c r="AER151" s="294"/>
      <c r="AES151" s="294"/>
      <c r="AET151" s="294"/>
      <c r="AEU151" s="294"/>
      <c r="AEV151" s="294"/>
      <c r="AEW151" s="294"/>
      <c r="AEX151" s="294"/>
      <c r="AEY151" s="294"/>
      <c r="AEZ151" s="294"/>
      <c r="AFA151" s="294"/>
      <c r="AFB151" s="294"/>
      <c r="AFC151" s="294"/>
      <c r="AFD151" s="294"/>
      <c r="AFE151" s="294"/>
      <c r="AFF151" s="294"/>
      <c r="AFG151" s="294"/>
      <c r="AFH151" s="294"/>
      <c r="AFI151" s="294"/>
      <c r="AFJ151" s="294"/>
      <c r="AFK151" s="294"/>
      <c r="AFL151" s="294"/>
      <c r="AFM151" s="294"/>
      <c r="AFN151" s="294"/>
      <c r="AFO151" s="294"/>
      <c r="AFP151" s="294"/>
      <c r="AFQ151" s="294"/>
      <c r="AFR151" s="294"/>
      <c r="AFS151" s="294"/>
      <c r="AFT151" s="294"/>
      <c r="AFU151" s="294"/>
      <c r="AFV151" s="294"/>
      <c r="AFW151" s="294"/>
      <c r="AFX151" s="294"/>
      <c r="AFY151" s="294"/>
      <c r="AFZ151" s="294"/>
      <c r="AGA151" s="294"/>
      <c r="AGB151" s="294"/>
      <c r="AGC151" s="294"/>
      <c r="AGD151" s="294"/>
      <c r="AGE151" s="294"/>
      <c r="AGF151" s="294"/>
      <c r="AGG151" s="294"/>
      <c r="AGH151" s="294"/>
      <c r="AGI151" s="294"/>
      <c r="AGJ151" s="294"/>
      <c r="AGK151" s="294"/>
      <c r="AGL151" s="294"/>
      <c r="AGM151" s="294"/>
      <c r="AGN151" s="294"/>
      <c r="AGO151" s="294"/>
      <c r="AGP151" s="294"/>
      <c r="AGQ151" s="294"/>
      <c r="AGR151" s="294"/>
      <c r="AGS151" s="294"/>
      <c r="AGT151" s="294"/>
      <c r="AGU151" s="294"/>
      <c r="AGV151" s="294"/>
      <c r="AGW151" s="294"/>
      <c r="AGX151" s="294"/>
      <c r="AGY151" s="294"/>
      <c r="AGZ151" s="294"/>
      <c r="AHA151" s="294"/>
      <c r="AHB151" s="294"/>
      <c r="AHC151" s="294"/>
      <c r="AHD151" s="294"/>
      <c r="AHE151" s="294"/>
      <c r="AHF151" s="294"/>
      <c r="AHG151" s="294"/>
      <c r="AHH151" s="294"/>
      <c r="AHI151" s="294"/>
      <c r="AHJ151" s="294"/>
      <c r="AHK151" s="294"/>
      <c r="AHL151" s="294"/>
      <c r="AHM151" s="294"/>
      <c r="AHN151" s="294"/>
      <c r="AHO151" s="294"/>
      <c r="AHP151" s="294"/>
      <c r="AHQ151" s="294"/>
      <c r="AHR151" s="294"/>
    </row>
    <row r="152" spans="1:907" ht="24.6" x14ac:dyDescent="0.7">
      <c r="C152" s="269" t="s">
        <v>6321</v>
      </c>
      <c r="D152" s="294">
        <v>551482569.64999998</v>
      </c>
      <c r="E152" s="294">
        <v>-3092398.1800000034</v>
      </c>
      <c r="F152" s="294">
        <v>-391139.69000000507</v>
      </c>
      <c r="G152" s="294">
        <v>2900578.1900000023</v>
      </c>
      <c r="H152" s="294">
        <v>-5292094.0100000203</v>
      </c>
      <c r="I152" s="294">
        <v>2189716.5199999996</v>
      </c>
      <c r="J152" s="294">
        <v>313709802.26000005</v>
      </c>
      <c r="K152" s="294">
        <v>80575196.770000011</v>
      </c>
      <c r="L152" s="294">
        <v>2214792.1499999985</v>
      </c>
      <c r="M152" s="294">
        <v>-6438671.089999998</v>
      </c>
      <c r="N152" s="294">
        <v>-6154452.3700000085</v>
      </c>
      <c r="O152" s="294">
        <v>-2953699.3700000029</v>
      </c>
      <c r="P152" s="294">
        <v>42070418.890000015</v>
      </c>
      <c r="Q152" s="294">
        <v>1783511.7100000028</v>
      </c>
      <c r="R152" s="294">
        <v>1411938.080000001</v>
      </c>
      <c r="S152" s="294">
        <v>-25836256.73</v>
      </c>
      <c r="T152" s="294">
        <v>23659141.420000009</v>
      </c>
      <c r="U152" s="294">
        <v>-750177.28000000026</v>
      </c>
      <c r="V152" s="294">
        <v>425578230.80999994</v>
      </c>
      <c r="W152" s="294">
        <v>-42301933.999999993</v>
      </c>
      <c r="X152" s="294">
        <v>16860226.179999992</v>
      </c>
      <c r="Y152" s="294">
        <v>102051043.61</v>
      </c>
      <c r="Z152" s="294">
        <v>-2765757.5800000019</v>
      </c>
      <c r="AA152" s="294">
        <v>-236155.07000000775</v>
      </c>
      <c r="AB152" s="294">
        <v>288946.5500000082</v>
      </c>
      <c r="AC152" s="294">
        <v>-101509641.40999997</v>
      </c>
      <c r="AD152" s="294">
        <v>-1572441.3200000077</v>
      </c>
      <c r="AE152" s="294">
        <v>-24410314.589999996</v>
      </c>
      <c r="AF152" s="294">
        <v>-99054543.090000004</v>
      </c>
      <c r="AG152" s="294">
        <v>-12344322.850000005</v>
      </c>
      <c r="AH152" s="294">
        <v>-48277342.160000011</v>
      </c>
      <c r="AI152" s="294">
        <v>-37604627.99000001</v>
      </c>
      <c r="AJ152" s="294">
        <v>1496170.0300000124</v>
      </c>
      <c r="AK152" s="294">
        <v>2841127.1000000052</v>
      </c>
      <c r="AL152" s="294">
        <v>62386065.070000008</v>
      </c>
      <c r="AM152" s="294">
        <v>-17141207.140000001</v>
      </c>
      <c r="AN152" s="294">
        <v>56313525.019999996</v>
      </c>
      <c r="AO152" s="294">
        <v>1355136.1399999969</v>
      </c>
      <c r="AP152" s="294">
        <v>-3768747.0600000005</v>
      </c>
      <c r="AQ152" s="294">
        <v>-4102866.2800000012</v>
      </c>
      <c r="AR152" s="294">
        <v>-6279446.8100000024</v>
      </c>
      <c r="AS152" s="294">
        <v>-10480273.409999996</v>
      </c>
      <c r="AT152" s="294">
        <v>-20394508.830000013</v>
      </c>
      <c r="AU152" s="294">
        <v>8793411.6500000004</v>
      </c>
      <c r="AV152" s="294">
        <v>9016871.0500000007</v>
      </c>
      <c r="AW152" s="294">
        <v>13554908.800000004</v>
      </c>
      <c r="AX152" s="294">
        <v>-5408923.1300000008</v>
      </c>
      <c r="AY152" s="294">
        <v>-7344171.9100000039</v>
      </c>
      <c r="AZ152" s="294">
        <v>15357184.870000001</v>
      </c>
      <c r="BA152" s="294">
        <v>7921460.299999998</v>
      </c>
      <c r="BB152" s="294">
        <v>9170570.3000000007</v>
      </c>
      <c r="BC152" s="294">
        <v>7630287.2400000012</v>
      </c>
      <c r="BD152" s="294">
        <v>12707477.599999998</v>
      </c>
      <c r="BE152" s="294">
        <v>1022759.5300000012</v>
      </c>
      <c r="BF152" s="294">
        <v>-19243704.890000001</v>
      </c>
      <c r="BG152" s="294">
        <v>5978228.0299999993</v>
      </c>
      <c r="BH152" s="294">
        <v>24228879.150000006</v>
      </c>
      <c r="BI152" s="294">
        <v>-54995360.329999924</v>
      </c>
      <c r="BJ152" s="294">
        <v>15024329.509999976</v>
      </c>
      <c r="BK152" s="294">
        <v>4178059.3099999912</v>
      </c>
      <c r="BL152" s="294">
        <v>1900270.9099999983</v>
      </c>
      <c r="BM152" s="294">
        <v>-9936964.4900000021</v>
      </c>
      <c r="BN152" s="294">
        <v>1006686.8299999963</v>
      </c>
      <c r="BO152" s="294">
        <v>-630619.40000000037</v>
      </c>
      <c r="BP152" s="294">
        <v>13007606.199999999</v>
      </c>
      <c r="BQ152" s="294">
        <v>12218365.719999999</v>
      </c>
      <c r="BR152" s="294">
        <v>138694436.50999999</v>
      </c>
      <c r="BS152" s="294">
        <v>7523495.8500000015</v>
      </c>
      <c r="BT152" s="294">
        <v>9921261.1899999976</v>
      </c>
      <c r="BU152" s="294">
        <v>4400790.1400000025</v>
      </c>
      <c r="BV152" s="294">
        <v>1621028.8200000003</v>
      </c>
      <c r="BW152" s="294">
        <v>4382407.7300000004</v>
      </c>
      <c r="BX152" s="294">
        <v>890929.47999999952</v>
      </c>
      <c r="BY152" s="294">
        <v>6329194.5299999993</v>
      </c>
      <c r="BZ152" s="294">
        <v>14011245.996999994</v>
      </c>
      <c r="CA152" s="294">
        <v>-10412100.819999998</v>
      </c>
      <c r="CB152" s="294">
        <v>-21206319.800000004</v>
      </c>
      <c r="CC152" s="294">
        <v>-17462086.09999999</v>
      </c>
      <c r="CD152" s="294">
        <v>-3105427.9900000039</v>
      </c>
      <c r="CE152" s="294">
        <v>978811.52999999933</v>
      </c>
      <c r="CF152" s="294">
        <v>-9576636.8900000025</v>
      </c>
      <c r="CG152" s="294">
        <v>1411594555.1599998</v>
      </c>
      <c r="CH152" s="294">
        <v>12779030.519999996</v>
      </c>
      <c r="CI152" s="294">
        <v>11456597.350000001</v>
      </c>
      <c r="CJ152" s="294">
        <v>10102719.849999998</v>
      </c>
      <c r="CK152" s="294">
        <v>30501029.729999997</v>
      </c>
      <c r="CL152" s="294">
        <v>1268842.7999999989</v>
      </c>
      <c r="CM152" s="294">
        <v>17246548.029999997</v>
      </c>
      <c r="CN152" s="294">
        <v>22481914.41</v>
      </c>
      <c r="CO152" s="294">
        <v>13854156.670000002</v>
      </c>
      <c r="CP152" s="294">
        <v>-131645.65000000037</v>
      </c>
      <c r="CQ152" s="294">
        <v>9132094.3100000005</v>
      </c>
      <c r="CR152" s="294">
        <v>3568065.3099999949</v>
      </c>
      <c r="CS152" s="294">
        <v>14314404.200000001</v>
      </c>
      <c r="CT152" s="294">
        <v>90190006.450000018</v>
      </c>
      <c r="CU152" s="294">
        <v>22691783.140000001</v>
      </c>
      <c r="CV152" s="294">
        <v>12668256.830000002</v>
      </c>
      <c r="CW152" s="294">
        <v>-11440998.559999991</v>
      </c>
      <c r="CX152" s="294">
        <v>14639855.269999998</v>
      </c>
      <c r="CY152" s="294">
        <v>524443.93000000343</v>
      </c>
      <c r="CZ152" s="294">
        <v>-931142.16000000015</v>
      </c>
      <c r="DA152" s="294">
        <v>10138181.969999999</v>
      </c>
      <c r="DB152" s="294">
        <v>-10784151.659999996</v>
      </c>
      <c r="DC152" s="294">
        <v>66847905.789999962</v>
      </c>
      <c r="DD152" s="294">
        <v>-11460512.229999999</v>
      </c>
      <c r="DE152" s="294">
        <v>-4973159.4399999976</v>
      </c>
      <c r="DF152" s="294">
        <v>1375224.929999996</v>
      </c>
      <c r="DG152" s="294">
        <v>15121806.040000003</v>
      </c>
      <c r="DH152" s="294">
        <v>-9931465.8299999982</v>
      </c>
      <c r="DI152" s="294">
        <v>-20062184.179999992</v>
      </c>
      <c r="DJ152" s="294">
        <v>23051513.830000006</v>
      </c>
      <c r="DK152" s="294">
        <v>854247195.05999994</v>
      </c>
      <c r="DL152" s="294">
        <v>7844640.540000001</v>
      </c>
      <c r="DM152" s="294">
        <v>-3381651.0799999982</v>
      </c>
      <c r="DN152" s="294">
        <v>28190483.719999995</v>
      </c>
      <c r="DO152" s="294">
        <v>-307207.25989999622</v>
      </c>
      <c r="DP152" s="294">
        <v>4222180.8099999968</v>
      </c>
      <c r="DQ152" s="294">
        <v>35618628.369999997</v>
      </c>
      <c r="DR152" s="294">
        <v>31516474.090100005</v>
      </c>
      <c r="DS152" s="294">
        <v>47141795.139999993</v>
      </c>
      <c r="DT152" s="294">
        <v>99251369.550000042</v>
      </c>
      <c r="DU152" s="294">
        <v>-14155315.419999998</v>
      </c>
      <c r="DV152" s="294">
        <v>-17182761.850000001</v>
      </c>
      <c r="DW152" s="294">
        <v>-35948813.750000015</v>
      </c>
      <c r="DX152" s="294">
        <v>3428747.5200000033</v>
      </c>
      <c r="DY152" s="294">
        <v>-17368919.549999993</v>
      </c>
      <c r="DZ152" s="294">
        <v>4983673.049999997</v>
      </c>
      <c r="EA152" s="294">
        <v>16220478.410000002</v>
      </c>
      <c r="EB152" s="294">
        <v>-5215040.9300000034</v>
      </c>
      <c r="EC152" s="294">
        <v>12451942.610000001</v>
      </c>
      <c r="ED152" s="294">
        <v>-30782775.169999994</v>
      </c>
      <c r="EE152" s="294">
        <v>115428068.55999997</v>
      </c>
      <c r="EF152" s="294">
        <v>122708262.83</v>
      </c>
      <c r="EG152" s="294">
        <v>19201013.350000009</v>
      </c>
      <c r="EH152" s="294">
        <v>5553030.3699999973</v>
      </c>
      <c r="EI152" s="294">
        <v>21235028.940000005</v>
      </c>
      <c r="EJ152" s="294">
        <v>-1061705.8099999987</v>
      </c>
      <c r="EK152" s="294">
        <v>8541407.929999996</v>
      </c>
      <c r="EL152" s="294">
        <v>5081385.4000000022</v>
      </c>
      <c r="EM152" s="294">
        <v>19587545.650000002</v>
      </c>
      <c r="EN152" s="294">
        <v>-97423855.849999964</v>
      </c>
      <c r="EO152" s="294">
        <v>-8292421.2100000028</v>
      </c>
      <c r="EP152" s="294">
        <v>-10167248.41</v>
      </c>
      <c r="EQ152" s="294">
        <v>-3139975.2800000012</v>
      </c>
      <c r="ER152" s="294">
        <v>-5577397.879999999</v>
      </c>
      <c r="ES152" s="294">
        <v>8235332.1399999978</v>
      </c>
      <c r="ET152" s="294">
        <v>-18469417.429999992</v>
      </c>
      <c r="EU152" s="294">
        <v>-6888363.3500000015</v>
      </c>
      <c r="EV152" s="294">
        <v>-11772263.039999994</v>
      </c>
      <c r="EW152" s="294">
        <v>-37660979.630000025</v>
      </c>
      <c r="EX152" s="294">
        <v>31924184.289999999</v>
      </c>
      <c r="EY152" s="294">
        <v>23889318.52</v>
      </c>
      <c r="EZ152" s="294">
        <v>6080269.4699999988</v>
      </c>
      <c r="FA152" s="294">
        <v>5324239.4700000025</v>
      </c>
      <c r="FB152" s="294">
        <v>3385322.8100000098</v>
      </c>
      <c r="FC152" s="294">
        <v>19129953.870000001</v>
      </c>
      <c r="FD152" s="294">
        <v>11050278.549999997</v>
      </c>
      <c r="FE152" s="294">
        <v>18954166.720000003</v>
      </c>
      <c r="FF152" s="294">
        <v>34091521.480000004</v>
      </c>
      <c r="FG152" s="294">
        <v>14349597.070000004</v>
      </c>
      <c r="FH152" s="294">
        <v>7567283.7300000004</v>
      </c>
      <c r="FI152" s="294">
        <v>30321108.419999987</v>
      </c>
      <c r="FJ152" s="294">
        <v>11811783.82</v>
      </c>
      <c r="FK152" s="294">
        <v>19008020.950000003</v>
      </c>
      <c r="FL152" s="294">
        <v>16264570.079999998</v>
      </c>
      <c r="FM152" s="294">
        <v>1904363.0100000016</v>
      </c>
      <c r="FN152" s="294">
        <v>30244837.050000004</v>
      </c>
      <c r="FO152" s="294">
        <v>5319143.8899999987</v>
      </c>
      <c r="FP152" s="294">
        <v>12224944.169999998</v>
      </c>
      <c r="FQ152" s="294">
        <v>753184331.82000017</v>
      </c>
      <c r="FR152" s="294">
        <v>7183916.9000000004</v>
      </c>
      <c r="FS152" s="294">
        <v>17063767.560000006</v>
      </c>
      <c r="FT152" s="294">
        <v>899735.45000000298</v>
      </c>
      <c r="FU152" s="294">
        <v>26605959.999999993</v>
      </c>
      <c r="FV152" s="294">
        <v>9807774.6999999993</v>
      </c>
      <c r="FW152" s="294">
        <v>-4485617.7600000054</v>
      </c>
      <c r="FX152" s="294">
        <v>-15825869.240000002</v>
      </c>
      <c r="FY152" s="294">
        <v>23491360.239999991</v>
      </c>
      <c r="FZ152" s="294">
        <v>29028147.210000008</v>
      </c>
      <c r="GA152" s="294">
        <v>5304933.0999999866</v>
      </c>
      <c r="GB152" s="294">
        <v>-3717370.2100000009</v>
      </c>
      <c r="GC152" s="294">
        <v>21837360.140000001</v>
      </c>
      <c r="GD152" s="294">
        <v>37874468.399999999</v>
      </c>
      <c r="GE152" s="294">
        <v>77988842.289999992</v>
      </c>
      <c r="GF152" s="294">
        <v>6054721.0199999996</v>
      </c>
      <c r="GG152" s="294">
        <v>25833730.880000003</v>
      </c>
      <c r="GH152" s="294">
        <v>-5882834.8200000077</v>
      </c>
      <c r="GI152" s="294">
        <v>8386237.9900000021</v>
      </c>
      <c r="GJ152" s="294">
        <v>13901544.189999999</v>
      </c>
      <c r="GK152" s="294">
        <v>4969797.1900000032</v>
      </c>
      <c r="GL152" s="294">
        <v>13363323.379999995</v>
      </c>
      <c r="GM152" s="294">
        <v>9478952.0100000016</v>
      </c>
      <c r="GN152" s="294">
        <v>11811514.050000001</v>
      </c>
      <c r="GO152" s="294">
        <v>5839896.25</v>
      </c>
      <c r="GP152" s="294">
        <v>6788146.0599999987</v>
      </c>
      <c r="GQ152" s="294">
        <v>101163668.00999993</v>
      </c>
      <c r="GR152" s="294">
        <v>66343686.379999995</v>
      </c>
      <c r="GS152" s="294">
        <v>12816251.839999998</v>
      </c>
      <c r="GT152" s="294">
        <v>8505409.049999997</v>
      </c>
      <c r="GU152" s="294">
        <v>4390480.26</v>
      </c>
      <c r="GV152" s="294">
        <v>15358432.440000001</v>
      </c>
      <c r="GW152" s="294">
        <v>14714308.709999999</v>
      </c>
      <c r="GX152" s="294">
        <v>10253541.970000003</v>
      </c>
      <c r="GY152" s="294">
        <v>-39785771.910000011</v>
      </c>
      <c r="GZ152" s="294">
        <v>6010828.1400000006</v>
      </c>
      <c r="HA152" s="294">
        <v>-12858616.66</v>
      </c>
      <c r="HB152" s="294">
        <v>-10612142.210000003</v>
      </c>
      <c r="HC152" s="294">
        <v>-227429912.05000007</v>
      </c>
      <c r="HD152" s="294">
        <v>74754813.25000003</v>
      </c>
      <c r="HE152" s="294">
        <v>-7876868.2199999988</v>
      </c>
      <c r="HF152" s="294">
        <v>-26819845.280000031</v>
      </c>
      <c r="HG152" s="294">
        <v>32905312.670000017</v>
      </c>
      <c r="HH152" s="294">
        <v>60324869.220000006</v>
      </c>
      <c r="HI152" s="294">
        <v>-3233212.5600000061</v>
      </c>
      <c r="HJ152" s="294">
        <v>309801495.46999997</v>
      </c>
      <c r="HK152" s="294">
        <v>-6176334.9300000072</v>
      </c>
      <c r="HL152" s="294">
        <v>-23556650.88000001</v>
      </c>
      <c r="HM152" s="294">
        <v>57978381.180000007</v>
      </c>
      <c r="HN152" s="294">
        <v>-14876252.060000004</v>
      </c>
      <c r="HO152" s="294">
        <v>13535007.999999993</v>
      </c>
      <c r="HP152" s="294">
        <v>19404538.190000013</v>
      </c>
      <c r="HQ152" s="294">
        <v>-12095906.939999998</v>
      </c>
      <c r="HR152" s="294">
        <v>-94418579.179999977</v>
      </c>
      <c r="HS152" s="294">
        <v>-57485143.209999964</v>
      </c>
      <c r="HT152" s="294">
        <v>-1396063.1499999985</v>
      </c>
      <c r="HU152" s="294">
        <v>12785523.620000001</v>
      </c>
      <c r="HV152" s="294">
        <v>7714802.2699999996</v>
      </c>
      <c r="HW152" s="294">
        <v>1263381.3900000006</v>
      </c>
      <c r="HX152" s="294">
        <v>-3758328.140000008</v>
      </c>
      <c r="HY152" s="294">
        <v>-2956890.0800000019</v>
      </c>
      <c r="HZ152" s="294">
        <v>7427091.1600000039</v>
      </c>
      <c r="IA152" s="294">
        <v>9372867.4900000058</v>
      </c>
      <c r="IB152" s="294">
        <v>18591683.890000001</v>
      </c>
      <c r="IC152" s="294">
        <v>43968353.939999998</v>
      </c>
      <c r="ID152" s="294">
        <v>4014413.76</v>
      </c>
      <c r="IE152" s="294">
        <v>747355.63000000268</v>
      </c>
      <c r="IF152" s="294">
        <v>-4566126.8600000013</v>
      </c>
      <c r="IG152" s="294">
        <v>3363334.1900000013</v>
      </c>
      <c r="IH152" s="294">
        <v>-87530104.400000006</v>
      </c>
      <c r="II152" s="294">
        <v>58936165.509999998</v>
      </c>
      <c r="IJ152" s="294">
        <v>20465167.459999997</v>
      </c>
      <c r="IK152" s="294">
        <v>6891501.9499999881</v>
      </c>
      <c r="IL152" s="294">
        <v>-60833218.310000002</v>
      </c>
      <c r="IM152" s="294">
        <v>11898333.939999998</v>
      </c>
      <c r="IN152" s="294">
        <v>4760475.2599999979</v>
      </c>
      <c r="IO152" s="294">
        <v>-1767497.6799999978</v>
      </c>
      <c r="IP152" s="294">
        <v>10619108.75</v>
      </c>
      <c r="IQ152" s="294">
        <v>-8391128.8300000019</v>
      </c>
      <c r="IR152" s="294">
        <v>53133379.079999998</v>
      </c>
      <c r="IS152" s="294">
        <v>-279083692.53000009</v>
      </c>
      <c r="IT152" s="294">
        <v>-189079543.03</v>
      </c>
      <c r="IU152" s="294">
        <v>5564902.4100000039</v>
      </c>
      <c r="IV152" s="294">
        <v>6852759.7700000033</v>
      </c>
      <c r="IW152" s="294">
        <v>42537437.280000001</v>
      </c>
      <c r="IX152" s="294">
        <v>20614373.400000002</v>
      </c>
      <c r="IY152" s="294">
        <v>-2569409.7399999984</v>
      </c>
      <c r="IZ152" s="294">
        <v>11969182.16</v>
      </c>
      <c r="JA152" s="294">
        <v>-2130015.379999999</v>
      </c>
      <c r="JB152" s="294">
        <v>-9698266.8900000043</v>
      </c>
      <c r="JC152" s="294">
        <v>-10350769.18</v>
      </c>
      <c r="JD152" s="294">
        <v>-4811147.089999998</v>
      </c>
      <c r="JE152" s="294">
        <v>21675328.229999989</v>
      </c>
      <c r="JF152" s="294">
        <v>-23446021.460000008</v>
      </c>
      <c r="JG152" s="294">
        <v>2957343.5200000033</v>
      </c>
      <c r="JH152" s="294">
        <v>423808.37000000477</v>
      </c>
      <c r="JI152" s="294">
        <v>-860461.70999999903</v>
      </c>
      <c r="JJ152" s="294">
        <v>2503024.7500000019</v>
      </c>
      <c r="JK152" s="294">
        <v>-39726418.879999936</v>
      </c>
      <c r="JL152" s="294">
        <v>-7004824.5199999958</v>
      </c>
      <c r="JM152" s="294">
        <v>-7578186.8100000024</v>
      </c>
      <c r="JN152" s="294">
        <v>17882631.68</v>
      </c>
      <c r="JO152" s="294">
        <v>-5922468.3300000057</v>
      </c>
      <c r="JP152" s="294">
        <v>-28153337.760000005</v>
      </c>
      <c r="JQ152" s="294">
        <v>-1470659.3200000003</v>
      </c>
      <c r="JR152" s="294">
        <v>123602959.02999994</v>
      </c>
      <c r="JS152" s="294">
        <v>-16338958.960000008</v>
      </c>
      <c r="JT152" s="294">
        <v>28547829.109999999</v>
      </c>
      <c r="JU152" s="294">
        <v>5714212.2200000007</v>
      </c>
      <c r="JV152" s="294">
        <v>7373694.1199999973</v>
      </c>
      <c r="JW152" s="294">
        <v>6549921.589999998</v>
      </c>
      <c r="JX152" s="294">
        <v>-20086764.359999999</v>
      </c>
      <c r="JY152" s="294">
        <v>29443520.549999997</v>
      </c>
      <c r="JZ152" s="294">
        <v>25871942.500000007</v>
      </c>
      <c r="KA152" s="294">
        <v>-4837405.4900000021</v>
      </c>
      <c r="KB152" s="294">
        <v>32663245.029999994</v>
      </c>
      <c r="KC152" s="294">
        <v>11689852.300000004</v>
      </c>
      <c r="KD152" s="294">
        <v>3477094.0299999975</v>
      </c>
      <c r="KE152" s="294">
        <v>13920934.57</v>
      </c>
      <c r="KF152" s="294">
        <v>11018582.239999998</v>
      </c>
      <c r="KG152" s="294">
        <v>13050876.000000004</v>
      </c>
      <c r="KH152" s="294">
        <v>384608988.86000001</v>
      </c>
      <c r="KI152" s="294">
        <v>5083147.7799999937</v>
      </c>
      <c r="KJ152" s="294">
        <v>24212216.020000003</v>
      </c>
      <c r="KK152" s="294">
        <v>-10035248.480000004</v>
      </c>
      <c r="KL152" s="294">
        <v>68697726.609999985</v>
      </c>
      <c r="KM152" s="294">
        <v>84111368.570000008</v>
      </c>
      <c r="KN152" s="294">
        <v>10421841.75</v>
      </c>
      <c r="KO152" s="294">
        <v>26384309.949999999</v>
      </c>
      <c r="KP152" s="294">
        <v>12917174.630000001</v>
      </c>
      <c r="KQ152" s="294">
        <v>-18556944.529999942</v>
      </c>
      <c r="KR152" s="294">
        <v>4021639.3999999985</v>
      </c>
      <c r="KS152" s="294">
        <v>8568970.6400000043</v>
      </c>
      <c r="KT152" s="294">
        <v>-40173741.600000001</v>
      </c>
      <c r="KU152" s="294">
        <v>2556740.120000001</v>
      </c>
      <c r="KV152" s="294">
        <v>-1799500.8000000045</v>
      </c>
      <c r="KW152" s="294">
        <v>-65586358.220000058</v>
      </c>
      <c r="KX152" s="294">
        <v>80018383.61999999</v>
      </c>
      <c r="KY152" s="294">
        <v>94348352.710000038</v>
      </c>
      <c r="KZ152" s="294">
        <v>-10119829.359999996</v>
      </c>
      <c r="LA152" s="294">
        <v>-2111012.5700000022</v>
      </c>
      <c r="LB152" s="294">
        <v>-9526000.5900000036</v>
      </c>
      <c r="LC152" s="294">
        <v>14271046.150000002</v>
      </c>
      <c r="LD152" s="294">
        <v>715359.30000000075</v>
      </c>
      <c r="LE152" s="294">
        <v>1296349.0500000007</v>
      </c>
      <c r="LF152" s="294">
        <v>-1068266.3199999966</v>
      </c>
      <c r="LG152" s="294">
        <v>-158835615.94000006</v>
      </c>
      <c r="LH152" s="294">
        <v>-51183082.62999998</v>
      </c>
      <c r="LI152" s="294">
        <v>88918268.030000046</v>
      </c>
      <c r="LJ152" s="294">
        <v>-4835470.4000000358</v>
      </c>
      <c r="LK152" s="294">
        <v>1228809.320000004</v>
      </c>
      <c r="LL152" s="294">
        <v>-7533807.0500000007</v>
      </c>
      <c r="LM152" s="294">
        <v>-9539942.040000001</v>
      </c>
      <c r="LN152" s="294">
        <v>8711017.1599999964</v>
      </c>
      <c r="LO152" s="294">
        <v>-8467785.9600000009</v>
      </c>
      <c r="LP152" s="294">
        <v>-11510791.499999996</v>
      </c>
      <c r="LQ152" s="294">
        <v>7117441.0000000019</v>
      </c>
      <c r="LR152" s="294">
        <v>-95892526.589999959</v>
      </c>
      <c r="LS152" s="294">
        <v>17434296.099999998</v>
      </c>
      <c r="LT152" s="294">
        <v>23835417.810000002</v>
      </c>
      <c r="LU152" s="294">
        <v>541893984.30000019</v>
      </c>
      <c r="LV152" s="294">
        <v>171650533.84000003</v>
      </c>
      <c r="LW152" s="294">
        <v>19491912.790000021</v>
      </c>
      <c r="LX152" s="294">
        <v>20114563.820000008</v>
      </c>
      <c r="LY152" s="294">
        <v>-10144040.720000006</v>
      </c>
      <c r="LZ152" s="294">
        <v>24244655.049999997</v>
      </c>
      <c r="MA152" s="294">
        <v>28006123.369999997</v>
      </c>
      <c r="MB152" s="294">
        <v>21711126.32</v>
      </c>
      <c r="MC152" s="294">
        <v>35556511.630000003</v>
      </c>
      <c r="MD152" s="294">
        <v>91453771.75</v>
      </c>
      <c r="ME152" s="294">
        <v>-31002035.640000008</v>
      </c>
      <c r="MF152" s="294">
        <v>19755132.32</v>
      </c>
      <c r="MG152" s="294">
        <v>-182667319.75</v>
      </c>
      <c r="MH152" s="294">
        <v>16944273.939999998</v>
      </c>
      <c r="MI152" s="294">
        <v>31986300.640000001</v>
      </c>
      <c r="MJ152" s="294">
        <v>22123061.059999999</v>
      </c>
      <c r="MK152" s="294">
        <v>30193974.969999999</v>
      </c>
      <c r="ML152" s="294">
        <v>10546062.219999999</v>
      </c>
      <c r="MM152" s="294">
        <v>-4415453.2300000023</v>
      </c>
      <c r="MN152" s="294">
        <v>14500550.610000003</v>
      </c>
      <c r="MO152" s="294">
        <v>8485952.1900000013</v>
      </c>
      <c r="MP152" s="294">
        <v>22152865.789999999</v>
      </c>
      <c r="MQ152" s="294">
        <v>7015442.6199999936</v>
      </c>
      <c r="MR152" s="294">
        <v>27216514.370000001</v>
      </c>
      <c r="MS152" s="294">
        <v>150476329.42000008</v>
      </c>
      <c r="MT152" s="294">
        <v>12596476.199999999</v>
      </c>
      <c r="MU152" s="294">
        <v>55978380.24000001</v>
      </c>
      <c r="MV152" s="294">
        <v>3598608.2900000066</v>
      </c>
      <c r="MW152" s="294">
        <v>32970958.63000001</v>
      </c>
      <c r="MX152" s="294">
        <v>20454605.359999988</v>
      </c>
      <c r="MY152" s="294">
        <v>51624731.07190001</v>
      </c>
      <c r="MZ152" s="294">
        <v>-24838301.279999994</v>
      </c>
      <c r="NA152" s="294">
        <v>-4912680.3599999957</v>
      </c>
      <c r="NB152" s="294">
        <v>-2397873.3000000007</v>
      </c>
      <c r="NC152" s="294">
        <v>33603443.689999998</v>
      </c>
      <c r="ND152" s="294">
        <v>582337356.07000005</v>
      </c>
      <c r="NE152" s="294">
        <v>181277227.92000002</v>
      </c>
      <c r="NF152" s="294">
        <v>17905712.460000005</v>
      </c>
      <c r="NG152" s="294">
        <v>186305115.17999989</v>
      </c>
      <c r="NH152" s="294">
        <v>6207105.9600000009</v>
      </c>
      <c r="NI152" s="294">
        <v>49319308.690000013</v>
      </c>
      <c r="NJ152" s="294">
        <v>168636775.89999995</v>
      </c>
      <c r="NK152" s="294">
        <v>136482833.06</v>
      </c>
      <c r="NL152" s="294">
        <v>26875081.25</v>
      </c>
      <c r="NM152" s="294">
        <v>160382342.18000001</v>
      </c>
      <c r="NN152" s="294">
        <v>78155419.729999989</v>
      </c>
      <c r="NO152" s="294">
        <v>43339412.449000001</v>
      </c>
      <c r="NP152" s="294">
        <v>79485427.12999998</v>
      </c>
      <c r="NQ152" s="294">
        <v>12109447.709999997</v>
      </c>
      <c r="NR152" s="294">
        <v>5473393.2600000016</v>
      </c>
      <c r="NS152" s="294">
        <v>17979155.060000002</v>
      </c>
      <c r="NT152" s="294">
        <v>15733125.830000002</v>
      </c>
      <c r="NU152" s="294">
        <v>10840864.91</v>
      </c>
      <c r="NV152" s="294">
        <v>15332371.329999998</v>
      </c>
      <c r="NW152" s="294">
        <v>66949545.089999974</v>
      </c>
      <c r="NX152" s="294">
        <v>37778616.629999995</v>
      </c>
      <c r="NY152" s="294">
        <v>14935056.239999998</v>
      </c>
      <c r="NZ152" s="294">
        <v>-3822105.09</v>
      </c>
      <c r="OA152" s="294">
        <v>10776746.140000001</v>
      </c>
      <c r="OB152" s="294">
        <v>-21493458.930000003</v>
      </c>
      <c r="OC152" s="294">
        <v>-3952236.8200000003</v>
      </c>
      <c r="OD152" s="294">
        <v>517097345.08999985</v>
      </c>
      <c r="OE152" s="294">
        <v>-104218462.04000001</v>
      </c>
      <c r="OF152" s="294">
        <v>28249298.610000003</v>
      </c>
      <c r="OG152" s="294">
        <v>-27771118.040000007</v>
      </c>
      <c r="OH152" s="294">
        <v>-9322259.700000003</v>
      </c>
      <c r="OI152" s="294">
        <v>55770784.020000011</v>
      </c>
      <c r="OJ152" s="294">
        <v>-34030558.11999999</v>
      </c>
      <c r="OK152" s="294">
        <v>1784859.4199999981</v>
      </c>
      <c r="OL152" s="294">
        <v>86475696.919999987</v>
      </c>
      <c r="OM152" s="294">
        <v>79483810.9799999</v>
      </c>
      <c r="ON152" s="294">
        <v>26261839.029999956</v>
      </c>
      <c r="OO152" s="294">
        <v>526236271.45999992</v>
      </c>
      <c r="OP152" s="294">
        <v>29616321.339999996</v>
      </c>
      <c r="OQ152" s="294">
        <v>12324373.620000005</v>
      </c>
      <c r="OR152" s="294">
        <v>76656123.360000014</v>
      </c>
      <c r="OS152" s="294">
        <v>340342325.11999995</v>
      </c>
      <c r="OT152" s="294">
        <v>13973083.049999997</v>
      </c>
      <c r="OU152" s="294">
        <v>60351078.13000001</v>
      </c>
      <c r="OV152" s="294">
        <v>26889560.310000002</v>
      </c>
      <c r="OW152" s="294">
        <v>34561271.380000003</v>
      </c>
      <c r="OX152" s="294">
        <v>27948742.990000024</v>
      </c>
      <c r="OY152" s="294">
        <v>27767096.650000006</v>
      </c>
      <c r="OZ152" s="294">
        <v>29722490.989999995</v>
      </c>
      <c r="PA152" s="294">
        <v>20487785.060000002</v>
      </c>
      <c r="PB152" s="294">
        <v>-52474428.430000067</v>
      </c>
      <c r="PC152" s="294">
        <v>17413258.119999997</v>
      </c>
      <c r="PD152" s="294">
        <v>-30217591.539999999</v>
      </c>
      <c r="PE152" s="294">
        <v>4753368.09</v>
      </c>
      <c r="PF152" s="294">
        <v>26118988.170000002</v>
      </c>
      <c r="PG152" s="294">
        <v>1390555.3500000015</v>
      </c>
      <c r="PH152" s="294">
        <v>5163980.1499999966</v>
      </c>
      <c r="PI152" s="294">
        <v>1404349.8500000034</v>
      </c>
      <c r="PJ152" s="294">
        <v>11291016.730000004</v>
      </c>
      <c r="PK152" s="294">
        <v>4242506.8599999994</v>
      </c>
      <c r="PL152" s="294">
        <v>40932357.25</v>
      </c>
      <c r="PM152" s="294">
        <v>14954237.469999999</v>
      </c>
      <c r="PN152" s="294">
        <v>-2065194.3500000034</v>
      </c>
      <c r="PO152" s="294">
        <v>-22636394.920000002</v>
      </c>
      <c r="PP152" s="294">
        <v>5047223.5600000024</v>
      </c>
      <c r="PQ152" s="294">
        <v>2560712.7700000014</v>
      </c>
      <c r="PR152" s="294">
        <v>4418159.9699999988</v>
      </c>
      <c r="PS152" s="294">
        <v>3468055.24</v>
      </c>
      <c r="PT152" s="294">
        <v>-31697843.059999824</v>
      </c>
      <c r="PU152" s="294">
        <v>13418965.709999993</v>
      </c>
      <c r="PV152" s="294">
        <v>-11147323.849999998</v>
      </c>
      <c r="PW152" s="294">
        <v>27590192.709999997</v>
      </c>
      <c r="PX152" s="294">
        <v>-107406824.06000003</v>
      </c>
      <c r="PY152" s="294">
        <v>-7390738.5400000028</v>
      </c>
      <c r="PZ152" s="294">
        <v>-3667631.150000006</v>
      </c>
      <c r="QA152" s="294">
        <v>2202871.3499999978</v>
      </c>
      <c r="QB152" s="294">
        <v>20976791.510000005</v>
      </c>
      <c r="QC152" s="294">
        <v>3643581.38</v>
      </c>
      <c r="QD152" s="294">
        <v>13328089.260000013</v>
      </c>
      <c r="QE152" s="294">
        <v>-2956459.9699999969</v>
      </c>
      <c r="QF152" s="294">
        <v>7632082.2000000011</v>
      </c>
      <c r="QG152" s="294">
        <v>40653698.799999997</v>
      </c>
      <c r="QH152" s="294">
        <v>-25618020.189999998</v>
      </c>
      <c r="QI152" s="294">
        <v>20640409.189999994</v>
      </c>
      <c r="QJ152" s="294">
        <v>-5394077.5800000019</v>
      </c>
      <c r="QK152" s="294">
        <v>-5856670.5999999996</v>
      </c>
      <c r="QL152" s="294">
        <v>-6792292.6500000004</v>
      </c>
      <c r="QM152" s="294">
        <v>-30869729.409999982</v>
      </c>
      <c r="QN152" s="294">
        <v>569837.98999997973</v>
      </c>
      <c r="QO152" s="294">
        <v>-4424910.6999999993</v>
      </c>
      <c r="QP152" s="294">
        <v>2829481.25</v>
      </c>
      <c r="QQ152" s="294">
        <v>-743706.28000000119</v>
      </c>
      <c r="QR152" s="294">
        <v>3703485.04</v>
      </c>
      <c r="QS152" s="294">
        <v>14285992.709999997</v>
      </c>
      <c r="QT152" s="294">
        <v>11882859.390000045</v>
      </c>
      <c r="QU152" s="294">
        <v>4033276.8699999992</v>
      </c>
      <c r="QV152" s="294">
        <v>9973557.4600000009</v>
      </c>
      <c r="QW152" s="294">
        <v>22430133.300000001</v>
      </c>
      <c r="QX152" s="294">
        <v>14847669.250000007</v>
      </c>
      <c r="QY152" s="294">
        <v>98281750.639999986</v>
      </c>
      <c r="QZ152" s="294">
        <v>1964650.4299999997</v>
      </c>
      <c r="RA152" s="294">
        <v>-874731.45999999344</v>
      </c>
      <c r="RB152" s="294">
        <v>82334875.040000007</v>
      </c>
      <c r="RC152" s="294">
        <v>3182161.2800000012</v>
      </c>
      <c r="RD152" s="294">
        <v>8577127.6099999994</v>
      </c>
      <c r="RE152" s="294">
        <v>26851700.589999996</v>
      </c>
      <c r="RF152" s="294">
        <v>10086464.599999998</v>
      </c>
      <c r="RG152" s="294">
        <v>454595510.42999983</v>
      </c>
      <c r="RH152" s="294">
        <v>-30018963.77</v>
      </c>
      <c r="RI152" s="294">
        <v>-1559819.5899999999</v>
      </c>
      <c r="RJ152" s="294">
        <v>38345409.589999996</v>
      </c>
      <c r="RK152" s="294">
        <v>-20087784.829999994</v>
      </c>
      <c r="RL152" s="294">
        <v>-11753606.099999994</v>
      </c>
      <c r="RM152" s="294">
        <v>-68323090.219999999</v>
      </c>
      <c r="RN152" s="294">
        <v>19692690.900000002</v>
      </c>
      <c r="RO152" s="294">
        <v>26949174.559999999</v>
      </c>
      <c r="RP152" s="294">
        <v>-37831109.319999993</v>
      </c>
      <c r="RQ152" s="294">
        <v>-4697093.4399999827</v>
      </c>
      <c r="RR152" s="294">
        <v>2079050.9699999988</v>
      </c>
      <c r="RS152" s="294">
        <v>1910860</v>
      </c>
      <c r="RT152" s="294">
        <v>-7196500.7200000025</v>
      </c>
      <c r="RU152" s="294">
        <v>403316.25999999791</v>
      </c>
      <c r="RV152" s="294">
        <v>1594721.8299999963</v>
      </c>
      <c r="RW152" s="294">
        <v>-1889062.0799999982</v>
      </c>
      <c r="RX152" s="294">
        <v>12489383.949999999</v>
      </c>
      <c r="RY152" s="294">
        <v>-1601029.1899999995</v>
      </c>
      <c r="RZ152" s="294">
        <v>999262.33000000007</v>
      </c>
      <c r="SA152" s="294">
        <v>-13318285.180000007</v>
      </c>
      <c r="SB152" s="294">
        <v>20555005.330000002</v>
      </c>
      <c r="SC152" s="294">
        <v>14500298.430000002</v>
      </c>
      <c r="SD152" s="294">
        <v>12725275.599999998</v>
      </c>
      <c r="SE152" s="294">
        <v>14340695.290000003</v>
      </c>
      <c r="SF152" s="294">
        <v>4703782.1500000022</v>
      </c>
      <c r="SG152" s="294">
        <v>15137314.079999998</v>
      </c>
      <c r="SH152" s="294">
        <v>19728259.030000001</v>
      </c>
      <c r="SI152" s="294">
        <v>25356069.890000001</v>
      </c>
      <c r="SJ152" s="294">
        <v>22248876.109999999</v>
      </c>
      <c r="SK152" s="294">
        <v>-46698381.009999983</v>
      </c>
      <c r="SL152" s="294">
        <v>3777052.0700000003</v>
      </c>
      <c r="SM152" s="294">
        <v>885589.68000000715</v>
      </c>
      <c r="SN152" s="294">
        <v>18367317.500000004</v>
      </c>
      <c r="SO152" s="294">
        <v>4795384.0399999991</v>
      </c>
      <c r="SP152" s="294">
        <v>5060900.5599999949</v>
      </c>
      <c r="SQ152" s="294">
        <v>24069004.539999999</v>
      </c>
      <c r="SR152" s="294">
        <v>21983916.319999997</v>
      </c>
      <c r="SS152" s="294">
        <v>4752003.1000000052</v>
      </c>
      <c r="ST152" s="294">
        <v>5875002.3799999952</v>
      </c>
      <c r="SU152" s="294">
        <v>-134833746.97999999</v>
      </c>
      <c r="SV152" s="294">
        <v>9932430.0100000016</v>
      </c>
      <c r="SW152" s="294">
        <v>19977284.829999998</v>
      </c>
      <c r="SX152" s="294">
        <v>11141521.859999999</v>
      </c>
      <c r="SY152" s="294">
        <v>5910449.0399999991</v>
      </c>
      <c r="SZ152" s="294">
        <v>10819372.350000001</v>
      </c>
      <c r="TA152" s="294">
        <v>3218145.8200000003</v>
      </c>
      <c r="TB152" s="294">
        <v>-30132162.539999992</v>
      </c>
      <c r="TC152" s="294">
        <v>-947794.92999999784</v>
      </c>
      <c r="TD152" s="294">
        <v>-2438012.8300000038</v>
      </c>
      <c r="TE152" s="294">
        <v>16457308.529999999</v>
      </c>
      <c r="TF152" s="294">
        <v>-11016732.400000002</v>
      </c>
      <c r="TG152" s="294">
        <v>48966234.369999997</v>
      </c>
      <c r="TH152" s="294">
        <v>5104190.9800000023</v>
      </c>
      <c r="TI152" s="294">
        <v>-316430461.89000005</v>
      </c>
      <c r="TJ152" s="294">
        <v>10032036</v>
      </c>
      <c r="TK152" s="294">
        <v>9529998.7399999984</v>
      </c>
      <c r="TL152" s="294">
        <v>-33465609.560000002</v>
      </c>
      <c r="TM152" s="294">
        <v>-17033380.840000004</v>
      </c>
      <c r="TN152" s="294">
        <v>4490099.2700000014</v>
      </c>
      <c r="TO152" s="294">
        <v>3056294.9399999995</v>
      </c>
      <c r="TP152" s="294">
        <v>-10564455.18</v>
      </c>
      <c r="TQ152" s="294">
        <v>5671388.5099999979</v>
      </c>
      <c r="TR152" s="294">
        <v>-16063401.690000001</v>
      </c>
      <c r="TS152" s="294">
        <v>-35324371.580000006</v>
      </c>
      <c r="TT152" s="294">
        <v>18454254.380000003</v>
      </c>
      <c r="TU152" s="294">
        <v>2631354.08</v>
      </c>
      <c r="TV152" s="294">
        <v>-6280715.8399999961</v>
      </c>
      <c r="TW152" s="294">
        <v>1265482.8599999994</v>
      </c>
      <c r="TX152" s="294">
        <v>15502345.129999999</v>
      </c>
      <c r="TY152" s="294">
        <v>18626988.38000001</v>
      </c>
      <c r="TZ152" s="294">
        <v>9190697.5999999996</v>
      </c>
      <c r="UA152" s="294">
        <v>165914822.97</v>
      </c>
      <c r="UB152" s="294">
        <v>-29655801.539999988</v>
      </c>
      <c r="UC152" s="294">
        <v>-14185559.980000006</v>
      </c>
      <c r="UD152" s="294">
        <v>-13330870.309999997</v>
      </c>
      <c r="UE152" s="294">
        <v>-217913125.76000005</v>
      </c>
      <c r="UF152" s="294">
        <v>10296685.959999999</v>
      </c>
      <c r="UG152" s="294">
        <v>-6282320.2000000011</v>
      </c>
      <c r="UH152" s="294">
        <v>18814780.630000003</v>
      </c>
      <c r="UI152" s="294">
        <v>-3027694.2600000016</v>
      </c>
      <c r="UJ152" s="294">
        <v>39211564.400000006</v>
      </c>
      <c r="UK152" s="294">
        <v>-7285172.9100000039</v>
      </c>
      <c r="UL152" s="294">
        <v>-1953685.450000003</v>
      </c>
      <c r="UM152" s="294">
        <v>-18403012.759999998</v>
      </c>
      <c r="UN152" s="294">
        <v>1850438.3199999966</v>
      </c>
      <c r="UO152" s="294">
        <v>-8279421.6700000055</v>
      </c>
      <c r="UP152" s="294">
        <v>281179897.63</v>
      </c>
      <c r="UQ152" s="294">
        <v>-2195594.4399999976</v>
      </c>
      <c r="UR152" s="294">
        <v>-2392855.6300000027</v>
      </c>
      <c r="US152" s="294">
        <v>-95892031.75999999</v>
      </c>
      <c r="UT152" s="294">
        <v>4761272.8399999989</v>
      </c>
      <c r="UU152" s="294">
        <v>1109253.8699999973</v>
      </c>
      <c r="UV152" s="294">
        <v>-38811509.200000003</v>
      </c>
      <c r="UW152" s="294">
        <v>3117635.6800000016</v>
      </c>
      <c r="UX152" s="294">
        <v>-3471368</v>
      </c>
      <c r="UY152" s="294">
        <v>19700758.179999996</v>
      </c>
      <c r="UZ152" s="294">
        <v>-2645398.0500000007</v>
      </c>
      <c r="VA152" s="294">
        <v>-9357054.3599999994</v>
      </c>
      <c r="VB152" s="294">
        <v>24416908.18</v>
      </c>
      <c r="VC152" s="294">
        <v>31254277.589999996</v>
      </c>
      <c r="VD152" s="294">
        <v>6008692.6799999997</v>
      </c>
      <c r="VE152" s="294">
        <v>2952455.8499999978</v>
      </c>
      <c r="VF152" s="294">
        <v>5929737.2800000012</v>
      </c>
      <c r="VG152" s="294">
        <v>311417.37000000104</v>
      </c>
      <c r="VH152" s="294">
        <v>-10135923.019999996</v>
      </c>
      <c r="VI152" s="294">
        <v>-1344605.3699999992</v>
      </c>
      <c r="VJ152" s="294">
        <v>11492035.460000003</v>
      </c>
      <c r="VK152" s="294">
        <v>13599629.549999997</v>
      </c>
      <c r="VL152" s="294">
        <v>-54822253.00000006</v>
      </c>
      <c r="VM152" s="294">
        <v>12210894.219999999</v>
      </c>
      <c r="VN152" s="294">
        <v>22498847.169999994</v>
      </c>
      <c r="VO152" s="294">
        <v>10216407.059999987</v>
      </c>
      <c r="VP152" s="294">
        <v>-8618762.0099999979</v>
      </c>
      <c r="VQ152" s="294">
        <v>-2382294.3000000119</v>
      </c>
      <c r="VR152" s="294">
        <v>-4807094.4500000104</v>
      </c>
      <c r="VS152" s="294">
        <v>1001106.8100000005</v>
      </c>
      <c r="VT152" s="294">
        <v>30646078.830000006</v>
      </c>
      <c r="VU152" s="294">
        <v>-27703781.959999993</v>
      </c>
      <c r="VV152" s="294">
        <v>11739236.630000001</v>
      </c>
      <c r="VW152" s="294">
        <v>61640437.230000012</v>
      </c>
      <c r="VX152" s="294">
        <v>13137519.890000004</v>
      </c>
      <c r="VY152" s="294">
        <v>40595891.86999999</v>
      </c>
      <c r="VZ152" s="294">
        <v>3405960.6400000043</v>
      </c>
      <c r="WA152" s="294">
        <v>1063683786.5500003</v>
      </c>
      <c r="WB152" s="294">
        <v>34757278.469999999</v>
      </c>
      <c r="WC152" s="294">
        <v>60759789.140000008</v>
      </c>
      <c r="WD152" s="294">
        <v>34777350.350000016</v>
      </c>
      <c r="WE152" s="294">
        <v>17997958.360000007</v>
      </c>
      <c r="WF152" s="294">
        <v>600134.73000000045</v>
      </c>
      <c r="WG152" s="294">
        <v>-8124846.1700000018</v>
      </c>
      <c r="WH152" s="294">
        <v>8337487.0399999917</v>
      </c>
      <c r="WI152" s="294">
        <v>43146401.580000006</v>
      </c>
      <c r="WJ152" s="294">
        <v>6862632.4299999923</v>
      </c>
      <c r="WK152" s="294">
        <v>4249503.9499999993</v>
      </c>
      <c r="WL152" s="294">
        <v>-27428859.728999998</v>
      </c>
      <c r="WM152" s="294">
        <v>27437746.18999999</v>
      </c>
      <c r="WN152" s="294">
        <v>15907154.629999995</v>
      </c>
      <c r="WO152" s="294">
        <v>20196934.870000005</v>
      </c>
      <c r="WP152" s="294">
        <v>37457481.899999999</v>
      </c>
      <c r="WQ152" s="294">
        <v>17759082.820000008</v>
      </c>
      <c r="WR152" s="294">
        <v>8621974.5100000054</v>
      </c>
      <c r="WS152" s="294">
        <v>9113447.9300000016</v>
      </c>
      <c r="WT152" s="294">
        <v>13462989.54999999</v>
      </c>
      <c r="WU152" s="294">
        <v>-6325748.2200000286</v>
      </c>
      <c r="WV152" s="294">
        <v>-4238676.7300000004</v>
      </c>
      <c r="WW152" s="294">
        <v>23550631.060000006</v>
      </c>
      <c r="WX152" s="294">
        <v>15373591.750000002</v>
      </c>
      <c r="WY152" s="294">
        <v>24559439.529999994</v>
      </c>
      <c r="WZ152" s="294">
        <v>1555729.5099999942</v>
      </c>
      <c r="XA152" s="294">
        <v>13273805.390000002</v>
      </c>
      <c r="XB152" s="294">
        <v>20078469.319999997</v>
      </c>
      <c r="XC152" s="294">
        <v>62284155.279999971</v>
      </c>
      <c r="XD152" s="294">
        <v>1520814.0199999996</v>
      </c>
      <c r="XE152" s="294">
        <v>25547948.099999998</v>
      </c>
      <c r="XF152" s="294">
        <v>16539139.340000002</v>
      </c>
      <c r="XG152" s="294">
        <v>16886447.059999999</v>
      </c>
      <c r="XH152" s="294">
        <v>580720985.81999993</v>
      </c>
      <c r="XI152" s="294">
        <v>15631675.399999995</v>
      </c>
      <c r="XJ152" s="294">
        <v>95777348.190000013</v>
      </c>
      <c r="XK152" s="294">
        <v>-58613286.300000027</v>
      </c>
      <c r="XL152" s="294">
        <v>22561861.550000004</v>
      </c>
      <c r="XM152" s="294">
        <v>8210645.299999997</v>
      </c>
      <c r="XN152" s="294">
        <v>6861779.4399999976</v>
      </c>
      <c r="XO152" s="294">
        <v>74721694.170000002</v>
      </c>
      <c r="XP152" s="294">
        <v>8807271.4600000009</v>
      </c>
      <c r="XQ152" s="294">
        <v>-3348304.4699999988</v>
      </c>
      <c r="XR152" s="294">
        <v>33875755.45000001</v>
      </c>
      <c r="XS152" s="294">
        <v>10055803.060000001</v>
      </c>
      <c r="XT152" s="294">
        <v>10414246.559999999</v>
      </c>
      <c r="XU152" s="294">
        <v>20648085.339999996</v>
      </c>
      <c r="XV152" s="294">
        <v>55550604.430000007</v>
      </c>
      <c r="XW152" s="294">
        <v>7734625.540000001</v>
      </c>
      <c r="XX152" s="294">
        <v>16832391.240000002</v>
      </c>
      <c r="XY152" s="294">
        <v>19611219.82</v>
      </c>
      <c r="XZ152" s="294">
        <v>8684109.8499999996</v>
      </c>
      <c r="YA152" s="294">
        <v>14442382.66</v>
      </c>
      <c r="YB152" s="294">
        <v>13224750.159999996</v>
      </c>
      <c r="YC152" s="294">
        <v>58578487.590000004</v>
      </c>
      <c r="YD152" s="294">
        <v>48252910.050000004</v>
      </c>
      <c r="YE152" s="294">
        <v>338236639.31000006</v>
      </c>
      <c r="YF152" s="294">
        <v>18573773.550000001</v>
      </c>
      <c r="YG152" s="294">
        <v>42501600.930000007</v>
      </c>
      <c r="YH152" s="294">
        <v>59567896.220000006</v>
      </c>
      <c r="YI152" s="294">
        <v>61419095.570000008</v>
      </c>
      <c r="YJ152" s="294">
        <v>20435208.600000001</v>
      </c>
      <c r="YK152" s="294">
        <v>34750931.370000005</v>
      </c>
      <c r="YL152" s="294">
        <v>22872735.640000001</v>
      </c>
      <c r="YM152" s="294">
        <v>-7029807.5900000036</v>
      </c>
      <c r="YN152" s="294">
        <v>21394260.549999997</v>
      </c>
      <c r="YO152" s="294">
        <v>44873048.630000003</v>
      </c>
      <c r="YP152" s="294">
        <v>20242578.41</v>
      </c>
      <c r="YQ152" s="294">
        <v>31160169.010000002</v>
      </c>
      <c r="YR152" s="294">
        <v>21455649.690000005</v>
      </c>
      <c r="YS152" s="294">
        <v>71515560.549999997</v>
      </c>
      <c r="YT152" s="294">
        <v>79494668.620000005</v>
      </c>
      <c r="YU152" s="294">
        <v>31997496.749999996</v>
      </c>
      <c r="YV152" s="294">
        <v>33953657.040000007</v>
      </c>
      <c r="YW152" s="294">
        <v>3830180.92</v>
      </c>
      <c r="YX152" s="294">
        <v>18990426.32</v>
      </c>
      <c r="YY152" s="294">
        <v>10902752.850000001</v>
      </c>
      <c r="YZ152" s="294">
        <v>2601884.9900000021</v>
      </c>
      <c r="ZA152" s="294">
        <v>10695949.02</v>
      </c>
      <c r="ZB152" s="294">
        <v>22053738.5</v>
      </c>
      <c r="ZC152" s="294">
        <v>-11316467.900000006</v>
      </c>
      <c r="ZD152" s="294">
        <v>6127409.5000000009</v>
      </c>
      <c r="ZE152" s="294">
        <v>29362034.260000009</v>
      </c>
      <c r="ZF152" s="294">
        <v>-1111047.7199999988</v>
      </c>
      <c r="ZG152" s="294">
        <v>35502574.759999998</v>
      </c>
      <c r="ZH152" s="294">
        <v>549404.72999999858</v>
      </c>
      <c r="ZI152" s="294">
        <v>1026088.879999999</v>
      </c>
      <c r="ZJ152" s="294">
        <v>8826473.1099999975</v>
      </c>
      <c r="ZK152" s="294">
        <v>-20637825.530000001</v>
      </c>
      <c r="ZL152" s="294">
        <v>-41185053.940000057</v>
      </c>
      <c r="ZM152" s="294">
        <v>18256015.450000003</v>
      </c>
      <c r="ZN152" s="294">
        <v>46370550.359999977</v>
      </c>
      <c r="ZO152" s="294">
        <v>214856143.51000005</v>
      </c>
      <c r="ZP152" s="294">
        <v>70677668.889999986</v>
      </c>
      <c r="ZQ152" s="294">
        <v>40188233.890000001</v>
      </c>
      <c r="ZR152" s="294">
        <v>32822311.030000001</v>
      </c>
      <c r="ZS152" s="294">
        <v>110290990.17999995</v>
      </c>
      <c r="ZT152" s="294">
        <v>298770145.77000004</v>
      </c>
      <c r="ZU152" s="294">
        <v>-10934675.000000007</v>
      </c>
      <c r="ZV152" s="294">
        <v>36690394.040000007</v>
      </c>
      <c r="ZW152" s="294">
        <v>27376019.619999997</v>
      </c>
      <c r="ZX152" s="294">
        <v>17354299.16</v>
      </c>
      <c r="ZY152" s="294">
        <v>23701198.079999994</v>
      </c>
      <c r="ZZ152" s="294">
        <v>11536955.870000001</v>
      </c>
      <c r="AAA152" s="294">
        <v>17530646.709999997</v>
      </c>
      <c r="AAB152" s="294">
        <v>15157921.319999997</v>
      </c>
      <c r="AAC152" s="294">
        <v>21675729.73</v>
      </c>
      <c r="AAD152" s="294">
        <v>13206930.119999997</v>
      </c>
      <c r="AAE152" s="294">
        <v>37913809.530000001</v>
      </c>
      <c r="AAF152" s="294">
        <v>8454257.8999999985</v>
      </c>
      <c r="AAG152" s="294">
        <v>20195938.660000004</v>
      </c>
      <c r="AAH152" s="294">
        <v>89091.930000022054</v>
      </c>
      <c r="AAI152" s="294">
        <v>1756357.6900000013</v>
      </c>
      <c r="AAJ152" s="294">
        <v>8963915.6399999931</v>
      </c>
      <c r="AAK152" s="294">
        <v>-2932030.2499999981</v>
      </c>
      <c r="AAL152" s="294">
        <v>13466417.050000001</v>
      </c>
      <c r="AAM152" s="294">
        <v>-12584115.689999994</v>
      </c>
      <c r="AAN152" s="294">
        <v>13650547.630000001</v>
      </c>
      <c r="AAO152" s="294">
        <v>592674947.28000021</v>
      </c>
      <c r="AAP152" s="294">
        <v>-3965356.7600000016</v>
      </c>
      <c r="AAQ152" s="294">
        <v>13791962.230000004</v>
      </c>
      <c r="AAR152" s="294">
        <v>25597677.860000007</v>
      </c>
      <c r="AAS152" s="294">
        <v>3975155.0500000045</v>
      </c>
      <c r="AAT152" s="294">
        <v>53690489.480000004</v>
      </c>
      <c r="AAU152" s="294">
        <v>20606670.699999996</v>
      </c>
      <c r="AAV152" s="294">
        <v>27164987.460000001</v>
      </c>
      <c r="AAW152" s="294">
        <v>-31106641.039999992</v>
      </c>
      <c r="AAX152" s="294">
        <v>11454449.729999997</v>
      </c>
      <c r="AAY152" s="294">
        <v>-1173702.1699999943</v>
      </c>
      <c r="AAZ152" s="294">
        <v>-65052994.010000035</v>
      </c>
      <c r="ABA152" s="294">
        <v>-6643834.4699999988</v>
      </c>
      <c r="ABB152" s="294">
        <v>-3796305.7800000003</v>
      </c>
      <c r="ABC152" s="294">
        <v>-4646580.2299999967</v>
      </c>
      <c r="ABD152" s="294">
        <v>3053379.25</v>
      </c>
      <c r="ABE152" s="294">
        <v>17632504.970000003</v>
      </c>
      <c r="ABF152" s="294">
        <v>30793037.599999998</v>
      </c>
      <c r="ABG152" s="294">
        <v>2177682.0800000019</v>
      </c>
      <c r="ABH152" s="294">
        <v>-15917418.509999976</v>
      </c>
      <c r="ABI152" s="294">
        <v>-80647708.579999983</v>
      </c>
      <c r="ABJ152" s="294">
        <v>26363538.450000007</v>
      </c>
      <c r="ABK152" s="294">
        <v>3350900.5900000017</v>
      </c>
      <c r="ABL152" s="294">
        <v>60397.910000000149</v>
      </c>
      <c r="ABM152" s="294">
        <v>36291438.689999998</v>
      </c>
      <c r="ABN152" s="294">
        <v>13867585.580000002</v>
      </c>
      <c r="ABO152" s="294">
        <v>-54213927.639999956</v>
      </c>
      <c r="ABP152" s="294">
        <v>55054733.23999998</v>
      </c>
      <c r="ABQ152" s="294">
        <v>-10540767.979999999</v>
      </c>
      <c r="ABR152" s="294">
        <v>14346287.470000003</v>
      </c>
      <c r="ABS152" s="294">
        <v>-1470502.5900000036</v>
      </c>
      <c r="ABT152" s="294">
        <v>10459618.289999999</v>
      </c>
      <c r="ABU152" s="294">
        <v>5973210.4700000025</v>
      </c>
      <c r="ABV152" s="294">
        <v>3827609.0199999996</v>
      </c>
      <c r="ABW152" s="294">
        <v>33670564.149999999</v>
      </c>
      <c r="ABX152" s="294">
        <v>-302323999.83999997</v>
      </c>
      <c r="ABY152" s="294">
        <v>23473875.339999996</v>
      </c>
      <c r="ABZ152" s="294">
        <v>36909940.68</v>
      </c>
      <c r="ACA152" s="294">
        <v>671504.49000000022</v>
      </c>
      <c r="ACB152" s="294">
        <v>9715173.9400000013</v>
      </c>
      <c r="ACC152" s="294">
        <v>-38036123.279999994</v>
      </c>
      <c r="ACD152" s="294">
        <v>4735811.7200000007</v>
      </c>
      <c r="ACE152" s="294">
        <v>2974374.5100000016</v>
      </c>
      <c r="ACF152" s="294">
        <v>2166150.9500000011</v>
      </c>
      <c r="ACG152" s="294">
        <v>5760768.7399999909</v>
      </c>
      <c r="ACH152" s="294">
        <v>-1614721.8400000036</v>
      </c>
      <c r="ACI152" s="294">
        <v>242883158.13999993</v>
      </c>
      <c r="ACJ152" s="294">
        <v>-420278.14000000246</v>
      </c>
      <c r="ACK152" s="294">
        <v>-10675082.289999999</v>
      </c>
      <c r="ACL152" s="294">
        <v>-11903422.220000006</v>
      </c>
      <c r="ACM152" s="294">
        <v>9741439.3899999987</v>
      </c>
      <c r="ACN152" s="294">
        <v>-22198607.610000007</v>
      </c>
      <c r="ACO152" s="294">
        <v>37664112.840000004</v>
      </c>
      <c r="ACP152" s="294">
        <v>63383878.909999996</v>
      </c>
      <c r="ACQ152" s="294">
        <v>67910642.25999999</v>
      </c>
      <c r="ACR152" s="294">
        <v>-7642183.7400000021</v>
      </c>
      <c r="ACS152" s="294">
        <v>71906.620000004768</v>
      </c>
      <c r="ACT152" s="294">
        <v>13676553.879999995</v>
      </c>
      <c r="ACU152" s="294">
        <v>4469182.0399999991</v>
      </c>
      <c r="ACV152" s="294">
        <v>144597577.44999999</v>
      </c>
      <c r="ACW152" s="294">
        <v>-7940201.0200000033</v>
      </c>
      <c r="ACX152" s="294">
        <v>22904024.320000004</v>
      </c>
      <c r="ACY152" s="294">
        <v>42709260.359999999</v>
      </c>
      <c r="ACZ152" s="294">
        <v>-9629287.9800000023</v>
      </c>
      <c r="ADA152" s="294">
        <v>-2295858.5599999987</v>
      </c>
      <c r="ADB152" s="294">
        <v>4470700.0499999989</v>
      </c>
      <c r="ADC152" s="294">
        <v>-4320887.8900000006</v>
      </c>
      <c r="ADD152" s="294">
        <v>25088790.18</v>
      </c>
      <c r="ADE152" s="294">
        <v>47732049.149999999</v>
      </c>
      <c r="ADF152" s="294">
        <v>-72323847.179999992</v>
      </c>
      <c r="ADG152" s="294">
        <v>-14025769.059999987</v>
      </c>
      <c r="ADH152" s="294">
        <v>17360119.140000001</v>
      </c>
      <c r="ADI152" s="294">
        <v>-3608830.6300000008</v>
      </c>
      <c r="ADJ152" s="294">
        <v>-17881036.38000001</v>
      </c>
      <c r="ADK152" s="294">
        <v>2210913.4999999981</v>
      </c>
      <c r="ADL152" s="294">
        <v>9170936.1900000013</v>
      </c>
      <c r="ADM152" s="294">
        <v>7815941.3699999973</v>
      </c>
      <c r="ADN152" s="294">
        <v>-9035872.3799999915</v>
      </c>
      <c r="ADO152" s="294">
        <v>-91188398.310000002</v>
      </c>
      <c r="ADP152" s="294">
        <v>63211395.520000011</v>
      </c>
      <c r="ADQ152" s="294">
        <v>3554487.450000003</v>
      </c>
      <c r="ADR152" s="294">
        <v>21822086.57</v>
      </c>
      <c r="ADS152" s="294">
        <v>-78313750.629999965</v>
      </c>
      <c r="ADT152" s="294">
        <v>-2464829.5699999994</v>
      </c>
      <c r="ADU152" s="294">
        <v>-5548981.9700000007</v>
      </c>
      <c r="ADV152" s="294">
        <v>28733795.259999998</v>
      </c>
      <c r="ADW152" s="294">
        <v>-3823814</v>
      </c>
      <c r="ADX152" s="294">
        <v>13342708.1</v>
      </c>
      <c r="ADY152" s="294">
        <v>139270533.00999993</v>
      </c>
      <c r="ADZ152" s="294">
        <v>-15481314.75999999</v>
      </c>
      <c r="AEA152" s="294">
        <v>-86443436.599999964</v>
      </c>
      <c r="AEB152" s="294">
        <v>8841630.799999997</v>
      </c>
      <c r="AEC152" s="294">
        <v>490271.36999999732</v>
      </c>
      <c r="AED152" s="294">
        <v>-3574388.8200000003</v>
      </c>
      <c r="AEE152" s="294">
        <v>-5219305.1499999985</v>
      </c>
      <c r="AEF152" s="294">
        <v>3979808.9699999988</v>
      </c>
      <c r="AEG152" s="294">
        <v>704512.43999999389</v>
      </c>
      <c r="AEH152" s="294">
        <v>37093533.199999996</v>
      </c>
      <c r="AEI152" s="294">
        <v>-26420338.629999995</v>
      </c>
      <c r="AEJ152" s="294">
        <v>-3935865.129999999</v>
      </c>
      <c r="AEK152" s="294">
        <v>6905117</v>
      </c>
      <c r="AEL152" s="294">
        <v>-2344643.4499999993</v>
      </c>
      <c r="AEM152" s="294">
        <v>-7356275.8899999931</v>
      </c>
      <c r="AEN152" s="294">
        <v>2622236.0399999991</v>
      </c>
      <c r="AEO152" s="294">
        <v>10383052.490000002</v>
      </c>
      <c r="AEP152" s="294">
        <v>-30789950.730000004</v>
      </c>
      <c r="AEQ152" s="294">
        <v>3815807.5300000003</v>
      </c>
      <c r="AER152" s="294">
        <v>-12726536.579999998</v>
      </c>
      <c r="AES152" s="294">
        <v>173963871.26999995</v>
      </c>
      <c r="AET152" s="294">
        <v>715257.73000000417</v>
      </c>
      <c r="AEU152" s="294">
        <v>514629.84000000358</v>
      </c>
      <c r="AEV152" s="294">
        <v>3235372.8100000024</v>
      </c>
      <c r="AEW152" s="294">
        <v>1876988.1199999973</v>
      </c>
      <c r="AEX152" s="294">
        <v>-7078898.9599999934</v>
      </c>
      <c r="AEY152" s="294">
        <v>8148087.5500000007</v>
      </c>
      <c r="AEZ152" s="294">
        <v>-2819666.6999999993</v>
      </c>
      <c r="AFA152" s="294">
        <v>3057264.2800000012</v>
      </c>
      <c r="AFB152" s="294">
        <v>7205834.379999999</v>
      </c>
      <c r="AFC152" s="294">
        <v>143779631.41000006</v>
      </c>
      <c r="AFD152" s="294">
        <v>128696060.84</v>
      </c>
      <c r="AFE152" s="294">
        <v>15627067.969999999</v>
      </c>
      <c r="AFF152" s="294">
        <v>8392529.1499999985</v>
      </c>
      <c r="AFG152" s="294">
        <v>36105648.710000001</v>
      </c>
      <c r="AFH152" s="294">
        <v>57849982.290000007</v>
      </c>
      <c r="AFI152" s="294">
        <v>7739045.5699999966</v>
      </c>
      <c r="AFJ152" s="294">
        <v>5309071.7000000048</v>
      </c>
      <c r="AFK152" s="294">
        <v>19901324.269999996</v>
      </c>
      <c r="AFL152" s="294">
        <v>5592163.5999999978</v>
      </c>
      <c r="AFM152" s="294">
        <v>570084.29000000097</v>
      </c>
      <c r="AFN152" s="294">
        <v>1509325.6899999958</v>
      </c>
      <c r="AFO152" s="294">
        <v>-9559016.7399999984</v>
      </c>
      <c r="AFP152" s="294">
        <v>-35762959.939999998</v>
      </c>
      <c r="AFQ152" s="294">
        <v>-11514053.329999998</v>
      </c>
      <c r="AFR152" s="294">
        <v>30532447.569999993</v>
      </c>
      <c r="AFS152" s="294">
        <v>4344.9999999962747</v>
      </c>
      <c r="AFT152" s="294">
        <v>9036691.1099999957</v>
      </c>
      <c r="AFU152" s="294">
        <v>23303044.36999999</v>
      </c>
      <c r="AFV152" s="294">
        <v>19384420.639999997</v>
      </c>
      <c r="AFW152" s="294">
        <v>24184498.590000004</v>
      </c>
      <c r="AFX152" s="294">
        <v>-5296792.200000003</v>
      </c>
      <c r="AFY152" s="294">
        <v>12978318.979999999</v>
      </c>
      <c r="AFZ152" s="294">
        <v>-11236938.68</v>
      </c>
      <c r="AGA152" s="294">
        <v>33164698.870000005</v>
      </c>
      <c r="AGB152" s="294">
        <v>236163608.79000002</v>
      </c>
      <c r="AGC152" s="294">
        <v>22976350.849999994</v>
      </c>
      <c r="AGD152" s="294">
        <v>1852203.0300000012</v>
      </c>
      <c r="AGE152" s="294">
        <v>18378277.699999999</v>
      </c>
      <c r="AGF152" s="294">
        <v>10545580.710000001</v>
      </c>
      <c r="AGG152" s="294">
        <v>-1522938.6899999976</v>
      </c>
      <c r="AGH152" s="294">
        <v>8412474.3199999984</v>
      </c>
      <c r="AGI152" s="294">
        <v>3446667.75</v>
      </c>
      <c r="AGJ152" s="294">
        <v>7462151.1000000015</v>
      </c>
      <c r="AGK152" s="294">
        <v>7587683.8599999994</v>
      </c>
      <c r="AGL152" s="294">
        <v>3077934.9999999981</v>
      </c>
      <c r="AGM152" s="294">
        <v>523606629.75</v>
      </c>
      <c r="AGN152" s="294">
        <v>3873132.5199999958</v>
      </c>
      <c r="AGO152" s="294">
        <v>13954252.740000002</v>
      </c>
      <c r="AGP152" s="294">
        <v>11954764.880000005</v>
      </c>
      <c r="AGQ152" s="294">
        <v>32083421.900000006</v>
      </c>
      <c r="AGR152" s="294">
        <v>19954774.25</v>
      </c>
      <c r="AGS152" s="294">
        <v>1664420.9300000034</v>
      </c>
      <c r="AGT152" s="294">
        <v>31856898.84999999</v>
      </c>
      <c r="AGU152" s="294">
        <v>2786028.6200000644</v>
      </c>
      <c r="AGV152" s="294">
        <v>-64404993.610000014</v>
      </c>
      <c r="AGW152" s="294">
        <v>-9355794.1800000034</v>
      </c>
      <c r="AGX152" s="294">
        <v>73725914.25999999</v>
      </c>
      <c r="AGY152" s="294">
        <v>36793991.299999982</v>
      </c>
      <c r="AGZ152" s="294">
        <v>2344973.2199999951</v>
      </c>
      <c r="AHA152" s="294">
        <v>-4456064.070000004</v>
      </c>
      <c r="AHB152" s="294">
        <v>17038208.939999998</v>
      </c>
      <c r="AHC152" s="294">
        <v>6357433.4200000018</v>
      </c>
      <c r="AHD152" s="294">
        <v>-8628258.7000000104</v>
      </c>
      <c r="AHE152" s="294">
        <v>17623841.70000001</v>
      </c>
      <c r="AHF152" s="294">
        <v>10077223.909999996</v>
      </c>
      <c r="AHG152" s="294">
        <v>-2345026.5799999945</v>
      </c>
      <c r="AHH152" s="294">
        <v>1684682.97000001</v>
      </c>
      <c r="AHI152" s="294">
        <v>10698049.890000001</v>
      </c>
      <c r="AHJ152" s="294">
        <v>-1409610.3299999982</v>
      </c>
      <c r="AHK152" s="294">
        <v>-1563215.8499999978</v>
      </c>
      <c r="AHL152" s="294">
        <v>-66360314.87000002</v>
      </c>
      <c r="AHM152" s="294">
        <v>22700275.559999995</v>
      </c>
      <c r="AHN152" s="294">
        <v>19064876.57</v>
      </c>
      <c r="AHO152" s="294">
        <v>4207133.93</v>
      </c>
      <c r="AHP152" s="294">
        <v>14028004.769999996</v>
      </c>
      <c r="AHQ152" s="294">
        <v>15819958.510000002</v>
      </c>
      <c r="AHR152" s="331">
        <v>-4959257.1999999974</v>
      </c>
    </row>
    <row r="153" spans="1:907" ht="24.6" x14ac:dyDescent="0.7">
      <c r="AHR153" s="268"/>
    </row>
    <row r="154" spans="1:907" ht="24.6" customHeight="1" x14ac:dyDescent="0.75">
      <c r="B154" s="268" t="s">
        <v>6282</v>
      </c>
      <c r="C154" s="420" t="s">
        <v>6275</v>
      </c>
      <c r="D154" s="294">
        <f>SUMIF($A$60:$A$148,$A$133,D$60:D$148)</f>
        <v>0</v>
      </c>
      <c r="E154" s="294">
        <f t="shared" ref="E154:BP154" si="87">SUMIF($A$60:$A$148,$A$133,E$60:E$148)</f>
        <v>-1429929.39</v>
      </c>
      <c r="F154" s="294">
        <f t="shared" si="87"/>
        <v>0</v>
      </c>
      <c r="G154" s="294">
        <f t="shared" si="87"/>
        <v>0</v>
      </c>
      <c r="H154" s="294">
        <f t="shared" si="87"/>
        <v>0</v>
      </c>
      <c r="I154" s="294">
        <f t="shared" si="87"/>
        <v>0</v>
      </c>
      <c r="J154" s="294">
        <f t="shared" si="87"/>
        <v>0</v>
      </c>
      <c r="K154" s="294">
        <f t="shared" si="87"/>
        <v>-3700003.23</v>
      </c>
      <c r="L154" s="294">
        <f t="shared" si="87"/>
        <v>-2937902.27</v>
      </c>
      <c r="M154" s="294">
        <f t="shared" si="87"/>
        <v>0</v>
      </c>
      <c r="N154" s="294">
        <f t="shared" si="87"/>
        <v>-20322.98</v>
      </c>
      <c r="O154" s="294">
        <f t="shared" si="87"/>
        <v>-1968.47</v>
      </c>
      <c r="P154" s="294">
        <f t="shared" si="87"/>
        <v>-9701888.6500000004</v>
      </c>
      <c r="Q154" s="294">
        <f t="shared" si="87"/>
        <v>0</v>
      </c>
      <c r="R154" s="294">
        <f t="shared" si="87"/>
        <v>0</v>
      </c>
      <c r="S154" s="294">
        <f t="shared" si="87"/>
        <v>0</v>
      </c>
      <c r="T154" s="294">
        <f t="shared" si="87"/>
        <v>0</v>
      </c>
      <c r="U154" s="294">
        <f t="shared" si="87"/>
        <v>-360662.99</v>
      </c>
      <c r="V154" s="294">
        <f t="shared" si="87"/>
        <v>-252040.23</v>
      </c>
      <c r="W154" s="294">
        <f t="shared" si="87"/>
        <v>0</v>
      </c>
      <c r="X154" s="294">
        <f t="shared" si="87"/>
        <v>-1539451.5</v>
      </c>
      <c r="Y154" s="294">
        <f t="shared" si="87"/>
        <v>0</v>
      </c>
      <c r="Z154" s="294">
        <f t="shared" si="87"/>
        <v>0</v>
      </c>
      <c r="AA154" s="294">
        <f t="shared" si="87"/>
        <v>0</v>
      </c>
      <c r="AB154" s="294">
        <f t="shared" si="87"/>
        <v>-191860</v>
      </c>
      <c r="AC154" s="294">
        <f t="shared" si="87"/>
        <v>-1048625</v>
      </c>
      <c r="AD154" s="294">
        <f t="shared" si="87"/>
        <v>-160732</v>
      </c>
      <c r="AE154" s="294">
        <f t="shared" si="87"/>
        <v>-862752.47</v>
      </c>
      <c r="AF154" s="294">
        <f t="shared" si="87"/>
        <v>0</v>
      </c>
      <c r="AG154" s="294">
        <f t="shared" si="87"/>
        <v>0</v>
      </c>
      <c r="AH154" s="294">
        <f t="shared" si="87"/>
        <v>0</v>
      </c>
      <c r="AI154" s="294">
        <f t="shared" si="87"/>
        <v>0</v>
      </c>
      <c r="AJ154" s="294">
        <f t="shared" si="87"/>
        <v>0</v>
      </c>
      <c r="AK154" s="294">
        <f t="shared" si="87"/>
        <v>0</v>
      </c>
      <c r="AL154" s="294">
        <f t="shared" si="87"/>
        <v>0</v>
      </c>
      <c r="AM154" s="294">
        <f t="shared" si="87"/>
        <v>0</v>
      </c>
      <c r="AN154" s="294">
        <f t="shared" si="87"/>
        <v>-339580.5</v>
      </c>
      <c r="AO154" s="294">
        <f t="shared" si="87"/>
        <v>-300235.18</v>
      </c>
      <c r="AP154" s="294">
        <f t="shared" si="87"/>
        <v>-361200</v>
      </c>
      <c r="AQ154" s="294">
        <f t="shared" si="87"/>
        <v>0</v>
      </c>
      <c r="AR154" s="294">
        <f t="shared" si="87"/>
        <v>0</v>
      </c>
      <c r="AS154" s="294">
        <f t="shared" si="87"/>
        <v>0</v>
      </c>
      <c r="AT154" s="294">
        <f t="shared" si="87"/>
        <v>-663852.97</v>
      </c>
      <c r="AU154" s="294">
        <f t="shared" si="87"/>
        <v>-601451</v>
      </c>
      <c r="AV154" s="294">
        <f t="shared" si="87"/>
        <v>-2244899.37</v>
      </c>
      <c r="AW154" s="294">
        <f t="shared" si="87"/>
        <v>0</v>
      </c>
      <c r="AX154" s="294">
        <f t="shared" si="87"/>
        <v>-1097203</v>
      </c>
      <c r="AY154" s="294">
        <f t="shared" si="87"/>
        <v>-500000</v>
      </c>
      <c r="AZ154" s="294">
        <f t="shared" si="87"/>
        <v>-78111</v>
      </c>
      <c r="BA154" s="294">
        <f t="shared" si="87"/>
        <v>0</v>
      </c>
      <c r="BB154" s="294">
        <f t="shared" si="87"/>
        <v>0</v>
      </c>
      <c r="BC154" s="294">
        <f t="shared" si="87"/>
        <v>0</v>
      </c>
      <c r="BD154" s="294">
        <f t="shared" si="87"/>
        <v>-144690</v>
      </c>
      <c r="BE154" s="294">
        <f t="shared" si="87"/>
        <v>-338265.01</v>
      </c>
      <c r="BF154" s="294">
        <f t="shared" si="87"/>
        <v>0</v>
      </c>
      <c r="BG154" s="294">
        <f t="shared" si="87"/>
        <v>-1012854.98</v>
      </c>
      <c r="BH154" s="294">
        <f t="shared" si="87"/>
        <v>-2260889.35</v>
      </c>
      <c r="BI154" s="294">
        <f t="shared" si="87"/>
        <v>-4631869.7300000004</v>
      </c>
      <c r="BJ154" s="294">
        <f t="shared" si="87"/>
        <v>0</v>
      </c>
      <c r="BK154" s="294">
        <f t="shared" si="87"/>
        <v>-1584370.76</v>
      </c>
      <c r="BL154" s="294">
        <f t="shared" si="87"/>
        <v>-339956.81</v>
      </c>
      <c r="BM154" s="294">
        <f t="shared" si="87"/>
        <v>0</v>
      </c>
      <c r="BN154" s="294">
        <f t="shared" si="87"/>
        <v>-1934373.51</v>
      </c>
      <c r="BO154" s="294">
        <f t="shared" si="87"/>
        <v>-1924657.76</v>
      </c>
      <c r="BP154" s="294">
        <f t="shared" si="87"/>
        <v>-1146958.31</v>
      </c>
      <c r="BQ154" s="294">
        <f t="shared" ref="BQ154:EB154" si="88">SUMIF($A$60:$A$148,$A$133,BQ$60:BQ$148)</f>
        <v>-778586.58</v>
      </c>
      <c r="BR154" s="294">
        <f t="shared" si="88"/>
        <v>-309863.87</v>
      </c>
      <c r="BS154" s="294">
        <f t="shared" si="88"/>
        <v>0</v>
      </c>
      <c r="BT154" s="294">
        <f t="shared" si="88"/>
        <v>-25434</v>
      </c>
      <c r="BU154" s="294">
        <f t="shared" si="88"/>
        <v>-1002093.07</v>
      </c>
      <c r="BV154" s="294">
        <f t="shared" si="88"/>
        <v>-43750</v>
      </c>
      <c r="BW154" s="294">
        <f t="shared" si="88"/>
        <v>-452500</v>
      </c>
      <c r="BX154" s="294">
        <f t="shared" si="88"/>
        <v>-1005045.1900000001</v>
      </c>
      <c r="BY154" s="294">
        <f t="shared" si="88"/>
        <v>-899045</v>
      </c>
      <c r="BZ154" s="294">
        <f t="shared" si="88"/>
        <v>0</v>
      </c>
      <c r="CA154" s="294">
        <f t="shared" si="88"/>
        <v>-8799.41</v>
      </c>
      <c r="CB154" s="294">
        <f t="shared" si="88"/>
        <v>0</v>
      </c>
      <c r="CC154" s="294">
        <f t="shared" si="88"/>
        <v>-108470.39</v>
      </c>
      <c r="CD154" s="294">
        <f t="shared" si="88"/>
        <v>0</v>
      </c>
      <c r="CE154" s="294">
        <f t="shared" si="88"/>
        <v>0</v>
      </c>
      <c r="CF154" s="294">
        <f t="shared" si="88"/>
        <v>0</v>
      </c>
      <c r="CG154" s="294">
        <f t="shared" si="88"/>
        <v>0</v>
      </c>
      <c r="CH154" s="294">
        <f t="shared" si="88"/>
        <v>0</v>
      </c>
      <c r="CI154" s="294">
        <f t="shared" si="88"/>
        <v>0</v>
      </c>
      <c r="CJ154" s="294">
        <f t="shared" si="88"/>
        <v>0</v>
      </c>
      <c r="CK154" s="294">
        <f t="shared" si="88"/>
        <v>0</v>
      </c>
      <c r="CL154" s="294">
        <f t="shared" si="88"/>
        <v>0</v>
      </c>
      <c r="CM154" s="294">
        <f t="shared" si="88"/>
        <v>0</v>
      </c>
      <c r="CN154" s="294">
        <f t="shared" si="88"/>
        <v>0</v>
      </c>
      <c r="CO154" s="294">
        <f t="shared" si="88"/>
        <v>0</v>
      </c>
      <c r="CP154" s="294">
        <f t="shared" si="88"/>
        <v>0</v>
      </c>
      <c r="CQ154" s="294">
        <f t="shared" si="88"/>
        <v>0</v>
      </c>
      <c r="CR154" s="294">
        <f t="shared" si="88"/>
        <v>0</v>
      </c>
      <c r="CS154" s="294">
        <f t="shared" si="88"/>
        <v>-293529</v>
      </c>
      <c r="CT154" s="294">
        <f t="shared" si="88"/>
        <v>-13681700</v>
      </c>
      <c r="CU154" s="294">
        <f t="shared" si="88"/>
        <v>-1878310.16</v>
      </c>
      <c r="CV154" s="294">
        <f t="shared" si="88"/>
        <v>-149398.63</v>
      </c>
      <c r="CW154" s="294">
        <f t="shared" si="88"/>
        <v>-1685835.43</v>
      </c>
      <c r="CX154" s="294">
        <f t="shared" si="88"/>
        <v>-680000</v>
      </c>
      <c r="CY154" s="294">
        <f t="shared" si="88"/>
        <v>0</v>
      </c>
      <c r="CZ154" s="294">
        <f t="shared" si="88"/>
        <v>0</v>
      </c>
      <c r="DA154" s="294">
        <f t="shared" si="88"/>
        <v>-773363</v>
      </c>
      <c r="DB154" s="294">
        <f t="shared" si="88"/>
        <v>-422364.3</v>
      </c>
      <c r="DC154" s="294">
        <f t="shared" si="88"/>
        <v>-4755000</v>
      </c>
      <c r="DD154" s="294">
        <f t="shared" si="88"/>
        <v>0</v>
      </c>
      <c r="DE154" s="294">
        <f t="shared" si="88"/>
        <v>-1785684.54</v>
      </c>
      <c r="DF154" s="294">
        <f t="shared" si="88"/>
        <v>0</v>
      </c>
      <c r="DG154" s="294">
        <f t="shared" si="88"/>
        <v>0</v>
      </c>
      <c r="DH154" s="294">
        <f t="shared" si="88"/>
        <v>-1562879.8</v>
      </c>
      <c r="DI154" s="294">
        <f t="shared" si="88"/>
        <v>0</v>
      </c>
      <c r="DJ154" s="294">
        <f t="shared" si="88"/>
        <v>-713235.66</v>
      </c>
      <c r="DK154" s="294">
        <f t="shared" si="88"/>
        <v>-22640446.920000002</v>
      </c>
      <c r="DL154" s="294">
        <f t="shared" si="88"/>
        <v>0</v>
      </c>
      <c r="DM154" s="294">
        <f t="shared" si="88"/>
        <v>-291017.81</v>
      </c>
      <c r="DN154" s="294">
        <f t="shared" si="88"/>
        <v>-348393.26</v>
      </c>
      <c r="DO154" s="294">
        <f t="shared" si="88"/>
        <v>-424540.46</v>
      </c>
      <c r="DP154" s="294">
        <f t="shared" si="88"/>
        <v>-240030.46</v>
      </c>
      <c r="DQ154" s="294">
        <f t="shared" si="88"/>
        <v>-3063579.8200000003</v>
      </c>
      <c r="DR154" s="294">
        <f t="shared" si="88"/>
        <v>0</v>
      </c>
      <c r="DS154" s="294">
        <f t="shared" si="88"/>
        <v>-4607638.67</v>
      </c>
      <c r="DT154" s="294">
        <f t="shared" si="88"/>
        <v>0</v>
      </c>
      <c r="DU154" s="294">
        <f t="shared" si="88"/>
        <v>-150977.75</v>
      </c>
      <c r="DV154" s="294">
        <f t="shared" si="88"/>
        <v>-2276640.7799999998</v>
      </c>
      <c r="DW154" s="294">
        <f t="shared" si="88"/>
        <v>0</v>
      </c>
      <c r="DX154" s="294">
        <f t="shared" si="88"/>
        <v>-37008.25</v>
      </c>
      <c r="DY154" s="294">
        <f t="shared" si="88"/>
        <v>0</v>
      </c>
      <c r="DZ154" s="294">
        <f t="shared" si="88"/>
        <v>-422456.66</v>
      </c>
      <c r="EA154" s="294">
        <f t="shared" si="88"/>
        <v>-43301</v>
      </c>
      <c r="EB154" s="294">
        <f t="shared" si="88"/>
        <v>-850765.5</v>
      </c>
      <c r="EC154" s="294">
        <f t="shared" ref="EC154:GN154" si="89">SUMIF($A$60:$A$148,$A$133,EC$60:EC$148)</f>
        <v>0</v>
      </c>
      <c r="ED154" s="294">
        <f t="shared" si="89"/>
        <v>0</v>
      </c>
      <c r="EE154" s="294">
        <f t="shared" si="89"/>
        <v>-1894579.41</v>
      </c>
      <c r="EF154" s="294">
        <f t="shared" si="89"/>
        <v>-1106783.45</v>
      </c>
      <c r="EG154" s="294">
        <f t="shared" si="89"/>
        <v>-287882.98</v>
      </c>
      <c r="EH154" s="294">
        <f t="shared" si="89"/>
        <v>-3387110.01</v>
      </c>
      <c r="EI154" s="294">
        <f t="shared" si="89"/>
        <v>-188252.27</v>
      </c>
      <c r="EJ154" s="294">
        <f t="shared" si="89"/>
        <v>0</v>
      </c>
      <c r="EK154" s="294">
        <f t="shared" si="89"/>
        <v>0</v>
      </c>
      <c r="EL154" s="294">
        <f t="shared" si="89"/>
        <v>-312647.61</v>
      </c>
      <c r="EM154" s="294">
        <f t="shared" si="89"/>
        <v>-42739.99</v>
      </c>
      <c r="EN154" s="294">
        <f t="shared" si="89"/>
        <v>-2016368.15</v>
      </c>
      <c r="EO154" s="294">
        <f t="shared" si="89"/>
        <v>0</v>
      </c>
      <c r="EP154" s="294">
        <f t="shared" si="89"/>
        <v>-1321600.49</v>
      </c>
      <c r="EQ154" s="294">
        <f t="shared" si="89"/>
        <v>-1114308.19</v>
      </c>
      <c r="ER154" s="294">
        <f t="shared" si="89"/>
        <v>-400260.64</v>
      </c>
      <c r="ES154" s="294">
        <f t="shared" si="89"/>
        <v>-489570.62</v>
      </c>
      <c r="ET154" s="294">
        <f t="shared" si="89"/>
        <v>-1390289.22</v>
      </c>
      <c r="EU154" s="294">
        <f t="shared" si="89"/>
        <v>-1942822.12</v>
      </c>
      <c r="EV154" s="294">
        <f t="shared" si="89"/>
        <v>0</v>
      </c>
      <c r="EW154" s="294">
        <f t="shared" si="89"/>
        <v>-150938</v>
      </c>
      <c r="EX154" s="294">
        <f t="shared" si="89"/>
        <v>0</v>
      </c>
      <c r="EY154" s="294">
        <f t="shared" si="89"/>
        <v>0</v>
      </c>
      <c r="EZ154" s="294">
        <f t="shared" si="89"/>
        <v>0</v>
      </c>
      <c r="FA154" s="294">
        <f t="shared" si="89"/>
        <v>0</v>
      </c>
      <c r="FB154" s="294">
        <f t="shared" si="89"/>
        <v>0</v>
      </c>
      <c r="FC154" s="294">
        <f t="shared" si="89"/>
        <v>-833000</v>
      </c>
      <c r="FD154" s="294">
        <f t="shared" si="89"/>
        <v>-1262522.06</v>
      </c>
      <c r="FE154" s="294">
        <f t="shared" si="89"/>
        <v>0</v>
      </c>
      <c r="FF154" s="294">
        <f t="shared" si="89"/>
        <v>-1365644.48</v>
      </c>
      <c r="FG154" s="294">
        <f t="shared" si="89"/>
        <v>0</v>
      </c>
      <c r="FH154" s="294">
        <f t="shared" si="89"/>
        <v>-568581.75</v>
      </c>
      <c r="FI154" s="294">
        <f t="shared" si="89"/>
        <v>0</v>
      </c>
      <c r="FJ154" s="294">
        <f t="shared" si="89"/>
        <v>0</v>
      </c>
      <c r="FK154" s="294">
        <f t="shared" si="89"/>
        <v>0</v>
      </c>
      <c r="FL154" s="294">
        <f t="shared" si="89"/>
        <v>0</v>
      </c>
      <c r="FM154" s="294">
        <f t="shared" si="89"/>
        <v>0</v>
      </c>
      <c r="FN154" s="294">
        <f t="shared" si="89"/>
        <v>0</v>
      </c>
      <c r="FO154" s="294">
        <f t="shared" si="89"/>
        <v>-487980.73</v>
      </c>
      <c r="FP154" s="294">
        <f t="shared" si="89"/>
        <v>0</v>
      </c>
      <c r="FQ154" s="294">
        <f t="shared" si="89"/>
        <v>-64570087.93</v>
      </c>
      <c r="FR154" s="294">
        <f t="shared" si="89"/>
        <v>-1059307.1000000001</v>
      </c>
      <c r="FS154" s="294">
        <f t="shared" si="89"/>
        <v>-3355157.63</v>
      </c>
      <c r="FT154" s="294">
        <f t="shared" si="89"/>
        <v>0</v>
      </c>
      <c r="FU154" s="294">
        <f t="shared" si="89"/>
        <v>-1070829.44</v>
      </c>
      <c r="FV154" s="294">
        <f t="shared" si="89"/>
        <v>0</v>
      </c>
      <c r="FW154" s="294">
        <f t="shared" si="89"/>
        <v>-1803735.07</v>
      </c>
      <c r="FX154" s="294">
        <f t="shared" si="89"/>
        <v>-4518766.21</v>
      </c>
      <c r="FY154" s="294">
        <f t="shared" si="89"/>
        <v>-469864.01</v>
      </c>
      <c r="FZ154" s="294">
        <f t="shared" si="89"/>
        <v>0</v>
      </c>
      <c r="GA154" s="294">
        <f t="shared" si="89"/>
        <v>-4050158.0199999996</v>
      </c>
      <c r="GB154" s="294">
        <f t="shared" si="89"/>
        <v>-3011467.63</v>
      </c>
      <c r="GC154" s="294">
        <f t="shared" si="89"/>
        <v>-4537694.3</v>
      </c>
      <c r="GD154" s="294">
        <f t="shared" si="89"/>
        <v>-472815.22</v>
      </c>
      <c r="GE154" s="294">
        <f t="shared" si="89"/>
        <v>-1786348.7</v>
      </c>
      <c r="GF154" s="294">
        <f t="shared" si="89"/>
        <v>-1394243.8</v>
      </c>
      <c r="GG154" s="294">
        <f t="shared" si="89"/>
        <v>0</v>
      </c>
      <c r="GH154" s="294">
        <f t="shared" si="89"/>
        <v>-1195619.17</v>
      </c>
      <c r="GI154" s="294">
        <f t="shared" si="89"/>
        <v>-2590932.04</v>
      </c>
      <c r="GJ154" s="294">
        <f t="shared" si="89"/>
        <v>-5277145.0199999996</v>
      </c>
      <c r="GK154" s="294">
        <f t="shared" si="89"/>
        <v>-2034537.0499999998</v>
      </c>
      <c r="GL154" s="294">
        <f t="shared" si="89"/>
        <v>-1000000</v>
      </c>
      <c r="GM154" s="294">
        <f t="shared" si="89"/>
        <v>-301065.02</v>
      </c>
      <c r="GN154" s="294">
        <f t="shared" si="89"/>
        <v>-2081891.56</v>
      </c>
      <c r="GO154" s="294">
        <f t="shared" ref="GO154:IZ154" si="90">SUMIF($A$60:$A$148,$A$133,GO$60:GO$148)</f>
        <v>-926440.15</v>
      </c>
      <c r="GP154" s="294">
        <f t="shared" si="90"/>
        <v>-2459711.87</v>
      </c>
      <c r="GQ154" s="294">
        <f t="shared" si="90"/>
        <v>-1270846.44</v>
      </c>
      <c r="GR154" s="294">
        <f t="shared" si="90"/>
        <v>0</v>
      </c>
      <c r="GS154" s="294">
        <f t="shared" si="90"/>
        <v>0</v>
      </c>
      <c r="GT154" s="294">
        <f t="shared" si="90"/>
        <v>0</v>
      </c>
      <c r="GU154" s="294">
        <f t="shared" si="90"/>
        <v>0</v>
      </c>
      <c r="GV154" s="294">
        <f t="shared" si="90"/>
        <v>-1622706.23</v>
      </c>
      <c r="GW154" s="294">
        <f t="shared" si="90"/>
        <v>0</v>
      </c>
      <c r="GX154" s="294">
        <f t="shared" si="90"/>
        <v>0</v>
      </c>
      <c r="GY154" s="294">
        <f t="shared" si="90"/>
        <v>-268809</v>
      </c>
      <c r="GZ154" s="294">
        <f t="shared" si="90"/>
        <v>0</v>
      </c>
      <c r="HA154" s="294">
        <f t="shared" si="90"/>
        <v>0</v>
      </c>
      <c r="HB154" s="294">
        <f t="shared" si="90"/>
        <v>0</v>
      </c>
      <c r="HC154" s="294">
        <f t="shared" si="90"/>
        <v>0</v>
      </c>
      <c r="HD154" s="294">
        <f t="shared" si="90"/>
        <v>-357422.68</v>
      </c>
      <c r="HE154" s="294">
        <f t="shared" si="90"/>
        <v>-18297187.550000001</v>
      </c>
      <c r="HF154" s="294">
        <f t="shared" si="90"/>
        <v>-1846516.73</v>
      </c>
      <c r="HG154" s="294">
        <f t="shared" si="90"/>
        <v>-3502785.9699999997</v>
      </c>
      <c r="HH154" s="294">
        <f t="shared" si="90"/>
        <v>-443230.45</v>
      </c>
      <c r="HI154" s="294">
        <f t="shared" si="90"/>
        <v>-4439526.3</v>
      </c>
      <c r="HJ154" s="294">
        <f t="shared" si="90"/>
        <v>-46767193.82</v>
      </c>
      <c r="HK154" s="294">
        <f t="shared" si="90"/>
        <v>-541990.75</v>
      </c>
      <c r="HL154" s="294">
        <f t="shared" si="90"/>
        <v>0</v>
      </c>
      <c r="HM154" s="294">
        <f t="shared" si="90"/>
        <v>-1240735.33</v>
      </c>
      <c r="HN154" s="294">
        <f t="shared" si="90"/>
        <v>-2609603.5499999998</v>
      </c>
      <c r="HO154" s="294">
        <f t="shared" si="90"/>
        <v>-387832.4</v>
      </c>
      <c r="HP154" s="294">
        <f t="shared" si="90"/>
        <v>-2519354.1800000002</v>
      </c>
      <c r="HQ154" s="294">
        <f t="shared" si="90"/>
        <v>0</v>
      </c>
      <c r="HR154" s="294">
        <f t="shared" si="90"/>
        <v>-24342474.870000001</v>
      </c>
      <c r="HS154" s="294">
        <f t="shared" si="90"/>
        <v>-1866072.74</v>
      </c>
      <c r="HT154" s="294">
        <f t="shared" si="90"/>
        <v>0</v>
      </c>
      <c r="HU154" s="294">
        <f t="shared" si="90"/>
        <v>0</v>
      </c>
      <c r="HV154" s="294">
        <f t="shared" si="90"/>
        <v>-2168921.0499999998</v>
      </c>
      <c r="HW154" s="294">
        <f t="shared" si="90"/>
        <v>-1086896.24</v>
      </c>
      <c r="HX154" s="294">
        <f t="shared" si="90"/>
        <v>-62958.16</v>
      </c>
      <c r="HY154" s="294">
        <f t="shared" si="90"/>
        <v>0</v>
      </c>
      <c r="HZ154" s="294">
        <f t="shared" si="90"/>
        <v>-1835193.43</v>
      </c>
      <c r="IA154" s="294">
        <f t="shared" si="90"/>
        <v>0</v>
      </c>
      <c r="IB154" s="294">
        <f t="shared" si="90"/>
        <v>-783594.25</v>
      </c>
      <c r="IC154" s="294">
        <f t="shared" si="90"/>
        <v>-1817000</v>
      </c>
      <c r="ID154" s="294">
        <f t="shared" si="90"/>
        <v>-384228.52</v>
      </c>
      <c r="IE154" s="294">
        <f t="shared" si="90"/>
        <v>-240000</v>
      </c>
      <c r="IF154" s="294">
        <f t="shared" si="90"/>
        <v>-1017984.06</v>
      </c>
      <c r="IG154" s="294">
        <f t="shared" si="90"/>
        <v>0</v>
      </c>
      <c r="IH154" s="294">
        <f t="shared" si="90"/>
        <v>-49110357.770000003</v>
      </c>
      <c r="II154" s="294">
        <f t="shared" si="90"/>
        <v>-2866465.65</v>
      </c>
      <c r="IJ154" s="294">
        <f t="shared" si="90"/>
        <v>-1761913.62</v>
      </c>
      <c r="IK154" s="294">
        <f t="shared" si="90"/>
        <v>-3704054.59</v>
      </c>
      <c r="IL154" s="294">
        <f t="shared" si="90"/>
        <v>-678496.68</v>
      </c>
      <c r="IM154" s="294">
        <f t="shared" si="90"/>
        <v>-3231953.67</v>
      </c>
      <c r="IN154" s="294">
        <f t="shared" si="90"/>
        <v>-25872</v>
      </c>
      <c r="IO154" s="294">
        <f t="shared" si="90"/>
        <v>-315222.89</v>
      </c>
      <c r="IP154" s="294">
        <f t="shared" si="90"/>
        <v>-673490.91</v>
      </c>
      <c r="IQ154" s="294">
        <f t="shared" si="90"/>
        <v>-171749.65</v>
      </c>
      <c r="IR154" s="294">
        <f t="shared" si="90"/>
        <v>-1045192.8200000001</v>
      </c>
      <c r="IS154" s="294">
        <f t="shared" si="90"/>
        <v>-4867703.55</v>
      </c>
      <c r="IT154" s="294">
        <f t="shared" si="90"/>
        <v>-2033560.59</v>
      </c>
      <c r="IU154" s="294">
        <f t="shared" si="90"/>
        <v>0</v>
      </c>
      <c r="IV154" s="294">
        <f t="shared" si="90"/>
        <v>-1642767.31</v>
      </c>
      <c r="IW154" s="294">
        <f t="shared" si="90"/>
        <v>179010.28999999998</v>
      </c>
      <c r="IX154" s="294">
        <f t="shared" si="90"/>
        <v>-931969.95</v>
      </c>
      <c r="IY154" s="294">
        <f t="shared" si="90"/>
        <v>-576000</v>
      </c>
      <c r="IZ154" s="294">
        <f t="shared" si="90"/>
        <v>0</v>
      </c>
      <c r="JA154" s="294">
        <f t="shared" ref="JA154:LL154" si="91">SUMIF($A$60:$A$148,$A$133,JA$60:JA$148)</f>
        <v>-471687.06</v>
      </c>
      <c r="JB154" s="294">
        <f t="shared" si="91"/>
        <v>0</v>
      </c>
      <c r="JC154" s="294">
        <f t="shared" si="91"/>
        <v>-1621251.95</v>
      </c>
      <c r="JD154" s="294">
        <f t="shared" si="91"/>
        <v>0</v>
      </c>
      <c r="JE154" s="294">
        <f t="shared" si="91"/>
        <v>-596008.84</v>
      </c>
      <c r="JF154" s="294">
        <f t="shared" si="91"/>
        <v>-6146876.2300000004</v>
      </c>
      <c r="JG154" s="294">
        <f t="shared" si="91"/>
        <v>-1113827</v>
      </c>
      <c r="JH154" s="294">
        <f t="shared" si="91"/>
        <v>0</v>
      </c>
      <c r="JI154" s="294">
        <f t="shared" si="91"/>
        <v>0</v>
      </c>
      <c r="JJ154" s="294">
        <f t="shared" si="91"/>
        <v>-487279.31</v>
      </c>
      <c r="JK154" s="294">
        <f t="shared" si="91"/>
        <v>-14867122.51</v>
      </c>
      <c r="JL154" s="294">
        <f t="shared" si="91"/>
        <v>-43000</v>
      </c>
      <c r="JM154" s="294">
        <f t="shared" si="91"/>
        <v>0</v>
      </c>
      <c r="JN154" s="294">
        <f t="shared" si="91"/>
        <v>-565920.22</v>
      </c>
      <c r="JO154" s="294">
        <f t="shared" si="91"/>
        <v>-760216.76</v>
      </c>
      <c r="JP154" s="294">
        <f t="shared" si="91"/>
        <v>0</v>
      </c>
      <c r="JQ154" s="294">
        <f t="shared" si="91"/>
        <v>-499158.56</v>
      </c>
      <c r="JR154" s="294">
        <f t="shared" si="91"/>
        <v>-10355736.380000001</v>
      </c>
      <c r="JS154" s="294">
        <f t="shared" si="91"/>
        <v>0</v>
      </c>
      <c r="JT154" s="294">
        <f t="shared" si="91"/>
        <v>-2618782.96</v>
      </c>
      <c r="JU154" s="294">
        <f t="shared" si="91"/>
        <v>0</v>
      </c>
      <c r="JV154" s="294">
        <f t="shared" si="91"/>
        <v>-1808906.3199999998</v>
      </c>
      <c r="JW154" s="294">
        <f t="shared" si="91"/>
        <v>-479432.95</v>
      </c>
      <c r="JX154" s="294">
        <f t="shared" si="91"/>
        <v>-2088951.96</v>
      </c>
      <c r="JY154" s="294">
        <f t="shared" si="91"/>
        <v>-1552166.4200000002</v>
      </c>
      <c r="JZ154" s="294">
        <f t="shared" si="91"/>
        <v>0</v>
      </c>
      <c r="KA154" s="294">
        <f t="shared" si="91"/>
        <v>-1040823.45</v>
      </c>
      <c r="KB154" s="294">
        <f t="shared" si="91"/>
        <v>-1524610.33</v>
      </c>
      <c r="KC154" s="294">
        <f t="shared" si="91"/>
        <v>-1480362.87</v>
      </c>
      <c r="KD154" s="294">
        <f t="shared" si="91"/>
        <v>0</v>
      </c>
      <c r="KE154" s="294">
        <f t="shared" si="91"/>
        <v>-139093.88</v>
      </c>
      <c r="KF154" s="294">
        <f t="shared" si="91"/>
        <v>-1100839.97</v>
      </c>
      <c r="KG154" s="294">
        <f t="shared" si="91"/>
        <v>0</v>
      </c>
      <c r="KH154" s="294">
        <f t="shared" si="91"/>
        <v>-4130737.67</v>
      </c>
      <c r="KI154" s="294">
        <f t="shared" si="91"/>
        <v>0</v>
      </c>
      <c r="KJ154" s="294">
        <f t="shared" si="91"/>
        <v>-11142772.41</v>
      </c>
      <c r="KK154" s="294">
        <f t="shared" si="91"/>
        <v>0</v>
      </c>
      <c r="KL154" s="294">
        <f t="shared" si="91"/>
        <v>-99999.998999999996</v>
      </c>
      <c r="KM154" s="294">
        <f t="shared" si="91"/>
        <v>-4162778.66</v>
      </c>
      <c r="KN154" s="294">
        <f t="shared" si="91"/>
        <v>-1600290.03</v>
      </c>
      <c r="KO154" s="294">
        <f t="shared" si="91"/>
        <v>-282096.94</v>
      </c>
      <c r="KP154" s="294">
        <f t="shared" si="91"/>
        <v>-1071080.7</v>
      </c>
      <c r="KQ154" s="294">
        <f t="shared" si="91"/>
        <v>-429965.37</v>
      </c>
      <c r="KR154" s="294">
        <f t="shared" si="91"/>
        <v>0</v>
      </c>
      <c r="KS154" s="294">
        <f t="shared" si="91"/>
        <v>0</v>
      </c>
      <c r="KT154" s="294">
        <f t="shared" si="91"/>
        <v>0</v>
      </c>
      <c r="KU154" s="294">
        <f t="shared" si="91"/>
        <v>-605761.43999999994</v>
      </c>
      <c r="KV154" s="294">
        <f t="shared" si="91"/>
        <v>-1460171.78</v>
      </c>
      <c r="KW154" s="294">
        <f t="shared" si="91"/>
        <v>0</v>
      </c>
      <c r="KX154" s="294">
        <f t="shared" si="91"/>
        <v>-3352678.7800000003</v>
      </c>
      <c r="KY154" s="294">
        <f t="shared" si="91"/>
        <v>-18026653.550000001</v>
      </c>
      <c r="KZ154" s="294">
        <f t="shared" si="91"/>
        <v>0</v>
      </c>
      <c r="LA154" s="294">
        <f t="shared" si="91"/>
        <v>-2091989.4</v>
      </c>
      <c r="LB154" s="294">
        <f t="shared" si="91"/>
        <v>0</v>
      </c>
      <c r="LC154" s="294">
        <f t="shared" si="91"/>
        <v>0</v>
      </c>
      <c r="LD154" s="294">
        <f t="shared" si="91"/>
        <v>0</v>
      </c>
      <c r="LE154" s="294">
        <f t="shared" si="91"/>
        <v>0</v>
      </c>
      <c r="LF154" s="294">
        <f t="shared" si="91"/>
        <v>-5287820.3</v>
      </c>
      <c r="LG154" s="294">
        <f t="shared" si="91"/>
        <v>-9717376.8699999992</v>
      </c>
      <c r="LH154" s="294">
        <f t="shared" si="91"/>
        <v>0</v>
      </c>
      <c r="LI154" s="294">
        <f t="shared" si="91"/>
        <v>-6148449.8499999996</v>
      </c>
      <c r="LJ154" s="294">
        <f t="shared" si="91"/>
        <v>0</v>
      </c>
      <c r="LK154" s="294">
        <f t="shared" si="91"/>
        <v>-87026</v>
      </c>
      <c r="LL154" s="294">
        <f t="shared" si="91"/>
        <v>0</v>
      </c>
      <c r="LM154" s="294">
        <f t="shared" ref="LM154:NX154" si="92">SUMIF($A$60:$A$148,$A$133,LM$60:LM$148)</f>
        <v>-330000</v>
      </c>
      <c r="LN154" s="294">
        <f t="shared" si="92"/>
        <v>-5527399.1099999994</v>
      </c>
      <c r="LO154" s="294">
        <f t="shared" si="92"/>
        <v>-174851.78999999998</v>
      </c>
      <c r="LP154" s="294">
        <f t="shared" si="92"/>
        <v>-2512182.3899999997</v>
      </c>
      <c r="LQ154" s="294">
        <f t="shared" si="92"/>
        <v>0</v>
      </c>
      <c r="LR154" s="294">
        <f t="shared" si="92"/>
        <v>-8230016.7199999997</v>
      </c>
      <c r="LS154" s="294">
        <f t="shared" si="92"/>
        <v>-4165000</v>
      </c>
      <c r="LT154" s="294">
        <f t="shared" si="92"/>
        <v>-717334.88</v>
      </c>
      <c r="LU154" s="294">
        <f t="shared" si="92"/>
        <v>-13305165.469999999</v>
      </c>
      <c r="LV154" s="294">
        <f t="shared" si="92"/>
        <v>-12945301.18</v>
      </c>
      <c r="LW154" s="294">
        <f t="shared" si="92"/>
        <v>-4873944</v>
      </c>
      <c r="LX154" s="294">
        <f t="shared" si="92"/>
        <v>-3713115.57</v>
      </c>
      <c r="LY154" s="294">
        <f t="shared" si="92"/>
        <v>0</v>
      </c>
      <c r="LZ154" s="294">
        <f t="shared" si="92"/>
        <v>-827746</v>
      </c>
      <c r="MA154" s="294">
        <f t="shared" si="92"/>
        <v>-1233425.08</v>
      </c>
      <c r="MB154" s="294">
        <f t="shared" si="92"/>
        <v>-1532307.38</v>
      </c>
      <c r="MC154" s="294">
        <f t="shared" si="92"/>
        <v>-1214588.5</v>
      </c>
      <c r="MD154" s="294">
        <f t="shared" si="92"/>
        <v>-237272</v>
      </c>
      <c r="ME154" s="294">
        <f t="shared" si="92"/>
        <v>-2722784.41</v>
      </c>
      <c r="MF154" s="294">
        <f t="shared" si="92"/>
        <v>-859461.59</v>
      </c>
      <c r="MG154" s="294">
        <f t="shared" si="92"/>
        <v>0</v>
      </c>
      <c r="MH154" s="294">
        <f t="shared" si="92"/>
        <v>0</v>
      </c>
      <c r="MI154" s="294">
        <f t="shared" si="92"/>
        <v>0</v>
      </c>
      <c r="MJ154" s="294">
        <f t="shared" si="92"/>
        <v>0</v>
      </c>
      <c r="MK154" s="294">
        <f t="shared" si="92"/>
        <v>0</v>
      </c>
      <c r="ML154" s="294">
        <f t="shared" si="92"/>
        <v>0</v>
      </c>
      <c r="MM154" s="294">
        <f t="shared" si="92"/>
        <v>0</v>
      </c>
      <c r="MN154" s="294">
        <f t="shared" si="92"/>
        <v>0</v>
      </c>
      <c r="MO154" s="294">
        <f t="shared" si="92"/>
        <v>-1033537.58</v>
      </c>
      <c r="MP154" s="294">
        <f t="shared" si="92"/>
        <v>-1389700</v>
      </c>
      <c r="MQ154" s="294">
        <f t="shared" si="92"/>
        <v>-1312492.2</v>
      </c>
      <c r="MR154" s="294">
        <f t="shared" si="92"/>
        <v>0</v>
      </c>
      <c r="MS154" s="294">
        <f t="shared" si="92"/>
        <v>-203700</v>
      </c>
      <c r="MT154" s="294">
        <f t="shared" si="92"/>
        <v>-2653661.75</v>
      </c>
      <c r="MU154" s="294">
        <f t="shared" si="92"/>
        <v>-1071356.5</v>
      </c>
      <c r="MV154" s="294">
        <f t="shared" si="92"/>
        <v>0</v>
      </c>
      <c r="MW154" s="294">
        <f t="shared" si="92"/>
        <v>-1285512.8999999999</v>
      </c>
      <c r="MX154" s="294">
        <f t="shared" si="92"/>
        <v>0</v>
      </c>
      <c r="MY154" s="294">
        <f t="shared" si="92"/>
        <v>-2195293.5891</v>
      </c>
      <c r="MZ154" s="294">
        <f t="shared" si="92"/>
        <v>-3614255</v>
      </c>
      <c r="NA154" s="294">
        <f t="shared" si="92"/>
        <v>-9311761.7400000002</v>
      </c>
      <c r="NB154" s="294">
        <f t="shared" si="92"/>
        <v>0</v>
      </c>
      <c r="NC154" s="294">
        <f t="shared" si="92"/>
        <v>-385501.42</v>
      </c>
      <c r="ND154" s="294">
        <f t="shared" si="92"/>
        <v>0</v>
      </c>
      <c r="NE154" s="294">
        <f t="shared" si="92"/>
        <v>-1322358.1199999999</v>
      </c>
      <c r="NF154" s="294">
        <f t="shared" si="92"/>
        <v>0</v>
      </c>
      <c r="NG154" s="294">
        <f t="shared" si="92"/>
        <v>-357578.72</v>
      </c>
      <c r="NH154" s="294">
        <f t="shared" si="92"/>
        <v>-1147360.02</v>
      </c>
      <c r="NI154" s="294">
        <f t="shared" si="92"/>
        <v>-6429818.46</v>
      </c>
      <c r="NJ154" s="294">
        <f t="shared" si="92"/>
        <v>0</v>
      </c>
      <c r="NK154" s="294">
        <f t="shared" si="92"/>
        <v>-416381.01</v>
      </c>
      <c r="NL154" s="294">
        <f t="shared" si="92"/>
        <v>0</v>
      </c>
      <c r="NM154" s="294">
        <f t="shared" si="92"/>
        <v>0</v>
      </c>
      <c r="NN154" s="294">
        <f t="shared" si="92"/>
        <v>0</v>
      </c>
      <c r="NO154" s="294">
        <f t="shared" si="92"/>
        <v>-2389769.3600000003</v>
      </c>
      <c r="NP154" s="294">
        <f t="shared" si="92"/>
        <v>-2375737.1</v>
      </c>
      <c r="NQ154" s="294">
        <f t="shared" si="92"/>
        <v>0</v>
      </c>
      <c r="NR154" s="294">
        <f t="shared" si="92"/>
        <v>-682909.01</v>
      </c>
      <c r="NS154" s="294">
        <f t="shared" si="92"/>
        <v>-22114.5</v>
      </c>
      <c r="NT154" s="294">
        <f t="shared" si="92"/>
        <v>-537598</v>
      </c>
      <c r="NU154" s="294">
        <f t="shared" si="92"/>
        <v>0</v>
      </c>
      <c r="NV154" s="294">
        <f t="shared" si="92"/>
        <v>0</v>
      </c>
      <c r="NW154" s="294">
        <f t="shared" si="92"/>
        <v>0</v>
      </c>
      <c r="NX154" s="294">
        <f t="shared" si="92"/>
        <v>-36266016.559999995</v>
      </c>
      <c r="NY154" s="294">
        <f t="shared" ref="NY154:QJ154" si="93">SUMIF($A$60:$A$148,$A$133,NY$60:NY$148)</f>
        <v>-202879.31</v>
      </c>
      <c r="NZ154" s="294">
        <f t="shared" si="93"/>
        <v>-384194.74000000005</v>
      </c>
      <c r="OA154" s="294">
        <f t="shared" si="93"/>
        <v>0</v>
      </c>
      <c r="OB154" s="294">
        <f t="shared" si="93"/>
        <v>0</v>
      </c>
      <c r="OC154" s="294">
        <f t="shared" si="93"/>
        <v>-386322.57999999996</v>
      </c>
      <c r="OD154" s="294">
        <f t="shared" si="93"/>
        <v>-10846000.43</v>
      </c>
      <c r="OE154" s="294">
        <f t="shared" si="93"/>
        <v>0</v>
      </c>
      <c r="OF154" s="294">
        <f t="shared" si="93"/>
        <v>-9064664.2799999993</v>
      </c>
      <c r="OG154" s="294">
        <f t="shared" si="93"/>
        <v>-15006586.599999998</v>
      </c>
      <c r="OH154" s="294">
        <f t="shared" si="93"/>
        <v>-951990.97</v>
      </c>
      <c r="OI154" s="294">
        <f t="shared" si="93"/>
        <v>0</v>
      </c>
      <c r="OJ154" s="294">
        <f t="shared" si="93"/>
        <v>-593634.11</v>
      </c>
      <c r="OK154" s="294">
        <f t="shared" si="93"/>
        <v>0</v>
      </c>
      <c r="OL154" s="294">
        <f t="shared" si="93"/>
        <v>0</v>
      </c>
      <c r="OM154" s="294">
        <f t="shared" si="93"/>
        <v>-52497644.859999999</v>
      </c>
      <c r="ON154" s="294">
        <f t="shared" si="93"/>
        <v>-6282513.96</v>
      </c>
      <c r="OO154" s="294">
        <f t="shared" si="93"/>
        <v>-11995149.1</v>
      </c>
      <c r="OP154" s="294">
        <f t="shared" si="93"/>
        <v>-177914.4</v>
      </c>
      <c r="OQ154" s="294">
        <f t="shared" si="93"/>
        <v>-14142312.560000001</v>
      </c>
      <c r="OR154" s="294">
        <f t="shared" si="93"/>
        <v>0</v>
      </c>
      <c r="OS154" s="294">
        <f t="shared" si="93"/>
        <v>-10527622.550000001</v>
      </c>
      <c r="OT154" s="294">
        <f t="shared" si="93"/>
        <v>-968947.52</v>
      </c>
      <c r="OU154" s="294">
        <f t="shared" si="93"/>
        <v>-4719791.13</v>
      </c>
      <c r="OV154" s="294">
        <f t="shared" si="93"/>
        <v>0</v>
      </c>
      <c r="OW154" s="294">
        <f t="shared" si="93"/>
        <v>0</v>
      </c>
      <c r="OX154" s="294">
        <f t="shared" si="93"/>
        <v>-333790.71999999997</v>
      </c>
      <c r="OY154" s="294">
        <f t="shared" si="93"/>
        <v>0</v>
      </c>
      <c r="OZ154" s="294">
        <f t="shared" si="93"/>
        <v>0</v>
      </c>
      <c r="PA154" s="294">
        <f t="shared" si="93"/>
        <v>-4061913.9800000004</v>
      </c>
      <c r="PB154" s="294">
        <f t="shared" si="93"/>
        <v>0</v>
      </c>
      <c r="PC154" s="294">
        <f t="shared" si="93"/>
        <v>0</v>
      </c>
      <c r="PD154" s="294">
        <f t="shared" si="93"/>
        <v>0</v>
      </c>
      <c r="PE154" s="294">
        <f t="shared" si="93"/>
        <v>0</v>
      </c>
      <c r="PF154" s="294">
        <f t="shared" si="93"/>
        <v>-977125.52</v>
      </c>
      <c r="PG154" s="294">
        <f t="shared" si="93"/>
        <v>-4108500</v>
      </c>
      <c r="PH154" s="294">
        <f t="shared" si="93"/>
        <v>-748066.44</v>
      </c>
      <c r="PI154" s="294">
        <f t="shared" si="93"/>
        <v>0</v>
      </c>
      <c r="PJ154" s="294">
        <f t="shared" si="93"/>
        <v>-9600</v>
      </c>
      <c r="PK154" s="294">
        <f t="shared" si="93"/>
        <v>-29736.92</v>
      </c>
      <c r="PL154" s="294">
        <f t="shared" si="93"/>
        <v>-1160944.95</v>
      </c>
      <c r="PM154" s="294">
        <f t="shared" si="93"/>
        <v>0</v>
      </c>
      <c r="PN154" s="294">
        <f t="shared" si="93"/>
        <v>-285492.76</v>
      </c>
      <c r="PO154" s="294">
        <f t="shared" si="93"/>
        <v>-1721595.85</v>
      </c>
      <c r="PP154" s="294">
        <f t="shared" si="93"/>
        <v>-1505668.69</v>
      </c>
      <c r="PQ154" s="294">
        <f t="shared" si="93"/>
        <v>0</v>
      </c>
      <c r="PR154" s="294">
        <f t="shared" si="93"/>
        <v>-1206023.78</v>
      </c>
      <c r="PS154" s="294">
        <f t="shared" si="93"/>
        <v>0</v>
      </c>
      <c r="PT154" s="294">
        <f t="shared" si="93"/>
        <v>-113616215.08</v>
      </c>
      <c r="PU154" s="294">
        <f t="shared" si="93"/>
        <v>-4272447.68</v>
      </c>
      <c r="PV154" s="294">
        <f t="shared" si="93"/>
        <v>-80000</v>
      </c>
      <c r="PW154" s="294">
        <f t="shared" si="93"/>
        <v>0</v>
      </c>
      <c r="PX154" s="294">
        <f t="shared" si="93"/>
        <v>-3207147.2199999997</v>
      </c>
      <c r="PY154" s="294">
        <f t="shared" si="93"/>
        <v>-19485</v>
      </c>
      <c r="PZ154" s="294">
        <f t="shared" si="93"/>
        <v>0</v>
      </c>
      <c r="QA154" s="294">
        <f t="shared" si="93"/>
        <v>0</v>
      </c>
      <c r="QB154" s="294">
        <f t="shared" si="93"/>
        <v>-3601550.57</v>
      </c>
      <c r="QC154" s="294">
        <f t="shared" si="93"/>
        <v>0</v>
      </c>
      <c r="QD154" s="294">
        <f t="shared" si="93"/>
        <v>-2160124.9900000002</v>
      </c>
      <c r="QE154" s="294">
        <f t="shared" si="93"/>
        <v>-972097.19</v>
      </c>
      <c r="QF154" s="294">
        <f t="shared" si="93"/>
        <v>0</v>
      </c>
      <c r="QG154" s="294">
        <f t="shared" si="93"/>
        <v>0</v>
      </c>
      <c r="QH154" s="294">
        <f t="shared" si="93"/>
        <v>0</v>
      </c>
      <c r="QI154" s="294">
        <f t="shared" si="93"/>
        <v>-2872676.14</v>
      </c>
      <c r="QJ154" s="294">
        <f t="shared" si="93"/>
        <v>-625285.26</v>
      </c>
      <c r="QK154" s="294">
        <f t="shared" ref="QK154:SV154" si="94">SUMIF($A$60:$A$148,$A$133,QK$60:QK$148)</f>
        <v>-2329382.39</v>
      </c>
      <c r="QL154" s="294">
        <f t="shared" si="94"/>
        <v>-413515</v>
      </c>
      <c r="QM154" s="294">
        <f t="shared" si="94"/>
        <v>0</v>
      </c>
      <c r="QN154" s="294">
        <f t="shared" si="94"/>
        <v>-1611363.11</v>
      </c>
      <c r="QO154" s="294">
        <f t="shared" si="94"/>
        <v>-376465.65</v>
      </c>
      <c r="QP154" s="294">
        <f t="shared" si="94"/>
        <v>-594065.56999999995</v>
      </c>
      <c r="QQ154" s="294">
        <f t="shared" si="94"/>
        <v>-726489.03</v>
      </c>
      <c r="QR154" s="294">
        <f t="shared" si="94"/>
        <v>-494316.22</v>
      </c>
      <c r="QS154" s="294">
        <f t="shared" si="94"/>
        <v>-588570.47</v>
      </c>
      <c r="QT154" s="294">
        <f t="shared" si="94"/>
        <v>0</v>
      </c>
      <c r="QU154" s="294">
        <f t="shared" si="94"/>
        <v>0</v>
      </c>
      <c r="QV154" s="294">
        <f t="shared" si="94"/>
        <v>-740000</v>
      </c>
      <c r="QW154" s="294">
        <f t="shared" si="94"/>
        <v>0</v>
      </c>
      <c r="QX154" s="294">
        <f t="shared" si="94"/>
        <v>0</v>
      </c>
      <c r="QY154" s="294">
        <f t="shared" si="94"/>
        <v>0</v>
      </c>
      <c r="QZ154" s="294">
        <f t="shared" si="94"/>
        <v>-349899</v>
      </c>
      <c r="RA154" s="294">
        <f t="shared" si="94"/>
        <v>-1796400</v>
      </c>
      <c r="RB154" s="294">
        <f t="shared" si="94"/>
        <v>0</v>
      </c>
      <c r="RC154" s="294">
        <f t="shared" si="94"/>
        <v>-2056102.5099999998</v>
      </c>
      <c r="RD154" s="294">
        <f t="shared" si="94"/>
        <v>0</v>
      </c>
      <c r="RE154" s="294">
        <f t="shared" si="94"/>
        <v>-476380.64</v>
      </c>
      <c r="RF154" s="294">
        <f t="shared" si="94"/>
        <v>-2213479.31</v>
      </c>
      <c r="RG154" s="294">
        <f t="shared" si="94"/>
        <v>0</v>
      </c>
      <c r="RH154" s="294">
        <f t="shared" si="94"/>
        <v>-235651</v>
      </c>
      <c r="RI154" s="294">
        <f t="shared" si="94"/>
        <v>0</v>
      </c>
      <c r="RJ154" s="294">
        <f t="shared" si="94"/>
        <v>-150000</v>
      </c>
      <c r="RK154" s="294">
        <f t="shared" si="94"/>
        <v>-360</v>
      </c>
      <c r="RL154" s="294">
        <f t="shared" si="94"/>
        <v>0</v>
      </c>
      <c r="RM154" s="294">
        <f t="shared" si="94"/>
        <v>0</v>
      </c>
      <c r="RN154" s="294">
        <f t="shared" si="94"/>
        <v>-1192168.18</v>
      </c>
      <c r="RO154" s="294">
        <f t="shared" si="94"/>
        <v>-763233.81</v>
      </c>
      <c r="RP154" s="294">
        <f t="shared" si="94"/>
        <v>-916165.98</v>
      </c>
      <c r="RQ154" s="294">
        <f t="shared" si="94"/>
        <v>-1858500</v>
      </c>
      <c r="RR154" s="294">
        <f t="shared" si="94"/>
        <v>-1749047.1</v>
      </c>
      <c r="RS154" s="294">
        <f t="shared" si="94"/>
        <v>-1350349.25</v>
      </c>
      <c r="RT154" s="294">
        <f t="shared" si="94"/>
        <v>-353646.39</v>
      </c>
      <c r="RU154" s="294">
        <f t="shared" si="94"/>
        <v>-121950</v>
      </c>
      <c r="RV154" s="294">
        <f t="shared" si="94"/>
        <v>-1212392.17</v>
      </c>
      <c r="RW154" s="294">
        <f t="shared" si="94"/>
        <v>-815744.44</v>
      </c>
      <c r="RX154" s="294">
        <f t="shared" si="94"/>
        <v>-1239723.05</v>
      </c>
      <c r="RY154" s="294">
        <f t="shared" si="94"/>
        <v>0</v>
      </c>
      <c r="RZ154" s="294">
        <f t="shared" si="94"/>
        <v>-222700</v>
      </c>
      <c r="SA154" s="294">
        <f t="shared" si="94"/>
        <v>-23836283.140000001</v>
      </c>
      <c r="SB154" s="294">
        <f t="shared" si="94"/>
        <v>0</v>
      </c>
      <c r="SC154" s="294">
        <f t="shared" si="94"/>
        <v>-3401639.71</v>
      </c>
      <c r="SD154" s="294">
        <f t="shared" si="94"/>
        <v>-1272873.3899999999</v>
      </c>
      <c r="SE154" s="294">
        <f t="shared" si="94"/>
        <v>-419101.18</v>
      </c>
      <c r="SF154" s="294">
        <f t="shared" si="94"/>
        <v>-1289498.6000000001</v>
      </c>
      <c r="SG154" s="294">
        <f t="shared" si="94"/>
        <v>-740297.24</v>
      </c>
      <c r="SH154" s="294">
        <f t="shared" si="94"/>
        <v>-104332.01999999999</v>
      </c>
      <c r="SI154" s="294">
        <f t="shared" si="94"/>
        <v>-980324.5</v>
      </c>
      <c r="SJ154" s="294">
        <f t="shared" si="94"/>
        <v>-1363378</v>
      </c>
      <c r="SK154" s="294">
        <f t="shared" si="94"/>
        <v>-5260711.22</v>
      </c>
      <c r="SL154" s="294">
        <f t="shared" si="94"/>
        <v>-78350</v>
      </c>
      <c r="SM154" s="294">
        <f t="shared" si="94"/>
        <v>-2199252.77</v>
      </c>
      <c r="SN154" s="294">
        <f t="shared" si="94"/>
        <v>0</v>
      </c>
      <c r="SO154" s="294">
        <f t="shared" si="94"/>
        <v>-346509</v>
      </c>
      <c r="SP154" s="294">
        <f t="shared" si="94"/>
        <v>-5336777.76</v>
      </c>
      <c r="SQ154" s="294">
        <f t="shared" si="94"/>
        <v>-68765.960000000006</v>
      </c>
      <c r="SR154" s="294">
        <f t="shared" si="94"/>
        <v>-1244007.1599999999</v>
      </c>
      <c r="SS154" s="294">
        <f t="shared" si="94"/>
        <v>-1743575.82</v>
      </c>
      <c r="ST154" s="294">
        <f t="shared" si="94"/>
        <v>0</v>
      </c>
      <c r="SU154" s="294">
        <f t="shared" si="94"/>
        <v>-2042496.0899999999</v>
      </c>
      <c r="SV154" s="294">
        <f t="shared" si="94"/>
        <v>-1045902.97</v>
      </c>
      <c r="SW154" s="294">
        <f t="shared" ref="SW154:VH154" si="95">SUMIF($A$60:$A$148,$A$133,SW$60:SW$148)</f>
        <v>-1096192.24</v>
      </c>
      <c r="SX154" s="294">
        <f t="shared" si="95"/>
        <v>0</v>
      </c>
      <c r="SY154" s="294">
        <f t="shared" si="95"/>
        <v>0</v>
      </c>
      <c r="SZ154" s="294">
        <f t="shared" si="95"/>
        <v>0</v>
      </c>
      <c r="TA154" s="294">
        <f t="shared" si="95"/>
        <v>0</v>
      </c>
      <c r="TB154" s="294">
        <f t="shared" si="95"/>
        <v>0</v>
      </c>
      <c r="TC154" s="294">
        <f t="shared" si="95"/>
        <v>-10000</v>
      </c>
      <c r="TD154" s="294">
        <f t="shared" si="95"/>
        <v>-97788.75</v>
      </c>
      <c r="TE154" s="294">
        <f t="shared" si="95"/>
        <v>-132892.5</v>
      </c>
      <c r="TF154" s="294">
        <f t="shared" si="95"/>
        <v>-163492.5</v>
      </c>
      <c r="TG154" s="294">
        <f t="shared" si="95"/>
        <v>0</v>
      </c>
      <c r="TH154" s="294">
        <f t="shared" si="95"/>
        <v>0</v>
      </c>
      <c r="TI154" s="294">
        <f t="shared" si="95"/>
        <v>0</v>
      </c>
      <c r="TJ154" s="294">
        <f t="shared" si="95"/>
        <v>-504319.5</v>
      </c>
      <c r="TK154" s="294">
        <f t="shared" si="95"/>
        <v>-325512.5</v>
      </c>
      <c r="TL154" s="294">
        <f t="shared" si="95"/>
        <v>0</v>
      </c>
      <c r="TM154" s="294">
        <f t="shared" si="95"/>
        <v>0</v>
      </c>
      <c r="TN154" s="294">
        <f t="shared" si="95"/>
        <v>0</v>
      </c>
      <c r="TO154" s="294">
        <f t="shared" si="95"/>
        <v>0</v>
      </c>
      <c r="TP154" s="294">
        <f t="shared" si="95"/>
        <v>0</v>
      </c>
      <c r="TQ154" s="294">
        <f t="shared" si="95"/>
        <v>-1442384.77</v>
      </c>
      <c r="TR154" s="294">
        <f t="shared" si="95"/>
        <v>0</v>
      </c>
      <c r="TS154" s="294">
        <f t="shared" si="95"/>
        <v>0</v>
      </c>
      <c r="TT154" s="294">
        <f t="shared" si="95"/>
        <v>-1145188.5</v>
      </c>
      <c r="TU154" s="294">
        <f t="shared" si="95"/>
        <v>0</v>
      </c>
      <c r="TV154" s="294">
        <f t="shared" si="95"/>
        <v>-281696</v>
      </c>
      <c r="TW154" s="294">
        <f t="shared" si="95"/>
        <v>-2722009</v>
      </c>
      <c r="TX154" s="294">
        <f t="shared" si="95"/>
        <v>0</v>
      </c>
      <c r="TY154" s="294">
        <f t="shared" si="95"/>
        <v>-9194.06</v>
      </c>
      <c r="TZ154" s="294">
        <f t="shared" si="95"/>
        <v>-881010.5</v>
      </c>
      <c r="UA154" s="294">
        <f t="shared" si="95"/>
        <v>-12365950.5</v>
      </c>
      <c r="UB154" s="294">
        <f t="shared" si="95"/>
        <v>-2525184.5299999998</v>
      </c>
      <c r="UC154" s="294">
        <f t="shared" si="95"/>
        <v>0</v>
      </c>
      <c r="UD154" s="294">
        <f t="shared" si="95"/>
        <v>0</v>
      </c>
      <c r="UE154" s="294">
        <f t="shared" si="95"/>
        <v>-1998735.9500000002</v>
      </c>
      <c r="UF154" s="294">
        <f t="shared" si="95"/>
        <v>0</v>
      </c>
      <c r="UG154" s="294">
        <f t="shared" si="95"/>
        <v>0</v>
      </c>
      <c r="UH154" s="294">
        <f t="shared" si="95"/>
        <v>-5938292.7000000002</v>
      </c>
      <c r="UI154" s="294">
        <f t="shared" si="95"/>
        <v>-228488.19</v>
      </c>
      <c r="UJ154" s="294">
        <f t="shared" si="95"/>
        <v>-3109967.98</v>
      </c>
      <c r="UK154" s="294">
        <f t="shared" si="95"/>
        <v>-365783</v>
      </c>
      <c r="UL154" s="294">
        <f t="shared" si="95"/>
        <v>-1293046.51</v>
      </c>
      <c r="UM154" s="294">
        <f t="shared" si="95"/>
        <v>0</v>
      </c>
      <c r="UN154" s="294">
        <f t="shared" si="95"/>
        <v>0</v>
      </c>
      <c r="UO154" s="294">
        <f t="shared" si="95"/>
        <v>-2026538.92</v>
      </c>
      <c r="UP154" s="294">
        <f t="shared" si="95"/>
        <v>-11677569.280000001</v>
      </c>
      <c r="UQ154" s="294">
        <f t="shared" si="95"/>
        <v>-1188206.8</v>
      </c>
      <c r="UR154" s="294">
        <f t="shared" si="95"/>
        <v>0</v>
      </c>
      <c r="US154" s="294">
        <f t="shared" si="95"/>
        <v>-6811818.6399999997</v>
      </c>
      <c r="UT154" s="294">
        <f t="shared" si="95"/>
        <v>0</v>
      </c>
      <c r="UU154" s="294">
        <f t="shared" si="95"/>
        <v>-1727046.2</v>
      </c>
      <c r="UV154" s="294">
        <f t="shared" si="95"/>
        <v>-2729325.21</v>
      </c>
      <c r="UW154" s="294">
        <f t="shared" si="95"/>
        <v>-1117492.33</v>
      </c>
      <c r="UX154" s="294">
        <f t="shared" si="95"/>
        <v>0</v>
      </c>
      <c r="UY154" s="294">
        <f t="shared" si="95"/>
        <v>-5126997.6399999997</v>
      </c>
      <c r="UZ154" s="294">
        <f t="shared" si="95"/>
        <v>-50470.07</v>
      </c>
      <c r="VA154" s="294">
        <f t="shared" si="95"/>
        <v>-7717120.4199999999</v>
      </c>
      <c r="VB154" s="294">
        <f t="shared" si="95"/>
        <v>-4417352.21</v>
      </c>
      <c r="VC154" s="294">
        <f t="shared" si="95"/>
        <v>-6011367.1100000003</v>
      </c>
      <c r="VD154" s="294">
        <f t="shared" si="95"/>
        <v>-4230850.6099999994</v>
      </c>
      <c r="VE154" s="294">
        <f t="shared" si="95"/>
        <v>-2317479.77</v>
      </c>
      <c r="VF154" s="294">
        <f t="shared" si="95"/>
        <v>-6092629.9000000004</v>
      </c>
      <c r="VG154" s="294">
        <f t="shared" si="95"/>
        <v>-784194.65</v>
      </c>
      <c r="VH154" s="294">
        <f t="shared" si="95"/>
        <v>-3960160.7699999996</v>
      </c>
      <c r="VI154" s="294">
        <f t="shared" ref="VI154:XT154" si="96">SUMIF($A$60:$A$148,$A$133,VI$60:VI$148)</f>
        <v>-90052</v>
      </c>
      <c r="VJ154" s="294">
        <f t="shared" si="96"/>
        <v>-127533.07</v>
      </c>
      <c r="VK154" s="294">
        <f t="shared" si="96"/>
        <v>-864934.57</v>
      </c>
      <c r="VL154" s="294">
        <f t="shared" si="96"/>
        <v>-44695.010000000009</v>
      </c>
      <c r="VM154" s="294">
        <f t="shared" si="96"/>
        <v>0</v>
      </c>
      <c r="VN154" s="294">
        <f t="shared" si="96"/>
        <v>-2658319.79</v>
      </c>
      <c r="VO154" s="294">
        <f t="shared" si="96"/>
        <v>-643875.5</v>
      </c>
      <c r="VP154" s="294">
        <f t="shared" si="96"/>
        <v>-1234853.75</v>
      </c>
      <c r="VQ154" s="294">
        <f t="shared" si="96"/>
        <v>0</v>
      </c>
      <c r="VR154" s="294">
        <f t="shared" si="96"/>
        <v>-1082889.23</v>
      </c>
      <c r="VS154" s="294">
        <f t="shared" si="96"/>
        <v>0</v>
      </c>
      <c r="VT154" s="294">
        <f t="shared" si="96"/>
        <v>-1601374</v>
      </c>
      <c r="VU154" s="294">
        <f t="shared" si="96"/>
        <v>-10997795.699999999</v>
      </c>
      <c r="VV154" s="294">
        <f t="shared" si="96"/>
        <v>-106847.5</v>
      </c>
      <c r="VW154" s="294">
        <f t="shared" si="96"/>
        <v>0</v>
      </c>
      <c r="VX154" s="294">
        <f t="shared" si="96"/>
        <v>-2953316.81</v>
      </c>
      <c r="VY154" s="294">
        <f t="shared" si="96"/>
        <v>0</v>
      </c>
      <c r="VZ154" s="294">
        <f t="shared" si="96"/>
        <v>-187602.86</v>
      </c>
      <c r="WA154" s="294">
        <f t="shared" si="96"/>
        <v>0</v>
      </c>
      <c r="WB154" s="294">
        <f t="shared" si="96"/>
        <v>0</v>
      </c>
      <c r="WC154" s="294">
        <f t="shared" si="96"/>
        <v>0</v>
      </c>
      <c r="WD154" s="294">
        <f t="shared" si="96"/>
        <v>0</v>
      </c>
      <c r="WE154" s="294">
        <f t="shared" si="96"/>
        <v>0</v>
      </c>
      <c r="WF154" s="294">
        <f t="shared" si="96"/>
        <v>-95788</v>
      </c>
      <c r="WG154" s="294">
        <f t="shared" si="96"/>
        <v>-500828.51</v>
      </c>
      <c r="WH154" s="294">
        <f t="shared" si="96"/>
        <v>0</v>
      </c>
      <c r="WI154" s="294">
        <f t="shared" si="96"/>
        <v>-1543130</v>
      </c>
      <c r="WJ154" s="294">
        <f t="shared" si="96"/>
        <v>-3589891.89</v>
      </c>
      <c r="WK154" s="294">
        <f t="shared" si="96"/>
        <v>0</v>
      </c>
      <c r="WL154" s="294">
        <f t="shared" si="96"/>
        <v>-461239.35</v>
      </c>
      <c r="WM154" s="294">
        <f t="shared" si="96"/>
        <v>-20219.919999999998</v>
      </c>
      <c r="WN154" s="294">
        <f t="shared" si="96"/>
        <v>-1146605.92</v>
      </c>
      <c r="WO154" s="294">
        <f t="shared" si="96"/>
        <v>-1992036.53</v>
      </c>
      <c r="WP154" s="294">
        <f t="shared" si="96"/>
        <v>0</v>
      </c>
      <c r="WQ154" s="294">
        <f t="shared" si="96"/>
        <v>0</v>
      </c>
      <c r="WR154" s="294">
        <f t="shared" si="96"/>
        <v>0</v>
      </c>
      <c r="WS154" s="294">
        <f t="shared" si="96"/>
        <v>0</v>
      </c>
      <c r="WT154" s="294">
        <f t="shared" si="96"/>
        <v>0</v>
      </c>
      <c r="WU154" s="294">
        <f t="shared" si="96"/>
        <v>0</v>
      </c>
      <c r="WV154" s="294">
        <f t="shared" si="96"/>
        <v>0</v>
      </c>
      <c r="WW154" s="294">
        <f t="shared" si="96"/>
        <v>0</v>
      </c>
      <c r="WX154" s="294">
        <f t="shared" si="96"/>
        <v>-145706</v>
      </c>
      <c r="WY154" s="294">
        <f t="shared" si="96"/>
        <v>-1820</v>
      </c>
      <c r="WZ154" s="294">
        <f t="shared" si="96"/>
        <v>-168541.19</v>
      </c>
      <c r="XA154" s="294">
        <f t="shared" si="96"/>
        <v>0</v>
      </c>
      <c r="XB154" s="294">
        <f t="shared" si="96"/>
        <v>-1201900</v>
      </c>
      <c r="XC154" s="294">
        <f t="shared" si="96"/>
        <v>0</v>
      </c>
      <c r="XD154" s="294">
        <f t="shared" si="96"/>
        <v>-393758</v>
      </c>
      <c r="XE154" s="294">
        <f t="shared" si="96"/>
        <v>0</v>
      </c>
      <c r="XF154" s="294">
        <f t="shared" si="96"/>
        <v>0</v>
      </c>
      <c r="XG154" s="294">
        <f t="shared" si="96"/>
        <v>-1368574.8399999999</v>
      </c>
      <c r="XH154" s="294">
        <f t="shared" si="96"/>
        <v>-16000</v>
      </c>
      <c r="XI154" s="294">
        <f t="shared" si="96"/>
        <v>-1167475.95</v>
      </c>
      <c r="XJ154" s="294">
        <f t="shared" si="96"/>
        <v>0</v>
      </c>
      <c r="XK154" s="294">
        <f t="shared" si="96"/>
        <v>-1834906.23</v>
      </c>
      <c r="XL154" s="294">
        <f t="shared" si="96"/>
        <v>0</v>
      </c>
      <c r="XM154" s="294">
        <f t="shared" si="96"/>
        <v>0</v>
      </c>
      <c r="XN154" s="294">
        <f t="shared" si="96"/>
        <v>-789509</v>
      </c>
      <c r="XO154" s="294">
        <f t="shared" si="96"/>
        <v>0</v>
      </c>
      <c r="XP154" s="294">
        <f t="shared" si="96"/>
        <v>-107642.25</v>
      </c>
      <c r="XQ154" s="294">
        <f t="shared" si="96"/>
        <v>0</v>
      </c>
      <c r="XR154" s="294">
        <f t="shared" si="96"/>
        <v>0</v>
      </c>
      <c r="XS154" s="294">
        <f t="shared" si="96"/>
        <v>0</v>
      </c>
      <c r="XT154" s="294">
        <f t="shared" si="96"/>
        <v>0</v>
      </c>
      <c r="XU154" s="294">
        <f t="shared" ref="XU154:AAF154" si="97">SUMIF($A$60:$A$148,$A$133,XU$60:XU$148)</f>
        <v>0</v>
      </c>
      <c r="XV154" s="294">
        <f t="shared" si="97"/>
        <v>-390996.3</v>
      </c>
      <c r="XW154" s="294">
        <f t="shared" si="97"/>
        <v>0</v>
      </c>
      <c r="XX154" s="294">
        <f t="shared" si="97"/>
        <v>0</v>
      </c>
      <c r="XY154" s="294">
        <f t="shared" si="97"/>
        <v>0</v>
      </c>
      <c r="XZ154" s="294">
        <f t="shared" si="97"/>
        <v>0</v>
      </c>
      <c r="YA154" s="294">
        <f t="shared" si="97"/>
        <v>0</v>
      </c>
      <c r="YB154" s="294">
        <f t="shared" si="97"/>
        <v>0</v>
      </c>
      <c r="YC154" s="294">
        <f t="shared" si="97"/>
        <v>0</v>
      </c>
      <c r="YD154" s="294">
        <f t="shared" si="97"/>
        <v>-123384</v>
      </c>
      <c r="YE154" s="294">
        <f t="shared" si="97"/>
        <v>0</v>
      </c>
      <c r="YF154" s="294">
        <f t="shared" si="97"/>
        <v>0</v>
      </c>
      <c r="YG154" s="294">
        <f t="shared" si="97"/>
        <v>0</v>
      </c>
      <c r="YH154" s="294">
        <f t="shared" si="97"/>
        <v>0</v>
      </c>
      <c r="YI154" s="294">
        <f t="shared" si="97"/>
        <v>-2788330.59</v>
      </c>
      <c r="YJ154" s="294">
        <f t="shared" si="97"/>
        <v>0</v>
      </c>
      <c r="YK154" s="294">
        <f t="shared" si="97"/>
        <v>0</v>
      </c>
      <c r="YL154" s="294">
        <f t="shared" si="97"/>
        <v>0</v>
      </c>
      <c r="YM154" s="294">
        <f t="shared" si="97"/>
        <v>0</v>
      </c>
      <c r="YN154" s="294">
        <f t="shared" si="97"/>
        <v>0</v>
      </c>
      <c r="YO154" s="294">
        <f t="shared" si="97"/>
        <v>-373988</v>
      </c>
      <c r="YP154" s="294">
        <f t="shared" si="97"/>
        <v>0</v>
      </c>
      <c r="YQ154" s="294">
        <f t="shared" si="97"/>
        <v>-406636</v>
      </c>
      <c r="YR154" s="294">
        <f t="shared" si="97"/>
        <v>0</v>
      </c>
      <c r="YS154" s="294">
        <f t="shared" si="97"/>
        <v>0</v>
      </c>
      <c r="YT154" s="294">
        <f t="shared" si="97"/>
        <v>0</v>
      </c>
      <c r="YU154" s="294">
        <f t="shared" si="97"/>
        <v>0</v>
      </c>
      <c r="YV154" s="294">
        <f t="shared" si="97"/>
        <v>-3660809</v>
      </c>
      <c r="YW154" s="294">
        <f t="shared" si="97"/>
        <v>0</v>
      </c>
      <c r="YX154" s="294">
        <f t="shared" si="97"/>
        <v>-2151617.44</v>
      </c>
      <c r="YY154" s="294">
        <f t="shared" si="97"/>
        <v>0</v>
      </c>
      <c r="YZ154" s="294">
        <f t="shared" si="97"/>
        <v>-1818880.3399999999</v>
      </c>
      <c r="ZA154" s="294">
        <f t="shared" si="97"/>
        <v>-639501.65</v>
      </c>
      <c r="ZB154" s="294">
        <f t="shared" si="97"/>
        <v>0</v>
      </c>
      <c r="ZC154" s="294">
        <f t="shared" si="97"/>
        <v>-17124442.850000001</v>
      </c>
      <c r="ZD154" s="294">
        <f t="shared" si="97"/>
        <v>-2429197.46</v>
      </c>
      <c r="ZE154" s="294">
        <f t="shared" si="97"/>
        <v>-761648.32</v>
      </c>
      <c r="ZF154" s="294">
        <f t="shared" si="97"/>
        <v>-1919434.1600000001</v>
      </c>
      <c r="ZG154" s="294">
        <f t="shared" si="97"/>
        <v>-701943.74</v>
      </c>
      <c r="ZH154" s="294">
        <f t="shared" si="97"/>
        <v>-752264.17</v>
      </c>
      <c r="ZI154" s="294">
        <f t="shared" si="97"/>
        <v>-8596796.5800000001</v>
      </c>
      <c r="ZJ154" s="294">
        <f t="shared" si="97"/>
        <v>-3664068.64</v>
      </c>
      <c r="ZK154" s="294">
        <f t="shared" si="97"/>
        <v>-9328213.1600000001</v>
      </c>
      <c r="ZL154" s="294">
        <f t="shared" si="97"/>
        <v>-21667071.899999999</v>
      </c>
      <c r="ZM154" s="294">
        <f t="shared" si="97"/>
        <v>-3406349.48</v>
      </c>
      <c r="ZN154" s="294">
        <f t="shared" si="97"/>
        <v>-4180678.7800000003</v>
      </c>
      <c r="ZO154" s="294">
        <f t="shared" si="97"/>
        <v>-8531327.3499999996</v>
      </c>
      <c r="ZP154" s="294">
        <f t="shared" si="97"/>
        <v>-9033606.8499999996</v>
      </c>
      <c r="ZQ154" s="294">
        <f t="shared" si="97"/>
        <v>-2262516.44</v>
      </c>
      <c r="ZR154" s="294">
        <f t="shared" si="97"/>
        <v>-10886691.239999998</v>
      </c>
      <c r="ZS154" s="294">
        <f t="shared" si="97"/>
        <v>-12374391.460000001</v>
      </c>
      <c r="ZT154" s="294">
        <f t="shared" si="97"/>
        <v>-8035776.9199999999</v>
      </c>
      <c r="ZU154" s="294">
        <f t="shared" si="97"/>
        <v>-8208763.5999999996</v>
      </c>
      <c r="ZV154" s="294">
        <f t="shared" si="97"/>
        <v>-1770422.7</v>
      </c>
      <c r="ZW154" s="294">
        <f t="shared" si="97"/>
        <v>-9141744.6799999997</v>
      </c>
      <c r="ZX154" s="294">
        <f t="shared" si="97"/>
        <v>-1100401.03</v>
      </c>
      <c r="ZY154" s="294">
        <f t="shared" si="97"/>
        <v>-5520684.459999999</v>
      </c>
      <c r="ZZ154" s="294">
        <f t="shared" si="97"/>
        <v>-2128816.38</v>
      </c>
      <c r="AAA154" s="294">
        <f t="shared" si="97"/>
        <v>-627265.25</v>
      </c>
      <c r="AAB154" s="294">
        <f t="shared" si="97"/>
        <v>-5892078.0899999999</v>
      </c>
      <c r="AAC154" s="294">
        <f t="shared" si="97"/>
        <v>-1660061.79</v>
      </c>
      <c r="AAD154" s="294">
        <f t="shared" si="97"/>
        <v>-7301012.2599999998</v>
      </c>
      <c r="AAE154" s="294">
        <f t="shared" si="97"/>
        <v>-6425765.25</v>
      </c>
      <c r="AAF154" s="294">
        <f t="shared" si="97"/>
        <v>-1081102.3199999998</v>
      </c>
      <c r="AAG154" s="294">
        <f t="shared" ref="AAG154:ACR154" si="98">SUMIF($A$60:$A$148,$A$133,AAG$60:AAG$148)</f>
        <v>-3554038.3</v>
      </c>
      <c r="AAH154" s="294">
        <f t="shared" si="98"/>
        <v>-2897689.5</v>
      </c>
      <c r="AAI154" s="294">
        <f t="shared" si="98"/>
        <v>-1038974</v>
      </c>
      <c r="AAJ154" s="294">
        <f t="shared" si="98"/>
        <v>0</v>
      </c>
      <c r="AAK154" s="294">
        <f t="shared" si="98"/>
        <v>0</v>
      </c>
      <c r="AAL154" s="294">
        <f t="shared" si="98"/>
        <v>-36369.75</v>
      </c>
      <c r="AAM154" s="294">
        <f t="shared" si="98"/>
        <v>0</v>
      </c>
      <c r="AAN154" s="294">
        <f t="shared" si="98"/>
        <v>0</v>
      </c>
      <c r="AAO154" s="294">
        <f t="shared" si="98"/>
        <v>0</v>
      </c>
      <c r="AAP154" s="294">
        <f t="shared" si="98"/>
        <v>-415029.96</v>
      </c>
      <c r="AAQ154" s="294">
        <f t="shared" si="98"/>
        <v>0</v>
      </c>
      <c r="AAR154" s="294">
        <f t="shared" si="98"/>
        <v>-3341121.98</v>
      </c>
      <c r="AAS154" s="294">
        <f t="shared" si="98"/>
        <v>0</v>
      </c>
      <c r="AAT154" s="294">
        <f t="shared" si="98"/>
        <v>0</v>
      </c>
      <c r="AAU154" s="294">
        <f t="shared" si="98"/>
        <v>0</v>
      </c>
      <c r="AAV154" s="294">
        <f t="shared" si="98"/>
        <v>-1406538.3</v>
      </c>
      <c r="AAW154" s="294">
        <f t="shared" si="98"/>
        <v>0</v>
      </c>
      <c r="AAX154" s="294">
        <f t="shared" si="98"/>
        <v>-826992.25</v>
      </c>
      <c r="AAY154" s="294">
        <f t="shared" si="98"/>
        <v>0</v>
      </c>
      <c r="AAZ154" s="294">
        <f t="shared" si="98"/>
        <v>-871095</v>
      </c>
      <c r="ABA154" s="294">
        <f t="shared" si="98"/>
        <v>-432799.15</v>
      </c>
      <c r="ABB154" s="294">
        <f t="shared" si="98"/>
        <v>-944150.73</v>
      </c>
      <c r="ABC154" s="294">
        <f t="shared" si="98"/>
        <v>0</v>
      </c>
      <c r="ABD154" s="294">
        <f t="shared" si="98"/>
        <v>-420496.24</v>
      </c>
      <c r="ABE154" s="294">
        <f t="shared" si="98"/>
        <v>0</v>
      </c>
      <c r="ABF154" s="294">
        <f t="shared" si="98"/>
        <v>0</v>
      </c>
      <c r="ABG154" s="294">
        <f t="shared" si="98"/>
        <v>0</v>
      </c>
      <c r="ABH154" s="294">
        <f t="shared" si="98"/>
        <v>0</v>
      </c>
      <c r="ABI154" s="294">
        <f t="shared" si="98"/>
        <v>-7712714.4699999997</v>
      </c>
      <c r="ABJ154" s="294">
        <f t="shared" si="98"/>
        <v>0</v>
      </c>
      <c r="ABK154" s="294">
        <f t="shared" si="98"/>
        <v>0</v>
      </c>
      <c r="ABL154" s="294">
        <f t="shared" si="98"/>
        <v>0</v>
      </c>
      <c r="ABM154" s="294">
        <f t="shared" si="98"/>
        <v>-634430.77</v>
      </c>
      <c r="ABN154" s="294">
        <f t="shared" si="98"/>
        <v>0</v>
      </c>
      <c r="ABO154" s="294">
        <f t="shared" si="98"/>
        <v>0</v>
      </c>
      <c r="ABP154" s="294">
        <f t="shared" si="98"/>
        <v>-2030242.31</v>
      </c>
      <c r="ABQ154" s="294">
        <f t="shared" si="98"/>
        <v>-268088.19</v>
      </c>
      <c r="ABR154" s="294">
        <f t="shared" si="98"/>
        <v>-1943477.66</v>
      </c>
      <c r="ABS154" s="294">
        <f t="shared" si="98"/>
        <v>-510796.25</v>
      </c>
      <c r="ABT154" s="294">
        <f t="shared" si="98"/>
        <v>0</v>
      </c>
      <c r="ABU154" s="294">
        <f t="shared" si="98"/>
        <v>0</v>
      </c>
      <c r="ABV154" s="294">
        <f t="shared" si="98"/>
        <v>-1425365.18</v>
      </c>
      <c r="ABW154" s="294">
        <f t="shared" si="98"/>
        <v>0</v>
      </c>
      <c r="ABX154" s="294">
        <f t="shared" si="98"/>
        <v>-1426336.6</v>
      </c>
      <c r="ABY154" s="294">
        <f t="shared" si="98"/>
        <v>0</v>
      </c>
      <c r="ABZ154" s="294">
        <f t="shared" si="98"/>
        <v>-2474146</v>
      </c>
      <c r="ACA154" s="294">
        <f t="shared" si="98"/>
        <v>-497586.85</v>
      </c>
      <c r="ACB154" s="294">
        <f t="shared" si="98"/>
        <v>-661113</v>
      </c>
      <c r="ACC154" s="294">
        <f t="shared" si="98"/>
        <v>-1105112.8799999999</v>
      </c>
      <c r="ACD154" s="294">
        <f t="shared" si="98"/>
        <v>0</v>
      </c>
      <c r="ACE154" s="294">
        <f t="shared" si="98"/>
        <v>0</v>
      </c>
      <c r="ACF154" s="294">
        <f t="shared" si="98"/>
        <v>0</v>
      </c>
      <c r="ACG154" s="294">
        <f t="shared" si="98"/>
        <v>-1879638.18</v>
      </c>
      <c r="ACH154" s="294">
        <f t="shared" si="98"/>
        <v>-2045179</v>
      </c>
      <c r="ACI154" s="294">
        <f t="shared" si="98"/>
        <v>-1125179</v>
      </c>
      <c r="ACJ154" s="294">
        <f t="shared" si="98"/>
        <v>0</v>
      </c>
      <c r="ACK154" s="294">
        <f t="shared" si="98"/>
        <v>-780551.88</v>
      </c>
      <c r="ACL154" s="294">
        <f t="shared" si="98"/>
        <v>0</v>
      </c>
      <c r="ACM154" s="294">
        <f t="shared" si="98"/>
        <v>-550392</v>
      </c>
      <c r="ACN154" s="294">
        <f t="shared" si="98"/>
        <v>-38193.06</v>
      </c>
      <c r="ACO154" s="294">
        <f t="shared" si="98"/>
        <v>0</v>
      </c>
      <c r="ACP154" s="294">
        <f t="shared" si="98"/>
        <v>0</v>
      </c>
      <c r="ACQ154" s="294">
        <f t="shared" si="98"/>
        <v>-327761.13</v>
      </c>
      <c r="ACR154" s="294">
        <f t="shared" si="98"/>
        <v>-996735.94</v>
      </c>
      <c r="ACS154" s="294">
        <f t="shared" ref="ACS154:AFD154" si="99">SUMIF($A$60:$A$148,$A$133,ACS$60:ACS$148)</f>
        <v>-964816.88</v>
      </c>
      <c r="ACT154" s="294">
        <f t="shared" si="99"/>
        <v>-2377224.7400000002</v>
      </c>
      <c r="ACU154" s="294">
        <f t="shared" si="99"/>
        <v>0</v>
      </c>
      <c r="ACV154" s="294">
        <f t="shared" si="99"/>
        <v>0</v>
      </c>
      <c r="ACW154" s="294">
        <f t="shared" si="99"/>
        <v>0</v>
      </c>
      <c r="ACX154" s="294">
        <f t="shared" si="99"/>
        <v>-769689.64</v>
      </c>
      <c r="ACY154" s="294">
        <f t="shared" si="99"/>
        <v>-500000</v>
      </c>
      <c r="ACZ154" s="294">
        <f t="shared" si="99"/>
        <v>0</v>
      </c>
      <c r="ADA154" s="294">
        <f t="shared" si="99"/>
        <v>0</v>
      </c>
      <c r="ADB154" s="294">
        <f t="shared" si="99"/>
        <v>0</v>
      </c>
      <c r="ADC154" s="294">
        <f t="shared" si="99"/>
        <v>-1125000</v>
      </c>
      <c r="ADD154" s="294">
        <f t="shared" si="99"/>
        <v>0</v>
      </c>
      <c r="ADE154" s="294">
        <f t="shared" si="99"/>
        <v>-960000</v>
      </c>
      <c r="ADF154" s="294">
        <f t="shared" si="99"/>
        <v>-4920506.7799999993</v>
      </c>
      <c r="ADG154" s="294">
        <f t="shared" si="99"/>
        <v>-2322337.23</v>
      </c>
      <c r="ADH154" s="294">
        <f t="shared" si="99"/>
        <v>-798365.4</v>
      </c>
      <c r="ADI154" s="294">
        <f t="shared" si="99"/>
        <v>-383415.74</v>
      </c>
      <c r="ADJ154" s="294">
        <f t="shared" si="99"/>
        <v>-2124754.5700000003</v>
      </c>
      <c r="ADK154" s="294">
        <f t="shared" si="99"/>
        <v>-315156.53000000003</v>
      </c>
      <c r="ADL154" s="294">
        <f t="shared" si="99"/>
        <v>-6794372.79</v>
      </c>
      <c r="ADM154" s="294">
        <f t="shared" si="99"/>
        <v>-2102970.87</v>
      </c>
      <c r="ADN154" s="294">
        <f t="shared" si="99"/>
        <v>-3898028.33</v>
      </c>
      <c r="ADO154" s="294">
        <f t="shared" si="99"/>
        <v>-3722890.92</v>
      </c>
      <c r="ADP154" s="294">
        <f t="shared" si="99"/>
        <v>-937795.42999999993</v>
      </c>
      <c r="ADQ154" s="294">
        <f t="shared" si="99"/>
        <v>-21811.599999999999</v>
      </c>
      <c r="ADR154" s="294">
        <f t="shared" si="99"/>
        <v>1060079.1499999999</v>
      </c>
      <c r="ADS154" s="294">
        <f t="shared" si="99"/>
        <v>-831171.1</v>
      </c>
      <c r="ADT154" s="294">
        <f t="shared" si="99"/>
        <v>-80758</v>
      </c>
      <c r="ADU154" s="294">
        <f t="shared" si="99"/>
        <v>-715604.26</v>
      </c>
      <c r="ADV154" s="294">
        <f t="shared" si="99"/>
        <v>0</v>
      </c>
      <c r="ADW154" s="294">
        <f t="shared" si="99"/>
        <v>0</v>
      </c>
      <c r="ADX154" s="294">
        <f t="shared" si="99"/>
        <v>0</v>
      </c>
      <c r="ADY154" s="294">
        <f t="shared" si="99"/>
        <v>-3617199.02</v>
      </c>
      <c r="ADZ154" s="294">
        <f t="shared" si="99"/>
        <v>-3141667.21</v>
      </c>
      <c r="AEA154" s="294">
        <f t="shared" si="99"/>
        <v>-7121907.6699999999</v>
      </c>
      <c r="AEB154" s="294">
        <f t="shared" si="99"/>
        <v>-4087966.07</v>
      </c>
      <c r="AEC154" s="294">
        <f t="shared" si="99"/>
        <v>-2892774.86</v>
      </c>
      <c r="AED154" s="294">
        <f t="shared" si="99"/>
        <v>0</v>
      </c>
      <c r="AEE154" s="294">
        <f t="shared" si="99"/>
        <v>-1253588.3400000001</v>
      </c>
      <c r="AEF154" s="294">
        <f t="shared" si="99"/>
        <v>-113754.5</v>
      </c>
      <c r="AEG154" s="294">
        <f t="shared" si="99"/>
        <v>0</v>
      </c>
      <c r="AEH154" s="294">
        <f t="shared" si="99"/>
        <v>-52396.14</v>
      </c>
      <c r="AEI154" s="294">
        <f t="shared" si="99"/>
        <v>0</v>
      </c>
      <c r="AEJ154" s="294">
        <f t="shared" si="99"/>
        <v>-1010458.6799999999</v>
      </c>
      <c r="AEK154" s="294">
        <f t="shared" si="99"/>
        <v>-1594005.08</v>
      </c>
      <c r="AEL154" s="294">
        <f t="shared" si="99"/>
        <v>-2247343.5099999998</v>
      </c>
      <c r="AEM154" s="294">
        <f t="shared" si="99"/>
        <v>0</v>
      </c>
      <c r="AEN154" s="294">
        <f t="shared" si="99"/>
        <v>-969480.8</v>
      </c>
      <c r="AEO154" s="294">
        <f t="shared" si="99"/>
        <v>-394362.75</v>
      </c>
      <c r="AEP154" s="294">
        <f t="shared" si="99"/>
        <v>-2226654.9</v>
      </c>
      <c r="AEQ154" s="294">
        <f t="shared" si="99"/>
        <v>0</v>
      </c>
      <c r="AER154" s="294">
        <f t="shared" si="99"/>
        <v>-6929338.6500000004</v>
      </c>
      <c r="AES154" s="294">
        <f t="shared" si="99"/>
        <v>-403158.58</v>
      </c>
      <c r="AET154" s="294">
        <f t="shared" si="99"/>
        <v>-465146.89</v>
      </c>
      <c r="AEU154" s="294">
        <f t="shared" si="99"/>
        <v>-338669.28</v>
      </c>
      <c r="AEV154" s="294">
        <f t="shared" si="99"/>
        <v>-2599851.81</v>
      </c>
      <c r="AEW154" s="294">
        <f t="shared" si="99"/>
        <v>-30448.09</v>
      </c>
      <c r="AEX154" s="294">
        <f t="shared" si="99"/>
        <v>-408862.33999999997</v>
      </c>
      <c r="AEY154" s="294">
        <f t="shared" si="99"/>
        <v>0</v>
      </c>
      <c r="AEZ154" s="294">
        <f t="shared" si="99"/>
        <v>-618917.41</v>
      </c>
      <c r="AFA154" s="294">
        <f t="shared" si="99"/>
        <v>0</v>
      </c>
      <c r="AFB154" s="294">
        <f t="shared" si="99"/>
        <v>0</v>
      </c>
      <c r="AFC154" s="294">
        <f t="shared" si="99"/>
        <v>-3655744.06</v>
      </c>
      <c r="AFD154" s="294">
        <f t="shared" si="99"/>
        <v>-3724916.8499999996</v>
      </c>
      <c r="AFE154" s="294">
        <f t="shared" ref="AFE154:AHP154" si="100">SUMIF($A$60:$A$148,$A$133,AFE$60:AFE$148)</f>
        <v>-10000</v>
      </c>
      <c r="AFF154" s="294">
        <f t="shared" si="100"/>
        <v>0</v>
      </c>
      <c r="AFG154" s="294">
        <f t="shared" si="100"/>
        <v>-0.03</v>
      </c>
      <c r="AFH154" s="294">
        <f t="shared" si="100"/>
        <v>0</v>
      </c>
      <c r="AFI154" s="294">
        <f t="shared" si="100"/>
        <v>-203000</v>
      </c>
      <c r="AFJ154" s="294">
        <f t="shared" si="100"/>
        <v>-974912.03</v>
      </c>
      <c r="AFK154" s="294">
        <f t="shared" si="100"/>
        <v>0</v>
      </c>
      <c r="AFL154" s="294">
        <f t="shared" si="100"/>
        <v>0</v>
      </c>
      <c r="AFM154" s="294">
        <f t="shared" si="100"/>
        <v>-213819.13</v>
      </c>
      <c r="AFN154" s="294">
        <f t="shared" si="100"/>
        <v>0</v>
      </c>
      <c r="AFO154" s="294">
        <f t="shared" si="100"/>
        <v>-983984.78</v>
      </c>
      <c r="AFP154" s="294">
        <f t="shared" si="100"/>
        <v>-4340613.3</v>
      </c>
      <c r="AFQ154" s="294">
        <f t="shared" si="100"/>
        <v>-797691.42999999993</v>
      </c>
      <c r="AFR154" s="294">
        <f t="shared" si="100"/>
        <v>-109200</v>
      </c>
      <c r="AFS154" s="294">
        <f t="shared" si="100"/>
        <v>-233483.03</v>
      </c>
      <c r="AFT154" s="294">
        <f t="shared" si="100"/>
        <v>0</v>
      </c>
      <c r="AFU154" s="294">
        <f t="shared" si="100"/>
        <v>-425150.67</v>
      </c>
      <c r="AFV154" s="294">
        <f t="shared" si="100"/>
        <v>0</v>
      </c>
      <c r="AFW154" s="294">
        <f t="shared" si="100"/>
        <v>-1671844.47</v>
      </c>
      <c r="AFX154" s="294">
        <f t="shared" si="100"/>
        <v>-933258.26</v>
      </c>
      <c r="AFY154" s="294">
        <f t="shared" si="100"/>
        <v>-206670.73</v>
      </c>
      <c r="AFZ154" s="294">
        <f t="shared" si="100"/>
        <v>-569712.43999999994</v>
      </c>
      <c r="AGA154" s="294">
        <f t="shared" si="100"/>
        <v>0</v>
      </c>
      <c r="AGB154" s="294">
        <f t="shared" si="100"/>
        <v>-1947619</v>
      </c>
      <c r="AGC154" s="294">
        <f t="shared" si="100"/>
        <v>-1276146.6499999999</v>
      </c>
      <c r="AGD154" s="294">
        <f t="shared" si="100"/>
        <v>0</v>
      </c>
      <c r="AGE154" s="294">
        <f t="shared" si="100"/>
        <v>-342164.41</v>
      </c>
      <c r="AGF154" s="294">
        <f t="shared" si="100"/>
        <v>-1941133.49</v>
      </c>
      <c r="AGG154" s="294">
        <f t="shared" si="100"/>
        <v>-388695.98</v>
      </c>
      <c r="AGH154" s="294">
        <f t="shared" si="100"/>
        <v>-2132683.7799999998</v>
      </c>
      <c r="AGI154" s="294">
        <f t="shared" si="100"/>
        <v>-2240087.0099999998</v>
      </c>
      <c r="AGJ154" s="294">
        <f t="shared" si="100"/>
        <v>0</v>
      </c>
      <c r="AGK154" s="294">
        <f t="shared" si="100"/>
        <v>-923167.98</v>
      </c>
      <c r="AGL154" s="294">
        <f t="shared" si="100"/>
        <v>-212124.35</v>
      </c>
      <c r="AGM154" s="294">
        <f t="shared" si="100"/>
        <v>-3966161.7800000003</v>
      </c>
      <c r="AGN154" s="294">
        <f t="shared" si="100"/>
        <v>-1995634.69</v>
      </c>
      <c r="AGO154" s="294">
        <f t="shared" si="100"/>
        <v>-275687</v>
      </c>
      <c r="AGP154" s="294">
        <f t="shared" si="100"/>
        <v>-1713131.52</v>
      </c>
      <c r="AGQ154" s="294">
        <f t="shared" si="100"/>
        <v>-1331888.48</v>
      </c>
      <c r="AGR154" s="294">
        <f t="shared" si="100"/>
        <v>-1967964.06</v>
      </c>
      <c r="AGS154" s="294">
        <f t="shared" si="100"/>
        <v>-4367284.8499999996</v>
      </c>
      <c r="AGT154" s="294">
        <f t="shared" si="100"/>
        <v>-1739061.19</v>
      </c>
      <c r="AGU154" s="294">
        <f t="shared" si="100"/>
        <v>0</v>
      </c>
      <c r="AGV154" s="294">
        <f t="shared" si="100"/>
        <v>-13113888.5</v>
      </c>
      <c r="AGW154" s="294">
        <f t="shared" si="100"/>
        <v>0</v>
      </c>
      <c r="AGX154" s="294">
        <f t="shared" si="100"/>
        <v>-381097</v>
      </c>
      <c r="AGY154" s="294">
        <f t="shared" si="100"/>
        <v>-450360.77</v>
      </c>
      <c r="AGZ154" s="294">
        <f t="shared" si="100"/>
        <v>-1298372.75</v>
      </c>
      <c r="AHA154" s="294">
        <f t="shared" si="100"/>
        <v>-819620.31</v>
      </c>
      <c r="AHB154" s="294">
        <f t="shared" si="100"/>
        <v>-1090188.02</v>
      </c>
      <c r="AHC154" s="294">
        <f t="shared" si="100"/>
        <v>-300000</v>
      </c>
      <c r="AHD154" s="294">
        <f t="shared" si="100"/>
        <v>-238624.15000000002</v>
      </c>
      <c r="AHE154" s="294">
        <f t="shared" si="100"/>
        <v>-2270633</v>
      </c>
      <c r="AHF154" s="294">
        <f t="shared" si="100"/>
        <v>-2110231.34</v>
      </c>
      <c r="AHG154" s="294">
        <f t="shared" si="100"/>
        <v>-244848.97</v>
      </c>
      <c r="AHH154" s="294">
        <f t="shared" si="100"/>
        <v>-4162175.2600000002</v>
      </c>
      <c r="AHI154" s="294">
        <f t="shared" si="100"/>
        <v>-242362.29</v>
      </c>
      <c r="AHJ154" s="294">
        <f t="shared" si="100"/>
        <v>0</v>
      </c>
      <c r="AHK154" s="294">
        <f t="shared" si="100"/>
        <v>-824065.19</v>
      </c>
      <c r="AHL154" s="294">
        <f t="shared" si="100"/>
        <v>-6177270.6699999999</v>
      </c>
      <c r="AHM154" s="294">
        <f t="shared" si="100"/>
        <v>-831979.55</v>
      </c>
      <c r="AHN154" s="294">
        <f t="shared" si="100"/>
        <v>-3023029.63</v>
      </c>
      <c r="AHO154" s="294">
        <f t="shared" si="100"/>
        <v>0</v>
      </c>
      <c r="AHP154" s="294">
        <f t="shared" si="100"/>
        <v>-644702.40999999992</v>
      </c>
      <c r="AHQ154" s="294">
        <f t="shared" ref="AHQ154:AHR154" si="101">SUMIF($A$60:$A$148,$A$133,AHQ$60:AHQ$148)</f>
        <v>-277800.18</v>
      </c>
      <c r="AHR154" s="294">
        <f t="shared" si="101"/>
        <v>-1086292.8400000001</v>
      </c>
    </row>
    <row r="155" spans="1:907" ht="27.6" customHeight="1" x14ac:dyDescent="0.75">
      <c r="B155" s="268" t="s">
        <v>6283</v>
      </c>
      <c r="C155" s="420" t="s">
        <v>6274</v>
      </c>
      <c r="D155" s="294">
        <f>SUMIF($A$60:$A$148,$A$121,D$60:D$148)</f>
        <v>-683000</v>
      </c>
      <c r="E155" s="294">
        <f t="shared" ref="E155:BP155" si="102">SUMIF($A$60:$A$148,$A$121,E$60:E$148)</f>
        <v>-38328</v>
      </c>
      <c r="F155" s="294">
        <f t="shared" si="102"/>
        <v>-7256</v>
      </c>
      <c r="G155" s="294">
        <f t="shared" si="102"/>
        <v>-56302</v>
      </c>
      <c r="H155" s="294">
        <f t="shared" si="102"/>
        <v>-122500</v>
      </c>
      <c r="I155" s="294">
        <f t="shared" si="102"/>
        <v>-19329.53</v>
      </c>
      <c r="J155" s="294">
        <f t="shared" si="102"/>
        <v>0</v>
      </c>
      <c r="K155" s="294">
        <f t="shared" si="102"/>
        <v>-671575.92</v>
      </c>
      <c r="L155" s="294">
        <f t="shared" si="102"/>
        <v>-117583.96</v>
      </c>
      <c r="M155" s="294">
        <f t="shared" si="102"/>
        <v>-231521</v>
      </c>
      <c r="N155" s="294">
        <f t="shared" si="102"/>
        <v>0</v>
      </c>
      <c r="O155" s="294">
        <f t="shared" si="102"/>
        <v>-23195</v>
      </c>
      <c r="P155" s="294">
        <f t="shared" si="102"/>
        <v>0</v>
      </c>
      <c r="Q155" s="294">
        <f t="shared" si="102"/>
        <v>-247157</v>
      </c>
      <c r="R155" s="294">
        <f t="shared" si="102"/>
        <v>-12000</v>
      </c>
      <c r="S155" s="294">
        <f t="shared" si="102"/>
        <v>-8500</v>
      </c>
      <c r="T155" s="294">
        <f t="shared" si="102"/>
        <v>-49858.5</v>
      </c>
      <c r="U155" s="294">
        <f t="shared" si="102"/>
        <v>-32658.5</v>
      </c>
      <c r="V155" s="294">
        <f t="shared" si="102"/>
        <v>-32214237.539999999</v>
      </c>
      <c r="W155" s="294">
        <f t="shared" si="102"/>
        <v>-16423</v>
      </c>
      <c r="X155" s="294">
        <f t="shared" si="102"/>
        <v>-2081099.12</v>
      </c>
      <c r="Y155" s="294">
        <f t="shared" si="102"/>
        <v>0</v>
      </c>
      <c r="Z155" s="294">
        <f t="shared" si="102"/>
        <v>-2443604.35</v>
      </c>
      <c r="AA155" s="294">
        <f t="shared" si="102"/>
        <v>-936955.35</v>
      </c>
      <c r="AB155" s="294">
        <f t="shared" si="102"/>
        <v>-2360552.17</v>
      </c>
      <c r="AC155" s="294">
        <f t="shared" si="102"/>
        <v>-3632378.12</v>
      </c>
      <c r="AD155" s="294">
        <f t="shared" si="102"/>
        <v>-2149188.9900000002</v>
      </c>
      <c r="AE155" s="294">
        <f t="shared" si="102"/>
        <v>-1195280.1800000002</v>
      </c>
      <c r="AF155" s="294">
        <f t="shared" si="102"/>
        <v>-1515965.27</v>
      </c>
      <c r="AG155" s="294">
        <f t="shared" si="102"/>
        <v>-4808966.8600000003</v>
      </c>
      <c r="AH155" s="294">
        <f t="shared" si="102"/>
        <v>-1317839.68</v>
      </c>
      <c r="AI155" s="294">
        <f t="shared" si="102"/>
        <v>-447301.98</v>
      </c>
      <c r="AJ155" s="294">
        <f t="shared" si="102"/>
        <v>-232710.97</v>
      </c>
      <c r="AK155" s="294">
        <f t="shared" si="102"/>
        <v>-239918.58</v>
      </c>
      <c r="AL155" s="294">
        <f t="shared" si="102"/>
        <v>-103919.8</v>
      </c>
      <c r="AM155" s="294">
        <f t="shared" si="102"/>
        <v>-3623006.35</v>
      </c>
      <c r="AN155" s="294">
        <f t="shared" si="102"/>
        <v>-172840.41</v>
      </c>
      <c r="AO155" s="294">
        <f t="shared" si="102"/>
        <v>-2881205.23</v>
      </c>
      <c r="AP155" s="294">
        <f t="shared" si="102"/>
        <v>-190000</v>
      </c>
      <c r="AQ155" s="294">
        <f t="shared" si="102"/>
        <v>-624893.68999999994</v>
      </c>
      <c r="AR155" s="294">
        <f t="shared" si="102"/>
        <v>-1811632.39</v>
      </c>
      <c r="AS155" s="294">
        <f t="shared" si="102"/>
        <v>-83569.02</v>
      </c>
      <c r="AT155" s="294">
        <f t="shared" si="102"/>
        <v>-6736</v>
      </c>
      <c r="AU155" s="294">
        <f t="shared" si="102"/>
        <v>0</v>
      </c>
      <c r="AV155" s="294">
        <f t="shared" si="102"/>
        <v>-10919</v>
      </c>
      <c r="AW155" s="294">
        <f t="shared" si="102"/>
        <v>-1771.35</v>
      </c>
      <c r="AX155" s="294">
        <f t="shared" si="102"/>
        <v>-232808</v>
      </c>
      <c r="AY155" s="294">
        <f t="shared" si="102"/>
        <v>-18085.5</v>
      </c>
      <c r="AZ155" s="294">
        <f t="shared" si="102"/>
        <v>-1000</v>
      </c>
      <c r="BA155" s="294">
        <f t="shared" si="102"/>
        <v>-15892</v>
      </c>
      <c r="BB155" s="294">
        <f t="shared" si="102"/>
        <v>0</v>
      </c>
      <c r="BC155" s="294">
        <f t="shared" si="102"/>
        <v>0</v>
      </c>
      <c r="BD155" s="294">
        <f t="shared" si="102"/>
        <v>0</v>
      </c>
      <c r="BE155" s="294">
        <f t="shared" si="102"/>
        <v>0</v>
      </c>
      <c r="BF155" s="294">
        <f t="shared" si="102"/>
        <v>0</v>
      </c>
      <c r="BG155" s="294">
        <f t="shared" si="102"/>
        <v>0</v>
      </c>
      <c r="BH155" s="294">
        <f t="shared" si="102"/>
        <v>-1040</v>
      </c>
      <c r="BI155" s="294">
        <f t="shared" si="102"/>
        <v>0</v>
      </c>
      <c r="BJ155" s="294">
        <f t="shared" si="102"/>
        <v>0</v>
      </c>
      <c r="BK155" s="294">
        <f t="shared" si="102"/>
        <v>0</v>
      </c>
      <c r="BL155" s="294">
        <f t="shared" si="102"/>
        <v>-21034</v>
      </c>
      <c r="BM155" s="294">
        <f t="shared" si="102"/>
        <v>-12000</v>
      </c>
      <c r="BN155" s="294">
        <f t="shared" si="102"/>
        <v>-17632.330000000002</v>
      </c>
      <c r="BO155" s="294">
        <f t="shared" si="102"/>
        <v>0</v>
      </c>
      <c r="BP155" s="294">
        <f t="shared" si="102"/>
        <v>0</v>
      </c>
      <c r="BQ155" s="294">
        <f t="shared" ref="BQ155:EB155" si="103">SUMIF($A$60:$A$148,$A$121,BQ$60:BQ$148)</f>
        <v>0</v>
      </c>
      <c r="BR155" s="294">
        <f t="shared" si="103"/>
        <v>-29500</v>
      </c>
      <c r="BS155" s="294">
        <f t="shared" si="103"/>
        <v>-4000</v>
      </c>
      <c r="BT155" s="294">
        <f t="shared" si="103"/>
        <v>-43496</v>
      </c>
      <c r="BU155" s="294">
        <f t="shared" si="103"/>
        <v>-72541.5</v>
      </c>
      <c r="BV155" s="294">
        <f t="shared" si="103"/>
        <v>-29022</v>
      </c>
      <c r="BW155" s="294">
        <f t="shared" si="103"/>
        <v>-18996</v>
      </c>
      <c r="BX155" s="294">
        <f t="shared" si="103"/>
        <v>-4200</v>
      </c>
      <c r="BY155" s="294">
        <f t="shared" si="103"/>
        <v>-16748</v>
      </c>
      <c r="BZ155" s="294">
        <f t="shared" si="103"/>
        <v>0</v>
      </c>
      <c r="CA155" s="294">
        <f t="shared" si="103"/>
        <v>0</v>
      </c>
      <c r="CB155" s="294">
        <f t="shared" si="103"/>
        <v>0</v>
      </c>
      <c r="CC155" s="294">
        <f t="shared" si="103"/>
        <v>-104720</v>
      </c>
      <c r="CD155" s="294">
        <f t="shared" si="103"/>
        <v>0</v>
      </c>
      <c r="CE155" s="294">
        <f t="shared" si="103"/>
        <v>-5264</v>
      </c>
      <c r="CF155" s="294">
        <f t="shared" si="103"/>
        <v>-70920.97</v>
      </c>
      <c r="CG155" s="294">
        <f t="shared" si="103"/>
        <v>-218500</v>
      </c>
      <c r="CH155" s="294">
        <f t="shared" si="103"/>
        <v>-203881</v>
      </c>
      <c r="CI155" s="294">
        <f t="shared" si="103"/>
        <v>0</v>
      </c>
      <c r="CJ155" s="294">
        <f t="shared" si="103"/>
        <v>-29798</v>
      </c>
      <c r="CK155" s="294">
        <f t="shared" si="103"/>
        <v>-35787.620000000003</v>
      </c>
      <c r="CL155" s="294">
        <f t="shared" si="103"/>
        <v>-10017</v>
      </c>
      <c r="CM155" s="294">
        <f t="shared" si="103"/>
        <v>-1828</v>
      </c>
      <c r="CN155" s="294">
        <f t="shared" si="103"/>
        <v>-23931.19</v>
      </c>
      <c r="CO155" s="294">
        <f t="shared" si="103"/>
        <v>-8826</v>
      </c>
      <c r="CP155" s="294">
        <f t="shared" si="103"/>
        <v>-26662.2</v>
      </c>
      <c r="CQ155" s="294">
        <f t="shared" si="103"/>
        <v>0</v>
      </c>
      <c r="CR155" s="294">
        <f t="shared" si="103"/>
        <v>-1046936</v>
      </c>
      <c r="CS155" s="294">
        <f t="shared" si="103"/>
        <v>-67893.259999999995</v>
      </c>
      <c r="CT155" s="294">
        <f t="shared" si="103"/>
        <v>0</v>
      </c>
      <c r="CU155" s="294">
        <f t="shared" si="103"/>
        <v>-102053</v>
      </c>
      <c r="CV155" s="294">
        <f t="shared" si="103"/>
        <v>-1024719.43</v>
      </c>
      <c r="CW155" s="294">
        <f t="shared" si="103"/>
        <v>0</v>
      </c>
      <c r="CX155" s="294">
        <f t="shared" si="103"/>
        <v>-10205.39</v>
      </c>
      <c r="CY155" s="294">
        <f t="shared" si="103"/>
        <v>-1001470.9</v>
      </c>
      <c r="CZ155" s="294">
        <f t="shared" si="103"/>
        <v>-650029</v>
      </c>
      <c r="DA155" s="294">
        <f t="shared" si="103"/>
        <v>-311507.5</v>
      </c>
      <c r="DB155" s="294">
        <f t="shared" si="103"/>
        <v>-678098.91</v>
      </c>
      <c r="DC155" s="294">
        <f t="shared" si="103"/>
        <v>-24230360.079999998</v>
      </c>
      <c r="DD155" s="294">
        <f t="shared" si="103"/>
        <v>-12467</v>
      </c>
      <c r="DE155" s="294">
        <f t="shared" si="103"/>
        <v>-2796.63</v>
      </c>
      <c r="DF155" s="294">
        <f t="shared" si="103"/>
        <v>-554190</v>
      </c>
      <c r="DG155" s="294">
        <f t="shared" si="103"/>
        <v>-234160.6</v>
      </c>
      <c r="DH155" s="294">
        <f t="shared" si="103"/>
        <v>-1504008</v>
      </c>
      <c r="DI155" s="294">
        <f t="shared" si="103"/>
        <v>-42678</v>
      </c>
      <c r="DJ155" s="294">
        <f t="shared" si="103"/>
        <v>-6052.7</v>
      </c>
      <c r="DK155" s="294">
        <f t="shared" si="103"/>
        <v>-2081437.15</v>
      </c>
      <c r="DL155" s="294">
        <f t="shared" si="103"/>
        <v>-51978.32</v>
      </c>
      <c r="DM155" s="294">
        <f t="shared" si="103"/>
        <v>-131698.62</v>
      </c>
      <c r="DN155" s="294">
        <f t="shared" si="103"/>
        <v>-151666.6</v>
      </c>
      <c r="DO155" s="294">
        <f t="shared" si="103"/>
        <v>-95535.2</v>
      </c>
      <c r="DP155" s="294">
        <f t="shared" si="103"/>
        <v>-224140.35</v>
      </c>
      <c r="DQ155" s="294">
        <f t="shared" si="103"/>
        <v>-686307.54</v>
      </c>
      <c r="DR155" s="294">
        <f t="shared" si="103"/>
        <v>-278019</v>
      </c>
      <c r="DS155" s="294">
        <f t="shared" si="103"/>
        <v>-427551.94</v>
      </c>
      <c r="DT155" s="294">
        <f t="shared" si="103"/>
        <v>-85992</v>
      </c>
      <c r="DU155" s="294">
        <f t="shared" si="103"/>
        <v>-38738</v>
      </c>
      <c r="DV155" s="294">
        <f t="shared" si="103"/>
        <v>0</v>
      </c>
      <c r="DW155" s="294">
        <f t="shared" si="103"/>
        <v>-323121.65000000002</v>
      </c>
      <c r="DX155" s="294">
        <f t="shared" si="103"/>
        <v>-48768.46</v>
      </c>
      <c r="DY155" s="294">
        <f t="shared" si="103"/>
        <v>-328569</v>
      </c>
      <c r="DZ155" s="294">
        <f t="shared" si="103"/>
        <v>-334889.76</v>
      </c>
      <c r="EA155" s="294">
        <f t="shared" si="103"/>
        <v>-58291.5</v>
      </c>
      <c r="EB155" s="294">
        <f t="shared" si="103"/>
        <v>-33418</v>
      </c>
      <c r="EC155" s="294">
        <f t="shared" ref="EC155:GN155" si="104">SUMIF($A$60:$A$148,$A$121,EC$60:EC$148)</f>
        <v>-79810.899999999994</v>
      </c>
      <c r="ED155" s="294">
        <f t="shared" si="104"/>
        <v>-10062.75</v>
      </c>
      <c r="EE155" s="294">
        <f t="shared" si="104"/>
        <v>0</v>
      </c>
      <c r="EF155" s="294">
        <f t="shared" si="104"/>
        <v>0</v>
      </c>
      <c r="EG155" s="294">
        <f t="shared" si="104"/>
        <v>-55184</v>
      </c>
      <c r="EH155" s="294">
        <f t="shared" si="104"/>
        <v>-3655.23</v>
      </c>
      <c r="EI155" s="294">
        <f t="shared" si="104"/>
        <v>-24427.96</v>
      </c>
      <c r="EJ155" s="294">
        <f t="shared" si="104"/>
        <v>-215888.2</v>
      </c>
      <c r="EK155" s="294">
        <f t="shared" si="104"/>
        <v>-64122</v>
      </c>
      <c r="EL155" s="294">
        <f t="shared" si="104"/>
        <v>-9329.25</v>
      </c>
      <c r="EM155" s="294">
        <f t="shared" si="104"/>
        <v>-102244.2</v>
      </c>
      <c r="EN155" s="294">
        <f t="shared" si="104"/>
        <v>-146727.91</v>
      </c>
      <c r="EO155" s="294">
        <f t="shared" si="104"/>
        <v>0</v>
      </c>
      <c r="EP155" s="294">
        <f t="shared" si="104"/>
        <v>0</v>
      </c>
      <c r="EQ155" s="294">
        <f t="shared" si="104"/>
        <v>0</v>
      </c>
      <c r="ER155" s="294">
        <f t="shared" si="104"/>
        <v>0</v>
      </c>
      <c r="ES155" s="294">
        <f t="shared" si="104"/>
        <v>0</v>
      </c>
      <c r="ET155" s="294">
        <f t="shared" si="104"/>
        <v>0</v>
      </c>
      <c r="EU155" s="294">
        <f t="shared" si="104"/>
        <v>0</v>
      </c>
      <c r="EV155" s="294">
        <f t="shared" si="104"/>
        <v>0</v>
      </c>
      <c r="EW155" s="294">
        <f t="shared" si="104"/>
        <v>-332160.39</v>
      </c>
      <c r="EX155" s="294">
        <f t="shared" si="104"/>
        <v>-245493.67</v>
      </c>
      <c r="EY155" s="294">
        <f t="shared" si="104"/>
        <v>-188191.4</v>
      </c>
      <c r="EZ155" s="294">
        <f t="shared" si="104"/>
        <v>-127536</v>
      </c>
      <c r="FA155" s="294">
        <f t="shared" si="104"/>
        <v>0</v>
      </c>
      <c r="FB155" s="294">
        <f t="shared" si="104"/>
        <v>-421092.61</v>
      </c>
      <c r="FC155" s="294">
        <f t="shared" si="104"/>
        <v>-586466.5</v>
      </c>
      <c r="FD155" s="294">
        <f t="shared" si="104"/>
        <v>-107862.33</v>
      </c>
      <c r="FE155" s="294">
        <f t="shared" si="104"/>
        <v>-762995.09</v>
      </c>
      <c r="FF155" s="294">
        <f t="shared" si="104"/>
        <v>-216647.52</v>
      </c>
      <c r="FG155" s="294">
        <f t="shared" si="104"/>
        <v>-640731.02</v>
      </c>
      <c r="FH155" s="294">
        <f t="shared" si="104"/>
        <v>-388566.5</v>
      </c>
      <c r="FI155" s="294">
        <f t="shared" si="104"/>
        <v>-336476.36</v>
      </c>
      <c r="FJ155" s="294">
        <f t="shared" si="104"/>
        <v>-95388</v>
      </c>
      <c r="FK155" s="294">
        <f t="shared" si="104"/>
        <v>0</v>
      </c>
      <c r="FL155" s="294">
        <f t="shared" si="104"/>
        <v>-29248</v>
      </c>
      <c r="FM155" s="294">
        <f t="shared" si="104"/>
        <v>-51359</v>
      </c>
      <c r="FN155" s="294">
        <f t="shared" si="104"/>
        <v>-26911.73</v>
      </c>
      <c r="FO155" s="294">
        <f t="shared" si="104"/>
        <v>-514</v>
      </c>
      <c r="FP155" s="294">
        <f t="shared" si="104"/>
        <v>0</v>
      </c>
      <c r="FQ155" s="294">
        <f t="shared" si="104"/>
        <v>0</v>
      </c>
      <c r="FR155" s="294">
        <f t="shared" si="104"/>
        <v>-75526</v>
      </c>
      <c r="FS155" s="294">
        <f t="shared" si="104"/>
        <v>0</v>
      </c>
      <c r="FT155" s="294">
        <f t="shared" si="104"/>
        <v>0</v>
      </c>
      <c r="FU155" s="294">
        <f t="shared" si="104"/>
        <v>0</v>
      </c>
      <c r="FV155" s="294">
        <f t="shared" si="104"/>
        <v>-69676.66</v>
      </c>
      <c r="FW155" s="294">
        <f t="shared" si="104"/>
        <v>0</v>
      </c>
      <c r="FX155" s="294">
        <f t="shared" si="104"/>
        <v>-203243</v>
      </c>
      <c r="FY155" s="294">
        <f t="shared" si="104"/>
        <v>0</v>
      </c>
      <c r="FZ155" s="294">
        <f t="shared" si="104"/>
        <v>0</v>
      </c>
      <c r="GA155" s="294">
        <f t="shared" si="104"/>
        <v>-16254.53</v>
      </c>
      <c r="GB155" s="294">
        <f t="shared" si="104"/>
        <v>-181607.9</v>
      </c>
      <c r="GC155" s="294">
        <f t="shared" si="104"/>
        <v>-37763</v>
      </c>
      <c r="GD155" s="294">
        <f t="shared" si="104"/>
        <v>0</v>
      </c>
      <c r="GE155" s="294">
        <f t="shared" si="104"/>
        <v>-35290.910000000003</v>
      </c>
      <c r="GF155" s="294">
        <f t="shared" si="104"/>
        <v>-55183.95</v>
      </c>
      <c r="GG155" s="294">
        <f t="shared" si="104"/>
        <v>-330560.65999999997</v>
      </c>
      <c r="GH155" s="294">
        <f t="shared" si="104"/>
        <v>-131224.5</v>
      </c>
      <c r="GI155" s="294">
        <f t="shared" si="104"/>
        <v>-78843</v>
      </c>
      <c r="GJ155" s="294">
        <f t="shared" si="104"/>
        <v>-99272</v>
      </c>
      <c r="GK155" s="294">
        <f t="shared" si="104"/>
        <v>0</v>
      </c>
      <c r="GL155" s="294">
        <f t="shared" si="104"/>
        <v>0</v>
      </c>
      <c r="GM155" s="294">
        <f t="shared" si="104"/>
        <v>-74988.25</v>
      </c>
      <c r="GN155" s="294">
        <f t="shared" si="104"/>
        <v>0</v>
      </c>
      <c r="GO155" s="294">
        <f t="shared" ref="GO155:IZ155" si="105">SUMIF($A$60:$A$148,$A$121,GO$60:GO$148)</f>
        <v>0</v>
      </c>
      <c r="GP155" s="294">
        <f t="shared" si="105"/>
        <v>0</v>
      </c>
      <c r="GQ155" s="294">
        <f t="shared" si="105"/>
        <v>0</v>
      </c>
      <c r="GR155" s="294">
        <f t="shared" si="105"/>
        <v>0</v>
      </c>
      <c r="GS155" s="294">
        <f t="shared" si="105"/>
        <v>0</v>
      </c>
      <c r="GT155" s="294">
        <f t="shared" si="105"/>
        <v>0</v>
      </c>
      <c r="GU155" s="294">
        <f t="shared" si="105"/>
        <v>0</v>
      </c>
      <c r="GV155" s="294">
        <f t="shared" si="105"/>
        <v>0</v>
      </c>
      <c r="GW155" s="294">
        <f t="shared" si="105"/>
        <v>0</v>
      </c>
      <c r="GX155" s="294">
        <f t="shared" si="105"/>
        <v>0</v>
      </c>
      <c r="GY155" s="294">
        <f t="shared" si="105"/>
        <v>-537492.57999999996</v>
      </c>
      <c r="GZ155" s="294">
        <f t="shared" si="105"/>
        <v>0</v>
      </c>
      <c r="HA155" s="294">
        <f t="shared" si="105"/>
        <v>-4437086.7699999996</v>
      </c>
      <c r="HB155" s="294">
        <f t="shared" si="105"/>
        <v>-1255510.5</v>
      </c>
      <c r="HC155" s="294">
        <f t="shared" si="105"/>
        <v>-9426712.5500000007</v>
      </c>
      <c r="HD155" s="294">
        <f t="shared" si="105"/>
        <v>-3613365.21</v>
      </c>
      <c r="HE155" s="294">
        <f t="shared" si="105"/>
        <v>-7739321.3499999996</v>
      </c>
      <c r="HF155" s="294">
        <f t="shared" si="105"/>
        <v>-5792082.71</v>
      </c>
      <c r="HG155" s="294">
        <f t="shared" si="105"/>
        <v>-4938411.5</v>
      </c>
      <c r="HH155" s="294">
        <f t="shared" si="105"/>
        <v>-3018331.9</v>
      </c>
      <c r="HI155" s="294">
        <f t="shared" si="105"/>
        <v>-1622379.04</v>
      </c>
      <c r="HJ155" s="294">
        <f t="shared" si="105"/>
        <v>0</v>
      </c>
      <c r="HK155" s="294">
        <f t="shared" si="105"/>
        <v>-11305498.060000001</v>
      </c>
      <c r="HL155" s="294">
        <f t="shared" si="105"/>
        <v>-5351830.53</v>
      </c>
      <c r="HM155" s="294">
        <f t="shared" si="105"/>
        <v>-10625396.68</v>
      </c>
      <c r="HN155" s="294">
        <f t="shared" si="105"/>
        <v>-1980214.8</v>
      </c>
      <c r="HO155" s="294">
        <f t="shared" si="105"/>
        <v>-1954940.98</v>
      </c>
      <c r="HP155" s="294">
        <f t="shared" si="105"/>
        <v>-6599906.04</v>
      </c>
      <c r="HQ155" s="294">
        <f t="shared" si="105"/>
        <v>-5842586.7800000003</v>
      </c>
      <c r="HR155" s="294">
        <f t="shared" si="105"/>
        <v>-1651602.42</v>
      </c>
      <c r="HS155" s="294">
        <f t="shared" si="105"/>
        <v>-596382.06000000006</v>
      </c>
      <c r="HT155" s="294">
        <f t="shared" si="105"/>
        <v>-307348.5</v>
      </c>
      <c r="HU155" s="294">
        <f t="shared" si="105"/>
        <v>-147212</v>
      </c>
      <c r="HV155" s="294">
        <f t="shared" si="105"/>
        <v>-1545365.05</v>
      </c>
      <c r="HW155" s="294">
        <f t="shared" si="105"/>
        <v>0</v>
      </c>
      <c r="HX155" s="294">
        <f t="shared" si="105"/>
        <v>-871028.75</v>
      </c>
      <c r="HY155" s="294">
        <f t="shared" si="105"/>
        <v>-425594.5</v>
      </c>
      <c r="HZ155" s="294">
        <f t="shared" si="105"/>
        <v>-350566.25</v>
      </c>
      <c r="IA155" s="294">
        <f t="shared" si="105"/>
        <v>-253443</v>
      </c>
      <c r="IB155" s="294">
        <f t="shared" si="105"/>
        <v>-1033224.25</v>
      </c>
      <c r="IC155" s="294">
        <f t="shared" si="105"/>
        <v>-700000</v>
      </c>
      <c r="ID155" s="294">
        <f t="shared" si="105"/>
        <v>0</v>
      </c>
      <c r="IE155" s="294">
        <f t="shared" si="105"/>
        <v>-47395.3</v>
      </c>
      <c r="IF155" s="294">
        <f t="shared" si="105"/>
        <v>0</v>
      </c>
      <c r="IG155" s="294">
        <f t="shared" si="105"/>
        <v>0</v>
      </c>
      <c r="IH155" s="294">
        <f t="shared" si="105"/>
        <v>-2380147.5</v>
      </c>
      <c r="II155" s="294">
        <f t="shared" si="105"/>
        <v>-152608.25</v>
      </c>
      <c r="IJ155" s="294">
        <f t="shared" si="105"/>
        <v>-934051.68</v>
      </c>
      <c r="IK155" s="294">
        <f t="shared" si="105"/>
        <v>-81699.25</v>
      </c>
      <c r="IL155" s="294">
        <f t="shared" si="105"/>
        <v>-192425.26</v>
      </c>
      <c r="IM155" s="294">
        <f t="shared" si="105"/>
        <v>-211725.75</v>
      </c>
      <c r="IN155" s="294">
        <f t="shared" si="105"/>
        <v>-9140</v>
      </c>
      <c r="IO155" s="294">
        <f t="shared" si="105"/>
        <v>-42533</v>
      </c>
      <c r="IP155" s="294">
        <f t="shared" si="105"/>
        <v>-61830.2</v>
      </c>
      <c r="IQ155" s="294">
        <f t="shared" si="105"/>
        <v>0</v>
      </c>
      <c r="IR155" s="294">
        <f t="shared" si="105"/>
        <v>-945630.1</v>
      </c>
      <c r="IS155" s="294">
        <f t="shared" si="105"/>
        <v>0</v>
      </c>
      <c r="IT155" s="294">
        <f t="shared" si="105"/>
        <v>-245366.86</v>
      </c>
      <c r="IU155" s="294">
        <f t="shared" si="105"/>
        <v>-1333272.1200000001</v>
      </c>
      <c r="IV155" s="294">
        <f t="shared" si="105"/>
        <v>-2073332.42</v>
      </c>
      <c r="IW155" s="294">
        <f t="shared" si="105"/>
        <v>-1698173.2</v>
      </c>
      <c r="IX155" s="294">
        <f t="shared" si="105"/>
        <v>-841</v>
      </c>
      <c r="IY155" s="294">
        <f t="shared" si="105"/>
        <v>-293411.61</v>
      </c>
      <c r="IZ155" s="294">
        <f t="shared" si="105"/>
        <v>-28652.15</v>
      </c>
      <c r="JA155" s="294">
        <f t="shared" ref="JA155:LL155" si="106">SUMIF($A$60:$A$148,$A$121,JA$60:JA$148)</f>
        <v>-75529</v>
      </c>
      <c r="JB155" s="294">
        <f t="shared" si="106"/>
        <v>0</v>
      </c>
      <c r="JC155" s="294">
        <f t="shared" si="106"/>
        <v>-3225051.59</v>
      </c>
      <c r="JD155" s="294">
        <f t="shared" si="106"/>
        <v>-139566</v>
      </c>
      <c r="JE155" s="294">
        <f t="shared" si="106"/>
        <v>-224362</v>
      </c>
      <c r="JF155" s="294">
        <f t="shared" si="106"/>
        <v>-19336.080000000002</v>
      </c>
      <c r="JG155" s="294">
        <f t="shared" si="106"/>
        <v>-192845.27</v>
      </c>
      <c r="JH155" s="294">
        <f t="shared" si="106"/>
        <v>-132300</v>
      </c>
      <c r="JI155" s="294">
        <f t="shared" si="106"/>
        <v>-58353</v>
      </c>
      <c r="JJ155" s="294">
        <f t="shared" si="106"/>
        <v>-49712</v>
      </c>
      <c r="JK155" s="294">
        <f t="shared" si="106"/>
        <v>0</v>
      </c>
      <c r="JL155" s="294">
        <f t="shared" si="106"/>
        <v>0</v>
      </c>
      <c r="JM155" s="294">
        <f t="shared" si="106"/>
        <v>0</v>
      </c>
      <c r="JN155" s="294">
        <f t="shared" si="106"/>
        <v>-80032</v>
      </c>
      <c r="JO155" s="294">
        <f t="shared" si="106"/>
        <v>-51184</v>
      </c>
      <c r="JP155" s="294">
        <f t="shared" si="106"/>
        <v>0</v>
      </c>
      <c r="JQ155" s="294">
        <f t="shared" si="106"/>
        <v>0</v>
      </c>
      <c r="JR155" s="294">
        <f t="shared" si="106"/>
        <v>0</v>
      </c>
      <c r="JS155" s="294">
        <f t="shared" si="106"/>
        <v>0</v>
      </c>
      <c r="JT155" s="294">
        <f t="shared" si="106"/>
        <v>0</v>
      </c>
      <c r="JU155" s="294">
        <f t="shared" si="106"/>
        <v>0</v>
      </c>
      <c r="JV155" s="294">
        <f t="shared" si="106"/>
        <v>0</v>
      </c>
      <c r="JW155" s="294">
        <f t="shared" si="106"/>
        <v>0</v>
      </c>
      <c r="JX155" s="294">
        <f t="shared" si="106"/>
        <v>0</v>
      </c>
      <c r="JY155" s="294">
        <f t="shared" si="106"/>
        <v>0</v>
      </c>
      <c r="JZ155" s="294">
        <f t="shared" si="106"/>
        <v>0</v>
      </c>
      <c r="KA155" s="294">
        <f t="shared" si="106"/>
        <v>0</v>
      </c>
      <c r="KB155" s="294">
        <f t="shared" si="106"/>
        <v>0</v>
      </c>
      <c r="KC155" s="294">
        <f t="shared" si="106"/>
        <v>0</v>
      </c>
      <c r="KD155" s="294">
        <f t="shared" si="106"/>
        <v>0</v>
      </c>
      <c r="KE155" s="294">
        <f t="shared" si="106"/>
        <v>0</v>
      </c>
      <c r="KF155" s="294">
        <f t="shared" si="106"/>
        <v>0</v>
      </c>
      <c r="KG155" s="294">
        <f t="shared" si="106"/>
        <v>0</v>
      </c>
      <c r="KH155" s="294">
        <f t="shared" si="106"/>
        <v>-7281156</v>
      </c>
      <c r="KI155" s="294">
        <f t="shared" si="106"/>
        <v>-2420324.88</v>
      </c>
      <c r="KJ155" s="294">
        <f t="shared" si="106"/>
        <v>-2509566.85</v>
      </c>
      <c r="KK155" s="294">
        <f t="shared" si="106"/>
        <v>-2527181.04</v>
      </c>
      <c r="KL155" s="294">
        <f t="shared" si="106"/>
        <v>-2267151.67</v>
      </c>
      <c r="KM155" s="294">
        <f t="shared" si="106"/>
        <v>-6665240.8700000001</v>
      </c>
      <c r="KN155" s="294">
        <f t="shared" si="106"/>
        <v>-4839681.4400000004</v>
      </c>
      <c r="KO155" s="294">
        <f t="shared" si="106"/>
        <v>-1761934</v>
      </c>
      <c r="KP155" s="294">
        <f t="shared" si="106"/>
        <v>-32168</v>
      </c>
      <c r="KQ155" s="294">
        <f t="shared" si="106"/>
        <v>0</v>
      </c>
      <c r="KR155" s="294">
        <f t="shared" si="106"/>
        <v>-614735.6</v>
      </c>
      <c r="KS155" s="294">
        <f t="shared" si="106"/>
        <v>-1436489.77</v>
      </c>
      <c r="KT155" s="294">
        <f t="shared" si="106"/>
        <v>-3191192</v>
      </c>
      <c r="KU155" s="294">
        <f t="shared" si="106"/>
        <v>-5498974.5199999996</v>
      </c>
      <c r="KV155" s="294">
        <f t="shared" si="106"/>
        <v>-1403025.53</v>
      </c>
      <c r="KW155" s="294">
        <f t="shared" si="106"/>
        <v>-256539.58</v>
      </c>
      <c r="KX155" s="294">
        <f t="shared" si="106"/>
        <v>-1197329</v>
      </c>
      <c r="KY155" s="294">
        <f t="shared" si="106"/>
        <v>-419609.73</v>
      </c>
      <c r="KZ155" s="294">
        <f t="shared" si="106"/>
        <v>-778345</v>
      </c>
      <c r="LA155" s="294">
        <f t="shared" si="106"/>
        <v>-251875.84</v>
      </c>
      <c r="LB155" s="294">
        <f t="shared" si="106"/>
        <v>-173702.25</v>
      </c>
      <c r="LC155" s="294">
        <f t="shared" si="106"/>
        <v>-265237</v>
      </c>
      <c r="LD155" s="294">
        <f t="shared" si="106"/>
        <v>0</v>
      </c>
      <c r="LE155" s="294">
        <f t="shared" si="106"/>
        <v>0</v>
      </c>
      <c r="LF155" s="294">
        <f t="shared" si="106"/>
        <v>0</v>
      </c>
      <c r="LG155" s="294">
        <f t="shared" si="106"/>
        <v>-5657072.3099999996</v>
      </c>
      <c r="LH155" s="294">
        <f t="shared" si="106"/>
        <v>-1700219.15</v>
      </c>
      <c r="LI155" s="294">
        <f t="shared" si="106"/>
        <v>-1391135.1099999999</v>
      </c>
      <c r="LJ155" s="294">
        <f t="shared" si="106"/>
        <v>0</v>
      </c>
      <c r="LK155" s="294">
        <f t="shared" si="106"/>
        <v>-1332410</v>
      </c>
      <c r="LL155" s="294">
        <f t="shared" si="106"/>
        <v>-2894187.38</v>
      </c>
      <c r="LM155" s="294">
        <f t="shared" ref="LM155:NX155" si="107">SUMIF($A$60:$A$148,$A$121,LM$60:LM$148)</f>
        <v>-266619</v>
      </c>
      <c r="LN155" s="294">
        <f t="shared" si="107"/>
        <v>-40203.42</v>
      </c>
      <c r="LO155" s="294">
        <f t="shared" si="107"/>
        <v>1910.6</v>
      </c>
      <c r="LP155" s="294">
        <f t="shared" si="107"/>
        <v>-2323320.77</v>
      </c>
      <c r="LQ155" s="294">
        <f t="shared" si="107"/>
        <v>-887501.6</v>
      </c>
      <c r="LR155" s="294">
        <f t="shared" si="107"/>
        <v>-3234200.2</v>
      </c>
      <c r="LS155" s="294">
        <f t="shared" si="107"/>
        <v>0</v>
      </c>
      <c r="LT155" s="294">
        <f t="shared" si="107"/>
        <v>0</v>
      </c>
      <c r="LU155" s="294">
        <f t="shared" si="107"/>
        <v>-4955852.46</v>
      </c>
      <c r="LV155" s="294">
        <f t="shared" si="107"/>
        <v>-886713.65</v>
      </c>
      <c r="LW155" s="294">
        <f t="shared" si="107"/>
        <v>-1023580</v>
      </c>
      <c r="LX155" s="294">
        <f t="shared" si="107"/>
        <v>-2109049.19</v>
      </c>
      <c r="LY155" s="294">
        <f t="shared" si="107"/>
        <v>-39509.49</v>
      </c>
      <c r="LZ155" s="294">
        <f t="shared" si="107"/>
        <v>-359628</v>
      </c>
      <c r="MA155" s="294">
        <f t="shared" si="107"/>
        <v>-507541.03</v>
      </c>
      <c r="MB155" s="294">
        <f t="shared" si="107"/>
        <v>-564114.59</v>
      </c>
      <c r="MC155" s="294">
        <f t="shared" si="107"/>
        <v>-250836</v>
      </c>
      <c r="MD155" s="294">
        <f t="shared" si="107"/>
        <v>-685505.68</v>
      </c>
      <c r="ME155" s="294">
        <f t="shared" si="107"/>
        <v>-220584.6</v>
      </c>
      <c r="MF155" s="294">
        <f t="shared" si="107"/>
        <v>0</v>
      </c>
      <c r="MG155" s="294">
        <f t="shared" si="107"/>
        <v>0</v>
      </c>
      <c r="MH155" s="294">
        <f t="shared" si="107"/>
        <v>-964000</v>
      </c>
      <c r="MI155" s="294">
        <f t="shared" si="107"/>
        <v>0</v>
      </c>
      <c r="MJ155" s="294">
        <f t="shared" si="107"/>
        <v>0</v>
      </c>
      <c r="MK155" s="294">
        <f t="shared" si="107"/>
        <v>0</v>
      </c>
      <c r="ML155" s="294">
        <f t="shared" si="107"/>
        <v>0</v>
      </c>
      <c r="MM155" s="294">
        <f t="shared" si="107"/>
        <v>0</v>
      </c>
      <c r="MN155" s="294">
        <f t="shared" si="107"/>
        <v>-472350</v>
      </c>
      <c r="MO155" s="294">
        <f t="shared" si="107"/>
        <v>-1143000</v>
      </c>
      <c r="MP155" s="294">
        <f t="shared" si="107"/>
        <v>-625000</v>
      </c>
      <c r="MQ155" s="294">
        <f t="shared" si="107"/>
        <v>0</v>
      </c>
      <c r="MR155" s="294">
        <f t="shared" si="107"/>
        <v>-878500</v>
      </c>
      <c r="MS155" s="294">
        <f t="shared" si="107"/>
        <v>-281029.46999999997</v>
      </c>
      <c r="MT155" s="294">
        <f t="shared" si="107"/>
        <v>-161162</v>
      </c>
      <c r="MU155" s="294">
        <f t="shared" si="107"/>
        <v>-1978244.42</v>
      </c>
      <c r="MV155" s="294">
        <f t="shared" si="107"/>
        <v>-733726</v>
      </c>
      <c r="MW155" s="294">
        <f t="shared" si="107"/>
        <v>-9995966.4700000007</v>
      </c>
      <c r="MX155" s="294">
        <f t="shared" si="107"/>
        <v>-1633489</v>
      </c>
      <c r="MY155" s="294">
        <f t="shared" si="107"/>
        <v>-3870785.38</v>
      </c>
      <c r="MZ155" s="294">
        <f t="shared" si="107"/>
        <v>-2255251.5</v>
      </c>
      <c r="NA155" s="294">
        <f t="shared" si="107"/>
        <v>-1666350.47</v>
      </c>
      <c r="NB155" s="294">
        <f t="shared" si="107"/>
        <v>-196625.61</v>
      </c>
      <c r="NC155" s="294">
        <f t="shared" si="107"/>
        <v>-202483</v>
      </c>
      <c r="ND155" s="294">
        <f t="shared" si="107"/>
        <v>-10060044.33</v>
      </c>
      <c r="NE155" s="294">
        <f t="shared" si="107"/>
        <v>-12644723</v>
      </c>
      <c r="NF155" s="294">
        <f t="shared" si="107"/>
        <v>-3531664.5</v>
      </c>
      <c r="NG155" s="294">
        <f t="shared" si="107"/>
        <v>-33137696.539999999</v>
      </c>
      <c r="NH155" s="294">
        <f t="shared" si="107"/>
        <v>-3805956.2</v>
      </c>
      <c r="NI155" s="294">
        <f t="shared" si="107"/>
        <v>-3788348.43</v>
      </c>
      <c r="NJ155" s="294">
        <f t="shared" si="107"/>
        <v>-5677216.8499999996</v>
      </c>
      <c r="NK155" s="294">
        <f t="shared" si="107"/>
        <v>-40849605</v>
      </c>
      <c r="NL155" s="294">
        <f t="shared" si="107"/>
        <v>-545364</v>
      </c>
      <c r="NM155" s="294">
        <f t="shared" si="107"/>
        <v>-16072368.689999999</v>
      </c>
      <c r="NN155" s="294">
        <f t="shared" si="107"/>
        <v>-5941419.2300000004</v>
      </c>
      <c r="NO155" s="294">
        <f t="shared" si="107"/>
        <v>-652870.18000000005</v>
      </c>
      <c r="NP155" s="294">
        <f t="shared" si="107"/>
        <v>-959500</v>
      </c>
      <c r="NQ155" s="294">
        <f t="shared" si="107"/>
        <v>-374602.45</v>
      </c>
      <c r="NR155" s="294">
        <f t="shared" si="107"/>
        <v>-4501104.17</v>
      </c>
      <c r="NS155" s="294">
        <f t="shared" si="107"/>
        <v>-3010820.4</v>
      </c>
      <c r="NT155" s="294">
        <f t="shared" si="107"/>
        <v>-1264379.8500000001</v>
      </c>
      <c r="NU155" s="294">
        <f t="shared" si="107"/>
        <v>-258636</v>
      </c>
      <c r="NV155" s="294">
        <f t="shared" si="107"/>
        <v>-878831.15</v>
      </c>
      <c r="NW155" s="294">
        <f t="shared" si="107"/>
        <v>-1620109</v>
      </c>
      <c r="NX155" s="294">
        <f t="shared" si="107"/>
        <v>-3427882.5</v>
      </c>
      <c r="NY155" s="294">
        <f t="shared" ref="NY155:QJ155" si="108">SUMIF($A$60:$A$148,$A$121,NY$60:NY$148)</f>
        <v>-448974</v>
      </c>
      <c r="NZ155" s="294">
        <f t="shared" si="108"/>
        <v>-260127.58000000002</v>
      </c>
      <c r="OA155" s="294">
        <f t="shared" si="108"/>
        <v>-82190.38</v>
      </c>
      <c r="OB155" s="294">
        <f t="shared" si="108"/>
        <v>-722315</v>
      </c>
      <c r="OC155" s="294">
        <f t="shared" si="108"/>
        <v>-752839</v>
      </c>
      <c r="OD155" s="294">
        <f t="shared" si="108"/>
        <v>-12981342.279999999</v>
      </c>
      <c r="OE155" s="294">
        <f t="shared" si="108"/>
        <v>-4977883.63</v>
      </c>
      <c r="OF155" s="294">
        <f t="shared" si="108"/>
        <v>-918575.7</v>
      </c>
      <c r="OG155" s="294">
        <f t="shared" si="108"/>
        <v>-4437220.4800000004</v>
      </c>
      <c r="OH155" s="294">
        <f t="shared" si="108"/>
        <v>-2170649.33</v>
      </c>
      <c r="OI155" s="294">
        <f t="shared" si="108"/>
        <v>-2938281.28</v>
      </c>
      <c r="OJ155" s="294">
        <f t="shared" si="108"/>
        <v>-5564828.0999999996</v>
      </c>
      <c r="OK155" s="294">
        <f t="shared" si="108"/>
        <v>-475783.9</v>
      </c>
      <c r="OL155" s="294">
        <f t="shared" si="108"/>
        <v>0</v>
      </c>
      <c r="OM155" s="294">
        <f t="shared" si="108"/>
        <v>-15889474.279999999</v>
      </c>
      <c r="ON155" s="294">
        <f t="shared" si="108"/>
        <v>-4012499.95</v>
      </c>
      <c r="OO155" s="294">
        <f t="shared" si="108"/>
        <v>-11884762.58</v>
      </c>
      <c r="OP155" s="294">
        <f t="shared" si="108"/>
        <v>-2981119.62</v>
      </c>
      <c r="OQ155" s="294">
        <f t="shared" si="108"/>
        <v>-4316155.04</v>
      </c>
      <c r="OR155" s="294">
        <f t="shared" si="108"/>
        <v>0</v>
      </c>
      <c r="OS155" s="294">
        <f t="shared" si="108"/>
        <v>0</v>
      </c>
      <c r="OT155" s="294">
        <f t="shared" si="108"/>
        <v>-3836666.69</v>
      </c>
      <c r="OU155" s="294">
        <f t="shared" si="108"/>
        <v>-2368895.94</v>
      </c>
      <c r="OV155" s="294">
        <f t="shared" si="108"/>
        <v>-424953.52</v>
      </c>
      <c r="OW155" s="294">
        <f t="shared" si="108"/>
        <v>-1744975.02</v>
      </c>
      <c r="OX155" s="294">
        <f t="shared" si="108"/>
        <v>-6465605.2999999998</v>
      </c>
      <c r="OY155" s="294">
        <f t="shared" si="108"/>
        <v>-273047.27</v>
      </c>
      <c r="OZ155" s="294">
        <f t="shared" si="108"/>
        <v>-799533</v>
      </c>
      <c r="PA155" s="294">
        <f t="shared" si="108"/>
        <v>0</v>
      </c>
      <c r="PB155" s="294">
        <f t="shared" si="108"/>
        <v>0</v>
      </c>
      <c r="PC155" s="294">
        <f t="shared" si="108"/>
        <v>-6221</v>
      </c>
      <c r="PD155" s="294">
        <f t="shared" si="108"/>
        <v>0</v>
      </c>
      <c r="PE155" s="294">
        <f t="shared" si="108"/>
        <v>-14124</v>
      </c>
      <c r="PF155" s="294">
        <f t="shared" si="108"/>
        <v>0</v>
      </c>
      <c r="PG155" s="294">
        <f t="shared" si="108"/>
        <v>-22556.7</v>
      </c>
      <c r="PH155" s="294">
        <f t="shared" si="108"/>
        <v>0</v>
      </c>
      <c r="PI155" s="294">
        <f t="shared" si="108"/>
        <v>0</v>
      </c>
      <c r="PJ155" s="294">
        <f t="shared" si="108"/>
        <v>0</v>
      </c>
      <c r="PK155" s="294">
        <f t="shared" si="108"/>
        <v>-12648.64</v>
      </c>
      <c r="PL155" s="294">
        <f t="shared" si="108"/>
        <v>-46441.5</v>
      </c>
      <c r="PM155" s="294">
        <f t="shared" si="108"/>
        <v>-1514</v>
      </c>
      <c r="PN155" s="294">
        <f t="shared" si="108"/>
        <v>-35687</v>
      </c>
      <c r="PO155" s="294">
        <f t="shared" si="108"/>
        <v>0</v>
      </c>
      <c r="PP155" s="294">
        <f t="shared" si="108"/>
        <v>0</v>
      </c>
      <c r="PQ155" s="294">
        <f t="shared" si="108"/>
        <v>0</v>
      </c>
      <c r="PR155" s="294">
        <f t="shared" si="108"/>
        <v>0</v>
      </c>
      <c r="PS155" s="294">
        <f t="shared" si="108"/>
        <v>0</v>
      </c>
      <c r="PT155" s="294">
        <f t="shared" si="108"/>
        <v>0</v>
      </c>
      <c r="PU155" s="294">
        <f t="shared" si="108"/>
        <v>-169612.5</v>
      </c>
      <c r="PV155" s="294">
        <f t="shared" si="108"/>
        <v>0</v>
      </c>
      <c r="PW155" s="294">
        <f t="shared" si="108"/>
        <v>0</v>
      </c>
      <c r="PX155" s="294">
        <f t="shared" si="108"/>
        <v>0</v>
      </c>
      <c r="PY155" s="294">
        <f t="shared" si="108"/>
        <v>0</v>
      </c>
      <c r="PZ155" s="294">
        <f t="shared" si="108"/>
        <v>0</v>
      </c>
      <c r="QA155" s="294">
        <f t="shared" si="108"/>
        <v>0</v>
      </c>
      <c r="QB155" s="294">
        <f t="shared" si="108"/>
        <v>-139451.25</v>
      </c>
      <c r="QC155" s="294">
        <f t="shared" si="108"/>
        <v>0</v>
      </c>
      <c r="QD155" s="294">
        <f t="shared" si="108"/>
        <v>0</v>
      </c>
      <c r="QE155" s="294">
        <f t="shared" si="108"/>
        <v>0</v>
      </c>
      <c r="QF155" s="294">
        <f t="shared" si="108"/>
        <v>-3603</v>
      </c>
      <c r="QG155" s="294">
        <f t="shared" si="108"/>
        <v>0</v>
      </c>
      <c r="QH155" s="294">
        <f t="shared" si="108"/>
        <v>-50318</v>
      </c>
      <c r="QI155" s="294">
        <f t="shared" si="108"/>
        <v>-71455</v>
      </c>
      <c r="QJ155" s="294">
        <f t="shared" si="108"/>
        <v>-8062</v>
      </c>
      <c r="QK155" s="294">
        <f t="shared" ref="QK155:SV155" si="109">SUMIF($A$60:$A$148,$A$121,QK$60:QK$148)</f>
        <v>0</v>
      </c>
      <c r="QL155" s="294">
        <f t="shared" si="109"/>
        <v>-2188</v>
      </c>
      <c r="QM155" s="294">
        <f t="shared" si="109"/>
        <v>0</v>
      </c>
      <c r="QN155" s="294">
        <f t="shared" si="109"/>
        <v>0</v>
      </c>
      <c r="QO155" s="294">
        <f t="shared" si="109"/>
        <v>-412</v>
      </c>
      <c r="QP155" s="294">
        <f t="shared" si="109"/>
        <v>-7368</v>
      </c>
      <c r="QQ155" s="294">
        <f t="shared" si="109"/>
        <v>0</v>
      </c>
      <c r="QR155" s="294">
        <f t="shared" si="109"/>
        <v>-15911</v>
      </c>
      <c r="QS155" s="294">
        <f t="shared" si="109"/>
        <v>0</v>
      </c>
      <c r="QT155" s="294">
        <f t="shared" si="109"/>
        <v>-9108.94</v>
      </c>
      <c r="QU155" s="294">
        <f t="shared" si="109"/>
        <v>0</v>
      </c>
      <c r="QV155" s="294">
        <f t="shared" si="109"/>
        <v>0</v>
      </c>
      <c r="QW155" s="294">
        <f t="shared" si="109"/>
        <v>-13750.5</v>
      </c>
      <c r="QX155" s="294">
        <f t="shared" si="109"/>
        <v>0</v>
      </c>
      <c r="QY155" s="294">
        <f t="shared" si="109"/>
        <v>-7968</v>
      </c>
      <c r="QZ155" s="294">
        <f t="shared" si="109"/>
        <v>-26844</v>
      </c>
      <c r="RA155" s="294">
        <f t="shared" si="109"/>
        <v>-69319</v>
      </c>
      <c r="RB155" s="294">
        <f t="shared" si="109"/>
        <v>0</v>
      </c>
      <c r="RC155" s="294">
        <f t="shared" si="109"/>
        <v>-976</v>
      </c>
      <c r="RD155" s="294">
        <f t="shared" si="109"/>
        <v>-12695</v>
      </c>
      <c r="RE155" s="294">
        <f t="shared" si="109"/>
        <v>0</v>
      </c>
      <c r="RF155" s="294">
        <f t="shared" si="109"/>
        <v>0</v>
      </c>
      <c r="RG155" s="294">
        <f t="shared" si="109"/>
        <v>-7046.75</v>
      </c>
      <c r="RH155" s="294">
        <f t="shared" si="109"/>
        <v>-40102</v>
      </c>
      <c r="RI155" s="294">
        <f t="shared" si="109"/>
        <v>-10175</v>
      </c>
      <c r="RJ155" s="294">
        <f t="shared" si="109"/>
        <v>-36801</v>
      </c>
      <c r="RK155" s="294">
        <f t="shared" si="109"/>
        <v>0</v>
      </c>
      <c r="RL155" s="294">
        <f t="shared" si="109"/>
        <v>0</v>
      </c>
      <c r="RM155" s="294">
        <f t="shared" si="109"/>
        <v>-16452</v>
      </c>
      <c r="RN155" s="294">
        <f t="shared" si="109"/>
        <v>-9360</v>
      </c>
      <c r="RO155" s="294">
        <f t="shared" si="109"/>
        <v>0</v>
      </c>
      <c r="RP155" s="294">
        <f t="shared" si="109"/>
        <v>-34486.160000000003</v>
      </c>
      <c r="RQ155" s="294">
        <f t="shared" si="109"/>
        <v>-13157</v>
      </c>
      <c r="RR155" s="294">
        <f t="shared" si="109"/>
        <v>-19401</v>
      </c>
      <c r="RS155" s="294">
        <f t="shared" si="109"/>
        <v>-11316.5</v>
      </c>
      <c r="RT155" s="294">
        <f t="shared" si="109"/>
        <v>0</v>
      </c>
      <c r="RU155" s="294">
        <f t="shared" si="109"/>
        <v>-12445</v>
      </c>
      <c r="RV155" s="294">
        <f t="shared" si="109"/>
        <v>0</v>
      </c>
      <c r="RW155" s="294">
        <f t="shared" si="109"/>
        <v>-13271</v>
      </c>
      <c r="RX155" s="294">
        <f t="shared" si="109"/>
        <v>0</v>
      </c>
      <c r="RY155" s="294">
        <f t="shared" si="109"/>
        <v>0</v>
      </c>
      <c r="RZ155" s="294">
        <f t="shared" si="109"/>
        <v>0</v>
      </c>
      <c r="SA155" s="294">
        <f t="shared" si="109"/>
        <v>-174372.25</v>
      </c>
      <c r="SB155" s="294">
        <f t="shared" si="109"/>
        <v>0</v>
      </c>
      <c r="SC155" s="294">
        <f t="shared" si="109"/>
        <v>-128227.8</v>
      </c>
      <c r="SD155" s="294">
        <f t="shared" si="109"/>
        <v>0</v>
      </c>
      <c r="SE155" s="294">
        <f t="shared" si="109"/>
        <v>-5870.51</v>
      </c>
      <c r="SF155" s="294">
        <f t="shared" si="109"/>
        <v>-7140</v>
      </c>
      <c r="SG155" s="294">
        <f t="shared" si="109"/>
        <v>-93667.78</v>
      </c>
      <c r="SH155" s="294">
        <f t="shared" si="109"/>
        <v>-744791.68</v>
      </c>
      <c r="SI155" s="294">
        <f t="shared" si="109"/>
        <v>-3174.61</v>
      </c>
      <c r="SJ155" s="294">
        <f t="shared" si="109"/>
        <v>0</v>
      </c>
      <c r="SK155" s="294">
        <f t="shared" si="109"/>
        <v>-110995.23</v>
      </c>
      <c r="SL155" s="294">
        <f t="shared" si="109"/>
        <v>-9861</v>
      </c>
      <c r="SM155" s="294">
        <f t="shared" si="109"/>
        <v>-174193.13</v>
      </c>
      <c r="SN155" s="294">
        <f t="shared" si="109"/>
        <v>-52044.160000000003</v>
      </c>
      <c r="SO155" s="294">
        <f t="shared" si="109"/>
        <v>0</v>
      </c>
      <c r="SP155" s="294">
        <f t="shared" si="109"/>
        <v>-4567.88</v>
      </c>
      <c r="SQ155" s="294">
        <f t="shared" si="109"/>
        <v>-87693.92</v>
      </c>
      <c r="SR155" s="294">
        <f t="shared" si="109"/>
        <v>-36768.400000000001</v>
      </c>
      <c r="SS155" s="294">
        <f t="shared" si="109"/>
        <v>-35340.29</v>
      </c>
      <c r="ST155" s="294">
        <f t="shared" si="109"/>
        <v>-55156.03</v>
      </c>
      <c r="SU155" s="294">
        <f t="shared" si="109"/>
        <v>-582747.04</v>
      </c>
      <c r="SV155" s="294">
        <f t="shared" si="109"/>
        <v>-15156.07</v>
      </c>
      <c r="SW155" s="294">
        <f t="shared" ref="SW155:VH155" si="110">SUMIF($A$60:$A$148,$A$121,SW$60:SW$148)</f>
        <v>-439494</v>
      </c>
      <c r="SX155" s="294">
        <f t="shared" si="110"/>
        <v>-135181.32999999999</v>
      </c>
      <c r="SY155" s="294">
        <f t="shared" si="110"/>
        <v>-6474.45</v>
      </c>
      <c r="SZ155" s="294">
        <f t="shared" si="110"/>
        <v>-231252.21</v>
      </c>
      <c r="TA155" s="294">
        <f t="shared" si="110"/>
        <v>0</v>
      </c>
      <c r="TB155" s="294">
        <f t="shared" si="110"/>
        <v>0</v>
      </c>
      <c r="TC155" s="294">
        <f t="shared" si="110"/>
        <v>-11272.94</v>
      </c>
      <c r="TD155" s="294">
        <f t="shared" si="110"/>
        <v>-38222</v>
      </c>
      <c r="TE155" s="294">
        <f t="shared" si="110"/>
        <v>-21630.33</v>
      </c>
      <c r="TF155" s="294">
        <f t="shared" si="110"/>
        <v>-136168.34</v>
      </c>
      <c r="TG155" s="294">
        <f t="shared" si="110"/>
        <v>-13524</v>
      </c>
      <c r="TH155" s="294">
        <f t="shared" si="110"/>
        <v>-35815.17</v>
      </c>
      <c r="TI155" s="294">
        <f t="shared" si="110"/>
        <v>-162529.12</v>
      </c>
      <c r="TJ155" s="294">
        <f t="shared" si="110"/>
        <v>-51893.04</v>
      </c>
      <c r="TK155" s="294">
        <f t="shared" si="110"/>
        <v>0</v>
      </c>
      <c r="TL155" s="294">
        <f t="shared" si="110"/>
        <v>-10427.84</v>
      </c>
      <c r="TM155" s="294">
        <f t="shared" si="110"/>
        <v>-25135.200000000001</v>
      </c>
      <c r="TN155" s="294">
        <f t="shared" si="110"/>
        <v>-22947.599999999999</v>
      </c>
      <c r="TO155" s="294">
        <f t="shared" si="110"/>
        <v>0</v>
      </c>
      <c r="TP155" s="294">
        <f t="shared" si="110"/>
        <v>-61321.32</v>
      </c>
      <c r="TQ155" s="294">
        <f t="shared" si="110"/>
        <v>-21098.12</v>
      </c>
      <c r="TR155" s="294">
        <f t="shared" si="110"/>
        <v>-37895</v>
      </c>
      <c r="TS155" s="294">
        <f t="shared" si="110"/>
        <v>-244833.68</v>
      </c>
      <c r="TT155" s="294">
        <f t="shared" si="110"/>
        <v>-12394</v>
      </c>
      <c r="TU155" s="294">
        <f t="shared" si="110"/>
        <v>-27800.83</v>
      </c>
      <c r="TV155" s="294">
        <f t="shared" si="110"/>
        <v>-10078.5</v>
      </c>
      <c r="TW155" s="294">
        <f t="shared" si="110"/>
        <v>-16846.189999999999</v>
      </c>
      <c r="TX155" s="294">
        <f t="shared" si="110"/>
        <v>-17932.810000000001</v>
      </c>
      <c r="TY155" s="294">
        <f t="shared" si="110"/>
        <v>-237787.51999999999</v>
      </c>
      <c r="TZ155" s="294">
        <f t="shared" si="110"/>
        <v>-19039.349999999999</v>
      </c>
      <c r="UA155" s="294">
        <f t="shared" si="110"/>
        <v>-120939.96</v>
      </c>
      <c r="UB155" s="294">
        <f t="shared" si="110"/>
        <v>-216297.72</v>
      </c>
      <c r="UC155" s="294">
        <f t="shared" si="110"/>
        <v>0</v>
      </c>
      <c r="UD155" s="294">
        <f t="shared" si="110"/>
        <v>-64177.96</v>
      </c>
      <c r="UE155" s="294">
        <f t="shared" si="110"/>
        <v>-189887.94</v>
      </c>
      <c r="UF155" s="294">
        <f t="shared" si="110"/>
        <v>0</v>
      </c>
      <c r="UG155" s="294">
        <f t="shared" si="110"/>
        <v>0</v>
      </c>
      <c r="UH155" s="294">
        <f t="shared" si="110"/>
        <v>0</v>
      </c>
      <c r="UI155" s="294">
        <f t="shared" si="110"/>
        <v>0</v>
      </c>
      <c r="UJ155" s="294">
        <f t="shared" si="110"/>
        <v>-32397.93</v>
      </c>
      <c r="UK155" s="294">
        <f t="shared" si="110"/>
        <v>-22956.98</v>
      </c>
      <c r="UL155" s="294">
        <f t="shared" si="110"/>
        <v>0</v>
      </c>
      <c r="UM155" s="294">
        <f t="shared" si="110"/>
        <v>-2158.0100000000002</v>
      </c>
      <c r="UN155" s="294">
        <f t="shared" si="110"/>
        <v>-15226.47</v>
      </c>
      <c r="UO155" s="294">
        <f t="shared" si="110"/>
        <v>-32977.21</v>
      </c>
      <c r="UP155" s="294">
        <f t="shared" si="110"/>
        <v>0</v>
      </c>
      <c r="UQ155" s="294">
        <f t="shared" si="110"/>
        <v>-24216</v>
      </c>
      <c r="UR155" s="294">
        <f t="shared" si="110"/>
        <v>0</v>
      </c>
      <c r="US155" s="294">
        <f t="shared" si="110"/>
        <v>-53105.14</v>
      </c>
      <c r="UT155" s="294">
        <f t="shared" si="110"/>
        <v>0</v>
      </c>
      <c r="UU155" s="294">
        <f t="shared" si="110"/>
        <v>-257</v>
      </c>
      <c r="UV155" s="294">
        <f t="shared" si="110"/>
        <v>-75133.14</v>
      </c>
      <c r="UW155" s="294">
        <f t="shared" si="110"/>
        <v>0</v>
      </c>
      <c r="UX155" s="294">
        <f t="shared" si="110"/>
        <v>0</v>
      </c>
      <c r="UY155" s="294">
        <f t="shared" si="110"/>
        <v>-4098.43</v>
      </c>
      <c r="UZ155" s="294">
        <f t="shared" si="110"/>
        <v>-20108</v>
      </c>
      <c r="VA155" s="294">
        <f t="shared" si="110"/>
        <v>-51073.42</v>
      </c>
      <c r="VB155" s="294">
        <f t="shared" si="110"/>
        <v>-10105</v>
      </c>
      <c r="VC155" s="294">
        <f t="shared" si="110"/>
        <v>-47082.93</v>
      </c>
      <c r="VD155" s="294">
        <f t="shared" si="110"/>
        <v>0</v>
      </c>
      <c r="VE155" s="294">
        <f t="shared" si="110"/>
        <v>-7616.67</v>
      </c>
      <c r="VF155" s="294">
        <f t="shared" si="110"/>
        <v>-16907.5</v>
      </c>
      <c r="VG155" s="294">
        <f t="shared" si="110"/>
        <v>-4844</v>
      </c>
      <c r="VH155" s="294">
        <f t="shared" si="110"/>
        <v>-39883.18</v>
      </c>
      <c r="VI155" s="294">
        <f t="shared" ref="VI155:XT155" si="111">SUMIF($A$60:$A$148,$A$121,VI$60:VI$148)</f>
        <v>0</v>
      </c>
      <c r="VJ155" s="294">
        <f t="shared" si="111"/>
        <v>-20700.57</v>
      </c>
      <c r="VK155" s="294">
        <f t="shared" si="111"/>
        <v>0</v>
      </c>
      <c r="VL155" s="294">
        <f t="shared" si="111"/>
        <v>-10161.82</v>
      </c>
      <c r="VM155" s="294">
        <f t="shared" si="111"/>
        <v>-25975</v>
      </c>
      <c r="VN155" s="294">
        <f t="shared" si="111"/>
        <v>-10427.620000000001</v>
      </c>
      <c r="VO155" s="294">
        <f t="shared" si="111"/>
        <v>-22863</v>
      </c>
      <c r="VP155" s="294">
        <f t="shared" si="111"/>
        <v>0</v>
      </c>
      <c r="VQ155" s="294">
        <f t="shared" si="111"/>
        <v>-266488</v>
      </c>
      <c r="VR155" s="294">
        <f t="shared" si="111"/>
        <v>-66292</v>
      </c>
      <c r="VS155" s="294">
        <f t="shared" si="111"/>
        <v>-1828</v>
      </c>
      <c r="VT155" s="294">
        <f t="shared" si="111"/>
        <v>-32276</v>
      </c>
      <c r="VU155" s="294">
        <f t="shared" si="111"/>
        <v>0</v>
      </c>
      <c r="VV155" s="294">
        <f t="shared" si="111"/>
        <v>-11931.5</v>
      </c>
      <c r="VW155" s="294">
        <f t="shared" si="111"/>
        <v>0</v>
      </c>
      <c r="VX155" s="294">
        <f t="shared" si="111"/>
        <v>-70032</v>
      </c>
      <c r="VY155" s="294">
        <f t="shared" si="111"/>
        <v>0</v>
      </c>
      <c r="VZ155" s="294">
        <f t="shared" si="111"/>
        <v>-7200</v>
      </c>
      <c r="WA155" s="294">
        <f t="shared" si="111"/>
        <v>0</v>
      </c>
      <c r="WB155" s="294">
        <f t="shared" si="111"/>
        <v>-826025.28</v>
      </c>
      <c r="WC155" s="294">
        <f t="shared" si="111"/>
        <v>-1139879</v>
      </c>
      <c r="WD155" s="294">
        <f t="shared" si="111"/>
        <v>0</v>
      </c>
      <c r="WE155" s="294">
        <f t="shared" si="111"/>
        <v>0</v>
      </c>
      <c r="WF155" s="294">
        <f t="shared" si="111"/>
        <v>-36926</v>
      </c>
      <c r="WG155" s="294">
        <f t="shared" si="111"/>
        <v>-319691.44</v>
      </c>
      <c r="WH155" s="294">
        <f t="shared" si="111"/>
        <v>-81002.77</v>
      </c>
      <c r="WI155" s="294">
        <f t="shared" si="111"/>
        <v>-11500</v>
      </c>
      <c r="WJ155" s="294">
        <f t="shared" si="111"/>
        <v>0</v>
      </c>
      <c r="WK155" s="294">
        <f t="shared" si="111"/>
        <v>-80968.38</v>
      </c>
      <c r="WL155" s="294">
        <f t="shared" si="111"/>
        <v>-90017.72</v>
      </c>
      <c r="WM155" s="294">
        <f t="shared" si="111"/>
        <v>0</v>
      </c>
      <c r="WN155" s="294">
        <f t="shared" si="111"/>
        <v>-806686.75</v>
      </c>
      <c r="WO155" s="294">
        <f t="shared" si="111"/>
        <v>-52157</v>
      </c>
      <c r="WP155" s="294">
        <f t="shared" si="111"/>
        <v>0</v>
      </c>
      <c r="WQ155" s="294">
        <f t="shared" si="111"/>
        <v>0</v>
      </c>
      <c r="WR155" s="294">
        <f t="shared" si="111"/>
        <v>-242998</v>
      </c>
      <c r="WS155" s="294">
        <f t="shared" si="111"/>
        <v>-128632.33</v>
      </c>
      <c r="WT155" s="294">
        <f t="shared" si="111"/>
        <v>-290463.46999999997</v>
      </c>
      <c r="WU155" s="294">
        <f t="shared" si="111"/>
        <v>0</v>
      </c>
      <c r="WV155" s="294">
        <f t="shared" si="111"/>
        <v>0</v>
      </c>
      <c r="WW155" s="294">
        <f t="shared" si="111"/>
        <v>-3000</v>
      </c>
      <c r="WX155" s="294">
        <f t="shared" si="111"/>
        <v>-19740</v>
      </c>
      <c r="WY155" s="294">
        <f t="shared" si="111"/>
        <v>-414296.59</v>
      </c>
      <c r="WZ155" s="294">
        <f t="shared" si="111"/>
        <v>0</v>
      </c>
      <c r="XA155" s="294">
        <f t="shared" si="111"/>
        <v>0</v>
      </c>
      <c r="XB155" s="294">
        <f t="shared" si="111"/>
        <v>-13471.5</v>
      </c>
      <c r="XC155" s="294">
        <f t="shared" si="111"/>
        <v>0</v>
      </c>
      <c r="XD155" s="294">
        <f t="shared" si="111"/>
        <v>-143037</v>
      </c>
      <c r="XE155" s="294">
        <f t="shared" si="111"/>
        <v>0</v>
      </c>
      <c r="XF155" s="294">
        <f t="shared" si="111"/>
        <v>0</v>
      </c>
      <c r="XG155" s="294">
        <f t="shared" si="111"/>
        <v>-15677.84</v>
      </c>
      <c r="XH155" s="294">
        <f t="shared" si="111"/>
        <v>-1261064.3500000001</v>
      </c>
      <c r="XI155" s="294">
        <f t="shared" si="111"/>
        <v>0</v>
      </c>
      <c r="XJ155" s="294">
        <f t="shared" si="111"/>
        <v>0</v>
      </c>
      <c r="XK155" s="294">
        <f t="shared" si="111"/>
        <v>0</v>
      </c>
      <c r="XL155" s="294">
        <f t="shared" si="111"/>
        <v>0</v>
      </c>
      <c r="XM155" s="294">
        <f t="shared" si="111"/>
        <v>0</v>
      </c>
      <c r="XN155" s="294">
        <f t="shared" si="111"/>
        <v>0</v>
      </c>
      <c r="XO155" s="294">
        <f t="shared" si="111"/>
        <v>0</v>
      </c>
      <c r="XP155" s="294">
        <f t="shared" si="111"/>
        <v>0</v>
      </c>
      <c r="XQ155" s="294">
        <f t="shared" si="111"/>
        <v>0</v>
      </c>
      <c r="XR155" s="294">
        <f t="shared" si="111"/>
        <v>0</v>
      </c>
      <c r="XS155" s="294">
        <f t="shared" si="111"/>
        <v>0</v>
      </c>
      <c r="XT155" s="294">
        <f t="shared" si="111"/>
        <v>0</v>
      </c>
      <c r="XU155" s="294">
        <f t="shared" ref="XU155:AAF155" si="112">SUMIF($A$60:$A$148,$A$121,XU$60:XU$148)</f>
        <v>0</v>
      </c>
      <c r="XV155" s="294">
        <f t="shared" si="112"/>
        <v>0</v>
      </c>
      <c r="XW155" s="294">
        <f t="shared" si="112"/>
        <v>0</v>
      </c>
      <c r="XX155" s="294">
        <f t="shared" si="112"/>
        <v>0</v>
      </c>
      <c r="XY155" s="294">
        <f t="shared" si="112"/>
        <v>0</v>
      </c>
      <c r="XZ155" s="294">
        <f t="shared" si="112"/>
        <v>0</v>
      </c>
      <c r="YA155" s="294">
        <f t="shared" si="112"/>
        <v>0</v>
      </c>
      <c r="YB155" s="294">
        <f t="shared" si="112"/>
        <v>0</v>
      </c>
      <c r="YC155" s="294">
        <f t="shared" si="112"/>
        <v>0</v>
      </c>
      <c r="YD155" s="294">
        <f t="shared" si="112"/>
        <v>0</v>
      </c>
      <c r="YE155" s="294">
        <f t="shared" si="112"/>
        <v>0</v>
      </c>
      <c r="YF155" s="294">
        <f t="shared" si="112"/>
        <v>0</v>
      </c>
      <c r="YG155" s="294">
        <f t="shared" si="112"/>
        <v>0</v>
      </c>
      <c r="YH155" s="294">
        <f t="shared" si="112"/>
        <v>0</v>
      </c>
      <c r="YI155" s="294">
        <f t="shared" si="112"/>
        <v>0</v>
      </c>
      <c r="YJ155" s="294">
        <f t="shared" si="112"/>
        <v>0</v>
      </c>
      <c r="YK155" s="294">
        <f t="shared" si="112"/>
        <v>0</v>
      </c>
      <c r="YL155" s="294">
        <f t="shared" si="112"/>
        <v>0</v>
      </c>
      <c r="YM155" s="294">
        <f t="shared" si="112"/>
        <v>0</v>
      </c>
      <c r="YN155" s="294">
        <f t="shared" si="112"/>
        <v>0</v>
      </c>
      <c r="YO155" s="294">
        <f t="shared" si="112"/>
        <v>0</v>
      </c>
      <c r="YP155" s="294">
        <f t="shared" si="112"/>
        <v>0</v>
      </c>
      <c r="YQ155" s="294">
        <f t="shared" si="112"/>
        <v>0</v>
      </c>
      <c r="YR155" s="294">
        <f t="shared" si="112"/>
        <v>0</v>
      </c>
      <c r="YS155" s="294">
        <f t="shared" si="112"/>
        <v>0</v>
      </c>
      <c r="YT155" s="294">
        <f t="shared" si="112"/>
        <v>0</v>
      </c>
      <c r="YU155" s="294">
        <f t="shared" si="112"/>
        <v>0</v>
      </c>
      <c r="YV155" s="294">
        <f t="shared" si="112"/>
        <v>-48522.15</v>
      </c>
      <c r="YW155" s="294">
        <f t="shared" si="112"/>
        <v>0</v>
      </c>
      <c r="YX155" s="294">
        <f t="shared" si="112"/>
        <v>-9347</v>
      </c>
      <c r="YY155" s="294">
        <f t="shared" si="112"/>
        <v>0</v>
      </c>
      <c r="YZ155" s="294">
        <f t="shared" si="112"/>
        <v>-53671.5</v>
      </c>
      <c r="ZA155" s="294">
        <f t="shared" si="112"/>
        <v>-5484</v>
      </c>
      <c r="ZB155" s="294">
        <f t="shared" si="112"/>
        <v>0</v>
      </c>
      <c r="ZC155" s="294">
        <f t="shared" si="112"/>
        <v>-30224</v>
      </c>
      <c r="ZD155" s="294">
        <f t="shared" si="112"/>
        <v>0</v>
      </c>
      <c r="ZE155" s="294">
        <f t="shared" si="112"/>
        <v>0</v>
      </c>
      <c r="ZF155" s="294">
        <f t="shared" si="112"/>
        <v>0</v>
      </c>
      <c r="ZG155" s="294">
        <f t="shared" si="112"/>
        <v>0</v>
      </c>
      <c r="ZH155" s="294">
        <f t="shared" si="112"/>
        <v>0</v>
      </c>
      <c r="ZI155" s="294">
        <f t="shared" si="112"/>
        <v>0</v>
      </c>
      <c r="ZJ155" s="294">
        <f t="shared" si="112"/>
        <v>0</v>
      </c>
      <c r="ZK155" s="294">
        <f t="shared" si="112"/>
        <v>0</v>
      </c>
      <c r="ZL155" s="294">
        <f t="shared" si="112"/>
        <v>-721372.03</v>
      </c>
      <c r="ZM155" s="294">
        <f t="shared" si="112"/>
        <v>-1828</v>
      </c>
      <c r="ZN155" s="294">
        <f t="shared" si="112"/>
        <v>-12796</v>
      </c>
      <c r="ZO155" s="294">
        <f t="shared" si="112"/>
        <v>0</v>
      </c>
      <c r="ZP155" s="294">
        <f t="shared" si="112"/>
        <v>0</v>
      </c>
      <c r="ZQ155" s="294">
        <f t="shared" si="112"/>
        <v>0</v>
      </c>
      <c r="ZR155" s="294">
        <f t="shared" si="112"/>
        <v>0</v>
      </c>
      <c r="ZS155" s="294">
        <f t="shared" si="112"/>
        <v>0</v>
      </c>
      <c r="ZT155" s="294">
        <f t="shared" si="112"/>
        <v>-21911</v>
      </c>
      <c r="ZU155" s="294">
        <f t="shared" si="112"/>
        <v>0</v>
      </c>
      <c r="ZV155" s="294">
        <f t="shared" si="112"/>
        <v>0</v>
      </c>
      <c r="ZW155" s="294">
        <f t="shared" si="112"/>
        <v>-7312</v>
      </c>
      <c r="ZX155" s="294">
        <f t="shared" si="112"/>
        <v>0</v>
      </c>
      <c r="ZY155" s="294">
        <f t="shared" si="112"/>
        <v>-5390.91</v>
      </c>
      <c r="ZZ155" s="294">
        <f t="shared" si="112"/>
        <v>0</v>
      </c>
      <c r="AAA155" s="294">
        <f t="shared" si="112"/>
        <v>0</v>
      </c>
      <c r="AAB155" s="294">
        <f t="shared" si="112"/>
        <v>0</v>
      </c>
      <c r="AAC155" s="294">
        <f t="shared" si="112"/>
        <v>0</v>
      </c>
      <c r="AAD155" s="294">
        <f t="shared" si="112"/>
        <v>-2558</v>
      </c>
      <c r="AAE155" s="294">
        <f t="shared" si="112"/>
        <v>0</v>
      </c>
      <c r="AAF155" s="294">
        <f t="shared" si="112"/>
        <v>-9140</v>
      </c>
      <c r="AAG155" s="294">
        <f t="shared" ref="AAG155:ACR155" si="113">SUMIF($A$60:$A$148,$A$121,AAG$60:AAG$148)</f>
        <v>0</v>
      </c>
      <c r="AAH155" s="294">
        <f t="shared" si="113"/>
        <v>0</v>
      </c>
      <c r="AAI155" s="294">
        <f t="shared" si="113"/>
        <v>0</v>
      </c>
      <c r="AAJ155" s="294">
        <f t="shared" si="113"/>
        <v>0</v>
      </c>
      <c r="AAK155" s="294">
        <f t="shared" si="113"/>
        <v>0</v>
      </c>
      <c r="AAL155" s="294">
        <f t="shared" si="113"/>
        <v>0</v>
      </c>
      <c r="AAM155" s="294">
        <f t="shared" si="113"/>
        <v>0</v>
      </c>
      <c r="AAN155" s="294">
        <f t="shared" si="113"/>
        <v>0</v>
      </c>
      <c r="AAO155" s="294">
        <f t="shared" si="113"/>
        <v>0</v>
      </c>
      <c r="AAP155" s="294">
        <f t="shared" si="113"/>
        <v>0</v>
      </c>
      <c r="AAQ155" s="294">
        <f t="shared" si="113"/>
        <v>0</v>
      </c>
      <c r="AAR155" s="294">
        <f t="shared" si="113"/>
        <v>0</v>
      </c>
      <c r="AAS155" s="294">
        <f t="shared" si="113"/>
        <v>0</v>
      </c>
      <c r="AAT155" s="294">
        <f t="shared" si="113"/>
        <v>0</v>
      </c>
      <c r="AAU155" s="294">
        <f t="shared" si="113"/>
        <v>0</v>
      </c>
      <c r="AAV155" s="294">
        <f t="shared" si="113"/>
        <v>0</v>
      </c>
      <c r="AAW155" s="294">
        <f t="shared" si="113"/>
        <v>0</v>
      </c>
      <c r="AAX155" s="294">
        <f t="shared" si="113"/>
        <v>0</v>
      </c>
      <c r="AAY155" s="294">
        <f t="shared" si="113"/>
        <v>0</v>
      </c>
      <c r="AAZ155" s="294">
        <f t="shared" si="113"/>
        <v>-100260</v>
      </c>
      <c r="ABA155" s="294">
        <f t="shared" si="113"/>
        <v>-5500</v>
      </c>
      <c r="ABB155" s="294">
        <f t="shared" si="113"/>
        <v>-7226</v>
      </c>
      <c r="ABC155" s="294">
        <f t="shared" si="113"/>
        <v>0</v>
      </c>
      <c r="ABD155" s="294">
        <f t="shared" si="113"/>
        <v>0</v>
      </c>
      <c r="ABE155" s="294">
        <f t="shared" si="113"/>
        <v>-9920</v>
      </c>
      <c r="ABF155" s="294">
        <f t="shared" si="113"/>
        <v>0</v>
      </c>
      <c r="ABG155" s="294">
        <f t="shared" si="113"/>
        <v>0</v>
      </c>
      <c r="ABH155" s="294">
        <f t="shared" si="113"/>
        <v>0</v>
      </c>
      <c r="ABI155" s="294">
        <f t="shared" si="113"/>
        <v>-7312</v>
      </c>
      <c r="ABJ155" s="294">
        <f t="shared" si="113"/>
        <v>0</v>
      </c>
      <c r="ABK155" s="294">
        <f t="shared" si="113"/>
        <v>0</v>
      </c>
      <c r="ABL155" s="294">
        <f t="shared" si="113"/>
        <v>0</v>
      </c>
      <c r="ABM155" s="294">
        <f t="shared" si="113"/>
        <v>-2000</v>
      </c>
      <c r="ABN155" s="294">
        <f t="shared" si="113"/>
        <v>0</v>
      </c>
      <c r="ABO155" s="294">
        <f t="shared" si="113"/>
        <v>0</v>
      </c>
      <c r="ABP155" s="294">
        <f t="shared" si="113"/>
        <v>-1211173.3400000001</v>
      </c>
      <c r="ABQ155" s="294">
        <f t="shared" si="113"/>
        <v>-462778.5</v>
      </c>
      <c r="ABR155" s="294">
        <f t="shared" si="113"/>
        <v>-1181524.4099999999</v>
      </c>
      <c r="ABS155" s="294">
        <f t="shared" si="113"/>
        <v>-869044.2</v>
      </c>
      <c r="ABT155" s="294">
        <f t="shared" si="113"/>
        <v>-122076</v>
      </c>
      <c r="ABU155" s="294">
        <f t="shared" si="113"/>
        <v>-503591.64</v>
      </c>
      <c r="ABV155" s="294">
        <f t="shared" si="113"/>
        <v>-487351.17</v>
      </c>
      <c r="ABW155" s="294">
        <f t="shared" si="113"/>
        <v>0</v>
      </c>
      <c r="ABX155" s="294">
        <f t="shared" si="113"/>
        <v>0</v>
      </c>
      <c r="ABY155" s="294">
        <f t="shared" si="113"/>
        <v>-4611953</v>
      </c>
      <c r="ABZ155" s="294">
        <f t="shared" si="113"/>
        <v>-4571644.9400000004</v>
      </c>
      <c r="ACA155" s="294">
        <f t="shared" si="113"/>
        <v>-1288625.3400000001</v>
      </c>
      <c r="ACB155" s="294">
        <f t="shared" si="113"/>
        <v>-5236126.32</v>
      </c>
      <c r="ACC155" s="294">
        <f t="shared" si="113"/>
        <v>-3578129.8</v>
      </c>
      <c r="ACD155" s="294">
        <f t="shared" si="113"/>
        <v>-1469525.26</v>
      </c>
      <c r="ACE155" s="294">
        <f t="shared" si="113"/>
        <v>-1240895.1299999999</v>
      </c>
      <c r="ACF155" s="294">
        <f t="shared" si="113"/>
        <v>-1015903.58</v>
      </c>
      <c r="ACG155" s="294">
        <f t="shared" si="113"/>
        <v>-2985825.93</v>
      </c>
      <c r="ACH155" s="294">
        <f t="shared" si="113"/>
        <v>-3145233.5</v>
      </c>
      <c r="ACI155" s="294">
        <f t="shared" si="113"/>
        <v>-584.70000000000005</v>
      </c>
      <c r="ACJ155" s="294">
        <f t="shared" si="113"/>
        <v>-445</v>
      </c>
      <c r="ACK155" s="294">
        <f t="shared" si="113"/>
        <v>-163757</v>
      </c>
      <c r="ACL155" s="294">
        <f t="shared" si="113"/>
        <v>-1204940.28</v>
      </c>
      <c r="ACM155" s="294">
        <f t="shared" si="113"/>
        <v>-150537.75</v>
      </c>
      <c r="ACN155" s="294">
        <f t="shared" si="113"/>
        <v>0</v>
      </c>
      <c r="ACO155" s="294">
        <f t="shared" si="113"/>
        <v>0</v>
      </c>
      <c r="ACP155" s="294">
        <f t="shared" si="113"/>
        <v>-4610911.25</v>
      </c>
      <c r="ACQ155" s="294">
        <f t="shared" si="113"/>
        <v>0</v>
      </c>
      <c r="ACR155" s="294">
        <f t="shared" si="113"/>
        <v>-342629</v>
      </c>
      <c r="ACS155" s="294">
        <f t="shared" ref="ACS155:AFD155" si="114">SUMIF($A$60:$A$148,$A$121,ACS$60:ACS$148)</f>
        <v>-2062934.28</v>
      </c>
      <c r="ACT155" s="294">
        <f t="shared" si="114"/>
        <v>-79514</v>
      </c>
      <c r="ACU155" s="294">
        <f t="shared" si="114"/>
        <v>0</v>
      </c>
      <c r="ACV155" s="294">
        <f t="shared" si="114"/>
        <v>-179291.15</v>
      </c>
      <c r="ACW155" s="294">
        <f t="shared" si="114"/>
        <v>-1347605.14</v>
      </c>
      <c r="ACX155" s="294">
        <f t="shared" si="114"/>
        <v>-175774</v>
      </c>
      <c r="ACY155" s="294">
        <f t="shared" si="114"/>
        <v>-731452.19</v>
      </c>
      <c r="ACZ155" s="294">
        <f t="shared" si="114"/>
        <v>-251970.23</v>
      </c>
      <c r="ADA155" s="294">
        <f t="shared" si="114"/>
        <v>-16574</v>
      </c>
      <c r="ADB155" s="294">
        <f t="shared" si="114"/>
        <v>0</v>
      </c>
      <c r="ADC155" s="294">
        <f t="shared" si="114"/>
        <v>0</v>
      </c>
      <c r="ADD155" s="294">
        <f t="shared" si="114"/>
        <v>0</v>
      </c>
      <c r="ADE155" s="294">
        <f t="shared" si="114"/>
        <v>0</v>
      </c>
      <c r="ADF155" s="294">
        <f t="shared" si="114"/>
        <v>0</v>
      </c>
      <c r="ADG155" s="294">
        <f t="shared" si="114"/>
        <v>-1010517.36</v>
      </c>
      <c r="ADH155" s="294">
        <f t="shared" si="114"/>
        <v>0</v>
      </c>
      <c r="ADI155" s="294">
        <f t="shared" si="114"/>
        <v>-446194</v>
      </c>
      <c r="ADJ155" s="294">
        <f t="shared" si="114"/>
        <v>0</v>
      </c>
      <c r="ADK155" s="294">
        <f t="shared" si="114"/>
        <v>-175000</v>
      </c>
      <c r="ADL155" s="294">
        <f t="shared" si="114"/>
        <v>-1165000</v>
      </c>
      <c r="ADM155" s="294">
        <f t="shared" si="114"/>
        <v>0</v>
      </c>
      <c r="ADN155" s="294">
        <f t="shared" si="114"/>
        <v>0</v>
      </c>
      <c r="ADO155" s="294">
        <f t="shared" si="114"/>
        <v>-18279638</v>
      </c>
      <c r="ADP155" s="294">
        <f t="shared" si="114"/>
        <v>-3133418.95</v>
      </c>
      <c r="ADQ155" s="294">
        <f t="shared" si="114"/>
        <v>-5630941</v>
      </c>
      <c r="ADR155" s="294">
        <f t="shared" si="114"/>
        <v>0</v>
      </c>
      <c r="ADS155" s="294">
        <f t="shared" si="114"/>
        <v>0</v>
      </c>
      <c r="ADT155" s="294">
        <f t="shared" si="114"/>
        <v>0</v>
      </c>
      <c r="ADU155" s="294">
        <f t="shared" si="114"/>
        <v>-762547.3</v>
      </c>
      <c r="ADV155" s="294">
        <f t="shared" si="114"/>
        <v>-7154492.5499999998</v>
      </c>
      <c r="ADW155" s="294">
        <f t="shared" si="114"/>
        <v>-43157.38</v>
      </c>
      <c r="ADX155" s="294">
        <f t="shared" si="114"/>
        <v>0</v>
      </c>
      <c r="ADY155" s="294">
        <f t="shared" si="114"/>
        <v>0</v>
      </c>
      <c r="ADZ155" s="294">
        <f t="shared" si="114"/>
        <v>0</v>
      </c>
      <c r="AEA155" s="294">
        <f t="shared" si="114"/>
        <v>-1624077.5</v>
      </c>
      <c r="AEB155" s="294">
        <f t="shared" si="114"/>
        <v>-1536089.05</v>
      </c>
      <c r="AEC155" s="294">
        <f t="shared" si="114"/>
        <v>-416298.56</v>
      </c>
      <c r="AED155" s="294">
        <f t="shared" si="114"/>
        <v>-965949.18</v>
      </c>
      <c r="AEE155" s="294">
        <f t="shared" si="114"/>
        <v>-495745.79</v>
      </c>
      <c r="AEF155" s="294">
        <f t="shared" si="114"/>
        <v>-1055588.03</v>
      </c>
      <c r="AEG155" s="294">
        <f t="shared" si="114"/>
        <v>-101755.72</v>
      </c>
      <c r="AEH155" s="294">
        <f t="shared" si="114"/>
        <v>-1275314.49</v>
      </c>
      <c r="AEI155" s="294">
        <f t="shared" si="114"/>
        <v>-2688</v>
      </c>
      <c r="AEJ155" s="294">
        <f t="shared" si="114"/>
        <v>8819.9</v>
      </c>
      <c r="AEK155" s="294">
        <f t="shared" si="114"/>
        <v>-453469.16</v>
      </c>
      <c r="AEL155" s="294">
        <f t="shared" si="114"/>
        <v>-393648.5</v>
      </c>
      <c r="AEM155" s="294">
        <f t="shared" si="114"/>
        <v>-1100879.4099999999</v>
      </c>
      <c r="AEN155" s="294">
        <f t="shared" si="114"/>
        <v>-1462622.72</v>
      </c>
      <c r="AEO155" s="294">
        <f t="shared" si="114"/>
        <v>-546057</v>
      </c>
      <c r="AEP155" s="294">
        <f t="shared" si="114"/>
        <v>-1185181.44</v>
      </c>
      <c r="AEQ155" s="294">
        <f t="shared" si="114"/>
        <v>-192945.53</v>
      </c>
      <c r="AER155" s="294">
        <f t="shared" si="114"/>
        <v>-633550.65</v>
      </c>
      <c r="AES155" s="294">
        <f t="shared" si="114"/>
        <v>-199422.96</v>
      </c>
      <c r="AET155" s="294">
        <f t="shared" si="114"/>
        <v>-2098361.86</v>
      </c>
      <c r="AEU155" s="294">
        <f t="shared" si="114"/>
        <v>-357241.2</v>
      </c>
      <c r="AEV155" s="294">
        <f t="shared" si="114"/>
        <v>-72588.570000000007</v>
      </c>
      <c r="AEW155" s="294">
        <f t="shared" si="114"/>
        <v>-400021.71</v>
      </c>
      <c r="AEX155" s="294">
        <f t="shared" si="114"/>
        <v>-135485.20000000001</v>
      </c>
      <c r="AEY155" s="294">
        <f t="shared" si="114"/>
        <v>-189983.4</v>
      </c>
      <c r="AEZ155" s="294">
        <f t="shared" si="114"/>
        <v>-16640.75</v>
      </c>
      <c r="AFA155" s="294">
        <f t="shared" si="114"/>
        <v>-324068.2</v>
      </c>
      <c r="AFB155" s="294">
        <f t="shared" si="114"/>
        <v>-214</v>
      </c>
      <c r="AFC155" s="294">
        <f t="shared" si="114"/>
        <v>-159713</v>
      </c>
      <c r="AFD155" s="294">
        <f t="shared" si="114"/>
        <v>-2342</v>
      </c>
      <c r="AFE155" s="294">
        <f t="shared" ref="AFE155:AHP155" si="115">SUMIF($A$60:$A$148,$A$121,AFE$60:AFE$148)</f>
        <v>-62724</v>
      </c>
      <c r="AFF155" s="294">
        <f t="shared" si="115"/>
        <v>-5356</v>
      </c>
      <c r="AFG155" s="294">
        <f t="shared" si="115"/>
        <v>0</v>
      </c>
      <c r="AFH155" s="294">
        <f t="shared" si="115"/>
        <v>-76776</v>
      </c>
      <c r="AFI155" s="294">
        <f t="shared" si="115"/>
        <v>0</v>
      </c>
      <c r="AFJ155" s="294">
        <f t="shared" si="115"/>
        <v>0</v>
      </c>
      <c r="AFK155" s="294">
        <f t="shared" si="115"/>
        <v>0</v>
      </c>
      <c r="AFL155" s="294">
        <f t="shared" si="115"/>
        <v>0</v>
      </c>
      <c r="AFM155" s="294">
        <f t="shared" si="115"/>
        <v>0</v>
      </c>
      <c r="AFN155" s="294">
        <f t="shared" si="115"/>
        <v>0</v>
      </c>
      <c r="AFO155" s="294">
        <f t="shared" si="115"/>
        <v>-4068</v>
      </c>
      <c r="AFP155" s="294">
        <f t="shared" si="115"/>
        <v>0</v>
      </c>
      <c r="AFQ155" s="294">
        <f t="shared" si="115"/>
        <v>-513</v>
      </c>
      <c r="AFR155" s="294">
        <f t="shared" si="115"/>
        <v>-23708</v>
      </c>
      <c r="AFS155" s="294">
        <f t="shared" si="115"/>
        <v>-53300</v>
      </c>
      <c r="AFT155" s="294">
        <f t="shared" si="115"/>
        <v>0</v>
      </c>
      <c r="AFU155" s="294">
        <f t="shared" si="115"/>
        <v>0</v>
      </c>
      <c r="AFV155" s="294">
        <f t="shared" si="115"/>
        <v>0</v>
      </c>
      <c r="AFW155" s="294">
        <f t="shared" si="115"/>
        <v>-291452</v>
      </c>
      <c r="AFX155" s="294">
        <f t="shared" si="115"/>
        <v>0</v>
      </c>
      <c r="AFY155" s="294">
        <f t="shared" si="115"/>
        <v>0</v>
      </c>
      <c r="AFZ155" s="294">
        <f t="shared" si="115"/>
        <v>-25592</v>
      </c>
      <c r="AGA155" s="294">
        <f t="shared" si="115"/>
        <v>0</v>
      </c>
      <c r="AGB155" s="294">
        <f t="shared" si="115"/>
        <v>0</v>
      </c>
      <c r="AGC155" s="294">
        <f t="shared" si="115"/>
        <v>0</v>
      </c>
      <c r="AGD155" s="294">
        <f t="shared" si="115"/>
        <v>0</v>
      </c>
      <c r="AGE155" s="294">
        <f t="shared" si="115"/>
        <v>0</v>
      </c>
      <c r="AGF155" s="294">
        <f t="shared" si="115"/>
        <v>0</v>
      </c>
      <c r="AGG155" s="294">
        <f t="shared" si="115"/>
        <v>0</v>
      </c>
      <c r="AGH155" s="294">
        <f t="shared" si="115"/>
        <v>0</v>
      </c>
      <c r="AGI155" s="294">
        <f t="shared" si="115"/>
        <v>0</v>
      </c>
      <c r="AGJ155" s="294">
        <f t="shared" si="115"/>
        <v>0</v>
      </c>
      <c r="AGK155" s="294">
        <f t="shared" si="115"/>
        <v>-2581.75</v>
      </c>
      <c r="AGL155" s="294">
        <f t="shared" si="115"/>
        <v>0</v>
      </c>
      <c r="AGM155" s="294">
        <f t="shared" si="115"/>
        <v>-1753754.66</v>
      </c>
      <c r="AGN155" s="294">
        <f t="shared" si="115"/>
        <v>-253776</v>
      </c>
      <c r="AGO155" s="294">
        <f t="shared" si="115"/>
        <v>0</v>
      </c>
      <c r="AGP155" s="294">
        <f t="shared" si="115"/>
        <v>0</v>
      </c>
      <c r="AGQ155" s="294">
        <f t="shared" si="115"/>
        <v>0</v>
      </c>
      <c r="AGR155" s="294">
        <f t="shared" si="115"/>
        <v>0</v>
      </c>
      <c r="AGS155" s="294">
        <f t="shared" si="115"/>
        <v>0</v>
      </c>
      <c r="AGT155" s="294">
        <f t="shared" si="115"/>
        <v>0</v>
      </c>
      <c r="AGU155" s="294">
        <f t="shared" si="115"/>
        <v>-3392452.87</v>
      </c>
      <c r="AGV155" s="294">
        <f t="shared" si="115"/>
        <v>0</v>
      </c>
      <c r="AGW155" s="294">
        <f t="shared" si="115"/>
        <v>-58894</v>
      </c>
      <c r="AGX155" s="294">
        <f t="shared" si="115"/>
        <v>-92274.03</v>
      </c>
      <c r="AGY155" s="294">
        <f t="shared" si="115"/>
        <v>-281739.06</v>
      </c>
      <c r="AGZ155" s="294">
        <f t="shared" si="115"/>
        <v>-303504</v>
      </c>
      <c r="AHA155" s="294">
        <f t="shared" si="115"/>
        <v>0</v>
      </c>
      <c r="AHB155" s="294">
        <f t="shared" si="115"/>
        <v>-191464.1</v>
      </c>
      <c r="AHC155" s="294">
        <f t="shared" si="115"/>
        <v>-9140</v>
      </c>
      <c r="AHD155" s="294">
        <f t="shared" si="115"/>
        <v>0.5</v>
      </c>
      <c r="AHE155" s="294">
        <f t="shared" si="115"/>
        <v>-4340323.8899999997</v>
      </c>
      <c r="AHF155" s="294">
        <f t="shared" si="115"/>
        <v>-180948.85</v>
      </c>
      <c r="AHG155" s="294">
        <f t="shared" si="115"/>
        <v>-2390.4299999999998</v>
      </c>
      <c r="AHH155" s="294">
        <f t="shared" si="115"/>
        <v>-1254492.7</v>
      </c>
      <c r="AHI155" s="294">
        <f t="shared" si="115"/>
        <v>-354826.95</v>
      </c>
      <c r="AHJ155" s="294">
        <f t="shared" si="115"/>
        <v>-1522077.27</v>
      </c>
      <c r="AHK155" s="294">
        <f t="shared" si="115"/>
        <v>-326632.99</v>
      </c>
      <c r="AHL155" s="294">
        <f t="shared" si="115"/>
        <v>0</v>
      </c>
      <c r="AHM155" s="294">
        <f t="shared" si="115"/>
        <v>-25772</v>
      </c>
      <c r="AHN155" s="294">
        <f t="shared" si="115"/>
        <v>-11980.86</v>
      </c>
      <c r="AHO155" s="294">
        <f t="shared" si="115"/>
        <v>0</v>
      </c>
      <c r="AHP155" s="294">
        <f t="shared" si="115"/>
        <v>-1671628.83</v>
      </c>
      <c r="AHQ155" s="294">
        <f t="shared" ref="AHQ155:AHR155" si="116">SUMIF($A$60:$A$148,$A$121,AHQ$60:AHQ$148)</f>
        <v>-68798.05</v>
      </c>
      <c r="AHR155" s="294">
        <f t="shared" si="116"/>
        <v>-55341</v>
      </c>
    </row>
    <row r="156" spans="1:907" ht="23.4" customHeight="1" x14ac:dyDescent="0.75">
      <c r="B156" s="268" t="s">
        <v>6284</v>
      </c>
      <c r="C156" s="420" t="s">
        <v>6276</v>
      </c>
      <c r="D156" s="294">
        <f>SUMIF($A$60:$A$148,$A$137,D$60:D$148)</f>
        <v>-12651971.890000001</v>
      </c>
      <c r="E156" s="294">
        <f t="shared" ref="E156:BP156" si="117">SUMIF($A$60:$A$148,$A$137,E$60:E$148)</f>
        <v>0</v>
      </c>
      <c r="F156" s="294">
        <f t="shared" si="117"/>
        <v>0</v>
      </c>
      <c r="G156" s="294">
        <f t="shared" si="117"/>
        <v>0</v>
      </c>
      <c r="H156" s="294">
        <f t="shared" si="117"/>
        <v>0</v>
      </c>
      <c r="I156" s="294">
        <f t="shared" si="117"/>
        <v>0</v>
      </c>
      <c r="J156" s="294">
        <f t="shared" si="117"/>
        <v>0</v>
      </c>
      <c r="K156" s="294">
        <f t="shared" si="117"/>
        <v>0</v>
      </c>
      <c r="L156" s="294">
        <f t="shared" si="117"/>
        <v>0</v>
      </c>
      <c r="M156" s="294">
        <f t="shared" si="117"/>
        <v>0</v>
      </c>
      <c r="N156" s="294">
        <f t="shared" si="117"/>
        <v>0</v>
      </c>
      <c r="O156" s="294">
        <f t="shared" si="117"/>
        <v>0</v>
      </c>
      <c r="P156" s="294">
        <f t="shared" si="117"/>
        <v>0</v>
      </c>
      <c r="Q156" s="294">
        <f t="shared" si="117"/>
        <v>0</v>
      </c>
      <c r="R156" s="294">
        <f t="shared" si="117"/>
        <v>0</v>
      </c>
      <c r="S156" s="294">
        <f t="shared" si="117"/>
        <v>0</v>
      </c>
      <c r="T156" s="294">
        <f t="shared" si="117"/>
        <v>0</v>
      </c>
      <c r="U156" s="294">
        <f t="shared" si="117"/>
        <v>0</v>
      </c>
      <c r="V156" s="294">
        <f t="shared" si="117"/>
        <v>-39645374.039999999</v>
      </c>
      <c r="W156" s="294">
        <f t="shared" si="117"/>
        <v>0</v>
      </c>
      <c r="X156" s="294">
        <f t="shared" si="117"/>
        <v>0</v>
      </c>
      <c r="Y156" s="294">
        <f t="shared" si="117"/>
        <v>0</v>
      </c>
      <c r="Z156" s="294">
        <f t="shared" si="117"/>
        <v>0</v>
      </c>
      <c r="AA156" s="294">
        <f t="shared" si="117"/>
        <v>0</v>
      </c>
      <c r="AB156" s="294">
        <f t="shared" si="117"/>
        <v>0</v>
      </c>
      <c r="AC156" s="294">
        <f t="shared" si="117"/>
        <v>0</v>
      </c>
      <c r="AD156" s="294">
        <f t="shared" si="117"/>
        <v>0</v>
      </c>
      <c r="AE156" s="294">
        <f t="shared" si="117"/>
        <v>0</v>
      </c>
      <c r="AF156" s="294">
        <f t="shared" si="117"/>
        <v>-13211336.25</v>
      </c>
      <c r="AG156" s="294">
        <f t="shared" si="117"/>
        <v>0</v>
      </c>
      <c r="AH156" s="294">
        <f t="shared" si="117"/>
        <v>0</v>
      </c>
      <c r="AI156" s="294">
        <f t="shared" si="117"/>
        <v>0</v>
      </c>
      <c r="AJ156" s="294">
        <f t="shared" si="117"/>
        <v>0</v>
      </c>
      <c r="AK156" s="294">
        <f t="shared" si="117"/>
        <v>0</v>
      </c>
      <c r="AL156" s="294">
        <f t="shared" si="117"/>
        <v>0</v>
      </c>
      <c r="AM156" s="294">
        <f t="shared" si="117"/>
        <v>0</v>
      </c>
      <c r="AN156" s="294">
        <f t="shared" si="117"/>
        <v>0</v>
      </c>
      <c r="AO156" s="294">
        <f t="shared" si="117"/>
        <v>0</v>
      </c>
      <c r="AP156" s="294">
        <f t="shared" si="117"/>
        <v>0</v>
      </c>
      <c r="AQ156" s="294">
        <f t="shared" si="117"/>
        <v>0</v>
      </c>
      <c r="AR156" s="294">
        <f t="shared" si="117"/>
        <v>0</v>
      </c>
      <c r="AS156" s="294">
        <f t="shared" si="117"/>
        <v>0</v>
      </c>
      <c r="AT156" s="294">
        <f t="shared" si="117"/>
        <v>-6836507.8099999996</v>
      </c>
      <c r="AU156" s="294">
        <f t="shared" si="117"/>
        <v>0</v>
      </c>
      <c r="AV156" s="294">
        <f t="shared" si="117"/>
        <v>0</v>
      </c>
      <c r="AW156" s="294">
        <f t="shared" si="117"/>
        <v>0</v>
      </c>
      <c r="AX156" s="294">
        <f t="shared" si="117"/>
        <v>0</v>
      </c>
      <c r="AY156" s="294">
        <f t="shared" si="117"/>
        <v>0</v>
      </c>
      <c r="AZ156" s="294">
        <f t="shared" si="117"/>
        <v>0</v>
      </c>
      <c r="BA156" s="294">
        <f t="shared" si="117"/>
        <v>0</v>
      </c>
      <c r="BB156" s="294">
        <f t="shared" si="117"/>
        <v>0</v>
      </c>
      <c r="BC156" s="294">
        <f t="shared" si="117"/>
        <v>0</v>
      </c>
      <c r="BD156" s="294">
        <f t="shared" si="117"/>
        <v>0</v>
      </c>
      <c r="BE156" s="294">
        <f t="shared" si="117"/>
        <v>0</v>
      </c>
      <c r="BF156" s="294">
        <f t="shared" si="117"/>
        <v>0</v>
      </c>
      <c r="BG156" s="294">
        <f t="shared" si="117"/>
        <v>0</v>
      </c>
      <c r="BH156" s="294">
        <f t="shared" si="117"/>
        <v>0</v>
      </c>
      <c r="BI156" s="294">
        <f t="shared" si="117"/>
        <v>-5508074.9000000004</v>
      </c>
      <c r="BJ156" s="294">
        <f t="shared" si="117"/>
        <v>-7890679.1600000001</v>
      </c>
      <c r="BK156" s="294">
        <f t="shared" si="117"/>
        <v>0</v>
      </c>
      <c r="BL156" s="294">
        <f t="shared" si="117"/>
        <v>0</v>
      </c>
      <c r="BM156" s="294">
        <f t="shared" si="117"/>
        <v>0</v>
      </c>
      <c r="BN156" s="294">
        <f t="shared" si="117"/>
        <v>0</v>
      </c>
      <c r="BO156" s="294">
        <f t="shared" si="117"/>
        <v>0</v>
      </c>
      <c r="BP156" s="294">
        <f t="shared" si="117"/>
        <v>0</v>
      </c>
      <c r="BQ156" s="294">
        <f t="shared" ref="BQ156:EB156" si="118">SUMIF($A$60:$A$148,$A$137,BQ$60:BQ$148)</f>
        <v>0</v>
      </c>
      <c r="BR156" s="294">
        <f t="shared" si="118"/>
        <v>-8323585.4000000004</v>
      </c>
      <c r="BS156" s="294">
        <f t="shared" si="118"/>
        <v>0</v>
      </c>
      <c r="BT156" s="294">
        <f t="shared" si="118"/>
        <v>0</v>
      </c>
      <c r="BU156" s="294">
        <f t="shared" si="118"/>
        <v>0</v>
      </c>
      <c r="BV156" s="294">
        <f t="shared" si="118"/>
        <v>0</v>
      </c>
      <c r="BW156" s="294">
        <f t="shared" si="118"/>
        <v>0</v>
      </c>
      <c r="BX156" s="294">
        <f t="shared" si="118"/>
        <v>0</v>
      </c>
      <c r="BY156" s="294">
        <f t="shared" si="118"/>
        <v>0</v>
      </c>
      <c r="BZ156" s="294">
        <f t="shared" si="118"/>
        <v>-10334268.75</v>
      </c>
      <c r="CA156" s="294">
        <f t="shared" si="118"/>
        <v>0</v>
      </c>
      <c r="CB156" s="294">
        <f t="shared" si="118"/>
        <v>0</v>
      </c>
      <c r="CC156" s="294">
        <f t="shared" si="118"/>
        <v>0</v>
      </c>
      <c r="CD156" s="294">
        <f t="shared" si="118"/>
        <v>0</v>
      </c>
      <c r="CE156" s="294">
        <f t="shared" si="118"/>
        <v>0</v>
      </c>
      <c r="CF156" s="294">
        <f t="shared" si="118"/>
        <v>0</v>
      </c>
      <c r="CG156" s="294">
        <f t="shared" si="118"/>
        <v>-16482605.359999999</v>
      </c>
      <c r="CH156" s="294">
        <f t="shared" si="118"/>
        <v>0</v>
      </c>
      <c r="CI156" s="294">
        <f t="shared" si="118"/>
        <v>0</v>
      </c>
      <c r="CJ156" s="294">
        <f t="shared" si="118"/>
        <v>0</v>
      </c>
      <c r="CK156" s="294">
        <f t="shared" si="118"/>
        <v>0</v>
      </c>
      <c r="CL156" s="294">
        <f t="shared" si="118"/>
        <v>0</v>
      </c>
      <c r="CM156" s="294">
        <f t="shared" si="118"/>
        <v>0</v>
      </c>
      <c r="CN156" s="294">
        <f t="shared" si="118"/>
        <v>0</v>
      </c>
      <c r="CO156" s="294">
        <f t="shared" si="118"/>
        <v>0</v>
      </c>
      <c r="CP156" s="294">
        <f t="shared" si="118"/>
        <v>0</v>
      </c>
      <c r="CQ156" s="294">
        <f t="shared" si="118"/>
        <v>0</v>
      </c>
      <c r="CR156" s="294">
        <f t="shared" si="118"/>
        <v>0</v>
      </c>
      <c r="CS156" s="294">
        <f t="shared" si="118"/>
        <v>0</v>
      </c>
      <c r="CT156" s="294">
        <f t="shared" si="118"/>
        <v>-29949929.850000001</v>
      </c>
      <c r="CU156" s="294">
        <f t="shared" si="118"/>
        <v>0</v>
      </c>
      <c r="CV156" s="294">
        <f t="shared" si="118"/>
        <v>0</v>
      </c>
      <c r="CW156" s="294">
        <f t="shared" si="118"/>
        <v>0</v>
      </c>
      <c r="CX156" s="294">
        <f t="shared" si="118"/>
        <v>0</v>
      </c>
      <c r="CY156" s="294">
        <f t="shared" si="118"/>
        <v>0</v>
      </c>
      <c r="CZ156" s="294">
        <f t="shared" si="118"/>
        <v>0</v>
      </c>
      <c r="DA156" s="294">
        <f t="shared" si="118"/>
        <v>0</v>
      </c>
      <c r="DB156" s="294">
        <f t="shared" si="118"/>
        <v>-14250833.16</v>
      </c>
      <c r="DC156" s="294">
        <f t="shared" si="118"/>
        <v>-16369655.869999999</v>
      </c>
      <c r="DD156" s="294">
        <f t="shared" si="118"/>
        <v>0</v>
      </c>
      <c r="DE156" s="294">
        <f t="shared" si="118"/>
        <v>0</v>
      </c>
      <c r="DF156" s="294">
        <f t="shared" si="118"/>
        <v>0</v>
      </c>
      <c r="DG156" s="294">
        <f t="shared" si="118"/>
        <v>0</v>
      </c>
      <c r="DH156" s="294">
        <f t="shared" si="118"/>
        <v>0</v>
      </c>
      <c r="DI156" s="294">
        <f t="shared" si="118"/>
        <v>0</v>
      </c>
      <c r="DJ156" s="294">
        <f t="shared" si="118"/>
        <v>0</v>
      </c>
      <c r="DK156" s="294">
        <f t="shared" si="118"/>
        <v>-36564103.149999999</v>
      </c>
      <c r="DL156" s="294">
        <f t="shared" si="118"/>
        <v>0</v>
      </c>
      <c r="DM156" s="294">
        <f t="shared" si="118"/>
        <v>0</v>
      </c>
      <c r="DN156" s="294">
        <f t="shared" si="118"/>
        <v>0</v>
      </c>
      <c r="DO156" s="294">
        <f t="shared" si="118"/>
        <v>0</v>
      </c>
      <c r="DP156" s="294">
        <f t="shared" si="118"/>
        <v>0</v>
      </c>
      <c r="DQ156" s="294">
        <f t="shared" si="118"/>
        <v>0</v>
      </c>
      <c r="DR156" s="294">
        <f t="shared" si="118"/>
        <v>0</v>
      </c>
      <c r="DS156" s="294">
        <f t="shared" si="118"/>
        <v>0</v>
      </c>
      <c r="DT156" s="294">
        <f t="shared" si="118"/>
        <v>-22413353.140000001</v>
      </c>
      <c r="DU156" s="294">
        <f t="shared" si="118"/>
        <v>0</v>
      </c>
      <c r="DV156" s="294">
        <f t="shared" si="118"/>
        <v>0</v>
      </c>
      <c r="DW156" s="294">
        <f t="shared" si="118"/>
        <v>0</v>
      </c>
      <c r="DX156" s="294">
        <f t="shared" si="118"/>
        <v>0</v>
      </c>
      <c r="DY156" s="294">
        <f t="shared" si="118"/>
        <v>0</v>
      </c>
      <c r="DZ156" s="294">
        <f t="shared" si="118"/>
        <v>0</v>
      </c>
      <c r="EA156" s="294">
        <f t="shared" si="118"/>
        <v>0</v>
      </c>
      <c r="EB156" s="294">
        <f t="shared" si="118"/>
        <v>0</v>
      </c>
      <c r="EC156" s="294">
        <f t="shared" ref="EC156:GN156" si="119">SUMIF($A$60:$A$148,$A$137,EC$60:EC$148)</f>
        <v>0</v>
      </c>
      <c r="ED156" s="294">
        <f t="shared" si="119"/>
        <v>0</v>
      </c>
      <c r="EE156" s="294">
        <f t="shared" si="119"/>
        <v>-4353854.05</v>
      </c>
      <c r="EF156" s="294">
        <f t="shared" si="119"/>
        <v>-5022231.53</v>
      </c>
      <c r="EG156" s="294">
        <f t="shared" si="119"/>
        <v>0</v>
      </c>
      <c r="EH156" s="294">
        <f t="shared" si="119"/>
        <v>0</v>
      </c>
      <c r="EI156" s="294">
        <f t="shared" si="119"/>
        <v>0</v>
      </c>
      <c r="EJ156" s="294">
        <f t="shared" si="119"/>
        <v>0</v>
      </c>
      <c r="EK156" s="294">
        <f t="shared" si="119"/>
        <v>0</v>
      </c>
      <c r="EL156" s="294">
        <f t="shared" si="119"/>
        <v>0</v>
      </c>
      <c r="EM156" s="294">
        <f t="shared" si="119"/>
        <v>0</v>
      </c>
      <c r="EN156" s="294">
        <f t="shared" si="119"/>
        <v>-23327585.449999999</v>
      </c>
      <c r="EO156" s="294">
        <f t="shared" si="119"/>
        <v>0</v>
      </c>
      <c r="EP156" s="294">
        <f t="shared" si="119"/>
        <v>0</v>
      </c>
      <c r="EQ156" s="294">
        <f t="shared" si="119"/>
        <v>0</v>
      </c>
      <c r="ER156" s="294">
        <f t="shared" si="119"/>
        <v>0</v>
      </c>
      <c r="ES156" s="294">
        <f t="shared" si="119"/>
        <v>0</v>
      </c>
      <c r="ET156" s="294">
        <f t="shared" si="119"/>
        <v>0</v>
      </c>
      <c r="EU156" s="294">
        <f t="shared" si="119"/>
        <v>0</v>
      </c>
      <c r="EV156" s="294">
        <f t="shared" si="119"/>
        <v>0</v>
      </c>
      <c r="EW156" s="294">
        <f t="shared" si="119"/>
        <v>0</v>
      </c>
      <c r="EX156" s="294">
        <f t="shared" si="119"/>
        <v>0</v>
      </c>
      <c r="EY156" s="294">
        <f t="shared" si="119"/>
        <v>0</v>
      </c>
      <c r="EZ156" s="294">
        <f t="shared" si="119"/>
        <v>0</v>
      </c>
      <c r="FA156" s="294">
        <f t="shared" si="119"/>
        <v>0</v>
      </c>
      <c r="FB156" s="294">
        <f t="shared" si="119"/>
        <v>0</v>
      </c>
      <c r="FC156" s="294">
        <f t="shared" si="119"/>
        <v>0</v>
      </c>
      <c r="FD156" s="294">
        <f t="shared" si="119"/>
        <v>0</v>
      </c>
      <c r="FE156" s="294">
        <f t="shared" si="119"/>
        <v>0</v>
      </c>
      <c r="FF156" s="294">
        <f t="shared" si="119"/>
        <v>0</v>
      </c>
      <c r="FG156" s="294">
        <f t="shared" si="119"/>
        <v>0</v>
      </c>
      <c r="FH156" s="294">
        <f t="shared" si="119"/>
        <v>0</v>
      </c>
      <c r="FI156" s="294">
        <f t="shared" si="119"/>
        <v>-7256721.1299999999</v>
      </c>
      <c r="FJ156" s="294">
        <f t="shared" si="119"/>
        <v>0</v>
      </c>
      <c r="FK156" s="294">
        <f t="shared" si="119"/>
        <v>0</v>
      </c>
      <c r="FL156" s="294">
        <f t="shared" si="119"/>
        <v>0</v>
      </c>
      <c r="FM156" s="294">
        <f t="shared" si="119"/>
        <v>0</v>
      </c>
      <c r="FN156" s="294">
        <f t="shared" si="119"/>
        <v>0</v>
      </c>
      <c r="FO156" s="294">
        <f t="shared" si="119"/>
        <v>0</v>
      </c>
      <c r="FP156" s="294">
        <f t="shared" si="119"/>
        <v>0</v>
      </c>
      <c r="FQ156" s="294">
        <f t="shared" si="119"/>
        <v>-51671899.140000001</v>
      </c>
      <c r="FR156" s="294">
        <f t="shared" si="119"/>
        <v>0</v>
      </c>
      <c r="FS156" s="294">
        <f t="shared" si="119"/>
        <v>0</v>
      </c>
      <c r="FT156" s="294">
        <f t="shared" si="119"/>
        <v>0</v>
      </c>
      <c r="FU156" s="294">
        <f t="shared" si="119"/>
        <v>0</v>
      </c>
      <c r="FV156" s="294">
        <f t="shared" si="119"/>
        <v>0</v>
      </c>
      <c r="FW156" s="294">
        <f t="shared" si="119"/>
        <v>0</v>
      </c>
      <c r="FX156" s="294">
        <f t="shared" si="119"/>
        <v>0</v>
      </c>
      <c r="FY156" s="294">
        <f t="shared" si="119"/>
        <v>0</v>
      </c>
      <c r="FZ156" s="294">
        <f t="shared" si="119"/>
        <v>0</v>
      </c>
      <c r="GA156" s="294">
        <f t="shared" si="119"/>
        <v>0</v>
      </c>
      <c r="GB156" s="294">
        <f t="shared" si="119"/>
        <v>0</v>
      </c>
      <c r="GC156" s="294">
        <f t="shared" si="119"/>
        <v>0</v>
      </c>
      <c r="GD156" s="294">
        <f t="shared" si="119"/>
        <v>0</v>
      </c>
      <c r="GE156" s="294">
        <f t="shared" si="119"/>
        <v>-2566214.83</v>
      </c>
      <c r="GF156" s="294">
        <f t="shared" si="119"/>
        <v>0</v>
      </c>
      <c r="GG156" s="294">
        <f t="shared" si="119"/>
        <v>0</v>
      </c>
      <c r="GH156" s="294">
        <f t="shared" si="119"/>
        <v>0</v>
      </c>
      <c r="GI156" s="294">
        <f t="shared" si="119"/>
        <v>0</v>
      </c>
      <c r="GJ156" s="294">
        <f t="shared" si="119"/>
        <v>0</v>
      </c>
      <c r="GK156" s="294">
        <f t="shared" si="119"/>
        <v>0</v>
      </c>
      <c r="GL156" s="294">
        <f t="shared" si="119"/>
        <v>0</v>
      </c>
      <c r="GM156" s="294">
        <f t="shared" si="119"/>
        <v>0</v>
      </c>
      <c r="GN156" s="294">
        <f t="shared" si="119"/>
        <v>0</v>
      </c>
      <c r="GO156" s="294">
        <f t="shared" ref="GO156:IZ156" si="120">SUMIF($A$60:$A$148,$A$137,GO$60:GO$148)</f>
        <v>0</v>
      </c>
      <c r="GP156" s="294">
        <f t="shared" si="120"/>
        <v>0</v>
      </c>
      <c r="GQ156" s="294">
        <f t="shared" si="120"/>
        <v>-19147864.27</v>
      </c>
      <c r="GR156" s="294">
        <f t="shared" si="120"/>
        <v>0</v>
      </c>
      <c r="GS156" s="294">
        <f t="shared" si="120"/>
        <v>0</v>
      </c>
      <c r="GT156" s="294">
        <f t="shared" si="120"/>
        <v>0</v>
      </c>
      <c r="GU156" s="294">
        <f t="shared" si="120"/>
        <v>0</v>
      </c>
      <c r="GV156" s="294">
        <f t="shared" si="120"/>
        <v>0</v>
      </c>
      <c r="GW156" s="294">
        <f t="shared" si="120"/>
        <v>0</v>
      </c>
      <c r="GX156" s="294">
        <f t="shared" si="120"/>
        <v>0</v>
      </c>
      <c r="GY156" s="294">
        <f t="shared" si="120"/>
        <v>-7307919.9900000002</v>
      </c>
      <c r="GZ156" s="294">
        <f t="shared" si="120"/>
        <v>0</v>
      </c>
      <c r="HA156" s="294">
        <f t="shared" si="120"/>
        <v>0</v>
      </c>
      <c r="HB156" s="294">
        <f t="shared" si="120"/>
        <v>0</v>
      </c>
      <c r="HC156" s="294">
        <f t="shared" si="120"/>
        <v>-44983691.200000003</v>
      </c>
      <c r="HD156" s="294">
        <f t="shared" si="120"/>
        <v>0</v>
      </c>
      <c r="HE156" s="294">
        <f t="shared" si="120"/>
        <v>0</v>
      </c>
      <c r="HF156" s="294">
        <f t="shared" si="120"/>
        <v>0</v>
      </c>
      <c r="HG156" s="294">
        <f t="shared" si="120"/>
        <v>0</v>
      </c>
      <c r="HH156" s="294">
        <f t="shared" si="120"/>
        <v>0</v>
      </c>
      <c r="HI156" s="294">
        <f t="shared" si="120"/>
        <v>0</v>
      </c>
      <c r="HJ156" s="294">
        <f t="shared" si="120"/>
        <v>-49725029.270000003</v>
      </c>
      <c r="HK156" s="294">
        <f t="shared" si="120"/>
        <v>0</v>
      </c>
      <c r="HL156" s="294">
        <f t="shared" si="120"/>
        <v>0</v>
      </c>
      <c r="HM156" s="294">
        <f t="shared" si="120"/>
        <v>0</v>
      </c>
      <c r="HN156" s="294">
        <f t="shared" si="120"/>
        <v>0</v>
      </c>
      <c r="HO156" s="294">
        <f t="shared" si="120"/>
        <v>0</v>
      </c>
      <c r="HP156" s="294">
        <f t="shared" si="120"/>
        <v>0</v>
      </c>
      <c r="HQ156" s="294">
        <f t="shared" si="120"/>
        <v>0</v>
      </c>
      <c r="HR156" s="294">
        <f t="shared" si="120"/>
        <v>-45266234.700000003</v>
      </c>
      <c r="HS156" s="294">
        <f t="shared" si="120"/>
        <v>-7124768.0800000001</v>
      </c>
      <c r="HT156" s="294">
        <f t="shared" si="120"/>
        <v>0</v>
      </c>
      <c r="HU156" s="294">
        <f t="shared" si="120"/>
        <v>0</v>
      </c>
      <c r="HV156" s="294">
        <f t="shared" si="120"/>
        <v>0</v>
      </c>
      <c r="HW156" s="294">
        <f t="shared" si="120"/>
        <v>0</v>
      </c>
      <c r="HX156" s="294">
        <f t="shared" si="120"/>
        <v>0</v>
      </c>
      <c r="HY156" s="294">
        <f t="shared" si="120"/>
        <v>0</v>
      </c>
      <c r="HZ156" s="294">
        <f t="shared" si="120"/>
        <v>0</v>
      </c>
      <c r="IA156" s="294">
        <f t="shared" si="120"/>
        <v>0</v>
      </c>
      <c r="IB156" s="294">
        <f t="shared" si="120"/>
        <v>0</v>
      </c>
      <c r="IC156" s="294">
        <f t="shared" si="120"/>
        <v>0</v>
      </c>
      <c r="ID156" s="294">
        <f t="shared" si="120"/>
        <v>0</v>
      </c>
      <c r="IE156" s="294">
        <f t="shared" si="120"/>
        <v>0</v>
      </c>
      <c r="IF156" s="294">
        <f t="shared" si="120"/>
        <v>0</v>
      </c>
      <c r="IG156" s="294">
        <f t="shared" si="120"/>
        <v>0</v>
      </c>
      <c r="IH156" s="294">
        <f t="shared" si="120"/>
        <v>-45610069.229999997</v>
      </c>
      <c r="II156" s="294">
        <f t="shared" si="120"/>
        <v>-21459280.73</v>
      </c>
      <c r="IJ156" s="294">
        <f t="shared" si="120"/>
        <v>0</v>
      </c>
      <c r="IK156" s="294">
        <f t="shared" si="120"/>
        <v>0</v>
      </c>
      <c r="IL156" s="294">
        <f t="shared" si="120"/>
        <v>0</v>
      </c>
      <c r="IM156" s="294">
        <f t="shared" si="120"/>
        <v>0</v>
      </c>
      <c r="IN156" s="294">
        <f t="shared" si="120"/>
        <v>0</v>
      </c>
      <c r="IO156" s="294">
        <f t="shared" si="120"/>
        <v>0</v>
      </c>
      <c r="IP156" s="294">
        <f t="shared" si="120"/>
        <v>0</v>
      </c>
      <c r="IQ156" s="294">
        <f t="shared" si="120"/>
        <v>0</v>
      </c>
      <c r="IR156" s="294">
        <f t="shared" si="120"/>
        <v>0</v>
      </c>
      <c r="IS156" s="294">
        <f t="shared" si="120"/>
        <v>-34807237.539999999</v>
      </c>
      <c r="IT156" s="294">
        <f t="shared" si="120"/>
        <v>-123006967.54000001</v>
      </c>
      <c r="IU156" s="294">
        <f t="shared" si="120"/>
        <v>0</v>
      </c>
      <c r="IV156" s="294">
        <f t="shared" si="120"/>
        <v>0</v>
      </c>
      <c r="IW156" s="294">
        <f t="shared" si="120"/>
        <v>0</v>
      </c>
      <c r="IX156" s="294">
        <f t="shared" si="120"/>
        <v>0</v>
      </c>
      <c r="IY156" s="294">
        <f t="shared" si="120"/>
        <v>0</v>
      </c>
      <c r="IZ156" s="294">
        <f t="shared" si="120"/>
        <v>0</v>
      </c>
      <c r="JA156" s="294">
        <f t="shared" ref="JA156:LL156" si="121">SUMIF($A$60:$A$148,$A$137,JA$60:JA$148)</f>
        <v>0</v>
      </c>
      <c r="JB156" s="294">
        <f t="shared" si="121"/>
        <v>0</v>
      </c>
      <c r="JC156" s="294">
        <f t="shared" si="121"/>
        <v>0</v>
      </c>
      <c r="JD156" s="294">
        <f t="shared" si="121"/>
        <v>0</v>
      </c>
      <c r="JE156" s="294">
        <f t="shared" si="121"/>
        <v>-11230804.48</v>
      </c>
      <c r="JF156" s="294">
        <f t="shared" si="121"/>
        <v>-373724.26</v>
      </c>
      <c r="JG156" s="294">
        <f t="shared" si="121"/>
        <v>0</v>
      </c>
      <c r="JH156" s="294">
        <f t="shared" si="121"/>
        <v>0</v>
      </c>
      <c r="JI156" s="294">
        <f t="shared" si="121"/>
        <v>0</v>
      </c>
      <c r="JJ156" s="294">
        <f t="shared" si="121"/>
        <v>0</v>
      </c>
      <c r="JK156" s="294">
        <f t="shared" si="121"/>
        <v>-27727278.739999998</v>
      </c>
      <c r="JL156" s="294">
        <f t="shared" si="121"/>
        <v>0</v>
      </c>
      <c r="JM156" s="294">
        <f t="shared" si="121"/>
        <v>0</v>
      </c>
      <c r="JN156" s="294">
        <f t="shared" si="121"/>
        <v>0</v>
      </c>
      <c r="JO156" s="294">
        <f t="shared" si="121"/>
        <v>0</v>
      </c>
      <c r="JP156" s="294">
        <f t="shared" si="121"/>
        <v>0</v>
      </c>
      <c r="JQ156" s="294">
        <f t="shared" si="121"/>
        <v>0</v>
      </c>
      <c r="JR156" s="294">
        <f t="shared" si="121"/>
        <v>-51244153.960000001</v>
      </c>
      <c r="JS156" s="294">
        <f t="shared" si="121"/>
        <v>-43144470.57</v>
      </c>
      <c r="JT156" s="294">
        <f t="shared" si="121"/>
        <v>0</v>
      </c>
      <c r="JU156" s="294">
        <f t="shared" si="121"/>
        <v>0</v>
      </c>
      <c r="JV156" s="294">
        <f t="shared" si="121"/>
        <v>0</v>
      </c>
      <c r="JW156" s="294">
        <f t="shared" si="121"/>
        <v>0</v>
      </c>
      <c r="JX156" s="294">
        <f t="shared" si="121"/>
        <v>0</v>
      </c>
      <c r="JY156" s="294">
        <f t="shared" si="121"/>
        <v>0</v>
      </c>
      <c r="JZ156" s="294">
        <f t="shared" si="121"/>
        <v>0</v>
      </c>
      <c r="KA156" s="294">
        <f t="shared" si="121"/>
        <v>0</v>
      </c>
      <c r="KB156" s="294">
        <f t="shared" si="121"/>
        <v>0</v>
      </c>
      <c r="KC156" s="294">
        <f t="shared" si="121"/>
        <v>0</v>
      </c>
      <c r="KD156" s="294">
        <f t="shared" si="121"/>
        <v>0</v>
      </c>
      <c r="KE156" s="294">
        <f t="shared" si="121"/>
        <v>0</v>
      </c>
      <c r="KF156" s="294">
        <f t="shared" si="121"/>
        <v>0</v>
      </c>
      <c r="KG156" s="294">
        <f t="shared" si="121"/>
        <v>0</v>
      </c>
      <c r="KH156" s="294">
        <f t="shared" si="121"/>
        <v>-124664380.01000001</v>
      </c>
      <c r="KI156" s="294">
        <f t="shared" si="121"/>
        <v>0</v>
      </c>
      <c r="KJ156" s="294">
        <f t="shared" si="121"/>
        <v>0</v>
      </c>
      <c r="KK156" s="294">
        <f t="shared" si="121"/>
        <v>0</v>
      </c>
      <c r="KL156" s="294">
        <f t="shared" si="121"/>
        <v>0</v>
      </c>
      <c r="KM156" s="294">
        <f t="shared" si="121"/>
        <v>0</v>
      </c>
      <c r="KN156" s="294">
        <f t="shared" si="121"/>
        <v>0</v>
      </c>
      <c r="KO156" s="294">
        <f t="shared" si="121"/>
        <v>0</v>
      </c>
      <c r="KP156" s="294">
        <f t="shared" si="121"/>
        <v>0</v>
      </c>
      <c r="KQ156" s="294">
        <f t="shared" si="121"/>
        <v>-4529777.0199999996</v>
      </c>
      <c r="KR156" s="294">
        <f t="shared" si="121"/>
        <v>0</v>
      </c>
      <c r="KS156" s="294">
        <f t="shared" si="121"/>
        <v>0</v>
      </c>
      <c r="KT156" s="294">
        <f t="shared" si="121"/>
        <v>-2356113.92</v>
      </c>
      <c r="KU156" s="294">
        <f t="shared" si="121"/>
        <v>0</v>
      </c>
      <c r="KV156" s="294">
        <f t="shared" si="121"/>
        <v>0</v>
      </c>
      <c r="KW156" s="294">
        <f t="shared" si="121"/>
        <v>-7845757.2999999998</v>
      </c>
      <c r="KX156" s="294">
        <f t="shared" si="121"/>
        <v>0</v>
      </c>
      <c r="KY156" s="294">
        <f t="shared" si="121"/>
        <v>-29520990.879999999</v>
      </c>
      <c r="KZ156" s="294">
        <f t="shared" si="121"/>
        <v>0</v>
      </c>
      <c r="LA156" s="294">
        <f t="shared" si="121"/>
        <v>0</v>
      </c>
      <c r="LB156" s="294">
        <f t="shared" si="121"/>
        <v>0</v>
      </c>
      <c r="LC156" s="294">
        <f t="shared" si="121"/>
        <v>0</v>
      </c>
      <c r="LD156" s="294">
        <f t="shared" si="121"/>
        <v>0</v>
      </c>
      <c r="LE156" s="294">
        <f t="shared" si="121"/>
        <v>0</v>
      </c>
      <c r="LF156" s="294">
        <f t="shared" si="121"/>
        <v>0</v>
      </c>
      <c r="LG156" s="294">
        <f t="shared" si="121"/>
        <v>-38353304.369999997</v>
      </c>
      <c r="LH156" s="294">
        <f t="shared" si="121"/>
        <v>-1812828</v>
      </c>
      <c r="LI156" s="294">
        <f t="shared" si="121"/>
        <v>-7792020.3700000001</v>
      </c>
      <c r="LJ156" s="294">
        <f t="shared" si="121"/>
        <v>-31048149.84</v>
      </c>
      <c r="LK156" s="294">
        <f t="shared" si="121"/>
        <v>0</v>
      </c>
      <c r="LL156" s="294">
        <f t="shared" si="121"/>
        <v>0</v>
      </c>
      <c r="LM156" s="294">
        <f t="shared" ref="LM156:NX156" si="122">SUMIF($A$60:$A$148,$A$137,LM$60:LM$148)</f>
        <v>0</v>
      </c>
      <c r="LN156" s="294">
        <f t="shared" si="122"/>
        <v>0</v>
      </c>
      <c r="LO156" s="294">
        <f t="shared" si="122"/>
        <v>0</v>
      </c>
      <c r="LP156" s="294">
        <f t="shared" si="122"/>
        <v>0</v>
      </c>
      <c r="LQ156" s="294">
        <f t="shared" si="122"/>
        <v>0</v>
      </c>
      <c r="LR156" s="294">
        <f t="shared" si="122"/>
        <v>-9240990.4900000002</v>
      </c>
      <c r="LS156" s="294">
        <f t="shared" si="122"/>
        <v>0</v>
      </c>
      <c r="LT156" s="294">
        <f t="shared" si="122"/>
        <v>0</v>
      </c>
      <c r="LU156" s="294">
        <f t="shared" si="122"/>
        <v>-40379552.549999997</v>
      </c>
      <c r="LV156" s="294">
        <f t="shared" si="122"/>
        <v>-7572215.5199999996</v>
      </c>
      <c r="LW156" s="294">
        <f t="shared" si="122"/>
        <v>-35141318.799999997</v>
      </c>
      <c r="LX156" s="294">
        <f t="shared" si="122"/>
        <v>-108693.07</v>
      </c>
      <c r="LY156" s="294">
        <f t="shared" si="122"/>
        <v>0</v>
      </c>
      <c r="LZ156" s="294">
        <f t="shared" si="122"/>
        <v>0</v>
      </c>
      <c r="MA156" s="294">
        <f t="shared" si="122"/>
        <v>0</v>
      </c>
      <c r="MB156" s="294">
        <f t="shared" si="122"/>
        <v>0</v>
      </c>
      <c r="MC156" s="294">
        <f t="shared" si="122"/>
        <v>0</v>
      </c>
      <c r="MD156" s="294">
        <f t="shared" si="122"/>
        <v>0</v>
      </c>
      <c r="ME156" s="294">
        <f t="shared" si="122"/>
        <v>0</v>
      </c>
      <c r="MF156" s="294">
        <f t="shared" si="122"/>
        <v>0</v>
      </c>
      <c r="MG156" s="294">
        <f t="shared" si="122"/>
        <v>-13486188.83</v>
      </c>
      <c r="MH156" s="294">
        <f t="shared" si="122"/>
        <v>0</v>
      </c>
      <c r="MI156" s="294">
        <f t="shared" si="122"/>
        <v>0</v>
      </c>
      <c r="MJ156" s="294">
        <f t="shared" si="122"/>
        <v>0</v>
      </c>
      <c r="MK156" s="294">
        <f t="shared" si="122"/>
        <v>0</v>
      </c>
      <c r="ML156" s="294">
        <f t="shared" si="122"/>
        <v>0</v>
      </c>
      <c r="MM156" s="294">
        <f t="shared" si="122"/>
        <v>0</v>
      </c>
      <c r="MN156" s="294">
        <f t="shared" si="122"/>
        <v>0</v>
      </c>
      <c r="MO156" s="294">
        <f t="shared" si="122"/>
        <v>0</v>
      </c>
      <c r="MP156" s="294">
        <f t="shared" si="122"/>
        <v>0</v>
      </c>
      <c r="MQ156" s="294">
        <f t="shared" si="122"/>
        <v>0</v>
      </c>
      <c r="MR156" s="294">
        <f t="shared" si="122"/>
        <v>0</v>
      </c>
      <c r="MS156" s="294">
        <f t="shared" si="122"/>
        <v>-48065645.840000004</v>
      </c>
      <c r="MT156" s="294">
        <f t="shared" si="122"/>
        <v>0</v>
      </c>
      <c r="MU156" s="294">
        <f t="shared" si="122"/>
        <v>0</v>
      </c>
      <c r="MV156" s="294">
        <f t="shared" si="122"/>
        <v>0</v>
      </c>
      <c r="MW156" s="294">
        <f t="shared" si="122"/>
        <v>0</v>
      </c>
      <c r="MX156" s="294">
        <f t="shared" si="122"/>
        <v>0</v>
      </c>
      <c r="MY156" s="294">
        <f t="shared" si="122"/>
        <v>0</v>
      </c>
      <c r="MZ156" s="294">
        <f t="shared" si="122"/>
        <v>0</v>
      </c>
      <c r="NA156" s="294">
        <f t="shared" si="122"/>
        <v>0</v>
      </c>
      <c r="NB156" s="294">
        <f t="shared" si="122"/>
        <v>0</v>
      </c>
      <c r="NC156" s="294">
        <f t="shared" si="122"/>
        <v>0</v>
      </c>
      <c r="ND156" s="294">
        <f t="shared" si="122"/>
        <v>-225761149.13999999</v>
      </c>
      <c r="NE156" s="294">
        <f t="shared" si="122"/>
        <v>0</v>
      </c>
      <c r="NF156" s="294">
        <f t="shared" si="122"/>
        <v>0</v>
      </c>
      <c r="NG156" s="294">
        <f t="shared" si="122"/>
        <v>0</v>
      </c>
      <c r="NH156" s="294">
        <f t="shared" si="122"/>
        <v>0</v>
      </c>
      <c r="NI156" s="294">
        <f t="shared" si="122"/>
        <v>0</v>
      </c>
      <c r="NJ156" s="294">
        <f t="shared" si="122"/>
        <v>-49137916.240000002</v>
      </c>
      <c r="NK156" s="294">
        <f t="shared" si="122"/>
        <v>-2904866.2</v>
      </c>
      <c r="NL156" s="294">
        <f t="shared" si="122"/>
        <v>0</v>
      </c>
      <c r="NM156" s="294">
        <f t="shared" si="122"/>
        <v>0</v>
      </c>
      <c r="NN156" s="294">
        <f t="shared" si="122"/>
        <v>0</v>
      </c>
      <c r="NO156" s="294">
        <f t="shared" si="122"/>
        <v>0</v>
      </c>
      <c r="NP156" s="294">
        <f t="shared" si="122"/>
        <v>-16040891.789999999</v>
      </c>
      <c r="NQ156" s="294">
        <f t="shared" si="122"/>
        <v>0</v>
      </c>
      <c r="NR156" s="294">
        <f t="shared" si="122"/>
        <v>0</v>
      </c>
      <c r="NS156" s="294">
        <f t="shared" si="122"/>
        <v>0</v>
      </c>
      <c r="NT156" s="294">
        <f t="shared" si="122"/>
        <v>0</v>
      </c>
      <c r="NU156" s="294">
        <f t="shared" si="122"/>
        <v>0</v>
      </c>
      <c r="NV156" s="294">
        <f t="shared" si="122"/>
        <v>0</v>
      </c>
      <c r="NW156" s="294">
        <f t="shared" si="122"/>
        <v>-57882820.640000001</v>
      </c>
      <c r="NX156" s="294">
        <f t="shared" si="122"/>
        <v>-14252548.35</v>
      </c>
      <c r="NY156" s="294">
        <f t="shared" ref="NY156:QJ156" si="123">SUMIF($A$60:$A$148,$A$137,NY$60:NY$148)</f>
        <v>0</v>
      </c>
      <c r="NZ156" s="294">
        <f t="shared" si="123"/>
        <v>0</v>
      </c>
      <c r="OA156" s="294">
        <f t="shared" si="123"/>
        <v>0</v>
      </c>
      <c r="OB156" s="294">
        <f t="shared" si="123"/>
        <v>0</v>
      </c>
      <c r="OC156" s="294">
        <f t="shared" si="123"/>
        <v>0</v>
      </c>
      <c r="OD156" s="294">
        <f t="shared" si="123"/>
        <v>-287077533.20999998</v>
      </c>
      <c r="OE156" s="294">
        <f t="shared" si="123"/>
        <v>0</v>
      </c>
      <c r="OF156" s="294">
        <f t="shared" si="123"/>
        <v>0</v>
      </c>
      <c r="OG156" s="294">
        <f t="shared" si="123"/>
        <v>-7328716.6600000001</v>
      </c>
      <c r="OH156" s="294">
        <f t="shared" si="123"/>
        <v>0</v>
      </c>
      <c r="OI156" s="294">
        <f t="shared" si="123"/>
        <v>0</v>
      </c>
      <c r="OJ156" s="294">
        <f t="shared" si="123"/>
        <v>0</v>
      </c>
      <c r="OK156" s="294">
        <f t="shared" si="123"/>
        <v>0</v>
      </c>
      <c r="OL156" s="294">
        <f t="shared" si="123"/>
        <v>0</v>
      </c>
      <c r="OM156" s="294">
        <f t="shared" si="123"/>
        <v>-2106101.67</v>
      </c>
      <c r="ON156" s="294">
        <f t="shared" si="123"/>
        <v>-2084925.48</v>
      </c>
      <c r="OO156" s="294">
        <f t="shared" si="123"/>
        <v>0</v>
      </c>
      <c r="OP156" s="294">
        <f t="shared" si="123"/>
        <v>0</v>
      </c>
      <c r="OQ156" s="294">
        <f t="shared" si="123"/>
        <v>0</v>
      </c>
      <c r="OR156" s="294">
        <f t="shared" si="123"/>
        <v>0</v>
      </c>
      <c r="OS156" s="294">
        <f t="shared" si="123"/>
        <v>-482464.08</v>
      </c>
      <c r="OT156" s="294">
        <f t="shared" si="123"/>
        <v>0</v>
      </c>
      <c r="OU156" s="294">
        <f t="shared" si="123"/>
        <v>0</v>
      </c>
      <c r="OV156" s="294">
        <f t="shared" si="123"/>
        <v>0</v>
      </c>
      <c r="OW156" s="294">
        <f t="shared" si="123"/>
        <v>0</v>
      </c>
      <c r="OX156" s="294">
        <f t="shared" si="123"/>
        <v>0</v>
      </c>
      <c r="OY156" s="294">
        <f t="shared" si="123"/>
        <v>0</v>
      </c>
      <c r="OZ156" s="294">
        <f t="shared" si="123"/>
        <v>0</v>
      </c>
      <c r="PA156" s="294">
        <f t="shared" si="123"/>
        <v>0</v>
      </c>
      <c r="PB156" s="294">
        <f t="shared" si="123"/>
        <v>-25087218.969999999</v>
      </c>
      <c r="PC156" s="294">
        <f t="shared" si="123"/>
        <v>0</v>
      </c>
      <c r="PD156" s="294">
        <f t="shared" si="123"/>
        <v>0</v>
      </c>
      <c r="PE156" s="294">
        <f t="shared" si="123"/>
        <v>0</v>
      </c>
      <c r="PF156" s="294">
        <f t="shared" si="123"/>
        <v>0</v>
      </c>
      <c r="PG156" s="294">
        <f t="shared" si="123"/>
        <v>0</v>
      </c>
      <c r="PH156" s="294">
        <f t="shared" si="123"/>
        <v>0</v>
      </c>
      <c r="PI156" s="294">
        <f t="shared" si="123"/>
        <v>0</v>
      </c>
      <c r="PJ156" s="294">
        <f t="shared" si="123"/>
        <v>0</v>
      </c>
      <c r="PK156" s="294">
        <f t="shared" si="123"/>
        <v>0</v>
      </c>
      <c r="PL156" s="294">
        <f t="shared" si="123"/>
        <v>0</v>
      </c>
      <c r="PM156" s="294">
        <f t="shared" si="123"/>
        <v>0</v>
      </c>
      <c r="PN156" s="294">
        <f t="shared" si="123"/>
        <v>0</v>
      </c>
      <c r="PO156" s="294">
        <f t="shared" si="123"/>
        <v>0</v>
      </c>
      <c r="PP156" s="294">
        <f t="shared" si="123"/>
        <v>0</v>
      </c>
      <c r="PQ156" s="294">
        <f t="shared" si="123"/>
        <v>0</v>
      </c>
      <c r="PR156" s="294">
        <f t="shared" si="123"/>
        <v>0</v>
      </c>
      <c r="PS156" s="294">
        <f t="shared" si="123"/>
        <v>0</v>
      </c>
      <c r="PT156" s="294">
        <f t="shared" si="123"/>
        <v>-146651004.81999999</v>
      </c>
      <c r="PU156" s="294">
        <f t="shared" si="123"/>
        <v>0</v>
      </c>
      <c r="PV156" s="294">
        <f t="shared" si="123"/>
        <v>0</v>
      </c>
      <c r="PW156" s="294">
        <f t="shared" si="123"/>
        <v>0</v>
      </c>
      <c r="PX156" s="294">
        <f t="shared" si="123"/>
        <v>-36602113.390000001</v>
      </c>
      <c r="PY156" s="294">
        <f t="shared" si="123"/>
        <v>0</v>
      </c>
      <c r="PZ156" s="294">
        <f t="shared" si="123"/>
        <v>0</v>
      </c>
      <c r="QA156" s="294">
        <f t="shared" si="123"/>
        <v>0</v>
      </c>
      <c r="QB156" s="294">
        <f t="shared" si="123"/>
        <v>0</v>
      </c>
      <c r="QC156" s="294">
        <f t="shared" si="123"/>
        <v>0</v>
      </c>
      <c r="QD156" s="294">
        <f t="shared" si="123"/>
        <v>0</v>
      </c>
      <c r="QE156" s="294">
        <f t="shared" si="123"/>
        <v>0</v>
      </c>
      <c r="QF156" s="294">
        <f t="shared" si="123"/>
        <v>0</v>
      </c>
      <c r="QG156" s="294">
        <f t="shared" si="123"/>
        <v>0</v>
      </c>
      <c r="QH156" s="294">
        <f t="shared" si="123"/>
        <v>0</v>
      </c>
      <c r="QI156" s="294">
        <f t="shared" si="123"/>
        <v>0</v>
      </c>
      <c r="QJ156" s="294">
        <f t="shared" si="123"/>
        <v>0</v>
      </c>
      <c r="QK156" s="294">
        <f t="shared" ref="QK156:SV156" si="124">SUMIF($A$60:$A$148,$A$137,QK$60:QK$148)</f>
        <v>0</v>
      </c>
      <c r="QL156" s="294">
        <f t="shared" si="124"/>
        <v>0</v>
      </c>
      <c r="QM156" s="294">
        <f t="shared" si="124"/>
        <v>0</v>
      </c>
      <c r="QN156" s="294">
        <f t="shared" si="124"/>
        <v>0</v>
      </c>
      <c r="QO156" s="294">
        <f t="shared" si="124"/>
        <v>-1125</v>
      </c>
      <c r="QP156" s="294">
        <f t="shared" si="124"/>
        <v>0</v>
      </c>
      <c r="QQ156" s="294">
        <f t="shared" si="124"/>
        <v>0</v>
      </c>
      <c r="QR156" s="294">
        <f t="shared" si="124"/>
        <v>0</v>
      </c>
      <c r="QS156" s="294">
        <f t="shared" si="124"/>
        <v>0</v>
      </c>
      <c r="QT156" s="294">
        <f t="shared" si="124"/>
        <v>-9746626.0600000005</v>
      </c>
      <c r="QU156" s="294">
        <f t="shared" si="124"/>
        <v>0</v>
      </c>
      <c r="QV156" s="294">
        <f t="shared" si="124"/>
        <v>0</v>
      </c>
      <c r="QW156" s="294">
        <f t="shared" si="124"/>
        <v>0</v>
      </c>
      <c r="QX156" s="294">
        <f t="shared" si="124"/>
        <v>0</v>
      </c>
      <c r="QY156" s="294">
        <f t="shared" si="124"/>
        <v>0</v>
      </c>
      <c r="QZ156" s="294">
        <f t="shared" si="124"/>
        <v>0</v>
      </c>
      <c r="RA156" s="294">
        <f t="shared" si="124"/>
        <v>0</v>
      </c>
      <c r="RB156" s="294">
        <f t="shared" si="124"/>
        <v>0</v>
      </c>
      <c r="RC156" s="294">
        <f t="shared" si="124"/>
        <v>0</v>
      </c>
      <c r="RD156" s="294">
        <f t="shared" si="124"/>
        <v>0</v>
      </c>
      <c r="RE156" s="294">
        <f t="shared" si="124"/>
        <v>0</v>
      </c>
      <c r="RF156" s="294">
        <f t="shared" si="124"/>
        <v>0</v>
      </c>
      <c r="RG156" s="294">
        <f t="shared" si="124"/>
        <v>-26655871.210000001</v>
      </c>
      <c r="RH156" s="294">
        <f t="shared" si="124"/>
        <v>0</v>
      </c>
      <c r="RI156" s="294">
        <f t="shared" si="124"/>
        <v>0</v>
      </c>
      <c r="RJ156" s="294">
        <f t="shared" si="124"/>
        <v>0</v>
      </c>
      <c r="RK156" s="294">
        <f t="shared" si="124"/>
        <v>0</v>
      </c>
      <c r="RL156" s="294">
        <f t="shared" si="124"/>
        <v>0</v>
      </c>
      <c r="RM156" s="294">
        <f t="shared" si="124"/>
        <v>0</v>
      </c>
      <c r="RN156" s="294">
        <f t="shared" si="124"/>
        <v>0</v>
      </c>
      <c r="RO156" s="294">
        <f t="shared" si="124"/>
        <v>0</v>
      </c>
      <c r="RP156" s="294">
        <f t="shared" si="124"/>
        <v>0</v>
      </c>
      <c r="RQ156" s="294">
        <f t="shared" si="124"/>
        <v>0</v>
      </c>
      <c r="RR156" s="294">
        <f t="shared" si="124"/>
        <v>0</v>
      </c>
      <c r="RS156" s="294">
        <f t="shared" si="124"/>
        <v>0</v>
      </c>
      <c r="RT156" s="294">
        <f t="shared" si="124"/>
        <v>0</v>
      </c>
      <c r="RU156" s="294">
        <f t="shared" si="124"/>
        <v>0</v>
      </c>
      <c r="RV156" s="294">
        <f t="shared" si="124"/>
        <v>0</v>
      </c>
      <c r="RW156" s="294">
        <f t="shared" si="124"/>
        <v>0</v>
      </c>
      <c r="RX156" s="294">
        <f t="shared" si="124"/>
        <v>0</v>
      </c>
      <c r="RY156" s="294">
        <f t="shared" si="124"/>
        <v>0</v>
      </c>
      <c r="RZ156" s="294">
        <f t="shared" si="124"/>
        <v>0</v>
      </c>
      <c r="SA156" s="294">
        <f t="shared" si="124"/>
        <v>-7615867.6799999997</v>
      </c>
      <c r="SB156" s="294">
        <f t="shared" si="124"/>
        <v>0</v>
      </c>
      <c r="SC156" s="294">
        <f t="shared" si="124"/>
        <v>0</v>
      </c>
      <c r="SD156" s="294">
        <f t="shared" si="124"/>
        <v>0</v>
      </c>
      <c r="SE156" s="294">
        <f t="shared" si="124"/>
        <v>0</v>
      </c>
      <c r="SF156" s="294">
        <f t="shared" si="124"/>
        <v>0</v>
      </c>
      <c r="SG156" s="294">
        <f t="shared" si="124"/>
        <v>0</v>
      </c>
      <c r="SH156" s="294">
        <f t="shared" si="124"/>
        <v>0</v>
      </c>
      <c r="SI156" s="294">
        <f t="shared" si="124"/>
        <v>0</v>
      </c>
      <c r="SJ156" s="294">
        <f t="shared" si="124"/>
        <v>0</v>
      </c>
      <c r="SK156" s="294">
        <f t="shared" si="124"/>
        <v>0</v>
      </c>
      <c r="SL156" s="294">
        <f t="shared" si="124"/>
        <v>0</v>
      </c>
      <c r="SM156" s="294">
        <f t="shared" si="124"/>
        <v>-5830691.6699999999</v>
      </c>
      <c r="SN156" s="294">
        <f t="shared" si="124"/>
        <v>0</v>
      </c>
      <c r="SO156" s="294">
        <f t="shared" si="124"/>
        <v>0</v>
      </c>
      <c r="SP156" s="294">
        <f t="shared" si="124"/>
        <v>0</v>
      </c>
      <c r="SQ156" s="294">
        <f t="shared" si="124"/>
        <v>0</v>
      </c>
      <c r="SR156" s="294">
        <f t="shared" si="124"/>
        <v>0</v>
      </c>
      <c r="SS156" s="294">
        <f t="shared" si="124"/>
        <v>0</v>
      </c>
      <c r="ST156" s="294">
        <f t="shared" si="124"/>
        <v>0</v>
      </c>
      <c r="SU156" s="294">
        <f t="shared" si="124"/>
        <v>-30354946.41</v>
      </c>
      <c r="SV156" s="294">
        <f t="shared" si="124"/>
        <v>0</v>
      </c>
      <c r="SW156" s="294">
        <f t="shared" ref="SW156:VH156" si="125">SUMIF($A$60:$A$148,$A$137,SW$60:SW$148)</f>
        <v>0</v>
      </c>
      <c r="SX156" s="294">
        <f t="shared" si="125"/>
        <v>0</v>
      </c>
      <c r="SY156" s="294">
        <f t="shared" si="125"/>
        <v>0</v>
      </c>
      <c r="SZ156" s="294">
        <f t="shared" si="125"/>
        <v>0</v>
      </c>
      <c r="TA156" s="294">
        <f t="shared" si="125"/>
        <v>0</v>
      </c>
      <c r="TB156" s="294">
        <f t="shared" si="125"/>
        <v>0</v>
      </c>
      <c r="TC156" s="294">
        <f t="shared" si="125"/>
        <v>0</v>
      </c>
      <c r="TD156" s="294">
        <f t="shared" si="125"/>
        <v>0</v>
      </c>
      <c r="TE156" s="294">
        <f t="shared" si="125"/>
        <v>0</v>
      </c>
      <c r="TF156" s="294">
        <f t="shared" si="125"/>
        <v>0</v>
      </c>
      <c r="TG156" s="294">
        <f t="shared" si="125"/>
        <v>0</v>
      </c>
      <c r="TH156" s="294">
        <f t="shared" si="125"/>
        <v>0</v>
      </c>
      <c r="TI156" s="294">
        <f t="shared" si="125"/>
        <v>-74512696.069999993</v>
      </c>
      <c r="TJ156" s="294">
        <f t="shared" si="125"/>
        <v>0</v>
      </c>
      <c r="TK156" s="294">
        <f t="shared" si="125"/>
        <v>0</v>
      </c>
      <c r="TL156" s="294">
        <f t="shared" si="125"/>
        <v>0</v>
      </c>
      <c r="TM156" s="294">
        <f t="shared" si="125"/>
        <v>0</v>
      </c>
      <c r="TN156" s="294">
        <f t="shared" si="125"/>
        <v>0</v>
      </c>
      <c r="TO156" s="294">
        <f t="shared" si="125"/>
        <v>0</v>
      </c>
      <c r="TP156" s="294">
        <f t="shared" si="125"/>
        <v>0</v>
      </c>
      <c r="TQ156" s="294">
        <f t="shared" si="125"/>
        <v>0</v>
      </c>
      <c r="TR156" s="294">
        <f t="shared" si="125"/>
        <v>0</v>
      </c>
      <c r="TS156" s="294">
        <f t="shared" si="125"/>
        <v>0</v>
      </c>
      <c r="TT156" s="294">
        <f t="shared" si="125"/>
        <v>0</v>
      </c>
      <c r="TU156" s="294">
        <f t="shared" si="125"/>
        <v>0</v>
      </c>
      <c r="TV156" s="294">
        <f t="shared" si="125"/>
        <v>0</v>
      </c>
      <c r="TW156" s="294">
        <f t="shared" si="125"/>
        <v>0</v>
      </c>
      <c r="TX156" s="294">
        <f t="shared" si="125"/>
        <v>0</v>
      </c>
      <c r="TY156" s="294">
        <f t="shared" si="125"/>
        <v>-4036950.12</v>
      </c>
      <c r="TZ156" s="294">
        <f t="shared" si="125"/>
        <v>0</v>
      </c>
      <c r="UA156" s="294">
        <f t="shared" si="125"/>
        <v>-11778460.789999999</v>
      </c>
      <c r="UB156" s="294">
        <f t="shared" si="125"/>
        <v>0</v>
      </c>
      <c r="UC156" s="294">
        <f t="shared" si="125"/>
        <v>0</v>
      </c>
      <c r="UD156" s="294">
        <f t="shared" si="125"/>
        <v>0</v>
      </c>
      <c r="UE156" s="294">
        <f t="shared" si="125"/>
        <v>-5480139.6299999999</v>
      </c>
      <c r="UF156" s="294">
        <f t="shared" si="125"/>
        <v>0</v>
      </c>
      <c r="UG156" s="294">
        <f t="shared" si="125"/>
        <v>0</v>
      </c>
      <c r="UH156" s="294">
        <f t="shared" si="125"/>
        <v>0</v>
      </c>
      <c r="UI156" s="294">
        <f t="shared" si="125"/>
        <v>0</v>
      </c>
      <c r="UJ156" s="294">
        <f t="shared" si="125"/>
        <v>-5526713.1600000001</v>
      </c>
      <c r="UK156" s="294">
        <f t="shared" si="125"/>
        <v>0</v>
      </c>
      <c r="UL156" s="294">
        <f t="shared" si="125"/>
        <v>0</v>
      </c>
      <c r="UM156" s="294">
        <f t="shared" si="125"/>
        <v>0</v>
      </c>
      <c r="UN156" s="294">
        <f t="shared" si="125"/>
        <v>0</v>
      </c>
      <c r="UO156" s="294">
        <f t="shared" si="125"/>
        <v>0</v>
      </c>
      <c r="UP156" s="294">
        <f t="shared" si="125"/>
        <v>-84572556.019999996</v>
      </c>
      <c r="UQ156" s="294">
        <f t="shared" si="125"/>
        <v>0</v>
      </c>
      <c r="UR156" s="294">
        <f t="shared" si="125"/>
        <v>0</v>
      </c>
      <c r="US156" s="294">
        <f t="shared" si="125"/>
        <v>0</v>
      </c>
      <c r="UT156" s="294">
        <f t="shared" si="125"/>
        <v>0</v>
      </c>
      <c r="UU156" s="294">
        <f t="shared" si="125"/>
        <v>0</v>
      </c>
      <c r="UV156" s="294">
        <f t="shared" si="125"/>
        <v>0</v>
      </c>
      <c r="UW156" s="294">
        <f t="shared" si="125"/>
        <v>0</v>
      </c>
      <c r="UX156" s="294">
        <f t="shared" si="125"/>
        <v>0</v>
      </c>
      <c r="UY156" s="294">
        <f t="shared" si="125"/>
        <v>0</v>
      </c>
      <c r="UZ156" s="294">
        <f t="shared" si="125"/>
        <v>0</v>
      </c>
      <c r="VA156" s="294">
        <f t="shared" si="125"/>
        <v>0</v>
      </c>
      <c r="VB156" s="294">
        <f t="shared" si="125"/>
        <v>0</v>
      </c>
      <c r="VC156" s="294">
        <f t="shared" si="125"/>
        <v>0</v>
      </c>
      <c r="VD156" s="294">
        <f t="shared" si="125"/>
        <v>0</v>
      </c>
      <c r="VE156" s="294">
        <f t="shared" si="125"/>
        <v>0</v>
      </c>
      <c r="VF156" s="294">
        <f t="shared" si="125"/>
        <v>0</v>
      </c>
      <c r="VG156" s="294">
        <f t="shared" si="125"/>
        <v>0</v>
      </c>
      <c r="VH156" s="294">
        <f t="shared" si="125"/>
        <v>-1396159.67</v>
      </c>
      <c r="VI156" s="294">
        <f t="shared" ref="VI156:XT156" si="126">SUMIF($A$60:$A$148,$A$137,VI$60:VI$148)</f>
        <v>0</v>
      </c>
      <c r="VJ156" s="294">
        <f t="shared" si="126"/>
        <v>0</v>
      </c>
      <c r="VK156" s="294">
        <f t="shared" si="126"/>
        <v>0</v>
      </c>
      <c r="VL156" s="294">
        <f t="shared" si="126"/>
        <v>-35974889.329999998</v>
      </c>
      <c r="VM156" s="294">
        <f t="shared" si="126"/>
        <v>0</v>
      </c>
      <c r="VN156" s="294">
        <f t="shared" si="126"/>
        <v>0</v>
      </c>
      <c r="VO156" s="294">
        <f t="shared" si="126"/>
        <v>0</v>
      </c>
      <c r="VP156" s="294">
        <f t="shared" si="126"/>
        <v>0</v>
      </c>
      <c r="VQ156" s="294">
        <f t="shared" si="126"/>
        <v>0</v>
      </c>
      <c r="VR156" s="294">
        <f t="shared" si="126"/>
        <v>0</v>
      </c>
      <c r="VS156" s="294">
        <f t="shared" si="126"/>
        <v>0</v>
      </c>
      <c r="VT156" s="294">
        <f t="shared" si="126"/>
        <v>0</v>
      </c>
      <c r="VU156" s="294">
        <f t="shared" si="126"/>
        <v>0</v>
      </c>
      <c r="VV156" s="294">
        <f t="shared" si="126"/>
        <v>0</v>
      </c>
      <c r="VW156" s="294">
        <f t="shared" si="126"/>
        <v>0</v>
      </c>
      <c r="VX156" s="294">
        <f t="shared" si="126"/>
        <v>0</v>
      </c>
      <c r="VY156" s="294">
        <f t="shared" si="126"/>
        <v>0</v>
      </c>
      <c r="VZ156" s="294">
        <f t="shared" si="126"/>
        <v>0</v>
      </c>
      <c r="WA156" s="294">
        <f t="shared" si="126"/>
        <v>-176985956.43000001</v>
      </c>
      <c r="WB156" s="294">
        <f t="shared" si="126"/>
        <v>0</v>
      </c>
      <c r="WC156" s="294">
        <f t="shared" si="126"/>
        <v>0</v>
      </c>
      <c r="WD156" s="294">
        <f t="shared" si="126"/>
        <v>0</v>
      </c>
      <c r="WE156" s="294">
        <f t="shared" si="126"/>
        <v>0</v>
      </c>
      <c r="WF156" s="294">
        <f t="shared" si="126"/>
        <v>0</v>
      </c>
      <c r="WG156" s="294">
        <f t="shared" si="126"/>
        <v>0</v>
      </c>
      <c r="WH156" s="294">
        <f t="shared" si="126"/>
        <v>0</v>
      </c>
      <c r="WI156" s="294">
        <f t="shared" si="126"/>
        <v>0</v>
      </c>
      <c r="WJ156" s="294">
        <f t="shared" si="126"/>
        <v>0</v>
      </c>
      <c r="WK156" s="294">
        <f t="shared" si="126"/>
        <v>0</v>
      </c>
      <c r="WL156" s="294">
        <f t="shared" si="126"/>
        <v>0</v>
      </c>
      <c r="WM156" s="294">
        <f t="shared" si="126"/>
        <v>0</v>
      </c>
      <c r="WN156" s="294">
        <f t="shared" si="126"/>
        <v>0</v>
      </c>
      <c r="WO156" s="294">
        <f t="shared" si="126"/>
        <v>0</v>
      </c>
      <c r="WP156" s="294">
        <f t="shared" si="126"/>
        <v>0</v>
      </c>
      <c r="WQ156" s="294">
        <f t="shared" si="126"/>
        <v>0</v>
      </c>
      <c r="WR156" s="294">
        <f t="shared" si="126"/>
        <v>0</v>
      </c>
      <c r="WS156" s="294">
        <f t="shared" si="126"/>
        <v>0</v>
      </c>
      <c r="WT156" s="294">
        <f t="shared" si="126"/>
        <v>0</v>
      </c>
      <c r="WU156" s="294">
        <f t="shared" si="126"/>
        <v>-3934081.97</v>
      </c>
      <c r="WV156" s="294">
        <f t="shared" si="126"/>
        <v>0</v>
      </c>
      <c r="WW156" s="294">
        <f t="shared" si="126"/>
        <v>0</v>
      </c>
      <c r="WX156" s="294">
        <f t="shared" si="126"/>
        <v>0</v>
      </c>
      <c r="WY156" s="294">
        <f t="shared" si="126"/>
        <v>0</v>
      </c>
      <c r="WZ156" s="294">
        <f t="shared" si="126"/>
        <v>0</v>
      </c>
      <c r="XA156" s="294">
        <f t="shared" si="126"/>
        <v>0</v>
      </c>
      <c r="XB156" s="294">
        <f t="shared" si="126"/>
        <v>0</v>
      </c>
      <c r="XC156" s="294">
        <f t="shared" si="126"/>
        <v>0</v>
      </c>
      <c r="XD156" s="294">
        <f t="shared" si="126"/>
        <v>0</v>
      </c>
      <c r="XE156" s="294">
        <f t="shared" si="126"/>
        <v>0</v>
      </c>
      <c r="XF156" s="294">
        <f t="shared" si="126"/>
        <v>0</v>
      </c>
      <c r="XG156" s="294">
        <f t="shared" si="126"/>
        <v>0</v>
      </c>
      <c r="XH156" s="294">
        <f t="shared" si="126"/>
        <v>-50489914.359999999</v>
      </c>
      <c r="XI156" s="294">
        <f t="shared" si="126"/>
        <v>0</v>
      </c>
      <c r="XJ156" s="294">
        <f t="shared" si="126"/>
        <v>0</v>
      </c>
      <c r="XK156" s="294">
        <f t="shared" si="126"/>
        <v>-25325017.010000002</v>
      </c>
      <c r="XL156" s="294">
        <f t="shared" si="126"/>
        <v>0</v>
      </c>
      <c r="XM156" s="294">
        <f t="shared" si="126"/>
        <v>0</v>
      </c>
      <c r="XN156" s="294">
        <f t="shared" si="126"/>
        <v>0</v>
      </c>
      <c r="XO156" s="294">
        <f t="shared" si="126"/>
        <v>0</v>
      </c>
      <c r="XP156" s="294">
        <f t="shared" si="126"/>
        <v>0</v>
      </c>
      <c r="XQ156" s="294">
        <f t="shared" si="126"/>
        <v>0</v>
      </c>
      <c r="XR156" s="294">
        <f t="shared" si="126"/>
        <v>0</v>
      </c>
      <c r="XS156" s="294">
        <f t="shared" si="126"/>
        <v>0</v>
      </c>
      <c r="XT156" s="294">
        <f t="shared" si="126"/>
        <v>0</v>
      </c>
      <c r="XU156" s="294">
        <f t="shared" ref="XU156:AAF156" si="127">SUMIF($A$60:$A$148,$A$137,XU$60:XU$148)</f>
        <v>0</v>
      </c>
      <c r="XV156" s="294">
        <f t="shared" si="127"/>
        <v>0</v>
      </c>
      <c r="XW156" s="294">
        <f t="shared" si="127"/>
        <v>0</v>
      </c>
      <c r="XX156" s="294">
        <f t="shared" si="127"/>
        <v>0</v>
      </c>
      <c r="XY156" s="294">
        <f t="shared" si="127"/>
        <v>0</v>
      </c>
      <c r="XZ156" s="294">
        <f t="shared" si="127"/>
        <v>0</v>
      </c>
      <c r="YA156" s="294">
        <f t="shared" si="127"/>
        <v>0</v>
      </c>
      <c r="YB156" s="294">
        <f t="shared" si="127"/>
        <v>0</v>
      </c>
      <c r="YC156" s="294">
        <f t="shared" si="127"/>
        <v>0</v>
      </c>
      <c r="YD156" s="294">
        <f t="shared" si="127"/>
        <v>0</v>
      </c>
      <c r="YE156" s="294">
        <f t="shared" si="127"/>
        <v>-93336666.150000006</v>
      </c>
      <c r="YF156" s="294">
        <f t="shared" si="127"/>
        <v>0</v>
      </c>
      <c r="YG156" s="294">
        <f t="shared" si="127"/>
        <v>0</v>
      </c>
      <c r="YH156" s="294">
        <f t="shared" si="127"/>
        <v>0</v>
      </c>
      <c r="YI156" s="294">
        <f t="shared" si="127"/>
        <v>0</v>
      </c>
      <c r="YJ156" s="294">
        <f t="shared" si="127"/>
        <v>0</v>
      </c>
      <c r="YK156" s="294">
        <f t="shared" si="127"/>
        <v>0</v>
      </c>
      <c r="YL156" s="294">
        <f t="shared" si="127"/>
        <v>0</v>
      </c>
      <c r="YM156" s="294">
        <f t="shared" si="127"/>
        <v>0</v>
      </c>
      <c r="YN156" s="294">
        <f t="shared" si="127"/>
        <v>0</v>
      </c>
      <c r="YO156" s="294">
        <f t="shared" si="127"/>
        <v>0</v>
      </c>
      <c r="YP156" s="294">
        <f t="shared" si="127"/>
        <v>0</v>
      </c>
      <c r="YQ156" s="294">
        <f t="shared" si="127"/>
        <v>0</v>
      </c>
      <c r="YR156" s="294">
        <f t="shared" si="127"/>
        <v>0</v>
      </c>
      <c r="YS156" s="294">
        <f t="shared" si="127"/>
        <v>0</v>
      </c>
      <c r="YT156" s="294">
        <f t="shared" si="127"/>
        <v>0</v>
      </c>
      <c r="YU156" s="294">
        <f t="shared" si="127"/>
        <v>0</v>
      </c>
      <c r="YV156" s="294">
        <f t="shared" si="127"/>
        <v>-11748501.77</v>
      </c>
      <c r="YW156" s="294">
        <f t="shared" si="127"/>
        <v>0</v>
      </c>
      <c r="YX156" s="294">
        <f t="shared" si="127"/>
        <v>0</v>
      </c>
      <c r="YY156" s="294">
        <f t="shared" si="127"/>
        <v>0</v>
      </c>
      <c r="YZ156" s="294">
        <f t="shared" si="127"/>
        <v>0</v>
      </c>
      <c r="ZA156" s="294">
        <f t="shared" si="127"/>
        <v>0</v>
      </c>
      <c r="ZB156" s="294">
        <f t="shared" si="127"/>
        <v>0</v>
      </c>
      <c r="ZC156" s="294">
        <f t="shared" si="127"/>
        <v>-14532703.02</v>
      </c>
      <c r="ZD156" s="294">
        <f t="shared" si="127"/>
        <v>0</v>
      </c>
      <c r="ZE156" s="294">
        <f t="shared" si="127"/>
        <v>0</v>
      </c>
      <c r="ZF156" s="294">
        <f t="shared" si="127"/>
        <v>0</v>
      </c>
      <c r="ZG156" s="294">
        <f t="shared" si="127"/>
        <v>0</v>
      </c>
      <c r="ZH156" s="294">
        <f t="shared" si="127"/>
        <v>0</v>
      </c>
      <c r="ZI156" s="294">
        <f t="shared" si="127"/>
        <v>0</v>
      </c>
      <c r="ZJ156" s="294">
        <f t="shared" si="127"/>
        <v>0</v>
      </c>
      <c r="ZK156" s="294">
        <f t="shared" si="127"/>
        <v>0</v>
      </c>
      <c r="ZL156" s="294">
        <f t="shared" si="127"/>
        <v>-18580830.02</v>
      </c>
      <c r="ZM156" s="294">
        <f t="shared" si="127"/>
        <v>0</v>
      </c>
      <c r="ZN156" s="294">
        <f t="shared" si="127"/>
        <v>0</v>
      </c>
      <c r="ZO156" s="294">
        <f t="shared" si="127"/>
        <v>0</v>
      </c>
      <c r="ZP156" s="294">
        <f t="shared" si="127"/>
        <v>0</v>
      </c>
      <c r="ZQ156" s="294">
        <f t="shared" si="127"/>
        <v>0</v>
      </c>
      <c r="ZR156" s="294">
        <f t="shared" si="127"/>
        <v>0</v>
      </c>
      <c r="ZS156" s="294">
        <f t="shared" si="127"/>
        <v>0</v>
      </c>
      <c r="ZT156" s="294">
        <f t="shared" si="127"/>
        <v>0</v>
      </c>
      <c r="ZU156" s="294">
        <f t="shared" si="127"/>
        <v>0</v>
      </c>
      <c r="ZV156" s="294">
        <f t="shared" si="127"/>
        <v>0</v>
      </c>
      <c r="ZW156" s="294">
        <f t="shared" si="127"/>
        <v>0</v>
      </c>
      <c r="ZX156" s="294">
        <f t="shared" si="127"/>
        <v>0</v>
      </c>
      <c r="ZY156" s="294">
        <f t="shared" si="127"/>
        <v>0</v>
      </c>
      <c r="ZZ156" s="294">
        <f t="shared" si="127"/>
        <v>0</v>
      </c>
      <c r="AAA156" s="294">
        <f t="shared" si="127"/>
        <v>0</v>
      </c>
      <c r="AAB156" s="294">
        <f t="shared" si="127"/>
        <v>0</v>
      </c>
      <c r="AAC156" s="294">
        <f t="shared" si="127"/>
        <v>0</v>
      </c>
      <c r="AAD156" s="294">
        <f t="shared" si="127"/>
        <v>0</v>
      </c>
      <c r="AAE156" s="294">
        <f t="shared" si="127"/>
        <v>0</v>
      </c>
      <c r="AAF156" s="294">
        <f t="shared" si="127"/>
        <v>0</v>
      </c>
      <c r="AAG156" s="294">
        <f t="shared" ref="AAG156:ACR156" si="128">SUMIF($A$60:$A$148,$A$137,AAG$60:AAG$148)</f>
        <v>0</v>
      </c>
      <c r="AAH156" s="294">
        <f t="shared" si="128"/>
        <v>-10415199.699999999</v>
      </c>
      <c r="AAI156" s="294">
        <f t="shared" si="128"/>
        <v>0</v>
      </c>
      <c r="AAJ156" s="294">
        <f t="shared" si="128"/>
        <v>0</v>
      </c>
      <c r="AAK156" s="294">
        <f t="shared" si="128"/>
        <v>0</v>
      </c>
      <c r="AAL156" s="294">
        <f t="shared" si="128"/>
        <v>0</v>
      </c>
      <c r="AAM156" s="294">
        <f t="shared" si="128"/>
        <v>0</v>
      </c>
      <c r="AAN156" s="294">
        <f t="shared" si="128"/>
        <v>0</v>
      </c>
      <c r="AAO156" s="294">
        <f t="shared" si="128"/>
        <v>-126485796.64</v>
      </c>
      <c r="AAP156" s="294">
        <f t="shared" si="128"/>
        <v>0</v>
      </c>
      <c r="AAQ156" s="294">
        <f t="shared" si="128"/>
        <v>0</v>
      </c>
      <c r="AAR156" s="294">
        <f t="shared" si="128"/>
        <v>0</v>
      </c>
      <c r="AAS156" s="294">
        <f t="shared" si="128"/>
        <v>0</v>
      </c>
      <c r="AAT156" s="294">
        <f t="shared" si="128"/>
        <v>0</v>
      </c>
      <c r="AAU156" s="294">
        <f t="shared" si="128"/>
        <v>0</v>
      </c>
      <c r="AAV156" s="294">
        <f t="shared" si="128"/>
        <v>0</v>
      </c>
      <c r="AAW156" s="294">
        <f t="shared" si="128"/>
        <v>0</v>
      </c>
      <c r="AAX156" s="294">
        <f t="shared" si="128"/>
        <v>0</v>
      </c>
      <c r="AAY156" s="294">
        <f t="shared" si="128"/>
        <v>0</v>
      </c>
      <c r="AAZ156" s="294">
        <f t="shared" si="128"/>
        <v>-30495865.600000001</v>
      </c>
      <c r="ABA156" s="294">
        <f t="shared" si="128"/>
        <v>0</v>
      </c>
      <c r="ABB156" s="294">
        <f t="shared" si="128"/>
        <v>0</v>
      </c>
      <c r="ABC156" s="294">
        <f t="shared" si="128"/>
        <v>0</v>
      </c>
      <c r="ABD156" s="294">
        <f t="shared" si="128"/>
        <v>0</v>
      </c>
      <c r="ABE156" s="294">
        <f t="shared" si="128"/>
        <v>0</v>
      </c>
      <c r="ABF156" s="294">
        <f t="shared" si="128"/>
        <v>0</v>
      </c>
      <c r="ABG156" s="294">
        <f t="shared" si="128"/>
        <v>0</v>
      </c>
      <c r="ABH156" s="294">
        <f t="shared" si="128"/>
        <v>0</v>
      </c>
      <c r="ABI156" s="294">
        <f t="shared" si="128"/>
        <v>0</v>
      </c>
      <c r="ABJ156" s="294">
        <f t="shared" si="128"/>
        <v>0</v>
      </c>
      <c r="ABK156" s="294">
        <f t="shared" si="128"/>
        <v>0</v>
      </c>
      <c r="ABL156" s="294">
        <f t="shared" si="128"/>
        <v>0</v>
      </c>
      <c r="ABM156" s="294">
        <f t="shared" si="128"/>
        <v>0</v>
      </c>
      <c r="ABN156" s="294">
        <f t="shared" si="128"/>
        <v>0</v>
      </c>
      <c r="ABO156" s="294">
        <f t="shared" si="128"/>
        <v>-1141791.8600000001</v>
      </c>
      <c r="ABP156" s="294">
        <f t="shared" si="128"/>
        <v>0</v>
      </c>
      <c r="ABQ156" s="294">
        <f t="shared" si="128"/>
        <v>0</v>
      </c>
      <c r="ABR156" s="294">
        <f t="shared" si="128"/>
        <v>0</v>
      </c>
      <c r="ABS156" s="294">
        <f t="shared" si="128"/>
        <v>0</v>
      </c>
      <c r="ABT156" s="294">
        <f t="shared" si="128"/>
        <v>0</v>
      </c>
      <c r="ABU156" s="294">
        <f t="shared" si="128"/>
        <v>0</v>
      </c>
      <c r="ABV156" s="294">
        <f t="shared" si="128"/>
        <v>0</v>
      </c>
      <c r="ABW156" s="294">
        <f t="shared" si="128"/>
        <v>0</v>
      </c>
      <c r="ABX156" s="294">
        <f t="shared" si="128"/>
        <v>-76368918.609999999</v>
      </c>
      <c r="ABY156" s="294">
        <f t="shared" si="128"/>
        <v>0</v>
      </c>
      <c r="ABZ156" s="294">
        <f t="shared" si="128"/>
        <v>0</v>
      </c>
      <c r="ACA156" s="294">
        <f t="shared" si="128"/>
        <v>0</v>
      </c>
      <c r="ACB156" s="294">
        <f t="shared" si="128"/>
        <v>0</v>
      </c>
      <c r="ACC156" s="294">
        <f t="shared" si="128"/>
        <v>0</v>
      </c>
      <c r="ACD156" s="294">
        <f t="shared" si="128"/>
        <v>0</v>
      </c>
      <c r="ACE156" s="294">
        <f t="shared" si="128"/>
        <v>0</v>
      </c>
      <c r="ACF156" s="294">
        <f t="shared" si="128"/>
        <v>0</v>
      </c>
      <c r="ACG156" s="294">
        <f t="shared" si="128"/>
        <v>0</v>
      </c>
      <c r="ACH156" s="294">
        <f t="shared" si="128"/>
        <v>0</v>
      </c>
      <c r="ACI156" s="294">
        <f t="shared" si="128"/>
        <v>-21565356.050000001</v>
      </c>
      <c r="ACJ156" s="294">
        <f t="shared" si="128"/>
        <v>0</v>
      </c>
      <c r="ACK156" s="294">
        <f t="shared" si="128"/>
        <v>0</v>
      </c>
      <c r="ACL156" s="294">
        <f t="shared" si="128"/>
        <v>0</v>
      </c>
      <c r="ACM156" s="294">
        <f t="shared" si="128"/>
        <v>0</v>
      </c>
      <c r="ACN156" s="294">
        <f t="shared" si="128"/>
        <v>0</v>
      </c>
      <c r="ACO156" s="294">
        <f t="shared" si="128"/>
        <v>0</v>
      </c>
      <c r="ACP156" s="294">
        <f t="shared" si="128"/>
        <v>-20639859.600000001</v>
      </c>
      <c r="ACQ156" s="294">
        <f t="shared" si="128"/>
        <v>-66677600.960000001</v>
      </c>
      <c r="ACR156" s="294">
        <f t="shared" si="128"/>
        <v>0</v>
      </c>
      <c r="ACS156" s="294">
        <f t="shared" ref="ACS156:AFD156" si="129">SUMIF($A$60:$A$148,$A$137,ACS$60:ACS$148)</f>
        <v>0</v>
      </c>
      <c r="ACT156" s="294">
        <f t="shared" si="129"/>
        <v>0</v>
      </c>
      <c r="ACU156" s="294">
        <f t="shared" si="129"/>
        <v>0</v>
      </c>
      <c r="ACV156" s="294">
        <f t="shared" si="129"/>
        <v>-3502823.77</v>
      </c>
      <c r="ACW156" s="294">
        <f t="shared" si="129"/>
        <v>0</v>
      </c>
      <c r="ACX156" s="294">
        <f t="shared" si="129"/>
        <v>0</v>
      </c>
      <c r="ACY156" s="294">
        <f t="shared" si="129"/>
        <v>0</v>
      </c>
      <c r="ACZ156" s="294">
        <f t="shared" si="129"/>
        <v>0</v>
      </c>
      <c r="ADA156" s="294">
        <f t="shared" si="129"/>
        <v>0</v>
      </c>
      <c r="ADB156" s="294">
        <f t="shared" si="129"/>
        <v>0</v>
      </c>
      <c r="ADC156" s="294">
        <f t="shared" si="129"/>
        <v>0</v>
      </c>
      <c r="ADD156" s="294">
        <f t="shared" si="129"/>
        <v>0</v>
      </c>
      <c r="ADE156" s="294">
        <f t="shared" si="129"/>
        <v>0</v>
      </c>
      <c r="ADF156" s="294">
        <f t="shared" si="129"/>
        <v>-2875767.75</v>
      </c>
      <c r="ADG156" s="294">
        <f t="shared" si="129"/>
        <v>-3263340.66</v>
      </c>
      <c r="ADH156" s="294">
        <f t="shared" si="129"/>
        <v>0</v>
      </c>
      <c r="ADI156" s="294">
        <f t="shared" si="129"/>
        <v>0</v>
      </c>
      <c r="ADJ156" s="294">
        <f t="shared" si="129"/>
        <v>0</v>
      </c>
      <c r="ADK156" s="294">
        <f t="shared" si="129"/>
        <v>0</v>
      </c>
      <c r="ADL156" s="294">
        <f t="shared" si="129"/>
        <v>0</v>
      </c>
      <c r="ADM156" s="294">
        <f t="shared" si="129"/>
        <v>0</v>
      </c>
      <c r="ADN156" s="294">
        <f t="shared" si="129"/>
        <v>0</v>
      </c>
      <c r="ADO156" s="294">
        <f t="shared" si="129"/>
        <v>-58045277.850000001</v>
      </c>
      <c r="ADP156" s="294">
        <f t="shared" si="129"/>
        <v>-25983839.199999999</v>
      </c>
      <c r="ADQ156" s="294">
        <f t="shared" si="129"/>
        <v>0</v>
      </c>
      <c r="ADR156" s="294">
        <f t="shared" si="129"/>
        <v>0</v>
      </c>
      <c r="ADS156" s="294">
        <f t="shared" si="129"/>
        <v>-4059612.84</v>
      </c>
      <c r="ADT156" s="294">
        <f t="shared" si="129"/>
        <v>0</v>
      </c>
      <c r="ADU156" s="294">
        <f t="shared" si="129"/>
        <v>-5474.57</v>
      </c>
      <c r="ADV156" s="294">
        <f t="shared" si="129"/>
        <v>0</v>
      </c>
      <c r="ADW156" s="294">
        <f t="shared" si="129"/>
        <v>0</v>
      </c>
      <c r="ADX156" s="294">
        <f t="shared" si="129"/>
        <v>0</v>
      </c>
      <c r="ADY156" s="294">
        <f t="shared" si="129"/>
        <v>-40616904.57</v>
      </c>
      <c r="ADZ156" s="294">
        <f t="shared" si="129"/>
        <v>-4559355.8499999996</v>
      </c>
      <c r="AEA156" s="294">
        <f t="shared" si="129"/>
        <v>0</v>
      </c>
      <c r="AEB156" s="294">
        <f t="shared" si="129"/>
        <v>0</v>
      </c>
      <c r="AEC156" s="294">
        <f t="shared" si="129"/>
        <v>0</v>
      </c>
      <c r="AED156" s="294">
        <f t="shared" si="129"/>
        <v>0</v>
      </c>
      <c r="AEE156" s="294">
        <f t="shared" si="129"/>
        <v>0</v>
      </c>
      <c r="AEF156" s="294">
        <f t="shared" si="129"/>
        <v>0</v>
      </c>
      <c r="AEG156" s="294">
        <f t="shared" si="129"/>
        <v>0</v>
      </c>
      <c r="AEH156" s="294">
        <f t="shared" si="129"/>
        <v>0</v>
      </c>
      <c r="AEI156" s="294">
        <f t="shared" si="129"/>
        <v>0</v>
      </c>
      <c r="AEJ156" s="294">
        <f t="shared" si="129"/>
        <v>0</v>
      </c>
      <c r="AEK156" s="294">
        <f t="shared" si="129"/>
        <v>0</v>
      </c>
      <c r="AEL156" s="294">
        <f t="shared" si="129"/>
        <v>0</v>
      </c>
      <c r="AEM156" s="294">
        <f t="shared" si="129"/>
        <v>0</v>
      </c>
      <c r="AEN156" s="294">
        <f t="shared" si="129"/>
        <v>0</v>
      </c>
      <c r="AEO156" s="294">
        <f t="shared" si="129"/>
        <v>0</v>
      </c>
      <c r="AEP156" s="294">
        <f t="shared" si="129"/>
        <v>0</v>
      </c>
      <c r="AEQ156" s="294">
        <f t="shared" si="129"/>
        <v>0</v>
      </c>
      <c r="AER156" s="294">
        <f t="shared" si="129"/>
        <v>0</v>
      </c>
      <c r="AES156" s="294">
        <f t="shared" si="129"/>
        <v>-8890399.7200000007</v>
      </c>
      <c r="AET156" s="294">
        <f t="shared" si="129"/>
        <v>0</v>
      </c>
      <c r="AEU156" s="294">
        <f t="shared" si="129"/>
        <v>0</v>
      </c>
      <c r="AEV156" s="294">
        <f t="shared" si="129"/>
        <v>0</v>
      </c>
      <c r="AEW156" s="294">
        <f t="shared" si="129"/>
        <v>0</v>
      </c>
      <c r="AEX156" s="294">
        <f t="shared" si="129"/>
        <v>0</v>
      </c>
      <c r="AEY156" s="294">
        <f t="shared" si="129"/>
        <v>0</v>
      </c>
      <c r="AEZ156" s="294">
        <f t="shared" si="129"/>
        <v>0</v>
      </c>
      <c r="AFA156" s="294">
        <f t="shared" si="129"/>
        <v>0</v>
      </c>
      <c r="AFB156" s="294">
        <f t="shared" si="129"/>
        <v>0</v>
      </c>
      <c r="AFC156" s="294">
        <f t="shared" si="129"/>
        <v>-15194882.99</v>
      </c>
      <c r="AFD156" s="294">
        <f t="shared" si="129"/>
        <v>-1537698.04</v>
      </c>
      <c r="AFE156" s="294">
        <f t="shared" ref="AFE156:AHP156" si="130">SUMIF($A$60:$A$148,$A$137,AFE$60:AFE$148)</f>
        <v>0</v>
      </c>
      <c r="AFF156" s="294">
        <f t="shared" si="130"/>
        <v>0</v>
      </c>
      <c r="AFG156" s="294">
        <f t="shared" si="130"/>
        <v>0</v>
      </c>
      <c r="AFH156" s="294">
        <f t="shared" si="130"/>
        <v>0</v>
      </c>
      <c r="AFI156" s="294">
        <f t="shared" si="130"/>
        <v>0</v>
      </c>
      <c r="AFJ156" s="294">
        <f t="shared" si="130"/>
        <v>0</v>
      </c>
      <c r="AFK156" s="294">
        <f t="shared" si="130"/>
        <v>0</v>
      </c>
      <c r="AFL156" s="294">
        <f t="shared" si="130"/>
        <v>0</v>
      </c>
      <c r="AFM156" s="294">
        <f t="shared" si="130"/>
        <v>0</v>
      </c>
      <c r="AFN156" s="294">
        <f t="shared" si="130"/>
        <v>0</v>
      </c>
      <c r="AFO156" s="294">
        <f t="shared" si="130"/>
        <v>0</v>
      </c>
      <c r="AFP156" s="294">
        <f t="shared" si="130"/>
        <v>-3933745</v>
      </c>
      <c r="AFQ156" s="294">
        <f t="shared" si="130"/>
        <v>0</v>
      </c>
      <c r="AFR156" s="294">
        <f t="shared" si="130"/>
        <v>0</v>
      </c>
      <c r="AFS156" s="294">
        <f t="shared" si="130"/>
        <v>0</v>
      </c>
      <c r="AFT156" s="294">
        <f t="shared" si="130"/>
        <v>0</v>
      </c>
      <c r="AFU156" s="294">
        <f t="shared" si="130"/>
        <v>0</v>
      </c>
      <c r="AFV156" s="294">
        <f t="shared" si="130"/>
        <v>0</v>
      </c>
      <c r="AFW156" s="294">
        <f t="shared" si="130"/>
        <v>0</v>
      </c>
      <c r="AFX156" s="294">
        <f t="shared" si="130"/>
        <v>0</v>
      </c>
      <c r="AFY156" s="294">
        <f t="shared" si="130"/>
        <v>0</v>
      </c>
      <c r="AFZ156" s="294">
        <f t="shared" si="130"/>
        <v>0</v>
      </c>
      <c r="AGA156" s="294">
        <f t="shared" si="130"/>
        <v>0</v>
      </c>
      <c r="AGB156" s="294">
        <f t="shared" si="130"/>
        <v>-11756855.470000001</v>
      </c>
      <c r="AGC156" s="294">
        <f t="shared" si="130"/>
        <v>0</v>
      </c>
      <c r="AGD156" s="294">
        <f t="shared" si="130"/>
        <v>0</v>
      </c>
      <c r="AGE156" s="294">
        <f t="shared" si="130"/>
        <v>0</v>
      </c>
      <c r="AGF156" s="294">
        <f t="shared" si="130"/>
        <v>0</v>
      </c>
      <c r="AGG156" s="294">
        <f t="shared" si="130"/>
        <v>0</v>
      </c>
      <c r="AGH156" s="294">
        <f t="shared" si="130"/>
        <v>0</v>
      </c>
      <c r="AGI156" s="294">
        <f t="shared" si="130"/>
        <v>0</v>
      </c>
      <c r="AGJ156" s="294">
        <f t="shared" si="130"/>
        <v>0</v>
      </c>
      <c r="AGK156" s="294">
        <f t="shared" si="130"/>
        <v>0</v>
      </c>
      <c r="AGL156" s="294">
        <f t="shared" si="130"/>
        <v>0</v>
      </c>
      <c r="AGM156" s="294">
        <f t="shared" si="130"/>
        <v>0</v>
      </c>
      <c r="AGN156" s="294">
        <f t="shared" si="130"/>
        <v>-431614.37</v>
      </c>
      <c r="AGO156" s="294">
        <f t="shared" si="130"/>
        <v>0</v>
      </c>
      <c r="AGP156" s="294">
        <f t="shared" si="130"/>
        <v>0</v>
      </c>
      <c r="AGQ156" s="294">
        <f t="shared" si="130"/>
        <v>0</v>
      </c>
      <c r="AGR156" s="294">
        <f t="shared" si="130"/>
        <v>0</v>
      </c>
      <c r="AGS156" s="294">
        <f t="shared" si="130"/>
        <v>0</v>
      </c>
      <c r="AGT156" s="294">
        <f t="shared" si="130"/>
        <v>0</v>
      </c>
      <c r="AGU156" s="294">
        <f t="shared" si="130"/>
        <v>-34692216.689999998</v>
      </c>
      <c r="AGV156" s="294">
        <f t="shared" si="130"/>
        <v>-3017433.36</v>
      </c>
      <c r="AGW156" s="294">
        <f t="shared" si="130"/>
        <v>0</v>
      </c>
      <c r="AGX156" s="294">
        <f t="shared" si="130"/>
        <v>0</v>
      </c>
      <c r="AGY156" s="294">
        <f t="shared" si="130"/>
        <v>0</v>
      </c>
      <c r="AGZ156" s="294">
        <f t="shared" si="130"/>
        <v>0</v>
      </c>
      <c r="AHA156" s="294">
        <f t="shared" si="130"/>
        <v>0</v>
      </c>
      <c r="AHB156" s="294">
        <f t="shared" si="130"/>
        <v>0</v>
      </c>
      <c r="AHC156" s="294">
        <f t="shared" si="130"/>
        <v>0</v>
      </c>
      <c r="AHD156" s="294">
        <f t="shared" si="130"/>
        <v>0</v>
      </c>
      <c r="AHE156" s="294">
        <f t="shared" si="130"/>
        <v>0</v>
      </c>
      <c r="AHF156" s="294">
        <f t="shared" si="130"/>
        <v>0</v>
      </c>
      <c r="AHG156" s="294">
        <f t="shared" si="130"/>
        <v>0</v>
      </c>
      <c r="AHH156" s="294">
        <f t="shared" si="130"/>
        <v>0</v>
      </c>
      <c r="AHI156" s="294">
        <f t="shared" si="130"/>
        <v>0</v>
      </c>
      <c r="AHJ156" s="294">
        <f t="shared" si="130"/>
        <v>0</v>
      </c>
      <c r="AHK156" s="294">
        <f t="shared" si="130"/>
        <v>0</v>
      </c>
      <c r="AHL156" s="294">
        <f t="shared" si="130"/>
        <v>-7940543.5800000001</v>
      </c>
      <c r="AHM156" s="294">
        <f t="shared" si="130"/>
        <v>0</v>
      </c>
      <c r="AHN156" s="294">
        <f t="shared" si="130"/>
        <v>0</v>
      </c>
      <c r="AHO156" s="294">
        <f t="shared" si="130"/>
        <v>0</v>
      </c>
      <c r="AHP156" s="294">
        <f t="shared" si="130"/>
        <v>0</v>
      </c>
      <c r="AHQ156" s="294">
        <f t="shared" ref="AHQ156:AHR156" si="131">SUMIF($A$60:$A$148,$A$137,AHQ$60:AHQ$148)</f>
        <v>0</v>
      </c>
      <c r="AHR156" s="294">
        <f t="shared" si="131"/>
        <v>0</v>
      </c>
    </row>
    <row r="157" spans="1:907" ht="25.2" customHeight="1" x14ac:dyDescent="0.75">
      <c r="B157" s="268" t="s">
        <v>6285</v>
      </c>
      <c r="C157" s="420" t="s">
        <v>6277</v>
      </c>
      <c r="D157" s="294">
        <f>SUMIF($A$60:$A$148,$A$60,D$60:D$148)</f>
        <v>-172352665.47000003</v>
      </c>
      <c r="E157" s="294">
        <f t="shared" ref="E157:BP157" si="132">SUMIF($A$60:$A$148,$A$60,E$60:E$148)</f>
        <v>-31157111.759999998</v>
      </c>
      <c r="F157" s="294">
        <f t="shared" si="132"/>
        <v>-55895235.469999991</v>
      </c>
      <c r="G157" s="294">
        <f t="shared" si="132"/>
        <v>-8571719.6199999992</v>
      </c>
      <c r="H157" s="294">
        <f t="shared" si="132"/>
        <v>-53515255.619999997</v>
      </c>
      <c r="I157" s="294">
        <f t="shared" si="132"/>
        <v>-8655138.209999999</v>
      </c>
      <c r="J157" s="294">
        <f t="shared" si="132"/>
        <v>-67329534.999999985</v>
      </c>
      <c r="K157" s="294">
        <f t="shared" si="132"/>
        <v>-6031918.1000000006</v>
      </c>
      <c r="L157" s="294">
        <f t="shared" si="132"/>
        <v>-19804003.409999996</v>
      </c>
      <c r="M157" s="294">
        <f t="shared" si="132"/>
        <v>-20633877.600000001</v>
      </c>
      <c r="N157" s="294">
        <f t="shared" si="132"/>
        <v>-19948549.179999996</v>
      </c>
      <c r="O157" s="294">
        <f t="shared" si="132"/>
        <v>-14315228.75</v>
      </c>
      <c r="P157" s="294">
        <f t="shared" si="132"/>
        <v>-55571072.759999998</v>
      </c>
      <c r="Q157" s="294">
        <f t="shared" si="132"/>
        <v>-14713469.77</v>
      </c>
      <c r="R157" s="294">
        <f t="shared" si="132"/>
        <v>-9445812.9299999978</v>
      </c>
      <c r="S157" s="294">
        <f t="shared" si="132"/>
        <v>-51756580.43</v>
      </c>
      <c r="T157" s="294">
        <f t="shared" si="132"/>
        <v>-17371364.490000002</v>
      </c>
      <c r="U157" s="294">
        <f t="shared" si="132"/>
        <v>-9252265.5799999982</v>
      </c>
      <c r="V157" s="294">
        <f t="shared" si="132"/>
        <v>-350426852.92999995</v>
      </c>
      <c r="W157" s="294">
        <f t="shared" si="132"/>
        <v>-94086542.499999985</v>
      </c>
      <c r="X157" s="294">
        <f t="shared" si="132"/>
        <v>-11921611.6</v>
      </c>
      <c r="Y157" s="294">
        <f t="shared" si="132"/>
        <v>-14369225.440000001</v>
      </c>
      <c r="Z157" s="294">
        <f t="shared" si="132"/>
        <v>-29182389.459999997</v>
      </c>
      <c r="AA157" s="294">
        <f t="shared" si="132"/>
        <v>-31266387.480000004</v>
      </c>
      <c r="AB157" s="294">
        <f t="shared" si="132"/>
        <v>-25741983.110000003</v>
      </c>
      <c r="AC157" s="294">
        <f t="shared" si="132"/>
        <v>-173199829.31</v>
      </c>
      <c r="AD157" s="294">
        <f t="shared" si="132"/>
        <v>-45726930.170000009</v>
      </c>
      <c r="AE157" s="294">
        <f t="shared" si="132"/>
        <v>-49240684.799999997</v>
      </c>
      <c r="AF157" s="294">
        <f t="shared" si="132"/>
        <v>-147568816.42000002</v>
      </c>
      <c r="AG157" s="294">
        <f t="shared" si="132"/>
        <v>-39098172.439999998</v>
      </c>
      <c r="AH157" s="294">
        <f t="shared" si="132"/>
        <v>-128173581.40999995</v>
      </c>
      <c r="AI157" s="294">
        <f t="shared" si="132"/>
        <v>-71484797.230000004</v>
      </c>
      <c r="AJ157" s="294">
        <f t="shared" si="132"/>
        <v>-26747759.519999992</v>
      </c>
      <c r="AK157" s="294">
        <f t="shared" si="132"/>
        <v>-21108466.039999999</v>
      </c>
      <c r="AL157" s="294">
        <f t="shared" si="132"/>
        <v>-23896140.190000001</v>
      </c>
      <c r="AM157" s="294">
        <f t="shared" si="132"/>
        <v>-41830135.859999999</v>
      </c>
      <c r="AN157" s="294">
        <f t="shared" si="132"/>
        <v>-32650165.02</v>
      </c>
      <c r="AO157" s="294">
        <f t="shared" si="132"/>
        <v>-25946227.079999998</v>
      </c>
      <c r="AP157" s="294">
        <f t="shared" si="132"/>
        <v>-18719932.710000005</v>
      </c>
      <c r="AQ157" s="294">
        <f t="shared" si="132"/>
        <v>-19037835.75</v>
      </c>
      <c r="AR157" s="294">
        <f t="shared" si="132"/>
        <v>-29151467.109999999</v>
      </c>
      <c r="AS157" s="294">
        <f t="shared" si="132"/>
        <v>-18219766.449999999</v>
      </c>
      <c r="AT157" s="294">
        <f t="shared" si="132"/>
        <v>-134148410.37</v>
      </c>
      <c r="AU157" s="294">
        <f t="shared" si="132"/>
        <v>-4006993.7700000005</v>
      </c>
      <c r="AV157" s="294">
        <f t="shared" si="132"/>
        <v>-4189031.9900000007</v>
      </c>
      <c r="AW157" s="294">
        <f t="shared" si="132"/>
        <v>-9489410.6699999999</v>
      </c>
      <c r="AX157" s="294">
        <f t="shared" si="132"/>
        <v>-20364466.75</v>
      </c>
      <c r="AY157" s="294">
        <f t="shared" si="132"/>
        <v>-27657823.340000004</v>
      </c>
      <c r="AZ157" s="294">
        <f t="shared" si="132"/>
        <v>-4079955.11</v>
      </c>
      <c r="BA157" s="294">
        <f t="shared" si="132"/>
        <v>-6228013.7699999996</v>
      </c>
      <c r="BB157" s="294">
        <f t="shared" si="132"/>
        <v>-2909741.4099999997</v>
      </c>
      <c r="BC157" s="294">
        <f t="shared" si="132"/>
        <v>-5738761.7999999998</v>
      </c>
      <c r="BD157" s="294">
        <f t="shared" si="132"/>
        <v>-3991569.7699999996</v>
      </c>
      <c r="BE157" s="294">
        <f t="shared" si="132"/>
        <v>-8563310.0300000012</v>
      </c>
      <c r="BF157" s="294">
        <f t="shared" si="132"/>
        <v>-46671593.869999997</v>
      </c>
      <c r="BG157" s="294">
        <f t="shared" si="132"/>
        <v>-3211545.41</v>
      </c>
      <c r="BH157" s="294">
        <f t="shared" si="132"/>
        <v>-9347562.3199999984</v>
      </c>
      <c r="BI157" s="294">
        <f t="shared" si="132"/>
        <v>-230534834.64000002</v>
      </c>
      <c r="BJ157" s="294">
        <f t="shared" si="132"/>
        <v>-89027557.519999981</v>
      </c>
      <c r="BK157" s="294">
        <f t="shared" si="132"/>
        <v>-23393085.130000003</v>
      </c>
      <c r="BL157" s="294">
        <f t="shared" si="132"/>
        <v>-12673204</v>
      </c>
      <c r="BM157" s="294">
        <f t="shared" si="132"/>
        <v>-33717116.390000001</v>
      </c>
      <c r="BN157" s="294">
        <f t="shared" si="132"/>
        <v>-15230319.609999999</v>
      </c>
      <c r="BO157" s="294">
        <f t="shared" si="132"/>
        <v>-12032095.700000001</v>
      </c>
      <c r="BP157" s="294">
        <f t="shared" si="132"/>
        <v>-4195273.58</v>
      </c>
      <c r="BQ157" s="294">
        <f t="shared" ref="BQ157:EB157" si="133">SUMIF($A$60:$A$148,$A$60,BQ$60:BQ$148)</f>
        <v>-2467998.4200000004</v>
      </c>
      <c r="BR157" s="294">
        <f t="shared" si="133"/>
        <v>-120227958.62</v>
      </c>
      <c r="BS157" s="294">
        <f t="shared" si="133"/>
        <v>-6104269.9399999995</v>
      </c>
      <c r="BT157" s="294">
        <f t="shared" si="133"/>
        <v>-6478862.6400000006</v>
      </c>
      <c r="BU157" s="294">
        <f t="shared" si="133"/>
        <v>-16043527.880000001</v>
      </c>
      <c r="BV157" s="294">
        <f t="shared" si="133"/>
        <v>-11464879.680000002</v>
      </c>
      <c r="BW157" s="294">
        <f t="shared" si="133"/>
        <v>-7342096.7500000009</v>
      </c>
      <c r="BX157" s="294">
        <f t="shared" si="133"/>
        <v>-5259972.87</v>
      </c>
      <c r="BY157" s="294">
        <f t="shared" si="133"/>
        <v>-7124325.9000000004</v>
      </c>
      <c r="BZ157" s="294">
        <f t="shared" si="133"/>
        <v>-88126143.983000025</v>
      </c>
      <c r="CA157" s="294">
        <f t="shared" si="133"/>
        <v>-19908244.369999997</v>
      </c>
      <c r="CB157" s="294">
        <f t="shared" si="133"/>
        <v>-27960115.630000003</v>
      </c>
      <c r="CC157" s="294">
        <f t="shared" si="133"/>
        <v>-49494680.600000001</v>
      </c>
      <c r="CD157" s="294">
        <f t="shared" si="133"/>
        <v>-15367709.790000001</v>
      </c>
      <c r="CE157" s="294">
        <f t="shared" si="133"/>
        <v>-12704453.99</v>
      </c>
      <c r="CF157" s="294">
        <f t="shared" si="133"/>
        <v>-13621011.770000001</v>
      </c>
      <c r="CG157" s="294">
        <f t="shared" si="133"/>
        <v>-66217780.61999999</v>
      </c>
      <c r="CH157" s="294">
        <f t="shared" si="133"/>
        <v>-12338092.670000002</v>
      </c>
      <c r="CI157" s="294">
        <f t="shared" si="133"/>
        <v>-38518894.149999999</v>
      </c>
      <c r="CJ157" s="294">
        <f t="shared" si="133"/>
        <v>-7150889.71</v>
      </c>
      <c r="CK157" s="294">
        <f t="shared" si="133"/>
        <v>-12105881.170000002</v>
      </c>
      <c r="CL157" s="294">
        <f t="shared" si="133"/>
        <v>-14471731.159999998</v>
      </c>
      <c r="CM157" s="294">
        <f t="shared" si="133"/>
        <v>-8708179.370000001</v>
      </c>
      <c r="CN157" s="294">
        <f t="shared" si="133"/>
        <v>-21715467.909999996</v>
      </c>
      <c r="CO157" s="294">
        <f t="shared" si="133"/>
        <v>-3635766.2</v>
      </c>
      <c r="CP157" s="294">
        <f t="shared" si="133"/>
        <v>-14113834.84</v>
      </c>
      <c r="CQ157" s="294">
        <f t="shared" si="133"/>
        <v>-9094485.8300000019</v>
      </c>
      <c r="CR157" s="294">
        <f t="shared" si="133"/>
        <v>-10697936.509999998</v>
      </c>
      <c r="CS157" s="294">
        <f t="shared" si="133"/>
        <v>-8368450.21</v>
      </c>
      <c r="CT157" s="294">
        <f t="shared" si="133"/>
        <v>-129798599.54000001</v>
      </c>
      <c r="CU157" s="294">
        <f t="shared" si="133"/>
        <v>-5333536.5299999993</v>
      </c>
      <c r="CV157" s="294">
        <f t="shared" si="133"/>
        <v>-14812743.02</v>
      </c>
      <c r="CW157" s="294">
        <f t="shared" si="133"/>
        <v>-33108097.500000004</v>
      </c>
      <c r="CX157" s="294">
        <f t="shared" si="133"/>
        <v>-3536313.33</v>
      </c>
      <c r="CY157" s="294">
        <f t="shared" si="133"/>
        <v>-23214470.18</v>
      </c>
      <c r="CZ157" s="294">
        <f t="shared" si="133"/>
        <v>-10286072.380000001</v>
      </c>
      <c r="DA157" s="294">
        <f t="shared" si="133"/>
        <v>-7280002.5200000005</v>
      </c>
      <c r="DB157" s="294">
        <f t="shared" si="133"/>
        <v>-139988396.84</v>
      </c>
      <c r="DC157" s="294">
        <f t="shared" si="133"/>
        <v>-226232012.58999994</v>
      </c>
      <c r="DD157" s="294">
        <f t="shared" si="133"/>
        <v>-20329230.809999999</v>
      </c>
      <c r="DE157" s="294">
        <f t="shared" si="133"/>
        <v>-20874506.350000001</v>
      </c>
      <c r="DF157" s="294">
        <f t="shared" si="133"/>
        <v>-26910137.949999999</v>
      </c>
      <c r="DG157" s="294">
        <f t="shared" si="133"/>
        <v>-30400591.049999997</v>
      </c>
      <c r="DH157" s="294">
        <f t="shared" si="133"/>
        <v>-42008307.050000004</v>
      </c>
      <c r="DI157" s="294">
        <f t="shared" si="133"/>
        <v>-31905257.659999996</v>
      </c>
      <c r="DJ157" s="294">
        <f t="shared" si="133"/>
        <v>-16288502.869999999</v>
      </c>
      <c r="DK157" s="294">
        <f t="shared" si="133"/>
        <v>-348397189.88</v>
      </c>
      <c r="DL157" s="294">
        <f t="shared" si="133"/>
        <v>-17313903.139999997</v>
      </c>
      <c r="DM157" s="294">
        <f t="shared" si="133"/>
        <v>-26738121.449999996</v>
      </c>
      <c r="DN157" s="294">
        <f t="shared" si="133"/>
        <v>-18508801.029999997</v>
      </c>
      <c r="DO157" s="294">
        <f t="shared" si="133"/>
        <v>-16024070.229800001</v>
      </c>
      <c r="DP157" s="294">
        <f t="shared" si="133"/>
        <v>-16527689.500000002</v>
      </c>
      <c r="DQ157" s="294">
        <f t="shared" si="133"/>
        <v>-47702835.579999991</v>
      </c>
      <c r="DR157" s="294">
        <f t="shared" si="133"/>
        <v>-13896934.779900001</v>
      </c>
      <c r="DS157" s="294">
        <f t="shared" si="133"/>
        <v>-28834135.420000002</v>
      </c>
      <c r="DT157" s="294">
        <f t="shared" si="133"/>
        <v>-246375350.11000004</v>
      </c>
      <c r="DU157" s="294">
        <f t="shared" si="133"/>
        <v>-38475841.589999996</v>
      </c>
      <c r="DV157" s="294">
        <f t="shared" si="133"/>
        <v>-76052220.859999999</v>
      </c>
      <c r="DW157" s="294">
        <f t="shared" si="133"/>
        <v>-92801123.420000002</v>
      </c>
      <c r="DX157" s="294">
        <f t="shared" si="133"/>
        <v>-35043923.120000005</v>
      </c>
      <c r="DY157" s="294">
        <f t="shared" si="133"/>
        <v>-41315949.299999997</v>
      </c>
      <c r="DZ157" s="294">
        <f t="shared" si="133"/>
        <v>-32389882.43</v>
      </c>
      <c r="EA157" s="294">
        <f t="shared" si="133"/>
        <v>-7934706.0699999994</v>
      </c>
      <c r="EB157" s="294">
        <f t="shared" si="133"/>
        <v>-22873860.780000001</v>
      </c>
      <c r="EC157" s="294">
        <f t="shared" ref="EC157:GN157" si="134">SUMIF($A$60:$A$148,$A$60,EC$60:EC$148)</f>
        <v>-16341471.189999999</v>
      </c>
      <c r="ED157" s="294">
        <f t="shared" si="134"/>
        <v>-58987480.07</v>
      </c>
      <c r="EE157" s="294">
        <f t="shared" si="134"/>
        <v>-81125923.50999999</v>
      </c>
      <c r="EF157" s="294">
        <f t="shared" si="134"/>
        <v>-64697224.099999994</v>
      </c>
      <c r="EG157" s="294">
        <f t="shared" si="134"/>
        <v>-19160730.149999995</v>
      </c>
      <c r="EH157" s="294">
        <f t="shared" si="134"/>
        <v>-15349371.02</v>
      </c>
      <c r="EI157" s="294">
        <f t="shared" si="134"/>
        <v>-21469162.420000002</v>
      </c>
      <c r="EJ157" s="294">
        <f t="shared" si="134"/>
        <v>-33357549.790000003</v>
      </c>
      <c r="EK157" s="294">
        <f t="shared" si="134"/>
        <v>-35431428.999999993</v>
      </c>
      <c r="EL157" s="294">
        <f t="shared" si="134"/>
        <v>-15559105.580000002</v>
      </c>
      <c r="EM157" s="294">
        <f t="shared" si="134"/>
        <v>-19586024.809999999</v>
      </c>
      <c r="EN157" s="294">
        <f t="shared" si="134"/>
        <v>-245675463.75</v>
      </c>
      <c r="EO157" s="294">
        <f t="shared" si="134"/>
        <v>-23012652.139999997</v>
      </c>
      <c r="EP157" s="294">
        <f t="shared" si="134"/>
        <v>-25855723.949999996</v>
      </c>
      <c r="EQ157" s="294">
        <f t="shared" si="134"/>
        <v>-15986513.299999997</v>
      </c>
      <c r="ER157" s="294">
        <f t="shared" si="134"/>
        <v>-12810746.389999999</v>
      </c>
      <c r="ES157" s="294">
        <f t="shared" si="134"/>
        <v>-7205222.4999999991</v>
      </c>
      <c r="ET157" s="294">
        <f t="shared" si="134"/>
        <v>-51448875.840000004</v>
      </c>
      <c r="EU157" s="294">
        <f t="shared" si="134"/>
        <v>-29030908.210000001</v>
      </c>
      <c r="EV157" s="294">
        <f t="shared" si="134"/>
        <v>-24202089.450000007</v>
      </c>
      <c r="EW157" s="294">
        <f t="shared" si="134"/>
        <v>-309525246.31999993</v>
      </c>
      <c r="EX157" s="294">
        <f t="shared" si="134"/>
        <v>-4762079.97</v>
      </c>
      <c r="EY157" s="294">
        <f t="shared" si="134"/>
        <v>-15902135.560000001</v>
      </c>
      <c r="EZ157" s="294">
        <f t="shared" si="134"/>
        <v>-18780906.489999998</v>
      </c>
      <c r="FA157" s="294">
        <f t="shared" si="134"/>
        <v>-37899661.910000004</v>
      </c>
      <c r="FB157" s="294">
        <f t="shared" si="134"/>
        <v>-52611159.089999996</v>
      </c>
      <c r="FC157" s="294">
        <f t="shared" si="134"/>
        <v>-23359784.669999998</v>
      </c>
      <c r="FD157" s="294">
        <f t="shared" si="134"/>
        <v>-17526183.289999999</v>
      </c>
      <c r="FE157" s="294">
        <f t="shared" si="134"/>
        <v>-12941953.120000001</v>
      </c>
      <c r="FF157" s="294">
        <f t="shared" si="134"/>
        <v>-11828019.98</v>
      </c>
      <c r="FG157" s="294">
        <f t="shared" si="134"/>
        <v>-8023208.2799999984</v>
      </c>
      <c r="FH157" s="294">
        <f t="shared" si="134"/>
        <v>-10839841.390000001</v>
      </c>
      <c r="FI157" s="294">
        <f t="shared" si="134"/>
        <v>-93713253.770000011</v>
      </c>
      <c r="FJ157" s="294">
        <f t="shared" si="134"/>
        <v>-9552936.1899999995</v>
      </c>
      <c r="FK157" s="294">
        <f t="shared" si="134"/>
        <v>-2271110.4899999998</v>
      </c>
      <c r="FL157" s="294">
        <f t="shared" si="134"/>
        <v>-5376110.6999999993</v>
      </c>
      <c r="FM157" s="294">
        <f t="shared" si="134"/>
        <v>-23681792.43</v>
      </c>
      <c r="FN157" s="294">
        <f t="shared" si="134"/>
        <v>-15390643.420000002</v>
      </c>
      <c r="FO157" s="294">
        <f t="shared" si="134"/>
        <v>-7143411.2799999993</v>
      </c>
      <c r="FP157" s="294">
        <f t="shared" si="134"/>
        <v>-5295525.43</v>
      </c>
      <c r="FQ157" s="294">
        <f t="shared" si="134"/>
        <v>-285734847.18000013</v>
      </c>
      <c r="FR157" s="294">
        <f t="shared" si="134"/>
        <v>-15891520.380000001</v>
      </c>
      <c r="FS157" s="294">
        <f t="shared" si="134"/>
        <v>-27090500.949999999</v>
      </c>
      <c r="FT157" s="294">
        <f t="shared" si="134"/>
        <v>-30489167.140000001</v>
      </c>
      <c r="FU157" s="294">
        <f t="shared" si="134"/>
        <v>-24889793.469999999</v>
      </c>
      <c r="FV157" s="294">
        <f t="shared" si="134"/>
        <v>-10593413.839999998</v>
      </c>
      <c r="FW157" s="294">
        <f t="shared" si="134"/>
        <v>-55543809.129999995</v>
      </c>
      <c r="FX157" s="294">
        <f t="shared" si="134"/>
        <v>-42063521.259999998</v>
      </c>
      <c r="FY157" s="294">
        <f t="shared" si="134"/>
        <v>-30633161.32</v>
      </c>
      <c r="FZ157" s="294">
        <f t="shared" si="134"/>
        <v>-17329708.190000005</v>
      </c>
      <c r="GA157" s="294">
        <f t="shared" si="134"/>
        <v>-59765119.610000007</v>
      </c>
      <c r="GB157" s="294">
        <f t="shared" si="134"/>
        <v>-20804453.779999997</v>
      </c>
      <c r="GC157" s="294">
        <f t="shared" si="134"/>
        <v>-10478363.160000002</v>
      </c>
      <c r="GD157" s="294">
        <f t="shared" si="134"/>
        <v>-7185887.8199999994</v>
      </c>
      <c r="GE157" s="294">
        <f t="shared" si="134"/>
        <v>-186889747.39999998</v>
      </c>
      <c r="GF157" s="294">
        <f t="shared" si="134"/>
        <v>-7068918.0200000005</v>
      </c>
      <c r="GG157" s="294">
        <f t="shared" si="134"/>
        <v>-4583450.0799999991</v>
      </c>
      <c r="GH157" s="294">
        <f t="shared" si="134"/>
        <v>-56274520.490000002</v>
      </c>
      <c r="GI157" s="294">
        <f t="shared" si="134"/>
        <v>-15552053.289999997</v>
      </c>
      <c r="GJ157" s="294">
        <f t="shared" si="134"/>
        <v>-3681258.4</v>
      </c>
      <c r="GK157" s="294">
        <f t="shared" si="134"/>
        <v>-12399964.190000003</v>
      </c>
      <c r="GL157" s="294">
        <f t="shared" si="134"/>
        <v>-23354624.419999998</v>
      </c>
      <c r="GM157" s="294">
        <f t="shared" si="134"/>
        <v>-8410567.4299999997</v>
      </c>
      <c r="GN157" s="294">
        <f t="shared" si="134"/>
        <v>-6967781.6600000001</v>
      </c>
      <c r="GO157" s="294">
        <f t="shared" ref="GO157:IZ157" si="135">SUMIF($A$60:$A$148,$A$60,GO$60:GO$148)</f>
        <v>-6533761.709999999</v>
      </c>
      <c r="GP157" s="294">
        <f t="shared" si="135"/>
        <v>-4623213.0500000007</v>
      </c>
      <c r="GQ157" s="294">
        <f t="shared" si="135"/>
        <v>-133529139.77</v>
      </c>
      <c r="GR157" s="294">
        <f t="shared" si="135"/>
        <v>-7836153.5600000005</v>
      </c>
      <c r="GS157" s="294">
        <f t="shared" si="135"/>
        <v>-11690462.049999999</v>
      </c>
      <c r="GT157" s="294">
        <f t="shared" si="135"/>
        <v>-24068785.050000001</v>
      </c>
      <c r="GU157" s="294">
        <f t="shared" si="135"/>
        <v>-3073460.4400000004</v>
      </c>
      <c r="GV157" s="294">
        <f t="shared" si="135"/>
        <v>-12338207.34</v>
      </c>
      <c r="GW157" s="294">
        <f t="shared" si="135"/>
        <v>-13568776.950000001</v>
      </c>
      <c r="GX157" s="294">
        <f t="shared" si="135"/>
        <v>-11822974.840000002</v>
      </c>
      <c r="GY157" s="294">
        <f t="shared" si="135"/>
        <v>-130457662.57999998</v>
      </c>
      <c r="GZ157" s="294">
        <f t="shared" si="135"/>
        <v>-6583540.8799999999</v>
      </c>
      <c r="HA157" s="294">
        <f t="shared" si="135"/>
        <v>-31694200.139999997</v>
      </c>
      <c r="HB157" s="294">
        <f t="shared" si="135"/>
        <v>-28621217.43</v>
      </c>
      <c r="HC157" s="294">
        <f t="shared" si="135"/>
        <v>-582102904.56000006</v>
      </c>
      <c r="HD157" s="294">
        <f t="shared" si="135"/>
        <v>-159393125.80000004</v>
      </c>
      <c r="HE157" s="294">
        <f t="shared" si="135"/>
        <v>-57280822.979999989</v>
      </c>
      <c r="HF157" s="294">
        <f t="shared" si="135"/>
        <v>-82630695.64000003</v>
      </c>
      <c r="HG157" s="294">
        <f t="shared" si="135"/>
        <v>-37162177.350000001</v>
      </c>
      <c r="HH157" s="294">
        <f t="shared" si="135"/>
        <v>-56339504.609999999</v>
      </c>
      <c r="HI157" s="294">
        <f t="shared" si="135"/>
        <v>-25709221.400000002</v>
      </c>
      <c r="HJ157" s="294">
        <f t="shared" si="135"/>
        <v>-240735369.58000001</v>
      </c>
      <c r="HK157" s="294">
        <f t="shared" si="135"/>
        <v>-58076166.079999991</v>
      </c>
      <c r="HL157" s="294">
        <f t="shared" si="135"/>
        <v>-100278602.84</v>
      </c>
      <c r="HM157" s="294">
        <f t="shared" si="135"/>
        <v>-38605799.170000002</v>
      </c>
      <c r="HN157" s="294">
        <f t="shared" si="135"/>
        <v>-26236222.270000003</v>
      </c>
      <c r="HO157" s="294">
        <f t="shared" si="135"/>
        <v>-32966796.550000004</v>
      </c>
      <c r="HP157" s="294">
        <f t="shared" si="135"/>
        <v>-41529207.850000009</v>
      </c>
      <c r="HQ157" s="294">
        <f t="shared" si="135"/>
        <v>-36784446.420000002</v>
      </c>
      <c r="HR157" s="294">
        <f t="shared" si="135"/>
        <v>-301282113.44910002</v>
      </c>
      <c r="HS157" s="294">
        <f t="shared" si="135"/>
        <v>-147474465.53000003</v>
      </c>
      <c r="HT157" s="294">
        <f t="shared" si="135"/>
        <v>-24471132.77</v>
      </c>
      <c r="HU157" s="294">
        <f t="shared" si="135"/>
        <v>-14302673.610000001</v>
      </c>
      <c r="HV157" s="294">
        <f t="shared" si="135"/>
        <v>-22441334.720000003</v>
      </c>
      <c r="HW157" s="294">
        <f t="shared" si="135"/>
        <v>-19905255.099999998</v>
      </c>
      <c r="HX157" s="294">
        <f t="shared" si="135"/>
        <v>-60344334.869999997</v>
      </c>
      <c r="HY157" s="294">
        <f t="shared" si="135"/>
        <v>-32543251.940000001</v>
      </c>
      <c r="HZ157" s="294">
        <f t="shared" si="135"/>
        <v>-24927556.41</v>
      </c>
      <c r="IA157" s="294">
        <f t="shared" si="135"/>
        <v>-18078626.010000002</v>
      </c>
      <c r="IB157" s="294">
        <f t="shared" si="135"/>
        <v>-13783783.690000001</v>
      </c>
      <c r="IC157" s="294">
        <f t="shared" si="135"/>
        <v>-24059587.789999999</v>
      </c>
      <c r="ID157" s="294">
        <f t="shared" si="135"/>
        <v>-7340520.8100000005</v>
      </c>
      <c r="IE157" s="294">
        <f t="shared" si="135"/>
        <v>-20322212.259999998</v>
      </c>
      <c r="IF157" s="294">
        <f t="shared" si="135"/>
        <v>-11687616.66</v>
      </c>
      <c r="IG157" s="294">
        <f t="shared" si="135"/>
        <v>-9107462.6799999997</v>
      </c>
      <c r="IH157" s="294">
        <f t="shared" si="135"/>
        <v>-228244590.51000005</v>
      </c>
      <c r="II157" s="294">
        <f t="shared" si="135"/>
        <v>-21984854.239999995</v>
      </c>
      <c r="IJ157" s="294">
        <f t="shared" si="135"/>
        <v>-16126094.329999998</v>
      </c>
      <c r="IK157" s="294">
        <f t="shared" si="135"/>
        <v>-69975690.189999998</v>
      </c>
      <c r="IL157" s="294">
        <f t="shared" si="135"/>
        <v>-107036337.56</v>
      </c>
      <c r="IM157" s="294">
        <f t="shared" si="135"/>
        <v>-33922786.869999997</v>
      </c>
      <c r="IN157" s="294">
        <f t="shared" si="135"/>
        <v>-11561089.220000003</v>
      </c>
      <c r="IO157" s="294">
        <f t="shared" si="135"/>
        <v>-14063943.979999999</v>
      </c>
      <c r="IP157" s="294">
        <f t="shared" si="135"/>
        <v>-15601622.15</v>
      </c>
      <c r="IQ157" s="294">
        <f t="shared" si="135"/>
        <v>-26147515.93</v>
      </c>
      <c r="IR157" s="294">
        <f t="shared" si="135"/>
        <v>-16810470.5</v>
      </c>
      <c r="IS157" s="294">
        <f t="shared" si="135"/>
        <v>-454353947.91000009</v>
      </c>
      <c r="IT157" s="294">
        <f t="shared" si="135"/>
        <v>-230536539.50000003</v>
      </c>
      <c r="IU157" s="294">
        <f t="shared" si="135"/>
        <v>-11197007.029999999</v>
      </c>
      <c r="IV157" s="294">
        <f t="shared" si="135"/>
        <v>-30096433.800000004</v>
      </c>
      <c r="IW157" s="294">
        <f t="shared" si="135"/>
        <v>-18351243.539999999</v>
      </c>
      <c r="IX157" s="294">
        <f t="shared" si="135"/>
        <v>-9121982.5600000005</v>
      </c>
      <c r="IY157" s="294">
        <f t="shared" si="135"/>
        <v>-21029953.250000004</v>
      </c>
      <c r="IZ157" s="294">
        <f t="shared" si="135"/>
        <v>-5561175.3899999997</v>
      </c>
      <c r="JA157" s="294">
        <f t="shared" ref="JA157:LL157" si="136">SUMIF($A$60:$A$148,$A$60,JA$60:JA$148)</f>
        <v>-12358973.459999999</v>
      </c>
      <c r="JB157" s="294">
        <f t="shared" si="136"/>
        <v>-20948349.280000001</v>
      </c>
      <c r="JC157" s="294">
        <f t="shared" si="136"/>
        <v>-43223083.36999999</v>
      </c>
      <c r="JD157" s="294">
        <f t="shared" si="136"/>
        <v>-16715585.68</v>
      </c>
      <c r="JE157" s="294">
        <f t="shared" si="136"/>
        <v>-52565296.609999999</v>
      </c>
      <c r="JF157" s="294">
        <f t="shared" si="136"/>
        <v>-67288512.360000014</v>
      </c>
      <c r="JG157" s="294">
        <f t="shared" si="136"/>
        <v>-23803534.160000004</v>
      </c>
      <c r="JH157" s="294">
        <f t="shared" si="136"/>
        <v>-19895597.670000002</v>
      </c>
      <c r="JI157" s="294">
        <f t="shared" si="136"/>
        <v>-15800594.949999997</v>
      </c>
      <c r="JJ157" s="294">
        <f t="shared" si="136"/>
        <v>-9200138.9000000004</v>
      </c>
      <c r="JK157" s="294">
        <f t="shared" si="136"/>
        <v>-239721042.34000003</v>
      </c>
      <c r="JL157" s="294">
        <f t="shared" si="136"/>
        <v>-23265388.029999997</v>
      </c>
      <c r="JM157" s="294">
        <f t="shared" si="136"/>
        <v>-32184933.350000005</v>
      </c>
      <c r="JN157" s="294">
        <f t="shared" si="136"/>
        <v>-81866866.900000006</v>
      </c>
      <c r="JO157" s="294">
        <f t="shared" si="136"/>
        <v>-33442235.330000002</v>
      </c>
      <c r="JP157" s="294">
        <f t="shared" si="136"/>
        <v>-58269871.149999984</v>
      </c>
      <c r="JQ157" s="294">
        <f t="shared" si="136"/>
        <v>-18085557.940000001</v>
      </c>
      <c r="JR157" s="294">
        <f t="shared" si="136"/>
        <v>-171301345.40000001</v>
      </c>
      <c r="JS157" s="294">
        <f t="shared" si="136"/>
        <v>-102496202.28000002</v>
      </c>
      <c r="JT157" s="294">
        <f t="shared" si="136"/>
        <v>-13578707.129999997</v>
      </c>
      <c r="JU157" s="294">
        <f t="shared" si="136"/>
        <v>-7280031.4299999997</v>
      </c>
      <c r="JV157" s="294">
        <f t="shared" si="136"/>
        <v>-15005535.050000001</v>
      </c>
      <c r="JW157" s="294">
        <f t="shared" si="136"/>
        <v>-4498803.4399999995</v>
      </c>
      <c r="JX157" s="294">
        <f t="shared" si="136"/>
        <v>-65753125.149999999</v>
      </c>
      <c r="JY157" s="294">
        <f t="shared" si="136"/>
        <v>-21981317.309999999</v>
      </c>
      <c r="JZ157" s="294">
        <f t="shared" si="136"/>
        <v>-18421725.619999997</v>
      </c>
      <c r="KA157" s="294">
        <f t="shared" si="136"/>
        <v>-17435936.080000002</v>
      </c>
      <c r="KB157" s="294">
        <f t="shared" si="136"/>
        <v>-10482704.140000001</v>
      </c>
      <c r="KC157" s="294">
        <f t="shared" si="136"/>
        <v>-13535886.750000002</v>
      </c>
      <c r="KD157" s="294">
        <f t="shared" si="136"/>
        <v>-9065765.8499999996</v>
      </c>
      <c r="KE157" s="294">
        <f t="shared" si="136"/>
        <v>-2905070.05</v>
      </c>
      <c r="KF157" s="294">
        <f t="shared" si="136"/>
        <v>-6530888.2400000012</v>
      </c>
      <c r="KG157" s="294">
        <f t="shared" si="136"/>
        <v>-9537427.7699999996</v>
      </c>
      <c r="KH157" s="294">
        <f t="shared" si="136"/>
        <v>-527257869.82999998</v>
      </c>
      <c r="KI157" s="294">
        <f t="shared" si="136"/>
        <v>-60419310.020000003</v>
      </c>
      <c r="KJ157" s="294">
        <f t="shared" si="136"/>
        <v>-11615092.289999999</v>
      </c>
      <c r="KK157" s="294">
        <f t="shared" si="136"/>
        <v>-21239329.550000004</v>
      </c>
      <c r="KL157" s="294">
        <f t="shared" si="136"/>
        <v>-9706377.25</v>
      </c>
      <c r="KM157" s="294">
        <f t="shared" si="136"/>
        <v>-14172975.109999999</v>
      </c>
      <c r="KN157" s="294">
        <f t="shared" si="136"/>
        <v>-77827651.820000008</v>
      </c>
      <c r="KO157" s="294">
        <f t="shared" si="136"/>
        <v>-12000086.470000001</v>
      </c>
      <c r="KP157" s="294">
        <f t="shared" si="136"/>
        <v>-15497668.93</v>
      </c>
      <c r="KQ157" s="294">
        <f t="shared" si="136"/>
        <v>-197475350.84</v>
      </c>
      <c r="KR157" s="294">
        <f t="shared" si="136"/>
        <v>-23453710.82</v>
      </c>
      <c r="KS157" s="294">
        <f t="shared" si="136"/>
        <v>-23765090.809999999</v>
      </c>
      <c r="KT157" s="294">
        <f t="shared" si="136"/>
        <v>-97969966.799999997</v>
      </c>
      <c r="KU157" s="294">
        <f t="shared" si="136"/>
        <v>-22578178.329999998</v>
      </c>
      <c r="KV157" s="294">
        <f t="shared" si="136"/>
        <v>-29286040.899999999</v>
      </c>
      <c r="KW157" s="294">
        <f t="shared" si="136"/>
        <v>-209419429.58000004</v>
      </c>
      <c r="KX157" s="294">
        <f t="shared" si="136"/>
        <v>-22843683.439999998</v>
      </c>
      <c r="KY157" s="294">
        <f t="shared" si="136"/>
        <v>-234608158.73999998</v>
      </c>
      <c r="KZ157" s="294">
        <f t="shared" si="136"/>
        <v>-15989920.5</v>
      </c>
      <c r="LA157" s="294">
        <f t="shared" si="136"/>
        <v>-8033053.2700000005</v>
      </c>
      <c r="LB157" s="294">
        <f t="shared" si="136"/>
        <v>-28338586.960000001</v>
      </c>
      <c r="LC157" s="294">
        <f t="shared" si="136"/>
        <v>-35702108.120000005</v>
      </c>
      <c r="LD157" s="294">
        <f t="shared" si="136"/>
        <v>-23059663.16</v>
      </c>
      <c r="LE157" s="294">
        <f t="shared" si="136"/>
        <v>-19440093.920000002</v>
      </c>
      <c r="LF157" s="294">
        <f t="shared" si="136"/>
        <v>-14933991.809999997</v>
      </c>
      <c r="LG157" s="294">
        <f t="shared" si="136"/>
        <v>-606913073.36999977</v>
      </c>
      <c r="LH157" s="294">
        <f t="shared" si="136"/>
        <v>-148842465.53</v>
      </c>
      <c r="LI157" s="294">
        <f t="shared" si="136"/>
        <v>-56890004.140000001</v>
      </c>
      <c r="LJ157" s="294">
        <f t="shared" si="136"/>
        <v>-101124559.44999999</v>
      </c>
      <c r="LK157" s="294">
        <f t="shared" si="136"/>
        <v>-30559719.309999987</v>
      </c>
      <c r="LL157" s="294">
        <f t="shared" si="136"/>
        <v>-23119995.539999999</v>
      </c>
      <c r="LM157" s="294">
        <f t="shared" ref="LM157:NX157" si="137">SUMIF($A$60:$A$148,$A$60,LM$60:LM$148)</f>
        <v>-11920455.41</v>
      </c>
      <c r="LN157" s="294">
        <f t="shared" si="137"/>
        <v>-30489715.109999999</v>
      </c>
      <c r="LO157" s="294">
        <f t="shared" si="137"/>
        <v>-17166467.16</v>
      </c>
      <c r="LP157" s="294">
        <f t="shared" si="137"/>
        <v>-36978530.960000001</v>
      </c>
      <c r="LQ157" s="294">
        <f t="shared" si="137"/>
        <v>-8445351.2100000009</v>
      </c>
      <c r="LR157" s="294">
        <f t="shared" si="137"/>
        <v>-173729898.38999999</v>
      </c>
      <c r="LS157" s="294">
        <f t="shared" si="137"/>
        <v>-16616837.120000001</v>
      </c>
      <c r="LT157" s="294">
        <f t="shared" si="137"/>
        <v>-10160440.649999999</v>
      </c>
      <c r="LU157" s="294">
        <f t="shared" si="137"/>
        <v>-381056927.03000003</v>
      </c>
      <c r="LV157" s="294">
        <f t="shared" si="137"/>
        <v>-145313994.79000002</v>
      </c>
      <c r="LW157" s="294">
        <f t="shared" si="137"/>
        <v>-438013978.03000003</v>
      </c>
      <c r="LX157" s="294">
        <f t="shared" si="137"/>
        <v>-112692481.73999999</v>
      </c>
      <c r="LY157" s="294">
        <f t="shared" si="137"/>
        <v>-42286303.109999999</v>
      </c>
      <c r="LZ157" s="294">
        <f t="shared" si="137"/>
        <v>-59999797.56000001</v>
      </c>
      <c r="MA157" s="294">
        <f t="shared" si="137"/>
        <v>-41181447.150000006</v>
      </c>
      <c r="MB157" s="294">
        <f t="shared" si="137"/>
        <v>-30535656.990000002</v>
      </c>
      <c r="MC157" s="294">
        <f t="shared" si="137"/>
        <v>-43832020.469999991</v>
      </c>
      <c r="MD157" s="294">
        <f t="shared" si="137"/>
        <v>-34522983.420000002</v>
      </c>
      <c r="ME157" s="294">
        <f t="shared" si="137"/>
        <v>-95391148.440000013</v>
      </c>
      <c r="MF157" s="294">
        <f t="shared" si="137"/>
        <v>-26238239.310000002</v>
      </c>
      <c r="MG157" s="294">
        <f t="shared" si="137"/>
        <v>-500348727.79000002</v>
      </c>
      <c r="MH157" s="294">
        <f t="shared" si="137"/>
        <v>-16524251.050000001</v>
      </c>
      <c r="MI157" s="294">
        <f t="shared" si="137"/>
        <v>-10239344.279999999</v>
      </c>
      <c r="MJ157" s="294">
        <f t="shared" si="137"/>
        <v>-5335949.8500000006</v>
      </c>
      <c r="MK157" s="294">
        <f t="shared" si="137"/>
        <v>-6368437.6500000004</v>
      </c>
      <c r="ML157" s="294">
        <f t="shared" si="137"/>
        <v>-14861374.109999999</v>
      </c>
      <c r="MM157" s="294">
        <f t="shared" si="137"/>
        <v>-18755458.459999997</v>
      </c>
      <c r="MN157" s="294">
        <f t="shared" si="137"/>
        <v>-9068589.3900000006</v>
      </c>
      <c r="MO157" s="294">
        <f t="shared" si="137"/>
        <v>-28537762.410000004</v>
      </c>
      <c r="MP157" s="294">
        <f t="shared" si="137"/>
        <v>-12517790.039999999</v>
      </c>
      <c r="MQ157" s="294">
        <f t="shared" si="137"/>
        <v>-13750029.069999998</v>
      </c>
      <c r="MR157" s="294">
        <f t="shared" si="137"/>
        <v>-10055181.620000001</v>
      </c>
      <c r="MS157" s="294">
        <f t="shared" si="137"/>
        <v>-310021872.86999995</v>
      </c>
      <c r="MT157" s="294">
        <f t="shared" si="137"/>
        <v>-24410679.640000001</v>
      </c>
      <c r="MU157" s="294">
        <f t="shared" si="137"/>
        <v>-30972162.760000002</v>
      </c>
      <c r="MV157" s="294">
        <f t="shared" si="137"/>
        <v>-41649619.790000007</v>
      </c>
      <c r="MW157" s="294">
        <f t="shared" si="137"/>
        <v>-48669045.520000011</v>
      </c>
      <c r="MX157" s="294">
        <f t="shared" si="137"/>
        <v>-22780573.23</v>
      </c>
      <c r="MY157" s="294">
        <f t="shared" si="137"/>
        <v>-57309856.740099996</v>
      </c>
      <c r="MZ157" s="294">
        <f t="shared" si="137"/>
        <v>-56164425.710000001</v>
      </c>
      <c r="NA157" s="294">
        <f t="shared" si="137"/>
        <v>-26505967.619999997</v>
      </c>
      <c r="NB157" s="294">
        <f t="shared" si="137"/>
        <v>-15374616.869999999</v>
      </c>
      <c r="NC157" s="294">
        <f t="shared" si="137"/>
        <v>-5069723.2399999984</v>
      </c>
      <c r="ND157" s="294">
        <f t="shared" si="137"/>
        <v>-529834109.46999997</v>
      </c>
      <c r="NE157" s="294">
        <f t="shared" si="137"/>
        <v>-42454761.410000004</v>
      </c>
      <c r="NF157" s="294">
        <f t="shared" si="137"/>
        <v>-13247641.93</v>
      </c>
      <c r="NG157" s="294">
        <f t="shared" si="137"/>
        <v>-331535891.94000006</v>
      </c>
      <c r="NH157" s="294">
        <f t="shared" si="137"/>
        <v>-19406451.500000004</v>
      </c>
      <c r="NI157" s="294">
        <f t="shared" si="137"/>
        <v>-35355567.43</v>
      </c>
      <c r="NJ157" s="294">
        <f t="shared" si="137"/>
        <v>-101825455.18000001</v>
      </c>
      <c r="NK157" s="294">
        <f t="shared" si="137"/>
        <v>-119915316.69</v>
      </c>
      <c r="NL157" s="294">
        <f t="shared" si="137"/>
        <v>-3539164.63</v>
      </c>
      <c r="NM157" s="294">
        <f t="shared" si="137"/>
        <v>-41533869.469999999</v>
      </c>
      <c r="NN157" s="294">
        <f t="shared" si="137"/>
        <v>-14390600.99</v>
      </c>
      <c r="NO157" s="294">
        <f t="shared" si="137"/>
        <v>-16125556.231000001</v>
      </c>
      <c r="NP157" s="294">
        <f t="shared" si="137"/>
        <v>-72033673.020000011</v>
      </c>
      <c r="NQ157" s="294">
        <f t="shared" si="137"/>
        <v>-8443606.4299999997</v>
      </c>
      <c r="NR157" s="294">
        <f t="shared" si="137"/>
        <v>-10194259.889999999</v>
      </c>
      <c r="NS157" s="294">
        <f t="shared" si="137"/>
        <v>-4516901.6600000011</v>
      </c>
      <c r="NT157" s="294">
        <f t="shared" si="137"/>
        <v>-3659085.08</v>
      </c>
      <c r="NU157" s="294">
        <f t="shared" si="137"/>
        <v>-2116756.14</v>
      </c>
      <c r="NV157" s="294">
        <f t="shared" si="137"/>
        <v>-3294281.85</v>
      </c>
      <c r="NW157" s="294">
        <f t="shared" si="137"/>
        <v>-350815145.03999996</v>
      </c>
      <c r="NX157" s="294">
        <f t="shared" si="137"/>
        <v>-128599602.99999999</v>
      </c>
      <c r="NY157" s="294">
        <f t="shared" ref="NY157:QJ157" si="138">SUMIF($A$60:$A$148,$A$60,NY$60:NY$148)</f>
        <v>-23006784.219999999</v>
      </c>
      <c r="NZ157" s="294">
        <f t="shared" si="138"/>
        <v>-21942797.419999998</v>
      </c>
      <c r="OA157" s="294">
        <f t="shared" si="138"/>
        <v>-17514655.75</v>
      </c>
      <c r="OB157" s="294">
        <f t="shared" si="138"/>
        <v>-40732432.490000002</v>
      </c>
      <c r="OC157" s="294">
        <f t="shared" si="138"/>
        <v>-18661846.84</v>
      </c>
      <c r="OD157" s="294">
        <f t="shared" si="138"/>
        <v>-73147523.989999995</v>
      </c>
      <c r="OE157" s="294">
        <f t="shared" si="138"/>
        <v>-132451178.27000003</v>
      </c>
      <c r="OF157" s="294">
        <f t="shared" si="138"/>
        <v>-19204018.969999991</v>
      </c>
      <c r="OG157" s="294">
        <f t="shared" si="138"/>
        <v>-86207315.970000014</v>
      </c>
      <c r="OH157" s="294">
        <f t="shared" si="138"/>
        <v>-30689946.759999998</v>
      </c>
      <c r="OI157" s="294">
        <f t="shared" si="138"/>
        <v>-30659218.709999997</v>
      </c>
      <c r="OJ157" s="294">
        <f t="shared" si="138"/>
        <v>-85590760.620000005</v>
      </c>
      <c r="OK157" s="294">
        <f t="shared" si="138"/>
        <v>-14921703.569999997</v>
      </c>
      <c r="OL157" s="294">
        <f t="shared" si="138"/>
        <v>-41390936.410000004</v>
      </c>
      <c r="OM157" s="294">
        <f t="shared" si="138"/>
        <v>-263742660.84999999</v>
      </c>
      <c r="ON157" s="294">
        <f t="shared" si="138"/>
        <v>-83093049.280000016</v>
      </c>
      <c r="OO157" s="294">
        <f t="shared" si="138"/>
        <v>-219101992.88999999</v>
      </c>
      <c r="OP157" s="294">
        <f t="shared" si="138"/>
        <v>-41827458.270000011</v>
      </c>
      <c r="OQ157" s="294">
        <f t="shared" si="138"/>
        <v>-33381767.57</v>
      </c>
      <c r="OR157" s="294">
        <f t="shared" si="138"/>
        <v>-33272711.27</v>
      </c>
      <c r="OS157" s="294">
        <f t="shared" si="138"/>
        <v>-147018816.19000003</v>
      </c>
      <c r="OT157" s="294">
        <f t="shared" si="138"/>
        <v>-13240351.570000002</v>
      </c>
      <c r="OU157" s="294">
        <f t="shared" si="138"/>
        <v>-11803734.139999999</v>
      </c>
      <c r="OV157" s="294">
        <f t="shared" si="138"/>
        <v>-12878175.079999998</v>
      </c>
      <c r="OW157" s="294">
        <f t="shared" si="138"/>
        <v>-17270184.960000001</v>
      </c>
      <c r="OX157" s="294">
        <f t="shared" si="138"/>
        <v>-75431934.180000007</v>
      </c>
      <c r="OY157" s="294">
        <f t="shared" si="138"/>
        <v>-16602591.699999999</v>
      </c>
      <c r="OZ157" s="294">
        <f t="shared" si="138"/>
        <v>-9701941.879999999</v>
      </c>
      <c r="PA157" s="294">
        <f t="shared" si="138"/>
        <v>-11101499.18</v>
      </c>
      <c r="PB157" s="294">
        <f t="shared" si="138"/>
        <v>-220158923.70000002</v>
      </c>
      <c r="PC157" s="294">
        <f t="shared" si="138"/>
        <v>-8427326.2300000004</v>
      </c>
      <c r="PD157" s="294">
        <f t="shared" si="138"/>
        <v>-58280986.830000006</v>
      </c>
      <c r="PE157" s="294">
        <f t="shared" si="138"/>
        <v>-10126305.140000001</v>
      </c>
      <c r="PF157" s="294">
        <f t="shared" si="138"/>
        <v>-13148884.160000002</v>
      </c>
      <c r="PG157" s="294">
        <f t="shared" si="138"/>
        <v>-38766179.439999998</v>
      </c>
      <c r="PH157" s="294">
        <f t="shared" si="138"/>
        <v>-16869504.91</v>
      </c>
      <c r="PI157" s="294">
        <f t="shared" si="138"/>
        <v>-17117404.850000001</v>
      </c>
      <c r="PJ157" s="294">
        <f t="shared" si="138"/>
        <v>-23522139.41</v>
      </c>
      <c r="PK157" s="294">
        <f t="shared" si="138"/>
        <v>-19600191.450000003</v>
      </c>
      <c r="PL157" s="294">
        <f t="shared" si="138"/>
        <v>-12894107.369999999</v>
      </c>
      <c r="PM157" s="294">
        <f t="shared" si="138"/>
        <v>-37500974.730000004</v>
      </c>
      <c r="PN157" s="294">
        <f t="shared" si="138"/>
        <v>-14784866.730000002</v>
      </c>
      <c r="PO157" s="294">
        <f t="shared" si="138"/>
        <v>-72571271.51000002</v>
      </c>
      <c r="PP157" s="294">
        <f t="shared" si="138"/>
        <v>-10040182.210000001</v>
      </c>
      <c r="PQ157" s="294">
        <f t="shared" si="138"/>
        <v>-11278519.119999999</v>
      </c>
      <c r="PR157" s="294">
        <f t="shared" si="138"/>
        <v>-11265105.180000002</v>
      </c>
      <c r="PS157" s="294">
        <f t="shared" si="138"/>
        <v>-7392356.1600000001</v>
      </c>
      <c r="PT157" s="294">
        <f t="shared" si="138"/>
        <v>-552907433.10000002</v>
      </c>
      <c r="PU157" s="294">
        <f t="shared" si="138"/>
        <v>-36331257.160000004</v>
      </c>
      <c r="PV157" s="294">
        <f t="shared" si="138"/>
        <v>-20547658.720000003</v>
      </c>
      <c r="PW157" s="294">
        <f t="shared" si="138"/>
        <v>-12280060.939999999</v>
      </c>
      <c r="PX157" s="294">
        <f t="shared" si="138"/>
        <v>-148667940.42999998</v>
      </c>
      <c r="PY157" s="294">
        <f t="shared" si="138"/>
        <v>-36049634.099999994</v>
      </c>
      <c r="PZ157" s="294">
        <f t="shared" si="138"/>
        <v>-67913187.86999999</v>
      </c>
      <c r="QA157" s="294">
        <f t="shared" si="138"/>
        <v>-16756298.369999999</v>
      </c>
      <c r="QB157" s="294">
        <f t="shared" si="138"/>
        <v>-63492198.119999997</v>
      </c>
      <c r="QC157" s="294">
        <f t="shared" si="138"/>
        <v>-8910221.4100000001</v>
      </c>
      <c r="QD157" s="294">
        <f t="shared" si="138"/>
        <v>-54080134.420000002</v>
      </c>
      <c r="QE157" s="294">
        <f t="shared" si="138"/>
        <v>-22834519.520000003</v>
      </c>
      <c r="QF157" s="294">
        <f t="shared" si="138"/>
        <v>-11192694.52</v>
      </c>
      <c r="QG157" s="294">
        <f t="shared" si="138"/>
        <v>-18252158.82</v>
      </c>
      <c r="QH157" s="294">
        <f t="shared" si="138"/>
        <v>-41586694.020000011</v>
      </c>
      <c r="QI157" s="294">
        <f t="shared" si="138"/>
        <v>-14873951.060000001</v>
      </c>
      <c r="QJ157" s="294">
        <f t="shared" si="138"/>
        <v>-26579856.229999993</v>
      </c>
      <c r="QK157" s="294">
        <f t="shared" ref="QK157:SV157" si="139">SUMIF($A$60:$A$148,$A$60,QK$60:QK$148)</f>
        <v>-21809186.269999996</v>
      </c>
      <c r="QL157" s="294">
        <f t="shared" si="139"/>
        <v>-17352187.029999997</v>
      </c>
      <c r="QM157" s="294">
        <f t="shared" si="139"/>
        <v>-69224636.499999985</v>
      </c>
      <c r="QN157" s="294">
        <f t="shared" si="139"/>
        <v>-69611472.359999999</v>
      </c>
      <c r="QO157" s="294">
        <f t="shared" si="139"/>
        <v>-15862137.000000004</v>
      </c>
      <c r="QP157" s="294">
        <f t="shared" si="139"/>
        <v>-4459389.53</v>
      </c>
      <c r="QQ157" s="294">
        <f t="shared" si="139"/>
        <v>-9652153.8500000015</v>
      </c>
      <c r="QR157" s="294">
        <f t="shared" si="139"/>
        <v>-4087497.8</v>
      </c>
      <c r="QS157" s="294">
        <f t="shared" si="139"/>
        <v>-9028150.5300000012</v>
      </c>
      <c r="QT157" s="294">
        <f t="shared" si="139"/>
        <v>-271214536.11000001</v>
      </c>
      <c r="QU157" s="294">
        <f t="shared" si="139"/>
        <v>-8634939.2300000004</v>
      </c>
      <c r="QV157" s="294">
        <f t="shared" si="139"/>
        <v>-56509553.640000001</v>
      </c>
      <c r="QW157" s="294">
        <f t="shared" si="139"/>
        <v>-6570525.9299999997</v>
      </c>
      <c r="QX157" s="294">
        <f t="shared" si="139"/>
        <v>-13705827.66</v>
      </c>
      <c r="QY157" s="294">
        <f t="shared" si="139"/>
        <v>-57249343.969999991</v>
      </c>
      <c r="QZ157" s="294">
        <f t="shared" si="139"/>
        <v>-23438586.129999995</v>
      </c>
      <c r="RA157" s="294">
        <f t="shared" si="139"/>
        <v>-37204724.420000002</v>
      </c>
      <c r="RB157" s="294">
        <f t="shared" si="139"/>
        <v>-27724854.180000003</v>
      </c>
      <c r="RC157" s="294">
        <f t="shared" si="139"/>
        <v>-21965516.879999999</v>
      </c>
      <c r="RD157" s="294">
        <f t="shared" si="139"/>
        <v>-13739913.539999999</v>
      </c>
      <c r="RE157" s="294">
        <f t="shared" si="139"/>
        <v>-4514270.21</v>
      </c>
      <c r="RF157" s="294">
        <f t="shared" si="139"/>
        <v>-10100736.260000002</v>
      </c>
      <c r="RG157" s="294">
        <f t="shared" si="139"/>
        <v>-420206323.50999993</v>
      </c>
      <c r="RH157" s="294">
        <f t="shared" si="139"/>
        <v>-80806815.639999986</v>
      </c>
      <c r="RI157" s="294">
        <f t="shared" si="139"/>
        <v>-22105765.310000002</v>
      </c>
      <c r="RJ157" s="294">
        <f t="shared" si="139"/>
        <v>-22219534.910000004</v>
      </c>
      <c r="RK157" s="294">
        <f t="shared" si="139"/>
        <v>-35228980.389999993</v>
      </c>
      <c r="RL157" s="294">
        <f t="shared" si="139"/>
        <v>-62038779.550000012</v>
      </c>
      <c r="RM157" s="294">
        <f t="shared" si="139"/>
        <v>-117638060.02000001</v>
      </c>
      <c r="RN157" s="294">
        <f t="shared" si="139"/>
        <v>-17835495.349999998</v>
      </c>
      <c r="RO157" s="294">
        <f t="shared" si="139"/>
        <v>-20113770.41</v>
      </c>
      <c r="RP157" s="294">
        <f t="shared" si="139"/>
        <v>-67534263.680000007</v>
      </c>
      <c r="RQ157" s="294">
        <f t="shared" si="139"/>
        <v>-88696898.460000008</v>
      </c>
      <c r="RR157" s="294">
        <f t="shared" si="139"/>
        <v>-24975427.120000001</v>
      </c>
      <c r="RS157" s="294">
        <f t="shared" si="139"/>
        <v>-19381233.140000001</v>
      </c>
      <c r="RT157" s="294">
        <f t="shared" si="139"/>
        <v>-32085603.079999998</v>
      </c>
      <c r="RU157" s="294">
        <f t="shared" si="139"/>
        <v>-16198931.83</v>
      </c>
      <c r="RV157" s="294">
        <f t="shared" si="139"/>
        <v>-16093518.609999999</v>
      </c>
      <c r="RW157" s="294">
        <f t="shared" si="139"/>
        <v>-23797266.260000005</v>
      </c>
      <c r="RX157" s="294">
        <f t="shared" si="139"/>
        <v>-16077616.109999999</v>
      </c>
      <c r="RY157" s="294">
        <f t="shared" si="139"/>
        <v>-11103246.159999998</v>
      </c>
      <c r="RZ157" s="294">
        <f t="shared" si="139"/>
        <v>-13755738.959999999</v>
      </c>
      <c r="SA157" s="294">
        <f t="shared" si="139"/>
        <v>-162866980.96000004</v>
      </c>
      <c r="SB157" s="294">
        <f t="shared" si="139"/>
        <v>-11675440.329999998</v>
      </c>
      <c r="SC157" s="294">
        <f t="shared" si="139"/>
        <v>-14893718.880000001</v>
      </c>
      <c r="SD157" s="294">
        <f t="shared" si="139"/>
        <v>-22303064.229999997</v>
      </c>
      <c r="SE157" s="294">
        <f t="shared" si="139"/>
        <v>-12053220.529999999</v>
      </c>
      <c r="SF157" s="294">
        <f t="shared" si="139"/>
        <v>-26102082.999999996</v>
      </c>
      <c r="SG157" s="294">
        <f t="shared" si="139"/>
        <v>-27985332.050000001</v>
      </c>
      <c r="SH157" s="294">
        <f t="shared" si="139"/>
        <v>-28776416.460000001</v>
      </c>
      <c r="SI157" s="294">
        <f t="shared" si="139"/>
        <v>-18115439.309999999</v>
      </c>
      <c r="SJ157" s="294">
        <f t="shared" si="139"/>
        <v>-12257682.100000001</v>
      </c>
      <c r="SK157" s="294">
        <f t="shared" si="139"/>
        <v>-80867271.620000005</v>
      </c>
      <c r="SL157" s="294">
        <f t="shared" si="139"/>
        <v>-7495576.5800000001</v>
      </c>
      <c r="SM157" s="294">
        <f t="shared" si="139"/>
        <v>-96871142.620000005</v>
      </c>
      <c r="SN157" s="294">
        <f t="shared" si="139"/>
        <v>-19692208.089999996</v>
      </c>
      <c r="SO157" s="294">
        <f t="shared" si="139"/>
        <v>-27672761.739999998</v>
      </c>
      <c r="SP157" s="294">
        <f t="shared" si="139"/>
        <v>-39111010.090000004</v>
      </c>
      <c r="SQ157" s="294">
        <f t="shared" si="139"/>
        <v>-13754737.199999999</v>
      </c>
      <c r="SR157" s="294">
        <f t="shared" si="139"/>
        <v>-7712558.5800000001</v>
      </c>
      <c r="SS157" s="294">
        <f t="shared" si="139"/>
        <v>-20180806.360000003</v>
      </c>
      <c r="ST157" s="294">
        <f t="shared" si="139"/>
        <v>-15679073.359999999</v>
      </c>
      <c r="SU157" s="294">
        <f t="shared" si="139"/>
        <v>-254249283.13</v>
      </c>
      <c r="SV157" s="294">
        <f t="shared" si="139"/>
        <v>-8826487</v>
      </c>
      <c r="SW157" s="294">
        <f t="shared" ref="SW157:VH157" si="140">SUMIF($A$60:$A$148,$A$60,SW$60:SW$148)</f>
        <v>-20772457.32</v>
      </c>
      <c r="SX157" s="294">
        <f t="shared" si="140"/>
        <v>-22044014.280000001</v>
      </c>
      <c r="SY157" s="294">
        <f t="shared" si="140"/>
        <v>-4928044.33</v>
      </c>
      <c r="SZ157" s="294">
        <f t="shared" si="140"/>
        <v>-5930137.96</v>
      </c>
      <c r="TA157" s="294">
        <f t="shared" si="140"/>
        <v>-4418789</v>
      </c>
      <c r="TB157" s="294">
        <f t="shared" si="140"/>
        <v>-64660083.089999996</v>
      </c>
      <c r="TC157" s="294">
        <f t="shared" si="140"/>
        <v>-13572186.040000001</v>
      </c>
      <c r="TD157" s="294">
        <f t="shared" si="140"/>
        <v>-13405734.229999999</v>
      </c>
      <c r="TE157" s="294">
        <f t="shared" si="140"/>
        <v>-11636103.519999998</v>
      </c>
      <c r="TF157" s="294">
        <f t="shared" si="140"/>
        <v>-35042334.609999999</v>
      </c>
      <c r="TG157" s="294">
        <f t="shared" si="140"/>
        <v>-9845597.4399999995</v>
      </c>
      <c r="TH157" s="294">
        <f t="shared" si="140"/>
        <v>-8976710.3599999994</v>
      </c>
      <c r="TI157" s="294">
        <f t="shared" si="140"/>
        <v>-562709027.50000012</v>
      </c>
      <c r="TJ157" s="294">
        <f t="shared" si="140"/>
        <v>-17279055.020000007</v>
      </c>
      <c r="TK157" s="294">
        <f t="shared" si="140"/>
        <v>-19427758.980000004</v>
      </c>
      <c r="TL157" s="294">
        <f t="shared" si="140"/>
        <v>-68319509.25</v>
      </c>
      <c r="TM157" s="294">
        <f t="shared" si="140"/>
        <v>-25226954.170000002</v>
      </c>
      <c r="TN157" s="294">
        <f t="shared" si="140"/>
        <v>-10533410.699999999</v>
      </c>
      <c r="TO157" s="294">
        <f t="shared" si="140"/>
        <v>-10524148.17</v>
      </c>
      <c r="TP157" s="294">
        <f t="shared" si="140"/>
        <v>-71968049.809999987</v>
      </c>
      <c r="TQ157" s="294">
        <f t="shared" si="140"/>
        <v>-13098401.43</v>
      </c>
      <c r="TR157" s="294">
        <f t="shared" si="140"/>
        <v>-35933896.989999995</v>
      </c>
      <c r="TS157" s="294">
        <f t="shared" si="140"/>
        <v>-37235238.229999997</v>
      </c>
      <c r="TT157" s="294">
        <f t="shared" si="140"/>
        <v>-14447134.970000001</v>
      </c>
      <c r="TU157" s="294">
        <f t="shared" si="140"/>
        <v>-10353658.439999999</v>
      </c>
      <c r="TV157" s="294">
        <f t="shared" si="140"/>
        <v>-20050058.5</v>
      </c>
      <c r="TW157" s="294">
        <f t="shared" si="140"/>
        <v>-23563684.850000001</v>
      </c>
      <c r="TX157" s="294">
        <f t="shared" si="140"/>
        <v>-7146615.5</v>
      </c>
      <c r="TY157" s="294">
        <f t="shared" si="140"/>
        <v>-106362559.46999998</v>
      </c>
      <c r="TZ157" s="294">
        <f t="shared" si="140"/>
        <v>-5765949.8600000003</v>
      </c>
      <c r="UA157" s="294">
        <f t="shared" si="140"/>
        <v>-126629925.61</v>
      </c>
      <c r="UB157" s="294">
        <f t="shared" si="140"/>
        <v>-60332290.349999994</v>
      </c>
      <c r="UC157" s="294">
        <f t="shared" si="140"/>
        <v>-28027773.669999998</v>
      </c>
      <c r="UD157" s="294">
        <f t="shared" si="140"/>
        <v>-21710289.379999999</v>
      </c>
      <c r="UE157" s="294">
        <f t="shared" si="140"/>
        <v>-257133319.88999999</v>
      </c>
      <c r="UF157" s="294">
        <f t="shared" si="140"/>
        <v>-12191640.579999998</v>
      </c>
      <c r="UG157" s="294">
        <f t="shared" si="140"/>
        <v>-15259016.200000001</v>
      </c>
      <c r="UH157" s="294">
        <f t="shared" si="140"/>
        <v>-22225837.890000001</v>
      </c>
      <c r="UI157" s="294">
        <f t="shared" si="140"/>
        <v>-17414134.700000003</v>
      </c>
      <c r="UJ157" s="294">
        <f t="shared" si="140"/>
        <v>-151143860.38000005</v>
      </c>
      <c r="UK157" s="294">
        <f t="shared" si="140"/>
        <v>-49478304.399999999</v>
      </c>
      <c r="UL157" s="294">
        <f t="shared" si="140"/>
        <v>-33629048.420000009</v>
      </c>
      <c r="UM157" s="294">
        <f t="shared" si="140"/>
        <v>-50450714.700000003</v>
      </c>
      <c r="UN157" s="294">
        <f t="shared" si="140"/>
        <v>-29694515.649999999</v>
      </c>
      <c r="UO157" s="294">
        <f t="shared" si="140"/>
        <v>-28693388.499999996</v>
      </c>
      <c r="UP157" s="294">
        <f t="shared" si="140"/>
        <v>-513323118.78999996</v>
      </c>
      <c r="UQ157" s="294">
        <f t="shared" si="140"/>
        <v>-39431472.029999994</v>
      </c>
      <c r="UR157" s="294">
        <f t="shared" si="140"/>
        <v>-29765191.170000002</v>
      </c>
      <c r="US157" s="294">
        <f t="shared" si="140"/>
        <v>-170094200.53999996</v>
      </c>
      <c r="UT157" s="294">
        <f t="shared" si="140"/>
        <v>-9539903.8999999985</v>
      </c>
      <c r="UU157" s="294">
        <f t="shared" si="140"/>
        <v>-22941396.150000002</v>
      </c>
      <c r="UV157" s="294">
        <f t="shared" si="140"/>
        <v>-89877025.25999999</v>
      </c>
      <c r="UW157" s="294">
        <f t="shared" si="140"/>
        <v>-13459713.819999998</v>
      </c>
      <c r="UX157" s="294">
        <f t="shared" si="140"/>
        <v>-21632345.940000001</v>
      </c>
      <c r="UY157" s="294">
        <f t="shared" si="140"/>
        <v>-17072218.649999999</v>
      </c>
      <c r="UZ157" s="294">
        <f t="shared" si="140"/>
        <v>-36398666.599999994</v>
      </c>
      <c r="VA157" s="294">
        <f t="shared" si="140"/>
        <v>-63767145.380000003</v>
      </c>
      <c r="VB157" s="294">
        <f t="shared" si="140"/>
        <v>-28972249.699999999</v>
      </c>
      <c r="VC157" s="294">
        <f t="shared" si="140"/>
        <v>-32478709.790000003</v>
      </c>
      <c r="VD157" s="294">
        <f t="shared" si="140"/>
        <v>-18565496.509999998</v>
      </c>
      <c r="VE157" s="294">
        <f t="shared" si="140"/>
        <v>-22873358.750000004</v>
      </c>
      <c r="VF157" s="294">
        <f t="shared" si="140"/>
        <v>-18870803.75</v>
      </c>
      <c r="VG157" s="294">
        <f t="shared" si="140"/>
        <v>-15860757.099999998</v>
      </c>
      <c r="VH157" s="294">
        <f t="shared" si="140"/>
        <v>-73656252.069999978</v>
      </c>
      <c r="VI157" s="294">
        <f t="shared" ref="VI157:XT157" si="141">SUMIF($A$60:$A$148,$A$60,VI$60:VI$148)</f>
        <v>-17531752.050000001</v>
      </c>
      <c r="VJ157" s="294">
        <f t="shared" si="141"/>
        <v>-10223818.119999999</v>
      </c>
      <c r="VK157" s="294">
        <f t="shared" si="141"/>
        <v>-6996818.04</v>
      </c>
      <c r="VL157" s="294">
        <f t="shared" si="141"/>
        <v>-374324045.52999997</v>
      </c>
      <c r="VM157" s="294">
        <f t="shared" si="141"/>
        <v>-22668470.990000002</v>
      </c>
      <c r="VN157" s="294">
        <f t="shared" si="141"/>
        <v>-26924117.210000001</v>
      </c>
      <c r="VO157" s="294">
        <f t="shared" si="141"/>
        <v>-51920439.88000001</v>
      </c>
      <c r="VP157" s="294">
        <f t="shared" si="141"/>
        <v>-68569488.829999998</v>
      </c>
      <c r="VQ157" s="294">
        <f t="shared" si="141"/>
        <v>-48851890.120000005</v>
      </c>
      <c r="VR157" s="294">
        <f t="shared" si="141"/>
        <v>-37424022.43</v>
      </c>
      <c r="VS157" s="294">
        <f t="shared" si="141"/>
        <v>-9676420.620000001</v>
      </c>
      <c r="VT157" s="294">
        <f t="shared" si="141"/>
        <v>-24372652.130000003</v>
      </c>
      <c r="VU157" s="294">
        <f t="shared" si="141"/>
        <v>-136828008.21000001</v>
      </c>
      <c r="VV157" s="294">
        <f t="shared" si="141"/>
        <v>-15339009.440000001</v>
      </c>
      <c r="VW157" s="294">
        <f t="shared" si="141"/>
        <v>-39805712.900000006</v>
      </c>
      <c r="VX157" s="294">
        <f t="shared" si="141"/>
        <v>-24939688.079999998</v>
      </c>
      <c r="VY157" s="294">
        <f t="shared" si="141"/>
        <v>-5919237.9499999993</v>
      </c>
      <c r="VZ157" s="294">
        <f t="shared" si="141"/>
        <v>-12456579.530000001</v>
      </c>
      <c r="WA157" s="294">
        <f t="shared" si="141"/>
        <v>-483309580.50000006</v>
      </c>
      <c r="WB157" s="294">
        <f t="shared" si="141"/>
        <v>-29705015.130000006</v>
      </c>
      <c r="WC157" s="294">
        <f t="shared" si="141"/>
        <v>-17276370.120000001</v>
      </c>
      <c r="WD157" s="294">
        <f t="shared" si="141"/>
        <v>-15430389.650000002</v>
      </c>
      <c r="WE157" s="294">
        <f t="shared" si="141"/>
        <v>-9804359.1199999992</v>
      </c>
      <c r="WF157" s="294">
        <f t="shared" si="141"/>
        <v>-26918312.170000006</v>
      </c>
      <c r="WG157" s="294">
        <f t="shared" si="141"/>
        <v>-47970361.25</v>
      </c>
      <c r="WH157" s="294">
        <f t="shared" si="141"/>
        <v>-32111833.970000003</v>
      </c>
      <c r="WI157" s="294">
        <f t="shared" si="141"/>
        <v>-19900162.109999996</v>
      </c>
      <c r="WJ157" s="294">
        <f t="shared" si="141"/>
        <v>-47217658.830000013</v>
      </c>
      <c r="WK157" s="294">
        <f t="shared" si="141"/>
        <v>-13732701.979999999</v>
      </c>
      <c r="WL157" s="294">
        <f t="shared" si="141"/>
        <v>-57599803.36999999</v>
      </c>
      <c r="WM157" s="294">
        <f t="shared" si="141"/>
        <v>-15780956.110000001</v>
      </c>
      <c r="WN157" s="294">
        <f t="shared" si="141"/>
        <v>-54093750.570000008</v>
      </c>
      <c r="WO157" s="294">
        <f t="shared" si="141"/>
        <v>-69893048.299999997</v>
      </c>
      <c r="WP157" s="294">
        <f t="shared" si="141"/>
        <v>-16772094.76</v>
      </c>
      <c r="WQ157" s="294">
        <f t="shared" si="141"/>
        <v>-27228886.759999998</v>
      </c>
      <c r="WR157" s="294">
        <f t="shared" si="141"/>
        <v>-31957655.210000001</v>
      </c>
      <c r="WS157" s="294">
        <f t="shared" si="141"/>
        <v>-9896093.4900000021</v>
      </c>
      <c r="WT157" s="294">
        <f t="shared" si="141"/>
        <v>-42036964.239999995</v>
      </c>
      <c r="WU157" s="294">
        <f t="shared" si="141"/>
        <v>-255905260.42000002</v>
      </c>
      <c r="WV157" s="294">
        <f t="shared" si="141"/>
        <v>-29597323.689999998</v>
      </c>
      <c r="WW157" s="294">
        <f t="shared" si="141"/>
        <v>-21117914.510000002</v>
      </c>
      <c r="WX157" s="294">
        <f t="shared" si="141"/>
        <v>-14291296.1</v>
      </c>
      <c r="WY157" s="294">
        <f t="shared" si="141"/>
        <v>-13098963.130000005</v>
      </c>
      <c r="WZ157" s="294">
        <f t="shared" si="141"/>
        <v>-19097499.599999998</v>
      </c>
      <c r="XA157" s="294">
        <f t="shared" si="141"/>
        <v>-8666091.3899999987</v>
      </c>
      <c r="XB157" s="294">
        <f t="shared" si="141"/>
        <v>-14502102.600000001</v>
      </c>
      <c r="XC157" s="294">
        <f t="shared" si="141"/>
        <v>-100838179.59999998</v>
      </c>
      <c r="XD157" s="294">
        <f t="shared" si="141"/>
        <v>-14314959.239999998</v>
      </c>
      <c r="XE157" s="294">
        <f t="shared" si="141"/>
        <v>-7387322.2700000014</v>
      </c>
      <c r="XF157" s="294">
        <f t="shared" si="141"/>
        <v>-7591449.2999999998</v>
      </c>
      <c r="XG157" s="294">
        <f t="shared" si="141"/>
        <v>-15532911.24</v>
      </c>
      <c r="XH157" s="294">
        <f t="shared" si="141"/>
        <v>-197694746.90000001</v>
      </c>
      <c r="XI157" s="294">
        <f t="shared" si="141"/>
        <v>-34629304.679999992</v>
      </c>
      <c r="XJ157" s="294">
        <f t="shared" si="141"/>
        <v>-42044721.530000001</v>
      </c>
      <c r="XK157" s="294">
        <f t="shared" si="141"/>
        <v>-139047902.56000003</v>
      </c>
      <c r="XL157" s="294">
        <f t="shared" si="141"/>
        <v>-19362225.930000003</v>
      </c>
      <c r="XM157" s="294">
        <f t="shared" si="141"/>
        <v>-19774057.560000002</v>
      </c>
      <c r="XN157" s="294">
        <f t="shared" si="141"/>
        <v>-72046205.370000005</v>
      </c>
      <c r="XO157" s="294">
        <f t="shared" si="141"/>
        <v>-21734092.149999999</v>
      </c>
      <c r="XP157" s="294">
        <f t="shared" si="141"/>
        <v>-22695257.599999998</v>
      </c>
      <c r="XQ157" s="294">
        <f t="shared" si="141"/>
        <v>-65753465.729999997</v>
      </c>
      <c r="XR157" s="294">
        <f t="shared" si="141"/>
        <v>-58267874.670000009</v>
      </c>
      <c r="XS157" s="294">
        <f t="shared" si="141"/>
        <v>-19387860.27</v>
      </c>
      <c r="XT157" s="294">
        <f t="shared" si="141"/>
        <v>-17929475.700000007</v>
      </c>
      <c r="XU157" s="294">
        <f t="shared" ref="XU157:AAF157" si="142">SUMIF($A$60:$A$148,$A$60,XU$60:XU$148)</f>
        <v>-13188004.6</v>
      </c>
      <c r="XV157" s="294">
        <f t="shared" si="142"/>
        <v>-15303952.010000002</v>
      </c>
      <c r="XW157" s="294">
        <f t="shared" si="142"/>
        <v>-14605917.449999999</v>
      </c>
      <c r="XX157" s="294">
        <f t="shared" si="142"/>
        <v>-9265630.0900000017</v>
      </c>
      <c r="XY157" s="294">
        <f t="shared" si="142"/>
        <v>-17832374.779999997</v>
      </c>
      <c r="XZ157" s="294">
        <f t="shared" si="142"/>
        <v>-10139317.49</v>
      </c>
      <c r="YA157" s="294">
        <f t="shared" si="142"/>
        <v>-8160013.919999999</v>
      </c>
      <c r="YB157" s="294">
        <f t="shared" si="142"/>
        <v>-10887708.33</v>
      </c>
      <c r="YC157" s="294">
        <f t="shared" si="142"/>
        <v>-16296628.699999999</v>
      </c>
      <c r="YD157" s="294">
        <f t="shared" si="142"/>
        <v>-16116802.5</v>
      </c>
      <c r="YE157" s="294">
        <f t="shared" si="142"/>
        <v>-250948524.03000006</v>
      </c>
      <c r="YF157" s="294">
        <f t="shared" si="142"/>
        <v>-23126497.079999994</v>
      </c>
      <c r="YG157" s="294">
        <f t="shared" si="142"/>
        <v>-53167180.479999997</v>
      </c>
      <c r="YH157" s="294">
        <f t="shared" si="142"/>
        <v>-12112039.92</v>
      </c>
      <c r="YI157" s="294">
        <f t="shared" si="142"/>
        <v>-97714738.149999991</v>
      </c>
      <c r="YJ157" s="294">
        <f t="shared" si="142"/>
        <v>-16188405.910000002</v>
      </c>
      <c r="YK157" s="294">
        <f t="shared" si="142"/>
        <v>-48508039.309999987</v>
      </c>
      <c r="YL157" s="294">
        <f t="shared" si="142"/>
        <v>-8768460.1999999993</v>
      </c>
      <c r="YM157" s="294">
        <f t="shared" si="142"/>
        <v>-118585345.02</v>
      </c>
      <c r="YN157" s="294">
        <f t="shared" si="142"/>
        <v>-52471152.359999999</v>
      </c>
      <c r="YO157" s="294">
        <f t="shared" si="142"/>
        <v>-15297763.580000002</v>
      </c>
      <c r="YP157" s="294">
        <f t="shared" si="142"/>
        <v>-13928593.07</v>
      </c>
      <c r="YQ157" s="294">
        <f t="shared" si="142"/>
        <v>-24182198.670000002</v>
      </c>
      <c r="YR157" s="294">
        <f t="shared" si="142"/>
        <v>-7788313.1400000006</v>
      </c>
      <c r="YS157" s="294">
        <f t="shared" si="142"/>
        <v>-10191592.299999999</v>
      </c>
      <c r="YT157" s="294">
        <f t="shared" si="142"/>
        <v>-24448834.800000001</v>
      </c>
      <c r="YU157" s="294">
        <f t="shared" si="142"/>
        <v>-8416008.5099999998</v>
      </c>
      <c r="YV157" s="294">
        <f t="shared" si="142"/>
        <v>-120066047.08999999</v>
      </c>
      <c r="YW157" s="294">
        <f t="shared" si="142"/>
        <v>-18216867.18</v>
      </c>
      <c r="YX157" s="294">
        <f t="shared" si="142"/>
        <v>-8436989.3099999987</v>
      </c>
      <c r="YY157" s="294">
        <f t="shared" si="142"/>
        <v>-9787653.2899999991</v>
      </c>
      <c r="YZ157" s="294">
        <f t="shared" si="142"/>
        <v>-11932007.41</v>
      </c>
      <c r="ZA157" s="294">
        <f t="shared" si="142"/>
        <v>-10856646.280000001</v>
      </c>
      <c r="ZB157" s="294">
        <f t="shared" si="142"/>
        <v>-6117536.2299999995</v>
      </c>
      <c r="ZC157" s="294">
        <f t="shared" si="142"/>
        <v>-125688672.63</v>
      </c>
      <c r="ZD157" s="294">
        <f t="shared" si="142"/>
        <v>-4180353.88</v>
      </c>
      <c r="ZE157" s="294">
        <f t="shared" si="142"/>
        <v>-16331941.899999999</v>
      </c>
      <c r="ZF157" s="294">
        <f t="shared" si="142"/>
        <v>-13922343.5</v>
      </c>
      <c r="ZG157" s="294">
        <f t="shared" si="142"/>
        <v>-11718900.34</v>
      </c>
      <c r="ZH157" s="294">
        <f t="shared" si="142"/>
        <v>-9411830.2200000007</v>
      </c>
      <c r="ZI157" s="294">
        <f t="shared" si="142"/>
        <v>-8951601.0499999989</v>
      </c>
      <c r="ZJ157" s="294">
        <f t="shared" si="142"/>
        <v>-6171690.1099999994</v>
      </c>
      <c r="ZK157" s="294">
        <f t="shared" si="142"/>
        <v>-66312009.680000007</v>
      </c>
      <c r="ZL157" s="294">
        <f t="shared" si="142"/>
        <v>-382805822.37999988</v>
      </c>
      <c r="ZM157" s="294">
        <f t="shared" si="142"/>
        <v>-9204286.7799999993</v>
      </c>
      <c r="ZN157" s="294">
        <f t="shared" si="142"/>
        <v>-33060542.75</v>
      </c>
      <c r="ZO157" s="294">
        <f t="shared" si="142"/>
        <v>-73339135.610000014</v>
      </c>
      <c r="ZP157" s="294">
        <f t="shared" si="142"/>
        <v>-35361607.539999999</v>
      </c>
      <c r="ZQ157" s="294">
        <f t="shared" si="142"/>
        <v>-12051961.9</v>
      </c>
      <c r="ZR157" s="294">
        <f t="shared" si="142"/>
        <v>-12634569.809999999</v>
      </c>
      <c r="ZS157" s="294">
        <f t="shared" si="142"/>
        <v>-29243443.700000003</v>
      </c>
      <c r="ZT157" s="294">
        <f t="shared" si="142"/>
        <v>-22559036.190000001</v>
      </c>
      <c r="ZU157" s="294">
        <f t="shared" si="142"/>
        <v>-58734116.020000011</v>
      </c>
      <c r="ZV157" s="294">
        <f t="shared" si="142"/>
        <v>-5740097.0999999996</v>
      </c>
      <c r="ZW157" s="294">
        <f t="shared" si="142"/>
        <v>-13701876.100000001</v>
      </c>
      <c r="ZX157" s="294">
        <f t="shared" si="142"/>
        <v>-12188132.48</v>
      </c>
      <c r="ZY157" s="294">
        <f t="shared" si="142"/>
        <v>-28012321.060000002</v>
      </c>
      <c r="ZZ157" s="294">
        <f t="shared" si="142"/>
        <v>-11368008.57</v>
      </c>
      <c r="AAA157" s="294">
        <f t="shared" si="142"/>
        <v>-15335437.629999999</v>
      </c>
      <c r="AAB157" s="294">
        <f t="shared" si="142"/>
        <v>-10060957.389999999</v>
      </c>
      <c r="AAC157" s="294">
        <f t="shared" si="142"/>
        <v>-5986716.3500000006</v>
      </c>
      <c r="AAD157" s="294">
        <f t="shared" si="142"/>
        <v>-22466370.460000001</v>
      </c>
      <c r="AAE157" s="294">
        <f t="shared" si="142"/>
        <v>-4638587.7</v>
      </c>
      <c r="AAF157" s="294">
        <f t="shared" si="142"/>
        <v>-5659301.9500000002</v>
      </c>
      <c r="AAG157" s="294">
        <f t="shared" ref="AAG157:ACR157" si="143">SUMIF($A$60:$A$148,$A$60,AAG$60:AAG$148)</f>
        <v>-7111830.6000000006</v>
      </c>
      <c r="AAH157" s="294">
        <f t="shared" si="143"/>
        <v>-98410454.140000001</v>
      </c>
      <c r="AAI157" s="294">
        <f t="shared" si="143"/>
        <v>-16968478.780000001</v>
      </c>
      <c r="AAJ157" s="294">
        <f t="shared" si="143"/>
        <v>-23851049.789999995</v>
      </c>
      <c r="AAK157" s="294">
        <f t="shared" si="143"/>
        <v>-17633600.830000002</v>
      </c>
      <c r="AAL157" s="294">
        <f t="shared" si="143"/>
        <v>-9871358.7300000004</v>
      </c>
      <c r="AAM157" s="294">
        <f t="shared" si="143"/>
        <v>-35104109.310000002</v>
      </c>
      <c r="AAN157" s="294">
        <f t="shared" si="143"/>
        <v>-5489466.5300000003</v>
      </c>
      <c r="AAO157" s="294">
        <f t="shared" si="143"/>
        <v>-815653865.85000002</v>
      </c>
      <c r="AAP157" s="294">
        <f t="shared" si="143"/>
        <v>-33674743.160000004</v>
      </c>
      <c r="AAQ157" s="294">
        <f t="shared" si="143"/>
        <v>-22670680.469999999</v>
      </c>
      <c r="AAR157" s="294">
        <f t="shared" si="143"/>
        <v>-42961107.690000005</v>
      </c>
      <c r="AAS157" s="294">
        <f t="shared" si="143"/>
        <v>-57538152.25</v>
      </c>
      <c r="AAT157" s="294">
        <f t="shared" si="143"/>
        <v>-11726616.26</v>
      </c>
      <c r="AAU157" s="294">
        <f t="shared" si="143"/>
        <v>-22464510.499999996</v>
      </c>
      <c r="AAV157" s="294">
        <f t="shared" si="143"/>
        <v>-35576517.459999993</v>
      </c>
      <c r="AAW157" s="294">
        <f t="shared" si="143"/>
        <v>-120019014.93000001</v>
      </c>
      <c r="AAX157" s="294">
        <f t="shared" si="143"/>
        <v>-25518487.880000003</v>
      </c>
      <c r="AAY157" s="294">
        <f t="shared" si="143"/>
        <v>-41877886.369999997</v>
      </c>
      <c r="AAZ157" s="294">
        <f t="shared" si="143"/>
        <v>-161977921.49000001</v>
      </c>
      <c r="ABA157" s="294">
        <f t="shared" si="143"/>
        <v>-48346386.630000003</v>
      </c>
      <c r="ABB157" s="294">
        <f t="shared" si="143"/>
        <v>-16145328.640000001</v>
      </c>
      <c r="ABC157" s="294">
        <f t="shared" si="143"/>
        <v>-27419754.309999995</v>
      </c>
      <c r="ABD157" s="294">
        <f t="shared" si="143"/>
        <v>-23288607.849999998</v>
      </c>
      <c r="ABE157" s="294">
        <f t="shared" si="143"/>
        <v>-7995197.1399999987</v>
      </c>
      <c r="ABF157" s="294">
        <f t="shared" si="143"/>
        <v>-15355260.34</v>
      </c>
      <c r="ABG157" s="294">
        <f t="shared" si="143"/>
        <v>-17196626.23</v>
      </c>
      <c r="ABH157" s="294">
        <f t="shared" si="143"/>
        <v>-145779413.98000005</v>
      </c>
      <c r="ABI157" s="294">
        <f t="shared" si="143"/>
        <v>-126844393.72</v>
      </c>
      <c r="ABJ157" s="294">
        <f t="shared" si="143"/>
        <v>-23769586.100000001</v>
      </c>
      <c r="ABK157" s="294">
        <f t="shared" si="143"/>
        <v>-13312373.9</v>
      </c>
      <c r="ABL157" s="294">
        <f t="shared" si="143"/>
        <v>-20265937.130000003</v>
      </c>
      <c r="ABM157" s="294">
        <f t="shared" si="143"/>
        <v>-8678552.8899999987</v>
      </c>
      <c r="ABN157" s="294">
        <f t="shared" si="143"/>
        <v>-11423993.65</v>
      </c>
      <c r="ABO157" s="294">
        <f t="shared" si="143"/>
        <v>-218583374.5</v>
      </c>
      <c r="ABP157" s="294">
        <f t="shared" si="143"/>
        <v>-14525181.109999999</v>
      </c>
      <c r="ABQ157" s="294">
        <f t="shared" si="143"/>
        <v>-24462334.68</v>
      </c>
      <c r="ABR157" s="294">
        <f t="shared" si="143"/>
        <v>-33790628.599999994</v>
      </c>
      <c r="ABS157" s="294">
        <f t="shared" si="143"/>
        <v>-30822227.300000001</v>
      </c>
      <c r="ABT157" s="294">
        <f t="shared" si="143"/>
        <v>-16160489.32</v>
      </c>
      <c r="ABU157" s="294">
        <f t="shared" si="143"/>
        <v>-10029308.640000001</v>
      </c>
      <c r="ABV157" s="294">
        <f t="shared" si="143"/>
        <v>-15341649.1</v>
      </c>
      <c r="ABW157" s="294">
        <f t="shared" si="143"/>
        <v>-1819708.9200000002</v>
      </c>
      <c r="ABX157" s="294">
        <f t="shared" si="143"/>
        <v>-424887819.94</v>
      </c>
      <c r="ABY157" s="294">
        <f t="shared" si="143"/>
        <v>-11392446.92</v>
      </c>
      <c r="ABZ157" s="294">
        <f t="shared" si="143"/>
        <v>-18021583.02</v>
      </c>
      <c r="ACA157" s="294">
        <f t="shared" si="143"/>
        <v>-8063076.7800000003</v>
      </c>
      <c r="ACB157" s="294">
        <f t="shared" si="143"/>
        <v>-10960855.859999999</v>
      </c>
      <c r="ACC157" s="294">
        <f t="shared" si="143"/>
        <v>-121408604.80999999</v>
      </c>
      <c r="ACD157" s="294">
        <f t="shared" si="143"/>
        <v>-3865057.0600000005</v>
      </c>
      <c r="ACE157" s="294">
        <f t="shared" si="143"/>
        <v>-11506616.709999999</v>
      </c>
      <c r="ACF157" s="294">
        <f t="shared" si="143"/>
        <v>-13843948.089999998</v>
      </c>
      <c r="ACG157" s="294">
        <f t="shared" si="143"/>
        <v>-26675093.059999995</v>
      </c>
      <c r="ACH157" s="294">
        <f t="shared" si="143"/>
        <v>-16447567.160000002</v>
      </c>
      <c r="ACI157" s="294">
        <f t="shared" si="143"/>
        <v>-293764312.91000003</v>
      </c>
      <c r="ACJ157" s="294">
        <f t="shared" si="143"/>
        <v>-15882298.43</v>
      </c>
      <c r="ACK157" s="294">
        <f t="shared" si="143"/>
        <v>-27805356.41</v>
      </c>
      <c r="ACL157" s="294">
        <f t="shared" si="143"/>
        <v>-48299055.910000011</v>
      </c>
      <c r="ACM157" s="294">
        <f t="shared" si="143"/>
        <v>-12277186.939999999</v>
      </c>
      <c r="ACN157" s="294">
        <f t="shared" si="143"/>
        <v>-51809308.700000003</v>
      </c>
      <c r="ACO157" s="294">
        <f t="shared" si="143"/>
        <v>-18557836.469999999</v>
      </c>
      <c r="ACP157" s="294">
        <f t="shared" si="143"/>
        <v>-135311080.24000001</v>
      </c>
      <c r="ACQ157" s="294">
        <f t="shared" si="143"/>
        <v>-99789904.970000014</v>
      </c>
      <c r="ACR157" s="294">
        <f t="shared" si="143"/>
        <v>-29682443.290000003</v>
      </c>
      <c r="ACS157" s="294">
        <f t="shared" ref="ACS157:AFD157" si="144">SUMIF($A$60:$A$148,$A$60,ACS$60:ACS$148)</f>
        <v>-54197208.969999999</v>
      </c>
      <c r="ACT157" s="294">
        <f t="shared" si="144"/>
        <v>-44091794.130000003</v>
      </c>
      <c r="ACU157" s="294">
        <f t="shared" si="144"/>
        <v>-28862572.110000003</v>
      </c>
      <c r="ACV157" s="294">
        <f t="shared" si="144"/>
        <v>-101712169.61</v>
      </c>
      <c r="ACW157" s="294">
        <f t="shared" si="144"/>
        <v>-22377849.129999999</v>
      </c>
      <c r="ACX157" s="294">
        <f t="shared" si="144"/>
        <v>-18027118.27</v>
      </c>
      <c r="ACY157" s="294">
        <f t="shared" si="144"/>
        <v>-23691628.949999999</v>
      </c>
      <c r="ACZ157" s="294">
        <f t="shared" si="144"/>
        <v>-20836365.079999998</v>
      </c>
      <c r="ADA157" s="294">
        <f t="shared" si="144"/>
        <v>-19196490.449999999</v>
      </c>
      <c r="ADB157" s="294">
        <f t="shared" si="144"/>
        <v>-10505365.41</v>
      </c>
      <c r="ADC157" s="294">
        <f t="shared" si="144"/>
        <v>-24075140.150000002</v>
      </c>
      <c r="ADD157" s="294">
        <f t="shared" si="144"/>
        <v>-11333680.189999999</v>
      </c>
      <c r="ADE157" s="294">
        <f t="shared" si="144"/>
        <v>-10502999.690000001</v>
      </c>
      <c r="ADF157" s="294">
        <f t="shared" si="144"/>
        <v>-96857943.410000026</v>
      </c>
      <c r="ADG157" s="294">
        <f t="shared" si="144"/>
        <v>-53050922.029999994</v>
      </c>
      <c r="ADH157" s="294">
        <f t="shared" si="144"/>
        <v>-4118352.2500000009</v>
      </c>
      <c r="ADI157" s="294">
        <f t="shared" si="144"/>
        <v>-10956993.100000001</v>
      </c>
      <c r="ADJ157" s="294">
        <f t="shared" si="144"/>
        <v>-29437864.350000001</v>
      </c>
      <c r="ADK157" s="294">
        <f t="shared" si="144"/>
        <v>-14027148.690000001</v>
      </c>
      <c r="ADL157" s="294">
        <f t="shared" si="144"/>
        <v>-11971458.110000001</v>
      </c>
      <c r="ADM157" s="294">
        <f t="shared" si="144"/>
        <v>-15901965.67</v>
      </c>
      <c r="ADN157" s="294">
        <f t="shared" si="144"/>
        <v>-30030272.670000002</v>
      </c>
      <c r="ADO157" s="294">
        <f t="shared" si="144"/>
        <v>-471602400.61000001</v>
      </c>
      <c r="ADP157" s="294">
        <f t="shared" si="144"/>
        <v>-49605651.619999997</v>
      </c>
      <c r="ADQ157" s="294">
        <f t="shared" si="144"/>
        <v>-38993082.079999998</v>
      </c>
      <c r="ADR157" s="294">
        <f t="shared" si="144"/>
        <v>-5520366.3799999999</v>
      </c>
      <c r="ADS157" s="294">
        <f t="shared" si="144"/>
        <v>-156241008.54999998</v>
      </c>
      <c r="ADT157" s="294">
        <f t="shared" si="144"/>
        <v>-7092236.6299999999</v>
      </c>
      <c r="ADU157" s="294">
        <f t="shared" si="144"/>
        <v>-20146197.769999996</v>
      </c>
      <c r="ADV157" s="294">
        <f t="shared" si="144"/>
        <v>-11772259.610000001</v>
      </c>
      <c r="ADW157" s="294">
        <f t="shared" si="144"/>
        <v>-8233437.9500000002</v>
      </c>
      <c r="ADX157" s="294">
        <f t="shared" si="144"/>
        <v>-5822981.040000001</v>
      </c>
      <c r="ADY157" s="294">
        <f t="shared" si="144"/>
        <v>-572379708.38</v>
      </c>
      <c r="ADZ157" s="294">
        <f t="shared" si="144"/>
        <v>-154549062.26999998</v>
      </c>
      <c r="AEA157" s="294">
        <f t="shared" si="144"/>
        <v>-93091265.779999986</v>
      </c>
      <c r="AEB157" s="294">
        <f t="shared" si="144"/>
        <v>-30224133.660000004</v>
      </c>
      <c r="AEC157" s="294">
        <f t="shared" si="144"/>
        <v>-16403197.58</v>
      </c>
      <c r="AED157" s="294">
        <f t="shared" si="144"/>
        <v>-46392749.579999998</v>
      </c>
      <c r="AEE157" s="294">
        <f t="shared" si="144"/>
        <v>-31716013.899999999</v>
      </c>
      <c r="AEF157" s="294">
        <f t="shared" si="144"/>
        <v>-22571254.080000002</v>
      </c>
      <c r="AEG157" s="294">
        <f t="shared" si="144"/>
        <v>-14895974.380000001</v>
      </c>
      <c r="AEH157" s="294">
        <f t="shared" si="144"/>
        <v>-12935651.650000002</v>
      </c>
      <c r="AEI157" s="294">
        <f t="shared" si="144"/>
        <v>-39305873.959999993</v>
      </c>
      <c r="AEJ157" s="294">
        <f t="shared" si="144"/>
        <v>-17344903.149999999</v>
      </c>
      <c r="AEK157" s="294">
        <f t="shared" si="144"/>
        <v>-9299133.0799999982</v>
      </c>
      <c r="AEL157" s="294">
        <f t="shared" si="144"/>
        <v>-21263337.640000001</v>
      </c>
      <c r="AEM157" s="294">
        <f t="shared" si="144"/>
        <v>-31887091.879999999</v>
      </c>
      <c r="AEN157" s="294">
        <f t="shared" si="144"/>
        <v>-31296391.949999996</v>
      </c>
      <c r="AEO157" s="294">
        <f t="shared" si="144"/>
        <v>-7443899.7199999997</v>
      </c>
      <c r="AEP157" s="294">
        <f t="shared" si="144"/>
        <v>-72997747.559999987</v>
      </c>
      <c r="AEQ157" s="294">
        <f t="shared" si="144"/>
        <v>-6203769.4500000002</v>
      </c>
      <c r="AER157" s="294">
        <f t="shared" si="144"/>
        <v>-53981162.520000003</v>
      </c>
      <c r="AES157" s="294">
        <f t="shared" si="144"/>
        <v>-243114610.44000012</v>
      </c>
      <c r="AET157" s="294">
        <f t="shared" si="144"/>
        <v>-40424248.079999991</v>
      </c>
      <c r="AEU157" s="294">
        <f t="shared" si="144"/>
        <v>-24768806.470000003</v>
      </c>
      <c r="AEV157" s="294">
        <f t="shared" si="144"/>
        <v>-28902359.120000001</v>
      </c>
      <c r="AEW157" s="294">
        <f t="shared" si="144"/>
        <v>-16034862.49</v>
      </c>
      <c r="AEX157" s="294">
        <f t="shared" si="144"/>
        <v>-81724853.749999985</v>
      </c>
      <c r="AEY157" s="294">
        <f t="shared" si="144"/>
        <v>-29398462.82</v>
      </c>
      <c r="AEZ157" s="294">
        <f t="shared" si="144"/>
        <v>-31392118.199999996</v>
      </c>
      <c r="AFA157" s="294">
        <f t="shared" si="144"/>
        <v>-26630875.510000002</v>
      </c>
      <c r="AFB157" s="294">
        <f t="shared" si="144"/>
        <v>-12457870.330000002</v>
      </c>
      <c r="AFC157" s="294">
        <f t="shared" si="144"/>
        <v>-243810962.62</v>
      </c>
      <c r="AFD157" s="294">
        <f t="shared" si="144"/>
        <v>-40069743.490000002</v>
      </c>
      <c r="AFE157" s="294">
        <f t="shared" ref="AFE157:AHP157" si="145">SUMIF($A$60:$A$148,$A$60,AFE$60:AFE$148)</f>
        <v>-32172403.109999999</v>
      </c>
      <c r="AFF157" s="294">
        <f t="shared" si="145"/>
        <v>-20684438.810000002</v>
      </c>
      <c r="AFG157" s="294">
        <f t="shared" si="145"/>
        <v>-34869721.780000001</v>
      </c>
      <c r="AFH157" s="294">
        <f t="shared" si="145"/>
        <v>-28377465.190000001</v>
      </c>
      <c r="AFI157" s="294">
        <f t="shared" si="145"/>
        <v>-20661379.68</v>
      </c>
      <c r="AFJ157" s="294">
        <f t="shared" si="145"/>
        <v>-19831980.219999995</v>
      </c>
      <c r="AFK157" s="294">
        <f t="shared" si="145"/>
        <v>-12652751.529999999</v>
      </c>
      <c r="AFL157" s="294">
        <f t="shared" si="145"/>
        <v>-29458553.349999998</v>
      </c>
      <c r="AFM157" s="294">
        <f t="shared" si="145"/>
        <v>-16771456.370000001</v>
      </c>
      <c r="AFN157" s="294">
        <f t="shared" si="145"/>
        <v>-14573696.769999998</v>
      </c>
      <c r="AFO157" s="294">
        <f t="shared" si="145"/>
        <v>-30170255.350000001</v>
      </c>
      <c r="AFP157" s="294">
        <f t="shared" si="145"/>
        <v>-236386495.31000003</v>
      </c>
      <c r="AFQ157" s="294">
        <f t="shared" si="145"/>
        <v>-50230545.869999997</v>
      </c>
      <c r="AFR157" s="294">
        <f t="shared" si="145"/>
        <v>-43619402.200000003</v>
      </c>
      <c r="AFS157" s="294">
        <f t="shared" si="145"/>
        <v>-26711761.31000001</v>
      </c>
      <c r="AFT157" s="294">
        <f t="shared" si="145"/>
        <v>-30489036.130000003</v>
      </c>
      <c r="AFU157" s="294">
        <f t="shared" si="145"/>
        <v>-29647118.340000004</v>
      </c>
      <c r="AFV157" s="294">
        <f t="shared" si="145"/>
        <v>-12037456.77</v>
      </c>
      <c r="AFW157" s="294">
        <f t="shared" si="145"/>
        <v>-40985394.219999991</v>
      </c>
      <c r="AFX157" s="294">
        <f t="shared" si="145"/>
        <v>-53882846.299999997</v>
      </c>
      <c r="AFY157" s="294">
        <f t="shared" si="145"/>
        <v>-15601787.129999997</v>
      </c>
      <c r="AFZ157" s="294">
        <f t="shared" si="145"/>
        <v>-65564902.899999991</v>
      </c>
      <c r="AGA157" s="294">
        <f t="shared" si="145"/>
        <v>-16319193.27</v>
      </c>
      <c r="AGB157" s="294">
        <f t="shared" si="145"/>
        <v>-155466498.09</v>
      </c>
      <c r="AGC157" s="294">
        <f t="shared" si="145"/>
        <v>-19836070.780000001</v>
      </c>
      <c r="AGD157" s="294">
        <f t="shared" si="145"/>
        <v>-18269268.709999997</v>
      </c>
      <c r="AGE157" s="294">
        <f t="shared" si="145"/>
        <v>-18371084.18</v>
      </c>
      <c r="AGF157" s="294">
        <f t="shared" si="145"/>
        <v>-44111770.250000015</v>
      </c>
      <c r="AGG157" s="294">
        <f t="shared" si="145"/>
        <v>-24139227.09</v>
      </c>
      <c r="AGH157" s="294">
        <f t="shared" si="145"/>
        <v>-7820211.7100000009</v>
      </c>
      <c r="AGI157" s="294">
        <f t="shared" si="145"/>
        <v>-10558952.810000001</v>
      </c>
      <c r="AGJ157" s="294">
        <f t="shared" si="145"/>
        <v>-9196058.2300000004</v>
      </c>
      <c r="AGK157" s="294">
        <f t="shared" si="145"/>
        <v>-14491255.040000001</v>
      </c>
      <c r="AGL157" s="294">
        <f t="shared" si="145"/>
        <v>-16191772.200000001</v>
      </c>
      <c r="AGM157" s="294">
        <f t="shared" si="145"/>
        <v>-151306602.60999998</v>
      </c>
      <c r="AGN157" s="294">
        <f t="shared" si="145"/>
        <v>-46371606.379999995</v>
      </c>
      <c r="AGO157" s="294">
        <f t="shared" si="145"/>
        <v>-30776065.860000007</v>
      </c>
      <c r="AGP157" s="294">
        <f t="shared" si="145"/>
        <v>-9391961.7699999977</v>
      </c>
      <c r="AGQ157" s="294">
        <f t="shared" si="145"/>
        <v>-35949873.830000013</v>
      </c>
      <c r="AGR157" s="294">
        <f t="shared" si="145"/>
        <v>-36198350</v>
      </c>
      <c r="AGS157" s="294">
        <f t="shared" si="145"/>
        <v>-14722193.979999999</v>
      </c>
      <c r="AGT157" s="294">
        <f t="shared" si="145"/>
        <v>-16692450.950000001</v>
      </c>
      <c r="AGU157" s="294">
        <f t="shared" si="145"/>
        <v>-437195282.68000001</v>
      </c>
      <c r="AGV157" s="294">
        <f t="shared" si="145"/>
        <v>-495819486.88</v>
      </c>
      <c r="AGW157" s="294">
        <f t="shared" si="145"/>
        <v>-25699122.120000008</v>
      </c>
      <c r="AGX157" s="294">
        <f t="shared" si="145"/>
        <v>-36351120.830000006</v>
      </c>
      <c r="AGY157" s="294">
        <f t="shared" si="145"/>
        <v>-70115097.209999993</v>
      </c>
      <c r="AGZ157" s="294">
        <f t="shared" si="145"/>
        <v>-12747753.660000002</v>
      </c>
      <c r="AHA157" s="294">
        <f t="shared" si="145"/>
        <v>-23062915.390000001</v>
      </c>
      <c r="AHB157" s="294">
        <f t="shared" si="145"/>
        <v>-29162175.34</v>
      </c>
      <c r="AHC157" s="294">
        <f t="shared" si="145"/>
        <v>-7011890.2700000005</v>
      </c>
      <c r="AHD157" s="294">
        <f t="shared" si="145"/>
        <v>-45423158.109999999</v>
      </c>
      <c r="AHE157" s="294">
        <f t="shared" si="145"/>
        <v>-38632375.490000002</v>
      </c>
      <c r="AHF157" s="294">
        <f t="shared" si="145"/>
        <v>-19409036.68</v>
      </c>
      <c r="AHG157" s="294">
        <f t="shared" si="145"/>
        <v>-12507493.939999999</v>
      </c>
      <c r="AHH157" s="294">
        <f t="shared" si="145"/>
        <v>-19886613.860000003</v>
      </c>
      <c r="AHI157" s="294">
        <f t="shared" si="145"/>
        <v>-9351275.9299999997</v>
      </c>
      <c r="AHJ157" s="294">
        <f t="shared" si="145"/>
        <v>-9638802.9499999993</v>
      </c>
      <c r="AHK157" s="294">
        <f t="shared" si="145"/>
        <v>-17177383.309999999</v>
      </c>
      <c r="AHL157" s="294">
        <f t="shared" si="145"/>
        <v>-151840707.42999998</v>
      </c>
      <c r="AHM157" s="294">
        <f t="shared" si="145"/>
        <v>-9418358.3499999996</v>
      </c>
      <c r="AHN157" s="294">
        <f t="shared" si="145"/>
        <v>-9800266.120000001</v>
      </c>
      <c r="AHO157" s="294">
        <f t="shared" si="145"/>
        <v>-12864904.66</v>
      </c>
      <c r="AHP157" s="294">
        <f t="shared" si="145"/>
        <v>-21818833.75</v>
      </c>
      <c r="AHQ157" s="294">
        <f t="shared" ref="AHQ157:AHR157" si="146">SUMIF($A$60:$A$148,$A$60,AHQ$60:AHQ$148)</f>
        <v>-10071655.859999999</v>
      </c>
      <c r="AHR157" s="294">
        <f t="shared" si="146"/>
        <v>-18009216.07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56176-DF10-4154-B3EE-9E321CB0B924}">
  <sheetPr>
    <pageSetUpPr fitToPage="1"/>
  </sheetPr>
  <dimension ref="A1:AB702"/>
  <sheetViews>
    <sheetView view="pageBreakPreview" zoomScale="90" zoomScaleNormal="110" zoomScaleSheetLayoutView="90" workbookViewId="0">
      <selection activeCell="A17" sqref="A17"/>
    </sheetView>
  </sheetViews>
  <sheetFormatPr defaultColWidth="9" defaultRowHeight="21" x14ac:dyDescent="0.6"/>
  <cols>
    <col min="1" max="1" width="4.69921875" style="1399" customWidth="1"/>
    <col min="2" max="2" width="21.8984375" style="1461" customWidth="1"/>
    <col min="3" max="3" width="4.5" style="1280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16" width="11.09765625" style="1288" hidden="1" customWidth="1"/>
    <col min="17" max="17" width="11.09765625" style="1288" customWidth="1"/>
    <col min="18" max="18" width="11.09765625" style="1288" hidden="1" customWidth="1"/>
    <col min="19" max="19" width="11.09765625" style="1288" customWidth="1"/>
    <col min="20" max="20" width="11.09765625" style="1288" hidden="1" customWidth="1"/>
    <col min="21" max="21" width="11.09765625" style="1288" customWidth="1"/>
    <col min="22" max="22" width="11.09765625" style="1288" hidden="1" customWidth="1"/>
    <col min="23" max="23" width="11.09765625" style="1288" customWidth="1"/>
    <col min="24" max="25" width="11.0976562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8" x14ac:dyDescent="0.6">
      <c r="A1" s="1735" t="s">
        <v>9017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8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8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8" x14ac:dyDescent="0.6">
      <c r="A4" s="1408" t="s">
        <v>2185</v>
      </c>
      <c r="B4" s="1408" t="s">
        <v>9018</v>
      </c>
      <c r="C4" s="1849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8" x14ac:dyDescent="0.6">
      <c r="A5" s="1417"/>
      <c r="B5" s="1417"/>
      <c r="C5" s="1850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8" x14ac:dyDescent="0.6">
      <c r="A6" s="1417"/>
      <c r="B6" s="1417"/>
      <c r="C6" s="1850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8" x14ac:dyDescent="0.6">
      <c r="A7" s="1425"/>
      <c r="B7" s="1425"/>
      <c r="C7" s="1851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8" s="1388" customFormat="1" ht="23.25" customHeight="1" x14ac:dyDescent="0.25">
      <c r="A8" s="1279">
        <v>1</v>
      </c>
      <c r="B8" s="1211" t="s">
        <v>9019</v>
      </c>
      <c r="C8" s="1383" t="s">
        <v>8907</v>
      </c>
      <c r="D8" s="1166">
        <v>12</v>
      </c>
      <c r="E8" s="1378">
        <v>25000</v>
      </c>
      <c r="F8" s="1343">
        <v>12</v>
      </c>
      <c r="G8" s="1378">
        <v>19640</v>
      </c>
      <c r="H8" s="1343">
        <v>12</v>
      </c>
      <c r="I8" s="1345">
        <v>45600</v>
      </c>
      <c r="J8" s="1480">
        <v>12</v>
      </c>
      <c r="K8" s="1651">
        <v>0</v>
      </c>
      <c r="L8" s="1344">
        <v>0</v>
      </c>
      <c r="M8" s="1204">
        <v>12</v>
      </c>
      <c r="N8" s="1875">
        <v>5000</v>
      </c>
      <c r="O8" s="1346">
        <f>M8*N8</f>
        <v>60000</v>
      </c>
      <c r="P8" s="1482">
        <v>3</v>
      </c>
      <c r="Q8" s="1482">
        <f>P8*N8</f>
        <v>15000</v>
      </c>
      <c r="R8" s="1482">
        <v>3</v>
      </c>
      <c r="S8" s="1483">
        <f>R8*N8</f>
        <v>15000</v>
      </c>
      <c r="T8" s="1482">
        <v>3</v>
      </c>
      <c r="U8" s="1483">
        <f>T8*N8</f>
        <v>15000</v>
      </c>
      <c r="V8" s="1482">
        <v>3</v>
      </c>
      <c r="W8" s="1483">
        <f>V8*N8</f>
        <v>15000</v>
      </c>
      <c r="X8" s="1345">
        <f>P8+R8+T8+V8</f>
        <v>12</v>
      </c>
      <c r="Y8" s="1345">
        <f>X8*N8</f>
        <v>60000</v>
      </c>
      <c r="Z8" s="1357" t="s">
        <v>7799</v>
      </c>
      <c r="AA8" s="1358" t="s">
        <v>6525</v>
      </c>
      <c r="AB8" s="1359" t="str">
        <f t="shared" ref="AB8:AB9" si="0">IF(O8=Y8,"yes")</f>
        <v>yes</v>
      </c>
    </row>
    <row r="9" spans="1:28" s="1393" customFormat="1" ht="20.25" customHeight="1" x14ac:dyDescent="0.6">
      <c r="A9" s="1389" t="s">
        <v>7433</v>
      </c>
      <c r="B9" s="1389"/>
      <c r="C9" s="1389"/>
      <c r="D9" s="1390">
        <f t="shared" ref="D9:Y9" si="1">SUM(D8:D8)</f>
        <v>12</v>
      </c>
      <c r="E9" s="1390">
        <f t="shared" si="1"/>
        <v>25000</v>
      </c>
      <c r="F9" s="1569">
        <f t="shared" si="1"/>
        <v>12</v>
      </c>
      <c r="G9" s="1569">
        <f t="shared" si="1"/>
        <v>19640</v>
      </c>
      <c r="H9" s="1390">
        <f t="shared" si="1"/>
        <v>12</v>
      </c>
      <c r="I9" s="1390">
        <f t="shared" si="1"/>
        <v>45600</v>
      </c>
      <c r="J9" s="1390">
        <f t="shared" si="1"/>
        <v>12</v>
      </c>
      <c r="K9" s="1663">
        <f t="shared" si="1"/>
        <v>0</v>
      </c>
      <c r="L9" s="1390">
        <f t="shared" si="1"/>
        <v>0</v>
      </c>
      <c r="M9" s="1390">
        <f t="shared" si="1"/>
        <v>12</v>
      </c>
      <c r="N9" s="1390">
        <f t="shared" si="1"/>
        <v>5000</v>
      </c>
      <c r="O9" s="1390">
        <f t="shared" si="1"/>
        <v>60000</v>
      </c>
      <c r="P9" s="1390">
        <f t="shared" si="1"/>
        <v>3</v>
      </c>
      <c r="Q9" s="1390">
        <f t="shared" si="1"/>
        <v>15000</v>
      </c>
      <c r="R9" s="1390">
        <f t="shared" si="1"/>
        <v>3</v>
      </c>
      <c r="S9" s="1390">
        <f t="shared" si="1"/>
        <v>15000</v>
      </c>
      <c r="T9" s="1390">
        <f t="shared" si="1"/>
        <v>3</v>
      </c>
      <c r="U9" s="1390">
        <f t="shared" si="1"/>
        <v>15000</v>
      </c>
      <c r="V9" s="1390">
        <f t="shared" si="1"/>
        <v>3</v>
      </c>
      <c r="W9" s="1390">
        <f t="shared" si="1"/>
        <v>15000</v>
      </c>
      <c r="X9" s="1390">
        <f t="shared" si="1"/>
        <v>12</v>
      </c>
      <c r="Y9" s="1390">
        <f t="shared" si="1"/>
        <v>60000</v>
      </c>
      <c r="Z9" s="1391"/>
      <c r="AA9" s="1392"/>
      <c r="AB9" s="1393" t="str">
        <f t="shared" si="0"/>
        <v>yes</v>
      </c>
    </row>
    <row r="10" spans="1:28" ht="20.25" customHeight="1" x14ac:dyDescent="0.6">
      <c r="A10" s="1397"/>
      <c r="C10" s="1399"/>
      <c r="D10" s="1288"/>
      <c r="E10" s="1288"/>
      <c r="F10" s="1288"/>
      <c r="G10" s="1288"/>
      <c r="H10" s="1288"/>
      <c r="I10" s="1288"/>
      <c r="J10" s="1288"/>
      <c r="K10" s="1288"/>
      <c r="L10" s="1288"/>
      <c r="M10" s="1288"/>
      <c r="N10" s="1400"/>
      <c r="O10" s="1400"/>
      <c r="P10" s="1400"/>
      <c r="Q10" s="1400"/>
      <c r="R10" s="1400"/>
      <c r="S10" s="1400"/>
      <c r="T10" s="1400"/>
      <c r="U10" s="1400"/>
      <c r="V10" s="1400"/>
      <c r="W10" s="1400"/>
      <c r="X10" s="1288"/>
      <c r="Y10" s="1288"/>
      <c r="AA10" s="1402"/>
    </row>
    <row r="11" spans="1:28" ht="20.25" customHeight="1" x14ac:dyDescent="0.6">
      <c r="A11" s="1397"/>
      <c r="C11" s="1399"/>
    </row>
    <row r="12" spans="1:28" ht="20.25" customHeight="1" x14ac:dyDescent="0.6">
      <c r="B12" s="1280"/>
      <c r="G12" s="1288"/>
      <c r="N12" s="1290"/>
      <c r="O12" s="1290"/>
      <c r="P12" s="1290"/>
      <c r="Q12" s="1290"/>
      <c r="R12" s="1290"/>
      <c r="S12" s="1290"/>
      <c r="T12" s="1290"/>
      <c r="U12" s="1290"/>
      <c r="V12" s="1290"/>
      <c r="W12" s="1290"/>
      <c r="Z12" s="1280"/>
    </row>
    <row r="13" spans="1:28" ht="20.25" customHeight="1" x14ac:dyDescent="0.6">
      <c r="B13" s="1280"/>
      <c r="G13" s="1288"/>
      <c r="N13" s="1290"/>
      <c r="O13" s="1290"/>
      <c r="P13" s="1290"/>
      <c r="Q13" s="1290"/>
      <c r="R13" s="1290"/>
      <c r="S13" s="1290"/>
      <c r="T13" s="1290"/>
      <c r="U13" s="1290"/>
      <c r="V13" s="1290"/>
      <c r="W13" s="1290"/>
      <c r="Z13" s="1280"/>
    </row>
    <row r="14" spans="1:28" ht="20.25" customHeight="1" x14ac:dyDescent="0.6">
      <c r="B14" s="1280"/>
      <c r="G14" s="1288"/>
      <c r="N14" s="1290"/>
      <c r="O14" s="1290"/>
      <c r="P14" s="1290"/>
      <c r="Q14" s="1290"/>
      <c r="R14" s="1290"/>
      <c r="S14" s="1290"/>
      <c r="T14" s="1290"/>
      <c r="U14" s="1290"/>
      <c r="V14" s="1290"/>
      <c r="W14" s="1290"/>
      <c r="Z14" s="1280"/>
    </row>
    <row r="15" spans="1:28" ht="20.25" customHeight="1" x14ac:dyDescent="0.6">
      <c r="B15" s="1280"/>
      <c r="G15" s="1288"/>
      <c r="N15" s="1290"/>
      <c r="O15" s="1290"/>
      <c r="P15" s="1290"/>
      <c r="Q15" s="1290"/>
      <c r="R15" s="1290"/>
      <c r="S15" s="1290"/>
      <c r="Z15" s="1405"/>
    </row>
    <row r="16" spans="1:28" ht="20.25" customHeight="1" x14ac:dyDescent="0.6"/>
    <row r="17" spans="1:27" ht="20.25" customHeight="1" x14ac:dyDescent="0.6"/>
    <row r="18" spans="1:27" ht="20.25" customHeight="1" x14ac:dyDescent="0.6">
      <c r="AA18" s="1401"/>
    </row>
    <row r="24" spans="1:27" x14ac:dyDescent="0.6">
      <c r="A24" s="1280"/>
      <c r="N24" s="1288"/>
      <c r="O24" s="1290"/>
      <c r="Z24" s="1280"/>
    </row>
    <row r="25" spans="1:27" x14ac:dyDescent="0.6">
      <c r="A25" s="1280"/>
      <c r="N25" s="1288"/>
      <c r="O25" s="1290"/>
      <c r="Z25" s="1280"/>
    </row>
    <row r="26" spans="1:27" x14ac:dyDescent="0.6">
      <c r="A26" s="1280"/>
      <c r="N26" s="1288"/>
      <c r="O26" s="1290"/>
      <c r="Z26" s="1280"/>
    </row>
    <row r="27" spans="1:27" x14ac:dyDescent="0.6">
      <c r="A27" s="1280"/>
      <c r="N27" s="1288"/>
      <c r="O27" s="1290"/>
      <c r="Z27" s="1280"/>
    </row>
    <row r="28" spans="1:27" x14ac:dyDescent="0.6">
      <c r="A28" s="1280"/>
      <c r="N28" s="1288"/>
      <c r="O28" s="1290"/>
      <c r="Z28" s="1280"/>
    </row>
    <row r="29" spans="1:27" x14ac:dyDescent="0.6">
      <c r="A29" s="1280"/>
      <c r="N29" s="1288"/>
      <c r="O29" s="1290"/>
      <c r="Z29" s="1280"/>
    </row>
    <row r="30" spans="1:27" x14ac:dyDescent="0.6">
      <c r="A30" s="1280"/>
      <c r="N30" s="1288"/>
      <c r="O30" s="1290"/>
      <c r="Z30" s="1280"/>
    </row>
    <row r="31" spans="1:27" x14ac:dyDescent="0.6">
      <c r="A31" s="1280"/>
      <c r="N31" s="1288"/>
      <c r="O31" s="1290"/>
      <c r="Z31" s="1280"/>
    </row>
    <row r="32" spans="1:27" x14ac:dyDescent="0.6">
      <c r="A32" s="1280"/>
      <c r="N32" s="1288"/>
      <c r="O32" s="1290"/>
      <c r="Z32" s="1280"/>
    </row>
    <row r="33" spans="1:26" x14ac:dyDescent="0.6">
      <c r="A33" s="1280"/>
      <c r="N33" s="1288"/>
      <c r="O33" s="1290"/>
      <c r="Z33" s="1280"/>
    </row>
    <row r="34" spans="1:26" x14ac:dyDescent="0.6">
      <c r="A34" s="1280"/>
      <c r="N34" s="1288"/>
      <c r="O34" s="1290"/>
      <c r="Z34" s="1280"/>
    </row>
    <row r="35" spans="1:26" x14ac:dyDescent="0.6">
      <c r="A35" s="1280"/>
      <c r="N35" s="1288"/>
      <c r="O35" s="1290"/>
      <c r="Z35" s="1280"/>
    </row>
    <row r="36" spans="1:26" x14ac:dyDescent="0.6">
      <c r="A36" s="1280"/>
      <c r="N36" s="1288"/>
      <c r="O36" s="1290"/>
      <c r="Z36" s="1280"/>
    </row>
    <row r="37" spans="1:26" x14ac:dyDescent="0.6">
      <c r="A37" s="1280"/>
      <c r="N37" s="1288"/>
      <c r="O37" s="1290"/>
      <c r="Z37" s="1280"/>
    </row>
    <row r="38" spans="1:26" x14ac:dyDescent="0.6">
      <c r="A38" s="1280"/>
      <c r="N38" s="1288"/>
      <c r="O38" s="1290"/>
      <c r="Z38" s="1280"/>
    </row>
    <row r="39" spans="1:26" x14ac:dyDescent="0.6">
      <c r="A39" s="1280"/>
      <c r="N39" s="1288"/>
      <c r="O39" s="1290"/>
      <c r="Z39" s="1280"/>
    </row>
    <row r="40" spans="1:26" x14ac:dyDescent="0.6">
      <c r="A40" s="1280"/>
      <c r="N40" s="1288"/>
      <c r="O40" s="1290"/>
      <c r="Z40" s="1280"/>
    </row>
    <row r="41" spans="1:26" x14ac:dyDescent="0.6">
      <c r="A41" s="1280"/>
      <c r="N41" s="1288"/>
      <c r="O41" s="1290"/>
      <c r="Z41" s="1280"/>
    </row>
    <row r="42" spans="1:26" x14ac:dyDescent="0.6">
      <c r="A42" s="1280"/>
      <c r="N42" s="1288"/>
      <c r="O42" s="1290"/>
      <c r="Z42" s="1280"/>
    </row>
    <row r="43" spans="1:26" x14ac:dyDescent="0.6">
      <c r="A43" s="1280"/>
      <c r="N43" s="1288"/>
      <c r="O43" s="1290"/>
      <c r="Z43" s="1280"/>
    </row>
    <row r="44" spans="1:26" x14ac:dyDescent="0.6">
      <c r="A44" s="1280"/>
      <c r="N44" s="1288"/>
      <c r="O44" s="1290"/>
      <c r="Z44" s="1280"/>
    </row>
    <row r="45" spans="1:26" x14ac:dyDescent="0.6">
      <c r="A45" s="1280"/>
      <c r="N45" s="1288"/>
      <c r="O45" s="1290"/>
      <c r="Z45" s="1280"/>
    </row>
    <row r="46" spans="1:26" x14ac:dyDescent="0.6">
      <c r="A46" s="1280"/>
      <c r="N46" s="1288"/>
      <c r="O46" s="1290"/>
      <c r="Z46" s="1280"/>
    </row>
    <row r="47" spans="1:26" x14ac:dyDescent="0.6">
      <c r="A47" s="1280"/>
      <c r="N47" s="1288"/>
      <c r="O47" s="1290"/>
      <c r="Z47" s="1280"/>
    </row>
    <row r="48" spans="1:26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</sheetData>
  <protectedRanges>
    <protectedRange password="CC6F" sqref="B8" name="ช่วง1_5_1_5_1_1_1"/>
  </protectedRanges>
  <mergeCells count="18">
    <mergeCell ref="X6:X7"/>
    <mergeCell ref="A9:C9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C79CC-B31C-4B31-B613-E71CB051870A}">
  <sheetPr>
    <pageSetUpPr fitToPage="1"/>
  </sheetPr>
  <dimension ref="A1:AE735"/>
  <sheetViews>
    <sheetView zoomScale="90" zoomScaleNormal="90" zoomScaleSheetLayoutView="90" workbookViewId="0">
      <pane ySplit="7" topLeftCell="A26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09765625" style="1399" customWidth="1"/>
    <col min="2" max="2" width="18.69921875" style="1461" customWidth="1"/>
    <col min="3" max="3" width="5.8984375" style="1280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6" customWidth="1"/>
    <col min="15" max="15" width="11.09765625" style="1460" customWidth="1"/>
    <col min="16" max="16" width="11.09765625" style="1399" hidden="1" customWidth="1"/>
    <col min="17" max="17" width="11.09765625" style="1399" customWidth="1"/>
    <col min="18" max="18" width="11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1" x14ac:dyDescent="0.6">
      <c r="A1" s="1735" t="s">
        <v>9020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1" x14ac:dyDescent="0.6">
      <c r="A4" s="1408" t="s">
        <v>2185</v>
      </c>
      <c r="B4" s="1408" t="s">
        <v>9021</v>
      </c>
      <c r="C4" s="1301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412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31" x14ac:dyDescent="0.6">
      <c r="A5" s="1417"/>
      <c r="B5" s="1417"/>
      <c r="C5" s="1315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31" x14ac:dyDescent="0.6">
      <c r="A6" s="1417"/>
      <c r="B6" s="1417"/>
      <c r="C6" s="1315" t="s">
        <v>7786</v>
      </c>
      <c r="D6" s="1423" t="s">
        <v>7787</v>
      </c>
      <c r="E6" s="1412" t="s">
        <v>7788</v>
      </c>
      <c r="F6" s="1423" t="s">
        <v>7789</v>
      </c>
      <c r="G6" s="1412" t="s">
        <v>7790</v>
      </c>
      <c r="H6" s="1423" t="s">
        <v>7791</v>
      </c>
      <c r="I6" s="1412" t="s">
        <v>7792</v>
      </c>
      <c r="J6" s="1418" t="s">
        <v>7793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31" x14ac:dyDescent="0.6">
      <c r="A7" s="1425"/>
      <c r="B7" s="1425"/>
      <c r="C7" s="1330" t="s">
        <v>7796</v>
      </c>
      <c r="D7" s="1426"/>
      <c r="E7" s="1427"/>
      <c r="F7" s="1426"/>
      <c r="G7" s="1427"/>
      <c r="H7" s="1426"/>
      <c r="I7" s="1427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31" s="1388" customFormat="1" ht="23.25" customHeight="1" x14ac:dyDescent="0.25">
      <c r="A8" s="1279">
        <v>1</v>
      </c>
      <c r="B8" s="1211" t="s">
        <v>9022</v>
      </c>
      <c r="C8" s="1383" t="s">
        <v>7798</v>
      </c>
      <c r="D8" s="1343">
        <v>2</v>
      </c>
      <c r="E8" s="1378">
        <v>600</v>
      </c>
      <c r="F8" s="1343">
        <v>0</v>
      </c>
      <c r="G8" s="1385">
        <v>0</v>
      </c>
      <c r="H8" s="1386">
        <v>3</v>
      </c>
      <c r="I8" s="1356">
        <f t="shared" ref="I8:I41" si="0">H8*N8</f>
        <v>450</v>
      </c>
      <c r="J8" s="1348">
        <v>5</v>
      </c>
      <c r="K8" s="1349">
        <v>0</v>
      </c>
      <c r="L8" s="1350">
        <f>K8*N8</f>
        <v>0</v>
      </c>
      <c r="M8" s="1351">
        <f>J8-K8</f>
        <v>5</v>
      </c>
      <c r="N8" s="1352">
        <v>150</v>
      </c>
      <c r="O8" s="1353">
        <f>M8*N8</f>
        <v>750</v>
      </c>
      <c r="P8" s="1354">
        <v>0</v>
      </c>
      <c r="Q8" s="1354">
        <f>P8*N8</f>
        <v>0</v>
      </c>
      <c r="R8" s="1354">
        <v>5</v>
      </c>
      <c r="S8" s="1355">
        <f>R8*N8</f>
        <v>750</v>
      </c>
      <c r="T8" s="1354">
        <v>0</v>
      </c>
      <c r="U8" s="1355">
        <f>T8*N8</f>
        <v>0</v>
      </c>
      <c r="V8" s="1354">
        <v>0</v>
      </c>
      <c r="W8" s="1355">
        <f>V8*N8</f>
        <v>0</v>
      </c>
      <c r="X8" s="1356">
        <f>P8+R8+T8+V8</f>
        <v>5</v>
      </c>
      <c r="Y8" s="1356">
        <f>X8*N8</f>
        <v>750</v>
      </c>
      <c r="Z8" s="1357" t="s">
        <v>7799</v>
      </c>
      <c r="AA8" s="1358" t="s">
        <v>6531</v>
      </c>
      <c r="AB8" s="1359" t="str">
        <f t="shared" ref="AB8:AB42" si="1">IF(O8=Y8,"yes")</f>
        <v>yes</v>
      </c>
      <c r="AC8" s="1388" t="str">
        <f>IF(O8=Y8,"ok")</f>
        <v>ok</v>
      </c>
    </row>
    <row r="9" spans="1:31" s="1359" customFormat="1" ht="20.25" customHeight="1" x14ac:dyDescent="0.25">
      <c r="A9" s="1279">
        <v>2</v>
      </c>
      <c r="B9" s="1211" t="s">
        <v>9023</v>
      </c>
      <c r="C9" s="1383" t="s">
        <v>7798</v>
      </c>
      <c r="D9" s="1345">
        <v>3</v>
      </c>
      <c r="E9" s="1378">
        <v>510</v>
      </c>
      <c r="F9" s="1345">
        <v>0</v>
      </c>
      <c r="G9" s="1385">
        <v>0</v>
      </c>
      <c r="H9" s="1356">
        <v>3</v>
      </c>
      <c r="I9" s="1356">
        <f t="shared" si="0"/>
        <v>360</v>
      </c>
      <c r="J9" s="1361">
        <v>5</v>
      </c>
      <c r="K9" s="1362">
        <v>0</v>
      </c>
      <c r="L9" s="1350">
        <f t="shared" ref="L9:L40" si="2">K9*N9</f>
        <v>0</v>
      </c>
      <c r="M9" s="1351">
        <f t="shared" ref="M9:M41" si="3">J9-K9</f>
        <v>5</v>
      </c>
      <c r="N9" s="1363">
        <v>120</v>
      </c>
      <c r="O9" s="1353">
        <f t="shared" ref="O9:O41" si="4">M9*N9</f>
        <v>600</v>
      </c>
      <c r="P9" s="1350">
        <v>0</v>
      </c>
      <c r="Q9" s="1354">
        <f t="shared" ref="Q9:Q41" si="5">P9*N9</f>
        <v>0</v>
      </c>
      <c r="R9" s="1350">
        <v>5</v>
      </c>
      <c r="S9" s="1355">
        <f t="shared" ref="S9:S41" si="6">R9*N9</f>
        <v>600</v>
      </c>
      <c r="T9" s="1356">
        <v>0</v>
      </c>
      <c r="U9" s="1355">
        <f t="shared" ref="U9:U41" si="7">T9*N9</f>
        <v>0</v>
      </c>
      <c r="V9" s="1356">
        <v>0</v>
      </c>
      <c r="W9" s="1355">
        <f t="shared" ref="W9:W41" si="8">V9*N9</f>
        <v>0</v>
      </c>
      <c r="X9" s="1356">
        <f t="shared" ref="X9:X41" si="9">P9+R9+T9+V9</f>
        <v>5</v>
      </c>
      <c r="Y9" s="1356">
        <f t="shared" ref="Y9:Y41" si="10">X9*N9</f>
        <v>600</v>
      </c>
      <c r="Z9" s="1357" t="s">
        <v>7799</v>
      </c>
      <c r="AA9" s="1358" t="s">
        <v>6531</v>
      </c>
      <c r="AB9" s="1359" t="str">
        <f t="shared" si="1"/>
        <v>yes</v>
      </c>
      <c r="AC9" s="1388" t="str">
        <f t="shared" ref="AC9:AC42" si="11">IF(O9=Y9,"ok")</f>
        <v>ok</v>
      </c>
    </row>
    <row r="10" spans="1:31" s="1359" customFormat="1" ht="20.25" customHeight="1" x14ac:dyDescent="0.25">
      <c r="A10" s="1279">
        <v>3</v>
      </c>
      <c r="B10" s="1211" t="s">
        <v>9024</v>
      </c>
      <c r="C10" s="1383" t="s">
        <v>8052</v>
      </c>
      <c r="D10" s="1345">
        <v>5</v>
      </c>
      <c r="E10" s="1378">
        <v>1250</v>
      </c>
      <c r="F10" s="1345">
        <v>2</v>
      </c>
      <c r="G10" s="1385">
        <v>500</v>
      </c>
      <c r="H10" s="1356">
        <v>5</v>
      </c>
      <c r="I10" s="1356">
        <f t="shared" si="0"/>
        <v>1250</v>
      </c>
      <c r="J10" s="1361">
        <v>10</v>
      </c>
      <c r="K10" s="1362">
        <v>5</v>
      </c>
      <c r="L10" s="1350">
        <f t="shared" si="2"/>
        <v>1250</v>
      </c>
      <c r="M10" s="1351">
        <f t="shared" si="3"/>
        <v>5</v>
      </c>
      <c r="N10" s="1363">
        <v>250</v>
      </c>
      <c r="O10" s="1353">
        <f t="shared" si="4"/>
        <v>1250</v>
      </c>
      <c r="P10" s="1350">
        <v>0</v>
      </c>
      <c r="Q10" s="1354">
        <f t="shared" si="5"/>
        <v>0</v>
      </c>
      <c r="R10" s="1356">
        <v>5</v>
      </c>
      <c r="S10" s="1355">
        <f t="shared" si="6"/>
        <v>1250</v>
      </c>
      <c r="T10" s="1350">
        <v>0</v>
      </c>
      <c r="U10" s="1355">
        <f t="shared" si="7"/>
        <v>0</v>
      </c>
      <c r="V10" s="1356">
        <v>0</v>
      </c>
      <c r="W10" s="1355">
        <f t="shared" si="8"/>
        <v>0</v>
      </c>
      <c r="X10" s="1356">
        <f t="shared" si="9"/>
        <v>5</v>
      </c>
      <c r="Y10" s="1356">
        <f t="shared" si="10"/>
        <v>1250</v>
      </c>
      <c r="Z10" s="1357" t="s">
        <v>7799</v>
      </c>
      <c r="AA10" s="1358" t="s">
        <v>6531</v>
      </c>
      <c r="AB10" s="1359" t="str">
        <f t="shared" si="1"/>
        <v>yes</v>
      </c>
      <c r="AC10" s="1388" t="str">
        <f t="shared" si="11"/>
        <v>ok</v>
      </c>
    </row>
    <row r="11" spans="1:31" s="1359" customFormat="1" ht="20.25" customHeight="1" x14ac:dyDescent="0.25">
      <c r="A11" s="1279">
        <v>4</v>
      </c>
      <c r="B11" s="1211" t="s">
        <v>9025</v>
      </c>
      <c r="C11" s="1383" t="s">
        <v>8052</v>
      </c>
      <c r="D11" s="1345">
        <v>10</v>
      </c>
      <c r="E11" s="1378">
        <v>4150</v>
      </c>
      <c r="F11" s="1345">
        <v>6</v>
      </c>
      <c r="G11" s="1385">
        <v>2490</v>
      </c>
      <c r="H11" s="1356">
        <v>5</v>
      </c>
      <c r="I11" s="1356">
        <f t="shared" si="0"/>
        <v>2075</v>
      </c>
      <c r="J11" s="1361">
        <v>10</v>
      </c>
      <c r="K11" s="1362">
        <v>0</v>
      </c>
      <c r="L11" s="1350">
        <f t="shared" si="2"/>
        <v>0</v>
      </c>
      <c r="M11" s="1351">
        <f t="shared" si="3"/>
        <v>10</v>
      </c>
      <c r="N11" s="1363">
        <v>415</v>
      </c>
      <c r="O11" s="1353">
        <f t="shared" si="4"/>
        <v>4150</v>
      </c>
      <c r="P11" s="1356">
        <v>0</v>
      </c>
      <c r="Q11" s="1354">
        <f t="shared" si="5"/>
        <v>0</v>
      </c>
      <c r="R11" s="1350">
        <v>5</v>
      </c>
      <c r="S11" s="1355">
        <f t="shared" si="6"/>
        <v>2075</v>
      </c>
      <c r="T11" s="1356">
        <v>0</v>
      </c>
      <c r="U11" s="1355">
        <f t="shared" si="7"/>
        <v>0</v>
      </c>
      <c r="V11" s="1350">
        <v>5</v>
      </c>
      <c r="W11" s="1355">
        <f t="shared" si="8"/>
        <v>2075</v>
      </c>
      <c r="X11" s="1356">
        <f t="shared" si="9"/>
        <v>10</v>
      </c>
      <c r="Y11" s="1356">
        <f t="shared" si="10"/>
        <v>4150</v>
      </c>
      <c r="Z11" s="1357" t="s">
        <v>7799</v>
      </c>
      <c r="AA11" s="1358" t="s">
        <v>6531</v>
      </c>
      <c r="AB11" s="1359" t="str">
        <f t="shared" si="1"/>
        <v>yes</v>
      </c>
      <c r="AC11" s="1388" t="str">
        <f t="shared" si="11"/>
        <v>ok</v>
      </c>
    </row>
    <row r="12" spans="1:31" s="1359" customFormat="1" ht="20.25" customHeight="1" x14ac:dyDescent="0.25">
      <c r="A12" s="1279">
        <v>5</v>
      </c>
      <c r="B12" s="1211" t="s">
        <v>9026</v>
      </c>
      <c r="C12" s="1383" t="s">
        <v>7895</v>
      </c>
      <c r="D12" s="1345">
        <v>60</v>
      </c>
      <c r="E12" s="1378">
        <v>385.2</v>
      </c>
      <c r="F12" s="1345">
        <v>40</v>
      </c>
      <c r="G12" s="1385">
        <v>280</v>
      </c>
      <c r="H12" s="1356">
        <v>20</v>
      </c>
      <c r="I12" s="1356">
        <f t="shared" si="0"/>
        <v>160</v>
      </c>
      <c r="J12" s="1361">
        <v>30</v>
      </c>
      <c r="K12" s="1362">
        <v>0</v>
      </c>
      <c r="L12" s="1350">
        <f t="shared" si="2"/>
        <v>0</v>
      </c>
      <c r="M12" s="1351">
        <f t="shared" si="3"/>
        <v>30</v>
      </c>
      <c r="N12" s="1363">
        <v>8</v>
      </c>
      <c r="O12" s="1353">
        <f t="shared" si="4"/>
        <v>240</v>
      </c>
      <c r="P12" s="1350">
        <v>10</v>
      </c>
      <c r="Q12" s="1354">
        <f t="shared" si="5"/>
        <v>80</v>
      </c>
      <c r="R12" s="1350">
        <v>0</v>
      </c>
      <c r="S12" s="1355">
        <f t="shared" si="6"/>
        <v>0</v>
      </c>
      <c r="T12" s="1356">
        <v>10</v>
      </c>
      <c r="U12" s="1355">
        <f t="shared" si="7"/>
        <v>80</v>
      </c>
      <c r="V12" s="1356">
        <v>10</v>
      </c>
      <c r="W12" s="1355">
        <f t="shared" si="8"/>
        <v>80</v>
      </c>
      <c r="X12" s="1356">
        <f t="shared" si="9"/>
        <v>30</v>
      </c>
      <c r="Y12" s="1356">
        <f t="shared" si="10"/>
        <v>240</v>
      </c>
      <c r="Z12" s="1357" t="s">
        <v>7799</v>
      </c>
      <c r="AA12" s="1358" t="s">
        <v>6531</v>
      </c>
      <c r="AB12" s="1359" t="str">
        <f t="shared" si="1"/>
        <v>yes</v>
      </c>
      <c r="AC12" s="1388" t="str">
        <f t="shared" si="11"/>
        <v>ok</v>
      </c>
    </row>
    <row r="13" spans="1:31" s="1359" customFormat="1" ht="20.25" customHeight="1" x14ac:dyDescent="0.25">
      <c r="A13" s="1279">
        <v>6</v>
      </c>
      <c r="B13" s="1211" t="s">
        <v>9027</v>
      </c>
      <c r="C13" s="1383" t="s">
        <v>7895</v>
      </c>
      <c r="D13" s="1345">
        <v>30</v>
      </c>
      <c r="E13" s="1378">
        <v>192.6</v>
      </c>
      <c r="F13" s="1345">
        <v>20</v>
      </c>
      <c r="G13" s="1385">
        <v>140</v>
      </c>
      <c r="H13" s="1356">
        <v>30</v>
      </c>
      <c r="I13" s="1356">
        <f t="shared" si="0"/>
        <v>210</v>
      </c>
      <c r="J13" s="1361">
        <v>30</v>
      </c>
      <c r="K13" s="1362">
        <v>5</v>
      </c>
      <c r="L13" s="1350">
        <f t="shared" si="2"/>
        <v>35</v>
      </c>
      <c r="M13" s="1351">
        <f t="shared" si="3"/>
        <v>25</v>
      </c>
      <c r="N13" s="1363">
        <v>7</v>
      </c>
      <c r="O13" s="1353">
        <f t="shared" si="4"/>
        <v>175</v>
      </c>
      <c r="P13" s="1350">
        <v>0</v>
      </c>
      <c r="Q13" s="1354">
        <f t="shared" si="5"/>
        <v>0</v>
      </c>
      <c r="R13" s="1350">
        <v>10</v>
      </c>
      <c r="S13" s="1355">
        <f t="shared" si="6"/>
        <v>70</v>
      </c>
      <c r="T13" s="1356">
        <v>0</v>
      </c>
      <c r="U13" s="1355">
        <f t="shared" si="7"/>
        <v>0</v>
      </c>
      <c r="V13" s="1356">
        <v>15</v>
      </c>
      <c r="W13" s="1355">
        <f t="shared" si="8"/>
        <v>105</v>
      </c>
      <c r="X13" s="1356">
        <f t="shared" si="9"/>
        <v>25</v>
      </c>
      <c r="Y13" s="1356">
        <f t="shared" si="10"/>
        <v>175</v>
      </c>
      <c r="Z13" s="1357" t="s">
        <v>7799</v>
      </c>
      <c r="AA13" s="1358" t="s">
        <v>6531</v>
      </c>
      <c r="AB13" s="1359" t="str">
        <f t="shared" si="1"/>
        <v>yes</v>
      </c>
      <c r="AC13" s="1388" t="str">
        <f t="shared" si="11"/>
        <v>ok</v>
      </c>
    </row>
    <row r="14" spans="1:31" s="1359" customFormat="1" ht="20.25" customHeight="1" x14ac:dyDescent="0.25">
      <c r="A14" s="1279">
        <v>7</v>
      </c>
      <c r="B14" s="1211" t="s">
        <v>9028</v>
      </c>
      <c r="C14" s="1383" t="s">
        <v>7798</v>
      </c>
      <c r="D14" s="1345">
        <v>20</v>
      </c>
      <c r="E14" s="1378">
        <v>120</v>
      </c>
      <c r="F14" s="1345">
        <v>10</v>
      </c>
      <c r="G14" s="1385">
        <v>70</v>
      </c>
      <c r="H14" s="1356">
        <v>10</v>
      </c>
      <c r="I14" s="1356">
        <f t="shared" si="0"/>
        <v>70</v>
      </c>
      <c r="J14" s="1361">
        <v>30</v>
      </c>
      <c r="K14" s="1362">
        <v>5</v>
      </c>
      <c r="L14" s="1350">
        <f t="shared" si="2"/>
        <v>35</v>
      </c>
      <c r="M14" s="1351">
        <f t="shared" si="3"/>
        <v>25</v>
      </c>
      <c r="N14" s="1363">
        <v>7</v>
      </c>
      <c r="O14" s="1353">
        <f t="shared" si="4"/>
        <v>175</v>
      </c>
      <c r="P14" s="1350">
        <v>0</v>
      </c>
      <c r="Q14" s="1354">
        <f t="shared" si="5"/>
        <v>0</v>
      </c>
      <c r="R14" s="1350">
        <v>10</v>
      </c>
      <c r="S14" s="1355">
        <f t="shared" si="6"/>
        <v>70</v>
      </c>
      <c r="T14" s="1356">
        <v>0</v>
      </c>
      <c r="U14" s="1355">
        <f t="shared" si="7"/>
        <v>0</v>
      </c>
      <c r="V14" s="1356">
        <v>15</v>
      </c>
      <c r="W14" s="1355">
        <f t="shared" si="8"/>
        <v>105</v>
      </c>
      <c r="X14" s="1356">
        <f t="shared" si="9"/>
        <v>25</v>
      </c>
      <c r="Y14" s="1356">
        <f t="shared" si="10"/>
        <v>175</v>
      </c>
      <c r="Z14" s="1357" t="s">
        <v>7799</v>
      </c>
      <c r="AA14" s="1358" t="s">
        <v>6531</v>
      </c>
      <c r="AB14" s="1359" t="str">
        <f t="shared" si="1"/>
        <v>yes</v>
      </c>
      <c r="AC14" s="1388" t="str">
        <f t="shared" si="11"/>
        <v>ok</v>
      </c>
    </row>
    <row r="15" spans="1:31" s="1359" customFormat="1" ht="20.25" customHeight="1" x14ac:dyDescent="0.25">
      <c r="A15" s="1279">
        <v>8</v>
      </c>
      <c r="B15" s="1211" t="s">
        <v>9029</v>
      </c>
      <c r="C15" s="1383" t="s">
        <v>8052</v>
      </c>
      <c r="D15" s="1345">
        <v>12</v>
      </c>
      <c r="E15" s="1378">
        <v>3000</v>
      </c>
      <c r="F15" s="1345">
        <v>10</v>
      </c>
      <c r="G15" s="1385">
        <v>2500</v>
      </c>
      <c r="H15" s="1356">
        <v>5</v>
      </c>
      <c r="I15" s="1356">
        <f t="shared" si="0"/>
        <v>900</v>
      </c>
      <c r="J15" s="1361">
        <v>10</v>
      </c>
      <c r="K15" s="1362">
        <v>0</v>
      </c>
      <c r="L15" s="1350">
        <f t="shared" si="2"/>
        <v>0</v>
      </c>
      <c r="M15" s="1351">
        <f t="shared" si="3"/>
        <v>10</v>
      </c>
      <c r="N15" s="1363">
        <v>180</v>
      </c>
      <c r="O15" s="1353">
        <f t="shared" si="4"/>
        <v>1800</v>
      </c>
      <c r="P15" s="1350">
        <v>5</v>
      </c>
      <c r="Q15" s="1354">
        <f t="shared" si="5"/>
        <v>900</v>
      </c>
      <c r="R15" s="1350">
        <v>0</v>
      </c>
      <c r="S15" s="1355">
        <f t="shared" si="6"/>
        <v>0</v>
      </c>
      <c r="T15" s="1356">
        <v>5</v>
      </c>
      <c r="U15" s="1355">
        <f t="shared" si="7"/>
        <v>900</v>
      </c>
      <c r="V15" s="1356">
        <v>0</v>
      </c>
      <c r="W15" s="1355">
        <f t="shared" si="8"/>
        <v>0</v>
      </c>
      <c r="X15" s="1356">
        <f t="shared" si="9"/>
        <v>10</v>
      </c>
      <c r="Y15" s="1356">
        <f t="shared" si="10"/>
        <v>1800</v>
      </c>
      <c r="Z15" s="1357" t="s">
        <v>7799</v>
      </c>
      <c r="AA15" s="1358" t="s">
        <v>6531</v>
      </c>
      <c r="AB15" s="1359" t="str">
        <f t="shared" si="1"/>
        <v>yes</v>
      </c>
      <c r="AC15" s="1388" t="str">
        <f t="shared" si="11"/>
        <v>ok</v>
      </c>
    </row>
    <row r="16" spans="1:31" s="1359" customFormat="1" ht="20.25" customHeight="1" x14ac:dyDescent="0.25">
      <c r="A16" s="1279">
        <v>9</v>
      </c>
      <c r="B16" s="1211" t="s">
        <v>9030</v>
      </c>
      <c r="C16" s="1383" t="s">
        <v>7960</v>
      </c>
      <c r="D16" s="1345">
        <v>12</v>
      </c>
      <c r="E16" s="1378">
        <v>900</v>
      </c>
      <c r="F16" s="1345">
        <v>20</v>
      </c>
      <c r="G16" s="1385">
        <v>1000</v>
      </c>
      <c r="H16" s="1356">
        <v>0</v>
      </c>
      <c r="I16" s="1356">
        <f t="shared" si="0"/>
        <v>0</v>
      </c>
      <c r="J16" s="1361">
        <v>10</v>
      </c>
      <c r="K16" s="1362">
        <v>0</v>
      </c>
      <c r="L16" s="1350">
        <f t="shared" si="2"/>
        <v>0</v>
      </c>
      <c r="M16" s="1351">
        <f t="shared" si="3"/>
        <v>10</v>
      </c>
      <c r="N16" s="1363">
        <v>80</v>
      </c>
      <c r="O16" s="1353">
        <f t="shared" si="4"/>
        <v>800</v>
      </c>
      <c r="P16" s="1356">
        <v>5</v>
      </c>
      <c r="Q16" s="1354">
        <f t="shared" si="5"/>
        <v>400</v>
      </c>
      <c r="R16" s="1350">
        <v>0</v>
      </c>
      <c r="S16" s="1355">
        <f t="shared" si="6"/>
        <v>0</v>
      </c>
      <c r="T16" s="1356">
        <v>5</v>
      </c>
      <c r="U16" s="1355">
        <f t="shared" si="7"/>
        <v>400</v>
      </c>
      <c r="V16" s="1350">
        <v>0</v>
      </c>
      <c r="W16" s="1355">
        <f t="shared" si="8"/>
        <v>0</v>
      </c>
      <c r="X16" s="1356">
        <f t="shared" si="9"/>
        <v>10</v>
      </c>
      <c r="Y16" s="1356">
        <f t="shared" si="10"/>
        <v>800</v>
      </c>
      <c r="Z16" s="1357" t="s">
        <v>7799</v>
      </c>
      <c r="AA16" s="1358" t="s">
        <v>6531</v>
      </c>
      <c r="AB16" s="1359" t="str">
        <f t="shared" si="1"/>
        <v>yes</v>
      </c>
      <c r="AC16" s="1388" t="str">
        <f t="shared" si="11"/>
        <v>ok</v>
      </c>
      <c r="AE16" s="1382"/>
    </row>
    <row r="17" spans="1:31" s="1388" customFormat="1" ht="23.25" customHeight="1" x14ac:dyDescent="0.25">
      <c r="A17" s="1279">
        <v>10</v>
      </c>
      <c r="B17" s="1211" t="s">
        <v>9031</v>
      </c>
      <c r="C17" s="1383" t="s">
        <v>7960</v>
      </c>
      <c r="D17" s="1343">
        <v>12</v>
      </c>
      <c r="E17" s="1378">
        <v>1140</v>
      </c>
      <c r="F17" s="1343">
        <v>25</v>
      </c>
      <c r="G17" s="1385">
        <v>1500</v>
      </c>
      <c r="H17" s="1386">
        <v>0</v>
      </c>
      <c r="I17" s="1356">
        <f t="shared" si="0"/>
        <v>0</v>
      </c>
      <c r="J17" s="1348">
        <v>10</v>
      </c>
      <c r="K17" s="1349">
        <v>0</v>
      </c>
      <c r="L17" s="1350">
        <f t="shared" si="2"/>
        <v>0</v>
      </c>
      <c r="M17" s="1351">
        <f t="shared" si="3"/>
        <v>10</v>
      </c>
      <c r="N17" s="1352">
        <v>70</v>
      </c>
      <c r="O17" s="1353">
        <f>M17*N17</f>
        <v>700</v>
      </c>
      <c r="P17" s="1354">
        <v>5</v>
      </c>
      <c r="Q17" s="1354">
        <f>P17*N17</f>
        <v>350</v>
      </c>
      <c r="R17" s="1354">
        <v>0</v>
      </c>
      <c r="S17" s="1355">
        <f>R17*N17</f>
        <v>0</v>
      </c>
      <c r="T17" s="1354">
        <v>5</v>
      </c>
      <c r="U17" s="1355">
        <f>T17*N17</f>
        <v>350</v>
      </c>
      <c r="V17" s="1354">
        <v>0</v>
      </c>
      <c r="W17" s="1355">
        <f>V17*N17</f>
        <v>0</v>
      </c>
      <c r="X17" s="1356">
        <f t="shared" si="9"/>
        <v>10</v>
      </c>
      <c r="Y17" s="1356">
        <f>X17*N17</f>
        <v>700</v>
      </c>
      <c r="Z17" s="1357" t="s">
        <v>7799</v>
      </c>
      <c r="AA17" s="1358" t="s">
        <v>6531</v>
      </c>
      <c r="AB17" s="1359" t="str">
        <f t="shared" si="1"/>
        <v>yes</v>
      </c>
      <c r="AC17" s="1388" t="str">
        <f t="shared" si="11"/>
        <v>ok</v>
      </c>
    </row>
    <row r="18" spans="1:31" s="1359" customFormat="1" ht="20.25" customHeight="1" x14ac:dyDescent="0.25">
      <c r="A18" s="1279">
        <v>11</v>
      </c>
      <c r="B18" s="1211" t="s">
        <v>9032</v>
      </c>
      <c r="C18" s="1383" t="s">
        <v>8052</v>
      </c>
      <c r="D18" s="1343">
        <v>1</v>
      </c>
      <c r="E18" s="1378">
        <v>200</v>
      </c>
      <c r="F18" s="1343">
        <v>1</v>
      </c>
      <c r="G18" s="1385">
        <v>200</v>
      </c>
      <c r="H18" s="1356">
        <v>1</v>
      </c>
      <c r="I18" s="1356">
        <f t="shared" si="0"/>
        <v>180</v>
      </c>
      <c r="J18" s="1361">
        <v>5</v>
      </c>
      <c r="K18" s="1362">
        <v>0</v>
      </c>
      <c r="L18" s="1350">
        <f t="shared" si="2"/>
        <v>0</v>
      </c>
      <c r="M18" s="1351">
        <f t="shared" si="3"/>
        <v>5</v>
      </c>
      <c r="N18" s="1363">
        <v>180</v>
      </c>
      <c r="O18" s="1353">
        <f t="shared" ref="O18:O24" si="12">M18*N18</f>
        <v>900</v>
      </c>
      <c r="P18" s="1350">
        <v>5</v>
      </c>
      <c r="Q18" s="1354">
        <f t="shared" ref="Q18:Q24" si="13">P18*N18</f>
        <v>900</v>
      </c>
      <c r="R18" s="1350">
        <v>0</v>
      </c>
      <c r="S18" s="1355">
        <f t="shared" ref="S18:S24" si="14">R18*N18</f>
        <v>0</v>
      </c>
      <c r="T18" s="1356">
        <v>0</v>
      </c>
      <c r="U18" s="1355">
        <f t="shared" ref="U18:U24" si="15">T18*N18</f>
        <v>0</v>
      </c>
      <c r="V18" s="1356">
        <v>0</v>
      </c>
      <c r="W18" s="1355">
        <f t="shared" ref="W18:W24" si="16">V18*N18</f>
        <v>0</v>
      </c>
      <c r="X18" s="1356">
        <f t="shared" si="9"/>
        <v>5</v>
      </c>
      <c r="Y18" s="1356">
        <f t="shared" ref="Y18:Y24" si="17">X18*N18</f>
        <v>900</v>
      </c>
      <c r="Z18" s="1357" t="s">
        <v>7799</v>
      </c>
      <c r="AA18" s="1358" t="s">
        <v>6531</v>
      </c>
      <c r="AB18" s="1359" t="str">
        <f t="shared" si="1"/>
        <v>yes</v>
      </c>
      <c r="AC18" s="1388" t="str">
        <f t="shared" si="11"/>
        <v>ok</v>
      </c>
    </row>
    <row r="19" spans="1:31" s="1359" customFormat="1" ht="20.25" customHeight="1" x14ac:dyDescent="0.25">
      <c r="A19" s="1279">
        <v>12</v>
      </c>
      <c r="B19" s="1211" t="s">
        <v>9033</v>
      </c>
      <c r="C19" s="1383" t="s">
        <v>8052</v>
      </c>
      <c r="D19" s="1345">
        <v>5</v>
      </c>
      <c r="E19" s="1378">
        <v>1498</v>
      </c>
      <c r="F19" s="1345">
        <v>3</v>
      </c>
      <c r="G19" s="1385">
        <v>945</v>
      </c>
      <c r="H19" s="1356">
        <v>5</v>
      </c>
      <c r="I19" s="1356">
        <f t="shared" si="0"/>
        <v>1750</v>
      </c>
      <c r="J19" s="1361">
        <v>11</v>
      </c>
      <c r="K19" s="1362">
        <v>6</v>
      </c>
      <c r="L19" s="1350">
        <f t="shared" si="2"/>
        <v>2100</v>
      </c>
      <c r="M19" s="1351">
        <f t="shared" si="3"/>
        <v>5</v>
      </c>
      <c r="N19" s="1363">
        <v>350</v>
      </c>
      <c r="O19" s="1353">
        <f t="shared" si="12"/>
        <v>1750</v>
      </c>
      <c r="P19" s="1350">
        <v>0</v>
      </c>
      <c r="Q19" s="1354">
        <f t="shared" si="13"/>
        <v>0</v>
      </c>
      <c r="R19" s="1356">
        <v>0</v>
      </c>
      <c r="S19" s="1355">
        <f t="shared" si="14"/>
        <v>0</v>
      </c>
      <c r="T19" s="1350">
        <v>5</v>
      </c>
      <c r="U19" s="1355">
        <f t="shared" si="15"/>
        <v>1750</v>
      </c>
      <c r="V19" s="1356">
        <v>0</v>
      </c>
      <c r="W19" s="1355">
        <f t="shared" si="16"/>
        <v>0</v>
      </c>
      <c r="X19" s="1356">
        <f t="shared" si="9"/>
        <v>5</v>
      </c>
      <c r="Y19" s="1356">
        <f t="shared" si="17"/>
        <v>1750</v>
      </c>
      <c r="Z19" s="1357" t="s">
        <v>7799</v>
      </c>
      <c r="AA19" s="1358" t="s">
        <v>6531</v>
      </c>
      <c r="AB19" s="1359" t="str">
        <f t="shared" si="1"/>
        <v>yes</v>
      </c>
      <c r="AC19" s="1388" t="str">
        <f t="shared" si="11"/>
        <v>ok</v>
      </c>
    </row>
    <row r="20" spans="1:31" s="1359" customFormat="1" ht="20.25" customHeight="1" x14ac:dyDescent="0.25">
      <c r="A20" s="1279">
        <v>13</v>
      </c>
      <c r="B20" s="1211" t="s">
        <v>9034</v>
      </c>
      <c r="C20" s="1383" t="s">
        <v>7895</v>
      </c>
      <c r="D20" s="1345">
        <v>15</v>
      </c>
      <c r="E20" s="1378">
        <v>401.25</v>
      </c>
      <c r="F20" s="1345">
        <v>5</v>
      </c>
      <c r="G20" s="1385">
        <v>150</v>
      </c>
      <c r="H20" s="1356">
        <v>9</v>
      </c>
      <c r="I20" s="1356">
        <f t="shared" si="0"/>
        <v>270</v>
      </c>
      <c r="J20" s="1361">
        <v>15</v>
      </c>
      <c r="K20" s="1362">
        <v>3</v>
      </c>
      <c r="L20" s="1350">
        <f t="shared" si="2"/>
        <v>90</v>
      </c>
      <c r="M20" s="1351">
        <f t="shared" si="3"/>
        <v>12</v>
      </c>
      <c r="N20" s="1363">
        <v>30</v>
      </c>
      <c r="O20" s="1353">
        <f t="shared" si="12"/>
        <v>360</v>
      </c>
      <c r="P20" s="1356">
        <v>0</v>
      </c>
      <c r="Q20" s="1354">
        <f t="shared" si="13"/>
        <v>0</v>
      </c>
      <c r="R20" s="1350">
        <v>12</v>
      </c>
      <c r="S20" s="1355">
        <f t="shared" si="14"/>
        <v>360</v>
      </c>
      <c r="T20" s="1356">
        <v>0</v>
      </c>
      <c r="U20" s="1355">
        <f t="shared" si="15"/>
        <v>0</v>
      </c>
      <c r="V20" s="1350">
        <v>0</v>
      </c>
      <c r="W20" s="1355">
        <f t="shared" si="16"/>
        <v>0</v>
      </c>
      <c r="X20" s="1356">
        <f t="shared" si="9"/>
        <v>12</v>
      </c>
      <c r="Y20" s="1356">
        <f t="shared" si="17"/>
        <v>360</v>
      </c>
      <c r="Z20" s="1357" t="s">
        <v>7799</v>
      </c>
      <c r="AA20" s="1358" t="s">
        <v>6531</v>
      </c>
      <c r="AB20" s="1359" t="str">
        <f t="shared" si="1"/>
        <v>yes</v>
      </c>
      <c r="AC20" s="1388" t="str">
        <f t="shared" si="11"/>
        <v>ok</v>
      </c>
    </row>
    <row r="21" spans="1:31" s="1359" customFormat="1" ht="20.25" customHeight="1" x14ac:dyDescent="0.25">
      <c r="A21" s="1279">
        <v>14</v>
      </c>
      <c r="B21" s="1211" t="s">
        <v>9035</v>
      </c>
      <c r="C21" s="1383" t="s">
        <v>7895</v>
      </c>
      <c r="D21" s="1345">
        <v>26</v>
      </c>
      <c r="E21" s="1378">
        <v>278.2</v>
      </c>
      <c r="F21" s="1345">
        <v>0</v>
      </c>
      <c r="G21" s="1385">
        <v>0</v>
      </c>
      <c r="H21" s="1356">
        <v>5</v>
      </c>
      <c r="I21" s="1356">
        <f t="shared" si="0"/>
        <v>25</v>
      </c>
      <c r="J21" s="1361">
        <v>10</v>
      </c>
      <c r="K21" s="1362">
        <v>5</v>
      </c>
      <c r="L21" s="1350">
        <f t="shared" si="2"/>
        <v>25</v>
      </c>
      <c r="M21" s="1351">
        <f t="shared" si="3"/>
        <v>5</v>
      </c>
      <c r="N21" s="1363">
        <v>5</v>
      </c>
      <c r="O21" s="1353">
        <f t="shared" si="12"/>
        <v>25</v>
      </c>
      <c r="P21" s="1350">
        <v>0</v>
      </c>
      <c r="Q21" s="1354">
        <f t="shared" si="13"/>
        <v>0</v>
      </c>
      <c r="R21" s="1350">
        <v>5</v>
      </c>
      <c r="S21" s="1355">
        <f t="shared" si="14"/>
        <v>25</v>
      </c>
      <c r="T21" s="1356">
        <v>0</v>
      </c>
      <c r="U21" s="1355">
        <f t="shared" si="15"/>
        <v>0</v>
      </c>
      <c r="V21" s="1356">
        <v>0</v>
      </c>
      <c r="W21" s="1355">
        <f t="shared" si="16"/>
        <v>0</v>
      </c>
      <c r="X21" s="1356">
        <f t="shared" si="9"/>
        <v>5</v>
      </c>
      <c r="Y21" s="1356">
        <f t="shared" si="17"/>
        <v>25</v>
      </c>
      <c r="Z21" s="1357" t="s">
        <v>7799</v>
      </c>
      <c r="AA21" s="1358" t="s">
        <v>6531</v>
      </c>
      <c r="AB21" s="1359" t="str">
        <f t="shared" si="1"/>
        <v>yes</v>
      </c>
      <c r="AC21" s="1388" t="str">
        <f t="shared" si="11"/>
        <v>ok</v>
      </c>
    </row>
    <row r="22" spans="1:31" s="1359" customFormat="1" ht="20.25" customHeight="1" x14ac:dyDescent="0.25">
      <c r="A22" s="1279">
        <v>15</v>
      </c>
      <c r="B22" s="1211" t="s">
        <v>9036</v>
      </c>
      <c r="C22" s="1383" t="s">
        <v>8052</v>
      </c>
      <c r="D22" s="1345">
        <v>5</v>
      </c>
      <c r="E22" s="1378">
        <v>963</v>
      </c>
      <c r="F22" s="1345">
        <v>3</v>
      </c>
      <c r="G22" s="1385">
        <v>600</v>
      </c>
      <c r="H22" s="1356">
        <v>9</v>
      </c>
      <c r="I22" s="1356">
        <f t="shared" si="0"/>
        <v>2070</v>
      </c>
      <c r="J22" s="1361">
        <v>11</v>
      </c>
      <c r="K22" s="1362">
        <v>1</v>
      </c>
      <c r="L22" s="1350">
        <f t="shared" si="2"/>
        <v>230</v>
      </c>
      <c r="M22" s="1351">
        <f t="shared" si="3"/>
        <v>10</v>
      </c>
      <c r="N22" s="1363">
        <v>230</v>
      </c>
      <c r="O22" s="1353">
        <f t="shared" si="12"/>
        <v>2300</v>
      </c>
      <c r="P22" s="1350">
        <v>5</v>
      </c>
      <c r="Q22" s="1354">
        <f t="shared" si="13"/>
        <v>1150</v>
      </c>
      <c r="R22" s="1350">
        <v>0</v>
      </c>
      <c r="S22" s="1355">
        <f t="shared" si="14"/>
        <v>0</v>
      </c>
      <c r="T22" s="1356">
        <v>5</v>
      </c>
      <c r="U22" s="1355">
        <f t="shared" si="15"/>
        <v>1150</v>
      </c>
      <c r="V22" s="1356">
        <v>0</v>
      </c>
      <c r="W22" s="1355">
        <f t="shared" si="16"/>
        <v>0</v>
      </c>
      <c r="X22" s="1356">
        <f t="shared" si="9"/>
        <v>10</v>
      </c>
      <c r="Y22" s="1356">
        <f t="shared" si="17"/>
        <v>2300</v>
      </c>
      <c r="Z22" s="1357" t="s">
        <v>7799</v>
      </c>
      <c r="AA22" s="1358" t="s">
        <v>6531</v>
      </c>
      <c r="AB22" s="1359" t="str">
        <f t="shared" si="1"/>
        <v>yes</v>
      </c>
      <c r="AC22" s="1388" t="str">
        <f t="shared" si="11"/>
        <v>ok</v>
      </c>
    </row>
    <row r="23" spans="1:31" s="1359" customFormat="1" ht="20.25" customHeight="1" x14ac:dyDescent="0.25">
      <c r="A23" s="1279">
        <v>16</v>
      </c>
      <c r="B23" s="1211" t="s">
        <v>9037</v>
      </c>
      <c r="C23" s="1383" t="s">
        <v>7808</v>
      </c>
      <c r="D23" s="1345">
        <v>5</v>
      </c>
      <c r="E23" s="1378">
        <v>750</v>
      </c>
      <c r="F23" s="1345">
        <v>5</v>
      </c>
      <c r="G23" s="1385">
        <v>750</v>
      </c>
      <c r="H23" s="1356">
        <v>3</v>
      </c>
      <c r="I23" s="1356">
        <f t="shared" si="0"/>
        <v>75</v>
      </c>
      <c r="J23" s="1361">
        <v>5</v>
      </c>
      <c r="K23" s="1362">
        <v>0</v>
      </c>
      <c r="L23" s="1350">
        <f t="shared" si="2"/>
        <v>0</v>
      </c>
      <c r="M23" s="1351">
        <f t="shared" si="3"/>
        <v>5</v>
      </c>
      <c r="N23" s="1363">
        <v>25</v>
      </c>
      <c r="O23" s="1353">
        <f t="shared" si="12"/>
        <v>125</v>
      </c>
      <c r="P23" s="1350">
        <v>2</v>
      </c>
      <c r="Q23" s="1354">
        <f t="shared" si="13"/>
        <v>50</v>
      </c>
      <c r="R23" s="1350">
        <v>0</v>
      </c>
      <c r="S23" s="1355">
        <f t="shared" si="14"/>
        <v>0</v>
      </c>
      <c r="T23" s="1356">
        <v>3</v>
      </c>
      <c r="U23" s="1355">
        <f t="shared" si="15"/>
        <v>75</v>
      </c>
      <c r="V23" s="1356">
        <v>0</v>
      </c>
      <c r="W23" s="1355">
        <f t="shared" si="16"/>
        <v>0</v>
      </c>
      <c r="X23" s="1356">
        <f t="shared" si="9"/>
        <v>5</v>
      </c>
      <c r="Y23" s="1356">
        <f t="shared" si="17"/>
        <v>125</v>
      </c>
      <c r="Z23" s="1357" t="s">
        <v>7799</v>
      </c>
      <c r="AA23" s="1358" t="s">
        <v>6531</v>
      </c>
      <c r="AB23" s="1359" t="str">
        <f t="shared" si="1"/>
        <v>yes</v>
      </c>
      <c r="AC23" s="1388" t="str">
        <f t="shared" si="11"/>
        <v>ok</v>
      </c>
    </row>
    <row r="24" spans="1:31" s="1359" customFormat="1" ht="20.25" customHeight="1" x14ac:dyDescent="0.25">
      <c r="A24" s="1279">
        <v>17</v>
      </c>
      <c r="B24" s="1211" t="s">
        <v>9038</v>
      </c>
      <c r="C24" s="1383" t="s">
        <v>7816</v>
      </c>
      <c r="D24" s="1345">
        <v>3</v>
      </c>
      <c r="E24" s="1378">
        <v>690</v>
      </c>
      <c r="F24" s="1345">
        <v>5</v>
      </c>
      <c r="G24" s="1385">
        <v>250</v>
      </c>
      <c r="H24" s="1356">
        <v>6</v>
      </c>
      <c r="I24" s="1356">
        <f t="shared" si="0"/>
        <v>600</v>
      </c>
      <c r="J24" s="1361">
        <v>5</v>
      </c>
      <c r="K24" s="1362">
        <v>0</v>
      </c>
      <c r="L24" s="1350">
        <f t="shared" si="2"/>
        <v>0</v>
      </c>
      <c r="M24" s="1351">
        <f t="shared" si="3"/>
        <v>5</v>
      </c>
      <c r="N24" s="1363">
        <v>100</v>
      </c>
      <c r="O24" s="1353">
        <f t="shared" si="12"/>
        <v>500</v>
      </c>
      <c r="P24" s="1356">
        <v>2</v>
      </c>
      <c r="Q24" s="1354">
        <f t="shared" si="13"/>
        <v>200</v>
      </c>
      <c r="R24" s="1350">
        <v>0</v>
      </c>
      <c r="S24" s="1355">
        <f t="shared" si="14"/>
        <v>0</v>
      </c>
      <c r="T24" s="1356">
        <v>3</v>
      </c>
      <c r="U24" s="1355">
        <f t="shared" si="15"/>
        <v>300</v>
      </c>
      <c r="V24" s="1350">
        <v>0</v>
      </c>
      <c r="W24" s="1355">
        <f t="shared" si="16"/>
        <v>0</v>
      </c>
      <c r="X24" s="1356">
        <f t="shared" si="9"/>
        <v>5</v>
      </c>
      <c r="Y24" s="1356">
        <f t="shared" si="17"/>
        <v>500</v>
      </c>
      <c r="Z24" s="1357" t="s">
        <v>7799</v>
      </c>
      <c r="AA24" s="1358" t="s">
        <v>6531</v>
      </c>
      <c r="AB24" s="1359" t="str">
        <f t="shared" si="1"/>
        <v>yes</v>
      </c>
      <c r="AC24" s="1388" t="str">
        <f t="shared" si="11"/>
        <v>ok</v>
      </c>
      <c r="AE24" s="1382"/>
    </row>
    <row r="25" spans="1:31" s="1388" customFormat="1" ht="23.25" customHeight="1" x14ac:dyDescent="0.25">
      <c r="A25" s="1279">
        <v>18</v>
      </c>
      <c r="B25" s="1211" t="s">
        <v>9039</v>
      </c>
      <c r="C25" s="1383" t="s">
        <v>7816</v>
      </c>
      <c r="D25" s="1343">
        <v>3</v>
      </c>
      <c r="E25" s="1378">
        <v>870</v>
      </c>
      <c r="F25" s="1343">
        <v>21</v>
      </c>
      <c r="G25" s="1385">
        <v>2100</v>
      </c>
      <c r="H25" s="1386">
        <v>10</v>
      </c>
      <c r="I25" s="1356">
        <f t="shared" si="0"/>
        <v>1000</v>
      </c>
      <c r="J25" s="1348">
        <v>5</v>
      </c>
      <c r="K25" s="1349">
        <v>0</v>
      </c>
      <c r="L25" s="1350">
        <f t="shared" si="2"/>
        <v>0</v>
      </c>
      <c r="M25" s="1351">
        <f t="shared" si="3"/>
        <v>5</v>
      </c>
      <c r="N25" s="1352">
        <v>100</v>
      </c>
      <c r="O25" s="1353">
        <f>M25*N25</f>
        <v>500</v>
      </c>
      <c r="P25" s="1354">
        <v>2</v>
      </c>
      <c r="Q25" s="1354">
        <f>P25*N25</f>
        <v>200</v>
      </c>
      <c r="R25" s="1354">
        <v>0</v>
      </c>
      <c r="S25" s="1355">
        <f>R25*N25</f>
        <v>0</v>
      </c>
      <c r="T25" s="1354">
        <v>3</v>
      </c>
      <c r="U25" s="1355">
        <f>T25*N25</f>
        <v>300</v>
      </c>
      <c r="V25" s="1354">
        <v>0</v>
      </c>
      <c r="W25" s="1355">
        <f>V25*N25</f>
        <v>0</v>
      </c>
      <c r="X25" s="1356">
        <f t="shared" si="9"/>
        <v>5</v>
      </c>
      <c r="Y25" s="1356">
        <f>X25*N25</f>
        <v>500</v>
      </c>
      <c r="Z25" s="1357" t="s">
        <v>7799</v>
      </c>
      <c r="AA25" s="1358" t="s">
        <v>6531</v>
      </c>
      <c r="AB25" s="1359" t="str">
        <f t="shared" si="1"/>
        <v>yes</v>
      </c>
      <c r="AC25" s="1388" t="str">
        <f t="shared" si="11"/>
        <v>ok</v>
      </c>
    </row>
    <row r="26" spans="1:31" s="1359" customFormat="1" ht="20.25" customHeight="1" x14ac:dyDescent="0.25">
      <c r="A26" s="1279">
        <v>19</v>
      </c>
      <c r="B26" s="1211" t="s">
        <v>9040</v>
      </c>
      <c r="C26" s="1383" t="s">
        <v>7816</v>
      </c>
      <c r="D26" s="1345">
        <v>5</v>
      </c>
      <c r="E26" s="1378">
        <v>500</v>
      </c>
      <c r="F26" s="1345">
        <v>8</v>
      </c>
      <c r="G26" s="1385">
        <v>800</v>
      </c>
      <c r="H26" s="1356">
        <v>5</v>
      </c>
      <c r="I26" s="1356">
        <f t="shared" si="0"/>
        <v>500</v>
      </c>
      <c r="J26" s="1361">
        <v>5</v>
      </c>
      <c r="K26" s="1362">
        <v>0</v>
      </c>
      <c r="L26" s="1350">
        <f t="shared" si="2"/>
        <v>0</v>
      </c>
      <c r="M26" s="1351">
        <f t="shared" si="3"/>
        <v>5</v>
      </c>
      <c r="N26" s="1363">
        <v>100</v>
      </c>
      <c r="O26" s="1353">
        <f t="shared" ref="O26:O39" si="18">M26*N26</f>
        <v>500</v>
      </c>
      <c r="P26" s="1350">
        <v>2</v>
      </c>
      <c r="Q26" s="1354">
        <f t="shared" ref="Q26:Q39" si="19">P26*N26</f>
        <v>200</v>
      </c>
      <c r="R26" s="1350">
        <v>0</v>
      </c>
      <c r="S26" s="1355">
        <f t="shared" ref="S26:S39" si="20">R26*N26</f>
        <v>0</v>
      </c>
      <c r="T26" s="1356">
        <v>3</v>
      </c>
      <c r="U26" s="1355">
        <f t="shared" ref="U26:U39" si="21">T26*N26</f>
        <v>300</v>
      </c>
      <c r="V26" s="1356">
        <v>0</v>
      </c>
      <c r="W26" s="1355">
        <f t="shared" ref="W26:W39" si="22">V26*N26</f>
        <v>0</v>
      </c>
      <c r="X26" s="1356">
        <f t="shared" si="9"/>
        <v>5</v>
      </c>
      <c r="Y26" s="1356">
        <f t="shared" ref="Y26:Y39" si="23">X26*N26</f>
        <v>500</v>
      </c>
      <c r="Z26" s="1357" t="s">
        <v>7799</v>
      </c>
      <c r="AA26" s="1358" t="s">
        <v>6531</v>
      </c>
      <c r="AB26" s="1359" t="str">
        <f t="shared" si="1"/>
        <v>yes</v>
      </c>
      <c r="AC26" s="1388" t="str">
        <f t="shared" si="11"/>
        <v>ok</v>
      </c>
    </row>
    <row r="27" spans="1:31" s="1359" customFormat="1" ht="20.25" customHeight="1" x14ac:dyDescent="0.25">
      <c r="A27" s="1279">
        <v>20</v>
      </c>
      <c r="B27" s="1211" t="s">
        <v>9041</v>
      </c>
      <c r="C27" s="1383" t="s">
        <v>8853</v>
      </c>
      <c r="D27" s="1345">
        <v>4</v>
      </c>
      <c r="E27" s="1378">
        <v>920</v>
      </c>
      <c r="F27" s="1345">
        <v>6</v>
      </c>
      <c r="G27" s="1385">
        <v>2100</v>
      </c>
      <c r="H27" s="1356">
        <v>4</v>
      </c>
      <c r="I27" s="1356">
        <f t="shared" si="0"/>
        <v>1960</v>
      </c>
      <c r="J27" s="1361">
        <v>5</v>
      </c>
      <c r="K27" s="1362">
        <v>0</v>
      </c>
      <c r="L27" s="1350">
        <f t="shared" si="2"/>
        <v>0</v>
      </c>
      <c r="M27" s="1351">
        <f t="shared" si="3"/>
        <v>5</v>
      </c>
      <c r="N27" s="1363">
        <v>490</v>
      </c>
      <c r="O27" s="1353">
        <f t="shared" si="18"/>
        <v>2450</v>
      </c>
      <c r="P27" s="1350">
        <v>2</v>
      </c>
      <c r="Q27" s="1354">
        <f t="shared" si="19"/>
        <v>980</v>
      </c>
      <c r="R27" s="1356">
        <v>0</v>
      </c>
      <c r="S27" s="1355">
        <f t="shared" si="20"/>
        <v>0</v>
      </c>
      <c r="T27" s="1350">
        <v>2</v>
      </c>
      <c r="U27" s="1355">
        <f t="shared" si="21"/>
        <v>980</v>
      </c>
      <c r="V27" s="1356">
        <v>1</v>
      </c>
      <c r="W27" s="1355">
        <f t="shared" si="22"/>
        <v>490</v>
      </c>
      <c r="X27" s="1356">
        <f t="shared" si="9"/>
        <v>5</v>
      </c>
      <c r="Y27" s="1356">
        <f t="shared" si="23"/>
        <v>2450</v>
      </c>
      <c r="Z27" s="1357" t="s">
        <v>7799</v>
      </c>
      <c r="AA27" s="1358" t="s">
        <v>6531</v>
      </c>
      <c r="AB27" s="1359" t="str">
        <f t="shared" si="1"/>
        <v>yes</v>
      </c>
      <c r="AC27" s="1388" t="str">
        <f t="shared" si="11"/>
        <v>ok</v>
      </c>
    </row>
    <row r="28" spans="1:31" s="1359" customFormat="1" ht="20.25" customHeight="1" x14ac:dyDescent="0.25">
      <c r="A28" s="1279">
        <v>21</v>
      </c>
      <c r="B28" s="1211" t="s">
        <v>9042</v>
      </c>
      <c r="C28" s="1383" t="s">
        <v>8052</v>
      </c>
      <c r="D28" s="1345">
        <v>5</v>
      </c>
      <c r="E28" s="1378">
        <v>2250</v>
      </c>
      <c r="F28" s="1345">
        <v>5</v>
      </c>
      <c r="G28" s="1385">
        <v>1250</v>
      </c>
      <c r="H28" s="1356">
        <v>5</v>
      </c>
      <c r="I28" s="1356">
        <f t="shared" si="0"/>
        <v>1250</v>
      </c>
      <c r="J28" s="1361">
        <v>10</v>
      </c>
      <c r="K28" s="1362">
        <v>0</v>
      </c>
      <c r="L28" s="1350">
        <f t="shared" si="2"/>
        <v>0</v>
      </c>
      <c r="M28" s="1351">
        <f t="shared" si="3"/>
        <v>10</v>
      </c>
      <c r="N28" s="1363">
        <v>250</v>
      </c>
      <c r="O28" s="1353">
        <f t="shared" si="18"/>
        <v>2500</v>
      </c>
      <c r="P28" s="1356">
        <v>5</v>
      </c>
      <c r="Q28" s="1354">
        <f t="shared" si="19"/>
        <v>1250</v>
      </c>
      <c r="R28" s="1350">
        <v>0</v>
      </c>
      <c r="S28" s="1355">
        <f t="shared" si="20"/>
        <v>0</v>
      </c>
      <c r="T28" s="1356">
        <v>5</v>
      </c>
      <c r="U28" s="1355">
        <f t="shared" si="21"/>
        <v>1250</v>
      </c>
      <c r="V28" s="1350">
        <v>0</v>
      </c>
      <c r="W28" s="1355">
        <f t="shared" si="22"/>
        <v>0</v>
      </c>
      <c r="X28" s="1356">
        <f t="shared" si="9"/>
        <v>10</v>
      </c>
      <c r="Y28" s="1356">
        <f t="shared" si="23"/>
        <v>2500</v>
      </c>
      <c r="Z28" s="1357" t="s">
        <v>7799</v>
      </c>
      <c r="AA28" s="1358" t="s">
        <v>6531</v>
      </c>
      <c r="AB28" s="1359" t="str">
        <f t="shared" si="1"/>
        <v>yes</v>
      </c>
      <c r="AC28" s="1388" t="str">
        <f t="shared" si="11"/>
        <v>ok</v>
      </c>
    </row>
    <row r="29" spans="1:31" s="1359" customFormat="1" ht="20.25" customHeight="1" x14ac:dyDescent="0.25">
      <c r="A29" s="1279">
        <v>22</v>
      </c>
      <c r="B29" s="1211" t="s">
        <v>9043</v>
      </c>
      <c r="C29" s="1383" t="s">
        <v>8208</v>
      </c>
      <c r="D29" s="1345">
        <v>3</v>
      </c>
      <c r="E29" s="1378">
        <v>870</v>
      </c>
      <c r="F29" s="1345">
        <v>5</v>
      </c>
      <c r="G29" s="1385">
        <v>250</v>
      </c>
      <c r="H29" s="1356">
        <v>5</v>
      </c>
      <c r="I29" s="1356">
        <f t="shared" si="0"/>
        <v>1450</v>
      </c>
      <c r="J29" s="1361">
        <v>10</v>
      </c>
      <c r="K29" s="1362">
        <v>0</v>
      </c>
      <c r="L29" s="1350">
        <f t="shared" si="2"/>
        <v>0</v>
      </c>
      <c r="M29" s="1351">
        <f t="shared" si="3"/>
        <v>10</v>
      </c>
      <c r="N29" s="1363">
        <v>290</v>
      </c>
      <c r="O29" s="1353">
        <f t="shared" si="18"/>
        <v>2900</v>
      </c>
      <c r="P29" s="1350">
        <v>5</v>
      </c>
      <c r="Q29" s="1354">
        <f t="shared" si="19"/>
        <v>1450</v>
      </c>
      <c r="R29" s="1350">
        <v>0</v>
      </c>
      <c r="S29" s="1355">
        <f t="shared" si="20"/>
        <v>0</v>
      </c>
      <c r="T29" s="1356">
        <v>5</v>
      </c>
      <c r="U29" s="1355">
        <f t="shared" si="21"/>
        <v>1450</v>
      </c>
      <c r="V29" s="1356">
        <v>0</v>
      </c>
      <c r="W29" s="1355">
        <f t="shared" si="22"/>
        <v>0</v>
      </c>
      <c r="X29" s="1356">
        <f t="shared" si="9"/>
        <v>10</v>
      </c>
      <c r="Y29" s="1356">
        <f t="shared" si="23"/>
        <v>2900</v>
      </c>
      <c r="Z29" s="1357" t="s">
        <v>7799</v>
      </c>
      <c r="AA29" s="1358" t="s">
        <v>6531</v>
      </c>
      <c r="AB29" s="1359" t="str">
        <f t="shared" si="1"/>
        <v>yes</v>
      </c>
      <c r="AC29" s="1388" t="str">
        <f t="shared" si="11"/>
        <v>ok</v>
      </c>
    </row>
    <row r="30" spans="1:31" s="1359" customFormat="1" ht="20.25" customHeight="1" x14ac:dyDescent="0.25">
      <c r="A30" s="1279">
        <v>23</v>
      </c>
      <c r="B30" s="1211" t="s">
        <v>9044</v>
      </c>
      <c r="C30" s="1383" t="s">
        <v>8208</v>
      </c>
      <c r="D30" s="1345">
        <v>5</v>
      </c>
      <c r="E30" s="1378">
        <v>1150</v>
      </c>
      <c r="F30" s="1345">
        <v>5</v>
      </c>
      <c r="G30" s="1385">
        <v>500</v>
      </c>
      <c r="H30" s="1356">
        <v>5</v>
      </c>
      <c r="I30" s="1356">
        <f t="shared" si="0"/>
        <v>700</v>
      </c>
      <c r="J30" s="1361">
        <v>10</v>
      </c>
      <c r="K30" s="1362">
        <v>0</v>
      </c>
      <c r="L30" s="1350">
        <f t="shared" si="2"/>
        <v>0</v>
      </c>
      <c r="M30" s="1351">
        <f t="shared" si="3"/>
        <v>10</v>
      </c>
      <c r="N30" s="1363">
        <v>140</v>
      </c>
      <c r="O30" s="1353">
        <f t="shared" si="18"/>
        <v>1400</v>
      </c>
      <c r="P30" s="1350">
        <v>5</v>
      </c>
      <c r="Q30" s="1354">
        <f t="shared" si="19"/>
        <v>700</v>
      </c>
      <c r="R30" s="1350">
        <v>0</v>
      </c>
      <c r="S30" s="1355">
        <f t="shared" si="20"/>
        <v>0</v>
      </c>
      <c r="T30" s="1356">
        <v>5</v>
      </c>
      <c r="U30" s="1355">
        <f t="shared" si="21"/>
        <v>700</v>
      </c>
      <c r="V30" s="1356">
        <v>0</v>
      </c>
      <c r="W30" s="1355">
        <f t="shared" si="22"/>
        <v>0</v>
      </c>
      <c r="X30" s="1356">
        <f t="shared" si="9"/>
        <v>10</v>
      </c>
      <c r="Y30" s="1356">
        <f t="shared" si="23"/>
        <v>1400</v>
      </c>
      <c r="Z30" s="1357" t="s">
        <v>7799</v>
      </c>
      <c r="AA30" s="1358" t="s">
        <v>6531</v>
      </c>
      <c r="AB30" s="1359" t="str">
        <f t="shared" si="1"/>
        <v>yes</v>
      </c>
      <c r="AC30" s="1388" t="str">
        <f t="shared" si="11"/>
        <v>ok</v>
      </c>
    </row>
    <row r="31" spans="1:31" s="1359" customFormat="1" ht="20.25" customHeight="1" x14ac:dyDescent="0.25">
      <c r="A31" s="1279">
        <v>24</v>
      </c>
      <c r="B31" s="1211" t="s">
        <v>9045</v>
      </c>
      <c r="C31" s="1383" t="s">
        <v>7841</v>
      </c>
      <c r="D31" s="1345">
        <v>5</v>
      </c>
      <c r="E31" s="1378">
        <v>600</v>
      </c>
      <c r="F31" s="1345">
        <v>4</v>
      </c>
      <c r="G31" s="1385">
        <v>540</v>
      </c>
      <c r="H31" s="1356">
        <v>5</v>
      </c>
      <c r="I31" s="1356">
        <f t="shared" si="0"/>
        <v>600</v>
      </c>
      <c r="J31" s="1361">
        <v>10</v>
      </c>
      <c r="K31" s="1362">
        <v>0</v>
      </c>
      <c r="L31" s="1350">
        <f t="shared" si="2"/>
        <v>0</v>
      </c>
      <c r="M31" s="1351">
        <f t="shared" si="3"/>
        <v>10</v>
      </c>
      <c r="N31" s="1363">
        <v>120</v>
      </c>
      <c r="O31" s="1353">
        <f t="shared" si="18"/>
        <v>1200</v>
      </c>
      <c r="P31" s="1350">
        <v>3</v>
      </c>
      <c r="Q31" s="1354">
        <f t="shared" si="19"/>
        <v>360</v>
      </c>
      <c r="R31" s="1350">
        <v>3</v>
      </c>
      <c r="S31" s="1355">
        <f t="shared" si="20"/>
        <v>360</v>
      </c>
      <c r="T31" s="1356">
        <v>3</v>
      </c>
      <c r="U31" s="1355">
        <f t="shared" si="21"/>
        <v>360</v>
      </c>
      <c r="V31" s="1356">
        <v>1</v>
      </c>
      <c r="W31" s="1355">
        <f t="shared" si="22"/>
        <v>120</v>
      </c>
      <c r="X31" s="1356">
        <f t="shared" si="9"/>
        <v>10</v>
      </c>
      <c r="Y31" s="1356">
        <f t="shared" si="23"/>
        <v>1200</v>
      </c>
      <c r="Z31" s="1357" t="s">
        <v>7799</v>
      </c>
      <c r="AA31" s="1358" t="s">
        <v>6531</v>
      </c>
      <c r="AB31" s="1359" t="str">
        <f t="shared" si="1"/>
        <v>yes</v>
      </c>
      <c r="AC31" s="1388" t="str">
        <f t="shared" si="11"/>
        <v>ok</v>
      </c>
    </row>
    <row r="32" spans="1:31" s="1917" customFormat="1" ht="25.5" customHeight="1" x14ac:dyDescent="0.25">
      <c r="A32" s="1279">
        <v>25</v>
      </c>
      <c r="B32" s="1180" t="s">
        <v>9046</v>
      </c>
      <c r="C32" s="1904" t="s">
        <v>8853</v>
      </c>
      <c r="D32" s="1905">
        <v>5</v>
      </c>
      <c r="E32" s="1906">
        <v>375</v>
      </c>
      <c r="F32" s="1905">
        <v>8</v>
      </c>
      <c r="G32" s="1907">
        <v>360</v>
      </c>
      <c r="H32" s="1908">
        <v>5</v>
      </c>
      <c r="I32" s="1908">
        <f t="shared" si="0"/>
        <v>500</v>
      </c>
      <c r="J32" s="1909">
        <v>5</v>
      </c>
      <c r="K32" s="1910">
        <v>0</v>
      </c>
      <c r="L32" s="1911">
        <f t="shared" si="2"/>
        <v>0</v>
      </c>
      <c r="M32" s="1912">
        <f t="shared" si="3"/>
        <v>5</v>
      </c>
      <c r="N32" s="1913">
        <v>100</v>
      </c>
      <c r="O32" s="1914">
        <f t="shared" si="18"/>
        <v>500</v>
      </c>
      <c r="P32" s="1911">
        <v>2</v>
      </c>
      <c r="Q32" s="1915">
        <f t="shared" si="19"/>
        <v>200</v>
      </c>
      <c r="R32" s="1911">
        <v>0</v>
      </c>
      <c r="S32" s="1916">
        <f t="shared" si="20"/>
        <v>0</v>
      </c>
      <c r="T32" s="1908">
        <v>3</v>
      </c>
      <c r="U32" s="1916">
        <f t="shared" si="21"/>
        <v>300</v>
      </c>
      <c r="V32" s="1908">
        <v>0</v>
      </c>
      <c r="W32" s="1916">
        <f t="shared" si="22"/>
        <v>0</v>
      </c>
      <c r="X32" s="1908">
        <f t="shared" si="9"/>
        <v>5</v>
      </c>
      <c r="Y32" s="1908">
        <f t="shared" si="23"/>
        <v>500</v>
      </c>
      <c r="Z32" s="1357" t="s">
        <v>7799</v>
      </c>
      <c r="AA32" s="1358" t="s">
        <v>6531</v>
      </c>
      <c r="AB32" s="1917" t="str">
        <f t="shared" si="1"/>
        <v>yes</v>
      </c>
      <c r="AC32" s="1918" t="str">
        <f t="shared" si="11"/>
        <v>ok</v>
      </c>
    </row>
    <row r="33" spans="1:31" s="1359" customFormat="1" ht="20.25" customHeight="1" x14ac:dyDescent="0.25">
      <c r="A33" s="1279">
        <v>26</v>
      </c>
      <c r="B33" s="1211" t="s">
        <v>9047</v>
      </c>
      <c r="C33" s="1383" t="s">
        <v>7808</v>
      </c>
      <c r="D33" s="1345">
        <v>1</v>
      </c>
      <c r="E33" s="1378">
        <v>1000</v>
      </c>
      <c r="F33" s="1345">
        <v>0</v>
      </c>
      <c r="G33" s="1385">
        <v>0</v>
      </c>
      <c r="H33" s="1356">
        <v>1</v>
      </c>
      <c r="I33" s="1356">
        <f t="shared" si="0"/>
        <v>525</v>
      </c>
      <c r="J33" s="1361">
        <v>3</v>
      </c>
      <c r="K33" s="1362">
        <v>0</v>
      </c>
      <c r="L33" s="1350">
        <f t="shared" si="2"/>
        <v>0</v>
      </c>
      <c r="M33" s="1351">
        <f t="shared" si="3"/>
        <v>3</v>
      </c>
      <c r="N33" s="1363">
        <v>525</v>
      </c>
      <c r="O33" s="1353">
        <f t="shared" si="18"/>
        <v>1575</v>
      </c>
      <c r="P33" s="1356">
        <v>1</v>
      </c>
      <c r="Q33" s="1354">
        <f t="shared" si="19"/>
        <v>525</v>
      </c>
      <c r="R33" s="1350">
        <v>0</v>
      </c>
      <c r="S33" s="1355">
        <f t="shared" si="20"/>
        <v>0</v>
      </c>
      <c r="T33" s="1356">
        <v>1</v>
      </c>
      <c r="U33" s="1355">
        <f t="shared" si="21"/>
        <v>525</v>
      </c>
      <c r="V33" s="1350">
        <v>1</v>
      </c>
      <c r="W33" s="1355">
        <f t="shared" si="22"/>
        <v>525</v>
      </c>
      <c r="X33" s="1356">
        <f t="shared" si="9"/>
        <v>3</v>
      </c>
      <c r="Y33" s="1356">
        <f t="shared" si="23"/>
        <v>1575</v>
      </c>
      <c r="Z33" s="1357" t="s">
        <v>7799</v>
      </c>
      <c r="AA33" s="1358" t="s">
        <v>6531</v>
      </c>
      <c r="AB33" s="1359" t="str">
        <f t="shared" si="1"/>
        <v>yes</v>
      </c>
      <c r="AC33" s="1388" t="str">
        <f t="shared" si="11"/>
        <v>ok</v>
      </c>
      <c r="AE33" s="1382"/>
    </row>
    <row r="34" spans="1:31" s="1359" customFormat="1" ht="20.25" customHeight="1" x14ac:dyDescent="0.25">
      <c r="A34" s="1279">
        <v>27</v>
      </c>
      <c r="B34" s="1211" t="s">
        <v>9048</v>
      </c>
      <c r="C34" s="1383" t="s">
        <v>8853</v>
      </c>
      <c r="D34" s="1345">
        <v>5</v>
      </c>
      <c r="E34" s="1378">
        <v>1000</v>
      </c>
      <c r="F34" s="1345">
        <v>8</v>
      </c>
      <c r="G34" s="1385">
        <v>1600</v>
      </c>
      <c r="H34" s="1356">
        <v>5</v>
      </c>
      <c r="I34" s="1356">
        <f t="shared" si="0"/>
        <v>1000</v>
      </c>
      <c r="J34" s="1361">
        <v>10</v>
      </c>
      <c r="K34" s="1362">
        <v>0</v>
      </c>
      <c r="L34" s="1350">
        <f t="shared" si="2"/>
        <v>0</v>
      </c>
      <c r="M34" s="1351">
        <f t="shared" si="3"/>
        <v>10</v>
      </c>
      <c r="N34" s="1363">
        <v>200</v>
      </c>
      <c r="O34" s="1353">
        <f t="shared" si="18"/>
        <v>2000</v>
      </c>
      <c r="P34" s="1350">
        <v>5</v>
      </c>
      <c r="Q34" s="1354">
        <f t="shared" si="19"/>
        <v>1000</v>
      </c>
      <c r="R34" s="1356">
        <v>0</v>
      </c>
      <c r="S34" s="1355">
        <f t="shared" si="20"/>
        <v>0</v>
      </c>
      <c r="T34" s="1350">
        <v>5</v>
      </c>
      <c r="U34" s="1355">
        <f t="shared" si="21"/>
        <v>1000</v>
      </c>
      <c r="V34" s="1356">
        <v>0</v>
      </c>
      <c r="W34" s="1355">
        <f t="shared" si="22"/>
        <v>0</v>
      </c>
      <c r="X34" s="1356">
        <f t="shared" si="9"/>
        <v>10</v>
      </c>
      <c r="Y34" s="1356">
        <f t="shared" si="23"/>
        <v>2000</v>
      </c>
      <c r="Z34" s="1357" t="s">
        <v>7799</v>
      </c>
      <c r="AA34" s="1358" t="s">
        <v>6531</v>
      </c>
      <c r="AB34" s="1359" t="str">
        <f t="shared" si="1"/>
        <v>yes</v>
      </c>
      <c r="AC34" s="1388" t="str">
        <f t="shared" si="11"/>
        <v>ok</v>
      </c>
    </row>
    <row r="35" spans="1:31" s="1359" customFormat="1" ht="20.25" customHeight="1" x14ac:dyDescent="0.25">
      <c r="A35" s="1279">
        <v>28</v>
      </c>
      <c r="B35" s="1211" t="s">
        <v>9049</v>
      </c>
      <c r="C35" s="1383" t="s">
        <v>8617</v>
      </c>
      <c r="D35" s="1345">
        <v>4</v>
      </c>
      <c r="E35" s="1378">
        <v>720</v>
      </c>
      <c r="F35" s="1345">
        <v>4</v>
      </c>
      <c r="G35" s="1385">
        <v>600</v>
      </c>
      <c r="H35" s="1356">
        <v>3</v>
      </c>
      <c r="I35" s="1356">
        <f t="shared" si="0"/>
        <v>360</v>
      </c>
      <c r="J35" s="1361">
        <v>5</v>
      </c>
      <c r="K35" s="1362">
        <v>0</v>
      </c>
      <c r="L35" s="1350">
        <f t="shared" si="2"/>
        <v>0</v>
      </c>
      <c r="M35" s="1351">
        <f t="shared" si="3"/>
        <v>5</v>
      </c>
      <c r="N35" s="1363">
        <v>120</v>
      </c>
      <c r="O35" s="1353">
        <f t="shared" si="18"/>
        <v>600</v>
      </c>
      <c r="P35" s="1356">
        <v>2</v>
      </c>
      <c r="Q35" s="1354">
        <f t="shared" si="19"/>
        <v>240</v>
      </c>
      <c r="R35" s="1350">
        <v>0</v>
      </c>
      <c r="S35" s="1355">
        <f t="shared" si="20"/>
        <v>0</v>
      </c>
      <c r="T35" s="1356">
        <v>3</v>
      </c>
      <c r="U35" s="1355">
        <f t="shared" si="21"/>
        <v>360</v>
      </c>
      <c r="V35" s="1350">
        <v>0</v>
      </c>
      <c r="W35" s="1355">
        <f t="shared" si="22"/>
        <v>0</v>
      </c>
      <c r="X35" s="1356">
        <f t="shared" si="9"/>
        <v>5</v>
      </c>
      <c r="Y35" s="1356">
        <f t="shared" si="23"/>
        <v>600</v>
      </c>
      <c r="Z35" s="1357" t="s">
        <v>7799</v>
      </c>
      <c r="AA35" s="1358" t="s">
        <v>6531</v>
      </c>
      <c r="AB35" s="1359" t="str">
        <f t="shared" si="1"/>
        <v>yes</v>
      </c>
      <c r="AC35" s="1388" t="str">
        <f t="shared" si="11"/>
        <v>ok</v>
      </c>
    </row>
    <row r="36" spans="1:31" s="1359" customFormat="1" ht="20.25" customHeight="1" x14ac:dyDescent="0.25">
      <c r="A36" s="1279">
        <v>29</v>
      </c>
      <c r="B36" s="1211" t="s">
        <v>9050</v>
      </c>
      <c r="C36" s="1383" t="s">
        <v>7823</v>
      </c>
      <c r="D36" s="1345">
        <v>0</v>
      </c>
      <c r="E36" s="1378">
        <v>0</v>
      </c>
      <c r="F36" s="1345">
        <v>6</v>
      </c>
      <c r="G36" s="1385">
        <v>600</v>
      </c>
      <c r="H36" s="1356">
        <v>10</v>
      </c>
      <c r="I36" s="1356">
        <f t="shared" si="0"/>
        <v>1150</v>
      </c>
      <c r="J36" s="1361">
        <v>10</v>
      </c>
      <c r="K36" s="1362">
        <v>0</v>
      </c>
      <c r="L36" s="1350">
        <f t="shared" si="2"/>
        <v>0</v>
      </c>
      <c r="M36" s="1351">
        <f t="shared" si="3"/>
        <v>10</v>
      </c>
      <c r="N36" s="1363">
        <v>115</v>
      </c>
      <c r="O36" s="1353">
        <f t="shared" si="18"/>
        <v>1150</v>
      </c>
      <c r="P36" s="1350">
        <v>3</v>
      </c>
      <c r="Q36" s="1354">
        <f t="shared" si="19"/>
        <v>345</v>
      </c>
      <c r="R36" s="1350">
        <v>0</v>
      </c>
      <c r="S36" s="1355">
        <f t="shared" si="20"/>
        <v>0</v>
      </c>
      <c r="T36" s="1356">
        <v>3</v>
      </c>
      <c r="U36" s="1355">
        <f t="shared" si="21"/>
        <v>345</v>
      </c>
      <c r="V36" s="1356">
        <v>4</v>
      </c>
      <c r="W36" s="1355">
        <f t="shared" si="22"/>
        <v>460</v>
      </c>
      <c r="X36" s="1356">
        <f t="shared" si="9"/>
        <v>10</v>
      </c>
      <c r="Y36" s="1356">
        <f t="shared" si="23"/>
        <v>1150</v>
      </c>
      <c r="Z36" s="1357" t="s">
        <v>7799</v>
      </c>
      <c r="AA36" s="1358" t="s">
        <v>6531</v>
      </c>
      <c r="AB36" s="1359" t="str">
        <f t="shared" si="1"/>
        <v>yes</v>
      </c>
      <c r="AC36" s="1388" t="str">
        <f t="shared" si="11"/>
        <v>ok</v>
      </c>
    </row>
    <row r="37" spans="1:31" s="1359" customFormat="1" ht="20.25" customHeight="1" x14ac:dyDescent="0.25">
      <c r="A37" s="1279">
        <v>30</v>
      </c>
      <c r="B37" s="1211" t="s">
        <v>9051</v>
      </c>
      <c r="C37" s="1383" t="s">
        <v>7821</v>
      </c>
      <c r="D37" s="1345">
        <v>0</v>
      </c>
      <c r="E37" s="1378">
        <f t="shared" ref="E37:E41" si="24">D37*L37</f>
        <v>0</v>
      </c>
      <c r="F37" s="1345">
        <v>3</v>
      </c>
      <c r="G37" s="1385">
        <v>180</v>
      </c>
      <c r="H37" s="1356">
        <v>3</v>
      </c>
      <c r="I37" s="1356">
        <f t="shared" si="0"/>
        <v>180</v>
      </c>
      <c r="J37" s="1361">
        <v>5</v>
      </c>
      <c r="K37" s="1362">
        <v>0</v>
      </c>
      <c r="L37" s="1350">
        <f t="shared" si="2"/>
        <v>0</v>
      </c>
      <c r="M37" s="1351">
        <f t="shared" si="3"/>
        <v>5</v>
      </c>
      <c r="N37" s="1363">
        <v>60</v>
      </c>
      <c r="O37" s="1353">
        <f t="shared" si="18"/>
        <v>300</v>
      </c>
      <c r="P37" s="1350">
        <v>0</v>
      </c>
      <c r="Q37" s="1354">
        <f t="shared" si="19"/>
        <v>0</v>
      </c>
      <c r="R37" s="1350">
        <v>5</v>
      </c>
      <c r="S37" s="1355">
        <f t="shared" si="20"/>
        <v>300</v>
      </c>
      <c r="T37" s="1356">
        <v>0</v>
      </c>
      <c r="U37" s="1355">
        <f t="shared" si="21"/>
        <v>0</v>
      </c>
      <c r="V37" s="1356">
        <v>0</v>
      </c>
      <c r="W37" s="1355">
        <f t="shared" si="22"/>
        <v>0</v>
      </c>
      <c r="X37" s="1356">
        <f t="shared" si="9"/>
        <v>5</v>
      </c>
      <c r="Y37" s="1356">
        <f t="shared" si="23"/>
        <v>300</v>
      </c>
      <c r="Z37" s="1357" t="s">
        <v>7799</v>
      </c>
      <c r="AA37" s="1358" t="s">
        <v>6531</v>
      </c>
      <c r="AB37" s="1359" t="str">
        <f t="shared" si="1"/>
        <v>yes</v>
      </c>
      <c r="AC37" s="1388" t="str">
        <f t="shared" si="11"/>
        <v>ok</v>
      </c>
    </row>
    <row r="38" spans="1:31" s="1359" customFormat="1" ht="20.25" customHeight="1" x14ac:dyDescent="0.25">
      <c r="A38" s="1279">
        <v>31</v>
      </c>
      <c r="B38" s="1211" t="s">
        <v>9052</v>
      </c>
      <c r="C38" s="1383" t="s">
        <v>8140</v>
      </c>
      <c r="D38" s="1345">
        <v>0</v>
      </c>
      <c r="E38" s="1378">
        <f t="shared" si="24"/>
        <v>0</v>
      </c>
      <c r="F38" s="1345">
        <v>3</v>
      </c>
      <c r="G38" s="1385">
        <v>435</v>
      </c>
      <c r="H38" s="1356">
        <v>3</v>
      </c>
      <c r="I38" s="1356">
        <f t="shared" si="0"/>
        <v>570</v>
      </c>
      <c r="J38" s="1361">
        <v>10</v>
      </c>
      <c r="K38" s="1362">
        <v>0</v>
      </c>
      <c r="L38" s="1350">
        <f t="shared" si="2"/>
        <v>0</v>
      </c>
      <c r="M38" s="1351">
        <f t="shared" si="3"/>
        <v>10</v>
      </c>
      <c r="N38" s="1363">
        <v>190</v>
      </c>
      <c r="O38" s="1353">
        <f t="shared" si="18"/>
        <v>1900</v>
      </c>
      <c r="P38" s="1350">
        <v>5</v>
      </c>
      <c r="Q38" s="1354">
        <f t="shared" si="19"/>
        <v>950</v>
      </c>
      <c r="R38" s="1350">
        <v>0</v>
      </c>
      <c r="S38" s="1355">
        <f t="shared" si="20"/>
        <v>0</v>
      </c>
      <c r="T38" s="1356">
        <v>5</v>
      </c>
      <c r="U38" s="1355">
        <f t="shared" si="21"/>
        <v>950</v>
      </c>
      <c r="V38" s="1356">
        <v>0</v>
      </c>
      <c r="W38" s="1355">
        <f t="shared" si="22"/>
        <v>0</v>
      </c>
      <c r="X38" s="1356">
        <f t="shared" si="9"/>
        <v>10</v>
      </c>
      <c r="Y38" s="1356">
        <f t="shared" si="23"/>
        <v>1900</v>
      </c>
      <c r="Z38" s="1357" t="s">
        <v>7799</v>
      </c>
      <c r="AA38" s="1358" t="s">
        <v>6531</v>
      </c>
      <c r="AB38" s="1359" t="str">
        <f t="shared" si="1"/>
        <v>yes</v>
      </c>
      <c r="AC38" s="1388" t="str">
        <f t="shared" si="11"/>
        <v>ok</v>
      </c>
    </row>
    <row r="39" spans="1:31" s="1359" customFormat="1" ht="20.25" customHeight="1" x14ac:dyDescent="0.25">
      <c r="A39" s="1279">
        <v>32</v>
      </c>
      <c r="B39" s="1211" t="s">
        <v>9053</v>
      </c>
      <c r="C39" s="1383" t="s">
        <v>8938</v>
      </c>
      <c r="D39" s="1345">
        <v>0</v>
      </c>
      <c r="E39" s="1378">
        <f t="shared" si="24"/>
        <v>0</v>
      </c>
      <c r="F39" s="1345">
        <v>5</v>
      </c>
      <c r="G39" s="1385">
        <v>500</v>
      </c>
      <c r="H39" s="1356">
        <v>5</v>
      </c>
      <c r="I39" s="1356">
        <f t="shared" si="0"/>
        <v>300</v>
      </c>
      <c r="J39" s="1361">
        <v>5</v>
      </c>
      <c r="K39" s="1362">
        <v>0</v>
      </c>
      <c r="L39" s="1350">
        <f t="shared" si="2"/>
        <v>0</v>
      </c>
      <c r="M39" s="1351">
        <f t="shared" si="3"/>
        <v>5</v>
      </c>
      <c r="N39" s="1363">
        <v>60</v>
      </c>
      <c r="O39" s="1353">
        <f t="shared" si="18"/>
        <v>300</v>
      </c>
      <c r="P39" s="1356">
        <v>0</v>
      </c>
      <c r="Q39" s="1354">
        <f t="shared" si="19"/>
        <v>0</v>
      </c>
      <c r="R39" s="1350">
        <v>5</v>
      </c>
      <c r="S39" s="1355">
        <f t="shared" si="20"/>
        <v>300</v>
      </c>
      <c r="T39" s="1356">
        <v>0</v>
      </c>
      <c r="U39" s="1355">
        <f t="shared" si="21"/>
        <v>0</v>
      </c>
      <c r="V39" s="1350">
        <v>0</v>
      </c>
      <c r="W39" s="1355">
        <f t="shared" si="22"/>
        <v>0</v>
      </c>
      <c r="X39" s="1356">
        <f t="shared" si="9"/>
        <v>5</v>
      </c>
      <c r="Y39" s="1356">
        <f t="shared" si="23"/>
        <v>300</v>
      </c>
      <c r="Z39" s="1357" t="s">
        <v>7799</v>
      </c>
      <c r="AA39" s="1358" t="s">
        <v>6531</v>
      </c>
      <c r="AC39" s="1388" t="str">
        <f t="shared" si="11"/>
        <v>ok</v>
      </c>
      <c r="AE39" s="1382"/>
    </row>
    <row r="40" spans="1:31" s="1359" customFormat="1" ht="20.25" customHeight="1" x14ac:dyDescent="0.25">
      <c r="A40" s="1279">
        <v>33</v>
      </c>
      <c r="B40" s="1211" t="s">
        <v>9054</v>
      </c>
      <c r="C40" s="1383" t="s">
        <v>7960</v>
      </c>
      <c r="D40" s="1345">
        <v>0</v>
      </c>
      <c r="E40" s="1378">
        <f t="shared" si="24"/>
        <v>0</v>
      </c>
      <c r="F40" s="1345">
        <v>20</v>
      </c>
      <c r="G40" s="1385">
        <v>3000</v>
      </c>
      <c r="H40" s="1375">
        <v>8</v>
      </c>
      <c r="I40" s="1356">
        <f t="shared" si="0"/>
        <v>2960</v>
      </c>
      <c r="J40" s="1365">
        <v>10</v>
      </c>
      <c r="K40" s="1366">
        <v>0</v>
      </c>
      <c r="L40" s="1350">
        <f t="shared" si="2"/>
        <v>0</v>
      </c>
      <c r="M40" s="1351">
        <f t="shared" si="3"/>
        <v>10</v>
      </c>
      <c r="N40" s="1367">
        <v>370</v>
      </c>
      <c r="O40" s="1353">
        <f t="shared" si="4"/>
        <v>3700</v>
      </c>
      <c r="P40" s="1350">
        <v>5</v>
      </c>
      <c r="Q40" s="1354">
        <f t="shared" si="5"/>
        <v>1850</v>
      </c>
      <c r="R40" s="1350">
        <v>0</v>
      </c>
      <c r="S40" s="1355">
        <f t="shared" si="6"/>
        <v>0</v>
      </c>
      <c r="T40" s="1350">
        <v>5</v>
      </c>
      <c r="U40" s="1355">
        <f t="shared" si="7"/>
        <v>1850</v>
      </c>
      <c r="V40" s="1350">
        <v>0</v>
      </c>
      <c r="W40" s="1355">
        <f t="shared" si="8"/>
        <v>0</v>
      </c>
      <c r="X40" s="1356">
        <f t="shared" si="9"/>
        <v>10</v>
      </c>
      <c r="Y40" s="1356">
        <f t="shared" si="10"/>
        <v>3700</v>
      </c>
      <c r="Z40" s="1357" t="s">
        <v>7799</v>
      </c>
      <c r="AA40" s="1358" t="s">
        <v>6531</v>
      </c>
      <c r="AB40" s="1359" t="str">
        <f t="shared" si="1"/>
        <v>yes</v>
      </c>
      <c r="AC40" s="1388" t="str">
        <f t="shared" si="11"/>
        <v>ok</v>
      </c>
      <c r="AE40" s="1246"/>
    </row>
    <row r="41" spans="1:31" s="1359" customFormat="1" ht="20.25" customHeight="1" x14ac:dyDescent="0.25">
      <c r="A41" s="1279">
        <v>33</v>
      </c>
      <c r="B41" s="1211" t="s">
        <v>9055</v>
      </c>
      <c r="C41" s="1383" t="s">
        <v>7798</v>
      </c>
      <c r="D41" s="1345">
        <v>0</v>
      </c>
      <c r="E41" s="1378">
        <f t="shared" si="24"/>
        <v>0</v>
      </c>
      <c r="F41" s="1345">
        <v>0</v>
      </c>
      <c r="G41" s="1385">
        <v>0</v>
      </c>
      <c r="H41" s="1375">
        <v>0</v>
      </c>
      <c r="I41" s="1356">
        <f t="shared" si="0"/>
        <v>0</v>
      </c>
      <c r="J41" s="1365">
        <v>1</v>
      </c>
      <c r="K41" s="1366">
        <v>0</v>
      </c>
      <c r="L41" s="1350">
        <v>0</v>
      </c>
      <c r="M41" s="1351">
        <f t="shared" si="3"/>
        <v>1</v>
      </c>
      <c r="N41" s="1367">
        <v>4350</v>
      </c>
      <c r="O41" s="1353">
        <f t="shared" si="4"/>
        <v>4350</v>
      </c>
      <c r="P41" s="1350">
        <v>1</v>
      </c>
      <c r="Q41" s="1354">
        <f t="shared" si="5"/>
        <v>4350</v>
      </c>
      <c r="R41" s="1350">
        <v>0</v>
      </c>
      <c r="S41" s="1355">
        <f t="shared" si="6"/>
        <v>0</v>
      </c>
      <c r="T41" s="1350">
        <v>0</v>
      </c>
      <c r="U41" s="1355">
        <f t="shared" si="7"/>
        <v>0</v>
      </c>
      <c r="V41" s="1350">
        <v>0</v>
      </c>
      <c r="W41" s="1355">
        <f t="shared" si="8"/>
        <v>0</v>
      </c>
      <c r="X41" s="1356">
        <f t="shared" si="9"/>
        <v>1</v>
      </c>
      <c r="Y41" s="1356">
        <f t="shared" si="10"/>
        <v>4350</v>
      </c>
      <c r="Z41" s="1357" t="s">
        <v>7799</v>
      </c>
      <c r="AA41" s="1358" t="s">
        <v>6531</v>
      </c>
      <c r="AB41" s="1359" t="str">
        <f t="shared" si="1"/>
        <v>yes</v>
      </c>
      <c r="AC41" s="1388" t="str">
        <f t="shared" si="11"/>
        <v>ok</v>
      </c>
      <c r="AE41" s="1246"/>
    </row>
    <row r="42" spans="1:31" s="1393" customFormat="1" ht="20.25" customHeight="1" x14ac:dyDescent="0.6">
      <c r="A42" s="1389" t="s">
        <v>7433</v>
      </c>
      <c r="B42" s="1389"/>
      <c r="C42" s="1389"/>
      <c r="D42" s="1392">
        <f>SUM(D8:D41)</f>
        <v>271</v>
      </c>
      <c r="E42" s="1392">
        <f>SUM(E8:E41)</f>
        <v>27283.25</v>
      </c>
      <c r="F42" s="1392">
        <f t="shared" ref="F42:Y42" si="25">SUM(F8:F41)</f>
        <v>266</v>
      </c>
      <c r="G42" s="1392">
        <f t="shared" si="25"/>
        <v>26190</v>
      </c>
      <c r="H42" s="1392">
        <f t="shared" si="25"/>
        <v>201</v>
      </c>
      <c r="I42" s="1392">
        <f t="shared" si="25"/>
        <v>25450</v>
      </c>
      <c r="J42" s="1392">
        <f t="shared" si="25"/>
        <v>331</v>
      </c>
      <c r="K42" s="1392">
        <f t="shared" si="25"/>
        <v>30</v>
      </c>
      <c r="L42" s="1392">
        <f t="shared" si="25"/>
        <v>3765</v>
      </c>
      <c r="M42" s="1392">
        <f t="shared" si="25"/>
        <v>301</v>
      </c>
      <c r="N42" s="1392">
        <f t="shared" si="25"/>
        <v>9787</v>
      </c>
      <c r="O42" s="1392">
        <f t="shared" si="25"/>
        <v>44425</v>
      </c>
      <c r="P42" s="1392">
        <f t="shared" si="25"/>
        <v>87</v>
      </c>
      <c r="Q42" s="1392">
        <f t="shared" si="25"/>
        <v>18630</v>
      </c>
      <c r="R42" s="1392">
        <f t="shared" si="25"/>
        <v>70</v>
      </c>
      <c r="S42" s="1392">
        <f t="shared" si="25"/>
        <v>6160</v>
      </c>
      <c r="T42" s="1392">
        <f t="shared" si="25"/>
        <v>92</v>
      </c>
      <c r="U42" s="1392">
        <f t="shared" si="25"/>
        <v>15675</v>
      </c>
      <c r="V42" s="1392">
        <f t="shared" si="25"/>
        <v>52</v>
      </c>
      <c r="W42" s="1392">
        <f t="shared" si="25"/>
        <v>3960</v>
      </c>
      <c r="X42" s="1392">
        <f t="shared" si="25"/>
        <v>301</v>
      </c>
      <c r="Y42" s="1392">
        <f t="shared" si="25"/>
        <v>44425</v>
      </c>
      <c r="Z42" s="1391"/>
      <c r="AA42" s="1392"/>
      <c r="AB42" s="1393" t="str">
        <f t="shared" si="1"/>
        <v>yes</v>
      </c>
      <c r="AC42" s="1388" t="str">
        <f t="shared" si="11"/>
        <v>ok</v>
      </c>
    </row>
    <row r="43" spans="1:31" ht="20.25" customHeight="1" x14ac:dyDescent="0.6">
      <c r="A43" s="1397"/>
      <c r="C43" s="1399"/>
      <c r="D43" s="1397"/>
      <c r="E43" s="1397"/>
      <c r="F43" s="1397"/>
      <c r="G43" s="1397"/>
      <c r="H43" s="1397"/>
      <c r="I43" s="1397"/>
      <c r="J43" s="1397"/>
      <c r="K43" s="1397"/>
      <c r="L43" s="1397"/>
      <c r="M43" s="1457"/>
      <c r="N43" s="1400"/>
      <c r="O43" s="1400"/>
      <c r="P43" s="1458"/>
      <c r="Q43" s="1458"/>
      <c r="R43" s="1458"/>
      <c r="S43" s="1458"/>
      <c r="T43" s="1458"/>
      <c r="U43" s="1458"/>
      <c r="V43" s="1458"/>
      <c r="W43" s="1458"/>
      <c r="X43" s="1457"/>
      <c r="Y43" s="1457"/>
      <c r="AA43" s="1402"/>
    </row>
    <row r="44" spans="1:31" ht="20.25" customHeight="1" x14ac:dyDescent="0.6">
      <c r="A44" s="1397"/>
      <c r="C44" s="1399"/>
    </row>
    <row r="45" spans="1:31" ht="20.25" customHeight="1" x14ac:dyDescent="0.6">
      <c r="B45" s="1280"/>
      <c r="D45" s="1280"/>
      <c r="E45" s="1280"/>
      <c r="F45" s="1280"/>
      <c r="G45" s="1399"/>
      <c r="M45" s="1459"/>
      <c r="N45" s="1459"/>
      <c r="O45" s="1459"/>
      <c r="P45" s="1459"/>
      <c r="Q45" s="1459"/>
      <c r="R45" s="1280"/>
      <c r="S45" s="1280"/>
      <c r="T45" s="1280"/>
      <c r="U45" s="1280"/>
      <c r="V45" s="1280"/>
      <c r="W45" s="1280"/>
      <c r="Z45" s="1280"/>
    </row>
    <row r="46" spans="1:31" ht="20.25" customHeight="1" x14ac:dyDescent="0.6">
      <c r="B46" s="1280"/>
      <c r="D46" s="1280"/>
      <c r="E46" s="1280"/>
      <c r="F46" s="1280"/>
      <c r="G46" s="1399"/>
      <c r="M46" s="1459"/>
      <c r="N46" s="1459"/>
      <c r="O46" s="1459"/>
      <c r="P46" s="1459"/>
      <c r="Q46" s="1459"/>
      <c r="R46" s="1280"/>
      <c r="S46" s="1280"/>
      <c r="T46" s="1280"/>
      <c r="U46" s="1280"/>
      <c r="V46" s="1280"/>
      <c r="W46" s="1280"/>
      <c r="Z46" s="1280"/>
    </row>
    <row r="47" spans="1:31" ht="20.25" customHeight="1" x14ac:dyDescent="0.6">
      <c r="B47" s="1280"/>
      <c r="D47" s="1280"/>
      <c r="E47" s="1280"/>
      <c r="F47" s="1280"/>
      <c r="G47" s="1399"/>
      <c r="M47" s="1459"/>
      <c r="N47" s="1459"/>
      <c r="O47" s="1459"/>
      <c r="P47" s="1459"/>
      <c r="Q47" s="1459"/>
      <c r="R47" s="1280"/>
      <c r="S47" s="1280"/>
      <c r="T47" s="1280"/>
      <c r="U47" s="1280"/>
      <c r="V47" s="1280"/>
      <c r="W47" s="1280"/>
      <c r="Z47" s="1280"/>
    </row>
    <row r="48" spans="1:31" ht="20.25" customHeight="1" x14ac:dyDescent="0.6">
      <c r="B48" s="1280"/>
      <c r="D48" s="1280"/>
      <c r="E48" s="1280"/>
      <c r="F48" s="1280"/>
      <c r="G48" s="1399"/>
      <c r="M48" s="1459"/>
      <c r="N48" s="1459"/>
      <c r="O48" s="1459"/>
      <c r="P48" s="1459"/>
      <c r="Q48" s="1459"/>
      <c r="R48" s="1459"/>
      <c r="S48" s="1459"/>
      <c r="Y48" s="1402"/>
      <c r="Z48" s="1405"/>
    </row>
    <row r="49" spans="1:27" ht="20.25" customHeight="1" x14ac:dyDescent="0.6"/>
    <row r="50" spans="1:27" ht="20.25" customHeight="1" x14ac:dyDescent="0.6">
      <c r="P50" s="1457"/>
      <c r="Q50" s="1457"/>
    </row>
    <row r="51" spans="1:27" ht="20.25" customHeight="1" x14ac:dyDescent="0.6">
      <c r="AA51" s="1401"/>
    </row>
    <row r="57" spans="1:27" x14ac:dyDescent="0.6">
      <c r="A57" s="1280"/>
      <c r="N57" s="1399"/>
      <c r="O57" s="1280"/>
      <c r="Z57" s="1280"/>
    </row>
    <row r="58" spans="1:27" x14ac:dyDescent="0.6">
      <c r="A58" s="1280"/>
      <c r="N58" s="1399"/>
      <c r="O58" s="1280"/>
      <c r="Z58" s="1280"/>
    </row>
    <row r="59" spans="1:27" x14ac:dyDescent="0.6">
      <c r="A59" s="1280"/>
      <c r="N59" s="1399"/>
      <c r="O59" s="1280"/>
      <c r="Z59" s="1280"/>
    </row>
    <row r="60" spans="1:27" x14ac:dyDescent="0.6">
      <c r="A60" s="1280"/>
      <c r="N60" s="1399"/>
      <c r="O60" s="1280"/>
      <c r="Z60" s="1280"/>
    </row>
    <row r="61" spans="1:27" x14ac:dyDescent="0.6">
      <c r="A61" s="1280"/>
      <c r="N61" s="1399"/>
      <c r="O61" s="1280"/>
      <c r="Z61" s="1280"/>
    </row>
    <row r="62" spans="1:27" x14ac:dyDescent="0.6">
      <c r="A62" s="1280"/>
      <c r="N62" s="1399"/>
      <c r="O62" s="1280"/>
      <c r="Z62" s="1280"/>
    </row>
    <row r="63" spans="1:27" x14ac:dyDescent="0.6">
      <c r="A63" s="1280"/>
      <c r="N63" s="1399"/>
      <c r="O63" s="1280"/>
      <c r="Z63" s="1280"/>
    </row>
    <row r="64" spans="1:27" x14ac:dyDescent="0.6">
      <c r="A64" s="1280"/>
      <c r="N64" s="1399"/>
      <c r="O64" s="1280"/>
      <c r="Z64" s="1280"/>
    </row>
    <row r="65" spans="1:26" x14ac:dyDescent="0.6">
      <c r="A65" s="1280"/>
      <c r="N65" s="1399"/>
      <c r="O65" s="1280"/>
      <c r="Z65" s="1280"/>
    </row>
    <row r="66" spans="1:26" x14ac:dyDescent="0.6">
      <c r="A66" s="1280"/>
      <c r="N66" s="1399"/>
      <c r="O66" s="1280"/>
      <c r="Z66" s="1280"/>
    </row>
    <row r="67" spans="1:26" x14ac:dyDescent="0.6">
      <c r="A67" s="1280"/>
      <c r="N67" s="1399"/>
      <c r="O67" s="1280"/>
      <c r="Z67" s="1280"/>
    </row>
    <row r="68" spans="1:26" x14ac:dyDescent="0.6">
      <c r="A68" s="1280"/>
      <c r="N68" s="1399"/>
      <c r="O68" s="1280"/>
      <c r="Z68" s="1280"/>
    </row>
    <row r="69" spans="1:26" x14ac:dyDescent="0.6">
      <c r="A69" s="1280"/>
      <c r="N69" s="1399"/>
      <c r="O69" s="1280"/>
      <c r="Z69" s="1280"/>
    </row>
    <row r="70" spans="1:26" x14ac:dyDescent="0.6">
      <c r="A70" s="1280"/>
      <c r="N70" s="1399"/>
      <c r="O70" s="1280"/>
      <c r="Z70" s="1280"/>
    </row>
    <row r="71" spans="1:26" x14ac:dyDescent="0.6">
      <c r="A71" s="1280"/>
      <c r="N71" s="1399"/>
      <c r="O71" s="1280"/>
      <c r="Z71" s="1280"/>
    </row>
    <row r="72" spans="1:26" x14ac:dyDescent="0.6">
      <c r="A72" s="1280"/>
      <c r="N72" s="1399"/>
      <c r="O72" s="1280"/>
      <c r="Z72" s="1280"/>
    </row>
    <row r="73" spans="1:26" x14ac:dyDescent="0.6">
      <c r="A73" s="1280"/>
      <c r="N73" s="1399"/>
      <c r="O73" s="1280"/>
      <c r="Z73" s="1280"/>
    </row>
    <row r="74" spans="1:26" x14ac:dyDescent="0.6">
      <c r="A74" s="1280"/>
      <c r="N74" s="1399"/>
      <c r="O74" s="1280"/>
      <c r="Z74" s="1280"/>
    </row>
    <row r="75" spans="1:26" x14ac:dyDescent="0.6">
      <c r="A75" s="1280"/>
      <c r="N75" s="1399"/>
      <c r="O75" s="1280"/>
      <c r="Z75" s="1280"/>
    </row>
    <row r="76" spans="1:26" x14ac:dyDescent="0.6">
      <c r="A76" s="1280"/>
      <c r="N76" s="1399"/>
      <c r="O76" s="1280"/>
      <c r="Z76" s="1280"/>
    </row>
    <row r="77" spans="1:26" x14ac:dyDescent="0.6">
      <c r="A77" s="1280"/>
      <c r="N77" s="1399"/>
      <c r="O77" s="1280"/>
      <c r="Z77" s="1280"/>
    </row>
    <row r="78" spans="1:26" x14ac:dyDescent="0.6">
      <c r="A78" s="1280"/>
      <c r="N78" s="1399"/>
      <c r="O78" s="1280"/>
      <c r="Z78" s="1280"/>
    </row>
    <row r="79" spans="1:26" x14ac:dyDescent="0.6">
      <c r="A79" s="1280"/>
      <c r="N79" s="1399"/>
      <c r="O79" s="1280"/>
      <c r="Z79" s="1280"/>
    </row>
    <row r="80" spans="1:26" x14ac:dyDescent="0.6">
      <c r="A80" s="1280"/>
      <c r="N80" s="1399"/>
      <c r="O80" s="1280"/>
      <c r="Z80" s="1280"/>
    </row>
    <row r="81" spans="1:26" x14ac:dyDescent="0.6">
      <c r="A81" s="1280"/>
      <c r="N81" s="1399"/>
      <c r="O81" s="1280"/>
      <c r="Z81" s="1280"/>
    </row>
    <row r="82" spans="1:26" x14ac:dyDescent="0.6">
      <c r="A82" s="1280"/>
      <c r="N82" s="1399"/>
      <c r="O82" s="1280"/>
      <c r="Z82" s="1280"/>
    </row>
    <row r="83" spans="1:26" x14ac:dyDescent="0.6">
      <c r="A83" s="1280"/>
      <c r="N83" s="1399"/>
      <c r="O83" s="1280"/>
      <c r="Z83" s="1280"/>
    </row>
    <row r="84" spans="1:26" x14ac:dyDescent="0.6">
      <c r="A84" s="1280"/>
      <c r="N84" s="1399"/>
      <c r="O84" s="1280"/>
      <c r="Z84" s="1280"/>
    </row>
    <row r="85" spans="1:26" x14ac:dyDescent="0.6">
      <c r="A85" s="1280"/>
      <c r="N85" s="1399"/>
      <c r="O85" s="1280"/>
      <c r="Z85" s="1280"/>
    </row>
    <row r="86" spans="1:26" x14ac:dyDescent="0.6">
      <c r="A86" s="1280"/>
      <c r="N86" s="1399"/>
      <c r="O86" s="1280"/>
      <c r="Z86" s="1280"/>
    </row>
    <row r="87" spans="1:26" x14ac:dyDescent="0.6">
      <c r="A87" s="1280"/>
      <c r="N87" s="1399"/>
      <c r="O87" s="1280"/>
      <c r="Z87" s="1280"/>
    </row>
    <row r="88" spans="1:26" x14ac:dyDescent="0.6">
      <c r="A88" s="1280"/>
      <c r="N88" s="1399"/>
      <c r="O88" s="1280"/>
      <c r="Z88" s="1280"/>
    </row>
    <row r="89" spans="1:26" x14ac:dyDescent="0.6">
      <c r="A89" s="1280"/>
      <c r="N89" s="1399"/>
      <c r="O89" s="1280"/>
      <c r="Z89" s="1280"/>
    </row>
    <row r="90" spans="1:26" x14ac:dyDescent="0.6">
      <c r="A90" s="1280"/>
      <c r="N90" s="1399"/>
      <c r="O90" s="1280"/>
      <c r="Z90" s="1280"/>
    </row>
    <row r="91" spans="1:26" x14ac:dyDescent="0.6">
      <c r="A91" s="1280"/>
      <c r="N91" s="1399"/>
      <c r="O91" s="1280"/>
      <c r="Z91" s="1280"/>
    </row>
    <row r="92" spans="1:26" x14ac:dyDescent="0.6">
      <c r="A92" s="1280"/>
      <c r="N92" s="1399"/>
      <c r="O92" s="1280"/>
      <c r="Z92" s="1280"/>
    </row>
    <row r="93" spans="1:26" x14ac:dyDescent="0.6">
      <c r="A93" s="1280"/>
      <c r="N93" s="1399"/>
      <c r="O93" s="1280"/>
      <c r="Z93" s="1280"/>
    </row>
    <row r="94" spans="1:26" x14ac:dyDescent="0.6">
      <c r="A94" s="1280"/>
      <c r="N94" s="1399"/>
      <c r="O94" s="1280"/>
      <c r="Z94" s="1280"/>
    </row>
    <row r="95" spans="1:26" x14ac:dyDescent="0.6">
      <c r="A95" s="1280"/>
      <c r="N95" s="1399"/>
      <c r="O95" s="1280"/>
      <c r="Z95" s="1280"/>
    </row>
    <row r="96" spans="1:26" x14ac:dyDescent="0.6">
      <c r="A96" s="1280"/>
      <c r="N96" s="1399"/>
      <c r="O96" s="1280"/>
      <c r="Z96" s="1280"/>
    </row>
    <row r="97" spans="1:26" x14ac:dyDescent="0.6">
      <c r="A97" s="1280"/>
      <c r="N97" s="1399"/>
      <c r="O97" s="1280"/>
      <c r="Z97" s="1280"/>
    </row>
    <row r="98" spans="1:26" x14ac:dyDescent="0.6">
      <c r="A98" s="1280"/>
      <c r="N98" s="1399"/>
      <c r="O98" s="1280"/>
      <c r="Z98" s="1280"/>
    </row>
    <row r="99" spans="1:26" x14ac:dyDescent="0.6">
      <c r="A99" s="1280"/>
      <c r="N99" s="1399"/>
      <c r="O99" s="1280"/>
      <c r="Z99" s="1280"/>
    </row>
    <row r="100" spans="1:26" x14ac:dyDescent="0.6">
      <c r="A100" s="1280"/>
      <c r="N100" s="1399"/>
      <c r="O100" s="1280"/>
      <c r="Z100" s="1280"/>
    </row>
    <row r="101" spans="1:26" x14ac:dyDescent="0.6">
      <c r="A101" s="1280"/>
      <c r="N101" s="1399"/>
      <c r="O101" s="1280"/>
      <c r="Z101" s="1280"/>
    </row>
    <row r="102" spans="1:26" x14ac:dyDescent="0.6">
      <c r="A102" s="1280"/>
      <c r="N102" s="1399"/>
      <c r="O102" s="1280"/>
      <c r="Z102" s="1280"/>
    </row>
    <row r="103" spans="1:26" x14ac:dyDescent="0.6">
      <c r="A103" s="1280"/>
      <c r="N103" s="1399"/>
      <c r="O103" s="1280"/>
      <c r="Z103" s="1280"/>
    </row>
    <row r="104" spans="1:26" x14ac:dyDescent="0.6">
      <c r="A104" s="1280"/>
      <c r="N104" s="1399"/>
      <c r="O104" s="1280"/>
      <c r="Z104" s="1280"/>
    </row>
    <row r="105" spans="1:26" x14ac:dyDescent="0.6">
      <c r="A105" s="1280"/>
      <c r="N105" s="1399"/>
      <c r="O105" s="1280"/>
      <c r="Z105" s="1280"/>
    </row>
    <row r="106" spans="1:26" x14ac:dyDescent="0.6">
      <c r="A106" s="1280"/>
      <c r="N106" s="1399"/>
      <c r="O106" s="1280"/>
      <c r="Z106" s="1280"/>
    </row>
    <row r="107" spans="1:26" x14ac:dyDescent="0.6">
      <c r="A107" s="1280"/>
      <c r="N107" s="1399"/>
      <c r="O107" s="1280"/>
      <c r="Z107" s="1280"/>
    </row>
    <row r="108" spans="1:26" x14ac:dyDescent="0.6">
      <c r="A108" s="1280"/>
      <c r="N108" s="1399"/>
      <c r="O108" s="1280"/>
      <c r="Z108" s="1280"/>
    </row>
    <row r="109" spans="1:26" x14ac:dyDescent="0.6">
      <c r="A109" s="1280"/>
      <c r="N109" s="1399"/>
      <c r="O109" s="1280"/>
      <c r="Z109" s="1280"/>
    </row>
    <row r="110" spans="1:26" x14ac:dyDescent="0.6">
      <c r="A110" s="1280"/>
      <c r="N110" s="1399"/>
      <c r="O110" s="1280"/>
      <c r="Z110" s="1280"/>
    </row>
    <row r="111" spans="1:26" x14ac:dyDescent="0.6">
      <c r="A111" s="1280"/>
      <c r="N111" s="1399"/>
      <c r="O111" s="1280"/>
      <c r="Z111" s="1280"/>
    </row>
    <row r="112" spans="1:26" x14ac:dyDescent="0.6">
      <c r="A112" s="1280"/>
      <c r="N112" s="1399"/>
      <c r="O112" s="1280"/>
      <c r="Z112" s="1280"/>
    </row>
    <row r="113" spans="1:26" x14ac:dyDescent="0.6">
      <c r="A113" s="1280"/>
      <c r="N113" s="1399"/>
      <c r="O113" s="1280"/>
      <c r="Z113" s="1280"/>
    </row>
    <row r="114" spans="1:26" x14ac:dyDescent="0.6">
      <c r="A114" s="1280"/>
      <c r="N114" s="1399"/>
      <c r="O114" s="1280"/>
      <c r="Z114" s="1280"/>
    </row>
    <row r="115" spans="1:26" x14ac:dyDescent="0.6">
      <c r="A115" s="1280"/>
      <c r="N115" s="1399"/>
      <c r="O115" s="1280"/>
      <c r="Z115" s="1280"/>
    </row>
    <row r="116" spans="1:26" x14ac:dyDescent="0.6">
      <c r="A116" s="1280"/>
      <c r="N116" s="1399"/>
      <c r="O116" s="1280"/>
      <c r="Z116" s="1280"/>
    </row>
    <row r="117" spans="1:26" x14ac:dyDescent="0.6">
      <c r="A117" s="1280"/>
      <c r="N117" s="1399"/>
      <c r="O117" s="1280"/>
      <c r="Z117" s="1280"/>
    </row>
    <row r="118" spans="1:26" x14ac:dyDescent="0.6">
      <c r="A118" s="1280"/>
      <c r="N118" s="1399"/>
      <c r="O118" s="1280"/>
      <c r="Z118" s="1280"/>
    </row>
    <row r="119" spans="1:26" x14ac:dyDescent="0.6">
      <c r="A119" s="1280"/>
      <c r="N119" s="1399"/>
      <c r="O119" s="1280"/>
      <c r="Z119" s="1280"/>
    </row>
    <row r="120" spans="1:26" x14ac:dyDescent="0.6">
      <c r="A120" s="1280"/>
      <c r="N120" s="1399"/>
      <c r="O120" s="1280"/>
      <c r="Z120" s="1280"/>
    </row>
    <row r="121" spans="1:26" x14ac:dyDescent="0.6">
      <c r="A121" s="1280"/>
      <c r="N121" s="1399"/>
      <c r="O121" s="1280"/>
      <c r="Z121" s="1280"/>
    </row>
    <row r="122" spans="1:26" x14ac:dyDescent="0.6">
      <c r="A122" s="1280"/>
      <c r="N122" s="1399"/>
      <c r="O122" s="1280"/>
      <c r="Z122" s="1280"/>
    </row>
    <row r="123" spans="1:26" x14ac:dyDescent="0.6">
      <c r="A123" s="1280"/>
      <c r="N123" s="1399"/>
      <c r="O123" s="1280"/>
      <c r="Z123" s="1280"/>
    </row>
    <row r="124" spans="1:26" x14ac:dyDescent="0.6">
      <c r="A124" s="1280"/>
      <c r="N124" s="1399"/>
      <c r="O124" s="1280"/>
      <c r="Z124" s="1280"/>
    </row>
    <row r="125" spans="1:26" x14ac:dyDescent="0.6">
      <c r="A125" s="1280"/>
      <c r="N125" s="1399"/>
      <c r="O125" s="1280"/>
      <c r="Z125" s="1280"/>
    </row>
    <row r="126" spans="1:26" x14ac:dyDescent="0.6">
      <c r="A126" s="1280"/>
      <c r="N126" s="1399"/>
      <c r="O126" s="1280"/>
      <c r="Z126" s="1280"/>
    </row>
    <row r="127" spans="1:26" x14ac:dyDescent="0.6">
      <c r="A127" s="1280"/>
      <c r="N127" s="1399"/>
      <c r="O127" s="1280"/>
      <c r="Z127" s="1280"/>
    </row>
    <row r="128" spans="1:26" x14ac:dyDescent="0.6">
      <c r="A128" s="1280"/>
      <c r="N128" s="1399"/>
      <c r="O128" s="1280"/>
      <c r="Z128" s="1280"/>
    </row>
    <row r="129" spans="1:26" x14ac:dyDescent="0.6">
      <c r="A129" s="1280"/>
      <c r="N129" s="1399"/>
      <c r="O129" s="1280"/>
      <c r="Z129" s="1280"/>
    </row>
    <row r="130" spans="1:26" x14ac:dyDescent="0.6">
      <c r="A130" s="1280"/>
      <c r="N130" s="1399"/>
      <c r="O130" s="1280"/>
      <c r="Z130" s="1280"/>
    </row>
    <row r="131" spans="1:26" x14ac:dyDescent="0.6">
      <c r="A131" s="1280"/>
      <c r="N131" s="1399"/>
      <c r="O131" s="1280"/>
      <c r="Z131" s="1280"/>
    </row>
    <row r="132" spans="1:26" x14ac:dyDescent="0.6">
      <c r="A132" s="1280"/>
      <c r="N132" s="1399"/>
      <c r="O132" s="1280"/>
      <c r="Z132" s="1280"/>
    </row>
    <row r="133" spans="1:26" x14ac:dyDescent="0.6">
      <c r="A133" s="1280"/>
      <c r="N133" s="1399"/>
      <c r="O133" s="1280"/>
      <c r="Z133" s="1280"/>
    </row>
    <row r="134" spans="1:26" x14ac:dyDescent="0.6">
      <c r="A134" s="1280"/>
      <c r="N134" s="1399"/>
      <c r="O134" s="1280"/>
      <c r="Z134" s="1280"/>
    </row>
    <row r="135" spans="1:26" x14ac:dyDescent="0.6">
      <c r="A135" s="1280"/>
      <c r="N135" s="1399"/>
      <c r="O135" s="1280"/>
      <c r="Z135" s="1280"/>
    </row>
    <row r="136" spans="1:26" x14ac:dyDescent="0.6">
      <c r="A136" s="1280"/>
      <c r="N136" s="1399"/>
      <c r="O136" s="1280"/>
      <c r="Z136" s="1280"/>
    </row>
    <row r="137" spans="1:26" x14ac:dyDescent="0.6">
      <c r="A137" s="1280"/>
      <c r="N137" s="1399"/>
      <c r="O137" s="1280"/>
      <c r="Z137" s="1280"/>
    </row>
    <row r="138" spans="1:26" x14ac:dyDescent="0.6">
      <c r="A138" s="1280"/>
      <c r="N138" s="1399"/>
      <c r="O138" s="1280"/>
      <c r="Z138" s="1280"/>
    </row>
    <row r="139" spans="1:26" x14ac:dyDescent="0.6">
      <c r="A139" s="1280"/>
      <c r="N139" s="1399"/>
      <c r="O139" s="1280"/>
      <c r="Z139" s="1280"/>
    </row>
    <row r="140" spans="1:26" x14ac:dyDescent="0.6">
      <c r="A140" s="1280"/>
      <c r="N140" s="1399"/>
      <c r="O140" s="1280"/>
      <c r="Z140" s="1280"/>
    </row>
    <row r="141" spans="1:26" x14ac:dyDescent="0.6">
      <c r="A141" s="1280"/>
      <c r="N141" s="1399"/>
      <c r="O141" s="1280"/>
      <c r="Z141" s="1280"/>
    </row>
    <row r="142" spans="1:26" x14ac:dyDescent="0.6">
      <c r="A142" s="1280"/>
      <c r="N142" s="1399"/>
      <c r="O142" s="1280"/>
      <c r="Z142" s="1280"/>
    </row>
    <row r="143" spans="1:26" x14ac:dyDescent="0.6">
      <c r="A143" s="1280"/>
      <c r="N143" s="1399"/>
      <c r="O143" s="1280"/>
      <c r="Z143" s="1280"/>
    </row>
    <row r="144" spans="1:26" x14ac:dyDescent="0.6">
      <c r="A144" s="1280"/>
      <c r="N144" s="1399"/>
      <c r="O144" s="1280"/>
      <c r="Z144" s="1280"/>
    </row>
    <row r="145" spans="1:26" x14ac:dyDescent="0.6">
      <c r="A145" s="1280"/>
      <c r="N145" s="1399"/>
      <c r="O145" s="1280"/>
      <c r="Z145" s="1280"/>
    </row>
    <row r="146" spans="1:26" x14ac:dyDescent="0.6">
      <c r="A146" s="1280"/>
      <c r="N146" s="1399"/>
      <c r="O146" s="1280"/>
      <c r="Z146" s="1280"/>
    </row>
    <row r="147" spans="1:26" x14ac:dyDescent="0.6">
      <c r="A147" s="1280"/>
      <c r="N147" s="1399"/>
      <c r="O147" s="1280"/>
      <c r="Z147" s="1280"/>
    </row>
    <row r="148" spans="1:26" x14ac:dyDescent="0.6">
      <c r="A148" s="1280"/>
      <c r="N148" s="1399"/>
      <c r="O148" s="1280"/>
      <c r="Z148" s="1280"/>
    </row>
    <row r="149" spans="1:26" x14ac:dyDescent="0.6">
      <c r="A149" s="1280"/>
      <c r="N149" s="1399"/>
      <c r="O149" s="1280"/>
      <c r="Z149" s="1280"/>
    </row>
    <row r="150" spans="1:26" x14ac:dyDescent="0.6">
      <c r="A150" s="1280"/>
      <c r="N150" s="1399"/>
      <c r="O150" s="1280"/>
      <c r="Z150" s="1280"/>
    </row>
    <row r="151" spans="1:26" x14ac:dyDescent="0.6">
      <c r="A151" s="1280"/>
      <c r="N151" s="1399"/>
      <c r="O151" s="1280"/>
      <c r="Z151" s="1280"/>
    </row>
    <row r="152" spans="1:26" x14ac:dyDescent="0.6">
      <c r="A152" s="1280"/>
      <c r="N152" s="1399"/>
      <c r="O152" s="1280"/>
      <c r="Z152" s="1280"/>
    </row>
    <row r="153" spans="1:26" x14ac:dyDescent="0.6">
      <c r="A153" s="1280"/>
      <c r="N153" s="1399"/>
      <c r="O153" s="1280"/>
      <c r="Z153" s="1280"/>
    </row>
    <row r="154" spans="1:26" x14ac:dyDescent="0.6">
      <c r="A154" s="1280"/>
      <c r="N154" s="1399"/>
      <c r="O154" s="1280"/>
      <c r="Z154" s="1280"/>
    </row>
    <row r="155" spans="1:26" x14ac:dyDescent="0.6">
      <c r="A155" s="1280"/>
      <c r="N155" s="1399"/>
      <c r="O155" s="1280"/>
      <c r="Z155" s="1280"/>
    </row>
    <row r="156" spans="1:26" x14ac:dyDescent="0.6">
      <c r="A156" s="1280"/>
      <c r="N156" s="1399"/>
      <c r="O156" s="1280"/>
      <c r="Z156" s="1280"/>
    </row>
    <row r="157" spans="1:26" x14ac:dyDescent="0.6">
      <c r="A157" s="1280"/>
      <c r="N157" s="1399"/>
      <c r="O157" s="1280"/>
      <c r="Z157" s="1280"/>
    </row>
    <row r="158" spans="1:26" x14ac:dyDescent="0.6">
      <c r="A158" s="1280"/>
      <c r="N158" s="1399"/>
      <c r="O158" s="1280"/>
      <c r="Z158" s="1280"/>
    </row>
    <row r="159" spans="1:26" x14ac:dyDescent="0.6">
      <c r="A159" s="1280"/>
      <c r="N159" s="1399"/>
      <c r="O159" s="1280"/>
      <c r="Z159" s="1280"/>
    </row>
    <row r="160" spans="1:26" x14ac:dyDescent="0.6">
      <c r="A160" s="1280"/>
      <c r="N160" s="1399"/>
      <c r="O160" s="1280"/>
      <c r="Z160" s="1280"/>
    </row>
    <row r="161" spans="1:26" x14ac:dyDescent="0.6">
      <c r="A161" s="1280"/>
      <c r="N161" s="1399"/>
      <c r="O161" s="1280"/>
      <c r="Z161" s="1280"/>
    </row>
    <row r="162" spans="1:26" x14ac:dyDescent="0.6">
      <c r="A162" s="1280"/>
      <c r="N162" s="1399"/>
      <c r="O162" s="1280"/>
      <c r="Z162" s="1280"/>
    </row>
    <row r="163" spans="1:26" x14ac:dyDescent="0.6">
      <c r="A163" s="1280"/>
      <c r="N163" s="1399"/>
      <c r="O163" s="1280"/>
      <c r="Z163" s="1280"/>
    </row>
    <row r="164" spans="1:26" x14ac:dyDescent="0.6">
      <c r="A164" s="1280"/>
      <c r="N164" s="1399"/>
      <c r="O164" s="1280"/>
      <c r="Z164" s="1280"/>
    </row>
    <row r="165" spans="1:26" x14ac:dyDescent="0.6">
      <c r="A165" s="1280"/>
      <c r="N165" s="1399"/>
      <c r="O165" s="1280"/>
      <c r="Z165" s="1280"/>
    </row>
    <row r="166" spans="1:26" x14ac:dyDescent="0.6">
      <c r="A166" s="1280"/>
      <c r="N166" s="1399"/>
      <c r="O166" s="1280"/>
      <c r="Z166" s="1280"/>
    </row>
    <row r="167" spans="1:26" x14ac:dyDescent="0.6">
      <c r="A167" s="1280"/>
      <c r="N167" s="1399"/>
      <c r="O167" s="1280"/>
      <c r="Z167" s="1280"/>
    </row>
    <row r="168" spans="1:26" x14ac:dyDescent="0.6">
      <c r="A168" s="1280"/>
      <c r="N168" s="1399"/>
      <c r="O168" s="1280"/>
      <c r="Z168" s="1280"/>
    </row>
    <row r="169" spans="1:26" x14ac:dyDescent="0.6">
      <c r="A169" s="1280"/>
      <c r="N169" s="1399"/>
      <c r="O169" s="1280"/>
      <c r="Z169" s="1280"/>
    </row>
    <row r="170" spans="1:26" x14ac:dyDescent="0.6">
      <c r="A170" s="1280"/>
      <c r="N170" s="1399"/>
      <c r="O170" s="1280"/>
      <c r="Z170" s="1280"/>
    </row>
    <row r="171" spans="1:26" x14ac:dyDescent="0.6">
      <c r="A171" s="1280"/>
      <c r="N171" s="1399"/>
      <c r="O171" s="1280"/>
      <c r="Z171" s="1280"/>
    </row>
    <row r="172" spans="1:26" x14ac:dyDescent="0.6">
      <c r="A172" s="1280"/>
      <c r="N172" s="1399"/>
      <c r="O172" s="1280"/>
      <c r="Z172" s="1280"/>
    </row>
    <row r="173" spans="1:26" x14ac:dyDescent="0.6">
      <c r="A173" s="1280"/>
      <c r="N173" s="1399"/>
      <c r="O173" s="1280"/>
      <c r="Z173" s="1280"/>
    </row>
    <row r="174" spans="1:26" x14ac:dyDescent="0.6">
      <c r="A174" s="1280"/>
      <c r="N174" s="1399"/>
      <c r="O174" s="1280"/>
      <c r="Z174" s="1280"/>
    </row>
    <row r="175" spans="1:26" x14ac:dyDescent="0.6">
      <c r="A175" s="1280"/>
      <c r="N175" s="1399"/>
      <c r="O175" s="1280"/>
      <c r="Z175" s="1280"/>
    </row>
    <row r="176" spans="1:26" x14ac:dyDescent="0.6">
      <c r="A176" s="1280"/>
      <c r="N176" s="1399"/>
      <c r="O176" s="1280"/>
      <c r="Z176" s="1280"/>
    </row>
    <row r="177" spans="1:26" x14ac:dyDescent="0.6">
      <c r="A177" s="1280"/>
      <c r="N177" s="1399"/>
      <c r="O177" s="1280"/>
      <c r="Z177" s="1280"/>
    </row>
    <row r="178" spans="1:26" x14ac:dyDescent="0.6">
      <c r="A178" s="1280"/>
      <c r="N178" s="1399"/>
      <c r="O178" s="1280"/>
      <c r="Z178" s="1280"/>
    </row>
    <row r="179" spans="1:26" x14ac:dyDescent="0.6">
      <c r="A179" s="1280"/>
      <c r="N179" s="1399"/>
      <c r="O179" s="1280"/>
      <c r="Z179" s="1280"/>
    </row>
    <row r="180" spans="1:26" x14ac:dyDescent="0.6">
      <c r="A180" s="1280"/>
      <c r="N180" s="1399"/>
      <c r="O180" s="1280"/>
      <c r="Z180" s="1280"/>
    </row>
    <row r="181" spans="1:26" x14ac:dyDescent="0.6">
      <c r="A181" s="1280"/>
      <c r="N181" s="1399"/>
      <c r="O181" s="1280"/>
      <c r="Z181" s="1280"/>
    </row>
    <row r="182" spans="1:26" x14ac:dyDescent="0.6">
      <c r="A182" s="1280"/>
      <c r="N182" s="1399"/>
      <c r="O182" s="1280"/>
      <c r="Z182" s="1280"/>
    </row>
    <row r="183" spans="1:26" x14ac:dyDescent="0.6">
      <c r="A183" s="1280"/>
      <c r="N183" s="1399"/>
      <c r="O183" s="1280"/>
      <c r="Z183" s="1280"/>
    </row>
    <row r="184" spans="1:26" x14ac:dyDescent="0.6">
      <c r="A184" s="1280"/>
      <c r="N184" s="1399"/>
      <c r="O184" s="1280"/>
      <c r="Z184" s="1280"/>
    </row>
    <row r="185" spans="1:26" x14ac:dyDescent="0.6">
      <c r="A185" s="1280"/>
      <c r="N185" s="1399"/>
      <c r="O185" s="1280"/>
      <c r="Z185" s="1280"/>
    </row>
    <row r="186" spans="1:26" x14ac:dyDescent="0.6">
      <c r="A186" s="1280"/>
      <c r="N186" s="1399"/>
      <c r="O186" s="1280"/>
      <c r="Z186" s="1280"/>
    </row>
    <row r="187" spans="1:26" x14ac:dyDescent="0.6">
      <c r="A187" s="1280"/>
      <c r="N187" s="1399"/>
      <c r="O187" s="1280"/>
      <c r="Z187" s="1280"/>
    </row>
    <row r="188" spans="1:26" x14ac:dyDescent="0.6">
      <c r="A188" s="1280"/>
      <c r="N188" s="1399"/>
      <c r="O188" s="1280"/>
      <c r="Z188" s="1280"/>
    </row>
    <row r="189" spans="1:26" x14ac:dyDescent="0.6">
      <c r="A189" s="1280"/>
      <c r="N189" s="1399"/>
      <c r="O189" s="1280"/>
      <c r="Z189" s="1280"/>
    </row>
    <row r="190" spans="1:26" x14ac:dyDescent="0.6">
      <c r="A190" s="1280"/>
      <c r="N190" s="1399"/>
      <c r="O190" s="1280"/>
      <c r="Z190" s="1280"/>
    </row>
    <row r="191" spans="1:26" x14ac:dyDescent="0.6">
      <c r="A191" s="1280"/>
      <c r="N191" s="1399"/>
      <c r="O191" s="1280"/>
      <c r="Z191" s="1280"/>
    </row>
    <row r="192" spans="1:26" x14ac:dyDescent="0.6">
      <c r="A192" s="1280"/>
      <c r="N192" s="1399"/>
      <c r="O192" s="1280"/>
      <c r="Z192" s="1280"/>
    </row>
    <row r="193" spans="1:26" x14ac:dyDescent="0.6">
      <c r="A193" s="1280"/>
      <c r="N193" s="1399"/>
      <c r="O193" s="1280"/>
      <c r="Z193" s="1280"/>
    </row>
    <row r="194" spans="1:26" x14ac:dyDescent="0.6">
      <c r="A194" s="1280"/>
      <c r="N194" s="1399"/>
      <c r="O194" s="1280"/>
      <c r="Z194" s="1280"/>
    </row>
    <row r="195" spans="1:26" x14ac:dyDescent="0.6">
      <c r="A195" s="1280"/>
      <c r="N195" s="1399"/>
      <c r="O195" s="1280"/>
      <c r="Z195" s="1280"/>
    </row>
    <row r="196" spans="1:26" x14ac:dyDescent="0.6">
      <c r="A196" s="1280"/>
      <c r="N196" s="1399"/>
      <c r="O196" s="1280"/>
      <c r="Z196" s="1280"/>
    </row>
    <row r="197" spans="1:26" x14ac:dyDescent="0.6">
      <c r="A197" s="1280"/>
      <c r="N197" s="1399"/>
      <c r="O197" s="1280"/>
      <c r="Z197" s="1280"/>
    </row>
    <row r="198" spans="1:26" x14ac:dyDescent="0.6">
      <c r="A198" s="1280"/>
      <c r="N198" s="1399"/>
      <c r="O198" s="1280"/>
      <c r="Z198" s="1280"/>
    </row>
    <row r="199" spans="1:26" x14ac:dyDescent="0.6">
      <c r="A199" s="1280"/>
      <c r="N199" s="1399"/>
      <c r="O199" s="1280"/>
      <c r="Z199" s="1280"/>
    </row>
    <row r="200" spans="1:26" x14ac:dyDescent="0.6">
      <c r="A200" s="1280"/>
      <c r="N200" s="1399"/>
      <c r="O200" s="1280"/>
      <c r="Z200" s="1280"/>
    </row>
    <row r="201" spans="1:26" x14ac:dyDescent="0.6">
      <c r="A201" s="1280"/>
      <c r="N201" s="1399"/>
      <c r="O201" s="1280"/>
      <c r="Z201" s="1280"/>
    </row>
    <row r="202" spans="1:26" x14ac:dyDescent="0.6">
      <c r="A202" s="1280"/>
      <c r="N202" s="1399"/>
      <c r="O202" s="1280"/>
      <c r="Z202" s="1280"/>
    </row>
    <row r="203" spans="1:26" x14ac:dyDescent="0.6">
      <c r="A203" s="1280"/>
      <c r="N203" s="1399"/>
      <c r="O203" s="1280"/>
      <c r="Z203" s="1280"/>
    </row>
    <row r="204" spans="1:26" x14ac:dyDescent="0.6">
      <c r="A204" s="1280"/>
      <c r="N204" s="1399"/>
      <c r="O204" s="1280"/>
      <c r="Z204" s="1280"/>
    </row>
    <row r="205" spans="1:26" x14ac:dyDescent="0.6">
      <c r="A205" s="1280"/>
      <c r="N205" s="1399"/>
      <c r="O205" s="1280"/>
      <c r="Z205" s="1280"/>
    </row>
    <row r="206" spans="1:26" x14ac:dyDescent="0.6">
      <c r="A206" s="1280"/>
      <c r="N206" s="1399"/>
      <c r="O206" s="1280"/>
      <c r="Z206" s="1280"/>
    </row>
    <row r="207" spans="1:26" x14ac:dyDescent="0.6">
      <c r="A207" s="1280"/>
      <c r="N207" s="1399"/>
      <c r="O207" s="1280"/>
      <c r="Z207" s="1280"/>
    </row>
    <row r="208" spans="1:26" x14ac:dyDescent="0.6">
      <c r="A208" s="1280"/>
      <c r="N208" s="1399"/>
      <c r="O208" s="1280"/>
      <c r="Z208" s="1280"/>
    </row>
    <row r="209" spans="1:26" x14ac:dyDescent="0.6">
      <c r="A209" s="1280"/>
      <c r="N209" s="1399"/>
      <c r="O209" s="1280"/>
      <c r="Z209" s="1280"/>
    </row>
    <row r="210" spans="1:26" x14ac:dyDescent="0.6">
      <c r="A210" s="1280"/>
      <c r="N210" s="1399"/>
      <c r="O210" s="1280"/>
      <c r="Z210" s="1280"/>
    </row>
    <row r="211" spans="1:26" x14ac:dyDescent="0.6">
      <c r="A211" s="1280"/>
      <c r="N211" s="1399"/>
      <c r="O211" s="1280"/>
      <c r="Z211" s="1280"/>
    </row>
    <row r="212" spans="1:26" x14ac:dyDescent="0.6">
      <c r="A212" s="1280"/>
      <c r="N212" s="1399"/>
      <c r="O212" s="1280"/>
      <c r="Z212" s="1280"/>
    </row>
    <row r="213" spans="1:26" x14ac:dyDescent="0.6">
      <c r="A213" s="1280"/>
      <c r="N213" s="1399"/>
      <c r="O213" s="1280"/>
      <c r="Z213" s="1280"/>
    </row>
    <row r="214" spans="1:26" x14ac:dyDescent="0.6">
      <c r="A214" s="1280"/>
      <c r="N214" s="1399"/>
      <c r="O214" s="1280"/>
      <c r="Z214" s="1280"/>
    </row>
    <row r="215" spans="1:26" x14ac:dyDescent="0.6">
      <c r="A215" s="1280"/>
      <c r="N215" s="1399"/>
      <c r="O215" s="1280"/>
      <c r="Z215" s="1280"/>
    </row>
    <row r="216" spans="1:26" x14ac:dyDescent="0.6">
      <c r="A216" s="1280"/>
      <c r="N216" s="1399"/>
      <c r="O216" s="1280"/>
      <c r="Z216" s="1280"/>
    </row>
    <row r="217" spans="1:26" x14ac:dyDescent="0.6">
      <c r="A217" s="1280"/>
      <c r="N217" s="1399"/>
      <c r="O217" s="1280"/>
      <c r="Z217" s="1280"/>
    </row>
    <row r="218" spans="1:26" x14ac:dyDescent="0.6">
      <c r="A218" s="1280"/>
      <c r="N218" s="1399"/>
      <c r="O218" s="1280"/>
      <c r="Z218" s="1280"/>
    </row>
    <row r="219" spans="1:26" x14ac:dyDescent="0.6">
      <c r="A219" s="1280"/>
      <c r="N219" s="1399"/>
      <c r="O219" s="1280"/>
      <c r="Z219" s="1280"/>
    </row>
    <row r="220" spans="1:26" x14ac:dyDescent="0.6">
      <c r="A220" s="1280"/>
      <c r="N220" s="1399"/>
      <c r="O220" s="1280"/>
      <c r="Z220" s="1280"/>
    </row>
    <row r="221" spans="1:26" x14ac:dyDescent="0.6">
      <c r="A221" s="1280"/>
      <c r="N221" s="1399"/>
      <c r="O221" s="1280"/>
      <c r="Z221" s="1280"/>
    </row>
    <row r="222" spans="1:26" x14ac:dyDescent="0.6">
      <c r="A222" s="1280"/>
      <c r="N222" s="1399"/>
      <c r="O222" s="1280"/>
      <c r="Z222" s="1280"/>
    </row>
    <row r="223" spans="1:26" x14ac:dyDescent="0.6">
      <c r="A223" s="1280"/>
      <c r="N223" s="1399"/>
      <c r="O223" s="1280"/>
      <c r="Z223" s="1280"/>
    </row>
    <row r="224" spans="1:26" x14ac:dyDescent="0.6">
      <c r="A224" s="1280"/>
      <c r="N224" s="1399"/>
      <c r="O224" s="1280"/>
      <c r="Z224" s="1280"/>
    </row>
    <row r="225" spans="1:26" x14ac:dyDescent="0.6">
      <c r="A225" s="1280"/>
      <c r="N225" s="1399"/>
      <c r="O225" s="1280"/>
      <c r="Z225" s="1280"/>
    </row>
    <row r="226" spans="1:26" x14ac:dyDescent="0.6">
      <c r="A226" s="1280"/>
      <c r="N226" s="1399"/>
      <c r="O226" s="1280"/>
      <c r="Z226" s="1280"/>
    </row>
    <row r="227" spans="1:26" x14ac:dyDescent="0.6">
      <c r="A227" s="1280"/>
      <c r="N227" s="1399"/>
      <c r="O227" s="1280"/>
      <c r="Z227" s="1280"/>
    </row>
    <row r="228" spans="1:26" x14ac:dyDescent="0.6">
      <c r="A228" s="1280"/>
      <c r="N228" s="1399"/>
      <c r="O228" s="1280"/>
      <c r="Z228" s="1280"/>
    </row>
    <row r="229" spans="1:26" x14ac:dyDescent="0.6">
      <c r="A229" s="1280"/>
      <c r="N229" s="1399"/>
      <c r="O229" s="1280"/>
      <c r="Z229" s="1280"/>
    </row>
    <row r="230" spans="1:26" x14ac:dyDescent="0.6">
      <c r="A230" s="1280"/>
      <c r="N230" s="1399"/>
      <c r="O230" s="1280"/>
      <c r="Z230" s="1280"/>
    </row>
    <row r="231" spans="1:26" x14ac:dyDescent="0.6">
      <c r="A231" s="1280"/>
      <c r="N231" s="1399"/>
      <c r="O231" s="1280"/>
      <c r="Z231" s="1280"/>
    </row>
    <row r="232" spans="1:26" x14ac:dyDescent="0.6">
      <c r="A232" s="1280"/>
      <c r="N232" s="1399"/>
      <c r="O232" s="1280"/>
      <c r="Z232" s="1280"/>
    </row>
    <row r="233" spans="1:26" x14ac:dyDescent="0.6">
      <c r="A233" s="1280"/>
      <c r="N233" s="1399"/>
      <c r="O233" s="1280"/>
      <c r="Z233" s="1280"/>
    </row>
    <row r="234" spans="1:26" x14ac:dyDescent="0.6">
      <c r="A234" s="1280"/>
      <c r="N234" s="1399"/>
      <c r="O234" s="1280"/>
      <c r="Z234" s="1280"/>
    </row>
    <row r="235" spans="1:26" x14ac:dyDescent="0.6">
      <c r="A235" s="1280"/>
      <c r="N235" s="1399"/>
      <c r="O235" s="1280"/>
      <c r="Z235" s="1280"/>
    </row>
    <row r="236" spans="1:26" x14ac:dyDescent="0.6">
      <c r="A236" s="1280"/>
      <c r="N236" s="1399"/>
      <c r="O236" s="1280"/>
      <c r="Z236" s="1280"/>
    </row>
    <row r="237" spans="1:26" x14ac:dyDescent="0.6">
      <c r="A237" s="1280"/>
      <c r="N237" s="1399"/>
      <c r="O237" s="1280"/>
      <c r="Z237" s="1280"/>
    </row>
    <row r="238" spans="1:26" x14ac:dyDescent="0.6">
      <c r="A238" s="1280"/>
      <c r="N238" s="1399"/>
      <c r="O238" s="1280"/>
      <c r="Z238" s="1280"/>
    </row>
    <row r="239" spans="1:26" x14ac:dyDescent="0.6">
      <c r="A239" s="1280"/>
      <c r="N239" s="1399"/>
      <c r="O239" s="1280"/>
      <c r="Z239" s="1280"/>
    </row>
    <row r="240" spans="1:26" x14ac:dyDescent="0.6">
      <c r="A240" s="1280"/>
      <c r="N240" s="1399"/>
      <c r="O240" s="1280"/>
      <c r="Z240" s="1280"/>
    </row>
    <row r="241" spans="1:26" x14ac:dyDescent="0.6">
      <c r="A241" s="1280"/>
      <c r="N241" s="1399"/>
      <c r="O241" s="1280"/>
      <c r="Z241" s="1280"/>
    </row>
    <row r="242" spans="1:26" x14ac:dyDescent="0.6">
      <c r="A242" s="1280"/>
      <c r="N242" s="1399"/>
      <c r="O242" s="1280"/>
      <c r="Z242" s="1280"/>
    </row>
    <row r="243" spans="1:26" x14ac:dyDescent="0.6">
      <c r="A243" s="1280"/>
      <c r="N243" s="1399"/>
      <c r="O243" s="1280"/>
      <c r="Z243" s="1280"/>
    </row>
    <row r="244" spans="1:26" x14ac:dyDescent="0.6">
      <c r="A244" s="1280"/>
      <c r="N244" s="1399"/>
      <c r="O244" s="1280"/>
      <c r="Z244" s="1280"/>
    </row>
    <row r="245" spans="1:26" x14ac:dyDescent="0.6">
      <c r="A245" s="1280"/>
      <c r="N245" s="1399"/>
      <c r="O245" s="1280"/>
      <c r="Z245" s="1280"/>
    </row>
    <row r="246" spans="1:26" x14ac:dyDescent="0.6">
      <c r="A246" s="1280"/>
      <c r="N246" s="1399"/>
      <c r="O246" s="1280"/>
      <c r="Z246" s="1280"/>
    </row>
    <row r="247" spans="1:26" x14ac:dyDescent="0.6">
      <c r="A247" s="1280"/>
      <c r="N247" s="1399"/>
      <c r="O247" s="1280"/>
      <c r="Z247" s="1280"/>
    </row>
    <row r="248" spans="1:26" x14ac:dyDescent="0.6">
      <c r="A248" s="1280"/>
      <c r="N248" s="1399"/>
      <c r="O248" s="1280"/>
      <c r="Z248" s="1280"/>
    </row>
    <row r="249" spans="1:26" x14ac:dyDescent="0.6">
      <c r="A249" s="1280"/>
      <c r="N249" s="1399"/>
      <c r="O249" s="1280"/>
      <c r="Z249" s="1280"/>
    </row>
    <row r="250" spans="1:26" x14ac:dyDescent="0.6">
      <c r="A250" s="1280"/>
      <c r="N250" s="1399"/>
      <c r="O250" s="1280"/>
      <c r="Z250" s="1280"/>
    </row>
    <row r="251" spans="1:26" x14ac:dyDescent="0.6">
      <c r="A251" s="1280"/>
      <c r="N251" s="1399"/>
      <c r="O251" s="1280"/>
      <c r="Z251" s="1280"/>
    </row>
    <row r="252" spans="1:26" x14ac:dyDescent="0.6">
      <c r="A252" s="1280"/>
      <c r="N252" s="1399"/>
      <c r="O252" s="1280"/>
      <c r="Z252" s="1280"/>
    </row>
    <row r="253" spans="1:26" x14ac:dyDescent="0.6">
      <c r="A253" s="1280"/>
      <c r="N253" s="1399"/>
      <c r="O253" s="1280"/>
      <c r="Z253" s="1280"/>
    </row>
    <row r="254" spans="1:26" x14ac:dyDescent="0.6">
      <c r="A254" s="1280"/>
      <c r="N254" s="1399"/>
      <c r="O254" s="1280"/>
      <c r="Z254" s="1280"/>
    </row>
    <row r="255" spans="1:26" x14ac:dyDescent="0.6">
      <c r="A255" s="1280"/>
      <c r="N255" s="1399"/>
      <c r="O255" s="1280"/>
      <c r="Z255" s="1280"/>
    </row>
    <row r="256" spans="1:26" x14ac:dyDescent="0.6">
      <c r="A256" s="1280"/>
      <c r="N256" s="1399"/>
      <c r="O256" s="1280"/>
      <c r="Z256" s="1280"/>
    </row>
    <row r="257" spans="1:26" x14ac:dyDescent="0.6">
      <c r="A257" s="1280"/>
      <c r="N257" s="1399"/>
      <c r="O257" s="1280"/>
      <c r="Z257" s="1280"/>
    </row>
    <row r="258" spans="1:26" x14ac:dyDescent="0.6">
      <c r="A258" s="1280"/>
      <c r="N258" s="1399"/>
      <c r="O258" s="1280"/>
      <c r="Z258" s="1280"/>
    </row>
    <row r="259" spans="1:26" x14ac:dyDescent="0.6">
      <c r="A259" s="1280"/>
      <c r="N259" s="1399"/>
      <c r="O259" s="1280"/>
      <c r="Z259" s="1280"/>
    </row>
    <row r="260" spans="1:26" x14ac:dyDescent="0.6">
      <c r="A260" s="1280"/>
      <c r="N260" s="1399"/>
      <c r="O260" s="1280"/>
      <c r="Z260" s="1280"/>
    </row>
    <row r="261" spans="1:26" x14ac:dyDescent="0.6">
      <c r="A261" s="1280"/>
      <c r="N261" s="1399"/>
      <c r="O261" s="1280"/>
      <c r="Z261" s="1280"/>
    </row>
    <row r="262" spans="1:26" x14ac:dyDescent="0.6">
      <c r="A262" s="1280"/>
      <c r="N262" s="1399"/>
      <c r="O262" s="1280"/>
      <c r="Z262" s="1280"/>
    </row>
    <row r="263" spans="1:26" x14ac:dyDescent="0.6">
      <c r="A263" s="1280"/>
      <c r="N263" s="1399"/>
      <c r="O263" s="1280"/>
      <c r="Z263" s="1280"/>
    </row>
    <row r="264" spans="1:26" x14ac:dyDescent="0.6">
      <c r="A264" s="1280"/>
      <c r="N264" s="1399"/>
      <c r="O264" s="1280"/>
      <c r="Z264" s="1280"/>
    </row>
    <row r="265" spans="1:26" x14ac:dyDescent="0.6">
      <c r="A265" s="1280"/>
      <c r="N265" s="1399"/>
      <c r="O265" s="1280"/>
      <c r="Z265" s="1280"/>
    </row>
    <row r="266" spans="1:26" x14ac:dyDescent="0.6">
      <c r="A266" s="1280"/>
      <c r="N266" s="1399"/>
      <c r="O266" s="1280"/>
      <c r="Z266" s="1280"/>
    </row>
    <row r="267" spans="1:26" x14ac:dyDescent="0.6">
      <c r="A267" s="1280"/>
      <c r="N267" s="1399"/>
      <c r="O267" s="1280"/>
      <c r="Z267" s="1280"/>
    </row>
    <row r="268" spans="1:26" x14ac:dyDescent="0.6">
      <c r="A268" s="1280"/>
      <c r="N268" s="1399"/>
      <c r="O268" s="1280"/>
      <c r="Z268" s="1280"/>
    </row>
    <row r="269" spans="1:26" x14ac:dyDescent="0.6">
      <c r="A269" s="1280"/>
      <c r="N269" s="1399"/>
      <c r="O269" s="1280"/>
      <c r="Z269" s="1280"/>
    </row>
    <row r="270" spans="1:26" x14ac:dyDescent="0.6">
      <c r="A270" s="1280"/>
      <c r="N270" s="1399"/>
      <c r="O270" s="1280"/>
      <c r="Z270" s="1280"/>
    </row>
    <row r="271" spans="1:26" x14ac:dyDescent="0.6">
      <c r="A271" s="1280"/>
      <c r="N271" s="1399"/>
      <c r="O271" s="1280"/>
      <c r="Z271" s="1280"/>
    </row>
    <row r="272" spans="1:26" x14ac:dyDescent="0.6">
      <c r="A272" s="1280"/>
      <c r="N272" s="1399"/>
      <c r="O272" s="1280"/>
      <c r="Z272" s="1280"/>
    </row>
    <row r="273" spans="1:26" x14ac:dyDescent="0.6">
      <c r="A273" s="1280"/>
      <c r="N273" s="1399"/>
      <c r="O273" s="1280"/>
      <c r="Z273" s="1280"/>
    </row>
    <row r="274" spans="1:26" x14ac:dyDescent="0.6">
      <c r="A274" s="1280"/>
      <c r="N274" s="1399"/>
      <c r="O274" s="1280"/>
      <c r="Z274" s="1280"/>
    </row>
    <row r="275" spans="1:26" x14ac:dyDescent="0.6">
      <c r="A275" s="1280"/>
      <c r="N275" s="1399"/>
      <c r="O275" s="1280"/>
      <c r="Z275" s="1280"/>
    </row>
    <row r="276" spans="1:26" x14ac:dyDescent="0.6">
      <c r="A276" s="1280"/>
      <c r="N276" s="1399"/>
      <c r="O276" s="1280"/>
      <c r="Z276" s="1280"/>
    </row>
    <row r="277" spans="1:26" x14ac:dyDescent="0.6">
      <c r="A277" s="1280"/>
      <c r="N277" s="1399"/>
      <c r="O277" s="1280"/>
      <c r="Z277" s="1280"/>
    </row>
    <row r="278" spans="1:26" x14ac:dyDescent="0.6">
      <c r="A278" s="1280"/>
      <c r="N278" s="1399"/>
      <c r="O278" s="1280"/>
      <c r="Z278" s="1280"/>
    </row>
    <row r="279" spans="1:26" x14ac:dyDescent="0.6">
      <c r="A279" s="1280"/>
      <c r="N279" s="1399"/>
      <c r="O279" s="1280"/>
      <c r="Z279" s="1280"/>
    </row>
    <row r="280" spans="1:26" x14ac:dyDescent="0.6">
      <c r="A280" s="1280"/>
      <c r="N280" s="1399"/>
      <c r="O280" s="1280"/>
      <c r="Z280" s="1280"/>
    </row>
    <row r="281" spans="1:26" x14ac:dyDescent="0.6">
      <c r="A281" s="1280"/>
      <c r="N281" s="1399"/>
      <c r="O281" s="1280"/>
      <c r="Z281" s="1280"/>
    </row>
    <row r="282" spans="1:26" x14ac:dyDescent="0.6">
      <c r="A282" s="1280"/>
      <c r="N282" s="1399"/>
      <c r="O282" s="1280"/>
      <c r="Z282" s="1280"/>
    </row>
    <row r="283" spans="1:26" x14ac:dyDescent="0.6">
      <c r="A283" s="1280"/>
      <c r="N283" s="1399"/>
      <c r="O283" s="1280"/>
      <c r="Z283" s="1280"/>
    </row>
    <row r="284" spans="1:26" x14ac:dyDescent="0.6">
      <c r="A284" s="1280"/>
      <c r="N284" s="1399"/>
      <c r="O284" s="1280"/>
      <c r="Z284" s="1280"/>
    </row>
    <row r="285" spans="1:26" x14ac:dyDescent="0.6">
      <c r="A285" s="1280"/>
      <c r="N285" s="1399"/>
      <c r="O285" s="1280"/>
      <c r="Z285" s="1280"/>
    </row>
    <row r="286" spans="1:26" x14ac:dyDescent="0.6">
      <c r="A286" s="1280"/>
      <c r="N286" s="1399"/>
      <c r="O286" s="1280"/>
      <c r="Z286" s="1280"/>
    </row>
    <row r="287" spans="1:26" x14ac:dyDescent="0.6">
      <c r="A287" s="1280"/>
      <c r="N287" s="1399"/>
      <c r="O287" s="1280"/>
      <c r="Z287" s="1280"/>
    </row>
    <row r="288" spans="1:26" x14ac:dyDescent="0.6">
      <c r="A288" s="1280"/>
      <c r="N288" s="1399"/>
      <c r="O288" s="1280"/>
      <c r="Z288" s="1280"/>
    </row>
    <row r="289" spans="1:26" x14ac:dyDescent="0.6">
      <c r="A289" s="1280"/>
      <c r="N289" s="1399"/>
      <c r="O289" s="1280"/>
      <c r="Z289" s="1280"/>
    </row>
    <row r="290" spans="1:26" x14ac:dyDescent="0.6">
      <c r="A290" s="1280"/>
      <c r="N290" s="1399"/>
      <c r="O290" s="1280"/>
      <c r="Z290" s="1280"/>
    </row>
    <row r="291" spans="1:26" x14ac:dyDescent="0.6">
      <c r="A291" s="1280"/>
      <c r="N291" s="1399"/>
      <c r="O291" s="1280"/>
      <c r="Z291" s="1280"/>
    </row>
    <row r="292" spans="1:26" x14ac:dyDescent="0.6">
      <c r="A292" s="1280"/>
      <c r="N292" s="1399"/>
      <c r="O292" s="1280"/>
      <c r="Z292" s="1280"/>
    </row>
    <row r="293" spans="1:26" x14ac:dyDescent="0.6">
      <c r="A293" s="1280"/>
      <c r="N293" s="1399"/>
      <c r="O293" s="1280"/>
      <c r="Z293" s="1280"/>
    </row>
    <row r="294" spans="1:26" x14ac:dyDescent="0.6">
      <c r="A294" s="1280"/>
      <c r="N294" s="1399"/>
      <c r="O294" s="1280"/>
      <c r="Z294" s="1280"/>
    </row>
    <row r="295" spans="1:26" x14ac:dyDescent="0.6">
      <c r="A295" s="1280"/>
      <c r="N295" s="1399"/>
      <c r="O295" s="1280"/>
      <c r="Z295" s="1280"/>
    </row>
    <row r="296" spans="1:26" x14ac:dyDescent="0.6">
      <c r="A296" s="1280"/>
      <c r="N296" s="1399"/>
      <c r="O296" s="1280"/>
      <c r="Z296" s="1280"/>
    </row>
    <row r="297" spans="1:26" x14ac:dyDescent="0.6">
      <c r="A297" s="1280"/>
      <c r="N297" s="1399"/>
      <c r="O297" s="1280"/>
      <c r="Z297" s="1280"/>
    </row>
    <row r="298" spans="1:26" x14ac:dyDescent="0.6">
      <c r="A298" s="1280"/>
      <c r="N298" s="1399"/>
      <c r="O298" s="1280"/>
      <c r="Z298" s="1280"/>
    </row>
    <row r="299" spans="1:26" x14ac:dyDescent="0.6">
      <c r="A299" s="1280"/>
      <c r="N299" s="1399"/>
      <c r="O299" s="1280"/>
      <c r="Z299" s="1280"/>
    </row>
    <row r="300" spans="1:26" x14ac:dyDescent="0.6">
      <c r="A300" s="1280"/>
      <c r="N300" s="1399"/>
      <c r="O300" s="1280"/>
      <c r="Z300" s="1280"/>
    </row>
    <row r="301" spans="1:26" x14ac:dyDescent="0.6">
      <c r="A301" s="1280"/>
      <c r="N301" s="1399"/>
      <c r="O301" s="1280"/>
      <c r="Z301" s="1280"/>
    </row>
    <row r="302" spans="1:26" x14ac:dyDescent="0.6">
      <c r="A302" s="1280"/>
      <c r="N302" s="1399"/>
      <c r="O302" s="1280"/>
      <c r="Z302" s="1280"/>
    </row>
    <row r="303" spans="1:26" x14ac:dyDescent="0.6">
      <c r="A303" s="1280"/>
      <c r="N303" s="1399"/>
      <c r="O303" s="1280"/>
      <c r="Z303" s="1280"/>
    </row>
    <row r="304" spans="1:26" x14ac:dyDescent="0.6">
      <c r="A304" s="1280"/>
      <c r="N304" s="1399"/>
      <c r="O304" s="1280"/>
      <c r="Z304" s="1280"/>
    </row>
    <row r="305" spans="1:26" x14ac:dyDescent="0.6">
      <c r="A305" s="1280"/>
      <c r="N305" s="1399"/>
      <c r="O305" s="1280"/>
      <c r="Z305" s="1280"/>
    </row>
    <row r="306" spans="1:26" x14ac:dyDescent="0.6">
      <c r="A306" s="1280"/>
      <c r="N306" s="1399"/>
      <c r="O306" s="1280"/>
      <c r="Z306" s="1280"/>
    </row>
    <row r="307" spans="1:26" x14ac:dyDescent="0.6">
      <c r="A307" s="1280"/>
      <c r="N307" s="1399"/>
      <c r="O307" s="1280"/>
      <c r="Z307" s="1280"/>
    </row>
    <row r="308" spans="1:26" x14ac:dyDescent="0.6">
      <c r="A308" s="1280"/>
      <c r="N308" s="1399"/>
      <c r="O308" s="1280"/>
      <c r="Z308" s="1280"/>
    </row>
    <row r="309" spans="1:26" x14ac:dyDescent="0.6">
      <c r="A309" s="1280"/>
      <c r="N309" s="1399"/>
      <c r="O309" s="1280"/>
      <c r="Z309" s="1280"/>
    </row>
    <row r="310" spans="1:26" x14ac:dyDescent="0.6">
      <c r="A310" s="1280"/>
      <c r="N310" s="1399"/>
      <c r="O310" s="1280"/>
      <c r="Z310" s="1280"/>
    </row>
    <row r="311" spans="1:26" x14ac:dyDescent="0.6">
      <c r="A311" s="1280"/>
      <c r="N311" s="1399"/>
      <c r="O311" s="1280"/>
      <c r="Z311" s="1280"/>
    </row>
    <row r="312" spans="1:26" x14ac:dyDescent="0.6">
      <c r="A312" s="1280"/>
      <c r="N312" s="1399"/>
      <c r="O312" s="1280"/>
      <c r="Z312" s="1280"/>
    </row>
    <row r="313" spans="1:26" x14ac:dyDescent="0.6">
      <c r="A313" s="1280"/>
      <c r="N313" s="1399"/>
      <c r="O313" s="1280"/>
      <c r="Z313" s="1280"/>
    </row>
    <row r="314" spans="1:26" x14ac:dyDescent="0.6">
      <c r="A314" s="1280"/>
      <c r="N314" s="1399"/>
      <c r="O314" s="1280"/>
      <c r="Z314" s="1280"/>
    </row>
    <row r="315" spans="1:26" x14ac:dyDescent="0.6">
      <c r="A315" s="1280"/>
      <c r="N315" s="1399"/>
      <c r="O315" s="1280"/>
      <c r="Z315" s="1280"/>
    </row>
    <row r="316" spans="1:26" x14ac:dyDescent="0.6">
      <c r="A316" s="1280"/>
      <c r="N316" s="1399"/>
      <c r="O316" s="1280"/>
      <c r="Z316" s="1280"/>
    </row>
    <row r="317" spans="1:26" x14ac:dyDescent="0.6">
      <c r="A317" s="1280"/>
      <c r="N317" s="1399"/>
      <c r="O317" s="1280"/>
      <c r="Z317" s="1280"/>
    </row>
    <row r="318" spans="1:26" x14ac:dyDescent="0.6">
      <c r="A318" s="1280"/>
      <c r="N318" s="1399"/>
      <c r="O318" s="1280"/>
      <c r="Z318" s="1280"/>
    </row>
    <row r="319" spans="1:26" x14ac:dyDescent="0.6">
      <c r="A319" s="1280"/>
      <c r="N319" s="1399"/>
      <c r="O319" s="1280"/>
      <c r="Z319" s="1280"/>
    </row>
    <row r="320" spans="1:26" x14ac:dyDescent="0.6">
      <c r="A320" s="1280"/>
      <c r="N320" s="1399"/>
      <c r="O320" s="1280"/>
      <c r="Z320" s="1280"/>
    </row>
    <row r="321" spans="1:26" x14ac:dyDescent="0.6">
      <c r="A321" s="1280"/>
      <c r="N321" s="1399"/>
      <c r="O321" s="1280"/>
      <c r="Z321" s="1280"/>
    </row>
    <row r="322" spans="1:26" x14ac:dyDescent="0.6">
      <c r="A322" s="1280"/>
      <c r="N322" s="1399"/>
      <c r="O322" s="1280"/>
      <c r="Z322" s="1280"/>
    </row>
    <row r="323" spans="1:26" x14ac:dyDescent="0.6">
      <c r="A323" s="1280"/>
      <c r="N323" s="1399"/>
      <c r="O323" s="1280"/>
      <c r="Z323" s="1280"/>
    </row>
    <row r="324" spans="1:26" x14ac:dyDescent="0.6">
      <c r="A324" s="1280"/>
      <c r="N324" s="1399"/>
      <c r="O324" s="1280"/>
      <c r="Z324" s="1280"/>
    </row>
    <row r="325" spans="1:26" x14ac:dyDescent="0.6">
      <c r="A325" s="1280"/>
      <c r="N325" s="1399"/>
      <c r="O325" s="1280"/>
      <c r="Z325" s="1280"/>
    </row>
    <row r="326" spans="1:26" x14ac:dyDescent="0.6">
      <c r="A326" s="1280"/>
      <c r="N326" s="1399"/>
      <c r="O326" s="1280"/>
      <c r="Z326" s="1280"/>
    </row>
    <row r="327" spans="1:26" x14ac:dyDescent="0.6">
      <c r="A327" s="1280"/>
      <c r="N327" s="1399"/>
      <c r="O327" s="1280"/>
      <c r="Z327" s="1280"/>
    </row>
    <row r="328" spans="1:26" x14ac:dyDescent="0.6">
      <c r="A328" s="1280"/>
      <c r="N328" s="1399"/>
      <c r="O328" s="1280"/>
      <c r="Z328" s="1280"/>
    </row>
    <row r="329" spans="1:26" x14ac:dyDescent="0.6">
      <c r="A329" s="1280"/>
      <c r="N329" s="1399"/>
      <c r="O329" s="1280"/>
      <c r="Z329" s="1280"/>
    </row>
    <row r="330" spans="1:26" x14ac:dyDescent="0.6">
      <c r="A330" s="1280"/>
      <c r="N330" s="1399"/>
      <c r="O330" s="1280"/>
      <c r="Z330" s="1280"/>
    </row>
    <row r="331" spans="1:26" x14ac:dyDescent="0.6">
      <c r="A331" s="1280"/>
      <c r="N331" s="1399"/>
      <c r="O331" s="1280"/>
      <c r="Z331" s="1280"/>
    </row>
    <row r="332" spans="1:26" x14ac:dyDescent="0.6">
      <c r="A332" s="1280"/>
      <c r="N332" s="1399"/>
      <c r="O332" s="1280"/>
      <c r="Z332" s="1280"/>
    </row>
    <row r="333" spans="1:26" x14ac:dyDescent="0.6">
      <c r="A333" s="1280"/>
      <c r="N333" s="1399"/>
      <c r="O333" s="1280"/>
      <c r="Z333" s="1280"/>
    </row>
    <row r="334" spans="1:26" x14ac:dyDescent="0.6">
      <c r="A334" s="1280"/>
      <c r="N334" s="1399"/>
      <c r="O334" s="1280"/>
      <c r="Z334" s="1280"/>
    </row>
    <row r="335" spans="1:26" x14ac:dyDescent="0.6">
      <c r="A335" s="1280"/>
      <c r="N335" s="1399"/>
      <c r="O335" s="1280"/>
      <c r="Z335" s="1280"/>
    </row>
    <row r="336" spans="1:26" x14ac:dyDescent="0.6">
      <c r="A336" s="1280"/>
      <c r="N336" s="1399"/>
      <c r="O336" s="1280"/>
      <c r="Z336" s="1280"/>
    </row>
    <row r="337" spans="1:26" x14ac:dyDescent="0.6">
      <c r="A337" s="1280"/>
      <c r="N337" s="1399"/>
      <c r="O337" s="1280"/>
      <c r="Z337" s="1280"/>
    </row>
    <row r="338" spans="1:26" x14ac:dyDescent="0.6">
      <c r="A338" s="1280"/>
      <c r="N338" s="1399"/>
      <c r="O338" s="1280"/>
      <c r="Z338" s="1280"/>
    </row>
    <row r="339" spans="1:26" x14ac:dyDescent="0.6">
      <c r="A339" s="1280"/>
      <c r="N339" s="1399"/>
      <c r="O339" s="1280"/>
      <c r="Z339" s="1280"/>
    </row>
    <row r="340" spans="1:26" x14ac:dyDescent="0.6">
      <c r="A340" s="1280"/>
      <c r="N340" s="1399"/>
      <c r="O340" s="1280"/>
      <c r="Z340" s="1280"/>
    </row>
    <row r="341" spans="1:26" x14ac:dyDescent="0.6">
      <c r="A341" s="1280"/>
      <c r="N341" s="1399"/>
      <c r="O341" s="1280"/>
      <c r="Z341" s="1280"/>
    </row>
    <row r="342" spans="1:26" x14ac:dyDescent="0.6">
      <c r="A342" s="1280"/>
      <c r="N342" s="1399"/>
      <c r="O342" s="1280"/>
      <c r="Z342" s="1280"/>
    </row>
    <row r="343" spans="1:26" x14ac:dyDescent="0.6">
      <c r="A343" s="1280"/>
      <c r="N343" s="1399"/>
      <c r="O343" s="1280"/>
      <c r="Z343" s="1280"/>
    </row>
    <row r="344" spans="1:26" x14ac:dyDescent="0.6">
      <c r="A344" s="1280"/>
      <c r="N344" s="1399"/>
      <c r="O344" s="1280"/>
      <c r="Z344" s="1280"/>
    </row>
    <row r="345" spans="1:26" x14ac:dyDescent="0.6">
      <c r="A345" s="1280"/>
      <c r="N345" s="1399"/>
      <c r="O345" s="1280"/>
      <c r="Z345" s="1280"/>
    </row>
    <row r="346" spans="1:26" x14ac:dyDescent="0.6">
      <c r="A346" s="1280"/>
      <c r="N346" s="1399"/>
      <c r="O346" s="1280"/>
      <c r="Z346" s="1280"/>
    </row>
    <row r="347" spans="1:26" x14ac:dyDescent="0.6">
      <c r="A347" s="1280"/>
      <c r="N347" s="1399"/>
      <c r="O347" s="1280"/>
      <c r="Z347" s="1280"/>
    </row>
    <row r="348" spans="1:26" x14ac:dyDescent="0.6">
      <c r="A348" s="1280"/>
      <c r="N348" s="1399"/>
      <c r="O348" s="1280"/>
      <c r="Z348" s="1280"/>
    </row>
    <row r="349" spans="1:26" x14ac:dyDescent="0.6">
      <c r="A349" s="1280"/>
      <c r="N349" s="1399"/>
      <c r="O349" s="1280"/>
      <c r="Z349" s="1280"/>
    </row>
    <row r="350" spans="1:26" x14ac:dyDescent="0.6">
      <c r="A350" s="1280"/>
      <c r="N350" s="1399"/>
      <c r="O350" s="1280"/>
      <c r="Z350" s="1280"/>
    </row>
    <row r="351" spans="1:26" x14ac:dyDescent="0.6">
      <c r="A351" s="1280"/>
      <c r="N351" s="1399"/>
      <c r="O351" s="1280"/>
      <c r="Z351" s="1280"/>
    </row>
    <row r="352" spans="1:26" x14ac:dyDescent="0.6">
      <c r="A352" s="1280"/>
      <c r="N352" s="1399"/>
      <c r="O352" s="1280"/>
      <c r="Z352" s="1280"/>
    </row>
    <row r="353" spans="1:26" x14ac:dyDescent="0.6">
      <c r="A353" s="1280"/>
      <c r="N353" s="1399"/>
      <c r="O353" s="1280"/>
      <c r="Z353" s="1280"/>
    </row>
    <row r="354" spans="1:26" x14ac:dyDescent="0.6">
      <c r="A354" s="1280"/>
      <c r="N354" s="1399"/>
      <c r="O354" s="1280"/>
      <c r="Z354" s="1280"/>
    </row>
    <row r="355" spans="1:26" x14ac:dyDescent="0.6">
      <c r="A355" s="1280"/>
      <c r="N355" s="1399"/>
      <c r="O355" s="1280"/>
      <c r="Z355" s="1280"/>
    </row>
    <row r="356" spans="1:26" x14ac:dyDescent="0.6">
      <c r="A356" s="1280"/>
      <c r="N356" s="1399"/>
      <c r="O356" s="1280"/>
      <c r="Z356" s="1280"/>
    </row>
    <row r="357" spans="1:26" x14ac:dyDescent="0.6">
      <c r="A357" s="1280"/>
      <c r="N357" s="1399"/>
      <c r="O357" s="1280"/>
      <c r="Z357" s="1280"/>
    </row>
    <row r="358" spans="1:26" x14ac:dyDescent="0.6">
      <c r="A358" s="1280"/>
      <c r="N358" s="1399"/>
      <c r="O358" s="1280"/>
      <c r="Z358" s="1280"/>
    </row>
    <row r="359" spans="1:26" x14ac:dyDescent="0.6">
      <c r="A359" s="1280"/>
      <c r="N359" s="1399"/>
      <c r="O359" s="1280"/>
      <c r="Z359" s="1280"/>
    </row>
    <row r="360" spans="1:26" x14ac:dyDescent="0.6">
      <c r="A360" s="1280"/>
      <c r="N360" s="1399"/>
      <c r="O360" s="1280"/>
      <c r="Z360" s="1280"/>
    </row>
    <row r="361" spans="1:26" x14ac:dyDescent="0.6">
      <c r="A361" s="1280"/>
      <c r="N361" s="1399"/>
      <c r="O361" s="1280"/>
      <c r="Z361" s="1280"/>
    </row>
    <row r="362" spans="1:26" x14ac:dyDescent="0.6">
      <c r="A362" s="1280"/>
      <c r="N362" s="1399"/>
      <c r="O362" s="1280"/>
      <c r="Z362" s="1280"/>
    </row>
    <row r="363" spans="1:26" x14ac:dyDescent="0.6">
      <c r="A363" s="1280"/>
      <c r="N363" s="1399"/>
      <c r="O363" s="1280"/>
      <c r="Z363" s="1280"/>
    </row>
    <row r="364" spans="1:26" x14ac:dyDescent="0.6">
      <c r="A364" s="1280"/>
      <c r="N364" s="1399"/>
      <c r="O364" s="1280"/>
      <c r="Z364" s="1280"/>
    </row>
    <row r="365" spans="1:26" x14ac:dyDescent="0.6">
      <c r="A365" s="1280"/>
      <c r="N365" s="1399"/>
      <c r="O365" s="1280"/>
      <c r="Z365" s="1280"/>
    </row>
    <row r="366" spans="1:26" x14ac:dyDescent="0.6">
      <c r="A366" s="1280"/>
      <c r="N366" s="1399"/>
      <c r="O366" s="1280"/>
      <c r="Z366" s="1280"/>
    </row>
    <row r="367" spans="1:26" x14ac:dyDescent="0.6">
      <c r="A367" s="1280"/>
      <c r="N367" s="1399"/>
      <c r="O367" s="1280"/>
      <c r="Z367" s="1280"/>
    </row>
    <row r="368" spans="1:26" x14ac:dyDescent="0.6">
      <c r="A368" s="1280"/>
      <c r="N368" s="1399"/>
      <c r="O368" s="1280"/>
      <c r="Z368" s="1280"/>
    </row>
    <row r="369" spans="1:26" x14ac:dyDescent="0.6">
      <c r="A369" s="1280"/>
      <c r="N369" s="1399"/>
      <c r="O369" s="1280"/>
      <c r="Z369" s="1280"/>
    </row>
    <row r="370" spans="1:26" x14ac:dyDescent="0.6">
      <c r="A370" s="1280"/>
      <c r="N370" s="1399"/>
      <c r="O370" s="1280"/>
      <c r="Z370" s="1280"/>
    </row>
    <row r="371" spans="1:26" x14ac:dyDescent="0.6">
      <c r="A371" s="1280"/>
      <c r="N371" s="1399"/>
      <c r="O371" s="1280"/>
      <c r="Z371" s="1280"/>
    </row>
    <row r="372" spans="1:26" x14ac:dyDescent="0.6">
      <c r="A372" s="1280"/>
      <c r="N372" s="1399"/>
      <c r="O372" s="1280"/>
      <c r="Z372" s="1280"/>
    </row>
    <row r="373" spans="1:26" x14ac:dyDescent="0.6">
      <c r="A373" s="1280"/>
      <c r="N373" s="1399"/>
      <c r="O373" s="1280"/>
      <c r="Z373" s="1280"/>
    </row>
    <row r="374" spans="1:26" x14ac:dyDescent="0.6">
      <c r="A374" s="1280"/>
      <c r="N374" s="1399"/>
      <c r="O374" s="1280"/>
      <c r="Z374" s="1280"/>
    </row>
    <row r="375" spans="1:26" x14ac:dyDescent="0.6">
      <c r="A375" s="1280"/>
      <c r="N375" s="1399"/>
      <c r="O375" s="1280"/>
      <c r="Z375" s="1280"/>
    </row>
    <row r="376" spans="1:26" x14ac:dyDescent="0.6">
      <c r="A376" s="1280"/>
      <c r="N376" s="1399"/>
      <c r="O376" s="1280"/>
      <c r="Z376" s="1280"/>
    </row>
    <row r="377" spans="1:26" x14ac:dyDescent="0.6">
      <c r="A377" s="1280"/>
      <c r="N377" s="1399"/>
      <c r="O377" s="1280"/>
      <c r="Z377" s="1280"/>
    </row>
    <row r="378" spans="1:26" x14ac:dyDescent="0.6">
      <c r="A378" s="1280"/>
      <c r="N378" s="1399"/>
      <c r="O378" s="1280"/>
      <c r="Z378" s="1280"/>
    </row>
    <row r="379" spans="1:26" x14ac:dyDescent="0.6">
      <c r="A379" s="1280"/>
      <c r="N379" s="1399"/>
      <c r="O379" s="1280"/>
      <c r="Z379" s="1280"/>
    </row>
    <row r="380" spans="1:26" x14ac:dyDescent="0.6">
      <c r="A380" s="1280"/>
      <c r="N380" s="1399"/>
      <c r="O380" s="1280"/>
      <c r="Z380" s="1280"/>
    </row>
    <row r="381" spans="1:26" x14ac:dyDescent="0.6">
      <c r="A381" s="1280"/>
      <c r="N381" s="1399"/>
      <c r="O381" s="1280"/>
      <c r="Z381" s="1280"/>
    </row>
    <row r="382" spans="1:26" x14ac:dyDescent="0.6">
      <c r="A382" s="1280"/>
      <c r="N382" s="1399"/>
      <c r="O382" s="1280"/>
      <c r="Z382" s="1280"/>
    </row>
    <row r="383" spans="1:26" x14ac:dyDescent="0.6">
      <c r="A383" s="1280"/>
      <c r="N383" s="1399"/>
      <c r="O383" s="1280"/>
      <c r="Z383" s="1280"/>
    </row>
    <row r="384" spans="1:26" x14ac:dyDescent="0.6">
      <c r="A384" s="1280"/>
      <c r="N384" s="1399"/>
      <c r="O384" s="1280"/>
      <c r="Z384" s="1280"/>
    </row>
    <row r="385" spans="1:26" x14ac:dyDescent="0.6">
      <c r="A385" s="1280"/>
      <c r="N385" s="1399"/>
      <c r="O385" s="1280"/>
      <c r="Z385" s="1280"/>
    </row>
    <row r="386" spans="1:26" x14ac:dyDescent="0.6">
      <c r="A386" s="1280"/>
      <c r="N386" s="1399"/>
      <c r="O386" s="1280"/>
      <c r="Z386" s="1280"/>
    </row>
    <row r="387" spans="1:26" x14ac:dyDescent="0.6">
      <c r="A387" s="1280"/>
      <c r="N387" s="1399"/>
      <c r="O387" s="1280"/>
      <c r="Z387" s="1280"/>
    </row>
    <row r="388" spans="1:26" x14ac:dyDescent="0.6">
      <c r="A388" s="1280"/>
      <c r="N388" s="1399"/>
      <c r="O388" s="1280"/>
      <c r="Z388" s="1280"/>
    </row>
    <row r="389" spans="1:26" x14ac:dyDescent="0.6">
      <c r="A389" s="1280"/>
      <c r="N389" s="1399"/>
      <c r="O389" s="1280"/>
      <c r="Z389" s="1280"/>
    </row>
    <row r="390" spans="1:26" x14ac:dyDescent="0.6">
      <c r="A390" s="1280"/>
      <c r="N390" s="1399"/>
      <c r="O390" s="1280"/>
      <c r="Z390" s="1280"/>
    </row>
    <row r="391" spans="1:26" x14ac:dyDescent="0.6">
      <c r="A391" s="1280"/>
      <c r="N391" s="1399"/>
      <c r="O391" s="1280"/>
      <c r="Z391" s="1280"/>
    </row>
    <row r="392" spans="1:26" x14ac:dyDescent="0.6">
      <c r="A392" s="1280"/>
      <c r="N392" s="1399"/>
      <c r="O392" s="1280"/>
      <c r="Z392" s="1280"/>
    </row>
    <row r="393" spans="1:26" x14ac:dyDescent="0.6">
      <c r="A393" s="1280"/>
      <c r="N393" s="1399"/>
      <c r="O393" s="1280"/>
      <c r="Z393" s="1280"/>
    </row>
    <row r="394" spans="1:26" x14ac:dyDescent="0.6">
      <c r="A394" s="1280"/>
      <c r="N394" s="1399"/>
      <c r="O394" s="1280"/>
      <c r="Z394" s="1280"/>
    </row>
    <row r="395" spans="1:26" x14ac:dyDescent="0.6">
      <c r="A395" s="1280"/>
      <c r="N395" s="1399"/>
      <c r="O395" s="1280"/>
      <c r="Z395" s="1280"/>
    </row>
    <row r="396" spans="1:26" x14ac:dyDescent="0.6">
      <c r="A396" s="1280"/>
      <c r="N396" s="1399"/>
      <c r="O396" s="1280"/>
      <c r="Z396" s="1280"/>
    </row>
    <row r="397" spans="1:26" x14ac:dyDescent="0.6">
      <c r="A397" s="1280"/>
      <c r="N397" s="1399"/>
      <c r="O397" s="1280"/>
      <c r="Z397" s="1280"/>
    </row>
    <row r="398" spans="1:26" x14ac:dyDescent="0.6">
      <c r="A398" s="1280"/>
      <c r="N398" s="1399"/>
      <c r="O398" s="1280"/>
      <c r="Z398" s="1280"/>
    </row>
    <row r="399" spans="1:26" x14ac:dyDescent="0.6">
      <c r="A399" s="1280"/>
      <c r="N399" s="1399"/>
      <c r="O399" s="1280"/>
      <c r="Z399" s="1280"/>
    </row>
    <row r="400" spans="1:26" x14ac:dyDescent="0.6">
      <c r="A400" s="1280"/>
      <c r="N400" s="1399"/>
      <c r="O400" s="1280"/>
      <c r="Z400" s="1280"/>
    </row>
    <row r="401" spans="1:26" x14ac:dyDescent="0.6">
      <c r="A401" s="1280"/>
      <c r="N401" s="1399"/>
      <c r="O401" s="1280"/>
      <c r="Z401" s="1280"/>
    </row>
    <row r="402" spans="1:26" x14ac:dyDescent="0.6">
      <c r="A402" s="1280"/>
      <c r="N402" s="1399"/>
      <c r="O402" s="1280"/>
      <c r="Z402" s="1280"/>
    </row>
    <row r="403" spans="1:26" x14ac:dyDescent="0.6">
      <c r="A403" s="1280"/>
      <c r="N403" s="1399"/>
      <c r="O403" s="1280"/>
      <c r="Z403" s="1280"/>
    </row>
    <row r="404" spans="1:26" x14ac:dyDescent="0.6">
      <c r="A404" s="1280"/>
      <c r="N404" s="1399"/>
      <c r="O404" s="1280"/>
      <c r="Z404" s="1280"/>
    </row>
    <row r="405" spans="1:26" x14ac:dyDescent="0.6">
      <c r="A405" s="1280"/>
      <c r="N405" s="1399"/>
      <c r="O405" s="1280"/>
      <c r="Z405" s="1280"/>
    </row>
    <row r="406" spans="1:26" x14ac:dyDescent="0.6">
      <c r="A406" s="1280"/>
      <c r="N406" s="1399"/>
      <c r="O406" s="1280"/>
      <c r="Z406" s="1280"/>
    </row>
    <row r="407" spans="1:26" x14ac:dyDescent="0.6">
      <c r="A407" s="1280"/>
      <c r="N407" s="1399"/>
      <c r="O407" s="1280"/>
      <c r="Z407" s="1280"/>
    </row>
    <row r="408" spans="1:26" x14ac:dyDescent="0.6">
      <c r="A408" s="1280"/>
      <c r="N408" s="1399"/>
      <c r="O408" s="1280"/>
      <c r="Z408" s="1280"/>
    </row>
    <row r="409" spans="1:26" x14ac:dyDescent="0.6">
      <c r="A409" s="1280"/>
      <c r="N409" s="1399"/>
      <c r="O409" s="1280"/>
      <c r="Z409" s="1280"/>
    </row>
    <row r="410" spans="1:26" x14ac:dyDescent="0.6">
      <c r="A410" s="1280"/>
      <c r="N410" s="1399"/>
      <c r="O410" s="1280"/>
      <c r="Z410" s="1280"/>
    </row>
    <row r="411" spans="1:26" x14ac:dyDescent="0.6">
      <c r="A411" s="1280"/>
      <c r="N411" s="1399"/>
      <c r="O411" s="1280"/>
      <c r="Z411" s="1280"/>
    </row>
    <row r="412" spans="1:26" x14ac:dyDescent="0.6">
      <c r="A412" s="1280"/>
      <c r="N412" s="1399"/>
      <c r="O412" s="1280"/>
      <c r="Z412" s="1280"/>
    </row>
    <row r="413" spans="1:26" x14ac:dyDescent="0.6">
      <c r="A413" s="1280"/>
      <c r="N413" s="1399"/>
      <c r="O413" s="1280"/>
      <c r="Z413" s="1280"/>
    </row>
    <row r="414" spans="1:26" x14ac:dyDescent="0.6">
      <c r="A414" s="1280"/>
      <c r="N414" s="1399"/>
      <c r="O414" s="1280"/>
      <c r="Z414" s="1280"/>
    </row>
    <row r="415" spans="1:26" x14ac:dyDescent="0.6">
      <c r="A415" s="1280"/>
      <c r="N415" s="1399"/>
      <c r="O415" s="1280"/>
      <c r="Z415" s="1280"/>
    </row>
    <row r="416" spans="1:26" x14ac:dyDescent="0.6">
      <c r="A416" s="1280"/>
      <c r="N416" s="1399"/>
      <c r="O416" s="1280"/>
      <c r="Z416" s="1280"/>
    </row>
    <row r="417" spans="1:26" x14ac:dyDescent="0.6">
      <c r="A417" s="1280"/>
      <c r="N417" s="1399"/>
      <c r="O417" s="1280"/>
      <c r="Z417" s="1280"/>
    </row>
    <row r="418" spans="1:26" x14ac:dyDescent="0.6">
      <c r="A418" s="1280"/>
      <c r="N418" s="1399"/>
      <c r="O418" s="1280"/>
      <c r="Z418" s="1280"/>
    </row>
    <row r="419" spans="1:26" x14ac:dyDescent="0.6">
      <c r="A419" s="1280"/>
      <c r="N419" s="1399"/>
      <c r="O419" s="1280"/>
      <c r="Z419" s="1280"/>
    </row>
    <row r="420" spans="1:26" x14ac:dyDescent="0.6">
      <c r="A420" s="1280"/>
      <c r="N420" s="1399"/>
      <c r="O420" s="1280"/>
      <c r="Z420" s="1280"/>
    </row>
    <row r="421" spans="1:26" x14ac:dyDescent="0.6">
      <c r="A421" s="1280"/>
      <c r="N421" s="1399"/>
      <c r="O421" s="1280"/>
      <c r="Z421" s="1280"/>
    </row>
    <row r="422" spans="1:26" x14ac:dyDescent="0.6">
      <c r="A422" s="1280"/>
      <c r="N422" s="1399"/>
      <c r="O422" s="1280"/>
      <c r="Z422" s="1280"/>
    </row>
    <row r="423" spans="1:26" x14ac:dyDescent="0.6">
      <c r="A423" s="1280"/>
      <c r="N423" s="1399"/>
      <c r="O423" s="1280"/>
      <c r="Z423" s="1280"/>
    </row>
    <row r="424" spans="1:26" x14ac:dyDescent="0.6">
      <c r="A424" s="1280"/>
      <c r="N424" s="1399"/>
      <c r="O424" s="1280"/>
      <c r="Z424" s="1280"/>
    </row>
    <row r="425" spans="1:26" x14ac:dyDescent="0.6">
      <c r="A425" s="1280"/>
      <c r="N425" s="1399"/>
      <c r="O425" s="1280"/>
      <c r="Z425" s="1280"/>
    </row>
    <row r="426" spans="1:26" x14ac:dyDescent="0.6">
      <c r="A426" s="1280"/>
      <c r="N426" s="1399"/>
      <c r="O426" s="1280"/>
      <c r="Z426" s="1280"/>
    </row>
    <row r="427" spans="1:26" x14ac:dyDescent="0.6">
      <c r="A427" s="1280"/>
      <c r="N427" s="1399"/>
      <c r="O427" s="1280"/>
      <c r="Z427" s="1280"/>
    </row>
    <row r="428" spans="1:26" x14ac:dyDescent="0.6">
      <c r="A428" s="1280"/>
      <c r="N428" s="1399"/>
      <c r="O428" s="1280"/>
      <c r="Z428" s="1280"/>
    </row>
    <row r="429" spans="1:26" x14ac:dyDescent="0.6">
      <c r="A429" s="1280"/>
      <c r="N429" s="1399"/>
      <c r="O429" s="1280"/>
      <c r="Z429" s="1280"/>
    </row>
    <row r="430" spans="1:26" x14ac:dyDescent="0.6">
      <c r="A430" s="1280"/>
      <c r="N430" s="1399"/>
      <c r="O430" s="1280"/>
      <c r="Z430" s="1280"/>
    </row>
    <row r="431" spans="1:26" x14ac:dyDescent="0.6">
      <c r="A431" s="1280"/>
      <c r="N431" s="1399"/>
      <c r="O431" s="1280"/>
      <c r="Z431" s="1280"/>
    </row>
    <row r="432" spans="1:26" x14ac:dyDescent="0.6">
      <c r="A432" s="1280"/>
      <c r="N432" s="1399"/>
      <c r="O432" s="1280"/>
      <c r="Z432" s="1280"/>
    </row>
    <row r="433" spans="1:26" x14ac:dyDescent="0.6">
      <c r="A433" s="1280"/>
      <c r="N433" s="1399"/>
      <c r="O433" s="1280"/>
      <c r="Z433" s="1280"/>
    </row>
    <row r="434" spans="1:26" x14ac:dyDescent="0.6">
      <c r="A434" s="1280"/>
      <c r="N434" s="1399"/>
      <c r="O434" s="1280"/>
      <c r="Z434" s="1280"/>
    </row>
    <row r="435" spans="1:26" x14ac:dyDescent="0.6">
      <c r="A435" s="1280"/>
      <c r="N435" s="1399"/>
      <c r="O435" s="1280"/>
      <c r="Z435" s="1280"/>
    </row>
    <row r="436" spans="1:26" x14ac:dyDescent="0.6">
      <c r="A436" s="1280"/>
      <c r="N436" s="1399"/>
      <c r="O436" s="1280"/>
      <c r="Z436" s="1280"/>
    </row>
    <row r="437" spans="1:26" x14ac:dyDescent="0.6">
      <c r="A437" s="1280"/>
      <c r="N437" s="1399"/>
      <c r="O437" s="1280"/>
      <c r="Z437" s="1280"/>
    </row>
    <row r="438" spans="1:26" x14ac:dyDescent="0.6">
      <c r="A438" s="1280"/>
      <c r="N438" s="1399"/>
      <c r="O438" s="1280"/>
      <c r="Z438" s="1280"/>
    </row>
    <row r="439" spans="1:26" x14ac:dyDescent="0.6">
      <c r="A439" s="1280"/>
      <c r="N439" s="1399"/>
      <c r="O439" s="1280"/>
      <c r="Z439" s="1280"/>
    </row>
    <row r="440" spans="1:26" x14ac:dyDescent="0.6">
      <c r="A440" s="1280"/>
      <c r="N440" s="1399"/>
      <c r="O440" s="1280"/>
      <c r="Z440" s="1280"/>
    </row>
    <row r="441" spans="1:26" x14ac:dyDescent="0.6">
      <c r="A441" s="1280"/>
      <c r="N441" s="1399"/>
      <c r="O441" s="1280"/>
      <c r="Z441" s="1280"/>
    </row>
    <row r="442" spans="1:26" x14ac:dyDescent="0.6">
      <c r="A442" s="1280"/>
      <c r="N442" s="1399"/>
      <c r="O442" s="1280"/>
      <c r="Z442" s="1280"/>
    </row>
    <row r="443" spans="1:26" x14ac:dyDescent="0.6">
      <c r="A443" s="1280"/>
      <c r="N443" s="1399"/>
      <c r="O443" s="1280"/>
      <c r="Z443" s="1280"/>
    </row>
    <row r="444" spans="1:26" x14ac:dyDescent="0.6">
      <c r="A444" s="1280"/>
      <c r="N444" s="1399"/>
      <c r="O444" s="1280"/>
      <c r="Z444" s="1280"/>
    </row>
    <row r="445" spans="1:26" x14ac:dyDescent="0.6">
      <c r="A445" s="1280"/>
      <c r="N445" s="1399"/>
      <c r="O445" s="1280"/>
      <c r="Z445" s="1280"/>
    </row>
    <row r="446" spans="1:26" x14ac:dyDescent="0.6">
      <c r="A446" s="1280"/>
      <c r="N446" s="1399"/>
      <c r="O446" s="1280"/>
      <c r="Z446" s="1280"/>
    </row>
    <row r="447" spans="1:26" x14ac:dyDescent="0.6">
      <c r="A447" s="1280"/>
      <c r="N447" s="1399"/>
      <c r="O447" s="1280"/>
      <c r="Z447" s="1280"/>
    </row>
    <row r="448" spans="1:26" x14ac:dyDescent="0.6">
      <c r="A448" s="1280"/>
      <c r="N448" s="1399"/>
      <c r="O448" s="1280"/>
      <c r="Z448" s="1280"/>
    </row>
    <row r="449" spans="1:26" x14ac:dyDescent="0.6">
      <c r="A449" s="1280"/>
      <c r="N449" s="1399"/>
      <c r="O449" s="1280"/>
      <c r="Z449" s="1280"/>
    </row>
    <row r="450" spans="1:26" x14ac:dyDescent="0.6">
      <c r="A450" s="1280"/>
      <c r="N450" s="1399"/>
      <c r="O450" s="1280"/>
      <c r="Z450" s="1280"/>
    </row>
    <row r="451" spans="1:26" x14ac:dyDescent="0.6">
      <c r="A451" s="1280"/>
      <c r="N451" s="1399"/>
      <c r="O451" s="1280"/>
      <c r="Z451" s="1280"/>
    </row>
    <row r="452" spans="1:26" x14ac:dyDescent="0.6">
      <c r="A452" s="1280"/>
      <c r="N452" s="1399"/>
      <c r="O452" s="1280"/>
      <c r="Z452" s="1280"/>
    </row>
    <row r="453" spans="1:26" x14ac:dyDescent="0.6">
      <c r="A453" s="1280"/>
      <c r="N453" s="1399"/>
      <c r="O453" s="1280"/>
      <c r="Z453" s="1280"/>
    </row>
    <row r="454" spans="1:26" x14ac:dyDescent="0.6">
      <c r="A454" s="1280"/>
      <c r="N454" s="1399"/>
      <c r="O454" s="1280"/>
      <c r="Z454" s="1280"/>
    </row>
    <row r="455" spans="1:26" x14ac:dyDescent="0.6">
      <c r="A455" s="1280"/>
      <c r="N455" s="1399"/>
      <c r="O455" s="1280"/>
      <c r="Z455" s="1280"/>
    </row>
    <row r="456" spans="1:26" x14ac:dyDescent="0.6">
      <c r="A456" s="1280"/>
      <c r="N456" s="1399"/>
      <c r="O456" s="1280"/>
      <c r="Z456" s="1280"/>
    </row>
    <row r="457" spans="1:26" x14ac:dyDescent="0.6">
      <c r="A457" s="1280"/>
      <c r="N457" s="1399"/>
      <c r="O457" s="1280"/>
      <c r="Z457" s="1280"/>
    </row>
    <row r="458" spans="1:26" x14ac:dyDescent="0.6">
      <c r="A458" s="1280"/>
      <c r="N458" s="1399"/>
      <c r="O458" s="1280"/>
      <c r="Z458" s="1280"/>
    </row>
    <row r="459" spans="1:26" x14ac:dyDescent="0.6">
      <c r="A459" s="1280"/>
      <c r="N459" s="1399"/>
      <c r="O459" s="1280"/>
      <c r="Z459" s="1280"/>
    </row>
    <row r="460" spans="1:26" x14ac:dyDescent="0.6">
      <c r="A460" s="1280"/>
      <c r="N460" s="1399"/>
      <c r="O460" s="1280"/>
      <c r="Z460" s="1280"/>
    </row>
    <row r="461" spans="1:26" x14ac:dyDescent="0.6">
      <c r="A461" s="1280"/>
      <c r="N461" s="1399"/>
      <c r="O461" s="1280"/>
      <c r="Z461" s="1280"/>
    </row>
    <row r="462" spans="1:26" x14ac:dyDescent="0.6">
      <c r="A462" s="1280"/>
      <c r="N462" s="1399"/>
      <c r="O462" s="1280"/>
      <c r="Z462" s="1280"/>
    </row>
    <row r="463" spans="1:26" x14ac:dyDescent="0.6">
      <c r="A463" s="1280"/>
      <c r="N463" s="1399"/>
      <c r="O463" s="1280"/>
      <c r="Z463" s="1280"/>
    </row>
    <row r="464" spans="1:26" x14ac:dyDescent="0.6">
      <c r="A464" s="1280"/>
      <c r="N464" s="1399"/>
      <c r="O464" s="1280"/>
      <c r="Z464" s="1280"/>
    </row>
    <row r="465" spans="1:26" x14ac:dyDescent="0.6">
      <c r="A465" s="1280"/>
      <c r="N465" s="1399"/>
      <c r="O465" s="1280"/>
      <c r="Z465" s="1280"/>
    </row>
    <row r="466" spans="1:26" x14ac:dyDescent="0.6">
      <c r="A466" s="1280"/>
      <c r="N466" s="1399"/>
      <c r="O466" s="1280"/>
      <c r="Z466" s="1280"/>
    </row>
    <row r="467" spans="1:26" x14ac:dyDescent="0.6">
      <c r="A467" s="1280"/>
      <c r="N467" s="1399"/>
      <c r="O467" s="1280"/>
      <c r="Z467" s="1280"/>
    </row>
    <row r="468" spans="1:26" x14ac:dyDescent="0.6">
      <c r="A468" s="1280"/>
      <c r="N468" s="1399"/>
      <c r="O468" s="1280"/>
      <c r="Z468" s="1280"/>
    </row>
    <row r="469" spans="1:26" x14ac:dyDescent="0.6">
      <c r="A469" s="1280"/>
      <c r="N469" s="1399"/>
      <c r="O469" s="1280"/>
      <c r="Z469" s="1280"/>
    </row>
    <row r="470" spans="1:26" x14ac:dyDescent="0.6">
      <c r="A470" s="1280"/>
      <c r="N470" s="1399"/>
      <c r="O470" s="1280"/>
      <c r="Z470" s="1280"/>
    </row>
    <row r="471" spans="1:26" x14ac:dyDescent="0.6">
      <c r="A471" s="1280"/>
      <c r="N471" s="1399"/>
      <c r="O471" s="1280"/>
      <c r="Z471" s="1280"/>
    </row>
    <row r="472" spans="1:26" x14ac:dyDescent="0.6">
      <c r="A472" s="1280"/>
      <c r="N472" s="1399"/>
      <c r="O472" s="1280"/>
      <c r="Z472" s="1280"/>
    </row>
    <row r="473" spans="1:26" x14ac:dyDescent="0.6">
      <c r="A473" s="1280"/>
      <c r="N473" s="1399"/>
      <c r="O473" s="1280"/>
      <c r="Z473" s="1280"/>
    </row>
    <row r="474" spans="1:26" x14ac:dyDescent="0.6">
      <c r="A474" s="1280"/>
      <c r="N474" s="1399"/>
      <c r="O474" s="1280"/>
      <c r="Z474" s="1280"/>
    </row>
    <row r="475" spans="1:26" x14ac:dyDescent="0.6">
      <c r="A475" s="1280"/>
      <c r="N475" s="1399"/>
      <c r="O475" s="1280"/>
      <c r="Z475" s="1280"/>
    </row>
    <row r="476" spans="1:26" x14ac:dyDescent="0.6">
      <c r="A476" s="1280"/>
      <c r="N476" s="1399"/>
      <c r="O476" s="1280"/>
      <c r="Z476" s="1280"/>
    </row>
    <row r="477" spans="1:26" x14ac:dyDescent="0.6">
      <c r="A477" s="1280"/>
      <c r="N477" s="1399"/>
      <c r="O477" s="1280"/>
      <c r="Z477" s="1280"/>
    </row>
    <row r="478" spans="1:26" x14ac:dyDescent="0.6">
      <c r="A478" s="1280"/>
      <c r="N478" s="1399"/>
      <c r="O478" s="1280"/>
      <c r="Z478" s="1280"/>
    </row>
    <row r="479" spans="1:26" x14ac:dyDescent="0.6">
      <c r="A479" s="1280"/>
      <c r="N479" s="1399"/>
      <c r="O479" s="1280"/>
      <c r="Z479" s="1280"/>
    </row>
    <row r="480" spans="1:26" x14ac:dyDescent="0.6">
      <c r="A480" s="1280"/>
      <c r="N480" s="1399"/>
      <c r="O480" s="1280"/>
      <c r="Z480" s="1280"/>
    </row>
    <row r="481" spans="1:26" x14ac:dyDescent="0.6">
      <c r="A481" s="1280"/>
      <c r="N481" s="1399"/>
      <c r="O481" s="1280"/>
      <c r="Z481" s="1280"/>
    </row>
    <row r="482" spans="1:26" x14ac:dyDescent="0.6">
      <c r="A482" s="1280"/>
      <c r="N482" s="1399"/>
      <c r="O482" s="1280"/>
      <c r="Z482" s="1280"/>
    </row>
    <row r="483" spans="1:26" x14ac:dyDescent="0.6">
      <c r="A483" s="1280"/>
      <c r="N483" s="1399"/>
      <c r="O483" s="1280"/>
      <c r="Z483" s="1280"/>
    </row>
    <row r="484" spans="1:26" x14ac:dyDescent="0.6">
      <c r="A484" s="1280"/>
      <c r="N484" s="1399"/>
      <c r="O484" s="1280"/>
      <c r="Z484" s="1280"/>
    </row>
    <row r="485" spans="1:26" x14ac:dyDescent="0.6">
      <c r="A485" s="1280"/>
      <c r="N485" s="1399"/>
      <c r="O485" s="1280"/>
      <c r="Z485" s="1280"/>
    </row>
    <row r="486" spans="1:26" x14ac:dyDescent="0.6">
      <c r="A486" s="1280"/>
      <c r="N486" s="1399"/>
      <c r="O486" s="1280"/>
      <c r="Z486" s="1280"/>
    </row>
    <row r="487" spans="1:26" x14ac:dyDescent="0.6">
      <c r="A487" s="1280"/>
      <c r="N487" s="1399"/>
      <c r="O487" s="1280"/>
      <c r="Z487" s="1280"/>
    </row>
    <row r="488" spans="1:26" x14ac:dyDescent="0.6">
      <c r="A488" s="1280"/>
      <c r="N488" s="1399"/>
      <c r="O488" s="1280"/>
      <c r="Z488" s="1280"/>
    </row>
    <row r="489" spans="1:26" x14ac:dyDescent="0.6">
      <c r="A489" s="1280"/>
      <c r="N489" s="1399"/>
      <c r="O489" s="1280"/>
      <c r="Z489" s="1280"/>
    </row>
    <row r="490" spans="1:26" x14ac:dyDescent="0.6">
      <c r="A490" s="1280"/>
      <c r="N490" s="1399"/>
      <c r="O490" s="1280"/>
      <c r="Z490" s="1280"/>
    </row>
    <row r="491" spans="1:26" x14ac:dyDescent="0.6">
      <c r="A491" s="1280"/>
      <c r="N491" s="1399"/>
      <c r="O491" s="1280"/>
      <c r="Z491" s="1280"/>
    </row>
    <row r="492" spans="1:26" x14ac:dyDescent="0.6">
      <c r="A492" s="1280"/>
      <c r="N492" s="1399"/>
      <c r="O492" s="1280"/>
      <c r="Z492" s="1280"/>
    </row>
    <row r="493" spans="1:26" x14ac:dyDescent="0.6">
      <c r="A493" s="1280"/>
      <c r="N493" s="1399"/>
      <c r="O493" s="1280"/>
      <c r="Z493" s="1280"/>
    </row>
    <row r="494" spans="1:26" x14ac:dyDescent="0.6">
      <c r="A494" s="1280"/>
      <c r="N494" s="1399"/>
      <c r="O494" s="1280"/>
      <c r="Z494" s="1280"/>
    </row>
    <row r="495" spans="1:26" x14ac:dyDescent="0.6">
      <c r="A495" s="1280"/>
      <c r="N495" s="1399"/>
      <c r="O495" s="1280"/>
      <c r="Z495" s="1280"/>
    </row>
    <row r="496" spans="1:26" x14ac:dyDescent="0.6">
      <c r="A496" s="1280"/>
      <c r="N496" s="1399"/>
      <c r="O496" s="1280"/>
      <c r="Z496" s="1280"/>
    </row>
    <row r="497" spans="1:26" x14ac:dyDescent="0.6">
      <c r="A497" s="1280"/>
      <c r="N497" s="1399"/>
      <c r="O497" s="1280"/>
      <c r="Z497" s="1280"/>
    </row>
    <row r="498" spans="1:26" x14ac:dyDescent="0.6">
      <c r="A498" s="1280"/>
      <c r="N498" s="1399"/>
      <c r="O498" s="1280"/>
      <c r="Z498" s="1280"/>
    </row>
    <row r="499" spans="1:26" x14ac:dyDescent="0.6">
      <c r="A499" s="1280"/>
      <c r="N499" s="1399"/>
      <c r="O499" s="1280"/>
      <c r="Z499" s="1280"/>
    </row>
    <row r="500" spans="1:26" x14ac:dyDescent="0.6">
      <c r="A500" s="1280"/>
      <c r="N500" s="1399"/>
      <c r="O500" s="1280"/>
      <c r="Z500" s="1280"/>
    </row>
    <row r="501" spans="1:26" x14ac:dyDescent="0.6">
      <c r="A501" s="1280"/>
      <c r="N501" s="1399"/>
      <c r="O501" s="1280"/>
      <c r="Z501" s="1280"/>
    </row>
    <row r="502" spans="1:26" x14ac:dyDescent="0.6">
      <c r="A502" s="1280"/>
      <c r="N502" s="1399"/>
      <c r="O502" s="1280"/>
      <c r="Z502" s="1280"/>
    </row>
    <row r="503" spans="1:26" x14ac:dyDescent="0.6">
      <c r="A503" s="1280"/>
      <c r="N503" s="1399"/>
      <c r="O503" s="1280"/>
      <c r="Z503" s="1280"/>
    </row>
    <row r="504" spans="1:26" x14ac:dyDescent="0.6">
      <c r="A504" s="1280"/>
      <c r="N504" s="1399"/>
      <c r="O504" s="1280"/>
      <c r="Z504" s="1280"/>
    </row>
    <row r="505" spans="1:26" x14ac:dyDescent="0.6">
      <c r="A505" s="1280"/>
      <c r="N505" s="1399"/>
      <c r="O505" s="1280"/>
      <c r="Z505" s="1280"/>
    </row>
    <row r="506" spans="1:26" x14ac:dyDescent="0.6">
      <c r="A506" s="1280"/>
      <c r="N506" s="1399"/>
      <c r="O506" s="1280"/>
      <c r="Z506" s="1280"/>
    </row>
    <row r="507" spans="1:26" x14ac:dyDescent="0.6">
      <c r="A507" s="1280"/>
      <c r="N507" s="1399"/>
      <c r="O507" s="1280"/>
      <c r="Z507" s="1280"/>
    </row>
    <row r="508" spans="1:26" x14ac:dyDescent="0.6">
      <c r="A508" s="1280"/>
      <c r="N508" s="1399"/>
      <c r="O508" s="1280"/>
      <c r="Z508" s="1280"/>
    </row>
    <row r="509" spans="1:26" x14ac:dyDescent="0.6">
      <c r="A509" s="1280"/>
      <c r="N509" s="1399"/>
      <c r="O509" s="1280"/>
      <c r="Z509" s="1280"/>
    </row>
    <row r="510" spans="1:26" x14ac:dyDescent="0.6">
      <c r="A510" s="1280"/>
      <c r="N510" s="1399"/>
      <c r="O510" s="1280"/>
      <c r="Z510" s="1280"/>
    </row>
    <row r="511" spans="1:26" x14ac:dyDescent="0.6">
      <c r="A511" s="1280"/>
      <c r="N511" s="1399"/>
      <c r="O511" s="1280"/>
      <c r="Z511" s="1280"/>
    </row>
    <row r="512" spans="1:26" x14ac:dyDescent="0.6">
      <c r="A512" s="1280"/>
      <c r="N512" s="1399"/>
      <c r="O512" s="1280"/>
      <c r="Z512" s="1280"/>
    </row>
    <row r="513" spans="1:26" x14ac:dyDescent="0.6">
      <c r="A513" s="1280"/>
      <c r="N513" s="1399"/>
      <c r="O513" s="1280"/>
      <c r="Z513" s="1280"/>
    </row>
    <row r="514" spans="1:26" x14ac:dyDescent="0.6">
      <c r="A514" s="1280"/>
      <c r="N514" s="1399"/>
      <c r="O514" s="1280"/>
      <c r="Z514" s="1280"/>
    </row>
    <row r="515" spans="1:26" x14ac:dyDescent="0.6">
      <c r="A515" s="1280"/>
      <c r="N515" s="1399"/>
      <c r="O515" s="1280"/>
      <c r="Z515" s="1280"/>
    </row>
    <row r="516" spans="1:26" x14ac:dyDescent="0.6">
      <c r="A516" s="1280"/>
      <c r="N516" s="1399"/>
      <c r="O516" s="1280"/>
      <c r="Z516" s="1280"/>
    </row>
    <row r="517" spans="1:26" x14ac:dyDescent="0.6">
      <c r="A517" s="1280"/>
      <c r="N517" s="1399"/>
      <c r="O517" s="1280"/>
      <c r="Z517" s="1280"/>
    </row>
    <row r="518" spans="1:26" x14ac:dyDescent="0.6">
      <c r="A518" s="1280"/>
      <c r="N518" s="1399"/>
      <c r="O518" s="1280"/>
      <c r="Z518" s="1280"/>
    </row>
    <row r="519" spans="1:26" x14ac:dyDescent="0.6">
      <c r="A519" s="1280"/>
      <c r="N519" s="1399"/>
      <c r="O519" s="1280"/>
      <c r="Z519" s="1280"/>
    </row>
    <row r="520" spans="1:26" x14ac:dyDescent="0.6">
      <c r="A520" s="1280"/>
      <c r="N520" s="1399"/>
      <c r="O520" s="1280"/>
      <c r="Z520" s="1280"/>
    </row>
    <row r="521" spans="1:26" x14ac:dyDescent="0.6">
      <c r="A521" s="1280"/>
      <c r="N521" s="1399"/>
      <c r="O521" s="1280"/>
      <c r="Z521" s="1280"/>
    </row>
    <row r="522" spans="1:26" x14ac:dyDescent="0.6">
      <c r="A522" s="1280"/>
      <c r="N522" s="1399"/>
      <c r="O522" s="1280"/>
      <c r="Z522" s="1280"/>
    </row>
    <row r="523" spans="1:26" x14ac:dyDescent="0.6">
      <c r="A523" s="1280"/>
      <c r="N523" s="1399"/>
      <c r="O523" s="1280"/>
      <c r="Z523" s="1280"/>
    </row>
    <row r="524" spans="1:26" x14ac:dyDescent="0.6">
      <c r="A524" s="1280"/>
      <c r="N524" s="1399"/>
      <c r="O524" s="1280"/>
      <c r="Z524" s="1280"/>
    </row>
    <row r="525" spans="1:26" x14ac:dyDescent="0.6">
      <c r="A525" s="1280"/>
      <c r="N525" s="1399"/>
      <c r="O525" s="1280"/>
      <c r="Z525" s="1280"/>
    </row>
    <row r="526" spans="1:26" x14ac:dyDescent="0.6">
      <c r="A526" s="1280"/>
      <c r="N526" s="1399"/>
      <c r="O526" s="1280"/>
      <c r="Z526" s="1280"/>
    </row>
    <row r="527" spans="1:26" x14ac:dyDescent="0.6">
      <c r="A527" s="1280"/>
      <c r="N527" s="1399"/>
      <c r="O527" s="1280"/>
      <c r="Z527" s="1280"/>
    </row>
    <row r="528" spans="1:26" x14ac:dyDescent="0.6">
      <c r="A528" s="1280"/>
      <c r="N528" s="1399"/>
      <c r="O528" s="1280"/>
      <c r="Z528" s="1280"/>
    </row>
    <row r="529" spans="1:26" x14ac:dyDescent="0.6">
      <c r="A529" s="1280"/>
      <c r="N529" s="1399"/>
      <c r="O529" s="1280"/>
      <c r="Z529" s="1280"/>
    </row>
    <row r="530" spans="1:26" x14ac:dyDescent="0.6">
      <c r="A530" s="1280"/>
      <c r="N530" s="1399"/>
      <c r="O530" s="1280"/>
      <c r="Z530" s="1280"/>
    </row>
    <row r="531" spans="1:26" x14ac:dyDescent="0.6">
      <c r="A531" s="1280"/>
      <c r="N531" s="1399"/>
      <c r="O531" s="1280"/>
      <c r="Z531" s="1280"/>
    </row>
    <row r="532" spans="1:26" x14ac:dyDescent="0.6">
      <c r="A532" s="1280"/>
      <c r="N532" s="1399"/>
      <c r="O532" s="1280"/>
      <c r="Z532" s="1280"/>
    </row>
    <row r="533" spans="1:26" x14ac:dyDescent="0.6">
      <c r="A533" s="1280"/>
      <c r="N533" s="1399"/>
      <c r="O533" s="1280"/>
      <c r="Z533" s="1280"/>
    </row>
    <row r="534" spans="1:26" x14ac:dyDescent="0.6">
      <c r="A534" s="1280"/>
      <c r="N534" s="1399"/>
      <c r="O534" s="1280"/>
      <c r="Z534" s="1280"/>
    </row>
    <row r="535" spans="1:26" x14ac:dyDescent="0.6">
      <c r="A535" s="1280"/>
      <c r="N535" s="1399"/>
      <c r="O535" s="1280"/>
      <c r="Z535" s="1280"/>
    </row>
    <row r="536" spans="1:26" x14ac:dyDescent="0.6">
      <c r="A536" s="1280"/>
      <c r="N536" s="1399"/>
      <c r="O536" s="1280"/>
      <c r="Z536" s="1280"/>
    </row>
    <row r="537" spans="1:26" x14ac:dyDescent="0.6">
      <c r="A537" s="1280"/>
      <c r="N537" s="1399"/>
      <c r="O537" s="1280"/>
      <c r="Z537" s="1280"/>
    </row>
    <row r="538" spans="1:26" x14ac:dyDescent="0.6">
      <c r="A538" s="1280"/>
      <c r="N538" s="1399"/>
      <c r="O538" s="1280"/>
      <c r="Z538" s="1280"/>
    </row>
    <row r="539" spans="1:26" x14ac:dyDescent="0.6">
      <c r="A539" s="1280"/>
      <c r="N539" s="1399"/>
      <c r="O539" s="1280"/>
      <c r="Z539" s="1280"/>
    </row>
    <row r="540" spans="1:26" x14ac:dyDescent="0.6">
      <c r="A540" s="1280"/>
      <c r="N540" s="1399"/>
      <c r="O540" s="1280"/>
      <c r="Z540" s="1280"/>
    </row>
    <row r="541" spans="1:26" x14ac:dyDescent="0.6">
      <c r="A541" s="1280"/>
      <c r="N541" s="1399"/>
      <c r="O541" s="1280"/>
      <c r="Z541" s="1280"/>
    </row>
    <row r="542" spans="1:26" x14ac:dyDescent="0.6">
      <c r="A542" s="1280"/>
      <c r="N542" s="1399"/>
      <c r="O542" s="1280"/>
      <c r="Z542" s="1280"/>
    </row>
    <row r="543" spans="1:26" x14ac:dyDescent="0.6">
      <c r="A543" s="1280"/>
      <c r="N543" s="1399"/>
      <c r="O543" s="1280"/>
      <c r="Z543" s="1280"/>
    </row>
    <row r="544" spans="1:26" x14ac:dyDescent="0.6">
      <c r="A544" s="1280"/>
      <c r="N544" s="1399"/>
      <c r="O544" s="1280"/>
      <c r="Z544" s="1280"/>
    </row>
    <row r="545" spans="1:26" x14ac:dyDescent="0.6">
      <c r="A545" s="1280"/>
      <c r="N545" s="1399"/>
      <c r="O545" s="1280"/>
      <c r="Z545" s="1280"/>
    </row>
    <row r="546" spans="1:26" x14ac:dyDescent="0.6">
      <c r="A546" s="1280"/>
      <c r="N546" s="1399"/>
      <c r="O546" s="1280"/>
      <c r="Z546" s="1280"/>
    </row>
    <row r="547" spans="1:26" x14ac:dyDescent="0.6">
      <c r="A547" s="1280"/>
      <c r="N547" s="1399"/>
      <c r="O547" s="1280"/>
      <c r="Z547" s="1280"/>
    </row>
    <row r="548" spans="1:26" x14ac:dyDescent="0.6">
      <c r="A548" s="1280"/>
      <c r="N548" s="1399"/>
      <c r="O548" s="1280"/>
      <c r="Z548" s="1280"/>
    </row>
    <row r="549" spans="1:26" x14ac:dyDescent="0.6">
      <c r="A549" s="1280"/>
      <c r="N549" s="1399"/>
      <c r="O549" s="1280"/>
      <c r="Z549" s="1280"/>
    </row>
    <row r="550" spans="1:26" x14ac:dyDescent="0.6">
      <c r="A550" s="1280"/>
      <c r="N550" s="1399"/>
      <c r="O550" s="1280"/>
      <c r="Z550" s="1280"/>
    </row>
    <row r="551" spans="1:26" x14ac:dyDescent="0.6">
      <c r="A551" s="1280"/>
      <c r="N551" s="1399"/>
      <c r="O551" s="1280"/>
      <c r="Z551" s="1280"/>
    </row>
    <row r="552" spans="1:26" x14ac:dyDescent="0.6">
      <c r="A552" s="1280"/>
      <c r="N552" s="1399"/>
      <c r="O552" s="1280"/>
      <c r="Z552" s="1280"/>
    </row>
    <row r="553" spans="1:26" x14ac:dyDescent="0.6">
      <c r="A553" s="1280"/>
      <c r="N553" s="1399"/>
      <c r="O553" s="1280"/>
      <c r="Z553" s="1280"/>
    </row>
    <row r="554" spans="1:26" x14ac:dyDescent="0.6">
      <c r="A554" s="1280"/>
      <c r="N554" s="1399"/>
      <c r="O554" s="1280"/>
      <c r="Z554" s="1280"/>
    </row>
    <row r="555" spans="1:26" x14ac:dyDescent="0.6">
      <c r="A555" s="1280"/>
      <c r="N555" s="1399"/>
      <c r="O555" s="1280"/>
      <c r="Z555" s="1280"/>
    </row>
    <row r="556" spans="1:26" x14ac:dyDescent="0.6">
      <c r="A556" s="1280"/>
      <c r="N556" s="1399"/>
      <c r="O556" s="1280"/>
      <c r="Z556" s="1280"/>
    </row>
    <row r="557" spans="1:26" x14ac:dyDescent="0.6">
      <c r="A557" s="1280"/>
      <c r="N557" s="1399"/>
      <c r="O557" s="1280"/>
      <c r="Z557" s="1280"/>
    </row>
    <row r="558" spans="1:26" x14ac:dyDescent="0.6">
      <c r="A558" s="1280"/>
      <c r="N558" s="1399"/>
      <c r="O558" s="1280"/>
      <c r="Z558" s="1280"/>
    </row>
    <row r="559" spans="1:26" x14ac:dyDescent="0.6">
      <c r="A559" s="1280"/>
      <c r="N559" s="1399"/>
      <c r="O559" s="1280"/>
      <c r="Z559" s="1280"/>
    </row>
    <row r="560" spans="1:26" x14ac:dyDescent="0.6">
      <c r="A560" s="1280"/>
      <c r="N560" s="1399"/>
      <c r="O560" s="1280"/>
      <c r="Z560" s="1280"/>
    </row>
    <row r="561" spans="1:26" x14ac:dyDescent="0.6">
      <c r="A561" s="1280"/>
      <c r="N561" s="1399"/>
      <c r="O561" s="1280"/>
      <c r="Z561" s="1280"/>
    </row>
    <row r="562" spans="1:26" x14ac:dyDescent="0.6">
      <c r="A562" s="1280"/>
      <c r="N562" s="1399"/>
      <c r="O562" s="1280"/>
      <c r="Z562" s="1280"/>
    </row>
    <row r="563" spans="1:26" x14ac:dyDescent="0.6">
      <c r="A563" s="1280"/>
      <c r="N563" s="1399"/>
      <c r="O563" s="1280"/>
      <c r="Z563" s="1280"/>
    </row>
    <row r="564" spans="1:26" x14ac:dyDescent="0.6">
      <c r="A564" s="1280"/>
      <c r="N564" s="1399"/>
      <c r="O564" s="1280"/>
      <c r="Z564" s="1280"/>
    </row>
    <row r="565" spans="1:26" x14ac:dyDescent="0.6">
      <c r="A565" s="1280"/>
      <c r="N565" s="1399"/>
      <c r="O565" s="1280"/>
      <c r="Z565" s="1280"/>
    </row>
    <row r="566" spans="1:26" x14ac:dyDescent="0.6">
      <c r="A566" s="1280"/>
      <c r="N566" s="1399"/>
      <c r="O566" s="1280"/>
      <c r="Z566" s="1280"/>
    </row>
    <row r="567" spans="1:26" x14ac:dyDescent="0.6">
      <c r="A567" s="1280"/>
      <c r="N567" s="1399"/>
      <c r="O567" s="1280"/>
      <c r="Z567" s="1280"/>
    </row>
    <row r="568" spans="1:26" x14ac:dyDescent="0.6">
      <c r="A568" s="1280"/>
      <c r="N568" s="1399"/>
      <c r="O568" s="1280"/>
      <c r="Z568" s="1280"/>
    </row>
    <row r="569" spans="1:26" x14ac:dyDescent="0.6">
      <c r="A569" s="1280"/>
      <c r="N569" s="1399"/>
      <c r="O569" s="1280"/>
      <c r="Z569" s="1280"/>
    </row>
    <row r="570" spans="1:26" x14ac:dyDescent="0.6">
      <c r="A570" s="1280"/>
      <c r="N570" s="1399"/>
      <c r="O570" s="1280"/>
      <c r="Z570" s="1280"/>
    </row>
    <row r="571" spans="1:26" x14ac:dyDescent="0.6">
      <c r="A571" s="1280"/>
      <c r="N571" s="1399"/>
      <c r="O571" s="1280"/>
      <c r="Z571" s="1280"/>
    </row>
    <row r="572" spans="1:26" x14ac:dyDescent="0.6">
      <c r="A572" s="1280"/>
      <c r="N572" s="1399"/>
      <c r="O572" s="1280"/>
      <c r="Z572" s="1280"/>
    </row>
    <row r="573" spans="1:26" x14ac:dyDescent="0.6">
      <c r="A573" s="1280"/>
      <c r="N573" s="1399"/>
      <c r="O573" s="1280"/>
      <c r="Z573" s="1280"/>
    </row>
    <row r="574" spans="1:26" x14ac:dyDescent="0.6">
      <c r="A574" s="1280"/>
      <c r="N574" s="1399"/>
      <c r="O574" s="1280"/>
      <c r="Z574" s="1280"/>
    </row>
    <row r="575" spans="1:26" x14ac:dyDescent="0.6">
      <c r="A575" s="1280"/>
      <c r="N575" s="1399"/>
      <c r="O575" s="1280"/>
      <c r="Z575" s="1280"/>
    </row>
    <row r="576" spans="1:26" x14ac:dyDescent="0.6">
      <c r="A576" s="1280"/>
      <c r="N576" s="1399"/>
      <c r="O576" s="1280"/>
      <c r="Z576" s="1280"/>
    </row>
    <row r="577" spans="1:26" x14ac:dyDescent="0.6">
      <c r="A577" s="1280"/>
      <c r="N577" s="1399"/>
      <c r="O577" s="1280"/>
      <c r="Z577" s="1280"/>
    </row>
    <row r="578" spans="1:26" x14ac:dyDescent="0.6">
      <c r="A578" s="1280"/>
      <c r="N578" s="1399"/>
      <c r="O578" s="1280"/>
      <c r="Z578" s="1280"/>
    </row>
    <row r="579" spans="1:26" x14ac:dyDescent="0.6">
      <c r="A579" s="1280"/>
      <c r="N579" s="1399"/>
      <c r="O579" s="1280"/>
      <c r="Z579" s="1280"/>
    </row>
    <row r="580" spans="1:26" x14ac:dyDescent="0.6">
      <c r="A580" s="1280"/>
      <c r="N580" s="1399"/>
      <c r="O580" s="1280"/>
      <c r="Z580" s="1280"/>
    </row>
    <row r="581" spans="1:26" x14ac:dyDescent="0.6">
      <c r="A581" s="1280"/>
      <c r="N581" s="1399"/>
      <c r="O581" s="1280"/>
      <c r="Z581" s="1280"/>
    </row>
    <row r="582" spans="1:26" x14ac:dyDescent="0.6">
      <c r="A582" s="1280"/>
      <c r="N582" s="1399"/>
      <c r="O582" s="1280"/>
      <c r="Z582" s="1280"/>
    </row>
    <row r="583" spans="1:26" x14ac:dyDescent="0.6">
      <c r="A583" s="1280"/>
      <c r="N583" s="1399"/>
      <c r="O583" s="1280"/>
      <c r="Z583" s="1280"/>
    </row>
    <row r="584" spans="1:26" x14ac:dyDescent="0.6">
      <c r="A584" s="1280"/>
      <c r="N584" s="1399"/>
      <c r="O584" s="1280"/>
      <c r="Z584" s="1280"/>
    </row>
    <row r="585" spans="1:26" x14ac:dyDescent="0.6">
      <c r="A585" s="1280"/>
      <c r="N585" s="1399"/>
      <c r="O585" s="1280"/>
      <c r="Z585" s="1280"/>
    </row>
    <row r="586" spans="1:26" x14ac:dyDescent="0.6">
      <c r="A586" s="1280"/>
      <c r="N586" s="1399"/>
      <c r="O586" s="1280"/>
      <c r="Z586" s="1280"/>
    </row>
    <row r="587" spans="1:26" x14ac:dyDescent="0.6">
      <c r="A587" s="1280"/>
      <c r="N587" s="1399"/>
      <c r="O587" s="1280"/>
      <c r="Z587" s="1280"/>
    </row>
    <row r="588" spans="1:26" x14ac:dyDescent="0.6">
      <c r="A588" s="1280"/>
      <c r="N588" s="1399"/>
      <c r="O588" s="1280"/>
      <c r="Z588" s="1280"/>
    </row>
    <row r="589" spans="1:26" x14ac:dyDescent="0.6">
      <c r="A589" s="1280"/>
      <c r="N589" s="1399"/>
      <c r="O589" s="1280"/>
      <c r="Z589" s="1280"/>
    </row>
    <row r="590" spans="1:26" x14ac:dyDescent="0.6">
      <c r="A590" s="1280"/>
      <c r="N590" s="1399"/>
      <c r="O590" s="1280"/>
      <c r="Z590" s="1280"/>
    </row>
    <row r="591" spans="1:26" x14ac:dyDescent="0.6">
      <c r="A591" s="1280"/>
      <c r="N591" s="1399"/>
      <c r="O591" s="1280"/>
      <c r="Z591" s="1280"/>
    </row>
    <row r="592" spans="1:26" x14ac:dyDescent="0.6">
      <c r="A592" s="1280"/>
      <c r="N592" s="1399"/>
      <c r="O592" s="1280"/>
      <c r="Z592" s="1280"/>
    </row>
    <row r="593" spans="1:26" x14ac:dyDescent="0.6">
      <c r="A593" s="1280"/>
      <c r="N593" s="1399"/>
      <c r="O593" s="1280"/>
      <c r="Z593" s="1280"/>
    </row>
    <row r="594" spans="1:26" x14ac:dyDescent="0.6">
      <c r="A594" s="1280"/>
      <c r="N594" s="1399"/>
      <c r="O594" s="1280"/>
      <c r="Z594" s="1280"/>
    </row>
    <row r="595" spans="1:26" x14ac:dyDescent="0.6">
      <c r="A595" s="1280"/>
      <c r="N595" s="1399"/>
      <c r="O595" s="1280"/>
      <c r="Z595" s="1280"/>
    </row>
    <row r="596" spans="1:26" x14ac:dyDescent="0.6">
      <c r="A596" s="1280"/>
      <c r="N596" s="1399"/>
      <c r="O596" s="1280"/>
      <c r="Z596" s="1280"/>
    </row>
    <row r="597" spans="1:26" x14ac:dyDescent="0.6">
      <c r="A597" s="1280"/>
      <c r="N597" s="1399"/>
      <c r="O597" s="1280"/>
      <c r="Z597" s="1280"/>
    </row>
    <row r="598" spans="1:26" x14ac:dyDescent="0.6">
      <c r="A598" s="1280"/>
      <c r="N598" s="1399"/>
      <c r="O598" s="1280"/>
      <c r="Z598" s="1280"/>
    </row>
    <row r="599" spans="1:26" x14ac:dyDescent="0.6">
      <c r="A599" s="1280"/>
      <c r="N599" s="1399"/>
      <c r="O599" s="1280"/>
      <c r="Z599" s="1280"/>
    </row>
    <row r="600" spans="1:26" x14ac:dyDescent="0.6">
      <c r="A600" s="1280"/>
      <c r="N600" s="1399"/>
      <c r="O600" s="1280"/>
      <c r="Z600" s="1280"/>
    </row>
    <row r="601" spans="1:26" x14ac:dyDescent="0.6">
      <c r="A601" s="1280"/>
      <c r="N601" s="1399"/>
      <c r="O601" s="1280"/>
      <c r="Z601" s="1280"/>
    </row>
    <row r="602" spans="1:26" x14ac:dyDescent="0.6">
      <c r="A602" s="1280"/>
      <c r="N602" s="1399"/>
      <c r="O602" s="1280"/>
      <c r="Z602" s="1280"/>
    </row>
    <row r="603" spans="1:26" x14ac:dyDescent="0.6">
      <c r="A603" s="1280"/>
      <c r="N603" s="1399"/>
      <c r="O603" s="1280"/>
      <c r="Z603" s="1280"/>
    </row>
    <row r="604" spans="1:26" x14ac:dyDescent="0.6">
      <c r="A604" s="1280"/>
      <c r="N604" s="1399"/>
      <c r="O604" s="1280"/>
      <c r="Z604" s="1280"/>
    </row>
    <row r="605" spans="1:26" x14ac:dyDescent="0.6">
      <c r="A605" s="1280"/>
      <c r="N605" s="1399"/>
      <c r="O605" s="1280"/>
      <c r="Z605" s="1280"/>
    </row>
    <row r="606" spans="1:26" x14ac:dyDescent="0.6">
      <c r="A606" s="1280"/>
      <c r="N606" s="1399"/>
      <c r="O606" s="1280"/>
      <c r="Z606" s="1280"/>
    </row>
    <row r="607" spans="1:26" x14ac:dyDescent="0.6">
      <c r="A607" s="1280"/>
      <c r="N607" s="1399"/>
      <c r="O607" s="1280"/>
      <c r="Z607" s="1280"/>
    </row>
    <row r="608" spans="1:26" x14ac:dyDescent="0.6">
      <c r="A608" s="1280"/>
      <c r="N608" s="1399"/>
      <c r="O608" s="1280"/>
      <c r="Z608" s="1280"/>
    </row>
    <row r="609" spans="1:26" x14ac:dyDescent="0.6">
      <c r="A609" s="1280"/>
      <c r="N609" s="1399"/>
      <c r="O609" s="1280"/>
      <c r="Z609" s="1280"/>
    </row>
    <row r="610" spans="1:26" x14ac:dyDescent="0.6">
      <c r="A610" s="1280"/>
      <c r="N610" s="1399"/>
      <c r="O610" s="1280"/>
      <c r="Z610" s="1280"/>
    </row>
    <row r="611" spans="1:26" x14ac:dyDescent="0.6">
      <c r="A611" s="1280"/>
      <c r="N611" s="1399"/>
      <c r="O611" s="1280"/>
      <c r="Z611" s="1280"/>
    </row>
    <row r="612" spans="1:26" x14ac:dyDescent="0.6">
      <c r="A612" s="1280"/>
      <c r="N612" s="1399"/>
      <c r="O612" s="1280"/>
      <c r="Z612" s="1280"/>
    </row>
    <row r="613" spans="1:26" x14ac:dyDescent="0.6">
      <c r="A613" s="1280"/>
      <c r="N613" s="1399"/>
      <c r="O613" s="1280"/>
      <c r="Z613" s="1280"/>
    </row>
    <row r="614" spans="1:26" x14ac:dyDescent="0.6">
      <c r="A614" s="1280"/>
      <c r="N614" s="1399"/>
      <c r="O614" s="1280"/>
      <c r="Z614" s="1280"/>
    </row>
    <row r="615" spans="1:26" x14ac:dyDescent="0.6">
      <c r="A615" s="1280"/>
      <c r="N615" s="1399"/>
      <c r="O615" s="1280"/>
      <c r="Z615" s="1280"/>
    </row>
    <row r="616" spans="1:26" x14ac:dyDescent="0.6">
      <c r="A616" s="1280"/>
      <c r="N616" s="1399"/>
      <c r="O616" s="1280"/>
      <c r="Z616" s="1280"/>
    </row>
    <row r="617" spans="1:26" x14ac:dyDescent="0.6">
      <c r="A617" s="1280"/>
      <c r="N617" s="1399"/>
      <c r="O617" s="1280"/>
      <c r="Z617" s="1280"/>
    </row>
    <row r="618" spans="1:26" x14ac:dyDescent="0.6">
      <c r="A618" s="1280"/>
      <c r="N618" s="1399"/>
      <c r="O618" s="1280"/>
      <c r="Z618" s="1280"/>
    </row>
    <row r="619" spans="1:26" x14ac:dyDescent="0.6">
      <c r="A619" s="1280"/>
      <c r="N619" s="1399"/>
      <c r="O619" s="1280"/>
      <c r="Z619" s="1280"/>
    </row>
    <row r="620" spans="1:26" x14ac:dyDescent="0.6">
      <c r="A620" s="1280"/>
      <c r="N620" s="1399"/>
      <c r="O620" s="1280"/>
      <c r="Z620" s="1280"/>
    </row>
    <row r="621" spans="1:26" x14ac:dyDescent="0.6">
      <c r="A621" s="1280"/>
      <c r="N621" s="1399"/>
      <c r="O621" s="1280"/>
      <c r="Z621" s="1280"/>
    </row>
    <row r="622" spans="1:26" x14ac:dyDescent="0.6">
      <c r="A622" s="1280"/>
      <c r="N622" s="1399"/>
      <c r="O622" s="1280"/>
      <c r="Z622" s="1280"/>
    </row>
    <row r="623" spans="1:26" x14ac:dyDescent="0.6">
      <c r="A623" s="1280"/>
      <c r="N623" s="1399"/>
      <c r="O623" s="1280"/>
      <c r="Z623" s="1280"/>
    </row>
    <row r="624" spans="1:26" x14ac:dyDescent="0.6">
      <c r="A624" s="1280"/>
      <c r="N624" s="1399"/>
      <c r="O624" s="1280"/>
      <c r="Z624" s="1280"/>
    </row>
    <row r="625" spans="1:26" x14ac:dyDescent="0.6">
      <c r="A625" s="1280"/>
      <c r="N625" s="1399"/>
      <c r="O625" s="1280"/>
      <c r="Z625" s="1280"/>
    </row>
    <row r="626" spans="1:26" x14ac:dyDescent="0.6">
      <c r="A626" s="1280"/>
      <c r="N626" s="1399"/>
      <c r="O626" s="1280"/>
      <c r="Z626" s="1280"/>
    </row>
    <row r="627" spans="1:26" x14ac:dyDescent="0.6">
      <c r="A627" s="1280"/>
      <c r="N627" s="1399"/>
      <c r="O627" s="1280"/>
      <c r="Z627" s="1280"/>
    </row>
    <row r="628" spans="1:26" x14ac:dyDescent="0.6">
      <c r="A628" s="1280"/>
      <c r="N628" s="1399"/>
      <c r="O628" s="1280"/>
      <c r="Z628" s="1280"/>
    </row>
    <row r="629" spans="1:26" x14ac:dyDescent="0.6">
      <c r="A629" s="1280"/>
      <c r="N629" s="1399"/>
      <c r="O629" s="1280"/>
      <c r="Z629" s="1280"/>
    </row>
    <row r="630" spans="1:26" x14ac:dyDescent="0.6">
      <c r="A630" s="1280"/>
      <c r="N630" s="1399"/>
      <c r="O630" s="1280"/>
      <c r="Z630" s="1280"/>
    </row>
    <row r="631" spans="1:26" x14ac:dyDescent="0.6">
      <c r="A631" s="1280"/>
      <c r="N631" s="1399"/>
      <c r="O631" s="1280"/>
      <c r="Z631" s="1280"/>
    </row>
    <row r="632" spans="1:26" x14ac:dyDescent="0.6">
      <c r="A632" s="1280"/>
      <c r="N632" s="1399"/>
      <c r="O632" s="1280"/>
      <c r="Z632" s="1280"/>
    </row>
    <row r="633" spans="1:26" x14ac:dyDescent="0.6">
      <c r="A633" s="1280"/>
      <c r="N633" s="1399"/>
      <c r="O633" s="1280"/>
      <c r="Z633" s="1280"/>
    </row>
    <row r="634" spans="1:26" x14ac:dyDescent="0.6">
      <c r="A634" s="1280"/>
      <c r="N634" s="1399"/>
      <c r="O634" s="1280"/>
      <c r="Z634" s="1280"/>
    </row>
    <row r="635" spans="1:26" x14ac:dyDescent="0.6">
      <c r="A635" s="1280"/>
      <c r="N635" s="1399"/>
      <c r="O635" s="1280"/>
      <c r="Z635" s="1280"/>
    </row>
    <row r="636" spans="1:26" x14ac:dyDescent="0.6">
      <c r="A636" s="1280"/>
      <c r="N636" s="1399"/>
      <c r="O636" s="1280"/>
      <c r="Z636" s="1280"/>
    </row>
    <row r="637" spans="1:26" x14ac:dyDescent="0.6">
      <c r="A637" s="1280"/>
      <c r="N637" s="1399"/>
      <c r="O637" s="1280"/>
      <c r="Z637" s="1280"/>
    </row>
    <row r="638" spans="1:26" x14ac:dyDescent="0.6">
      <c r="A638" s="1280"/>
      <c r="N638" s="1399"/>
      <c r="O638" s="1280"/>
      <c r="Z638" s="1280"/>
    </row>
    <row r="639" spans="1:26" x14ac:dyDescent="0.6">
      <c r="A639" s="1280"/>
      <c r="N639" s="1399"/>
      <c r="O639" s="1280"/>
      <c r="Z639" s="1280"/>
    </row>
    <row r="640" spans="1:26" x14ac:dyDescent="0.6">
      <c r="A640" s="1280"/>
      <c r="N640" s="1399"/>
      <c r="O640" s="1280"/>
      <c r="Z640" s="1280"/>
    </row>
    <row r="641" spans="1:26" x14ac:dyDescent="0.6">
      <c r="A641" s="1280"/>
      <c r="N641" s="1399"/>
      <c r="O641" s="1280"/>
      <c r="Z641" s="1280"/>
    </row>
    <row r="642" spans="1:26" x14ac:dyDescent="0.6">
      <c r="A642" s="1280"/>
      <c r="N642" s="1399"/>
      <c r="O642" s="1280"/>
      <c r="Z642" s="1280"/>
    </row>
    <row r="643" spans="1:26" x14ac:dyDescent="0.6">
      <c r="A643" s="1280"/>
      <c r="N643" s="1399"/>
      <c r="O643" s="1280"/>
      <c r="Z643" s="1280"/>
    </row>
    <row r="644" spans="1:26" x14ac:dyDescent="0.6">
      <c r="A644" s="1280"/>
      <c r="N644" s="1399"/>
      <c r="O644" s="1280"/>
      <c r="Z644" s="1280"/>
    </row>
    <row r="645" spans="1:26" x14ac:dyDescent="0.6">
      <c r="A645" s="1280"/>
      <c r="N645" s="1399"/>
      <c r="O645" s="1280"/>
      <c r="Z645" s="1280"/>
    </row>
    <row r="646" spans="1:26" x14ac:dyDescent="0.6">
      <c r="A646" s="1280"/>
      <c r="N646" s="1399"/>
      <c r="O646" s="1280"/>
      <c r="Z646" s="1280"/>
    </row>
    <row r="647" spans="1:26" x14ac:dyDescent="0.6">
      <c r="A647" s="1280"/>
      <c r="N647" s="1399"/>
      <c r="O647" s="1280"/>
      <c r="Z647" s="1280"/>
    </row>
    <row r="648" spans="1:26" x14ac:dyDescent="0.6">
      <c r="A648" s="1280"/>
      <c r="N648" s="1399"/>
      <c r="O648" s="1280"/>
      <c r="Z648" s="1280"/>
    </row>
    <row r="649" spans="1:26" x14ac:dyDescent="0.6">
      <c r="A649" s="1280"/>
      <c r="N649" s="1399"/>
      <c r="O649" s="1280"/>
      <c r="Z649" s="1280"/>
    </row>
    <row r="650" spans="1:26" x14ac:dyDescent="0.6">
      <c r="A650" s="1280"/>
      <c r="N650" s="1399"/>
      <c r="O650" s="1280"/>
      <c r="Z650" s="1280"/>
    </row>
    <row r="651" spans="1:26" x14ac:dyDescent="0.6">
      <c r="A651" s="1280"/>
      <c r="N651" s="1399"/>
      <c r="O651" s="1280"/>
      <c r="Z651" s="1280"/>
    </row>
    <row r="652" spans="1:26" x14ac:dyDescent="0.6">
      <c r="A652" s="1280"/>
      <c r="N652" s="1399"/>
      <c r="O652" s="1280"/>
      <c r="Z652" s="1280"/>
    </row>
    <row r="653" spans="1:26" x14ac:dyDescent="0.6">
      <c r="A653" s="1280"/>
      <c r="N653" s="1399"/>
      <c r="O653" s="1280"/>
      <c r="Z653" s="1280"/>
    </row>
    <row r="654" spans="1:26" x14ac:dyDescent="0.6">
      <c r="A654" s="1280"/>
      <c r="N654" s="1399"/>
      <c r="O654" s="1280"/>
      <c r="Z654" s="1280"/>
    </row>
    <row r="655" spans="1:26" x14ac:dyDescent="0.6">
      <c r="A655" s="1280"/>
      <c r="N655" s="1399"/>
      <c r="O655" s="1280"/>
      <c r="Z655" s="1280"/>
    </row>
    <row r="656" spans="1:26" x14ac:dyDescent="0.6">
      <c r="A656" s="1280"/>
      <c r="N656" s="1399"/>
      <c r="O656" s="1280"/>
      <c r="Z656" s="1280"/>
    </row>
    <row r="657" spans="1:26" x14ac:dyDescent="0.6">
      <c r="A657" s="1280"/>
      <c r="N657" s="1399"/>
      <c r="O657" s="1280"/>
      <c r="Z657" s="1280"/>
    </row>
    <row r="658" spans="1:26" x14ac:dyDescent="0.6">
      <c r="A658" s="1280"/>
      <c r="N658" s="1399"/>
      <c r="O658" s="1280"/>
      <c r="Z658" s="1280"/>
    </row>
    <row r="659" spans="1:26" x14ac:dyDescent="0.6">
      <c r="A659" s="1280"/>
      <c r="N659" s="1399"/>
      <c r="O659" s="1280"/>
      <c r="Z659" s="1280"/>
    </row>
    <row r="660" spans="1:26" x14ac:dyDescent="0.6">
      <c r="A660" s="1280"/>
      <c r="N660" s="1399"/>
      <c r="O660" s="1280"/>
      <c r="Z660" s="1280"/>
    </row>
    <row r="661" spans="1:26" x14ac:dyDescent="0.6">
      <c r="A661" s="1280"/>
      <c r="N661" s="1399"/>
      <c r="O661" s="1280"/>
      <c r="Z661" s="1280"/>
    </row>
    <row r="662" spans="1:26" x14ac:dyDescent="0.6">
      <c r="A662" s="1280"/>
      <c r="N662" s="1399"/>
      <c r="O662" s="1280"/>
      <c r="Z662" s="1280"/>
    </row>
    <row r="663" spans="1:26" x14ac:dyDescent="0.6">
      <c r="A663" s="1280"/>
      <c r="N663" s="1399"/>
      <c r="O663" s="1280"/>
      <c r="Z663" s="1280"/>
    </row>
    <row r="664" spans="1:26" x14ac:dyDescent="0.6">
      <c r="A664" s="1280"/>
      <c r="N664" s="1399"/>
      <c r="O664" s="1280"/>
      <c r="Z664" s="1280"/>
    </row>
    <row r="665" spans="1:26" x14ac:dyDescent="0.6">
      <c r="A665" s="1280"/>
      <c r="N665" s="1399"/>
      <c r="O665" s="1280"/>
      <c r="Z665" s="1280"/>
    </row>
    <row r="666" spans="1:26" x14ac:dyDescent="0.6">
      <c r="A666" s="1280"/>
      <c r="N666" s="1399"/>
      <c r="O666" s="1280"/>
      <c r="Z666" s="1280"/>
    </row>
    <row r="667" spans="1:26" x14ac:dyDescent="0.6">
      <c r="A667" s="1280"/>
      <c r="N667" s="1399"/>
      <c r="O667" s="1280"/>
      <c r="Z667" s="1280"/>
    </row>
    <row r="668" spans="1:26" x14ac:dyDescent="0.6">
      <c r="A668" s="1280"/>
      <c r="N668" s="1399"/>
      <c r="O668" s="1280"/>
      <c r="Z668" s="1280"/>
    </row>
    <row r="669" spans="1:26" x14ac:dyDescent="0.6">
      <c r="A669" s="1280"/>
      <c r="N669" s="1399"/>
      <c r="O669" s="1280"/>
      <c r="Z669" s="1280"/>
    </row>
    <row r="670" spans="1:26" x14ac:dyDescent="0.6">
      <c r="A670" s="1280"/>
      <c r="N670" s="1399"/>
      <c r="O670" s="1280"/>
      <c r="Z670" s="1280"/>
    </row>
    <row r="671" spans="1:26" x14ac:dyDescent="0.6">
      <c r="A671" s="1280"/>
      <c r="N671" s="1399"/>
      <c r="O671" s="1280"/>
      <c r="Z671" s="1280"/>
    </row>
    <row r="672" spans="1:26" x14ac:dyDescent="0.6">
      <c r="A672" s="1280"/>
      <c r="N672" s="1399"/>
      <c r="O672" s="1280"/>
      <c r="Z672" s="1280"/>
    </row>
    <row r="673" spans="1:26" x14ac:dyDescent="0.6">
      <c r="A673" s="1280"/>
      <c r="N673" s="1399"/>
      <c r="O673" s="1280"/>
      <c r="Z673" s="1280"/>
    </row>
    <row r="674" spans="1:26" x14ac:dyDescent="0.6">
      <c r="A674" s="1280"/>
      <c r="N674" s="1399"/>
      <c r="O674" s="1280"/>
      <c r="Z674" s="1280"/>
    </row>
    <row r="675" spans="1:26" x14ac:dyDescent="0.6">
      <c r="A675" s="1280"/>
      <c r="N675" s="1399"/>
      <c r="O675" s="1280"/>
      <c r="Z675" s="1280"/>
    </row>
    <row r="676" spans="1:26" x14ac:dyDescent="0.6">
      <c r="A676" s="1280"/>
      <c r="N676" s="1399"/>
      <c r="O676" s="1280"/>
      <c r="Z676" s="1280"/>
    </row>
    <row r="677" spans="1:26" x14ac:dyDescent="0.6">
      <c r="A677" s="1280"/>
      <c r="N677" s="1399"/>
      <c r="O677" s="1280"/>
      <c r="Z677" s="1280"/>
    </row>
    <row r="678" spans="1:26" x14ac:dyDescent="0.6">
      <c r="A678" s="1280"/>
      <c r="N678" s="1399"/>
      <c r="O678" s="1280"/>
      <c r="Z678" s="1280"/>
    </row>
    <row r="679" spans="1:26" x14ac:dyDescent="0.6">
      <c r="A679" s="1280"/>
      <c r="N679" s="1399"/>
      <c r="O679" s="1280"/>
      <c r="Z679" s="1280"/>
    </row>
    <row r="680" spans="1:26" x14ac:dyDescent="0.6">
      <c r="A680" s="1280"/>
      <c r="N680" s="1399"/>
      <c r="O680" s="1280"/>
      <c r="Z680" s="1280"/>
    </row>
    <row r="681" spans="1:26" x14ac:dyDescent="0.6">
      <c r="A681" s="1280"/>
      <c r="N681" s="1399"/>
      <c r="O681" s="1280"/>
      <c r="Z681" s="1280"/>
    </row>
    <row r="682" spans="1:26" x14ac:dyDescent="0.6">
      <c r="A682" s="1280"/>
      <c r="N682" s="1399"/>
      <c r="O682" s="1280"/>
      <c r="Z682" s="1280"/>
    </row>
    <row r="683" spans="1:26" x14ac:dyDescent="0.6">
      <c r="A683" s="1280"/>
      <c r="N683" s="1399"/>
      <c r="O683" s="1280"/>
      <c r="Z683" s="1280"/>
    </row>
    <row r="684" spans="1:26" x14ac:dyDescent="0.6">
      <c r="A684" s="1280"/>
      <c r="N684" s="1399"/>
      <c r="O684" s="1280"/>
      <c r="Z684" s="1280"/>
    </row>
    <row r="685" spans="1:26" x14ac:dyDescent="0.6">
      <c r="A685" s="1280"/>
      <c r="N685" s="1399"/>
      <c r="O685" s="1280"/>
      <c r="Z685" s="1280"/>
    </row>
    <row r="686" spans="1:26" x14ac:dyDescent="0.6">
      <c r="A686" s="1280"/>
      <c r="N686" s="1399"/>
      <c r="O686" s="1280"/>
      <c r="Z686" s="1280"/>
    </row>
    <row r="687" spans="1:26" x14ac:dyDescent="0.6">
      <c r="A687" s="1280"/>
      <c r="N687" s="1399"/>
      <c r="O687" s="1280"/>
      <c r="Z687" s="1280"/>
    </row>
    <row r="688" spans="1:26" x14ac:dyDescent="0.6">
      <c r="A688" s="1280"/>
      <c r="N688" s="1399"/>
      <c r="O688" s="1280"/>
      <c r="Z688" s="1280"/>
    </row>
    <row r="689" spans="1:26" x14ac:dyDescent="0.6">
      <c r="A689" s="1280"/>
      <c r="N689" s="1399"/>
      <c r="O689" s="1280"/>
      <c r="Z689" s="1280"/>
    </row>
    <row r="690" spans="1:26" x14ac:dyDescent="0.6">
      <c r="A690" s="1280"/>
      <c r="N690" s="1399"/>
      <c r="O690" s="1280"/>
      <c r="Z690" s="1280"/>
    </row>
    <row r="691" spans="1:26" x14ac:dyDescent="0.6">
      <c r="A691" s="1280"/>
      <c r="N691" s="1399"/>
      <c r="O691" s="1280"/>
      <c r="Z691" s="1280"/>
    </row>
    <row r="692" spans="1:26" x14ac:dyDescent="0.6">
      <c r="A692" s="1280"/>
      <c r="N692" s="1399"/>
      <c r="O692" s="1280"/>
      <c r="Z692" s="1280"/>
    </row>
    <row r="693" spans="1:26" x14ac:dyDescent="0.6">
      <c r="A693" s="1280"/>
      <c r="N693" s="1399"/>
      <c r="O693" s="1280"/>
      <c r="Z693" s="1280"/>
    </row>
    <row r="694" spans="1:26" x14ac:dyDescent="0.6">
      <c r="A694" s="1280"/>
      <c r="N694" s="1399"/>
      <c r="O694" s="1280"/>
      <c r="Z694" s="1280"/>
    </row>
    <row r="695" spans="1:26" x14ac:dyDescent="0.6">
      <c r="A695" s="1280"/>
      <c r="N695" s="1399"/>
      <c r="O695" s="1280"/>
      <c r="Z695" s="1280"/>
    </row>
    <row r="696" spans="1:26" x14ac:dyDescent="0.6">
      <c r="A696" s="1280"/>
      <c r="N696" s="1399"/>
      <c r="O696" s="1280"/>
      <c r="Z696" s="1280"/>
    </row>
    <row r="697" spans="1:26" x14ac:dyDescent="0.6">
      <c r="A697" s="1280"/>
      <c r="N697" s="1399"/>
      <c r="O697" s="1280"/>
      <c r="Z697" s="1280"/>
    </row>
    <row r="698" spans="1:26" x14ac:dyDescent="0.6">
      <c r="A698" s="1280"/>
      <c r="N698" s="1399"/>
      <c r="O698" s="1280"/>
      <c r="Z698" s="1280"/>
    </row>
    <row r="699" spans="1:26" x14ac:dyDescent="0.6">
      <c r="A699" s="1280"/>
      <c r="N699" s="1399"/>
      <c r="O699" s="1280"/>
      <c r="Z699" s="1280"/>
    </row>
    <row r="700" spans="1:26" x14ac:dyDescent="0.6">
      <c r="A700" s="1280"/>
      <c r="N700" s="1399"/>
      <c r="O700" s="1280"/>
      <c r="Z700" s="1280"/>
    </row>
    <row r="701" spans="1:26" x14ac:dyDescent="0.6">
      <c r="A701" s="1280"/>
      <c r="N701" s="1399"/>
      <c r="O701" s="1280"/>
      <c r="Z701" s="1280"/>
    </row>
    <row r="702" spans="1:26" x14ac:dyDescent="0.6">
      <c r="A702" s="1280"/>
      <c r="N702" s="1399"/>
      <c r="O702" s="1280"/>
      <c r="Z702" s="1280"/>
    </row>
    <row r="703" spans="1:26" x14ac:dyDescent="0.6">
      <c r="A703" s="1280"/>
      <c r="N703" s="1399"/>
      <c r="O703" s="1280"/>
      <c r="Z703" s="1280"/>
    </row>
    <row r="704" spans="1:26" x14ac:dyDescent="0.6">
      <c r="A704" s="1280"/>
      <c r="N704" s="1399"/>
      <c r="O704" s="1280"/>
      <c r="Z704" s="1280"/>
    </row>
    <row r="705" spans="1:26" x14ac:dyDescent="0.6">
      <c r="A705" s="1280"/>
      <c r="N705" s="1399"/>
      <c r="O705" s="1280"/>
      <c r="Z705" s="1280"/>
    </row>
    <row r="706" spans="1:26" x14ac:dyDescent="0.6">
      <c r="A706" s="1280"/>
      <c r="N706" s="1399"/>
      <c r="O706" s="1280"/>
      <c r="Z706" s="1280"/>
    </row>
    <row r="707" spans="1:26" x14ac:dyDescent="0.6">
      <c r="A707" s="1280"/>
      <c r="N707" s="1399"/>
      <c r="O707" s="1280"/>
      <c r="Z707" s="1280"/>
    </row>
    <row r="708" spans="1:26" x14ac:dyDescent="0.6">
      <c r="A708" s="1280"/>
      <c r="N708" s="1399"/>
      <c r="O708" s="1280"/>
      <c r="Z708" s="1280"/>
    </row>
    <row r="709" spans="1:26" x14ac:dyDescent="0.6">
      <c r="A709" s="1280"/>
      <c r="N709" s="1399"/>
      <c r="O709" s="1280"/>
      <c r="Z709" s="1280"/>
    </row>
    <row r="710" spans="1:26" x14ac:dyDescent="0.6">
      <c r="A710" s="1280"/>
      <c r="N710" s="1399"/>
      <c r="O710" s="1280"/>
      <c r="Z710" s="1280"/>
    </row>
    <row r="711" spans="1:26" x14ac:dyDescent="0.6">
      <c r="A711" s="1280"/>
      <c r="N711" s="1399"/>
      <c r="O711" s="1280"/>
      <c r="Z711" s="1280"/>
    </row>
    <row r="712" spans="1:26" x14ac:dyDescent="0.6">
      <c r="A712" s="1280"/>
      <c r="N712" s="1399"/>
      <c r="O712" s="1280"/>
      <c r="Z712" s="1280"/>
    </row>
    <row r="713" spans="1:26" x14ac:dyDescent="0.6">
      <c r="A713" s="1280"/>
      <c r="N713" s="1399"/>
      <c r="O713" s="1280"/>
      <c r="Z713" s="1280"/>
    </row>
    <row r="714" spans="1:26" x14ac:dyDescent="0.6">
      <c r="A714" s="1280"/>
      <c r="N714" s="1399"/>
      <c r="O714" s="1280"/>
      <c r="Z714" s="1280"/>
    </row>
    <row r="715" spans="1:26" x14ac:dyDescent="0.6">
      <c r="A715" s="1280"/>
      <c r="N715" s="1399"/>
      <c r="O715" s="1280"/>
      <c r="Z715" s="1280"/>
    </row>
    <row r="716" spans="1:26" x14ac:dyDescent="0.6">
      <c r="A716" s="1280"/>
      <c r="N716" s="1399"/>
      <c r="O716" s="1280"/>
      <c r="Z716" s="1280"/>
    </row>
    <row r="717" spans="1:26" x14ac:dyDescent="0.6">
      <c r="A717" s="1280"/>
      <c r="N717" s="1399"/>
      <c r="O717" s="1280"/>
      <c r="Z717" s="1280"/>
    </row>
    <row r="718" spans="1:26" x14ac:dyDescent="0.6">
      <c r="A718" s="1280"/>
      <c r="N718" s="1399"/>
      <c r="O718" s="1280"/>
      <c r="Z718" s="1280"/>
    </row>
    <row r="719" spans="1:26" x14ac:dyDescent="0.6">
      <c r="A719" s="1280"/>
      <c r="N719" s="1399"/>
      <c r="O719" s="1280"/>
      <c r="Z719" s="1280"/>
    </row>
    <row r="720" spans="1:26" x14ac:dyDescent="0.6">
      <c r="A720" s="1280"/>
      <c r="N720" s="1399"/>
      <c r="O720" s="1280"/>
      <c r="Z720" s="1280"/>
    </row>
    <row r="721" spans="1:26" x14ac:dyDescent="0.6">
      <c r="A721" s="1280"/>
      <c r="N721" s="1399"/>
      <c r="O721" s="1280"/>
      <c r="Z721" s="1280"/>
    </row>
    <row r="722" spans="1:26" x14ac:dyDescent="0.6">
      <c r="A722" s="1280"/>
      <c r="N722" s="1399"/>
      <c r="O722" s="1280"/>
      <c r="Z722" s="1280"/>
    </row>
    <row r="723" spans="1:26" x14ac:dyDescent="0.6">
      <c r="A723" s="1280"/>
      <c r="N723" s="1399"/>
      <c r="O723" s="1280"/>
      <c r="Z723" s="1280"/>
    </row>
    <row r="724" spans="1:26" x14ac:dyDescent="0.6">
      <c r="A724" s="1280"/>
      <c r="N724" s="1399"/>
      <c r="O724" s="1280"/>
      <c r="Z724" s="1280"/>
    </row>
    <row r="725" spans="1:26" x14ac:dyDescent="0.6">
      <c r="A725" s="1280"/>
      <c r="N725" s="1399"/>
      <c r="O725" s="1280"/>
      <c r="Z725" s="1280"/>
    </row>
    <row r="726" spans="1:26" x14ac:dyDescent="0.6">
      <c r="A726" s="1280"/>
      <c r="N726" s="1399"/>
      <c r="O726" s="1280"/>
      <c r="Z726" s="1280"/>
    </row>
    <row r="727" spans="1:26" x14ac:dyDescent="0.6">
      <c r="A727" s="1280"/>
      <c r="N727" s="1399"/>
      <c r="O727" s="1280"/>
      <c r="Z727" s="1280"/>
    </row>
    <row r="728" spans="1:26" x14ac:dyDescent="0.6">
      <c r="A728" s="1280"/>
      <c r="N728" s="1399"/>
      <c r="O728" s="1280"/>
      <c r="Z728" s="1280"/>
    </row>
    <row r="729" spans="1:26" x14ac:dyDescent="0.6">
      <c r="A729" s="1280"/>
      <c r="N729" s="1399"/>
      <c r="O729" s="1280"/>
      <c r="Z729" s="1280"/>
    </row>
    <row r="730" spans="1:26" x14ac:dyDescent="0.6">
      <c r="A730" s="1280"/>
      <c r="N730" s="1399"/>
      <c r="O730" s="1280"/>
      <c r="Z730" s="1280"/>
    </row>
    <row r="731" spans="1:26" x14ac:dyDescent="0.6">
      <c r="A731" s="1280"/>
      <c r="N731" s="1399"/>
      <c r="O731" s="1280"/>
      <c r="Z731" s="1280"/>
    </row>
    <row r="732" spans="1:26" x14ac:dyDescent="0.6">
      <c r="A732" s="1280"/>
      <c r="N732" s="1399"/>
      <c r="O732" s="1280"/>
      <c r="Z732" s="1280"/>
    </row>
    <row r="733" spans="1:26" x14ac:dyDescent="0.6">
      <c r="A733" s="1280"/>
      <c r="N733" s="1399"/>
      <c r="O733" s="1280"/>
      <c r="Z733" s="1280"/>
    </row>
    <row r="734" spans="1:26" x14ac:dyDescent="0.6">
      <c r="A734" s="1280"/>
      <c r="N734" s="1399"/>
      <c r="O734" s="1280"/>
      <c r="Z734" s="1280"/>
    </row>
    <row r="735" spans="1:26" x14ac:dyDescent="0.6">
      <c r="A735" s="1280"/>
      <c r="N735" s="1399"/>
      <c r="O735" s="1280"/>
      <c r="Z735" s="1280"/>
    </row>
  </sheetData>
  <protectedRanges>
    <protectedRange password="CC6F" sqref="B8:B9 B12:B15 B17" name="ช่วง1_5_1_5_1_1_1_1"/>
    <protectedRange password="CC6F" sqref="B16 B11" name="ช่วง1_5_1_5_1_1_4_1"/>
    <protectedRange password="CC6F" sqref="B10" name="ช่วง1_5_1_5_1_1_5_1"/>
    <protectedRange password="CC6F" sqref="B18:B19 B25:B26 B21:B23" name="ช่วง1_5_1_5_1_1_1_1_1"/>
    <protectedRange password="CC6F" sqref="B24 B28" name="ช่วง1_5_1_5_1_1_4_1_1"/>
    <protectedRange password="CC6F" sqref="B27 B20" name="ช่วง1_5_1_5_1_1_5_1_1"/>
    <protectedRange password="CC6F" sqref="B29:B35" name="ช่วง1_5_1_5_1_1_1_1_2"/>
    <protectedRange password="CC6F" sqref="B36" name="ช่วง1_5_1_5_1_1_4_1_2"/>
    <protectedRange password="CC6F" sqref="B38:B39" name="ช่วง1_5_1_5_1_1_1_1_3"/>
    <protectedRange password="CC6F" sqref="B37 B40:B41" name="ช่วง1_5_1_5_1_1_4_1_3"/>
  </protectedRanges>
  <mergeCells count="18">
    <mergeCell ref="X6:X7"/>
    <mergeCell ref="A42:C42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BCF2E-BE80-4CB1-A174-D79CFE5141A8}">
  <sheetPr>
    <pageSetUpPr fitToPage="1"/>
  </sheetPr>
  <dimension ref="A1:AE722"/>
  <sheetViews>
    <sheetView view="pageBreakPreview" zoomScale="90" zoomScaleNormal="90" zoomScaleSheetLayoutView="90" workbookViewId="0">
      <pane ySplit="7" topLeftCell="A14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6" customWidth="1"/>
    <col min="15" max="15" width="11.09765625" style="1460" customWidth="1"/>
    <col min="16" max="16" width="11.09765625" style="1399" hidden="1" customWidth="1"/>
    <col min="17" max="17" width="11.09765625" style="1399" customWidth="1"/>
    <col min="18" max="18" width="11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1" x14ac:dyDescent="0.6">
      <c r="A1" s="1735" t="s">
        <v>9056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1" x14ac:dyDescent="0.6">
      <c r="A4" s="1408" t="s">
        <v>2185</v>
      </c>
      <c r="B4" s="1408" t="s">
        <v>9057</v>
      </c>
      <c r="C4" s="1301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412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31" x14ac:dyDescent="0.6">
      <c r="A5" s="1417"/>
      <c r="B5" s="1417"/>
      <c r="C5" s="1315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31" x14ac:dyDescent="0.6">
      <c r="A6" s="1417"/>
      <c r="B6" s="1417"/>
      <c r="C6" s="1315" t="s">
        <v>7786</v>
      </c>
      <c r="D6" s="1423" t="s">
        <v>7787</v>
      </c>
      <c r="E6" s="1412" t="s">
        <v>7788</v>
      </c>
      <c r="F6" s="1423" t="s">
        <v>7789</v>
      </c>
      <c r="G6" s="1412" t="s">
        <v>7790</v>
      </c>
      <c r="H6" s="1423" t="s">
        <v>7791</v>
      </c>
      <c r="I6" s="1412" t="s">
        <v>7792</v>
      </c>
      <c r="J6" s="1418" t="s">
        <v>7793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31" x14ac:dyDescent="0.6">
      <c r="A7" s="1425"/>
      <c r="B7" s="1425"/>
      <c r="C7" s="1330" t="s">
        <v>7796</v>
      </c>
      <c r="D7" s="1426"/>
      <c r="E7" s="1427"/>
      <c r="F7" s="1426"/>
      <c r="G7" s="1427"/>
      <c r="H7" s="1426"/>
      <c r="I7" s="1427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31" s="1359" customFormat="1" ht="20.25" customHeight="1" x14ac:dyDescent="0.25">
      <c r="A8" s="1279">
        <v>1</v>
      </c>
      <c r="B8" s="1211" t="s">
        <v>9058</v>
      </c>
      <c r="C8" s="1383" t="s">
        <v>8052</v>
      </c>
      <c r="D8" s="1343">
        <v>3</v>
      </c>
      <c r="E8" s="1378">
        <v>600</v>
      </c>
      <c r="F8" s="1356">
        <v>0</v>
      </c>
      <c r="G8" s="1385">
        <v>0</v>
      </c>
      <c r="H8" s="1356">
        <v>1</v>
      </c>
      <c r="I8" s="1356">
        <f t="shared" ref="I8:I28" si="0">H8*N8</f>
        <v>200</v>
      </c>
      <c r="J8" s="1361">
        <v>11</v>
      </c>
      <c r="K8" s="1362">
        <v>1</v>
      </c>
      <c r="L8" s="1350">
        <f>K8*N8</f>
        <v>200</v>
      </c>
      <c r="M8" s="1351">
        <f>J8-K8</f>
        <v>10</v>
      </c>
      <c r="N8" s="1363">
        <v>200</v>
      </c>
      <c r="O8" s="1353">
        <f t="shared" ref="O8:O14" si="1">M8*N8</f>
        <v>2000</v>
      </c>
      <c r="P8" s="1350">
        <v>10</v>
      </c>
      <c r="Q8" s="1354">
        <f t="shared" ref="Q8:Q14" si="2">P8*N8</f>
        <v>2000</v>
      </c>
      <c r="R8" s="1356">
        <v>0</v>
      </c>
      <c r="S8" s="1355">
        <f t="shared" ref="S8:S14" si="3">R8*N8</f>
        <v>0</v>
      </c>
      <c r="T8" s="1350">
        <v>0</v>
      </c>
      <c r="U8" s="1355">
        <f t="shared" ref="U8:U14" si="4">T8*N8</f>
        <v>0</v>
      </c>
      <c r="V8" s="1356">
        <v>0</v>
      </c>
      <c r="W8" s="1355">
        <f t="shared" ref="W8:W14" si="5">V8*N8</f>
        <v>0</v>
      </c>
      <c r="X8" s="1356">
        <f>P8+R8+T8+V8</f>
        <v>10</v>
      </c>
      <c r="Y8" s="1356">
        <f t="shared" ref="Y8:Y14" si="6">X8*N8</f>
        <v>2000</v>
      </c>
      <c r="Z8" s="1357" t="s">
        <v>7799</v>
      </c>
      <c r="AA8" s="1358" t="s">
        <v>6531</v>
      </c>
      <c r="AB8" s="1359" t="str">
        <f t="shared" ref="AB8:AB29" si="7">IF(O8=Y8,"yes")</f>
        <v>yes</v>
      </c>
      <c r="AC8" s="1388" t="str">
        <f t="shared" ref="AC8:AC29" si="8">IF(O8=Y8,"ok")</f>
        <v>ok</v>
      </c>
    </row>
    <row r="9" spans="1:31" s="1359" customFormat="1" ht="20.25" customHeight="1" x14ac:dyDescent="0.25">
      <c r="A9" s="1279">
        <v>2</v>
      </c>
      <c r="B9" s="1211" t="s">
        <v>9059</v>
      </c>
      <c r="C9" s="1383" t="s">
        <v>7808</v>
      </c>
      <c r="D9" s="1345">
        <v>5</v>
      </c>
      <c r="E9" s="1378">
        <v>321</v>
      </c>
      <c r="F9" s="1356">
        <v>26</v>
      </c>
      <c r="G9" s="1385">
        <v>1430</v>
      </c>
      <c r="H9" s="1356">
        <v>18</v>
      </c>
      <c r="I9" s="1356">
        <f t="shared" si="0"/>
        <v>1800</v>
      </c>
      <c r="J9" s="1361">
        <v>12</v>
      </c>
      <c r="K9" s="1362">
        <v>2</v>
      </c>
      <c r="L9" s="1350">
        <f t="shared" ref="L9:L28" si="9">K9*N9</f>
        <v>200</v>
      </c>
      <c r="M9" s="1351">
        <f t="shared" ref="M9:M28" si="10">J9-K9</f>
        <v>10</v>
      </c>
      <c r="N9" s="1363">
        <v>100</v>
      </c>
      <c r="O9" s="1353">
        <f t="shared" si="1"/>
        <v>1000</v>
      </c>
      <c r="P9" s="1356">
        <v>5</v>
      </c>
      <c r="Q9" s="1354">
        <f t="shared" si="2"/>
        <v>500</v>
      </c>
      <c r="R9" s="1350">
        <v>0</v>
      </c>
      <c r="S9" s="1355">
        <f t="shared" si="3"/>
        <v>0</v>
      </c>
      <c r="T9" s="1356">
        <v>5</v>
      </c>
      <c r="U9" s="1355">
        <f t="shared" si="4"/>
        <v>500</v>
      </c>
      <c r="V9" s="1350">
        <v>0</v>
      </c>
      <c r="W9" s="1355">
        <f t="shared" si="5"/>
        <v>0</v>
      </c>
      <c r="X9" s="1356">
        <f t="shared" ref="X9:X28" si="11">P9+R9+T9+V9</f>
        <v>10</v>
      </c>
      <c r="Y9" s="1356">
        <f t="shared" si="6"/>
        <v>1000</v>
      </c>
      <c r="Z9" s="1357" t="s">
        <v>7799</v>
      </c>
      <c r="AA9" s="1358" t="s">
        <v>6531</v>
      </c>
      <c r="AB9" s="1359" t="str">
        <f t="shared" si="7"/>
        <v>yes</v>
      </c>
      <c r="AC9" s="1388" t="str">
        <f t="shared" si="8"/>
        <v>ok</v>
      </c>
    </row>
    <row r="10" spans="1:31" s="1359" customFormat="1" ht="20.25" customHeight="1" x14ac:dyDescent="0.25">
      <c r="A10" s="1279">
        <v>3</v>
      </c>
      <c r="B10" s="1211" t="s">
        <v>9060</v>
      </c>
      <c r="C10" s="1383" t="s">
        <v>8052</v>
      </c>
      <c r="D10" s="1345">
        <v>4</v>
      </c>
      <c r="E10" s="1378">
        <v>800</v>
      </c>
      <c r="F10" s="1356">
        <v>0</v>
      </c>
      <c r="G10" s="1385">
        <v>0</v>
      </c>
      <c r="H10" s="1356">
        <v>2</v>
      </c>
      <c r="I10" s="1356">
        <f t="shared" si="0"/>
        <v>400</v>
      </c>
      <c r="J10" s="1361">
        <v>10</v>
      </c>
      <c r="K10" s="1362">
        <v>0</v>
      </c>
      <c r="L10" s="1350">
        <f t="shared" si="9"/>
        <v>0</v>
      </c>
      <c r="M10" s="1351">
        <f t="shared" si="10"/>
        <v>10</v>
      </c>
      <c r="N10" s="1363">
        <v>200</v>
      </c>
      <c r="O10" s="1353">
        <f t="shared" si="1"/>
        <v>2000</v>
      </c>
      <c r="P10" s="1350">
        <v>5</v>
      </c>
      <c r="Q10" s="1354">
        <f t="shared" si="2"/>
        <v>1000</v>
      </c>
      <c r="R10" s="1350">
        <v>0</v>
      </c>
      <c r="S10" s="1355">
        <f t="shared" si="3"/>
        <v>0</v>
      </c>
      <c r="T10" s="1356">
        <v>5</v>
      </c>
      <c r="U10" s="1355">
        <f t="shared" si="4"/>
        <v>1000</v>
      </c>
      <c r="V10" s="1356">
        <v>0</v>
      </c>
      <c r="W10" s="1355">
        <f t="shared" si="5"/>
        <v>0</v>
      </c>
      <c r="X10" s="1356">
        <f t="shared" si="11"/>
        <v>10</v>
      </c>
      <c r="Y10" s="1356">
        <f t="shared" si="6"/>
        <v>2000</v>
      </c>
      <c r="Z10" s="1357" t="s">
        <v>7799</v>
      </c>
      <c r="AA10" s="1358" t="s">
        <v>6531</v>
      </c>
      <c r="AB10" s="1359" t="str">
        <f t="shared" si="7"/>
        <v>yes</v>
      </c>
      <c r="AC10" s="1388" t="str">
        <f t="shared" si="8"/>
        <v>ok</v>
      </c>
    </row>
    <row r="11" spans="1:31" s="1359" customFormat="1" ht="20.25" customHeight="1" x14ac:dyDescent="0.25">
      <c r="A11" s="1279">
        <v>4</v>
      </c>
      <c r="B11" s="1211" t="s">
        <v>9061</v>
      </c>
      <c r="C11" s="1383" t="s">
        <v>8052</v>
      </c>
      <c r="D11" s="1345">
        <v>3</v>
      </c>
      <c r="E11" s="1378">
        <v>750</v>
      </c>
      <c r="F11" s="1356">
        <v>0</v>
      </c>
      <c r="G11" s="1385">
        <v>0</v>
      </c>
      <c r="H11" s="1356">
        <v>1</v>
      </c>
      <c r="I11" s="1356">
        <f t="shared" si="0"/>
        <v>250</v>
      </c>
      <c r="J11" s="1361">
        <v>10</v>
      </c>
      <c r="K11" s="1362">
        <v>0</v>
      </c>
      <c r="L11" s="1350">
        <f t="shared" si="9"/>
        <v>0</v>
      </c>
      <c r="M11" s="1351">
        <f t="shared" si="10"/>
        <v>10</v>
      </c>
      <c r="N11" s="1363">
        <v>250</v>
      </c>
      <c r="O11" s="1353">
        <f t="shared" si="1"/>
        <v>2500</v>
      </c>
      <c r="P11" s="1350">
        <v>5</v>
      </c>
      <c r="Q11" s="1354">
        <f t="shared" si="2"/>
        <v>1250</v>
      </c>
      <c r="R11" s="1350">
        <v>0</v>
      </c>
      <c r="S11" s="1355">
        <f t="shared" si="3"/>
        <v>0</v>
      </c>
      <c r="T11" s="1356">
        <v>5</v>
      </c>
      <c r="U11" s="1355">
        <f t="shared" si="4"/>
        <v>1250</v>
      </c>
      <c r="V11" s="1356">
        <v>0</v>
      </c>
      <c r="W11" s="1355">
        <f t="shared" si="5"/>
        <v>0</v>
      </c>
      <c r="X11" s="1356">
        <f t="shared" si="11"/>
        <v>10</v>
      </c>
      <c r="Y11" s="1356">
        <f t="shared" si="6"/>
        <v>2500</v>
      </c>
      <c r="Z11" s="1357" t="s">
        <v>7799</v>
      </c>
      <c r="AA11" s="1358" t="s">
        <v>6531</v>
      </c>
      <c r="AB11" s="1359" t="str">
        <f t="shared" si="7"/>
        <v>yes</v>
      </c>
      <c r="AC11" s="1388" t="str">
        <f t="shared" si="8"/>
        <v>ok</v>
      </c>
    </row>
    <row r="12" spans="1:31" s="1359" customFormat="1" ht="20.25" customHeight="1" x14ac:dyDescent="0.25">
      <c r="A12" s="1279">
        <v>5</v>
      </c>
      <c r="B12" s="1211" t="s">
        <v>9062</v>
      </c>
      <c r="C12" s="1383" t="s">
        <v>7895</v>
      </c>
      <c r="D12" s="1345">
        <v>5</v>
      </c>
      <c r="E12" s="1378">
        <v>220</v>
      </c>
      <c r="F12" s="1356">
        <v>5</v>
      </c>
      <c r="G12" s="1385">
        <v>225</v>
      </c>
      <c r="H12" s="1356">
        <v>2</v>
      </c>
      <c r="I12" s="1356">
        <f t="shared" si="0"/>
        <v>88</v>
      </c>
      <c r="J12" s="1361">
        <v>10</v>
      </c>
      <c r="K12" s="1362">
        <v>0</v>
      </c>
      <c r="L12" s="1350">
        <f t="shared" si="9"/>
        <v>0</v>
      </c>
      <c r="M12" s="1351">
        <f t="shared" si="10"/>
        <v>10</v>
      </c>
      <c r="N12" s="1363">
        <v>44</v>
      </c>
      <c r="O12" s="1353">
        <f t="shared" si="1"/>
        <v>440</v>
      </c>
      <c r="P12" s="1350">
        <v>5</v>
      </c>
      <c r="Q12" s="1354">
        <f t="shared" si="2"/>
        <v>220</v>
      </c>
      <c r="R12" s="1350">
        <v>0</v>
      </c>
      <c r="S12" s="1355">
        <f t="shared" si="3"/>
        <v>0</v>
      </c>
      <c r="T12" s="1356">
        <v>5</v>
      </c>
      <c r="U12" s="1355">
        <f t="shared" si="4"/>
        <v>220</v>
      </c>
      <c r="V12" s="1356">
        <v>0</v>
      </c>
      <c r="W12" s="1355">
        <f t="shared" si="5"/>
        <v>0</v>
      </c>
      <c r="X12" s="1356">
        <f t="shared" si="11"/>
        <v>10</v>
      </c>
      <c r="Y12" s="1356">
        <f t="shared" si="6"/>
        <v>440</v>
      </c>
      <c r="Z12" s="1357" t="s">
        <v>7799</v>
      </c>
      <c r="AA12" s="1358" t="s">
        <v>6531</v>
      </c>
      <c r="AB12" s="1359" t="str">
        <f t="shared" si="7"/>
        <v>yes</v>
      </c>
      <c r="AC12" s="1388" t="str">
        <f t="shared" si="8"/>
        <v>ok</v>
      </c>
    </row>
    <row r="13" spans="1:31" s="1359" customFormat="1" ht="20.25" customHeight="1" x14ac:dyDescent="0.25">
      <c r="A13" s="1279">
        <v>6</v>
      </c>
      <c r="B13" s="1211" t="s">
        <v>9063</v>
      </c>
      <c r="C13" s="1383" t="s">
        <v>9064</v>
      </c>
      <c r="D13" s="1345">
        <v>2</v>
      </c>
      <c r="E13" s="1378">
        <v>2940</v>
      </c>
      <c r="F13" s="1356">
        <v>3</v>
      </c>
      <c r="G13" s="1385">
        <v>2520</v>
      </c>
      <c r="H13" s="1356">
        <v>3</v>
      </c>
      <c r="I13" s="1356">
        <f t="shared" si="0"/>
        <v>3450</v>
      </c>
      <c r="J13" s="1361">
        <v>2</v>
      </c>
      <c r="K13" s="1362">
        <v>0</v>
      </c>
      <c r="L13" s="1350">
        <f t="shared" si="9"/>
        <v>0</v>
      </c>
      <c r="M13" s="1351">
        <f t="shared" si="10"/>
        <v>2</v>
      </c>
      <c r="N13" s="1363">
        <v>1150</v>
      </c>
      <c r="O13" s="1353">
        <f t="shared" si="1"/>
        <v>2300</v>
      </c>
      <c r="P13" s="1350">
        <v>1</v>
      </c>
      <c r="Q13" s="1354">
        <f t="shared" si="2"/>
        <v>1150</v>
      </c>
      <c r="R13" s="1350">
        <v>0</v>
      </c>
      <c r="S13" s="1355">
        <f t="shared" si="3"/>
        <v>0</v>
      </c>
      <c r="T13" s="1356">
        <v>1</v>
      </c>
      <c r="U13" s="1355">
        <f t="shared" si="4"/>
        <v>1150</v>
      </c>
      <c r="V13" s="1356">
        <v>0</v>
      </c>
      <c r="W13" s="1355">
        <f t="shared" si="5"/>
        <v>0</v>
      </c>
      <c r="X13" s="1356">
        <f t="shared" si="11"/>
        <v>2</v>
      </c>
      <c r="Y13" s="1356">
        <f t="shared" si="6"/>
        <v>2300</v>
      </c>
      <c r="Z13" s="1357" t="s">
        <v>7799</v>
      </c>
      <c r="AA13" s="1358" t="s">
        <v>6531</v>
      </c>
      <c r="AB13" s="1359" t="str">
        <f t="shared" si="7"/>
        <v>yes</v>
      </c>
      <c r="AC13" s="1388" t="str">
        <f t="shared" si="8"/>
        <v>ok</v>
      </c>
    </row>
    <row r="14" spans="1:31" s="1359" customFormat="1" ht="20.25" customHeight="1" x14ac:dyDescent="0.25">
      <c r="A14" s="1279">
        <v>7</v>
      </c>
      <c r="B14" s="1211" t="s">
        <v>9065</v>
      </c>
      <c r="C14" s="1383" t="s">
        <v>7841</v>
      </c>
      <c r="D14" s="1345">
        <v>10</v>
      </c>
      <c r="E14" s="1378">
        <v>1600</v>
      </c>
      <c r="F14" s="1356">
        <v>17</v>
      </c>
      <c r="G14" s="1385">
        <v>2805</v>
      </c>
      <c r="H14" s="1356">
        <v>13</v>
      </c>
      <c r="I14" s="1356">
        <f t="shared" si="0"/>
        <v>1755</v>
      </c>
      <c r="J14" s="1361">
        <v>20</v>
      </c>
      <c r="K14" s="1362">
        <v>0</v>
      </c>
      <c r="L14" s="1350">
        <f t="shared" si="9"/>
        <v>0</v>
      </c>
      <c r="M14" s="1351">
        <f t="shared" si="10"/>
        <v>20</v>
      </c>
      <c r="N14" s="1363">
        <v>135</v>
      </c>
      <c r="O14" s="1353">
        <f t="shared" si="1"/>
        <v>2700</v>
      </c>
      <c r="P14" s="1356">
        <v>10</v>
      </c>
      <c r="Q14" s="1354">
        <f t="shared" si="2"/>
        <v>1350</v>
      </c>
      <c r="R14" s="1350">
        <v>0</v>
      </c>
      <c r="S14" s="1355">
        <f t="shared" si="3"/>
        <v>0</v>
      </c>
      <c r="T14" s="1356">
        <v>10</v>
      </c>
      <c r="U14" s="1355">
        <f t="shared" si="4"/>
        <v>1350</v>
      </c>
      <c r="V14" s="1350">
        <v>0</v>
      </c>
      <c r="W14" s="1355">
        <f t="shared" si="5"/>
        <v>0</v>
      </c>
      <c r="X14" s="1356">
        <f t="shared" si="11"/>
        <v>20</v>
      </c>
      <c r="Y14" s="1356">
        <f t="shared" si="6"/>
        <v>2700</v>
      </c>
      <c r="Z14" s="1357" t="s">
        <v>7799</v>
      </c>
      <c r="AA14" s="1358" t="s">
        <v>6531</v>
      </c>
      <c r="AB14" s="1359" t="str">
        <f t="shared" si="7"/>
        <v>yes</v>
      </c>
      <c r="AC14" s="1388" t="str">
        <f t="shared" si="8"/>
        <v>ok</v>
      </c>
      <c r="AE14" s="1382"/>
    </row>
    <row r="15" spans="1:31" s="1388" customFormat="1" ht="23.25" customHeight="1" x14ac:dyDescent="0.25">
      <c r="A15" s="1279">
        <v>8</v>
      </c>
      <c r="B15" s="1372" t="s">
        <v>9066</v>
      </c>
      <c r="C15" s="1383" t="s">
        <v>7841</v>
      </c>
      <c r="D15" s="1381">
        <v>30</v>
      </c>
      <c r="E15" s="1378">
        <v>4815</v>
      </c>
      <c r="F15" s="1386">
        <v>17</v>
      </c>
      <c r="G15" s="1385">
        <v>2720</v>
      </c>
      <c r="H15" s="1386">
        <v>18</v>
      </c>
      <c r="I15" s="1356">
        <f t="shared" si="0"/>
        <v>3060</v>
      </c>
      <c r="J15" s="1348">
        <v>30</v>
      </c>
      <c r="K15" s="1349">
        <v>10</v>
      </c>
      <c r="L15" s="1350">
        <f t="shared" si="9"/>
        <v>1700</v>
      </c>
      <c r="M15" s="1351">
        <f t="shared" si="10"/>
        <v>20</v>
      </c>
      <c r="N15" s="1352">
        <v>170</v>
      </c>
      <c r="O15" s="1353">
        <f>M15*N15</f>
        <v>3400</v>
      </c>
      <c r="P15" s="1354">
        <v>0</v>
      </c>
      <c r="Q15" s="1354">
        <f>P15*N15</f>
        <v>0</v>
      </c>
      <c r="R15" s="1354">
        <v>10</v>
      </c>
      <c r="S15" s="1355">
        <f>R15*N15</f>
        <v>1700</v>
      </c>
      <c r="T15" s="1354">
        <v>0</v>
      </c>
      <c r="U15" s="1355">
        <f>T15*N15</f>
        <v>0</v>
      </c>
      <c r="V15" s="1354">
        <v>10</v>
      </c>
      <c r="W15" s="1355">
        <f>V15*N15</f>
        <v>1700</v>
      </c>
      <c r="X15" s="1356">
        <f t="shared" si="11"/>
        <v>20</v>
      </c>
      <c r="Y15" s="1356">
        <f>X15*N15</f>
        <v>3400</v>
      </c>
      <c r="Z15" s="1357" t="s">
        <v>7799</v>
      </c>
      <c r="AA15" s="1358" t="s">
        <v>6531</v>
      </c>
      <c r="AB15" s="1359" t="str">
        <f t="shared" si="7"/>
        <v>yes</v>
      </c>
      <c r="AC15" s="1388" t="str">
        <f t="shared" si="8"/>
        <v>ok</v>
      </c>
    </row>
    <row r="16" spans="1:31" s="1359" customFormat="1" ht="20.25" customHeight="1" x14ac:dyDescent="0.25">
      <c r="A16" s="1279">
        <v>9</v>
      </c>
      <c r="B16" s="1211" t="s">
        <v>9067</v>
      </c>
      <c r="C16" s="1383" t="s">
        <v>7841</v>
      </c>
      <c r="D16" s="1343">
        <v>46</v>
      </c>
      <c r="E16" s="1378">
        <v>2707.1</v>
      </c>
      <c r="F16" s="1356">
        <v>28</v>
      </c>
      <c r="G16" s="1385">
        <v>3080</v>
      </c>
      <c r="H16" s="1356">
        <v>35</v>
      </c>
      <c r="I16" s="1356">
        <f t="shared" si="0"/>
        <v>3850</v>
      </c>
      <c r="J16" s="1361">
        <v>51</v>
      </c>
      <c r="K16" s="1362">
        <v>31</v>
      </c>
      <c r="L16" s="1350">
        <f t="shared" si="9"/>
        <v>3410</v>
      </c>
      <c r="M16" s="1351">
        <f t="shared" si="10"/>
        <v>20</v>
      </c>
      <c r="N16" s="1363">
        <v>110</v>
      </c>
      <c r="O16" s="1353">
        <f t="shared" ref="O16:O23" si="12">M16*N16</f>
        <v>2200</v>
      </c>
      <c r="P16" s="1350">
        <v>0</v>
      </c>
      <c r="Q16" s="1354">
        <f t="shared" ref="Q16:Q23" si="13">P16*N16</f>
        <v>0</v>
      </c>
      <c r="R16" s="1350">
        <v>0</v>
      </c>
      <c r="S16" s="1355">
        <f t="shared" ref="S16:S23" si="14">R16*N16</f>
        <v>0</v>
      </c>
      <c r="T16" s="1356">
        <v>10</v>
      </c>
      <c r="U16" s="1355">
        <f t="shared" ref="U16:U23" si="15">T16*N16</f>
        <v>1100</v>
      </c>
      <c r="V16" s="1356">
        <v>10</v>
      </c>
      <c r="W16" s="1355">
        <f t="shared" ref="W16:W23" si="16">V16*N16</f>
        <v>1100</v>
      </c>
      <c r="X16" s="1356">
        <f t="shared" si="11"/>
        <v>20</v>
      </c>
      <c r="Y16" s="1356">
        <f t="shared" ref="Y16:Y23" si="17">X16*N16</f>
        <v>2200</v>
      </c>
      <c r="Z16" s="1357" t="s">
        <v>7799</v>
      </c>
      <c r="AA16" s="1358" t="s">
        <v>6531</v>
      </c>
      <c r="AB16" s="1359" t="str">
        <f t="shared" si="7"/>
        <v>yes</v>
      </c>
      <c r="AC16" s="1388" t="str">
        <f t="shared" si="8"/>
        <v>ok</v>
      </c>
    </row>
    <row r="17" spans="1:31" s="1359" customFormat="1" ht="20.25" customHeight="1" x14ac:dyDescent="0.25">
      <c r="A17" s="1279">
        <v>10</v>
      </c>
      <c r="B17" s="1211" t="s">
        <v>9068</v>
      </c>
      <c r="C17" s="1383" t="s">
        <v>7841</v>
      </c>
      <c r="D17" s="1345">
        <v>15</v>
      </c>
      <c r="E17" s="1378">
        <v>1605</v>
      </c>
      <c r="F17" s="1356">
        <v>26</v>
      </c>
      <c r="G17" s="1385">
        <v>2600</v>
      </c>
      <c r="H17" s="1356">
        <v>46</v>
      </c>
      <c r="I17" s="1356">
        <f t="shared" si="0"/>
        <v>5980</v>
      </c>
      <c r="J17" s="1361">
        <v>52</v>
      </c>
      <c r="K17" s="1362">
        <v>12</v>
      </c>
      <c r="L17" s="1350">
        <f t="shared" si="9"/>
        <v>1560</v>
      </c>
      <c r="M17" s="1351">
        <f t="shared" si="10"/>
        <v>40</v>
      </c>
      <c r="N17" s="1363">
        <v>130</v>
      </c>
      <c r="O17" s="1353">
        <f t="shared" si="12"/>
        <v>5200</v>
      </c>
      <c r="P17" s="1356">
        <v>0</v>
      </c>
      <c r="Q17" s="1354">
        <f t="shared" si="13"/>
        <v>0</v>
      </c>
      <c r="R17" s="1350">
        <v>10</v>
      </c>
      <c r="S17" s="1355">
        <f t="shared" si="14"/>
        <v>1300</v>
      </c>
      <c r="T17" s="1356">
        <v>20</v>
      </c>
      <c r="U17" s="1355">
        <f t="shared" si="15"/>
        <v>2600</v>
      </c>
      <c r="V17" s="1350">
        <v>10</v>
      </c>
      <c r="W17" s="1355">
        <f t="shared" si="16"/>
        <v>1300</v>
      </c>
      <c r="X17" s="1356">
        <f t="shared" si="11"/>
        <v>40</v>
      </c>
      <c r="Y17" s="1356">
        <f t="shared" si="17"/>
        <v>5200</v>
      </c>
      <c r="Z17" s="1357" t="s">
        <v>7799</v>
      </c>
      <c r="AA17" s="1358" t="s">
        <v>6531</v>
      </c>
      <c r="AB17" s="1359" t="str">
        <f t="shared" si="7"/>
        <v>yes</v>
      </c>
      <c r="AC17" s="1388" t="str">
        <f t="shared" si="8"/>
        <v>ok</v>
      </c>
    </row>
    <row r="18" spans="1:31" s="1359" customFormat="1" ht="20.25" customHeight="1" x14ac:dyDescent="0.25">
      <c r="A18" s="1279">
        <v>11</v>
      </c>
      <c r="B18" s="1211" t="s">
        <v>9069</v>
      </c>
      <c r="C18" s="1383" t="s">
        <v>7895</v>
      </c>
      <c r="D18" s="1345">
        <v>5</v>
      </c>
      <c r="E18" s="1378">
        <v>2625</v>
      </c>
      <c r="F18" s="1356">
        <v>2</v>
      </c>
      <c r="G18" s="1385">
        <v>270</v>
      </c>
      <c r="H18" s="1356">
        <v>3</v>
      </c>
      <c r="I18" s="1356">
        <f t="shared" si="0"/>
        <v>750</v>
      </c>
      <c r="J18" s="1361">
        <v>3</v>
      </c>
      <c r="K18" s="1362">
        <v>0</v>
      </c>
      <c r="L18" s="1350">
        <f t="shared" si="9"/>
        <v>0</v>
      </c>
      <c r="M18" s="1351">
        <f t="shared" si="10"/>
        <v>3</v>
      </c>
      <c r="N18" s="1363">
        <v>250</v>
      </c>
      <c r="O18" s="1353">
        <f t="shared" si="12"/>
        <v>750</v>
      </c>
      <c r="P18" s="1350">
        <v>1</v>
      </c>
      <c r="Q18" s="1354">
        <f t="shared" si="13"/>
        <v>250</v>
      </c>
      <c r="R18" s="1350">
        <v>1</v>
      </c>
      <c r="S18" s="1355">
        <f t="shared" si="14"/>
        <v>250</v>
      </c>
      <c r="T18" s="1356">
        <v>0</v>
      </c>
      <c r="U18" s="1355">
        <f t="shared" si="15"/>
        <v>0</v>
      </c>
      <c r="V18" s="1356">
        <v>1</v>
      </c>
      <c r="W18" s="1355">
        <f t="shared" si="16"/>
        <v>250</v>
      </c>
      <c r="X18" s="1356">
        <f t="shared" si="11"/>
        <v>3</v>
      </c>
      <c r="Y18" s="1356">
        <f t="shared" si="17"/>
        <v>750</v>
      </c>
      <c r="Z18" s="1357" t="s">
        <v>7799</v>
      </c>
      <c r="AA18" s="1358" t="s">
        <v>6531</v>
      </c>
      <c r="AB18" s="1359" t="str">
        <f t="shared" si="7"/>
        <v>yes</v>
      </c>
      <c r="AC18" s="1388" t="str">
        <f t="shared" si="8"/>
        <v>ok</v>
      </c>
    </row>
    <row r="19" spans="1:31" s="1359" customFormat="1" ht="20.25" customHeight="1" x14ac:dyDescent="0.25">
      <c r="A19" s="1279">
        <v>12</v>
      </c>
      <c r="B19" s="1211" t="s">
        <v>9070</v>
      </c>
      <c r="C19" s="1383" t="s">
        <v>7798</v>
      </c>
      <c r="D19" s="1343">
        <v>8</v>
      </c>
      <c r="E19" s="1378">
        <v>2480</v>
      </c>
      <c r="F19" s="1356">
        <v>3</v>
      </c>
      <c r="G19" s="1385">
        <v>930</v>
      </c>
      <c r="H19" s="1356">
        <v>15</v>
      </c>
      <c r="I19" s="1356">
        <f t="shared" si="0"/>
        <v>6300</v>
      </c>
      <c r="J19" s="1361">
        <v>5</v>
      </c>
      <c r="K19" s="1362">
        <v>0</v>
      </c>
      <c r="L19" s="1350">
        <f t="shared" si="9"/>
        <v>0</v>
      </c>
      <c r="M19" s="1351">
        <f t="shared" si="10"/>
        <v>5</v>
      </c>
      <c r="N19" s="1363">
        <v>420</v>
      </c>
      <c r="O19" s="1353">
        <f t="shared" si="12"/>
        <v>2100</v>
      </c>
      <c r="P19" s="1350">
        <v>5</v>
      </c>
      <c r="Q19" s="1354">
        <f t="shared" si="13"/>
        <v>2100</v>
      </c>
      <c r="R19" s="1350">
        <v>0</v>
      </c>
      <c r="S19" s="1355">
        <f t="shared" si="14"/>
        <v>0</v>
      </c>
      <c r="T19" s="1356">
        <v>0</v>
      </c>
      <c r="U19" s="1355">
        <f t="shared" si="15"/>
        <v>0</v>
      </c>
      <c r="V19" s="1356">
        <v>0</v>
      </c>
      <c r="W19" s="1355">
        <f t="shared" si="16"/>
        <v>0</v>
      </c>
      <c r="X19" s="1356">
        <f t="shared" si="11"/>
        <v>5</v>
      </c>
      <c r="Y19" s="1356">
        <f t="shared" si="17"/>
        <v>2100</v>
      </c>
      <c r="Z19" s="1357" t="s">
        <v>7799</v>
      </c>
      <c r="AA19" s="1358" t="s">
        <v>6531</v>
      </c>
      <c r="AB19" s="1359" t="str">
        <f t="shared" si="7"/>
        <v>yes</v>
      </c>
      <c r="AC19" s="1388" t="str">
        <f t="shared" si="8"/>
        <v>ok</v>
      </c>
    </row>
    <row r="20" spans="1:31" s="1359" customFormat="1" ht="20.25" customHeight="1" x14ac:dyDescent="0.25">
      <c r="A20" s="1279">
        <v>13</v>
      </c>
      <c r="B20" s="1211" t="s">
        <v>9071</v>
      </c>
      <c r="C20" s="1383" t="s">
        <v>7798</v>
      </c>
      <c r="D20" s="1345">
        <v>8</v>
      </c>
      <c r="E20" s="1378">
        <v>3920</v>
      </c>
      <c r="F20" s="1356">
        <v>19</v>
      </c>
      <c r="G20" s="1385">
        <v>9310</v>
      </c>
      <c r="H20" s="1356">
        <v>23</v>
      </c>
      <c r="I20" s="1356">
        <f t="shared" si="0"/>
        <v>11270</v>
      </c>
      <c r="J20" s="1361">
        <v>13</v>
      </c>
      <c r="K20" s="1362">
        <v>3</v>
      </c>
      <c r="L20" s="1350">
        <f t="shared" si="9"/>
        <v>1470</v>
      </c>
      <c r="M20" s="1351">
        <f t="shared" si="10"/>
        <v>10</v>
      </c>
      <c r="N20" s="1363">
        <v>490</v>
      </c>
      <c r="O20" s="1353">
        <f t="shared" si="12"/>
        <v>4900</v>
      </c>
      <c r="P20" s="1350">
        <v>0</v>
      </c>
      <c r="Q20" s="1354">
        <f t="shared" si="13"/>
        <v>0</v>
      </c>
      <c r="R20" s="1350">
        <v>5</v>
      </c>
      <c r="S20" s="1355">
        <f t="shared" si="14"/>
        <v>2450</v>
      </c>
      <c r="T20" s="1356">
        <v>0</v>
      </c>
      <c r="U20" s="1355">
        <f t="shared" si="15"/>
        <v>0</v>
      </c>
      <c r="V20" s="1356">
        <v>5</v>
      </c>
      <c r="W20" s="1355">
        <f t="shared" si="16"/>
        <v>2450</v>
      </c>
      <c r="X20" s="1356">
        <f t="shared" si="11"/>
        <v>10</v>
      </c>
      <c r="Y20" s="1356">
        <f t="shared" si="17"/>
        <v>4900</v>
      </c>
      <c r="Z20" s="1357" t="s">
        <v>7799</v>
      </c>
      <c r="AA20" s="1358" t="s">
        <v>6531</v>
      </c>
      <c r="AB20" s="1359" t="str">
        <f t="shared" si="7"/>
        <v>yes</v>
      </c>
      <c r="AC20" s="1388" t="str">
        <f t="shared" si="8"/>
        <v>ok</v>
      </c>
    </row>
    <row r="21" spans="1:31" s="1359" customFormat="1" ht="20.25" customHeight="1" x14ac:dyDescent="0.25">
      <c r="A21" s="1279">
        <v>14</v>
      </c>
      <c r="B21" s="1211" t="s">
        <v>9072</v>
      </c>
      <c r="C21" s="1383" t="s">
        <v>7798</v>
      </c>
      <c r="D21" s="1345">
        <v>8</v>
      </c>
      <c r="E21" s="1378">
        <v>4080</v>
      </c>
      <c r="F21" s="1356">
        <v>3</v>
      </c>
      <c r="G21" s="1385">
        <v>1530</v>
      </c>
      <c r="H21" s="1356">
        <v>5</v>
      </c>
      <c r="I21" s="1356">
        <f t="shared" si="0"/>
        <v>2600</v>
      </c>
      <c r="J21" s="1361">
        <v>5</v>
      </c>
      <c r="K21" s="1362">
        <v>0</v>
      </c>
      <c r="L21" s="1350">
        <f t="shared" si="9"/>
        <v>0</v>
      </c>
      <c r="M21" s="1351">
        <f t="shared" si="10"/>
        <v>5</v>
      </c>
      <c r="N21" s="1363">
        <v>520</v>
      </c>
      <c r="O21" s="1353">
        <f t="shared" si="12"/>
        <v>2600</v>
      </c>
      <c r="P21" s="1350">
        <v>5</v>
      </c>
      <c r="Q21" s="1354">
        <f t="shared" si="13"/>
        <v>2600</v>
      </c>
      <c r="R21" s="1350">
        <v>0</v>
      </c>
      <c r="S21" s="1355">
        <f t="shared" si="14"/>
        <v>0</v>
      </c>
      <c r="T21" s="1356">
        <v>0</v>
      </c>
      <c r="U21" s="1355">
        <f t="shared" si="15"/>
        <v>0</v>
      </c>
      <c r="V21" s="1356">
        <v>0</v>
      </c>
      <c r="W21" s="1355">
        <f t="shared" si="16"/>
        <v>0</v>
      </c>
      <c r="X21" s="1356">
        <f t="shared" si="11"/>
        <v>5</v>
      </c>
      <c r="Y21" s="1356">
        <f t="shared" si="17"/>
        <v>2600</v>
      </c>
      <c r="Z21" s="1357" t="s">
        <v>7799</v>
      </c>
      <c r="AA21" s="1358" t="s">
        <v>6531</v>
      </c>
      <c r="AB21" s="1359" t="str">
        <f t="shared" si="7"/>
        <v>yes</v>
      </c>
      <c r="AC21" s="1388" t="str">
        <f t="shared" si="8"/>
        <v>ok</v>
      </c>
    </row>
    <row r="22" spans="1:31" s="1359" customFormat="1" ht="20.25" customHeight="1" x14ac:dyDescent="0.25">
      <c r="A22" s="1279">
        <v>15</v>
      </c>
      <c r="B22" s="1211" t="s">
        <v>9073</v>
      </c>
      <c r="C22" s="1383" t="s">
        <v>7798</v>
      </c>
      <c r="D22" s="1345">
        <v>20</v>
      </c>
      <c r="E22" s="1378">
        <v>500</v>
      </c>
      <c r="F22" s="1356">
        <v>38</v>
      </c>
      <c r="G22" s="1385">
        <v>950</v>
      </c>
      <c r="H22" s="1356">
        <v>24</v>
      </c>
      <c r="I22" s="1356">
        <f t="shared" si="0"/>
        <v>600</v>
      </c>
      <c r="J22" s="1361">
        <v>33</v>
      </c>
      <c r="K22" s="1362">
        <v>3</v>
      </c>
      <c r="L22" s="1350">
        <f t="shared" si="9"/>
        <v>75</v>
      </c>
      <c r="M22" s="1351">
        <f t="shared" si="10"/>
        <v>30</v>
      </c>
      <c r="N22" s="1363">
        <v>25</v>
      </c>
      <c r="O22" s="1353">
        <f t="shared" si="12"/>
        <v>750</v>
      </c>
      <c r="P22" s="1356">
        <v>10</v>
      </c>
      <c r="Q22" s="1354">
        <f t="shared" si="13"/>
        <v>250</v>
      </c>
      <c r="R22" s="1350">
        <v>0</v>
      </c>
      <c r="S22" s="1355">
        <f t="shared" si="14"/>
        <v>0</v>
      </c>
      <c r="T22" s="1356">
        <v>10</v>
      </c>
      <c r="U22" s="1355">
        <f t="shared" si="15"/>
        <v>250</v>
      </c>
      <c r="V22" s="1350">
        <v>10</v>
      </c>
      <c r="W22" s="1355">
        <f t="shared" si="16"/>
        <v>250</v>
      </c>
      <c r="X22" s="1356">
        <f t="shared" si="11"/>
        <v>30</v>
      </c>
      <c r="Y22" s="1356">
        <f t="shared" si="17"/>
        <v>750</v>
      </c>
      <c r="Z22" s="1357" t="s">
        <v>7799</v>
      </c>
      <c r="AA22" s="1358" t="s">
        <v>6531</v>
      </c>
      <c r="AB22" s="1359" t="str">
        <f t="shared" si="7"/>
        <v>yes</v>
      </c>
      <c r="AC22" s="1388" t="str">
        <f t="shared" si="8"/>
        <v>ok</v>
      </c>
      <c r="AE22" s="1382"/>
    </row>
    <row r="23" spans="1:31" s="1359" customFormat="1" ht="20.25" customHeight="1" x14ac:dyDescent="0.25">
      <c r="A23" s="1279">
        <v>16</v>
      </c>
      <c r="B23" s="1211" t="s">
        <v>9074</v>
      </c>
      <c r="C23" s="1383" t="s">
        <v>7798</v>
      </c>
      <c r="D23" s="1345">
        <v>20</v>
      </c>
      <c r="E23" s="1378">
        <v>2900</v>
      </c>
      <c r="F23" s="1356">
        <v>38</v>
      </c>
      <c r="G23" s="1385">
        <v>5510</v>
      </c>
      <c r="H23" s="1356">
        <v>23</v>
      </c>
      <c r="I23" s="1356">
        <f t="shared" si="0"/>
        <v>3565</v>
      </c>
      <c r="J23" s="1361">
        <v>35</v>
      </c>
      <c r="K23" s="1362">
        <v>5</v>
      </c>
      <c r="L23" s="1350">
        <f t="shared" si="9"/>
        <v>775</v>
      </c>
      <c r="M23" s="1351">
        <f t="shared" si="10"/>
        <v>30</v>
      </c>
      <c r="N23" s="1363">
        <v>155</v>
      </c>
      <c r="O23" s="1353">
        <f t="shared" si="12"/>
        <v>4650</v>
      </c>
      <c r="P23" s="1356">
        <v>10</v>
      </c>
      <c r="Q23" s="1354">
        <f t="shared" si="13"/>
        <v>1550</v>
      </c>
      <c r="R23" s="1350">
        <v>0</v>
      </c>
      <c r="S23" s="1355">
        <f t="shared" si="14"/>
        <v>0</v>
      </c>
      <c r="T23" s="1356">
        <v>10</v>
      </c>
      <c r="U23" s="1355">
        <f t="shared" si="15"/>
        <v>1550</v>
      </c>
      <c r="V23" s="1350">
        <v>10</v>
      </c>
      <c r="W23" s="1355">
        <f t="shared" si="16"/>
        <v>1550</v>
      </c>
      <c r="X23" s="1356">
        <f t="shared" si="11"/>
        <v>30</v>
      </c>
      <c r="Y23" s="1356">
        <f t="shared" si="17"/>
        <v>4650</v>
      </c>
      <c r="Z23" s="1357" t="s">
        <v>7799</v>
      </c>
      <c r="AA23" s="1358" t="s">
        <v>6531</v>
      </c>
      <c r="AB23" s="1359" t="str">
        <f t="shared" si="7"/>
        <v>yes</v>
      </c>
      <c r="AC23" s="1388" t="str">
        <f t="shared" si="8"/>
        <v>ok</v>
      </c>
      <c r="AE23" s="1382"/>
    </row>
    <row r="24" spans="1:31" s="1388" customFormat="1" ht="23.25" customHeight="1" x14ac:dyDescent="0.25">
      <c r="A24" s="1279">
        <v>17</v>
      </c>
      <c r="B24" s="1211" t="s">
        <v>9075</v>
      </c>
      <c r="C24" s="1383" t="s">
        <v>7798</v>
      </c>
      <c r="D24" s="1345">
        <v>20</v>
      </c>
      <c r="E24" s="1378">
        <v>0</v>
      </c>
      <c r="F24" s="1386">
        <v>38</v>
      </c>
      <c r="G24" s="1385">
        <v>1520</v>
      </c>
      <c r="H24" s="1386">
        <v>23</v>
      </c>
      <c r="I24" s="1356">
        <f t="shared" si="0"/>
        <v>920</v>
      </c>
      <c r="J24" s="1348">
        <v>33</v>
      </c>
      <c r="K24" s="1349">
        <v>3</v>
      </c>
      <c r="L24" s="1350">
        <f t="shared" si="9"/>
        <v>120</v>
      </c>
      <c r="M24" s="1351">
        <f t="shared" si="10"/>
        <v>30</v>
      </c>
      <c r="N24" s="1352">
        <v>40</v>
      </c>
      <c r="O24" s="1353">
        <f>M24*N24</f>
        <v>1200</v>
      </c>
      <c r="P24" s="1354">
        <v>10</v>
      </c>
      <c r="Q24" s="1354">
        <f>P24*N24</f>
        <v>400</v>
      </c>
      <c r="R24" s="1354">
        <v>0</v>
      </c>
      <c r="S24" s="1355">
        <f>R24*N24</f>
        <v>0</v>
      </c>
      <c r="T24" s="1354">
        <v>10</v>
      </c>
      <c r="U24" s="1355">
        <f>T24*N24</f>
        <v>400</v>
      </c>
      <c r="V24" s="1354">
        <v>10</v>
      </c>
      <c r="W24" s="1355">
        <f>V24*N24</f>
        <v>400</v>
      </c>
      <c r="X24" s="1356">
        <f t="shared" si="11"/>
        <v>30</v>
      </c>
      <c r="Y24" s="1356">
        <f>X24*N24</f>
        <v>1200</v>
      </c>
      <c r="Z24" s="1357" t="s">
        <v>7799</v>
      </c>
      <c r="AA24" s="1358" t="s">
        <v>6531</v>
      </c>
      <c r="AB24" s="1359" t="str">
        <f t="shared" si="7"/>
        <v>yes</v>
      </c>
      <c r="AC24" s="1388" t="str">
        <f t="shared" si="8"/>
        <v>ok</v>
      </c>
    </row>
    <row r="25" spans="1:31" s="1359" customFormat="1" ht="20.25" customHeight="1" x14ac:dyDescent="0.25">
      <c r="A25" s="1279">
        <v>18</v>
      </c>
      <c r="B25" s="1211" t="s">
        <v>9076</v>
      </c>
      <c r="C25" s="1383" t="s">
        <v>7841</v>
      </c>
      <c r="D25" s="1345">
        <v>0</v>
      </c>
      <c r="E25" s="1378">
        <v>0</v>
      </c>
      <c r="F25" s="1356">
        <v>24</v>
      </c>
      <c r="G25" s="1385">
        <v>2280</v>
      </c>
      <c r="H25" s="1356">
        <v>32</v>
      </c>
      <c r="I25" s="1356">
        <f t="shared" si="0"/>
        <v>3840</v>
      </c>
      <c r="J25" s="1361">
        <v>50</v>
      </c>
      <c r="K25" s="1362">
        <v>0</v>
      </c>
      <c r="L25" s="1350">
        <f t="shared" si="9"/>
        <v>0</v>
      </c>
      <c r="M25" s="1351">
        <f t="shared" si="10"/>
        <v>50</v>
      </c>
      <c r="N25" s="1363">
        <v>120</v>
      </c>
      <c r="O25" s="1353">
        <f t="shared" ref="O25:O28" si="18">M25*N25</f>
        <v>6000</v>
      </c>
      <c r="P25" s="1350">
        <v>20</v>
      </c>
      <c r="Q25" s="1354">
        <f t="shared" ref="Q25:Q28" si="19">P25*N25</f>
        <v>2400</v>
      </c>
      <c r="R25" s="1350">
        <v>0</v>
      </c>
      <c r="S25" s="1355">
        <f t="shared" ref="S25:S28" si="20">R25*N25</f>
        <v>0</v>
      </c>
      <c r="T25" s="1356">
        <v>10</v>
      </c>
      <c r="U25" s="1355">
        <f t="shared" ref="U25:U28" si="21">T25*N25</f>
        <v>1200</v>
      </c>
      <c r="V25" s="1356">
        <v>20</v>
      </c>
      <c r="W25" s="1355">
        <f t="shared" ref="W25:W28" si="22">V25*N25</f>
        <v>2400</v>
      </c>
      <c r="X25" s="1356">
        <f t="shared" si="11"/>
        <v>50</v>
      </c>
      <c r="Y25" s="1356">
        <f t="shared" ref="Y25:Y28" si="23">X25*N25</f>
        <v>6000</v>
      </c>
      <c r="Z25" s="1357" t="s">
        <v>7799</v>
      </c>
      <c r="AA25" s="1358" t="s">
        <v>6531</v>
      </c>
      <c r="AB25" s="1359" t="str">
        <f t="shared" si="7"/>
        <v>yes</v>
      </c>
      <c r="AC25" s="1388" t="str">
        <f t="shared" si="8"/>
        <v>ok</v>
      </c>
    </row>
    <row r="26" spans="1:31" s="1359" customFormat="1" ht="20.25" customHeight="1" x14ac:dyDescent="0.25">
      <c r="A26" s="1279">
        <v>19</v>
      </c>
      <c r="B26" s="1211" t="s">
        <v>9077</v>
      </c>
      <c r="C26" s="1383" t="s">
        <v>7960</v>
      </c>
      <c r="D26" s="1345">
        <v>0</v>
      </c>
      <c r="E26" s="1378">
        <v>0</v>
      </c>
      <c r="F26" s="1356">
        <v>38</v>
      </c>
      <c r="G26" s="1385">
        <v>2850</v>
      </c>
      <c r="H26" s="1356">
        <v>0</v>
      </c>
      <c r="I26" s="1356">
        <f t="shared" si="0"/>
        <v>0</v>
      </c>
      <c r="J26" s="1361">
        <v>10</v>
      </c>
      <c r="K26" s="1362">
        <v>0</v>
      </c>
      <c r="L26" s="1350">
        <f t="shared" si="9"/>
        <v>0</v>
      </c>
      <c r="M26" s="1351">
        <f t="shared" si="10"/>
        <v>10</v>
      </c>
      <c r="N26" s="1363">
        <v>100</v>
      </c>
      <c r="O26" s="1353">
        <f t="shared" si="18"/>
        <v>1000</v>
      </c>
      <c r="P26" s="1350">
        <v>0</v>
      </c>
      <c r="Q26" s="1354">
        <f t="shared" si="19"/>
        <v>0</v>
      </c>
      <c r="R26" s="1356">
        <v>5</v>
      </c>
      <c r="S26" s="1355">
        <f t="shared" si="20"/>
        <v>500</v>
      </c>
      <c r="T26" s="1350">
        <v>0</v>
      </c>
      <c r="U26" s="1355">
        <f t="shared" si="21"/>
        <v>0</v>
      </c>
      <c r="V26" s="1356">
        <v>5</v>
      </c>
      <c r="W26" s="1355">
        <f t="shared" si="22"/>
        <v>500</v>
      </c>
      <c r="X26" s="1356">
        <f t="shared" si="11"/>
        <v>10</v>
      </c>
      <c r="Y26" s="1356">
        <f t="shared" si="23"/>
        <v>1000</v>
      </c>
      <c r="Z26" s="1357" t="s">
        <v>7799</v>
      </c>
      <c r="AA26" s="1358" t="s">
        <v>6531</v>
      </c>
      <c r="AB26" s="1359" t="str">
        <f t="shared" si="7"/>
        <v>yes</v>
      </c>
      <c r="AC26" s="1388" t="str">
        <f t="shared" si="8"/>
        <v>ok</v>
      </c>
    </row>
    <row r="27" spans="1:31" s="1359" customFormat="1" ht="20.25" customHeight="1" x14ac:dyDescent="0.25">
      <c r="A27" s="1279">
        <v>20</v>
      </c>
      <c r="B27" s="1211" t="s">
        <v>9078</v>
      </c>
      <c r="C27" s="1383" t="s">
        <v>7808</v>
      </c>
      <c r="D27" s="1345">
        <v>2</v>
      </c>
      <c r="E27" s="1378">
        <v>2360</v>
      </c>
      <c r="F27" s="1356">
        <v>3</v>
      </c>
      <c r="G27" s="1385">
        <v>3540</v>
      </c>
      <c r="H27" s="1356">
        <v>2</v>
      </c>
      <c r="I27" s="1356">
        <f t="shared" si="0"/>
        <v>2300</v>
      </c>
      <c r="J27" s="1361">
        <v>2</v>
      </c>
      <c r="K27" s="1362">
        <v>0</v>
      </c>
      <c r="L27" s="1350">
        <f t="shared" si="9"/>
        <v>0</v>
      </c>
      <c r="M27" s="1351">
        <f t="shared" si="10"/>
        <v>2</v>
      </c>
      <c r="N27" s="1363">
        <v>1150</v>
      </c>
      <c r="O27" s="1353">
        <f t="shared" si="18"/>
        <v>2300</v>
      </c>
      <c r="P27" s="1356">
        <v>1</v>
      </c>
      <c r="Q27" s="1354">
        <f t="shared" si="19"/>
        <v>1150</v>
      </c>
      <c r="R27" s="1350">
        <v>0</v>
      </c>
      <c r="S27" s="1355">
        <f t="shared" si="20"/>
        <v>0</v>
      </c>
      <c r="T27" s="1356">
        <v>0</v>
      </c>
      <c r="U27" s="1355">
        <f t="shared" si="21"/>
        <v>0</v>
      </c>
      <c r="V27" s="1350">
        <v>1</v>
      </c>
      <c r="W27" s="1355">
        <f t="shared" si="22"/>
        <v>1150</v>
      </c>
      <c r="X27" s="1356">
        <f t="shared" si="11"/>
        <v>2</v>
      </c>
      <c r="Y27" s="1356">
        <f t="shared" si="23"/>
        <v>2300</v>
      </c>
      <c r="Z27" s="1357" t="s">
        <v>7799</v>
      </c>
      <c r="AA27" s="1358" t="s">
        <v>6531</v>
      </c>
      <c r="AB27" s="1359" t="str">
        <f t="shared" si="7"/>
        <v>yes</v>
      </c>
      <c r="AC27" s="1388" t="str">
        <f t="shared" si="8"/>
        <v>ok</v>
      </c>
    </row>
    <row r="28" spans="1:31" s="1359" customFormat="1" ht="20.25" customHeight="1" x14ac:dyDescent="0.25">
      <c r="A28" s="1279">
        <v>21</v>
      </c>
      <c r="B28" s="1211" t="s">
        <v>9079</v>
      </c>
      <c r="C28" s="1383" t="s">
        <v>7798</v>
      </c>
      <c r="D28" s="1345">
        <v>0</v>
      </c>
      <c r="E28" s="1378">
        <v>0</v>
      </c>
      <c r="F28" s="1356">
        <v>0</v>
      </c>
      <c r="G28" s="1385">
        <v>0</v>
      </c>
      <c r="H28" s="1356">
        <v>2</v>
      </c>
      <c r="I28" s="1356">
        <f t="shared" si="0"/>
        <v>280</v>
      </c>
      <c r="J28" s="1361">
        <v>3</v>
      </c>
      <c r="K28" s="1362">
        <v>0</v>
      </c>
      <c r="L28" s="1350">
        <f t="shared" si="9"/>
        <v>0</v>
      </c>
      <c r="M28" s="1351">
        <f t="shared" si="10"/>
        <v>3</v>
      </c>
      <c r="N28" s="1363">
        <v>140</v>
      </c>
      <c r="O28" s="1353">
        <f t="shared" si="18"/>
        <v>420</v>
      </c>
      <c r="P28" s="1350">
        <v>1</v>
      </c>
      <c r="Q28" s="1354">
        <f t="shared" si="19"/>
        <v>140</v>
      </c>
      <c r="R28" s="1350">
        <v>0</v>
      </c>
      <c r="S28" s="1355">
        <f t="shared" si="20"/>
        <v>0</v>
      </c>
      <c r="T28" s="1356">
        <v>1</v>
      </c>
      <c r="U28" s="1355">
        <f t="shared" si="21"/>
        <v>140</v>
      </c>
      <c r="V28" s="1356">
        <v>1</v>
      </c>
      <c r="W28" s="1355">
        <f t="shared" si="22"/>
        <v>140</v>
      </c>
      <c r="X28" s="1356">
        <f t="shared" si="11"/>
        <v>3</v>
      </c>
      <c r="Y28" s="1356">
        <f t="shared" si="23"/>
        <v>420</v>
      </c>
      <c r="Z28" s="1357" t="s">
        <v>7799</v>
      </c>
      <c r="AA28" s="1358" t="s">
        <v>6531</v>
      </c>
      <c r="AB28" s="1359" t="str">
        <f t="shared" si="7"/>
        <v>yes</v>
      </c>
      <c r="AC28" s="1388" t="str">
        <f t="shared" si="8"/>
        <v>ok</v>
      </c>
    </row>
    <row r="29" spans="1:31" s="1393" customFormat="1" ht="20.25" customHeight="1" x14ac:dyDescent="0.6">
      <c r="A29" s="1389" t="s">
        <v>7433</v>
      </c>
      <c r="B29" s="1389"/>
      <c r="C29" s="1389"/>
      <c r="D29" s="1392"/>
      <c r="E29" s="1392">
        <f>SUM(E8:E28)</f>
        <v>35223.1</v>
      </c>
      <c r="F29" s="1392">
        <f t="shared" ref="F29:Y29" si="24">SUM(F8:F28)</f>
        <v>328</v>
      </c>
      <c r="G29" s="1392">
        <f t="shared" si="24"/>
        <v>44070</v>
      </c>
      <c r="H29" s="1392">
        <f t="shared" si="24"/>
        <v>291</v>
      </c>
      <c r="I29" s="1392">
        <f t="shared" si="24"/>
        <v>53258</v>
      </c>
      <c r="J29" s="1392">
        <f t="shared" si="24"/>
        <v>400</v>
      </c>
      <c r="K29" s="1392">
        <f t="shared" si="24"/>
        <v>70</v>
      </c>
      <c r="L29" s="1392">
        <f t="shared" si="24"/>
        <v>9510</v>
      </c>
      <c r="M29" s="1392">
        <f t="shared" si="24"/>
        <v>330</v>
      </c>
      <c r="N29" s="1392">
        <f t="shared" si="24"/>
        <v>5899</v>
      </c>
      <c r="O29" s="1392">
        <f t="shared" si="24"/>
        <v>50410</v>
      </c>
      <c r="P29" s="1392">
        <f t="shared" si="24"/>
        <v>104</v>
      </c>
      <c r="Q29" s="1392">
        <f t="shared" si="24"/>
        <v>18310</v>
      </c>
      <c r="R29" s="1392">
        <f t="shared" si="24"/>
        <v>31</v>
      </c>
      <c r="S29" s="1392">
        <f t="shared" si="24"/>
        <v>6200</v>
      </c>
      <c r="T29" s="1392">
        <f t="shared" si="24"/>
        <v>102</v>
      </c>
      <c r="U29" s="1392">
        <f t="shared" si="24"/>
        <v>12710</v>
      </c>
      <c r="V29" s="1392">
        <f t="shared" si="24"/>
        <v>93</v>
      </c>
      <c r="W29" s="1392">
        <f t="shared" si="24"/>
        <v>13190</v>
      </c>
      <c r="X29" s="1392">
        <f t="shared" si="24"/>
        <v>330</v>
      </c>
      <c r="Y29" s="1392">
        <f t="shared" si="24"/>
        <v>50410</v>
      </c>
      <c r="Z29" s="1391"/>
      <c r="AA29" s="1392"/>
      <c r="AB29" s="1393" t="str">
        <f t="shared" si="7"/>
        <v>yes</v>
      </c>
      <c r="AC29" s="1388" t="str">
        <f t="shared" si="8"/>
        <v>ok</v>
      </c>
    </row>
    <row r="30" spans="1:31" ht="20.25" customHeight="1" x14ac:dyDescent="0.6">
      <c r="A30" s="1397"/>
      <c r="C30" s="1399"/>
      <c r="D30" s="1397"/>
      <c r="E30" s="1397"/>
      <c r="F30" s="1397"/>
      <c r="G30" s="1397"/>
      <c r="H30" s="1397"/>
      <c r="I30" s="1397"/>
      <c r="J30" s="1397"/>
      <c r="K30" s="1397"/>
      <c r="L30" s="1397"/>
      <c r="M30" s="1457"/>
      <c r="N30" s="1400"/>
      <c r="O30" s="1400"/>
      <c r="P30" s="1458"/>
      <c r="Q30" s="1458"/>
      <c r="R30" s="1458"/>
      <c r="S30" s="1458"/>
      <c r="T30" s="1458"/>
      <c r="U30" s="1458"/>
      <c r="V30" s="1458"/>
      <c r="W30" s="1458"/>
      <c r="X30" s="1457"/>
      <c r="Y30" s="1457"/>
      <c r="AA30" s="1402"/>
    </row>
    <row r="31" spans="1:31" ht="20.25" customHeight="1" x14ac:dyDescent="0.6">
      <c r="A31" s="1397"/>
      <c r="C31" s="1399"/>
    </row>
    <row r="32" spans="1:31" ht="20.25" customHeight="1" x14ac:dyDescent="0.6">
      <c r="B32" s="1280"/>
      <c r="D32" s="1280"/>
      <c r="E32" s="1280"/>
      <c r="F32" s="1280"/>
      <c r="G32" s="1399"/>
      <c r="M32" s="1459"/>
      <c r="N32" s="1459"/>
      <c r="O32" s="1459"/>
      <c r="P32" s="1459"/>
      <c r="Q32" s="1459"/>
      <c r="R32" s="1280"/>
      <c r="S32" s="1280"/>
      <c r="T32" s="1280"/>
      <c r="U32" s="1280"/>
      <c r="V32" s="1280"/>
      <c r="W32" s="1280"/>
      <c r="Z32" s="1280"/>
    </row>
    <row r="33" spans="1:27" ht="20.25" customHeight="1" x14ac:dyDescent="0.6">
      <c r="B33" s="1280"/>
      <c r="D33" s="1280"/>
      <c r="E33" s="1280"/>
      <c r="F33" s="1280"/>
      <c r="G33" s="1399"/>
      <c r="M33" s="1459"/>
      <c r="N33" s="1459"/>
      <c r="O33" s="1459"/>
      <c r="P33" s="1459"/>
      <c r="Q33" s="1459"/>
      <c r="R33" s="1280"/>
      <c r="S33" s="1280"/>
      <c r="T33" s="1280"/>
      <c r="U33" s="1280"/>
      <c r="V33" s="1280"/>
      <c r="W33" s="1280"/>
      <c r="Z33" s="1280"/>
    </row>
    <row r="34" spans="1:27" ht="20.25" customHeight="1" x14ac:dyDescent="0.6">
      <c r="B34" s="1280"/>
      <c r="D34" s="1280"/>
      <c r="E34" s="1280"/>
      <c r="F34" s="1280"/>
      <c r="G34" s="1399"/>
      <c r="M34" s="1459"/>
      <c r="N34" s="1459"/>
      <c r="O34" s="1459"/>
      <c r="P34" s="1459"/>
      <c r="Q34" s="1459"/>
      <c r="R34" s="1280"/>
      <c r="S34" s="1280"/>
      <c r="T34" s="1280"/>
      <c r="U34" s="1280"/>
      <c r="V34" s="1280"/>
      <c r="W34" s="1280"/>
      <c r="Z34" s="1280"/>
    </row>
    <row r="35" spans="1:27" ht="20.25" customHeight="1" x14ac:dyDescent="0.6">
      <c r="B35" s="1280"/>
      <c r="D35" s="1280"/>
      <c r="E35" s="1280"/>
      <c r="F35" s="1280"/>
      <c r="G35" s="1399"/>
      <c r="M35" s="1459"/>
      <c r="N35" s="1459"/>
      <c r="O35" s="1459"/>
      <c r="P35" s="1459"/>
      <c r="Q35" s="1459"/>
      <c r="R35" s="1459"/>
      <c r="S35" s="1459"/>
      <c r="Y35" s="1402"/>
      <c r="Z35" s="1405"/>
    </row>
    <row r="36" spans="1:27" ht="20.25" customHeight="1" x14ac:dyDescent="0.6"/>
    <row r="37" spans="1:27" ht="20.25" customHeight="1" x14ac:dyDescent="0.6">
      <c r="P37" s="1457"/>
      <c r="Q37" s="1457"/>
    </row>
    <row r="38" spans="1:27" ht="20.25" customHeight="1" x14ac:dyDescent="0.6">
      <c r="AA38" s="1401"/>
    </row>
    <row r="44" spans="1:27" x14ac:dyDescent="0.6">
      <c r="A44" s="1280"/>
      <c r="N44" s="1399"/>
      <c r="O44" s="1280"/>
      <c r="Z44" s="1280"/>
    </row>
    <row r="45" spans="1:27" x14ac:dyDescent="0.6">
      <c r="A45" s="1280"/>
      <c r="N45" s="1399"/>
      <c r="O45" s="1280"/>
      <c r="Z45" s="1280"/>
    </row>
    <row r="46" spans="1:27" x14ac:dyDescent="0.6">
      <c r="A46" s="1280"/>
      <c r="N46" s="1399"/>
      <c r="O46" s="1280"/>
      <c r="Z46" s="1280"/>
    </row>
    <row r="47" spans="1:27" x14ac:dyDescent="0.6">
      <c r="A47" s="1280"/>
      <c r="N47" s="1399"/>
      <c r="O47" s="1280"/>
      <c r="Z47" s="1280"/>
    </row>
    <row r="48" spans="1:27" x14ac:dyDescent="0.6">
      <c r="A48" s="1280"/>
      <c r="N48" s="1399"/>
      <c r="O48" s="1280"/>
      <c r="Z48" s="1280"/>
    </row>
    <row r="49" spans="1:26" x14ac:dyDescent="0.6">
      <c r="A49" s="1280"/>
      <c r="N49" s="1399"/>
      <c r="O49" s="1280"/>
      <c r="Z49" s="1280"/>
    </row>
    <row r="50" spans="1:26" x14ac:dyDescent="0.6">
      <c r="A50" s="1280"/>
      <c r="N50" s="1399"/>
      <c r="O50" s="1280"/>
      <c r="Z50" s="1280"/>
    </row>
    <row r="51" spans="1:26" x14ac:dyDescent="0.6">
      <c r="A51" s="1280"/>
      <c r="N51" s="1399"/>
      <c r="O51" s="1280"/>
      <c r="Z51" s="1280"/>
    </row>
    <row r="52" spans="1:26" x14ac:dyDescent="0.6">
      <c r="A52" s="1280"/>
      <c r="N52" s="1399"/>
      <c r="O52" s="1280"/>
      <c r="Z52" s="1280"/>
    </row>
    <row r="53" spans="1:26" x14ac:dyDescent="0.6">
      <c r="A53" s="1280"/>
      <c r="N53" s="1399"/>
      <c r="O53" s="1280"/>
      <c r="Z53" s="1280"/>
    </row>
    <row r="54" spans="1:26" x14ac:dyDescent="0.6">
      <c r="A54" s="1280"/>
      <c r="N54" s="1399"/>
      <c r="O54" s="1280"/>
      <c r="Z54" s="1280"/>
    </row>
    <row r="55" spans="1:26" x14ac:dyDescent="0.6">
      <c r="A55" s="1280"/>
      <c r="N55" s="1399"/>
      <c r="O55" s="1280"/>
      <c r="Z55" s="1280"/>
    </row>
    <row r="56" spans="1:26" x14ac:dyDescent="0.6">
      <c r="A56" s="1280"/>
      <c r="N56" s="1399"/>
      <c r="O56" s="1280"/>
      <c r="Z56" s="1280"/>
    </row>
    <row r="57" spans="1:26" x14ac:dyDescent="0.6">
      <c r="A57" s="1280"/>
      <c r="N57" s="1399"/>
      <c r="O57" s="1280"/>
      <c r="Z57" s="1280"/>
    </row>
    <row r="58" spans="1:26" x14ac:dyDescent="0.6">
      <c r="A58" s="1280"/>
      <c r="N58" s="1399"/>
      <c r="O58" s="1280"/>
      <c r="Z58" s="1280"/>
    </row>
    <row r="59" spans="1:26" x14ac:dyDescent="0.6">
      <c r="A59" s="1280"/>
      <c r="N59" s="1399"/>
      <c r="O59" s="1280"/>
      <c r="Z59" s="1280"/>
    </row>
    <row r="60" spans="1:26" x14ac:dyDescent="0.6">
      <c r="A60" s="1280"/>
      <c r="N60" s="1399"/>
      <c r="O60" s="1280"/>
      <c r="Z60" s="1280"/>
    </row>
    <row r="61" spans="1:26" x14ac:dyDescent="0.6">
      <c r="A61" s="1280"/>
      <c r="N61" s="1399"/>
      <c r="O61" s="1280"/>
      <c r="Z61" s="1280"/>
    </row>
    <row r="62" spans="1:26" x14ac:dyDescent="0.6">
      <c r="A62" s="1280"/>
      <c r="N62" s="1399"/>
      <c r="O62" s="1280"/>
      <c r="Z62" s="1280"/>
    </row>
    <row r="63" spans="1:26" x14ac:dyDescent="0.6">
      <c r="A63" s="1280"/>
      <c r="N63" s="1399"/>
      <c r="O63" s="1280"/>
      <c r="Z63" s="1280"/>
    </row>
    <row r="64" spans="1:26" x14ac:dyDescent="0.6">
      <c r="A64" s="1280"/>
      <c r="N64" s="1399"/>
      <c r="O64" s="1280"/>
      <c r="Z64" s="1280"/>
    </row>
    <row r="65" spans="1:26" x14ac:dyDescent="0.6">
      <c r="A65" s="1280"/>
      <c r="N65" s="1399"/>
      <c r="O65" s="1280"/>
      <c r="Z65" s="1280"/>
    </row>
    <row r="66" spans="1:26" x14ac:dyDescent="0.6">
      <c r="A66" s="1280"/>
      <c r="N66" s="1399"/>
      <c r="O66" s="1280"/>
      <c r="Z66" s="1280"/>
    </row>
    <row r="67" spans="1:26" x14ac:dyDescent="0.6">
      <c r="A67" s="1280"/>
      <c r="N67" s="1399"/>
      <c r="O67" s="1280"/>
      <c r="Z67" s="1280"/>
    </row>
    <row r="68" spans="1:26" x14ac:dyDescent="0.6">
      <c r="A68" s="1280"/>
      <c r="N68" s="1399"/>
      <c r="O68" s="1280"/>
      <c r="Z68" s="1280"/>
    </row>
    <row r="69" spans="1:26" x14ac:dyDescent="0.6">
      <c r="A69" s="1280"/>
      <c r="N69" s="1399"/>
      <c r="O69" s="1280"/>
      <c r="Z69" s="1280"/>
    </row>
    <row r="70" spans="1:26" x14ac:dyDescent="0.6">
      <c r="A70" s="1280"/>
      <c r="N70" s="1399"/>
      <c r="O70" s="1280"/>
      <c r="Z70" s="1280"/>
    </row>
    <row r="71" spans="1:26" x14ac:dyDescent="0.6">
      <c r="A71" s="1280"/>
      <c r="N71" s="1399"/>
      <c r="O71" s="1280"/>
      <c r="Z71" s="1280"/>
    </row>
    <row r="72" spans="1:26" x14ac:dyDescent="0.6">
      <c r="A72" s="1280"/>
      <c r="N72" s="1399"/>
      <c r="O72" s="1280"/>
      <c r="Z72" s="1280"/>
    </row>
    <row r="73" spans="1:26" x14ac:dyDescent="0.6">
      <c r="A73" s="1280"/>
      <c r="N73" s="1399"/>
      <c r="O73" s="1280"/>
      <c r="Z73" s="1280"/>
    </row>
    <row r="74" spans="1:26" x14ac:dyDescent="0.6">
      <c r="A74" s="1280"/>
      <c r="N74" s="1399"/>
      <c r="O74" s="1280"/>
      <c r="Z74" s="1280"/>
    </row>
    <row r="75" spans="1:26" x14ac:dyDescent="0.6">
      <c r="A75" s="1280"/>
      <c r="N75" s="1399"/>
      <c r="O75" s="1280"/>
      <c r="Z75" s="1280"/>
    </row>
    <row r="76" spans="1:26" x14ac:dyDescent="0.6">
      <c r="A76" s="1280"/>
      <c r="N76" s="1399"/>
      <c r="O76" s="1280"/>
      <c r="Z76" s="1280"/>
    </row>
    <row r="77" spans="1:26" x14ac:dyDescent="0.6">
      <c r="A77" s="1280"/>
      <c r="N77" s="1399"/>
      <c r="O77" s="1280"/>
      <c r="Z77" s="1280"/>
    </row>
    <row r="78" spans="1:26" x14ac:dyDescent="0.6">
      <c r="A78" s="1280"/>
      <c r="N78" s="1399"/>
      <c r="O78" s="1280"/>
      <c r="Z78" s="1280"/>
    </row>
    <row r="79" spans="1:26" x14ac:dyDescent="0.6">
      <c r="A79" s="1280"/>
      <c r="N79" s="1399"/>
      <c r="O79" s="1280"/>
      <c r="Z79" s="1280"/>
    </row>
    <row r="80" spans="1:26" x14ac:dyDescent="0.6">
      <c r="A80" s="1280"/>
      <c r="N80" s="1399"/>
      <c r="O80" s="1280"/>
      <c r="Z80" s="1280"/>
    </row>
    <row r="81" spans="1:26" x14ac:dyDescent="0.6">
      <c r="A81" s="1280"/>
      <c r="N81" s="1399"/>
      <c r="O81" s="1280"/>
      <c r="Z81" s="1280"/>
    </row>
    <row r="82" spans="1:26" x14ac:dyDescent="0.6">
      <c r="A82" s="1280"/>
      <c r="N82" s="1399"/>
      <c r="O82" s="1280"/>
      <c r="Z82" s="1280"/>
    </row>
    <row r="83" spans="1:26" x14ac:dyDescent="0.6">
      <c r="A83" s="1280"/>
      <c r="N83" s="1399"/>
      <c r="O83" s="1280"/>
      <c r="Z83" s="1280"/>
    </row>
    <row r="84" spans="1:26" x14ac:dyDescent="0.6">
      <c r="A84" s="1280"/>
      <c r="N84" s="1399"/>
      <c r="O84" s="1280"/>
      <c r="Z84" s="1280"/>
    </row>
    <row r="85" spans="1:26" x14ac:dyDescent="0.6">
      <c r="A85" s="1280"/>
      <c r="N85" s="1399"/>
      <c r="O85" s="1280"/>
      <c r="Z85" s="1280"/>
    </row>
    <row r="86" spans="1:26" x14ac:dyDescent="0.6">
      <c r="A86" s="1280"/>
      <c r="N86" s="1399"/>
      <c r="O86" s="1280"/>
      <c r="Z86" s="1280"/>
    </row>
    <row r="87" spans="1:26" x14ac:dyDescent="0.6">
      <c r="A87" s="1280"/>
      <c r="N87" s="1399"/>
      <c r="O87" s="1280"/>
      <c r="Z87" s="1280"/>
    </row>
    <row r="88" spans="1:26" x14ac:dyDescent="0.6">
      <c r="A88" s="1280"/>
      <c r="N88" s="1399"/>
      <c r="O88" s="1280"/>
      <c r="Z88" s="1280"/>
    </row>
    <row r="89" spans="1:26" x14ac:dyDescent="0.6">
      <c r="A89" s="1280"/>
      <c r="N89" s="1399"/>
      <c r="O89" s="1280"/>
      <c r="Z89" s="1280"/>
    </row>
    <row r="90" spans="1:26" x14ac:dyDescent="0.6">
      <c r="A90" s="1280"/>
      <c r="N90" s="1399"/>
      <c r="O90" s="1280"/>
      <c r="Z90" s="1280"/>
    </row>
    <row r="91" spans="1:26" x14ac:dyDescent="0.6">
      <c r="A91" s="1280"/>
      <c r="N91" s="1399"/>
      <c r="O91" s="1280"/>
      <c r="Z91" s="1280"/>
    </row>
    <row r="92" spans="1:26" x14ac:dyDescent="0.6">
      <c r="A92" s="1280"/>
      <c r="N92" s="1399"/>
      <c r="O92" s="1280"/>
      <c r="Z92" s="1280"/>
    </row>
    <row r="93" spans="1:26" x14ac:dyDescent="0.6">
      <c r="A93" s="1280"/>
      <c r="N93" s="1399"/>
      <c r="O93" s="1280"/>
      <c r="Z93" s="1280"/>
    </row>
    <row r="94" spans="1:26" x14ac:dyDescent="0.6">
      <c r="A94" s="1280"/>
      <c r="N94" s="1399"/>
      <c r="O94" s="1280"/>
      <c r="Z94" s="1280"/>
    </row>
    <row r="95" spans="1:26" x14ac:dyDescent="0.6">
      <c r="A95" s="1280"/>
      <c r="N95" s="1399"/>
      <c r="O95" s="1280"/>
      <c r="Z95" s="1280"/>
    </row>
    <row r="96" spans="1:26" x14ac:dyDescent="0.6">
      <c r="A96" s="1280"/>
      <c r="N96" s="1399"/>
      <c r="O96" s="1280"/>
      <c r="Z96" s="1280"/>
    </row>
    <row r="97" spans="1:26" x14ac:dyDescent="0.6">
      <c r="A97" s="1280"/>
      <c r="N97" s="1399"/>
      <c r="O97" s="1280"/>
      <c r="Z97" s="1280"/>
    </row>
    <row r="98" spans="1:26" x14ac:dyDescent="0.6">
      <c r="A98" s="1280"/>
      <c r="N98" s="1399"/>
      <c r="O98" s="1280"/>
      <c r="Z98" s="1280"/>
    </row>
    <row r="99" spans="1:26" x14ac:dyDescent="0.6">
      <c r="A99" s="1280"/>
      <c r="N99" s="1399"/>
      <c r="O99" s="1280"/>
      <c r="Z99" s="1280"/>
    </row>
    <row r="100" spans="1:26" x14ac:dyDescent="0.6">
      <c r="A100" s="1280"/>
      <c r="N100" s="1399"/>
      <c r="O100" s="1280"/>
      <c r="Z100" s="1280"/>
    </row>
    <row r="101" spans="1:26" x14ac:dyDescent="0.6">
      <c r="A101" s="1280"/>
      <c r="N101" s="1399"/>
      <c r="O101" s="1280"/>
      <c r="Z101" s="1280"/>
    </row>
    <row r="102" spans="1:26" x14ac:dyDescent="0.6">
      <c r="A102" s="1280"/>
      <c r="N102" s="1399"/>
      <c r="O102" s="1280"/>
      <c r="Z102" s="1280"/>
    </row>
    <row r="103" spans="1:26" x14ac:dyDescent="0.6">
      <c r="A103" s="1280"/>
      <c r="N103" s="1399"/>
      <c r="O103" s="1280"/>
      <c r="Z103" s="1280"/>
    </row>
    <row r="104" spans="1:26" x14ac:dyDescent="0.6">
      <c r="A104" s="1280"/>
      <c r="N104" s="1399"/>
      <c r="O104" s="1280"/>
      <c r="Z104" s="1280"/>
    </row>
    <row r="105" spans="1:26" x14ac:dyDescent="0.6">
      <c r="A105" s="1280"/>
      <c r="N105" s="1399"/>
      <c r="O105" s="1280"/>
      <c r="Z105" s="1280"/>
    </row>
    <row r="106" spans="1:26" x14ac:dyDescent="0.6">
      <c r="A106" s="1280"/>
      <c r="N106" s="1399"/>
      <c r="O106" s="1280"/>
      <c r="Z106" s="1280"/>
    </row>
    <row r="107" spans="1:26" x14ac:dyDescent="0.6">
      <c r="A107" s="1280"/>
      <c r="N107" s="1399"/>
      <c r="O107" s="1280"/>
      <c r="Z107" s="1280"/>
    </row>
    <row r="108" spans="1:26" x14ac:dyDescent="0.6">
      <c r="A108" s="1280"/>
      <c r="N108" s="1399"/>
      <c r="O108" s="1280"/>
      <c r="Z108" s="1280"/>
    </row>
    <row r="109" spans="1:26" x14ac:dyDescent="0.6">
      <c r="A109" s="1280"/>
      <c r="N109" s="1399"/>
      <c r="O109" s="1280"/>
      <c r="Z109" s="1280"/>
    </row>
    <row r="110" spans="1:26" x14ac:dyDescent="0.6">
      <c r="A110" s="1280"/>
      <c r="N110" s="1399"/>
      <c r="O110" s="1280"/>
      <c r="Z110" s="1280"/>
    </row>
    <row r="111" spans="1:26" x14ac:dyDescent="0.6">
      <c r="A111" s="1280"/>
      <c r="N111" s="1399"/>
      <c r="O111" s="1280"/>
      <c r="Z111" s="1280"/>
    </row>
    <row r="112" spans="1:26" x14ac:dyDescent="0.6">
      <c r="A112" s="1280"/>
      <c r="N112" s="1399"/>
      <c r="O112" s="1280"/>
      <c r="Z112" s="1280"/>
    </row>
    <row r="113" spans="1:26" x14ac:dyDescent="0.6">
      <c r="A113" s="1280"/>
      <c r="N113" s="1399"/>
      <c r="O113" s="1280"/>
      <c r="Z113" s="1280"/>
    </row>
    <row r="114" spans="1:26" x14ac:dyDescent="0.6">
      <c r="A114" s="1280"/>
      <c r="N114" s="1399"/>
      <c r="O114" s="1280"/>
      <c r="Z114" s="1280"/>
    </row>
    <row r="115" spans="1:26" x14ac:dyDescent="0.6">
      <c r="A115" s="1280"/>
      <c r="N115" s="1399"/>
      <c r="O115" s="1280"/>
      <c r="Z115" s="1280"/>
    </row>
    <row r="116" spans="1:26" x14ac:dyDescent="0.6">
      <c r="A116" s="1280"/>
      <c r="N116" s="1399"/>
      <c r="O116" s="1280"/>
      <c r="Z116" s="1280"/>
    </row>
    <row r="117" spans="1:26" x14ac:dyDescent="0.6">
      <c r="A117" s="1280"/>
      <c r="N117" s="1399"/>
      <c r="O117" s="1280"/>
      <c r="Z117" s="1280"/>
    </row>
    <row r="118" spans="1:26" x14ac:dyDescent="0.6">
      <c r="A118" s="1280"/>
      <c r="N118" s="1399"/>
      <c r="O118" s="1280"/>
      <c r="Z118" s="1280"/>
    </row>
    <row r="119" spans="1:26" x14ac:dyDescent="0.6">
      <c r="A119" s="1280"/>
      <c r="N119" s="1399"/>
      <c r="O119" s="1280"/>
      <c r="Z119" s="1280"/>
    </row>
    <row r="120" spans="1:26" x14ac:dyDescent="0.6">
      <c r="A120" s="1280"/>
      <c r="N120" s="1399"/>
      <c r="O120" s="1280"/>
      <c r="Z120" s="1280"/>
    </row>
    <row r="121" spans="1:26" x14ac:dyDescent="0.6">
      <c r="A121" s="1280"/>
      <c r="N121" s="1399"/>
      <c r="O121" s="1280"/>
      <c r="Z121" s="1280"/>
    </row>
    <row r="122" spans="1:26" x14ac:dyDescent="0.6">
      <c r="A122" s="1280"/>
      <c r="N122" s="1399"/>
      <c r="O122" s="1280"/>
      <c r="Z122" s="1280"/>
    </row>
    <row r="123" spans="1:26" x14ac:dyDescent="0.6">
      <c r="A123" s="1280"/>
      <c r="N123" s="1399"/>
      <c r="O123" s="1280"/>
      <c r="Z123" s="1280"/>
    </row>
    <row r="124" spans="1:26" x14ac:dyDescent="0.6">
      <c r="A124" s="1280"/>
      <c r="N124" s="1399"/>
      <c r="O124" s="1280"/>
      <c r="Z124" s="1280"/>
    </row>
    <row r="125" spans="1:26" x14ac:dyDescent="0.6">
      <c r="A125" s="1280"/>
      <c r="N125" s="1399"/>
      <c r="O125" s="1280"/>
      <c r="Z125" s="1280"/>
    </row>
    <row r="126" spans="1:26" x14ac:dyDescent="0.6">
      <c r="A126" s="1280"/>
      <c r="N126" s="1399"/>
      <c r="O126" s="1280"/>
      <c r="Z126" s="1280"/>
    </row>
    <row r="127" spans="1:26" x14ac:dyDescent="0.6">
      <c r="A127" s="1280"/>
      <c r="N127" s="1399"/>
      <c r="O127" s="1280"/>
      <c r="Z127" s="1280"/>
    </row>
    <row r="128" spans="1:26" x14ac:dyDescent="0.6">
      <c r="A128" s="1280"/>
      <c r="N128" s="1399"/>
      <c r="O128" s="1280"/>
      <c r="Z128" s="1280"/>
    </row>
    <row r="129" spans="1:26" x14ac:dyDescent="0.6">
      <c r="A129" s="1280"/>
      <c r="N129" s="1399"/>
      <c r="O129" s="1280"/>
      <c r="Z129" s="1280"/>
    </row>
    <row r="130" spans="1:26" x14ac:dyDescent="0.6">
      <c r="A130" s="1280"/>
      <c r="N130" s="1399"/>
      <c r="O130" s="1280"/>
      <c r="Z130" s="1280"/>
    </row>
    <row r="131" spans="1:26" x14ac:dyDescent="0.6">
      <c r="A131" s="1280"/>
      <c r="N131" s="1399"/>
      <c r="O131" s="1280"/>
      <c r="Z131" s="1280"/>
    </row>
    <row r="132" spans="1:26" x14ac:dyDescent="0.6">
      <c r="A132" s="1280"/>
      <c r="N132" s="1399"/>
      <c r="O132" s="1280"/>
      <c r="Z132" s="1280"/>
    </row>
    <row r="133" spans="1:26" x14ac:dyDescent="0.6">
      <c r="A133" s="1280"/>
      <c r="N133" s="1399"/>
      <c r="O133" s="1280"/>
      <c r="Z133" s="1280"/>
    </row>
    <row r="134" spans="1:26" x14ac:dyDescent="0.6">
      <c r="A134" s="1280"/>
      <c r="N134" s="1399"/>
      <c r="O134" s="1280"/>
      <c r="Z134" s="1280"/>
    </row>
    <row r="135" spans="1:26" x14ac:dyDescent="0.6">
      <c r="A135" s="1280"/>
      <c r="N135" s="1399"/>
      <c r="O135" s="1280"/>
      <c r="Z135" s="1280"/>
    </row>
    <row r="136" spans="1:26" x14ac:dyDescent="0.6">
      <c r="A136" s="1280"/>
      <c r="N136" s="1399"/>
      <c r="O136" s="1280"/>
      <c r="Z136" s="1280"/>
    </row>
    <row r="137" spans="1:26" x14ac:dyDescent="0.6">
      <c r="A137" s="1280"/>
      <c r="N137" s="1399"/>
      <c r="O137" s="1280"/>
      <c r="Z137" s="1280"/>
    </row>
    <row r="138" spans="1:26" x14ac:dyDescent="0.6">
      <c r="A138" s="1280"/>
      <c r="N138" s="1399"/>
      <c r="O138" s="1280"/>
      <c r="Z138" s="1280"/>
    </row>
    <row r="139" spans="1:26" x14ac:dyDescent="0.6">
      <c r="A139" s="1280"/>
      <c r="N139" s="1399"/>
      <c r="O139" s="1280"/>
      <c r="Z139" s="1280"/>
    </row>
    <row r="140" spans="1:26" x14ac:dyDescent="0.6">
      <c r="A140" s="1280"/>
      <c r="N140" s="1399"/>
      <c r="O140" s="1280"/>
      <c r="Z140" s="1280"/>
    </row>
    <row r="141" spans="1:26" x14ac:dyDescent="0.6">
      <c r="A141" s="1280"/>
      <c r="N141" s="1399"/>
      <c r="O141" s="1280"/>
      <c r="Z141" s="1280"/>
    </row>
    <row r="142" spans="1:26" x14ac:dyDescent="0.6">
      <c r="A142" s="1280"/>
      <c r="N142" s="1399"/>
      <c r="O142" s="1280"/>
      <c r="Z142" s="1280"/>
    </row>
    <row r="143" spans="1:26" x14ac:dyDescent="0.6">
      <c r="A143" s="1280"/>
      <c r="N143" s="1399"/>
      <c r="O143" s="1280"/>
      <c r="Z143" s="1280"/>
    </row>
    <row r="144" spans="1:26" x14ac:dyDescent="0.6">
      <c r="A144" s="1280"/>
      <c r="N144" s="1399"/>
      <c r="O144" s="1280"/>
      <c r="Z144" s="1280"/>
    </row>
    <row r="145" spans="1:26" x14ac:dyDescent="0.6">
      <c r="A145" s="1280"/>
      <c r="N145" s="1399"/>
      <c r="O145" s="1280"/>
      <c r="Z145" s="1280"/>
    </row>
    <row r="146" spans="1:26" x14ac:dyDescent="0.6">
      <c r="A146" s="1280"/>
      <c r="N146" s="1399"/>
      <c r="O146" s="1280"/>
      <c r="Z146" s="1280"/>
    </row>
    <row r="147" spans="1:26" x14ac:dyDescent="0.6">
      <c r="A147" s="1280"/>
      <c r="N147" s="1399"/>
      <c r="O147" s="1280"/>
      <c r="Z147" s="1280"/>
    </row>
    <row r="148" spans="1:26" x14ac:dyDescent="0.6">
      <c r="A148" s="1280"/>
      <c r="N148" s="1399"/>
      <c r="O148" s="1280"/>
      <c r="Z148" s="1280"/>
    </row>
    <row r="149" spans="1:26" x14ac:dyDescent="0.6">
      <c r="A149" s="1280"/>
      <c r="N149" s="1399"/>
      <c r="O149" s="1280"/>
      <c r="Z149" s="1280"/>
    </row>
    <row r="150" spans="1:26" x14ac:dyDescent="0.6">
      <c r="A150" s="1280"/>
      <c r="N150" s="1399"/>
      <c r="O150" s="1280"/>
      <c r="Z150" s="1280"/>
    </row>
    <row r="151" spans="1:26" x14ac:dyDescent="0.6">
      <c r="A151" s="1280"/>
      <c r="N151" s="1399"/>
      <c r="O151" s="1280"/>
      <c r="Z151" s="1280"/>
    </row>
    <row r="152" spans="1:26" x14ac:dyDescent="0.6">
      <c r="A152" s="1280"/>
      <c r="N152" s="1399"/>
      <c r="O152" s="1280"/>
      <c r="Z152" s="1280"/>
    </row>
    <row r="153" spans="1:26" x14ac:dyDescent="0.6">
      <c r="A153" s="1280"/>
      <c r="N153" s="1399"/>
      <c r="O153" s="1280"/>
      <c r="Z153" s="1280"/>
    </row>
    <row r="154" spans="1:26" x14ac:dyDescent="0.6">
      <c r="A154" s="1280"/>
      <c r="N154" s="1399"/>
      <c r="O154" s="1280"/>
      <c r="Z154" s="1280"/>
    </row>
    <row r="155" spans="1:26" x14ac:dyDescent="0.6">
      <c r="A155" s="1280"/>
      <c r="N155" s="1399"/>
      <c r="O155" s="1280"/>
      <c r="Z155" s="1280"/>
    </row>
    <row r="156" spans="1:26" x14ac:dyDescent="0.6">
      <c r="A156" s="1280"/>
      <c r="N156" s="1399"/>
      <c r="O156" s="1280"/>
      <c r="Z156" s="1280"/>
    </row>
    <row r="157" spans="1:26" x14ac:dyDescent="0.6">
      <c r="A157" s="1280"/>
      <c r="N157" s="1399"/>
      <c r="O157" s="1280"/>
      <c r="Z157" s="1280"/>
    </row>
    <row r="158" spans="1:26" x14ac:dyDescent="0.6">
      <c r="A158" s="1280"/>
      <c r="N158" s="1399"/>
      <c r="O158" s="1280"/>
      <c r="Z158" s="1280"/>
    </row>
    <row r="159" spans="1:26" x14ac:dyDescent="0.6">
      <c r="A159" s="1280"/>
      <c r="N159" s="1399"/>
      <c r="O159" s="1280"/>
      <c r="Z159" s="1280"/>
    </row>
    <row r="160" spans="1:26" x14ac:dyDescent="0.6">
      <c r="A160" s="1280"/>
      <c r="N160" s="1399"/>
      <c r="O160" s="1280"/>
      <c r="Z160" s="1280"/>
    </row>
    <row r="161" spans="1:26" x14ac:dyDescent="0.6">
      <c r="A161" s="1280"/>
      <c r="N161" s="1399"/>
      <c r="O161" s="1280"/>
      <c r="Z161" s="1280"/>
    </row>
    <row r="162" spans="1:26" x14ac:dyDescent="0.6">
      <c r="A162" s="1280"/>
      <c r="N162" s="1399"/>
      <c r="O162" s="1280"/>
      <c r="Z162" s="1280"/>
    </row>
    <row r="163" spans="1:26" x14ac:dyDescent="0.6">
      <c r="A163" s="1280"/>
      <c r="N163" s="1399"/>
      <c r="O163" s="1280"/>
      <c r="Z163" s="1280"/>
    </row>
    <row r="164" spans="1:26" x14ac:dyDescent="0.6">
      <c r="A164" s="1280"/>
      <c r="N164" s="1399"/>
      <c r="O164" s="1280"/>
      <c r="Z164" s="1280"/>
    </row>
    <row r="165" spans="1:26" x14ac:dyDescent="0.6">
      <c r="A165" s="1280"/>
      <c r="N165" s="1399"/>
      <c r="O165" s="1280"/>
      <c r="Z165" s="1280"/>
    </row>
    <row r="166" spans="1:26" x14ac:dyDescent="0.6">
      <c r="A166" s="1280"/>
      <c r="N166" s="1399"/>
      <c r="O166" s="1280"/>
      <c r="Z166" s="1280"/>
    </row>
    <row r="167" spans="1:26" x14ac:dyDescent="0.6">
      <c r="A167" s="1280"/>
      <c r="N167" s="1399"/>
      <c r="O167" s="1280"/>
      <c r="Z167" s="1280"/>
    </row>
    <row r="168" spans="1:26" x14ac:dyDescent="0.6">
      <c r="A168" s="1280"/>
      <c r="N168" s="1399"/>
      <c r="O168" s="1280"/>
      <c r="Z168" s="1280"/>
    </row>
    <row r="169" spans="1:26" x14ac:dyDescent="0.6">
      <c r="A169" s="1280"/>
      <c r="N169" s="1399"/>
      <c r="O169" s="1280"/>
      <c r="Z169" s="1280"/>
    </row>
    <row r="170" spans="1:26" x14ac:dyDescent="0.6">
      <c r="A170" s="1280"/>
      <c r="N170" s="1399"/>
      <c r="O170" s="1280"/>
      <c r="Z170" s="1280"/>
    </row>
    <row r="171" spans="1:26" x14ac:dyDescent="0.6">
      <c r="A171" s="1280"/>
      <c r="N171" s="1399"/>
      <c r="O171" s="1280"/>
      <c r="Z171" s="1280"/>
    </row>
    <row r="172" spans="1:26" x14ac:dyDescent="0.6">
      <c r="A172" s="1280"/>
      <c r="N172" s="1399"/>
      <c r="O172" s="1280"/>
      <c r="Z172" s="1280"/>
    </row>
    <row r="173" spans="1:26" x14ac:dyDescent="0.6">
      <c r="A173" s="1280"/>
      <c r="N173" s="1399"/>
      <c r="O173" s="1280"/>
      <c r="Z173" s="1280"/>
    </row>
    <row r="174" spans="1:26" x14ac:dyDescent="0.6">
      <c r="A174" s="1280"/>
      <c r="N174" s="1399"/>
      <c r="O174" s="1280"/>
      <c r="Z174" s="1280"/>
    </row>
    <row r="175" spans="1:26" x14ac:dyDescent="0.6">
      <c r="A175" s="1280"/>
      <c r="N175" s="1399"/>
      <c r="O175" s="1280"/>
      <c r="Z175" s="1280"/>
    </row>
    <row r="176" spans="1:26" x14ac:dyDescent="0.6">
      <c r="A176" s="1280"/>
      <c r="N176" s="1399"/>
      <c r="O176" s="1280"/>
      <c r="Z176" s="1280"/>
    </row>
    <row r="177" spans="1:26" x14ac:dyDescent="0.6">
      <c r="A177" s="1280"/>
      <c r="N177" s="1399"/>
      <c r="O177" s="1280"/>
      <c r="Z177" s="1280"/>
    </row>
    <row r="178" spans="1:26" x14ac:dyDescent="0.6">
      <c r="A178" s="1280"/>
      <c r="N178" s="1399"/>
      <c r="O178" s="1280"/>
      <c r="Z178" s="1280"/>
    </row>
    <row r="179" spans="1:26" x14ac:dyDescent="0.6">
      <c r="A179" s="1280"/>
      <c r="N179" s="1399"/>
      <c r="O179" s="1280"/>
      <c r="Z179" s="1280"/>
    </row>
    <row r="180" spans="1:26" x14ac:dyDescent="0.6">
      <c r="A180" s="1280"/>
      <c r="N180" s="1399"/>
      <c r="O180" s="1280"/>
      <c r="Z180" s="1280"/>
    </row>
    <row r="181" spans="1:26" x14ac:dyDescent="0.6">
      <c r="A181" s="1280"/>
      <c r="N181" s="1399"/>
      <c r="O181" s="1280"/>
      <c r="Z181" s="1280"/>
    </row>
    <row r="182" spans="1:26" x14ac:dyDescent="0.6">
      <c r="A182" s="1280"/>
      <c r="N182" s="1399"/>
      <c r="O182" s="1280"/>
      <c r="Z182" s="1280"/>
    </row>
    <row r="183" spans="1:26" x14ac:dyDescent="0.6">
      <c r="A183" s="1280"/>
      <c r="N183" s="1399"/>
      <c r="O183" s="1280"/>
      <c r="Z183" s="1280"/>
    </row>
    <row r="184" spans="1:26" x14ac:dyDescent="0.6">
      <c r="A184" s="1280"/>
      <c r="N184" s="1399"/>
      <c r="O184" s="1280"/>
      <c r="Z184" s="1280"/>
    </row>
    <row r="185" spans="1:26" x14ac:dyDescent="0.6">
      <c r="A185" s="1280"/>
      <c r="N185" s="1399"/>
      <c r="O185" s="1280"/>
      <c r="Z185" s="1280"/>
    </row>
    <row r="186" spans="1:26" x14ac:dyDescent="0.6">
      <c r="A186" s="1280"/>
      <c r="N186" s="1399"/>
      <c r="O186" s="1280"/>
      <c r="Z186" s="1280"/>
    </row>
    <row r="187" spans="1:26" x14ac:dyDescent="0.6">
      <c r="A187" s="1280"/>
      <c r="N187" s="1399"/>
      <c r="O187" s="1280"/>
      <c r="Z187" s="1280"/>
    </row>
    <row r="188" spans="1:26" x14ac:dyDescent="0.6">
      <c r="A188" s="1280"/>
      <c r="N188" s="1399"/>
      <c r="O188" s="1280"/>
      <c r="Z188" s="1280"/>
    </row>
    <row r="189" spans="1:26" x14ac:dyDescent="0.6">
      <c r="A189" s="1280"/>
      <c r="N189" s="1399"/>
      <c r="O189" s="1280"/>
      <c r="Z189" s="1280"/>
    </row>
    <row r="190" spans="1:26" x14ac:dyDescent="0.6">
      <c r="A190" s="1280"/>
      <c r="N190" s="1399"/>
      <c r="O190" s="1280"/>
      <c r="Z190" s="1280"/>
    </row>
    <row r="191" spans="1:26" x14ac:dyDescent="0.6">
      <c r="A191" s="1280"/>
      <c r="N191" s="1399"/>
      <c r="O191" s="1280"/>
      <c r="Z191" s="1280"/>
    </row>
    <row r="192" spans="1:26" x14ac:dyDescent="0.6">
      <c r="A192" s="1280"/>
      <c r="N192" s="1399"/>
      <c r="O192" s="1280"/>
      <c r="Z192" s="1280"/>
    </row>
    <row r="193" spans="1:26" x14ac:dyDescent="0.6">
      <c r="A193" s="1280"/>
      <c r="N193" s="1399"/>
      <c r="O193" s="1280"/>
      <c r="Z193" s="1280"/>
    </row>
    <row r="194" spans="1:26" x14ac:dyDescent="0.6">
      <c r="A194" s="1280"/>
      <c r="N194" s="1399"/>
      <c r="O194" s="1280"/>
      <c r="Z194" s="1280"/>
    </row>
    <row r="195" spans="1:26" x14ac:dyDescent="0.6">
      <c r="A195" s="1280"/>
      <c r="N195" s="1399"/>
      <c r="O195" s="1280"/>
      <c r="Z195" s="1280"/>
    </row>
    <row r="196" spans="1:26" x14ac:dyDescent="0.6">
      <c r="A196" s="1280"/>
      <c r="N196" s="1399"/>
      <c r="O196" s="1280"/>
      <c r="Z196" s="1280"/>
    </row>
    <row r="197" spans="1:26" x14ac:dyDescent="0.6">
      <c r="A197" s="1280"/>
      <c r="N197" s="1399"/>
      <c r="O197" s="1280"/>
      <c r="Z197" s="1280"/>
    </row>
    <row r="198" spans="1:26" x14ac:dyDescent="0.6">
      <c r="A198" s="1280"/>
      <c r="N198" s="1399"/>
      <c r="O198" s="1280"/>
      <c r="Z198" s="1280"/>
    </row>
    <row r="199" spans="1:26" x14ac:dyDescent="0.6">
      <c r="A199" s="1280"/>
      <c r="N199" s="1399"/>
      <c r="O199" s="1280"/>
      <c r="Z199" s="1280"/>
    </row>
    <row r="200" spans="1:26" x14ac:dyDescent="0.6">
      <c r="A200" s="1280"/>
      <c r="N200" s="1399"/>
      <c r="O200" s="1280"/>
      <c r="Z200" s="1280"/>
    </row>
    <row r="201" spans="1:26" x14ac:dyDescent="0.6">
      <c r="A201" s="1280"/>
      <c r="N201" s="1399"/>
      <c r="O201" s="1280"/>
      <c r="Z201" s="1280"/>
    </row>
    <row r="202" spans="1:26" x14ac:dyDescent="0.6">
      <c r="A202" s="1280"/>
      <c r="N202" s="1399"/>
      <c r="O202" s="1280"/>
      <c r="Z202" s="1280"/>
    </row>
    <row r="203" spans="1:26" x14ac:dyDescent="0.6">
      <c r="A203" s="1280"/>
      <c r="N203" s="1399"/>
      <c r="O203" s="1280"/>
      <c r="Z203" s="1280"/>
    </row>
    <row r="204" spans="1:26" x14ac:dyDescent="0.6">
      <c r="A204" s="1280"/>
      <c r="N204" s="1399"/>
      <c r="O204" s="1280"/>
      <c r="Z204" s="1280"/>
    </row>
    <row r="205" spans="1:26" x14ac:dyDescent="0.6">
      <c r="A205" s="1280"/>
      <c r="N205" s="1399"/>
      <c r="O205" s="1280"/>
      <c r="Z205" s="1280"/>
    </row>
    <row r="206" spans="1:26" x14ac:dyDescent="0.6">
      <c r="A206" s="1280"/>
      <c r="N206" s="1399"/>
      <c r="O206" s="1280"/>
      <c r="Z206" s="1280"/>
    </row>
    <row r="207" spans="1:26" x14ac:dyDescent="0.6">
      <c r="A207" s="1280"/>
      <c r="N207" s="1399"/>
      <c r="O207" s="1280"/>
      <c r="Z207" s="1280"/>
    </row>
    <row r="208" spans="1:26" x14ac:dyDescent="0.6">
      <c r="A208" s="1280"/>
      <c r="N208" s="1399"/>
      <c r="O208" s="1280"/>
      <c r="Z208" s="1280"/>
    </row>
    <row r="209" spans="1:26" x14ac:dyDescent="0.6">
      <c r="A209" s="1280"/>
      <c r="N209" s="1399"/>
      <c r="O209" s="1280"/>
      <c r="Z209" s="1280"/>
    </row>
    <row r="210" spans="1:26" x14ac:dyDescent="0.6">
      <c r="A210" s="1280"/>
      <c r="N210" s="1399"/>
      <c r="O210" s="1280"/>
      <c r="Z210" s="1280"/>
    </row>
    <row r="211" spans="1:26" x14ac:dyDescent="0.6">
      <c r="A211" s="1280"/>
      <c r="N211" s="1399"/>
      <c r="O211" s="1280"/>
      <c r="Z211" s="1280"/>
    </row>
    <row r="212" spans="1:26" x14ac:dyDescent="0.6">
      <c r="A212" s="1280"/>
      <c r="N212" s="1399"/>
      <c r="O212" s="1280"/>
      <c r="Z212" s="1280"/>
    </row>
    <row r="213" spans="1:26" x14ac:dyDescent="0.6">
      <c r="A213" s="1280"/>
      <c r="N213" s="1399"/>
      <c r="O213" s="1280"/>
      <c r="Z213" s="1280"/>
    </row>
    <row r="214" spans="1:26" x14ac:dyDescent="0.6">
      <c r="A214" s="1280"/>
      <c r="N214" s="1399"/>
      <c r="O214" s="1280"/>
      <c r="Z214" s="1280"/>
    </row>
    <row r="215" spans="1:26" x14ac:dyDescent="0.6">
      <c r="A215" s="1280"/>
      <c r="N215" s="1399"/>
      <c r="O215" s="1280"/>
      <c r="Z215" s="1280"/>
    </row>
    <row r="216" spans="1:26" x14ac:dyDescent="0.6">
      <c r="A216" s="1280"/>
      <c r="N216" s="1399"/>
      <c r="O216" s="1280"/>
      <c r="Z216" s="1280"/>
    </row>
    <row r="217" spans="1:26" x14ac:dyDescent="0.6">
      <c r="A217" s="1280"/>
      <c r="N217" s="1399"/>
      <c r="O217" s="1280"/>
      <c r="Z217" s="1280"/>
    </row>
    <row r="218" spans="1:26" x14ac:dyDescent="0.6">
      <c r="A218" s="1280"/>
      <c r="N218" s="1399"/>
      <c r="O218" s="1280"/>
      <c r="Z218" s="1280"/>
    </row>
    <row r="219" spans="1:26" x14ac:dyDescent="0.6">
      <c r="A219" s="1280"/>
      <c r="N219" s="1399"/>
      <c r="O219" s="1280"/>
      <c r="Z219" s="1280"/>
    </row>
    <row r="220" spans="1:26" x14ac:dyDescent="0.6">
      <c r="A220" s="1280"/>
      <c r="N220" s="1399"/>
      <c r="O220" s="1280"/>
      <c r="Z220" s="1280"/>
    </row>
    <row r="221" spans="1:26" x14ac:dyDescent="0.6">
      <c r="A221" s="1280"/>
      <c r="N221" s="1399"/>
      <c r="O221" s="1280"/>
      <c r="Z221" s="1280"/>
    </row>
    <row r="222" spans="1:26" x14ac:dyDescent="0.6">
      <c r="A222" s="1280"/>
      <c r="N222" s="1399"/>
      <c r="O222" s="1280"/>
      <c r="Z222" s="1280"/>
    </row>
    <row r="223" spans="1:26" x14ac:dyDescent="0.6">
      <c r="A223" s="1280"/>
      <c r="N223" s="1399"/>
      <c r="O223" s="1280"/>
      <c r="Z223" s="1280"/>
    </row>
    <row r="224" spans="1:26" x14ac:dyDescent="0.6">
      <c r="A224" s="1280"/>
      <c r="N224" s="1399"/>
      <c r="O224" s="1280"/>
      <c r="Z224" s="1280"/>
    </row>
    <row r="225" spans="1:26" x14ac:dyDescent="0.6">
      <c r="A225" s="1280"/>
      <c r="N225" s="1399"/>
      <c r="O225" s="1280"/>
      <c r="Z225" s="1280"/>
    </row>
    <row r="226" spans="1:26" x14ac:dyDescent="0.6">
      <c r="A226" s="1280"/>
      <c r="N226" s="1399"/>
      <c r="O226" s="1280"/>
      <c r="Z226" s="1280"/>
    </row>
    <row r="227" spans="1:26" x14ac:dyDescent="0.6">
      <c r="A227" s="1280"/>
      <c r="N227" s="1399"/>
      <c r="O227" s="1280"/>
      <c r="Z227" s="1280"/>
    </row>
    <row r="228" spans="1:26" x14ac:dyDescent="0.6">
      <c r="A228" s="1280"/>
      <c r="N228" s="1399"/>
      <c r="O228" s="1280"/>
      <c r="Z228" s="1280"/>
    </row>
    <row r="229" spans="1:26" x14ac:dyDescent="0.6">
      <c r="A229" s="1280"/>
      <c r="N229" s="1399"/>
      <c r="O229" s="1280"/>
      <c r="Z229" s="1280"/>
    </row>
    <row r="230" spans="1:26" x14ac:dyDescent="0.6">
      <c r="A230" s="1280"/>
      <c r="N230" s="1399"/>
      <c r="O230" s="1280"/>
      <c r="Z230" s="1280"/>
    </row>
    <row r="231" spans="1:26" x14ac:dyDescent="0.6">
      <c r="A231" s="1280"/>
      <c r="N231" s="1399"/>
      <c r="O231" s="1280"/>
      <c r="Z231" s="1280"/>
    </row>
    <row r="232" spans="1:26" x14ac:dyDescent="0.6">
      <c r="A232" s="1280"/>
      <c r="N232" s="1399"/>
      <c r="O232" s="1280"/>
      <c r="Z232" s="1280"/>
    </row>
    <row r="233" spans="1:26" x14ac:dyDescent="0.6">
      <c r="A233" s="1280"/>
      <c r="N233" s="1399"/>
      <c r="O233" s="1280"/>
      <c r="Z233" s="1280"/>
    </row>
    <row r="234" spans="1:26" x14ac:dyDescent="0.6">
      <c r="A234" s="1280"/>
      <c r="N234" s="1399"/>
      <c r="O234" s="1280"/>
      <c r="Z234" s="1280"/>
    </row>
    <row r="235" spans="1:26" x14ac:dyDescent="0.6">
      <c r="A235" s="1280"/>
      <c r="N235" s="1399"/>
      <c r="O235" s="1280"/>
      <c r="Z235" s="1280"/>
    </row>
    <row r="236" spans="1:26" x14ac:dyDescent="0.6">
      <c r="A236" s="1280"/>
      <c r="N236" s="1399"/>
      <c r="O236" s="1280"/>
      <c r="Z236" s="1280"/>
    </row>
    <row r="237" spans="1:26" x14ac:dyDescent="0.6">
      <c r="A237" s="1280"/>
      <c r="N237" s="1399"/>
      <c r="O237" s="1280"/>
      <c r="Z237" s="1280"/>
    </row>
    <row r="238" spans="1:26" x14ac:dyDescent="0.6">
      <c r="A238" s="1280"/>
      <c r="N238" s="1399"/>
      <c r="O238" s="1280"/>
      <c r="Z238" s="1280"/>
    </row>
    <row r="239" spans="1:26" x14ac:dyDescent="0.6">
      <c r="A239" s="1280"/>
      <c r="N239" s="1399"/>
      <c r="O239" s="1280"/>
      <c r="Z239" s="1280"/>
    </row>
    <row r="240" spans="1:26" x14ac:dyDescent="0.6">
      <c r="A240" s="1280"/>
      <c r="N240" s="1399"/>
      <c r="O240" s="1280"/>
      <c r="Z240" s="1280"/>
    </row>
    <row r="241" spans="1:26" x14ac:dyDescent="0.6">
      <c r="A241" s="1280"/>
      <c r="N241" s="1399"/>
      <c r="O241" s="1280"/>
      <c r="Z241" s="1280"/>
    </row>
    <row r="242" spans="1:26" x14ac:dyDescent="0.6">
      <c r="A242" s="1280"/>
      <c r="N242" s="1399"/>
      <c r="O242" s="1280"/>
      <c r="Z242" s="1280"/>
    </row>
    <row r="243" spans="1:26" x14ac:dyDescent="0.6">
      <c r="A243" s="1280"/>
      <c r="N243" s="1399"/>
      <c r="O243" s="1280"/>
      <c r="Z243" s="1280"/>
    </row>
    <row r="244" spans="1:26" x14ac:dyDescent="0.6">
      <c r="A244" s="1280"/>
      <c r="N244" s="1399"/>
      <c r="O244" s="1280"/>
      <c r="Z244" s="1280"/>
    </row>
    <row r="245" spans="1:26" x14ac:dyDescent="0.6">
      <c r="A245" s="1280"/>
      <c r="N245" s="1399"/>
      <c r="O245" s="1280"/>
      <c r="Z245" s="1280"/>
    </row>
    <row r="246" spans="1:26" x14ac:dyDescent="0.6">
      <c r="A246" s="1280"/>
      <c r="N246" s="1399"/>
      <c r="O246" s="1280"/>
      <c r="Z246" s="1280"/>
    </row>
    <row r="247" spans="1:26" x14ac:dyDescent="0.6">
      <c r="A247" s="1280"/>
      <c r="N247" s="1399"/>
      <c r="O247" s="1280"/>
      <c r="Z247" s="1280"/>
    </row>
    <row r="248" spans="1:26" x14ac:dyDescent="0.6">
      <c r="A248" s="1280"/>
      <c r="N248" s="1399"/>
      <c r="O248" s="1280"/>
      <c r="Z248" s="1280"/>
    </row>
    <row r="249" spans="1:26" x14ac:dyDescent="0.6">
      <c r="A249" s="1280"/>
      <c r="N249" s="1399"/>
      <c r="O249" s="1280"/>
      <c r="Z249" s="1280"/>
    </row>
    <row r="250" spans="1:26" x14ac:dyDescent="0.6">
      <c r="A250" s="1280"/>
      <c r="N250" s="1399"/>
      <c r="O250" s="1280"/>
      <c r="Z250" s="1280"/>
    </row>
    <row r="251" spans="1:26" x14ac:dyDescent="0.6">
      <c r="A251" s="1280"/>
      <c r="N251" s="1399"/>
      <c r="O251" s="1280"/>
      <c r="Z251" s="1280"/>
    </row>
    <row r="252" spans="1:26" x14ac:dyDescent="0.6">
      <c r="A252" s="1280"/>
      <c r="N252" s="1399"/>
      <c r="O252" s="1280"/>
      <c r="Z252" s="1280"/>
    </row>
    <row r="253" spans="1:26" x14ac:dyDescent="0.6">
      <c r="A253" s="1280"/>
      <c r="N253" s="1399"/>
      <c r="O253" s="1280"/>
      <c r="Z253" s="1280"/>
    </row>
    <row r="254" spans="1:26" x14ac:dyDescent="0.6">
      <c r="A254" s="1280"/>
      <c r="N254" s="1399"/>
      <c r="O254" s="1280"/>
      <c r="Z254" s="1280"/>
    </row>
    <row r="255" spans="1:26" x14ac:dyDescent="0.6">
      <c r="A255" s="1280"/>
      <c r="N255" s="1399"/>
      <c r="O255" s="1280"/>
      <c r="Z255" s="1280"/>
    </row>
    <row r="256" spans="1:26" x14ac:dyDescent="0.6">
      <c r="A256" s="1280"/>
      <c r="N256" s="1399"/>
      <c r="O256" s="1280"/>
      <c r="Z256" s="1280"/>
    </row>
    <row r="257" spans="1:26" x14ac:dyDescent="0.6">
      <c r="A257" s="1280"/>
      <c r="N257" s="1399"/>
      <c r="O257" s="1280"/>
      <c r="Z257" s="1280"/>
    </row>
    <row r="258" spans="1:26" x14ac:dyDescent="0.6">
      <c r="A258" s="1280"/>
      <c r="N258" s="1399"/>
      <c r="O258" s="1280"/>
      <c r="Z258" s="1280"/>
    </row>
    <row r="259" spans="1:26" x14ac:dyDescent="0.6">
      <c r="A259" s="1280"/>
      <c r="N259" s="1399"/>
      <c r="O259" s="1280"/>
      <c r="Z259" s="1280"/>
    </row>
    <row r="260" spans="1:26" x14ac:dyDescent="0.6">
      <c r="A260" s="1280"/>
      <c r="N260" s="1399"/>
      <c r="O260" s="1280"/>
      <c r="Z260" s="1280"/>
    </row>
    <row r="261" spans="1:26" x14ac:dyDescent="0.6">
      <c r="A261" s="1280"/>
      <c r="N261" s="1399"/>
      <c r="O261" s="1280"/>
      <c r="Z261" s="1280"/>
    </row>
    <row r="262" spans="1:26" x14ac:dyDescent="0.6">
      <c r="A262" s="1280"/>
      <c r="N262" s="1399"/>
      <c r="O262" s="1280"/>
      <c r="Z262" s="1280"/>
    </row>
    <row r="263" spans="1:26" x14ac:dyDescent="0.6">
      <c r="A263" s="1280"/>
      <c r="N263" s="1399"/>
      <c r="O263" s="1280"/>
      <c r="Z263" s="1280"/>
    </row>
    <row r="264" spans="1:26" x14ac:dyDescent="0.6">
      <c r="A264" s="1280"/>
      <c r="N264" s="1399"/>
      <c r="O264" s="1280"/>
      <c r="Z264" s="1280"/>
    </row>
    <row r="265" spans="1:26" x14ac:dyDescent="0.6">
      <c r="A265" s="1280"/>
      <c r="N265" s="1399"/>
      <c r="O265" s="1280"/>
      <c r="Z265" s="1280"/>
    </row>
    <row r="266" spans="1:26" x14ac:dyDescent="0.6">
      <c r="A266" s="1280"/>
      <c r="N266" s="1399"/>
      <c r="O266" s="1280"/>
      <c r="Z266" s="1280"/>
    </row>
    <row r="267" spans="1:26" x14ac:dyDescent="0.6">
      <c r="A267" s="1280"/>
      <c r="N267" s="1399"/>
      <c r="O267" s="1280"/>
      <c r="Z267" s="1280"/>
    </row>
    <row r="268" spans="1:26" x14ac:dyDescent="0.6">
      <c r="A268" s="1280"/>
      <c r="N268" s="1399"/>
      <c r="O268" s="1280"/>
      <c r="Z268" s="1280"/>
    </row>
    <row r="269" spans="1:26" x14ac:dyDescent="0.6">
      <c r="A269" s="1280"/>
      <c r="N269" s="1399"/>
      <c r="O269" s="1280"/>
      <c r="Z269" s="1280"/>
    </row>
    <row r="270" spans="1:26" x14ac:dyDescent="0.6">
      <c r="A270" s="1280"/>
      <c r="N270" s="1399"/>
      <c r="O270" s="1280"/>
      <c r="Z270" s="1280"/>
    </row>
    <row r="271" spans="1:26" x14ac:dyDescent="0.6">
      <c r="A271" s="1280"/>
      <c r="N271" s="1399"/>
      <c r="O271" s="1280"/>
      <c r="Z271" s="1280"/>
    </row>
    <row r="272" spans="1:26" x14ac:dyDescent="0.6">
      <c r="A272" s="1280"/>
      <c r="N272" s="1399"/>
      <c r="O272" s="1280"/>
      <c r="Z272" s="1280"/>
    </row>
    <row r="273" spans="1:26" x14ac:dyDescent="0.6">
      <c r="A273" s="1280"/>
      <c r="N273" s="1399"/>
      <c r="O273" s="1280"/>
      <c r="Z273" s="1280"/>
    </row>
    <row r="274" spans="1:26" x14ac:dyDescent="0.6">
      <c r="A274" s="1280"/>
      <c r="N274" s="1399"/>
      <c r="O274" s="1280"/>
      <c r="Z274" s="1280"/>
    </row>
    <row r="275" spans="1:26" x14ac:dyDescent="0.6">
      <c r="A275" s="1280"/>
      <c r="N275" s="1399"/>
      <c r="O275" s="1280"/>
      <c r="Z275" s="1280"/>
    </row>
    <row r="276" spans="1:26" x14ac:dyDescent="0.6">
      <c r="A276" s="1280"/>
      <c r="N276" s="1399"/>
      <c r="O276" s="1280"/>
      <c r="Z276" s="1280"/>
    </row>
    <row r="277" spans="1:26" x14ac:dyDescent="0.6">
      <c r="A277" s="1280"/>
      <c r="N277" s="1399"/>
      <c r="O277" s="1280"/>
      <c r="Z277" s="1280"/>
    </row>
    <row r="278" spans="1:26" x14ac:dyDescent="0.6">
      <c r="A278" s="1280"/>
      <c r="N278" s="1399"/>
      <c r="O278" s="1280"/>
      <c r="Z278" s="1280"/>
    </row>
    <row r="279" spans="1:26" x14ac:dyDescent="0.6">
      <c r="A279" s="1280"/>
      <c r="N279" s="1399"/>
      <c r="O279" s="1280"/>
      <c r="Z279" s="1280"/>
    </row>
    <row r="280" spans="1:26" x14ac:dyDescent="0.6">
      <c r="A280" s="1280"/>
      <c r="N280" s="1399"/>
      <c r="O280" s="1280"/>
      <c r="Z280" s="1280"/>
    </row>
    <row r="281" spans="1:26" x14ac:dyDescent="0.6">
      <c r="A281" s="1280"/>
      <c r="N281" s="1399"/>
      <c r="O281" s="1280"/>
      <c r="Z281" s="1280"/>
    </row>
    <row r="282" spans="1:26" x14ac:dyDescent="0.6">
      <c r="A282" s="1280"/>
      <c r="N282" s="1399"/>
      <c r="O282" s="1280"/>
      <c r="Z282" s="1280"/>
    </row>
    <row r="283" spans="1:26" x14ac:dyDescent="0.6">
      <c r="A283" s="1280"/>
      <c r="N283" s="1399"/>
      <c r="O283" s="1280"/>
      <c r="Z283" s="1280"/>
    </row>
    <row r="284" spans="1:26" x14ac:dyDescent="0.6">
      <c r="A284" s="1280"/>
      <c r="N284" s="1399"/>
      <c r="O284" s="1280"/>
      <c r="Z284" s="1280"/>
    </row>
    <row r="285" spans="1:26" x14ac:dyDescent="0.6">
      <c r="A285" s="1280"/>
      <c r="N285" s="1399"/>
      <c r="O285" s="1280"/>
      <c r="Z285" s="1280"/>
    </row>
    <row r="286" spans="1:26" x14ac:dyDescent="0.6">
      <c r="A286" s="1280"/>
      <c r="N286" s="1399"/>
      <c r="O286" s="1280"/>
      <c r="Z286" s="1280"/>
    </row>
    <row r="287" spans="1:26" x14ac:dyDescent="0.6">
      <c r="A287" s="1280"/>
      <c r="N287" s="1399"/>
      <c r="O287" s="1280"/>
      <c r="Z287" s="1280"/>
    </row>
    <row r="288" spans="1:26" x14ac:dyDescent="0.6">
      <c r="A288" s="1280"/>
      <c r="N288" s="1399"/>
      <c r="O288" s="1280"/>
      <c r="Z288" s="1280"/>
    </row>
    <row r="289" spans="1:26" x14ac:dyDescent="0.6">
      <c r="A289" s="1280"/>
      <c r="N289" s="1399"/>
      <c r="O289" s="1280"/>
      <c r="Z289" s="1280"/>
    </row>
    <row r="290" spans="1:26" x14ac:dyDescent="0.6">
      <c r="A290" s="1280"/>
      <c r="N290" s="1399"/>
      <c r="O290" s="1280"/>
      <c r="Z290" s="1280"/>
    </row>
    <row r="291" spans="1:26" x14ac:dyDescent="0.6">
      <c r="A291" s="1280"/>
      <c r="N291" s="1399"/>
      <c r="O291" s="1280"/>
      <c r="Z291" s="1280"/>
    </row>
    <row r="292" spans="1:26" x14ac:dyDescent="0.6">
      <c r="A292" s="1280"/>
      <c r="N292" s="1399"/>
      <c r="O292" s="1280"/>
      <c r="Z292" s="1280"/>
    </row>
    <row r="293" spans="1:26" x14ac:dyDescent="0.6">
      <c r="A293" s="1280"/>
      <c r="N293" s="1399"/>
      <c r="O293" s="1280"/>
      <c r="Z293" s="1280"/>
    </row>
    <row r="294" spans="1:26" x14ac:dyDescent="0.6">
      <c r="A294" s="1280"/>
      <c r="N294" s="1399"/>
      <c r="O294" s="1280"/>
      <c r="Z294" s="1280"/>
    </row>
    <row r="295" spans="1:26" x14ac:dyDescent="0.6">
      <c r="A295" s="1280"/>
      <c r="N295" s="1399"/>
      <c r="O295" s="1280"/>
      <c r="Z295" s="1280"/>
    </row>
    <row r="296" spans="1:26" x14ac:dyDescent="0.6">
      <c r="A296" s="1280"/>
      <c r="N296" s="1399"/>
      <c r="O296" s="1280"/>
      <c r="Z296" s="1280"/>
    </row>
    <row r="297" spans="1:26" x14ac:dyDescent="0.6">
      <c r="A297" s="1280"/>
      <c r="N297" s="1399"/>
      <c r="O297" s="1280"/>
      <c r="Z297" s="1280"/>
    </row>
    <row r="298" spans="1:26" x14ac:dyDescent="0.6">
      <c r="A298" s="1280"/>
      <c r="N298" s="1399"/>
      <c r="O298" s="1280"/>
      <c r="Z298" s="1280"/>
    </row>
    <row r="299" spans="1:26" x14ac:dyDescent="0.6">
      <c r="A299" s="1280"/>
      <c r="N299" s="1399"/>
      <c r="O299" s="1280"/>
      <c r="Z299" s="1280"/>
    </row>
    <row r="300" spans="1:26" x14ac:dyDescent="0.6">
      <c r="A300" s="1280"/>
      <c r="N300" s="1399"/>
      <c r="O300" s="1280"/>
      <c r="Z300" s="1280"/>
    </row>
    <row r="301" spans="1:26" x14ac:dyDescent="0.6">
      <c r="A301" s="1280"/>
      <c r="N301" s="1399"/>
      <c r="O301" s="1280"/>
      <c r="Z301" s="1280"/>
    </row>
    <row r="302" spans="1:26" x14ac:dyDescent="0.6">
      <c r="A302" s="1280"/>
      <c r="N302" s="1399"/>
      <c r="O302" s="1280"/>
      <c r="Z302" s="1280"/>
    </row>
    <row r="303" spans="1:26" x14ac:dyDescent="0.6">
      <c r="A303" s="1280"/>
      <c r="N303" s="1399"/>
      <c r="O303" s="1280"/>
      <c r="Z303" s="1280"/>
    </row>
    <row r="304" spans="1:26" x14ac:dyDescent="0.6">
      <c r="A304" s="1280"/>
      <c r="N304" s="1399"/>
      <c r="O304" s="1280"/>
      <c r="Z304" s="1280"/>
    </row>
    <row r="305" spans="1:26" x14ac:dyDescent="0.6">
      <c r="A305" s="1280"/>
      <c r="N305" s="1399"/>
      <c r="O305" s="1280"/>
      <c r="Z305" s="1280"/>
    </row>
    <row r="306" spans="1:26" x14ac:dyDescent="0.6">
      <c r="A306" s="1280"/>
      <c r="N306" s="1399"/>
      <c r="O306" s="1280"/>
      <c r="Z306" s="1280"/>
    </row>
    <row r="307" spans="1:26" x14ac:dyDescent="0.6">
      <c r="A307" s="1280"/>
      <c r="N307" s="1399"/>
      <c r="O307" s="1280"/>
      <c r="Z307" s="1280"/>
    </row>
    <row r="308" spans="1:26" x14ac:dyDescent="0.6">
      <c r="A308" s="1280"/>
      <c r="N308" s="1399"/>
      <c r="O308" s="1280"/>
      <c r="Z308" s="1280"/>
    </row>
    <row r="309" spans="1:26" x14ac:dyDescent="0.6">
      <c r="A309" s="1280"/>
      <c r="N309" s="1399"/>
      <c r="O309" s="1280"/>
      <c r="Z309" s="1280"/>
    </row>
    <row r="310" spans="1:26" x14ac:dyDescent="0.6">
      <c r="A310" s="1280"/>
      <c r="N310" s="1399"/>
      <c r="O310" s="1280"/>
      <c r="Z310" s="1280"/>
    </row>
    <row r="311" spans="1:26" x14ac:dyDescent="0.6">
      <c r="A311" s="1280"/>
      <c r="N311" s="1399"/>
      <c r="O311" s="1280"/>
      <c r="Z311" s="1280"/>
    </row>
    <row r="312" spans="1:26" x14ac:dyDescent="0.6">
      <c r="A312" s="1280"/>
      <c r="N312" s="1399"/>
      <c r="O312" s="1280"/>
      <c r="Z312" s="1280"/>
    </row>
    <row r="313" spans="1:26" x14ac:dyDescent="0.6">
      <c r="A313" s="1280"/>
      <c r="N313" s="1399"/>
      <c r="O313" s="1280"/>
      <c r="Z313" s="1280"/>
    </row>
    <row r="314" spans="1:26" x14ac:dyDescent="0.6">
      <c r="A314" s="1280"/>
      <c r="N314" s="1399"/>
      <c r="O314" s="1280"/>
      <c r="Z314" s="1280"/>
    </row>
    <row r="315" spans="1:26" x14ac:dyDescent="0.6">
      <c r="A315" s="1280"/>
      <c r="N315" s="1399"/>
      <c r="O315" s="1280"/>
      <c r="Z315" s="1280"/>
    </row>
    <row r="316" spans="1:26" x14ac:dyDescent="0.6">
      <c r="A316" s="1280"/>
      <c r="N316" s="1399"/>
      <c r="O316" s="1280"/>
      <c r="Z316" s="1280"/>
    </row>
    <row r="317" spans="1:26" x14ac:dyDescent="0.6">
      <c r="A317" s="1280"/>
      <c r="N317" s="1399"/>
      <c r="O317" s="1280"/>
      <c r="Z317" s="1280"/>
    </row>
    <row r="318" spans="1:26" x14ac:dyDescent="0.6">
      <c r="A318" s="1280"/>
      <c r="N318" s="1399"/>
      <c r="O318" s="1280"/>
      <c r="Z318" s="1280"/>
    </row>
    <row r="319" spans="1:26" x14ac:dyDescent="0.6">
      <c r="A319" s="1280"/>
      <c r="N319" s="1399"/>
      <c r="O319" s="1280"/>
      <c r="Z319" s="1280"/>
    </row>
    <row r="320" spans="1:26" x14ac:dyDescent="0.6">
      <c r="A320" s="1280"/>
      <c r="N320" s="1399"/>
      <c r="O320" s="1280"/>
      <c r="Z320" s="1280"/>
    </row>
    <row r="321" spans="1:26" x14ac:dyDescent="0.6">
      <c r="A321" s="1280"/>
      <c r="N321" s="1399"/>
      <c r="O321" s="1280"/>
      <c r="Z321" s="1280"/>
    </row>
    <row r="322" spans="1:26" x14ac:dyDescent="0.6">
      <c r="A322" s="1280"/>
      <c r="N322" s="1399"/>
      <c r="O322" s="1280"/>
      <c r="Z322" s="1280"/>
    </row>
    <row r="323" spans="1:26" x14ac:dyDescent="0.6">
      <c r="A323" s="1280"/>
      <c r="N323" s="1399"/>
      <c r="O323" s="1280"/>
      <c r="Z323" s="1280"/>
    </row>
    <row r="324" spans="1:26" x14ac:dyDescent="0.6">
      <c r="A324" s="1280"/>
      <c r="N324" s="1399"/>
      <c r="O324" s="1280"/>
      <c r="Z324" s="1280"/>
    </row>
    <row r="325" spans="1:26" x14ac:dyDescent="0.6">
      <c r="A325" s="1280"/>
      <c r="N325" s="1399"/>
      <c r="O325" s="1280"/>
      <c r="Z325" s="1280"/>
    </row>
    <row r="326" spans="1:26" x14ac:dyDescent="0.6">
      <c r="A326" s="1280"/>
      <c r="N326" s="1399"/>
      <c r="O326" s="1280"/>
      <c r="Z326" s="1280"/>
    </row>
    <row r="327" spans="1:26" x14ac:dyDescent="0.6">
      <c r="A327" s="1280"/>
      <c r="N327" s="1399"/>
      <c r="O327" s="1280"/>
      <c r="Z327" s="1280"/>
    </row>
    <row r="328" spans="1:26" x14ac:dyDescent="0.6">
      <c r="A328" s="1280"/>
      <c r="N328" s="1399"/>
      <c r="O328" s="1280"/>
      <c r="Z328" s="1280"/>
    </row>
    <row r="329" spans="1:26" x14ac:dyDescent="0.6">
      <c r="A329" s="1280"/>
      <c r="N329" s="1399"/>
      <c r="O329" s="1280"/>
      <c r="Z329" s="1280"/>
    </row>
    <row r="330" spans="1:26" x14ac:dyDescent="0.6">
      <c r="A330" s="1280"/>
      <c r="N330" s="1399"/>
      <c r="O330" s="1280"/>
      <c r="Z330" s="1280"/>
    </row>
    <row r="331" spans="1:26" x14ac:dyDescent="0.6">
      <c r="A331" s="1280"/>
      <c r="N331" s="1399"/>
      <c r="O331" s="1280"/>
      <c r="Z331" s="1280"/>
    </row>
    <row r="332" spans="1:26" x14ac:dyDescent="0.6">
      <c r="A332" s="1280"/>
      <c r="N332" s="1399"/>
      <c r="O332" s="1280"/>
      <c r="Z332" s="1280"/>
    </row>
    <row r="333" spans="1:26" x14ac:dyDescent="0.6">
      <c r="A333" s="1280"/>
      <c r="N333" s="1399"/>
      <c r="O333" s="1280"/>
      <c r="Z333" s="1280"/>
    </row>
    <row r="334" spans="1:26" x14ac:dyDescent="0.6">
      <c r="A334" s="1280"/>
      <c r="N334" s="1399"/>
      <c r="O334" s="1280"/>
      <c r="Z334" s="1280"/>
    </row>
    <row r="335" spans="1:26" x14ac:dyDescent="0.6">
      <c r="A335" s="1280"/>
      <c r="N335" s="1399"/>
      <c r="O335" s="1280"/>
      <c r="Z335" s="1280"/>
    </row>
    <row r="336" spans="1:26" x14ac:dyDescent="0.6">
      <c r="A336" s="1280"/>
      <c r="N336" s="1399"/>
      <c r="O336" s="1280"/>
      <c r="Z336" s="1280"/>
    </row>
    <row r="337" spans="1:26" x14ac:dyDescent="0.6">
      <c r="A337" s="1280"/>
      <c r="N337" s="1399"/>
      <c r="O337" s="1280"/>
      <c r="Z337" s="1280"/>
    </row>
    <row r="338" spans="1:26" x14ac:dyDescent="0.6">
      <c r="A338" s="1280"/>
      <c r="N338" s="1399"/>
      <c r="O338" s="1280"/>
      <c r="Z338" s="1280"/>
    </row>
    <row r="339" spans="1:26" x14ac:dyDescent="0.6">
      <c r="A339" s="1280"/>
      <c r="N339" s="1399"/>
      <c r="O339" s="1280"/>
      <c r="Z339" s="1280"/>
    </row>
    <row r="340" spans="1:26" x14ac:dyDescent="0.6">
      <c r="A340" s="1280"/>
      <c r="N340" s="1399"/>
      <c r="O340" s="1280"/>
      <c r="Z340" s="1280"/>
    </row>
    <row r="341" spans="1:26" x14ac:dyDescent="0.6">
      <c r="A341" s="1280"/>
      <c r="N341" s="1399"/>
      <c r="O341" s="1280"/>
      <c r="Z341" s="1280"/>
    </row>
    <row r="342" spans="1:26" x14ac:dyDescent="0.6">
      <c r="A342" s="1280"/>
      <c r="N342" s="1399"/>
      <c r="O342" s="1280"/>
      <c r="Z342" s="1280"/>
    </row>
    <row r="343" spans="1:26" x14ac:dyDescent="0.6">
      <c r="A343" s="1280"/>
      <c r="N343" s="1399"/>
      <c r="O343" s="1280"/>
      <c r="Z343" s="1280"/>
    </row>
    <row r="344" spans="1:26" x14ac:dyDescent="0.6">
      <c r="A344" s="1280"/>
      <c r="N344" s="1399"/>
      <c r="O344" s="1280"/>
      <c r="Z344" s="1280"/>
    </row>
    <row r="345" spans="1:26" x14ac:dyDescent="0.6">
      <c r="A345" s="1280"/>
      <c r="N345" s="1399"/>
      <c r="O345" s="1280"/>
      <c r="Z345" s="1280"/>
    </row>
    <row r="346" spans="1:26" x14ac:dyDescent="0.6">
      <c r="A346" s="1280"/>
      <c r="N346" s="1399"/>
      <c r="O346" s="1280"/>
      <c r="Z346" s="1280"/>
    </row>
    <row r="347" spans="1:26" x14ac:dyDescent="0.6">
      <c r="A347" s="1280"/>
      <c r="N347" s="1399"/>
      <c r="O347" s="1280"/>
      <c r="Z347" s="1280"/>
    </row>
    <row r="348" spans="1:26" x14ac:dyDescent="0.6">
      <c r="A348" s="1280"/>
      <c r="N348" s="1399"/>
      <c r="O348" s="1280"/>
      <c r="Z348" s="1280"/>
    </row>
    <row r="349" spans="1:26" x14ac:dyDescent="0.6">
      <c r="A349" s="1280"/>
      <c r="N349" s="1399"/>
      <c r="O349" s="1280"/>
      <c r="Z349" s="1280"/>
    </row>
    <row r="350" spans="1:26" x14ac:dyDescent="0.6">
      <c r="A350" s="1280"/>
      <c r="N350" s="1399"/>
      <c r="O350" s="1280"/>
      <c r="Z350" s="1280"/>
    </row>
    <row r="351" spans="1:26" x14ac:dyDescent="0.6">
      <c r="A351" s="1280"/>
      <c r="N351" s="1399"/>
      <c r="O351" s="1280"/>
      <c r="Z351" s="1280"/>
    </row>
    <row r="352" spans="1:26" x14ac:dyDescent="0.6">
      <c r="A352" s="1280"/>
      <c r="N352" s="1399"/>
      <c r="O352" s="1280"/>
      <c r="Z352" s="1280"/>
    </row>
    <row r="353" spans="1:26" x14ac:dyDescent="0.6">
      <c r="A353" s="1280"/>
      <c r="N353" s="1399"/>
      <c r="O353" s="1280"/>
      <c r="Z353" s="1280"/>
    </row>
    <row r="354" spans="1:26" x14ac:dyDescent="0.6">
      <c r="A354" s="1280"/>
      <c r="N354" s="1399"/>
      <c r="O354" s="1280"/>
      <c r="Z354" s="1280"/>
    </row>
    <row r="355" spans="1:26" x14ac:dyDescent="0.6">
      <c r="A355" s="1280"/>
      <c r="N355" s="1399"/>
      <c r="O355" s="1280"/>
      <c r="Z355" s="1280"/>
    </row>
    <row r="356" spans="1:26" x14ac:dyDescent="0.6">
      <c r="A356" s="1280"/>
      <c r="N356" s="1399"/>
      <c r="O356" s="1280"/>
      <c r="Z356" s="1280"/>
    </row>
    <row r="357" spans="1:26" x14ac:dyDescent="0.6">
      <c r="A357" s="1280"/>
      <c r="N357" s="1399"/>
      <c r="O357" s="1280"/>
      <c r="Z357" s="1280"/>
    </row>
    <row r="358" spans="1:26" x14ac:dyDescent="0.6">
      <c r="A358" s="1280"/>
      <c r="N358" s="1399"/>
      <c r="O358" s="1280"/>
      <c r="Z358" s="1280"/>
    </row>
    <row r="359" spans="1:26" x14ac:dyDescent="0.6">
      <c r="A359" s="1280"/>
      <c r="N359" s="1399"/>
      <c r="O359" s="1280"/>
      <c r="Z359" s="1280"/>
    </row>
    <row r="360" spans="1:26" x14ac:dyDescent="0.6">
      <c r="A360" s="1280"/>
      <c r="N360" s="1399"/>
      <c r="O360" s="1280"/>
      <c r="Z360" s="1280"/>
    </row>
    <row r="361" spans="1:26" x14ac:dyDescent="0.6">
      <c r="A361" s="1280"/>
      <c r="N361" s="1399"/>
      <c r="O361" s="1280"/>
      <c r="Z361" s="1280"/>
    </row>
    <row r="362" spans="1:26" x14ac:dyDescent="0.6">
      <c r="A362" s="1280"/>
      <c r="N362" s="1399"/>
      <c r="O362" s="1280"/>
      <c r="Z362" s="1280"/>
    </row>
    <row r="363" spans="1:26" x14ac:dyDescent="0.6">
      <c r="A363" s="1280"/>
      <c r="N363" s="1399"/>
      <c r="O363" s="1280"/>
      <c r="Z363" s="1280"/>
    </row>
    <row r="364" spans="1:26" x14ac:dyDescent="0.6">
      <c r="A364" s="1280"/>
      <c r="N364" s="1399"/>
      <c r="O364" s="1280"/>
      <c r="Z364" s="1280"/>
    </row>
    <row r="365" spans="1:26" x14ac:dyDescent="0.6">
      <c r="A365" s="1280"/>
      <c r="N365" s="1399"/>
      <c r="O365" s="1280"/>
      <c r="Z365" s="1280"/>
    </row>
    <row r="366" spans="1:26" x14ac:dyDescent="0.6">
      <c r="A366" s="1280"/>
      <c r="N366" s="1399"/>
      <c r="O366" s="1280"/>
      <c r="Z366" s="1280"/>
    </row>
    <row r="367" spans="1:26" x14ac:dyDescent="0.6">
      <c r="A367" s="1280"/>
      <c r="N367" s="1399"/>
      <c r="O367" s="1280"/>
      <c r="Z367" s="1280"/>
    </row>
    <row r="368" spans="1:26" x14ac:dyDescent="0.6">
      <c r="A368" s="1280"/>
      <c r="N368" s="1399"/>
      <c r="O368" s="1280"/>
      <c r="Z368" s="1280"/>
    </row>
    <row r="369" spans="1:26" x14ac:dyDescent="0.6">
      <c r="A369" s="1280"/>
      <c r="N369" s="1399"/>
      <c r="O369" s="1280"/>
      <c r="Z369" s="1280"/>
    </row>
    <row r="370" spans="1:26" x14ac:dyDescent="0.6">
      <c r="A370" s="1280"/>
      <c r="N370" s="1399"/>
      <c r="O370" s="1280"/>
      <c r="Z370" s="1280"/>
    </row>
    <row r="371" spans="1:26" x14ac:dyDescent="0.6">
      <c r="A371" s="1280"/>
      <c r="N371" s="1399"/>
      <c r="O371" s="1280"/>
      <c r="Z371" s="1280"/>
    </row>
    <row r="372" spans="1:26" x14ac:dyDescent="0.6">
      <c r="A372" s="1280"/>
      <c r="N372" s="1399"/>
      <c r="O372" s="1280"/>
      <c r="Z372" s="1280"/>
    </row>
    <row r="373" spans="1:26" x14ac:dyDescent="0.6">
      <c r="A373" s="1280"/>
      <c r="N373" s="1399"/>
      <c r="O373" s="1280"/>
      <c r="Z373" s="1280"/>
    </row>
    <row r="374" spans="1:26" x14ac:dyDescent="0.6">
      <c r="A374" s="1280"/>
      <c r="N374" s="1399"/>
      <c r="O374" s="1280"/>
      <c r="Z374" s="1280"/>
    </row>
    <row r="375" spans="1:26" x14ac:dyDescent="0.6">
      <c r="A375" s="1280"/>
      <c r="N375" s="1399"/>
      <c r="O375" s="1280"/>
      <c r="Z375" s="1280"/>
    </row>
    <row r="376" spans="1:26" x14ac:dyDescent="0.6">
      <c r="A376" s="1280"/>
      <c r="N376" s="1399"/>
      <c r="O376" s="1280"/>
      <c r="Z376" s="1280"/>
    </row>
    <row r="377" spans="1:26" x14ac:dyDescent="0.6">
      <c r="A377" s="1280"/>
      <c r="N377" s="1399"/>
      <c r="O377" s="1280"/>
      <c r="Z377" s="1280"/>
    </row>
    <row r="378" spans="1:26" x14ac:dyDescent="0.6">
      <c r="A378" s="1280"/>
      <c r="N378" s="1399"/>
      <c r="O378" s="1280"/>
      <c r="Z378" s="1280"/>
    </row>
    <row r="379" spans="1:26" x14ac:dyDescent="0.6">
      <c r="A379" s="1280"/>
      <c r="N379" s="1399"/>
      <c r="O379" s="1280"/>
      <c r="Z379" s="1280"/>
    </row>
    <row r="380" spans="1:26" x14ac:dyDescent="0.6">
      <c r="A380" s="1280"/>
      <c r="N380" s="1399"/>
      <c r="O380" s="1280"/>
      <c r="Z380" s="1280"/>
    </row>
    <row r="381" spans="1:26" x14ac:dyDescent="0.6">
      <c r="A381" s="1280"/>
      <c r="N381" s="1399"/>
      <c r="O381" s="1280"/>
      <c r="Z381" s="1280"/>
    </row>
    <row r="382" spans="1:26" x14ac:dyDescent="0.6">
      <c r="A382" s="1280"/>
      <c r="N382" s="1399"/>
      <c r="O382" s="1280"/>
      <c r="Z382" s="1280"/>
    </row>
    <row r="383" spans="1:26" x14ac:dyDescent="0.6">
      <c r="A383" s="1280"/>
      <c r="N383" s="1399"/>
      <c r="O383" s="1280"/>
      <c r="Z383" s="1280"/>
    </row>
    <row r="384" spans="1:26" x14ac:dyDescent="0.6">
      <c r="A384" s="1280"/>
      <c r="N384" s="1399"/>
      <c r="O384" s="1280"/>
      <c r="Z384" s="1280"/>
    </row>
    <row r="385" spans="1:26" x14ac:dyDescent="0.6">
      <c r="A385" s="1280"/>
      <c r="N385" s="1399"/>
      <c r="O385" s="1280"/>
      <c r="Z385" s="1280"/>
    </row>
    <row r="386" spans="1:26" x14ac:dyDescent="0.6">
      <c r="A386" s="1280"/>
      <c r="N386" s="1399"/>
      <c r="O386" s="1280"/>
      <c r="Z386" s="1280"/>
    </row>
    <row r="387" spans="1:26" x14ac:dyDescent="0.6">
      <c r="A387" s="1280"/>
      <c r="N387" s="1399"/>
      <c r="O387" s="1280"/>
      <c r="Z387" s="1280"/>
    </row>
    <row r="388" spans="1:26" x14ac:dyDescent="0.6">
      <c r="A388" s="1280"/>
      <c r="N388" s="1399"/>
      <c r="O388" s="1280"/>
      <c r="Z388" s="1280"/>
    </row>
    <row r="389" spans="1:26" x14ac:dyDescent="0.6">
      <c r="A389" s="1280"/>
      <c r="N389" s="1399"/>
      <c r="O389" s="1280"/>
      <c r="Z389" s="1280"/>
    </row>
    <row r="390" spans="1:26" x14ac:dyDescent="0.6">
      <c r="A390" s="1280"/>
      <c r="N390" s="1399"/>
      <c r="O390" s="1280"/>
      <c r="Z390" s="1280"/>
    </row>
    <row r="391" spans="1:26" x14ac:dyDescent="0.6">
      <c r="A391" s="1280"/>
      <c r="N391" s="1399"/>
      <c r="O391" s="1280"/>
      <c r="Z391" s="1280"/>
    </row>
    <row r="392" spans="1:26" x14ac:dyDescent="0.6">
      <c r="A392" s="1280"/>
      <c r="N392" s="1399"/>
      <c r="O392" s="1280"/>
      <c r="Z392" s="1280"/>
    </row>
    <row r="393" spans="1:26" x14ac:dyDescent="0.6">
      <c r="A393" s="1280"/>
      <c r="N393" s="1399"/>
      <c r="O393" s="1280"/>
      <c r="Z393" s="1280"/>
    </row>
    <row r="394" spans="1:26" x14ac:dyDescent="0.6">
      <c r="A394" s="1280"/>
      <c r="N394" s="1399"/>
      <c r="O394" s="1280"/>
      <c r="Z394" s="1280"/>
    </row>
    <row r="395" spans="1:26" x14ac:dyDescent="0.6">
      <c r="A395" s="1280"/>
      <c r="N395" s="1399"/>
      <c r="O395" s="1280"/>
      <c r="Z395" s="1280"/>
    </row>
    <row r="396" spans="1:26" x14ac:dyDescent="0.6">
      <c r="A396" s="1280"/>
      <c r="N396" s="1399"/>
      <c r="O396" s="1280"/>
      <c r="Z396" s="1280"/>
    </row>
    <row r="397" spans="1:26" x14ac:dyDescent="0.6">
      <c r="A397" s="1280"/>
      <c r="N397" s="1399"/>
      <c r="O397" s="1280"/>
      <c r="Z397" s="1280"/>
    </row>
    <row r="398" spans="1:26" x14ac:dyDescent="0.6">
      <c r="A398" s="1280"/>
      <c r="N398" s="1399"/>
      <c r="O398" s="1280"/>
      <c r="Z398" s="1280"/>
    </row>
    <row r="399" spans="1:26" x14ac:dyDescent="0.6">
      <c r="A399" s="1280"/>
      <c r="N399" s="1399"/>
      <c r="O399" s="1280"/>
      <c r="Z399" s="1280"/>
    </row>
    <row r="400" spans="1:26" x14ac:dyDescent="0.6">
      <c r="A400" s="1280"/>
      <c r="N400" s="1399"/>
      <c r="O400" s="1280"/>
      <c r="Z400" s="1280"/>
    </row>
    <row r="401" spans="1:26" x14ac:dyDescent="0.6">
      <c r="A401" s="1280"/>
      <c r="N401" s="1399"/>
      <c r="O401" s="1280"/>
      <c r="Z401" s="1280"/>
    </row>
    <row r="402" spans="1:26" x14ac:dyDescent="0.6">
      <c r="A402" s="1280"/>
      <c r="N402" s="1399"/>
      <c r="O402" s="1280"/>
      <c r="Z402" s="1280"/>
    </row>
    <row r="403" spans="1:26" x14ac:dyDescent="0.6">
      <c r="A403" s="1280"/>
      <c r="N403" s="1399"/>
      <c r="O403" s="1280"/>
      <c r="Z403" s="1280"/>
    </row>
    <row r="404" spans="1:26" x14ac:dyDescent="0.6">
      <c r="A404" s="1280"/>
      <c r="N404" s="1399"/>
      <c r="O404" s="1280"/>
      <c r="Z404" s="1280"/>
    </row>
    <row r="405" spans="1:26" x14ac:dyDescent="0.6">
      <c r="A405" s="1280"/>
      <c r="N405" s="1399"/>
      <c r="O405" s="1280"/>
      <c r="Z405" s="1280"/>
    </row>
    <row r="406" spans="1:26" x14ac:dyDescent="0.6">
      <c r="A406" s="1280"/>
      <c r="N406" s="1399"/>
      <c r="O406" s="1280"/>
      <c r="Z406" s="1280"/>
    </row>
    <row r="407" spans="1:26" x14ac:dyDescent="0.6">
      <c r="A407" s="1280"/>
      <c r="N407" s="1399"/>
      <c r="O407" s="1280"/>
      <c r="Z407" s="1280"/>
    </row>
    <row r="408" spans="1:26" x14ac:dyDescent="0.6">
      <c r="A408" s="1280"/>
      <c r="N408" s="1399"/>
      <c r="O408" s="1280"/>
      <c r="Z408" s="1280"/>
    </row>
    <row r="409" spans="1:26" x14ac:dyDescent="0.6">
      <c r="A409" s="1280"/>
      <c r="N409" s="1399"/>
      <c r="O409" s="1280"/>
      <c r="Z409" s="1280"/>
    </row>
    <row r="410" spans="1:26" x14ac:dyDescent="0.6">
      <c r="A410" s="1280"/>
      <c r="N410" s="1399"/>
      <c r="O410" s="1280"/>
      <c r="Z410" s="1280"/>
    </row>
    <row r="411" spans="1:26" x14ac:dyDescent="0.6">
      <c r="A411" s="1280"/>
      <c r="N411" s="1399"/>
      <c r="O411" s="1280"/>
      <c r="Z411" s="1280"/>
    </row>
    <row r="412" spans="1:26" x14ac:dyDescent="0.6">
      <c r="A412" s="1280"/>
      <c r="N412" s="1399"/>
      <c r="O412" s="1280"/>
      <c r="Z412" s="1280"/>
    </row>
    <row r="413" spans="1:26" x14ac:dyDescent="0.6">
      <c r="A413" s="1280"/>
      <c r="N413" s="1399"/>
      <c r="O413" s="1280"/>
      <c r="Z413" s="1280"/>
    </row>
    <row r="414" spans="1:26" x14ac:dyDescent="0.6">
      <c r="A414" s="1280"/>
      <c r="N414" s="1399"/>
      <c r="O414" s="1280"/>
      <c r="Z414" s="1280"/>
    </row>
    <row r="415" spans="1:26" x14ac:dyDescent="0.6">
      <c r="A415" s="1280"/>
      <c r="N415" s="1399"/>
      <c r="O415" s="1280"/>
      <c r="Z415" s="1280"/>
    </row>
    <row r="416" spans="1:26" x14ac:dyDescent="0.6">
      <c r="A416" s="1280"/>
      <c r="N416" s="1399"/>
      <c r="O416" s="1280"/>
      <c r="Z416" s="1280"/>
    </row>
    <row r="417" spans="1:26" x14ac:dyDescent="0.6">
      <c r="A417" s="1280"/>
      <c r="N417" s="1399"/>
      <c r="O417" s="1280"/>
      <c r="Z417" s="1280"/>
    </row>
    <row r="418" spans="1:26" x14ac:dyDescent="0.6">
      <c r="A418" s="1280"/>
      <c r="N418" s="1399"/>
      <c r="O418" s="1280"/>
      <c r="Z418" s="1280"/>
    </row>
    <row r="419" spans="1:26" x14ac:dyDescent="0.6">
      <c r="A419" s="1280"/>
      <c r="N419" s="1399"/>
      <c r="O419" s="1280"/>
      <c r="Z419" s="1280"/>
    </row>
    <row r="420" spans="1:26" x14ac:dyDescent="0.6">
      <c r="A420" s="1280"/>
      <c r="N420" s="1399"/>
      <c r="O420" s="1280"/>
      <c r="Z420" s="1280"/>
    </row>
    <row r="421" spans="1:26" x14ac:dyDescent="0.6">
      <c r="A421" s="1280"/>
      <c r="N421" s="1399"/>
      <c r="O421" s="1280"/>
      <c r="Z421" s="1280"/>
    </row>
    <row r="422" spans="1:26" x14ac:dyDescent="0.6">
      <c r="A422" s="1280"/>
      <c r="N422" s="1399"/>
      <c r="O422" s="1280"/>
      <c r="Z422" s="1280"/>
    </row>
    <row r="423" spans="1:26" x14ac:dyDescent="0.6">
      <c r="A423" s="1280"/>
      <c r="N423" s="1399"/>
      <c r="O423" s="1280"/>
      <c r="Z423" s="1280"/>
    </row>
    <row r="424" spans="1:26" x14ac:dyDescent="0.6">
      <c r="A424" s="1280"/>
      <c r="N424" s="1399"/>
      <c r="O424" s="1280"/>
      <c r="Z424" s="1280"/>
    </row>
    <row r="425" spans="1:26" x14ac:dyDescent="0.6">
      <c r="A425" s="1280"/>
      <c r="N425" s="1399"/>
      <c r="O425" s="1280"/>
      <c r="Z425" s="1280"/>
    </row>
    <row r="426" spans="1:26" x14ac:dyDescent="0.6">
      <c r="A426" s="1280"/>
      <c r="N426" s="1399"/>
      <c r="O426" s="1280"/>
      <c r="Z426" s="1280"/>
    </row>
    <row r="427" spans="1:26" x14ac:dyDescent="0.6">
      <c r="A427" s="1280"/>
      <c r="N427" s="1399"/>
      <c r="O427" s="1280"/>
      <c r="Z427" s="1280"/>
    </row>
    <row r="428" spans="1:26" x14ac:dyDescent="0.6">
      <c r="A428" s="1280"/>
      <c r="N428" s="1399"/>
      <c r="O428" s="1280"/>
      <c r="Z428" s="1280"/>
    </row>
    <row r="429" spans="1:26" x14ac:dyDescent="0.6">
      <c r="A429" s="1280"/>
      <c r="N429" s="1399"/>
      <c r="O429" s="1280"/>
      <c r="Z429" s="1280"/>
    </row>
    <row r="430" spans="1:26" x14ac:dyDescent="0.6">
      <c r="A430" s="1280"/>
      <c r="N430" s="1399"/>
      <c r="O430" s="1280"/>
      <c r="Z430" s="1280"/>
    </row>
    <row r="431" spans="1:26" x14ac:dyDescent="0.6">
      <c r="A431" s="1280"/>
      <c r="N431" s="1399"/>
      <c r="O431" s="1280"/>
      <c r="Z431" s="1280"/>
    </row>
    <row r="432" spans="1:26" x14ac:dyDescent="0.6">
      <c r="A432" s="1280"/>
      <c r="N432" s="1399"/>
      <c r="O432" s="1280"/>
      <c r="Z432" s="1280"/>
    </row>
    <row r="433" spans="1:26" x14ac:dyDescent="0.6">
      <c r="A433" s="1280"/>
      <c r="N433" s="1399"/>
      <c r="O433" s="1280"/>
      <c r="Z433" s="1280"/>
    </row>
    <row r="434" spans="1:26" x14ac:dyDescent="0.6">
      <c r="A434" s="1280"/>
      <c r="N434" s="1399"/>
      <c r="O434" s="1280"/>
      <c r="Z434" s="1280"/>
    </row>
    <row r="435" spans="1:26" x14ac:dyDescent="0.6">
      <c r="A435" s="1280"/>
      <c r="N435" s="1399"/>
      <c r="O435" s="1280"/>
      <c r="Z435" s="1280"/>
    </row>
    <row r="436" spans="1:26" x14ac:dyDescent="0.6">
      <c r="A436" s="1280"/>
      <c r="N436" s="1399"/>
      <c r="O436" s="1280"/>
      <c r="Z436" s="1280"/>
    </row>
    <row r="437" spans="1:26" x14ac:dyDescent="0.6">
      <c r="A437" s="1280"/>
      <c r="N437" s="1399"/>
      <c r="O437" s="1280"/>
      <c r="Z437" s="1280"/>
    </row>
    <row r="438" spans="1:26" x14ac:dyDescent="0.6">
      <c r="A438" s="1280"/>
      <c r="N438" s="1399"/>
      <c r="O438" s="1280"/>
      <c r="Z438" s="1280"/>
    </row>
    <row r="439" spans="1:26" x14ac:dyDescent="0.6">
      <c r="A439" s="1280"/>
      <c r="N439" s="1399"/>
      <c r="O439" s="1280"/>
      <c r="Z439" s="1280"/>
    </row>
    <row r="440" spans="1:26" x14ac:dyDescent="0.6">
      <c r="A440" s="1280"/>
      <c r="N440" s="1399"/>
      <c r="O440" s="1280"/>
      <c r="Z440" s="1280"/>
    </row>
    <row r="441" spans="1:26" x14ac:dyDescent="0.6">
      <c r="A441" s="1280"/>
      <c r="N441" s="1399"/>
      <c r="O441" s="1280"/>
      <c r="Z441" s="1280"/>
    </row>
    <row r="442" spans="1:26" x14ac:dyDescent="0.6">
      <c r="A442" s="1280"/>
      <c r="N442" s="1399"/>
      <c r="O442" s="1280"/>
      <c r="Z442" s="1280"/>
    </row>
    <row r="443" spans="1:26" x14ac:dyDescent="0.6">
      <c r="A443" s="1280"/>
      <c r="N443" s="1399"/>
      <c r="O443" s="1280"/>
      <c r="Z443" s="1280"/>
    </row>
    <row r="444" spans="1:26" x14ac:dyDescent="0.6">
      <c r="A444" s="1280"/>
      <c r="N444" s="1399"/>
      <c r="O444" s="1280"/>
      <c r="Z444" s="1280"/>
    </row>
    <row r="445" spans="1:26" x14ac:dyDescent="0.6">
      <c r="A445" s="1280"/>
      <c r="N445" s="1399"/>
      <c r="O445" s="1280"/>
      <c r="Z445" s="1280"/>
    </row>
    <row r="446" spans="1:26" x14ac:dyDescent="0.6">
      <c r="A446" s="1280"/>
      <c r="N446" s="1399"/>
      <c r="O446" s="1280"/>
      <c r="Z446" s="1280"/>
    </row>
    <row r="447" spans="1:26" x14ac:dyDescent="0.6">
      <c r="A447" s="1280"/>
      <c r="N447" s="1399"/>
      <c r="O447" s="1280"/>
      <c r="Z447" s="1280"/>
    </row>
    <row r="448" spans="1:26" x14ac:dyDescent="0.6">
      <c r="A448" s="1280"/>
      <c r="N448" s="1399"/>
      <c r="O448" s="1280"/>
      <c r="Z448" s="1280"/>
    </row>
    <row r="449" spans="1:26" x14ac:dyDescent="0.6">
      <c r="A449" s="1280"/>
      <c r="N449" s="1399"/>
      <c r="O449" s="1280"/>
      <c r="Z449" s="1280"/>
    </row>
    <row r="450" spans="1:26" x14ac:dyDescent="0.6">
      <c r="A450" s="1280"/>
      <c r="N450" s="1399"/>
      <c r="O450" s="1280"/>
      <c r="Z450" s="1280"/>
    </row>
    <row r="451" spans="1:26" x14ac:dyDescent="0.6">
      <c r="A451" s="1280"/>
      <c r="N451" s="1399"/>
      <c r="O451" s="1280"/>
      <c r="Z451" s="1280"/>
    </row>
    <row r="452" spans="1:26" x14ac:dyDescent="0.6">
      <c r="A452" s="1280"/>
      <c r="N452" s="1399"/>
      <c r="O452" s="1280"/>
      <c r="Z452" s="1280"/>
    </row>
    <row r="453" spans="1:26" x14ac:dyDescent="0.6">
      <c r="A453" s="1280"/>
      <c r="N453" s="1399"/>
      <c r="O453" s="1280"/>
      <c r="Z453" s="1280"/>
    </row>
    <row r="454" spans="1:26" x14ac:dyDescent="0.6">
      <c r="A454" s="1280"/>
      <c r="N454" s="1399"/>
      <c r="O454" s="1280"/>
      <c r="Z454" s="1280"/>
    </row>
    <row r="455" spans="1:26" x14ac:dyDescent="0.6">
      <c r="A455" s="1280"/>
      <c r="N455" s="1399"/>
      <c r="O455" s="1280"/>
      <c r="Z455" s="1280"/>
    </row>
    <row r="456" spans="1:26" x14ac:dyDescent="0.6">
      <c r="A456" s="1280"/>
      <c r="N456" s="1399"/>
      <c r="O456" s="1280"/>
      <c r="Z456" s="1280"/>
    </row>
    <row r="457" spans="1:26" x14ac:dyDescent="0.6">
      <c r="A457" s="1280"/>
      <c r="N457" s="1399"/>
      <c r="O457" s="1280"/>
      <c r="Z457" s="1280"/>
    </row>
    <row r="458" spans="1:26" x14ac:dyDescent="0.6">
      <c r="A458" s="1280"/>
      <c r="N458" s="1399"/>
      <c r="O458" s="1280"/>
      <c r="Z458" s="1280"/>
    </row>
    <row r="459" spans="1:26" x14ac:dyDescent="0.6">
      <c r="A459" s="1280"/>
      <c r="N459" s="1399"/>
      <c r="O459" s="1280"/>
      <c r="Z459" s="1280"/>
    </row>
    <row r="460" spans="1:26" x14ac:dyDescent="0.6">
      <c r="A460" s="1280"/>
      <c r="N460" s="1399"/>
      <c r="O460" s="1280"/>
      <c r="Z460" s="1280"/>
    </row>
    <row r="461" spans="1:26" x14ac:dyDescent="0.6">
      <c r="A461" s="1280"/>
      <c r="N461" s="1399"/>
      <c r="O461" s="1280"/>
      <c r="Z461" s="1280"/>
    </row>
    <row r="462" spans="1:26" x14ac:dyDescent="0.6">
      <c r="A462" s="1280"/>
      <c r="N462" s="1399"/>
      <c r="O462" s="1280"/>
      <c r="Z462" s="1280"/>
    </row>
    <row r="463" spans="1:26" x14ac:dyDescent="0.6">
      <c r="A463" s="1280"/>
      <c r="N463" s="1399"/>
      <c r="O463" s="1280"/>
      <c r="Z463" s="1280"/>
    </row>
    <row r="464" spans="1:26" x14ac:dyDescent="0.6">
      <c r="A464" s="1280"/>
      <c r="N464" s="1399"/>
      <c r="O464" s="1280"/>
      <c r="Z464" s="1280"/>
    </row>
    <row r="465" spans="1:26" x14ac:dyDescent="0.6">
      <c r="A465" s="1280"/>
      <c r="N465" s="1399"/>
      <c r="O465" s="1280"/>
      <c r="Z465" s="1280"/>
    </row>
    <row r="466" spans="1:26" x14ac:dyDescent="0.6">
      <c r="A466" s="1280"/>
      <c r="N466" s="1399"/>
      <c r="O466" s="1280"/>
      <c r="Z466" s="1280"/>
    </row>
    <row r="467" spans="1:26" x14ac:dyDescent="0.6">
      <c r="A467" s="1280"/>
      <c r="N467" s="1399"/>
      <c r="O467" s="1280"/>
      <c r="Z467" s="1280"/>
    </row>
    <row r="468" spans="1:26" x14ac:dyDescent="0.6">
      <c r="A468" s="1280"/>
      <c r="N468" s="1399"/>
      <c r="O468" s="1280"/>
      <c r="Z468" s="1280"/>
    </row>
    <row r="469" spans="1:26" x14ac:dyDescent="0.6">
      <c r="A469" s="1280"/>
      <c r="N469" s="1399"/>
      <c r="O469" s="1280"/>
      <c r="Z469" s="1280"/>
    </row>
    <row r="470" spans="1:26" x14ac:dyDescent="0.6">
      <c r="A470" s="1280"/>
      <c r="N470" s="1399"/>
      <c r="O470" s="1280"/>
      <c r="Z470" s="1280"/>
    </row>
    <row r="471" spans="1:26" x14ac:dyDescent="0.6">
      <c r="A471" s="1280"/>
      <c r="N471" s="1399"/>
      <c r="O471" s="1280"/>
      <c r="Z471" s="1280"/>
    </row>
    <row r="472" spans="1:26" x14ac:dyDescent="0.6">
      <c r="A472" s="1280"/>
      <c r="N472" s="1399"/>
      <c r="O472" s="1280"/>
      <c r="Z472" s="1280"/>
    </row>
    <row r="473" spans="1:26" x14ac:dyDescent="0.6">
      <c r="A473" s="1280"/>
      <c r="N473" s="1399"/>
      <c r="O473" s="1280"/>
      <c r="Z473" s="1280"/>
    </row>
    <row r="474" spans="1:26" x14ac:dyDescent="0.6">
      <c r="A474" s="1280"/>
      <c r="N474" s="1399"/>
      <c r="O474" s="1280"/>
      <c r="Z474" s="1280"/>
    </row>
    <row r="475" spans="1:26" x14ac:dyDescent="0.6">
      <c r="A475" s="1280"/>
      <c r="N475" s="1399"/>
      <c r="O475" s="1280"/>
      <c r="Z475" s="1280"/>
    </row>
    <row r="476" spans="1:26" x14ac:dyDescent="0.6">
      <c r="A476" s="1280"/>
      <c r="N476" s="1399"/>
      <c r="O476" s="1280"/>
      <c r="Z476" s="1280"/>
    </row>
    <row r="477" spans="1:26" x14ac:dyDescent="0.6">
      <c r="A477" s="1280"/>
      <c r="N477" s="1399"/>
      <c r="O477" s="1280"/>
      <c r="Z477" s="1280"/>
    </row>
    <row r="478" spans="1:26" x14ac:dyDescent="0.6">
      <c r="A478" s="1280"/>
      <c r="N478" s="1399"/>
      <c r="O478" s="1280"/>
      <c r="Z478" s="1280"/>
    </row>
    <row r="479" spans="1:26" x14ac:dyDescent="0.6">
      <c r="A479" s="1280"/>
      <c r="N479" s="1399"/>
      <c r="O479" s="1280"/>
      <c r="Z479" s="1280"/>
    </row>
    <row r="480" spans="1:26" x14ac:dyDescent="0.6">
      <c r="A480" s="1280"/>
      <c r="N480" s="1399"/>
      <c r="O480" s="1280"/>
      <c r="Z480" s="1280"/>
    </row>
    <row r="481" spans="1:26" x14ac:dyDescent="0.6">
      <c r="A481" s="1280"/>
      <c r="N481" s="1399"/>
      <c r="O481" s="1280"/>
      <c r="Z481" s="1280"/>
    </row>
    <row r="482" spans="1:26" x14ac:dyDescent="0.6">
      <c r="A482" s="1280"/>
      <c r="N482" s="1399"/>
      <c r="O482" s="1280"/>
      <c r="Z482" s="1280"/>
    </row>
    <row r="483" spans="1:26" x14ac:dyDescent="0.6">
      <c r="A483" s="1280"/>
      <c r="N483" s="1399"/>
      <c r="O483" s="1280"/>
      <c r="Z483" s="1280"/>
    </row>
    <row r="484" spans="1:26" x14ac:dyDescent="0.6">
      <c r="A484" s="1280"/>
      <c r="N484" s="1399"/>
      <c r="O484" s="1280"/>
      <c r="Z484" s="1280"/>
    </row>
    <row r="485" spans="1:26" x14ac:dyDescent="0.6">
      <c r="A485" s="1280"/>
      <c r="N485" s="1399"/>
      <c r="O485" s="1280"/>
      <c r="Z485" s="1280"/>
    </row>
    <row r="486" spans="1:26" x14ac:dyDescent="0.6">
      <c r="A486" s="1280"/>
      <c r="N486" s="1399"/>
      <c r="O486" s="1280"/>
      <c r="Z486" s="1280"/>
    </row>
    <row r="487" spans="1:26" x14ac:dyDescent="0.6">
      <c r="A487" s="1280"/>
      <c r="N487" s="1399"/>
      <c r="O487" s="1280"/>
      <c r="Z487" s="1280"/>
    </row>
    <row r="488" spans="1:26" x14ac:dyDescent="0.6">
      <c r="A488" s="1280"/>
      <c r="N488" s="1399"/>
      <c r="O488" s="1280"/>
      <c r="Z488" s="1280"/>
    </row>
    <row r="489" spans="1:26" x14ac:dyDescent="0.6">
      <c r="A489" s="1280"/>
      <c r="N489" s="1399"/>
      <c r="O489" s="1280"/>
      <c r="Z489" s="1280"/>
    </row>
    <row r="490" spans="1:26" x14ac:dyDescent="0.6">
      <c r="A490" s="1280"/>
      <c r="N490" s="1399"/>
      <c r="O490" s="1280"/>
      <c r="Z490" s="1280"/>
    </row>
    <row r="491" spans="1:26" x14ac:dyDescent="0.6">
      <c r="A491" s="1280"/>
      <c r="N491" s="1399"/>
      <c r="O491" s="1280"/>
      <c r="Z491" s="1280"/>
    </row>
    <row r="492" spans="1:26" x14ac:dyDescent="0.6">
      <c r="A492" s="1280"/>
      <c r="N492" s="1399"/>
      <c r="O492" s="1280"/>
      <c r="Z492" s="1280"/>
    </row>
    <row r="493" spans="1:26" x14ac:dyDescent="0.6">
      <c r="A493" s="1280"/>
      <c r="N493" s="1399"/>
      <c r="O493" s="1280"/>
      <c r="Z493" s="1280"/>
    </row>
    <row r="494" spans="1:26" x14ac:dyDescent="0.6">
      <c r="A494" s="1280"/>
      <c r="N494" s="1399"/>
      <c r="O494" s="1280"/>
      <c r="Z494" s="1280"/>
    </row>
    <row r="495" spans="1:26" x14ac:dyDescent="0.6">
      <c r="A495" s="1280"/>
      <c r="N495" s="1399"/>
      <c r="O495" s="1280"/>
      <c r="Z495" s="1280"/>
    </row>
    <row r="496" spans="1:26" x14ac:dyDescent="0.6">
      <c r="A496" s="1280"/>
      <c r="N496" s="1399"/>
      <c r="O496" s="1280"/>
      <c r="Z496" s="1280"/>
    </row>
    <row r="497" spans="1:26" x14ac:dyDescent="0.6">
      <c r="A497" s="1280"/>
      <c r="N497" s="1399"/>
      <c r="O497" s="1280"/>
      <c r="Z497" s="1280"/>
    </row>
    <row r="498" spans="1:26" x14ac:dyDescent="0.6">
      <c r="A498" s="1280"/>
      <c r="N498" s="1399"/>
      <c r="O498" s="1280"/>
      <c r="Z498" s="1280"/>
    </row>
    <row r="499" spans="1:26" x14ac:dyDescent="0.6">
      <c r="A499" s="1280"/>
      <c r="N499" s="1399"/>
      <c r="O499" s="1280"/>
      <c r="Z499" s="1280"/>
    </row>
    <row r="500" spans="1:26" x14ac:dyDescent="0.6">
      <c r="A500" s="1280"/>
      <c r="N500" s="1399"/>
      <c r="O500" s="1280"/>
      <c r="Z500" s="1280"/>
    </row>
    <row r="501" spans="1:26" x14ac:dyDescent="0.6">
      <c r="A501" s="1280"/>
      <c r="N501" s="1399"/>
      <c r="O501" s="1280"/>
      <c r="Z501" s="1280"/>
    </row>
    <row r="502" spans="1:26" x14ac:dyDescent="0.6">
      <c r="A502" s="1280"/>
      <c r="N502" s="1399"/>
      <c r="O502" s="1280"/>
      <c r="Z502" s="1280"/>
    </row>
    <row r="503" spans="1:26" x14ac:dyDescent="0.6">
      <c r="A503" s="1280"/>
      <c r="N503" s="1399"/>
      <c r="O503" s="1280"/>
      <c r="Z503" s="1280"/>
    </row>
    <row r="504" spans="1:26" x14ac:dyDescent="0.6">
      <c r="A504" s="1280"/>
      <c r="N504" s="1399"/>
      <c r="O504" s="1280"/>
      <c r="Z504" s="1280"/>
    </row>
    <row r="505" spans="1:26" x14ac:dyDescent="0.6">
      <c r="A505" s="1280"/>
      <c r="N505" s="1399"/>
      <c r="O505" s="1280"/>
      <c r="Z505" s="1280"/>
    </row>
    <row r="506" spans="1:26" x14ac:dyDescent="0.6">
      <c r="A506" s="1280"/>
      <c r="N506" s="1399"/>
      <c r="O506" s="1280"/>
      <c r="Z506" s="1280"/>
    </row>
    <row r="507" spans="1:26" x14ac:dyDescent="0.6">
      <c r="A507" s="1280"/>
      <c r="N507" s="1399"/>
      <c r="O507" s="1280"/>
      <c r="Z507" s="1280"/>
    </row>
    <row r="508" spans="1:26" x14ac:dyDescent="0.6">
      <c r="A508" s="1280"/>
      <c r="N508" s="1399"/>
      <c r="O508" s="1280"/>
      <c r="Z508" s="1280"/>
    </row>
    <row r="509" spans="1:26" x14ac:dyDescent="0.6">
      <c r="A509" s="1280"/>
      <c r="N509" s="1399"/>
      <c r="O509" s="1280"/>
      <c r="Z509" s="1280"/>
    </row>
    <row r="510" spans="1:26" x14ac:dyDescent="0.6">
      <c r="A510" s="1280"/>
      <c r="N510" s="1399"/>
      <c r="O510" s="1280"/>
      <c r="Z510" s="1280"/>
    </row>
    <row r="511" spans="1:26" x14ac:dyDescent="0.6">
      <c r="A511" s="1280"/>
      <c r="N511" s="1399"/>
      <c r="O511" s="1280"/>
      <c r="Z511" s="1280"/>
    </row>
    <row r="512" spans="1:26" x14ac:dyDescent="0.6">
      <c r="A512" s="1280"/>
      <c r="N512" s="1399"/>
      <c r="O512" s="1280"/>
      <c r="Z512" s="1280"/>
    </row>
    <row r="513" spans="1:26" x14ac:dyDescent="0.6">
      <c r="A513" s="1280"/>
      <c r="N513" s="1399"/>
      <c r="O513" s="1280"/>
      <c r="Z513" s="1280"/>
    </row>
    <row r="514" spans="1:26" x14ac:dyDescent="0.6">
      <c r="A514" s="1280"/>
      <c r="N514" s="1399"/>
      <c r="O514" s="1280"/>
      <c r="Z514" s="1280"/>
    </row>
    <row r="515" spans="1:26" x14ac:dyDescent="0.6">
      <c r="A515" s="1280"/>
      <c r="N515" s="1399"/>
      <c r="O515" s="1280"/>
      <c r="Z515" s="1280"/>
    </row>
    <row r="516" spans="1:26" x14ac:dyDescent="0.6">
      <c r="A516" s="1280"/>
      <c r="N516" s="1399"/>
      <c r="O516" s="1280"/>
      <c r="Z516" s="1280"/>
    </row>
    <row r="517" spans="1:26" x14ac:dyDescent="0.6">
      <c r="A517" s="1280"/>
      <c r="N517" s="1399"/>
      <c r="O517" s="1280"/>
      <c r="Z517" s="1280"/>
    </row>
    <row r="518" spans="1:26" x14ac:dyDescent="0.6">
      <c r="A518" s="1280"/>
      <c r="N518" s="1399"/>
      <c r="O518" s="1280"/>
      <c r="Z518" s="1280"/>
    </row>
    <row r="519" spans="1:26" x14ac:dyDescent="0.6">
      <c r="A519" s="1280"/>
      <c r="N519" s="1399"/>
      <c r="O519" s="1280"/>
      <c r="Z519" s="1280"/>
    </row>
    <row r="520" spans="1:26" x14ac:dyDescent="0.6">
      <c r="A520" s="1280"/>
      <c r="N520" s="1399"/>
      <c r="O520" s="1280"/>
      <c r="Z520" s="1280"/>
    </row>
    <row r="521" spans="1:26" x14ac:dyDescent="0.6">
      <c r="A521" s="1280"/>
      <c r="N521" s="1399"/>
      <c r="O521" s="1280"/>
      <c r="Z521" s="1280"/>
    </row>
    <row r="522" spans="1:26" x14ac:dyDescent="0.6">
      <c r="A522" s="1280"/>
      <c r="N522" s="1399"/>
      <c r="O522" s="1280"/>
      <c r="Z522" s="1280"/>
    </row>
    <row r="523" spans="1:26" x14ac:dyDescent="0.6">
      <c r="A523" s="1280"/>
      <c r="N523" s="1399"/>
      <c r="O523" s="1280"/>
      <c r="Z523" s="1280"/>
    </row>
    <row r="524" spans="1:26" x14ac:dyDescent="0.6">
      <c r="A524" s="1280"/>
      <c r="N524" s="1399"/>
      <c r="O524" s="1280"/>
      <c r="Z524" s="1280"/>
    </row>
    <row r="525" spans="1:26" x14ac:dyDescent="0.6">
      <c r="A525" s="1280"/>
      <c r="N525" s="1399"/>
      <c r="O525" s="1280"/>
      <c r="Z525" s="1280"/>
    </row>
    <row r="526" spans="1:26" x14ac:dyDescent="0.6">
      <c r="A526" s="1280"/>
      <c r="N526" s="1399"/>
      <c r="O526" s="1280"/>
      <c r="Z526" s="1280"/>
    </row>
    <row r="527" spans="1:26" x14ac:dyDescent="0.6">
      <c r="A527" s="1280"/>
      <c r="N527" s="1399"/>
      <c r="O527" s="1280"/>
      <c r="Z527" s="1280"/>
    </row>
    <row r="528" spans="1:26" x14ac:dyDescent="0.6">
      <c r="A528" s="1280"/>
      <c r="N528" s="1399"/>
      <c r="O528" s="1280"/>
      <c r="Z528" s="1280"/>
    </row>
    <row r="529" spans="1:26" x14ac:dyDescent="0.6">
      <c r="A529" s="1280"/>
      <c r="N529" s="1399"/>
      <c r="O529" s="1280"/>
      <c r="Z529" s="1280"/>
    </row>
    <row r="530" spans="1:26" x14ac:dyDescent="0.6">
      <c r="A530" s="1280"/>
      <c r="N530" s="1399"/>
      <c r="O530" s="1280"/>
      <c r="Z530" s="1280"/>
    </row>
    <row r="531" spans="1:26" x14ac:dyDescent="0.6">
      <c r="A531" s="1280"/>
      <c r="N531" s="1399"/>
      <c r="O531" s="1280"/>
      <c r="Z531" s="1280"/>
    </row>
    <row r="532" spans="1:26" x14ac:dyDescent="0.6">
      <c r="A532" s="1280"/>
      <c r="N532" s="1399"/>
      <c r="O532" s="1280"/>
      <c r="Z532" s="1280"/>
    </row>
    <row r="533" spans="1:26" x14ac:dyDescent="0.6">
      <c r="A533" s="1280"/>
      <c r="N533" s="1399"/>
      <c r="O533" s="1280"/>
      <c r="Z533" s="1280"/>
    </row>
    <row r="534" spans="1:26" x14ac:dyDescent="0.6">
      <c r="A534" s="1280"/>
      <c r="N534" s="1399"/>
      <c r="O534" s="1280"/>
      <c r="Z534" s="1280"/>
    </row>
    <row r="535" spans="1:26" x14ac:dyDescent="0.6">
      <c r="A535" s="1280"/>
      <c r="N535" s="1399"/>
      <c r="O535" s="1280"/>
      <c r="Z535" s="1280"/>
    </row>
    <row r="536" spans="1:26" x14ac:dyDescent="0.6">
      <c r="A536" s="1280"/>
      <c r="N536" s="1399"/>
      <c r="O536" s="1280"/>
      <c r="Z536" s="1280"/>
    </row>
    <row r="537" spans="1:26" x14ac:dyDescent="0.6">
      <c r="A537" s="1280"/>
      <c r="N537" s="1399"/>
      <c r="O537" s="1280"/>
      <c r="Z537" s="1280"/>
    </row>
    <row r="538" spans="1:26" x14ac:dyDescent="0.6">
      <c r="A538" s="1280"/>
      <c r="N538" s="1399"/>
      <c r="O538" s="1280"/>
      <c r="Z538" s="1280"/>
    </row>
    <row r="539" spans="1:26" x14ac:dyDescent="0.6">
      <c r="A539" s="1280"/>
      <c r="N539" s="1399"/>
      <c r="O539" s="1280"/>
      <c r="Z539" s="1280"/>
    </row>
    <row r="540" spans="1:26" x14ac:dyDescent="0.6">
      <c r="A540" s="1280"/>
      <c r="N540" s="1399"/>
      <c r="O540" s="1280"/>
      <c r="Z540" s="1280"/>
    </row>
    <row r="541" spans="1:26" x14ac:dyDescent="0.6">
      <c r="A541" s="1280"/>
      <c r="N541" s="1399"/>
      <c r="O541" s="1280"/>
      <c r="Z541" s="1280"/>
    </row>
    <row r="542" spans="1:26" x14ac:dyDescent="0.6">
      <c r="A542" s="1280"/>
      <c r="N542" s="1399"/>
      <c r="O542" s="1280"/>
      <c r="Z542" s="1280"/>
    </row>
    <row r="543" spans="1:26" x14ac:dyDescent="0.6">
      <c r="A543" s="1280"/>
      <c r="N543" s="1399"/>
      <c r="O543" s="1280"/>
      <c r="Z543" s="1280"/>
    </row>
    <row r="544" spans="1:26" x14ac:dyDescent="0.6">
      <c r="A544" s="1280"/>
      <c r="N544" s="1399"/>
      <c r="O544" s="1280"/>
      <c r="Z544" s="1280"/>
    </row>
    <row r="545" spans="1:26" x14ac:dyDescent="0.6">
      <c r="A545" s="1280"/>
      <c r="N545" s="1399"/>
      <c r="O545" s="1280"/>
      <c r="Z545" s="1280"/>
    </row>
    <row r="546" spans="1:26" x14ac:dyDescent="0.6">
      <c r="A546" s="1280"/>
      <c r="N546" s="1399"/>
      <c r="O546" s="1280"/>
      <c r="Z546" s="1280"/>
    </row>
    <row r="547" spans="1:26" x14ac:dyDescent="0.6">
      <c r="A547" s="1280"/>
      <c r="N547" s="1399"/>
      <c r="O547" s="1280"/>
      <c r="Z547" s="1280"/>
    </row>
    <row r="548" spans="1:26" x14ac:dyDescent="0.6">
      <c r="A548" s="1280"/>
      <c r="N548" s="1399"/>
      <c r="O548" s="1280"/>
      <c r="Z548" s="1280"/>
    </row>
    <row r="549" spans="1:26" x14ac:dyDescent="0.6">
      <c r="A549" s="1280"/>
      <c r="N549" s="1399"/>
      <c r="O549" s="1280"/>
      <c r="Z549" s="1280"/>
    </row>
    <row r="550" spans="1:26" x14ac:dyDescent="0.6">
      <c r="A550" s="1280"/>
      <c r="N550" s="1399"/>
      <c r="O550" s="1280"/>
      <c r="Z550" s="1280"/>
    </row>
    <row r="551" spans="1:26" x14ac:dyDescent="0.6">
      <c r="A551" s="1280"/>
      <c r="N551" s="1399"/>
      <c r="O551" s="1280"/>
      <c r="Z551" s="1280"/>
    </row>
    <row r="552" spans="1:26" x14ac:dyDescent="0.6">
      <c r="A552" s="1280"/>
      <c r="N552" s="1399"/>
      <c r="O552" s="1280"/>
      <c r="Z552" s="1280"/>
    </row>
    <row r="553" spans="1:26" x14ac:dyDescent="0.6">
      <c r="A553" s="1280"/>
      <c r="N553" s="1399"/>
      <c r="O553" s="1280"/>
      <c r="Z553" s="1280"/>
    </row>
    <row r="554" spans="1:26" x14ac:dyDescent="0.6">
      <c r="A554" s="1280"/>
      <c r="N554" s="1399"/>
      <c r="O554" s="1280"/>
      <c r="Z554" s="1280"/>
    </row>
    <row r="555" spans="1:26" x14ac:dyDescent="0.6">
      <c r="A555" s="1280"/>
      <c r="N555" s="1399"/>
      <c r="O555" s="1280"/>
      <c r="Z555" s="1280"/>
    </row>
    <row r="556" spans="1:26" x14ac:dyDescent="0.6">
      <c r="A556" s="1280"/>
      <c r="N556" s="1399"/>
      <c r="O556" s="1280"/>
      <c r="Z556" s="1280"/>
    </row>
    <row r="557" spans="1:26" x14ac:dyDescent="0.6">
      <c r="A557" s="1280"/>
      <c r="N557" s="1399"/>
      <c r="O557" s="1280"/>
      <c r="Z557" s="1280"/>
    </row>
    <row r="558" spans="1:26" x14ac:dyDescent="0.6">
      <c r="A558" s="1280"/>
      <c r="N558" s="1399"/>
      <c r="O558" s="1280"/>
      <c r="Z558" s="1280"/>
    </row>
    <row r="559" spans="1:26" x14ac:dyDescent="0.6">
      <c r="A559" s="1280"/>
      <c r="N559" s="1399"/>
      <c r="O559" s="1280"/>
      <c r="Z559" s="1280"/>
    </row>
    <row r="560" spans="1:26" x14ac:dyDescent="0.6">
      <c r="A560" s="1280"/>
      <c r="N560" s="1399"/>
      <c r="O560" s="1280"/>
      <c r="Z560" s="1280"/>
    </row>
    <row r="561" spans="1:26" x14ac:dyDescent="0.6">
      <c r="A561" s="1280"/>
      <c r="N561" s="1399"/>
      <c r="O561" s="1280"/>
      <c r="Z561" s="1280"/>
    </row>
    <row r="562" spans="1:26" x14ac:dyDescent="0.6">
      <c r="A562" s="1280"/>
      <c r="N562" s="1399"/>
      <c r="O562" s="1280"/>
      <c r="Z562" s="1280"/>
    </row>
    <row r="563" spans="1:26" x14ac:dyDescent="0.6">
      <c r="A563" s="1280"/>
      <c r="N563" s="1399"/>
      <c r="O563" s="1280"/>
      <c r="Z563" s="1280"/>
    </row>
    <row r="564" spans="1:26" x14ac:dyDescent="0.6">
      <c r="A564" s="1280"/>
      <c r="N564" s="1399"/>
      <c r="O564" s="1280"/>
      <c r="Z564" s="1280"/>
    </row>
    <row r="565" spans="1:26" x14ac:dyDescent="0.6">
      <c r="A565" s="1280"/>
      <c r="N565" s="1399"/>
      <c r="O565" s="1280"/>
      <c r="Z565" s="1280"/>
    </row>
    <row r="566" spans="1:26" x14ac:dyDescent="0.6">
      <c r="A566" s="1280"/>
      <c r="N566" s="1399"/>
      <c r="O566" s="1280"/>
      <c r="Z566" s="1280"/>
    </row>
    <row r="567" spans="1:26" x14ac:dyDescent="0.6">
      <c r="A567" s="1280"/>
      <c r="N567" s="1399"/>
      <c r="O567" s="1280"/>
      <c r="Z567" s="1280"/>
    </row>
    <row r="568" spans="1:26" x14ac:dyDescent="0.6">
      <c r="A568" s="1280"/>
      <c r="N568" s="1399"/>
      <c r="O568" s="1280"/>
      <c r="Z568" s="1280"/>
    </row>
    <row r="569" spans="1:26" x14ac:dyDescent="0.6">
      <c r="A569" s="1280"/>
      <c r="N569" s="1399"/>
      <c r="O569" s="1280"/>
      <c r="Z569" s="1280"/>
    </row>
    <row r="570" spans="1:26" x14ac:dyDescent="0.6">
      <c r="A570" s="1280"/>
      <c r="N570" s="1399"/>
      <c r="O570" s="1280"/>
      <c r="Z570" s="1280"/>
    </row>
    <row r="571" spans="1:26" x14ac:dyDescent="0.6">
      <c r="A571" s="1280"/>
      <c r="N571" s="1399"/>
      <c r="O571" s="1280"/>
      <c r="Z571" s="1280"/>
    </row>
    <row r="572" spans="1:26" x14ac:dyDescent="0.6">
      <c r="A572" s="1280"/>
      <c r="N572" s="1399"/>
      <c r="O572" s="1280"/>
      <c r="Z572" s="1280"/>
    </row>
    <row r="573" spans="1:26" x14ac:dyDescent="0.6">
      <c r="A573" s="1280"/>
      <c r="N573" s="1399"/>
      <c r="O573" s="1280"/>
      <c r="Z573" s="1280"/>
    </row>
    <row r="574" spans="1:26" x14ac:dyDescent="0.6">
      <c r="A574" s="1280"/>
      <c r="N574" s="1399"/>
      <c r="O574" s="1280"/>
      <c r="Z574" s="1280"/>
    </row>
    <row r="575" spans="1:26" x14ac:dyDescent="0.6">
      <c r="A575" s="1280"/>
      <c r="N575" s="1399"/>
      <c r="O575" s="1280"/>
      <c r="Z575" s="1280"/>
    </row>
    <row r="576" spans="1:26" x14ac:dyDescent="0.6">
      <c r="A576" s="1280"/>
      <c r="N576" s="1399"/>
      <c r="O576" s="1280"/>
      <c r="Z576" s="1280"/>
    </row>
    <row r="577" spans="1:26" x14ac:dyDescent="0.6">
      <c r="A577" s="1280"/>
      <c r="N577" s="1399"/>
      <c r="O577" s="1280"/>
      <c r="Z577" s="1280"/>
    </row>
    <row r="578" spans="1:26" x14ac:dyDescent="0.6">
      <c r="A578" s="1280"/>
      <c r="N578" s="1399"/>
      <c r="O578" s="1280"/>
      <c r="Z578" s="1280"/>
    </row>
    <row r="579" spans="1:26" x14ac:dyDescent="0.6">
      <c r="A579" s="1280"/>
      <c r="N579" s="1399"/>
      <c r="O579" s="1280"/>
      <c r="Z579" s="1280"/>
    </row>
    <row r="580" spans="1:26" x14ac:dyDescent="0.6">
      <c r="A580" s="1280"/>
      <c r="N580" s="1399"/>
      <c r="O580" s="1280"/>
      <c r="Z580" s="1280"/>
    </row>
    <row r="581" spans="1:26" x14ac:dyDescent="0.6">
      <c r="A581" s="1280"/>
      <c r="N581" s="1399"/>
      <c r="O581" s="1280"/>
      <c r="Z581" s="1280"/>
    </row>
    <row r="582" spans="1:26" x14ac:dyDescent="0.6">
      <c r="A582" s="1280"/>
      <c r="N582" s="1399"/>
      <c r="O582" s="1280"/>
      <c r="Z582" s="1280"/>
    </row>
    <row r="583" spans="1:26" x14ac:dyDescent="0.6">
      <c r="A583" s="1280"/>
      <c r="N583" s="1399"/>
      <c r="O583" s="1280"/>
      <c r="Z583" s="1280"/>
    </row>
    <row r="584" spans="1:26" x14ac:dyDescent="0.6">
      <c r="A584" s="1280"/>
      <c r="N584" s="1399"/>
      <c r="O584" s="1280"/>
      <c r="Z584" s="1280"/>
    </row>
    <row r="585" spans="1:26" x14ac:dyDescent="0.6">
      <c r="A585" s="1280"/>
      <c r="N585" s="1399"/>
      <c r="O585" s="1280"/>
      <c r="Z585" s="1280"/>
    </row>
    <row r="586" spans="1:26" x14ac:dyDescent="0.6">
      <c r="A586" s="1280"/>
      <c r="N586" s="1399"/>
      <c r="O586" s="1280"/>
      <c r="Z586" s="1280"/>
    </row>
    <row r="587" spans="1:26" x14ac:dyDescent="0.6">
      <c r="A587" s="1280"/>
      <c r="N587" s="1399"/>
      <c r="O587" s="1280"/>
      <c r="Z587" s="1280"/>
    </row>
    <row r="588" spans="1:26" x14ac:dyDescent="0.6">
      <c r="A588" s="1280"/>
      <c r="N588" s="1399"/>
      <c r="O588" s="1280"/>
      <c r="Z588" s="1280"/>
    </row>
    <row r="589" spans="1:26" x14ac:dyDescent="0.6">
      <c r="A589" s="1280"/>
      <c r="N589" s="1399"/>
      <c r="O589" s="1280"/>
      <c r="Z589" s="1280"/>
    </row>
    <row r="590" spans="1:26" x14ac:dyDescent="0.6">
      <c r="A590" s="1280"/>
      <c r="N590" s="1399"/>
      <c r="O590" s="1280"/>
      <c r="Z590" s="1280"/>
    </row>
    <row r="591" spans="1:26" x14ac:dyDescent="0.6">
      <c r="A591" s="1280"/>
      <c r="N591" s="1399"/>
      <c r="O591" s="1280"/>
      <c r="Z591" s="1280"/>
    </row>
    <row r="592" spans="1:26" x14ac:dyDescent="0.6">
      <c r="A592" s="1280"/>
      <c r="N592" s="1399"/>
      <c r="O592" s="1280"/>
      <c r="Z592" s="1280"/>
    </row>
    <row r="593" spans="1:26" x14ac:dyDescent="0.6">
      <c r="A593" s="1280"/>
      <c r="N593" s="1399"/>
      <c r="O593" s="1280"/>
      <c r="Z593" s="1280"/>
    </row>
    <row r="594" spans="1:26" x14ac:dyDescent="0.6">
      <c r="A594" s="1280"/>
      <c r="N594" s="1399"/>
      <c r="O594" s="1280"/>
      <c r="Z594" s="1280"/>
    </row>
    <row r="595" spans="1:26" x14ac:dyDescent="0.6">
      <c r="A595" s="1280"/>
      <c r="N595" s="1399"/>
      <c r="O595" s="1280"/>
      <c r="Z595" s="1280"/>
    </row>
    <row r="596" spans="1:26" x14ac:dyDescent="0.6">
      <c r="A596" s="1280"/>
      <c r="N596" s="1399"/>
      <c r="O596" s="1280"/>
      <c r="Z596" s="1280"/>
    </row>
    <row r="597" spans="1:26" x14ac:dyDescent="0.6">
      <c r="A597" s="1280"/>
      <c r="N597" s="1399"/>
      <c r="O597" s="1280"/>
      <c r="Z597" s="1280"/>
    </row>
    <row r="598" spans="1:26" x14ac:dyDescent="0.6">
      <c r="A598" s="1280"/>
      <c r="N598" s="1399"/>
      <c r="O598" s="1280"/>
      <c r="Z598" s="1280"/>
    </row>
    <row r="599" spans="1:26" x14ac:dyDescent="0.6">
      <c r="A599" s="1280"/>
      <c r="N599" s="1399"/>
      <c r="O599" s="1280"/>
      <c r="Z599" s="1280"/>
    </row>
    <row r="600" spans="1:26" x14ac:dyDescent="0.6">
      <c r="A600" s="1280"/>
      <c r="N600" s="1399"/>
      <c r="O600" s="1280"/>
      <c r="Z600" s="1280"/>
    </row>
    <row r="601" spans="1:26" x14ac:dyDescent="0.6">
      <c r="A601" s="1280"/>
      <c r="N601" s="1399"/>
      <c r="O601" s="1280"/>
      <c r="Z601" s="1280"/>
    </row>
    <row r="602" spans="1:26" x14ac:dyDescent="0.6">
      <c r="A602" s="1280"/>
      <c r="N602" s="1399"/>
      <c r="O602" s="1280"/>
      <c r="Z602" s="1280"/>
    </row>
    <row r="603" spans="1:26" x14ac:dyDescent="0.6">
      <c r="A603" s="1280"/>
      <c r="N603" s="1399"/>
      <c r="O603" s="1280"/>
      <c r="Z603" s="1280"/>
    </row>
    <row r="604" spans="1:26" x14ac:dyDescent="0.6">
      <c r="A604" s="1280"/>
      <c r="N604" s="1399"/>
      <c r="O604" s="1280"/>
      <c r="Z604" s="1280"/>
    </row>
    <row r="605" spans="1:26" x14ac:dyDescent="0.6">
      <c r="A605" s="1280"/>
      <c r="N605" s="1399"/>
      <c r="O605" s="1280"/>
      <c r="Z605" s="1280"/>
    </row>
    <row r="606" spans="1:26" x14ac:dyDescent="0.6">
      <c r="A606" s="1280"/>
      <c r="N606" s="1399"/>
      <c r="O606" s="1280"/>
      <c r="Z606" s="1280"/>
    </row>
    <row r="607" spans="1:26" x14ac:dyDescent="0.6">
      <c r="A607" s="1280"/>
      <c r="N607" s="1399"/>
      <c r="O607" s="1280"/>
      <c r="Z607" s="1280"/>
    </row>
    <row r="608" spans="1:26" x14ac:dyDescent="0.6">
      <c r="A608" s="1280"/>
      <c r="N608" s="1399"/>
      <c r="O608" s="1280"/>
      <c r="Z608" s="1280"/>
    </row>
    <row r="609" spans="1:26" x14ac:dyDescent="0.6">
      <c r="A609" s="1280"/>
      <c r="N609" s="1399"/>
      <c r="O609" s="1280"/>
      <c r="Z609" s="1280"/>
    </row>
    <row r="610" spans="1:26" x14ac:dyDescent="0.6">
      <c r="A610" s="1280"/>
      <c r="N610" s="1399"/>
      <c r="O610" s="1280"/>
      <c r="Z610" s="1280"/>
    </row>
    <row r="611" spans="1:26" x14ac:dyDescent="0.6">
      <c r="A611" s="1280"/>
      <c r="N611" s="1399"/>
      <c r="O611" s="1280"/>
      <c r="Z611" s="1280"/>
    </row>
    <row r="612" spans="1:26" x14ac:dyDescent="0.6">
      <c r="A612" s="1280"/>
      <c r="N612" s="1399"/>
      <c r="O612" s="1280"/>
      <c r="Z612" s="1280"/>
    </row>
    <row r="613" spans="1:26" x14ac:dyDescent="0.6">
      <c r="A613" s="1280"/>
      <c r="N613" s="1399"/>
      <c r="O613" s="1280"/>
      <c r="Z613" s="1280"/>
    </row>
    <row r="614" spans="1:26" x14ac:dyDescent="0.6">
      <c r="A614" s="1280"/>
      <c r="N614" s="1399"/>
      <c r="O614" s="1280"/>
      <c r="Z614" s="1280"/>
    </row>
    <row r="615" spans="1:26" x14ac:dyDescent="0.6">
      <c r="A615" s="1280"/>
      <c r="N615" s="1399"/>
      <c r="O615" s="1280"/>
      <c r="Z615" s="1280"/>
    </row>
    <row r="616" spans="1:26" x14ac:dyDescent="0.6">
      <c r="A616" s="1280"/>
      <c r="N616" s="1399"/>
      <c r="O616" s="1280"/>
      <c r="Z616" s="1280"/>
    </row>
    <row r="617" spans="1:26" x14ac:dyDescent="0.6">
      <c r="A617" s="1280"/>
      <c r="N617" s="1399"/>
      <c r="O617" s="1280"/>
      <c r="Z617" s="1280"/>
    </row>
    <row r="618" spans="1:26" x14ac:dyDescent="0.6">
      <c r="A618" s="1280"/>
      <c r="N618" s="1399"/>
      <c r="O618" s="1280"/>
      <c r="Z618" s="1280"/>
    </row>
    <row r="619" spans="1:26" x14ac:dyDescent="0.6">
      <c r="A619" s="1280"/>
      <c r="N619" s="1399"/>
      <c r="O619" s="1280"/>
      <c r="Z619" s="1280"/>
    </row>
    <row r="620" spans="1:26" x14ac:dyDescent="0.6">
      <c r="A620" s="1280"/>
      <c r="N620" s="1399"/>
      <c r="O620" s="1280"/>
      <c r="Z620" s="1280"/>
    </row>
    <row r="621" spans="1:26" x14ac:dyDescent="0.6">
      <c r="A621" s="1280"/>
      <c r="N621" s="1399"/>
      <c r="O621" s="1280"/>
      <c r="Z621" s="1280"/>
    </row>
    <row r="622" spans="1:26" x14ac:dyDescent="0.6">
      <c r="A622" s="1280"/>
      <c r="N622" s="1399"/>
      <c r="O622" s="1280"/>
      <c r="Z622" s="1280"/>
    </row>
    <row r="623" spans="1:26" x14ac:dyDescent="0.6">
      <c r="A623" s="1280"/>
      <c r="N623" s="1399"/>
      <c r="O623" s="1280"/>
      <c r="Z623" s="1280"/>
    </row>
    <row r="624" spans="1:26" x14ac:dyDescent="0.6">
      <c r="A624" s="1280"/>
      <c r="N624" s="1399"/>
      <c r="O624" s="1280"/>
      <c r="Z624" s="1280"/>
    </row>
    <row r="625" spans="1:26" x14ac:dyDescent="0.6">
      <c r="A625" s="1280"/>
      <c r="N625" s="1399"/>
      <c r="O625" s="1280"/>
      <c r="Z625" s="1280"/>
    </row>
    <row r="626" spans="1:26" x14ac:dyDescent="0.6">
      <c r="A626" s="1280"/>
      <c r="N626" s="1399"/>
      <c r="O626" s="1280"/>
      <c r="Z626" s="1280"/>
    </row>
    <row r="627" spans="1:26" x14ac:dyDescent="0.6">
      <c r="A627" s="1280"/>
      <c r="N627" s="1399"/>
      <c r="O627" s="1280"/>
      <c r="Z627" s="1280"/>
    </row>
    <row r="628" spans="1:26" x14ac:dyDescent="0.6">
      <c r="A628" s="1280"/>
      <c r="N628" s="1399"/>
      <c r="O628" s="1280"/>
      <c r="Z628" s="1280"/>
    </row>
    <row r="629" spans="1:26" x14ac:dyDescent="0.6">
      <c r="A629" s="1280"/>
      <c r="N629" s="1399"/>
      <c r="O629" s="1280"/>
      <c r="Z629" s="1280"/>
    </row>
    <row r="630" spans="1:26" x14ac:dyDescent="0.6">
      <c r="A630" s="1280"/>
      <c r="N630" s="1399"/>
      <c r="O630" s="1280"/>
      <c r="Z630" s="1280"/>
    </row>
    <row r="631" spans="1:26" x14ac:dyDescent="0.6">
      <c r="A631" s="1280"/>
      <c r="N631" s="1399"/>
      <c r="O631" s="1280"/>
      <c r="Z631" s="1280"/>
    </row>
    <row r="632" spans="1:26" x14ac:dyDescent="0.6">
      <c r="A632" s="1280"/>
      <c r="N632" s="1399"/>
      <c r="O632" s="1280"/>
      <c r="Z632" s="1280"/>
    </row>
    <row r="633" spans="1:26" x14ac:dyDescent="0.6">
      <c r="A633" s="1280"/>
      <c r="N633" s="1399"/>
      <c r="O633" s="1280"/>
      <c r="Z633" s="1280"/>
    </row>
    <row r="634" spans="1:26" x14ac:dyDescent="0.6">
      <c r="A634" s="1280"/>
      <c r="N634" s="1399"/>
      <c r="O634" s="1280"/>
      <c r="Z634" s="1280"/>
    </row>
    <row r="635" spans="1:26" x14ac:dyDescent="0.6">
      <c r="A635" s="1280"/>
      <c r="N635" s="1399"/>
      <c r="O635" s="1280"/>
      <c r="Z635" s="1280"/>
    </row>
    <row r="636" spans="1:26" x14ac:dyDescent="0.6">
      <c r="A636" s="1280"/>
      <c r="N636" s="1399"/>
      <c r="O636" s="1280"/>
      <c r="Z636" s="1280"/>
    </row>
    <row r="637" spans="1:26" x14ac:dyDescent="0.6">
      <c r="A637" s="1280"/>
      <c r="N637" s="1399"/>
      <c r="O637" s="1280"/>
      <c r="Z637" s="1280"/>
    </row>
    <row r="638" spans="1:26" x14ac:dyDescent="0.6">
      <c r="A638" s="1280"/>
      <c r="N638" s="1399"/>
      <c r="O638" s="1280"/>
      <c r="Z638" s="1280"/>
    </row>
    <row r="639" spans="1:26" x14ac:dyDescent="0.6">
      <c r="A639" s="1280"/>
      <c r="N639" s="1399"/>
      <c r="O639" s="1280"/>
      <c r="Z639" s="1280"/>
    </row>
    <row r="640" spans="1:26" x14ac:dyDescent="0.6">
      <c r="A640" s="1280"/>
      <c r="N640" s="1399"/>
      <c r="O640" s="1280"/>
      <c r="Z640" s="1280"/>
    </row>
    <row r="641" spans="1:26" x14ac:dyDescent="0.6">
      <c r="A641" s="1280"/>
      <c r="N641" s="1399"/>
      <c r="O641" s="1280"/>
      <c r="Z641" s="1280"/>
    </row>
    <row r="642" spans="1:26" x14ac:dyDescent="0.6">
      <c r="A642" s="1280"/>
      <c r="N642" s="1399"/>
      <c r="O642" s="1280"/>
      <c r="Z642" s="1280"/>
    </row>
    <row r="643" spans="1:26" x14ac:dyDescent="0.6">
      <c r="A643" s="1280"/>
      <c r="N643" s="1399"/>
      <c r="O643" s="1280"/>
      <c r="Z643" s="1280"/>
    </row>
    <row r="644" spans="1:26" x14ac:dyDescent="0.6">
      <c r="A644" s="1280"/>
      <c r="N644" s="1399"/>
      <c r="O644" s="1280"/>
      <c r="Z644" s="1280"/>
    </row>
    <row r="645" spans="1:26" x14ac:dyDescent="0.6">
      <c r="A645" s="1280"/>
      <c r="N645" s="1399"/>
      <c r="O645" s="1280"/>
      <c r="Z645" s="1280"/>
    </row>
    <row r="646" spans="1:26" x14ac:dyDescent="0.6">
      <c r="A646" s="1280"/>
      <c r="N646" s="1399"/>
      <c r="O646" s="1280"/>
      <c r="Z646" s="1280"/>
    </row>
    <row r="647" spans="1:26" x14ac:dyDescent="0.6">
      <c r="A647" s="1280"/>
      <c r="N647" s="1399"/>
      <c r="O647" s="1280"/>
      <c r="Z647" s="1280"/>
    </row>
    <row r="648" spans="1:26" x14ac:dyDescent="0.6">
      <c r="A648" s="1280"/>
      <c r="N648" s="1399"/>
      <c r="O648" s="1280"/>
      <c r="Z648" s="1280"/>
    </row>
    <row r="649" spans="1:26" x14ac:dyDescent="0.6">
      <c r="A649" s="1280"/>
      <c r="N649" s="1399"/>
      <c r="O649" s="1280"/>
      <c r="Z649" s="1280"/>
    </row>
    <row r="650" spans="1:26" x14ac:dyDescent="0.6">
      <c r="A650" s="1280"/>
      <c r="N650" s="1399"/>
      <c r="O650" s="1280"/>
      <c r="Z650" s="1280"/>
    </row>
    <row r="651" spans="1:26" x14ac:dyDescent="0.6">
      <c r="A651" s="1280"/>
      <c r="N651" s="1399"/>
      <c r="O651" s="1280"/>
      <c r="Z651" s="1280"/>
    </row>
    <row r="652" spans="1:26" x14ac:dyDescent="0.6">
      <c r="A652" s="1280"/>
      <c r="N652" s="1399"/>
      <c r="O652" s="1280"/>
      <c r="Z652" s="1280"/>
    </row>
    <row r="653" spans="1:26" x14ac:dyDescent="0.6">
      <c r="A653" s="1280"/>
      <c r="N653" s="1399"/>
      <c r="O653" s="1280"/>
      <c r="Z653" s="1280"/>
    </row>
    <row r="654" spans="1:26" x14ac:dyDescent="0.6">
      <c r="A654" s="1280"/>
      <c r="N654" s="1399"/>
      <c r="O654" s="1280"/>
      <c r="Z654" s="1280"/>
    </row>
    <row r="655" spans="1:26" x14ac:dyDescent="0.6">
      <c r="A655" s="1280"/>
      <c r="N655" s="1399"/>
      <c r="O655" s="1280"/>
      <c r="Z655" s="1280"/>
    </row>
    <row r="656" spans="1:26" x14ac:dyDescent="0.6">
      <c r="A656" s="1280"/>
      <c r="N656" s="1399"/>
      <c r="O656" s="1280"/>
      <c r="Z656" s="1280"/>
    </row>
    <row r="657" spans="1:26" x14ac:dyDescent="0.6">
      <c r="A657" s="1280"/>
      <c r="N657" s="1399"/>
      <c r="O657" s="1280"/>
      <c r="Z657" s="1280"/>
    </row>
    <row r="658" spans="1:26" x14ac:dyDescent="0.6">
      <c r="A658" s="1280"/>
      <c r="N658" s="1399"/>
      <c r="O658" s="1280"/>
      <c r="Z658" s="1280"/>
    </row>
    <row r="659" spans="1:26" x14ac:dyDescent="0.6">
      <c r="A659" s="1280"/>
      <c r="N659" s="1399"/>
      <c r="O659" s="1280"/>
      <c r="Z659" s="1280"/>
    </row>
    <row r="660" spans="1:26" x14ac:dyDescent="0.6">
      <c r="A660" s="1280"/>
      <c r="N660" s="1399"/>
      <c r="O660" s="1280"/>
      <c r="Z660" s="1280"/>
    </row>
    <row r="661" spans="1:26" x14ac:dyDescent="0.6">
      <c r="A661" s="1280"/>
      <c r="N661" s="1399"/>
      <c r="O661" s="1280"/>
      <c r="Z661" s="1280"/>
    </row>
    <row r="662" spans="1:26" x14ac:dyDescent="0.6">
      <c r="A662" s="1280"/>
      <c r="N662" s="1399"/>
      <c r="O662" s="1280"/>
      <c r="Z662" s="1280"/>
    </row>
    <row r="663" spans="1:26" x14ac:dyDescent="0.6">
      <c r="A663" s="1280"/>
      <c r="N663" s="1399"/>
      <c r="O663" s="1280"/>
      <c r="Z663" s="1280"/>
    </row>
    <row r="664" spans="1:26" x14ac:dyDescent="0.6">
      <c r="A664" s="1280"/>
      <c r="N664" s="1399"/>
      <c r="O664" s="1280"/>
      <c r="Z664" s="1280"/>
    </row>
    <row r="665" spans="1:26" x14ac:dyDescent="0.6">
      <c r="A665" s="1280"/>
      <c r="N665" s="1399"/>
      <c r="O665" s="1280"/>
      <c r="Z665" s="1280"/>
    </row>
    <row r="666" spans="1:26" x14ac:dyDescent="0.6">
      <c r="A666" s="1280"/>
      <c r="N666" s="1399"/>
      <c r="O666" s="1280"/>
      <c r="Z666" s="1280"/>
    </row>
    <row r="667" spans="1:26" x14ac:dyDescent="0.6">
      <c r="A667" s="1280"/>
      <c r="N667" s="1399"/>
      <c r="O667" s="1280"/>
      <c r="Z667" s="1280"/>
    </row>
    <row r="668" spans="1:26" x14ac:dyDescent="0.6">
      <c r="A668" s="1280"/>
      <c r="N668" s="1399"/>
      <c r="O668" s="1280"/>
      <c r="Z668" s="1280"/>
    </row>
    <row r="669" spans="1:26" x14ac:dyDescent="0.6">
      <c r="A669" s="1280"/>
      <c r="N669" s="1399"/>
      <c r="O669" s="1280"/>
      <c r="Z669" s="1280"/>
    </row>
    <row r="670" spans="1:26" x14ac:dyDescent="0.6">
      <c r="A670" s="1280"/>
      <c r="N670" s="1399"/>
      <c r="O670" s="1280"/>
      <c r="Z670" s="1280"/>
    </row>
    <row r="671" spans="1:26" x14ac:dyDescent="0.6">
      <c r="A671" s="1280"/>
      <c r="N671" s="1399"/>
      <c r="O671" s="1280"/>
      <c r="Z671" s="1280"/>
    </row>
    <row r="672" spans="1:26" x14ac:dyDescent="0.6">
      <c r="A672" s="1280"/>
      <c r="N672" s="1399"/>
      <c r="O672" s="1280"/>
      <c r="Z672" s="1280"/>
    </row>
    <row r="673" spans="1:26" x14ac:dyDescent="0.6">
      <c r="A673" s="1280"/>
      <c r="N673" s="1399"/>
      <c r="O673" s="1280"/>
      <c r="Z673" s="1280"/>
    </row>
    <row r="674" spans="1:26" x14ac:dyDescent="0.6">
      <c r="A674" s="1280"/>
      <c r="N674" s="1399"/>
      <c r="O674" s="1280"/>
      <c r="Z674" s="1280"/>
    </row>
    <row r="675" spans="1:26" x14ac:dyDescent="0.6">
      <c r="A675" s="1280"/>
      <c r="N675" s="1399"/>
      <c r="O675" s="1280"/>
      <c r="Z675" s="1280"/>
    </row>
    <row r="676" spans="1:26" x14ac:dyDescent="0.6">
      <c r="A676" s="1280"/>
      <c r="N676" s="1399"/>
      <c r="O676" s="1280"/>
      <c r="Z676" s="1280"/>
    </row>
    <row r="677" spans="1:26" x14ac:dyDescent="0.6">
      <c r="A677" s="1280"/>
      <c r="N677" s="1399"/>
      <c r="O677" s="1280"/>
      <c r="Z677" s="1280"/>
    </row>
    <row r="678" spans="1:26" x14ac:dyDescent="0.6">
      <c r="A678" s="1280"/>
      <c r="N678" s="1399"/>
      <c r="O678" s="1280"/>
      <c r="Z678" s="1280"/>
    </row>
    <row r="679" spans="1:26" x14ac:dyDescent="0.6">
      <c r="A679" s="1280"/>
      <c r="N679" s="1399"/>
      <c r="O679" s="1280"/>
      <c r="Z679" s="1280"/>
    </row>
    <row r="680" spans="1:26" x14ac:dyDescent="0.6">
      <c r="A680" s="1280"/>
      <c r="N680" s="1399"/>
      <c r="O680" s="1280"/>
      <c r="Z680" s="1280"/>
    </row>
    <row r="681" spans="1:26" x14ac:dyDescent="0.6">
      <c r="A681" s="1280"/>
      <c r="N681" s="1399"/>
      <c r="O681" s="1280"/>
      <c r="Z681" s="1280"/>
    </row>
    <row r="682" spans="1:26" x14ac:dyDescent="0.6">
      <c r="A682" s="1280"/>
      <c r="N682" s="1399"/>
      <c r="O682" s="1280"/>
      <c r="Z682" s="1280"/>
    </row>
    <row r="683" spans="1:26" x14ac:dyDescent="0.6">
      <c r="A683" s="1280"/>
      <c r="N683" s="1399"/>
      <c r="O683" s="1280"/>
      <c r="Z683" s="1280"/>
    </row>
    <row r="684" spans="1:26" x14ac:dyDescent="0.6">
      <c r="A684" s="1280"/>
      <c r="N684" s="1399"/>
      <c r="O684" s="1280"/>
      <c r="Z684" s="1280"/>
    </row>
    <row r="685" spans="1:26" x14ac:dyDescent="0.6">
      <c r="A685" s="1280"/>
      <c r="N685" s="1399"/>
      <c r="O685" s="1280"/>
      <c r="Z685" s="1280"/>
    </row>
    <row r="686" spans="1:26" x14ac:dyDescent="0.6">
      <c r="A686" s="1280"/>
      <c r="N686" s="1399"/>
      <c r="O686" s="1280"/>
      <c r="Z686" s="1280"/>
    </row>
    <row r="687" spans="1:26" x14ac:dyDescent="0.6">
      <c r="A687" s="1280"/>
      <c r="N687" s="1399"/>
      <c r="O687" s="1280"/>
      <c r="Z687" s="1280"/>
    </row>
    <row r="688" spans="1:26" x14ac:dyDescent="0.6">
      <c r="A688" s="1280"/>
      <c r="N688" s="1399"/>
      <c r="O688" s="1280"/>
      <c r="Z688" s="1280"/>
    </row>
    <row r="689" spans="1:26" x14ac:dyDescent="0.6">
      <c r="A689" s="1280"/>
      <c r="N689" s="1399"/>
      <c r="O689" s="1280"/>
      <c r="Z689" s="1280"/>
    </row>
    <row r="690" spans="1:26" x14ac:dyDescent="0.6">
      <c r="A690" s="1280"/>
      <c r="N690" s="1399"/>
      <c r="O690" s="1280"/>
      <c r="Z690" s="1280"/>
    </row>
    <row r="691" spans="1:26" x14ac:dyDescent="0.6">
      <c r="A691" s="1280"/>
      <c r="N691" s="1399"/>
      <c r="O691" s="1280"/>
      <c r="Z691" s="1280"/>
    </row>
    <row r="692" spans="1:26" x14ac:dyDescent="0.6">
      <c r="A692" s="1280"/>
      <c r="N692" s="1399"/>
      <c r="O692" s="1280"/>
      <c r="Z692" s="1280"/>
    </row>
    <row r="693" spans="1:26" x14ac:dyDescent="0.6">
      <c r="A693" s="1280"/>
      <c r="N693" s="1399"/>
      <c r="O693" s="1280"/>
      <c r="Z693" s="1280"/>
    </row>
    <row r="694" spans="1:26" x14ac:dyDescent="0.6">
      <c r="A694" s="1280"/>
      <c r="N694" s="1399"/>
      <c r="O694" s="1280"/>
      <c r="Z694" s="1280"/>
    </row>
    <row r="695" spans="1:26" x14ac:dyDescent="0.6">
      <c r="A695" s="1280"/>
      <c r="N695" s="1399"/>
      <c r="O695" s="1280"/>
      <c r="Z695" s="1280"/>
    </row>
    <row r="696" spans="1:26" x14ac:dyDescent="0.6">
      <c r="A696" s="1280"/>
      <c r="N696" s="1399"/>
      <c r="O696" s="1280"/>
      <c r="Z696" s="1280"/>
    </row>
    <row r="697" spans="1:26" x14ac:dyDescent="0.6">
      <c r="A697" s="1280"/>
      <c r="N697" s="1399"/>
      <c r="O697" s="1280"/>
      <c r="Z697" s="1280"/>
    </row>
    <row r="698" spans="1:26" x14ac:dyDescent="0.6">
      <c r="A698" s="1280"/>
      <c r="N698" s="1399"/>
      <c r="O698" s="1280"/>
      <c r="Z698" s="1280"/>
    </row>
    <row r="699" spans="1:26" x14ac:dyDescent="0.6">
      <c r="A699" s="1280"/>
      <c r="N699" s="1399"/>
      <c r="O699" s="1280"/>
      <c r="Z699" s="1280"/>
    </row>
    <row r="700" spans="1:26" x14ac:dyDescent="0.6">
      <c r="A700" s="1280"/>
      <c r="N700" s="1399"/>
      <c r="O700" s="1280"/>
      <c r="Z700" s="1280"/>
    </row>
    <row r="701" spans="1:26" x14ac:dyDescent="0.6">
      <c r="A701" s="1280"/>
      <c r="N701" s="1399"/>
      <c r="O701" s="1280"/>
      <c r="Z701" s="1280"/>
    </row>
    <row r="702" spans="1:26" x14ac:dyDescent="0.6">
      <c r="A702" s="1280"/>
      <c r="N702" s="1399"/>
      <c r="O702" s="1280"/>
      <c r="Z702" s="1280"/>
    </row>
    <row r="703" spans="1:26" x14ac:dyDescent="0.6">
      <c r="A703" s="1280"/>
      <c r="N703" s="1399"/>
      <c r="O703" s="1280"/>
      <c r="Z703" s="1280"/>
    </row>
    <row r="704" spans="1:26" x14ac:dyDescent="0.6">
      <c r="A704" s="1280"/>
      <c r="N704" s="1399"/>
      <c r="O704" s="1280"/>
      <c r="Z704" s="1280"/>
    </row>
    <row r="705" spans="1:26" x14ac:dyDescent="0.6">
      <c r="A705" s="1280"/>
      <c r="N705" s="1399"/>
      <c r="O705" s="1280"/>
      <c r="Z705" s="1280"/>
    </row>
    <row r="706" spans="1:26" x14ac:dyDescent="0.6">
      <c r="A706" s="1280"/>
      <c r="N706" s="1399"/>
      <c r="O706" s="1280"/>
      <c r="Z706" s="1280"/>
    </row>
    <row r="707" spans="1:26" x14ac:dyDescent="0.6">
      <c r="A707" s="1280"/>
      <c r="N707" s="1399"/>
      <c r="O707" s="1280"/>
      <c r="Z707" s="1280"/>
    </row>
    <row r="708" spans="1:26" x14ac:dyDescent="0.6">
      <c r="A708" s="1280"/>
      <c r="N708" s="1399"/>
      <c r="O708" s="1280"/>
      <c r="Z708" s="1280"/>
    </row>
    <row r="709" spans="1:26" x14ac:dyDescent="0.6">
      <c r="A709" s="1280"/>
      <c r="N709" s="1399"/>
      <c r="O709" s="1280"/>
      <c r="Z709" s="1280"/>
    </row>
    <row r="710" spans="1:26" x14ac:dyDescent="0.6">
      <c r="A710" s="1280"/>
      <c r="N710" s="1399"/>
      <c r="O710" s="1280"/>
      <c r="Z710" s="1280"/>
    </row>
    <row r="711" spans="1:26" x14ac:dyDescent="0.6">
      <c r="A711" s="1280"/>
      <c r="N711" s="1399"/>
      <c r="O711" s="1280"/>
      <c r="Z711" s="1280"/>
    </row>
    <row r="712" spans="1:26" x14ac:dyDescent="0.6">
      <c r="A712" s="1280"/>
      <c r="N712" s="1399"/>
      <c r="O712" s="1280"/>
      <c r="Z712" s="1280"/>
    </row>
    <row r="713" spans="1:26" x14ac:dyDescent="0.6">
      <c r="A713" s="1280"/>
      <c r="N713" s="1399"/>
      <c r="O713" s="1280"/>
      <c r="Z713" s="1280"/>
    </row>
    <row r="714" spans="1:26" x14ac:dyDescent="0.6">
      <c r="A714" s="1280"/>
      <c r="N714" s="1399"/>
      <c r="O714" s="1280"/>
      <c r="Z714" s="1280"/>
    </row>
    <row r="715" spans="1:26" x14ac:dyDescent="0.6">
      <c r="A715" s="1280"/>
      <c r="N715" s="1399"/>
      <c r="O715" s="1280"/>
      <c r="Z715" s="1280"/>
    </row>
    <row r="716" spans="1:26" x14ac:dyDescent="0.6">
      <c r="A716" s="1280"/>
      <c r="N716" s="1399"/>
      <c r="O716" s="1280"/>
      <c r="Z716" s="1280"/>
    </row>
    <row r="717" spans="1:26" x14ac:dyDescent="0.6">
      <c r="A717" s="1280"/>
      <c r="N717" s="1399"/>
      <c r="O717" s="1280"/>
      <c r="Z717" s="1280"/>
    </row>
    <row r="718" spans="1:26" x14ac:dyDescent="0.6">
      <c r="A718" s="1280"/>
      <c r="N718" s="1399"/>
      <c r="O718" s="1280"/>
      <c r="Z718" s="1280"/>
    </row>
    <row r="719" spans="1:26" x14ac:dyDescent="0.6">
      <c r="A719" s="1280"/>
      <c r="N719" s="1399"/>
      <c r="O719" s="1280"/>
      <c r="Z719" s="1280"/>
    </row>
    <row r="720" spans="1:26" x14ac:dyDescent="0.6">
      <c r="A720" s="1280"/>
      <c r="N720" s="1399"/>
      <c r="O720" s="1280"/>
      <c r="Z720" s="1280"/>
    </row>
    <row r="721" spans="1:26" x14ac:dyDescent="0.6">
      <c r="A721" s="1280"/>
      <c r="N721" s="1399"/>
      <c r="O721" s="1280"/>
      <c r="Z721" s="1280"/>
    </row>
    <row r="722" spans="1:26" x14ac:dyDescent="0.6">
      <c r="A722" s="1280"/>
      <c r="N722" s="1399"/>
      <c r="O722" s="1280"/>
      <c r="Z722" s="1280"/>
    </row>
  </sheetData>
  <protectedRanges>
    <protectedRange password="CC6F" sqref="B15" name="ช่วง1_5_1_5_1_1_2_1"/>
    <protectedRange password="CC6F" sqref="B8:B9 B23:B25 B12:B13 B27:B28 B16:B20" name="ช่วง1_5_1_5_1_1_1_1_2"/>
    <protectedRange password="CC6F" sqref="B14 B11 B22 B26" name="ช่วง1_5_1_5_1_1_4_1_1"/>
    <protectedRange password="CC6F" sqref="B10 B21" name="ช่วง1_5_1_5_1_1_5_1_1"/>
  </protectedRanges>
  <mergeCells count="18">
    <mergeCell ref="X6:X7"/>
    <mergeCell ref="A29:C29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1FC9B-EAF8-4247-893B-0FE942C0F38B}">
  <sheetPr>
    <pageSetUpPr fitToPage="1"/>
  </sheetPr>
  <dimension ref="A1:AC702"/>
  <sheetViews>
    <sheetView zoomScale="90" zoomScaleNormal="90" zoomScaleSheetLayoutView="11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6" customWidth="1"/>
    <col min="15" max="15" width="11.09765625" style="1460" customWidth="1"/>
    <col min="16" max="16" width="11.09765625" style="1399" hidden="1" customWidth="1"/>
    <col min="17" max="17" width="11.09765625" style="1399" customWidth="1"/>
    <col min="18" max="18" width="11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x14ac:dyDescent="0.6">
      <c r="A1" s="1735" t="s">
        <v>9080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9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9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9" x14ac:dyDescent="0.6">
      <c r="A4" s="1408" t="s">
        <v>2185</v>
      </c>
      <c r="B4" s="1408" t="s">
        <v>9081</v>
      </c>
      <c r="C4" s="1849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412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29" x14ac:dyDescent="0.6">
      <c r="A5" s="1417"/>
      <c r="B5" s="1417"/>
      <c r="C5" s="1850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29" x14ac:dyDescent="0.6">
      <c r="A6" s="1417"/>
      <c r="B6" s="1417"/>
      <c r="C6" s="1850" t="s">
        <v>7786</v>
      </c>
      <c r="D6" s="1423" t="s">
        <v>7787</v>
      </c>
      <c r="E6" s="1412" t="s">
        <v>7788</v>
      </c>
      <c r="F6" s="1423" t="s">
        <v>7789</v>
      </c>
      <c r="G6" s="1412" t="s">
        <v>7790</v>
      </c>
      <c r="H6" s="1423" t="s">
        <v>7791</v>
      </c>
      <c r="I6" s="1412" t="s">
        <v>7792</v>
      </c>
      <c r="J6" s="1418" t="s">
        <v>7793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29" x14ac:dyDescent="0.6">
      <c r="A7" s="1425"/>
      <c r="B7" s="1425"/>
      <c r="C7" s="1851" t="s">
        <v>7796</v>
      </c>
      <c r="D7" s="1426"/>
      <c r="E7" s="1427"/>
      <c r="F7" s="1426"/>
      <c r="G7" s="1427"/>
      <c r="H7" s="1426"/>
      <c r="I7" s="1427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29" s="1388" customFormat="1" ht="23.25" customHeight="1" x14ac:dyDescent="0.25">
      <c r="A8" s="1279">
        <v>1</v>
      </c>
      <c r="B8" s="1211" t="s">
        <v>584</v>
      </c>
      <c r="C8" s="1383"/>
      <c r="D8" s="1919">
        <v>598102</v>
      </c>
      <c r="E8" s="1920">
        <v>598102</v>
      </c>
      <c r="F8" s="1921">
        <v>654554</v>
      </c>
      <c r="G8" s="1919">
        <v>654554</v>
      </c>
      <c r="H8" s="1386">
        <v>746177</v>
      </c>
      <c r="I8" s="1356">
        <v>746177</v>
      </c>
      <c r="J8" s="1348">
        <v>792000</v>
      </c>
      <c r="K8" s="1349">
        <v>0</v>
      </c>
      <c r="L8" s="1350">
        <v>0</v>
      </c>
      <c r="M8" s="1351">
        <v>12</v>
      </c>
      <c r="N8" s="1352">
        <v>66000</v>
      </c>
      <c r="O8" s="1353">
        <f>M8*N8</f>
        <v>792000</v>
      </c>
      <c r="P8" s="1354">
        <v>3</v>
      </c>
      <c r="Q8" s="1354">
        <f>P8*N8</f>
        <v>198000</v>
      </c>
      <c r="R8" s="1354">
        <v>3</v>
      </c>
      <c r="S8" s="1355">
        <f>R8*N8</f>
        <v>198000</v>
      </c>
      <c r="T8" s="1354">
        <v>3</v>
      </c>
      <c r="U8" s="1355">
        <f>T8*N8</f>
        <v>198000</v>
      </c>
      <c r="V8" s="1354">
        <v>3</v>
      </c>
      <c r="W8" s="1355">
        <f>V8*N8</f>
        <v>198000</v>
      </c>
      <c r="X8" s="1356">
        <f>P8+R8+T8+V8</f>
        <v>12</v>
      </c>
      <c r="Y8" s="1356">
        <f>X8*N8</f>
        <v>792000</v>
      </c>
      <c r="Z8" s="1357" t="s">
        <v>7799</v>
      </c>
      <c r="AA8" s="1358" t="s">
        <v>6531</v>
      </c>
      <c r="AB8" s="1359" t="str">
        <f t="shared" ref="AB8:AB9" si="0">IF(O8=Y8,"yes")</f>
        <v>yes</v>
      </c>
      <c r="AC8" s="1388" t="str">
        <f t="shared" ref="AC8:AC9" si="1">IF(O8=Y8,"ok")</f>
        <v>ok</v>
      </c>
    </row>
    <row r="9" spans="1:29" s="1393" customFormat="1" ht="20.25" customHeight="1" x14ac:dyDescent="0.6">
      <c r="A9" s="1389" t="s">
        <v>7433</v>
      </c>
      <c r="B9" s="1389"/>
      <c r="C9" s="1389"/>
      <c r="D9" s="1392">
        <f>SUM(D8)</f>
        <v>598102</v>
      </c>
      <c r="E9" s="1392">
        <f t="shared" ref="E9:Y9" si="2">SUM(E8)</f>
        <v>598102</v>
      </c>
      <c r="F9" s="1392">
        <f t="shared" si="2"/>
        <v>654554</v>
      </c>
      <c r="G9" s="1392">
        <f t="shared" si="2"/>
        <v>654554</v>
      </c>
      <c r="H9" s="1392">
        <f t="shared" si="2"/>
        <v>746177</v>
      </c>
      <c r="I9" s="1392">
        <f t="shared" si="2"/>
        <v>746177</v>
      </c>
      <c r="J9" s="1392">
        <f t="shared" si="2"/>
        <v>792000</v>
      </c>
      <c r="K9" s="1392">
        <f t="shared" si="2"/>
        <v>0</v>
      </c>
      <c r="L9" s="1392">
        <f t="shared" si="2"/>
        <v>0</v>
      </c>
      <c r="M9" s="1392">
        <f t="shared" si="2"/>
        <v>12</v>
      </c>
      <c r="N9" s="1392">
        <f t="shared" si="2"/>
        <v>66000</v>
      </c>
      <c r="O9" s="1392">
        <f t="shared" si="2"/>
        <v>792000</v>
      </c>
      <c r="P9" s="1392">
        <f t="shared" si="2"/>
        <v>3</v>
      </c>
      <c r="Q9" s="1392">
        <f t="shared" si="2"/>
        <v>198000</v>
      </c>
      <c r="R9" s="1392">
        <f t="shared" si="2"/>
        <v>3</v>
      </c>
      <c r="S9" s="1392">
        <f t="shared" si="2"/>
        <v>198000</v>
      </c>
      <c r="T9" s="1392">
        <f t="shared" si="2"/>
        <v>3</v>
      </c>
      <c r="U9" s="1392">
        <f t="shared" si="2"/>
        <v>198000</v>
      </c>
      <c r="V9" s="1392">
        <f t="shared" si="2"/>
        <v>3</v>
      </c>
      <c r="W9" s="1392">
        <f t="shared" si="2"/>
        <v>198000</v>
      </c>
      <c r="X9" s="1392">
        <f t="shared" si="2"/>
        <v>12</v>
      </c>
      <c r="Y9" s="1392">
        <f t="shared" si="2"/>
        <v>792000</v>
      </c>
      <c r="Z9" s="1391"/>
      <c r="AA9" s="1392"/>
      <c r="AB9" s="1393" t="str">
        <f t="shared" si="0"/>
        <v>yes</v>
      </c>
      <c r="AC9" s="1388" t="str">
        <f t="shared" si="1"/>
        <v>ok</v>
      </c>
    </row>
    <row r="10" spans="1:29" ht="20.25" customHeight="1" x14ac:dyDescent="0.6">
      <c r="A10" s="1397"/>
      <c r="C10" s="1399"/>
      <c r="D10" s="1397"/>
      <c r="E10" s="1397"/>
      <c r="F10" s="1397"/>
      <c r="G10" s="1397"/>
      <c r="H10" s="1397"/>
      <c r="I10" s="1397"/>
      <c r="J10" s="1397"/>
      <c r="K10" s="1397"/>
      <c r="L10" s="1397"/>
      <c r="M10" s="1457"/>
      <c r="N10" s="1400"/>
      <c r="O10" s="1400"/>
      <c r="P10" s="1458"/>
      <c r="Q10" s="1458"/>
      <c r="R10" s="1458"/>
      <c r="S10" s="1458"/>
      <c r="T10" s="1458"/>
      <c r="U10" s="1458"/>
      <c r="V10" s="1458"/>
      <c r="W10" s="1458"/>
      <c r="X10" s="1457"/>
      <c r="Y10" s="1457"/>
      <c r="AA10" s="1402"/>
    </row>
    <row r="11" spans="1:29" ht="20.25" customHeight="1" x14ac:dyDescent="0.6">
      <c r="A11" s="1397"/>
      <c r="C11" s="1399"/>
    </row>
    <row r="12" spans="1:29" ht="20.25" customHeight="1" x14ac:dyDescent="0.6">
      <c r="B12" s="1280"/>
      <c r="D12" s="1280"/>
      <c r="E12" s="1280"/>
      <c r="F12" s="1280"/>
      <c r="G12" s="1399"/>
      <c r="M12" s="1459"/>
      <c r="N12" s="1459"/>
      <c r="O12" s="1459"/>
      <c r="P12" s="1459"/>
      <c r="Q12" s="1459"/>
      <c r="R12" s="1280"/>
      <c r="S12" s="1280"/>
      <c r="T12" s="1280"/>
      <c r="U12" s="1280"/>
      <c r="V12" s="1280"/>
      <c r="W12" s="1280"/>
      <c r="Z12" s="1280"/>
    </row>
    <row r="13" spans="1:29" ht="20.25" customHeight="1" x14ac:dyDescent="0.6">
      <c r="B13" s="1280"/>
      <c r="D13" s="1280"/>
      <c r="E13" s="1280"/>
      <c r="F13" s="1280"/>
      <c r="G13" s="1399"/>
      <c r="M13" s="1459"/>
      <c r="N13" s="1459"/>
      <c r="O13" s="1459"/>
      <c r="P13" s="1459"/>
      <c r="Q13" s="1459"/>
      <c r="R13" s="1280"/>
      <c r="S13" s="1280"/>
      <c r="T13" s="1280"/>
      <c r="U13" s="1280"/>
      <c r="V13" s="1280"/>
      <c r="W13" s="1280"/>
      <c r="Z13" s="1280"/>
    </row>
    <row r="14" spans="1:29" ht="20.25" customHeight="1" x14ac:dyDescent="0.6">
      <c r="B14" s="1280"/>
      <c r="D14" s="1280"/>
      <c r="E14" s="1280"/>
      <c r="F14" s="1280"/>
      <c r="G14" s="1399"/>
      <c r="M14" s="1459"/>
      <c r="N14" s="1459"/>
      <c r="O14" s="1459"/>
      <c r="P14" s="1459"/>
      <c r="Q14" s="1459"/>
      <c r="R14" s="1280"/>
      <c r="S14" s="1280"/>
      <c r="T14" s="1280"/>
      <c r="U14" s="1280"/>
      <c r="V14" s="1280"/>
      <c r="W14" s="1280"/>
      <c r="Z14" s="1280"/>
    </row>
    <row r="15" spans="1:29" ht="20.25" customHeight="1" x14ac:dyDescent="0.6">
      <c r="B15" s="1280"/>
      <c r="D15" s="1280"/>
      <c r="E15" s="1280"/>
      <c r="F15" s="1280"/>
      <c r="G15" s="1399"/>
      <c r="M15" s="1459"/>
      <c r="N15" s="1459"/>
      <c r="O15" s="1459"/>
      <c r="P15" s="1459"/>
      <c r="Q15" s="1459"/>
      <c r="R15" s="1459"/>
      <c r="S15" s="1459"/>
      <c r="Y15" s="1402"/>
      <c r="Z15" s="1405"/>
    </row>
    <row r="16" spans="1:29" ht="20.25" customHeight="1" x14ac:dyDescent="0.6"/>
    <row r="17" spans="1:27" ht="20.25" customHeight="1" x14ac:dyDescent="0.6">
      <c r="P17" s="1457"/>
      <c r="Q17" s="1457"/>
    </row>
    <row r="18" spans="1:27" ht="20.25" customHeight="1" x14ac:dyDescent="0.6">
      <c r="AA18" s="1401"/>
    </row>
    <row r="24" spans="1:27" x14ac:dyDescent="0.6">
      <c r="A24" s="1280"/>
      <c r="N24" s="1399"/>
      <c r="O24" s="1280"/>
      <c r="Z24" s="1280"/>
    </row>
    <row r="25" spans="1:27" x14ac:dyDescent="0.6">
      <c r="A25" s="1280"/>
      <c r="N25" s="1399"/>
      <c r="O25" s="1280"/>
      <c r="Z25" s="1280"/>
    </row>
    <row r="26" spans="1:27" x14ac:dyDescent="0.6">
      <c r="A26" s="1280"/>
      <c r="N26" s="1399"/>
      <c r="O26" s="1280"/>
      <c r="Z26" s="1280"/>
    </row>
    <row r="27" spans="1:27" x14ac:dyDescent="0.6">
      <c r="A27" s="1280"/>
      <c r="N27" s="1399"/>
      <c r="O27" s="1280"/>
      <c r="Z27" s="1280"/>
    </row>
    <row r="28" spans="1:27" x14ac:dyDescent="0.6">
      <c r="A28" s="1280"/>
      <c r="N28" s="1399"/>
      <c r="O28" s="1280"/>
      <c r="Z28" s="1280"/>
    </row>
    <row r="29" spans="1:27" x14ac:dyDescent="0.6">
      <c r="A29" s="1280"/>
      <c r="N29" s="1399"/>
      <c r="O29" s="1280"/>
      <c r="Z29" s="1280"/>
    </row>
    <row r="30" spans="1:27" x14ac:dyDescent="0.6">
      <c r="A30" s="1280"/>
      <c r="N30" s="1399"/>
      <c r="O30" s="1280"/>
      <c r="Z30" s="1280"/>
    </row>
    <row r="31" spans="1:27" x14ac:dyDescent="0.6">
      <c r="A31" s="1280"/>
      <c r="N31" s="1399"/>
      <c r="O31" s="1280"/>
      <c r="Z31" s="1280"/>
    </row>
    <row r="32" spans="1:27" x14ac:dyDescent="0.6">
      <c r="A32" s="1280"/>
      <c r="N32" s="1399"/>
      <c r="O32" s="1280"/>
      <c r="Z32" s="1280"/>
    </row>
    <row r="33" spans="1:26" x14ac:dyDescent="0.6">
      <c r="A33" s="1280"/>
      <c r="N33" s="1399"/>
      <c r="O33" s="1280"/>
      <c r="Z33" s="1280"/>
    </row>
    <row r="34" spans="1:26" x14ac:dyDescent="0.6">
      <c r="A34" s="1280"/>
      <c r="N34" s="1399"/>
      <c r="O34" s="1280"/>
      <c r="Z34" s="1280"/>
    </row>
    <row r="35" spans="1:26" x14ac:dyDescent="0.6">
      <c r="A35" s="1280"/>
      <c r="N35" s="1399"/>
      <c r="O35" s="1280"/>
      <c r="Z35" s="1280"/>
    </row>
    <row r="36" spans="1:26" x14ac:dyDescent="0.6">
      <c r="A36" s="1280"/>
      <c r="N36" s="1399"/>
      <c r="O36" s="1280"/>
      <c r="Z36" s="1280"/>
    </row>
    <row r="37" spans="1:26" x14ac:dyDescent="0.6">
      <c r="A37" s="1280"/>
      <c r="N37" s="1399"/>
      <c r="O37" s="1280"/>
      <c r="Z37" s="1280"/>
    </row>
    <row r="38" spans="1:26" x14ac:dyDescent="0.6">
      <c r="A38" s="1280"/>
      <c r="N38" s="1399"/>
      <c r="O38" s="1280"/>
      <c r="Z38" s="1280"/>
    </row>
    <row r="39" spans="1:26" x14ac:dyDescent="0.6">
      <c r="A39" s="1280"/>
      <c r="N39" s="1399"/>
      <c r="O39" s="1280"/>
      <c r="Z39" s="1280"/>
    </row>
    <row r="40" spans="1:26" x14ac:dyDescent="0.6">
      <c r="A40" s="1280"/>
      <c r="N40" s="1399"/>
      <c r="O40" s="1280"/>
      <c r="Z40" s="1280"/>
    </row>
    <row r="41" spans="1:26" x14ac:dyDescent="0.6">
      <c r="A41" s="1280"/>
      <c r="N41" s="1399"/>
      <c r="O41" s="1280"/>
      <c r="Z41" s="1280"/>
    </row>
    <row r="42" spans="1:26" x14ac:dyDescent="0.6">
      <c r="A42" s="1280"/>
      <c r="N42" s="1399"/>
      <c r="O42" s="1280"/>
      <c r="Z42" s="1280"/>
    </row>
    <row r="43" spans="1:26" x14ac:dyDescent="0.6">
      <c r="A43" s="1280"/>
      <c r="N43" s="1399"/>
      <c r="O43" s="1280"/>
      <c r="Z43" s="1280"/>
    </row>
    <row r="44" spans="1:26" x14ac:dyDescent="0.6">
      <c r="A44" s="1280"/>
      <c r="N44" s="1399"/>
      <c r="O44" s="1280"/>
      <c r="Z44" s="1280"/>
    </row>
    <row r="45" spans="1:26" x14ac:dyDescent="0.6">
      <c r="A45" s="1280"/>
      <c r="N45" s="1399"/>
      <c r="O45" s="1280"/>
      <c r="Z45" s="1280"/>
    </row>
    <row r="46" spans="1:26" x14ac:dyDescent="0.6">
      <c r="A46" s="1280"/>
      <c r="N46" s="1399"/>
      <c r="O46" s="1280"/>
      <c r="Z46" s="1280"/>
    </row>
    <row r="47" spans="1:26" x14ac:dyDescent="0.6">
      <c r="A47" s="1280"/>
      <c r="N47" s="1399"/>
      <c r="O47" s="1280"/>
      <c r="Z47" s="1280"/>
    </row>
    <row r="48" spans="1:26" x14ac:dyDescent="0.6">
      <c r="A48" s="1280"/>
      <c r="N48" s="1399"/>
      <c r="O48" s="1280"/>
      <c r="Z48" s="1280"/>
    </row>
    <row r="49" spans="1:26" x14ac:dyDescent="0.6">
      <c r="A49" s="1280"/>
      <c r="N49" s="1399"/>
      <c r="O49" s="1280"/>
      <c r="Z49" s="1280"/>
    </row>
    <row r="50" spans="1:26" x14ac:dyDescent="0.6">
      <c r="A50" s="1280"/>
      <c r="N50" s="1399"/>
      <c r="O50" s="1280"/>
      <c r="Z50" s="1280"/>
    </row>
    <row r="51" spans="1:26" x14ac:dyDescent="0.6">
      <c r="A51" s="1280"/>
      <c r="N51" s="1399"/>
      <c r="O51" s="1280"/>
      <c r="Z51" s="1280"/>
    </row>
    <row r="52" spans="1:26" x14ac:dyDescent="0.6">
      <c r="A52" s="1280"/>
      <c r="N52" s="1399"/>
      <c r="O52" s="1280"/>
      <c r="Z52" s="1280"/>
    </row>
    <row r="53" spans="1:26" x14ac:dyDescent="0.6">
      <c r="A53" s="1280"/>
      <c r="N53" s="1399"/>
      <c r="O53" s="1280"/>
      <c r="Z53" s="1280"/>
    </row>
    <row r="54" spans="1:26" x14ac:dyDescent="0.6">
      <c r="A54" s="1280"/>
      <c r="N54" s="1399"/>
      <c r="O54" s="1280"/>
      <c r="Z54" s="1280"/>
    </row>
    <row r="55" spans="1:26" x14ac:dyDescent="0.6">
      <c r="A55" s="1280"/>
      <c r="N55" s="1399"/>
      <c r="O55" s="1280"/>
      <c r="Z55" s="1280"/>
    </row>
    <row r="56" spans="1:26" x14ac:dyDescent="0.6">
      <c r="A56" s="1280"/>
      <c r="N56" s="1399"/>
      <c r="O56" s="1280"/>
      <c r="Z56" s="1280"/>
    </row>
    <row r="57" spans="1:26" x14ac:dyDescent="0.6">
      <c r="A57" s="1280"/>
      <c r="N57" s="1399"/>
      <c r="O57" s="1280"/>
      <c r="Z57" s="1280"/>
    </row>
    <row r="58" spans="1:26" x14ac:dyDescent="0.6">
      <c r="A58" s="1280"/>
      <c r="N58" s="1399"/>
      <c r="O58" s="1280"/>
      <c r="Z58" s="1280"/>
    </row>
    <row r="59" spans="1:26" x14ac:dyDescent="0.6">
      <c r="A59" s="1280"/>
      <c r="N59" s="1399"/>
      <c r="O59" s="1280"/>
      <c r="Z59" s="1280"/>
    </row>
    <row r="60" spans="1:26" x14ac:dyDescent="0.6">
      <c r="A60" s="1280"/>
      <c r="N60" s="1399"/>
      <c r="O60" s="1280"/>
      <c r="Z60" s="1280"/>
    </row>
    <row r="61" spans="1:26" x14ac:dyDescent="0.6">
      <c r="A61" s="1280"/>
      <c r="N61" s="1399"/>
      <c r="O61" s="1280"/>
      <c r="Z61" s="1280"/>
    </row>
    <row r="62" spans="1:26" x14ac:dyDescent="0.6">
      <c r="A62" s="1280"/>
      <c r="N62" s="1399"/>
      <c r="O62" s="1280"/>
      <c r="Z62" s="1280"/>
    </row>
    <row r="63" spans="1:26" x14ac:dyDescent="0.6">
      <c r="A63" s="1280"/>
      <c r="N63" s="1399"/>
      <c r="O63" s="1280"/>
      <c r="Z63" s="1280"/>
    </row>
    <row r="64" spans="1:26" x14ac:dyDescent="0.6">
      <c r="A64" s="1280"/>
      <c r="N64" s="1399"/>
      <c r="O64" s="1280"/>
      <c r="Z64" s="1280"/>
    </row>
    <row r="65" spans="1:26" x14ac:dyDescent="0.6">
      <c r="A65" s="1280"/>
      <c r="N65" s="1399"/>
      <c r="O65" s="1280"/>
      <c r="Z65" s="1280"/>
    </row>
    <row r="66" spans="1:26" x14ac:dyDescent="0.6">
      <c r="A66" s="1280"/>
      <c r="N66" s="1399"/>
      <c r="O66" s="1280"/>
      <c r="Z66" s="1280"/>
    </row>
    <row r="67" spans="1:26" x14ac:dyDescent="0.6">
      <c r="A67" s="1280"/>
      <c r="N67" s="1399"/>
      <c r="O67" s="1280"/>
      <c r="Z67" s="1280"/>
    </row>
    <row r="68" spans="1:26" x14ac:dyDescent="0.6">
      <c r="A68" s="1280"/>
      <c r="N68" s="1399"/>
      <c r="O68" s="1280"/>
      <c r="Z68" s="1280"/>
    </row>
    <row r="69" spans="1:26" x14ac:dyDescent="0.6">
      <c r="A69" s="1280"/>
      <c r="N69" s="1399"/>
      <c r="O69" s="1280"/>
      <c r="Z69" s="1280"/>
    </row>
    <row r="70" spans="1:26" x14ac:dyDescent="0.6">
      <c r="A70" s="1280"/>
      <c r="N70" s="1399"/>
      <c r="O70" s="1280"/>
      <c r="Z70" s="1280"/>
    </row>
    <row r="71" spans="1:26" x14ac:dyDescent="0.6">
      <c r="A71" s="1280"/>
      <c r="N71" s="1399"/>
      <c r="O71" s="1280"/>
      <c r="Z71" s="1280"/>
    </row>
    <row r="72" spans="1:26" x14ac:dyDescent="0.6">
      <c r="A72" s="1280"/>
      <c r="N72" s="1399"/>
      <c r="O72" s="1280"/>
      <c r="Z72" s="1280"/>
    </row>
    <row r="73" spans="1:26" x14ac:dyDescent="0.6">
      <c r="A73" s="1280"/>
      <c r="N73" s="1399"/>
      <c r="O73" s="1280"/>
      <c r="Z73" s="1280"/>
    </row>
    <row r="74" spans="1:26" x14ac:dyDescent="0.6">
      <c r="A74" s="1280"/>
      <c r="N74" s="1399"/>
      <c r="O74" s="1280"/>
      <c r="Z74" s="1280"/>
    </row>
    <row r="75" spans="1:26" x14ac:dyDescent="0.6">
      <c r="A75" s="1280"/>
      <c r="N75" s="1399"/>
      <c r="O75" s="1280"/>
      <c r="Z75" s="1280"/>
    </row>
    <row r="76" spans="1:26" x14ac:dyDescent="0.6">
      <c r="A76" s="1280"/>
      <c r="N76" s="1399"/>
      <c r="O76" s="1280"/>
      <c r="Z76" s="1280"/>
    </row>
    <row r="77" spans="1:26" x14ac:dyDescent="0.6">
      <c r="A77" s="1280"/>
      <c r="N77" s="1399"/>
      <c r="O77" s="1280"/>
      <c r="Z77" s="1280"/>
    </row>
    <row r="78" spans="1:26" x14ac:dyDescent="0.6">
      <c r="A78" s="1280"/>
      <c r="N78" s="1399"/>
      <c r="O78" s="1280"/>
      <c r="Z78" s="1280"/>
    </row>
    <row r="79" spans="1:26" x14ac:dyDescent="0.6">
      <c r="A79" s="1280"/>
      <c r="N79" s="1399"/>
      <c r="O79" s="1280"/>
      <c r="Z79" s="1280"/>
    </row>
    <row r="80" spans="1:26" x14ac:dyDescent="0.6">
      <c r="A80" s="1280"/>
      <c r="N80" s="1399"/>
      <c r="O80" s="1280"/>
      <c r="Z80" s="1280"/>
    </row>
    <row r="81" spans="1:26" x14ac:dyDescent="0.6">
      <c r="A81" s="1280"/>
      <c r="N81" s="1399"/>
      <c r="O81" s="1280"/>
      <c r="Z81" s="1280"/>
    </row>
    <row r="82" spans="1:26" x14ac:dyDescent="0.6">
      <c r="A82" s="1280"/>
      <c r="N82" s="1399"/>
      <c r="O82" s="1280"/>
      <c r="Z82" s="1280"/>
    </row>
    <row r="83" spans="1:26" x14ac:dyDescent="0.6">
      <c r="A83" s="1280"/>
      <c r="N83" s="1399"/>
      <c r="O83" s="1280"/>
      <c r="Z83" s="1280"/>
    </row>
    <row r="84" spans="1:26" x14ac:dyDescent="0.6">
      <c r="A84" s="1280"/>
      <c r="N84" s="1399"/>
      <c r="O84" s="1280"/>
      <c r="Z84" s="1280"/>
    </row>
    <row r="85" spans="1:26" x14ac:dyDescent="0.6">
      <c r="A85" s="1280"/>
      <c r="N85" s="1399"/>
      <c r="O85" s="1280"/>
      <c r="Z85" s="1280"/>
    </row>
    <row r="86" spans="1:26" x14ac:dyDescent="0.6">
      <c r="A86" s="1280"/>
      <c r="N86" s="1399"/>
      <c r="O86" s="1280"/>
      <c r="Z86" s="1280"/>
    </row>
    <row r="87" spans="1:26" x14ac:dyDescent="0.6">
      <c r="A87" s="1280"/>
      <c r="N87" s="1399"/>
      <c r="O87" s="1280"/>
      <c r="Z87" s="1280"/>
    </row>
    <row r="88" spans="1:26" x14ac:dyDescent="0.6">
      <c r="A88" s="1280"/>
      <c r="N88" s="1399"/>
      <c r="O88" s="1280"/>
      <c r="Z88" s="1280"/>
    </row>
    <row r="89" spans="1:26" x14ac:dyDescent="0.6">
      <c r="A89" s="1280"/>
      <c r="N89" s="1399"/>
      <c r="O89" s="1280"/>
      <c r="Z89" s="1280"/>
    </row>
    <row r="90" spans="1:26" x14ac:dyDescent="0.6">
      <c r="A90" s="1280"/>
      <c r="N90" s="1399"/>
      <c r="O90" s="1280"/>
      <c r="Z90" s="1280"/>
    </row>
    <row r="91" spans="1:26" x14ac:dyDescent="0.6">
      <c r="A91" s="1280"/>
      <c r="N91" s="1399"/>
      <c r="O91" s="1280"/>
      <c r="Z91" s="1280"/>
    </row>
    <row r="92" spans="1:26" x14ac:dyDescent="0.6">
      <c r="A92" s="1280"/>
      <c r="N92" s="1399"/>
      <c r="O92" s="1280"/>
      <c r="Z92" s="1280"/>
    </row>
    <row r="93" spans="1:26" x14ac:dyDescent="0.6">
      <c r="A93" s="1280"/>
      <c r="N93" s="1399"/>
      <c r="O93" s="1280"/>
      <c r="Z93" s="1280"/>
    </row>
    <row r="94" spans="1:26" x14ac:dyDescent="0.6">
      <c r="A94" s="1280"/>
      <c r="N94" s="1399"/>
      <c r="O94" s="1280"/>
      <c r="Z94" s="1280"/>
    </row>
    <row r="95" spans="1:26" x14ac:dyDescent="0.6">
      <c r="A95" s="1280"/>
      <c r="N95" s="1399"/>
      <c r="O95" s="1280"/>
      <c r="Z95" s="1280"/>
    </row>
    <row r="96" spans="1:26" x14ac:dyDescent="0.6">
      <c r="A96" s="1280"/>
      <c r="N96" s="1399"/>
      <c r="O96" s="1280"/>
      <c r="Z96" s="1280"/>
    </row>
    <row r="97" spans="1:26" x14ac:dyDescent="0.6">
      <c r="A97" s="1280"/>
      <c r="N97" s="1399"/>
      <c r="O97" s="1280"/>
      <c r="Z97" s="1280"/>
    </row>
    <row r="98" spans="1:26" x14ac:dyDescent="0.6">
      <c r="A98" s="1280"/>
      <c r="N98" s="1399"/>
      <c r="O98" s="1280"/>
      <c r="Z98" s="1280"/>
    </row>
    <row r="99" spans="1:26" x14ac:dyDescent="0.6">
      <c r="A99" s="1280"/>
      <c r="N99" s="1399"/>
      <c r="O99" s="1280"/>
      <c r="Z99" s="1280"/>
    </row>
    <row r="100" spans="1:26" x14ac:dyDescent="0.6">
      <c r="A100" s="1280"/>
      <c r="N100" s="1399"/>
      <c r="O100" s="1280"/>
      <c r="Z100" s="1280"/>
    </row>
    <row r="101" spans="1:26" x14ac:dyDescent="0.6">
      <c r="A101" s="1280"/>
      <c r="N101" s="1399"/>
      <c r="O101" s="1280"/>
      <c r="Z101" s="1280"/>
    </row>
    <row r="102" spans="1:26" x14ac:dyDescent="0.6">
      <c r="A102" s="1280"/>
      <c r="N102" s="1399"/>
      <c r="O102" s="1280"/>
      <c r="Z102" s="1280"/>
    </row>
    <row r="103" spans="1:26" x14ac:dyDescent="0.6">
      <c r="A103" s="1280"/>
      <c r="N103" s="1399"/>
      <c r="O103" s="1280"/>
      <c r="Z103" s="1280"/>
    </row>
    <row r="104" spans="1:26" x14ac:dyDescent="0.6">
      <c r="A104" s="1280"/>
      <c r="N104" s="1399"/>
      <c r="O104" s="1280"/>
      <c r="Z104" s="1280"/>
    </row>
    <row r="105" spans="1:26" x14ac:dyDescent="0.6">
      <c r="A105" s="1280"/>
      <c r="N105" s="1399"/>
      <c r="O105" s="1280"/>
      <c r="Z105" s="1280"/>
    </row>
    <row r="106" spans="1:26" x14ac:dyDescent="0.6">
      <c r="A106" s="1280"/>
      <c r="N106" s="1399"/>
      <c r="O106" s="1280"/>
      <c r="Z106" s="1280"/>
    </row>
    <row r="107" spans="1:26" x14ac:dyDescent="0.6">
      <c r="A107" s="1280"/>
      <c r="N107" s="1399"/>
      <c r="O107" s="1280"/>
      <c r="Z107" s="1280"/>
    </row>
    <row r="108" spans="1:26" x14ac:dyDescent="0.6">
      <c r="A108" s="1280"/>
      <c r="N108" s="1399"/>
      <c r="O108" s="1280"/>
      <c r="Z108" s="1280"/>
    </row>
    <row r="109" spans="1:26" x14ac:dyDescent="0.6">
      <c r="A109" s="1280"/>
      <c r="N109" s="1399"/>
      <c r="O109" s="1280"/>
      <c r="Z109" s="1280"/>
    </row>
    <row r="110" spans="1:26" x14ac:dyDescent="0.6">
      <c r="A110" s="1280"/>
      <c r="N110" s="1399"/>
      <c r="O110" s="1280"/>
      <c r="Z110" s="1280"/>
    </row>
    <row r="111" spans="1:26" x14ac:dyDescent="0.6">
      <c r="A111" s="1280"/>
      <c r="N111" s="1399"/>
      <c r="O111" s="1280"/>
      <c r="Z111" s="1280"/>
    </row>
    <row r="112" spans="1:26" x14ac:dyDescent="0.6">
      <c r="A112" s="1280"/>
      <c r="N112" s="1399"/>
      <c r="O112" s="1280"/>
      <c r="Z112" s="1280"/>
    </row>
    <row r="113" spans="1:26" x14ac:dyDescent="0.6">
      <c r="A113" s="1280"/>
      <c r="N113" s="1399"/>
      <c r="O113" s="1280"/>
      <c r="Z113" s="1280"/>
    </row>
    <row r="114" spans="1:26" x14ac:dyDescent="0.6">
      <c r="A114" s="1280"/>
      <c r="N114" s="1399"/>
      <c r="O114" s="1280"/>
      <c r="Z114" s="1280"/>
    </row>
    <row r="115" spans="1:26" x14ac:dyDescent="0.6">
      <c r="A115" s="1280"/>
      <c r="N115" s="1399"/>
      <c r="O115" s="1280"/>
      <c r="Z115" s="1280"/>
    </row>
    <row r="116" spans="1:26" x14ac:dyDescent="0.6">
      <c r="A116" s="1280"/>
      <c r="N116" s="1399"/>
      <c r="O116" s="1280"/>
      <c r="Z116" s="1280"/>
    </row>
    <row r="117" spans="1:26" x14ac:dyDescent="0.6">
      <c r="A117" s="1280"/>
      <c r="N117" s="1399"/>
      <c r="O117" s="1280"/>
      <c r="Z117" s="1280"/>
    </row>
    <row r="118" spans="1:26" x14ac:dyDescent="0.6">
      <c r="A118" s="1280"/>
      <c r="N118" s="1399"/>
      <c r="O118" s="1280"/>
      <c r="Z118" s="1280"/>
    </row>
    <row r="119" spans="1:26" x14ac:dyDescent="0.6">
      <c r="A119" s="1280"/>
      <c r="N119" s="1399"/>
      <c r="O119" s="1280"/>
      <c r="Z119" s="1280"/>
    </row>
    <row r="120" spans="1:26" x14ac:dyDescent="0.6">
      <c r="A120" s="1280"/>
      <c r="N120" s="1399"/>
      <c r="O120" s="1280"/>
      <c r="Z120" s="1280"/>
    </row>
    <row r="121" spans="1:26" x14ac:dyDescent="0.6">
      <c r="A121" s="1280"/>
      <c r="N121" s="1399"/>
      <c r="O121" s="1280"/>
      <c r="Z121" s="1280"/>
    </row>
    <row r="122" spans="1:26" x14ac:dyDescent="0.6">
      <c r="A122" s="1280"/>
      <c r="N122" s="1399"/>
      <c r="O122" s="1280"/>
      <c r="Z122" s="1280"/>
    </row>
    <row r="123" spans="1:26" x14ac:dyDescent="0.6">
      <c r="A123" s="1280"/>
      <c r="N123" s="1399"/>
      <c r="O123" s="1280"/>
      <c r="Z123" s="1280"/>
    </row>
    <row r="124" spans="1:26" x14ac:dyDescent="0.6">
      <c r="A124" s="1280"/>
      <c r="N124" s="1399"/>
      <c r="O124" s="1280"/>
      <c r="Z124" s="1280"/>
    </row>
    <row r="125" spans="1:26" x14ac:dyDescent="0.6">
      <c r="A125" s="1280"/>
      <c r="N125" s="1399"/>
      <c r="O125" s="1280"/>
      <c r="Z125" s="1280"/>
    </row>
    <row r="126" spans="1:26" x14ac:dyDescent="0.6">
      <c r="A126" s="1280"/>
      <c r="N126" s="1399"/>
      <c r="O126" s="1280"/>
      <c r="Z126" s="1280"/>
    </row>
    <row r="127" spans="1:26" x14ac:dyDescent="0.6">
      <c r="A127" s="1280"/>
      <c r="N127" s="1399"/>
      <c r="O127" s="1280"/>
      <c r="Z127" s="1280"/>
    </row>
    <row r="128" spans="1:26" x14ac:dyDescent="0.6">
      <c r="A128" s="1280"/>
      <c r="N128" s="1399"/>
      <c r="O128" s="1280"/>
      <c r="Z128" s="1280"/>
    </row>
    <row r="129" spans="1:26" x14ac:dyDescent="0.6">
      <c r="A129" s="1280"/>
      <c r="N129" s="1399"/>
      <c r="O129" s="1280"/>
      <c r="Z129" s="1280"/>
    </row>
    <row r="130" spans="1:26" x14ac:dyDescent="0.6">
      <c r="A130" s="1280"/>
      <c r="N130" s="1399"/>
      <c r="O130" s="1280"/>
      <c r="Z130" s="1280"/>
    </row>
    <row r="131" spans="1:26" x14ac:dyDescent="0.6">
      <c r="A131" s="1280"/>
      <c r="N131" s="1399"/>
      <c r="O131" s="1280"/>
      <c r="Z131" s="1280"/>
    </row>
    <row r="132" spans="1:26" x14ac:dyDescent="0.6">
      <c r="A132" s="1280"/>
      <c r="N132" s="1399"/>
      <c r="O132" s="1280"/>
      <c r="Z132" s="1280"/>
    </row>
    <row r="133" spans="1:26" x14ac:dyDescent="0.6">
      <c r="A133" s="1280"/>
      <c r="N133" s="1399"/>
      <c r="O133" s="1280"/>
      <c r="Z133" s="1280"/>
    </row>
    <row r="134" spans="1:26" x14ac:dyDescent="0.6">
      <c r="A134" s="1280"/>
      <c r="N134" s="1399"/>
      <c r="O134" s="1280"/>
      <c r="Z134" s="1280"/>
    </row>
    <row r="135" spans="1:26" x14ac:dyDescent="0.6">
      <c r="A135" s="1280"/>
      <c r="N135" s="1399"/>
      <c r="O135" s="1280"/>
      <c r="Z135" s="1280"/>
    </row>
    <row r="136" spans="1:26" x14ac:dyDescent="0.6">
      <c r="A136" s="1280"/>
      <c r="N136" s="1399"/>
      <c r="O136" s="1280"/>
      <c r="Z136" s="1280"/>
    </row>
    <row r="137" spans="1:26" x14ac:dyDescent="0.6">
      <c r="A137" s="1280"/>
      <c r="N137" s="1399"/>
      <c r="O137" s="1280"/>
      <c r="Z137" s="1280"/>
    </row>
    <row r="138" spans="1:26" x14ac:dyDescent="0.6">
      <c r="A138" s="1280"/>
      <c r="N138" s="1399"/>
      <c r="O138" s="1280"/>
      <c r="Z138" s="1280"/>
    </row>
    <row r="139" spans="1:26" x14ac:dyDescent="0.6">
      <c r="A139" s="1280"/>
      <c r="N139" s="1399"/>
      <c r="O139" s="1280"/>
      <c r="Z139" s="1280"/>
    </row>
    <row r="140" spans="1:26" x14ac:dyDescent="0.6">
      <c r="A140" s="1280"/>
      <c r="N140" s="1399"/>
      <c r="O140" s="1280"/>
      <c r="Z140" s="1280"/>
    </row>
    <row r="141" spans="1:26" x14ac:dyDescent="0.6">
      <c r="A141" s="1280"/>
      <c r="N141" s="1399"/>
      <c r="O141" s="1280"/>
      <c r="Z141" s="1280"/>
    </row>
    <row r="142" spans="1:26" x14ac:dyDescent="0.6">
      <c r="A142" s="1280"/>
      <c r="N142" s="1399"/>
      <c r="O142" s="1280"/>
      <c r="Z142" s="1280"/>
    </row>
    <row r="143" spans="1:26" x14ac:dyDescent="0.6">
      <c r="A143" s="1280"/>
      <c r="N143" s="1399"/>
      <c r="O143" s="1280"/>
      <c r="Z143" s="1280"/>
    </row>
    <row r="144" spans="1:26" x14ac:dyDescent="0.6">
      <c r="A144" s="1280"/>
      <c r="N144" s="1399"/>
      <c r="O144" s="1280"/>
      <c r="Z144" s="1280"/>
    </row>
    <row r="145" spans="1:26" x14ac:dyDescent="0.6">
      <c r="A145" s="1280"/>
      <c r="N145" s="1399"/>
      <c r="O145" s="1280"/>
      <c r="Z145" s="1280"/>
    </row>
    <row r="146" spans="1:26" x14ac:dyDescent="0.6">
      <c r="A146" s="1280"/>
      <c r="N146" s="1399"/>
      <c r="O146" s="1280"/>
      <c r="Z146" s="1280"/>
    </row>
    <row r="147" spans="1:26" x14ac:dyDescent="0.6">
      <c r="A147" s="1280"/>
      <c r="N147" s="1399"/>
      <c r="O147" s="1280"/>
      <c r="Z147" s="1280"/>
    </row>
    <row r="148" spans="1:26" x14ac:dyDescent="0.6">
      <c r="A148" s="1280"/>
      <c r="N148" s="1399"/>
      <c r="O148" s="1280"/>
      <c r="Z148" s="1280"/>
    </row>
    <row r="149" spans="1:26" x14ac:dyDescent="0.6">
      <c r="A149" s="1280"/>
      <c r="N149" s="1399"/>
      <c r="O149" s="1280"/>
      <c r="Z149" s="1280"/>
    </row>
    <row r="150" spans="1:26" x14ac:dyDescent="0.6">
      <c r="A150" s="1280"/>
      <c r="N150" s="1399"/>
      <c r="O150" s="1280"/>
      <c r="Z150" s="1280"/>
    </row>
    <row r="151" spans="1:26" x14ac:dyDescent="0.6">
      <c r="A151" s="1280"/>
      <c r="N151" s="1399"/>
      <c r="O151" s="1280"/>
      <c r="Z151" s="1280"/>
    </row>
    <row r="152" spans="1:26" x14ac:dyDescent="0.6">
      <c r="A152" s="1280"/>
      <c r="N152" s="1399"/>
      <c r="O152" s="1280"/>
      <c r="Z152" s="1280"/>
    </row>
    <row r="153" spans="1:26" x14ac:dyDescent="0.6">
      <c r="A153" s="1280"/>
      <c r="N153" s="1399"/>
      <c r="O153" s="1280"/>
      <c r="Z153" s="1280"/>
    </row>
    <row r="154" spans="1:26" x14ac:dyDescent="0.6">
      <c r="A154" s="1280"/>
      <c r="N154" s="1399"/>
      <c r="O154" s="1280"/>
      <c r="Z154" s="1280"/>
    </row>
    <row r="155" spans="1:26" x14ac:dyDescent="0.6">
      <c r="A155" s="1280"/>
      <c r="N155" s="1399"/>
      <c r="O155" s="1280"/>
      <c r="Z155" s="1280"/>
    </row>
    <row r="156" spans="1:26" x14ac:dyDescent="0.6">
      <c r="A156" s="1280"/>
      <c r="N156" s="1399"/>
      <c r="O156" s="1280"/>
      <c r="Z156" s="1280"/>
    </row>
    <row r="157" spans="1:26" x14ac:dyDescent="0.6">
      <c r="A157" s="1280"/>
      <c r="N157" s="1399"/>
      <c r="O157" s="1280"/>
      <c r="Z157" s="1280"/>
    </row>
    <row r="158" spans="1:26" x14ac:dyDescent="0.6">
      <c r="A158" s="1280"/>
      <c r="N158" s="1399"/>
      <c r="O158" s="1280"/>
      <c r="Z158" s="1280"/>
    </row>
    <row r="159" spans="1:26" x14ac:dyDescent="0.6">
      <c r="A159" s="1280"/>
      <c r="N159" s="1399"/>
      <c r="O159" s="1280"/>
      <c r="Z159" s="1280"/>
    </row>
    <row r="160" spans="1:26" x14ac:dyDescent="0.6">
      <c r="A160" s="1280"/>
      <c r="N160" s="1399"/>
      <c r="O160" s="1280"/>
      <c r="Z160" s="1280"/>
    </row>
    <row r="161" spans="1:26" x14ac:dyDescent="0.6">
      <c r="A161" s="1280"/>
      <c r="N161" s="1399"/>
      <c r="O161" s="1280"/>
      <c r="Z161" s="1280"/>
    </row>
    <row r="162" spans="1:26" x14ac:dyDescent="0.6">
      <c r="A162" s="1280"/>
      <c r="N162" s="1399"/>
      <c r="O162" s="1280"/>
      <c r="Z162" s="1280"/>
    </row>
    <row r="163" spans="1:26" x14ac:dyDescent="0.6">
      <c r="A163" s="1280"/>
      <c r="N163" s="1399"/>
      <c r="O163" s="1280"/>
      <c r="Z163" s="1280"/>
    </row>
    <row r="164" spans="1:26" x14ac:dyDescent="0.6">
      <c r="A164" s="1280"/>
      <c r="N164" s="1399"/>
      <c r="O164" s="1280"/>
      <c r="Z164" s="1280"/>
    </row>
    <row r="165" spans="1:26" x14ac:dyDescent="0.6">
      <c r="A165" s="1280"/>
      <c r="N165" s="1399"/>
      <c r="O165" s="1280"/>
      <c r="Z165" s="1280"/>
    </row>
    <row r="166" spans="1:26" x14ac:dyDescent="0.6">
      <c r="A166" s="1280"/>
      <c r="N166" s="1399"/>
      <c r="O166" s="1280"/>
      <c r="Z166" s="1280"/>
    </row>
    <row r="167" spans="1:26" x14ac:dyDescent="0.6">
      <c r="A167" s="1280"/>
      <c r="N167" s="1399"/>
      <c r="O167" s="1280"/>
      <c r="Z167" s="1280"/>
    </row>
    <row r="168" spans="1:26" x14ac:dyDescent="0.6">
      <c r="A168" s="1280"/>
      <c r="N168" s="1399"/>
      <c r="O168" s="1280"/>
      <c r="Z168" s="1280"/>
    </row>
    <row r="169" spans="1:26" x14ac:dyDescent="0.6">
      <c r="A169" s="1280"/>
      <c r="N169" s="1399"/>
      <c r="O169" s="1280"/>
      <c r="Z169" s="1280"/>
    </row>
    <row r="170" spans="1:26" x14ac:dyDescent="0.6">
      <c r="A170" s="1280"/>
      <c r="N170" s="1399"/>
      <c r="O170" s="1280"/>
      <c r="Z170" s="1280"/>
    </row>
    <row r="171" spans="1:26" x14ac:dyDescent="0.6">
      <c r="A171" s="1280"/>
      <c r="N171" s="1399"/>
      <c r="O171" s="1280"/>
      <c r="Z171" s="1280"/>
    </row>
    <row r="172" spans="1:26" x14ac:dyDescent="0.6">
      <c r="A172" s="1280"/>
      <c r="N172" s="1399"/>
      <c r="O172" s="1280"/>
      <c r="Z172" s="1280"/>
    </row>
    <row r="173" spans="1:26" x14ac:dyDescent="0.6">
      <c r="A173" s="1280"/>
      <c r="N173" s="1399"/>
      <c r="O173" s="1280"/>
      <c r="Z173" s="1280"/>
    </row>
    <row r="174" spans="1:26" x14ac:dyDescent="0.6">
      <c r="A174" s="1280"/>
      <c r="N174" s="1399"/>
      <c r="O174" s="1280"/>
      <c r="Z174" s="1280"/>
    </row>
    <row r="175" spans="1:26" x14ac:dyDescent="0.6">
      <c r="A175" s="1280"/>
      <c r="N175" s="1399"/>
      <c r="O175" s="1280"/>
      <c r="Z175" s="1280"/>
    </row>
    <row r="176" spans="1:26" x14ac:dyDescent="0.6">
      <c r="A176" s="1280"/>
      <c r="N176" s="1399"/>
      <c r="O176" s="1280"/>
      <c r="Z176" s="1280"/>
    </row>
    <row r="177" spans="1:26" x14ac:dyDescent="0.6">
      <c r="A177" s="1280"/>
      <c r="N177" s="1399"/>
      <c r="O177" s="1280"/>
      <c r="Z177" s="1280"/>
    </row>
    <row r="178" spans="1:26" x14ac:dyDescent="0.6">
      <c r="A178" s="1280"/>
      <c r="N178" s="1399"/>
      <c r="O178" s="1280"/>
      <c r="Z178" s="1280"/>
    </row>
    <row r="179" spans="1:26" x14ac:dyDescent="0.6">
      <c r="A179" s="1280"/>
      <c r="N179" s="1399"/>
      <c r="O179" s="1280"/>
      <c r="Z179" s="1280"/>
    </row>
    <row r="180" spans="1:26" x14ac:dyDescent="0.6">
      <c r="A180" s="1280"/>
      <c r="N180" s="1399"/>
      <c r="O180" s="1280"/>
      <c r="Z180" s="1280"/>
    </row>
    <row r="181" spans="1:26" x14ac:dyDescent="0.6">
      <c r="A181" s="1280"/>
      <c r="N181" s="1399"/>
      <c r="O181" s="1280"/>
      <c r="Z181" s="1280"/>
    </row>
    <row r="182" spans="1:26" x14ac:dyDescent="0.6">
      <c r="A182" s="1280"/>
      <c r="N182" s="1399"/>
      <c r="O182" s="1280"/>
      <c r="Z182" s="1280"/>
    </row>
    <row r="183" spans="1:26" x14ac:dyDescent="0.6">
      <c r="A183" s="1280"/>
      <c r="N183" s="1399"/>
      <c r="O183" s="1280"/>
      <c r="Z183" s="1280"/>
    </row>
    <row r="184" spans="1:26" x14ac:dyDescent="0.6">
      <c r="A184" s="1280"/>
      <c r="N184" s="1399"/>
      <c r="O184" s="1280"/>
      <c r="Z184" s="1280"/>
    </row>
    <row r="185" spans="1:26" x14ac:dyDescent="0.6">
      <c r="A185" s="1280"/>
      <c r="N185" s="1399"/>
      <c r="O185" s="1280"/>
      <c r="Z185" s="1280"/>
    </row>
    <row r="186" spans="1:26" x14ac:dyDescent="0.6">
      <c r="A186" s="1280"/>
      <c r="N186" s="1399"/>
      <c r="O186" s="1280"/>
      <c r="Z186" s="1280"/>
    </row>
    <row r="187" spans="1:26" x14ac:dyDescent="0.6">
      <c r="A187" s="1280"/>
      <c r="N187" s="1399"/>
      <c r="O187" s="1280"/>
      <c r="Z187" s="1280"/>
    </row>
    <row r="188" spans="1:26" x14ac:dyDescent="0.6">
      <c r="A188" s="1280"/>
      <c r="N188" s="1399"/>
      <c r="O188" s="1280"/>
      <c r="Z188" s="1280"/>
    </row>
    <row r="189" spans="1:26" x14ac:dyDescent="0.6">
      <c r="A189" s="1280"/>
      <c r="N189" s="1399"/>
      <c r="O189" s="1280"/>
      <c r="Z189" s="1280"/>
    </row>
    <row r="190" spans="1:26" x14ac:dyDescent="0.6">
      <c r="A190" s="1280"/>
      <c r="N190" s="1399"/>
      <c r="O190" s="1280"/>
      <c r="Z190" s="1280"/>
    </row>
    <row r="191" spans="1:26" x14ac:dyDescent="0.6">
      <c r="A191" s="1280"/>
      <c r="N191" s="1399"/>
      <c r="O191" s="1280"/>
      <c r="Z191" s="1280"/>
    </row>
    <row r="192" spans="1:26" x14ac:dyDescent="0.6">
      <c r="A192" s="1280"/>
      <c r="N192" s="1399"/>
      <c r="O192" s="1280"/>
      <c r="Z192" s="1280"/>
    </row>
    <row r="193" spans="1:26" x14ac:dyDescent="0.6">
      <c r="A193" s="1280"/>
      <c r="N193" s="1399"/>
      <c r="O193" s="1280"/>
      <c r="Z193" s="1280"/>
    </row>
    <row r="194" spans="1:26" x14ac:dyDescent="0.6">
      <c r="A194" s="1280"/>
      <c r="N194" s="1399"/>
      <c r="O194" s="1280"/>
      <c r="Z194" s="1280"/>
    </row>
    <row r="195" spans="1:26" x14ac:dyDescent="0.6">
      <c r="A195" s="1280"/>
      <c r="N195" s="1399"/>
      <c r="O195" s="1280"/>
      <c r="Z195" s="1280"/>
    </row>
    <row r="196" spans="1:26" x14ac:dyDescent="0.6">
      <c r="A196" s="1280"/>
      <c r="N196" s="1399"/>
      <c r="O196" s="1280"/>
      <c r="Z196" s="1280"/>
    </row>
    <row r="197" spans="1:26" x14ac:dyDescent="0.6">
      <c r="A197" s="1280"/>
      <c r="N197" s="1399"/>
      <c r="O197" s="1280"/>
      <c r="Z197" s="1280"/>
    </row>
    <row r="198" spans="1:26" x14ac:dyDescent="0.6">
      <c r="A198" s="1280"/>
      <c r="N198" s="1399"/>
      <c r="O198" s="1280"/>
      <c r="Z198" s="1280"/>
    </row>
    <row r="199" spans="1:26" x14ac:dyDescent="0.6">
      <c r="A199" s="1280"/>
      <c r="N199" s="1399"/>
      <c r="O199" s="1280"/>
      <c r="Z199" s="1280"/>
    </row>
    <row r="200" spans="1:26" x14ac:dyDescent="0.6">
      <c r="A200" s="1280"/>
      <c r="N200" s="1399"/>
      <c r="O200" s="1280"/>
      <c r="Z200" s="1280"/>
    </row>
    <row r="201" spans="1:26" x14ac:dyDescent="0.6">
      <c r="A201" s="1280"/>
      <c r="N201" s="1399"/>
      <c r="O201" s="1280"/>
      <c r="Z201" s="1280"/>
    </row>
    <row r="202" spans="1:26" x14ac:dyDescent="0.6">
      <c r="A202" s="1280"/>
      <c r="N202" s="1399"/>
      <c r="O202" s="1280"/>
      <c r="Z202" s="1280"/>
    </row>
    <row r="203" spans="1:26" x14ac:dyDescent="0.6">
      <c r="A203" s="1280"/>
      <c r="N203" s="1399"/>
      <c r="O203" s="1280"/>
      <c r="Z203" s="1280"/>
    </row>
    <row r="204" spans="1:26" x14ac:dyDescent="0.6">
      <c r="A204" s="1280"/>
      <c r="N204" s="1399"/>
      <c r="O204" s="1280"/>
      <c r="Z204" s="1280"/>
    </row>
    <row r="205" spans="1:26" x14ac:dyDescent="0.6">
      <c r="A205" s="1280"/>
      <c r="N205" s="1399"/>
      <c r="O205" s="1280"/>
      <c r="Z205" s="1280"/>
    </row>
    <row r="206" spans="1:26" x14ac:dyDescent="0.6">
      <c r="A206" s="1280"/>
      <c r="N206" s="1399"/>
      <c r="O206" s="1280"/>
      <c r="Z206" s="1280"/>
    </row>
    <row r="207" spans="1:26" x14ac:dyDescent="0.6">
      <c r="A207" s="1280"/>
      <c r="N207" s="1399"/>
      <c r="O207" s="1280"/>
      <c r="Z207" s="1280"/>
    </row>
    <row r="208" spans="1:26" x14ac:dyDescent="0.6">
      <c r="A208" s="1280"/>
      <c r="N208" s="1399"/>
      <c r="O208" s="1280"/>
      <c r="Z208" s="1280"/>
    </row>
    <row r="209" spans="1:26" x14ac:dyDescent="0.6">
      <c r="A209" s="1280"/>
      <c r="N209" s="1399"/>
      <c r="O209" s="1280"/>
      <c r="Z209" s="1280"/>
    </row>
    <row r="210" spans="1:26" x14ac:dyDescent="0.6">
      <c r="A210" s="1280"/>
      <c r="N210" s="1399"/>
      <c r="O210" s="1280"/>
      <c r="Z210" s="1280"/>
    </row>
    <row r="211" spans="1:26" x14ac:dyDescent="0.6">
      <c r="A211" s="1280"/>
      <c r="N211" s="1399"/>
      <c r="O211" s="1280"/>
      <c r="Z211" s="1280"/>
    </row>
    <row r="212" spans="1:26" x14ac:dyDescent="0.6">
      <c r="A212" s="1280"/>
      <c r="N212" s="1399"/>
      <c r="O212" s="1280"/>
      <c r="Z212" s="1280"/>
    </row>
    <row r="213" spans="1:26" x14ac:dyDescent="0.6">
      <c r="A213" s="1280"/>
      <c r="N213" s="1399"/>
      <c r="O213" s="1280"/>
      <c r="Z213" s="1280"/>
    </row>
    <row r="214" spans="1:26" x14ac:dyDescent="0.6">
      <c r="A214" s="1280"/>
      <c r="N214" s="1399"/>
      <c r="O214" s="1280"/>
      <c r="Z214" s="1280"/>
    </row>
    <row r="215" spans="1:26" x14ac:dyDescent="0.6">
      <c r="A215" s="1280"/>
      <c r="N215" s="1399"/>
      <c r="O215" s="1280"/>
      <c r="Z215" s="1280"/>
    </row>
    <row r="216" spans="1:26" x14ac:dyDescent="0.6">
      <c r="A216" s="1280"/>
      <c r="N216" s="1399"/>
      <c r="O216" s="1280"/>
      <c r="Z216" s="1280"/>
    </row>
    <row r="217" spans="1:26" x14ac:dyDescent="0.6">
      <c r="A217" s="1280"/>
      <c r="N217" s="1399"/>
      <c r="O217" s="1280"/>
      <c r="Z217" s="1280"/>
    </row>
    <row r="218" spans="1:26" x14ac:dyDescent="0.6">
      <c r="A218" s="1280"/>
      <c r="N218" s="1399"/>
      <c r="O218" s="1280"/>
      <c r="Z218" s="1280"/>
    </row>
    <row r="219" spans="1:26" x14ac:dyDescent="0.6">
      <c r="A219" s="1280"/>
      <c r="N219" s="1399"/>
      <c r="O219" s="1280"/>
      <c r="Z219" s="1280"/>
    </row>
    <row r="220" spans="1:26" x14ac:dyDescent="0.6">
      <c r="A220" s="1280"/>
      <c r="N220" s="1399"/>
      <c r="O220" s="1280"/>
      <c r="Z220" s="1280"/>
    </row>
    <row r="221" spans="1:26" x14ac:dyDescent="0.6">
      <c r="A221" s="1280"/>
      <c r="N221" s="1399"/>
      <c r="O221" s="1280"/>
      <c r="Z221" s="1280"/>
    </row>
    <row r="222" spans="1:26" x14ac:dyDescent="0.6">
      <c r="A222" s="1280"/>
      <c r="N222" s="1399"/>
      <c r="O222" s="1280"/>
      <c r="Z222" s="1280"/>
    </row>
    <row r="223" spans="1:26" x14ac:dyDescent="0.6">
      <c r="A223" s="1280"/>
      <c r="N223" s="1399"/>
      <c r="O223" s="1280"/>
      <c r="Z223" s="1280"/>
    </row>
    <row r="224" spans="1:26" x14ac:dyDescent="0.6">
      <c r="A224" s="1280"/>
      <c r="N224" s="1399"/>
      <c r="O224" s="1280"/>
      <c r="Z224" s="1280"/>
    </row>
    <row r="225" spans="1:26" x14ac:dyDescent="0.6">
      <c r="A225" s="1280"/>
      <c r="N225" s="1399"/>
      <c r="O225" s="1280"/>
      <c r="Z225" s="1280"/>
    </row>
    <row r="226" spans="1:26" x14ac:dyDescent="0.6">
      <c r="A226" s="1280"/>
      <c r="N226" s="1399"/>
      <c r="O226" s="1280"/>
      <c r="Z226" s="1280"/>
    </row>
    <row r="227" spans="1:26" x14ac:dyDescent="0.6">
      <c r="A227" s="1280"/>
      <c r="N227" s="1399"/>
      <c r="O227" s="1280"/>
      <c r="Z227" s="1280"/>
    </row>
    <row r="228" spans="1:26" x14ac:dyDescent="0.6">
      <c r="A228" s="1280"/>
      <c r="N228" s="1399"/>
      <c r="O228" s="1280"/>
      <c r="Z228" s="1280"/>
    </row>
    <row r="229" spans="1:26" x14ac:dyDescent="0.6">
      <c r="A229" s="1280"/>
      <c r="N229" s="1399"/>
      <c r="O229" s="1280"/>
      <c r="Z229" s="1280"/>
    </row>
    <row r="230" spans="1:26" x14ac:dyDescent="0.6">
      <c r="A230" s="1280"/>
      <c r="N230" s="1399"/>
      <c r="O230" s="1280"/>
      <c r="Z230" s="1280"/>
    </row>
    <row r="231" spans="1:26" x14ac:dyDescent="0.6">
      <c r="A231" s="1280"/>
      <c r="N231" s="1399"/>
      <c r="O231" s="1280"/>
      <c r="Z231" s="1280"/>
    </row>
    <row r="232" spans="1:26" x14ac:dyDescent="0.6">
      <c r="A232" s="1280"/>
      <c r="N232" s="1399"/>
      <c r="O232" s="1280"/>
      <c r="Z232" s="1280"/>
    </row>
    <row r="233" spans="1:26" x14ac:dyDescent="0.6">
      <c r="A233" s="1280"/>
      <c r="N233" s="1399"/>
      <c r="O233" s="1280"/>
      <c r="Z233" s="1280"/>
    </row>
    <row r="234" spans="1:26" x14ac:dyDescent="0.6">
      <c r="A234" s="1280"/>
      <c r="N234" s="1399"/>
      <c r="O234" s="1280"/>
      <c r="Z234" s="1280"/>
    </row>
    <row r="235" spans="1:26" x14ac:dyDescent="0.6">
      <c r="A235" s="1280"/>
      <c r="N235" s="1399"/>
      <c r="O235" s="1280"/>
      <c r="Z235" s="1280"/>
    </row>
    <row r="236" spans="1:26" x14ac:dyDescent="0.6">
      <c r="A236" s="1280"/>
      <c r="N236" s="1399"/>
      <c r="O236" s="1280"/>
      <c r="Z236" s="1280"/>
    </row>
    <row r="237" spans="1:26" x14ac:dyDescent="0.6">
      <c r="A237" s="1280"/>
      <c r="N237" s="1399"/>
      <c r="O237" s="1280"/>
      <c r="Z237" s="1280"/>
    </row>
    <row r="238" spans="1:26" x14ac:dyDescent="0.6">
      <c r="A238" s="1280"/>
      <c r="N238" s="1399"/>
      <c r="O238" s="1280"/>
      <c r="Z238" s="1280"/>
    </row>
    <row r="239" spans="1:26" x14ac:dyDescent="0.6">
      <c r="A239" s="1280"/>
      <c r="N239" s="1399"/>
      <c r="O239" s="1280"/>
      <c r="Z239" s="1280"/>
    </row>
    <row r="240" spans="1:26" x14ac:dyDescent="0.6">
      <c r="A240" s="1280"/>
      <c r="N240" s="1399"/>
      <c r="O240" s="1280"/>
      <c r="Z240" s="1280"/>
    </row>
    <row r="241" spans="1:26" x14ac:dyDescent="0.6">
      <c r="A241" s="1280"/>
      <c r="N241" s="1399"/>
      <c r="O241" s="1280"/>
      <c r="Z241" s="1280"/>
    </row>
    <row r="242" spans="1:26" x14ac:dyDescent="0.6">
      <c r="A242" s="1280"/>
      <c r="N242" s="1399"/>
      <c r="O242" s="1280"/>
      <c r="Z242" s="1280"/>
    </row>
    <row r="243" spans="1:26" x14ac:dyDescent="0.6">
      <c r="A243" s="1280"/>
      <c r="N243" s="1399"/>
      <c r="O243" s="1280"/>
      <c r="Z243" s="1280"/>
    </row>
    <row r="244" spans="1:26" x14ac:dyDescent="0.6">
      <c r="A244" s="1280"/>
      <c r="N244" s="1399"/>
      <c r="O244" s="1280"/>
      <c r="Z244" s="1280"/>
    </row>
    <row r="245" spans="1:26" x14ac:dyDescent="0.6">
      <c r="A245" s="1280"/>
      <c r="N245" s="1399"/>
      <c r="O245" s="1280"/>
      <c r="Z245" s="1280"/>
    </row>
    <row r="246" spans="1:26" x14ac:dyDescent="0.6">
      <c r="A246" s="1280"/>
      <c r="N246" s="1399"/>
      <c r="O246" s="1280"/>
      <c r="Z246" s="1280"/>
    </row>
    <row r="247" spans="1:26" x14ac:dyDescent="0.6">
      <c r="A247" s="1280"/>
      <c r="N247" s="1399"/>
      <c r="O247" s="1280"/>
      <c r="Z247" s="1280"/>
    </row>
    <row r="248" spans="1:26" x14ac:dyDescent="0.6">
      <c r="A248" s="1280"/>
      <c r="N248" s="1399"/>
      <c r="O248" s="1280"/>
      <c r="Z248" s="1280"/>
    </row>
    <row r="249" spans="1:26" x14ac:dyDescent="0.6">
      <c r="A249" s="1280"/>
      <c r="N249" s="1399"/>
      <c r="O249" s="1280"/>
      <c r="Z249" s="1280"/>
    </row>
    <row r="250" spans="1:26" x14ac:dyDescent="0.6">
      <c r="A250" s="1280"/>
      <c r="N250" s="1399"/>
      <c r="O250" s="1280"/>
      <c r="Z250" s="1280"/>
    </row>
    <row r="251" spans="1:26" x14ac:dyDescent="0.6">
      <c r="A251" s="1280"/>
      <c r="N251" s="1399"/>
      <c r="O251" s="1280"/>
      <c r="Z251" s="1280"/>
    </row>
    <row r="252" spans="1:26" x14ac:dyDescent="0.6">
      <c r="A252" s="1280"/>
      <c r="N252" s="1399"/>
      <c r="O252" s="1280"/>
      <c r="Z252" s="1280"/>
    </row>
    <row r="253" spans="1:26" x14ac:dyDescent="0.6">
      <c r="A253" s="1280"/>
      <c r="N253" s="1399"/>
      <c r="O253" s="1280"/>
      <c r="Z253" s="1280"/>
    </row>
    <row r="254" spans="1:26" x14ac:dyDescent="0.6">
      <c r="A254" s="1280"/>
      <c r="N254" s="1399"/>
      <c r="O254" s="1280"/>
      <c r="Z254" s="1280"/>
    </row>
    <row r="255" spans="1:26" x14ac:dyDescent="0.6">
      <c r="A255" s="1280"/>
      <c r="N255" s="1399"/>
      <c r="O255" s="1280"/>
      <c r="Z255" s="1280"/>
    </row>
    <row r="256" spans="1:26" x14ac:dyDescent="0.6">
      <c r="A256" s="1280"/>
      <c r="N256" s="1399"/>
      <c r="O256" s="1280"/>
      <c r="Z256" s="1280"/>
    </row>
    <row r="257" spans="1:26" x14ac:dyDescent="0.6">
      <c r="A257" s="1280"/>
      <c r="N257" s="1399"/>
      <c r="O257" s="1280"/>
      <c r="Z257" s="1280"/>
    </row>
    <row r="258" spans="1:26" x14ac:dyDescent="0.6">
      <c r="A258" s="1280"/>
      <c r="N258" s="1399"/>
      <c r="O258" s="1280"/>
      <c r="Z258" s="1280"/>
    </row>
    <row r="259" spans="1:26" x14ac:dyDescent="0.6">
      <c r="A259" s="1280"/>
      <c r="N259" s="1399"/>
      <c r="O259" s="1280"/>
      <c r="Z259" s="1280"/>
    </row>
    <row r="260" spans="1:26" x14ac:dyDescent="0.6">
      <c r="A260" s="1280"/>
      <c r="N260" s="1399"/>
      <c r="O260" s="1280"/>
      <c r="Z260" s="1280"/>
    </row>
    <row r="261" spans="1:26" x14ac:dyDescent="0.6">
      <c r="A261" s="1280"/>
      <c r="N261" s="1399"/>
      <c r="O261" s="1280"/>
      <c r="Z261" s="1280"/>
    </row>
    <row r="262" spans="1:26" x14ac:dyDescent="0.6">
      <c r="A262" s="1280"/>
      <c r="N262" s="1399"/>
      <c r="O262" s="1280"/>
      <c r="Z262" s="1280"/>
    </row>
    <row r="263" spans="1:26" x14ac:dyDescent="0.6">
      <c r="A263" s="1280"/>
      <c r="N263" s="1399"/>
      <c r="O263" s="1280"/>
      <c r="Z263" s="1280"/>
    </row>
    <row r="264" spans="1:26" x14ac:dyDescent="0.6">
      <c r="A264" s="1280"/>
      <c r="N264" s="1399"/>
      <c r="O264" s="1280"/>
      <c r="Z264" s="1280"/>
    </row>
    <row r="265" spans="1:26" x14ac:dyDescent="0.6">
      <c r="A265" s="1280"/>
      <c r="N265" s="1399"/>
      <c r="O265" s="1280"/>
      <c r="Z265" s="1280"/>
    </row>
    <row r="266" spans="1:26" x14ac:dyDescent="0.6">
      <c r="A266" s="1280"/>
      <c r="N266" s="1399"/>
      <c r="O266" s="1280"/>
      <c r="Z266" s="1280"/>
    </row>
    <row r="267" spans="1:26" x14ac:dyDescent="0.6">
      <c r="A267" s="1280"/>
      <c r="N267" s="1399"/>
      <c r="O267" s="1280"/>
      <c r="Z267" s="1280"/>
    </row>
    <row r="268" spans="1:26" x14ac:dyDescent="0.6">
      <c r="A268" s="1280"/>
      <c r="N268" s="1399"/>
      <c r="O268" s="1280"/>
      <c r="Z268" s="1280"/>
    </row>
    <row r="269" spans="1:26" x14ac:dyDescent="0.6">
      <c r="A269" s="1280"/>
      <c r="N269" s="1399"/>
      <c r="O269" s="1280"/>
      <c r="Z269" s="1280"/>
    </row>
    <row r="270" spans="1:26" x14ac:dyDescent="0.6">
      <c r="A270" s="1280"/>
      <c r="N270" s="1399"/>
      <c r="O270" s="1280"/>
      <c r="Z270" s="1280"/>
    </row>
    <row r="271" spans="1:26" x14ac:dyDescent="0.6">
      <c r="A271" s="1280"/>
      <c r="N271" s="1399"/>
      <c r="O271" s="1280"/>
      <c r="Z271" s="1280"/>
    </row>
    <row r="272" spans="1:26" x14ac:dyDescent="0.6">
      <c r="A272" s="1280"/>
      <c r="N272" s="1399"/>
      <c r="O272" s="1280"/>
      <c r="Z272" s="1280"/>
    </row>
    <row r="273" spans="1:26" x14ac:dyDescent="0.6">
      <c r="A273" s="1280"/>
      <c r="N273" s="1399"/>
      <c r="O273" s="1280"/>
      <c r="Z273" s="1280"/>
    </row>
    <row r="274" spans="1:26" x14ac:dyDescent="0.6">
      <c r="A274" s="1280"/>
      <c r="N274" s="1399"/>
      <c r="O274" s="1280"/>
      <c r="Z274" s="1280"/>
    </row>
    <row r="275" spans="1:26" x14ac:dyDescent="0.6">
      <c r="A275" s="1280"/>
      <c r="N275" s="1399"/>
      <c r="O275" s="1280"/>
      <c r="Z275" s="1280"/>
    </row>
    <row r="276" spans="1:26" x14ac:dyDescent="0.6">
      <c r="A276" s="1280"/>
      <c r="N276" s="1399"/>
      <c r="O276" s="1280"/>
      <c r="Z276" s="1280"/>
    </row>
    <row r="277" spans="1:26" x14ac:dyDescent="0.6">
      <c r="A277" s="1280"/>
      <c r="N277" s="1399"/>
      <c r="O277" s="1280"/>
      <c r="Z277" s="1280"/>
    </row>
    <row r="278" spans="1:26" x14ac:dyDescent="0.6">
      <c r="A278" s="1280"/>
      <c r="N278" s="1399"/>
      <c r="O278" s="1280"/>
      <c r="Z278" s="1280"/>
    </row>
    <row r="279" spans="1:26" x14ac:dyDescent="0.6">
      <c r="A279" s="1280"/>
      <c r="N279" s="1399"/>
      <c r="O279" s="1280"/>
      <c r="Z279" s="1280"/>
    </row>
    <row r="280" spans="1:26" x14ac:dyDescent="0.6">
      <c r="A280" s="1280"/>
      <c r="N280" s="1399"/>
      <c r="O280" s="1280"/>
      <c r="Z280" s="1280"/>
    </row>
    <row r="281" spans="1:26" x14ac:dyDescent="0.6">
      <c r="A281" s="1280"/>
      <c r="N281" s="1399"/>
      <c r="O281" s="1280"/>
      <c r="Z281" s="1280"/>
    </row>
    <row r="282" spans="1:26" x14ac:dyDescent="0.6">
      <c r="A282" s="1280"/>
      <c r="N282" s="1399"/>
      <c r="O282" s="1280"/>
      <c r="Z282" s="1280"/>
    </row>
    <row r="283" spans="1:26" x14ac:dyDescent="0.6">
      <c r="A283" s="1280"/>
      <c r="N283" s="1399"/>
      <c r="O283" s="1280"/>
      <c r="Z283" s="1280"/>
    </row>
    <row r="284" spans="1:26" x14ac:dyDescent="0.6">
      <c r="A284" s="1280"/>
      <c r="N284" s="1399"/>
      <c r="O284" s="1280"/>
      <c r="Z284" s="1280"/>
    </row>
    <row r="285" spans="1:26" x14ac:dyDescent="0.6">
      <c r="A285" s="1280"/>
      <c r="N285" s="1399"/>
      <c r="O285" s="1280"/>
      <c r="Z285" s="1280"/>
    </row>
    <row r="286" spans="1:26" x14ac:dyDescent="0.6">
      <c r="A286" s="1280"/>
      <c r="N286" s="1399"/>
      <c r="O286" s="1280"/>
      <c r="Z286" s="1280"/>
    </row>
    <row r="287" spans="1:26" x14ac:dyDescent="0.6">
      <c r="A287" s="1280"/>
      <c r="N287" s="1399"/>
      <c r="O287" s="1280"/>
      <c r="Z287" s="1280"/>
    </row>
    <row r="288" spans="1:26" x14ac:dyDescent="0.6">
      <c r="A288" s="1280"/>
      <c r="N288" s="1399"/>
      <c r="O288" s="1280"/>
      <c r="Z288" s="1280"/>
    </row>
    <row r="289" spans="1:26" x14ac:dyDescent="0.6">
      <c r="A289" s="1280"/>
      <c r="N289" s="1399"/>
      <c r="O289" s="1280"/>
      <c r="Z289" s="1280"/>
    </row>
    <row r="290" spans="1:26" x14ac:dyDescent="0.6">
      <c r="A290" s="1280"/>
      <c r="N290" s="1399"/>
      <c r="O290" s="1280"/>
      <c r="Z290" s="1280"/>
    </row>
    <row r="291" spans="1:26" x14ac:dyDescent="0.6">
      <c r="A291" s="1280"/>
      <c r="N291" s="1399"/>
      <c r="O291" s="1280"/>
      <c r="Z291" s="1280"/>
    </row>
    <row r="292" spans="1:26" x14ac:dyDescent="0.6">
      <c r="A292" s="1280"/>
      <c r="N292" s="1399"/>
      <c r="O292" s="1280"/>
      <c r="Z292" s="1280"/>
    </row>
    <row r="293" spans="1:26" x14ac:dyDescent="0.6">
      <c r="A293" s="1280"/>
      <c r="N293" s="1399"/>
      <c r="O293" s="1280"/>
      <c r="Z293" s="1280"/>
    </row>
    <row r="294" spans="1:26" x14ac:dyDescent="0.6">
      <c r="A294" s="1280"/>
      <c r="N294" s="1399"/>
      <c r="O294" s="1280"/>
      <c r="Z294" s="1280"/>
    </row>
    <row r="295" spans="1:26" x14ac:dyDescent="0.6">
      <c r="A295" s="1280"/>
      <c r="N295" s="1399"/>
      <c r="O295" s="1280"/>
      <c r="Z295" s="1280"/>
    </row>
    <row r="296" spans="1:26" x14ac:dyDescent="0.6">
      <c r="A296" s="1280"/>
      <c r="N296" s="1399"/>
      <c r="O296" s="1280"/>
      <c r="Z296" s="1280"/>
    </row>
    <row r="297" spans="1:26" x14ac:dyDescent="0.6">
      <c r="A297" s="1280"/>
      <c r="N297" s="1399"/>
      <c r="O297" s="1280"/>
      <c r="Z297" s="1280"/>
    </row>
    <row r="298" spans="1:26" x14ac:dyDescent="0.6">
      <c r="A298" s="1280"/>
      <c r="N298" s="1399"/>
      <c r="O298" s="1280"/>
      <c r="Z298" s="1280"/>
    </row>
    <row r="299" spans="1:26" x14ac:dyDescent="0.6">
      <c r="A299" s="1280"/>
      <c r="N299" s="1399"/>
      <c r="O299" s="1280"/>
      <c r="Z299" s="1280"/>
    </row>
    <row r="300" spans="1:26" x14ac:dyDescent="0.6">
      <c r="A300" s="1280"/>
      <c r="N300" s="1399"/>
      <c r="O300" s="1280"/>
      <c r="Z300" s="1280"/>
    </row>
    <row r="301" spans="1:26" x14ac:dyDescent="0.6">
      <c r="A301" s="1280"/>
      <c r="N301" s="1399"/>
      <c r="O301" s="1280"/>
      <c r="Z301" s="1280"/>
    </row>
    <row r="302" spans="1:26" x14ac:dyDescent="0.6">
      <c r="A302" s="1280"/>
      <c r="N302" s="1399"/>
      <c r="O302" s="1280"/>
      <c r="Z302" s="1280"/>
    </row>
    <row r="303" spans="1:26" x14ac:dyDescent="0.6">
      <c r="A303" s="1280"/>
      <c r="N303" s="1399"/>
      <c r="O303" s="1280"/>
      <c r="Z303" s="1280"/>
    </row>
    <row r="304" spans="1:26" x14ac:dyDescent="0.6">
      <c r="A304" s="1280"/>
      <c r="N304" s="1399"/>
      <c r="O304" s="1280"/>
      <c r="Z304" s="1280"/>
    </row>
    <row r="305" spans="1:26" x14ac:dyDescent="0.6">
      <c r="A305" s="1280"/>
      <c r="N305" s="1399"/>
      <c r="O305" s="1280"/>
      <c r="Z305" s="1280"/>
    </row>
    <row r="306" spans="1:26" x14ac:dyDescent="0.6">
      <c r="A306" s="1280"/>
      <c r="N306" s="1399"/>
      <c r="O306" s="1280"/>
      <c r="Z306" s="1280"/>
    </row>
    <row r="307" spans="1:26" x14ac:dyDescent="0.6">
      <c r="A307" s="1280"/>
      <c r="N307" s="1399"/>
      <c r="O307" s="1280"/>
      <c r="Z307" s="1280"/>
    </row>
    <row r="308" spans="1:26" x14ac:dyDescent="0.6">
      <c r="A308" s="1280"/>
      <c r="N308" s="1399"/>
      <c r="O308" s="1280"/>
      <c r="Z308" s="1280"/>
    </row>
    <row r="309" spans="1:26" x14ac:dyDescent="0.6">
      <c r="A309" s="1280"/>
      <c r="N309" s="1399"/>
      <c r="O309" s="1280"/>
      <c r="Z309" s="1280"/>
    </row>
    <row r="310" spans="1:26" x14ac:dyDescent="0.6">
      <c r="A310" s="1280"/>
      <c r="N310" s="1399"/>
      <c r="O310" s="1280"/>
      <c r="Z310" s="1280"/>
    </row>
    <row r="311" spans="1:26" x14ac:dyDescent="0.6">
      <c r="A311" s="1280"/>
      <c r="N311" s="1399"/>
      <c r="O311" s="1280"/>
      <c r="Z311" s="1280"/>
    </row>
    <row r="312" spans="1:26" x14ac:dyDescent="0.6">
      <c r="A312" s="1280"/>
      <c r="N312" s="1399"/>
      <c r="O312" s="1280"/>
      <c r="Z312" s="1280"/>
    </row>
    <row r="313" spans="1:26" x14ac:dyDescent="0.6">
      <c r="A313" s="1280"/>
      <c r="N313" s="1399"/>
      <c r="O313" s="1280"/>
      <c r="Z313" s="1280"/>
    </row>
    <row r="314" spans="1:26" x14ac:dyDescent="0.6">
      <c r="A314" s="1280"/>
      <c r="N314" s="1399"/>
      <c r="O314" s="1280"/>
      <c r="Z314" s="1280"/>
    </row>
    <row r="315" spans="1:26" x14ac:dyDescent="0.6">
      <c r="A315" s="1280"/>
      <c r="N315" s="1399"/>
      <c r="O315" s="1280"/>
      <c r="Z315" s="1280"/>
    </row>
    <row r="316" spans="1:26" x14ac:dyDescent="0.6">
      <c r="A316" s="1280"/>
      <c r="N316" s="1399"/>
      <c r="O316" s="1280"/>
      <c r="Z316" s="1280"/>
    </row>
    <row r="317" spans="1:26" x14ac:dyDescent="0.6">
      <c r="A317" s="1280"/>
      <c r="N317" s="1399"/>
      <c r="O317" s="1280"/>
      <c r="Z317" s="1280"/>
    </row>
    <row r="318" spans="1:26" x14ac:dyDescent="0.6">
      <c r="A318" s="1280"/>
      <c r="N318" s="1399"/>
      <c r="O318" s="1280"/>
      <c r="Z318" s="1280"/>
    </row>
    <row r="319" spans="1:26" x14ac:dyDescent="0.6">
      <c r="A319" s="1280"/>
      <c r="N319" s="1399"/>
      <c r="O319" s="1280"/>
      <c r="Z319" s="1280"/>
    </row>
    <row r="320" spans="1:26" x14ac:dyDescent="0.6">
      <c r="A320" s="1280"/>
      <c r="N320" s="1399"/>
      <c r="O320" s="1280"/>
      <c r="Z320" s="1280"/>
    </row>
    <row r="321" spans="1:26" x14ac:dyDescent="0.6">
      <c r="A321" s="1280"/>
      <c r="N321" s="1399"/>
      <c r="O321" s="1280"/>
      <c r="Z321" s="1280"/>
    </row>
    <row r="322" spans="1:26" x14ac:dyDescent="0.6">
      <c r="A322" s="1280"/>
      <c r="N322" s="1399"/>
      <c r="O322" s="1280"/>
      <c r="Z322" s="1280"/>
    </row>
    <row r="323" spans="1:26" x14ac:dyDescent="0.6">
      <c r="A323" s="1280"/>
      <c r="N323" s="1399"/>
      <c r="O323" s="1280"/>
      <c r="Z323" s="1280"/>
    </row>
    <row r="324" spans="1:26" x14ac:dyDescent="0.6">
      <c r="A324" s="1280"/>
      <c r="N324" s="1399"/>
      <c r="O324" s="1280"/>
      <c r="Z324" s="1280"/>
    </row>
    <row r="325" spans="1:26" x14ac:dyDescent="0.6">
      <c r="A325" s="1280"/>
      <c r="N325" s="1399"/>
      <c r="O325" s="1280"/>
      <c r="Z325" s="1280"/>
    </row>
    <row r="326" spans="1:26" x14ac:dyDescent="0.6">
      <c r="A326" s="1280"/>
      <c r="N326" s="1399"/>
      <c r="O326" s="1280"/>
      <c r="Z326" s="1280"/>
    </row>
    <row r="327" spans="1:26" x14ac:dyDescent="0.6">
      <c r="A327" s="1280"/>
      <c r="N327" s="1399"/>
      <c r="O327" s="1280"/>
      <c r="Z327" s="1280"/>
    </row>
    <row r="328" spans="1:26" x14ac:dyDescent="0.6">
      <c r="A328" s="1280"/>
      <c r="N328" s="1399"/>
      <c r="O328" s="1280"/>
      <c r="Z328" s="1280"/>
    </row>
    <row r="329" spans="1:26" x14ac:dyDescent="0.6">
      <c r="A329" s="1280"/>
      <c r="N329" s="1399"/>
      <c r="O329" s="1280"/>
      <c r="Z329" s="1280"/>
    </row>
    <row r="330" spans="1:26" x14ac:dyDescent="0.6">
      <c r="A330" s="1280"/>
      <c r="N330" s="1399"/>
      <c r="O330" s="1280"/>
      <c r="Z330" s="1280"/>
    </row>
    <row r="331" spans="1:26" x14ac:dyDescent="0.6">
      <c r="A331" s="1280"/>
      <c r="N331" s="1399"/>
      <c r="O331" s="1280"/>
      <c r="Z331" s="1280"/>
    </row>
    <row r="332" spans="1:26" x14ac:dyDescent="0.6">
      <c r="A332" s="1280"/>
      <c r="N332" s="1399"/>
      <c r="O332" s="1280"/>
      <c r="Z332" s="1280"/>
    </row>
    <row r="333" spans="1:26" x14ac:dyDescent="0.6">
      <c r="A333" s="1280"/>
      <c r="N333" s="1399"/>
      <c r="O333" s="1280"/>
      <c r="Z333" s="1280"/>
    </row>
    <row r="334" spans="1:26" x14ac:dyDescent="0.6">
      <c r="A334" s="1280"/>
      <c r="N334" s="1399"/>
      <c r="O334" s="1280"/>
      <c r="Z334" s="1280"/>
    </row>
    <row r="335" spans="1:26" x14ac:dyDescent="0.6">
      <c r="A335" s="1280"/>
      <c r="N335" s="1399"/>
      <c r="O335" s="1280"/>
      <c r="Z335" s="1280"/>
    </row>
    <row r="336" spans="1:26" x14ac:dyDescent="0.6">
      <c r="A336" s="1280"/>
      <c r="N336" s="1399"/>
      <c r="O336" s="1280"/>
      <c r="Z336" s="1280"/>
    </row>
    <row r="337" spans="1:26" x14ac:dyDescent="0.6">
      <c r="A337" s="1280"/>
      <c r="N337" s="1399"/>
      <c r="O337" s="1280"/>
      <c r="Z337" s="1280"/>
    </row>
    <row r="338" spans="1:26" x14ac:dyDescent="0.6">
      <c r="A338" s="1280"/>
      <c r="N338" s="1399"/>
      <c r="O338" s="1280"/>
      <c r="Z338" s="1280"/>
    </row>
    <row r="339" spans="1:26" x14ac:dyDescent="0.6">
      <c r="A339" s="1280"/>
      <c r="N339" s="1399"/>
      <c r="O339" s="1280"/>
      <c r="Z339" s="1280"/>
    </row>
    <row r="340" spans="1:26" x14ac:dyDescent="0.6">
      <c r="A340" s="1280"/>
      <c r="N340" s="1399"/>
      <c r="O340" s="1280"/>
      <c r="Z340" s="1280"/>
    </row>
    <row r="341" spans="1:26" x14ac:dyDescent="0.6">
      <c r="A341" s="1280"/>
      <c r="N341" s="1399"/>
      <c r="O341" s="1280"/>
      <c r="Z341" s="1280"/>
    </row>
    <row r="342" spans="1:26" x14ac:dyDescent="0.6">
      <c r="A342" s="1280"/>
      <c r="N342" s="1399"/>
      <c r="O342" s="1280"/>
      <c r="Z342" s="1280"/>
    </row>
    <row r="343" spans="1:26" x14ac:dyDescent="0.6">
      <c r="A343" s="1280"/>
      <c r="N343" s="1399"/>
      <c r="O343" s="1280"/>
      <c r="Z343" s="1280"/>
    </row>
    <row r="344" spans="1:26" x14ac:dyDescent="0.6">
      <c r="A344" s="1280"/>
      <c r="N344" s="1399"/>
      <c r="O344" s="1280"/>
      <c r="Z344" s="1280"/>
    </row>
    <row r="345" spans="1:26" x14ac:dyDescent="0.6">
      <c r="A345" s="1280"/>
      <c r="N345" s="1399"/>
      <c r="O345" s="1280"/>
      <c r="Z345" s="1280"/>
    </row>
    <row r="346" spans="1:26" x14ac:dyDescent="0.6">
      <c r="A346" s="1280"/>
      <c r="N346" s="1399"/>
      <c r="O346" s="1280"/>
      <c r="Z346" s="1280"/>
    </row>
    <row r="347" spans="1:26" x14ac:dyDescent="0.6">
      <c r="A347" s="1280"/>
      <c r="N347" s="1399"/>
      <c r="O347" s="1280"/>
      <c r="Z347" s="1280"/>
    </row>
    <row r="348" spans="1:26" x14ac:dyDescent="0.6">
      <c r="A348" s="1280"/>
      <c r="N348" s="1399"/>
      <c r="O348" s="1280"/>
      <c r="Z348" s="1280"/>
    </row>
    <row r="349" spans="1:26" x14ac:dyDescent="0.6">
      <c r="A349" s="1280"/>
      <c r="N349" s="1399"/>
      <c r="O349" s="1280"/>
      <c r="Z349" s="1280"/>
    </row>
    <row r="350" spans="1:26" x14ac:dyDescent="0.6">
      <c r="A350" s="1280"/>
      <c r="N350" s="1399"/>
      <c r="O350" s="1280"/>
      <c r="Z350" s="1280"/>
    </row>
    <row r="351" spans="1:26" x14ac:dyDescent="0.6">
      <c r="A351" s="1280"/>
      <c r="N351" s="1399"/>
      <c r="O351" s="1280"/>
      <c r="Z351" s="1280"/>
    </row>
    <row r="352" spans="1:26" x14ac:dyDescent="0.6">
      <c r="A352" s="1280"/>
      <c r="N352" s="1399"/>
      <c r="O352" s="1280"/>
      <c r="Z352" s="1280"/>
    </row>
    <row r="353" spans="1:26" x14ac:dyDescent="0.6">
      <c r="A353" s="1280"/>
      <c r="N353" s="1399"/>
      <c r="O353" s="1280"/>
      <c r="Z353" s="1280"/>
    </row>
    <row r="354" spans="1:26" x14ac:dyDescent="0.6">
      <c r="A354" s="1280"/>
      <c r="N354" s="1399"/>
      <c r="O354" s="1280"/>
      <c r="Z354" s="1280"/>
    </row>
    <row r="355" spans="1:26" x14ac:dyDescent="0.6">
      <c r="A355" s="1280"/>
      <c r="N355" s="1399"/>
      <c r="O355" s="1280"/>
      <c r="Z355" s="1280"/>
    </row>
    <row r="356" spans="1:26" x14ac:dyDescent="0.6">
      <c r="A356" s="1280"/>
      <c r="N356" s="1399"/>
      <c r="O356" s="1280"/>
      <c r="Z356" s="1280"/>
    </row>
    <row r="357" spans="1:26" x14ac:dyDescent="0.6">
      <c r="A357" s="1280"/>
      <c r="N357" s="1399"/>
      <c r="O357" s="1280"/>
      <c r="Z357" s="1280"/>
    </row>
    <row r="358" spans="1:26" x14ac:dyDescent="0.6">
      <c r="A358" s="1280"/>
      <c r="N358" s="1399"/>
      <c r="O358" s="1280"/>
      <c r="Z358" s="1280"/>
    </row>
    <row r="359" spans="1:26" x14ac:dyDescent="0.6">
      <c r="A359" s="1280"/>
      <c r="N359" s="1399"/>
      <c r="O359" s="1280"/>
      <c r="Z359" s="1280"/>
    </row>
    <row r="360" spans="1:26" x14ac:dyDescent="0.6">
      <c r="A360" s="1280"/>
      <c r="N360" s="1399"/>
      <c r="O360" s="1280"/>
      <c r="Z360" s="1280"/>
    </row>
    <row r="361" spans="1:26" x14ac:dyDescent="0.6">
      <c r="A361" s="1280"/>
      <c r="N361" s="1399"/>
      <c r="O361" s="1280"/>
      <c r="Z361" s="1280"/>
    </row>
    <row r="362" spans="1:26" x14ac:dyDescent="0.6">
      <c r="A362" s="1280"/>
      <c r="N362" s="1399"/>
      <c r="O362" s="1280"/>
      <c r="Z362" s="1280"/>
    </row>
    <row r="363" spans="1:26" x14ac:dyDescent="0.6">
      <c r="A363" s="1280"/>
      <c r="N363" s="1399"/>
      <c r="O363" s="1280"/>
      <c r="Z363" s="1280"/>
    </row>
    <row r="364" spans="1:26" x14ac:dyDescent="0.6">
      <c r="A364" s="1280"/>
      <c r="N364" s="1399"/>
      <c r="O364" s="1280"/>
      <c r="Z364" s="1280"/>
    </row>
    <row r="365" spans="1:26" x14ac:dyDescent="0.6">
      <c r="A365" s="1280"/>
      <c r="N365" s="1399"/>
      <c r="O365" s="1280"/>
      <c r="Z365" s="1280"/>
    </row>
    <row r="366" spans="1:26" x14ac:dyDescent="0.6">
      <c r="A366" s="1280"/>
      <c r="N366" s="1399"/>
      <c r="O366" s="1280"/>
      <c r="Z366" s="1280"/>
    </row>
    <row r="367" spans="1:26" x14ac:dyDescent="0.6">
      <c r="A367" s="1280"/>
      <c r="N367" s="1399"/>
      <c r="O367" s="1280"/>
      <c r="Z367" s="1280"/>
    </row>
    <row r="368" spans="1:26" x14ac:dyDescent="0.6">
      <c r="A368" s="1280"/>
      <c r="N368" s="1399"/>
      <c r="O368" s="1280"/>
      <c r="Z368" s="1280"/>
    </row>
    <row r="369" spans="1:26" x14ac:dyDescent="0.6">
      <c r="A369" s="1280"/>
      <c r="N369" s="1399"/>
      <c r="O369" s="1280"/>
      <c r="Z369" s="1280"/>
    </row>
    <row r="370" spans="1:26" x14ac:dyDescent="0.6">
      <c r="A370" s="1280"/>
      <c r="N370" s="1399"/>
      <c r="O370" s="1280"/>
      <c r="Z370" s="1280"/>
    </row>
    <row r="371" spans="1:26" x14ac:dyDescent="0.6">
      <c r="A371" s="1280"/>
      <c r="N371" s="1399"/>
      <c r="O371" s="1280"/>
      <c r="Z371" s="1280"/>
    </row>
    <row r="372" spans="1:26" x14ac:dyDescent="0.6">
      <c r="A372" s="1280"/>
      <c r="N372" s="1399"/>
      <c r="O372" s="1280"/>
      <c r="Z372" s="1280"/>
    </row>
    <row r="373" spans="1:26" x14ac:dyDescent="0.6">
      <c r="A373" s="1280"/>
      <c r="N373" s="1399"/>
      <c r="O373" s="1280"/>
      <c r="Z373" s="1280"/>
    </row>
    <row r="374" spans="1:26" x14ac:dyDescent="0.6">
      <c r="A374" s="1280"/>
      <c r="N374" s="1399"/>
      <c r="O374" s="1280"/>
      <c r="Z374" s="1280"/>
    </row>
    <row r="375" spans="1:26" x14ac:dyDescent="0.6">
      <c r="A375" s="1280"/>
      <c r="N375" s="1399"/>
      <c r="O375" s="1280"/>
      <c r="Z375" s="1280"/>
    </row>
    <row r="376" spans="1:26" x14ac:dyDescent="0.6">
      <c r="A376" s="1280"/>
      <c r="N376" s="1399"/>
      <c r="O376" s="1280"/>
      <c r="Z376" s="1280"/>
    </row>
    <row r="377" spans="1:26" x14ac:dyDescent="0.6">
      <c r="A377" s="1280"/>
      <c r="N377" s="1399"/>
      <c r="O377" s="1280"/>
      <c r="Z377" s="1280"/>
    </row>
    <row r="378" spans="1:26" x14ac:dyDescent="0.6">
      <c r="A378" s="1280"/>
      <c r="N378" s="1399"/>
      <c r="O378" s="1280"/>
      <c r="Z378" s="1280"/>
    </row>
    <row r="379" spans="1:26" x14ac:dyDescent="0.6">
      <c r="A379" s="1280"/>
      <c r="N379" s="1399"/>
      <c r="O379" s="1280"/>
      <c r="Z379" s="1280"/>
    </row>
    <row r="380" spans="1:26" x14ac:dyDescent="0.6">
      <c r="A380" s="1280"/>
      <c r="N380" s="1399"/>
      <c r="O380" s="1280"/>
      <c r="Z380" s="1280"/>
    </row>
    <row r="381" spans="1:26" x14ac:dyDescent="0.6">
      <c r="A381" s="1280"/>
      <c r="N381" s="1399"/>
      <c r="O381" s="1280"/>
      <c r="Z381" s="1280"/>
    </row>
    <row r="382" spans="1:26" x14ac:dyDescent="0.6">
      <c r="A382" s="1280"/>
      <c r="N382" s="1399"/>
      <c r="O382" s="1280"/>
      <c r="Z382" s="1280"/>
    </row>
    <row r="383" spans="1:26" x14ac:dyDescent="0.6">
      <c r="A383" s="1280"/>
      <c r="N383" s="1399"/>
      <c r="O383" s="1280"/>
      <c r="Z383" s="1280"/>
    </row>
    <row r="384" spans="1:26" x14ac:dyDescent="0.6">
      <c r="A384" s="1280"/>
      <c r="N384" s="1399"/>
      <c r="O384" s="1280"/>
      <c r="Z384" s="1280"/>
    </row>
    <row r="385" spans="1:26" x14ac:dyDescent="0.6">
      <c r="A385" s="1280"/>
      <c r="N385" s="1399"/>
      <c r="O385" s="1280"/>
      <c r="Z385" s="1280"/>
    </row>
    <row r="386" spans="1:26" x14ac:dyDescent="0.6">
      <c r="A386" s="1280"/>
      <c r="N386" s="1399"/>
      <c r="O386" s="1280"/>
      <c r="Z386" s="1280"/>
    </row>
    <row r="387" spans="1:26" x14ac:dyDescent="0.6">
      <c r="A387" s="1280"/>
      <c r="N387" s="1399"/>
      <c r="O387" s="1280"/>
      <c r="Z387" s="1280"/>
    </row>
    <row r="388" spans="1:26" x14ac:dyDescent="0.6">
      <c r="A388" s="1280"/>
      <c r="N388" s="1399"/>
      <c r="O388" s="1280"/>
      <c r="Z388" s="1280"/>
    </row>
    <row r="389" spans="1:26" x14ac:dyDescent="0.6">
      <c r="A389" s="1280"/>
      <c r="N389" s="1399"/>
      <c r="O389" s="1280"/>
      <c r="Z389" s="1280"/>
    </row>
    <row r="390" spans="1:26" x14ac:dyDescent="0.6">
      <c r="A390" s="1280"/>
      <c r="N390" s="1399"/>
      <c r="O390" s="1280"/>
      <c r="Z390" s="1280"/>
    </row>
    <row r="391" spans="1:26" x14ac:dyDescent="0.6">
      <c r="A391" s="1280"/>
      <c r="N391" s="1399"/>
      <c r="O391" s="1280"/>
      <c r="Z391" s="1280"/>
    </row>
    <row r="392" spans="1:26" x14ac:dyDescent="0.6">
      <c r="A392" s="1280"/>
      <c r="N392" s="1399"/>
      <c r="O392" s="1280"/>
      <c r="Z392" s="1280"/>
    </row>
    <row r="393" spans="1:26" x14ac:dyDescent="0.6">
      <c r="A393" s="1280"/>
      <c r="N393" s="1399"/>
      <c r="O393" s="1280"/>
      <c r="Z393" s="1280"/>
    </row>
    <row r="394" spans="1:26" x14ac:dyDescent="0.6">
      <c r="A394" s="1280"/>
      <c r="N394" s="1399"/>
      <c r="O394" s="1280"/>
      <c r="Z394" s="1280"/>
    </row>
    <row r="395" spans="1:26" x14ac:dyDescent="0.6">
      <c r="A395" s="1280"/>
      <c r="N395" s="1399"/>
      <c r="O395" s="1280"/>
      <c r="Z395" s="1280"/>
    </row>
    <row r="396" spans="1:26" x14ac:dyDescent="0.6">
      <c r="A396" s="1280"/>
      <c r="N396" s="1399"/>
      <c r="O396" s="1280"/>
      <c r="Z396" s="1280"/>
    </row>
    <row r="397" spans="1:26" x14ac:dyDescent="0.6">
      <c r="A397" s="1280"/>
      <c r="N397" s="1399"/>
      <c r="O397" s="1280"/>
      <c r="Z397" s="1280"/>
    </row>
    <row r="398" spans="1:26" x14ac:dyDescent="0.6">
      <c r="A398" s="1280"/>
      <c r="N398" s="1399"/>
      <c r="O398" s="1280"/>
      <c r="Z398" s="1280"/>
    </row>
    <row r="399" spans="1:26" x14ac:dyDescent="0.6">
      <c r="A399" s="1280"/>
      <c r="N399" s="1399"/>
      <c r="O399" s="1280"/>
      <c r="Z399" s="1280"/>
    </row>
    <row r="400" spans="1:26" x14ac:dyDescent="0.6">
      <c r="A400" s="1280"/>
      <c r="N400" s="1399"/>
      <c r="O400" s="1280"/>
      <c r="Z400" s="1280"/>
    </row>
    <row r="401" spans="1:26" x14ac:dyDescent="0.6">
      <c r="A401" s="1280"/>
      <c r="N401" s="1399"/>
      <c r="O401" s="1280"/>
      <c r="Z401" s="1280"/>
    </row>
    <row r="402" spans="1:26" x14ac:dyDescent="0.6">
      <c r="A402" s="1280"/>
      <c r="N402" s="1399"/>
      <c r="O402" s="1280"/>
      <c r="Z402" s="1280"/>
    </row>
    <row r="403" spans="1:26" x14ac:dyDescent="0.6">
      <c r="A403" s="1280"/>
      <c r="N403" s="1399"/>
      <c r="O403" s="1280"/>
      <c r="Z403" s="1280"/>
    </row>
    <row r="404" spans="1:26" x14ac:dyDescent="0.6">
      <c r="A404" s="1280"/>
      <c r="N404" s="1399"/>
      <c r="O404" s="1280"/>
      <c r="Z404" s="1280"/>
    </row>
    <row r="405" spans="1:26" x14ac:dyDescent="0.6">
      <c r="A405" s="1280"/>
      <c r="N405" s="1399"/>
      <c r="O405" s="1280"/>
      <c r="Z405" s="1280"/>
    </row>
    <row r="406" spans="1:26" x14ac:dyDescent="0.6">
      <c r="A406" s="1280"/>
      <c r="N406" s="1399"/>
      <c r="O406" s="1280"/>
      <c r="Z406" s="1280"/>
    </row>
    <row r="407" spans="1:26" x14ac:dyDescent="0.6">
      <c r="A407" s="1280"/>
      <c r="N407" s="1399"/>
      <c r="O407" s="1280"/>
      <c r="Z407" s="1280"/>
    </row>
    <row r="408" spans="1:26" x14ac:dyDescent="0.6">
      <c r="A408" s="1280"/>
      <c r="N408" s="1399"/>
      <c r="O408" s="1280"/>
      <c r="Z408" s="1280"/>
    </row>
    <row r="409" spans="1:26" x14ac:dyDescent="0.6">
      <c r="A409" s="1280"/>
      <c r="N409" s="1399"/>
      <c r="O409" s="1280"/>
      <c r="Z409" s="1280"/>
    </row>
    <row r="410" spans="1:26" x14ac:dyDescent="0.6">
      <c r="A410" s="1280"/>
      <c r="N410" s="1399"/>
      <c r="O410" s="1280"/>
      <c r="Z410" s="1280"/>
    </row>
    <row r="411" spans="1:26" x14ac:dyDescent="0.6">
      <c r="A411" s="1280"/>
      <c r="N411" s="1399"/>
      <c r="O411" s="1280"/>
      <c r="Z411" s="1280"/>
    </row>
    <row r="412" spans="1:26" x14ac:dyDescent="0.6">
      <c r="A412" s="1280"/>
      <c r="N412" s="1399"/>
      <c r="O412" s="1280"/>
      <c r="Z412" s="1280"/>
    </row>
    <row r="413" spans="1:26" x14ac:dyDescent="0.6">
      <c r="A413" s="1280"/>
      <c r="N413" s="1399"/>
      <c r="O413" s="1280"/>
      <c r="Z413" s="1280"/>
    </row>
    <row r="414" spans="1:26" x14ac:dyDescent="0.6">
      <c r="A414" s="1280"/>
      <c r="N414" s="1399"/>
      <c r="O414" s="1280"/>
      <c r="Z414" s="1280"/>
    </row>
    <row r="415" spans="1:26" x14ac:dyDescent="0.6">
      <c r="A415" s="1280"/>
      <c r="N415" s="1399"/>
      <c r="O415" s="1280"/>
      <c r="Z415" s="1280"/>
    </row>
    <row r="416" spans="1:26" x14ac:dyDescent="0.6">
      <c r="A416" s="1280"/>
      <c r="N416" s="1399"/>
      <c r="O416" s="1280"/>
      <c r="Z416" s="1280"/>
    </row>
    <row r="417" spans="1:26" x14ac:dyDescent="0.6">
      <c r="A417" s="1280"/>
      <c r="N417" s="1399"/>
      <c r="O417" s="1280"/>
      <c r="Z417" s="1280"/>
    </row>
    <row r="418" spans="1:26" x14ac:dyDescent="0.6">
      <c r="A418" s="1280"/>
      <c r="N418" s="1399"/>
      <c r="O418" s="1280"/>
      <c r="Z418" s="1280"/>
    </row>
    <row r="419" spans="1:26" x14ac:dyDescent="0.6">
      <c r="A419" s="1280"/>
      <c r="N419" s="1399"/>
      <c r="O419" s="1280"/>
      <c r="Z419" s="1280"/>
    </row>
    <row r="420" spans="1:26" x14ac:dyDescent="0.6">
      <c r="A420" s="1280"/>
      <c r="N420" s="1399"/>
      <c r="O420" s="1280"/>
      <c r="Z420" s="1280"/>
    </row>
    <row r="421" spans="1:26" x14ac:dyDescent="0.6">
      <c r="A421" s="1280"/>
      <c r="N421" s="1399"/>
      <c r="O421" s="1280"/>
      <c r="Z421" s="1280"/>
    </row>
    <row r="422" spans="1:26" x14ac:dyDescent="0.6">
      <c r="A422" s="1280"/>
      <c r="N422" s="1399"/>
      <c r="O422" s="1280"/>
      <c r="Z422" s="1280"/>
    </row>
    <row r="423" spans="1:26" x14ac:dyDescent="0.6">
      <c r="A423" s="1280"/>
      <c r="N423" s="1399"/>
      <c r="O423" s="1280"/>
      <c r="Z423" s="1280"/>
    </row>
    <row r="424" spans="1:26" x14ac:dyDescent="0.6">
      <c r="A424" s="1280"/>
      <c r="N424" s="1399"/>
      <c r="O424" s="1280"/>
      <c r="Z424" s="1280"/>
    </row>
    <row r="425" spans="1:26" x14ac:dyDescent="0.6">
      <c r="A425" s="1280"/>
      <c r="N425" s="1399"/>
      <c r="O425" s="1280"/>
      <c r="Z425" s="1280"/>
    </row>
    <row r="426" spans="1:26" x14ac:dyDescent="0.6">
      <c r="A426" s="1280"/>
      <c r="N426" s="1399"/>
      <c r="O426" s="1280"/>
      <c r="Z426" s="1280"/>
    </row>
    <row r="427" spans="1:26" x14ac:dyDescent="0.6">
      <c r="A427" s="1280"/>
      <c r="N427" s="1399"/>
      <c r="O427" s="1280"/>
      <c r="Z427" s="1280"/>
    </row>
    <row r="428" spans="1:26" x14ac:dyDescent="0.6">
      <c r="A428" s="1280"/>
      <c r="N428" s="1399"/>
      <c r="O428" s="1280"/>
      <c r="Z428" s="1280"/>
    </row>
    <row r="429" spans="1:26" x14ac:dyDescent="0.6">
      <c r="A429" s="1280"/>
      <c r="N429" s="1399"/>
      <c r="O429" s="1280"/>
      <c r="Z429" s="1280"/>
    </row>
    <row r="430" spans="1:26" x14ac:dyDescent="0.6">
      <c r="A430" s="1280"/>
      <c r="N430" s="1399"/>
      <c r="O430" s="1280"/>
      <c r="Z430" s="1280"/>
    </row>
    <row r="431" spans="1:26" x14ac:dyDescent="0.6">
      <c r="A431" s="1280"/>
      <c r="N431" s="1399"/>
      <c r="O431" s="1280"/>
      <c r="Z431" s="1280"/>
    </row>
    <row r="432" spans="1:26" x14ac:dyDescent="0.6">
      <c r="A432" s="1280"/>
      <c r="N432" s="1399"/>
      <c r="O432" s="1280"/>
      <c r="Z432" s="1280"/>
    </row>
    <row r="433" spans="1:26" x14ac:dyDescent="0.6">
      <c r="A433" s="1280"/>
      <c r="N433" s="1399"/>
      <c r="O433" s="1280"/>
      <c r="Z433" s="1280"/>
    </row>
    <row r="434" spans="1:26" x14ac:dyDescent="0.6">
      <c r="A434" s="1280"/>
      <c r="N434" s="1399"/>
      <c r="O434" s="1280"/>
      <c r="Z434" s="1280"/>
    </row>
    <row r="435" spans="1:26" x14ac:dyDescent="0.6">
      <c r="A435" s="1280"/>
      <c r="N435" s="1399"/>
      <c r="O435" s="1280"/>
      <c r="Z435" s="1280"/>
    </row>
    <row r="436" spans="1:26" x14ac:dyDescent="0.6">
      <c r="A436" s="1280"/>
      <c r="N436" s="1399"/>
      <c r="O436" s="1280"/>
      <c r="Z436" s="1280"/>
    </row>
    <row r="437" spans="1:26" x14ac:dyDescent="0.6">
      <c r="A437" s="1280"/>
      <c r="N437" s="1399"/>
      <c r="O437" s="1280"/>
      <c r="Z437" s="1280"/>
    </row>
    <row r="438" spans="1:26" x14ac:dyDescent="0.6">
      <c r="A438" s="1280"/>
      <c r="N438" s="1399"/>
      <c r="O438" s="1280"/>
      <c r="Z438" s="1280"/>
    </row>
    <row r="439" spans="1:26" x14ac:dyDescent="0.6">
      <c r="A439" s="1280"/>
      <c r="N439" s="1399"/>
      <c r="O439" s="1280"/>
      <c r="Z439" s="1280"/>
    </row>
    <row r="440" spans="1:26" x14ac:dyDescent="0.6">
      <c r="A440" s="1280"/>
      <c r="N440" s="1399"/>
      <c r="O440" s="1280"/>
      <c r="Z440" s="1280"/>
    </row>
    <row r="441" spans="1:26" x14ac:dyDescent="0.6">
      <c r="A441" s="1280"/>
      <c r="N441" s="1399"/>
      <c r="O441" s="1280"/>
      <c r="Z441" s="1280"/>
    </row>
    <row r="442" spans="1:26" x14ac:dyDescent="0.6">
      <c r="A442" s="1280"/>
      <c r="N442" s="1399"/>
      <c r="O442" s="1280"/>
      <c r="Z442" s="1280"/>
    </row>
    <row r="443" spans="1:26" x14ac:dyDescent="0.6">
      <c r="A443" s="1280"/>
      <c r="N443" s="1399"/>
      <c r="O443" s="1280"/>
      <c r="Z443" s="1280"/>
    </row>
    <row r="444" spans="1:26" x14ac:dyDescent="0.6">
      <c r="A444" s="1280"/>
      <c r="N444" s="1399"/>
      <c r="O444" s="1280"/>
      <c r="Z444" s="1280"/>
    </row>
    <row r="445" spans="1:26" x14ac:dyDescent="0.6">
      <c r="A445" s="1280"/>
      <c r="N445" s="1399"/>
      <c r="O445" s="1280"/>
      <c r="Z445" s="1280"/>
    </row>
    <row r="446" spans="1:26" x14ac:dyDescent="0.6">
      <c r="A446" s="1280"/>
      <c r="N446" s="1399"/>
      <c r="O446" s="1280"/>
      <c r="Z446" s="1280"/>
    </row>
    <row r="447" spans="1:26" x14ac:dyDescent="0.6">
      <c r="A447" s="1280"/>
      <c r="N447" s="1399"/>
      <c r="O447" s="1280"/>
      <c r="Z447" s="1280"/>
    </row>
    <row r="448" spans="1:26" x14ac:dyDescent="0.6">
      <c r="A448" s="1280"/>
      <c r="N448" s="1399"/>
      <c r="O448" s="1280"/>
      <c r="Z448" s="1280"/>
    </row>
    <row r="449" spans="1:26" x14ac:dyDescent="0.6">
      <c r="A449" s="1280"/>
      <c r="N449" s="1399"/>
      <c r="O449" s="1280"/>
      <c r="Z449" s="1280"/>
    </row>
    <row r="450" spans="1:26" x14ac:dyDescent="0.6">
      <c r="A450" s="1280"/>
      <c r="N450" s="1399"/>
      <c r="O450" s="1280"/>
      <c r="Z450" s="1280"/>
    </row>
    <row r="451" spans="1:26" x14ac:dyDescent="0.6">
      <c r="A451" s="1280"/>
      <c r="N451" s="1399"/>
      <c r="O451" s="1280"/>
      <c r="Z451" s="1280"/>
    </row>
    <row r="452" spans="1:26" x14ac:dyDescent="0.6">
      <c r="A452" s="1280"/>
      <c r="N452" s="1399"/>
      <c r="O452" s="1280"/>
      <c r="Z452" s="1280"/>
    </row>
    <row r="453" spans="1:26" x14ac:dyDescent="0.6">
      <c r="A453" s="1280"/>
      <c r="N453" s="1399"/>
      <c r="O453" s="1280"/>
      <c r="Z453" s="1280"/>
    </row>
    <row r="454" spans="1:26" x14ac:dyDescent="0.6">
      <c r="A454" s="1280"/>
      <c r="N454" s="1399"/>
      <c r="O454" s="1280"/>
      <c r="Z454" s="1280"/>
    </row>
    <row r="455" spans="1:26" x14ac:dyDescent="0.6">
      <c r="A455" s="1280"/>
      <c r="N455" s="1399"/>
      <c r="O455" s="1280"/>
      <c r="Z455" s="1280"/>
    </row>
    <row r="456" spans="1:26" x14ac:dyDescent="0.6">
      <c r="A456" s="1280"/>
      <c r="N456" s="1399"/>
      <c r="O456" s="1280"/>
      <c r="Z456" s="1280"/>
    </row>
    <row r="457" spans="1:26" x14ac:dyDescent="0.6">
      <c r="A457" s="1280"/>
      <c r="N457" s="1399"/>
      <c r="O457" s="1280"/>
      <c r="Z457" s="1280"/>
    </row>
    <row r="458" spans="1:26" x14ac:dyDescent="0.6">
      <c r="A458" s="1280"/>
      <c r="N458" s="1399"/>
      <c r="O458" s="1280"/>
      <c r="Z458" s="1280"/>
    </row>
    <row r="459" spans="1:26" x14ac:dyDescent="0.6">
      <c r="A459" s="1280"/>
      <c r="N459" s="1399"/>
      <c r="O459" s="1280"/>
      <c r="Z459" s="1280"/>
    </row>
    <row r="460" spans="1:26" x14ac:dyDescent="0.6">
      <c r="A460" s="1280"/>
      <c r="N460" s="1399"/>
      <c r="O460" s="1280"/>
      <c r="Z460" s="1280"/>
    </row>
    <row r="461" spans="1:26" x14ac:dyDescent="0.6">
      <c r="A461" s="1280"/>
      <c r="N461" s="1399"/>
      <c r="O461" s="1280"/>
      <c r="Z461" s="1280"/>
    </row>
    <row r="462" spans="1:26" x14ac:dyDescent="0.6">
      <c r="A462" s="1280"/>
      <c r="N462" s="1399"/>
      <c r="O462" s="1280"/>
      <c r="Z462" s="1280"/>
    </row>
    <row r="463" spans="1:26" x14ac:dyDescent="0.6">
      <c r="A463" s="1280"/>
      <c r="N463" s="1399"/>
      <c r="O463" s="1280"/>
      <c r="Z463" s="1280"/>
    </row>
    <row r="464" spans="1:26" x14ac:dyDescent="0.6">
      <c r="A464" s="1280"/>
      <c r="N464" s="1399"/>
      <c r="O464" s="1280"/>
      <c r="Z464" s="1280"/>
    </row>
    <row r="465" spans="1:26" x14ac:dyDescent="0.6">
      <c r="A465" s="1280"/>
      <c r="N465" s="1399"/>
      <c r="O465" s="1280"/>
      <c r="Z465" s="1280"/>
    </row>
    <row r="466" spans="1:26" x14ac:dyDescent="0.6">
      <c r="A466" s="1280"/>
      <c r="N466" s="1399"/>
      <c r="O466" s="1280"/>
      <c r="Z466" s="1280"/>
    </row>
    <row r="467" spans="1:26" x14ac:dyDescent="0.6">
      <c r="A467" s="1280"/>
      <c r="N467" s="1399"/>
      <c r="O467" s="1280"/>
      <c r="Z467" s="1280"/>
    </row>
    <row r="468" spans="1:26" x14ac:dyDescent="0.6">
      <c r="A468" s="1280"/>
      <c r="N468" s="1399"/>
      <c r="O468" s="1280"/>
      <c r="Z468" s="1280"/>
    </row>
    <row r="469" spans="1:26" x14ac:dyDescent="0.6">
      <c r="A469" s="1280"/>
      <c r="N469" s="1399"/>
      <c r="O469" s="1280"/>
      <c r="Z469" s="1280"/>
    </row>
    <row r="470" spans="1:26" x14ac:dyDescent="0.6">
      <c r="A470" s="1280"/>
      <c r="N470" s="1399"/>
      <c r="O470" s="1280"/>
      <c r="Z470" s="1280"/>
    </row>
    <row r="471" spans="1:26" x14ac:dyDescent="0.6">
      <c r="A471" s="1280"/>
      <c r="N471" s="1399"/>
      <c r="O471" s="1280"/>
      <c r="Z471" s="1280"/>
    </row>
    <row r="472" spans="1:26" x14ac:dyDescent="0.6">
      <c r="A472" s="1280"/>
      <c r="N472" s="1399"/>
      <c r="O472" s="1280"/>
      <c r="Z472" s="1280"/>
    </row>
    <row r="473" spans="1:26" x14ac:dyDescent="0.6">
      <c r="A473" s="1280"/>
      <c r="N473" s="1399"/>
      <c r="O473" s="1280"/>
      <c r="Z473" s="1280"/>
    </row>
    <row r="474" spans="1:26" x14ac:dyDescent="0.6">
      <c r="A474" s="1280"/>
      <c r="N474" s="1399"/>
      <c r="O474" s="1280"/>
      <c r="Z474" s="1280"/>
    </row>
    <row r="475" spans="1:26" x14ac:dyDescent="0.6">
      <c r="A475" s="1280"/>
      <c r="N475" s="1399"/>
      <c r="O475" s="1280"/>
      <c r="Z475" s="1280"/>
    </row>
    <row r="476" spans="1:26" x14ac:dyDescent="0.6">
      <c r="A476" s="1280"/>
      <c r="N476" s="1399"/>
      <c r="O476" s="1280"/>
      <c r="Z476" s="1280"/>
    </row>
    <row r="477" spans="1:26" x14ac:dyDescent="0.6">
      <c r="A477" s="1280"/>
      <c r="N477" s="1399"/>
      <c r="O477" s="1280"/>
      <c r="Z477" s="1280"/>
    </row>
    <row r="478" spans="1:26" x14ac:dyDescent="0.6">
      <c r="A478" s="1280"/>
      <c r="N478" s="1399"/>
      <c r="O478" s="1280"/>
      <c r="Z478" s="1280"/>
    </row>
    <row r="479" spans="1:26" x14ac:dyDescent="0.6">
      <c r="A479" s="1280"/>
      <c r="N479" s="1399"/>
      <c r="O479" s="1280"/>
      <c r="Z479" s="1280"/>
    </row>
    <row r="480" spans="1:26" x14ac:dyDescent="0.6">
      <c r="A480" s="1280"/>
      <c r="N480" s="1399"/>
      <c r="O480" s="1280"/>
      <c r="Z480" s="1280"/>
    </row>
    <row r="481" spans="1:26" x14ac:dyDescent="0.6">
      <c r="A481" s="1280"/>
      <c r="N481" s="1399"/>
      <c r="O481" s="1280"/>
      <c r="Z481" s="1280"/>
    </row>
    <row r="482" spans="1:26" x14ac:dyDescent="0.6">
      <c r="A482" s="1280"/>
      <c r="N482" s="1399"/>
      <c r="O482" s="1280"/>
      <c r="Z482" s="1280"/>
    </row>
    <row r="483" spans="1:26" x14ac:dyDescent="0.6">
      <c r="A483" s="1280"/>
      <c r="N483" s="1399"/>
      <c r="O483" s="1280"/>
      <c r="Z483" s="1280"/>
    </row>
    <row r="484" spans="1:26" x14ac:dyDescent="0.6">
      <c r="A484" s="1280"/>
      <c r="N484" s="1399"/>
      <c r="O484" s="1280"/>
      <c r="Z484" s="1280"/>
    </row>
    <row r="485" spans="1:26" x14ac:dyDescent="0.6">
      <c r="A485" s="1280"/>
      <c r="N485" s="1399"/>
      <c r="O485" s="1280"/>
      <c r="Z485" s="1280"/>
    </row>
    <row r="486" spans="1:26" x14ac:dyDescent="0.6">
      <c r="A486" s="1280"/>
      <c r="N486" s="1399"/>
      <c r="O486" s="1280"/>
      <c r="Z486" s="1280"/>
    </row>
    <row r="487" spans="1:26" x14ac:dyDescent="0.6">
      <c r="A487" s="1280"/>
      <c r="N487" s="1399"/>
      <c r="O487" s="1280"/>
      <c r="Z487" s="1280"/>
    </row>
    <row r="488" spans="1:26" x14ac:dyDescent="0.6">
      <c r="A488" s="1280"/>
      <c r="N488" s="1399"/>
      <c r="O488" s="1280"/>
      <c r="Z488" s="1280"/>
    </row>
    <row r="489" spans="1:26" x14ac:dyDescent="0.6">
      <c r="A489" s="1280"/>
      <c r="N489" s="1399"/>
      <c r="O489" s="1280"/>
      <c r="Z489" s="1280"/>
    </row>
    <row r="490" spans="1:26" x14ac:dyDescent="0.6">
      <c r="A490" s="1280"/>
      <c r="N490" s="1399"/>
      <c r="O490" s="1280"/>
      <c r="Z490" s="1280"/>
    </row>
    <row r="491" spans="1:26" x14ac:dyDescent="0.6">
      <c r="A491" s="1280"/>
      <c r="N491" s="1399"/>
      <c r="O491" s="1280"/>
      <c r="Z491" s="1280"/>
    </row>
    <row r="492" spans="1:26" x14ac:dyDescent="0.6">
      <c r="A492" s="1280"/>
      <c r="N492" s="1399"/>
      <c r="O492" s="1280"/>
      <c r="Z492" s="1280"/>
    </row>
    <row r="493" spans="1:26" x14ac:dyDescent="0.6">
      <c r="A493" s="1280"/>
      <c r="N493" s="1399"/>
      <c r="O493" s="1280"/>
      <c r="Z493" s="1280"/>
    </row>
    <row r="494" spans="1:26" x14ac:dyDescent="0.6">
      <c r="A494" s="1280"/>
      <c r="N494" s="1399"/>
      <c r="O494" s="1280"/>
      <c r="Z494" s="1280"/>
    </row>
    <row r="495" spans="1:26" x14ac:dyDescent="0.6">
      <c r="A495" s="1280"/>
      <c r="N495" s="1399"/>
      <c r="O495" s="1280"/>
      <c r="Z495" s="1280"/>
    </row>
    <row r="496" spans="1:26" x14ac:dyDescent="0.6">
      <c r="A496" s="1280"/>
      <c r="N496" s="1399"/>
      <c r="O496" s="1280"/>
      <c r="Z496" s="1280"/>
    </row>
    <row r="497" spans="1:26" x14ac:dyDescent="0.6">
      <c r="A497" s="1280"/>
      <c r="N497" s="1399"/>
      <c r="O497" s="1280"/>
      <c r="Z497" s="1280"/>
    </row>
    <row r="498" spans="1:26" x14ac:dyDescent="0.6">
      <c r="A498" s="1280"/>
      <c r="N498" s="1399"/>
      <c r="O498" s="1280"/>
      <c r="Z498" s="1280"/>
    </row>
    <row r="499" spans="1:26" x14ac:dyDescent="0.6">
      <c r="A499" s="1280"/>
      <c r="N499" s="1399"/>
      <c r="O499" s="1280"/>
      <c r="Z499" s="1280"/>
    </row>
    <row r="500" spans="1:26" x14ac:dyDescent="0.6">
      <c r="A500" s="1280"/>
      <c r="N500" s="1399"/>
      <c r="O500" s="1280"/>
      <c r="Z500" s="1280"/>
    </row>
    <row r="501" spans="1:26" x14ac:dyDescent="0.6">
      <c r="A501" s="1280"/>
      <c r="N501" s="1399"/>
      <c r="O501" s="1280"/>
      <c r="Z501" s="1280"/>
    </row>
    <row r="502" spans="1:26" x14ac:dyDescent="0.6">
      <c r="A502" s="1280"/>
      <c r="N502" s="1399"/>
      <c r="O502" s="1280"/>
      <c r="Z502" s="1280"/>
    </row>
    <row r="503" spans="1:26" x14ac:dyDescent="0.6">
      <c r="A503" s="1280"/>
      <c r="N503" s="1399"/>
      <c r="O503" s="1280"/>
      <c r="Z503" s="1280"/>
    </row>
    <row r="504" spans="1:26" x14ac:dyDescent="0.6">
      <c r="A504" s="1280"/>
      <c r="N504" s="1399"/>
      <c r="O504" s="1280"/>
      <c r="Z504" s="1280"/>
    </row>
    <row r="505" spans="1:26" x14ac:dyDescent="0.6">
      <c r="A505" s="1280"/>
      <c r="N505" s="1399"/>
      <c r="O505" s="1280"/>
      <c r="Z505" s="1280"/>
    </row>
    <row r="506" spans="1:26" x14ac:dyDescent="0.6">
      <c r="A506" s="1280"/>
      <c r="N506" s="1399"/>
      <c r="O506" s="1280"/>
      <c r="Z506" s="1280"/>
    </row>
    <row r="507" spans="1:26" x14ac:dyDescent="0.6">
      <c r="A507" s="1280"/>
      <c r="N507" s="1399"/>
      <c r="O507" s="1280"/>
      <c r="Z507" s="1280"/>
    </row>
    <row r="508" spans="1:26" x14ac:dyDescent="0.6">
      <c r="A508" s="1280"/>
      <c r="N508" s="1399"/>
      <c r="O508" s="1280"/>
      <c r="Z508" s="1280"/>
    </row>
    <row r="509" spans="1:26" x14ac:dyDescent="0.6">
      <c r="A509" s="1280"/>
      <c r="N509" s="1399"/>
      <c r="O509" s="1280"/>
      <c r="Z509" s="1280"/>
    </row>
    <row r="510" spans="1:26" x14ac:dyDescent="0.6">
      <c r="A510" s="1280"/>
      <c r="N510" s="1399"/>
      <c r="O510" s="1280"/>
      <c r="Z510" s="1280"/>
    </row>
    <row r="511" spans="1:26" x14ac:dyDescent="0.6">
      <c r="A511" s="1280"/>
      <c r="N511" s="1399"/>
      <c r="O511" s="1280"/>
      <c r="Z511" s="1280"/>
    </row>
    <row r="512" spans="1:26" x14ac:dyDescent="0.6">
      <c r="A512" s="1280"/>
      <c r="N512" s="1399"/>
      <c r="O512" s="1280"/>
      <c r="Z512" s="1280"/>
    </row>
    <row r="513" spans="1:26" x14ac:dyDescent="0.6">
      <c r="A513" s="1280"/>
      <c r="N513" s="1399"/>
      <c r="O513" s="1280"/>
      <c r="Z513" s="1280"/>
    </row>
    <row r="514" spans="1:26" x14ac:dyDescent="0.6">
      <c r="A514" s="1280"/>
      <c r="N514" s="1399"/>
      <c r="O514" s="1280"/>
      <c r="Z514" s="1280"/>
    </row>
    <row r="515" spans="1:26" x14ac:dyDescent="0.6">
      <c r="A515" s="1280"/>
      <c r="N515" s="1399"/>
      <c r="O515" s="1280"/>
      <c r="Z515" s="1280"/>
    </row>
    <row r="516" spans="1:26" x14ac:dyDescent="0.6">
      <c r="A516" s="1280"/>
      <c r="N516" s="1399"/>
      <c r="O516" s="1280"/>
      <c r="Z516" s="1280"/>
    </row>
    <row r="517" spans="1:26" x14ac:dyDescent="0.6">
      <c r="A517" s="1280"/>
      <c r="N517" s="1399"/>
      <c r="O517" s="1280"/>
      <c r="Z517" s="1280"/>
    </row>
    <row r="518" spans="1:26" x14ac:dyDescent="0.6">
      <c r="A518" s="1280"/>
      <c r="N518" s="1399"/>
      <c r="O518" s="1280"/>
      <c r="Z518" s="1280"/>
    </row>
    <row r="519" spans="1:26" x14ac:dyDescent="0.6">
      <c r="A519" s="1280"/>
      <c r="N519" s="1399"/>
      <c r="O519" s="1280"/>
      <c r="Z519" s="1280"/>
    </row>
    <row r="520" spans="1:26" x14ac:dyDescent="0.6">
      <c r="A520" s="1280"/>
      <c r="N520" s="1399"/>
      <c r="O520" s="1280"/>
      <c r="Z520" s="1280"/>
    </row>
    <row r="521" spans="1:26" x14ac:dyDescent="0.6">
      <c r="A521" s="1280"/>
      <c r="N521" s="1399"/>
      <c r="O521" s="1280"/>
      <c r="Z521" s="1280"/>
    </row>
    <row r="522" spans="1:26" x14ac:dyDescent="0.6">
      <c r="A522" s="1280"/>
      <c r="N522" s="1399"/>
      <c r="O522" s="1280"/>
      <c r="Z522" s="1280"/>
    </row>
    <row r="523" spans="1:26" x14ac:dyDescent="0.6">
      <c r="A523" s="1280"/>
      <c r="N523" s="1399"/>
      <c r="O523" s="1280"/>
      <c r="Z523" s="1280"/>
    </row>
    <row r="524" spans="1:26" x14ac:dyDescent="0.6">
      <c r="A524" s="1280"/>
      <c r="N524" s="1399"/>
      <c r="O524" s="1280"/>
      <c r="Z524" s="1280"/>
    </row>
    <row r="525" spans="1:26" x14ac:dyDescent="0.6">
      <c r="A525" s="1280"/>
      <c r="N525" s="1399"/>
      <c r="O525" s="1280"/>
      <c r="Z525" s="1280"/>
    </row>
    <row r="526" spans="1:26" x14ac:dyDescent="0.6">
      <c r="A526" s="1280"/>
      <c r="N526" s="1399"/>
      <c r="O526" s="1280"/>
      <c r="Z526" s="1280"/>
    </row>
    <row r="527" spans="1:26" x14ac:dyDescent="0.6">
      <c r="A527" s="1280"/>
      <c r="N527" s="1399"/>
      <c r="O527" s="1280"/>
      <c r="Z527" s="1280"/>
    </row>
    <row r="528" spans="1:26" x14ac:dyDescent="0.6">
      <c r="A528" s="1280"/>
      <c r="N528" s="1399"/>
      <c r="O528" s="1280"/>
      <c r="Z528" s="1280"/>
    </row>
    <row r="529" spans="1:26" x14ac:dyDescent="0.6">
      <c r="A529" s="1280"/>
      <c r="N529" s="1399"/>
      <c r="O529" s="1280"/>
      <c r="Z529" s="1280"/>
    </row>
    <row r="530" spans="1:26" x14ac:dyDescent="0.6">
      <c r="A530" s="1280"/>
      <c r="N530" s="1399"/>
      <c r="O530" s="1280"/>
      <c r="Z530" s="1280"/>
    </row>
    <row r="531" spans="1:26" x14ac:dyDescent="0.6">
      <c r="A531" s="1280"/>
      <c r="N531" s="1399"/>
      <c r="O531" s="1280"/>
      <c r="Z531" s="1280"/>
    </row>
    <row r="532" spans="1:26" x14ac:dyDescent="0.6">
      <c r="A532" s="1280"/>
      <c r="N532" s="1399"/>
      <c r="O532" s="1280"/>
      <c r="Z532" s="1280"/>
    </row>
    <row r="533" spans="1:26" x14ac:dyDescent="0.6">
      <c r="A533" s="1280"/>
      <c r="N533" s="1399"/>
      <c r="O533" s="1280"/>
      <c r="Z533" s="1280"/>
    </row>
    <row r="534" spans="1:26" x14ac:dyDescent="0.6">
      <c r="A534" s="1280"/>
      <c r="N534" s="1399"/>
      <c r="O534" s="1280"/>
      <c r="Z534" s="1280"/>
    </row>
    <row r="535" spans="1:26" x14ac:dyDescent="0.6">
      <c r="A535" s="1280"/>
      <c r="N535" s="1399"/>
      <c r="O535" s="1280"/>
      <c r="Z535" s="1280"/>
    </row>
    <row r="536" spans="1:26" x14ac:dyDescent="0.6">
      <c r="A536" s="1280"/>
      <c r="N536" s="1399"/>
      <c r="O536" s="1280"/>
      <c r="Z536" s="1280"/>
    </row>
    <row r="537" spans="1:26" x14ac:dyDescent="0.6">
      <c r="A537" s="1280"/>
      <c r="N537" s="1399"/>
      <c r="O537" s="1280"/>
      <c r="Z537" s="1280"/>
    </row>
    <row r="538" spans="1:26" x14ac:dyDescent="0.6">
      <c r="A538" s="1280"/>
      <c r="N538" s="1399"/>
      <c r="O538" s="1280"/>
      <c r="Z538" s="1280"/>
    </row>
    <row r="539" spans="1:26" x14ac:dyDescent="0.6">
      <c r="A539" s="1280"/>
      <c r="N539" s="1399"/>
      <c r="O539" s="1280"/>
      <c r="Z539" s="1280"/>
    </row>
    <row r="540" spans="1:26" x14ac:dyDescent="0.6">
      <c r="A540" s="1280"/>
      <c r="N540" s="1399"/>
      <c r="O540" s="1280"/>
      <c r="Z540" s="1280"/>
    </row>
    <row r="541" spans="1:26" x14ac:dyDescent="0.6">
      <c r="A541" s="1280"/>
      <c r="N541" s="1399"/>
      <c r="O541" s="1280"/>
      <c r="Z541" s="1280"/>
    </row>
    <row r="542" spans="1:26" x14ac:dyDescent="0.6">
      <c r="A542" s="1280"/>
      <c r="N542" s="1399"/>
      <c r="O542" s="1280"/>
      <c r="Z542" s="1280"/>
    </row>
    <row r="543" spans="1:26" x14ac:dyDescent="0.6">
      <c r="A543" s="1280"/>
      <c r="N543" s="1399"/>
      <c r="O543" s="1280"/>
      <c r="Z543" s="1280"/>
    </row>
    <row r="544" spans="1:26" x14ac:dyDescent="0.6">
      <c r="A544" s="1280"/>
      <c r="N544" s="1399"/>
      <c r="O544" s="1280"/>
      <c r="Z544" s="1280"/>
    </row>
    <row r="545" spans="1:26" x14ac:dyDescent="0.6">
      <c r="A545" s="1280"/>
      <c r="N545" s="1399"/>
      <c r="O545" s="1280"/>
      <c r="Z545" s="1280"/>
    </row>
    <row r="546" spans="1:26" x14ac:dyDescent="0.6">
      <c r="A546" s="1280"/>
      <c r="N546" s="1399"/>
      <c r="O546" s="1280"/>
      <c r="Z546" s="1280"/>
    </row>
    <row r="547" spans="1:26" x14ac:dyDescent="0.6">
      <c r="A547" s="1280"/>
      <c r="N547" s="1399"/>
      <c r="O547" s="1280"/>
      <c r="Z547" s="1280"/>
    </row>
    <row r="548" spans="1:26" x14ac:dyDescent="0.6">
      <c r="A548" s="1280"/>
      <c r="N548" s="1399"/>
      <c r="O548" s="1280"/>
      <c r="Z548" s="1280"/>
    </row>
    <row r="549" spans="1:26" x14ac:dyDescent="0.6">
      <c r="A549" s="1280"/>
      <c r="N549" s="1399"/>
      <c r="O549" s="1280"/>
      <c r="Z549" s="1280"/>
    </row>
    <row r="550" spans="1:26" x14ac:dyDescent="0.6">
      <c r="A550" s="1280"/>
      <c r="N550" s="1399"/>
      <c r="O550" s="1280"/>
      <c r="Z550" s="1280"/>
    </row>
    <row r="551" spans="1:26" x14ac:dyDescent="0.6">
      <c r="A551" s="1280"/>
      <c r="N551" s="1399"/>
      <c r="O551" s="1280"/>
      <c r="Z551" s="1280"/>
    </row>
    <row r="552" spans="1:26" x14ac:dyDescent="0.6">
      <c r="A552" s="1280"/>
      <c r="N552" s="1399"/>
      <c r="O552" s="1280"/>
      <c r="Z552" s="1280"/>
    </row>
    <row r="553" spans="1:26" x14ac:dyDescent="0.6">
      <c r="A553" s="1280"/>
      <c r="N553" s="1399"/>
      <c r="O553" s="1280"/>
      <c r="Z553" s="1280"/>
    </row>
    <row r="554" spans="1:26" x14ac:dyDescent="0.6">
      <c r="A554" s="1280"/>
      <c r="N554" s="1399"/>
      <c r="O554" s="1280"/>
      <c r="Z554" s="1280"/>
    </row>
    <row r="555" spans="1:26" x14ac:dyDescent="0.6">
      <c r="A555" s="1280"/>
      <c r="N555" s="1399"/>
      <c r="O555" s="1280"/>
      <c r="Z555" s="1280"/>
    </row>
    <row r="556" spans="1:26" x14ac:dyDescent="0.6">
      <c r="A556" s="1280"/>
      <c r="N556" s="1399"/>
      <c r="O556" s="1280"/>
      <c r="Z556" s="1280"/>
    </row>
    <row r="557" spans="1:26" x14ac:dyDescent="0.6">
      <c r="A557" s="1280"/>
      <c r="N557" s="1399"/>
      <c r="O557" s="1280"/>
      <c r="Z557" s="1280"/>
    </row>
    <row r="558" spans="1:26" x14ac:dyDescent="0.6">
      <c r="A558" s="1280"/>
      <c r="N558" s="1399"/>
      <c r="O558" s="1280"/>
      <c r="Z558" s="1280"/>
    </row>
    <row r="559" spans="1:26" x14ac:dyDescent="0.6">
      <c r="A559" s="1280"/>
      <c r="N559" s="1399"/>
      <c r="O559" s="1280"/>
      <c r="Z559" s="1280"/>
    </row>
    <row r="560" spans="1:26" x14ac:dyDescent="0.6">
      <c r="A560" s="1280"/>
      <c r="N560" s="1399"/>
      <c r="O560" s="1280"/>
      <c r="Z560" s="1280"/>
    </row>
    <row r="561" spans="1:26" x14ac:dyDescent="0.6">
      <c r="A561" s="1280"/>
      <c r="N561" s="1399"/>
      <c r="O561" s="1280"/>
      <c r="Z561" s="1280"/>
    </row>
    <row r="562" spans="1:26" x14ac:dyDescent="0.6">
      <c r="A562" s="1280"/>
      <c r="N562" s="1399"/>
      <c r="O562" s="1280"/>
      <c r="Z562" s="1280"/>
    </row>
    <row r="563" spans="1:26" x14ac:dyDescent="0.6">
      <c r="A563" s="1280"/>
      <c r="N563" s="1399"/>
      <c r="O563" s="1280"/>
      <c r="Z563" s="1280"/>
    </row>
    <row r="564" spans="1:26" x14ac:dyDescent="0.6">
      <c r="A564" s="1280"/>
      <c r="N564" s="1399"/>
      <c r="O564" s="1280"/>
      <c r="Z564" s="1280"/>
    </row>
    <row r="565" spans="1:26" x14ac:dyDescent="0.6">
      <c r="A565" s="1280"/>
      <c r="N565" s="1399"/>
      <c r="O565" s="1280"/>
      <c r="Z565" s="1280"/>
    </row>
    <row r="566" spans="1:26" x14ac:dyDescent="0.6">
      <c r="A566" s="1280"/>
      <c r="N566" s="1399"/>
      <c r="O566" s="1280"/>
      <c r="Z566" s="1280"/>
    </row>
    <row r="567" spans="1:26" x14ac:dyDescent="0.6">
      <c r="A567" s="1280"/>
      <c r="N567" s="1399"/>
      <c r="O567" s="1280"/>
      <c r="Z567" s="1280"/>
    </row>
    <row r="568" spans="1:26" x14ac:dyDescent="0.6">
      <c r="A568" s="1280"/>
      <c r="N568" s="1399"/>
      <c r="O568" s="1280"/>
      <c r="Z568" s="1280"/>
    </row>
    <row r="569" spans="1:26" x14ac:dyDescent="0.6">
      <c r="A569" s="1280"/>
      <c r="N569" s="1399"/>
      <c r="O569" s="1280"/>
      <c r="Z569" s="1280"/>
    </row>
    <row r="570" spans="1:26" x14ac:dyDescent="0.6">
      <c r="A570" s="1280"/>
      <c r="N570" s="1399"/>
      <c r="O570" s="1280"/>
      <c r="Z570" s="1280"/>
    </row>
    <row r="571" spans="1:26" x14ac:dyDescent="0.6">
      <c r="A571" s="1280"/>
      <c r="N571" s="1399"/>
      <c r="O571" s="1280"/>
      <c r="Z571" s="1280"/>
    </row>
    <row r="572" spans="1:26" x14ac:dyDescent="0.6">
      <c r="A572" s="1280"/>
      <c r="N572" s="1399"/>
      <c r="O572" s="1280"/>
      <c r="Z572" s="1280"/>
    </row>
    <row r="573" spans="1:26" x14ac:dyDescent="0.6">
      <c r="A573" s="1280"/>
      <c r="N573" s="1399"/>
      <c r="O573" s="1280"/>
      <c r="Z573" s="1280"/>
    </row>
    <row r="574" spans="1:26" x14ac:dyDescent="0.6">
      <c r="A574" s="1280"/>
      <c r="N574" s="1399"/>
      <c r="O574" s="1280"/>
      <c r="Z574" s="1280"/>
    </row>
    <row r="575" spans="1:26" x14ac:dyDescent="0.6">
      <c r="A575" s="1280"/>
      <c r="N575" s="1399"/>
      <c r="O575" s="1280"/>
      <c r="Z575" s="1280"/>
    </row>
    <row r="576" spans="1:26" x14ac:dyDescent="0.6">
      <c r="A576" s="1280"/>
      <c r="N576" s="1399"/>
      <c r="O576" s="1280"/>
      <c r="Z576" s="1280"/>
    </row>
    <row r="577" spans="1:26" x14ac:dyDescent="0.6">
      <c r="A577" s="1280"/>
      <c r="N577" s="1399"/>
      <c r="O577" s="1280"/>
      <c r="Z577" s="1280"/>
    </row>
    <row r="578" spans="1:26" x14ac:dyDescent="0.6">
      <c r="A578" s="1280"/>
      <c r="N578" s="1399"/>
      <c r="O578" s="1280"/>
      <c r="Z578" s="1280"/>
    </row>
    <row r="579" spans="1:26" x14ac:dyDescent="0.6">
      <c r="A579" s="1280"/>
      <c r="N579" s="1399"/>
      <c r="O579" s="1280"/>
      <c r="Z579" s="1280"/>
    </row>
    <row r="580" spans="1:26" x14ac:dyDescent="0.6">
      <c r="A580" s="1280"/>
      <c r="N580" s="1399"/>
      <c r="O580" s="1280"/>
      <c r="Z580" s="1280"/>
    </row>
    <row r="581" spans="1:26" x14ac:dyDescent="0.6">
      <c r="A581" s="1280"/>
      <c r="N581" s="1399"/>
      <c r="O581" s="1280"/>
      <c r="Z581" s="1280"/>
    </row>
    <row r="582" spans="1:26" x14ac:dyDescent="0.6">
      <c r="A582" s="1280"/>
      <c r="N582" s="1399"/>
      <c r="O582" s="1280"/>
      <c r="Z582" s="1280"/>
    </row>
    <row r="583" spans="1:26" x14ac:dyDescent="0.6">
      <c r="A583" s="1280"/>
      <c r="N583" s="1399"/>
      <c r="O583" s="1280"/>
      <c r="Z583" s="1280"/>
    </row>
    <row r="584" spans="1:26" x14ac:dyDescent="0.6">
      <c r="A584" s="1280"/>
      <c r="N584" s="1399"/>
      <c r="O584" s="1280"/>
      <c r="Z584" s="1280"/>
    </row>
    <row r="585" spans="1:26" x14ac:dyDescent="0.6">
      <c r="A585" s="1280"/>
      <c r="N585" s="1399"/>
      <c r="O585" s="1280"/>
      <c r="Z585" s="1280"/>
    </row>
    <row r="586" spans="1:26" x14ac:dyDescent="0.6">
      <c r="A586" s="1280"/>
      <c r="N586" s="1399"/>
      <c r="O586" s="1280"/>
      <c r="Z586" s="1280"/>
    </row>
    <row r="587" spans="1:26" x14ac:dyDescent="0.6">
      <c r="A587" s="1280"/>
      <c r="N587" s="1399"/>
      <c r="O587" s="1280"/>
      <c r="Z587" s="1280"/>
    </row>
    <row r="588" spans="1:26" x14ac:dyDescent="0.6">
      <c r="A588" s="1280"/>
      <c r="N588" s="1399"/>
      <c r="O588" s="1280"/>
      <c r="Z588" s="1280"/>
    </row>
    <row r="589" spans="1:26" x14ac:dyDescent="0.6">
      <c r="A589" s="1280"/>
      <c r="N589" s="1399"/>
      <c r="O589" s="1280"/>
      <c r="Z589" s="1280"/>
    </row>
    <row r="590" spans="1:26" x14ac:dyDescent="0.6">
      <c r="A590" s="1280"/>
      <c r="N590" s="1399"/>
      <c r="O590" s="1280"/>
      <c r="Z590" s="1280"/>
    </row>
    <row r="591" spans="1:26" x14ac:dyDescent="0.6">
      <c r="A591" s="1280"/>
      <c r="N591" s="1399"/>
      <c r="O591" s="1280"/>
      <c r="Z591" s="1280"/>
    </row>
    <row r="592" spans="1:26" x14ac:dyDescent="0.6">
      <c r="A592" s="1280"/>
      <c r="N592" s="1399"/>
      <c r="O592" s="1280"/>
      <c r="Z592" s="1280"/>
    </row>
    <row r="593" spans="1:26" x14ac:dyDescent="0.6">
      <c r="A593" s="1280"/>
      <c r="N593" s="1399"/>
      <c r="O593" s="1280"/>
      <c r="Z593" s="1280"/>
    </row>
    <row r="594" spans="1:26" x14ac:dyDescent="0.6">
      <c r="A594" s="1280"/>
      <c r="N594" s="1399"/>
      <c r="O594" s="1280"/>
      <c r="Z594" s="1280"/>
    </row>
    <row r="595" spans="1:26" x14ac:dyDescent="0.6">
      <c r="A595" s="1280"/>
      <c r="N595" s="1399"/>
      <c r="O595" s="1280"/>
      <c r="Z595" s="1280"/>
    </row>
    <row r="596" spans="1:26" x14ac:dyDescent="0.6">
      <c r="A596" s="1280"/>
      <c r="N596" s="1399"/>
      <c r="O596" s="1280"/>
      <c r="Z596" s="1280"/>
    </row>
    <row r="597" spans="1:26" x14ac:dyDescent="0.6">
      <c r="A597" s="1280"/>
      <c r="N597" s="1399"/>
      <c r="O597" s="1280"/>
      <c r="Z597" s="1280"/>
    </row>
    <row r="598" spans="1:26" x14ac:dyDescent="0.6">
      <c r="A598" s="1280"/>
      <c r="N598" s="1399"/>
      <c r="O598" s="1280"/>
      <c r="Z598" s="1280"/>
    </row>
    <row r="599" spans="1:26" x14ac:dyDescent="0.6">
      <c r="A599" s="1280"/>
      <c r="N599" s="1399"/>
      <c r="O599" s="1280"/>
      <c r="Z599" s="1280"/>
    </row>
    <row r="600" spans="1:26" x14ac:dyDescent="0.6">
      <c r="A600" s="1280"/>
      <c r="N600" s="1399"/>
      <c r="O600" s="1280"/>
      <c r="Z600" s="1280"/>
    </row>
    <row r="601" spans="1:26" x14ac:dyDescent="0.6">
      <c r="A601" s="1280"/>
      <c r="N601" s="1399"/>
      <c r="O601" s="1280"/>
      <c r="Z601" s="1280"/>
    </row>
    <row r="602" spans="1:26" x14ac:dyDescent="0.6">
      <c r="A602" s="1280"/>
      <c r="N602" s="1399"/>
      <c r="O602" s="1280"/>
      <c r="Z602" s="1280"/>
    </row>
    <row r="603" spans="1:26" x14ac:dyDescent="0.6">
      <c r="A603" s="1280"/>
      <c r="N603" s="1399"/>
      <c r="O603" s="1280"/>
      <c r="Z603" s="1280"/>
    </row>
    <row r="604" spans="1:26" x14ac:dyDescent="0.6">
      <c r="A604" s="1280"/>
      <c r="N604" s="1399"/>
      <c r="O604" s="1280"/>
      <c r="Z604" s="1280"/>
    </row>
    <row r="605" spans="1:26" x14ac:dyDescent="0.6">
      <c r="A605" s="1280"/>
      <c r="N605" s="1399"/>
      <c r="O605" s="1280"/>
      <c r="Z605" s="1280"/>
    </row>
    <row r="606" spans="1:26" x14ac:dyDescent="0.6">
      <c r="A606" s="1280"/>
      <c r="N606" s="1399"/>
      <c r="O606" s="1280"/>
      <c r="Z606" s="1280"/>
    </row>
    <row r="607" spans="1:26" x14ac:dyDescent="0.6">
      <c r="A607" s="1280"/>
      <c r="N607" s="1399"/>
      <c r="O607" s="1280"/>
      <c r="Z607" s="1280"/>
    </row>
    <row r="608" spans="1:26" x14ac:dyDescent="0.6">
      <c r="A608" s="1280"/>
      <c r="N608" s="1399"/>
      <c r="O608" s="1280"/>
      <c r="Z608" s="1280"/>
    </row>
    <row r="609" spans="1:26" x14ac:dyDescent="0.6">
      <c r="A609" s="1280"/>
      <c r="N609" s="1399"/>
      <c r="O609" s="1280"/>
      <c r="Z609" s="1280"/>
    </row>
    <row r="610" spans="1:26" x14ac:dyDescent="0.6">
      <c r="A610" s="1280"/>
      <c r="N610" s="1399"/>
      <c r="O610" s="1280"/>
      <c r="Z610" s="1280"/>
    </row>
    <row r="611" spans="1:26" x14ac:dyDescent="0.6">
      <c r="A611" s="1280"/>
      <c r="N611" s="1399"/>
      <c r="O611" s="1280"/>
      <c r="Z611" s="1280"/>
    </row>
    <row r="612" spans="1:26" x14ac:dyDescent="0.6">
      <c r="A612" s="1280"/>
      <c r="N612" s="1399"/>
      <c r="O612" s="1280"/>
      <c r="Z612" s="1280"/>
    </row>
    <row r="613" spans="1:26" x14ac:dyDescent="0.6">
      <c r="A613" s="1280"/>
      <c r="N613" s="1399"/>
      <c r="O613" s="1280"/>
      <c r="Z613" s="1280"/>
    </row>
    <row r="614" spans="1:26" x14ac:dyDescent="0.6">
      <c r="A614" s="1280"/>
      <c r="N614" s="1399"/>
      <c r="O614" s="1280"/>
      <c r="Z614" s="1280"/>
    </row>
    <row r="615" spans="1:26" x14ac:dyDescent="0.6">
      <c r="A615" s="1280"/>
      <c r="N615" s="1399"/>
      <c r="O615" s="1280"/>
      <c r="Z615" s="1280"/>
    </row>
    <row r="616" spans="1:26" x14ac:dyDescent="0.6">
      <c r="A616" s="1280"/>
      <c r="N616" s="1399"/>
      <c r="O616" s="1280"/>
      <c r="Z616" s="1280"/>
    </row>
    <row r="617" spans="1:26" x14ac:dyDescent="0.6">
      <c r="A617" s="1280"/>
      <c r="N617" s="1399"/>
      <c r="O617" s="1280"/>
      <c r="Z617" s="1280"/>
    </row>
    <row r="618" spans="1:26" x14ac:dyDescent="0.6">
      <c r="A618" s="1280"/>
      <c r="N618" s="1399"/>
      <c r="O618" s="1280"/>
      <c r="Z618" s="1280"/>
    </row>
    <row r="619" spans="1:26" x14ac:dyDescent="0.6">
      <c r="A619" s="1280"/>
      <c r="N619" s="1399"/>
      <c r="O619" s="1280"/>
      <c r="Z619" s="1280"/>
    </row>
    <row r="620" spans="1:26" x14ac:dyDescent="0.6">
      <c r="A620" s="1280"/>
      <c r="N620" s="1399"/>
      <c r="O620" s="1280"/>
      <c r="Z620" s="1280"/>
    </row>
    <row r="621" spans="1:26" x14ac:dyDescent="0.6">
      <c r="A621" s="1280"/>
      <c r="N621" s="1399"/>
      <c r="O621" s="1280"/>
      <c r="Z621" s="1280"/>
    </row>
    <row r="622" spans="1:26" x14ac:dyDescent="0.6">
      <c r="A622" s="1280"/>
      <c r="N622" s="1399"/>
      <c r="O622" s="1280"/>
      <c r="Z622" s="1280"/>
    </row>
    <row r="623" spans="1:26" x14ac:dyDescent="0.6">
      <c r="A623" s="1280"/>
      <c r="N623" s="1399"/>
      <c r="O623" s="1280"/>
      <c r="Z623" s="1280"/>
    </row>
    <row r="624" spans="1:26" x14ac:dyDescent="0.6">
      <c r="A624" s="1280"/>
      <c r="N624" s="1399"/>
      <c r="O624" s="1280"/>
      <c r="Z624" s="1280"/>
    </row>
    <row r="625" spans="1:26" x14ac:dyDescent="0.6">
      <c r="A625" s="1280"/>
      <c r="N625" s="1399"/>
      <c r="O625" s="1280"/>
      <c r="Z625" s="1280"/>
    </row>
    <row r="626" spans="1:26" x14ac:dyDescent="0.6">
      <c r="A626" s="1280"/>
      <c r="N626" s="1399"/>
      <c r="O626" s="1280"/>
      <c r="Z626" s="1280"/>
    </row>
    <row r="627" spans="1:26" x14ac:dyDescent="0.6">
      <c r="A627" s="1280"/>
      <c r="N627" s="1399"/>
      <c r="O627" s="1280"/>
      <c r="Z627" s="1280"/>
    </row>
    <row r="628" spans="1:26" x14ac:dyDescent="0.6">
      <c r="A628" s="1280"/>
      <c r="N628" s="1399"/>
      <c r="O628" s="1280"/>
      <c r="Z628" s="1280"/>
    </row>
    <row r="629" spans="1:26" x14ac:dyDescent="0.6">
      <c r="A629" s="1280"/>
      <c r="N629" s="1399"/>
      <c r="O629" s="1280"/>
      <c r="Z629" s="1280"/>
    </row>
    <row r="630" spans="1:26" x14ac:dyDescent="0.6">
      <c r="A630" s="1280"/>
      <c r="N630" s="1399"/>
      <c r="O630" s="1280"/>
      <c r="Z630" s="1280"/>
    </row>
    <row r="631" spans="1:26" x14ac:dyDescent="0.6">
      <c r="A631" s="1280"/>
      <c r="N631" s="1399"/>
      <c r="O631" s="1280"/>
      <c r="Z631" s="1280"/>
    </row>
    <row r="632" spans="1:26" x14ac:dyDescent="0.6">
      <c r="A632" s="1280"/>
      <c r="N632" s="1399"/>
      <c r="O632" s="1280"/>
      <c r="Z632" s="1280"/>
    </row>
    <row r="633" spans="1:26" x14ac:dyDescent="0.6">
      <c r="A633" s="1280"/>
      <c r="N633" s="1399"/>
      <c r="O633" s="1280"/>
      <c r="Z633" s="1280"/>
    </row>
    <row r="634" spans="1:26" x14ac:dyDescent="0.6">
      <c r="A634" s="1280"/>
      <c r="N634" s="1399"/>
      <c r="O634" s="1280"/>
      <c r="Z634" s="1280"/>
    </row>
    <row r="635" spans="1:26" x14ac:dyDescent="0.6">
      <c r="A635" s="1280"/>
      <c r="N635" s="1399"/>
      <c r="O635" s="1280"/>
      <c r="Z635" s="1280"/>
    </row>
    <row r="636" spans="1:26" x14ac:dyDescent="0.6">
      <c r="A636" s="1280"/>
      <c r="N636" s="1399"/>
      <c r="O636" s="1280"/>
      <c r="Z636" s="1280"/>
    </row>
    <row r="637" spans="1:26" x14ac:dyDescent="0.6">
      <c r="A637" s="1280"/>
      <c r="N637" s="1399"/>
      <c r="O637" s="1280"/>
      <c r="Z637" s="1280"/>
    </row>
    <row r="638" spans="1:26" x14ac:dyDescent="0.6">
      <c r="A638" s="1280"/>
      <c r="N638" s="1399"/>
      <c r="O638" s="1280"/>
      <c r="Z638" s="1280"/>
    </row>
    <row r="639" spans="1:26" x14ac:dyDescent="0.6">
      <c r="A639" s="1280"/>
      <c r="N639" s="1399"/>
      <c r="O639" s="1280"/>
      <c r="Z639" s="1280"/>
    </row>
    <row r="640" spans="1:26" x14ac:dyDescent="0.6">
      <c r="A640" s="1280"/>
      <c r="N640" s="1399"/>
      <c r="O640" s="1280"/>
      <c r="Z640" s="1280"/>
    </row>
    <row r="641" spans="1:26" x14ac:dyDescent="0.6">
      <c r="A641" s="1280"/>
      <c r="N641" s="1399"/>
      <c r="O641" s="1280"/>
      <c r="Z641" s="1280"/>
    </row>
    <row r="642" spans="1:26" x14ac:dyDescent="0.6">
      <c r="A642" s="1280"/>
      <c r="N642" s="1399"/>
      <c r="O642" s="1280"/>
      <c r="Z642" s="1280"/>
    </row>
    <row r="643" spans="1:26" x14ac:dyDescent="0.6">
      <c r="A643" s="1280"/>
      <c r="N643" s="1399"/>
      <c r="O643" s="1280"/>
      <c r="Z643" s="1280"/>
    </row>
    <row r="644" spans="1:26" x14ac:dyDescent="0.6">
      <c r="A644" s="1280"/>
      <c r="N644" s="1399"/>
      <c r="O644" s="1280"/>
      <c r="Z644" s="1280"/>
    </row>
    <row r="645" spans="1:26" x14ac:dyDescent="0.6">
      <c r="A645" s="1280"/>
      <c r="N645" s="1399"/>
      <c r="O645" s="1280"/>
      <c r="Z645" s="1280"/>
    </row>
    <row r="646" spans="1:26" x14ac:dyDescent="0.6">
      <c r="A646" s="1280"/>
      <c r="N646" s="1399"/>
      <c r="O646" s="1280"/>
      <c r="Z646" s="1280"/>
    </row>
    <row r="647" spans="1:26" x14ac:dyDescent="0.6">
      <c r="A647" s="1280"/>
      <c r="N647" s="1399"/>
      <c r="O647" s="1280"/>
      <c r="Z647" s="1280"/>
    </row>
    <row r="648" spans="1:26" x14ac:dyDescent="0.6">
      <c r="A648" s="1280"/>
      <c r="N648" s="1399"/>
      <c r="O648" s="1280"/>
      <c r="Z648" s="1280"/>
    </row>
    <row r="649" spans="1:26" x14ac:dyDescent="0.6">
      <c r="A649" s="1280"/>
      <c r="N649" s="1399"/>
      <c r="O649" s="1280"/>
      <c r="Z649" s="1280"/>
    </row>
    <row r="650" spans="1:26" x14ac:dyDescent="0.6">
      <c r="A650" s="1280"/>
      <c r="N650" s="1399"/>
      <c r="O650" s="1280"/>
      <c r="Z650" s="1280"/>
    </row>
    <row r="651" spans="1:26" x14ac:dyDescent="0.6">
      <c r="A651" s="1280"/>
      <c r="N651" s="1399"/>
      <c r="O651" s="1280"/>
      <c r="Z651" s="1280"/>
    </row>
    <row r="652" spans="1:26" x14ac:dyDescent="0.6">
      <c r="A652" s="1280"/>
      <c r="N652" s="1399"/>
      <c r="O652" s="1280"/>
      <c r="Z652" s="1280"/>
    </row>
    <row r="653" spans="1:26" x14ac:dyDescent="0.6">
      <c r="A653" s="1280"/>
      <c r="N653" s="1399"/>
      <c r="O653" s="1280"/>
      <c r="Z653" s="1280"/>
    </row>
    <row r="654" spans="1:26" x14ac:dyDescent="0.6">
      <c r="A654" s="1280"/>
      <c r="N654" s="1399"/>
      <c r="O654" s="1280"/>
      <c r="Z654" s="1280"/>
    </row>
    <row r="655" spans="1:26" x14ac:dyDescent="0.6">
      <c r="A655" s="1280"/>
      <c r="N655" s="1399"/>
      <c r="O655" s="1280"/>
      <c r="Z655" s="1280"/>
    </row>
    <row r="656" spans="1:26" x14ac:dyDescent="0.6">
      <c r="A656" s="1280"/>
      <c r="N656" s="1399"/>
      <c r="O656" s="1280"/>
      <c r="Z656" s="1280"/>
    </row>
    <row r="657" spans="1:26" x14ac:dyDescent="0.6">
      <c r="A657" s="1280"/>
      <c r="N657" s="1399"/>
      <c r="O657" s="1280"/>
      <c r="Z657" s="1280"/>
    </row>
    <row r="658" spans="1:26" x14ac:dyDescent="0.6">
      <c r="A658" s="1280"/>
      <c r="N658" s="1399"/>
      <c r="O658" s="1280"/>
      <c r="Z658" s="1280"/>
    </row>
    <row r="659" spans="1:26" x14ac:dyDescent="0.6">
      <c r="A659" s="1280"/>
      <c r="N659" s="1399"/>
      <c r="O659" s="1280"/>
      <c r="Z659" s="1280"/>
    </row>
    <row r="660" spans="1:26" x14ac:dyDescent="0.6">
      <c r="A660" s="1280"/>
      <c r="N660" s="1399"/>
      <c r="O660" s="1280"/>
      <c r="Z660" s="1280"/>
    </row>
    <row r="661" spans="1:26" x14ac:dyDescent="0.6">
      <c r="A661" s="1280"/>
      <c r="N661" s="1399"/>
      <c r="O661" s="1280"/>
      <c r="Z661" s="1280"/>
    </row>
    <row r="662" spans="1:26" x14ac:dyDescent="0.6">
      <c r="A662" s="1280"/>
      <c r="N662" s="1399"/>
      <c r="O662" s="1280"/>
      <c r="Z662" s="1280"/>
    </row>
    <row r="663" spans="1:26" x14ac:dyDescent="0.6">
      <c r="A663" s="1280"/>
      <c r="N663" s="1399"/>
      <c r="O663" s="1280"/>
      <c r="Z663" s="1280"/>
    </row>
    <row r="664" spans="1:26" x14ac:dyDescent="0.6">
      <c r="A664" s="1280"/>
      <c r="N664" s="1399"/>
      <c r="O664" s="1280"/>
      <c r="Z664" s="1280"/>
    </row>
    <row r="665" spans="1:26" x14ac:dyDescent="0.6">
      <c r="A665" s="1280"/>
      <c r="N665" s="1399"/>
      <c r="O665" s="1280"/>
      <c r="Z665" s="1280"/>
    </row>
    <row r="666" spans="1:26" x14ac:dyDescent="0.6">
      <c r="A666" s="1280"/>
      <c r="N666" s="1399"/>
      <c r="O666" s="1280"/>
      <c r="Z666" s="1280"/>
    </row>
    <row r="667" spans="1:26" x14ac:dyDescent="0.6">
      <c r="A667" s="1280"/>
      <c r="N667" s="1399"/>
      <c r="O667" s="1280"/>
      <c r="Z667" s="1280"/>
    </row>
    <row r="668" spans="1:26" x14ac:dyDescent="0.6">
      <c r="A668" s="1280"/>
      <c r="N668" s="1399"/>
      <c r="O668" s="1280"/>
      <c r="Z668" s="1280"/>
    </row>
    <row r="669" spans="1:26" x14ac:dyDescent="0.6">
      <c r="A669" s="1280"/>
      <c r="N669" s="1399"/>
      <c r="O669" s="1280"/>
      <c r="Z669" s="1280"/>
    </row>
    <row r="670" spans="1:26" x14ac:dyDescent="0.6">
      <c r="A670" s="1280"/>
      <c r="N670" s="1399"/>
      <c r="O670" s="1280"/>
      <c r="Z670" s="1280"/>
    </row>
    <row r="671" spans="1:26" x14ac:dyDescent="0.6">
      <c r="A671" s="1280"/>
      <c r="N671" s="1399"/>
      <c r="O671" s="1280"/>
      <c r="Z671" s="1280"/>
    </row>
    <row r="672" spans="1:26" x14ac:dyDescent="0.6">
      <c r="A672" s="1280"/>
      <c r="N672" s="1399"/>
      <c r="O672" s="1280"/>
      <c r="Z672" s="1280"/>
    </row>
    <row r="673" spans="1:26" x14ac:dyDescent="0.6">
      <c r="A673" s="1280"/>
      <c r="N673" s="1399"/>
      <c r="O673" s="1280"/>
      <c r="Z673" s="1280"/>
    </row>
    <row r="674" spans="1:26" x14ac:dyDescent="0.6">
      <c r="A674" s="1280"/>
      <c r="N674" s="1399"/>
      <c r="O674" s="1280"/>
      <c r="Z674" s="1280"/>
    </row>
    <row r="675" spans="1:26" x14ac:dyDescent="0.6">
      <c r="A675" s="1280"/>
      <c r="N675" s="1399"/>
      <c r="O675" s="1280"/>
      <c r="Z675" s="1280"/>
    </row>
    <row r="676" spans="1:26" x14ac:dyDescent="0.6">
      <c r="A676" s="1280"/>
      <c r="N676" s="1399"/>
      <c r="O676" s="1280"/>
      <c r="Z676" s="1280"/>
    </row>
    <row r="677" spans="1:26" x14ac:dyDescent="0.6">
      <c r="A677" s="1280"/>
      <c r="N677" s="1399"/>
      <c r="O677" s="1280"/>
      <c r="Z677" s="1280"/>
    </row>
    <row r="678" spans="1:26" x14ac:dyDescent="0.6">
      <c r="A678" s="1280"/>
      <c r="N678" s="1399"/>
      <c r="O678" s="1280"/>
      <c r="Z678" s="1280"/>
    </row>
    <row r="679" spans="1:26" x14ac:dyDescent="0.6">
      <c r="A679" s="1280"/>
      <c r="N679" s="1399"/>
      <c r="O679" s="1280"/>
      <c r="Z679" s="1280"/>
    </row>
    <row r="680" spans="1:26" x14ac:dyDescent="0.6">
      <c r="A680" s="1280"/>
      <c r="N680" s="1399"/>
      <c r="O680" s="1280"/>
      <c r="Z680" s="1280"/>
    </row>
    <row r="681" spans="1:26" x14ac:dyDescent="0.6">
      <c r="A681" s="1280"/>
      <c r="N681" s="1399"/>
      <c r="O681" s="1280"/>
      <c r="Z681" s="1280"/>
    </row>
    <row r="682" spans="1:26" x14ac:dyDescent="0.6">
      <c r="A682" s="1280"/>
      <c r="N682" s="1399"/>
      <c r="O682" s="1280"/>
      <c r="Z682" s="1280"/>
    </row>
    <row r="683" spans="1:26" x14ac:dyDescent="0.6">
      <c r="A683" s="1280"/>
      <c r="N683" s="1399"/>
      <c r="O683" s="1280"/>
      <c r="Z683" s="1280"/>
    </row>
    <row r="684" spans="1:26" x14ac:dyDescent="0.6">
      <c r="A684" s="1280"/>
      <c r="N684" s="1399"/>
      <c r="O684" s="1280"/>
      <c r="Z684" s="1280"/>
    </row>
    <row r="685" spans="1:26" x14ac:dyDescent="0.6">
      <c r="A685" s="1280"/>
      <c r="N685" s="1399"/>
      <c r="O685" s="1280"/>
      <c r="Z685" s="1280"/>
    </row>
    <row r="686" spans="1:26" x14ac:dyDescent="0.6">
      <c r="A686" s="1280"/>
      <c r="N686" s="1399"/>
      <c r="O686" s="1280"/>
      <c r="Z686" s="1280"/>
    </row>
    <row r="687" spans="1:26" x14ac:dyDescent="0.6">
      <c r="A687" s="1280"/>
      <c r="N687" s="1399"/>
      <c r="O687" s="1280"/>
      <c r="Z687" s="1280"/>
    </row>
    <row r="688" spans="1:26" x14ac:dyDescent="0.6">
      <c r="A688" s="1280"/>
      <c r="N688" s="1399"/>
      <c r="O688" s="1280"/>
      <c r="Z688" s="1280"/>
    </row>
    <row r="689" spans="1:26" x14ac:dyDescent="0.6">
      <c r="A689" s="1280"/>
      <c r="N689" s="1399"/>
      <c r="O689" s="1280"/>
      <c r="Z689" s="1280"/>
    </row>
    <row r="690" spans="1:26" x14ac:dyDescent="0.6">
      <c r="A690" s="1280"/>
      <c r="N690" s="1399"/>
      <c r="O690" s="1280"/>
      <c r="Z690" s="1280"/>
    </row>
    <row r="691" spans="1:26" x14ac:dyDescent="0.6">
      <c r="A691" s="1280"/>
      <c r="N691" s="1399"/>
      <c r="O691" s="1280"/>
      <c r="Z691" s="1280"/>
    </row>
    <row r="692" spans="1:26" x14ac:dyDescent="0.6">
      <c r="A692" s="1280"/>
      <c r="N692" s="1399"/>
      <c r="O692" s="1280"/>
      <c r="Z692" s="1280"/>
    </row>
    <row r="693" spans="1:26" x14ac:dyDescent="0.6">
      <c r="A693" s="1280"/>
      <c r="N693" s="1399"/>
      <c r="O693" s="1280"/>
      <c r="Z693" s="1280"/>
    </row>
    <row r="694" spans="1:26" x14ac:dyDescent="0.6">
      <c r="A694" s="1280"/>
      <c r="N694" s="1399"/>
      <c r="O694" s="1280"/>
      <c r="Z694" s="1280"/>
    </row>
    <row r="695" spans="1:26" x14ac:dyDescent="0.6">
      <c r="A695" s="1280"/>
      <c r="N695" s="1399"/>
      <c r="O695" s="1280"/>
      <c r="Z695" s="1280"/>
    </row>
    <row r="696" spans="1:26" x14ac:dyDescent="0.6">
      <c r="A696" s="1280"/>
      <c r="N696" s="1399"/>
      <c r="O696" s="1280"/>
      <c r="Z696" s="1280"/>
    </row>
    <row r="697" spans="1:26" x14ac:dyDescent="0.6">
      <c r="A697" s="1280"/>
      <c r="N697" s="1399"/>
      <c r="O697" s="1280"/>
      <c r="Z697" s="1280"/>
    </row>
    <row r="698" spans="1:26" x14ac:dyDescent="0.6">
      <c r="A698" s="1280"/>
      <c r="N698" s="1399"/>
      <c r="O698" s="1280"/>
      <c r="Z698" s="1280"/>
    </row>
    <row r="699" spans="1:26" x14ac:dyDescent="0.6">
      <c r="A699" s="1280"/>
      <c r="N699" s="1399"/>
      <c r="O699" s="1280"/>
      <c r="Z699" s="1280"/>
    </row>
    <row r="700" spans="1:26" x14ac:dyDescent="0.6">
      <c r="A700" s="1280"/>
      <c r="N700" s="1399"/>
      <c r="O700" s="1280"/>
      <c r="Z700" s="1280"/>
    </row>
    <row r="701" spans="1:26" x14ac:dyDescent="0.6">
      <c r="A701" s="1280"/>
      <c r="N701" s="1399"/>
      <c r="O701" s="1280"/>
      <c r="Z701" s="1280"/>
    </row>
    <row r="702" spans="1:26" x14ac:dyDescent="0.6">
      <c r="A702" s="1280"/>
      <c r="N702" s="1399"/>
      <c r="O702" s="1280"/>
      <c r="Z702" s="1280"/>
    </row>
  </sheetData>
  <protectedRanges>
    <protectedRange password="CC6F" sqref="B8" name="ช่วง1_5_1_5_1_1_1_2"/>
  </protectedRanges>
  <mergeCells count="18">
    <mergeCell ref="X6:X7"/>
    <mergeCell ref="A9:C9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048A-9027-4882-95C3-CEE5EA2EF018}">
  <sheetPr>
    <pageSetUpPr fitToPage="1"/>
  </sheetPr>
  <dimension ref="A1:AD705"/>
  <sheetViews>
    <sheetView topLeftCell="K1" zoomScaleNormal="100" zoomScaleSheetLayoutView="110" workbookViewId="0">
      <selection activeCell="A17" sqref="A17"/>
    </sheetView>
  </sheetViews>
  <sheetFormatPr defaultColWidth="9" defaultRowHeight="21" x14ac:dyDescent="0.6"/>
  <cols>
    <col min="1" max="1" width="4.8984375" style="1850" customWidth="1"/>
    <col min="2" max="2" width="21.8984375" style="1461" customWidth="1"/>
    <col min="3" max="3" width="4.5" style="1280" bestFit="1" customWidth="1"/>
    <col min="4" max="4" width="11.19921875" style="1459" hidden="1" customWidth="1"/>
    <col min="5" max="5" width="11.09765625" style="1459" customWidth="1"/>
    <col min="6" max="6" width="11.09765625" style="1459" hidden="1" customWidth="1"/>
    <col min="7" max="7" width="11.09765625" style="1459" customWidth="1"/>
    <col min="8" max="8" width="11.09765625" style="1459" hidden="1" customWidth="1"/>
    <col min="9" max="12" width="11.09765625" style="1459" customWidth="1"/>
    <col min="13" max="13" width="11.09765625" style="1280" customWidth="1"/>
    <col min="14" max="14" width="11.09765625" style="1400" customWidth="1"/>
    <col min="15" max="15" width="11.09765625" style="1929" customWidth="1"/>
    <col min="16" max="16" width="11.09765625" style="1399" hidden="1" customWidth="1"/>
    <col min="17" max="17" width="11.09765625" style="1399" customWidth="1"/>
    <col min="18" max="18" width="11.09765625" style="1399" hidden="1" customWidth="1"/>
    <col min="19" max="19" width="11.09765625" style="1399" customWidth="1"/>
    <col min="20" max="20" width="11.09765625" style="1399" hidden="1" customWidth="1"/>
    <col min="21" max="21" width="11.09765625" style="1399" customWidth="1"/>
    <col min="22" max="22" width="11.09765625" style="1399" hidden="1" customWidth="1"/>
    <col min="23" max="23" width="11.09765625" style="1399" customWidth="1"/>
    <col min="24" max="25" width="11.09765625" style="128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0" s="1924" customFormat="1" x14ac:dyDescent="0.6">
      <c r="A1" s="1922" t="s">
        <v>9082</v>
      </c>
      <c r="B1" s="1923"/>
      <c r="C1" s="1923"/>
      <c r="D1" s="1923"/>
      <c r="E1" s="1923"/>
      <c r="F1" s="1923"/>
      <c r="G1" s="1923"/>
      <c r="H1" s="1923"/>
      <c r="I1" s="1923"/>
      <c r="J1" s="1923"/>
      <c r="K1" s="1923"/>
      <c r="L1" s="1923"/>
      <c r="M1" s="1923"/>
      <c r="N1" s="1923"/>
      <c r="O1" s="1923"/>
      <c r="P1" s="1923"/>
      <c r="Q1" s="1923"/>
      <c r="R1" s="1923"/>
      <c r="S1" s="1923"/>
      <c r="T1" s="1923"/>
      <c r="U1" s="1923"/>
      <c r="V1" s="1923"/>
      <c r="W1" s="1923"/>
      <c r="X1" s="1923"/>
      <c r="Y1" s="1923"/>
      <c r="Z1" s="1923"/>
      <c r="AA1" s="1923"/>
    </row>
    <row r="2" spans="1:30" x14ac:dyDescent="0.6">
      <c r="A2" s="1925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0" x14ac:dyDescent="0.6">
      <c r="A3" s="1926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0" x14ac:dyDescent="0.6">
      <c r="A4" s="1408" t="s">
        <v>2185</v>
      </c>
      <c r="B4" s="1408" t="s">
        <v>9083</v>
      </c>
      <c r="C4" s="1849" t="s">
        <v>7776</v>
      </c>
      <c r="D4" s="1409" t="s">
        <v>7777</v>
      </c>
      <c r="E4" s="1409"/>
      <c r="F4" s="1409"/>
      <c r="G4" s="1409"/>
      <c r="H4" s="1409"/>
      <c r="I4" s="1409"/>
      <c r="J4" s="1410" t="s">
        <v>7736</v>
      </c>
      <c r="K4" s="1411" t="s">
        <v>7778</v>
      </c>
      <c r="L4" s="1412" t="s">
        <v>7779</v>
      </c>
      <c r="M4" s="1413" t="s">
        <v>6557</v>
      </c>
      <c r="N4" s="1308" t="s">
        <v>7780</v>
      </c>
      <c r="O4" s="1309" t="s">
        <v>7736</v>
      </c>
      <c r="P4" s="1413" t="s">
        <v>7744</v>
      </c>
      <c r="Q4" s="1413" t="s">
        <v>621</v>
      </c>
      <c r="R4" s="1413" t="s">
        <v>7745</v>
      </c>
      <c r="S4" s="1413" t="s">
        <v>621</v>
      </c>
      <c r="T4" s="1413" t="s">
        <v>7746</v>
      </c>
      <c r="U4" s="1413" t="s">
        <v>621</v>
      </c>
      <c r="V4" s="1413" t="s">
        <v>7747</v>
      </c>
      <c r="W4" s="1414" t="s">
        <v>621</v>
      </c>
      <c r="X4" s="1415" t="s">
        <v>7781</v>
      </c>
      <c r="Y4" s="1416"/>
      <c r="Z4" s="1312"/>
      <c r="AA4" s="1299" t="s">
        <v>7782</v>
      </c>
    </row>
    <row r="5" spans="1:30" x14ac:dyDescent="0.6">
      <c r="A5" s="1417"/>
      <c r="B5" s="1417"/>
      <c r="C5" s="1850" t="s">
        <v>7783</v>
      </c>
      <c r="D5" s="1409" t="s">
        <v>7741</v>
      </c>
      <c r="E5" s="1409"/>
      <c r="F5" s="1409"/>
      <c r="G5" s="1409"/>
      <c r="H5" s="1409"/>
      <c r="I5" s="1409"/>
      <c r="J5" s="1418" t="s">
        <v>7784</v>
      </c>
      <c r="K5" s="1419" t="s">
        <v>7742</v>
      </c>
      <c r="L5" s="1420"/>
      <c r="M5" s="1421" t="s">
        <v>7631</v>
      </c>
      <c r="N5" s="1320" t="s">
        <v>7785</v>
      </c>
      <c r="O5" s="1321" t="s">
        <v>7743</v>
      </c>
      <c r="P5" s="1421" t="s">
        <v>7752</v>
      </c>
      <c r="Q5" s="1421" t="s">
        <v>7744</v>
      </c>
      <c r="R5" s="1421" t="s">
        <v>7753</v>
      </c>
      <c r="S5" s="1421" t="s">
        <v>7745</v>
      </c>
      <c r="T5" s="1421" t="s">
        <v>7754</v>
      </c>
      <c r="U5" s="1421" t="s">
        <v>7746</v>
      </c>
      <c r="V5" s="1421" t="s">
        <v>7755</v>
      </c>
      <c r="W5" s="1422" t="s">
        <v>7747</v>
      </c>
      <c r="X5" s="1415"/>
      <c r="Y5" s="1416"/>
      <c r="Z5" s="1322" t="s">
        <v>7623</v>
      </c>
      <c r="AA5" s="1313"/>
    </row>
    <row r="6" spans="1:30" x14ac:dyDescent="0.6">
      <c r="A6" s="1417"/>
      <c r="B6" s="1417"/>
      <c r="C6" s="1850" t="s">
        <v>7786</v>
      </c>
      <c r="D6" s="1423" t="s">
        <v>7787</v>
      </c>
      <c r="E6" s="1412" t="s">
        <v>7788</v>
      </c>
      <c r="F6" s="1423" t="s">
        <v>7789</v>
      </c>
      <c r="G6" s="1412" t="s">
        <v>7790</v>
      </c>
      <c r="H6" s="1423" t="s">
        <v>7791</v>
      </c>
      <c r="I6" s="1412" t="s">
        <v>7792</v>
      </c>
      <c r="J6" s="1418" t="s">
        <v>7793</v>
      </c>
      <c r="K6" s="1419" t="s">
        <v>7751</v>
      </c>
      <c r="L6" s="1420"/>
      <c r="M6" s="1421" t="s">
        <v>7794</v>
      </c>
      <c r="N6" s="1320" t="s">
        <v>7786</v>
      </c>
      <c r="O6" s="1321" t="s">
        <v>1150</v>
      </c>
      <c r="P6" s="1315" t="s">
        <v>7795</v>
      </c>
      <c r="Q6" s="1421" t="s">
        <v>7756</v>
      </c>
      <c r="R6" s="1315" t="s">
        <v>7795</v>
      </c>
      <c r="S6" s="1421" t="s">
        <v>7756</v>
      </c>
      <c r="T6" s="1315" t="s">
        <v>7795</v>
      </c>
      <c r="U6" s="1421" t="s">
        <v>7756</v>
      </c>
      <c r="V6" s="1315" t="s">
        <v>7795</v>
      </c>
      <c r="W6" s="1421" t="s">
        <v>7756</v>
      </c>
      <c r="X6" s="1415" t="s">
        <v>7627</v>
      </c>
      <c r="Y6" s="1424" t="s">
        <v>621</v>
      </c>
      <c r="Z6" s="1322" t="s">
        <v>7631</v>
      </c>
      <c r="AA6" s="1313"/>
    </row>
    <row r="7" spans="1:30" x14ac:dyDescent="0.6">
      <c r="A7" s="1425"/>
      <c r="B7" s="1425"/>
      <c r="C7" s="1851" t="s">
        <v>7796</v>
      </c>
      <c r="D7" s="1426"/>
      <c r="E7" s="1427"/>
      <c r="F7" s="1426"/>
      <c r="G7" s="1427"/>
      <c r="H7" s="1426"/>
      <c r="I7" s="1427"/>
      <c r="J7" s="1428" t="s">
        <v>7795</v>
      </c>
      <c r="K7" s="1429"/>
      <c r="L7" s="1427"/>
      <c r="M7" s="1430" t="s">
        <v>7795</v>
      </c>
      <c r="N7" s="1336" t="s">
        <v>7756</v>
      </c>
      <c r="O7" s="1337" t="s">
        <v>7756</v>
      </c>
      <c r="P7" s="1330"/>
      <c r="Q7" s="1330"/>
      <c r="R7" s="1330"/>
      <c r="S7" s="1330"/>
      <c r="T7" s="1330"/>
      <c r="U7" s="1330"/>
      <c r="V7" s="1330"/>
      <c r="W7" s="1431"/>
      <c r="X7" s="1415"/>
      <c r="Y7" s="1424" t="s">
        <v>7756</v>
      </c>
      <c r="Z7" s="1340"/>
      <c r="AA7" s="1328"/>
    </row>
    <row r="8" spans="1:30" s="1388" customFormat="1" ht="23.25" customHeight="1" x14ac:dyDescent="0.25">
      <c r="A8" s="1279">
        <v>1</v>
      </c>
      <c r="B8" s="1211" t="s">
        <v>374</v>
      </c>
      <c r="C8" s="1383" t="s">
        <v>9084</v>
      </c>
      <c r="D8" s="1343">
        <v>38490.44</v>
      </c>
      <c r="E8" s="1378">
        <v>38490.44</v>
      </c>
      <c r="F8" s="1343">
        <v>38400</v>
      </c>
      <c r="G8" s="1345">
        <v>38400</v>
      </c>
      <c r="H8" s="1386">
        <v>43334.54</v>
      </c>
      <c r="I8" s="1356">
        <v>43334.54</v>
      </c>
      <c r="J8" s="1348">
        <v>58800</v>
      </c>
      <c r="K8" s="1349">
        <v>0</v>
      </c>
      <c r="L8" s="1350">
        <v>0</v>
      </c>
      <c r="M8" s="1351">
        <v>12</v>
      </c>
      <c r="N8" s="1352">
        <v>4900</v>
      </c>
      <c r="O8" s="1353">
        <f>M8*N8</f>
        <v>58800</v>
      </c>
      <c r="P8" s="1354">
        <v>3</v>
      </c>
      <c r="Q8" s="1354">
        <f>P8*N8</f>
        <v>14700</v>
      </c>
      <c r="R8" s="1354">
        <v>3</v>
      </c>
      <c r="S8" s="1355">
        <f>R8*N8</f>
        <v>14700</v>
      </c>
      <c r="T8" s="1354">
        <v>3</v>
      </c>
      <c r="U8" s="1355">
        <f>T8*N8</f>
        <v>14700</v>
      </c>
      <c r="V8" s="1354">
        <v>3</v>
      </c>
      <c r="W8" s="1355">
        <f>V8*N8</f>
        <v>14700</v>
      </c>
      <c r="X8" s="1356">
        <f>P8+R8+T8+V8</f>
        <v>12</v>
      </c>
      <c r="Y8" s="1356">
        <f>X8*N8</f>
        <v>58800</v>
      </c>
      <c r="Z8" s="1357" t="s">
        <v>7799</v>
      </c>
      <c r="AA8" s="1358" t="s">
        <v>6531</v>
      </c>
      <c r="AB8" s="1359" t="str">
        <f t="shared" ref="AB8:AB12" si="0">IF(O8=Y8,"yes")</f>
        <v>yes</v>
      </c>
      <c r="AC8" s="1388" t="str">
        <f t="shared" ref="AC8:AC12" si="1">IF(O8=Y8,"ok")</f>
        <v>ok</v>
      </c>
    </row>
    <row r="9" spans="1:30" s="1359" customFormat="1" ht="20.25" customHeight="1" x14ac:dyDescent="0.25">
      <c r="A9" s="1279">
        <v>2</v>
      </c>
      <c r="B9" s="1211" t="s">
        <v>378</v>
      </c>
      <c r="C9" s="1383" t="s">
        <v>9084</v>
      </c>
      <c r="D9" s="1345">
        <v>18963</v>
      </c>
      <c r="E9" s="1378">
        <v>18963</v>
      </c>
      <c r="F9" s="1345">
        <v>26068</v>
      </c>
      <c r="G9" s="1345">
        <v>26068</v>
      </c>
      <c r="H9" s="1356">
        <v>21425</v>
      </c>
      <c r="I9" s="1356">
        <v>21425</v>
      </c>
      <c r="J9" s="1361">
        <v>24000</v>
      </c>
      <c r="K9" s="1362">
        <v>0</v>
      </c>
      <c r="L9" s="1350">
        <v>0</v>
      </c>
      <c r="M9" s="1351">
        <v>12</v>
      </c>
      <c r="N9" s="1363">
        <v>2000</v>
      </c>
      <c r="O9" s="1353">
        <f t="shared" ref="O9:O11" si="2">M9*N9</f>
        <v>24000</v>
      </c>
      <c r="P9" s="1350">
        <v>3</v>
      </c>
      <c r="Q9" s="1354">
        <f t="shared" ref="Q9:Q11" si="3">P9*N9</f>
        <v>6000</v>
      </c>
      <c r="R9" s="1350">
        <v>3</v>
      </c>
      <c r="S9" s="1355">
        <f t="shared" ref="S9:S11" si="4">R9*N9</f>
        <v>6000</v>
      </c>
      <c r="T9" s="1356">
        <v>3</v>
      </c>
      <c r="U9" s="1355">
        <f t="shared" ref="U9:U11" si="5">T9*N9</f>
        <v>6000</v>
      </c>
      <c r="V9" s="1356">
        <v>3</v>
      </c>
      <c r="W9" s="1355">
        <f t="shared" ref="W9:W11" si="6">V9*N9</f>
        <v>6000</v>
      </c>
      <c r="X9" s="1356">
        <f t="shared" ref="X9:X11" si="7">P9+R9+T9+V9</f>
        <v>12</v>
      </c>
      <c r="Y9" s="1356">
        <f t="shared" ref="Y9:Y11" si="8">X9*N9</f>
        <v>24000</v>
      </c>
      <c r="Z9" s="1357" t="s">
        <v>7799</v>
      </c>
      <c r="AA9" s="1358" t="s">
        <v>6531</v>
      </c>
      <c r="AB9" s="1359" t="str">
        <f t="shared" si="0"/>
        <v>yes</v>
      </c>
      <c r="AC9" s="1388" t="str">
        <f t="shared" si="1"/>
        <v>ok</v>
      </c>
      <c r="AD9" s="1927">
        <f>SUM(Y8:Y10)</f>
        <v>114000</v>
      </c>
    </row>
    <row r="10" spans="1:30" s="1359" customFormat="1" ht="20.25" customHeight="1" x14ac:dyDescent="0.25">
      <c r="A10" s="1279">
        <v>3</v>
      </c>
      <c r="B10" s="1211" t="s">
        <v>376</v>
      </c>
      <c r="C10" s="1383" t="s">
        <v>9084</v>
      </c>
      <c r="D10" s="1345">
        <v>21377.7</v>
      </c>
      <c r="E10" s="1378">
        <v>21377.7</v>
      </c>
      <c r="F10" s="1345">
        <v>31998.69</v>
      </c>
      <c r="G10" s="1345">
        <v>31998.69</v>
      </c>
      <c r="H10" s="1356">
        <v>29737.439999999999</v>
      </c>
      <c r="I10" s="1356">
        <v>29737.439999999999</v>
      </c>
      <c r="J10" s="1361">
        <v>31200</v>
      </c>
      <c r="K10" s="1362">
        <v>0</v>
      </c>
      <c r="L10" s="1350">
        <v>0</v>
      </c>
      <c r="M10" s="1351">
        <v>12</v>
      </c>
      <c r="N10" s="1363">
        <v>2600</v>
      </c>
      <c r="O10" s="1353">
        <f t="shared" si="2"/>
        <v>31200</v>
      </c>
      <c r="P10" s="1350">
        <v>3</v>
      </c>
      <c r="Q10" s="1354">
        <f t="shared" si="3"/>
        <v>7800</v>
      </c>
      <c r="R10" s="1356">
        <v>3</v>
      </c>
      <c r="S10" s="1355">
        <f t="shared" si="4"/>
        <v>7800</v>
      </c>
      <c r="T10" s="1350">
        <v>3</v>
      </c>
      <c r="U10" s="1355">
        <f t="shared" si="5"/>
        <v>7800</v>
      </c>
      <c r="V10" s="1356">
        <v>3</v>
      </c>
      <c r="W10" s="1355">
        <f t="shared" si="6"/>
        <v>7800</v>
      </c>
      <c r="X10" s="1356">
        <f t="shared" si="7"/>
        <v>12</v>
      </c>
      <c r="Y10" s="1356">
        <f t="shared" si="8"/>
        <v>31200</v>
      </c>
      <c r="Z10" s="1357" t="s">
        <v>7799</v>
      </c>
      <c r="AA10" s="1358" t="s">
        <v>6531</v>
      </c>
      <c r="AB10" s="1359" t="str">
        <f t="shared" si="0"/>
        <v>yes</v>
      </c>
      <c r="AC10" s="1388" t="str">
        <f t="shared" si="1"/>
        <v>ok</v>
      </c>
    </row>
    <row r="11" spans="1:30" s="1359" customFormat="1" ht="20.25" customHeight="1" x14ac:dyDescent="0.25">
      <c r="A11" s="1279">
        <v>4</v>
      </c>
      <c r="B11" s="1211" t="s">
        <v>371</v>
      </c>
      <c r="C11" s="1383" t="s">
        <v>9084</v>
      </c>
      <c r="D11" s="1345">
        <v>1218625.06</v>
      </c>
      <c r="E11" s="1378">
        <v>1218625.06</v>
      </c>
      <c r="F11" s="1345">
        <v>1284000</v>
      </c>
      <c r="G11" s="1345">
        <v>1284000</v>
      </c>
      <c r="H11" s="1356">
        <v>1269497</v>
      </c>
      <c r="I11" s="1356">
        <v>1269497</v>
      </c>
      <c r="J11" s="1361">
        <v>1320000</v>
      </c>
      <c r="K11" s="1362">
        <v>0</v>
      </c>
      <c r="L11" s="1350">
        <v>0</v>
      </c>
      <c r="M11" s="1351">
        <v>12</v>
      </c>
      <c r="N11" s="1363">
        <v>110000</v>
      </c>
      <c r="O11" s="1353">
        <f t="shared" si="2"/>
        <v>1320000</v>
      </c>
      <c r="P11" s="1356">
        <v>3</v>
      </c>
      <c r="Q11" s="1354">
        <f t="shared" si="3"/>
        <v>330000</v>
      </c>
      <c r="R11" s="1350">
        <v>3</v>
      </c>
      <c r="S11" s="1355">
        <f t="shared" si="4"/>
        <v>330000</v>
      </c>
      <c r="T11" s="1356">
        <v>3</v>
      </c>
      <c r="U11" s="1355">
        <f t="shared" si="5"/>
        <v>330000</v>
      </c>
      <c r="V11" s="1350">
        <v>3</v>
      </c>
      <c r="W11" s="1355">
        <f t="shared" si="6"/>
        <v>330000</v>
      </c>
      <c r="X11" s="1356">
        <f t="shared" si="7"/>
        <v>12</v>
      </c>
      <c r="Y11" s="1356">
        <f t="shared" si="8"/>
        <v>1320000</v>
      </c>
      <c r="Z11" s="1357" t="s">
        <v>7799</v>
      </c>
      <c r="AA11" s="1358" t="s">
        <v>6531</v>
      </c>
      <c r="AB11" s="1359" t="str">
        <f t="shared" si="0"/>
        <v>yes</v>
      </c>
      <c r="AC11" s="1359" t="str">
        <f t="shared" si="1"/>
        <v>ok</v>
      </c>
    </row>
    <row r="12" spans="1:30" s="1393" customFormat="1" ht="20.25" customHeight="1" x14ac:dyDescent="0.6">
      <c r="A12" s="1389" t="s">
        <v>7433</v>
      </c>
      <c r="B12" s="1389"/>
      <c r="C12" s="1389"/>
      <c r="D12" s="1392">
        <f>SUM(D8:D11)</f>
        <v>1297456.2</v>
      </c>
      <c r="E12" s="1392">
        <f t="shared" ref="E12:Y12" si="9">SUM(E8:E11)</f>
        <v>1297456.2</v>
      </c>
      <c r="F12" s="1392">
        <f t="shared" si="9"/>
        <v>1380466.69</v>
      </c>
      <c r="G12" s="1392">
        <f t="shared" si="9"/>
        <v>1380466.69</v>
      </c>
      <c r="H12" s="1392">
        <f t="shared" si="9"/>
        <v>1363993.98</v>
      </c>
      <c r="I12" s="1392">
        <f t="shared" si="9"/>
        <v>1363993.98</v>
      </c>
      <c r="J12" s="1392">
        <f t="shared" si="9"/>
        <v>1434000</v>
      </c>
      <c r="K12" s="1392">
        <f t="shared" si="9"/>
        <v>0</v>
      </c>
      <c r="L12" s="1392">
        <f t="shared" si="9"/>
        <v>0</v>
      </c>
      <c r="M12" s="1392">
        <f t="shared" si="9"/>
        <v>48</v>
      </c>
      <c r="N12" s="1392">
        <f t="shared" si="9"/>
        <v>119500</v>
      </c>
      <c r="O12" s="1392">
        <f t="shared" si="9"/>
        <v>1434000</v>
      </c>
      <c r="P12" s="1392">
        <f t="shared" si="9"/>
        <v>12</v>
      </c>
      <c r="Q12" s="1392">
        <f t="shared" si="9"/>
        <v>358500</v>
      </c>
      <c r="R12" s="1392">
        <f t="shared" si="9"/>
        <v>12</v>
      </c>
      <c r="S12" s="1392">
        <f t="shared" si="9"/>
        <v>358500</v>
      </c>
      <c r="T12" s="1392">
        <f t="shared" si="9"/>
        <v>12</v>
      </c>
      <c r="U12" s="1392">
        <f t="shared" si="9"/>
        <v>358500</v>
      </c>
      <c r="V12" s="1392">
        <f t="shared" si="9"/>
        <v>12</v>
      </c>
      <c r="W12" s="1392">
        <f t="shared" si="9"/>
        <v>358500</v>
      </c>
      <c r="X12" s="1392">
        <f t="shared" si="9"/>
        <v>48</v>
      </c>
      <c r="Y12" s="1392">
        <f t="shared" si="9"/>
        <v>1434000</v>
      </c>
      <c r="Z12" s="1391"/>
      <c r="AA12" s="1392"/>
      <c r="AB12" s="1393" t="str">
        <f t="shared" si="0"/>
        <v>yes</v>
      </c>
      <c r="AC12" s="1388" t="str">
        <f t="shared" si="1"/>
        <v>ok</v>
      </c>
    </row>
    <row r="13" spans="1:30" ht="20.25" customHeight="1" x14ac:dyDescent="0.6">
      <c r="A13" s="1928"/>
      <c r="C13" s="1399"/>
      <c r="D13" s="1397"/>
      <c r="E13" s="1397"/>
      <c r="F13" s="1397"/>
      <c r="G13" s="1397"/>
      <c r="H13" s="1397"/>
      <c r="I13" s="1397"/>
      <c r="J13" s="1397"/>
      <c r="K13" s="1397"/>
      <c r="L13" s="1397"/>
      <c r="M13" s="1457"/>
      <c r="O13" s="1400"/>
      <c r="P13" s="1458"/>
      <c r="Q13" s="1458"/>
      <c r="R13" s="1458"/>
      <c r="S13" s="1458"/>
      <c r="T13" s="1458"/>
      <c r="U13" s="1458"/>
      <c r="V13" s="1458"/>
      <c r="W13" s="1458"/>
      <c r="X13" s="1457"/>
      <c r="Y13" s="1457"/>
      <c r="AA13" s="1402"/>
    </row>
    <row r="14" spans="1:30" ht="20.25" customHeight="1" x14ac:dyDescent="0.6">
      <c r="A14" s="1928"/>
      <c r="C14" s="1399"/>
    </row>
    <row r="15" spans="1:30" ht="20.25" customHeight="1" x14ac:dyDescent="0.6">
      <c r="B15" s="1280"/>
      <c r="D15" s="1280"/>
      <c r="E15" s="1280"/>
      <c r="F15" s="1280"/>
      <c r="G15" s="1399"/>
      <c r="M15" s="1459"/>
      <c r="N15" s="1459"/>
      <c r="O15" s="1459"/>
      <c r="P15" s="1459"/>
      <c r="Q15" s="1459"/>
      <c r="R15" s="1280"/>
      <c r="S15" s="1280"/>
      <c r="T15" s="1280"/>
      <c r="U15" s="1280"/>
      <c r="V15" s="1280"/>
      <c r="W15" s="1280"/>
      <c r="Z15" s="1280"/>
    </row>
    <row r="16" spans="1:30" ht="20.25" customHeight="1" x14ac:dyDescent="0.6">
      <c r="B16" s="1280"/>
      <c r="D16" s="1280"/>
      <c r="E16" s="1280"/>
      <c r="F16" s="1280"/>
      <c r="G16" s="1399"/>
      <c r="M16" s="1459"/>
      <c r="N16" s="1459"/>
      <c r="O16" s="1459"/>
      <c r="P16" s="1459"/>
      <c r="Q16" s="1459"/>
      <c r="R16" s="1280"/>
      <c r="S16" s="1280"/>
      <c r="T16" s="1280"/>
      <c r="U16" s="1280"/>
      <c r="V16" s="1280"/>
      <c r="W16" s="1280"/>
      <c r="Z16" s="1280"/>
    </row>
    <row r="17" spans="1:27" ht="20.25" customHeight="1" x14ac:dyDescent="0.6">
      <c r="B17" s="1280"/>
      <c r="D17" s="1280"/>
      <c r="E17" s="1280"/>
      <c r="F17" s="1280"/>
      <c r="G17" s="1399"/>
      <c r="M17" s="1459"/>
      <c r="N17" s="1459"/>
      <c r="O17" s="1459"/>
      <c r="P17" s="1459"/>
      <c r="Q17" s="1459"/>
      <c r="R17" s="1280"/>
      <c r="S17" s="1280"/>
      <c r="T17" s="1280"/>
      <c r="U17" s="1280"/>
      <c r="V17" s="1280"/>
      <c r="W17" s="1280"/>
      <c r="Z17" s="1280"/>
    </row>
    <row r="18" spans="1:27" ht="20.25" customHeight="1" x14ac:dyDescent="0.6">
      <c r="B18" s="1280"/>
      <c r="D18" s="1280"/>
      <c r="E18" s="1280"/>
      <c r="F18" s="1280"/>
      <c r="G18" s="1399"/>
      <c r="M18" s="1459"/>
      <c r="N18" s="1459"/>
      <c r="O18" s="1459"/>
      <c r="P18" s="1459"/>
      <c r="Q18" s="1459"/>
      <c r="R18" s="1459"/>
      <c r="S18" s="1459"/>
      <c r="Y18" s="1402"/>
      <c r="Z18" s="1405"/>
    </row>
    <row r="19" spans="1:27" ht="20.25" customHeight="1" x14ac:dyDescent="0.6"/>
    <row r="20" spans="1:27" ht="20.25" customHeight="1" x14ac:dyDescent="0.6">
      <c r="P20" s="1457"/>
      <c r="Q20" s="1457"/>
    </row>
    <row r="21" spans="1:27" ht="20.25" customHeight="1" x14ac:dyDescent="0.6">
      <c r="AA21" s="1401"/>
    </row>
    <row r="27" spans="1:27" x14ac:dyDescent="0.6">
      <c r="A27" s="1930"/>
      <c r="N27" s="1399"/>
      <c r="O27" s="1280"/>
      <c r="Z27" s="1280"/>
    </row>
    <row r="28" spans="1:27" x14ac:dyDescent="0.6">
      <c r="A28" s="1930"/>
      <c r="N28" s="1399"/>
      <c r="O28" s="1280"/>
      <c r="Z28" s="1280"/>
    </row>
    <row r="29" spans="1:27" x14ac:dyDescent="0.6">
      <c r="A29" s="1930"/>
      <c r="N29" s="1399"/>
      <c r="O29" s="1280"/>
      <c r="Z29" s="1280"/>
    </row>
    <row r="30" spans="1:27" x14ac:dyDescent="0.6">
      <c r="A30" s="1930"/>
      <c r="N30" s="1399"/>
      <c r="O30" s="1280"/>
      <c r="Z30" s="1280"/>
    </row>
    <row r="31" spans="1:27" x14ac:dyDescent="0.6">
      <c r="A31" s="1930"/>
      <c r="N31" s="1399"/>
      <c r="O31" s="1280"/>
      <c r="Z31" s="1280"/>
    </row>
    <row r="32" spans="1:27" x14ac:dyDescent="0.6">
      <c r="A32" s="1930"/>
      <c r="N32" s="1399"/>
      <c r="O32" s="1280"/>
      <c r="Z32" s="1280"/>
    </row>
    <row r="33" spans="1:26" x14ac:dyDescent="0.6">
      <c r="A33" s="1930"/>
      <c r="N33" s="1399"/>
      <c r="O33" s="1280"/>
      <c r="Z33" s="1280"/>
    </row>
    <row r="34" spans="1:26" x14ac:dyDescent="0.6">
      <c r="A34" s="1930"/>
      <c r="N34" s="1399"/>
      <c r="O34" s="1280"/>
      <c r="Z34" s="1280"/>
    </row>
    <row r="35" spans="1:26" x14ac:dyDescent="0.6">
      <c r="A35" s="1930"/>
      <c r="N35" s="1399"/>
      <c r="O35" s="1280"/>
      <c r="Z35" s="1280"/>
    </row>
    <row r="36" spans="1:26" x14ac:dyDescent="0.6">
      <c r="A36" s="1930"/>
      <c r="N36" s="1399"/>
      <c r="O36" s="1280"/>
      <c r="Z36" s="1280"/>
    </row>
    <row r="37" spans="1:26" x14ac:dyDescent="0.6">
      <c r="A37" s="1930"/>
      <c r="N37" s="1399"/>
      <c r="O37" s="1280"/>
      <c r="Z37" s="1280"/>
    </row>
    <row r="38" spans="1:26" x14ac:dyDescent="0.6">
      <c r="A38" s="1930"/>
      <c r="N38" s="1399"/>
      <c r="O38" s="1280"/>
      <c r="Z38" s="1280"/>
    </row>
    <row r="39" spans="1:26" x14ac:dyDescent="0.6">
      <c r="A39" s="1930"/>
      <c r="N39" s="1399"/>
      <c r="O39" s="1280"/>
      <c r="Z39" s="1280"/>
    </row>
    <row r="40" spans="1:26" x14ac:dyDescent="0.6">
      <c r="A40" s="1930"/>
      <c r="N40" s="1399"/>
      <c r="O40" s="1280"/>
      <c r="Z40" s="1280"/>
    </row>
    <row r="41" spans="1:26" x14ac:dyDescent="0.6">
      <c r="A41" s="1930"/>
      <c r="N41" s="1399"/>
      <c r="O41" s="1280"/>
      <c r="Z41" s="1280"/>
    </row>
    <row r="42" spans="1:26" x14ac:dyDescent="0.6">
      <c r="A42" s="1930"/>
      <c r="N42" s="1399"/>
      <c r="O42" s="1280"/>
      <c r="Z42" s="1280"/>
    </row>
    <row r="43" spans="1:26" x14ac:dyDescent="0.6">
      <c r="A43" s="1930"/>
      <c r="N43" s="1399"/>
      <c r="O43" s="1280"/>
      <c r="Z43" s="1280"/>
    </row>
    <row r="44" spans="1:26" x14ac:dyDescent="0.6">
      <c r="A44" s="1930"/>
      <c r="N44" s="1399"/>
      <c r="O44" s="1280"/>
      <c r="Z44" s="1280"/>
    </row>
    <row r="45" spans="1:26" x14ac:dyDescent="0.6">
      <c r="A45" s="1930"/>
      <c r="N45" s="1399"/>
      <c r="O45" s="1280"/>
      <c r="Z45" s="1280"/>
    </row>
    <row r="46" spans="1:26" x14ac:dyDescent="0.6">
      <c r="A46" s="1930"/>
      <c r="N46" s="1399"/>
      <c r="O46" s="1280"/>
      <c r="Z46" s="1280"/>
    </row>
    <row r="47" spans="1:26" x14ac:dyDescent="0.6">
      <c r="A47" s="1930"/>
      <c r="N47" s="1399"/>
      <c r="O47" s="1280"/>
      <c r="Z47" s="1280"/>
    </row>
    <row r="48" spans="1:26" x14ac:dyDescent="0.6">
      <c r="A48" s="1930"/>
      <c r="N48" s="1399"/>
      <c r="O48" s="1280"/>
      <c r="Z48" s="1280"/>
    </row>
    <row r="49" spans="1:26" x14ac:dyDescent="0.6">
      <c r="A49" s="1930"/>
      <c r="N49" s="1399"/>
      <c r="O49" s="1280"/>
      <c r="Z49" s="1280"/>
    </row>
    <row r="50" spans="1:26" x14ac:dyDescent="0.6">
      <c r="A50" s="1930"/>
      <c r="N50" s="1399"/>
      <c r="O50" s="1280"/>
      <c r="Z50" s="1280"/>
    </row>
    <row r="51" spans="1:26" x14ac:dyDescent="0.6">
      <c r="A51" s="1930"/>
      <c r="N51" s="1399"/>
      <c r="O51" s="1280"/>
      <c r="Z51" s="1280"/>
    </row>
    <row r="52" spans="1:26" x14ac:dyDescent="0.6">
      <c r="A52" s="1930"/>
      <c r="N52" s="1399"/>
      <c r="O52" s="1280"/>
      <c r="Z52" s="1280"/>
    </row>
    <row r="53" spans="1:26" x14ac:dyDescent="0.6">
      <c r="A53" s="1930"/>
      <c r="N53" s="1399"/>
      <c r="O53" s="1280"/>
      <c r="Z53" s="1280"/>
    </row>
    <row r="54" spans="1:26" x14ac:dyDescent="0.6">
      <c r="A54" s="1930"/>
      <c r="N54" s="1399"/>
      <c r="O54" s="1280"/>
      <c r="Z54" s="1280"/>
    </row>
    <row r="55" spans="1:26" x14ac:dyDescent="0.6">
      <c r="A55" s="1930"/>
      <c r="N55" s="1399"/>
      <c r="O55" s="1280"/>
      <c r="Z55" s="1280"/>
    </row>
    <row r="56" spans="1:26" x14ac:dyDescent="0.6">
      <c r="A56" s="1930"/>
      <c r="N56" s="1399"/>
      <c r="O56" s="1280"/>
      <c r="Z56" s="1280"/>
    </row>
    <row r="57" spans="1:26" x14ac:dyDescent="0.6">
      <c r="A57" s="1930"/>
      <c r="N57" s="1399"/>
      <c r="O57" s="1280"/>
      <c r="Z57" s="1280"/>
    </row>
    <row r="58" spans="1:26" x14ac:dyDescent="0.6">
      <c r="A58" s="1930"/>
      <c r="N58" s="1399"/>
      <c r="O58" s="1280"/>
      <c r="Z58" s="1280"/>
    </row>
    <row r="59" spans="1:26" x14ac:dyDescent="0.6">
      <c r="A59" s="1930"/>
      <c r="N59" s="1399"/>
      <c r="O59" s="1280"/>
      <c r="Z59" s="1280"/>
    </row>
    <row r="60" spans="1:26" x14ac:dyDescent="0.6">
      <c r="A60" s="1930"/>
      <c r="N60" s="1399"/>
      <c r="O60" s="1280"/>
      <c r="Z60" s="1280"/>
    </row>
    <row r="61" spans="1:26" x14ac:dyDescent="0.6">
      <c r="A61" s="1930"/>
      <c r="N61" s="1399"/>
      <c r="O61" s="1280"/>
      <c r="Z61" s="1280"/>
    </row>
    <row r="62" spans="1:26" x14ac:dyDescent="0.6">
      <c r="A62" s="1930"/>
      <c r="N62" s="1399"/>
      <c r="O62" s="1280"/>
      <c r="Z62" s="1280"/>
    </row>
    <row r="63" spans="1:26" x14ac:dyDescent="0.6">
      <c r="A63" s="1930"/>
      <c r="N63" s="1399"/>
      <c r="O63" s="1280"/>
      <c r="Z63" s="1280"/>
    </row>
    <row r="64" spans="1:26" x14ac:dyDescent="0.6">
      <c r="A64" s="1930"/>
      <c r="N64" s="1399"/>
      <c r="O64" s="1280"/>
      <c r="Z64" s="1280"/>
    </row>
    <row r="65" spans="1:26" x14ac:dyDescent="0.6">
      <c r="A65" s="1930"/>
      <c r="N65" s="1399"/>
      <c r="O65" s="1280"/>
      <c r="Z65" s="1280"/>
    </row>
    <row r="66" spans="1:26" x14ac:dyDescent="0.6">
      <c r="A66" s="1930"/>
      <c r="N66" s="1399"/>
      <c r="O66" s="1280"/>
      <c r="Z66" s="1280"/>
    </row>
    <row r="67" spans="1:26" x14ac:dyDescent="0.6">
      <c r="A67" s="1930"/>
      <c r="N67" s="1399"/>
      <c r="O67" s="1280"/>
      <c r="Z67" s="1280"/>
    </row>
    <row r="68" spans="1:26" x14ac:dyDescent="0.6">
      <c r="A68" s="1930"/>
      <c r="N68" s="1399"/>
      <c r="O68" s="1280"/>
      <c r="Z68" s="1280"/>
    </row>
    <row r="69" spans="1:26" x14ac:dyDescent="0.6">
      <c r="A69" s="1930"/>
      <c r="N69" s="1399"/>
      <c r="O69" s="1280"/>
      <c r="Z69" s="1280"/>
    </row>
    <row r="70" spans="1:26" x14ac:dyDescent="0.6">
      <c r="A70" s="1930"/>
      <c r="N70" s="1399"/>
      <c r="O70" s="1280"/>
      <c r="Z70" s="1280"/>
    </row>
    <row r="71" spans="1:26" x14ac:dyDescent="0.6">
      <c r="A71" s="1930"/>
      <c r="N71" s="1399"/>
      <c r="O71" s="1280"/>
      <c r="Z71" s="1280"/>
    </row>
    <row r="72" spans="1:26" x14ac:dyDescent="0.6">
      <c r="A72" s="1930"/>
      <c r="N72" s="1399"/>
      <c r="O72" s="1280"/>
      <c r="Z72" s="1280"/>
    </row>
    <row r="73" spans="1:26" x14ac:dyDescent="0.6">
      <c r="A73" s="1930"/>
      <c r="N73" s="1399"/>
      <c r="O73" s="1280"/>
      <c r="Z73" s="1280"/>
    </row>
    <row r="74" spans="1:26" x14ac:dyDescent="0.6">
      <c r="A74" s="1930"/>
      <c r="N74" s="1399"/>
      <c r="O74" s="1280"/>
      <c r="Z74" s="1280"/>
    </row>
    <row r="75" spans="1:26" x14ac:dyDescent="0.6">
      <c r="A75" s="1930"/>
      <c r="N75" s="1399"/>
      <c r="O75" s="1280"/>
      <c r="Z75" s="1280"/>
    </row>
    <row r="76" spans="1:26" x14ac:dyDescent="0.6">
      <c r="A76" s="1930"/>
      <c r="N76" s="1399"/>
      <c r="O76" s="1280"/>
      <c r="Z76" s="1280"/>
    </row>
    <row r="77" spans="1:26" x14ac:dyDescent="0.6">
      <c r="A77" s="1930"/>
      <c r="N77" s="1399"/>
      <c r="O77" s="1280"/>
      <c r="Z77" s="1280"/>
    </row>
    <row r="78" spans="1:26" x14ac:dyDescent="0.6">
      <c r="A78" s="1930"/>
      <c r="N78" s="1399"/>
      <c r="O78" s="1280"/>
      <c r="Z78" s="1280"/>
    </row>
    <row r="79" spans="1:26" x14ac:dyDescent="0.6">
      <c r="A79" s="1930"/>
      <c r="N79" s="1399"/>
      <c r="O79" s="1280"/>
      <c r="Z79" s="1280"/>
    </row>
    <row r="80" spans="1:26" x14ac:dyDescent="0.6">
      <c r="A80" s="1930"/>
      <c r="N80" s="1399"/>
      <c r="O80" s="1280"/>
      <c r="Z80" s="1280"/>
    </row>
    <row r="81" spans="1:26" x14ac:dyDescent="0.6">
      <c r="A81" s="1930"/>
      <c r="N81" s="1399"/>
      <c r="O81" s="1280"/>
      <c r="Z81" s="1280"/>
    </row>
    <row r="82" spans="1:26" x14ac:dyDescent="0.6">
      <c r="A82" s="1930"/>
      <c r="N82" s="1399"/>
      <c r="O82" s="1280"/>
      <c r="Z82" s="1280"/>
    </row>
    <row r="83" spans="1:26" x14ac:dyDescent="0.6">
      <c r="A83" s="1930"/>
      <c r="N83" s="1399"/>
      <c r="O83" s="1280"/>
      <c r="Z83" s="1280"/>
    </row>
    <row r="84" spans="1:26" x14ac:dyDescent="0.6">
      <c r="A84" s="1930"/>
      <c r="N84" s="1399"/>
      <c r="O84" s="1280"/>
      <c r="Z84" s="1280"/>
    </row>
    <row r="85" spans="1:26" x14ac:dyDescent="0.6">
      <c r="A85" s="1930"/>
      <c r="N85" s="1399"/>
      <c r="O85" s="1280"/>
      <c r="Z85" s="1280"/>
    </row>
    <row r="86" spans="1:26" x14ac:dyDescent="0.6">
      <c r="A86" s="1930"/>
      <c r="N86" s="1399"/>
      <c r="O86" s="1280"/>
      <c r="Z86" s="1280"/>
    </row>
    <row r="87" spans="1:26" x14ac:dyDescent="0.6">
      <c r="A87" s="1930"/>
      <c r="N87" s="1399"/>
      <c r="O87" s="1280"/>
      <c r="Z87" s="1280"/>
    </row>
    <row r="88" spans="1:26" x14ac:dyDescent="0.6">
      <c r="A88" s="1930"/>
      <c r="N88" s="1399"/>
      <c r="O88" s="1280"/>
      <c r="Z88" s="1280"/>
    </row>
    <row r="89" spans="1:26" x14ac:dyDescent="0.6">
      <c r="A89" s="1930"/>
      <c r="N89" s="1399"/>
      <c r="O89" s="1280"/>
      <c r="Z89" s="1280"/>
    </row>
    <row r="90" spans="1:26" x14ac:dyDescent="0.6">
      <c r="A90" s="1930"/>
      <c r="N90" s="1399"/>
      <c r="O90" s="1280"/>
      <c r="Z90" s="1280"/>
    </row>
    <row r="91" spans="1:26" x14ac:dyDescent="0.6">
      <c r="A91" s="1930"/>
      <c r="N91" s="1399"/>
      <c r="O91" s="1280"/>
      <c r="Z91" s="1280"/>
    </row>
    <row r="92" spans="1:26" x14ac:dyDescent="0.6">
      <c r="A92" s="1930"/>
      <c r="N92" s="1399"/>
      <c r="O92" s="1280"/>
      <c r="Z92" s="1280"/>
    </row>
    <row r="93" spans="1:26" x14ac:dyDescent="0.6">
      <c r="A93" s="1930"/>
      <c r="N93" s="1399"/>
      <c r="O93" s="1280"/>
      <c r="Z93" s="1280"/>
    </row>
    <row r="94" spans="1:26" x14ac:dyDescent="0.6">
      <c r="A94" s="1930"/>
      <c r="N94" s="1399"/>
      <c r="O94" s="1280"/>
      <c r="Z94" s="1280"/>
    </row>
    <row r="95" spans="1:26" x14ac:dyDescent="0.6">
      <c r="A95" s="1930"/>
      <c r="N95" s="1399"/>
      <c r="O95" s="1280"/>
      <c r="Z95" s="1280"/>
    </row>
    <row r="96" spans="1:26" x14ac:dyDescent="0.6">
      <c r="A96" s="1930"/>
      <c r="N96" s="1399"/>
      <c r="O96" s="1280"/>
      <c r="Z96" s="1280"/>
    </row>
    <row r="97" spans="1:26" x14ac:dyDescent="0.6">
      <c r="A97" s="1930"/>
      <c r="N97" s="1399"/>
      <c r="O97" s="1280"/>
      <c r="Z97" s="1280"/>
    </row>
    <row r="98" spans="1:26" x14ac:dyDescent="0.6">
      <c r="A98" s="1930"/>
      <c r="N98" s="1399"/>
      <c r="O98" s="1280"/>
      <c r="Z98" s="1280"/>
    </row>
    <row r="99" spans="1:26" x14ac:dyDescent="0.6">
      <c r="A99" s="1930"/>
      <c r="N99" s="1399"/>
      <c r="O99" s="1280"/>
      <c r="Z99" s="1280"/>
    </row>
    <row r="100" spans="1:26" x14ac:dyDescent="0.6">
      <c r="A100" s="1930"/>
      <c r="N100" s="1399"/>
      <c r="O100" s="1280"/>
      <c r="Z100" s="1280"/>
    </row>
    <row r="101" spans="1:26" x14ac:dyDescent="0.6">
      <c r="A101" s="1930"/>
      <c r="N101" s="1399"/>
      <c r="O101" s="1280"/>
      <c r="Z101" s="1280"/>
    </row>
    <row r="102" spans="1:26" x14ac:dyDescent="0.6">
      <c r="A102" s="1930"/>
      <c r="N102" s="1399"/>
      <c r="O102" s="1280"/>
      <c r="Z102" s="1280"/>
    </row>
    <row r="103" spans="1:26" x14ac:dyDescent="0.6">
      <c r="A103" s="1930"/>
      <c r="N103" s="1399"/>
      <c r="O103" s="1280"/>
      <c r="Z103" s="1280"/>
    </row>
    <row r="104" spans="1:26" x14ac:dyDescent="0.6">
      <c r="A104" s="1930"/>
      <c r="N104" s="1399"/>
      <c r="O104" s="1280"/>
      <c r="Z104" s="1280"/>
    </row>
    <row r="105" spans="1:26" x14ac:dyDescent="0.6">
      <c r="A105" s="1930"/>
      <c r="N105" s="1399"/>
      <c r="O105" s="1280"/>
      <c r="Z105" s="1280"/>
    </row>
    <row r="106" spans="1:26" x14ac:dyDescent="0.6">
      <c r="A106" s="1930"/>
      <c r="N106" s="1399"/>
      <c r="O106" s="1280"/>
      <c r="Z106" s="1280"/>
    </row>
    <row r="107" spans="1:26" x14ac:dyDescent="0.6">
      <c r="A107" s="1930"/>
      <c r="N107" s="1399"/>
      <c r="O107" s="1280"/>
      <c r="Z107" s="1280"/>
    </row>
    <row r="108" spans="1:26" x14ac:dyDescent="0.6">
      <c r="A108" s="1930"/>
      <c r="N108" s="1399"/>
      <c r="O108" s="1280"/>
      <c r="Z108" s="1280"/>
    </row>
    <row r="109" spans="1:26" x14ac:dyDescent="0.6">
      <c r="A109" s="1930"/>
      <c r="N109" s="1399"/>
      <c r="O109" s="1280"/>
      <c r="Z109" s="1280"/>
    </row>
    <row r="110" spans="1:26" x14ac:dyDescent="0.6">
      <c r="A110" s="1930"/>
      <c r="N110" s="1399"/>
      <c r="O110" s="1280"/>
      <c r="Z110" s="1280"/>
    </row>
    <row r="111" spans="1:26" x14ac:dyDescent="0.6">
      <c r="A111" s="1930"/>
      <c r="N111" s="1399"/>
      <c r="O111" s="1280"/>
      <c r="Z111" s="1280"/>
    </row>
    <row r="112" spans="1:26" x14ac:dyDescent="0.6">
      <c r="A112" s="1930"/>
      <c r="N112" s="1399"/>
      <c r="O112" s="1280"/>
      <c r="Z112" s="1280"/>
    </row>
    <row r="113" spans="1:26" x14ac:dyDescent="0.6">
      <c r="A113" s="1930"/>
      <c r="N113" s="1399"/>
      <c r="O113" s="1280"/>
      <c r="Z113" s="1280"/>
    </row>
    <row r="114" spans="1:26" x14ac:dyDescent="0.6">
      <c r="A114" s="1930"/>
      <c r="N114" s="1399"/>
      <c r="O114" s="1280"/>
      <c r="Z114" s="1280"/>
    </row>
    <row r="115" spans="1:26" x14ac:dyDescent="0.6">
      <c r="A115" s="1930"/>
      <c r="N115" s="1399"/>
      <c r="O115" s="1280"/>
      <c r="Z115" s="1280"/>
    </row>
    <row r="116" spans="1:26" x14ac:dyDescent="0.6">
      <c r="A116" s="1930"/>
      <c r="N116" s="1399"/>
      <c r="O116" s="1280"/>
      <c r="Z116" s="1280"/>
    </row>
    <row r="117" spans="1:26" x14ac:dyDescent="0.6">
      <c r="A117" s="1930"/>
      <c r="N117" s="1399"/>
      <c r="O117" s="1280"/>
      <c r="Z117" s="1280"/>
    </row>
    <row r="118" spans="1:26" x14ac:dyDescent="0.6">
      <c r="A118" s="1930"/>
      <c r="N118" s="1399"/>
      <c r="O118" s="1280"/>
      <c r="Z118" s="1280"/>
    </row>
    <row r="119" spans="1:26" x14ac:dyDescent="0.6">
      <c r="A119" s="1930"/>
      <c r="N119" s="1399"/>
      <c r="O119" s="1280"/>
      <c r="Z119" s="1280"/>
    </row>
    <row r="120" spans="1:26" x14ac:dyDescent="0.6">
      <c r="A120" s="1930"/>
      <c r="N120" s="1399"/>
      <c r="O120" s="1280"/>
      <c r="Z120" s="1280"/>
    </row>
    <row r="121" spans="1:26" x14ac:dyDescent="0.6">
      <c r="A121" s="1930"/>
      <c r="N121" s="1399"/>
      <c r="O121" s="1280"/>
      <c r="Z121" s="1280"/>
    </row>
    <row r="122" spans="1:26" x14ac:dyDescent="0.6">
      <c r="A122" s="1930"/>
      <c r="N122" s="1399"/>
      <c r="O122" s="1280"/>
      <c r="Z122" s="1280"/>
    </row>
    <row r="123" spans="1:26" x14ac:dyDescent="0.6">
      <c r="A123" s="1930"/>
      <c r="N123" s="1399"/>
      <c r="O123" s="1280"/>
      <c r="Z123" s="1280"/>
    </row>
    <row r="124" spans="1:26" x14ac:dyDescent="0.6">
      <c r="A124" s="1930"/>
      <c r="N124" s="1399"/>
      <c r="O124" s="1280"/>
      <c r="Z124" s="1280"/>
    </row>
    <row r="125" spans="1:26" x14ac:dyDescent="0.6">
      <c r="A125" s="1930"/>
      <c r="N125" s="1399"/>
      <c r="O125" s="1280"/>
      <c r="Z125" s="1280"/>
    </row>
    <row r="126" spans="1:26" x14ac:dyDescent="0.6">
      <c r="A126" s="1930"/>
      <c r="N126" s="1399"/>
      <c r="O126" s="1280"/>
      <c r="Z126" s="1280"/>
    </row>
    <row r="127" spans="1:26" x14ac:dyDescent="0.6">
      <c r="A127" s="1930"/>
      <c r="N127" s="1399"/>
      <c r="O127" s="1280"/>
      <c r="Z127" s="1280"/>
    </row>
    <row r="128" spans="1:26" x14ac:dyDescent="0.6">
      <c r="A128" s="1930"/>
      <c r="N128" s="1399"/>
      <c r="O128" s="1280"/>
      <c r="Z128" s="1280"/>
    </row>
    <row r="129" spans="1:26" x14ac:dyDescent="0.6">
      <c r="A129" s="1930"/>
      <c r="N129" s="1399"/>
      <c r="O129" s="1280"/>
      <c r="Z129" s="1280"/>
    </row>
    <row r="130" spans="1:26" x14ac:dyDescent="0.6">
      <c r="A130" s="1930"/>
      <c r="N130" s="1399"/>
      <c r="O130" s="1280"/>
      <c r="Z130" s="1280"/>
    </row>
    <row r="131" spans="1:26" x14ac:dyDescent="0.6">
      <c r="A131" s="1930"/>
      <c r="N131" s="1399"/>
      <c r="O131" s="1280"/>
      <c r="Z131" s="1280"/>
    </row>
    <row r="132" spans="1:26" x14ac:dyDescent="0.6">
      <c r="A132" s="1930"/>
      <c r="N132" s="1399"/>
      <c r="O132" s="1280"/>
      <c r="Z132" s="1280"/>
    </row>
    <row r="133" spans="1:26" x14ac:dyDescent="0.6">
      <c r="A133" s="1930"/>
      <c r="N133" s="1399"/>
      <c r="O133" s="1280"/>
      <c r="Z133" s="1280"/>
    </row>
    <row r="134" spans="1:26" x14ac:dyDescent="0.6">
      <c r="A134" s="1930"/>
      <c r="N134" s="1399"/>
      <c r="O134" s="1280"/>
      <c r="Z134" s="1280"/>
    </row>
    <row r="135" spans="1:26" x14ac:dyDescent="0.6">
      <c r="A135" s="1930"/>
      <c r="N135" s="1399"/>
      <c r="O135" s="1280"/>
      <c r="Z135" s="1280"/>
    </row>
    <row r="136" spans="1:26" x14ac:dyDescent="0.6">
      <c r="A136" s="1930"/>
      <c r="N136" s="1399"/>
      <c r="O136" s="1280"/>
      <c r="Z136" s="1280"/>
    </row>
    <row r="137" spans="1:26" x14ac:dyDescent="0.6">
      <c r="A137" s="1930"/>
      <c r="N137" s="1399"/>
      <c r="O137" s="1280"/>
      <c r="Z137" s="1280"/>
    </row>
    <row r="138" spans="1:26" x14ac:dyDescent="0.6">
      <c r="A138" s="1930"/>
      <c r="N138" s="1399"/>
      <c r="O138" s="1280"/>
      <c r="Z138" s="1280"/>
    </row>
    <row r="139" spans="1:26" x14ac:dyDescent="0.6">
      <c r="A139" s="1930"/>
      <c r="N139" s="1399"/>
      <c r="O139" s="1280"/>
      <c r="Z139" s="1280"/>
    </row>
    <row r="140" spans="1:26" x14ac:dyDescent="0.6">
      <c r="A140" s="1930"/>
      <c r="N140" s="1399"/>
      <c r="O140" s="1280"/>
      <c r="Z140" s="1280"/>
    </row>
    <row r="141" spans="1:26" x14ac:dyDescent="0.6">
      <c r="A141" s="1930"/>
      <c r="N141" s="1399"/>
      <c r="O141" s="1280"/>
      <c r="Z141" s="1280"/>
    </row>
    <row r="142" spans="1:26" x14ac:dyDescent="0.6">
      <c r="A142" s="1930"/>
      <c r="N142" s="1399"/>
      <c r="O142" s="1280"/>
      <c r="Z142" s="1280"/>
    </row>
    <row r="143" spans="1:26" x14ac:dyDescent="0.6">
      <c r="A143" s="1930"/>
      <c r="N143" s="1399"/>
      <c r="O143" s="1280"/>
      <c r="Z143" s="1280"/>
    </row>
    <row r="144" spans="1:26" x14ac:dyDescent="0.6">
      <c r="A144" s="1930"/>
      <c r="N144" s="1399"/>
      <c r="O144" s="1280"/>
      <c r="Z144" s="1280"/>
    </row>
    <row r="145" spans="1:26" x14ac:dyDescent="0.6">
      <c r="A145" s="1930"/>
      <c r="N145" s="1399"/>
      <c r="O145" s="1280"/>
      <c r="Z145" s="1280"/>
    </row>
    <row r="146" spans="1:26" x14ac:dyDescent="0.6">
      <c r="A146" s="1930"/>
      <c r="N146" s="1399"/>
      <c r="O146" s="1280"/>
      <c r="Z146" s="1280"/>
    </row>
    <row r="147" spans="1:26" x14ac:dyDescent="0.6">
      <c r="A147" s="1930"/>
      <c r="N147" s="1399"/>
      <c r="O147" s="1280"/>
      <c r="Z147" s="1280"/>
    </row>
    <row r="148" spans="1:26" x14ac:dyDescent="0.6">
      <c r="A148" s="1930"/>
      <c r="N148" s="1399"/>
      <c r="O148" s="1280"/>
      <c r="Z148" s="1280"/>
    </row>
    <row r="149" spans="1:26" x14ac:dyDescent="0.6">
      <c r="A149" s="1930"/>
      <c r="N149" s="1399"/>
      <c r="O149" s="1280"/>
      <c r="Z149" s="1280"/>
    </row>
    <row r="150" spans="1:26" x14ac:dyDescent="0.6">
      <c r="A150" s="1930"/>
      <c r="N150" s="1399"/>
      <c r="O150" s="1280"/>
      <c r="Z150" s="1280"/>
    </row>
    <row r="151" spans="1:26" x14ac:dyDescent="0.6">
      <c r="A151" s="1930"/>
      <c r="N151" s="1399"/>
      <c r="O151" s="1280"/>
      <c r="Z151" s="1280"/>
    </row>
    <row r="152" spans="1:26" x14ac:dyDescent="0.6">
      <c r="A152" s="1930"/>
      <c r="N152" s="1399"/>
      <c r="O152" s="1280"/>
      <c r="Z152" s="1280"/>
    </row>
    <row r="153" spans="1:26" x14ac:dyDescent="0.6">
      <c r="A153" s="1930"/>
      <c r="N153" s="1399"/>
      <c r="O153" s="1280"/>
      <c r="Z153" s="1280"/>
    </row>
    <row r="154" spans="1:26" x14ac:dyDescent="0.6">
      <c r="A154" s="1930"/>
      <c r="N154" s="1399"/>
      <c r="O154" s="1280"/>
      <c r="Z154" s="1280"/>
    </row>
    <row r="155" spans="1:26" x14ac:dyDescent="0.6">
      <c r="A155" s="1930"/>
      <c r="N155" s="1399"/>
      <c r="O155" s="1280"/>
      <c r="Z155" s="1280"/>
    </row>
    <row r="156" spans="1:26" x14ac:dyDescent="0.6">
      <c r="A156" s="1930"/>
      <c r="N156" s="1399"/>
      <c r="O156" s="1280"/>
      <c r="Z156" s="1280"/>
    </row>
    <row r="157" spans="1:26" x14ac:dyDescent="0.6">
      <c r="A157" s="1930"/>
      <c r="N157" s="1399"/>
      <c r="O157" s="1280"/>
      <c r="Z157" s="1280"/>
    </row>
    <row r="158" spans="1:26" x14ac:dyDescent="0.6">
      <c r="A158" s="1930"/>
      <c r="N158" s="1399"/>
      <c r="O158" s="1280"/>
      <c r="Z158" s="1280"/>
    </row>
    <row r="159" spans="1:26" x14ac:dyDescent="0.6">
      <c r="A159" s="1930"/>
      <c r="N159" s="1399"/>
      <c r="O159" s="1280"/>
      <c r="Z159" s="1280"/>
    </row>
    <row r="160" spans="1:26" x14ac:dyDescent="0.6">
      <c r="A160" s="1930"/>
      <c r="N160" s="1399"/>
      <c r="O160" s="1280"/>
      <c r="Z160" s="1280"/>
    </row>
    <row r="161" spans="1:26" x14ac:dyDescent="0.6">
      <c r="A161" s="1930"/>
      <c r="N161" s="1399"/>
      <c r="O161" s="1280"/>
      <c r="Z161" s="1280"/>
    </row>
    <row r="162" spans="1:26" x14ac:dyDescent="0.6">
      <c r="A162" s="1930"/>
      <c r="N162" s="1399"/>
      <c r="O162" s="1280"/>
      <c r="Z162" s="1280"/>
    </row>
    <row r="163" spans="1:26" x14ac:dyDescent="0.6">
      <c r="A163" s="1930"/>
      <c r="N163" s="1399"/>
      <c r="O163" s="1280"/>
      <c r="Z163" s="1280"/>
    </row>
    <row r="164" spans="1:26" x14ac:dyDescent="0.6">
      <c r="A164" s="1930"/>
      <c r="N164" s="1399"/>
      <c r="O164" s="1280"/>
      <c r="Z164" s="1280"/>
    </row>
    <row r="165" spans="1:26" x14ac:dyDescent="0.6">
      <c r="A165" s="1930"/>
      <c r="N165" s="1399"/>
      <c r="O165" s="1280"/>
      <c r="Z165" s="1280"/>
    </row>
    <row r="166" spans="1:26" x14ac:dyDescent="0.6">
      <c r="A166" s="1930"/>
      <c r="N166" s="1399"/>
      <c r="O166" s="1280"/>
      <c r="Z166" s="1280"/>
    </row>
    <row r="167" spans="1:26" x14ac:dyDescent="0.6">
      <c r="A167" s="1930"/>
      <c r="N167" s="1399"/>
      <c r="O167" s="1280"/>
      <c r="Z167" s="1280"/>
    </row>
    <row r="168" spans="1:26" x14ac:dyDescent="0.6">
      <c r="A168" s="1930"/>
      <c r="N168" s="1399"/>
      <c r="O168" s="1280"/>
      <c r="Z168" s="1280"/>
    </row>
    <row r="169" spans="1:26" x14ac:dyDescent="0.6">
      <c r="A169" s="1930"/>
      <c r="N169" s="1399"/>
      <c r="O169" s="1280"/>
      <c r="Z169" s="1280"/>
    </row>
    <row r="170" spans="1:26" x14ac:dyDescent="0.6">
      <c r="A170" s="1930"/>
      <c r="N170" s="1399"/>
      <c r="O170" s="1280"/>
      <c r="Z170" s="1280"/>
    </row>
    <row r="171" spans="1:26" x14ac:dyDescent="0.6">
      <c r="A171" s="1930"/>
      <c r="N171" s="1399"/>
      <c r="O171" s="1280"/>
      <c r="Z171" s="1280"/>
    </row>
    <row r="172" spans="1:26" x14ac:dyDescent="0.6">
      <c r="A172" s="1930"/>
      <c r="N172" s="1399"/>
      <c r="O172" s="1280"/>
      <c r="Z172" s="1280"/>
    </row>
    <row r="173" spans="1:26" x14ac:dyDescent="0.6">
      <c r="A173" s="1930"/>
      <c r="N173" s="1399"/>
      <c r="O173" s="1280"/>
      <c r="Z173" s="1280"/>
    </row>
    <row r="174" spans="1:26" x14ac:dyDescent="0.6">
      <c r="A174" s="1930"/>
      <c r="N174" s="1399"/>
      <c r="O174" s="1280"/>
      <c r="Z174" s="1280"/>
    </row>
    <row r="175" spans="1:26" x14ac:dyDescent="0.6">
      <c r="A175" s="1930"/>
      <c r="N175" s="1399"/>
      <c r="O175" s="1280"/>
      <c r="Z175" s="1280"/>
    </row>
    <row r="176" spans="1:26" x14ac:dyDescent="0.6">
      <c r="A176" s="1930"/>
      <c r="N176" s="1399"/>
      <c r="O176" s="1280"/>
      <c r="Z176" s="1280"/>
    </row>
    <row r="177" spans="1:26" x14ac:dyDescent="0.6">
      <c r="A177" s="1930"/>
      <c r="N177" s="1399"/>
      <c r="O177" s="1280"/>
      <c r="Z177" s="1280"/>
    </row>
    <row r="178" spans="1:26" x14ac:dyDescent="0.6">
      <c r="A178" s="1930"/>
      <c r="N178" s="1399"/>
      <c r="O178" s="1280"/>
      <c r="Z178" s="1280"/>
    </row>
    <row r="179" spans="1:26" x14ac:dyDescent="0.6">
      <c r="A179" s="1930"/>
      <c r="N179" s="1399"/>
      <c r="O179" s="1280"/>
      <c r="Z179" s="1280"/>
    </row>
    <row r="180" spans="1:26" x14ac:dyDescent="0.6">
      <c r="A180" s="1930"/>
      <c r="N180" s="1399"/>
      <c r="O180" s="1280"/>
      <c r="Z180" s="1280"/>
    </row>
    <row r="181" spans="1:26" x14ac:dyDescent="0.6">
      <c r="A181" s="1930"/>
      <c r="N181" s="1399"/>
      <c r="O181" s="1280"/>
      <c r="Z181" s="1280"/>
    </row>
    <row r="182" spans="1:26" x14ac:dyDescent="0.6">
      <c r="A182" s="1930"/>
      <c r="N182" s="1399"/>
      <c r="O182" s="1280"/>
      <c r="Z182" s="1280"/>
    </row>
    <row r="183" spans="1:26" x14ac:dyDescent="0.6">
      <c r="A183" s="1930"/>
      <c r="N183" s="1399"/>
      <c r="O183" s="1280"/>
      <c r="Z183" s="1280"/>
    </row>
    <row r="184" spans="1:26" x14ac:dyDescent="0.6">
      <c r="A184" s="1930"/>
      <c r="N184" s="1399"/>
      <c r="O184" s="1280"/>
      <c r="Z184" s="1280"/>
    </row>
    <row r="185" spans="1:26" x14ac:dyDescent="0.6">
      <c r="A185" s="1930"/>
      <c r="N185" s="1399"/>
      <c r="O185" s="1280"/>
      <c r="Z185" s="1280"/>
    </row>
    <row r="186" spans="1:26" x14ac:dyDescent="0.6">
      <c r="A186" s="1930"/>
      <c r="N186" s="1399"/>
      <c r="O186" s="1280"/>
      <c r="Z186" s="1280"/>
    </row>
    <row r="187" spans="1:26" x14ac:dyDescent="0.6">
      <c r="A187" s="1930"/>
      <c r="N187" s="1399"/>
      <c r="O187" s="1280"/>
      <c r="Z187" s="1280"/>
    </row>
    <row r="188" spans="1:26" x14ac:dyDescent="0.6">
      <c r="A188" s="1930"/>
      <c r="N188" s="1399"/>
      <c r="O188" s="1280"/>
      <c r="Z188" s="1280"/>
    </row>
    <row r="189" spans="1:26" x14ac:dyDescent="0.6">
      <c r="A189" s="1930"/>
      <c r="N189" s="1399"/>
      <c r="O189" s="1280"/>
      <c r="Z189" s="1280"/>
    </row>
    <row r="190" spans="1:26" x14ac:dyDescent="0.6">
      <c r="A190" s="1930"/>
      <c r="N190" s="1399"/>
      <c r="O190" s="1280"/>
      <c r="Z190" s="1280"/>
    </row>
    <row r="191" spans="1:26" x14ac:dyDescent="0.6">
      <c r="A191" s="1930"/>
      <c r="N191" s="1399"/>
      <c r="O191" s="1280"/>
      <c r="Z191" s="1280"/>
    </row>
    <row r="192" spans="1:26" x14ac:dyDescent="0.6">
      <c r="A192" s="1930"/>
      <c r="N192" s="1399"/>
      <c r="O192" s="1280"/>
      <c r="Z192" s="1280"/>
    </row>
    <row r="193" spans="1:26" x14ac:dyDescent="0.6">
      <c r="A193" s="1930"/>
      <c r="N193" s="1399"/>
      <c r="O193" s="1280"/>
      <c r="Z193" s="1280"/>
    </row>
    <row r="194" spans="1:26" x14ac:dyDescent="0.6">
      <c r="A194" s="1930"/>
      <c r="N194" s="1399"/>
      <c r="O194" s="1280"/>
      <c r="Z194" s="1280"/>
    </row>
    <row r="195" spans="1:26" x14ac:dyDescent="0.6">
      <c r="A195" s="1930"/>
      <c r="N195" s="1399"/>
      <c r="O195" s="1280"/>
      <c r="Z195" s="1280"/>
    </row>
    <row r="196" spans="1:26" x14ac:dyDescent="0.6">
      <c r="A196" s="1930"/>
      <c r="N196" s="1399"/>
      <c r="O196" s="1280"/>
      <c r="Z196" s="1280"/>
    </row>
    <row r="197" spans="1:26" x14ac:dyDescent="0.6">
      <c r="A197" s="1930"/>
      <c r="N197" s="1399"/>
      <c r="O197" s="1280"/>
      <c r="Z197" s="1280"/>
    </row>
    <row r="198" spans="1:26" x14ac:dyDescent="0.6">
      <c r="A198" s="1930"/>
      <c r="N198" s="1399"/>
      <c r="O198" s="1280"/>
      <c r="Z198" s="1280"/>
    </row>
    <row r="199" spans="1:26" x14ac:dyDescent="0.6">
      <c r="A199" s="1930"/>
      <c r="N199" s="1399"/>
      <c r="O199" s="1280"/>
      <c r="Z199" s="1280"/>
    </row>
    <row r="200" spans="1:26" x14ac:dyDescent="0.6">
      <c r="A200" s="1930"/>
      <c r="N200" s="1399"/>
      <c r="O200" s="1280"/>
      <c r="Z200" s="1280"/>
    </row>
    <row r="201" spans="1:26" x14ac:dyDescent="0.6">
      <c r="A201" s="1930"/>
      <c r="N201" s="1399"/>
      <c r="O201" s="1280"/>
      <c r="Z201" s="1280"/>
    </row>
    <row r="202" spans="1:26" x14ac:dyDescent="0.6">
      <c r="A202" s="1930"/>
      <c r="N202" s="1399"/>
      <c r="O202" s="1280"/>
      <c r="Z202" s="1280"/>
    </row>
    <row r="203" spans="1:26" x14ac:dyDescent="0.6">
      <c r="A203" s="1930"/>
      <c r="N203" s="1399"/>
      <c r="O203" s="1280"/>
      <c r="Z203" s="1280"/>
    </row>
    <row r="204" spans="1:26" x14ac:dyDescent="0.6">
      <c r="A204" s="1930"/>
      <c r="N204" s="1399"/>
      <c r="O204" s="1280"/>
      <c r="Z204" s="1280"/>
    </row>
    <row r="205" spans="1:26" x14ac:dyDescent="0.6">
      <c r="A205" s="1930"/>
      <c r="N205" s="1399"/>
      <c r="O205" s="1280"/>
      <c r="Z205" s="1280"/>
    </row>
    <row r="206" spans="1:26" x14ac:dyDescent="0.6">
      <c r="A206" s="1930"/>
      <c r="N206" s="1399"/>
      <c r="O206" s="1280"/>
      <c r="Z206" s="1280"/>
    </row>
    <row r="207" spans="1:26" x14ac:dyDescent="0.6">
      <c r="A207" s="1930"/>
      <c r="N207" s="1399"/>
      <c r="O207" s="1280"/>
      <c r="Z207" s="1280"/>
    </row>
    <row r="208" spans="1:26" x14ac:dyDescent="0.6">
      <c r="A208" s="1930"/>
      <c r="N208" s="1399"/>
      <c r="O208" s="1280"/>
      <c r="Z208" s="1280"/>
    </row>
    <row r="209" spans="1:26" x14ac:dyDescent="0.6">
      <c r="A209" s="1930"/>
      <c r="N209" s="1399"/>
      <c r="O209" s="1280"/>
      <c r="Z209" s="1280"/>
    </row>
    <row r="210" spans="1:26" x14ac:dyDescent="0.6">
      <c r="A210" s="1930"/>
      <c r="N210" s="1399"/>
      <c r="O210" s="1280"/>
      <c r="Z210" s="1280"/>
    </row>
    <row r="211" spans="1:26" x14ac:dyDescent="0.6">
      <c r="A211" s="1930"/>
      <c r="N211" s="1399"/>
      <c r="O211" s="1280"/>
      <c r="Z211" s="1280"/>
    </row>
    <row r="212" spans="1:26" x14ac:dyDescent="0.6">
      <c r="A212" s="1930"/>
      <c r="N212" s="1399"/>
      <c r="O212" s="1280"/>
      <c r="Z212" s="1280"/>
    </row>
    <row r="213" spans="1:26" x14ac:dyDescent="0.6">
      <c r="A213" s="1930"/>
      <c r="N213" s="1399"/>
      <c r="O213" s="1280"/>
      <c r="Z213" s="1280"/>
    </row>
    <row r="214" spans="1:26" x14ac:dyDescent="0.6">
      <c r="A214" s="1930"/>
      <c r="N214" s="1399"/>
      <c r="O214" s="1280"/>
      <c r="Z214" s="1280"/>
    </row>
    <row r="215" spans="1:26" x14ac:dyDescent="0.6">
      <c r="A215" s="1930"/>
      <c r="N215" s="1399"/>
      <c r="O215" s="1280"/>
      <c r="Z215" s="1280"/>
    </row>
    <row r="216" spans="1:26" x14ac:dyDescent="0.6">
      <c r="A216" s="1930"/>
      <c r="N216" s="1399"/>
      <c r="O216" s="1280"/>
      <c r="Z216" s="1280"/>
    </row>
    <row r="217" spans="1:26" x14ac:dyDescent="0.6">
      <c r="A217" s="1930"/>
      <c r="N217" s="1399"/>
      <c r="O217" s="1280"/>
      <c r="Z217" s="1280"/>
    </row>
    <row r="218" spans="1:26" x14ac:dyDescent="0.6">
      <c r="A218" s="1930"/>
      <c r="N218" s="1399"/>
      <c r="O218" s="1280"/>
      <c r="Z218" s="1280"/>
    </row>
    <row r="219" spans="1:26" x14ac:dyDescent="0.6">
      <c r="A219" s="1930"/>
      <c r="N219" s="1399"/>
      <c r="O219" s="1280"/>
      <c r="Z219" s="1280"/>
    </row>
    <row r="220" spans="1:26" x14ac:dyDescent="0.6">
      <c r="A220" s="1930"/>
      <c r="N220" s="1399"/>
      <c r="O220" s="1280"/>
      <c r="Z220" s="1280"/>
    </row>
    <row r="221" spans="1:26" x14ac:dyDescent="0.6">
      <c r="A221" s="1930"/>
      <c r="N221" s="1399"/>
      <c r="O221" s="1280"/>
      <c r="Z221" s="1280"/>
    </row>
    <row r="222" spans="1:26" x14ac:dyDescent="0.6">
      <c r="A222" s="1930"/>
      <c r="N222" s="1399"/>
      <c r="O222" s="1280"/>
      <c r="Z222" s="1280"/>
    </row>
    <row r="223" spans="1:26" x14ac:dyDescent="0.6">
      <c r="A223" s="1930"/>
      <c r="N223" s="1399"/>
      <c r="O223" s="1280"/>
      <c r="Z223" s="1280"/>
    </row>
    <row r="224" spans="1:26" x14ac:dyDescent="0.6">
      <c r="A224" s="1930"/>
      <c r="N224" s="1399"/>
      <c r="O224" s="1280"/>
      <c r="Z224" s="1280"/>
    </row>
    <row r="225" spans="1:26" x14ac:dyDescent="0.6">
      <c r="A225" s="1930"/>
      <c r="N225" s="1399"/>
      <c r="O225" s="1280"/>
      <c r="Z225" s="1280"/>
    </row>
    <row r="226" spans="1:26" x14ac:dyDescent="0.6">
      <c r="A226" s="1930"/>
      <c r="N226" s="1399"/>
      <c r="O226" s="1280"/>
      <c r="Z226" s="1280"/>
    </row>
    <row r="227" spans="1:26" x14ac:dyDescent="0.6">
      <c r="A227" s="1930"/>
      <c r="N227" s="1399"/>
      <c r="O227" s="1280"/>
      <c r="Z227" s="1280"/>
    </row>
    <row r="228" spans="1:26" x14ac:dyDescent="0.6">
      <c r="A228" s="1930"/>
      <c r="N228" s="1399"/>
      <c r="O228" s="1280"/>
      <c r="Z228" s="1280"/>
    </row>
    <row r="229" spans="1:26" x14ac:dyDescent="0.6">
      <c r="A229" s="1930"/>
      <c r="N229" s="1399"/>
      <c r="O229" s="1280"/>
      <c r="Z229" s="1280"/>
    </row>
    <row r="230" spans="1:26" x14ac:dyDescent="0.6">
      <c r="A230" s="1930"/>
      <c r="N230" s="1399"/>
      <c r="O230" s="1280"/>
      <c r="Z230" s="1280"/>
    </row>
    <row r="231" spans="1:26" x14ac:dyDescent="0.6">
      <c r="A231" s="1930"/>
      <c r="N231" s="1399"/>
      <c r="O231" s="1280"/>
      <c r="Z231" s="1280"/>
    </row>
    <row r="232" spans="1:26" x14ac:dyDescent="0.6">
      <c r="A232" s="1930"/>
      <c r="N232" s="1399"/>
      <c r="O232" s="1280"/>
      <c r="Z232" s="1280"/>
    </row>
    <row r="233" spans="1:26" x14ac:dyDescent="0.6">
      <c r="A233" s="1930"/>
      <c r="N233" s="1399"/>
      <c r="O233" s="1280"/>
      <c r="Z233" s="1280"/>
    </row>
    <row r="234" spans="1:26" x14ac:dyDescent="0.6">
      <c r="A234" s="1930"/>
      <c r="N234" s="1399"/>
      <c r="O234" s="1280"/>
      <c r="Z234" s="1280"/>
    </row>
    <row r="235" spans="1:26" x14ac:dyDescent="0.6">
      <c r="A235" s="1930"/>
      <c r="N235" s="1399"/>
      <c r="O235" s="1280"/>
      <c r="Z235" s="1280"/>
    </row>
    <row r="236" spans="1:26" x14ac:dyDescent="0.6">
      <c r="A236" s="1930"/>
      <c r="N236" s="1399"/>
      <c r="O236" s="1280"/>
      <c r="Z236" s="1280"/>
    </row>
    <row r="237" spans="1:26" x14ac:dyDescent="0.6">
      <c r="A237" s="1930"/>
      <c r="N237" s="1399"/>
      <c r="O237" s="1280"/>
      <c r="Z237" s="1280"/>
    </row>
    <row r="238" spans="1:26" x14ac:dyDescent="0.6">
      <c r="A238" s="1930"/>
      <c r="N238" s="1399"/>
      <c r="O238" s="1280"/>
      <c r="Z238" s="1280"/>
    </row>
    <row r="239" spans="1:26" x14ac:dyDescent="0.6">
      <c r="A239" s="1930"/>
      <c r="N239" s="1399"/>
      <c r="O239" s="1280"/>
      <c r="Z239" s="1280"/>
    </row>
    <row r="240" spans="1:26" x14ac:dyDescent="0.6">
      <c r="A240" s="1930"/>
      <c r="N240" s="1399"/>
      <c r="O240" s="1280"/>
      <c r="Z240" s="1280"/>
    </row>
    <row r="241" spans="1:26" x14ac:dyDescent="0.6">
      <c r="A241" s="1930"/>
      <c r="N241" s="1399"/>
      <c r="O241" s="1280"/>
      <c r="Z241" s="1280"/>
    </row>
    <row r="242" spans="1:26" x14ac:dyDescent="0.6">
      <c r="A242" s="1930"/>
      <c r="N242" s="1399"/>
      <c r="O242" s="1280"/>
      <c r="Z242" s="1280"/>
    </row>
    <row r="243" spans="1:26" x14ac:dyDescent="0.6">
      <c r="A243" s="1930"/>
      <c r="N243" s="1399"/>
      <c r="O243" s="1280"/>
      <c r="Z243" s="1280"/>
    </row>
    <row r="244" spans="1:26" x14ac:dyDescent="0.6">
      <c r="A244" s="1930"/>
      <c r="N244" s="1399"/>
      <c r="O244" s="1280"/>
      <c r="Z244" s="1280"/>
    </row>
    <row r="245" spans="1:26" x14ac:dyDescent="0.6">
      <c r="A245" s="1930"/>
      <c r="N245" s="1399"/>
      <c r="O245" s="1280"/>
      <c r="Z245" s="1280"/>
    </row>
    <row r="246" spans="1:26" x14ac:dyDescent="0.6">
      <c r="A246" s="1930"/>
      <c r="N246" s="1399"/>
      <c r="O246" s="1280"/>
      <c r="Z246" s="1280"/>
    </row>
    <row r="247" spans="1:26" x14ac:dyDescent="0.6">
      <c r="A247" s="1930"/>
      <c r="N247" s="1399"/>
      <c r="O247" s="1280"/>
      <c r="Z247" s="1280"/>
    </row>
    <row r="248" spans="1:26" x14ac:dyDescent="0.6">
      <c r="A248" s="1930"/>
      <c r="N248" s="1399"/>
      <c r="O248" s="1280"/>
      <c r="Z248" s="1280"/>
    </row>
    <row r="249" spans="1:26" x14ac:dyDescent="0.6">
      <c r="A249" s="1930"/>
      <c r="N249" s="1399"/>
      <c r="O249" s="1280"/>
      <c r="Z249" s="1280"/>
    </row>
    <row r="250" spans="1:26" x14ac:dyDescent="0.6">
      <c r="A250" s="1930"/>
      <c r="N250" s="1399"/>
      <c r="O250" s="1280"/>
      <c r="Z250" s="1280"/>
    </row>
    <row r="251" spans="1:26" x14ac:dyDescent="0.6">
      <c r="A251" s="1930"/>
      <c r="N251" s="1399"/>
      <c r="O251" s="1280"/>
      <c r="Z251" s="1280"/>
    </row>
    <row r="252" spans="1:26" x14ac:dyDescent="0.6">
      <c r="A252" s="1930"/>
      <c r="N252" s="1399"/>
      <c r="O252" s="1280"/>
      <c r="Z252" s="1280"/>
    </row>
    <row r="253" spans="1:26" x14ac:dyDescent="0.6">
      <c r="A253" s="1930"/>
      <c r="N253" s="1399"/>
      <c r="O253" s="1280"/>
      <c r="Z253" s="1280"/>
    </row>
    <row r="254" spans="1:26" x14ac:dyDescent="0.6">
      <c r="A254" s="1930"/>
      <c r="N254" s="1399"/>
      <c r="O254" s="1280"/>
      <c r="Z254" s="1280"/>
    </row>
    <row r="255" spans="1:26" x14ac:dyDescent="0.6">
      <c r="A255" s="1930"/>
      <c r="N255" s="1399"/>
      <c r="O255" s="1280"/>
      <c r="Z255" s="1280"/>
    </row>
    <row r="256" spans="1:26" x14ac:dyDescent="0.6">
      <c r="A256" s="1930"/>
      <c r="N256" s="1399"/>
      <c r="O256" s="1280"/>
      <c r="Z256" s="1280"/>
    </row>
    <row r="257" spans="1:26" x14ac:dyDescent="0.6">
      <c r="A257" s="1930"/>
      <c r="N257" s="1399"/>
      <c r="O257" s="1280"/>
      <c r="Z257" s="1280"/>
    </row>
    <row r="258" spans="1:26" x14ac:dyDescent="0.6">
      <c r="A258" s="1930"/>
      <c r="N258" s="1399"/>
      <c r="O258" s="1280"/>
      <c r="Z258" s="1280"/>
    </row>
    <row r="259" spans="1:26" x14ac:dyDescent="0.6">
      <c r="A259" s="1930"/>
      <c r="N259" s="1399"/>
      <c r="O259" s="1280"/>
      <c r="Z259" s="1280"/>
    </row>
    <row r="260" spans="1:26" x14ac:dyDescent="0.6">
      <c r="A260" s="1930"/>
      <c r="N260" s="1399"/>
      <c r="O260" s="1280"/>
      <c r="Z260" s="1280"/>
    </row>
    <row r="261" spans="1:26" x14ac:dyDescent="0.6">
      <c r="A261" s="1930"/>
      <c r="N261" s="1399"/>
      <c r="O261" s="1280"/>
      <c r="Z261" s="1280"/>
    </row>
    <row r="262" spans="1:26" x14ac:dyDescent="0.6">
      <c r="A262" s="1930"/>
      <c r="N262" s="1399"/>
      <c r="O262" s="1280"/>
      <c r="Z262" s="1280"/>
    </row>
    <row r="263" spans="1:26" x14ac:dyDescent="0.6">
      <c r="A263" s="1930"/>
      <c r="N263" s="1399"/>
      <c r="O263" s="1280"/>
      <c r="Z263" s="1280"/>
    </row>
    <row r="264" spans="1:26" x14ac:dyDescent="0.6">
      <c r="A264" s="1930"/>
      <c r="N264" s="1399"/>
      <c r="O264" s="1280"/>
      <c r="Z264" s="1280"/>
    </row>
    <row r="265" spans="1:26" x14ac:dyDescent="0.6">
      <c r="A265" s="1930"/>
      <c r="N265" s="1399"/>
      <c r="O265" s="1280"/>
      <c r="Z265" s="1280"/>
    </row>
    <row r="266" spans="1:26" x14ac:dyDescent="0.6">
      <c r="A266" s="1930"/>
      <c r="N266" s="1399"/>
      <c r="O266" s="1280"/>
      <c r="Z266" s="1280"/>
    </row>
    <row r="267" spans="1:26" x14ac:dyDescent="0.6">
      <c r="A267" s="1930"/>
      <c r="N267" s="1399"/>
      <c r="O267" s="1280"/>
      <c r="Z267" s="1280"/>
    </row>
    <row r="268" spans="1:26" x14ac:dyDescent="0.6">
      <c r="A268" s="1930"/>
      <c r="N268" s="1399"/>
      <c r="O268" s="1280"/>
      <c r="Z268" s="1280"/>
    </row>
    <row r="269" spans="1:26" x14ac:dyDescent="0.6">
      <c r="A269" s="1930"/>
      <c r="N269" s="1399"/>
      <c r="O269" s="1280"/>
      <c r="Z269" s="1280"/>
    </row>
    <row r="270" spans="1:26" x14ac:dyDescent="0.6">
      <c r="A270" s="1930"/>
      <c r="N270" s="1399"/>
      <c r="O270" s="1280"/>
      <c r="Z270" s="1280"/>
    </row>
    <row r="271" spans="1:26" x14ac:dyDescent="0.6">
      <c r="A271" s="1930"/>
      <c r="N271" s="1399"/>
      <c r="O271" s="1280"/>
      <c r="Z271" s="1280"/>
    </row>
    <row r="272" spans="1:26" x14ac:dyDescent="0.6">
      <c r="A272" s="1930"/>
      <c r="N272" s="1399"/>
      <c r="O272" s="1280"/>
      <c r="Z272" s="1280"/>
    </row>
    <row r="273" spans="1:26" x14ac:dyDescent="0.6">
      <c r="A273" s="1930"/>
      <c r="N273" s="1399"/>
      <c r="O273" s="1280"/>
      <c r="Z273" s="1280"/>
    </row>
    <row r="274" spans="1:26" x14ac:dyDescent="0.6">
      <c r="A274" s="1930"/>
      <c r="N274" s="1399"/>
      <c r="O274" s="1280"/>
      <c r="Z274" s="1280"/>
    </row>
    <row r="275" spans="1:26" x14ac:dyDescent="0.6">
      <c r="A275" s="1930"/>
      <c r="N275" s="1399"/>
      <c r="O275" s="1280"/>
      <c r="Z275" s="1280"/>
    </row>
    <row r="276" spans="1:26" x14ac:dyDescent="0.6">
      <c r="A276" s="1930"/>
      <c r="N276" s="1399"/>
      <c r="O276" s="1280"/>
      <c r="Z276" s="1280"/>
    </row>
    <row r="277" spans="1:26" x14ac:dyDescent="0.6">
      <c r="A277" s="1930"/>
      <c r="N277" s="1399"/>
      <c r="O277" s="1280"/>
      <c r="Z277" s="1280"/>
    </row>
    <row r="278" spans="1:26" x14ac:dyDescent="0.6">
      <c r="A278" s="1930"/>
      <c r="N278" s="1399"/>
      <c r="O278" s="1280"/>
      <c r="Z278" s="1280"/>
    </row>
    <row r="279" spans="1:26" x14ac:dyDescent="0.6">
      <c r="A279" s="1930"/>
      <c r="N279" s="1399"/>
      <c r="O279" s="1280"/>
      <c r="Z279" s="1280"/>
    </row>
    <row r="280" spans="1:26" x14ac:dyDescent="0.6">
      <c r="A280" s="1930"/>
      <c r="N280" s="1399"/>
      <c r="O280" s="1280"/>
      <c r="Z280" s="1280"/>
    </row>
    <row r="281" spans="1:26" x14ac:dyDescent="0.6">
      <c r="A281" s="1930"/>
      <c r="N281" s="1399"/>
      <c r="O281" s="1280"/>
      <c r="Z281" s="1280"/>
    </row>
    <row r="282" spans="1:26" x14ac:dyDescent="0.6">
      <c r="A282" s="1930"/>
      <c r="N282" s="1399"/>
      <c r="O282" s="1280"/>
      <c r="Z282" s="1280"/>
    </row>
    <row r="283" spans="1:26" x14ac:dyDescent="0.6">
      <c r="A283" s="1930"/>
      <c r="N283" s="1399"/>
      <c r="O283" s="1280"/>
      <c r="Z283" s="1280"/>
    </row>
    <row r="284" spans="1:26" x14ac:dyDescent="0.6">
      <c r="A284" s="1930"/>
      <c r="N284" s="1399"/>
      <c r="O284" s="1280"/>
      <c r="Z284" s="1280"/>
    </row>
    <row r="285" spans="1:26" x14ac:dyDescent="0.6">
      <c r="A285" s="1930"/>
      <c r="N285" s="1399"/>
      <c r="O285" s="1280"/>
      <c r="Z285" s="1280"/>
    </row>
    <row r="286" spans="1:26" x14ac:dyDescent="0.6">
      <c r="A286" s="1930"/>
      <c r="N286" s="1399"/>
      <c r="O286" s="1280"/>
      <c r="Z286" s="1280"/>
    </row>
    <row r="287" spans="1:26" x14ac:dyDescent="0.6">
      <c r="A287" s="1930"/>
      <c r="N287" s="1399"/>
      <c r="O287" s="1280"/>
      <c r="Z287" s="1280"/>
    </row>
    <row r="288" spans="1:26" x14ac:dyDescent="0.6">
      <c r="A288" s="1930"/>
      <c r="N288" s="1399"/>
      <c r="O288" s="1280"/>
      <c r="Z288" s="1280"/>
    </row>
    <row r="289" spans="1:26" x14ac:dyDescent="0.6">
      <c r="A289" s="1930"/>
      <c r="N289" s="1399"/>
      <c r="O289" s="1280"/>
      <c r="Z289" s="1280"/>
    </row>
    <row r="290" spans="1:26" x14ac:dyDescent="0.6">
      <c r="A290" s="1930"/>
      <c r="N290" s="1399"/>
      <c r="O290" s="1280"/>
      <c r="Z290" s="1280"/>
    </row>
    <row r="291" spans="1:26" x14ac:dyDescent="0.6">
      <c r="A291" s="1930"/>
      <c r="N291" s="1399"/>
      <c r="O291" s="1280"/>
      <c r="Z291" s="1280"/>
    </row>
    <row r="292" spans="1:26" x14ac:dyDescent="0.6">
      <c r="A292" s="1930"/>
      <c r="N292" s="1399"/>
      <c r="O292" s="1280"/>
      <c r="Z292" s="1280"/>
    </row>
    <row r="293" spans="1:26" x14ac:dyDescent="0.6">
      <c r="A293" s="1930"/>
      <c r="N293" s="1399"/>
      <c r="O293" s="1280"/>
      <c r="Z293" s="1280"/>
    </row>
    <row r="294" spans="1:26" x14ac:dyDescent="0.6">
      <c r="A294" s="1930"/>
      <c r="N294" s="1399"/>
      <c r="O294" s="1280"/>
      <c r="Z294" s="1280"/>
    </row>
    <row r="295" spans="1:26" x14ac:dyDescent="0.6">
      <c r="A295" s="1930"/>
      <c r="N295" s="1399"/>
      <c r="O295" s="1280"/>
      <c r="Z295" s="1280"/>
    </row>
    <row r="296" spans="1:26" x14ac:dyDescent="0.6">
      <c r="A296" s="1930"/>
      <c r="N296" s="1399"/>
      <c r="O296" s="1280"/>
      <c r="Z296" s="1280"/>
    </row>
    <row r="297" spans="1:26" x14ac:dyDescent="0.6">
      <c r="A297" s="1930"/>
      <c r="N297" s="1399"/>
      <c r="O297" s="1280"/>
      <c r="Z297" s="1280"/>
    </row>
    <row r="298" spans="1:26" x14ac:dyDescent="0.6">
      <c r="A298" s="1930"/>
      <c r="N298" s="1399"/>
      <c r="O298" s="1280"/>
      <c r="Z298" s="1280"/>
    </row>
    <row r="299" spans="1:26" x14ac:dyDescent="0.6">
      <c r="A299" s="1930"/>
      <c r="N299" s="1399"/>
      <c r="O299" s="1280"/>
      <c r="Z299" s="1280"/>
    </row>
    <row r="300" spans="1:26" x14ac:dyDescent="0.6">
      <c r="A300" s="1930"/>
      <c r="N300" s="1399"/>
      <c r="O300" s="1280"/>
      <c r="Z300" s="1280"/>
    </row>
    <row r="301" spans="1:26" x14ac:dyDescent="0.6">
      <c r="A301" s="1930"/>
      <c r="N301" s="1399"/>
      <c r="O301" s="1280"/>
      <c r="Z301" s="1280"/>
    </row>
    <row r="302" spans="1:26" x14ac:dyDescent="0.6">
      <c r="A302" s="1930"/>
      <c r="N302" s="1399"/>
      <c r="O302" s="1280"/>
      <c r="Z302" s="1280"/>
    </row>
    <row r="303" spans="1:26" x14ac:dyDescent="0.6">
      <c r="A303" s="1930"/>
      <c r="N303" s="1399"/>
      <c r="O303" s="1280"/>
      <c r="Z303" s="1280"/>
    </row>
    <row r="304" spans="1:26" x14ac:dyDescent="0.6">
      <c r="A304" s="1930"/>
      <c r="N304" s="1399"/>
      <c r="O304" s="1280"/>
      <c r="Z304" s="1280"/>
    </row>
    <row r="305" spans="1:26" x14ac:dyDescent="0.6">
      <c r="A305" s="1930"/>
      <c r="N305" s="1399"/>
      <c r="O305" s="1280"/>
      <c r="Z305" s="1280"/>
    </row>
    <row r="306" spans="1:26" x14ac:dyDescent="0.6">
      <c r="A306" s="1930"/>
      <c r="N306" s="1399"/>
      <c r="O306" s="1280"/>
      <c r="Z306" s="1280"/>
    </row>
    <row r="307" spans="1:26" x14ac:dyDescent="0.6">
      <c r="A307" s="1930"/>
      <c r="N307" s="1399"/>
      <c r="O307" s="1280"/>
      <c r="Z307" s="1280"/>
    </row>
    <row r="308" spans="1:26" x14ac:dyDescent="0.6">
      <c r="A308" s="1930"/>
      <c r="N308" s="1399"/>
      <c r="O308" s="1280"/>
      <c r="Z308" s="1280"/>
    </row>
    <row r="309" spans="1:26" x14ac:dyDescent="0.6">
      <c r="A309" s="1930"/>
      <c r="N309" s="1399"/>
      <c r="O309" s="1280"/>
      <c r="Z309" s="1280"/>
    </row>
    <row r="310" spans="1:26" x14ac:dyDescent="0.6">
      <c r="A310" s="1930"/>
      <c r="N310" s="1399"/>
      <c r="O310" s="1280"/>
      <c r="Z310" s="1280"/>
    </row>
    <row r="311" spans="1:26" x14ac:dyDescent="0.6">
      <c r="A311" s="1930"/>
      <c r="N311" s="1399"/>
      <c r="O311" s="1280"/>
      <c r="Z311" s="1280"/>
    </row>
    <row r="312" spans="1:26" x14ac:dyDescent="0.6">
      <c r="A312" s="1930"/>
      <c r="N312" s="1399"/>
      <c r="O312" s="1280"/>
      <c r="Z312" s="1280"/>
    </row>
    <row r="313" spans="1:26" x14ac:dyDescent="0.6">
      <c r="A313" s="1930"/>
      <c r="N313" s="1399"/>
      <c r="O313" s="1280"/>
      <c r="Z313" s="1280"/>
    </row>
    <row r="314" spans="1:26" x14ac:dyDescent="0.6">
      <c r="A314" s="1930"/>
      <c r="N314" s="1399"/>
      <c r="O314" s="1280"/>
      <c r="Z314" s="1280"/>
    </row>
    <row r="315" spans="1:26" x14ac:dyDescent="0.6">
      <c r="A315" s="1930"/>
      <c r="N315" s="1399"/>
      <c r="O315" s="1280"/>
      <c r="Z315" s="1280"/>
    </row>
    <row r="316" spans="1:26" x14ac:dyDescent="0.6">
      <c r="A316" s="1930"/>
      <c r="N316" s="1399"/>
      <c r="O316" s="1280"/>
      <c r="Z316" s="1280"/>
    </row>
    <row r="317" spans="1:26" x14ac:dyDescent="0.6">
      <c r="A317" s="1930"/>
      <c r="N317" s="1399"/>
      <c r="O317" s="1280"/>
      <c r="Z317" s="1280"/>
    </row>
    <row r="318" spans="1:26" x14ac:dyDescent="0.6">
      <c r="A318" s="1930"/>
      <c r="N318" s="1399"/>
      <c r="O318" s="1280"/>
      <c r="Z318" s="1280"/>
    </row>
    <row r="319" spans="1:26" x14ac:dyDescent="0.6">
      <c r="A319" s="1930"/>
      <c r="N319" s="1399"/>
      <c r="O319" s="1280"/>
      <c r="Z319" s="1280"/>
    </row>
    <row r="320" spans="1:26" x14ac:dyDescent="0.6">
      <c r="A320" s="1930"/>
      <c r="N320" s="1399"/>
      <c r="O320" s="1280"/>
      <c r="Z320" s="1280"/>
    </row>
    <row r="321" spans="1:26" x14ac:dyDescent="0.6">
      <c r="A321" s="1930"/>
      <c r="N321" s="1399"/>
      <c r="O321" s="1280"/>
      <c r="Z321" s="1280"/>
    </row>
    <row r="322" spans="1:26" x14ac:dyDescent="0.6">
      <c r="A322" s="1930"/>
      <c r="N322" s="1399"/>
      <c r="O322" s="1280"/>
      <c r="Z322" s="1280"/>
    </row>
    <row r="323" spans="1:26" x14ac:dyDescent="0.6">
      <c r="A323" s="1930"/>
      <c r="N323" s="1399"/>
      <c r="O323" s="1280"/>
      <c r="Z323" s="1280"/>
    </row>
    <row r="324" spans="1:26" x14ac:dyDescent="0.6">
      <c r="A324" s="1930"/>
      <c r="N324" s="1399"/>
      <c r="O324" s="1280"/>
      <c r="Z324" s="1280"/>
    </row>
    <row r="325" spans="1:26" x14ac:dyDescent="0.6">
      <c r="A325" s="1930"/>
      <c r="N325" s="1399"/>
      <c r="O325" s="1280"/>
      <c r="Z325" s="1280"/>
    </row>
    <row r="326" spans="1:26" x14ac:dyDescent="0.6">
      <c r="A326" s="1930"/>
      <c r="N326" s="1399"/>
      <c r="O326" s="1280"/>
      <c r="Z326" s="1280"/>
    </row>
    <row r="327" spans="1:26" x14ac:dyDescent="0.6">
      <c r="A327" s="1930"/>
      <c r="N327" s="1399"/>
      <c r="O327" s="1280"/>
      <c r="Z327" s="1280"/>
    </row>
    <row r="328" spans="1:26" x14ac:dyDescent="0.6">
      <c r="A328" s="1930"/>
      <c r="N328" s="1399"/>
      <c r="O328" s="1280"/>
      <c r="Z328" s="1280"/>
    </row>
    <row r="329" spans="1:26" x14ac:dyDescent="0.6">
      <c r="A329" s="1930"/>
      <c r="N329" s="1399"/>
      <c r="O329" s="1280"/>
      <c r="Z329" s="1280"/>
    </row>
    <row r="330" spans="1:26" x14ac:dyDescent="0.6">
      <c r="A330" s="1930"/>
      <c r="N330" s="1399"/>
      <c r="O330" s="1280"/>
      <c r="Z330" s="1280"/>
    </row>
    <row r="331" spans="1:26" x14ac:dyDescent="0.6">
      <c r="A331" s="1930"/>
      <c r="N331" s="1399"/>
      <c r="O331" s="1280"/>
      <c r="Z331" s="1280"/>
    </row>
    <row r="332" spans="1:26" x14ac:dyDescent="0.6">
      <c r="A332" s="1930"/>
      <c r="N332" s="1399"/>
      <c r="O332" s="1280"/>
      <c r="Z332" s="1280"/>
    </row>
    <row r="333" spans="1:26" x14ac:dyDescent="0.6">
      <c r="A333" s="1930"/>
      <c r="N333" s="1399"/>
      <c r="O333" s="1280"/>
      <c r="Z333" s="1280"/>
    </row>
    <row r="334" spans="1:26" x14ac:dyDescent="0.6">
      <c r="A334" s="1930"/>
      <c r="N334" s="1399"/>
      <c r="O334" s="1280"/>
      <c r="Z334" s="1280"/>
    </row>
    <row r="335" spans="1:26" x14ac:dyDescent="0.6">
      <c r="A335" s="1930"/>
      <c r="N335" s="1399"/>
      <c r="O335" s="1280"/>
      <c r="Z335" s="1280"/>
    </row>
    <row r="336" spans="1:26" x14ac:dyDescent="0.6">
      <c r="A336" s="1930"/>
      <c r="N336" s="1399"/>
      <c r="O336" s="1280"/>
      <c r="Z336" s="1280"/>
    </row>
    <row r="337" spans="1:26" x14ac:dyDescent="0.6">
      <c r="A337" s="1930"/>
      <c r="N337" s="1399"/>
      <c r="O337" s="1280"/>
      <c r="Z337" s="1280"/>
    </row>
    <row r="338" spans="1:26" x14ac:dyDescent="0.6">
      <c r="A338" s="1930"/>
      <c r="N338" s="1399"/>
      <c r="O338" s="1280"/>
      <c r="Z338" s="1280"/>
    </row>
    <row r="339" spans="1:26" x14ac:dyDescent="0.6">
      <c r="A339" s="1930"/>
      <c r="N339" s="1399"/>
      <c r="O339" s="1280"/>
      <c r="Z339" s="1280"/>
    </row>
    <row r="340" spans="1:26" x14ac:dyDescent="0.6">
      <c r="A340" s="1930"/>
      <c r="N340" s="1399"/>
      <c r="O340" s="1280"/>
      <c r="Z340" s="1280"/>
    </row>
    <row r="341" spans="1:26" x14ac:dyDescent="0.6">
      <c r="A341" s="1930"/>
      <c r="N341" s="1399"/>
      <c r="O341" s="1280"/>
      <c r="Z341" s="1280"/>
    </row>
    <row r="342" spans="1:26" x14ac:dyDescent="0.6">
      <c r="A342" s="1930"/>
      <c r="N342" s="1399"/>
      <c r="O342" s="1280"/>
      <c r="Z342" s="1280"/>
    </row>
    <row r="343" spans="1:26" x14ac:dyDescent="0.6">
      <c r="A343" s="1930"/>
      <c r="N343" s="1399"/>
      <c r="O343" s="1280"/>
      <c r="Z343" s="1280"/>
    </row>
    <row r="344" spans="1:26" x14ac:dyDescent="0.6">
      <c r="A344" s="1930"/>
      <c r="N344" s="1399"/>
      <c r="O344" s="1280"/>
      <c r="Z344" s="1280"/>
    </row>
    <row r="345" spans="1:26" x14ac:dyDescent="0.6">
      <c r="A345" s="1930"/>
      <c r="N345" s="1399"/>
      <c r="O345" s="1280"/>
      <c r="Z345" s="1280"/>
    </row>
    <row r="346" spans="1:26" x14ac:dyDescent="0.6">
      <c r="A346" s="1930"/>
      <c r="N346" s="1399"/>
      <c r="O346" s="1280"/>
      <c r="Z346" s="1280"/>
    </row>
    <row r="347" spans="1:26" x14ac:dyDescent="0.6">
      <c r="A347" s="1930"/>
      <c r="N347" s="1399"/>
      <c r="O347" s="1280"/>
      <c r="Z347" s="1280"/>
    </row>
    <row r="348" spans="1:26" x14ac:dyDescent="0.6">
      <c r="A348" s="1930"/>
      <c r="N348" s="1399"/>
      <c r="O348" s="1280"/>
      <c r="Z348" s="1280"/>
    </row>
    <row r="349" spans="1:26" x14ac:dyDescent="0.6">
      <c r="A349" s="1930"/>
      <c r="N349" s="1399"/>
      <c r="O349" s="1280"/>
      <c r="Z349" s="1280"/>
    </row>
    <row r="350" spans="1:26" x14ac:dyDescent="0.6">
      <c r="A350" s="1930"/>
      <c r="N350" s="1399"/>
      <c r="O350" s="1280"/>
      <c r="Z350" s="1280"/>
    </row>
    <row r="351" spans="1:26" x14ac:dyDescent="0.6">
      <c r="A351" s="1930"/>
      <c r="N351" s="1399"/>
      <c r="O351" s="1280"/>
      <c r="Z351" s="1280"/>
    </row>
    <row r="352" spans="1:26" x14ac:dyDescent="0.6">
      <c r="A352" s="1930"/>
      <c r="N352" s="1399"/>
      <c r="O352" s="1280"/>
      <c r="Z352" s="1280"/>
    </row>
    <row r="353" spans="1:26" x14ac:dyDescent="0.6">
      <c r="A353" s="1930"/>
      <c r="N353" s="1399"/>
      <c r="O353" s="1280"/>
      <c r="Z353" s="1280"/>
    </row>
    <row r="354" spans="1:26" x14ac:dyDescent="0.6">
      <c r="A354" s="1930"/>
      <c r="N354" s="1399"/>
      <c r="O354" s="1280"/>
      <c r="Z354" s="1280"/>
    </row>
    <row r="355" spans="1:26" x14ac:dyDescent="0.6">
      <c r="A355" s="1930"/>
      <c r="N355" s="1399"/>
      <c r="O355" s="1280"/>
      <c r="Z355" s="1280"/>
    </row>
    <row r="356" spans="1:26" x14ac:dyDescent="0.6">
      <c r="A356" s="1930"/>
      <c r="N356" s="1399"/>
      <c r="O356" s="1280"/>
      <c r="Z356" s="1280"/>
    </row>
    <row r="357" spans="1:26" x14ac:dyDescent="0.6">
      <c r="A357" s="1930"/>
      <c r="N357" s="1399"/>
      <c r="O357" s="1280"/>
      <c r="Z357" s="1280"/>
    </row>
    <row r="358" spans="1:26" x14ac:dyDescent="0.6">
      <c r="A358" s="1930"/>
      <c r="N358" s="1399"/>
      <c r="O358" s="1280"/>
      <c r="Z358" s="1280"/>
    </row>
    <row r="359" spans="1:26" x14ac:dyDescent="0.6">
      <c r="A359" s="1930"/>
      <c r="N359" s="1399"/>
      <c r="O359" s="1280"/>
      <c r="Z359" s="1280"/>
    </row>
    <row r="360" spans="1:26" x14ac:dyDescent="0.6">
      <c r="A360" s="1930"/>
      <c r="N360" s="1399"/>
      <c r="O360" s="1280"/>
      <c r="Z360" s="1280"/>
    </row>
    <row r="361" spans="1:26" x14ac:dyDescent="0.6">
      <c r="A361" s="1930"/>
      <c r="N361" s="1399"/>
      <c r="O361" s="1280"/>
      <c r="Z361" s="1280"/>
    </row>
    <row r="362" spans="1:26" x14ac:dyDescent="0.6">
      <c r="A362" s="1930"/>
      <c r="N362" s="1399"/>
      <c r="O362" s="1280"/>
      <c r="Z362" s="1280"/>
    </row>
    <row r="363" spans="1:26" x14ac:dyDescent="0.6">
      <c r="A363" s="1930"/>
      <c r="N363" s="1399"/>
      <c r="O363" s="1280"/>
      <c r="Z363" s="1280"/>
    </row>
    <row r="364" spans="1:26" x14ac:dyDescent="0.6">
      <c r="A364" s="1930"/>
      <c r="N364" s="1399"/>
      <c r="O364" s="1280"/>
      <c r="Z364" s="1280"/>
    </row>
    <row r="365" spans="1:26" x14ac:dyDescent="0.6">
      <c r="A365" s="1930"/>
      <c r="N365" s="1399"/>
      <c r="O365" s="1280"/>
      <c r="Z365" s="1280"/>
    </row>
    <row r="366" spans="1:26" x14ac:dyDescent="0.6">
      <c r="A366" s="1930"/>
      <c r="N366" s="1399"/>
      <c r="O366" s="1280"/>
      <c r="Z366" s="1280"/>
    </row>
    <row r="367" spans="1:26" x14ac:dyDescent="0.6">
      <c r="A367" s="1930"/>
      <c r="N367" s="1399"/>
      <c r="O367" s="1280"/>
      <c r="Z367" s="1280"/>
    </row>
    <row r="368" spans="1:26" x14ac:dyDescent="0.6">
      <c r="A368" s="1930"/>
      <c r="N368" s="1399"/>
      <c r="O368" s="1280"/>
      <c r="Z368" s="1280"/>
    </row>
    <row r="369" spans="1:26" x14ac:dyDescent="0.6">
      <c r="A369" s="1930"/>
      <c r="N369" s="1399"/>
      <c r="O369" s="1280"/>
      <c r="Z369" s="1280"/>
    </row>
    <row r="370" spans="1:26" x14ac:dyDescent="0.6">
      <c r="A370" s="1930"/>
      <c r="N370" s="1399"/>
      <c r="O370" s="1280"/>
      <c r="Z370" s="1280"/>
    </row>
    <row r="371" spans="1:26" x14ac:dyDescent="0.6">
      <c r="A371" s="1930"/>
      <c r="N371" s="1399"/>
      <c r="O371" s="1280"/>
      <c r="Z371" s="1280"/>
    </row>
    <row r="372" spans="1:26" x14ac:dyDescent="0.6">
      <c r="A372" s="1930"/>
      <c r="N372" s="1399"/>
      <c r="O372" s="1280"/>
      <c r="Z372" s="1280"/>
    </row>
    <row r="373" spans="1:26" x14ac:dyDescent="0.6">
      <c r="A373" s="1930"/>
      <c r="N373" s="1399"/>
      <c r="O373" s="1280"/>
      <c r="Z373" s="1280"/>
    </row>
    <row r="374" spans="1:26" x14ac:dyDescent="0.6">
      <c r="A374" s="1930"/>
      <c r="N374" s="1399"/>
      <c r="O374" s="1280"/>
      <c r="Z374" s="1280"/>
    </row>
    <row r="375" spans="1:26" x14ac:dyDescent="0.6">
      <c r="A375" s="1930"/>
      <c r="N375" s="1399"/>
      <c r="O375" s="1280"/>
      <c r="Z375" s="1280"/>
    </row>
    <row r="376" spans="1:26" x14ac:dyDescent="0.6">
      <c r="A376" s="1930"/>
      <c r="N376" s="1399"/>
      <c r="O376" s="1280"/>
      <c r="Z376" s="1280"/>
    </row>
    <row r="377" spans="1:26" x14ac:dyDescent="0.6">
      <c r="A377" s="1930"/>
      <c r="N377" s="1399"/>
      <c r="O377" s="1280"/>
      <c r="Z377" s="1280"/>
    </row>
    <row r="378" spans="1:26" x14ac:dyDescent="0.6">
      <c r="A378" s="1930"/>
      <c r="N378" s="1399"/>
      <c r="O378" s="1280"/>
      <c r="Z378" s="1280"/>
    </row>
    <row r="379" spans="1:26" x14ac:dyDescent="0.6">
      <c r="A379" s="1930"/>
      <c r="N379" s="1399"/>
      <c r="O379" s="1280"/>
      <c r="Z379" s="1280"/>
    </row>
    <row r="380" spans="1:26" x14ac:dyDescent="0.6">
      <c r="A380" s="1930"/>
      <c r="N380" s="1399"/>
      <c r="O380" s="1280"/>
      <c r="Z380" s="1280"/>
    </row>
    <row r="381" spans="1:26" x14ac:dyDescent="0.6">
      <c r="A381" s="1930"/>
      <c r="N381" s="1399"/>
      <c r="O381" s="1280"/>
      <c r="Z381" s="1280"/>
    </row>
    <row r="382" spans="1:26" x14ac:dyDescent="0.6">
      <c r="A382" s="1930"/>
      <c r="N382" s="1399"/>
      <c r="O382" s="1280"/>
      <c r="Z382" s="1280"/>
    </row>
    <row r="383" spans="1:26" x14ac:dyDescent="0.6">
      <c r="A383" s="1930"/>
      <c r="N383" s="1399"/>
      <c r="O383" s="1280"/>
      <c r="Z383" s="1280"/>
    </row>
    <row r="384" spans="1:26" x14ac:dyDescent="0.6">
      <c r="A384" s="1930"/>
      <c r="N384" s="1399"/>
      <c r="O384" s="1280"/>
      <c r="Z384" s="1280"/>
    </row>
    <row r="385" spans="1:26" x14ac:dyDescent="0.6">
      <c r="A385" s="1930"/>
      <c r="N385" s="1399"/>
      <c r="O385" s="1280"/>
      <c r="Z385" s="1280"/>
    </row>
    <row r="386" spans="1:26" x14ac:dyDescent="0.6">
      <c r="A386" s="1930"/>
      <c r="N386" s="1399"/>
      <c r="O386" s="1280"/>
      <c r="Z386" s="1280"/>
    </row>
    <row r="387" spans="1:26" x14ac:dyDescent="0.6">
      <c r="A387" s="1930"/>
      <c r="N387" s="1399"/>
      <c r="O387" s="1280"/>
      <c r="Z387" s="1280"/>
    </row>
    <row r="388" spans="1:26" x14ac:dyDescent="0.6">
      <c r="A388" s="1930"/>
      <c r="N388" s="1399"/>
      <c r="O388" s="1280"/>
      <c r="Z388" s="1280"/>
    </row>
    <row r="389" spans="1:26" x14ac:dyDescent="0.6">
      <c r="A389" s="1930"/>
      <c r="N389" s="1399"/>
      <c r="O389" s="1280"/>
      <c r="Z389" s="1280"/>
    </row>
    <row r="390" spans="1:26" x14ac:dyDescent="0.6">
      <c r="A390" s="1930"/>
      <c r="N390" s="1399"/>
      <c r="O390" s="1280"/>
      <c r="Z390" s="1280"/>
    </row>
    <row r="391" spans="1:26" x14ac:dyDescent="0.6">
      <c r="A391" s="1930"/>
      <c r="N391" s="1399"/>
      <c r="O391" s="1280"/>
      <c r="Z391" s="1280"/>
    </row>
    <row r="392" spans="1:26" x14ac:dyDescent="0.6">
      <c r="A392" s="1930"/>
      <c r="N392" s="1399"/>
      <c r="O392" s="1280"/>
      <c r="Z392" s="1280"/>
    </row>
    <row r="393" spans="1:26" x14ac:dyDescent="0.6">
      <c r="A393" s="1930"/>
      <c r="N393" s="1399"/>
      <c r="O393" s="1280"/>
      <c r="Z393" s="1280"/>
    </row>
    <row r="394" spans="1:26" x14ac:dyDescent="0.6">
      <c r="A394" s="1930"/>
      <c r="N394" s="1399"/>
      <c r="O394" s="1280"/>
      <c r="Z394" s="1280"/>
    </row>
    <row r="395" spans="1:26" x14ac:dyDescent="0.6">
      <c r="A395" s="1930"/>
      <c r="N395" s="1399"/>
      <c r="O395" s="1280"/>
      <c r="Z395" s="1280"/>
    </row>
    <row r="396" spans="1:26" x14ac:dyDescent="0.6">
      <c r="A396" s="1930"/>
      <c r="N396" s="1399"/>
      <c r="O396" s="1280"/>
      <c r="Z396" s="1280"/>
    </row>
    <row r="397" spans="1:26" x14ac:dyDescent="0.6">
      <c r="A397" s="1930"/>
      <c r="N397" s="1399"/>
      <c r="O397" s="1280"/>
      <c r="Z397" s="1280"/>
    </row>
    <row r="398" spans="1:26" x14ac:dyDescent="0.6">
      <c r="A398" s="1930"/>
      <c r="N398" s="1399"/>
      <c r="O398" s="1280"/>
      <c r="Z398" s="1280"/>
    </row>
    <row r="399" spans="1:26" x14ac:dyDescent="0.6">
      <c r="A399" s="1930"/>
      <c r="N399" s="1399"/>
      <c r="O399" s="1280"/>
      <c r="Z399" s="1280"/>
    </row>
    <row r="400" spans="1:26" x14ac:dyDescent="0.6">
      <c r="A400" s="1930"/>
      <c r="N400" s="1399"/>
      <c r="O400" s="1280"/>
      <c r="Z400" s="1280"/>
    </row>
    <row r="401" spans="1:26" x14ac:dyDescent="0.6">
      <c r="A401" s="1930"/>
      <c r="N401" s="1399"/>
      <c r="O401" s="1280"/>
      <c r="Z401" s="1280"/>
    </row>
    <row r="402" spans="1:26" x14ac:dyDescent="0.6">
      <c r="A402" s="1930"/>
      <c r="N402" s="1399"/>
      <c r="O402" s="1280"/>
      <c r="Z402" s="1280"/>
    </row>
    <row r="403" spans="1:26" x14ac:dyDescent="0.6">
      <c r="A403" s="1930"/>
      <c r="N403" s="1399"/>
      <c r="O403" s="1280"/>
      <c r="Z403" s="1280"/>
    </row>
    <row r="404" spans="1:26" x14ac:dyDescent="0.6">
      <c r="A404" s="1930"/>
      <c r="N404" s="1399"/>
      <c r="O404" s="1280"/>
      <c r="Z404" s="1280"/>
    </row>
    <row r="405" spans="1:26" x14ac:dyDescent="0.6">
      <c r="A405" s="1930"/>
      <c r="N405" s="1399"/>
      <c r="O405" s="1280"/>
      <c r="Z405" s="1280"/>
    </row>
    <row r="406" spans="1:26" x14ac:dyDescent="0.6">
      <c r="A406" s="1930"/>
      <c r="N406" s="1399"/>
      <c r="O406" s="1280"/>
      <c r="Z406" s="1280"/>
    </row>
    <row r="407" spans="1:26" x14ac:dyDescent="0.6">
      <c r="A407" s="1930"/>
      <c r="N407" s="1399"/>
      <c r="O407" s="1280"/>
      <c r="Z407" s="1280"/>
    </row>
    <row r="408" spans="1:26" x14ac:dyDescent="0.6">
      <c r="A408" s="1930"/>
      <c r="N408" s="1399"/>
      <c r="O408" s="1280"/>
      <c r="Z408" s="1280"/>
    </row>
    <row r="409" spans="1:26" x14ac:dyDescent="0.6">
      <c r="A409" s="1930"/>
      <c r="N409" s="1399"/>
      <c r="O409" s="1280"/>
      <c r="Z409" s="1280"/>
    </row>
    <row r="410" spans="1:26" x14ac:dyDescent="0.6">
      <c r="A410" s="1930"/>
      <c r="N410" s="1399"/>
      <c r="O410" s="1280"/>
      <c r="Z410" s="1280"/>
    </row>
    <row r="411" spans="1:26" x14ac:dyDescent="0.6">
      <c r="A411" s="1930"/>
      <c r="N411" s="1399"/>
      <c r="O411" s="1280"/>
      <c r="Z411" s="1280"/>
    </row>
    <row r="412" spans="1:26" x14ac:dyDescent="0.6">
      <c r="A412" s="1930"/>
      <c r="N412" s="1399"/>
      <c r="O412" s="1280"/>
      <c r="Z412" s="1280"/>
    </row>
    <row r="413" spans="1:26" x14ac:dyDescent="0.6">
      <c r="A413" s="1930"/>
      <c r="N413" s="1399"/>
      <c r="O413" s="1280"/>
      <c r="Z413" s="1280"/>
    </row>
    <row r="414" spans="1:26" x14ac:dyDescent="0.6">
      <c r="A414" s="1930"/>
      <c r="N414" s="1399"/>
      <c r="O414" s="1280"/>
      <c r="Z414" s="1280"/>
    </row>
    <row r="415" spans="1:26" x14ac:dyDescent="0.6">
      <c r="A415" s="1930"/>
      <c r="N415" s="1399"/>
      <c r="O415" s="1280"/>
      <c r="Z415" s="1280"/>
    </row>
    <row r="416" spans="1:26" x14ac:dyDescent="0.6">
      <c r="A416" s="1930"/>
      <c r="N416" s="1399"/>
      <c r="O416" s="1280"/>
      <c r="Z416" s="1280"/>
    </row>
    <row r="417" spans="1:26" x14ac:dyDescent="0.6">
      <c r="A417" s="1930"/>
      <c r="N417" s="1399"/>
      <c r="O417" s="1280"/>
      <c r="Z417" s="1280"/>
    </row>
    <row r="418" spans="1:26" x14ac:dyDescent="0.6">
      <c r="A418" s="1930"/>
      <c r="N418" s="1399"/>
      <c r="O418" s="1280"/>
      <c r="Z418" s="1280"/>
    </row>
    <row r="419" spans="1:26" x14ac:dyDescent="0.6">
      <c r="A419" s="1930"/>
      <c r="N419" s="1399"/>
      <c r="O419" s="1280"/>
      <c r="Z419" s="1280"/>
    </row>
    <row r="420" spans="1:26" x14ac:dyDescent="0.6">
      <c r="A420" s="1930"/>
      <c r="N420" s="1399"/>
      <c r="O420" s="1280"/>
      <c r="Z420" s="1280"/>
    </row>
    <row r="421" spans="1:26" x14ac:dyDescent="0.6">
      <c r="A421" s="1930"/>
      <c r="N421" s="1399"/>
      <c r="O421" s="1280"/>
      <c r="Z421" s="1280"/>
    </row>
    <row r="422" spans="1:26" x14ac:dyDescent="0.6">
      <c r="A422" s="1930"/>
      <c r="N422" s="1399"/>
      <c r="O422" s="1280"/>
      <c r="Z422" s="1280"/>
    </row>
    <row r="423" spans="1:26" x14ac:dyDescent="0.6">
      <c r="A423" s="1930"/>
      <c r="N423" s="1399"/>
      <c r="O423" s="1280"/>
      <c r="Z423" s="1280"/>
    </row>
    <row r="424" spans="1:26" x14ac:dyDescent="0.6">
      <c r="A424" s="1930"/>
      <c r="N424" s="1399"/>
      <c r="O424" s="1280"/>
      <c r="Z424" s="1280"/>
    </row>
    <row r="425" spans="1:26" x14ac:dyDescent="0.6">
      <c r="A425" s="1930"/>
      <c r="N425" s="1399"/>
      <c r="O425" s="1280"/>
      <c r="Z425" s="1280"/>
    </row>
    <row r="426" spans="1:26" x14ac:dyDescent="0.6">
      <c r="A426" s="1930"/>
      <c r="N426" s="1399"/>
      <c r="O426" s="1280"/>
      <c r="Z426" s="1280"/>
    </row>
    <row r="427" spans="1:26" x14ac:dyDescent="0.6">
      <c r="A427" s="1930"/>
      <c r="N427" s="1399"/>
      <c r="O427" s="1280"/>
      <c r="Z427" s="1280"/>
    </row>
    <row r="428" spans="1:26" x14ac:dyDescent="0.6">
      <c r="A428" s="1930"/>
      <c r="N428" s="1399"/>
      <c r="O428" s="1280"/>
      <c r="Z428" s="1280"/>
    </row>
    <row r="429" spans="1:26" x14ac:dyDescent="0.6">
      <c r="A429" s="1930"/>
      <c r="N429" s="1399"/>
      <c r="O429" s="1280"/>
      <c r="Z429" s="1280"/>
    </row>
    <row r="430" spans="1:26" x14ac:dyDescent="0.6">
      <c r="A430" s="1930"/>
      <c r="N430" s="1399"/>
      <c r="O430" s="1280"/>
      <c r="Z430" s="1280"/>
    </row>
    <row r="431" spans="1:26" x14ac:dyDescent="0.6">
      <c r="A431" s="1930"/>
      <c r="N431" s="1399"/>
      <c r="O431" s="1280"/>
      <c r="Z431" s="1280"/>
    </row>
    <row r="432" spans="1:26" x14ac:dyDescent="0.6">
      <c r="A432" s="1930"/>
      <c r="N432" s="1399"/>
      <c r="O432" s="1280"/>
      <c r="Z432" s="1280"/>
    </row>
    <row r="433" spans="1:26" x14ac:dyDescent="0.6">
      <c r="A433" s="1930"/>
      <c r="N433" s="1399"/>
      <c r="O433" s="1280"/>
      <c r="Z433" s="1280"/>
    </row>
    <row r="434" spans="1:26" x14ac:dyDescent="0.6">
      <c r="A434" s="1930"/>
      <c r="N434" s="1399"/>
      <c r="O434" s="1280"/>
      <c r="Z434" s="1280"/>
    </row>
    <row r="435" spans="1:26" x14ac:dyDescent="0.6">
      <c r="A435" s="1930"/>
      <c r="N435" s="1399"/>
      <c r="O435" s="1280"/>
      <c r="Z435" s="1280"/>
    </row>
    <row r="436" spans="1:26" x14ac:dyDescent="0.6">
      <c r="A436" s="1930"/>
      <c r="N436" s="1399"/>
      <c r="O436" s="1280"/>
      <c r="Z436" s="1280"/>
    </row>
    <row r="437" spans="1:26" x14ac:dyDescent="0.6">
      <c r="A437" s="1930"/>
      <c r="N437" s="1399"/>
      <c r="O437" s="1280"/>
      <c r="Z437" s="1280"/>
    </row>
    <row r="438" spans="1:26" x14ac:dyDescent="0.6">
      <c r="A438" s="1930"/>
      <c r="N438" s="1399"/>
      <c r="O438" s="1280"/>
      <c r="Z438" s="1280"/>
    </row>
    <row r="439" spans="1:26" x14ac:dyDescent="0.6">
      <c r="A439" s="1930"/>
      <c r="N439" s="1399"/>
      <c r="O439" s="1280"/>
      <c r="Z439" s="1280"/>
    </row>
    <row r="440" spans="1:26" x14ac:dyDescent="0.6">
      <c r="A440" s="1930"/>
      <c r="N440" s="1399"/>
      <c r="O440" s="1280"/>
      <c r="Z440" s="1280"/>
    </row>
    <row r="441" spans="1:26" x14ac:dyDescent="0.6">
      <c r="A441" s="1930"/>
      <c r="N441" s="1399"/>
      <c r="O441" s="1280"/>
      <c r="Z441" s="1280"/>
    </row>
    <row r="442" spans="1:26" x14ac:dyDescent="0.6">
      <c r="A442" s="1930"/>
      <c r="N442" s="1399"/>
      <c r="O442" s="1280"/>
      <c r="Z442" s="1280"/>
    </row>
    <row r="443" spans="1:26" x14ac:dyDescent="0.6">
      <c r="A443" s="1930"/>
      <c r="N443" s="1399"/>
      <c r="O443" s="1280"/>
      <c r="Z443" s="1280"/>
    </row>
    <row r="444" spans="1:26" x14ac:dyDescent="0.6">
      <c r="A444" s="1930"/>
      <c r="N444" s="1399"/>
      <c r="O444" s="1280"/>
      <c r="Z444" s="1280"/>
    </row>
    <row r="445" spans="1:26" x14ac:dyDescent="0.6">
      <c r="A445" s="1930"/>
      <c r="N445" s="1399"/>
      <c r="O445" s="1280"/>
      <c r="Z445" s="1280"/>
    </row>
    <row r="446" spans="1:26" x14ac:dyDescent="0.6">
      <c r="A446" s="1930"/>
      <c r="N446" s="1399"/>
      <c r="O446" s="1280"/>
      <c r="Z446" s="1280"/>
    </row>
    <row r="447" spans="1:26" x14ac:dyDescent="0.6">
      <c r="A447" s="1930"/>
      <c r="N447" s="1399"/>
      <c r="O447" s="1280"/>
      <c r="Z447" s="1280"/>
    </row>
    <row r="448" spans="1:26" x14ac:dyDescent="0.6">
      <c r="A448" s="1930"/>
      <c r="N448" s="1399"/>
      <c r="O448" s="1280"/>
      <c r="Z448" s="1280"/>
    </row>
    <row r="449" spans="1:26" x14ac:dyDescent="0.6">
      <c r="A449" s="1930"/>
      <c r="N449" s="1399"/>
      <c r="O449" s="1280"/>
      <c r="Z449" s="1280"/>
    </row>
    <row r="450" spans="1:26" x14ac:dyDescent="0.6">
      <c r="A450" s="1930"/>
      <c r="N450" s="1399"/>
      <c r="O450" s="1280"/>
      <c r="Z450" s="1280"/>
    </row>
    <row r="451" spans="1:26" x14ac:dyDescent="0.6">
      <c r="A451" s="1930"/>
      <c r="N451" s="1399"/>
      <c r="O451" s="1280"/>
      <c r="Z451" s="1280"/>
    </row>
    <row r="452" spans="1:26" x14ac:dyDescent="0.6">
      <c r="A452" s="1930"/>
      <c r="N452" s="1399"/>
      <c r="O452" s="1280"/>
      <c r="Z452" s="1280"/>
    </row>
    <row r="453" spans="1:26" x14ac:dyDescent="0.6">
      <c r="A453" s="1930"/>
      <c r="N453" s="1399"/>
      <c r="O453" s="1280"/>
      <c r="Z453" s="1280"/>
    </row>
    <row r="454" spans="1:26" x14ac:dyDescent="0.6">
      <c r="A454" s="1930"/>
      <c r="N454" s="1399"/>
      <c r="O454" s="1280"/>
      <c r="Z454" s="1280"/>
    </row>
    <row r="455" spans="1:26" x14ac:dyDescent="0.6">
      <c r="A455" s="1930"/>
      <c r="N455" s="1399"/>
      <c r="O455" s="1280"/>
      <c r="Z455" s="1280"/>
    </row>
    <row r="456" spans="1:26" x14ac:dyDescent="0.6">
      <c r="A456" s="1930"/>
      <c r="N456" s="1399"/>
      <c r="O456" s="1280"/>
      <c r="Z456" s="1280"/>
    </row>
    <row r="457" spans="1:26" x14ac:dyDescent="0.6">
      <c r="A457" s="1930"/>
      <c r="N457" s="1399"/>
      <c r="O457" s="1280"/>
      <c r="Z457" s="1280"/>
    </row>
    <row r="458" spans="1:26" x14ac:dyDescent="0.6">
      <c r="A458" s="1930"/>
      <c r="N458" s="1399"/>
      <c r="O458" s="1280"/>
      <c r="Z458" s="1280"/>
    </row>
    <row r="459" spans="1:26" x14ac:dyDescent="0.6">
      <c r="A459" s="1930"/>
      <c r="N459" s="1399"/>
      <c r="O459" s="1280"/>
      <c r="Z459" s="1280"/>
    </row>
    <row r="460" spans="1:26" x14ac:dyDescent="0.6">
      <c r="A460" s="1930"/>
      <c r="N460" s="1399"/>
      <c r="O460" s="1280"/>
      <c r="Z460" s="1280"/>
    </row>
    <row r="461" spans="1:26" x14ac:dyDescent="0.6">
      <c r="A461" s="1930"/>
      <c r="N461" s="1399"/>
      <c r="O461" s="1280"/>
      <c r="Z461" s="1280"/>
    </row>
    <row r="462" spans="1:26" x14ac:dyDescent="0.6">
      <c r="A462" s="1930"/>
      <c r="N462" s="1399"/>
      <c r="O462" s="1280"/>
      <c r="Z462" s="1280"/>
    </row>
    <row r="463" spans="1:26" x14ac:dyDescent="0.6">
      <c r="A463" s="1930"/>
      <c r="N463" s="1399"/>
      <c r="O463" s="1280"/>
      <c r="Z463" s="1280"/>
    </row>
    <row r="464" spans="1:26" x14ac:dyDescent="0.6">
      <c r="A464" s="1930"/>
      <c r="N464" s="1399"/>
      <c r="O464" s="1280"/>
      <c r="Z464" s="1280"/>
    </row>
    <row r="465" spans="1:26" x14ac:dyDescent="0.6">
      <c r="A465" s="1930"/>
      <c r="N465" s="1399"/>
      <c r="O465" s="1280"/>
      <c r="Z465" s="1280"/>
    </row>
    <row r="466" spans="1:26" x14ac:dyDescent="0.6">
      <c r="A466" s="1930"/>
      <c r="N466" s="1399"/>
      <c r="O466" s="1280"/>
      <c r="Z466" s="1280"/>
    </row>
    <row r="467" spans="1:26" x14ac:dyDescent="0.6">
      <c r="A467" s="1930"/>
      <c r="N467" s="1399"/>
      <c r="O467" s="1280"/>
      <c r="Z467" s="1280"/>
    </row>
    <row r="468" spans="1:26" x14ac:dyDescent="0.6">
      <c r="A468" s="1930"/>
      <c r="N468" s="1399"/>
      <c r="O468" s="1280"/>
      <c r="Z468" s="1280"/>
    </row>
    <row r="469" spans="1:26" x14ac:dyDescent="0.6">
      <c r="A469" s="1930"/>
      <c r="N469" s="1399"/>
      <c r="O469" s="1280"/>
      <c r="Z469" s="1280"/>
    </row>
    <row r="470" spans="1:26" x14ac:dyDescent="0.6">
      <c r="A470" s="1930"/>
      <c r="N470" s="1399"/>
      <c r="O470" s="1280"/>
      <c r="Z470" s="1280"/>
    </row>
    <row r="471" spans="1:26" x14ac:dyDescent="0.6">
      <c r="A471" s="1930"/>
      <c r="N471" s="1399"/>
      <c r="O471" s="1280"/>
      <c r="Z471" s="1280"/>
    </row>
    <row r="472" spans="1:26" x14ac:dyDescent="0.6">
      <c r="A472" s="1930"/>
      <c r="N472" s="1399"/>
      <c r="O472" s="1280"/>
      <c r="Z472" s="1280"/>
    </row>
    <row r="473" spans="1:26" x14ac:dyDescent="0.6">
      <c r="A473" s="1930"/>
      <c r="N473" s="1399"/>
      <c r="O473" s="1280"/>
      <c r="Z473" s="1280"/>
    </row>
    <row r="474" spans="1:26" x14ac:dyDescent="0.6">
      <c r="A474" s="1930"/>
      <c r="N474" s="1399"/>
      <c r="O474" s="1280"/>
      <c r="Z474" s="1280"/>
    </row>
    <row r="475" spans="1:26" x14ac:dyDescent="0.6">
      <c r="A475" s="1930"/>
      <c r="N475" s="1399"/>
      <c r="O475" s="1280"/>
      <c r="Z475" s="1280"/>
    </row>
    <row r="476" spans="1:26" x14ac:dyDescent="0.6">
      <c r="A476" s="1930"/>
      <c r="N476" s="1399"/>
      <c r="O476" s="1280"/>
      <c r="Z476" s="1280"/>
    </row>
    <row r="477" spans="1:26" x14ac:dyDescent="0.6">
      <c r="A477" s="1930"/>
      <c r="N477" s="1399"/>
      <c r="O477" s="1280"/>
      <c r="Z477" s="1280"/>
    </row>
    <row r="478" spans="1:26" x14ac:dyDescent="0.6">
      <c r="A478" s="1930"/>
      <c r="N478" s="1399"/>
      <c r="O478" s="1280"/>
      <c r="Z478" s="1280"/>
    </row>
    <row r="479" spans="1:26" x14ac:dyDescent="0.6">
      <c r="A479" s="1930"/>
      <c r="N479" s="1399"/>
      <c r="O479" s="1280"/>
      <c r="Z479" s="1280"/>
    </row>
    <row r="480" spans="1:26" x14ac:dyDescent="0.6">
      <c r="A480" s="1930"/>
      <c r="N480" s="1399"/>
      <c r="O480" s="1280"/>
      <c r="Z480" s="1280"/>
    </row>
    <row r="481" spans="1:26" x14ac:dyDescent="0.6">
      <c r="A481" s="1930"/>
      <c r="N481" s="1399"/>
      <c r="O481" s="1280"/>
      <c r="Z481" s="1280"/>
    </row>
    <row r="482" spans="1:26" x14ac:dyDescent="0.6">
      <c r="A482" s="1930"/>
      <c r="N482" s="1399"/>
      <c r="O482" s="1280"/>
      <c r="Z482" s="1280"/>
    </row>
    <row r="483" spans="1:26" x14ac:dyDescent="0.6">
      <c r="A483" s="1930"/>
      <c r="N483" s="1399"/>
      <c r="O483" s="1280"/>
      <c r="Z483" s="1280"/>
    </row>
    <row r="484" spans="1:26" x14ac:dyDescent="0.6">
      <c r="A484" s="1930"/>
      <c r="N484" s="1399"/>
      <c r="O484" s="1280"/>
      <c r="Z484" s="1280"/>
    </row>
    <row r="485" spans="1:26" x14ac:dyDescent="0.6">
      <c r="A485" s="1930"/>
      <c r="N485" s="1399"/>
      <c r="O485" s="1280"/>
      <c r="Z485" s="1280"/>
    </row>
    <row r="486" spans="1:26" x14ac:dyDescent="0.6">
      <c r="A486" s="1930"/>
      <c r="N486" s="1399"/>
      <c r="O486" s="1280"/>
      <c r="Z486" s="1280"/>
    </row>
    <row r="487" spans="1:26" x14ac:dyDescent="0.6">
      <c r="A487" s="1930"/>
      <c r="N487" s="1399"/>
      <c r="O487" s="1280"/>
      <c r="Z487" s="1280"/>
    </row>
    <row r="488" spans="1:26" x14ac:dyDescent="0.6">
      <c r="A488" s="1930"/>
      <c r="N488" s="1399"/>
      <c r="O488" s="1280"/>
      <c r="Z488" s="1280"/>
    </row>
    <row r="489" spans="1:26" x14ac:dyDescent="0.6">
      <c r="A489" s="1930"/>
      <c r="N489" s="1399"/>
      <c r="O489" s="1280"/>
      <c r="Z489" s="1280"/>
    </row>
    <row r="490" spans="1:26" x14ac:dyDescent="0.6">
      <c r="A490" s="1930"/>
      <c r="N490" s="1399"/>
      <c r="O490" s="1280"/>
      <c r="Z490" s="1280"/>
    </row>
    <row r="491" spans="1:26" x14ac:dyDescent="0.6">
      <c r="A491" s="1930"/>
      <c r="N491" s="1399"/>
      <c r="O491" s="1280"/>
      <c r="Z491" s="1280"/>
    </row>
    <row r="492" spans="1:26" x14ac:dyDescent="0.6">
      <c r="A492" s="1930"/>
      <c r="N492" s="1399"/>
      <c r="O492" s="1280"/>
      <c r="Z492" s="1280"/>
    </row>
    <row r="493" spans="1:26" x14ac:dyDescent="0.6">
      <c r="A493" s="1930"/>
      <c r="N493" s="1399"/>
      <c r="O493" s="1280"/>
      <c r="Z493" s="1280"/>
    </row>
    <row r="494" spans="1:26" x14ac:dyDescent="0.6">
      <c r="A494" s="1930"/>
      <c r="N494" s="1399"/>
      <c r="O494" s="1280"/>
      <c r="Z494" s="1280"/>
    </row>
    <row r="495" spans="1:26" x14ac:dyDescent="0.6">
      <c r="A495" s="1930"/>
      <c r="N495" s="1399"/>
      <c r="O495" s="1280"/>
      <c r="Z495" s="1280"/>
    </row>
    <row r="496" spans="1:26" x14ac:dyDescent="0.6">
      <c r="A496" s="1930"/>
      <c r="N496" s="1399"/>
      <c r="O496" s="1280"/>
      <c r="Z496" s="1280"/>
    </row>
    <row r="497" spans="1:26" x14ac:dyDescent="0.6">
      <c r="A497" s="1930"/>
      <c r="N497" s="1399"/>
      <c r="O497" s="1280"/>
      <c r="Z497" s="1280"/>
    </row>
    <row r="498" spans="1:26" x14ac:dyDescent="0.6">
      <c r="A498" s="1930"/>
      <c r="N498" s="1399"/>
      <c r="O498" s="1280"/>
      <c r="Z498" s="1280"/>
    </row>
    <row r="499" spans="1:26" x14ac:dyDescent="0.6">
      <c r="A499" s="1930"/>
      <c r="N499" s="1399"/>
      <c r="O499" s="1280"/>
      <c r="Z499" s="1280"/>
    </row>
    <row r="500" spans="1:26" x14ac:dyDescent="0.6">
      <c r="A500" s="1930"/>
      <c r="N500" s="1399"/>
      <c r="O500" s="1280"/>
      <c r="Z500" s="1280"/>
    </row>
    <row r="501" spans="1:26" x14ac:dyDescent="0.6">
      <c r="A501" s="1930"/>
      <c r="N501" s="1399"/>
      <c r="O501" s="1280"/>
      <c r="Z501" s="1280"/>
    </row>
    <row r="502" spans="1:26" x14ac:dyDescent="0.6">
      <c r="A502" s="1930"/>
      <c r="N502" s="1399"/>
      <c r="O502" s="1280"/>
      <c r="Z502" s="1280"/>
    </row>
    <row r="503" spans="1:26" x14ac:dyDescent="0.6">
      <c r="A503" s="1930"/>
      <c r="N503" s="1399"/>
      <c r="O503" s="1280"/>
      <c r="Z503" s="1280"/>
    </row>
    <row r="504" spans="1:26" x14ac:dyDescent="0.6">
      <c r="A504" s="1930"/>
      <c r="N504" s="1399"/>
      <c r="O504" s="1280"/>
      <c r="Z504" s="1280"/>
    </row>
    <row r="505" spans="1:26" x14ac:dyDescent="0.6">
      <c r="A505" s="1930"/>
      <c r="N505" s="1399"/>
      <c r="O505" s="1280"/>
      <c r="Z505" s="1280"/>
    </row>
    <row r="506" spans="1:26" x14ac:dyDescent="0.6">
      <c r="A506" s="1930"/>
      <c r="N506" s="1399"/>
      <c r="O506" s="1280"/>
      <c r="Z506" s="1280"/>
    </row>
    <row r="507" spans="1:26" x14ac:dyDescent="0.6">
      <c r="A507" s="1930"/>
      <c r="N507" s="1399"/>
      <c r="O507" s="1280"/>
      <c r="Z507" s="1280"/>
    </row>
    <row r="508" spans="1:26" x14ac:dyDescent="0.6">
      <c r="A508" s="1930"/>
      <c r="N508" s="1399"/>
      <c r="O508" s="1280"/>
      <c r="Z508" s="1280"/>
    </row>
    <row r="509" spans="1:26" x14ac:dyDescent="0.6">
      <c r="A509" s="1930"/>
      <c r="N509" s="1399"/>
      <c r="O509" s="1280"/>
      <c r="Z509" s="1280"/>
    </row>
    <row r="510" spans="1:26" x14ac:dyDescent="0.6">
      <c r="A510" s="1930"/>
      <c r="N510" s="1399"/>
      <c r="O510" s="1280"/>
      <c r="Z510" s="1280"/>
    </row>
    <row r="511" spans="1:26" x14ac:dyDescent="0.6">
      <c r="A511" s="1930"/>
      <c r="N511" s="1399"/>
      <c r="O511" s="1280"/>
      <c r="Z511" s="1280"/>
    </row>
    <row r="512" spans="1:26" x14ac:dyDescent="0.6">
      <c r="A512" s="1930"/>
      <c r="N512" s="1399"/>
      <c r="O512" s="1280"/>
      <c r="Z512" s="1280"/>
    </row>
    <row r="513" spans="1:26" x14ac:dyDescent="0.6">
      <c r="A513" s="1930"/>
      <c r="N513" s="1399"/>
      <c r="O513" s="1280"/>
      <c r="Z513" s="1280"/>
    </row>
    <row r="514" spans="1:26" x14ac:dyDescent="0.6">
      <c r="A514" s="1930"/>
      <c r="N514" s="1399"/>
      <c r="O514" s="1280"/>
      <c r="Z514" s="1280"/>
    </row>
    <row r="515" spans="1:26" x14ac:dyDescent="0.6">
      <c r="A515" s="1930"/>
      <c r="N515" s="1399"/>
      <c r="O515" s="1280"/>
      <c r="Z515" s="1280"/>
    </row>
    <row r="516" spans="1:26" x14ac:dyDescent="0.6">
      <c r="A516" s="1930"/>
      <c r="N516" s="1399"/>
      <c r="O516" s="1280"/>
      <c r="Z516" s="1280"/>
    </row>
    <row r="517" spans="1:26" x14ac:dyDescent="0.6">
      <c r="A517" s="1930"/>
      <c r="N517" s="1399"/>
      <c r="O517" s="1280"/>
      <c r="Z517" s="1280"/>
    </row>
    <row r="518" spans="1:26" x14ac:dyDescent="0.6">
      <c r="A518" s="1930"/>
      <c r="N518" s="1399"/>
      <c r="O518" s="1280"/>
      <c r="Z518" s="1280"/>
    </row>
    <row r="519" spans="1:26" x14ac:dyDescent="0.6">
      <c r="A519" s="1930"/>
      <c r="N519" s="1399"/>
      <c r="O519" s="1280"/>
      <c r="Z519" s="1280"/>
    </row>
    <row r="520" spans="1:26" x14ac:dyDescent="0.6">
      <c r="A520" s="1930"/>
      <c r="N520" s="1399"/>
      <c r="O520" s="1280"/>
      <c r="Z520" s="1280"/>
    </row>
    <row r="521" spans="1:26" x14ac:dyDescent="0.6">
      <c r="A521" s="1930"/>
      <c r="N521" s="1399"/>
      <c r="O521" s="1280"/>
      <c r="Z521" s="1280"/>
    </row>
    <row r="522" spans="1:26" x14ac:dyDescent="0.6">
      <c r="A522" s="1930"/>
      <c r="N522" s="1399"/>
      <c r="O522" s="1280"/>
      <c r="Z522" s="1280"/>
    </row>
    <row r="523" spans="1:26" x14ac:dyDescent="0.6">
      <c r="A523" s="1930"/>
      <c r="N523" s="1399"/>
      <c r="O523" s="1280"/>
      <c r="Z523" s="1280"/>
    </row>
    <row r="524" spans="1:26" x14ac:dyDescent="0.6">
      <c r="A524" s="1930"/>
      <c r="N524" s="1399"/>
      <c r="O524" s="1280"/>
      <c r="Z524" s="1280"/>
    </row>
    <row r="525" spans="1:26" x14ac:dyDescent="0.6">
      <c r="A525" s="1930"/>
      <c r="N525" s="1399"/>
      <c r="O525" s="1280"/>
      <c r="Z525" s="1280"/>
    </row>
    <row r="526" spans="1:26" x14ac:dyDescent="0.6">
      <c r="A526" s="1930"/>
      <c r="N526" s="1399"/>
      <c r="O526" s="1280"/>
      <c r="Z526" s="1280"/>
    </row>
    <row r="527" spans="1:26" x14ac:dyDescent="0.6">
      <c r="A527" s="1930"/>
      <c r="N527" s="1399"/>
      <c r="O527" s="1280"/>
      <c r="Z527" s="1280"/>
    </row>
    <row r="528" spans="1:26" x14ac:dyDescent="0.6">
      <c r="A528" s="1930"/>
      <c r="N528" s="1399"/>
      <c r="O528" s="1280"/>
      <c r="Z528" s="1280"/>
    </row>
    <row r="529" spans="1:26" x14ac:dyDescent="0.6">
      <c r="A529" s="1930"/>
      <c r="N529" s="1399"/>
      <c r="O529" s="1280"/>
      <c r="Z529" s="1280"/>
    </row>
    <row r="530" spans="1:26" x14ac:dyDescent="0.6">
      <c r="A530" s="1930"/>
      <c r="N530" s="1399"/>
      <c r="O530" s="1280"/>
      <c r="Z530" s="1280"/>
    </row>
    <row r="531" spans="1:26" x14ac:dyDescent="0.6">
      <c r="A531" s="1930"/>
      <c r="N531" s="1399"/>
      <c r="O531" s="1280"/>
      <c r="Z531" s="1280"/>
    </row>
    <row r="532" spans="1:26" x14ac:dyDescent="0.6">
      <c r="A532" s="1930"/>
      <c r="N532" s="1399"/>
      <c r="O532" s="1280"/>
      <c r="Z532" s="1280"/>
    </row>
    <row r="533" spans="1:26" x14ac:dyDescent="0.6">
      <c r="A533" s="1930"/>
      <c r="N533" s="1399"/>
      <c r="O533" s="1280"/>
      <c r="Z533" s="1280"/>
    </row>
    <row r="534" spans="1:26" x14ac:dyDescent="0.6">
      <c r="A534" s="1930"/>
      <c r="N534" s="1399"/>
      <c r="O534" s="1280"/>
      <c r="Z534" s="1280"/>
    </row>
    <row r="535" spans="1:26" x14ac:dyDescent="0.6">
      <c r="A535" s="1930"/>
      <c r="N535" s="1399"/>
      <c r="O535" s="1280"/>
      <c r="Z535" s="1280"/>
    </row>
    <row r="536" spans="1:26" x14ac:dyDescent="0.6">
      <c r="A536" s="1930"/>
      <c r="N536" s="1399"/>
      <c r="O536" s="1280"/>
      <c r="Z536" s="1280"/>
    </row>
    <row r="537" spans="1:26" x14ac:dyDescent="0.6">
      <c r="A537" s="1930"/>
      <c r="N537" s="1399"/>
      <c r="O537" s="1280"/>
      <c r="Z537" s="1280"/>
    </row>
    <row r="538" spans="1:26" x14ac:dyDescent="0.6">
      <c r="A538" s="1930"/>
      <c r="N538" s="1399"/>
      <c r="O538" s="1280"/>
      <c r="Z538" s="1280"/>
    </row>
    <row r="539" spans="1:26" x14ac:dyDescent="0.6">
      <c r="A539" s="1930"/>
      <c r="N539" s="1399"/>
      <c r="O539" s="1280"/>
      <c r="Z539" s="1280"/>
    </row>
    <row r="540" spans="1:26" x14ac:dyDescent="0.6">
      <c r="A540" s="1930"/>
      <c r="N540" s="1399"/>
      <c r="O540" s="1280"/>
      <c r="Z540" s="1280"/>
    </row>
    <row r="541" spans="1:26" x14ac:dyDescent="0.6">
      <c r="A541" s="1930"/>
      <c r="N541" s="1399"/>
      <c r="O541" s="1280"/>
      <c r="Z541" s="1280"/>
    </row>
    <row r="542" spans="1:26" x14ac:dyDescent="0.6">
      <c r="A542" s="1930"/>
      <c r="N542" s="1399"/>
      <c r="O542" s="1280"/>
      <c r="Z542" s="1280"/>
    </row>
    <row r="543" spans="1:26" x14ac:dyDescent="0.6">
      <c r="A543" s="1930"/>
      <c r="N543" s="1399"/>
      <c r="O543" s="1280"/>
      <c r="Z543" s="1280"/>
    </row>
    <row r="544" spans="1:26" x14ac:dyDescent="0.6">
      <c r="A544" s="1930"/>
      <c r="N544" s="1399"/>
      <c r="O544" s="1280"/>
      <c r="Z544" s="1280"/>
    </row>
    <row r="545" spans="1:26" x14ac:dyDescent="0.6">
      <c r="A545" s="1930"/>
      <c r="N545" s="1399"/>
      <c r="O545" s="1280"/>
      <c r="Z545" s="1280"/>
    </row>
    <row r="546" spans="1:26" x14ac:dyDescent="0.6">
      <c r="A546" s="1930"/>
      <c r="N546" s="1399"/>
      <c r="O546" s="1280"/>
      <c r="Z546" s="1280"/>
    </row>
    <row r="547" spans="1:26" x14ac:dyDescent="0.6">
      <c r="A547" s="1930"/>
      <c r="N547" s="1399"/>
      <c r="O547" s="1280"/>
      <c r="Z547" s="1280"/>
    </row>
    <row r="548" spans="1:26" x14ac:dyDescent="0.6">
      <c r="A548" s="1930"/>
      <c r="N548" s="1399"/>
      <c r="O548" s="1280"/>
      <c r="Z548" s="1280"/>
    </row>
    <row r="549" spans="1:26" x14ac:dyDescent="0.6">
      <c r="A549" s="1930"/>
      <c r="N549" s="1399"/>
      <c r="O549" s="1280"/>
      <c r="Z549" s="1280"/>
    </row>
    <row r="550" spans="1:26" x14ac:dyDescent="0.6">
      <c r="A550" s="1930"/>
      <c r="N550" s="1399"/>
      <c r="O550" s="1280"/>
      <c r="Z550" s="1280"/>
    </row>
    <row r="551" spans="1:26" x14ac:dyDescent="0.6">
      <c r="A551" s="1930"/>
      <c r="N551" s="1399"/>
      <c r="O551" s="1280"/>
      <c r="Z551" s="1280"/>
    </row>
    <row r="552" spans="1:26" x14ac:dyDescent="0.6">
      <c r="A552" s="1930"/>
      <c r="N552" s="1399"/>
      <c r="O552" s="1280"/>
      <c r="Z552" s="1280"/>
    </row>
    <row r="553" spans="1:26" x14ac:dyDescent="0.6">
      <c r="A553" s="1930"/>
      <c r="N553" s="1399"/>
      <c r="O553" s="1280"/>
      <c r="Z553" s="1280"/>
    </row>
    <row r="554" spans="1:26" x14ac:dyDescent="0.6">
      <c r="A554" s="1930"/>
      <c r="N554" s="1399"/>
      <c r="O554" s="1280"/>
      <c r="Z554" s="1280"/>
    </row>
    <row r="555" spans="1:26" x14ac:dyDescent="0.6">
      <c r="A555" s="1930"/>
      <c r="N555" s="1399"/>
      <c r="O555" s="1280"/>
      <c r="Z555" s="1280"/>
    </row>
    <row r="556" spans="1:26" x14ac:dyDescent="0.6">
      <c r="A556" s="1930"/>
      <c r="N556" s="1399"/>
      <c r="O556" s="1280"/>
      <c r="Z556" s="1280"/>
    </row>
    <row r="557" spans="1:26" x14ac:dyDescent="0.6">
      <c r="A557" s="1930"/>
      <c r="N557" s="1399"/>
      <c r="O557" s="1280"/>
      <c r="Z557" s="1280"/>
    </row>
    <row r="558" spans="1:26" x14ac:dyDescent="0.6">
      <c r="A558" s="1930"/>
      <c r="N558" s="1399"/>
      <c r="O558" s="1280"/>
      <c r="Z558" s="1280"/>
    </row>
    <row r="559" spans="1:26" x14ac:dyDescent="0.6">
      <c r="A559" s="1930"/>
      <c r="N559" s="1399"/>
      <c r="O559" s="1280"/>
      <c r="Z559" s="1280"/>
    </row>
    <row r="560" spans="1:26" x14ac:dyDescent="0.6">
      <c r="A560" s="1930"/>
      <c r="N560" s="1399"/>
      <c r="O560" s="1280"/>
      <c r="Z560" s="1280"/>
    </row>
    <row r="561" spans="1:26" x14ac:dyDescent="0.6">
      <c r="A561" s="1930"/>
      <c r="N561" s="1399"/>
      <c r="O561" s="1280"/>
      <c r="Z561" s="1280"/>
    </row>
    <row r="562" spans="1:26" x14ac:dyDescent="0.6">
      <c r="A562" s="1930"/>
      <c r="N562" s="1399"/>
      <c r="O562" s="1280"/>
      <c r="Z562" s="1280"/>
    </row>
    <row r="563" spans="1:26" x14ac:dyDescent="0.6">
      <c r="A563" s="1930"/>
      <c r="N563" s="1399"/>
      <c r="O563" s="1280"/>
      <c r="Z563" s="1280"/>
    </row>
    <row r="564" spans="1:26" x14ac:dyDescent="0.6">
      <c r="A564" s="1930"/>
      <c r="N564" s="1399"/>
      <c r="O564" s="1280"/>
      <c r="Z564" s="1280"/>
    </row>
    <row r="565" spans="1:26" x14ac:dyDescent="0.6">
      <c r="A565" s="1930"/>
      <c r="N565" s="1399"/>
      <c r="O565" s="1280"/>
      <c r="Z565" s="1280"/>
    </row>
    <row r="566" spans="1:26" x14ac:dyDescent="0.6">
      <c r="A566" s="1930"/>
      <c r="N566" s="1399"/>
      <c r="O566" s="1280"/>
      <c r="Z566" s="1280"/>
    </row>
    <row r="567" spans="1:26" x14ac:dyDescent="0.6">
      <c r="A567" s="1930"/>
      <c r="N567" s="1399"/>
      <c r="O567" s="1280"/>
      <c r="Z567" s="1280"/>
    </row>
    <row r="568" spans="1:26" x14ac:dyDescent="0.6">
      <c r="A568" s="1930"/>
      <c r="N568" s="1399"/>
      <c r="O568" s="1280"/>
      <c r="Z568" s="1280"/>
    </row>
    <row r="569" spans="1:26" x14ac:dyDescent="0.6">
      <c r="A569" s="1930"/>
      <c r="N569" s="1399"/>
      <c r="O569" s="1280"/>
      <c r="Z569" s="1280"/>
    </row>
    <row r="570" spans="1:26" x14ac:dyDescent="0.6">
      <c r="A570" s="1930"/>
      <c r="N570" s="1399"/>
      <c r="O570" s="1280"/>
      <c r="Z570" s="1280"/>
    </row>
    <row r="571" spans="1:26" x14ac:dyDescent="0.6">
      <c r="A571" s="1930"/>
      <c r="N571" s="1399"/>
      <c r="O571" s="1280"/>
      <c r="Z571" s="1280"/>
    </row>
    <row r="572" spans="1:26" x14ac:dyDescent="0.6">
      <c r="A572" s="1930"/>
      <c r="N572" s="1399"/>
      <c r="O572" s="1280"/>
      <c r="Z572" s="1280"/>
    </row>
    <row r="573" spans="1:26" x14ac:dyDescent="0.6">
      <c r="A573" s="1930"/>
      <c r="N573" s="1399"/>
      <c r="O573" s="1280"/>
      <c r="Z573" s="1280"/>
    </row>
    <row r="574" spans="1:26" x14ac:dyDescent="0.6">
      <c r="A574" s="1930"/>
      <c r="N574" s="1399"/>
      <c r="O574" s="1280"/>
      <c r="Z574" s="1280"/>
    </row>
    <row r="575" spans="1:26" x14ac:dyDescent="0.6">
      <c r="A575" s="1930"/>
      <c r="N575" s="1399"/>
      <c r="O575" s="1280"/>
      <c r="Z575" s="1280"/>
    </row>
    <row r="576" spans="1:26" x14ac:dyDescent="0.6">
      <c r="A576" s="1930"/>
      <c r="N576" s="1399"/>
      <c r="O576" s="1280"/>
      <c r="Z576" s="1280"/>
    </row>
    <row r="577" spans="1:26" x14ac:dyDescent="0.6">
      <c r="A577" s="1930"/>
      <c r="N577" s="1399"/>
      <c r="O577" s="1280"/>
      <c r="Z577" s="1280"/>
    </row>
    <row r="578" spans="1:26" x14ac:dyDescent="0.6">
      <c r="A578" s="1930"/>
      <c r="N578" s="1399"/>
      <c r="O578" s="1280"/>
      <c r="Z578" s="1280"/>
    </row>
    <row r="579" spans="1:26" x14ac:dyDescent="0.6">
      <c r="A579" s="1930"/>
      <c r="N579" s="1399"/>
      <c r="O579" s="1280"/>
      <c r="Z579" s="1280"/>
    </row>
    <row r="580" spans="1:26" x14ac:dyDescent="0.6">
      <c r="A580" s="1930"/>
      <c r="N580" s="1399"/>
      <c r="O580" s="1280"/>
      <c r="Z580" s="1280"/>
    </row>
    <row r="581" spans="1:26" x14ac:dyDescent="0.6">
      <c r="A581" s="1930"/>
      <c r="N581" s="1399"/>
      <c r="O581" s="1280"/>
      <c r="Z581" s="1280"/>
    </row>
    <row r="582" spans="1:26" x14ac:dyDescent="0.6">
      <c r="A582" s="1930"/>
      <c r="N582" s="1399"/>
      <c r="O582" s="1280"/>
      <c r="Z582" s="1280"/>
    </row>
    <row r="583" spans="1:26" x14ac:dyDescent="0.6">
      <c r="A583" s="1930"/>
      <c r="N583" s="1399"/>
      <c r="O583" s="1280"/>
      <c r="Z583" s="1280"/>
    </row>
    <row r="584" spans="1:26" x14ac:dyDescent="0.6">
      <c r="A584" s="1930"/>
      <c r="N584" s="1399"/>
      <c r="O584" s="1280"/>
      <c r="Z584" s="1280"/>
    </row>
    <row r="585" spans="1:26" x14ac:dyDescent="0.6">
      <c r="A585" s="1930"/>
      <c r="N585" s="1399"/>
      <c r="O585" s="1280"/>
      <c r="Z585" s="1280"/>
    </row>
    <row r="586" spans="1:26" x14ac:dyDescent="0.6">
      <c r="A586" s="1930"/>
      <c r="N586" s="1399"/>
      <c r="O586" s="1280"/>
      <c r="Z586" s="1280"/>
    </row>
    <row r="587" spans="1:26" x14ac:dyDescent="0.6">
      <c r="A587" s="1930"/>
      <c r="N587" s="1399"/>
      <c r="O587" s="1280"/>
      <c r="Z587" s="1280"/>
    </row>
    <row r="588" spans="1:26" x14ac:dyDescent="0.6">
      <c r="A588" s="1930"/>
      <c r="N588" s="1399"/>
      <c r="O588" s="1280"/>
      <c r="Z588" s="1280"/>
    </row>
    <row r="589" spans="1:26" x14ac:dyDescent="0.6">
      <c r="A589" s="1930"/>
      <c r="N589" s="1399"/>
      <c r="O589" s="1280"/>
      <c r="Z589" s="1280"/>
    </row>
    <row r="590" spans="1:26" x14ac:dyDescent="0.6">
      <c r="A590" s="1930"/>
      <c r="N590" s="1399"/>
      <c r="O590" s="1280"/>
      <c r="Z590" s="1280"/>
    </row>
    <row r="591" spans="1:26" x14ac:dyDescent="0.6">
      <c r="A591" s="1930"/>
      <c r="N591" s="1399"/>
      <c r="O591" s="1280"/>
      <c r="Z591" s="1280"/>
    </row>
    <row r="592" spans="1:26" x14ac:dyDescent="0.6">
      <c r="A592" s="1930"/>
      <c r="N592" s="1399"/>
      <c r="O592" s="1280"/>
      <c r="Z592" s="1280"/>
    </row>
    <row r="593" spans="1:26" x14ac:dyDescent="0.6">
      <c r="A593" s="1930"/>
      <c r="N593" s="1399"/>
      <c r="O593" s="1280"/>
      <c r="Z593" s="1280"/>
    </row>
    <row r="594" spans="1:26" x14ac:dyDescent="0.6">
      <c r="A594" s="1930"/>
      <c r="N594" s="1399"/>
      <c r="O594" s="1280"/>
      <c r="Z594" s="1280"/>
    </row>
    <row r="595" spans="1:26" x14ac:dyDescent="0.6">
      <c r="A595" s="1930"/>
      <c r="N595" s="1399"/>
      <c r="O595" s="1280"/>
      <c r="Z595" s="1280"/>
    </row>
    <row r="596" spans="1:26" x14ac:dyDescent="0.6">
      <c r="A596" s="1930"/>
      <c r="N596" s="1399"/>
      <c r="O596" s="1280"/>
      <c r="Z596" s="1280"/>
    </row>
    <row r="597" spans="1:26" x14ac:dyDescent="0.6">
      <c r="A597" s="1930"/>
      <c r="N597" s="1399"/>
      <c r="O597" s="1280"/>
      <c r="Z597" s="1280"/>
    </row>
    <row r="598" spans="1:26" x14ac:dyDescent="0.6">
      <c r="A598" s="1930"/>
      <c r="N598" s="1399"/>
      <c r="O598" s="1280"/>
      <c r="Z598" s="1280"/>
    </row>
    <row r="599" spans="1:26" x14ac:dyDescent="0.6">
      <c r="A599" s="1930"/>
      <c r="N599" s="1399"/>
      <c r="O599" s="1280"/>
      <c r="Z599" s="1280"/>
    </row>
    <row r="600" spans="1:26" x14ac:dyDescent="0.6">
      <c r="A600" s="1930"/>
      <c r="N600" s="1399"/>
      <c r="O600" s="1280"/>
      <c r="Z600" s="1280"/>
    </row>
    <row r="601" spans="1:26" x14ac:dyDescent="0.6">
      <c r="A601" s="1930"/>
      <c r="N601" s="1399"/>
      <c r="O601" s="1280"/>
      <c r="Z601" s="1280"/>
    </row>
    <row r="602" spans="1:26" x14ac:dyDescent="0.6">
      <c r="A602" s="1930"/>
      <c r="N602" s="1399"/>
      <c r="O602" s="1280"/>
      <c r="Z602" s="1280"/>
    </row>
    <row r="603" spans="1:26" x14ac:dyDescent="0.6">
      <c r="A603" s="1930"/>
      <c r="N603" s="1399"/>
      <c r="O603" s="1280"/>
      <c r="Z603" s="1280"/>
    </row>
    <row r="604" spans="1:26" x14ac:dyDescent="0.6">
      <c r="A604" s="1930"/>
      <c r="N604" s="1399"/>
      <c r="O604" s="1280"/>
      <c r="Z604" s="1280"/>
    </row>
    <row r="605" spans="1:26" x14ac:dyDescent="0.6">
      <c r="A605" s="1930"/>
      <c r="N605" s="1399"/>
      <c r="O605" s="1280"/>
      <c r="Z605" s="1280"/>
    </row>
    <row r="606" spans="1:26" x14ac:dyDescent="0.6">
      <c r="A606" s="1930"/>
      <c r="N606" s="1399"/>
      <c r="O606" s="1280"/>
      <c r="Z606" s="1280"/>
    </row>
    <row r="607" spans="1:26" x14ac:dyDescent="0.6">
      <c r="A607" s="1930"/>
      <c r="N607" s="1399"/>
      <c r="O607" s="1280"/>
      <c r="Z607" s="1280"/>
    </row>
    <row r="608" spans="1:26" x14ac:dyDescent="0.6">
      <c r="A608" s="1930"/>
      <c r="N608" s="1399"/>
      <c r="O608" s="1280"/>
      <c r="Z608" s="1280"/>
    </row>
    <row r="609" spans="1:26" x14ac:dyDescent="0.6">
      <c r="A609" s="1930"/>
      <c r="N609" s="1399"/>
      <c r="O609" s="1280"/>
      <c r="Z609" s="1280"/>
    </row>
    <row r="610" spans="1:26" x14ac:dyDescent="0.6">
      <c r="A610" s="1930"/>
      <c r="N610" s="1399"/>
      <c r="O610" s="1280"/>
      <c r="Z610" s="1280"/>
    </row>
    <row r="611" spans="1:26" x14ac:dyDescent="0.6">
      <c r="A611" s="1930"/>
      <c r="N611" s="1399"/>
      <c r="O611" s="1280"/>
      <c r="Z611" s="1280"/>
    </row>
    <row r="612" spans="1:26" x14ac:dyDescent="0.6">
      <c r="A612" s="1930"/>
      <c r="N612" s="1399"/>
      <c r="O612" s="1280"/>
      <c r="Z612" s="1280"/>
    </row>
    <row r="613" spans="1:26" x14ac:dyDescent="0.6">
      <c r="A613" s="1930"/>
      <c r="N613" s="1399"/>
      <c r="O613" s="1280"/>
      <c r="Z613" s="1280"/>
    </row>
    <row r="614" spans="1:26" x14ac:dyDescent="0.6">
      <c r="A614" s="1930"/>
      <c r="N614" s="1399"/>
      <c r="O614" s="1280"/>
      <c r="Z614" s="1280"/>
    </row>
    <row r="615" spans="1:26" x14ac:dyDescent="0.6">
      <c r="A615" s="1930"/>
      <c r="N615" s="1399"/>
      <c r="O615" s="1280"/>
      <c r="Z615" s="1280"/>
    </row>
    <row r="616" spans="1:26" x14ac:dyDescent="0.6">
      <c r="A616" s="1930"/>
      <c r="N616" s="1399"/>
      <c r="O616" s="1280"/>
      <c r="Z616" s="1280"/>
    </row>
    <row r="617" spans="1:26" x14ac:dyDescent="0.6">
      <c r="A617" s="1930"/>
      <c r="N617" s="1399"/>
      <c r="O617" s="1280"/>
      <c r="Z617" s="1280"/>
    </row>
    <row r="618" spans="1:26" x14ac:dyDescent="0.6">
      <c r="A618" s="1930"/>
      <c r="N618" s="1399"/>
      <c r="O618" s="1280"/>
      <c r="Z618" s="1280"/>
    </row>
    <row r="619" spans="1:26" x14ac:dyDescent="0.6">
      <c r="A619" s="1930"/>
      <c r="N619" s="1399"/>
      <c r="O619" s="1280"/>
      <c r="Z619" s="1280"/>
    </row>
    <row r="620" spans="1:26" x14ac:dyDescent="0.6">
      <c r="A620" s="1930"/>
      <c r="N620" s="1399"/>
      <c r="O620" s="1280"/>
      <c r="Z620" s="1280"/>
    </row>
    <row r="621" spans="1:26" x14ac:dyDescent="0.6">
      <c r="A621" s="1930"/>
      <c r="N621" s="1399"/>
      <c r="O621" s="1280"/>
      <c r="Z621" s="1280"/>
    </row>
    <row r="622" spans="1:26" x14ac:dyDescent="0.6">
      <c r="A622" s="1930"/>
      <c r="N622" s="1399"/>
      <c r="O622" s="1280"/>
      <c r="Z622" s="1280"/>
    </row>
    <row r="623" spans="1:26" x14ac:dyDescent="0.6">
      <c r="A623" s="1930"/>
      <c r="N623" s="1399"/>
      <c r="O623" s="1280"/>
      <c r="Z623" s="1280"/>
    </row>
    <row r="624" spans="1:26" x14ac:dyDescent="0.6">
      <c r="A624" s="1930"/>
      <c r="N624" s="1399"/>
      <c r="O624" s="1280"/>
      <c r="Z624" s="1280"/>
    </row>
    <row r="625" spans="1:26" x14ac:dyDescent="0.6">
      <c r="A625" s="1930"/>
      <c r="N625" s="1399"/>
      <c r="O625" s="1280"/>
      <c r="Z625" s="1280"/>
    </row>
    <row r="626" spans="1:26" x14ac:dyDescent="0.6">
      <c r="A626" s="1930"/>
      <c r="N626" s="1399"/>
      <c r="O626" s="1280"/>
      <c r="Z626" s="1280"/>
    </row>
    <row r="627" spans="1:26" x14ac:dyDescent="0.6">
      <c r="A627" s="1930"/>
      <c r="N627" s="1399"/>
      <c r="O627" s="1280"/>
      <c r="Z627" s="1280"/>
    </row>
    <row r="628" spans="1:26" x14ac:dyDescent="0.6">
      <c r="A628" s="1930"/>
      <c r="N628" s="1399"/>
      <c r="O628" s="1280"/>
      <c r="Z628" s="1280"/>
    </row>
    <row r="629" spans="1:26" x14ac:dyDescent="0.6">
      <c r="A629" s="1930"/>
      <c r="N629" s="1399"/>
      <c r="O629" s="1280"/>
      <c r="Z629" s="1280"/>
    </row>
    <row r="630" spans="1:26" x14ac:dyDescent="0.6">
      <c r="A630" s="1930"/>
      <c r="N630" s="1399"/>
      <c r="O630" s="1280"/>
      <c r="Z630" s="1280"/>
    </row>
    <row r="631" spans="1:26" x14ac:dyDescent="0.6">
      <c r="A631" s="1930"/>
      <c r="N631" s="1399"/>
      <c r="O631" s="1280"/>
      <c r="Z631" s="1280"/>
    </row>
    <row r="632" spans="1:26" x14ac:dyDescent="0.6">
      <c r="A632" s="1930"/>
      <c r="N632" s="1399"/>
      <c r="O632" s="1280"/>
      <c r="Z632" s="1280"/>
    </row>
    <row r="633" spans="1:26" x14ac:dyDescent="0.6">
      <c r="A633" s="1930"/>
      <c r="N633" s="1399"/>
      <c r="O633" s="1280"/>
      <c r="Z633" s="1280"/>
    </row>
    <row r="634" spans="1:26" x14ac:dyDescent="0.6">
      <c r="A634" s="1930"/>
      <c r="N634" s="1399"/>
      <c r="O634" s="1280"/>
      <c r="Z634" s="1280"/>
    </row>
    <row r="635" spans="1:26" x14ac:dyDescent="0.6">
      <c r="A635" s="1930"/>
      <c r="N635" s="1399"/>
      <c r="O635" s="1280"/>
      <c r="Z635" s="1280"/>
    </row>
    <row r="636" spans="1:26" x14ac:dyDescent="0.6">
      <c r="A636" s="1930"/>
      <c r="N636" s="1399"/>
      <c r="O636" s="1280"/>
      <c r="Z636" s="1280"/>
    </row>
    <row r="637" spans="1:26" x14ac:dyDescent="0.6">
      <c r="A637" s="1930"/>
      <c r="N637" s="1399"/>
      <c r="O637" s="1280"/>
      <c r="Z637" s="1280"/>
    </row>
    <row r="638" spans="1:26" x14ac:dyDescent="0.6">
      <c r="A638" s="1930"/>
      <c r="N638" s="1399"/>
      <c r="O638" s="1280"/>
      <c r="Z638" s="1280"/>
    </row>
    <row r="639" spans="1:26" x14ac:dyDescent="0.6">
      <c r="A639" s="1930"/>
      <c r="N639" s="1399"/>
      <c r="O639" s="1280"/>
      <c r="Z639" s="1280"/>
    </row>
    <row r="640" spans="1:26" x14ac:dyDescent="0.6">
      <c r="A640" s="1930"/>
      <c r="N640" s="1399"/>
      <c r="O640" s="1280"/>
      <c r="Z640" s="1280"/>
    </row>
    <row r="641" spans="1:26" x14ac:dyDescent="0.6">
      <c r="A641" s="1930"/>
      <c r="N641" s="1399"/>
      <c r="O641" s="1280"/>
      <c r="Z641" s="1280"/>
    </row>
    <row r="642" spans="1:26" x14ac:dyDescent="0.6">
      <c r="A642" s="1930"/>
      <c r="N642" s="1399"/>
      <c r="O642" s="1280"/>
      <c r="Z642" s="1280"/>
    </row>
    <row r="643" spans="1:26" x14ac:dyDescent="0.6">
      <c r="A643" s="1930"/>
      <c r="N643" s="1399"/>
      <c r="O643" s="1280"/>
      <c r="Z643" s="1280"/>
    </row>
    <row r="644" spans="1:26" x14ac:dyDescent="0.6">
      <c r="A644" s="1930"/>
      <c r="N644" s="1399"/>
      <c r="O644" s="1280"/>
      <c r="Z644" s="1280"/>
    </row>
    <row r="645" spans="1:26" x14ac:dyDescent="0.6">
      <c r="A645" s="1930"/>
      <c r="N645" s="1399"/>
      <c r="O645" s="1280"/>
      <c r="Z645" s="1280"/>
    </row>
    <row r="646" spans="1:26" x14ac:dyDescent="0.6">
      <c r="A646" s="1930"/>
      <c r="N646" s="1399"/>
      <c r="O646" s="1280"/>
      <c r="Z646" s="1280"/>
    </row>
    <row r="647" spans="1:26" x14ac:dyDescent="0.6">
      <c r="A647" s="1930"/>
      <c r="N647" s="1399"/>
      <c r="O647" s="1280"/>
      <c r="Z647" s="1280"/>
    </row>
    <row r="648" spans="1:26" x14ac:dyDescent="0.6">
      <c r="A648" s="1930"/>
      <c r="N648" s="1399"/>
      <c r="O648" s="1280"/>
      <c r="Z648" s="1280"/>
    </row>
    <row r="649" spans="1:26" x14ac:dyDescent="0.6">
      <c r="A649" s="1930"/>
      <c r="N649" s="1399"/>
      <c r="O649" s="1280"/>
      <c r="Z649" s="1280"/>
    </row>
    <row r="650" spans="1:26" x14ac:dyDescent="0.6">
      <c r="A650" s="1930"/>
      <c r="N650" s="1399"/>
      <c r="O650" s="1280"/>
      <c r="Z650" s="1280"/>
    </row>
    <row r="651" spans="1:26" x14ac:dyDescent="0.6">
      <c r="A651" s="1930"/>
      <c r="N651" s="1399"/>
      <c r="O651" s="1280"/>
      <c r="Z651" s="1280"/>
    </row>
    <row r="652" spans="1:26" x14ac:dyDescent="0.6">
      <c r="A652" s="1930"/>
      <c r="N652" s="1399"/>
      <c r="O652" s="1280"/>
      <c r="Z652" s="1280"/>
    </row>
    <row r="653" spans="1:26" x14ac:dyDescent="0.6">
      <c r="A653" s="1930"/>
      <c r="N653" s="1399"/>
      <c r="O653" s="1280"/>
      <c r="Z653" s="1280"/>
    </row>
    <row r="654" spans="1:26" x14ac:dyDescent="0.6">
      <c r="A654" s="1930"/>
      <c r="N654" s="1399"/>
      <c r="O654" s="1280"/>
      <c r="Z654" s="1280"/>
    </row>
    <row r="655" spans="1:26" x14ac:dyDescent="0.6">
      <c r="A655" s="1930"/>
      <c r="N655" s="1399"/>
      <c r="O655" s="1280"/>
      <c r="Z655" s="1280"/>
    </row>
    <row r="656" spans="1:26" x14ac:dyDescent="0.6">
      <c r="A656" s="1930"/>
      <c r="N656" s="1399"/>
      <c r="O656" s="1280"/>
      <c r="Z656" s="1280"/>
    </row>
    <row r="657" spans="1:26" x14ac:dyDescent="0.6">
      <c r="A657" s="1930"/>
      <c r="N657" s="1399"/>
      <c r="O657" s="1280"/>
      <c r="Z657" s="1280"/>
    </row>
    <row r="658" spans="1:26" x14ac:dyDescent="0.6">
      <c r="A658" s="1930"/>
      <c r="N658" s="1399"/>
      <c r="O658" s="1280"/>
      <c r="Z658" s="1280"/>
    </row>
    <row r="659" spans="1:26" x14ac:dyDescent="0.6">
      <c r="A659" s="1930"/>
      <c r="N659" s="1399"/>
      <c r="O659" s="1280"/>
      <c r="Z659" s="1280"/>
    </row>
    <row r="660" spans="1:26" x14ac:dyDescent="0.6">
      <c r="A660" s="1930"/>
      <c r="N660" s="1399"/>
      <c r="O660" s="1280"/>
      <c r="Z660" s="1280"/>
    </row>
    <row r="661" spans="1:26" x14ac:dyDescent="0.6">
      <c r="A661" s="1930"/>
      <c r="N661" s="1399"/>
      <c r="O661" s="1280"/>
      <c r="Z661" s="1280"/>
    </row>
    <row r="662" spans="1:26" x14ac:dyDescent="0.6">
      <c r="A662" s="1930"/>
      <c r="N662" s="1399"/>
      <c r="O662" s="1280"/>
      <c r="Z662" s="1280"/>
    </row>
    <row r="663" spans="1:26" x14ac:dyDescent="0.6">
      <c r="A663" s="1930"/>
      <c r="N663" s="1399"/>
      <c r="O663" s="1280"/>
      <c r="Z663" s="1280"/>
    </row>
    <row r="664" spans="1:26" x14ac:dyDescent="0.6">
      <c r="A664" s="1930"/>
      <c r="N664" s="1399"/>
      <c r="O664" s="1280"/>
      <c r="Z664" s="1280"/>
    </row>
    <row r="665" spans="1:26" x14ac:dyDescent="0.6">
      <c r="A665" s="1930"/>
      <c r="N665" s="1399"/>
      <c r="O665" s="1280"/>
      <c r="Z665" s="1280"/>
    </row>
    <row r="666" spans="1:26" x14ac:dyDescent="0.6">
      <c r="A666" s="1930"/>
      <c r="N666" s="1399"/>
      <c r="O666" s="1280"/>
      <c r="Z666" s="1280"/>
    </row>
    <row r="667" spans="1:26" x14ac:dyDescent="0.6">
      <c r="A667" s="1930"/>
      <c r="N667" s="1399"/>
      <c r="O667" s="1280"/>
      <c r="Z667" s="1280"/>
    </row>
    <row r="668" spans="1:26" x14ac:dyDescent="0.6">
      <c r="A668" s="1930"/>
      <c r="N668" s="1399"/>
      <c r="O668" s="1280"/>
      <c r="Z668" s="1280"/>
    </row>
    <row r="669" spans="1:26" x14ac:dyDescent="0.6">
      <c r="A669" s="1930"/>
      <c r="N669" s="1399"/>
      <c r="O669" s="1280"/>
      <c r="Z669" s="1280"/>
    </row>
    <row r="670" spans="1:26" x14ac:dyDescent="0.6">
      <c r="A670" s="1930"/>
      <c r="N670" s="1399"/>
      <c r="O670" s="1280"/>
      <c r="Z670" s="1280"/>
    </row>
    <row r="671" spans="1:26" x14ac:dyDescent="0.6">
      <c r="A671" s="1930"/>
      <c r="N671" s="1399"/>
      <c r="O671" s="1280"/>
      <c r="Z671" s="1280"/>
    </row>
    <row r="672" spans="1:26" x14ac:dyDescent="0.6">
      <c r="A672" s="1930"/>
      <c r="N672" s="1399"/>
      <c r="O672" s="1280"/>
      <c r="Z672" s="1280"/>
    </row>
    <row r="673" spans="1:26" x14ac:dyDescent="0.6">
      <c r="A673" s="1930"/>
      <c r="N673" s="1399"/>
      <c r="O673" s="1280"/>
      <c r="Z673" s="1280"/>
    </row>
    <row r="674" spans="1:26" x14ac:dyDescent="0.6">
      <c r="A674" s="1930"/>
      <c r="N674" s="1399"/>
      <c r="O674" s="1280"/>
      <c r="Z674" s="1280"/>
    </row>
    <row r="675" spans="1:26" x14ac:dyDescent="0.6">
      <c r="A675" s="1930"/>
      <c r="N675" s="1399"/>
      <c r="O675" s="1280"/>
      <c r="Z675" s="1280"/>
    </row>
    <row r="676" spans="1:26" x14ac:dyDescent="0.6">
      <c r="A676" s="1930"/>
      <c r="N676" s="1399"/>
      <c r="O676" s="1280"/>
      <c r="Z676" s="1280"/>
    </row>
    <row r="677" spans="1:26" x14ac:dyDescent="0.6">
      <c r="A677" s="1930"/>
      <c r="N677" s="1399"/>
      <c r="O677" s="1280"/>
      <c r="Z677" s="1280"/>
    </row>
    <row r="678" spans="1:26" x14ac:dyDescent="0.6">
      <c r="A678" s="1930"/>
      <c r="N678" s="1399"/>
      <c r="O678" s="1280"/>
      <c r="Z678" s="1280"/>
    </row>
    <row r="679" spans="1:26" x14ac:dyDescent="0.6">
      <c r="A679" s="1930"/>
      <c r="N679" s="1399"/>
      <c r="O679" s="1280"/>
      <c r="Z679" s="1280"/>
    </row>
    <row r="680" spans="1:26" x14ac:dyDescent="0.6">
      <c r="A680" s="1930"/>
      <c r="N680" s="1399"/>
      <c r="O680" s="1280"/>
      <c r="Z680" s="1280"/>
    </row>
    <row r="681" spans="1:26" x14ac:dyDescent="0.6">
      <c r="A681" s="1930"/>
      <c r="N681" s="1399"/>
      <c r="O681" s="1280"/>
      <c r="Z681" s="1280"/>
    </row>
    <row r="682" spans="1:26" x14ac:dyDescent="0.6">
      <c r="A682" s="1930"/>
      <c r="N682" s="1399"/>
      <c r="O682" s="1280"/>
      <c r="Z682" s="1280"/>
    </row>
    <row r="683" spans="1:26" x14ac:dyDescent="0.6">
      <c r="A683" s="1930"/>
      <c r="N683" s="1399"/>
      <c r="O683" s="1280"/>
      <c r="Z683" s="1280"/>
    </row>
    <row r="684" spans="1:26" x14ac:dyDescent="0.6">
      <c r="A684" s="1930"/>
      <c r="N684" s="1399"/>
      <c r="O684" s="1280"/>
      <c r="Z684" s="1280"/>
    </row>
    <row r="685" spans="1:26" x14ac:dyDescent="0.6">
      <c r="A685" s="1930"/>
      <c r="N685" s="1399"/>
      <c r="O685" s="1280"/>
      <c r="Z685" s="1280"/>
    </row>
    <row r="686" spans="1:26" x14ac:dyDescent="0.6">
      <c r="A686" s="1930"/>
      <c r="N686" s="1399"/>
      <c r="O686" s="1280"/>
      <c r="Z686" s="1280"/>
    </row>
    <row r="687" spans="1:26" x14ac:dyDescent="0.6">
      <c r="A687" s="1930"/>
      <c r="N687" s="1399"/>
      <c r="O687" s="1280"/>
      <c r="Z687" s="1280"/>
    </row>
    <row r="688" spans="1:26" x14ac:dyDescent="0.6">
      <c r="A688" s="1930"/>
      <c r="N688" s="1399"/>
      <c r="O688" s="1280"/>
      <c r="Z688" s="1280"/>
    </row>
    <row r="689" spans="1:26" x14ac:dyDescent="0.6">
      <c r="A689" s="1930"/>
      <c r="N689" s="1399"/>
      <c r="O689" s="1280"/>
      <c r="Z689" s="1280"/>
    </row>
    <row r="690" spans="1:26" x14ac:dyDescent="0.6">
      <c r="A690" s="1930"/>
      <c r="N690" s="1399"/>
      <c r="O690" s="1280"/>
      <c r="Z690" s="1280"/>
    </row>
    <row r="691" spans="1:26" x14ac:dyDescent="0.6">
      <c r="A691" s="1930"/>
      <c r="N691" s="1399"/>
      <c r="O691" s="1280"/>
      <c r="Z691" s="1280"/>
    </row>
    <row r="692" spans="1:26" x14ac:dyDescent="0.6">
      <c r="A692" s="1930"/>
      <c r="N692" s="1399"/>
      <c r="O692" s="1280"/>
      <c r="Z692" s="1280"/>
    </row>
    <row r="693" spans="1:26" x14ac:dyDescent="0.6">
      <c r="A693" s="1930"/>
      <c r="N693" s="1399"/>
      <c r="O693" s="1280"/>
      <c r="Z693" s="1280"/>
    </row>
    <row r="694" spans="1:26" x14ac:dyDescent="0.6">
      <c r="A694" s="1930"/>
      <c r="N694" s="1399"/>
      <c r="O694" s="1280"/>
      <c r="Z694" s="1280"/>
    </row>
    <row r="695" spans="1:26" x14ac:dyDescent="0.6">
      <c r="A695" s="1930"/>
      <c r="N695" s="1399"/>
      <c r="O695" s="1280"/>
      <c r="Z695" s="1280"/>
    </row>
    <row r="696" spans="1:26" x14ac:dyDescent="0.6">
      <c r="A696" s="1930"/>
      <c r="N696" s="1399"/>
      <c r="O696" s="1280"/>
      <c r="Z696" s="1280"/>
    </row>
    <row r="697" spans="1:26" x14ac:dyDescent="0.6">
      <c r="A697" s="1930"/>
      <c r="N697" s="1399"/>
      <c r="O697" s="1280"/>
      <c r="Z697" s="1280"/>
    </row>
    <row r="698" spans="1:26" x14ac:dyDescent="0.6">
      <c r="A698" s="1930"/>
      <c r="N698" s="1399"/>
      <c r="O698" s="1280"/>
      <c r="Z698" s="1280"/>
    </row>
    <row r="699" spans="1:26" x14ac:dyDescent="0.6">
      <c r="A699" s="1930"/>
      <c r="N699" s="1399"/>
      <c r="O699" s="1280"/>
      <c r="Z699" s="1280"/>
    </row>
    <row r="700" spans="1:26" x14ac:dyDescent="0.6">
      <c r="A700" s="1930"/>
      <c r="N700" s="1399"/>
      <c r="O700" s="1280"/>
      <c r="Z700" s="1280"/>
    </row>
    <row r="701" spans="1:26" x14ac:dyDescent="0.6">
      <c r="A701" s="1930"/>
      <c r="N701" s="1399"/>
      <c r="O701" s="1280"/>
      <c r="Z701" s="1280"/>
    </row>
    <row r="702" spans="1:26" x14ac:dyDescent="0.6">
      <c r="A702" s="1930"/>
      <c r="N702" s="1399"/>
      <c r="O702" s="1280"/>
      <c r="Z702" s="1280"/>
    </row>
    <row r="703" spans="1:26" x14ac:dyDescent="0.6">
      <c r="A703" s="1930"/>
      <c r="N703" s="1399"/>
      <c r="O703" s="1280"/>
      <c r="Z703" s="1280"/>
    </row>
    <row r="704" spans="1:26" x14ac:dyDescent="0.6">
      <c r="A704" s="1930"/>
      <c r="N704" s="1399"/>
      <c r="O704" s="1280"/>
      <c r="Z704" s="1280"/>
    </row>
    <row r="705" spans="1:26" x14ac:dyDescent="0.6">
      <c r="A705" s="1930"/>
      <c r="N705" s="1399"/>
      <c r="O705" s="1280"/>
      <c r="Z705" s="1280"/>
    </row>
  </sheetData>
  <protectedRanges>
    <protectedRange password="CC6F" sqref="B8:B9" name="ช่วง1_5_1_5_1_1_1_2"/>
    <protectedRange password="CC6F" sqref="B11" name="ช่วง1_5_1_5_1_1_4_2"/>
    <protectedRange password="CC6F" sqref="B10" name="ช่วง1_5_1_5_1_1_5_2"/>
  </protectedRanges>
  <mergeCells count="18">
    <mergeCell ref="X6:X7"/>
    <mergeCell ref="A12:C12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59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07786-640C-450B-8824-27BA1BF2C5A2}">
  <sheetPr>
    <pageSetUpPr fitToPage="1"/>
  </sheetPr>
  <dimension ref="A1:AC738"/>
  <sheetViews>
    <sheetView zoomScaleNormal="100" zoomScaleSheetLayoutView="110" workbookViewId="0">
      <pane xSplit="3" ySplit="7" topLeftCell="S23" activePane="bottomRight" state="frozen"/>
      <selection activeCell="A17" sqref="A17"/>
      <selection pane="topRight" activeCell="A17" sqref="A17"/>
      <selection pane="bottomLeft" activeCell="A17" sqref="A17"/>
      <selection pane="bottomRight" activeCell="A17" sqref="A17"/>
    </sheetView>
  </sheetViews>
  <sheetFormatPr defaultColWidth="9" defaultRowHeight="21" x14ac:dyDescent="0.6"/>
  <cols>
    <col min="1" max="1" width="4.5" style="1399" customWidth="1"/>
    <col min="2" max="2" width="25.3984375" style="1461" customWidth="1"/>
    <col min="3" max="3" width="4.5" style="1280" bestFit="1" customWidth="1"/>
    <col min="4" max="4" width="11.09765625" style="1934" customWidth="1"/>
    <col min="5" max="5" width="12" style="1934" customWidth="1"/>
    <col min="6" max="6" width="11.09765625" style="1934" customWidth="1"/>
    <col min="7" max="7" width="12.3984375" style="1934" customWidth="1"/>
    <col min="8" max="8" width="11.09765625" style="1934" customWidth="1"/>
    <col min="9" max="9" width="12.5" style="1934" customWidth="1"/>
    <col min="10" max="13" width="11.09765625" style="1934" customWidth="1"/>
    <col min="14" max="14" width="11.8984375" style="1936" customWidth="1"/>
    <col min="15" max="15" width="13.8984375" style="1936" customWidth="1"/>
    <col min="16" max="16" width="11.09765625" style="1934" customWidth="1"/>
    <col min="17" max="17" width="12.19921875" style="1934" customWidth="1"/>
    <col min="18" max="18" width="11.09765625" style="1934" customWidth="1"/>
    <col min="19" max="19" width="12.59765625" style="1934" customWidth="1"/>
    <col min="20" max="20" width="11.09765625" style="1934" customWidth="1"/>
    <col min="21" max="21" width="12.19921875" style="1934" customWidth="1"/>
    <col min="22" max="22" width="11.09765625" style="1934" customWidth="1"/>
    <col min="23" max="23" width="12.8984375" style="1934" customWidth="1"/>
    <col min="24" max="24" width="11.09765625" style="1934" customWidth="1"/>
    <col min="25" max="25" width="13.5" style="1934" customWidth="1"/>
    <col min="26" max="26" width="11.09765625" style="1401" customWidth="1"/>
    <col min="27" max="27" width="11.09765625" style="1280" customWidth="1"/>
    <col min="28" max="28" width="7.59765625" style="1280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ht="18.75" customHeight="1" x14ac:dyDescent="0.6">
      <c r="A1" s="1735" t="s">
        <v>9085</v>
      </c>
      <c r="B1" s="1735"/>
      <c r="C1" s="1735"/>
      <c r="D1" s="1735"/>
      <c r="E1" s="1735"/>
      <c r="F1" s="1735"/>
      <c r="G1" s="1735"/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1735"/>
      <c r="W1" s="1735"/>
      <c r="X1" s="1735"/>
      <c r="Y1" s="1735"/>
      <c r="Z1" s="1735"/>
      <c r="AA1" s="1735"/>
    </row>
    <row r="2" spans="1:29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9" x14ac:dyDescent="0.6">
      <c r="A3" s="1298" t="s">
        <v>7733</v>
      </c>
      <c r="B3" s="1298"/>
      <c r="C3" s="1298"/>
      <c r="D3" s="1298"/>
      <c r="E3" s="1298"/>
      <c r="F3" s="1298"/>
      <c r="G3" s="1298"/>
      <c r="H3" s="1298"/>
      <c r="I3" s="1298"/>
      <c r="J3" s="1298"/>
      <c r="K3" s="1298"/>
      <c r="L3" s="1298"/>
      <c r="M3" s="1298"/>
      <c r="N3" s="1298"/>
      <c r="O3" s="1298"/>
      <c r="P3" s="1298"/>
      <c r="Q3" s="1298"/>
      <c r="R3" s="1298"/>
      <c r="S3" s="1298"/>
      <c r="T3" s="1298"/>
      <c r="U3" s="1298"/>
      <c r="V3" s="1298"/>
      <c r="W3" s="1298"/>
      <c r="X3" s="1298"/>
      <c r="Y3" s="1298"/>
      <c r="Z3" s="1298"/>
      <c r="AA3" s="1298"/>
    </row>
    <row r="4" spans="1:29" x14ac:dyDescent="0.6">
      <c r="A4" s="1408" t="s">
        <v>2185</v>
      </c>
      <c r="B4" s="1408" t="s">
        <v>9086</v>
      </c>
      <c r="C4" s="1301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9" x14ac:dyDescent="0.6">
      <c r="A5" s="1417"/>
      <c r="B5" s="1417"/>
      <c r="C5" s="1315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9" x14ac:dyDescent="0.6">
      <c r="A6" s="1417"/>
      <c r="B6" s="1417"/>
      <c r="C6" s="1315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9" x14ac:dyDescent="0.6">
      <c r="A7" s="1425"/>
      <c r="B7" s="1425"/>
      <c r="C7" s="1330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931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9" s="1359" customFormat="1" ht="20.25" customHeight="1" x14ac:dyDescent="0.6">
      <c r="A8" s="1279">
        <v>1</v>
      </c>
      <c r="B8" s="1203" t="s">
        <v>9087</v>
      </c>
      <c r="C8" s="1369" t="s">
        <v>8907</v>
      </c>
      <c r="D8" s="1344">
        <v>1</v>
      </c>
      <c r="E8" s="1344">
        <v>46000</v>
      </c>
      <c r="F8" s="1344">
        <v>1</v>
      </c>
      <c r="G8" s="1344">
        <v>40660</v>
      </c>
      <c r="H8" s="1345">
        <v>1</v>
      </c>
      <c r="I8" s="1345">
        <v>82550.5</v>
      </c>
      <c r="J8" s="1652">
        <v>1</v>
      </c>
      <c r="K8" s="1653">
        <v>0</v>
      </c>
      <c r="L8" s="1344">
        <v>0</v>
      </c>
      <c r="M8" s="1204">
        <v>1</v>
      </c>
      <c r="N8" s="1205">
        <v>100000</v>
      </c>
      <c r="O8" s="1346">
        <f t="shared" ref="O8:O21" si="0">M8*N8</f>
        <v>100000</v>
      </c>
      <c r="P8" s="1345">
        <v>0</v>
      </c>
      <c r="Q8" s="1482">
        <f t="shared" ref="Q8:Q21" si="1">P8*N8</f>
        <v>0</v>
      </c>
      <c r="R8" s="1344">
        <v>1</v>
      </c>
      <c r="S8" s="1483">
        <f t="shared" ref="S8:S21" si="2">R8*N8</f>
        <v>100000</v>
      </c>
      <c r="T8" s="1345">
        <v>0</v>
      </c>
      <c r="U8" s="1483">
        <f t="shared" ref="U8:U21" si="3">T8*N8</f>
        <v>0</v>
      </c>
      <c r="V8" s="1344">
        <v>0</v>
      </c>
      <c r="W8" s="1483">
        <f t="shared" ref="W8:W21" si="4">V8*N8</f>
        <v>0</v>
      </c>
      <c r="X8" s="1345">
        <f>P8+R8+T8+V8</f>
        <v>1</v>
      </c>
      <c r="Y8" s="1345">
        <f>Q8+S8+U8+W8</f>
        <v>100000</v>
      </c>
      <c r="Z8" s="1357" t="s">
        <v>7799</v>
      </c>
      <c r="AA8" s="1358" t="s">
        <v>6531</v>
      </c>
      <c r="AC8" s="1388" t="str">
        <f t="shared" ref="AC8:AC45" si="5">IF(O8=Y8,"ok")</f>
        <v>ok</v>
      </c>
    </row>
    <row r="9" spans="1:29" s="1359" customFormat="1" ht="20.25" customHeight="1" x14ac:dyDescent="0.6">
      <c r="A9" s="1279">
        <v>2</v>
      </c>
      <c r="B9" s="1210" t="s">
        <v>9088</v>
      </c>
      <c r="C9" s="1369" t="s">
        <v>8907</v>
      </c>
      <c r="D9" s="1344">
        <v>1</v>
      </c>
      <c r="E9" s="1344">
        <v>32000</v>
      </c>
      <c r="F9" s="1344">
        <v>1</v>
      </c>
      <c r="G9" s="1344">
        <v>35470</v>
      </c>
      <c r="H9" s="1345">
        <v>1</v>
      </c>
      <c r="I9" s="1345">
        <v>48580</v>
      </c>
      <c r="J9" s="1652">
        <v>1</v>
      </c>
      <c r="K9" s="1653">
        <v>0</v>
      </c>
      <c r="L9" s="1344">
        <v>0</v>
      </c>
      <c r="M9" s="1204">
        <v>1</v>
      </c>
      <c r="N9" s="1205">
        <v>80000</v>
      </c>
      <c r="O9" s="1346">
        <f t="shared" si="0"/>
        <v>80000</v>
      </c>
      <c r="P9" s="1345">
        <v>0</v>
      </c>
      <c r="Q9" s="1482">
        <f t="shared" si="1"/>
        <v>0</v>
      </c>
      <c r="R9" s="1344">
        <v>0</v>
      </c>
      <c r="S9" s="1483">
        <f t="shared" si="2"/>
        <v>0</v>
      </c>
      <c r="T9" s="1345">
        <v>1</v>
      </c>
      <c r="U9" s="1483">
        <f t="shared" si="3"/>
        <v>80000</v>
      </c>
      <c r="V9" s="1344">
        <v>0</v>
      </c>
      <c r="W9" s="1483">
        <f t="shared" si="4"/>
        <v>0</v>
      </c>
      <c r="X9" s="1345">
        <f t="shared" ref="X9:Y24" si="6">P9+R9+T9+V9</f>
        <v>1</v>
      </c>
      <c r="Y9" s="1345">
        <f t="shared" si="6"/>
        <v>80000</v>
      </c>
      <c r="Z9" s="1357" t="s">
        <v>7799</v>
      </c>
      <c r="AA9" s="1358" t="s">
        <v>6531</v>
      </c>
      <c r="AC9" s="1388" t="str">
        <f t="shared" si="5"/>
        <v>ok</v>
      </c>
    </row>
    <row r="10" spans="1:29" s="1359" customFormat="1" ht="20.25" customHeight="1" x14ac:dyDescent="0.6">
      <c r="A10" s="1279">
        <v>3</v>
      </c>
      <c r="B10" s="1211" t="s">
        <v>9089</v>
      </c>
      <c r="C10" s="1383" t="s">
        <v>8907</v>
      </c>
      <c r="D10" s="1932">
        <v>18</v>
      </c>
      <c r="E10" s="1344">
        <v>199707.47</v>
      </c>
      <c r="F10" s="1932">
        <v>18</v>
      </c>
      <c r="G10" s="1344">
        <v>196418.4</v>
      </c>
      <c r="H10" s="1345">
        <v>20</v>
      </c>
      <c r="I10" s="1345">
        <v>216181.86</v>
      </c>
      <c r="J10" s="1652">
        <v>12</v>
      </c>
      <c r="K10" s="1653">
        <v>0</v>
      </c>
      <c r="L10" s="1344">
        <v>0</v>
      </c>
      <c r="M10" s="1204">
        <v>12</v>
      </c>
      <c r="N10" s="1205">
        <v>30000</v>
      </c>
      <c r="O10" s="1346">
        <f t="shared" si="0"/>
        <v>360000</v>
      </c>
      <c r="P10" s="1345">
        <v>3</v>
      </c>
      <c r="Q10" s="1482">
        <f t="shared" si="1"/>
        <v>90000</v>
      </c>
      <c r="R10" s="1344">
        <v>3</v>
      </c>
      <c r="S10" s="1483">
        <f t="shared" si="2"/>
        <v>90000</v>
      </c>
      <c r="T10" s="1345">
        <v>3</v>
      </c>
      <c r="U10" s="1483">
        <f t="shared" si="3"/>
        <v>90000</v>
      </c>
      <c r="V10" s="1344">
        <v>3</v>
      </c>
      <c r="W10" s="1483">
        <f t="shared" si="4"/>
        <v>90000</v>
      </c>
      <c r="X10" s="1345">
        <f t="shared" si="6"/>
        <v>12</v>
      </c>
      <c r="Y10" s="1345">
        <f t="shared" si="6"/>
        <v>360000</v>
      </c>
      <c r="Z10" s="1357" t="s">
        <v>7799</v>
      </c>
      <c r="AA10" s="1358" t="s">
        <v>6531</v>
      </c>
      <c r="AC10" s="1388" t="str">
        <f t="shared" si="5"/>
        <v>ok</v>
      </c>
    </row>
    <row r="11" spans="1:29" s="1359" customFormat="1" ht="20.25" customHeight="1" x14ac:dyDescent="0.6">
      <c r="A11" s="1279">
        <v>4</v>
      </c>
      <c r="B11" s="1211" t="s">
        <v>9090</v>
      </c>
      <c r="C11" s="1383" t="s">
        <v>8907</v>
      </c>
      <c r="D11" s="1932">
        <v>4</v>
      </c>
      <c r="E11" s="1344">
        <v>78894.39</v>
      </c>
      <c r="F11" s="1932">
        <v>4</v>
      </c>
      <c r="G11" s="1344">
        <v>82060.44</v>
      </c>
      <c r="H11" s="1345">
        <v>89289.36</v>
      </c>
      <c r="I11" s="1345">
        <v>89289.36</v>
      </c>
      <c r="J11" s="1652">
        <v>4</v>
      </c>
      <c r="K11" s="1653">
        <v>0</v>
      </c>
      <c r="L11" s="1344">
        <v>0</v>
      </c>
      <c r="M11" s="1204">
        <v>6</v>
      </c>
      <c r="N11" s="1205">
        <v>25000</v>
      </c>
      <c r="O11" s="1346">
        <f t="shared" si="0"/>
        <v>150000</v>
      </c>
      <c r="P11" s="1345">
        <v>0</v>
      </c>
      <c r="Q11" s="1482">
        <f t="shared" si="1"/>
        <v>0</v>
      </c>
      <c r="R11" s="1344">
        <v>4</v>
      </c>
      <c r="S11" s="1483">
        <f t="shared" si="2"/>
        <v>100000</v>
      </c>
      <c r="T11" s="1345">
        <v>0</v>
      </c>
      <c r="U11" s="1483">
        <f t="shared" si="3"/>
        <v>0</v>
      </c>
      <c r="V11" s="1344">
        <v>2</v>
      </c>
      <c r="W11" s="1483">
        <f t="shared" si="4"/>
        <v>50000</v>
      </c>
      <c r="X11" s="1345">
        <f t="shared" si="6"/>
        <v>6</v>
      </c>
      <c r="Y11" s="1345">
        <f t="shared" si="6"/>
        <v>150000</v>
      </c>
      <c r="Z11" s="1357" t="s">
        <v>7799</v>
      </c>
      <c r="AA11" s="1358" t="s">
        <v>6531</v>
      </c>
      <c r="AC11" s="1388" t="str">
        <f t="shared" si="5"/>
        <v>ok</v>
      </c>
    </row>
    <row r="12" spans="1:29" s="1359" customFormat="1" ht="20.25" customHeight="1" x14ac:dyDescent="0.6">
      <c r="A12" s="1279">
        <v>5</v>
      </c>
      <c r="B12" s="1211" t="s">
        <v>9091</v>
      </c>
      <c r="C12" s="1383"/>
      <c r="D12" s="1932">
        <v>1</v>
      </c>
      <c r="E12" s="1344">
        <v>2500</v>
      </c>
      <c r="F12" s="1932">
        <v>1</v>
      </c>
      <c r="G12" s="1344">
        <v>3500</v>
      </c>
      <c r="H12" s="1345">
        <v>1</v>
      </c>
      <c r="I12" s="1345">
        <v>4000</v>
      </c>
      <c r="J12" s="1652">
        <v>1</v>
      </c>
      <c r="K12" s="1653">
        <v>0</v>
      </c>
      <c r="L12" s="1344">
        <v>0</v>
      </c>
      <c r="M12" s="1204">
        <v>1</v>
      </c>
      <c r="N12" s="1205">
        <v>5000</v>
      </c>
      <c r="O12" s="1346">
        <f t="shared" si="0"/>
        <v>5000</v>
      </c>
      <c r="P12" s="1345">
        <v>0</v>
      </c>
      <c r="Q12" s="1482">
        <f t="shared" si="1"/>
        <v>0</v>
      </c>
      <c r="R12" s="1344">
        <v>0</v>
      </c>
      <c r="S12" s="1483">
        <f t="shared" si="2"/>
        <v>0</v>
      </c>
      <c r="T12" s="1345">
        <v>1</v>
      </c>
      <c r="U12" s="1483">
        <f t="shared" si="3"/>
        <v>5000</v>
      </c>
      <c r="V12" s="1344">
        <v>0</v>
      </c>
      <c r="W12" s="1483">
        <f t="shared" si="4"/>
        <v>0</v>
      </c>
      <c r="X12" s="1345">
        <f t="shared" si="6"/>
        <v>1</v>
      </c>
      <c r="Y12" s="1345">
        <f t="shared" si="6"/>
        <v>5000</v>
      </c>
      <c r="Z12" s="1357" t="s">
        <v>7799</v>
      </c>
      <c r="AA12" s="1358" t="s">
        <v>6531</v>
      </c>
      <c r="AC12" s="1388" t="str">
        <f t="shared" si="5"/>
        <v>ok</v>
      </c>
    </row>
    <row r="13" spans="1:29" s="1359" customFormat="1" ht="20.25" customHeight="1" x14ac:dyDescent="0.6">
      <c r="A13" s="1279">
        <v>6</v>
      </c>
      <c r="B13" s="1211" t="s">
        <v>9092</v>
      </c>
      <c r="C13" s="1383" t="s">
        <v>8907</v>
      </c>
      <c r="D13" s="1932">
        <v>32000</v>
      </c>
      <c r="E13" s="1344">
        <v>32000</v>
      </c>
      <c r="F13" s="1932">
        <v>35000</v>
      </c>
      <c r="G13" s="1344">
        <v>35000</v>
      </c>
      <c r="H13" s="1345">
        <v>40000</v>
      </c>
      <c r="I13" s="1345">
        <v>40000</v>
      </c>
      <c r="J13" s="1652">
        <v>12</v>
      </c>
      <c r="K13" s="1653">
        <v>0</v>
      </c>
      <c r="L13" s="1344">
        <v>0</v>
      </c>
      <c r="M13" s="1204">
        <v>12</v>
      </c>
      <c r="N13" s="1205">
        <v>4000</v>
      </c>
      <c r="O13" s="1346">
        <f t="shared" si="0"/>
        <v>48000</v>
      </c>
      <c r="P13" s="1345">
        <v>3</v>
      </c>
      <c r="Q13" s="1482">
        <f t="shared" si="1"/>
        <v>12000</v>
      </c>
      <c r="R13" s="1344">
        <v>3</v>
      </c>
      <c r="S13" s="1483">
        <f t="shared" si="2"/>
        <v>12000</v>
      </c>
      <c r="T13" s="1345">
        <v>3</v>
      </c>
      <c r="U13" s="1483">
        <f t="shared" si="3"/>
        <v>12000</v>
      </c>
      <c r="V13" s="1344">
        <v>3</v>
      </c>
      <c r="W13" s="1483">
        <f t="shared" si="4"/>
        <v>12000</v>
      </c>
      <c r="X13" s="1345">
        <f t="shared" si="6"/>
        <v>12</v>
      </c>
      <c r="Y13" s="1345">
        <f t="shared" si="6"/>
        <v>48000</v>
      </c>
      <c r="Z13" s="1357" t="s">
        <v>7799</v>
      </c>
      <c r="AA13" s="1358" t="s">
        <v>6531</v>
      </c>
      <c r="AC13" s="1388" t="str">
        <f t="shared" si="5"/>
        <v>ok</v>
      </c>
    </row>
    <row r="14" spans="1:29" s="1359" customFormat="1" ht="20.25" customHeight="1" x14ac:dyDescent="0.6">
      <c r="A14" s="1279">
        <v>7</v>
      </c>
      <c r="B14" s="1211" t="s">
        <v>9093</v>
      </c>
      <c r="C14" s="1383" t="s">
        <v>8907</v>
      </c>
      <c r="D14" s="1932">
        <v>10000</v>
      </c>
      <c r="E14" s="1344">
        <v>10000</v>
      </c>
      <c r="F14" s="1932">
        <v>10000</v>
      </c>
      <c r="G14" s="1344">
        <v>10000</v>
      </c>
      <c r="H14" s="1345">
        <v>10000</v>
      </c>
      <c r="I14" s="1345">
        <v>10000</v>
      </c>
      <c r="J14" s="1652">
        <v>12</v>
      </c>
      <c r="K14" s="1653">
        <v>0</v>
      </c>
      <c r="L14" s="1344">
        <v>0</v>
      </c>
      <c r="M14" s="1204">
        <v>12</v>
      </c>
      <c r="N14" s="1205">
        <v>1500</v>
      </c>
      <c r="O14" s="1346">
        <f t="shared" si="0"/>
        <v>18000</v>
      </c>
      <c r="P14" s="1345">
        <v>3</v>
      </c>
      <c r="Q14" s="1482">
        <f t="shared" si="1"/>
        <v>4500</v>
      </c>
      <c r="R14" s="1344">
        <v>3</v>
      </c>
      <c r="S14" s="1483">
        <f t="shared" si="2"/>
        <v>4500</v>
      </c>
      <c r="T14" s="1345">
        <v>3</v>
      </c>
      <c r="U14" s="1483">
        <f t="shared" si="3"/>
        <v>4500</v>
      </c>
      <c r="V14" s="1344">
        <v>3</v>
      </c>
      <c r="W14" s="1483">
        <f t="shared" si="4"/>
        <v>4500</v>
      </c>
      <c r="X14" s="1345">
        <f t="shared" si="6"/>
        <v>12</v>
      </c>
      <c r="Y14" s="1345">
        <f t="shared" si="6"/>
        <v>18000</v>
      </c>
      <c r="Z14" s="1357" t="s">
        <v>7799</v>
      </c>
      <c r="AA14" s="1358" t="s">
        <v>6531</v>
      </c>
      <c r="AC14" s="1388" t="str">
        <f t="shared" si="5"/>
        <v>ok</v>
      </c>
    </row>
    <row r="15" spans="1:29" s="1359" customFormat="1" ht="20.25" customHeight="1" x14ac:dyDescent="0.6">
      <c r="A15" s="1279">
        <v>8</v>
      </c>
      <c r="B15" s="1211" t="s">
        <v>9094</v>
      </c>
      <c r="C15" s="1383" t="s">
        <v>8907</v>
      </c>
      <c r="D15" s="1932">
        <v>12</v>
      </c>
      <c r="E15" s="1344">
        <v>117376.2</v>
      </c>
      <c r="F15" s="1932">
        <v>12</v>
      </c>
      <c r="G15" s="1344">
        <v>101104.3</v>
      </c>
      <c r="H15" s="1345">
        <v>12</v>
      </c>
      <c r="I15" s="1345">
        <v>65000</v>
      </c>
      <c r="J15" s="1652">
        <v>12</v>
      </c>
      <c r="K15" s="1653">
        <v>0</v>
      </c>
      <c r="L15" s="1344">
        <v>0</v>
      </c>
      <c r="M15" s="1204">
        <v>12</v>
      </c>
      <c r="N15" s="1205">
        <v>12000</v>
      </c>
      <c r="O15" s="1346">
        <f t="shared" si="0"/>
        <v>144000</v>
      </c>
      <c r="P15" s="1345">
        <v>3</v>
      </c>
      <c r="Q15" s="1482">
        <f t="shared" si="1"/>
        <v>36000</v>
      </c>
      <c r="R15" s="1344">
        <v>3</v>
      </c>
      <c r="S15" s="1483">
        <f t="shared" si="2"/>
        <v>36000</v>
      </c>
      <c r="T15" s="1345">
        <v>3</v>
      </c>
      <c r="U15" s="1483">
        <f t="shared" si="3"/>
        <v>36000</v>
      </c>
      <c r="V15" s="1344">
        <v>3</v>
      </c>
      <c r="W15" s="1483">
        <f t="shared" si="4"/>
        <v>36000</v>
      </c>
      <c r="X15" s="1345">
        <f t="shared" si="6"/>
        <v>12</v>
      </c>
      <c r="Y15" s="1345">
        <f t="shared" si="6"/>
        <v>144000</v>
      </c>
      <c r="Z15" s="1357" t="s">
        <v>7799</v>
      </c>
      <c r="AA15" s="1358" t="s">
        <v>6531</v>
      </c>
      <c r="AC15" s="1388" t="str">
        <f t="shared" si="5"/>
        <v>ok</v>
      </c>
    </row>
    <row r="16" spans="1:29" s="1359" customFormat="1" ht="20.25" customHeight="1" x14ac:dyDescent="0.6">
      <c r="A16" s="1279">
        <v>9</v>
      </c>
      <c r="B16" s="1341" t="s">
        <v>9095</v>
      </c>
      <c r="C16" s="1383" t="s">
        <v>8907</v>
      </c>
      <c r="D16" s="1932">
        <v>1</v>
      </c>
      <c r="E16" s="1344">
        <v>10000</v>
      </c>
      <c r="F16" s="1932">
        <v>1</v>
      </c>
      <c r="G16" s="1344">
        <v>10000</v>
      </c>
      <c r="H16" s="1345">
        <v>1</v>
      </c>
      <c r="I16" s="1345">
        <v>10640</v>
      </c>
      <c r="J16" s="1652">
        <v>1</v>
      </c>
      <c r="K16" s="1653">
        <v>0</v>
      </c>
      <c r="L16" s="1344">
        <v>0</v>
      </c>
      <c r="M16" s="1204">
        <v>1</v>
      </c>
      <c r="N16" s="1205">
        <v>15000</v>
      </c>
      <c r="O16" s="1346">
        <f t="shared" si="0"/>
        <v>15000</v>
      </c>
      <c r="P16" s="1345">
        <v>0</v>
      </c>
      <c r="Q16" s="1482">
        <f t="shared" si="1"/>
        <v>0</v>
      </c>
      <c r="R16" s="1344">
        <v>0</v>
      </c>
      <c r="S16" s="1483">
        <f t="shared" si="2"/>
        <v>0</v>
      </c>
      <c r="T16" s="1345">
        <v>1</v>
      </c>
      <c r="U16" s="1483">
        <f t="shared" si="3"/>
        <v>15000</v>
      </c>
      <c r="V16" s="1344">
        <v>0</v>
      </c>
      <c r="W16" s="1483">
        <f t="shared" si="4"/>
        <v>0</v>
      </c>
      <c r="X16" s="1345">
        <f t="shared" si="6"/>
        <v>1</v>
      </c>
      <c r="Y16" s="1345">
        <f t="shared" si="6"/>
        <v>15000</v>
      </c>
      <c r="Z16" s="1357" t="s">
        <v>7799</v>
      </c>
      <c r="AA16" s="1358" t="s">
        <v>6531</v>
      </c>
      <c r="AC16" s="1388" t="str">
        <f t="shared" si="5"/>
        <v>ok</v>
      </c>
    </row>
    <row r="17" spans="1:29" s="1359" customFormat="1" ht="35.25" customHeight="1" x14ac:dyDescent="0.6">
      <c r="A17" s="1279">
        <v>10</v>
      </c>
      <c r="B17" s="1341" t="s">
        <v>9096</v>
      </c>
      <c r="C17" s="1383" t="s">
        <v>8907</v>
      </c>
      <c r="D17" s="1932">
        <v>12</v>
      </c>
      <c r="E17" s="1344">
        <v>65000</v>
      </c>
      <c r="F17" s="1932">
        <v>12</v>
      </c>
      <c r="G17" s="1344">
        <v>150000</v>
      </c>
      <c r="H17" s="1345">
        <v>12</v>
      </c>
      <c r="I17" s="1345">
        <v>250000</v>
      </c>
      <c r="J17" s="1652">
        <v>12</v>
      </c>
      <c r="K17" s="1653">
        <v>0</v>
      </c>
      <c r="L17" s="1344">
        <v>0</v>
      </c>
      <c r="M17" s="1204">
        <v>12</v>
      </c>
      <c r="N17" s="1205">
        <v>50000</v>
      </c>
      <c r="O17" s="1346">
        <f t="shared" si="0"/>
        <v>600000</v>
      </c>
      <c r="P17" s="1345">
        <v>3</v>
      </c>
      <c r="Q17" s="1482">
        <f t="shared" si="1"/>
        <v>150000</v>
      </c>
      <c r="R17" s="1344">
        <v>3</v>
      </c>
      <c r="S17" s="1483">
        <f t="shared" si="2"/>
        <v>150000</v>
      </c>
      <c r="T17" s="1345">
        <v>3</v>
      </c>
      <c r="U17" s="1483">
        <f t="shared" si="3"/>
        <v>150000</v>
      </c>
      <c r="V17" s="1344">
        <v>3</v>
      </c>
      <c r="W17" s="1483">
        <f t="shared" si="4"/>
        <v>150000</v>
      </c>
      <c r="X17" s="1345">
        <f t="shared" si="6"/>
        <v>12</v>
      </c>
      <c r="Y17" s="1345">
        <f t="shared" si="6"/>
        <v>600000</v>
      </c>
      <c r="Z17" s="1357" t="s">
        <v>7799</v>
      </c>
      <c r="AA17" s="1358" t="s">
        <v>6531</v>
      </c>
      <c r="AC17" s="1388" t="str">
        <f t="shared" si="5"/>
        <v>ok</v>
      </c>
    </row>
    <row r="18" spans="1:29" s="1359" customFormat="1" ht="20.25" customHeight="1" x14ac:dyDescent="0.6">
      <c r="A18" s="1279">
        <v>11</v>
      </c>
      <c r="B18" s="1203" t="s">
        <v>9097</v>
      </c>
      <c r="C18" s="1383" t="s">
        <v>8907</v>
      </c>
      <c r="D18" s="1932">
        <v>11</v>
      </c>
      <c r="E18" s="1344">
        <v>196725</v>
      </c>
      <c r="F18" s="1932">
        <v>7</v>
      </c>
      <c r="G18" s="1344">
        <v>101420</v>
      </c>
      <c r="H18" s="1345">
        <v>6</v>
      </c>
      <c r="I18" s="1345">
        <v>39850</v>
      </c>
      <c r="J18" s="1652">
        <v>12</v>
      </c>
      <c r="K18" s="1653">
        <v>0</v>
      </c>
      <c r="L18" s="1344">
        <v>0</v>
      </c>
      <c r="M18" s="1204">
        <v>12</v>
      </c>
      <c r="N18" s="1205">
        <v>15000</v>
      </c>
      <c r="O18" s="1346">
        <f t="shared" si="0"/>
        <v>180000</v>
      </c>
      <c r="P18" s="1345">
        <v>3</v>
      </c>
      <c r="Q18" s="1482">
        <f t="shared" si="1"/>
        <v>45000</v>
      </c>
      <c r="R18" s="1344">
        <v>3</v>
      </c>
      <c r="S18" s="1483">
        <f t="shared" si="2"/>
        <v>45000</v>
      </c>
      <c r="T18" s="1345">
        <v>3</v>
      </c>
      <c r="U18" s="1483">
        <f t="shared" si="3"/>
        <v>45000</v>
      </c>
      <c r="V18" s="1344">
        <v>3</v>
      </c>
      <c r="W18" s="1483">
        <f t="shared" si="4"/>
        <v>45000</v>
      </c>
      <c r="X18" s="1345">
        <f t="shared" si="6"/>
        <v>12</v>
      </c>
      <c r="Y18" s="1345">
        <f t="shared" si="6"/>
        <v>180000</v>
      </c>
      <c r="Z18" s="1357" t="s">
        <v>7799</v>
      </c>
      <c r="AA18" s="1358" t="s">
        <v>6531</v>
      </c>
      <c r="AC18" s="1388" t="str">
        <f t="shared" si="5"/>
        <v>ok</v>
      </c>
    </row>
    <row r="19" spans="1:29" s="1359" customFormat="1" ht="20.25" customHeight="1" x14ac:dyDescent="0.6">
      <c r="A19" s="1279">
        <v>12</v>
      </c>
      <c r="B19" s="1203" t="s">
        <v>9098</v>
      </c>
      <c r="C19" s="1383" t="s">
        <v>8907</v>
      </c>
      <c r="D19" s="1932">
        <v>6</v>
      </c>
      <c r="E19" s="1344">
        <v>50000</v>
      </c>
      <c r="F19" s="1932">
        <v>10</v>
      </c>
      <c r="G19" s="1344">
        <v>65000</v>
      </c>
      <c r="H19" s="1345">
        <v>4</v>
      </c>
      <c r="I19" s="1345">
        <v>28300</v>
      </c>
      <c r="J19" s="1652">
        <v>12</v>
      </c>
      <c r="K19" s="1653">
        <v>0</v>
      </c>
      <c r="L19" s="1344">
        <v>0</v>
      </c>
      <c r="M19" s="1204">
        <v>12</v>
      </c>
      <c r="N19" s="1205">
        <v>10000</v>
      </c>
      <c r="O19" s="1346">
        <f t="shared" si="0"/>
        <v>120000</v>
      </c>
      <c r="P19" s="1345">
        <v>3</v>
      </c>
      <c r="Q19" s="1482">
        <f t="shared" si="1"/>
        <v>30000</v>
      </c>
      <c r="R19" s="1344">
        <v>3</v>
      </c>
      <c r="S19" s="1483">
        <f t="shared" si="2"/>
        <v>30000</v>
      </c>
      <c r="T19" s="1345">
        <v>3</v>
      </c>
      <c r="U19" s="1483">
        <f t="shared" si="3"/>
        <v>30000</v>
      </c>
      <c r="V19" s="1344">
        <v>3</v>
      </c>
      <c r="W19" s="1483">
        <f t="shared" si="4"/>
        <v>30000</v>
      </c>
      <c r="X19" s="1345">
        <f t="shared" si="6"/>
        <v>12</v>
      </c>
      <c r="Y19" s="1345">
        <f t="shared" si="6"/>
        <v>120000</v>
      </c>
      <c r="Z19" s="1357" t="s">
        <v>7799</v>
      </c>
      <c r="AA19" s="1358" t="s">
        <v>6531</v>
      </c>
      <c r="AC19" s="1388" t="str">
        <f t="shared" si="5"/>
        <v>ok</v>
      </c>
    </row>
    <row r="20" spans="1:29" s="1359" customFormat="1" ht="20.25" customHeight="1" x14ac:dyDescent="0.6">
      <c r="A20" s="1279">
        <v>13</v>
      </c>
      <c r="B20" s="1372" t="s">
        <v>9099</v>
      </c>
      <c r="C20" s="1383" t="s">
        <v>8907</v>
      </c>
      <c r="D20" s="1932">
        <v>3</v>
      </c>
      <c r="E20" s="1344">
        <v>50000</v>
      </c>
      <c r="F20" s="1932">
        <v>5</v>
      </c>
      <c r="G20" s="1344">
        <v>80000</v>
      </c>
      <c r="H20" s="1345">
        <v>6</v>
      </c>
      <c r="I20" s="1345">
        <v>158700</v>
      </c>
      <c r="J20" s="1652">
        <v>12</v>
      </c>
      <c r="K20" s="1653">
        <v>0</v>
      </c>
      <c r="L20" s="1344">
        <v>0</v>
      </c>
      <c r="M20" s="1204">
        <v>12</v>
      </c>
      <c r="N20" s="1205">
        <v>50000</v>
      </c>
      <c r="O20" s="1346">
        <f t="shared" si="0"/>
        <v>600000</v>
      </c>
      <c r="P20" s="1345">
        <v>3</v>
      </c>
      <c r="Q20" s="1482">
        <f t="shared" si="1"/>
        <v>150000</v>
      </c>
      <c r="R20" s="1344">
        <v>3</v>
      </c>
      <c r="S20" s="1483">
        <f t="shared" si="2"/>
        <v>150000</v>
      </c>
      <c r="T20" s="1345">
        <v>3</v>
      </c>
      <c r="U20" s="1483">
        <f t="shared" si="3"/>
        <v>150000</v>
      </c>
      <c r="V20" s="1344">
        <v>3</v>
      </c>
      <c r="W20" s="1483">
        <f t="shared" si="4"/>
        <v>150000</v>
      </c>
      <c r="X20" s="1345">
        <f t="shared" si="6"/>
        <v>12</v>
      </c>
      <c r="Y20" s="1345">
        <f t="shared" si="6"/>
        <v>600000</v>
      </c>
      <c r="Z20" s="1357" t="s">
        <v>7799</v>
      </c>
      <c r="AA20" s="1358" t="s">
        <v>6531</v>
      </c>
      <c r="AC20" s="1388" t="str">
        <f t="shared" si="5"/>
        <v>ok</v>
      </c>
    </row>
    <row r="21" spans="1:29" s="1359" customFormat="1" ht="20.25" customHeight="1" x14ac:dyDescent="0.6">
      <c r="A21" s="1279">
        <v>14</v>
      </c>
      <c r="B21" s="1372" t="s">
        <v>9100</v>
      </c>
      <c r="C21" s="1383" t="s">
        <v>8907</v>
      </c>
      <c r="D21" s="1932">
        <v>1</v>
      </c>
      <c r="E21" s="1344">
        <v>10000</v>
      </c>
      <c r="F21" s="1932">
        <v>1</v>
      </c>
      <c r="G21" s="1344">
        <v>10000</v>
      </c>
      <c r="H21" s="1345">
        <v>1</v>
      </c>
      <c r="I21" s="1345">
        <v>10000</v>
      </c>
      <c r="J21" s="1652">
        <v>1</v>
      </c>
      <c r="K21" s="1653">
        <v>0</v>
      </c>
      <c r="L21" s="1344">
        <v>0</v>
      </c>
      <c r="M21" s="1204">
        <v>1</v>
      </c>
      <c r="N21" s="1205">
        <v>10000</v>
      </c>
      <c r="O21" s="1346">
        <f t="shared" si="0"/>
        <v>10000</v>
      </c>
      <c r="P21" s="1345">
        <v>1</v>
      </c>
      <c r="Q21" s="1482">
        <f t="shared" si="1"/>
        <v>10000</v>
      </c>
      <c r="R21" s="1344">
        <v>0</v>
      </c>
      <c r="S21" s="1483">
        <f t="shared" si="2"/>
        <v>0</v>
      </c>
      <c r="T21" s="1345">
        <v>0</v>
      </c>
      <c r="U21" s="1483">
        <f t="shared" si="3"/>
        <v>0</v>
      </c>
      <c r="V21" s="1344">
        <v>0</v>
      </c>
      <c r="W21" s="1483">
        <f t="shared" si="4"/>
        <v>0</v>
      </c>
      <c r="X21" s="1345">
        <f t="shared" si="6"/>
        <v>1</v>
      </c>
      <c r="Y21" s="1345">
        <f t="shared" si="6"/>
        <v>10000</v>
      </c>
      <c r="Z21" s="1357" t="s">
        <v>7799</v>
      </c>
      <c r="AA21" s="1358" t="s">
        <v>6531</v>
      </c>
      <c r="AC21" s="1388" t="str">
        <f t="shared" si="5"/>
        <v>ok</v>
      </c>
    </row>
    <row r="22" spans="1:29" s="1359" customFormat="1" ht="20.25" customHeight="1" x14ac:dyDescent="0.6">
      <c r="A22" s="1279">
        <v>15</v>
      </c>
      <c r="B22" s="1203" t="s">
        <v>9101</v>
      </c>
      <c r="C22" s="1383" t="s">
        <v>8907</v>
      </c>
      <c r="D22" s="1932">
        <v>3</v>
      </c>
      <c r="E22" s="1344">
        <v>45000</v>
      </c>
      <c r="F22" s="1932">
        <v>2</v>
      </c>
      <c r="G22" s="1344">
        <v>35000</v>
      </c>
      <c r="H22" s="1345">
        <v>5</v>
      </c>
      <c r="I22" s="1345">
        <v>55000</v>
      </c>
      <c r="J22" s="1652">
        <v>12</v>
      </c>
      <c r="K22" s="1653">
        <v>0</v>
      </c>
      <c r="L22" s="1344">
        <v>0</v>
      </c>
      <c r="M22" s="1204">
        <v>12</v>
      </c>
      <c r="N22" s="1205">
        <v>5000</v>
      </c>
      <c r="O22" s="1346">
        <f>M22*N22</f>
        <v>60000</v>
      </c>
      <c r="P22" s="1345">
        <v>3</v>
      </c>
      <c r="Q22" s="1482">
        <f>P22*N22</f>
        <v>15000</v>
      </c>
      <c r="R22" s="1344">
        <v>3</v>
      </c>
      <c r="S22" s="1483">
        <f>R22*N22</f>
        <v>15000</v>
      </c>
      <c r="T22" s="1345">
        <v>3</v>
      </c>
      <c r="U22" s="1483">
        <f>T22*N22</f>
        <v>15000</v>
      </c>
      <c r="V22" s="1344">
        <v>3</v>
      </c>
      <c r="W22" s="1483">
        <f>V22*N22</f>
        <v>15000</v>
      </c>
      <c r="X22" s="1345">
        <f t="shared" si="6"/>
        <v>12</v>
      </c>
      <c r="Y22" s="1345">
        <f t="shared" si="6"/>
        <v>60000</v>
      </c>
      <c r="Z22" s="1357" t="s">
        <v>7799</v>
      </c>
      <c r="AA22" s="1358" t="s">
        <v>6531</v>
      </c>
      <c r="AC22" s="1388" t="str">
        <f t="shared" si="5"/>
        <v>ok</v>
      </c>
    </row>
    <row r="23" spans="1:29" s="1359" customFormat="1" ht="24.75" customHeight="1" x14ac:dyDescent="0.6">
      <c r="A23" s="1279">
        <v>16</v>
      </c>
      <c r="B23" s="1372" t="s">
        <v>9102</v>
      </c>
      <c r="C23" s="1383" t="s">
        <v>8907</v>
      </c>
      <c r="D23" s="1932">
        <v>12</v>
      </c>
      <c r="E23" s="1344">
        <v>419940</v>
      </c>
      <c r="F23" s="1932">
        <v>12</v>
      </c>
      <c r="G23" s="1344">
        <v>1023070</v>
      </c>
      <c r="H23" s="1345">
        <v>12</v>
      </c>
      <c r="I23" s="1345">
        <v>1227240</v>
      </c>
      <c r="J23" s="1652">
        <v>12</v>
      </c>
      <c r="K23" s="1653">
        <v>0</v>
      </c>
      <c r="L23" s="1344">
        <v>0</v>
      </c>
      <c r="M23" s="1204">
        <v>12</v>
      </c>
      <c r="N23" s="1205">
        <v>60000</v>
      </c>
      <c r="O23" s="1346">
        <f>M23*N23</f>
        <v>720000</v>
      </c>
      <c r="P23" s="1345">
        <v>3</v>
      </c>
      <c r="Q23" s="1482">
        <f>P23*N23</f>
        <v>180000</v>
      </c>
      <c r="R23" s="1344">
        <v>3</v>
      </c>
      <c r="S23" s="1483">
        <f>R23*N23</f>
        <v>180000</v>
      </c>
      <c r="T23" s="1345">
        <v>3</v>
      </c>
      <c r="U23" s="1483">
        <f>T23*N23</f>
        <v>180000</v>
      </c>
      <c r="V23" s="1344">
        <v>3</v>
      </c>
      <c r="W23" s="1483">
        <f>V23*N23</f>
        <v>180000</v>
      </c>
      <c r="X23" s="1345">
        <f t="shared" si="6"/>
        <v>12</v>
      </c>
      <c r="Y23" s="1345">
        <f t="shared" si="6"/>
        <v>720000</v>
      </c>
      <c r="Z23" s="1357" t="s">
        <v>7799</v>
      </c>
      <c r="AA23" s="1358" t="s">
        <v>6531</v>
      </c>
      <c r="AC23" s="1388" t="str">
        <f t="shared" si="5"/>
        <v>ok</v>
      </c>
    </row>
    <row r="24" spans="1:29" s="1359" customFormat="1" ht="39" customHeight="1" x14ac:dyDescent="0.25">
      <c r="A24" s="1279">
        <v>17</v>
      </c>
      <c r="B24" s="1341" t="s">
        <v>9103</v>
      </c>
      <c r="C24" s="1383" t="s">
        <v>8907</v>
      </c>
      <c r="D24" s="1345">
        <v>12</v>
      </c>
      <c r="E24" s="1344">
        <v>132805</v>
      </c>
      <c r="F24" s="1345">
        <v>12</v>
      </c>
      <c r="G24" s="1344">
        <v>144080</v>
      </c>
      <c r="H24" s="1345">
        <v>12</v>
      </c>
      <c r="I24" s="1345">
        <v>397776</v>
      </c>
      <c r="J24" s="1652">
        <v>12</v>
      </c>
      <c r="K24" s="1653">
        <v>0</v>
      </c>
      <c r="L24" s="1344">
        <v>0</v>
      </c>
      <c r="M24" s="1204">
        <v>12</v>
      </c>
      <c r="N24" s="1205">
        <v>25000</v>
      </c>
      <c r="O24" s="1346">
        <f>M24*N24</f>
        <v>300000</v>
      </c>
      <c r="P24" s="1345">
        <v>3</v>
      </c>
      <c r="Q24" s="1482">
        <f>P24*N24</f>
        <v>75000</v>
      </c>
      <c r="R24" s="1344">
        <v>3</v>
      </c>
      <c r="S24" s="1483">
        <f>R24*N24</f>
        <v>75000</v>
      </c>
      <c r="T24" s="1345">
        <v>3</v>
      </c>
      <c r="U24" s="1483">
        <f>T24*N24</f>
        <v>75000</v>
      </c>
      <c r="V24" s="1344">
        <v>3</v>
      </c>
      <c r="W24" s="1483">
        <f>V24*N24</f>
        <v>75000</v>
      </c>
      <c r="X24" s="1345">
        <f t="shared" si="6"/>
        <v>12</v>
      </c>
      <c r="Y24" s="1345">
        <f t="shared" si="6"/>
        <v>300000</v>
      </c>
      <c r="Z24" s="1357" t="s">
        <v>7799</v>
      </c>
      <c r="AA24" s="1358" t="s">
        <v>6531</v>
      </c>
      <c r="AC24" s="1388" t="str">
        <f t="shared" si="5"/>
        <v>ok</v>
      </c>
    </row>
    <row r="25" spans="1:29" s="1359" customFormat="1" ht="23.25" customHeight="1" x14ac:dyDescent="0.25">
      <c r="A25" s="1279">
        <v>18</v>
      </c>
      <c r="B25" s="1211" t="s">
        <v>9104</v>
      </c>
      <c r="C25" s="1383" t="s">
        <v>8907</v>
      </c>
      <c r="D25" s="1350">
        <v>1</v>
      </c>
      <c r="E25" s="1385">
        <f t="shared" ref="E25:E32" si="7">D25*N25</f>
        <v>4000</v>
      </c>
      <c r="F25" s="1386">
        <v>1</v>
      </c>
      <c r="G25" s="1385">
        <f t="shared" ref="G25:G32" si="8">F25*N25</f>
        <v>4000</v>
      </c>
      <c r="H25" s="1386">
        <v>1</v>
      </c>
      <c r="I25" s="1356">
        <f t="shared" ref="I25:I32" si="9">H25*N25</f>
        <v>4000</v>
      </c>
      <c r="J25" s="1348">
        <v>1</v>
      </c>
      <c r="K25" s="1349">
        <v>0</v>
      </c>
      <c r="L25" s="1350">
        <f>K25*N25</f>
        <v>0</v>
      </c>
      <c r="M25" s="1351">
        <f>J25-L25</f>
        <v>1</v>
      </c>
      <c r="N25" s="1352">
        <v>4000</v>
      </c>
      <c r="O25" s="1353">
        <f>M25*N25</f>
        <v>4000</v>
      </c>
      <c r="P25" s="1354">
        <v>1</v>
      </c>
      <c r="Q25" s="1354">
        <f>P25*N25</f>
        <v>4000</v>
      </c>
      <c r="R25" s="1354">
        <v>0</v>
      </c>
      <c r="S25" s="1355">
        <f>R25*N25</f>
        <v>0</v>
      </c>
      <c r="T25" s="1354">
        <v>0</v>
      </c>
      <c r="U25" s="1355">
        <f>T25*N25</f>
        <v>0</v>
      </c>
      <c r="V25" s="1354">
        <v>0</v>
      </c>
      <c r="W25" s="1355">
        <f>V25*N25</f>
        <v>0</v>
      </c>
      <c r="X25" s="1356">
        <f>P25+R25+T25+V25</f>
        <v>1</v>
      </c>
      <c r="Y25" s="1356">
        <f>X25*N25</f>
        <v>4000</v>
      </c>
      <c r="Z25" s="1387" t="s">
        <v>7799</v>
      </c>
      <c r="AA25" s="1358" t="s">
        <v>7685</v>
      </c>
      <c r="AB25" s="1359" t="str">
        <f t="shared" ref="AB25:AB31" si="10">IF(O25=Y25,"yes")</f>
        <v>yes</v>
      </c>
      <c r="AC25" s="1359" t="str">
        <f t="shared" si="5"/>
        <v>ok</v>
      </c>
    </row>
    <row r="26" spans="1:29" s="1359" customFormat="1" ht="20.25" customHeight="1" x14ac:dyDescent="0.25">
      <c r="A26" s="1279">
        <v>19</v>
      </c>
      <c r="B26" s="1211" t="s">
        <v>9105</v>
      </c>
      <c r="C26" s="1383" t="s">
        <v>8907</v>
      </c>
      <c r="D26" s="1350">
        <v>2</v>
      </c>
      <c r="E26" s="1385">
        <f t="shared" si="7"/>
        <v>3000</v>
      </c>
      <c r="F26" s="1356">
        <v>2</v>
      </c>
      <c r="G26" s="1385">
        <f t="shared" si="8"/>
        <v>3000</v>
      </c>
      <c r="H26" s="1356">
        <v>2</v>
      </c>
      <c r="I26" s="1356">
        <f t="shared" si="9"/>
        <v>3000</v>
      </c>
      <c r="J26" s="1361">
        <v>2</v>
      </c>
      <c r="K26" s="1362">
        <v>0</v>
      </c>
      <c r="L26" s="1350">
        <f t="shared" ref="L26:L32" si="11">K26*N26</f>
        <v>0</v>
      </c>
      <c r="M26" s="1351">
        <f>J26-L26</f>
        <v>2</v>
      </c>
      <c r="N26" s="1363">
        <v>1500</v>
      </c>
      <c r="O26" s="1353">
        <f t="shared" ref="O26:O32" si="12">M26*N26</f>
        <v>3000</v>
      </c>
      <c r="P26" s="1350">
        <v>2</v>
      </c>
      <c r="Q26" s="1354">
        <f t="shared" ref="Q26:Q32" si="13">P26*N26</f>
        <v>3000</v>
      </c>
      <c r="R26" s="1350">
        <v>0</v>
      </c>
      <c r="S26" s="1355">
        <f t="shared" ref="S26:S32" si="14">R26*N26</f>
        <v>0</v>
      </c>
      <c r="T26" s="1356">
        <v>0</v>
      </c>
      <c r="U26" s="1355">
        <f t="shared" ref="U26:U32" si="15">T26*N26</f>
        <v>0</v>
      </c>
      <c r="V26" s="1356">
        <v>0</v>
      </c>
      <c r="W26" s="1355">
        <f t="shared" ref="W26:W32" si="16">V26*N26</f>
        <v>0</v>
      </c>
      <c r="X26" s="1356">
        <f t="shared" ref="X26:Y41" si="17">P26+R26+T26+V26</f>
        <v>2</v>
      </c>
      <c r="Y26" s="1356">
        <f t="shared" ref="Y26:Y32" si="18">X26*N26</f>
        <v>3000</v>
      </c>
      <c r="Z26" s="1387" t="s">
        <v>7799</v>
      </c>
      <c r="AA26" s="1358" t="s">
        <v>7685</v>
      </c>
      <c r="AB26" s="1359" t="str">
        <f t="shared" si="10"/>
        <v>yes</v>
      </c>
      <c r="AC26" s="1359" t="str">
        <f t="shared" si="5"/>
        <v>ok</v>
      </c>
    </row>
    <row r="27" spans="1:29" s="1359" customFormat="1" ht="34.5" customHeight="1" x14ac:dyDescent="0.25">
      <c r="A27" s="1279">
        <v>20</v>
      </c>
      <c r="B27" s="1211" t="s">
        <v>9106</v>
      </c>
      <c r="C27" s="1383" t="s">
        <v>8907</v>
      </c>
      <c r="D27" s="1350">
        <v>1</v>
      </c>
      <c r="E27" s="1385">
        <f t="shared" si="7"/>
        <v>4000</v>
      </c>
      <c r="F27" s="1356">
        <v>1</v>
      </c>
      <c r="G27" s="1385">
        <f t="shared" si="8"/>
        <v>4000</v>
      </c>
      <c r="H27" s="1356">
        <v>1</v>
      </c>
      <c r="I27" s="1356">
        <f t="shared" si="9"/>
        <v>4000</v>
      </c>
      <c r="J27" s="1361">
        <v>1</v>
      </c>
      <c r="K27" s="1362">
        <v>0</v>
      </c>
      <c r="L27" s="1350">
        <f t="shared" si="11"/>
        <v>0</v>
      </c>
      <c r="M27" s="1351">
        <f>J27-L27</f>
        <v>1</v>
      </c>
      <c r="N27" s="1363">
        <v>4000</v>
      </c>
      <c r="O27" s="1353">
        <f t="shared" si="12"/>
        <v>4000</v>
      </c>
      <c r="P27" s="1350">
        <v>1</v>
      </c>
      <c r="Q27" s="1354">
        <f t="shared" si="13"/>
        <v>4000</v>
      </c>
      <c r="R27" s="1356">
        <v>0</v>
      </c>
      <c r="S27" s="1355">
        <f t="shared" si="14"/>
        <v>0</v>
      </c>
      <c r="T27" s="1350">
        <v>0</v>
      </c>
      <c r="U27" s="1355">
        <f t="shared" si="15"/>
        <v>0</v>
      </c>
      <c r="V27" s="1356">
        <v>0</v>
      </c>
      <c r="W27" s="1355">
        <f t="shared" si="16"/>
        <v>0</v>
      </c>
      <c r="X27" s="1356">
        <f t="shared" si="17"/>
        <v>1</v>
      </c>
      <c r="Y27" s="1356">
        <f t="shared" si="18"/>
        <v>4000</v>
      </c>
      <c r="Z27" s="1387" t="s">
        <v>7799</v>
      </c>
      <c r="AA27" s="1358" t="s">
        <v>7685</v>
      </c>
      <c r="AB27" s="1359" t="str">
        <f t="shared" si="10"/>
        <v>yes</v>
      </c>
      <c r="AC27" s="1359" t="str">
        <f t="shared" si="5"/>
        <v>ok</v>
      </c>
    </row>
    <row r="28" spans="1:29" s="1359" customFormat="1" ht="20.25" customHeight="1" x14ac:dyDescent="0.25">
      <c r="A28" s="1279">
        <v>21</v>
      </c>
      <c r="B28" s="1211" t="s">
        <v>9107</v>
      </c>
      <c r="C28" s="1383" t="s">
        <v>8907</v>
      </c>
      <c r="D28" s="1350">
        <v>1</v>
      </c>
      <c r="E28" s="1385">
        <f t="shared" si="7"/>
        <v>2500</v>
      </c>
      <c r="F28" s="1356">
        <v>1</v>
      </c>
      <c r="G28" s="1385">
        <f t="shared" si="8"/>
        <v>2500</v>
      </c>
      <c r="H28" s="1356">
        <v>1</v>
      </c>
      <c r="I28" s="1356">
        <f t="shared" si="9"/>
        <v>2500</v>
      </c>
      <c r="J28" s="1361">
        <v>1</v>
      </c>
      <c r="K28" s="1362">
        <v>0</v>
      </c>
      <c r="L28" s="1350">
        <f t="shared" si="11"/>
        <v>0</v>
      </c>
      <c r="M28" s="1351">
        <f t="shared" ref="M28:M32" si="19">J28-L28</f>
        <v>1</v>
      </c>
      <c r="N28" s="1363">
        <v>2500</v>
      </c>
      <c r="O28" s="1353">
        <f t="shared" si="12"/>
        <v>2500</v>
      </c>
      <c r="P28" s="1356">
        <v>0</v>
      </c>
      <c r="Q28" s="1354">
        <f t="shared" si="13"/>
        <v>0</v>
      </c>
      <c r="R28" s="1350">
        <v>0</v>
      </c>
      <c r="S28" s="1355">
        <f t="shared" si="14"/>
        <v>0</v>
      </c>
      <c r="T28" s="1356">
        <v>0</v>
      </c>
      <c r="U28" s="1355">
        <f t="shared" si="15"/>
        <v>0</v>
      </c>
      <c r="V28" s="1350">
        <v>1</v>
      </c>
      <c r="W28" s="1355">
        <f t="shared" si="16"/>
        <v>2500</v>
      </c>
      <c r="X28" s="1356">
        <f t="shared" si="17"/>
        <v>1</v>
      </c>
      <c r="Y28" s="1356">
        <f t="shared" si="18"/>
        <v>2500</v>
      </c>
      <c r="Z28" s="1387" t="s">
        <v>7799</v>
      </c>
      <c r="AA28" s="1358" t="s">
        <v>7685</v>
      </c>
      <c r="AB28" s="1359" t="str">
        <f t="shared" si="10"/>
        <v>yes</v>
      </c>
      <c r="AC28" s="1359" t="str">
        <f t="shared" si="5"/>
        <v>ok</v>
      </c>
    </row>
    <row r="29" spans="1:29" s="1359" customFormat="1" ht="20.25" customHeight="1" x14ac:dyDescent="0.25">
      <c r="A29" s="1279">
        <v>22</v>
      </c>
      <c r="B29" s="1211" t="s">
        <v>9108</v>
      </c>
      <c r="C29" s="1383" t="s">
        <v>9109</v>
      </c>
      <c r="D29" s="1350">
        <v>5</v>
      </c>
      <c r="E29" s="1385">
        <f t="shared" si="7"/>
        <v>5000</v>
      </c>
      <c r="F29" s="1356">
        <v>5</v>
      </c>
      <c r="G29" s="1385">
        <f t="shared" si="8"/>
        <v>5000</v>
      </c>
      <c r="H29" s="1356">
        <v>5</v>
      </c>
      <c r="I29" s="1356">
        <f t="shared" si="9"/>
        <v>5000</v>
      </c>
      <c r="J29" s="1361">
        <v>5</v>
      </c>
      <c r="K29" s="1362">
        <v>0</v>
      </c>
      <c r="L29" s="1350">
        <f t="shared" si="11"/>
        <v>0</v>
      </c>
      <c r="M29" s="1351">
        <f t="shared" si="19"/>
        <v>5</v>
      </c>
      <c r="N29" s="1363">
        <v>1000</v>
      </c>
      <c r="O29" s="1353">
        <f t="shared" si="12"/>
        <v>5000</v>
      </c>
      <c r="P29" s="1350">
        <v>0</v>
      </c>
      <c r="Q29" s="1354">
        <f t="shared" si="13"/>
        <v>0</v>
      </c>
      <c r="R29" s="1350">
        <v>0</v>
      </c>
      <c r="S29" s="1355">
        <f t="shared" si="14"/>
        <v>0</v>
      </c>
      <c r="T29" s="1356">
        <v>0</v>
      </c>
      <c r="U29" s="1355">
        <f t="shared" si="15"/>
        <v>0</v>
      </c>
      <c r="V29" s="1356">
        <v>5</v>
      </c>
      <c r="W29" s="1355">
        <f t="shared" si="16"/>
        <v>5000</v>
      </c>
      <c r="X29" s="1356">
        <f t="shared" si="17"/>
        <v>5</v>
      </c>
      <c r="Y29" s="1356">
        <f t="shared" si="18"/>
        <v>5000</v>
      </c>
      <c r="Z29" s="1387" t="s">
        <v>7799</v>
      </c>
      <c r="AA29" s="1358" t="s">
        <v>7685</v>
      </c>
      <c r="AB29" s="1359" t="str">
        <f t="shared" si="10"/>
        <v>yes</v>
      </c>
      <c r="AC29" s="1359" t="str">
        <f t="shared" si="5"/>
        <v>ok</v>
      </c>
    </row>
    <row r="30" spans="1:29" s="1359" customFormat="1" ht="34.5" customHeight="1" x14ac:dyDescent="0.25">
      <c r="A30" s="1279">
        <v>23</v>
      </c>
      <c r="B30" s="1211" t="s">
        <v>9110</v>
      </c>
      <c r="C30" s="1383" t="s">
        <v>9084</v>
      </c>
      <c r="D30" s="1350">
        <v>12</v>
      </c>
      <c r="E30" s="1385">
        <f t="shared" si="7"/>
        <v>444000</v>
      </c>
      <c r="F30" s="1356">
        <v>12</v>
      </c>
      <c r="G30" s="1385">
        <f t="shared" si="8"/>
        <v>444000</v>
      </c>
      <c r="H30" s="1356">
        <v>12</v>
      </c>
      <c r="I30" s="1356">
        <f t="shared" si="9"/>
        <v>444000</v>
      </c>
      <c r="J30" s="1361">
        <v>12</v>
      </c>
      <c r="K30" s="1362">
        <v>0</v>
      </c>
      <c r="L30" s="1350">
        <f t="shared" si="11"/>
        <v>0</v>
      </c>
      <c r="M30" s="1351">
        <f t="shared" si="19"/>
        <v>12</v>
      </c>
      <c r="N30" s="1363">
        <v>37000</v>
      </c>
      <c r="O30" s="1353">
        <f t="shared" si="12"/>
        <v>444000</v>
      </c>
      <c r="P30" s="1350">
        <v>3</v>
      </c>
      <c r="Q30" s="1354">
        <f t="shared" si="13"/>
        <v>111000</v>
      </c>
      <c r="R30" s="1350">
        <v>3</v>
      </c>
      <c r="S30" s="1355">
        <f t="shared" si="14"/>
        <v>111000</v>
      </c>
      <c r="T30" s="1356">
        <v>3</v>
      </c>
      <c r="U30" s="1355">
        <f t="shared" si="15"/>
        <v>111000</v>
      </c>
      <c r="V30" s="1356">
        <v>3</v>
      </c>
      <c r="W30" s="1355">
        <f t="shared" si="16"/>
        <v>111000</v>
      </c>
      <c r="X30" s="1356">
        <f t="shared" si="17"/>
        <v>12</v>
      </c>
      <c r="Y30" s="1356">
        <f t="shared" si="18"/>
        <v>444000</v>
      </c>
      <c r="Z30" s="1387" t="s">
        <v>7799</v>
      </c>
      <c r="AA30" s="1358" t="s">
        <v>7685</v>
      </c>
      <c r="AB30" s="1359" t="str">
        <f t="shared" si="10"/>
        <v>yes</v>
      </c>
      <c r="AC30" s="1359" t="str">
        <f t="shared" si="5"/>
        <v>ok</v>
      </c>
    </row>
    <row r="31" spans="1:29" s="1359" customFormat="1" ht="44.25" customHeight="1" x14ac:dyDescent="0.25">
      <c r="A31" s="1279">
        <v>24</v>
      </c>
      <c r="B31" s="1211" t="s">
        <v>9111</v>
      </c>
      <c r="C31" s="1383" t="s">
        <v>9112</v>
      </c>
      <c r="D31" s="1350">
        <v>12</v>
      </c>
      <c r="E31" s="1385">
        <v>580000</v>
      </c>
      <c r="F31" s="1356">
        <v>12</v>
      </c>
      <c r="G31" s="1385">
        <v>670000</v>
      </c>
      <c r="H31" s="1356">
        <v>12</v>
      </c>
      <c r="I31" s="1356">
        <f t="shared" si="9"/>
        <v>1498116.152</v>
      </c>
      <c r="J31" s="1361">
        <v>12</v>
      </c>
      <c r="K31" s="1362">
        <v>0</v>
      </c>
      <c r="L31" s="1350">
        <f t="shared" si="11"/>
        <v>0</v>
      </c>
      <c r="M31" s="1351">
        <f t="shared" si="19"/>
        <v>12</v>
      </c>
      <c r="N31" s="1363">
        <v>124843.01266666666</v>
      </c>
      <c r="O31" s="1353">
        <f t="shared" si="12"/>
        <v>1498116.152</v>
      </c>
      <c r="P31" s="1350">
        <v>3</v>
      </c>
      <c r="Q31" s="1354">
        <f t="shared" si="13"/>
        <v>374529.038</v>
      </c>
      <c r="R31" s="1350">
        <v>3</v>
      </c>
      <c r="S31" s="1355">
        <f t="shared" si="14"/>
        <v>374529.038</v>
      </c>
      <c r="T31" s="1356">
        <v>3</v>
      </c>
      <c r="U31" s="1355">
        <f t="shared" si="15"/>
        <v>374529.038</v>
      </c>
      <c r="V31" s="1356">
        <v>3</v>
      </c>
      <c r="W31" s="1355">
        <f t="shared" si="16"/>
        <v>374529.038</v>
      </c>
      <c r="X31" s="1356">
        <f t="shared" si="17"/>
        <v>12</v>
      </c>
      <c r="Y31" s="1356">
        <f t="shared" si="18"/>
        <v>1498116.152</v>
      </c>
      <c r="Z31" s="1387" t="s">
        <v>9113</v>
      </c>
      <c r="AA31" s="1358" t="s">
        <v>7685</v>
      </c>
      <c r="AB31" s="1359" t="str">
        <f t="shared" si="10"/>
        <v>yes</v>
      </c>
      <c r="AC31" s="1359" t="str">
        <f t="shared" si="5"/>
        <v>ok</v>
      </c>
    </row>
    <row r="32" spans="1:29" s="1359" customFormat="1" ht="20.25" customHeight="1" x14ac:dyDescent="0.25">
      <c r="A32" s="1279">
        <v>25</v>
      </c>
      <c r="B32" s="1211" t="s">
        <v>9114</v>
      </c>
      <c r="C32" s="1383" t="s">
        <v>8907</v>
      </c>
      <c r="D32" s="1350">
        <v>0</v>
      </c>
      <c r="E32" s="1385">
        <f t="shared" si="7"/>
        <v>0</v>
      </c>
      <c r="F32" s="1356">
        <v>0</v>
      </c>
      <c r="G32" s="1385">
        <f t="shared" si="8"/>
        <v>0</v>
      </c>
      <c r="H32" s="1356">
        <v>0</v>
      </c>
      <c r="I32" s="1356">
        <f t="shared" si="9"/>
        <v>0</v>
      </c>
      <c r="J32" s="1361">
        <v>4</v>
      </c>
      <c r="K32" s="1362">
        <v>0</v>
      </c>
      <c r="L32" s="1350">
        <f t="shared" si="11"/>
        <v>0</v>
      </c>
      <c r="M32" s="1351">
        <f t="shared" si="19"/>
        <v>4</v>
      </c>
      <c r="N32" s="1363">
        <v>15000</v>
      </c>
      <c r="O32" s="1353">
        <f t="shared" si="12"/>
        <v>60000</v>
      </c>
      <c r="P32" s="1350">
        <v>1</v>
      </c>
      <c r="Q32" s="1354">
        <f t="shared" si="13"/>
        <v>15000</v>
      </c>
      <c r="R32" s="1350">
        <v>1</v>
      </c>
      <c r="S32" s="1355">
        <f t="shared" si="14"/>
        <v>15000</v>
      </c>
      <c r="T32" s="1356">
        <v>1</v>
      </c>
      <c r="U32" s="1355">
        <f t="shared" si="15"/>
        <v>15000</v>
      </c>
      <c r="V32" s="1356">
        <v>1</v>
      </c>
      <c r="W32" s="1355">
        <f t="shared" si="16"/>
        <v>15000</v>
      </c>
      <c r="X32" s="1356">
        <f t="shared" si="17"/>
        <v>4</v>
      </c>
      <c r="Y32" s="1356">
        <f t="shared" si="18"/>
        <v>60000</v>
      </c>
      <c r="Z32" s="1387" t="s">
        <v>7799</v>
      </c>
      <c r="AA32" s="1358" t="s">
        <v>8928</v>
      </c>
      <c r="AC32" s="1359" t="str">
        <f t="shared" si="5"/>
        <v>ok</v>
      </c>
    </row>
    <row r="33" spans="1:29" s="1359" customFormat="1" ht="49.5" customHeight="1" x14ac:dyDescent="0.25">
      <c r="A33" s="1279">
        <v>26</v>
      </c>
      <c r="B33" s="1341" t="s">
        <v>9115</v>
      </c>
      <c r="C33" s="1383" t="s">
        <v>8907</v>
      </c>
      <c r="D33" s="1345">
        <v>12</v>
      </c>
      <c r="E33" s="1344">
        <v>300000</v>
      </c>
      <c r="F33" s="1345">
        <v>12</v>
      </c>
      <c r="G33" s="1344">
        <v>300000</v>
      </c>
      <c r="H33" s="1345">
        <v>12</v>
      </c>
      <c r="I33" s="1345">
        <v>300000</v>
      </c>
      <c r="J33" s="1652">
        <v>12</v>
      </c>
      <c r="K33" s="1653">
        <v>0</v>
      </c>
      <c r="L33" s="1344">
        <v>0</v>
      </c>
      <c r="M33" s="1204">
        <v>12</v>
      </c>
      <c r="N33" s="1205">
        <v>25000</v>
      </c>
      <c r="O33" s="1346">
        <f>M33*N33</f>
        <v>300000</v>
      </c>
      <c r="P33" s="1345">
        <v>3</v>
      </c>
      <c r="Q33" s="1482">
        <f>P33*N33</f>
        <v>75000</v>
      </c>
      <c r="R33" s="1344">
        <v>3</v>
      </c>
      <c r="S33" s="1483">
        <f>R33*N33</f>
        <v>75000</v>
      </c>
      <c r="T33" s="1345">
        <v>3</v>
      </c>
      <c r="U33" s="1483">
        <f>T33*N33</f>
        <v>75000</v>
      </c>
      <c r="V33" s="1344">
        <v>3</v>
      </c>
      <c r="W33" s="1483">
        <f>V33*N33</f>
        <v>75000</v>
      </c>
      <c r="X33" s="1345">
        <f t="shared" si="17"/>
        <v>12</v>
      </c>
      <c r="Y33" s="1345">
        <f t="shared" si="17"/>
        <v>300000</v>
      </c>
      <c r="Z33" s="1357" t="s">
        <v>7799</v>
      </c>
      <c r="AA33" s="1358" t="s">
        <v>6531</v>
      </c>
      <c r="AC33" s="1388" t="str">
        <f t="shared" si="5"/>
        <v>ok</v>
      </c>
    </row>
    <row r="34" spans="1:29" s="1359" customFormat="1" ht="39" customHeight="1" x14ac:dyDescent="0.6">
      <c r="A34" s="1279">
        <v>27</v>
      </c>
      <c r="B34" s="1372" t="s">
        <v>9116</v>
      </c>
      <c r="C34" s="1383" t="s">
        <v>8907</v>
      </c>
      <c r="D34" s="1932">
        <v>1</v>
      </c>
      <c r="E34" s="1344">
        <v>19855</v>
      </c>
      <c r="F34" s="1932">
        <v>1</v>
      </c>
      <c r="G34" s="1344">
        <v>22000</v>
      </c>
      <c r="H34" s="1345">
        <v>1</v>
      </c>
      <c r="I34" s="1345">
        <v>20900</v>
      </c>
      <c r="J34" s="1652">
        <v>1</v>
      </c>
      <c r="K34" s="1653">
        <v>0</v>
      </c>
      <c r="L34" s="1344">
        <v>0</v>
      </c>
      <c r="M34" s="1204">
        <v>1</v>
      </c>
      <c r="N34" s="1205">
        <v>22900</v>
      </c>
      <c r="O34" s="1346">
        <f t="shared" ref="O34:O44" si="20">M34*N34</f>
        <v>22900</v>
      </c>
      <c r="P34" s="1345">
        <v>1</v>
      </c>
      <c r="Q34" s="1482">
        <f t="shared" ref="Q34:Q44" si="21">P34*N34</f>
        <v>22900</v>
      </c>
      <c r="R34" s="1344">
        <v>0</v>
      </c>
      <c r="S34" s="1483">
        <f t="shared" ref="S34:S44" si="22">R34*N34</f>
        <v>0</v>
      </c>
      <c r="T34" s="1345">
        <v>0</v>
      </c>
      <c r="U34" s="1483">
        <f t="shared" ref="U34:U44" si="23">T34*N34</f>
        <v>0</v>
      </c>
      <c r="V34" s="1344">
        <v>0</v>
      </c>
      <c r="W34" s="1483">
        <f t="shared" ref="W34:W44" si="24">V34*N34</f>
        <v>0</v>
      </c>
      <c r="X34" s="1345">
        <f t="shared" si="17"/>
        <v>1</v>
      </c>
      <c r="Y34" s="1345">
        <f t="shared" si="17"/>
        <v>22900</v>
      </c>
      <c r="Z34" s="1357" t="s">
        <v>7799</v>
      </c>
      <c r="AA34" s="1358" t="s">
        <v>6531</v>
      </c>
      <c r="AC34" s="1388" t="str">
        <f t="shared" si="5"/>
        <v>ok</v>
      </c>
    </row>
    <row r="35" spans="1:29" s="1359" customFormat="1" ht="20.25" customHeight="1" x14ac:dyDescent="0.6">
      <c r="A35" s="1279">
        <v>28</v>
      </c>
      <c r="B35" s="1372" t="s">
        <v>9117</v>
      </c>
      <c r="C35" s="1383" t="s">
        <v>8907</v>
      </c>
      <c r="D35" s="1932">
        <v>1</v>
      </c>
      <c r="E35" s="1344">
        <v>2349</v>
      </c>
      <c r="F35" s="1932">
        <v>1</v>
      </c>
      <c r="G35" s="1344">
        <v>2498</v>
      </c>
      <c r="H35" s="1345">
        <v>1</v>
      </c>
      <c r="I35" s="1345">
        <v>2672.86</v>
      </c>
      <c r="J35" s="1652">
        <v>1</v>
      </c>
      <c r="K35" s="1653">
        <v>0</v>
      </c>
      <c r="L35" s="1344">
        <v>0</v>
      </c>
      <c r="M35" s="1204">
        <v>1</v>
      </c>
      <c r="N35" s="1205">
        <v>3000</v>
      </c>
      <c r="O35" s="1346">
        <f t="shared" si="20"/>
        <v>3000</v>
      </c>
      <c r="P35" s="1345">
        <v>1</v>
      </c>
      <c r="Q35" s="1482">
        <f t="shared" si="21"/>
        <v>3000</v>
      </c>
      <c r="R35" s="1344">
        <v>0</v>
      </c>
      <c r="S35" s="1483">
        <f t="shared" si="22"/>
        <v>0</v>
      </c>
      <c r="T35" s="1345">
        <v>0</v>
      </c>
      <c r="U35" s="1483">
        <f t="shared" si="23"/>
        <v>0</v>
      </c>
      <c r="V35" s="1344">
        <v>0</v>
      </c>
      <c r="W35" s="1483">
        <f t="shared" si="24"/>
        <v>0</v>
      </c>
      <c r="X35" s="1345">
        <f t="shared" si="17"/>
        <v>1</v>
      </c>
      <c r="Y35" s="1345">
        <f t="shared" si="17"/>
        <v>3000</v>
      </c>
      <c r="Z35" s="1357" t="s">
        <v>7799</v>
      </c>
      <c r="AA35" s="1358" t="s">
        <v>6531</v>
      </c>
      <c r="AC35" s="1388" t="str">
        <f t="shared" si="5"/>
        <v>ok</v>
      </c>
    </row>
    <row r="36" spans="1:29" s="1359" customFormat="1" ht="20.25" customHeight="1" x14ac:dyDescent="0.6">
      <c r="A36" s="1279">
        <v>29</v>
      </c>
      <c r="B36" s="1372" t="s">
        <v>9118</v>
      </c>
      <c r="C36" s="1383" t="s">
        <v>8907</v>
      </c>
      <c r="D36" s="1932">
        <v>1</v>
      </c>
      <c r="E36" s="1344">
        <v>2500</v>
      </c>
      <c r="F36" s="1932">
        <v>1</v>
      </c>
      <c r="G36" s="1344">
        <v>25000</v>
      </c>
      <c r="H36" s="1345">
        <v>1</v>
      </c>
      <c r="I36" s="1345">
        <v>33705</v>
      </c>
      <c r="J36" s="1652">
        <v>1</v>
      </c>
      <c r="K36" s="1653">
        <v>0</v>
      </c>
      <c r="L36" s="1344">
        <v>0</v>
      </c>
      <c r="M36" s="1204">
        <v>1</v>
      </c>
      <c r="N36" s="1205">
        <v>50000</v>
      </c>
      <c r="O36" s="1346">
        <f t="shared" si="20"/>
        <v>50000</v>
      </c>
      <c r="P36" s="1345">
        <v>1</v>
      </c>
      <c r="Q36" s="1482">
        <f t="shared" si="21"/>
        <v>50000</v>
      </c>
      <c r="R36" s="1344">
        <v>0</v>
      </c>
      <c r="S36" s="1483">
        <f t="shared" si="22"/>
        <v>0</v>
      </c>
      <c r="T36" s="1345">
        <v>0</v>
      </c>
      <c r="U36" s="1483">
        <f t="shared" si="23"/>
        <v>0</v>
      </c>
      <c r="V36" s="1344">
        <v>0</v>
      </c>
      <c r="W36" s="1483">
        <f t="shared" si="24"/>
        <v>0</v>
      </c>
      <c r="X36" s="1345">
        <f t="shared" si="17"/>
        <v>1</v>
      </c>
      <c r="Y36" s="1345">
        <f t="shared" si="17"/>
        <v>50000</v>
      </c>
      <c r="Z36" s="1357" t="s">
        <v>7799</v>
      </c>
      <c r="AA36" s="1358" t="s">
        <v>6531</v>
      </c>
      <c r="AC36" s="1388" t="str">
        <f t="shared" si="5"/>
        <v>ok</v>
      </c>
    </row>
    <row r="37" spans="1:29" s="1359" customFormat="1" ht="20.25" customHeight="1" x14ac:dyDescent="0.6">
      <c r="A37" s="1279">
        <v>30</v>
      </c>
      <c r="B37" s="1372" t="s">
        <v>9119</v>
      </c>
      <c r="C37" s="1383" t="s">
        <v>8907</v>
      </c>
      <c r="D37" s="1932">
        <v>0</v>
      </c>
      <c r="E37" s="1344">
        <v>0</v>
      </c>
      <c r="F37" s="1932">
        <v>0</v>
      </c>
      <c r="G37" s="1344">
        <v>0</v>
      </c>
      <c r="H37" s="1345">
        <v>0</v>
      </c>
      <c r="I37" s="1345">
        <v>0</v>
      </c>
      <c r="J37" s="1652">
        <v>1</v>
      </c>
      <c r="K37" s="1653">
        <v>0</v>
      </c>
      <c r="L37" s="1344">
        <v>0</v>
      </c>
      <c r="M37" s="1204">
        <v>1</v>
      </c>
      <c r="N37" s="1205">
        <v>300000</v>
      </c>
      <c r="O37" s="1346">
        <f t="shared" si="20"/>
        <v>300000</v>
      </c>
      <c r="P37" s="1345">
        <v>1</v>
      </c>
      <c r="Q37" s="1482">
        <f t="shared" si="21"/>
        <v>300000</v>
      </c>
      <c r="R37" s="1344">
        <v>0</v>
      </c>
      <c r="S37" s="1483">
        <f t="shared" si="22"/>
        <v>0</v>
      </c>
      <c r="T37" s="1345">
        <v>0</v>
      </c>
      <c r="U37" s="1483">
        <f t="shared" si="23"/>
        <v>0</v>
      </c>
      <c r="V37" s="1344">
        <v>0</v>
      </c>
      <c r="W37" s="1483">
        <f t="shared" si="24"/>
        <v>0</v>
      </c>
      <c r="X37" s="1345">
        <f t="shared" si="17"/>
        <v>1</v>
      </c>
      <c r="Y37" s="1345">
        <f t="shared" si="17"/>
        <v>300000</v>
      </c>
      <c r="Z37" s="1357" t="s">
        <v>7799</v>
      </c>
      <c r="AA37" s="1358" t="s">
        <v>6531</v>
      </c>
      <c r="AC37" s="1388" t="str">
        <f t="shared" si="5"/>
        <v>ok</v>
      </c>
    </row>
    <row r="38" spans="1:29" s="1359" customFormat="1" ht="20.25" customHeight="1" x14ac:dyDescent="0.6">
      <c r="A38" s="1279">
        <v>31</v>
      </c>
      <c r="B38" s="1372" t="s">
        <v>9120</v>
      </c>
      <c r="C38" s="1383" t="s">
        <v>8907</v>
      </c>
      <c r="D38" s="1932">
        <v>0</v>
      </c>
      <c r="E38" s="1344">
        <v>0</v>
      </c>
      <c r="F38" s="1932">
        <v>0</v>
      </c>
      <c r="G38" s="1344">
        <v>0</v>
      </c>
      <c r="H38" s="1345">
        <v>0</v>
      </c>
      <c r="I38" s="1345">
        <v>0</v>
      </c>
      <c r="J38" s="1652">
        <v>1</v>
      </c>
      <c r="K38" s="1653">
        <v>0</v>
      </c>
      <c r="L38" s="1344">
        <v>0</v>
      </c>
      <c r="M38" s="1204">
        <v>1</v>
      </c>
      <c r="N38" s="1205">
        <v>35000</v>
      </c>
      <c r="O38" s="1346">
        <f t="shared" si="20"/>
        <v>35000</v>
      </c>
      <c r="P38" s="1345">
        <v>1</v>
      </c>
      <c r="Q38" s="1482">
        <f t="shared" si="21"/>
        <v>35000</v>
      </c>
      <c r="R38" s="1344">
        <v>0</v>
      </c>
      <c r="S38" s="1483">
        <f t="shared" si="22"/>
        <v>0</v>
      </c>
      <c r="T38" s="1345">
        <v>0</v>
      </c>
      <c r="U38" s="1483">
        <f t="shared" si="23"/>
        <v>0</v>
      </c>
      <c r="V38" s="1344">
        <v>0</v>
      </c>
      <c r="W38" s="1483">
        <f t="shared" si="24"/>
        <v>0</v>
      </c>
      <c r="X38" s="1345">
        <f t="shared" si="17"/>
        <v>1</v>
      </c>
      <c r="Y38" s="1345">
        <f t="shared" si="17"/>
        <v>35000</v>
      </c>
      <c r="Z38" s="1357" t="s">
        <v>7799</v>
      </c>
      <c r="AA38" s="1358" t="s">
        <v>6531</v>
      </c>
      <c r="AC38" s="1388" t="str">
        <f t="shared" si="5"/>
        <v>ok</v>
      </c>
    </row>
    <row r="39" spans="1:29" s="1359" customFormat="1" ht="20.25" customHeight="1" x14ac:dyDescent="0.6">
      <c r="A39" s="1279">
        <v>32</v>
      </c>
      <c r="B39" s="1372" t="s">
        <v>9121</v>
      </c>
      <c r="C39" s="1383" t="s">
        <v>8907</v>
      </c>
      <c r="D39" s="1932">
        <v>12</v>
      </c>
      <c r="E39" s="1344">
        <v>16400</v>
      </c>
      <c r="F39" s="1932">
        <v>12</v>
      </c>
      <c r="G39" s="1344">
        <v>7660</v>
      </c>
      <c r="H39" s="1345">
        <v>12</v>
      </c>
      <c r="I39" s="1345">
        <v>2440</v>
      </c>
      <c r="J39" s="1652">
        <v>12</v>
      </c>
      <c r="K39" s="1653">
        <v>0</v>
      </c>
      <c r="L39" s="1344">
        <v>0</v>
      </c>
      <c r="M39" s="1204">
        <v>12</v>
      </c>
      <c r="N39" s="1205">
        <v>250</v>
      </c>
      <c r="O39" s="1346">
        <f t="shared" si="20"/>
        <v>3000</v>
      </c>
      <c r="P39" s="1345">
        <v>3</v>
      </c>
      <c r="Q39" s="1482">
        <f t="shared" si="21"/>
        <v>750</v>
      </c>
      <c r="R39" s="1344">
        <v>3</v>
      </c>
      <c r="S39" s="1483">
        <f t="shared" si="22"/>
        <v>750</v>
      </c>
      <c r="T39" s="1345">
        <v>3</v>
      </c>
      <c r="U39" s="1483">
        <f t="shared" si="23"/>
        <v>750</v>
      </c>
      <c r="V39" s="1344">
        <v>3</v>
      </c>
      <c r="W39" s="1483">
        <f t="shared" si="24"/>
        <v>750</v>
      </c>
      <c r="X39" s="1345">
        <f t="shared" si="17"/>
        <v>12</v>
      </c>
      <c r="Y39" s="1345">
        <f t="shared" si="17"/>
        <v>3000</v>
      </c>
      <c r="Z39" s="1357" t="s">
        <v>7799</v>
      </c>
      <c r="AA39" s="1358" t="s">
        <v>6531</v>
      </c>
      <c r="AC39" s="1388" t="str">
        <f t="shared" si="5"/>
        <v>ok</v>
      </c>
    </row>
    <row r="40" spans="1:29" s="1359" customFormat="1" ht="20.25" customHeight="1" x14ac:dyDescent="0.6">
      <c r="A40" s="1279">
        <v>33</v>
      </c>
      <c r="B40" s="1372" t="s">
        <v>9122</v>
      </c>
      <c r="C40" s="1383" t="s">
        <v>8907</v>
      </c>
      <c r="D40" s="1932">
        <v>12</v>
      </c>
      <c r="E40" s="1344">
        <v>5770</v>
      </c>
      <c r="F40" s="1932">
        <v>12</v>
      </c>
      <c r="G40" s="1344">
        <v>4550</v>
      </c>
      <c r="H40" s="1345">
        <v>12</v>
      </c>
      <c r="I40" s="1345">
        <v>5200</v>
      </c>
      <c r="J40" s="1652">
        <v>12</v>
      </c>
      <c r="K40" s="1653">
        <v>0</v>
      </c>
      <c r="L40" s="1344">
        <v>0</v>
      </c>
      <c r="M40" s="1204">
        <v>12</v>
      </c>
      <c r="N40" s="1205">
        <v>750</v>
      </c>
      <c r="O40" s="1346">
        <f t="shared" si="20"/>
        <v>9000</v>
      </c>
      <c r="P40" s="1345">
        <v>3</v>
      </c>
      <c r="Q40" s="1482">
        <f t="shared" si="21"/>
        <v>2250</v>
      </c>
      <c r="R40" s="1344">
        <v>3</v>
      </c>
      <c r="S40" s="1483">
        <f t="shared" si="22"/>
        <v>2250</v>
      </c>
      <c r="T40" s="1345">
        <v>3</v>
      </c>
      <c r="U40" s="1483">
        <f t="shared" si="23"/>
        <v>2250</v>
      </c>
      <c r="V40" s="1344">
        <v>3</v>
      </c>
      <c r="W40" s="1483">
        <f t="shared" si="24"/>
        <v>2250</v>
      </c>
      <c r="X40" s="1345">
        <f t="shared" si="17"/>
        <v>12</v>
      </c>
      <c r="Y40" s="1345">
        <f t="shared" si="17"/>
        <v>9000</v>
      </c>
      <c r="Z40" s="1357" t="s">
        <v>7799</v>
      </c>
      <c r="AA40" s="1358" t="s">
        <v>6531</v>
      </c>
      <c r="AC40" s="1388" t="str">
        <f t="shared" si="5"/>
        <v>ok</v>
      </c>
    </row>
    <row r="41" spans="1:29" s="1359" customFormat="1" ht="20.25" customHeight="1" x14ac:dyDescent="0.6">
      <c r="A41" s="1279">
        <v>34</v>
      </c>
      <c r="B41" s="1372" t="s">
        <v>9123</v>
      </c>
      <c r="C41" s="1383" t="s">
        <v>8907</v>
      </c>
      <c r="D41" s="1932">
        <v>1</v>
      </c>
      <c r="E41" s="1344">
        <v>6500</v>
      </c>
      <c r="F41" s="1932">
        <v>1</v>
      </c>
      <c r="G41" s="1344">
        <v>7000</v>
      </c>
      <c r="H41" s="1345">
        <v>1</v>
      </c>
      <c r="I41" s="1345">
        <v>9700</v>
      </c>
      <c r="J41" s="1652">
        <v>1</v>
      </c>
      <c r="K41" s="1653">
        <v>0</v>
      </c>
      <c r="L41" s="1344">
        <v>0</v>
      </c>
      <c r="M41" s="1204">
        <v>1</v>
      </c>
      <c r="N41" s="1205">
        <v>20000</v>
      </c>
      <c r="O41" s="1346">
        <f t="shared" si="20"/>
        <v>20000</v>
      </c>
      <c r="P41" s="1345">
        <v>1</v>
      </c>
      <c r="Q41" s="1482">
        <f t="shared" si="21"/>
        <v>20000</v>
      </c>
      <c r="R41" s="1344">
        <v>0</v>
      </c>
      <c r="S41" s="1483">
        <f t="shared" si="22"/>
        <v>0</v>
      </c>
      <c r="T41" s="1345">
        <v>0</v>
      </c>
      <c r="U41" s="1483">
        <f t="shared" si="23"/>
        <v>0</v>
      </c>
      <c r="V41" s="1344">
        <v>0</v>
      </c>
      <c r="W41" s="1483">
        <f t="shared" si="24"/>
        <v>0</v>
      </c>
      <c r="X41" s="1345">
        <f t="shared" si="17"/>
        <v>1</v>
      </c>
      <c r="Y41" s="1345">
        <f t="shared" si="17"/>
        <v>20000</v>
      </c>
      <c r="Z41" s="1357" t="s">
        <v>7799</v>
      </c>
      <c r="AA41" s="1358" t="s">
        <v>6531</v>
      </c>
      <c r="AC41" s="1388" t="str">
        <f t="shared" si="5"/>
        <v>ok</v>
      </c>
    </row>
    <row r="42" spans="1:29" s="1359" customFormat="1" ht="20.25" customHeight="1" x14ac:dyDescent="0.6">
      <c r="A42" s="1279">
        <v>35</v>
      </c>
      <c r="B42" s="1372" t="s">
        <v>9124</v>
      </c>
      <c r="C42" s="1383" t="s">
        <v>8907</v>
      </c>
      <c r="D42" s="1932">
        <v>1</v>
      </c>
      <c r="E42" s="1344">
        <v>3800</v>
      </c>
      <c r="F42" s="1932">
        <v>0</v>
      </c>
      <c r="G42" s="1344">
        <v>0</v>
      </c>
      <c r="H42" s="1345">
        <v>1</v>
      </c>
      <c r="I42" s="1345">
        <v>26000</v>
      </c>
      <c r="J42" s="1652">
        <v>1</v>
      </c>
      <c r="K42" s="1653">
        <v>0</v>
      </c>
      <c r="L42" s="1344">
        <v>0</v>
      </c>
      <c r="M42" s="1204">
        <v>1</v>
      </c>
      <c r="N42" s="1205">
        <v>35000</v>
      </c>
      <c r="O42" s="1346">
        <f t="shared" si="20"/>
        <v>35000</v>
      </c>
      <c r="P42" s="1345">
        <v>1</v>
      </c>
      <c r="Q42" s="1482">
        <f t="shared" si="21"/>
        <v>35000</v>
      </c>
      <c r="R42" s="1344">
        <v>0</v>
      </c>
      <c r="S42" s="1483">
        <f t="shared" si="22"/>
        <v>0</v>
      </c>
      <c r="T42" s="1345">
        <v>0</v>
      </c>
      <c r="U42" s="1483">
        <f t="shared" si="23"/>
        <v>0</v>
      </c>
      <c r="V42" s="1344">
        <v>0</v>
      </c>
      <c r="W42" s="1483">
        <f t="shared" si="24"/>
        <v>0</v>
      </c>
      <c r="X42" s="1345">
        <f t="shared" ref="X42:Y46" si="25">P42+R42+T42+V42</f>
        <v>1</v>
      </c>
      <c r="Y42" s="1345">
        <f t="shared" si="25"/>
        <v>35000</v>
      </c>
      <c r="Z42" s="1357" t="s">
        <v>7799</v>
      </c>
      <c r="AA42" s="1358" t="s">
        <v>6531</v>
      </c>
      <c r="AC42" s="1388" t="str">
        <f t="shared" si="5"/>
        <v>ok</v>
      </c>
    </row>
    <row r="43" spans="1:29" s="1359" customFormat="1" ht="20.25" customHeight="1" x14ac:dyDescent="0.6">
      <c r="A43" s="1279">
        <v>36</v>
      </c>
      <c r="B43" s="1372" t="s">
        <v>9125</v>
      </c>
      <c r="C43" s="1383" t="s">
        <v>8907</v>
      </c>
      <c r="D43" s="1932">
        <v>1</v>
      </c>
      <c r="E43" s="1344">
        <v>15000</v>
      </c>
      <c r="F43" s="1932">
        <v>1</v>
      </c>
      <c r="G43" s="1344">
        <v>25000</v>
      </c>
      <c r="H43" s="1345">
        <v>0</v>
      </c>
      <c r="I43" s="1345">
        <v>0</v>
      </c>
      <c r="J43" s="1652">
        <v>1</v>
      </c>
      <c r="K43" s="1653">
        <v>0</v>
      </c>
      <c r="L43" s="1344">
        <v>0</v>
      </c>
      <c r="M43" s="1204">
        <v>1</v>
      </c>
      <c r="N43" s="1205">
        <v>35000</v>
      </c>
      <c r="O43" s="1346">
        <f t="shared" si="20"/>
        <v>35000</v>
      </c>
      <c r="P43" s="1345">
        <v>1</v>
      </c>
      <c r="Q43" s="1482">
        <f t="shared" si="21"/>
        <v>35000</v>
      </c>
      <c r="R43" s="1344">
        <v>0</v>
      </c>
      <c r="S43" s="1483">
        <f t="shared" si="22"/>
        <v>0</v>
      </c>
      <c r="T43" s="1345">
        <v>0</v>
      </c>
      <c r="U43" s="1483">
        <f t="shared" si="23"/>
        <v>0</v>
      </c>
      <c r="V43" s="1344">
        <v>0</v>
      </c>
      <c r="W43" s="1483">
        <f t="shared" si="24"/>
        <v>0</v>
      </c>
      <c r="X43" s="1345">
        <f t="shared" si="25"/>
        <v>1</v>
      </c>
      <c r="Y43" s="1345">
        <f t="shared" si="25"/>
        <v>35000</v>
      </c>
      <c r="Z43" s="1357" t="s">
        <v>7799</v>
      </c>
      <c r="AA43" s="1358" t="s">
        <v>6531</v>
      </c>
      <c r="AC43" s="1388" t="str">
        <f t="shared" si="5"/>
        <v>ok</v>
      </c>
    </row>
    <row r="44" spans="1:29" s="1359" customFormat="1" ht="20.25" customHeight="1" x14ac:dyDescent="0.6">
      <c r="A44" s="1279">
        <v>37</v>
      </c>
      <c r="B44" s="1372" t="s">
        <v>9126</v>
      </c>
      <c r="C44" s="1383" t="s">
        <v>8907</v>
      </c>
      <c r="D44" s="1932">
        <v>0</v>
      </c>
      <c r="E44" s="1344">
        <v>0</v>
      </c>
      <c r="F44" s="1932">
        <v>0</v>
      </c>
      <c r="G44" s="1344">
        <v>0</v>
      </c>
      <c r="H44" s="1345">
        <v>0</v>
      </c>
      <c r="I44" s="1345">
        <v>0</v>
      </c>
      <c r="J44" s="1652">
        <v>1</v>
      </c>
      <c r="K44" s="1653">
        <v>0</v>
      </c>
      <c r="L44" s="1344">
        <v>0</v>
      </c>
      <c r="M44" s="1204">
        <v>1</v>
      </c>
      <c r="N44" s="1205">
        <v>100000</v>
      </c>
      <c r="O44" s="1346">
        <f t="shared" si="20"/>
        <v>100000</v>
      </c>
      <c r="P44" s="1345">
        <v>1</v>
      </c>
      <c r="Q44" s="1482">
        <f t="shared" si="21"/>
        <v>100000</v>
      </c>
      <c r="R44" s="1344">
        <v>0</v>
      </c>
      <c r="S44" s="1483">
        <f t="shared" si="22"/>
        <v>0</v>
      </c>
      <c r="T44" s="1345">
        <v>0</v>
      </c>
      <c r="U44" s="1483">
        <f t="shared" si="23"/>
        <v>0</v>
      </c>
      <c r="V44" s="1344">
        <v>0</v>
      </c>
      <c r="W44" s="1483">
        <f t="shared" si="24"/>
        <v>0</v>
      </c>
      <c r="X44" s="1345">
        <f t="shared" si="25"/>
        <v>1</v>
      </c>
      <c r="Y44" s="1345">
        <f t="shared" si="25"/>
        <v>100000</v>
      </c>
      <c r="Z44" s="1357" t="s">
        <v>7799</v>
      </c>
      <c r="AA44" s="1358" t="s">
        <v>6531</v>
      </c>
      <c r="AC44" s="1388" t="str">
        <f t="shared" si="5"/>
        <v>ok</v>
      </c>
    </row>
    <row r="45" spans="1:29" s="1393" customFormat="1" ht="20.25" customHeight="1" x14ac:dyDescent="0.6">
      <c r="A45" s="1389" t="s">
        <v>7433</v>
      </c>
      <c r="B45" s="1389"/>
      <c r="C45" s="1389"/>
      <c r="D45" s="1933">
        <f t="shared" ref="D45:Y45" si="26">SUM(D8:D44)</f>
        <v>42174</v>
      </c>
      <c r="E45" s="1933">
        <f t="shared" si="26"/>
        <v>2912622.06</v>
      </c>
      <c r="F45" s="1933">
        <f t="shared" si="26"/>
        <v>45174</v>
      </c>
      <c r="G45" s="1933">
        <f t="shared" si="26"/>
        <v>3648991.14</v>
      </c>
      <c r="H45" s="1933">
        <f t="shared" si="26"/>
        <v>139458.35999999999</v>
      </c>
      <c r="I45" s="1933">
        <f t="shared" si="26"/>
        <v>5094341.7319999998</v>
      </c>
      <c r="J45" s="1933">
        <f t="shared" si="26"/>
        <v>224</v>
      </c>
      <c r="K45" s="1933">
        <f t="shared" si="26"/>
        <v>0</v>
      </c>
      <c r="L45" s="1933">
        <f t="shared" si="26"/>
        <v>0</v>
      </c>
      <c r="M45" s="1933">
        <f t="shared" si="26"/>
        <v>226</v>
      </c>
      <c r="N45" s="1933">
        <f t="shared" si="26"/>
        <v>1314243.0126666666</v>
      </c>
      <c r="O45" s="1933">
        <f t="shared" si="26"/>
        <v>6443516.1519999998</v>
      </c>
      <c r="P45" s="1933">
        <f t="shared" si="26"/>
        <v>63</v>
      </c>
      <c r="Q45" s="1933">
        <f t="shared" si="26"/>
        <v>1987929.0379999999</v>
      </c>
      <c r="R45" s="1933">
        <f t="shared" si="26"/>
        <v>54</v>
      </c>
      <c r="S45" s="1933">
        <f t="shared" si="26"/>
        <v>1566029.0379999999</v>
      </c>
      <c r="T45" s="1933">
        <f t="shared" si="26"/>
        <v>52</v>
      </c>
      <c r="U45" s="1933">
        <f t="shared" si="26"/>
        <v>1466029.0379999999</v>
      </c>
      <c r="V45" s="1933">
        <f t="shared" si="26"/>
        <v>57</v>
      </c>
      <c r="W45" s="1933">
        <f t="shared" si="26"/>
        <v>1423529.0379999999</v>
      </c>
      <c r="X45" s="1933">
        <f t="shared" si="26"/>
        <v>226</v>
      </c>
      <c r="Y45" s="1933">
        <f t="shared" si="26"/>
        <v>6443516.1519999998</v>
      </c>
      <c r="Z45" s="1391"/>
      <c r="AA45" s="1392"/>
      <c r="AB45" s="1393" t="str">
        <f t="shared" ref="AB45" si="27">IF(O45=Y45,"yes")</f>
        <v>yes</v>
      </c>
      <c r="AC45" s="1388" t="str">
        <f t="shared" si="5"/>
        <v>ok</v>
      </c>
    </row>
    <row r="46" spans="1:29" ht="20.25" customHeight="1" x14ac:dyDescent="0.6">
      <c r="A46" s="1397"/>
      <c r="C46" s="1399"/>
      <c r="N46" s="1935"/>
      <c r="O46" s="1935"/>
      <c r="P46" s="1935"/>
      <c r="Q46" s="1935"/>
      <c r="R46" s="1935"/>
      <c r="S46" s="1935"/>
      <c r="T46" s="1935"/>
      <c r="U46" s="1935"/>
      <c r="V46" s="1935"/>
      <c r="W46" s="1935"/>
      <c r="AA46" s="1402"/>
    </row>
    <row r="47" spans="1:29" ht="20.25" customHeight="1" x14ac:dyDescent="0.6">
      <c r="A47" s="1397"/>
      <c r="C47" s="1399"/>
    </row>
    <row r="48" spans="1:29" ht="20.25" customHeight="1" x14ac:dyDescent="0.6">
      <c r="B48" s="1280"/>
      <c r="N48" s="1934"/>
      <c r="O48" s="1934"/>
      <c r="Z48" s="1280"/>
    </row>
    <row r="49" spans="1:27" ht="20.25" customHeight="1" x14ac:dyDescent="0.6">
      <c r="B49" s="1280"/>
      <c r="N49" s="1934"/>
      <c r="O49" s="1934"/>
      <c r="Z49" s="1280"/>
    </row>
    <row r="50" spans="1:27" ht="20.25" customHeight="1" x14ac:dyDescent="0.6">
      <c r="B50" s="1280"/>
      <c r="N50" s="1934"/>
      <c r="O50" s="1934"/>
      <c r="Z50" s="1280"/>
    </row>
    <row r="51" spans="1:27" ht="20.25" customHeight="1" x14ac:dyDescent="0.6">
      <c r="B51" s="1280"/>
      <c r="N51" s="1934"/>
      <c r="O51" s="1934"/>
      <c r="Z51" s="1405"/>
    </row>
    <row r="52" spans="1:27" ht="20.25" customHeight="1" x14ac:dyDescent="0.6"/>
    <row r="53" spans="1:27" ht="20.25" customHeight="1" x14ac:dyDescent="0.6"/>
    <row r="54" spans="1:27" ht="20.25" customHeight="1" x14ac:dyDescent="0.6">
      <c r="AA54" s="1401"/>
    </row>
    <row r="60" spans="1:27" x14ac:dyDescent="0.6">
      <c r="A60" s="1280"/>
      <c r="N60" s="1934"/>
      <c r="O60" s="1934"/>
      <c r="Z60" s="1280"/>
    </row>
    <row r="61" spans="1:27" x14ac:dyDescent="0.6">
      <c r="A61" s="1280"/>
      <c r="N61" s="1934"/>
      <c r="O61" s="1934"/>
      <c r="Z61" s="1280"/>
    </row>
    <row r="62" spans="1:27" x14ac:dyDescent="0.6">
      <c r="A62" s="1280"/>
      <c r="N62" s="1934"/>
      <c r="O62" s="1934"/>
      <c r="Z62" s="1280"/>
    </row>
    <row r="63" spans="1:27" x14ac:dyDescent="0.6">
      <c r="A63" s="1280"/>
      <c r="N63" s="1934"/>
      <c r="O63" s="1934"/>
      <c r="Z63" s="1280"/>
    </row>
    <row r="64" spans="1:27" x14ac:dyDescent="0.6">
      <c r="A64" s="1280"/>
      <c r="N64" s="1934"/>
      <c r="O64" s="1934"/>
      <c r="Z64" s="1280"/>
    </row>
    <row r="65" spans="1:26" x14ac:dyDescent="0.6">
      <c r="A65" s="1280"/>
      <c r="N65" s="1934"/>
      <c r="O65" s="1934"/>
      <c r="Z65" s="1280"/>
    </row>
    <row r="66" spans="1:26" x14ac:dyDescent="0.6">
      <c r="A66" s="1280"/>
      <c r="N66" s="1934"/>
      <c r="O66" s="1934"/>
      <c r="Z66" s="1280"/>
    </row>
    <row r="67" spans="1:26" x14ac:dyDescent="0.6">
      <c r="A67" s="1280"/>
      <c r="N67" s="1934"/>
      <c r="O67" s="1934"/>
      <c r="Z67" s="1280"/>
    </row>
    <row r="68" spans="1:26" x14ac:dyDescent="0.6">
      <c r="A68" s="1280"/>
      <c r="N68" s="1934"/>
      <c r="O68" s="1934"/>
      <c r="Z68" s="1280"/>
    </row>
    <row r="69" spans="1:26" x14ac:dyDescent="0.6">
      <c r="A69" s="1280"/>
      <c r="N69" s="1934"/>
      <c r="O69" s="1934"/>
      <c r="Z69" s="1280"/>
    </row>
    <row r="70" spans="1:26" x14ac:dyDescent="0.6">
      <c r="A70" s="1280"/>
      <c r="N70" s="1934"/>
      <c r="O70" s="1934"/>
      <c r="Z70" s="1280"/>
    </row>
    <row r="71" spans="1:26" x14ac:dyDescent="0.6">
      <c r="A71" s="1280"/>
      <c r="N71" s="1934"/>
      <c r="O71" s="1934"/>
      <c r="Z71" s="1280"/>
    </row>
    <row r="72" spans="1:26" x14ac:dyDescent="0.6">
      <c r="A72" s="1280"/>
      <c r="N72" s="1934"/>
      <c r="O72" s="1934"/>
      <c r="Z72" s="1280"/>
    </row>
    <row r="73" spans="1:26" x14ac:dyDescent="0.6">
      <c r="A73" s="1280"/>
      <c r="N73" s="1934"/>
      <c r="O73" s="1934"/>
      <c r="Z73" s="1280"/>
    </row>
    <row r="74" spans="1:26" x14ac:dyDescent="0.6">
      <c r="A74" s="1280"/>
      <c r="N74" s="1934"/>
      <c r="O74" s="1934"/>
      <c r="Z74" s="1280"/>
    </row>
    <row r="75" spans="1:26" x14ac:dyDescent="0.6">
      <c r="A75" s="1280"/>
      <c r="N75" s="1934"/>
      <c r="O75" s="1934"/>
      <c r="Z75" s="1280"/>
    </row>
    <row r="76" spans="1:26" x14ac:dyDescent="0.6">
      <c r="A76" s="1280"/>
      <c r="N76" s="1934"/>
      <c r="O76" s="1934"/>
      <c r="Z76" s="1280"/>
    </row>
    <row r="77" spans="1:26" x14ac:dyDescent="0.6">
      <c r="A77" s="1280"/>
      <c r="N77" s="1934"/>
      <c r="O77" s="1934"/>
      <c r="Z77" s="1280"/>
    </row>
    <row r="78" spans="1:26" x14ac:dyDescent="0.6">
      <c r="A78" s="1280"/>
      <c r="N78" s="1934"/>
      <c r="O78" s="1934"/>
      <c r="Z78" s="1280"/>
    </row>
    <row r="79" spans="1:26" x14ac:dyDescent="0.6">
      <c r="A79" s="1280"/>
      <c r="N79" s="1934"/>
      <c r="O79" s="1934"/>
      <c r="Z79" s="1280"/>
    </row>
    <row r="80" spans="1:26" x14ac:dyDescent="0.6">
      <c r="A80" s="1280"/>
      <c r="N80" s="1934"/>
      <c r="O80" s="1934"/>
      <c r="Z80" s="1280"/>
    </row>
    <row r="81" spans="1:26" x14ac:dyDescent="0.6">
      <c r="A81" s="1280"/>
      <c r="N81" s="1934"/>
      <c r="O81" s="1934"/>
      <c r="Z81" s="1280"/>
    </row>
    <row r="82" spans="1:26" x14ac:dyDescent="0.6">
      <c r="A82" s="1280"/>
      <c r="N82" s="1934"/>
      <c r="O82" s="1934"/>
      <c r="Z82" s="1280"/>
    </row>
    <row r="83" spans="1:26" x14ac:dyDescent="0.6">
      <c r="A83" s="1280"/>
      <c r="N83" s="1934"/>
      <c r="O83" s="1934"/>
      <c r="Z83" s="1280"/>
    </row>
    <row r="84" spans="1:26" x14ac:dyDescent="0.6">
      <c r="A84" s="1280"/>
      <c r="N84" s="1934"/>
      <c r="O84" s="1934"/>
      <c r="Z84" s="1280"/>
    </row>
    <row r="85" spans="1:26" x14ac:dyDescent="0.6">
      <c r="A85" s="1280"/>
      <c r="N85" s="1934"/>
      <c r="O85" s="1934"/>
      <c r="Z85" s="1280"/>
    </row>
    <row r="86" spans="1:26" x14ac:dyDescent="0.6">
      <c r="A86" s="1280"/>
      <c r="N86" s="1934"/>
      <c r="O86" s="1934"/>
      <c r="Z86" s="1280"/>
    </row>
    <row r="87" spans="1:26" x14ac:dyDescent="0.6">
      <c r="A87" s="1280"/>
      <c r="N87" s="1934"/>
      <c r="O87" s="1934"/>
      <c r="Z87" s="1280"/>
    </row>
    <row r="88" spans="1:26" x14ac:dyDescent="0.6">
      <c r="A88" s="1280"/>
      <c r="N88" s="1934"/>
      <c r="O88" s="1934"/>
      <c r="Z88" s="1280"/>
    </row>
    <row r="89" spans="1:26" x14ac:dyDescent="0.6">
      <c r="A89" s="1280"/>
      <c r="N89" s="1934"/>
      <c r="O89" s="1934"/>
      <c r="Z89" s="1280"/>
    </row>
    <row r="90" spans="1:26" x14ac:dyDescent="0.6">
      <c r="A90" s="1280"/>
      <c r="N90" s="1934"/>
      <c r="O90" s="1934"/>
      <c r="Z90" s="1280"/>
    </row>
    <row r="91" spans="1:26" x14ac:dyDescent="0.6">
      <c r="A91" s="1280"/>
      <c r="N91" s="1934"/>
      <c r="O91" s="1934"/>
      <c r="Z91" s="1280"/>
    </row>
    <row r="92" spans="1:26" x14ac:dyDescent="0.6">
      <c r="A92" s="1280"/>
      <c r="N92" s="1934"/>
      <c r="O92" s="1934"/>
      <c r="Z92" s="1280"/>
    </row>
    <row r="93" spans="1:26" x14ac:dyDescent="0.6">
      <c r="A93" s="1280"/>
      <c r="N93" s="1934"/>
      <c r="O93" s="1934"/>
      <c r="Z93" s="1280"/>
    </row>
    <row r="94" spans="1:26" x14ac:dyDescent="0.6">
      <c r="A94" s="1280"/>
      <c r="N94" s="1934"/>
      <c r="O94" s="1934"/>
      <c r="Z94" s="1280"/>
    </row>
    <row r="95" spans="1:26" x14ac:dyDescent="0.6">
      <c r="A95" s="1280"/>
      <c r="N95" s="1934"/>
      <c r="O95" s="1934"/>
      <c r="Z95" s="1280"/>
    </row>
    <row r="96" spans="1:26" x14ac:dyDescent="0.6">
      <c r="A96" s="1280"/>
      <c r="N96" s="1934"/>
      <c r="O96" s="1934"/>
      <c r="Z96" s="1280"/>
    </row>
    <row r="97" spans="1:26" x14ac:dyDescent="0.6">
      <c r="A97" s="1280"/>
      <c r="N97" s="1934"/>
      <c r="O97" s="1934"/>
      <c r="Z97" s="1280"/>
    </row>
    <row r="98" spans="1:26" x14ac:dyDescent="0.6">
      <c r="A98" s="1280"/>
      <c r="N98" s="1934"/>
      <c r="O98" s="1934"/>
      <c r="Z98" s="1280"/>
    </row>
    <row r="99" spans="1:26" x14ac:dyDescent="0.6">
      <c r="A99" s="1280"/>
      <c r="N99" s="1934"/>
      <c r="O99" s="1934"/>
      <c r="Z99" s="1280"/>
    </row>
    <row r="100" spans="1:26" x14ac:dyDescent="0.6">
      <c r="A100" s="1280"/>
      <c r="N100" s="1934"/>
      <c r="O100" s="1934"/>
      <c r="Z100" s="1280"/>
    </row>
    <row r="101" spans="1:26" x14ac:dyDescent="0.6">
      <c r="A101" s="1280"/>
      <c r="N101" s="1934"/>
      <c r="O101" s="1934"/>
      <c r="Z101" s="1280"/>
    </row>
    <row r="102" spans="1:26" x14ac:dyDescent="0.6">
      <c r="A102" s="1280"/>
      <c r="N102" s="1934"/>
      <c r="O102" s="1934"/>
      <c r="Z102" s="1280"/>
    </row>
    <row r="103" spans="1:26" x14ac:dyDescent="0.6">
      <c r="A103" s="1280"/>
      <c r="N103" s="1934"/>
      <c r="O103" s="1934"/>
      <c r="Z103" s="1280"/>
    </row>
    <row r="104" spans="1:26" x14ac:dyDescent="0.6">
      <c r="A104" s="1280"/>
      <c r="N104" s="1934"/>
      <c r="O104" s="1934"/>
      <c r="Z104" s="1280"/>
    </row>
    <row r="105" spans="1:26" x14ac:dyDescent="0.6">
      <c r="A105" s="1280"/>
      <c r="N105" s="1934"/>
      <c r="O105" s="1934"/>
      <c r="Z105" s="1280"/>
    </row>
    <row r="106" spans="1:26" x14ac:dyDescent="0.6">
      <c r="A106" s="1280"/>
      <c r="N106" s="1934"/>
      <c r="O106" s="1934"/>
      <c r="Z106" s="1280"/>
    </row>
    <row r="107" spans="1:26" x14ac:dyDescent="0.6">
      <c r="A107" s="1280"/>
      <c r="N107" s="1934"/>
      <c r="O107" s="1934"/>
      <c r="Z107" s="1280"/>
    </row>
    <row r="108" spans="1:26" x14ac:dyDescent="0.6">
      <c r="A108" s="1280"/>
      <c r="N108" s="1934"/>
      <c r="O108" s="1934"/>
      <c r="Z108" s="1280"/>
    </row>
    <row r="109" spans="1:26" x14ac:dyDescent="0.6">
      <c r="A109" s="1280"/>
      <c r="N109" s="1934"/>
      <c r="O109" s="1934"/>
      <c r="Z109" s="1280"/>
    </row>
    <row r="110" spans="1:26" x14ac:dyDescent="0.6">
      <c r="A110" s="1280"/>
      <c r="N110" s="1934"/>
      <c r="O110" s="1934"/>
      <c r="Z110" s="1280"/>
    </row>
    <row r="111" spans="1:26" x14ac:dyDescent="0.6">
      <c r="A111" s="1280"/>
      <c r="N111" s="1934"/>
      <c r="O111" s="1934"/>
      <c r="Z111" s="1280"/>
    </row>
    <row r="112" spans="1:26" x14ac:dyDescent="0.6">
      <c r="A112" s="1280"/>
      <c r="N112" s="1934"/>
      <c r="O112" s="1934"/>
      <c r="Z112" s="1280"/>
    </row>
    <row r="113" spans="1:26" x14ac:dyDescent="0.6">
      <c r="A113" s="1280"/>
      <c r="N113" s="1934"/>
      <c r="O113" s="1934"/>
      <c r="Z113" s="1280"/>
    </row>
    <row r="114" spans="1:26" x14ac:dyDescent="0.6">
      <c r="A114" s="1280"/>
      <c r="N114" s="1934"/>
      <c r="O114" s="1934"/>
      <c r="Z114" s="1280"/>
    </row>
    <row r="115" spans="1:26" x14ac:dyDescent="0.6">
      <c r="A115" s="1280"/>
      <c r="N115" s="1934"/>
      <c r="O115" s="1934"/>
      <c r="Z115" s="1280"/>
    </row>
    <row r="116" spans="1:26" x14ac:dyDescent="0.6">
      <c r="A116" s="1280"/>
      <c r="N116" s="1934"/>
      <c r="O116" s="1934"/>
      <c r="Z116" s="1280"/>
    </row>
    <row r="117" spans="1:26" x14ac:dyDescent="0.6">
      <c r="A117" s="1280"/>
      <c r="N117" s="1934"/>
      <c r="O117" s="1934"/>
      <c r="Z117" s="1280"/>
    </row>
    <row r="118" spans="1:26" x14ac:dyDescent="0.6">
      <c r="A118" s="1280"/>
      <c r="N118" s="1934"/>
      <c r="O118" s="1934"/>
      <c r="Z118" s="1280"/>
    </row>
    <row r="119" spans="1:26" x14ac:dyDescent="0.6">
      <c r="A119" s="1280"/>
      <c r="N119" s="1934"/>
      <c r="O119" s="1934"/>
      <c r="Z119" s="1280"/>
    </row>
    <row r="120" spans="1:26" x14ac:dyDescent="0.6">
      <c r="A120" s="1280"/>
      <c r="N120" s="1934"/>
      <c r="O120" s="1934"/>
      <c r="Z120" s="1280"/>
    </row>
    <row r="121" spans="1:26" x14ac:dyDescent="0.6">
      <c r="A121" s="1280"/>
      <c r="N121" s="1934"/>
      <c r="O121" s="1934"/>
      <c r="Z121" s="1280"/>
    </row>
    <row r="122" spans="1:26" x14ac:dyDescent="0.6">
      <c r="A122" s="1280"/>
      <c r="N122" s="1934"/>
      <c r="O122" s="1934"/>
      <c r="Z122" s="1280"/>
    </row>
    <row r="123" spans="1:26" x14ac:dyDescent="0.6">
      <c r="A123" s="1280"/>
      <c r="N123" s="1934"/>
      <c r="O123" s="1934"/>
      <c r="Z123" s="1280"/>
    </row>
    <row r="124" spans="1:26" x14ac:dyDescent="0.6">
      <c r="A124" s="1280"/>
      <c r="N124" s="1934"/>
      <c r="O124" s="1934"/>
      <c r="Z124" s="1280"/>
    </row>
    <row r="125" spans="1:26" x14ac:dyDescent="0.6">
      <c r="A125" s="1280"/>
      <c r="N125" s="1934"/>
      <c r="O125" s="1934"/>
      <c r="Z125" s="1280"/>
    </row>
    <row r="126" spans="1:26" x14ac:dyDescent="0.6">
      <c r="A126" s="1280"/>
      <c r="N126" s="1934"/>
      <c r="O126" s="1934"/>
      <c r="Z126" s="1280"/>
    </row>
    <row r="127" spans="1:26" x14ac:dyDescent="0.6">
      <c r="A127" s="1280"/>
      <c r="N127" s="1934"/>
      <c r="O127" s="1934"/>
      <c r="Z127" s="1280"/>
    </row>
    <row r="128" spans="1:26" x14ac:dyDescent="0.6">
      <c r="A128" s="1280"/>
      <c r="N128" s="1934"/>
      <c r="O128" s="1934"/>
      <c r="Z128" s="1280"/>
    </row>
    <row r="129" spans="1:26" x14ac:dyDescent="0.6">
      <c r="A129" s="1280"/>
      <c r="N129" s="1934"/>
      <c r="O129" s="1934"/>
      <c r="Z129" s="1280"/>
    </row>
    <row r="130" spans="1:26" x14ac:dyDescent="0.6">
      <c r="A130" s="1280"/>
      <c r="N130" s="1934"/>
      <c r="O130" s="1934"/>
      <c r="Z130" s="1280"/>
    </row>
    <row r="131" spans="1:26" x14ac:dyDescent="0.6">
      <c r="A131" s="1280"/>
      <c r="N131" s="1934"/>
      <c r="O131" s="1934"/>
      <c r="Z131" s="1280"/>
    </row>
    <row r="132" spans="1:26" x14ac:dyDescent="0.6">
      <c r="A132" s="1280"/>
      <c r="N132" s="1934"/>
      <c r="O132" s="1934"/>
      <c r="Z132" s="1280"/>
    </row>
    <row r="133" spans="1:26" x14ac:dyDescent="0.6">
      <c r="A133" s="1280"/>
      <c r="N133" s="1934"/>
      <c r="O133" s="1934"/>
      <c r="Z133" s="1280"/>
    </row>
    <row r="134" spans="1:26" x14ac:dyDescent="0.6">
      <c r="A134" s="1280"/>
      <c r="N134" s="1934"/>
      <c r="O134" s="1934"/>
      <c r="Z134" s="1280"/>
    </row>
    <row r="135" spans="1:26" x14ac:dyDescent="0.6">
      <c r="A135" s="1280"/>
      <c r="N135" s="1934"/>
      <c r="O135" s="1934"/>
      <c r="Z135" s="1280"/>
    </row>
    <row r="136" spans="1:26" x14ac:dyDescent="0.6">
      <c r="A136" s="1280"/>
      <c r="N136" s="1934"/>
      <c r="O136" s="1934"/>
      <c r="Z136" s="1280"/>
    </row>
    <row r="137" spans="1:26" x14ac:dyDescent="0.6">
      <c r="A137" s="1280"/>
      <c r="N137" s="1934"/>
      <c r="O137" s="1934"/>
      <c r="Z137" s="1280"/>
    </row>
    <row r="138" spans="1:26" x14ac:dyDescent="0.6">
      <c r="A138" s="1280"/>
      <c r="N138" s="1934"/>
      <c r="O138" s="1934"/>
      <c r="Z138" s="1280"/>
    </row>
    <row r="139" spans="1:26" x14ac:dyDescent="0.6">
      <c r="A139" s="1280"/>
      <c r="N139" s="1934"/>
      <c r="O139" s="1934"/>
      <c r="Z139" s="1280"/>
    </row>
    <row r="140" spans="1:26" x14ac:dyDescent="0.6">
      <c r="A140" s="1280"/>
      <c r="N140" s="1934"/>
      <c r="O140" s="1934"/>
      <c r="Z140" s="1280"/>
    </row>
    <row r="141" spans="1:26" x14ac:dyDescent="0.6">
      <c r="A141" s="1280"/>
      <c r="N141" s="1934"/>
      <c r="O141" s="1934"/>
      <c r="Z141" s="1280"/>
    </row>
    <row r="142" spans="1:26" x14ac:dyDescent="0.6">
      <c r="A142" s="1280"/>
      <c r="N142" s="1934"/>
      <c r="O142" s="1934"/>
      <c r="Z142" s="1280"/>
    </row>
    <row r="143" spans="1:26" x14ac:dyDescent="0.6">
      <c r="A143" s="1280"/>
      <c r="N143" s="1934"/>
      <c r="O143" s="1934"/>
      <c r="Z143" s="1280"/>
    </row>
    <row r="144" spans="1:26" x14ac:dyDescent="0.6">
      <c r="A144" s="1280"/>
      <c r="N144" s="1934"/>
      <c r="O144" s="1934"/>
      <c r="Z144" s="1280"/>
    </row>
    <row r="145" spans="1:26" x14ac:dyDescent="0.6">
      <c r="A145" s="1280"/>
      <c r="N145" s="1934"/>
      <c r="O145" s="1934"/>
      <c r="Z145" s="1280"/>
    </row>
    <row r="146" spans="1:26" x14ac:dyDescent="0.6">
      <c r="A146" s="1280"/>
      <c r="N146" s="1934"/>
      <c r="O146" s="1934"/>
      <c r="Z146" s="1280"/>
    </row>
    <row r="147" spans="1:26" x14ac:dyDescent="0.6">
      <c r="A147" s="1280"/>
      <c r="N147" s="1934"/>
      <c r="O147" s="1934"/>
      <c r="Z147" s="1280"/>
    </row>
    <row r="148" spans="1:26" x14ac:dyDescent="0.6">
      <c r="A148" s="1280"/>
      <c r="N148" s="1934"/>
      <c r="O148" s="1934"/>
      <c r="Z148" s="1280"/>
    </row>
    <row r="149" spans="1:26" x14ac:dyDescent="0.6">
      <c r="A149" s="1280"/>
      <c r="N149" s="1934"/>
      <c r="O149" s="1934"/>
      <c r="Z149" s="1280"/>
    </row>
    <row r="150" spans="1:26" x14ac:dyDescent="0.6">
      <c r="A150" s="1280"/>
      <c r="N150" s="1934"/>
      <c r="O150" s="1934"/>
      <c r="Z150" s="1280"/>
    </row>
    <row r="151" spans="1:26" x14ac:dyDescent="0.6">
      <c r="A151" s="1280"/>
      <c r="N151" s="1934"/>
      <c r="O151" s="1934"/>
      <c r="Z151" s="1280"/>
    </row>
    <row r="152" spans="1:26" x14ac:dyDescent="0.6">
      <c r="A152" s="1280"/>
      <c r="N152" s="1934"/>
      <c r="O152" s="1934"/>
      <c r="Z152" s="1280"/>
    </row>
    <row r="153" spans="1:26" x14ac:dyDescent="0.6">
      <c r="A153" s="1280"/>
      <c r="N153" s="1934"/>
      <c r="O153" s="1934"/>
      <c r="Z153" s="1280"/>
    </row>
    <row r="154" spans="1:26" x14ac:dyDescent="0.6">
      <c r="A154" s="1280"/>
      <c r="N154" s="1934"/>
      <c r="O154" s="1934"/>
      <c r="Z154" s="1280"/>
    </row>
    <row r="155" spans="1:26" x14ac:dyDescent="0.6">
      <c r="A155" s="1280"/>
      <c r="N155" s="1934"/>
      <c r="O155" s="1934"/>
      <c r="Z155" s="1280"/>
    </row>
    <row r="156" spans="1:26" x14ac:dyDescent="0.6">
      <c r="A156" s="1280"/>
      <c r="N156" s="1934"/>
      <c r="O156" s="1934"/>
      <c r="Z156" s="1280"/>
    </row>
    <row r="157" spans="1:26" x14ac:dyDescent="0.6">
      <c r="A157" s="1280"/>
      <c r="N157" s="1934"/>
      <c r="O157" s="1934"/>
      <c r="Z157" s="1280"/>
    </row>
    <row r="158" spans="1:26" x14ac:dyDescent="0.6">
      <c r="A158" s="1280"/>
      <c r="N158" s="1934"/>
      <c r="O158" s="1934"/>
      <c r="Z158" s="1280"/>
    </row>
    <row r="159" spans="1:26" x14ac:dyDescent="0.6">
      <c r="A159" s="1280"/>
      <c r="N159" s="1934"/>
      <c r="O159" s="1934"/>
      <c r="Z159" s="1280"/>
    </row>
    <row r="160" spans="1:26" x14ac:dyDescent="0.6">
      <c r="A160" s="1280"/>
      <c r="N160" s="1934"/>
      <c r="O160" s="1934"/>
      <c r="Z160" s="1280"/>
    </row>
    <row r="161" spans="1:26" x14ac:dyDescent="0.6">
      <c r="A161" s="1280"/>
      <c r="N161" s="1934"/>
      <c r="O161" s="1934"/>
      <c r="Z161" s="1280"/>
    </row>
    <row r="162" spans="1:26" x14ac:dyDescent="0.6">
      <c r="A162" s="1280"/>
      <c r="N162" s="1934"/>
      <c r="O162" s="1934"/>
      <c r="Z162" s="1280"/>
    </row>
    <row r="163" spans="1:26" x14ac:dyDescent="0.6">
      <c r="A163" s="1280"/>
      <c r="N163" s="1934"/>
      <c r="O163" s="1934"/>
      <c r="Z163" s="1280"/>
    </row>
    <row r="164" spans="1:26" x14ac:dyDescent="0.6">
      <c r="A164" s="1280"/>
      <c r="N164" s="1934"/>
      <c r="O164" s="1934"/>
      <c r="Z164" s="1280"/>
    </row>
    <row r="165" spans="1:26" x14ac:dyDescent="0.6">
      <c r="A165" s="1280"/>
      <c r="N165" s="1934"/>
      <c r="O165" s="1934"/>
      <c r="Z165" s="1280"/>
    </row>
    <row r="166" spans="1:26" x14ac:dyDescent="0.6">
      <c r="A166" s="1280"/>
      <c r="N166" s="1934"/>
      <c r="O166" s="1934"/>
      <c r="Z166" s="1280"/>
    </row>
    <row r="167" spans="1:26" x14ac:dyDescent="0.6">
      <c r="A167" s="1280"/>
      <c r="N167" s="1934"/>
      <c r="O167" s="1934"/>
      <c r="Z167" s="1280"/>
    </row>
    <row r="168" spans="1:26" x14ac:dyDescent="0.6">
      <c r="A168" s="1280"/>
      <c r="N168" s="1934"/>
      <c r="O168" s="1934"/>
      <c r="Z168" s="1280"/>
    </row>
    <row r="169" spans="1:26" x14ac:dyDescent="0.6">
      <c r="A169" s="1280"/>
      <c r="N169" s="1934"/>
      <c r="O169" s="1934"/>
      <c r="Z169" s="1280"/>
    </row>
    <row r="170" spans="1:26" x14ac:dyDescent="0.6">
      <c r="A170" s="1280"/>
      <c r="N170" s="1934"/>
      <c r="O170" s="1934"/>
      <c r="Z170" s="1280"/>
    </row>
    <row r="171" spans="1:26" x14ac:dyDescent="0.6">
      <c r="A171" s="1280"/>
      <c r="N171" s="1934"/>
      <c r="O171" s="1934"/>
      <c r="Z171" s="1280"/>
    </row>
    <row r="172" spans="1:26" x14ac:dyDescent="0.6">
      <c r="A172" s="1280"/>
      <c r="N172" s="1934"/>
      <c r="O172" s="1934"/>
      <c r="Z172" s="1280"/>
    </row>
    <row r="173" spans="1:26" x14ac:dyDescent="0.6">
      <c r="A173" s="1280"/>
      <c r="N173" s="1934"/>
      <c r="O173" s="1934"/>
      <c r="Z173" s="1280"/>
    </row>
    <row r="174" spans="1:26" x14ac:dyDescent="0.6">
      <c r="A174" s="1280"/>
      <c r="N174" s="1934"/>
      <c r="O174" s="1934"/>
      <c r="Z174" s="1280"/>
    </row>
    <row r="175" spans="1:26" x14ac:dyDescent="0.6">
      <c r="A175" s="1280"/>
      <c r="N175" s="1934"/>
      <c r="O175" s="1934"/>
      <c r="Z175" s="1280"/>
    </row>
    <row r="176" spans="1:26" x14ac:dyDescent="0.6">
      <c r="A176" s="1280"/>
      <c r="N176" s="1934"/>
      <c r="O176" s="1934"/>
      <c r="Z176" s="1280"/>
    </row>
    <row r="177" spans="1:26" x14ac:dyDescent="0.6">
      <c r="A177" s="1280"/>
      <c r="N177" s="1934"/>
      <c r="O177" s="1934"/>
      <c r="Z177" s="1280"/>
    </row>
    <row r="178" spans="1:26" x14ac:dyDescent="0.6">
      <c r="A178" s="1280"/>
      <c r="N178" s="1934"/>
      <c r="O178" s="1934"/>
      <c r="Z178" s="1280"/>
    </row>
    <row r="179" spans="1:26" x14ac:dyDescent="0.6">
      <c r="A179" s="1280"/>
      <c r="N179" s="1934"/>
      <c r="O179" s="1934"/>
      <c r="Z179" s="1280"/>
    </row>
    <row r="180" spans="1:26" x14ac:dyDescent="0.6">
      <c r="A180" s="1280"/>
      <c r="N180" s="1934"/>
      <c r="O180" s="1934"/>
      <c r="Z180" s="1280"/>
    </row>
    <row r="181" spans="1:26" x14ac:dyDescent="0.6">
      <c r="A181" s="1280"/>
      <c r="N181" s="1934"/>
      <c r="O181" s="1934"/>
      <c r="Z181" s="1280"/>
    </row>
    <row r="182" spans="1:26" x14ac:dyDescent="0.6">
      <c r="A182" s="1280"/>
      <c r="N182" s="1934"/>
      <c r="O182" s="1934"/>
      <c r="Z182" s="1280"/>
    </row>
    <row r="183" spans="1:26" x14ac:dyDescent="0.6">
      <c r="A183" s="1280"/>
      <c r="N183" s="1934"/>
      <c r="O183" s="1934"/>
      <c r="Z183" s="1280"/>
    </row>
    <row r="184" spans="1:26" x14ac:dyDescent="0.6">
      <c r="A184" s="1280"/>
      <c r="N184" s="1934"/>
      <c r="O184" s="1934"/>
      <c r="Z184" s="1280"/>
    </row>
    <row r="185" spans="1:26" x14ac:dyDescent="0.6">
      <c r="A185" s="1280"/>
      <c r="N185" s="1934"/>
      <c r="O185" s="1934"/>
      <c r="Z185" s="1280"/>
    </row>
    <row r="186" spans="1:26" x14ac:dyDescent="0.6">
      <c r="A186" s="1280"/>
      <c r="N186" s="1934"/>
      <c r="O186" s="1934"/>
      <c r="Z186" s="1280"/>
    </row>
    <row r="187" spans="1:26" x14ac:dyDescent="0.6">
      <c r="A187" s="1280"/>
      <c r="N187" s="1934"/>
      <c r="O187" s="1934"/>
      <c r="Z187" s="1280"/>
    </row>
    <row r="188" spans="1:26" x14ac:dyDescent="0.6">
      <c r="A188" s="1280"/>
      <c r="N188" s="1934"/>
      <c r="O188" s="1934"/>
      <c r="Z188" s="1280"/>
    </row>
    <row r="189" spans="1:26" x14ac:dyDescent="0.6">
      <c r="A189" s="1280"/>
      <c r="N189" s="1934"/>
      <c r="O189" s="1934"/>
      <c r="Z189" s="1280"/>
    </row>
    <row r="190" spans="1:26" x14ac:dyDescent="0.6">
      <c r="A190" s="1280"/>
      <c r="N190" s="1934"/>
      <c r="O190" s="1934"/>
      <c r="Z190" s="1280"/>
    </row>
    <row r="191" spans="1:26" x14ac:dyDescent="0.6">
      <c r="A191" s="1280"/>
      <c r="N191" s="1934"/>
      <c r="O191" s="1934"/>
      <c r="Z191" s="1280"/>
    </row>
    <row r="192" spans="1:26" x14ac:dyDescent="0.6">
      <c r="A192" s="1280"/>
      <c r="N192" s="1934"/>
      <c r="O192" s="1934"/>
      <c r="Z192" s="1280"/>
    </row>
    <row r="193" spans="1:26" x14ac:dyDescent="0.6">
      <c r="A193" s="1280"/>
      <c r="N193" s="1934"/>
      <c r="O193" s="1934"/>
      <c r="Z193" s="1280"/>
    </row>
    <row r="194" spans="1:26" x14ac:dyDescent="0.6">
      <c r="A194" s="1280"/>
      <c r="N194" s="1934"/>
      <c r="O194" s="1934"/>
      <c r="Z194" s="1280"/>
    </row>
    <row r="195" spans="1:26" x14ac:dyDescent="0.6">
      <c r="A195" s="1280"/>
      <c r="N195" s="1934"/>
      <c r="O195" s="1934"/>
      <c r="Z195" s="1280"/>
    </row>
    <row r="196" spans="1:26" x14ac:dyDescent="0.6">
      <c r="A196" s="1280"/>
      <c r="N196" s="1934"/>
      <c r="O196" s="1934"/>
      <c r="Z196" s="1280"/>
    </row>
    <row r="197" spans="1:26" x14ac:dyDescent="0.6">
      <c r="A197" s="1280"/>
      <c r="N197" s="1934"/>
      <c r="O197" s="1934"/>
      <c r="Z197" s="1280"/>
    </row>
    <row r="198" spans="1:26" x14ac:dyDescent="0.6">
      <c r="A198" s="1280"/>
      <c r="N198" s="1934"/>
      <c r="O198" s="1934"/>
      <c r="Z198" s="1280"/>
    </row>
    <row r="199" spans="1:26" x14ac:dyDescent="0.6">
      <c r="A199" s="1280"/>
      <c r="N199" s="1934"/>
      <c r="O199" s="1934"/>
      <c r="Z199" s="1280"/>
    </row>
    <row r="200" spans="1:26" x14ac:dyDescent="0.6">
      <c r="A200" s="1280"/>
      <c r="N200" s="1934"/>
      <c r="O200" s="1934"/>
      <c r="Z200" s="1280"/>
    </row>
    <row r="201" spans="1:26" x14ac:dyDescent="0.6">
      <c r="A201" s="1280"/>
      <c r="N201" s="1934"/>
      <c r="O201" s="1934"/>
      <c r="Z201" s="1280"/>
    </row>
    <row r="202" spans="1:26" x14ac:dyDescent="0.6">
      <c r="A202" s="1280"/>
      <c r="N202" s="1934"/>
      <c r="O202" s="1934"/>
      <c r="Z202" s="1280"/>
    </row>
    <row r="203" spans="1:26" x14ac:dyDescent="0.6">
      <c r="A203" s="1280"/>
      <c r="N203" s="1934"/>
      <c r="O203" s="1934"/>
      <c r="Z203" s="1280"/>
    </row>
    <row r="204" spans="1:26" x14ac:dyDescent="0.6">
      <c r="A204" s="1280"/>
      <c r="N204" s="1934"/>
      <c r="O204" s="1934"/>
      <c r="Z204" s="1280"/>
    </row>
    <row r="205" spans="1:26" x14ac:dyDescent="0.6">
      <c r="A205" s="1280"/>
      <c r="N205" s="1934"/>
      <c r="O205" s="1934"/>
      <c r="Z205" s="1280"/>
    </row>
    <row r="206" spans="1:26" x14ac:dyDescent="0.6">
      <c r="A206" s="1280"/>
      <c r="N206" s="1934"/>
      <c r="O206" s="1934"/>
      <c r="Z206" s="1280"/>
    </row>
    <row r="207" spans="1:26" x14ac:dyDescent="0.6">
      <c r="A207" s="1280"/>
      <c r="N207" s="1934"/>
      <c r="O207" s="1934"/>
      <c r="Z207" s="1280"/>
    </row>
    <row r="208" spans="1:26" x14ac:dyDescent="0.6">
      <c r="A208" s="1280"/>
      <c r="N208" s="1934"/>
      <c r="O208" s="1934"/>
      <c r="Z208" s="1280"/>
    </row>
    <row r="209" spans="1:26" x14ac:dyDescent="0.6">
      <c r="A209" s="1280"/>
      <c r="N209" s="1934"/>
      <c r="O209" s="1934"/>
      <c r="Z209" s="1280"/>
    </row>
    <row r="210" spans="1:26" x14ac:dyDescent="0.6">
      <c r="A210" s="1280"/>
      <c r="N210" s="1934"/>
      <c r="O210" s="1934"/>
      <c r="Z210" s="1280"/>
    </row>
    <row r="211" spans="1:26" x14ac:dyDescent="0.6">
      <c r="A211" s="1280"/>
      <c r="N211" s="1934"/>
      <c r="O211" s="1934"/>
      <c r="Z211" s="1280"/>
    </row>
    <row r="212" spans="1:26" x14ac:dyDescent="0.6">
      <c r="A212" s="1280"/>
      <c r="N212" s="1934"/>
      <c r="O212" s="1934"/>
      <c r="Z212" s="1280"/>
    </row>
    <row r="213" spans="1:26" x14ac:dyDescent="0.6">
      <c r="A213" s="1280"/>
      <c r="N213" s="1934"/>
      <c r="O213" s="1934"/>
      <c r="Z213" s="1280"/>
    </row>
    <row r="214" spans="1:26" x14ac:dyDescent="0.6">
      <c r="A214" s="1280"/>
      <c r="N214" s="1934"/>
      <c r="O214" s="1934"/>
      <c r="Z214" s="1280"/>
    </row>
    <row r="215" spans="1:26" x14ac:dyDescent="0.6">
      <c r="A215" s="1280"/>
      <c r="N215" s="1934"/>
      <c r="O215" s="1934"/>
      <c r="Z215" s="1280"/>
    </row>
    <row r="216" spans="1:26" x14ac:dyDescent="0.6">
      <c r="A216" s="1280"/>
      <c r="N216" s="1934"/>
      <c r="O216" s="1934"/>
      <c r="Z216" s="1280"/>
    </row>
    <row r="217" spans="1:26" x14ac:dyDescent="0.6">
      <c r="A217" s="1280"/>
      <c r="N217" s="1934"/>
      <c r="O217" s="1934"/>
      <c r="Z217" s="1280"/>
    </row>
    <row r="218" spans="1:26" x14ac:dyDescent="0.6">
      <c r="A218" s="1280"/>
      <c r="N218" s="1934"/>
      <c r="O218" s="1934"/>
      <c r="Z218" s="1280"/>
    </row>
    <row r="219" spans="1:26" x14ac:dyDescent="0.6">
      <c r="A219" s="1280"/>
      <c r="N219" s="1934"/>
      <c r="O219" s="1934"/>
      <c r="Z219" s="1280"/>
    </row>
    <row r="220" spans="1:26" x14ac:dyDescent="0.6">
      <c r="A220" s="1280"/>
      <c r="N220" s="1934"/>
      <c r="O220" s="1934"/>
      <c r="Z220" s="1280"/>
    </row>
    <row r="221" spans="1:26" x14ac:dyDescent="0.6">
      <c r="A221" s="1280"/>
      <c r="N221" s="1934"/>
      <c r="O221" s="1934"/>
      <c r="Z221" s="1280"/>
    </row>
    <row r="222" spans="1:26" x14ac:dyDescent="0.6">
      <c r="A222" s="1280"/>
      <c r="N222" s="1934"/>
      <c r="O222" s="1934"/>
      <c r="Z222" s="1280"/>
    </row>
    <row r="223" spans="1:26" x14ac:dyDescent="0.6">
      <c r="A223" s="1280"/>
      <c r="N223" s="1934"/>
      <c r="O223" s="1934"/>
      <c r="Z223" s="1280"/>
    </row>
    <row r="224" spans="1:26" x14ac:dyDescent="0.6">
      <c r="A224" s="1280"/>
      <c r="N224" s="1934"/>
      <c r="O224" s="1934"/>
      <c r="Z224" s="1280"/>
    </row>
    <row r="225" spans="1:26" x14ac:dyDescent="0.6">
      <c r="A225" s="1280"/>
      <c r="N225" s="1934"/>
      <c r="O225" s="1934"/>
      <c r="Z225" s="1280"/>
    </row>
    <row r="226" spans="1:26" x14ac:dyDescent="0.6">
      <c r="A226" s="1280"/>
      <c r="N226" s="1934"/>
      <c r="O226" s="1934"/>
      <c r="Z226" s="1280"/>
    </row>
    <row r="227" spans="1:26" x14ac:dyDescent="0.6">
      <c r="A227" s="1280"/>
      <c r="N227" s="1934"/>
      <c r="O227" s="1934"/>
      <c r="Z227" s="1280"/>
    </row>
    <row r="228" spans="1:26" x14ac:dyDescent="0.6">
      <c r="A228" s="1280"/>
      <c r="N228" s="1934"/>
      <c r="O228" s="1934"/>
      <c r="Z228" s="1280"/>
    </row>
    <row r="229" spans="1:26" x14ac:dyDescent="0.6">
      <c r="A229" s="1280"/>
      <c r="N229" s="1934"/>
      <c r="O229" s="1934"/>
      <c r="Z229" s="1280"/>
    </row>
    <row r="230" spans="1:26" x14ac:dyDescent="0.6">
      <c r="A230" s="1280"/>
      <c r="N230" s="1934"/>
      <c r="O230" s="1934"/>
      <c r="Z230" s="1280"/>
    </row>
    <row r="231" spans="1:26" x14ac:dyDescent="0.6">
      <c r="A231" s="1280"/>
      <c r="N231" s="1934"/>
      <c r="O231" s="1934"/>
      <c r="Z231" s="1280"/>
    </row>
    <row r="232" spans="1:26" x14ac:dyDescent="0.6">
      <c r="A232" s="1280"/>
      <c r="N232" s="1934"/>
      <c r="O232" s="1934"/>
      <c r="Z232" s="1280"/>
    </row>
    <row r="233" spans="1:26" x14ac:dyDescent="0.6">
      <c r="A233" s="1280"/>
      <c r="N233" s="1934"/>
      <c r="O233" s="1934"/>
      <c r="Z233" s="1280"/>
    </row>
    <row r="234" spans="1:26" x14ac:dyDescent="0.6">
      <c r="A234" s="1280"/>
      <c r="N234" s="1934"/>
      <c r="O234" s="1934"/>
      <c r="Z234" s="1280"/>
    </row>
    <row r="235" spans="1:26" x14ac:dyDescent="0.6">
      <c r="A235" s="1280"/>
      <c r="N235" s="1934"/>
      <c r="O235" s="1934"/>
      <c r="Z235" s="1280"/>
    </row>
    <row r="236" spans="1:26" x14ac:dyDescent="0.6">
      <c r="A236" s="1280"/>
      <c r="N236" s="1934"/>
      <c r="O236" s="1934"/>
      <c r="Z236" s="1280"/>
    </row>
    <row r="237" spans="1:26" x14ac:dyDescent="0.6">
      <c r="A237" s="1280"/>
      <c r="N237" s="1934"/>
      <c r="O237" s="1934"/>
      <c r="Z237" s="1280"/>
    </row>
    <row r="238" spans="1:26" x14ac:dyDescent="0.6">
      <c r="A238" s="1280"/>
      <c r="N238" s="1934"/>
      <c r="O238" s="1934"/>
      <c r="Z238" s="1280"/>
    </row>
    <row r="239" spans="1:26" x14ac:dyDescent="0.6">
      <c r="A239" s="1280"/>
      <c r="N239" s="1934"/>
      <c r="O239" s="1934"/>
      <c r="Z239" s="1280"/>
    </row>
    <row r="240" spans="1:26" x14ac:dyDescent="0.6">
      <c r="A240" s="1280"/>
      <c r="N240" s="1934"/>
      <c r="O240" s="1934"/>
      <c r="Z240" s="1280"/>
    </row>
    <row r="241" spans="1:26" x14ac:dyDescent="0.6">
      <c r="A241" s="1280"/>
      <c r="N241" s="1934"/>
      <c r="O241" s="1934"/>
      <c r="Z241" s="1280"/>
    </row>
    <row r="242" spans="1:26" x14ac:dyDescent="0.6">
      <c r="A242" s="1280"/>
      <c r="N242" s="1934"/>
      <c r="O242" s="1934"/>
      <c r="Z242" s="1280"/>
    </row>
    <row r="243" spans="1:26" x14ac:dyDescent="0.6">
      <c r="A243" s="1280"/>
      <c r="N243" s="1934"/>
      <c r="O243" s="1934"/>
      <c r="Z243" s="1280"/>
    </row>
    <row r="244" spans="1:26" x14ac:dyDescent="0.6">
      <c r="A244" s="1280"/>
      <c r="N244" s="1934"/>
      <c r="O244" s="1934"/>
      <c r="Z244" s="1280"/>
    </row>
    <row r="245" spans="1:26" x14ac:dyDescent="0.6">
      <c r="A245" s="1280"/>
      <c r="N245" s="1934"/>
      <c r="O245" s="1934"/>
      <c r="Z245" s="1280"/>
    </row>
    <row r="246" spans="1:26" x14ac:dyDescent="0.6">
      <c r="A246" s="1280"/>
      <c r="N246" s="1934"/>
      <c r="O246" s="1934"/>
      <c r="Z246" s="1280"/>
    </row>
    <row r="247" spans="1:26" x14ac:dyDescent="0.6">
      <c r="A247" s="1280"/>
      <c r="N247" s="1934"/>
      <c r="O247" s="1934"/>
      <c r="Z247" s="1280"/>
    </row>
    <row r="248" spans="1:26" x14ac:dyDescent="0.6">
      <c r="A248" s="1280"/>
      <c r="N248" s="1934"/>
      <c r="O248" s="1934"/>
      <c r="Z248" s="1280"/>
    </row>
    <row r="249" spans="1:26" x14ac:dyDescent="0.6">
      <c r="A249" s="1280"/>
      <c r="N249" s="1934"/>
      <c r="O249" s="1934"/>
      <c r="Z249" s="1280"/>
    </row>
    <row r="250" spans="1:26" x14ac:dyDescent="0.6">
      <c r="A250" s="1280"/>
      <c r="N250" s="1934"/>
      <c r="O250" s="1934"/>
      <c r="Z250" s="1280"/>
    </row>
    <row r="251" spans="1:26" x14ac:dyDescent="0.6">
      <c r="A251" s="1280"/>
      <c r="N251" s="1934"/>
      <c r="O251" s="1934"/>
      <c r="Z251" s="1280"/>
    </row>
    <row r="252" spans="1:26" x14ac:dyDescent="0.6">
      <c r="A252" s="1280"/>
      <c r="N252" s="1934"/>
      <c r="O252" s="1934"/>
      <c r="Z252" s="1280"/>
    </row>
    <row r="253" spans="1:26" x14ac:dyDescent="0.6">
      <c r="A253" s="1280"/>
      <c r="N253" s="1934"/>
      <c r="O253" s="1934"/>
      <c r="Z253" s="1280"/>
    </row>
    <row r="254" spans="1:26" x14ac:dyDescent="0.6">
      <c r="A254" s="1280"/>
      <c r="N254" s="1934"/>
      <c r="O254" s="1934"/>
      <c r="Z254" s="1280"/>
    </row>
    <row r="255" spans="1:26" x14ac:dyDescent="0.6">
      <c r="A255" s="1280"/>
      <c r="N255" s="1934"/>
      <c r="O255" s="1934"/>
      <c r="Z255" s="1280"/>
    </row>
    <row r="256" spans="1:26" x14ac:dyDescent="0.6">
      <c r="A256" s="1280"/>
      <c r="N256" s="1934"/>
      <c r="O256" s="1934"/>
      <c r="Z256" s="1280"/>
    </row>
    <row r="257" spans="1:26" x14ac:dyDescent="0.6">
      <c r="A257" s="1280"/>
      <c r="N257" s="1934"/>
      <c r="O257" s="1934"/>
      <c r="Z257" s="1280"/>
    </row>
    <row r="258" spans="1:26" x14ac:dyDescent="0.6">
      <c r="A258" s="1280"/>
      <c r="N258" s="1934"/>
      <c r="O258" s="1934"/>
      <c r="Z258" s="1280"/>
    </row>
    <row r="259" spans="1:26" x14ac:dyDescent="0.6">
      <c r="A259" s="1280"/>
      <c r="N259" s="1934"/>
      <c r="O259" s="1934"/>
      <c r="Z259" s="1280"/>
    </row>
    <row r="260" spans="1:26" x14ac:dyDescent="0.6">
      <c r="A260" s="1280"/>
      <c r="N260" s="1934"/>
      <c r="O260" s="1934"/>
      <c r="Z260" s="1280"/>
    </row>
    <row r="261" spans="1:26" x14ac:dyDescent="0.6">
      <c r="A261" s="1280"/>
      <c r="N261" s="1934"/>
      <c r="O261" s="1934"/>
      <c r="Z261" s="1280"/>
    </row>
    <row r="262" spans="1:26" x14ac:dyDescent="0.6">
      <c r="A262" s="1280"/>
      <c r="N262" s="1934"/>
      <c r="O262" s="1934"/>
      <c r="Z262" s="1280"/>
    </row>
    <row r="263" spans="1:26" x14ac:dyDescent="0.6">
      <c r="A263" s="1280"/>
      <c r="N263" s="1934"/>
      <c r="O263" s="1934"/>
      <c r="Z263" s="1280"/>
    </row>
    <row r="264" spans="1:26" x14ac:dyDescent="0.6">
      <c r="A264" s="1280"/>
      <c r="N264" s="1934"/>
      <c r="O264" s="1934"/>
      <c r="Z264" s="1280"/>
    </row>
    <row r="265" spans="1:26" x14ac:dyDescent="0.6">
      <c r="A265" s="1280"/>
      <c r="N265" s="1934"/>
      <c r="O265" s="1934"/>
      <c r="Z265" s="1280"/>
    </row>
    <row r="266" spans="1:26" x14ac:dyDescent="0.6">
      <c r="A266" s="1280"/>
      <c r="N266" s="1934"/>
      <c r="O266" s="1934"/>
      <c r="Z266" s="1280"/>
    </row>
    <row r="267" spans="1:26" x14ac:dyDescent="0.6">
      <c r="A267" s="1280"/>
      <c r="N267" s="1934"/>
      <c r="O267" s="1934"/>
      <c r="Z267" s="1280"/>
    </row>
    <row r="268" spans="1:26" x14ac:dyDescent="0.6">
      <c r="A268" s="1280"/>
      <c r="N268" s="1934"/>
      <c r="O268" s="1934"/>
      <c r="Z268" s="1280"/>
    </row>
    <row r="269" spans="1:26" x14ac:dyDescent="0.6">
      <c r="A269" s="1280"/>
      <c r="N269" s="1934"/>
      <c r="O269" s="1934"/>
      <c r="Z269" s="1280"/>
    </row>
    <row r="270" spans="1:26" x14ac:dyDescent="0.6">
      <c r="A270" s="1280"/>
      <c r="N270" s="1934"/>
      <c r="O270" s="1934"/>
      <c r="Z270" s="1280"/>
    </row>
    <row r="271" spans="1:26" x14ac:dyDescent="0.6">
      <c r="A271" s="1280"/>
      <c r="N271" s="1934"/>
      <c r="O271" s="1934"/>
      <c r="Z271" s="1280"/>
    </row>
    <row r="272" spans="1:26" x14ac:dyDescent="0.6">
      <c r="A272" s="1280"/>
      <c r="N272" s="1934"/>
      <c r="O272" s="1934"/>
      <c r="Z272" s="1280"/>
    </row>
    <row r="273" spans="1:26" x14ac:dyDescent="0.6">
      <c r="A273" s="1280"/>
      <c r="N273" s="1934"/>
      <c r="O273" s="1934"/>
      <c r="Z273" s="1280"/>
    </row>
    <row r="274" spans="1:26" x14ac:dyDescent="0.6">
      <c r="A274" s="1280"/>
      <c r="N274" s="1934"/>
      <c r="O274" s="1934"/>
      <c r="Z274" s="1280"/>
    </row>
    <row r="275" spans="1:26" x14ac:dyDescent="0.6">
      <c r="A275" s="1280"/>
      <c r="N275" s="1934"/>
      <c r="O275" s="1934"/>
      <c r="Z275" s="1280"/>
    </row>
    <row r="276" spans="1:26" x14ac:dyDescent="0.6">
      <c r="A276" s="1280"/>
      <c r="N276" s="1934"/>
      <c r="O276" s="1934"/>
      <c r="Z276" s="1280"/>
    </row>
    <row r="277" spans="1:26" x14ac:dyDescent="0.6">
      <c r="A277" s="1280"/>
      <c r="N277" s="1934"/>
      <c r="O277" s="1934"/>
      <c r="Z277" s="1280"/>
    </row>
    <row r="278" spans="1:26" x14ac:dyDescent="0.6">
      <c r="A278" s="1280"/>
      <c r="N278" s="1934"/>
      <c r="O278" s="1934"/>
      <c r="Z278" s="1280"/>
    </row>
    <row r="279" spans="1:26" x14ac:dyDescent="0.6">
      <c r="A279" s="1280"/>
      <c r="N279" s="1934"/>
      <c r="O279" s="1934"/>
      <c r="Z279" s="1280"/>
    </row>
    <row r="280" spans="1:26" x14ac:dyDescent="0.6">
      <c r="A280" s="1280"/>
      <c r="N280" s="1934"/>
      <c r="O280" s="1934"/>
      <c r="Z280" s="1280"/>
    </row>
    <row r="281" spans="1:26" x14ac:dyDescent="0.6">
      <c r="A281" s="1280"/>
      <c r="N281" s="1934"/>
      <c r="O281" s="1934"/>
      <c r="Z281" s="1280"/>
    </row>
    <row r="282" spans="1:26" x14ac:dyDescent="0.6">
      <c r="A282" s="1280"/>
      <c r="N282" s="1934"/>
      <c r="O282" s="1934"/>
      <c r="Z282" s="1280"/>
    </row>
    <row r="283" spans="1:26" x14ac:dyDescent="0.6">
      <c r="A283" s="1280"/>
      <c r="N283" s="1934"/>
      <c r="O283" s="1934"/>
      <c r="Z283" s="1280"/>
    </row>
    <row r="284" spans="1:26" x14ac:dyDescent="0.6">
      <c r="A284" s="1280"/>
      <c r="N284" s="1934"/>
      <c r="O284" s="1934"/>
      <c r="Z284" s="1280"/>
    </row>
    <row r="285" spans="1:26" x14ac:dyDescent="0.6">
      <c r="A285" s="1280"/>
      <c r="N285" s="1934"/>
      <c r="O285" s="1934"/>
      <c r="Z285" s="1280"/>
    </row>
    <row r="286" spans="1:26" x14ac:dyDescent="0.6">
      <c r="A286" s="1280"/>
      <c r="N286" s="1934"/>
      <c r="O286" s="1934"/>
      <c r="Z286" s="1280"/>
    </row>
    <row r="287" spans="1:26" x14ac:dyDescent="0.6">
      <c r="A287" s="1280"/>
      <c r="N287" s="1934"/>
      <c r="O287" s="1934"/>
      <c r="Z287" s="1280"/>
    </row>
    <row r="288" spans="1:26" x14ac:dyDescent="0.6">
      <c r="A288" s="1280"/>
      <c r="N288" s="1934"/>
      <c r="O288" s="1934"/>
      <c r="Z288" s="1280"/>
    </row>
    <row r="289" spans="1:26" x14ac:dyDescent="0.6">
      <c r="A289" s="1280"/>
      <c r="N289" s="1934"/>
      <c r="O289" s="1934"/>
      <c r="Z289" s="1280"/>
    </row>
    <row r="290" spans="1:26" x14ac:dyDescent="0.6">
      <c r="A290" s="1280"/>
      <c r="N290" s="1934"/>
      <c r="O290" s="1934"/>
      <c r="Z290" s="1280"/>
    </row>
    <row r="291" spans="1:26" x14ac:dyDescent="0.6">
      <c r="A291" s="1280"/>
      <c r="N291" s="1934"/>
      <c r="O291" s="1934"/>
      <c r="Z291" s="1280"/>
    </row>
    <row r="292" spans="1:26" x14ac:dyDescent="0.6">
      <c r="A292" s="1280"/>
      <c r="N292" s="1934"/>
      <c r="O292" s="1934"/>
      <c r="Z292" s="1280"/>
    </row>
    <row r="293" spans="1:26" x14ac:dyDescent="0.6">
      <c r="A293" s="1280"/>
      <c r="N293" s="1934"/>
      <c r="O293" s="1934"/>
      <c r="Z293" s="1280"/>
    </row>
    <row r="294" spans="1:26" x14ac:dyDescent="0.6">
      <c r="A294" s="1280"/>
      <c r="N294" s="1934"/>
      <c r="O294" s="1934"/>
      <c r="Z294" s="1280"/>
    </row>
    <row r="295" spans="1:26" x14ac:dyDescent="0.6">
      <c r="A295" s="1280"/>
      <c r="N295" s="1934"/>
      <c r="O295" s="1934"/>
      <c r="Z295" s="1280"/>
    </row>
    <row r="296" spans="1:26" x14ac:dyDescent="0.6">
      <c r="A296" s="1280"/>
      <c r="N296" s="1934"/>
      <c r="O296" s="1934"/>
      <c r="Z296" s="1280"/>
    </row>
    <row r="297" spans="1:26" x14ac:dyDescent="0.6">
      <c r="A297" s="1280"/>
      <c r="N297" s="1934"/>
      <c r="O297" s="1934"/>
      <c r="Z297" s="1280"/>
    </row>
    <row r="298" spans="1:26" x14ac:dyDescent="0.6">
      <c r="A298" s="1280"/>
      <c r="N298" s="1934"/>
      <c r="O298" s="1934"/>
      <c r="Z298" s="1280"/>
    </row>
    <row r="299" spans="1:26" x14ac:dyDescent="0.6">
      <c r="A299" s="1280"/>
      <c r="N299" s="1934"/>
      <c r="O299" s="1934"/>
      <c r="Z299" s="1280"/>
    </row>
    <row r="300" spans="1:26" x14ac:dyDescent="0.6">
      <c r="A300" s="1280"/>
      <c r="N300" s="1934"/>
      <c r="O300" s="1934"/>
      <c r="Z300" s="1280"/>
    </row>
    <row r="301" spans="1:26" x14ac:dyDescent="0.6">
      <c r="A301" s="1280"/>
      <c r="N301" s="1934"/>
      <c r="O301" s="1934"/>
      <c r="Z301" s="1280"/>
    </row>
    <row r="302" spans="1:26" x14ac:dyDescent="0.6">
      <c r="A302" s="1280"/>
      <c r="N302" s="1934"/>
      <c r="O302" s="1934"/>
      <c r="Z302" s="1280"/>
    </row>
    <row r="303" spans="1:26" x14ac:dyDescent="0.6">
      <c r="A303" s="1280"/>
      <c r="N303" s="1934"/>
      <c r="O303" s="1934"/>
      <c r="Z303" s="1280"/>
    </row>
    <row r="304" spans="1:26" x14ac:dyDescent="0.6">
      <c r="A304" s="1280"/>
      <c r="N304" s="1934"/>
      <c r="O304" s="1934"/>
      <c r="Z304" s="1280"/>
    </row>
    <row r="305" spans="1:26" x14ac:dyDescent="0.6">
      <c r="A305" s="1280"/>
      <c r="N305" s="1934"/>
      <c r="O305" s="1934"/>
      <c r="Z305" s="1280"/>
    </row>
    <row r="306" spans="1:26" x14ac:dyDescent="0.6">
      <c r="A306" s="1280"/>
      <c r="N306" s="1934"/>
      <c r="O306" s="1934"/>
      <c r="Z306" s="1280"/>
    </row>
    <row r="307" spans="1:26" x14ac:dyDescent="0.6">
      <c r="A307" s="1280"/>
      <c r="N307" s="1934"/>
      <c r="O307" s="1934"/>
      <c r="Z307" s="1280"/>
    </row>
    <row r="308" spans="1:26" x14ac:dyDescent="0.6">
      <c r="A308" s="1280"/>
      <c r="N308" s="1934"/>
      <c r="O308" s="1934"/>
      <c r="Z308" s="1280"/>
    </row>
    <row r="309" spans="1:26" x14ac:dyDescent="0.6">
      <c r="A309" s="1280"/>
      <c r="N309" s="1934"/>
      <c r="O309" s="1934"/>
      <c r="Z309" s="1280"/>
    </row>
    <row r="310" spans="1:26" x14ac:dyDescent="0.6">
      <c r="A310" s="1280"/>
      <c r="N310" s="1934"/>
      <c r="O310" s="1934"/>
      <c r="Z310" s="1280"/>
    </row>
    <row r="311" spans="1:26" x14ac:dyDescent="0.6">
      <c r="A311" s="1280"/>
      <c r="N311" s="1934"/>
      <c r="O311" s="1934"/>
      <c r="Z311" s="1280"/>
    </row>
    <row r="312" spans="1:26" x14ac:dyDescent="0.6">
      <c r="A312" s="1280"/>
      <c r="N312" s="1934"/>
      <c r="O312" s="1934"/>
      <c r="Z312" s="1280"/>
    </row>
    <row r="313" spans="1:26" x14ac:dyDescent="0.6">
      <c r="A313" s="1280"/>
      <c r="N313" s="1934"/>
      <c r="O313" s="1934"/>
      <c r="Z313" s="1280"/>
    </row>
    <row r="314" spans="1:26" x14ac:dyDescent="0.6">
      <c r="A314" s="1280"/>
      <c r="N314" s="1934"/>
      <c r="O314" s="1934"/>
      <c r="Z314" s="1280"/>
    </row>
    <row r="315" spans="1:26" x14ac:dyDescent="0.6">
      <c r="A315" s="1280"/>
      <c r="N315" s="1934"/>
      <c r="O315" s="1934"/>
      <c r="Z315" s="1280"/>
    </row>
    <row r="316" spans="1:26" x14ac:dyDescent="0.6">
      <c r="A316" s="1280"/>
      <c r="N316" s="1934"/>
      <c r="O316" s="1934"/>
      <c r="Z316" s="1280"/>
    </row>
    <row r="317" spans="1:26" x14ac:dyDescent="0.6">
      <c r="A317" s="1280"/>
      <c r="N317" s="1934"/>
      <c r="O317" s="1934"/>
      <c r="Z317" s="1280"/>
    </row>
    <row r="318" spans="1:26" x14ac:dyDescent="0.6">
      <c r="A318" s="1280"/>
      <c r="N318" s="1934"/>
      <c r="O318" s="1934"/>
      <c r="Z318" s="1280"/>
    </row>
    <row r="319" spans="1:26" x14ac:dyDescent="0.6">
      <c r="A319" s="1280"/>
      <c r="N319" s="1934"/>
      <c r="O319" s="1934"/>
      <c r="Z319" s="1280"/>
    </row>
    <row r="320" spans="1:26" x14ac:dyDescent="0.6">
      <c r="A320" s="1280"/>
      <c r="N320" s="1934"/>
      <c r="O320" s="1934"/>
      <c r="Z320" s="1280"/>
    </row>
    <row r="321" spans="1:26" x14ac:dyDescent="0.6">
      <c r="A321" s="1280"/>
      <c r="N321" s="1934"/>
      <c r="O321" s="1934"/>
      <c r="Z321" s="1280"/>
    </row>
    <row r="322" spans="1:26" x14ac:dyDescent="0.6">
      <c r="A322" s="1280"/>
      <c r="N322" s="1934"/>
      <c r="O322" s="1934"/>
      <c r="Z322" s="1280"/>
    </row>
    <row r="323" spans="1:26" x14ac:dyDescent="0.6">
      <c r="A323" s="1280"/>
      <c r="N323" s="1934"/>
      <c r="O323" s="1934"/>
      <c r="Z323" s="1280"/>
    </row>
    <row r="324" spans="1:26" x14ac:dyDescent="0.6">
      <c r="A324" s="1280"/>
      <c r="N324" s="1934"/>
      <c r="O324" s="1934"/>
      <c r="Z324" s="1280"/>
    </row>
    <row r="325" spans="1:26" x14ac:dyDescent="0.6">
      <c r="A325" s="1280"/>
      <c r="N325" s="1934"/>
      <c r="O325" s="1934"/>
      <c r="Z325" s="1280"/>
    </row>
    <row r="326" spans="1:26" x14ac:dyDescent="0.6">
      <c r="A326" s="1280"/>
      <c r="N326" s="1934"/>
      <c r="O326" s="1934"/>
      <c r="Z326" s="1280"/>
    </row>
    <row r="327" spans="1:26" x14ac:dyDescent="0.6">
      <c r="A327" s="1280"/>
      <c r="N327" s="1934"/>
      <c r="O327" s="1934"/>
      <c r="Z327" s="1280"/>
    </row>
    <row r="328" spans="1:26" x14ac:dyDescent="0.6">
      <c r="A328" s="1280"/>
      <c r="N328" s="1934"/>
      <c r="O328" s="1934"/>
      <c r="Z328" s="1280"/>
    </row>
    <row r="329" spans="1:26" x14ac:dyDescent="0.6">
      <c r="A329" s="1280"/>
      <c r="N329" s="1934"/>
      <c r="O329" s="1934"/>
      <c r="Z329" s="1280"/>
    </row>
    <row r="330" spans="1:26" x14ac:dyDescent="0.6">
      <c r="A330" s="1280"/>
      <c r="N330" s="1934"/>
      <c r="O330" s="1934"/>
      <c r="Z330" s="1280"/>
    </row>
    <row r="331" spans="1:26" x14ac:dyDescent="0.6">
      <c r="A331" s="1280"/>
      <c r="N331" s="1934"/>
      <c r="O331" s="1934"/>
      <c r="Z331" s="1280"/>
    </row>
    <row r="332" spans="1:26" x14ac:dyDescent="0.6">
      <c r="A332" s="1280"/>
      <c r="N332" s="1934"/>
      <c r="O332" s="1934"/>
      <c r="Z332" s="1280"/>
    </row>
    <row r="333" spans="1:26" x14ac:dyDescent="0.6">
      <c r="A333" s="1280"/>
      <c r="N333" s="1934"/>
      <c r="O333" s="1934"/>
      <c r="Z333" s="1280"/>
    </row>
    <row r="334" spans="1:26" x14ac:dyDescent="0.6">
      <c r="A334" s="1280"/>
      <c r="N334" s="1934"/>
      <c r="O334" s="1934"/>
      <c r="Z334" s="1280"/>
    </row>
    <row r="335" spans="1:26" x14ac:dyDescent="0.6">
      <c r="A335" s="1280"/>
      <c r="N335" s="1934"/>
      <c r="O335" s="1934"/>
      <c r="Z335" s="1280"/>
    </row>
    <row r="336" spans="1:26" x14ac:dyDescent="0.6">
      <c r="A336" s="1280"/>
      <c r="N336" s="1934"/>
      <c r="O336" s="1934"/>
      <c r="Z336" s="1280"/>
    </row>
    <row r="337" spans="1:26" x14ac:dyDescent="0.6">
      <c r="A337" s="1280"/>
      <c r="N337" s="1934"/>
      <c r="O337" s="1934"/>
      <c r="Z337" s="1280"/>
    </row>
    <row r="338" spans="1:26" x14ac:dyDescent="0.6">
      <c r="A338" s="1280"/>
      <c r="N338" s="1934"/>
      <c r="O338" s="1934"/>
      <c r="Z338" s="1280"/>
    </row>
    <row r="339" spans="1:26" x14ac:dyDescent="0.6">
      <c r="A339" s="1280"/>
      <c r="N339" s="1934"/>
      <c r="O339" s="1934"/>
      <c r="Z339" s="1280"/>
    </row>
    <row r="340" spans="1:26" x14ac:dyDescent="0.6">
      <c r="A340" s="1280"/>
      <c r="N340" s="1934"/>
      <c r="O340" s="1934"/>
      <c r="Z340" s="1280"/>
    </row>
    <row r="341" spans="1:26" x14ac:dyDescent="0.6">
      <c r="A341" s="1280"/>
      <c r="N341" s="1934"/>
      <c r="O341" s="1934"/>
      <c r="Z341" s="1280"/>
    </row>
    <row r="342" spans="1:26" x14ac:dyDescent="0.6">
      <c r="A342" s="1280"/>
      <c r="N342" s="1934"/>
      <c r="O342" s="1934"/>
      <c r="Z342" s="1280"/>
    </row>
    <row r="343" spans="1:26" x14ac:dyDescent="0.6">
      <c r="A343" s="1280"/>
      <c r="N343" s="1934"/>
      <c r="O343" s="1934"/>
      <c r="Z343" s="1280"/>
    </row>
    <row r="344" spans="1:26" x14ac:dyDescent="0.6">
      <c r="A344" s="1280"/>
      <c r="N344" s="1934"/>
      <c r="O344" s="1934"/>
      <c r="Z344" s="1280"/>
    </row>
    <row r="345" spans="1:26" x14ac:dyDescent="0.6">
      <c r="A345" s="1280"/>
      <c r="N345" s="1934"/>
      <c r="O345" s="1934"/>
      <c r="Z345" s="1280"/>
    </row>
    <row r="346" spans="1:26" x14ac:dyDescent="0.6">
      <c r="A346" s="1280"/>
      <c r="N346" s="1934"/>
      <c r="O346" s="1934"/>
      <c r="Z346" s="1280"/>
    </row>
    <row r="347" spans="1:26" x14ac:dyDescent="0.6">
      <c r="A347" s="1280"/>
      <c r="N347" s="1934"/>
      <c r="O347" s="1934"/>
      <c r="Z347" s="1280"/>
    </row>
    <row r="348" spans="1:26" x14ac:dyDescent="0.6">
      <c r="A348" s="1280"/>
      <c r="N348" s="1934"/>
      <c r="O348" s="1934"/>
      <c r="Z348" s="1280"/>
    </row>
    <row r="349" spans="1:26" x14ac:dyDescent="0.6">
      <c r="A349" s="1280"/>
      <c r="N349" s="1934"/>
      <c r="O349" s="1934"/>
      <c r="Z349" s="1280"/>
    </row>
    <row r="350" spans="1:26" x14ac:dyDescent="0.6">
      <c r="A350" s="1280"/>
      <c r="N350" s="1934"/>
      <c r="O350" s="1934"/>
      <c r="Z350" s="1280"/>
    </row>
    <row r="351" spans="1:26" x14ac:dyDescent="0.6">
      <c r="A351" s="1280"/>
      <c r="N351" s="1934"/>
      <c r="O351" s="1934"/>
      <c r="Z351" s="1280"/>
    </row>
    <row r="352" spans="1:26" x14ac:dyDescent="0.6">
      <c r="A352" s="1280"/>
      <c r="N352" s="1934"/>
      <c r="O352" s="1934"/>
      <c r="Z352" s="1280"/>
    </row>
    <row r="353" spans="1:26" x14ac:dyDescent="0.6">
      <c r="A353" s="1280"/>
      <c r="N353" s="1934"/>
      <c r="O353" s="1934"/>
      <c r="Z353" s="1280"/>
    </row>
    <row r="354" spans="1:26" x14ac:dyDescent="0.6">
      <c r="A354" s="1280"/>
      <c r="N354" s="1934"/>
      <c r="O354" s="1934"/>
      <c r="Z354" s="1280"/>
    </row>
    <row r="355" spans="1:26" x14ac:dyDescent="0.6">
      <c r="A355" s="1280"/>
      <c r="N355" s="1934"/>
      <c r="O355" s="1934"/>
      <c r="Z355" s="1280"/>
    </row>
    <row r="356" spans="1:26" x14ac:dyDescent="0.6">
      <c r="A356" s="1280"/>
      <c r="N356" s="1934"/>
      <c r="O356" s="1934"/>
      <c r="Z356" s="1280"/>
    </row>
    <row r="357" spans="1:26" x14ac:dyDescent="0.6">
      <c r="A357" s="1280"/>
      <c r="N357" s="1934"/>
      <c r="O357" s="1934"/>
      <c r="Z357" s="1280"/>
    </row>
    <row r="358" spans="1:26" x14ac:dyDescent="0.6">
      <c r="A358" s="1280"/>
      <c r="N358" s="1934"/>
      <c r="O358" s="1934"/>
      <c r="Z358" s="1280"/>
    </row>
    <row r="359" spans="1:26" x14ac:dyDescent="0.6">
      <c r="A359" s="1280"/>
      <c r="N359" s="1934"/>
      <c r="O359" s="1934"/>
      <c r="Z359" s="1280"/>
    </row>
    <row r="360" spans="1:26" x14ac:dyDescent="0.6">
      <c r="A360" s="1280"/>
      <c r="N360" s="1934"/>
      <c r="O360" s="1934"/>
      <c r="Z360" s="1280"/>
    </row>
    <row r="361" spans="1:26" x14ac:dyDescent="0.6">
      <c r="A361" s="1280"/>
      <c r="N361" s="1934"/>
      <c r="O361" s="1934"/>
      <c r="Z361" s="1280"/>
    </row>
    <row r="362" spans="1:26" x14ac:dyDescent="0.6">
      <c r="A362" s="1280"/>
      <c r="N362" s="1934"/>
      <c r="O362" s="1934"/>
      <c r="Z362" s="1280"/>
    </row>
    <row r="363" spans="1:26" x14ac:dyDescent="0.6">
      <c r="A363" s="1280"/>
      <c r="N363" s="1934"/>
      <c r="O363" s="1934"/>
      <c r="Z363" s="1280"/>
    </row>
    <row r="364" spans="1:26" x14ac:dyDescent="0.6">
      <c r="A364" s="1280"/>
      <c r="N364" s="1934"/>
      <c r="O364" s="1934"/>
      <c r="Z364" s="1280"/>
    </row>
    <row r="365" spans="1:26" x14ac:dyDescent="0.6">
      <c r="A365" s="1280"/>
      <c r="N365" s="1934"/>
      <c r="O365" s="1934"/>
      <c r="Z365" s="1280"/>
    </row>
    <row r="366" spans="1:26" x14ac:dyDescent="0.6">
      <c r="A366" s="1280"/>
      <c r="N366" s="1934"/>
      <c r="O366" s="1934"/>
      <c r="Z366" s="1280"/>
    </row>
    <row r="367" spans="1:26" x14ac:dyDescent="0.6">
      <c r="A367" s="1280"/>
      <c r="N367" s="1934"/>
      <c r="O367" s="1934"/>
      <c r="Z367" s="1280"/>
    </row>
    <row r="368" spans="1:26" x14ac:dyDescent="0.6">
      <c r="A368" s="1280"/>
      <c r="N368" s="1934"/>
      <c r="O368" s="1934"/>
      <c r="Z368" s="1280"/>
    </row>
    <row r="369" spans="1:26" x14ac:dyDescent="0.6">
      <c r="A369" s="1280"/>
      <c r="N369" s="1934"/>
      <c r="O369" s="1934"/>
      <c r="Z369" s="1280"/>
    </row>
    <row r="370" spans="1:26" x14ac:dyDescent="0.6">
      <c r="A370" s="1280"/>
      <c r="N370" s="1934"/>
      <c r="O370" s="1934"/>
      <c r="Z370" s="1280"/>
    </row>
    <row r="371" spans="1:26" x14ac:dyDescent="0.6">
      <c r="A371" s="1280"/>
      <c r="N371" s="1934"/>
      <c r="O371" s="1934"/>
      <c r="Z371" s="1280"/>
    </row>
    <row r="372" spans="1:26" x14ac:dyDescent="0.6">
      <c r="A372" s="1280"/>
      <c r="N372" s="1934"/>
      <c r="O372" s="1934"/>
      <c r="Z372" s="1280"/>
    </row>
    <row r="373" spans="1:26" x14ac:dyDescent="0.6">
      <c r="A373" s="1280"/>
      <c r="N373" s="1934"/>
      <c r="O373" s="1934"/>
      <c r="Z373" s="1280"/>
    </row>
    <row r="374" spans="1:26" x14ac:dyDescent="0.6">
      <c r="A374" s="1280"/>
      <c r="N374" s="1934"/>
      <c r="O374" s="1934"/>
      <c r="Z374" s="1280"/>
    </row>
    <row r="375" spans="1:26" x14ac:dyDescent="0.6">
      <c r="A375" s="1280"/>
      <c r="N375" s="1934"/>
      <c r="O375" s="1934"/>
      <c r="Z375" s="1280"/>
    </row>
    <row r="376" spans="1:26" x14ac:dyDescent="0.6">
      <c r="A376" s="1280"/>
      <c r="N376" s="1934"/>
      <c r="O376" s="1934"/>
      <c r="Z376" s="1280"/>
    </row>
    <row r="377" spans="1:26" x14ac:dyDescent="0.6">
      <c r="A377" s="1280"/>
      <c r="N377" s="1934"/>
      <c r="O377" s="1934"/>
      <c r="Z377" s="1280"/>
    </row>
    <row r="378" spans="1:26" x14ac:dyDescent="0.6">
      <c r="A378" s="1280"/>
      <c r="N378" s="1934"/>
      <c r="O378" s="1934"/>
      <c r="Z378" s="1280"/>
    </row>
    <row r="379" spans="1:26" x14ac:dyDescent="0.6">
      <c r="A379" s="1280"/>
      <c r="N379" s="1934"/>
      <c r="O379" s="1934"/>
      <c r="Z379" s="1280"/>
    </row>
    <row r="380" spans="1:26" x14ac:dyDescent="0.6">
      <c r="A380" s="1280"/>
      <c r="N380" s="1934"/>
      <c r="O380" s="1934"/>
      <c r="Z380" s="1280"/>
    </row>
    <row r="381" spans="1:26" x14ac:dyDescent="0.6">
      <c r="A381" s="1280"/>
      <c r="N381" s="1934"/>
      <c r="O381" s="1934"/>
      <c r="Z381" s="1280"/>
    </row>
    <row r="382" spans="1:26" x14ac:dyDescent="0.6">
      <c r="A382" s="1280"/>
      <c r="N382" s="1934"/>
      <c r="O382" s="1934"/>
      <c r="Z382" s="1280"/>
    </row>
    <row r="383" spans="1:26" x14ac:dyDescent="0.6">
      <c r="A383" s="1280"/>
      <c r="N383" s="1934"/>
      <c r="O383" s="1934"/>
      <c r="Z383" s="1280"/>
    </row>
    <row r="384" spans="1:26" x14ac:dyDescent="0.6">
      <c r="A384" s="1280"/>
      <c r="N384" s="1934"/>
      <c r="O384" s="1934"/>
      <c r="Z384" s="1280"/>
    </row>
    <row r="385" spans="1:26" x14ac:dyDescent="0.6">
      <c r="A385" s="1280"/>
      <c r="N385" s="1934"/>
      <c r="O385" s="1934"/>
      <c r="Z385" s="1280"/>
    </row>
    <row r="386" spans="1:26" x14ac:dyDescent="0.6">
      <c r="A386" s="1280"/>
      <c r="N386" s="1934"/>
      <c r="O386" s="1934"/>
      <c r="Z386" s="1280"/>
    </row>
    <row r="387" spans="1:26" x14ac:dyDescent="0.6">
      <c r="A387" s="1280"/>
      <c r="N387" s="1934"/>
      <c r="O387" s="1934"/>
      <c r="Z387" s="1280"/>
    </row>
    <row r="388" spans="1:26" x14ac:dyDescent="0.6">
      <c r="A388" s="1280"/>
      <c r="N388" s="1934"/>
      <c r="O388" s="1934"/>
      <c r="Z388" s="1280"/>
    </row>
    <row r="389" spans="1:26" x14ac:dyDescent="0.6">
      <c r="A389" s="1280"/>
      <c r="N389" s="1934"/>
      <c r="O389" s="1934"/>
      <c r="Z389" s="1280"/>
    </row>
    <row r="390" spans="1:26" x14ac:dyDescent="0.6">
      <c r="A390" s="1280"/>
      <c r="N390" s="1934"/>
      <c r="O390" s="1934"/>
      <c r="Z390" s="1280"/>
    </row>
    <row r="391" spans="1:26" x14ac:dyDescent="0.6">
      <c r="A391" s="1280"/>
      <c r="N391" s="1934"/>
      <c r="O391" s="1934"/>
      <c r="Z391" s="1280"/>
    </row>
    <row r="392" spans="1:26" x14ac:dyDescent="0.6">
      <c r="A392" s="1280"/>
      <c r="N392" s="1934"/>
      <c r="O392" s="1934"/>
      <c r="Z392" s="1280"/>
    </row>
    <row r="393" spans="1:26" x14ac:dyDescent="0.6">
      <c r="A393" s="1280"/>
      <c r="N393" s="1934"/>
      <c r="O393" s="1934"/>
      <c r="Z393" s="1280"/>
    </row>
    <row r="394" spans="1:26" x14ac:dyDescent="0.6">
      <c r="A394" s="1280"/>
      <c r="N394" s="1934"/>
      <c r="O394" s="1934"/>
      <c r="Z394" s="1280"/>
    </row>
    <row r="395" spans="1:26" x14ac:dyDescent="0.6">
      <c r="A395" s="1280"/>
      <c r="N395" s="1934"/>
      <c r="O395" s="1934"/>
      <c r="Z395" s="1280"/>
    </row>
    <row r="396" spans="1:26" x14ac:dyDescent="0.6">
      <c r="A396" s="1280"/>
      <c r="N396" s="1934"/>
      <c r="O396" s="1934"/>
      <c r="Z396" s="1280"/>
    </row>
    <row r="397" spans="1:26" x14ac:dyDescent="0.6">
      <c r="A397" s="1280"/>
      <c r="N397" s="1934"/>
      <c r="O397" s="1934"/>
      <c r="Z397" s="1280"/>
    </row>
    <row r="398" spans="1:26" x14ac:dyDescent="0.6">
      <c r="A398" s="1280"/>
      <c r="N398" s="1934"/>
      <c r="O398" s="1934"/>
      <c r="Z398" s="1280"/>
    </row>
    <row r="399" spans="1:26" x14ac:dyDescent="0.6">
      <c r="A399" s="1280"/>
      <c r="N399" s="1934"/>
      <c r="O399" s="1934"/>
      <c r="Z399" s="1280"/>
    </row>
    <row r="400" spans="1:26" x14ac:dyDescent="0.6">
      <c r="A400" s="1280"/>
      <c r="N400" s="1934"/>
      <c r="O400" s="1934"/>
      <c r="Z400" s="1280"/>
    </row>
    <row r="401" spans="1:26" x14ac:dyDescent="0.6">
      <c r="A401" s="1280"/>
      <c r="N401" s="1934"/>
      <c r="O401" s="1934"/>
      <c r="Z401" s="1280"/>
    </row>
    <row r="402" spans="1:26" x14ac:dyDescent="0.6">
      <c r="A402" s="1280"/>
      <c r="N402" s="1934"/>
      <c r="O402" s="1934"/>
      <c r="Z402" s="1280"/>
    </row>
    <row r="403" spans="1:26" x14ac:dyDescent="0.6">
      <c r="A403" s="1280"/>
      <c r="N403" s="1934"/>
      <c r="O403" s="1934"/>
      <c r="Z403" s="1280"/>
    </row>
    <row r="404" spans="1:26" x14ac:dyDescent="0.6">
      <c r="A404" s="1280"/>
      <c r="N404" s="1934"/>
      <c r="O404" s="1934"/>
      <c r="Z404" s="1280"/>
    </row>
    <row r="405" spans="1:26" x14ac:dyDescent="0.6">
      <c r="A405" s="1280"/>
      <c r="N405" s="1934"/>
      <c r="O405" s="1934"/>
      <c r="Z405" s="1280"/>
    </row>
    <row r="406" spans="1:26" x14ac:dyDescent="0.6">
      <c r="A406" s="1280"/>
      <c r="N406" s="1934"/>
      <c r="O406" s="1934"/>
      <c r="Z406" s="1280"/>
    </row>
    <row r="407" spans="1:26" x14ac:dyDescent="0.6">
      <c r="A407" s="1280"/>
      <c r="N407" s="1934"/>
      <c r="O407" s="1934"/>
      <c r="Z407" s="1280"/>
    </row>
    <row r="408" spans="1:26" x14ac:dyDescent="0.6">
      <c r="A408" s="1280"/>
      <c r="N408" s="1934"/>
      <c r="O408" s="1934"/>
      <c r="Z408" s="1280"/>
    </row>
    <row r="409" spans="1:26" x14ac:dyDescent="0.6">
      <c r="A409" s="1280"/>
      <c r="N409" s="1934"/>
      <c r="O409" s="1934"/>
      <c r="Z409" s="1280"/>
    </row>
    <row r="410" spans="1:26" x14ac:dyDescent="0.6">
      <c r="A410" s="1280"/>
      <c r="N410" s="1934"/>
      <c r="O410" s="1934"/>
      <c r="Z410" s="1280"/>
    </row>
    <row r="411" spans="1:26" x14ac:dyDescent="0.6">
      <c r="A411" s="1280"/>
      <c r="N411" s="1934"/>
      <c r="O411" s="1934"/>
      <c r="Z411" s="1280"/>
    </row>
    <row r="412" spans="1:26" x14ac:dyDescent="0.6">
      <c r="A412" s="1280"/>
      <c r="N412" s="1934"/>
      <c r="O412" s="1934"/>
      <c r="Z412" s="1280"/>
    </row>
    <row r="413" spans="1:26" x14ac:dyDescent="0.6">
      <c r="A413" s="1280"/>
      <c r="N413" s="1934"/>
      <c r="O413" s="1934"/>
      <c r="Z413" s="1280"/>
    </row>
    <row r="414" spans="1:26" x14ac:dyDescent="0.6">
      <c r="A414" s="1280"/>
      <c r="N414" s="1934"/>
      <c r="O414" s="1934"/>
      <c r="Z414" s="1280"/>
    </row>
    <row r="415" spans="1:26" x14ac:dyDescent="0.6">
      <c r="A415" s="1280"/>
      <c r="N415" s="1934"/>
      <c r="O415" s="1934"/>
      <c r="Z415" s="1280"/>
    </row>
    <row r="416" spans="1:26" x14ac:dyDescent="0.6">
      <c r="A416" s="1280"/>
      <c r="N416" s="1934"/>
      <c r="O416" s="1934"/>
      <c r="Z416" s="1280"/>
    </row>
    <row r="417" spans="1:26" x14ac:dyDescent="0.6">
      <c r="A417" s="1280"/>
      <c r="N417" s="1934"/>
      <c r="O417" s="1934"/>
      <c r="Z417" s="1280"/>
    </row>
    <row r="418" spans="1:26" x14ac:dyDescent="0.6">
      <c r="A418" s="1280"/>
      <c r="N418" s="1934"/>
      <c r="O418" s="1934"/>
      <c r="Z418" s="1280"/>
    </row>
    <row r="419" spans="1:26" x14ac:dyDescent="0.6">
      <c r="A419" s="1280"/>
      <c r="N419" s="1934"/>
      <c r="O419" s="1934"/>
      <c r="Z419" s="1280"/>
    </row>
    <row r="420" spans="1:26" x14ac:dyDescent="0.6">
      <c r="A420" s="1280"/>
      <c r="N420" s="1934"/>
      <c r="O420" s="1934"/>
      <c r="Z420" s="1280"/>
    </row>
    <row r="421" spans="1:26" x14ac:dyDescent="0.6">
      <c r="A421" s="1280"/>
      <c r="N421" s="1934"/>
      <c r="O421" s="1934"/>
      <c r="Z421" s="1280"/>
    </row>
    <row r="422" spans="1:26" x14ac:dyDescent="0.6">
      <c r="A422" s="1280"/>
      <c r="N422" s="1934"/>
      <c r="O422" s="1934"/>
      <c r="Z422" s="1280"/>
    </row>
    <row r="423" spans="1:26" x14ac:dyDescent="0.6">
      <c r="A423" s="1280"/>
      <c r="N423" s="1934"/>
      <c r="O423" s="1934"/>
      <c r="Z423" s="1280"/>
    </row>
    <row r="424" spans="1:26" x14ac:dyDescent="0.6">
      <c r="A424" s="1280"/>
      <c r="N424" s="1934"/>
      <c r="O424" s="1934"/>
      <c r="Z424" s="1280"/>
    </row>
    <row r="425" spans="1:26" x14ac:dyDescent="0.6">
      <c r="A425" s="1280"/>
      <c r="N425" s="1934"/>
      <c r="O425" s="1934"/>
      <c r="Z425" s="1280"/>
    </row>
    <row r="426" spans="1:26" x14ac:dyDescent="0.6">
      <c r="A426" s="1280"/>
      <c r="N426" s="1934"/>
      <c r="O426" s="1934"/>
      <c r="Z426" s="1280"/>
    </row>
    <row r="427" spans="1:26" x14ac:dyDescent="0.6">
      <c r="A427" s="1280"/>
      <c r="N427" s="1934"/>
      <c r="O427" s="1934"/>
      <c r="Z427" s="1280"/>
    </row>
    <row r="428" spans="1:26" x14ac:dyDescent="0.6">
      <c r="A428" s="1280"/>
      <c r="N428" s="1934"/>
      <c r="O428" s="1934"/>
      <c r="Z428" s="1280"/>
    </row>
    <row r="429" spans="1:26" x14ac:dyDescent="0.6">
      <c r="A429" s="1280"/>
      <c r="N429" s="1934"/>
      <c r="O429" s="1934"/>
      <c r="Z429" s="1280"/>
    </row>
    <row r="430" spans="1:26" x14ac:dyDescent="0.6">
      <c r="A430" s="1280"/>
      <c r="N430" s="1934"/>
      <c r="O430" s="1934"/>
      <c r="Z430" s="1280"/>
    </row>
    <row r="431" spans="1:26" x14ac:dyDescent="0.6">
      <c r="A431" s="1280"/>
      <c r="N431" s="1934"/>
      <c r="O431" s="1934"/>
      <c r="Z431" s="1280"/>
    </row>
    <row r="432" spans="1:26" x14ac:dyDescent="0.6">
      <c r="A432" s="1280"/>
      <c r="N432" s="1934"/>
      <c r="O432" s="1934"/>
      <c r="Z432" s="1280"/>
    </row>
    <row r="433" spans="1:26" x14ac:dyDescent="0.6">
      <c r="A433" s="1280"/>
      <c r="N433" s="1934"/>
      <c r="O433" s="1934"/>
      <c r="Z433" s="1280"/>
    </row>
    <row r="434" spans="1:26" x14ac:dyDescent="0.6">
      <c r="A434" s="1280"/>
      <c r="N434" s="1934"/>
      <c r="O434" s="1934"/>
      <c r="Z434" s="1280"/>
    </row>
    <row r="435" spans="1:26" x14ac:dyDescent="0.6">
      <c r="A435" s="1280"/>
      <c r="N435" s="1934"/>
      <c r="O435" s="1934"/>
      <c r="Z435" s="1280"/>
    </row>
    <row r="436" spans="1:26" x14ac:dyDescent="0.6">
      <c r="A436" s="1280"/>
      <c r="N436" s="1934"/>
      <c r="O436" s="1934"/>
      <c r="Z436" s="1280"/>
    </row>
    <row r="437" spans="1:26" x14ac:dyDescent="0.6">
      <c r="A437" s="1280"/>
      <c r="N437" s="1934"/>
      <c r="O437" s="1934"/>
      <c r="Z437" s="1280"/>
    </row>
    <row r="438" spans="1:26" x14ac:dyDescent="0.6">
      <c r="A438" s="1280"/>
      <c r="N438" s="1934"/>
      <c r="O438" s="1934"/>
      <c r="Z438" s="1280"/>
    </row>
    <row r="439" spans="1:26" x14ac:dyDescent="0.6">
      <c r="A439" s="1280"/>
      <c r="N439" s="1934"/>
      <c r="O439" s="1934"/>
      <c r="Z439" s="1280"/>
    </row>
    <row r="440" spans="1:26" x14ac:dyDescent="0.6">
      <c r="A440" s="1280"/>
      <c r="N440" s="1934"/>
      <c r="O440" s="1934"/>
      <c r="Z440" s="1280"/>
    </row>
    <row r="441" spans="1:26" x14ac:dyDescent="0.6">
      <c r="A441" s="1280"/>
      <c r="N441" s="1934"/>
      <c r="O441" s="1934"/>
      <c r="Z441" s="1280"/>
    </row>
    <row r="442" spans="1:26" x14ac:dyDescent="0.6">
      <c r="A442" s="1280"/>
      <c r="N442" s="1934"/>
      <c r="O442" s="1934"/>
      <c r="Z442" s="1280"/>
    </row>
    <row r="443" spans="1:26" x14ac:dyDescent="0.6">
      <c r="A443" s="1280"/>
      <c r="N443" s="1934"/>
      <c r="O443" s="1934"/>
      <c r="Z443" s="1280"/>
    </row>
    <row r="444" spans="1:26" x14ac:dyDescent="0.6">
      <c r="A444" s="1280"/>
      <c r="N444" s="1934"/>
      <c r="O444" s="1934"/>
      <c r="Z444" s="1280"/>
    </row>
    <row r="445" spans="1:26" x14ac:dyDescent="0.6">
      <c r="A445" s="1280"/>
      <c r="N445" s="1934"/>
      <c r="O445" s="1934"/>
      <c r="Z445" s="1280"/>
    </row>
    <row r="446" spans="1:26" x14ac:dyDescent="0.6">
      <c r="A446" s="1280"/>
      <c r="N446" s="1934"/>
      <c r="O446" s="1934"/>
      <c r="Z446" s="1280"/>
    </row>
    <row r="447" spans="1:26" x14ac:dyDescent="0.6">
      <c r="A447" s="1280"/>
      <c r="N447" s="1934"/>
      <c r="O447" s="1934"/>
      <c r="Z447" s="1280"/>
    </row>
    <row r="448" spans="1:26" x14ac:dyDescent="0.6">
      <c r="A448" s="1280"/>
      <c r="N448" s="1934"/>
      <c r="O448" s="1934"/>
      <c r="Z448" s="1280"/>
    </row>
    <row r="449" spans="1:26" x14ac:dyDescent="0.6">
      <c r="A449" s="1280"/>
      <c r="N449" s="1934"/>
      <c r="O449" s="1934"/>
      <c r="Z449" s="1280"/>
    </row>
    <row r="450" spans="1:26" x14ac:dyDescent="0.6">
      <c r="A450" s="1280"/>
      <c r="N450" s="1934"/>
      <c r="O450" s="1934"/>
      <c r="Z450" s="1280"/>
    </row>
    <row r="451" spans="1:26" x14ac:dyDescent="0.6">
      <c r="A451" s="1280"/>
      <c r="N451" s="1934"/>
      <c r="O451" s="1934"/>
      <c r="Z451" s="1280"/>
    </row>
    <row r="452" spans="1:26" x14ac:dyDescent="0.6">
      <c r="A452" s="1280"/>
      <c r="N452" s="1934"/>
      <c r="O452" s="1934"/>
      <c r="Z452" s="1280"/>
    </row>
    <row r="453" spans="1:26" x14ac:dyDescent="0.6">
      <c r="A453" s="1280"/>
      <c r="N453" s="1934"/>
      <c r="O453" s="1934"/>
      <c r="Z453" s="1280"/>
    </row>
    <row r="454" spans="1:26" x14ac:dyDescent="0.6">
      <c r="A454" s="1280"/>
      <c r="N454" s="1934"/>
      <c r="O454" s="1934"/>
      <c r="Z454" s="1280"/>
    </row>
    <row r="455" spans="1:26" x14ac:dyDescent="0.6">
      <c r="A455" s="1280"/>
      <c r="N455" s="1934"/>
      <c r="O455" s="1934"/>
      <c r="Z455" s="1280"/>
    </row>
    <row r="456" spans="1:26" x14ac:dyDescent="0.6">
      <c r="A456" s="1280"/>
      <c r="N456" s="1934"/>
      <c r="O456" s="1934"/>
      <c r="Z456" s="1280"/>
    </row>
    <row r="457" spans="1:26" x14ac:dyDescent="0.6">
      <c r="A457" s="1280"/>
      <c r="N457" s="1934"/>
      <c r="O457" s="1934"/>
      <c r="Z457" s="1280"/>
    </row>
    <row r="458" spans="1:26" x14ac:dyDescent="0.6">
      <c r="A458" s="1280"/>
      <c r="N458" s="1934"/>
      <c r="O458" s="1934"/>
      <c r="Z458" s="1280"/>
    </row>
    <row r="459" spans="1:26" x14ac:dyDescent="0.6">
      <c r="A459" s="1280"/>
      <c r="N459" s="1934"/>
      <c r="O459" s="1934"/>
      <c r="Z459" s="1280"/>
    </row>
    <row r="460" spans="1:26" x14ac:dyDescent="0.6">
      <c r="A460" s="1280"/>
      <c r="N460" s="1934"/>
      <c r="O460" s="1934"/>
      <c r="Z460" s="1280"/>
    </row>
    <row r="461" spans="1:26" x14ac:dyDescent="0.6">
      <c r="A461" s="1280"/>
      <c r="N461" s="1934"/>
      <c r="O461" s="1934"/>
      <c r="Z461" s="1280"/>
    </row>
    <row r="462" spans="1:26" x14ac:dyDescent="0.6">
      <c r="A462" s="1280"/>
      <c r="N462" s="1934"/>
      <c r="O462" s="1934"/>
      <c r="Z462" s="1280"/>
    </row>
    <row r="463" spans="1:26" x14ac:dyDescent="0.6">
      <c r="A463" s="1280"/>
      <c r="N463" s="1934"/>
      <c r="O463" s="1934"/>
      <c r="Z463" s="1280"/>
    </row>
    <row r="464" spans="1:26" x14ac:dyDescent="0.6">
      <c r="A464" s="1280"/>
      <c r="N464" s="1934"/>
      <c r="O464" s="1934"/>
      <c r="Z464" s="1280"/>
    </row>
    <row r="465" spans="1:26" x14ac:dyDescent="0.6">
      <c r="A465" s="1280"/>
      <c r="N465" s="1934"/>
      <c r="O465" s="1934"/>
      <c r="Z465" s="1280"/>
    </row>
    <row r="466" spans="1:26" x14ac:dyDescent="0.6">
      <c r="A466" s="1280"/>
      <c r="N466" s="1934"/>
      <c r="O466" s="1934"/>
      <c r="Z466" s="1280"/>
    </row>
    <row r="467" spans="1:26" x14ac:dyDescent="0.6">
      <c r="A467" s="1280"/>
      <c r="N467" s="1934"/>
      <c r="O467" s="1934"/>
      <c r="Z467" s="1280"/>
    </row>
    <row r="468" spans="1:26" x14ac:dyDescent="0.6">
      <c r="A468" s="1280"/>
      <c r="N468" s="1934"/>
      <c r="O468" s="1934"/>
      <c r="Z468" s="1280"/>
    </row>
    <row r="469" spans="1:26" x14ac:dyDescent="0.6">
      <c r="A469" s="1280"/>
      <c r="N469" s="1934"/>
      <c r="O469" s="1934"/>
      <c r="Z469" s="1280"/>
    </row>
    <row r="470" spans="1:26" x14ac:dyDescent="0.6">
      <c r="A470" s="1280"/>
      <c r="N470" s="1934"/>
      <c r="O470" s="1934"/>
      <c r="Z470" s="1280"/>
    </row>
    <row r="471" spans="1:26" x14ac:dyDescent="0.6">
      <c r="A471" s="1280"/>
      <c r="N471" s="1934"/>
      <c r="O471" s="1934"/>
      <c r="Z471" s="1280"/>
    </row>
    <row r="472" spans="1:26" x14ac:dyDescent="0.6">
      <c r="A472" s="1280"/>
      <c r="N472" s="1934"/>
      <c r="O472" s="1934"/>
      <c r="Z472" s="1280"/>
    </row>
    <row r="473" spans="1:26" x14ac:dyDescent="0.6">
      <c r="A473" s="1280"/>
      <c r="N473" s="1934"/>
      <c r="O473" s="1934"/>
      <c r="Z473" s="1280"/>
    </row>
    <row r="474" spans="1:26" x14ac:dyDescent="0.6">
      <c r="A474" s="1280"/>
      <c r="N474" s="1934"/>
      <c r="O474" s="1934"/>
      <c r="Z474" s="1280"/>
    </row>
    <row r="475" spans="1:26" x14ac:dyDescent="0.6">
      <c r="A475" s="1280"/>
      <c r="N475" s="1934"/>
      <c r="O475" s="1934"/>
      <c r="Z475" s="1280"/>
    </row>
    <row r="476" spans="1:26" x14ac:dyDescent="0.6">
      <c r="A476" s="1280"/>
      <c r="N476" s="1934"/>
      <c r="O476" s="1934"/>
      <c r="Z476" s="1280"/>
    </row>
    <row r="477" spans="1:26" x14ac:dyDescent="0.6">
      <c r="A477" s="1280"/>
      <c r="N477" s="1934"/>
      <c r="O477" s="1934"/>
      <c r="Z477" s="1280"/>
    </row>
    <row r="478" spans="1:26" x14ac:dyDescent="0.6">
      <c r="A478" s="1280"/>
      <c r="N478" s="1934"/>
      <c r="O478" s="1934"/>
      <c r="Z478" s="1280"/>
    </row>
    <row r="479" spans="1:26" x14ac:dyDescent="0.6">
      <c r="A479" s="1280"/>
      <c r="N479" s="1934"/>
      <c r="O479" s="1934"/>
      <c r="Z479" s="1280"/>
    </row>
    <row r="480" spans="1:26" x14ac:dyDescent="0.6">
      <c r="A480" s="1280"/>
      <c r="N480" s="1934"/>
      <c r="O480" s="1934"/>
      <c r="Z480" s="1280"/>
    </row>
    <row r="481" spans="1:26" x14ac:dyDescent="0.6">
      <c r="A481" s="1280"/>
      <c r="N481" s="1934"/>
      <c r="O481" s="1934"/>
      <c r="Z481" s="1280"/>
    </row>
    <row r="482" spans="1:26" x14ac:dyDescent="0.6">
      <c r="A482" s="1280"/>
      <c r="N482" s="1934"/>
      <c r="O482" s="1934"/>
      <c r="Z482" s="1280"/>
    </row>
    <row r="483" spans="1:26" x14ac:dyDescent="0.6">
      <c r="A483" s="1280"/>
      <c r="N483" s="1934"/>
      <c r="O483" s="1934"/>
      <c r="Z483" s="1280"/>
    </row>
    <row r="484" spans="1:26" x14ac:dyDescent="0.6">
      <c r="A484" s="1280"/>
      <c r="N484" s="1934"/>
      <c r="O484" s="1934"/>
      <c r="Z484" s="1280"/>
    </row>
    <row r="485" spans="1:26" x14ac:dyDescent="0.6">
      <c r="A485" s="1280"/>
      <c r="N485" s="1934"/>
      <c r="O485" s="1934"/>
      <c r="Z485" s="1280"/>
    </row>
    <row r="486" spans="1:26" x14ac:dyDescent="0.6">
      <c r="A486" s="1280"/>
      <c r="N486" s="1934"/>
      <c r="O486" s="1934"/>
      <c r="Z486" s="1280"/>
    </row>
    <row r="487" spans="1:26" x14ac:dyDescent="0.6">
      <c r="A487" s="1280"/>
      <c r="N487" s="1934"/>
      <c r="O487" s="1934"/>
      <c r="Z487" s="1280"/>
    </row>
    <row r="488" spans="1:26" x14ac:dyDescent="0.6">
      <c r="A488" s="1280"/>
      <c r="N488" s="1934"/>
      <c r="O488" s="1934"/>
      <c r="Z488" s="1280"/>
    </row>
    <row r="489" spans="1:26" x14ac:dyDescent="0.6">
      <c r="A489" s="1280"/>
      <c r="N489" s="1934"/>
      <c r="O489" s="1934"/>
      <c r="Z489" s="1280"/>
    </row>
    <row r="490" spans="1:26" x14ac:dyDescent="0.6">
      <c r="A490" s="1280"/>
      <c r="N490" s="1934"/>
      <c r="O490" s="1934"/>
      <c r="Z490" s="1280"/>
    </row>
    <row r="491" spans="1:26" x14ac:dyDescent="0.6">
      <c r="A491" s="1280"/>
      <c r="N491" s="1934"/>
      <c r="O491" s="1934"/>
      <c r="Z491" s="1280"/>
    </row>
    <row r="492" spans="1:26" x14ac:dyDescent="0.6">
      <c r="A492" s="1280"/>
      <c r="N492" s="1934"/>
      <c r="O492" s="1934"/>
      <c r="Z492" s="1280"/>
    </row>
    <row r="493" spans="1:26" x14ac:dyDescent="0.6">
      <c r="A493" s="1280"/>
      <c r="N493" s="1934"/>
      <c r="O493" s="1934"/>
      <c r="Z493" s="1280"/>
    </row>
    <row r="494" spans="1:26" x14ac:dyDescent="0.6">
      <c r="A494" s="1280"/>
      <c r="N494" s="1934"/>
      <c r="O494" s="1934"/>
      <c r="Z494" s="1280"/>
    </row>
    <row r="495" spans="1:26" x14ac:dyDescent="0.6">
      <c r="A495" s="1280"/>
      <c r="N495" s="1934"/>
      <c r="O495" s="1934"/>
      <c r="Z495" s="1280"/>
    </row>
    <row r="496" spans="1:26" x14ac:dyDescent="0.6">
      <c r="A496" s="1280"/>
      <c r="N496" s="1934"/>
      <c r="O496" s="1934"/>
      <c r="Z496" s="1280"/>
    </row>
    <row r="497" spans="1:26" x14ac:dyDescent="0.6">
      <c r="A497" s="1280"/>
      <c r="N497" s="1934"/>
      <c r="O497" s="1934"/>
      <c r="Z497" s="1280"/>
    </row>
    <row r="498" spans="1:26" x14ac:dyDescent="0.6">
      <c r="A498" s="1280"/>
      <c r="N498" s="1934"/>
      <c r="O498" s="1934"/>
      <c r="Z498" s="1280"/>
    </row>
    <row r="499" spans="1:26" x14ac:dyDescent="0.6">
      <c r="A499" s="1280"/>
      <c r="N499" s="1934"/>
      <c r="O499" s="1934"/>
      <c r="Z499" s="1280"/>
    </row>
    <row r="500" spans="1:26" x14ac:dyDescent="0.6">
      <c r="A500" s="1280"/>
      <c r="N500" s="1934"/>
      <c r="O500" s="1934"/>
      <c r="Z500" s="1280"/>
    </row>
    <row r="501" spans="1:26" x14ac:dyDescent="0.6">
      <c r="A501" s="1280"/>
      <c r="N501" s="1934"/>
      <c r="O501" s="1934"/>
      <c r="Z501" s="1280"/>
    </row>
    <row r="502" spans="1:26" x14ac:dyDescent="0.6">
      <c r="A502" s="1280"/>
      <c r="N502" s="1934"/>
      <c r="O502" s="1934"/>
      <c r="Z502" s="1280"/>
    </row>
    <row r="503" spans="1:26" x14ac:dyDescent="0.6">
      <c r="A503" s="1280"/>
      <c r="N503" s="1934"/>
      <c r="O503" s="1934"/>
      <c r="Z503" s="1280"/>
    </row>
    <row r="504" spans="1:26" x14ac:dyDescent="0.6">
      <c r="A504" s="1280"/>
      <c r="N504" s="1934"/>
      <c r="O504" s="1934"/>
      <c r="Z504" s="1280"/>
    </row>
    <row r="505" spans="1:26" x14ac:dyDescent="0.6">
      <c r="A505" s="1280"/>
      <c r="N505" s="1934"/>
      <c r="O505" s="1934"/>
      <c r="Z505" s="1280"/>
    </row>
    <row r="506" spans="1:26" x14ac:dyDescent="0.6">
      <c r="A506" s="1280"/>
      <c r="N506" s="1934"/>
      <c r="O506" s="1934"/>
      <c r="Z506" s="1280"/>
    </row>
    <row r="507" spans="1:26" x14ac:dyDescent="0.6">
      <c r="A507" s="1280"/>
      <c r="N507" s="1934"/>
      <c r="O507" s="1934"/>
      <c r="Z507" s="1280"/>
    </row>
    <row r="508" spans="1:26" x14ac:dyDescent="0.6">
      <c r="A508" s="1280"/>
      <c r="N508" s="1934"/>
      <c r="O508" s="1934"/>
      <c r="Z508" s="1280"/>
    </row>
    <row r="509" spans="1:26" x14ac:dyDescent="0.6">
      <c r="A509" s="1280"/>
      <c r="N509" s="1934"/>
      <c r="O509" s="1934"/>
      <c r="Z509" s="1280"/>
    </row>
    <row r="510" spans="1:26" x14ac:dyDescent="0.6">
      <c r="A510" s="1280"/>
      <c r="N510" s="1934"/>
      <c r="O510" s="1934"/>
      <c r="Z510" s="1280"/>
    </row>
    <row r="511" spans="1:26" x14ac:dyDescent="0.6">
      <c r="A511" s="1280"/>
      <c r="N511" s="1934"/>
      <c r="O511" s="1934"/>
      <c r="Z511" s="1280"/>
    </row>
    <row r="512" spans="1:26" x14ac:dyDescent="0.6">
      <c r="A512" s="1280"/>
      <c r="N512" s="1934"/>
      <c r="O512" s="1934"/>
      <c r="Z512" s="1280"/>
    </row>
    <row r="513" spans="1:26" x14ac:dyDescent="0.6">
      <c r="A513" s="1280"/>
      <c r="N513" s="1934"/>
      <c r="O513" s="1934"/>
      <c r="Z513" s="1280"/>
    </row>
    <row r="514" spans="1:26" x14ac:dyDescent="0.6">
      <c r="A514" s="1280"/>
      <c r="N514" s="1934"/>
      <c r="O514" s="1934"/>
      <c r="Z514" s="1280"/>
    </row>
    <row r="515" spans="1:26" x14ac:dyDescent="0.6">
      <c r="A515" s="1280"/>
      <c r="N515" s="1934"/>
      <c r="O515" s="1934"/>
      <c r="Z515" s="1280"/>
    </row>
    <row r="516" spans="1:26" x14ac:dyDescent="0.6">
      <c r="A516" s="1280"/>
      <c r="N516" s="1934"/>
      <c r="O516" s="1934"/>
      <c r="Z516" s="1280"/>
    </row>
    <row r="517" spans="1:26" x14ac:dyDescent="0.6">
      <c r="A517" s="1280"/>
      <c r="N517" s="1934"/>
      <c r="O517" s="1934"/>
      <c r="Z517" s="1280"/>
    </row>
    <row r="518" spans="1:26" x14ac:dyDescent="0.6">
      <c r="A518" s="1280"/>
      <c r="N518" s="1934"/>
      <c r="O518" s="1934"/>
      <c r="Z518" s="1280"/>
    </row>
    <row r="519" spans="1:26" x14ac:dyDescent="0.6">
      <c r="A519" s="1280"/>
      <c r="N519" s="1934"/>
      <c r="O519" s="1934"/>
      <c r="Z519" s="1280"/>
    </row>
    <row r="520" spans="1:26" x14ac:dyDescent="0.6">
      <c r="A520" s="1280"/>
      <c r="N520" s="1934"/>
      <c r="O520" s="1934"/>
      <c r="Z520" s="1280"/>
    </row>
    <row r="521" spans="1:26" x14ac:dyDescent="0.6">
      <c r="A521" s="1280"/>
      <c r="N521" s="1934"/>
      <c r="O521" s="1934"/>
      <c r="Z521" s="1280"/>
    </row>
    <row r="522" spans="1:26" x14ac:dyDescent="0.6">
      <c r="A522" s="1280"/>
      <c r="N522" s="1934"/>
      <c r="O522" s="1934"/>
      <c r="Z522" s="1280"/>
    </row>
    <row r="523" spans="1:26" x14ac:dyDescent="0.6">
      <c r="A523" s="1280"/>
      <c r="N523" s="1934"/>
      <c r="O523" s="1934"/>
      <c r="Z523" s="1280"/>
    </row>
    <row r="524" spans="1:26" x14ac:dyDescent="0.6">
      <c r="A524" s="1280"/>
      <c r="N524" s="1934"/>
      <c r="O524" s="1934"/>
      <c r="Z524" s="1280"/>
    </row>
    <row r="525" spans="1:26" x14ac:dyDescent="0.6">
      <c r="A525" s="1280"/>
      <c r="N525" s="1934"/>
      <c r="O525" s="1934"/>
      <c r="Z525" s="1280"/>
    </row>
    <row r="526" spans="1:26" x14ac:dyDescent="0.6">
      <c r="A526" s="1280"/>
      <c r="N526" s="1934"/>
      <c r="O526" s="1934"/>
      <c r="Z526" s="1280"/>
    </row>
    <row r="527" spans="1:26" x14ac:dyDescent="0.6">
      <c r="A527" s="1280"/>
      <c r="N527" s="1934"/>
      <c r="O527" s="1934"/>
      <c r="Z527" s="1280"/>
    </row>
    <row r="528" spans="1:26" x14ac:dyDescent="0.6">
      <c r="A528" s="1280"/>
      <c r="N528" s="1934"/>
      <c r="O528" s="1934"/>
      <c r="Z528" s="1280"/>
    </row>
    <row r="529" spans="1:26" x14ac:dyDescent="0.6">
      <c r="A529" s="1280"/>
      <c r="N529" s="1934"/>
      <c r="O529" s="1934"/>
      <c r="Z529" s="1280"/>
    </row>
    <row r="530" spans="1:26" x14ac:dyDescent="0.6">
      <c r="A530" s="1280"/>
      <c r="N530" s="1934"/>
      <c r="O530" s="1934"/>
      <c r="Z530" s="1280"/>
    </row>
    <row r="531" spans="1:26" x14ac:dyDescent="0.6">
      <c r="A531" s="1280"/>
      <c r="N531" s="1934"/>
      <c r="O531" s="1934"/>
      <c r="Z531" s="1280"/>
    </row>
    <row r="532" spans="1:26" x14ac:dyDescent="0.6">
      <c r="A532" s="1280"/>
      <c r="N532" s="1934"/>
      <c r="O532" s="1934"/>
      <c r="Z532" s="1280"/>
    </row>
    <row r="533" spans="1:26" x14ac:dyDescent="0.6">
      <c r="A533" s="1280"/>
      <c r="N533" s="1934"/>
      <c r="O533" s="1934"/>
      <c r="Z533" s="1280"/>
    </row>
    <row r="534" spans="1:26" x14ac:dyDescent="0.6">
      <c r="A534" s="1280"/>
      <c r="N534" s="1934"/>
      <c r="O534" s="1934"/>
      <c r="Z534" s="1280"/>
    </row>
    <row r="535" spans="1:26" x14ac:dyDescent="0.6">
      <c r="A535" s="1280"/>
      <c r="N535" s="1934"/>
      <c r="O535" s="1934"/>
      <c r="Z535" s="1280"/>
    </row>
    <row r="536" spans="1:26" x14ac:dyDescent="0.6">
      <c r="A536" s="1280"/>
      <c r="N536" s="1934"/>
      <c r="O536" s="1934"/>
      <c r="Z536" s="1280"/>
    </row>
    <row r="537" spans="1:26" x14ac:dyDescent="0.6">
      <c r="A537" s="1280"/>
      <c r="N537" s="1934"/>
      <c r="O537" s="1934"/>
      <c r="Z537" s="1280"/>
    </row>
    <row r="538" spans="1:26" x14ac:dyDescent="0.6">
      <c r="A538" s="1280"/>
      <c r="N538" s="1934"/>
      <c r="O538" s="1934"/>
      <c r="Z538" s="1280"/>
    </row>
    <row r="539" spans="1:26" x14ac:dyDescent="0.6">
      <c r="A539" s="1280"/>
      <c r="N539" s="1934"/>
      <c r="O539" s="1934"/>
      <c r="Z539" s="1280"/>
    </row>
    <row r="540" spans="1:26" x14ac:dyDescent="0.6">
      <c r="A540" s="1280"/>
      <c r="N540" s="1934"/>
      <c r="O540" s="1934"/>
      <c r="Z540" s="1280"/>
    </row>
    <row r="541" spans="1:26" x14ac:dyDescent="0.6">
      <c r="A541" s="1280"/>
      <c r="N541" s="1934"/>
      <c r="O541" s="1934"/>
      <c r="Z541" s="1280"/>
    </row>
    <row r="542" spans="1:26" x14ac:dyDescent="0.6">
      <c r="A542" s="1280"/>
      <c r="N542" s="1934"/>
      <c r="O542" s="1934"/>
      <c r="Z542" s="1280"/>
    </row>
    <row r="543" spans="1:26" x14ac:dyDescent="0.6">
      <c r="A543" s="1280"/>
      <c r="N543" s="1934"/>
      <c r="O543" s="1934"/>
      <c r="Z543" s="1280"/>
    </row>
    <row r="544" spans="1:26" x14ac:dyDescent="0.6">
      <c r="A544" s="1280"/>
      <c r="N544" s="1934"/>
      <c r="O544" s="1934"/>
      <c r="Z544" s="1280"/>
    </row>
    <row r="545" spans="1:26" x14ac:dyDescent="0.6">
      <c r="A545" s="1280"/>
      <c r="N545" s="1934"/>
      <c r="O545" s="1934"/>
      <c r="Z545" s="1280"/>
    </row>
    <row r="546" spans="1:26" x14ac:dyDescent="0.6">
      <c r="A546" s="1280"/>
      <c r="N546" s="1934"/>
      <c r="O546" s="1934"/>
      <c r="Z546" s="1280"/>
    </row>
    <row r="547" spans="1:26" x14ac:dyDescent="0.6">
      <c r="A547" s="1280"/>
      <c r="N547" s="1934"/>
      <c r="O547" s="1934"/>
      <c r="Z547" s="1280"/>
    </row>
    <row r="548" spans="1:26" x14ac:dyDescent="0.6">
      <c r="A548" s="1280"/>
      <c r="N548" s="1934"/>
      <c r="O548" s="1934"/>
      <c r="Z548" s="1280"/>
    </row>
    <row r="549" spans="1:26" x14ac:dyDescent="0.6">
      <c r="A549" s="1280"/>
      <c r="N549" s="1934"/>
      <c r="O549" s="1934"/>
      <c r="Z549" s="1280"/>
    </row>
    <row r="550" spans="1:26" x14ac:dyDescent="0.6">
      <c r="A550" s="1280"/>
      <c r="N550" s="1934"/>
      <c r="O550" s="1934"/>
      <c r="Z550" s="1280"/>
    </row>
    <row r="551" spans="1:26" x14ac:dyDescent="0.6">
      <c r="A551" s="1280"/>
      <c r="N551" s="1934"/>
      <c r="O551" s="1934"/>
      <c r="Z551" s="1280"/>
    </row>
    <row r="552" spans="1:26" x14ac:dyDescent="0.6">
      <c r="A552" s="1280"/>
      <c r="N552" s="1934"/>
      <c r="O552" s="1934"/>
      <c r="Z552" s="1280"/>
    </row>
    <row r="553" spans="1:26" x14ac:dyDescent="0.6">
      <c r="A553" s="1280"/>
      <c r="N553" s="1934"/>
      <c r="O553" s="1934"/>
      <c r="Z553" s="1280"/>
    </row>
    <row r="554" spans="1:26" x14ac:dyDescent="0.6">
      <c r="A554" s="1280"/>
      <c r="N554" s="1934"/>
      <c r="O554" s="1934"/>
      <c r="Z554" s="1280"/>
    </row>
    <row r="555" spans="1:26" x14ac:dyDescent="0.6">
      <c r="A555" s="1280"/>
      <c r="N555" s="1934"/>
      <c r="O555" s="1934"/>
      <c r="Z555" s="1280"/>
    </row>
    <row r="556" spans="1:26" x14ac:dyDescent="0.6">
      <c r="A556" s="1280"/>
      <c r="N556" s="1934"/>
      <c r="O556" s="1934"/>
      <c r="Z556" s="1280"/>
    </row>
    <row r="557" spans="1:26" x14ac:dyDescent="0.6">
      <c r="A557" s="1280"/>
      <c r="N557" s="1934"/>
      <c r="O557" s="1934"/>
      <c r="Z557" s="1280"/>
    </row>
    <row r="558" spans="1:26" x14ac:dyDescent="0.6">
      <c r="A558" s="1280"/>
      <c r="N558" s="1934"/>
      <c r="O558" s="1934"/>
      <c r="Z558" s="1280"/>
    </row>
    <row r="559" spans="1:26" x14ac:dyDescent="0.6">
      <c r="A559" s="1280"/>
      <c r="N559" s="1934"/>
      <c r="O559" s="1934"/>
      <c r="Z559" s="1280"/>
    </row>
    <row r="560" spans="1:26" x14ac:dyDescent="0.6">
      <c r="A560" s="1280"/>
      <c r="N560" s="1934"/>
      <c r="O560" s="1934"/>
      <c r="Z560" s="1280"/>
    </row>
    <row r="561" spans="1:26" x14ac:dyDescent="0.6">
      <c r="A561" s="1280"/>
      <c r="N561" s="1934"/>
      <c r="O561" s="1934"/>
      <c r="Z561" s="1280"/>
    </row>
    <row r="562" spans="1:26" x14ac:dyDescent="0.6">
      <c r="A562" s="1280"/>
      <c r="N562" s="1934"/>
      <c r="O562" s="1934"/>
      <c r="Z562" s="1280"/>
    </row>
    <row r="563" spans="1:26" x14ac:dyDescent="0.6">
      <c r="A563" s="1280"/>
      <c r="N563" s="1934"/>
      <c r="O563" s="1934"/>
      <c r="Z563" s="1280"/>
    </row>
    <row r="564" spans="1:26" x14ac:dyDescent="0.6">
      <c r="A564" s="1280"/>
      <c r="N564" s="1934"/>
      <c r="O564" s="1934"/>
      <c r="Z564" s="1280"/>
    </row>
    <row r="565" spans="1:26" x14ac:dyDescent="0.6">
      <c r="A565" s="1280"/>
      <c r="N565" s="1934"/>
      <c r="O565" s="1934"/>
      <c r="Z565" s="1280"/>
    </row>
    <row r="566" spans="1:26" x14ac:dyDescent="0.6">
      <c r="A566" s="1280"/>
      <c r="N566" s="1934"/>
      <c r="O566" s="1934"/>
      <c r="Z566" s="1280"/>
    </row>
    <row r="567" spans="1:26" x14ac:dyDescent="0.6">
      <c r="A567" s="1280"/>
      <c r="N567" s="1934"/>
      <c r="O567" s="1934"/>
      <c r="Z567" s="1280"/>
    </row>
    <row r="568" spans="1:26" x14ac:dyDescent="0.6">
      <c r="A568" s="1280"/>
      <c r="N568" s="1934"/>
      <c r="O568" s="1934"/>
      <c r="Z568" s="1280"/>
    </row>
    <row r="569" spans="1:26" x14ac:dyDescent="0.6">
      <c r="A569" s="1280"/>
      <c r="N569" s="1934"/>
      <c r="O569" s="1934"/>
      <c r="Z569" s="1280"/>
    </row>
    <row r="570" spans="1:26" x14ac:dyDescent="0.6">
      <c r="A570" s="1280"/>
      <c r="N570" s="1934"/>
      <c r="O570" s="1934"/>
      <c r="Z570" s="1280"/>
    </row>
    <row r="571" spans="1:26" x14ac:dyDescent="0.6">
      <c r="A571" s="1280"/>
      <c r="N571" s="1934"/>
      <c r="O571" s="1934"/>
      <c r="Z571" s="1280"/>
    </row>
    <row r="572" spans="1:26" x14ac:dyDescent="0.6">
      <c r="A572" s="1280"/>
      <c r="N572" s="1934"/>
      <c r="O572" s="1934"/>
      <c r="Z572" s="1280"/>
    </row>
    <row r="573" spans="1:26" x14ac:dyDescent="0.6">
      <c r="A573" s="1280"/>
      <c r="N573" s="1934"/>
      <c r="O573" s="1934"/>
      <c r="Z573" s="1280"/>
    </row>
    <row r="574" spans="1:26" x14ac:dyDescent="0.6">
      <c r="A574" s="1280"/>
      <c r="N574" s="1934"/>
      <c r="O574" s="1934"/>
      <c r="Z574" s="1280"/>
    </row>
    <row r="575" spans="1:26" x14ac:dyDescent="0.6">
      <c r="A575" s="1280"/>
      <c r="N575" s="1934"/>
      <c r="O575" s="1934"/>
      <c r="Z575" s="1280"/>
    </row>
    <row r="576" spans="1:26" x14ac:dyDescent="0.6">
      <c r="A576" s="1280"/>
      <c r="N576" s="1934"/>
      <c r="O576" s="1934"/>
      <c r="Z576" s="1280"/>
    </row>
    <row r="577" spans="1:26" x14ac:dyDescent="0.6">
      <c r="A577" s="1280"/>
      <c r="N577" s="1934"/>
      <c r="O577" s="1934"/>
      <c r="Z577" s="1280"/>
    </row>
    <row r="578" spans="1:26" x14ac:dyDescent="0.6">
      <c r="A578" s="1280"/>
      <c r="N578" s="1934"/>
      <c r="O578" s="1934"/>
      <c r="Z578" s="1280"/>
    </row>
    <row r="579" spans="1:26" x14ac:dyDescent="0.6">
      <c r="A579" s="1280"/>
      <c r="N579" s="1934"/>
      <c r="O579" s="1934"/>
      <c r="Z579" s="1280"/>
    </row>
    <row r="580" spans="1:26" x14ac:dyDescent="0.6">
      <c r="A580" s="1280"/>
      <c r="N580" s="1934"/>
      <c r="O580" s="1934"/>
      <c r="Z580" s="1280"/>
    </row>
    <row r="581" spans="1:26" x14ac:dyDescent="0.6">
      <c r="A581" s="1280"/>
      <c r="N581" s="1934"/>
      <c r="O581" s="1934"/>
      <c r="Z581" s="1280"/>
    </row>
    <row r="582" spans="1:26" x14ac:dyDescent="0.6">
      <c r="A582" s="1280"/>
      <c r="N582" s="1934"/>
      <c r="O582" s="1934"/>
      <c r="Z582" s="1280"/>
    </row>
    <row r="583" spans="1:26" x14ac:dyDescent="0.6">
      <c r="A583" s="1280"/>
      <c r="N583" s="1934"/>
      <c r="O583" s="1934"/>
      <c r="Z583" s="1280"/>
    </row>
    <row r="584" spans="1:26" x14ac:dyDescent="0.6">
      <c r="A584" s="1280"/>
      <c r="N584" s="1934"/>
      <c r="O584" s="1934"/>
      <c r="Z584" s="1280"/>
    </row>
    <row r="585" spans="1:26" x14ac:dyDescent="0.6">
      <c r="A585" s="1280"/>
      <c r="N585" s="1934"/>
      <c r="O585" s="1934"/>
      <c r="Z585" s="1280"/>
    </row>
    <row r="586" spans="1:26" x14ac:dyDescent="0.6">
      <c r="A586" s="1280"/>
      <c r="N586" s="1934"/>
      <c r="O586" s="1934"/>
      <c r="Z586" s="1280"/>
    </row>
    <row r="587" spans="1:26" x14ac:dyDescent="0.6">
      <c r="A587" s="1280"/>
      <c r="N587" s="1934"/>
      <c r="O587" s="1934"/>
      <c r="Z587" s="1280"/>
    </row>
    <row r="588" spans="1:26" x14ac:dyDescent="0.6">
      <c r="A588" s="1280"/>
      <c r="N588" s="1934"/>
      <c r="O588" s="1934"/>
      <c r="Z588" s="1280"/>
    </row>
    <row r="589" spans="1:26" x14ac:dyDescent="0.6">
      <c r="A589" s="1280"/>
      <c r="N589" s="1934"/>
      <c r="O589" s="1934"/>
      <c r="Z589" s="1280"/>
    </row>
    <row r="590" spans="1:26" x14ac:dyDescent="0.6">
      <c r="A590" s="1280"/>
      <c r="N590" s="1934"/>
      <c r="O590" s="1934"/>
      <c r="Z590" s="1280"/>
    </row>
    <row r="591" spans="1:26" x14ac:dyDescent="0.6">
      <c r="A591" s="1280"/>
      <c r="N591" s="1934"/>
      <c r="O591" s="1934"/>
      <c r="Z591" s="1280"/>
    </row>
    <row r="592" spans="1:26" x14ac:dyDescent="0.6">
      <c r="A592" s="1280"/>
      <c r="N592" s="1934"/>
      <c r="O592" s="1934"/>
      <c r="Z592" s="1280"/>
    </row>
    <row r="593" spans="1:26" x14ac:dyDescent="0.6">
      <c r="A593" s="1280"/>
      <c r="N593" s="1934"/>
      <c r="O593" s="1934"/>
      <c r="Z593" s="1280"/>
    </row>
    <row r="594" spans="1:26" x14ac:dyDescent="0.6">
      <c r="A594" s="1280"/>
      <c r="N594" s="1934"/>
      <c r="O594" s="1934"/>
      <c r="Z594" s="1280"/>
    </row>
    <row r="595" spans="1:26" x14ac:dyDescent="0.6">
      <c r="A595" s="1280"/>
      <c r="N595" s="1934"/>
      <c r="O595" s="1934"/>
      <c r="Z595" s="1280"/>
    </row>
    <row r="596" spans="1:26" x14ac:dyDescent="0.6">
      <c r="A596" s="1280"/>
      <c r="N596" s="1934"/>
      <c r="O596" s="1934"/>
      <c r="Z596" s="1280"/>
    </row>
    <row r="597" spans="1:26" x14ac:dyDescent="0.6">
      <c r="A597" s="1280"/>
      <c r="N597" s="1934"/>
      <c r="O597" s="1934"/>
      <c r="Z597" s="1280"/>
    </row>
    <row r="598" spans="1:26" x14ac:dyDescent="0.6">
      <c r="A598" s="1280"/>
      <c r="N598" s="1934"/>
      <c r="O598" s="1934"/>
      <c r="Z598" s="1280"/>
    </row>
    <row r="599" spans="1:26" x14ac:dyDescent="0.6">
      <c r="A599" s="1280"/>
      <c r="N599" s="1934"/>
      <c r="O599" s="1934"/>
      <c r="Z599" s="1280"/>
    </row>
    <row r="600" spans="1:26" x14ac:dyDescent="0.6">
      <c r="A600" s="1280"/>
      <c r="N600" s="1934"/>
      <c r="O600" s="1934"/>
      <c r="Z600" s="1280"/>
    </row>
    <row r="601" spans="1:26" x14ac:dyDescent="0.6">
      <c r="A601" s="1280"/>
      <c r="N601" s="1934"/>
      <c r="O601" s="1934"/>
      <c r="Z601" s="1280"/>
    </row>
    <row r="602" spans="1:26" x14ac:dyDescent="0.6">
      <c r="A602" s="1280"/>
      <c r="N602" s="1934"/>
      <c r="O602" s="1934"/>
      <c r="Z602" s="1280"/>
    </row>
    <row r="603" spans="1:26" x14ac:dyDescent="0.6">
      <c r="A603" s="1280"/>
      <c r="N603" s="1934"/>
      <c r="O603" s="1934"/>
      <c r="Z603" s="1280"/>
    </row>
    <row r="604" spans="1:26" x14ac:dyDescent="0.6">
      <c r="A604" s="1280"/>
      <c r="N604" s="1934"/>
      <c r="O604" s="1934"/>
      <c r="Z604" s="1280"/>
    </row>
    <row r="605" spans="1:26" x14ac:dyDescent="0.6">
      <c r="A605" s="1280"/>
      <c r="N605" s="1934"/>
      <c r="O605" s="1934"/>
      <c r="Z605" s="1280"/>
    </row>
    <row r="606" spans="1:26" x14ac:dyDescent="0.6">
      <c r="A606" s="1280"/>
      <c r="N606" s="1934"/>
      <c r="O606" s="1934"/>
      <c r="Z606" s="1280"/>
    </row>
    <row r="607" spans="1:26" x14ac:dyDescent="0.6">
      <c r="A607" s="1280"/>
      <c r="N607" s="1934"/>
      <c r="O607" s="1934"/>
      <c r="Z607" s="1280"/>
    </row>
    <row r="608" spans="1:26" x14ac:dyDescent="0.6">
      <c r="A608" s="1280"/>
      <c r="N608" s="1934"/>
      <c r="O608" s="1934"/>
      <c r="Z608" s="1280"/>
    </row>
    <row r="609" spans="1:26" x14ac:dyDescent="0.6">
      <c r="A609" s="1280"/>
      <c r="N609" s="1934"/>
      <c r="O609" s="1934"/>
      <c r="Z609" s="1280"/>
    </row>
    <row r="610" spans="1:26" x14ac:dyDescent="0.6">
      <c r="A610" s="1280"/>
      <c r="N610" s="1934"/>
      <c r="O610" s="1934"/>
      <c r="Z610" s="1280"/>
    </row>
    <row r="611" spans="1:26" x14ac:dyDescent="0.6">
      <c r="A611" s="1280"/>
      <c r="N611" s="1934"/>
      <c r="O611" s="1934"/>
      <c r="Z611" s="1280"/>
    </row>
    <row r="612" spans="1:26" x14ac:dyDescent="0.6">
      <c r="A612" s="1280"/>
      <c r="N612" s="1934"/>
      <c r="O612" s="1934"/>
      <c r="Z612" s="1280"/>
    </row>
    <row r="613" spans="1:26" x14ac:dyDescent="0.6">
      <c r="A613" s="1280"/>
      <c r="N613" s="1934"/>
      <c r="O613" s="1934"/>
      <c r="Z613" s="1280"/>
    </row>
    <row r="614" spans="1:26" x14ac:dyDescent="0.6">
      <c r="A614" s="1280"/>
      <c r="N614" s="1934"/>
      <c r="O614" s="1934"/>
      <c r="Z614" s="1280"/>
    </row>
    <row r="615" spans="1:26" x14ac:dyDescent="0.6">
      <c r="A615" s="1280"/>
      <c r="N615" s="1934"/>
      <c r="O615" s="1934"/>
      <c r="Z615" s="1280"/>
    </row>
    <row r="616" spans="1:26" x14ac:dyDescent="0.6">
      <c r="A616" s="1280"/>
      <c r="N616" s="1934"/>
      <c r="O616" s="1934"/>
      <c r="Z616" s="1280"/>
    </row>
    <row r="617" spans="1:26" x14ac:dyDescent="0.6">
      <c r="A617" s="1280"/>
      <c r="N617" s="1934"/>
      <c r="O617" s="1934"/>
      <c r="Z617" s="1280"/>
    </row>
    <row r="618" spans="1:26" x14ac:dyDescent="0.6">
      <c r="A618" s="1280"/>
      <c r="N618" s="1934"/>
      <c r="O618" s="1934"/>
      <c r="Z618" s="1280"/>
    </row>
    <row r="619" spans="1:26" x14ac:dyDescent="0.6">
      <c r="A619" s="1280"/>
      <c r="N619" s="1934"/>
      <c r="O619" s="1934"/>
      <c r="Z619" s="1280"/>
    </row>
    <row r="620" spans="1:26" x14ac:dyDescent="0.6">
      <c r="A620" s="1280"/>
      <c r="N620" s="1934"/>
      <c r="O620" s="1934"/>
      <c r="Z620" s="1280"/>
    </row>
    <row r="621" spans="1:26" x14ac:dyDescent="0.6">
      <c r="A621" s="1280"/>
      <c r="N621" s="1934"/>
      <c r="O621" s="1934"/>
      <c r="Z621" s="1280"/>
    </row>
    <row r="622" spans="1:26" x14ac:dyDescent="0.6">
      <c r="A622" s="1280"/>
      <c r="N622" s="1934"/>
      <c r="O622" s="1934"/>
      <c r="Z622" s="1280"/>
    </row>
    <row r="623" spans="1:26" x14ac:dyDescent="0.6">
      <c r="A623" s="1280"/>
      <c r="N623" s="1934"/>
      <c r="O623" s="1934"/>
      <c r="Z623" s="1280"/>
    </row>
    <row r="624" spans="1:26" x14ac:dyDescent="0.6">
      <c r="A624" s="1280"/>
      <c r="N624" s="1934"/>
      <c r="O624" s="1934"/>
      <c r="Z624" s="1280"/>
    </row>
    <row r="625" spans="1:26" x14ac:dyDescent="0.6">
      <c r="A625" s="1280"/>
      <c r="N625" s="1934"/>
      <c r="O625" s="1934"/>
      <c r="Z625" s="1280"/>
    </row>
    <row r="626" spans="1:26" x14ac:dyDescent="0.6">
      <c r="A626" s="1280"/>
      <c r="N626" s="1934"/>
      <c r="O626" s="1934"/>
      <c r="Z626" s="1280"/>
    </row>
    <row r="627" spans="1:26" x14ac:dyDescent="0.6">
      <c r="A627" s="1280"/>
      <c r="N627" s="1934"/>
      <c r="O627" s="1934"/>
      <c r="Z627" s="1280"/>
    </row>
    <row r="628" spans="1:26" x14ac:dyDescent="0.6">
      <c r="A628" s="1280"/>
      <c r="N628" s="1934"/>
      <c r="O628" s="1934"/>
      <c r="Z628" s="1280"/>
    </row>
    <row r="629" spans="1:26" x14ac:dyDescent="0.6">
      <c r="A629" s="1280"/>
      <c r="N629" s="1934"/>
      <c r="O629" s="1934"/>
      <c r="Z629" s="1280"/>
    </row>
    <row r="630" spans="1:26" x14ac:dyDescent="0.6">
      <c r="A630" s="1280"/>
      <c r="N630" s="1934"/>
      <c r="O630" s="1934"/>
      <c r="Z630" s="1280"/>
    </row>
    <row r="631" spans="1:26" x14ac:dyDescent="0.6">
      <c r="A631" s="1280"/>
      <c r="N631" s="1934"/>
      <c r="O631" s="1934"/>
      <c r="Z631" s="1280"/>
    </row>
    <row r="632" spans="1:26" x14ac:dyDescent="0.6">
      <c r="A632" s="1280"/>
      <c r="N632" s="1934"/>
      <c r="O632" s="1934"/>
      <c r="Z632" s="1280"/>
    </row>
    <row r="633" spans="1:26" x14ac:dyDescent="0.6">
      <c r="A633" s="1280"/>
      <c r="N633" s="1934"/>
      <c r="O633" s="1934"/>
      <c r="Z633" s="1280"/>
    </row>
    <row r="634" spans="1:26" x14ac:dyDescent="0.6">
      <c r="A634" s="1280"/>
      <c r="N634" s="1934"/>
      <c r="O634" s="1934"/>
      <c r="Z634" s="1280"/>
    </row>
    <row r="635" spans="1:26" x14ac:dyDescent="0.6">
      <c r="A635" s="1280"/>
      <c r="N635" s="1934"/>
      <c r="O635" s="1934"/>
      <c r="Z635" s="1280"/>
    </row>
    <row r="636" spans="1:26" x14ac:dyDescent="0.6">
      <c r="A636" s="1280"/>
      <c r="N636" s="1934"/>
      <c r="O636" s="1934"/>
      <c r="Z636" s="1280"/>
    </row>
    <row r="637" spans="1:26" x14ac:dyDescent="0.6">
      <c r="A637" s="1280"/>
      <c r="N637" s="1934"/>
      <c r="O637" s="1934"/>
      <c r="Z637" s="1280"/>
    </row>
    <row r="638" spans="1:26" x14ac:dyDescent="0.6">
      <c r="A638" s="1280"/>
      <c r="N638" s="1934"/>
      <c r="O638" s="1934"/>
      <c r="Z638" s="1280"/>
    </row>
    <row r="639" spans="1:26" x14ac:dyDescent="0.6">
      <c r="A639" s="1280"/>
      <c r="N639" s="1934"/>
      <c r="O639" s="1934"/>
      <c r="Z639" s="1280"/>
    </row>
    <row r="640" spans="1:26" x14ac:dyDescent="0.6">
      <c r="A640" s="1280"/>
      <c r="N640" s="1934"/>
      <c r="O640" s="1934"/>
      <c r="Z640" s="1280"/>
    </row>
    <row r="641" spans="1:26" x14ac:dyDescent="0.6">
      <c r="A641" s="1280"/>
      <c r="N641" s="1934"/>
      <c r="O641" s="1934"/>
      <c r="Z641" s="1280"/>
    </row>
    <row r="642" spans="1:26" x14ac:dyDescent="0.6">
      <c r="A642" s="1280"/>
      <c r="N642" s="1934"/>
      <c r="O642" s="1934"/>
      <c r="Z642" s="1280"/>
    </row>
    <row r="643" spans="1:26" x14ac:dyDescent="0.6">
      <c r="A643" s="1280"/>
      <c r="N643" s="1934"/>
      <c r="O643" s="1934"/>
      <c r="Z643" s="1280"/>
    </row>
    <row r="644" spans="1:26" x14ac:dyDescent="0.6">
      <c r="A644" s="1280"/>
      <c r="N644" s="1934"/>
      <c r="O644" s="1934"/>
      <c r="Z644" s="1280"/>
    </row>
    <row r="645" spans="1:26" x14ac:dyDescent="0.6">
      <c r="A645" s="1280"/>
      <c r="N645" s="1934"/>
      <c r="O645" s="1934"/>
      <c r="Z645" s="1280"/>
    </row>
    <row r="646" spans="1:26" x14ac:dyDescent="0.6">
      <c r="A646" s="1280"/>
      <c r="N646" s="1934"/>
      <c r="O646" s="1934"/>
      <c r="Z646" s="1280"/>
    </row>
    <row r="647" spans="1:26" x14ac:dyDescent="0.6">
      <c r="A647" s="1280"/>
      <c r="N647" s="1934"/>
      <c r="O647" s="1934"/>
      <c r="Z647" s="1280"/>
    </row>
    <row r="648" spans="1:26" x14ac:dyDescent="0.6">
      <c r="A648" s="1280"/>
      <c r="N648" s="1934"/>
      <c r="O648" s="1934"/>
      <c r="Z648" s="1280"/>
    </row>
    <row r="649" spans="1:26" x14ac:dyDescent="0.6">
      <c r="A649" s="1280"/>
      <c r="N649" s="1934"/>
      <c r="O649" s="1934"/>
      <c r="Z649" s="1280"/>
    </row>
    <row r="650" spans="1:26" x14ac:dyDescent="0.6">
      <c r="A650" s="1280"/>
      <c r="N650" s="1934"/>
      <c r="O650" s="1934"/>
      <c r="Z650" s="1280"/>
    </row>
    <row r="651" spans="1:26" x14ac:dyDescent="0.6">
      <c r="A651" s="1280"/>
      <c r="N651" s="1934"/>
      <c r="O651" s="1934"/>
      <c r="Z651" s="1280"/>
    </row>
    <row r="652" spans="1:26" x14ac:dyDescent="0.6">
      <c r="A652" s="1280"/>
      <c r="N652" s="1934"/>
      <c r="O652" s="1934"/>
      <c r="Z652" s="1280"/>
    </row>
    <row r="653" spans="1:26" x14ac:dyDescent="0.6">
      <c r="A653" s="1280"/>
      <c r="N653" s="1934"/>
      <c r="O653" s="1934"/>
      <c r="Z653" s="1280"/>
    </row>
    <row r="654" spans="1:26" x14ac:dyDescent="0.6">
      <c r="A654" s="1280"/>
      <c r="N654" s="1934"/>
      <c r="O654" s="1934"/>
      <c r="Z654" s="1280"/>
    </row>
    <row r="655" spans="1:26" x14ac:dyDescent="0.6">
      <c r="A655" s="1280"/>
      <c r="N655" s="1934"/>
      <c r="O655" s="1934"/>
      <c r="Z655" s="1280"/>
    </row>
    <row r="656" spans="1:26" x14ac:dyDescent="0.6">
      <c r="A656" s="1280"/>
      <c r="N656" s="1934"/>
      <c r="O656" s="1934"/>
      <c r="Z656" s="1280"/>
    </row>
    <row r="657" spans="1:26" x14ac:dyDescent="0.6">
      <c r="A657" s="1280"/>
      <c r="N657" s="1934"/>
      <c r="O657" s="1934"/>
      <c r="Z657" s="1280"/>
    </row>
    <row r="658" spans="1:26" x14ac:dyDescent="0.6">
      <c r="A658" s="1280"/>
      <c r="N658" s="1934"/>
      <c r="O658" s="1934"/>
      <c r="Z658" s="1280"/>
    </row>
    <row r="659" spans="1:26" x14ac:dyDescent="0.6">
      <c r="A659" s="1280"/>
      <c r="N659" s="1934"/>
      <c r="O659" s="1934"/>
      <c r="Z659" s="1280"/>
    </row>
    <row r="660" spans="1:26" x14ac:dyDescent="0.6">
      <c r="A660" s="1280"/>
      <c r="N660" s="1934"/>
      <c r="O660" s="1934"/>
      <c r="Z660" s="1280"/>
    </row>
    <row r="661" spans="1:26" x14ac:dyDescent="0.6">
      <c r="A661" s="1280"/>
      <c r="N661" s="1934"/>
      <c r="O661" s="1934"/>
      <c r="Z661" s="1280"/>
    </row>
    <row r="662" spans="1:26" x14ac:dyDescent="0.6">
      <c r="A662" s="1280"/>
      <c r="N662" s="1934"/>
      <c r="O662" s="1934"/>
      <c r="Z662" s="1280"/>
    </row>
    <row r="663" spans="1:26" x14ac:dyDescent="0.6">
      <c r="A663" s="1280"/>
      <c r="N663" s="1934"/>
      <c r="O663" s="1934"/>
      <c r="Z663" s="1280"/>
    </row>
    <row r="664" spans="1:26" x14ac:dyDescent="0.6">
      <c r="A664" s="1280"/>
      <c r="N664" s="1934"/>
      <c r="O664" s="1934"/>
      <c r="Z664" s="1280"/>
    </row>
    <row r="665" spans="1:26" x14ac:dyDescent="0.6">
      <c r="A665" s="1280"/>
      <c r="N665" s="1934"/>
      <c r="O665" s="1934"/>
      <c r="Z665" s="1280"/>
    </row>
    <row r="666" spans="1:26" x14ac:dyDescent="0.6">
      <c r="A666" s="1280"/>
      <c r="N666" s="1934"/>
      <c r="O666" s="1934"/>
      <c r="Z666" s="1280"/>
    </row>
    <row r="667" spans="1:26" x14ac:dyDescent="0.6">
      <c r="A667" s="1280"/>
      <c r="N667" s="1934"/>
      <c r="O667" s="1934"/>
      <c r="Z667" s="1280"/>
    </row>
    <row r="668" spans="1:26" x14ac:dyDescent="0.6">
      <c r="A668" s="1280"/>
      <c r="N668" s="1934"/>
      <c r="O668" s="1934"/>
      <c r="Z668" s="1280"/>
    </row>
    <row r="669" spans="1:26" x14ac:dyDescent="0.6">
      <c r="A669" s="1280"/>
      <c r="N669" s="1934"/>
      <c r="O669" s="1934"/>
      <c r="Z669" s="1280"/>
    </row>
    <row r="670" spans="1:26" x14ac:dyDescent="0.6">
      <c r="A670" s="1280"/>
      <c r="N670" s="1934"/>
      <c r="O670" s="1934"/>
      <c r="Z670" s="1280"/>
    </row>
    <row r="671" spans="1:26" x14ac:dyDescent="0.6">
      <c r="A671" s="1280"/>
      <c r="N671" s="1934"/>
      <c r="O671" s="1934"/>
      <c r="Z671" s="1280"/>
    </row>
    <row r="672" spans="1:26" x14ac:dyDescent="0.6">
      <c r="A672" s="1280"/>
      <c r="N672" s="1934"/>
      <c r="O672" s="1934"/>
      <c r="Z672" s="1280"/>
    </row>
    <row r="673" spans="1:26" x14ac:dyDescent="0.6">
      <c r="A673" s="1280"/>
      <c r="N673" s="1934"/>
      <c r="O673" s="1934"/>
      <c r="Z673" s="1280"/>
    </row>
    <row r="674" spans="1:26" x14ac:dyDescent="0.6">
      <c r="A674" s="1280"/>
      <c r="N674" s="1934"/>
      <c r="O674" s="1934"/>
      <c r="Z674" s="1280"/>
    </row>
    <row r="675" spans="1:26" x14ac:dyDescent="0.6">
      <c r="A675" s="1280"/>
      <c r="N675" s="1934"/>
      <c r="O675" s="1934"/>
      <c r="Z675" s="1280"/>
    </row>
    <row r="676" spans="1:26" x14ac:dyDescent="0.6">
      <c r="A676" s="1280"/>
      <c r="N676" s="1934"/>
      <c r="O676" s="1934"/>
      <c r="Z676" s="1280"/>
    </row>
    <row r="677" spans="1:26" x14ac:dyDescent="0.6">
      <c r="A677" s="1280"/>
      <c r="N677" s="1934"/>
      <c r="O677" s="1934"/>
      <c r="Z677" s="1280"/>
    </row>
    <row r="678" spans="1:26" x14ac:dyDescent="0.6">
      <c r="A678" s="1280"/>
      <c r="N678" s="1934"/>
      <c r="O678" s="1934"/>
      <c r="Z678" s="1280"/>
    </row>
    <row r="679" spans="1:26" x14ac:dyDescent="0.6">
      <c r="A679" s="1280"/>
      <c r="N679" s="1934"/>
      <c r="O679" s="1934"/>
      <c r="Z679" s="1280"/>
    </row>
    <row r="680" spans="1:26" x14ac:dyDescent="0.6">
      <c r="A680" s="1280"/>
      <c r="N680" s="1934"/>
      <c r="O680" s="1934"/>
      <c r="Z680" s="1280"/>
    </row>
    <row r="681" spans="1:26" x14ac:dyDescent="0.6">
      <c r="A681" s="1280"/>
      <c r="N681" s="1934"/>
      <c r="O681" s="1934"/>
      <c r="Z681" s="1280"/>
    </row>
    <row r="682" spans="1:26" x14ac:dyDescent="0.6">
      <c r="A682" s="1280"/>
      <c r="N682" s="1934"/>
      <c r="O682" s="1934"/>
      <c r="Z682" s="1280"/>
    </row>
    <row r="683" spans="1:26" x14ac:dyDescent="0.6">
      <c r="A683" s="1280"/>
      <c r="N683" s="1934"/>
      <c r="O683" s="1934"/>
      <c r="Z683" s="1280"/>
    </row>
    <row r="684" spans="1:26" x14ac:dyDescent="0.6">
      <c r="A684" s="1280"/>
      <c r="N684" s="1934"/>
      <c r="O684" s="1934"/>
      <c r="Z684" s="1280"/>
    </row>
    <row r="685" spans="1:26" x14ac:dyDescent="0.6">
      <c r="A685" s="1280"/>
      <c r="N685" s="1934"/>
      <c r="O685" s="1934"/>
      <c r="Z685" s="1280"/>
    </row>
    <row r="686" spans="1:26" x14ac:dyDescent="0.6">
      <c r="A686" s="1280"/>
      <c r="N686" s="1934"/>
      <c r="O686" s="1934"/>
      <c r="Z686" s="1280"/>
    </row>
    <row r="687" spans="1:26" x14ac:dyDescent="0.6">
      <c r="A687" s="1280"/>
      <c r="N687" s="1934"/>
      <c r="O687" s="1934"/>
      <c r="Z687" s="1280"/>
    </row>
    <row r="688" spans="1:26" x14ac:dyDescent="0.6">
      <c r="A688" s="1280"/>
      <c r="N688" s="1934"/>
      <c r="O688" s="1934"/>
      <c r="Z688" s="1280"/>
    </row>
    <row r="689" spans="1:26" x14ac:dyDescent="0.6">
      <c r="A689" s="1280"/>
      <c r="N689" s="1934"/>
      <c r="O689" s="1934"/>
      <c r="Z689" s="1280"/>
    </row>
    <row r="690" spans="1:26" x14ac:dyDescent="0.6">
      <c r="A690" s="1280"/>
      <c r="N690" s="1934"/>
      <c r="O690" s="1934"/>
      <c r="Z690" s="1280"/>
    </row>
    <row r="691" spans="1:26" x14ac:dyDescent="0.6">
      <c r="A691" s="1280"/>
      <c r="N691" s="1934"/>
      <c r="O691" s="1934"/>
      <c r="Z691" s="1280"/>
    </row>
    <row r="692" spans="1:26" x14ac:dyDescent="0.6">
      <c r="A692" s="1280"/>
      <c r="N692" s="1934"/>
      <c r="O692" s="1934"/>
      <c r="Z692" s="1280"/>
    </row>
    <row r="693" spans="1:26" x14ac:dyDescent="0.6">
      <c r="A693" s="1280"/>
      <c r="N693" s="1934"/>
      <c r="O693" s="1934"/>
      <c r="Z693" s="1280"/>
    </row>
    <row r="694" spans="1:26" x14ac:dyDescent="0.6">
      <c r="A694" s="1280"/>
      <c r="N694" s="1934"/>
      <c r="O694" s="1934"/>
      <c r="Z694" s="1280"/>
    </row>
    <row r="695" spans="1:26" x14ac:dyDescent="0.6">
      <c r="A695" s="1280"/>
      <c r="N695" s="1934"/>
      <c r="O695" s="1934"/>
      <c r="Z695" s="1280"/>
    </row>
    <row r="696" spans="1:26" x14ac:dyDescent="0.6">
      <c r="A696" s="1280"/>
      <c r="N696" s="1934"/>
      <c r="O696" s="1934"/>
      <c r="Z696" s="1280"/>
    </row>
    <row r="697" spans="1:26" x14ac:dyDescent="0.6">
      <c r="A697" s="1280"/>
      <c r="N697" s="1934"/>
      <c r="O697" s="1934"/>
      <c r="Z697" s="1280"/>
    </row>
    <row r="698" spans="1:26" x14ac:dyDescent="0.6">
      <c r="A698" s="1280"/>
      <c r="N698" s="1934"/>
      <c r="O698" s="1934"/>
      <c r="Z698" s="1280"/>
    </row>
    <row r="699" spans="1:26" x14ac:dyDescent="0.6">
      <c r="A699" s="1280"/>
      <c r="N699" s="1934"/>
      <c r="O699" s="1934"/>
      <c r="Z699" s="1280"/>
    </row>
    <row r="700" spans="1:26" x14ac:dyDescent="0.6">
      <c r="A700" s="1280"/>
      <c r="N700" s="1934"/>
      <c r="O700" s="1934"/>
      <c r="Z700" s="1280"/>
    </row>
    <row r="701" spans="1:26" x14ac:dyDescent="0.6">
      <c r="A701" s="1280"/>
      <c r="N701" s="1934"/>
      <c r="O701" s="1934"/>
      <c r="Z701" s="1280"/>
    </row>
    <row r="702" spans="1:26" x14ac:dyDescent="0.6">
      <c r="A702" s="1280"/>
      <c r="N702" s="1934"/>
      <c r="O702" s="1934"/>
      <c r="Z702" s="1280"/>
    </row>
    <row r="703" spans="1:26" x14ac:dyDescent="0.6">
      <c r="A703" s="1280"/>
      <c r="N703" s="1934"/>
      <c r="O703" s="1934"/>
      <c r="Z703" s="1280"/>
    </row>
    <row r="704" spans="1:26" x14ac:dyDescent="0.6">
      <c r="A704" s="1280"/>
      <c r="N704" s="1934"/>
      <c r="O704" s="1934"/>
      <c r="Z704" s="1280"/>
    </row>
    <row r="705" spans="1:26" x14ac:dyDescent="0.6">
      <c r="A705" s="1280"/>
      <c r="N705" s="1934"/>
      <c r="O705" s="1934"/>
      <c r="Z705" s="1280"/>
    </row>
    <row r="706" spans="1:26" x14ac:dyDescent="0.6">
      <c r="A706" s="1280"/>
      <c r="N706" s="1934"/>
      <c r="O706" s="1934"/>
      <c r="Z706" s="1280"/>
    </row>
    <row r="707" spans="1:26" x14ac:dyDescent="0.6">
      <c r="A707" s="1280"/>
      <c r="N707" s="1934"/>
      <c r="O707" s="1934"/>
      <c r="Z707" s="1280"/>
    </row>
    <row r="708" spans="1:26" x14ac:dyDescent="0.6">
      <c r="A708" s="1280"/>
      <c r="N708" s="1934"/>
      <c r="O708" s="1934"/>
      <c r="Z708" s="1280"/>
    </row>
    <row r="709" spans="1:26" x14ac:dyDescent="0.6">
      <c r="A709" s="1280"/>
      <c r="N709" s="1934"/>
      <c r="O709" s="1934"/>
      <c r="Z709" s="1280"/>
    </row>
    <row r="710" spans="1:26" x14ac:dyDescent="0.6">
      <c r="A710" s="1280"/>
      <c r="N710" s="1934"/>
      <c r="O710" s="1934"/>
      <c r="Z710" s="1280"/>
    </row>
    <row r="711" spans="1:26" x14ac:dyDescent="0.6">
      <c r="A711" s="1280"/>
      <c r="N711" s="1934"/>
      <c r="O711" s="1934"/>
      <c r="Z711" s="1280"/>
    </row>
    <row r="712" spans="1:26" x14ac:dyDescent="0.6">
      <c r="A712" s="1280"/>
      <c r="N712" s="1934"/>
      <c r="O712" s="1934"/>
      <c r="Z712" s="1280"/>
    </row>
    <row r="713" spans="1:26" x14ac:dyDescent="0.6">
      <c r="A713" s="1280"/>
      <c r="N713" s="1934"/>
      <c r="O713" s="1934"/>
      <c r="Z713" s="1280"/>
    </row>
    <row r="714" spans="1:26" x14ac:dyDescent="0.6">
      <c r="A714" s="1280"/>
      <c r="N714" s="1934"/>
      <c r="O714" s="1934"/>
      <c r="Z714" s="1280"/>
    </row>
    <row r="715" spans="1:26" x14ac:dyDescent="0.6">
      <c r="A715" s="1280"/>
      <c r="N715" s="1934"/>
      <c r="O715" s="1934"/>
      <c r="Z715" s="1280"/>
    </row>
    <row r="716" spans="1:26" x14ac:dyDescent="0.6">
      <c r="A716" s="1280"/>
      <c r="N716" s="1934"/>
      <c r="O716" s="1934"/>
      <c r="Z716" s="1280"/>
    </row>
    <row r="717" spans="1:26" x14ac:dyDescent="0.6">
      <c r="A717" s="1280"/>
      <c r="N717" s="1934"/>
      <c r="O717" s="1934"/>
      <c r="Z717" s="1280"/>
    </row>
    <row r="718" spans="1:26" x14ac:dyDescent="0.6">
      <c r="A718" s="1280"/>
      <c r="N718" s="1934"/>
      <c r="O718" s="1934"/>
      <c r="Z718" s="1280"/>
    </row>
    <row r="719" spans="1:26" x14ac:dyDescent="0.6">
      <c r="A719" s="1280"/>
      <c r="N719" s="1934"/>
      <c r="O719" s="1934"/>
      <c r="Z719" s="1280"/>
    </row>
    <row r="720" spans="1:26" x14ac:dyDescent="0.6">
      <c r="A720" s="1280"/>
      <c r="N720" s="1934"/>
      <c r="O720" s="1934"/>
      <c r="Z720" s="1280"/>
    </row>
    <row r="721" spans="1:26" x14ac:dyDescent="0.6">
      <c r="A721" s="1280"/>
      <c r="N721" s="1934"/>
      <c r="O721" s="1934"/>
      <c r="Z721" s="1280"/>
    </row>
    <row r="722" spans="1:26" x14ac:dyDescent="0.6">
      <c r="A722" s="1280"/>
      <c r="N722" s="1934"/>
      <c r="O722" s="1934"/>
      <c r="Z722" s="1280"/>
    </row>
    <row r="723" spans="1:26" x14ac:dyDescent="0.6">
      <c r="A723" s="1280"/>
      <c r="N723" s="1934"/>
      <c r="O723" s="1934"/>
      <c r="Z723" s="1280"/>
    </row>
    <row r="724" spans="1:26" x14ac:dyDescent="0.6">
      <c r="A724" s="1280"/>
      <c r="N724" s="1934"/>
      <c r="O724" s="1934"/>
      <c r="Z724" s="1280"/>
    </row>
    <row r="725" spans="1:26" x14ac:dyDescent="0.6">
      <c r="A725" s="1280"/>
      <c r="N725" s="1934"/>
      <c r="O725" s="1934"/>
      <c r="Z725" s="1280"/>
    </row>
    <row r="726" spans="1:26" x14ac:dyDescent="0.6">
      <c r="A726" s="1280"/>
      <c r="N726" s="1934"/>
      <c r="O726" s="1934"/>
      <c r="Z726" s="1280"/>
    </row>
    <row r="727" spans="1:26" x14ac:dyDescent="0.6">
      <c r="A727" s="1280"/>
      <c r="N727" s="1934"/>
      <c r="O727" s="1934"/>
      <c r="Z727" s="1280"/>
    </row>
    <row r="728" spans="1:26" x14ac:dyDescent="0.6">
      <c r="A728" s="1280"/>
      <c r="N728" s="1934"/>
      <c r="O728" s="1934"/>
      <c r="Z728" s="1280"/>
    </row>
    <row r="729" spans="1:26" x14ac:dyDescent="0.6">
      <c r="A729" s="1280"/>
      <c r="N729" s="1934"/>
      <c r="O729" s="1934"/>
      <c r="Z729" s="1280"/>
    </row>
    <row r="730" spans="1:26" x14ac:dyDescent="0.6">
      <c r="A730" s="1280"/>
      <c r="N730" s="1934"/>
      <c r="O730" s="1934"/>
      <c r="Z730" s="1280"/>
    </row>
    <row r="731" spans="1:26" x14ac:dyDescent="0.6">
      <c r="A731" s="1280"/>
      <c r="N731" s="1934"/>
      <c r="O731" s="1934"/>
      <c r="Z731" s="1280"/>
    </row>
    <row r="732" spans="1:26" x14ac:dyDescent="0.6">
      <c r="A732" s="1280"/>
      <c r="N732" s="1934"/>
      <c r="O732" s="1934"/>
      <c r="Z732" s="1280"/>
    </row>
    <row r="733" spans="1:26" x14ac:dyDescent="0.6">
      <c r="A733" s="1280"/>
      <c r="N733" s="1934"/>
      <c r="O733" s="1934"/>
      <c r="Z733" s="1280"/>
    </row>
    <row r="734" spans="1:26" x14ac:dyDescent="0.6">
      <c r="A734" s="1280"/>
      <c r="N734" s="1934"/>
      <c r="O734" s="1934"/>
      <c r="Z734" s="1280"/>
    </row>
    <row r="735" spans="1:26" x14ac:dyDescent="0.6">
      <c r="A735" s="1280"/>
      <c r="N735" s="1934"/>
      <c r="O735" s="1934"/>
      <c r="Z735" s="1280"/>
    </row>
    <row r="736" spans="1:26" x14ac:dyDescent="0.6">
      <c r="A736" s="1280"/>
      <c r="N736" s="1934"/>
      <c r="O736" s="1934"/>
      <c r="Z736" s="1280"/>
    </row>
    <row r="737" spans="1:26" x14ac:dyDescent="0.6">
      <c r="A737" s="1280"/>
      <c r="N737" s="1934"/>
      <c r="O737" s="1934"/>
      <c r="Z737" s="1280"/>
    </row>
    <row r="738" spans="1:26" x14ac:dyDescent="0.6">
      <c r="A738" s="1280"/>
      <c r="N738" s="1934"/>
      <c r="O738" s="1934"/>
      <c r="Z738" s="1280"/>
    </row>
  </sheetData>
  <protectedRanges>
    <protectedRange password="CC6F" sqref="B10:B15" name="ช่วง1_5_1_5_1_1_1_2"/>
    <protectedRange password="CC6F" sqref="B8" name="ช่วง1_5_1_5_1_1_1_1_2"/>
    <protectedRange password="CC6F" sqref="B9" name="ช่วง1_5_1_5_1_1_5_2"/>
    <protectedRange password="CC6F" sqref="B18:B21" name="ช่วง1_5_1_5_1_1_1_1_1"/>
    <protectedRange password="CC6F" sqref="B22" name="ช่วง1_5_1_5_1_1_5_1"/>
    <protectedRange password="CC6F" sqref="B23:B24 B33" name="ช่วง1_5_1_5_1_1_2"/>
    <protectedRange password="CC6F" sqref="B34" name="ช่วง1_5_1_5_1_1_1_3"/>
    <protectedRange password="CC6F" sqref="B35" name="ช่วง1_5_1_5_1_1_4_1"/>
    <protectedRange password="CC6F" sqref="B36:B41 B43:B44" name="ช่วง1_5_1_5_1_1_1_1_3"/>
    <protectedRange password="CC6F" sqref="B42" name="ช่วง1_5_1_5_1_1_4_1_1"/>
    <protectedRange password="CC6F" sqref="B25:B26 B29:B32" name="ช่วง1_5_1_5_1_1_1_1"/>
    <protectedRange password="CC6F" sqref="B28" name="ช่วง1_5_1_5_1_1_4_2"/>
    <protectedRange password="CC6F" sqref="B27" name="ช่วง1_5_1_5_1_1_5"/>
  </protectedRanges>
  <mergeCells count="18">
    <mergeCell ref="X6:X7"/>
    <mergeCell ref="A45:C45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28" firstPageNumber="3" fitToHeight="0" orientation="portrait" useFirstPageNumber="1" r:id="rId1"/>
  <headerFooter scaleWithDoc="0" alignWithMargins="0">
    <oddFooter>&amp;Cหน้าที่ 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D9DA-103C-4D87-ACA5-2500ED017DB1}">
  <sheetPr>
    <pageSetUpPr fitToPage="1"/>
  </sheetPr>
  <dimension ref="A1:AB711"/>
  <sheetViews>
    <sheetView topLeftCell="J1" zoomScaleNormal="100" zoomScaleSheetLayoutView="90" workbookViewId="0">
      <selection activeCell="A17" sqref="A17"/>
    </sheetView>
  </sheetViews>
  <sheetFormatPr defaultColWidth="9" defaultRowHeight="21" x14ac:dyDescent="0.6"/>
  <cols>
    <col min="1" max="1" width="4.5" style="1399" customWidth="1"/>
    <col min="2" max="2" width="24.8984375" style="1939" customWidth="1"/>
    <col min="3" max="3" width="4.5" style="1280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2.5" style="1406" customWidth="1"/>
    <col min="15" max="15" width="11.8984375" style="1460" customWidth="1"/>
    <col min="16" max="16" width="11.09765625" style="1288" customWidth="1"/>
    <col min="17" max="17" width="12.59765625" style="1288" customWidth="1"/>
    <col min="18" max="18" width="11.09765625" style="1288" hidden="1" customWidth="1"/>
    <col min="19" max="19" width="11.09765625" style="1288" customWidth="1"/>
    <col min="20" max="20" width="11.09765625" style="1288" hidden="1" customWidth="1"/>
    <col min="21" max="21" width="11.09765625" style="1288" customWidth="1"/>
    <col min="22" max="22" width="11.09765625" style="1288" hidden="1" customWidth="1"/>
    <col min="23" max="23" width="11.09765625" style="1288" customWidth="1"/>
    <col min="24" max="24" width="11.09765625" style="1290" customWidth="1"/>
    <col min="25" max="25" width="12.1992187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8" x14ac:dyDescent="0.6">
      <c r="A1" s="1937" t="s">
        <v>9085</v>
      </c>
      <c r="B1" s="1938"/>
      <c r="C1" s="1938"/>
      <c r="D1" s="1938"/>
      <c r="E1" s="1938"/>
      <c r="F1" s="1938"/>
      <c r="G1" s="1938"/>
      <c r="H1" s="1938"/>
      <c r="I1" s="1938"/>
      <c r="J1" s="1938"/>
      <c r="K1" s="1938"/>
      <c r="L1" s="1938"/>
      <c r="M1" s="1938"/>
      <c r="N1" s="1938"/>
      <c r="O1" s="1938"/>
      <c r="P1" s="1938"/>
      <c r="Q1" s="1938"/>
      <c r="R1" s="1938"/>
      <c r="S1" s="1938"/>
      <c r="T1" s="1938"/>
      <c r="U1" s="1938"/>
      <c r="V1" s="1938"/>
      <c r="W1" s="1938"/>
      <c r="X1" s="1938"/>
      <c r="Y1" s="1938"/>
      <c r="Z1" s="1938"/>
      <c r="AA1" s="1938"/>
    </row>
    <row r="2" spans="1:28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8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8" x14ac:dyDescent="0.6">
      <c r="A4" s="1408" t="s">
        <v>2185</v>
      </c>
      <c r="B4" s="1408" t="s">
        <v>9086</v>
      </c>
      <c r="C4" s="1424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8" x14ac:dyDescent="0.6">
      <c r="A5" s="1417"/>
      <c r="B5" s="1417"/>
      <c r="C5" s="1424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8" x14ac:dyDescent="0.6">
      <c r="A6" s="1417"/>
      <c r="B6" s="1417"/>
      <c r="C6" s="1424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8" x14ac:dyDescent="0.6">
      <c r="A7" s="1425"/>
      <c r="B7" s="1425"/>
      <c r="C7" s="1424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8" s="1359" customFormat="1" ht="20.25" customHeight="1" x14ac:dyDescent="0.6">
      <c r="A8" s="1279">
        <v>1</v>
      </c>
      <c r="B8" s="1203" t="s">
        <v>7703</v>
      </c>
      <c r="C8" s="1369" t="s">
        <v>8907</v>
      </c>
      <c r="D8" s="1920">
        <v>0</v>
      </c>
      <c r="E8" s="1378">
        <v>0</v>
      </c>
      <c r="F8" s="1920">
        <v>0</v>
      </c>
      <c r="G8" s="1378">
        <v>0</v>
      </c>
      <c r="H8" s="1345">
        <v>0</v>
      </c>
      <c r="I8" s="1345">
        <v>0</v>
      </c>
      <c r="J8" s="1652">
        <v>1</v>
      </c>
      <c r="K8" s="1653">
        <v>0</v>
      </c>
      <c r="L8" s="1344">
        <v>0</v>
      </c>
      <c r="M8" s="1204">
        <v>1</v>
      </c>
      <c r="N8" s="1205">
        <v>1311000</v>
      </c>
      <c r="O8" s="1346">
        <f t="shared" ref="O8:O17" si="0">M8*N8</f>
        <v>1311000</v>
      </c>
      <c r="P8" s="1345">
        <v>1</v>
      </c>
      <c r="Q8" s="1482">
        <f t="shared" ref="Q8:Q17" si="1">P8*N8</f>
        <v>1311000</v>
      </c>
      <c r="R8" s="1344">
        <v>0</v>
      </c>
      <c r="S8" s="1483">
        <f t="shared" ref="S8:S15" si="2">R8*N8</f>
        <v>0</v>
      </c>
      <c r="T8" s="1345">
        <v>0</v>
      </c>
      <c r="U8" s="1483">
        <f t="shared" ref="U8:U15" si="3">T8*N8</f>
        <v>0</v>
      </c>
      <c r="V8" s="1344">
        <v>0</v>
      </c>
      <c r="W8" s="1483">
        <f t="shared" ref="W8:W15" si="4">V8*N8</f>
        <v>0</v>
      </c>
      <c r="X8" s="1345">
        <f>P8+R8+T8+V8</f>
        <v>1</v>
      </c>
      <c r="Y8" s="1345">
        <f>X8*N8</f>
        <v>1311000</v>
      </c>
      <c r="Z8" s="1357" t="s">
        <v>7636</v>
      </c>
      <c r="AA8" s="1358" t="s">
        <v>6531</v>
      </c>
    </row>
    <row r="9" spans="1:28" s="1359" customFormat="1" ht="20.25" customHeight="1" x14ac:dyDescent="0.6">
      <c r="A9" s="1279">
        <v>2</v>
      </c>
      <c r="B9" s="1203" t="s">
        <v>7704</v>
      </c>
      <c r="C9" s="1369" t="s">
        <v>8907</v>
      </c>
      <c r="D9" s="1920">
        <v>0</v>
      </c>
      <c r="E9" s="1378">
        <v>0</v>
      </c>
      <c r="F9" s="1920">
        <v>0</v>
      </c>
      <c r="G9" s="1378">
        <v>0</v>
      </c>
      <c r="H9" s="1345">
        <v>0</v>
      </c>
      <c r="I9" s="1345">
        <v>0</v>
      </c>
      <c r="J9" s="1652">
        <v>1</v>
      </c>
      <c r="K9" s="1653">
        <v>0</v>
      </c>
      <c r="L9" s="1344">
        <v>0</v>
      </c>
      <c r="M9" s="1204">
        <v>1</v>
      </c>
      <c r="N9" s="1205">
        <v>1500000</v>
      </c>
      <c r="O9" s="1346">
        <f t="shared" si="0"/>
        <v>1500000</v>
      </c>
      <c r="P9" s="1345">
        <v>1</v>
      </c>
      <c r="Q9" s="1482">
        <f t="shared" si="1"/>
        <v>1500000</v>
      </c>
      <c r="R9" s="1344">
        <v>0</v>
      </c>
      <c r="S9" s="1483">
        <f t="shared" si="2"/>
        <v>0</v>
      </c>
      <c r="T9" s="1345">
        <v>0</v>
      </c>
      <c r="U9" s="1483">
        <f t="shared" si="3"/>
        <v>0</v>
      </c>
      <c r="V9" s="1344">
        <v>0</v>
      </c>
      <c r="W9" s="1483">
        <f t="shared" si="4"/>
        <v>0</v>
      </c>
      <c r="X9" s="1345">
        <f>P9+R9+T9+V9</f>
        <v>1</v>
      </c>
      <c r="Y9" s="1345">
        <f>X9*N9</f>
        <v>1500000</v>
      </c>
      <c r="Z9" s="1357" t="s">
        <v>7636</v>
      </c>
      <c r="AA9" s="1358" t="s">
        <v>6531</v>
      </c>
    </row>
    <row r="10" spans="1:28" s="1359" customFormat="1" ht="20.25" customHeight="1" x14ac:dyDescent="0.6">
      <c r="A10" s="1279">
        <v>3</v>
      </c>
      <c r="B10" s="1210" t="s">
        <v>7705</v>
      </c>
      <c r="C10" s="1369" t="s">
        <v>8907</v>
      </c>
      <c r="D10" s="1920">
        <v>0</v>
      </c>
      <c r="E10" s="1378">
        <v>0</v>
      </c>
      <c r="F10" s="1920">
        <v>0</v>
      </c>
      <c r="G10" s="1378">
        <v>0</v>
      </c>
      <c r="H10" s="1345">
        <v>0</v>
      </c>
      <c r="I10" s="1345">
        <v>0</v>
      </c>
      <c r="J10" s="1652">
        <v>1</v>
      </c>
      <c r="K10" s="1653">
        <v>0</v>
      </c>
      <c r="L10" s="1344">
        <v>0</v>
      </c>
      <c r="M10" s="1204">
        <v>1</v>
      </c>
      <c r="N10" s="1205">
        <v>1500000</v>
      </c>
      <c r="O10" s="1346">
        <f t="shared" si="0"/>
        <v>1500000</v>
      </c>
      <c r="P10" s="1345">
        <v>1</v>
      </c>
      <c r="Q10" s="1482">
        <f t="shared" si="1"/>
        <v>1500000</v>
      </c>
      <c r="R10" s="1344">
        <v>0</v>
      </c>
      <c r="S10" s="1483">
        <f t="shared" si="2"/>
        <v>0</v>
      </c>
      <c r="T10" s="1345">
        <v>0</v>
      </c>
      <c r="U10" s="1483">
        <f t="shared" si="3"/>
        <v>0</v>
      </c>
      <c r="V10" s="1344">
        <v>0</v>
      </c>
      <c r="W10" s="1483">
        <f t="shared" si="4"/>
        <v>0</v>
      </c>
      <c r="X10" s="1345">
        <f t="shared" ref="X10:X17" si="5">P10+R10+T10+V10</f>
        <v>1</v>
      </c>
      <c r="Y10" s="1345">
        <f t="shared" ref="Y10:Y17" si="6">X10*N10</f>
        <v>1500000</v>
      </c>
      <c r="Z10" s="1357" t="s">
        <v>7636</v>
      </c>
      <c r="AA10" s="1358" t="s">
        <v>6531</v>
      </c>
    </row>
    <row r="11" spans="1:28" s="1359" customFormat="1" ht="20.25" customHeight="1" x14ac:dyDescent="0.25">
      <c r="A11" s="1279">
        <v>4</v>
      </c>
      <c r="B11" s="1211" t="s">
        <v>7706</v>
      </c>
      <c r="C11" s="1369" t="s">
        <v>8907</v>
      </c>
      <c r="D11" s="1920">
        <v>0</v>
      </c>
      <c r="E11" s="1378">
        <v>0</v>
      </c>
      <c r="F11" s="1920">
        <v>0</v>
      </c>
      <c r="G11" s="1378">
        <v>0</v>
      </c>
      <c r="H11" s="1345">
        <v>0</v>
      </c>
      <c r="I11" s="1345">
        <v>0</v>
      </c>
      <c r="J11" s="1652">
        <v>1</v>
      </c>
      <c r="K11" s="1653">
        <v>0</v>
      </c>
      <c r="L11" s="1344">
        <v>0</v>
      </c>
      <c r="M11" s="1204">
        <v>1</v>
      </c>
      <c r="N11" s="1205">
        <v>1500000</v>
      </c>
      <c r="O11" s="1346">
        <f t="shared" si="0"/>
        <v>1500000</v>
      </c>
      <c r="P11" s="1345">
        <v>1</v>
      </c>
      <c r="Q11" s="1482">
        <f t="shared" si="1"/>
        <v>1500000</v>
      </c>
      <c r="R11" s="1344">
        <v>0</v>
      </c>
      <c r="S11" s="1483">
        <f t="shared" si="2"/>
        <v>0</v>
      </c>
      <c r="T11" s="1345">
        <v>0</v>
      </c>
      <c r="U11" s="1483">
        <f t="shared" si="3"/>
        <v>0</v>
      </c>
      <c r="V11" s="1344">
        <v>0</v>
      </c>
      <c r="W11" s="1483">
        <f t="shared" si="4"/>
        <v>0</v>
      </c>
      <c r="X11" s="1345">
        <f t="shared" si="5"/>
        <v>1</v>
      </c>
      <c r="Y11" s="1345">
        <f t="shared" si="6"/>
        <v>1500000</v>
      </c>
      <c r="Z11" s="1357" t="s">
        <v>7636</v>
      </c>
      <c r="AA11" s="1358" t="s">
        <v>6531</v>
      </c>
    </row>
    <row r="12" spans="1:28" s="1359" customFormat="1" ht="20.25" customHeight="1" x14ac:dyDescent="0.25">
      <c r="A12" s="1279">
        <v>5</v>
      </c>
      <c r="B12" s="1211" t="s">
        <v>7707</v>
      </c>
      <c r="C12" s="1369" t="s">
        <v>8907</v>
      </c>
      <c r="D12" s="1920">
        <v>0</v>
      </c>
      <c r="E12" s="1378">
        <v>0</v>
      </c>
      <c r="F12" s="1920">
        <v>0</v>
      </c>
      <c r="G12" s="1378">
        <v>0</v>
      </c>
      <c r="H12" s="1345">
        <v>0</v>
      </c>
      <c r="I12" s="1345">
        <v>0</v>
      </c>
      <c r="J12" s="1652">
        <v>1</v>
      </c>
      <c r="K12" s="1653">
        <v>0</v>
      </c>
      <c r="L12" s="1344">
        <v>0</v>
      </c>
      <c r="M12" s="1204">
        <v>1</v>
      </c>
      <c r="N12" s="1205">
        <v>1500000</v>
      </c>
      <c r="O12" s="1346">
        <f t="shared" si="0"/>
        <v>1500000</v>
      </c>
      <c r="P12" s="1345">
        <v>1</v>
      </c>
      <c r="Q12" s="1482">
        <f t="shared" si="1"/>
        <v>1500000</v>
      </c>
      <c r="R12" s="1344">
        <v>0</v>
      </c>
      <c r="S12" s="1483">
        <f t="shared" si="2"/>
        <v>0</v>
      </c>
      <c r="T12" s="1345">
        <v>0</v>
      </c>
      <c r="U12" s="1483">
        <f t="shared" si="3"/>
        <v>0</v>
      </c>
      <c r="V12" s="1344">
        <v>0</v>
      </c>
      <c r="W12" s="1483">
        <f t="shared" si="4"/>
        <v>0</v>
      </c>
      <c r="X12" s="1345">
        <f t="shared" si="5"/>
        <v>1</v>
      </c>
      <c r="Y12" s="1345">
        <f t="shared" si="6"/>
        <v>1500000</v>
      </c>
      <c r="Z12" s="1357" t="s">
        <v>7636</v>
      </c>
      <c r="AA12" s="1358" t="s">
        <v>6531</v>
      </c>
    </row>
    <row r="13" spans="1:28" s="1359" customFormat="1" ht="20.25" customHeight="1" x14ac:dyDescent="0.25">
      <c r="A13" s="1279">
        <v>6</v>
      </c>
      <c r="B13" s="1211" t="s">
        <v>7708</v>
      </c>
      <c r="C13" s="1369" t="s">
        <v>8907</v>
      </c>
      <c r="D13" s="1920">
        <v>0</v>
      </c>
      <c r="E13" s="1378">
        <v>0</v>
      </c>
      <c r="F13" s="1920">
        <v>0</v>
      </c>
      <c r="G13" s="1378">
        <v>0</v>
      </c>
      <c r="H13" s="1345">
        <v>0</v>
      </c>
      <c r="I13" s="1345">
        <v>0</v>
      </c>
      <c r="J13" s="1652">
        <v>1</v>
      </c>
      <c r="K13" s="1653">
        <v>0</v>
      </c>
      <c r="L13" s="1344">
        <v>0</v>
      </c>
      <c r="M13" s="1204">
        <v>1</v>
      </c>
      <c r="N13" s="1205">
        <v>1500000</v>
      </c>
      <c r="O13" s="1346">
        <f t="shared" si="0"/>
        <v>1500000</v>
      </c>
      <c r="P13" s="1345">
        <v>1</v>
      </c>
      <c r="Q13" s="1482">
        <f t="shared" si="1"/>
        <v>1500000</v>
      </c>
      <c r="R13" s="1344">
        <v>0</v>
      </c>
      <c r="S13" s="1483">
        <f t="shared" si="2"/>
        <v>0</v>
      </c>
      <c r="T13" s="1345">
        <v>0</v>
      </c>
      <c r="U13" s="1483">
        <f t="shared" si="3"/>
        <v>0</v>
      </c>
      <c r="V13" s="1344">
        <v>0</v>
      </c>
      <c r="W13" s="1483">
        <f t="shared" si="4"/>
        <v>0</v>
      </c>
      <c r="X13" s="1345">
        <f t="shared" si="5"/>
        <v>1</v>
      </c>
      <c r="Y13" s="1345">
        <f t="shared" si="6"/>
        <v>1500000</v>
      </c>
      <c r="Z13" s="1357" t="s">
        <v>7636</v>
      </c>
      <c r="AA13" s="1358" t="s">
        <v>6531</v>
      </c>
    </row>
    <row r="14" spans="1:28" s="1359" customFormat="1" ht="20.25" customHeight="1" x14ac:dyDescent="0.25">
      <c r="A14" s="1279">
        <v>7</v>
      </c>
      <c r="B14" s="1211" t="s">
        <v>7709</v>
      </c>
      <c r="C14" s="1369" t="s">
        <v>8907</v>
      </c>
      <c r="D14" s="1920">
        <v>0</v>
      </c>
      <c r="E14" s="1378">
        <v>0</v>
      </c>
      <c r="F14" s="1920">
        <v>0</v>
      </c>
      <c r="G14" s="1378">
        <v>0</v>
      </c>
      <c r="H14" s="1345">
        <v>0</v>
      </c>
      <c r="I14" s="1345">
        <v>0</v>
      </c>
      <c r="J14" s="1652">
        <v>1</v>
      </c>
      <c r="K14" s="1653">
        <v>0</v>
      </c>
      <c r="L14" s="1344">
        <v>0</v>
      </c>
      <c r="M14" s="1204">
        <v>1</v>
      </c>
      <c r="N14" s="1205">
        <v>500000</v>
      </c>
      <c r="O14" s="1346">
        <f t="shared" si="0"/>
        <v>500000</v>
      </c>
      <c r="P14" s="1345">
        <v>1</v>
      </c>
      <c r="Q14" s="1482">
        <f t="shared" si="1"/>
        <v>500000</v>
      </c>
      <c r="R14" s="1344">
        <v>0</v>
      </c>
      <c r="S14" s="1483">
        <f t="shared" si="2"/>
        <v>0</v>
      </c>
      <c r="T14" s="1345">
        <v>0</v>
      </c>
      <c r="U14" s="1483">
        <f t="shared" si="3"/>
        <v>0</v>
      </c>
      <c r="V14" s="1344"/>
      <c r="W14" s="1483">
        <f t="shared" si="4"/>
        <v>0</v>
      </c>
      <c r="X14" s="1345">
        <f t="shared" si="5"/>
        <v>1</v>
      </c>
      <c r="Y14" s="1345">
        <f t="shared" si="6"/>
        <v>500000</v>
      </c>
      <c r="Z14" s="1357" t="s">
        <v>7636</v>
      </c>
      <c r="AA14" s="1358" t="s">
        <v>6531</v>
      </c>
    </row>
    <row r="15" spans="1:28" s="1359" customFormat="1" ht="37.5" customHeight="1" x14ac:dyDescent="0.25">
      <c r="A15" s="1279">
        <v>8</v>
      </c>
      <c r="B15" s="1211" t="s">
        <v>7710</v>
      </c>
      <c r="C15" s="1369" t="s">
        <v>8907</v>
      </c>
      <c r="D15" s="1920">
        <v>0</v>
      </c>
      <c r="E15" s="1378">
        <v>0</v>
      </c>
      <c r="F15" s="1920">
        <v>0</v>
      </c>
      <c r="G15" s="1378">
        <v>0</v>
      </c>
      <c r="H15" s="1345">
        <v>0</v>
      </c>
      <c r="I15" s="1345">
        <v>0</v>
      </c>
      <c r="J15" s="1652">
        <v>1</v>
      </c>
      <c r="K15" s="1653">
        <v>0</v>
      </c>
      <c r="L15" s="1344">
        <v>0</v>
      </c>
      <c r="M15" s="1204">
        <v>1</v>
      </c>
      <c r="N15" s="1205">
        <v>800000</v>
      </c>
      <c r="O15" s="1346">
        <f t="shared" si="0"/>
        <v>800000</v>
      </c>
      <c r="P15" s="1344">
        <v>1</v>
      </c>
      <c r="Q15" s="1482">
        <f t="shared" si="1"/>
        <v>800000</v>
      </c>
      <c r="R15" s="1344">
        <v>0</v>
      </c>
      <c r="S15" s="1483">
        <f t="shared" si="2"/>
        <v>0</v>
      </c>
      <c r="T15" s="1345">
        <v>0</v>
      </c>
      <c r="U15" s="1483">
        <f t="shared" si="3"/>
        <v>0</v>
      </c>
      <c r="V15" s="1345">
        <v>0</v>
      </c>
      <c r="W15" s="1483">
        <f t="shared" si="4"/>
        <v>0</v>
      </c>
      <c r="X15" s="1345">
        <f t="shared" si="5"/>
        <v>1</v>
      </c>
      <c r="Y15" s="1345">
        <f t="shared" si="6"/>
        <v>800000</v>
      </c>
      <c r="Z15" s="1357" t="s">
        <v>7636</v>
      </c>
      <c r="AA15" s="1358" t="s">
        <v>6531</v>
      </c>
      <c r="AB15" s="1359" t="str">
        <f t="shared" ref="AB15:AB18" si="7">IF(O15=Y15,"yes")</f>
        <v>yes</v>
      </c>
    </row>
    <row r="16" spans="1:28" s="1359" customFormat="1" ht="37.5" customHeight="1" x14ac:dyDescent="0.25">
      <c r="A16" s="1279">
        <v>9</v>
      </c>
      <c r="B16" s="1211" t="s">
        <v>7711</v>
      </c>
      <c r="C16" s="1369" t="s">
        <v>8907</v>
      </c>
      <c r="D16" s="1920"/>
      <c r="E16" s="1378"/>
      <c r="F16" s="1920"/>
      <c r="G16" s="1378"/>
      <c r="H16" s="1345"/>
      <c r="I16" s="1345"/>
      <c r="J16" s="1652">
        <v>1</v>
      </c>
      <c r="K16" s="1653"/>
      <c r="L16" s="1344"/>
      <c r="M16" s="1204">
        <v>1</v>
      </c>
      <c r="N16" s="1205">
        <v>499000</v>
      </c>
      <c r="O16" s="1346">
        <f t="shared" si="0"/>
        <v>499000</v>
      </c>
      <c r="P16" s="1344">
        <v>1</v>
      </c>
      <c r="Q16" s="1482">
        <f t="shared" si="1"/>
        <v>499000</v>
      </c>
      <c r="R16" s="1344"/>
      <c r="S16" s="1483"/>
      <c r="T16" s="1345"/>
      <c r="U16" s="1483"/>
      <c r="V16" s="1345"/>
      <c r="W16" s="1483"/>
      <c r="X16" s="1345">
        <f t="shared" si="5"/>
        <v>1</v>
      </c>
      <c r="Y16" s="1345">
        <f t="shared" si="6"/>
        <v>499000</v>
      </c>
      <c r="Z16" s="1357" t="s">
        <v>7799</v>
      </c>
      <c r="AA16" s="1358" t="s">
        <v>6531</v>
      </c>
    </row>
    <row r="17" spans="1:28" s="1359" customFormat="1" ht="37.5" customHeight="1" x14ac:dyDescent="0.25">
      <c r="A17" s="1279">
        <v>10</v>
      </c>
      <c r="B17" s="1211" t="s">
        <v>7712</v>
      </c>
      <c r="C17" s="1369" t="s">
        <v>8907</v>
      </c>
      <c r="D17" s="1920"/>
      <c r="E17" s="1378"/>
      <c r="F17" s="1920"/>
      <c r="G17" s="1378"/>
      <c r="H17" s="1345"/>
      <c r="I17" s="1345"/>
      <c r="J17" s="1652">
        <v>1</v>
      </c>
      <c r="K17" s="1653">
        <v>0</v>
      </c>
      <c r="L17" s="1344">
        <v>0</v>
      </c>
      <c r="M17" s="1204">
        <v>1</v>
      </c>
      <c r="N17" s="1205">
        <v>350000</v>
      </c>
      <c r="O17" s="1346">
        <f t="shared" si="0"/>
        <v>350000</v>
      </c>
      <c r="P17" s="1344">
        <v>1</v>
      </c>
      <c r="Q17" s="1482">
        <f t="shared" si="1"/>
        <v>350000</v>
      </c>
      <c r="R17" s="1344"/>
      <c r="S17" s="1483"/>
      <c r="T17" s="1345"/>
      <c r="U17" s="1483"/>
      <c r="V17" s="1345"/>
      <c r="W17" s="1483"/>
      <c r="X17" s="1345">
        <f t="shared" si="5"/>
        <v>1</v>
      </c>
      <c r="Y17" s="1345">
        <f t="shared" si="6"/>
        <v>350000</v>
      </c>
      <c r="Z17" s="1357" t="s">
        <v>7799</v>
      </c>
      <c r="AA17" s="1358" t="s">
        <v>6531</v>
      </c>
    </row>
    <row r="18" spans="1:28" s="1393" customFormat="1" ht="20.25" customHeight="1" x14ac:dyDescent="0.6">
      <c r="A18" s="1389" t="s">
        <v>7433</v>
      </c>
      <c r="B18" s="1389"/>
      <c r="C18" s="1389"/>
      <c r="D18" s="1390">
        <f>SUM(D8:D15)</f>
        <v>0</v>
      </c>
      <c r="E18" s="1390">
        <f>SUM(E8:E16)</f>
        <v>0</v>
      </c>
      <c r="F18" s="1390">
        <f>SUM(F8:F16)</f>
        <v>0</v>
      </c>
      <c r="G18" s="1390">
        <f>SUM(G8:G16)</f>
        <v>0</v>
      </c>
      <c r="H18" s="1390">
        <f>SUM(H8:H16)</f>
        <v>0</v>
      </c>
      <c r="I18" s="1390">
        <f>SUM(I8:I16)</f>
        <v>0</v>
      </c>
      <c r="J18" s="1390">
        <f t="shared" ref="J18:Q18" si="8">SUM(J8:J17)</f>
        <v>10</v>
      </c>
      <c r="K18" s="1390">
        <f t="shared" si="8"/>
        <v>0</v>
      </c>
      <c r="L18" s="1390">
        <f t="shared" si="8"/>
        <v>0</v>
      </c>
      <c r="M18" s="1390">
        <f t="shared" si="8"/>
        <v>10</v>
      </c>
      <c r="N18" s="1390">
        <f t="shared" si="8"/>
        <v>10960000</v>
      </c>
      <c r="O18" s="1390">
        <f t="shared" si="8"/>
        <v>10960000</v>
      </c>
      <c r="P18" s="1390">
        <f t="shared" si="8"/>
        <v>10</v>
      </c>
      <c r="Q18" s="1390">
        <f t="shared" si="8"/>
        <v>10960000</v>
      </c>
      <c r="R18" s="1390">
        <f t="shared" ref="R18:W18" si="9">SUM(R8:R16)</f>
        <v>0</v>
      </c>
      <c r="S18" s="1390">
        <f t="shared" si="9"/>
        <v>0</v>
      </c>
      <c r="T18" s="1390">
        <f t="shared" si="9"/>
        <v>0</v>
      </c>
      <c r="U18" s="1390">
        <f t="shared" si="9"/>
        <v>0</v>
      </c>
      <c r="V18" s="1390">
        <f t="shared" si="9"/>
        <v>0</v>
      </c>
      <c r="W18" s="1390">
        <f t="shared" si="9"/>
        <v>0</v>
      </c>
      <c r="X18" s="1390">
        <f>SUM(X8:X17)</f>
        <v>10</v>
      </c>
      <c r="Y18" s="1390">
        <f>SUM(Y8:Y17)</f>
        <v>10960000</v>
      </c>
      <c r="Z18" s="1391"/>
      <c r="AA18" s="1392"/>
      <c r="AB18" s="1393" t="str">
        <f t="shared" si="7"/>
        <v>yes</v>
      </c>
    </row>
    <row r="19" spans="1:28" ht="20.25" customHeight="1" x14ac:dyDescent="0.6">
      <c r="A19" s="1397"/>
      <c r="C19" s="1399"/>
      <c r="D19" s="1288"/>
      <c r="E19" s="1288"/>
      <c r="F19" s="1288"/>
      <c r="G19" s="1288"/>
      <c r="H19" s="1288"/>
      <c r="I19" s="1288"/>
      <c r="J19" s="1288"/>
      <c r="K19" s="1288"/>
      <c r="L19" s="1288"/>
      <c r="M19" s="1288"/>
      <c r="N19" s="1400"/>
      <c r="O19" s="1400"/>
      <c r="P19" s="1400"/>
      <c r="Q19" s="1400"/>
      <c r="R19" s="1400"/>
      <c r="S19" s="1400"/>
      <c r="T19" s="1400"/>
      <c r="U19" s="1400"/>
      <c r="V19" s="1400"/>
      <c r="W19" s="1400"/>
      <c r="X19" s="1288"/>
      <c r="Y19" s="1288"/>
      <c r="AA19" s="1402"/>
    </row>
    <row r="20" spans="1:28" ht="20.25" customHeight="1" x14ac:dyDescent="0.6">
      <c r="A20" s="1397"/>
      <c r="C20" s="1399"/>
    </row>
    <row r="21" spans="1:28" ht="20.25" customHeight="1" x14ac:dyDescent="0.6">
      <c r="B21" s="1399"/>
      <c r="G21" s="1288"/>
      <c r="N21" s="1290"/>
      <c r="O21" s="1290"/>
      <c r="P21" s="1290"/>
      <c r="Q21" s="1290"/>
      <c r="R21" s="1290"/>
      <c r="S21" s="1290"/>
      <c r="T21" s="1290"/>
      <c r="U21" s="1290"/>
      <c r="V21" s="1290"/>
      <c r="W21" s="1290"/>
      <c r="Z21" s="1280"/>
    </row>
    <row r="22" spans="1:28" ht="20.25" customHeight="1" x14ac:dyDescent="0.6">
      <c r="B22" s="1399"/>
      <c r="G22" s="1288"/>
      <c r="N22" s="1290"/>
      <c r="O22" s="1290"/>
      <c r="P22" s="1290"/>
      <c r="Q22" s="1290"/>
      <c r="R22" s="1290"/>
      <c r="S22" s="1290"/>
      <c r="T22" s="1290"/>
      <c r="U22" s="1290"/>
      <c r="V22" s="1290"/>
      <c r="W22" s="1290"/>
      <c r="Z22" s="1280"/>
    </row>
    <row r="23" spans="1:28" ht="20.25" customHeight="1" x14ac:dyDescent="0.6">
      <c r="B23" s="1399"/>
      <c r="G23" s="1288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Z23" s="1280"/>
    </row>
    <row r="24" spans="1:28" ht="20.25" customHeight="1" x14ac:dyDescent="0.6">
      <c r="B24" s="1399"/>
      <c r="G24" s="1288"/>
      <c r="N24" s="1290"/>
      <c r="O24" s="1290"/>
      <c r="P24" s="1290"/>
      <c r="Q24" s="1290"/>
      <c r="R24" s="1290"/>
      <c r="S24" s="1290"/>
      <c r="Z24" s="1405"/>
    </row>
    <row r="25" spans="1:28" ht="20.25" customHeight="1" x14ac:dyDescent="0.6"/>
    <row r="26" spans="1:28" ht="20.25" customHeight="1" x14ac:dyDescent="0.6"/>
    <row r="27" spans="1:28" ht="20.25" customHeight="1" x14ac:dyDescent="0.6">
      <c r="AA27" s="1401"/>
    </row>
    <row r="33" spans="1:26" x14ac:dyDescent="0.6">
      <c r="A33" s="1280"/>
      <c r="N33" s="1288"/>
      <c r="O33" s="1290"/>
      <c r="Z33" s="1280"/>
    </row>
    <row r="34" spans="1:26" x14ac:dyDescent="0.6">
      <c r="A34" s="1280"/>
      <c r="N34" s="1288"/>
      <c r="O34" s="1290"/>
      <c r="Z34" s="1280"/>
    </row>
    <row r="35" spans="1:26" x14ac:dyDescent="0.6">
      <c r="A35" s="1280"/>
      <c r="N35" s="1288"/>
      <c r="O35" s="1290"/>
      <c r="Z35" s="1280"/>
    </row>
    <row r="36" spans="1:26" x14ac:dyDescent="0.6">
      <c r="A36" s="1280"/>
      <c r="N36" s="1288"/>
      <c r="O36" s="1290"/>
      <c r="Z36" s="1280"/>
    </row>
    <row r="37" spans="1:26" x14ac:dyDescent="0.6">
      <c r="A37" s="1280"/>
      <c r="N37" s="1288"/>
      <c r="O37" s="1290"/>
      <c r="Z37" s="1280"/>
    </row>
    <row r="38" spans="1:26" x14ac:dyDescent="0.6">
      <c r="A38" s="1280"/>
      <c r="N38" s="1288"/>
      <c r="O38" s="1290"/>
      <c r="Z38" s="1280"/>
    </row>
    <row r="39" spans="1:26" x14ac:dyDescent="0.6">
      <c r="A39" s="1280"/>
      <c r="N39" s="1288"/>
      <c r="O39" s="1290"/>
      <c r="Z39" s="1280"/>
    </row>
    <row r="40" spans="1:26" x14ac:dyDescent="0.6">
      <c r="A40" s="1280"/>
      <c r="N40" s="1288"/>
      <c r="O40" s="1290"/>
      <c r="Z40" s="1280"/>
    </row>
    <row r="41" spans="1:26" x14ac:dyDescent="0.6">
      <c r="A41" s="1280"/>
      <c r="N41" s="1288"/>
      <c r="O41" s="1290"/>
      <c r="Z41" s="1280"/>
    </row>
    <row r="42" spans="1:26" x14ac:dyDescent="0.6">
      <c r="A42" s="1280"/>
      <c r="N42" s="1288"/>
      <c r="O42" s="1290"/>
      <c r="Z42" s="1280"/>
    </row>
    <row r="43" spans="1:26" x14ac:dyDescent="0.6">
      <c r="A43" s="1280"/>
      <c r="N43" s="1288"/>
      <c r="O43" s="1290"/>
      <c r="Z43" s="1280"/>
    </row>
    <row r="44" spans="1:26" x14ac:dyDescent="0.6">
      <c r="A44" s="1280"/>
      <c r="N44" s="1288"/>
      <c r="O44" s="1290"/>
      <c r="Z44" s="1280"/>
    </row>
    <row r="45" spans="1:26" x14ac:dyDescent="0.6">
      <c r="A45" s="1280"/>
      <c r="N45" s="1288"/>
      <c r="O45" s="1290"/>
      <c r="Z45" s="1280"/>
    </row>
    <row r="46" spans="1:26" x14ac:dyDescent="0.6">
      <c r="A46" s="1280"/>
      <c r="N46" s="1288"/>
      <c r="O46" s="1290"/>
      <c r="Z46" s="1280"/>
    </row>
    <row r="47" spans="1:26" x14ac:dyDescent="0.6">
      <c r="A47" s="1280"/>
      <c r="N47" s="1288"/>
      <c r="O47" s="1290"/>
      <c r="Z47" s="1280"/>
    </row>
    <row r="48" spans="1:26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  <row r="707" spans="1:26" x14ac:dyDescent="0.6">
      <c r="A707" s="1280"/>
      <c r="N707" s="1288"/>
      <c r="O707" s="1290"/>
      <c r="Z707" s="1280"/>
    </row>
    <row r="708" spans="1:26" x14ac:dyDescent="0.6">
      <c r="A708" s="1280"/>
      <c r="N708" s="1288"/>
      <c r="O708" s="1290"/>
      <c r="Z708" s="1280"/>
    </row>
    <row r="709" spans="1:26" x14ac:dyDescent="0.6">
      <c r="A709" s="1280"/>
      <c r="N709" s="1288"/>
      <c r="O709" s="1290"/>
      <c r="Z709" s="1280"/>
    </row>
    <row r="710" spans="1:26" x14ac:dyDescent="0.6">
      <c r="A710" s="1280"/>
      <c r="N710" s="1288"/>
      <c r="O710" s="1290"/>
      <c r="Z710" s="1280"/>
    </row>
    <row r="711" spans="1:26" x14ac:dyDescent="0.6">
      <c r="A711" s="1280"/>
      <c r="N711" s="1288"/>
      <c r="O711" s="1290"/>
      <c r="Z711" s="1280"/>
    </row>
  </sheetData>
  <protectedRanges>
    <protectedRange password="CC6F" sqref="B15:B17" name="ช่วง1_5_1_5_1_1_1"/>
    <protectedRange password="CC6F" sqref="B11:B14" name="ช่วง1_5_1_5_1_1_1_2"/>
    <protectedRange password="CC6F" sqref="B8:B9" name="ช่วง1_5_1_5_1_1_1_1_2"/>
    <protectedRange password="CC6F" sqref="B10" name="ช่วง1_5_1_5_1_1_5_2"/>
  </protectedRanges>
  <mergeCells count="18">
    <mergeCell ref="X6:X7"/>
    <mergeCell ref="A18:C18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55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9061E-F7BF-4FFC-8370-FDFA1ABD3448}">
  <sheetPr>
    <pageSetUpPr fitToPage="1"/>
  </sheetPr>
  <dimension ref="A1:AE708"/>
  <sheetViews>
    <sheetView topLeftCell="I1" zoomScale="110" zoomScaleNormal="110" zoomScaleSheetLayoutView="11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23" width="11.09765625" style="1288" customWidth="1"/>
    <col min="24" max="25" width="11.09765625" style="1290" customWidth="1"/>
    <col min="26" max="26" width="11.09765625" style="1512" customWidth="1"/>
    <col min="27" max="27" width="11.09765625" style="129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1" x14ac:dyDescent="0.6">
      <c r="A1" s="1735" t="s">
        <v>9127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1" x14ac:dyDescent="0.6">
      <c r="A4" s="1408" t="s">
        <v>2185</v>
      </c>
      <c r="B4" s="1408" t="s">
        <v>9128</v>
      </c>
      <c r="C4" s="1849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466"/>
      <c r="AA4" s="1467" t="s">
        <v>7782</v>
      </c>
    </row>
    <row r="5" spans="1:31" x14ac:dyDescent="0.6">
      <c r="A5" s="1417"/>
      <c r="B5" s="1417"/>
      <c r="C5" s="1850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470" t="s">
        <v>7623</v>
      </c>
      <c r="AA5" s="1471"/>
    </row>
    <row r="6" spans="1:31" x14ac:dyDescent="0.6">
      <c r="A6" s="1417"/>
      <c r="B6" s="1417"/>
      <c r="C6" s="1850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470" t="s">
        <v>7631</v>
      </c>
      <c r="AA6" s="1471"/>
    </row>
    <row r="7" spans="1:31" x14ac:dyDescent="0.6">
      <c r="A7" s="1425"/>
      <c r="B7" s="1425"/>
      <c r="C7" s="1851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475"/>
      <c r="AA7" s="1476"/>
    </row>
    <row r="8" spans="1:31" s="1359" customFormat="1" ht="20.25" customHeight="1" x14ac:dyDescent="0.25">
      <c r="A8" s="1279"/>
      <c r="B8" s="1211"/>
      <c r="C8" s="1383"/>
      <c r="D8" s="1344"/>
      <c r="E8" s="1873">
        <f t="shared" ref="E8:E14" si="0">D8*N8</f>
        <v>0</v>
      </c>
      <c r="F8" s="1345"/>
      <c r="G8" s="1873">
        <f t="shared" ref="G8:G14" si="1">F8*N8</f>
        <v>0</v>
      </c>
      <c r="H8" s="1345"/>
      <c r="I8" s="1874">
        <f t="shared" ref="I8:I14" si="2">H8*N8</f>
        <v>0</v>
      </c>
      <c r="J8" s="1652"/>
      <c r="K8" s="1653"/>
      <c r="L8" s="1344"/>
      <c r="M8" s="1204"/>
      <c r="N8" s="1205"/>
      <c r="O8" s="1346">
        <f t="shared" ref="O8:O14" si="3">M8*N8</f>
        <v>0</v>
      </c>
      <c r="P8" s="1345"/>
      <c r="Q8" s="1482">
        <f t="shared" ref="Q8:Q14" si="4">P8*N8</f>
        <v>0</v>
      </c>
      <c r="R8" s="1344"/>
      <c r="S8" s="1483">
        <f t="shared" ref="S8:S14" si="5">R8*N8</f>
        <v>0</v>
      </c>
      <c r="T8" s="1345"/>
      <c r="U8" s="1483">
        <f t="shared" ref="U8:U14" si="6">T8*N8</f>
        <v>0</v>
      </c>
      <c r="V8" s="1344"/>
      <c r="W8" s="1483">
        <f t="shared" ref="W8:W14" si="7">V8*N8</f>
        <v>0</v>
      </c>
      <c r="X8" s="1345"/>
      <c r="Y8" s="1345">
        <f t="shared" ref="Y8:Y14" si="8">X8*N8</f>
        <v>0</v>
      </c>
      <c r="Z8" s="1872"/>
      <c r="AA8" s="1940"/>
      <c r="AB8" s="1359" t="str">
        <f t="shared" ref="AB8:AB15" si="9">IF(O8=Y8,"yes")</f>
        <v>yes</v>
      </c>
    </row>
    <row r="9" spans="1:31" s="1359" customFormat="1" ht="20.25" customHeight="1" x14ac:dyDescent="0.25">
      <c r="A9" s="1279"/>
      <c r="B9" s="1211"/>
      <c r="C9" s="1383"/>
      <c r="D9" s="1344"/>
      <c r="E9" s="1873">
        <f t="shared" si="0"/>
        <v>0</v>
      </c>
      <c r="F9" s="1345"/>
      <c r="G9" s="1873">
        <f t="shared" si="1"/>
        <v>0</v>
      </c>
      <c r="H9" s="1345"/>
      <c r="I9" s="1874">
        <f t="shared" si="2"/>
        <v>0</v>
      </c>
      <c r="J9" s="1652"/>
      <c r="K9" s="1653"/>
      <c r="L9" s="1344"/>
      <c r="M9" s="1204"/>
      <c r="N9" s="1205"/>
      <c r="O9" s="1346">
        <f t="shared" si="3"/>
        <v>0</v>
      </c>
      <c r="P9" s="1344"/>
      <c r="Q9" s="1482">
        <f t="shared" si="4"/>
        <v>0</v>
      </c>
      <c r="R9" s="1344"/>
      <c r="S9" s="1483">
        <f t="shared" si="5"/>
        <v>0</v>
      </c>
      <c r="T9" s="1345"/>
      <c r="U9" s="1483">
        <f t="shared" si="6"/>
        <v>0</v>
      </c>
      <c r="V9" s="1345"/>
      <c r="W9" s="1483">
        <f t="shared" si="7"/>
        <v>0</v>
      </c>
      <c r="X9" s="1345">
        <f t="shared" ref="X9:X14" si="10">P8+R8+T8+V8</f>
        <v>0</v>
      </c>
      <c r="Y9" s="1345">
        <f t="shared" si="8"/>
        <v>0</v>
      </c>
      <c r="Z9" s="1872"/>
      <c r="AA9" s="1940"/>
      <c r="AB9" s="1359" t="str">
        <f t="shared" si="9"/>
        <v>yes</v>
      </c>
    </row>
    <row r="10" spans="1:31" s="1359" customFormat="1" ht="20.25" customHeight="1" x14ac:dyDescent="0.25">
      <c r="A10" s="1279"/>
      <c r="B10" s="1211"/>
      <c r="C10" s="1383"/>
      <c r="D10" s="1344"/>
      <c r="E10" s="1873">
        <f t="shared" si="0"/>
        <v>0</v>
      </c>
      <c r="F10" s="1345"/>
      <c r="G10" s="1873">
        <f t="shared" si="1"/>
        <v>0</v>
      </c>
      <c r="H10" s="1345"/>
      <c r="I10" s="1874">
        <f t="shared" si="2"/>
        <v>0</v>
      </c>
      <c r="J10" s="1652"/>
      <c r="K10" s="1653"/>
      <c r="L10" s="1344"/>
      <c r="M10" s="1204"/>
      <c r="N10" s="1205"/>
      <c r="O10" s="1346">
        <f t="shared" si="3"/>
        <v>0</v>
      </c>
      <c r="P10" s="1344"/>
      <c r="Q10" s="1482">
        <f t="shared" si="4"/>
        <v>0</v>
      </c>
      <c r="R10" s="1344"/>
      <c r="S10" s="1483">
        <f t="shared" si="5"/>
        <v>0</v>
      </c>
      <c r="T10" s="1345"/>
      <c r="U10" s="1483">
        <f t="shared" si="6"/>
        <v>0</v>
      </c>
      <c r="V10" s="1345"/>
      <c r="W10" s="1483">
        <f t="shared" si="7"/>
        <v>0</v>
      </c>
      <c r="X10" s="1345">
        <f t="shared" si="10"/>
        <v>0</v>
      </c>
      <c r="Y10" s="1345">
        <f t="shared" si="8"/>
        <v>0</v>
      </c>
      <c r="Z10" s="1872"/>
      <c r="AA10" s="1940"/>
      <c r="AB10" s="1359" t="str">
        <f t="shared" si="9"/>
        <v>yes</v>
      </c>
    </row>
    <row r="11" spans="1:31" s="1359" customFormat="1" ht="20.25" customHeight="1" x14ac:dyDescent="0.25">
      <c r="A11" s="1279"/>
      <c r="B11" s="1211"/>
      <c r="C11" s="1383"/>
      <c r="D11" s="1344"/>
      <c r="E11" s="1873">
        <f t="shared" si="0"/>
        <v>0</v>
      </c>
      <c r="F11" s="1345"/>
      <c r="G11" s="1873">
        <f t="shared" si="1"/>
        <v>0</v>
      </c>
      <c r="H11" s="1345"/>
      <c r="I11" s="1874">
        <f t="shared" si="2"/>
        <v>0</v>
      </c>
      <c r="J11" s="1652"/>
      <c r="K11" s="1653"/>
      <c r="L11" s="1344"/>
      <c r="M11" s="1204"/>
      <c r="N11" s="1205"/>
      <c r="O11" s="1346">
        <f t="shared" si="3"/>
        <v>0</v>
      </c>
      <c r="P11" s="1344"/>
      <c r="Q11" s="1482">
        <f t="shared" si="4"/>
        <v>0</v>
      </c>
      <c r="R11" s="1344"/>
      <c r="S11" s="1483">
        <f t="shared" si="5"/>
        <v>0</v>
      </c>
      <c r="T11" s="1345"/>
      <c r="U11" s="1483">
        <f t="shared" si="6"/>
        <v>0</v>
      </c>
      <c r="V11" s="1345"/>
      <c r="W11" s="1483">
        <f t="shared" si="7"/>
        <v>0</v>
      </c>
      <c r="X11" s="1345">
        <f t="shared" si="10"/>
        <v>0</v>
      </c>
      <c r="Y11" s="1345">
        <f t="shared" si="8"/>
        <v>0</v>
      </c>
      <c r="Z11" s="1872"/>
      <c r="AA11" s="1940"/>
      <c r="AB11" s="1359" t="str">
        <f t="shared" si="9"/>
        <v>yes</v>
      </c>
    </row>
    <row r="12" spans="1:31" s="1359" customFormat="1" ht="20.25" customHeight="1" x14ac:dyDescent="0.25">
      <c r="A12" s="1279"/>
      <c r="B12" s="1211"/>
      <c r="C12" s="1383"/>
      <c r="D12" s="1344"/>
      <c r="E12" s="1873">
        <f t="shared" si="0"/>
        <v>0</v>
      </c>
      <c r="F12" s="1345"/>
      <c r="G12" s="1873">
        <f t="shared" si="1"/>
        <v>0</v>
      </c>
      <c r="H12" s="1345"/>
      <c r="I12" s="1874">
        <f t="shared" si="2"/>
        <v>0</v>
      </c>
      <c r="J12" s="1652"/>
      <c r="K12" s="1653"/>
      <c r="L12" s="1344"/>
      <c r="M12" s="1204"/>
      <c r="N12" s="1205"/>
      <c r="O12" s="1346">
        <f t="shared" si="3"/>
        <v>0</v>
      </c>
      <c r="P12" s="1344"/>
      <c r="Q12" s="1482">
        <f t="shared" si="4"/>
        <v>0</v>
      </c>
      <c r="R12" s="1344"/>
      <c r="S12" s="1483">
        <f t="shared" si="5"/>
        <v>0</v>
      </c>
      <c r="T12" s="1345"/>
      <c r="U12" s="1483">
        <f t="shared" si="6"/>
        <v>0</v>
      </c>
      <c r="V12" s="1345"/>
      <c r="W12" s="1483">
        <f t="shared" si="7"/>
        <v>0</v>
      </c>
      <c r="X12" s="1345">
        <f t="shared" si="10"/>
        <v>0</v>
      </c>
      <c r="Y12" s="1345">
        <f t="shared" si="8"/>
        <v>0</v>
      </c>
      <c r="Z12" s="1872"/>
      <c r="AA12" s="1940"/>
      <c r="AB12" s="1359" t="str">
        <f t="shared" si="9"/>
        <v>yes</v>
      </c>
    </row>
    <row r="13" spans="1:31" s="1359" customFormat="1" ht="20.25" customHeight="1" x14ac:dyDescent="0.25">
      <c r="A13" s="1279"/>
      <c r="B13" s="1211"/>
      <c r="C13" s="1383"/>
      <c r="D13" s="1344"/>
      <c r="E13" s="1873">
        <f t="shared" si="0"/>
        <v>0</v>
      </c>
      <c r="F13" s="1345"/>
      <c r="G13" s="1873">
        <f t="shared" si="1"/>
        <v>0</v>
      </c>
      <c r="H13" s="1345"/>
      <c r="I13" s="1874">
        <f t="shared" si="2"/>
        <v>0</v>
      </c>
      <c r="J13" s="1652"/>
      <c r="K13" s="1653"/>
      <c r="L13" s="1344"/>
      <c r="M13" s="1204"/>
      <c r="N13" s="1205"/>
      <c r="O13" s="1346">
        <f t="shared" si="3"/>
        <v>0</v>
      </c>
      <c r="P13" s="1345"/>
      <c r="Q13" s="1482">
        <f t="shared" si="4"/>
        <v>0</v>
      </c>
      <c r="R13" s="1344"/>
      <c r="S13" s="1483">
        <f t="shared" si="5"/>
        <v>0</v>
      </c>
      <c r="T13" s="1345"/>
      <c r="U13" s="1483">
        <f t="shared" si="6"/>
        <v>0</v>
      </c>
      <c r="V13" s="1344"/>
      <c r="W13" s="1483">
        <f t="shared" si="7"/>
        <v>0</v>
      </c>
      <c r="X13" s="1345">
        <f t="shared" si="10"/>
        <v>0</v>
      </c>
      <c r="Y13" s="1345">
        <f t="shared" si="8"/>
        <v>0</v>
      </c>
      <c r="Z13" s="1872"/>
      <c r="AA13" s="1940"/>
      <c r="AB13" s="1359" t="str">
        <f t="shared" si="9"/>
        <v>yes</v>
      </c>
      <c r="AE13" s="1364"/>
    </row>
    <row r="14" spans="1:31" s="1359" customFormat="1" ht="20.25" customHeight="1" x14ac:dyDescent="0.25">
      <c r="A14" s="1279"/>
      <c r="B14" s="1372"/>
      <c r="C14" s="1373"/>
      <c r="D14" s="1344"/>
      <c r="E14" s="1873">
        <f t="shared" si="0"/>
        <v>0</v>
      </c>
      <c r="F14" s="1381"/>
      <c r="G14" s="1873">
        <f t="shared" si="1"/>
        <v>0</v>
      </c>
      <c r="H14" s="1381"/>
      <c r="I14" s="1874">
        <f t="shared" si="2"/>
        <v>0</v>
      </c>
      <c r="J14" s="1899"/>
      <c r="K14" s="1900"/>
      <c r="L14" s="1344"/>
      <c r="M14" s="1344"/>
      <c r="N14" s="1901"/>
      <c r="O14" s="1346">
        <f t="shared" si="3"/>
        <v>0</v>
      </c>
      <c r="P14" s="1344"/>
      <c r="Q14" s="1482">
        <f t="shared" si="4"/>
        <v>0</v>
      </c>
      <c r="R14" s="1344"/>
      <c r="S14" s="1483">
        <f t="shared" si="5"/>
        <v>0</v>
      </c>
      <c r="T14" s="1344"/>
      <c r="U14" s="1483">
        <f t="shared" si="6"/>
        <v>0</v>
      </c>
      <c r="V14" s="1344"/>
      <c r="W14" s="1483">
        <f t="shared" si="7"/>
        <v>0</v>
      </c>
      <c r="X14" s="1345">
        <f t="shared" si="10"/>
        <v>0</v>
      </c>
      <c r="Y14" s="1345">
        <f t="shared" si="8"/>
        <v>0</v>
      </c>
      <c r="Z14" s="1941"/>
      <c r="AA14" s="1485" t="s">
        <v>7380</v>
      </c>
      <c r="AB14" s="1359" t="str">
        <f t="shared" si="9"/>
        <v>yes</v>
      </c>
      <c r="AE14" s="1368"/>
    </row>
    <row r="15" spans="1:31" s="1393" customFormat="1" ht="20.25" customHeight="1" x14ac:dyDescent="0.6">
      <c r="A15" s="1389" t="s">
        <v>7433</v>
      </c>
      <c r="B15" s="1389"/>
      <c r="C15" s="1389"/>
      <c r="D15" s="1390">
        <f t="shared" ref="D15:Y15" si="11">SUM(D8:D14)</f>
        <v>0</v>
      </c>
      <c r="E15" s="1390">
        <f t="shared" si="11"/>
        <v>0</v>
      </c>
      <c r="F15" s="1569">
        <f t="shared" si="11"/>
        <v>0</v>
      </c>
      <c r="G15" s="1569">
        <f t="shared" si="11"/>
        <v>0</v>
      </c>
      <c r="H15" s="1390">
        <f t="shared" si="11"/>
        <v>0</v>
      </c>
      <c r="I15" s="1390">
        <f t="shared" si="11"/>
        <v>0</v>
      </c>
      <c r="J15" s="1390">
        <f t="shared" si="11"/>
        <v>0</v>
      </c>
      <c r="K15" s="1663">
        <f t="shared" si="11"/>
        <v>0</v>
      </c>
      <c r="L15" s="1390">
        <f t="shared" si="11"/>
        <v>0</v>
      </c>
      <c r="M15" s="1390">
        <f t="shared" si="11"/>
        <v>0</v>
      </c>
      <c r="N15" s="1390">
        <f t="shared" si="11"/>
        <v>0</v>
      </c>
      <c r="O15" s="1390">
        <f t="shared" si="11"/>
        <v>0</v>
      </c>
      <c r="P15" s="1390">
        <f t="shared" si="11"/>
        <v>0</v>
      </c>
      <c r="Q15" s="1390">
        <f t="shared" si="11"/>
        <v>0</v>
      </c>
      <c r="R15" s="1390">
        <f t="shared" si="11"/>
        <v>0</v>
      </c>
      <c r="S15" s="1390">
        <f t="shared" si="11"/>
        <v>0</v>
      </c>
      <c r="T15" s="1390">
        <f t="shared" si="11"/>
        <v>0</v>
      </c>
      <c r="U15" s="1390">
        <f t="shared" si="11"/>
        <v>0</v>
      </c>
      <c r="V15" s="1390">
        <f t="shared" si="11"/>
        <v>0</v>
      </c>
      <c r="W15" s="1390">
        <f t="shared" si="11"/>
        <v>0</v>
      </c>
      <c r="X15" s="1390">
        <f t="shared" si="11"/>
        <v>0</v>
      </c>
      <c r="Y15" s="1390">
        <f t="shared" si="11"/>
        <v>0</v>
      </c>
      <c r="Z15" s="1569"/>
      <c r="AA15" s="1390"/>
      <c r="AB15" s="1393" t="str">
        <f t="shared" si="9"/>
        <v>yes</v>
      </c>
    </row>
    <row r="16" spans="1:31" ht="20.25" customHeight="1" x14ac:dyDescent="0.6">
      <c r="A16" s="1397"/>
      <c r="C16" s="1399"/>
      <c r="D16" s="1288"/>
      <c r="E16" s="1288"/>
      <c r="F16" s="1288"/>
      <c r="G16" s="1288"/>
      <c r="H16" s="1288"/>
      <c r="I16" s="1288"/>
      <c r="J16" s="1288"/>
      <c r="K16" s="1288"/>
      <c r="L16" s="1288"/>
      <c r="M16" s="1288"/>
      <c r="N16" s="1400"/>
      <c r="O16" s="1400"/>
      <c r="P16" s="1400"/>
      <c r="Q16" s="1400"/>
      <c r="R16" s="1400"/>
      <c r="S16" s="1400"/>
      <c r="T16" s="1400"/>
      <c r="U16" s="1400"/>
      <c r="V16" s="1400"/>
      <c r="W16" s="1400"/>
      <c r="X16" s="1288"/>
      <c r="Y16" s="1288"/>
    </row>
    <row r="17" spans="1:27" ht="20.25" customHeight="1" x14ac:dyDescent="0.6">
      <c r="A17" s="1397"/>
      <c r="C17" s="1399"/>
    </row>
    <row r="18" spans="1:27" ht="20.25" customHeight="1" x14ac:dyDescent="0.6">
      <c r="B18" s="1280" t="s">
        <v>8877</v>
      </c>
      <c r="G18" s="1288"/>
      <c r="H18" s="1290" t="s">
        <v>7914</v>
      </c>
      <c r="N18" s="1290"/>
      <c r="O18" s="1290"/>
      <c r="P18" s="1290"/>
      <c r="Q18" s="1290"/>
      <c r="R18" s="1290" t="s">
        <v>7915</v>
      </c>
      <c r="S18" s="1290"/>
      <c r="T18" s="1290"/>
      <c r="U18" s="1290"/>
      <c r="V18" s="1290"/>
      <c r="W18" s="1290"/>
      <c r="Z18" s="1290"/>
    </row>
    <row r="19" spans="1:27" ht="20.25" customHeight="1" x14ac:dyDescent="0.6">
      <c r="B19" s="1280"/>
      <c r="G19" s="1288"/>
      <c r="H19" s="1290" t="s">
        <v>7916</v>
      </c>
      <c r="N19" s="1290"/>
      <c r="O19" s="1290"/>
      <c r="P19" s="1290"/>
      <c r="Q19" s="1290"/>
      <c r="R19" s="1290" t="s">
        <v>7917</v>
      </c>
      <c r="S19" s="1290"/>
      <c r="T19" s="1290"/>
      <c r="U19" s="1290"/>
      <c r="V19" s="1290"/>
      <c r="W19" s="1290"/>
      <c r="Z19" s="1290"/>
    </row>
    <row r="20" spans="1:27" ht="20.25" customHeight="1" x14ac:dyDescent="0.6">
      <c r="B20" s="1280"/>
      <c r="G20" s="1288"/>
      <c r="H20" s="1290" t="s">
        <v>7918</v>
      </c>
      <c r="N20" s="1290"/>
      <c r="O20" s="1290"/>
      <c r="P20" s="1290"/>
      <c r="Q20" s="1290"/>
      <c r="R20" s="1290" t="s">
        <v>7771</v>
      </c>
      <c r="S20" s="1290"/>
      <c r="T20" s="1290"/>
      <c r="U20" s="1290"/>
      <c r="V20" s="1290"/>
      <c r="W20" s="1290"/>
      <c r="Z20" s="1290"/>
    </row>
    <row r="21" spans="1:27" ht="20.25" customHeight="1" x14ac:dyDescent="0.6">
      <c r="B21" s="1280"/>
      <c r="G21" s="1288"/>
      <c r="H21" s="1290" t="s">
        <v>7919</v>
      </c>
      <c r="N21" s="1290"/>
      <c r="O21" s="1290"/>
      <c r="P21" s="1290"/>
      <c r="Q21" s="1290"/>
      <c r="R21" s="1290"/>
      <c r="S21" s="1290"/>
      <c r="Z21" s="1404"/>
    </row>
    <row r="22" spans="1:27" ht="20.25" customHeight="1" x14ac:dyDescent="0.6">
      <c r="P22" s="1288" t="s">
        <v>7380</v>
      </c>
    </row>
    <row r="23" spans="1:27" ht="20.25" customHeight="1" x14ac:dyDescent="0.6"/>
    <row r="24" spans="1:27" ht="20.25" customHeight="1" x14ac:dyDescent="0.6">
      <c r="AA24" s="1512"/>
    </row>
    <row r="30" spans="1:27" x14ac:dyDescent="0.6">
      <c r="A30" s="1280"/>
      <c r="N30" s="1288"/>
      <c r="O30" s="1290"/>
      <c r="Z30" s="1290"/>
    </row>
    <row r="31" spans="1:27" x14ac:dyDescent="0.6">
      <c r="A31" s="1280"/>
      <c r="N31" s="1288"/>
      <c r="O31" s="1290"/>
      <c r="Z31" s="1290"/>
    </row>
    <row r="32" spans="1:27" x14ac:dyDescent="0.6">
      <c r="A32" s="1280"/>
      <c r="N32" s="1288"/>
      <c r="O32" s="1290"/>
      <c r="Z32" s="1290"/>
    </row>
    <row r="33" spans="1:26" x14ac:dyDescent="0.6">
      <c r="A33" s="1280"/>
      <c r="N33" s="1288"/>
      <c r="O33" s="1290"/>
      <c r="Z33" s="1290"/>
    </row>
    <row r="34" spans="1:26" x14ac:dyDescent="0.6">
      <c r="A34" s="1280"/>
      <c r="N34" s="1288"/>
      <c r="O34" s="1290"/>
      <c r="Z34" s="1290"/>
    </row>
    <row r="35" spans="1:26" x14ac:dyDescent="0.6">
      <c r="A35" s="1280"/>
      <c r="N35" s="1288"/>
      <c r="O35" s="1290"/>
      <c r="Z35" s="1290"/>
    </row>
    <row r="36" spans="1:26" x14ac:dyDescent="0.6">
      <c r="A36" s="1280"/>
      <c r="N36" s="1288"/>
      <c r="O36" s="1290"/>
      <c r="Z36" s="1290"/>
    </row>
    <row r="37" spans="1:26" x14ac:dyDescent="0.6">
      <c r="A37" s="1280"/>
      <c r="N37" s="1288"/>
      <c r="O37" s="1290"/>
      <c r="Z37" s="1290"/>
    </row>
    <row r="38" spans="1:26" x14ac:dyDescent="0.6">
      <c r="A38" s="1280"/>
      <c r="N38" s="1288"/>
      <c r="O38" s="1290"/>
      <c r="Z38" s="1290"/>
    </row>
    <row r="39" spans="1:26" x14ac:dyDescent="0.6">
      <c r="A39" s="1280"/>
      <c r="N39" s="1288"/>
      <c r="O39" s="1290"/>
      <c r="Z39" s="1290"/>
    </row>
    <row r="40" spans="1:26" x14ac:dyDescent="0.6">
      <c r="A40" s="1280"/>
      <c r="N40" s="1288"/>
      <c r="O40" s="1290"/>
      <c r="Z40" s="1290"/>
    </row>
    <row r="41" spans="1:26" x14ac:dyDescent="0.6">
      <c r="A41" s="1280"/>
      <c r="N41" s="1288"/>
      <c r="O41" s="1290"/>
      <c r="Z41" s="1290"/>
    </row>
    <row r="42" spans="1:26" x14ac:dyDescent="0.6">
      <c r="A42" s="1280"/>
      <c r="N42" s="1288"/>
      <c r="O42" s="1290"/>
      <c r="Z42" s="1290"/>
    </row>
    <row r="43" spans="1:26" x14ac:dyDescent="0.6">
      <c r="A43" s="1280"/>
      <c r="N43" s="1288"/>
      <c r="O43" s="1290"/>
      <c r="Z43" s="1290"/>
    </row>
    <row r="44" spans="1:26" x14ac:dyDescent="0.6">
      <c r="A44" s="1280"/>
      <c r="N44" s="1288"/>
      <c r="O44" s="1290"/>
      <c r="Z44" s="1290"/>
    </row>
    <row r="45" spans="1:26" x14ac:dyDescent="0.6">
      <c r="A45" s="1280"/>
      <c r="N45" s="1288"/>
      <c r="O45" s="1290"/>
      <c r="Z45" s="1290"/>
    </row>
    <row r="46" spans="1:26" x14ac:dyDescent="0.6">
      <c r="A46" s="1280"/>
      <c r="N46" s="1288"/>
      <c r="O46" s="1290"/>
      <c r="Z46" s="1290"/>
    </row>
    <row r="47" spans="1:26" x14ac:dyDescent="0.6">
      <c r="A47" s="1280"/>
      <c r="N47" s="1288"/>
      <c r="O47" s="1290"/>
      <c r="Z47" s="1290"/>
    </row>
    <row r="48" spans="1:26" x14ac:dyDescent="0.6">
      <c r="A48" s="1280"/>
      <c r="N48" s="1288"/>
      <c r="O48" s="1290"/>
      <c r="Z48" s="1290"/>
    </row>
    <row r="49" spans="1:26" x14ac:dyDescent="0.6">
      <c r="A49" s="1280"/>
      <c r="N49" s="1288"/>
      <c r="O49" s="1290"/>
      <c r="Z49" s="1290"/>
    </row>
    <row r="50" spans="1:26" x14ac:dyDescent="0.6">
      <c r="A50" s="1280"/>
      <c r="N50" s="1288"/>
      <c r="O50" s="1290"/>
      <c r="Z50" s="1290"/>
    </row>
    <row r="51" spans="1:26" x14ac:dyDescent="0.6">
      <c r="A51" s="1280"/>
      <c r="N51" s="1288"/>
      <c r="O51" s="1290"/>
      <c r="Z51" s="1290"/>
    </row>
    <row r="52" spans="1:26" x14ac:dyDescent="0.6">
      <c r="A52" s="1280"/>
      <c r="N52" s="1288"/>
      <c r="O52" s="1290"/>
      <c r="Z52" s="1290"/>
    </row>
    <row r="53" spans="1:26" x14ac:dyDescent="0.6">
      <c r="A53" s="1280"/>
      <c r="N53" s="1288"/>
      <c r="O53" s="1290"/>
      <c r="Z53" s="1290"/>
    </row>
    <row r="54" spans="1:26" x14ac:dyDescent="0.6">
      <c r="A54" s="1280"/>
      <c r="N54" s="1288"/>
      <c r="O54" s="1290"/>
      <c r="Z54" s="1290"/>
    </row>
    <row r="55" spans="1:26" x14ac:dyDescent="0.6">
      <c r="A55" s="1280"/>
      <c r="N55" s="1288"/>
      <c r="O55" s="1290"/>
      <c r="Z55" s="1290"/>
    </row>
    <row r="56" spans="1:26" x14ac:dyDescent="0.6">
      <c r="A56" s="1280"/>
      <c r="N56" s="1288"/>
      <c r="O56" s="1290"/>
      <c r="Z56" s="1290"/>
    </row>
    <row r="57" spans="1:26" x14ac:dyDescent="0.6">
      <c r="A57" s="1280"/>
      <c r="N57" s="1288"/>
      <c r="O57" s="1290"/>
      <c r="Z57" s="1290"/>
    </row>
    <row r="58" spans="1:26" x14ac:dyDescent="0.6">
      <c r="A58" s="1280"/>
      <c r="N58" s="1288"/>
      <c r="O58" s="1290"/>
      <c r="Z58" s="1290"/>
    </row>
    <row r="59" spans="1:26" x14ac:dyDescent="0.6">
      <c r="A59" s="1280"/>
      <c r="N59" s="1288"/>
      <c r="O59" s="1290"/>
      <c r="Z59" s="1290"/>
    </row>
    <row r="60" spans="1:26" x14ac:dyDescent="0.6">
      <c r="A60" s="1280"/>
      <c r="N60" s="1288"/>
      <c r="O60" s="1290"/>
      <c r="Z60" s="1290"/>
    </row>
    <row r="61" spans="1:26" x14ac:dyDescent="0.6">
      <c r="A61" s="1280"/>
      <c r="N61" s="1288"/>
      <c r="O61" s="1290"/>
      <c r="Z61" s="1290"/>
    </row>
    <row r="62" spans="1:26" x14ac:dyDescent="0.6">
      <c r="A62" s="1280"/>
      <c r="N62" s="1288"/>
      <c r="O62" s="1290"/>
      <c r="Z62" s="1290"/>
    </row>
    <row r="63" spans="1:26" x14ac:dyDescent="0.6">
      <c r="A63" s="1280"/>
      <c r="N63" s="1288"/>
      <c r="O63" s="1290"/>
      <c r="Z63" s="1290"/>
    </row>
    <row r="64" spans="1:26" x14ac:dyDescent="0.6">
      <c r="A64" s="1280"/>
      <c r="N64" s="1288"/>
      <c r="O64" s="1290"/>
      <c r="Z64" s="1290"/>
    </row>
    <row r="65" spans="1:26" x14ac:dyDescent="0.6">
      <c r="A65" s="1280"/>
      <c r="N65" s="1288"/>
      <c r="O65" s="1290"/>
      <c r="Z65" s="1290"/>
    </row>
    <row r="66" spans="1:26" x14ac:dyDescent="0.6">
      <c r="A66" s="1280"/>
      <c r="N66" s="1288"/>
      <c r="O66" s="1290"/>
      <c r="Z66" s="1290"/>
    </row>
    <row r="67" spans="1:26" x14ac:dyDescent="0.6">
      <c r="A67" s="1280"/>
      <c r="N67" s="1288"/>
      <c r="O67" s="1290"/>
      <c r="Z67" s="1290"/>
    </row>
    <row r="68" spans="1:26" x14ac:dyDescent="0.6">
      <c r="A68" s="1280"/>
      <c r="N68" s="1288"/>
      <c r="O68" s="1290"/>
      <c r="Z68" s="1290"/>
    </row>
    <row r="69" spans="1:26" x14ac:dyDescent="0.6">
      <c r="A69" s="1280"/>
      <c r="N69" s="1288"/>
      <c r="O69" s="1290"/>
      <c r="Z69" s="1290"/>
    </row>
    <row r="70" spans="1:26" x14ac:dyDescent="0.6">
      <c r="A70" s="1280"/>
      <c r="N70" s="1288"/>
      <c r="O70" s="1290"/>
      <c r="Z70" s="1290"/>
    </row>
    <row r="71" spans="1:26" x14ac:dyDescent="0.6">
      <c r="A71" s="1280"/>
      <c r="N71" s="1288"/>
      <c r="O71" s="1290"/>
      <c r="Z71" s="1290"/>
    </row>
    <row r="72" spans="1:26" x14ac:dyDescent="0.6">
      <c r="A72" s="1280"/>
      <c r="N72" s="1288"/>
      <c r="O72" s="1290"/>
      <c r="Z72" s="1290"/>
    </row>
    <row r="73" spans="1:26" x14ac:dyDescent="0.6">
      <c r="A73" s="1280"/>
      <c r="N73" s="1288"/>
      <c r="O73" s="1290"/>
      <c r="Z73" s="1290"/>
    </row>
    <row r="74" spans="1:26" x14ac:dyDescent="0.6">
      <c r="A74" s="1280"/>
      <c r="N74" s="1288"/>
      <c r="O74" s="1290"/>
      <c r="Z74" s="1290"/>
    </row>
    <row r="75" spans="1:26" x14ac:dyDescent="0.6">
      <c r="A75" s="1280"/>
      <c r="N75" s="1288"/>
      <c r="O75" s="1290"/>
      <c r="Z75" s="1290"/>
    </row>
    <row r="76" spans="1:26" x14ac:dyDescent="0.6">
      <c r="A76" s="1280"/>
      <c r="N76" s="1288"/>
      <c r="O76" s="1290"/>
      <c r="Z76" s="1290"/>
    </row>
    <row r="77" spans="1:26" x14ac:dyDescent="0.6">
      <c r="A77" s="1280"/>
      <c r="N77" s="1288"/>
      <c r="O77" s="1290"/>
      <c r="Z77" s="1290"/>
    </row>
    <row r="78" spans="1:26" x14ac:dyDescent="0.6">
      <c r="A78" s="1280"/>
      <c r="N78" s="1288"/>
      <c r="O78" s="1290"/>
      <c r="Z78" s="1290"/>
    </row>
    <row r="79" spans="1:26" x14ac:dyDescent="0.6">
      <c r="A79" s="1280"/>
      <c r="N79" s="1288"/>
      <c r="O79" s="1290"/>
      <c r="Z79" s="1290"/>
    </row>
    <row r="80" spans="1:26" x14ac:dyDescent="0.6">
      <c r="A80" s="1280"/>
      <c r="N80" s="1288"/>
      <c r="O80" s="1290"/>
      <c r="Z80" s="1290"/>
    </row>
    <row r="81" spans="1:26" x14ac:dyDescent="0.6">
      <c r="A81" s="1280"/>
      <c r="N81" s="1288"/>
      <c r="O81" s="1290"/>
      <c r="Z81" s="1290"/>
    </row>
    <row r="82" spans="1:26" x14ac:dyDescent="0.6">
      <c r="A82" s="1280"/>
      <c r="N82" s="1288"/>
      <c r="O82" s="1290"/>
      <c r="Z82" s="1290"/>
    </row>
    <row r="83" spans="1:26" x14ac:dyDescent="0.6">
      <c r="A83" s="1280"/>
      <c r="N83" s="1288"/>
      <c r="O83" s="1290"/>
      <c r="Z83" s="1290"/>
    </row>
    <row r="84" spans="1:26" x14ac:dyDescent="0.6">
      <c r="A84" s="1280"/>
      <c r="N84" s="1288"/>
      <c r="O84" s="1290"/>
      <c r="Z84" s="1290"/>
    </row>
    <row r="85" spans="1:26" x14ac:dyDescent="0.6">
      <c r="A85" s="1280"/>
      <c r="N85" s="1288"/>
      <c r="O85" s="1290"/>
      <c r="Z85" s="1290"/>
    </row>
    <row r="86" spans="1:26" x14ac:dyDescent="0.6">
      <c r="A86" s="1280"/>
      <c r="N86" s="1288"/>
      <c r="O86" s="1290"/>
      <c r="Z86" s="1290"/>
    </row>
    <row r="87" spans="1:26" x14ac:dyDescent="0.6">
      <c r="A87" s="1280"/>
      <c r="N87" s="1288"/>
      <c r="O87" s="1290"/>
      <c r="Z87" s="1290"/>
    </row>
    <row r="88" spans="1:26" x14ac:dyDescent="0.6">
      <c r="A88" s="1280"/>
      <c r="N88" s="1288"/>
      <c r="O88" s="1290"/>
      <c r="Z88" s="1290"/>
    </row>
    <row r="89" spans="1:26" x14ac:dyDescent="0.6">
      <c r="A89" s="1280"/>
      <c r="N89" s="1288"/>
      <c r="O89" s="1290"/>
      <c r="Z89" s="1290"/>
    </row>
    <row r="90" spans="1:26" x14ac:dyDescent="0.6">
      <c r="A90" s="1280"/>
      <c r="N90" s="1288"/>
      <c r="O90" s="1290"/>
      <c r="Z90" s="1290"/>
    </row>
    <row r="91" spans="1:26" x14ac:dyDescent="0.6">
      <c r="A91" s="1280"/>
      <c r="N91" s="1288"/>
      <c r="O91" s="1290"/>
      <c r="Z91" s="1290"/>
    </row>
    <row r="92" spans="1:26" x14ac:dyDescent="0.6">
      <c r="A92" s="1280"/>
      <c r="N92" s="1288"/>
      <c r="O92" s="1290"/>
      <c r="Z92" s="1290"/>
    </row>
    <row r="93" spans="1:26" x14ac:dyDescent="0.6">
      <c r="A93" s="1280"/>
      <c r="N93" s="1288"/>
      <c r="O93" s="1290"/>
      <c r="Z93" s="1290"/>
    </row>
    <row r="94" spans="1:26" x14ac:dyDescent="0.6">
      <c r="A94" s="1280"/>
      <c r="N94" s="1288"/>
      <c r="O94" s="1290"/>
      <c r="Z94" s="1290"/>
    </row>
    <row r="95" spans="1:26" x14ac:dyDescent="0.6">
      <c r="A95" s="1280"/>
      <c r="N95" s="1288"/>
      <c r="O95" s="1290"/>
      <c r="Z95" s="1290"/>
    </row>
    <row r="96" spans="1:26" x14ac:dyDescent="0.6">
      <c r="A96" s="1280"/>
      <c r="N96" s="1288"/>
      <c r="O96" s="1290"/>
      <c r="Z96" s="1290"/>
    </row>
    <row r="97" spans="1:26" x14ac:dyDescent="0.6">
      <c r="A97" s="1280"/>
      <c r="N97" s="1288"/>
      <c r="O97" s="1290"/>
      <c r="Z97" s="1290"/>
    </row>
    <row r="98" spans="1:26" x14ac:dyDescent="0.6">
      <c r="A98" s="1280"/>
      <c r="N98" s="1288"/>
      <c r="O98" s="1290"/>
      <c r="Z98" s="1290"/>
    </row>
    <row r="99" spans="1:26" x14ac:dyDescent="0.6">
      <c r="A99" s="1280"/>
      <c r="N99" s="1288"/>
      <c r="O99" s="1290"/>
      <c r="Z99" s="1290"/>
    </row>
    <row r="100" spans="1:26" x14ac:dyDescent="0.6">
      <c r="A100" s="1280"/>
      <c r="N100" s="1288"/>
      <c r="O100" s="1290"/>
      <c r="Z100" s="1290"/>
    </row>
    <row r="101" spans="1:26" x14ac:dyDescent="0.6">
      <c r="A101" s="1280"/>
      <c r="N101" s="1288"/>
      <c r="O101" s="1290"/>
      <c r="Z101" s="1290"/>
    </row>
    <row r="102" spans="1:26" x14ac:dyDescent="0.6">
      <c r="A102" s="1280"/>
      <c r="N102" s="1288"/>
      <c r="O102" s="1290"/>
      <c r="Z102" s="1290"/>
    </row>
    <row r="103" spans="1:26" x14ac:dyDescent="0.6">
      <c r="A103" s="1280"/>
      <c r="N103" s="1288"/>
      <c r="O103" s="1290"/>
      <c r="Z103" s="1290"/>
    </row>
    <row r="104" spans="1:26" x14ac:dyDescent="0.6">
      <c r="A104" s="1280"/>
      <c r="N104" s="1288"/>
      <c r="O104" s="1290"/>
      <c r="Z104" s="1290"/>
    </row>
    <row r="105" spans="1:26" x14ac:dyDescent="0.6">
      <c r="A105" s="1280"/>
      <c r="N105" s="1288"/>
      <c r="O105" s="1290"/>
      <c r="Z105" s="1290"/>
    </row>
    <row r="106" spans="1:26" x14ac:dyDescent="0.6">
      <c r="A106" s="1280"/>
      <c r="N106" s="1288"/>
      <c r="O106" s="1290"/>
      <c r="Z106" s="1290"/>
    </row>
    <row r="107" spans="1:26" x14ac:dyDescent="0.6">
      <c r="A107" s="1280"/>
      <c r="N107" s="1288"/>
      <c r="O107" s="1290"/>
      <c r="Z107" s="1290"/>
    </row>
    <row r="108" spans="1:26" x14ac:dyDescent="0.6">
      <c r="A108" s="1280"/>
      <c r="N108" s="1288"/>
      <c r="O108" s="1290"/>
      <c r="Z108" s="1290"/>
    </row>
    <row r="109" spans="1:26" x14ac:dyDescent="0.6">
      <c r="A109" s="1280"/>
      <c r="N109" s="1288"/>
      <c r="O109" s="1290"/>
      <c r="Z109" s="1290"/>
    </row>
    <row r="110" spans="1:26" x14ac:dyDescent="0.6">
      <c r="A110" s="1280"/>
      <c r="N110" s="1288"/>
      <c r="O110" s="1290"/>
      <c r="Z110" s="1290"/>
    </row>
    <row r="111" spans="1:26" x14ac:dyDescent="0.6">
      <c r="A111" s="1280"/>
      <c r="N111" s="1288"/>
      <c r="O111" s="1290"/>
      <c r="Z111" s="1290"/>
    </row>
    <row r="112" spans="1:26" x14ac:dyDescent="0.6">
      <c r="A112" s="1280"/>
      <c r="N112" s="1288"/>
      <c r="O112" s="1290"/>
      <c r="Z112" s="1290"/>
    </row>
    <row r="113" spans="1:26" x14ac:dyDescent="0.6">
      <c r="A113" s="1280"/>
      <c r="N113" s="1288"/>
      <c r="O113" s="1290"/>
      <c r="Z113" s="1290"/>
    </row>
    <row r="114" spans="1:26" x14ac:dyDescent="0.6">
      <c r="A114" s="1280"/>
      <c r="N114" s="1288"/>
      <c r="O114" s="1290"/>
      <c r="Z114" s="1290"/>
    </row>
    <row r="115" spans="1:26" x14ac:dyDescent="0.6">
      <c r="A115" s="1280"/>
      <c r="N115" s="1288"/>
      <c r="O115" s="1290"/>
      <c r="Z115" s="1290"/>
    </row>
    <row r="116" spans="1:26" x14ac:dyDescent="0.6">
      <c r="A116" s="1280"/>
      <c r="N116" s="1288"/>
      <c r="O116" s="1290"/>
      <c r="Z116" s="1290"/>
    </row>
    <row r="117" spans="1:26" x14ac:dyDescent="0.6">
      <c r="A117" s="1280"/>
      <c r="N117" s="1288"/>
      <c r="O117" s="1290"/>
      <c r="Z117" s="1290"/>
    </row>
    <row r="118" spans="1:26" x14ac:dyDescent="0.6">
      <c r="A118" s="1280"/>
      <c r="N118" s="1288"/>
      <c r="O118" s="1290"/>
      <c r="Z118" s="1290"/>
    </row>
    <row r="119" spans="1:26" x14ac:dyDescent="0.6">
      <c r="A119" s="1280"/>
      <c r="N119" s="1288"/>
      <c r="O119" s="1290"/>
      <c r="Z119" s="1290"/>
    </row>
    <row r="120" spans="1:26" x14ac:dyDescent="0.6">
      <c r="A120" s="1280"/>
      <c r="N120" s="1288"/>
      <c r="O120" s="1290"/>
      <c r="Z120" s="1290"/>
    </row>
    <row r="121" spans="1:26" x14ac:dyDescent="0.6">
      <c r="A121" s="1280"/>
      <c r="N121" s="1288"/>
      <c r="O121" s="1290"/>
      <c r="Z121" s="1290"/>
    </row>
    <row r="122" spans="1:26" x14ac:dyDescent="0.6">
      <c r="A122" s="1280"/>
      <c r="N122" s="1288"/>
      <c r="O122" s="1290"/>
      <c r="Z122" s="1290"/>
    </row>
    <row r="123" spans="1:26" x14ac:dyDescent="0.6">
      <c r="A123" s="1280"/>
      <c r="N123" s="1288"/>
      <c r="O123" s="1290"/>
      <c r="Z123" s="1290"/>
    </row>
    <row r="124" spans="1:26" x14ac:dyDescent="0.6">
      <c r="A124" s="1280"/>
      <c r="N124" s="1288"/>
      <c r="O124" s="1290"/>
      <c r="Z124" s="1290"/>
    </row>
    <row r="125" spans="1:26" x14ac:dyDescent="0.6">
      <c r="A125" s="1280"/>
      <c r="N125" s="1288"/>
      <c r="O125" s="1290"/>
      <c r="Z125" s="1290"/>
    </row>
    <row r="126" spans="1:26" x14ac:dyDescent="0.6">
      <c r="A126" s="1280"/>
      <c r="N126" s="1288"/>
      <c r="O126" s="1290"/>
      <c r="Z126" s="1290"/>
    </row>
    <row r="127" spans="1:26" x14ac:dyDescent="0.6">
      <c r="A127" s="1280"/>
      <c r="N127" s="1288"/>
      <c r="O127" s="1290"/>
      <c r="Z127" s="1290"/>
    </row>
    <row r="128" spans="1:26" x14ac:dyDescent="0.6">
      <c r="A128" s="1280"/>
      <c r="N128" s="1288"/>
      <c r="O128" s="1290"/>
      <c r="Z128" s="1290"/>
    </row>
    <row r="129" spans="1:26" x14ac:dyDescent="0.6">
      <c r="A129" s="1280"/>
      <c r="N129" s="1288"/>
      <c r="O129" s="1290"/>
      <c r="Z129" s="1290"/>
    </row>
    <row r="130" spans="1:26" x14ac:dyDescent="0.6">
      <c r="A130" s="1280"/>
      <c r="N130" s="1288"/>
      <c r="O130" s="1290"/>
      <c r="Z130" s="1290"/>
    </row>
    <row r="131" spans="1:26" x14ac:dyDescent="0.6">
      <c r="A131" s="1280"/>
      <c r="N131" s="1288"/>
      <c r="O131" s="1290"/>
      <c r="Z131" s="1290"/>
    </row>
    <row r="132" spans="1:26" x14ac:dyDescent="0.6">
      <c r="A132" s="1280"/>
      <c r="N132" s="1288"/>
      <c r="O132" s="1290"/>
      <c r="Z132" s="1290"/>
    </row>
    <row r="133" spans="1:26" x14ac:dyDescent="0.6">
      <c r="A133" s="1280"/>
      <c r="N133" s="1288"/>
      <c r="O133" s="1290"/>
      <c r="Z133" s="1290"/>
    </row>
    <row r="134" spans="1:26" x14ac:dyDescent="0.6">
      <c r="A134" s="1280"/>
      <c r="N134" s="1288"/>
      <c r="O134" s="1290"/>
      <c r="Z134" s="1290"/>
    </row>
    <row r="135" spans="1:26" x14ac:dyDescent="0.6">
      <c r="A135" s="1280"/>
      <c r="N135" s="1288"/>
      <c r="O135" s="1290"/>
      <c r="Z135" s="1290"/>
    </row>
    <row r="136" spans="1:26" x14ac:dyDescent="0.6">
      <c r="A136" s="1280"/>
      <c r="N136" s="1288"/>
      <c r="O136" s="1290"/>
      <c r="Z136" s="1290"/>
    </row>
    <row r="137" spans="1:26" x14ac:dyDescent="0.6">
      <c r="A137" s="1280"/>
      <c r="N137" s="1288"/>
      <c r="O137" s="1290"/>
      <c r="Z137" s="1290"/>
    </row>
    <row r="138" spans="1:26" x14ac:dyDescent="0.6">
      <c r="A138" s="1280"/>
      <c r="N138" s="1288"/>
      <c r="O138" s="1290"/>
      <c r="Z138" s="1290"/>
    </row>
    <row r="139" spans="1:26" x14ac:dyDescent="0.6">
      <c r="A139" s="1280"/>
      <c r="N139" s="1288"/>
      <c r="O139" s="1290"/>
      <c r="Z139" s="1290"/>
    </row>
    <row r="140" spans="1:26" x14ac:dyDescent="0.6">
      <c r="A140" s="1280"/>
      <c r="N140" s="1288"/>
      <c r="O140" s="1290"/>
      <c r="Z140" s="1290"/>
    </row>
    <row r="141" spans="1:26" x14ac:dyDescent="0.6">
      <c r="A141" s="1280"/>
      <c r="N141" s="1288"/>
      <c r="O141" s="1290"/>
      <c r="Z141" s="1290"/>
    </row>
    <row r="142" spans="1:26" x14ac:dyDescent="0.6">
      <c r="A142" s="1280"/>
      <c r="N142" s="1288"/>
      <c r="O142" s="1290"/>
      <c r="Z142" s="1290"/>
    </row>
    <row r="143" spans="1:26" x14ac:dyDescent="0.6">
      <c r="A143" s="1280"/>
      <c r="N143" s="1288"/>
      <c r="O143" s="1290"/>
      <c r="Z143" s="1290"/>
    </row>
    <row r="144" spans="1:26" x14ac:dyDescent="0.6">
      <c r="A144" s="1280"/>
      <c r="N144" s="1288"/>
      <c r="O144" s="1290"/>
      <c r="Z144" s="1290"/>
    </row>
    <row r="145" spans="1:26" x14ac:dyDescent="0.6">
      <c r="A145" s="1280"/>
      <c r="N145" s="1288"/>
      <c r="O145" s="1290"/>
      <c r="Z145" s="1290"/>
    </row>
    <row r="146" spans="1:26" x14ac:dyDescent="0.6">
      <c r="A146" s="1280"/>
      <c r="N146" s="1288"/>
      <c r="O146" s="1290"/>
      <c r="Z146" s="1290"/>
    </row>
    <row r="147" spans="1:26" x14ac:dyDescent="0.6">
      <c r="A147" s="1280"/>
      <c r="N147" s="1288"/>
      <c r="O147" s="1290"/>
      <c r="Z147" s="1290"/>
    </row>
    <row r="148" spans="1:26" x14ac:dyDescent="0.6">
      <c r="A148" s="1280"/>
      <c r="N148" s="1288"/>
      <c r="O148" s="1290"/>
      <c r="Z148" s="1290"/>
    </row>
    <row r="149" spans="1:26" x14ac:dyDescent="0.6">
      <c r="A149" s="1280"/>
      <c r="N149" s="1288"/>
      <c r="O149" s="1290"/>
      <c r="Z149" s="1290"/>
    </row>
    <row r="150" spans="1:26" x14ac:dyDescent="0.6">
      <c r="A150" s="1280"/>
      <c r="N150" s="1288"/>
      <c r="O150" s="1290"/>
      <c r="Z150" s="1290"/>
    </row>
    <row r="151" spans="1:26" x14ac:dyDescent="0.6">
      <c r="A151" s="1280"/>
      <c r="N151" s="1288"/>
      <c r="O151" s="1290"/>
      <c r="Z151" s="1290"/>
    </row>
    <row r="152" spans="1:26" x14ac:dyDescent="0.6">
      <c r="A152" s="1280"/>
      <c r="N152" s="1288"/>
      <c r="O152" s="1290"/>
      <c r="Z152" s="1290"/>
    </row>
    <row r="153" spans="1:26" x14ac:dyDescent="0.6">
      <c r="A153" s="1280"/>
      <c r="N153" s="1288"/>
      <c r="O153" s="1290"/>
      <c r="Z153" s="1290"/>
    </row>
    <row r="154" spans="1:26" x14ac:dyDescent="0.6">
      <c r="A154" s="1280"/>
      <c r="N154" s="1288"/>
      <c r="O154" s="1290"/>
      <c r="Z154" s="1290"/>
    </row>
    <row r="155" spans="1:26" x14ac:dyDescent="0.6">
      <c r="A155" s="1280"/>
      <c r="N155" s="1288"/>
      <c r="O155" s="1290"/>
      <c r="Z155" s="1290"/>
    </row>
    <row r="156" spans="1:26" x14ac:dyDescent="0.6">
      <c r="A156" s="1280"/>
      <c r="N156" s="1288"/>
      <c r="O156" s="1290"/>
      <c r="Z156" s="1290"/>
    </row>
    <row r="157" spans="1:26" x14ac:dyDescent="0.6">
      <c r="A157" s="1280"/>
      <c r="N157" s="1288"/>
      <c r="O157" s="1290"/>
      <c r="Z157" s="1290"/>
    </row>
    <row r="158" spans="1:26" x14ac:dyDescent="0.6">
      <c r="A158" s="1280"/>
      <c r="N158" s="1288"/>
      <c r="O158" s="1290"/>
      <c r="Z158" s="1290"/>
    </row>
    <row r="159" spans="1:26" x14ac:dyDescent="0.6">
      <c r="A159" s="1280"/>
      <c r="N159" s="1288"/>
      <c r="O159" s="1290"/>
      <c r="Z159" s="1290"/>
    </row>
    <row r="160" spans="1:26" x14ac:dyDescent="0.6">
      <c r="A160" s="1280"/>
      <c r="N160" s="1288"/>
      <c r="O160" s="1290"/>
      <c r="Z160" s="1290"/>
    </row>
    <row r="161" spans="1:26" x14ac:dyDescent="0.6">
      <c r="A161" s="1280"/>
      <c r="N161" s="1288"/>
      <c r="O161" s="1290"/>
      <c r="Z161" s="1290"/>
    </row>
    <row r="162" spans="1:26" x14ac:dyDescent="0.6">
      <c r="A162" s="1280"/>
      <c r="N162" s="1288"/>
      <c r="O162" s="1290"/>
      <c r="Z162" s="1290"/>
    </row>
    <row r="163" spans="1:26" x14ac:dyDescent="0.6">
      <c r="A163" s="1280"/>
      <c r="N163" s="1288"/>
      <c r="O163" s="1290"/>
      <c r="Z163" s="1290"/>
    </row>
    <row r="164" spans="1:26" x14ac:dyDescent="0.6">
      <c r="A164" s="1280"/>
      <c r="N164" s="1288"/>
      <c r="O164" s="1290"/>
      <c r="Z164" s="1290"/>
    </row>
    <row r="165" spans="1:26" x14ac:dyDescent="0.6">
      <c r="A165" s="1280"/>
      <c r="N165" s="1288"/>
      <c r="O165" s="1290"/>
      <c r="Z165" s="1290"/>
    </row>
    <row r="166" spans="1:26" x14ac:dyDescent="0.6">
      <c r="A166" s="1280"/>
      <c r="N166" s="1288"/>
      <c r="O166" s="1290"/>
      <c r="Z166" s="1290"/>
    </row>
    <row r="167" spans="1:26" x14ac:dyDescent="0.6">
      <c r="A167" s="1280"/>
      <c r="N167" s="1288"/>
      <c r="O167" s="1290"/>
      <c r="Z167" s="1290"/>
    </row>
    <row r="168" spans="1:26" x14ac:dyDescent="0.6">
      <c r="A168" s="1280"/>
      <c r="N168" s="1288"/>
      <c r="O168" s="1290"/>
      <c r="Z168" s="1290"/>
    </row>
    <row r="169" spans="1:26" x14ac:dyDescent="0.6">
      <c r="A169" s="1280"/>
      <c r="N169" s="1288"/>
      <c r="O169" s="1290"/>
      <c r="Z169" s="1290"/>
    </row>
    <row r="170" spans="1:26" x14ac:dyDescent="0.6">
      <c r="A170" s="1280"/>
      <c r="N170" s="1288"/>
      <c r="O170" s="1290"/>
      <c r="Z170" s="1290"/>
    </row>
    <row r="171" spans="1:26" x14ac:dyDescent="0.6">
      <c r="A171" s="1280"/>
      <c r="N171" s="1288"/>
      <c r="O171" s="1290"/>
      <c r="Z171" s="1290"/>
    </row>
    <row r="172" spans="1:26" x14ac:dyDescent="0.6">
      <c r="A172" s="1280"/>
      <c r="N172" s="1288"/>
      <c r="O172" s="1290"/>
      <c r="Z172" s="1290"/>
    </row>
    <row r="173" spans="1:26" x14ac:dyDescent="0.6">
      <c r="A173" s="1280"/>
      <c r="N173" s="1288"/>
      <c r="O173" s="1290"/>
      <c r="Z173" s="1290"/>
    </row>
    <row r="174" spans="1:26" x14ac:dyDescent="0.6">
      <c r="A174" s="1280"/>
      <c r="N174" s="1288"/>
      <c r="O174" s="1290"/>
      <c r="Z174" s="1290"/>
    </row>
    <row r="175" spans="1:26" x14ac:dyDescent="0.6">
      <c r="A175" s="1280"/>
      <c r="N175" s="1288"/>
      <c r="O175" s="1290"/>
      <c r="Z175" s="1290"/>
    </row>
    <row r="176" spans="1:26" x14ac:dyDescent="0.6">
      <c r="A176" s="1280"/>
      <c r="N176" s="1288"/>
      <c r="O176" s="1290"/>
      <c r="Z176" s="1290"/>
    </row>
    <row r="177" spans="1:26" x14ac:dyDescent="0.6">
      <c r="A177" s="1280"/>
      <c r="N177" s="1288"/>
      <c r="O177" s="1290"/>
      <c r="Z177" s="1290"/>
    </row>
    <row r="178" spans="1:26" x14ac:dyDescent="0.6">
      <c r="A178" s="1280"/>
      <c r="N178" s="1288"/>
      <c r="O178" s="1290"/>
      <c r="Z178" s="1290"/>
    </row>
    <row r="179" spans="1:26" x14ac:dyDescent="0.6">
      <c r="A179" s="1280"/>
      <c r="N179" s="1288"/>
      <c r="O179" s="1290"/>
      <c r="Z179" s="1290"/>
    </row>
    <row r="180" spans="1:26" x14ac:dyDescent="0.6">
      <c r="A180" s="1280"/>
      <c r="N180" s="1288"/>
      <c r="O180" s="1290"/>
      <c r="Z180" s="1290"/>
    </row>
    <row r="181" spans="1:26" x14ac:dyDescent="0.6">
      <c r="A181" s="1280"/>
      <c r="N181" s="1288"/>
      <c r="O181" s="1290"/>
      <c r="Z181" s="1290"/>
    </row>
    <row r="182" spans="1:26" x14ac:dyDescent="0.6">
      <c r="A182" s="1280"/>
      <c r="N182" s="1288"/>
      <c r="O182" s="1290"/>
      <c r="Z182" s="1290"/>
    </row>
    <row r="183" spans="1:26" x14ac:dyDescent="0.6">
      <c r="A183" s="1280"/>
      <c r="N183" s="1288"/>
      <c r="O183" s="1290"/>
      <c r="Z183" s="1290"/>
    </row>
    <row r="184" spans="1:26" x14ac:dyDescent="0.6">
      <c r="A184" s="1280"/>
      <c r="N184" s="1288"/>
      <c r="O184" s="1290"/>
      <c r="Z184" s="1290"/>
    </row>
    <row r="185" spans="1:26" x14ac:dyDescent="0.6">
      <c r="A185" s="1280"/>
      <c r="N185" s="1288"/>
      <c r="O185" s="1290"/>
      <c r="Z185" s="1290"/>
    </row>
    <row r="186" spans="1:26" x14ac:dyDescent="0.6">
      <c r="A186" s="1280"/>
      <c r="N186" s="1288"/>
      <c r="O186" s="1290"/>
      <c r="Z186" s="1290"/>
    </row>
    <row r="187" spans="1:26" x14ac:dyDescent="0.6">
      <c r="A187" s="1280"/>
      <c r="N187" s="1288"/>
      <c r="O187" s="1290"/>
      <c r="Z187" s="1290"/>
    </row>
    <row r="188" spans="1:26" x14ac:dyDescent="0.6">
      <c r="A188" s="1280"/>
      <c r="N188" s="1288"/>
      <c r="O188" s="1290"/>
      <c r="Z188" s="1290"/>
    </row>
    <row r="189" spans="1:26" x14ac:dyDescent="0.6">
      <c r="A189" s="1280"/>
      <c r="N189" s="1288"/>
      <c r="O189" s="1290"/>
      <c r="Z189" s="1290"/>
    </row>
    <row r="190" spans="1:26" x14ac:dyDescent="0.6">
      <c r="A190" s="1280"/>
      <c r="N190" s="1288"/>
      <c r="O190" s="1290"/>
      <c r="Z190" s="1290"/>
    </row>
    <row r="191" spans="1:26" x14ac:dyDescent="0.6">
      <c r="A191" s="1280"/>
      <c r="N191" s="1288"/>
      <c r="O191" s="1290"/>
      <c r="Z191" s="1290"/>
    </row>
    <row r="192" spans="1:26" x14ac:dyDescent="0.6">
      <c r="A192" s="1280"/>
      <c r="N192" s="1288"/>
      <c r="O192" s="1290"/>
      <c r="Z192" s="1290"/>
    </row>
    <row r="193" spans="1:26" x14ac:dyDescent="0.6">
      <c r="A193" s="1280"/>
      <c r="N193" s="1288"/>
      <c r="O193" s="1290"/>
      <c r="Z193" s="1290"/>
    </row>
    <row r="194" spans="1:26" x14ac:dyDescent="0.6">
      <c r="A194" s="1280"/>
      <c r="N194" s="1288"/>
      <c r="O194" s="1290"/>
      <c r="Z194" s="1290"/>
    </row>
    <row r="195" spans="1:26" x14ac:dyDescent="0.6">
      <c r="A195" s="1280"/>
      <c r="N195" s="1288"/>
      <c r="O195" s="1290"/>
      <c r="Z195" s="1290"/>
    </row>
    <row r="196" spans="1:26" x14ac:dyDescent="0.6">
      <c r="A196" s="1280"/>
      <c r="N196" s="1288"/>
      <c r="O196" s="1290"/>
      <c r="Z196" s="1290"/>
    </row>
    <row r="197" spans="1:26" x14ac:dyDescent="0.6">
      <c r="A197" s="1280"/>
      <c r="N197" s="1288"/>
      <c r="O197" s="1290"/>
      <c r="Z197" s="1290"/>
    </row>
    <row r="198" spans="1:26" x14ac:dyDescent="0.6">
      <c r="A198" s="1280"/>
      <c r="N198" s="1288"/>
      <c r="O198" s="1290"/>
      <c r="Z198" s="1290"/>
    </row>
    <row r="199" spans="1:26" x14ac:dyDescent="0.6">
      <c r="A199" s="1280"/>
      <c r="N199" s="1288"/>
      <c r="O199" s="1290"/>
      <c r="Z199" s="1290"/>
    </row>
    <row r="200" spans="1:26" x14ac:dyDescent="0.6">
      <c r="A200" s="1280"/>
      <c r="N200" s="1288"/>
      <c r="O200" s="1290"/>
      <c r="Z200" s="1290"/>
    </row>
    <row r="201" spans="1:26" x14ac:dyDescent="0.6">
      <c r="A201" s="1280"/>
      <c r="N201" s="1288"/>
      <c r="O201" s="1290"/>
      <c r="Z201" s="1290"/>
    </row>
    <row r="202" spans="1:26" x14ac:dyDescent="0.6">
      <c r="A202" s="1280"/>
      <c r="N202" s="1288"/>
      <c r="O202" s="1290"/>
      <c r="Z202" s="1290"/>
    </row>
    <row r="203" spans="1:26" x14ac:dyDescent="0.6">
      <c r="A203" s="1280"/>
      <c r="N203" s="1288"/>
      <c r="O203" s="1290"/>
      <c r="Z203" s="1290"/>
    </row>
    <row r="204" spans="1:26" x14ac:dyDescent="0.6">
      <c r="A204" s="1280"/>
      <c r="N204" s="1288"/>
      <c r="O204" s="1290"/>
      <c r="Z204" s="1290"/>
    </row>
    <row r="205" spans="1:26" x14ac:dyDescent="0.6">
      <c r="A205" s="1280"/>
      <c r="N205" s="1288"/>
      <c r="O205" s="1290"/>
      <c r="Z205" s="1290"/>
    </row>
    <row r="206" spans="1:26" x14ac:dyDescent="0.6">
      <c r="A206" s="1280"/>
      <c r="N206" s="1288"/>
      <c r="O206" s="1290"/>
      <c r="Z206" s="1290"/>
    </row>
    <row r="207" spans="1:26" x14ac:dyDescent="0.6">
      <c r="A207" s="1280"/>
      <c r="N207" s="1288"/>
      <c r="O207" s="1290"/>
      <c r="Z207" s="1290"/>
    </row>
    <row r="208" spans="1:26" x14ac:dyDescent="0.6">
      <c r="A208" s="1280"/>
      <c r="N208" s="1288"/>
      <c r="O208" s="1290"/>
      <c r="Z208" s="1290"/>
    </row>
    <row r="209" spans="1:26" x14ac:dyDescent="0.6">
      <c r="A209" s="1280"/>
      <c r="N209" s="1288"/>
      <c r="O209" s="1290"/>
      <c r="Z209" s="1290"/>
    </row>
    <row r="210" spans="1:26" x14ac:dyDescent="0.6">
      <c r="A210" s="1280"/>
      <c r="N210" s="1288"/>
      <c r="O210" s="1290"/>
      <c r="Z210" s="1290"/>
    </row>
    <row r="211" spans="1:26" x14ac:dyDescent="0.6">
      <c r="A211" s="1280"/>
      <c r="N211" s="1288"/>
      <c r="O211" s="1290"/>
      <c r="Z211" s="1290"/>
    </row>
    <row r="212" spans="1:26" x14ac:dyDescent="0.6">
      <c r="A212" s="1280"/>
      <c r="N212" s="1288"/>
      <c r="O212" s="1290"/>
      <c r="Z212" s="1290"/>
    </row>
    <row r="213" spans="1:26" x14ac:dyDescent="0.6">
      <c r="A213" s="1280"/>
      <c r="N213" s="1288"/>
      <c r="O213" s="1290"/>
      <c r="Z213" s="1290"/>
    </row>
    <row r="214" spans="1:26" x14ac:dyDescent="0.6">
      <c r="A214" s="1280"/>
      <c r="N214" s="1288"/>
      <c r="O214" s="1290"/>
      <c r="Z214" s="1290"/>
    </row>
    <row r="215" spans="1:26" x14ac:dyDescent="0.6">
      <c r="A215" s="1280"/>
      <c r="N215" s="1288"/>
      <c r="O215" s="1290"/>
      <c r="Z215" s="1290"/>
    </row>
    <row r="216" spans="1:26" x14ac:dyDescent="0.6">
      <c r="A216" s="1280"/>
      <c r="N216" s="1288"/>
      <c r="O216" s="1290"/>
      <c r="Z216" s="1290"/>
    </row>
    <row r="217" spans="1:26" x14ac:dyDescent="0.6">
      <c r="A217" s="1280"/>
      <c r="N217" s="1288"/>
      <c r="O217" s="1290"/>
      <c r="Z217" s="1290"/>
    </row>
    <row r="218" spans="1:26" x14ac:dyDescent="0.6">
      <c r="A218" s="1280"/>
      <c r="N218" s="1288"/>
      <c r="O218" s="1290"/>
      <c r="Z218" s="1290"/>
    </row>
    <row r="219" spans="1:26" x14ac:dyDescent="0.6">
      <c r="A219" s="1280"/>
      <c r="N219" s="1288"/>
      <c r="O219" s="1290"/>
      <c r="Z219" s="1290"/>
    </row>
    <row r="220" spans="1:26" x14ac:dyDescent="0.6">
      <c r="A220" s="1280"/>
      <c r="N220" s="1288"/>
      <c r="O220" s="1290"/>
      <c r="Z220" s="1290"/>
    </row>
    <row r="221" spans="1:26" x14ac:dyDescent="0.6">
      <c r="A221" s="1280"/>
      <c r="N221" s="1288"/>
      <c r="O221" s="1290"/>
      <c r="Z221" s="1290"/>
    </row>
    <row r="222" spans="1:26" x14ac:dyDescent="0.6">
      <c r="A222" s="1280"/>
      <c r="N222" s="1288"/>
      <c r="O222" s="1290"/>
      <c r="Z222" s="1290"/>
    </row>
    <row r="223" spans="1:26" x14ac:dyDescent="0.6">
      <c r="A223" s="1280"/>
      <c r="N223" s="1288"/>
      <c r="O223" s="1290"/>
      <c r="Z223" s="1290"/>
    </row>
    <row r="224" spans="1:26" x14ac:dyDescent="0.6">
      <c r="A224" s="1280"/>
      <c r="N224" s="1288"/>
      <c r="O224" s="1290"/>
      <c r="Z224" s="1290"/>
    </row>
    <row r="225" spans="1:26" x14ac:dyDescent="0.6">
      <c r="A225" s="1280"/>
      <c r="N225" s="1288"/>
      <c r="O225" s="1290"/>
      <c r="Z225" s="1290"/>
    </row>
    <row r="226" spans="1:26" x14ac:dyDescent="0.6">
      <c r="A226" s="1280"/>
      <c r="N226" s="1288"/>
      <c r="O226" s="1290"/>
      <c r="Z226" s="1290"/>
    </row>
    <row r="227" spans="1:26" x14ac:dyDescent="0.6">
      <c r="A227" s="1280"/>
      <c r="N227" s="1288"/>
      <c r="O227" s="1290"/>
      <c r="Z227" s="1290"/>
    </row>
    <row r="228" spans="1:26" x14ac:dyDescent="0.6">
      <c r="A228" s="1280"/>
      <c r="N228" s="1288"/>
      <c r="O228" s="1290"/>
      <c r="Z228" s="1290"/>
    </row>
    <row r="229" spans="1:26" x14ac:dyDescent="0.6">
      <c r="A229" s="1280"/>
      <c r="N229" s="1288"/>
      <c r="O229" s="1290"/>
      <c r="Z229" s="1290"/>
    </row>
    <row r="230" spans="1:26" x14ac:dyDescent="0.6">
      <c r="A230" s="1280"/>
      <c r="N230" s="1288"/>
      <c r="O230" s="1290"/>
      <c r="Z230" s="1290"/>
    </row>
    <row r="231" spans="1:26" x14ac:dyDescent="0.6">
      <c r="A231" s="1280"/>
      <c r="N231" s="1288"/>
      <c r="O231" s="1290"/>
      <c r="Z231" s="1290"/>
    </row>
    <row r="232" spans="1:26" x14ac:dyDescent="0.6">
      <c r="A232" s="1280"/>
      <c r="N232" s="1288"/>
      <c r="O232" s="1290"/>
      <c r="Z232" s="1290"/>
    </row>
    <row r="233" spans="1:26" x14ac:dyDescent="0.6">
      <c r="A233" s="1280"/>
      <c r="N233" s="1288"/>
      <c r="O233" s="1290"/>
      <c r="Z233" s="1290"/>
    </row>
    <row r="234" spans="1:26" x14ac:dyDescent="0.6">
      <c r="A234" s="1280"/>
      <c r="N234" s="1288"/>
      <c r="O234" s="1290"/>
      <c r="Z234" s="1290"/>
    </row>
    <row r="235" spans="1:26" x14ac:dyDescent="0.6">
      <c r="A235" s="1280"/>
      <c r="N235" s="1288"/>
      <c r="O235" s="1290"/>
      <c r="Z235" s="1290"/>
    </row>
    <row r="236" spans="1:26" x14ac:dyDescent="0.6">
      <c r="A236" s="1280"/>
      <c r="N236" s="1288"/>
      <c r="O236" s="1290"/>
      <c r="Z236" s="1290"/>
    </row>
    <row r="237" spans="1:26" x14ac:dyDescent="0.6">
      <c r="A237" s="1280"/>
      <c r="N237" s="1288"/>
      <c r="O237" s="1290"/>
      <c r="Z237" s="1290"/>
    </row>
    <row r="238" spans="1:26" x14ac:dyDescent="0.6">
      <c r="A238" s="1280"/>
      <c r="N238" s="1288"/>
      <c r="O238" s="1290"/>
      <c r="Z238" s="1290"/>
    </row>
    <row r="239" spans="1:26" x14ac:dyDescent="0.6">
      <c r="A239" s="1280"/>
      <c r="N239" s="1288"/>
      <c r="O239" s="1290"/>
      <c r="Z239" s="1290"/>
    </row>
    <row r="240" spans="1:26" x14ac:dyDescent="0.6">
      <c r="A240" s="1280"/>
      <c r="N240" s="1288"/>
      <c r="O240" s="1290"/>
      <c r="Z240" s="1290"/>
    </row>
    <row r="241" spans="1:26" x14ac:dyDescent="0.6">
      <c r="A241" s="1280"/>
      <c r="N241" s="1288"/>
      <c r="O241" s="1290"/>
      <c r="Z241" s="1290"/>
    </row>
    <row r="242" spans="1:26" x14ac:dyDescent="0.6">
      <c r="A242" s="1280"/>
      <c r="N242" s="1288"/>
      <c r="O242" s="1290"/>
      <c r="Z242" s="1290"/>
    </row>
    <row r="243" spans="1:26" x14ac:dyDescent="0.6">
      <c r="A243" s="1280"/>
      <c r="N243" s="1288"/>
      <c r="O243" s="1290"/>
      <c r="Z243" s="1290"/>
    </row>
    <row r="244" spans="1:26" x14ac:dyDescent="0.6">
      <c r="A244" s="1280"/>
      <c r="N244" s="1288"/>
      <c r="O244" s="1290"/>
      <c r="Z244" s="1290"/>
    </row>
    <row r="245" spans="1:26" x14ac:dyDescent="0.6">
      <c r="A245" s="1280"/>
      <c r="N245" s="1288"/>
      <c r="O245" s="1290"/>
      <c r="Z245" s="1290"/>
    </row>
    <row r="246" spans="1:26" x14ac:dyDescent="0.6">
      <c r="A246" s="1280"/>
      <c r="N246" s="1288"/>
      <c r="O246" s="1290"/>
      <c r="Z246" s="1290"/>
    </row>
    <row r="247" spans="1:26" x14ac:dyDescent="0.6">
      <c r="A247" s="1280"/>
      <c r="N247" s="1288"/>
      <c r="O247" s="1290"/>
      <c r="Z247" s="1290"/>
    </row>
    <row r="248" spans="1:26" x14ac:dyDescent="0.6">
      <c r="A248" s="1280"/>
      <c r="N248" s="1288"/>
      <c r="O248" s="1290"/>
      <c r="Z248" s="1290"/>
    </row>
    <row r="249" spans="1:26" x14ac:dyDescent="0.6">
      <c r="A249" s="1280"/>
      <c r="N249" s="1288"/>
      <c r="O249" s="1290"/>
      <c r="Z249" s="1290"/>
    </row>
    <row r="250" spans="1:26" x14ac:dyDescent="0.6">
      <c r="A250" s="1280"/>
      <c r="N250" s="1288"/>
      <c r="O250" s="1290"/>
      <c r="Z250" s="1290"/>
    </row>
    <row r="251" spans="1:26" x14ac:dyDescent="0.6">
      <c r="A251" s="1280"/>
      <c r="N251" s="1288"/>
      <c r="O251" s="1290"/>
      <c r="Z251" s="1290"/>
    </row>
    <row r="252" spans="1:26" x14ac:dyDescent="0.6">
      <c r="A252" s="1280"/>
      <c r="N252" s="1288"/>
      <c r="O252" s="1290"/>
      <c r="Z252" s="1290"/>
    </row>
    <row r="253" spans="1:26" x14ac:dyDescent="0.6">
      <c r="A253" s="1280"/>
      <c r="N253" s="1288"/>
      <c r="O253" s="1290"/>
      <c r="Z253" s="1290"/>
    </row>
    <row r="254" spans="1:26" x14ac:dyDescent="0.6">
      <c r="A254" s="1280"/>
      <c r="N254" s="1288"/>
      <c r="O254" s="1290"/>
      <c r="Z254" s="1290"/>
    </row>
    <row r="255" spans="1:26" x14ac:dyDescent="0.6">
      <c r="A255" s="1280"/>
      <c r="N255" s="1288"/>
      <c r="O255" s="1290"/>
      <c r="Z255" s="1290"/>
    </row>
    <row r="256" spans="1:26" x14ac:dyDescent="0.6">
      <c r="A256" s="1280"/>
      <c r="N256" s="1288"/>
      <c r="O256" s="1290"/>
      <c r="Z256" s="1290"/>
    </row>
    <row r="257" spans="1:26" x14ac:dyDescent="0.6">
      <c r="A257" s="1280"/>
      <c r="N257" s="1288"/>
      <c r="O257" s="1290"/>
      <c r="Z257" s="1290"/>
    </row>
    <row r="258" spans="1:26" x14ac:dyDescent="0.6">
      <c r="A258" s="1280"/>
      <c r="N258" s="1288"/>
      <c r="O258" s="1290"/>
      <c r="Z258" s="1290"/>
    </row>
    <row r="259" spans="1:26" x14ac:dyDescent="0.6">
      <c r="A259" s="1280"/>
      <c r="N259" s="1288"/>
      <c r="O259" s="1290"/>
      <c r="Z259" s="1290"/>
    </row>
    <row r="260" spans="1:26" x14ac:dyDescent="0.6">
      <c r="A260" s="1280"/>
      <c r="N260" s="1288"/>
      <c r="O260" s="1290"/>
      <c r="Z260" s="1290"/>
    </row>
    <row r="261" spans="1:26" x14ac:dyDescent="0.6">
      <c r="A261" s="1280"/>
      <c r="N261" s="1288"/>
      <c r="O261" s="1290"/>
      <c r="Z261" s="1290"/>
    </row>
    <row r="262" spans="1:26" x14ac:dyDescent="0.6">
      <c r="A262" s="1280"/>
      <c r="N262" s="1288"/>
      <c r="O262" s="1290"/>
      <c r="Z262" s="1290"/>
    </row>
    <row r="263" spans="1:26" x14ac:dyDescent="0.6">
      <c r="A263" s="1280"/>
      <c r="N263" s="1288"/>
      <c r="O263" s="1290"/>
      <c r="Z263" s="1290"/>
    </row>
    <row r="264" spans="1:26" x14ac:dyDescent="0.6">
      <c r="A264" s="1280"/>
      <c r="N264" s="1288"/>
      <c r="O264" s="1290"/>
      <c r="Z264" s="1290"/>
    </row>
    <row r="265" spans="1:26" x14ac:dyDescent="0.6">
      <c r="A265" s="1280"/>
      <c r="N265" s="1288"/>
      <c r="O265" s="1290"/>
      <c r="Z265" s="1290"/>
    </row>
    <row r="266" spans="1:26" x14ac:dyDescent="0.6">
      <c r="A266" s="1280"/>
      <c r="N266" s="1288"/>
      <c r="O266" s="1290"/>
      <c r="Z266" s="1290"/>
    </row>
    <row r="267" spans="1:26" x14ac:dyDescent="0.6">
      <c r="A267" s="1280"/>
      <c r="N267" s="1288"/>
      <c r="O267" s="1290"/>
      <c r="Z267" s="1290"/>
    </row>
    <row r="268" spans="1:26" x14ac:dyDescent="0.6">
      <c r="A268" s="1280"/>
      <c r="N268" s="1288"/>
      <c r="O268" s="1290"/>
      <c r="Z268" s="1290"/>
    </row>
    <row r="269" spans="1:26" x14ac:dyDescent="0.6">
      <c r="A269" s="1280"/>
      <c r="N269" s="1288"/>
      <c r="O269" s="1290"/>
      <c r="Z269" s="1290"/>
    </row>
    <row r="270" spans="1:26" x14ac:dyDescent="0.6">
      <c r="A270" s="1280"/>
      <c r="N270" s="1288"/>
      <c r="O270" s="1290"/>
      <c r="Z270" s="1290"/>
    </row>
    <row r="271" spans="1:26" x14ac:dyDescent="0.6">
      <c r="A271" s="1280"/>
      <c r="N271" s="1288"/>
      <c r="O271" s="1290"/>
      <c r="Z271" s="1290"/>
    </row>
    <row r="272" spans="1:26" x14ac:dyDescent="0.6">
      <c r="A272" s="1280"/>
      <c r="N272" s="1288"/>
      <c r="O272" s="1290"/>
      <c r="Z272" s="1290"/>
    </row>
    <row r="273" spans="1:26" x14ac:dyDescent="0.6">
      <c r="A273" s="1280"/>
      <c r="N273" s="1288"/>
      <c r="O273" s="1290"/>
      <c r="Z273" s="1290"/>
    </row>
    <row r="274" spans="1:26" x14ac:dyDescent="0.6">
      <c r="A274" s="1280"/>
      <c r="N274" s="1288"/>
      <c r="O274" s="1290"/>
      <c r="Z274" s="1290"/>
    </row>
    <row r="275" spans="1:26" x14ac:dyDescent="0.6">
      <c r="A275" s="1280"/>
      <c r="N275" s="1288"/>
      <c r="O275" s="1290"/>
      <c r="Z275" s="1290"/>
    </row>
    <row r="276" spans="1:26" x14ac:dyDescent="0.6">
      <c r="A276" s="1280"/>
      <c r="N276" s="1288"/>
      <c r="O276" s="1290"/>
      <c r="Z276" s="1290"/>
    </row>
    <row r="277" spans="1:26" x14ac:dyDescent="0.6">
      <c r="A277" s="1280"/>
      <c r="N277" s="1288"/>
      <c r="O277" s="1290"/>
      <c r="Z277" s="1290"/>
    </row>
    <row r="278" spans="1:26" x14ac:dyDescent="0.6">
      <c r="A278" s="1280"/>
      <c r="N278" s="1288"/>
      <c r="O278" s="1290"/>
      <c r="Z278" s="1290"/>
    </row>
    <row r="279" spans="1:26" x14ac:dyDescent="0.6">
      <c r="A279" s="1280"/>
      <c r="N279" s="1288"/>
      <c r="O279" s="1290"/>
      <c r="Z279" s="1290"/>
    </row>
    <row r="280" spans="1:26" x14ac:dyDescent="0.6">
      <c r="A280" s="1280"/>
      <c r="N280" s="1288"/>
      <c r="O280" s="1290"/>
      <c r="Z280" s="1290"/>
    </row>
    <row r="281" spans="1:26" x14ac:dyDescent="0.6">
      <c r="A281" s="1280"/>
      <c r="N281" s="1288"/>
      <c r="O281" s="1290"/>
      <c r="Z281" s="1290"/>
    </row>
    <row r="282" spans="1:26" x14ac:dyDescent="0.6">
      <c r="A282" s="1280"/>
      <c r="N282" s="1288"/>
      <c r="O282" s="1290"/>
      <c r="Z282" s="1290"/>
    </row>
    <row r="283" spans="1:26" x14ac:dyDescent="0.6">
      <c r="A283" s="1280"/>
      <c r="N283" s="1288"/>
      <c r="O283" s="1290"/>
      <c r="Z283" s="1290"/>
    </row>
    <row r="284" spans="1:26" x14ac:dyDescent="0.6">
      <c r="A284" s="1280"/>
      <c r="N284" s="1288"/>
      <c r="O284" s="1290"/>
      <c r="Z284" s="1290"/>
    </row>
    <row r="285" spans="1:26" x14ac:dyDescent="0.6">
      <c r="A285" s="1280"/>
      <c r="N285" s="1288"/>
      <c r="O285" s="1290"/>
      <c r="Z285" s="1290"/>
    </row>
    <row r="286" spans="1:26" x14ac:dyDescent="0.6">
      <c r="A286" s="1280"/>
      <c r="N286" s="1288"/>
      <c r="O286" s="1290"/>
      <c r="Z286" s="1290"/>
    </row>
    <row r="287" spans="1:26" x14ac:dyDescent="0.6">
      <c r="A287" s="1280"/>
      <c r="N287" s="1288"/>
      <c r="O287" s="1290"/>
      <c r="Z287" s="1290"/>
    </row>
    <row r="288" spans="1:26" x14ac:dyDescent="0.6">
      <c r="A288" s="1280"/>
      <c r="N288" s="1288"/>
      <c r="O288" s="1290"/>
      <c r="Z288" s="1290"/>
    </row>
    <row r="289" spans="1:26" x14ac:dyDescent="0.6">
      <c r="A289" s="1280"/>
      <c r="N289" s="1288"/>
      <c r="O289" s="1290"/>
      <c r="Z289" s="1290"/>
    </row>
    <row r="290" spans="1:26" x14ac:dyDescent="0.6">
      <c r="A290" s="1280"/>
      <c r="N290" s="1288"/>
      <c r="O290" s="1290"/>
      <c r="Z290" s="1290"/>
    </row>
    <row r="291" spans="1:26" x14ac:dyDescent="0.6">
      <c r="A291" s="1280"/>
      <c r="N291" s="1288"/>
      <c r="O291" s="1290"/>
      <c r="Z291" s="1290"/>
    </row>
    <row r="292" spans="1:26" x14ac:dyDescent="0.6">
      <c r="A292" s="1280"/>
      <c r="N292" s="1288"/>
      <c r="O292" s="1290"/>
      <c r="Z292" s="1290"/>
    </row>
    <row r="293" spans="1:26" x14ac:dyDescent="0.6">
      <c r="A293" s="1280"/>
      <c r="N293" s="1288"/>
      <c r="O293" s="1290"/>
      <c r="Z293" s="1290"/>
    </row>
    <row r="294" spans="1:26" x14ac:dyDescent="0.6">
      <c r="A294" s="1280"/>
      <c r="N294" s="1288"/>
      <c r="O294" s="1290"/>
      <c r="Z294" s="1290"/>
    </row>
    <row r="295" spans="1:26" x14ac:dyDescent="0.6">
      <c r="A295" s="1280"/>
      <c r="N295" s="1288"/>
      <c r="O295" s="1290"/>
      <c r="Z295" s="1290"/>
    </row>
    <row r="296" spans="1:26" x14ac:dyDescent="0.6">
      <c r="A296" s="1280"/>
      <c r="N296" s="1288"/>
      <c r="O296" s="1290"/>
      <c r="Z296" s="1290"/>
    </row>
    <row r="297" spans="1:26" x14ac:dyDescent="0.6">
      <c r="A297" s="1280"/>
      <c r="N297" s="1288"/>
      <c r="O297" s="1290"/>
      <c r="Z297" s="1290"/>
    </row>
    <row r="298" spans="1:26" x14ac:dyDescent="0.6">
      <c r="A298" s="1280"/>
      <c r="N298" s="1288"/>
      <c r="O298" s="1290"/>
      <c r="Z298" s="1290"/>
    </row>
    <row r="299" spans="1:26" x14ac:dyDescent="0.6">
      <c r="A299" s="1280"/>
      <c r="N299" s="1288"/>
      <c r="O299" s="1290"/>
      <c r="Z299" s="1290"/>
    </row>
    <row r="300" spans="1:26" x14ac:dyDescent="0.6">
      <c r="A300" s="1280"/>
      <c r="N300" s="1288"/>
      <c r="O300" s="1290"/>
      <c r="Z300" s="1290"/>
    </row>
    <row r="301" spans="1:26" x14ac:dyDescent="0.6">
      <c r="A301" s="1280"/>
      <c r="N301" s="1288"/>
      <c r="O301" s="1290"/>
      <c r="Z301" s="1290"/>
    </row>
    <row r="302" spans="1:26" x14ac:dyDescent="0.6">
      <c r="A302" s="1280"/>
      <c r="N302" s="1288"/>
      <c r="O302" s="1290"/>
      <c r="Z302" s="1290"/>
    </row>
    <row r="303" spans="1:26" x14ac:dyDescent="0.6">
      <c r="A303" s="1280"/>
      <c r="N303" s="1288"/>
      <c r="O303" s="1290"/>
      <c r="Z303" s="1290"/>
    </row>
    <row r="304" spans="1:26" x14ac:dyDescent="0.6">
      <c r="A304" s="1280"/>
      <c r="N304" s="1288"/>
      <c r="O304" s="1290"/>
      <c r="Z304" s="1290"/>
    </row>
    <row r="305" spans="1:26" x14ac:dyDescent="0.6">
      <c r="A305" s="1280"/>
      <c r="N305" s="1288"/>
      <c r="O305" s="1290"/>
      <c r="Z305" s="1290"/>
    </row>
    <row r="306" spans="1:26" x14ac:dyDescent="0.6">
      <c r="A306" s="1280"/>
      <c r="N306" s="1288"/>
      <c r="O306" s="1290"/>
      <c r="Z306" s="1290"/>
    </row>
    <row r="307" spans="1:26" x14ac:dyDescent="0.6">
      <c r="A307" s="1280"/>
      <c r="N307" s="1288"/>
      <c r="O307" s="1290"/>
      <c r="Z307" s="1290"/>
    </row>
    <row r="308" spans="1:26" x14ac:dyDescent="0.6">
      <c r="A308" s="1280"/>
      <c r="N308" s="1288"/>
      <c r="O308" s="1290"/>
      <c r="Z308" s="1290"/>
    </row>
    <row r="309" spans="1:26" x14ac:dyDescent="0.6">
      <c r="A309" s="1280"/>
      <c r="N309" s="1288"/>
      <c r="O309" s="1290"/>
      <c r="Z309" s="1290"/>
    </row>
    <row r="310" spans="1:26" x14ac:dyDescent="0.6">
      <c r="A310" s="1280"/>
      <c r="N310" s="1288"/>
      <c r="O310" s="1290"/>
      <c r="Z310" s="1290"/>
    </row>
    <row r="311" spans="1:26" x14ac:dyDescent="0.6">
      <c r="A311" s="1280"/>
      <c r="N311" s="1288"/>
      <c r="O311" s="1290"/>
      <c r="Z311" s="1290"/>
    </row>
    <row r="312" spans="1:26" x14ac:dyDescent="0.6">
      <c r="A312" s="1280"/>
      <c r="N312" s="1288"/>
      <c r="O312" s="1290"/>
      <c r="Z312" s="1290"/>
    </row>
    <row r="313" spans="1:26" x14ac:dyDescent="0.6">
      <c r="A313" s="1280"/>
      <c r="N313" s="1288"/>
      <c r="O313" s="1290"/>
      <c r="Z313" s="1290"/>
    </row>
    <row r="314" spans="1:26" x14ac:dyDescent="0.6">
      <c r="A314" s="1280"/>
      <c r="N314" s="1288"/>
      <c r="O314" s="1290"/>
      <c r="Z314" s="1290"/>
    </row>
    <row r="315" spans="1:26" x14ac:dyDescent="0.6">
      <c r="A315" s="1280"/>
      <c r="N315" s="1288"/>
      <c r="O315" s="1290"/>
      <c r="Z315" s="1290"/>
    </row>
    <row r="316" spans="1:26" x14ac:dyDescent="0.6">
      <c r="A316" s="1280"/>
      <c r="N316" s="1288"/>
      <c r="O316" s="1290"/>
      <c r="Z316" s="1290"/>
    </row>
    <row r="317" spans="1:26" x14ac:dyDescent="0.6">
      <c r="A317" s="1280"/>
      <c r="N317" s="1288"/>
      <c r="O317" s="1290"/>
      <c r="Z317" s="1290"/>
    </row>
    <row r="318" spans="1:26" x14ac:dyDescent="0.6">
      <c r="A318" s="1280"/>
      <c r="N318" s="1288"/>
      <c r="O318" s="1290"/>
      <c r="Z318" s="1290"/>
    </row>
    <row r="319" spans="1:26" x14ac:dyDescent="0.6">
      <c r="A319" s="1280"/>
      <c r="N319" s="1288"/>
      <c r="O319" s="1290"/>
      <c r="Z319" s="1290"/>
    </row>
    <row r="320" spans="1:26" x14ac:dyDescent="0.6">
      <c r="A320" s="1280"/>
      <c r="N320" s="1288"/>
      <c r="O320" s="1290"/>
      <c r="Z320" s="1290"/>
    </row>
    <row r="321" spans="1:26" x14ac:dyDescent="0.6">
      <c r="A321" s="1280"/>
      <c r="N321" s="1288"/>
      <c r="O321" s="1290"/>
      <c r="Z321" s="1290"/>
    </row>
    <row r="322" spans="1:26" x14ac:dyDescent="0.6">
      <c r="A322" s="1280"/>
      <c r="N322" s="1288"/>
      <c r="O322" s="1290"/>
      <c r="Z322" s="1290"/>
    </row>
    <row r="323" spans="1:26" x14ac:dyDescent="0.6">
      <c r="A323" s="1280"/>
      <c r="N323" s="1288"/>
      <c r="O323" s="1290"/>
      <c r="Z323" s="1290"/>
    </row>
    <row r="324" spans="1:26" x14ac:dyDescent="0.6">
      <c r="A324" s="1280"/>
      <c r="N324" s="1288"/>
      <c r="O324" s="1290"/>
      <c r="Z324" s="1290"/>
    </row>
    <row r="325" spans="1:26" x14ac:dyDescent="0.6">
      <c r="A325" s="1280"/>
      <c r="N325" s="1288"/>
      <c r="O325" s="1290"/>
      <c r="Z325" s="1290"/>
    </row>
    <row r="326" spans="1:26" x14ac:dyDescent="0.6">
      <c r="A326" s="1280"/>
      <c r="N326" s="1288"/>
      <c r="O326" s="1290"/>
      <c r="Z326" s="1290"/>
    </row>
    <row r="327" spans="1:26" x14ac:dyDescent="0.6">
      <c r="A327" s="1280"/>
      <c r="N327" s="1288"/>
      <c r="O327" s="1290"/>
      <c r="Z327" s="1290"/>
    </row>
    <row r="328" spans="1:26" x14ac:dyDescent="0.6">
      <c r="A328" s="1280"/>
      <c r="N328" s="1288"/>
      <c r="O328" s="1290"/>
      <c r="Z328" s="1290"/>
    </row>
    <row r="329" spans="1:26" x14ac:dyDescent="0.6">
      <c r="A329" s="1280"/>
      <c r="N329" s="1288"/>
      <c r="O329" s="1290"/>
      <c r="Z329" s="1290"/>
    </row>
    <row r="330" spans="1:26" x14ac:dyDescent="0.6">
      <c r="A330" s="1280"/>
      <c r="N330" s="1288"/>
      <c r="O330" s="1290"/>
      <c r="Z330" s="1290"/>
    </row>
    <row r="331" spans="1:26" x14ac:dyDescent="0.6">
      <c r="A331" s="1280"/>
      <c r="N331" s="1288"/>
      <c r="O331" s="1290"/>
      <c r="Z331" s="1290"/>
    </row>
    <row r="332" spans="1:26" x14ac:dyDescent="0.6">
      <c r="A332" s="1280"/>
      <c r="N332" s="1288"/>
      <c r="O332" s="1290"/>
      <c r="Z332" s="1290"/>
    </row>
    <row r="333" spans="1:26" x14ac:dyDescent="0.6">
      <c r="A333" s="1280"/>
      <c r="N333" s="1288"/>
      <c r="O333" s="1290"/>
      <c r="Z333" s="1290"/>
    </row>
    <row r="334" spans="1:26" x14ac:dyDescent="0.6">
      <c r="A334" s="1280"/>
      <c r="N334" s="1288"/>
      <c r="O334" s="1290"/>
      <c r="Z334" s="1290"/>
    </row>
    <row r="335" spans="1:26" x14ac:dyDescent="0.6">
      <c r="A335" s="1280"/>
      <c r="N335" s="1288"/>
      <c r="O335" s="1290"/>
      <c r="Z335" s="1290"/>
    </row>
    <row r="336" spans="1:26" x14ac:dyDescent="0.6">
      <c r="A336" s="1280"/>
      <c r="N336" s="1288"/>
      <c r="O336" s="1290"/>
      <c r="Z336" s="1290"/>
    </row>
    <row r="337" spans="1:26" x14ac:dyDescent="0.6">
      <c r="A337" s="1280"/>
      <c r="N337" s="1288"/>
      <c r="O337" s="1290"/>
      <c r="Z337" s="1290"/>
    </row>
    <row r="338" spans="1:26" x14ac:dyDescent="0.6">
      <c r="A338" s="1280"/>
      <c r="N338" s="1288"/>
      <c r="O338" s="1290"/>
      <c r="Z338" s="1290"/>
    </row>
    <row r="339" spans="1:26" x14ac:dyDescent="0.6">
      <c r="A339" s="1280"/>
      <c r="N339" s="1288"/>
      <c r="O339" s="1290"/>
      <c r="Z339" s="1290"/>
    </row>
    <row r="340" spans="1:26" x14ac:dyDescent="0.6">
      <c r="A340" s="1280"/>
      <c r="N340" s="1288"/>
      <c r="O340" s="1290"/>
      <c r="Z340" s="1290"/>
    </row>
    <row r="341" spans="1:26" x14ac:dyDescent="0.6">
      <c r="A341" s="1280"/>
      <c r="N341" s="1288"/>
      <c r="O341" s="1290"/>
      <c r="Z341" s="1290"/>
    </row>
    <row r="342" spans="1:26" x14ac:dyDescent="0.6">
      <c r="A342" s="1280"/>
      <c r="N342" s="1288"/>
      <c r="O342" s="1290"/>
      <c r="Z342" s="1290"/>
    </row>
    <row r="343" spans="1:26" x14ac:dyDescent="0.6">
      <c r="A343" s="1280"/>
      <c r="N343" s="1288"/>
      <c r="O343" s="1290"/>
      <c r="Z343" s="1290"/>
    </row>
    <row r="344" spans="1:26" x14ac:dyDescent="0.6">
      <c r="A344" s="1280"/>
      <c r="N344" s="1288"/>
      <c r="O344" s="1290"/>
      <c r="Z344" s="1290"/>
    </row>
    <row r="345" spans="1:26" x14ac:dyDescent="0.6">
      <c r="A345" s="1280"/>
      <c r="N345" s="1288"/>
      <c r="O345" s="1290"/>
      <c r="Z345" s="1290"/>
    </row>
    <row r="346" spans="1:26" x14ac:dyDescent="0.6">
      <c r="A346" s="1280"/>
      <c r="N346" s="1288"/>
      <c r="O346" s="1290"/>
      <c r="Z346" s="1290"/>
    </row>
    <row r="347" spans="1:26" x14ac:dyDescent="0.6">
      <c r="A347" s="1280"/>
      <c r="N347" s="1288"/>
      <c r="O347" s="1290"/>
      <c r="Z347" s="1290"/>
    </row>
    <row r="348" spans="1:26" x14ac:dyDescent="0.6">
      <c r="A348" s="1280"/>
      <c r="N348" s="1288"/>
      <c r="O348" s="1290"/>
      <c r="Z348" s="1290"/>
    </row>
    <row r="349" spans="1:26" x14ac:dyDescent="0.6">
      <c r="A349" s="1280"/>
      <c r="N349" s="1288"/>
      <c r="O349" s="1290"/>
      <c r="Z349" s="1290"/>
    </row>
    <row r="350" spans="1:26" x14ac:dyDescent="0.6">
      <c r="A350" s="1280"/>
      <c r="N350" s="1288"/>
      <c r="O350" s="1290"/>
      <c r="Z350" s="1290"/>
    </row>
    <row r="351" spans="1:26" x14ac:dyDescent="0.6">
      <c r="A351" s="1280"/>
      <c r="N351" s="1288"/>
      <c r="O351" s="1290"/>
      <c r="Z351" s="1290"/>
    </row>
    <row r="352" spans="1:26" x14ac:dyDescent="0.6">
      <c r="A352" s="1280"/>
      <c r="N352" s="1288"/>
      <c r="O352" s="1290"/>
      <c r="Z352" s="1290"/>
    </row>
    <row r="353" spans="1:26" x14ac:dyDescent="0.6">
      <c r="A353" s="1280"/>
      <c r="N353" s="1288"/>
      <c r="O353" s="1290"/>
      <c r="Z353" s="1290"/>
    </row>
    <row r="354" spans="1:26" x14ac:dyDescent="0.6">
      <c r="A354" s="1280"/>
      <c r="N354" s="1288"/>
      <c r="O354" s="1290"/>
      <c r="Z354" s="1290"/>
    </row>
    <row r="355" spans="1:26" x14ac:dyDescent="0.6">
      <c r="A355" s="1280"/>
      <c r="N355" s="1288"/>
      <c r="O355" s="1290"/>
      <c r="Z355" s="1290"/>
    </row>
    <row r="356" spans="1:26" x14ac:dyDescent="0.6">
      <c r="A356" s="1280"/>
      <c r="N356" s="1288"/>
      <c r="O356" s="1290"/>
      <c r="Z356" s="1290"/>
    </row>
    <row r="357" spans="1:26" x14ac:dyDescent="0.6">
      <c r="A357" s="1280"/>
      <c r="N357" s="1288"/>
      <c r="O357" s="1290"/>
      <c r="Z357" s="1290"/>
    </row>
    <row r="358" spans="1:26" x14ac:dyDescent="0.6">
      <c r="A358" s="1280"/>
      <c r="N358" s="1288"/>
      <c r="O358" s="1290"/>
      <c r="Z358" s="1290"/>
    </row>
    <row r="359" spans="1:26" x14ac:dyDescent="0.6">
      <c r="A359" s="1280"/>
      <c r="N359" s="1288"/>
      <c r="O359" s="1290"/>
      <c r="Z359" s="1290"/>
    </row>
    <row r="360" spans="1:26" x14ac:dyDescent="0.6">
      <c r="A360" s="1280"/>
      <c r="N360" s="1288"/>
      <c r="O360" s="1290"/>
      <c r="Z360" s="1290"/>
    </row>
    <row r="361" spans="1:26" x14ac:dyDescent="0.6">
      <c r="A361" s="1280"/>
      <c r="N361" s="1288"/>
      <c r="O361" s="1290"/>
      <c r="Z361" s="1290"/>
    </row>
    <row r="362" spans="1:26" x14ac:dyDescent="0.6">
      <c r="A362" s="1280"/>
      <c r="N362" s="1288"/>
      <c r="O362" s="1290"/>
      <c r="Z362" s="1290"/>
    </row>
    <row r="363" spans="1:26" x14ac:dyDescent="0.6">
      <c r="A363" s="1280"/>
      <c r="N363" s="1288"/>
      <c r="O363" s="1290"/>
      <c r="Z363" s="1290"/>
    </row>
    <row r="364" spans="1:26" x14ac:dyDescent="0.6">
      <c r="A364" s="1280"/>
      <c r="N364" s="1288"/>
      <c r="O364" s="1290"/>
      <c r="Z364" s="1290"/>
    </row>
    <row r="365" spans="1:26" x14ac:dyDescent="0.6">
      <c r="A365" s="1280"/>
      <c r="N365" s="1288"/>
      <c r="O365" s="1290"/>
      <c r="Z365" s="1290"/>
    </row>
    <row r="366" spans="1:26" x14ac:dyDescent="0.6">
      <c r="A366" s="1280"/>
      <c r="N366" s="1288"/>
      <c r="O366" s="1290"/>
      <c r="Z366" s="1290"/>
    </row>
    <row r="367" spans="1:26" x14ac:dyDescent="0.6">
      <c r="A367" s="1280"/>
      <c r="N367" s="1288"/>
      <c r="O367" s="1290"/>
      <c r="Z367" s="1290"/>
    </row>
    <row r="368" spans="1:26" x14ac:dyDescent="0.6">
      <c r="A368" s="1280"/>
      <c r="N368" s="1288"/>
      <c r="O368" s="1290"/>
      <c r="Z368" s="1290"/>
    </row>
    <row r="369" spans="1:26" x14ac:dyDescent="0.6">
      <c r="A369" s="1280"/>
      <c r="N369" s="1288"/>
      <c r="O369" s="1290"/>
      <c r="Z369" s="1290"/>
    </row>
    <row r="370" spans="1:26" x14ac:dyDescent="0.6">
      <c r="A370" s="1280"/>
      <c r="N370" s="1288"/>
      <c r="O370" s="1290"/>
      <c r="Z370" s="1290"/>
    </row>
    <row r="371" spans="1:26" x14ac:dyDescent="0.6">
      <c r="A371" s="1280"/>
      <c r="N371" s="1288"/>
      <c r="O371" s="1290"/>
      <c r="Z371" s="1290"/>
    </row>
    <row r="372" spans="1:26" x14ac:dyDescent="0.6">
      <c r="A372" s="1280"/>
      <c r="N372" s="1288"/>
      <c r="O372" s="1290"/>
      <c r="Z372" s="1290"/>
    </row>
    <row r="373" spans="1:26" x14ac:dyDescent="0.6">
      <c r="A373" s="1280"/>
      <c r="N373" s="1288"/>
      <c r="O373" s="1290"/>
      <c r="Z373" s="1290"/>
    </row>
    <row r="374" spans="1:26" x14ac:dyDescent="0.6">
      <c r="A374" s="1280"/>
      <c r="N374" s="1288"/>
      <c r="O374" s="1290"/>
      <c r="Z374" s="1290"/>
    </row>
    <row r="375" spans="1:26" x14ac:dyDescent="0.6">
      <c r="A375" s="1280"/>
      <c r="N375" s="1288"/>
      <c r="O375" s="1290"/>
      <c r="Z375" s="1290"/>
    </row>
    <row r="376" spans="1:26" x14ac:dyDescent="0.6">
      <c r="A376" s="1280"/>
      <c r="N376" s="1288"/>
      <c r="O376" s="1290"/>
      <c r="Z376" s="1290"/>
    </row>
    <row r="377" spans="1:26" x14ac:dyDescent="0.6">
      <c r="A377" s="1280"/>
      <c r="N377" s="1288"/>
      <c r="O377" s="1290"/>
      <c r="Z377" s="1290"/>
    </row>
    <row r="378" spans="1:26" x14ac:dyDescent="0.6">
      <c r="A378" s="1280"/>
      <c r="N378" s="1288"/>
      <c r="O378" s="1290"/>
      <c r="Z378" s="1290"/>
    </row>
    <row r="379" spans="1:26" x14ac:dyDescent="0.6">
      <c r="A379" s="1280"/>
      <c r="N379" s="1288"/>
      <c r="O379" s="1290"/>
      <c r="Z379" s="1290"/>
    </row>
    <row r="380" spans="1:26" x14ac:dyDescent="0.6">
      <c r="A380" s="1280"/>
      <c r="N380" s="1288"/>
      <c r="O380" s="1290"/>
      <c r="Z380" s="1290"/>
    </row>
    <row r="381" spans="1:26" x14ac:dyDescent="0.6">
      <c r="A381" s="1280"/>
      <c r="N381" s="1288"/>
      <c r="O381" s="1290"/>
      <c r="Z381" s="1290"/>
    </row>
    <row r="382" spans="1:26" x14ac:dyDescent="0.6">
      <c r="A382" s="1280"/>
      <c r="N382" s="1288"/>
      <c r="O382" s="1290"/>
      <c r="Z382" s="1290"/>
    </row>
    <row r="383" spans="1:26" x14ac:dyDescent="0.6">
      <c r="A383" s="1280"/>
      <c r="N383" s="1288"/>
      <c r="O383" s="1290"/>
      <c r="Z383" s="1290"/>
    </row>
    <row r="384" spans="1:26" x14ac:dyDescent="0.6">
      <c r="A384" s="1280"/>
      <c r="N384" s="1288"/>
      <c r="O384" s="1290"/>
      <c r="Z384" s="1290"/>
    </row>
    <row r="385" spans="1:26" x14ac:dyDescent="0.6">
      <c r="A385" s="1280"/>
      <c r="N385" s="1288"/>
      <c r="O385" s="1290"/>
      <c r="Z385" s="1290"/>
    </row>
    <row r="386" spans="1:26" x14ac:dyDescent="0.6">
      <c r="A386" s="1280"/>
      <c r="N386" s="1288"/>
      <c r="O386" s="1290"/>
      <c r="Z386" s="1290"/>
    </row>
    <row r="387" spans="1:26" x14ac:dyDescent="0.6">
      <c r="A387" s="1280"/>
      <c r="N387" s="1288"/>
      <c r="O387" s="1290"/>
      <c r="Z387" s="1290"/>
    </row>
    <row r="388" spans="1:26" x14ac:dyDescent="0.6">
      <c r="A388" s="1280"/>
      <c r="N388" s="1288"/>
      <c r="O388" s="1290"/>
      <c r="Z388" s="1290"/>
    </row>
    <row r="389" spans="1:26" x14ac:dyDescent="0.6">
      <c r="A389" s="1280"/>
      <c r="N389" s="1288"/>
      <c r="O389" s="1290"/>
      <c r="Z389" s="1290"/>
    </row>
    <row r="390" spans="1:26" x14ac:dyDescent="0.6">
      <c r="A390" s="1280"/>
      <c r="N390" s="1288"/>
      <c r="O390" s="1290"/>
      <c r="Z390" s="1290"/>
    </row>
    <row r="391" spans="1:26" x14ac:dyDescent="0.6">
      <c r="A391" s="1280"/>
      <c r="N391" s="1288"/>
      <c r="O391" s="1290"/>
      <c r="Z391" s="1290"/>
    </row>
    <row r="392" spans="1:26" x14ac:dyDescent="0.6">
      <c r="A392" s="1280"/>
      <c r="N392" s="1288"/>
      <c r="O392" s="1290"/>
      <c r="Z392" s="1290"/>
    </row>
    <row r="393" spans="1:26" x14ac:dyDescent="0.6">
      <c r="A393" s="1280"/>
      <c r="N393" s="1288"/>
      <c r="O393" s="1290"/>
      <c r="Z393" s="1290"/>
    </row>
    <row r="394" spans="1:26" x14ac:dyDescent="0.6">
      <c r="A394" s="1280"/>
      <c r="N394" s="1288"/>
      <c r="O394" s="1290"/>
      <c r="Z394" s="1290"/>
    </row>
    <row r="395" spans="1:26" x14ac:dyDescent="0.6">
      <c r="A395" s="1280"/>
      <c r="N395" s="1288"/>
      <c r="O395" s="1290"/>
      <c r="Z395" s="1290"/>
    </row>
    <row r="396" spans="1:26" x14ac:dyDescent="0.6">
      <c r="A396" s="1280"/>
      <c r="N396" s="1288"/>
      <c r="O396" s="1290"/>
      <c r="Z396" s="1290"/>
    </row>
    <row r="397" spans="1:26" x14ac:dyDescent="0.6">
      <c r="A397" s="1280"/>
      <c r="N397" s="1288"/>
      <c r="O397" s="1290"/>
      <c r="Z397" s="1290"/>
    </row>
    <row r="398" spans="1:26" x14ac:dyDescent="0.6">
      <c r="A398" s="1280"/>
      <c r="N398" s="1288"/>
      <c r="O398" s="1290"/>
      <c r="Z398" s="1290"/>
    </row>
    <row r="399" spans="1:26" x14ac:dyDescent="0.6">
      <c r="A399" s="1280"/>
      <c r="N399" s="1288"/>
      <c r="O399" s="1290"/>
      <c r="Z399" s="1290"/>
    </row>
    <row r="400" spans="1:26" x14ac:dyDescent="0.6">
      <c r="A400" s="1280"/>
      <c r="N400" s="1288"/>
      <c r="O400" s="1290"/>
      <c r="Z400" s="1290"/>
    </row>
    <row r="401" spans="1:26" x14ac:dyDescent="0.6">
      <c r="A401" s="1280"/>
      <c r="N401" s="1288"/>
      <c r="O401" s="1290"/>
      <c r="Z401" s="1290"/>
    </row>
    <row r="402" spans="1:26" x14ac:dyDescent="0.6">
      <c r="A402" s="1280"/>
      <c r="N402" s="1288"/>
      <c r="O402" s="1290"/>
      <c r="Z402" s="1290"/>
    </row>
    <row r="403" spans="1:26" x14ac:dyDescent="0.6">
      <c r="A403" s="1280"/>
      <c r="N403" s="1288"/>
      <c r="O403" s="1290"/>
      <c r="Z403" s="1290"/>
    </row>
    <row r="404" spans="1:26" x14ac:dyDescent="0.6">
      <c r="A404" s="1280"/>
      <c r="N404" s="1288"/>
      <c r="O404" s="1290"/>
      <c r="Z404" s="1290"/>
    </row>
    <row r="405" spans="1:26" x14ac:dyDescent="0.6">
      <c r="A405" s="1280"/>
      <c r="N405" s="1288"/>
      <c r="O405" s="1290"/>
      <c r="Z405" s="1290"/>
    </row>
    <row r="406" spans="1:26" x14ac:dyDescent="0.6">
      <c r="A406" s="1280"/>
      <c r="N406" s="1288"/>
      <c r="O406" s="1290"/>
      <c r="Z406" s="1290"/>
    </row>
    <row r="407" spans="1:26" x14ac:dyDescent="0.6">
      <c r="A407" s="1280"/>
      <c r="N407" s="1288"/>
      <c r="O407" s="1290"/>
      <c r="Z407" s="1290"/>
    </row>
    <row r="408" spans="1:26" x14ac:dyDescent="0.6">
      <c r="A408" s="1280"/>
      <c r="N408" s="1288"/>
      <c r="O408" s="1290"/>
      <c r="Z408" s="1290"/>
    </row>
    <row r="409" spans="1:26" x14ac:dyDescent="0.6">
      <c r="A409" s="1280"/>
      <c r="N409" s="1288"/>
      <c r="O409" s="1290"/>
      <c r="Z409" s="1290"/>
    </row>
    <row r="410" spans="1:26" x14ac:dyDescent="0.6">
      <c r="A410" s="1280"/>
      <c r="N410" s="1288"/>
      <c r="O410" s="1290"/>
      <c r="Z410" s="1290"/>
    </row>
    <row r="411" spans="1:26" x14ac:dyDescent="0.6">
      <c r="A411" s="1280"/>
      <c r="N411" s="1288"/>
      <c r="O411" s="1290"/>
      <c r="Z411" s="1290"/>
    </row>
    <row r="412" spans="1:26" x14ac:dyDescent="0.6">
      <c r="A412" s="1280"/>
      <c r="N412" s="1288"/>
      <c r="O412" s="1290"/>
      <c r="Z412" s="1290"/>
    </row>
    <row r="413" spans="1:26" x14ac:dyDescent="0.6">
      <c r="A413" s="1280"/>
      <c r="N413" s="1288"/>
      <c r="O413" s="1290"/>
      <c r="Z413" s="1290"/>
    </row>
    <row r="414" spans="1:26" x14ac:dyDescent="0.6">
      <c r="A414" s="1280"/>
      <c r="N414" s="1288"/>
      <c r="O414" s="1290"/>
      <c r="Z414" s="1290"/>
    </row>
    <row r="415" spans="1:26" x14ac:dyDescent="0.6">
      <c r="A415" s="1280"/>
      <c r="N415" s="1288"/>
      <c r="O415" s="1290"/>
      <c r="Z415" s="1290"/>
    </row>
    <row r="416" spans="1:26" x14ac:dyDescent="0.6">
      <c r="A416" s="1280"/>
      <c r="N416" s="1288"/>
      <c r="O416" s="1290"/>
      <c r="Z416" s="1290"/>
    </row>
    <row r="417" spans="1:26" x14ac:dyDescent="0.6">
      <c r="A417" s="1280"/>
      <c r="N417" s="1288"/>
      <c r="O417" s="1290"/>
      <c r="Z417" s="1290"/>
    </row>
    <row r="418" spans="1:26" x14ac:dyDescent="0.6">
      <c r="A418" s="1280"/>
      <c r="N418" s="1288"/>
      <c r="O418" s="1290"/>
      <c r="Z418" s="1290"/>
    </row>
    <row r="419" spans="1:26" x14ac:dyDescent="0.6">
      <c r="A419" s="1280"/>
      <c r="N419" s="1288"/>
      <c r="O419" s="1290"/>
      <c r="Z419" s="1290"/>
    </row>
    <row r="420" spans="1:26" x14ac:dyDescent="0.6">
      <c r="A420" s="1280"/>
      <c r="N420" s="1288"/>
      <c r="O420" s="1290"/>
      <c r="Z420" s="1290"/>
    </row>
    <row r="421" spans="1:26" x14ac:dyDescent="0.6">
      <c r="A421" s="1280"/>
      <c r="N421" s="1288"/>
      <c r="O421" s="1290"/>
      <c r="Z421" s="1290"/>
    </row>
    <row r="422" spans="1:26" x14ac:dyDescent="0.6">
      <c r="A422" s="1280"/>
      <c r="N422" s="1288"/>
      <c r="O422" s="1290"/>
      <c r="Z422" s="1290"/>
    </row>
    <row r="423" spans="1:26" x14ac:dyDescent="0.6">
      <c r="A423" s="1280"/>
      <c r="N423" s="1288"/>
      <c r="O423" s="1290"/>
      <c r="Z423" s="1290"/>
    </row>
    <row r="424" spans="1:26" x14ac:dyDescent="0.6">
      <c r="A424" s="1280"/>
      <c r="N424" s="1288"/>
      <c r="O424" s="1290"/>
      <c r="Z424" s="1290"/>
    </row>
    <row r="425" spans="1:26" x14ac:dyDescent="0.6">
      <c r="A425" s="1280"/>
      <c r="N425" s="1288"/>
      <c r="O425" s="1290"/>
      <c r="Z425" s="1290"/>
    </row>
    <row r="426" spans="1:26" x14ac:dyDescent="0.6">
      <c r="A426" s="1280"/>
      <c r="N426" s="1288"/>
      <c r="O426" s="1290"/>
      <c r="Z426" s="1290"/>
    </row>
    <row r="427" spans="1:26" x14ac:dyDescent="0.6">
      <c r="A427" s="1280"/>
      <c r="N427" s="1288"/>
      <c r="O427" s="1290"/>
      <c r="Z427" s="1290"/>
    </row>
    <row r="428" spans="1:26" x14ac:dyDescent="0.6">
      <c r="A428" s="1280"/>
      <c r="N428" s="1288"/>
      <c r="O428" s="1290"/>
      <c r="Z428" s="1290"/>
    </row>
    <row r="429" spans="1:26" x14ac:dyDescent="0.6">
      <c r="A429" s="1280"/>
      <c r="N429" s="1288"/>
      <c r="O429" s="1290"/>
      <c r="Z429" s="1290"/>
    </row>
    <row r="430" spans="1:26" x14ac:dyDescent="0.6">
      <c r="A430" s="1280"/>
      <c r="N430" s="1288"/>
      <c r="O430" s="1290"/>
      <c r="Z430" s="1290"/>
    </row>
    <row r="431" spans="1:26" x14ac:dyDescent="0.6">
      <c r="A431" s="1280"/>
      <c r="N431" s="1288"/>
      <c r="O431" s="1290"/>
      <c r="Z431" s="1290"/>
    </row>
    <row r="432" spans="1:26" x14ac:dyDescent="0.6">
      <c r="A432" s="1280"/>
      <c r="N432" s="1288"/>
      <c r="O432" s="1290"/>
      <c r="Z432" s="1290"/>
    </row>
    <row r="433" spans="1:26" x14ac:dyDescent="0.6">
      <c r="A433" s="1280"/>
      <c r="N433" s="1288"/>
      <c r="O433" s="1290"/>
      <c r="Z433" s="1290"/>
    </row>
    <row r="434" spans="1:26" x14ac:dyDescent="0.6">
      <c r="A434" s="1280"/>
      <c r="N434" s="1288"/>
      <c r="O434" s="1290"/>
      <c r="Z434" s="1290"/>
    </row>
    <row r="435" spans="1:26" x14ac:dyDescent="0.6">
      <c r="A435" s="1280"/>
      <c r="N435" s="1288"/>
      <c r="O435" s="1290"/>
      <c r="Z435" s="1290"/>
    </row>
    <row r="436" spans="1:26" x14ac:dyDescent="0.6">
      <c r="A436" s="1280"/>
      <c r="N436" s="1288"/>
      <c r="O436" s="1290"/>
      <c r="Z436" s="1290"/>
    </row>
    <row r="437" spans="1:26" x14ac:dyDescent="0.6">
      <c r="A437" s="1280"/>
      <c r="N437" s="1288"/>
      <c r="O437" s="1290"/>
      <c r="Z437" s="1290"/>
    </row>
    <row r="438" spans="1:26" x14ac:dyDescent="0.6">
      <c r="A438" s="1280"/>
      <c r="N438" s="1288"/>
      <c r="O438" s="1290"/>
      <c r="Z438" s="1290"/>
    </row>
    <row r="439" spans="1:26" x14ac:dyDescent="0.6">
      <c r="A439" s="1280"/>
      <c r="N439" s="1288"/>
      <c r="O439" s="1290"/>
      <c r="Z439" s="1290"/>
    </row>
    <row r="440" spans="1:26" x14ac:dyDescent="0.6">
      <c r="A440" s="1280"/>
      <c r="N440" s="1288"/>
      <c r="O440" s="1290"/>
      <c r="Z440" s="1290"/>
    </row>
    <row r="441" spans="1:26" x14ac:dyDescent="0.6">
      <c r="A441" s="1280"/>
      <c r="N441" s="1288"/>
      <c r="O441" s="1290"/>
      <c r="Z441" s="1290"/>
    </row>
    <row r="442" spans="1:26" x14ac:dyDescent="0.6">
      <c r="A442" s="1280"/>
      <c r="N442" s="1288"/>
      <c r="O442" s="1290"/>
      <c r="Z442" s="1290"/>
    </row>
    <row r="443" spans="1:26" x14ac:dyDescent="0.6">
      <c r="A443" s="1280"/>
      <c r="N443" s="1288"/>
      <c r="O443" s="1290"/>
      <c r="Z443" s="1290"/>
    </row>
    <row r="444" spans="1:26" x14ac:dyDescent="0.6">
      <c r="A444" s="1280"/>
      <c r="N444" s="1288"/>
      <c r="O444" s="1290"/>
      <c r="Z444" s="1290"/>
    </row>
    <row r="445" spans="1:26" x14ac:dyDescent="0.6">
      <c r="A445" s="1280"/>
      <c r="N445" s="1288"/>
      <c r="O445" s="1290"/>
      <c r="Z445" s="1290"/>
    </row>
    <row r="446" spans="1:26" x14ac:dyDescent="0.6">
      <c r="A446" s="1280"/>
      <c r="N446" s="1288"/>
      <c r="O446" s="1290"/>
      <c r="Z446" s="1290"/>
    </row>
    <row r="447" spans="1:26" x14ac:dyDescent="0.6">
      <c r="A447" s="1280"/>
      <c r="N447" s="1288"/>
      <c r="O447" s="1290"/>
      <c r="Z447" s="1290"/>
    </row>
    <row r="448" spans="1:26" x14ac:dyDescent="0.6">
      <c r="A448" s="1280"/>
      <c r="N448" s="1288"/>
      <c r="O448" s="1290"/>
      <c r="Z448" s="1290"/>
    </row>
    <row r="449" spans="1:26" x14ac:dyDescent="0.6">
      <c r="A449" s="1280"/>
      <c r="N449" s="1288"/>
      <c r="O449" s="1290"/>
      <c r="Z449" s="1290"/>
    </row>
    <row r="450" spans="1:26" x14ac:dyDescent="0.6">
      <c r="A450" s="1280"/>
      <c r="N450" s="1288"/>
      <c r="O450" s="1290"/>
      <c r="Z450" s="1290"/>
    </row>
    <row r="451" spans="1:26" x14ac:dyDescent="0.6">
      <c r="A451" s="1280"/>
      <c r="N451" s="1288"/>
      <c r="O451" s="1290"/>
      <c r="Z451" s="1290"/>
    </row>
    <row r="452" spans="1:26" x14ac:dyDescent="0.6">
      <c r="A452" s="1280"/>
      <c r="N452" s="1288"/>
      <c r="O452" s="1290"/>
      <c r="Z452" s="1290"/>
    </row>
    <row r="453" spans="1:26" x14ac:dyDescent="0.6">
      <c r="A453" s="1280"/>
      <c r="N453" s="1288"/>
      <c r="O453" s="1290"/>
      <c r="Z453" s="1290"/>
    </row>
    <row r="454" spans="1:26" x14ac:dyDescent="0.6">
      <c r="A454" s="1280"/>
      <c r="N454" s="1288"/>
      <c r="O454" s="1290"/>
      <c r="Z454" s="1290"/>
    </row>
    <row r="455" spans="1:26" x14ac:dyDescent="0.6">
      <c r="A455" s="1280"/>
      <c r="N455" s="1288"/>
      <c r="O455" s="1290"/>
      <c r="Z455" s="1290"/>
    </row>
    <row r="456" spans="1:26" x14ac:dyDescent="0.6">
      <c r="A456" s="1280"/>
      <c r="N456" s="1288"/>
      <c r="O456" s="1290"/>
      <c r="Z456" s="1290"/>
    </row>
    <row r="457" spans="1:26" x14ac:dyDescent="0.6">
      <c r="A457" s="1280"/>
      <c r="N457" s="1288"/>
      <c r="O457" s="1290"/>
      <c r="Z457" s="1290"/>
    </row>
    <row r="458" spans="1:26" x14ac:dyDescent="0.6">
      <c r="A458" s="1280"/>
      <c r="N458" s="1288"/>
      <c r="O458" s="1290"/>
      <c r="Z458" s="1290"/>
    </row>
    <row r="459" spans="1:26" x14ac:dyDescent="0.6">
      <c r="A459" s="1280"/>
      <c r="N459" s="1288"/>
      <c r="O459" s="1290"/>
      <c r="Z459" s="1290"/>
    </row>
    <row r="460" spans="1:26" x14ac:dyDescent="0.6">
      <c r="A460" s="1280"/>
      <c r="N460" s="1288"/>
      <c r="O460" s="1290"/>
      <c r="Z460" s="1290"/>
    </row>
    <row r="461" spans="1:26" x14ac:dyDescent="0.6">
      <c r="A461" s="1280"/>
      <c r="N461" s="1288"/>
      <c r="O461" s="1290"/>
      <c r="Z461" s="1290"/>
    </row>
    <row r="462" spans="1:26" x14ac:dyDescent="0.6">
      <c r="A462" s="1280"/>
      <c r="N462" s="1288"/>
      <c r="O462" s="1290"/>
      <c r="Z462" s="1290"/>
    </row>
    <row r="463" spans="1:26" x14ac:dyDescent="0.6">
      <c r="A463" s="1280"/>
      <c r="N463" s="1288"/>
      <c r="O463" s="1290"/>
      <c r="Z463" s="1290"/>
    </row>
    <row r="464" spans="1:26" x14ac:dyDescent="0.6">
      <c r="A464" s="1280"/>
      <c r="N464" s="1288"/>
      <c r="O464" s="1290"/>
      <c r="Z464" s="1290"/>
    </row>
    <row r="465" spans="1:26" x14ac:dyDescent="0.6">
      <c r="A465" s="1280"/>
      <c r="N465" s="1288"/>
      <c r="O465" s="1290"/>
      <c r="Z465" s="1290"/>
    </row>
    <row r="466" spans="1:26" x14ac:dyDescent="0.6">
      <c r="A466" s="1280"/>
      <c r="N466" s="1288"/>
      <c r="O466" s="1290"/>
      <c r="Z466" s="1290"/>
    </row>
    <row r="467" spans="1:26" x14ac:dyDescent="0.6">
      <c r="A467" s="1280"/>
      <c r="N467" s="1288"/>
      <c r="O467" s="1290"/>
      <c r="Z467" s="1290"/>
    </row>
    <row r="468" spans="1:26" x14ac:dyDescent="0.6">
      <c r="A468" s="1280"/>
      <c r="N468" s="1288"/>
      <c r="O468" s="1290"/>
      <c r="Z468" s="1290"/>
    </row>
    <row r="469" spans="1:26" x14ac:dyDescent="0.6">
      <c r="A469" s="1280"/>
      <c r="N469" s="1288"/>
      <c r="O469" s="1290"/>
      <c r="Z469" s="1290"/>
    </row>
    <row r="470" spans="1:26" x14ac:dyDescent="0.6">
      <c r="A470" s="1280"/>
      <c r="N470" s="1288"/>
      <c r="O470" s="1290"/>
      <c r="Z470" s="1290"/>
    </row>
    <row r="471" spans="1:26" x14ac:dyDescent="0.6">
      <c r="A471" s="1280"/>
      <c r="N471" s="1288"/>
      <c r="O471" s="1290"/>
      <c r="Z471" s="1290"/>
    </row>
    <row r="472" spans="1:26" x14ac:dyDescent="0.6">
      <c r="A472" s="1280"/>
      <c r="N472" s="1288"/>
      <c r="O472" s="1290"/>
      <c r="Z472" s="1290"/>
    </row>
    <row r="473" spans="1:26" x14ac:dyDescent="0.6">
      <c r="A473" s="1280"/>
      <c r="N473" s="1288"/>
      <c r="O473" s="1290"/>
      <c r="Z473" s="1290"/>
    </row>
    <row r="474" spans="1:26" x14ac:dyDescent="0.6">
      <c r="A474" s="1280"/>
      <c r="N474" s="1288"/>
      <c r="O474" s="1290"/>
      <c r="Z474" s="1290"/>
    </row>
    <row r="475" spans="1:26" x14ac:dyDescent="0.6">
      <c r="A475" s="1280"/>
      <c r="N475" s="1288"/>
      <c r="O475" s="1290"/>
      <c r="Z475" s="1290"/>
    </row>
    <row r="476" spans="1:26" x14ac:dyDescent="0.6">
      <c r="A476" s="1280"/>
      <c r="N476" s="1288"/>
      <c r="O476" s="1290"/>
      <c r="Z476" s="1290"/>
    </row>
    <row r="477" spans="1:26" x14ac:dyDescent="0.6">
      <c r="A477" s="1280"/>
      <c r="N477" s="1288"/>
      <c r="O477" s="1290"/>
      <c r="Z477" s="1290"/>
    </row>
    <row r="478" spans="1:26" x14ac:dyDescent="0.6">
      <c r="A478" s="1280"/>
      <c r="N478" s="1288"/>
      <c r="O478" s="1290"/>
      <c r="Z478" s="1290"/>
    </row>
    <row r="479" spans="1:26" x14ac:dyDescent="0.6">
      <c r="A479" s="1280"/>
      <c r="N479" s="1288"/>
      <c r="O479" s="1290"/>
      <c r="Z479" s="1290"/>
    </row>
    <row r="480" spans="1:26" x14ac:dyDescent="0.6">
      <c r="A480" s="1280"/>
      <c r="N480" s="1288"/>
      <c r="O480" s="1290"/>
      <c r="Z480" s="1290"/>
    </row>
    <row r="481" spans="1:26" x14ac:dyDescent="0.6">
      <c r="A481" s="1280"/>
      <c r="N481" s="1288"/>
      <c r="O481" s="1290"/>
      <c r="Z481" s="1290"/>
    </row>
    <row r="482" spans="1:26" x14ac:dyDescent="0.6">
      <c r="A482" s="1280"/>
      <c r="N482" s="1288"/>
      <c r="O482" s="1290"/>
      <c r="Z482" s="1290"/>
    </row>
    <row r="483" spans="1:26" x14ac:dyDescent="0.6">
      <c r="A483" s="1280"/>
      <c r="N483" s="1288"/>
      <c r="O483" s="1290"/>
      <c r="Z483" s="1290"/>
    </row>
    <row r="484" spans="1:26" x14ac:dyDescent="0.6">
      <c r="A484" s="1280"/>
      <c r="N484" s="1288"/>
      <c r="O484" s="1290"/>
      <c r="Z484" s="1290"/>
    </row>
    <row r="485" spans="1:26" x14ac:dyDescent="0.6">
      <c r="A485" s="1280"/>
      <c r="N485" s="1288"/>
      <c r="O485" s="1290"/>
      <c r="Z485" s="1290"/>
    </row>
    <row r="486" spans="1:26" x14ac:dyDescent="0.6">
      <c r="A486" s="1280"/>
      <c r="N486" s="1288"/>
      <c r="O486" s="1290"/>
      <c r="Z486" s="1290"/>
    </row>
    <row r="487" spans="1:26" x14ac:dyDescent="0.6">
      <c r="A487" s="1280"/>
      <c r="N487" s="1288"/>
      <c r="O487" s="1290"/>
      <c r="Z487" s="1290"/>
    </row>
    <row r="488" spans="1:26" x14ac:dyDescent="0.6">
      <c r="A488" s="1280"/>
      <c r="N488" s="1288"/>
      <c r="O488" s="1290"/>
      <c r="Z488" s="1290"/>
    </row>
    <row r="489" spans="1:26" x14ac:dyDescent="0.6">
      <c r="A489" s="1280"/>
      <c r="N489" s="1288"/>
      <c r="O489" s="1290"/>
      <c r="Z489" s="1290"/>
    </row>
    <row r="490" spans="1:26" x14ac:dyDescent="0.6">
      <c r="A490" s="1280"/>
      <c r="N490" s="1288"/>
      <c r="O490" s="1290"/>
      <c r="Z490" s="1290"/>
    </row>
    <row r="491" spans="1:26" x14ac:dyDescent="0.6">
      <c r="A491" s="1280"/>
      <c r="N491" s="1288"/>
      <c r="O491" s="1290"/>
      <c r="Z491" s="1290"/>
    </row>
    <row r="492" spans="1:26" x14ac:dyDescent="0.6">
      <c r="A492" s="1280"/>
      <c r="N492" s="1288"/>
      <c r="O492" s="1290"/>
      <c r="Z492" s="1290"/>
    </row>
    <row r="493" spans="1:26" x14ac:dyDescent="0.6">
      <c r="A493" s="1280"/>
      <c r="N493" s="1288"/>
      <c r="O493" s="1290"/>
      <c r="Z493" s="1290"/>
    </row>
    <row r="494" spans="1:26" x14ac:dyDescent="0.6">
      <c r="A494" s="1280"/>
      <c r="N494" s="1288"/>
      <c r="O494" s="1290"/>
      <c r="Z494" s="1290"/>
    </row>
    <row r="495" spans="1:26" x14ac:dyDescent="0.6">
      <c r="A495" s="1280"/>
      <c r="N495" s="1288"/>
      <c r="O495" s="1290"/>
      <c r="Z495" s="1290"/>
    </row>
    <row r="496" spans="1:26" x14ac:dyDescent="0.6">
      <c r="A496" s="1280"/>
      <c r="N496" s="1288"/>
      <c r="O496" s="1290"/>
      <c r="Z496" s="1290"/>
    </row>
    <row r="497" spans="1:26" x14ac:dyDescent="0.6">
      <c r="A497" s="1280"/>
      <c r="N497" s="1288"/>
      <c r="O497" s="1290"/>
      <c r="Z497" s="1290"/>
    </row>
    <row r="498" spans="1:26" x14ac:dyDescent="0.6">
      <c r="A498" s="1280"/>
      <c r="N498" s="1288"/>
      <c r="O498" s="1290"/>
      <c r="Z498" s="1290"/>
    </row>
    <row r="499" spans="1:26" x14ac:dyDescent="0.6">
      <c r="A499" s="1280"/>
      <c r="N499" s="1288"/>
      <c r="O499" s="1290"/>
      <c r="Z499" s="1290"/>
    </row>
    <row r="500" spans="1:26" x14ac:dyDescent="0.6">
      <c r="A500" s="1280"/>
      <c r="N500" s="1288"/>
      <c r="O500" s="1290"/>
      <c r="Z500" s="1290"/>
    </row>
    <row r="501" spans="1:26" x14ac:dyDescent="0.6">
      <c r="A501" s="1280"/>
      <c r="N501" s="1288"/>
      <c r="O501" s="1290"/>
      <c r="Z501" s="1290"/>
    </row>
    <row r="502" spans="1:26" x14ac:dyDescent="0.6">
      <c r="A502" s="1280"/>
      <c r="N502" s="1288"/>
      <c r="O502" s="1290"/>
      <c r="Z502" s="1290"/>
    </row>
    <row r="503" spans="1:26" x14ac:dyDescent="0.6">
      <c r="A503" s="1280"/>
      <c r="N503" s="1288"/>
      <c r="O503" s="1290"/>
      <c r="Z503" s="1290"/>
    </row>
    <row r="504" spans="1:26" x14ac:dyDescent="0.6">
      <c r="A504" s="1280"/>
      <c r="N504" s="1288"/>
      <c r="O504" s="1290"/>
      <c r="Z504" s="1290"/>
    </row>
    <row r="505" spans="1:26" x14ac:dyDescent="0.6">
      <c r="A505" s="1280"/>
      <c r="N505" s="1288"/>
      <c r="O505" s="1290"/>
      <c r="Z505" s="1290"/>
    </row>
    <row r="506" spans="1:26" x14ac:dyDescent="0.6">
      <c r="A506" s="1280"/>
      <c r="N506" s="1288"/>
      <c r="O506" s="1290"/>
      <c r="Z506" s="1290"/>
    </row>
    <row r="507" spans="1:26" x14ac:dyDescent="0.6">
      <c r="A507" s="1280"/>
      <c r="N507" s="1288"/>
      <c r="O507" s="1290"/>
      <c r="Z507" s="1290"/>
    </row>
    <row r="508" spans="1:26" x14ac:dyDescent="0.6">
      <c r="A508" s="1280"/>
      <c r="N508" s="1288"/>
      <c r="O508" s="1290"/>
      <c r="Z508" s="1290"/>
    </row>
    <row r="509" spans="1:26" x14ac:dyDescent="0.6">
      <c r="A509" s="1280"/>
      <c r="N509" s="1288"/>
      <c r="O509" s="1290"/>
      <c r="Z509" s="1290"/>
    </row>
    <row r="510" spans="1:26" x14ac:dyDescent="0.6">
      <c r="A510" s="1280"/>
      <c r="N510" s="1288"/>
      <c r="O510" s="1290"/>
      <c r="Z510" s="1290"/>
    </row>
    <row r="511" spans="1:26" x14ac:dyDescent="0.6">
      <c r="A511" s="1280"/>
      <c r="N511" s="1288"/>
      <c r="O511" s="1290"/>
      <c r="Z511" s="1290"/>
    </row>
    <row r="512" spans="1:26" x14ac:dyDescent="0.6">
      <c r="A512" s="1280"/>
      <c r="N512" s="1288"/>
      <c r="O512" s="1290"/>
      <c r="Z512" s="1290"/>
    </row>
    <row r="513" spans="1:26" x14ac:dyDescent="0.6">
      <c r="A513" s="1280"/>
      <c r="N513" s="1288"/>
      <c r="O513" s="1290"/>
      <c r="Z513" s="1290"/>
    </row>
    <row r="514" spans="1:26" x14ac:dyDescent="0.6">
      <c r="A514" s="1280"/>
      <c r="N514" s="1288"/>
      <c r="O514" s="1290"/>
      <c r="Z514" s="1290"/>
    </row>
    <row r="515" spans="1:26" x14ac:dyDescent="0.6">
      <c r="A515" s="1280"/>
      <c r="N515" s="1288"/>
      <c r="O515" s="1290"/>
      <c r="Z515" s="1290"/>
    </row>
    <row r="516" spans="1:26" x14ac:dyDescent="0.6">
      <c r="A516" s="1280"/>
      <c r="N516" s="1288"/>
      <c r="O516" s="1290"/>
      <c r="Z516" s="1290"/>
    </row>
    <row r="517" spans="1:26" x14ac:dyDescent="0.6">
      <c r="A517" s="1280"/>
      <c r="N517" s="1288"/>
      <c r="O517" s="1290"/>
      <c r="Z517" s="1290"/>
    </row>
    <row r="518" spans="1:26" x14ac:dyDescent="0.6">
      <c r="A518" s="1280"/>
      <c r="N518" s="1288"/>
      <c r="O518" s="1290"/>
      <c r="Z518" s="1290"/>
    </row>
    <row r="519" spans="1:26" x14ac:dyDescent="0.6">
      <c r="A519" s="1280"/>
      <c r="N519" s="1288"/>
      <c r="O519" s="1290"/>
      <c r="Z519" s="1290"/>
    </row>
    <row r="520" spans="1:26" x14ac:dyDescent="0.6">
      <c r="A520" s="1280"/>
      <c r="N520" s="1288"/>
      <c r="O520" s="1290"/>
      <c r="Z520" s="1290"/>
    </row>
    <row r="521" spans="1:26" x14ac:dyDescent="0.6">
      <c r="A521" s="1280"/>
      <c r="N521" s="1288"/>
      <c r="O521" s="1290"/>
      <c r="Z521" s="1290"/>
    </row>
    <row r="522" spans="1:26" x14ac:dyDescent="0.6">
      <c r="A522" s="1280"/>
      <c r="N522" s="1288"/>
      <c r="O522" s="1290"/>
      <c r="Z522" s="1290"/>
    </row>
    <row r="523" spans="1:26" x14ac:dyDescent="0.6">
      <c r="A523" s="1280"/>
      <c r="N523" s="1288"/>
      <c r="O523" s="1290"/>
      <c r="Z523" s="1290"/>
    </row>
    <row r="524" spans="1:26" x14ac:dyDescent="0.6">
      <c r="A524" s="1280"/>
      <c r="N524" s="1288"/>
      <c r="O524" s="1290"/>
      <c r="Z524" s="1290"/>
    </row>
    <row r="525" spans="1:26" x14ac:dyDescent="0.6">
      <c r="A525" s="1280"/>
      <c r="N525" s="1288"/>
      <c r="O525" s="1290"/>
      <c r="Z525" s="1290"/>
    </row>
    <row r="526" spans="1:26" x14ac:dyDescent="0.6">
      <c r="A526" s="1280"/>
      <c r="N526" s="1288"/>
      <c r="O526" s="1290"/>
      <c r="Z526" s="1290"/>
    </row>
    <row r="527" spans="1:26" x14ac:dyDescent="0.6">
      <c r="A527" s="1280"/>
      <c r="N527" s="1288"/>
      <c r="O527" s="1290"/>
      <c r="Z527" s="1290"/>
    </row>
    <row r="528" spans="1:26" x14ac:dyDescent="0.6">
      <c r="A528" s="1280"/>
      <c r="N528" s="1288"/>
      <c r="O528" s="1290"/>
      <c r="Z528" s="1290"/>
    </row>
    <row r="529" spans="1:26" x14ac:dyDescent="0.6">
      <c r="A529" s="1280"/>
      <c r="N529" s="1288"/>
      <c r="O529" s="1290"/>
      <c r="Z529" s="1290"/>
    </row>
    <row r="530" spans="1:26" x14ac:dyDescent="0.6">
      <c r="A530" s="1280"/>
      <c r="N530" s="1288"/>
      <c r="O530" s="1290"/>
      <c r="Z530" s="1290"/>
    </row>
    <row r="531" spans="1:26" x14ac:dyDescent="0.6">
      <c r="A531" s="1280"/>
      <c r="N531" s="1288"/>
      <c r="O531" s="1290"/>
      <c r="Z531" s="1290"/>
    </row>
    <row r="532" spans="1:26" x14ac:dyDescent="0.6">
      <c r="A532" s="1280"/>
      <c r="N532" s="1288"/>
      <c r="O532" s="1290"/>
      <c r="Z532" s="1290"/>
    </row>
    <row r="533" spans="1:26" x14ac:dyDescent="0.6">
      <c r="A533" s="1280"/>
      <c r="N533" s="1288"/>
      <c r="O533" s="1290"/>
      <c r="Z533" s="1290"/>
    </row>
    <row r="534" spans="1:26" x14ac:dyDescent="0.6">
      <c r="A534" s="1280"/>
      <c r="N534" s="1288"/>
      <c r="O534" s="1290"/>
      <c r="Z534" s="1290"/>
    </row>
    <row r="535" spans="1:26" x14ac:dyDescent="0.6">
      <c r="A535" s="1280"/>
      <c r="N535" s="1288"/>
      <c r="O535" s="1290"/>
      <c r="Z535" s="1290"/>
    </row>
    <row r="536" spans="1:26" x14ac:dyDescent="0.6">
      <c r="A536" s="1280"/>
      <c r="N536" s="1288"/>
      <c r="O536" s="1290"/>
      <c r="Z536" s="1290"/>
    </row>
    <row r="537" spans="1:26" x14ac:dyDescent="0.6">
      <c r="A537" s="1280"/>
      <c r="N537" s="1288"/>
      <c r="O537" s="1290"/>
      <c r="Z537" s="1290"/>
    </row>
    <row r="538" spans="1:26" x14ac:dyDescent="0.6">
      <c r="A538" s="1280"/>
      <c r="N538" s="1288"/>
      <c r="O538" s="1290"/>
      <c r="Z538" s="1290"/>
    </row>
    <row r="539" spans="1:26" x14ac:dyDescent="0.6">
      <c r="A539" s="1280"/>
      <c r="N539" s="1288"/>
      <c r="O539" s="1290"/>
      <c r="Z539" s="1290"/>
    </row>
    <row r="540" spans="1:26" x14ac:dyDescent="0.6">
      <c r="A540" s="1280"/>
      <c r="N540" s="1288"/>
      <c r="O540" s="1290"/>
      <c r="Z540" s="1290"/>
    </row>
    <row r="541" spans="1:26" x14ac:dyDescent="0.6">
      <c r="A541" s="1280"/>
      <c r="N541" s="1288"/>
      <c r="O541" s="1290"/>
      <c r="Z541" s="1290"/>
    </row>
    <row r="542" spans="1:26" x14ac:dyDescent="0.6">
      <c r="A542" s="1280"/>
      <c r="N542" s="1288"/>
      <c r="O542" s="1290"/>
      <c r="Z542" s="1290"/>
    </row>
    <row r="543" spans="1:26" x14ac:dyDescent="0.6">
      <c r="A543" s="1280"/>
      <c r="N543" s="1288"/>
      <c r="O543" s="1290"/>
      <c r="Z543" s="1290"/>
    </row>
    <row r="544" spans="1:26" x14ac:dyDescent="0.6">
      <c r="A544" s="1280"/>
      <c r="N544" s="1288"/>
      <c r="O544" s="1290"/>
      <c r="Z544" s="1290"/>
    </row>
    <row r="545" spans="1:26" x14ac:dyDescent="0.6">
      <c r="A545" s="1280"/>
      <c r="N545" s="1288"/>
      <c r="O545" s="1290"/>
      <c r="Z545" s="1290"/>
    </row>
    <row r="546" spans="1:26" x14ac:dyDescent="0.6">
      <c r="A546" s="1280"/>
      <c r="N546" s="1288"/>
      <c r="O546" s="1290"/>
      <c r="Z546" s="1290"/>
    </row>
    <row r="547" spans="1:26" x14ac:dyDescent="0.6">
      <c r="A547" s="1280"/>
      <c r="N547" s="1288"/>
      <c r="O547" s="1290"/>
      <c r="Z547" s="1290"/>
    </row>
    <row r="548" spans="1:26" x14ac:dyDescent="0.6">
      <c r="A548" s="1280"/>
      <c r="N548" s="1288"/>
      <c r="O548" s="1290"/>
      <c r="Z548" s="1290"/>
    </row>
    <row r="549" spans="1:26" x14ac:dyDescent="0.6">
      <c r="A549" s="1280"/>
      <c r="N549" s="1288"/>
      <c r="O549" s="1290"/>
      <c r="Z549" s="1290"/>
    </row>
    <row r="550" spans="1:26" x14ac:dyDescent="0.6">
      <c r="A550" s="1280"/>
      <c r="N550" s="1288"/>
      <c r="O550" s="1290"/>
      <c r="Z550" s="1290"/>
    </row>
    <row r="551" spans="1:26" x14ac:dyDescent="0.6">
      <c r="A551" s="1280"/>
      <c r="N551" s="1288"/>
      <c r="O551" s="1290"/>
      <c r="Z551" s="1290"/>
    </row>
    <row r="552" spans="1:26" x14ac:dyDescent="0.6">
      <c r="A552" s="1280"/>
      <c r="N552" s="1288"/>
      <c r="O552" s="1290"/>
      <c r="Z552" s="1290"/>
    </row>
    <row r="553" spans="1:26" x14ac:dyDescent="0.6">
      <c r="A553" s="1280"/>
      <c r="N553" s="1288"/>
      <c r="O553" s="1290"/>
      <c r="Z553" s="1290"/>
    </row>
    <row r="554" spans="1:26" x14ac:dyDescent="0.6">
      <c r="A554" s="1280"/>
      <c r="N554" s="1288"/>
      <c r="O554" s="1290"/>
      <c r="Z554" s="1290"/>
    </row>
    <row r="555" spans="1:26" x14ac:dyDescent="0.6">
      <c r="A555" s="1280"/>
      <c r="N555" s="1288"/>
      <c r="O555" s="1290"/>
      <c r="Z555" s="1290"/>
    </row>
    <row r="556" spans="1:26" x14ac:dyDescent="0.6">
      <c r="A556" s="1280"/>
      <c r="N556" s="1288"/>
      <c r="O556" s="1290"/>
      <c r="Z556" s="1290"/>
    </row>
    <row r="557" spans="1:26" x14ac:dyDescent="0.6">
      <c r="A557" s="1280"/>
      <c r="N557" s="1288"/>
      <c r="O557" s="1290"/>
      <c r="Z557" s="1290"/>
    </row>
    <row r="558" spans="1:26" x14ac:dyDescent="0.6">
      <c r="A558" s="1280"/>
      <c r="N558" s="1288"/>
      <c r="O558" s="1290"/>
      <c r="Z558" s="1290"/>
    </row>
    <row r="559" spans="1:26" x14ac:dyDescent="0.6">
      <c r="A559" s="1280"/>
      <c r="N559" s="1288"/>
      <c r="O559" s="1290"/>
      <c r="Z559" s="1290"/>
    </row>
    <row r="560" spans="1:26" x14ac:dyDescent="0.6">
      <c r="A560" s="1280"/>
      <c r="N560" s="1288"/>
      <c r="O560" s="1290"/>
      <c r="Z560" s="1290"/>
    </row>
    <row r="561" spans="1:26" x14ac:dyDescent="0.6">
      <c r="A561" s="1280"/>
      <c r="N561" s="1288"/>
      <c r="O561" s="1290"/>
      <c r="Z561" s="1290"/>
    </row>
    <row r="562" spans="1:26" x14ac:dyDescent="0.6">
      <c r="A562" s="1280"/>
      <c r="N562" s="1288"/>
      <c r="O562" s="1290"/>
      <c r="Z562" s="1290"/>
    </row>
    <row r="563" spans="1:26" x14ac:dyDescent="0.6">
      <c r="A563" s="1280"/>
      <c r="N563" s="1288"/>
      <c r="O563" s="1290"/>
      <c r="Z563" s="1290"/>
    </row>
    <row r="564" spans="1:26" x14ac:dyDescent="0.6">
      <c r="A564" s="1280"/>
      <c r="N564" s="1288"/>
      <c r="O564" s="1290"/>
      <c r="Z564" s="1290"/>
    </row>
    <row r="565" spans="1:26" x14ac:dyDescent="0.6">
      <c r="A565" s="1280"/>
      <c r="N565" s="1288"/>
      <c r="O565" s="1290"/>
      <c r="Z565" s="1290"/>
    </row>
    <row r="566" spans="1:26" x14ac:dyDescent="0.6">
      <c r="A566" s="1280"/>
      <c r="N566" s="1288"/>
      <c r="O566" s="1290"/>
      <c r="Z566" s="1290"/>
    </row>
    <row r="567" spans="1:26" x14ac:dyDescent="0.6">
      <c r="A567" s="1280"/>
      <c r="N567" s="1288"/>
      <c r="O567" s="1290"/>
      <c r="Z567" s="1290"/>
    </row>
    <row r="568" spans="1:26" x14ac:dyDescent="0.6">
      <c r="A568" s="1280"/>
      <c r="N568" s="1288"/>
      <c r="O568" s="1290"/>
      <c r="Z568" s="1290"/>
    </row>
    <row r="569" spans="1:26" x14ac:dyDescent="0.6">
      <c r="A569" s="1280"/>
      <c r="N569" s="1288"/>
      <c r="O569" s="1290"/>
      <c r="Z569" s="1290"/>
    </row>
    <row r="570" spans="1:26" x14ac:dyDescent="0.6">
      <c r="A570" s="1280"/>
      <c r="N570" s="1288"/>
      <c r="O570" s="1290"/>
      <c r="Z570" s="1290"/>
    </row>
    <row r="571" spans="1:26" x14ac:dyDescent="0.6">
      <c r="A571" s="1280"/>
      <c r="N571" s="1288"/>
      <c r="O571" s="1290"/>
      <c r="Z571" s="1290"/>
    </row>
    <row r="572" spans="1:26" x14ac:dyDescent="0.6">
      <c r="A572" s="1280"/>
      <c r="N572" s="1288"/>
      <c r="O572" s="1290"/>
      <c r="Z572" s="1290"/>
    </row>
    <row r="573" spans="1:26" x14ac:dyDescent="0.6">
      <c r="A573" s="1280"/>
      <c r="N573" s="1288"/>
      <c r="O573" s="1290"/>
      <c r="Z573" s="1290"/>
    </row>
    <row r="574" spans="1:26" x14ac:dyDescent="0.6">
      <c r="A574" s="1280"/>
      <c r="N574" s="1288"/>
      <c r="O574" s="1290"/>
      <c r="Z574" s="1290"/>
    </row>
    <row r="575" spans="1:26" x14ac:dyDescent="0.6">
      <c r="A575" s="1280"/>
      <c r="N575" s="1288"/>
      <c r="O575" s="1290"/>
      <c r="Z575" s="1290"/>
    </row>
    <row r="576" spans="1:26" x14ac:dyDescent="0.6">
      <c r="A576" s="1280"/>
      <c r="N576" s="1288"/>
      <c r="O576" s="1290"/>
      <c r="Z576" s="1290"/>
    </row>
    <row r="577" spans="1:26" x14ac:dyDescent="0.6">
      <c r="A577" s="1280"/>
      <c r="N577" s="1288"/>
      <c r="O577" s="1290"/>
      <c r="Z577" s="1290"/>
    </row>
    <row r="578" spans="1:26" x14ac:dyDescent="0.6">
      <c r="A578" s="1280"/>
      <c r="N578" s="1288"/>
      <c r="O578" s="1290"/>
      <c r="Z578" s="1290"/>
    </row>
    <row r="579" spans="1:26" x14ac:dyDescent="0.6">
      <c r="A579" s="1280"/>
      <c r="N579" s="1288"/>
      <c r="O579" s="1290"/>
      <c r="Z579" s="1290"/>
    </row>
    <row r="580" spans="1:26" x14ac:dyDescent="0.6">
      <c r="A580" s="1280"/>
      <c r="N580" s="1288"/>
      <c r="O580" s="1290"/>
      <c r="Z580" s="1290"/>
    </row>
    <row r="581" spans="1:26" x14ac:dyDescent="0.6">
      <c r="A581" s="1280"/>
      <c r="N581" s="1288"/>
      <c r="O581" s="1290"/>
      <c r="Z581" s="1290"/>
    </row>
    <row r="582" spans="1:26" x14ac:dyDescent="0.6">
      <c r="A582" s="1280"/>
      <c r="N582" s="1288"/>
      <c r="O582" s="1290"/>
      <c r="Z582" s="1290"/>
    </row>
    <row r="583" spans="1:26" x14ac:dyDescent="0.6">
      <c r="A583" s="1280"/>
      <c r="N583" s="1288"/>
      <c r="O583" s="1290"/>
      <c r="Z583" s="1290"/>
    </row>
    <row r="584" spans="1:26" x14ac:dyDescent="0.6">
      <c r="A584" s="1280"/>
      <c r="N584" s="1288"/>
      <c r="O584" s="1290"/>
      <c r="Z584" s="1290"/>
    </row>
    <row r="585" spans="1:26" x14ac:dyDescent="0.6">
      <c r="A585" s="1280"/>
      <c r="N585" s="1288"/>
      <c r="O585" s="1290"/>
      <c r="Z585" s="1290"/>
    </row>
    <row r="586" spans="1:26" x14ac:dyDescent="0.6">
      <c r="A586" s="1280"/>
      <c r="N586" s="1288"/>
      <c r="O586" s="1290"/>
      <c r="Z586" s="1290"/>
    </row>
    <row r="587" spans="1:26" x14ac:dyDescent="0.6">
      <c r="A587" s="1280"/>
      <c r="N587" s="1288"/>
      <c r="O587" s="1290"/>
      <c r="Z587" s="1290"/>
    </row>
    <row r="588" spans="1:26" x14ac:dyDescent="0.6">
      <c r="A588" s="1280"/>
      <c r="N588" s="1288"/>
      <c r="O588" s="1290"/>
      <c r="Z588" s="1290"/>
    </row>
    <row r="589" spans="1:26" x14ac:dyDescent="0.6">
      <c r="A589" s="1280"/>
      <c r="N589" s="1288"/>
      <c r="O589" s="1290"/>
      <c r="Z589" s="1290"/>
    </row>
    <row r="590" spans="1:26" x14ac:dyDescent="0.6">
      <c r="A590" s="1280"/>
      <c r="N590" s="1288"/>
      <c r="O590" s="1290"/>
      <c r="Z590" s="1290"/>
    </row>
    <row r="591" spans="1:26" x14ac:dyDescent="0.6">
      <c r="A591" s="1280"/>
      <c r="N591" s="1288"/>
      <c r="O591" s="1290"/>
      <c r="Z591" s="1290"/>
    </row>
    <row r="592" spans="1:26" x14ac:dyDescent="0.6">
      <c r="A592" s="1280"/>
      <c r="N592" s="1288"/>
      <c r="O592" s="1290"/>
      <c r="Z592" s="1290"/>
    </row>
    <row r="593" spans="1:26" x14ac:dyDescent="0.6">
      <c r="A593" s="1280"/>
      <c r="N593" s="1288"/>
      <c r="O593" s="1290"/>
      <c r="Z593" s="1290"/>
    </row>
    <row r="594" spans="1:26" x14ac:dyDescent="0.6">
      <c r="A594" s="1280"/>
      <c r="N594" s="1288"/>
      <c r="O594" s="1290"/>
      <c r="Z594" s="1290"/>
    </row>
    <row r="595" spans="1:26" x14ac:dyDescent="0.6">
      <c r="A595" s="1280"/>
      <c r="N595" s="1288"/>
      <c r="O595" s="1290"/>
      <c r="Z595" s="1290"/>
    </row>
    <row r="596" spans="1:26" x14ac:dyDescent="0.6">
      <c r="A596" s="1280"/>
      <c r="N596" s="1288"/>
      <c r="O596" s="1290"/>
      <c r="Z596" s="1290"/>
    </row>
    <row r="597" spans="1:26" x14ac:dyDescent="0.6">
      <c r="A597" s="1280"/>
      <c r="N597" s="1288"/>
      <c r="O597" s="1290"/>
      <c r="Z597" s="1290"/>
    </row>
    <row r="598" spans="1:26" x14ac:dyDescent="0.6">
      <c r="A598" s="1280"/>
      <c r="N598" s="1288"/>
      <c r="O598" s="1290"/>
      <c r="Z598" s="1290"/>
    </row>
    <row r="599" spans="1:26" x14ac:dyDescent="0.6">
      <c r="A599" s="1280"/>
      <c r="N599" s="1288"/>
      <c r="O599" s="1290"/>
      <c r="Z599" s="1290"/>
    </row>
    <row r="600" spans="1:26" x14ac:dyDescent="0.6">
      <c r="A600" s="1280"/>
      <c r="N600" s="1288"/>
      <c r="O600" s="1290"/>
      <c r="Z600" s="1290"/>
    </row>
    <row r="601" spans="1:26" x14ac:dyDescent="0.6">
      <c r="A601" s="1280"/>
      <c r="N601" s="1288"/>
      <c r="O601" s="1290"/>
      <c r="Z601" s="1290"/>
    </row>
    <row r="602" spans="1:26" x14ac:dyDescent="0.6">
      <c r="A602" s="1280"/>
      <c r="N602" s="1288"/>
      <c r="O602" s="1290"/>
      <c r="Z602" s="1290"/>
    </row>
    <row r="603" spans="1:26" x14ac:dyDescent="0.6">
      <c r="A603" s="1280"/>
      <c r="N603" s="1288"/>
      <c r="O603" s="1290"/>
      <c r="Z603" s="1290"/>
    </row>
    <row r="604" spans="1:26" x14ac:dyDescent="0.6">
      <c r="A604" s="1280"/>
      <c r="N604" s="1288"/>
      <c r="O604" s="1290"/>
      <c r="Z604" s="1290"/>
    </row>
    <row r="605" spans="1:26" x14ac:dyDescent="0.6">
      <c r="A605" s="1280"/>
      <c r="N605" s="1288"/>
      <c r="O605" s="1290"/>
      <c r="Z605" s="1290"/>
    </row>
    <row r="606" spans="1:26" x14ac:dyDescent="0.6">
      <c r="A606" s="1280"/>
      <c r="N606" s="1288"/>
      <c r="O606" s="1290"/>
      <c r="Z606" s="1290"/>
    </row>
    <row r="607" spans="1:26" x14ac:dyDescent="0.6">
      <c r="A607" s="1280"/>
      <c r="N607" s="1288"/>
      <c r="O607" s="1290"/>
      <c r="Z607" s="1290"/>
    </row>
    <row r="608" spans="1:26" x14ac:dyDescent="0.6">
      <c r="A608" s="1280"/>
      <c r="N608" s="1288"/>
      <c r="O608" s="1290"/>
      <c r="Z608" s="1290"/>
    </row>
    <row r="609" spans="1:26" x14ac:dyDescent="0.6">
      <c r="A609" s="1280"/>
      <c r="N609" s="1288"/>
      <c r="O609" s="1290"/>
      <c r="Z609" s="1290"/>
    </row>
    <row r="610" spans="1:26" x14ac:dyDescent="0.6">
      <c r="A610" s="1280"/>
      <c r="N610" s="1288"/>
      <c r="O610" s="1290"/>
      <c r="Z610" s="1290"/>
    </row>
    <row r="611" spans="1:26" x14ac:dyDescent="0.6">
      <c r="A611" s="1280"/>
      <c r="N611" s="1288"/>
      <c r="O611" s="1290"/>
      <c r="Z611" s="1290"/>
    </row>
    <row r="612" spans="1:26" x14ac:dyDescent="0.6">
      <c r="A612" s="1280"/>
      <c r="N612" s="1288"/>
      <c r="O612" s="1290"/>
      <c r="Z612" s="1290"/>
    </row>
    <row r="613" spans="1:26" x14ac:dyDescent="0.6">
      <c r="A613" s="1280"/>
      <c r="N613" s="1288"/>
      <c r="O613" s="1290"/>
      <c r="Z613" s="1290"/>
    </row>
    <row r="614" spans="1:26" x14ac:dyDescent="0.6">
      <c r="A614" s="1280"/>
      <c r="N614" s="1288"/>
      <c r="O614" s="1290"/>
      <c r="Z614" s="1290"/>
    </row>
    <row r="615" spans="1:26" x14ac:dyDescent="0.6">
      <c r="A615" s="1280"/>
      <c r="N615" s="1288"/>
      <c r="O615" s="1290"/>
      <c r="Z615" s="1290"/>
    </row>
    <row r="616" spans="1:26" x14ac:dyDescent="0.6">
      <c r="A616" s="1280"/>
      <c r="N616" s="1288"/>
      <c r="O616" s="1290"/>
      <c r="Z616" s="1290"/>
    </row>
    <row r="617" spans="1:26" x14ac:dyDescent="0.6">
      <c r="A617" s="1280"/>
      <c r="N617" s="1288"/>
      <c r="O617" s="1290"/>
      <c r="Z617" s="1290"/>
    </row>
    <row r="618" spans="1:26" x14ac:dyDescent="0.6">
      <c r="A618" s="1280"/>
      <c r="N618" s="1288"/>
      <c r="O618" s="1290"/>
      <c r="Z618" s="1290"/>
    </row>
    <row r="619" spans="1:26" x14ac:dyDescent="0.6">
      <c r="A619" s="1280"/>
      <c r="N619" s="1288"/>
      <c r="O619" s="1290"/>
      <c r="Z619" s="1290"/>
    </row>
    <row r="620" spans="1:26" x14ac:dyDescent="0.6">
      <c r="A620" s="1280"/>
      <c r="N620" s="1288"/>
      <c r="O620" s="1290"/>
      <c r="Z620" s="1290"/>
    </row>
    <row r="621" spans="1:26" x14ac:dyDescent="0.6">
      <c r="A621" s="1280"/>
      <c r="N621" s="1288"/>
      <c r="O621" s="1290"/>
      <c r="Z621" s="1290"/>
    </row>
    <row r="622" spans="1:26" x14ac:dyDescent="0.6">
      <c r="A622" s="1280"/>
      <c r="N622" s="1288"/>
      <c r="O622" s="1290"/>
      <c r="Z622" s="1290"/>
    </row>
    <row r="623" spans="1:26" x14ac:dyDescent="0.6">
      <c r="A623" s="1280"/>
      <c r="N623" s="1288"/>
      <c r="O623" s="1290"/>
      <c r="Z623" s="1290"/>
    </row>
    <row r="624" spans="1:26" x14ac:dyDescent="0.6">
      <c r="A624" s="1280"/>
      <c r="N624" s="1288"/>
      <c r="O624" s="1290"/>
      <c r="Z624" s="1290"/>
    </row>
    <row r="625" spans="1:26" x14ac:dyDescent="0.6">
      <c r="A625" s="1280"/>
      <c r="N625" s="1288"/>
      <c r="O625" s="1290"/>
      <c r="Z625" s="1290"/>
    </row>
    <row r="626" spans="1:26" x14ac:dyDescent="0.6">
      <c r="A626" s="1280"/>
      <c r="N626" s="1288"/>
      <c r="O626" s="1290"/>
      <c r="Z626" s="1290"/>
    </row>
    <row r="627" spans="1:26" x14ac:dyDescent="0.6">
      <c r="A627" s="1280"/>
      <c r="N627" s="1288"/>
      <c r="O627" s="1290"/>
      <c r="Z627" s="1290"/>
    </row>
    <row r="628" spans="1:26" x14ac:dyDescent="0.6">
      <c r="A628" s="1280"/>
      <c r="N628" s="1288"/>
      <c r="O628" s="1290"/>
      <c r="Z628" s="1290"/>
    </row>
    <row r="629" spans="1:26" x14ac:dyDescent="0.6">
      <c r="A629" s="1280"/>
      <c r="N629" s="1288"/>
      <c r="O629" s="1290"/>
      <c r="Z629" s="1290"/>
    </row>
    <row r="630" spans="1:26" x14ac:dyDescent="0.6">
      <c r="A630" s="1280"/>
      <c r="N630" s="1288"/>
      <c r="O630" s="1290"/>
      <c r="Z630" s="1290"/>
    </row>
    <row r="631" spans="1:26" x14ac:dyDescent="0.6">
      <c r="A631" s="1280"/>
      <c r="N631" s="1288"/>
      <c r="O631" s="1290"/>
      <c r="Z631" s="1290"/>
    </row>
    <row r="632" spans="1:26" x14ac:dyDescent="0.6">
      <c r="A632" s="1280"/>
      <c r="N632" s="1288"/>
      <c r="O632" s="1290"/>
      <c r="Z632" s="1290"/>
    </row>
    <row r="633" spans="1:26" x14ac:dyDescent="0.6">
      <c r="A633" s="1280"/>
      <c r="N633" s="1288"/>
      <c r="O633" s="1290"/>
      <c r="Z633" s="1290"/>
    </row>
    <row r="634" spans="1:26" x14ac:dyDescent="0.6">
      <c r="A634" s="1280"/>
      <c r="N634" s="1288"/>
      <c r="O634" s="1290"/>
      <c r="Z634" s="1290"/>
    </row>
    <row r="635" spans="1:26" x14ac:dyDescent="0.6">
      <c r="A635" s="1280"/>
      <c r="N635" s="1288"/>
      <c r="O635" s="1290"/>
      <c r="Z635" s="1290"/>
    </row>
    <row r="636" spans="1:26" x14ac:dyDescent="0.6">
      <c r="A636" s="1280"/>
      <c r="N636" s="1288"/>
      <c r="O636" s="1290"/>
      <c r="Z636" s="1290"/>
    </row>
    <row r="637" spans="1:26" x14ac:dyDescent="0.6">
      <c r="A637" s="1280"/>
      <c r="N637" s="1288"/>
      <c r="O637" s="1290"/>
      <c r="Z637" s="1290"/>
    </row>
    <row r="638" spans="1:26" x14ac:dyDescent="0.6">
      <c r="A638" s="1280"/>
      <c r="N638" s="1288"/>
      <c r="O638" s="1290"/>
      <c r="Z638" s="1290"/>
    </row>
    <row r="639" spans="1:26" x14ac:dyDescent="0.6">
      <c r="A639" s="1280"/>
      <c r="N639" s="1288"/>
      <c r="O639" s="1290"/>
      <c r="Z639" s="1290"/>
    </row>
    <row r="640" spans="1:26" x14ac:dyDescent="0.6">
      <c r="A640" s="1280"/>
      <c r="N640" s="1288"/>
      <c r="O640" s="1290"/>
      <c r="Z640" s="1290"/>
    </row>
    <row r="641" spans="1:26" x14ac:dyDescent="0.6">
      <c r="A641" s="1280"/>
      <c r="N641" s="1288"/>
      <c r="O641" s="1290"/>
      <c r="Z641" s="1290"/>
    </row>
    <row r="642" spans="1:26" x14ac:dyDescent="0.6">
      <c r="A642" s="1280"/>
      <c r="N642" s="1288"/>
      <c r="O642" s="1290"/>
      <c r="Z642" s="1290"/>
    </row>
    <row r="643" spans="1:26" x14ac:dyDescent="0.6">
      <c r="A643" s="1280"/>
      <c r="N643" s="1288"/>
      <c r="O643" s="1290"/>
      <c r="Z643" s="1290"/>
    </row>
    <row r="644" spans="1:26" x14ac:dyDescent="0.6">
      <c r="A644" s="1280"/>
      <c r="N644" s="1288"/>
      <c r="O644" s="1290"/>
      <c r="Z644" s="1290"/>
    </row>
    <row r="645" spans="1:26" x14ac:dyDescent="0.6">
      <c r="A645" s="1280"/>
      <c r="N645" s="1288"/>
      <c r="O645" s="1290"/>
      <c r="Z645" s="1290"/>
    </row>
    <row r="646" spans="1:26" x14ac:dyDescent="0.6">
      <c r="A646" s="1280"/>
      <c r="N646" s="1288"/>
      <c r="O646" s="1290"/>
      <c r="Z646" s="1290"/>
    </row>
    <row r="647" spans="1:26" x14ac:dyDescent="0.6">
      <c r="A647" s="1280"/>
      <c r="N647" s="1288"/>
      <c r="O647" s="1290"/>
      <c r="Z647" s="1290"/>
    </row>
    <row r="648" spans="1:26" x14ac:dyDescent="0.6">
      <c r="A648" s="1280"/>
      <c r="N648" s="1288"/>
      <c r="O648" s="1290"/>
      <c r="Z648" s="1290"/>
    </row>
    <row r="649" spans="1:26" x14ac:dyDescent="0.6">
      <c r="A649" s="1280"/>
      <c r="N649" s="1288"/>
      <c r="O649" s="1290"/>
      <c r="Z649" s="1290"/>
    </row>
    <row r="650" spans="1:26" x14ac:dyDescent="0.6">
      <c r="A650" s="1280"/>
      <c r="N650" s="1288"/>
      <c r="O650" s="1290"/>
      <c r="Z650" s="1290"/>
    </row>
    <row r="651" spans="1:26" x14ac:dyDescent="0.6">
      <c r="A651" s="1280"/>
      <c r="N651" s="1288"/>
      <c r="O651" s="1290"/>
      <c r="Z651" s="1290"/>
    </row>
    <row r="652" spans="1:26" x14ac:dyDescent="0.6">
      <c r="A652" s="1280"/>
      <c r="N652" s="1288"/>
      <c r="O652" s="1290"/>
      <c r="Z652" s="1290"/>
    </row>
    <row r="653" spans="1:26" x14ac:dyDescent="0.6">
      <c r="A653" s="1280"/>
      <c r="N653" s="1288"/>
      <c r="O653" s="1290"/>
      <c r="Z653" s="1290"/>
    </row>
    <row r="654" spans="1:26" x14ac:dyDescent="0.6">
      <c r="A654" s="1280"/>
      <c r="N654" s="1288"/>
      <c r="O654" s="1290"/>
      <c r="Z654" s="1290"/>
    </row>
    <row r="655" spans="1:26" x14ac:dyDescent="0.6">
      <c r="A655" s="1280"/>
      <c r="N655" s="1288"/>
      <c r="O655" s="1290"/>
      <c r="Z655" s="1290"/>
    </row>
    <row r="656" spans="1:26" x14ac:dyDescent="0.6">
      <c r="A656" s="1280"/>
      <c r="N656" s="1288"/>
      <c r="O656" s="1290"/>
      <c r="Z656" s="1290"/>
    </row>
    <row r="657" spans="1:26" x14ac:dyDescent="0.6">
      <c r="A657" s="1280"/>
      <c r="N657" s="1288"/>
      <c r="O657" s="1290"/>
      <c r="Z657" s="1290"/>
    </row>
    <row r="658" spans="1:26" x14ac:dyDescent="0.6">
      <c r="A658" s="1280"/>
      <c r="N658" s="1288"/>
      <c r="O658" s="1290"/>
      <c r="Z658" s="1290"/>
    </row>
    <row r="659" spans="1:26" x14ac:dyDescent="0.6">
      <c r="A659" s="1280"/>
      <c r="N659" s="1288"/>
      <c r="O659" s="1290"/>
      <c r="Z659" s="1290"/>
    </row>
    <row r="660" spans="1:26" x14ac:dyDescent="0.6">
      <c r="A660" s="1280"/>
      <c r="N660" s="1288"/>
      <c r="O660" s="1290"/>
      <c r="Z660" s="1290"/>
    </row>
    <row r="661" spans="1:26" x14ac:dyDescent="0.6">
      <c r="A661" s="1280"/>
      <c r="N661" s="1288"/>
      <c r="O661" s="1290"/>
      <c r="Z661" s="1290"/>
    </row>
    <row r="662" spans="1:26" x14ac:dyDescent="0.6">
      <c r="A662" s="1280"/>
      <c r="N662" s="1288"/>
      <c r="O662" s="1290"/>
      <c r="Z662" s="1290"/>
    </row>
    <row r="663" spans="1:26" x14ac:dyDescent="0.6">
      <c r="A663" s="1280"/>
      <c r="N663" s="1288"/>
      <c r="O663" s="1290"/>
      <c r="Z663" s="1290"/>
    </row>
    <row r="664" spans="1:26" x14ac:dyDescent="0.6">
      <c r="A664" s="1280"/>
      <c r="N664" s="1288"/>
      <c r="O664" s="1290"/>
      <c r="Z664" s="1290"/>
    </row>
    <row r="665" spans="1:26" x14ac:dyDescent="0.6">
      <c r="A665" s="1280"/>
      <c r="N665" s="1288"/>
      <c r="O665" s="1290"/>
      <c r="Z665" s="1290"/>
    </row>
    <row r="666" spans="1:26" x14ac:dyDescent="0.6">
      <c r="A666" s="1280"/>
      <c r="N666" s="1288"/>
      <c r="O666" s="1290"/>
      <c r="Z666" s="1290"/>
    </row>
    <row r="667" spans="1:26" x14ac:dyDescent="0.6">
      <c r="A667" s="1280"/>
      <c r="N667" s="1288"/>
      <c r="O667" s="1290"/>
      <c r="Z667" s="1290"/>
    </row>
    <row r="668" spans="1:26" x14ac:dyDescent="0.6">
      <c r="A668" s="1280"/>
      <c r="N668" s="1288"/>
      <c r="O668" s="1290"/>
      <c r="Z668" s="1290"/>
    </row>
    <row r="669" spans="1:26" x14ac:dyDescent="0.6">
      <c r="A669" s="1280"/>
      <c r="N669" s="1288"/>
      <c r="O669" s="1290"/>
      <c r="Z669" s="1290"/>
    </row>
    <row r="670" spans="1:26" x14ac:dyDescent="0.6">
      <c r="A670" s="1280"/>
      <c r="N670" s="1288"/>
      <c r="O670" s="1290"/>
      <c r="Z670" s="1290"/>
    </row>
    <row r="671" spans="1:26" x14ac:dyDescent="0.6">
      <c r="A671" s="1280"/>
      <c r="N671" s="1288"/>
      <c r="O671" s="1290"/>
      <c r="Z671" s="1290"/>
    </row>
    <row r="672" spans="1:26" x14ac:dyDescent="0.6">
      <c r="A672" s="1280"/>
      <c r="N672" s="1288"/>
      <c r="O672" s="1290"/>
      <c r="Z672" s="1290"/>
    </row>
    <row r="673" spans="1:26" x14ac:dyDescent="0.6">
      <c r="A673" s="1280"/>
      <c r="N673" s="1288"/>
      <c r="O673" s="1290"/>
      <c r="Z673" s="1290"/>
    </row>
    <row r="674" spans="1:26" x14ac:dyDescent="0.6">
      <c r="A674" s="1280"/>
      <c r="N674" s="1288"/>
      <c r="O674" s="1290"/>
      <c r="Z674" s="1290"/>
    </row>
    <row r="675" spans="1:26" x14ac:dyDescent="0.6">
      <c r="A675" s="1280"/>
      <c r="N675" s="1288"/>
      <c r="O675" s="1290"/>
      <c r="Z675" s="1290"/>
    </row>
    <row r="676" spans="1:26" x14ac:dyDescent="0.6">
      <c r="A676" s="1280"/>
      <c r="N676" s="1288"/>
      <c r="O676" s="1290"/>
      <c r="Z676" s="1290"/>
    </row>
    <row r="677" spans="1:26" x14ac:dyDescent="0.6">
      <c r="A677" s="1280"/>
      <c r="N677" s="1288"/>
      <c r="O677" s="1290"/>
      <c r="Z677" s="1290"/>
    </row>
    <row r="678" spans="1:26" x14ac:dyDescent="0.6">
      <c r="A678" s="1280"/>
      <c r="N678" s="1288"/>
      <c r="O678" s="1290"/>
      <c r="Z678" s="1290"/>
    </row>
    <row r="679" spans="1:26" x14ac:dyDescent="0.6">
      <c r="A679" s="1280"/>
      <c r="N679" s="1288"/>
      <c r="O679" s="1290"/>
      <c r="Z679" s="1290"/>
    </row>
    <row r="680" spans="1:26" x14ac:dyDescent="0.6">
      <c r="A680" s="1280"/>
      <c r="N680" s="1288"/>
      <c r="O680" s="1290"/>
      <c r="Z680" s="1290"/>
    </row>
    <row r="681" spans="1:26" x14ac:dyDescent="0.6">
      <c r="A681" s="1280"/>
      <c r="N681" s="1288"/>
      <c r="O681" s="1290"/>
      <c r="Z681" s="1290"/>
    </row>
    <row r="682" spans="1:26" x14ac:dyDescent="0.6">
      <c r="A682" s="1280"/>
      <c r="N682" s="1288"/>
      <c r="O682" s="1290"/>
      <c r="Z682" s="1290"/>
    </row>
    <row r="683" spans="1:26" x14ac:dyDescent="0.6">
      <c r="A683" s="1280"/>
      <c r="N683" s="1288"/>
      <c r="O683" s="1290"/>
      <c r="Z683" s="1290"/>
    </row>
    <row r="684" spans="1:26" x14ac:dyDescent="0.6">
      <c r="A684" s="1280"/>
      <c r="N684" s="1288"/>
      <c r="O684" s="1290"/>
      <c r="Z684" s="1290"/>
    </row>
    <row r="685" spans="1:26" x14ac:dyDescent="0.6">
      <c r="A685" s="1280"/>
      <c r="N685" s="1288"/>
      <c r="O685" s="1290"/>
      <c r="Z685" s="1290"/>
    </row>
    <row r="686" spans="1:26" x14ac:dyDescent="0.6">
      <c r="A686" s="1280"/>
      <c r="N686" s="1288"/>
      <c r="O686" s="1290"/>
      <c r="Z686" s="1290"/>
    </row>
    <row r="687" spans="1:26" x14ac:dyDescent="0.6">
      <c r="A687" s="1280"/>
      <c r="N687" s="1288"/>
      <c r="O687" s="1290"/>
      <c r="Z687" s="1290"/>
    </row>
    <row r="688" spans="1:26" x14ac:dyDescent="0.6">
      <c r="A688" s="1280"/>
      <c r="N688" s="1288"/>
      <c r="O688" s="1290"/>
      <c r="Z688" s="1290"/>
    </row>
    <row r="689" spans="1:26" x14ac:dyDescent="0.6">
      <c r="A689" s="1280"/>
      <c r="N689" s="1288"/>
      <c r="O689" s="1290"/>
      <c r="Z689" s="1290"/>
    </row>
    <row r="690" spans="1:26" x14ac:dyDescent="0.6">
      <c r="A690" s="1280"/>
      <c r="N690" s="1288"/>
      <c r="O690" s="1290"/>
      <c r="Z690" s="1290"/>
    </row>
    <row r="691" spans="1:26" x14ac:dyDescent="0.6">
      <c r="A691" s="1280"/>
      <c r="N691" s="1288"/>
      <c r="O691" s="1290"/>
      <c r="Z691" s="1290"/>
    </row>
    <row r="692" spans="1:26" x14ac:dyDescent="0.6">
      <c r="A692" s="1280"/>
      <c r="N692" s="1288"/>
      <c r="O692" s="1290"/>
      <c r="Z692" s="1290"/>
    </row>
    <row r="693" spans="1:26" x14ac:dyDescent="0.6">
      <c r="A693" s="1280"/>
      <c r="N693" s="1288"/>
      <c r="O693" s="1290"/>
      <c r="Z693" s="1290"/>
    </row>
    <row r="694" spans="1:26" x14ac:dyDescent="0.6">
      <c r="A694" s="1280"/>
      <c r="N694" s="1288"/>
      <c r="O694" s="1290"/>
      <c r="Z694" s="1290"/>
    </row>
    <row r="695" spans="1:26" x14ac:dyDescent="0.6">
      <c r="A695" s="1280"/>
      <c r="N695" s="1288"/>
      <c r="O695" s="1290"/>
      <c r="Z695" s="1290"/>
    </row>
    <row r="696" spans="1:26" x14ac:dyDescent="0.6">
      <c r="A696" s="1280"/>
      <c r="N696" s="1288"/>
      <c r="O696" s="1290"/>
      <c r="Z696" s="1290"/>
    </row>
    <row r="697" spans="1:26" x14ac:dyDescent="0.6">
      <c r="A697" s="1280"/>
      <c r="N697" s="1288"/>
      <c r="O697" s="1290"/>
      <c r="Z697" s="1290"/>
    </row>
    <row r="698" spans="1:26" x14ac:dyDescent="0.6">
      <c r="A698" s="1280"/>
      <c r="N698" s="1288"/>
      <c r="O698" s="1290"/>
      <c r="Z698" s="1290"/>
    </row>
    <row r="699" spans="1:26" x14ac:dyDescent="0.6">
      <c r="A699" s="1280"/>
      <c r="N699" s="1288"/>
      <c r="O699" s="1290"/>
      <c r="Z699" s="1290"/>
    </row>
    <row r="700" spans="1:26" x14ac:dyDescent="0.6">
      <c r="A700" s="1280"/>
      <c r="N700" s="1288"/>
      <c r="O700" s="1290"/>
      <c r="Z700" s="1290"/>
    </row>
    <row r="701" spans="1:26" x14ac:dyDescent="0.6">
      <c r="A701" s="1280"/>
      <c r="N701" s="1288"/>
      <c r="O701" s="1290"/>
      <c r="Z701" s="1290"/>
    </row>
    <row r="702" spans="1:26" x14ac:dyDescent="0.6">
      <c r="A702" s="1280"/>
      <c r="N702" s="1288"/>
      <c r="O702" s="1290"/>
      <c r="Z702" s="1290"/>
    </row>
    <row r="703" spans="1:26" x14ac:dyDescent="0.6">
      <c r="A703" s="1280"/>
      <c r="N703" s="1288"/>
      <c r="O703" s="1290"/>
      <c r="Z703" s="1290"/>
    </row>
    <row r="704" spans="1:26" x14ac:dyDescent="0.6">
      <c r="A704" s="1280"/>
      <c r="N704" s="1288"/>
      <c r="O704" s="1290"/>
      <c r="Z704" s="1290"/>
    </row>
    <row r="705" spans="1:26" x14ac:dyDescent="0.6">
      <c r="A705" s="1280"/>
      <c r="N705" s="1288"/>
      <c r="O705" s="1290"/>
      <c r="Z705" s="1290"/>
    </row>
    <row r="706" spans="1:26" x14ac:dyDescent="0.6">
      <c r="A706" s="1280"/>
      <c r="N706" s="1288"/>
      <c r="O706" s="1290"/>
      <c r="Z706" s="1290"/>
    </row>
    <row r="707" spans="1:26" x14ac:dyDescent="0.6">
      <c r="A707" s="1280"/>
      <c r="N707" s="1288"/>
      <c r="O707" s="1290"/>
      <c r="Z707" s="1290"/>
    </row>
    <row r="708" spans="1:26" x14ac:dyDescent="0.6">
      <c r="A708" s="1280"/>
      <c r="N708" s="1288"/>
      <c r="O708" s="1290"/>
      <c r="Z708" s="1290"/>
    </row>
  </sheetData>
  <protectedRanges>
    <protectedRange password="CC6F" sqref="B14" name="ช่วง1_5_1_5_1_1"/>
    <protectedRange password="CC6F" sqref="B9:B12" name="ช่วง1_5_1_5_1_1_1"/>
    <protectedRange password="CC6F" sqref="B13 B8" name="ช่วง1_5_1_5_1_1_4"/>
  </protectedRanges>
  <mergeCells count="18">
    <mergeCell ref="X6:X7"/>
    <mergeCell ref="A15:C15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B18C-B47F-42C8-ABB6-FA904AFB091B}">
  <sheetPr>
    <pageSetUpPr fitToPage="1"/>
  </sheetPr>
  <dimension ref="A1:AE713"/>
  <sheetViews>
    <sheetView topLeftCell="L1" zoomScaleNormal="100" zoomScaleSheetLayoutView="11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13" width="11.09765625" style="1290" customWidth="1"/>
    <col min="14" max="14" width="11.09765625" style="1406" customWidth="1"/>
    <col min="15" max="15" width="11.09765625" style="1460" customWidth="1"/>
    <col min="16" max="23" width="11.09765625" style="1288" customWidth="1"/>
    <col min="24" max="25" width="11.09765625" style="1290" customWidth="1"/>
    <col min="26" max="26" width="11.09765625" style="1401" customWidth="1"/>
    <col min="27" max="27" width="13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x14ac:dyDescent="0.6">
      <c r="A1" s="1735" t="s">
        <v>9129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9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9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9" x14ac:dyDescent="0.6">
      <c r="A4" s="1408" t="s">
        <v>2185</v>
      </c>
      <c r="B4" s="1408" t="s">
        <v>9130</v>
      </c>
      <c r="C4" s="1849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9" x14ac:dyDescent="0.6">
      <c r="A5" s="1417"/>
      <c r="B5" s="1417"/>
      <c r="C5" s="1850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9" x14ac:dyDescent="0.6">
      <c r="A6" s="1417"/>
      <c r="B6" s="1417"/>
      <c r="C6" s="1850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9" x14ac:dyDescent="0.6">
      <c r="A7" s="1425"/>
      <c r="B7" s="1425"/>
      <c r="C7" s="1851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9" s="1388" customFormat="1" ht="23.25" customHeight="1" x14ac:dyDescent="0.25">
      <c r="A8" s="1942">
        <v>1</v>
      </c>
      <c r="B8" s="1943" t="s">
        <v>7678</v>
      </c>
      <c r="C8" s="1944" t="s">
        <v>7895</v>
      </c>
      <c r="D8" s="1564">
        <v>12</v>
      </c>
      <c r="E8" s="1945">
        <f t="shared" ref="E8:E19" si="0">D8*N8</f>
        <v>30000</v>
      </c>
      <c r="F8" s="1946">
        <v>22</v>
      </c>
      <c r="G8" s="1945">
        <f t="shared" ref="G8:G19" si="1">F8*N8</f>
        <v>55000</v>
      </c>
      <c r="H8" s="1946">
        <v>11</v>
      </c>
      <c r="I8" s="1565">
        <f t="shared" ref="I8:I19" si="2">H8*N8</f>
        <v>27500</v>
      </c>
      <c r="J8" s="1947">
        <v>11</v>
      </c>
      <c r="K8" s="1948">
        <v>0</v>
      </c>
      <c r="L8" s="1564">
        <f>SUM(K8*N8)</f>
        <v>0</v>
      </c>
      <c r="M8" s="1949">
        <v>11</v>
      </c>
      <c r="N8" s="1950">
        <v>2500</v>
      </c>
      <c r="O8" s="1566">
        <f>M8*N8</f>
        <v>27500</v>
      </c>
      <c r="P8" s="1951">
        <v>0</v>
      </c>
      <c r="Q8" s="1951">
        <f>P8*N8</f>
        <v>0</v>
      </c>
      <c r="R8" s="1951">
        <v>11</v>
      </c>
      <c r="S8" s="1952">
        <f>R8*N8</f>
        <v>27500</v>
      </c>
      <c r="T8" s="1951">
        <v>0</v>
      </c>
      <c r="U8" s="1952">
        <f>T8*N8</f>
        <v>0</v>
      </c>
      <c r="V8" s="1951">
        <v>0</v>
      </c>
      <c r="W8" s="1952">
        <f>V8*N8</f>
        <v>0</v>
      </c>
      <c r="X8" s="1565">
        <f>P8+R8+T8+V8</f>
        <v>11</v>
      </c>
      <c r="Y8" s="1565">
        <f>X8*N8</f>
        <v>27500</v>
      </c>
      <c r="Z8" s="1556" t="s">
        <v>7799</v>
      </c>
      <c r="AA8" s="1563" t="s">
        <v>9131</v>
      </c>
      <c r="AB8" s="1388" t="str">
        <f t="shared" ref="AB8:AB20" si="3">IF(O8=Y8,"yes")</f>
        <v>yes</v>
      </c>
      <c r="AC8" s="1388" t="str">
        <f t="shared" ref="AC8:AC20" si="4">IF(O8=Y8,"ok")</f>
        <v>ok</v>
      </c>
    </row>
    <row r="9" spans="1:29" s="1388" customFormat="1" ht="20.25" customHeight="1" x14ac:dyDescent="0.25">
      <c r="A9" s="1942">
        <v>2</v>
      </c>
      <c r="B9" s="1943" t="s">
        <v>7680</v>
      </c>
      <c r="C9" s="1944" t="s">
        <v>9132</v>
      </c>
      <c r="D9" s="1564">
        <v>1</v>
      </c>
      <c r="E9" s="1953">
        <f t="shared" si="0"/>
        <v>5500</v>
      </c>
      <c r="F9" s="1565">
        <v>4</v>
      </c>
      <c r="G9" s="1953">
        <f t="shared" si="1"/>
        <v>22000</v>
      </c>
      <c r="H9" s="1565">
        <v>3</v>
      </c>
      <c r="I9" s="1954">
        <f t="shared" si="2"/>
        <v>16500</v>
      </c>
      <c r="J9" s="1955">
        <v>2</v>
      </c>
      <c r="K9" s="1956">
        <v>0</v>
      </c>
      <c r="L9" s="1564">
        <f t="shared" ref="L9:L17" si="5">SUM(K9*N9)</f>
        <v>0</v>
      </c>
      <c r="M9" s="1955">
        <v>2</v>
      </c>
      <c r="N9" s="1957">
        <v>5500</v>
      </c>
      <c r="O9" s="1566">
        <f t="shared" ref="O9:O19" si="6">M9*N9</f>
        <v>11000</v>
      </c>
      <c r="P9" s="1564">
        <v>2</v>
      </c>
      <c r="Q9" s="1951">
        <f t="shared" ref="Q9:Q17" si="7">P9*N9</f>
        <v>11000</v>
      </c>
      <c r="R9" s="1565">
        <v>0</v>
      </c>
      <c r="S9" s="1952">
        <f t="shared" ref="S9:S17" si="8">R9*N9</f>
        <v>0</v>
      </c>
      <c r="T9" s="1564">
        <v>0</v>
      </c>
      <c r="U9" s="1952">
        <f t="shared" ref="U9:U17" si="9">T9*N9</f>
        <v>0</v>
      </c>
      <c r="V9" s="1565">
        <v>0</v>
      </c>
      <c r="W9" s="1952">
        <f t="shared" ref="W9:W17" si="10">V9*N9</f>
        <v>0</v>
      </c>
      <c r="X9" s="1565">
        <f t="shared" ref="X9:X19" si="11">P9+R9+T9+V9</f>
        <v>2</v>
      </c>
      <c r="Y9" s="1565">
        <f t="shared" ref="Y9:Y19" si="12">X9*N9</f>
        <v>11000</v>
      </c>
      <c r="Z9" s="1556" t="s">
        <v>7799</v>
      </c>
      <c r="AA9" s="1958" t="s">
        <v>9133</v>
      </c>
      <c r="AB9" s="1388" t="str">
        <f t="shared" si="3"/>
        <v>yes</v>
      </c>
      <c r="AC9" s="1388" t="str">
        <f t="shared" si="4"/>
        <v>ok</v>
      </c>
    </row>
    <row r="10" spans="1:29" s="1359" customFormat="1" ht="20.25" customHeight="1" x14ac:dyDescent="0.25">
      <c r="A10" s="1279">
        <v>3</v>
      </c>
      <c r="B10" s="1211" t="s">
        <v>7682</v>
      </c>
      <c r="C10" s="1383" t="s">
        <v>7895</v>
      </c>
      <c r="D10" s="1344">
        <v>0</v>
      </c>
      <c r="E10" s="1873">
        <f t="shared" si="0"/>
        <v>0</v>
      </c>
      <c r="F10" s="1345">
        <v>0</v>
      </c>
      <c r="G10" s="1873">
        <f t="shared" si="1"/>
        <v>0</v>
      </c>
      <c r="H10" s="1345">
        <v>4</v>
      </c>
      <c r="I10" s="1874">
        <f t="shared" si="2"/>
        <v>8000</v>
      </c>
      <c r="J10" s="1652">
        <v>1</v>
      </c>
      <c r="K10" s="1653">
        <v>0</v>
      </c>
      <c r="L10" s="1344">
        <f t="shared" si="5"/>
        <v>0</v>
      </c>
      <c r="M10" s="1652">
        <v>1</v>
      </c>
      <c r="N10" s="1205">
        <v>2000</v>
      </c>
      <c r="O10" s="1346">
        <f t="shared" si="6"/>
        <v>2000</v>
      </c>
      <c r="P10" s="1345">
        <v>1</v>
      </c>
      <c r="Q10" s="1482">
        <f t="shared" si="7"/>
        <v>2000</v>
      </c>
      <c r="R10" s="1344">
        <v>0</v>
      </c>
      <c r="S10" s="1483">
        <f t="shared" si="8"/>
        <v>0</v>
      </c>
      <c r="T10" s="1345">
        <v>0</v>
      </c>
      <c r="U10" s="1483">
        <f t="shared" si="9"/>
        <v>0</v>
      </c>
      <c r="V10" s="1344">
        <v>0</v>
      </c>
      <c r="W10" s="1483">
        <f t="shared" si="10"/>
        <v>0</v>
      </c>
      <c r="X10" s="1345">
        <f t="shared" si="11"/>
        <v>1</v>
      </c>
      <c r="Y10" s="1345">
        <f t="shared" si="12"/>
        <v>2000</v>
      </c>
      <c r="Z10" s="1527" t="s">
        <v>7799</v>
      </c>
      <c r="AA10" s="1358" t="s">
        <v>9134</v>
      </c>
      <c r="AB10" s="1359" t="str">
        <f t="shared" si="3"/>
        <v>yes</v>
      </c>
      <c r="AC10" s="1388" t="str">
        <f t="shared" si="4"/>
        <v>ok</v>
      </c>
    </row>
    <row r="11" spans="1:29" s="1359" customFormat="1" ht="20.25" customHeight="1" x14ac:dyDescent="0.25">
      <c r="A11" s="1279">
        <v>4</v>
      </c>
      <c r="B11" s="1211" t="s">
        <v>7684</v>
      </c>
      <c r="C11" s="1383" t="s">
        <v>7895</v>
      </c>
      <c r="D11" s="1344">
        <v>10</v>
      </c>
      <c r="E11" s="1873">
        <f t="shared" si="0"/>
        <v>58000</v>
      </c>
      <c r="F11" s="1345">
        <v>9</v>
      </c>
      <c r="G11" s="1873">
        <f t="shared" si="1"/>
        <v>52200</v>
      </c>
      <c r="H11" s="1345">
        <v>3</v>
      </c>
      <c r="I11" s="1874">
        <f t="shared" si="2"/>
        <v>17400</v>
      </c>
      <c r="J11" s="1652">
        <v>3</v>
      </c>
      <c r="K11" s="1653">
        <v>0</v>
      </c>
      <c r="L11" s="1344">
        <f t="shared" si="5"/>
        <v>0</v>
      </c>
      <c r="M11" s="1652">
        <v>3</v>
      </c>
      <c r="N11" s="1205">
        <v>5800</v>
      </c>
      <c r="O11" s="1346">
        <f t="shared" si="6"/>
        <v>17400</v>
      </c>
      <c r="P11" s="1344">
        <v>3</v>
      </c>
      <c r="Q11" s="1482">
        <f t="shared" si="7"/>
        <v>17400</v>
      </c>
      <c r="R11" s="1344">
        <v>0</v>
      </c>
      <c r="S11" s="1483">
        <f t="shared" si="8"/>
        <v>0</v>
      </c>
      <c r="T11" s="1345">
        <v>0</v>
      </c>
      <c r="U11" s="1483">
        <f t="shared" si="9"/>
        <v>0</v>
      </c>
      <c r="V11" s="1345">
        <v>0</v>
      </c>
      <c r="W11" s="1483">
        <f t="shared" si="10"/>
        <v>0</v>
      </c>
      <c r="X11" s="1345">
        <f t="shared" si="11"/>
        <v>3</v>
      </c>
      <c r="Y11" s="1345">
        <f t="shared" si="12"/>
        <v>17400</v>
      </c>
      <c r="Z11" s="1527" t="s">
        <v>7799</v>
      </c>
      <c r="AA11" s="1358" t="s">
        <v>9135</v>
      </c>
      <c r="AB11" s="1359" t="str">
        <f t="shared" si="3"/>
        <v>yes</v>
      </c>
      <c r="AC11" s="1388" t="str">
        <f t="shared" si="4"/>
        <v>ok</v>
      </c>
    </row>
    <row r="12" spans="1:29" s="1359" customFormat="1" ht="22.5" customHeight="1" x14ac:dyDescent="0.25">
      <c r="A12" s="1279">
        <v>5</v>
      </c>
      <c r="B12" s="1211" t="s">
        <v>7686</v>
      </c>
      <c r="C12" s="1383" t="s">
        <v>7893</v>
      </c>
      <c r="D12" s="1344">
        <v>10</v>
      </c>
      <c r="E12" s="1873">
        <f t="shared" si="0"/>
        <v>24500</v>
      </c>
      <c r="F12" s="1345">
        <v>0</v>
      </c>
      <c r="G12" s="1873">
        <f t="shared" si="1"/>
        <v>0</v>
      </c>
      <c r="H12" s="1345">
        <v>0</v>
      </c>
      <c r="I12" s="1874">
        <f t="shared" si="2"/>
        <v>0</v>
      </c>
      <c r="J12" s="1652">
        <v>3</v>
      </c>
      <c r="K12" s="1653">
        <v>0</v>
      </c>
      <c r="L12" s="1344">
        <f t="shared" si="5"/>
        <v>0</v>
      </c>
      <c r="M12" s="1652">
        <v>3</v>
      </c>
      <c r="N12" s="1205">
        <v>2450</v>
      </c>
      <c r="O12" s="1346">
        <f t="shared" si="6"/>
        <v>7350</v>
      </c>
      <c r="P12" s="1344">
        <v>3</v>
      </c>
      <c r="Q12" s="1482">
        <f t="shared" si="7"/>
        <v>7350</v>
      </c>
      <c r="R12" s="1344">
        <v>0</v>
      </c>
      <c r="S12" s="1483">
        <f t="shared" si="8"/>
        <v>0</v>
      </c>
      <c r="T12" s="1345">
        <v>0</v>
      </c>
      <c r="U12" s="1483">
        <f t="shared" si="9"/>
        <v>0</v>
      </c>
      <c r="V12" s="1345">
        <v>0</v>
      </c>
      <c r="W12" s="1483">
        <f t="shared" si="10"/>
        <v>0</v>
      </c>
      <c r="X12" s="1345">
        <f t="shared" si="11"/>
        <v>3</v>
      </c>
      <c r="Y12" s="1345">
        <f t="shared" si="12"/>
        <v>7350</v>
      </c>
      <c r="Z12" s="1527" t="s">
        <v>7799</v>
      </c>
      <c r="AA12" s="1358" t="s">
        <v>9136</v>
      </c>
      <c r="AB12" s="1359" t="str">
        <f t="shared" si="3"/>
        <v>yes</v>
      </c>
      <c r="AC12" s="1388" t="str">
        <f t="shared" si="4"/>
        <v>ok</v>
      </c>
    </row>
    <row r="13" spans="1:29" s="1359" customFormat="1" ht="45.75" customHeight="1" x14ac:dyDescent="0.25">
      <c r="A13" s="1279">
        <v>6</v>
      </c>
      <c r="B13" s="1211" t="s">
        <v>7687</v>
      </c>
      <c r="C13" s="1383" t="s">
        <v>7893</v>
      </c>
      <c r="D13" s="1344">
        <v>1</v>
      </c>
      <c r="E13" s="1873">
        <f t="shared" si="0"/>
        <v>26000</v>
      </c>
      <c r="F13" s="1345">
        <v>11</v>
      </c>
      <c r="G13" s="1873">
        <f t="shared" si="1"/>
        <v>286000</v>
      </c>
      <c r="H13" s="1345">
        <v>5</v>
      </c>
      <c r="I13" s="1874">
        <f t="shared" si="2"/>
        <v>130000</v>
      </c>
      <c r="J13" s="1652">
        <v>2</v>
      </c>
      <c r="K13" s="1653">
        <v>0</v>
      </c>
      <c r="L13" s="1344">
        <f t="shared" si="5"/>
        <v>0</v>
      </c>
      <c r="M13" s="1652">
        <v>2</v>
      </c>
      <c r="N13" s="1205">
        <v>26000</v>
      </c>
      <c r="O13" s="1346">
        <f t="shared" si="6"/>
        <v>52000</v>
      </c>
      <c r="P13" s="1344">
        <v>2</v>
      </c>
      <c r="Q13" s="1482">
        <f t="shared" si="7"/>
        <v>52000</v>
      </c>
      <c r="R13" s="1344">
        <v>0</v>
      </c>
      <c r="S13" s="1483">
        <f t="shared" si="8"/>
        <v>0</v>
      </c>
      <c r="T13" s="1345">
        <v>0</v>
      </c>
      <c r="U13" s="1483">
        <f t="shared" si="9"/>
        <v>0</v>
      </c>
      <c r="V13" s="1345">
        <v>0</v>
      </c>
      <c r="W13" s="1483">
        <f t="shared" si="10"/>
        <v>0</v>
      </c>
      <c r="X13" s="1345">
        <f t="shared" si="11"/>
        <v>2</v>
      </c>
      <c r="Y13" s="1345">
        <f t="shared" si="12"/>
        <v>52000</v>
      </c>
      <c r="Z13" s="1527" t="s">
        <v>7799</v>
      </c>
      <c r="AA13" s="1358" t="s">
        <v>9134</v>
      </c>
      <c r="AB13" s="1359" t="str">
        <f t="shared" si="3"/>
        <v>yes</v>
      </c>
      <c r="AC13" s="1388" t="str">
        <f t="shared" si="4"/>
        <v>ok</v>
      </c>
    </row>
    <row r="14" spans="1:29" s="1359" customFormat="1" ht="24.75" customHeight="1" x14ac:dyDescent="0.25">
      <c r="A14" s="1279">
        <v>7</v>
      </c>
      <c r="B14" s="1211" t="s">
        <v>7688</v>
      </c>
      <c r="C14" s="1383" t="s">
        <v>9137</v>
      </c>
      <c r="D14" s="1344">
        <v>0</v>
      </c>
      <c r="E14" s="1873">
        <f t="shared" si="0"/>
        <v>0</v>
      </c>
      <c r="F14" s="1345">
        <v>0</v>
      </c>
      <c r="G14" s="1873">
        <f t="shared" si="1"/>
        <v>0</v>
      </c>
      <c r="H14" s="1345">
        <v>0</v>
      </c>
      <c r="I14" s="1874">
        <f t="shared" si="2"/>
        <v>0</v>
      </c>
      <c r="J14" s="1652">
        <v>2</v>
      </c>
      <c r="K14" s="1653"/>
      <c r="L14" s="1344">
        <f t="shared" si="5"/>
        <v>0</v>
      </c>
      <c r="M14" s="1652">
        <v>2</v>
      </c>
      <c r="N14" s="1205">
        <v>2000</v>
      </c>
      <c r="O14" s="1346">
        <f t="shared" si="6"/>
        <v>4000</v>
      </c>
      <c r="P14" s="1344">
        <v>2</v>
      </c>
      <c r="Q14" s="1482">
        <f t="shared" si="7"/>
        <v>4000</v>
      </c>
      <c r="R14" s="1344">
        <v>0</v>
      </c>
      <c r="S14" s="1483">
        <f t="shared" si="8"/>
        <v>0</v>
      </c>
      <c r="T14" s="1345">
        <v>0</v>
      </c>
      <c r="U14" s="1483">
        <f t="shared" si="9"/>
        <v>0</v>
      </c>
      <c r="V14" s="1345"/>
      <c r="W14" s="1483"/>
      <c r="X14" s="1345">
        <f t="shared" si="11"/>
        <v>2</v>
      </c>
      <c r="Y14" s="1345">
        <f t="shared" si="12"/>
        <v>4000</v>
      </c>
      <c r="Z14" s="1527" t="s">
        <v>7799</v>
      </c>
      <c r="AA14" s="1358" t="s">
        <v>9134</v>
      </c>
      <c r="AC14" s="1388" t="str">
        <f t="shared" si="4"/>
        <v>ok</v>
      </c>
    </row>
    <row r="15" spans="1:29" s="1388" customFormat="1" ht="24.75" customHeight="1" x14ac:dyDescent="0.25">
      <c r="A15" s="1942">
        <v>8</v>
      </c>
      <c r="B15" s="1943" t="s">
        <v>7690</v>
      </c>
      <c r="C15" s="1944" t="s">
        <v>7895</v>
      </c>
      <c r="D15" s="1564">
        <v>4</v>
      </c>
      <c r="E15" s="1953">
        <f t="shared" si="0"/>
        <v>8000</v>
      </c>
      <c r="F15" s="1565">
        <v>1</v>
      </c>
      <c r="G15" s="1953">
        <f t="shared" si="1"/>
        <v>2000</v>
      </c>
      <c r="H15" s="1565">
        <v>5</v>
      </c>
      <c r="I15" s="1954">
        <f t="shared" si="2"/>
        <v>10000</v>
      </c>
      <c r="J15" s="1955">
        <v>4</v>
      </c>
      <c r="K15" s="1956">
        <v>0</v>
      </c>
      <c r="L15" s="1564">
        <f t="shared" si="5"/>
        <v>0</v>
      </c>
      <c r="M15" s="1959">
        <v>4</v>
      </c>
      <c r="N15" s="1960">
        <v>2000</v>
      </c>
      <c r="O15" s="1566">
        <f t="shared" si="6"/>
        <v>8000</v>
      </c>
      <c r="P15" s="1564">
        <v>4</v>
      </c>
      <c r="Q15" s="1951">
        <f t="shared" si="7"/>
        <v>8000</v>
      </c>
      <c r="R15" s="1564">
        <v>0</v>
      </c>
      <c r="S15" s="1952">
        <f t="shared" si="8"/>
        <v>0</v>
      </c>
      <c r="T15" s="1565">
        <v>0</v>
      </c>
      <c r="U15" s="1952"/>
      <c r="V15" s="1565">
        <v>0</v>
      </c>
      <c r="W15" s="1952"/>
      <c r="X15" s="1565">
        <f t="shared" si="11"/>
        <v>4</v>
      </c>
      <c r="Y15" s="1565">
        <f t="shared" si="12"/>
        <v>8000</v>
      </c>
      <c r="Z15" s="1556" t="s">
        <v>7799</v>
      </c>
      <c r="AA15" s="1958" t="s">
        <v>9138</v>
      </c>
      <c r="AC15" s="1388" t="str">
        <f t="shared" si="4"/>
        <v>ok</v>
      </c>
    </row>
    <row r="16" spans="1:29" s="1359" customFormat="1" ht="20.25" customHeight="1" x14ac:dyDescent="0.25">
      <c r="A16" s="1279">
        <v>9</v>
      </c>
      <c r="B16" s="1211" t="s">
        <v>7691</v>
      </c>
      <c r="C16" s="1383" t="s">
        <v>7895</v>
      </c>
      <c r="D16" s="1344">
        <v>8</v>
      </c>
      <c r="E16" s="1873">
        <f t="shared" si="0"/>
        <v>32000</v>
      </c>
      <c r="F16" s="1345">
        <v>1</v>
      </c>
      <c r="G16" s="1873">
        <f t="shared" si="1"/>
        <v>4000</v>
      </c>
      <c r="H16" s="1345">
        <v>1</v>
      </c>
      <c r="I16" s="1874">
        <f t="shared" si="2"/>
        <v>4000</v>
      </c>
      <c r="J16" s="1652">
        <v>6</v>
      </c>
      <c r="K16" s="1653">
        <v>0</v>
      </c>
      <c r="L16" s="1344">
        <f t="shared" si="5"/>
        <v>0</v>
      </c>
      <c r="M16" s="1961">
        <v>6</v>
      </c>
      <c r="N16" s="1962">
        <v>4000</v>
      </c>
      <c r="O16" s="1346">
        <f t="shared" si="6"/>
        <v>24000</v>
      </c>
      <c r="P16" s="1344">
        <v>6</v>
      </c>
      <c r="Q16" s="1482">
        <f t="shared" si="7"/>
        <v>24000</v>
      </c>
      <c r="R16" s="1344">
        <v>0</v>
      </c>
      <c r="S16" s="1483">
        <f t="shared" si="8"/>
        <v>0</v>
      </c>
      <c r="T16" s="1345">
        <v>0</v>
      </c>
      <c r="U16" s="1483">
        <f t="shared" si="9"/>
        <v>0</v>
      </c>
      <c r="V16" s="1345">
        <v>0</v>
      </c>
      <c r="W16" s="1483">
        <f t="shared" si="10"/>
        <v>0</v>
      </c>
      <c r="X16" s="1345">
        <f t="shared" si="11"/>
        <v>6</v>
      </c>
      <c r="Y16" s="1345">
        <f t="shared" si="12"/>
        <v>24000</v>
      </c>
      <c r="Z16" s="1527" t="s">
        <v>7799</v>
      </c>
      <c r="AA16" s="1358" t="s">
        <v>9134</v>
      </c>
      <c r="AB16" s="1359" t="str">
        <f t="shared" si="3"/>
        <v>yes</v>
      </c>
      <c r="AC16" s="1388" t="str">
        <f t="shared" si="4"/>
        <v>ok</v>
      </c>
    </row>
    <row r="17" spans="1:31" s="1359" customFormat="1" ht="20.25" customHeight="1" x14ac:dyDescent="0.25">
      <c r="A17" s="1279">
        <v>10</v>
      </c>
      <c r="B17" s="1211" t="s">
        <v>7692</v>
      </c>
      <c r="C17" s="1383" t="s">
        <v>9137</v>
      </c>
      <c r="D17" s="1344">
        <v>0</v>
      </c>
      <c r="E17" s="1873">
        <f t="shared" si="0"/>
        <v>0</v>
      </c>
      <c r="F17" s="1345">
        <v>0</v>
      </c>
      <c r="G17" s="1873">
        <f t="shared" si="1"/>
        <v>0</v>
      </c>
      <c r="H17" s="1345">
        <v>0</v>
      </c>
      <c r="I17" s="1874">
        <f t="shared" si="2"/>
        <v>0</v>
      </c>
      <c r="J17" s="1652">
        <v>1</v>
      </c>
      <c r="K17" s="1653">
        <v>0</v>
      </c>
      <c r="L17" s="1344">
        <f t="shared" si="5"/>
        <v>0</v>
      </c>
      <c r="M17" s="1961">
        <v>1</v>
      </c>
      <c r="N17" s="1962">
        <v>10000</v>
      </c>
      <c r="O17" s="1346">
        <f t="shared" si="6"/>
        <v>10000</v>
      </c>
      <c r="P17" s="1345">
        <v>1</v>
      </c>
      <c r="Q17" s="1482">
        <f t="shared" si="7"/>
        <v>10000</v>
      </c>
      <c r="R17" s="1344">
        <v>0</v>
      </c>
      <c r="S17" s="1483">
        <f t="shared" si="8"/>
        <v>0</v>
      </c>
      <c r="T17" s="1345">
        <v>0</v>
      </c>
      <c r="U17" s="1483">
        <f t="shared" si="9"/>
        <v>0</v>
      </c>
      <c r="V17" s="1344">
        <v>0</v>
      </c>
      <c r="W17" s="1483">
        <f t="shared" si="10"/>
        <v>0</v>
      </c>
      <c r="X17" s="1345">
        <f t="shared" si="11"/>
        <v>1</v>
      </c>
      <c r="Y17" s="1345">
        <f t="shared" si="12"/>
        <v>10000</v>
      </c>
      <c r="Z17" s="1527" t="s">
        <v>7799</v>
      </c>
      <c r="AA17" s="1358" t="s">
        <v>9134</v>
      </c>
      <c r="AB17" s="1359" t="str">
        <f t="shared" si="3"/>
        <v>yes</v>
      </c>
      <c r="AC17" s="1388" t="str">
        <f t="shared" si="4"/>
        <v>ok</v>
      </c>
      <c r="AE17" s="1364"/>
    </row>
    <row r="18" spans="1:31" s="1388" customFormat="1" ht="23.25" customHeight="1" x14ac:dyDescent="0.25">
      <c r="A18" s="1279">
        <v>11</v>
      </c>
      <c r="B18" s="1211" t="s">
        <v>7693</v>
      </c>
      <c r="C18" s="1383" t="s">
        <v>9139</v>
      </c>
      <c r="D18" s="1903">
        <v>0</v>
      </c>
      <c r="E18" s="1873">
        <f t="shared" si="0"/>
        <v>0</v>
      </c>
      <c r="F18" s="1343">
        <v>0</v>
      </c>
      <c r="G18" s="1873">
        <f t="shared" si="1"/>
        <v>0</v>
      </c>
      <c r="H18" s="1343">
        <v>1</v>
      </c>
      <c r="I18" s="1874">
        <f t="shared" si="2"/>
        <v>5000</v>
      </c>
      <c r="J18" s="1480">
        <v>1</v>
      </c>
      <c r="K18" s="1651">
        <v>0</v>
      </c>
      <c r="L18" s="1344">
        <v>0</v>
      </c>
      <c r="M18" s="1204">
        <v>1</v>
      </c>
      <c r="N18" s="1875">
        <v>5000</v>
      </c>
      <c r="O18" s="1346">
        <f t="shared" si="6"/>
        <v>5000</v>
      </c>
      <c r="P18" s="1482">
        <v>1</v>
      </c>
      <c r="Q18" s="1482">
        <f>P18*N18</f>
        <v>5000</v>
      </c>
      <c r="R18" s="1482"/>
      <c r="S18" s="1483">
        <f>R18*N18</f>
        <v>0</v>
      </c>
      <c r="T18" s="1482"/>
      <c r="U18" s="1483">
        <f>T18*N18</f>
        <v>0</v>
      </c>
      <c r="V18" s="1482"/>
      <c r="W18" s="1483">
        <f>V18*N18</f>
        <v>0</v>
      </c>
      <c r="X18" s="1345">
        <f t="shared" si="11"/>
        <v>1</v>
      </c>
      <c r="Y18" s="1345">
        <f t="shared" si="12"/>
        <v>5000</v>
      </c>
      <c r="Z18" s="1527" t="s">
        <v>7799</v>
      </c>
      <c r="AA18" s="1358" t="s">
        <v>9140</v>
      </c>
      <c r="AB18" s="1359" t="str">
        <f t="shared" si="3"/>
        <v>yes</v>
      </c>
      <c r="AC18" s="1388" t="str">
        <f t="shared" si="4"/>
        <v>ok</v>
      </c>
    </row>
    <row r="19" spans="1:31" s="1359" customFormat="1" ht="23.25" customHeight="1" x14ac:dyDescent="0.25">
      <c r="A19" s="1279">
        <v>12</v>
      </c>
      <c r="B19" s="1211" t="s">
        <v>7694</v>
      </c>
      <c r="C19" s="1383" t="s">
        <v>7893</v>
      </c>
      <c r="D19" s="1963">
        <v>0</v>
      </c>
      <c r="E19" s="1873">
        <f t="shared" si="0"/>
        <v>0</v>
      </c>
      <c r="F19" s="1343">
        <v>0</v>
      </c>
      <c r="G19" s="1873">
        <f t="shared" si="1"/>
        <v>0</v>
      </c>
      <c r="H19" s="1343">
        <v>0</v>
      </c>
      <c r="I19" s="1874">
        <f t="shared" si="2"/>
        <v>0</v>
      </c>
      <c r="J19" s="1480">
        <v>1</v>
      </c>
      <c r="K19" s="1651">
        <v>0</v>
      </c>
      <c r="L19" s="1344">
        <v>0</v>
      </c>
      <c r="M19" s="1204">
        <v>1</v>
      </c>
      <c r="N19" s="1875">
        <v>5500</v>
      </c>
      <c r="O19" s="1346">
        <f t="shared" si="6"/>
        <v>5500</v>
      </c>
      <c r="P19" s="1482">
        <v>1</v>
      </c>
      <c r="Q19" s="1482">
        <f>P19*N19</f>
        <v>5500</v>
      </c>
      <c r="R19" s="1482"/>
      <c r="S19" s="1483">
        <f>R19*N19</f>
        <v>0</v>
      </c>
      <c r="T19" s="1482"/>
      <c r="U19" s="1483">
        <f>T19*N19</f>
        <v>0</v>
      </c>
      <c r="V19" s="1482"/>
      <c r="W19" s="1483">
        <f>V19*N19</f>
        <v>0</v>
      </c>
      <c r="X19" s="1345">
        <f t="shared" si="11"/>
        <v>1</v>
      </c>
      <c r="Y19" s="1345">
        <f t="shared" si="12"/>
        <v>5500</v>
      </c>
      <c r="Z19" s="1527" t="s">
        <v>7799</v>
      </c>
      <c r="AA19" s="1358" t="s">
        <v>6531</v>
      </c>
      <c r="AB19" s="1359" t="str">
        <f t="shared" si="3"/>
        <v>yes</v>
      </c>
      <c r="AC19" s="1359" t="str">
        <f t="shared" si="4"/>
        <v>ok</v>
      </c>
    </row>
    <row r="20" spans="1:31" s="1393" customFormat="1" ht="20.25" customHeight="1" x14ac:dyDescent="0.6">
      <c r="A20" s="1660" t="s">
        <v>7433</v>
      </c>
      <c r="B20" s="1661"/>
      <c r="C20" s="1662"/>
      <c r="D20" s="1390">
        <f>SUM(D8:D19)</f>
        <v>46</v>
      </c>
      <c r="E20" s="1390">
        <f t="shared" ref="E20:Y20" si="13">SUM(E8:E19)</f>
        <v>184000</v>
      </c>
      <c r="F20" s="1390">
        <f t="shared" si="13"/>
        <v>48</v>
      </c>
      <c r="G20" s="1390">
        <f t="shared" si="13"/>
        <v>421200</v>
      </c>
      <c r="H20" s="1390">
        <f t="shared" si="13"/>
        <v>33</v>
      </c>
      <c r="I20" s="1390">
        <f t="shared" si="13"/>
        <v>218400</v>
      </c>
      <c r="J20" s="1390">
        <f t="shared" si="13"/>
        <v>37</v>
      </c>
      <c r="K20" s="1390">
        <f t="shared" si="13"/>
        <v>0</v>
      </c>
      <c r="L20" s="1390">
        <f t="shared" si="13"/>
        <v>0</v>
      </c>
      <c r="M20" s="1390">
        <f t="shared" si="13"/>
        <v>37</v>
      </c>
      <c r="N20" s="1390">
        <f t="shared" si="13"/>
        <v>72750</v>
      </c>
      <c r="O20" s="1390">
        <f t="shared" si="13"/>
        <v>173750</v>
      </c>
      <c r="P20" s="1390">
        <f t="shared" si="13"/>
        <v>26</v>
      </c>
      <c r="Q20" s="1390">
        <f t="shared" si="13"/>
        <v>146250</v>
      </c>
      <c r="R20" s="1390">
        <f t="shared" si="13"/>
        <v>11</v>
      </c>
      <c r="S20" s="1390">
        <f t="shared" si="13"/>
        <v>27500</v>
      </c>
      <c r="T20" s="1390">
        <f t="shared" si="13"/>
        <v>0</v>
      </c>
      <c r="U20" s="1390">
        <f t="shared" si="13"/>
        <v>0</v>
      </c>
      <c r="V20" s="1390">
        <f t="shared" si="13"/>
        <v>0</v>
      </c>
      <c r="W20" s="1390">
        <f t="shared" si="13"/>
        <v>0</v>
      </c>
      <c r="X20" s="1390">
        <f t="shared" si="13"/>
        <v>37</v>
      </c>
      <c r="Y20" s="1390">
        <f t="shared" si="13"/>
        <v>173750</v>
      </c>
      <c r="Z20" s="1391"/>
      <c r="AA20" s="1392"/>
      <c r="AB20" s="1393" t="str">
        <f t="shared" si="3"/>
        <v>yes</v>
      </c>
      <c r="AC20" s="1388" t="str">
        <f t="shared" si="4"/>
        <v>ok</v>
      </c>
    </row>
    <row r="21" spans="1:31" ht="20.25" customHeight="1" x14ac:dyDescent="0.6">
      <c r="A21" s="1397"/>
      <c r="C21" s="1399"/>
      <c r="D21" s="1288"/>
      <c r="E21" s="1288"/>
      <c r="F21" s="1288"/>
      <c r="G21" s="1288"/>
      <c r="H21" s="1288"/>
      <c r="I21" s="1288"/>
      <c r="J21" s="1288"/>
      <c r="K21" s="1288"/>
      <c r="L21" s="1288"/>
      <c r="M21" s="1288"/>
      <c r="N21" s="1400"/>
      <c r="O21" s="1400"/>
      <c r="P21" s="1400"/>
      <c r="Q21" s="1400"/>
      <c r="R21" s="1400"/>
      <c r="S21" s="1400"/>
      <c r="T21" s="1400"/>
      <c r="U21" s="1400"/>
      <c r="V21" s="1400"/>
      <c r="W21" s="1400"/>
      <c r="X21" s="1288"/>
      <c r="Y21" s="1288"/>
      <c r="AA21" s="1402"/>
    </row>
    <row r="22" spans="1:31" ht="20.25" customHeight="1" x14ac:dyDescent="0.6">
      <c r="A22" s="1397"/>
      <c r="C22" s="1399"/>
    </row>
    <row r="23" spans="1:31" ht="20.25" customHeight="1" x14ac:dyDescent="0.6">
      <c r="B23" s="1280"/>
      <c r="G23" s="1288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Z23" s="1280"/>
    </row>
    <row r="24" spans="1:31" ht="20.25" customHeight="1" x14ac:dyDescent="0.6">
      <c r="B24" s="1280"/>
      <c r="G24" s="1288"/>
      <c r="N24" s="1290"/>
      <c r="O24" s="1290"/>
      <c r="P24" s="1290"/>
      <c r="Q24" s="1290"/>
      <c r="R24" s="1290"/>
      <c r="S24" s="1290"/>
      <c r="T24" s="1290"/>
      <c r="U24" s="1290"/>
      <c r="V24" s="1290"/>
      <c r="W24" s="1290"/>
      <c r="Z24" s="1280"/>
    </row>
    <row r="25" spans="1:31" ht="20.25" customHeight="1" x14ac:dyDescent="0.6">
      <c r="B25" s="1280"/>
      <c r="G25" s="1288"/>
      <c r="N25" s="1290"/>
      <c r="O25" s="1290"/>
      <c r="P25" s="1290"/>
      <c r="Q25" s="1290"/>
      <c r="R25" s="1290"/>
      <c r="S25" s="1290"/>
      <c r="T25" s="1290"/>
      <c r="U25" s="1290"/>
      <c r="V25" s="1290"/>
      <c r="W25" s="1290"/>
      <c r="Z25" s="1280"/>
    </row>
    <row r="26" spans="1:31" ht="20.25" customHeight="1" x14ac:dyDescent="0.6">
      <c r="B26" s="1280"/>
      <c r="G26" s="1288"/>
      <c r="N26" s="1290"/>
      <c r="O26" s="1290"/>
      <c r="P26" s="1290"/>
      <c r="Q26" s="1290"/>
      <c r="R26" s="1290"/>
      <c r="S26" s="1290"/>
      <c r="Z26" s="1405"/>
    </row>
    <row r="27" spans="1:31" ht="20.25" customHeight="1" x14ac:dyDescent="0.6"/>
    <row r="28" spans="1:31" ht="20.25" customHeight="1" x14ac:dyDescent="0.6"/>
    <row r="29" spans="1:31" ht="20.25" customHeight="1" x14ac:dyDescent="0.6">
      <c r="AA29" s="1401"/>
    </row>
    <row r="35" spans="1:26" x14ac:dyDescent="0.6">
      <c r="A35" s="1280"/>
      <c r="N35" s="1288"/>
      <c r="O35" s="1290"/>
      <c r="Z35" s="1280"/>
    </row>
    <row r="36" spans="1:26" x14ac:dyDescent="0.6">
      <c r="A36" s="1280"/>
      <c r="N36" s="1288"/>
      <c r="O36" s="1290"/>
      <c r="Z36" s="1280"/>
    </row>
    <row r="37" spans="1:26" x14ac:dyDescent="0.6">
      <c r="A37" s="1280"/>
      <c r="N37" s="1288"/>
      <c r="O37" s="1290"/>
      <c r="Z37" s="1280"/>
    </row>
    <row r="38" spans="1:26" x14ac:dyDescent="0.6">
      <c r="A38" s="1280"/>
      <c r="N38" s="1288"/>
      <c r="O38" s="1290"/>
      <c r="Z38" s="1280"/>
    </row>
    <row r="39" spans="1:26" x14ac:dyDescent="0.6">
      <c r="A39" s="1280"/>
      <c r="N39" s="1288"/>
      <c r="O39" s="1290"/>
      <c r="Z39" s="1280"/>
    </row>
    <row r="40" spans="1:26" x14ac:dyDescent="0.6">
      <c r="A40" s="1280"/>
      <c r="N40" s="1288"/>
      <c r="O40" s="1290"/>
      <c r="Z40" s="1280"/>
    </row>
    <row r="41" spans="1:26" x14ac:dyDescent="0.6">
      <c r="A41" s="1280"/>
      <c r="N41" s="1288"/>
      <c r="O41" s="1290"/>
      <c r="Z41" s="1280"/>
    </row>
    <row r="42" spans="1:26" x14ac:dyDescent="0.6">
      <c r="A42" s="1280"/>
      <c r="N42" s="1288"/>
      <c r="O42" s="1290"/>
      <c r="Z42" s="1280"/>
    </row>
    <row r="43" spans="1:26" x14ac:dyDescent="0.6">
      <c r="A43" s="1280"/>
      <c r="N43" s="1288"/>
      <c r="O43" s="1290"/>
      <c r="Z43" s="1280"/>
    </row>
    <row r="44" spans="1:26" x14ac:dyDescent="0.6">
      <c r="A44" s="1280"/>
      <c r="N44" s="1288"/>
      <c r="O44" s="1290"/>
      <c r="Z44" s="1280"/>
    </row>
    <row r="45" spans="1:26" x14ac:dyDescent="0.6">
      <c r="A45" s="1280"/>
      <c r="N45" s="1288"/>
      <c r="O45" s="1290"/>
      <c r="Z45" s="1280"/>
    </row>
    <row r="46" spans="1:26" x14ac:dyDescent="0.6">
      <c r="A46" s="1280"/>
      <c r="N46" s="1288"/>
      <c r="O46" s="1290"/>
      <c r="Z46" s="1280"/>
    </row>
    <row r="47" spans="1:26" x14ac:dyDescent="0.6">
      <c r="A47" s="1280"/>
      <c r="N47" s="1288"/>
      <c r="O47" s="1290"/>
      <c r="Z47" s="1280"/>
    </row>
    <row r="48" spans="1:26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  <row r="707" spans="1:26" x14ac:dyDescent="0.6">
      <c r="A707" s="1280"/>
      <c r="N707" s="1288"/>
      <c r="O707" s="1290"/>
      <c r="Z707" s="1280"/>
    </row>
    <row r="708" spans="1:26" x14ac:dyDescent="0.6">
      <c r="A708" s="1280"/>
      <c r="N708" s="1288"/>
      <c r="O708" s="1290"/>
      <c r="Z708" s="1280"/>
    </row>
    <row r="709" spans="1:26" x14ac:dyDescent="0.6">
      <c r="A709" s="1280"/>
      <c r="N709" s="1288"/>
      <c r="O709" s="1290"/>
      <c r="Z709" s="1280"/>
    </row>
    <row r="710" spans="1:26" x14ac:dyDescent="0.6">
      <c r="A710" s="1280"/>
      <c r="N710" s="1288"/>
      <c r="O710" s="1290"/>
      <c r="Z710" s="1280"/>
    </row>
    <row r="711" spans="1:26" x14ac:dyDescent="0.6">
      <c r="A711" s="1280"/>
      <c r="N711" s="1288"/>
      <c r="O711" s="1290"/>
      <c r="Z711" s="1280"/>
    </row>
    <row r="712" spans="1:26" x14ac:dyDescent="0.6">
      <c r="A712" s="1280"/>
      <c r="N712" s="1288"/>
      <c r="O712" s="1290"/>
      <c r="Z712" s="1280"/>
    </row>
    <row r="713" spans="1:26" x14ac:dyDescent="0.6">
      <c r="A713" s="1280"/>
      <c r="N713" s="1288"/>
      <c r="O713" s="1290"/>
      <c r="Z713" s="1280"/>
    </row>
  </sheetData>
  <protectedRanges>
    <protectedRange password="CC6F" sqref="B8" name="ช่วง1_5_1_5_1_1_1_2"/>
    <protectedRange password="CC6F" sqref="B9:B13" name="ช่วง1_5_1_5_1_1_1_5"/>
    <protectedRange password="CC6F" sqref="B14" name="ช่วง1_5_1_5_1_1_1_1_5"/>
    <protectedRange password="CC6F" sqref="B15:B17" name="ช่วง1_5_1_5_1_1_1_1_3_3"/>
    <protectedRange password="CC6F" sqref="B18:B19" name="ช่วง1_5_1_5_1_1_1"/>
  </protectedRanges>
  <mergeCells count="18">
    <mergeCell ref="X6:X7"/>
    <mergeCell ref="A20:C20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756E-8618-4D16-A5D7-FC415E4B4E8D}">
  <sheetPr>
    <pageSetUpPr fitToPage="1"/>
  </sheetPr>
  <dimension ref="A1:AC706"/>
  <sheetViews>
    <sheetView topLeftCell="F1" zoomScale="90" zoomScaleNormal="90" zoomScaleSheetLayoutView="11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459" customWidth="1"/>
    <col min="5" max="13" width="11.09765625" style="1290" customWidth="1"/>
    <col min="14" max="14" width="11.09765625" style="1406" customWidth="1"/>
    <col min="15" max="15" width="11.09765625" style="1407" customWidth="1"/>
    <col min="16" max="23" width="11.09765625" style="1288" customWidth="1"/>
    <col min="24" max="25" width="11.09765625" style="1290" customWidth="1"/>
    <col min="26" max="26" width="11.09765625" style="1401" customWidth="1"/>
    <col min="27" max="27" width="13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x14ac:dyDescent="0.6">
      <c r="A1" s="1735" t="s">
        <v>9141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9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9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9" x14ac:dyDescent="0.6">
      <c r="A4" s="1408" t="s">
        <v>2185</v>
      </c>
      <c r="B4" s="1408" t="s">
        <v>9142</v>
      </c>
      <c r="C4" s="1849" t="s">
        <v>7776</v>
      </c>
      <c r="D4" s="1409" t="s">
        <v>7777</v>
      </c>
      <c r="E4" s="1409"/>
      <c r="F4" s="1409"/>
      <c r="G4" s="1409"/>
      <c r="H4" s="1409"/>
      <c r="I4" s="1409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9" x14ac:dyDescent="0.6">
      <c r="A5" s="1417"/>
      <c r="B5" s="1417"/>
      <c r="C5" s="1850" t="s">
        <v>7783</v>
      </c>
      <c r="D5" s="1409" t="s">
        <v>7741</v>
      </c>
      <c r="E5" s="1409"/>
      <c r="F5" s="1409"/>
      <c r="G5" s="1409"/>
      <c r="H5" s="1409"/>
      <c r="I5" s="1409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9" x14ac:dyDescent="0.6">
      <c r="A6" s="1417"/>
      <c r="B6" s="1417"/>
      <c r="C6" s="1850" t="s">
        <v>7786</v>
      </c>
      <c r="D6" s="1423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9" x14ac:dyDescent="0.6">
      <c r="A7" s="1425"/>
      <c r="B7" s="1425"/>
      <c r="C7" s="1851" t="s">
        <v>7796</v>
      </c>
      <c r="D7" s="1426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9" s="1917" customFormat="1" ht="42" x14ac:dyDescent="0.25">
      <c r="A8" s="1279">
        <v>1</v>
      </c>
      <c r="B8" s="1180" t="s">
        <v>7672</v>
      </c>
      <c r="C8" s="1451" t="s">
        <v>7893</v>
      </c>
      <c r="D8" s="1964">
        <v>4</v>
      </c>
      <c r="E8" s="1906">
        <f t="shared" ref="E8:E13" si="0">D8*N8</f>
        <v>35600</v>
      </c>
      <c r="F8" s="1905">
        <v>3</v>
      </c>
      <c r="G8" s="1906">
        <f t="shared" ref="G8:G13" si="1">F8*N8</f>
        <v>26700</v>
      </c>
      <c r="H8" s="1905">
        <v>3</v>
      </c>
      <c r="I8" s="1905">
        <f t="shared" ref="I8:I13" si="2">H8*N8</f>
        <v>26700</v>
      </c>
      <c r="J8" s="1965">
        <v>2</v>
      </c>
      <c r="K8" s="1966">
        <v>0</v>
      </c>
      <c r="L8" s="1964">
        <v>0</v>
      </c>
      <c r="M8" s="1181">
        <v>2</v>
      </c>
      <c r="N8" s="1182">
        <v>8900</v>
      </c>
      <c r="O8" s="1967">
        <f>M8*N8</f>
        <v>17800</v>
      </c>
      <c r="P8" s="1968">
        <v>0</v>
      </c>
      <c r="Q8" s="1968">
        <f t="shared" ref="Q8:Q13" si="3">P8*N8</f>
        <v>0</v>
      </c>
      <c r="R8" s="1968">
        <v>2</v>
      </c>
      <c r="S8" s="1969">
        <f>R8*N8</f>
        <v>17800</v>
      </c>
      <c r="T8" s="1968">
        <v>0</v>
      </c>
      <c r="U8" s="1969">
        <f>T8*N8</f>
        <v>0</v>
      </c>
      <c r="V8" s="1968">
        <v>0</v>
      </c>
      <c r="W8" s="1969">
        <f>V8*N8</f>
        <v>0</v>
      </c>
      <c r="X8" s="1905">
        <v>2</v>
      </c>
      <c r="Y8" s="1905">
        <f>X8*N8</f>
        <v>17800</v>
      </c>
      <c r="Z8" s="1387" t="s">
        <v>7799</v>
      </c>
      <c r="AA8" s="1434" t="s">
        <v>9143</v>
      </c>
      <c r="AB8" s="1917" t="str">
        <f t="shared" ref="AB8:AB9" si="4">IF(O8=Y8,"yes")</f>
        <v>yes</v>
      </c>
      <c r="AC8" s="1970" t="str">
        <f t="shared" ref="AC8:AC14" si="5">IF(M8=X8,"ok")</f>
        <v>ok</v>
      </c>
    </row>
    <row r="9" spans="1:29" s="1917" customFormat="1" ht="55.8" x14ac:dyDescent="0.25">
      <c r="A9" s="1279">
        <v>2</v>
      </c>
      <c r="B9" s="1180" t="s">
        <v>7673</v>
      </c>
      <c r="C9" s="1904" t="s">
        <v>7893</v>
      </c>
      <c r="D9" s="1911">
        <v>2</v>
      </c>
      <c r="E9" s="1906">
        <f t="shared" si="0"/>
        <v>5000</v>
      </c>
      <c r="F9" s="1971">
        <v>10</v>
      </c>
      <c r="G9" s="1906">
        <f t="shared" si="1"/>
        <v>25000</v>
      </c>
      <c r="H9" s="1971">
        <v>10</v>
      </c>
      <c r="I9" s="1905">
        <f t="shared" si="2"/>
        <v>25000</v>
      </c>
      <c r="J9" s="1965">
        <v>11</v>
      </c>
      <c r="K9" s="1966">
        <v>0</v>
      </c>
      <c r="L9" s="1964">
        <v>0</v>
      </c>
      <c r="M9" s="1181">
        <v>11</v>
      </c>
      <c r="N9" s="1182">
        <v>2500</v>
      </c>
      <c r="O9" s="1967">
        <f>M9*N9</f>
        <v>27500</v>
      </c>
      <c r="P9" s="1968">
        <v>0</v>
      </c>
      <c r="Q9" s="1968">
        <f t="shared" si="3"/>
        <v>0</v>
      </c>
      <c r="R9" s="1968">
        <v>11</v>
      </c>
      <c r="S9" s="1969">
        <f>R9*N9</f>
        <v>27500</v>
      </c>
      <c r="T9" s="1968">
        <v>0</v>
      </c>
      <c r="U9" s="1969">
        <f>T9*N9</f>
        <v>0</v>
      </c>
      <c r="V9" s="1968">
        <v>0</v>
      </c>
      <c r="W9" s="1969">
        <f>V9*N9</f>
        <v>0</v>
      </c>
      <c r="X9" s="1905">
        <f>P9+R9+T9+V9</f>
        <v>11</v>
      </c>
      <c r="Y9" s="1905">
        <f>X9*N9</f>
        <v>27500</v>
      </c>
      <c r="Z9" s="1540" t="s">
        <v>7799</v>
      </c>
      <c r="AA9" s="1972" t="s">
        <v>9144</v>
      </c>
      <c r="AB9" s="1917" t="str">
        <f t="shared" si="4"/>
        <v>yes</v>
      </c>
      <c r="AC9" s="1970" t="str">
        <f t="shared" si="5"/>
        <v>ok</v>
      </c>
    </row>
    <row r="10" spans="1:29" s="1917" customFormat="1" ht="42" x14ac:dyDescent="0.25">
      <c r="A10" s="1279">
        <v>3</v>
      </c>
      <c r="B10" s="1180" t="s">
        <v>7674</v>
      </c>
      <c r="C10" s="1904" t="s">
        <v>7893</v>
      </c>
      <c r="D10" s="1911"/>
      <c r="E10" s="1906"/>
      <c r="F10" s="1971"/>
      <c r="G10" s="1906"/>
      <c r="H10" s="1971"/>
      <c r="I10" s="1905"/>
      <c r="J10" s="1965">
        <v>1</v>
      </c>
      <c r="K10" s="1966"/>
      <c r="L10" s="1964"/>
      <c r="M10" s="1181">
        <v>1</v>
      </c>
      <c r="N10" s="1182">
        <v>10000</v>
      </c>
      <c r="O10" s="1967">
        <v>10000</v>
      </c>
      <c r="P10" s="1968">
        <v>1</v>
      </c>
      <c r="Q10" s="1968">
        <v>10000</v>
      </c>
      <c r="R10" s="1968"/>
      <c r="S10" s="1969"/>
      <c r="T10" s="1968"/>
      <c r="U10" s="1969"/>
      <c r="V10" s="1968"/>
      <c r="W10" s="1969"/>
      <c r="X10" s="1905">
        <v>1</v>
      </c>
      <c r="Y10" s="1905">
        <v>10000</v>
      </c>
      <c r="Z10" s="1540" t="s">
        <v>7799</v>
      </c>
      <c r="AA10" s="1972" t="s">
        <v>9145</v>
      </c>
      <c r="AC10" s="1970"/>
    </row>
    <row r="11" spans="1:29" s="1917" customFormat="1" ht="43.5" customHeight="1" x14ac:dyDescent="0.25">
      <c r="A11" s="1279">
        <v>4</v>
      </c>
      <c r="B11" s="1180" t="s">
        <v>7675</v>
      </c>
      <c r="C11" s="1904" t="s">
        <v>7893</v>
      </c>
      <c r="D11" s="1964">
        <v>3</v>
      </c>
      <c r="E11" s="1906">
        <f t="shared" si="0"/>
        <v>39000</v>
      </c>
      <c r="F11" s="1905"/>
      <c r="G11" s="1906">
        <f t="shared" si="1"/>
        <v>0</v>
      </c>
      <c r="H11" s="1905">
        <v>2</v>
      </c>
      <c r="I11" s="1905">
        <f t="shared" si="2"/>
        <v>26000</v>
      </c>
      <c r="J11" s="1973">
        <v>2</v>
      </c>
      <c r="K11" s="1974">
        <v>0</v>
      </c>
      <c r="L11" s="1964">
        <v>0</v>
      </c>
      <c r="M11" s="1181">
        <v>2</v>
      </c>
      <c r="N11" s="1183">
        <v>13000</v>
      </c>
      <c r="O11" s="1967">
        <f t="shared" ref="O11:O13" si="6">M11*N11</f>
        <v>26000</v>
      </c>
      <c r="P11" s="1968">
        <v>2</v>
      </c>
      <c r="Q11" s="1968">
        <f t="shared" si="3"/>
        <v>26000</v>
      </c>
      <c r="R11" s="1968">
        <v>0</v>
      </c>
      <c r="S11" s="1969">
        <f t="shared" ref="S11:S13" si="7">R11*N11</f>
        <v>0</v>
      </c>
      <c r="T11" s="1968">
        <v>0</v>
      </c>
      <c r="U11" s="1969">
        <f t="shared" ref="U11:U13" si="8">T11*N11</f>
        <v>0</v>
      </c>
      <c r="V11" s="1968">
        <v>0</v>
      </c>
      <c r="W11" s="1969">
        <f t="shared" ref="W11:W13" si="9">V11*N11</f>
        <v>0</v>
      </c>
      <c r="X11" s="1905">
        <f t="shared" ref="X11:X13" si="10">P11+R11+T11+V11</f>
        <v>2</v>
      </c>
      <c r="Y11" s="1905">
        <f t="shared" ref="Y11:Y13" si="11">X11*N11</f>
        <v>26000</v>
      </c>
      <c r="Z11" s="1448" t="s">
        <v>7799</v>
      </c>
      <c r="AA11" s="1451" t="s">
        <v>9146</v>
      </c>
      <c r="AB11" s="1975"/>
      <c r="AC11" s="1970" t="str">
        <f t="shared" si="5"/>
        <v>ok</v>
      </c>
    </row>
    <row r="12" spans="1:29" s="1917" customFormat="1" ht="43.5" customHeight="1" x14ac:dyDescent="0.25">
      <c r="A12" s="1279">
        <v>5</v>
      </c>
      <c r="B12" s="1180" t="s">
        <v>7676</v>
      </c>
      <c r="C12" s="1904" t="s">
        <v>7893</v>
      </c>
      <c r="D12" s="1964">
        <v>0</v>
      </c>
      <c r="E12" s="1906">
        <f t="shared" si="0"/>
        <v>0</v>
      </c>
      <c r="F12" s="1905"/>
      <c r="G12" s="1906">
        <f t="shared" si="1"/>
        <v>0</v>
      </c>
      <c r="H12" s="1905">
        <v>0</v>
      </c>
      <c r="I12" s="1905">
        <f t="shared" si="2"/>
        <v>0</v>
      </c>
      <c r="J12" s="1973">
        <v>1</v>
      </c>
      <c r="K12" s="1974">
        <v>0</v>
      </c>
      <c r="L12" s="1964">
        <v>0</v>
      </c>
      <c r="M12" s="1181">
        <v>1</v>
      </c>
      <c r="N12" s="1183">
        <v>16000</v>
      </c>
      <c r="O12" s="1967">
        <f t="shared" si="6"/>
        <v>16000</v>
      </c>
      <c r="P12" s="1968">
        <v>1</v>
      </c>
      <c r="Q12" s="1968">
        <f t="shared" si="3"/>
        <v>16000</v>
      </c>
      <c r="R12" s="1968">
        <v>0</v>
      </c>
      <c r="S12" s="1969">
        <f t="shared" si="7"/>
        <v>0</v>
      </c>
      <c r="T12" s="1968">
        <v>0</v>
      </c>
      <c r="U12" s="1969">
        <f t="shared" si="8"/>
        <v>0</v>
      </c>
      <c r="V12" s="1968">
        <v>0</v>
      </c>
      <c r="W12" s="1969">
        <f t="shared" si="9"/>
        <v>0</v>
      </c>
      <c r="X12" s="1905">
        <f t="shared" si="10"/>
        <v>1</v>
      </c>
      <c r="Y12" s="1905">
        <f t="shared" si="11"/>
        <v>16000</v>
      </c>
      <c r="Z12" s="1448" t="s">
        <v>7799</v>
      </c>
      <c r="AA12" s="1451" t="s">
        <v>6531</v>
      </c>
      <c r="AB12" s="1975"/>
      <c r="AC12" s="1970" t="str">
        <f t="shared" si="5"/>
        <v>ok</v>
      </c>
    </row>
    <row r="13" spans="1:29" s="1917" customFormat="1" ht="65.25" customHeight="1" x14ac:dyDescent="0.25">
      <c r="A13" s="1279">
        <v>6</v>
      </c>
      <c r="B13" s="1180" t="s">
        <v>7677</v>
      </c>
      <c r="C13" s="1904" t="s">
        <v>7893</v>
      </c>
      <c r="D13" s="1964">
        <v>8</v>
      </c>
      <c r="E13" s="1906">
        <f t="shared" si="0"/>
        <v>176000</v>
      </c>
      <c r="F13" s="1905">
        <v>7</v>
      </c>
      <c r="G13" s="1906">
        <f t="shared" si="1"/>
        <v>154000</v>
      </c>
      <c r="H13" s="1905">
        <v>11</v>
      </c>
      <c r="I13" s="1905">
        <f t="shared" si="2"/>
        <v>242000</v>
      </c>
      <c r="J13" s="1965">
        <v>2</v>
      </c>
      <c r="K13" s="1974">
        <v>0</v>
      </c>
      <c r="L13" s="1964">
        <v>0</v>
      </c>
      <c r="M13" s="1181">
        <v>2</v>
      </c>
      <c r="N13" s="1182">
        <v>22000</v>
      </c>
      <c r="O13" s="1967">
        <f t="shared" si="6"/>
        <v>44000</v>
      </c>
      <c r="P13" s="1968">
        <v>2</v>
      </c>
      <c r="Q13" s="1968">
        <f t="shared" si="3"/>
        <v>44000</v>
      </c>
      <c r="R13" s="1968">
        <v>0</v>
      </c>
      <c r="S13" s="1969">
        <f t="shared" si="7"/>
        <v>0</v>
      </c>
      <c r="T13" s="1968">
        <v>0</v>
      </c>
      <c r="U13" s="1969">
        <f t="shared" si="8"/>
        <v>0</v>
      </c>
      <c r="V13" s="1968">
        <v>0</v>
      </c>
      <c r="W13" s="1969">
        <f t="shared" si="9"/>
        <v>0</v>
      </c>
      <c r="X13" s="1905">
        <f t="shared" si="10"/>
        <v>2</v>
      </c>
      <c r="Y13" s="1905">
        <f t="shared" si="11"/>
        <v>44000</v>
      </c>
      <c r="Z13" s="1448" t="s">
        <v>7799</v>
      </c>
      <c r="AA13" s="1451" t="s">
        <v>9147</v>
      </c>
      <c r="AC13" s="1970" t="str">
        <f t="shared" si="5"/>
        <v>ok</v>
      </c>
    </row>
    <row r="14" spans="1:29" s="1393" customFormat="1" ht="20.25" customHeight="1" x14ac:dyDescent="0.6">
      <c r="A14" s="1389" t="s">
        <v>7433</v>
      </c>
      <c r="B14" s="1389"/>
      <c r="C14" s="1389"/>
      <c r="D14" s="1392">
        <f t="shared" ref="D14:Y14" si="12">SUM(D8:D13)</f>
        <v>17</v>
      </c>
      <c r="E14" s="1390">
        <f t="shared" si="12"/>
        <v>255600</v>
      </c>
      <c r="F14" s="1390">
        <f t="shared" si="12"/>
        <v>20</v>
      </c>
      <c r="G14" s="1390">
        <f t="shared" si="12"/>
        <v>205700</v>
      </c>
      <c r="H14" s="1390">
        <f t="shared" si="12"/>
        <v>26</v>
      </c>
      <c r="I14" s="1390">
        <f t="shared" si="12"/>
        <v>319700</v>
      </c>
      <c r="J14" s="1390">
        <f t="shared" si="12"/>
        <v>19</v>
      </c>
      <c r="K14" s="1390">
        <f t="shared" si="12"/>
        <v>0</v>
      </c>
      <c r="L14" s="1390">
        <f t="shared" si="12"/>
        <v>0</v>
      </c>
      <c r="M14" s="1390">
        <f t="shared" si="12"/>
        <v>19</v>
      </c>
      <c r="N14" s="1390">
        <f t="shared" si="12"/>
        <v>72400</v>
      </c>
      <c r="O14" s="1390">
        <f t="shared" si="12"/>
        <v>141300</v>
      </c>
      <c r="P14" s="1390">
        <f t="shared" si="12"/>
        <v>6</v>
      </c>
      <c r="Q14" s="1390">
        <f t="shared" si="12"/>
        <v>96000</v>
      </c>
      <c r="R14" s="1390">
        <f t="shared" si="12"/>
        <v>13</v>
      </c>
      <c r="S14" s="1390">
        <f t="shared" si="12"/>
        <v>45300</v>
      </c>
      <c r="T14" s="1390">
        <f t="shared" si="12"/>
        <v>0</v>
      </c>
      <c r="U14" s="1390">
        <f t="shared" si="12"/>
        <v>0</v>
      </c>
      <c r="V14" s="1390">
        <f t="shared" si="12"/>
        <v>0</v>
      </c>
      <c r="W14" s="1390">
        <f t="shared" si="12"/>
        <v>0</v>
      </c>
      <c r="X14" s="1390">
        <f t="shared" si="12"/>
        <v>19</v>
      </c>
      <c r="Y14" s="1390">
        <f t="shared" si="12"/>
        <v>141300</v>
      </c>
      <c r="Z14" s="1391"/>
      <c r="AA14" s="1392"/>
      <c r="AB14" s="1393" t="str">
        <f t="shared" ref="AB14" si="13">IF(O14=Y14,"yes")</f>
        <v>yes</v>
      </c>
      <c r="AC14" s="1583" t="str">
        <f t="shared" si="5"/>
        <v>ok</v>
      </c>
    </row>
    <row r="15" spans="1:29" ht="20.25" customHeight="1" x14ac:dyDescent="0.6">
      <c r="A15" s="1397"/>
      <c r="C15" s="1399"/>
    </row>
    <row r="16" spans="1:29" ht="20.25" customHeight="1" x14ac:dyDescent="0.6">
      <c r="B16" s="1280"/>
      <c r="D16" s="1280"/>
      <c r="G16" s="1288"/>
      <c r="N16" s="1290"/>
      <c r="O16" s="1290"/>
      <c r="P16" s="1290"/>
      <c r="Q16" s="1290"/>
      <c r="R16" s="1290"/>
      <c r="S16" s="1290"/>
      <c r="T16" s="1290"/>
      <c r="U16" s="1290"/>
      <c r="V16" s="1290"/>
      <c r="W16" s="1290"/>
      <c r="Z16" s="1280"/>
    </row>
    <row r="17" spans="1:27" ht="20.25" customHeight="1" x14ac:dyDescent="0.6">
      <c r="B17" s="1280"/>
      <c r="D17" s="1280"/>
      <c r="G17" s="1288"/>
      <c r="N17" s="1290"/>
      <c r="O17" s="1290"/>
      <c r="P17" s="1290"/>
      <c r="Q17" s="1290"/>
      <c r="R17" s="1290"/>
      <c r="S17" s="1290"/>
      <c r="T17" s="1290"/>
      <c r="U17" s="1290"/>
      <c r="V17" s="1290"/>
      <c r="W17" s="1290"/>
      <c r="Z17" s="1280"/>
    </row>
    <row r="18" spans="1:27" ht="20.25" customHeight="1" x14ac:dyDescent="0.6">
      <c r="B18" s="1280"/>
      <c r="D18" s="1280"/>
      <c r="G18" s="1288"/>
      <c r="N18" s="1290"/>
      <c r="O18" s="1290"/>
      <c r="P18" s="1290"/>
      <c r="Q18" s="1290"/>
      <c r="R18" s="1290"/>
      <c r="S18" s="1290"/>
      <c r="T18" s="1290"/>
      <c r="U18" s="1290"/>
      <c r="V18" s="1290"/>
      <c r="W18" s="1290"/>
      <c r="Z18" s="1280"/>
    </row>
    <row r="19" spans="1:27" ht="20.25" customHeight="1" x14ac:dyDescent="0.6">
      <c r="B19" s="1280"/>
      <c r="D19" s="1280"/>
      <c r="G19" s="1288"/>
      <c r="N19" s="1290"/>
      <c r="O19" s="1290"/>
      <c r="P19" s="1290"/>
      <c r="Q19" s="1290"/>
      <c r="R19" s="1290"/>
      <c r="S19" s="1290"/>
      <c r="Z19" s="1405"/>
    </row>
    <row r="20" spans="1:27" ht="20.25" customHeight="1" x14ac:dyDescent="0.6"/>
    <row r="21" spans="1:27" ht="20.25" customHeight="1" x14ac:dyDescent="0.6"/>
    <row r="22" spans="1:27" ht="20.25" customHeight="1" x14ac:dyDescent="0.6">
      <c r="AA22" s="1401"/>
    </row>
    <row r="28" spans="1:27" x14ac:dyDescent="0.6">
      <c r="A28" s="1280"/>
      <c r="N28" s="1288"/>
      <c r="O28" s="1290"/>
      <c r="Z28" s="1280"/>
    </row>
    <row r="29" spans="1:27" x14ac:dyDescent="0.6">
      <c r="A29" s="1280"/>
      <c r="N29" s="1288"/>
      <c r="O29" s="1290"/>
      <c r="Z29" s="1280"/>
    </row>
    <row r="30" spans="1:27" x14ac:dyDescent="0.6">
      <c r="A30" s="1280"/>
      <c r="N30" s="1288"/>
      <c r="O30" s="1290"/>
      <c r="Z30" s="1280"/>
    </row>
    <row r="31" spans="1:27" x14ac:dyDescent="0.6">
      <c r="A31" s="1280"/>
      <c r="N31" s="1288"/>
      <c r="O31" s="1290"/>
      <c r="Z31" s="1280"/>
    </row>
    <row r="32" spans="1:27" x14ac:dyDescent="0.6">
      <c r="A32" s="1280"/>
      <c r="N32" s="1288"/>
      <c r="O32" s="1290"/>
      <c r="Z32" s="1280"/>
    </row>
    <row r="33" spans="1:26" x14ac:dyDescent="0.6">
      <c r="A33" s="1280"/>
      <c r="N33" s="1288"/>
      <c r="O33" s="1290"/>
      <c r="Z33" s="1280"/>
    </row>
    <row r="34" spans="1:26" x14ac:dyDescent="0.6">
      <c r="A34" s="1280"/>
      <c r="N34" s="1288"/>
      <c r="O34" s="1290"/>
      <c r="Z34" s="1280"/>
    </row>
    <row r="35" spans="1:26" x14ac:dyDescent="0.6">
      <c r="A35" s="1280"/>
      <c r="N35" s="1288"/>
      <c r="O35" s="1290"/>
      <c r="Z35" s="1280"/>
    </row>
    <row r="36" spans="1:26" x14ac:dyDescent="0.6">
      <c r="A36" s="1280"/>
      <c r="N36" s="1288"/>
      <c r="O36" s="1290"/>
      <c r="Z36" s="1280"/>
    </row>
    <row r="37" spans="1:26" x14ac:dyDescent="0.6">
      <c r="A37" s="1280"/>
      <c r="N37" s="1288"/>
      <c r="O37" s="1290"/>
      <c r="Z37" s="1280"/>
    </row>
    <row r="38" spans="1:26" x14ac:dyDescent="0.6">
      <c r="A38" s="1280"/>
      <c r="N38" s="1288"/>
      <c r="O38" s="1290"/>
      <c r="Z38" s="1280"/>
    </row>
    <row r="39" spans="1:26" x14ac:dyDescent="0.6">
      <c r="A39" s="1280"/>
      <c r="N39" s="1288"/>
      <c r="O39" s="1290"/>
      <c r="Z39" s="1280"/>
    </row>
    <row r="40" spans="1:26" x14ac:dyDescent="0.6">
      <c r="A40" s="1280"/>
      <c r="N40" s="1288"/>
      <c r="O40" s="1290"/>
      <c r="Z40" s="1280"/>
    </row>
    <row r="41" spans="1:26" x14ac:dyDescent="0.6">
      <c r="A41" s="1280"/>
      <c r="N41" s="1288"/>
      <c r="O41" s="1290"/>
      <c r="Z41" s="1280"/>
    </row>
    <row r="42" spans="1:26" x14ac:dyDescent="0.6">
      <c r="A42" s="1280"/>
      <c r="N42" s="1288"/>
      <c r="O42" s="1290"/>
      <c r="Z42" s="1280"/>
    </row>
    <row r="43" spans="1:26" x14ac:dyDescent="0.6">
      <c r="A43" s="1280"/>
      <c r="N43" s="1288"/>
      <c r="O43" s="1290"/>
      <c r="Z43" s="1280"/>
    </row>
    <row r="44" spans="1:26" x14ac:dyDescent="0.6">
      <c r="A44" s="1280"/>
      <c r="N44" s="1288"/>
      <c r="O44" s="1290"/>
      <c r="Z44" s="1280"/>
    </row>
    <row r="45" spans="1:26" x14ac:dyDescent="0.6">
      <c r="A45" s="1280"/>
      <c r="N45" s="1288"/>
      <c r="O45" s="1290"/>
      <c r="Z45" s="1280"/>
    </row>
    <row r="46" spans="1:26" x14ac:dyDescent="0.6">
      <c r="A46" s="1280"/>
      <c r="N46" s="1288"/>
      <c r="O46" s="1290"/>
      <c r="Z46" s="1280"/>
    </row>
    <row r="47" spans="1:26" x14ac:dyDescent="0.6">
      <c r="A47" s="1280"/>
      <c r="N47" s="1288"/>
      <c r="O47" s="1290"/>
      <c r="Z47" s="1280"/>
    </row>
    <row r="48" spans="1:26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</sheetData>
  <protectedRanges>
    <protectedRange password="CC6F" sqref="B9:B10" name="ช่วง1_5_1_5_1_1_1_2_4"/>
    <protectedRange password="CC6F" sqref="B11:B12" name="ช่วง1_5_1_5_1_1_5_2_4"/>
    <protectedRange password="CC6F" sqref="B8" name="ช่วง1_5_1_5_1_1_1_2_2_2"/>
    <protectedRange password="CC6F" sqref="B13" name="ช่วง1_5_1_5_1_1_1_3_3"/>
  </protectedRanges>
  <mergeCells count="18">
    <mergeCell ref="X6:X7"/>
    <mergeCell ref="A14:C14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84665-C77A-4E2D-A0DC-E72457595B66}">
  <sheetPr>
    <tabColor rgb="FFFFFF00"/>
  </sheetPr>
  <dimension ref="A1:AHX164"/>
  <sheetViews>
    <sheetView zoomScale="90" zoomScaleNormal="90" workbookViewId="0">
      <pane xSplit="4" ySplit="5" topLeftCell="AHN159" activePane="bottomRight" state="frozen"/>
      <selection pane="topRight" activeCell="E1" sqref="E1"/>
      <selection pane="bottomLeft" activeCell="A6" sqref="A6"/>
      <selection pane="bottomRight" activeCell="C168" sqref="C168"/>
    </sheetView>
  </sheetViews>
  <sheetFormatPr defaultColWidth="8.8984375" defaultRowHeight="24.6" x14ac:dyDescent="0.7"/>
  <cols>
    <col min="1" max="1" width="8.59765625" style="6" bestFit="1" customWidth="1"/>
    <col min="2" max="2" width="16" style="6" bestFit="1" customWidth="1"/>
    <col min="3" max="3" width="31.8984375" style="6" customWidth="1"/>
    <col min="4" max="4" width="17" style="6" bestFit="1" customWidth="1"/>
    <col min="5" max="6" width="15.3984375" style="6" bestFit="1" customWidth="1"/>
    <col min="7" max="7" width="14.296875" style="6" bestFit="1" customWidth="1"/>
    <col min="8" max="13" width="15.3984375" style="6" bestFit="1" customWidth="1"/>
    <col min="14" max="15" width="15" style="6" bestFit="1" customWidth="1"/>
    <col min="16" max="16" width="15.3984375" style="6" bestFit="1" customWidth="1"/>
    <col min="17" max="18" width="15" style="6" bestFit="1" customWidth="1"/>
    <col min="19" max="20" width="15.3984375" style="6" bestFit="1" customWidth="1"/>
    <col min="21" max="21" width="15" style="6" bestFit="1" customWidth="1"/>
    <col min="22" max="22" width="17" style="6" bestFit="1" customWidth="1"/>
    <col min="23" max="23" width="15.3984375" style="6" bestFit="1" customWidth="1"/>
    <col min="24" max="24" width="15" style="6" bestFit="1" customWidth="1"/>
    <col min="25" max="27" width="15.3984375" style="6" bestFit="1" customWidth="1"/>
    <col min="28" max="28" width="15" style="6" bestFit="1" customWidth="1"/>
    <col min="29" max="29" width="16.09765625" style="6" bestFit="1" customWidth="1"/>
    <col min="30" max="31" width="15.3984375" style="6" bestFit="1" customWidth="1"/>
    <col min="32" max="32" width="16.09765625" style="6" bestFit="1" customWidth="1"/>
    <col min="33" max="35" width="15.3984375" style="6" bestFit="1" customWidth="1"/>
    <col min="36" max="37" width="15" style="6" bestFit="1" customWidth="1"/>
    <col min="38" max="39" width="15.3984375" style="6" bestFit="1" customWidth="1"/>
    <col min="40" max="45" width="15" style="6" bestFit="1" customWidth="1"/>
    <col min="46" max="46" width="16.09765625" style="6" bestFit="1" customWidth="1"/>
    <col min="47" max="48" width="14.296875" style="6" bestFit="1" customWidth="1"/>
    <col min="49" max="49" width="15" style="6" bestFit="1" customWidth="1"/>
    <col min="50" max="51" width="15.3984375" style="6" bestFit="1" customWidth="1"/>
    <col min="52" max="52" width="14.296875" style="6" bestFit="1" customWidth="1"/>
    <col min="53" max="53" width="15" style="6" bestFit="1" customWidth="1"/>
    <col min="54" max="56" width="14.296875" style="6" bestFit="1" customWidth="1"/>
    <col min="57" max="57" width="15" style="6" bestFit="1" customWidth="1"/>
    <col min="58" max="58" width="15.3984375" style="6" bestFit="1" customWidth="1"/>
    <col min="59" max="59" width="14.296875" style="6" bestFit="1" customWidth="1"/>
    <col min="60" max="60" width="15" style="6" bestFit="1" customWidth="1"/>
    <col min="61" max="61" width="16.09765625" style="6" bestFit="1" customWidth="1"/>
    <col min="62" max="63" width="15.3984375" style="6" bestFit="1" customWidth="1"/>
    <col min="64" max="64" width="14.296875" style="6" bestFit="1" customWidth="1"/>
    <col min="65" max="65" width="15.3984375" style="6" bestFit="1" customWidth="1"/>
    <col min="66" max="67" width="15" style="6" bestFit="1" customWidth="1"/>
    <col min="68" max="69" width="14.296875" style="6" bestFit="1" customWidth="1"/>
    <col min="70" max="70" width="17" style="6" bestFit="1" customWidth="1"/>
    <col min="71" max="72" width="15" style="6" bestFit="1" customWidth="1"/>
    <col min="73" max="73" width="15.3984375" style="6" bestFit="1" customWidth="1"/>
    <col min="74" max="77" width="15" style="6" bestFit="1" customWidth="1"/>
    <col min="78" max="78" width="16.09765625" style="6" bestFit="1" customWidth="1"/>
    <col min="79" max="79" width="15" style="6" bestFit="1" customWidth="1"/>
    <col min="80" max="81" width="15.3984375" style="6" bestFit="1" customWidth="1"/>
    <col min="82" max="84" width="15" style="6" bestFit="1" customWidth="1"/>
    <col min="85" max="85" width="17" style="6" bestFit="1" customWidth="1"/>
    <col min="86" max="86" width="15" style="6" bestFit="1" customWidth="1"/>
    <col min="87" max="87" width="15.3984375" style="6" bestFit="1" customWidth="1"/>
    <col min="88" max="88" width="14.296875" style="6" bestFit="1" customWidth="1"/>
    <col min="89" max="91" width="15" style="6" bestFit="1" customWidth="1"/>
    <col min="92" max="92" width="15.3984375" style="6" bestFit="1" customWidth="1"/>
    <col min="93" max="93" width="14.296875" style="6" bestFit="1" customWidth="1"/>
    <col min="94" max="94" width="15" style="6" bestFit="1" customWidth="1"/>
    <col min="95" max="95" width="14.296875" style="6" bestFit="1" customWidth="1"/>
    <col min="96" max="97" width="15" style="6" bestFit="1" customWidth="1"/>
    <col min="98" max="98" width="16.09765625" style="6" bestFit="1" customWidth="1"/>
    <col min="99" max="100" width="15" style="6" bestFit="1" customWidth="1"/>
    <col min="101" max="101" width="15.3984375" style="6" bestFit="1" customWidth="1"/>
    <col min="102" max="102" width="14.296875" style="6" bestFit="1" customWidth="1"/>
    <col min="103" max="103" width="15.3984375" style="6" bestFit="1" customWidth="1"/>
    <col min="104" max="105" width="14.296875" style="6" bestFit="1" customWidth="1"/>
    <col min="106" max="107" width="16.09765625" style="6" bestFit="1" customWidth="1"/>
    <col min="108" max="113" width="15.3984375" style="6" bestFit="1" customWidth="1"/>
    <col min="114" max="114" width="15" style="6" bestFit="1" customWidth="1"/>
    <col min="115" max="115" width="17" style="6" bestFit="1" customWidth="1"/>
    <col min="116" max="121" width="15.3984375" style="6" bestFit="1" customWidth="1"/>
    <col min="122" max="122" width="15" style="6" bestFit="1" customWidth="1"/>
    <col min="123" max="123" width="15.3984375" style="6" bestFit="1" customWidth="1"/>
    <col min="124" max="124" width="16.09765625" style="6" bestFit="1" customWidth="1"/>
    <col min="125" max="130" width="15.3984375" style="6" bestFit="1" customWidth="1"/>
    <col min="131" max="131" width="14.296875" style="6" bestFit="1" customWidth="1"/>
    <col min="132" max="132" width="15.3984375" style="6" bestFit="1" customWidth="1"/>
    <col min="133" max="134" width="15" style="6" bestFit="1" customWidth="1"/>
    <col min="135" max="136" width="15.3984375" style="6" bestFit="1" customWidth="1"/>
    <col min="137" max="137" width="15" style="6" bestFit="1" customWidth="1"/>
    <col min="138" max="141" width="15.3984375" style="6" bestFit="1" customWidth="1"/>
    <col min="142" max="143" width="15" style="6" bestFit="1" customWidth="1"/>
    <col min="144" max="144" width="17" style="6" bestFit="1" customWidth="1"/>
    <col min="145" max="146" width="15.3984375" style="6" bestFit="1" customWidth="1"/>
    <col min="147" max="149" width="15" style="6" bestFit="1" customWidth="1"/>
    <col min="150" max="152" width="15.3984375" style="6" bestFit="1" customWidth="1"/>
    <col min="153" max="153" width="16.09765625" style="6" bestFit="1" customWidth="1"/>
    <col min="154" max="154" width="14.296875" style="6" bestFit="1" customWidth="1"/>
    <col min="155" max="155" width="15" style="6" bestFit="1" customWidth="1"/>
    <col min="156" max="159" width="15.3984375" style="6" bestFit="1" customWidth="1"/>
    <col min="160" max="164" width="15" style="6" bestFit="1" customWidth="1"/>
    <col min="165" max="165" width="15.3984375" style="6" bestFit="1" customWidth="1"/>
    <col min="166" max="166" width="15" style="6" bestFit="1" customWidth="1"/>
    <col min="167" max="167" width="14.296875" style="6" bestFit="1" customWidth="1"/>
    <col min="168" max="168" width="15" style="6" bestFit="1" customWidth="1"/>
    <col min="169" max="170" width="15.3984375" style="6" bestFit="1" customWidth="1"/>
    <col min="171" max="171" width="15" style="6" bestFit="1" customWidth="1"/>
    <col min="172" max="172" width="14.296875" style="6" bestFit="1" customWidth="1"/>
    <col min="173" max="173" width="20.09765625" style="6" bestFit="1" customWidth="1"/>
    <col min="174" max="174" width="15" style="6" bestFit="1" customWidth="1"/>
    <col min="175" max="177" width="15.3984375" style="6" bestFit="1" customWidth="1"/>
    <col min="178" max="178" width="15" style="6" bestFit="1" customWidth="1"/>
    <col min="179" max="183" width="15.3984375" style="6" bestFit="1" customWidth="1"/>
    <col min="184" max="186" width="15" style="6" bestFit="1" customWidth="1"/>
    <col min="187" max="187" width="16.09765625" style="6" bestFit="1" customWidth="1"/>
    <col min="188" max="189" width="15" style="6" bestFit="1" customWidth="1"/>
    <col min="190" max="191" width="15.3984375" style="6" bestFit="1" customWidth="1"/>
    <col min="192" max="193" width="15" style="6" bestFit="1" customWidth="1"/>
    <col min="194" max="194" width="15.3984375" style="6" bestFit="1" customWidth="1"/>
    <col min="195" max="195" width="14.296875" style="6" bestFit="1" customWidth="1"/>
    <col min="196" max="196" width="15" style="6" bestFit="1" customWidth="1"/>
    <col min="197" max="198" width="14.296875" style="6" bestFit="1" customWidth="1"/>
    <col min="199" max="199" width="16.09765625" style="6" bestFit="1" customWidth="1"/>
    <col min="200" max="200" width="15.3984375" style="6" bestFit="1" customWidth="1"/>
    <col min="201" max="201" width="15" style="6" bestFit="1" customWidth="1"/>
    <col min="202" max="202" width="15.3984375" style="6" bestFit="1" customWidth="1"/>
    <col min="203" max="203" width="14.296875" style="6" bestFit="1" customWidth="1"/>
    <col min="204" max="204" width="15.3984375" style="6" bestFit="1" customWidth="1"/>
    <col min="205" max="205" width="15" style="6" bestFit="1" customWidth="1"/>
    <col min="206" max="206" width="14.296875" style="6" bestFit="1" customWidth="1"/>
    <col min="207" max="207" width="16.09765625" style="6" bestFit="1" customWidth="1"/>
    <col min="208" max="208" width="14.296875" style="6" bestFit="1" customWidth="1"/>
    <col min="209" max="210" width="15.3984375" style="6" bestFit="1" customWidth="1"/>
    <col min="211" max="211" width="17" style="6" bestFit="1" customWidth="1"/>
    <col min="212" max="212" width="16.09765625" style="6" bestFit="1" customWidth="1"/>
    <col min="213" max="216" width="15.3984375" style="6" bestFit="1" customWidth="1"/>
    <col min="217" max="217" width="15" style="6" bestFit="1" customWidth="1"/>
    <col min="218" max="218" width="17" style="6" bestFit="1" customWidth="1"/>
    <col min="219" max="219" width="15.3984375" style="6" bestFit="1" customWidth="1"/>
    <col min="220" max="220" width="16.09765625" style="6" bestFit="1" customWidth="1"/>
    <col min="221" max="221" width="15.3984375" style="6" bestFit="1" customWidth="1"/>
    <col min="222" max="222" width="15" style="6" bestFit="1" customWidth="1"/>
    <col min="223" max="224" width="15.3984375" style="6" bestFit="1" customWidth="1"/>
    <col min="225" max="225" width="15" style="6" bestFit="1" customWidth="1"/>
    <col min="226" max="226" width="17" style="6" bestFit="1" customWidth="1"/>
    <col min="227" max="227" width="16.09765625" style="6" bestFit="1" customWidth="1"/>
    <col min="228" max="229" width="15.3984375" style="6" bestFit="1" customWidth="1"/>
    <col min="230" max="230" width="15.296875" style="6" bestFit="1" customWidth="1"/>
    <col min="231" max="231" width="15" style="6" bestFit="1" customWidth="1"/>
    <col min="232" max="232" width="15.3984375" style="6" bestFit="1" customWidth="1"/>
    <col min="233" max="233" width="15.296875" style="6" bestFit="1" customWidth="1"/>
    <col min="234" max="234" width="15" style="6" bestFit="1" customWidth="1"/>
    <col min="235" max="235" width="15.3984375" style="6" bestFit="1" customWidth="1"/>
    <col min="236" max="236" width="15" style="6" bestFit="1" customWidth="1"/>
    <col min="237" max="237" width="15.3984375" style="6" bestFit="1" customWidth="1"/>
    <col min="238" max="238" width="15.296875" style="6" bestFit="1" customWidth="1"/>
    <col min="239" max="239" width="15.3984375" style="6" bestFit="1" customWidth="1"/>
    <col min="240" max="240" width="15.296875" style="6" bestFit="1" customWidth="1"/>
    <col min="241" max="241" width="14.296875" style="6" bestFit="1" customWidth="1"/>
    <col min="242" max="243" width="16.09765625" style="6" bestFit="1" customWidth="1"/>
    <col min="244" max="247" width="15.3984375" style="6" bestFit="1" customWidth="1"/>
    <col min="248" max="250" width="15" style="6" bestFit="1" customWidth="1"/>
    <col min="251" max="251" width="17" style="6" bestFit="1" customWidth="1"/>
    <col min="252" max="252" width="16.09765625" style="6" bestFit="1" customWidth="1"/>
    <col min="253" max="255" width="15.3984375" style="6" bestFit="1" customWidth="1"/>
    <col min="256" max="256" width="15.296875" style="6" bestFit="1" customWidth="1"/>
    <col min="257" max="257" width="15" style="6" bestFit="1" customWidth="1"/>
    <col min="258" max="258" width="14.296875" style="6" bestFit="1" customWidth="1"/>
    <col min="259" max="260" width="15" style="6" bestFit="1" customWidth="1"/>
    <col min="261" max="261" width="15.3984375" style="6" bestFit="1" customWidth="1"/>
    <col min="262" max="262" width="15" style="6" bestFit="1" customWidth="1"/>
    <col min="263" max="264" width="15.3984375" style="6" bestFit="1" customWidth="1"/>
    <col min="265" max="265" width="15" style="6" bestFit="1" customWidth="1"/>
    <col min="266" max="266" width="15.296875" style="6" bestFit="1" customWidth="1"/>
    <col min="267" max="268" width="15" style="6" bestFit="1" customWidth="1"/>
    <col min="269" max="269" width="16.09765625" style="6" bestFit="1" customWidth="1"/>
    <col min="270" max="272" width="15.3984375" style="6" bestFit="1" customWidth="1"/>
    <col min="273" max="273" width="15.296875" style="6" bestFit="1" customWidth="1"/>
    <col min="274" max="274" width="15.3984375" style="6" bestFit="1" customWidth="1"/>
    <col min="275" max="275" width="15" style="6" bestFit="1" customWidth="1"/>
    <col min="276" max="276" width="17" style="6" bestFit="1" customWidth="1"/>
    <col min="277" max="277" width="16.09765625" style="6" bestFit="1" customWidth="1"/>
    <col min="278" max="278" width="15.3984375" style="6" bestFit="1" customWidth="1"/>
    <col min="279" max="279" width="15.296875" style="6" bestFit="1" customWidth="1"/>
    <col min="280" max="280" width="15.3984375" style="6" bestFit="1" customWidth="1"/>
    <col min="281" max="281" width="14.296875" style="6" bestFit="1" customWidth="1"/>
    <col min="282" max="283" width="15.3984375" style="6" bestFit="1" customWidth="1"/>
    <col min="284" max="286" width="15" style="6" bestFit="1" customWidth="1"/>
    <col min="287" max="287" width="15.3984375" style="6" bestFit="1" customWidth="1"/>
    <col min="288" max="289" width="14.296875" style="6" bestFit="1" customWidth="1"/>
    <col min="290" max="291" width="15" style="6" bestFit="1" customWidth="1"/>
    <col min="292" max="292" width="17" style="6" bestFit="1" customWidth="1"/>
    <col min="293" max="299" width="15.3984375" style="6" bestFit="1" customWidth="1"/>
    <col min="300" max="300" width="15" style="6" bestFit="1" customWidth="1"/>
    <col min="301" max="301" width="16.09765625" style="6" bestFit="1" customWidth="1"/>
    <col min="302" max="306" width="15.3984375" style="6" bestFit="1" customWidth="1"/>
    <col min="307" max="307" width="16.09765625" style="6" bestFit="1" customWidth="1"/>
    <col min="308" max="308" width="15.3984375" style="6" bestFit="1" customWidth="1"/>
    <col min="309" max="309" width="16.09765625" style="6" bestFit="1" customWidth="1"/>
    <col min="310" max="310" width="15.3984375" style="6" bestFit="1" customWidth="1"/>
    <col min="311" max="311" width="15.296875" style="6" bestFit="1" customWidth="1"/>
    <col min="312" max="316" width="15.3984375" style="6" bestFit="1" customWidth="1"/>
    <col min="317" max="317" width="17" style="6" bestFit="1" customWidth="1"/>
    <col min="318" max="320" width="16.09765625" style="6" bestFit="1" customWidth="1"/>
    <col min="321" max="322" width="15.3984375" style="6" bestFit="1" customWidth="1"/>
    <col min="323" max="323" width="15.296875" style="6" bestFit="1" customWidth="1"/>
    <col min="324" max="324" width="15.3984375" style="6" bestFit="1" customWidth="1"/>
    <col min="325" max="325" width="15" style="6" bestFit="1" customWidth="1"/>
    <col min="326" max="326" width="15.3984375" style="6" bestFit="1" customWidth="1"/>
    <col min="327" max="327" width="14.296875" style="6" bestFit="1" customWidth="1"/>
    <col min="328" max="328" width="15.3984375" style="6" bestFit="1" customWidth="1"/>
    <col min="329" max="330" width="15" style="6" bestFit="1" customWidth="1"/>
    <col min="331" max="331" width="17" style="6" bestFit="1" customWidth="1"/>
    <col min="332" max="332" width="16.09765625" style="6" bestFit="1" customWidth="1"/>
    <col min="333" max="333" width="17" style="6" bestFit="1" customWidth="1"/>
    <col min="334" max="334" width="16.8984375" style="6" bestFit="1" customWidth="1"/>
    <col min="335" max="341" width="15.3984375" style="6" bestFit="1" customWidth="1"/>
    <col min="342" max="342" width="15.296875" style="6" bestFit="1" customWidth="1"/>
    <col min="343" max="343" width="17" style="6" bestFit="1" customWidth="1"/>
    <col min="344" max="344" width="15.3984375" style="6" bestFit="1" customWidth="1"/>
    <col min="345" max="345" width="15" style="6" bestFit="1" customWidth="1"/>
    <col min="346" max="346" width="15.296875" style="6" bestFit="1" customWidth="1"/>
    <col min="347" max="347" width="14.296875" style="6" bestFit="1" customWidth="1"/>
    <col min="348" max="348" width="15.3984375" style="6" bestFit="1" customWidth="1"/>
    <col min="349" max="350" width="15" style="6" bestFit="1" customWidth="1"/>
    <col min="351" max="351" width="15.3984375" style="6" bestFit="1" customWidth="1"/>
    <col min="352" max="354" width="15" style="6" bestFit="1" customWidth="1"/>
    <col min="355" max="355" width="17" style="6" bestFit="1" customWidth="1"/>
    <col min="356" max="356" width="15" style="6" bestFit="1" customWidth="1"/>
    <col min="357" max="362" width="15.3984375" style="6" bestFit="1" customWidth="1"/>
    <col min="363" max="363" width="15" style="6" bestFit="1" customWidth="1"/>
    <col min="364" max="364" width="15.296875" style="6" bestFit="1" customWidth="1"/>
    <col min="365" max="365" width="14.296875" style="6" bestFit="1" customWidth="1"/>
    <col min="366" max="366" width="17" style="6" bestFit="1" customWidth="1"/>
    <col min="367" max="367" width="15.3984375" style="6" bestFit="1" customWidth="1"/>
    <col min="368" max="368" width="15" style="6" bestFit="1" customWidth="1"/>
    <col min="369" max="369" width="17" style="6" bestFit="1" customWidth="1"/>
    <col min="370" max="370" width="15.296875" style="6" bestFit="1" customWidth="1"/>
    <col min="371" max="371" width="15.3984375" style="6" bestFit="1" customWidth="1"/>
    <col min="372" max="373" width="16.09765625" style="6" bestFit="1" customWidth="1"/>
    <col min="374" max="374" width="15.296875" style="6" bestFit="1" customWidth="1"/>
    <col min="375" max="377" width="15.3984375" style="6" bestFit="1" customWidth="1"/>
    <col min="378" max="378" width="16.09765625" style="6" bestFit="1" customWidth="1"/>
    <col min="379" max="379" width="15.296875" style="6" bestFit="1" customWidth="1"/>
    <col min="380" max="380" width="15" style="6" bestFit="1" customWidth="1"/>
    <col min="381" max="381" width="15.296875" style="6" bestFit="1" customWidth="1"/>
    <col min="382" max="384" width="14.296875" style="6" bestFit="1" customWidth="1"/>
    <col min="385" max="385" width="17" style="6" bestFit="1" customWidth="1"/>
    <col min="386" max="386" width="16.09765625" style="6" bestFit="1" customWidth="1"/>
    <col min="387" max="387" width="15.3984375" style="6" bestFit="1" customWidth="1"/>
    <col min="388" max="389" width="15.296875" style="6" bestFit="1" customWidth="1"/>
    <col min="390" max="390" width="15.3984375" style="6" bestFit="1" customWidth="1"/>
    <col min="391" max="391" width="15" style="6" bestFit="1" customWidth="1"/>
    <col min="392" max="392" width="17" style="6" bestFit="1" customWidth="1"/>
    <col min="393" max="393" width="16.09765625" style="6" bestFit="1" customWidth="1"/>
    <col min="394" max="394" width="15.3984375" style="6" bestFit="1" customWidth="1"/>
    <col min="395" max="395" width="16.09765625" style="6" bestFit="1" customWidth="1"/>
    <col min="396" max="398" width="15.3984375" style="6" bestFit="1" customWidth="1"/>
    <col min="399" max="399" width="15" style="6" bestFit="1" customWidth="1"/>
    <col min="400" max="400" width="15.3984375" style="6" bestFit="1" customWidth="1"/>
    <col min="401" max="401" width="17" style="6" bestFit="1" customWidth="1"/>
    <col min="402" max="402" width="15.3984375" style="6" bestFit="1" customWidth="1"/>
    <col min="403" max="403" width="16.09765625" style="6" bestFit="1" customWidth="1"/>
    <col min="404" max="404" width="16.8984375" style="6" bestFit="1" customWidth="1"/>
    <col min="405" max="406" width="15.3984375" style="6" bestFit="1" customWidth="1"/>
    <col min="407" max="407" width="16.09765625" style="6" bestFit="1" customWidth="1"/>
    <col min="408" max="412" width="15.3984375" style="6" bestFit="1" customWidth="1"/>
    <col min="413" max="413" width="15" style="6" bestFit="1" customWidth="1"/>
    <col min="414" max="414" width="15.3984375" style="6" bestFit="1" customWidth="1"/>
    <col min="415" max="415" width="15.296875" style="6" bestFit="1" customWidth="1"/>
    <col min="416" max="416" width="16.09765625" style="6" bestFit="1" customWidth="1"/>
    <col min="417" max="417" width="15" style="6" bestFit="1" customWidth="1"/>
    <col min="418" max="418" width="15.3984375" style="6" bestFit="1" customWidth="1"/>
    <col min="419" max="419" width="15.296875" style="6" bestFit="1" customWidth="1"/>
    <col min="420" max="421" width="15.3984375" style="6" bestFit="1" customWidth="1"/>
    <col min="422" max="423" width="15" style="6" bestFit="1" customWidth="1"/>
    <col min="424" max="424" width="15.3984375" style="6" bestFit="1" customWidth="1"/>
    <col min="425" max="425" width="15" style="6" bestFit="1" customWidth="1"/>
    <col min="426" max="427" width="15.3984375" style="6" bestFit="1" customWidth="1"/>
    <col min="428" max="428" width="15" style="6" bestFit="1" customWidth="1"/>
    <col min="429" max="429" width="15.3984375" style="6" bestFit="1" customWidth="1"/>
    <col min="430" max="433" width="15" style="6" bestFit="1" customWidth="1"/>
    <col min="434" max="434" width="17" style="6" bestFit="1" customWidth="1"/>
    <col min="435" max="436" width="15" style="6" bestFit="1" customWidth="1"/>
    <col min="437" max="437" width="15.3984375" style="6" bestFit="1" customWidth="1"/>
    <col min="438" max="438" width="16.09765625" style="6" bestFit="1" customWidth="1"/>
    <col min="439" max="440" width="15.3984375" style="6" bestFit="1" customWidth="1"/>
    <col min="441" max="441" width="15.296875" style="6" bestFit="1" customWidth="1"/>
    <col min="442" max="442" width="15.3984375" style="6" bestFit="1" customWidth="1"/>
    <col min="443" max="443" width="14.296875" style="6" bestFit="1" customWidth="1"/>
    <col min="444" max="444" width="15.3984375" style="6" bestFit="1" customWidth="1"/>
    <col min="445" max="445" width="15.296875" style="6" bestFit="1" customWidth="1"/>
    <col min="446" max="449" width="15.3984375" style="6" bestFit="1" customWidth="1"/>
    <col min="450" max="452" width="15" style="6" bestFit="1" customWidth="1"/>
    <col min="453" max="454" width="15.3984375" style="6" bestFit="1" customWidth="1"/>
    <col min="455" max="455" width="15" style="6" bestFit="1" customWidth="1"/>
    <col min="456" max="456" width="14.296875" style="6" bestFit="1" customWidth="1"/>
    <col min="457" max="457" width="15.296875" style="6" bestFit="1" customWidth="1"/>
    <col min="458" max="458" width="14.296875" style="6" bestFit="1" customWidth="1"/>
    <col min="459" max="459" width="15" style="6" bestFit="1" customWidth="1"/>
    <col min="460" max="460" width="17" style="6" bestFit="1" customWidth="1"/>
    <col min="461" max="461" width="15" style="6" bestFit="1" customWidth="1"/>
    <col min="462" max="462" width="15.3984375" style="6" bestFit="1" customWidth="1"/>
    <col min="463" max="463" width="15.296875" style="6" bestFit="1" customWidth="1"/>
    <col min="464" max="464" width="15" style="6" bestFit="1" customWidth="1"/>
    <col min="465" max="465" width="15.3984375" style="6" bestFit="1" customWidth="1"/>
    <col min="466" max="466" width="15" style="6" bestFit="1" customWidth="1"/>
    <col min="467" max="468" width="15.3984375" style="6" bestFit="1" customWidth="1"/>
    <col min="469" max="469" width="15" style="6" bestFit="1" customWidth="1"/>
    <col min="470" max="470" width="15.296875" style="6" bestFit="1" customWidth="1"/>
    <col min="471" max="471" width="15.3984375" style="6" bestFit="1" customWidth="1"/>
    <col min="472" max="472" width="15" style="6" bestFit="1" customWidth="1"/>
    <col min="473" max="473" width="17" style="6" bestFit="1" customWidth="1"/>
    <col min="474" max="483" width="15.3984375" style="6" bestFit="1" customWidth="1"/>
    <col min="484" max="485" width="15" style="6" bestFit="1" customWidth="1"/>
    <col min="486" max="486" width="15.3984375" style="6" bestFit="1" customWidth="1"/>
    <col min="487" max="488" width="15" style="6" bestFit="1" customWidth="1"/>
    <col min="489" max="489" width="15.3984375" style="6" bestFit="1" customWidth="1"/>
    <col min="490" max="490" width="14.296875" style="6" bestFit="1" customWidth="1"/>
    <col min="491" max="492" width="15" style="6" bestFit="1" customWidth="1"/>
    <col min="493" max="493" width="16.09765625" style="6" bestFit="1" customWidth="1"/>
    <col min="494" max="494" width="15.3984375" style="6" bestFit="1" customWidth="1"/>
    <col min="495" max="495" width="15" style="6" bestFit="1" customWidth="1"/>
    <col min="496" max="496" width="15.296875" style="6" bestFit="1" customWidth="1"/>
    <col min="497" max="498" width="15" style="6" bestFit="1" customWidth="1"/>
    <col min="499" max="500" width="15.3984375" style="6" bestFit="1" customWidth="1"/>
    <col min="501" max="501" width="15" style="6" bestFit="1" customWidth="1"/>
    <col min="502" max="503" width="15.3984375" style="6" bestFit="1" customWidth="1"/>
    <col min="504" max="504" width="14.296875" style="6" bestFit="1" customWidth="1"/>
    <col min="505" max="505" width="16.09765625" style="6" bestFit="1" customWidth="1"/>
    <col min="506" max="506" width="15" style="6" bestFit="1" customWidth="1"/>
    <col min="507" max="508" width="15.3984375" style="6" bestFit="1" customWidth="1"/>
    <col min="509" max="509" width="15" style="6" bestFit="1" customWidth="1"/>
    <col min="510" max="510" width="14.296875" style="6" bestFit="1" customWidth="1"/>
    <col min="511" max="512" width="15" style="6" bestFit="1" customWidth="1"/>
    <col min="513" max="513" width="16.09765625" style="6" bestFit="1" customWidth="1"/>
    <col min="514" max="514" width="14.296875" style="6" bestFit="1" customWidth="1"/>
    <col min="515" max="515" width="15.3984375" style="6" bestFit="1" customWidth="1"/>
    <col min="516" max="516" width="15" style="6" bestFit="1" customWidth="1"/>
    <col min="517" max="517" width="14.296875" style="6" bestFit="1" customWidth="1"/>
    <col min="518" max="518" width="15" style="6" bestFit="1" customWidth="1"/>
    <col min="519" max="519" width="14.296875" style="6" bestFit="1" customWidth="1"/>
    <col min="520" max="520" width="15.3984375" style="6" bestFit="1" customWidth="1"/>
    <col min="521" max="523" width="15" style="6" bestFit="1" customWidth="1"/>
    <col min="524" max="524" width="15.3984375" style="6" bestFit="1" customWidth="1"/>
    <col min="525" max="525" width="15" style="6" bestFit="1" customWidth="1"/>
    <col min="526" max="526" width="14.296875" style="6" bestFit="1" customWidth="1"/>
    <col min="527" max="527" width="17" style="6" bestFit="1" customWidth="1"/>
    <col min="528" max="529" width="15" style="6" bestFit="1" customWidth="1"/>
    <col min="530" max="531" width="15.3984375" style="6" bestFit="1" customWidth="1"/>
    <col min="532" max="533" width="15" style="6" bestFit="1" customWidth="1"/>
    <col min="534" max="537" width="15.3984375" style="6" bestFit="1" customWidth="1"/>
    <col min="538" max="538" width="14.296875" style="6" bestFit="1" customWidth="1"/>
    <col min="539" max="542" width="15" style="6" bestFit="1" customWidth="1"/>
    <col min="543" max="543" width="16.09765625" style="6" bestFit="1" customWidth="1"/>
    <col min="544" max="544" width="15" style="6" bestFit="1" customWidth="1"/>
    <col min="545" max="545" width="16.09765625" style="6" bestFit="1" customWidth="1"/>
    <col min="546" max="546" width="15.3984375" style="6" bestFit="1" customWidth="1"/>
    <col min="547" max="547" width="15" style="6" bestFit="1" customWidth="1"/>
    <col min="548" max="548" width="15.296875" style="6" bestFit="1" customWidth="1"/>
    <col min="549" max="549" width="16.09765625" style="6" bestFit="1" customWidth="1"/>
    <col min="550" max="553" width="15" style="6" bestFit="1" customWidth="1"/>
    <col min="554" max="554" width="16.09765625" style="6" bestFit="1" customWidth="1"/>
    <col min="555" max="558" width="15.3984375" style="6" bestFit="1" customWidth="1"/>
    <col min="559" max="559" width="15" style="6" bestFit="1" customWidth="1"/>
    <col min="560" max="560" width="17" style="6" bestFit="1" customWidth="1"/>
    <col min="561" max="562" width="15.3984375" style="6" bestFit="1" customWidth="1"/>
    <col min="563" max="563" width="16.8984375" style="6" bestFit="1" customWidth="1"/>
    <col min="564" max="565" width="15" style="6" bestFit="1" customWidth="1"/>
    <col min="566" max="566" width="15.3984375" style="6" bestFit="1" customWidth="1"/>
    <col min="567" max="568" width="15" style="6" bestFit="1" customWidth="1"/>
    <col min="569" max="573" width="15.3984375" style="6" bestFit="1" customWidth="1"/>
    <col min="574" max="577" width="15" style="6" bestFit="1" customWidth="1"/>
    <col min="578" max="578" width="15.3984375" style="6" bestFit="1" customWidth="1"/>
    <col min="579" max="580" width="15" style="6" bestFit="1" customWidth="1"/>
    <col min="581" max="581" width="14.296875" style="6" bestFit="1" customWidth="1"/>
    <col min="582" max="582" width="17" style="6" bestFit="1" customWidth="1"/>
    <col min="583" max="583" width="15.3984375" style="6" bestFit="1" customWidth="1"/>
    <col min="584" max="584" width="15" style="6" bestFit="1" customWidth="1"/>
    <col min="585" max="590" width="15.3984375" style="6" bestFit="1" customWidth="1"/>
    <col min="591" max="591" width="16.09765625" style="6" bestFit="1" customWidth="1"/>
    <col min="592" max="592" width="15" style="6" bestFit="1" customWidth="1"/>
    <col min="593" max="594" width="15.3984375" style="6" bestFit="1" customWidth="1"/>
    <col min="595" max="595" width="14.296875" style="6" bestFit="1" customWidth="1"/>
    <col min="596" max="596" width="15" style="6" bestFit="1" customWidth="1"/>
    <col min="597" max="597" width="17" style="6" bestFit="1" customWidth="1"/>
    <col min="598" max="599" width="15.3984375" style="6" bestFit="1" customWidth="1"/>
    <col min="600" max="600" width="16.8984375" style="6" bestFit="1" customWidth="1"/>
    <col min="601" max="601" width="14.296875" style="6" bestFit="1" customWidth="1"/>
    <col min="602" max="606" width="15.3984375" style="6" bestFit="1" customWidth="1"/>
    <col min="607" max="607" width="15" style="6" bestFit="1" customWidth="1"/>
    <col min="608" max="614" width="15.3984375" style="6" bestFit="1" customWidth="1"/>
    <col min="615" max="615" width="15" style="6" bestFit="1" customWidth="1"/>
    <col min="616" max="616" width="15.3984375" style="6" bestFit="1" customWidth="1"/>
    <col min="617" max="617" width="16.09765625" style="6" bestFit="1" customWidth="1"/>
    <col min="618" max="618" width="15.3984375" style="6" bestFit="1" customWidth="1"/>
    <col min="619" max="619" width="15" style="6" bestFit="1" customWidth="1"/>
    <col min="620" max="620" width="15.296875" style="6" bestFit="1" customWidth="1"/>
    <col min="621" max="622" width="15" style="6" bestFit="1" customWidth="1"/>
    <col min="623" max="623" width="14.296875" style="6" bestFit="1" customWidth="1"/>
    <col min="624" max="624" width="15" style="6" bestFit="1" customWidth="1"/>
    <col min="625" max="625" width="16.09765625" style="6" bestFit="1" customWidth="1"/>
    <col min="626" max="626" width="15" style="6" bestFit="1" customWidth="1"/>
    <col min="627" max="627" width="14.296875" style="6" bestFit="1" customWidth="1"/>
    <col min="628" max="628" width="15.296875" style="6" bestFit="1" customWidth="1"/>
    <col min="629" max="629" width="15" style="6" bestFit="1" customWidth="1"/>
    <col min="630" max="630" width="17" style="6" bestFit="1" customWidth="1"/>
    <col min="631" max="632" width="15.3984375" style="6" bestFit="1" customWidth="1"/>
    <col min="633" max="633" width="16.09765625" style="6" bestFit="1" customWidth="1"/>
    <col min="634" max="640" width="15.3984375" style="6" bestFit="1" customWidth="1"/>
    <col min="641" max="641" width="15" style="6" bestFit="1" customWidth="1"/>
    <col min="642" max="642" width="15.296875" style="6" bestFit="1" customWidth="1"/>
    <col min="643" max="644" width="15.3984375" style="6" bestFit="1" customWidth="1"/>
    <col min="645" max="648" width="15" style="6" bestFit="1" customWidth="1"/>
    <col min="649" max="649" width="14.296875" style="6" bestFit="1" customWidth="1"/>
    <col min="650" max="651" width="15.3984375" style="6" bestFit="1" customWidth="1"/>
    <col min="652" max="652" width="15" style="6" bestFit="1" customWidth="1"/>
    <col min="653" max="653" width="17" style="6" bestFit="1" customWidth="1"/>
    <col min="654" max="656" width="15.3984375" style="6" bestFit="1" customWidth="1"/>
    <col min="657" max="657" width="16.09765625" style="6" bestFit="1" customWidth="1"/>
    <col min="658" max="659" width="15.3984375" style="6" bestFit="1" customWidth="1"/>
    <col min="660" max="660" width="15.296875" style="6" bestFit="1" customWidth="1"/>
    <col min="661" max="664" width="15.3984375" style="6" bestFit="1" customWidth="1"/>
    <col min="665" max="665" width="15.296875" style="6" bestFit="1" customWidth="1"/>
    <col min="666" max="666" width="15" style="6" bestFit="1" customWidth="1"/>
    <col min="667" max="668" width="15.3984375" style="6" bestFit="1" customWidth="1"/>
    <col min="669" max="669" width="15" style="6" bestFit="1" customWidth="1"/>
    <col min="670" max="670" width="16.09765625" style="6" bestFit="1" customWidth="1"/>
    <col min="671" max="671" width="15.3984375" style="6" bestFit="1" customWidth="1"/>
    <col min="672" max="672" width="15" style="6" bestFit="1" customWidth="1"/>
    <col min="673" max="673" width="15.296875" style="6" bestFit="1" customWidth="1"/>
    <col min="674" max="674" width="15.3984375" style="6" bestFit="1" customWidth="1"/>
    <col min="675" max="675" width="15" style="6" bestFit="1" customWidth="1"/>
    <col min="676" max="676" width="14.296875" style="6" bestFit="1" customWidth="1"/>
    <col min="677" max="677" width="16.09765625" style="6" bestFit="1" customWidth="1"/>
    <col min="678" max="678" width="15" style="6" bestFit="1" customWidth="1"/>
    <col min="679" max="680" width="15.3984375" style="6" bestFit="1" customWidth="1"/>
    <col min="681" max="681" width="15" style="6" bestFit="1" customWidth="1"/>
    <col min="682" max="682" width="14.296875" style="6" bestFit="1" customWidth="1"/>
    <col min="683" max="684" width="15" style="6" bestFit="1" customWidth="1"/>
    <col min="685" max="685" width="16.09765625" style="6" bestFit="1" customWidth="1"/>
    <col min="686" max="686" width="17" style="6" bestFit="1" customWidth="1"/>
    <col min="687" max="687" width="15" style="6" bestFit="1" customWidth="1"/>
    <col min="688" max="690" width="15.3984375" style="6" bestFit="1" customWidth="1"/>
    <col min="691" max="691" width="15" style="6" bestFit="1" customWidth="1"/>
    <col min="692" max="695" width="15.3984375" style="6" bestFit="1" customWidth="1"/>
    <col min="696" max="697" width="15.296875" style="6" bestFit="1" customWidth="1"/>
    <col min="698" max="698" width="15" style="6" bestFit="1" customWidth="1"/>
    <col min="699" max="699" width="15.3984375" style="6" bestFit="1" customWidth="1"/>
    <col min="700" max="702" width="15" style="6" bestFit="1" customWidth="1"/>
    <col min="703" max="703" width="14.296875" style="6" bestFit="1" customWidth="1"/>
    <col min="704" max="704" width="15.3984375" style="6" bestFit="1" customWidth="1"/>
    <col min="705" max="707" width="15" style="6" bestFit="1" customWidth="1"/>
    <col min="708" max="708" width="16.09765625" style="6" bestFit="1" customWidth="1"/>
    <col min="709" max="713" width="15" style="6" bestFit="1" customWidth="1"/>
    <col min="714" max="714" width="14.296875" style="6" bestFit="1" customWidth="1"/>
    <col min="715" max="715" width="17" style="6" bestFit="1" customWidth="1"/>
    <col min="716" max="717" width="15" style="6" bestFit="1" customWidth="1"/>
    <col min="718" max="718" width="16.8984375" style="6" bestFit="1" customWidth="1"/>
    <col min="719" max="722" width="15.3984375" style="6" bestFit="1" customWidth="1"/>
    <col min="723" max="723" width="16.09765625" style="6" bestFit="1" customWidth="1"/>
    <col min="724" max="724" width="15" style="6" bestFit="1" customWidth="1"/>
    <col min="725" max="725" width="15.3984375" style="6" bestFit="1" customWidth="1"/>
    <col min="726" max="726" width="16.09765625" style="6" bestFit="1" customWidth="1"/>
    <col min="727" max="727" width="15.3984375" style="6" bestFit="1" customWidth="1"/>
    <col min="728" max="728" width="15" style="6" bestFit="1" customWidth="1"/>
    <col min="729" max="729" width="15.296875" style="6" bestFit="1" customWidth="1"/>
    <col min="730" max="733" width="15" style="6" bestFit="1" customWidth="1"/>
    <col min="734" max="735" width="16.09765625" style="6" bestFit="1" customWidth="1"/>
    <col min="736" max="736" width="15" style="6" bestFit="1" customWidth="1"/>
    <col min="737" max="738" width="15.296875" style="6" bestFit="1" customWidth="1"/>
    <col min="739" max="740" width="15" style="6" bestFit="1" customWidth="1"/>
    <col min="741" max="741" width="17" style="6" bestFit="1" customWidth="1"/>
    <col min="742" max="746" width="15.3984375" style="6" bestFit="1" customWidth="1"/>
    <col min="747" max="747" width="15.296875" style="6" bestFit="1" customWidth="1"/>
    <col min="748" max="748" width="15.3984375" style="6" bestFit="1" customWidth="1"/>
    <col min="749" max="749" width="15.296875" style="6" bestFit="1" customWidth="1"/>
    <col min="750" max="750" width="16.09765625" style="6" bestFit="1" customWidth="1"/>
    <col min="751" max="752" width="15.3984375" style="6" bestFit="1" customWidth="1"/>
    <col min="753" max="753" width="15.296875" style="6" bestFit="1" customWidth="1"/>
    <col min="754" max="754" width="15" style="6" bestFit="1" customWidth="1"/>
    <col min="755" max="755" width="16.09765625" style="6" bestFit="1" customWidth="1"/>
    <col min="756" max="756" width="14.296875" style="6" bestFit="1" customWidth="1"/>
    <col min="757" max="758" width="15" style="6" bestFit="1" customWidth="1"/>
    <col min="759" max="760" width="15.3984375" style="6" bestFit="1" customWidth="1"/>
    <col min="761" max="761" width="17" style="6" bestFit="1" customWidth="1"/>
    <col min="762" max="764" width="15.3984375" style="6" bestFit="1" customWidth="1"/>
    <col min="765" max="766" width="15" style="6" bestFit="1" customWidth="1"/>
    <col min="767" max="767" width="15.3984375" style="6" bestFit="1" customWidth="1"/>
    <col min="768" max="768" width="16.09765625" style="6" bestFit="1" customWidth="1"/>
    <col min="769" max="769" width="15" style="6" bestFit="1" customWidth="1"/>
    <col min="770" max="772" width="15.3984375" style="6" bestFit="1" customWidth="1"/>
    <col min="773" max="773" width="15" style="6" bestFit="1" customWidth="1"/>
    <col min="774" max="774" width="15.3984375" style="6" bestFit="1" customWidth="1"/>
    <col min="775" max="776" width="15" style="6" bestFit="1" customWidth="1"/>
    <col min="777" max="777" width="15.296875" style="6" bestFit="1" customWidth="1"/>
    <col min="778" max="780" width="15" style="6" bestFit="1" customWidth="1"/>
    <col min="781" max="782" width="15.3984375" style="6" bestFit="1" customWidth="1"/>
    <col min="783" max="783" width="14.296875" style="6" bestFit="1" customWidth="1"/>
    <col min="784" max="785" width="15" style="6" bestFit="1" customWidth="1"/>
    <col min="786" max="786" width="14.296875" style="6" bestFit="1" customWidth="1"/>
    <col min="787" max="788" width="15" style="6" bestFit="1" customWidth="1"/>
    <col min="789" max="789" width="15.3984375" style="6" bestFit="1" customWidth="1"/>
    <col min="790" max="790" width="17" style="6" bestFit="1" customWidth="1"/>
    <col min="791" max="793" width="15.3984375" style="6" bestFit="1" customWidth="1"/>
    <col min="794" max="794" width="16.09765625" style="6" bestFit="1" customWidth="1"/>
    <col min="795" max="795" width="14.296875" style="6" bestFit="1" customWidth="1"/>
    <col min="796" max="797" width="15.296875" style="6" bestFit="1" customWidth="1"/>
    <col min="798" max="798" width="14.296875" style="6" bestFit="1" customWidth="1"/>
    <col min="799" max="799" width="17" style="6" bestFit="1" customWidth="1"/>
    <col min="800" max="801" width="16.09765625" style="6" bestFit="1" customWidth="1"/>
    <col min="802" max="802" width="15" style="6" bestFit="1" customWidth="1"/>
    <col min="803" max="805" width="15.3984375" style="6" bestFit="1" customWidth="1"/>
    <col min="806" max="807" width="15.296875" style="6" bestFit="1" customWidth="1"/>
    <col min="808" max="810" width="15.3984375" style="6" bestFit="1" customWidth="1"/>
    <col min="811" max="811" width="15" style="6" bestFit="1" customWidth="1"/>
    <col min="812" max="814" width="15.3984375" style="6" bestFit="1" customWidth="1"/>
    <col min="815" max="815" width="15" style="6" bestFit="1" customWidth="1"/>
    <col min="816" max="816" width="15.3984375" style="6" bestFit="1" customWidth="1"/>
    <col min="817" max="817" width="15.296875" style="6" bestFit="1" customWidth="1"/>
    <col min="818" max="818" width="15.3984375" style="6" bestFit="1" customWidth="1"/>
    <col min="819" max="819" width="17" style="6" bestFit="1" customWidth="1"/>
    <col min="820" max="822" width="15.3984375" style="6" bestFit="1" customWidth="1"/>
    <col min="823" max="823" width="15" style="6" bestFit="1" customWidth="1"/>
    <col min="824" max="824" width="15.3984375" style="6" bestFit="1" customWidth="1"/>
    <col min="825" max="825" width="15" style="6" bestFit="1" customWidth="1"/>
    <col min="826" max="826" width="15.3984375" style="6" bestFit="1" customWidth="1"/>
    <col min="827" max="827" width="15" style="6" bestFit="1" customWidth="1"/>
    <col min="828" max="828" width="15.296875" style="6" bestFit="1" customWidth="1"/>
    <col min="829" max="829" width="16.09765625" style="6" bestFit="1" customWidth="1"/>
    <col min="830" max="840" width="15.3984375" style="6" bestFit="1" customWidth="1"/>
    <col min="841" max="841" width="17" style="6" bestFit="1" customWidth="1"/>
    <col min="842" max="846" width="15.3984375" style="6" bestFit="1" customWidth="1"/>
    <col min="847" max="847" width="15" style="6" bestFit="1" customWidth="1"/>
    <col min="848" max="849" width="15.3984375" style="6" bestFit="1" customWidth="1"/>
    <col min="850" max="850" width="15" style="6" bestFit="1" customWidth="1"/>
    <col min="851" max="852" width="15.3984375" style="6" bestFit="1" customWidth="1"/>
    <col min="853" max="853" width="17" style="6" bestFit="1" customWidth="1"/>
    <col min="854" max="860" width="15.3984375" style="6" bestFit="1" customWidth="1"/>
    <col min="861" max="861" width="15.296875" style="6" bestFit="1" customWidth="1"/>
    <col min="862" max="862" width="15.3984375" style="6" bestFit="1" customWidth="1"/>
    <col min="863" max="863" width="15" style="6" bestFit="1" customWidth="1"/>
    <col min="864" max="864" width="17" style="6" bestFit="1" customWidth="1"/>
    <col min="865" max="869" width="15.3984375" style="6" bestFit="1" customWidth="1"/>
    <col min="870" max="870" width="15" style="6" bestFit="1" customWidth="1"/>
    <col min="871" max="871" width="15.3984375" style="6" bestFit="1" customWidth="1"/>
    <col min="872" max="873" width="17" style="6" bestFit="1" customWidth="1"/>
    <col min="874" max="879" width="15.3984375" style="6" bestFit="1" customWidth="1"/>
    <col min="880" max="880" width="15.296875" style="6" bestFit="1" customWidth="1"/>
    <col min="881" max="885" width="15.3984375" style="6" bestFit="1" customWidth="1"/>
    <col min="886" max="886" width="15" style="6" bestFit="1" customWidth="1"/>
    <col min="887" max="887" width="15.3984375" style="6" bestFit="1" customWidth="1"/>
    <col min="888" max="888" width="15" style="6" bestFit="1" customWidth="1"/>
    <col min="889" max="889" width="16.09765625" style="6" bestFit="1" customWidth="1"/>
    <col min="890" max="890" width="15.3984375" style="6" bestFit="1" customWidth="1"/>
    <col min="891" max="891" width="15" style="6" bestFit="1" customWidth="1"/>
    <col min="892" max="893" width="15.3984375" style="6" bestFit="1" customWidth="1"/>
    <col min="894" max="895" width="15" style="6" bestFit="1" customWidth="1"/>
    <col min="896" max="904" width="19.296875" style="6" bestFit="1" customWidth="1"/>
    <col min="905" max="906" width="8.8984375" style="6"/>
    <col min="907" max="907" width="16.09765625" style="6" bestFit="1" customWidth="1"/>
    <col min="908" max="908" width="105.3984375" style="6" bestFit="1" customWidth="1"/>
    <col min="909" max="16384" width="8.8984375" style="6"/>
  </cols>
  <sheetData>
    <row r="1" spans="1:905" x14ac:dyDescent="0.7">
      <c r="A1" s="593" t="s">
        <v>6387</v>
      </c>
      <c r="B1" s="593"/>
      <c r="C1" s="593"/>
      <c r="D1" s="6">
        <v>1</v>
      </c>
      <c r="E1" s="6">
        <v>1</v>
      </c>
      <c r="F1" s="6">
        <v>1</v>
      </c>
      <c r="G1" s="6">
        <v>1</v>
      </c>
      <c r="H1" s="6">
        <v>1</v>
      </c>
      <c r="I1" s="6">
        <v>1</v>
      </c>
      <c r="J1" s="6">
        <v>1</v>
      </c>
      <c r="K1" s="6">
        <v>1</v>
      </c>
      <c r="L1" s="6">
        <v>1</v>
      </c>
      <c r="M1" s="6">
        <v>1</v>
      </c>
      <c r="N1" s="6">
        <v>1</v>
      </c>
      <c r="O1" s="6">
        <v>1</v>
      </c>
      <c r="P1" s="6">
        <v>1</v>
      </c>
      <c r="Q1" s="6">
        <v>1</v>
      </c>
      <c r="R1" s="6">
        <v>1</v>
      </c>
      <c r="S1" s="6">
        <v>1</v>
      </c>
      <c r="T1" s="6">
        <v>1</v>
      </c>
      <c r="U1" s="6">
        <v>1</v>
      </c>
      <c r="V1" s="6">
        <v>1</v>
      </c>
      <c r="W1" s="6">
        <v>1</v>
      </c>
      <c r="X1" s="6">
        <v>1</v>
      </c>
      <c r="Y1" s="6">
        <v>1</v>
      </c>
      <c r="Z1" s="6">
        <v>1</v>
      </c>
      <c r="AA1" s="6">
        <v>1</v>
      </c>
      <c r="AB1" s="6">
        <v>1</v>
      </c>
      <c r="AC1" s="6">
        <v>1</v>
      </c>
      <c r="AD1" s="6">
        <v>1</v>
      </c>
      <c r="AE1" s="6">
        <v>1</v>
      </c>
      <c r="AF1" s="6">
        <v>1</v>
      </c>
      <c r="AG1" s="6">
        <v>1</v>
      </c>
      <c r="AH1" s="6">
        <v>1</v>
      </c>
      <c r="AI1" s="6">
        <v>1</v>
      </c>
      <c r="AJ1" s="6">
        <v>1</v>
      </c>
      <c r="AK1" s="6">
        <v>1</v>
      </c>
      <c r="AL1" s="6">
        <v>1</v>
      </c>
      <c r="AM1" s="6">
        <v>1</v>
      </c>
      <c r="AN1" s="6">
        <v>1</v>
      </c>
      <c r="AO1" s="6">
        <v>1</v>
      </c>
      <c r="AP1" s="6">
        <v>1</v>
      </c>
      <c r="AQ1" s="6">
        <v>1</v>
      </c>
      <c r="AR1" s="6">
        <v>1</v>
      </c>
      <c r="AS1" s="6">
        <v>1</v>
      </c>
      <c r="AT1" s="6">
        <v>1</v>
      </c>
      <c r="AU1" s="6">
        <v>1</v>
      </c>
      <c r="AV1" s="6">
        <v>1</v>
      </c>
      <c r="AW1" s="6">
        <v>1</v>
      </c>
      <c r="AX1" s="6">
        <v>1</v>
      </c>
      <c r="AY1" s="6">
        <v>1</v>
      </c>
      <c r="AZ1" s="6">
        <v>1</v>
      </c>
      <c r="BA1" s="6">
        <v>1</v>
      </c>
      <c r="BB1" s="6">
        <v>1</v>
      </c>
      <c r="BC1" s="6">
        <v>1</v>
      </c>
      <c r="BD1" s="6">
        <v>1</v>
      </c>
      <c r="BE1" s="6">
        <v>1</v>
      </c>
      <c r="BF1" s="6">
        <v>1</v>
      </c>
      <c r="BG1" s="6">
        <v>1</v>
      </c>
      <c r="BH1" s="6">
        <v>1</v>
      </c>
      <c r="BI1" s="6">
        <v>1</v>
      </c>
      <c r="BJ1" s="6">
        <v>1</v>
      </c>
      <c r="BK1" s="6">
        <v>1</v>
      </c>
      <c r="BL1" s="6">
        <v>1</v>
      </c>
      <c r="BM1" s="6">
        <v>1</v>
      </c>
      <c r="BN1" s="6">
        <v>1</v>
      </c>
      <c r="BO1" s="6">
        <v>1</v>
      </c>
      <c r="BP1" s="6">
        <v>1</v>
      </c>
      <c r="BQ1" s="6">
        <v>1</v>
      </c>
      <c r="BR1" s="6">
        <v>1</v>
      </c>
      <c r="BS1" s="6">
        <v>1</v>
      </c>
      <c r="BT1" s="6">
        <v>1</v>
      </c>
      <c r="BU1" s="6">
        <v>1</v>
      </c>
      <c r="BV1" s="6">
        <v>1</v>
      </c>
      <c r="BW1" s="6">
        <v>1</v>
      </c>
      <c r="BX1" s="6">
        <v>1</v>
      </c>
      <c r="BY1" s="6">
        <v>1</v>
      </c>
      <c r="BZ1" s="6">
        <v>1</v>
      </c>
      <c r="CA1" s="6">
        <v>1</v>
      </c>
      <c r="CB1" s="6">
        <v>1</v>
      </c>
      <c r="CC1" s="6">
        <v>1</v>
      </c>
      <c r="CD1" s="6">
        <v>1</v>
      </c>
      <c r="CE1" s="6">
        <v>1</v>
      </c>
      <c r="CF1" s="6">
        <v>1</v>
      </c>
      <c r="CG1" s="6">
        <v>1</v>
      </c>
      <c r="CH1" s="6">
        <v>1</v>
      </c>
      <c r="CI1" s="6">
        <v>1</v>
      </c>
      <c r="CJ1" s="6">
        <v>1</v>
      </c>
      <c r="CK1" s="6">
        <v>1</v>
      </c>
      <c r="CL1" s="6">
        <v>1</v>
      </c>
      <c r="CM1" s="6">
        <v>1</v>
      </c>
      <c r="CN1" s="6">
        <v>1</v>
      </c>
      <c r="CO1" s="6">
        <v>1</v>
      </c>
      <c r="CP1" s="6">
        <v>1</v>
      </c>
      <c r="CQ1" s="6">
        <v>1</v>
      </c>
      <c r="CR1" s="6">
        <v>1</v>
      </c>
      <c r="CS1" s="6">
        <v>1</v>
      </c>
      <c r="CT1" s="6">
        <v>1</v>
      </c>
      <c r="CU1" s="6">
        <v>1</v>
      </c>
      <c r="CV1" s="6">
        <v>1</v>
      </c>
      <c r="CW1" s="6">
        <v>1</v>
      </c>
      <c r="CX1" s="6">
        <v>1</v>
      </c>
      <c r="CY1" s="6">
        <v>1</v>
      </c>
      <c r="CZ1" s="6">
        <v>1</v>
      </c>
      <c r="DA1" s="6">
        <v>1</v>
      </c>
      <c r="DB1" s="6">
        <v>2</v>
      </c>
      <c r="DC1" s="6">
        <v>2</v>
      </c>
      <c r="DD1" s="6">
        <v>2</v>
      </c>
      <c r="DE1" s="6">
        <v>2</v>
      </c>
      <c r="DF1" s="6">
        <v>2</v>
      </c>
      <c r="DG1" s="6">
        <v>2</v>
      </c>
      <c r="DH1" s="6">
        <v>2</v>
      </c>
      <c r="DI1" s="6">
        <v>2</v>
      </c>
      <c r="DJ1" s="6">
        <v>2</v>
      </c>
      <c r="DK1" s="6">
        <v>2</v>
      </c>
      <c r="DL1" s="6">
        <v>2</v>
      </c>
      <c r="DM1" s="6">
        <v>2</v>
      </c>
      <c r="DN1" s="6">
        <v>2</v>
      </c>
      <c r="DO1" s="6">
        <v>2</v>
      </c>
      <c r="DP1" s="6">
        <v>2</v>
      </c>
      <c r="DQ1" s="6">
        <v>2</v>
      </c>
      <c r="DR1" s="6">
        <v>2</v>
      </c>
      <c r="DS1" s="6">
        <v>2</v>
      </c>
      <c r="DT1" s="6">
        <v>2</v>
      </c>
      <c r="DU1" s="6">
        <v>2</v>
      </c>
      <c r="DV1" s="6">
        <v>2</v>
      </c>
      <c r="DW1" s="6">
        <v>2</v>
      </c>
      <c r="DX1" s="6">
        <v>2</v>
      </c>
      <c r="DY1" s="6">
        <v>2</v>
      </c>
      <c r="DZ1" s="6">
        <v>2</v>
      </c>
      <c r="EA1" s="6">
        <v>2</v>
      </c>
      <c r="EB1" s="6">
        <v>2</v>
      </c>
      <c r="EC1" s="6">
        <v>2</v>
      </c>
      <c r="ED1" s="6">
        <v>2</v>
      </c>
      <c r="EE1" s="6">
        <v>2</v>
      </c>
      <c r="EF1" s="6">
        <v>2</v>
      </c>
      <c r="EG1" s="6">
        <v>2</v>
      </c>
      <c r="EH1" s="6">
        <v>2</v>
      </c>
      <c r="EI1" s="6">
        <v>2</v>
      </c>
      <c r="EJ1" s="6">
        <v>2</v>
      </c>
      <c r="EK1" s="6">
        <v>2</v>
      </c>
      <c r="EL1" s="6">
        <v>2</v>
      </c>
      <c r="EM1" s="6">
        <v>2</v>
      </c>
      <c r="EN1" s="6">
        <v>2</v>
      </c>
      <c r="EO1" s="6">
        <v>2</v>
      </c>
      <c r="EP1" s="6">
        <v>2</v>
      </c>
      <c r="EQ1" s="6">
        <v>2</v>
      </c>
      <c r="ER1" s="6">
        <v>2</v>
      </c>
      <c r="ES1" s="6">
        <v>2</v>
      </c>
      <c r="ET1" s="6">
        <v>2</v>
      </c>
      <c r="EU1" s="6">
        <v>2</v>
      </c>
      <c r="EV1" s="6">
        <v>2</v>
      </c>
      <c r="EW1" s="6">
        <v>3</v>
      </c>
      <c r="EX1" s="6">
        <v>3</v>
      </c>
      <c r="EY1" s="6">
        <v>3</v>
      </c>
      <c r="EZ1" s="6">
        <v>3</v>
      </c>
      <c r="FA1" s="6">
        <v>3</v>
      </c>
      <c r="FB1" s="6">
        <v>3</v>
      </c>
      <c r="FC1" s="6">
        <v>3</v>
      </c>
      <c r="FD1" s="6">
        <v>3</v>
      </c>
      <c r="FE1" s="6">
        <v>3</v>
      </c>
      <c r="FF1" s="6">
        <v>3</v>
      </c>
      <c r="FG1" s="6">
        <v>3</v>
      </c>
      <c r="FH1" s="6">
        <v>3</v>
      </c>
      <c r="FI1" s="6">
        <v>3</v>
      </c>
      <c r="FJ1" s="6">
        <v>3</v>
      </c>
      <c r="FK1" s="6">
        <v>3</v>
      </c>
      <c r="FL1" s="6">
        <v>3</v>
      </c>
      <c r="FM1" s="6">
        <v>3</v>
      </c>
      <c r="FN1" s="6">
        <v>3</v>
      </c>
      <c r="FO1" s="6">
        <v>3</v>
      </c>
      <c r="FP1" s="6">
        <v>3</v>
      </c>
      <c r="FQ1" s="6">
        <v>3</v>
      </c>
      <c r="FR1" s="6">
        <v>3</v>
      </c>
      <c r="FS1" s="6">
        <v>3</v>
      </c>
      <c r="FT1" s="6">
        <v>3</v>
      </c>
      <c r="FU1" s="6">
        <v>3</v>
      </c>
      <c r="FV1" s="6">
        <v>3</v>
      </c>
      <c r="FW1" s="6">
        <v>3</v>
      </c>
      <c r="FX1" s="6">
        <v>3</v>
      </c>
      <c r="FY1" s="6">
        <v>3</v>
      </c>
      <c r="FZ1" s="6">
        <v>3</v>
      </c>
      <c r="GA1" s="6">
        <v>3</v>
      </c>
      <c r="GB1" s="6">
        <v>3</v>
      </c>
      <c r="GC1" s="6">
        <v>3</v>
      </c>
      <c r="GD1" s="6">
        <v>3</v>
      </c>
      <c r="GE1" s="6">
        <v>3</v>
      </c>
      <c r="GF1" s="6">
        <v>3</v>
      </c>
      <c r="GG1" s="6">
        <v>3</v>
      </c>
      <c r="GH1" s="6">
        <v>3</v>
      </c>
      <c r="GI1" s="6">
        <v>3</v>
      </c>
      <c r="GJ1" s="6">
        <v>3</v>
      </c>
      <c r="GK1" s="6">
        <v>3</v>
      </c>
      <c r="GL1" s="6">
        <v>3</v>
      </c>
      <c r="GM1" s="6">
        <v>3</v>
      </c>
      <c r="GN1" s="6">
        <v>3</v>
      </c>
      <c r="GO1" s="6">
        <v>3</v>
      </c>
      <c r="GP1" s="6">
        <v>3</v>
      </c>
      <c r="GQ1" s="6">
        <v>3</v>
      </c>
      <c r="GR1" s="6">
        <v>3</v>
      </c>
      <c r="GS1" s="6">
        <v>3</v>
      </c>
      <c r="GT1" s="6">
        <v>3</v>
      </c>
      <c r="GU1" s="6">
        <v>3</v>
      </c>
      <c r="GV1" s="6">
        <v>3</v>
      </c>
      <c r="GW1" s="6">
        <v>3</v>
      </c>
      <c r="GX1" s="6">
        <v>3</v>
      </c>
      <c r="GY1" s="6">
        <v>4</v>
      </c>
      <c r="GZ1" s="6">
        <v>4</v>
      </c>
      <c r="HA1" s="6">
        <v>4</v>
      </c>
      <c r="HB1" s="6">
        <v>4</v>
      </c>
      <c r="HC1" s="6">
        <v>4</v>
      </c>
      <c r="HD1" s="6">
        <v>4</v>
      </c>
      <c r="HE1" s="6">
        <v>4</v>
      </c>
      <c r="HF1" s="6">
        <v>4</v>
      </c>
      <c r="HG1" s="6">
        <v>4</v>
      </c>
      <c r="HH1" s="6">
        <v>4</v>
      </c>
      <c r="HI1" s="6">
        <v>4</v>
      </c>
      <c r="HJ1" s="6">
        <v>4</v>
      </c>
      <c r="HK1" s="6">
        <v>4</v>
      </c>
      <c r="HL1" s="6">
        <v>4</v>
      </c>
      <c r="HM1" s="6">
        <v>4</v>
      </c>
      <c r="HN1" s="6">
        <v>4</v>
      </c>
      <c r="HO1" s="6">
        <v>4</v>
      </c>
      <c r="HP1" s="6">
        <v>4</v>
      </c>
      <c r="HQ1" s="6">
        <v>4</v>
      </c>
      <c r="HR1" s="6">
        <v>4</v>
      </c>
      <c r="HS1" s="6">
        <v>4</v>
      </c>
      <c r="HT1" s="6">
        <v>4</v>
      </c>
      <c r="HU1" s="6">
        <v>4</v>
      </c>
      <c r="HV1" s="6">
        <v>4</v>
      </c>
      <c r="HW1" s="6">
        <v>4</v>
      </c>
      <c r="HX1" s="6">
        <v>4</v>
      </c>
      <c r="HY1" s="6">
        <v>4</v>
      </c>
      <c r="HZ1" s="6">
        <v>4</v>
      </c>
      <c r="IA1" s="6">
        <v>4</v>
      </c>
      <c r="IB1" s="6">
        <v>4</v>
      </c>
      <c r="IC1" s="6">
        <v>4</v>
      </c>
      <c r="ID1" s="6">
        <v>4</v>
      </c>
      <c r="IE1" s="6">
        <v>4</v>
      </c>
      <c r="IF1" s="6">
        <v>4</v>
      </c>
      <c r="IG1" s="6">
        <v>4</v>
      </c>
      <c r="IH1" s="6">
        <v>4</v>
      </c>
      <c r="II1" s="6">
        <v>4</v>
      </c>
      <c r="IJ1" s="6">
        <v>4</v>
      </c>
      <c r="IK1" s="6">
        <v>4</v>
      </c>
      <c r="IL1" s="6">
        <v>4</v>
      </c>
      <c r="IM1" s="6">
        <v>4</v>
      </c>
      <c r="IN1" s="6">
        <v>4</v>
      </c>
      <c r="IO1" s="6">
        <v>4</v>
      </c>
      <c r="IP1" s="6">
        <v>4</v>
      </c>
      <c r="IQ1" s="6">
        <v>4</v>
      </c>
      <c r="IR1" s="6">
        <v>4</v>
      </c>
      <c r="IS1" s="6">
        <v>4</v>
      </c>
      <c r="IT1" s="6">
        <v>4</v>
      </c>
      <c r="IU1" s="6">
        <v>4</v>
      </c>
      <c r="IV1" s="6">
        <v>4</v>
      </c>
      <c r="IW1" s="6">
        <v>4</v>
      </c>
      <c r="IX1" s="6">
        <v>4</v>
      </c>
      <c r="IY1" s="6">
        <v>4</v>
      </c>
      <c r="IZ1" s="6">
        <v>4</v>
      </c>
      <c r="JA1" s="6">
        <v>4</v>
      </c>
      <c r="JB1" s="6">
        <v>4</v>
      </c>
      <c r="JC1" s="6">
        <v>4</v>
      </c>
      <c r="JD1" s="6">
        <v>4</v>
      </c>
      <c r="JE1" s="6">
        <v>4</v>
      </c>
      <c r="JF1" s="6">
        <v>4</v>
      </c>
      <c r="JG1" s="6">
        <v>4</v>
      </c>
      <c r="JH1" s="6">
        <v>4</v>
      </c>
      <c r="JI1" s="6">
        <v>4</v>
      </c>
      <c r="JJ1" s="6">
        <v>4</v>
      </c>
      <c r="JK1" s="6">
        <v>4</v>
      </c>
      <c r="JL1" s="6">
        <v>4</v>
      </c>
      <c r="JM1" s="6">
        <v>4</v>
      </c>
      <c r="JN1" s="6">
        <v>4</v>
      </c>
      <c r="JO1" s="6">
        <v>4</v>
      </c>
      <c r="JP1" s="6">
        <v>4</v>
      </c>
      <c r="JQ1" s="6">
        <v>4</v>
      </c>
      <c r="JR1" s="6">
        <v>4</v>
      </c>
      <c r="JS1" s="6">
        <v>5</v>
      </c>
      <c r="JT1" s="6">
        <v>5</v>
      </c>
      <c r="JU1" s="6">
        <v>5</v>
      </c>
      <c r="JV1" s="6">
        <v>5</v>
      </c>
      <c r="JW1" s="6">
        <v>5</v>
      </c>
      <c r="JX1" s="6">
        <v>5</v>
      </c>
      <c r="JY1" s="6">
        <v>5</v>
      </c>
      <c r="JZ1" s="6">
        <v>5</v>
      </c>
      <c r="KA1" s="6">
        <v>5</v>
      </c>
      <c r="KB1" s="6">
        <v>5</v>
      </c>
      <c r="KC1" s="6">
        <v>5</v>
      </c>
      <c r="KD1" s="6">
        <v>5</v>
      </c>
      <c r="KE1" s="6">
        <v>5</v>
      </c>
      <c r="KF1" s="6">
        <v>5</v>
      </c>
      <c r="KG1" s="6">
        <v>5</v>
      </c>
      <c r="KH1" s="6">
        <v>5</v>
      </c>
      <c r="KI1" s="6">
        <v>5</v>
      </c>
      <c r="KJ1" s="6">
        <v>5</v>
      </c>
      <c r="KK1" s="6">
        <v>5</v>
      </c>
      <c r="KL1" s="6">
        <v>5</v>
      </c>
      <c r="KM1" s="6">
        <v>5</v>
      </c>
      <c r="KN1" s="6">
        <v>5</v>
      </c>
      <c r="KO1" s="6">
        <v>5</v>
      </c>
      <c r="KP1" s="6">
        <v>5</v>
      </c>
      <c r="KQ1" s="6">
        <v>5</v>
      </c>
      <c r="KR1" s="6">
        <v>5</v>
      </c>
      <c r="KS1" s="6">
        <v>5</v>
      </c>
      <c r="KT1" s="6">
        <v>5</v>
      </c>
      <c r="KU1" s="6">
        <v>5</v>
      </c>
      <c r="KV1" s="6">
        <v>5</v>
      </c>
      <c r="KW1" s="6">
        <v>5</v>
      </c>
      <c r="KX1" s="6">
        <v>5</v>
      </c>
      <c r="KY1" s="6">
        <v>5</v>
      </c>
      <c r="KZ1" s="6">
        <v>5</v>
      </c>
      <c r="LA1" s="6">
        <v>5</v>
      </c>
      <c r="LB1" s="6">
        <v>5</v>
      </c>
      <c r="LC1" s="6">
        <v>5</v>
      </c>
      <c r="LD1" s="6">
        <v>5</v>
      </c>
      <c r="LE1" s="6">
        <v>5</v>
      </c>
      <c r="LF1" s="6">
        <v>5</v>
      </c>
      <c r="LG1" s="6">
        <v>5</v>
      </c>
      <c r="LH1" s="6">
        <v>5</v>
      </c>
      <c r="LI1" s="6">
        <v>5</v>
      </c>
      <c r="LJ1" s="6">
        <v>5</v>
      </c>
      <c r="LK1" s="6">
        <v>5</v>
      </c>
      <c r="LL1" s="6">
        <v>5</v>
      </c>
      <c r="LM1" s="6">
        <v>5</v>
      </c>
      <c r="LN1" s="6">
        <v>5</v>
      </c>
      <c r="LO1" s="6">
        <v>5</v>
      </c>
      <c r="LP1" s="6">
        <v>5</v>
      </c>
      <c r="LQ1" s="6">
        <v>5</v>
      </c>
      <c r="LR1" s="6">
        <v>5</v>
      </c>
      <c r="LS1" s="6">
        <v>5</v>
      </c>
      <c r="LT1" s="6">
        <v>5</v>
      </c>
      <c r="LU1" s="6">
        <v>5</v>
      </c>
      <c r="LV1" s="6">
        <v>5</v>
      </c>
      <c r="LW1" s="6">
        <v>5</v>
      </c>
      <c r="LX1" s="6">
        <v>5</v>
      </c>
      <c r="LY1" s="6">
        <v>5</v>
      </c>
      <c r="LZ1" s="6">
        <v>5</v>
      </c>
      <c r="MA1" s="6">
        <v>5</v>
      </c>
      <c r="MB1" s="6">
        <v>5</v>
      </c>
      <c r="MC1" s="6">
        <v>5</v>
      </c>
      <c r="MD1" s="6">
        <v>5</v>
      </c>
      <c r="ME1" s="6">
        <v>5</v>
      </c>
      <c r="MF1" s="6">
        <v>5</v>
      </c>
      <c r="MG1" s="6">
        <v>5</v>
      </c>
      <c r="MH1" s="6">
        <v>6</v>
      </c>
      <c r="MI1" s="6">
        <v>6</v>
      </c>
      <c r="MJ1" s="6">
        <v>6</v>
      </c>
      <c r="MK1" s="6">
        <v>6</v>
      </c>
      <c r="ML1" s="6">
        <v>6</v>
      </c>
      <c r="MM1" s="6">
        <v>6</v>
      </c>
      <c r="MN1" s="6">
        <v>6</v>
      </c>
      <c r="MO1" s="6">
        <v>6</v>
      </c>
      <c r="MP1" s="6">
        <v>6</v>
      </c>
      <c r="MQ1" s="6">
        <v>6</v>
      </c>
      <c r="MR1" s="6">
        <v>6</v>
      </c>
      <c r="MS1" s="6">
        <v>6</v>
      </c>
      <c r="MT1" s="6">
        <v>6</v>
      </c>
      <c r="MU1" s="6">
        <v>6</v>
      </c>
      <c r="MV1" s="6">
        <v>6</v>
      </c>
      <c r="MW1" s="6">
        <v>6</v>
      </c>
      <c r="MX1" s="6">
        <v>6</v>
      </c>
      <c r="MY1" s="6">
        <v>6</v>
      </c>
      <c r="MZ1" s="6">
        <v>6</v>
      </c>
      <c r="NA1" s="6">
        <v>6</v>
      </c>
      <c r="NB1" s="6">
        <v>6</v>
      </c>
      <c r="NC1" s="6">
        <v>6</v>
      </c>
      <c r="ND1" s="6">
        <v>6</v>
      </c>
      <c r="NE1" s="6">
        <v>6</v>
      </c>
      <c r="NF1" s="6">
        <v>6</v>
      </c>
      <c r="NG1" s="6">
        <v>6</v>
      </c>
      <c r="NH1" s="6">
        <v>6</v>
      </c>
      <c r="NI1" s="6">
        <v>6</v>
      </c>
      <c r="NJ1" s="6">
        <v>6</v>
      </c>
      <c r="NK1" s="6">
        <v>6</v>
      </c>
      <c r="NL1" s="6">
        <v>6</v>
      </c>
      <c r="NM1" s="6">
        <v>6</v>
      </c>
      <c r="NN1" s="6">
        <v>6</v>
      </c>
      <c r="NO1" s="6">
        <v>6</v>
      </c>
      <c r="NP1" s="6">
        <v>6</v>
      </c>
      <c r="NQ1" s="6">
        <v>6</v>
      </c>
      <c r="NR1" s="6">
        <v>6</v>
      </c>
      <c r="NS1" s="6">
        <v>6</v>
      </c>
      <c r="NT1" s="6">
        <v>6</v>
      </c>
      <c r="NU1" s="6">
        <v>6</v>
      </c>
      <c r="NV1" s="6">
        <v>6</v>
      </c>
      <c r="NW1" s="6">
        <v>6</v>
      </c>
      <c r="NX1" s="6">
        <v>6</v>
      </c>
      <c r="NY1" s="6">
        <v>6</v>
      </c>
      <c r="NZ1" s="6">
        <v>6</v>
      </c>
      <c r="OA1" s="6">
        <v>6</v>
      </c>
      <c r="OB1" s="6">
        <v>6</v>
      </c>
      <c r="OC1" s="6">
        <v>6</v>
      </c>
      <c r="OD1" s="6">
        <v>6</v>
      </c>
      <c r="OE1" s="6">
        <v>6</v>
      </c>
      <c r="OF1" s="6">
        <v>6</v>
      </c>
      <c r="OG1" s="6">
        <v>6</v>
      </c>
      <c r="OH1" s="6">
        <v>6</v>
      </c>
      <c r="OI1" s="6">
        <v>6</v>
      </c>
      <c r="OJ1" s="6">
        <v>6</v>
      </c>
      <c r="OK1" s="6">
        <v>6</v>
      </c>
      <c r="OL1" s="6">
        <v>6</v>
      </c>
      <c r="OM1" s="6">
        <v>6</v>
      </c>
      <c r="ON1" s="6">
        <v>6</v>
      </c>
      <c r="OO1" s="6">
        <v>6</v>
      </c>
      <c r="OP1" s="6">
        <v>6</v>
      </c>
      <c r="OQ1" s="6">
        <v>6</v>
      </c>
      <c r="OR1" s="6">
        <v>6</v>
      </c>
      <c r="OS1" s="6">
        <v>6</v>
      </c>
      <c r="OT1" s="6">
        <v>6</v>
      </c>
      <c r="OU1" s="6">
        <v>6</v>
      </c>
      <c r="OV1" s="6">
        <v>6</v>
      </c>
      <c r="OW1" s="6">
        <v>6</v>
      </c>
      <c r="OX1" s="6">
        <v>6</v>
      </c>
      <c r="OY1" s="6">
        <v>6</v>
      </c>
      <c r="OZ1" s="6">
        <v>6</v>
      </c>
      <c r="PA1" s="6">
        <v>6</v>
      </c>
      <c r="PB1" s="6">
        <v>6</v>
      </c>
      <c r="PC1" s="6">
        <v>7</v>
      </c>
      <c r="PD1" s="6">
        <v>7</v>
      </c>
      <c r="PE1" s="6">
        <v>7</v>
      </c>
      <c r="PF1" s="6">
        <v>7</v>
      </c>
      <c r="PG1" s="6">
        <v>7</v>
      </c>
      <c r="PH1" s="6">
        <v>7</v>
      </c>
      <c r="PI1" s="6">
        <v>7</v>
      </c>
      <c r="PJ1" s="6">
        <v>7</v>
      </c>
      <c r="PK1" s="6">
        <v>7</v>
      </c>
      <c r="PL1" s="6">
        <v>7</v>
      </c>
      <c r="PM1" s="6">
        <v>7</v>
      </c>
      <c r="PN1" s="6">
        <v>7</v>
      </c>
      <c r="PO1" s="6">
        <v>7</v>
      </c>
      <c r="PP1" s="6">
        <v>7</v>
      </c>
      <c r="PQ1" s="6">
        <v>7</v>
      </c>
      <c r="PR1" s="6">
        <v>7</v>
      </c>
      <c r="PS1" s="6">
        <v>7</v>
      </c>
      <c r="PT1" s="6">
        <v>7</v>
      </c>
      <c r="PU1" s="6">
        <v>7</v>
      </c>
      <c r="PV1" s="6">
        <v>7</v>
      </c>
      <c r="PW1" s="6">
        <v>7</v>
      </c>
      <c r="PX1" s="6">
        <v>7</v>
      </c>
      <c r="PY1" s="6">
        <v>7</v>
      </c>
      <c r="PZ1" s="6">
        <v>7</v>
      </c>
      <c r="QA1" s="6">
        <v>7</v>
      </c>
      <c r="QB1" s="6">
        <v>7</v>
      </c>
      <c r="QC1" s="6">
        <v>7</v>
      </c>
      <c r="QD1" s="6">
        <v>7</v>
      </c>
      <c r="QE1" s="6">
        <v>7</v>
      </c>
      <c r="QF1" s="6">
        <v>7</v>
      </c>
      <c r="QG1" s="6">
        <v>7</v>
      </c>
      <c r="QH1" s="6">
        <v>7</v>
      </c>
      <c r="QI1" s="6">
        <v>7</v>
      </c>
      <c r="QJ1" s="6">
        <v>7</v>
      </c>
      <c r="QK1" s="6">
        <v>7</v>
      </c>
      <c r="QL1" s="6">
        <v>7</v>
      </c>
      <c r="QM1" s="6">
        <v>7</v>
      </c>
      <c r="QN1" s="6">
        <v>7</v>
      </c>
      <c r="QO1" s="6">
        <v>7</v>
      </c>
      <c r="QP1" s="6">
        <v>7</v>
      </c>
      <c r="QQ1" s="6">
        <v>7</v>
      </c>
      <c r="QR1" s="6">
        <v>7</v>
      </c>
      <c r="QS1" s="6">
        <v>7</v>
      </c>
      <c r="QT1" s="6">
        <v>7</v>
      </c>
      <c r="QU1" s="6">
        <v>7</v>
      </c>
      <c r="QV1" s="6">
        <v>7</v>
      </c>
      <c r="QW1" s="6">
        <v>7</v>
      </c>
      <c r="QX1" s="6">
        <v>7</v>
      </c>
      <c r="QY1" s="6">
        <v>7</v>
      </c>
      <c r="QZ1" s="6">
        <v>7</v>
      </c>
      <c r="RA1" s="6">
        <v>7</v>
      </c>
      <c r="RB1" s="6">
        <v>7</v>
      </c>
      <c r="RC1" s="6">
        <v>7</v>
      </c>
      <c r="RD1" s="6">
        <v>7</v>
      </c>
      <c r="RE1" s="6">
        <v>7</v>
      </c>
      <c r="RF1" s="6">
        <v>7</v>
      </c>
      <c r="RG1" s="6">
        <v>7</v>
      </c>
      <c r="RH1" s="6">
        <v>7</v>
      </c>
      <c r="RI1" s="6">
        <v>7</v>
      </c>
      <c r="RJ1" s="6">
        <v>7</v>
      </c>
      <c r="RK1" s="6">
        <v>7</v>
      </c>
      <c r="RL1" s="6">
        <v>7</v>
      </c>
      <c r="RM1" s="6">
        <v>7</v>
      </c>
      <c r="RN1" s="6">
        <v>7</v>
      </c>
      <c r="RO1" s="6">
        <v>7</v>
      </c>
      <c r="RP1" s="6">
        <v>7</v>
      </c>
      <c r="RQ1" s="6">
        <v>7</v>
      </c>
      <c r="RR1" s="6">
        <v>7</v>
      </c>
      <c r="RS1" s="6">
        <v>7</v>
      </c>
      <c r="RT1" s="6">
        <v>7</v>
      </c>
      <c r="RU1" s="6">
        <v>7</v>
      </c>
      <c r="RV1" s="6">
        <v>7</v>
      </c>
      <c r="RW1" s="6">
        <v>7</v>
      </c>
      <c r="RX1" s="6">
        <v>7</v>
      </c>
      <c r="RY1" s="6">
        <v>7</v>
      </c>
      <c r="RZ1" s="6">
        <v>7</v>
      </c>
      <c r="SA1" s="6">
        <v>7</v>
      </c>
      <c r="SB1" s="6">
        <v>8</v>
      </c>
      <c r="SC1" s="6">
        <v>8</v>
      </c>
      <c r="SD1" s="6">
        <v>8</v>
      </c>
      <c r="SE1" s="6">
        <v>8</v>
      </c>
      <c r="SF1" s="6">
        <v>8</v>
      </c>
      <c r="SG1" s="6">
        <v>8</v>
      </c>
      <c r="SH1" s="6">
        <v>8</v>
      </c>
      <c r="SI1" s="6">
        <v>8</v>
      </c>
      <c r="SJ1" s="6">
        <v>8</v>
      </c>
      <c r="SK1" s="6">
        <v>8</v>
      </c>
      <c r="SL1" s="6">
        <v>8</v>
      </c>
      <c r="SM1" s="6">
        <v>8</v>
      </c>
      <c r="SN1" s="6">
        <v>8</v>
      </c>
      <c r="SO1" s="6">
        <v>8</v>
      </c>
      <c r="SP1" s="6">
        <v>8</v>
      </c>
      <c r="SQ1" s="6">
        <v>8</v>
      </c>
      <c r="SR1" s="6">
        <v>8</v>
      </c>
      <c r="SS1" s="6">
        <v>8</v>
      </c>
      <c r="ST1" s="6">
        <v>8</v>
      </c>
      <c r="SU1" s="6">
        <v>8</v>
      </c>
      <c r="SV1" s="6">
        <v>8</v>
      </c>
      <c r="SW1" s="6">
        <v>8</v>
      </c>
      <c r="SX1" s="6">
        <v>8</v>
      </c>
      <c r="SY1" s="6">
        <v>8</v>
      </c>
      <c r="SZ1" s="6">
        <v>8</v>
      </c>
      <c r="TA1" s="6">
        <v>8</v>
      </c>
      <c r="TB1" s="6">
        <v>8</v>
      </c>
      <c r="TC1" s="6">
        <v>8</v>
      </c>
      <c r="TD1" s="6">
        <v>8</v>
      </c>
      <c r="TE1" s="6">
        <v>8</v>
      </c>
      <c r="TF1" s="6">
        <v>8</v>
      </c>
      <c r="TG1" s="6">
        <v>8</v>
      </c>
      <c r="TH1" s="6">
        <v>8</v>
      </c>
      <c r="TI1" s="6">
        <v>8</v>
      </c>
      <c r="TJ1" s="6">
        <v>8</v>
      </c>
      <c r="TK1" s="6">
        <v>8</v>
      </c>
      <c r="TL1" s="6">
        <v>8</v>
      </c>
      <c r="TM1" s="6">
        <v>8</v>
      </c>
      <c r="TN1" s="6">
        <v>8</v>
      </c>
      <c r="TO1" s="6">
        <v>8</v>
      </c>
      <c r="TP1" s="6">
        <v>8</v>
      </c>
      <c r="TQ1" s="6">
        <v>8</v>
      </c>
      <c r="TR1" s="6">
        <v>8</v>
      </c>
      <c r="TS1" s="6">
        <v>8</v>
      </c>
      <c r="TT1" s="6">
        <v>8</v>
      </c>
      <c r="TU1" s="6">
        <v>8</v>
      </c>
      <c r="TV1" s="6">
        <v>8</v>
      </c>
      <c r="TW1" s="6">
        <v>8</v>
      </c>
      <c r="TX1" s="6">
        <v>8</v>
      </c>
      <c r="TY1" s="6">
        <v>8</v>
      </c>
      <c r="TZ1" s="6">
        <v>8</v>
      </c>
      <c r="UA1" s="6">
        <v>8</v>
      </c>
      <c r="UB1" s="6">
        <v>8</v>
      </c>
      <c r="UC1" s="6">
        <v>8</v>
      </c>
      <c r="UD1" s="6">
        <v>8</v>
      </c>
      <c r="UE1" s="6">
        <v>8</v>
      </c>
      <c r="UF1" s="6">
        <v>8</v>
      </c>
      <c r="UG1" s="6">
        <v>8</v>
      </c>
      <c r="UH1" s="6">
        <v>8</v>
      </c>
      <c r="UI1" s="6">
        <v>8</v>
      </c>
      <c r="UJ1" s="6">
        <v>8</v>
      </c>
      <c r="UK1" s="6">
        <v>8</v>
      </c>
      <c r="UL1" s="6">
        <v>8</v>
      </c>
      <c r="UM1" s="6">
        <v>8</v>
      </c>
      <c r="UN1" s="6">
        <v>8</v>
      </c>
      <c r="UO1" s="6">
        <v>8</v>
      </c>
      <c r="UP1" s="6">
        <v>8</v>
      </c>
      <c r="UQ1" s="6">
        <v>8</v>
      </c>
      <c r="UR1" s="6">
        <v>8</v>
      </c>
      <c r="US1" s="6">
        <v>8</v>
      </c>
      <c r="UT1" s="6">
        <v>8</v>
      </c>
      <c r="UU1" s="6">
        <v>8</v>
      </c>
      <c r="UV1" s="6">
        <v>8</v>
      </c>
      <c r="UW1" s="6">
        <v>8</v>
      </c>
      <c r="UX1" s="6">
        <v>8</v>
      </c>
      <c r="UY1" s="6">
        <v>8</v>
      </c>
      <c r="UZ1" s="6">
        <v>8</v>
      </c>
      <c r="VA1" s="6">
        <v>8</v>
      </c>
      <c r="VB1" s="6">
        <v>8</v>
      </c>
      <c r="VC1" s="6">
        <v>8</v>
      </c>
      <c r="VD1" s="6">
        <v>8</v>
      </c>
      <c r="VE1" s="6">
        <v>8</v>
      </c>
      <c r="VF1" s="6">
        <v>8</v>
      </c>
      <c r="VG1" s="6">
        <v>8</v>
      </c>
      <c r="VH1" s="6">
        <v>8</v>
      </c>
      <c r="VI1" s="6">
        <v>8</v>
      </c>
      <c r="VJ1" s="6">
        <v>8</v>
      </c>
      <c r="VK1" s="6">
        <v>8</v>
      </c>
      <c r="VL1" s="6">
        <v>9</v>
      </c>
      <c r="VM1" s="6">
        <v>9</v>
      </c>
      <c r="VN1" s="6">
        <v>9</v>
      </c>
      <c r="VO1" s="6">
        <v>9</v>
      </c>
      <c r="VP1" s="6">
        <v>9</v>
      </c>
      <c r="VQ1" s="6">
        <v>9</v>
      </c>
      <c r="VR1" s="6">
        <v>9</v>
      </c>
      <c r="VS1" s="6">
        <v>9</v>
      </c>
      <c r="VT1" s="6">
        <v>9</v>
      </c>
      <c r="VU1" s="6">
        <v>9</v>
      </c>
      <c r="VV1" s="6">
        <v>9</v>
      </c>
      <c r="VW1" s="6">
        <v>9</v>
      </c>
      <c r="VX1" s="6">
        <v>9</v>
      </c>
      <c r="VY1" s="6">
        <v>9</v>
      </c>
      <c r="VZ1" s="6">
        <v>9</v>
      </c>
      <c r="WA1" s="6">
        <v>9</v>
      </c>
      <c r="WB1" s="6">
        <v>9</v>
      </c>
      <c r="WC1" s="6">
        <v>9</v>
      </c>
      <c r="WD1" s="6">
        <v>9</v>
      </c>
      <c r="WE1" s="6">
        <v>9</v>
      </c>
      <c r="WF1" s="6">
        <v>9</v>
      </c>
      <c r="WG1" s="6">
        <v>9</v>
      </c>
      <c r="WH1" s="6">
        <v>9</v>
      </c>
      <c r="WI1" s="6">
        <v>9</v>
      </c>
      <c r="WJ1" s="6">
        <v>9</v>
      </c>
      <c r="WK1" s="6">
        <v>9</v>
      </c>
      <c r="WL1" s="6">
        <v>9</v>
      </c>
      <c r="WM1" s="6">
        <v>9</v>
      </c>
      <c r="WN1" s="6">
        <v>9</v>
      </c>
      <c r="WO1" s="6">
        <v>9</v>
      </c>
      <c r="WP1" s="6">
        <v>9</v>
      </c>
      <c r="WQ1" s="6">
        <v>9</v>
      </c>
      <c r="WR1" s="6">
        <v>9</v>
      </c>
      <c r="WS1" s="6">
        <v>9</v>
      </c>
      <c r="WT1" s="6">
        <v>9</v>
      </c>
      <c r="WU1" s="6">
        <v>9</v>
      </c>
      <c r="WV1" s="6">
        <v>9</v>
      </c>
      <c r="WW1" s="6">
        <v>9</v>
      </c>
      <c r="WX1" s="6">
        <v>9</v>
      </c>
      <c r="WY1" s="6">
        <v>9</v>
      </c>
      <c r="WZ1" s="6">
        <v>9</v>
      </c>
      <c r="XA1" s="6">
        <v>9</v>
      </c>
      <c r="XB1" s="6">
        <v>9</v>
      </c>
      <c r="XC1" s="6">
        <v>9</v>
      </c>
      <c r="XD1" s="6">
        <v>9</v>
      </c>
      <c r="XE1" s="6">
        <v>9</v>
      </c>
      <c r="XF1" s="6">
        <v>9</v>
      </c>
      <c r="XG1" s="6">
        <v>9</v>
      </c>
      <c r="XH1" s="6">
        <v>9</v>
      </c>
      <c r="XI1" s="6">
        <v>9</v>
      </c>
      <c r="XJ1" s="6">
        <v>9</v>
      </c>
      <c r="XK1" s="6">
        <v>9</v>
      </c>
      <c r="XL1" s="6">
        <v>9</v>
      </c>
      <c r="XM1" s="6">
        <v>9</v>
      </c>
      <c r="XN1" s="6">
        <v>9</v>
      </c>
      <c r="XO1" s="6">
        <v>9</v>
      </c>
      <c r="XP1" s="6">
        <v>9</v>
      </c>
      <c r="XQ1" s="6">
        <v>9</v>
      </c>
      <c r="XR1" s="6">
        <v>9</v>
      </c>
      <c r="XS1" s="6">
        <v>9</v>
      </c>
      <c r="XT1" s="6">
        <v>9</v>
      </c>
      <c r="XU1" s="6">
        <v>9</v>
      </c>
      <c r="XV1" s="6">
        <v>9</v>
      </c>
      <c r="XW1" s="6">
        <v>9</v>
      </c>
      <c r="XX1" s="6">
        <v>9</v>
      </c>
      <c r="XY1" s="6">
        <v>9</v>
      </c>
      <c r="XZ1" s="6">
        <v>9</v>
      </c>
      <c r="YA1" s="6">
        <v>9</v>
      </c>
      <c r="YB1" s="6">
        <v>9</v>
      </c>
      <c r="YC1" s="6">
        <v>9</v>
      </c>
      <c r="YD1" s="6">
        <v>9</v>
      </c>
      <c r="YE1" s="6">
        <v>9</v>
      </c>
      <c r="YF1" s="6">
        <v>9</v>
      </c>
      <c r="YG1" s="6">
        <v>9</v>
      </c>
      <c r="YH1" s="6">
        <v>9</v>
      </c>
      <c r="YI1" s="6">
        <v>9</v>
      </c>
      <c r="YJ1" s="6">
        <v>9</v>
      </c>
      <c r="YK1" s="6">
        <v>9</v>
      </c>
      <c r="YL1" s="6">
        <v>9</v>
      </c>
      <c r="YM1" s="6">
        <v>9</v>
      </c>
      <c r="YN1" s="6">
        <v>9</v>
      </c>
      <c r="YO1" s="6">
        <v>9</v>
      </c>
      <c r="YP1" s="6">
        <v>9</v>
      </c>
      <c r="YQ1" s="6">
        <v>9</v>
      </c>
      <c r="YR1" s="6">
        <v>9</v>
      </c>
      <c r="YS1" s="6">
        <v>9</v>
      </c>
      <c r="YT1" s="6">
        <v>9</v>
      </c>
      <c r="YU1" s="6">
        <v>9</v>
      </c>
      <c r="YV1" s="6">
        <v>9</v>
      </c>
      <c r="YW1" s="6">
        <v>10</v>
      </c>
      <c r="YX1" s="6">
        <v>10</v>
      </c>
      <c r="YY1" s="6">
        <v>10</v>
      </c>
      <c r="YZ1" s="6">
        <v>10</v>
      </c>
      <c r="ZA1" s="6">
        <v>10</v>
      </c>
      <c r="ZB1" s="6">
        <v>10</v>
      </c>
      <c r="ZC1" s="6">
        <v>10</v>
      </c>
      <c r="ZD1" s="6">
        <v>10</v>
      </c>
      <c r="ZE1" s="6">
        <v>10</v>
      </c>
      <c r="ZF1" s="6">
        <v>10</v>
      </c>
      <c r="ZG1" s="6">
        <v>10</v>
      </c>
      <c r="ZH1" s="6">
        <v>10</v>
      </c>
      <c r="ZI1" s="6">
        <v>10</v>
      </c>
      <c r="ZJ1" s="6">
        <v>10</v>
      </c>
      <c r="ZK1" s="6">
        <v>10</v>
      </c>
      <c r="ZL1" s="6">
        <v>10</v>
      </c>
      <c r="ZM1" s="6">
        <v>10</v>
      </c>
      <c r="ZN1" s="6">
        <v>10</v>
      </c>
      <c r="ZO1" s="6">
        <v>10</v>
      </c>
      <c r="ZP1" s="6">
        <v>10</v>
      </c>
      <c r="ZQ1" s="6">
        <v>10</v>
      </c>
      <c r="ZR1" s="6">
        <v>10</v>
      </c>
      <c r="ZS1" s="6">
        <v>10</v>
      </c>
      <c r="ZT1" s="6">
        <v>10</v>
      </c>
      <c r="ZU1" s="6">
        <v>10</v>
      </c>
      <c r="ZV1" s="6">
        <v>10</v>
      </c>
      <c r="ZW1" s="6">
        <v>10</v>
      </c>
      <c r="ZX1" s="6">
        <v>10</v>
      </c>
      <c r="ZY1" s="6">
        <v>10</v>
      </c>
      <c r="ZZ1" s="6">
        <v>10</v>
      </c>
      <c r="AAA1" s="6">
        <v>10</v>
      </c>
      <c r="AAB1" s="6">
        <v>10</v>
      </c>
      <c r="AAC1" s="6">
        <v>10</v>
      </c>
      <c r="AAD1" s="6">
        <v>10</v>
      </c>
      <c r="AAE1" s="6">
        <v>10</v>
      </c>
      <c r="AAF1" s="6">
        <v>10</v>
      </c>
      <c r="AAG1" s="6">
        <v>10</v>
      </c>
      <c r="AAH1" s="6">
        <v>10</v>
      </c>
      <c r="AAI1" s="6">
        <v>10</v>
      </c>
      <c r="AAJ1" s="6">
        <v>10</v>
      </c>
      <c r="AAK1" s="6">
        <v>10</v>
      </c>
      <c r="AAL1" s="6">
        <v>10</v>
      </c>
      <c r="AAM1" s="6">
        <v>10</v>
      </c>
      <c r="AAN1" s="6">
        <v>10</v>
      </c>
      <c r="AAO1" s="6">
        <v>10</v>
      </c>
      <c r="AAP1" s="6">
        <v>10</v>
      </c>
      <c r="AAQ1" s="6">
        <v>10</v>
      </c>
      <c r="AAR1" s="6">
        <v>10</v>
      </c>
      <c r="AAS1" s="6">
        <v>10</v>
      </c>
      <c r="AAT1" s="6">
        <v>10</v>
      </c>
      <c r="AAU1" s="6">
        <v>10</v>
      </c>
      <c r="AAV1" s="6">
        <v>10</v>
      </c>
      <c r="AAW1" s="6">
        <v>10</v>
      </c>
      <c r="AAX1" s="6">
        <v>10</v>
      </c>
      <c r="AAY1" s="6">
        <v>10</v>
      </c>
      <c r="AAZ1" s="6">
        <v>10</v>
      </c>
      <c r="ABA1" s="6">
        <v>10</v>
      </c>
      <c r="ABB1" s="6">
        <v>10</v>
      </c>
      <c r="ABC1" s="6">
        <v>10</v>
      </c>
      <c r="ABD1" s="6">
        <v>10</v>
      </c>
      <c r="ABE1" s="6">
        <v>10</v>
      </c>
      <c r="ABF1" s="6">
        <v>10</v>
      </c>
      <c r="ABG1" s="6">
        <v>10</v>
      </c>
      <c r="ABH1" s="6">
        <v>10</v>
      </c>
      <c r="ABI1" s="6">
        <v>10</v>
      </c>
      <c r="ABJ1" s="6">
        <v>10</v>
      </c>
      <c r="ABK1" s="6">
        <v>10</v>
      </c>
      <c r="ABL1" s="6">
        <v>10</v>
      </c>
      <c r="ABM1" s="6">
        <v>10</v>
      </c>
      <c r="ABN1" s="6">
        <v>10</v>
      </c>
      <c r="ABO1" s="6">
        <v>10</v>
      </c>
      <c r="ABP1" s="6">
        <v>11</v>
      </c>
      <c r="ABQ1" s="6">
        <v>11</v>
      </c>
      <c r="ABR1" s="6">
        <v>11</v>
      </c>
      <c r="ABS1" s="6">
        <v>11</v>
      </c>
      <c r="ABT1" s="6">
        <v>11</v>
      </c>
      <c r="ABU1" s="6">
        <v>11</v>
      </c>
      <c r="ABV1" s="6">
        <v>11</v>
      </c>
      <c r="ABW1" s="6">
        <v>11</v>
      </c>
      <c r="ABX1" s="6">
        <v>11</v>
      </c>
      <c r="ABY1" s="6">
        <v>11</v>
      </c>
      <c r="ABZ1" s="6">
        <v>11</v>
      </c>
      <c r="ACA1" s="6">
        <v>11</v>
      </c>
      <c r="ACB1" s="6">
        <v>11</v>
      </c>
      <c r="ACC1" s="6">
        <v>11</v>
      </c>
      <c r="ACD1" s="6">
        <v>11</v>
      </c>
      <c r="ACE1" s="6">
        <v>11</v>
      </c>
      <c r="ACF1" s="6">
        <v>11</v>
      </c>
      <c r="ACG1" s="6">
        <v>11</v>
      </c>
      <c r="ACH1" s="6">
        <v>11</v>
      </c>
      <c r="ACI1" s="6">
        <v>11</v>
      </c>
      <c r="ACJ1" s="6">
        <v>11</v>
      </c>
      <c r="ACK1" s="6">
        <v>11</v>
      </c>
      <c r="ACL1" s="6">
        <v>11</v>
      </c>
      <c r="ACM1" s="6">
        <v>11</v>
      </c>
      <c r="ACN1" s="6">
        <v>11</v>
      </c>
      <c r="ACO1" s="6">
        <v>11</v>
      </c>
      <c r="ACP1" s="6">
        <v>11</v>
      </c>
      <c r="ACQ1" s="6">
        <v>11</v>
      </c>
      <c r="ACR1" s="6">
        <v>11</v>
      </c>
      <c r="ACS1" s="6">
        <v>11</v>
      </c>
      <c r="ACT1" s="6">
        <v>11</v>
      </c>
      <c r="ACU1" s="6">
        <v>11</v>
      </c>
      <c r="ACV1" s="6">
        <v>11</v>
      </c>
      <c r="ACW1" s="6">
        <v>11</v>
      </c>
      <c r="ACX1" s="6">
        <v>11</v>
      </c>
      <c r="ACY1" s="6">
        <v>11</v>
      </c>
      <c r="ACZ1" s="6">
        <v>11</v>
      </c>
      <c r="ADA1" s="6">
        <v>11</v>
      </c>
      <c r="ADB1" s="6">
        <v>11</v>
      </c>
      <c r="ADC1" s="6">
        <v>11</v>
      </c>
      <c r="ADD1" s="6">
        <v>11</v>
      </c>
      <c r="ADE1" s="6">
        <v>11</v>
      </c>
      <c r="ADF1" s="6">
        <v>11</v>
      </c>
      <c r="ADG1" s="6">
        <v>11</v>
      </c>
      <c r="ADH1" s="6">
        <v>11</v>
      </c>
      <c r="ADI1" s="6">
        <v>11</v>
      </c>
      <c r="ADJ1" s="6">
        <v>11</v>
      </c>
      <c r="ADK1" s="6">
        <v>11</v>
      </c>
      <c r="ADL1" s="6">
        <v>11</v>
      </c>
      <c r="ADM1" s="6">
        <v>11</v>
      </c>
      <c r="ADN1" s="6">
        <v>11</v>
      </c>
      <c r="ADO1" s="6">
        <v>11</v>
      </c>
      <c r="ADP1" s="6">
        <v>11</v>
      </c>
      <c r="ADQ1" s="6">
        <v>11</v>
      </c>
      <c r="ADR1" s="6">
        <v>11</v>
      </c>
      <c r="ADS1" s="6">
        <v>11</v>
      </c>
      <c r="ADT1" s="6">
        <v>11</v>
      </c>
      <c r="ADU1" s="6">
        <v>11</v>
      </c>
      <c r="ADV1" s="6">
        <v>11</v>
      </c>
      <c r="ADW1" s="6">
        <v>11</v>
      </c>
      <c r="ADX1" s="6">
        <v>11</v>
      </c>
      <c r="ADY1" s="6">
        <v>11</v>
      </c>
      <c r="ADZ1" s="6">
        <v>11</v>
      </c>
      <c r="AEA1" s="6">
        <v>11</v>
      </c>
      <c r="AEB1" s="6">
        <v>11</v>
      </c>
      <c r="AEC1" s="6">
        <v>11</v>
      </c>
      <c r="AED1" s="6">
        <v>11</v>
      </c>
      <c r="AEE1" s="6">
        <v>11</v>
      </c>
      <c r="AEF1" s="6">
        <v>11</v>
      </c>
      <c r="AEG1" s="6">
        <v>11</v>
      </c>
      <c r="AEH1" s="6">
        <v>11</v>
      </c>
      <c r="AEI1" s="6">
        <v>11</v>
      </c>
      <c r="AEJ1" s="6">
        <v>11</v>
      </c>
      <c r="AEK1" s="6">
        <v>11</v>
      </c>
      <c r="AEL1" s="6">
        <v>11</v>
      </c>
      <c r="AEM1" s="6">
        <v>11</v>
      </c>
      <c r="AEN1" s="6">
        <v>11</v>
      </c>
      <c r="AEO1" s="6">
        <v>11</v>
      </c>
      <c r="AEP1" s="6">
        <v>11</v>
      </c>
      <c r="AEQ1" s="6">
        <v>11</v>
      </c>
      <c r="AER1" s="6">
        <v>11</v>
      </c>
      <c r="AES1" s="6">
        <v>11</v>
      </c>
      <c r="AET1" s="6">
        <v>12</v>
      </c>
      <c r="AEU1" s="6">
        <v>12</v>
      </c>
      <c r="AEV1" s="6">
        <v>12</v>
      </c>
      <c r="AEW1" s="6">
        <v>12</v>
      </c>
      <c r="AEX1" s="6">
        <v>12</v>
      </c>
      <c r="AEY1" s="6">
        <v>12</v>
      </c>
      <c r="AEZ1" s="6">
        <v>12</v>
      </c>
      <c r="AFA1" s="6">
        <v>12</v>
      </c>
      <c r="AFB1" s="6">
        <v>12</v>
      </c>
      <c r="AFC1" s="6">
        <v>12</v>
      </c>
      <c r="AFD1" s="6">
        <v>12</v>
      </c>
      <c r="AFE1" s="6">
        <v>12</v>
      </c>
      <c r="AFF1" s="6">
        <v>12</v>
      </c>
      <c r="AFG1" s="6">
        <v>12</v>
      </c>
      <c r="AFH1" s="6">
        <v>12</v>
      </c>
      <c r="AFI1" s="6">
        <v>12</v>
      </c>
      <c r="AFJ1" s="6">
        <v>12</v>
      </c>
      <c r="AFK1" s="6">
        <v>12</v>
      </c>
      <c r="AFL1" s="6">
        <v>12</v>
      </c>
      <c r="AFM1" s="6">
        <v>12</v>
      </c>
      <c r="AFN1" s="6">
        <v>12</v>
      </c>
      <c r="AFO1" s="6">
        <v>12</v>
      </c>
      <c r="AFP1" s="6">
        <v>12</v>
      </c>
      <c r="AFQ1" s="6">
        <v>12</v>
      </c>
      <c r="AFR1" s="6">
        <v>12</v>
      </c>
      <c r="AFS1" s="6">
        <v>12</v>
      </c>
      <c r="AFT1" s="6">
        <v>12</v>
      </c>
      <c r="AFU1" s="6">
        <v>12</v>
      </c>
      <c r="AFV1" s="6">
        <v>12</v>
      </c>
      <c r="AFW1" s="6">
        <v>12</v>
      </c>
      <c r="AFX1" s="6">
        <v>12</v>
      </c>
      <c r="AFY1" s="6">
        <v>12</v>
      </c>
      <c r="AFZ1" s="6">
        <v>12</v>
      </c>
      <c r="AGA1" s="6">
        <v>12</v>
      </c>
      <c r="AGB1" s="6">
        <v>12</v>
      </c>
      <c r="AGC1" s="6">
        <v>12</v>
      </c>
      <c r="AGD1" s="6">
        <v>12</v>
      </c>
      <c r="AGE1" s="6">
        <v>12</v>
      </c>
      <c r="AGF1" s="6">
        <v>12</v>
      </c>
      <c r="AGG1" s="6">
        <v>12</v>
      </c>
      <c r="AGH1" s="6">
        <v>12</v>
      </c>
      <c r="AGI1" s="6">
        <v>12</v>
      </c>
      <c r="AGJ1" s="6">
        <v>12</v>
      </c>
      <c r="AGK1" s="6">
        <v>12</v>
      </c>
      <c r="AGL1" s="6">
        <v>12</v>
      </c>
      <c r="AGM1" s="6">
        <v>12</v>
      </c>
      <c r="AGN1" s="6">
        <v>12</v>
      </c>
      <c r="AGO1" s="6">
        <v>12</v>
      </c>
      <c r="AGP1" s="6">
        <v>12</v>
      </c>
      <c r="AGQ1" s="6">
        <v>12</v>
      </c>
      <c r="AGR1" s="6">
        <v>12</v>
      </c>
      <c r="AGS1" s="6">
        <v>12</v>
      </c>
      <c r="AGT1" s="6">
        <v>12</v>
      </c>
      <c r="AGU1" s="6">
        <v>12</v>
      </c>
      <c r="AGV1" s="6">
        <v>12</v>
      </c>
      <c r="AGW1" s="6">
        <v>12</v>
      </c>
      <c r="AGX1" s="6">
        <v>12</v>
      </c>
      <c r="AGY1" s="6">
        <v>12</v>
      </c>
      <c r="AGZ1" s="6">
        <v>12</v>
      </c>
      <c r="AHA1" s="6">
        <v>12</v>
      </c>
      <c r="AHB1" s="6">
        <v>12</v>
      </c>
      <c r="AHC1" s="6">
        <v>12</v>
      </c>
      <c r="AHD1" s="6">
        <v>12</v>
      </c>
      <c r="AHE1" s="6">
        <v>12</v>
      </c>
      <c r="AHF1" s="6">
        <v>12</v>
      </c>
      <c r="AHG1" s="6">
        <v>12</v>
      </c>
      <c r="AHH1" s="6">
        <v>12</v>
      </c>
      <c r="AHI1" s="6">
        <v>12</v>
      </c>
      <c r="AHJ1" s="6">
        <v>12</v>
      </c>
      <c r="AHK1" s="6">
        <v>12</v>
      </c>
      <c r="AHL1" s="6">
        <v>12</v>
      </c>
      <c r="AHM1" s="6">
        <v>12</v>
      </c>
      <c r="AHN1" s="6">
        <v>12</v>
      </c>
      <c r="AHO1" s="6">
        <v>12</v>
      </c>
      <c r="AHP1" s="6">
        <v>12</v>
      </c>
      <c r="AHQ1" s="6">
        <v>12</v>
      </c>
      <c r="AHR1" s="6">
        <v>12</v>
      </c>
      <c r="AHS1" s="6">
        <v>12</v>
      </c>
      <c r="AHT1" s="6" t="s">
        <v>2106</v>
      </c>
    </row>
    <row r="2" spans="1:905" x14ac:dyDescent="0.7">
      <c r="D2" s="6" t="s">
        <v>1189</v>
      </c>
      <c r="E2" s="6" t="s">
        <v>1189</v>
      </c>
      <c r="F2" s="6" t="s">
        <v>1189</v>
      </c>
      <c r="G2" s="6" t="s">
        <v>1189</v>
      </c>
      <c r="H2" s="6" t="s">
        <v>1189</v>
      </c>
      <c r="I2" s="6" t="s">
        <v>1189</v>
      </c>
      <c r="J2" s="6" t="s">
        <v>1189</v>
      </c>
      <c r="K2" s="6" t="s">
        <v>1189</v>
      </c>
      <c r="L2" s="6" t="s">
        <v>1189</v>
      </c>
      <c r="M2" s="6" t="s">
        <v>1189</v>
      </c>
      <c r="N2" s="6" t="s">
        <v>1189</v>
      </c>
      <c r="O2" s="6" t="s">
        <v>1189</v>
      </c>
      <c r="P2" s="6" t="s">
        <v>1189</v>
      </c>
      <c r="Q2" s="6" t="s">
        <v>1189</v>
      </c>
      <c r="R2" s="6" t="s">
        <v>1189</v>
      </c>
      <c r="S2" s="6" t="s">
        <v>1189</v>
      </c>
      <c r="T2" s="6" t="s">
        <v>1189</v>
      </c>
      <c r="U2" s="6" t="s">
        <v>1189</v>
      </c>
      <c r="V2" s="6" t="s">
        <v>1190</v>
      </c>
      <c r="W2" s="6" t="s">
        <v>1190</v>
      </c>
      <c r="X2" s="6" t="s">
        <v>1190</v>
      </c>
      <c r="Y2" s="6" t="s">
        <v>1190</v>
      </c>
      <c r="Z2" s="6" t="s">
        <v>1190</v>
      </c>
      <c r="AA2" s="6" t="s">
        <v>1190</v>
      </c>
      <c r="AB2" s="6" t="s">
        <v>1190</v>
      </c>
      <c r="AC2" s="6" t="s">
        <v>1190</v>
      </c>
      <c r="AD2" s="6" t="s">
        <v>1190</v>
      </c>
      <c r="AE2" s="6" t="s">
        <v>1190</v>
      </c>
      <c r="AF2" s="6" t="s">
        <v>1190</v>
      </c>
      <c r="AG2" s="6" t="s">
        <v>1190</v>
      </c>
      <c r="AH2" s="6" t="s">
        <v>1190</v>
      </c>
      <c r="AI2" s="6" t="s">
        <v>1190</v>
      </c>
      <c r="AJ2" s="6" t="s">
        <v>1190</v>
      </c>
      <c r="AK2" s="6" t="s">
        <v>1190</v>
      </c>
      <c r="AL2" s="6" t="s">
        <v>1190</v>
      </c>
      <c r="AM2" s="6" t="s">
        <v>1190</v>
      </c>
      <c r="AN2" s="6" t="s">
        <v>1190</v>
      </c>
      <c r="AO2" s="6" t="s">
        <v>1190</v>
      </c>
      <c r="AP2" s="6" t="s">
        <v>1190</v>
      </c>
      <c r="AQ2" s="6" t="s">
        <v>1190</v>
      </c>
      <c r="AR2" s="6" t="s">
        <v>1190</v>
      </c>
      <c r="AS2" s="6" t="s">
        <v>1190</v>
      </c>
      <c r="AT2" s="6" t="s">
        <v>1191</v>
      </c>
      <c r="AU2" s="6" t="s">
        <v>1191</v>
      </c>
      <c r="AV2" s="6" t="s">
        <v>1191</v>
      </c>
      <c r="AW2" s="6" t="s">
        <v>1191</v>
      </c>
      <c r="AX2" s="6" t="s">
        <v>1191</v>
      </c>
      <c r="AY2" s="6" t="s">
        <v>1191</v>
      </c>
      <c r="AZ2" s="6" t="s">
        <v>1191</v>
      </c>
      <c r="BA2" s="6" t="s">
        <v>1191</v>
      </c>
      <c r="BB2" s="6" t="s">
        <v>1191</v>
      </c>
      <c r="BC2" s="6" t="s">
        <v>1191</v>
      </c>
      <c r="BD2" s="6" t="s">
        <v>1191</v>
      </c>
      <c r="BE2" s="6" t="s">
        <v>1191</v>
      </c>
      <c r="BF2" s="6" t="s">
        <v>1191</v>
      </c>
      <c r="BG2" s="6" t="s">
        <v>1191</v>
      </c>
      <c r="BH2" s="6" t="s">
        <v>1191</v>
      </c>
      <c r="BI2" s="6" t="s">
        <v>1192</v>
      </c>
      <c r="BJ2" s="6" t="s">
        <v>1192</v>
      </c>
      <c r="BK2" s="6" t="s">
        <v>1192</v>
      </c>
      <c r="BL2" s="6" t="s">
        <v>1192</v>
      </c>
      <c r="BM2" s="6" t="s">
        <v>1192</v>
      </c>
      <c r="BN2" s="6" t="s">
        <v>1192</v>
      </c>
      <c r="BO2" s="6" t="s">
        <v>1192</v>
      </c>
      <c r="BP2" s="6" t="s">
        <v>1192</v>
      </c>
      <c r="BQ2" s="6" t="s">
        <v>1192</v>
      </c>
      <c r="BR2" s="6" t="s">
        <v>1193</v>
      </c>
      <c r="BS2" s="6" t="s">
        <v>1193</v>
      </c>
      <c r="BT2" s="6" t="s">
        <v>1193</v>
      </c>
      <c r="BU2" s="6" t="s">
        <v>1193</v>
      </c>
      <c r="BV2" s="6" t="s">
        <v>1193</v>
      </c>
      <c r="BW2" s="6" t="s">
        <v>1193</v>
      </c>
      <c r="BX2" s="6" t="s">
        <v>1193</v>
      </c>
      <c r="BY2" s="6" t="s">
        <v>1193</v>
      </c>
      <c r="BZ2" s="6" t="s">
        <v>1194</v>
      </c>
      <c r="CA2" s="6" t="s">
        <v>1194</v>
      </c>
      <c r="CB2" s="6" t="s">
        <v>1194</v>
      </c>
      <c r="CC2" s="6" t="s">
        <v>1194</v>
      </c>
      <c r="CD2" s="6" t="s">
        <v>1194</v>
      </c>
      <c r="CE2" s="6" t="s">
        <v>1194</v>
      </c>
      <c r="CF2" s="6" t="s">
        <v>1194</v>
      </c>
      <c r="CG2" s="6" t="s">
        <v>1195</v>
      </c>
      <c r="CH2" s="6" t="s">
        <v>1195</v>
      </c>
      <c r="CI2" s="6" t="s">
        <v>1195</v>
      </c>
      <c r="CJ2" s="6" t="s">
        <v>1195</v>
      </c>
      <c r="CK2" s="6" t="s">
        <v>1195</v>
      </c>
      <c r="CL2" s="6" t="s">
        <v>1195</v>
      </c>
      <c r="CM2" s="6" t="s">
        <v>1195</v>
      </c>
      <c r="CN2" s="6" t="s">
        <v>1195</v>
      </c>
      <c r="CO2" s="6" t="s">
        <v>1195</v>
      </c>
      <c r="CP2" s="6" t="s">
        <v>1195</v>
      </c>
      <c r="CQ2" s="6" t="s">
        <v>1195</v>
      </c>
      <c r="CR2" s="6" t="s">
        <v>1195</v>
      </c>
      <c r="CS2" s="6" t="s">
        <v>1195</v>
      </c>
      <c r="CT2" s="6" t="s">
        <v>1196</v>
      </c>
      <c r="CU2" s="6" t="s">
        <v>1196</v>
      </c>
      <c r="CV2" s="6" t="s">
        <v>1196</v>
      </c>
      <c r="CW2" s="6" t="s">
        <v>1196</v>
      </c>
      <c r="CX2" s="6" t="s">
        <v>1196</v>
      </c>
      <c r="CY2" s="6" t="s">
        <v>1196</v>
      </c>
      <c r="CZ2" s="6" t="s">
        <v>1196</v>
      </c>
      <c r="DA2" s="6" t="s">
        <v>1196</v>
      </c>
      <c r="DB2" s="6" t="s">
        <v>1197</v>
      </c>
      <c r="DC2" s="6" t="s">
        <v>1197</v>
      </c>
      <c r="DD2" s="6" t="s">
        <v>1197</v>
      </c>
      <c r="DE2" s="6" t="s">
        <v>1197</v>
      </c>
      <c r="DF2" s="6" t="s">
        <v>1197</v>
      </c>
      <c r="DG2" s="6" t="s">
        <v>1197</v>
      </c>
      <c r="DH2" s="6" t="s">
        <v>1197</v>
      </c>
      <c r="DI2" s="6" t="s">
        <v>1197</v>
      </c>
      <c r="DJ2" s="6" t="s">
        <v>1197</v>
      </c>
      <c r="DK2" s="6" t="s">
        <v>1198</v>
      </c>
      <c r="DL2" s="6" t="s">
        <v>1198</v>
      </c>
      <c r="DM2" s="6" t="s">
        <v>1198</v>
      </c>
      <c r="DN2" s="6" t="s">
        <v>1198</v>
      </c>
      <c r="DO2" s="6" t="s">
        <v>1198</v>
      </c>
      <c r="DP2" s="6" t="s">
        <v>1198</v>
      </c>
      <c r="DQ2" s="6" t="s">
        <v>1198</v>
      </c>
      <c r="DR2" s="6" t="s">
        <v>1198</v>
      </c>
      <c r="DS2" s="6" t="s">
        <v>1198</v>
      </c>
      <c r="DT2" s="6" t="s">
        <v>1199</v>
      </c>
      <c r="DU2" s="6" t="s">
        <v>1199</v>
      </c>
      <c r="DV2" s="6" t="s">
        <v>1199</v>
      </c>
      <c r="DW2" s="6" t="s">
        <v>1199</v>
      </c>
      <c r="DX2" s="6" t="s">
        <v>1199</v>
      </c>
      <c r="DY2" s="6" t="s">
        <v>1199</v>
      </c>
      <c r="DZ2" s="6" t="s">
        <v>1199</v>
      </c>
      <c r="EA2" s="6" t="s">
        <v>1199</v>
      </c>
      <c r="EB2" s="6" t="s">
        <v>1199</v>
      </c>
      <c r="EC2" s="6" t="s">
        <v>1199</v>
      </c>
      <c r="ED2" s="6" t="s">
        <v>1199</v>
      </c>
      <c r="EE2" s="6" t="s">
        <v>1200</v>
      </c>
      <c r="EF2" s="6" t="s">
        <v>1200</v>
      </c>
      <c r="EG2" s="6" t="s">
        <v>1200</v>
      </c>
      <c r="EH2" s="6" t="s">
        <v>1200</v>
      </c>
      <c r="EI2" s="6" t="s">
        <v>1200</v>
      </c>
      <c r="EJ2" s="6" t="s">
        <v>1200</v>
      </c>
      <c r="EK2" s="6" t="s">
        <v>1200</v>
      </c>
      <c r="EL2" s="6" t="s">
        <v>1200</v>
      </c>
      <c r="EM2" s="6" t="s">
        <v>1200</v>
      </c>
      <c r="EN2" s="6" t="s">
        <v>1201</v>
      </c>
      <c r="EO2" s="6" t="s">
        <v>1201</v>
      </c>
      <c r="EP2" s="6" t="s">
        <v>1201</v>
      </c>
      <c r="EQ2" s="6" t="s">
        <v>1201</v>
      </c>
      <c r="ER2" s="6" t="s">
        <v>1201</v>
      </c>
      <c r="ES2" s="6" t="s">
        <v>1201</v>
      </c>
      <c r="ET2" s="6" t="s">
        <v>1201</v>
      </c>
      <c r="EU2" s="6" t="s">
        <v>1201</v>
      </c>
      <c r="EV2" s="6" t="s">
        <v>1201</v>
      </c>
      <c r="EW2" s="6" t="s">
        <v>1202</v>
      </c>
      <c r="EX2" s="6" t="s">
        <v>1202</v>
      </c>
      <c r="EY2" s="6" t="s">
        <v>1202</v>
      </c>
      <c r="EZ2" s="6" t="s">
        <v>1202</v>
      </c>
      <c r="FA2" s="6" t="s">
        <v>1202</v>
      </c>
      <c r="FB2" s="6" t="s">
        <v>1202</v>
      </c>
      <c r="FC2" s="6" t="s">
        <v>1202</v>
      </c>
      <c r="FD2" s="6" t="s">
        <v>1202</v>
      </c>
      <c r="FE2" s="6" t="s">
        <v>1202</v>
      </c>
      <c r="FF2" s="6" t="s">
        <v>1202</v>
      </c>
      <c r="FG2" s="6" t="s">
        <v>1202</v>
      </c>
      <c r="FH2" s="6" t="s">
        <v>1202</v>
      </c>
      <c r="FI2" s="6" t="s">
        <v>1203</v>
      </c>
      <c r="FJ2" s="6" t="s">
        <v>1203</v>
      </c>
      <c r="FK2" s="6" t="s">
        <v>1203</v>
      </c>
      <c r="FL2" s="6" t="s">
        <v>1203</v>
      </c>
      <c r="FM2" s="6" t="s">
        <v>1203</v>
      </c>
      <c r="FN2" s="6" t="s">
        <v>1203</v>
      </c>
      <c r="FO2" s="6" t="s">
        <v>1203</v>
      </c>
      <c r="FP2" s="6" t="s">
        <v>1203</v>
      </c>
      <c r="FQ2" s="6" t="s">
        <v>1204</v>
      </c>
      <c r="FR2" s="6" t="s">
        <v>1204</v>
      </c>
      <c r="FS2" s="6" t="s">
        <v>1204</v>
      </c>
      <c r="FT2" s="6" t="s">
        <v>1204</v>
      </c>
      <c r="FU2" s="6" t="s">
        <v>1204</v>
      </c>
      <c r="FV2" s="6" t="s">
        <v>1204</v>
      </c>
      <c r="FW2" s="6" t="s">
        <v>1204</v>
      </c>
      <c r="FX2" s="6" t="s">
        <v>1204</v>
      </c>
      <c r="FY2" s="6" t="s">
        <v>1204</v>
      </c>
      <c r="FZ2" s="6" t="s">
        <v>1204</v>
      </c>
      <c r="GA2" s="6" t="s">
        <v>1204</v>
      </c>
      <c r="GB2" s="6" t="s">
        <v>1204</v>
      </c>
      <c r="GC2" s="6" t="s">
        <v>1204</v>
      </c>
      <c r="GD2" s="6" t="s">
        <v>1204</v>
      </c>
      <c r="GE2" s="6" t="s">
        <v>1205</v>
      </c>
      <c r="GF2" s="6" t="s">
        <v>1205</v>
      </c>
      <c r="GG2" s="6" t="s">
        <v>1205</v>
      </c>
      <c r="GH2" s="6" t="s">
        <v>1205</v>
      </c>
      <c r="GI2" s="6" t="s">
        <v>1205</v>
      </c>
      <c r="GJ2" s="6" t="s">
        <v>1205</v>
      </c>
      <c r="GK2" s="6" t="s">
        <v>1205</v>
      </c>
      <c r="GL2" s="6" t="s">
        <v>1205</v>
      </c>
      <c r="GM2" s="6" t="s">
        <v>1205</v>
      </c>
      <c r="GN2" s="6" t="s">
        <v>1205</v>
      </c>
      <c r="GO2" s="6" t="s">
        <v>1205</v>
      </c>
      <c r="GP2" s="6" t="s">
        <v>1205</v>
      </c>
      <c r="GQ2" s="6" t="s">
        <v>1206</v>
      </c>
      <c r="GR2" s="6" t="s">
        <v>1206</v>
      </c>
      <c r="GS2" s="6" t="s">
        <v>1206</v>
      </c>
      <c r="GT2" s="6" t="s">
        <v>1206</v>
      </c>
      <c r="GU2" s="6" t="s">
        <v>1206</v>
      </c>
      <c r="GV2" s="6" t="s">
        <v>1206</v>
      </c>
      <c r="GW2" s="6" t="s">
        <v>1206</v>
      </c>
      <c r="GX2" s="6" t="s">
        <v>1206</v>
      </c>
      <c r="GY2" s="6" t="s">
        <v>1207</v>
      </c>
      <c r="GZ2" s="6" t="s">
        <v>1207</v>
      </c>
      <c r="HA2" s="6" t="s">
        <v>1207</v>
      </c>
      <c r="HB2" s="6" t="s">
        <v>1207</v>
      </c>
      <c r="HC2" s="6" t="s">
        <v>1208</v>
      </c>
      <c r="HD2" s="6" t="s">
        <v>1208</v>
      </c>
      <c r="HE2" s="6" t="s">
        <v>1208</v>
      </c>
      <c r="HF2" s="6" t="s">
        <v>1208</v>
      </c>
      <c r="HG2" s="6" t="s">
        <v>1208</v>
      </c>
      <c r="HH2" s="6" t="s">
        <v>1208</v>
      </c>
      <c r="HI2" s="6" t="s">
        <v>1208</v>
      </c>
      <c r="HJ2" s="6" t="s">
        <v>1208</v>
      </c>
      <c r="HK2" s="6" t="s">
        <v>1209</v>
      </c>
      <c r="HL2" s="6" t="s">
        <v>1209</v>
      </c>
      <c r="HM2" s="6" t="s">
        <v>1209</v>
      </c>
      <c r="HN2" s="6" t="s">
        <v>1209</v>
      </c>
      <c r="HO2" s="6" t="s">
        <v>1209</v>
      </c>
      <c r="HP2" s="6" t="s">
        <v>1209</v>
      </c>
      <c r="HQ2" s="6" t="s">
        <v>1209</v>
      </c>
      <c r="HR2" s="6" t="s">
        <v>1209</v>
      </c>
      <c r="HS2" s="6" t="s">
        <v>1210</v>
      </c>
      <c r="HT2" s="6" t="s">
        <v>1210</v>
      </c>
      <c r="HU2" s="6" t="s">
        <v>1210</v>
      </c>
      <c r="HV2" s="6" t="s">
        <v>1210</v>
      </c>
      <c r="HW2" s="6" t="s">
        <v>1210</v>
      </c>
      <c r="HX2" s="6" t="s">
        <v>1210</v>
      </c>
      <c r="HY2" s="6" t="s">
        <v>1210</v>
      </c>
      <c r="HZ2" s="6" t="s">
        <v>1210</v>
      </c>
      <c r="IA2" s="6" t="s">
        <v>1210</v>
      </c>
      <c r="IB2" s="6" t="s">
        <v>1210</v>
      </c>
      <c r="IC2" s="6" t="s">
        <v>1210</v>
      </c>
      <c r="ID2" s="6" t="s">
        <v>1210</v>
      </c>
      <c r="IE2" s="6" t="s">
        <v>1210</v>
      </c>
      <c r="IF2" s="6" t="s">
        <v>1210</v>
      </c>
      <c r="IG2" s="6" t="s">
        <v>1210</v>
      </c>
      <c r="IH2" s="6" t="s">
        <v>1210</v>
      </c>
      <c r="II2" s="6" t="s">
        <v>1211</v>
      </c>
      <c r="IJ2" s="6" t="s">
        <v>1211</v>
      </c>
      <c r="IK2" s="6" t="s">
        <v>1211</v>
      </c>
      <c r="IL2" s="6" t="s">
        <v>1211</v>
      </c>
      <c r="IM2" s="6" t="s">
        <v>1211</v>
      </c>
      <c r="IN2" s="6" t="s">
        <v>1211</v>
      </c>
      <c r="IO2" s="6" t="s">
        <v>1211</v>
      </c>
      <c r="IP2" s="6" t="s">
        <v>1211</v>
      </c>
      <c r="IQ2" s="6" t="s">
        <v>1211</v>
      </c>
      <c r="IR2" s="6" t="s">
        <v>1211</v>
      </c>
      <c r="IS2" s="6" t="s">
        <v>1211</v>
      </c>
      <c r="IT2" s="6" t="s">
        <v>1212</v>
      </c>
      <c r="IU2" s="6" t="s">
        <v>1212</v>
      </c>
      <c r="IV2" s="6" t="s">
        <v>1212</v>
      </c>
      <c r="IW2" s="6" t="s">
        <v>1212</v>
      </c>
      <c r="IX2" s="6" t="s">
        <v>1212</v>
      </c>
      <c r="IY2" s="6" t="s">
        <v>1212</v>
      </c>
      <c r="IZ2" s="6" t="s">
        <v>1212</v>
      </c>
      <c r="JA2" s="6" t="s">
        <v>1212</v>
      </c>
      <c r="JB2" s="6" t="s">
        <v>1212</v>
      </c>
      <c r="JC2" s="6" t="s">
        <v>1212</v>
      </c>
      <c r="JD2" s="6" t="s">
        <v>1212</v>
      </c>
      <c r="JE2" s="6" t="s">
        <v>1212</v>
      </c>
      <c r="JF2" s="6" t="s">
        <v>1213</v>
      </c>
      <c r="JG2" s="6" t="s">
        <v>1213</v>
      </c>
      <c r="JH2" s="6" t="s">
        <v>1213</v>
      </c>
      <c r="JI2" s="6" t="s">
        <v>1213</v>
      </c>
      <c r="JJ2" s="6" t="s">
        <v>1213</v>
      </c>
      <c r="JK2" s="6" t="s">
        <v>1213</v>
      </c>
      <c r="JL2" s="6" t="s">
        <v>1214</v>
      </c>
      <c r="JM2" s="6" t="s">
        <v>1214</v>
      </c>
      <c r="JN2" s="6" t="s">
        <v>1214</v>
      </c>
      <c r="JO2" s="6" t="s">
        <v>1214</v>
      </c>
      <c r="JP2" s="6" t="s">
        <v>1214</v>
      </c>
      <c r="JQ2" s="6" t="s">
        <v>1214</v>
      </c>
      <c r="JR2" s="6" t="s">
        <v>1214</v>
      </c>
      <c r="JS2" s="6" t="s">
        <v>1215</v>
      </c>
      <c r="JT2" s="6" t="s">
        <v>1215</v>
      </c>
      <c r="JU2" s="6" t="s">
        <v>1215</v>
      </c>
      <c r="JV2" s="6" t="s">
        <v>1215</v>
      </c>
      <c r="JW2" s="6" t="s">
        <v>1215</v>
      </c>
      <c r="JX2" s="6" t="s">
        <v>1215</v>
      </c>
      <c r="JY2" s="6" t="s">
        <v>1215</v>
      </c>
      <c r="JZ2" s="6" t="s">
        <v>1215</v>
      </c>
      <c r="KA2" s="6" t="s">
        <v>1215</v>
      </c>
      <c r="KB2" s="6" t="s">
        <v>1215</v>
      </c>
      <c r="KC2" s="6" t="s">
        <v>1215</v>
      </c>
      <c r="KD2" s="6" t="s">
        <v>1215</v>
      </c>
      <c r="KE2" s="6" t="s">
        <v>1215</v>
      </c>
      <c r="KF2" s="6" t="s">
        <v>1215</v>
      </c>
      <c r="KG2" s="6" t="s">
        <v>1215</v>
      </c>
      <c r="KH2" s="6" t="s">
        <v>1215</v>
      </c>
      <c r="KI2" s="6" t="s">
        <v>1216</v>
      </c>
      <c r="KJ2" s="6" t="s">
        <v>1216</v>
      </c>
      <c r="KK2" s="6" t="s">
        <v>1216</v>
      </c>
      <c r="KL2" s="6" t="s">
        <v>1216</v>
      </c>
      <c r="KM2" s="6" t="s">
        <v>1216</v>
      </c>
      <c r="KN2" s="6" t="s">
        <v>1216</v>
      </c>
      <c r="KO2" s="6" t="s">
        <v>1216</v>
      </c>
      <c r="KP2" s="6" t="s">
        <v>1216</v>
      </c>
      <c r="KQ2" s="6" t="s">
        <v>1216</v>
      </c>
      <c r="KR2" s="6" t="s">
        <v>1217</v>
      </c>
      <c r="KS2" s="6" t="s">
        <v>1217</v>
      </c>
      <c r="KT2" s="6" t="s">
        <v>1217</v>
      </c>
      <c r="KU2" s="6" t="s">
        <v>1217</v>
      </c>
      <c r="KV2" s="6" t="s">
        <v>1217</v>
      </c>
      <c r="KW2" s="6" t="s">
        <v>1217</v>
      </c>
      <c r="KX2" s="6" t="s">
        <v>1217</v>
      </c>
      <c r="KY2" s="6" t="s">
        <v>1217</v>
      </c>
      <c r="KZ2" s="6" t="s">
        <v>1218</v>
      </c>
      <c r="LA2" s="6" t="s">
        <v>1218</v>
      </c>
      <c r="LB2" s="6" t="s">
        <v>1218</v>
      </c>
      <c r="LC2" s="6" t="s">
        <v>1218</v>
      </c>
      <c r="LD2" s="6" t="s">
        <v>1218</v>
      </c>
      <c r="LE2" s="6" t="s">
        <v>1218</v>
      </c>
      <c r="LF2" s="6" t="s">
        <v>1218</v>
      </c>
      <c r="LG2" s="6" t="s">
        <v>1218</v>
      </c>
      <c r="LH2" s="6" t="s">
        <v>1219</v>
      </c>
      <c r="LI2" s="6" t="s">
        <v>1219</v>
      </c>
      <c r="LJ2" s="6" t="s">
        <v>1219</v>
      </c>
      <c r="LK2" s="6" t="s">
        <v>1219</v>
      </c>
      <c r="LL2" s="6" t="s">
        <v>1219</v>
      </c>
      <c r="LM2" s="6" t="s">
        <v>1219</v>
      </c>
      <c r="LN2" s="6" t="s">
        <v>1219</v>
      </c>
      <c r="LO2" s="6" t="s">
        <v>1219</v>
      </c>
      <c r="LP2" s="6" t="s">
        <v>1219</v>
      </c>
      <c r="LQ2" s="6" t="s">
        <v>1219</v>
      </c>
      <c r="LR2" s="6" t="s">
        <v>1219</v>
      </c>
      <c r="LS2" s="6" t="s">
        <v>1220</v>
      </c>
      <c r="LT2" s="6" t="s">
        <v>1220</v>
      </c>
      <c r="LU2" s="6" t="s">
        <v>1220</v>
      </c>
      <c r="LV2" s="6" t="s">
        <v>1221</v>
      </c>
      <c r="LW2" s="6" t="s">
        <v>1221</v>
      </c>
      <c r="LX2" s="6" t="s">
        <v>1222</v>
      </c>
      <c r="LY2" s="6" t="s">
        <v>1222</v>
      </c>
      <c r="LZ2" s="6" t="s">
        <v>1222</v>
      </c>
      <c r="MA2" s="6" t="s">
        <v>1222</v>
      </c>
      <c r="MB2" s="6" t="s">
        <v>1222</v>
      </c>
      <c r="MC2" s="6" t="s">
        <v>1222</v>
      </c>
      <c r="MD2" s="6" t="s">
        <v>1222</v>
      </c>
      <c r="ME2" s="6" t="s">
        <v>1222</v>
      </c>
      <c r="MF2" s="6" t="s">
        <v>1222</v>
      </c>
      <c r="MG2" s="6" t="s">
        <v>1222</v>
      </c>
      <c r="MH2" s="6" t="s">
        <v>1223</v>
      </c>
      <c r="MI2" s="6" t="s">
        <v>1223</v>
      </c>
      <c r="MJ2" s="6" t="s">
        <v>1223</v>
      </c>
      <c r="MK2" s="6" t="s">
        <v>1223</v>
      </c>
      <c r="ML2" s="6" t="s">
        <v>1223</v>
      </c>
      <c r="MM2" s="6" t="s">
        <v>1223</v>
      </c>
      <c r="MN2" s="6" t="s">
        <v>1223</v>
      </c>
      <c r="MO2" s="6" t="s">
        <v>1223</v>
      </c>
      <c r="MP2" s="6" t="s">
        <v>1223</v>
      </c>
      <c r="MQ2" s="6" t="s">
        <v>1223</v>
      </c>
      <c r="MR2" s="6" t="s">
        <v>1223</v>
      </c>
      <c r="MS2" s="6" t="s">
        <v>1223</v>
      </c>
      <c r="MT2" s="6" t="s">
        <v>1224</v>
      </c>
      <c r="MU2" s="6" t="s">
        <v>1224</v>
      </c>
      <c r="MV2" s="6" t="s">
        <v>1224</v>
      </c>
      <c r="MW2" s="6" t="s">
        <v>1224</v>
      </c>
      <c r="MX2" s="6" t="s">
        <v>1224</v>
      </c>
      <c r="MY2" s="6" t="s">
        <v>1224</v>
      </c>
      <c r="MZ2" s="6" t="s">
        <v>1224</v>
      </c>
      <c r="NA2" s="6" t="s">
        <v>1224</v>
      </c>
      <c r="NB2" s="6" t="s">
        <v>1224</v>
      </c>
      <c r="NC2" s="6" t="s">
        <v>1224</v>
      </c>
      <c r="ND2" s="6" t="s">
        <v>1224</v>
      </c>
      <c r="NE2" s="6" t="s">
        <v>1225</v>
      </c>
      <c r="NF2" s="6" t="s">
        <v>1225</v>
      </c>
      <c r="NG2" s="6" t="s">
        <v>1225</v>
      </c>
      <c r="NH2" s="6" t="s">
        <v>1225</v>
      </c>
      <c r="NI2" s="6" t="s">
        <v>1225</v>
      </c>
      <c r="NJ2" s="6" t="s">
        <v>1225</v>
      </c>
      <c r="NK2" s="6" t="s">
        <v>1225</v>
      </c>
      <c r="NL2" s="6" t="s">
        <v>1225</v>
      </c>
      <c r="NM2" s="6" t="s">
        <v>1225</v>
      </c>
      <c r="NN2" s="6" t="s">
        <v>1225</v>
      </c>
      <c r="NO2" s="6" t="s">
        <v>1225</v>
      </c>
      <c r="NP2" s="6" t="s">
        <v>1225</v>
      </c>
      <c r="NQ2" s="6" t="s">
        <v>1226</v>
      </c>
      <c r="NR2" s="6" t="s">
        <v>1226</v>
      </c>
      <c r="NS2" s="6" t="s">
        <v>1226</v>
      </c>
      <c r="NT2" s="6" t="s">
        <v>1226</v>
      </c>
      <c r="NU2" s="6" t="s">
        <v>1226</v>
      </c>
      <c r="NV2" s="6" t="s">
        <v>1226</v>
      </c>
      <c r="NW2" s="6" t="s">
        <v>1226</v>
      </c>
      <c r="NX2" s="6" t="s">
        <v>1227</v>
      </c>
      <c r="NY2" s="6" t="s">
        <v>1227</v>
      </c>
      <c r="NZ2" s="6" t="s">
        <v>1227</v>
      </c>
      <c r="OA2" s="6" t="s">
        <v>1227</v>
      </c>
      <c r="OB2" s="6" t="s">
        <v>1227</v>
      </c>
      <c r="OC2" s="6" t="s">
        <v>1227</v>
      </c>
      <c r="OD2" s="6" t="s">
        <v>1227</v>
      </c>
      <c r="OE2" s="6" t="s">
        <v>1228</v>
      </c>
      <c r="OF2" s="6" t="s">
        <v>1228</v>
      </c>
      <c r="OG2" s="6" t="s">
        <v>1228</v>
      </c>
      <c r="OH2" s="6" t="s">
        <v>1228</v>
      </c>
      <c r="OI2" s="6" t="s">
        <v>1228</v>
      </c>
      <c r="OJ2" s="6" t="s">
        <v>1228</v>
      </c>
      <c r="OK2" s="6" t="s">
        <v>1228</v>
      </c>
      <c r="OL2" s="6" t="s">
        <v>1228</v>
      </c>
      <c r="OM2" s="6" t="s">
        <v>1228</v>
      </c>
      <c r="ON2" s="6" t="s">
        <v>1229</v>
      </c>
      <c r="OO2" s="6" t="s">
        <v>1229</v>
      </c>
      <c r="OP2" s="6" t="s">
        <v>1229</v>
      </c>
      <c r="OQ2" s="6" t="s">
        <v>1229</v>
      </c>
      <c r="OR2" s="6" t="s">
        <v>1229</v>
      </c>
      <c r="OS2" s="6" t="s">
        <v>1229</v>
      </c>
      <c r="OT2" s="6" t="s">
        <v>1230</v>
      </c>
      <c r="OU2" s="6" t="s">
        <v>1230</v>
      </c>
      <c r="OV2" s="6" t="s">
        <v>1230</v>
      </c>
      <c r="OW2" s="6" t="s">
        <v>1230</v>
      </c>
      <c r="OX2" s="6" t="s">
        <v>1230</v>
      </c>
      <c r="OY2" s="6" t="s">
        <v>1230</v>
      </c>
      <c r="OZ2" s="6" t="s">
        <v>1230</v>
      </c>
      <c r="PA2" s="6" t="s">
        <v>1230</v>
      </c>
      <c r="PB2" s="6" t="s">
        <v>1230</v>
      </c>
      <c r="PC2" s="6" t="s">
        <v>1231</v>
      </c>
      <c r="PD2" s="6" t="s">
        <v>1231</v>
      </c>
      <c r="PE2" s="6" t="s">
        <v>1231</v>
      </c>
      <c r="PF2" s="6" t="s">
        <v>1231</v>
      </c>
      <c r="PG2" s="6" t="s">
        <v>1231</v>
      </c>
      <c r="PH2" s="6" t="s">
        <v>1231</v>
      </c>
      <c r="PI2" s="6" t="s">
        <v>1231</v>
      </c>
      <c r="PJ2" s="6" t="s">
        <v>1231</v>
      </c>
      <c r="PK2" s="6" t="s">
        <v>1231</v>
      </c>
      <c r="PL2" s="6" t="s">
        <v>1231</v>
      </c>
      <c r="PM2" s="6" t="s">
        <v>1231</v>
      </c>
      <c r="PN2" s="6" t="s">
        <v>1231</v>
      </c>
      <c r="PO2" s="6" t="s">
        <v>1231</v>
      </c>
      <c r="PP2" s="6" t="s">
        <v>1231</v>
      </c>
      <c r="PQ2" s="6" t="s">
        <v>1231</v>
      </c>
      <c r="PR2" s="6" t="s">
        <v>1231</v>
      </c>
      <c r="PS2" s="6" t="s">
        <v>1231</v>
      </c>
      <c r="PT2" s="6" t="s">
        <v>1231</v>
      </c>
      <c r="PU2" s="6" t="s">
        <v>1232</v>
      </c>
      <c r="PV2" s="6" t="s">
        <v>1232</v>
      </c>
      <c r="PW2" s="6" t="s">
        <v>1232</v>
      </c>
      <c r="PX2" s="6" t="s">
        <v>1232</v>
      </c>
      <c r="PY2" s="6" t="s">
        <v>1232</v>
      </c>
      <c r="PZ2" s="6" t="s">
        <v>1232</v>
      </c>
      <c r="QA2" s="6" t="s">
        <v>1232</v>
      </c>
      <c r="QB2" s="6" t="s">
        <v>1232</v>
      </c>
      <c r="QC2" s="6" t="s">
        <v>1232</v>
      </c>
      <c r="QD2" s="6" t="s">
        <v>1232</v>
      </c>
      <c r="QE2" s="6" t="s">
        <v>1232</v>
      </c>
      <c r="QF2" s="6" t="s">
        <v>1232</v>
      </c>
      <c r="QG2" s="6" t="s">
        <v>1232</v>
      </c>
      <c r="QH2" s="6" t="s">
        <v>1232</v>
      </c>
      <c r="QI2" s="6" t="s">
        <v>1232</v>
      </c>
      <c r="QJ2" s="6" t="s">
        <v>1232</v>
      </c>
      <c r="QK2" s="6" t="s">
        <v>1232</v>
      </c>
      <c r="QL2" s="6" t="s">
        <v>1232</v>
      </c>
      <c r="QM2" s="6" t="s">
        <v>1232</v>
      </c>
      <c r="QN2" s="6" t="s">
        <v>1232</v>
      </c>
      <c r="QO2" s="6" t="s">
        <v>1232</v>
      </c>
      <c r="QP2" s="6" t="s">
        <v>1232</v>
      </c>
      <c r="QQ2" s="6" t="s">
        <v>1232</v>
      </c>
      <c r="QR2" s="6" t="s">
        <v>1232</v>
      </c>
      <c r="QS2" s="6" t="s">
        <v>1232</v>
      </c>
      <c r="QT2" s="6" t="s">
        <v>1232</v>
      </c>
      <c r="QU2" s="6" t="s">
        <v>1233</v>
      </c>
      <c r="QV2" s="6" t="s">
        <v>1233</v>
      </c>
      <c r="QW2" s="6" t="s">
        <v>1233</v>
      </c>
      <c r="QX2" s="6" t="s">
        <v>1233</v>
      </c>
      <c r="QY2" s="6" t="s">
        <v>1233</v>
      </c>
      <c r="QZ2" s="6" t="s">
        <v>1233</v>
      </c>
      <c r="RA2" s="6" t="s">
        <v>1233</v>
      </c>
      <c r="RB2" s="6" t="s">
        <v>1233</v>
      </c>
      <c r="RC2" s="6" t="s">
        <v>1233</v>
      </c>
      <c r="RD2" s="6" t="s">
        <v>1233</v>
      </c>
      <c r="RE2" s="6" t="s">
        <v>1233</v>
      </c>
      <c r="RF2" s="6" t="s">
        <v>1233</v>
      </c>
      <c r="RG2" s="6" t="s">
        <v>1233</v>
      </c>
      <c r="RH2" s="6" t="s">
        <v>1234</v>
      </c>
      <c r="RI2" s="6" t="s">
        <v>1234</v>
      </c>
      <c r="RJ2" s="6" t="s">
        <v>1234</v>
      </c>
      <c r="RK2" s="6" t="s">
        <v>1234</v>
      </c>
      <c r="RL2" s="6" t="s">
        <v>1234</v>
      </c>
      <c r="RM2" s="6" t="s">
        <v>1234</v>
      </c>
      <c r="RN2" s="6" t="s">
        <v>1234</v>
      </c>
      <c r="RO2" s="6" t="s">
        <v>1234</v>
      </c>
      <c r="RP2" s="6" t="s">
        <v>1234</v>
      </c>
      <c r="RQ2" s="6" t="s">
        <v>1234</v>
      </c>
      <c r="RR2" s="6" t="s">
        <v>1234</v>
      </c>
      <c r="RS2" s="6" t="s">
        <v>1234</v>
      </c>
      <c r="RT2" s="6" t="s">
        <v>1234</v>
      </c>
      <c r="RU2" s="6" t="s">
        <v>1234</v>
      </c>
      <c r="RV2" s="6" t="s">
        <v>1234</v>
      </c>
      <c r="RW2" s="6" t="s">
        <v>1234</v>
      </c>
      <c r="RX2" s="6" t="s">
        <v>1234</v>
      </c>
      <c r="RY2" s="6" t="s">
        <v>1234</v>
      </c>
      <c r="RZ2" s="6" t="s">
        <v>1234</v>
      </c>
      <c r="SA2" s="6" t="s">
        <v>1234</v>
      </c>
      <c r="SB2" s="6" t="s">
        <v>1235</v>
      </c>
      <c r="SC2" s="6" t="s">
        <v>1235</v>
      </c>
      <c r="SD2" s="6" t="s">
        <v>1235</v>
      </c>
      <c r="SE2" s="6" t="s">
        <v>1235</v>
      </c>
      <c r="SF2" s="6" t="s">
        <v>1235</v>
      </c>
      <c r="SG2" s="6" t="s">
        <v>1235</v>
      </c>
      <c r="SH2" s="6" t="s">
        <v>1235</v>
      </c>
      <c r="SI2" s="6" t="s">
        <v>1235</v>
      </c>
      <c r="SJ2" s="6" t="s">
        <v>1235</v>
      </c>
      <c r="SK2" s="6" t="s">
        <v>1235</v>
      </c>
      <c r="SL2" s="6" t="s">
        <v>1235</v>
      </c>
      <c r="SM2" s="6" t="s">
        <v>1235</v>
      </c>
      <c r="SN2" s="6" t="s">
        <v>1236</v>
      </c>
      <c r="SO2" s="6" t="s">
        <v>1236</v>
      </c>
      <c r="SP2" s="6" t="s">
        <v>1236</v>
      </c>
      <c r="SQ2" s="6" t="s">
        <v>1236</v>
      </c>
      <c r="SR2" s="6" t="s">
        <v>1236</v>
      </c>
      <c r="SS2" s="6" t="s">
        <v>1236</v>
      </c>
      <c r="ST2" s="6" t="s">
        <v>1236</v>
      </c>
      <c r="SU2" s="6" t="s">
        <v>1236</v>
      </c>
      <c r="SV2" s="6" t="s">
        <v>1237</v>
      </c>
      <c r="SW2" s="6" t="s">
        <v>1237</v>
      </c>
      <c r="SX2" s="6" t="s">
        <v>1237</v>
      </c>
      <c r="SY2" s="6" t="s">
        <v>1237</v>
      </c>
      <c r="SZ2" s="6" t="s">
        <v>1237</v>
      </c>
      <c r="TA2" s="6" t="s">
        <v>1237</v>
      </c>
      <c r="TB2" s="6" t="s">
        <v>1237</v>
      </c>
      <c r="TC2" s="6" t="s">
        <v>1237</v>
      </c>
      <c r="TD2" s="6" t="s">
        <v>1237</v>
      </c>
      <c r="TE2" s="6" t="s">
        <v>1237</v>
      </c>
      <c r="TF2" s="6" t="s">
        <v>1237</v>
      </c>
      <c r="TG2" s="6" t="s">
        <v>1237</v>
      </c>
      <c r="TH2" s="6" t="s">
        <v>1237</v>
      </c>
      <c r="TI2" s="6" t="s">
        <v>1237</v>
      </c>
      <c r="TJ2" s="6" t="s">
        <v>1238</v>
      </c>
      <c r="TK2" s="6" t="s">
        <v>1238</v>
      </c>
      <c r="TL2" s="6" t="s">
        <v>1238</v>
      </c>
      <c r="TM2" s="6" t="s">
        <v>1238</v>
      </c>
      <c r="TN2" s="6" t="s">
        <v>1238</v>
      </c>
      <c r="TO2" s="6" t="s">
        <v>1238</v>
      </c>
      <c r="TP2" s="6" t="s">
        <v>1238</v>
      </c>
      <c r="TQ2" s="6" t="s">
        <v>1238</v>
      </c>
      <c r="TR2" s="6" t="s">
        <v>1238</v>
      </c>
      <c r="TS2" s="6" t="s">
        <v>1238</v>
      </c>
      <c r="TT2" s="6" t="s">
        <v>1238</v>
      </c>
      <c r="TU2" s="6" t="s">
        <v>1238</v>
      </c>
      <c r="TV2" s="6" t="s">
        <v>1238</v>
      </c>
      <c r="TW2" s="6" t="s">
        <v>1238</v>
      </c>
      <c r="TX2" s="6" t="s">
        <v>1238</v>
      </c>
      <c r="TY2" s="6" t="s">
        <v>1238</v>
      </c>
      <c r="TZ2" s="6" t="s">
        <v>1238</v>
      </c>
      <c r="UA2" s="6" t="s">
        <v>1238</v>
      </c>
      <c r="UB2" s="6" t="s">
        <v>1239</v>
      </c>
      <c r="UC2" s="6" t="s">
        <v>1239</v>
      </c>
      <c r="UD2" s="6" t="s">
        <v>1239</v>
      </c>
      <c r="UE2" s="6" t="s">
        <v>1239</v>
      </c>
      <c r="UF2" s="6" t="s">
        <v>1239</v>
      </c>
      <c r="UG2" s="6" t="s">
        <v>1239</v>
      </c>
      <c r="UH2" s="6" t="s">
        <v>1239</v>
      </c>
      <c r="UI2" s="6" t="s">
        <v>1239</v>
      </c>
      <c r="UJ2" s="6" t="s">
        <v>1239</v>
      </c>
      <c r="UK2" s="6" t="s">
        <v>1240</v>
      </c>
      <c r="UL2" s="6" t="s">
        <v>1240</v>
      </c>
      <c r="UM2" s="6" t="s">
        <v>1240</v>
      </c>
      <c r="UN2" s="6" t="s">
        <v>1240</v>
      </c>
      <c r="UO2" s="6" t="s">
        <v>1240</v>
      </c>
      <c r="UP2" s="6" t="s">
        <v>1240</v>
      </c>
      <c r="UQ2" s="6" t="s">
        <v>1241</v>
      </c>
      <c r="UR2" s="6" t="s">
        <v>1241</v>
      </c>
      <c r="US2" s="6" t="s">
        <v>1241</v>
      </c>
      <c r="UT2" s="6" t="s">
        <v>1241</v>
      </c>
      <c r="UU2" s="6" t="s">
        <v>1241</v>
      </c>
      <c r="UV2" s="6" t="s">
        <v>1241</v>
      </c>
      <c r="UW2" s="6" t="s">
        <v>1241</v>
      </c>
      <c r="UX2" s="6" t="s">
        <v>1241</v>
      </c>
      <c r="UY2" s="6" t="s">
        <v>1241</v>
      </c>
      <c r="UZ2" s="6" t="s">
        <v>1241</v>
      </c>
      <c r="VA2" s="6" t="s">
        <v>1241</v>
      </c>
      <c r="VB2" s="6" t="s">
        <v>1241</v>
      </c>
      <c r="VC2" s="6" t="s">
        <v>1241</v>
      </c>
      <c r="VD2" s="6" t="s">
        <v>1241</v>
      </c>
      <c r="VE2" s="6" t="s">
        <v>1241</v>
      </c>
      <c r="VF2" s="6" t="s">
        <v>1241</v>
      </c>
      <c r="VG2" s="6" t="s">
        <v>1241</v>
      </c>
      <c r="VH2" s="6" t="s">
        <v>1241</v>
      </c>
      <c r="VI2" s="6" t="s">
        <v>1241</v>
      </c>
      <c r="VJ2" s="6" t="s">
        <v>1241</v>
      </c>
      <c r="VK2" s="6" t="s">
        <v>1241</v>
      </c>
      <c r="VL2" s="6" t="s">
        <v>1242</v>
      </c>
      <c r="VM2" s="6" t="s">
        <v>1242</v>
      </c>
      <c r="VN2" s="6" t="s">
        <v>1242</v>
      </c>
      <c r="VO2" s="6" t="s">
        <v>1242</v>
      </c>
      <c r="VP2" s="6" t="s">
        <v>1242</v>
      </c>
      <c r="VQ2" s="6" t="s">
        <v>1242</v>
      </c>
      <c r="VR2" s="6" t="s">
        <v>1242</v>
      </c>
      <c r="VS2" s="6" t="s">
        <v>1242</v>
      </c>
      <c r="VT2" s="6" t="s">
        <v>1242</v>
      </c>
      <c r="VU2" s="6" t="s">
        <v>1242</v>
      </c>
      <c r="VV2" s="6" t="s">
        <v>1242</v>
      </c>
      <c r="VW2" s="6" t="s">
        <v>1242</v>
      </c>
      <c r="VX2" s="6" t="s">
        <v>1242</v>
      </c>
      <c r="VY2" s="6" t="s">
        <v>1242</v>
      </c>
      <c r="VZ2" s="6" t="s">
        <v>1242</v>
      </c>
      <c r="WA2" s="6" t="s">
        <v>1242</v>
      </c>
      <c r="WB2" s="6" t="s">
        <v>1243</v>
      </c>
      <c r="WC2" s="6" t="s">
        <v>1243</v>
      </c>
      <c r="WD2" s="6" t="s">
        <v>1243</v>
      </c>
      <c r="WE2" s="6" t="s">
        <v>1243</v>
      </c>
      <c r="WF2" s="6" t="s">
        <v>1243</v>
      </c>
      <c r="WG2" s="6" t="s">
        <v>1243</v>
      </c>
      <c r="WH2" s="6" t="s">
        <v>1243</v>
      </c>
      <c r="WI2" s="6" t="s">
        <v>1243</v>
      </c>
      <c r="WJ2" s="6" t="s">
        <v>1243</v>
      </c>
      <c r="WK2" s="6" t="s">
        <v>1243</v>
      </c>
      <c r="WL2" s="6" t="s">
        <v>1243</v>
      </c>
      <c r="WM2" s="6" t="s">
        <v>1243</v>
      </c>
      <c r="WN2" s="6" t="s">
        <v>1243</v>
      </c>
      <c r="WO2" s="6" t="s">
        <v>1243</v>
      </c>
      <c r="WP2" s="6" t="s">
        <v>1243</v>
      </c>
      <c r="WQ2" s="6" t="s">
        <v>1243</v>
      </c>
      <c r="WR2" s="6" t="s">
        <v>1243</v>
      </c>
      <c r="WS2" s="6" t="s">
        <v>1243</v>
      </c>
      <c r="WT2" s="6" t="s">
        <v>1243</v>
      </c>
      <c r="WU2" s="6" t="s">
        <v>1243</v>
      </c>
      <c r="WV2" s="6" t="s">
        <v>1243</v>
      </c>
      <c r="WW2" s="6" t="s">
        <v>1243</v>
      </c>
      <c r="WX2" s="6" t="s">
        <v>1243</v>
      </c>
      <c r="WY2" s="6" t="s">
        <v>1243</v>
      </c>
      <c r="WZ2" s="6" t="s">
        <v>1243</v>
      </c>
      <c r="XA2" s="6" t="s">
        <v>1243</v>
      </c>
      <c r="XB2" s="6" t="s">
        <v>1243</v>
      </c>
      <c r="XC2" s="6" t="s">
        <v>1243</v>
      </c>
      <c r="XD2" s="6" t="s">
        <v>1243</v>
      </c>
      <c r="XE2" s="6" t="s">
        <v>1243</v>
      </c>
      <c r="XF2" s="6" t="s">
        <v>1243</v>
      </c>
      <c r="XG2" s="6" t="s">
        <v>1243</v>
      </c>
      <c r="XH2" s="6" t="s">
        <v>1243</v>
      </c>
      <c r="XI2" s="6" t="s">
        <v>1244</v>
      </c>
      <c r="XJ2" s="6" t="s">
        <v>1244</v>
      </c>
      <c r="XK2" s="6" t="s">
        <v>1244</v>
      </c>
      <c r="XL2" s="6" t="s">
        <v>1244</v>
      </c>
      <c r="XM2" s="6" t="s">
        <v>1244</v>
      </c>
      <c r="XN2" s="6" t="s">
        <v>1244</v>
      </c>
      <c r="XO2" s="6" t="s">
        <v>1244</v>
      </c>
      <c r="XP2" s="6" t="s">
        <v>1244</v>
      </c>
      <c r="XQ2" s="6" t="s">
        <v>1244</v>
      </c>
      <c r="XR2" s="6" t="s">
        <v>1244</v>
      </c>
      <c r="XS2" s="6" t="s">
        <v>1244</v>
      </c>
      <c r="XT2" s="6" t="s">
        <v>1244</v>
      </c>
      <c r="XU2" s="6" t="s">
        <v>1244</v>
      </c>
      <c r="XV2" s="6" t="s">
        <v>1244</v>
      </c>
      <c r="XW2" s="6" t="s">
        <v>1244</v>
      </c>
      <c r="XX2" s="6" t="s">
        <v>1244</v>
      </c>
      <c r="XY2" s="6" t="s">
        <v>1244</v>
      </c>
      <c r="XZ2" s="6" t="s">
        <v>1244</v>
      </c>
      <c r="YA2" s="6" t="s">
        <v>1244</v>
      </c>
      <c r="YB2" s="6" t="s">
        <v>1244</v>
      </c>
      <c r="YC2" s="6" t="s">
        <v>1244</v>
      </c>
      <c r="YD2" s="6" t="s">
        <v>1244</v>
      </c>
      <c r="YE2" s="6" t="s">
        <v>1244</v>
      </c>
      <c r="YF2" s="6" t="s">
        <v>1245</v>
      </c>
      <c r="YG2" s="6" t="s">
        <v>1245</v>
      </c>
      <c r="YH2" s="6" t="s">
        <v>1245</v>
      </c>
      <c r="YI2" s="6" t="s">
        <v>1245</v>
      </c>
      <c r="YJ2" s="6" t="s">
        <v>1245</v>
      </c>
      <c r="YK2" s="6" t="s">
        <v>1245</v>
      </c>
      <c r="YL2" s="6" t="s">
        <v>1245</v>
      </c>
      <c r="YM2" s="6" t="s">
        <v>1245</v>
      </c>
      <c r="YN2" s="6" t="s">
        <v>1245</v>
      </c>
      <c r="YO2" s="6" t="s">
        <v>1245</v>
      </c>
      <c r="YP2" s="6" t="s">
        <v>1245</v>
      </c>
      <c r="YQ2" s="6" t="s">
        <v>1245</v>
      </c>
      <c r="YR2" s="6" t="s">
        <v>1245</v>
      </c>
      <c r="YS2" s="6" t="s">
        <v>1245</v>
      </c>
      <c r="YT2" s="6" t="s">
        <v>1245</v>
      </c>
      <c r="YU2" s="6" t="s">
        <v>1245</v>
      </c>
      <c r="YV2" s="6" t="s">
        <v>1245</v>
      </c>
      <c r="YW2" s="6" t="s">
        <v>1246</v>
      </c>
      <c r="YX2" s="6" t="s">
        <v>1246</v>
      </c>
      <c r="YY2" s="6" t="s">
        <v>1246</v>
      </c>
      <c r="YZ2" s="6" t="s">
        <v>1246</v>
      </c>
      <c r="ZA2" s="6" t="s">
        <v>1246</v>
      </c>
      <c r="ZB2" s="6" t="s">
        <v>1246</v>
      </c>
      <c r="ZC2" s="6" t="s">
        <v>1246</v>
      </c>
      <c r="ZD2" s="6" t="s">
        <v>1247</v>
      </c>
      <c r="ZE2" s="6" t="s">
        <v>1247</v>
      </c>
      <c r="ZF2" s="6" t="s">
        <v>1247</v>
      </c>
      <c r="ZG2" s="6" t="s">
        <v>1247</v>
      </c>
      <c r="ZH2" s="6" t="s">
        <v>1247</v>
      </c>
      <c r="ZI2" s="6" t="s">
        <v>1247</v>
      </c>
      <c r="ZJ2" s="6" t="s">
        <v>1247</v>
      </c>
      <c r="ZK2" s="6" t="s">
        <v>1247</v>
      </c>
      <c r="ZL2" s="6" t="s">
        <v>1247</v>
      </c>
      <c r="ZM2" s="6" t="s">
        <v>1248</v>
      </c>
      <c r="ZN2" s="6" t="s">
        <v>1248</v>
      </c>
      <c r="ZO2" s="6" t="s">
        <v>1248</v>
      </c>
      <c r="ZP2" s="6" t="s">
        <v>1248</v>
      </c>
      <c r="ZQ2" s="6" t="s">
        <v>1248</v>
      </c>
      <c r="ZR2" s="6" t="s">
        <v>1248</v>
      </c>
      <c r="ZS2" s="6" t="s">
        <v>1248</v>
      </c>
      <c r="ZT2" s="6" t="s">
        <v>1248</v>
      </c>
      <c r="ZU2" s="6" t="s">
        <v>1248</v>
      </c>
      <c r="ZV2" s="6" t="s">
        <v>1248</v>
      </c>
      <c r="ZW2" s="6" t="s">
        <v>1248</v>
      </c>
      <c r="ZX2" s="6" t="s">
        <v>1248</v>
      </c>
      <c r="ZY2" s="6" t="s">
        <v>1248</v>
      </c>
      <c r="ZZ2" s="6" t="s">
        <v>1248</v>
      </c>
      <c r="AAA2" s="6" t="s">
        <v>1248</v>
      </c>
      <c r="AAB2" s="6" t="s">
        <v>1248</v>
      </c>
      <c r="AAC2" s="6" t="s">
        <v>1248</v>
      </c>
      <c r="AAD2" s="6" t="s">
        <v>1248</v>
      </c>
      <c r="AAE2" s="6" t="s">
        <v>1248</v>
      </c>
      <c r="AAF2" s="6" t="s">
        <v>1248</v>
      </c>
      <c r="AAG2" s="6" t="s">
        <v>1248</v>
      </c>
      <c r="AAH2" s="6" t="s">
        <v>1248</v>
      </c>
      <c r="AAI2" s="6" t="s">
        <v>1249</v>
      </c>
      <c r="AAJ2" s="6" t="s">
        <v>1249</v>
      </c>
      <c r="AAK2" s="6" t="s">
        <v>1249</v>
      </c>
      <c r="AAL2" s="6" t="s">
        <v>1249</v>
      </c>
      <c r="AAM2" s="6" t="s">
        <v>1249</v>
      </c>
      <c r="AAN2" s="6" t="s">
        <v>1249</v>
      </c>
      <c r="AAO2" s="6" t="s">
        <v>1249</v>
      </c>
      <c r="AAP2" s="6" t="s">
        <v>1250</v>
      </c>
      <c r="AAQ2" s="6" t="s">
        <v>1250</v>
      </c>
      <c r="AAR2" s="6" t="s">
        <v>1250</v>
      </c>
      <c r="AAS2" s="6" t="s">
        <v>1250</v>
      </c>
      <c r="AAT2" s="6" t="s">
        <v>1250</v>
      </c>
      <c r="AAU2" s="6" t="s">
        <v>1250</v>
      </c>
      <c r="AAV2" s="6" t="s">
        <v>1250</v>
      </c>
      <c r="AAW2" s="6" t="s">
        <v>1250</v>
      </c>
      <c r="AAX2" s="6" t="s">
        <v>1250</v>
      </c>
      <c r="AAY2" s="6" t="s">
        <v>1250</v>
      </c>
      <c r="AAZ2" s="6" t="s">
        <v>1250</v>
      </c>
      <c r="ABA2" s="6" t="s">
        <v>1250</v>
      </c>
      <c r="ABB2" s="6" t="s">
        <v>1250</v>
      </c>
      <c r="ABC2" s="6" t="s">
        <v>1250</v>
      </c>
      <c r="ABD2" s="6" t="s">
        <v>1250</v>
      </c>
      <c r="ABE2" s="6" t="s">
        <v>1250</v>
      </c>
      <c r="ABF2" s="6" t="s">
        <v>1250</v>
      </c>
      <c r="ABG2" s="6" t="s">
        <v>1250</v>
      </c>
      <c r="ABH2" s="6" t="s">
        <v>1250</v>
      </c>
      <c r="ABI2" s="6" t="s">
        <v>1250</v>
      </c>
      <c r="ABJ2" s="6" t="s">
        <v>1250</v>
      </c>
      <c r="ABK2" s="6" t="s">
        <v>1250</v>
      </c>
      <c r="ABL2" s="6" t="s">
        <v>1250</v>
      </c>
      <c r="ABM2" s="6" t="s">
        <v>1250</v>
      </c>
      <c r="ABN2" s="6" t="s">
        <v>1250</v>
      </c>
      <c r="ABO2" s="6" t="s">
        <v>1250</v>
      </c>
      <c r="ABP2" s="6" t="s">
        <v>1251</v>
      </c>
      <c r="ABQ2" s="6" t="s">
        <v>1251</v>
      </c>
      <c r="ABR2" s="6" t="s">
        <v>1251</v>
      </c>
      <c r="ABS2" s="6" t="s">
        <v>1251</v>
      </c>
      <c r="ABT2" s="6" t="s">
        <v>1251</v>
      </c>
      <c r="ABU2" s="6" t="s">
        <v>1251</v>
      </c>
      <c r="ABV2" s="6" t="s">
        <v>1251</v>
      </c>
      <c r="ABW2" s="6" t="s">
        <v>1251</v>
      </c>
      <c r="ABX2" s="6" t="s">
        <v>1251</v>
      </c>
      <c r="ABY2" s="6" t="s">
        <v>1252</v>
      </c>
      <c r="ABZ2" s="6" t="s">
        <v>1252</v>
      </c>
      <c r="ACA2" s="6" t="s">
        <v>1252</v>
      </c>
      <c r="ACB2" s="6" t="s">
        <v>1252</v>
      </c>
      <c r="ACC2" s="6" t="s">
        <v>1252</v>
      </c>
      <c r="ACD2" s="6" t="s">
        <v>1252</v>
      </c>
      <c r="ACE2" s="6" t="s">
        <v>1252</v>
      </c>
      <c r="ACF2" s="6" t="s">
        <v>1252</v>
      </c>
      <c r="ACG2" s="6" t="s">
        <v>1252</v>
      </c>
      <c r="ACH2" s="6" t="s">
        <v>1252</v>
      </c>
      <c r="ACI2" s="6" t="s">
        <v>1252</v>
      </c>
      <c r="ACJ2" s="6" t="s">
        <v>1253</v>
      </c>
      <c r="ACK2" s="6" t="s">
        <v>1253</v>
      </c>
      <c r="ACL2" s="6" t="s">
        <v>1253</v>
      </c>
      <c r="ACM2" s="6" t="s">
        <v>1253</v>
      </c>
      <c r="ACN2" s="6" t="s">
        <v>1253</v>
      </c>
      <c r="ACO2" s="6" t="s">
        <v>1253</v>
      </c>
      <c r="ACP2" s="6" t="s">
        <v>1253</v>
      </c>
      <c r="ACQ2" s="6" t="s">
        <v>1253</v>
      </c>
      <c r="ACR2" s="6" t="s">
        <v>1253</v>
      </c>
      <c r="ACS2" s="6" t="s">
        <v>1253</v>
      </c>
      <c r="ACT2" s="6" t="s">
        <v>1253</v>
      </c>
      <c r="ACU2" s="6" t="s">
        <v>1253</v>
      </c>
      <c r="ACV2" s="6" t="s">
        <v>1253</v>
      </c>
      <c r="ACW2" s="6" t="s">
        <v>1253</v>
      </c>
      <c r="ACX2" s="6" t="s">
        <v>1253</v>
      </c>
      <c r="ACY2" s="6" t="s">
        <v>1253</v>
      </c>
      <c r="ACZ2" s="6" t="s">
        <v>1253</v>
      </c>
      <c r="ADA2" s="6" t="s">
        <v>1253</v>
      </c>
      <c r="ADB2" s="6" t="s">
        <v>1253</v>
      </c>
      <c r="ADC2" s="6" t="s">
        <v>1253</v>
      </c>
      <c r="ADD2" s="6" t="s">
        <v>1253</v>
      </c>
      <c r="ADE2" s="6" t="s">
        <v>1253</v>
      </c>
      <c r="ADF2" s="6" t="s">
        <v>1253</v>
      </c>
      <c r="ADG2" s="6" t="s">
        <v>1254</v>
      </c>
      <c r="ADH2" s="6" t="s">
        <v>1254</v>
      </c>
      <c r="ADI2" s="6" t="s">
        <v>1254</v>
      </c>
      <c r="ADJ2" s="6" t="s">
        <v>1254</v>
      </c>
      <c r="ADK2" s="6" t="s">
        <v>1254</v>
      </c>
      <c r="ADL2" s="6" t="s">
        <v>1254</v>
      </c>
      <c r="ADM2" s="6" t="s">
        <v>1254</v>
      </c>
      <c r="ADN2" s="6" t="s">
        <v>1254</v>
      </c>
      <c r="ADO2" s="6" t="s">
        <v>1254</v>
      </c>
      <c r="ADP2" s="6" t="s">
        <v>1255</v>
      </c>
      <c r="ADQ2" s="6" t="s">
        <v>1255</v>
      </c>
      <c r="ADR2" s="6" t="s">
        <v>1255</v>
      </c>
      <c r="ADS2" s="6" t="s">
        <v>1255</v>
      </c>
      <c r="ADT2" s="6" t="s">
        <v>1256</v>
      </c>
      <c r="ADU2" s="6" t="s">
        <v>1256</v>
      </c>
      <c r="ADV2" s="6" t="s">
        <v>1256</v>
      </c>
      <c r="ADW2" s="6" t="s">
        <v>1256</v>
      </c>
      <c r="ADX2" s="6" t="s">
        <v>1256</v>
      </c>
      <c r="ADY2" s="6" t="s">
        <v>1257</v>
      </c>
      <c r="ADZ2" s="6" t="s">
        <v>1257</v>
      </c>
      <c r="AEA2" s="6" t="s">
        <v>1257</v>
      </c>
      <c r="AEB2" s="6" t="s">
        <v>1257</v>
      </c>
      <c r="AEC2" s="6" t="s">
        <v>1257</v>
      </c>
      <c r="AED2" s="6" t="s">
        <v>1257</v>
      </c>
      <c r="AEE2" s="6" t="s">
        <v>1257</v>
      </c>
      <c r="AEF2" s="6" t="s">
        <v>1257</v>
      </c>
      <c r="AEG2" s="6" t="s">
        <v>1257</v>
      </c>
      <c r="AEH2" s="6" t="s">
        <v>1257</v>
      </c>
      <c r="AEI2" s="6" t="s">
        <v>1257</v>
      </c>
      <c r="AEJ2" s="6" t="s">
        <v>1257</v>
      </c>
      <c r="AEK2" s="6" t="s">
        <v>1257</v>
      </c>
      <c r="AEL2" s="6" t="s">
        <v>1257</v>
      </c>
      <c r="AEM2" s="6" t="s">
        <v>1257</v>
      </c>
      <c r="AEN2" s="6" t="s">
        <v>1257</v>
      </c>
      <c r="AEO2" s="6" t="s">
        <v>1257</v>
      </c>
      <c r="AEP2" s="6" t="s">
        <v>1257</v>
      </c>
      <c r="AEQ2" s="6" t="s">
        <v>1257</v>
      </c>
      <c r="AER2" s="6" t="s">
        <v>1257</v>
      </c>
      <c r="AES2" s="6" t="s">
        <v>1257</v>
      </c>
      <c r="AET2" s="6" t="s">
        <v>1258</v>
      </c>
      <c r="AEU2" s="6" t="s">
        <v>1258</v>
      </c>
      <c r="AEV2" s="6" t="s">
        <v>1258</v>
      </c>
      <c r="AEW2" s="6" t="s">
        <v>1258</v>
      </c>
      <c r="AEX2" s="6" t="s">
        <v>1258</v>
      </c>
      <c r="AEY2" s="6" t="s">
        <v>1258</v>
      </c>
      <c r="AEZ2" s="6" t="s">
        <v>1258</v>
      </c>
      <c r="AFA2" s="6" t="s">
        <v>1258</v>
      </c>
      <c r="AFB2" s="6" t="s">
        <v>1258</v>
      </c>
      <c r="AFC2" s="6" t="s">
        <v>1258</v>
      </c>
      <c r="AFD2" s="6" t="s">
        <v>1259</v>
      </c>
      <c r="AFE2" s="6" t="s">
        <v>1259</v>
      </c>
      <c r="AFF2" s="6" t="s">
        <v>1259</v>
      </c>
      <c r="AFG2" s="6" t="s">
        <v>1259</v>
      </c>
      <c r="AFH2" s="6" t="s">
        <v>1259</v>
      </c>
      <c r="AFI2" s="6" t="s">
        <v>1259</v>
      </c>
      <c r="AFJ2" s="6" t="s">
        <v>1259</v>
      </c>
      <c r="AFK2" s="6" t="s">
        <v>1259</v>
      </c>
      <c r="AFL2" s="6" t="s">
        <v>1259</v>
      </c>
      <c r="AFM2" s="6" t="s">
        <v>1259</v>
      </c>
      <c r="AFN2" s="6" t="s">
        <v>1259</v>
      </c>
      <c r="AFO2" s="6" t="s">
        <v>1259</v>
      </c>
      <c r="AFP2" s="6" t="s">
        <v>1259</v>
      </c>
      <c r="AFQ2" s="6" t="s">
        <v>1260</v>
      </c>
      <c r="AFR2" s="6" t="s">
        <v>1260</v>
      </c>
      <c r="AFS2" s="6" t="s">
        <v>1260</v>
      </c>
      <c r="AFT2" s="6" t="s">
        <v>1260</v>
      </c>
      <c r="AFU2" s="6" t="s">
        <v>1260</v>
      </c>
      <c r="AFV2" s="6" t="s">
        <v>1260</v>
      </c>
      <c r="AFW2" s="6" t="s">
        <v>1260</v>
      </c>
      <c r="AFX2" s="6" t="s">
        <v>1260</v>
      </c>
      <c r="AFY2" s="6" t="s">
        <v>1260</v>
      </c>
      <c r="AFZ2" s="6" t="s">
        <v>1260</v>
      </c>
      <c r="AGA2" s="6" t="s">
        <v>1260</v>
      </c>
      <c r="AGB2" s="6" t="s">
        <v>1260</v>
      </c>
      <c r="AGC2" s="6" t="s">
        <v>1261</v>
      </c>
      <c r="AGD2" s="6" t="s">
        <v>1261</v>
      </c>
      <c r="AGE2" s="6" t="s">
        <v>1261</v>
      </c>
      <c r="AGF2" s="6" t="s">
        <v>1261</v>
      </c>
      <c r="AGG2" s="6" t="s">
        <v>1261</v>
      </c>
      <c r="AGH2" s="6" t="s">
        <v>1261</v>
      </c>
      <c r="AGI2" s="6" t="s">
        <v>1261</v>
      </c>
      <c r="AGJ2" s="6" t="s">
        <v>1261</v>
      </c>
      <c r="AGK2" s="6" t="s">
        <v>1261</v>
      </c>
      <c r="AGL2" s="6" t="s">
        <v>1261</v>
      </c>
      <c r="AGM2" s="6" t="s">
        <v>1261</v>
      </c>
      <c r="AGN2" s="6" t="s">
        <v>1262</v>
      </c>
      <c r="AGO2" s="6" t="s">
        <v>1262</v>
      </c>
      <c r="AGP2" s="6" t="s">
        <v>1262</v>
      </c>
      <c r="AGQ2" s="6" t="s">
        <v>1262</v>
      </c>
      <c r="AGR2" s="6" t="s">
        <v>1262</v>
      </c>
      <c r="AGS2" s="6" t="s">
        <v>1262</v>
      </c>
      <c r="AGT2" s="6" t="s">
        <v>1262</v>
      </c>
      <c r="AGU2" s="6" t="s">
        <v>1262</v>
      </c>
      <c r="AGV2" s="6" t="s">
        <v>1263</v>
      </c>
      <c r="AGW2" s="6" t="s">
        <v>1263</v>
      </c>
      <c r="AGX2" s="6" t="s">
        <v>1263</v>
      </c>
      <c r="AGY2" s="6" t="s">
        <v>1263</v>
      </c>
      <c r="AGZ2" s="6" t="s">
        <v>1263</v>
      </c>
      <c r="AHA2" s="6" t="s">
        <v>1263</v>
      </c>
      <c r="AHB2" s="6" t="s">
        <v>1263</v>
      </c>
      <c r="AHC2" s="6" t="s">
        <v>1263</v>
      </c>
      <c r="AHD2" s="6" t="s">
        <v>1263</v>
      </c>
      <c r="AHE2" s="6" t="s">
        <v>1263</v>
      </c>
      <c r="AHF2" s="6" t="s">
        <v>1263</v>
      </c>
      <c r="AHG2" s="6" t="s">
        <v>1263</v>
      </c>
      <c r="AHH2" s="6" t="s">
        <v>1263</v>
      </c>
      <c r="AHI2" s="6" t="s">
        <v>1263</v>
      </c>
      <c r="AHJ2" s="6" t="s">
        <v>1263</v>
      </c>
      <c r="AHK2" s="6" t="s">
        <v>1263</v>
      </c>
      <c r="AHL2" s="6" t="s">
        <v>1263</v>
      </c>
      <c r="AHM2" s="6" t="s">
        <v>1264</v>
      </c>
      <c r="AHN2" s="6" t="s">
        <v>1264</v>
      </c>
      <c r="AHO2" s="6" t="s">
        <v>1264</v>
      </c>
      <c r="AHP2" s="6" t="s">
        <v>1264</v>
      </c>
      <c r="AHQ2" s="6" t="s">
        <v>1264</v>
      </c>
      <c r="AHR2" s="6" t="s">
        <v>1264</v>
      </c>
      <c r="AHS2" s="6" t="s">
        <v>1264</v>
      </c>
    </row>
    <row r="3" spans="1:905" x14ac:dyDescent="0.7">
      <c r="D3" s="6" t="s">
        <v>2606</v>
      </c>
      <c r="E3" s="6" t="s">
        <v>2610</v>
      </c>
      <c r="F3" s="6" t="s">
        <v>2614</v>
      </c>
      <c r="G3" s="6" t="s">
        <v>2618</v>
      </c>
      <c r="H3" s="6" t="s">
        <v>2622</v>
      </c>
      <c r="I3" s="6" t="s">
        <v>2626</v>
      </c>
      <c r="J3" s="6" t="s">
        <v>2630</v>
      </c>
      <c r="K3" s="6" t="s">
        <v>2634</v>
      </c>
      <c r="L3" s="6" t="s">
        <v>2638</v>
      </c>
      <c r="M3" s="6" t="s">
        <v>2642</v>
      </c>
      <c r="N3" s="6" t="s">
        <v>2646</v>
      </c>
      <c r="O3" s="6" t="s">
        <v>2650</v>
      </c>
      <c r="P3" s="6" t="s">
        <v>2654</v>
      </c>
      <c r="Q3" s="6" t="s">
        <v>2658</v>
      </c>
      <c r="R3" s="6" t="s">
        <v>2662</v>
      </c>
      <c r="S3" s="6" t="s">
        <v>2666</v>
      </c>
      <c r="T3" s="6" t="s">
        <v>2670</v>
      </c>
      <c r="U3" s="6" t="s">
        <v>2674</v>
      </c>
      <c r="V3" s="6" t="s">
        <v>2290</v>
      </c>
      <c r="W3" s="6" t="s">
        <v>2298</v>
      </c>
      <c r="X3" s="6" t="s">
        <v>2306</v>
      </c>
      <c r="Y3" s="6" t="s">
        <v>2313</v>
      </c>
      <c r="Z3" s="6" t="s">
        <v>2318</v>
      </c>
      <c r="AA3" s="6" t="s">
        <v>2322</v>
      </c>
      <c r="AB3" s="6" t="s">
        <v>2326</v>
      </c>
      <c r="AC3" s="6" t="s">
        <v>2330</v>
      </c>
      <c r="AD3" s="6" t="s">
        <v>2334</v>
      </c>
      <c r="AE3" s="6" t="s">
        <v>2338</v>
      </c>
      <c r="AF3" s="6" t="s">
        <v>2342</v>
      </c>
      <c r="AG3" s="6" t="s">
        <v>2347</v>
      </c>
      <c r="AH3" s="6" t="s">
        <v>2351</v>
      </c>
      <c r="AI3" s="6" t="s">
        <v>2355</v>
      </c>
      <c r="AJ3" s="6" t="s">
        <v>2359</v>
      </c>
      <c r="AK3" s="6" t="s">
        <v>2363</v>
      </c>
      <c r="AL3" s="6" t="s">
        <v>2367</v>
      </c>
      <c r="AM3" s="6" t="s">
        <v>2371</v>
      </c>
      <c r="AN3" s="6" t="s">
        <v>2375</v>
      </c>
      <c r="AO3" s="6" t="s">
        <v>2379</v>
      </c>
      <c r="AP3" s="6" t="s">
        <v>2383</v>
      </c>
      <c r="AQ3" s="6" t="s">
        <v>2387</v>
      </c>
      <c r="AR3" s="6" t="s">
        <v>2391</v>
      </c>
      <c r="AS3" s="6" t="s">
        <v>2395</v>
      </c>
      <c r="AT3" s="6" t="s">
        <v>2513</v>
      </c>
      <c r="AU3" s="6" t="s">
        <v>2516</v>
      </c>
      <c r="AV3" s="6" t="s">
        <v>2520</v>
      </c>
      <c r="AW3" s="6" t="s">
        <v>2524</v>
      </c>
      <c r="AX3" s="6" t="s">
        <v>2528</v>
      </c>
      <c r="AY3" s="6" t="s">
        <v>2532</v>
      </c>
      <c r="AZ3" s="6" t="s">
        <v>2536</v>
      </c>
      <c r="BA3" s="6" t="s">
        <v>2540</v>
      </c>
      <c r="BB3" s="6" t="s">
        <v>2544</v>
      </c>
      <c r="BC3" s="6" t="s">
        <v>2548</v>
      </c>
      <c r="BD3" s="6" t="s">
        <v>2552</v>
      </c>
      <c r="BE3" s="6" t="s">
        <v>2556</v>
      </c>
      <c r="BF3" s="6" t="s">
        <v>2560</v>
      </c>
      <c r="BG3" s="6" t="s">
        <v>2564</v>
      </c>
      <c r="BH3" s="6" t="s">
        <v>2568</v>
      </c>
      <c r="BI3" s="6" t="s">
        <v>2571</v>
      </c>
      <c r="BJ3" s="6" t="s">
        <v>2574</v>
      </c>
      <c r="BK3" s="6" t="s">
        <v>2578</v>
      </c>
      <c r="BL3" s="6" t="s">
        <v>2582</v>
      </c>
      <c r="BM3" s="6" t="s">
        <v>2586</v>
      </c>
      <c r="BN3" s="6" t="s">
        <v>2590</v>
      </c>
      <c r="BO3" s="6" t="s">
        <v>2594</v>
      </c>
      <c r="BP3" s="6" t="s">
        <v>2598</v>
      </c>
      <c r="BQ3" s="6" t="s">
        <v>2602</v>
      </c>
      <c r="BR3" s="6" t="s">
        <v>2482</v>
      </c>
      <c r="BS3" s="6" t="s">
        <v>2485</v>
      </c>
      <c r="BT3" s="6" t="s">
        <v>2489</v>
      </c>
      <c r="BU3" s="6" t="s">
        <v>2493</v>
      </c>
      <c r="BV3" s="6" t="s">
        <v>2497</v>
      </c>
      <c r="BW3" s="6" t="s">
        <v>2501</v>
      </c>
      <c r="BX3" s="6" t="s">
        <v>2505</v>
      </c>
      <c r="BY3" s="6" t="s">
        <v>2509</v>
      </c>
      <c r="BZ3" s="6" t="s">
        <v>2678</v>
      </c>
      <c r="CA3" s="6" t="s">
        <v>2682</v>
      </c>
      <c r="CB3" s="6" t="s">
        <v>2686</v>
      </c>
      <c r="CC3" s="6" t="s">
        <v>2690</v>
      </c>
      <c r="CD3" s="6" t="s">
        <v>2694</v>
      </c>
      <c r="CE3" s="6" t="s">
        <v>2698</v>
      </c>
      <c r="CF3" s="6" t="s">
        <v>2702</v>
      </c>
      <c r="CG3" s="6" t="s">
        <v>2431</v>
      </c>
      <c r="CH3" s="6" t="s">
        <v>2434</v>
      </c>
      <c r="CI3" s="6" t="s">
        <v>2438</v>
      </c>
      <c r="CJ3" s="6" t="s">
        <v>2442</v>
      </c>
      <c r="CK3" s="6" t="s">
        <v>2446</v>
      </c>
      <c r="CL3" s="6" t="s">
        <v>2450</v>
      </c>
      <c r="CM3" s="6" t="s">
        <v>2454</v>
      </c>
      <c r="CN3" s="6" t="s">
        <v>2458</v>
      </c>
      <c r="CO3" s="6" t="s">
        <v>2462</v>
      </c>
      <c r="CP3" s="6" t="s">
        <v>2466</v>
      </c>
      <c r="CQ3" s="6" t="s">
        <v>2470</v>
      </c>
      <c r="CR3" s="6" t="s">
        <v>2474</v>
      </c>
      <c r="CS3" s="6" t="s">
        <v>2478</v>
      </c>
      <c r="CT3" s="6" t="s">
        <v>2400</v>
      </c>
      <c r="CU3" s="6" t="s">
        <v>2403</v>
      </c>
      <c r="CV3" s="6" t="s">
        <v>2407</v>
      </c>
      <c r="CW3" s="6" t="s">
        <v>2411</v>
      </c>
      <c r="CX3" s="6" t="s">
        <v>2415</v>
      </c>
      <c r="CY3" s="6" t="s">
        <v>2419</v>
      </c>
      <c r="CZ3" s="6" t="s">
        <v>2423</v>
      </c>
      <c r="DA3" s="6" t="s">
        <v>2427</v>
      </c>
      <c r="DB3" s="6" t="s">
        <v>2741</v>
      </c>
      <c r="DC3" s="6" t="s">
        <v>2745</v>
      </c>
      <c r="DD3" s="6" t="s">
        <v>2749</v>
      </c>
      <c r="DE3" s="6" t="s">
        <v>2753</v>
      </c>
      <c r="DF3" s="6" t="s">
        <v>2757</v>
      </c>
      <c r="DG3" s="6" t="s">
        <v>2761</v>
      </c>
      <c r="DH3" s="6" t="s">
        <v>2765</v>
      </c>
      <c r="DI3" s="6" t="s">
        <v>2769</v>
      </c>
      <c r="DJ3" s="6" t="s">
        <v>2773</v>
      </c>
      <c r="DK3" s="6" t="s">
        <v>2812</v>
      </c>
      <c r="DL3" s="6" t="s">
        <v>2816</v>
      </c>
      <c r="DM3" s="6" t="s">
        <v>2820</v>
      </c>
      <c r="DN3" s="6" t="s">
        <v>2824</v>
      </c>
      <c r="DO3" s="6" t="s">
        <v>2828</v>
      </c>
      <c r="DP3" s="6" t="s">
        <v>2832</v>
      </c>
      <c r="DQ3" s="6" t="s">
        <v>2836</v>
      </c>
      <c r="DR3" s="6" t="s">
        <v>2840</v>
      </c>
      <c r="DS3" s="6" t="s">
        <v>2844</v>
      </c>
      <c r="DT3" s="6" t="s">
        <v>2848</v>
      </c>
      <c r="DU3" s="6" t="s">
        <v>2851</v>
      </c>
      <c r="DV3" s="6" t="s">
        <v>2855</v>
      </c>
      <c r="DW3" s="6" t="s">
        <v>2859</v>
      </c>
      <c r="DX3" s="6" t="s">
        <v>2863</v>
      </c>
      <c r="DY3" s="6" t="s">
        <v>2867</v>
      </c>
      <c r="DZ3" s="6" t="s">
        <v>2871</v>
      </c>
      <c r="EA3" s="6" t="s">
        <v>2875</v>
      </c>
      <c r="EB3" s="6" t="s">
        <v>2879</v>
      </c>
      <c r="EC3" s="6" t="s">
        <v>2883</v>
      </c>
      <c r="ED3" s="6" t="s">
        <v>2887</v>
      </c>
      <c r="EE3" s="6" t="s">
        <v>2777</v>
      </c>
      <c r="EF3" s="6" t="s">
        <v>2780</v>
      </c>
      <c r="EG3" s="6" t="s">
        <v>2784</v>
      </c>
      <c r="EH3" s="6" t="s">
        <v>2788</v>
      </c>
      <c r="EI3" s="6" t="s">
        <v>2792</v>
      </c>
      <c r="EJ3" s="6" t="s">
        <v>2796</v>
      </c>
      <c r="EK3" s="6" t="s">
        <v>2800</v>
      </c>
      <c r="EL3" s="6" t="s">
        <v>2804</v>
      </c>
      <c r="EM3" s="6" t="s">
        <v>2808</v>
      </c>
      <c r="EN3" s="6" t="s">
        <v>2706</v>
      </c>
      <c r="EO3" s="6" t="s">
        <v>2709</v>
      </c>
      <c r="EP3" s="6" t="s">
        <v>2713</v>
      </c>
      <c r="EQ3" s="6" t="s">
        <v>2717</v>
      </c>
      <c r="ER3" s="6" t="s">
        <v>2721</v>
      </c>
      <c r="ES3" s="6" t="s">
        <v>2725</v>
      </c>
      <c r="ET3" s="6" t="s">
        <v>2729</v>
      </c>
      <c r="EU3" s="6" t="s">
        <v>2733</v>
      </c>
      <c r="EV3" s="6" t="s">
        <v>2737</v>
      </c>
      <c r="EW3" s="6" t="s">
        <v>3008</v>
      </c>
      <c r="EX3" s="6" t="s">
        <v>3011</v>
      </c>
      <c r="EY3" s="6" t="s">
        <v>3015</v>
      </c>
      <c r="EZ3" s="6" t="s">
        <v>3019</v>
      </c>
      <c r="FA3" s="6" t="s">
        <v>3023</v>
      </c>
      <c r="FB3" s="6" t="s">
        <v>3027</v>
      </c>
      <c r="FC3" s="6" t="s">
        <v>3031</v>
      </c>
      <c r="FD3" s="6" t="s">
        <v>3035</v>
      </c>
      <c r="FE3" s="6" t="s">
        <v>3039</v>
      </c>
      <c r="FF3" s="6" t="s">
        <v>3043</v>
      </c>
      <c r="FG3" s="6" t="s">
        <v>3047</v>
      </c>
      <c r="FH3" s="6" t="s">
        <v>3051</v>
      </c>
      <c r="FI3" s="6" t="s">
        <v>2891</v>
      </c>
      <c r="FJ3" s="6" t="s">
        <v>2895</v>
      </c>
      <c r="FK3" s="6" t="s">
        <v>2899</v>
      </c>
      <c r="FL3" s="6" t="s">
        <v>2903</v>
      </c>
      <c r="FM3" s="6" t="s">
        <v>2907</v>
      </c>
      <c r="FN3" s="6" t="s">
        <v>2911</v>
      </c>
      <c r="FO3" s="6" t="s">
        <v>2915</v>
      </c>
      <c r="FP3" s="6" t="s">
        <v>2918</v>
      </c>
      <c r="FQ3" s="6" t="s">
        <v>2921</v>
      </c>
      <c r="FR3" s="6" t="s">
        <v>2925</v>
      </c>
      <c r="FS3" s="6" t="s">
        <v>2929</v>
      </c>
      <c r="FT3" s="6" t="s">
        <v>2933</v>
      </c>
      <c r="FU3" s="6" t="s">
        <v>2937</v>
      </c>
      <c r="FV3" s="6" t="s">
        <v>2941</v>
      </c>
      <c r="FW3" s="6" t="s">
        <v>2945</v>
      </c>
      <c r="FX3" s="6" t="s">
        <v>2949</v>
      </c>
      <c r="FY3" s="6" t="s">
        <v>2953</v>
      </c>
      <c r="FZ3" s="6" t="s">
        <v>2957</v>
      </c>
      <c r="GA3" s="6" t="s">
        <v>2961</v>
      </c>
      <c r="GB3" s="6" t="s">
        <v>2965</v>
      </c>
      <c r="GC3" s="6" t="s">
        <v>2969</v>
      </c>
      <c r="GD3" s="6" t="s">
        <v>2973</v>
      </c>
      <c r="GE3" s="6" t="s">
        <v>3054</v>
      </c>
      <c r="GF3" s="6" t="s">
        <v>3057</v>
      </c>
      <c r="GG3" s="6" t="s">
        <v>3061</v>
      </c>
      <c r="GH3" s="6" t="s">
        <v>3065</v>
      </c>
      <c r="GI3" s="6" t="s">
        <v>3069</v>
      </c>
      <c r="GJ3" s="6" t="s">
        <v>3073</v>
      </c>
      <c r="GK3" s="6" t="s">
        <v>3077</v>
      </c>
      <c r="GL3" s="6" t="s">
        <v>3081</v>
      </c>
      <c r="GM3" s="6" t="s">
        <v>3085</v>
      </c>
      <c r="GN3" s="6" t="s">
        <v>3089</v>
      </c>
      <c r="GO3" s="6" t="s">
        <v>3093</v>
      </c>
      <c r="GP3" s="6" t="s">
        <v>3097</v>
      </c>
      <c r="GQ3" s="6" t="s">
        <v>2977</v>
      </c>
      <c r="GR3" s="6" t="s">
        <v>2980</v>
      </c>
      <c r="GS3" s="6" t="s">
        <v>2984</v>
      </c>
      <c r="GT3" s="6" t="s">
        <v>2988</v>
      </c>
      <c r="GU3" s="6" t="s">
        <v>2992</v>
      </c>
      <c r="GV3" s="6" t="s">
        <v>2996</v>
      </c>
      <c r="GW3" s="6" t="s">
        <v>3000</v>
      </c>
      <c r="GX3" s="6" t="s">
        <v>3004</v>
      </c>
      <c r="GY3" s="6" t="s">
        <v>3364</v>
      </c>
      <c r="GZ3" s="6" t="s">
        <v>3367</v>
      </c>
      <c r="HA3" s="6" t="s">
        <v>3371</v>
      </c>
      <c r="HB3" s="6" t="s">
        <v>3375</v>
      </c>
      <c r="HC3" s="6" t="s">
        <v>3101</v>
      </c>
      <c r="HD3" s="6" t="s">
        <v>3105</v>
      </c>
      <c r="HE3" s="6" t="s">
        <v>3109</v>
      </c>
      <c r="HF3" s="6" t="s">
        <v>3113</v>
      </c>
      <c r="HG3" s="6" t="s">
        <v>3117</v>
      </c>
      <c r="HH3" s="6" t="s">
        <v>3121</v>
      </c>
      <c r="HI3" s="6" t="s">
        <v>3125</v>
      </c>
      <c r="HJ3" s="6" t="s">
        <v>6382</v>
      </c>
      <c r="HK3" s="6" t="s">
        <v>3129</v>
      </c>
      <c r="HL3" s="6" t="s">
        <v>3132</v>
      </c>
      <c r="HM3" s="6" t="s">
        <v>3136</v>
      </c>
      <c r="HN3" s="6" t="s">
        <v>3140</v>
      </c>
      <c r="HO3" s="6" t="s">
        <v>3144</v>
      </c>
      <c r="HP3" s="6" t="s">
        <v>3148</v>
      </c>
      <c r="HQ3" s="6" t="s">
        <v>3152</v>
      </c>
      <c r="HR3" s="6" t="s">
        <v>3156</v>
      </c>
      <c r="HS3" s="6" t="s">
        <v>3160</v>
      </c>
      <c r="HT3" s="6" t="s">
        <v>3163</v>
      </c>
      <c r="HU3" s="6" t="s">
        <v>3167</v>
      </c>
      <c r="HV3" s="6" t="s">
        <v>3171</v>
      </c>
      <c r="HW3" s="6" t="s">
        <v>3175</v>
      </c>
      <c r="HX3" s="6" t="s">
        <v>3179</v>
      </c>
      <c r="HY3" s="6" t="s">
        <v>3183</v>
      </c>
      <c r="HZ3" s="6" t="s">
        <v>3187</v>
      </c>
      <c r="IA3" s="6" t="s">
        <v>3191</v>
      </c>
      <c r="IB3" s="6" t="s">
        <v>3195</v>
      </c>
      <c r="IC3" s="6" t="s">
        <v>3199</v>
      </c>
      <c r="ID3" s="6" t="s">
        <v>3203</v>
      </c>
      <c r="IE3" s="6" t="s">
        <v>3207</v>
      </c>
      <c r="IF3" s="6" t="s">
        <v>3211</v>
      </c>
      <c r="IG3" s="6" t="s">
        <v>3215</v>
      </c>
      <c r="IH3" s="6" t="s">
        <v>3219</v>
      </c>
      <c r="II3" s="6" t="s">
        <v>3250</v>
      </c>
      <c r="IJ3" s="6" t="s">
        <v>3254</v>
      </c>
      <c r="IK3" s="6" t="s">
        <v>3258</v>
      </c>
      <c r="IL3" s="6" t="s">
        <v>3262</v>
      </c>
      <c r="IM3" s="6" t="s">
        <v>3266</v>
      </c>
      <c r="IN3" s="6" t="s">
        <v>3270</v>
      </c>
      <c r="IO3" s="6" t="s">
        <v>3274</v>
      </c>
      <c r="IP3" s="6" t="s">
        <v>3278</v>
      </c>
      <c r="IQ3" s="6" t="s">
        <v>3282</v>
      </c>
      <c r="IR3" s="6" t="s">
        <v>3286</v>
      </c>
      <c r="IS3" s="6" t="s">
        <v>3290</v>
      </c>
      <c r="IT3" s="6" t="s">
        <v>3317</v>
      </c>
      <c r="IU3" s="6" t="s">
        <v>3320</v>
      </c>
      <c r="IV3" s="6" t="s">
        <v>3324</v>
      </c>
      <c r="IW3" s="6" t="s">
        <v>3328</v>
      </c>
      <c r="IX3" s="6" t="s">
        <v>3332</v>
      </c>
      <c r="IY3" s="6" t="s">
        <v>3336</v>
      </c>
      <c r="IZ3" s="6" t="s">
        <v>3340</v>
      </c>
      <c r="JA3" s="6" t="s">
        <v>3344</v>
      </c>
      <c r="JB3" s="6" t="s">
        <v>3348</v>
      </c>
      <c r="JC3" s="6" t="s">
        <v>3352</v>
      </c>
      <c r="JD3" s="6" t="s">
        <v>3356</v>
      </c>
      <c r="JE3" s="6" t="s">
        <v>3360</v>
      </c>
      <c r="JF3" s="6" t="s">
        <v>3294</v>
      </c>
      <c r="JG3" s="6" t="s">
        <v>3297</v>
      </c>
      <c r="JH3" s="6" t="s">
        <v>3301</v>
      </c>
      <c r="JI3" s="6" t="s">
        <v>3305</v>
      </c>
      <c r="JJ3" s="6" t="s">
        <v>3309</v>
      </c>
      <c r="JK3" s="6" t="s">
        <v>3313</v>
      </c>
      <c r="JL3" s="6" t="s">
        <v>3223</v>
      </c>
      <c r="JM3" s="6" t="s">
        <v>3226</v>
      </c>
      <c r="JN3" s="6" t="s">
        <v>3230</v>
      </c>
      <c r="JO3" s="6" t="s">
        <v>3234</v>
      </c>
      <c r="JP3" s="6" t="s">
        <v>3238</v>
      </c>
      <c r="JQ3" s="6" t="s">
        <v>3242</v>
      </c>
      <c r="JR3" s="6" t="s">
        <v>3246</v>
      </c>
      <c r="JS3" s="6" t="s">
        <v>3422</v>
      </c>
      <c r="JT3" s="6" t="s">
        <v>3426</v>
      </c>
      <c r="JU3" s="6" t="s">
        <v>3430</v>
      </c>
      <c r="JV3" s="6" t="s">
        <v>3434</v>
      </c>
      <c r="JW3" s="6" t="s">
        <v>3438</v>
      </c>
      <c r="JX3" s="6" t="s">
        <v>3442</v>
      </c>
      <c r="JY3" s="6" t="s">
        <v>3446</v>
      </c>
      <c r="JZ3" s="6" t="s">
        <v>3450</v>
      </c>
      <c r="KA3" s="6" t="s">
        <v>3454</v>
      </c>
      <c r="KB3" s="6" t="s">
        <v>3458</v>
      </c>
      <c r="KC3" s="6" t="s">
        <v>3462</v>
      </c>
      <c r="KD3" s="6" t="s">
        <v>3466</v>
      </c>
      <c r="KE3" s="6" t="s">
        <v>3470</v>
      </c>
      <c r="KF3" s="6" t="s">
        <v>3474</v>
      </c>
      <c r="KG3" s="6" t="s">
        <v>3478</v>
      </c>
      <c r="KH3" s="6" t="s">
        <v>5918</v>
      </c>
      <c r="KI3" s="6" t="s">
        <v>3522</v>
      </c>
      <c r="KJ3" s="6" t="s">
        <v>3525</v>
      </c>
      <c r="KK3" s="6" t="s">
        <v>3529</v>
      </c>
      <c r="KL3" s="6" t="s">
        <v>3533</v>
      </c>
      <c r="KM3" s="6" t="s">
        <v>3537</v>
      </c>
      <c r="KN3" s="6" t="s">
        <v>3541</v>
      </c>
      <c r="KO3" s="6" t="s">
        <v>3545</v>
      </c>
      <c r="KP3" s="6" t="s">
        <v>3549</v>
      </c>
      <c r="KQ3" s="6" t="s">
        <v>3553</v>
      </c>
      <c r="KR3" s="6" t="s">
        <v>3608</v>
      </c>
      <c r="KS3" s="6" t="s">
        <v>3611</v>
      </c>
      <c r="KT3" s="6" t="s">
        <v>3615</v>
      </c>
      <c r="KU3" s="6" t="s">
        <v>3619</v>
      </c>
      <c r="KV3" s="6" t="s">
        <v>3623</v>
      </c>
      <c r="KW3" s="6" t="s">
        <v>3627</v>
      </c>
      <c r="KX3" s="6" t="s">
        <v>3631</v>
      </c>
      <c r="KY3" s="6" t="s">
        <v>3635</v>
      </c>
      <c r="KZ3" s="6" t="s">
        <v>3576</v>
      </c>
      <c r="LA3" s="6" t="s">
        <v>3580</v>
      </c>
      <c r="LB3" s="6" t="s">
        <v>3584</v>
      </c>
      <c r="LC3" s="6" t="s">
        <v>3588</v>
      </c>
      <c r="LD3" s="6" t="s">
        <v>3592</v>
      </c>
      <c r="LE3" s="6" t="s">
        <v>3596</v>
      </c>
      <c r="LF3" s="6" t="s">
        <v>3600</v>
      </c>
      <c r="LG3" s="6" t="s">
        <v>3604</v>
      </c>
      <c r="LH3" s="6" t="s">
        <v>3379</v>
      </c>
      <c r="LI3" s="6" t="s">
        <v>3382</v>
      </c>
      <c r="LJ3" s="6" t="s">
        <v>3386</v>
      </c>
      <c r="LK3" s="6" t="s">
        <v>3390</v>
      </c>
      <c r="LL3" s="6" t="s">
        <v>3394</v>
      </c>
      <c r="LM3" s="6" t="s">
        <v>3398</v>
      </c>
      <c r="LN3" s="6" t="s">
        <v>3402</v>
      </c>
      <c r="LO3" s="6" t="s">
        <v>3406</v>
      </c>
      <c r="LP3" s="6" t="s">
        <v>3410</v>
      </c>
      <c r="LQ3" s="6" t="s">
        <v>3414</v>
      </c>
      <c r="LR3" s="6" t="s">
        <v>3418</v>
      </c>
      <c r="LS3" s="6" t="s">
        <v>3564</v>
      </c>
      <c r="LT3" s="6" t="s">
        <v>3568</v>
      </c>
      <c r="LU3" s="6" t="s">
        <v>3572</v>
      </c>
      <c r="LV3" s="6" t="s">
        <v>3557</v>
      </c>
      <c r="LW3" s="6" t="s">
        <v>3560</v>
      </c>
      <c r="LX3" s="6" t="s">
        <v>3482</v>
      </c>
      <c r="LY3" s="6" t="s">
        <v>3486</v>
      </c>
      <c r="LZ3" s="6" t="s">
        <v>3490</v>
      </c>
      <c r="MA3" s="6" t="s">
        <v>3494</v>
      </c>
      <c r="MB3" s="6" t="s">
        <v>3498</v>
      </c>
      <c r="MC3" s="6" t="s">
        <v>3502</v>
      </c>
      <c r="MD3" s="6" t="s">
        <v>3506</v>
      </c>
      <c r="ME3" s="6" t="s">
        <v>3510</v>
      </c>
      <c r="MF3" s="6" t="s">
        <v>3514</v>
      </c>
      <c r="MG3" s="6" t="s">
        <v>3518</v>
      </c>
      <c r="MH3" s="6" t="s">
        <v>3742</v>
      </c>
      <c r="MI3" s="6" t="s">
        <v>3746</v>
      </c>
      <c r="MJ3" s="6" t="s">
        <v>3750</v>
      </c>
      <c r="MK3" s="6" t="s">
        <v>3754</v>
      </c>
      <c r="ML3" s="6" t="s">
        <v>3758</v>
      </c>
      <c r="MM3" s="6" t="s">
        <v>3762</v>
      </c>
      <c r="MN3" s="6" t="s">
        <v>3766</v>
      </c>
      <c r="MO3" s="6" t="s">
        <v>3770</v>
      </c>
      <c r="MP3" s="6" t="s">
        <v>3774</v>
      </c>
      <c r="MQ3" s="6" t="s">
        <v>3778</v>
      </c>
      <c r="MR3" s="6" t="s">
        <v>3782</v>
      </c>
      <c r="MS3" s="6" t="s">
        <v>3786</v>
      </c>
      <c r="MT3" s="6" t="s">
        <v>3817</v>
      </c>
      <c r="MU3" s="6" t="s">
        <v>3821</v>
      </c>
      <c r="MV3" s="6" t="s">
        <v>3825</v>
      </c>
      <c r="MW3" s="6" t="s">
        <v>3829</v>
      </c>
      <c r="MX3" s="6" t="s">
        <v>3833</v>
      </c>
      <c r="MY3" s="6" t="s">
        <v>3837</v>
      </c>
      <c r="MZ3" s="6" t="s">
        <v>3841</v>
      </c>
      <c r="NA3" s="6" t="s">
        <v>3845</v>
      </c>
      <c r="NB3" s="6" t="s">
        <v>3849</v>
      </c>
      <c r="NC3" s="6" t="s">
        <v>3853</v>
      </c>
      <c r="ND3" s="6" t="s">
        <v>3857</v>
      </c>
      <c r="NE3" s="6" t="s">
        <v>3661</v>
      </c>
      <c r="NF3" s="6" t="s">
        <v>3664</v>
      </c>
      <c r="NG3" s="6" t="s">
        <v>3668</v>
      </c>
      <c r="NH3" s="6" t="s">
        <v>3672</v>
      </c>
      <c r="NI3" s="6" t="s">
        <v>3676</v>
      </c>
      <c r="NJ3" s="6" t="s">
        <v>3680</v>
      </c>
      <c r="NK3" s="6" t="s">
        <v>3684</v>
      </c>
      <c r="NL3" s="6" t="s">
        <v>3688</v>
      </c>
      <c r="NM3" s="6" t="s">
        <v>3692</v>
      </c>
      <c r="NN3" s="6" t="s">
        <v>3696</v>
      </c>
      <c r="NO3" s="6" t="s">
        <v>3700</v>
      </c>
      <c r="NP3" s="6" t="s">
        <v>3704</v>
      </c>
      <c r="NQ3" s="6" t="s">
        <v>3790</v>
      </c>
      <c r="NR3" s="6" t="s">
        <v>3793</v>
      </c>
      <c r="NS3" s="6" t="s">
        <v>3797</v>
      </c>
      <c r="NT3" s="6" t="s">
        <v>3801</v>
      </c>
      <c r="NU3" s="6" t="s">
        <v>3805</v>
      </c>
      <c r="NV3" s="6" t="s">
        <v>3809</v>
      </c>
      <c r="NW3" s="6" t="s">
        <v>3813</v>
      </c>
      <c r="NX3" s="6" t="s">
        <v>3861</v>
      </c>
      <c r="NY3" s="6" t="s">
        <v>3865</v>
      </c>
      <c r="NZ3" s="6" t="s">
        <v>3869</v>
      </c>
      <c r="OA3" s="6" t="s">
        <v>3873</v>
      </c>
      <c r="OB3" s="6" t="s">
        <v>3877</v>
      </c>
      <c r="OC3" s="6" t="s">
        <v>3881</v>
      </c>
      <c r="OD3" s="6" t="s">
        <v>3885</v>
      </c>
      <c r="OE3" s="6" t="s">
        <v>3707</v>
      </c>
      <c r="OF3" s="6" t="s">
        <v>3710</v>
      </c>
      <c r="OG3" s="6" t="s">
        <v>3714</v>
      </c>
      <c r="OH3" s="6" t="s">
        <v>3718</v>
      </c>
      <c r="OI3" s="6" t="s">
        <v>3722</v>
      </c>
      <c r="OJ3" s="6" t="s">
        <v>3726</v>
      </c>
      <c r="OK3" s="6" t="s">
        <v>3730</v>
      </c>
      <c r="OL3" s="6" t="s">
        <v>3734</v>
      </c>
      <c r="OM3" s="6" t="s">
        <v>3738</v>
      </c>
      <c r="ON3" s="6" t="s">
        <v>3639</v>
      </c>
      <c r="OO3" s="6" t="s">
        <v>3642</v>
      </c>
      <c r="OP3" s="6" t="s">
        <v>3646</v>
      </c>
      <c r="OQ3" s="6" t="s">
        <v>3650</v>
      </c>
      <c r="OR3" s="6" t="s">
        <v>3654</v>
      </c>
      <c r="OS3" s="6" t="s">
        <v>3658</v>
      </c>
      <c r="OT3" s="6" t="s">
        <v>3889</v>
      </c>
      <c r="OU3" s="6" t="s">
        <v>3893</v>
      </c>
      <c r="OV3" s="6" t="s">
        <v>3897</v>
      </c>
      <c r="OW3" s="6" t="s">
        <v>3901</v>
      </c>
      <c r="OX3" s="6" t="s">
        <v>3905</v>
      </c>
      <c r="OY3" s="6" t="s">
        <v>3909</v>
      </c>
      <c r="OZ3" s="6" t="s">
        <v>3913</v>
      </c>
      <c r="PA3" s="6" t="s">
        <v>3917</v>
      </c>
      <c r="PB3" s="6" t="s">
        <v>3921</v>
      </c>
      <c r="PC3" s="6" t="s">
        <v>4156</v>
      </c>
      <c r="PD3" s="6" t="s">
        <v>4159</v>
      </c>
      <c r="PE3" s="6" t="s">
        <v>4163</v>
      </c>
      <c r="PF3" s="6" t="s">
        <v>4166</v>
      </c>
      <c r="PG3" s="6" t="s">
        <v>4170</v>
      </c>
      <c r="PH3" s="6" t="s">
        <v>4174</v>
      </c>
      <c r="PI3" s="6" t="s">
        <v>4178</v>
      </c>
      <c r="PJ3" s="6" t="s">
        <v>4182</v>
      </c>
      <c r="PK3" s="6" t="s">
        <v>4186</v>
      </c>
      <c r="PL3" s="6" t="s">
        <v>4190</v>
      </c>
      <c r="PM3" s="6" t="s">
        <v>4194</v>
      </c>
      <c r="PN3" s="6" t="s">
        <v>4198</v>
      </c>
      <c r="PO3" s="6" t="s">
        <v>4202</v>
      </c>
      <c r="PP3" s="6" t="s">
        <v>4206</v>
      </c>
      <c r="PQ3" s="6" t="s">
        <v>4210</v>
      </c>
      <c r="PR3" s="6" t="s">
        <v>4214</v>
      </c>
      <c r="PS3" s="6" t="s">
        <v>4218</v>
      </c>
      <c r="PT3" s="6" t="s">
        <v>4222</v>
      </c>
      <c r="PU3" s="6" t="s">
        <v>3925</v>
      </c>
      <c r="PV3" s="6" t="s">
        <v>3928</v>
      </c>
      <c r="PW3" s="6" t="s">
        <v>3932</v>
      </c>
      <c r="PX3" s="6" t="s">
        <v>3936</v>
      </c>
      <c r="PY3" s="6" t="s">
        <v>3940</v>
      </c>
      <c r="PZ3" s="6" t="s">
        <v>3944</v>
      </c>
      <c r="QA3" s="6" t="s">
        <v>3948</v>
      </c>
      <c r="QB3" s="6" t="s">
        <v>3952</v>
      </c>
      <c r="QC3" s="6" t="s">
        <v>3956</v>
      </c>
      <c r="QD3" s="6" t="s">
        <v>3960</v>
      </c>
      <c r="QE3" s="6" t="s">
        <v>3964</v>
      </c>
      <c r="QF3" s="6" t="s">
        <v>3968</v>
      </c>
      <c r="QG3" s="6" t="s">
        <v>3972</v>
      </c>
      <c r="QH3" s="6" t="s">
        <v>3976</v>
      </c>
      <c r="QI3" s="6" t="s">
        <v>3980</v>
      </c>
      <c r="QJ3" s="6" t="s">
        <v>3984</v>
      </c>
      <c r="QK3" s="6" t="s">
        <v>3988</v>
      </c>
      <c r="QL3" s="6" t="s">
        <v>3992</v>
      </c>
      <c r="QM3" s="6" t="s">
        <v>3996</v>
      </c>
      <c r="QN3" s="6" t="s">
        <v>4000</v>
      </c>
      <c r="QO3" s="6" t="s">
        <v>4004</v>
      </c>
      <c r="QP3" s="6" t="s">
        <v>4008</v>
      </c>
      <c r="QQ3" s="6" t="s">
        <v>4012</v>
      </c>
      <c r="QR3" s="6" t="s">
        <v>4016</v>
      </c>
      <c r="QS3" s="6" t="s">
        <v>4020</v>
      </c>
      <c r="QT3" s="6" t="s">
        <v>4024</v>
      </c>
      <c r="QU3" s="6" t="s">
        <v>4028</v>
      </c>
      <c r="QV3" s="6" t="s">
        <v>4031</v>
      </c>
      <c r="QW3" s="6" t="s">
        <v>4035</v>
      </c>
      <c r="QX3" s="6" t="s">
        <v>4039</v>
      </c>
      <c r="QY3" s="6" t="s">
        <v>4043</v>
      </c>
      <c r="QZ3" s="6" t="s">
        <v>4047</v>
      </c>
      <c r="RA3" s="6" t="s">
        <v>4051</v>
      </c>
      <c r="RB3" s="6" t="s">
        <v>4055</v>
      </c>
      <c r="RC3" s="6" t="s">
        <v>4059</v>
      </c>
      <c r="RD3" s="6" t="s">
        <v>4063</v>
      </c>
      <c r="RE3" s="6" t="s">
        <v>4067</v>
      </c>
      <c r="RF3" s="6" t="s">
        <v>4071</v>
      </c>
      <c r="RG3" s="6" t="s">
        <v>4075</v>
      </c>
      <c r="RH3" s="6" t="s">
        <v>4079</v>
      </c>
      <c r="RI3" s="6" t="s">
        <v>4082</v>
      </c>
      <c r="RJ3" s="6" t="s">
        <v>4086</v>
      </c>
      <c r="RK3" s="6" t="s">
        <v>4090</v>
      </c>
      <c r="RL3" s="6" t="s">
        <v>4094</v>
      </c>
      <c r="RM3" s="6" t="s">
        <v>4098</v>
      </c>
      <c r="RN3" s="6" t="s">
        <v>4102</v>
      </c>
      <c r="RO3" s="6" t="s">
        <v>4106</v>
      </c>
      <c r="RP3" s="6" t="s">
        <v>4110</v>
      </c>
      <c r="RQ3" s="6" t="s">
        <v>4114</v>
      </c>
      <c r="RR3" s="6" t="s">
        <v>4118</v>
      </c>
      <c r="RS3" s="6" t="s">
        <v>4122</v>
      </c>
      <c r="RT3" s="6" t="s">
        <v>4126</v>
      </c>
      <c r="RU3" s="6" t="s">
        <v>4130</v>
      </c>
      <c r="RV3" s="6" t="s">
        <v>4134</v>
      </c>
      <c r="RW3" s="6" t="s">
        <v>4138</v>
      </c>
      <c r="RX3" s="6" t="s">
        <v>4142</v>
      </c>
      <c r="RY3" s="6" t="s">
        <v>4146</v>
      </c>
      <c r="RZ3" s="6" t="s">
        <v>4149</v>
      </c>
      <c r="SA3" s="6" t="s">
        <v>4153</v>
      </c>
      <c r="SB3" s="6" t="s">
        <v>4522</v>
      </c>
      <c r="SC3" s="6" t="s">
        <v>4525</v>
      </c>
      <c r="SD3" s="6" t="s">
        <v>4529</v>
      </c>
      <c r="SE3" s="6" t="s">
        <v>4533</v>
      </c>
      <c r="SF3" s="6" t="s">
        <v>4537</v>
      </c>
      <c r="SG3" s="6" t="s">
        <v>4541</v>
      </c>
      <c r="SH3" s="6" t="s">
        <v>4545</v>
      </c>
      <c r="SI3" s="6" t="s">
        <v>4549</v>
      </c>
      <c r="SJ3" s="6" t="s">
        <v>4553</v>
      </c>
      <c r="SK3" s="6" t="s">
        <v>4557</v>
      </c>
      <c r="SL3" s="6" t="s">
        <v>4561</v>
      </c>
      <c r="SM3" s="6" t="s">
        <v>4565</v>
      </c>
      <c r="SN3" s="6" t="s">
        <v>4226</v>
      </c>
      <c r="SO3" s="6" t="s">
        <v>4229</v>
      </c>
      <c r="SP3" s="6" t="s">
        <v>4233</v>
      </c>
      <c r="SQ3" s="6" t="s">
        <v>4237</v>
      </c>
      <c r="SR3" s="6" t="s">
        <v>4241</v>
      </c>
      <c r="SS3" s="6" t="s">
        <v>4245</v>
      </c>
      <c r="ST3" s="6" t="s">
        <v>4249</v>
      </c>
      <c r="SU3" s="6" t="s">
        <v>4253</v>
      </c>
      <c r="SV3" s="6" t="s">
        <v>4361</v>
      </c>
      <c r="SW3" s="6" t="s">
        <v>4364</v>
      </c>
      <c r="SX3" s="6" t="s">
        <v>4368</v>
      </c>
      <c r="SY3" s="6" t="s">
        <v>4372</v>
      </c>
      <c r="SZ3" s="6" t="s">
        <v>4376</v>
      </c>
      <c r="TA3" s="6" t="s">
        <v>4380</v>
      </c>
      <c r="TB3" s="6" t="s">
        <v>4384</v>
      </c>
      <c r="TC3" s="6" t="s">
        <v>4388</v>
      </c>
      <c r="TD3" s="6" t="s">
        <v>4392</v>
      </c>
      <c r="TE3" s="6" t="s">
        <v>4396</v>
      </c>
      <c r="TF3" s="6" t="s">
        <v>4400</v>
      </c>
      <c r="TG3" s="6" t="s">
        <v>4404</v>
      </c>
      <c r="TH3" s="6" t="s">
        <v>4408</v>
      </c>
      <c r="TI3" s="6" t="s">
        <v>4412</v>
      </c>
      <c r="TJ3" s="6" t="s">
        <v>4451</v>
      </c>
      <c r="TK3" s="6" t="s">
        <v>4454</v>
      </c>
      <c r="TL3" s="6" t="s">
        <v>4458</v>
      </c>
      <c r="TM3" s="6" t="s">
        <v>4462</v>
      </c>
      <c r="TN3" s="6" t="s">
        <v>4466</v>
      </c>
      <c r="TO3" s="6" t="s">
        <v>4470</v>
      </c>
      <c r="TP3" s="6" t="s">
        <v>4474</v>
      </c>
      <c r="TQ3" s="6" t="s">
        <v>4478</v>
      </c>
      <c r="TR3" s="6" t="s">
        <v>4482</v>
      </c>
      <c r="TS3" s="6" t="s">
        <v>4486</v>
      </c>
      <c r="TT3" s="6" t="s">
        <v>4490</v>
      </c>
      <c r="TU3" s="6" t="s">
        <v>4494</v>
      </c>
      <c r="TV3" s="6" t="s">
        <v>4498</v>
      </c>
      <c r="TW3" s="6" t="s">
        <v>4502</v>
      </c>
      <c r="TX3" s="6" t="s">
        <v>4506</v>
      </c>
      <c r="TY3" s="6" t="s">
        <v>4510</v>
      </c>
      <c r="TZ3" s="6" t="s">
        <v>4514</v>
      </c>
      <c r="UA3" s="6" t="s">
        <v>4518</v>
      </c>
      <c r="UB3" s="6" t="s">
        <v>4416</v>
      </c>
      <c r="UC3" s="6" t="s">
        <v>4419</v>
      </c>
      <c r="UD3" s="6" t="s">
        <v>4423</v>
      </c>
      <c r="UE3" s="6" t="s">
        <v>4427</v>
      </c>
      <c r="UF3" s="6" t="s">
        <v>4431</v>
      </c>
      <c r="UG3" s="6" t="s">
        <v>4435</v>
      </c>
      <c r="UH3" s="6" t="s">
        <v>4439</v>
      </c>
      <c r="UI3" s="6" t="s">
        <v>4443</v>
      </c>
      <c r="UJ3" s="6" t="s">
        <v>4447</v>
      </c>
      <c r="UK3" s="6" t="s">
        <v>4257</v>
      </c>
      <c r="UL3" s="6" t="s">
        <v>4260</v>
      </c>
      <c r="UM3" s="6" t="s">
        <v>4264</v>
      </c>
      <c r="UN3" s="6" t="s">
        <v>4268</v>
      </c>
      <c r="UO3" s="6" t="s">
        <v>4272</v>
      </c>
      <c r="UP3" s="6" t="s">
        <v>4276</v>
      </c>
      <c r="UQ3" s="6" t="s">
        <v>4280</v>
      </c>
      <c r="UR3" s="6" t="s">
        <v>4283</v>
      </c>
      <c r="US3" s="6" t="s">
        <v>4287</v>
      </c>
      <c r="UT3" s="6" t="s">
        <v>4291</v>
      </c>
      <c r="UU3" s="6" t="s">
        <v>4295</v>
      </c>
      <c r="UV3" s="6" t="s">
        <v>4299</v>
      </c>
      <c r="UW3" s="6" t="s">
        <v>4303</v>
      </c>
      <c r="UX3" s="6" t="s">
        <v>4307</v>
      </c>
      <c r="UY3" s="6" t="s">
        <v>4311</v>
      </c>
      <c r="UZ3" s="6" t="s">
        <v>4315</v>
      </c>
      <c r="VA3" s="6" t="s">
        <v>4319</v>
      </c>
      <c r="VB3" s="6" t="s">
        <v>4323</v>
      </c>
      <c r="VC3" s="6" t="s">
        <v>4327</v>
      </c>
      <c r="VD3" s="6" t="s">
        <v>4331</v>
      </c>
      <c r="VE3" s="6" t="s">
        <v>4335</v>
      </c>
      <c r="VF3" s="6" t="s">
        <v>4339</v>
      </c>
      <c r="VG3" s="6" t="s">
        <v>4343</v>
      </c>
      <c r="VH3" s="6" t="s">
        <v>4347</v>
      </c>
      <c r="VI3" s="6" t="s">
        <v>4351</v>
      </c>
      <c r="VJ3" s="6" t="s">
        <v>4355</v>
      </c>
      <c r="VK3" s="6" t="s">
        <v>4358</v>
      </c>
      <c r="VL3" s="6" t="s">
        <v>4850</v>
      </c>
      <c r="VM3" s="6" t="s">
        <v>4853</v>
      </c>
      <c r="VN3" s="6" t="s">
        <v>4856</v>
      </c>
      <c r="VO3" s="6" t="s">
        <v>4860</v>
      </c>
      <c r="VP3" s="6" t="s">
        <v>4864</v>
      </c>
      <c r="VQ3" s="6" t="s">
        <v>4868</v>
      </c>
      <c r="VR3" s="6" t="s">
        <v>4872</v>
      </c>
      <c r="VS3" s="6" t="s">
        <v>4876</v>
      </c>
      <c r="VT3" s="6" t="s">
        <v>4880</v>
      </c>
      <c r="VU3" s="6" t="s">
        <v>4884</v>
      </c>
      <c r="VV3" s="6" t="s">
        <v>4888</v>
      </c>
      <c r="VW3" s="6" t="s">
        <v>4892</v>
      </c>
      <c r="VX3" s="6" t="s">
        <v>4896</v>
      </c>
      <c r="VY3" s="6" t="s">
        <v>4900</v>
      </c>
      <c r="VZ3" s="6" t="s">
        <v>4904</v>
      </c>
      <c r="WA3" s="6" t="s">
        <v>4908</v>
      </c>
      <c r="WB3" s="6" t="s">
        <v>4569</v>
      </c>
      <c r="WC3" s="6" t="s">
        <v>4573</v>
      </c>
      <c r="WD3" s="6" t="s">
        <v>4577</v>
      </c>
      <c r="WE3" s="6" t="s">
        <v>4581</v>
      </c>
      <c r="WF3" s="6" t="s">
        <v>4585</v>
      </c>
      <c r="WG3" s="6" t="s">
        <v>4589</v>
      </c>
      <c r="WH3" s="6" t="s">
        <v>4593</v>
      </c>
      <c r="WI3" s="6" t="s">
        <v>4597</v>
      </c>
      <c r="WJ3" s="6" t="s">
        <v>4601</v>
      </c>
      <c r="WK3" s="6" t="s">
        <v>4605</v>
      </c>
      <c r="WL3" s="6" t="s">
        <v>4609</v>
      </c>
      <c r="WM3" s="6" t="s">
        <v>4613</v>
      </c>
      <c r="WN3" s="6" t="s">
        <v>4617</v>
      </c>
      <c r="WO3" s="6" t="s">
        <v>4621</v>
      </c>
      <c r="WP3" s="6" t="s">
        <v>4625</v>
      </c>
      <c r="WQ3" s="6" t="s">
        <v>4629</v>
      </c>
      <c r="WR3" s="6" t="s">
        <v>4633</v>
      </c>
      <c r="WS3" s="6" t="s">
        <v>4637</v>
      </c>
      <c r="WT3" s="6" t="s">
        <v>4641</v>
      </c>
      <c r="WU3" s="6" t="s">
        <v>4645</v>
      </c>
      <c r="WV3" s="6" t="s">
        <v>4649</v>
      </c>
      <c r="WW3" s="6" t="s">
        <v>4653</v>
      </c>
      <c r="WX3" s="6" t="s">
        <v>4657</v>
      </c>
      <c r="WY3" s="6" t="s">
        <v>4661</v>
      </c>
      <c r="WZ3" s="6" t="s">
        <v>4665</v>
      </c>
      <c r="XA3" s="6" t="s">
        <v>4669</v>
      </c>
      <c r="XB3" s="6" t="s">
        <v>4673</v>
      </c>
      <c r="XC3" s="6" t="s">
        <v>4677</v>
      </c>
      <c r="XD3" s="6" t="s">
        <v>4681</v>
      </c>
      <c r="XE3" s="6" t="s">
        <v>4685</v>
      </c>
      <c r="XF3" s="6" t="s">
        <v>4688</v>
      </c>
      <c r="XG3" s="6" t="s">
        <v>4691</v>
      </c>
      <c r="XH3" s="6" t="s">
        <v>4694</v>
      </c>
      <c r="XI3" s="6" t="s">
        <v>4697</v>
      </c>
      <c r="XJ3" s="6" t="s">
        <v>4700</v>
      </c>
      <c r="XK3" s="6" t="s">
        <v>4704</v>
      </c>
      <c r="XL3" s="6" t="s">
        <v>4708</v>
      </c>
      <c r="XM3" s="6" t="s">
        <v>4712</v>
      </c>
      <c r="XN3" s="6" t="s">
        <v>4716</v>
      </c>
      <c r="XO3" s="6" t="s">
        <v>4720</v>
      </c>
      <c r="XP3" s="6" t="s">
        <v>4724</v>
      </c>
      <c r="XQ3" s="6" t="s">
        <v>4728</v>
      </c>
      <c r="XR3" s="6" t="s">
        <v>4732</v>
      </c>
      <c r="XS3" s="6" t="s">
        <v>4736</v>
      </c>
      <c r="XT3" s="6" t="s">
        <v>4740</v>
      </c>
      <c r="XU3" s="6" t="s">
        <v>4744</v>
      </c>
      <c r="XV3" s="6" t="s">
        <v>4748</v>
      </c>
      <c r="XW3" s="6" t="s">
        <v>4752</v>
      </c>
      <c r="XX3" s="6" t="s">
        <v>4756</v>
      </c>
      <c r="XY3" s="6" t="s">
        <v>4760</v>
      </c>
      <c r="XZ3" s="6" t="s">
        <v>4764</v>
      </c>
      <c r="YA3" s="6" t="s">
        <v>4768</v>
      </c>
      <c r="YB3" s="6" t="s">
        <v>4772</v>
      </c>
      <c r="YC3" s="6" t="s">
        <v>4776</v>
      </c>
      <c r="YD3" s="6" t="s">
        <v>4779</v>
      </c>
      <c r="YE3" s="6" t="s">
        <v>4783</v>
      </c>
      <c r="YF3" s="6" t="s">
        <v>4786</v>
      </c>
      <c r="YG3" s="6" t="s">
        <v>4789</v>
      </c>
      <c r="YH3" s="6" t="s">
        <v>4793</v>
      </c>
      <c r="YI3" s="6" t="s">
        <v>4797</v>
      </c>
      <c r="YJ3" s="6" t="s">
        <v>4801</v>
      </c>
      <c r="YK3" s="6" t="s">
        <v>4805</v>
      </c>
      <c r="YL3" s="6" t="s">
        <v>4809</v>
      </c>
      <c r="YM3" s="6" t="s">
        <v>4813</v>
      </c>
      <c r="YN3" s="6" t="s">
        <v>4817</v>
      </c>
      <c r="YO3" s="6" t="s">
        <v>4821</v>
      </c>
      <c r="YP3" s="6" t="s">
        <v>4825</v>
      </c>
      <c r="YQ3" s="6" t="s">
        <v>4829</v>
      </c>
      <c r="YR3" s="6" t="s">
        <v>4833</v>
      </c>
      <c r="YS3" s="6" t="s">
        <v>4837</v>
      </c>
      <c r="YT3" s="6" t="s">
        <v>4841</v>
      </c>
      <c r="YU3" s="6" t="s">
        <v>4844</v>
      </c>
      <c r="YV3" s="6" t="s">
        <v>4847</v>
      </c>
      <c r="YW3" s="6" t="s">
        <v>5161</v>
      </c>
      <c r="YX3" s="6" t="s">
        <v>5164</v>
      </c>
      <c r="YY3" s="6" t="s">
        <v>5168</v>
      </c>
      <c r="YZ3" s="6" t="s">
        <v>5172</v>
      </c>
      <c r="ZA3" s="6" t="s">
        <v>5176</v>
      </c>
      <c r="ZB3" s="6" t="s">
        <v>5180</v>
      </c>
      <c r="ZC3" s="6" t="s">
        <v>5184</v>
      </c>
      <c r="ZD3" s="6" t="s">
        <v>5099</v>
      </c>
      <c r="ZE3" s="6" t="s">
        <v>5102</v>
      </c>
      <c r="ZF3" s="6" t="s">
        <v>5106</v>
      </c>
      <c r="ZG3" s="6" t="s">
        <v>5110</v>
      </c>
      <c r="ZH3" s="6" t="s">
        <v>5114</v>
      </c>
      <c r="ZI3" s="6" t="s">
        <v>5118</v>
      </c>
      <c r="ZJ3" s="6" t="s">
        <v>5122</v>
      </c>
      <c r="ZK3" s="6" t="s">
        <v>5126</v>
      </c>
      <c r="ZL3" s="6" t="s">
        <v>5130</v>
      </c>
      <c r="ZM3" s="6" t="s">
        <v>4912</v>
      </c>
      <c r="ZN3" s="6" t="s">
        <v>4915</v>
      </c>
      <c r="ZO3" s="6" t="s">
        <v>4919</v>
      </c>
      <c r="ZP3" s="6" t="s">
        <v>4923</v>
      </c>
      <c r="ZQ3" s="6" t="s">
        <v>4927</v>
      </c>
      <c r="ZR3" s="6" t="s">
        <v>4931</v>
      </c>
      <c r="ZS3" s="6" t="s">
        <v>4935</v>
      </c>
      <c r="ZT3" s="6" t="s">
        <v>4939</v>
      </c>
      <c r="ZU3" s="6" t="s">
        <v>4943</v>
      </c>
      <c r="ZV3" s="6" t="s">
        <v>4947</v>
      </c>
      <c r="ZW3" s="6" t="s">
        <v>4951</v>
      </c>
      <c r="ZX3" s="6" t="s">
        <v>4955</v>
      </c>
      <c r="ZY3" s="6" t="s">
        <v>4959</v>
      </c>
      <c r="ZZ3" s="6" t="s">
        <v>4963</v>
      </c>
      <c r="AAA3" s="6" t="s">
        <v>4967</v>
      </c>
      <c r="AAB3" s="6" t="s">
        <v>4971</v>
      </c>
      <c r="AAC3" s="6" t="s">
        <v>4975</v>
      </c>
      <c r="AAD3" s="6" t="s">
        <v>4979</v>
      </c>
      <c r="AAE3" s="6" t="s">
        <v>4983</v>
      </c>
      <c r="AAF3" s="6" t="s">
        <v>4987</v>
      </c>
      <c r="AAG3" s="6" t="s">
        <v>4991</v>
      </c>
      <c r="AAH3" s="6" t="s">
        <v>4994</v>
      </c>
      <c r="AAI3" s="6" t="s">
        <v>5134</v>
      </c>
      <c r="AAJ3" s="6" t="s">
        <v>5137</v>
      </c>
      <c r="AAK3" s="6" t="s">
        <v>5141</v>
      </c>
      <c r="AAL3" s="6" t="s">
        <v>5145</v>
      </c>
      <c r="AAM3" s="6" t="s">
        <v>5149</v>
      </c>
      <c r="AAN3" s="6" t="s">
        <v>5153</v>
      </c>
      <c r="AAO3" s="6" t="s">
        <v>5157</v>
      </c>
      <c r="AAP3" s="6" t="s">
        <v>4998</v>
      </c>
      <c r="AAQ3" s="6" t="s">
        <v>5002</v>
      </c>
      <c r="AAR3" s="6" t="s">
        <v>5006</v>
      </c>
      <c r="AAS3" s="6" t="s">
        <v>5010</v>
      </c>
      <c r="AAT3" s="6" t="s">
        <v>5014</v>
      </c>
      <c r="AAU3" s="6" t="s">
        <v>5018</v>
      </c>
      <c r="AAV3" s="6" t="s">
        <v>5022</v>
      </c>
      <c r="AAW3" s="6" t="s">
        <v>5026</v>
      </c>
      <c r="AAX3" s="6" t="s">
        <v>5030</v>
      </c>
      <c r="AAY3" s="6" t="s">
        <v>5034</v>
      </c>
      <c r="AAZ3" s="6" t="s">
        <v>5038</v>
      </c>
      <c r="ABA3" s="6" t="s">
        <v>5042</v>
      </c>
      <c r="ABB3" s="6" t="s">
        <v>5046</v>
      </c>
      <c r="ABC3" s="6" t="s">
        <v>5050</v>
      </c>
      <c r="ABD3" s="6" t="s">
        <v>5054</v>
      </c>
      <c r="ABE3" s="6" t="s">
        <v>5058</v>
      </c>
      <c r="ABF3" s="6" t="s">
        <v>5062</v>
      </c>
      <c r="ABG3" s="6" t="s">
        <v>5066</v>
      </c>
      <c r="ABH3" s="6" t="s">
        <v>5070</v>
      </c>
      <c r="ABI3" s="6" t="s">
        <v>5074</v>
      </c>
      <c r="ABJ3" s="6" t="s">
        <v>5078</v>
      </c>
      <c r="ABK3" s="6" t="s">
        <v>5082</v>
      </c>
      <c r="ABL3" s="6" t="s">
        <v>5086</v>
      </c>
      <c r="ABM3" s="6" t="s">
        <v>5090</v>
      </c>
      <c r="ABN3" s="6" t="s">
        <v>5093</v>
      </c>
      <c r="ABO3" s="6" t="s">
        <v>5096</v>
      </c>
      <c r="ABP3" s="6" t="s">
        <v>5278</v>
      </c>
      <c r="ABQ3" s="6" t="s">
        <v>5281</v>
      </c>
      <c r="ABR3" s="6" t="s">
        <v>5285</v>
      </c>
      <c r="ABS3" s="6" t="s">
        <v>5289</v>
      </c>
      <c r="ABT3" s="6" t="s">
        <v>5293</v>
      </c>
      <c r="ABU3" s="6" t="s">
        <v>5297</v>
      </c>
      <c r="ABV3" s="6" t="s">
        <v>5301</v>
      </c>
      <c r="ABW3" s="6" t="s">
        <v>5305</v>
      </c>
      <c r="ABX3" s="6" t="s">
        <v>5309</v>
      </c>
      <c r="ABY3" s="6" t="s">
        <v>5456</v>
      </c>
      <c r="ABZ3" s="6" t="s">
        <v>5460</v>
      </c>
      <c r="ACA3" s="6" t="s">
        <v>5464</v>
      </c>
      <c r="ACB3" s="6" t="s">
        <v>5468</v>
      </c>
      <c r="ACC3" s="6" t="s">
        <v>5472</v>
      </c>
      <c r="ACD3" s="6" t="s">
        <v>5476</v>
      </c>
      <c r="ACE3" s="6" t="s">
        <v>5480</v>
      </c>
      <c r="ACF3" s="6" t="s">
        <v>5484</v>
      </c>
      <c r="ACG3" s="6" t="s">
        <v>5488</v>
      </c>
      <c r="ACH3" s="6" t="s">
        <v>5492</v>
      </c>
      <c r="ACI3" s="6" t="s">
        <v>5496</v>
      </c>
      <c r="ACJ3" s="6" t="s">
        <v>5188</v>
      </c>
      <c r="ACK3" s="6" t="s">
        <v>5192</v>
      </c>
      <c r="ACL3" s="6" t="s">
        <v>5196</v>
      </c>
      <c r="ACM3" s="6" t="s">
        <v>5200</v>
      </c>
      <c r="ACN3" s="6" t="s">
        <v>5204</v>
      </c>
      <c r="ACO3" s="6" t="s">
        <v>5208</v>
      </c>
      <c r="ACP3" s="6" t="s">
        <v>5212</v>
      </c>
      <c r="ACQ3" s="6" t="s">
        <v>5216</v>
      </c>
      <c r="ACR3" s="6" t="s">
        <v>5220</v>
      </c>
      <c r="ACS3" s="6" t="s">
        <v>5224</v>
      </c>
      <c r="ACT3" s="6" t="s">
        <v>5228</v>
      </c>
      <c r="ACU3" s="6" t="s">
        <v>5232</v>
      </c>
      <c r="ACV3" s="6" t="s">
        <v>5236</v>
      </c>
      <c r="ACW3" s="6" t="s">
        <v>5240</v>
      </c>
      <c r="ACX3" s="6" t="s">
        <v>5244</v>
      </c>
      <c r="ACY3" s="6" t="s">
        <v>5248</v>
      </c>
      <c r="ACZ3" s="6" t="s">
        <v>5252</v>
      </c>
      <c r="ADA3" s="6" t="s">
        <v>5256</v>
      </c>
      <c r="ADB3" s="6" t="s">
        <v>5260</v>
      </c>
      <c r="ADC3" s="6" t="s">
        <v>5264</v>
      </c>
      <c r="ADD3" s="6" t="s">
        <v>5266</v>
      </c>
      <c r="ADE3" s="6" t="s">
        <v>5270</v>
      </c>
      <c r="ADF3" s="6" t="s">
        <v>5274</v>
      </c>
      <c r="ADG3" s="6" t="s">
        <v>5313</v>
      </c>
      <c r="ADH3" s="6" t="s">
        <v>5316</v>
      </c>
      <c r="ADI3" s="6" t="s">
        <v>5320</v>
      </c>
      <c r="ADJ3" s="6" t="s">
        <v>5324</v>
      </c>
      <c r="ADK3" s="6" t="s">
        <v>5328</v>
      </c>
      <c r="ADL3" s="6" t="s">
        <v>5332</v>
      </c>
      <c r="ADM3" s="6" t="s">
        <v>5334</v>
      </c>
      <c r="ADN3" s="6" t="s">
        <v>5338</v>
      </c>
      <c r="ADO3" s="6" t="s">
        <v>5342</v>
      </c>
      <c r="ADP3" s="6" t="s">
        <v>5346</v>
      </c>
      <c r="ADQ3" s="6" t="s">
        <v>5350</v>
      </c>
      <c r="ADR3" s="6" t="s">
        <v>5354</v>
      </c>
      <c r="ADS3" s="6" t="s">
        <v>5913</v>
      </c>
      <c r="ADT3" s="6" t="s">
        <v>5437</v>
      </c>
      <c r="ADU3" s="6" t="s">
        <v>5440</v>
      </c>
      <c r="ADV3" s="6" t="s">
        <v>5444</v>
      </c>
      <c r="ADW3" s="6" t="s">
        <v>5448</v>
      </c>
      <c r="ADX3" s="6" t="s">
        <v>5452</v>
      </c>
      <c r="ADY3" s="6" t="s">
        <v>5924</v>
      </c>
      <c r="ADZ3" s="6" t="s">
        <v>5358</v>
      </c>
      <c r="AEA3" s="6" t="s">
        <v>5361</v>
      </c>
      <c r="AEB3" s="6" t="s">
        <v>5365</v>
      </c>
      <c r="AEC3" s="6" t="s">
        <v>5369</v>
      </c>
      <c r="AED3" s="6" t="s">
        <v>5373</v>
      </c>
      <c r="AEE3" s="6" t="s">
        <v>5377</v>
      </c>
      <c r="AEF3" s="6" t="s">
        <v>5381</v>
      </c>
      <c r="AEG3" s="6" t="s">
        <v>5385</v>
      </c>
      <c r="AEH3" s="6" t="s">
        <v>5389</v>
      </c>
      <c r="AEI3" s="6" t="s">
        <v>5393</v>
      </c>
      <c r="AEJ3" s="6" t="s">
        <v>5397</v>
      </c>
      <c r="AEK3" s="6" t="s">
        <v>5401</v>
      </c>
      <c r="AEL3" s="6" t="s">
        <v>5405</v>
      </c>
      <c r="AEM3" s="6" t="s">
        <v>5409</v>
      </c>
      <c r="AEN3" s="6" t="s">
        <v>5413</v>
      </c>
      <c r="AEO3" s="6" t="s">
        <v>5417</v>
      </c>
      <c r="AEP3" s="6" t="s">
        <v>5421</v>
      </c>
      <c r="AEQ3" s="6" t="s">
        <v>5425</v>
      </c>
      <c r="AER3" s="6" t="s">
        <v>5429</v>
      </c>
      <c r="AES3" s="6" t="s">
        <v>5433</v>
      </c>
      <c r="AET3" s="6" t="s">
        <v>5594</v>
      </c>
      <c r="AEU3" s="6" t="s">
        <v>5597</v>
      </c>
      <c r="AEV3" s="6" t="s">
        <v>5601</v>
      </c>
      <c r="AEW3" s="6" t="s">
        <v>5605</v>
      </c>
      <c r="AEX3" s="6" t="s">
        <v>5609</v>
      </c>
      <c r="AEY3" s="6" t="s">
        <v>5613</v>
      </c>
      <c r="AEZ3" s="6" t="s">
        <v>5617</v>
      </c>
      <c r="AFA3" s="6" t="s">
        <v>5621</v>
      </c>
      <c r="AFB3" s="6" t="s">
        <v>5625</v>
      </c>
      <c r="AFC3" s="6" t="s">
        <v>5629</v>
      </c>
      <c r="AFD3" s="6" t="s">
        <v>5754</v>
      </c>
      <c r="AFE3" s="6" t="s">
        <v>5758</v>
      </c>
      <c r="AFF3" s="6" t="s">
        <v>5762</v>
      </c>
      <c r="AFG3" s="6" t="s">
        <v>5766</v>
      </c>
      <c r="AFH3" s="6" t="s">
        <v>5770</v>
      </c>
      <c r="AFI3" s="6" t="s">
        <v>5774</v>
      </c>
      <c r="AFJ3" s="6" t="s">
        <v>5778</v>
      </c>
      <c r="AFK3" s="6" t="s">
        <v>5782</v>
      </c>
      <c r="AFL3" s="6" t="s">
        <v>5786</v>
      </c>
      <c r="AFM3" s="6" t="s">
        <v>5790</v>
      </c>
      <c r="AFN3" s="6" t="s">
        <v>5794</v>
      </c>
      <c r="AFO3" s="6" t="s">
        <v>5798</v>
      </c>
      <c r="AFP3" s="6" t="s">
        <v>5802</v>
      </c>
      <c r="AFQ3" s="6" t="s">
        <v>5676</v>
      </c>
      <c r="AFR3" s="6" t="s">
        <v>5679</v>
      </c>
      <c r="AFS3" s="6" t="s">
        <v>5683</v>
      </c>
      <c r="AFT3" s="6" t="s">
        <v>5687</v>
      </c>
      <c r="AFU3" s="6" t="s">
        <v>5691</v>
      </c>
      <c r="AFV3" s="6" t="s">
        <v>5695</v>
      </c>
      <c r="AFW3" s="6" t="s">
        <v>5699</v>
      </c>
      <c r="AFX3" s="6" t="s">
        <v>5703</v>
      </c>
      <c r="AFY3" s="6" t="s">
        <v>5707</v>
      </c>
      <c r="AFZ3" s="6" t="s">
        <v>5711</v>
      </c>
      <c r="AGA3" s="6" t="s">
        <v>5715</v>
      </c>
      <c r="AGB3" s="6" t="s">
        <v>5719</v>
      </c>
      <c r="AGC3" s="6" t="s">
        <v>5633</v>
      </c>
      <c r="AGD3" s="6" t="s">
        <v>5636</v>
      </c>
      <c r="AGE3" s="6" t="s">
        <v>5640</v>
      </c>
      <c r="AGF3" s="6" t="s">
        <v>5644</v>
      </c>
      <c r="AGG3" s="6" t="s">
        <v>5648</v>
      </c>
      <c r="AGH3" s="6" t="s">
        <v>5652</v>
      </c>
      <c r="AGI3" s="6" t="s">
        <v>5656</v>
      </c>
      <c r="AGJ3" s="6" t="s">
        <v>5660</v>
      </c>
      <c r="AGK3" s="6" t="s">
        <v>5664</v>
      </c>
      <c r="AGL3" s="6" t="s">
        <v>5668</v>
      </c>
      <c r="AGM3" s="6" t="s">
        <v>5672</v>
      </c>
      <c r="AGN3" s="6" t="s">
        <v>5723</v>
      </c>
      <c r="AGO3" s="6" t="s">
        <v>5726</v>
      </c>
      <c r="AGP3" s="6" t="s">
        <v>5730</v>
      </c>
      <c r="AGQ3" s="6" t="s">
        <v>5734</v>
      </c>
      <c r="AGR3" s="6" t="s">
        <v>5738</v>
      </c>
      <c r="AGS3" s="6" t="s">
        <v>5742</v>
      </c>
      <c r="AGT3" s="6" t="s">
        <v>5746</v>
      </c>
      <c r="AGU3" s="6" t="s">
        <v>5750</v>
      </c>
      <c r="AGV3" s="6" t="s">
        <v>5500</v>
      </c>
      <c r="AGW3" s="6" t="s">
        <v>5504</v>
      </c>
      <c r="AGX3" s="6" t="s">
        <v>5507</v>
      </c>
      <c r="AGY3" s="6" t="s">
        <v>5511</v>
      </c>
      <c r="AGZ3" s="6" t="s">
        <v>5515</v>
      </c>
      <c r="AHA3" s="6" t="s">
        <v>5519</v>
      </c>
      <c r="AHB3" s="6" t="s">
        <v>5523</v>
      </c>
      <c r="AHC3" s="6" t="s">
        <v>5527</v>
      </c>
      <c r="AHD3" s="6" t="s">
        <v>5531</v>
      </c>
      <c r="AHE3" s="6" t="s">
        <v>5535</v>
      </c>
      <c r="AHF3" s="6" t="s">
        <v>5539</v>
      </c>
      <c r="AHG3" s="6" t="s">
        <v>5543</v>
      </c>
      <c r="AHH3" s="6" t="s">
        <v>5547</v>
      </c>
      <c r="AHI3" s="6" t="s">
        <v>5551</v>
      </c>
      <c r="AHJ3" s="6" t="s">
        <v>5555</v>
      </c>
      <c r="AHK3" s="6" t="s">
        <v>5559</v>
      </c>
      <c r="AHL3" s="6" t="s">
        <v>5563</v>
      </c>
      <c r="AHM3" s="6" t="s">
        <v>5567</v>
      </c>
      <c r="AHN3" s="6" t="s">
        <v>5570</v>
      </c>
      <c r="AHO3" s="6" t="s">
        <v>5574</v>
      </c>
      <c r="AHP3" s="6" t="s">
        <v>5578</v>
      </c>
      <c r="AHQ3" s="6" t="s">
        <v>5582</v>
      </c>
      <c r="AHR3" s="6" t="s">
        <v>5586</v>
      </c>
      <c r="AHS3" s="6" t="s">
        <v>5590</v>
      </c>
    </row>
    <row r="4" spans="1:905" x14ac:dyDescent="0.7">
      <c r="B4" s="6" t="s">
        <v>1265</v>
      </c>
      <c r="C4" s="6" t="s">
        <v>1266</v>
      </c>
      <c r="D4" s="6" t="s">
        <v>1267</v>
      </c>
      <c r="E4" s="6" t="s">
        <v>1268</v>
      </c>
      <c r="F4" s="6" t="s">
        <v>1269</v>
      </c>
      <c r="G4" s="6" t="s">
        <v>1270</v>
      </c>
      <c r="H4" s="6" t="s">
        <v>1271</v>
      </c>
      <c r="I4" s="6" t="s">
        <v>1272</v>
      </c>
      <c r="J4" s="6" t="s">
        <v>1273</v>
      </c>
      <c r="K4" s="6" t="s">
        <v>1274</v>
      </c>
      <c r="L4" s="6" t="s">
        <v>1275</v>
      </c>
      <c r="M4" s="6" t="s">
        <v>1276</v>
      </c>
      <c r="N4" s="6" t="s">
        <v>1277</v>
      </c>
      <c r="O4" s="6" t="s">
        <v>1278</v>
      </c>
      <c r="P4" s="6" t="s">
        <v>1279</v>
      </c>
      <c r="Q4" s="6" t="s">
        <v>1280</v>
      </c>
      <c r="R4" s="6" t="s">
        <v>1281</v>
      </c>
      <c r="S4" s="6" t="s">
        <v>1282</v>
      </c>
      <c r="T4" s="6" t="s">
        <v>1283</v>
      </c>
      <c r="U4" s="6" t="s">
        <v>1284</v>
      </c>
      <c r="V4" s="6" t="s">
        <v>1285</v>
      </c>
      <c r="W4" s="6" t="s">
        <v>2107</v>
      </c>
      <c r="X4" s="6" t="s">
        <v>2108</v>
      </c>
      <c r="Y4" s="6" t="s">
        <v>1286</v>
      </c>
      <c r="Z4" s="6" t="s">
        <v>1287</v>
      </c>
      <c r="AA4" s="6" t="s">
        <v>1288</v>
      </c>
      <c r="AB4" s="6" t="s">
        <v>1289</v>
      </c>
      <c r="AC4" s="6" t="s">
        <v>2109</v>
      </c>
      <c r="AD4" s="6" t="s">
        <v>1290</v>
      </c>
      <c r="AE4" s="6" t="s">
        <v>1291</v>
      </c>
      <c r="AF4" s="6" t="s">
        <v>1292</v>
      </c>
      <c r="AG4" s="6" t="s">
        <v>1293</v>
      </c>
      <c r="AH4" s="6" t="s">
        <v>1294</v>
      </c>
      <c r="AI4" s="6" t="s">
        <v>1295</v>
      </c>
      <c r="AJ4" s="6" t="s">
        <v>1296</v>
      </c>
      <c r="AK4" s="6" t="s">
        <v>1297</v>
      </c>
      <c r="AL4" s="6" t="s">
        <v>1298</v>
      </c>
      <c r="AM4" s="6" t="s">
        <v>1299</v>
      </c>
      <c r="AN4" s="6" t="s">
        <v>1300</v>
      </c>
      <c r="AO4" s="6" t="s">
        <v>1301</v>
      </c>
      <c r="AP4" s="6" t="s">
        <v>1302</v>
      </c>
      <c r="AQ4" s="6" t="s">
        <v>1303</v>
      </c>
      <c r="AR4" s="6" t="s">
        <v>1304</v>
      </c>
      <c r="AS4" s="6" t="s">
        <v>1305</v>
      </c>
      <c r="AT4" s="6" t="s">
        <v>1306</v>
      </c>
      <c r="AU4" s="6" t="s">
        <v>1307</v>
      </c>
      <c r="AV4" s="6" t="s">
        <v>1308</v>
      </c>
      <c r="AW4" s="6" t="s">
        <v>1309</v>
      </c>
      <c r="AX4" s="6" t="s">
        <v>1310</v>
      </c>
      <c r="AY4" s="6" t="s">
        <v>1311</v>
      </c>
      <c r="AZ4" s="6" t="s">
        <v>1312</v>
      </c>
      <c r="BA4" s="6" t="s">
        <v>1313</v>
      </c>
      <c r="BB4" s="6" t="s">
        <v>1314</v>
      </c>
      <c r="BC4" s="6" t="s">
        <v>1315</v>
      </c>
      <c r="BD4" s="6" t="s">
        <v>1316</v>
      </c>
      <c r="BE4" s="6" t="s">
        <v>1317</v>
      </c>
      <c r="BF4" s="6" t="s">
        <v>1318</v>
      </c>
      <c r="BG4" s="6" t="s">
        <v>1319</v>
      </c>
      <c r="BH4" s="6" t="s">
        <v>2110</v>
      </c>
      <c r="BI4" s="6" t="s">
        <v>1321</v>
      </c>
      <c r="BJ4" s="6" t="s">
        <v>1322</v>
      </c>
      <c r="BK4" s="6" t="s">
        <v>1323</v>
      </c>
      <c r="BL4" s="6" t="s">
        <v>1324</v>
      </c>
      <c r="BM4" s="6" t="s">
        <v>1325</v>
      </c>
      <c r="BN4" s="6" t="s">
        <v>1326</v>
      </c>
      <c r="BO4" s="6" t="s">
        <v>1327</v>
      </c>
      <c r="BP4" s="6" t="s">
        <v>2111</v>
      </c>
      <c r="BQ4" s="6" t="s">
        <v>2112</v>
      </c>
      <c r="BR4" s="6" t="s">
        <v>1328</v>
      </c>
      <c r="BS4" s="6" t="s">
        <v>1329</v>
      </c>
      <c r="BT4" s="6" t="s">
        <v>1330</v>
      </c>
      <c r="BU4" s="6" t="s">
        <v>1331</v>
      </c>
      <c r="BV4" s="6" t="s">
        <v>1332</v>
      </c>
      <c r="BW4" s="6" t="s">
        <v>1333</v>
      </c>
      <c r="BX4" s="6" t="s">
        <v>1334</v>
      </c>
      <c r="BY4" s="6" t="s">
        <v>1335</v>
      </c>
      <c r="BZ4" s="6" t="s">
        <v>1336</v>
      </c>
      <c r="CA4" s="6" t="s">
        <v>1337</v>
      </c>
      <c r="CB4" s="6" t="s">
        <v>1338</v>
      </c>
      <c r="CC4" s="6" t="s">
        <v>1339</v>
      </c>
      <c r="CD4" s="6" t="s">
        <v>1340</v>
      </c>
      <c r="CE4" s="6" t="s">
        <v>1341</v>
      </c>
      <c r="CF4" s="6" t="s">
        <v>1342</v>
      </c>
      <c r="CG4" s="6" t="s">
        <v>1343</v>
      </c>
      <c r="CH4" s="6" t="s">
        <v>1344</v>
      </c>
      <c r="CI4" s="6" t="s">
        <v>1345</v>
      </c>
      <c r="CJ4" s="6" t="s">
        <v>1346</v>
      </c>
      <c r="CK4" s="6" t="s">
        <v>1347</v>
      </c>
      <c r="CL4" s="6" t="s">
        <v>1348</v>
      </c>
      <c r="CM4" s="6" t="s">
        <v>1349</v>
      </c>
      <c r="CN4" s="6" t="s">
        <v>1350</v>
      </c>
      <c r="CO4" s="6" t="s">
        <v>1351</v>
      </c>
      <c r="CP4" s="6" t="s">
        <v>1352</v>
      </c>
      <c r="CQ4" s="6" t="s">
        <v>1353</v>
      </c>
      <c r="CR4" s="6" t="s">
        <v>1354</v>
      </c>
      <c r="CS4" s="6" t="s">
        <v>1355</v>
      </c>
      <c r="CT4" s="6" t="s">
        <v>1356</v>
      </c>
      <c r="CU4" s="6" t="s">
        <v>1357</v>
      </c>
      <c r="CV4" s="6" t="s">
        <v>1358</v>
      </c>
      <c r="CW4" s="6" t="s">
        <v>1359</v>
      </c>
      <c r="CX4" s="6" t="s">
        <v>1360</v>
      </c>
      <c r="CY4" s="6" t="s">
        <v>1361</v>
      </c>
      <c r="CZ4" s="6" t="s">
        <v>1362</v>
      </c>
      <c r="DA4" s="6" t="s">
        <v>1363</v>
      </c>
      <c r="DB4" s="6" t="s">
        <v>1364</v>
      </c>
      <c r="DC4" s="6" t="s">
        <v>1365</v>
      </c>
      <c r="DD4" s="6" t="s">
        <v>1366</v>
      </c>
      <c r="DE4" s="6" t="s">
        <v>1367</v>
      </c>
      <c r="DF4" s="6" t="s">
        <v>1368</v>
      </c>
      <c r="DG4" s="6" t="s">
        <v>1369</v>
      </c>
      <c r="DH4" s="6" t="s">
        <v>1370</v>
      </c>
      <c r="DI4" s="6" t="s">
        <v>1371</v>
      </c>
      <c r="DJ4" s="6" t="s">
        <v>1372</v>
      </c>
      <c r="DK4" s="6" t="s">
        <v>1373</v>
      </c>
      <c r="DL4" s="6" t="s">
        <v>1374</v>
      </c>
      <c r="DM4" s="6" t="s">
        <v>1375</v>
      </c>
      <c r="DN4" s="6" t="s">
        <v>1376</v>
      </c>
      <c r="DO4" s="6" t="s">
        <v>1377</v>
      </c>
      <c r="DP4" s="6" t="s">
        <v>1378</v>
      </c>
      <c r="DQ4" s="6" t="s">
        <v>1379</v>
      </c>
      <c r="DR4" s="6" t="s">
        <v>1380</v>
      </c>
      <c r="DS4" s="6" t="s">
        <v>1381</v>
      </c>
      <c r="DT4" s="6" t="s">
        <v>1382</v>
      </c>
      <c r="DU4" s="6" t="s">
        <v>1383</v>
      </c>
      <c r="DV4" s="6" t="s">
        <v>1384</v>
      </c>
      <c r="DW4" s="6" t="s">
        <v>1385</v>
      </c>
      <c r="DX4" s="6" t="s">
        <v>1386</v>
      </c>
      <c r="DY4" s="6" t="s">
        <v>1387</v>
      </c>
      <c r="DZ4" s="6" t="s">
        <v>1388</v>
      </c>
      <c r="EA4" s="6" t="s">
        <v>1389</v>
      </c>
      <c r="EB4" s="6" t="s">
        <v>1390</v>
      </c>
      <c r="EC4" s="6" t="s">
        <v>1391</v>
      </c>
      <c r="ED4" s="6" t="s">
        <v>1392</v>
      </c>
      <c r="EE4" s="6" t="s">
        <v>1393</v>
      </c>
      <c r="EF4" s="6" t="s">
        <v>1394</v>
      </c>
      <c r="EG4" s="6" t="s">
        <v>1395</v>
      </c>
      <c r="EH4" s="6" t="s">
        <v>1396</v>
      </c>
      <c r="EI4" s="6" t="s">
        <v>1397</v>
      </c>
      <c r="EJ4" s="6" t="s">
        <v>1398</v>
      </c>
      <c r="EK4" s="6" t="s">
        <v>1399</v>
      </c>
      <c r="EL4" s="6" t="s">
        <v>1400</v>
      </c>
      <c r="EM4" s="6" t="s">
        <v>1401</v>
      </c>
      <c r="EN4" s="6" t="s">
        <v>1402</v>
      </c>
      <c r="EO4" s="6" t="s">
        <v>1403</v>
      </c>
      <c r="EP4" s="6" t="s">
        <v>1404</v>
      </c>
      <c r="EQ4" s="6" t="s">
        <v>1405</v>
      </c>
      <c r="ER4" s="6" t="s">
        <v>1406</v>
      </c>
      <c r="ES4" s="6" t="s">
        <v>1407</v>
      </c>
      <c r="ET4" s="6" t="s">
        <v>1408</v>
      </c>
      <c r="EU4" s="6" t="s">
        <v>1409</v>
      </c>
      <c r="EV4" s="6" t="s">
        <v>1410</v>
      </c>
      <c r="EW4" s="6" t="s">
        <v>1411</v>
      </c>
      <c r="EX4" s="6" t="s">
        <v>1412</v>
      </c>
      <c r="EY4" s="6" t="s">
        <v>1413</v>
      </c>
      <c r="EZ4" s="6" t="s">
        <v>1414</v>
      </c>
      <c r="FA4" s="6" t="s">
        <v>1415</v>
      </c>
      <c r="FB4" s="6" t="s">
        <v>1416</v>
      </c>
      <c r="FC4" s="6" t="s">
        <v>1417</v>
      </c>
      <c r="FD4" s="6" t="s">
        <v>1418</v>
      </c>
      <c r="FE4" s="6" t="s">
        <v>1419</v>
      </c>
      <c r="FF4" s="6" t="s">
        <v>1420</v>
      </c>
      <c r="FG4" s="6" t="s">
        <v>1421</v>
      </c>
      <c r="FH4" s="6" t="s">
        <v>2113</v>
      </c>
      <c r="FI4" s="6" t="s">
        <v>1423</v>
      </c>
      <c r="FJ4" s="6" t="s">
        <v>1424</v>
      </c>
      <c r="FK4" s="6" t="s">
        <v>1425</v>
      </c>
      <c r="FL4" s="6" t="s">
        <v>1426</v>
      </c>
      <c r="FM4" s="6" t="s">
        <v>1427</v>
      </c>
      <c r="FN4" s="6" t="s">
        <v>1428</v>
      </c>
      <c r="FO4" s="6" t="s">
        <v>2114</v>
      </c>
      <c r="FP4" s="6" t="s">
        <v>2115</v>
      </c>
      <c r="FQ4" s="6" t="s">
        <v>1431</v>
      </c>
      <c r="FR4" s="6" t="s">
        <v>1432</v>
      </c>
      <c r="FS4" s="6" t="s">
        <v>1433</v>
      </c>
      <c r="FT4" s="6" t="s">
        <v>1434</v>
      </c>
      <c r="FU4" s="6" t="s">
        <v>1435</v>
      </c>
      <c r="FV4" s="6" t="s">
        <v>1436</v>
      </c>
      <c r="FW4" s="6" t="s">
        <v>1437</v>
      </c>
      <c r="FX4" s="6" t="s">
        <v>1438</v>
      </c>
      <c r="FY4" s="6" t="s">
        <v>1439</v>
      </c>
      <c r="FZ4" s="6" t="s">
        <v>1440</v>
      </c>
      <c r="GA4" s="6" t="s">
        <v>1441</v>
      </c>
      <c r="GB4" s="6" t="s">
        <v>1442</v>
      </c>
      <c r="GC4" s="6" t="s">
        <v>1443</v>
      </c>
      <c r="GD4" s="6" t="s">
        <v>2116</v>
      </c>
      <c r="GE4" s="6" t="s">
        <v>1444</v>
      </c>
      <c r="GF4" s="6" t="s">
        <v>1445</v>
      </c>
      <c r="GG4" s="6" t="s">
        <v>1446</v>
      </c>
      <c r="GH4" s="6" t="s">
        <v>1447</v>
      </c>
      <c r="GI4" s="6" t="s">
        <v>1448</v>
      </c>
      <c r="GJ4" s="6" t="s">
        <v>1449</v>
      </c>
      <c r="GK4" s="6" t="s">
        <v>1450</v>
      </c>
      <c r="GL4" s="6" t="s">
        <v>1451</v>
      </c>
      <c r="GM4" s="6" t="s">
        <v>1452</v>
      </c>
      <c r="GN4" s="6" t="s">
        <v>1453</v>
      </c>
      <c r="GO4" s="6" t="s">
        <v>1454</v>
      </c>
      <c r="GP4" s="6" t="s">
        <v>1455</v>
      </c>
      <c r="GQ4" s="6" t="s">
        <v>1456</v>
      </c>
      <c r="GR4" s="6" t="s">
        <v>1457</v>
      </c>
      <c r="GS4" s="6" t="s">
        <v>1458</v>
      </c>
      <c r="GT4" s="6" t="s">
        <v>1459</v>
      </c>
      <c r="GU4" s="6" t="s">
        <v>1460</v>
      </c>
      <c r="GV4" s="6" t="s">
        <v>1461</v>
      </c>
      <c r="GW4" s="6" t="s">
        <v>1462</v>
      </c>
      <c r="GX4" s="6" t="s">
        <v>1463</v>
      </c>
      <c r="GY4" s="6" t="s">
        <v>1464</v>
      </c>
      <c r="GZ4" s="6" t="s">
        <v>1465</v>
      </c>
      <c r="HA4" s="6" t="s">
        <v>1466</v>
      </c>
      <c r="HB4" s="6" t="s">
        <v>1467</v>
      </c>
      <c r="HC4" s="6" t="s">
        <v>6324</v>
      </c>
      <c r="HD4" s="6" t="s">
        <v>1469</v>
      </c>
      <c r="HE4" s="6" t="s">
        <v>1470</v>
      </c>
      <c r="HF4" s="6" t="s">
        <v>1471</v>
      </c>
      <c r="HG4" s="6" t="s">
        <v>1472</v>
      </c>
      <c r="HH4" s="6" t="s">
        <v>1473</v>
      </c>
      <c r="HI4" s="6" t="s">
        <v>2117</v>
      </c>
      <c r="HJ4" s="6" t="s">
        <v>6383</v>
      </c>
      <c r="HK4" s="6" t="s">
        <v>1474</v>
      </c>
      <c r="HL4" s="6" t="s">
        <v>1475</v>
      </c>
      <c r="HM4" s="6" t="s">
        <v>1476</v>
      </c>
      <c r="HN4" s="6" t="s">
        <v>1477</v>
      </c>
      <c r="HO4" s="6" t="s">
        <v>1478</v>
      </c>
      <c r="HP4" s="6" t="s">
        <v>1479</v>
      </c>
      <c r="HQ4" s="6" t="s">
        <v>1480</v>
      </c>
      <c r="HR4" s="6" t="s">
        <v>1481</v>
      </c>
      <c r="HS4" s="6" t="s">
        <v>1482</v>
      </c>
      <c r="HT4" s="6" t="s">
        <v>1483</v>
      </c>
      <c r="HU4" s="6" t="s">
        <v>1484</v>
      </c>
      <c r="HV4" s="6" t="s">
        <v>1485</v>
      </c>
      <c r="HW4" s="6" t="s">
        <v>1486</v>
      </c>
      <c r="HX4" s="6" t="s">
        <v>1487</v>
      </c>
      <c r="HY4" s="6" t="s">
        <v>1488</v>
      </c>
      <c r="HZ4" s="6" t="s">
        <v>1489</v>
      </c>
      <c r="IA4" s="6" t="s">
        <v>1490</v>
      </c>
      <c r="IB4" s="6" t="s">
        <v>1491</v>
      </c>
      <c r="IC4" s="6" t="s">
        <v>1492</v>
      </c>
      <c r="ID4" s="6" t="s">
        <v>1493</v>
      </c>
      <c r="IE4" s="6" t="s">
        <v>1494</v>
      </c>
      <c r="IF4" s="6" t="s">
        <v>1495</v>
      </c>
      <c r="IG4" s="6" t="s">
        <v>1496</v>
      </c>
      <c r="IH4" s="6" t="s">
        <v>1497</v>
      </c>
      <c r="II4" s="6" t="s">
        <v>1498</v>
      </c>
      <c r="IJ4" s="6" t="s">
        <v>1499</v>
      </c>
      <c r="IK4" s="6" t="s">
        <v>1500</v>
      </c>
      <c r="IL4" s="6" t="s">
        <v>1501</v>
      </c>
      <c r="IM4" s="6" t="s">
        <v>1502</v>
      </c>
      <c r="IN4" s="6" t="s">
        <v>1503</v>
      </c>
      <c r="IO4" s="6" t="s">
        <v>1504</v>
      </c>
      <c r="IP4" s="6" t="s">
        <v>1505</v>
      </c>
      <c r="IQ4" s="6" t="s">
        <v>1506</v>
      </c>
      <c r="IR4" s="6" t="s">
        <v>1507</v>
      </c>
      <c r="IS4" s="6" t="s">
        <v>1508</v>
      </c>
      <c r="IT4" s="6" t="s">
        <v>1509</v>
      </c>
      <c r="IU4" s="6" t="s">
        <v>1510</v>
      </c>
      <c r="IV4" s="6" t="s">
        <v>1511</v>
      </c>
      <c r="IW4" s="6" t="s">
        <v>1512</v>
      </c>
      <c r="IX4" s="6" t="s">
        <v>1513</v>
      </c>
      <c r="IY4" s="6" t="s">
        <v>1514</v>
      </c>
      <c r="IZ4" s="6" t="s">
        <v>1515</v>
      </c>
      <c r="JA4" s="6" t="s">
        <v>1516</v>
      </c>
      <c r="JB4" s="6" t="s">
        <v>1517</v>
      </c>
      <c r="JC4" s="6" t="s">
        <v>1518</v>
      </c>
      <c r="JD4" s="6" t="s">
        <v>1519</v>
      </c>
      <c r="JE4" s="6" t="s">
        <v>1520</v>
      </c>
      <c r="JF4" s="6" t="s">
        <v>1521</v>
      </c>
      <c r="JG4" s="6" t="s">
        <v>1522</v>
      </c>
      <c r="JH4" s="6" t="s">
        <v>1523</v>
      </c>
      <c r="JI4" s="6" t="s">
        <v>1524</v>
      </c>
      <c r="JJ4" s="6" t="s">
        <v>1525</v>
      </c>
      <c r="JK4" s="6" t="s">
        <v>1526</v>
      </c>
      <c r="JL4" s="6" t="s">
        <v>1527</v>
      </c>
      <c r="JM4" s="6" t="s">
        <v>1528</v>
      </c>
      <c r="JN4" s="6" t="s">
        <v>1529</v>
      </c>
      <c r="JO4" s="6" t="s">
        <v>1530</v>
      </c>
      <c r="JP4" s="6" t="s">
        <v>1531</v>
      </c>
      <c r="JQ4" s="6" t="s">
        <v>1532</v>
      </c>
      <c r="JR4" s="6" t="s">
        <v>1533</v>
      </c>
      <c r="JS4" s="6" t="s">
        <v>1534</v>
      </c>
      <c r="JT4" s="6" t="s">
        <v>1535</v>
      </c>
      <c r="JU4" s="6" t="s">
        <v>1536</v>
      </c>
      <c r="JV4" s="6" t="s">
        <v>1537</v>
      </c>
      <c r="JW4" s="6" t="s">
        <v>1538</v>
      </c>
      <c r="JX4" s="6" t="s">
        <v>1539</v>
      </c>
      <c r="JY4" s="6" t="s">
        <v>1540</v>
      </c>
      <c r="JZ4" s="6" t="s">
        <v>1541</v>
      </c>
      <c r="KA4" s="6" t="s">
        <v>1542</v>
      </c>
      <c r="KB4" s="6" t="s">
        <v>1543</v>
      </c>
      <c r="KC4" s="6" t="s">
        <v>1544</v>
      </c>
      <c r="KD4" s="6" t="s">
        <v>1545</v>
      </c>
      <c r="KE4" s="6" t="s">
        <v>1546</v>
      </c>
      <c r="KF4" s="6" t="s">
        <v>1547</v>
      </c>
      <c r="KG4" s="6" t="s">
        <v>1548</v>
      </c>
      <c r="KH4" s="6" t="s">
        <v>5920</v>
      </c>
      <c r="KI4" s="6" t="s">
        <v>1549</v>
      </c>
      <c r="KJ4" s="6" t="s">
        <v>1550</v>
      </c>
      <c r="KK4" s="6" t="s">
        <v>1551</v>
      </c>
      <c r="KL4" s="6" t="s">
        <v>1552</v>
      </c>
      <c r="KM4" s="6" t="s">
        <v>1553</v>
      </c>
      <c r="KN4" s="6" t="s">
        <v>1554</v>
      </c>
      <c r="KO4" s="6" t="s">
        <v>1555</v>
      </c>
      <c r="KP4" s="6" t="s">
        <v>1556</v>
      </c>
      <c r="KQ4" s="6" t="s">
        <v>1557</v>
      </c>
      <c r="KR4" s="6" t="s">
        <v>1558</v>
      </c>
      <c r="KS4" s="6" t="s">
        <v>1559</v>
      </c>
      <c r="KT4" s="6" t="s">
        <v>1560</v>
      </c>
      <c r="KU4" s="6" t="s">
        <v>1561</v>
      </c>
      <c r="KV4" s="6" t="s">
        <v>1562</v>
      </c>
      <c r="KW4" s="6" t="s">
        <v>1563</v>
      </c>
      <c r="KX4" s="6" t="s">
        <v>1564</v>
      </c>
      <c r="KY4" s="6" t="s">
        <v>1565</v>
      </c>
      <c r="KZ4" s="6" t="s">
        <v>1566</v>
      </c>
      <c r="LA4" s="6" t="s">
        <v>1567</v>
      </c>
      <c r="LB4" s="6" t="s">
        <v>1568</v>
      </c>
      <c r="LC4" s="6" t="s">
        <v>1569</v>
      </c>
      <c r="LD4" s="6" t="s">
        <v>1570</v>
      </c>
      <c r="LE4" s="6" t="s">
        <v>1571</v>
      </c>
      <c r="LF4" s="6" t="s">
        <v>1572</v>
      </c>
      <c r="LG4" s="6" t="s">
        <v>1573</v>
      </c>
      <c r="LH4" s="6" t="s">
        <v>1574</v>
      </c>
      <c r="LI4" s="6" t="s">
        <v>1575</v>
      </c>
      <c r="LJ4" s="6" t="s">
        <v>1576</v>
      </c>
      <c r="LK4" s="6" t="s">
        <v>1577</v>
      </c>
      <c r="LL4" s="6" t="s">
        <v>1578</v>
      </c>
      <c r="LM4" s="6" t="s">
        <v>1579</v>
      </c>
      <c r="LN4" s="6" t="s">
        <v>1580</v>
      </c>
      <c r="LO4" s="6" t="s">
        <v>1581</v>
      </c>
      <c r="LP4" s="6" t="s">
        <v>1582</v>
      </c>
      <c r="LQ4" s="6" t="s">
        <v>1583</v>
      </c>
      <c r="LR4" s="6" t="s">
        <v>2118</v>
      </c>
      <c r="LS4" s="6" t="s">
        <v>1584</v>
      </c>
      <c r="LT4" s="6" t="s">
        <v>1585</v>
      </c>
      <c r="LU4" s="6" t="s">
        <v>1586</v>
      </c>
      <c r="LV4" s="6" t="s">
        <v>6325</v>
      </c>
      <c r="LW4" s="6" t="s">
        <v>1588</v>
      </c>
      <c r="LX4" s="6" t="s">
        <v>1589</v>
      </c>
      <c r="LY4" s="6" t="s">
        <v>1590</v>
      </c>
      <c r="LZ4" s="6" t="s">
        <v>1591</v>
      </c>
      <c r="MA4" s="6" t="s">
        <v>1592</v>
      </c>
      <c r="MB4" s="6" t="s">
        <v>1593</v>
      </c>
      <c r="MC4" s="6" t="s">
        <v>1594</v>
      </c>
      <c r="MD4" s="6" t="s">
        <v>1595</v>
      </c>
      <c r="ME4" s="6" t="s">
        <v>1596</v>
      </c>
      <c r="MF4" s="6" t="s">
        <v>1597</v>
      </c>
      <c r="MG4" s="6" t="s">
        <v>1598</v>
      </c>
      <c r="MH4" s="6" t="s">
        <v>1599</v>
      </c>
      <c r="MI4" s="6" t="s">
        <v>1600</v>
      </c>
      <c r="MJ4" s="6" t="s">
        <v>1601</v>
      </c>
      <c r="MK4" s="6" t="s">
        <v>1602</v>
      </c>
      <c r="ML4" s="6" t="s">
        <v>1603</v>
      </c>
      <c r="MM4" s="6" t="s">
        <v>1604</v>
      </c>
      <c r="MN4" s="6" t="s">
        <v>1605</v>
      </c>
      <c r="MO4" s="6" t="s">
        <v>1606</v>
      </c>
      <c r="MP4" s="6" t="s">
        <v>1607</v>
      </c>
      <c r="MQ4" s="6" t="s">
        <v>1608</v>
      </c>
      <c r="MR4" s="6" t="s">
        <v>1609</v>
      </c>
      <c r="MS4" s="6" t="s">
        <v>1610</v>
      </c>
      <c r="MT4" s="6" t="s">
        <v>6326</v>
      </c>
      <c r="MU4" s="6" t="s">
        <v>1612</v>
      </c>
      <c r="MV4" s="6" t="s">
        <v>1613</v>
      </c>
      <c r="MW4" s="6" t="s">
        <v>1614</v>
      </c>
      <c r="MX4" s="6" t="s">
        <v>1615</v>
      </c>
      <c r="MY4" s="6" t="s">
        <v>1616</v>
      </c>
      <c r="MZ4" s="6" t="s">
        <v>1617</v>
      </c>
      <c r="NA4" s="6" t="s">
        <v>1618</v>
      </c>
      <c r="NB4" s="6" t="s">
        <v>1619</v>
      </c>
      <c r="NC4" s="6" t="s">
        <v>1620</v>
      </c>
      <c r="ND4" s="6" t="s">
        <v>2119</v>
      </c>
      <c r="NE4" s="6" t="s">
        <v>1621</v>
      </c>
      <c r="NF4" s="6" t="s">
        <v>1622</v>
      </c>
      <c r="NG4" s="6" t="s">
        <v>1623</v>
      </c>
      <c r="NH4" s="6" t="s">
        <v>2120</v>
      </c>
      <c r="NI4" s="6" t="s">
        <v>1624</v>
      </c>
      <c r="NJ4" s="6" t="s">
        <v>1625</v>
      </c>
      <c r="NK4" s="6" t="s">
        <v>1626</v>
      </c>
      <c r="NL4" s="6" t="s">
        <v>1627</v>
      </c>
      <c r="NM4" s="6" t="s">
        <v>1628</v>
      </c>
      <c r="NN4" s="6" t="s">
        <v>1629</v>
      </c>
      <c r="NO4" s="6" t="s">
        <v>1630</v>
      </c>
      <c r="NP4" s="6" t="s">
        <v>2121</v>
      </c>
      <c r="NQ4" s="6" t="s">
        <v>1632</v>
      </c>
      <c r="NR4" s="6" t="s">
        <v>1633</v>
      </c>
      <c r="NS4" s="6" t="s">
        <v>1634</v>
      </c>
      <c r="NT4" s="6" t="s">
        <v>1635</v>
      </c>
      <c r="NU4" s="6" t="s">
        <v>1636</v>
      </c>
      <c r="NV4" s="6" t="s">
        <v>1637</v>
      </c>
      <c r="NW4" s="6" t="s">
        <v>1638</v>
      </c>
      <c r="NX4" s="6" t="s">
        <v>1639</v>
      </c>
      <c r="NY4" s="6" t="s">
        <v>2122</v>
      </c>
      <c r="NZ4" s="6" t="s">
        <v>1640</v>
      </c>
      <c r="OA4" s="6" t="s">
        <v>1641</v>
      </c>
      <c r="OB4" s="6" t="s">
        <v>1642</v>
      </c>
      <c r="OC4" s="6" t="s">
        <v>1643</v>
      </c>
      <c r="OD4" s="6" t="s">
        <v>1644</v>
      </c>
      <c r="OE4" s="6" t="s">
        <v>1645</v>
      </c>
      <c r="OF4" s="6" t="s">
        <v>6327</v>
      </c>
      <c r="OG4" s="6" t="s">
        <v>1646</v>
      </c>
      <c r="OH4" s="6" t="s">
        <v>2124</v>
      </c>
      <c r="OI4" s="6" t="s">
        <v>1647</v>
      </c>
      <c r="OJ4" s="6" t="s">
        <v>1648</v>
      </c>
      <c r="OK4" s="6" t="s">
        <v>1651</v>
      </c>
      <c r="OL4" s="6" t="s">
        <v>1649</v>
      </c>
      <c r="OM4" s="6" t="s">
        <v>1650</v>
      </c>
      <c r="ON4" s="6" t="s">
        <v>6328</v>
      </c>
      <c r="OO4" s="6" t="s">
        <v>1653</v>
      </c>
      <c r="OP4" s="6" t="s">
        <v>2125</v>
      </c>
      <c r="OQ4" s="6" t="s">
        <v>1654</v>
      </c>
      <c r="OR4" s="6" t="s">
        <v>1655</v>
      </c>
      <c r="OS4" s="6" t="s">
        <v>2126</v>
      </c>
      <c r="OT4" s="6" t="s">
        <v>1657</v>
      </c>
      <c r="OU4" s="6" t="s">
        <v>1658</v>
      </c>
      <c r="OV4" s="6" t="s">
        <v>1659</v>
      </c>
      <c r="OW4" s="6" t="s">
        <v>1660</v>
      </c>
      <c r="OX4" s="6" t="s">
        <v>1661</v>
      </c>
      <c r="OY4" s="6" t="s">
        <v>2127</v>
      </c>
      <c r="OZ4" s="6" t="s">
        <v>1662</v>
      </c>
      <c r="PA4" s="6" t="s">
        <v>2128</v>
      </c>
      <c r="PB4" s="6" t="s">
        <v>2129</v>
      </c>
      <c r="PC4" s="6" t="s">
        <v>1663</v>
      </c>
      <c r="PD4" s="6" t="s">
        <v>1664</v>
      </c>
      <c r="PE4" s="6" t="s">
        <v>2130</v>
      </c>
      <c r="PF4" s="6" t="s">
        <v>1666</v>
      </c>
      <c r="PG4" s="6" t="s">
        <v>1667</v>
      </c>
      <c r="PH4" s="6" t="s">
        <v>1668</v>
      </c>
      <c r="PI4" s="6" t="s">
        <v>1669</v>
      </c>
      <c r="PJ4" s="6" t="s">
        <v>1670</v>
      </c>
      <c r="PK4" s="6" t="s">
        <v>1671</v>
      </c>
      <c r="PL4" s="6" t="s">
        <v>1672</v>
      </c>
      <c r="PM4" s="6" t="s">
        <v>1673</v>
      </c>
      <c r="PN4" s="6" t="s">
        <v>1674</v>
      </c>
      <c r="PO4" s="6" t="s">
        <v>1675</v>
      </c>
      <c r="PP4" s="6" t="s">
        <v>1676</v>
      </c>
      <c r="PQ4" s="6" t="s">
        <v>2131</v>
      </c>
      <c r="PR4" s="6" t="s">
        <v>2132</v>
      </c>
      <c r="PS4" s="6" t="s">
        <v>2133</v>
      </c>
      <c r="PT4" s="6" t="s">
        <v>2134</v>
      </c>
      <c r="PU4" s="6" t="s">
        <v>1677</v>
      </c>
      <c r="PV4" s="6" t="s">
        <v>1678</v>
      </c>
      <c r="PW4" s="6" t="s">
        <v>1679</v>
      </c>
      <c r="PX4" s="6" t="s">
        <v>1680</v>
      </c>
      <c r="PY4" s="6" t="s">
        <v>2135</v>
      </c>
      <c r="PZ4" s="6" t="s">
        <v>1681</v>
      </c>
      <c r="QA4" s="6" t="s">
        <v>1682</v>
      </c>
      <c r="QB4" s="6" t="s">
        <v>1683</v>
      </c>
      <c r="QC4" s="6" t="s">
        <v>1684</v>
      </c>
      <c r="QD4" s="6" t="s">
        <v>1685</v>
      </c>
      <c r="QE4" s="6" t="s">
        <v>1686</v>
      </c>
      <c r="QF4" s="6" t="s">
        <v>1687</v>
      </c>
      <c r="QG4" s="6" t="s">
        <v>1688</v>
      </c>
      <c r="QH4" s="6" t="s">
        <v>1689</v>
      </c>
      <c r="QI4" s="6" t="s">
        <v>1690</v>
      </c>
      <c r="QJ4" s="6" t="s">
        <v>1691</v>
      </c>
      <c r="QK4" s="6" t="s">
        <v>1692</v>
      </c>
      <c r="QL4" s="6" t="s">
        <v>1693</v>
      </c>
      <c r="QM4" s="6" t="s">
        <v>1694</v>
      </c>
      <c r="QN4" s="6" t="s">
        <v>1695</v>
      </c>
      <c r="QO4" s="6" t="s">
        <v>1696</v>
      </c>
      <c r="QP4" s="6" t="s">
        <v>1697</v>
      </c>
      <c r="QQ4" s="6" t="s">
        <v>2136</v>
      </c>
      <c r="QR4" s="6" t="s">
        <v>2137</v>
      </c>
      <c r="QS4" s="6" t="s">
        <v>2138</v>
      </c>
      <c r="QT4" s="6" t="s">
        <v>2139</v>
      </c>
      <c r="QU4" s="6" t="s">
        <v>1698</v>
      </c>
      <c r="QV4" s="6" t="s">
        <v>1699</v>
      </c>
      <c r="QW4" s="6" t="s">
        <v>1700</v>
      </c>
      <c r="QX4" s="6" t="s">
        <v>1701</v>
      </c>
      <c r="QY4" s="6" t="s">
        <v>1702</v>
      </c>
      <c r="QZ4" s="6" t="s">
        <v>1703</v>
      </c>
      <c r="RA4" s="6" t="s">
        <v>1704</v>
      </c>
      <c r="RB4" s="6" t="s">
        <v>1705</v>
      </c>
      <c r="RC4" s="6" t="s">
        <v>1706</v>
      </c>
      <c r="RD4" s="6" t="s">
        <v>1707</v>
      </c>
      <c r="RE4" s="6" t="s">
        <v>1708</v>
      </c>
      <c r="RF4" s="6" t="s">
        <v>2140</v>
      </c>
      <c r="RG4" s="6" t="s">
        <v>2141</v>
      </c>
      <c r="RH4" s="6" t="s">
        <v>6329</v>
      </c>
      <c r="RI4" s="6" t="s">
        <v>1710</v>
      </c>
      <c r="RJ4" s="6" t="s">
        <v>1711</v>
      </c>
      <c r="RK4" s="6" t="s">
        <v>1712</v>
      </c>
      <c r="RL4" s="6" t="s">
        <v>1713</v>
      </c>
      <c r="RM4" s="6" t="s">
        <v>1714</v>
      </c>
      <c r="RN4" s="6" t="s">
        <v>1715</v>
      </c>
      <c r="RO4" s="6" t="s">
        <v>1716</v>
      </c>
      <c r="RP4" s="6" t="s">
        <v>1717</v>
      </c>
      <c r="RQ4" s="6" t="s">
        <v>1718</v>
      </c>
      <c r="RR4" s="6" t="s">
        <v>1719</v>
      </c>
      <c r="RS4" s="6" t="s">
        <v>1720</v>
      </c>
      <c r="RT4" s="6" t="s">
        <v>1721</v>
      </c>
      <c r="RU4" s="6" t="s">
        <v>1722</v>
      </c>
      <c r="RV4" s="6" t="s">
        <v>1723</v>
      </c>
      <c r="RW4" s="6" t="s">
        <v>1724</v>
      </c>
      <c r="RX4" s="6" t="s">
        <v>1725</v>
      </c>
      <c r="RY4" s="6" t="s">
        <v>2142</v>
      </c>
      <c r="RZ4" s="6" t="s">
        <v>2143</v>
      </c>
      <c r="SA4" s="6" t="s">
        <v>2144</v>
      </c>
      <c r="SB4" s="6" t="s">
        <v>1728</v>
      </c>
      <c r="SC4" s="6" t="s">
        <v>1729</v>
      </c>
      <c r="SD4" s="6" t="s">
        <v>1730</v>
      </c>
      <c r="SE4" s="6" t="s">
        <v>1731</v>
      </c>
      <c r="SF4" s="6" t="s">
        <v>1732</v>
      </c>
      <c r="SG4" s="6" t="s">
        <v>1733</v>
      </c>
      <c r="SH4" s="6" t="s">
        <v>1734</v>
      </c>
      <c r="SI4" s="6" t="s">
        <v>1735</v>
      </c>
      <c r="SJ4" s="6" t="s">
        <v>1736</v>
      </c>
      <c r="SK4" s="6" t="s">
        <v>1737</v>
      </c>
      <c r="SL4" s="6" t="s">
        <v>1738</v>
      </c>
      <c r="SM4" s="6" t="s">
        <v>2145</v>
      </c>
      <c r="SN4" s="6" t="s">
        <v>1739</v>
      </c>
      <c r="SO4" s="6" t="s">
        <v>1740</v>
      </c>
      <c r="SP4" s="6" t="s">
        <v>1741</v>
      </c>
      <c r="SQ4" s="6" t="s">
        <v>1742</v>
      </c>
      <c r="SR4" s="6" t="s">
        <v>1743</v>
      </c>
      <c r="SS4" s="6" t="s">
        <v>1744</v>
      </c>
      <c r="ST4" s="6" t="s">
        <v>1745</v>
      </c>
      <c r="SU4" s="6" t="s">
        <v>1746</v>
      </c>
      <c r="SV4" s="6" t="s">
        <v>1747</v>
      </c>
      <c r="SW4" s="6" t="s">
        <v>1748</v>
      </c>
      <c r="SX4" s="6" t="s">
        <v>1749</v>
      </c>
      <c r="SY4" s="6" t="s">
        <v>1750</v>
      </c>
      <c r="SZ4" s="6" t="s">
        <v>1751</v>
      </c>
      <c r="TA4" s="6" t="s">
        <v>1752</v>
      </c>
      <c r="TB4" s="6" t="s">
        <v>1753</v>
      </c>
      <c r="TC4" s="6" t="s">
        <v>1754</v>
      </c>
      <c r="TD4" s="6" t="s">
        <v>1755</v>
      </c>
      <c r="TE4" s="6" t="s">
        <v>1756</v>
      </c>
      <c r="TF4" s="6" t="s">
        <v>1757</v>
      </c>
      <c r="TG4" s="6" t="s">
        <v>1758</v>
      </c>
      <c r="TH4" s="6" t="s">
        <v>1759</v>
      </c>
      <c r="TI4" s="6" t="s">
        <v>2146</v>
      </c>
      <c r="TJ4" s="6" t="s">
        <v>1760</v>
      </c>
      <c r="TK4" s="6" t="s">
        <v>1761</v>
      </c>
      <c r="TL4" s="6" t="s">
        <v>1762</v>
      </c>
      <c r="TM4" s="6" t="s">
        <v>1763</v>
      </c>
      <c r="TN4" s="6" t="s">
        <v>1764</v>
      </c>
      <c r="TO4" s="6" t="s">
        <v>1765</v>
      </c>
      <c r="TP4" s="6" t="s">
        <v>1766</v>
      </c>
      <c r="TQ4" s="6" t="s">
        <v>1767</v>
      </c>
      <c r="TR4" s="6" t="s">
        <v>1768</v>
      </c>
      <c r="TS4" s="6" t="s">
        <v>1769</v>
      </c>
      <c r="TT4" s="6" t="s">
        <v>1770</v>
      </c>
      <c r="TU4" s="6" t="s">
        <v>1771</v>
      </c>
      <c r="TV4" s="6" t="s">
        <v>1772</v>
      </c>
      <c r="TW4" s="6" t="s">
        <v>1773</v>
      </c>
      <c r="TX4" s="6" t="s">
        <v>1774</v>
      </c>
      <c r="TY4" s="6" t="s">
        <v>1775</v>
      </c>
      <c r="TZ4" s="6" t="s">
        <v>2147</v>
      </c>
      <c r="UA4" s="6" t="s">
        <v>1776</v>
      </c>
      <c r="UB4" s="6" t="s">
        <v>1777</v>
      </c>
      <c r="UC4" s="6" t="s">
        <v>1778</v>
      </c>
      <c r="UD4" s="6" t="s">
        <v>1779</v>
      </c>
      <c r="UE4" s="6" t="s">
        <v>1780</v>
      </c>
      <c r="UF4" s="6" t="s">
        <v>1781</v>
      </c>
      <c r="UG4" s="6" t="s">
        <v>1782</v>
      </c>
      <c r="UH4" s="6" t="s">
        <v>2148</v>
      </c>
      <c r="UI4" s="6" t="s">
        <v>2149</v>
      </c>
      <c r="UJ4" s="6" t="s">
        <v>2150</v>
      </c>
      <c r="UK4" s="6" t="s">
        <v>1783</v>
      </c>
      <c r="UL4" s="6" t="s">
        <v>1784</v>
      </c>
      <c r="UM4" s="6" t="s">
        <v>1785</v>
      </c>
      <c r="UN4" s="6" t="s">
        <v>1786</v>
      </c>
      <c r="UO4" s="6" t="s">
        <v>1787</v>
      </c>
      <c r="UP4" s="6" t="s">
        <v>1788</v>
      </c>
      <c r="UQ4" s="6" t="s">
        <v>1789</v>
      </c>
      <c r="UR4" s="6" t="s">
        <v>1790</v>
      </c>
      <c r="US4" s="6" t="s">
        <v>1791</v>
      </c>
      <c r="UT4" s="6" t="s">
        <v>2151</v>
      </c>
      <c r="UU4" s="6" t="s">
        <v>1792</v>
      </c>
      <c r="UV4" s="6" t="s">
        <v>1793</v>
      </c>
      <c r="UW4" s="6" t="s">
        <v>1794</v>
      </c>
      <c r="UX4" s="6" t="s">
        <v>1795</v>
      </c>
      <c r="UY4" s="6" t="s">
        <v>1796</v>
      </c>
      <c r="UZ4" s="6" t="s">
        <v>1797</v>
      </c>
      <c r="VA4" s="6" t="s">
        <v>1798</v>
      </c>
      <c r="VB4" s="6" t="s">
        <v>1799</v>
      </c>
      <c r="VC4" s="6" t="s">
        <v>1800</v>
      </c>
      <c r="VD4" s="6" t="s">
        <v>1801</v>
      </c>
      <c r="VE4" s="6" t="s">
        <v>1802</v>
      </c>
      <c r="VF4" s="6" t="s">
        <v>1803</v>
      </c>
      <c r="VG4" s="6" t="s">
        <v>1804</v>
      </c>
      <c r="VH4" s="6" t="s">
        <v>1805</v>
      </c>
      <c r="VI4" s="6" t="s">
        <v>1806</v>
      </c>
      <c r="VJ4" s="6" t="s">
        <v>2152</v>
      </c>
      <c r="VK4" s="6" t="s">
        <v>2153</v>
      </c>
      <c r="VL4" s="6" t="s">
        <v>2154</v>
      </c>
      <c r="VM4" s="6" t="s">
        <v>1810</v>
      </c>
      <c r="VN4" s="6" t="s">
        <v>1811</v>
      </c>
      <c r="VO4" s="6" t="s">
        <v>1812</v>
      </c>
      <c r="VP4" s="6" t="s">
        <v>1813</v>
      </c>
      <c r="VQ4" s="6" t="s">
        <v>1814</v>
      </c>
      <c r="VR4" s="6" t="s">
        <v>1815</v>
      </c>
      <c r="VS4" s="6" t="s">
        <v>1816</v>
      </c>
      <c r="VT4" s="6" t="s">
        <v>1817</v>
      </c>
      <c r="VU4" s="6" t="s">
        <v>1818</v>
      </c>
      <c r="VV4" s="6" t="s">
        <v>2155</v>
      </c>
      <c r="VW4" s="6" t="s">
        <v>1819</v>
      </c>
      <c r="VX4" s="6" t="s">
        <v>1820</v>
      </c>
      <c r="VY4" s="6" t="s">
        <v>1821</v>
      </c>
      <c r="VZ4" s="6" t="s">
        <v>1822</v>
      </c>
      <c r="WA4" s="6" t="s">
        <v>1823</v>
      </c>
      <c r="WB4" s="6" t="s">
        <v>1824</v>
      </c>
      <c r="WC4" s="6" t="s">
        <v>1825</v>
      </c>
      <c r="WD4" s="6" t="s">
        <v>1826</v>
      </c>
      <c r="WE4" s="6" t="s">
        <v>1827</v>
      </c>
      <c r="WF4" s="6" t="s">
        <v>1828</v>
      </c>
      <c r="WG4" s="6" t="s">
        <v>1829</v>
      </c>
      <c r="WH4" s="6" t="s">
        <v>1830</v>
      </c>
      <c r="WI4" s="6" t="s">
        <v>1831</v>
      </c>
      <c r="WJ4" s="6" t="s">
        <v>1832</v>
      </c>
      <c r="WK4" s="6" t="s">
        <v>1833</v>
      </c>
      <c r="WL4" s="6" t="s">
        <v>1834</v>
      </c>
      <c r="WM4" s="6" t="s">
        <v>1835</v>
      </c>
      <c r="WN4" s="6" t="s">
        <v>1836</v>
      </c>
      <c r="WO4" s="6" t="s">
        <v>1837</v>
      </c>
      <c r="WP4" s="6" t="s">
        <v>1838</v>
      </c>
      <c r="WQ4" s="6" t="s">
        <v>1839</v>
      </c>
      <c r="WR4" s="6" t="s">
        <v>1840</v>
      </c>
      <c r="WS4" s="6" t="s">
        <v>1841</v>
      </c>
      <c r="WT4" s="6" t="s">
        <v>1842</v>
      </c>
      <c r="WU4" s="6" t="s">
        <v>1843</v>
      </c>
      <c r="WV4" s="6" t="s">
        <v>2156</v>
      </c>
      <c r="WW4" s="6" t="s">
        <v>2157</v>
      </c>
      <c r="WX4" s="6" t="s">
        <v>1844</v>
      </c>
      <c r="WY4" s="6" t="s">
        <v>1845</v>
      </c>
      <c r="WZ4" s="6" t="s">
        <v>1846</v>
      </c>
      <c r="XA4" s="6" t="s">
        <v>2158</v>
      </c>
      <c r="XB4" s="6" t="s">
        <v>1847</v>
      </c>
      <c r="XC4" s="6" t="s">
        <v>1848</v>
      </c>
      <c r="XD4" s="6" t="s">
        <v>1849</v>
      </c>
      <c r="XE4" s="6" t="s">
        <v>1850</v>
      </c>
      <c r="XF4" s="6" t="s">
        <v>2159</v>
      </c>
      <c r="XG4" s="6" t="s">
        <v>2160</v>
      </c>
      <c r="XH4" s="6" t="s">
        <v>2161</v>
      </c>
      <c r="XI4" s="6" t="s">
        <v>1854</v>
      </c>
      <c r="XJ4" s="6" t="s">
        <v>1855</v>
      </c>
      <c r="XK4" s="6" t="s">
        <v>1856</v>
      </c>
      <c r="XL4" s="6" t="s">
        <v>2162</v>
      </c>
      <c r="XM4" s="6" t="s">
        <v>1857</v>
      </c>
      <c r="XN4" s="6" t="s">
        <v>1858</v>
      </c>
      <c r="XO4" s="6" t="s">
        <v>1859</v>
      </c>
      <c r="XP4" s="6" t="s">
        <v>1860</v>
      </c>
      <c r="XQ4" s="6" t="s">
        <v>1861</v>
      </c>
      <c r="XR4" s="6" t="s">
        <v>1862</v>
      </c>
      <c r="XS4" s="6" t="s">
        <v>1863</v>
      </c>
      <c r="XT4" s="6" t="s">
        <v>1864</v>
      </c>
      <c r="XU4" s="6" t="s">
        <v>1865</v>
      </c>
      <c r="XV4" s="6" t="s">
        <v>1866</v>
      </c>
      <c r="XW4" s="6" t="s">
        <v>1867</v>
      </c>
      <c r="XX4" s="6" t="s">
        <v>1868</v>
      </c>
      <c r="XY4" s="6" t="s">
        <v>1869</v>
      </c>
      <c r="XZ4" s="6" t="s">
        <v>1870</v>
      </c>
      <c r="YA4" s="6" t="s">
        <v>1871</v>
      </c>
      <c r="YB4" s="6" t="s">
        <v>1872</v>
      </c>
      <c r="YC4" s="6" t="s">
        <v>1873</v>
      </c>
      <c r="YD4" s="6" t="s">
        <v>2163</v>
      </c>
      <c r="YE4" s="6" t="s">
        <v>2164</v>
      </c>
      <c r="YF4" s="6" t="s">
        <v>1875</v>
      </c>
      <c r="YG4" s="6" t="s">
        <v>1876</v>
      </c>
      <c r="YH4" s="6" t="s">
        <v>1877</v>
      </c>
      <c r="YI4" s="6" t="s">
        <v>1878</v>
      </c>
      <c r="YJ4" s="6" t="s">
        <v>2165</v>
      </c>
      <c r="YK4" s="6" t="s">
        <v>1879</v>
      </c>
      <c r="YL4" s="6" t="s">
        <v>1880</v>
      </c>
      <c r="YM4" s="6" t="s">
        <v>1881</v>
      </c>
      <c r="YN4" s="6" t="s">
        <v>1882</v>
      </c>
      <c r="YO4" s="6" t="s">
        <v>1883</v>
      </c>
      <c r="YP4" s="6" t="s">
        <v>1884</v>
      </c>
      <c r="YQ4" s="6" t="s">
        <v>1885</v>
      </c>
      <c r="YR4" s="6" t="s">
        <v>1886</v>
      </c>
      <c r="YS4" s="6" t="s">
        <v>1887</v>
      </c>
      <c r="YT4" s="6" t="s">
        <v>2166</v>
      </c>
      <c r="YU4" s="6" t="s">
        <v>2167</v>
      </c>
      <c r="YV4" s="6" t="s">
        <v>2168</v>
      </c>
      <c r="YW4" s="6" t="s">
        <v>1891</v>
      </c>
      <c r="YX4" s="6" t="s">
        <v>1892</v>
      </c>
      <c r="YY4" s="6" t="s">
        <v>1893</v>
      </c>
      <c r="YZ4" s="6" t="s">
        <v>1894</v>
      </c>
      <c r="ZA4" s="6" t="s">
        <v>1895</v>
      </c>
      <c r="ZB4" s="6" t="s">
        <v>1896</v>
      </c>
      <c r="ZC4" s="6" t="s">
        <v>1897</v>
      </c>
      <c r="ZD4" s="6" t="s">
        <v>1898</v>
      </c>
      <c r="ZE4" s="6" t="s">
        <v>1899</v>
      </c>
      <c r="ZF4" s="6" t="s">
        <v>1900</v>
      </c>
      <c r="ZG4" s="6" t="s">
        <v>1901</v>
      </c>
      <c r="ZH4" s="6" t="s">
        <v>1902</v>
      </c>
      <c r="ZI4" s="6" t="s">
        <v>1903</v>
      </c>
      <c r="ZJ4" s="6" t="s">
        <v>1904</v>
      </c>
      <c r="ZK4" s="6" t="s">
        <v>1905</v>
      </c>
      <c r="ZL4" s="6" t="s">
        <v>1906</v>
      </c>
      <c r="ZM4" s="6" t="s">
        <v>6330</v>
      </c>
      <c r="ZN4" s="6" t="s">
        <v>1908</v>
      </c>
      <c r="ZO4" s="6" t="s">
        <v>1909</v>
      </c>
      <c r="ZP4" s="6" t="s">
        <v>1910</v>
      </c>
      <c r="ZQ4" s="6" t="s">
        <v>1911</v>
      </c>
      <c r="ZR4" s="6" t="s">
        <v>1912</v>
      </c>
      <c r="ZS4" s="6" t="s">
        <v>1913</v>
      </c>
      <c r="ZT4" s="6" t="s">
        <v>1914</v>
      </c>
      <c r="ZU4" s="6" t="s">
        <v>1915</v>
      </c>
      <c r="ZV4" s="6" t="s">
        <v>1916</v>
      </c>
      <c r="ZW4" s="6" t="s">
        <v>1917</v>
      </c>
      <c r="ZX4" s="6" t="s">
        <v>1918</v>
      </c>
      <c r="ZY4" s="6" t="s">
        <v>1919</v>
      </c>
      <c r="ZZ4" s="6" t="s">
        <v>1920</v>
      </c>
      <c r="AAA4" s="6" t="s">
        <v>1921</v>
      </c>
      <c r="AAB4" s="6" t="s">
        <v>1922</v>
      </c>
      <c r="AAC4" s="6" t="s">
        <v>1923</v>
      </c>
      <c r="AAD4" s="6" t="s">
        <v>1924</v>
      </c>
      <c r="AAE4" s="6" t="s">
        <v>1925</v>
      </c>
      <c r="AAF4" s="6" t="s">
        <v>2169</v>
      </c>
      <c r="AAG4" s="6" t="s">
        <v>2170</v>
      </c>
      <c r="AAH4" s="6" t="s">
        <v>2171</v>
      </c>
      <c r="AAI4" s="6" t="s">
        <v>1927</v>
      </c>
      <c r="AAJ4" s="6" t="s">
        <v>1928</v>
      </c>
      <c r="AAK4" s="6" t="s">
        <v>1929</v>
      </c>
      <c r="AAL4" s="6" t="s">
        <v>1930</v>
      </c>
      <c r="AAM4" s="6" t="s">
        <v>1931</v>
      </c>
      <c r="AAN4" s="6" t="s">
        <v>1932</v>
      </c>
      <c r="AAO4" s="6" t="s">
        <v>1933</v>
      </c>
      <c r="AAP4" s="6" t="s">
        <v>1934</v>
      </c>
      <c r="AAQ4" s="6" t="s">
        <v>1935</v>
      </c>
      <c r="AAR4" s="6" t="s">
        <v>1936</v>
      </c>
      <c r="AAS4" s="6" t="s">
        <v>1937</v>
      </c>
      <c r="AAT4" s="6" t="s">
        <v>1938</v>
      </c>
      <c r="AAU4" s="6" t="s">
        <v>1939</v>
      </c>
      <c r="AAV4" s="6" t="s">
        <v>1940</v>
      </c>
      <c r="AAW4" s="6" t="s">
        <v>1941</v>
      </c>
      <c r="AAX4" s="6" t="s">
        <v>1942</v>
      </c>
      <c r="AAY4" s="6" t="s">
        <v>1943</v>
      </c>
      <c r="AAZ4" s="6" t="s">
        <v>1944</v>
      </c>
      <c r="ABA4" s="6" t="s">
        <v>2172</v>
      </c>
      <c r="ABB4" s="6" t="s">
        <v>1945</v>
      </c>
      <c r="ABC4" s="6" t="s">
        <v>1946</v>
      </c>
      <c r="ABD4" s="6" t="s">
        <v>1947</v>
      </c>
      <c r="ABE4" s="6" t="s">
        <v>1948</v>
      </c>
      <c r="ABF4" s="6" t="s">
        <v>1949</v>
      </c>
      <c r="ABG4" s="6" t="s">
        <v>1950</v>
      </c>
      <c r="ABH4" s="6" t="s">
        <v>1951</v>
      </c>
      <c r="ABI4" s="6" t="s">
        <v>2173</v>
      </c>
      <c r="ABJ4" s="6" t="s">
        <v>2174</v>
      </c>
      <c r="ABK4" s="6" t="s">
        <v>1952</v>
      </c>
      <c r="ABL4" s="6" t="s">
        <v>2175</v>
      </c>
      <c r="ABM4" s="6" t="s">
        <v>2176</v>
      </c>
      <c r="ABN4" s="6" t="s">
        <v>2177</v>
      </c>
      <c r="ABO4" s="6" t="s">
        <v>2178</v>
      </c>
      <c r="ABP4" s="6" t="s">
        <v>1956</v>
      </c>
      <c r="ABQ4" s="6" t="s">
        <v>1957</v>
      </c>
      <c r="ABR4" s="6" t="s">
        <v>1958</v>
      </c>
      <c r="ABS4" s="6" t="s">
        <v>1959</v>
      </c>
      <c r="ABT4" s="6" t="s">
        <v>1960</v>
      </c>
      <c r="ABU4" s="6" t="s">
        <v>1961</v>
      </c>
      <c r="ABV4" s="6" t="s">
        <v>1962</v>
      </c>
      <c r="ABW4" s="6" t="s">
        <v>1963</v>
      </c>
      <c r="ABX4" s="6" t="s">
        <v>2179</v>
      </c>
      <c r="ABY4" s="6" t="s">
        <v>1964</v>
      </c>
      <c r="ABZ4" s="6" t="s">
        <v>1965</v>
      </c>
      <c r="ACA4" s="6" t="s">
        <v>1966</v>
      </c>
      <c r="ACB4" s="6" t="s">
        <v>1967</v>
      </c>
      <c r="ACC4" s="6" t="s">
        <v>1968</v>
      </c>
      <c r="ACD4" s="6" t="s">
        <v>1969</v>
      </c>
      <c r="ACE4" s="6" t="s">
        <v>1970</v>
      </c>
      <c r="ACF4" s="6" t="s">
        <v>1971</v>
      </c>
      <c r="ACG4" s="6" t="s">
        <v>1972</v>
      </c>
      <c r="ACH4" s="6" t="s">
        <v>1973</v>
      </c>
      <c r="ACI4" s="6" t="s">
        <v>1974</v>
      </c>
      <c r="ACJ4" s="6" t="s">
        <v>1975</v>
      </c>
      <c r="ACK4" s="6" t="s">
        <v>1976</v>
      </c>
      <c r="ACL4" s="6" t="s">
        <v>1977</v>
      </c>
      <c r="ACM4" s="6" t="s">
        <v>1978</v>
      </c>
      <c r="ACN4" s="6" t="s">
        <v>1979</v>
      </c>
      <c r="ACO4" s="6" t="s">
        <v>1980</v>
      </c>
      <c r="ACP4" s="6" t="s">
        <v>1981</v>
      </c>
      <c r="ACQ4" s="6" t="s">
        <v>1982</v>
      </c>
      <c r="ACR4" s="6" t="s">
        <v>2180</v>
      </c>
      <c r="ACS4" s="6" t="s">
        <v>1983</v>
      </c>
      <c r="ACT4" s="6" t="s">
        <v>1984</v>
      </c>
      <c r="ACU4" s="6" t="s">
        <v>1985</v>
      </c>
      <c r="ACV4" s="6" t="s">
        <v>1986</v>
      </c>
      <c r="ACW4" s="6" t="s">
        <v>2181</v>
      </c>
      <c r="ACX4" s="6" t="s">
        <v>1987</v>
      </c>
      <c r="ACY4" s="6" t="s">
        <v>1988</v>
      </c>
      <c r="ACZ4" s="6" t="s">
        <v>1989</v>
      </c>
      <c r="ADA4" s="6" t="s">
        <v>1990</v>
      </c>
      <c r="ADB4" s="6" t="s">
        <v>1991</v>
      </c>
      <c r="ADC4" s="6" t="s">
        <v>1850</v>
      </c>
      <c r="ADD4" s="6" t="s">
        <v>2182</v>
      </c>
      <c r="ADE4" s="6" t="s">
        <v>2183</v>
      </c>
      <c r="ADF4" s="6" t="s">
        <v>2184</v>
      </c>
      <c r="ADG4" s="6" t="s">
        <v>1992</v>
      </c>
      <c r="ADH4" s="6" t="s">
        <v>1993</v>
      </c>
      <c r="ADI4" s="6" t="s">
        <v>1994</v>
      </c>
      <c r="ADJ4" s="6" t="s">
        <v>1995</v>
      </c>
      <c r="ADK4" s="6" t="s">
        <v>1996</v>
      </c>
      <c r="ADL4" s="6" t="s">
        <v>1486</v>
      </c>
      <c r="ADM4" s="6" t="s">
        <v>1997</v>
      </c>
      <c r="ADN4" s="6" t="s">
        <v>1998</v>
      </c>
      <c r="ADO4" s="6" t="s">
        <v>1999</v>
      </c>
      <c r="ADP4" s="6" t="s">
        <v>2000</v>
      </c>
      <c r="ADQ4" s="6" t="s">
        <v>2001</v>
      </c>
      <c r="ADR4" s="6" t="s">
        <v>2002</v>
      </c>
      <c r="ADS4" s="6" t="s">
        <v>5915</v>
      </c>
      <c r="ADT4" s="6" t="s">
        <v>2003</v>
      </c>
      <c r="ADU4" s="6" t="s">
        <v>2004</v>
      </c>
      <c r="ADV4" s="6" t="s">
        <v>2005</v>
      </c>
      <c r="ADW4" s="6" t="s">
        <v>2006</v>
      </c>
      <c r="ADX4" s="6" t="s">
        <v>2007</v>
      </c>
      <c r="ADY4" s="6" t="s">
        <v>5927</v>
      </c>
      <c r="ADZ4" s="6" t="s">
        <v>2008</v>
      </c>
      <c r="AEA4" s="6" t="s">
        <v>2009</v>
      </c>
      <c r="AEB4" s="6" t="s">
        <v>2010</v>
      </c>
      <c r="AEC4" s="6" t="s">
        <v>2011</v>
      </c>
      <c r="AED4" s="6" t="s">
        <v>2027</v>
      </c>
      <c r="AEE4" s="6" t="s">
        <v>2012</v>
      </c>
      <c r="AEF4" s="6" t="s">
        <v>2013</v>
      </c>
      <c r="AEG4" s="6" t="s">
        <v>2014</v>
      </c>
      <c r="AEH4" s="6" t="s">
        <v>2015</v>
      </c>
      <c r="AEI4" s="6" t="s">
        <v>2016</v>
      </c>
      <c r="AEJ4" s="6" t="s">
        <v>2017</v>
      </c>
      <c r="AEK4" s="6" t="s">
        <v>2018</v>
      </c>
      <c r="AEL4" s="6" t="s">
        <v>2019</v>
      </c>
      <c r="AEM4" s="6" t="s">
        <v>2020</v>
      </c>
      <c r="AEN4" s="6" t="s">
        <v>2021</v>
      </c>
      <c r="AEO4" s="6" t="s">
        <v>2022</v>
      </c>
      <c r="AEP4" s="6" t="s">
        <v>2023</v>
      </c>
      <c r="AEQ4" s="6" t="s">
        <v>2024</v>
      </c>
      <c r="AER4" s="6" t="s">
        <v>2025</v>
      </c>
      <c r="AES4" s="6" t="s">
        <v>2026</v>
      </c>
      <c r="AET4" s="6" t="s">
        <v>2028</v>
      </c>
      <c r="AEU4" s="6" t="s">
        <v>2029</v>
      </c>
      <c r="AEV4" s="6" t="s">
        <v>2030</v>
      </c>
      <c r="AEW4" s="6" t="s">
        <v>2031</v>
      </c>
      <c r="AEX4" s="6" t="s">
        <v>2032</v>
      </c>
      <c r="AEY4" s="6" t="s">
        <v>2033</v>
      </c>
      <c r="AEZ4" s="6" t="s">
        <v>2034</v>
      </c>
      <c r="AFA4" s="6" t="s">
        <v>2035</v>
      </c>
      <c r="AFB4" s="6" t="s">
        <v>2036</v>
      </c>
      <c r="AFC4" s="6" t="s">
        <v>2037</v>
      </c>
      <c r="AFD4" s="6" t="s">
        <v>2038</v>
      </c>
      <c r="AFE4" s="6" t="s">
        <v>2039</v>
      </c>
      <c r="AFF4" s="6" t="s">
        <v>2040</v>
      </c>
      <c r="AFG4" s="6" t="s">
        <v>2041</v>
      </c>
      <c r="AFH4" s="6" t="s">
        <v>2042</v>
      </c>
      <c r="AFI4" s="6" t="s">
        <v>2043</v>
      </c>
      <c r="AFJ4" s="6" t="s">
        <v>2044</v>
      </c>
      <c r="AFK4" s="6" t="s">
        <v>2045</v>
      </c>
      <c r="AFL4" s="6" t="s">
        <v>2046</v>
      </c>
      <c r="AFM4" s="6" t="s">
        <v>2047</v>
      </c>
      <c r="AFN4" s="6" t="s">
        <v>2048</v>
      </c>
      <c r="AFO4" s="6" t="s">
        <v>2049</v>
      </c>
      <c r="AFP4" s="6" t="s">
        <v>2050</v>
      </c>
      <c r="AFQ4" s="6" t="s">
        <v>2051</v>
      </c>
      <c r="AFR4" s="6" t="s">
        <v>2052</v>
      </c>
      <c r="AFS4" s="6" t="s">
        <v>2053</v>
      </c>
      <c r="AFT4" s="6" t="s">
        <v>2054</v>
      </c>
      <c r="AFU4" s="6" t="s">
        <v>2055</v>
      </c>
      <c r="AFV4" s="6" t="s">
        <v>2056</v>
      </c>
      <c r="AFW4" s="6" t="s">
        <v>2057</v>
      </c>
      <c r="AFX4" s="6" t="s">
        <v>2058</v>
      </c>
      <c r="AFY4" s="6" t="s">
        <v>2059</v>
      </c>
      <c r="AFZ4" s="6" t="s">
        <v>2060</v>
      </c>
      <c r="AGA4" s="6" t="s">
        <v>2061</v>
      </c>
      <c r="AGB4" s="6" t="s">
        <v>2062</v>
      </c>
      <c r="AGC4" s="6" t="s">
        <v>2063</v>
      </c>
      <c r="AGD4" s="6" t="s">
        <v>2064</v>
      </c>
      <c r="AGE4" s="6" t="s">
        <v>2065</v>
      </c>
      <c r="AGF4" s="6" t="s">
        <v>2066</v>
      </c>
      <c r="AGG4" s="6" t="s">
        <v>2067</v>
      </c>
      <c r="AGH4" s="6" t="s">
        <v>2068</v>
      </c>
      <c r="AGI4" s="6" t="s">
        <v>2069</v>
      </c>
      <c r="AGJ4" s="6" t="s">
        <v>2070</v>
      </c>
      <c r="AGK4" s="6" t="s">
        <v>2071</v>
      </c>
      <c r="AGL4" s="6" t="s">
        <v>2072</v>
      </c>
      <c r="AGM4" s="6" t="s">
        <v>2073</v>
      </c>
      <c r="AGN4" s="6" t="s">
        <v>2074</v>
      </c>
      <c r="AGO4" s="6" t="s">
        <v>2075</v>
      </c>
      <c r="AGP4" s="6" t="s">
        <v>2076</v>
      </c>
      <c r="AGQ4" s="6" t="s">
        <v>2077</v>
      </c>
      <c r="AGR4" s="6" t="s">
        <v>2078</v>
      </c>
      <c r="AGS4" s="6" t="s">
        <v>2079</v>
      </c>
      <c r="AGT4" s="6" t="s">
        <v>2080</v>
      </c>
      <c r="AGU4" s="6" t="s">
        <v>2081</v>
      </c>
      <c r="AGV4" s="6" t="s">
        <v>2082</v>
      </c>
      <c r="AGW4" s="6" t="s">
        <v>2083</v>
      </c>
      <c r="AGX4" s="6" t="s">
        <v>2084</v>
      </c>
      <c r="AGY4" s="6" t="s">
        <v>2085</v>
      </c>
      <c r="AGZ4" s="6" t="s">
        <v>2086</v>
      </c>
      <c r="AHA4" s="6" t="s">
        <v>2087</v>
      </c>
      <c r="AHB4" s="6" t="s">
        <v>2088</v>
      </c>
      <c r="AHC4" s="6" t="s">
        <v>2089</v>
      </c>
      <c r="AHD4" s="6" t="s">
        <v>2090</v>
      </c>
      <c r="AHE4" s="6" t="s">
        <v>2091</v>
      </c>
      <c r="AHF4" s="6" t="s">
        <v>2092</v>
      </c>
      <c r="AHG4" s="6" t="s">
        <v>2093</v>
      </c>
      <c r="AHH4" s="6" t="s">
        <v>2094</v>
      </c>
      <c r="AHI4" s="6" t="s">
        <v>2095</v>
      </c>
      <c r="AHJ4" s="6" t="s">
        <v>2096</v>
      </c>
      <c r="AHK4" s="6" t="s">
        <v>2097</v>
      </c>
      <c r="AHL4" s="6" t="s">
        <v>2098</v>
      </c>
      <c r="AHM4" s="6" t="s">
        <v>2099</v>
      </c>
      <c r="AHN4" s="6" t="s">
        <v>2100</v>
      </c>
      <c r="AHO4" s="6" t="s">
        <v>2101</v>
      </c>
      <c r="AHP4" s="6" t="s">
        <v>2102</v>
      </c>
      <c r="AHQ4" s="6" t="s">
        <v>2103</v>
      </c>
      <c r="AHR4" s="6" t="s">
        <v>2104</v>
      </c>
      <c r="AHS4" s="6" t="s">
        <v>2105</v>
      </c>
    </row>
    <row r="5" spans="1:905" x14ac:dyDescent="0.7">
      <c r="B5" s="6" t="s">
        <v>0</v>
      </c>
      <c r="C5" s="6" t="s">
        <v>1</v>
      </c>
      <c r="D5" s="11">
        <v>627522664.86000073</v>
      </c>
      <c r="E5" s="11">
        <v>75426481.640000001</v>
      </c>
      <c r="F5" s="11">
        <v>121543125.64999999</v>
      </c>
      <c r="G5" s="11">
        <v>25845797.91</v>
      </c>
      <c r="H5" s="11">
        <v>135502073.13999999</v>
      </c>
      <c r="I5" s="11">
        <v>50371286.749999978</v>
      </c>
      <c r="J5" s="11">
        <v>81416159.24999997</v>
      </c>
      <c r="K5" s="11">
        <v>76024882.469999999</v>
      </c>
      <c r="L5" s="11">
        <v>71551491.559999958</v>
      </c>
      <c r="M5" s="11">
        <v>43144828.590000018</v>
      </c>
      <c r="N5" s="11">
        <v>40079919.79999999</v>
      </c>
      <c r="O5" s="11">
        <v>35589571.259999998</v>
      </c>
      <c r="P5" s="11">
        <v>53691503.070000015</v>
      </c>
      <c r="Q5" s="11">
        <v>37222615.350000009</v>
      </c>
      <c r="R5" s="11">
        <v>29993452.639999997</v>
      </c>
      <c r="S5" s="11">
        <v>76962685.560000002</v>
      </c>
      <c r="T5" s="11">
        <v>91866631.029999986</v>
      </c>
      <c r="U5" s="11">
        <v>17995219.100000005</v>
      </c>
      <c r="V5" s="11">
        <v>702601007.5799998</v>
      </c>
      <c r="W5" s="11">
        <v>174572113.67000002</v>
      </c>
      <c r="X5" s="11">
        <v>56481630.24000001</v>
      </c>
      <c r="Y5" s="11">
        <v>95287402.689999983</v>
      </c>
      <c r="Z5" s="11">
        <v>43913243.36999999</v>
      </c>
      <c r="AA5" s="11">
        <v>75305214.680000022</v>
      </c>
      <c r="AB5" s="11">
        <v>27303758.879999999</v>
      </c>
      <c r="AC5" s="11">
        <v>203070532.4000001</v>
      </c>
      <c r="AD5" s="11">
        <v>79458808.13000001</v>
      </c>
      <c r="AE5" s="11">
        <v>45839314.629999988</v>
      </c>
      <c r="AF5" s="11">
        <v>105789902.28999998</v>
      </c>
      <c r="AG5" s="11">
        <v>61953216.859999999</v>
      </c>
      <c r="AH5" s="11">
        <v>181858008.53</v>
      </c>
      <c r="AI5" s="11">
        <v>73243991.690000013</v>
      </c>
      <c r="AJ5" s="11">
        <v>57949604.119999997</v>
      </c>
      <c r="AK5" s="11">
        <v>28434720.729999989</v>
      </c>
      <c r="AL5" s="11">
        <v>80496193.239999995</v>
      </c>
      <c r="AM5" s="11">
        <v>45638149.11999999</v>
      </c>
      <c r="AN5" s="11">
        <v>30345501.29999999</v>
      </c>
      <c r="AO5" s="11">
        <v>32816900.270000003</v>
      </c>
      <c r="AP5" s="11">
        <v>37898748.609999999</v>
      </c>
      <c r="AQ5" s="11">
        <v>24299963.75</v>
      </c>
      <c r="AR5" s="11">
        <v>27326632.490000002</v>
      </c>
      <c r="AS5" s="11">
        <v>23690554.600000001</v>
      </c>
      <c r="AT5" s="11">
        <v>269957201.14999998</v>
      </c>
      <c r="AU5" s="11">
        <v>21111975.930000007</v>
      </c>
      <c r="AV5" s="11">
        <v>21914243.970000006</v>
      </c>
      <c r="AW5" s="11">
        <v>32470565.090000004</v>
      </c>
      <c r="AX5" s="11">
        <v>53431404.029999994</v>
      </c>
      <c r="AY5" s="11">
        <v>56414918.040000007</v>
      </c>
      <c r="AZ5" s="11">
        <v>23890893.699999999</v>
      </c>
      <c r="BA5" s="11">
        <v>23042404.289999992</v>
      </c>
      <c r="BB5" s="11">
        <v>16663457.229999991</v>
      </c>
      <c r="BC5" s="11">
        <v>17431920.270000003</v>
      </c>
      <c r="BD5" s="11">
        <v>19920388.469999995</v>
      </c>
      <c r="BE5" s="11">
        <v>16753657.489999996</v>
      </c>
      <c r="BF5" s="11">
        <v>58104456.060000017</v>
      </c>
      <c r="BG5" s="11">
        <v>16122453.549999999</v>
      </c>
      <c r="BH5" s="11">
        <v>18594027.919999994</v>
      </c>
      <c r="BI5" s="11">
        <v>180694552.00999996</v>
      </c>
      <c r="BJ5" s="11">
        <v>112893189.86000001</v>
      </c>
      <c r="BK5" s="11">
        <v>41521550.940000005</v>
      </c>
      <c r="BL5" s="11">
        <v>22003111.120000001</v>
      </c>
      <c r="BM5" s="11">
        <v>58265405.140000038</v>
      </c>
      <c r="BN5" s="11">
        <v>41365833.930000007</v>
      </c>
      <c r="BO5" s="11">
        <v>25306935.869999994</v>
      </c>
      <c r="BP5" s="11">
        <v>23762552.639999997</v>
      </c>
      <c r="BQ5" s="11">
        <v>16470542.190000001</v>
      </c>
      <c r="BR5" s="11">
        <v>287367905.05999988</v>
      </c>
      <c r="BS5" s="11">
        <v>31647224.679999992</v>
      </c>
      <c r="BT5" s="11">
        <v>50806250.480000004</v>
      </c>
      <c r="BU5" s="11">
        <v>52617306.039999992</v>
      </c>
      <c r="BV5" s="11">
        <v>45927899.219999991</v>
      </c>
      <c r="BW5" s="11">
        <v>42112682.629999995</v>
      </c>
      <c r="BX5" s="11">
        <v>11968708.220000001</v>
      </c>
      <c r="BY5" s="11">
        <v>28140981.909999996</v>
      </c>
      <c r="BZ5" s="11">
        <v>58100349.020000011</v>
      </c>
      <c r="CA5" s="11">
        <v>45443615.200000003</v>
      </c>
      <c r="CB5" s="11">
        <v>31894995.210000005</v>
      </c>
      <c r="CC5" s="11">
        <v>132979371.01999997</v>
      </c>
      <c r="CD5" s="11">
        <v>40609356.530000001</v>
      </c>
      <c r="CE5" s="11">
        <v>38617698.200000018</v>
      </c>
      <c r="CF5" s="11">
        <v>19395876.760000005</v>
      </c>
      <c r="CG5" s="11">
        <v>609844205.30000043</v>
      </c>
      <c r="CH5" s="11">
        <v>29299547.549999993</v>
      </c>
      <c r="CI5" s="11">
        <v>108611361.86999999</v>
      </c>
      <c r="CJ5" s="11">
        <v>39529281.899999991</v>
      </c>
      <c r="CK5" s="11">
        <v>45450466.060000017</v>
      </c>
      <c r="CL5" s="11">
        <v>30503385.420000009</v>
      </c>
      <c r="CM5" s="11">
        <v>39627617.350000001</v>
      </c>
      <c r="CN5" s="11">
        <v>69064240.619999975</v>
      </c>
      <c r="CO5" s="11">
        <v>22513970.459999997</v>
      </c>
      <c r="CP5" s="11">
        <v>52255619.769999996</v>
      </c>
      <c r="CQ5" s="11">
        <v>36800222.100000016</v>
      </c>
      <c r="CR5" s="11">
        <v>40534099.850000009</v>
      </c>
      <c r="CS5" s="11">
        <v>35577823.039999992</v>
      </c>
      <c r="CT5" s="11">
        <v>279567464.8500002</v>
      </c>
      <c r="CU5" s="11">
        <v>41612236.24000001</v>
      </c>
      <c r="CV5" s="11">
        <v>38306914.069999993</v>
      </c>
      <c r="CW5" s="11">
        <v>74956991.759999961</v>
      </c>
      <c r="CX5" s="11">
        <v>31326337.230000004</v>
      </c>
      <c r="CY5" s="11">
        <v>59208111.759999998</v>
      </c>
      <c r="CZ5" s="11">
        <v>20664289.429999992</v>
      </c>
      <c r="DA5" s="11">
        <v>21913126.420000006</v>
      </c>
      <c r="DB5" s="11">
        <v>136691000.61000004</v>
      </c>
      <c r="DC5" s="11">
        <v>149726649.74999991</v>
      </c>
      <c r="DD5" s="11">
        <v>26256043.699999996</v>
      </c>
      <c r="DE5" s="11">
        <v>33212264.870000005</v>
      </c>
      <c r="DF5" s="11">
        <v>53712097.359999985</v>
      </c>
      <c r="DG5" s="11">
        <v>65561910.849999964</v>
      </c>
      <c r="DH5" s="11">
        <v>59208718.359999992</v>
      </c>
      <c r="DI5" s="11">
        <v>67528652.999999985</v>
      </c>
      <c r="DJ5" s="11">
        <v>30352317.420000006</v>
      </c>
      <c r="DK5" s="11">
        <v>646689482.61000025</v>
      </c>
      <c r="DL5" s="11">
        <v>50029293.870000005</v>
      </c>
      <c r="DM5" s="11">
        <v>80530992.420000017</v>
      </c>
      <c r="DN5" s="11">
        <v>48906820.419999994</v>
      </c>
      <c r="DO5" s="11">
        <v>66443681.079999991</v>
      </c>
      <c r="DP5" s="11">
        <v>36336673.550000004</v>
      </c>
      <c r="DQ5" s="11">
        <v>113848405.77999997</v>
      </c>
      <c r="DR5" s="11">
        <v>63378479.270000011</v>
      </c>
      <c r="DS5" s="11">
        <v>111404510.60999997</v>
      </c>
      <c r="DT5" s="11">
        <v>244990432.18000001</v>
      </c>
      <c r="DU5" s="11">
        <v>58300633.17999997</v>
      </c>
      <c r="DV5" s="11">
        <v>130540578.21999997</v>
      </c>
      <c r="DW5" s="11">
        <v>202745372.50999996</v>
      </c>
      <c r="DX5" s="11">
        <v>62306620.039999992</v>
      </c>
      <c r="DY5" s="11">
        <v>145927345.35999995</v>
      </c>
      <c r="DZ5" s="11">
        <v>63543080.719999984</v>
      </c>
      <c r="EA5" s="11">
        <v>33566288.20000001</v>
      </c>
      <c r="EB5" s="11">
        <v>35461938.630000003</v>
      </c>
      <c r="EC5" s="11">
        <v>47645159.570000008</v>
      </c>
      <c r="ED5" s="11">
        <v>72761443.160000011</v>
      </c>
      <c r="EE5" s="11">
        <v>140575962.57999998</v>
      </c>
      <c r="EF5" s="11">
        <v>118130473.39999992</v>
      </c>
      <c r="EG5" s="11">
        <v>53821521.289999999</v>
      </c>
      <c r="EH5" s="11">
        <v>48451231.960000016</v>
      </c>
      <c r="EI5" s="11">
        <v>43727643.580000006</v>
      </c>
      <c r="EJ5" s="11">
        <v>64249152.390000015</v>
      </c>
      <c r="EK5" s="11">
        <v>67039800.00999999</v>
      </c>
      <c r="EL5" s="11">
        <v>25263071.549999993</v>
      </c>
      <c r="EM5" s="11">
        <v>48028793.519999988</v>
      </c>
      <c r="EN5" s="11">
        <v>303492557.7700001</v>
      </c>
      <c r="EO5" s="11">
        <v>28701488.580000006</v>
      </c>
      <c r="EP5" s="11">
        <v>45302491.040000007</v>
      </c>
      <c r="EQ5" s="11">
        <v>40767760.479999982</v>
      </c>
      <c r="ER5" s="11">
        <v>34146584.839999996</v>
      </c>
      <c r="ES5" s="11">
        <v>22549947.710000001</v>
      </c>
      <c r="ET5" s="11">
        <v>79900022.429999992</v>
      </c>
      <c r="EU5" s="11">
        <v>52769349.039999992</v>
      </c>
      <c r="EV5" s="11">
        <v>41521431.140000001</v>
      </c>
      <c r="EW5" s="11">
        <v>290474032.83999997</v>
      </c>
      <c r="EX5" s="11">
        <v>21330306.410000008</v>
      </c>
      <c r="EY5" s="11">
        <v>42357042.570000015</v>
      </c>
      <c r="EZ5" s="11">
        <v>59577553.069999993</v>
      </c>
      <c r="FA5" s="11">
        <v>106840612.99999999</v>
      </c>
      <c r="FB5" s="11">
        <v>68567221.889999986</v>
      </c>
      <c r="FC5" s="11">
        <v>49017965.900000021</v>
      </c>
      <c r="FD5" s="11">
        <v>37128231.250000007</v>
      </c>
      <c r="FE5" s="11">
        <v>32088851.550000001</v>
      </c>
      <c r="FF5" s="11">
        <v>40695572.329999998</v>
      </c>
      <c r="FG5" s="11">
        <v>30555216.400000006</v>
      </c>
      <c r="FH5" s="11">
        <v>29354587.59999999</v>
      </c>
      <c r="FI5" s="11">
        <v>151873232.27000001</v>
      </c>
      <c r="FJ5" s="11">
        <v>21545703.689999998</v>
      </c>
      <c r="FK5" s="11">
        <v>27253180.550000012</v>
      </c>
      <c r="FL5" s="11">
        <v>25228674.720000003</v>
      </c>
      <c r="FM5" s="11">
        <v>45578765.849999979</v>
      </c>
      <c r="FN5" s="11">
        <v>49981827.720000006</v>
      </c>
      <c r="FO5" s="11">
        <v>20166440.57</v>
      </c>
      <c r="FP5" s="11">
        <v>13753046.039999999</v>
      </c>
      <c r="FQ5" s="11">
        <v>1580676389.6600003</v>
      </c>
      <c r="FR5" s="11">
        <v>31598780.069999997</v>
      </c>
      <c r="FS5" s="11">
        <v>54361484.050000012</v>
      </c>
      <c r="FT5" s="11">
        <v>55017031.890000015</v>
      </c>
      <c r="FU5" s="11">
        <v>87032675.959999993</v>
      </c>
      <c r="FV5" s="11">
        <v>27033457.280000012</v>
      </c>
      <c r="FW5" s="11">
        <v>97493274.179999977</v>
      </c>
      <c r="FX5" s="11">
        <v>93333751.280000001</v>
      </c>
      <c r="FY5" s="11">
        <v>69077574.079999983</v>
      </c>
      <c r="FZ5" s="11">
        <v>66205160.450000003</v>
      </c>
      <c r="GA5" s="11">
        <v>131499362.84999998</v>
      </c>
      <c r="GB5" s="11">
        <v>48226273.109999999</v>
      </c>
      <c r="GC5" s="11">
        <v>62176708.159999996</v>
      </c>
      <c r="GD5" s="11">
        <v>44856915.150000006</v>
      </c>
      <c r="GE5" s="11">
        <v>161232626.33999997</v>
      </c>
      <c r="GF5" s="11">
        <v>28238385.829999983</v>
      </c>
      <c r="GG5" s="11">
        <v>37357195.740000002</v>
      </c>
      <c r="GH5" s="11">
        <v>85240137.680000007</v>
      </c>
      <c r="GI5" s="11">
        <v>38721588.730000019</v>
      </c>
      <c r="GJ5" s="11">
        <v>37464452.500000015</v>
      </c>
      <c r="GK5" s="11">
        <v>48110461.339999996</v>
      </c>
      <c r="GL5" s="11">
        <v>87680562.670000032</v>
      </c>
      <c r="GM5" s="11">
        <v>26308035.530000001</v>
      </c>
      <c r="GN5" s="11">
        <v>22099505.119999997</v>
      </c>
      <c r="GO5" s="11">
        <v>15666105.550000001</v>
      </c>
      <c r="GP5" s="11">
        <v>16441945.639999995</v>
      </c>
      <c r="GQ5" s="11">
        <v>165054751.79999995</v>
      </c>
      <c r="GR5" s="11">
        <v>23197110.26000002</v>
      </c>
      <c r="GS5" s="11">
        <v>24214253.509999998</v>
      </c>
      <c r="GT5" s="11">
        <v>57997406.800000027</v>
      </c>
      <c r="GU5" s="11">
        <v>11591695.059999995</v>
      </c>
      <c r="GV5" s="11">
        <v>73759558.540000007</v>
      </c>
      <c r="GW5" s="11">
        <v>66507809.629999965</v>
      </c>
      <c r="GX5" s="11">
        <v>32350164.039999992</v>
      </c>
      <c r="GY5" s="11">
        <v>69264610.069999978</v>
      </c>
      <c r="GZ5" s="11">
        <v>17884427.649999995</v>
      </c>
      <c r="HA5" s="11">
        <v>24477150.500000015</v>
      </c>
      <c r="HB5" s="11">
        <v>50238667.950000025</v>
      </c>
      <c r="HC5" s="11">
        <v>476265002.87999982</v>
      </c>
      <c r="HD5" s="11">
        <v>74537783.120000049</v>
      </c>
      <c r="HE5" s="11">
        <v>113879666.28000002</v>
      </c>
      <c r="HF5" s="11">
        <v>75439246.230000019</v>
      </c>
      <c r="HG5" s="11">
        <v>58646822.550000004</v>
      </c>
      <c r="HH5" s="11">
        <v>76616881.960000008</v>
      </c>
      <c r="HI5" s="11">
        <v>19670141.429999996</v>
      </c>
      <c r="HJ5" s="11">
        <v>1453124.25</v>
      </c>
      <c r="HK5" s="11">
        <v>301561657.77999997</v>
      </c>
      <c r="HL5" s="11">
        <v>102813810.43000007</v>
      </c>
      <c r="HM5" s="11">
        <v>112675267.19000001</v>
      </c>
      <c r="HN5" s="11">
        <v>68706047.059999987</v>
      </c>
      <c r="HO5" s="11">
        <v>32395347.979999997</v>
      </c>
      <c r="HP5" s="11">
        <v>56540746.950000018</v>
      </c>
      <c r="HQ5" s="11">
        <v>55766136.330000043</v>
      </c>
      <c r="HR5" s="11">
        <v>38628397.949999988</v>
      </c>
      <c r="HS5" s="11">
        <v>517617417.99000001</v>
      </c>
      <c r="HT5" s="11">
        <v>128296737.14999993</v>
      </c>
      <c r="HU5" s="11">
        <v>43117607.569999985</v>
      </c>
      <c r="HV5" s="11">
        <v>63664387.179999985</v>
      </c>
      <c r="HW5" s="11">
        <v>24810720.550000001</v>
      </c>
      <c r="HX5" s="11">
        <v>16627295.989999998</v>
      </c>
      <c r="HY5" s="11">
        <v>146226886.15999997</v>
      </c>
      <c r="HZ5" s="11">
        <v>33999252.100000001</v>
      </c>
      <c r="IA5" s="11">
        <v>27078504.369999997</v>
      </c>
      <c r="IB5" s="11">
        <v>42798932.88000001</v>
      </c>
      <c r="IC5" s="11">
        <v>50082060.190000013</v>
      </c>
      <c r="ID5" s="11">
        <v>60101412.809999987</v>
      </c>
      <c r="IE5" s="11">
        <v>13732904.700000003</v>
      </c>
      <c r="IF5" s="11">
        <v>33743748.309999995</v>
      </c>
      <c r="IG5" s="11">
        <v>26465689.599999998</v>
      </c>
      <c r="IH5" s="11">
        <v>12922534.950000007</v>
      </c>
      <c r="II5" s="11">
        <v>326722436.87000012</v>
      </c>
      <c r="IJ5" s="11">
        <v>43062796.140000023</v>
      </c>
      <c r="IK5" s="11">
        <v>42865839.550000004</v>
      </c>
      <c r="IL5" s="11">
        <v>75145046.179999992</v>
      </c>
      <c r="IM5" s="11">
        <v>96522327.759999931</v>
      </c>
      <c r="IN5" s="11">
        <v>24976997.400000006</v>
      </c>
      <c r="IO5" s="11">
        <v>36641975.439999998</v>
      </c>
      <c r="IP5" s="11">
        <v>27327225.630000003</v>
      </c>
      <c r="IQ5" s="11">
        <v>29849052.580000002</v>
      </c>
      <c r="IR5" s="11">
        <v>12462399.949999999</v>
      </c>
      <c r="IS5" s="11">
        <v>32816899.399999999</v>
      </c>
      <c r="IT5" s="11">
        <v>224789637.27000004</v>
      </c>
      <c r="IU5" s="11">
        <v>86711551.040000007</v>
      </c>
      <c r="IV5" s="11">
        <v>95633587.75</v>
      </c>
      <c r="IW5" s="11">
        <v>42038974.07</v>
      </c>
      <c r="IX5" s="11">
        <v>41552716.020000011</v>
      </c>
      <c r="IY5" s="11">
        <v>29247856.859999992</v>
      </c>
      <c r="IZ5" s="11">
        <v>27553633.760799997</v>
      </c>
      <c r="JA5" s="11">
        <v>15595757.210000005</v>
      </c>
      <c r="JB5" s="11">
        <v>12106962.509999996</v>
      </c>
      <c r="JC5" s="11">
        <v>46115750.359999992</v>
      </c>
      <c r="JD5" s="11">
        <v>103036765.64</v>
      </c>
      <c r="JE5" s="11">
        <v>22244104.75999999</v>
      </c>
      <c r="JF5" s="11">
        <v>71697160.280000061</v>
      </c>
      <c r="JG5" s="11">
        <v>53439232.010000065</v>
      </c>
      <c r="JH5" s="11">
        <v>34984032.580000013</v>
      </c>
      <c r="JI5" s="11">
        <v>26334375.74000001</v>
      </c>
      <c r="JJ5" s="11">
        <v>21955507.859999999</v>
      </c>
      <c r="JK5" s="11">
        <v>13852971.680000002</v>
      </c>
      <c r="JL5" s="11">
        <v>101707225.10000001</v>
      </c>
      <c r="JM5" s="11">
        <v>14729718.140000002</v>
      </c>
      <c r="JN5" s="11">
        <v>15413354.84</v>
      </c>
      <c r="JO5" s="11">
        <v>27264556.990000002</v>
      </c>
      <c r="JP5" s="11">
        <v>18391882.579999991</v>
      </c>
      <c r="JQ5" s="11">
        <v>83536480.539999962</v>
      </c>
      <c r="JR5" s="11">
        <v>15652113.970000001</v>
      </c>
      <c r="JS5" s="11">
        <v>226063324.06</v>
      </c>
      <c r="JT5" s="11">
        <v>141345503.06999999</v>
      </c>
      <c r="JU5" s="11">
        <v>35805728.679999992</v>
      </c>
      <c r="JV5" s="11">
        <v>15418830.24</v>
      </c>
      <c r="JW5" s="11">
        <v>40552661.330000006</v>
      </c>
      <c r="JX5" s="11">
        <v>6721850.3899999959</v>
      </c>
      <c r="JY5" s="11">
        <v>66717696.589999974</v>
      </c>
      <c r="JZ5" s="11">
        <v>27800954.29999999</v>
      </c>
      <c r="KA5" s="11">
        <v>17984937.799999997</v>
      </c>
      <c r="KB5" s="11">
        <v>19913552.699999992</v>
      </c>
      <c r="KC5" s="11">
        <v>41475188.339999974</v>
      </c>
      <c r="KD5" s="11">
        <v>64294698.800000004</v>
      </c>
      <c r="KE5" s="11">
        <v>23750155.060000002</v>
      </c>
      <c r="KF5" s="11">
        <v>13048106.09</v>
      </c>
      <c r="KG5" s="11">
        <v>29914578.24000001</v>
      </c>
      <c r="KH5" s="11">
        <v>11265684.369999997</v>
      </c>
      <c r="KI5" s="11">
        <v>566795713.63</v>
      </c>
      <c r="KJ5" s="11">
        <v>155505317.50999999</v>
      </c>
      <c r="KK5" s="11">
        <v>31881393.02</v>
      </c>
      <c r="KL5" s="11">
        <v>82278241.019999981</v>
      </c>
      <c r="KM5" s="11">
        <v>33016612.179999992</v>
      </c>
      <c r="KN5" s="11">
        <v>47869900.879999995</v>
      </c>
      <c r="KO5" s="11">
        <v>167151134.66999996</v>
      </c>
      <c r="KP5" s="11">
        <v>26398319.789999999</v>
      </c>
      <c r="KQ5" s="11">
        <v>15280808.949999994</v>
      </c>
      <c r="KR5" s="11">
        <v>106779429.26000001</v>
      </c>
      <c r="KS5" s="11">
        <v>37189557.490000002</v>
      </c>
      <c r="KT5" s="11">
        <v>38700163.260000013</v>
      </c>
      <c r="KU5" s="11">
        <v>176654379.41000003</v>
      </c>
      <c r="KV5" s="11">
        <v>33179005.210000001</v>
      </c>
      <c r="KW5" s="11">
        <v>55141084.509999998</v>
      </c>
      <c r="KX5" s="11">
        <v>231049709.33999994</v>
      </c>
      <c r="KY5" s="11">
        <v>44296133.029999986</v>
      </c>
      <c r="KZ5" s="11">
        <v>183828388.41999984</v>
      </c>
      <c r="LA5" s="11">
        <v>38398491.489999995</v>
      </c>
      <c r="LB5" s="11">
        <v>9528209.4499999993</v>
      </c>
      <c r="LC5" s="11">
        <v>88524395.120000005</v>
      </c>
      <c r="LD5" s="11">
        <v>68690283.169999972</v>
      </c>
      <c r="LE5" s="11">
        <v>37105952.709999986</v>
      </c>
      <c r="LF5" s="11">
        <v>112499976.93000002</v>
      </c>
      <c r="LG5" s="11">
        <v>58011468.960000008</v>
      </c>
      <c r="LH5" s="11">
        <v>651089630.20999992</v>
      </c>
      <c r="LI5" s="11">
        <v>70866312.25000003</v>
      </c>
      <c r="LJ5" s="11">
        <v>157681227.96000004</v>
      </c>
      <c r="LK5" s="11">
        <v>38031309.350000039</v>
      </c>
      <c r="LL5" s="11">
        <v>32648968.990000002</v>
      </c>
      <c r="LM5" s="11">
        <v>35930452.839999996</v>
      </c>
      <c r="LN5" s="11">
        <v>32300909.609999999</v>
      </c>
      <c r="LO5" s="11">
        <v>23347778.099999998</v>
      </c>
      <c r="LP5" s="11">
        <v>25258671.970000003</v>
      </c>
      <c r="LQ5" s="11">
        <v>58951419.280000009</v>
      </c>
      <c r="LR5" s="11">
        <v>29288443.41</v>
      </c>
      <c r="LS5" s="11">
        <v>160096665.08000007</v>
      </c>
      <c r="LT5" s="11">
        <v>30211301.330000024</v>
      </c>
      <c r="LU5" s="11">
        <v>28398233.459999993</v>
      </c>
      <c r="LV5" s="11">
        <v>593687072.35999978</v>
      </c>
      <c r="LW5" s="11">
        <v>176079666.74999997</v>
      </c>
      <c r="LX5" s="11">
        <v>345656288.81</v>
      </c>
      <c r="LY5" s="11">
        <v>112696728.05999994</v>
      </c>
      <c r="LZ5" s="11">
        <v>60602602.120000005</v>
      </c>
      <c r="MA5" s="11">
        <v>102832986.08</v>
      </c>
      <c r="MB5" s="11">
        <v>34628177.729999982</v>
      </c>
      <c r="MC5" s="11">
        <v>51612440.780000009</v>
      </c>
      <c r="MD5" s="11">
        <v>42150167.359999992</v>
      </c>
      <c r="ME5" s="11">
        <v>49930737.059999973</v>
      </c>
      <c r="MF5" s="11">
        <v>85350124.330000013</v>
      </c>
      <c r="MG5" s="11">
        <v>44607064.050000004</v>
      </c>
      <c r="MH5" s="11">
        <v>819097460.1500001</v>
      </c>
      <c r="MI5" s="11">
        <v>79448250.150000021</v>
      </c>
      <c r="MJ5" s="11">
        <v>40846710.450000003</v>
      </c>
      <c r="MK5" s="11">
        <v>29123421.660000004</v>
      </c>
      <c r="ML5" s="11">
        <v>36250904.119999997</v>
      </c>
      <c r="MM5" s="11">
        <v>42395639.29999999</v>
      </c>
      <c r="MN5" s="11">
        <v>35883639.219999999</v>
      </c>
      <c r="MO5" s="11">
        <v>37648476.390000001</v>
      </c>
      <c r="MP5" s="11">
        <v>64862540.249999978</v>
      </c>
      <c r="MQ5" s="11">
        <v>50781940.660000004</v>
      </c>
      <c r="MR5" s="11">
        <v>54311389.170000009</v>
      </c>
      <c r="MS5" s="11">
        <v>36756883.559999995</v>
      </c>
      <c r="MT5" s="11">
        <v>153646249.82999998</v>
      </c>
      <c r="MU5" s="11">
        <v>70829809.330000028</v>
      </c>
      <c r="MV5" s="11">
        <v>98301342.129999995</v>
      </c>
      <c r="MW5" s="11">
        <v>84109332.739999995</v>
      </c>
      <c r="MX5" s="11">
        <v>82215033.760000005</v>
      </c>
      <c r="MY5" s="11">
        <v>55640128.530000001</v>
      </c>
      <c r="MZ5" s="11">
        <v>98643966.200000003</v>
      </c>
      <c r="NA5" s="11">
        <v>147907120.11000001</v>
      </c>
      <c r="NB5" s="11">
        <v>84121179.019999996</v>
      </c>
      <c r="NC5" s="11">
        <v>17377653.979999997</v>
      </c>
      <c r="ND5" s="11">
        <v>22802031.670000002</v>
      </c>
      <c r="NE5" s="11">
        <v>848877938.92999983</v>
      </c>
      <c r="NF5" s="11">
        <v>167995796.34999996</v>
      </c>
      <c r="NG5" s="11">
        <v>21321769.649999999</v>
      </c>
      <c r="NH5" s="11">
        <v>582415289.05999982</v>
      </c>
      <c r="NI5" s="11">
        <v>36357781.390000001</v>
      </c>
      <c r="NJ5" s="11">
        <v>86560413.880000025</v>
      </c>
      <c r="NK5" s="11">
        <v>148944393.63</v>
      </c>
      <c r="NL5" s="11">
        <v>206796115.02000001</v>
      </c>
      <c r="NM5" s="11">
        <v>19183777.140000001</v>
      </c>
      <c r="NN5" s="11">
        <v>148754855.78999999</v>
      </c>
      <c r="NO5" s="11">
        <v>73561697.590000004</v>
      </c>
      <c r="NP5" s="11">
        <v>45217334.269999996</v>
      </c>
      <c r="NQ5" s="11">
        <v>157935735.29999992</v>
      </c>
      <c r="NR5" s="11">
        <v>36372033.089999996</v>
      </c>
      <c r="NS5" s="11">
        <v>33766770.579999991</v>
      </c>
      <c r="NT5" s="11">
        <v>32939383.430000007</v>
      </c>
      <c r="NU5" s="11">
        <v>17236557.109999999</v>
      </c>
      <c r="NV5" s="11">
        <v>12562334.929999998</v>
      </c>
      <c r="NW5" s="11">
        <v>14504577.32</v>
      </c>
      <c r="NX5" s="11">
        <v>475968970.00999993</v>
      </c>
      <c r="NY5" s="11">
        <v>336090680.64000005</v>
      </c>
      <c r="NZ5" s="11">
        <v>79433237.680000007</v>
      </c>
      <c r="OA5" s="11">
        <v>29540012.919999994</v>
      </c>
      <c r="OB5" s="11">
        <v>29152482.560000002</v>
      </c>
      <c r="OC5" s="11">
        <v>44654212.130000003</v>
      </c>
      <c r="OD5" s="11">
        <v>27353088.940000001</v>
      </c>
      <c r="OE5" s="11">
        <v>224427911.82000008</v>
      </c>
      <c r="OF5" s="11">
        <v>72262220.01000002</v>
      </c>
      <c r="OG5" s="11">
        <v>41301991.850000009</v>
      </c>
      <c r="OH5" s="11">
        <v>141948088.12999997</v>
      </c>
      <c r="OI5" s="11">
        <v>41547045.569999985</v>
      </c>
      <c r="OJ5" s="11">
        <v>74533816.090000004</v>
      </c>
      <c r="OK5" s="11">
        <v>152364738.61000001</v>
      </c>
      <c r="OL5" s="11">
        <v>36385730.519999996</v>
      </c>
      <c r="OM5" s="11">
        <v>41419021.210000001</v>
      </c>
      <c r="ON5" s="11">
        <v>671364244.47999978</v>
      </c>
      <c r="OO5" s="11">
        <v>126625132.62999998</v>
      </c>
      <c r="OP5" s="11">
        <v>198466754.03000003</v>
      </c>
      <c r="OQ5" s="11">
        <v>104184977.86000006</v>
      </c>
      <c r="OR5" s="11">
        <v>88277577.189999998</v>
      </c>
      <c r="OS5" s="11">
        <v>50179354.289999999</v>
      </c>
      <c r="OT5" s="11">
        <v>335903514.92999995</v>
      </c>
      <c r="OU5" s="11">
        <v>45510454.330000013</v>
      </c>
      <c r="OV5" s="11">
        <v>44189722.380000003</v>
      </c>
      <c r="OW5" s="11">
        <v>69811038.680000037</v>
      </c>
      <c r="OX5" s="11">
        <v>69551142.420000017</v>
      </c>
      <c r="OY5" s="11">
        <v>258127840.44999999</v>
      </c>
      <c r="OZ5" s="11">
        <v>56787035.18999999</v>
      </c>
      <c r="PA5" s="11">
        <v>29147909.589999996</v>
      </c>
      <c r="PB5" s="11">
        <v>47398348.799999997</v>
      </c>
      <c r="PC5" s="11">
        <v>448866560.3900001</v>
      </c>
      <c r="PD5" s="11">
        <v>54556000.329999991</v>
      </c>
      <c r="PE5" s="11">
        <v>63851613.050000027</v>
      </c>
      <c r="PF5" s="11">
        <v>15846479.700000001</v>
      </c>
      <c r="PG5" s="11">
        <v>62655824.919999972</v>
      </c>
      <c r="PH5" s="11">
        <v>70875195.960000023</v>
      </c>
      <c r="PI5" s="11">
        <v>39915455.429999985</v>
      </c>
      <c r="PJ5" s="11">
        <v>29315817.989999998</v>
      </c>
      <c r="PK5" s="11">
        <v>54120124.579999998</v>
      </c>
      <c r="PL5" s="11">
        <v>45198283.010000005</v>
      </c>
      <c r="PM5" s="11">
        <v>58493808.200000003</v>
      </c>
      <c r="PN5" s="11">
        <v>86099937.010000005</v>
      </c>
      <c r="PO5" s="11">
        <v>20976291.860000003</v>
      </c>
      <c r="PP5" s="11">
        <v>113784946.36999999</v>
      </c>
      <c r="PQ5" s="11">
        <v>29647519.090000004</v>
      </c>
      <c r="PR5" s="11">
        <v>21451637.629999995</v>
      </c>
      <c r="PS5" s="11">
        <v>18112432.149999999</v>
      </c>
      <c r="PT5" s="11">
        <v>23668634.149999999</v>
      </c>
      <c r="PU5" s="11">
        <v>977722470.8299998</v>
      </c>
      <c r="PV5" s="11">
        <v>28140774.90000001</v>
      </c>
      <c r="PW5" s="11">
        <v>27576153.299999993</v>
      </c>
      <c r="PX5" s="11">
        <v>90882756.469999999</v>
      </c>
      <c r="PY5" s="11">
        <v>237022771.24999994</v>
      </c>
      <c r="PZ5" s="11">
        <v>54636995.480000012</v>
      </c>
      <c r="QA5" s="11">
        <v>87584452.170000017</v>
      </c>
      <c r="QB5" s="11">
        <v>44128436.260000013</v>
      </c>
      <c r="QC5" s="11">
        <v>91570409.279999942</v>
      </c>
      <c r="QD5" s="11">
        <v>17495059.659999996</v>
      </c>
      <c r="QE5" s="11">
        <v>53162734.100000039</v>
      </c>
      <c r="QF5" s="11">
        <v>31196416.00999999</v>
      </c>
      <c r="QG5" s="11">
        <v>41769716.149999999</v>
      </c>
      <c r="QH5" s="11">
        <v>52998871.469999999</v>
      </c>
      <c r="QI5" s="11">
        <v>92921442.250000015</v>
      </c>
      <c r="QJ5" s="11">
        <v>50667283.189999983</v>
      </c>
      <c r="QK5" s="11">
        <v>34184453.980000019</v>
      </c>
      <c r="QL5" s="11">
        <v>46293705.979999959</v>
      </c>
      <c r="QM5" s="11">
        <v>22029020.629999999</v>
      </c>
      <c r="QN5" s="11">
        <v>115775155.60999998</v>
      </c>
      <c r="QO5" s="11">
        <v>89124380.740000024</v>
      </c>
      <c r="QP5" s="11">
        <v>22118758.959999993</v>
      </c>
      <c r="QQ5" s="11">
        <v>17594509.780000001</v>
      </c>
      <c r="QR5" s="11">
        <v>14487765.099999998</v>
      </c>
      <c r="QS5" s="11">
        <v>24841706.790000003</v>
      </c>
      <c r="QT5" s="11">
        <v>19591093.219999999</v>
      </c>
      <c r="QU5" s="11">
        <v>655956756.77999985</v>
      </c>
      <c r="QV5" s="11">
        <v>20207114.139999986</v>
      </c>
      <c r="QW5" s="11">
        <v>74195400.530000016</v>
      </c>
      <c r="QX5" s="11">
        <v>35202009.009999998</v>
      </c>
      <c r="QY5" s="11">
        <v>42462425.590000011</v>
      </c>
      <c r="QZ5" s="11">
        <v>122093094.77000007</v>
      </c>
      <c r="RA5" s="11">
        <v>40834986.830000006</v>
      </c>
      <c r="RB5" s="11">
        <v>69014840.579999983</v>
      </c>
      <c r="RC5" s="11">
        <v>73377026.900000021</v>
      </c>
      <c r="RD5" s="11">
        <v>23848918.580000006</v>
      </c>
      <c r="RE5" s="11">
        <v>34050970.950000003</v>
      </c>
      <c r="RF5" s="11">
        <v>42838437.379999995</v>
      </c>
      <c r="RG5" s="11">
        <v>23271615.560000002</v>
      </c>
      <c r="RH5" s="11">
        <v>722660742.11999977</v>
      </c>
      <c r="RI5" s="11">
        <v>86625239.789999992</v>
      </c>
      <c r="RJ5" s="11">
        <v>41528411.080000013</v>
      </c>
      <c r="RK5" s="11">
        <v>55244259.560000032</v>
      </c>
      <c r="RL5" s="11">
        <v>75536341.189999998</v>
      </c>
      <c r="RM5" s="11">
        <v>58449625.109999999</v>
      </c>
      <c r="RN5" s="11">
        <v>107268703.87999998</v>
      </c>
      <c r="RO5" s="11">
        <v>48485756.959999993</v>
      </c>
      <c r="RP5" s="11">
        <v>70172882.14000003</v>
      </c>
      <c r="RQ5" s="11">
        <v>101491262.56</v>
      </c>
      <c r="RR5" s="11">
        <v>140326663.09999996</v>
      </c>
      <c r="RS5" s="11">
        <v>13820385.070000008</v>
      </c>
      <c r="RT5" s="11">
        <v>24411656.160000004</v>
      </c>
      <c r="RU5" s="11">
        <v>46792466.470000006</v>
      </c>
      <c r="RV5" s="11">
        <v>28517438.239999998</v>
      </c>
      <c r="RW5" s="11">
        <v>25055881.510000002</v>
      </c>
      <c r="RX5" s="11">
        <v>28827383.449999999</v>
      </c>
      <c r="RY5" s="11">
        <v>24092001.889999997</v>
      </c>
      <c r="RZ5" s="11">
        <v>21614452.009999998</v>
      </c>
      <c r="SA5" s="11">
        <v>27272537.180000011</v>
      </c>
      <c r="SB5" s="11">
        <v>189740811.13999996</v>
      </c>
      <c r="SC5" s="11">
        <v>46445139.670000002</v>
      </c>
      <c r="SD5" s="11">
        <v>43144769.530000016</v>
      </c>
      <c r="SE5" s="11">
        <v>41097610.650000006</v>
      </c>
      <c r="SF5" s="11">
        <v>25761536.769999992</v>
      </c>
      <c r="SG5" s="11">
        <v>32262575.210000005</v>
      </c>
      <c r="SH5" s="11">
        <v>45701040.870000012</v>
      </c>
      <c r="SI5" s="11">
        <v>89954303.519999996</v>
      </c>
      <c r="SJ5" s="11">
        <v>39552469.410000011</v>
      </c>
      <c r="SK5" s="11">
        <v>46748127.280000001</v>
      </c>
      <c r="SL5" s="11">
        <v>118462084.25999999</v>
      </c>
      <c r="SM5" s="11">
        <v>16582014.590000002</v>
      </c>
      <c r="SN5" s="11">
        <v>177657185.31999999</v>
      </c>
      <c r="SO5" s="11">
        <v>51127507.679999977</v>
      </c>
      <c r="SP5" s="11">
        <v>79724736.86999999</v>
      </c>
      <c r="SQ5" s="11">
        <v>96515541.189999998</v>
      </c>
      <c r="SR5" s="11">
        <v>49303670.680000015</v>
      </c>
      <c r="SS5" s="11">
        <v>47930408.450000003</v>
      </c>
      <c r="ST5" s="11">
        <v>35109737.680000015</v>
      </c>
      <c r="SU5" s="11">
        <v>22127512.220000003</v>
      </c>
      <c r="SV5" s="11">
        <v>343166611.78999996</v>
      </c>
      <c r="SW5" s="11">
        <v>47190187.70000001</v>
      </c>
      <c r="SX5" s="11">
        <v>61915227.679999985</v>
      </c>
      <c r="SY5" s="11">
        <v>72145754.079999998</v>
      </c>
      <c r="SZ5" s="11">
        <v>21678739.310000014</v>
      </c>
      <c r="TA5" s="11">
        <v>27004999.75999999</v>
      </c>
      <c r="TB5" s="11">
        <v>57093815.560000002</v>
      </c>
      <c r="TC5" s="11">
        <v>74399975.75</v>
      </c>
      <c r="TD5" s="11">
        <v>40228929.239999995</v>
      </c>
      <c r="TE5" s="11">
        <v>54527712.619999997</v>
      </c>
      <c r="TF5" s="11">
        <v>52323816.949999981</v>
      </c>
      <c r="TG5" s="11">
        <v>59264252.970000014</v>
      </c>
      <c r="TH5" s="11">
        <v>47092181.240000017</v>
      </c>
      <c r="TI5" s="11">
        <v>29929907.459999997</v>
      </c>
      <c r="TJ5" s="11">
        <v>607765253.32000017</v>
      </c>
      <c r="TK5" s="11">
        <v>43576677.779999994</v>
      </c>
      <c r="TL5" s="11">
        <v>27857814.939999998</v>
      </c>
      <c r="TM5" s="11">
        <v>43130398.04999999</v>
      </c>
      <c r="TN5" s="11">
        <v>31263463.829999998</v>
      </c>
      <c r="TO5" s="11">
        <v>30591913.739999987</v>
      </c>
      <c r="TP5" s="11">
        <v>15611418.19999999</v>
      </c>
      <c r="TQ5" s="11">
        <v>208356871.48000011</v>
      </c>
      <c r="TR5" s="11">
        <v>25419792.330000002</v>
      </c>
      <c r="TS5" s="11">
        <v>52163777.829999998</v>
      </c>
      <c r="TT5" s="11">
        <v>72352226.49000001</v>
      </c>
      <c r="TU5" s="11">
        <v>41529155.059999987</v>
      </c>
      <c r="TV5" s="11">
        <v>22754952.840000004</v>
      </c>
      <c r="TW5" s="11">
        <v>28972271.359999992</v>
      </c>
      <c r="TX5" s="11">
        <v>34581614.95000001</v>
      </c>
      <c r="TY5" s="11">
        <v>28779024.709999997</v>
      </c>
      <c r="TZ5" s="11">
        <v>180286042.92000002</v>
      </c>
      <c r="UA5" s="11">
        <v>28691622.740000002</v>
      </c>
      <c r="UB5" s="11">
        <v>223777627.41000012</v>
      </c>
      <c r="UC5" s="11">
        <v>99972015.949999958</v>
      </c>
      <c r="UD5" s="11">
        <v>25851953.18</v>
      </c>
      <c r="UE5" s="11">
        <v>36774821.079999998</v>
      </c>
      <c r="UF5" s="11">
        <v>157436284.43999997</v>
      </c>
      <c r="UG5" s="11">
        <v>25622877.020000003</v>
      </c>
      <c r="UH5" s="11">
        <v>13513595.729999999</v>
      </c>
      <c r="UI5" s="11">
        <v>49587755.939999983</v>
      </c>
      <c r="UJ5" s="11">
        <v>38070526.799999997</v>
      </c>
      <c r="UK5" s="11">
        <v>144089161.75999999</v>
      </c>
      <c r="UL5" s="11">
        <v>68915689.389999986</v>
      </c>
      <c r="UM5" s="11">
        <v>64286948.459999993</v>
      </c>
      <c r="UN5" s="11">
        <v>86151013.799999982</v>
      </c>
      <c r="UO5" s="11">
        <v>64336833.230000019</v>
      </c>
      <c r="UP5" s="11">
        <v>41409553.829999998</v>
      </c>
      <c r="UQ5" s="11">
        <v>920820460.74999976</v>
      </c>
      <c r="UR5" s="11">
        <v>59824519.889999993</v>
      </c>
      <c r="US5" s="11">
        <v>78013733.069999963</v>
      </c>
      <c r="UT5" s="11">
        <v>177053136.78999993</v>
      </c>
      <c r="UU5" s="11">
        <v>11167552.500000006</v>
      </c>
      <c r="UV5" s="11">
        <v>46948657.210000008</v>
      </c>
      <c r="UW5" s="11">
        <v>101451959.74999997</v>
      </c>
      <c r="UX5" s="11">
        <v>36546695.860000014</v>
      </c>
      <c r="UY5" s="11">
        <v>39695714.010000005</v>
      </c>
      <c r="UZ5" s="11">
        <v>47135077.719999999</v>
      </c>
      <c r="VA5" s="11">
        <v>71899451.850000024</v>
      </c>
      <c r="VB5" s="11">
        <v>116398405.63</v>
      </c>
      <c r="VC5" s="11">
        <v>81933147.829999983</v>
      </c>
      <c r="VD5" s="11">
        <v>112818692.27000003</v>
      </c>
      <c r="VE5" s="11">
        <v>37287801.000000007</v>
      </c>
      <c r="VF5" s="11">
        <v>33494658.739999998</v>
      </c>
      <c r="VG5" s="11">
        <v>32190191.540000007</v>
      </c>
      <c r="VH5" s="11">
        <v>27578284.859999985</v>
      </c>
      <c r="VI5" s="11">
        <v>137637491.08000007</v>
      </c>
      <c r="VJ5" s="11">
        <v>28913231.219999999</v>
      </c>
      <c r="VK5" s="11">
        <v>31053529.52</v>
      </c>
      <c r="VL5" s="11">
        <v>20932826.449999999</v>
      </c>
      <c r="VM5" s="11">
        <v>529104863.13999999</v>
      </c>
      <c r="VN5" s="11">
        <v>42327558.879999995</v>
      </c>
      <c r="VO5" s="11">
        <v>36608369.189999998</v>
      </c>
      <c r="VP5" s="11">
        <v>98224341.419999957</v>
      </c>
      <c r="VQ5" s="11">
        <v>95047261.400000021</v>
      </c>
      <c r="VR5" s="11">
        <v>59766039.610000029</v>
      </c>
      <c r="VS5" s="11">
        <v>64557709.579999983</v>
      </c>
      <c r="VT5" s="11">
        <v>56769952.250000015</v>
      </c>
      <c r="VU5" s="11">
        <v>62628686.919999994</v>
      </c>
      <c r="VV5" s="11">
        <v>159590684.32000005</v>
      </c>
      <c r="VW5" s="11">
        <v>39778138.339999996</v>
      </c>
      <c r="VX5" s="11">
        <v>108345916.2</v>
      </c>
      <c r="VY5" s="11">
        <v>69877882.909999996</v>
      </c>
      <c r="VZ5" s="11">
        <v>49492720.609999977</v>
      </c>
      <c r="WA5" s="11">
        <v>29150261.110000003</v>
      </c>
      <c r="WB5" s="11">
        <v>981605968.68999934</v>
      </c>
      <c r="WC5" s="11">
        <v>80859080</v>
      </c>
      <c r="WD5" s="11">
        <v>61556944.690000005</v>
      </c>
      <c r="WE5" s="11">
        <v>105721605.64000002</v>
      </c>
      <c r="WF5" s="11">
        <v>36840351.600000009</v>
      </c>
      <c r="WG5" s="11">
        <v>49887977.800000012</v>
      </c>
      <c r="WH5" s="11">
        <v>103342788.24999999</v>
      </c>
      <c r="WI5" s="11">
        <v>98533208.060000032</v>
      </c>
      <c r="WJ5" s="11">
        <v>59807302.479999989</v>
      </c>
      <c r="WK5" s="11">
        <v>75831672.460000008</v>
      </c>
      <c r="WL5" s="11">
        <v>33934287.100000009</v>
      </c>
      <c r="WM5" s="11">
        <v>145802415.85000002</v>
      </c>
      <c r="WN5" s="11">
        <v>58724199.479999997</v>
      </c>
      <c r="WO5" s="11">
        <v>79374406.329999983</v>
      </c>
      <c r="WP5" s="11">
        <v>169790916.97999996</v>
      </c>
      <c r="WQ5" s="11">
        <v>67232363.310000002</v>
      </c>
      <c r="WR5" s="11">
        <v>92430000.299999997</v>
      </c>
      <c r="WS5" s="11">
        <v>62778024.149999976</v>
      </c>
      <c r="WT5" s="11">
        <v>31546261.310000002</v>
      </c>
      <c r="WU5" s="11">
        <v>120956549.21999998</v>
      </c>
      <c r="WV5" s="11">
        <v>191407052.83999991</v>
      </c>
      <c r="WW5" s="11">
        <v>55756749.240000002</v>
      </c>
      <c r="WX5" s="11">
        <v>33515796.810000002</v>
      </c>
      <c r="WY5" s="11">
        <v>32054882.419999987</v>
      </c>
      <c r="WZ5" s="11">
        <v>45821052.840000011</v>
      </c>
      <c r="XA5" s="11">
        <v>53334136.920000017</v>
      </c>
      <c r="XB5" s="11">
        <v>38531287.860000007</v>
      </c>
      <c r="XC5" s="11">
        <v>46480683.639999986</v>
      </c>
      <c r="XD5" s="11">
        <v>235672828.90999997</v>
      </c>
      <c r="XE5" s="11">
        <v>36238493.515000001</v>
      </c>
      <c r="XF5" s="11">
        <v>27375791.279999997</v>
      </c>
      <c r="XG5" s="11">
        <v>22021499.490000002</v>
      </c>
      <c r="XH5" s="11">
        <v>32397707.089999996</v>
      </c>
      <c r="XI5" s="11">
        <v>791699299.96000004</v>
      </c>
      <c r="XJ5" s="11">
        <v>82168916.740000024</v>
      </c>
      <c r="XK5" s="11">
        <v>108601740.97</v>
      </c>
      <c r="XL5" s="11">
        <v>272754405.88999999</v>
      </c>
      <c r="XM5" s="11">
        <v>64183785.190000013</v>
      </c>
      <c r="XN5" s="11">
        <v>74561911.480000004</v>
      </c>
      <c r="XO5" s="11">
        <v>154983875.28999999</v>
      </c>
      <c r="XP5" s="11">
        <v>105624022.06999998</v>
      </c>
      <c r="XQ5" s="11">
        <v>66558830.859999992</v>
      </c>
      <c r="XR5" s="11">
        <v>129603744.84000002</v>
      </c>
      <c r="XS5" s="11">
        <v>134873461.92000002</v>
      </c>
      <c r="XT5" s="11">
        <v>49694347.550000012</v>
      </c>
      <c r="XU5" s="11">
        <v>36965060.74000001</v>
      </c>
      <c r="XV5" s="11">
        <v>52116988.400000021</v>
      </c>
      <c r="XW5" s="11">
        <v>55083011.250000015</v>
      </c>
      <c r="XX5" s="11">
        <v>41688746.989999995</v>
      </c>
      <c r="XY5" s="11">
        <v>33655322.060000002</v>
      </c>
      <c r="XZ5" s="11">
        <v>40320509.700000003</v>
      </c>
      <c r="YA5" s="11">
        <v>33206875.649999991</v>
      </c>
      <c r="YB5" s="11">
        <v>37624840.180000007</v>
      </c>
      <c r="YC5" s="11">
        <v>31650717.829999994</v>
      </c>
      <c r="YD5" s="11">
        <v>51449977.389999986</v>
      </c>
      <c r="YE5" s="11">
        <v>64544103.93999999</v>
      </c>
      <c r="YF5" s="11">
        <v>1016336547.28</v>
      </c>
      <c r="YG5" s="11">
        <v>65770749.410000004</v>
      </c>
      <c r="YH5" s="11">
        <v>119278027.21000004</v>
      </c>
      <c r="YI5" s="11">
        <v>51426436.679999992</v>
      </c>
      <c r="YJ5" s="11">
        <v>270087739.05000013</v>
      </c>
      <c r="YK5" s="11">
        <v>72255662.939999983</v>
      </c>
      <c r="YL5" s="11">
        <v>108848030.94999999</v>
      </c>
      <c r="YM5" s="11">
        <v>44590974.309999995</v>
      </c>
      <c r="YN5" s="11">
        <v>225226852.07999995</v>
      </c>
      <c r="YO5" s="11">
        <v>147947019.59999996</v>
      </c>
      <c r="YP5" s="11">
        <v>92152471.390000015</v>
      </c>
      <c r="YQ5" s="11">
        <v>63775869.829999998</v>
      </c>
      <c r="YR5" s="11">
        <v>54948642.73999998</v>
      </c>
      <c r="YS5" s="11">
        <v>58671842.220000006</v>
      </c>
      <c r="YT5" s="11">
        <v>54420858.049999997</v>
      </c>
      <c r="YU5" s="11">
        <v>58602424.000000015</v>
      </c>
      <c r="YV5" s="11">
        <v>46892040.300000004</v>
      </c>
      <c r="YW5" s="11">
        <v>183998117.59300002</v>
      </c>
      <c r="YX5" s="11">
        <v>35141674.820000008</v>
      </c>
      <c r="YY5" s="11">
        <v>38216148.750000015</v>
      </c>
      <c r="YZ5" s="11">
        <v>46857199.849999979</v>
      </c>
      <c r="ZA5" s="11">
        <v>37809442.969999984</v>
      </c>
      <c r="ZB5" s="11">
        <v>21050374.949999992</v>
      </c>
      <c r="ZC5" s="11">
        <v>42125401.639999993</v>
      </c>
      <c r="ZD5" s="11">
        <v>325560422.69999999</v>
      </c>
      <c r="ZE5" s="11">
        <v>29859996.329999998</v>
      </c>
      <c r="ZF5" s="11">
        <v>43127136.290000007</v>
      </c>
      <c r="ZG5" s="11">
        <v>42414504.960000008</v>
      </c>
      <c r="ZH5" s="11">
        <v>27930348.539999988</v>
      </c>
      <c r="ZI5" s="11">
        <v>27351486.170000002</v>
      </c>
      <c r="ZJ5" s="11">
        <v>21504719.539999988</v>
      </c>
      <c r="ZK5" s="11">
        <v>24115916.409999996</v>
      </c>
      <c r="ZL5" s="11">
        <v>54128292.240000024</v>
      </c>
      <c r="ZM5" s="11">
        <v>811828974.58000004</v>
      </c>
      <c r="ZN5" s="11">
        <v>20326102.459999993</v>
      </c>
      <c r="ZO5" s="11">
        <v>85863884.36999999</v>
      </c>
      <c r="ZP5" s="11">
        <v>413951474.09000027</v>
      </c>
      <c r="ZQ5" s="11">
        <v>128626543.00999996</v>
      </c>
      <c r="ZR5" s="11">
        <v>30778769.829999991</v>
      </c>
      <c r="ZS5" s="11">
        <v>57889680.099999994</v>
      </c>
      <c r="ZT5" s="11">
        <v>71036516.25</v>
      </c>
      <c r="ZU5" s="11">
        <v>84264755.009999961</v>
      </c>
      <c r="ZV5" s="11">
        <v>86494475.939999983</v>
      </c>
      <c r="ZW5" s="11">
        <v>25632072.620000005</v>
      </c>
      <c r="ZX5" s="11">
        <v>28993070.020000011</v>
      </c>
      <c r="ZY5" s="11">
        <v>50644356.310000002</v>
      </c>
      <c r="ZZ5" s="11">
        <v>64881211.719999969</v>
      </c>
      <c r="AAA5" s="11">
        <v>48509706.600000009</v>
      </c>
      <c r="AAB5" s="11">
        <v>48070474.240000002</v>
      </c>
      <c r="AAC5" s="11">
        <v>62326936.129999995</v>
      </c>
      <c r="AAD5" s="11">
        <v>28679833.680000007</v>
      </c>
      <c r="AAE5" s="11">
        <v>51734869.700000003</v>
      </c>
      <c r="AAF5" s="11">
        <v>36074094.149999999</v>
      </c>
      <c r="AAG5" s="11">
        <v>21389238.66</v>
      </c>
      <c r="AAH5" s="11">
        <v>22240547.659999985</v>
      </c>
      <c r="AAI5" s="11">
        <v>162554435.63999996</v>
      </c>
      <c r="AAJ5" s="11">
        <v>36750512.720000006</v>
      </c>
      <c r="AAK5" s="11">
        <v>41797575.32</v>
      </c>
      <c r="AAL5" s="11">
        <v>29818528.589999996</v>
      </c>
      <c r="AAM5" s="11">
        <v>28140382.369999994</v>
      </c>
      <c r="AAN5" s="11">
        <v>43575863.189999998</v>
      </c>
      <c r="AAO5" s="11">
        <v>33446747.500000007</v>
      </c>
      <c r="AAP5" s="11">
        <v>582868838.27999949</v>
      </c>
      <c r="AAQ5" s="11">
        <v>41622708.310000002</v>
      </c>
      <c r="AAR5" s="11">
        <v>28368355.979999997</v>
      </c>
      <c r="AAS5" s="11">
        <v>80020441.549999982</v>
      </c>
      <c r="AAT5" s="11">
        <v>71018736.899999991</v>
      </c>
      <c r="AAU5" s="11">
        <v>46466570.93</v>
      </c>
      <c r="AAV5" s="11">
        <v>49885128.370000012</v>
      </c>
      <c r="AAW5" s="11">
        <v>72691633.029999986</v>
      </c>
      <c r="AAX5" s="11">
        <v>184366384.13000003</v>
      </c>
      <c r="AAY5" s="11">
        <v>35331836.76000002</v>
      </c>
      <c r="AAZ5" s="11">
        <v>60253081.719999999</v>
      </c>
      <c r="ABA5" s="11">
        <v>168465483.68000001</v>
      </c>
      <c r="ABB5" s="11">
        <v>112750813.24000002</v>
      </c>
      <c r="ABC5" s="11">
        <v>21703921.870000001</v>
      </c>
      <c r="ABD5" s="11">
        <v>43037849.020000026</v>
      </c>
      <c r="ABE5" s="11">
        <v>46961538.089999996</v>
      </c>
      <c r="ABF5" s="11">
        <v>34643750.150000006</v>
      </c>
      <c r="ABG5" s="11">
        <v>52337964.339999996</v>
      </c>
      <c r="ABH5" s="11">
        <v>26898983.210000001</v>
      </c>
      <c r="ABI5" s="11">
        <v>452765643.77000016</v>
      </c>
      <c r="ABJ5" s="11">
        <v>200407258.5</v>
      </c>
      <c r="ABK5" s="11">
        <v>32535036.59999999</v>
      </c>
      <c r="ABL5" s="11">
        <v>14154622.879999997</v>
      </c>
      <c r="ABM5" s="11">
        <v>22480482.559999999</v>
      </c>
      <c r="ABN5" s="11">
        <v>32171992.760000002</v>
      </c>
      <c r="ABO5" s="11">
        <v>20305071.359999992</v>
      </c>
      <c r="ABP5" s="11">
        <v>378345263.82999998</v>
      </c>
      <c r="ABQ5" s="11">
        <v>46511692.640000001</v>
      </c>
      <c r="ABR5" s="11">
        <v>20859502.259999987</v>
      </c>
      <c r="ABS5" s="11">
        <v>70132557.890000001</v>
      </c>
      <c r="ABT5" s="11">
        <v>39439532.599999979</v>
      </c>
      <c r="ABU5" s="11">
        <v>37481270.440000005</v>
      </c>
      <c r="ABV5" s="11">
        <v>44599209.409999996</v>
      </c>
      <c r="ABW5" s="11">
        <v>50100080.99000001</v>
      </c>
      <c r="ABX5" s="11">
        <v>17483759.600000001</v>
      </c>
      <c r="ABY5" s="11">
        <v>185210086.46000016</v>
      </c>
      <c r="ABZ5" s="11">
        <v>34018156.229999989</v>
      </c>
      <c r="ACA5" s="11">
        <v>69550460.189999998</v>
      </c>
      <c r="ACB5" s="11">
        <v>38208671.620000012</v>
      </c>
      <c r="ACC5" s="11">
        <v>19703466.069999997</v>
      </c>
      <c r="ACD5" s="11">
        <v>59843482.660000004</v>
      </c>
      <c r="ACE5" s="11">
        <v>39811747.580000006</v>
      </c>
      <c r="ACF5" s="11">
        <v>31242209.150000006</v>
      </c>
      <c r="ACG5" s="11">
        <v>32906222.119999997</v>
      </c>
      <c r="ACH5" s="11">
        <v>89596012.230000019</v>
      </c>
      <c r="ACI5" s="11">
        <v>23739532.120000008</v>
      </c>
      <c r="ACJ5" s="11">
        <v>365735114.76000005</v>
      </c>
      <c r="ACK5" s="11">
        <v>33153102.690000013</v>
      </c>
      <c r="ACL5" s="11">
        <v>53807601.889999993</v>
      </c>
      <c r="ACM5" s="11">
        <v>65355229.259999998</v>
      </c>
      <c r="ACN5" s="11">
        <v>36452486.499999985</v>
      </c>
      <c r="ACO5" s="11">
        <v>42150932.259999983</v>
      </c>
      <c r="ACP5" s="11">
        <v>71986049.809999987</v>
      </c>
      <c r="ACQ5" s="11">
        <v>161623419.65999997</v>
      </c>
      <c r="ACR5" s="11">
        <v>268349784.41999987</v>
      </c>
      <c r="ACS5" s="11">
        <v>26994411.399999999</v>
      </c>
      <c r="ACT5" s="11">
        <v>80614993.11999999</v>
      </c>
      <c r="ACU5" s="11">
        <v>111854626.47000003</v>
      </c>
      <c r="ACV5" s="11">
        <v>121551706.69</v>
      </c>
      <c r="ACW5" s="11">
        <v>126378441.33</v>
      </c>
      <c r="ACX5" s="11">
        <v>21004756.090000004</v>
      </c>
      <c r="ACY5" s="11">
        <v>43062279.440000027</v>
      </c>
      <c r="ACZ5" s="11">
        <v>49372837.43</v>
      </c>
      <c r="ADA5" s="11">
        <v>30866217.670000002</v>
      </c>
      <c r="ADB5" s="11">
        <v>21768994.23</v>
      </c>
      <c r="ADC5" s="11">
        <v>29407844.629999995</v>
      </c>
      <c r="ADD5" s="11">
        <v>46610820.140000008</v>
      </c>
      <c r="ADE5" s="11">
        <v>26710962.270000003</v>
      </c>
      <c r="ADF5" s="11">
        <v>34118273.649999984</v>
      </c>
      <c r="ADG5" s="11">
        <v>69464274.919999972</v>
      </c>
      <c r="ADH5" s="11">
        <v>94444267.24999997</v>
      </c>
      <c r="ADI5" s="11">
        <v>30383768.810000002</v>
      </c>
      <c r="ADJ5" s="11">
        <v>16977355.599999998</v>
      </c>
      <c r="ADK5" s="11">
        <v>23822462.090000004</v>
      </c>
      <c r="ADL5" s="11">
        <v>12344023.82</v>
      </c>
      <c r="ADM5" s="11">
        <v>31344975.219999991</v>
      </c>
      <c r="ADN5" s="11">
        <v>35280857.700000003</v>
      </c>
      <c r="ADO5" s="11">
        <v>48529714.739999995</v>
      </c>
      <c r="ADP5" s="11">
        <v>363251772.95999968</v>
      </c>
      <c r="ADQ5" s="11">
        <v>84345412.310000002</v>
      </c>
      <c r="ADR5" s="11">
        <v>66297890.220000006</v>
      </c>
      <c r="ADS5" s="11">
        <v>50178332.209999993</v>
      </c>
      <c r="ADT5" s="11">
        <v>98806441.899999991</v>
      </c>
      <c r="ADU5" s="11">
        <v>14396504.460000006</v>
      </c>
      <c r="ADV5" s="11">
        <v>17587038.020000003</v>
      </c>
      <c r="ADW5" s="11">
        <v>32728911.749999993</v>
      </c>
      <c r="ADX5" s="11">
        <v>18386688.099999998</v>
      </c>
      <c r="ADY5" s="11">
        <v>16078665.870000001</v>
      </c>
      <c r="ADZ5" s="11">
        <v>514838768.04999983</v>
      </c>
      <c r="AEA5" s="11">
        <v>124278757.43999997</v>
      </c>
      <c r="AEB5" s="11">
        <v>92530303.289999992</v>
      </c>
      <c r="AEC5" s="11">
        <v>25687808.100000005</v>
      </c>
      <c r="AED5" s="11">
        <v>47966097.790000007</v>
      </c>
      <c r="AEE5" s="11">
        <v>57873159.889999986</v>
      </c>
      <c r="AEF5" s="11">
        <v>42083820.690000005</v>
      </c>
      <c r="AEG5" s="11">
        <v>32103187.299999986</v>
      </c>
      <c r="AEH5" s="11">
        <v>49268120.140000008</v>
      </c>
      <c r="AEI5" s="11">
        <v>32279659.310000014</v>
      </c>
      <c r="AEJ5" s="11">
        <v>41727279.479999997</v>
      </c>
      <c r="AEK5" s="11">
        <v>121934892.41000001</v>
      </c>
      <c r="AEL5" s="11">
        <v>34070642.669999994</v>
      </c>
      <c r="AEM5" s="11">
        <v>50040248.079999998</v>
      </c>
      <c r="AEN5" s="11">
        <v>65694043.990000002</v>
      </c>
      <c r="AEO5" s="11">
        <v>64381252.38000001</v>
      </c>
      <c r="AEP5" s="11">
        <v>32200096.930000007</v>
      </c>
      <c r="AEQ5" s="11">
        <v>68946830.519999996</v>
      </c>
      <c r="AER5" s="11">
        <v>24465602.530000016</v>
      </c>
      <c r="AES5" s="11">
        <v>97572372.909999996</v>
      </c>
      <c r="AET5" s="11">
        <v>291538193.18999994</v>
      </c>
      <c r="AEU5" s="11">
        <v>78955241.110000029</v>
      </c>
      <c r="AEV5" s="11">
        <v>49270568.409999996</v>
      </c>
      <c r="AEW5" s="11">
        <v>58687547.560000017</v>
      </c>
      <c r="AEX5" s="11">
        <v>45914510.01000002</v>
      </c>
      <c r="AEY5" s="11">
        <v>69866966.790000051</v>
      </c>
      <c r="AEZ5" s="11">
        <v>56221294.499999978</v>
      </c>
      <c r="AFA5" s="11">
        <v>45679381.850000001</v>
      </c>
      <c r="AFB5" s="11">
        <v>34965048.350000009</v>
      </c>
      <c r="AFC5" s="11">
        <v>22160702.329999998</v>
      </c>
      <c r="AFD5" s="11">
        <v>146337476.62</v>
      </c>
      <c r="AFE5" s="11">
        <v>86614713.38000004</v>
      </c>
      <c r="AFF5" s="11">
        <v>60435108.279999979</v>
      </c>
      <c r="AFG5" s="11">
        <v>83148497.540000007</v>
      </c>
      <c r="AFH5" s="11">
        <v>83257747.400000006</v>
      </c>
      <c r="AFI5" s="11">
        <v>69608835.860000014</v>
      </c>
      <c r="AFJ5" s="11">
        <v>44360708.109999999</v>
      </c>
      <c r="AFK5" s="11">
        <v>54087452.229999989</v>
      </c>
      <c r="AFL5" s="11">
        <v>59290072.880000003</v>
      </c>
      <c r="AFM5" s="11">
        <v>50280091.799999997</v>
      </c>
      <c r="AFN5" s="11">
        <v>106411065.45999999</v>
      </c>
      <c r="AFO5" s="11">
        <v>49332102.629999988</v>
      </c>
      <c r="AFP5" s="11">
        <v>39494238.979999997</v>
      </c>
      <c r="AFQ5" s="11">
        <v>218808061.23999992</v>
      </c>
      <c r="AFR5" s="11">
        <v>60644340.240000017</v>
      </c>
      <c r="AFS5" s="11">
        <v>65034030.140000001</v>
      </c>
      <c r="AFT5" s="11">
        <v>38875801.730000004</v>
      </c>
      <c r="AFU5" s="11">
        <v>50452045.850000009</v>
      </c>
      <c r="AFV5" s="11">
        <v>43689890.650000006</v>
      </c>
      <c r="AFW5" s="11">
        <v>36681466.770000011</v>
      </c>
      <c r="AFX5" s="11">
        <v>72716685.080000058</v>
      </c>
      <c r="AFY5" s="11">
        <v>72471666.859999985</v>
      </c>
      <c r="AFZ5" s="11">
        <v>34479746.810000002</v>
      </c>
      <c r="AGA5" s="11">
        <v>72205083.959999979</v>
      </c>
      <c r="AGB5" s="11">
        <v>42705361.280000001</v>
      </c>
      <c r="AGC5" s="11">
        <v>214186161.2899999</v>
      </c>
      <c r="AGD5" s="11">
        <v>41570643.519999988</v>
      </c>
      <c r="AGE5" s="11">
        <v>72169887.520000026</v>
      </c>
      <c r="AGF5" s="11">
        <v>29643884.090000011</v>
      </c>
      <c r="AGG5" s="11">
        <v>68926346.329999998</v>
      </c>
      <c r="AGH5" s="11">
        <v>57905675.079999954</v>
      </c>
      <c r="AGI5" s="11">
        <v>26479267.509999998</v>
      </c>
      <c r="AGJ5" s="11">
        <v>37218212.240000017</v>
      </c>
      <c r="AGK5" s="11">
        <v>36042161.760000005</v>
      </c>
      <c r="AGL5" s="11">
        <v>35691882.019999996</v>
      </c>
      <c r="AGM5" s="11">
        <v>35443180.350000016</v>
      </c>
      <c r="AGN5" s="11">
        <v>386096702.49999988</v>
      </c>
      <c r="AGO5" s="11">
        <v>56869220.129999995</v>
      </c>
      <c r="AGP5" s="11">
        <v>48724710.889999993</v>
      </c>
      <c r="AGQ5" s="11">
        <v>40155962.909999996</v>
      </c>
      <c r="AGR5" s="11">
        <v>98162217.10999997</v>
      </c>
      <c r="AGS5" s="11">
        <v>56809450.280000016</v>
      </c>
      <c r="AGT5" s="11">
        <v>35497134.309999987</v>
      </c>
      <c r="AGU5" s="11">
        <v>47550971.599999994</v>
      </c>
      <c r="AGV5" s="11">
        <v>597281206.41999984</v>
      </c>
      <c r="AGW5" s="11">
        <v>247599127.87999991</v>
      </c>
      <c r="AGX5" s="11">
        <v>30937739.400000002</v>
      </c>
      <c r="AGY5" s="11">
        <v>65072150.75</v>
      </c>
      <c r="AGZ5" s="11">
        <v>106378051.37</v>
      </c>
      <c r="AHA5" s="11">
        <v>59469305.37000002</v>
      </c>
      <c r="AHB5" s="11">
        <v>56137110.879999988</v>
      </c>
      <c r="AHC5" s="11">
        <v>56360617.069999985</v>
      </c>
      <c r="AHD5" s="11">
        <v>18434424.5</v>
      </c>
      <c r="AHE5" s="11">
        <v>23536545.129999999</v>
      </c>
      <c r="AHF5" s="11">
        <v>48441981.680000015</v>
      </c>
      <c r="AHG5" s="11">
        <v>27499384.510000009</v>
      </c>
      <c r="AHH5" s="11">
        <v>27782145.050000001</v>
      </c>
      <c r="AHI5" s="11">
        <v>65866574.530000001</v>
      </c>
      <c r="AHJ5" s="11">
        <v>21909393.559999991</v>
      </c>
      <c r="AHK5" s="11">
        <v>23349720.920000006</v>
      </c>
      <c r="AHL5" s="11">
        <v>29509007.809999999</v>
      </c>
      <c r="AHM5" s="11">
        <v>166973269.11000001</v>
      </c>
      <c r="AHN5" s="11">
        <v>49894276.909999989</v>
      </c>
      <c r="AHO5" s="11">
        <v>40487686.899999984</v>
      </c>
      <c r="AHP5" s="11">
        <v>38546383.329999991</v>
      </c>
      <c r="AHQ5" s="11">
        <v>60039960.420000002</v>
      </c>
      <c r="AHR5" s="11">
        <v>31504332.49000001</v>
      </c>
      <c r="AHS5" s="11">
        <v>19959346.31000001</v>
      </c>
      <c r="AHT5" s="11">
        <v>78796268464.628876</v>
      </c>
      <c r="AHU5" s="11"/>
    </row>
    <row r="6" spans="1:905" x14ac:dyDescent="0.7">
      <c r="B6" s="6" t="s">
        <v>2</v>
      </c>
      <c r="C6" s="6" t="s">
        <v>3</v>
      </c>
      <c r="D6" s="11">
        <v>2504028</v>
      </c>
      <c r="E6" s="11">
        <v>699450</v>
      </c>
      <c r="F6" s="11">
        <v>692900</v>
      </c>
      <c r="G6" s="11">
        <v>182150</v>
      </c>
      <c r="H6" s="11">
        <v>624650</v>
      </c>
      <c r="I6" s="11">
        <v>203000</v>
      </c>
      <c r="J6" s="11">
        <v>498150</v>
      </c>
      <c r="K6" s="11">
        <v>374300</v>
      </c>
      <c r="L6" s="11">
        <v>472700</v>
      </c>
      <c r="M6" s="11">
        <v>166450</v>
      </c>
      <c r="N6" s="11">
        <v>177500</v>
      </c>
      <c r="O6" s="11">
        <v>219400</v>
      </c>
      <c r="P6" s="11">
        <v>213450</v>
      </c>
      <c r="Q6" s="11">
        <v>296000</v>
      </c>
      <c r="R6" s="11">
        <v>198200</v>
      </c>
      <c r="S6" s="11">
        <v>150300</v>
      </c>
      <c r="T6" s="11">
        <v>138850</v>
      </c>
      <c r="U6" s="11">
        <v>80950</v>
      </c>
      <c r="V6" s="11">
        <v>1202900</v>
      </c>
      <c r="W6" s="11">
        <v>254850</v>
      </c>
      <c r="X6" s="11">
        <v>123800</v>
      </c>
      <c r="Y6" s="11">
        <v>55450</v>
      </c>
      <c r="Z6" s="11">
        <v>490550</v>
      </c>
      <c r="AA6" s="11">
        <v>41200</v>
      </c>
      <c r="AB6" s="11">
        <v>80250</v>
      </c>
      <c r="AC6" s="11">
        <v>240300</v>
      </c>
      <c r="AD6" s="11">
        <v>88450</v>
      </c>
      <c r="AE6" s="11">
        <v>48400</v>
      </c>
      <c r="AF6" s="11">
        <v>314700</v>
      </c>
      <c r="AG6" s="11">
        <v>226250</v>
      </c>
      <c r="AH6" s="11">
        <v>284750</v>
      </c>
      <c r="AI6" s="11">
        <v>261900</v>
      </c>
      <c r="AJ6" s="11">
        <v>218000</v>
      </c>
      <c r="AK6" s="11">
        <v>56423.6</v>
      </c>
      <c r="AL6" s="11">
        <v>108700</v>
      </c>
      <c r="AM6" s="11">
        <v>231500</v>
      </c>
      <c r="AN6" s="11">
        <v>56500</v>
      </c>
      <c r="AO6" s="11">
        <v>33450</v>
      </c>
      <c r="AP6" s="11">
        <v>39150</v>
      </c>
      <c r="AQ6" s="11">
        <v>65350</v>
      </c>
      <c r="AR6" s="11">
        <v>109250</v>
      </c>
      <c r="AS6" s="11">
        <v>24500</v>
      </c>
      <c r="AT6" s="11">
        <v>1191300</v>
      </c>
      <c r="AU6" s="11">
        <v>31550</v>
      </c>
      <c r="AV6" s="11">
        <v>66500</v>
      </c>
      <c r="AW6" s="11">
        <v>23600</v>
      </c>
      <c r="AX6" s="11">
        <v>281750</v>
      </c>
      <c r="AY6" s="11">
        <v>194950</v>
      </c>
      <c r="AZ6" s="11">
        <v>158750</v>
      </c>
      <c r="BA6" s="11">
        <v>84650</v>
      </c>
      <c r="BB6" s="11">
        <v>26150</v>
      </c>
      <c r="BC6" s="11">
        <v>104300</v>
      </c>
      <c r="BD6" s="11">
        <v>80500</v>
      </c>
      <c r="BE6" s="11">
        <v>69850</v>
      </c>
      <c r="BF6" s="11">
        <v>191190</v>
      </c>
      <c r="BG6" s="11">
        <v>51750</v>
      </c>
      <c r="BH6" s="11">
        <v>44450</v>
      </c>
      <c r="BI6" s="11">
        <v>1478250</v>
      </c>
      <c r="BJ6" s="11">
        <v>562150</v>
      </c>
      <c r="BK6" s="11">
        <v>312600</v>
      </c>
      <c r="BL6" s="11">
        <v>291250</v>
      </c>
      <c r="BM6" s="11">
        <v>95200</v>
      </c>
      <c r="BN6" s="11">
        <v>245450</v>
      </c>
      <c r="BO6" s="11">
        <v>107600</v>
      </c>
      <c r="BP6" s="11">
        <v>173600</v>
      </c>
      <c r="BQ6" s="11">
        <v>97200</v>
      </c>
      <c r="BR6" s="11">
        <v>428339</v>
      </c>
      <c r="BS6" s="11">
        <v>231150</v>
      </c>
      <c r="BT6" s="11">
        <v>185039</v>
      </c>
      <c r="BU6" s="11">
        <v>330550</v>
      </c>
      <c r="BV6" s="11">
        <v>435800</v>
      </c>
      <c r="BW6" s="11">
        <v>61900</v>
      </c>
      <c r="BX6" s="11">
        <v>213250</v>
      </c>
      <c r="BY6" s="11">
        <v>152450</v>
      </c>
      <c r="BZ6" s="11">
        <v>0</v>
      </c>
      <c r="CA6" s="11">
        <v>122689</v>
      </c>
      <c r="CB6" s="11">
        <v>170000</v>
      </c>
      <c r="CC6" s="11">
        <v>419109</v>
      </c>
      <c r="CD6" s="11">
        <v>134100</v>
      </c>
      <c r="CE6" s="11">
        <v>106650</v>
      </c>
      <c r="CF6" s="11">
        <v>84150</v>
      </c>
      <c r="CG6" s="11">
        <v>675128</v>
      </c>
      <c r="CH6" s="11">
        <v>148050</v>
      </c>
      <c r="CI6" s="11">
        <v>293600</v>
      </c>
      <c r="CJ6" s="11">
        <v>176200</v>
      </c>
      <c r="CK6" s="11">
        <v>36150</v>
      </c>
      <c r="CL6" s="11">
        <v>317050</v>
      </c>
      <c r="CM6" s="11">
        <v>55050</v>
      </c>
      <c r="CN6" s="11">
        <v>175900</v>
      </c>
      <c r="CO6" s="11">
        <v>80900</v>
      </c>
      <c r="CP6" s="11">
        <v>161000</v>
      </c>
      <c r="CQ6" s="11">
        <v>131700</v>
      </c>
      <c r="CR6" s="11">
        <v>222350</v>
      </c>
      <c r="CS6" s="11">
        <v>81700</v>
      </c>
      <c r="CT6" s="11">
        <v>196150</v>
      </c>
      <c r="CU6" s="11">
        <v>88950</v>
      </c>
      <c r="CV6" s="11">
        <v>30900</v>
      </c>
      <c r="CW6" s="11">
        <v>198400</v>
      </c>
      <c r="CX6" s="11">
        <v>42128</v>
      </c>
      <c r="CY6" s="11">
        <v>134200</v>
      </c>
      <c r="CZ6" s="11">
        <v>124310</v>
      </c>
      <c r="DA6" s="11">
        <v>49650</v>
      </c>
      <c r="DB6" s="11">
        <v>438050</v>
      </c>
      <c r="DC6" s="11">
        <v>0</v>
      </c>
      <c r="DD6" s="11">
        <v>194750</v>
      </c>
      <c r="DE6" s="11">
        <v>125900</v>
      </c>
      <c r="DF6" s="11">
        <v>239700</v>
      </c>
      <c r="DG6" s="11">
        <v>49100</v>
      </c>
      <c r="DH6" s="11">
        <v>260350</v>
      </c>
      <c r="DI6" s="11">
        <v>121200</v>
      </c>
      <c r="DJ6" s="11">
        <v>68450</v>
      </c>
      <c r="DK6" s="11">
        <v>427500</v>
      </c>
      <c r="DL6" s="11">
        <v>78800</v>
      </c>
      <c r="DM6" s="11">
        <v>69510</v>
      </c>
      <c r="DN6" s="11">
        <v>87500</v>
      </c>
      <c r="DO6" s="11">
        <v>297250</v>
      </c>
      <c r="DP6" s="11">
        <v>92100</v>
      </c>
      <c r="DQ6" s="11">
        <v>0</v>
      </c>
      <c r="DR6" s="11">
        <v>119250</v>
      </c>
      <c r="DS6" s="11">
        <v>257450</v>
      </c>
      <c r="DT6" s="11">
        <v>967860</v>
      </c>
      <c r="DU6" s="11">
        <v>291600</v>
      </c>
      <c r="DV6" s="11">
        <v>761450</v>
      </c>
      <c r="DW6" s="11">
        <v>559950</v>
      </c>
      <c r="DX6" s="11">
        <v>207310</v>
      </c>
      <c r="DY6" s="11">
        <v>296300</v>
      </c>
      <c r="DZ6" s="11">
        <v>126250</v>
      </c>
      <c r="EA6" s="11">
        <v>49200</v>
      </c>
      <c r="EB6" s="11">
        <v>198850</v>
      </c>
      <c r="EC6" s="11">
        <v>213700</v>
      </c>
      <c r="ED6" s="11">
        <v>68900</v>
      </c>
      <c r="EE6" s="11">
        <v>360550</v>
      </c>
      <c r="EF6" s="11">
        <v>164500</v>
      </c>
      <c r="EG6" s="11">
        <v>265450</v>
      </c>
      <c r="EH6" s="11">
        <v>145200</v>
      </c>
      <c r="EI6" s="11">
        <v>206900</v>
      </c>
      <c r="EJ6" s="11">
        <v>16850</v>
      </c>
      <c r="EK6" s="11">
        <v>97100</v>
      </c>
      <c r="EL6" s="11">
        <v>12350</v>
      </c>
      <c r="EM6" s="11">
        <v>61400</v>
      </c>
      <c r="EN6" s="11">
        <v>1169827.92</v>
      </c>
      <c r="EO6" s="11">
        <v>783789</v>
      </c>
      <c r="EP6" s="11">
        <v>309200</v>
      </c>
      <c r="EQ6" s="11">
        <v>406900</v>
      </c>
      <c r="ER6" s="11">
        <v>325150</v>
      </c>
      <c r="ES6" s="11">
        <v>101750</v>
      </c>
      <c r="ET6" s="11">
        <v>659900</v>
      </c>
      <c r="EU6" s="11">
        <v>578600</v>
      </c>
      <c r="EV6" s="11">
        <v>370300</v>
      </c>
      <c r="EW6" s="11">
        <v>615950</v>
      </c>
      <c r="EX6" s="11">
        <v>23550</v>
      </c>
      <c r="EY6" s="11">
        <v>156900</v>
      </c>
      <c r="EZ6" s="11">
        <v>30050</v>
      </c>
      <c r="FA6" s="11">
        <v>131000</v>
      </c>
      <c r="FB6" s="11">
        <v>203050</v>
      </c>
      <c r="FC6" s="11">
        <v>121300</v>
      </c>
      <c r="FD6" s="11">
        <v>83600</v>
      </c>
      <c r="FE6" s="11">
        <v>69550</v>
      </c>
      <c r="FF6" s="11">
        <v>20450</v>
      </c>
      <c r="FG6" s="11">
        <v>55500</v>
      </c>
      <c r="FH6" s="11">
        <v>64600</v>
      </c>
      <c r="FI6" s="11">
        <v>873700</v>
      </c>
      <c r="FJ6" s="11">
        <v>457750</v>
      </c>
      <c r="FK6" s="11">
        <v>574100</v>
      </c>
      <c r="FL6" s="11">
        <v>327300</v>
      </c>
      <c r="FM6" s="11">
        <v>489750</v>
      </c>
      <c r="FN6" s="11">
        <v>359750</v>
      </c>
      <c r="FO6" s="11">
        <v>235250</v>
      </c>
      <c r="FP6" s="11">
        <v>71200</v>
      </c>
      <c r="FQ6" s="11">
        <v>2695740</v>
      </c>
      <c r="FR6" s="11">
        <v>300150</v>
      </c>
      <c r="FS6" s="11">
        <v>353750</v>
      </c>
      <c r="FT6" s="11">
        <v>301700</v>
      </c>
      <c r="FU6" s="11">
        <v>350950</v>
      </c>
      <c r="FV6" s="11">
        <v>349689</v>
      </c>
      <c r="FW6" s="11">
        <v>1133550</v>
      </c>
      <c r="FX6" s="11">
        <v>111300</v>
      </c>
      <c r="FY6" s="11">
        <v>152939</v>
      </c>
      <c r="FZ6" s="11">
        <v>36000</v>
      </c>
      <c r="GA6" s="11">
        <v>234089</v>
      </c>
      <c r="GB6" s="11">
        <v>242700</v>
      </c>
      <c r="GC6" s="11">
        <v>121950</v>
      </c>
      <c r="GD6" s="11">
        <v>105289</v>
      </c>
      <c r="GE6" s="11">
        <v>487600</v>
      </c>
      <c r="GF6" s="11">
        <v>118400</v>
      </c>
      <c r="GG6" s="11">
        <v>147950</v>
      </c>
      <c r="GH6" s="11">
        <v>155100</v>
      </c>
      <c r="GI6" s="11">
        <v>72000</v>
      </c>
      <c r="GJ6" s="11">
        <v>85250</v>
      </c>
      <c r="GK6" s="11">
        <v>122800</v>
      </c>
      <c r="GL6" s="11">
        <v>123350</v>
      </c>
      <c r="GM6" s="11">
        <v>68700</v>
      </c>
      <c r="GN6" s="11">
        <v>136000</v>
      </c>
      <c r="GO6" s="11">
        <v>143700</v>
      </c>
      <c r="GP6" s="11">
        <v>95100</v>
      </c>
      <c r="GQ6" s="11">
        <v>220200</v>
      </c>
      <c r="GR6" s="11">
        <v>262200</v>
      </c>
      <c r="GS6" s="11">
        <v>230100</v>
      </c>
      <c r="GT6" s="11">
        <v>222550</v>
      </c>
      <c r="GU6" s="11">
        <v>69550</v>
      </c>
      <c r="GV6" s="11">
        <v>101200</v>
      </c>
      <c r="GW6" s="11">
        <v>151950</v>
      </c>
      <c r="GX6" s="11">
        <v>87350</v>
      </c>
      <c r="GY6" s="11">
        <v>361400</v>
      </c>
      <c r="GZ6" s="11">
        <v>8050</v>
      </c>
      <c r="HA6" s="11">
        <v>303450</v>
      </c>
      <c r="HB6" s="11">
        <v>165100</v>
      </c>
      <c r="HC6" s="11">
        <v>1331400</v>
      </c>
      <c r="HD6" s="11">
        <v>64200</v>
      </c>
      <c r="HE6" s="11">
        <v>187900</v>
      </c>
      <c r="HF6" s="11">
        <v>127400</v>
      </c>
      <c r="HG6" s="11">
        <v>96700</v>
      </c>
      <c r="HH6" s="11">
        <v>107400</v>
      </c>
      <c r="HI6" s="11">
        <v>111050</v>
      </c>
      <c r="HJ6" s="11">
        <v>0</v>
      </c>
      <c r="HK6" s="11">
        <v>1277689.06</v>
      </c>
      <c r="HL6" s="11">
        <v>72900</v>
      </c>
      <c r="HM6" s="11">
        <v>304000</v>
      </c>
      <c r="HN6" s="11">
        <v>35700</v>
      </c>
      <c r="HO6" s="11">
        <v>179900</v>
      </c>
      <c r="HP6" s="11">
        <v>115800</v>
      </c>
      <c r="HQ6" s="11">
        <v>170000</v>
      </c>
      <c r="HR6" s="11">
        <v>141100</v>
      </c>
      <c r="HS6" s="11">
        <v>1021750</v>
      </c>
      <c r="HT6" s="11">
        <v>155050</v>
      </c>
      <c r="HU6" s="11">
        <v>255300</v>
      </c>
      <c r="HV6" s="11">
        <v>121800</v>
      </c>
      <c r="HW6" s="11">
        <v>79989</v>
      </c>
      <c r="HX6" s="11">
        <v>76550</v>
      </c>
      <c r="HY6" s="11">
        <v>243650</v>
      </c>
      <c r="HZ6" s="11">
        <v>100600</v>
      </c>
      <c r="IA6" s="11">
        <v>105900</v>
      </c>
      <c r="IB6" s="11">
        <v>159250</v>
      </c>
      <c r="IC6" s="11">
        <v>56300</v>
      </c>
      <c r="ID6" s="11">
        <v>191760</v>
      </c>
      <c r="IE6" s="11">
        <v>16450</v>
      </c>
      <c r="IF6" s="11">
        <v>269900</v>
      </c>
      <c r="IG6" s="11">
        <v>136736.25</v>
      </c>
      <c r="IH6" s="11">
        <v>12000</v>
      </c>
      <c r="II6" s="11">
        <v>313200</v>
      </c>
      <c r="IJ6" s="11">
        <v>135150</v>
      </c>
      <c r="IK6" s="11">
        <v>38750</v>
      </c>
      <c r="IL6" s="11">
        <v>14600</v>
      </c>
      <c r="IM6" s="11">
        <v>92050</v>
      </c>
      <c r="IN6" s="11">
        <v>128350</v>
      </c>
      <c r="IO6" s="11">
        <v>53500</v>
      </c>
      <c r="IP6" s="11">
        <v>48950</v>
      </c>
      <c r="IQ6" s="11">
        <v>16550</v>
      </c>
      <c r="IR6" s="11">
        <v>37700</v>
      </c>
      <c r="IS6" s="11">
        <v>15350</v>
      </c>
      <c r="IT6" s="11">
        <v>1963400</v>
      </c>
      <c r="IU6" s="11">
        <v>556428</v>
      </c>
      <c r="IV6" s="11">
        <v>329000</v>
      </c>
      <c r="IW6" s="11">
        <v>469350</v>
      </c>
      <c r="IX6" s="11">
        <v>439100</v>
      </c>
      <c r="IY6" s="11">
        <v>22150</v>
      </c>
      <c r="IZ6" s="11">
        <v>156250</v>
      </c>
      <c r="JA6" s="11">
        <v>126750</v>
      </c>
      <c r="JB6" s="11">
        <v>144200</v>
      </c>
      <c r="JC6" s="11">
        <v>120400</v>
      </c>
      <c r="JD6" s="11">
        <v>183239</v>
      </c>
      <c r="JE6" s="11">
        <v>132000</v>
      </c>
      <c r="JF6" s="11">
        <v>687419.03</v>
      </c>
      <c r="JG6" s="11">
        <v>262000</v>
      </c>
      <c r="JH6" s="11">
        <v>134650</v>
      </c>
      <c r="JI6" s="11">
        <v>75650</v>
      </c>
      <c r="JJ6" s="11">
        <v>111850</v>
      </c>
      <c r="JK6" s="11">
        <v>117700</v>
      </c>
      <c r="JL6" s="11">
        <v>442083</v>
      </c>
      <c r="JM6" s="11">
        <v>170150</v>
      </c>
      <c r="JN6" s="11">
        <v>255500</v>
      </c>
      <c r="JO6" s="11">
        <v>280600</v>
      </c>
      <c r="JP6" s="11">
        <v>77800</v>
      </c>
      <c r="JQ6" s="11">
        <v>517665.62</v>
      </c>
      <c r="JR6" s="11">
        <v>101800</v>
      </c>
      <c r="JS6" s="11">
        <v>641650</v>
      </c>
      <c r="JT6" s="11">
        <v>482289</v>
      </c>
      <c r="JU6" s="11">
        <v>67350</v>
      </c>
      <c r="JV6" s="11">
        <v>21150</v>
      </c>
      <c r="JW6" s="11">
        <v>33450</v>
      </c>
      <c r="JX6" s="11">
        <v>152050</v>
      </c>
      <c r="JY6" s="11">
        <v>215800</v>
      </c>
      <c r="JZ6" s="11">
        <v>0</v>
      </c>
      <c r="KA6" s="11">
        <v>0</v>
      </c>
      <c r="KB6" s="11">
        <v>143150</v>
      </c>
      <c r="KC6" s="11">
        <v>104450</v>
      </c>
      <c r="KD6" s="11">
        <v>33900</v>
      </c>
      <c r="KE6" s="11">
        <v>25689</v>
      </c>
      <c r="KF6" s="11">
        <v>37200</v>
      </c>
      <c r="KG6" s="11">
        <v>100450</v>
      </c>
      <c r="KH6" s="11">
        <v>0</v>
      </c>
      <c r="KI6" s="11">
        <v>1678250</v>
      </c>
      <c r="KJ6" s="11">
        <v>33150</v>
      </c>
      <c r="KK6" s="11">
        <v>674750</v>
      </c>
      <c r="KL6" s="11">
        <v>373600</v>
      </c>
      <c r="KM6" s="11">
        <v>168850</v>
      </c>
      <c r="KN6" s="11">
        <v>312500</v>
      </c>
      <c r="KO6" s="11">
        <v>834851</v>
      </c>
      <c r="KP6" s="11">
        <v>347500</v>
      </c>
      <c r="KQ6" s="11">
        <v>21700</v>
      </c>
      <c r="KR6" s="11">
        <v>840489</v>
      </c>
      <c r="KS6" s="11">
        <v>139500</v>
      </c>
      <c r="KT6" s="11">
        <v>141850</v>
      </c>
      <c r="KU6" s="11">
        <v>974950</v>
      </c>
      <c r="KV6" s="11">
        <v>153900</v>
      </c>
      <c r="KW6" s="11">
        <v>290500</v>
      </c>
      <c r="KX6" s="11">
        <v>807939</v>
      </c>
      <c r="KY6" s="11">
        <v>338300</v>
      </c>
      <c r="KZ6" s="11">
        <v>1627056</v>
      </c>
      <c r="LA6" s="11">
        <v>584050</v>
      </c>
      <c r="LB6" s="11">
        <v>400100</v>
      </c>
      <c r="LC6" s="11">
        <v>154250</v>
      </c>
      <c r="LD6" s="11">
        <v>468731.41</v>
      </c>
      <c r="LE6" s="11">
        <v>316350</v>
      </c>
      <c r="LF6" s="11">
        <v>351200</v>
      </c>
      <c r="LG6" s="11">
        <v>95550</v>
      </c>
      <c r="LH6" s="11">
        <v>1594400</v>
      </c>
      <c r="LI6" s="11">
        <v>678850</v>
      </c>
      <c r="LJ6" s="11">
        <v>877600</v>
      </c>
      <c r="LK6" s="11">
        <v>1604550</v>
      </c>
      <c r="LL6" s="11">
        <v>486200</v>
      </c>
      <c r="LM6" s="11">
        <v>27800</v>
      </c>
      <c r="LN6" s="11">
        <v>88500</v>
      </c>
      <c r="LO6" s="11">
        <v>65000</v>
      </c>
      <c r="LP6" s="11">
        <v>352550</v>
      </c>
      <c r="LQ6" s="11">
        <v>267500</v>
      </c>
      <c r="LR6" s="11">
        <v>99800</v>
      </c>
      <c r="LS6" s="11">
        <v>168500</v>
      </c>
      <c r="LT6" s="11">
        <v>65150</v>
      </c>
      <c r="LU6" s="11">
        <v>15400</v>
      </c>
      <c r="LV6" s="11">
        <v>1843150</v>
      </c>
      <c r="LW6" s="11">
        <v>983300</v>
      </c>
      <c r="LX6" s="11">
        <v>1106050</v>
      </c>
      <c r="LY6" s="11">
        <v>277800</v>
      </c>
      <c r="LZ6" s="11">
        <v>182150</v>
      </c>
      <c r="MA6" s="11">
        <v>192350</v>
      </c>
      <c r="MB6" s="11">
        <v>225450</v>
      </c>
      <c r="MC6" s="11">
        <v>95600</v>
      </c>
      <c r="MD6" s="11">
        <v>150400</v>
      </c>
      <c r="ME6" s="11">
        <v>175450</v>
      </c>
      <c r="MF6" s="11">
        <v>223950</v>
      </c>
      <c r="MG6" s="11">
        <v>116700</v>
      </c>
      <c r="MH6" s="11">
        <v>1689300</v>
      </c>
      <c r="MI6" s="11">
        <v>207100</v>
      </c>
      <c r="MJ6" s="11">
        <v>197017</v>
      </c>
      <c r="MK6" s="11">
        <v>80300</v>
      </c>
      <c r="ML6" s="11">
        <v>135800</v>
      </c>
      <c r="MM6" s="11">
        <v>142000</v>
      </c>
      <c r="MN6" s="11">
        <v>244750</v>
      </c>
      <c r="MO6" s="11">
        <v>134000</v>
      </c>
      <c r="MP6" s="11">
        <v>269250</v>
      </c>
      <c r="MQ6" s="11">
        <v>156400</v>
      </c>
      <c r="MR6" s="11">
        <v>164050</v>
      </c>
      <c r="MS6" s="11">
        <v>127900</v>
      </c>
      <c r="MT6" s="11">
        <v>1660908.53</v>
      </c>
      <c r="MU6" s="11">
        <v>224900</v>
      </c>
      <c r="MV6" s="11">
        <v>209850</v>
      </c>
      <c r="MW6" s="11">
        <v>395950</v>
      </c>
      <c r="MX6" s="11">
        <v>600450</v>
      </c>
      <c r="MY6" s="11">
        <v>328150</v>
      </c>
      <c r="MZ6" s="11">
        <v>318050</v>
      </c>
      <c r="NA6" s="11">
        <v>261000</v>
      </c>
      <c r="NB6" s="11">
        <v>238000</v>
      </c>
      <c r="NC6" s="11">
        <v>88500</v>
      </c>
      <c r="ND6" s="11">
        <v>91800</v>
      </c>
      <c r="NE6" s="11">
        <v>397500</v>
      </c>
      <c r="NF6" s="11">
        <v>332400</v>
      </c>
      <c r="NG6" s="11">
        <v>36150</v>
      </c>
      <c r="NH6" s="11">
        <v>554500</v>
      </c>
      <c r="NI6" s="11">
        <v>145850</v>
      </c>
      <c r="NJ6" s="11">
        <v>200750</v>
      </c>
      <c r="NK6" s="11">
        <v>451300</v>
      </c>
      <c r="NL6" s="11">
        <v>292100</v>
      </c>
      <c r="NM6" s="11">
        <v>34850</v>
      </c>
      <c r="NN6" s="11">
        <v>174100</v>
      </c>
      <c r="NO6" s="11">
        <v>82900</v>
      </c>
      <c r="NP6" s="11">
        <v>81200</v>
      </c>
      <c r="NQ6" s="11">
        <v>726232</v>
      </c>
      <c r="NR6" s="11">
        <v>0</v>
      </c>
      <c r="NS6" s="11">
        <v>146150</v>
      </c>
      <c r="NT6" s="11">
        <v>132100</v>
      </c>
      <c r="NU6" s="11">
        <v>126650</v>
      </c>
      <c r="NV6" s="11">
        <v>114300</v>
      </c>
      <c r="NW6" s="11">
        <v>143050</v>
      </c>
      <c r="NX6" s="11">
        <v>1565639</v>
      </c>
      <c r="NY6" s="11">
        <v>1234250</v>
      </c>
      <c r="NZ6" s="11">
        <v>323635</v>
      </c>
      <c r="OA6" s="11">
        <v>136000</v>
      </c>
      <c r="OB6" s="11">
        <v>224650</v>
      </c>
      <c r="OC6" s="11">
        <v>526550</v>
      </c>
      <c r="OD6" s="11">
        <v>111050</v>
      </c>
      <c r="OE6" s="11">
        <v>1728251.53</v>
      </c>
      <c r="OF6" s="11">
        <v>222100</v>
      </c>
      <c r="OG6" s="11">
        <v>238350</v>
      </c>
      <c r="OH6" s="11">
        <v>0</v>
      </c>
      <c r="OI6" s="11">
        <v>155450</v>
      </c>
      <c r="OJ6" s="11">
        <v>75100</v>
      </c>
      <c r="OK6" s="11">
        <v>166700</v>
      </c>
      <c r="OL6" s="11">
        <v>96850</v>
      </c>
      <c r="OM6" s="11">
        <v>141850</v>
      </c>
      <c r="ON6" s="11">
        <v>774450</v>
      </c>
      <c r="OO6" s="11">
        <v>171700</v>
      </c>
      <c r="OP6" s="11">
        <v>194350</v>
      </c>
      <c r="OQ6" s="11">
        <v>406389</v>
      </c>
      <c r="OR6" s="11">
        <v>358239</v>
      </c>
      <c r="OS6" s="11">
        <v>142589</v>
      </c>
      <c r="OT6" s="11">
        <v>889300</v>
      </c>
      <c r="OU6" s="11">
        <v>133300</v>
      </c>
      <c r="OV6" s="11">
        <v>365550</v>
      </c>
      <c r="OW6" s="11">
        <v>268200</v>
      </c>
      <c r="OX6" s="11">
        <v>303750</v>
      </c>
      <c r="OY6" s="11">
        <v>209700</v>
      </c>
      <c r="OZ6" s="11">
        <v>322250</v>
      </c>
      <c r="PA6" s="11">
        <v>352300</v>
      </c>
      <c r="PB6" s="11">
        <v>158400</v>
      </c>
      <c r="PC6" s="11">
        <v>851000</v>
      </c>
      <c r="PD6" s="11">
        <v>69100</v>
      </c>
      <c r="PE6" s="11">
        <v>638400</v>
      </c>
      <c r="PF6" s="11">
        <v>94150</v>
      </c>
      <c r="PG6" s="11">
        <v>103900</v>
      </c>
      <c r="PH6" s="11">
        <v>158420</v>
      </c>
      <c r="PI6" s="11">
        <v>139550</v>
      </c>
      <c r="PJ6" s="11">
        <v>145150</v>
      </c>
      <c r="PK6" s="11">
        <v>50950</v>
      </c>
      <c r="PL6" s="11">
        <v>137060</v>
      </c>
      <c r="PM6" s="11">
        <v>114600</v>
      </c>
      <c r="PN6" s="11">
        <v>135300</v>
      </c>
      <c r="PO6" s="11">
        <v>28250</v>
      </c>
      <c r="PP6" s="11">
        <v>157300</v>
      </c>
      <c r="PQ6" s="11">
        <v>105300</v>
      </c>
      <c r="PR6" s="11">
        <v>10800</v>
      </c>
      <c r="PS6" s="11">
        <v>26600</v>
      </c>
      <c r="PT6" s="11">
        <v>136000</v>
      </c>
      <c r="PU6" s="11">
        <v>2224950</v>
      </c>
      <c r="PV6" s="11">
        <v>110200</v>
      </c>
      <c r="PW6" s="11">
        <v>325550</v>
      </c>
      <c r="PX6" s="11">
        <v>573450</v>
      </c>
      <c r="PY6" s="11">
        <v>642400</v>
      </c>
      <c r="PZ6" s="11">
        <v>60000</v>
      </c>
      <c r="QA6" s="11">
        <v>274951</v>
      </c>
      <c r="QB6" s="11">
        <v>390050</v>
      </c>
      <c r="QC6" s="11">
        <v>844000</v>
      </c>
      <c r="QD6" s="11">
        <v>99150</v>
      </c>
      <c r="QE6" s="11">
        <v>347800</v>
      </c>
      <c r="QF6" s="11">
        <v>29000</v>
      </c>
      <c r="QG6" s="11">
        <v>99650</v>
      </c>
      <c r="QH6" s="11">
        <v>211800</v>
      </c>
      <c r="QI6" s="11">
        <v>72500</v>
      </c>
      <c r="QJ6" s="11">
        <v>173900</v>
      </c>
      <c r="QK6" s="11">
        <v>89200</v>
      </c>
      <c r="QL6" s="11">
        <v>36050</v>
      </c>
      <c r="QM6" s="11">
        <v>59100</v>
      </c>
      <c r="QN6" s="11">
        <v>267050</v>
      </c>
      <c r="QO6" s="11">
        <v>267100</v>
      </c>
      <c r="QP6" s="11">
        <v>197150</v>
      </c>
      <c r="QQ6" s="11">
        <v>19550</v>
      </c>
      <c r="QR6" s="11">
        <v>25400</v>
      </c>
      <c r="QS6" s="11">
        <v>14750</v>
      </c>
      <c r="QT6" s="11">
        <v>92550</v>
      </c>
      <c r="QU6" s="11">
        <v>2115492</v>
      </c>
      <c r="QV6" s="11">
        <v>344550</v>
      </c>
      <c r="QW6" s="11">
        <v>413000</v>
      </c>
      <c r="QX6" s="11">
        <v>233650</v>
      </c>
      <c r="QY6" s="11">
        <v>476750</v>
      </c>
      <c r="QZ6" s="11">
        <v>793650</v>
      </c>
      <c r="RA6" s="11">
        <v>658700</v>
      </c>
      <c r="RB6" s="11">
        <v>486450</v>
      </c>
      <c r="RC6" s="11">
        <v>1167450</v>
      </c>
      <c r="RD6" s="11">
        <v>609000</v>
      </c>
      <c r="RE6" s="11">
        <v>323600</v>
      </c>
      <c r="RF6" s="11">
        <v>205400</v>
      </c>
      <c r="RG6" s="11">
        <v>174600</v>
      </c>
      <c r="RH6" s="11">
        <v>5118760</v>
      </c>
      <c r="RI6" s="11">
        <v>507950</v>
      </c>
      <c r="RJ6" s="11">
        <v>329700</v>
      </c>
      <c r="RK6" s="11">
        <v>119400</v>
      </c>
      <c r="RL6" s="11">
        <v>183150</v>
      </c>
      <c r="RM6" s="11">
        <v>104800</v>
      </c>
      <c r="RN6" s="11">
        <v>236700</v>
      </c>
      <c r="RO6" s="11">
        <v>0</v>
      </c>
      <c r="RP6" s="11">
        <v>255150</v>
      </c>
      <c r="RQ6" s="11">
        <v>436300</v>
      </c>
      <c r="RR6" s="11">
        <v>304450</v>
      </c>
      <c r="RS6" s="11">
        <v>259700</v>
      </c>
      <c r="RT6" s="11">
        <v>199350</v>
      </c>
      <c r="RU6" s="11">
        <v>67600</v>
      </c>
      <c r="RV6" s="11">
        <v>45300</v>
      </c>
      <c r="RW6" s="11">
        <v>220950</v>
      </c>
      <c r="RX6" s="11">
        <v>413150</v>
      </c>
      <c r="RY6" s="11">
        <v>130800</v>
      </c>
      <c r="RZ6" s="11">
        <v>561900</v>
      </c>
      <c r="SA6" s="11">
        <v>209800</v>
      </c>
      <c r="SB6" s="11">
        <v>1000867</v>
      </c>
      <c r="SC6" s="11">
        <v>80350</v>
      </c>
      <c r="SD6" s="11">
        <v>165650</v>
      </c>
      <c r="SE6" s="11">
        <v>112050</v>
      </c>
      <c r="SF6" s="11">
        <v>63350</v>
      </c>
      <c r="SG6" s="11">
        <v>168150</v>
      </c>
      <c r="SH6" s="11">
        <v>150350</v>
      </c>
      <c r="SI6" s="11">
        <v>143050</v>
      </c>
      <c r="SJ6" s="11">
        <v>169989</v>
      </c>
      <c r="SK6" s="11">
        <v>209200</v>
      </c>
      <c r="SL6" s="11">
        <v>430200</v>
      </c>
      <c r="SM6" s="11">
        <v>42250</v>
      </c>
      <c r="SN6" s="11">
        <v>333450</v>
      </c>
      <c r="SO6" s="11">
        <v>149050</v>
      </c>
      <c r="SP6" s="11">
        <v>273550</v>
      </c>
      <c r="SQ6" s="11">
        <v>34200</v>
      </c>
      <c r="SR6" s="11">
        <v>68998</v>
      </c>
      <c r="SS6" s="11">
        <v>80700</v>
      </c>
      <c r="ST6" s="11">
        <v>126550</v>
      </c>
      <c r="SU6" s="11">
        <v>93850</v>
      </c>
      <c r="SV6" s="11">
        <v>1129500</v>
      </c>
      <c r="SW6" s="11">
        <v>253300</v>
      </c>
      <c r="SX6" s="11">
        <v>249550</v>
      </c>
      <c r="SY6" s="11">
        <v>250850</v>
      </c>
      <c r="SZ6" s="11">
        <v>103150</v>
      </c>
      <c r="TA6" s="11">
        <v>72750</v>
      </c>
      <c r="TB6" s="11">
        <v>324550</v>
      </c>
      <c r="TC6" s="11">
        <v>522400</v>
      </c>
      <c r="TD6" s="11">
        <v>258800</v>
      </c>
      <c r="TE6" s="11">
        <v>175200</v>
      </c>
      <c r="TF6" s="11">
        <v>354600</v>
      </c>
      <c r="TG6" s="11">
        <v>221950</v>
      </c>
      <c r="TH6" s="11">
        <v>118550</v>
      </c>
      <c r="TI6" s="11">
        <v>573367</v>
      </c>
      <c r="TJ6" s="11">
        <v>1311550</v>
      </c>
      <c r="TK6" s="11">
        <v>51900</v>
      </c>
      <c r="TL6" s="11">
        <v>66600</v>
      </c>
      <c r="TM6" s="11">
        <v>140250</v>
      </c>
      <c r="TN6" s="11">
        <v>292600</v>
      </c>
      <c r="TO6" s="11">
        <v>279850</v>
      </c>
      <c r="TP6" s="11">
        <v>69900</v>
      </c>
      <c r="TQ6" s="11">
        <v>709500</v>
      </c>
      <c r="TR6" s="11">
        <v>199650</v>
      </c>
      <c r="TS6" s="11">
        <v>371500</v>
      </c>
      <c r="TT6" s="11">
        <v>156250</v>
      </c>
      <c r="TU6" s="11">
        <v>329200</v>
      </c>
      <c r="TV6" s="11">
        <v>30750</v>
      </c>
      <c r="TW6" s="11">
        <v>48550</v>
      </c>
      <c r="TX6" s="11">
        <v>92550</v>
      </c>
      <c r="TY6" s="11">
        <v>16800</v>
      </c>
      <c r="TZ6" s="11">
        <v>664800</v>
      </c>
      <c r="UA6" s="11">
        <v>102300</v>
      </c>
      <c r="UB6" s="11">
        <v>838250</v>
      </c>
      <c r="UC6" s="11">
        <v>216850</v>
      </c>
      <c r="UD6" s="11">
        <v>48000</v>
      </c>
      <c r="UE6" s="11">
        <v>1700</v>
      </c>
      <c r="UF6" s="11">
        <v>230350</v>
      </c>
      <c r="UG6" s="11">
        <v>55650</v>
      </c>
      <c r="UH6" s="11">
        <v>20150</v>
      </c>
      <c r="UI6" s="11">
        <v>143750</v>
      </c>
      <c r="UJ6" s="11">
        <v>250200</v>
      </c>
      <c r="UK6" s="11">
        <v>714600</v>
      </c>
      <c r="UL6" s="11">
        <v>149250</v>
      </c>
      <c r="UM6" s="11">
        <v>105300</v>
      </c>
      <c r="UN6" s="11">
        <v>193100</v>
      </c>
      <c r="UO6" s="11">
        <v>122200</v>
      </c>
      <c r="UP6" s="11">
        <v>73200</v>
      </c>
      <c r="UQ6" s="11">
        <v>1096650</v>
      </c>
      <c r="UR6" s="11">
        <v>154950</v>
      </c>
      <c r="US6" s="11">
        <v>90450</v>
      </c>
      <c r="UT6" s="11">
        <v>889000</v>
      </c>
      <c r="UU6" s="11">
        <v>0</v>
      </c>
      <c r="UV6" s="11">
        <v>100500</v>
      </c>
      <c r="UW6" s="11">
        <v>168550</v>
      </c>
      <c r="UX6" s="11">
        <v>150000</v>
      </c>
      <c r="UY6" s="11">
        <v>217900</v>
      </c>
      <c r="UZ6" s="11">
        <v>51100</v>
      </c>
      <c r="VA6" s="11">
        <v>42900</v>
      </c>
      <c r="VB6" s="11">
        <v>162250</v>
      </c>
      <c r="VC6" s="11">
        <v>50600</v>
      </c>
      <c r="VD6" s="11">
        <v>70250</v>
      </c>
      <c r="VE6" s="11">
        <v>136700</v>
      </c>
      <c r="VF6" s="11">
        <v>124950</v>
      </c>
      <c r="VG6" s="11">
        <v>58350</v>
      </c>
      <c r="VH6" s="11">
        <v>92650</v>
      </c>
      <c r="VI6" s="11">
        <v>162500</v>
      </c>
      <c r="VJ6" s="11">
        <v>35800</v>
      </c>
      <c r="VK6" s="11">
        <v>161750</v>
      </c>
      <c r="VL6" s="11">
        <v>51700</v>
      </c>
      <c r="VM6" s="11">
        <v>1749350</v>
      </c>
      <c r="VN6" s="11">
        <v>139126</v>
      </c>
      <c r="VO6" s="11">
        <v>299450</v>
      </c>
      <c r="VP6" s="11">
        <v>222600</v>
      </c>
      <c r="VQ6" s="11">
        <v>123400</v>
      </c>
      <c r="VR6" s="11">
        <v>251100</v>
      </c>
      <c r="VS6" s="11">
        <v>101850</v>
      </c>
      <c r="VT6" s="11">
        <v>63400</v>
      </c>
      <c r="VU6" s="11">
        <v>246000</v>
      </c>
      <c r="VV6" s="11">
        <v>330900</v>
      </c>
      <c r="VW6" s="11">
        <v>196150</v>
      </c>
      <c r="VX6" s="11">
        <v>301450</v>
      </c>
      <c r="VY6" s="11">
        <v>212135</v>
      </c>
      <c r="VZ6" s="11">
        <v>118050</v>
      </c>
      <c r="WA6" s="11">
        <v>157450</v>
      </c>
      <c r="WB6" s="11">
        <v>2258400</v>
      </c>
      <c r="WC6" s="11">
        <v>293200</v>
      </c>
      <c r="WD6" s="11">
        <v>470450</v>
      </c>
      <c r="WE6" s="11">
        <v>143250</v>
      </c>
      <c r="WF6" s="11">
        <v>338700</v>
      </c>
      <c r="WG6" s="11">
        <v>425300</v>
      </c>
      <c r="WH6" s="11">
        <v>201300</v>
      </c>
      <c r="WI6" s="11">
        <v>176600</v>
      </c>
      <c r="WJ6" s="11">
        <v>187600</v>
      </c>
      <c r="WK6" s="11">
        <v>332650</v>
      </c>
      <c r="WL6" s="11">
        <v>283700</v>
      </c>
      <c r="WM6" s="11">
        <v>227850</v>
      </c>
      <c r="WN6" s="11">
        <v>17550</v>
      </c>
      <c r="WO6" s="11">
        <v>265690</v>
      </c>
      <c r="WP6" s="11">
        <v>155739</v>
      </c>
      <c r="WQ6" s="11">
        <v>319990</v>
      </c>
      <c r="WR6" s="11">
        <v>79400</v>
      </c>
      <c r="WS6" s="11">
        <v>267500</v>
      </c>
      <c r="WT6" s="11">
        <v>548250</v>
      </c>
      <c r="WU6" s="11">
        <v>497850</v>
      </c>
      <c r="WV6" s="11">
        <v>347089</v>
      </c>
      <c r="WW6" s="11">
        <v>99110</v>
      </c>
      <c r="WX6" s="11">
        <v>269250</v>
      </c>
      <c r="WY6" s="11">
        <v>239250</v>
      </c>
      <c r="WZ6" s="11">
        <v>47050</v>
      </c>
      <c r="XA6" s="11">
        <v>3167.8</v>
      </c>
      <c r="XB6" s="11">
        <v>89950</v>
      </c>
      <c r="XC6" s="11">
        <v>31750</v>
      </c>
      <c r="XD6" s="11">
        <v>217600</v>
      </c>
      <c r="XE6" s="11">
        <v>223250</v>
      </c>
      <c r="XF6" s="11">
        <v>61650</v>
      </c>
      <c r="XG6" s="11">
        <v>90600</v>
      </c>
      <c r="XH6" s="11">
        <v>32750</v>
      </c>
      <c r="XI6" s="11">
        <v>2595059.64</v>
      </c>
      <c r="XJ6" s="11">
        <v>142400</v>
      </c>
      <c r="XK6" s="11">
        <v>86800</v>
      </c>
      <c r="XL6" s="11">
        <v>584750</v>
      </c>
      <c r="XM6" s="11">
        <v>90050</v>
      </c>
      <c r="XN6" s="11">
        <v>48150</v>
      </c>
      <c r="XO6" s="11">
        <v>175000</v>
      </c>
      <c r="XP6" s="11">
        <v>88050</v>
      </c>
      <c r="XQ6" s="11">
        <v>71650</v>
      </c>
      <c r="XR6" s="11">
        <v>446550</v>
      </c>
      <c r="XS6" s="11">
        <v>422200</v>
      </c>
      <c r="XT6" s="11">
        <v>112750</v>
      </c>
      <c r="XU6" s="11">
        <v>82300</v>
      </c>
      <c r="XV6" s="11">
        <v>446550</v>
      </c>
      <c r="XW6" s="11">
        <v>108100</v>
      </c>
      <c r="XX6" s="11">
        <v>96550</v>
      </c>
      <c r="XY6" s="11">
        <v>108250</v>
      </c>
      <c r="XZ6" s="11">
        <v>121900</v>
      </c>
      <c r="YA6" s="11">
        <v>29100</v>
      </c>
      <c r="YB6" s="11">
        <v>42700</v>
      </c>
      <c r="YC6" s="11">
        <v>28200</v>
      </c>
      <c r="YD6" s="11">
        <v>122700</v>
      </c>
      <c r="YE6" s="11">
        <v>37900</v>
      </c>
      <c r="YF6" s="11">
        <v>1304050</v>
      </c>
      <c r="YG6" s="11">
        <v>360300</v>
      </c>
      <c r="YH6" s="11">
        <v>348900</v>
      </c>
      <c r="YI6" s="11">
        <v>304950</v>
      </c>
      <c r="YJ6" s="11">
        <v>786850</v>
      </c>
      <c r="YK6" s="11">
        <v>187500</v>
      </c>
      <c r="YL6" s="11">
        <v>107400</v>
      </c>
      <c r="YM6" s="11">
        <v>131600</v>
      </c>
      <c r="YN6" s="11">
        <v>566250</v>
      </c>
      <c r="YO6" s="11">
        <v>425150</v>
      </c>
      <c r="YP6" s="11">
        <v>37700</v>
      </c>
      <c r="YQ6" s="11">
        <v>174250</v>
      </c>
      <c r="YR6" s="11">
        <v>96200</v>
      </c>
      <c r="YS6" s="11">
        <v>100200</v>
      </c>
      <c r="YT6" s="11">
        <v>48450</v>
      </c>
      <c r="YU6" s="11">
        <v>35800</v>
      </c>
      <c r="YV6" s="11">
        <v>160650</v>
      </c>
      <c r="YW6" s="11">
        <v>624100</v>
      </c>
      <c r="YX6" s="11">
        <v>131100</v>
      </c>
      <c r="YY6" s="11">
        <v>210050</v>
      </c>
      <c r="YZ6" s="11">
        <v>32400</v>
      </c>
      <c r="ZA6" s="11">
        <v>116039</v>
      </c>
      <c r="ZB6" s="11">
        <v>117100</v>
      </c>
      <c r="ZC6" s="11">
        <v>65400</v>
      </c>
      <c r="ZD6" s="11">
        <v>1018967</v>
      </c>
      <c r="ZE6" s="11">
        <v>155450</v>
      </c>
      <c r="ZF6" s="11">
        <v>202650</v>
      </c>
      <c r="ZG6" s="11">
        <v>456250</v>
      </c>
      <c r="ZH6" s="11">
        <v>102300</v>
      </c>
      <c r="ZI6" s="11">
        <v>102800</v>
      </c>
      <c r="ZJ6" s="11">
        <v>59900</v>
      </c>
      <c r="ZK6" s="11">
        <v>236389</v>
      </c>
      <c r="ZL6" s="11">
        <v>350425</v>
      </c>
      <c r="ZM6" s="11">
        <v>850650</v>
      </c>
      <c r="ZN6" s="11">
        <v>120750</v>
      </c>
      <c r="ZO6" s="11">
        <v>275000</v>
      </c>
      <c r="ZP6" s="11">
        <v>1074850</v>
      </c>
      <c r="ZQ6" s="11">
        <v>274300</v>
      </c>
      <c r="ZR6" s="11">
        <v>244470</v>
      </c>
      <c r="ZS6" s="11">
        <v>454950</v>
      </c>
      <c r="ZT6" s="11">
        <v>233600</v>
      </c>
      <c r="ZU6" s="11">
        <v>539650</v>
      </c>
      <c r="ZV6" s="11">
        <v>503200</v>
      </c>
      <c r="ZW6" s="11">
        <v>114300</v>
      </c>
      <c r="ZX6" s="11">
        <v>272000</v>
      </c>
      <c r="ZY6" s="11">
        <v>238200</v>
      </c>
      <c r="ZZ6" s="11">
        <v>359150</v>
      </c>
      <c r="AAA6" s="11">
        <v>274110.71000000002</v>
      </c>
      <c r="AAB6" s="11">
        <v>483500</v>
      </c>
      <c r="AAC6" s="11">
        <v>217500</v>
      </c>
      <c r="AAD6" s="11">
        <v>74900</v>
      </c>
      <c r="AAE6" s="11">
        <v>243450</v>
      </c>
      <c r="AAF6" s="11">
        <v>242100</v>
      </c>
      <c r="AAG6" s="11">
        <v>251150</v>
      </c>
      <c r="AAH6" s="11">
        <v>53300</v>
      </c>
      <c r="AAI6" s="11">
        <v>595600</v>
      </c>
      <c r="AAJ6" s="11">
        <v>185800</v>
      </c>
      <c r="AAK6" s="11">
        <v>275982</v>
      </c>
      <c r="AAL6" s="11">
        <v>90650</v>
      </c>
      <c r="AAM6" s="11">
        <v>88550</v>
      </c>
      <c r="AAN6" s="11">
        <v>68000</v>
      </c>
      <c r="AAO6" s="11">
        <v>118701</v>
      </c>
      <c r="AAP6" s="11">
        <v>474389</v>
      </c>
      <c r="AAQ6" s="11">
        <v>113350</v>
      </c>
      <c r="AAR6" s="11">
        <v>191350</v>
      </c>
      <c r="AAS6" s="11">
        <v>16700</v>
      </c>
      <c r="AAT6" s="11">
        <v>348300</v>
      </c>
      <c r="AAU6" s="11">
        <v>150900</v>
      </c>
      <c r="AAV6" s="11">
        <v>32050</v>
      </c>
      <c r="AAW6" s="11">
        <v>155400</v>
      </c>
      <c r="AAX6" s="11">
        <v>514650</v>
      </c>
      <c r="AAY6" s="11">
        <v>279953.75</v>
      </c>
      <c r="AAZ6" s="11">
        <v>250400</v>
      </c>
      <c r="ABA6" s="11">
        <v>128950</v>
      </c>
      <c r="ABB6" s="11">
        <v>149800</v>
      </c>
      <c r="ABC6" s="11">
        <v>158650</v>
      </c>
      <c r="ABD6" s="11">
        <v>49950</v>
      </c>
      <c r="ABE6" s="11">
        <v>55550</v>
      </c>
      <c r="ABF6" s="11">
        <v>48900</v>
      </c>
      <c r="ABG6" s="11">
        <v>85750</v>
      </c>
      <c r="ABH6" s="11">
        <v>100350</v>
      </c>
      <c r="ABI6" s="11">
        <v>348750</v>
      </c>
      <c r="ABJ6" s="11">
        <v>353700</v>
      </c>
      <c r="ABK6" s="11">
        <v>123300</v>
      </c>
      <c r="ABL6" s="11">
        <v>204126.5</v>
      </c>
      <c r="ABM6" s="11">
        <v>1550</v>
      </c>
      <c r="ABN6" s="11">
        <v>34250</v>
      </c>
      <c r="ABO6" s="11">
        <v>21500</v>
      </c>
      <c r="ABP6" s="11">
        <v>520850</v>
      </c>
      <c r="ABQ6" s="11">
        <v>42250</v>
      </c>
      <c r="ABR6" s="11">
        <v>44739</v>
      </c>
      <c r="ABS6" s="11">
        <v>46439</v>
      </c>
      <c r="ABT6" s="11">
        <v>28750</v>
      </c>
      <c r="ABU6" s="11">
        <v>42050</v>
      </c>
      <c r="ABV6" s="11">
        <v>23700</v>
      </c>
      <c r="ABW6" s="11">
        <v>29300</v>
      </c>
      <c r="ABX6" s="11">
        <v>1359159.34</v>
      </c>
      <c r="ABY6" s="11">
        <v>440850</v>
      </c>
      <c r="ABZ6" s="11">
        <v>98250</v>
      </c>
      <c r="ACA6" s="11">
        <v>132000</v>
      </c>
      <c r="ACB6" s="11">
        <v>95889</v>
      </c>
      <c r="ACC6" s="11">
        <v>45350</v>
      </c>
      <c r="ACD6" s="11">
        <v>0</v>
      </c>
      <c r="ACE6" s="11">
        <v>0</v>
      </c>
      <c r="ACF6" s="11">
        <v>220550</v>
      </c>
      <c r="ACG6" s="11">
        <v>138550</v>
      </c>
      <c r="ACH6" s="11">
        <v>318039</v>
      </c>
      <c r="ACI6" s="11">
        <v>0</v>
      </c>
      <c r="ACJ6" s="11">
        <v>580000</v>
      </c>
      <c r="ACK6" s="11">
        <v>238400</v>
      </c>
      <c r="ACL6" s="11">
        <v>58150</v>
      </c>
      <c r="ACM6" s="11">
        <v>122139</v>
      </c>
      <c r="ACN6" s="11">
        <v>0</v>
      </c>
      <c r="ACO6" s="11">
        <v>93050</v>
      </c>
      <c r="ACP6" s="11">
        <v>114139</v>
      </c>
      <c r="ACQ6" s="11">
        <v>59100</v>
      </c>
      <c r="ACR6" s="11">
        <v>93350</v>
      </c>
      <c r="ACS6" s="11">
        <v>22250</v>
      </c>
      <c r="ACT6" s="11">
        <v>80050</v>
      </c>
      <c r="ACU6" s="11">
        <v>379100</v>
      </c>
      <c r="ACV6" s="11">
        <v>56700</v>
      </c>
      <c r="ACW6" s="11">
        <v>45900</v>
      </c>
      <c r="ACX6" s="11">
        <v>105400</v>
      </c>
      <c r="ACY6" s="11">
        <v>50800</v>
      </c>
      <c r="ACZ6" s="11">
        <v>142300</v>
      </c>
      <c r="ADA6" s="11">
        <v>0</v>
      </c>
      <c r="ADB6" s="11">
        <v>70000</v>
      </c>
      <c r="ADC6" s="11">
        <v>0</v>
      </c>
      <c r="ADD6" s="11">
        <v>15000</v>
      </c>
      <c r="ADE6" s="11">
        <v>94550</v>
      </c>
      <c r="ADF6" s="11">
        <v>71639</v>
      </c>
      <c r="ADG6" s="11">
        <v>108350</v>
      </c>
      <c r="ADH6" s="11">
        <v>167050</v>
      </c>
      <c r="ADI6" s="11">
        <v>4242525</v>
      </c>
      <c r="ADJ6" s="11">
        <v>36700</v>
      </c>
      <c r="ADK6" s="11">
        <v>263050</v>
      </c>
      <c r="ADL6" s="11">
        <v>56600</v>
      </c>
      <c r="ADM6" s="11">
        <v>228002</v>
      </c>
      <c r="ADN6" s="11">
        <v>20750</v>
      </c>
      <c r="ADO6" s="11">
        <v>44100</v>
      </c>
      <c r="ADP6" s="11">
        <v>616850</v>
      </c>
      <c r="ADQ6" s="11">
        <v>158600</v>
      </c>
      <c r="ADR6" s="11">
        <v>85450</v>
      </c>
      <c r="ADS6" s="11">
        <v>237400</v>
      </c>
      <c r="ADT6" s="11">
        <v>1210580</v>
      </c>
      <c r="ADU6" s="11">
        <v>80250</v>
      </c>
      <c r="ADV6" s="11">
        <v>0</v>
      </c>
      <c r="ADW6" s="11">
        <v>131200</v>
      </c>
      <c r="ADX6" s="11">
        <v>54300</v>
      </c>
      <c r="ADY6" s="11">
        <v>1898623</v>
      </c>
      <c r="ADZ6" s="11">
        <v>820000</v>
      </c>
      <c r="AEA6" s="11">
        <v>931500</v>
      </c>
      <c r="AEB6" s="11">
        <v>269150</v>
      </c>
      <c r="AEC6" s="11">
        <v>204150</v>
      </c>
      <c r="AED6" s="11">
        <v>2421830</v>
      </c>
      <c r="AEE6" s="11">
        <v>312050</v>
      </c>
      <c r="AEF6" s="11">
        <v>82400</v>
      </c>
      <c r="AEG6" s="11">
        <v>211450</v>
      </c>
      <c r="AEH6" s="11">
        <v>106550</v>
      </c>
      <c r="AEI6" s="11">
        <v>131178</v>
      </c>
      <c r="AEJ6" s="11">
        <v>95800</v>
      </c>
      <c r="AEK6" s="11">
        <v>534100</v>
      </c>
      <c r="AEL6" s="11">
        <v>128450</v>
      </c>
      <c r="AEM6" s="11">
        <v>135400</v>
      </c>
      <c r="AEN6" s="11">
        <v>100150</v>
      </c>
      <c r="AEO6" s="11">
        <v>294450</v>
      </c>
      <c r="AEP6" s="11">
        <v>80600</v>
      </c>
      <c r="AEQ6" s="11">
        <v>167950</v>
      </c>
      <c r="AER6" s="11">
        <v>21250</v>
      </c>
      <c r="AES6" s="11">
        <v>149939</v>
      </c>
      <c r="AET6" s="11">
        <v>1537789</v>
      </c>
      <c r="AEU6" s="11">
        <v>604700</v>
      </c>
      <c r="AEV6" s="11">
        <v>613900</v>
      </c>
      <c r="AEW6" s="11">
        <v>304050</v>
      </c>
      <c r="AEX6" s="11">
        <v>283400</v>
      </c>
      <c r="AEY6" s="11">
        <v>606239</v>
      </c>
      <c r="AEZ6" s="11">
        <v>253600</v>
      </c>
      <c r="AFA6" s="11">
        <v>539139</v>
      </c>
      <c r="AFB6" s="11">
        <v>84100</v>
      </c>
      <c r="AFC6" s="11">
        <v>174650</v>
      </c>
      <c r="AFD6" s="11">
        <v>616189</v>
      </c>
      <c r="AFE6" s="11">
        <v>24400</v>
      </c>
      <c r="AFF6" s="11">
        <v>153000</v>
      </c>
      <c r="AFG6" s="11">
        <v>96550</v>
      </c>
      <c r="AFH6" s="11">
        <v>340700</v>
      </c>
      <c r="AFI6" s="11">
        <v>9367.1299999999992</v>
      </c>
      <c r="AFJ6" s="11">
        <v>47050</v>
      </c>
      <c r="AFK6" s="11">
        <v>125000</v>
      </c>
      <c r="AFL6" s="11">
        <v>53689</v>
      </c>
      <c r="AFM6" s="11">
        <v>0</v>
      </c>
      <c r="AFN6" s="11">
        <v>104650</v>
      </c>
      <c r="AFO6" s="11">
        <v>65900</v>
      </c>
      <c r="AFP6" s="11">
        <v>115100</v>
      </c>
      <c r="AFQ6" s="11">
        <v>187600</v>
      </c>
      <c r="AFR6" s="11">
        <v>29450</v>
      </c>
      <c r="AFS6" s="11">
        <v>25150</v>
      </c>
      <c r="AFT6" s="11">
        <v>24701.200000000001</v>
      </c>
      <c r="AFU6" s="11">
        <v>25600</v>
      </c>
      <c r="AFV6" s="11">
        <v>750</v>
      </c>
      <c r="AFW6" s="11">
        <v>8100</v>
      </c>
      <c r="AFX6" s="11">
        <v>26839</v>
      </c>
      <c r="AFY6" s="11">
        <v>7250</v>
      </c>
      <c r="AFZ6" s="11">
        <v>6600</v>
      </c>
      <c r="AGA6" s="11">
        <v>52500</v>
      </c>
      <c r="AGB6" s="11">
        <v>15550</v>
      </c>
      <c r="AGC6" s="11">
        <v>464039</v>
      </c>
      <c r="AGD6" s="11">
        <v>34000</v>
      </c>
      <c r="AGE6" s="11">
        <v>210900</v>
      </c>
      <c r="AGF6" s="11">
        <v>124200</v>
      </c>
      <c r="AGG6" s="11">
        <v>325850</v>
      </c>
      <c r="AGH6" s="11">
        <v>411650</v>
      </c>
      <c r="AGI6" s="11">
        <v>34300</v>
      </c>
      <c r="AGJ6" s="11">
        <v>82900</v>
      </c>
      <c r="AGK6" s="11">
        <v>107000</v>
      </c>
      <c r="AGL6" s="11">
        <v>300750</v>
      </c>
      <c r="AGM6" s="11">
        <v>45500</v>
      </c>
      <c r="AGN6" s="11">
        <v>1124800</v>
      </c>
      <c r="AGO6" s="11">
        <v>173700</v>
      </c>
      <c r="AGP6" s="11">
        <v>97300</v>
      </c>
      <c r="AGQ6" s="11">
        <v>54900</v>
      </c>
      <c r="AGR6" s="11">
        <v>70350</v>
      </c>
      <c r="AGS6" s="11">
        <v>97789</v>
      </c>
      <c r="AGT6" s="11">
        <v>239200</v>
      </c>
      <c r="AGU6" s="11">
        <v>326300</v>
      </c>
      <c r="AGV6" s="11">
        <v>159200</v>
      </c>
      <c r="AGW6" s="11">
        <v>180460</v>
      </c>
      <c r="AGX6" s="11">
        <v>31250</v>
      </c>
      <c r="AGY6" s="11">
        <v>33250</v>
      </c>
      <c r="AGZ6" s="11">
        <v>35550</v>
      </c>
      <c r="AHA6" s="11">
        <v>86600</v>
      </c>
      <c r="AHB6" s="11">
        <v>252350</v>
      </c>
      <c r="AHC6" s="11">
        <v>237350</v>
      </c>
      <c r="AHD6" s="11">
        <v>101900</v>
      </c>
      <c r="AHE6" s="11">
        <v>6400</v>
      </c>
      <c r="AHF6" s="11">
        <v>89920</v>
      </c>
      <c r="AHG6" s="11">
        <v>44050</v>
      </c>
      <c r="AHH6" s="11">
        <v>0</v>
      </c>
      <c r="AHI6" s="11">
        <v>57530</v>
      </c>
      <c r="AHJ6" s="11">
        <v>53610</v>
      </c>
      <c r="AHK6" s="11">
        <v>22900</v>
      </c>
      <c r="AHL6" s="11">
        <v>16860</v>
      </c>
      <c r="AHM6" s="11">
        <v>790050</v>
      </c>
      <c r="AHN6" s="11">
        <v>95000</v>
      </c>
      <c r="AHO6" s="11">
        <v>48800</v>
      </c>
      <c r="AHP6" s="11">
        <v>34550</v>
      </c>
      <c r="AHQ6" s="11">
        <v>180100</v>
      </c>
      <c r="AHR6" s="11">
        <v>23050</v>
      </c>
      <c r="AHS6" s="11">
        <v>0</v>
      </c>
      <c r="AHT6" s="11">
        <v>247755613.02000001</v>
      </c>
      <c r="AHU6" s="11"/>
    </row>
    <row r="7" spans="1:905" x14ac:dyDescent="0.7">
      <c r="B7" s="6" t="s">
        <v>4</v>
      </c>
      <c r="C7" s="6" t="s">
        <v>5</v>
      </c>
      <c r="D7" s="11">
        <v>8790497.3100000005</v>
      </c>
      <c r="E7" s="11">
        <v>224982</v>
      </c>
      <c r="F7" s="11">
        <v>721499</v>
      </c>
      <c r="G7" s="11">
        <v>0</v>
      </c>
      <c r="H7" s="11">
        <v>996943.5</v>
      </c>
      <c r="I7" s="11">
        <v>21353</v>
      </c>
      <c r="J7" s="11">
        <v>646218.5</v>
      </c>
      <c r="K7" s="11">
        <v>117908.75</v>
      </c>
      <c r="L7" s="11">
        <v>182864.75</v>
      </c>
      <c r="M7" s="11">
        <v>0</v>
      </c>
      <c r="N7" s="11">
        <v>358871.65</v>
      </c>
      <c r="O7" s="11">
        <v>104767</v>
      </c>
      <c r="P7" s="11">
        <v>0</v>
      </c>
      <c r="Q7" s="11">
        <v>8002</v>
      </c>
      <c r="R7" s="11">
        <v>9929</v>
      </c>
      <c r="S7" s="11">
        <v>419763</v>
      </c>
      <c r="T7" s="11">
        <v>133816</v>
      </c>
      <c r="U7" s="11">
        <v>27317</v>
      </c>
      <c r="V7" s="11">
        <v>43661231</v>
      </c>
      <c r="W7" s="11">
        <v>374760</v>
      </c>
      <c r="X7" s="11">
        <v>127</v>
      </c>
      <c r="Y7" s="11">
        <v>69943</v>
      </c>
      <c r="Z7" s="11">
        <v>0</v>
      </c>
      <c r="AA7" s="11">
        <v>4882</v>
      </c>
      <c r="AB7" s="11">
        <v>29948.03</v>
      </c>
      <c r="AC7" s="11">
        <v>2223627</v>
      </c>
      <c r="AD7" s="11">
        <v>31239.9</v>
      </c>
      <c r="AE7" s="11">
        <v>3059</v>
      </c>
      <c r="AF7" s="11">
        <v>467758.83</v>
      </c>
      <c r="AG7" s="11">
        <v>83322</v>
      </c>
      <c r="AH7" s="11">
        <v>898534</v>
      </c>
      <c r="AI7" s="11">
        <v>333420.5</v>
      </c>
      <c r="AJ7" s="11">
        <v>120541</v>
      </c>
      <c r="AK7" s="11">
        <v>385890.5</v>
      </c>
      <c r="AL7" s="11">
        <v>1840</v>
      </c>
      <c r="AM7" s="11">
        <v>0</v>
      </c>
      <c r="AN7" s="11">
        <v>57428.2</v>
      </c>
      <c r="AO7" s="11">
        <v>47598</v>
      </c>
      <c r="AP7" s="11">
        <v>3279.5</v>
      </c>
      <c r="AQ7" s="11">
        <v>57339</v>
      </c>
      <c r="AR7" s="11">
        <v>0</v>
      </c>
      <c r="AS7" s="11">
        <v>13075.2</v>
      </c>
      <c r="AT7" s="11">
        <v>6774088.54</v>
      </c>
      <c r="AU7" s="11">
        <v>37627</v>
      </c>
      <c r="AV7" s="11">
        <v>28745</v>
      </c>
      <c r="AW7" s="11">
        <v>134125.5</v>
      </c>
      <c r="AX7" s="11">
        <v>55931</v>
      </c>
      <c r="AY7" s="11">
        <v>108398</v>
      </c>
      <c r="AZ7" s="11">
        <v>0</v>
      </c>
      <c r="BA7" s="11">
        <v>13657</v>
      </c>
      <c r="BB7" s="11">
        <v>16722.240000000002</v>
      </c>
      <c r="BC7" s="11">
        <v>9188</v>
      </c>
      <c r="BD7" s="11">
        <v>0</v>
      </c>
      <c r="BE7" s="11">
        <v>0</v>
      </c>
      <c r="BF7" s="11">
        <v>354753</v>
      </c>
      <c r="BG7" s="11">
        <v>0</v>
      </c>
      <c r="BH7" s="11">
        <v>0</v>
      </c>
      <c r="BI7" s="11">
        <v>3983797.5400000005</v>
      </c>
      <c r="BJ7" s="11">
        <v>1555137.56</v>
      </c>
      <c r="BK7" s="11">
        <v>102433</v>
      </c>
      <c r="BL7" s="11">
        <v>38694</v>
      </c>
      <c r="BM7" s="11">
        <v>176062</v>
      </c>
      <c r="BN7" s="11">
        <v>41790</v>
      </c>
      <c r="BO7" s="11">
        <v>0</v>
      </c>
      <c r="BP7" s="11">
        <v>0</v>
      </c>
      <c r="BQ7" s="11">
        <v>3045</v>
      </c>
      <c r="BR7" s="11">
        <v>2902460</v>
      </c>
      <c r="BS7" s="11">
        <v>26200</v>
      </c>
      <c r="BT7" s="11">
        <v>12907</v>
      </c>
      <c r="BU7" s="11">
        <v>306283.75</v>
      </c>
      <c r="BV7" s="11">
        <v>176173</v>
      </c>
      <c r="BW7" s="11">
        <v>16440</v>
      </c>
      <c r="BX7" s="11">
        <v>98485</v>
      </c>
      <c r="BY7" s="11">
        <v>224830</v>
      </c>
      <c r="BZ7" s="11">
        <v>1040003.64</v>
      </c>
      <c r="CA7" s="11">
        <v>16390</v>
      </c>
      <c r="CB7" s="11">
        <v>413370</v>
      </c>
      <c r="CC7" s="11">
        <v>3474712.15</v>
      </c>
      <c r="CD7" s="11">
        <v>26620</v>
      </c>
      <c r="CE7" s="11">
        <v>210254</v>
      </c>
      <c r="CF7" s="11">
        <v>13369</v>
      </c>
      <c r="CG7" s="11">
        <v>28282907.949999999</v>
      </c>
      <c r="CH7" s="11">
        <v>571549</v>
      </c>
      <c r="CI7" s="11">
        <v>1379998.75</v>
      </c>
      <c r="CJ7" s="11">
        <v>7430.5</v>
      </c>
      <c r="CK7" s="11">
        <v>21632</v>
      </c>
      <c r="CL7" s="11">
        <v>126670</v>
      </c>
      <c r="CM7" s="11">
        <v>20329</v>
      </c>
      <c r="CN7" s="11">
        <v>228781.5</v>
      </c>
      <c r="CO7" s="11">
        <v>0</v>
      </c>
      <c r="CP7" s="11">
        <v>423172</v>
      </c>
      <c r="CQ7" s="11">
        <v>76556</v>
      </c>
      <c r="CR7" s="11">
        <v>77013.75</v>
      </c>
      <c r="CS7" s="11">
        <v>22188.75</v>
      </c>
      <c r="CT7" s="11">
        <v>6311624.4699999997</v>
      </c>
      <c r="CU7" s="11">
        <v>40376.75</v>
      </c>
      <c r="CV7" s="11">
        <v>100567</v>
      </c>
      <c r="CW7" s="11">
        <v>86718</v>
      </c>
      <c r="CX7" s="11">
        <v>20329.25</v>
      </c>
      <c r="CY7" s="11">
        <v>154564</v>
      </c>
      <c r="CZ7" s="11">
        <v>38775</v>
      </c>
      <c r="DA7" s="11">
        <v>0</v>
      </c>
      <c r="DB7" s="11">
        <v>2783110.55</v>
      </c>
      <c r="DC7" s="11">
        <v>546596.72</v>
      </c>
      <c r="DD7" s="11">
        <v>177095.5</v>
      </c>
      <c r="DE7" s="11">
        <v>76293.75</v>
      </c>
      <c r="DF7" s="11">
        <v>3171515</v>
      </c>
      <c r="DG7" s="11">
        <v>0</v>
      </c>
      <c r="DH7" s="11">
        <v>36050</v>
      </c>
      <c r="DI7" s="11">
        <v>42242</v>
      </c>
      <c r="DJ7" s="11">
        <v>0</v>
      </c>
      <c r="DK7" s="11">
        <v>11756792.699999999</v>
      </c>
      <c r="DL7" s="11">
        <v>123947.5</v>
      </c>
      <c r="DM7" s="11">
        <v>10353.84</v>
      </c>
      <c r="DN7" s="11">
        <v>137050.5</v>
      </c>
      <c r="DO7" s="11">
        <v>7230</v>
      </c>
      <c r="DP7" s="11">
        <v>90063.25</v>
      </c>
      <c r="DQ7" s="11">
        <v>615120.25</v>
      </c>
      <c r="DR7" s="11">
        <v>2950</v>
      </c>
      <c r="DS7" s="11">
        <v>327302</v>
      </c>
      <c r="DT7" s="11">
        <v>5410852.5499999998</v>
      </c>
      <c r="DU7" s="11">
        <v>252413.65</v>
      </c>
      <c r="DV7" s="11">
        <v>537552.35</v>
      </c>
      <c r="DW7" s="11">
        <v>407114</v>
      </c>
      <c r="DX7" s="11">
        <v>153914.75</v>
      </c>
      <c r="DY7" s="11">
        <v>417148</v>
      </c>
      <c r="DZ7" s="11">
        <v>67595</v>
      </c>
      <c r="EA7" s="11">
        <v>0</v>
      </c>
      <c r="EB7" s="11">
        <v>0</v>
      </c>
      <c r="EC7" s="11">
        <v>7765</v>
      </c>
      <c r="ED7" s="11">
        <v>95463</v>
      </c>
      <c r="EE7" s="11">
        <v>2133748.44</v>
      </c>
      <c r="EF7" s="11">
        <v>2341942.4</v>
      </c>
      <c r="EG7" s="11">
        <v>174784</v>
      </c>
      <c r="EH7" s="11">
        <v>30790</v>
      </c>
      <c r="EI7" s="11">
        <v>20022.5</v>
      </c>
      <c r="EJ7" s="11">
        <v>51191.25</v>
      </c>
      <c r="EK7" s="11">
        <v>452600.05</v>
      </c>
      <c r="EL7" s="11">
        <v>48671.75</v>
      </c>
      <c r="EM7" s="11">
        <v>86000.75</v>
      </c>
      <c r="EN7" s="11">
        <v>10715608.26</v>
      </c>
      <c r="EO7" s="11">
        <v>888681</v>
      </c>
      <c r="EP7" s="11">
        <v>359356.5</v>
      </c>
      <c r="EQ7" s="11">
        <v>41449</v>
      </c>
      <c r="ER7" s="11">
        <v>58701</v>
      </c>
      <c r="ES7" s="11">
        <v>0</v>
      </c>
      <c r="ET7" s="11">
        <v>193853</v>
      </c>
      <c r="EU7" s="11">
        <v>157830.16</v>
      </c>
      <c r="EV7" s="11">
        <v>35986.5</v>
      </c>
      <c r="EW7" s="11">
        <v>1208774.18</v>
      </c>
      <c r="EX7" s="11">
        <v>0</v>
      </c>
      <c r="EY7" s="11">
        <v>4611</v>
      </c>
      <c r="EZ7" s="11">
        <v>104403</v>
      </c>
      <c r="FA7" s="11">
        <v>693893</v>
      </c>
      <c r="FB7" s="11">
        <v>13572</v>
      </c>
      <c r="FC7" s="11">
        <v>117741.65</v>
      </c>
      <c r="FD7" s="11">
        <v>2697</v>
      </c>
      <c r="FE7" s="11">
        <v>36120</v>
      </c>
      <c r="FF7" s="11">
        <v>7836</v>
      </c>
      <c r="FG7" s="11">
        <v>40990.5</v>
      </c>
      <c r="FH7" s="11">
        <v>28269</v>
      </c>
      <c r="FI7" s="11">
        <v>1372849.6300000001</v>
      </c>
      <c r="FJ7" s="11">
        <v>2833</v>
      </c>
      <c r="FK7" s="11">
        <v>39936</v>
      </c>
      <c r="FL7" s="11">
        <v>200470.25</v>
      </c>
      <c r="FM7" s="11">
        <v>64722.19</v>
      </c>
      <c r="FN7" s="11">
        <v>5909</v>
      </c>
      <c r="FO7" s="11">
        <v>81692</v>
      </c>
      <c r="FP7" s="11">
        <v>0</v>
      </c>
      <c r="FQ7" s="11">
        <v>11425716</v>
      </c>
      <c r="FR7" s="11">
        <v>59819</v>
      </c>
      <c r="FS7" s="11">
        <v>122783</v>
      </c>
      <c r="FT7" s="11">
        <v>37238.5</v>
      </c>
      <c r="FU7" s="11">
        <v>265498.5</v>
      </c>
      <c r="FV7" s="11">
        <v>3861</v>
      </c>
      <c r="FW7" s="11">
        <v>161557</v>
      </c>
      <c r="FX7" s="11">
        <v>13044</v>
      </c>
      <c r="FY7" s="11">
        <v>40306.25</v>
      </c>
      <c r="FZ7" s="11">
        <v>396240</v>
      </c>
      <c r="GA7" s="11">
        <v>406234.37</v>
      </c>
      <c r="GB7" s="11">
        <v>396146</v>
      </c>
      <c r="GC7" s="11">
        <v>0</v>
      </c>
      <c r="GD7" s="11">
        <v>0</v>
      </c>
      <c r="GE7" s="11">
        <v>3703030.69</v>
      </c>
      <c r="GF7" s="11">
        <v>136822.5</v>
      </c>
      <c r="GG7" s="11">
        <v>8498</v>
      </c>
      <c r="GH7" s="11">
        <v>581237.5</v>
      </c>
      <c r="GI7" s="11">
        <v>62609.5</v>
      </c>
      <c r="GJ7" s="11">
        <v>33106.5</v>
      </c>
      <c r="GK7" s="11">
        <v>231373</v>
      </c>
      <c r="GL7" s="11">
        <v>759163.5</v>
      </c>
      <c r="GM7" s="11">
        <v>46309</v>
      </c>
      <c r="GN7" s="11">
        <v>0</v>
      </c>
      <c r="GO7" s="11">
        <v>0</v>
      </c>
      <c r="GP7" s="11">
        <v>0</v>
      </c>
      <c r="GQ7" s="11">
        <v>1178845.25</v>
      </c>
      <c r="GR7" s="11">
        <v>522417.18</v>
      </c>
      <c r="GS7" s="11">
        <v>66647</v>
      </c>
      <c r="GT7" s="11">
        <v>566499.25</v>
      </c>
      <c r="GU7" s="11">
        <v>82733</v>
      </c>
      <c r="GV7" s="11">
        <v>94360.049999999988</v>
      </c>
      <c r="GW7" s="11">
        <v>47615</v>
      </c>
      <c r="GX7" s="11">
        <v>60895</v>
      </c>
      <c r="GY7" s="11">
        <v>4647318</v>
      </c>
      <c r="GZ7" s="11">
        <v>915869.25</v>
      </c>
      <c r="HA7" s="11">
        <v>336699.04</v>
      </c>
      <c r="HB7" s="11">
        <v>208740.07</v>
      </c>
      <c r="HC7" s="11">
        <v>10826660.499999998</v>
      </c>
      <c r="HD7" s="11">
        <v>2125953.25</v>
      </c>
      <c r="HE7" s="11">
        <v>1153015.25</v>
      </c>
      <c r="HF7" s="11">
        <v>97338.45</v>
      </c>
      <c r="HG7" s="11">
        <v>225716.25</v>
      </c>
      <c r="HH7" s="11">
        <v>2414499.79</v>
      </c>
      <c r="HI7" s="11">
        <v>1142894.5</v>
      </c>
      <c r="HJ7" s="11">
        <v>174209</v>
      </c>
      <c r="HK7" s="11">
        <v>6575718.0300000003</v>
      </c>
      <c r="HL7" s="11">
        <v>458545</v>
      </c>
      <c r="HM7" s="11">
        <v>995658</v>
      </c>
      <c r="HN7" s="11">
        <v>341324</v>
      </c>
      <c r="HO7" s="11">
        <v>344634.22</v>
      </c>
      <c r="HP7" s="11">
        <v>210706</v>
      </c>
      <c r="HQ7" s="11">
        <v>98370</v>
      </c>
      <c r="HR7" s="11">
        <v>71246</v>
      </c>
      <c r="HS7" s="11">
        <v>8272659.9299999997</v>
      </c>
      <c r="HT7" s="11">
        <v>844446.11</v>
      </c>
      <c r="HU7" s="11">
        <v>537587.25</v>
      </c>
      <c r="HV7" s="11">
        <v>659515</v>
      </c>
      <c r="HW7" s="11">
        <v>96785</v>
      </c>
      <c r="HX7" s="11">
        <v>81639</v>
      </c>
      <c r="HY7" s="11">
        <v>251657.25</v>
      </c>
      <c r="HZ7" s="11">
        <v>54484</v>
      </c>
      <c r="IA7" s="11">
        <v>469340.25</v>
      </c>
      <c r="IB7" s="11">
        <v>122433</v>
      </c>
      <c r="IC7" s="11">
        <v>0</v>
      </c>
      <c r="ID7" s="11">
        <v>75925</v>
      </c>
      <c r="IE7" s="11">
        <v>0</v>
      </c>
      <c r="IF7" s="11">
        <v>239004</v>
      </c>
      <c r="IG7" s="11">
        <v>466049.63</v>
      </c>
      <c r="IH7" s="11">
        <v>34670</v>
      </c>
      <c r="II7" s="11">
        <v>7740153.3000000007</v>
      </c>
      <c r="IJ7" s="11">
        <v>1040146.5</v>
      </c>
      <c r="IK7" s="11">
        <v>161889</v>
      </c>
      <c r="IL7" s="11">
        <v>127558</v>
      </c>
      <c r="IM7" s="11">
        <v>1499429.25</v>
      </c>
      <c r="IN7" s="11">
        <v>189969.5</v>
      </c>
      <c r="IO7" s="11">
        <v>195945</v>
      </c>
      <c r="IP7" s="11">
        <v>69018</v>
      </c>
      <c r="IQ7" s="11">
        <v>0</v>
      </c>
      <c r="IR7" s="11">
        <v>384905</v>
      </c>
      <c r="IS7" s="11">
        <v>11128</v>
      </c>
      <c r="IT7" s="11">
        <v>20652681</v>
      </c>
      <c r="IU7" s="11">
        <v>3587683.2</v>
      </c>
      <c r="IV7" s="11">
        <v>899733</v>
      </c>
      <c r="IW7" s="11">
        <v>222054</v>
      </c>
      <c r="IX7" s="11">
        <v>73311.25</v>
      </c>
      <c r="IY7" s="11">
        <v>250</v>
      </c>
      <c r="IZ7" s="11">
        <v>90918</v>
      </c>
      <c r="JA7" s="11">
        <v>55346.12</v>
      </c>
      <c r="JB7" s="11">
        <v>86327.75</v>
      </c>
      <c r="JC7" s="11">
        <v>72681</v>
      </c>
      <c r="JD7" s="11">
        <v>1571089</v>
      </c>
      <c r="JE7" s="11">
        <v>69428</v>
      </c>
      <c r="JF7" s="11">
        <v>2549611.25</v>
      </c>
      <c r="JG7" s="11">
        <v>676025.75</v>
      </c>
      <c r="JH7" s="11">
        <v>7200</v>
      </c>
      <c r="JI7" s="11">
        <v>72581.75</v>
      </c>
      <c r="JJ7" s="11">
        <v>1180</v>
      </c>
      <c r="JK7" s="11">
        <v>70895</v>
      </c>
      <c r="JL7" s="11">
        <v>3558580.42</v>
      </c>
      <c r="JM7" s="11">
        <v>316359.5</v>
      </c>
      <c r="JN7" s="11">
        <v>385832</v>
      </c>
      <c r="JO7" s="11">
        <v>361055</v>
      </c>
      <c r="JP7" s="11">
        <v>76699</v>
      </c>
      <c r="JQ7" s="11">
        <v>781089</v>
      </c>
      <c r="JR7" s="11">
        <v>0</v>
      </c>
      <c r="JS7" s="11">
        <v>5447812</v>
      </c>
      <c r="JT7" s="11">
        <v>2163484.15</v>
      </c>
      <c r="JU7" s="11">
        <v>341504.5</v>
      </c>
      <c r="JV7" s="11">
        <v>64519</v>
      </c>
      <c r="JW7" s="11">
        <v>117179</v>
      </c>
      <c r="JX7" s="11">
        <v>53835</v>
      </c>
      <c r="JY7" s="11">
        <v>543228</v>
      </c>
      <c r="JZ7" s="11">
        <v>482952</v>
      </c>
      <c r="KA7" s="11">
        <v>0</v>
      </c>
      <c r="KB7" s="11">
        <v>95119</v>
      </c>
      <c r="KC7" s="11">
        <v>0</v>
      </c>
      <c r="KD7" s="11">
        <v>84417.7</v>
      </c>
      <c r="KE7" s="11">
        <v>10761</v>
      </c>
      <c r="KF7" s="11">
        <v>0</v>
      </c>
      <c r="KG7" s="11">
        <v>19736.62</v>
      </c>
      <c r="KH7" s="11">
        <v>0</v>
      </c>
      <c r="KI7" s="11">
        <v>7429571.6299999999</v>
      </c>
      <c r="KJ7" s="11">
        <v>595309</v>
      </c>
      <c r="KK7" s="11">
        <v>171984.5</v>
      </c>
      <c r="KL7" s="11">
        <v>566118</v>
      </c>
      <c r="KM7" s="11">
        <v>332761</v>
      </c>
      <c r="KN7" s="11">
        <v>54838</v>
      </c>
      <c r="KO7" s="11">
        <v>686771</v>
      </c>
      <c r="KP7" s="11">
        <v>1342212.01</v>
      </c>
      <c r="KQ7" s="11">
        <v>402363.9</v>
      </c>
      <c r="KR7" s="11">
        <v>3291395.5700000003</v>
      </c>
      <c r="KS7" s="11">
        <v>137596</v>
      </c>
      <c r="KT7" s="11">
        <v>284966</v>
      </c>
      <c r="KU7" s="11">
        <v>1407564.5</v>
      </c>
      <c r="KV7" s="11">
        <v>65889.5</v>
      </c>
      <c r="KW7" s="11">
        <v>236398</v>
      </c>
      <c r="KX7" s="11">
        <v>3739067.7</v>
      </c>
      <c r="KY7" s="11">
        <v>542151</v>
      </c>
      <c r="KZ7" s="11">
        <v>6771208.8000000007</v>
      </c>
      <c r="LA7" s="11">
        <v>346784</v>
      </c>
      <c r="LB7" s="11">
        <v>337907</v>
      </c>
      <c r="LC7" s="11">
        <v>616471</v>
      </c>
      <c r="LD7" s="11">
        <v>1690867</v>
      </c>
      <c r="LE7" s="11">
        <v>405519</v>
      </c>
      <c r="LF7" s="11">
        <v>394790.5</v>
      </c>
      <c r="LG7" s="11">
        <v>47108.5</v>
      </c>
      <c r="LH7" s="11">
        <v>13978565.199999999</v>
      </c>
      <c r="LI7" s="11">
        <v>960475.75</v>
      </c>
      <c r="LJ7" s="11">
        <v>7207030</v>
      </c>
      <c r="LK7" s="11">
        <v>5740373.75</v>
      </c>
      <c r="LL7" s="11">
        <v>624823.6</v>
      </c>
      <c r="LM7" s="11">
        <v>215375.52</v>
      </c>
      <c r="LN7" s="11">
        <v>-200583.75</v>
      </c>
      <c r="LO7" s="11">
        <v>155318.75</v>
      </c>
      <c r="LP7" s="11">
        <v>170860</v>
      </c>
      <c r="LQ7" s="11">
        <v>-786182</v>
      </c>
      <c r="LR7" s="11">
        <v>-2505.7699999999968</v>
      </c>
      <c r="LS7" s="11">
        <v>2741764.91</v>
      </c>
      <c r="LT7" s="11">
        <v>1014735</v>
      </c>
      <c r="LU7" s="11">
        <v>73086.5</v>
      </c>
      <c r="LV7" s="11">
        <v>14400039.65</v>
      </c>
      <c r="LW7" s="11">
        <v>4578957.5599999996</v>
      </c>
      <c r="LX7" s="11">
        <v>6732834.6299999999</v>
      </c>
      <c r="LY7" s="11">
        <v>994332.25</v>
      </c>
      <c r="LZ7" s="11">
        <v>208669.59</v>
      </c>
      <c r="MA7" s="11">
        <v>12155</v>
      </c>
      <c r="MB7" s="11">
        <v>95660</v>
      </c>
      <c r="MC7" s="11">
        <v>217513.3</v>
      </c>
      <c r="MD7" s="11">
        <v>125311</v>
      </c>
      <c r="ME7" s="11">
        <v>267456</v>
      </c>
      <c r="MF7" s="11">
        <v>1118447.5</v>
      </c>
      <c r="MG7" s="11">
        <v>141842</v>
      </c>
      <c r="MH7" s="11">
        <v>25034943.560000002</v>
      </c>
      <c r="MI7" s="11">
        <v>7958</v>
      </c>
      <c r="MJ7" s="11">
        <v>162570</v>
      </c>
      <c r="MK7" s="11">
        <v>7100</v>
      </c>
      <c r="ML7" s="11">
        <v>38718</v>
      </c>
      <c r="MM7" s="11">
        <v>241444</v>
      </c>
      <c r="MN7" s="11">
        <v>148954</v>
      </c>
      <c r="MO7" s="11">
        <v>55737</v>
      </c>
      <c r="MP7" s="11">
        <v>34950</v>
      </c>
      <c r="MQ7" s="11">
        <v>46330</v>
      </c>
      <c r="MR7" s="11">
        <v>119886</v>
      </c>
      <c r="MS7" s="11">
        <v>85632.5</v>
      </c>
      <c r="MT7" s="11">
        <v>5064977.75</v>
      </c>
      <c r="MU7" s="11">
        <v>68951</v>
      </c>
      <c r="MV7" s="11">
        <v>-7909</v>
      </c>
      <c r="MW7" s="11">
        <v>94296</v>
      </c>
      <c r="MX7" s="11">
        <v>167199</v>
      </c>
      <c r="MY7" s="11">
        <v>384207</v>
      </c>
      <c r="MZ7" s="11">
        <v>1034331</v>
      </c>
      <c r="NA7" s="11">
        <v>320038</v>
      </c>
      <c r="NB7" s="11">
        <v>58125</v>
      </c>
      <c r="NC7" s="11">
        <v>74327.45</v>
      </c>
      <c r="ND7" s="11">
        <v>0</v>
      </c>
      <c r="NE7" s="11">
        <v>30714871.079999998</v>
      </c>
      <c r="NF7" s="11">
        <v>590321.5</v>
      </c>
      <c r="NG7" s="11">
        <v>105267</v>
      </c>
      <c r="NH7" s="11">
        <v>5364463.2200000007</v>
      </c>
      <c r="NI7" s="11">
        <v>34415</v>
      </c>
      <c r="NJ7" s="11">
        <v>144794</v>
      </c>
      <c r="NK7" s="11">
        <v>1523372.88</v>
      </c>
      <c r="NL7" s="11">
        <v>1155917</v>
      </c>
      <c r="NM7" s="11">
        <v>32713</v>
      </c>
      <c r="NN7" s="11">
        <v>502386.45</v>
      </c>
      <c r="NO7" s="11">
        <v>205208.3</v>
      </c>
      <c r="NP7" s="11">
        <v>123210</v>
      </c>
      <c r="NQ7" s="11">
        <v>1746720.63</v>
      </c>
      <c r="NR7" s="11">
        <v>129479</v>
      </c>
      <c r="NS7" s="11">
        <v>158506</v>
      </c>
      <c r="NT7" s="11">
        <v>47781</v>
      </c>
      <c r="NU7" s="11">
        <v>315883</v>
      </c>
      <c r="NV7" s="11">
        <v>0</v>
      </c>
      <c r="NW7" s="11">
        <v>29918</v>
      </c>
      <c r="NX7" s="11">
        <v>5892638.7300000004</v>
      </c>
      <c r="NY7" s="11">
        <v>1298150.3</v>
      </c>
      <c r="NZ7" s="11">
        <v>89582</v>
      </c>
      <c r="OA7" s="11">
        <v>22579</v>
      </c>
      <c r="OB7" s="11">
        <v>28469</v>
      </c>
      <c r="OC7" s="11">
        <v>295106</v>
      </c>
      <c r="OD7" s="11">
        <v>8258.5</v>
      </c>
      <c r="OE7" s="11">
        <v>9692501.459999999</v>
      </c>
      <c r="OF7" s="11">
        <v>2100510</v>
      </c>
      <c r="OG7" s="11">
        <v>545016.59000000008</v>
      </c>
      <c r="OH7" s="11">
        <v>1251971.5</v>
      </c>
      <c r="OI7" s="11">
        <v>698765.5</v>
      </c>
      <c r="OJ7" s="11">
        <v>267230.5</v>
      </c>
      <c r="OK7" s="11">
        <v>469886.41000000003</v>
      </c>
      <c r="OL7" s="11">
        <v>34723</v>
      </c>
      <c r="OM7" s="11">
        <v>126797</v>
      </c>
      <c r="ON7" s="11">
        <v>11947449.6</v>
      </c>
      <c r="OO7" s="11">
        <v>958120.5</v>
      </c>
      <c r="OP7" s="11">
        <v>3490679</v>
      </c>
      <c r="OQ7" s="11">
        <v>974107</v>
      </c>
      <c r="OR7" s="11">
        <v>211948</v>
      </c>
      <c r="OS7" s="11">
        <v>0</v>
      </c>
      <c r="OT7" s="11">
        <v>2803673.3</v>
      </c>
      <c r="OU7" s="11">
        <v>116975</v>
      </c>
      <c r="OV7" s="11">
        <v>0</v>
      </c>
      <c r="OW7" s="11">
        <v>128899</v>
      </c>
      <c r="OX7" s="11">
        <v>201756</v>
      </c>
      <c r="OY7" s="11">
        <v>2753047.33</v>
      </c>
      <c r="OZ7" s="11">
        <v>12230</v>
      </c>
      <c r="PA7" s="11">
        <v>13749</v>
      </c>
      <c r="PB7" s="11">
        <v>0</v>
      </c>
      <c r="PC7" s="11">
        <v>2866393.6100000003</v>
      </c>
      <c r="PD7" s="11">
        <v>112715</v>
      </c>
      <c r="PE7" s="11">
        <v>676958.45</v>
      </c>
      <c r="PF7" s="11">
        <v>44001</v>
      </c>
      <c r="PG7" s="11">
        <v>506409.5</v>
      </c>
      <c r="PH7" s="11">
        <v>586334.73</v>
      </c>
      <c r="PI7" s="11">
        <v>154972</v>
      </c>
      <c r="PJ7" s="11">
        <v>150060</v>
      </c>
      <c r="PK7" s="11">
        <v>138219</v>
      </c>
      <c r="PL7" s="11">
        <v>4277</v>
      </c>
      <c r="PM7" s="11">
        <v>176092</v>
      </c>
      <c r="PN7" s="11">
        <v>379341</v>
      </c>
      <c r="PO7" s="11">
        <v>238665.55</v>
      </c>
      <c r="PP7" s="11">
        <v>618805</v>
      </c>
      <c r="PQ7" s="11">
        <v>0</v>
      </c>
      <c r="PR7" s="11">
        <v>29234.5</v>
      </c>
      <c r="PS7" s="11">
        <v>0</v>
      </c>
      <c r="PT7" s="11">
        <v>0</v>
      </c>
      <c r="PU7" s="11">
        <v>7778003</v>
      </c>
      <c r="PV7" s="11">
        <v>78366</v>
      </c>
      <c r="PW7" s="11">
        <v>16555</v>
      </c>
      <c r="PX7" s="11">
        <v>31726.03</v>
      </c>
      <c r="PY7" s="11">
        <v>1935519.5</v>
      </c>
      <c r="PZ7" s="11">
        <v>10545.87</v>
      </c>
      <c r="QA7" s="11">
        <v>77808</v>
      </c>
      <c r="QB7" s="11">
        <v>430117</v>
      </c>
      <c r="QC7" s="11">
        <v>1016851</v>
      </c>
      <c r="QD7" s="11">
        <v>0</v>
      </c>
      <c r="QE7" s="11">
        <v>238023</v>
      </c>
      <c r="QF7" s="11">
        <v>31259</v>
      </c>
      <c r="QG7" s="11">
        <v>4270</v>
      </c>
      <c r="QH7" s="11">
        <v>75067</v>
      </c>
      <c r="QI7" s="11">
        <v>0</v>
      </c>
      <c r="QJ7" s="11">
        <v>120666</v>
      </c>
      <c r="QK7" s="11">
        <v>226406</v>
      </c>
      <c r="QL7" s="11">
        <v>56193</v>
      </c>
      <c r="QM7" s="11">
        <v>0</v>
      </c>
      <c r="QN7" s="11">
        <v>311536</v>
      </c>
      <c r="QO7" s="11">
        <v>392931.5</v>
      </c>
      <c r="QP7" s="11">
        <v>4360.5</v>
      </c>
      <c r="QQ7" s="11">
        <v>19714.75</v>
      </c>
      <c r="QR7" s="11">
        <v>0</v>
      </c>
      <c r="QS7" s="11">
        <v>0</v>
      </c>
      <c r="QT7" s="11">
        <v>0</v>
      </c>
      <c r="QU7" s="11">
        <v>5468800.46</v>
      </c>
      <c r="QV7" s="11">
        <v>54099.5</v>
      </c>
      <c r="QW7" s="11">
        <v>329738.25</v>
      </c>
      <c r="QX7" s="11">
        <v>20587</v>
      </c>
      <c r="QY7" s="11">
        <v>0</v>
      </c>
      <c r="QZ7" s="11">
        <v>422374.11</v>
      </c>
      <c r="RA7" s="11">
        <v>-355961.89</v>
      </c>
      <c r="RB7" s="11">
        <v>117571.88</v>
      </c>
      <c r="RC7" s="11">
        <v>94656.5</v>
      </c>
      <c r="RD7" s="11">
        <v>185978.6</v>
      </c>
      <c r="RE7" s="11">
        <v>34032</v>
      </c>
      <c r="RF7" s="11">
        <v>31031</v>
      </c>
      <c r="RG7" s="11">
        <v>280</v>
      </c>
      <c r="RH7" s="11">
        <v>7037197.6300000008</v>
      </c>
      <c r="RI7" s="11">
        <v>414612.5</v>
      </c>
      <c r="RJ7" s="11">
        <v>111799</v>
      </c>
      <c r="RK7" s="11">
        <v>245109.03</v>
      </c>
      <c r="RL7" s="11">
        <v>29683</v>
      </c>
      <c r="RM7" s="11">
        <v>432300</v>
      </c>
      <c r="RN7" s="11">
        <v>354344</v>
      </c>
      <c r="RO7" s="11">
        <v>24045.75</v>
      </c>
      <c r="RP7" s="11">
        <v>86329</v>
      </c>
      <c r="RQ7" s="11">
        <v>460628.46</v>
      </c>
      <c r="RR7" s="11">
        <v>543382</v>
      </c>
      <c r="RS7" s="11">
        <v>33118</v>
      </c>
      <c r="RT7" s="11">
        <v>25706.93</v>
      </c>
      <c r="RU7" s="11">
        <v>0</v>
      </c>
      <c r="RV7" s="11">
        <v>115612</v>
      </c>
      <c r="RW7" s="11">
        <v>139367</v>
      </c>
      <c r="RX7" s="11">
        <v>484521.5</v>
      </c>
      <c r="RY7" s="11">
        <v>0</v>
      </c>
      <c r="RZ7" s="11">
        <v>0</v>
      </c>
      <c r="SA7" s="11">
        <v>242825.75</v>
      </c>
      <c r="SB7" s="11">
        <v>2379523.0099999998</v>
      </c>
      <c r="SC7" s="11">
        <v>0</v>
      </c>
      <c r="SD7" s="11">
        <v>0</v>
      </c>
      <c r="SE7" s="11">
        <v>12050</v>
      </c>
      <c r="SF7" s="11">
        <v>8465</v>
      </c>
      <c r="SG7" s="11">
        <v>311708</v>
      </c>
      <c r="SH7" s="11">
        <v>132592.5</v>
      </c>
      <c r="SI7" s="11">
        <v>2482456</v>
      </c>
      <c r="SJ7" s="11">
        <v>20</v>
      </c>
      <c r="SK7" s="11">
        <v>52929</v>
      </c>
      <c r="SL7" s="11">
        <v>599030.5</v>
      </c>
      <c r="SM7" s="11">
        <v>0</v>
      </c>
      <c r="SN7" s="11">
        <v>1564722.08</v>
      </c>
      <c r="SO7" s="11">
        <v>0</v>
      </c>
      <c r="SP7" s="11">
        <v>22163</v>
      </c>
      <c r="SQ7" s="11">
        <v>74222</v>
      </c>
      <c r="SR7" s="11">
        <v>0</v>
      </c>
      <c r="SS7" s="11">
        <v>38590.5</v>
      </c>
      <c r="ST7" s="11">
        <v>91249</v>
      </c>
      <c r="SU7" s="11">
        <v>47505</v>
      </c>
      <c r="SV7" s="11">
        <v>2278134.1</v>
      </c>
      <c r="SW7" s="11">
        <v>44116</v>
      </c>
      <c r="SX7" s="11">
        <v>127493</v>
      </c>
      <c r="SY7" s="11">
        <v>53611</v>
      </c>
      <c r="SZ7" s="11">
        <v>8124</v>
      </c>
      <c r="TA7" s="11">
        <v>149337.5</v>
      </c>
      <c r="TB7" s="11">
        <v>310442</v>
      </c>
      <c r="TC7" s="11">
        <v>187995</v>
      </c>
      <c r="TD7" s="11">
        <v>31920</v>
      </c>
      <c r="TE7" s="11">
        <v>0</v>
      </c>
      <c r="TF7" s="11">
        <v>0</v>
      </c>
      <c r="TG7" s="11">
        <v>89149</v>
      </c>
      <c r="TH7" s="11">
        <v>121038</v>
      </c>
      <c r="TI7" s="11">
        <v>0</v>
      </c>
      <c r="TJ7" s="11">
        <v>11321320.609999999</v>
      </c>
      <c r="TK7" s="11">
        <v>0</v>
      </c>
      <c r="TL7" s="11">
        <v>6755</v>
      </c>
      <c r="TM7" s="11">
        <v>51447</v>
      </c>
      <c r="TN7" s="11">
        <v>246099</v>
      </c>
      <c r="TO7" s="11">
        <v>35688</v>
      </c>
      <c r="TP7" s="11">
        <v>0</v>
      </c>
      <c r="TQ7" s="11">
        <v>458510.8</v>
      </c>
      <c r="TR7" s="11">
        <v>168380.75</v>
      </c>
      <c r="TS7" s="11">
        <v>82460</v>
      </c>
      <c r="TT7" s="11">
        <v>31630</v>
      </c>
      <c r="TU7" s="11">
        <v>142993</v>
      </c>
      <c r="TV7" s="11">
        <v>0</v>
      </c>
      <c r="TW7" s="11">
        <v>343444.5</v>
      </c>
      <c r="TX7" s="11">
        <v>23870</v>
      </c>
      <c r="TY7" s="11">
        <v>37467</v>
      </c>
      <c r="TZ7" s="11">
        <v>1165946</v>
      </c>
      <c r="UA7" s="11">
        <v>16421</v>
      </c>
      <c r="UB7" s="11">
        <v>3631031.8</v>
      </c>
      <c r="UC7" s="11">
        <v>319027.60000000003</v>
      </c>
      <c r="UD7" s="11">
        <v>10425.25</v>
      </c>
      <c r="UE7" s="11">
        <v>10407</v>
      </c>
      <c r="UF7" s="11">
        <v>3163423.46</v>
      </c>
      <c r="UG7" s="11">
        <v>620</v>
      </c>
      <c r="UH7" s="11">
        <v>0</v>
      </c>
      <c r="UI7" s="11">
        <v>0</v>
      </c>
      <c r="UJ7" s="11">
        <v>0</v>
      </c>
      <c r="UK7" s="11">
        <v>2255578</v>
      </c>
      <c r="UL7" s="11">
        <v>43872</v>
      </c>
      <c r="UM7" s="11">
        <v>33345</v>
      </c>
      <c r="UN7" s="11">
        <v>305680</v>
      </c>
      <c r="UO7" s="11">
        <v>18913</v>
      </c>
      <c r="UP7" s="11">
        <v>20283</v>
      </c>
      <c r="UQ7" s="11">
        <v>7217666</v>
      </c>
      <c r="UR7" s="11">
        <v>360138</v>
      </c>
      <c r="US7" s="11">
        <v>117160.65</v>
      </c>
      <c r="UT7" s="11">
        <v>1235753</v>
      </c>
      <c r="UU7" s="11">
        <v>0</v>
      </c>
      <c r="UV7" s="11">
        <v>36320.5</v>
      </c>
      <c r="UW7" s="11">
        <v>145120.5</v>
      </c>
      <c r="UX7" s="11">
        <v>80687</v>
      </c>
      <c r="UY7" s="11">
        <v>49184</v>
      </c>
      <c r="UZ7" s="11">
        <v>126938</v>
      </c>
      <c r="VA7" s="11">
        <v>148046</v>
      </c>
      <c r="VB7" s="11">
        <v>227872.75</v>
      </c>
      <c r="VC7" s="11">
        <v>86813</v>
      </c>
      <c r="VD7" s="11">
        <v>182598.32</v>
      </c>
      <c r="VE7" s="11">
        <v>0</v>
      </c>
      <c r="VF7" s="11">
        <v>65439</v>
      </c>
      <c r="VG7" s="11">
        <v>0</v>
      </c>
      <c r="VH7" s="11">
        <v>48269</v>
      </c>
      <c r="VI7" s="11">
        <v>614150.5</v>
      </c>
      <c r="VJ7" s="11">
        <v>0</v>
      </c>
      <c r="VK7" s="11">
        <v>0</v>
      </c>
      <c r="VL7" s="11">
        <v>20468</v>
      </c>
      <c r="VM7" s="11">
        <v>4147523.21</v>
      </c>
      <c r="VN7" s="11">
        <v>99964</v>
      </c>
      <c r="VO7" s="11">
        <v>123500</v>
      </c>
      <c r="VP7" s="11">
        <v>120104</v>
      </c>
      <c r="VQ7" s="11">
        <v>113154.85</v>
      </c>
      <c r="VR7" s="11">
        <v>668730</v>
      </c>
      <c r="VS7" s="11">
        <v>151591</v>
      </c>
      <c r="VT7" s="11">
        <v>9418.5</v>
      </c>
      <c r="VU7" s="11">
        <v>0</v>
      </c>
      <c r="VV7" s="11">
        <v>1334617.05</v>
      </c>
      <c r="VW7" s="11">
        <v>0</v>
      </c>
      <c r="VX7" s="11">
        <v>243269.5</v>
      </c>
      <c r="VY7" s="11">
        <v>10143</v>
      </c>
      <c r="VZ7" s="11">
        <v>10921</v>
      </c>
      <c r="WA7" s="11">
        <v>155757</v>
      </c>
      <c r="WB7" s="11">
        <v>23638251.309999999</v>
      </c>
      <c r="WC7" s="11">
        <v>65981</v>
      </c>
      <c r="WD7" s="11">
        <v>58667</v>
      </c>
      <c r="WE7" s="11">
        <v>237676</v>
      </c>
      <c r="WF7" s="11">
        <v>59614</v>
      </c>
      <c r="WG7" s="11">
        <v>2813</v>
      </c>
      <c r="WH7" s="11">
        <v>115897</v>
      </c>
      <c r="WI7" s="11">
        <v>235187</v>
      </c>
      <c r="WJ7" s="11">
        <v>145598</v>
      </c>
      <c r="WK7" s="11">
        <v>166996</v>
      </c>
      <c r="WL7" s="11">
        <v>32275</v>
      </c>
      <c r="WM7" s="11">
        <v>1537904</v>
      </c>
      <c r="WN7" s="11">
        <v>75289</v>
      </c>
      <c r="WO7" s="11">
        <v>457195.25</v>
      </c>
      <c r="WP7" s="11">
        <v>725279.5</v>
      </c>
      <c r="WQ7" s="11">
        <v>340346</v>
      </c>
      <c r="WR7" s="11">
        <v>36094.5</v>
      </c>
      <c r="WS7" s="11">
        <v>126889</v>
      </c>
      <c r="WT7" s="11">
        <v>0</v>
      </c>
      <c r="WU7" s="11">
        <v>163965</v>
      </c>
      <c r="WV7" s="11">
        <v>1472825.52</v>
      </c>
      <c r="WW7" s="11">
        <v>3908</v>
      </c>
      <c r="WX7" s="11">
        <v>103025</v>
      </c>
      <c r="WY7" s="11">
        <v>-234</v>
      </c>
      <c r="WZ7" s="11">
        <v>103785.61</v>
      </c>
      <c r="XA7" s="11">
        <v>0</v>
      </c>
      <c r="XB7" s="11">
        <v>0</v>
      </c>
      <c r="XC7" s="11">
        <v>27154</v>
      </c>
      <c r="XD7" s="11">
        <v>2327013</v>
      </c>
      <c r="XE7" s="11">
        <v>85252</v>
      </c>
      <c r="XF7" s="11">
        <v>11700</v>
      </c>
      <c r="XG7" s="11">
        <v>34958</v>
      </c>
      <c r="XH7" s="11">
        <v>0</v>
      </c>
      <c r="XI7" s="11">
        <v>2262181</v>
      </c>
      <c r="XJ7" s="11">
        <v>161673.25</v>
      </c>
      <c r="XK7" s="11">
        <v>8703</v>
      </c>
      <c r="XL7" s="11">
        <v>570786</v>
      </c>
      <c r="XM7" s="11">
        <v>56822</v>
      </c>
      <c r="XN7" s="11">
        <v>46416</v>
      </c>
      <c r="XO7" s="11">
        <v>489520.4</v>
      </c>
      <c r="XP7" s="11">
        <v>2007.5</v>
      </c>
      <c r="XQ7" s="11">
        <v>34356</v>
      </c>
      <c r="XR7" s="11">
        <v>359769.61</v>
      </c>
      <c r="XS7" s="11">
        <v>336739</v>
      </c>
      <c r="XT7" s="11">
        <v>479299</v>
      </c>
      <c r="XU7" s="11">
        <v>111870</v>
      </c>
      <c r="XV7" s="11">
        <v>107120.75</v>
      </c>
      <c r="XW7" s="11">
        <v>0</v>
      </c>
      <c r="XX7" s="11">
        <v>44828</v>
      </c>
      <c r="XY7" s="11">
        <v>0</v>
      </c>
      <c r="XZ7" s="11">
        <v>0</v>
      </c>
      <c r="YA7" s="11">
        <v>45176</v>
      </c>
      <c r="YB7" s="11">
        <v>17991.5</v>
      </c>
      <c r="YC7" s="11">
        <v>6508</v>
      </c>
      <c r="YD7" s="11">
        <v>0</v>
      </c>
      <c r="YE7" s="11">
        <v>0</v>
      </c>
      <c r="YF7" s="11">
        <v>4476979.92</v>
      </c>
      <c r="YG7" s="11">
        <v>69295</v>
      </c>
      <c r="YH7" s="11">
        <v>150456.5</v>
      </c>
      <c r="YI7" s="11">
        <v>46738.5</v>
      </c>
      <c r="YJ7" s="11">
        <v>421996</v>
      </c>
      <c r="YK7" s="11">
        <v>505407.55</v>
      </c>
      <c r="YL7" s="11">
        <v>139003</v>
      </c>
      <c r="YM7" s="11">
        <v>81669</v>
      </c>
      <c r="YN7" s="11">
        <v>479144.5</v>
      </c>
      <c r="YO7" s="11">
        <v>28301</v>
      </c>
      <c r="YP7" s="11">
        <v>284668</v>
      </c>
      <c r="YQ7" s="11">
        <v>118239.01</v>
      </c>
      <c r="YR7" s="11">
        <v>44097.5</v>
      </c>
      <c r="YS7" s="11">
        <v>22714</v>
      </c>
      <c r="YT7" s="11">
        <v>0</v>
      </c>
      <c r="YU7" s="11">
        <v>2600</v>
      </c>
      <c r="YV7" s="11">
        <v>1654.5</v>
      </c>
      <c r="YW7" s="11">
        <v>3734717.7</v>
      </c>
      <c r="YX7" s="11">
        <v>184201</v>
      </c>
      <c r="YY7" s="11">
        <v>0</v>
      </c>
      <c r="YZ7" s="11">
        <v>0</v>
      </c>
      <c r="ZA7" s="11">
        <v>0</v>
      </c>
      <c r="ZB7" s="11">
        <v>57852.5</v>
      </c>
      <c r="ZC7" s="11">
        <v>60891.85</v>
      </c>
      <c r="ZD7" s="11">
        <v>3865032.3</v>
      </c>
      <c r="ZE7" s="11">
        <v>31822</v>
      </c>
      <c r="ZF7" s="11">
        <v>44470</v>
      </c>
      <c r="ZG7" s="11">
        <v>49993.75</v>
      </c>
      <c r="ZH7" s="11">
        <v>129119.93</v>
      </c>
      <c r="ZI7" s="11">
        <v>118512</v>
      </c>
      <c r="ZJ7" s="11">
        <v>14429</v>
      </c>
      <c r="ZK7" s="11">
        <v>71498</v>
      </c>
      <c r="ZL7" s="11">
        <v>179985</v>
      </c>
      <c r="ZM7" s="11">
        <v>7229733.3899999997</v>
      </c>
      <c r="ZN7" s="11">
        <v>191393</v>
      </c>
      <c r="ZO7" s="11">
        <v>294442.28000000003</v>
      </c>
      <c r="ZP7" s="11">
        <v>657698.25</v>
      </c>
      <c r="ZQ7" s="11">
        <v>23459.75</v>
      </c>
      <c r="ZR7" s="11">
        <v>22319.200000000001</v>
      </c>
      <c r="ZS7" s="11">
        <v>37173.5</v>
      </c>
      <c r="ZT7" s="11">
        <v>132289</v>
      </c>
      <c r="ZU7" s="11">
        <v>12685</v>
      </c>
      <c r="ZV7" s="11">
        <v>349872.67</v>
      </c>
      <c r="ZW7" s="11">
        <v>0</v>
      </c>
      <c r="ZX7" s="11">
        <v>256655.43</v>
      </c>
      <c r="ZY7" s="11">
        <v>60529.25</v>
      </c>
      <c r="ZZ7" s="11">
        <v>33659.75</v>
      </c>
      <c r="AAA7" s="11">
        <v>0</v>
      </c>
      <c r="AAB7" s="11">
        <v>122817.75</v>
      </c>
      <c r="AAC7" s="11">
        <v>61854.42</v>
      </c>
      <c r="AAD7" s="11">
        <v>319226</v>
      </c>
      <c r="AAE7" s="11">
        <v>0</v>
      </c>
      <c r="AAF7" s="11">
        <v>37555</v>
      </c>
      <c r="AAG7" s="11">
        <v>14349.5</v>
      </c>
      <c r="AAH7" s="11">
        <v>-134297.88999999998</v>
      </c>
      <c r="AAI7" s="11">
        <v>784678.43</v>
      </c>
      <c r="AAJ7" s="11">
        <v>12698</v>
      </c>
      <c r="AAK7" s="11">
        <v>231580.51</v>
      </c>
      <c r="AAL7" s="11">
        <v>49835.5</v>
      </c>
      <c r="AAM7" s="11">
        <v>23311.5</v>
      </c>
      <c r="AAN7" s="11">
        <v>9830.5</v>
      </c>
      <c r="AAO7" s="11">
        <v>165002.25</v>
      </c>
      <c r="AAP7" s="11">
        <v>17972056.5</v>
      </c>
      <c r="AAQ7" s="11">
        <v>0</v>
      </c>
      <c r="AAR7" s="11">
        <v>0</v>
      </c>
      <c r="AAS7" s="11">
        <v>487566</v>
      </c>
      <c r="AAT7" s="11">
        <v>208380.5</v>
      </c>
      <c r="AAU7" s="11">
        <v>98054</v>
      </c>
      <c r="AAV7" s="11">
        <v>16031.5</v>
      </c>
      <c r="AAW7" s="11">
        <v>195108.64</v>
      </c>
      <c r="AAX7" s="11">
        <v>396738</v>
      </c>
      <c r="AAY7" s="11">
        <v>46758.5</v>
      </c>
      <c r="AAZ7" s="11">
        <v>92000.5</v>
      </c>
      <c r="ABA7" s="11">
        <v>1046089.75</v>
      </c>
      <c r="ABB7" s="11">
        <v>341955.5</v>
      </c>
      <c r="ABC7" s="11">
        <v>44624.5</v>
      </c>
      <c r="ABD7" s="11">
        <v>3181.76</v>
      </c>
      <c r="ABE7" s="11">
        <v>26693.5</v>
      </c>
      <c r="ABF7" s="11">
        <v>106919</v>
      </c>
      <c r="ABG7" s="11">
        <v>195231.75</v>
      </c>
      <c r="ABH7" s="11">
        <v>6306.25</v>
      </c>
      <c r="ABI7" s="11">
        <v>1746126.53</v>
      </c>
      <c r="ABJ7" s="11">
        <v>2088321.55</v>
      </c>
      <c r="ABK7" s="11">
        <v>20933.25</v>
      </c>
      <c r="ABL7" s="11">
        <v>0</v>
      </c>
      <c r="ABM7" s="11">
        <v>0</v>
      </c>
      <c r="ABN7" s="11">
        <v>13045</v>
      </c>
      <c r="ABO7" s="11">
        <v>12700</v>
      </c>
      <c r="ABP7" s="11">
        <v>7446793.7699999996</v>
      </c>
      <c r="ABQ7" s="11">
        <v>39355</v>
      </c>
      <c r="ABR7" s="11">
        <v>0</v>
      </c>
      <c r="ABS7" s="11">
        <v>779495</v>
      </c>
      <c r="ABT7" s="11">
        <v>271799</v>
      </c>
      <c r="ABU7" s="11">
        <v>103721</v>
      </c>
      <c r="ABV7" s="11">
        <v>106172.5</v>
      </c>
      <c r="ABW7" s="11">
        <v>713899</v>
      </c>
      <c r="ABX7" s="11">
        <v>0</v>
      </c>
      <c r="ABY7" s="11">
        <v>16282217.959999999</v>
      </c>
      <c r="ABZ7" s="11">
        <v>0</v>
      </c>
      <c r="ACA7" s="11">
        <v>408689.5</v>
      </c>
      <c r="ACB7" s="11">
        <v>118665</v>
      </c>
      <c r="ACC7" s="11">
        <v>29716.47</v>
      </c>
      <c r="ACD7" s="11">
        <v>462680</v>
      </c>
      <c r="ACE7" s="11">
        <v>38372</v>
      </c>
      <c r="ACF7" s="11">
        <v>37128</v>
      </c>
      <c r="ACG7" s="11">
        <v>85466</v>
      </c>
      <c r="ACH7" s="11">
        <v>0</v>
      </c>
      <c r="ACI7" s="11">
        <v>0</v>
      </c>
      <c r="ACJ7" s="11">
        <v>16590476.029999999</v>
      </c>
      <c r="ACK7" s="11">
        <v>89894</v>
      </c>
      <c r="ACL7" s="11">
        <v>427810</v>
      </c>
      <c r="ACM7" s="11">
        <v>464582.75</v>
      </c>
      <c r="ACN7" s="11">
        <v>11251.25</v>
      </c>
      <c r="ACO7" s="11">
        <v>31643.75</v>
      </c>
      <c r="ACP7" s="11">
        <v>141020</v>
      </c>
      <c r="ACQ7" s="11">
        <v>2341017.5</v>
      </c>
      <c r="ACR7" s="11">
        <v>2917956.5</v>
      </c>
      <c r="ACS7" s="11">
        <v>-15177.5</v>
      </c>
      <c r="ACT7" s="11">
        <v>153858</v>
      </c>
      <c r="ACU7" s="11">
        <v>595489</v>
      </c>
      <c r="ACV7" s="11">
        <v>10590</v>
      </c>
      <c r="ACW7" s="11">
        <v>2122968</v>
      </c>
      <c r="ACX7" s="11">
        <v>35147</v>
      </c>
      <c r="ACY7" s="11">
        <v>132322</v>
      </c>
      <c r="ACZ7" s="11">
        <v>44089</v>
      </c>
      <c r="ADA7" s="11">
        <v>0</v>
      </c>
      <c r="ADB7" s="11">
        <v>31938</v>
      </c>
      <c r="ADC7" s="11">
        <v>110884</v>
      </c>
      <c r="ADD7" s="11">
        <v>0</v>
      </c>
      <c r="ADE7" s="11">
        <v>56722</v>
      </c>
      <c r="ADF7" s="11">
        <v>15322</v>
      </c>
      <c r="ADG7" s="11">
        <v>1606504.3299999998</v>
      </c>
      <c r="ADH7" s="11">
        <v>425160.34</v>
      </c>
      <c r="ADI7" s="11">
        <v>0</v>
      </c>
      <c r="ADJ7" s="11">
        <v>21469</v>
      </c>
      <c r="ADK7" s="11">
        <v>237358</v>
      </c>
      <c r="ADL7" s="11">
        <v>38400</v>
      </c>
      <c r="ADM7" s="11">
        <v>142861.65</v>
      </c>
      <c r="ADN7" s="11">
        <v>0</v>
      </c>
      <c r="ADO7" s="11">
        <v>373589</v>
      </c>
      <c r="ADP7" s="11">
        <v>168753146.47</v>
      </c>
      <c r="ADQ7" s="11">
        <v>94460</v>
      </c>
      <c r="ADR7" s="11">
        <v>178057</v>
      </c>
      <c r="ADS7" s="11">
        <v>60573.7</v>
      </c>
      <c r="ADT7" s="11">
        <v>2411118.25</v>
      </c>
      <c r="ADU7" s="11">
        <v>15586</v>
      </c>
      <c r="ADV7" s="11">
        <v>35417</v>
      </c>
      <c r="ADW7" s="11">
        <v>20421</v>
      </c>
      <c r="ADX7" s="11">
        <v>9774</v>
      </c>
      <c r="ADY7" s="11">
        <v>80</v>
      </c>
      <c r="ADZ7" s="11">
        <v>10328537.559999999</v>
      </c>
      <c r="AEA7" s="11">
        <v>12291245.92</v>
      </c>
      <c r="AEB7" s="11">
        <v>1378662.75</v>
      </c>
      <c r="AEC7" s="11">
        <v>81570.5</v>
      </c>
      <c r="AED7" s="11">
        <v>8355091.5500000007</v>
      </c>
      <c r="AEE7" s="11">
        <v>211282.72</v>
      </c>
      <c r="AEF7" s="11">
        <v>97143.2</v>
      </c>
      <c r="AEG7" s="11">
        <v>193689</v>
      </c>
      <c r="AEH7" s="11">
        <v>272184</v>
      </c>
      <c r="AEI7" s="11">
        <v>333377</v>
      </c>
      <c r="AEJ7" s="11">
        <v>174436.5</v>
      </c>
      <c r="AEK7" s="11">
        <v>388260</v>
      </c>
      <c r="AEL7" s="11">
        <v>474908</v>
      </c>
      <c r="AEM7" s="11">
        <v>34759.5</v>
      </c>
      <c r="AEN7" s="11">
        <v>149081</v>
      </c>
      <c r="AEO7" s="11">
        <v>512987</v>
      </c>
      <c r="AEP7" s="11">
        <v>41915</v>
      </c>
      <c r="AEQ7" s="11">
        <v>468822.5</v>
      </c>
      <c r="AER7" s="11">
        <v>30022</v>
      </c>
      <c r="AES7" s="11">
        <v>92652</v>
      </c>
      <c r="AET7" s="11">
        <v>8323384.7999999998</v>
      </c>
      <c r="AEU7" s="11">
        <v>300662</v>
      </c>
      <c r="AEV7" s="11">
        <v>323770</v>
      </c>
      <c r="AEW7" s="11">
        <v>171484.25</v>
      </c>
      <c r="AEX7" s="11">
        <v>162750</v>
      </c>
      <c r="AEY7" s="11">
        <v>147078.57999999999</v>
      </c>
      <c r="AEZ7" s="11">
        <v>0</v>
      </c>
      <c r="AFA7" s="11">
        <v>73479.5</v>
      </c>
      <c r="AFB7" s="11">
        <v>14233</v>
      </c>
      <c r="AFC7" s="11">
        <v>69118</v>
      </c>
      <c r="AFD7" s="11">
        <v>5599810.6900000004</v>
      </c>
      <c r="AFE7" s="11">
        <v>3884231.37</v>
      </c>
      <c r="AFF7" s="11">
        <v>468625</v>
      </c>
      <c r="AFG7" s="11">
        <v>635170</v>
      </c>
      <c r="AFH7" s="11">
        <v>1569734.88</v>
      </c>
      <c r="AFI7" s="11">
        <v>623424.1</v>
      </c>
      <c r="AFJ7" s="11">
        <v>201778</v>
      </c>
      <c r="AFK7" s="11">
        <v>443388.42</v>
      </c>
      <c r="AFL7" s="11">
        <v>418021.79</v>
      </c>
      <c r="AFM7" s="11">
        <v>185196</v>
      </c>
      <c r="AFN7" s="11">
        <v>782301</v>
      </c>
      <c r="AFO7" s="11">
        <v>257048</v>
      </c>
      <c r="AFP7" s="11">
        <v>252562.5</v>
      </c>
      <c r="AFQ7" s="11">
        <v>5036316</v>
      </c>
      <c r="AFR7" s="11">
        <v>4237838.18</v>
      </c>
      <c r="AFS7" s="11">
        <v>453616</v>
      </c>
      <c r="AFT7" s="11">
        <v>614794.35</v>
      </c>
      <c r="AFU7" s="11">
        <v>1122921</v>
      </c>
      <c r="AFV7" s="11">
        <v>784839</v>
      </c>
      <c r="AFW7" s="11">
        <v>251370</v>
      </c>
      <c r="AFX7" s="11">
        <v>343945</v>
      </c>
      <c r="AFY7" s="11">
        <v>1914168</v>
      </c>
      <c r="AFZ7" s="11">
        <v>182189.95</v>
      </c>
      <c r="AGA7" s="11">
        <v>975067</v>
      </c>
      <c r="AGB7" s="11">
        <v>259616</v>
      </c>
      <c r="AGC7" s="11">
        <v>12239073.890000001</v>
      </c>
      <c r="AGD7" s="11">
        <v>61920</v>
      </c>
      <c r="AGE7" s="11">
        <v>0</v>
      </c>
      <c r="AGF7" s="11">
        <v>314703.98</v>
      </c>
      <c r="AGG7" s="11">
        <v>348146.75</v>
      </c>
      <c r="AGH7" s="11">
        <v>11255</v>
      </c>
      <c r="AGI7" s="11">
        <v>60572</v>
      </c>
      <c r="AGJ7" s="11">
        <v>136092</v>
      </c>
      <c r="AGK7" s="11">
        <v>41280.5</v>
      </c>
      <c r="AGL7" s="11">
        <v>160485</v>
      </c>
      <c r="AGM7" s="11">
        <v>157180.75</v>
      </c>
      <c r="AGN7" s="11">
        <v>13834311.77</v>
      </c>
      <c r="AGO7" s="11">
        <v>1573486.25</v>
      </c>
      <c r="AGP7" s="11">
        <v>1101218.2</v>
      </c>
      <c r="AGQ7" s="11">
        <v>92507</v>
      </c>
      <c r="AGR7" s="11">
        <v>1411629</v>
      </c>
      <c r="AGS7" s="11">
        <v>815669</v>
      </c>
      <c r="AGT7" s="11">
        <v>45470</v>
      </c>
      <c r="AGU7" s="11">
        <v>83896</v>
      </c>
      <c r="AGV7" s="11">
        <v>20852314.219999999</v>
      </c>
      <c r="AGW7" s="11">
        <v>5705693.4500000002</v>
      </c>
      <c r="AGX7" s="11">
        <v>308416.75</v>
      </c>
      <c r="AGY7" s="11">
        <v>1128336</v>
      </c>
      <c r="AGZ7" s="11">
        <v>616758</v>
      </c>
      <c r="AHA7" s="11">
        <v>928177.35</v>
      </c>
      <c r="AHB7" s="11">
        <v>0</v>
      </c>
      <c r="AHC7" s="11">
        <v>185889</v>
      </c>
      <c r="AHD7" s="11">
        <v>128470.25</v>
      </c>
      <c r="AHE7" s="11">
        <v>19817.5</v>
      </c>
      <c r="AHF7" s="11">
        <v>75240.75</v>
      </c>
      <c r="AHG7" s="11">
        <v>178517</v>
      </c>
      <c r="AHH7" s="11">
        <v>108548</v>
      </c>
      <c r="AHI7" s="11">
        <v>101280</v>
      </c>
      <c r="AHJ7" s="11">
        <v>0</v>
      </c>
      <c r="AHK7" s="11">
        <v>134026.63</v>
      </c>
      <c r="AHL7" s="11">
        <v>75149</v>
      </c>
      <c r="AHM7" s="11">
        <v>2830983.39</v>
      </c>
      <c r="AHN7" s="11">
        <v>1343504</v>
      </c>
      <c r="AHO7" s="11">
        <v>45369</v>
      </c>
      <c r="AHP7" s="11">
        <v>175646</v>
      </c>
      <c r="AHQ7" s="11">
        <v>21295</v>
      </c>
      <c r="AHR7" s="11">
        <v>47967.199999999997</v>
      </c>
      <c r="AHS7" s="11">
        <v>0</v>
      </c>
      <c r="AHT7" s="11">
        <v>1061645163.9199998</v>
      </c>
      <c r="AHU7" s="11"/>
    </row>
    <row r="8" spans="1:905" x14ac:dyDescent="0.7">
      <c r="B8" s="6" t="s">
        <v>849</v>
      </c>
      <c r="C8" s="6" t="s">
        <v>664</v>
      </c>
      <c r="D8" s="11">
        <v>55288930.699999996</v>
      </c>
      <c r="E8" s="11">
        <v>1298571.9800000002</v>
      </c>
      <c r="F8" s="11">
        <v>4407851.3100000005</v>
      </c>
      <c r="G8" s="11">
        <v>1023260.2799999999</v>
      </c>
      <c r="H8" s="11">
        <v>4331319.3400000008</v>
      </c>
      <c r="I8" s="11">
        <v>1208363.99</v>
      </c>
      <c r="J8" s="11">
        <v>2800298.72</v>
      </c>
      <c r="K8" s="11">
        <v>2315202.9</v>
      </c>
      <c r="L8" s="11">
        <v>1720661.33</v>
      </c>
      <c r="M8" s="11">
        <v>2272120.67</v>
      </c>
      <c r="N8" s="11">
        <v>1371230.3</v>
      </c>
      <c r="O8" s="11">
        <v>2264087.1399999997</v>
      </c>
      <c r="P8" s="11">
        <v>774770.65</v>
      </c>
      <c r="Q8" s="11">
        <v>2412397.58</v>
      </c>
      <c r="R8" s="11">
        <v>1209378.26</v>
      </c>
      <c r="S8" s="11">
        <v>3934637.61</v>
      </c>
      <c r="T8" s="11">
        <v>4532120.0999999996</v>
      </c>
      <c r="U8" s="11">
        <v>723207</v>
      </c>
      <c r="V8" s="11">
        <v>36197446.670000002</v>
      </c>
      <c r="W8" s="11">
        <v>8105485.1400000006</v>
      </c>
      <c r="X8" s="11">
        <v>1273354.79</v>
      </c>
      <c r="Y8" s="11">
        <v>1245140.06</v>
      </c>
      <c r="Z8" s="11">
        <v>2018702.65</v>
      </c>
      <c r="AA8" s="11">
        <v>685587.58</v>
      </c>
      <c r="AB8" s="11">
        <v>789044.53</v>
      </c>
      <c r="AC8" s="11">
        <v>9162338.6899999995</v>
      </c>
      <c r="AD8" s="11">
        <v>1105474.5499999998</v>
      </c>
      <c r="AE8" s="11">
        <v>1899500.98</v>
      </c>
      <c r="AF8" s="11">
        <v>9985355.0900000017</v>
      </c>
      <c r="AG8" s="11">
        <v>730495.71</v>
      </c>
      <c r="AH8" s="11">
        <v>2616237.6</v>
      </c>
      <c r="AI8" s="11">
        <v>1518259.8499999999</v>
      </c>
      <c r="AJ8" s="11">
        <v>612727.86</v>
      </c>
      <c r="AK8" s="11">
        <v>745556.08</v>
      </c>
      <c r="AL8" s="11">
        <v>330680.73</v>
      </c>
      <c r="AM8" s="11">
        <v>533386.09</v>
      </c>
      <c r="AN8" s="11">
        <v>346391.75</v>
      </c>
      <c r="AO8" s="11">
        <v>432724.94999999995</v>
      </c>
      <c r="AP8" s="11">
        <v>423781.41000000003</v>
      </c>
      <c r="AQ8" s="11">
        <v>781383.28999999992</v>
      </c>
      <c r="AR8" s="11">
        <v>354138.18</v>
      </c>
      <c r="AS8" s="11">
        <v>113548.95999999998</v>
      </c>
      <c r="AT8" s="11">
        <v>30598781.800000001</v>
      </c>
      <c r="AU8" s="11">
        <v>436433</v>
      </c>
      <c r="AV8" s="11">
        <v>522637.05</v>
      </c>
      <c r="AW8" s="11">
        <v>1249583.5900000001</v>
      </c>
      <c r="AX8" s="11">
        <v>2686635.08</v>
      </c>
      <c r="AY8" s="11">
        <v>3618067.4600000004</v>
      </c>
      <c r="AZ8" s="11">
        <v>768214.42999999993</v>
      </c>
      <c r="BA8" s="11">
        <v>1362153</v>
      </c>
      <c r="BB8" s="11">
        <v>561947.97</v>
      </c>
      <c r="BC8" s="11">
        <v>658054.5</v>
      </c>
      <c r="BD8" s="11">
        <v>175634.5</v>
      </c>
      <c r="BE8" s="11">
        <v>266277.48</v>
      </c>
      <c r="BF8" s="11">
        <v>6308186.3399999999</v>
      </c>
      <c r="BG8" s="11">
        <v>38313</v>
      </c>
      <c r="BH8" s="11">
        <v>780067.25</v>
      </c>
      <c r="BI8" s="11">
        <v>19163413.48</v>
      </c>
      <c r="BJ8" s="11">
        <v>11144004.909999998</v>
      </c>
      <c r="BK8" s="11">
        <v>843865.47</v>
      </c>
      <c r="BL8" s="11">
        <v>1452673.5599999998</v>
      </c>
      <c r="BM8" s="11">
        <v>1488759.9</v>
      </c>
      <c r="BN8" s="11">
        <v>1169700.07</v>
      </c>
      <c r="BO8" s="11">
        <v>1188187.1299999999</v>
      </c>
      <c r="BP8" s="11">
        <v>138787.82999999999</v>
      </c>
      <c r="BQ8" s="11">
        <v>155667.25</v>
      </c>
      <c r="BR8" s="11">
        <v>29730516.779999997</v>
      </c>
      <c r="BS8" s="11">
        <v>2662808.1900000004</v>
      </c>
      <c r="BT8" s="11">
        <v>1261019.6599999999</v>
      </c>
      <c r="BU8" s="11">
        <v>2797234.6199999996</v>
      </c>
      <c r="BV8" s="11">
        <v>1379552.22</v>
      </c>
      <c r="BW8" s="11">
        <v>698476.32</v>
      </c>
      <c r="BX8" s="11">
        <v>924660.79</v>
      </c>
      <c r="BY8" s="11">
        <v>767115.43</v>
      </c>
      <c r="BZ8" s="11">
        <v>7390389.0700000003</v>
      </c>
      <c r="CA8" s="11">
        <v>1168576.56</v>
      </c>
      <c r="CB8" s="11">
        <v>708514.1399999999</v>
      </c>
      <c r="CC8" s="11">
        <v>3248787.9</v>
      </c>
      <c r="CD8" s="11">
        <v>603935.16</v>
      </c>
      <c r="CE8" s="11">
        <v>461683.42</v>
      </c>
      <c r="CF8" s="11">
        <v>273247.35999999999</v>
      </c>
      <c r="CG8" s="11">
        <v>55809309.009999998</v>
      </c>
      <c r="CH8" s="11">
        <v>768622.8899999999</v>
      </c>
      <c r="CI8" s="11">
        <v>5053719.3100000005</v>
      </c>
      <c r="CJ8" s="11">
        <v>725724.55999999994</v>
      </c>
      <c r="CK8" s="11">
        <v>1067045.42</v>
      </c>
      <c r="CL8" s="11">
        <v>737211</v>
      </c>
      <c r="CM8" s="11">
        <v>808674.80999999982</v>
      </c>
      <c r="CN8" s="11">
        <v>1502378.13</v>
      </c>
      <c r="CO8" s="11">
        <v>298849.91999999998</v>
      </c>
      <c r="CP8" s="11">
        <v>1186276.1599999999</v>
      </c>
      <c r="CQ8" s="11">
        <v>659940.29</v>
      </c>
      <c r="CR8" s="11">
        <v>666587.07999999996</v>
      </c>
      <c r="CS8" s="11">
        <v>500641.22</v>
      </c>
      <c r="CT8" s="11">
        <v>21810493.390000001</v>
      </c>
      <c r="CU8" s="11">
        <v>926768.74</v>
      </c>
      <c r="CV8" s="11">
        <v>1064490.9000000001</v>
      </c>
      <c r="CW8" s="11">
        <v>2416436.69</v>
      </c>
      <c r="CX8" s="11">
        <v>470315.81</v>
      </c>
      <c r="CY8" s="11">
        <v>2694911.2600000002</v>
      </c>
      <c r="CZ8" s="11">
        <v>857336.44000000006</v>
      </c>
      <c r="DA8" s="11">
        <v>509388</v>
      </c>
      <c r="DB8" s="11">
        <v>26946973.73</v>
      </c>
      <c r="DC8" s="11">
        <v>18140019.510000005</v>
      </c>
      <c r="DD8" s="11">
        <v>2784459.75</v>
      </c>
      <c r="DE8" s="11">
        <v>598738.86999999988</v>
      </c>
      <c r="DF8" s="11">
        <v>2313716.6</v>
      </c>
      <c r="DG8" s="11">
        <v>2186031.5000000005</v>
      </c>
      <c r="DH8" s="11">
        <v>3041831.74</v>
      </c>
      <c r="DI8" s="11">
        <v>1286468.0200000003</v>
      </c>
      <c r="DJ8" s="11">
        <v>380814.72000000003</v>
      </c>
      <c r="DK8" s="11">
        <v>51217374.420000002</v>
      </c>
      <c r="DL8" s="11">
        <v>1074943.04</v>
      </c>
      <c r="DM8" s="11">
        <v>1678681.9100000001</v>
      </c>
      <c r="DN8" s="11">
        <v>3010657.37</v>
      </c>
      <c r="DO8" s="11">
        <v>2949365.49</v>
      </c>
      <c r="DP8" s="11">
        <v>1555767.21</v>
      </c>
      <c r="DQ8" s="11">
        <v>2433539.81</v>
      </c>
      <c r="DR8" s="11">
        <v>795480.16999999993</v>
      </c>
      <c r="DS8" s="11">
        <v>2995174.0100000002</v>
      </c>
      <c r="DT8" s="11">
        <v>18635209.780000001</v>
      </c>
      <c r="DU8" s="11">
        <v>995133.89999999991</v>
      </c>
      <c r="DV8" s="11">
        <v>6103450.120000001</v>
      </c>
      <c r="DW8" s="11">
        <v>5549576.7999999998</v>
      </c>
      <c r="DX8" s="11">
        <v>1049839.5999999999</v>
      </c>
      <c r="DY8" s="11">
        <v>3452441</v>
      </c>
      <c r="DZ8" s="11">
        <v>895099.5</v>
      </c>
      <c r="EA8" s="11">
        <v>407044.38999999996</v>
      </c>
      <c r="EB8" s="11">
        <v>1221495.4300000002</v>
      </c>
      <c r="EC8" s="11">
        <v>221450.68999999994</v>
      </c>
      <c r="ED8" s="11">
        <v>3627592.3299999996</v>
      </c>
      <c r="EE8" s="11">
        <v>14543994.599999998</v>
      </c>
      <c r="EF8" s="11">
        <v>7434035.3900000006</v>
      </c>
      <c r="EG8" s="11">
        <v>645609.14000000013</v>
      </c>
      <c r="EH8" s="11">
        <v>1379375.7899999998</v>
      </c>
      <c r="EI8" s="11">
        <v>1075983.3899999999</v>
      </c>
      <c r="EJ8" s="11">
        <v>2360934.35</v>
      </c>
      <c r="EK8" s="11">
        <v>4226402</v>
      </c>
      <c r="EL8" s="11">
        <v>576889.57000000007</v>
      </c>
      <c r="EM8" s="11">
        <v>1589617.1500000001</v>
      </c>
      <c r="EN8" s="11">
        <v>40277233.549999997</v>
      </c>
      <c r="EO8" s="11">
        <v>2335946.3899999997</v>
      </c>
      <c r="EP8" s="11">
        <v>1218620.4600000002</v>
      </c>
      <c r="EQ8" s="11">
        <v>1433140.41</v>
      </c>
      <c r="ER8" s="11">
        <v>1240073.29</v>
      </c>
      <c r="ES8" s="11">
        <v>1033158.95</v>
      </c>
      <c r="ET8" s="11">
        <v>1393175.03</v>
      </c>
      <c r="EU8" s="11">
        <v>3693314.63</v>
      </c>
      <c r="EV8" s="11">
        <v>1193780.8999999999</v>
      </c>
      <c r="EW8" s="11">
        <v>17513989.470000003</v>
      </c>
      <c r="EX8" s="11">
        <v>506382.66000000003</v>
      </c>
      <c r="EY8" s="11">
        <v>459311.54</v>
      </c>
      <c r="EZ8" s="11">
        <v>926803.89999999991</v>
      </c>
      <c r="FA8" s="11">
        <v>3829205.73</v>
      </c>
      <c r="FB8" s="11">
        <v>2289060.9099999997</v>
      </c>
      <c r="FC8" s="11">
        <v>1283808.1300000001</v>
      </c>
      <c r="FD8" s="11">
        <v>1340034.1099999999</v>
      </c>
      <c r="FE8" s="11">
        <v>582489.93999999994</v>
      </c>
      <c r="FF8" s="11">
        <v>541571.28999999992</v>
      </c>
      <c r="FG8" s="11">
        <v>509154.51</v>
      </c>
      <c r="FH8" s="11">
        <v>256361.91</v>
      </c>
      <c r="FI8" s="11">
        <v>12640041.290000003</v>
      </c>
      <c r="FJ8" s="11">
        <v>272909.41000000003</v>
      </c>
      <c r="FK8" s="11">
        <v>786358.94000000006</v>
      </c>
      <c r="FL8" s="11">
        <v>951505.46000000008</v>
      </c>
      <c r="FM8" s="11">
        <v>1263550.5299999998</v>
      </c>
      <c r="FN8" s="11">
        <v>743653.55999999994</v>
      </c>
      <c r="FO8" s="11">
        <v>119327.26</v>
      </c>
      <c r="FP8" s="11">
        <v>94026.38</v>
      </c>
      <c r="FQ8" s="11">
        <v>52789829.100000009</v>
      </c>
      <c r="FR8" s="11">
        <v>1664165.32</v>
      </c>
      <c r="FS8" s="11">
        <v>1895026.5899999999</v>
      </c>
      <c r="FT8" s="11">
        <v>1636177.39</v>
      </c>
      <c r="FU8" s="11">
        <v>1103966.3299999998</v>
      </c>
      <c r="FV8" s="11">
        <v>608279.42000000004</v>
      </c>
      <c r="FW8" s="11">
        <v>2047254.51</v>
      </c>
      <c r="FX8" s="11">
        <v>1520222.78</v>
      </c>
      <c r="FY8" s="11">
        <v>929442.42</v>
      </c>
      <c r="FZ8" s="11">
        <v>813496.5</v>
      </c>
      <c r="GA8" s="11">
        <v>1996597.58</v>
      </c>
      <c r="GB8" s="11">
        <v>579112.84</v>
      </c>
      <c r="GC8" s="11">
        <v>229357.44999999998</v>
      </c>
      <c r="GD8" s="11">
        <v>137694.54</v>
      </c>
      <c r="GE8" s="11">
        <v>13054710.479999999</v>
      </c>
      <c r="GF8" s="11">
        <v>708440.2</v>
      </c>
      <c r="GG8" s="11">
        <v>456911.12</v>
      </c>
      <c r="GH8" s="11">
        <v>2751912.1700000004</v>
      </c>
      <c r="GI8" s="11">
        <v>595410.7699999999</v>
      </c>
      <c r="GJ8" s="11">
        <v>624397.16999999993</v>
      </c>
      <c r="GK8" s="11">
        <v>828138.2</v>
      </c>
      <c r="GL8" s="11">
        <v>5294969.67</v>
      </c>
      <c r="GM8" s="11">
        <v>290923.09000000003</v>
      </c>
      <c r="GN8" s="11">
        <v>408006.1</v>
      </c>
      <c r="GO8" s="11">
        <v>178016</v>
      </c>
      <c r="GP8" s="11">
        <v>179299.25</v>
      </c>
      <c r="GQ8" s="11">
        <v>13504077.939999999</v>
      </c>
      <c r="GR8" s="11">
        <v>2601144.3499999996</v>
      </c>
      <c r="GS8" s="11">
        <v>677364.44000000006</v>
      </c>
      <c r="GT8" s="11">
        <v>2014447.7800000003</v>
      </c>
      <c r="GU8" s="11">
        <v>591205.75</v>
      </c>
      <c r="GV8" s="11">
        <v>1413242.91</v>
      </c>
      <c r="GW8" s="11">
        <v>1084812.02</v>
      </c>
      <c r="GX8" s="11">
        <v>132508.79999999999</v>
      </c>
      <c r="GY8" s="11">
        <v>13960563.99</v>
      </c>
      <c r="GZ8" s="11">
        <v>674958.54</v>
      </c>
      <c r="HA8" s="11">
        <v>2126564.4199999995</v>
      </c>
      <c r="HB8" s="11">
        <v>1071749.73</v>
      </c>
      <c r="HC8" s="11">
        <v>43308073.659999996</v>
      </c>
      <c r="HD8" s="11">
        <v>1165483.55</v>
      </c>
      <c r="HE8" s="11">
        <v>2874778.27</v>
      </c>
      <c r="HF8" s="11">
        <v>2343701.02</v>
      </c>
      <c r="HG8" s="11">
        <v>2155798.35</v>
      </c>
      <c r="HH8" s="11">
        <v>2647132</v>
      </c>
      <c r="HI8" s="11">
        <v>625787.94000000006</v>
      </c>
      <c r="HJ8" s="11">
        <v>2083885.75</v>
      </c>
      <c r="HK8" s="11">
        <v>6910753.5800000001</v>
      </c>
      <c r="HL8" s="11">
        <v>473982.37</v>
      </c>
      <c r="HM8" s="11">
        <v>1169006.25</v>
      </c>
      <c r="HN8" s="11">
        <v>412111.37</v>
      </c>
      <c r="HO8" s="11">
        <v>517275.6</v>
      </c>
      <c r="HP8" s="11">
        <v>1150405.3</v>
      </c>
      <c r="HQ8" s="11">
        <v>310943.57999999996</v>
      </c>
      <c r="HR8" s="11">
        <v>313835.32</v>
      </c>
      <c r="HS8" s="11">
        <v>16035700.679999998</v>
      </c>
      <c r="HT8" s="11">
        <v>6840634.1100000003</v>
      </c>
      <c r="HU8" s="11">
        <v>1069567.3399999999</v>
      </c>
      <c r="HV8" s="11">
        <v>859332.49</v>
      </c>
      <c r="HW8" s="11">
        <v>1127873.8500000001</v>
      </c>
      <c r="HX8" s="11">
        <v>374251.5</v>
      </c>
      <c r="HY8" s="11">
        <v>1815568.41</v>
      </c>
      <c r="HZ8" s="11">
        <v>418051.42</v>
      </c>
      <c r="IA8" s="11">
        <v>1176937.98</v>
      </c>
      <c r="IB8" s="11">
        <v>596774.88</v>
      </c>
      <c r="IC8" s="11">
        <v>1040564.17</v>
      </c>
      <c r="ID8" s="11">
        <v>605841</v>
      </c>
      <c r="IE8" s="11">
        <v>148894</v>
      </c>
      <c r="IF8" s="11">
        <v>1048663.92</v>
      </c>
      <c r="IG8" s="11">
        <v>1306465.48</v>
      </c>
      <c r="IH8" s="11">
        <v>544124.14000000013</v>
      </c>
      <c r="II8" s="11">
        <v>15973011.73</v>
      </c>
      <c r="IJ8" s="11">
        <v>4753736.42</v>
      </c>
      <c r="IK8" s="11">
        <v>742449.6</v>
      </c>
      <c r="IL8" s="11">
        <v>2063192.8399999999</v>
      </c>
      <c r="IM8" s="11">
        <v>2798222.9800000004</v>
      </c>
      <c r="IN8" s="11">
        <v>558284.99</v>
      </c>
      <c r="IO8" s="11">
        <v>403270.77</v>
      </c>
      <c r="IP8" s="11">
        <v>499876.59</v>
      </c>
      <c r="IQ8" s="11">
        <v>456506.51</v>
      </c>
      <c r="IR8" s="11">
        <v>945704.17</v>
      </c>
      <c r="IS8" s="11">
        <v>867179.19000000006</v>
      </c>
      <c r="IT8" s="11">
        <v>34891264.350000001</v>
      </c>
      <c r="IU8" s="11">
        <v>8415751.3000000007</v>
      </c>
      <c r="IV8" s="11">
        <v>2394332.91</v>
      </c>
      <c r="IW8" s="11">
        <v>1882854.7700000003</v>
      </c>
      <c r="IX8" s="11">
        <v>464845.25</v>
      </c>
      <c r="IY8" s="11">
        <v>1294700.75</v>
      </c>
      <c r="IZ8" s="11">
        <v>316280.07999999996</v>
      </c>
      <c r="JA8" s="11">
        <v>323482.76</v>
      </c>
      <c r="JB8" s="11">
        <v>503280.69999999995</v>
      </c>
      <c r="JC8" s="11">
        <v>1193713.7</v>
      </c>
      <c r="JD8" s="11">
        <v>868489</v>
      </c>
      <c r="JE8" s="11">
        <v>366297.5</v>
      </c>
      <c r="JF8" s="11">
        <v>11170434.169999998</v>
      </c>
      <c r="JG8" s="11">
        <v>3127566.5300000003</v>
      </c>
      <c r="JH8" s="11">
        <v>661840.22</v>
      </c>
      <c r="JI8" s="11">
        <v>238691.82</v>
      </c>
      <c r="JJ8" s="11">
        <v>578763.71</v>
      </c>
      <c r="JK8" s="11">
        <v>1495334.06</v>
      </c>
      <c r="JL8" s="11">
        <v>16819887.469999999</v>
      </c>
      <c r="JM8" s="11">
        <v>2331168.1300000004</v>
      </c>
      <c r="JN8" s="11">
        <v>2103568.7200000002</v>
      </c>
      <c r="JO8" s="11">
        <v>3005888.8600000003</v>
      </c>
      <c r="JP8" s="11">
        <v>2041615.06</v>
      </c>
      <c r="JQ8" s="11">
        <v>4201224.7</v>
      </c>
      <c r="JR8" s="11">
        <v>700402.25</v>
      </c>
      <c r="JS8" s="11">
        <v>29059710.27</v>
      </c>
      <c r="JT8" s="11">
        <v>10610736.489999998</v>
      </c>
      <c r="JU8" s="11">
        <v>1769460.84</v>
      </c>
      <c r="JV8" s="11">
        <v>683192.57000000007</v>
      </c>
      <c r="JW8" s="11">
        <v>1242224.9000000001</v>
      </c>
      <c r="JX8" s="11">
        <v>274907.23</v>
      </c>
      <c r="JY8" s="11">
        <v>3838768.2199999997</v>
      </c>
      <c r="JZ8" s="11">
        <v>1078808.93</v>
      </c>
      <c r="KA8" s="11">
        <v>448767.26</v>
      </c>
      <c r="KB8" s="11">
        <v>1601879.04</v>
      </c>
      <c r="KC8" s="11">
        <v>1043378.7899999998</v>
      </c>
      <c r="KD8" s="11">
        <v>981353.35000000009</v>
      </c>
      <c r="KE8" s="11">
        <v>116333.37</v>
      </c>
      <c r="KF8" s="11">
        <v>184312.97</v>
      </c>
      <c r="KG8" s="11">
        <v>683388.28999999992</v>
      </c>
      <c r="KH8" s="11">
        <v>309727.07</v>
      </c>
      <c r="KI8" s="11">
        <v>24085427.879999999</v>
      </c>
      <c r="KJ8" s="11">
        <v>1699421.75</v>
      </c>
      <c r="KK8" s="11">
        <v>786045.10000000009</v>
      </c>
      <c r="KL8" s="11">
        <v>2772316.2699999996</v>
      </c>
      <c r="KM8" s="11">
        <v>2106023.54</v>
      </c>
      <c r="KN8" s="11">
        <v>494981.68</v>
      </c>
      <c r="KO8" s="11">
        <v>1686380.56</v>
      </c>
      <c r="KP8" s="11">
        <v>594101.76000000001</v>
      </c>
      <c r="KQ8" s="11">
        <v>1006309.3300000001</v>
      </c>
      <c r="KR8" s="11">
        <v>9122007.5700000003</v>
      </c>
      <c r="KS8" s="11">
        <v>1160841.5599999998</v>
      </c>
      <c r="KT8" s="11">
        <v>1368773.07</v>
      </c>
      <c r="KU8" s="11">
        <v>4322365.63</v>
      </c>
      <c r="KV8" s="11">
        <v>852211.62</v>
      </c>
      <c r="KW8" s="11">
        <v>1116105.75</v>
      </c>
      <c r="KX8" s="11">
        <v>17173073.259999998</v>
      </c>
      <c r="KY8" s="11">
        <v>3587678.29</v>
      </c>
      <c r="KZ8" s="11">
        <v>19801400.41</v>
      </c>
      <c r="LA8" s="11">
        <v>985116.22000000009</v>
      </c>
      <c r="LB8" s="11">
        <v>468861.69</v>
      </c>
      <c r="LC8" s="11">
        <v>4595663.25</v>
      </c>
      <c r="LD8" s="11">
        <v>3398168.46</v>
      </c>
      <c r="LE8" s="11">
        <v>7181079.2999999998</v>
      </c>
      <c r="LF8" s="11">
        <v>830226.03999999992</v>
      </c>
      <c r="LG8" s="11">
        <v>923832.25</v>
      </c>
      <c r="LH8" s="11">
        <v>53092163.420000009</v>
      </c>
      <c r="LI8" s="11">
        <v>3053712.64</v>
      </c>
      <c r="LJ8" s="11">
        <v>9377029</v>
      </c>
      <c r="LK8" s="11">
        <v>9986420.6500000004</v>
      </c>
      <c r="LL8" s="11">
        <v>2106256.86</v>
      </c>
      <c r="LM8" s="11">
        <v>473034.76</v>
      </c>
      <c r="LN8" s="11">
        <v>666671.09</v>
      </c>
      <c r="LO8" s="11">
        <v>375965.1</v>
      </c>
      <c r="LP8" s="11">
        <v>520801.23</v>
      </c>
      <c r="LQ8" s="11">
        <v>1085122.3599999999</v>
      </c>
      <c r="LR8" s="11">
        <v>203340.21000000002</v>
      </c>
      <c r="LS8" s="11">
        <v>9941747.8399999999</v>
      </c>
      <c r="LT8" s="11">
        <v>2309245.3299999996</v>
      </c>
      <c r="LU8" s="11">
        <v>563618.09000000008</v>
      </c>
      <c r="LV8" s="11">
        <v>31107665</v>
      </c>
      <c r="LW8" s="11">
        <v>9391890.6100000013</v>
      </c>
      <c r="LX8" s="11">
        <v>50408484.25</v>
      </c>
      <c r="LY8" s="11">
        <v>7621651.1400000015</v>
      </c>
      <c r="LZ8" s="11">
        <v>5676805.8900000006</v>
      </c>
      <c r="MA8" s="11">
        <v>3703353.0200000005</v>
      </c>
      <c r="MB8" s="11">
        <v>4162577.29</v>
      </c>
      <c r="MC8" s="11">
        <v>5259030.0600000005</v>
      </c>
      <c r="MD8" s="11">
        <v>3649076.47</v>
      </c>
      <c r="ME8" s="11">
        <v>9735531.9700000007</v>
      </c>
      <c r="MF8" s="11">
        <v>4358667.2699999996</v>
      </c>
      <c r="MG8" s="11">
        <v>1110124</v>
      </c>
      <c r="MH8" s="11">
        <v>40857265.420000009</v>
      </c>
      <c r="MI8" s="11">
        <v>1872264.11</v>
      </c>
      <c r="MJ8" s="11">
        <v>1413696.55</v>
      </c>
      <c r="MK8" s="11">
        <v>549553.78</v>
      </c>
      <c r="ML8" s="11">
        <v>1064839.5099999998</v>
      </c>
      <c r="MM8" s="11">
        <v>1014830.93</v>
      </c>
      <c r="MN8" s="11">
        <v>832783.35999999999</v>
      </c>
      <c r="MO8" s="11">
        <v>1001260.26</v>
      </c>
      <c r="MP8" s="11">
        <v>441372.49</v>
      </c>
      <c r="MQ8" s="11">
        <v>300945.34999999998</v>
      </c>
      <c r="MR8" s="11">
        <v>1110105.96</v>
      </c>
      <c r="MS8" s="11">
        <v>410509.47000000003</v>
      </c>
      <c r="MT8" s="11">
        <v>19339398.66</v>
      </c>
      <c r="MU8" s="11">
        <v>673335.5</v>
      </c>
      <c r="MV8" s="11">
        <v>1950073.82</v>
      </c>
      <c r="MW8" s="11">
        <v>2986793.0100000002</v>
      </c>
      <c r="MX8" s="11">
        <v>700825.95</v>
      </c>
      <c r="MY8" s="11">
        <v>1932870.42</v>
      </c>
      <c r="MZ8" s="11">
        <v>3827562.4899999998</v>
      </c>
      <c r="NA8" s="11">
        <v>1480999.7999999998</v>
      </c>
      <c r="NB8" s="11">
        <v>327496</v>
      </c>
      <c r="NC8" s="11">
        <v>109387</v>
      </c>
      <c r="ND8" s="11">
        <v>376060.54</v>
      </c>
      <c r="NE8" s="11">
        <v>31389385.789999999</v>
      </c>
      <c r="NF8" s="11">
        <v>2526092.39</v>
      </c>
      <c r="NG8" s="11">
        <v>558397.76</v>
      </c>
      <c r="NH8" s="11">
        <v>5688778.0199999996</v>
      </c>
      <c r="NI8" s="11">
        <v>366549.22</v>
      </c>
      <c r="NJ8" s="11">
        <v>673907.25</v>
      </c>
      <c r="NK8" s="11">
        <v>4992100.08</v>
      </c>
      <c r="NL8" s="11">
        <v>1196335.4100000001</v>
      </c>
      <c r="NM8" s="11">
        <v>334975</v>
      </c>
      <c r="NN8" s="11">
        <v>1182478.25</v>
      </c>
      <c r="NO8" s="11">
        <v>1355974.48</v>
      </c>
      <c r="NP8" s="11">
        <v>525743.52</v>
      </c>
      <c r="NQ8" s="11">
        <v>6577652.0099999998</v>
      </c>
      <c r="NR8" s="11">
        <v>493214.36</v>
      </c>
      <c r="NS8" s="11">
        <v>638171.3600000001</v>
      </c>
      <c r="NT8" s="11">
        <v>729856.58</v>
      </c>
      <c r="NU8" s="11">
        <v>1041622</v>
      </c>
      <c r="NV8" s="11">
        <v>23340.25</v>
      </c>
      <c r="NW8" s="11">
        <v>138760.15</v>
      </c>
      <c r="NX8" s="11">
        <v>15139232.459999997</v>
      </c>
      <c r="NY8" s="11">
        <v>2837194.67</v>
      </c>
      <c r="NZ8" s="11">
        <v>636527.53</v>
      </c>
      <c r="OA8" s="11">
        <v>465004.94</v>
      </c>
      <c r="OB8" s="11">
        <v>518677.95999999996</v>
      </c>
      <c r="OC8" s="11">
        <v>593876.66</v>
      </c>
      <c r="OD8" s="11">
        <v>198345.46</v>
      </c>
      <c r="OE8" s="11">
        <v>13541046.59</v>
      </c>
      <c r="OF8" s="11">
        <v>1770104.9200000002</v>
      </c>
      <c r="OG8" s="11">
        <v>605018.98999999987</v>
      </c>
      <c r="OH8" s="11">
        <v>5264334.8800000008</v>
      </c>
      <c r="OI8" s="11">
        <v>1074146.33</v>
      </c>
      <c r="OJ8" s="11">
        <v>627743.55999999994</v>
      </c>
      <c r="OK8" s="11">
        <v>853590.83000000007</v>
      </c>
      <c r="OL8" s="11">
        <v>342524</v>
      </c>
      <c r="OM8" s="11">
        <v>144110</v>
      </c>
      <c r="ON8" s="11">
        <v>19130127.299999997</v>
      </c>
      <c r="OO8" s="11">
        <v>1993975.15</v>
      </c>
      <c r="OP8" s="11">
        <v>4162263.44</v>
      </c>
      <c r="OQ8" s="11">
        <v>883101.62000000011</v>
      </c>
      <c r="OR8" s="11">
        <v>661383.42999999993</v>
      </c>
      <c r="OS8" s="11">
        <v>197739.56</v>
      </c>
      <c r="OT8" s="11">
        <v>12687488.310000002</v>
      </c>
      <c r="OU8" s="11">
        <v>636699.74999999988</v>
      </c>
      <c r="OV8" s="11">
        <v>330719.52999999997</v>
      </c>
      <c r="OW8" s="11">
        <v>1644435.09</v>
      </c>
      <c r="OX8" s="11">
        <v>1398282.3399999999</v>
      </c>
      <c r="OY8" s="11">
        <v>6295127.0200000005</v>
      </c>
      <c r="OZ8" s="11">
        <v>743429.24</v>
      </c>
      <c r="PA8" s="11">
        <v>331868.75</v>
      </c>
      <c r="PB8" s="11">
        <v>939869.11</v>
      </c>
      <c r="PC8" s="11">
        <v>28690633.500000004</v>
      </c>
      <c r="PD8" s="11">
        <v>1143481.1200000001</v>
      </c>
      <c r="PE8" s="11">
        <v>8550441.4399999995</v>
      </c>
      <c r="PF8" s="11">
        <v>474866.01</v>
      </c>
      <c r="PG8" s="11">
        <v>2593699.19</v>
      </c>
      <c r="PH8" s="11">
        <v>6321689.1000000006</v>
      </c>
      <c r="PI8" s="11">
        <v>1453033.29</v>
      </c>
      <c r="PJ8" s="11">
        <v>384969.65</v>
      </c>
      <c r="PK8" s="11">
        <v>2746106.6999999997</v>
      </c>
      <c r="PL8" s="11">
        <v>1558213.5699999998</v>
      </c>
      <c r="PM8" s="11">
        <v>3940678.5100000002</v>
      </c>
      <c r="PN8" s="11">
        <v>5327132.28</v>
      </c>
      <c r="PO8" s="11">
        <v>1222881.47</v>
      </c>
      <c r="PP8" s="11">
        <v>10214828.389999999</v>
      </c>
      <c r="PQ8" s="11">
        <v>774303.33000000007</v>
      </c>
      <c r="PR8" s="11">
        <v>741834.32999999984</v>
      </c>
      <c r="PS8" s="11">
        <v>238281.55</v>
      </c>
      <c r="PT8" s="11">
        <v>605887.76</v>
      </c>
      <c r="PU8" s="11">
        <v>44493978.609999999</v>
      </c>
      <c r="PV8" s="11">
        <v>594167.75</v>
      </c>
      <c r="PW8" s="11">
        <v>678522</v>
      </c>
      <c r="PX8" s="11">
        <v>1094584.21</v>
      </c>
      <c r="PY8" s="11">
        <v>14611476.389999999</v>
      </c>
      <c r="PZ8" s="11">
        <v>1309337.74</v>
      </c>
      <c r="QA8" s="11">
        <v>3433335.07</v>
      </c>
      <c r="QB8" s="11">
        <v>1020827.5</v>
      </c>
      <c r="QC8" s="11">
        <v>8007105.4799999995</v>
      </c>
      <c r="QD8" s="11">
        <v>411097.61</v>
      </c>
      <c r="QE8" s="11">
        <v>7919287.4199999999</v>
      </c>
      <c r="QF8" s="11">
        <v>930491.85</v>
      </c>
      <c r="QG8" s="11">
        <v>2748918.3899999997</v>
      </c>
      <c r="QH8" s="11">
        <v>3210041.94</v>
      </c>
      <c r="QI8" s="11">
        <v>850155.35</v>
      </c>
      <c r="QJ8" s="11">
        <v>2673632.9599999995</v>
      </c>
      <c r="QK8" s="11">
        <v>1612722.24</v>
      </c>
      <c r="QL8" s="11">
        <v>386732.61</v>
      </c>
      <c r="QM8" s="11">
        <v>424049.72</v>
      </c>
      <c r="QN8" s="11">
        <v>7059210.3800000008</v>
      </c>
      <c r="QO8" s="11">
        <v>6204537.4699999988</v>
      </c>
      <c r="QP8" s="11">
        <v>781523.17</v>
      </c>
      <c r="QQ8" s="11">
        <v>129435.5</v>
      </c>
      <c r="QR8" s="11">
        <v>149292</v>
      </c>
      <c r="QS8" s="11">
        <v>265203</v>
      </c>
      <c r="QT8" s="11">
        <v>74336.5</v>
      </c>
      <c r="QU8" s="11">
        <v>35363119.589999996</v>
      </c>
      <c r="QV8" s="11">
        <v>379850.15</v>
      </c>
      <c r="QW8" s="11">
        <v>4627990.7299999995</v>
      </c>
      <c r="QX8" s="11">
        <v>1521434.91</v>
      </c>
      <c r="QY8" s="11">
        <v>1277121.82</v>
      </c>
      <c r="QZ8" s="11">
        <v>6740598.6600000001</v>
      </c>
      <c r="RA8" s="11">
        <v>820587.9</v>
      </c>
      <c r="RB8" s="11">
        <v>4421676.5999999996</v>
      </c>
      <c r="RC8" s="11">
        <v>4761869.55</v>
      </c>
      <c r="RD8" s="11">
        <v>1670249.5700000003</v>
      </c>
      <c r="RE8" s="11">
        <v>1169706.5</v>
      </c>
      <c r="RF8" s="11">
        <v>1015654.69</v>
      </c>
      <c r="RG8" s="11">
        <v>234979.53</v>
      </c>
      <c r="RH8" s="11">
        <v>64693455.819999993</v>
      </c>
      <c r="RI8" s="11">
        <v>8658254.5800000001</v>
      </c>
      <c r="RJ8" s="11">
        <v>4662750</v>
      </c>
      <c r="RK8" s="11">
        <v>2299183.1300000004</v>
      </c>
      <c r="RL8" s="11">
        <v>2408348.25</v>
      </c>
      <c r="RM8" s="11">
        <v>3106667.9</v>
      </c>
      <c r="RN8" s="11">
        <v>4322703.41</v>
      </c>
      <c r="RO8" s="11">
        <v>1352957.59</v>
      </c>
      <c r="RP8" s="11">
        <v>1350038.2299999997</v>
      </c>
      <c r="RQ8" s="11">
        <v>5335491.75</v>
      </c>
      <c r="RR8" s="11">
        <v>6154278.6300000008</v>
      </c>
      <c r="RS8" s="11">
        <v>789722.84</v>
      </c>
      <c r="RT8" s="11">
        <v>626834.15</v>
      </c>
      <c r="RU8" s="11">
        <v>995127.97</v>
      </c>
      <c r="RV8" s="11">
        <v>918435.49</v>
      </c>
      <c r="RW8" s="11">
        <v>2296756.94</v>
      </c>
      <c r="RX8" s="11">
        <v>1977962.13</v>
      </c>
      <c r="RY8" s="11">
        <v>892887.6100000001</v>
      </c>
      <c r="RZ8" s="11">
        <v>440851</v>
      </c>
      <c r="SA8" s="11">
        <v>624839.46</v>
      </c>
      <c r="SB8" s="11">
        <v>14222227.9</v>
      </c>
      <c r="SC8" s="11">
        <v>1603150.89</v>
      </c>
      <c r="SD8" s="11">
        <v>1705190.94</v>
      </c>
      <c r="SE8" s="11">
        <v>1378935.8299999998</v>
      </c>
      <c r="SF8" s="11">
        <v>761443.01</v>
      </c>
      <c r="SG8" s="11">
        <v>1553208.14</v>
      </c>
      <c r="SH8" s="11">
        <v>2030275.7999999998</v>
      </c>
      <c r="SI8" s="11">
        <v>5273332.32</v>
      </c>
      <c r="SJ8" s="11">
        <v>663753.51</v>
      </c>
      <c r="SK8" s="11">
        <v>1449079.77</v>
      </c>
      <c r="SL8" s="11">
        <v>3926401.83</v>
      </c>
      <c r="SM8" s="11">
        <v>600189.25</v>
      </c>
      <c r="SN8" s="11">
        <v>10813548.57</v>
      </c>
      <c r="SO8" s="11">
        <v>2049002.2999999998</v>
      </c>
      <c r="SP8" s="11">
        <v>884242.89000000013</v>
      </c>
      <c r="SQ8" s="11">
        <v>3950999.2800000003</v>
      </c>
      <c r="SR8" s="11">
        <v>1598973.08</v>
      </c>
      <c r="SS8" s="11">
        <v>919708.22000000009</v>
      </c>
      <c r="ST8" s="11">
        <v>2236499.79</v>
      </c>
      <c r="SU8" s="11">
        <v>408221.27999999997</v>
      </c>
      <c r="SV8" s="11">
        <v>22930531.460000001</v>
      </c>
      <c r="SW8" s="11">
        <v>966157.25</v>
      </c>
      <c r="SX8" s="11">
        <v>904634.59</v>
      </c>
      <c r="SY8" s="11">
        <v>755240.43000000017</v>
      </c>
      <c r="SZ8" s="11">
        <v>856938.5</v>
      </c>
      <c r="TA8" s="11">
        <v>888318.83</v>
      </c>
      <c r="TB8" s="11">
        <v>1473162.34</v>
      </c>
      <c r="TC8" s="11">
        <v>4075637.16</v>
      </c>
      <c r="TD8" s="11">
        <v>893723.34</v>
      </c>
      <c r="TE8" s="11">
        <v>1733454.72</v>
      </c>
      <c r="TF8" s="11">
        <v>1153192.17</v>
      </c>
      <c r="TG8" s="11">
        <v>1381714.5099999998</v>
      </c>
      <c r="TH8" s="11">
        <v>799377.71</v>
      </c>
      <c r="TI8" s="11">
        <v>596555.80999999994</v>
      </c>
      <c r="TJ8" s="11">
        <v>45752379.860000007</v>
      </c>
      <c r="TK8" s="11">
        <v>1597913.3</v>
      </c>
      <c r="TL8" s="11">
        <v>1416068.93</v>
      </c>
      <c r="TM8" s="11">
        <v>2385478.21</v>
      </c>
      <c r="TN8" s="11">
        <v>3282738.24</v>
      </c>
      <c r="TO8" s="11">
        <v>2819426.14</v>
      </c>
      <c r="TP8" s="11">
        <v>701742.48</v>
      </c>
      <c r="TQ8" s="11">
        <v>9567125.2500000019</v>
      </c>
      <c r="TR8" s="11">
        <v>1274476.7300000002</v>
      </c>
      <c r="TS8" s="11">
        <v>2380716.69</v>
      </c>
      <c r="TT8" s="11">
        <v>3409550.66</v>
      </c>
      <c r="TU8" s="11">
        <v>1866392.65</v>
      </c>
      <c r="TV8" s="11">
        <v>1528624.75</v>
      </c>
      <c r="TW8" s="11">
        <v>1617407.12</v>
      </c>
      <c r="TX8" s="11">
        <v>1421707.51</v>
      </c>
      <c r="TY8" s="11">
        <v>1043710.88</v>
      </c>
      <c r="TZ8" s="11">
        <v>13149363.239999998</v>
      </c>
      <c r="UA8" s="11">
        <v>609403.00000000012</v>
      </c>
      <c r="UB8" s="11">
        <v>19901521.16</v>
      </c>
      <c r="UC8" s="11">
        <v>3085565.4799999995</v>
      </c>
      <c r="UD8" s="11">
        <v>1362067.21</v>
      </c>
      <c r="UE8" s="11">
        <v>1364978.9600000002</v>
      </c>
      <c r="UF8" s="11">
        <v>12907888.67</v>
      </c>
      <c r="UG8" s="11">
        <v>163698.72999999998</v>
      </c>
      <c r="UH8" s="11">
        <v>494133.92</v>
      </c>
      <c r="UI8" s="11">
        <v>589332.42000000004</v>
      </c>
      <c r="UJ8" s="11">
        <v>585190.86</v>
      </c>
      <c r="UK8" s="11">
        <v>12189774.700000001</v>
      </c>
      <c r="UL8" s="11">
        <v>1857248.9200000002</v>
      </c>
      <c r="UM8" s="11">
        <v>2340019.2999999998</v>
      </c>
      <c r="UN8" s="11">
        <v>2904124.02</v>
      </c>
      <c r="UO8" s="11">
        <v>1425584.9100000001</v>
      </c>
      <c r="UP8" s="11">
        <v>1068132.19</v>
      </c>
      <c r="UQ8" s="11">
        <v>67320506.670000002</v>
      </c>
      <c r="UR8" s="11">
        <v>1363003.62</v>
      </c>
      <c r="US8" s="11">
        <v>1957015.35</v>
      </c>
      <c r="UT8" s="11">
        <v>15522137.890000001</v>
      </c>
      <c r="UU8" s="11">
        <v>478186.28</v>
      </c>
      <c r="UV8" s="11">
        <v>1022069.97</v>
      </c>
      <c r="UW8" s="11">
        <v>2356801.4500000002</v>
      </c>
      <c r="UX8" s="11">
        <v>798685.69000000006</v>
      </c>
      <c r="UY8" s="11">
        <v>682091.3</v>
      </c>
      <c r="UZ8" s="11">
        <v>1185047.4200000002</v>
      </c>
      <c r="VA8" s="11">
        <v>1481101.1</v>
      </c>
      <c r="VB8" s="11">
        <v>4178436.6</v>
      </c>
      <c r="VC8" s="11">
        <v>1377953.76</v>
      </c>
      <c r="VD8" s="11">
        <v>2042019.8400000001</v>
      </c>
      <c r="VE8" s="11">
        <v>742683.99</v>
      </c>
      <c r="VF8" s="11">
        <v>527854.35</v>
      </c>
      <c r="VG8" s="11">
        <v>327585.50999999995</v>
      </c>
      <c r="VH8" s="11">
        <v>629898.03999999992</v>
      </c>
      <c r="VI8" s="11">
        <v>4913379.78</v>
      </c>
      <c r="VJ8" s="11">
        <v>401843.74</v>
      </c>
      <c r="VK8" s="11">
        <v>159670.57</v>
      </c>
      <c r="VL8" s="11">
        <v>113035.60999999999</v>
      </c>
      <c r="VM8" s="11">
        <v>25460414.379999999</v>
      </c>
      <c r="VN8" s="11">
        <v>2070280.25</v>
      </c>
      <c r="VO8" s="11">
        <v>1667184.27</v>
      </c>
      <c r="VP8" s="11">
        <v>1442033.6</v>
      </c>
      <c r="VQ8" s="11">
        <v>5457012.2400000002</v>
      </c>
      <c r="VR8" s="11">
        <v>3088475.78</v>
      </c>
      <c r="VS8" s="11">
        <v>1078393.45</v>
      </c>
      <c r="VT8" s="11">
        <v>796585.33000000007</v>
      </c>
      <c r="VU8" s="11">
        <v>353432</v>
      </c>
      <c r="VV8" s="11">
        <v>7919009.2900000019</v>
      </c>
      <c r="VW8" s="11">
        <v>1232613.27</v>
      </c>
      <c r="VX8" s="11">
        <v>3673684.15</v>
      </c>
      <c r="VY8" s="11">
        <v>765136.8</v>
      </c>
      <c r="VZ8" s="11">
        <v>375209.58</v>
      </c>
      <c r="WA8" s="11">
        <v>742310.88000000012</v>
      </c>
      <c r="WB8" s="11">
        <v>138720759.40000001</v>
      </c>
      <c r="WC8" s="11">
        <v>3828960.89</v>
      </c>
      <c r="WD8" s="11">
        <v>918184.80999999994</v>
      </c>
      <c r="WE8" s="11">
        <v>533390.15999999992</v>
      </c>
      <c r="WF8" s="11">
        <v>817117.15</v>
      </c>
      <c r="WG8" s="11">
        <v>946012.26000000013</v>
      </c>
      <c r="WH8" s="11">
        <v>1059802.47</v>
      </c>
      <c r="WI8" s="11">
        <v>1976742.8800000001</v>
      </c>
      <c r="WJ8" s="11">
        <v>1328094.52</v>
      </c>
      <c r="WK8" s="11">
        <v>1523392.17</v>
      </c>
      <c r="WL8" s="11">
        <v>948246.54</v>
      </c>
      <c r="WM8" s="11">
        <v>10037751.75</v>
      </c>
      <c r="WN8" s="11">
        <v>3481626.2</v>
      </c>
      <c r="WO8" s="11">
        <v>2879899.5</v>
      </c>
      <c r="WP8" s="11">
        <v>2955033.8999999994</v>
      </c>
      <c r="WQ8" s="11">
        <v>1405349.28</v>
      </c>
      <c r="WR8" s="11">
        <v>2787703.94</v>
      </c>
      <c r="WS8" s="11">
        <v>1374862.33</v>
      </c>
      <c r="WT8" s="11">
        <v>811871.22</v>
      </c>
      <c r="WU8" s="11">
        <v>2506426.38</v>
      </c>
      <c r="WV8" s="11">
        <v>5310332.5699999994</v>
      </c>
      <c r="WW8" s="11">
        <v>619593.19999999995</v>
      </c>
      <c r="WX8" s="11">
        <v>510279.17000000004</v>
      </c>
      <c r="WY8" s="11">
        <v>609229</v>
      </c>
      <c r="WZ8" s="11">
        <v>491303.33</v>
      </c>
      <c r="XA8" s="11">
        <v>939901.83</v>
      </c>
      <c r="XB8" s="11">
        <v>1279309.0900000001</v>
      </c>
      <c r="XC8" s="11">
        <v>496100.63</v>
      </c>
      <c r="XD8" s="11">
        <v>7288204.1000000006</v>
      </c>
      <c r="XE8" s="11">
        <v>646346.62</v>
      </c>
      <c r="XF8" s="11">
        <v>779470.12</v>
      </c>
      <c r="XG8" s="11">
        <v>403950.39</v>
      </c>
      <c r="XH8" s="11">
        <v>438108.25</v>
      </c>
      <c r="XI8" s="11">
        <v>53756337.630000003</v>
      </c>
      <c r="XJ8" s="11">
        <v>3427059.5100000002</v>
      </c>
      <c r="XK8" s="11">
        <v>2474668.2399999998</v>
      </c>
      <c r="XL8" s="11">
        <v>15649229.4</v>
      </c>
      <c r="XM8" s="11">
        <v>1217190.4900000002</v>
      </c>
      <c r="XN8" s="11">
        <v>1637284.0699999998</v>
      </c>
      <c r="XO8" s="11">
        <v>4138019.4299999997</v>
      </c>
      <c r="XP8" s="11">
        <v>734884.05</v>
      </c>
      <c r="XQ8" s="11">
        <v>2266533.4</v>
      </c>
      <c r="XR8" s="11">
        <v>7005166.0200000014</v>
      </c>
      <c r="XS8" s="11">
        <v>3314821.93</v>
      </c>
      <c r="XT8" s="11">
        <v>738452.79</v>
      </c>
      <c r="XU8" s="11">
        <v>1489806.5</v>
      </c>
      <c r="XV8" s="11">
        <v>1524902.0400000003</v>
      </c>
      <c r="XW8" s="11">
        <v>777774.81</v>
      </c>
      <c r="XX8" s="11">
        <v>837876.53</v>
      </c>
      <c r="XY8" s="11">
        <v>900857.03999999992</v>
      </c>
      <c r="XZ8" s="11">
        <v>996134.1</v>
      </c>
      <c r="YA8" s="11">
        <v>1276356.26</v>
      </c>
      <c r="YB8" s="11">
        <v>892529.75</v>
      </c>
      <c r="YC8" s="11">
        <v>1464716.4800000002</v>
      </c>
      <c r="YD8" s="11">
        <v>1542558.9100000001</v>
      </c>
      <c r="YE8" s="11">
        <v>1013826.3599999999</v>
      </c>
      <c r="YF8" s="11">
        <v>41918427.350000001</v>
      </c>
      <c r="YG8" s="11">
        <v>2000852.8599999999</v>
      </c>
      <c r="YH8" s="11">
        <v>4061420.6900000004</v>
      </c>
      <c r="YI8" s="11">
        <v>536991.07000000007</v>
      </c>
      <c r="YJ8" s="11">
        <v>6899480.9700000007</v>
      </c>
      <c r="YK8" s="11">
        <v>2462734.38</v>
      </c>
      <c r="YL8" s="11">
        <v>1666918.3399999999</v>
      </c>
      <c r="YM8" s="11">
        <v>743631</v>
      </c>
      <c r="YN8" s="11">
        <v>5670655.9900000002</v>
      </c>
      <c r="YO8" s="11">
        <v>2971074.08</v>
      </c>
      <c r="YP8" s="11">
        <v>2407914.2600000002</v>
      </c>
      <c r="YQ8" s="11">
        <v>1680797.72</v>
      </c>
      <c r="YR8" s="11">
        <v>526367.5</v>
      </c>
      <c r="YS8" s="11">
        <v>577422.05000000005</v>
      </c>
      <c r="YT8" s="11">
        <v>386120.35</v>
      </c>
      <c r="YU8" s="11">
        <v>374672.11</v>
      </c>
      <c r="YV8" s="11">
        <v>871034.82</v>
      </c>
      <c r="YW8" s="11">
        <v>13615922.132999999</v>
      </c>
      <c r="YX8" s="11">
        <v>1485717.43</v>
      </c>
      <c r="YY8" s="11">
        <v>2188545.0699999998</v>
      </c>
      <c r="YZ8" s="11">
        <v>2468791.2999999998</v>
      </c>
      <c r="ZA8" s="11">
        <v>2574208.5100000002</v>
      </c>
      <c r="ZB8" s="11">
        <v>269664.73999999993</v>
      </c>
      <c r="ZC8" s="11">
        <v>1352419.2199999997</v>
      </c>
      <c r="ZD8" s="11">
        <v>18419134.649999999</v>
      </c>
      <c r="ZE8" s="11">
        <v>678787.71</v>
      </c>
      <c r="ZF8" s="11">
        <v>3575101.31</v>
      </c>
      <c r="ZG8" s="11">
        <v>1923620.44</v>
      </c>
      <c r="ZH8" s="11">
        <v>1200106.8900000001</v>
      </c>
      <c r="ZI8" s="11">
        <v>1067507.4700000002</v>
      </c>
      <c r="ZJ8" s="11">
        <v>1263446.1199999999</v>
      </c>
      <c r="ZK8" s="11">
        <v>610870.29</v>
      </c>
      <c r="ZL8" s="11">
        <v>4560468.0900000008</v>
      </c>
      <c r="ZM8" s="11">
        <v>50218649.240000002</v>
      </c>
      <c r="ZN8" s="11">
        <v>2503829.67</v>
      </c>
      <c r="ZO8" s="11">
        <v>3410746.38</v>
      </c>
      <c r="ZP8" s="11">
        <v>9612698.2599999998</v>
      </c>
      <c r="ZQ8" s="11">
        <v>3678149.8000000003</v>
      </c>
      <c r="ZR8" s="11">
        <v>797834.79</v>
      </c>
      <c r="ZS8" s="11">
        <v>1120498.3500000001</v>
      </c>
      <c r="ZT8" s="11">
        <v>4905596.99</v>
      </c>
      <c r="ZU8" s="11">
        <v>6267145.0699999994</v>
      </c>
      <c r="ZV8" s="11">
        <v>3734530.4</v>
      </c>
      <c r="ZW8" s="11">
        <v>512533.77</v>
      </c>
      <c r="ZX8" s="11">
        <v>965791.6100000001</v>
      </c>
      <c r="ZY8" s="11">
        <v>522016.05000000005</v>
      </c>
      <c r="ZZ8" s="11">
        <v>3428652.4800000004</v>
      </c>
      <c r="AAA8" s="11">
        <v>664470.34</v>
      </c>
      <c r="AAB8" s="11">
        <v>1457904.1099999999</v>
      </c>
      <c r="AAC8" s="11">
        <v>477262.7</v>
      </c>
      <c r="AAD8" s="11">
        <v>2975453.4899999998</v>
      </c>
      <c r="AAE8" s="11">
        <v>915415.44999999984</v>
      </c>
      <c r="AAF8" s="11">
        <v>1278328.3200000001</v>
      </c>
      <c r="AAG8" s="11">
        <v>591861.26</v>
      </c>
      <c r="AAH8" s="11">
        <v>308081.84000000003</v>
      </c>
      <c r="AAI8" s="11">
        <v>17140653.879999999</v>
      </c>
      <c r="AAJ8" s="11">
        <v>341059.67000000004</v>
      </c>
      <c r="AAK8" s="11">
        <v>1758265.49</v>
      </c>
      <c r="AAL8" s="11">
        <v>2031453.4099999997</v>
      </c>
      <c r="AAM8" s="11">
        <v>1447974.85</v>
      </c>
      <c r="AAN8" s="11">
        <v>4445416.83</v>
      </c>
      <c r="AAO8" s="11">
        <v>1548906.87</v>
      </c>
      <c r="AAP8" s="11">
        <v>76830787.050000012</v>
      </c>
      <c r="AAQ8" s="11">
        <v>1190664.8</v>
      </c>
      <c r="AAR8" s="11">
        <v>558509.40999999992</v>
      </c>
      <c r="AAS8" s="11">
        <v>9549605.4499999993</v>
      </c>
      <c r="AAT8" s="11">
        <v>3129778.0500000003</v>
      </c>
      <c r="AAU8" s="11">
        <v>1277345.75</v>
      </c>
      <c r="AAV8" s="11">
        <v>1454439.7400000002</v>
      </c>
      <c r="AAW8" s="11">
        <v>1642795.82</v>
      </c>
      <c r="AAX8" s="11">
        <v>9940561.5899999999</v>
      </c>
      <c r="AAY8" s="11">
        <v>1968362.4899999998</v>
      </c>
      <c r="AAZ8" s="11">
        <v>2063244.41</v>
      </c>
      <c r="ABA8" s="11">
        <v>8391886.7200000007</v>
      </c>
      <c r="ABB8" s="11">
        <v>6472690.46</v>
      </c>
      <c r="ABC8" s="11">
        <v>509011.33</v>
      </c>
      <c r="ABD8" s="11">
        <v>1399534.42</v>
      </c>
      <c r="ABE8" s="11">
        <v>1040856.0800000001</v>
      </c>
      <c r="ABF8" s="11">
        <v>734349.29</v>
      </c>
      <c r="ABG8" s="11">
        <v>1056306.8599999999</v>
      </c>
      <c r="ABH8" s="11">
        <v>879662.12</v>
      </c>
      <c r="ABI8" s="11">
        <v>16707316.610000001</v>
      </c>
      <c r="ABJ8" s="11">
        <v>10184034.389999999</v>
      </c>
      <c r="ABK8" s="11">
        <v>572034.21</v>
      </c>
      <c r="ABL8" s="11">
        <v>421454.61</v>
      </c>
      <c r="ABM8" s="11">
        <v>364601.92</v>
      </c>
      <c r="ABN8" s="11">
        <v>1111645.0899999999</v>
      </c>
      <c r="ABO8" s="11">
        <v>398980.45</v>
      </c>
      <c r="ABP8" s="11">
        <v>14983759.129999997</v>
      </c>
      <c r="ABQ8" s="11">
        <v>1309029.77</v>
      </c>
      <c r="ABR8" s="11">
        <v>485857.29</v>
      </c>
      <c r="ABS8" s="11">
        <v>1127217.1700000002</v>
      </c>
      <c r="ABT8" s="11">
        <v>3632966.0199999996</v>
      </c>
      <c r="ABU8" s="11">
        <v>1063232.7300000002</v>
      </c>
      <c r="ABV8" s="11">
        <v>1028932.5</v>
      </c>
      <c r="ABW8" s="11">
        <v>1660303.2999999998</v>
      </c>
      <c r="ABX8" s="11">
        <v>26253.61</v>
      </c>
      <c r="ABY8" s="11">
        <v>15830498.719999999</v>
      </c>
      <c r="ABZ8" s="11">
        <v>720432.21</v>
      </c>
      <c r="ACA8" s="11">
        <v>1407195.8699999999</v>
      </c>
      <c r="ACB8" s="11">
        <v>846787.13</v>
      </c>
      <c r="ACC8" s="11">
        <v>306689.62</v>
      </c>
      <c r="ACD8" s="11">
        <v>2919486.5799999996</v>
      </c>
      <c r="ACE8" s="11">
        <v>750250</v>
      </c>
      <c r="ACF8" s="11">
        <v>638002.44999999995</v>
      </c>
      <c r="ACG8" s="11">
        <v>597616.44000000006</v>
      </c>
      <c r="ACH8" s="11">
        <v>2678040.8199999998</v>
      </c>
      <c r="ACI8" s="11">
        <v>743428.5</v>
      </c>
      <c r="ACJ8" s="11">
        <v>45089061.18</v>
      </c>
      <c r="ACK8" s="11">
        <v>722643.67999999993</v>
      </c>
      <c r="ACL8" s="11">
        <v>2662418.1999999997</v>
      </c>
      <c r="ACM8" s="11">
        <v>1196319.93</v>
      </c>
      <c r="ACN8" s="11">
        <v>594746.1</v>
      </c>
      <c r="ACO8" s="11">
        <v>1373644.83</v>
      </c>
      <c r="ACP8" s="11">
        <v>2009065.9500000004</v>
      </c>
      <c r="ACQ8" s="11">
        <v>8355065.0600000005</v>
      </c>
      <c r="ACR8" s="11">
        <v>14095556.67</v>
      </c>
      <c r="ACS8" s="11">
        <v>831848.9</v>
      </c>
      <c r="ACT8" s="11">
        <v>750307.22</v>
      </c>
      <c r="ACU8" s="11">
        <v>2915338</v>
      </c>
      <c r="ACV8" s="11">
        <v>891155</v>
      </c>
      <c r="ACW8" s="11">
        <v>9095223.6300000008</v>
      </c>
      <c r="ACX8" s="11">
        <v>667744.62000000011</v>
      </c>
      <c r="ACY8" s="11">
        <v>1653368.87</v>
      </c>
      <c r="ACZ8" s="11">
        <v>675308.16999999993</v>
      </c>
      <c r="ADA8" s="11">
        <v>410744.63000000006</v>
      </c>
      <c r="ADB8" s="11">
        <v>668558.17000000016</v>
      </c>
      <c r="ADC8" s="11">
        <v>431202.38</v>
      </c>
      <c r="ADD8" s="11">
        <v>454161.63</v>
      </c>
      <c r="ADE8" s="11">
        <v>166078.25</v>
      </c>
      <c r="ADF8" s="11">
        <v>235580.82</v>
      </c>
      <c r="ADG8" s="11">
        <v>11053295.139999999</v>
      </c>
      <c r="ADH8" s="11">
        <v>8292793.6799999997</v>
      </c>
      <c r="ADI8" s="11">
        <v>680731.56</v>
      </c>
      <c r="ADJ8" s="11">
        <v>322483</v>
      </c>
      <c r="ADK8" s="11">
        <v>1625479.22</v>
      </c>
      <c r="ADL8" s="11">
        <v>685699.5</v>
      </c>
      <c r="ADM8" s="11">
        <v>885571.4</v>
      </c>
      <c r="ADN8" s="11">
        <v>1338894.75</v>
      </c>
      <c r="ADO8" s="11">
        <v>522653.78</v>
      </c>
      <c r="ADP8" s="11">
        <v>36640254.549999997</v>
      </c>
      <c r="ADQ8" s="11">
        <v>1669859.52</v>
      </c>
      <c r="ADR8" s="11">
        <v>878837.58</v>
      </c>
      <c r="ADS8" s="11">
        <v>1195428.6499999999</v>
      </c>
      <c r="ADT8" s="11">
        <v>7031995.6800000006</v>
      </c>
      <c r="ADU8" s="11">
        <v>873536.35</v>
      </c>
      <c r="ADV8" s="11">
        <v>500252</v>
      </c>
      <c r="ADW8" s="11">
        <v>1069144.94</v>
      </c>
      <c r="ADX8" s="11">
        <v>310921.08</v>
      </c>
      <c r="ADY8" s="11">
        <v>0</v>
      </c>
      <c r="ADZ8" s="11">
        <v>43519420.299999997</v>
      </c>
      <c r="AEA8" s="11">
        <v>3538778.44</v>
      </c>
      <c r="AEB8" s="11">
        <v>2723394.81</v>
      </c>
      <c r="AEC8" s="11">
        <v>531704.66</v>
      </c>
      <c r="AED8" s="11">
        <v>741268.20000000007</v>
      </c>
      <c r="AEE8" s="11">
        <v>2597842</v>
      </c>
      <c r="AEF8" s="11">
        <v>325885.15999999997</v>
      </c>
      <c r="AEG8" s="11">
        <v>623426.2699999999</v>
      </c>
      <c r="AEH8" s="11">
        <v>1410621.2</v>
      </c>
      <c r="AEI8" s="11">
        <v>631798.43000000005</v>
      </c>
      <c r="AEJ8" s="11">
        <v>1435001.5</v>
      </c>
      <c r="AEK8" s="11">
        <v>4074033.4300000006</v>
      </c>
      <c r="AEL8" s="11">
        <v>1422637.6800000002</v>
      </c>
      <c r="AEM8" s="11">
        <v>3972522.65</v>
      </c>
      <c r="AEN8" s="11">
        <v>980182.62</v>
      </c>
      <c r="AEO8" s="11">
        <v>2123041.1500000004</v>
      </c>
      <c r="AEP8" s="11">
        <v>530318.1</v>
      </c>
      <c r="AEQ8" s="11">
        <v>2281764.87</v>
      </c>
      <c r="AER8" s="11">
        <v>177872.35</v>
      </c>
      <c r="AES8" s="11">
        <v>2865040.1900000004</v>
      </c>
      <c r="AET8" s="11">
        <v>35759587.170000002</v>
      </c>
      <c r="AEU8" s="11">
        <v>2705909.4</v>
      </c>
      <c r="AEV8" s="11">
        <v>2149862.5099999998</v>
      </c>
      <c r="AEW8" s="11">
        <v>1637987.6400000001</v>
      </c>
      <c r="AEX8" s="11">
        <v>1092404.93</v>
      </c>
      <c r="AEY8" s="11">
        <v>3478886.27</v>
      </c>
      <c r="AEZ8" s="11">
        <v>933515.91</v>
      </c>
      <c r="AFA8" s="11">
        <v>1157513.9099999999</v>
      </c>
      <c r="AFB8" s="11">
        <v>733354.89</v>
      </c>
      <c r="AFC8" s="11">
        <v>263520.41000000003</v>
      </c>
      <c r="AFD8" s="11">
        <v>19960257.610000003</v>
      </c>
      <c r="AFE8" s="11">
        <v>10334253.93</v>
      </c>
      <c r="AFF8" s="11">
        <v>2625408.8100000005</v>
      </c>
      <c r="AFG8" s="11">
        <v>1089788.1599999999</v>
      </c>
      <c r="AFH8" s="11">
        <v>3624718.0399999996</v>
      </c>
      <c r="AFI8" s="11">
        <v>3120752.0299999993</v>
      </c>
      <c r="AFJ8" s="11">
        <v>834034.66</v>
      </c>
      <c r="AFK8" s="11">
        <v>1018347.4099999999</v>
      </c>
      <c r="AFL8" s="11">
        <v>1505351.11</v>
      </c>
      <c r="AFM8" s="11">
        <v>2126084.9000000004</v>
      </c>
      <c r="AFN8" s="11">
        <v>762691</v>
      </c>
      <c r="AFO8" s="11">
        <v>1317258.1100000001</v>
      </c>
      <c r="AFP8" s="11">
        <v>878785.51000000013</v>
      </c>
      <c r="AFQ8" s="11">
        <v>21109106.800000001</v>
      </c>
      <c r="AFR8" s="11">
        <v>4076850.12</v>
      </c>
      <c r="AFS8" s="11">
        <v>1245908.33</v>
      </c>
      <c r="AFT8" s="11">
        <v>1105927.7499999998</v>
      </c>
      <c r="AFU8" s="11">
        <v>1870472.34</v>
      </c>
      <c r="AFV8" s="11">
        <v>654753.06000000006</v>
      </c>
      <c r="AFW8" s="11">
        <v>175981.07</v>
      </c>
      <c r="AFX8" s="11">
        <v>3159743.61</v>
      </c>
      <c r="AFY8" s="11">
        <v>2404543.6300000004</v>
      </c>
      <c r="AFZ8" s="11">
        <v>244934.72</v>
      </c>
      <c r="AGA8" s="11">
        <v>3859411.9399999995</v>
      </c>
      <c r="AGB8" s="11">
        <v>792869.02</v>
      </c>
      <c r="AGC8" s="11">
        <v>37788624.369999997</v>
      </c>
      <c r="AGD8" s="11">
        <v>1542604.16</v>
      </c>
      <c r="AGE8" s="11">
        <v>2621116.7400000002</v>
      </c>
      <c r="AGF8" s="11">
        <v>2838486</v>
      </c>
      <c r="AGG8" s="11">
        <v>11968494.949999999</v>
      </c>
      <c r="AGH8" s="11">
        <v>3214495.45</v>
      </c>
      <c r="AGI8" s="11">
        <v>2267107.77</v>
      </c>
      <c r="AGJ8" s="11">
        <v>1113037.67</v>
      </c>
      <c r="AGK8" s="11">
        <v>1589014.7799999998</v>
      </c>
      <c r="AGL8" s="11">
        <v>1121419.58</v>
      </c>
      <c r="AGM8" s="11">
        <v>1632197.27</v>
      </c>
      <c r="AGN8" s="11">
        <v>25143276.809999999</v>
      </c>
      <c r="AGO8" s="11">
        <v>3116962.81</v>
      </c>
      <c r="AGP8" s="11">
        <v>2259046.83</v>
      </c>
      <c r="AGQ8" s="11">
        <v>678608.24</v>
      </c>
      <c r="AGR8" s="11">
        <v>2904925.56</v>
      </c>
      <c r="AGS8" s="11">
        <v>1496533.7799999998</v>
      </c>
      <c r="AGT8" s="11">
        <v>278521.69</v>
      </c>
      <c r="AGU8" s="11">
        <v>771697.12</v>
      </c>
      <c r="AGV8" s="11">
        <v>39239300.690000005</v>
      </c>
      <c r="AGW8" s="11">
        <v>28983190.020000003</v>
      </c>
      <c r="AGX8" s="11">
        <v>1579787.71</v>
      </c>
      <c r="AGY8" s="11">
        <v>2807401.73</v>
      </c>
      <c r="AGZ8" s="11">
        <v>2334679.6</v>
      </c>
      <c r="AHA8" s="11">
        <v>2022850.5599999998</v>
      </c>
      <c r="AHB8" s="11">
        <v>685447</v>
      </c>
      <c r="AHC8" s="11">
        <v>3229751.48</v>
      </c>
      <c r="AHD8" s="11">
        <v>1192510.42</v>
      </c>
      <c r="AHE8" s="11">
        <v>1246391.0999999999</v>
      </c>
      <c r="AHF8" s="11">
        <v>2287237</v>
      </c>
      <c r="AHG8" s="11">
        <v>574355.47</v>
      </c>
      <c r="AHH8" s="11">
        <v>1070028.21</v>
      </c>
      <c r="AHI8" s="11">
        <v>777346.55999999994</v>
      </c>
      <c r="AHJ8" s="11">
        <v>1103439.3400000001</v>
      </c>
      <c r="AHK8" s="11">
        <v>1132087.3999999999</v>
      </c>
      <c r="AHL8" s="11">
        <v>320807.18</v>
      </c>
      <c r="AHM8" s="11">
        <v>20814422.780000001</v>
      </c>
      <c r="AHN8" s="11">
        <v>4332150.1000000006</v>
      </c>
      <c r="AHO8" s="11">
        <v>777139.96</v>
      </c>
      <c r="AHP8" s="11">
        <v>3156748.9699999997</v>
      </c>
      <c r="AHQ8" s="11">
        <v>1118662.8699999999</v>
      </c>
      <c r="AHR8" s="11">
        <v>1337056.1700000002</v>
      </c>
      <c r="AHS8" s="11">
        <v>351227.24</v>
      </c>
      <c r="AHT8" s="11">
        <v>3911374584.2629967</v>
      </c>
      <c r="AHU8" s="11"/>
    </row>
    <row r="9" spans="1:905" x14ac:dyDescent="0.7">
      <c r="B9" s="6" t="s">
        <v>6</v>
      </c>
      <c r="C9" s="6" t="s">
        <v>7</v>
      </c>
      <c r="D9" s="11">
        <v>411585822.77000004</v>
      </c>
      <c r="E9" s="11">
        <v>10178323.609999999</v>
      </c>
      <c r="F9" s="11">
        <v>19668619.109999996</v>
      </c>
      <c r="G9" s="11">
        <v>6018579.79</v>
      </c>
      <c r="H9" s="11">
        <v>28296634.41</v>
      </c>
      <c r="I9" s="11">
        <v>7150255.1299999999</v>
      </c>
      <c r="J9" s="11">
        <v>15809551.479999999</v>
      </c>
      <c r="K9" s="11">
        <v>7171239.8999999994</v>
      </c>
      <c r="L9" s="11">
        <v>12579219.220000001</v>
      </c>
      <c r="M9" s="11">
        <v>5401741.9400000004</v>
      </c>
      <c r="N9" s="11">
        <v>3492192.22</v>
      </c>
      <c r="O9" s="11">
        <v>9668763.2799999993</v>
      </c>
      <c r="P9" s="11">
        <v>3290459.0600000005</v>
      </c>
      <c r="Q9" s="11">
        <v>10370726.1</v>
      </c>
      <c r="R9" s="11">
        <v>6005191.6399999997</v>
      </c>
      <c r="S9" s="11">
        <v>20850260.75</v>
      </c>
      <c r="T9" s="11">
        <v>18567326.59</v>
      </c>
      <c r="U9" s="11">
        <v>2348994.9</v>
      </c>
      <c r="V9" s="11">
        <v>331976405.44</v>
      </c>
      <c r="W9" s="11">
        <v>49374114.720000006</v>
      </c>
      <c r="X9" s="11">
        <v>4658669.3599999994</v>
      </c>
      <c r="Y9" s="11">
        <v>8431078.959999999</v>
      </c>
      <c r="Z9" s="11">
        <v>8479256.4000000004</v>
      </c>
      <c r="AA9" s="11">
        <v>4098538.4300000006</v>
      </c>
      <c r="AB9" s="11">
        <v>1551900.17</v>
      </c>
      <c r="AC9" s="11">
        <v>40435785.290000007</v>
      </c>
      <c r="AD9" s="11">
        <v>7653890.3700000001</v>
      </c>
      <c r="AE9" s="11">
        <v>8010641.0899999999</v>
      </c>
      <c r="AF9" s="11">
        <v>47878919.100000001</v>
      </c>
      <c r="AG9" s="11">
        <v>8354367.7700000005</v>
      </c>
      <c r="AH9" s="11">
        <v>30487199.180000007</v>
      </c>
      <c r="AI9" s="11">
        <v>9200744.5300000012</v>
      </c>
      <c r="AJ9" s="11">
        <v>2993344.3</v>
      </c>
      <c r="AK9" s="11">
        <v>1879713.5899999999</v>
      </c>
      <c r="AL9" s="11">
        <v>3184453.34</v>
      </c>
      <c r="AM9" s="11">
        <v>5522173.1400000006</v>
      </c>
      <c r="AN9" s="11">
        <v>1794092.22</v>
      </c>
      <c r="AO9" s="11">
        <v>2378340.9699999997</v>
      </c>
      <c r="AP9" s="11">
        <v>2410498.2999999998</v>
      </c>
      <c r="AQ9" s="11">
        <v>3455297.9</v>
      </c>
      <c r="AR9" s="11">
        <v>1180530.06</v>
      </c>
      <c r="AS9" s="11">
        <v>687609.74</v>
      </c>
      <c r="AT9" s="11">
        <v>252717458.41999999</v>
      </c>
      <c r="AU9" s="11">
        <v>1985082.31</v>
      </c>
      <c r="AV9" s="11">
        <v>2658830.1999999997</v>
      </c>
      <c r="AW9" s="11">
        <v>7733678.5199999996</v>
      </c>
      <c r="AX9" s="11">
        <v>13473514.66</v>
      </c>
      <c r="AY9" s="11">
        <v>21795926.27</v>
      </c>
      <c r="AZ9" s="11">
        <v>5835111.3900000006</v>
      </c>
      <c r="BA9" s="11">
        <v>11075436.879999999</v>
      </c>
      <c r="BB9" s="11">
        <v>2546195.1999999997</v>
      </c>
      <c r="BC9" s="11">
        <v>2618815.2999999998</v>
      </c>
      <c r="BD9" s="11">
        <v>1020097.75</v>
      </c>
      <c r="BE9" s="11">
        <v>924416.64</v>
      </c>
      <c r="BF9" s="11">
        <v>46691768.460000001</v>
      </c>
      <c r="BG9" s="11">
        <v>477594.61000000004</v>
      </c>
      <c r="BH9" s="11">
        <v>4843900.75</v>
      </c>
      <c r="BI9" s="11">
        <v>143521498.45000002</v>
      </c>
      <c r="BJ9" s="11">
        <v>103727042.73999999</v>
      </c>
      <c r="BK9" s="11">
        <v>7849388.5899999999</v>
      </c>
      <c r="BL9" s="11">
        <v>11254226.26</v>
      </c>
      <c r="BM9" s="11">
        <v>8772071.3099999987</v>
      </c>
      <c r="BN9" s="11">
        <v>5818961.830000001</v>
      </c>
      <c r="BO9" s="11">
        <v>7889000.1900000004</v>
      </c>
      <c r="BP9" s="11">
        <v>5981831.8399999999</v>
      </c>
      <c r="BQ9" s="11">
        <v>816306.85</v>
      </c>
      <c r="BR9" s="11">
        <v>196088325.07000002</v>
      </c>
      <c r="BS9" s="11">
        <v>21223146.740000002</v>
      </c>
      <c r="BT9" s="11">
        <v>7318226.21</v>
      </c>
      <c r="BU9" s="11">
        <v>20455414.150000002</v>
      </c>
      <c r="BV9" s="11">
        <v>12908024.079999998</v>
      </c>
      <c r="BW9" s="11">
        <v>5170108.8499999996</v>
      </c>
      <c r="BX9" s="11">
        <v>5233262.8800000008</v>
      </c>
      <c r="BY9" s="11">
        <v>7135842.71</v>
      </c>
      <c r="BZ9" s="11">
        <v>57227752.620000005</v>
      </c>
      <c r="CA9" s="11">
        <v>5700677.6399999997</v>
      </c>
      <c r="CB9" s="11">
        <v>7953792.7399999993</v>
      </c>
      <c r="CC9" s="11">
        <v>28205664.399999999</v>
      </c>
      <c r="CD9" s="11">
        <v>3331667.85</v>
      </c>
      <c r="CE9" s="11">
        <v>3943327</v>
      </c>
      <c r="CF9" s="11">
        <v>2312804.06</v>
      </c>
      <c r="CG9" s="11">
        <v>476949540.56999999</v>
      </c>
      <c r="CH9" s="11">
        <v>3416875.37</v>
      </c>
      <c r="CI9" s="11">
        <v>31435253.380000003</v>
      </c>
      <c r="CJ9" s="11">
        <v>3609404.7800000003</v>
      </c>
      <c r="CK9" s="11">
        <v>6021847.5299999993</v>
      </c>
      <c r="CL9" s="11">
        <v>6335361.4900000002</v>
      </c>
      <c r="CM9" s="11">
        <v>5974423.6899999995</v>
      </c>
      <c r="CN9" s="11">
        <v>12474026.93</v>
      </c>
      <c r="CO9" s="11">
        <v>1767695.85</v>
      </c>
      <c r="CP9" s="11">
        <v>5004313.1399999997</v>
      </c>
      <c r="CQ9" s="11">
        <v>3550081.26</v>
      </c>
      <c r="CR9" s="11">
        <v>5756449.0200000005</v>
      </c>
      <c r="CS9" s="11">
        <v>3418631.97</v>
      </c>
      <c r="CT9" s="11">
        <v>169925448.93000001</v>
      </c>
      <c r="CU9" s="11">
        <v>3295578.65</v>
      </c>
      <c r="CV9" s="11">
        <v>5375660.4800000004</v>
      </c>
      <c r="CW9" s="11">
        <v>11392898.690000001</v>
      </c>
      <c r="CX9" s="11">
        <v>1837619.11</v>
      </c>
      <c r="CY9" s="11">
        <v>16258290.229999999</v>
      </c>
      <c r="CZ9" s="11">
        <v>3612188.88</v>
      </c>
      <c r="DA9" s="11">
        <v>1949372.35</v>
      </c>
      <c r="DB9" s="11">
        <v>129480405.32000001</v>
      </c>
      <c r="DC9" s="11">
        <v>108348061.73</v>
      </c>
      <c r="DD9" s="11">
        <v>13143669.459999999</v>
      </c>
      <c r="DE9" s="11">
        <v>3762102.26</v>
      </c>
      <c r="DF9" s="11">
        <v>16106048.49</v>
      </c>
      <c r="DG9" s="11">
        <v>14939958.229999999</v>
      </c>
      <c r="DH9" s="11">
        <v>11824359.680000002</v>
      </c>
      <c r="DI9" s="11">
        <v>8412865.2400000002</v>
      </c>
      <c r="DJ9" s="11">
        <v>3820862.9799999995</v>
      </c>
      <c r="DK9" s="11">
        <v>444558133.36000001</v>
      </c>
      <c r="DL9" s="11">
        <v>9778927.7599999998</v>
      </c>
      <c r="DM9" s="11">
        <v>8496636.3599999994</v>
      </c>
      <c r="DN9" s="11">
        <v>26067445.48</v>
      </c>
      <c r="DO9" s="11">
        <v>15676416.68</v>
      </c>
      <c r="DP9" s="11">
        <v>14967573.130000001</v>
      </c>
      <c r="DQ9" s="11">
        <v>18670880.200000003</v>
      </c>
      <c r="DR9" s="11">
        <v>4885799.95</v>
      </c>
      <c r="DS9" s="11">
        <v>29985486.18</v>
      </c>
      <c r="DT9" s="11">
        <v>143124544.13</v>
      </c>
      <c r="DU9" s="11">
        <v>8888527.0800000001</v>
      </c>
      <c r="DV9" s="11">
        <v>51579589.349999994</v>
      </c>
      <c r="DW9" s="11">
        <v>42961039.549999997</v>
      </c>
      <c r="DX9" s="11">
        <v>7952622.7799999993</v>
      </c>
      <c r="DY9" s="11">
        <v>20241649.579999998</v>
      </c>
      <c r="DZ9" s="11">
        <v>8622757.4099999983</v>
      </c>
      <c r="EA9" s="11">
        <v>2394735.34</v>
      </c>
      <c r="EB9" s="11">
        <v>5306603.92</v>
      </c>
      <c r="EC9" s="11">
        <v>4270263.7700000005</v>
      </c>
      <c r="ED9" s="11">
        <v>36469742.630000003</v>
      </c>
      <c r="EE9" s="11">
        <v>91770034.239999995</v>
      </c>
      <c r="EF9" s="11">
        <v>73710889.310000002</v>
      </c>
      <c r="EG9" s="11">
        <v>6623982.7199999997</v>
      </c>
      <c r="EH9" s="11">
        <v>4600925.25</v>
      </c>
      <c r="EI9" s="11">
        <v>7358199.5599999996</v>
      </c>
      <c r="EJ9" s="11">
        <v>11372986.960000001</v>
      </c>
      <c r="EK9" s="11">
        <v>23943534</v>
      </c>
      <c r="EL9" s="11">
        <v>4472256.09</v>
      </c>
      <c r="EM9" s="11">
        <v>8060740.3999999994</v>
      </c>
      <c r="EN9" s="11">
        <v>278478309.50999999</v>
      </c>
      <c r="EO9" s="11">
        <v>9991017.5899999999</v>
      </c>
      <c r="EP9" s="11">
        <v>5110219.58</v>
      </c>
      <c r="EQ9" s="11">
        <v>14784481.379999999</v>
      </c>
      <c r="ER9" s="11">
        <v>7953895.6299999999</v>
      </c>
      <c r="ES9" s="11">
        <v>7445466.5200000005</v>
      </c>
      <c r="ET9" s="11">
        <v>8933526.2899999991</v>
      </c>
      <c r="EU9" s="11">
        <v>22051009.220000003</v>
      </c>
      <c r="EV9" s="11">
        <v>5016519.4800000004</v>
      </c>
      <c r="EW9" s="11">
        <v>105265967.88999999</v>
      </c>
      <c r="EX9" s="11">
        <v>2580116.64</v>
      </c>
      <c r="EY9" s="11">
        <v>3238550.85</v>
      </c>
      <c r="EZ9" s="11">
        <v>7099853.5200000005</v>
      </c>
      <c r="FA9" s="11">
        <v>15390549.01</v>
      </c>
      <c r="FB9" s="11">
        <v>18009405.84</v>
      </c>
      <c r="FC9" s="11">
        <v>8688071.7999999989</v>
      </c>
      <c r="FD9" s="11">
        <v>7058863.5699999994</v>
      </c>
      <c r="FE9" s="11">
        <v>3802583.1</v>
      </c>
      <c r="FF9" s="11">
        <v>2412844.4699999997</v>
      </c>
      <c r="FG9" s="11">
        <v>3465510.16</v>
      </c>
      <c r="FH9" s="11">
        <v>1583768.26</v>
      </c>
      <c r="FI9" s="11">
        <v>95474838.429999992</v>
      </c>
      <c r="FJ9" s="11">
        <v>3387463.19</v>
      </c>
      <c r="FK9" s="11">
        <v>4355329.91</v>
      </c>
      <c r="FL9" s="11">
        <v>6992370.0499999998</v>
      </c>
      <c r="FM9" s="11">
        <v>13331017.629999999</v>
      </c>
      <c r="FN9" s="11">
        <v>5499838.3800000008</v>
      </c>
      <c r="FO9" s="11">
        <v>1966686.3599999999</v>
      </c>
      <c r="FP9" s="11">
        <v>763369</v>
      </c>
      <c r="FQ9" s="11">
        <v>341824658.56</v>
      </c>
      <c r="FR9" s="11">
        <v>12617865.74</v>
      </c>
      <c r="FS9" s="11">
        <v>9576933.379999999</v>
      </c>
      <c r="FT9" s="11">
        <v>10386836.4</v>
      </c>
      <c r="FU9" s="11">
        <v>10869090.649999999</v>
      </c>
      <c r="FV9" s="11">
        <v>9682405.0600000005</v>
      </c>
      <c r="FW9" s="11">
        <v>16570136.700000001</v>
      </c>
      <c r="FX9" s="11">
        <v>15861902.570000002</v>
      </c>
      <c r="FY9" s="11">
        <v>8243906.1000000006</v>
      </c>
      <c r="FZ9" s="11">
        <v>8332539.5</v>
      </c>
      <c r="GA9" s="11">
        <v>14242951.460000003</v>
      </c>
      <c r="GB9" s="11">
        <v>4061116.8499999996</v>
      </c>
      <c r="GC9" s="11">
        <v>2328838.9</v>
      </c>
      <c r="GD9" s="11">
        <v>1027519</v>
      </c>
      <c r="GE9" s="11">
        <v>108880638.81</v>
      </c>
      <c r="GF9" s="11">
        <v>7039978.29</v>
      </c>
      <c r="GG9" s="11">
        <v>3908169.5300000003</v>
      </c>
      <c r="GH9" s="11">
        <v>22671775.879999999</v>
      </c>
      <c r="GI9" s="11">
        <v>7410886.2599999988</v>
      </c>
      <c r="GJ9" s="11">
        <v>8287167.4299999997</v>
      </c>
      <c r="GK9" s="11">
        <v>6547668.6300000008</v>
      </c>
      <c r="GL9" s="11">
        <v>26108325.93</v>
      </c>
      <c r="GM9" s="11">
        <v>4085015.6700000004</v>
      </c>
      <c r="GN9" s="11">
        <v>2514698.06</v>
      </c>
      <c r="GO9" s="11">
        <v>1376764.25</v>
      </c>
      <c r="GP9" s="11">
        <v>1099691.5</v>
      </c>
      <c r="GQ9" s="11">
        <v>107991317</v>
      </c>
      <c r="GR9" s="11">
        <v>26616565.950000003</v>
      </c>
      <c r="GS9" s="11">
        <v>4860847.08</v>
      </c>
      <c r="GT9" s="11">
        <v>23588840.760000002</v>
      </c>
      <c r="GU9" s="11">
        <v>4002513.12</v>
      </c>
      <c r="GV9" s="11">
        <v>6725234.3000000007</v>
      </c>
      <c r="GW9" s="11">
        <v>8651202.7599999979</v>
      </c>
      <c r="GX9" s="11">
        <v>2970977.51</v>
      </c>
      <c r="GY9" s="11">
        <v>104260290.62</v>
      </c>
      <c r="GZ9" s="11">
        <v>8794353.120000001</v>
      </c>
      <c r="HA9" s="11">
        <v>11416905.52</v>
      </c>
      <c r="HB9" s="11">
        <v>8149979.6499999994</v>
      </c>
      <c r="HC9" s="11">
        <v>282762000.49000001</v>
      </c>
      <c r="HD9" s="11">
        <v>15444870.77</v>
      </c>
      <c r="HE9" s="11">
        <v>13399162.459999999</v>
      </c>
      <c r="HF9" s="11">
        <v>19649990.989999998</v>
      </c>
      <c r="HG9" s="11">
        <v>10529946.629999999</v>
      </c>
      <c r="HH9" s="11">
        <v>40214662.189999998</v>
      </c>
      <c r="HI9" s="11">
        <v>3680280.1399999997</v>
      </c>
      <c r="HJ9" s="11">
        <v>18503500.050000001</v>
      </c>
      <c r="HK9" s="11">
        <v>67349239.710000008</v>
      </c>
      <c r="HL9" s="11">
        <v>6700949.1299999999</v>
      </c>
      <c r="HM9" s="11">
        <v>14757144.939999999</v>
      </c>
      <c r="HN9" s="11">
        <v>4983286.3500000006</v>
      </c>
      <c r="HO9" s="11">
        <v>2880465.2600000002</v>
      </c>
      <c r="HP9" s="11">
        <v>7772907.5499999998</v>
      </c>
      <c r="HQ9" s="11">
        <v>3421433.6</v>
      </c>
      <c r="HR9" s="11">
        <v>1969260.95</v>
      </c>
      <c r="HS9" s="11">
        <v>144946601.52999997</v>
      </c>
      <c r="HT9" s="11">
        <v>31852745.75</v>
      </c>
      <c r="HU9" s="11">
        <v>5921318.8700000001</v>
      </c>
      <c r="HV9" s="11">
        <v>9165157.7199999988</v>
      </c>
      <c r="HW9" s="11">
        <v>4667666.6399999997</v>
      </c>
      <c r="HX9" s="11">
        <v>3359431.2</v>
      </c>
      <c r="HY9" s="11">
        <v>17962105.859999999</v>
      </c>
      <c r="HZ9" s="11">
        <v>5582951.46</v>
      </c>
      <c r="IA9" s="11">
        <v>7678652.3999999994</v>
      </c>
      <c r="IB9" s="11">
        <v>5138229.4400000004</v>
      </c>
      <c r="IC9" s="11">
        <v>5104283.34</v>
      </c>
      <c r="ID9" s="11">
        <v>6667923.5199999996</v>
      </c>
      <c r="IE9" s="11">
        <v>1293980.97</v>
      </c>
      <c r="IF9" s="11">
        <v>6680725.2400000002</v>
      </c>
      <c r="IG9" s="11">
        <v>4949228.97</v>
      </c>
      <c r="IH9" s="11">
        <v>4280576.09</v>
      </c>
      <c r="II9" s="11">
        <v>183892374.78999999</v>
      </c>
      <c r="IJ9" s="11">
        <v>44126369.200000003</v>
      </c>
      <c r="IK9" s="11">
        <v>5334142</v>
      </c>
      <c r="IL9" s="11">
        <v>15724067.609999999</v>
      </c>
      <c r="IM9" s="11">
        <v>22300443.719999999</v>
      </c>
      <c r="IN9" s="11">
        <v>6123937.4199999999</v>
      </c>
      <c r="IO9" s="11">
        <v>3888700.32</v>
      </c>
      <c r="IP9" s="11">
        <v>2824933.5399999996</v>
      </c>
      <c r="IQ9" s="11">
        <v>1815924</v>
      </c>
      <c r="IR9" s="11">
        <v>5289692.21</v>
      </c>
      <c r="IS9" s="11">
        <v>4072220.96</v>
      </c>
      <c r="IT9" s="11">
        <v>266210063.13</v>
      </c>
      <c r="IU9" s="11">
        <v>53203386.32</v>
      </c>
      <c r="IV9" s="11">
        <v>12928500.720000001</v>
      </c>
      <c r="IW9" s="11">
        <v>3038084.7500000009</v>
      </c>
      <c r="IX9" s="11">
        <v>2962179.75</v>
      </c>
      <c r="IY9" s="11">
        <v>3164416</v>
      </c>
      <c r="IZ9" s="11">
        <v>2390885.46</v>
      </c>
      <c r="JA9" s="11">
        <v>2536383</v>
      </c>
      <c r="JB9" s="11">
        <v>7085268.3700000001</v>
      </c>
      <c r="JC9" s="11">
        <v>9585802.5899999999</v>
      </c>
      <c r="JD9" s="11">
        <v>8223793</v>
      </c>
      <c r="JE9" s="11">
        <v>2738846.7</v>
      </c>
      <c r="JF9" s="11">
        <v>108295431.91</v>
      </c>
      <c r="JG9" s="11">
        <v>35144446.18</v>
      </c>
      <c r="JH9" s="11">
        <v>4877926.9800000004</v>
      </c>
      <c r="JI9" s="11">
        <v>2312854.63</v>
      </c>
      <c r="JJ9" s="11">
        <v>4703080.84</v>
      </c>
      <c r="JK9" s="11">
        <v>5436859.5500000007</v>
      </c>
      <c r="JL9" s="11">
        <v>94134782.649999991</v>
      </c>
      <c r="JM9" s="11">
        <v>10102098.84</v>
      </c>
      <c r="JN9" s="11">
        <v>10951191.020000001</v>
      </c>
      <c r="JO9" s="11">
        <v>18809481.580000002</v>
      </c>
      <c r="JP9" s="11">
        <v>6754589.7700000005</v>
      </c>
      <c r="JQ9" s="11">
        <v>24278201.940000001</v>
      </c>
      <c r="JR9" s="11">
        <v>4637738.3099999996</v>
      </c>
      <c r="JS9" s="11">
        <v>259525503.68000001</v>
      </c>
      <c r="JT9" s="11">
        <v>61379822.889999993</v>
      </c>
      <c r="JU9" s="11">
        <v>10068841.9</v>
      </c>
      <c r="JV9" s="11">
        <v>3104966.72</v>
      </c>
      <c r="JW9" s="11">
        <v>8737699.2799999993</v>
      </c>
      <c r="JX9" s="11">
        <v>1895376.83</v>
      </c>
      <c r="JY9" s="11">
        <v>29923705.469999999</v>
      </c>
      <c r="JZ9" s="11">
        <v>10060579.629999999</v>
      </c>
      <c r="KA9" s="11">
        <v>5677945.3499999996</v>
      </c>
      <c r="KB9" s="11">
        <v>14073731.800000001</v>
      </c>
      <c r="KC9" s="11">
        <v>4897561.580000001</v>
      </c>
      <c r="KD9" s="11">
        <v>10121102.610000001</v>
      </c>
      <c r="KE9" s="11">
        <v>1724898.15</v>
      </c>
      <c r="KF9" s="11">
        <v>1025309.5099999999</v>
      </c>
      <c r="KG9" s="11">
        <v>6569560.8900000006</v>
      </c>
      <c r="KH9" s="11">
        <v>2373401.0499999998</v>
      </c>
      <c r="KI9" s="11">
        <v>163583817.03</v>
      </c>
      <c r="KJ9" s="11">
        <v>12437553.26</v>
      </c>
      <c r="KK9" s="11">
        <v>8775839.9800000004</v>
      </c>
      <c r="KL9" s="11">
        <v>17328438.850000001</v>
      </c>
      <c r="KM9" s="11">
        <v>18960009.390000001</v>
      </c>
      <c r="KN9" s="11">
        <v>4058345.57</v>
      </c>
      <c r="KO9" s="11">
        <v>21184972.260000002</v>
      </c>
      <c r="KP9" s="11">
        <v>14371799.34</v>
      </c>
      <c r="KQ9" s="11">
        <v>8284454.5700000003</v>
      </c>
      <c r="KR9" s="11">
        <v>83178936.100000009</v>
      </c>
      <c r="KS9" s="11">
        <v>12222989.26</v>
      </c>
      <c r="KT9" s="11">
        <v>10540850.890000001</v>
      </c>
      <c r="KU9" s="11">
        <v>35625589.769999996</v>
      </c>
      <c r="KV9" s="11">
        <v>7068679.5800000001</v>
      </c>
      <c r="KW9" s="11">
        <v>11562511.649999999</v>
      </c>
      <c r="KX9" s="11">
        <v>107152421.47000001</v>
      </c>
      <c r="KY9" s="11">
        <v>14039573.67</v>
      </c>
      <c r="KZ9" s="11">
        <v>173280574.70000002</v>
      </c>
      <c r="LA9" s="11">
        <v>4135486.97</v>
      </c>
      <c r="LB9" s="11">
        <v>4115828.23</v>
      </c>
      <c r="LC9" s="11">
        <v>29235242.449999999</v>
      </c>
      <c r="LD9" s="11">
        <v>27774021.27</v>
      </c>
      <c r="LE9" s="11">
        <v>10964300.59</v>
      </c>
      <c r="LF9" s="11">
        <v>7416617.0300000003</v>
      </c>
      <c r="LG9" s="11">
        <v>7437222.2699999996</v>
      </c>
      <c r="LH9" s="11">
        <v>505935886.51999998</v>
      </c>
      <c r="LI9" s="11">
        <v>37618906.219999999</v>
      </c>
      <c r="LJ9" s="11">
        <v>81318159.080000013</v>
      </c>
      <c r="LK9" s="11">
        <v>81218272.730000019</v>
      </c>
      <c r="LL9" s="11">
        <v>12278272.02</v>
      </c>
      <c r="LM9" s="11">
        <v>6913566.0999999996</v>
      </c>
      <c r="LN9" s="11">
        <v>3774558.52</v>
      </c>
      <c r="LO9" s="11">
        <v>4799128.4000000004</v>
      </c>
      <c r="LP9" s="11">
        <v>5792039.3199999994</v>
      </c>
      <c r="LQ9" s="11">
        <v>10980520.780000001</v>
      </c>
      <c r="LR9" s="11">
        <v>2145518.86</v>
      </c>
      <c r="LS9" s="11">
        <v>63104635.309999995</v>
      </c>
      <c r="LT9" s="11">
        <v>16827763.539999999</v>
      </c>
      <c r="LU9" s="11">
        <v>4870916.49</v>
      </c>
      <c r="LV9" s="11">
        <v>176633497.56999999</v>
      </c>
      <c r="LW9" s="11">
        <v>57525175.490000002</v>
      </c>
      <c r="LX9" s="11">
        <v>328221845.32000005</v>
      </c>
      <c r="LY9" s="11">
        <v>48127046.959999993</v>
      </c>
      <c r="LZ9" s="11">
        <v>33731714.170000002</v>
      </c>
      <c r="MA9" s="11">
        <v>25097182.379999999</v>
      </c>
      <c r="MB9" s="11">
        <v>30412422.949999999</v>
      </c>
      <c r="MC9" s="11">
        <v>23192454.849999998</v>
      </c>
      <c r="MD9" s="11">
        <v>29127589.619999997</v>
      </c>
      <c r="ME9" s="11">
        <v>53859062.299999997</v>
      </c>
      <c r="MF9" s="11">
        <v>29391996.140000001</v>
      </c>
      <c r="MG9" s="11">
        <v>5035020.5</v>
      </c>
      <c r="MH9" s="11">
        <v>303581072.14999998</v>
      </c>
      <c r="MI9" s="11">
        <v>10875224.4</v>
      </c>
      <c r="MJ9" s="11">
        <v>4835577.08</v>
      </c>
      <c r="MK9" s="11">
        <v>3448855.4699999997</v>
      </c>
      <c r="ML9" s="11">
        <v>4368296.24</v>
      </c>
      <c r="MM9" s="11">
        <v>8487445.3899999987</v>
      </c>
      <c r="MN9" s="11">
        <v>7673876.3599999994</v>
      </c>
      <c r="MO9" s="11">
        <v>8758733.9500000011</v>
      </c>
      <c r="MP9" s="11">
        <v>5601158.5</v>
      </c>
      <c r="MQ9" s="11">
        <v>2791155.61</v>
      </c>
      <c r="MR9" s="11">
        <v>5722540.1399999997</v>
      </c>
      <c r="MS9" s="11">
        <v>5346818.0200000005</v>
      </c>
      <c r="MT9" s="11">
        <v>136499596.31</v>
      </c>
      <c r="MU9" s="11">
        <v>4567215.82</v>
      </c>
      <c r="MV9" s="11">
        <v>12408937.35</v>
      </c>
      <c r="MW9" s="11">
        <v>10303638.41</v>
      </c>
      <c r="MX9" s="11">
        <v>10169236.059999999</v>
      </c>
      <c r="MY9" s="11">
        <v>12364655.5</v>
      </c>
      <c r="MZ9" s="11">
        <v>34142430.729999997</v>
      </c>
      <c r="NA9" s="11">
        <v>14451053.550000001</v>
      </c>
      <c r="NB9" s="11">
        <v>614600.31000000006</v>
      </c>
      <c r="NC9" s="11">
        <v>1125155.1400000001</v>
      </c>
      <c r="ND9" s="11">
        <v>3095153.45</v>
      </c>
      <c r="NE9" s="11">
        <v>295673482.48999995</v>
      </c>
      <c r="NF9" s="11">
        <v>19277407.289999999</v>
      </c>
      <c r="NG9" s="11">
        <v>2560456.6399999997</v>
      </c>
      <c r="NH9" s="11">
        <v>41206211.860000007</v>
      </c>
      <c r="NI9" s="11">
        <v>3776845.42</v>
      </c>
      <c r="NJ9" s="11">
        <v>7074577.5300000003</v>
      </c>
      <c r="NK9" s="11">
        <v>30774787.399999999</v>
      </c>
      <c r="NL9" s="11">
        <v>9945556.9699999988</v>
      </c>
      <c r="NM9" s="11">
        <v>785034.8</v>
      </c>
      <c r="NN9" s="11">
        <v>14163760.539999999</v>
      </c>
      <c r="NO9" s="11">
        <v>5662287.0200000005</v>
      </c>
      <c r="NP9" s="11">
        <v>8233978.8799999999</v>
      </c>
      <c r="NQ9" s="11">
        <v>60402103.979999997</v>
      </c>
      <c r="NR9" s="11">
        <v>4733752.3599999994</v>
      </c>
      <c r="NS9" s="11">
        <v>5049710.4499999993</v>
      </c>
      <c r="NT9" s="11">
        <v>5826205.2199999997</v>
      </c>
      <c r="NU9" s="11">
        <v>7363959.9199999999</v>
      </c>
      <c r="NV9" s="11">
        <v>404457.75</v>
      </c>
      <c r="NW9" s="11">
        <v>1441213.08</v>
      </c>
      <c r="NX9" s="11">
        <v>190618400.90000001</v>
      </c>
      <c r="NY9" s="11">
        <v>22633977.899999999</v>
      </c>
      <c r="NZ9" s="11">
        <v>4853443.83</v>
      </c>
      <c r="OA9" s="11">
        <v>2621046.67</v>
      </c>
      <c r="OB9" s="11">
        <v>4344000.59</v>
      </c>
      <c r="OC9" s="11">
        <v>3570602.69</v>
      </c>
      <c r="OD9" s="11">
        <v>2814775.8799999994</v>
      </c>
      <c r="OE9" s="11">
        <v>166621766.96000001</v>
      </c>
      <c r="OF9" s="11">
        <v>9917462.8200000022</v>
      </c>
      <c r="OG9" s="11">
        <v>3034764.09</v>
      </c>
      <c r="OH9" s="11">
        <v>21651347.350000001</v>
      </c>
      <c r="OI9" s="11">
        <v>8165193.1399999997</v>
      </c>
      <c r="OJ9" s="11">
        <v>5048939.8199999994</v>
      </c>
      <c r="OK9" s="11">
        <v>8853648.5299999993</v>
      </c>
      <c r="OL9" s="11">
        <v>2478593.0499999998</v>
      </c>
      <c r="OM9" s="11">
        <v>744865</v>
      </c>
      <c r="ON9" s="11">
        <v>139538644.95000002</v>
      </c>
      <c r="OO9" s="11">
        <v>17741228.469999999</v>
      </c>
      <c r="OP9" s="11">
        <v>24956082.780000001</v>
      </c>
      <c r="OQ9" s="11">
        <v>6756247.9400000004</v>
      </c>
      <c r="OR9" s="11">
        <v>4586307.9400000004</v>
      </c>
      <c r="OS9" s="11">
        <v>2002234.93</v>
      </c>
      <c r="OT9" s="11">
        <v>96690592.010000005</v>
      </c>
      <c r="OU9" s="11">
        <v>6890870.7800000003</v>
      </c>
      <c r="OV9" s="11">
        <v>4027942.6399999997</v>
      </c>
      <c r="OW9" s="11">
        <v>10148003.380000001</v>
      </c>
      <c r="OX9" s="11">
        <v>16019325.409999998</v>
      </c>
      <c r="OY9" s="11">
        <v>52682994.209999993</v>
      </c>
      <c r="OZ9" s="11">
        <v>4793937.0999999996</v>
      </c>
      <c r="PA9" s="11">
        <v>2578798.6</v>
      </c>
      <c r="PB9" s="11">
        <v>8395306.379999999</v>
      </c>
      <c r="PC9" s="11">
        <v>141296796.82999998</v>
      </c>
      <c r="PD9" s="11">
        <v>5363190.67</v>
      </c>
      <c r="PE9" s="11">
        <v>39607096.140000001</v>
      </c>
      <c r="PF9" s="11">
        <v>3890777.4399999995</v>
      </c>
      <c r="PG9" s="11">
        <v>20259565.469999999</v>
      </c>
      <c r="PH9" s="11">
        <v>21119642.370000001</v>
      </c>
      <c r="PI9" s="11">
        <v>6058016.4100000001</v>
      </c>
      <c r="PJ9" s="11">
        <v>2778580.84</v>
      </c>
      <c r="PK9" s="11">
        <v>14271501.35</v>
      </c>
      <c r="PL9" s="11">
        <v>7387833.2699999996</v>
      </c>
      <c r="PM9" s="11">
        <v>17290710.510000002</v>
      </c>
      <c r="PN9" s="11">
        <v>25461525.879999999</v>
      </c>
      <c r="PO9" s="11">
        <v>5535354.6300000008</v>
      </c>
      <c r="PP9" s="11">
        <v>49267321.75</v>
      </c>
      <c r="PQ9" s="11">
        <v>5332710.18</v>
      </c>
      <c r="PR9" s="11">
        <v>4601591.99</v>
      </c>
      <c r="PS9" s="11">
        <v>819509.65</v>
      </c>
      <c r="PT9" s="11">
        <v>3253214.2800000003</v>
      </c>
      <c r="PU9" s="11">
        <v>335517160.77999997</v>
      </c>
      <c r="PV9" s="11">
        <v>2829275</v>
      </c>
      <c r="PW9" s="11">
        <v>3834463.2199999997</v>
      </c>
      <c r="PX9" s="11">
        <v>8996809.0500000007</v>
      </c>
      <c r="PY9" s="11">
        <v>81671504.109999999</v>
      </c>
      <c r="PZ9" s="11">
        <v>9477101.7599999998</v>
      </c>
      <c r="QA9" s="11">
        <v>19897675.82</v>
      </c>
      <c r="QB9" s="11">
        <v>10415082.1</v>
      </c>
      <c r="QC9" s="11">
        <v>43173843.619999997</v>
      </c>
      <c r="QD9" s="11">
        <v>2760102.4299999997</v>
      </c>
      <c r="QE9" s="11">
        <v>31981017.029999997</v>
      </c>
      <c r="QF9" s="11">
        <v>6285099.3199999994</v>
      </c>
      <c r="QG9" s="11">
        <v>15718897.049999999</v>
      </c>
      <c r="QH9" s="11">
        <v>10110867.67</v>
      </c>
      <c r="QI9" s="11">
        <v>7609197.5800000001</v>
      </c>
      <c r="QJ9" s="11">
        <v>18721331.07</v>
      </c>
      <c r="QK9" s="11">
        <v>9771570.7300000023</v>
      </c>
      <c r="QL9" s="11">
        <v>2546413.9299999997</v>
      </c>
      <c r="QM9" s="11">
        <v>2328746.42</v>
      </c>
      <c r="QN9" s="11">
        <v>29872094.969999999</v>
      </c>
      <c r="QO9" s="11">
        <v>29608410.129999999</v>
      </c>
      <c r="QP9" s="11">
        <v>3929601.5100000002</v>
      </c>
      <c r="QQ9" s="11">
        <v>1027690.75</v>
      </c>
      <c r="QR9" s="11">
        <v>1619748</v>
      </c>
      <c r="QS9" s="11">
        <v>1727030.25</v>
      </c>
      <c r="QT9" s="11">
        <v>0</v>
      </c>
      <c r="QU9" s="11">
        <v>171360732.26000002</v>
      </c>
      <c r="QV9" s="11">
        <v>3017252.13</v>
      </c>
      <c r="QW9" s="11">
        <v>32566640.280000001</v>
      </c>
      <c r="QX9" s="11">
        <v>8677354.089999998</v>
      </c>
      <c r="QY9" s="11">
        <v>6629457.5199999996</v>
      </c>
      <c r="QZ9" s="11">
        <v>24293666.580000002</v>
      </c>
      <c r="RA9" s="11">
        <v>9022913.6500000004</v>
      </c>
      <c r="RB9" s="11">
        <v>16926220.18</v>
      </c>
      <c r="RC9" s="11">
        <v>32401451.580000002</v>
      </c>
      <c r="RD9" s="11">
        <v>6961348.7999999998</v>
      </c>
      <c r="RE9" s="11">
        <v>5967101.4400000004</v>
      </c>
      <c r="RF9" s="11">
        <v>4369365.4700000007</v>
      </c>
      <c r="RG9" s="11">
        <v>1590763.3</v>
      </c>
      <c r="RH9" s="11">
        <v>395769764.48000008</v>
      </c>
      <c r="RI9" s="11">
        <v>37569128.340000004</v>
      </c>
      <c r="RJ9" s="11">
        <v>20728983</v>
      </c>
      <c r="RK9" s="11">
        <v>12858969.690000001</v>
      </c>
      <c r="RL9" s="11">
        <v>13620679.6</v>
      </c>
      <c r="RM9" s="11">
        <v>20874729.760000002</v>
      </c>
      <c r="RN9" s="11">
        <v>29786107.329999998</v>
      </c>
      <c r="RO9" s="11">
        <v>5130807.2299999995</v>
      </c>
      <c r="RP9" s="11">
        <v>13265742.919999998</v>
      </c>
      <c r="RQ9" s="11">
        <v>29554945.150000002</v>
      </c>
      <c r="RR9" s="11">
        <v>40673293.129999995</v>
      </c>
      <c r="RS9" s="11">
        <v>4981483.8900000006</v>
      </c>
      <c r="RT9" s="11">
        <v>3391330.1500000004</v>
      </c>
      <c r="RU9" s="11">
        <v>4421523.55</v>
      </c>
      <c r="RV9" s="11">
        <v>5260444.2700000005</v>
      </c>
      <c r="RW9" s="11">
        <v>10024543.58</v>
      </c>
      <c r="RX9" s="11">
        <v>9101525.5700000003</v>
      </c>
      <c r="RY9" s="11">
        <v>3032710.82</v>
      </c>
      <c r="RZ9" s="11">
        <v>2567209.62</v>
      </c>
      <c r="SA9" s="11">
        <v>3817852.03</v>
      </c>
      <c r="SB9" s="11">
        <v>58747827.899999991</v>
      </c>
      <c r="SC9" s="11">
        <v>6764504.1499999985</v>
      </c>
      <c r="SD9" s="11">
        <v>9494701.3499999996</v>
      </c>
      <c r="SE9" s="11">
        <v>7575166.6899999995</v>
      </c>
      <c r="SF9" s="11">
        <v>3289782.34</v>
      </c>
      <c r="SG9" s="11">
        <v>14868380.58</v>
      </c>
      <c r="SH9" s="11">
        <v>10284263.580000002</v>
      </c>
      <c r="SI9" s="11">
        <v>19518564.250000004</v>
      </c>
      <c r="SJ9" s="11">
        <v>5037842.4700000007</v>
      </c>
      <c r="SK9" s="11">
        <v>7293758.9999999991</v>
      </c>
      <c r="SL9" s="11">
        <v>36254636.609999999</v>
      </c>
      <c r="SM9" s="11">
        <v>3119732.75</v>
      </c>
      <c r="SN9" s="11">
        <v>59856886.670000002</v>
      </c>
      <c r="SO9" s="11">
        <v>7856242.580000001</v>
      </c>
      <c r="SP9" s="11">
        <v>6204733.9700000007</v>
      </c>
      <c r="SQ9" s="11">
        <v>19755391.039999999</v>
      </c>
      <c r="SR9" s="11">
        <v>8104451.1600000001</v>
      </c>
      <c r="SS9" s="11">
        <v>6323878.2899999991</v>
      </c>
      <c r="ST9" s="11">
        <v>7361314.3600000003</v>
      </c>
      <c r="SU9" s="11">
        <v>3174331.31</v>
      </c>
      <c r="SV9" s="11">
        <v>135403151.32999998</v>
      </c>
      <c r="SW9" s="11">
        <v>5333089.93</v>
      </c>
      <c r="SX9" s="11">
        <v>6961045.2999999998</v>
      </c>
      <c r="SY9" s="11">
        <v>4382352.959999999</v>
      </c>
      <c r="SZ9" s="11">
        <v>3513371.53</v>
      </c>
      <c r="TA9" s="11">
        <v>3665459.24</v>
      </c>
      <c r="TB9" s="11">
        <v>8376284.3499999996</v>
      </c>
      <c r="TC9" s="11">
        <v>17987580.370000001</v>
      </c>
      <c r="TD9" s="11">
        <v>3933042.83</v>
      </c>
      <c r="TE9" s="11">
        <v>6255996.46</v>
      </c>
      <c r="TF9" s="11">
        <v>5485796.129999999</v>
      </c>
      <c r="TG9" s="11">
        <v>14275340.210000001</v>
      </c>
      <c r="TH9" s="11">
        <v>4206202.12</v>
      </c>
      <c r="TI9" s="11">
        <v>3617577.72</v>
      </c>
      <c r="TJ9" s="11">
        <v>330939841.55000001</v>
      </c>
      <c r="TK9" s="11">
        <v>6970266.8200000003</v>
      </c>
      <c r="TL9" s="11">
        <v>8533243.8800000008</v>
      </c>
      <c r="TM9" s="11">
        <v>12433708.050000001</v>
      </c>
      <c r="TN9" s="11">
        <v>17309081.199999999</v>
      </c>
      <c r="TO9" s="11">
        <v>12475529.34</v>
      </c>
      <c r="TP9" s="11">
        <v>3024541.56</v>
      </c>
      <c r="TQ9" s="11">
        <v>50930343.770000003</v>
      </c>
      <c r="TR9" s="11">
        <v>6538873.6400000006</v>
      </c>
      <c r="TS9" s="11">
        <v>14151232.749999998</v>
      </c>
      <c r="TT9" s="11">
        <v>17619447.489999998</v>
      </c>
      <c r="TU9" s="11">
        <v>6601505.5000000009</v>
      </c>
      <c r="TV9" s="11">
        <v>6605119.29</v>
      </c>
      <c r="TW9" s="11">
        <v>10359134.799999999</v>
      </c>
      <c r="TX9" s="11">
        <v>5173161.21</v>
      </c>
      <c r="TY9" s="11">
        <v>5224082.32</v>
      </c>
      <c r="TZ9" s="11">
        <v>70854195.040000007</v>
      </c>
      <c r="UA9" s="11">
        <v>3890974.7200000002</v>
      </c>
      <c r="UB9" s="11">
        <v>145014804.75999999</v>
      </c>
      <c r="UC9" s="11">
        <v>22047108.25</v>
      </c>
      <c r="UD9" s="11">
        <v>5387071.5899999999</v>
      </c>
      <c r="UE9" s="11">
        <v>5159903.9300000006</v>
      </c>
      <c r="UF9" s="11">
        <v>66913378.100000001</v>
      </c>
      <c r="UG9" s="11">
        <v>1567574.52</v>
      </c>
      <c r="UH9" s="11">
        <v>1914697.28</v>
      </c>
      <c r="UI9" s="11">
        <v>3018877.1399999997</v>
      </c>
      <c r="UJ9" s="11">
        <v>3257728.8</v>
      </c>
      <c r="UK9" s="11">
        <v>79586978.50999999</v>
      </c>
      <c r="UL9" s="11">
        <v>10708240.41</v>
      </c>
      <c r="UM9" s="11">
        <v>11580351.140000001</v>
      </c>
      <c r="UN9" s="11">
        <v>15666006.719999999</v>
      </c>
      <c r="UO9" s="11">
        <v>4639025.92</v>
      </c>
      <c r="UP9" s="11">
        <v>5147558.3199999994</v>
      </c>
      <c r="UQ9" s="11">
        <v>503191648.97999996</v>
      </c>
      <c r="UR9" s="11">
        <v>5177211.92</v>
      </c>
      <c r="US9" s="11">
        <v>15333454.529999999</v>
      </c>
      <c r="UT9" s="11">
        <v>78081505.25</v>
      </c>
      <c r="UU9" s="11">
        <v>2773217</v>
      </c>
      <c r="UV9" s="11">
        <v>5169226.7</v>
      </c>
      <c r="UW9" s="11">
        <v>25676259.400000002</v>
      </c>
      <c r="UX9" s="11">
        <v>3735162.6199999992</v>
      </c>
      <c r="UY9" s="11">
        <v>3145387.99</v>
      </c>
      <c r="UZ9" s="11">
        <v>7732165.54</v>
      </c>
      <c r="VA9" s="11">
        <v>9264828.5</v>
      </c>
      <c r="VB9" s="11">
        <v>20563433.259999998</v>
      </c>
      <c r="VC9" s="11">
        <v>9449647.4299999997</v>
      </c>
      <c r="VD9" s="11">
        <v>15037648.23</v>
      </c>
      <c r="VE9" s="11">
        <v>3416430.09</v>
      </c>
      <c r="VF9" s="11">
        <v>2982076.19</v>
      </c>
      <c r="VG9" s="11">
        <v>2370980.77</v>
      </c>
      <c r="VH9" s="11">
        <v>3712542.75</v>
      </c>
      <c r="VI9" s="11">
        <v>29307834.450000003</v>
      </c>
      <c r="VJ9" s="11">
        <v>1946046.82</v>
      </c>
      <c r="VK9" s="11">
        <v>2298332.9499999997</v>
      </c>
      <c r="VL9" s="11">
        <v>1607811.57</v>
      </c>
      <c r="VM9" s="11">
        <v>173445754.5</v>
      </c>
      <c r="VN9" s="11">
        <v>6323691.8299999991</v>
      </c>
      <c r="VO9" s="11">
        <v>10448636.08</v>
      </c>
      <c r="VP9" s="11">
        <v>9484319.6999999993</v>
      </c>
      <c r="VQ9" s="11">
        <v>20944980.010000002</v>
      </c>
      <c r="VR9" s="11">
        <v>22837153.34</v>
      </c>
      <c r="VS9" s="11">
        <v>5962185.6600000001</v>
      </c>
      <c r="VT9" s="11">
        <v>4082509.85</v>
      </c>
      <c r="VU9" s="11">
        <v>3961447.5</v>
      </c>
      <c r="VV9" s="11">
        <v>44661317.43</v>
      </c>
      <c r="VW9" s="11">
        <v>5646938.2000000002</v>
      </c>
      <c r="VX9" s="11">
        <v>19448449.75</v>
      </c>
      <c r="VY9" s="11">
        <v>4889782.25</v>
      </c>
      <c r="VZ9" s="11">
        <v>3857645.6399999997</v>
      </c>
      <c r="WA9" s="11">
        <v>3384397.37</v>
      </c>
      <c r="WB9" s="11">
        <v>795282039.91000009</v>
      </c>
      <c r="WC9" s="11">
        <v>15807288.680000002</v>
      </c>
      <c r="WD9" s="11">
        <v>6687513.1400000006</v>
      </c>
      <c r="WE9" s="11">
        <v>3432892.6100000003</v>
      </c>
      <c r="WF9" s="11">
        <v>4249565.01</v>
      </c>
      <c r="WG9" s="11">
        <v>7468503.1200000001</v>
      </c>
      <c r="WH9" s="11">
        <v>9065261.1699999999</v>
      </c>
      <c r="WI9" s="11">
        <v>12091501.84</v>
      </c>
      <c r="WJ9" s="11">
        <v>8197615.4999999991</v>
      </c>
      <c r="WK9" s="11">
        <v>9661071.3899999987</v>
      </c>
      <c r="WL9" s="11">
        <v>7541317.0699999994</v>
      </c>
      <c r="WM9" s="11">
        <v>34003636.689999998</v>
      </c>
      <c r="WN9" s="11">
        <v>7867562.3499999996</v>
      </c>
      <c r="WO9" s="11">
        <v>19193481.539999999</v>
      </c>
      <c r="WP9" s="11">
        <v>26247176.990000002</v>
      </c>
      <c r="WQ9" s="11">
        <v>10303518.699999999</v>
      </c>
      <c r="WR9" s="11">
        <v>10125978.85</v>
      </c>
      <c r="WS9" s="11">
        <v>9225961.040000001</v>
      </c>
      <c r="WT9" s="11">
        <v>5266400.2699999996</v>
      </c>
      <c r="WU9" s="11">
        <v>15495436.209999999</v>
      </c>
      <c r="WV9" s="11">
        <v>43484791.039999999</v>
      </c>
      <c r="WW9" s="11">
        <v>3375411.5199999996</v>
      </c>
      <c r="WX9" s="11">
        <v>2912412.52</v>
      </c>
      <c r="WY9" s="11">
        <v>3443608.95</v>
      </c>
      <c r="WZ9" s="11">
        <v>3039405.45</v>
      </c>
      <c r="XA9" s="11">
        <v>4555427</v>
      </c>
      <c r="XB9" s="11">
        <v>3032801.2100000004</v>
      </c>
      <c r="XC9" s="11">
        <v>2852873.71</v>
      </c>
      <c r="XD9" s="11">
        <v>53483926.390000001</v>
      </c>
      <c r="XE9" s="11">
        <v>3925813.44</v>
      </c>
      <c r="XF9" s="11">
        <v>3110009.6799999997</v>
      </c>
      <c r="XG9" s="11">
        <v>1889398.17</v>
      </c>
      <c r="XH9" s="11">
        <v>2376419.4</v>
      </c>
      <c r="XI9" s="11">
        <v>398380813.94</v>
      </c>
      <c r="XJ9" s="11">
        <v>13862083.060000001</v>
      </c>
      <c r="XK9" s="11">
        <v>11948306.789999999</v>
      </c>
      <c r="XL9" s="11">
        <v>85903463.760000005</v>
      </c>
      <c r="XM9" s="11">
        <v>8457003.2300000004</v>
      </c>
      <c r="XN9" s="11">
        <v>10383680.42</v>
      </c>
      <c r="XO9" s="11">
        <v>35823393.479999997</v>
      </c>
      <c r="XP9" s="11">
        <v>8174641.4900000002</v>
      </c>
      <c r="XQ9" s="11">
        <v>10990408.58</v>
      </c>
      <c r="XR9" s="11">
        <v>30794020.139999997</v>
      </c>
      <c r="XS9" s="11">
        <v>22878848.409999996</v>
      </c>
      <c r="XT9" s="11">
        <v>4134922.01</v>
      </c>
      <c r="XU9" s="11">
        <v>9546042.1700000018</v>
      </c>
      <c r="XV9" s="11">
        <v>7077632.9899999993</v>
      </c>
      <c r="XW9" s="11">
        <v>5262572.6899999995</v>
      </c>
      <c r="XX9" s="11">
        <v>6545420.2599999988</v>
      </c>
      <c r="XY9" s="11">
        <v>5197634.95</v>
      </c>
      <c r="XZ9" s="11">
        <v>4794729.25</v>
      </c>
      <c r="YA9" s="11">
        <v>5403640.3099999996</v>
      </c>
      <c r="YB9" s="11">
        <v>6264860.4900000002</v>
      </c>
      <c r="YC9" s="11">
        <v>8136194.2000000002</v>
      </c>
      <c r="YD9" s="11">
        <v>3839546.12</v>
      </c>
      <c r="YE9" s="11">
        <v>4811626.2299999995</v>
      </c>
      <c r="YF9" s="11">
        <v>393873635.39999998</v>
      </c>
      <c r="YG9" s="11">
        <v>10722567.529999999</v>
      </c>
      <c r="YH9" s="11">
        <v>30127311.120000001</v>
      </c>
      <c r="YI9" s="11">
        <v>5827203.6699999999</v>
      </c>
      <c r="YJ9" s="11">
        <v>48395452.160000004</v>
      </c>
      <c r="YK9" s="11">
        <v>17520463.530000001</v>
      </c>
      <c r="YL9" s="11">
        <v>17641766.059999999</v>
      </c>
      <c r="YM9" s="11">
        <v>6800705.4900000002</v>
      </c>
      <c r="YN9" s="11">
        <v>52691659.759999998</v>
      </c>
      <c r="YO9" s="11">
        <v>26594134.030000001</v>
      </c>
      <c r="YP9" s="11">
        <v>17138939.09</v>
      </c>
      <c r="YQ9" s="11">
        <v>6506082.29</v>
      </c>
      <c r="YR9" s="11">
        <v>4978420.01</v>
      </c>
      <c r="YS9" s="11">
        <v>5766693.7699999996</v>
      </c>
      <c r="YT9" s="11">
        <v>2827885.09</v>
      </c>
      <c r="YU9" s="11">
        <v>2892418.4500000007</v>
      </c>
      <c r="YV9" s="11">
        <v>4096928.62</v>
      </c>
      <c r="YW9" s="11">
        <v>104753684.73</v>
      </c>
      <c r="YX9" s="11">
        <v>12695813.26</v>
      </c>
      <c r="YY9" s="11">
        <v>14123037.42</v>
      </c>
      <c r="YZ9" s="11">
        <v>5629586.7199999997</v>
      </c>
      <c r="ZA9" s="11">
        <v>18169370.600000001</v>
      </c>
      <c r="ZB9" s="11">
        <v>2647659.5</v>
      </c>
      <c r="ZC9" s="11">
        <v>11206126.319999998</v>
      </c>
      <c r="ZD9" s="11">
        <v>108557268.11</v>
      </c>
      <c r="ZE9" s="11">
        <v>6686286.1199999992</v>
      </c>
      <c r="ZF9" s="11">
        <v>11477465.48</v>
      </c>
      <c r="ZG9" s="11">
        <v>11278413.620000001</v>
      </c>
      <c r="ZH9" s="11">
        <v>7004205.7100000009</v>
      </c>
      <c r="ZI9" s="11">
        <v>7054878.4199999999</v>
      </c>
      <c r="ZJ9" s="11">
        <v>7176272.0200000005</v>
      </c>
      <c r="ZK9" s="11">
        <v>4527800.2100000009</v>
      </c>
      <c r="ZL9" s="11">
        <v>23507385.769999996</v>
      </c>
      <c r="ZM9" s="11">
        <v>373762231.65999997</v>
      </c>
      <c r="ZN9" s="11">
        <v>11359955.84</v>
      </c>
      <c r="ZO9" s="11">
        <v>19311681.949999999</v>
      </c>
      <c r="ZP9" s="11">
        <v>57909937.039999999</v>
      </c>
      <c r="ZQ9" s="11">
        <v>20099291.599999998</v>
      </c>
      <c r="ZR9" s="11">
        <v>3319853.93</v>
      </c>
      <c r="ZS9" s="11">
        <v>7422800.3999999994</v>
      </c>
      <c r="ZT9" s="11">
        <v>16548994.279999997</v>
      </c>
      <c r="ZU9" s="11">
        <v>19169525.899999999</v>
      </c>
      <c r="ZV9" s="11">
        <v>20115479.73</v>
      </c>
      <c r="ZW9" s="11">
        <v>3359076.74</v>
      </c>
      <c r="ZX9" s="11">
        <v>4763843.13</v>
      </c>
      <c r="ZY9" s="11">
        <v>3782533.84</v>
      </c>
      <c r="ZZ9" s="11">
        <v>10508096.99</v>
      </c>
      <c r="AAA9" s="11">
        <v>4355326.22</v>
      </c>
      <c r="AAB9" s="11">
        <v>7003454.6500000004</v>
      </c>
      <c r="AAC9" s="11">
        <v>4089975.7600000002</v>
      </c>
      <c r="AAD9" s="11">
        <v>13734939.26</v>
      </c>
      <c r="AAE9" s="11">
        <v>6772825.2999999998</v>
      </c>
      <c r="AAF9" s="11">
        <v>4748732.47</v>
      </c>
      <c r="AAG9" s="11">
        <v>2551757.66</v>
      </c>
      <c r="AAH9" s="11">
        <v>1366822.99</v>
      </c>
      <c r="AAI9" s="11">
        <v>116226393.55</v>
      </c>
      <c r="AAJ9" s="11">
        <v>3383382.72</v>
      </c>
      <c r="AAK9" s="11">
        <v>8675436.2799999993</v>
      </c>
      <c r="AAL9" s="11">
        <v>11569783.060000001</v>
      </c>
      <c r="AAM9" s="11">
        <v>6905048.4100000001</v>
      </c>
      <c r="AAN9" s="11">
        <v>23508263.480000004</v>
      </c>
      <c r="AAO9" s="11">
        <v>7186128.1199999992</v>
      </c>
      <c r="AAP9" s="11">
        <v>626294476.68999994</v>
      </c>
      <c r="AAQ9" s="11">
        <v>8347293.0800000001</v>
      </c>
      <c r="AAR9" s="11">
        <v>3820366.38</v>
      </c>
      <c r="AAS9" s="11">
        <v>45617565.5</v>
      </c>
      <c r="AAT9" s="11">
        <v>20478618.440000001</v>
      </c>
      <c r="AAU9" s="11">
        <v>6946929.9799999995</v>
      </c>
      <c r="AAV9" s="11">
        <v>5186406.3600000003</v>
      </c>
      <c r="AAW9" s="11">
        <v>16166481.489999998</v>
      </c>
      <c r="AAX9" s="11">
        <v>41244154.93</v>
      </c>
      <c r="AAY9" s="11">
        <v>9596702.4399999995</v>
      </c>
      <c r="AAZ9" s="11">
        <v>11032735.67</v>
      </c>
      <c r="ABA9" s="11">
        <v>51814727.120000005</v>
      </c>
      <c r="ABB9" s="11">
        <v>26240978.109999999</v>
      </c>
      <c r="ABC9" s="11">
        <v>2769992.19</v>
      </c>
      <c r="ABD9" s="11">
        <v>7435234.540000001</v>
      </c>
      <c r="ABE9" s="11">
        <v>4607299.37</v>
      </c>
      <c r="ABF9" s="11">
        <v>4130697.0600000005</v>
      </c>
      <c r="ABG9" s="11">
        <v>7306237.0899999999</v>
      </c>
      <c r="ABH9" s="11">
        <v>4067413.94</v>
      </c>
      <c r="ABI9" s="11">
        <v>68897386.379999995</v>
      </c>
      <c r="ABJ9" s="11">
        <v>79127393.219999984</v>
      </c>
      <c r="ABK9" s="11">
        <v>5262481.6300000008</v>
      </c>
      <c r="ABL9" s="11">
        <v>3491366.82</v>
      </c>
      <c r="ABM9" s="11">
        <v>2195160.44</v>
      </c>
      <c r="ABN9" s="11">
        <v>3582531.86</v>
      </c>
      <c r="ABO9" s="11">
        <v>2393511.6</v>
      </c>
      <c r="ABP9" s="11">
        <v>124611937.48</v>
      </c>
      <c r="ABQ9" s="11">
        <v>10837099.26</v>
      </c>
      <c r="ABR9" s="11">
        <v>2907809.5</v>
      </c>
      <c r="ABS9" s="11">
        <v>9699493.3200000003</v>
      </c>
      <c r="ABT9" s="11">
        <v>16597767.460000001</v>
      </c>
      <c r="ABU9" s="11">
        <v>6522611.1699999999</v>
      </c>
      <c r="ABV9" s="11">
        <v>6457104.0500000007</v>
      </c>
      <c r="ABW9" s="11">
        <v>12159961.209999999</v>
      </c>
      <c r="ABX9" s="11">
        <v>395339.5</v>
      </c>
      <c r="ABY9" s="11">
        <v>122998010.40000001</v>
      </c>
      <c r="ABZ9" s="11">
        <v>6002722.1000000006</v>
      </c>
      <c r="ACA9" s="11">
        <v>18682076.579999998</v>
      </c>
      <c r="ACB9" s="11">
        <v>7222570.0600000005</v>
      </c>
      <c r="ACC9" s="11">
        <v>4214471.83</v>
      </c>
      <c r="ACD9" s="11">
        <v>27521239.509999998</v>
      </c>
      <c r="ACE9" s="11">
        <v>10688780.790000001</v>
      </c>
      <c r="ACF9" s="11">
        <v>5982142.1600000001</v>
      </c>
      <c r="ACG9" s="11">
        <v>5392190.7600000007</v>
      </c>
      <c r="ACH9" s="11">
        <v>15783032.709999999</v>
      </c>
      <c r="ACI9" s="11">
        <v>4907746.4399999995</v>
      </c>
      <c r="ACJ9" s="11">
        <v>370453512.50999999</v>
      </c>
      <c r="ACK9" s="11">
        <v>7823989.6299999999</v>
      </c>
      <c r="ACL9" s="11">
        <v>17682361.060000002</v>
      </c>
      <c r="ACM9" s="11">
        <v>14757557.830000002</v>
      </c>
      <c r="ACN9" s="11">
        <v>4048803.76</v>
      </c>
      <c r="ACO9" s="11">
        <v>11359942.280000001</v>
      </c>
      <c r="ACP9" s="11">
        <v>17067487.639999997</v>
      </c>
      <c r="ACQ9" s="11">
        <v>59491685.230000004</v>
      </c>
      <c r="ACR9" s="11">
        <v>90473725.920000002</v>
      </c>
      <c r="ACS9" s="11">
        <v>6187774.6200000001</v>
      </c>
      <c r="ACT9" s="11">
        <v>8940502.8699999992</v>
      </c>
      <c r="ACU9" s="11">
        <v>16461204.299999999</v>
      </c>
      <c r="ACV9" s="11">
        <v>8291681</v>
      </c>
      <c r="ACW9" s="11">
        <v>69385707.339999989</v>
      </c>
      <c r="ACX9" s="11">
        <v>5696872.1600000001</v>
      </c>
      <c r="ACY9" s="11">
        <v>12663545.6</v>
      </c>
      <c r="ACZ9" s="11">
        <v>2584657.2800000003</v>
      </c>
      <c r="ADA9" s="11">
        <v>3394163.46</v>
      </c>
      <c r="ADB9" s="11">
        <v>4096664.19</v>
      </c>
      <c r="ADC9" s="11">
        <v>1546305.31</v>
      </c>
      <c r="ADD9" s="11">
        <v>3002376.16</v>
      </c>
      <c r="ADE9" s="11">
        <v>830955.75</v>
      </c>
      <c r="ADF9" s="11">
        <v>2509970</v>
      </c>
      <c r="ADG9" s="11">
        <v>66473186.019999996</v>
      </c>
      <c r="ADH9" s="11">
        <v>51827697.099999994</v>
      </c>
      <c r="ADI9" s="11">
        <v>3527040.6600000006</v>
      </c>
      <c r="ADJ9" s="11">
        <v>2579668</v>
      </c>
      <c r="ADK9" s="11">
        <v>8083576.21</v>
      </c>
      <c r="ADL9" s="11">
        <v>2318363</v>
      </c>
      <c r="ADM9" s="11">
        <v>4614973.75</v>
      </c>
      <c r="ADN9" s="11">
        <v>8894813.6600000001</v>
      </c>
      <c r="ADO9" s="11">
        <v>4972171.68</v>
      </c>
      <c r="ADP9" s="11">
        <v>240629592.69000003</v>
      </c>
      <c r="ADQ9" s="11">
        <v>8060929.6299999999</v>
      </c>
      <c r="ADR9" s="11">
        <v>9994197.75</v>
      </c>
      <c r="ADS9" s="11">
        <v>2968587.54</v>
      </c>
      <c r="ADT9" s="11">
        <v>53074170.780000001</v>
      </c>
      <c r="ADU9" s="11">
        <v>3569671.1700000004</v>
      </c>
      <c r="ADV9" s="11">
        <v>4970059</v>
      </c>
      <c r="ADW9" s="11">
        <v>5693431.0000000009</v>
      </c>
      <c r="ADX9" s="11">
        <v>2264031.9500000002</v>
      </c>
      <c r="ADY9" s="11">
        <v>1138128.1400000001</v>
      </c>
      <c r="ADZ9" s="11">
        <v>411336687.04000002</v>
      </c>
      <c r="AEA9" s="11">
        <v>42335617.280000009</v>
      </c>
      <c r="AEB9" s="11">
        <v>20948429.640000001</v>
      </c>
      <c r="AEC9" s="11">
        <v>3685819.7199999997</v>
      </c>
      <c r="AED9" s="11">
        <v>5238852.71</v>
      </c>
      <c r="AEE9" s="11">
        <v>31540636.77</v>
      </c>
      <c r="AEF9" s="11">
        <v>3278518.14</v>
      </c>
      <c r="AEG9" s="11">
        <v>4977377.75</v>
      </c>
      <c r="AEH9" s="11">
        <v>8649600.7100000009</v>
      </c>
      <c r="AEI9" s="11">
        <v>5381294.3399999999</v>
      </c>
      <c r="AEJ9" s="11">
        <v>8386365.54</v>
      </c>
      <c r="AEK9" s="11">
        <v>18276747.639999997</v>
      </c>
      <c r="AEL9" s="11">
        <v>7779733.3200000003</v>
      </c>
      <c r="AEM9" s="11">
        <v>17484198.220000003</v>
      </c>
      <c r="AEN9" s="11">
        <v>9836489.0399999991</v>
      </c>
      <c r="AEO9" s="11">
        <v>13143006.85</v>
      </c>
      <c r="AEP9" s="11">
        <v>5320915.6000000006</v>
      </c>
      <c r="AEQ9" s="11">
        <v>26502010.659999996</v>
      </c>
      <c r="AER9" s="11">
        <v>2504948.8699999996</v>
      </c>
      <c r="AES9" s="11">
        <v>22853637.500000004</v>
      </c>
      <c r="AET9" s="11">
        <v>275326103.82999998</v>
      </c>
      <c r="AEU9" s="11">
        <v>21125532.32</v>
      </c>
      <c r="AEV9" s="11">
        <v>17087852.43</v>
      </c>
      <c r="AEW9" s="11">
        <v>11225216.23</v>
      </c>
      <c r="AEX9" s="11">
        <v>5313270.53</v>
      </c>
      <c r="AEY9" s="11">
        <v>21465502.640000001</v>
      </c>
      <c r="AEZ9" s="11">
        <v>6422306.0099999998</v>
      </c>
      <c r="AFA9" s="11">
        <v>10472807.449999999</v>
      </c>
      <c r="AFB9" s="11">
        <v>6435869.9699999997</v>
      </c>
      <c r="AFC9" s="11">
        <v>2597838.4300000002</v>
      </c>
      <c r="AFD9" s="11">
        <v>136599957.78</v>
      </c>
      <c r="AFE9" s="11">
        <v>65365223.970000006</v>
      </c>
      <c r="AFF9" s="11">
        <v>20245499.390000001</v>
      </c>
      <c r="AFG9" s="11">
        <v>10246903.260000002</v>
      </c>
      <c r="AFH9" s="11">
        <v>33450761.819999997</v>
      </c>
      <c r="AFI9" s="11">
        <v>8256433.5499999998</v>
      </c>
      <c r="AFJ9" s="11">
        <v>7415920.459999999</v>
      </c>
      <c r="AFK9" s="11">
        <v>10957952.689999999</v>
      </c>
      <c r="AFL9" s="11">
        <v>10306306.120000001</v>
      </c>
      <c r="AFM9" s="11">
        <v>16689098.639999999</v>
      </c>
      <c r="AFN9" s="11">
        <v>11912571.140000001</v>
      </c>
      <c r="AFO9" s="11">
        <v>14675577.359999999</v>
      </c>
      <c r="AFP9" s="11">
        <v>12831427.25</v>
      </c>
      <c r="AFQ9" s="11">
        <v>171556795.96000001</v>
      </c>
      <c r="AFR9" s="11">
        <v>39826508.819999993</v>
      </c>
      <c r="AFS9" s="11">
        <v>12747576.34</v>
      </c>
      <c r="AFT9" s="11">
        <v>10972907.66</v>
      </c>
      <c r="AFU9" s="11">
        <v>12228155.59</v>
      </c>
      <c r="AFV9" s="11">
        <v>7813469.5599999987</v>
      </c>
      <c r="AFW9" s="11">
        <v>3931172.99</v>
      </c>
      <c r="AFX9" s="11">
        <v>20562268.43</v>
      </c>
      <c r="AFY9" s="11">
        <v>15501618.350000001</v>
      </c>
      <c r="AFZ9" s="11">
        <v>5475595.6800000006</v>
      </c>
      <c r="AGA9" s="11">
        <v>19864380.869999997</v>
      </c>
      <c r="AGB9" s="11">
        <v>8613658.8399999999</v>
      </c>
      <c r="AGC9" s="11">
        <v>279798963.45999998</v>
      </c>
      <c r="AGD9" s="11">
        <v>8849410.2699999996</v>
      </c>
      <c r="AGE9" s="11">
        <v>15195888.260000002</v>
      </c>
      <c r="AGF9" s="11">
        <v>16183611.109999999</v>
      </c>
      <c r="AGG9" s="11">
        <v>69002361.769999996</v>
      </c>
      <c r="AGH9" s="11">
        <v>18022691.879999999</v>
      </c>
      <c r="AGI9" s="11">
        <v>13201987.639999999</v>
      </c>
      <c r="AGJ9" s="11">
        <v>8822618.8300000001</v>
      </c>
      <c r="AGK9" s="11">
        <v>10456070.02</v>
      </c>
      <c r="AGL9" s="11">
        <v>7952586.4799999995</v>
      </c>
      <c r="AGM9" s="11">
        <v>13636125.640000001</v>
      </c>
      <c r="AGN9" s="11">
        <v>269814448.04000002</v>
      </c>
      <c r="AGO9" s="11">
        <v>24974933.379999999</v>
      </c>
      <c r="AGP9" s="11">
        <v>15663828.92</v>
      </c>
      <c r="AGQ9" s="11">
        <v>5803310.46</v>
      </c>
      <c r="AGR9" s="11">
        <v>26273507.939999998</v>
      </c>
      <c r="AGS9" s="11">
        <v>16052299.459999999</v>
      </c>
      <c r="AGT9" s="11">
        <v>3571914.8899999997</v>
      </c>
      <c r="AGU9" s="11">
        <v>6119244.9800000014</v>
      </c>
      <c r="AGV9" s="11">
        <v>304223069.38</v>
      </c>
      <c r="AGW9" s="11">
        <v>260866357.45000002</v>
      </c>
      <c r="AGX9" s="11">
        <v>9617593.6300000027</v>
      </c>
      <c r="AGY9" s="11">
        <v>20076605.989999998</v>
      </c>
      <c r="AGZ9" s="11">
        <v>34883855.480000004</v>
      </c>
      <c r="AHA9" s="11">
        <v>20443679.66</v>
      </c>
      <c r="AHB9" s="11">
        <v>8008458.6099999994</v>
      </c>
      <c r="AHC9" s="11">
        <v>21257312.16</v>
      </c>
      <c r="AHD9" s="11">
        <v>4466050.4399999995</v>
      </c>
      <c r="AHE9" s="11">
        <v>13503878.580000002</v>
      </c>
      <c r="AHF9" s="11">
        <v>12865822.789999999</v>
      </c>
      <c r="AHG9" s="11">
        <v>4592283.7700000005</v>
      </c>
      <c r="AHH9" s="11">
        <v>9420313.120000001</v>
      </c>
      <c r="AHI9" s="11">
        <v>5084272.6500000004</v>
      </c>
      <c r="AHJ9" s="11">
        <v>6929303.4499999993</v>
      </c>
      <c r="AHK9" s="11">
        <v>6970349.7399999993</v>
      </c>
      <c r="AHL9" s="11">
        <v>5067152.74</v>
      </c>
      <c r="AHM9" s="11">
        <v>121181351.5</v>
      </c>
      <c r="AHN9" s="11">
        <v>27897388.859999999</v>
      </c>
      <c r="AHO9" s="11">
        <v>5262947.4000000004</v>
      </c>
      <c r="AHP9" s="11">
        <v>11991752.199999999</v>
      </c>
      <c r="AHQ9" s="11">
        <v>7230687.0999999987</v>
      </c>
      <c r="AHR9" s="11">
        <v>8277396.4399999995</v>
      </c>
      <c r="AHS9" s="11">
        <v>7002288.6400000006</v>
      </c>
      <c r="AHT9" s="11">
        <v>27332243942.16996</v>
      </c>
      <c r="AHU9" s="11"/>
    </row>
    <row r="10" spans="1:905" x14ac:dyDescent="0.7">
      <c r="B10" s="6" t="s">
        <v>8</v>
      </c>
      <c r="C10" s="6" t="s">
        <v>9</v>
      </c>
      <c r="D10" s="11">
        <v>174091931.06999996</v>
      </c>
      <c r="E10" s="11">
        <v>3799857.0100000007</v>
      </c>
      <c r="F10" s="11">
        <v>7094177.6400000006</v>
      </c>
      <c r="G10" s="11">
        <v>2146575.9400000004</v>
      </c>
      <c r="H10" s="11">
        <v>8868263.5699999984</v>
      </c>
      <c r="I10" s="11">
        <v>3037047.25</v>
      </c>
      <c r="J10" s="11">
        <v>18458661.309999999</v>
      </c>
      <c r="K10" s="11">
        <v>1587252.45</v>
      </c>
      <c r="L10" s="11">
        <v>14203903.08</v>
      </c>
      <c r="M10" s="11">
        <v>6652504.3800000008</v>
      </c>
      <c r="N10" s="11">
        <v>4717135.97</v>
      </c>
      <c r="O10" s="11">
        <v>2271627.5100000002</v>
      </c>
      <c r="P10" s="11">
        <v>4937913.58</v>
      </c>
      <c r="Q10" s="11">
        <v>11390034.699999999</v>
      </c>
      <c r="R10" s="11">
        <v>4113311.05</v>
      </c>
      <c r="S10" s="11">
        <v>8587960</v>
      </c>
      <c r="T10" s="11">
        <v>23213412.119999997</v>
      </c>
      <c r="U10" s="11">
        <v>856679.90999999992</v>
      </c>
      <c r="V10" s="11">
        <v>141866990.62</v>
      </c>
      <c r="W10" s="11">
        <v>19374470.390000001</v>
      </c>
      <c r="X10" s="11">
        <v>617022.6</v>
      </c>
      <c r="Y10" s="11">
        <v>5000375.1100000003</v>
      </c>
      <c r="Z10" s="11">
        <v>3999108.8999999994</v>
      </c>
      <c r="AA10" s="11">
        <v>8199700.5299999993</v>
      </c>
      <c r="AB10" s="11">
        <v>457771.74</v>
      </c>
      <c r="AC10" s="11">
        <v>22496837.319999997</v>
      </c>
      <c r="AD10" s="11">
        <v>4144212.2300000004</v>
      </c>
      <c r="AE10" s="11">
        <v>4966596.66</v>
      </c>
      <c r="AF10" s="11">
        <v>36740081.550000004</v>
      </c>
      <c r="AG10" s="11">
        <v>8368344.4099999992</v>
      </c>
      <c r="AH10" s="11">
        <v>26439456.169999994</v>
      </c>
      <c r="AI10" s="11">
        <v>9140839.2299999986</v>
      </c>
      <c r="AJ10" s="11">
        <v>2867984.3</v>
      </c>
      <c r="AK10" s="11">
        <v>1041980.03</v>
      </c>
      <c r="AL10" s="11">
        <v>1328883.67</v>
      </c>
      <c r="AM10" s="11">
        <v>5033917.0999999996</v>
      </c>
      <c r="AN10" s="11">
        <v>1015519.19</v>
      </c>
      <c r="AO10" s="11">
        <v>1745972.77</v>
      </c>
      <c r="AP10" s="11">
        <v>1773274.4699999995</v>
      </c>
      <c r="AQ10" s="11">
        <v>3583742.6</v>
      </c>
      <c r="AR10" s="11">
        <v>2122855.42</v>
      </c>
      <c r="AS10" s="11">
        <v>399899.49000000005</v>
      </c>
      <c r="AT10" s="11">
        <v>43190143.019999981</v>
      </c>
      <c r="AU10" s="11">
        <v>682206.08</v>
      </c>
      <c r="AV10" s="11">
        <v>408296.68999999989</v>
      </c>
      <c r="AW10" s="11">
        <v>846320.89999999991</v>
      </c>
      <c r="AX10" s="11">
        <v>1316479.6400000004</v>
      </c>
      <c r="AY10" s="11">
        <v>8226118.9100000001</v>
      </c>
      <c r="AZ10" s="11">
        <v>1120723.6599999997</v>
      </c>
      <c r="BA10" s="11">
        <v>1500008.7500000002</v>
      </c>
      <c r="BB10" s="11">
        <v>646663.18999999994</v>
      </c>
      <c r="BC10" s="11">
        <v>1536106.21</v>
      </c>
      <c r="BD10" s="11">
        <v>878461.46</v>
      </c>
      <c r="BE10" s="11">
        <v>679648.26</v>
      </c>
      <c r="BF10" s="11">
        <v>10187004.050000003</v>
      </c>
      <c r="BG10" s="11">
        <v>126654.95</v>
      </c>
      <c r="BH10" s="11">
        <v>724226.76</v>
      </c>
      <c r="BI10" s="11">
        <v>50782036.389999993</v>
      </c>
      <c r="BJ10" s="11">
        <v>42837735.740000002</v>
      </c>
      <c r="BK10" s="11">
        <v>2673397.9</v>
      </c>
      <c r="BL10" s="11">
        <v>493134.63000000012</v>
      </c>
      <c r="BM10" s="11">
        <v>3849000.3100000005</v>
      </c>
      <c r="BN10" s="11">
        <v>1157043.4099999999</v>
      </c>
      <c r="BO10" s="11">
        <v>2885597.97</v>
      </c>
      <c r="BP10" s="11">
        <v>3478495.0399999996</v>
      </c>
      <c r="BQ10" s="11">
        <v>135704.90000000002</v>
      </c>
      <c r="BR10" s="11">
        <v>52302876.329999998</v>
      </c>
      <c r="BS10" s="11">
        <v>1290618.6300000004</v>
      </c>
      <c r="BT10" s="11">
        <v>2688516.06</v>
      </c>
      <c r="BU10" s="11">
        <v>5983622.1500000004</v>
      </c>
      <c r="BV10" s="11">
        <v>3499765.3200000003</v>
      </c>
      <c r="BW10" s="11">
        <v>883815.42999999993</v>
      </c>
      <c r="BX10" s="11">
        <v>608115.5</v>
      </c>
      <c r="BY10" s="11">
        <v>1096573.79</v>
      </c>
      <c r="BZ10" s="11">
        <v>2755769.6400000015</v>
      </c>
      <c r="CA10" s="11">
        <v>-440873.89</v>
      </c>
      <c r="CB10" s="11">
        <v>4007226.3000000003</v>
      </c>
      <c r="CC10" s="11">
        <v>9508741.9799999986</v>
      </c>
      <c r="CD10" s="11">
        <v>777073</v>
      </c>
      <c r="CE10" s="11">
        <v>587233.89</v>
      </c>
      <c r="CF10" s="11">
        <v>1218631.19</v>
      </c>
      <c r="CG10" s="11">
        <v>216182059.19</v>
      </c>
      <c r="CH10" s="11">
        <v>5361915.0199999986</v>
      </c>
      <c r="CI10" s="11">
        <v>17215954.800000001</v>
      </c>
      <c r="CJ10" s="11">
        <v>1116099.3500000001</v>
      </c>
      <c r="CK10" s="11">
        <v>2415558.3199999998</v>
      </c>
      <c r="CL10" s="11">
        <v>1193300.68</v>
      </c>
      <c r="CM10" s="11">
        <v>1203454.1800000002</v>
      </c>
      <c r="CN10" s="11">
        <v>4110934.07</v>
      </c>
      <c r="CO10" s="11">
        <v>308009.40999999997</v>
      </c>
      <c r="CP10" s="11">
        <v>5248451.6099999994</v>
      </c>
      <c r="CQ10" s="11">
        <v>4343166.07</v>
      </c>
      <c r="CR10" s="11">
        <v>4128673.09</v>
      </c>
      <c r="CS10" s="11">
        <v>598106.66999999993</v>
      </c>
      <c r="CT10" s="11">
        <v>133685628.21000001</v>
      </c>
      <c r="CU10" s="11">
        <v>5793051.5899999989</v>
      </c>
      <c r="CV10" s="11">
        <v>3140537.49</v>
      </c>
      <c r="CW10" s="11">
        <v>3527720.9799999995</v>
      </c>
      <c r="CX10" s="11">
        <v>668484.94999999995</v>
      </c>
      <c r="CY10" s="11">
        <v>13392283.140000001</v>
      </c>
      <c r="CZ10" s="11">
        <v>2590743.3400000003</v>
      </c>
      <c r="DA10" s="11">
        <v>486779.4</v>
      </c>
      <c r="DB10" s="11">
        <v>29506798.840000004</v>
      </c>
      <c r="DC10" s="11">
        <v>47891211.370000005</v>
      </c>
      <c r="DD10" s="11">
        <v>18611430.889999997</v>
      </c>
      <c r="DE10" s="11">
        <v>1518980.6399999997</v>
      </c>
      <c r="DF10" s="11">
        <v>4554576.1700000009</v>
      </c>
      <c r="DG10" s="11">
        <v>4396048.6999999993</v>
      </c>
      <c r="DH10" s="11">
        <v>16057479.640000001</v>
      </c>
      <c r="DI10" s="11">
        <v>5469127</v>
      </c>
      <c r="DJ10" s="11">
        <v>2283176.59</v>
      </c>
      <c r="DK10" s="11">
        <v>212239667.03999999</v>
      </c>
      <c r="DL10" s="11">
        <v>6037013.0700000003</v>
      </c>
      <c r="DM10" s="11">
        <v>21709354.52</v>
      </c>
      <c r="DN10" s="11">
        <v>6559424.5099999988</v>
      </c>
      <c r="DO10" s="11">
        <v>16605793.85</v>
      </c>
      <c r="DP10" s="11">
        <v>10066107.850000001</v>
      </c>
      <c r="DQ10" s="11">
        <v>25514261.390000001</v>
      </c>
      <c r="DR10" s="11">
        <v>3044808.61</v>
      </c>
      <c r="DS10" s="11">
        <v>13231180.519999998</v>
      </c>
      <c r="DT10" s="11">
        <v>69720068.260000005</v>
      </c>
      <c r="DU10" s="11">
        <v>3784306.5999999996</v>
      </c>
      <c r="DV10" s="11">
        <v>15413931.799999999</v>
      </c>
      <c r="DW10" s="11">
        <v>25498471.600000001</v>
      </c>
      <c r="DX10" s="11">
        <v>5755415.4300000016</v>
      </c>
      <c r="DY10" s="11">
        <v>19546754.850000001</v>
      </c>
      <c r="DZ10" s="11">
        <v>18360934.159999996</v>
      </c>
      <c r="EA10" s="11">
        <v>2479255.04</v>
      </c>
      <c r="EB10" s="11">
        <v>6683397.5999999996</v>
      </c>
      <c r="EC10" s="11">
        <v>2627758.63</v>
      </c>
      <c r="ED10" s="11">
        <v>7878505.7199999988</v>
      </c>
      <c r="EE10" s="11">
        <v>41927391.029999994</v>
      </c>
      <c r="EF10" s="11">
        <v>22867069.710000001</v>
      </c>
      <c r="EG10" s="11">
        <v>4428526.6800000006</v>
      </c>
      <c r="EH10" s="11">
        <v>1616523.2200000002</v>
      </c>
      <c r="EI10" s="11">
        <v>2231589.14</v>
      </c>
      <c r="EJ10" s="11">
        <v>7904556.1599999983</v>
      </c>
      <c r="EK10" s="11">
        <v>15283390.819999997</v>
      </c>
      <c r="EL10" s="11">
        <v>950500.1</v>
      </c>
      <c r="EM10" s="11">
        <v>3927222.3199999994</v>
      </c>
      <c r="EN10" s="11">
        <v>72724491.789999992</v>
      </c>
      <c r="EO10" s="11">
        <v>13592908.369999999</v>
      </c>
      <c r="EP10" s="11">
        <v>5629335.4800000004</v>
      </c>
      <c r="EQ10" s="11">
        <v>3820629.37</v>
      </c>
      <c r="ER10" s="11">
        <v>3037015.73</v>
      </c>
      <c r="ES10" s="11">
        <v>3301347.8999999994</v>
      </c>
      <c r="ET10" s="11">
        <v>8039595.1600000001</v>
      </c>
      <c r="EU10" s="11">
        <v>7817243.330000001</v>
      </c>
      <c r="EV10" s="11">
        <v>7623788.9099999992</v>
      </c>
      <c r="EW10" s="11">
        <v>52650140.830000013</v>
      </c>
      <c r="EX10" s="11">
        <v>928507.27</v>
      </c>
      <c r="EY10" s="11">
        <v>1802150.6700000002</v>
      </c>
      <c r="EZ10" s="11">
        <v>2734472.8299999996</v>
      </c>
      <c r="FA10" s="11">
        <v>5785374.2899999982</v>
      </c>
      <c r="FB10" s="11">
        <v>5256291.6500000004</v>
      </c>
      <c r="FC10" s="11">
        <v>5903414.6800000006</v>
      </c>
      <c r="FD10" s="11">
        <v>4298157.9399999995</v>
      </c>
      <c r="FE10" s="11">
        <v>2631573.62</v>
      </c>
      <c r="FF10" s="11">
        <v>2002795.06</v>
      </c>
      <c r="FG10" s="11">
        <v>2150343.2500000005</v>
      </c>
      <c r="FH10" s="11">
        <v>1659451.71</v>
      </c>
      <c r="FI10" s="11">
        <v>57083088.849999994</v>
      </c>
      <c r="FJ10" s="11">
        <v>1925426.2599999998</v>
      </c>
      <c r="FK10" s="11">
        <v>937501.76999999979</v>
      </c>
      <c r="FL10" s="11">
        <v>2974419.21</v>
      </c>
      <c r="FM10" s="11">
        <v>3494228.6000000006</v>
      </c>
      <c r="FN10" s="11">
        <v>1704106.6900000002</v>
      </c>
      <c r="FO10" s="11">
        <v>584676.37</v>
      </c>
      <c r="FP10" s="11">
        <v>429930.65</v>
      </c>
      <c r="FQ10" s="11">
        <v>283695074.94999993</v>
      </c>
      <c r="FR10" s="11">
        <v>6120800.5799999991</v>
      </c>
      <c r="FS10" s="11">
        <v>1636946.3999999997</v>
      </c>
      <c r="FT10" s="11">
        <v>14715293.720000003</v>
      </c>
      <c r="FU10" s="11">
        <v>20705591.660000004</v>
      </c>
      <c r="FV10" s="11">
        <v>15678725.790000001</v>
      </c>
      <c r="FW10" s="11">
        <v>14884817.930000002</v>
      </c>
      <c r="FX10" s="11">
        <v>4375589.2200000007</v>
      </c>
      <c r="FY10" s="11">
        <v>5272152.9400000013</v>
      </c>
      <c r="FZ10" s="11">
        <v>8079975.5099999998</v>
      </c>
      <c r="GA10" s="11">
        <v>8335801.3099999996</v>
      </c>
      <c r="GB10" s="11">
        <v>5485018.1899999995</v>
      </c>
      <c r="GC10" s="11">
        <v>3846362.7800000003</v>
      </c>
      <c r="GD10" s="11">
        <v>313042.48000000004</v>
      </c>
      <c r="GE10" s="11">
        <v>90239118.549999997</v>
      </c>
      <c r="GF10" s="11">
        <v>4920296.75</v>
      </c>
      <c r="GG10" s="11">
        <v>2105586.2000000002</v>
      </c>
      <c r="GH10" s="11">
        <v>14361756.02</v>
      </c>
      <c r="GI10" s="11">
        <v>8238615.8499999996</v>
      </c>
      <c r="GJ10" s="11">
        <v>1909307.1999999997</v>
      </c>
      <c r="GK10" s="11">
        <v>2880806.71</v>
      </c>
      <c r="GL10" s="11">
        <v>5498176.9100000001</v>
      </c>
      <c r="GM10" s="11">
        <v>6901208.4799999995</v>
      </c>
      <c r="GN10" s="11">
        <v>770811.95000000007</v>
      </c>
      <c r="GO10" s="11">
        <v>4994327.9299999988</v>
      </c>
      <c r="GP10" s="11">
        <v>4947610.4400000004</v>
      </c>
      <c r="GQ10" s="11">
        <v>41605833.479999997</v>
      </c>
      <c r="GR10" s="11">
        <v>7862160.9700000016</v>
      </c>
      <c r="GS10" s="11">
        <v>3552314.5100000002</v>
      </c>
      <c r="GT10" s="11">
        <v>4422476.7999999989</v>
      </c>
      <c r="GU10" s="11">
        <v>1465300.6600000001</v>
      </c>
      <c r="GV10" s="11">
        <v>4404170.3899999997</v>
      </c>
      <c r="GW10" s="11">
        <v>2046993.2300000002</v>
      </c>
      <c r="GX10" s="11">
        <v>2130933.9699999997</v>
      </c>
      <c r="GY10" s="11">
        <v>70963626.670000002</v>
      </c>
      <c r="GZ10" s="11">
        <v>3192847.7199999997</v>
      </c>
      <c r="HA10" s="11">
        <v>2512125.06</v>
      </c>
      <c r="HB10" s="11">
        <v>15353629.200000001</v>
      </c>
      <c r="HC10" s="11">
        <v>247801027.01999998</v>
      </c>
      <c r="HD10" s="11">
        <v>37223352.350000001</v>
      </c>
      <c r="HE10" s="11">
        <v>13857882.240000002</v>
      </c>
      <c r="HF10" s="11">
        <v>41154090.189999998</v>
      </c>
      <c r="HG10" s="11">
        <v>8474787.790000001</v>
      </c>
      <c r="HH10" s="11">
        <v>2215814.33</v>
      </c>
      <c r="HI10" s="11">
        <v>4477497.03</v>
      </c>
      <c r="HJ10" s="11">
        <v>729557</v>
      </c>
      <c r="HK10" s="11">
        <v>126261819.23000002</v>
      </c>
      <c r="HL10" s="11">
        <v>1354066.7199999997</v>
      </c>
      <c r="HM10" s="11">
        <v>17954250.120000001</v>
      </c>
      <c r="HN10" s="11">
        <v>7195884.5999999996</v>
      </c>
      <c r="HO10" s="11">
        <v>11979942.470000001</v>
      </c>
      <c r="HP10" s="11">
        <v>24052622.329999998</v>
      </c>
      <c r="HQ10" s="11">
        <v>3752075.4800000004</v>
      </c>
      <c r="HR10" s="11">
        <v>2343889.0099999998</v>
      </c>
      <c r="HS10" s="11">
        <v>125997571.5</v>
      </c>
      <c r="HT10" s="11">
        <v>61939288.640000001</v>
      </c>
      <c r="HU10" s="11">
        <v>25340822.889999997</v>
      </c>
      <c r="HV10" s="11">
        <v>37764776.649999999</v>
      </c>
      <c r="HW10" s="11">
        <v>6078457.9700000007</v>
      </c>
      <c r="HX10" s="11">
        <v>6332433.5</v>
      </c>
      <c r="HY10" s="11">
        <v>13545741.800000001</v>
      </c>
      <c r="HZ10" s="11">
        <v>3000900.75</v>
      </c>
      <c r="IA10" s="11">
        <v>7787361.3099999996</v>
      </c>
      <c r="IB10" s="11">
        <v>19541697.739999998</v>
      </c>
      <c r="IC10" s="11">
        <v>12118984.33</v>
      </c>
      <c r="ID10" s="11">
        <v>11538886.640000001</v>
      </c>
      <c r="IE10" s="11">
        <v>1813136.2999999998</v>
      </c>
      <c r="IF10" s="11">
        <v>21133683.389999997</v>
      </c>
      <c r="IG10" s="11">
        <v>6745758.4999999991</v>
      </c>
      <c r="IH10" s="11">
        <v>3921839.2900000005</v>
      </c>
      <c r="II10" s="11">
        <v>122635708.21999998</v>
      </c>
      <c r="IJ10" s="11">
        <v>50009715.809999995</v>
      </c>
      <c r="IK10" s="11">
        <v>21724056.719999999</v>
      </c>
      <c r="IL10" s="11">
        <v>12029891.830000002</v>
      </c>
      <c r="IM10" s="11">
        <v>71846271.109999999</v>
      </c>
      <c r="IN10" s="11">
        <v>28451417.930000003</v>
      </c>
      <c r="IO10" s="11">
        <v>10745946.280000001</v>
      </c>
      <c r="IP10" s="11">
        <v>4753994.38</v>
      </c>
      <c r="IQ10" s="11">
        <v>4063778.1399999997</v>
      </c>
      <c r="IR10" s="11">
        <v>19832988.160000004</v>
      </c>
      <c r="IS10" s="11">
        <v>1514305.06</v>
      </c>
      <c r="IT10" s="11">
        <v>230100972.83999997</v>
      </c>
      <c r="IU10" s="11">
        <v>101131047.44</v>
      </c>
      <c r="IV10" s="11">
        <v>75732061.380000025</v>
      </c>
      <c r="IW10" s="11">
        <v>36605747.660000004</v>
      </c>
      <c r="IX10" s="11">
        <v>18047120.25</v>
      </c>
      <c r="IY10" s="11">
        <v>9922796.8100000005</v>
      </c>
      <c r="IZ10" s="11">
        <v>2315816.06</v>
      </c>
      <c r="JA10" s="11">
        <v>3832912.6599999997</v>
      </c>
      <c r="JB10" s="11">
        <v>3503567.1100000003</v>
      </c>
      <c r="JC10" s="11">
        <v>14126123.289999999</v>
      </c>
      <c r="JD10" s="11">
        <v>28160537.890000001</v>
      </c>
      <c r="JE10" s="11">
        <v>5708745.2200000007</v>
      </c>
      <c r="JF10" s="11">
        <v>32681660.960000005</v>
      </c>
      <c r="JG10" s="11">
        <v>23094596.450000003</v>
      </c>
      <c r="JH10" s="11">
        <v>4262533.3100000005</v>
      </c>
      <c r="JI10" s="11">
        <v>1241409.0500000003</v>
      </c>
      <c r="JJ10" s="11">
        <v>4787678.29</v>
      </c>
      <c r="JK10" s="11">
        <v>17651254.75</v>
      </c>
      <c r="JL10" s="11">
        <v>82540956.569999993</v>
      </c>
      <c r="JM10" s="11">
        <v>47492091.259999998</v>
      </c>
      <c r="JN10" s="11">
        <v>22312255.609999999</v>
      </c>
      <c r="JO10" s="11">
        <v>28451243.039999992</v>
      </c>
      <c r="JP10" s="11">
        <v>5800324.4800000004</v>
      </c>
      <c r="JQ10" s="11">
        <v>27393219.039999999</v>
      </c>
      <c r="JR10" s="11">
        <v>5012058.75</v>
      </c>
      <c r="JS10" s="11">
        <v>181169518.53999999</v>
      </c>
      <c r="JT10" s="11">
        <v>121450684.84999999</v>
      </c>
      <c r="JU10" s="11">
        <v>7492895.6799999997</v>
      </c>
      <c r="JV10" s="11">
        <v>1287580.8</v>
      </c>
      <c r="JW10" s="11">
        <v>8697477.290000001</v>
      </c>
      <c r="JX10" s="11">
        <v>824405.35000000009</v>
      </c>
      <c r="JY10" s="11">
        <v>11416855.26</v>
      </c>
      <c r="JZ10" s="11">
        <v>5999233.2300000014</v>
      </c>
      <c r="KA10" s="11">
        <v>6204227.8499999996</v>
      </c>
      <c r="KB10" s="11">
        <v>10999222.299999999</v>
      </c>
      <c r="KC10" s="11">
        <v>3307064.3099999996</v>
      </c>
      <c r="KD10" s="11">
        <v>9409584.4000000004</v>
      </c>
      <c r="KE10" s="11">
        <v>1233011.53</v>
      </c>
      <c r="KF10" s="11">
        <v>433465.34</v>
      </c>
      <c r="KG10" s="11">
        <v>4651431.4400000004</v>
      </c>
      <c r="KH10" s="11">
        <v>1094090.95</v>
      </c>
      <c r="KI10" s="11">
        <v>228144455.61999997</v>
      </c>
      <c r="KJ10" s="11">
        <v>28184284.710000005</v>
      </c>
      <c r="KK10" s="11">
        <v>16922846.450000003</v>
      </c>
      <c r="KL10" s="11">
        <v>29320637.919999998</v>
      </c>
      <c r="KM10" s="11">
        <v>26458648.870000001</v>
      </c>
      <c r="KN10" s="11">
        <v>11492164.16</v>
      </c>
      <c r="KO10" s="11">
        <v>10139956.109999999</v>
      </c>
      <c r="KP10" s="11">
        <v>25938340.220000003</v>
      </c>
      <c r="KQ10" s="11">
        <v>10757545.52</v>
      </c>
      <c r="KR10" s="11">
        <v>57680266.910000004</v>
      </c>
      <c r="KS10" s="11">
        <v>14970492.720000001</v>
      </c>
      <c r="KT10" s="11">
        <v>5038443.8499999987</v>
      </c>
      <c r="KU10" s="11">
        <v>54676410.159999996</v>
      </c>
      <c r="KV10" s="11">
        <v>3853297.0100000002</v>
      </c>
      <c r="KW10" s="11">
        <v>37931913.010000005</v>
      </c>
      <c r="KX10" s="11">
        <v>213937989.72</v>
      </c>
      <c r="KY10" s="11">
        <v>38431733.029999994</v>
      </c>
      <c r="KZ10" s="11">
        <v>111018493.76000002</v>
      </c>
      <c r="LA10" s="11">
        <v>23342509.960000001</v>
      </c>
      <c r="LB10" s="11">
        <v>24629473.390000001</v>
      </c>
      <c r="LC10" s="11">
        <v>43854451.850000001</v>
      </c>
      <c r="LD10" s="11">
        <v>38064676.310000002</v>
      </c>
      <c r="LE10" s="11">
        <v>25256351.139999997</v>
      </c>
      <c r="LF10" s="11">
        <v>16563462.98</v>
      </c>
      <c r="LG10" s="11">
        <v>23327058.25</v>
      </c>
      <c r="LH10" s="11">
        <v>285171999.31999999</v>
      </c>
      <c r="LI10" s="11">
        <v>18359189.489999998</v>
      </c>
      <c r="LJ10" s="11">
        <v>149459870.95000005</v>
      </c>
      <c r="LK10" s="11">
        <v>141497208.54999998</v>
      </c>
      <c r="LL10" s="11">
        <v>14000667.460000001</v>
      </c>
      <c r="LM10" s="11">
        <v>7065948.2000000002</v>
      </c>
      <c r="LN10" s="11">
        <v>22298621.669999994</v>
      </c>
      <c r="LO10" s="11">
        <v>19294904.669999998</v>
      </c>
      <c r="LP10" s="11">
        <v>2108733</v>
      </c>
      <c r="LQ10" s="11">
        <v>13633790.9</v>
      </c>
      <c r="LR10" s="11">
        <v>3636148.91</v>
      </c>
      <c r="LS10" s="11">
        <v>52918772.38000001</v>
      </c>
      <c r="LT10" s="11">
        <v>15441835.41</v>
      </c>
      <c r="LU10" s="11">
        <v>4451472.41</v>
      </c>
      <c r="LV10" s="11">
        <v>478222242.21999991</v>
      </c>
      <c r="LW10" s="11">
        <v>104386068.72</v>
      </c>
      <c r="LX10" s="11">
        <v>148616502.23000002</v>
      </c>
      <c r="LY10" s="11">
        <v>46140104.390000001</v>
      </c>
      <c r="LZ10" s="11">
        <v>10023840.430000002</v>
      </c>
      <c r="MA10" s="11">
        <v>25395041.399999999</v>
      </c>
      <c r="MB10" s="11">
        <v>9642214.7300000023</v>
      </c>
      <c r="MC10" s="11">
        <v>25194308.02</v>
      </c>
      <c r="MD10" s="11">
        <v>7167453.9700000007</v>
      </c>
      <c r="ME10" s="11">
        <v>10915840.249999996</v>
      </c>
      <c r="MF10" s="11">
        <v>43170205.219999991</v>
      </c>
      <c r="MG10" s="11">
        <v>9007547.2100000009</v>
      </c>
      <c r="MH10" s="11">
        <v>155410717.72000003</v>
      </c>
      <c r="MI10" s="11">
        <v>3619393.3</v>
      </c>
      <c r="MJ10" s="11">
        <v>549881.07000000018</v>
      </c>
      <c r="MK10" s="11">
        <v>2334918.5999999996</v>
      </c>
      <c r="ML10" s="11">
        <v>1375483.1099999996</v>
      </c>
      <c r="MM10" s="11">
        <v>3883017.24</v>
      </c>
      <c r="MN10" s="11">
        <v>1300960.4200000006</v>
      </c>
      <c r="MO10" s="11">
        <v>4600001.2300000004</v>
      </c>
      <c r="MP10" s="11">
        <v>3192465.52</v>
      </c>
      <c r="MQ10" s="11">
        <v>2065151.5299999996</v>
      </c>
      <c r="MR10" s="11">
        <v>4103647.72</v>
      </c>
      <c r="MS10" s="11">
        <v>1006642.3900000005</v>
      </c>
      <c r="MT10" s="11">
        <v>110039364.60999998</v>
      </c>
      <c r="MU10" s="11">
        <v>8476531.5099999998</v>
      </c>
      <c r="MV10" s="11">
        <v>26010899.579999998</v>
      </c>
      <c r="MW10" s="11">
        <v>51646759.399999999</v>
      </c>
      <c r="MX10" s="11">
        <v>9821225.6300000027</v>
      </c>
      <c r="MY10" s="11">
        <v>34499238.350000001</v>
      </c>
      <c r="MZ10" s="11">
        <v>78677992.530000001</v>
      </c>
      <c r="NA10" s="11">
        <v>29604349.75</v>
      </c>
      <c r="NB10" s="11">
        <v>5362305.3999999994</v>
      </c>
      <c r="NC10" s="11">
        <v>844238.15000000014</v>
      </c>
      <c r="ND10" s="11">
        <v>1854189.8299999996</v>
      </c>
      <c r="NE10" s="11">
        <v>257820588.22000003</v>
      </c>
      <c r="NF10" s="11">
        <v>138724961.90000001</v>
      </c>
      <c r="NG10" s="11">
        <v>13087381.300000001</v>
      </c>
      <c r="NH10" s="11">
        <v>10619397.539999999</v>
      </c>
      <c r="NI10" s="11">
        <v>8985381.6099999994</v>
      </c>
      <c r="NJ10" s="11">
        <v>28789938.02</v>
      </c>
      <c r="NK10" s="11">
        <v>64897861.850000009</v>
      </c>
      <c r="NL10" s="11">
        <v>36077239.690000005</v>
      </c>
      <c r="NM10" s="11">
        <v>770386.66</v>
      </c>
      <c r="NN10" s="11">
        <v>5438217.6200000001</v>
      </c>
      <c r="NO10" s="11">
        <v>21429663.180000003</v>
      </c>
      <c r="NP10" s="11">
        <v>11331190.4</v>
      </c>
      <c r="NQ10" s="11">
        <v>35712631.610000014</v>
      </c>
      <c r="NR10" s="11">
        <v>12561488.620000001</v>
      </c>
      <c r="NS10" s="11">
        <v>5511543.2299999995</v>
      </c>
      <c r="NT10" s="11">
        <v>2914280.2600000016</v>
      </c>
      <c r="NU10" s="11">
        <v>4378197.45</v>
      </c>
      <c r="NV10" s="11">
        <v>1595844.7000000004</v>
      </c>
      <c r="NW10" s="11">
        <v>4660705.9700000007</v>
      </c>
      <c r="NX10" s="11">
        <v>241471091.13999996</v>
      </c>
      <c r="NY10" s="11">
        <v>246576564.70999998</v>
      </c>
      <c r="NZ10" s="11">
        <v>34299856.890000001</v>
      </c>
      <c r="OA10" s="11">
        <v>5765918.1699999999</v>
      </c>
      <c r="OB10" s="11">
        <v>10631321.250000002</v>
      </c>
      <c r="OC10" s="11">
        <v>30023040.669999998</v>
      </c>
      <c r="OD10" s="11">
        <v>4868106.68</v>
      </c>
      <c r="OE10" s="11">
        <v>421566329.78999996</v>
      </c>
      <c r="OF10" s="11">
        <v>66465357.479999997</v>
      </c>
      <c r="OG10" s="11">
        <v>12657725.6</v>
      </c>
      <c r="OH10" s="11">
        <v>34822184.799999997</v>
      </c>
      <c r="OI10" s="11">
        <v>12504138.019999998</v>
      </c>
      <c r="OJ10" s="11">
        <v>27352741.77</v>
      </c>
      <c r="OK10" s="11">
        <v>85054988.399999991</v>
      </c>
      <c r="OL10" s="11">
        <v>11366972.470000001</v>
      </c>
      <c r="OM10" s="11">
        <v>5622834.7999999989</v>
      </c>
      <c r="ON10" s="11">
        <v>185208177.71000001</v>
      </c>
      <c r="OO10" s="11">
        <v>36995683.930000007</v>
      </c>
      <c r="OP10" s="11">
        <v>42123761.329999991</v>
      </c>
      <c r="OQ10" s="11">
        <v>3294168.4</v>
      </c>
      <c r="OR10" s="11">
        <v>1231476.93</v>
      </c>
      <c r="OS10" s="11">
        <v>137884.37</v>
      </c>
      <c r="OT10" s="11">
        <v>111020252.58000001</v>
      </c>
      <c r="OU10" s="11">
        <v>8009381.9499999993</v>
      </c>
      <c r="OV10" s="11">
        <v>1820309.1</v>
      </c>
      <c r="OW10" s="11">
        <v>7792782.1099999994</v>
      </c>
      <c r="OX10" s="11">
        <v>11757808.759999998</v>
      </c>
      <c r="OY10" s="11">
        <v>32163878.909999996</v>
      </c>
      <c r="OZ10" s="11">
        <v>8783166.7200000007</v>
      </c>
      <c r="PA10" s="11">
        <v>4249107.4799999995</v>
      </c>
      <c r="PB10" s="11">
        <v>6235467.6699999999</v>
      </c>
      <c r="PC10" s="11">
        <v>73566671.589999989</v>
      </c>
      <c r="PD10" s="11">
        <v>8096837.7999999998</v>
      </c>
      <c r="PE10" s="11">
        <v>12566273.710000001</v>
      </c>
      <c r="PF10" s="11">
        <v>1766316.9</v>
      </c>
      <c r="PG10" s="11">
        <v>5630168.2699999996</v>
      </c>
      <c r="PH10" s="11">
        <v>23744404.569999997</v>
      </c>
      <c r="PI10" s="11">
        <v>8849035.2200000007</v>
      </c>
      <c r="PJ10" s="11">
        <v>4385174.629999999</v>
      </c>
      <c r="PK10" s="11">
        <v>6436408.8000000007</v>
      </c>
      <c r="PL10" s="11">
        <v>3305702.4500000007</v>
      </c>
      <c r="PM10" s="11">
        <v>8463500.879999999</v>
      </c>
      <c r="PN10" s="11">
        <v>8644519.4199999999</v>
      </c>
      <c r="PO10" s="11">
        <v>1752990.6900000002</v>
      </c>
      <c r="PP10" s="11">
        <v>13122050.930000003</v>
      </c>
      <c r="PQ10" s="11">
        <v>2098545.3000000003</v>
      </c>
      <c r="PR10" s="11">
        <v>2254074.7799999998</v>
      </c>
      <c r="PS10" s="11">
        <v>5506713.3999999994</v>
      </c>
      <c r="PT10" s="11">
        <v>1024893.48</v>
      </c>
      <c r="PU10" s="11">
        <v>273526200.39000005</v>
      </c>
      <c r="PV10" s="11">
        <v>17577558.84</v>
      </c>
      <c r="PW10" s="11">
        <v>2959536.1799999997</v>
      </c>
      <c r="PX10" s="11">
        <v>13203101.400000002</v>
      </c>
      <c r="PY10" s="11">
        <v>69092091.179999992</v>
      </c>
      <c r="PZ10" s="11">
        <v>3452947.48</v>
      </c>
      <c r="QA10" s="11">
        <v>32206791.93</v>
      </c>
      <c r="QB10" s="11">
        <v>11282701.370000001</v>
      </c>
      <c r="QC10" s="11">
        <v>56215199.880000003</v>
      </c>
      <c r="QD10" s="11">
        <v>577443.83999999997</v>
      </c>
      <c r="QE10" s="11">
        <v>11296930.800000001</v>
      </c>
      <c r="QF10" s="11">
        <v>5739234.9100000001</v>
      </c>
      <c r="QG10" s="11">
        <v>2083730.94</v>
      </c>
      <c r="QH10" s="11">
        <v>6141373.1499999994</v>
      </c>
      <c r="QI10" s="11">
        <v>6112501.7000000002</v>
      </c>
      <c r="QJ10" s="11">
        <v>11475923.68</v>
      </c>
      <c r="QK10" s="11">
        <v>1192337.0599999998</v>
      </c>
      <c r="QL10" s="11">
        <v>4241263.57</v>
      </c>
      <c r="QM10" s="11">
        <v>1323364.3999999999</v>
      </c>
      <c r="QN10" s="11">
        <v>45991344.859999999</v>
      </c>
      <c r="QO10" s="11">
        <v>34247152.969999999</v>
      </c>
      <c r="QP10" s="11">
        <v>4869779.09</v>
      </c>
      <c r="QQ10" s="11">
        <v>2775300.56</v>
      </c>
      <c r="QR10" s="11">
        <v>602846.5</v>
      </c>
      <c r="QS10" s="11">
        <v>665159.37</v>
      </c>
      <c r="QT10" s="11">
        <v>285256.09999999998</v>
      </c>
      <c r="QU10" s="11">
        <v>86331269.87999998</v>
      </c>
      <c r="QV10" s="11">
        <v>1181864.9300000002</v>
      </c>
      <c r="QW10" s="11">
        <v>27775323.580000002</v>
      </c>
      <c r="QX10" s="11">
        <v>2246753.5600000005</v>
      </c>
      <c r="QY10" s="11">
        <v>11870583.9</v>
      </c>
      <c r="QZ10" s="11">
        <v>7299303.7300000004</v>
      </c>
      <c r="RA10" s="11">
        <v>3458892.43</v>
      </c>
      <c r="RB10" s="11">
        <v>17481453.350000001</v>
      </c>
      <c r="RC10" s="11">
        <v>9372926.0299999993</v>
      </c>
      <c r="RD10" s="11">
        <v>3232543.96</v>
      </c>
      <c r="RE10" s="11">
        <v>3035201.69</v>
      </c>
      <c r="RF10" s="11">
        <v>7204555.6299999999</v>
      </c>
      <c r="RG10" s="11">
        <v>825515.31999999983</v>
      </c>
      <c r="RH10" s="11">
        <v>140729959.09000003</v>
      </c>
      <c r="RI10" s="11">
        <v>39503089.739999995</v>
      </c>
      <c r="RJ10" s="11">
        <v>4696927.3800000008</v>
      </c>
      <c r="RK10" s="11">
        <v>10154403.950000001</v>
      </c>
      <c r="RL10" s="11">
        <v>13681526.85</v>
      </c>
      <c r="RM10" s="11">
        <v>12505932.5</v>
      </c>
      <c r="RN10" s="11">
        <v>30535626.220000003</v>
      </c>
      <c r="RO10" s="11">
        <v>4695038.0999999996</v>
      </c>
      <c r="RP10" s="11">
        <v>4370868.5</v>
      </c>
      <c r="RQ10" s="11">
        <v>10865586.07</v>
      </c>
      <c r="RR10" s="11">
        <v>45365718.909999996</v>
      </c>
      <c r="RS10" s="11">
        <v>1835418.47</v>
      </c>
      <c r="RT10" s="11">
        <v>2327487.81</v>
      </c>
      <c r="RU10" s="11">
        <v>2163354.5699999998</v>
      </c>
      <c r="RV10" s="11">
        <v>2393422.5900000003</v>
      </c>
      <c r="RW10" s="11">
        <v>8777228.25</v>
      </c>
      <c r="RX10" s="11">
        <v>12936044.830000002</v>
      </c>
      <c r="RY10" s="11">
        <v>2920123.7399999998</v>
      </c>
      <c r="RZ10" s="11">
        <v>3843721.13</v>
      </c>
      <c r="SA10" s="11">
        <v>2241298.19</v>
      </c>
      <c r="SB10" s="11">
        <v>60017747.849999994</v>
      </c>
      <c r="SC10" s="11">
        <v>14916920.440000001</v>
      </c>
      <c r="SD10" s="11">
        <v>6788652.5800000001</v>
      </c>
      <c r="SE10" s="11">
        <v>1118061.1799999997</v>
      </c>
      <c r="SF10" s="11">
        <v>1501773.42</v>
      </c>
      <c r="SG10" s="11">
        <v>7470064.9000000004</v>
      </c>
      <c r="SH10" s="11">
        <v>7031484.4400000004</v>
      </c>
      <c r="SI10" s="11">
        <v>11276476.669999998</v>
      </c>
      <c r="SJ10" s="11">
        <v>9047588.9399999995</v>
      </c>
      <c r="SK10" s="11">
        <v>590748.52999999991</v>
      </c>
      <c r="SL10" s="11">
        <v>7847194.5999999996</v>
      </c>
      <c r="SM10" s="11">
        <v>1357046.5400000003</v>
      </c>
      <c r="SN10" s="11">
        <v>24723010.859999996</v>
      </c>
      <c r="SO10" s="11">
        <v>1254024.7900000003</v>
      </c>
      <c r="SP10" s="11">
        <v>3999288.2900000005</v>
      </c>
      <c r="SQ10" s="11">
        <v>2362441.6799999997</v>
      </c>
      <c r="SR10" s="11">
        <v>2076053.389999999</v>
      </c>
      <c r="SS10" s="11">
        <v>4824691.8699999992</v>
      </c>
      <c r="ST10" s="11">
        <v>1328841.26</v>
      </c>
      <c r="SU10" s="11">
        <v>907945.06999999983</v>
      </c>
      <c r="SV10" s="11">
        <v>39926200.519999996</v>
      </c>
      <c r="SW10" s="11">
        <v>2102738.4100000006</v>
      </c>
      <c r="SX10" s="11">
        <v>8596544.6399999987</v>
      </c>
      <c r="SY10" s="11">
        <v>3781968.9800000004</v>
      </c>
      <c r="SZ10" s="11">
        <v>1185165.54</v>
      </c>
      <c r="TA10" s="11">
        <v>2538127.7500000005</v>
      </c>
      <c r="TB10" s="11">
        <v>1710315.0899999999</v>
      </c>
      <c r="TC10" s="11">
        <v>7376191.2699999996</v>
      </c>
      <c r="TD10" s="11">
        <v>2162068.44</v>
      </c>
      <c r="TE10" s="11">
        <v>2747011.95</v>
      </c>
      <c r="TF10" s="11">
        <v>2213664.0999999996</v>
      </c>
      <c r="TG10" s="11">
        <v>5429703.209999999</v>
      </c>
      <c r="TH10" s="11">
        <v>521374.41000000009</v>
      </c>
      <c r="TI10" s="11">
        <v>982230.44</v>
      </c>
      <c r="TJ10" s="11">
        <v>125805443.50999998</v>
      </c>
      <c r="TK10" s="11">
        <v>2637417.5100000002</v>
      </c>
      <c r="TL10" s="11">
        <v>3534785.11</v>
      </c>
      <c r="TM10" s="11">
        <v>14513469.42</v>
      </c>
      <c r="TN10" s="11">
        <v>24591406.250000004</v>
      </c>
      <c r="TO10" s="11">
        <v>4864020.29</v>
      </c>
      <c r="TP10" s="11">
        <v>2019326.2300000002</v>
      </c>
      <c r="TQ10" s="11">
        <v>18071350.84</v>
      </c>
      <c r="TR10" s="11">
        <v>2219124.4799999995</v>
      </c>
      <c r="TS10" s="11">
        <v>6781776.6699999981</v>
      </c>
      <c r="TT10" s="11">
        <v>6539030.2399999993</v>
      </c>
      <c r="TU10" s="11">
        <v>3814962.2199999997</v>
      </c>
      <c r="TV10" s="11">
        <v>1409705.9900000002</v>
      </c>
      <c r="TW10" s="11">
        <v>4438729.4000000013</v>
      </c>
      <c r="TX10" s="11">
        <v>1822789.3799999997</v>
      </c>
      <c r="TY10" s="11">
        <v>5369348.7400000012</v>
      </c>
      <c r="TZ10" s="11">
        <v>22821837.75999999</v>
      </c>
      <c r="UA10" s="11">
        <v>1921474.49</v>
      </c>
      <c r="UB10" s="11">
        <v>70996529.959999993</v>
      </c>
      <c r="UC10" s="11">
        <v>6012691.089999998</v>
      </c>
      <c r="UD10" s="11">
        <v>3389774.8299999996</v>
      </c>
      <c r="UE10" s="11">
        <v>2737842.4200000004</v>
      </c>
      <c r="UF10" s="11">
        <v>22149360.34</v>
      </c>
      <c r="UG10" s="11">
        <v>598536.11</v>
      </c>
      <c r="UH10" s="11">
        <v>996187.84999999986</v>
      </c>
      <c r="UI10" s="11">
        <v>1614794.4899999995</v>
      </c>
      <c r="UJ10" s="11">
        <v>491336.02000000014</v>
      </c>
      <c r="UK10" s="11">
        <v>33292117.429999992</v>
      </c>
      <c r="UL10" s="11">
        <v>11458768.59</v>
      </c>
      <c r="UM10" s="11">
        <v>6132126.0300000003</v>
      </c>
      <c r="UN10" s="11">
        <v>12458028.640000001</v>
      </c>
      <c r="UO10" s="11">
        <v>14378609.339999998</v>
      </c>
      <c r="UP10" s="11">
        <v>2082018.0999999999</v>
      </c>
      <c r="UQ10" s="11">
        <v>228302193.53999999</v>
      </c>
      <c r="UR10" s="11">
        <v>6363592.4999999991</v>
      </c>
      <c r="US10" s="11">
        <v>2023458.9000000008</v>
      </c>
      <c r="UT10" s="11">
        <v>28232404.170000002</v>
      </c>
      <c r="UU10" s="11">
        <v>3778520.2</v>
      </c>
      <c r="UV10" s="11">
        <v>2519369.4</v>
      </c>
      <c r="UW10" s="11">
        <v>8200035.9299999997</v>
      </c>
      <c r="UX10" s="11">
        <v>1268086.3000000003</v>
      </c>
      <c r="UY10" s="11">
        <v>1478583</v>
      </c>
      <c r="UZ10" s="11">
        <v>3303418.6</v>
      </c>
      <c r="VA10" s="11">
        <v>2638949.4300000002</v>
      </c>
      <c r="VB10" s="11">
        <v>20116433.939999998</v>
      </c>
      <c r="VC10" s="11">
        <v>11724164.190000001</v>
      </c>
      <c r="VD10" s="11">
        <v>10106950.100000001</v>
      </c>
      <c r="VE10" s="11">
        <v>1572643.5999999999</v>
      </c>
      <c r="VF10" s="11">
        <v>1669562.2499999995</v>
      </c>
      <c r="VG10" s="11">
        <v>1106996.83</v>
      </c>
      <c r="VH10" s="11">
        <v>2149911.0000000005</v>
      </c>
      <c r="VI10" s="11">
        <v>12989207.300000003</v>
      </c>
      <c r="VJ10" s="11">
        <v>2381566.79</v>
      </c>
      <c r="VK10" s="11">
        <v>2078493.8599999999</v>
      </c>
      <c r="VL10" s="11">
        <v>2626223.5900000003</v>
      </c>
      <c r="VM10" s="11">
        <v>86523108.310000002</v>
      </c>
      <c r="VN10" s="11">
        <v>15822731.68</v>
      </c>
      <c r="VO10" s="11">
        <v>9813940.4199999981</v>
      </c>
      <c r="VP10" s="11">
        <v>33302637.599999998</v>
      </c>
      <c r="VQ10" s="11">
        <v>22279942.199999999</v>
      </c>
      <c r="VR10" s="11">
        <v>21907529.130000003</v>
      </c>
      <c r="VS10" s="11">
        <v>4692917.8199999994</v>
      </c>
      <c r="VT10" s="11">
        <v>2949522.71</v>
      </c>
      <c r="VU10" s="11">
        <v>3414112.9</v>
      </c>
      <c r="VV10" s="11">
        <v>27217044.389999997</v>
      </c>
      <c r="VW10" s="11">
        <v>6315545.71</v>
      </c>
      <c r="VX10" s="11">
        <v>57285695.939999998</v>
      </c>
      <c r="VY10" s="11">
        <v>6459498.04</v>
      </c>
      <c r="VZ10" s="11">
        <v>3160117.79</v>
      </c>
      <c r="WA10" s="11">
        <v>2028349.15</v>
      </c>
      <c r="WB10" s="11">
        <v>384308097.20000005</v>
      </c>
      <c r="WC10" s="11">
        <v>22607823.199999999</v>
      </c>
      <c r="WD10" s="11">
        <v>5763640.870000001</v>
      </c>
      <c r="WE10" s="11">
        <v>9048282.9499999993</v>
      </c>
      <c r="WF10" s="11">
        <v>3199377.59</v>
      </c>
      <c r="WG10" s="11">
        <v>11588795.130000001</v>
      </c>
      <c r="WH10" s="11">
        <v>19779449.410000004</v>
      </c>
      <c r="WI10" s="11">
        <v>10374497.879999999</v>
      </c>
      <c r="WJ10" s="11">
        <v>9575209.540000001</v>
      </c>
      <c r="WK10" s="11">
        <v>9014578.75</v>
      </c>
      <c r="WL10" s="11">
        <v>5991969.54</v>
      </c>
      <c r="WM10" s="11">
        <v>23660061.350000001</v>
      </c>
      <c r="WN10" s="11">
        <v>6266841.29</v>
      </c>
      <c r="WO10" s="11">
        <v>30787739.449999999</v>
      </c>
      <c r="WP10" s="11">
        <v>17399789.039999999</v>
      </c>
      <c r="WQ10" s="11">
        <v>4889150.4800000004</v>
      </c>
      <c r="WR10" s="11">
        <v>6106065.1399999997</v>
      </c>
      <c r="WS10" s="11">
        <v>26771388.640000001</v>
      </c>
      <c r="WT10" s="11">
        <v>8844543.0299999993</v>
      </c>
      <c r="WU10" s="11">
        <v>18923356.529999997</v>
      </c>
      <c r="WV10" s="11">
        <v>70537758.310000002</v>
      </c>
      <c r="WW10" s="11">
        <v>6822788.4400000004</v>
      </c>
      <c r="WX10" s="11">
        <v>5076151.7100000009</v>
      </c>
      <c r="WY10" s="11">
        <v>2756019.21</v>
      </c>
      <c r="WZ10" s="11">
        <v>2670168.4899999998</v>
      </c>
      <c r="XA10" s="11">
        <v>4629810.55</v>
      </c>
      <c r="XB10" s="11">
        <v>2904334.05</v>
      </c>
      <c r="XC10" s="11">
        <v>3113360.84</v>
      </c>
      <c r="XD10" s="11">
        <v>70345731.230000004</v>
      </c>
      <c r="XE10" s="11">
        <v>4788702.71</v>
      </c>
      <c r="XF10" s="11">
        <v>1642780.4</v>
      </c>
      <c r="XG10" s="11">
        <v>1818664.81</v>
      </c>
      <c r="XH10" s="11">
        <v>1999247</v>
      </c>
      <c r="XI10" s="11">
        <v>175503351.44000006</v>
      </c>
      <c r="XJ10" s="11">
        <v>16673523.910000002</v>
      </c>
      <c r="XK10" s="11">
        <v>7008326.3200000003</v>
      </c>
      <c r="XL10" s="11">
        <v>55757260.699999996</v>
      </c>
      <c r="XM10" s="11">
        <v>6384524.4399999995</v>
      </c>
      <c r="XN10" s="11">
        <v>8823367.0199999977</v>
      </c>
      <c r="XO10" s="11">
        <v>16490604.559999999</v>
      </c>
      <c r="XP10" s="11">
        <v>3922704.1599999997</v>
      </c>
      <c r="XQ10" s="11">
        <v>3603455.97</v>
      </c>
      <c r="XR10" s="11">
        <v>11693792.01</v>
      </c>
      <c r="XS10" s="11">
        <v>8628400.2699999996</v>
      </c>
      <c r="XT10" s="11">
        <v>1765154.4100000004</v>
      </c>
      <c r="XU10" s="11">
        <v>5664226.0300000003</v>
      </c>
      <c r="XV10" s="11">
        <v>7862001.620000001</v>
      </c>
      <c r="XW10" s="11">
        <v>6622078.75</v>
      </c>
      <c r="XX10" s="11">
        <v>728882.92999999993</v>
      </c>
      <c r="XY10" s="11">
        <v>2311666.98</v>
      </c>
      <c r="XZ10" s="11">
        <v>3872340.23</v>
      </c>
      <c r="YA10" s="11">
        <v>7499035.0500000007</v>
      </c>
      <c r="YB10" s="11">
        <v>9611355.629999999</v>
      </c>
      <c r="YC10" s="11">
        <v>6938682.6299999999</v>
      </c>
      <c r="YD10" s="11">
        <v>4138485.94</v>
      </c>
      <c r="YE10" s="11">
        <v>2524450.8199999994</v>
      </c>
      <c r="YF10" s="11">
        <v>96850501.789999977</v>
      </c>
      <c r="YG10" s="11">
        <v>4597447.6900000004</v>
      </c>
      <c r="YH10" s="11">
        <v>12525731.34</v>
      </c>
      <c r="YI10" s="11">
        <v>1750351.45</v>
      </c>
      <c r="YJ10" s="11">
        <v>80481940.75</v>
      </c>
      <c r="YK10" s="11">
        <v>17784361.59</v>
      </c>
      <c r="YL10" s="11">
        <v>7784865.79</v>
      </c>
      <c r="YM10" s="11">
        <v>5918732.7200000007</v>
      </c>
      <c r="YN10" s="11">
        <v>20492191.549999997</v>
      </c>
      <c r="YO10" s="11">
        <v>12280092.08</v>
      </c>
      <c r="YP10" s="11">
        <v>24706496.360000003</v>
      </c>
      <c r="YQ10" s="11">
        <v>10263117.960000001</v>
      </c>
      <c r="YR10" s="11">
        <v>2423046.67</v>
      </c>
      <c r="YS10" s="11">
        <v>5897250.1299999999</v>
      </c>
      <c r="YT10" s="11">
        <v>3563792.0399999996</v>
      </c>
      <c r="YU10" s="11">
        <v>5114397.9800000004</v>
      </c>
      <c r="YV10" s="11">
        <v>4260202.34</v>
      </c>
      <c r="YW10" s="11">
        <v>42160314.960000016</v>
      </c>
      <c r="YX10" s="11">
        <v>6498902.1900000004</v>
      </c>
      <c r="YY10" s="11">
        <v>2667397.3100000005</v>
      </c>
      <c r="YZ10" s="11">
        <v>2647936.5</v>
      </c>
      <c r="ZA10" s="11">
        <v>7064918.8300000001</v>
      </c>
      <c r="ZB10" s="11">
        <v>1034992.03</v>
      </c>
      <c r="ZC10" s="11">
        <v>1715900.38</v>
      </c>
      <c r="ZD10" s="11">
        <v>95063262.199999988</v>
      </c>
      <c r="ZE10" s="11">
        <v>2697093.02</v>
      </c>
      <c r="ZF10" s="11">
        <v>5343457.6500000004</v>
      </c>
      <c r="ZG10" s="11">
        <v>3616832.3</v>
      </c>
      <c r="ZH10" s="11">
        <v>2622597.9</v>
      </c>
      <c r="ZI10" s="11">
        <v>2716321.83</v>
      </c>
      <c r="ZJ10" s="11">
        <v>4716139.8000000007</v>
      </c>
      <c r="ZK10" s="11">
        <v>2923488.8100000005</v>
      </c>
      <c r="ZL10" s="11">
        <v>3775719.7699999986</v>
      </c>
      <c r="ZM10" s="11">
        <v>118458166.28</v>
      </c>
      <c r="ZN10" s="11">
        <v>9108865.5199999996</v>
      </c>
      <c r="ZO10" s="11">
        <v>7607000.4399999995</v>
      </c>
      <c r="ZP10" s="11">
        <v>20340867.270000003</v>
      </c>
      <c r="ZQ10" s="11">
        <v>10863350.140000001</v>
      </c>
      <c r="ZR10" s="11">
        <v>7338121.5700000003</v>
      </c>
      <c r="ZS10" s="11">
        <v>4920822.87</v>
      </c>
      <c r="ZT10" s="11">
        <v>8789647.6799999997</v>
      </c>
      <c r="ZU10" s="11">
        <v>9727129.3800000027</v>
      </c>
      <c r="ZV10" s="11">
        <v>6534454.0399999991</v>
      </c>
      <c r="ZW10" s="11">
        <v>646444.43000000017</v>
      </c>
      <c r="ZX10" s="11">
        <v>855946.35999999987</v>
      </c>
      <c r="ZY10" s="11">
        <v>1740441.8200000003</v>
      </c>
      <c r="ZZ10" s="11">
        <v>6807272.3600000003</v>
      </c>
      <c r="AAA10" s="11">
        <v>1956369.49</v>
      </c>
      <c r="AAB10" s="11">
        <v>4906143.71</v>
      </c>
      <c r="AAC10" s="11">
        <v>1669171.77</v>
      </c>
      <c r="AAD10" s="11">
        <v>10515364.029999999</v>
      </c>
      <c r="AAE10" s="11">
        <v>16174898.24</v>
      </c>
      <c r="AAF10" s="11">
        <v>4605248.9000000004</v>
      </c>
      <c r="AAG10" s="11">
        <v>1246524.23</v>
      </c>
      <c r="AAH10" s="11">
        <v>529610.16</v>
      </c>
      <c r="AAI10" s="11">
        <v>59212412.640000008</v>
      </c>
      <c r="AAJ10" s="11">
        <v>1846142.1999999997</v>
      </c>
      <c r="AAK10" s="11">
        <v>3090091.92</v>
      </c>
      <c r="AAL10" s="11">
        <v>2343294.6900000004</v>
      </c>
      <c r="AAM10" s="11">
        <v>4637164.55</v>
      </c>
      <c r="AAN10" s="11">
        <v>9146965.3899999987</v>
      </c>
      <c r="AAO10" s="11">
        <v>6188087.8499999996</v>
      </c>
      <c r="AAP10" s="11">
        <v>172718548.52999994</v>
      </c>
      <c r="AAQ10" s="11">
        <v>4749379.62</v>
      </c>
      <c r="AAR10" s="11">
        <v>3498320.64</v>
      </c>
      <c r="AAS10" s="11">
        <v>28786973.890000001</v>
      </c>
      <c r="AAT10" s="11">
        <v>4689218.47</v>
      </c>
      <c r="AAU10" s="11">
        <v>4658410.5</v>
      </c>
      <c r="AAV10" s="11">
        <v>5854648.25</v>
      </c>
      <c r="AAW10" s="11">
        <v>3700635.0999999996</v>
      </c>
      <c r="AAX10" s="11">
        <v>16261205.25</v>
      </c>
      <c r="AAY10" s="11">
        <v>2989916.67</v>
      </c>
      <c r="AAZ10" s="11">
        <v>11487878.799999999</v>
      </c>
      <c r="ABA10" s="11">
        <v>15105491.869999999</v>
      </c>
      <c r="ABB10" s="11">
        <v>40158299.010000005</v>
      </c>
      <c r="ABC10" s="11">
        <v>2171191.1500000004</v>
      </c>
      <c r="ABD10" s="11">
        <v>2464635.06</v>
      </c>
      <c r="ABE10" s="11">
        <v>6902251.7300000004</v>
      </c>
      <c r="ABF10" s="11">
        <v>4637029.8499999996</v>
      </c>
      <c r="ABG10" s="11">
        <v>12762515.67</v>
      </c>
      <c r="ABH10" s="11">
        <v>1144337.9099999999</v>
      </c>
      <c r="ABI10" s="11">
        <v>45975012.199999996</v>
      </c>
      <c r="ABJ10" s="11">
        <v>52895645.660000004</v>
      </c>
      <c r="ABK10" s="11">
        <v>1807827</v>
      </c>
      <c r="ABL10" s="11">
        <v>984626.65999999957</v>
      </c>
      <c r="ABM10" s="11">
        <v>2201357.87</v>
      </c>
      <c r="ABN10" s="11">
        <v>2163718.81</v>
      </c>
      <c r="ABO10" s="11">
        <v>4960459.33</v>
      </c>
      <c r="ABP10" s="11">
        <v>110947836.94000001</v>
      </c>
      <c r="ABQ10" s="11">
        <v>5913197.8700000001</v>
      </c>
      <c r="ABR10" s="11">
        <v>1113806.3900000004</v>
      </c>
      <c r="ABS10" s="11">
        <v>3355869.2</v>
      </c>
      <c r="ABT10" s="11">
        <v>35596092.520000003</v>
      </c>
      <c r="ABU10" s="11">
        <v>12857780.709999999</v>
      </c>
      <c r="ABV10" s="11">
        <v>5233221.91</v>
      </c>
      <c r="ABW10" s="11">
        <v>9340308.790000001</v>
      </c>
      <c r="ABX10" s="11">
        <v>3673297.71</v>
      </c>
      <c r="ABY10" s="11">
        <v>113324832.23999999</v>
      </c>
      <c r="ABZ10" s="11">
        <v>17447024.819999997</v>
      </c>
      <c r="ACA10" s="11">
        <v>10854668.779999999</v>
      </c>
      <c r="ACB10" s="11">
        <v>2174141.6800000002</v>
      </c>
      <c r="ACC10" s="11">
        <v>2936412.93</v>
      </c>
      <c r="ACD10" s="11">
        <v>5431897.7000000002</v>
      </c>
      <c r="ACE10" s="11">
        <v>4378359.25</v>
      </c>
      <c r="ACF10" s="11">
        <v>9529071.2400000039</v>
      </c>
      <c r="ACG10" s="11">
        <v>2085044.0100000005</v>
      </c>
      <c r="ACH10" s="11">
        <v>11981339.82</v>
      </c>
      <c r="ACI10" s="11">
        <v>3978892.45</v>
      </c>
      <c r="ACJ10" s="11">
        <v>315039218.02000004</v>
      </c>
      <c r="ACK10" s="11">
        <v>6462222.0699999994</v>
      </c>
      <c r="ACL10" s="11">
        <v>10129599.779999999</v>
      </c>
      <c r="ACM10" s="11">
        <v>21846729.500000004</v>
      </c>
      <c r="ACN10" s="11">
        <v>228666.93</v>
      </c>
      <c r="ACO10" s="11">
        <v>1897658.7800000003</v>
      </c>
      <c r="ACP10" s="11">
        <v>4687803.71</v>
      </c>
      <c r="ACQ10" s="11">
        <v>30102073.41</v>
      </c>
      <c r="ACR10" s="11">
        <v>23679083.730000027</v>
      </c>
      <c r="ACS10" s="11">
        <v>1219302.5199999998</v>
      </c>
      <c r="ACT10" s="11">
        <v>4827435.75</v>
      </c>
      <c r="ACU10" s="11">
        <v>10290845.42</v>
      </c>
      <c r="ACV10" s="11">
        <v>4110618</v>
      </c>
      <c r="ACW10" s="11">
        <v>79482374.070000008</v>
      </c>
      <c r="ACX10" s="11">
        <v>1396669.3</v>
      </c>
      <c r="ACY10" s="11">
        <v>4322955.16</v>
      </c>
      <c r="ACZ10" s="11">
        <v>1840705.2599999998</v>
      </c>
      <c r="ADA10" s="11">
        <v>1881115.83</v>
      </c>
      <c r="ADB10" s="11">
        <v>917449.58000000007</v>
      </c>
      <c r="ADC10" s="11">
        <v>1756210.69</v>
      </c>
      <c r="ADD10" s="11">
        <v>1538888.62</v>
      </c>
      <c r="ADE10" s="11">
        <v>274443.28999999998</v>
      </c>
      <c r="ADF10" s="11">
        <v>1332768.8500000001</v>
      </c>
      <c r="ADG10" s="11">
        <v>44887407.469999999</v>
      </c>
      <c r="ADH10" s="11">
        <v>22448572.009999998</v>
      </c>
      <c r="ADI10" s="11">
        <v>3518408.47</v>
      </c>
      <c r="ADJ10" s="11">
        <v>1200023</v>
      </c>
      <c r="ADK10" s="11">
        <v>5841784.8600000003</v>
      </c>
      <c r="ADL10" s="11">
        <v>2595322.98</v>
      </c>
      <c r="ADM10" s="11">
        <v>3447400.24</v>
      </c>
      <c r="ADN10" s="11">
        <v>5668542.5499999998</v>
      </c>
      <c r="ADO10" s="11">
        <v>4161576.1600000006</v>
      </c>
      <c r="ADP10" s="11">
        <v>348741327.59000003</v>
      </c>
      <c r="ADQ10" s="11">
        <v>34771908.25</v>
      </c>
      <c r="ADR10" s="11">
        <v>36351019.620000005</v>
      </c>
      <c r="ADS10" s="11">
        <v>16318840.310000001</v>
      </c>
      <c r="ADT10" s="11">
        <v>57975283.780000001</v>
      </c>
      <c r="ADU10" s="11">
        <v>863587.93</v>
      </c>
      <c r="ADV10" s="11">
        <v>617393.96</v>
      </c>
      <c r="ADW10" s="11">
        <v>5378595.8800000008</v>
      </c>
      <c r="ADX10" s="11">
        <v>694635.76</v>
      </c>
      <c r="ADY10" s="11">
        <v>6700417.0300000003</v>
      </c>
      <c r="ADZ10" s="11">
        <v>184779112.36999995</v>
      </c>
      <c r="AEA10" s="11">
        <v>52360237.649999976</v>
      </c>
      <c r="AEB10" s="11">
        <v>26032484.599999998</v>
      </c>
      <c r="AEC10" s="11">
        <v>3001455.4099999997</v>
      </c>
      <c r="AED10" s="11">
        <v>24358758.399999999</v>
      </c>
      <c r="AEE10" s="11">
        <v>10693931.030000003</v>
      </c>
      <c r="AEF10" s="11">
        <v>885704.56000000017</v>
      </c>
      <c r="AEG10" s="11">
        <v>3452200.67</v>
      </c>
      <c r="AEH10" s="11">
        <v>7340031.8799999999</v>
      </c>
      <c r="AEI10" s="11">
        <v>8476865.6099999994</v>
      </c>
      <c r="AEJ10" s="11">
        <v>8512961.0499999989</v>
      </c>
      <c r="AEK10" s="11">
        <v>27037717.170000002</v>
      </c>
      <c r="AEL10" s="11">
        <v>10631307.540000001</v>
      </c>
      <c r="AEM10" s="11">
        <v>7795207.4199999999</v>
      </c>
      <c r="AEN10" s="11">
        <v>14440019.549999995</v>
      </c>
      <c r="AEO10" s="11">
        <v>46862515.689999998</v>
      </c>
      <c r="AEP10" s="11">
        <v>1604361.2400000002</v>
      </c>
      <c r="AEQ10" s="11">
        <v>16764338.349999998</v>
      </c>
      <c r="AER10" s="11">
        <v>980770.38</v>
      </c>
      <c r="AES10" s="11">
        <v>22472332.130000003</v>
      </c>
      <c r="AET10" s="11">
        <v>103551145.47000001</v>
      </c>
      <c r="AEU10" s="11">
        <v>22753145.529999997</v>
      </c>
      <c r="AEV10" s="11">
        <v>28490583.670000002</v>
      </c>
      <c r="AEW10" s="11">
        <v>4915930.92</v>
      </c>
      <c r="AEX10" s="11">
        <v>6430173.8899999997</v>
      </c>
      <c r="AEY10" s="11">
        <v>14505193.450000003</v>
      </c>
      <c r="AEZ10" s="11">
        <v>4440479.9899999993</v>
      </c>
      <c r="AFA10" s="11">
        <v>4294097.1199999992</v>
      </c>
      <c r="AFB10" s="11">
        <v>3797378.8500000006</v>
      </c>
      <c r="AFC10" s="11">
        <v>1248064.79</v>
      </c>
      <c r="AFD10" s="11">
        <v>69783523.879999995</v>
      </c>
      <c r="AFE10" s="11">
        <v>33395541.830000002</v>
      </c>
      <c r="AFF10" s="11">
        <v>7262709.3100000005</v>
      </c>
      <c r="AFG10" s="11">
        <v>3818781.0100000002</v>
      </c>
      <c r="AFH10" s="11">
        <v>19005924.300000001</v>
      </c>
      <c r="AFI10" s="11">
        <v>2823092.09</v>
      </c>
      <c r="AFJ10" s="11">
        <v>1311003.6399999999</v>
      </c>
      <c r="AFK10" s="11">
        <v>2046662.1200000003</v>
      </c>
      <c r="AFL10" s="11">
        <v>4944821.55</v>
      </c>
      <c r="AFM10" s="11">
        <v>1656694.9100000001</v>
      </c>
      <c r="AFN10" s="11">
        <v>208315</v>
      </c>
      <c r="AFO10" s="11">
        <v>620850.43000000005</v>
      </c>
      <c r="AFP10" s="11">
        <v>6049442.5499999998</v>
      </c>
      <c r="AFQ10" s="11">
        <v>76163646.24000001</v>
      </c>
      <c r="AFR10" s="11">
        <v>24008590.709999997</v>
      </c>
      <c r="AFS10" s="11">
        <v>16527444.9</v>
      </c>
      <c r="AFT10" s="11">
        <v>3892745.55</v>
      </c>
      <c r="AFU10" s="11">
        <v>4461274.5000000009</v>
      </c>
      <c r="AFV10" s="11">
        <v>2473698.83</v>
      </c>
      <c r="AFW10" s="11">
        <v>271862.81</v>
      </c>
      <c r="AFX10" s="11">
        <v>10545890.82</v>
      </c>
      <c r="AFY10" s="11">
        <v>10196063.040000001</v>
      </c>
      <c r="AFZ10" s="11">
        <v>1745330.61</v>
      </c>
      <c r="AGA10" s="11">
        <v>1489585.73</v>
      </c>
      <c r="AGB10" s="11">
        <v>2344562.65</v>
      </c>
      <c r="AGC10" s="11">
        <v>75040063.420000017</v>
      </c>
      <c r="AGD10" s="11">
        <v>6805865.7499999991</v>
      </c>
      <c r="AGE10" s="11">
        <v>13693811.890000001</v>
      </c>
      <c r="AGF10" s="11">
        <v>4748489.29</v>
      </c>
      <c r="AGG10" s="11">
        <v>31945784.740000002</v>
      </c>
      <c r="AGH10" s="11">
        <v>8024892.2399999993</v>
      </c>
      <c r="AGI10" s="11">
        <v>3512163.43</v>
      </c>
      <c r="AGJ10" s="11">
        <v>3230169.45</v>
      </c>
      <c r="AGK10" s="11">
        <v>7409230.2699999996</v>
      </c>
      <c r="AGL10" s="11">
        <v>2231046.39</v>
      </c>
      <c r="AGM10" s="11">
        <v>6318300.4100000011</v>
      </c>
      <c r="AGN10" s="11">
        <v>93118442.790000007</v>
      </c>
      <c r="AGO10" s="11">
        <v>23189107.810000002</v>
      </c>
      <c r="AGP10" s="11">
        <v>2630352.7399999993</v>
      </c>
      <c r="AGQ10" s="11">
        <v>493691.64</v>
      </c>
      <c r="AGR10" s="11">
        <v>8662005.1999999993</v>
      </c>
      <c r="AGS10" s="11">
        <v>6915211.1800000006</v>
      </c>
      <c r="AGT10" s="11">
        <v>1254909.23</v>
      </c>
      <c r="AGU10" s="11">
        <v>2259399.1900000004</v>
      </c>
      <c r="AGV10" s="11">
        <v>286381162.42999995</v>
      </c>
      <c r="AGW10" s="11">
        <v>169902884.5</v>
      </c>
      <c r="AGX10" s="11">
        <v>15995129.660000002</v>
      </c>
      <c r="AGY10" s="11">
        <v>37696880.430000007</v>
      </c>
      <c r="AGZ10" s="11">
        <v>15650228.950000001</v>
      </c>
      <c r="AHA10" s="11">
        <v>17100659.419999998</v>
      </c>
      <c r="AHB10" s="11">
        <v>4535867.6499999994</v>
      </c>
      <c r="AHC10" s="11">
        <v>8443938.6500000004</v>
      </c>
      <c r="AHD10" s="11">
        <v>1800267.68</v>
      </c>
      <c r="AHE10" s="11">
        <v>21522012.32</v>
      </c>
      <c r="AHF10" s="11">
        <v>49095249.580000006</v>
      </c>
      <c r="AHG10" s="11">
        <v>11303700.969999999</v>
      </c>
      <c r="AHH10" s="11">
        <v>12869316.200000001</v>
      </c>
      <c r="AHI10" s="11">
        <v>8121188.4999999991</v>
      </c>
      <c r="AHJ10" s="11">
        <v>12903064.639999997</v>
      </c>
      <c r="AHK10" s="11">
        <v>12159084.390000001</v>
      </c>
      <c r="AHL10" s="11">
        <v>9107492.5399999991</v>
      </c>
      <c r="AHM10" s="11">
        <v>57981863.579999998</v>
      </c>
      <c r="AHN10" s="11">
        <v>12711883.35</v>
      </c>
      <c r="AHO10" s="11">
        <v>1554409.1100000003</v>
      </c>
      <c r="AHP10" s="11">
        <v>4244322.95</v>
      </c>
      <c r="AHQ10" s="11">
        <v>6367629.9900000002</v>
      </c>
      <c r="AHR10" s="11">
        <v>2312333.17</v>
      </c>
      <c r="AHS10" s="11">
        <v>294214.96000000002</v>
      </c>
      <c r="AHT10" s="11">
        <v>19945271530.700012</v>
      </c>
      <c r="AHU10" s="11"/>
    </row>
    <row r="11" spans="1:905" x14ac:dyDescent="0.7">
      <c r="B11" s="6" t="s">
        <v>10</v>
      </c>
      <c r="C11" s="6" t="s">
        <v>11</v>
      </c>
      <c r="D11" s="11">
        <v>14073440.909999998</v>
      </c>
      <c r="E11" s="11">
        <v>201911</v>
      </c>
      <c r="F11" s="11">
        <v>406281.9</v>
      </c>
      <c r="G11" s="11">
        <v>155098.46</v>
      </c>
      <c r="H11" s="11">
        <v>446475.06000000006</v>
      </c>
      <c r="I11" s="11">
        <v>789210.1800000004</v>
      </c>
      <c r="J11" s="11">
        <v>2190408</v>
      </c>
      <c r="K11" s="11">
        <v>1971423.65</v>
      </c>
      <c r="L11" s="11">
        <v>574043.17999999993</v>
      </c>
      <c r="M11" s="11">
        <v>334833.26</v>
      </c>
      <c r="N11" s="11">
        <v>382172</v>
      </c>
      <c r="O11" s="11">
        <v>115778.12</v>
      </c>
      <c r="P11" s="11">
        <v>2116354.41</v>
      </c>
      <c r="Q11" s="11">
        <v>148679.15</v>
      </c>
      <c r="R11" s="11">
        <v>36475.86</v>
      </c>
      <c r="S11" s="11">
        <v>63973</v>
      </c>
      <c r="T11" s="11">
        <v>612717.32999999996</v>
      </c>
      <c r="U11" s="11">
        <v>130256.70000000001</v>
      </c>
      <c r="V11" s="11">
        <v>42067156.119999997</v>
      </c>
      <c r="W11" s="11">
        <v>3477517.15</v>
      </c>
      <c r="X11" s="11">
        <v>1223619.6299999999</v>
      </c>
      <c r="Y11" s="11">
        <v>2410197.7699999996</v>
      </c>
      <c r="Z11" s="11">
        <v>401611.23000000004</v>
      </c>
      <c r="AA11" s="11">
        <v>5052943</v>
      </c>
      <c r="AB11" s="11">
        <v>809961</v>
      </c>
      <c r="AC11" s="11">
        <v>15516414.640000001</v>
      </c>
      <c r="AD11" s="11">
        <v>4936042.93</v>
      </c>
      <c r="AE11" s="11">
        <v>1577522.12</v>
      </c>
      <c r="AF11" s="11">
        <v>6210408.7800000012</v>
      </c>
      <c r="AG11" s="11">
        <v>4040727.42</v>
      </c>
      <c r="AH11" s="11">
        <v>8702730.5300000012</v>
      </c>
      <c r="AI11" s="11">
        <v>6805305.3700000001</v>
      </c>
      <c r="AJ11" s="11">
        <v>380806</v>
      </c>
      <c r="AK11" s="11">
        <v>156266</v>
      </c>
      <c r="AL11" s="11">
        <v>95202.14</v>
      </c>
      <c r="AM11" s="11">
        <v>4127395.31</v>
      </c>
      <c r="AN11" s="11">
        <v>183667.36000000002</v>
      </c>
      <c r="AO11" s="11">
        <v>3030726.4499999997</v>
      </c>
      <c r="AP11" s="11">
        <v>1087628.6400000001</v>
      </c>
      <c r="AQ11" s="11">
        <v>2378538.08</v>
      </c>
      <c r="AR11" s="11">
        <v>854391.17999999993</v>
      </c>
      <c r="AS11" s="11">
        <v>4659.68</v>
      </c>
      <c r="AT11" s="11">
        <v>476327.22000000003</v>
      </c>
      <c r="AU11" s="11">
        <v>0</v>
      </c>
      <c r="AV11" s="11">
        <v>5661</v>
      </c>
      <c r="AW11" s="11">
        <v>5751.5</v>
      </c>
      <c r="AX11" s="11">
        <v>126714</v>
      </c>
      <c r="AY11" s="11">
        <v>21579.5</v>
      </c>
      <c r="AZ11" s="11">
        <v>150</v>
      </c>
      <c r="BA11" s="11">
        <v>51132</v>
      </c>
      <c r="BB11" s="11">
        <v>7332</v>
      </c>
      <c r="BC11" s="11">
        <v>850</v>
      </c>
      <c r="BD11" s="11">
        <v>5970</v>
      </c>
      <c r="BE11" s="11">
        <v>2828</v>
      </c>
      <c r="BF11" s="11">
        <v>214509.75000000003</v>
      </c>
      <c r="BG11" s="11">
        <v>0</v>
      </c>
      <c r="BH11" s="11">
        <v>5950</v>
      </c>
      <c r="BI11" s="11">
        <v>1636127.5699999998</v>
      </c>
      <c r="BJ11" s="11">
        <v>538350.1</v>
      </c>
      <c r="BK11" s="11">
        <v>66898</v>
      </c>
      <c r="BL11" s="11">
        <v>14028.28</v>
      </c>
      <c r="BM11" s="11">
        <v>119677.81</v>
      </c>
      <c r="BN11" s="11">
        <v>98203</v>
      </c>
      <c r="BO11" s="11">
        <v>13800</v>
      </c>
      <c r="BP11" s="11">
        <v>0</v>
      </c>
      <c r="BQ11" s="11">
        <v>0</v>
      </c>
      <c r="BR11" s="11">
        <v>119272.75</v>
      </c>
      <c r="BS11" s="11">
        <v>29938.080000000002</v>
      </c>
      <c r="BT11" s="11">
        <v>25950</v>
      </c>
      <c r="BU11" s="11">
        <v>16000.5</v>
      </c>
      <c r="BV11" s="11">
        <v>17050</v>
      </c>
      <c r="BW11" s="11">
        <v>13373</v>
      </c>
      <c r="BX11" s="11">
        <v>0</v>
      </c>
      <c r="BY11" s="11">
        <v>16901</v>
      </c>
      <c r="BZ11" s="11">
        <v>923147.27</v>
      </c>
      <c r="CA11" s="11">
        <v>238030</v>
      </c>
      <c r="CB11" s="11">
        <v>459892.15</v>
      </c>
      <c r="CC11" s="11">
        <v>419698</v>
      </c>
      <c r="CD11" s="11">
        <v>12660</v>
      </c>
      <c r="CE11" s="11">
        <v>6000</v>
      </c>
      <c r="CF11" s="11">
        <v>241202.61000000002</v>
      </c>
      <c r="CG11" s="11">
        <v>3727977.73</v>
      </c>
      <c r="CH11" s="11">
        <v>89710</v>
      </c>
      <c r="CI11" s="11">
        <v>751016.90999999992</v>
      </c>
      <c r="CJ11" s="11">
        <v>79205.119999999995</v>
      </c>
      <c r="CK11" s="11">
        <v>80860.149999999994</v>
      </c>
      <c r="CL11" s="11">
        <v>56156</v>
      </c>
      <c r="CM11" s="11">
        <v>49223</v>
      </c>
      <c r="CN11" s="11">
        <v>136493.29999999999</v>
      </c>
      <c r="CO11" s="11">
        <v>2250</v>
      </c>
      <c r="CP11" s="11">
        <v>117970.38</v>
      </c>
      <c r="CQ11" s="11">
        <v>5356</v>
      </c>
      <c r="CR11" s="11">
        <v>654840.5</v>
      </c>
      <c r="CS11" s="11">
        <v>20064.5</v>
      </c>
      <c r="CT11" s="11">
        <v>3196759.83</v>
      </c>
      <c r="CU11" s="11">
        <v>353332.2</v>
      </c>
      <c r="CV11" s="11">
        <v>726974.51</v>
      </c>
      <c r="CW11" s="11">
        <v>25499.02</v>
      </c>
      <c r="CX11" s="11">
        <v>21330.5</v>
      </c>
      <c r="CY11" s="11">
        <v>2241204.3200000003</v>
      </c>
      <c r="CZ11" s="11">
        <v>1572936.66</v>
      </c>
      <c r="DA11" s="11">
        <v>246179</v>
      </c>
      <c r="DB11" s="11">
        <v>1691530.27</v>
      </c>
      <c r="DC11" s="11">
        <v>51631107.890000001</v>
      </c>
      <c r="DD11" s="11">
        <v>19190.25</v>
      </c>
      <c r="DE11" s="11">
        <v>29397.820000000003</v>
      </c>
      <c r="DF11" s="11">
        <v>1460586.3899999997</v>
      </c>
      <c r="DG11" s="11">
        <v>3469247.02</v>
      </c>
      <c r="DH11" s="11">
        <v>1517339.66</v>
      </c>
      <c r="DI11" s="11">
        <v>40667.440000000133</v>
      </c>
      <c r="DJ11" s="11">
        <v>575432.43000000005</v>
      </c>
      <c r="DK11" s="11">
        <v>3991602.21</v>
      </c>
      <c r="DL11" s="11">
        <v>257139.54</v>
      </c>
      <c r="DM11" s="11">
        <v>317371.95999999996</v>
      </c>
      <c r="DN11" s="11">
        <v>110875.6</v>
      </c>
      <c r="DO11" s="11">
        <v>87820.15</v>
      </c>
      <c r="DP11" s="11">
        <v>134745.75</v>
      </c>
      <c r="DQ11" s="11">
        <v>1015239.95</v>
      </c>
      <c r="DR11" s="11">
        <v>49053</v>
      </c>
      <c r="DS11" s="11">
        <v>1194736.77</v>
      </c>
      <c r="DT11" s="11">
        <v>332016.06999999995</v>
      </c>
      <c r="DU11" s="11">
        <v>37000</v>
      </c>
      <c r="DV11" s="11">
        <v>148346</v>
      </c>
      <c r="DW11" s="11">
        <v>544328.79</v>
      </c>
      <c r="DX11" s="11">
        <v>59181.5</v>
      </c>
      <c r="DY11" s="11">
        <v>102873.5</v>
      </c>
      <c r="DZ11" s="11">
        <v>2088498.76</v>
      </c>
      <c r="EA11" s="11">
        <v>106118</v>
      </c>
      <c r="EB11" s="11">
        <v>26461</v>
      </c>
      <c r="EC11" s="11">
        <v>115146.5</v>
      </c>
      <c r="ED11" s="11">
        <v>69610</v>
      </c>
      <c r="EE11" s="11">
        <v>140778.5</v>
      </c>
      <c r="EF11" s="11">
        <v>109128.5</v>
      </c>
      <c r="EG11" s="11">
        <v>56275</v>
      </c>
      <c r="EH11" s="11">
        <v>51745.5</v>
      </c>
      <c r="EI11" s="11">
        <v>42279</v>
      </c>
      <c r="EJ11" s="11">
        <v>33528</v>
      </c>
      <c r="EK11" s="11">
        <v>151763.75</v>
      </c>
      <c r="EL11" s="11">
        <v>6432.5</v>
      </c>
      <c r="EM11" s="11">
        <v>53161</v>
      </c>
      <c r="EN11" s="11">
        <v>289738.39999999997</v>
      </c>
      <c r="EO11" s="11">
        <v>0</v>
      </c>
      <c r="EP11" s="11">
        <v>41958.5</v>
      </c>
      <c r="EQ11" s="11">
        <v>87599.5</v>
      </c>
      <c r="ER11" s="11">
        <v>86427</v>
      </c>
      <c r="ES11" s="11">
        <v>3700</v>
      </c>
      <c r="ET11" s="11">
        <v>12475</v>
      </c>
      <c r="EU11" s="11">
        <v>0</v>
      </c>
      <c r="EV11" s="11">
        <v>0</v>
      </c>
      <c r="EW11" s="11">
        <v>3569239.5199999996</v>
      </c>
      <c r="EX11" s="11">
        <v>214365</v>
      </c>
      <c r="EY11" s="11">
        <v>195217</v>
      </c>
      <c r="EZ11" s="11">
        <v>141358</v>
      </c>
      <c r="FA11" s="11">
        <v>1427315.55</v>
      </c>
      <c r="FB11" s="11">
        <v>688109.11</v>
      </c>
      <c r="FC11" s="11">
        <v>163074.65</v>
      </c>
      <c r="FD11" s="11">
        <v>101353</v>
      </c>
      <c r="FE11" s="11">
        <v>306667</v>
      </c>
      <c r="FF11" s="11">
        <v>114210</v>
      </c>
      <c r="FG11" s="11">
        <v>198405</v>
      </c>
      <c r="FH11" s="11">
        <v>77642</v>
      </c>
      <c r="FI11" s="11">
        <v>112344</v>
      </c>
      <c r="FJ11" s="11">
        <v>115413</v>
      </c>
      <c r="FK11" s="11">
        <v>14724</v>
      </c>
      <c r="FL11" s="11">
        <v>41236.25</v>
      </c>
      <c r="FM11" s="11">
        <v>122332</v>
      </c>
      <c r="FN11" s="11">
        <v>141706</v>
      </c>
      <c r="FO11" s="11">
        <v>0</v>
      </c>
      <c r="FP11" s="11">
        <v>0</v>
      </c>
      <c r="FQ11" s="11">
        <v>3117377.94</v>
      </c>
      <c r="FR11" s="11">
        <v>28347</v>
      </c>
      <c r="FS11" s="11">
        <v>27001</v>
      </c>
      <c r="FT11" s="11">
        <v>49536.4</v>
      </c>
      <c r="FU11" s="11">
        <v>169475.65</v>
      </c>
      <c r="FV11" s="11">
        <v>-148904.79</v>
      </c>
      <c r="FW11" s="11">
        <v>67891.95</v>
      </c>
      <c r="FX11" s="11">
        <v>66769.39</v>
      </c>
      <c r="FY11" s="11">
        <v>23385.78</v>
      </c>
      <c r="FZ11" s="11">
        <v>71500</v>
      </c>
      <c r="GA11" s="11">
        <v>136504.04999999999</v>
      </c>
      <c r="GB11" s="11">
        <v>76225.73</v>
      </c>
      <c r="GC11" s="11">
        <v>31838</v>
      </c>
      <c r="GD11" s="11">
        <v>1196</v>
      </c>
      <c r="GE11" s="11">
        <v>589012.40999999992</v>
      </c>
      <c r="GF11" s="11">
        <v>11405</v>
      </c>
      <c r="GG11" s="11">
        <v>33490.5</v>
      </c>
      <c r="GH11" s="11">
        <v>39585.5</v>
      </c>
      <c r="GI11" s="11">
        <v>59010.5</v>
      </c>
      <c r="GJ11" s="11">
        <v>2350</v>
      </c>
      <c r="GK11" s="11">
        <v>-8418</v>
      </c>
      <c r="GL11" s="11">
        <v>151391</v>
      </c>
      <c r="GM11" s="11">
        <v>67092</v>
      </c>
      <c r="GN11" s="11">
        <v>0</v>
      </c>
      <c r="GO11" s="11">
        <v>0</v>
      </c>
      <c r="GP11" s="11">
        <v>0</v>
      </c>
      <c r="GQ11" s="11">
        <v>89500</v>
      </c>
      <c r="GR11" s="11">
        <v>2400</v>
      </c>
      <c r="GS11" s="11">
        <v>0</v>
      </c>
      <c r="GT11" s="11">
        <v>45151.63</v>
      </c>
      <c r="GU11" s="11">
        <v>0</v>
      </c>
      <c r="GV11" s="11">
        <v>51854.9</v>
      </c>
      <c r="GW11" s="11">
        <v>56682.97</v>
      </c>
      <c r="GX11" s="11">
        <v>325592</v>
      </c>
      <c r="GY11" s="11">
        <v>2426027</v>
      </c>
      <c r="GZ11" s="11">
        <v>74336</v>
      </c>
      <c r="HA11" s="11">
        <v>414756</v>
      </c>
      <c r="HB11" s="11">
        <v>1616519</v>
      </c>
      <c r="HC11" s="11">
        <v>8924088.6499999985</v>
      </c>
      <c r="HD11" s="11">
        <v>434832.08999999997</v>
      </c>
      <c r="HE11" s="11">
        <v>3432320.61</v>
      </c>
      <c r="HF11" s="11">
        <v>7210093.2999999998</v>
      </c>
      <c r="HG11" s="11">
        <v>1947332.75</v>
      </c>
      <c r="HH11" s="11">
        <v>2725600.2</v>
      </c>
      <c r="HI11" s="11">
        <v>4273844.75</v>
      </c>
      <c r="HJ11" s="11">
        <v>2200</v>
      </c>
      <c r="HK11" s="11">
        <v>7958473.3500000006</v>
      </c>
      <c r="HL11" s="11">
        <v>2368548.75</v>
      </c>
      <c r="HM11" s="11">
        <v>616684</v>
      </c>
      <c r="HN11" s="11">
        <v>4799560.75</v>
      </c>
      <c r="HO11" s="11">
        <v>1845193</v>
      </c>
      <c r="HP11" s="11">
        <v>827899.85</v>
      </c>
      <c r="HQ11" s="11">
        <v>4721120.5</v>
      </c>
      <c r="HR11" s="11">
        <v>673572.91</v>
      </c>
      <c r="HS11" s="11">
        <v>1892924.2</v>
      </c>
      <c r="HT11" s="11">
        <v>863991</v>
      </c>
      <c r="HU11" s="11">
        <v>18192</v>
      </c>
      <c r="HV11" s="11">
        <v>212713</v>
      </c>
      <c r="HW11" s="11">
        <v>567047.5</v>
      </c>
      <c r="HX11" s="11">
        <v>170859</v>
      </c>
      <c r="HY11" s="11">
        <v>1526556.18</v>
      </c>
      <c r="HZ11" s="11">
        <v>265773.52</v>
      </c>
      <c r="IA11" s="11">
        <v>85997.75</v>
      </c>
      <c r="IB11" s="11">
        <v>130867.78</v>
      </c>
      <c r="IC11" s="11">
        <v>298315</v>
      </c>
      <c r="ID11" s="11">
        <v>688329.5</v>
      </c>
      <c r="IE11" s="11">
        <v>0</v>
      </c>
      <c r="IF11" s="11">
        <v>971905.9</v>
      </c>
      <c r="IG11" s="11">
        <v>0</v>
      </c>
      <c r="IH11" s="11">
        <v>0</v>
      </c>
      <c r="II11" s="11">
        <v>1685459.54</v>
      </c>
      <c r="IJ11" s="11">
        <v>429263.12</v>
      </c>
      <c r="IK11" s="11">
        <v>1369309.6</v>
      </c>
      <c r="IL11" s="11">
        <v>302016.25</v>
      </c>
      <c r="IM11" s="11">
        <v>572437.54</v>
      </c>
      <c r="IN11" s="11">
        <v>17769.75</v>
      </c>
      <c r="IO11" s="11">
        <v>279230.5</v>
      </c>
      <c r="IP11" s="11">
        <v>46164.24</v>
      </c>
      <c r="IQ11" s="11">
        <v>64365</v>
      </c>
      <c r="IR11" s="11">
        <v>46674</v>
      </c>
      <c r="IS11" s="11">
        <v>531564.02</v>
      </c>
      <c r="IT11" s="11">
        <v>2625816.13</v>
      </c>
      <c r="IU11" s="11">
        <v>1175139.8599999999</v>
      </c>
      <c r="IV11" s="11">
        <v>334156.23</v>
      </c>
      <c r="IW11" s="11">
        <v>1239357.17</v>
      </c>
      <c r="IX11" s="11">
        <v>343834</v>
      </c>
      <c r="IY11" s="11">
        <v>136041.5</v>
      </c>
      <c r="IZ11" s="11">
        <v>305668</v>
      </c>
      <c r="JA11" s="11">
        <v>191767</v>
      </c>
      <c r="JB11" s="11">
        <v>214959</v>
      </c>
      <c r="JC11" s="11">
        <v>409618.77</v>
      </c>
      <c r="JD11" s="11">
        <v>2073985</v>
      </c>
      <c r="JE11" s="11">
        <v>922452</v>
      </c>
      <c r="JF11" s="11">
        <v>486492.6</v>
      </c>
      <c r="JG11" s="11">
        <v>377306</v>
      </c>
      <c r="JH11" s="11">
        <v>33594</v>
      </c>
      <c r="JI11" s="11">
        <v>31328</v>
      </c>
      <c r="JJ11" s="11">
        <v>0</v>
      </c>
      <c r="JK11" s="11">
        <v>5636</v>
      </c>
      <c r="JL11" s="11">
        <v>7467422.0999999996</v>
      </c>
      <c r="JM11" s="11">
        <v>9500</v>
      </c>
      <c r="JN11" s="11">
        <v>389</v>
      </c>
      <c r="JO11" s="11">
        <v>19300</v>
      </c>
      <c r="JP11" s="11">
        <v>0</v>
      </c>
      <c r="JQ11" s="11">
        <v>418621</v>
      </c>
      <c r="JR11" s="11">
        <v>0</v>
      </c>
      <c r="JS11" s="11">
        <v>7224317.7999999998</v>
      </c>
      <c r="JT11" s="11">
        <v>14987229.220000001</v>
      </c>
      <c r="JU11" s="11">
        <v>-381705.15000000037</v>
      </c>
      <c r="JV11" s="11">
        <v>218208.46999999997</v>
      </c>
      <c r="JW11" s="11">
        <v>537095.87</v>
      </c>
      <c r="JX11" s="11">
        <v>97948</v>
      </c>
      <c r="JY11" s="11">
        <v>622279.99</v>
      </c>
      <c r="JZ11" s="11">
        <v>4415742.9000000004</v>
      </c>
      <c r="KA11" s="11">
        <v>541604.37</v>
      </c>
      <c r="KB11" s="11">
        <v>310969.73</v>
      </c>
      <c r="KC11" s="11">
        <v>111062.34</v>
      </c>
      <c r="KD11" s="11">
        <v>2666804.67</v>
      </c>
      <c r="KE11" s="11">
        <v>2650</v>
      </c>
      <c r="KF11" s="11">
        <v>70246.040000000008</v>
      </c>
      <c r="KG11" s="11">
        <v>0</v>
      </c>
      <c r="KH11" s="11">
        <v>43423.5</v>
      </c>
      <c r="KI11" s="11">
        <v>34469491.400000006</v>
      </c>
      <c r="KJ11" s="11">
        <v>2348867.52</v>
      </c>
      <c r="KK11" s="11">
        <v>700715</v>
      </c>
      <c r="KL11" s="11">
        <v>4089577.1999999997</v>
      </c>
      <c r="KM11" s="11">
        <v>1411416.8</v>
      </c>
      <c r="KN11" s="11">
        <v>1639584.25</v>
      </c>
      <c r="KO11" s="11">
        <v>3887083.41</v>
      </c>
      <c r="KP11" s="11">
        <v>3749958.77</v>
      </c>
      <c r="KQ11" s="11">
        <v>1183518.56</v>
      </c>
      <c r="KR11" s="11">
        <v>4449814.5300000012</v>
      </c>
      <c r="KS11" s="11">
        <v>3776640</v>
      </c>
      <c r="KT11" s="11">
        <v>1057765.1499999999</v>
      </c>
      <c r="KU11" s="11">
        <v>9922157.3299999982</v>
      </c>
      <c r="KV11" s="11">
        <v>8602856.620000001</v>
      </c>
      <c r="KW11" s="11">
        <v>6834790</v>
      </c>
      <c r="KX11" s="11">
        <v>8496891.1799999997</v>
      </c>
      <c r="KY11" s="11">
        <v>1872683.15</v>
      </c>
      <c r="KZ11" s="11">
        <v>4767322.71</v>
      </c>
      <c r="LA11" s="11">
        <v>1572981.99</v>
      </c>
      <c r="LB11" s="11">
        <v>97929.09</v>
      </c>
      <c r="LC11" s="11">
        <v>567999.09000000008</v>
      </c>
      <c r="LD11" s="11">
        <v>513979.33</v>
      </c>
      <c r="LE11" s="11">
        <v>136702</v>
      </c>
      <c r="LF11" s="11">
        <v>1537221.94</v>
      </c>
      <c r="LG11" s="11">
        <v>435967.48</v>
      </c>
      <c r="LH11" s="11">
        <v>21888212.209999997</v>
      </c>
      <c r="LI11" s="11">
        <v>4075052.27</v>
      </c>
      <c r="LJ11" s="11">
        <v>14294348.559999999</v>
      </c>
      <c r="LK11" s="11">
        <v>24884306.34</v>
      </c>
      <c r="LL11" s="11">
        <v>1863486.23</v>
      </c>
      <c r="LM11" s="11">
        <v>2184653</v>
      </c>
      <c r="LN11" s="11">
        <v>113113.25</v>
      </c>
      <c r="LO11" s="11">
        <v>490200</v>
      </c>
      <c r="LP11" s="11">
        <v>18791</v>
      </c>
      <c r="LQ11" s="11">
        <v>8461608.4699999988</v>
      </c>
      <c r="LR11" s="11">
        <v>828767.07</v>
      </c>
      <c r="LS11" s="11">
        <v>7819179.79</v>
      </c>
      <c r="LT11" s="11">
        <v>12236.5</v>
      </c>
      <c r="LU11" s="11">
        <v>416</v>
      </c>
      <c r="LV11" s="11">
        <v>107102835.66</v>
      </c>
      <c r="LW11" s="11">
        <v>4285601.6100000003</v>
      </c>
      <c r="LX11" s="11">
        <v>7366812.1399999997</v>
      </c>
      <c r="LY11" s="11">
        <v>2518296.9400000004</v>
      </c>
      <c r="LZ11" s="11">
        <v>205624.72</v>
      </c>
      <c r="MA11" s="11">
        <v>129756</v>
      </c>
      <c r="MB11" s="11">
        <v>233811.29</v>
      </c>
      <c r="MC11" s="11">
        <v>387031</v>
      </c>
      <c r="MD11" s="11">
        <v>307744.33999999997</v>
      </c>
      <c r="ME11" s="11">
        <v>120426.5</v>
      </c>
      <c r="MF11" s="11">
        <v>552389.54999999993</v>
      </c>
      <c r="MG11" s="11">
        <v>47405</v>
      </c>
      <c r="MH11" s="11">
        <v>8047087.2000000011</v>
      </c>
      <c r="MI11" s="11">
        <v>2310030.42</v>
      </c>
      <c r="MJ11" s="11">
        <v>515919.3</v>
      </c>
      <c r="MK11" s="11">
        <v>1009442.2499999999</v>
      </c>
      <c r="ML11" s="11">
        <v>884864.57000000007</v>
      </c>
      <c r="MM11" s="11">
        <v>11267034.390000001</v>
      </c>
      <c r="MN11" s="11">
        <v>7365226.1799999997</v>
      </c>
      <c r="MO11" s="11">
        <v>1401306.42</v>
      </c>
      <c r="MP11" s="11">
        <v>3096837.5999999996</v>
      </c>
      <c r="MQ11" s="11">
        <v>1594250.7999999998</v>
      </c>
      <c r="MR11" s="11">
        <v>2910469.4699999997</v>
      </c>
      <c r="MS11" s="11">
        <v>1776516</v>
      </c>
      <c r="MT11" s="11">
        <v>10904694.600000001</v>
      </c>
      <c r="MU11" s="11">
        <v>1374480.58</v>
      </c>
      <c r="MV11" s="11">
        <v>3369531.66</v>
      </c>
      <c r="MW11" s="11">
        <v>756124</v>
      </c>
      <c r="MX11" s="11">
        <v>2843397</v>
      </c>
      <c r="MY11" s="11">
        <v>937829</v>
      </c>
      <c r="MZ11" s="11">
        <v>5661816</v>
      </c>
      <c r="NA11" s="11">
        <v>7655237</v>
      </c>
      <c r="NB11" s="11">
        <v>151697.29999999999</v>
      </c>
      <c r="NC11" s="11">
        <v>7523</v>
      </c>
      <c r="ND11" s="11">
        <v>380037</v>
      </c>
      <c r="NE11" s="11">
        <v>28358704.059999999</v>
      </c>
      <c r="NF11" s="11">
        <v>5333756.7699999996</v>
      </c>
      <c r="NG11" s="11">
        <v>7780376.9699999997</v>
      </c>
      <c r="NH11" s="11">
        <v>5071387.24</v>
      </c>
      <c r="NI11" s="11">
        <v>1280517.55</v>
      </c>
      <c r="NJ11" s="11">
        <v>3325171.94</v>
      </c>
      <c r="NK11" s="11">
        <v>4170437.77</v>
      </c>
      <c r="NL11" s="11">
        <v>3165030.6</v>
      </c>
      <c r="NM11" s="11">
        <v>16984</v>
      </c>
      <c r="NN11" s="11">
        <v>35275131.100000001</v>
      </c>
      <c r="NO11" s="11">
        <v>7259535.5</v>
      </c>
      <c r="NP11" s="11">
        <v>1404340.69</v>
      </c>
      <c r="NQ11" s="11">
        <v>6941647.6100000013</v>
      </c>
      <c r="NR11" s="11">
        <v>2355932.8000000007</v>
      </c>
      <c r="NS11" s="11">
        <v>3587454.6799999997</v>
      </c>
      <c r="NT11" s="11">
        <v>2742269.75</v>
      </c>
      <c r="NU11" s="11">
        <v>2151955.2999999998</v>
      </c>
      <c r="NV11" s="11">
        <v>343785.6</v>
      </c>
      <c r="NW11" s="11">
        <v>1084564.1299999999</v>
      </c>
      <c r="NX11" s="11">
        <v>5902401.7000000002</v>
      </c>
      <c r="NY11" s="11">
        <v>2529327.9099999997</v>
      </c>
      <c r="NZ11" s="11">
        <v>168466</v>
      </c>
      <c r="OA11" s="11">
        <v>136714</v>
      </c>
      <c r="OB11" s="11">
        <v>222197.38</v>
      </c>
      <c r="OC11" s="11">
        <v>461719</v>
      </c>
      <c r="OD11" s="11">
        <v>74134</v>
      </c>
      <c r="OE11" s="11">
        <v>18955660.16</v>
      </c>
      <c r="OF11" s="11">
        <v>4010395.7600000007</v>
      </c>
      <c r="OG11" s="11">
        <v>1064822.6399999999</v>
      </c>
      <c r="OH11" s="11">
        <v>8497621.4600000009</v>
      </c>
      <c r="OI11" s="11">
        <v>1526637.7</v>
      </c>
      <c r="OJ11" s="11">
        <v>1110896.6400000001</v>
      </c>
      <c r="OK11" s="11">
        <v>4191966.35</v>
      </c>
      <c r="OL11" s="11">
        <v>607034.06000000006</v>
      </c>
      <c r="OM11" s="11">
        <v>7687515.4100000001</v>
      </c>
      <c r="ON11" s="11">
        <v>17377174.039999999</v>
      </c>
      <c r="OO11" s="11">
        <v>3225728.17</v>
      </c>
      <c r="OP11" s="11">
        <v>16900370.460000001</v>
      </c>
      <c r="OQ11" s="11">
        <v>919238</v>
      </c>
      <c r="OR11" s="11">
        <v>663905</v>
      </c>
      <c r="OS11" s="11">
        <v>0</v>
      </c>
      <c r="OT11" s="11">
        <v>14157369.01</v>
      </c>
      <c r="OU11" s="11">
        <v>595081</v>
      </c>
      <c r="OV11" s="11">
        <v>277250</v>
      </c>
      <c r="OW11" s="11">
        <v>779231.9</v>
      </c>
      <c r="OX11" s="11">
        <v>2903974.2600000002</v>
      </c>
      <c r="OY11" s="11">
        <v>3891542.1799999997</v>
      </c>
      <c r="OZ11" s="11">
        <v>1891184</v>
      </c>
      <c r="PA11" s="11">
        <v>464105</v>
      </c>
      <c r="PB11" s="11">
        <v>483547</v>
      </c>
      <c r="PC11" s="11">
        <v>158540</v>
      </c>
      <c r="PD11" s="11">
        <v>20775</v>
      </c>
      <c r="PE11" s="11">
        <v>54854</v>
      </c>
      <c r="PF11" s="11">
        <v>2500</v>
      </c>
      <c r="PG11" s="11">
        <v>134937</v>
      </c>
      <c r="PH11" s="11">
        <v>67602.45</v>
      </c>
      <c r="PI11" s="11">
        <v>12168</v>
      </c>
      <c r="PJ11" s="11">
        <v>13508</v>
      </c>
      <c r="PK11" s="11">
        <v>0</v>
      </c>
      <c r="PL11" s="11">
        <v>6964.22</v>
      </c>
      <c r="PM11" s="11">
        <v>31697</v>
      </c>
      <c r="PN11" s="11">
        <v>3852.2</v>
      </c>
      <c r="PO11" s="11">
        <v>2050</v>
      </c>
      <c r="PP11" s="11">
        <v>114433.25999999998</v>
      </c>
      <c r="PQ11" s="11">
        <v>0</v>
      </c>
      <c r="PR11" s="11">
        <v>0</v>
      </c>
      <c r="PS11" s="11">
        <v>0</v>
      </c>
      <c r="PT11" s="11">
        <v>0</v>
      </c>
      <c r="PU11" s="11">
        <v>2962583.3600000008</v>
      </c>
      <c r="PV11" s="11">
        <v>14905</v>
      </c>
      <c r="PW11" s="11">
        <v>41889.39</v>
      </c>
      <c r="PX11" s="11">
        <v>20983.5</v>
      </c>
      <c r="PY11" s="11">
        <v>161695.99</v>
      </c>
      <c r="PZ11" s="11">
        <v>11820.55</v>
      </c>
      <c r="QA11" s="11">
        <v>136940.96000000002</v>
      </c>
      <c r="QB11" s="11">
        <v>6900</v>
      </c>
      <c r="QC11" s="11">
        <v>259002.32</v>
      </c>
      <c r="QD11" s="11">
        <v>7170</v>
      </c>
      <c r="QE11" s="11">
        <v>75138.44</v>
      </c>
      <c r="QF11" s="11">
        <v>31740.77</v>
      </c>
      <c r="QG11" s="11">
        <v>13379.65</v>
      </c>
      <c r="QH11" s="11">
        <v>10220.189999999999</v>
      </c>
      <c r="QI11" s="11">
        <v>13500</v>
      </c>
      <c r="QJ11" s="11">
        <v>111895.67</v>
      </c>
      <c r="QK11" s="11">
        <v>15218</v>
      </c>
      <c r="QL11" s="11">
        <v>14945.47</v>
      </c>
      <c r="QM11" s="11">
        <v>10392.09</v>
      </c>
      <c r="QN11" s="11">
        <v>30520.19</v>
      </c>
      <c r="QO11" s="11">
        <v>47857</v>
      </c>
      <c r="QP11" s="11">
        <v>52475.770000000004</v>
      </c>
      <c r="QQ11" s="11">
        <v>2000</v>
      </c>
      <c r="QR11" s="11">
        <v>1660</v>
      </c>
      <c r="QS11" s="11">
        <v>5587.86</v>
      </c>
      <c r="QT11" s="11">
        <v>11140</v>
      </c>
      <c r="QU11" s="11">
        <v>1245850.67</v>
      </c>
      <c r="QV11" s="11">
        <v>2134</v>
      </c>
      <c r="QW11" s="11">
        <v>0</v>
      </c>
      <c r="QX11" s="11">
        <v>75800.62</v>
      </c>
      <c r="QY11" s="11">
        <v>0</v>
      </c>
      <c r="QZ11" s="11">
        <v>0</v>
      </c>
      <c r="RA11" s="11">
        <v>28892</v>
      </c>
      <c r="RB11" s="11">
        <v>173511.72</v>
      </c>
      <c r="RC11" s="11">
        <v>69115</v>
      </c>
      <c r="RD11" s="11">
        <v>2976</v>
      </c>
      <c r="RE11" s="11">
        <v>4542</v>
      </c>
      <c r="RF11" s="11">
        <v>0</v>
      </c>
      <c r="RG11" s="11">
        <v>-38002</v>
      </c>
      <c r="RH11" s="11">
        <v>211346</v>
      </c>
      <c r="RI11" s="11">
        <v>13200</v>
      </c>
      <c r="RJ11" s="11">
        <v>18537</v>
      </c>
      <c r="RK11" s="11">
        <v>28515</v>
      </c>
      <c r="RL11" s="11">
        <v>25137</v>
      </c>
      <c r="RM11" s="11">
        <v>10892.5</v>
      </c>
      <c r="RN11" s="11">
        <v>7000</v>
      </c>
      <c r="RO11" s="11">
        <v>4150</v>
      </c>
      <c r="RP11" s="11">
        <v>128638.3</v>
      </c>
      <c r="RQ11" s="11">
        <v>43820</v>
      </c>
      <c r="RR11" s="11">
        <v>25826</v>
      </c>
      <c r="RS11" s="11">
        <v>125</v>
      </c>
      <c r="RT11" s="11">
        <v>19227.5</v>
      </c>
      <c r="RU11" s="11">
        <v>-2934</v>
      </c>
      <c r="RV11" s="11">
        <v>48680.67</v>
      </c>
      <c r="RW11" s="11">
        <v>60005.75</v>
      </c>
      <c r="RX11" s="11">
        <v>16940.400000000001</v>
      </c>
      <c r="RY11" s="11">
        <v>8624</v>
      </c>
      <c r="RZ11" s="11">
        <v>0</v>
      </c>
      <c r="SA11" s="11">
        <v>0</v>
      </c>
      <c r="SB11" s="11">
        <v>181194.38999999987</v>
      </c>
      <c r="SC11" s="11">
        <v>171400</v>
      </c>
      <c r="SD11" s="11">
        <v>411719.15</v>
      </c>
      <c r="SE11" s="11">
        <v>231267.9</v>
      </c>
      <c r="SF11" s="11">
        <v>32984.94</v>
      </c>
      <c r="SG11" s="11">
        <v>136209</v>
      </c>
      <c r="SH11" s="11">
        <v>153492.37</v>
      </c>
      <c r="SI11" s="11">
        <v>348717</v>
      </c>
      <c r="SJ11" s="11">
        <v>44985.479999999996</v>
      </c>
      <c r="SK11" s="11">
        <v>72348</v>
      </c>
      <c r="SL11" s="11">
        <v>222681.78</v>
      </c>
      <c r="SM11" s="11">
        <v>2154.3999999999996</v>
      </c>
      <c r="SN11" s="11">
        <v>558057.84000000008</v>
      </c>
      <c r="SO11" s="11">
        <v>82568.479999999996</v>
      </c>
      <c r="SP11" s="11">
        <v>43413.5</v>
      </c>
      <c r="SQ11" s="11">
        <v>24371.839999999997</v>
      </c>
      <c r="SR11" s="11">
        <v>80597.999999999985</v>
      </c>
      <c r="SS11" s="11">
        <v>38749.11</v>
      </c>
      <c r="ST11" s="11">
        <v>87326.22</v>
      </c>
      <c r="SU11" s="11">
        <v>110381.68999999999</v>
      </c>
      <c r="SV11" s="11">
        <v>1381935.58</v>
      </c>
      <c r="SW11" s="11">
        <v>42645.919999999998</v>
      </c>
      <c r="SX11" s="11">
        <v>97881</v>
      </c>
      <c r="SY11" s="11">
        <v>180809.1</v>
      </c>
      <c r="SZ11" s="11">
        <v>3884.66</v>
      </c>
      <c r="TA11" s="11">
        <v>188562.43</v>
      </c>
      <c r="TB11" s="11">
        <v>0</v>
      </c>
      <c r="TC11" s="11">
        <v>178000.84</v>
      </c>
      <c r="TD11" s="11">
        <v>19781.25</v>
      </c>
      <c r="TE11" s="11">
        <v>6370</v>
      </c>
      <c r="TF11" s="11">
        <v>28783</v>
      </c>
      <c r="TG11" s="11">
        <v>175455.89</v>
      </c>
      <c r="TH11" s="11">
        <v>102517.75</v>
      </c>
      <c r="TI11" s="11">
        <v>44253.5</v>
      </c>
      <c r="TJ11" s="11">
        <v>587185.77</v>
      </c>
      <c r="TK11" s="11">
        <v>12278.160000000003</v>
      </c>
      <c r="TL11" s="11">
        <v>44429</v>
      </c>
      <c r="TM11" s="11">
        <v>75603</v>
      </c>
      <c r="TN11" s="11">
        <v>133553.78999999998</v>
      </c>
      <c r="TO11" s="11">
        <v>47879</v>
      </c>
      <c r="TP11" s="11">
        <v>10777.52</v>
      </c>
      <c r="TQ11" s="11">
        <v>91508.319999999978</v>
      </c>
      <c r="TR11" s="11">
        <v>20355.260000000009</v>
      </c>
      <c r="TS11" s="11">
        <v>59440</v>
      </c>
      <c r="TT11" s="11">
        <v>144183.32</v>
      </c>
      <c r="TU11" s="11">
        <v>26966.1</v>
      </c>
      <c r="TV11" s="11">
        <v>31476.339999999997</v>
      </c>
      <c r="TW11" s="11">
        <v>42072.45</v>
      </c>
      <c r="TX11" s="11">
        <v>22213.25</v>
      </c>
      <c r="TY11" s="11">
        <v>20076.990000000002</v>
      </c>
      <c r="TZ11" s="11">
        <v>548393.42999999993</v>
      </c>
      <c r="UA11" s="11">
        <v>12334.130000000001</v>
      </c>
      <c r="UB11" s="11">
        <v>565867.60000000009</v>
      </c>
      <c r="UC11" s="11">
        <v>98751.270000000019</v>
      </c>
      <c r="UD11" s="11">
        <v>231034.37999999998</v>
      </c>
      <c r="UE11" s="11">
        <v>124342.36</v>
      </c>
      <c r="UF11" s="11">
        <v>719192.94</v>
      </c>
      <c r="UG11" s="11">
        <v>38359</v>
      </c>
      <c r="UH11" s="11">
        <v>78947</v>
      </c>
      <c r="UI11" s="11">
        <v>0</v>
      </c>
      <c r="UJ11" s="11">
        <v>36849.5</v>
      </c>
      <c r="UK11" s="11">
        <v>136184.01</v>
      </c>
      <c r="UL11" s="11">
        <v>85271.94</v>
      </c>
      <c r="UM11" s="11">
        <v>14808.330000000002</v>
      </c>
      <c r="UN11" s="11">
        <v>57450.270000000004</v>
      </c>
      <c r="UO11" s="11">
        <v>29015.82</v>
      </c>
      <c r="UP11" s="11">
        <v>51810</v>
      </c>
      <c r="UQ11" s="11">
        <v>20948330.68</v>
      </c>
      <c r="UR11" s="11">
        <v>43311</v>
      </c>
      <c r="US11" s="11">
        <v>0</v>
      </c>
      <c r="UT11" s="11">
        <v>37130</v>
      </c>
      <c r="UU11" s="11">
        <v>343</v>
      </c>
      <c r="UV11" s="11">
        <v>10264</v>
      </c>
      <c r="UW11" s="11">
        <v>72754</v>
      </c>
      <c r="UX11" s="11">
        <v>15774.74</v>
      </c>
      <c r="UY11" s="11">
        <v>7484</v>
      </c>
      <c r="UZ11" s="11">
        <v>17936.079999999998</v>
      </c>
      <c r="VA11" s="11">
        <v>1000</v>
      </c>
      <c r="VB11" s="11">
        <v>103429.70999999999</v>
      </c>
      <c r="VC11" s="11">
        <v>35743</v>
      </c>
      <c r="VD11" s="11">
        <v>106338</v>
      </c>
      <c r="VE11" s="11">
        <v>-1050</v>
      </c>
      <c r="VF11" s="11">
        <v>26333.960000000003</v>
      </c>
      <c r="VG11" s="11">
        <v>37579.39</v>
      </c>
      <c r="VH11" s="11">
        <v>2836</v>
      </c>
      <c r="VI11" s="11">
        <v>40083.589999999997</v>
      </c>
      <c r="VJ11" s="11">
        <v>0</v>
      </c>
      <c r="VK11" s="11">
        <v>14369.8</v>
      </c>
      <c r="VL11" s="11">
        <v>2480</v>
      </c>
      <c r="VM11" s="11">
        <v>330127.42000000004</v>
      </c>
      <c r="VN11" s="11">
        <v>7476</v>
      </c>
      <c r="VO11" s="11">
        <v>136135.32</v>
      </c>
      <c r="VP11" s="11">
        <v>7134</v>
      </c>
      <c r="VQ11" s="11">
        <v>173667.95</v>
      </c>
      <c r="VR11" s="11">
        <v>168454</v>
      </c>
      <c r="VS11" s="11">
        <v>58839.5</v>
      </c>
      <c r="VT11" s="11">
        <v>8455</v>
      </c>
      <c r="VU11" s="11">
        <v>69190.5</v>
      </c>
      <c r="VV11" s="11">
        <v>127650</v>
      </c>
      <c r="VW11" s="11">
        <v>5971.25</v>
      </c>
      <c r="VX11" s="11">
        <v>52865</v>
      </c>
      <c r="VY11" s="11">
        <v>29033</v>
      </c>
      <c r="VZ11" s="11">
        <v>59042</v>
      </c>
      <c r="WA11" s="11">
        <v>6290</v>
      </c>
      <c r="WB11" s="11">
        <v>11024687.460000001</v>
      </c>
      <c r="WC11" s="11">
        <v>1350401.06</v>
      </c>
      <c r="WD11" s="11">
        <v>389489.17</v>
      </c>
      <c r="WE11" s="11">
        <v>10222.469999999999</v>
      </c>
      <c r="WF11" s="11">
        <v>153921</v>
      </c>
      <c r="WG11" s="11">
        <v>13146.96</v>
      </c>
      <c r="WH11" s="11">
        <v>685522.5</v>
      </c>
      <c r="WI11" s="11">
        <v>183530.00999999998</v>
      </c>
      <c r="WJ11" s="11">
        <v>43386</v>
      </c>
      <c r="WK11" s="11">
        <v>92925.489999999991</v>
      </c>
      <c r="WL11" s="11">
        <v>24773</v>
      </c>
      <c r="WM11" s="11">
        <v>137358.96</v>
      </c>
      <c r="WN11" s="11">
        <v>51095.95</v>
      </c>
      <c r="WO11" s="11">
        <v>287435.5</v>
      </c>
      <c r="WP11" s="11">
        <v>36717</v>
      </c>
      <c r="WQ11" s="11">
        <v>32694.440000000002</v>
      </c>
      <c r="WR11" s="11">
        <v>12860</v>
      </c>
      <c r="WS11" s="11">
        <v>690171.44</v>
      </c>
      <c r="WT11" s="11">
        <v>88445</v>
      </c>
      <c r="WU11" s="11">
        <v>516761.32</v>
      </c>
      <c r="WV11" s="11">
        <v>3621293.0700000003</v>
      </c>
      <c r="WW11" s="11">
        <v>280007.11</v>
      </c>
      <c r="WX11" s="11">
        <v>6549.49</v>
      </c>
      <c r="WY11" s="11">
        <v>16328.49</v>
      </c>
      <c r="WZ11" s="11">
        <v>461209</v>
      </c>
      <c r="XA11" s="11">
        <v>1207.29</v>
      </c>
      <c r="XB11" s="11">
        <v>1662</v>
      </c>
      <c r="XC11" s="11">
        <v>42855.46</v>
      </c>
      <c r="XD11" s="11">
        <v>959874.49</v>
      </c>
      <c r="XE11" s="11">
        <v>37893.599999999999</v>
      </c>
      <c r="XF11" s="11">
        <v>560.99</v>
      </c>
      <c r="XG11" s="11">
        <v>3813</v>
      </c>
      <c r="XH11" s="11">
        <v>40054.5</v>
      </c>
      <c r="XI11" s="11">
        <v>2494935.7600000002</v>
      </c>
      <c r="XJ11" s="11">
        <v>1710</v>
      </c>
      <c r="XK11" s="11">
        <v>116736.75</v>
      </c>
      <c r="XL11" s="11">
        <v>72289</v>
      </c>
      <c r="XM11" s="11">
        <v>17326.28</v>
      </c>
      <c r="XN11" s="11">
        <v>218475</v>
      </c>
      <c r="XO11" s="11">
        <v>206714.95</v>
      </c>
      <c r="XP11" s="11">
        <v>7076.7</v>
      </c>
      <c r="XQ11" s="11">
        <v>36262</v>
      </c>
      <c r="XR11" s="11">
        <v>115411.29999999999</v>
      </c>
      <c r="XS11" s="11">
        <v>59968</v>
      </c>
      <c r="XT11" s="11">
        <v>2301</v>
      </c>
      <c r="XU11" s="11">
        <v>3835</v>
      </c>
      <c r="XV11" s="11">
        <v>0</v>
      </c>
      <c r="XW11" s="11">
        <v>46974</v>
      </c>
      <c r="XX11" s="11">
        <v>0</v>
      </c>
      <c r="XY11" s="11">
        <v>2896</v>
      </c>
      <c r="XZ11" s="11">
        <v>1192</v>
      </c>
      <c r="YA11" s="11">
        <v>171870.65</v>
      </c>
      <c r="YB11" s="11">
        <v>243639</v>
      </c>
      <c r="YC11" s="11">
        <v>38074</v>
      </c>
      <c r="YD11" s="11">
        <v>5698.7</v>
      </c>
      <c r="YE11" s="11">
        <v>298.5</v>
      </c>
      <c r="YF11" s="11">
        <v>1516490.21</v>
      </c>
      <c r="YG11" s="11">
        <v>17200</v>
      </c>
      <c r="YH11" s="11">
        <v>286733.65000000002</v>
      </c>
      <c r="YI11" s="11">
        <v>-21129.759999999998</v>
      </c>
      <c r="YJ11" s="11">
        <v>389428</v>
      </c>
      <c r="YK11" s="11">
        <v>463800</v>
      </c>
      <c r="YL11" s="11">
        <v>10470</v>
      </c>
      <c r="YM11" s="11">
        <v>19490</v>
      </c>
      <c r="YN11" s="11">
        <v>102015</v>
      </c>
      <c r="YO11" s="11">
        <v>50709</v>
      </c>
      <c r="YP11" s="11">
        <v>191395.25</v>
      </c>
      <c r="YQ11" s="11">
        <v>44718</v>
      </c>
      <c r="YR11" s="11">
        <v>46473.5</v>
      </c>
      <c r="YS11" s="11">
        <v>49445.75</v>
      </c>
      <c r="YT11" s="11">
        <v>2049</v>
      </c>
      <c r="YU11" s="11">
        <v>0</v>
      </c>
      <c r="YV11" s="11">
        <v>54114.75</v>
      </c>
      <c r="YW11" s="11">
        <v>761635.71</v>
      </c>
      <c r="YX11" s="11">
        <v>12334</v>
      </c>
      <c r="YY11" s="11">
        <v>26397</v>
      </c>
      <c r="YZ11" s="11">
        <v>0</v>
      </c>
      <c r="ZA11" s="11">
        <v>34577</v>
      </c>
      <c r="ZB11" s="11">
        <v>570</v>
      </c>
      <c r="ZC11" s="11">
        <v>27296</v>
      </c>
      <c r="ZD11" s="11">
        <v>212818.14999999991</v>
      </c>
      <c r="ZE11" s="11">
        <v>13269</v>
      </c>
      <c r="ZF11" s="11">
        <v>17471.25</v>
      </c>
      <c r="ZG11" s="11">
        <v>12100</v>
      </c>
      <c r="ZH11" s="11">
        <v>5630</v>
      </c>
      <c r="ZI11" s="11">
        <v>6386</v>
      </c>
      <c r="ZJ11" s="11">
        <v>2611</v>
      </c>
      <c r="ZK11" s="11">
        <v>5750.25</v>
      </c>
      <c r="ZL11" s="11">
        <v>-52524</v>
      </c>
      <c r="ZM11" s="11">
        <v>160034</v>
      </c>
      <c r="ZN11" s="11">
        <v>2858</v>
      </c>
      <c r="ZO11" s="11">
        <v>33900</v>
      </c>
      <c r="ZP11" s="11">
        <v>102038</v>
      </c>
      <c r="ZQ11" s="11">
        <v>55200</v>
      </c>
      <c r="ZR11" s="11">
        <v>0</v>
      </c>
      <c r="ZS11" s="11">
        <v>93414</v>
      </c>
      <c r="ZT11" s="11">
        <v>2758.74</v>
      </c>
      <c r="ZU11" s="11">
        <v>44549</v>
      </c>
      <c r="ZV11" s="11">
        <v>25239</v>
      </c>
      <c r="ZW11" s="11">
        <v>4833.25</v>
      </c>
      <c r="ZX11" s="11">
        <v>31073.400000000009</v>
      </c>
      <c r="ZY11" s="11">
        <v>0</v>
      </c>
      <c r="ZZ11" s="11">
        <v>0</v>
      </c>
      <c r="AAA11" s="11">
        <v>71712</v>
      </c>
      <c r="AAB11" s="11">
        <v>2760</v>
      </c>
      <c r="AAC11" s="11">
        <v>113551</v>
      </c>
      <c r="AAD11" s="11">
        <v>619409</v>
      </c>
      <c r="AAE11" s="11">
        <v>7070</v>
      </c>
      <c r="AAF11" s="11">
        <v>7489</v>
      </c>
      <c r="AAG11" s="11">
        <v>-232437</v>
      </c>
      <c r="AAH11" s="11">
        <v>-1238</v>
      </c>
      <c r="AAI11" s="11">
        <v>100449.44000000003</v>
      </c>
      <c r="AAJ11" s="11">
        <v>16597.25</v>
      </c>
      <c r="AAK11" s="11">
        <v>143176</v>
      </c>
      <c r="AAL11" s="11">
        <v>14294</v>
      </c>
      <c r="AAM11" s="11">
        <v>72277.5</v>
      </c>
      <c r="AAN11" s="11">
        <v>8638</v>
      </c>
      <c r="AAO11" s="11">
        <v>4829</v>
      </c>
      <c r="AAP11" s="11">
        <v>260978.40000000002</v>
      </c>
      <c r="AAQ11" s="11">
        <v>5160</v>
      </c>
      <c r="AAR11" s="11">
        <v>15681.86</v>
      </c>
      <c r="AAS11" s="11">
        <v>3200</v>
      </c>
      <c r="AAT11" s="11">
        <v>0</v>
      </c>
      <c r="AAU11" s="11">
        <v>23457.72</v>
      </c>
      <c r="AAV11" s="11">
        <v>0</v>
      </c>
      <c r="AAW11" s="11">
        <v>0</v>
      </c>
      <c r="AAX11" s="11">
        <v>16340</v>
      </c>
      <c r="AAY11" s="11">
        <v>30510</v>
      </c>
      <c r="AAZ11" s="11">
        <v>-1840</v>
      </c>
      <c r="ABA11" s="11">
        <v>0</v>
      </c>
      <c r="ABB11" s="11">
        <v>46800</v>
      </c>
      <c r="ABC11" s="11">
        <v>12566</v>
      </c>
      <c r="ABD11" s="11">
        <v>18890.64</v>
      </c>
      <c r="ABE11" s="11">
        <v>0</v>
      </c>
      <c r="ABF11" s="11">
        <v>11055.5</v>
      </c>
      <c r="ABG11" s="11">
        <v>0</v>
      </c>
      <c r="ABH11" s="11">
        <v>6361</v>
      </c>
      <c r="ABI11" s="11">
        <v>326238</v>
      </c>
      <c r="ABJ11" s="11">
        <v>103100</v>
      </c>
      <c r="ABK11" s="11">
        <v>2000</v>
      </c>
      <c r="ABL11" s="11">
        <v>0</v>
      </c>
      <c r="ABM11" s="11">
        <v>14000</v>
      </c>
      <c r="ABN11" s="11">
        <v>5000</v>
      </c>
      <c r="ABO11" s="11">
        <v>0</v>
      </c>
      <c r="ABP11" s="11">
        <v>14414146.370000001</v>
      </c>
      <c r="ABQ11" s="11">
        <v>798536</v>
      </c>
      <c r="ABR11" s="11">
        <v>128712.5</v>
      </c>
      <c r="ABS11" s="11">
        <v>593530.18999999994</v>
      </c>
      <c r="ABT11" s="11">
        <v>330352.59999999998</v>
      </c>
      <c r="ABU11" s="11">
        <v>665160</v>
      </c>
      <c r="ABV11" s="11">
        <v>380495</v>
      </c>
      <c r="ABW11" s="11">
        <v>232491</v>
      </c>
      <c r="ABX11" s="11">
        <v>91996</v>
      </c>
      <c r="ABY11" s="11">
        <v>51033798.109999999</v>
      </c>
      <c r="ABZ11" s="11">
        <v>8430505.5800000019</v>
      </c>
      <c r="ACA11" s="11">
        <v>3143303.01</v>
      </c>
      <c r="ACB11" s="11">
        <v>688169</v>
      </c>
      <c r="ACC11" s="11">
        <v>4618631.6900000004</v>
      </c>
      <c r="ACD11" s="11">
        <v>5540760.2899999991</v>
      </c>
      <c r="ACE11" s="11">
        <v>2685664.15</v>
      </c>
      <c r="ACF11" s="11">
        <v>1810251.3</v>
      </c>
      <c r="ACG11" s="11">
        <v>1122911.2799999998</v>
      </c>
      <c r="ACH11" s="11">
        <v>2144413</v>
      </c>
      <c r="ACI11" s="11">
        <v>528427.5</v>
      </c>
      <c r="ACJ11" s="11">
        <v>4223838.82</v>
      </c>
      <c r="ACK11" s="11">
        <v>78581</v>
      </c>
      <c r="ACL11" s="11">
        <v>88909.75</v>
      </c>
      <c r="ACM11" s="11">
        <v>1234081.5</v>
      </c>
      <c r="ACN11" s="11">
        <v>500</v>
      </c>
      <c r="ACO11" s="11">
        <v>-3779.75</v>
      </c>
      <c r="ACP11" s="11">
        <v>40747.68</v>
      </c>
      <c r="ACQ11" s="11">
        <v>1628909.88</v>
      </c>
      <c r="ACR11" s="11">
        <v>435118.55999999994</v>
      </c>
      <c r="ACS11" s="11">
        <v>336656</v>
      </c>
      <c r="ACT11" s="11">
        <v>369309</v>
      </c>
      <c r="ACU11" s="11">
        <v>138761</v>
      </c>
      <c r="ACV11" s="11">
        <v>1000</v>
      </c>
      <c r="ACW11" s="11">
        <v>3110390.45</v>
      </c>
      <c r="ACX11" s="11">
        <v>3231942.96</v>
      </c>
      <c r="ACY11" s="11">
        <v>175204.34999999998</v>
      </c>
      <c r="ACZ11" s="11">
        <v>38866</v>
      </c>
      <c r="ADA11" s="11">
        <v>66342</v>
      </c>
      <c r="ADB11" s="11">
        <v>25502</v>
      </c>
      <c r="ADC11" s="11">
        <v>0</v>
      </c>
      <c r="ADD11" s="11">
        <v>0</v>
      </c>
      <c r="ADE11" s="11">
        <v>0</v>
      </c>
      <c r="ADF11" s="11">
        <v>0</v>
      </c>
      <c r="ADG11" s="11">
        <v>13059407.98</v>
      </c>
      <c r="ADH11" s="11">
        <v>13353684.270000001</v>
      </c>
      <c r="ADI11" s="11">
        <v>736573.33000000007</v>
      </c>
      <c r="ADJ11" s="11">
        <v>471441.43999999994</v>
      </c>
      <c r="ADK11" s="11">
        <v>2695039.29</v>
      </c>
      <c r="ADL11" s="11">
        <v>676144</v>
      </c>
      <c r="ADM11" s="11">
        <v>6127467.8199999994</v>
      </c>
      <c r="ADN11" s="11">
        <v>284665.82999999996</v>
      </c>
      <c r="ADO11" s="11">
        <v>1989799</v>
      </c>
      <c r="ADP11" s="11">
        <v>47261265.170000002</v>
      </c>
      <c r="ADQ11" s="11">
        <v>1020632.1799999999</v>
      </c>
      <c r="ADR11" s="11">
        <v>11642377.100000001</v>
      </c>
      <c r="ADS11" s="11">
        <v>3524847.15</v>
      </c>
      <c r="ADT11" s="11">
        <v>51833793.620000005</v>
      </c>
      <c r="ADU11" s="11">
        <v>3335320.43</v>
      </c>
      <c r="ADV11" s="11">
        <v>1160661.9300000002</v>
      </c>
      <c r="ADW11" s="11">
        <v>8172367.7800000003</v>
      </c>
      <c r="ADX11" s="11">
        <v>311112.39</v>
      </c>
      <c r="ADY11" s="11">
        <v>377379.40000000014</v>
      </c>
      <c r="ADZ11" s="11">
        <v>29758720.219999999</v>
      </c>
      <c r="AEA11" s="11">
        <v>10693886.5</v>
      </c>
      <c r="AEB11" s="11">
        <v>3150444.86</v>
      </c>
      <c r="AEC11" s="11">
        <v>1716357.17</v>
      </c>
      <c r="AED11" s="11">
        <v>10096113.34</v>
      </c>
      <c r="AEE11" s="11">
        <v>5845015.379999999</v>
      </c>
      <c r="AEF11" s="11">
        <v>718235.31</v>
      </c>
      <c r="AEG11" s="11">
        <v>1942284.2</v>
      </c>
      <c r="AEH11" s="11">
        <v>824097.77</v>
      </c>
      <c r="AEI11" s="11">
        <v>1410977.5</v>
      </c>
      <c r="AEJ11" s="11">
        <v>1185138.7999999998</v>
      </c>
      <c r="AEK11" s="11">
        <v>1072480.8999999999</v>
      </c>
      <c r="AEL11" s="11">
        <v>175554.73000000004</v>
      </c>
      <c r="AEM11" s="11">
        <v>1434545.55</v>
      </c>
      <c r="AEN11" s="11">
        <v>562369.25</v>
      </c>
      <c r="AEO11" s="11">
        <v>14969521.050000001</v>
      </c>
      <c r="AEP11" s="11">
        <v>421740.95</v>
      </c>
      <c r="AEQ11" s="11">
        <v>1520936.42</v>
      </c>
      <c r="AER11" s="11">
        <v>1711555.5</v>
      </c>
      <c r="AES11" s="11">
        <v>7323519.25</v>
      </c>
      <c r="AET11" s="11">
        <v>1917831.85</v>
      </c>
      <c r="AEU11" s="11">
        <v>1015181</v>
      </c>
      <c r="AEV11" s="11">
        <v>163501</v>
      </c>
      <c r="AEW11" s="11">
        <v>222966.27</v>
      </c>
      <c r="AEX11" s="11">
        <v>514048</v>
      </c>
      <c r="AEY11" s="11">
        <v>1309769.75</v>
      </c>
      <c r="AEZ11" s="11">
        <v>85143</v>
      </c>
      <c r="AFA11" s="11">
        <v>337317.25</v>
      </c>
      <c r="AFB11" s="11">
        <v>56532.520000000004</v>
      </c>
      <c r="AFC11" s="11">
        <v>23709</v>
      </c>
      <c r="AFD11" s="11">
        <v>589323.19000000006</v>
      </c>
      <c r="AFE11" s="11">
        <v>179849.28000000003</v>
      </c>
      <c r="AFF11" s="11">
        <v>49140.12</v>
      </c>
      <c r="AFG11" s="11">
        <v>0</v>
      </c>
      <c r="AFH11" s="11">
        <v>19766.849999999999</v>
      </c>
      <c r="AFI11" s="11">
        <v>50376.2</v>
      </c>
      <c r="AFJ11" s="11">
        <v>1733</v>
      </c>
      <c r="AFK11" s="11">
        <v>12913.83</v>
      </c>
      <c r="AFL11" s="11">
        <v>11020.1</v>
      </c>
      <c r="AFM11" s="11">
        <v>4668</v>
      </c>
      <c r="AFN11" s="11">
        <v>0</v>
      </c>
      <c r="AFO11" s="11">
        <v>0</v>
      </c>
      <c r="AFP11" s="11">
        <v>16878</v>
      </c>
      <c r="AFQ11" s="11">
        <v>4633361.6199999992</v>
      </c>
      <c r="AFR11" s="11">
        <v>457417</v>
      </c>
      <c r="AFS11" s="11">
        <v>165767</v>
      </c>
      <c r="AFT11" s="11">
        <v>783049</v>
      </c>
      <c r="AFU11" s="11">
        <v>0</v>
      </c>
      <c r="AFV11" s="11">
        <v>798</v>
      </c>
      <c r="AFW11" s="11">
        <v>0</v>
      </c>
      <c r="AFX11" s="11">
        <v>939481</v>
      </c>
      <c r="AFY11" s="11">
        <v>1927.5</v>
      </c>
      <c r="AFZ11" s="11">
        <v>0</v>
      </c>
      <c r="AGA11" s="11">
        <v>56148.2</v>
      </c>
      <c r="AGB11" s="11">
        <v>0</v>
      </c>
      <c r="AGC11" s="11">
        <v>117659.40000000002</v>
      </c>
      <c r="AGD11" s="11">
        <v>5454.81</v>
      </c>
      <c r="AGE11" s="11">
        <v>1402.7799999999997</v>
      </c>
      <c r="AGF11" s="11">
        <v>4326.91</v>
      </c>
      <c r="AGG11" s="11">
        <v>-17193.5</v>
      </c>
      <c r="AGH11" s="11">
        <v>500</v>
      </c>
      <c r="AGI11" s="11">
        <v>3491.8899999999994</v>
      </c>
      <c r="AGJ11" s="11">
        <v>92645.5</v>
      </c>
      <c r="AGK11" s="11">
        <v>8767.4</v>
      </c>
      <c r="AGL11" s="11">
        <v>93407.42</v>
      </c>
      <c r="AGM11" s="11">
        <v>146710.89000000001</v>
      </c>
      <c r="AGN11" s="11">
        <v>64458.600000000035</v>
      </c>
      <c r="AGO11" s="11">
        <v>272941.56000000006</v>
      </c>
      <c r="AGP11" s="11">
        <v>3088</v>
      </c>
      <c r="AGQ11" s="11">
        <v>17459</v>
      </c>
      <c r="AGR11" s="11">
        <v>10024</v>
      </c>
      <c r="AGS11" s="11">
        <v>0</v>
      </c>
      <c r="AGT11" s="11">
        <v>36260</v>
      </c>
      <c r="AGU11" s="11">
        <v>0</v>
      </c>
      <c r="AGV11" s="11">
        <v>11997672.379999999</v>
      </c>
      <c r="AGW11" s="11">
        <v>1784313.9</v>
      </c>
      <c r="AGX11" s="11">
        <v>6153</v>
      </c>
      <c r="AGY11" s="11">
        <v>189407</v>
      </c>
      <c r="AGZ11" s="11">
        <v>866700</v>
      </c>
      <c r="AHA11" s="11">
        <v>397989.79999999993</v>
      </c>
      <c r="AHB11" s="11">
        <v>231972</v>
      </c>
      <c r="AHC11" s="11">
        <v>75489</v>
      </c>
      <c r="AHD11" s="11">
        <v>0</v>
      </c>
      <c r="AHE11" s="11">
        <v>330714.33</v>
      </c>
      <c r="AHF11" s="11">
        <v>476425.25</v>
      </c>
      <c r="AHG11" s="11">
        <v>457642.93</v>
      </c>
      <c r="AHH11" s="11">
        <v>52969</v>
      </c>
      <c r="AHI11" s="11">
        <v>876090.6</v>
      </c>
      <c r="AHJ11" s="11">
        <v>177695.25</v>
      </c>
      <c r="AHK11" s="11">
        <v>343200.24</v>
      </c>
      <c r="AHL11" s="11">
        <v>264387.7</v>
      </c>
      <c r="AHM11" s="11">
        <v>1400925.8699999999</v>
      </c>
      <c r="AHN11" s="11">
        <v>26838</v>
      </c>
      <c r="AHO11" s="11">
        <v>31110</v>
      </c>
      <c r="AHP11" s="11">
        <v>16000</v>
      </c>
      <c r="AHQ11" s="11">
        <v>986115</v>
      </c>
      <c r="AHR11" s="11">
        <v>51952</v>
      </c>
      <c r="AHS11" s="11">
        <v>65254</v>
      </c>
      <c r="AHT11" s="11">
        <v>1490250225.5400012</v>
      </c>
      <c r="AHU11" s="11"/>
    </row>
    <row r="12" spans="1:905" x14ac:dyDescent="0.7">
      <c r="B12" s="6" t="s">
        <v>12</v>
      </c>
      <c r="C12" s="6" t="s">
        <v>13</v>
      </c>
      <c r="D12" s="11">
        <v>570522962.01000011</v>
      </c>
      <c r="E12" s="11">
        <v>41999845.280000001</v>
      </c>
      <c r="F12" s="11">
        <v>33851249.25</v>
      </c>
      <c r="G12" s="11">
        <v>5792653.6600000001</v>
      </c>
      <c r="H12" s="11">
        <v>89499267.989999995</v>
      </c>
      <c r="I12" s="11">
        <v>37215853.06000001</v>
      </c>
      <c r="J12" s="11">
        <v>115929296.29000001</v>
      </c>
      <c r="K12" s="11">
        <v>31318708.589999996</v>
      </c>
      <c r="L12" s="11">
        <v>32596083.689999998</v>
      </c>
      <c r="M12" s="11">
        <v>33714300.479999989</v>
      </c>
      <c r="N12" s="11">
        <v>52428685.210000001</v>
      </c>
      <c r="O12" s="11">
        <v>23220377.590000004</v>
      </c>
      <c r="P12" s="11">
        <v>52660394.710000001</v>
      </c>
      <c r="Q12" s="11">
        <v>14040852.73</v>
      </c>
      <c r="R12" s="11">
        <v>15283559.639999999</v>
      </c>
      <c r="S12" s="11">
        <v>20780450.609999999</v>
      </c>
      <c r="T12" s="11">
        <v>22081975.120000005</v>
      </c>
      <c r="U12" s="11">
        <v>9524762.5700000003</v>
      </c>
      <c r="V12" s="11">
        <v>651963432.59000003</v>
      </c>
      <c r="W12" s="11">
        <v>122685868.45999999</v>
      </c>
      <c r="X12" s="11">
        <v>14945968.880000001</v>
      </c>
      <c r="Y12" s="11">
        <v>67230684.439999998</v>
      </c>
      <c r="Z12" s="11">
        <v>21640730.399999999</v>
      </c>
      <c r="AA12" s="11">
        <v>45836512.949999996</v>
      </c>
      <c r="AB12" s="11">
        <v>8909295.0099999998</v>
      </c>
      <c r="AC12" s="11">
        <v>242715715.98999998</v>
      </c>
      <c r="AD12" s="11">
        <v>52933540.340000004</v>
      </c>
      <c r="AE12" s="11">
        <v>34229912.539999999</v>
      </c>
      <c r="AF12" s="11">
        <v>90486219.169999972</v>
      </c>
      <c r="AG12" s="11">
        <v>19170022.240000002</v>
      </c>
      <c r="AH12" s="11">
        <v>130761428.34000002</v>
      </c>
      <c r="AI12" s="11">
        <v>116057748.73</v>
      </c>
      <c r="AJ12" s="11">
        <v>22481299.960000001</v>
      </c>
      <c r="AK12" s="11">
        <v>24401793.610000003</v>
      </c>
      <c r="AL12" s="11">
        <v>16222798.790000003</v>
      </c>
      <c r="AM12" s="11">
        <v>42641665.239999995</v>
      </c>
      <c r="AN12" s="11">
        <v>35895858.810000002</v>
      </c>
      <c r="AO12" s="11">
        <v>29581220.460000001</v>
      </c>
      <c r="AP12" s="11">
        <v>9179811.3900000006</v>
      </c>
      <c r="AQ12" s="11">
        <v>14240394.810000001</v>
      </c>
      <c r="AR12" s="11">
        <v>9456695.709999999</v>
      </c>
      <c r="AS12" s="11">
        <v>3320320.2800000007</v>
      </c>
      <c r="AT12" s="11">
        <v>195751911.72</v>
      </c>
      <c r="AU12" s="11">
        <v>10496608.049999999</v>
      </c>
      <c r="AV12" s="11">
        <v>3854640.28</v>
      </c>
      <c r="AW12" s="11">
        <v>16068595.449999997</v>
      </c>
      <c r="AX12" s="11">
        <v>32833410.23</v>
      </c>
      <c r="AY12" s="11">
        <v>26459181.75</v>
      </c>
      <c r="AZ12" s="11">
        <v>17230054.52</v>
      </c>
      <c r="BA12" s="11">
        <v>14558498.200000001</v>
      </c>
      <c r="BB12" s="11">
        <v>3310116.33</v>
      </c>
      <c r="BC12" s="11">
        <v>9532839.7499999981</v>
      </c>
      <c r="BD12" s="11">
        <v>7635259.1900000004</v>
      </c>
      <c r="BE12" s="11">
        <v>11241772.699999999</v>
      </c>
      <c r="BF12" s="11">
        <v>49766845</v>
      </c>
      <c r="BG12" s="11">
        <v>5672096.0300000003</v>
      </c>
      <c r="BH12" s="11">
        <v>16792587.600000001</v>
      </c>
      <c r="BI12" s="11">
        <v>194993894.64000005</v>
      </c>
      <c r="BJ12" s="11">
        <v>199545972.02999997</v>
      </c>
      <c r="BK12" s="11">
        <v>25770840.969999999</v>
      </c>
      <c r="BL12" s="11">
        <v>19319281.179999996</v>
      </c>
      <c r="BM12" s="11">
        <v>62123131.639999993</v>
      </c>
      <c r="BN12" s="11">
        <v>19006516.880000003</v>
      </c>
      <c r="BO12" s="11">
        <v>13570822.280000001</v>
      </c>
      <c r="BP12" s="11">
        <v>3283507</v>
      </c>
      <c r="BQ12" s="11">
        <v>2766825.04</v>
      </c>
      <c r="BR12" s="11">
        <v>223742996.59999999</v>
      </c>
      <c r="BS12" s="11">
        <v>7610670.9799999995</v>
      </c>
      <c r="BT12" s="11">
        <v>10193287.75</v>
      </c>
      <c r="BU12" s="11">
        <v>40211443.210000001</v>
      </c>
      <c r="BV12" s="11">
        <v>11525627.369999999</v>
      </c>
      <c r="BW12" s="11">
        <v>16129318.57</v>
      </c>
      <c r="BX12" s="11">
        <v>23693582.459999997</v>
      </c>
      <c r="BY12" s="11">
        <v>11738567.24</v>
      </c>
      <c r="BZ12" s="11">
        <v>154949699</v>
      </c>
      <c r="CA12" s="11">
        <v>9856110.0999999996</v>
      </c>
      <c r="CB12" s="11">
        <v>39074660.209999993</v>
      </c>
      <c r="CC12" s="11">
        <v>35926914.75</v>
      </c>
      <c r="CD12" s="11">
        <v>12704603.01</v>
      </c>
      <c r="CE12" s="11">
        <v>33741941.100000001</v>
      </c>
      <c r="CF12" s="11">
        <v>20920824.770000003</v>
      </c>
      <c r="CG12" s="11">
        <v>399980034.95999998</v>
      </c>
      <c r="CH12" s="11">
        <v>16837441.210000001</v>
      </c>
      <c r="CI12" s="11">
        <v>56525038.629999995</v>
      </c>
      <c r="CJ12" s="11">
        <v>6298311.3799999999</v>
      </c>
      <c r="CK12" s="11">
        <v>13687527.310000001</v>
      </c>
      <c r="CL12" s="11">
        <v>6421978.3799999999</v>
      </c>
      <c r="CM12" s="11">
        <v>11068890.540000003</v>
      </c>
      <c r="CN12" s="11">
        <v>21258089.960000001</v>
      </c>
      <c r="CO12" s="11">
        <v>2837524.9</v>
      </c>
      <c r="CP12" s="11">
        <v>10547649.029999999</v>
      </c>
      <c r="CQ12" s="11">
        <v>7372872.5199999996</v>
      </c>
      <c r="CR12" s="11">
        <v>17515535.82</v>
      </c>
      <c r="CS12" s="11">
        <v>4161558.49</v>
      </c>
      <c r="CT12" s="11">
        <v>389903555.52999991</v>
      </c>
      <c r="CU12" s="11">
        <v>12743281.020000001</v>
      </c>
      <c r="CV12" s="11">
        <v>39019942.179999992</v>
      </c>
      <c r="CW12" s="11">
        <v>46023728.960000008</v>
      </c>
      <c r="CX12" s="11">
        <v>12321386.42</v>
      </c>
      <c r="CY12" s="11">
        <v>42680129.280000001</v>
      </c>
      <c r="CZ12" s="11">
        <v>15227100.049999997</v>
      </c>
      <c r="DA12" s="11">
        <v>4397556.5199999996</v>
      </c>
      <c r="DB12" s="11">
        <v>199308845.53999996</v>
      </c>
      <c r="DC12" s="11">
        <v>363047015.1099999</v>
      </c>
      <c r="DD12" s="11">
        <v>84667210.049999997</v>
      </c>
      <c r="DE12" s="11">
        <v>28171748.039999995</v>
      </c>
      <c r="DF12" s="11">
        <v>97772958.080000013</v>
      </c>
      <c r="DG12" s="11">
        <v>124537665.61000001</v>
      </c>
      <c r="DH12" s="11">
        <v>211368988.71000001</v>
      </c>
      <c r="DI12" s="11">
        <v>90181046.75</v>
      </c>
      <c r="DJ12" s="11">
        <v>64465575.440000005</v>
      </c>
      <c r="DK12" s="11">
        <v>565414874.72000003</v>
      </c>
      <c r="DL12" s="11">
        <v>30595398.030000001</v>
      </c>
      <c r="DM12" s="11">
        <v>142492297.81</v>
      </c>
      <c r="DN12" s="11">
        <v>39849560.039999999</v>
      </c>
      <c r="DO12" s="11">
        <v>84071327.280000001</v>
      </c>
      <c r="DP12" s="11">
        <v>85574413.160000011</v>
      </c>
      <c r="DQ12" s="11">
        <v>287133243.29000002</v>
      </c>
      <c r="DR12" s="11">
        <v>10459252.800000001</v>
      </c>
      <c r="DS12" s="11">
        <v>59857312.740000002</v>
      </c>
      <c r="DT12" s="11">
        <v>229080866.66</v>
      </c>
      <c r="DU12" s="11">
        <v>10977969.58</v>
      </c>
      <c r="DV12" s="11">
        <v>165269826</v>
      </c>
      <c r="DW12" s="11">
        <v>95347544.13000001</v>
      </c>
      <c r="DX12" s="11">
        <v>36080769.93</v>
      </c>
      <c r="DY12" s="11">
        <v>121681076.06999999</v>
      </c>
      <c r="DZ12" s="11">
        <v>42415850.149999999</v>
      </c>
      <c r="EA12" s="11">
        <v>10715772.32</v>
      </c>
      <c r="EB12" s="11">
        <v>56699287.560000002</v>
      </c>
      <c r="EC12" s="11">
        <v>11464786.939999999</v>
      </c>
      <c r="ED12" s="11">
        <v>50772543.359999999</v>
      </c>
      <c r="EE12" s="11">
        <v>151004260.56999999</v>
      </c>
      <c r="EF12" s="11">
        <v>134726576.75</v>
      </c>
      <c r="EG12" s="11">
        <v>12941131.34</v>
      </c>
      <c r="EH12" s="11">
        <v>19545169.23</v>
      </c>
      <c r="EI12" s="11">
        <v>35040732.769999996</v>
      </c>
      <c r="EJ12" s="11">
        <v>54199178.359999992</v>
      </c>
      <c r="EK12" s="11">
        <v>42309196.74000001</v>
      </c>
      <c r="EL12" s="11">
        <v>9966736.6099999975</v>
      </c>
      <c r="EM12" s="11">
        <v>12959545.199999999</v>
      </c>
      <c r="EN12" s="11">
        <v>296135685.50999999</v>
      </c>
      <c r="EO12" s="11">
        <v>80459300.359999999</v>
      </c>
      <c r="EP12" s="11">
        <v>44083174.089999989</v>
      </c>
      <c r="EQ12" s="11">
        <v>26623710.030000001</v>
      </c>
      <c r="ER12" s="11">
        <v>20209570.710000005</v>
      </c>
      <c r="ES12" s="11">
        <v>28294649.739999998</v>
      </c>
      <c r="ET12" s="11">
        <v>29646190.419999998</v>
      </c>
      <c r="EU12" s="11">
        <v>45997737.390000001</v>
      </c>
      <c r="EV12" s="11">
        <v>44358527.190000005</v>
      </c>
      <c r="EW12" s="11">
        <v>265916350.16</v>
      </c>
      <c r="EX12" s="11">
        <v>13049145.190000001</v>
      </c>
      <c r="EY12" s="11">
        <v>14488601.439999999</v>
      </c>
      <c r="EZ12" s="11">
        <v>69081583.319999993</v>
      </c>
      <c r="FA12" s="11">
        <v>34362758.810000002</v>
      </c>
      <c r="FB12" s="11">
        <v>36226196.580000006</v>
      </c>
      <c r="FC12" s="11">
        <v>35529601.010000005</v>
      </c>
      <c r="FD12" s="11">
        <v>19022568.620000001</v>
      </c>
      <c r="FE12" s="11">
        <v>26047023.869999997</v>
      </c>
      <c r="FF12" s="11">
        <v>18316700.259999998</v>
      </c>
      <c r="FG12" s="11">
        <v>9557076.459999999</v>
      </c>
      <c r="FH12" s="11">
        <v>39958668.290000007</v>
      </c>
      <c r="FI12" s="11">
        <v>126094394.36999999</v>
      </c>
      <c r="FJ12" s="11">
        <v>7386476.7600000007</v>
      </c>
      <c r="FK12" s="11">
        <v>7422376.2299999995</v>
      </c>
      <c r="FL12" s="11">
        <v>21602175.600000001</v>
      </c>
      <c r="FM12" s="11">
        <v>33492549.689999998</v>
      </c>
      <c r="FN12" s="11">
        <v>11052052.200000001</v>
      </c>
      <c r="FO12" s="11">
        <v>3529138.3499999996</v>
      </c>
      <c r="FP12" s="11">
        <v>1368278.24</v>
      </c>
      <c r="FQ12" s="11">
        <v>619062522.23999989</v>
      </c>
      <c r="FR12" s="11">
        <v>25939359.299999997</v>
      </c>
      <c r="FS12" s="11">
        <v>32681061.240000002</v>
      </c>
      <c r="FT12" s="11">
        <v>42070274.299999997</v>
      </c>
      <c r="FU12" s="11">
        <v>52526739.509999998</v>
      </c>
      <c r="FV12" s="11">
        <v>27289636.170000002</v>
      </c>
      <c r="FW12" s="11">
        <v>40427116.560000002</v>
      </c>
      <c r="FX12" s="11">
        <v>8760201.9800000004</v>
      </c>
      <c r="FY12" s="11">
        <v>34656641.519999996</v>
      </c>
      <c r="FZ12" s="11">
        <v>10726049.25</v>
      </c>
      <c r="GA12" s="11">
        <v>16237547.340000002</v>
      </c>
      <c r="GB12" s="11">
        <v>12941674.26</v>
      </c>
      <c r="GC12" s="11">
        <v>6960186.75</v>
      </c>
      <c r="GD12" s="11">
        <v>4330297.5600000005</v>
      </c>
      <c r="GE12" s="11">
        <v>209401121.08000001</v>
      </c>
      <c r="GF12" s="11">
        <v>36134181.740000002</v>
      </c>
      <c r="GG12" s="11">
        <v>10490092.779999999</v>
      </c>
      <c r="GH12" s="11">
        <v>17321646.829999998</v>
      </c>
      <c r="GI12" s="11">
        <v>53881460.82</v>
      </c>
      <c r="GJ12" s="11">
        <v>23128529.68</v>
      </c>
      <c r="GK12" s="11">
        <v>11344611.130000001</v>
      </c>
      <c r="GL12" s="11">
        <v>31632328.580000002</v>
      </c>
      <c r="GM12" s="11">
        <v>23289947.16</v>
      </c>
      <c r="GN12" s="11">
        <v>6394660.1500000004</v>
      </c>
      <c r="GO12" s="11">
        <v>7437055.1699999999</v>
      </c>
      <c r="GP12" s="11">
        <v>3369509.5</v>
      </c>
      <c r="GQ12" s="11">
        <v>178070824.80000001</v>
      </c>
      <c r="GR12" s="11">
        <v>25877535.019999996</v>
      </c>
      <c r="GS12" s="11">
        <v>23863581.499999996</v>
      </c>
      <c r="GT12" s="11">
        <v>20333357.529999997</v>
      </c>
      <c r="GU12" s="11">
        <v>2317743.7000000002</v>
      </c>
      <c r="GV12" s="11">
        <v>8881920.3399999999</v>
      </c>
      <c r="GW12" s="11">
        <v>8449694.6500000004</v>
      </c>
      <c r="GX12" s="11">
        <v>12061006.239999998</v>
      </c>
      <c r="GY12" s="11">
        <v>248060511.22999999</v>
      </c>
      <c r="GZ12" s="11">
        <v>2336613.12</v>
      </c>
      <c r="HA12" s="11">
        <v>78363818.74000001</v>
      </c>
      <c r="HB12" s="11">
        <v>8111584.3899999997</v>
      </c>
      <c r="HC12" s="11">
        <v>607391891.01999998</v>
      </c>
      <c r="HD12" s="11">
        <v>98628783.49000001</v>
      </c>
      <c r="HE12" s="11">
        <v>41416493.140000008</v>
      </c>
      <c r="HF12" s="11">
        <v>194503690.73999998</v>
      </c>
      <c r="HG12" s="11">
        <v>40942823.039999999</v>
      </c>
      <c r="HH12" s="11">
        <v>138622712.76000002</v>
      </c>
      <c r="HI12" s="11">
        <v>15178427.370000001</v>
      </c>
      <c r="HJ12" s="11">
        <v>17366925.130000003</v>
      </c>
      <c r="HK12" s="11">
        <v>449912211.14999992</v>
      </c>
      <c r="HL12" s="11">
        <v>44894138.770000003</v>
      </c>
      <c r="HM12" s="11">
        <v>81649784.969999999</v>
      </c>
      <c r="HN12" s="11">
        <v>53099093.710000001</v>
      </c>
      <c r="HO12" s="11">
        <v>24677429.330000002</v>
      </c>
      <c r="HP12" s="11">
        <v>38353432.910000004</v>
      </c>
      <c r="HQ12" s="11">
        <v>12904017</v>
      </c>
      <c r="HR12" s="11">
        <v>10827067.76</v>
      </c>
      <c r="HS12" s="11">
        <v>206244689.85999998</v>
      </c>
      <c r="HT12" s="11">
        <v>94425610.540000007</v>
      </c>
      <c r="HU12" s="11">
        <v>3357510.3</v>
      </c>
      <c r="HV12" s="11">
        <v>34130597.700000003</v>
      </c>
      <c r="HW12" s="11">
        <v>25541661.510000002</v>
      </c>
      <c r="HX12" s="11">
        <v>5905450.9199999999</v>
      </c>
      <c r="HY12" s="11">
        <v>82809486.870000005</v>
      </c>
      <c r="HZ12" s="11">
        <v>7722006</v>
      </c>
      <c r="IA12" s="11">
        <v>30723741.710000005</v>
      </c>
      <c r="IB12" s="11">
        <v>23890648.789999999</v>
      </c>
      <c r="IC12" s="11">
        <v>18379304.469999999</v>
      </c>
      <c r="ID12" s="11">
        <v>27842044.580000002</v>
      </c>
      <c r="IE12" s="11">
        <v>11827191.17</v>
      </c>
      <c r="IF12" s="11">
        <v>68329239.700000003</v>
      </c>
      <c r="IG12" s="11">
        <v>9227022.3599999994</v>
      </c>
      <c r="IH12" s="11">
        <v>8842044.6300000008</v>
      </c>
      <c r="II12" s="11">
        <v>247475794.41000003</v>
      </c>
      <c r="IJ12" s="11">
        <v>50302318.899999991</v>
      </c>
      <c r="IK12" s="11">
        <v>49503610.18</v>
      </c>
      <c r="IL12" s="11">
        <v>86479762.599999994</v>
      </c>
      <c r="IM12" s="11">
        <v>55473830.68</v>
      </c>
      <c r="IN12" s="11">
        <v>47963218.009999998</v>
      </c>
      <c r="IO12" s="11">
        <v>20581063.870000001</v>
      </c>
      <c r="IP12" s="11">
        <v>8918283.0299999993</v>
      </c>
      <c r="IQ12" s="11">
        <v>22641482.25</v>
      </c>
      <c r="IR12" s="11">
        <v>39993774.710000001</v>
      </c>
      <c r="IS12" s="11">
        <v>16698175.189999998</v>
      </c>
      <c r="IT12" s="11">
        <v>517441837.78000003</v>
      </c>
      <c r="IU12" s="11">
        <v>137057166.44</v>
      </c>
      <c r="IV12" s="11">
        <v>110510756.35000001</v>
      </c>
      <c r="IW12" s="11">
        <v>84933818.319999993</v>
      </c>
      <c r="IX12" s="11">
        <v>10852616.360000001</v>
      </c>
      <c r="IY12" s="11">
        <v>16997037.600000001</v>
      </c>
      <c r="IZ12" s="11">
        <v>7506542.6900000004</v>
      </c>
      <c r="JA12" s="11">
        <v>8327252.8600000003</v>
      </c>
      <c r="JB12" s="11">
        <v>18587014.23</v>
      </c>
      <c r="JC12" s="11">
        <v>6393228.5</v>
      </c>
      <c r="JD12" s="11">
        <v>9114684.6699999999</v>
      </c>
      <c r="JE12" s="11">
        <v>14534587.530000001</v>
      </c>
      <c r="JF12" s="11">
        <v>153526775.40999997</v>
      </c>
      <c r="JG12" s="11">
        <v>53594547.600000001</v>
      </c>
      <c r="JH12" s="11">
        <v>8019135.6699999999</v>
      </c>
      <c r="JI12" s="11">
        <v>8498657.620000001</v>
      </c>
      <c r="JJ12" s="11">
        <v>6369435.6699999999</v>
      </c>
      <c r="JK12" s="11">
        <v>42672005.039999999</v>
      </c>
      <c r="JL12" s="11">
        <v>211806639.87</v>
      </c>
      <c r="JM12" s="11">
        <v>132707741.7</v>
      </c>
      <c r="JN12" s="11">
        <v>49399212.549999997</v>
      </c>
      <c r="JO12" s="11">
        <v>104615561.67999999</v>
      </c>
      <c r="JP12" s="11">
        <v>25426630.050000001</v>
      </c>
      <c r="JQ12" s="11">
        <v>12233301.549999999</v>
      </c>
      <c r="JR12" s="11">
        <v>39190796.260000005</v>
      </c>
      <c r="JS12" s="11">
        <v>396552922.88</v>
      </c>
      <c r="JT12" s="11">
        <v>222918898.67999998</v>
      </c>
      <c r="JU12" s="11">
        <v>44934302.640000001</v>
      </c>
      <c r="JV12" s="11">
        <v>20204653.109999999</v>
      </c>
      <c r="JW12" s="11">
        <v>21255364.810000002</v>
      </c>
      <c r="JX12" s="11">
        <v>9804777.4900000002</v>
      </c>
      <c r="JY12" s="11">
        <v>71858929.520000011</v>
      </c>
      <c r="JZ12" s="11">
        <v>58479564.009999998</v>
      </c>
      <c r="KA12" s="11">
        <v>51025280.950000003</v>
      </c>
      <c r="KB12" s="11">
        <v>25265150.039999999</v>
      </c>
      <c r="KC12" s="11">
        <v>29701660.939999998</v>
      </c>
      <c r="KD12" s="11">
        <v>10688468.07</v>
      </c>
      <c r="KE12" s="11">
        <v>9117561.7799999993</v>
      </c>
      <c r="KF12" s="11">
        <v>4722946.2699999996</v>
      </c>
      <c r="KG12" s="11">
        <v>12060057.1</v>
      </c>
      <c r="KH12" s="11">
        <v>10685827.300000001</v>
      </c>
      <c r="KI12" s="11">
        <v>484053725.72999996</v>
      </c>
      <c r="KJ12" s="11">
        <v>48210213.879999995</v>
      </c>
      <c r="KK12" s="11">
        <v>51272915.049999997</v>
      </c>
      <c r="KL12" s="11">
        <v>17462736.379999999</v>
      </c>
      <c r="KM12" s="11">
        <v>71415836.099999979</v>
      </c>
      <c r="KN12" s="11">
        <v>19764116.32</v>
      </c>
      <c r="KO12" s="11">
        <v>98421633.699999988</v>
      </c>
      <c r="KP12" s="11">
        <v>55372925.870000005</v>
      </c>
      <c r="KQ12" s="11">
        <v>60309949.110000007</v>
      </c>
      <c r="KR12" s="11">
        <v>191558241.66000003</v>
      </c>
      <c r="KS12" s="11">
        <v>26756354.379999999</v>
      </c>
      <c r="KT12" s="11">
        <v>30768995.209999993</v>
      </c>
      <c r="KU12" s="11">
        <v>215640043.72999999</v>
      </c>
      <c r="KV12" s="11">
        <v>29673432.379999999</v>
      </c>
      <c r="KW12" s="11">
        <v>114712958.38999999</v>
      </c>
      <c r="KX12" s="11">
        <v>414255495.69000006</v>
      </c>
      <c r="KY12" s="11">
        <v>64347322.289999992</v>
      </c>
      <c r="KZ12" s="11">
        <v>354937310.39000005</v>
      </c>
      <c r="LA12" s="11">
        <v>85540685.270000011</v>
      </c>
      <c r="LB12" s="11">
        <v>42086460.509999998</v>
      </c>
      <c r="LC12" s="11">
        <v>90489910.769999981</v>
      </c>
      <c r="LD12" s="11">
        <v>146550873.63</v>
      </c>
      <c r="LE12" s="11">
        <v>60694408.069999993</v>
      </c>
      <c r="LF12" s="11">
        <v>31306864.34</v>
      </c>
      <c r="LG12" s="11">
        <v>15662182.379999999</v>
      </c>
      <c r="LH12" s="11">
        <v>548206196.03999996</v>
      </c>
      <c r="LI12" s="11">
        <v>144756716.25999999</v>
      </c>
      <c r="LJ12" s="11">
        <v>287079672.40999997</v>
      </c>
      <c r="LK12" s="11">
        <v>248771485.10000005</v>
      </c>
      <c r="LL12" s="11">
        <v>108025306.77000001</v>
      </c>
      <c r="LM12" s="11">
        <v>46515018.440000005</v>
      </c>
      <c r="LN12" s="11">
        <v>12047958.59</v>
      </c>
      <c r="LO12" s="11">
        <v>79913589.5</v>
      </c>
      <c r="LP12" s="11">
        <v>6356148.830000001</v>
      </c>
      <c r="LQ12" s="11">
        <v>79122060.859999999</v>
      </c>
      <c r="LR12" s="11">
        <v>15886068.1</v>
      </c>
      <c r="LS12" s="11">
        <v>113527541.2</v>
      </c>
      <c r="LT12" s="11">
        <v>51587835.289999992</v>
      </c>
      <c r="LU12" s="11">
        <v>50914892.289999999</v>
      </c>
      <c r="LV12" s="11">
        <v>627604307.23000002</v>
      </c>
      <c r="LW12" s="11">
        <v>241268663.61000001</v>
      </c>
      <c r="LX12" s="11">
        <v>433177032.62</v>
      </c>
      <c r="LY12" s="11">
        <v>167415494.36000001</v>
      </c>
      <c r="LZ12" s="11">
        <v>77923057.400000006</v>
      </c>
      <c r="MA12" s="11">
        <v>70948705.320000008</v>
      </c>
      <c r="MB12" s="11">
        <v>112102281.38999999</v>
      </c>
      <c r="MC12" s="11">
        <v>32265385.399999995</v>
      </c>
      <c r="MD12" s="11">
        <v>31151781.759999998</v>
      </c>
      <c r="ME12" s="11">
        <v>35259607.239999995</v>
      </c>
      <c r="MF12" s="11">
        <v>94146227.700000003</v>
      </c>
      <c r="MG12" s="11">
        <v>22322320.34</v>
      </c>
      <c r="MH12" s="11">
        <v>840048615.3900001</v>
      </c>
      <c r="MI12" s="11">
        <v>28727008.080000002</v>
      </c>
      <c r="MJ12" s="11">
        <v>8985676.3100000005</v>
      </c>
      <c r="MK12" s="11">
        <v>15648340.799999999</v>
      </c>
      <c r="ML12" s="11">
        <v>12855705.110000001</v>
      </c>
      <c r="MM12" s="11">
        <v>59152321.970000006</v>
      </c>
      <c r="MN12" s="11">
        <v>11322116.029999999</v>
      </c>
      <c r="MO12" s="11">
        <v>9211857.8999999985</v>
      </c>
      <c r="MP12" s="11">
        <v>39677870.369999997</v>
      </c>
      <c r="MQ12" s="11">
        <v>13430884.630000001</v>
      </c>
      <c r="MR12" s="11">
        <v>4320926.58</v>
      </c>
      <c r="MS12" s="11">
        <v>11450239.029999999</v>
      </c>
      <c r="MT12" s="11">
        <v>558334379.7700001</v>
      </c>
      <c r="MU12" s="11">
        <v>10581202.379999999</v>
      </c>
      <c r="MV12" s="11">
        <v>42084280.899999999</v>
      </c>
      <c r="MW12" s="11">
        <v>54944302.890000008</v>
      </c>
      <c r="MX12" s="11">
        <v>39596569.5</v>
      </c>
      <c r="MY12" s="11">
        <v>44723916.920000002</v>
      </c>
      <c r="MZ12" s="11">
        <v>203927908</v>
      </c>
      <c r="NA12" s="11">
        <v>18242831.23</v>
      </c>
      <c r="NB12" s="11">
        <v>74341797.909999996</v>
      </c>
      <c r="NC12" s="11">
        <v>33702637.719999999</v>
      </c>
      <c r="ND12" s="11">
        <v>5730853.8399999999</v>
      </c>
      <c r="NE12" s="11">
        <v>421966487.91000003</v>
      </c>
      <c r="NF12" s="11">
        <v>153139399.63</v>
      </c>
      <c r="NG12" s="11">
        <v>23627706</v>
      </c>
      <c r="NH12" s="11">
        <v>452093257.17000002</v>
      </c>
      <c r="NI12" s="11">
        <v>31610847.120000001</v>
      </c>
      <c r="NJ12" s="11">
        <v>39183829.829999998</v>
      </c>
      <c r="NK12" s="11">
        <v>159376711.00999999</v>
      </c>
      <c r="NL12" s="11">
        <v>220853920.41000003</v>
      </c>
      <c r="NM12" s="11">
        <v>3025677.88</v>
      </c>
      <c r="NN12" s="11">
        <v>42876573.469999999</v>
      </c>
      <c r="NO12" s="11">
        <v>38586525.350000001</v>
      </c>
      <c r="NP12" s="11">
        <v>26503462.59</v>
      </c>
      <c r="NQ12" s="11">
        <v>179010987.73000002</v>
      </c>
      <c r="NR12" s="11">
        <v>14839468.359999999</v>
      </c>
      <c r="NS12" s="11">
        <v>19271399.990000002</v>
      </c>
      <c r="NT12" s="11">
        <v>29717407.589999996</v>
      </c>
      <c r="NU12" s="11">
        <v>19193125.720000003</v>
      </c>
      <c r="NV12" s="11">
        <v>1247602.98</v>
      </c>
      <c r="NW12" s="11">
        <v>16429038.060000001</v>
      </c>
      <c r="NX12" s="11">
        <v>464081859.40999997</v>
      </c>
      <c r="NY12" s="11">
        <v>151114034.48999998</v>
      </c>
      <c r="NZ12" s="11">
        <v>6994428.1900000004</v>
      </c>
      <c r="OA12" s="11">
        <v>17028430.870000001</v>
      </c>
      <c r="OB12" s="11">
        <v>21437169.57</v>
      </c>
      <c r="OC12" s="11">
        <v>64763424.849999994</v>
      </c>
      <c r="OD12" s="11">
        <v>6729515.1799999997</v>
      </c>
      <c r="OE12" s="11">
        <v>705439758.23000002</v>
      </c>
      <c r="OF12" s="11">
        <v>114839312.91000001</v>
      </c>
      <c r="OG12" s="11">
        <v>47236987.57</v>
      </c>
      <c r="OH12" s="11">
        <v>100199935.65000001</v>
      </c>
      <c r="OI12" s="11">
        <v>21254530.120000001</v>
      </c>
      <c r="OJ12" s="11">
        <v>47680303.060000002</v>
      </c>
      <c r="OK12" s="11">
        <v>65035886.710000001</v>
      </c>
      <c r="OL12" s="11">
        <v>20425279.119999997</v>
      </c>
      <c r="OM12" s="11">
        <v>160999440.34999999</v>
      </c>
      <c r="ON12" s="11">
        <v>490719406.05000001</v>
      </c>
      <c r="OO12" s="11">
        <v>171769159.08999997</v>
      </c>
      <c r="OP12" s="11">
        <v>223926504.25999999</v>
      </c>
      <c r="OQ12" s="11">
        <v>170011942.36000001</v>
      </c>
      <c r="OR12" s="11">
        <v>58401599.039999999</v>
      </c>
      <c r="OS12" s="11">
        <v>17262800.080000002</v>
      </c>
      <c r="OT12" s="11">
        <v>268111617.41</v>
      </c>
      <c r="OU12" s="11">
        <v>29748834.91</v>
      </c>
      <c r="OV12" s="11">
        <v>41226495.590000004</v>
      </c>
      <c r="OW12" s="11">
        <v>36156989.68</v>
      </c>
      <c r="OX12" s="11">
        <v>32977027.800000001</v>
      </c>
      <c r="OY12" s="11">
        <v>111675109.24000001</v>
      </c>
      <c r="OZ12" s="11">
        <v>22906689.43</v>
      </c>
      <c r="PA12" s="11">
        <v>38119579.690000005</v>
      </c>
      <c r="PB12" s="11">
        <v>13550875.4</v>
      </c>
      <c r="PC12" s="11">
        <v>337694438.31000006</v>
      </c>
      <c r="PD12" s="11">
        <v>11859733.08</v>
      </c>
      <c r="PE12" s="11">
        <v>47591526.549999997</v>
      </c>
      <c r="PF12" s="11">
        <v>7723226.5300000012</v>
      </c>
      <c r="PG12" s="11">
        <v>32285266.419999998</v>
      </c>
      <c r="PH12" s="11">
        <v>165044042.08000001</v>
      </c>
      <c r="PI12" s="11">
        <v>19689871.27</v>
      </c>
      <c r="PJ12" s="11">
        <v>21194093.689999998</v>
      </c>
      <c r="PK12" s="11">
        <v>13576572.470000001</v>
      </c>
      <c r="PL12" s="11">
        <v>14524233.24</v>
      </c>
      <c r="PM12" s="11">
        <v>26041785.57</v>
      </c>
      <c r="PN12" s="11">
        <v>29294595.759999998</v>
      </c>
      <c r="PO12" s="11">
        <v>25542378.829999998</v>
      </c>
      <c r="PP12" s="11">
        <v>41178155.519999996</v>
      </c>
      <c r="PQ12" s="11">
        <v>23001813.57</v>
      </c>
      <c r="PR12" s="11">
        <v>13174835.199999999</v>
      </c>
      <c r="PS12" s="11">
        <v>29176310.32</v>
      </c>
      <c r="PT12" s="11">
        <v>23769427.850000001</v>
      </c>
      <c r="PU12" s="11">
        <v>779991374.36000001</v>
      </c>
      <c r="PV12" s="11">
        <v>23183295.93</v>
      </c>
      <c r="PW12" s="11">
        <v>35601695.369999997</v>
      </c>
      <c r="PX12" s="11">
        <v>62186029.939999998</v>
      </c>
      <c r="PY12" s="11">
        <v>234970274.52999997</v>
      </c>
      <c r="PZ12" s="11">
        <v>47688014.490000002</v>
      </c>
      <c r="QA12" s="11">
        <v>54410276.160000011</v>
      </c>
      <c r="QB12" s="11">
        <v>33775055.869999997</v>
      </c>
      <c r="QC12" s="11">
        <v>61368288.250000007</v>
      </c>
      <c r="QD12" s="11">
        <v>7782350.4500000002</v>
      </c>
      <c r="QE12" s="11">
        <v>168312607.57999998</v>
      </c>
      <c r="QF12" s="11">
        <v>16046374.279999999</v>
      </c>
      <c r="QG12" s="11">
        <v>56673336.230000004</v>
      </c>
      <c r="QH12" s="11">
        <v>65891985.270000003</v>
      </c>
      <c r="QI12" s="11">
        <v>15334339.600000001</v>
      </c>
      <c r="QJ12" s="11">
        <v>30271406.73</v>
      </c>
      <c r="QK12" s="11">
        <v>16465332.969999999</v>
      </c>
      <c r="QL12" s="11">
        <v>10346336.060000001</v>
      </c>
      <c r="QM12" s="11">
        <v>13742610.75</v>
      </c>
      <c r="QN12" s="11">
        <v>27299394.359999999</v>
      </c>
      <c r="QO12" s="11">
        <v>110247779.61</v>
      </c>
      <c r="QP12" s="11">
        <v>18199726.469999999</v>
      </c>
      <c r="QQ12" s="11">
        <v>9086516.0899999999</v>
      </c>
      <c r="QR12" s="11">
        <v>5535456.04</v>
      </c>
      <c r="QS12" s="11">
        <v>26798726.409999996</v>
      </c>
      <c r="QT12" s="11">
        <v>3523244.24</v>
      </c>
      <c r="QU12" s="11">
        <v>547406107.37</v>
      </c>
      <c r="QV12" s="11">
        <v>8899838.6400000006</v>
      </c>
      <c r="QW12" s="11">
        <v>139799816.78</v>
      </c>
      <c r="QX12" s="11">
        <v>14256608.540000001</v>
      </c>
      <c r="QY12" s="11">
        <v>47654943.009999998</v>
      </c>
      <c r="QZ12" s="11">
        <v>25447141.890000001</v>
      </c>
      <c r="RA12" s="11">
        <v>26217400.52</v>
      </c>
      <c r="RB12" s="11">
        <v>30142315.530000001</v>
      </c>
      <c r="RC12" s="11">
        <v>22294265.270000003</v>
      </c>
      <c r="RD12" s="11">
        <v>38250183.310000002</v>
      </c>
      <c r="RE12" s="11">
        <v>27586515.600000001</v>
      </c>
      <c r="RF12" s="11">
        <v>17813672.190000001</v>
      </c>
      <c r="RG12" s="11">
        <v>14191506.289999999</v>
      </c>
      <c r="RH12" s="11">
        <v>429913746.47999996</v>
      </c>
      <c r="RI12" s="11">
        <v>88365773.379999995</v>
      </c>
      <c r="RJ12" s="11">
        <v>33861052.560000002</v>
      </c>
      <c r="RK12" s="11">
        <v>35044787.18</v>
      </c>
      <c r="RL12" s="11">
        <v>44078353.980000004</v>
      </c>
      <c r="RM12" s="11">
        <v>108952522.91</v>
      </c>
      <c r="RN12" s="11">
        <v>144855852.59000003</v>
      </c>
      <c r="RO12" s="11">
        <v>45797439.780000001</v>
      </c>
      <c r="RP12" s="11">
        <v>15450438.090000002</v>
      </c>
      <c r="RQ12" s="11">
        <v>81210526.550000012</v>
      </c>
      <c r="RR12" s="11">
        <v>182845364.10000002</v>
      </c>
      <c r="RS12" s="11">
        <v>11476149.439999999</v>
      </c>
      <c r="RT12" s="11">
        <v>15174310.829999998</v>
      </c>
      <c r="RU12" s="11">
        <v>51229039.240000002</v>
      </c>
      <c r="RV12" s="11">
        <v>12614789.33</v>
      </c>
      <c r="RW12" s="11">
        <v>18989648.789999999</v>
      </c>
      <c r="RX12" s="11">
        <v>69062480.680000007</v>
      </c>
      <c r="RY12" s="11">
        <v>14103767.92</v>
      </c>
      <c r="RZ12" s="11">
        <v>6070805.5</v>
      </c>
      <c r="SA12" s="11">
        <v>15890863.390000001</v>
      </c>
      <c r="SB12" s="11">
        <v>173987252.97</v>
      </c>
      <c r="SC12" s="11">
        <v>17149680.899999999</v>
      </c>
      <c r="SD12" s="11">
        <v>18086303.449999999</v>
      </c>
      <c r="SE12" s="11">
        <v>11013993.389999999</v>
      </c>
      <c r="SF12" s="11">
        <v>11290053.880000001</v>
      </c>
      <c r="SG12" s="11">
        <v>22797642.949999996</v>
      </c>
      <c r="SH12" s="11">
        <v>60007595.470000006</v>
      </c>
      <c r="SI12" s="11">
        <v>43488927.810000002</v>
      </c>
      <c r="SJ12" s="11">
        <v>36879684.489999995</v>
      </c>
      <c r="SK12" s="11">
        <v>20472488.77</v>
      </c>
      <c r="SL12" s="11">
        <v>30578033.870000005</v>
      </c>
      <c r="SM12" s="11">
        <v>6885204.6400000006</v>
      </c>
      <c r="SN12" s="11">
        <v>139967727.01999998</v>
      </c>
      <c r="SO12" s="11">
        <v>19790699.77</v>
      </c>
      <c r="SP12" s="11">
        <v>29771810.370000001</v>
      </c>
      <c r="SQ12" s="11">
        <v>26845838.390000001</v>
      </c>
      <c r="SR12" s="11">
        <v>26838060.350000001</v>
      </c>
      <c r="SS12" s="11">
        <v>17021680.609999999</v>
      </c>
      <c r="ST12" s="11">
        <v>17264310.18</v>
      </c>
      <c r="SU12" s="11">
        <v>15775228.23</v>
      </c>
      <c r="SV12" s="11">
        <v>137798102.09999999</v>
      </c>
      <c r="SW12" s="11">
        <v>21177287.5</v>
      </c>
      <c r="SX12" s="11">
        <v>18471890.41</v>
      </c>
      <c r="SY12" s="11">
        <v>13609044.469999999</v>
      </c>
      <c r="SZ12" s="11">
        <v>7040576.5699999994</v>
      </c>
      <c r="TA12" s="11">
        <v>13964610.620000001</v>
      </c>
      <c r="TB12" s="11">
        <v>7813439.6300000008</v>
      </c>
      <c r="TC12" s="11">
        <v>71766637.940000027</v>
      </c>
      <c r="TD12" s="11">
        <v>6829842.5200000005</v>
      </c>
      <c r="TE12" s="11">
        <v>6981139.04</v>
      </c>
      <c r="TF12" s="11">
        <v>15928111.120000003</v>
      </c>
      <c r="TG12" s="11">
        <v>29578963.729999997</v>
      </c>
      <c r="TH12" s="11">
        <v>13498139.27</v>
      </c>
      <c r="TI12" s="11">
        <v>8458111.6499999985</v>
      </c>
      <c r="TJ12" s="11">
        <v>290977764.91000003</v>
      </c>
      <c r="TK12" s="11">
        <v>22744956.810000002</v>
      </c>
      <c r="TL12" s="11">
        <v>6688360.0200000005</v>
      </c>
      <c r="TM12" s="11">
        <v>45643840.450000003</v>
      </c>
      <c r="TN12" s="11">
        <v>40355929.089999996</v>
      </c>
      <c r="TO12" s="11">
        <v>21301182.629999999</v>
      </c>
      <c r="TP12" s="11">
        <v>7952248.3799999999</v>
      </c>
      <c r="TQ12" s="11">
        <v>66886834.690000005</v>
      </c>
      <c r="TR12" s="11">
        <v>43432187.120000005</v>
      </c>
      <c r="TS12" s="11">
        <v>38199409.670000002</v>
      </c>
      <c r="TT12" s="11">
        <v>42746280.099999994</v>
      </c>
      <c r="TU12" s="11">
        <v>9988226.3800000027</v>
      </c>
      <c r="TV12" s="11">
        <v>9547861.5</v>
      </c>
      <c r="TW12" s="11">
        <v>24906683.530000001</v>
      </c>
      <c r="TX12" s="11">
        <v>15983514.880000001</v>
      </c>
      <c r="TY12" s="11">
        <v>20480745.98</v>
      </c>
      <c r="TZ12" s="11">
        <v>127403623.02000001</v>
      </c>
      <c r="UA12" s="11">
        <v>18122556.359999999</v>
      </c>
      <c r="UB12" s="11">
        <v>319266098.70000005</v>
      </c>
      <c r="UC12" s="11">
        <v>49637391.909999996</v>
      </c>
      <c r="UD12" s="11">
        <v>15645814.129999999</v>
      </c>
      <c r="UE12" s="11">
        <v>24930604.510000005</v>
      </c>
      <c r="UF12" s="11">
        <v>127627133.77</v>
      </c>
      <c r="UG12" s="11">
        <v>23761524.75</v>
      </c>
      <c r="UH12" s="11">
        <v>8672774.6099999994</v>
      </c>
      <c r="UI12" s="11">
        <v>9027147.4399999995</v>
      </c>
      <c r="UJ12" s="11">
        <v>14842690.879999999</v>
      </c>
      <c r="UK12" s="11">
        <v>340670982.16999996</v>
      </c>
      <c r="UL12" s="11">
        <v>40491171.119999997</v>
      </c>
      <c r="UM12" s="11">
        <v>21730856.779999997</v>
      </c>
      <c r="UN12" s="11">
        <v>22621994.82</v>
      </c>
      <c r="UO12" s="11">
        <v>26101899.279999997</v>
      </c>
      <c r="UP12" s="11">
        <v>22037242.860000003</v>
      </c>
      <c r="UQ12" s="11">
        <v>892278725.91000009</v>
      </c>
      <c r="UR12" s="11">
        <v>39065526.780000001</v>
      </c>
      <c r="US12" s="11">
        <v>26362423.830000002</v>
      </c>
      <c r="UT12" s="11">
        <v>193216124.07999995</v>
      </c>
      <c r="UU12" s="11">
        <v>25862489.940000001</v>
      </c>
      <c r="UV12" s="11">
        <v>26733624.309999999</v>
      </c>
      <c r="UW12" s="11">
        <v>82290342.049999997</v>
      </c>
      <c r="UX12" s="11">
        <v>9791239.5299999993</v>
      </c>
      <c r="UY12" s="11">
        <v>11841853.48</v>
      </c>
      <c r="UZ12" s="11">
        <v>23493906.359999999</v>
      </c>
      <c r="VA12" s="11">
        <v>29700868.209999997</v>
      </c>
      <c r="VB12" s="11">
        <v>63662065.619999997</v>
      </c>
      <c r="VC12" s="11">
        <v>18926880.920000002</v>
      </c>
      <c r="VD12" s="11">
        <v>28989666.210000001</v>
      </c>
      <c r="VE12" s="11">
        <v>10964491.809999999</v>
      </c>
      <c r="VF12" s="11">
        <v>14004407.85</v>
      </c>
      <c r="VG12" s="11">
        <v>16260275.24</v>
      </c>
      <c r="VH12" s="11">
        <v>19027907.300000001</v>
      </c>
      <c r="VI12" s="11">
        <v>68567868.290000007</v>
      </c>
      <c r="VJ12" s="11">
        <v>7705355.3399999999</v>
      </c>
      <c r="VK12" s="11">
        <v>12398963.67</v>
      </c>
      <c r="VL12" s="11">
        <v>4418835.66</v>
      </c>
      <c r="VM12" s="11">
        <v>279756977.53000003</v>
      </c>
      <c r="VN12" s="11">
        <v>24572169.579999998</v>
      </c>
      <c r="VO12" s="11">
        <v>43597216.219999999</v>
      </c>
      <c r="VP12" s="11">
        <v>30505095.100000001</v>
      </c>
      <c r="VQ12" s="11">
        <v>51833966.470000006</v>
      </c>
      <c r="VR12" s="11">
        <v>68931398</v>
      </c>
      <c r="VS12" s="11">
        <v>14928821.140000001</v>
      </c>
      <c r="VT12" s="11">
        <v>32451852.379999999</v>
      </c>
      <c r="VU12" s="11">
        <v>27954591.75</v>
      </c>
      <c r="VV12" s="11">
        <v>158763829.44</v>
      </c>
      <c r="VW12" s="11">
        <v>26212412.490000002</v>
      </c>
      <c r="VX12" s="11">
        <v>169532367.09</v>
      </c>
      <c r="VY12" s="11">
        <v>11666533.5</v>
      </c>
      <c r="VZ12" s="11">
        <v>6397983.4299999997</v>
      </c>
      <c r="WA12" s="11">
        <v>18647601.990000002</v>
      </c>
      <c r="WB12" s="11">
        <v>1408009995.8000002</v>
      </c>
      <c r="WC12" s="11">
        <v>93523250.079999998</v>
      </c>
      <c r="WD12" s="11">
        <v>30649777.099999998</v>
      </c>
      <c r="WE12" s="11">
        <v>22714777.27</v>
      </c>
      <c r="WF12" s="11">
        <v>24577203.530000001</v>
      </c>
      <c r="WG12" s="11">
        <v>43178176.120000005</v>
      </c>
      <c r="WH12" s="11">
        <v>32840930.070000004</v>
      </c>
      <c r="WI12" s="11">
        <v>41181702.949999988</v>
      </c>
      <c r="WJ12" s="11">
        <v>16627870.75</v>
      </c>
      <c r="WK12" s="11">
        <v>39250738.359999999</v>
      </c>
      <c r="WL12" s="11">
        <v>19121421.269999996</v>
      </c>
      <c r="WM12" s="11">
        <v>69881883.299999997</v>
      </c>
      <c r="WN12" s="11">
        <v>44015732.799999997</v>
      </c>
      <c r="WO12" s="11">
        <v>88830942.434</v>
      </c>
      <c r="WP12" s="11">
        <v>77218575.420000002</v>
      </c>
      <c r="WQ12" s="11">
        <v>61390420.250000007</v>
      </c>
      <c r="WR12" s="11">
        <v>8873368.8800000008</v>
      </c>
      <c r="WS12" s="11">
        <v>75120787.99000001</v>
      </c>
      <c r="WT12" s="11">
        <v>17670563.030000001</v>
      </c>
      <c r="WU12" s="11">
        <v>63939537.129999995</v>
      </c>
      <c r="WV12" s="11">
        <v>138282953.90000001</v>
      </c>
      <c r="WW12" s="11">
        <v>19054438.849999998</v>
      </c>
      <c r="WX12" s="11">
        <v>25146869.370000001</v>
      </c>
      <c r="WY12" s="11">
        <v>10962736.239999998</v>
      </c>
      <c r="WZ12" s="11">
        <v>13084944.08</v>
      </c>
      <c r="XA12" s="11">
        <v>2668127.4500000002</v>
      </c>
      <c r="XB12" s="11">
        <v>6085691.1099999994</v>
      </c>
      <c r="XC12" s="11">
        <v>9464108.040000001</v>
      </c>
      <c r="XD12" s="11">
        <v>154408578.36000001</v>
      </c>
      <c r="XE12" s="11">
        <v>4483647.6599999992</v>
      </c>
      <c r="XF12" s="11">
        <v>14620162.890000001</v>
      </c>
      <c r="XG12" s="11">
        <v>5017645.54</v>
      </c>
      <c r="XH12" s="11">
        <v>10452491.49</v>
      </c>
      <c r="XI12" s="11">
        <v>713761630.1700002</v>
      </c>
      <c r="XJ12" s="11">
        <v>84847638.629999995</v>
      </c>
      <c r="XK12" s="11">
        <v>98021476.780000001</v>
      </c>
      <c r="XL12" s="11">
        <v>121408947.75</v>
      </c>
      <c r="XM12" s="11">
        <v>26933502.389999997</v>
      </c>
      <c r="XN12" s="11">
        <v>44879701.640000008</v>
      </c>
      <c r="XO12" s="11">
        <v>111456103.80000001</v>
      </c>
      <c r="XP12" s="11">
        <v>32214363.769999996</v>
      </c>
      <c r="XQ12" s="11">
        <v>18899851.210000001</v>
      </c>
      <c r="XR12" s="11">
        <v>84992909.5</v>
      </c>
      <c r="XS12" s="11">
        <v>97966253.019999996</v>
      </c>
      <c r="XT12" s="11">
        <v>15833179.279999999</v>
      </c>
      <c r="XU12" s="11">
        <v>43087043.200000003</v>
      </c>
      <c r="XV12" s="11">
        <v>51122741.389999993</v>
      </c>
      <c r="XW12" s="11">
        <v>30964784.029999997</v>
      </c>
      <c r="XX12" s="11">
        <v>11664373.860000001</v>
      </c>
      <c r="XY12" s="11">
        <v>14980249.18</v>
      </c>
      <c r="XZ12" s="11">
        <v>27990190.590000004</v>
      </c>
      <c r="YA12" s="11">
        <v>8741582.6699999981</v>
      </c>
      <c r="YB12" s="11">
        <v>23673560.539999999</v>
      </c>
      <c r="YC12" s="11">
        <v>38379387.340000004</v>
      </c>
      <c r="YD12" s="11">
        <v>9473312.160000002</v>
      </c>
      <c r="YE12" s="11">
        <v>16702383.590000002</v>
      </c>
      <c r="YF12" s="11">
        <v>585901078.69000006</v>
      </c>
      <c r="YG12" s="11">
        <v>70600098.300000012</v>
      </c>
      <c r="YH12" s="11">
        <v>36839715.559999995</v>
      </c>
      <c r="YI12" s="11">
        <v>61213536.659999996</v>
      </c>
      <c r="YJ12" s="11">
        <v>149439096.44</v>
      </c>
      <c r="YK12" s="11">
        <v>121821372.95</v>
      </c>
      <c r="YL12" s="11">
        <v>152013802.87</v>
      </c>
      <c r="YM12" s="11">
        <v>21386119.989999998</v>
      </c>
      <c r="YN12" s="11">
        <v>225081488.71000001</v>
      </c>
      <c r="YO12" s="11">
        <v>120983936.95</v>
      </c>
      <c r="YP12" s="11">
        <v>60691980.890000001</v>
      </c>
      <c r="YQ12" s="11">
        <v>23889676.59</v>
      </c>
      <c r="YR12" s="11">
        <v>9333645.8099999987</v>
      </c>
      <c r="YS12" s="11">
        <v>4208633.4399999995</v>
      </c>
      <c r="YT12" s="11">
        <v>12414498.32</v>
      </c>
      <c r="YU12" s="11">
        <v>34781124.109999999</v>
      </c>
      <c r="YV12" s="11">
        <v>24300716.16</v>
      </c>
      <c r="YW12" s="11">
        <v>175639198.78</v>
      </c>
      <c r="YX12" s="11">
        <v>38103506.829999998</v>
      </c>
      <c r="YY12" s="11">
        <v>11934410.339999998</v>
      </c>
      <c r="YZ12" s="11">
        <v>15730338.59</v>
      </c>
      <c r="ZA12" s="11">
        <v>16883043.689999998</v>
      </c>
      <c r="ZB12" s="11">
        <v>14471790.92</v>
      </c>
      <c r="ZC12" s="11">
        <v>8872592.3399999999</v>
      </c>
      <c r="ZD12" s="11">
        <v>306489083.75</v>
      </c>
      <c r="ZE12" s="11">
        <v>7784150.2999999998</v>
      </c>
      <c r="ZF12" s="11">
        <v>34548193.410000004</v>
      </c>
      <c r="ZG12" s="11">
        <v>23963325.990000002</v>
      </c>
      <c r="ZH12" s="11">
        <v>28896225.999999993</v>
      </c>
      <c r="ZI12" s="11">
        <v>8096796</v>
      </c>
      <c r="ZJ12" s="11">
        <v>39458065.460000008</v>
      </c>
      <c r="ZK12" s="11">
        <v>8687431.1699999999</v>
      </c>
      <c r="ZL12" s="11">
        <v>92321960.689999998</v>
      </c>
      <c r="ZM12" s="11">
        <v>165335144.13999999</v>
      </c>
      <c r="ZN12" s="11">
        <v>36311830.510000005</v>
      </c>
      <c r="ZO12" s="11">
        <v>22139334.91</v>
      </c>
      <c r="ZP12" s="11">
        <v>93994066.030000001</v>
      </c>
      <c r="ZQ12" s="11">
        <v>28622579.710000001</v>
      </c>
      <c r="ZR12" s="11">
        <v>22218782.449999999</v>
      </c>
      <c r="ZS12" s="11">
        <v>15903575.939999999</v>
      </c>
      <c r="ZT12" s="11">
        <v>61543986.409999996</v>
      </c>
      <c r="ZU12" s="11">
        <v>6668683.1100000003</v>
      </c>
      <c r="ZV12" s="11">
        <v>32750324.309999999</v>
      </c>
      <c r="ZW12" s="11">
        <v>2278803.0699999998</v>
      </c>
      <c r="ZX12" s="11">
        <v>22963360.43</v>
      </c>
      <c r="ZY12" s="11">
        <v>7113403.2200000007</v>
      </c>
      <c r="ZZ12" s="11">
        <v>131496007.5</v>
      </c>
      <c r="AAA12" s="11">
        <v>10246605.68</v>
      </c>
      <c r="AAB12" s="11">
        <v>20278426.779999997</v>
      </c>
      <c r="AAC12" s="11">
        <v>14021815.100000001</v>
      </c>
      <c r="AAD12" s="11">
        <v>59658531.880000003</v>
      </c>
      <c r="AAE12" s="11">
        <v>10396152.300000001</v>
      </c>
      <c r="AAF12" s="11">
        <v>4137251.3600000003</v>
      </c>
      <c r="AAG12" s="11">
        <v>8026627.1099999994</v>
      </c>
      <c r="AAH12" s="11">
        <v>7335849.5999999996</v>
      </c>
      <c r="AAI12" s="11">
        <v>312925420.44999999</v>
      </c>
      <c r="AAJ12" s="11">
        <v>6416928.7599999998</v>
      </c>
      <c r="AAK12" s="11">
        <v>24049294.370000001</v>
      </c>
      <c r="AAL12" s="11">
        <v>9779953.5600000005</v>
      </c>
      <c r="AAM12" s="11">
        <v>21778678.57</v>
      </c>
      <c r="AAN12" s="11">
        <v>29697046.759999998</v>
      </c>
      <c r="AAO12" s="11">
        <v>22772469.800000004</v>
      </c>
      <c r="AAP12" s="11">
        <v>816977254.69999993</v>
      </c>
      <c r="AAQ12" s="11">
        <v>51960546.309999995</v>
      </c>
      <c r="AAR12" s="11">
        <v>52374896.400000006</v>
      </c>
      <c r="AAS12" s="11">
        <v>152491201.33000001</v>
      </c>
      <c r="AAT12" s="11">
        <v>17956444.590000004</v>
      </c>
      <c r="AAU12" s="11">
        <v>39639702.300000004</v>
      </c>
      <c r="AAV12" s="11">
        <v>37131643.419999994</v>
      </c>
      <c r="AAW12" s="11">
        <v>136548385.70000002</v>
      </c>
      <c r="AAX12" s="11">
        <v>76994566.840000004</v>
      </c>
      <c r="AAY12" s="11">
        <v>23550873.350000001</v>
      </c>
      <c r="AAZ12" s="11">
        <v>99190077.929999992</v>
      </c>
      <c r="ABA12" s="11">
        <v>159087438.31999999</v>
      </c>
      <c r="ABB12" s="11">
        <v>105139801.78999999</v>
      </c>
      <c r="ABC12" s="11">
        <v>16522001.010000002</v>
      </c>
      <c r="ABD12" s="11">
        <v>18821655.039999999</v>
      </c>
      <c r="ABE12" s="11">
        <v>7975165.1799999997</v>
      </c>
      <c r="ABF12" s="11">
        <v>14719756.41</v>
      </c>
      <c r="ABG12" s="11">
        <v>22839376.939999998</v>
      </c>
      <c r="ABH12" s="11">
        <v>13399712.470000001</v>
      </c>
      <c r="ABI12" s="11">
        <v>120358804.84999999</v>
      </c>
      <c r="ABJ12" s="11">
        <v>165457474.79999998</v>
      </c>
      <c r="ABK12" s="11">
        <v>10448059.380000001</v>
      </c>
      <c r="ABL12" s="11">
        <v>36434888.780000001</v>
      </c>
      <c r="ABM12" s="11">
        <v>21500455.620000005</v>
      </c>
      <c r="ABN12" s="11">
        <v>20554374.789999999</v>
      </c>
      <c r="ABO12" s="11">
        <v>12555092.01</v>
      </c>
      <c r="ABP12" s="11">
        <v>397072641.82999998</v>
      </c>
      <c r="ABQ12" s="11">
        <v>48744954.419999994</v>
      </c>
      <c r="ABR12" s="11">
        <v>97537039.25999999</v>
      </c>
      <c r="ABS12" s="11">
        <v>118191447.34</v>
      </c>
      <c r="ABT12" s="11">
        <v>162834764.26999998</v>
      </c>
      <c r="ABU12" s="11">
        <v>95700509.770000011</v>
      </c>
      <c r="ABV12" s="11">
        <v>12007700.879999999</v>
      </c>
      <c r="ABW12" s="11">
        <v>52117450.43</v>
      </c>
      <c r="ABX12" s="11">
        <v>6609036</v>
      </c>
      <c r="ABY12" s="11">
        <v>454793967.75</v>
      </c>
      <c r="ABZ12" s="11">
        <v>40550180.519999996</v>
      </c>
      <c r="ACA12" s="11">
        <v>50194710.82</v>
      </c>
      <c r="ACB12" s="11">
        <v>3835355.9400000004</v>
      </c>
      <c r="ACC12" s="11">
        <v>15888375.209999999</v>
      </c>
      <c r="ACD12" s="11">
        <v>174239173.87</v>
      </c>
      <c r="ACE12" s="11">
        <v>15945397.020000001</v>
      </c>
      <c r="ACF12" s="11">
        <v>14701957.98</v>
      </c>
      <c r="ACG12" s="11">
        <v>10438312.800000001</v>
      </c>
      <c r="ACH12" s="11">
        <v>36704433.060000002</v>
      </c>
      <c r="ACI12" s="11">
        <v>60203160.559999995</v>
      </c>
      <c r="ACJ12" s="11">
        <v>338044981</v>
      </c>
      <c r="ACK12" s="11">
        <v>44546749.220000006</v>
      </c>
      <c r="ACL12" s="11">
        <v>48845318.060000002</v>
      </c>
      <c r="ACM12" s="11">
        <v>132250877.97</v>
      </c>
      <c r="ACN12" s="11">
        <v>28104655.990000006</v>
      </c>
      <c r="ACO12" s="11">
        <v>16974005.960000001</v>
      </c>
      <c r="ACP12" s="11">
        <v>46606913.109999999</v>
      </c>
      <c r="ACQ12" s="11">
        <v>298893197.56999999</v>
      </c>
      <c r="ACR12" s="11">
        <v>204877546.91000003</v>
      </c>
      <c r="ACS12" s="11">
        <v>59120074.480000004</v>
      </c>
      <c r="ACT12" s="11">
        <v>37416995.909999996</v>
      </c>
      <c r="ACU12" s="11">
        <v>49189216.059999995</v>
      </c>
      <c r="ACV12" s="11">
        <v>5043508.26</v>
      </c>
      <c r="ACW12" s="11">
        <v>506622713.89999998</v>
      </c>
      <c r="ACX12" s="11">
        <v>39400490.089999996</v>
      </c>
      <c r="ACY12" s="11">
        <v>50422172.219999991</v>
      </c>
      <c r="ACZ12" s="11">
        <v>18194334.469999999</v>
      </c>
      <c r="ADA12" s="11">
        <v>10370446.58</v>
      </c>
      <c r="ADB12" s="11">
        <v>22782317.539999995</v>
      </c>
      <c r="ADC12" s="11">
        <v>11511821.060000001</v>
      </c>
      <c r="ADD12" s="11">
        <v>23759084.129999999</v>
      </c>
      <c r="ADE12" s="11">
        <v>11792710.300000001</v>
      </c>
      <c r="ADF12" s="11">
        <v>25889049.369999997</v>
      </c>
      <c r="ADG12" s="11">
        <v>175181213.64999998</v>
      </c>
      <c r="ADH12" s="11">
        <v>98900915.890000001</v>
      </c>
      <c r="ADI12" s="11">
        <v>7232029.54</v>
      </c>
      <c r="ADJ12" s="11">
        <v>7053231.4100000001</v>
      </c>
      <c r="ADK12" s="11">
        <v>54935774.07</v>
      </c>
      <c r="ADL12" s="11">
        <v>14129485.83</v>
      </c>
      <c r="ADM12" s="11">
        <v>30818304.969999999</v>
      </c>
      <c r="ADN12" s="11">
        <v>3522796.16</v>
      </c>
      <c r="ADO12" s="11">
        <v>29609974.149999995</v>
      </c>
      <c r="ADP12" s="11">
        <v>603237151.7299999</v>
      </c>
      <c r="ADQ12" s="11">
        <v>79894689.729999989</v>
      </c>
      <c r="ADR12" s="11">
        <v>83302651.699999988</v>
      </c>
      <c r="ADS12" s="11">
        <v>84771689</v>
      </c>
      <c r="ADT12" s="11">
        <v>142174324.71000001</v>
      </c>
      <c r="ADU12" s="11">
        <v>24296729.000000004</v>
      </c>
      <c r="ADV12" s="11">
        <v>38690693.030000001</v>
      </c>
      <c r="ADW12" s="11">
        <v>35117191.909999996</v>
      </c>
      <c r="ADX12" s="11">
        <v>21295504.780000001</v>
      </c>
      <c r="ADY12" s="11">
        <v>17455536.699999999</v>
      </c>
      <c r="ADZ12" s="11">
        <v>699106669.24000001</v>
      </c>
      <c r="AEA12" s="11">
        <v>166285777.31999999</v>
      </c>
      <c r="AEB12" s="11">
        <v>140990208.27999997</v>
      </c>
      <c r="AEC12" s="11">
        <v>31631284.25</v>
      </c>
      <c r="AED12" s="11">
        <v>92599226.439999998</v>
      </c>
      <c r="AEE12" s="11">
        <v>104728882.26000001</v>
      </c>
      <c r="AEF12" s="11">
        <v>57241355.880000003</v>
      </c>
      <c r="AEG12" s="11">
        <v>40152468.789999999</v>
      </c>
      <c r="AEH12" s="11">
        <v>18614921.059999995</v>
      </c>
      <c r="AEI12" s="11">
        <v>82757047.719999999</v>
      </c>
      <c r="AEJ12" s="11">
        <v>60689826.609999999</v>
      </c>
      <c r="AEK12" s="11">
        <v>127688936.73999999</v>
      </c>
      <c r="AEL12" s="11">
        <v>34348455.619999997</v>
      </c>
      <c r="AEM12" s="11">
        <v>108169741.97000001</v>
      </c>
      <c r="AEN12" s="11">
        <v>51905757.079999998</v>
      </c>
      <c r="AEO12" s="11">
        <v>54401579.630000003</v>
      </c>
      <c r="AEP12" s="11">
        <v>21120864.400000002</v>
      </c>
      <c r="AEQ12" s="11">
        <v>64493644.520000003</v>
      </c>
      <c r="AER12" s="11">
        <v>18609382.549999997</v>
      </c>
      <c r="AES12" s="11">
        <v>61655991.489999987</v>
      </c>
      <c r="AET12" s="11">
        <v>346326604.99000001</v>
      </c>
      <c r="AEU12" s="11">
        <v>76699719.799999997</v>
      </c>
      <c r="AEV12" s="11">
        <v>100583942.81999999</v>
      </c>
      <c r="AEW12" s="11">
        <v>58347721.920000002</v>
      </c>
      <c r="AEX12" s="11">
        <v>66666650.579999998</v>
      </c>
      <c r="AEY12" s="11">
        <v>77142524.789999992</v>
      </c>
      <c r="AEZ12" s="11">
        <v>21203353.18</v>
      </c>
      <c r="AFA12" s="11">
        <v>27018083.329999998</v>
      </c>
      <c r="AFB12" s="11">
        <v>12581748.529999999</v>
      </c>
      <c r="AFC12" s="11">
        <v>14002414.090000002</v>
      </c>
      <c r="AFD12" s="11">
        <v>268485455.48999995</v>
      </c>
      <c r="AFE12" s="11">
        <v>203496551.07999998</v>
      </c>
      <c r="AFF12" s="11">
        <v>81438042.149999991</v>
      </c>
      <c r="AFG12" s="11">
        <v>13657969.99</v>
      </c>
      <c r="AFH12" s="11">
        <v>135017998.90000001</v>
      </c>
      <c r="AFI12" s="11">
        <v>58955294.599999994</v>
      </c>
      <c r="AFJ12" s="11">
        <v>23937313.079999998</v>
      </c>
      <c r="AFK12" s="11">
        <v>28582155.989999998</v>
      </c>
      <c r="AFL12" s="11">
        <v>11192313.01</v>
      </c>
      <c r="AFM12" s="11">
        <v>43461519.519999996</v>
      </c>
      <c r="AFN12" s="11">
        <v>4791652.7300000004</v>
      </c>
      <c r="AFO12" s="11">
        <v>36729476.079999998</v>
      </c>
      <c r="AFP12" s="11">
        <v>55995304.690000005</v>
      </c>
      <c r="AFQ12" s="11">
        <v>401245111.63999999</v>
      </c>
      <c r="AFR12" s="11">
        <v>94180735.999999985</v>
      </c>
      <c r="AFS12" s="11">
        <v>55960241.730000004</v>
      </c>
      <c r="AFT12" s="11">
        <v>48065019.530000001</v>
      </c>
      <c r="AFU12" s="11">
        <v>94553766.400000006</v>
      </c>
      <c r="AFV12" s="11">
        <v>67787698.700000003</v>
      </c>
      <c r="AFW12" s="11">
        <v>12944064.179999998</v>
      </c>
      <c r="AFX12" s="11">
        <v>112657048.14999999</v>
      </c>
      <c r="AFY12" s="11">
        <v>67688675.450000003</v>
      </c>
      <c r="AFZ12" s="11">
        <v>15577624.860000003</v>
      </c>
      <c r="AGA12" s="11">
        <v>166600674.10000005</v>
      </c>
      <c r="AGB12" s="11">
        <v>44398105.980000004</v>
      </c>
      <c r="AGC12" s="11">
        <v>443069686.94000006</v>
      </c>
      <c r="AGD12" s="11">
        <v>182354940.94</v>
      </c>
      <c r="AGE12" s="11">
        <v>88333147.879999995</v>
      </c>
      <c r="AGF12" s="11">
        <v>40592758.850000009</v>
      </c>
      <c r="AGG12" s="11">
        <v>222376733.29000002</v>
      </c>
      <c r="AGH12" s="11">
        <v>77324183.299999997</v>
      </c>
      <c r="AGI12" s="11">
        <v>53971266.640000001</v>
      </c>
      <c r="AGJ12" s="11">
        <v>53607495.32</v>
      </c>
      <c r="AGK12" s="11">
        <v>14200195.369999999</v>
      </c>
      <c r="AGL12" s="11">
        <v>62965983.040000007</v>
      </c>
      <c r="AGM12" s="11">
        <v>13255945.029999997</v>
      </c>
      <c r="AGN12" s="11">
        <v>268482865.20999998</v>
      </c>
      <c r="AGO12" s="11">
        <v>119867390.39000002</v>
      </c>
      <c r="AGP12" s="11">
        <v>153008931.30000001</v>
      </c>
      <c r="AGQ12" s="11">
        <v>19904842.609999999</v>
      </c>
      <c r="AGR12" s="11">
        <v>137995118.25999999</v>
      </c>
      <c r="AGS12" s="11">
        <v>53844098.200000003</v>
      </c>
      <c r="AGT12" s="11">
        <v>13713388.490000002</v>
      </c>
      <c r="AGU12" s="11">
        <v>30683656.510000002</v>
      </c>
      <c r="AGV12" s="11">
        <v>703981276.20999992</v>
      </c>
      <c r="AGW12" s="11">
        <v>491804403.07000011</v>
      </c>
      <c r="AGX12" s="11">
        <v>31048906.530000001</v>
      </c>
      <c r="AGY12" s="11">
        <v>192791614.84</v>
      </c>
      <c r="AGZ12" s="11">
        <v>162468197.05000001</v>
      </c>
      <c r="AHA12" s="11">
        <v>122813347.66000001</v>
      </c>
      <c r="AHB12" s="11">
        <v>44946562.979999997</v>
      </c>
      <c r="AHC12" s="11">
        <v>38548586.710000008</v>
      </c>
      <c r="AHD12" s="11">
        <v>12828035.750000002</v>
      </c>
      <c r="AHE12" s="11">
        <v>88357911.129999995</v>
      </c>
      <c r="AHF12" s="11">
        <v>137861131.47</v>
      </c>
      <c r="AHG12" s="11">
        <v>32024136.209999993</v>
      </c>
      <c r="AHH12" s="11">
        <v>33400344.16</v>
      </c>
      <c r="AHI12" s="11">
        <v>75934084.800000012</v>
      </c>
      <c r="AHJ12" s="11">
        <v>32635661.43</v>
      </c>
      <c r="AHK12" s="11">
        <v>44105438.519999996</v>
      </c>
      <c r="AHL12" s="11">
        <v>23334537.270000003</v>
      </c>
      <c r="AHM12" s="11">
        <v>284260474.03000003</v>
      </c>
      <c r="AHN12" s="11">
        <v>44789817.169999994</v>
      </c>
      <c r="AHO12" s="11">
        <v>16010781.739999998</v>
      </c>
      <c r="AHP12" s="11">
        <v>36735382.170000002</v>
      </c>
      <c r="AHQ12" s="11">
        <v>128094607.5</v>
      </c>
      <c r="AHR12" s="11">
        <v>32849151.120000005</v>
      </c>
      <c r="AHS12" s="11">
        <v>22313464.949999999</v>
      </c>
      <c r="AHT12" s="11">
        <v>69927176269.354004</v>
      </c>
      <c r="AHU12" s="11"/>
    </row>
    <row r="13" spans="1:905" x14ac:dyDescent="0.7">
      <c r="B13" s="6" t="s">
        <v>14</v>
      </c>
      <c r="C13" s="6" t="s">
        <v>15</v>
      </c>
      <c r="D13" s="11">
        <v>527071398.39999998</v>
      </c>
      <c r="E13" s="11">
        <v>43028869.25</v>
      </c>
      <c r="F13" s="11">
        <v>65857067</v>
      </c>
      <c r="G13" s="11">
        <v>26453449.649999999</v>
      </c>
      <c r="H13" s="11">
        <v>77565885.129999995</v>
      </c>
      <c r="I13" s="11">
        <v>41228398.170000002</v>
      </c>
      <c r="J13" s="11">
        <v>65720829.509999998</v>
      </c>
      <c r="K13" s="11">
        <v>43850010.170000002</v>
      </c>
      <c r="L13" s="11">
        <v>42156261.340000004</v>
      </c>
      <c r="M13" s="11">
        <v>36475741.780000001</v>
      </c>
      <c r="N13" s="11">
        <v>23840764.68</v>
      </c>
      <c r="O13" s="11">
        <v>27138284.620000001</v>
      </c>
      <c r="P13" s="11">
        <v>21165791.02</v>
      </c>
      <c r="Q13" s="11">
        <v>29961400</v>
      </c>
      <c r="R13" s="11">
        <v>30258620.16</v>
      </c>
      <c r="S13" s="11">
        <v>42312825.159999996</v>
      </c>
      <c r="T13" s="11">
        <v>37091053.93</v>
      </c>
      <c r="U13" s="11">
        <v>7385223.3300000001</v>
      </c>
      <c r="V13" s="11">
        <v>456223261.57999998</v>
      </c>
      <c r="W13" s="11">
        <v>118644333.40000001</v>
      </c>
      <c r="X13" s="11">
        <v>24861560</v>
      </c>
      <c r="Y13" s="11">
        <v>40433956.130000003</v>
      </c>
      <c r="Z13" s="11">
        <v>45457301.32</v>
      </c>
      <c r="AA13" s="11">
        <v>37823687.030000001</v>
      </c>
      <c r="AB13" s="11">
        <v>21072631.670000002</v>
      </c>
      <c r="AC13" s="11">
        <v>105669232.38</v>
      </c>
      <c r="AD13" s="11">
        <v>44709552.950000003</v>
      </c>
      <c r="AE13" s="11">
        <v>30010068.390000001</v>
      </c>
      <c r="AF13" s="11">
        <v>91804299.709999993</v>
      </c>
      <c r="AG13" s="11">
        <v>39703270.32</v>
      </c>
      <c r="AH13" s="11">
        <v>77796022.579999998</v>
      </c>
      <c r="AI13" s="11">
        <v>58960278.43</v>
      </c>
      <c r="AJ13" s="11">
        <v>25608490.050000001</v>
      </c>
      <c r="AK13" s="11">
        <v>21115566</v>
      </c>
      <c r="AL13" s="11">
        <v>27165239.579999998</v>
      </c>
      <c r="AM13" s="11">
        <v>41186962.789999999</v>
      </c>
      <c r="AN13" s="11">
        <v>16542200</v>
      </c>
      <c r="AO13" s="11">
        <v>28391858.5</v>
      </c>
      <c r="AP13" s="11">
        <v>32399830</v>
      </c>
      <c r="AQ13" s="11">
        <v>24510113.84</v>
      </c>
      <c r="AR13" s="11">
        <v>23462810</v>
      </c>
      <c r="AS13" s="11">
        <v>12273204.33</v>
      </c>
      <c r="AT13" s="11">
        <v>296079187.39999998</v>
      </c>
      <c r="AU13" s="11">
        <v>18133084.920000002</v>
      </c>
      <c r="AV13" s="11">
        <v>15864329.18</v>
      </c>
      <c r="AW13" s="11">
        <v>27826894.710000001</v>
      </c>
      <c r="AX13" s="11">
        <v>37405681.859999999</v>
      </c>
      <c r="AY13" s="11">
        <v>48666305.689999998</v>
      </c>
      <c r="AZ13" s="11">
        <v>22115011.649999999</v>
      </c>
      <c r="BA13" s="11">
        <v>25918360</v>
      </c>
      <c r="BB13" s="11">
        <v>20918627.620000001</v>
      </c>
      <c r="BC13" s="11">
        <v>22614470</v>
      </c>
      <c r="BD13" s="11">
        <v>12762847.460000001</v>
      </c>
      <c r="BE13" s="11">
        <v>15532080</v>
      </c>
      <c r="BF13" s="11">
        <v>77555340.859999999</v>
      </c>
      <c r="BG13" s="11">
        <v>14504202</v>
      </c>
      <c r="BH13" s="11">
        <v>15168329.08</v>
      </c>
      <c r="BI13" s="11">
        <v>242127675.22</v>
      </c>
      <c r="BJ13" s="11">
        <v>153305401.43000001</v>
      </c>
      <c r="BK13" s="11">
        <v>40772114.670000002</v>
      </c>
      <c r="BL13" s="11">
        <v>29433649.850000001</v>
      </c>
      <c r="BM13" s="11">
        <v>54720114.82</v>
      </c>
      <c r="BN13" s="11">
        <v>41957047.520000003</v>
      </c>
      <c r="BO13" s="11">
        <v>37692501</v>
      </c>
      <c r="BP13" s="11">
        <v>7139576.2400000002</v>
      </c>
      <c r="BQ13" s="11">
        <v>7050090.25</v>
      </c>
      <c r="BR13" s="11">
        <v>313782205.43000001</v>
      </c>
      <c r="BS13" s="11">
        <v>48212930.109999999</v>
      </c>
      <c r="BT13" s="11">
        <v>31735932.68</v>
      </c>
      <c r="BU13" s="11">
        <v>48615023.329999998</v>
      </c>
      <c r="BV13" s="11">
        <v>37865634.729999997</v>
      </c>
      <c r="BW13" s="11">
        <v>28849961.09</v>
      </c>
      <c r="BX13" s="11">
        <v>28321068.390000001</v>
      </c>
      <c r="BY13" s="11">
        <v>47425056.789999999</v>
      </c>
      <c r="BZ13" s="11">
        <v>108290859.86</v>
      </c>
      <c r="CA13" s="11">
        <v>22936479.129999999</v>
      </c>
      <c r="CB13" s="11">
        <v>36601125.039999999</v>
      </c>
      <c r="CC13" s="11">
        <v>58132028.350000001</v>
      </c>
      <c r="CD13" s="11">
        <v>21505521.870000001</v>
      </c>
      <c r="CE13" s="11">
        <v>20490875.460000001</v>
      </c>
      <c r="CF13" s="11">
        <v>19179426.559999999</v>
      </c>
      <c r="CG13" s="11">
        <v>508623043.5</v>
      </c>
      <c r="CH13" s="11">
        <v>35506728.090000004</v>
      </c>
      <c r="CI13" s="11">
        <v>65841786.609999999</v>
      </c>
      <c r="CJ13" s="11">
        <v>30648156.379999999</v>
      </c>
      <c r="CK13" s="11">
        <v>30527672.82</v>
      </c>
      <c r="CL13" s="11">
        <v>39231814.200000003</v>
      </c>
      <c r="CM13" s="11">
        <v>32350560.699999999</v>
      </c>
      <c r="CN13" s="11">
        <v>53595343.159999996</v>
      </c>
      <c r="CO13" s="11">
        <v>19719324.890000001</v>
      </c>
      <c r="CP13" s="11">
        <v>36865273.399999999</v>
      </c>
      <c r="CQ13" s="11">
        <v>25821438.199999999</v>
      </c>
      <c r="CR13" s="11">
        <v>43883882.920000002</v>
      </c>
      <c r="CS13" s="11">
        <v>29507186.940000001</v>
      </c>
      <c r="CT13" s="11">
        <v>257518331.84999999</v>
      </c>
      <c r="CU13" s="11">
        <v>29431752.989999998</v>
      </c>
      <c r="CV13" s="11">
        <v>36960412</v>
      </c>
      <c r="CW13" s="11">
        <v>49131169.810000002</v>
      </c>
      <c r="CX13" s="11">
        <v>25975521.280000001</v>
      </c>
      <c r="CY13" s="11">
        <v>45466752.25</v>
      </c>
      <c r="CZ13" s="11">
        <v>27141946.66</v>
      </c>
      <c r="DA13" s="11">
        <v>16378628.609999999</v>
      </c>
      <c r="DB13" s="11">
        <v>185877629.00999999</v>
      </c>
      <c r="DC13" s="11">
        <v>206371379.37</v>
      </c>
      <c r="DD13" s="11">
        <v>36989598.009999998</v>
      </c>
      <c r="DE13" s="11">
        <v>28564315.859999999</v>
      </c>
      <c r="DF13" s="11">
        <v>60322062.340000004</v>
      </c>
      <c r="DG13" s="11">
        <v>37047857.939999998</v>
      </c>
      <c r="DH13" s="11">
        <v>32626592.800000001</v>
      </c>
      <c r="DI13" s="11">
        <v>34446301.770000003</v>
      </c>
      <c r="DJ13" s="11">
        <v>16194118.539999999</v>
      </c>
      <c r="DK13" s="11">
        <v>616836435.51999998</v>
      </c>
      <c r="DL13" s="11">
        <v>30759309.350000001</v>
      </c>
      <c r="DM13" s="11">
        <v>47983832.960000001</v>
      </c>
      <c r="DN13" s="11">
        <v>41399013.490000002</v>
      </c>
      <c r="DO13" s="11">
        <v>41362939.090000004</v>
      </c>
      <c r="DP13" s="11">
        <v>37672503.359999999</v>
      </c>
      <c r="DQ13" s="11">
        <v>62437204.43</v>
      </c>
      <c r="DR13" s="11">
        <v>33979394.560000002</v>
      </c>
      <c r="DS13" s="11">
        <v>54414729.68</v>
      </c>
      <c r="DT13" s="11">
        <v>283709995.82999998</v>
      </c>
      <c r="DU13" s="11">
        <v>45086749.469999999</v>
      </c>
      <c r="DV13" s="11">
        <v>79680725.939999998</v>
      </c>
      <c r="DW13" s="11">
        <v>91035149.620000005</v>
      </c>
      <c r="DX13" s="11">
        <v>34818668.380000003</v>
      </c>
      <c r="DY13" s="11">
        <v>53505717.630000003</v>
      </c>
      <c r="DZ13" s="11">
        <v>47112131.609999999</v>
      </c>
      <c r="EA13" s="11">
        <v>14231731.42</v>
      </c>
      <c r="EB13" s="11">
        <v>29185319.690000001</v>
      </c>
      <c r="EC13" s="11">
        <v>30310524.809999999</v>
      </c>
      <c r="ED13" s="11">
        <v>59225092.990000002</v>
      </c>
      <c r="EE13" s="11">
        <v>190951029.44999999</v>
      </c>
      <c r="EF13" s="11">
        <v>161016099.47999999</v>
      </c>
      <c r="EG13" s="11">
        <v>36542653.200000003</v>
      </c>
      <c r="EH13" s="11">
        <v>35004670.789999999</v>
      </c>
      <c r="EI13" s="11">
        <v>41880009.100000001</v>
      </c>
      <c r="EJ13" s="11">
        <v>49476405.100000001</v>
      </c>
      <c r="EK13" s="11">
        <v>67329797.379999995</v>
      </c>
      <c r="EL13" s="11">
        <v>27548950.199999999</v>
      </c>
      <c r="EM13" s="11">
        <v>29781507.309999999</v>
      </c>
      <c r="EN13" s="11">
        <v>395854143.07999998</v>
      </c>
      <c r="EO13" s="11">
        <v>34212631.119999997</v>
      </c>
      <c r="EP13" s="11">
        <v>31704047.84</v>
      </c>
      <c r="EQ13" s="11">
        <v>31926147.23</v>
      </c>
      <c r="ER13" s="11">
        <v>18361603.98</v>
      </c>
      <c r="ES13" s="11">
        <v>19265538.949999999</v>
      </c>
      <c r="ET13" s="11">
        <v>40868290.079999998</v>
      </c>
      <c r="EU13" s="11">
        <v>38566604.130000003</v>
      </c>
      <c r="EV13" s="11">
        <v>27000650</v>
      </c>
      <c r="EW13" s="11">
        <v>264190424.43000001</v>
      </c>
      <c r="EX13" s="11">
        <v>16671886.77</v>
      </c>
      <c r="EY13" s="11">
        <v>27398902.800000001</v>
      </c>
      <c r="EZ13" s="11">
        <v>36703251.68</v>
      </c>
      <c r="FA13" s="11">
        <v>52856555.799999997</v>
      </c>
      <c r="FB13" s="11">
        <v>42009050.649999999</v>
      </c>
      <c r="FC13" s="11">
        <v>40690407.289999999</v>
      </c>
      <c r="FD13" s="11">
        <v>25224308.489999998</v>
      </c>
      <c r="FE13" s="11">
        <v>23320601.609999999</v>
      </c>
      <c r="FF13" s="11">
        <v>18084147.329999998</v>
      </c>
      <c r="FG13" s="11">
        <v>18563600</v>
      </c>
      <c r="FH13" s="11">
        <v>10825705.48</v>
      </c>
      <c r="FI13" s="11">
        <v>206587159.88999999</v>
      </c>
      <c r="FJ13" s="11">
        <v>31179360</v>
      </c>
      <c r="FK13" s="11">
        <v>31523230</v>
      </c>
      <c r="FL13" s="11">
        <v>33484910.460000001</v>
      </c>
      <c r="FM13" s="11">
        <v>50773562.119999997</v>
      </c>
      <c r="FN13" s="11">
        <v>41761164.979999997</v>
      </c>
      <c r="FO13" s="11">
        <v>11363680</v>
      </c>
      <c r="FP13" s="11">
        <v>6622980</v>
      </c>
      <c r="FQ13" s="11">
        <v>458017705.30000001</v>
      </c>
      <c r="FR13" s="11">
        <v>25798795</v>
      </c>
      <c r="FS13" s="11">
        <v>42966386.329999998</v>
      </c>
      <c r="FT13" s="11">
        <v>36895128.350000001</v>
      </c>
      <c r="FU13" s="11">
        <v>56809178.57</v>
      </c>
      <c r="FV13" s="11">
        <v>26032444.350000001</v>
      </c>
      <c r="FW13" s="11">
        <v>60116353.759999998</v>
      </c>
      <c r="FX13" s="11">
        <v>37373069.640000001</v>
      </c>
      <c r="FY13" s="11">
        <v>39695002.009999998</v>
      </c>
      <c r="FZ13" s="11">
        <v>29189917.559999999</v>
      </c>
      <c r="GA13" s="11">
        <v>61081640.490000002</v>
      </c>
      <c r="GB13" s="11">
        <v>30284483.989999998</v>
      </c>
      <c r="GC13" s="11">
        <v>21946115.289999999</v>
      </c>
      <c r="GD13" s="11">
        <v>9116212.9299999997</v>
      </c>
      <c r="GE13" s="11">
        <v>266435188.81</v>
      </c>
      <c r="GF13" s="11">
        <v>25137555.809999999</v>
      </c>
      <c r="GG13" s="11">
        <v>29572534.5</v>
      </c>
      <c r="GH13" s="11">
        <v>53550546.409999996</v>
      </c>
      <c r="GI13" s="11">
        <v>32034991.09</v>
      </c>
      <c r="GJ13" s="11">
        <v>28766473.629999999</v>
      </c>
      <c r="GK13" s="11">
        <v>29891043.280000001</v>
      </c>
      <c r="GL13" s="11">
        <v>67841550.469999999</v>
      </c>
      <c r="GM13" s="11">
        <v>25124821.559999999</v>
      </c>
      <c r="GN13" s="11">
        <v>10252302.25</v>
      </c>
      <c r="GO13" s="11">
        <v>7810895.6500000004</v>
      </c>
      <c r="GP13" s="11">
        <v>8765123.5700000003</v>
      </c>
      <c r="GQ13" s="11">
        <v>186555022.94999999</v>
      </c>
      <c r="GR13" s="11">
        <v>53891265.850000001</v>
      </c>
      <c r="GS13" s="11">
        <v>29184095.649999999</v>
      </c>
      <c r="GT13" s="11">
        <v>46582953.670000002</v>
      </c>
      <c r="GU13" s="11">
        <v>15131994.58</v>
      </c>
      <c r="GV13" s="11">
        <v>33871696.979999997</v>
      </c>
      <c r="GW13" s="11">
        <v>35365191.799999997</v>
      </c>
      <c r="GX13" s="11">
        <v>22146630</v>
      </c>
      <c r="GY13" s="11">
        <v>209448525.63</v>
      </c>
      <c r="GZ13" s="11">
        <v>23057892.370000001</v>
      </c>
      <c r="HA13" s="11">
        <v>54566844.630000003</v>
      </c>
      <c r="HB13" s="11">
        <v>36212055.149999999</v>
      </c>
      <c r="HC13" s="11">
        <v>368469560.82999998</v>
      </c>
      <c r="HD13" s="11">
        <v>55708757.859999999</v>
      </c>
      <c r="HE13" s="11">
        <v>61348886.159999996</v>
      </c>
      <c r="HF13" s="11">
        <v>61610364.039999999</v>
      </c>
      <c r="HG13" s="11">
        <v>48177247.520000003</v>
      </c>
      <c r="HH13" s="11">
        <v>64341934</v>
      </c>
      <c r="HI13" s="11">
        <v>11290782.119999999</v>
      </c>
      <c r="HJ13" s="11">
        <v>0</v>
      </c>
      <c r="HK13" s="11">
        <v>256321476.22999999</v>
      </c>
      <c r="HL13" s="11">
        <v>45088503.969999999</v>
      </c>
      <c r="HM13" s="11">
        <v>57206566.43</v>
      </c>
      <c r="HN13" s="11">
        <v>43966031.740000002</v>
      </c>
      <c r="HO13" s="11">
        <v>26086197.579999998</v>
      </c>
      <c r="HP13" s="11">
        <v>30231957.100000001</v>
      </c>
      <c r="HQ13" s="11">
        <v>40353252.340000004</v>
      </c>
      <c r="HR13" s="11">
        <v>20214070.02</v>
      </c>
      <c r="HS13" s="11">
        <v>334322275.72000003</v>
      </c>
      <c r="HT13" s="11">
        <v>132550280.97</v>
      </c>
      <c r="HU13" s="11">
        <v>37790926.890000001</v>
      </c>
      <c r="HV13" s="11">
        <v>28135402.18</v>
      </c>
      <c r="HW13" s="11">
        <v>24410319.710000001</v>
      </c>
      <c r="HX13" s="11">
        <v>28385355</v>
      </c>
      <c r="HY13" s="11">
        <v>57269285.719999999</v>
      </c>
      <c r="HZ13" s="11">
        <v>27916405.66</v>
      </c>
      <c r="IA13" s="11">
        <v>29112460</v>
      </c>
      <c r="IB13" s="11">
        <v>29263658</v>
      </c>
      <c r="IC13" s="11">
        <v>31722990.879999999</v>
      </c>
      <c r="ID13" s="11">
        <v>39433649.280000001</v>
      </c>
      <c r="IE13" s="11">
        <v>15671422.18</v>
      </c>
      <c r="IF13" s="11">
        <v>30837566.149999999</v>
      </c>
      <c r="IG13" s="11">
        <v>19212540</v>
      </c>
      <c r="IH13" s="11">
        <v>22695458.199999999</v>
      </c>
      <c r="II13" s="11">
        <v>275023596.05000001</v>
      </c>
      <c r="IJ13" s="11">
        <v>123459028.90000001</v>
      </c>
      <c r="IK13" s="11">
        <v>41853567.579999998</v>
      </c>
      <c r="IL13" s="11">
        <v>64635464.530000001</v>
      </c>
      <c r="IM13" s="11">
        <v>70497000.170000002</v>
      </c>
      <c r="IN13" s="11">
        <v>35398977.359999999</v>
      </c>
      <c r="IO13" s="11">
        <v>30418852</v>
      </c>
      <c r="IP13" s="11">
        <v>17737749.800000001</v>
      </c>
      <c r="IQ13" s="11">
        <v>22252837.52</v>
      </c>
      <c r="IR13" s="11">
        <v>22741172.399999999</v>
      </c>
      <c r="IS13" s="11">
        <v>26410223.699999999</v>
      </c>
      <c r="IT13" s="11">
        <v>401292320.94</v>
      </c>
      <c r="IU13" s="11">
        <v>193760656.80000001</v>
      </c>
      <c r="IV13" s="11">
        <v>57366530.68</v>
      </c>
      <c r="IW13" s="11">
        <v>38061884.829999998</v>
      </c>
      <c r="IX13" s="11">
        <v>30381095.399999999</v>
      </c>
      <c r="IY13" s="11">
        <v>18743670</v>
      </c>
      <c r="IZ13" s="11">
        <v>30782025.670000002</v>
      </c>
      <c r="JA13" s="11">
        <v>17968898.399999999</v>
      </c>
      <c r="JB13" s="11">
        <v>23234345.649999999</v>
      </c>
      <c r="JC13" s="11">
        <v>34509361.780000001</v>
      </c>
      <c r="JD13" s="11">
        <v>29301073.899999999</v>
      </c>
      <c r="JE13" s="11">
        <v>24302890.109999999</v>
      </c>
      <c r="JF13" s="11">
        <v>191711891.03</v>
      </c>
      <c r="JG13" s="11">
        <v>131311167.90000001</v>
      </c>
      <c r="JH13" s="11">
        <v>29476432.949999999</v>
      </c>
      <c r="JI13" s="11">
        <v>30544549.510000002</v>
      </c>
      <c r="JJ13" s="11">
        <v>23629713.5</v>
      </c>
      <c r="JK13" s="11">
        <v>27447122.640000001</v>
      </c>
      <c r="JL13" s="11">
        <v>195644431.02000001</v>
      </c>
      <c r="JM13" s="11">
        <v>23047023</v>
      </c>
      <c r="JN13" s="11">
        <v>35610304.310000002</v>
      </c>
      <c r="JO13" s="11">
        <v>44433187.030000001</v>
      </c>
      <c r="JP13" s="11">
        <v>32011177.420000002</v>
      </c>
      <c r="JQ13" s="11">
        <v>55805781.25</v>
      </c>
      <c r="JR13" s="11">
        <v>25396005.68</v>
      </c>
      <c r="JS13" s="11">
        <v>260941652.53</v>
      </c>
      <c r="JT13" s="11">
        <v>155479293.31</v>
      </c>
      <c r="JU13" s="11">
        <v>29634887.719999999</v>
      </c>
      <c r="JV13" s="11">
        <v>18044993.329999998</v>
      </c>
      <c r="JW13" s="11">
        <v>44285616.259999998</v>
      </c>
      <c r="JX13" s="11">
        <v>17605812.800000001</v>
      </c>
      <c r="JY13" s="11">
        <v>82699241.75</v>
      </c>
      <c r="JZ13" s="11">
        <v>39611315.369999997</v>
      </c>
      <c r="KA13" s="11">
        <v>24478674.23</v>
      </c>
      <c r="KB13" s="11">
        <v>42812565.68</v>
      </c>
      <c r="KC13" s="11">
        <v>28240131.93</v>
      </c>
      <c r="KD13" s="11">
        <v>30241677.300000001</v>
      </c>
      <c r="KE13" s="11">
        <v>20370067.329999998</v>
      </c>
      <c r="KF13" s="11">
        <v>10789656.42</v>
      </c>
      <c r="KG13" s="11">
        <v>21745655.16</v>
      </c>
      <c r="KH13" s="11">
        <v>218625</v>
      </c>
      <c r="KI13" s="11">
        <v>424378558.81999999</v>
      </c>
      <c r="KJ13" s="11">
        <v>56963457.369999997</v>
      </c>
      <c r="KK13" s="11">
        <v>37378651.789999999</v>
      </c>
      <c r="KL13" s="11">
        <v>44310965.479999997</v>
      </c>
      <c r="KM13" s="11">
        <v>33243726.879999999</v>
      </c>
      <c r="KN13" s="11">
        <v>32038852.140000001</v>
      </c>
      <c r="KO13" s="11">
        <v>69013781.75</v>
      </c>
      <c r="KP13" s="11">
        <v>31521219.609999999</v>
      </c>
      <c r="KQ13" s="11">
        <v>26937696.260000002</v>
      </c>
      <c r="KR13" s="11">
        <v>146145824.12</v>
      </c>
      <c r="KS13" s="11">
        <v>29963423.98</v>
      </c>
      <c r="KT13" s="11">
        <v>39324727.130000003</v>
      </c>
      <c r="KU13" s="11">
        <v>64881104.479999997</v>
      </c>
      <c r="KV13" s="11">
        <v>28865770</v>
      </c>
      <c r="KW13" s="11">
        <v>35790953.630000003</v>
      </c>
      <c r="KX13" s="11">
        <v>165453905.40000001</v>
      </c>
      <c r="KY13" s="11">
        <v>43740466.960000001</v>
      </c>
      <c r="KZ13" s="11">
        <v>279756966.83999997</v>
      </c>
      <c r="LA13" s="11">
        <v>27847384.32</v>
      </c>
      <c r="LB13" s="11">
        <v>25891770.210000001</v>
      </c>
      <c r="LC13" s="11">
        <v>52161725.840000004</v>
      </c>
      <c r="LD13" s="11">
        <v>50096391.270000003</v>
      </c>
      <c r="LE13" s="11">
        <v>37479797.920000002</v>
      </c>
      <c r="LF13" s="11">
        <v>30675241.41</v>
      </c>
      <c r="LG13" s="11">
        <v>24680953.760000002</v>
      </c>
      <c r="LH13" s="11">
        <v>464019290.39999998</v>
      </c>
      <c r="LI13" s="11">
        <v>128483440.79000001</v>
      </c>
      <c r="LJ13" s="11">
        <v>181745394.38</v>
      </c>
      <c r="LK13" s="11">
        <v>148838168.97999999</v>
      </c>
      <c r="LL13" s="11">
        <v>37577116.130000003</v>
      </c>
      <c r="LM13" s="11">
        <v>39473008.399999999</v>
      </c>
      <c r="LN13" s="11">
        <v>27113040.68</v>
      </c>
      <c r="LO13" s="11">
        <v>27796527.699999999</v>
      </c>
      <c r="LP13" s="11">
        <v>18659875.329999998</v>
      </c>
      <c r="LQ13" s="11">
        <v>45513543.090000004</v>
      </c>
      <c r="LR13" s="11">
        <v>8759794.7400000002</v>
      </c>
      <c r="LS13" s="11">
        <v>204757622.16</v>
      </c>
      <c r="LT13" s="11">
        <v>61344432.130000003</v>
      </c>
      <c r="LU13" s="11">
        <v>35910601.030000001</v>
      </c>
      <c r="LV13" s="11">
        <v>354191258.49000001</v>
      </c>
      <c r="LW13" s="11">
        <v>143991649.68000001</v>
      </c>
      <c r="LX13" s="11">
        <v>371189347.75</v>
      </c>
      <c r="LY13" s="11">
        <v>152626898.09999999</v>
      </c>
      <c r="LZ13" s="11">
        <v>59921818.640000001</v>
      </c>
      <c r="MA13" s="11">
        <v>51534196.609999999</v>
      </c>
      <c r="MB13" s="11">
        <v>50900682.899999999</v>
      </c>
      <c r="MC13" s="11">
        <v>39747649.539999999</v>
      </c>
      <c r="MD13" s="11">
        <v>45672979.68</v>
      </c>
      <c r="ME13" s="11">
        <v>42519830.640000001</v>
      </c>
      <c r="MF13" s="11">
        <v>77528394.180000007</v>
      </c>
      <c r="MG13" s="11">
        <v>28942633.370000001</v>
      </c>
      <c r="MH13" s="11">
        <v>453623066.56</v>
      </c>
      <c r="MI13" s="11">
        <v>27759499.59</v>
      </c>
      <c r="MJ13" s="11">
        <v>20802488.850000001</v>
      </c>
      <c r="MK13" s="11">
        <v>22208699.68</v>
      </c>
      <c r="ML13" s="11">
        <v>19453107.309999999</v>
      </c>
      <c r="MM13" s="11">
        <v>32545671.59</v>
      </c>
      <c r="MN13" s="11">
        <v>25950199.52</v>
      </c>
      <c r="MO13" s="11">
        <v>24059021.530000001</v>
      </c>
      <c r="MP13" s="11">
        <v>36980505.289999999</v>
      </c>
      <c r="MQ13" s="11">
        <v>20075227.75</v>
      </c>
      <c r="MR13" s="11">
        <v>24185917.120000001</v>
      </c>
      <c r="MS13" s="11">
        <v>23000745.460000001</v>
      </c>
      <c r="MT13" s="11">
        <v>341117468.04000002</v>
      </c>
      <c r="MU13" s="11">
        <v>22962486.640000001</v>
      </c>
      <c r="MV13" s="11">
        <v>35673398.899999999</v>
      </c>
      <c r="MW13" s="11">
        <v>48198751.32</v>
      </c>
      <c r="MX13" s="11">
        <v>51045981.969999999</v>
      </c>
      <c r="MY13" s="11">
        <v>35233591.799999997</v>
      </c>
      <c r="MZ13" s="11">
        <v>66941180.609999999</v>
      </c>
      <c r="NA13" s="11">
        <v>59630913.020000003</v>
      </c>
      <c r="NB13" s="11">
        <v>36195107.030000001</v>
      </c>
      <c r="NC13" s="11">
        <v>15233865.76</v>
      </c>
      <c r="ND13" s="11">
        <v>10018105.85</v>
      </c>
      <c r="NE13" s="11">
        <v>515729627.20999998</v>
      </c>
      <c r="NF13" s="11">
        <v>68131733.030000001</v>
      </c>
      <c r="NG13" s="11">
        <v>25554811.93</v>
      </c>
      <c r="NH13" s="11">
        <v>155111564.68000001</v>
      </c>
      <c r="NI13" s="11">
        <v>25186555.91</v>
      </c>
      <c r="NJ13" s="11">
        <v>54356645.93</v>
      </c>
      <c r="NK13" s="11">
        <v>101332802.22</v>
      </c>
      <c r="NL13" s="11">
        <v>92165631.420000002</v>
      </c>
      <c r="NM13" s="11">
        <v>10173206.800000001</v>
      </c>
      <c r="NN13" s="11">
        <v>46338684.520000003</v>
      </c>
      <c r="NO13" s="11">
        <v>35675463.539999999</v>
      </c>
      <c r="NP13" s="11">
        <v>13989243</v>
      </c>
      <c r="NQ13" s="11">
        <v>191182923</v>
      </c>
      <c r="NR13" s="11">
        <v>29791286.670000002</v>
      </c>
      <c r="NS13" s="11">
        <v>26419652.710000001</v>
      </c>
      <c r="NT13" s="11">
        <v>26467265.43</v>
      </c>
      <c r="NU13" s="11">
        <v>23469614.199999999</v>
      </c>
      <c r="NV13" s="11">
        <v>6839800.96</v>
      </c>
      <c r="NW13" s="11">
        <v>12184254.939999999</v>
      </c>
      <c r="NX13" s="11">
        <v>291985004.95999998</v>
      </c>
      <c r="NY13" s="11">
        <v>113200904.2</v>
      </c>
      <c r="NZ13" s="11">
        <v>29242132.27</v>
      </c>
      <c r="OA13" s="11">
        <v>24569189.309999999</v>
      </c>
      <c r="OB13" s="11">
        <v>32198715.489999998</v>
      </c>
      <c r="OC13" s="11">
        <v>42680956.890000001</v>
      </c>
      <c r="OD13" s="11">
        <v>23372350.350000001</v>
      </c>
      <c r="OE13" s="11">
        <v>338600816.31999999</v>
      </c>
      <c r="OF13" s="11">
        <v>101641731.93000001</v>
      </c>
      <c r="OG13" s="11">
        <v>48985932.259999998</v>
      </c>
      <c r="OH13" s="11">
        <v>104518299.65000001</v>
      </c>
      <c r="OI13" s="11">
        <v>32392071.59</v>
      </c>
      <c r="OJ13" s="11">
        <v>44698289.740000002</v>
      </c>
      <c r="OK13" s="11">
        <v>36515317.549999997</v>
      </c>
      <c r="OL13" s="11">
        <v>18732652.82</v>
      </c>
      <c r="OM13" s="11">
        <v>13551719.880000001</v>
      </c>
      <c r="ON13" s="11">
        <v>296223032.76999998</v>
      </c>
      <c r="OO13" s="11">
        <v>74425088.629999995</v>
      </c>
      <c r="OP13" s="11">
        <v>97268456.239999995</v>
      </c>
      <c r="OQ13" s="11">
        <v>50767842.210000001</v>
      </c>
      <c r="OR13" s="11">
        <v>36576225.640000001</v>
      </c>
      <c r="OS13" s="11">
        <v>14672264.300000001</v>
      </c>
      <c r="OT13" s="11">
        <v>176653054.97</v>
      </c>
      <c r="OU13" s="11">
        <v>25159768.280000001</v>
      </c>
      <c r="OV13" s="11">
        <v>24697580.07</v>
      </c>
      <c r="OW13" s="11">
        <v>39638586.469999999</v>
      </c>
      <c r="OX13" s="11">
        <v>40719748.299999997</v>
      </c>
      <c r="OY13" s="11">
        <v>79862296.849999994</v>
      </c>
      <c r="OZ13" s="11">
        <v>26936838.289999999</v>
      </c>
      <c r="PA13" s="11">
        <v>10414683.119999999</v>
      </c>
      <c r="PB13" s="11">
        <v>12456653.119999999</v>
      </c>
      <c r="PC13" s="11">
        <v>284513827.74000001</v>
      </c>
      <c r="PD13" s="11">
        <v>21961704.870000001</v>
      </c>
      <c r="PE13" s="11">
        <v>66121984.520000003</v>
      </c>
      <c r="PF13" s="11">
        <v>22375526.670000002</v>
      </c>
      <c r="PG13" s="11">
        <v>40210612.469999999</v>
      </c>
      <c r="PH13" s="11">
        <v>74926755</v>
      </c>
      <c r="PI13" s="11">
        <v>27282629.890000001</v>
      </c>
      <c r="PJ13" s="11">
        <v>26535520.149999999</v>
      </c>
      <c r="PK13" s="11">
        <v>33725703.009999998</v>
      </c>
      <c r="PL13" s="11">
        <v>26449068.82</v>
      </c>
      <c r="PM13" s="11">
        <v>30709037.440000001</v>
      </c>
      <c r="PN13" s="11">
        <v>44171085.030000001</v>
      </c>
      <c r="PO13" s="11">
        <v>25279118.530000001</v>
      </c>
      <c r="PP13" s="11">
        <v>75320892.700000003</v>
      </c>
      <c r="PQ13" s="11">
        <v>10663957.74</v>
      </c>
      <c r="PR13" s="11">
        <v>11740570</v>
      </c>
      <c r="PS13" s="11">
        <v>7787409.2699999996</v>
      </c>
      <c r="PT13" s="11">
        <v>10676335.01</v>
      </c>
      <c r="PU13" s="11">
        <v>633744867.90999997</v>
      </c>
      <c r="PV13" s="11">
        <v>34218044.079999998</v>
      </c>
      <c r="PW13" s="11">
        <v>36959812.380000003</v>
      </c>
      <c r="PX13" s="11">
        <v>55729263.240000002</v>
      </c>
      <c r="PY13" s="11">
        <v>141102579.21000001</v>
      </c>
      <c r="PZ13" s="11">
        <v>40666199.259999998</v>
      </c>
      <c r="QA13" s="11">
        <v>79899498.689999998</v>
      </c>
      <c r="QB13" s="11">
        <v>34605481.380000003</v>
      </c>
      <c r="QC13" s="11">
        <v>72685374.920000002</v>
      </c>
      <c r="QD13" s="11">
        <v>23760263.329999998</v>
      </c>
      <c r="QE13" s="11">
        <v>63465576.829999998</v>
      </c>
      <c r="QF13" s="11">
        <v>24014356.25</v>
      </c>
      <c r="QG13" s="11">
        <v>24531145.359999999</v>
      </c>
      <c r="QH13" s="11">
        <v>41856770.439999998</v>
      </c>
      <c r="QI13" s="11">
        <v>51566462.409999996</v>
      </c>
      <c r="QJ13" s="11">
        <v>59802782.659999996</v>
      </c>
      <c r="QK13" s="11">
        <v>30807825</v>
      </c>
      <c r="QL13" s="11">
        <v>30329073.699999999</v>
      </c>
      <c r="QM13" s="11">
        <v>22971224.960000001</v>
      </c>
      <c r="QN13" s="11">
        <v>56888977.420000002</v>
      </c>
      <c r="QO13" s="11">
        <v>65169622.259999998</v>
      </c>
      <c r="QP13" s="11">
        <v>26030910.550000001</v>
      </c>
      <c r="QQ13" s="11">
        <v>7187175.1500000004</v>
      </c>
      <c r="QR13" s="11">
        <v>5238736.13</v>
      </c>
      <c r="QS13" s="11">
        <v>9159991.9399999995</v>
      </c>
      <c r="QT13" s="11">
        <v>10256403.859999999</v>
      </c>
      <c r="QU13" s="11">
        <v>325756778.70999998</v>
      </c>
      <c r="QV13" s="11">
        <v>25632970</v>
      </c>
      <c r="QW13" s="11">
        <v>65745422.539999999</v>
      </c>
      <c r="QX13" s="11">
        <v>42320520</v>
      </c>
      <c r="QY13" s="11">
        <v>38823500</v>
      </c>
      <c r="QZ13" s="11">
        <v>62437904.670000002</v>
      </c>
      <c r="RA13" s="11">
        <v>28055090</v>
      </c>
      <c r="RB13" s="11">
        <v>60234700</v>
      </c>
      <c r="RC13" s="11">
        <v>64256009.329999998</v>
      </c>
      <c r="RD13" s="11">
        <v>27627000</v>
      </c>
      <c r="RE13" s="11">
        <v>21216720</v>
      </c>
      <c r="RF13" s="11">
        <v>9491850</v>
      </c>
      <c r="RG13" s="11">
        <v>8674370</v>
      </c>
      <c r="RH13" s="11">
        <v>424030446.69</v>
      </c>
      <c r="RI13" s="11">
        <v>50789533.399999999</v>
      </c>
      <c r="RJ13" s="11">
        <v>27056090.23</v>
      </c>
      <c r="RK13" s="11">
        <v>39071461.909999996</v>
      </c>
      <c r="RL13" s="11">
        <v>37395383.549999997</v>
      </c>
      <c r="RM13" s="11">
        <v>39977279.490000002</v>
      </c>
      <c r="RN13" s="11">
        <v>66490301.329999998</v>
      </c>
      <c r="RO13" s="11">
        <v>27433531.309999999</v>
      </c>
      <c r="RP13" s="11">
        <v>32760140.48</v>
      </c>
      <c r="RQ13" s="11">
        <v>60824140.960000001</v>
      </c>
      <c r="RR13" s="11">
        <v>67933855.310000002</v>
      </c>
      <c r="RS13" s="11">
        <v>26502226.690000001</v>
      </c>
      <c r="RT13" s="11">
        <v>19929505.850000001</v>
      </c>
      <c r="RU13" s="11">
        <v>27950956.210000001</v>
      </c>
      <c r="RV13" s="11">
        <v>20003662.219999999</v>
      </c>
      <c r="RW13" s="11">
        <v>25988839.530000001</v>
      </c>
      <c r="RX13" s="11">
        <v>35757455.469999999</v>
      </c>
      <c r="RY13" s="11">
        <v>5253022.5599999996</v>
      </c>
      <c r="RZ13" s="11">
        <v>4780738.1399999997</v>
      </c>
      <c r="SA13" s="11">
        <v>6782940</v>
      </c>
      <c r="SB13" s="11">
        <v>235575132.24000001</v>
      </c>
      <c r="SC13" s="11">
        <v>28771649.710000001</v>
      </c>
      <c r="SD13" s="11">
        <v>32746513.600000001</v>
      </c>
      <c r="SE13" s="11">
        <v>32458837.109999999</v>
      </c>
      <c r="SF13" s="11">
        <v>19578575.800000001</v>
      </c>
      <c r="SG13" s="11">
        <v>33914085.579999998</v>
      </c>
      <c r="SH13" s="11">
        <v>42819936.020000003</v>
      </c>
      <c r="SI13" s="11">
        <v>44761355.990000002</v>
      </c>
      <c r="SJ13" s="11">
        <v>28395900.100000001</v>
      </c>
      <c r="SK13" s="11">
        <v>25731129.07</v>
      </c>
      <c r="SL13" s="11">
        <v>61250557.850000001</v>
      </c>
      <c r="SM13" s="11">
        <v>6114231.3200000003</v>
      </c>
      <c r="SN13" s="11">
        <v>91997225.230000004</v>
      </c>
      <c r="SO13" s="11">
        <v>25637895</v>
      </c>
      <c r="SP13" s="11">
        <v>28467869.52</v>
      </c>
      <c r="SQ13" s="11">
        <v>42404320</v>
      </c>
      <c r="SR13" s="11">
        <v>29051674.190000001</v>
      </c>
      <c r="SS13" s="11">
        <v>23593695.579999998</v>
      </c>
      <c r="ST13" s="11">
        <v>25859285.289999999</v>
      </c>
      <c r="SU13" s="11">
        <v>15011015.16</v>
      </c>
      <c r="SV13" s="11">
        <v>247974332.63999999</v>
      </c>
      <c r="SW13" s="11">
        <v>20040906.670000002</v>
      </c>
      <c r="SX13" s="11">
        <v>32414709.050000001</v>
      </c>
      <c r="SY13" s="11">
        <v>21306514.370000001</v>
      </c>
      <c r="SZ13" s="11">
        <v>15391156.67</v>
      </c>
      <c r="TA13" s="11">
        <v>21699972.899999999</v>
      </c>
      <c r="TB13" s="11">
        <v>22962467.030000001</v>
      </c>
      <c r="TC13" s="11">
        <v>68148652.459999993</v>
      </c>
      <c r="TD13" s="11">
        <v>25698192.739999998</v>
      </c>
      <c r="TE13" s="11">
        <v>21213468.059999999</v>
      </c>
      <c r="TF13" s="11">
        <v>23964947.98</v>
      </c>
      <c r="TG13" s="11">
        <v>42026395.159999996</v>
      </c>
      <c r="TH13" s="11">
        <v>22368006.670000002</v>
      </c>
      <c r="TI13" s="11">
        <v>14125614.960000001</v>
      </c>
      <c r="TJ13" s="11">
        <v>388559214.93000001</v>
      </c>
      <c r="TK13" s="11">
        <v>26344862.670000002</v>
      </c>
      <c r="TL13" s="11">
        <v>22418378.399999999</v>
      </c>
      <c r="TM13" s="11">
        <v>50353910</v>
      </c>
      <c r="TN13" s="11">
        <v>45734958.390000001</v>
      </c>
      <c r="TO13" s="11">
        <v>27804316.260000002</v>
      </c>
      <c r="TP13" s="11">
        <v>14749092.67</v>
      </c>
      <c r="TQ13" s="11">
        <v>68028799.299999997</v>
      </c>
      <c r="TR13" s="11">
        <v>24908087.859999999</v>
      </c>
      <c r="TS13" s="11">
        <v>40002635.979999997</v>
      </c>
      <c r="TT13" s="11">
        <v>50058019.350000001</v>
      </c>
      <c r="TU13" s="11">
        <v>24917816.52</v>
      </c>
      <c r="TV13" s="11">
        <v>20515550</v>
      </c>
      <c r="TW13" s="11">
        <v>33742064.469999999</v>
      </c>
      <c r="TX13" s="11">
        <v>23952180.32</v>
      </c>
      <c r="TY13" s="11">
        <v>20834403.100000001</v>
      </c>
      <c r="TZ13" s="11">
        <v>112534229.88</v>
      </c>
      <c r="UA13" s="11">
        <v>21339037.329999998</v>
      </c>
      <c r="UB13" s="11">
        <v>228751510.84</v>
      </c>
      <c r="UC13" s="11">
        <v>60892082.520000003</v>
      </c>
      <c r="UD13" s="11">
        <v>28597227.469999999</v>
      </c>
      <c r="UE13" s="11">
        <v>22167922.260000002</v>
      </c>
      <c r="UF13" s="11">
        <v>114769293.95999999</v>
      </c>
      <c r="UG13" s="11">
        <v>17756006.34</v>
      </c>
      <c r="UH13" s="11">
        <v>9321215.3800000008</v>
      </c>
      <c r="UI13" s="11">
        <v>12506381.84</v>
      </c>
      <c r="UJ13" s="11">
        <v>12059031.07</v>
      </c>
      <c r="UK13" s="11">
        <v>158155285.49000001</v>
      </c>
      <c r="UL13" s="11">
        <v>43064728.810000002</v>
      </c>
      <c r="UM13" s="11">
        <v>31889352.27</v>
      </c>
      <c r="UN13" s="11">
        <v>48107637.920000002</v>
      </c>
      <c r="UO13" s="11">
        <v>30905541.420000002</v>
      </c>
      <c r="UP13" s="11">
        <v>18107995.23</v>
      </c>
      <c r="UQ13" s="11">
        <v>583647196.49000001</v>
      </c>
      <c r="UR13" s="11">
        <v>35492058.57</v>
      </c>
      <c r="US13" s="11">
        <v>35253256.329999998</v>
      </c>
      <c r="UT13" s="11">
        <v>103975273.64</v>
      </c>
      <c r="UU13" s="11">
        <v>10448330</v>
      </c>
      <c r="UV13" s="11">
        <v>28404761.670000002</v>
      </c>
      <c r="UW13" s="11">
        <v>66325095.219999999</v>
      </c>
      <c r="UX13" s="11">
        <v>23454391.280000001</v>
      </c>
      <c r="UY13" s="11">
        <v>19219049.989999998</v>
      </c>
      <c r="UZ13" s="11">
        <v>26681768.27</v>
      </c>
      <c r="VA13" s="11">
        <v>35559303.009999998</v>
      </c>
      <c r="VB13" s="11">
        <v>58610591.979999997</v>
      </c>
      <c r="VC13" s="11">
        <v>38791026.670000002</v>
      </c>
      <c r="VD13" s="11">
        <v>50086139.119999997</v>
      </c>
      <c r="VE13" s="11">
        <v>19035456.52</v>
      </c>
      <c r="VF13" s="11">
        <v>22310950.66</v>
      </c>
      <c r="VG13" s="11">
        <v>14301200.59</v>
      </c>
      <c r="VH13" s="11">
        <v>20818749.52</v>
      </c>
      <c r="VI13" s="11">
        <v>60030668.259999998</v>
      </c>
      <c r="VJ13" s="11">
        <v>9812024.0199999996</v>
      </c>
      <c r="VK13" s="11">
        <v>9855218.3300000001</v>
      </c>
      <c r="VL13" s="11">
        <v>10223990</v>
      </c>
      <c r="VM13" s="11">
        <v>303279485.89999998</v>
      </c>
      <c r="VN13" s="11">
        <v>36253092.219999999</v>
      </c>
      <c r="VO13" s="11">
        <v>37748893.920000002</v>
      </c>
      <c r="VP13" s="11">
        <v>41794369.670000002</v>
      </c>
      <c r="VQ13" s="11">
        <v>53181822.899999999</v>
      </c>
      <c r="VR13" s="11">
        <v>48588373.049999997</v>
      </c>
      <c r="VS13" s="11">
        <v>36077477.630000003</v>
      </c>
      <c r="VT13" s="11">
        <v>32536884.190000001</v>
      </c>
      <c r="VU13" s="11">
        <v>28461291.760000002</v>
      </c>
      <c r="VV13" s="11">
        <v>94107552.430000007</v>
      </c>
      <c r="VW13" s="11">
        <v>31746872.93</v>
      </c>
      <c r="VX13" s="11">
        <v>54836087.43</v>
      </c>
      <c r="VY13" s="11">
        <v>27981405.129999999</v>
      </c>
      <c r="VZ13" s="11">
        <v>21281657.649999999</v>
      </c>
      <c r="WA13" s="11">
        <v>23656631.239999998</v>
      </c>
      <c r="WB13" s="11">
        <v>811126407.55999994</v>
      </c>
      <c r="WC13" s="11">
        <v>55676281.700000003</v>
      </c>
      <c r="WD13" s="11">
        <v>36385152.57</v>
      </c>
      <c r="WE13" s="11">
        <v>38756963.880000003</v>
      </c>
      <c r="WF13" s="11">
        <v>22522815.16</v>
      </c>
      <c r="WG13" s="11">
        <v>47852853.82</v>
      </c>
      <c r="WH13" s="11">
        <v>63116890.969999999</v>
      </c>
      <c r="WI13" s="11">
        <v>61489176.799999997</v>
      </c>
      <c r="WJ13" s="11">
        <v>40277218.5</v>
      </c>
      <c r="WK13" s="11">
        <v>57803841.979999997</v>
      </c>
      <c r="WL13" s="11">
        <v>37834532.740000002</v>
      </c>
      <c r="WM13" s="11">
        <v>74824268.569999993</v>
      </c>
      <c r="WN13" s="11">
        <v>41296492.630000003</v>
      </c>
      <c r="WO13" s="11">
        <v>66902062.420000002</v>
      </c>
      <c r="WP13" s="11">
        <v>76292833.140000001</v>
      </c>
      <c r="WQ13" s="11">
        <v>38549681.350000001</v>
      </c>
      <c r="WR13" s="11">
        <v>45255816.659999996</v>
      </c>
      <c r="WS13" s="11">
        <v>57093920.670000002</v>
      </c>
      <c r="WT13" s="11">
        <v>36638169.57</v>
      </c>
      <c r="WU13" s="11">
        <v>69935572.170000002</v>
      </c>
      <c r="WV13" s="11">
        <v>130264425.55</v>
      </c>
      <c r="WW13" s="11">
        <v>39848306.490000002</v>
      </c>
      <c r="WX13" s="11">
        <v>24144204.649999999</v>
      </c>
      <c r="WY13" s="11">
        <v>25854163.620000001</v>
      </c>
      <c r="WZ13" s="11">
        <v>26532778.329999998</v>
      </c>
      <c r="XA13" s="11">
        <v>20397920.710000001</v>
      </c>
      <c r="XB13" s="11">
        <v>23677816.559999999</v>
      </c>
      <c r="XC13" s="11">
        <v>23703284.190000001</v>
      </c>
      <c r="XD13" s="11">
        <v>102686580.09</v>
      </c>
      <c r="XE13" s="11">
        <v>17589803.800000001</v>
      </c>
      <c r="XF13" s="11">
        <v>10463090.23</v>
      </c>
      <c r="XG13" s="11">
        <v>10862470</v>
      </c>
      <c r="XH13" s="11">
        <v>10476843.369999999</v>
      </c>
      <c r="XI13" s="11">
        <v>428904877.13</v>
      </c>
      <c r="XJ13" s="11">
        <v>39629723.229999997</v>
      </c>
      <c r="XK13" s="11">
        <v>43167784.25</v>
      </c>
      <c r="XL13" s="11">
        <v>161581705.18000001</v>
      </c>
      <c r="XM13" s="11">
        <v>43448297.840000004</v>
      </c>
      <c r="XN13" s="11">
        <v>45526382.100000001</v>
      </c>
      <c r="XO13" s="11">
        <v>70727290.120000005</v>
      </c>
      <c r="XP13" s="11">
        <v>32201217.329999998</v>
      </c>
      <c r="XQ13" s="11">
        <v>38717230.130000003</v>
      </c>
      <c r="XR13" s="11">
        <v>68496127.799999997</v>
      </c>
      <c r="XS13" s="11">
        <v>47655831.619999997</v>
      </c>
      <c r="XT13" s="11">
        <v>26553428.280000001</v>
      </c>
      <c r="XU13" s="11">
        <v>24509416.77</v>
      </c>
      <c r="XV13" s="11">
        <v>26255437.739999998</v>
      </c>
      <c r="XW13" s="11">
        <v>24948138.059999999</v>
      </c>
      <c r="XX13" s="11">
        <v>22828533.329999998</v>
      </c>
      <c r="XY13" s="11">
        <v>17384531.940000001</v>
      </c>
      <c r="XZ13" s="11">
        <v>20541575.460000001</v>
      </c>
      <c r="YA13" s="11">
        <v>20011840</v>
      </c>
      <c r="YB13" s="11">
        <v>19729960</v>
      </c>
      <c r="YC13" s="11">
        <v>18521360.719999999</v>
      </c>
      <c r="YD13" s="11">
        <v>13611888.810000001</v>
      </c>
      <c r="YE13" s="11">
        <v>14181229.68</v>
      </c>
      <c r="YF13" s="11">
        <v>487213777.66000003</v>
      </c>
      <c r="YG13" s="11">
        <v>32201650.91</v>
      </c>
      <c r="YH13" s="11">
        <v>55579341.530000001</v>
      </c>
      <c r="YI13" s="11">
        <v>35214370.039999999</v>
      </c>
      <c r="YJ13" s="11">
        <v>96300927.700000003</v>
      </c>
      <c r="YK13" s="11">
        <v>37329816.659999996</v>
      </c>
      <c r="YL13" s="11">
        <v>57033169.270000003</v>
      </c>
      <c r="YM13" s="11">
        <v>22603930.129999999</v>
      </c>
      <c r="YN13" s="11">
        <v>67448456.109999999</v>
      </c>
      <c r="YO13" s="11">
        <v>62799276.420000002</v>
      </c>
      <c r="YP13" s="11">
        <v>41073036.460000001</v>
      </c>
      <c r="YQ13" s="11">
        <v>26081553.949999999</v>
      </c>
      <c r="YR13" s="11">
        <v>22269591.93</v>
      </c>
      <c r="YS13" s="11">
        <v>20612241.27</v>
      </c>
      <c r="YT13" s="11">
        <v>13038288</v>
      </c>
      <c r="YU13" s="11">
        <v>11134419.68</v>
      </c>
      <c r="YV13" s="11">
        <v>8617805.1600000001</v>
      </c>
      <c r="YW13" s="11">
        <v>213039390.06999999</v>
      </c>
      <c r="YX13" s="11">
        <v>35062725.789999999</v>
      </c>
      <c r="YY13" s="11">
        <v>35815391.060000002</v>
      </c>
      <c r="YZ13" s="11">
        <v>27024538.16</v>
      </c>
      <c r="ZA13" s="11">
        <v>34097036.689999998</v>
      </c>
      <c r="ZB13" s="11">
        <v>24355150</v>
      </c>
      <c r="ZC13" s="11">
        <v>30352181.289999999</v>
      </c>
      <c r="ZD13" s="11">
        <v>228463406.44999999</v>
      </c>
      <c r="ZE13" s="11">
        <v>27752693.800000001</v>
      </c>
      <c r="ZF13" s="11">
        <v>34837049.850000001</v>
      </c>
      <c r="ZG13" s="11">
        <v>43228058.130000003</v>
      </c>
      <c r="ZH13" s="11">
        <v>25208507.5</v>
      </c>
      <c r="ZI13" s="11">
        <v>34480463.600000001</v>
      </c>
      <c r="ZJ13" s="11">
        <v>22156648.539999999</v>
      </c>
      <c r="ZK13" s="11">
        <v>22536012.77</v>
      </c>
      <c r="ZL13" s="11">
        <v>68403760.629999995</v>
      </c>
      <c r="ZM13" s="11">
        <v>337817439.05000001</v>
      </c>
      <c r="ZN13" s="11">
        <v>23148431.93</v>
      </c>
      <c r="ZO13" s="11">
        <v>58932624.789999999</v>
      </c>
      <c r="ZP13" s="11">
        <v>102345647.45</v>
      </c>
      <c r="ZQ13" s="11">
        <v>67527532.409999996</v>
      </c>
      <c r="ZR13" s="11">
        <v>31237108.920000002</v>
      </c>
      <c r="ZS13" s="11">
        <v>32820589.949999999</v>
      </c>
      <c r="ZT13" s="11">
        <v>56566800.770000003</v>
      </c>
      <c r="ZU13" s="11">
        <v>59077179.960000001</v>
      </c>
      <c r="ZV13" s="11">
        <v>72430092.510000005</v>
      </c>
      <c r="ZW13" s="11">
        <v>22766399.16</v>
      </c>
      <c r="ZX13" s="11">
        <v>22933802.02</v>
      </c>
      <c r="ZY13" s="11">
        <v>20783520</v>
      </c>
      <c r="ZZ13" s="11">
        <v>32836507</v>
      </c>
      <c r="AAA13" s="11">
        <v>30688951.77</v>
      </c>
      <c r="AAB13" s="11">
        <v>26582541.489999998</v>
      </c>
      <c r="AAC13" s="11">
        <v>28211665.719999999</v>
      </c>
      <c r="AAD13" s="11">
        <v>14993220.109999999</v>
      </c>
      <c r="AAE13" s="11">
        <v>17346575.16</v>
      </c>
      <c r="AAF13" s="11">
        <v>14061114.59</v>
      </c>
      <c r="AAG13" s="11">
        <v>13254626.630000001</v>
      </c>
      <c r="AAH13" s="11">
        <v>10940585.869999999</v>
      </c>
      <c r="AAI13" s="11">
        <v>181601915.88999999</v>
      </c>
      <c r="AAJ13" s="11">
        <v>24403708.859999999</v>
      </c>
      <c r="AAK13" s="11">
        <v>23556211.460000001</v>
      </c>
      <c r="AAL13" s="11">
        <v>29246372.32</v>
      </c>
      <c r="AAM13" s="11">
        <v>27308529.170000002</v>
      </c>
      <c r="AAN13" s="11">
        <v>29747320.859999999</v>
      </c>
      <c r="AAO13" s="11">
        <v>24160776.989999998</v>
      </c>
      <c r="AAP13" s="11">
        <v>755904419.92999995</v>
      </c>
      <c r="AAQ13" s="11">
        <v>29780983.579999998</v>
      </c>
      <c r="AAR13" s="11">
        <v>20880587.27</v>
      </c>
      <c r="AAS13" s="11">
        <v>53495069.350000001</v>
      </c>
      <c r="AAT13" s="11">
        <v>36976281.079999998</v>
      </c>
      <c r="AAU13" s="11">
        <v>28213114.609999999</v>
      </c>
      <c r="AAV13" s="11">
        <v>28587991.199999999</v>
      </c>
      <c r="AAW13" s="11">
        <v>36265529.439999998</v>
      </c>
      <c r="AAX13" s="11">
        <v>57323079.039999999</v>
      </c>
      <c r="AAY13" s="11">
        <v>18807963.640000001</v>
      </c>
      <c r="AAZ13" s="11">
        <v>37440812.270000003</v>
      </c>
      <c r="ABA13" s="11">
        <v>114285231.34</v>
      </c>
      <c r="ABB13" s="11">
        <v>55139486.359999999</v>
      </c>
      <c r="ABC13" s="11">
        <v>21393960</v>
      </c>
      <c r="ABD13" s="11">
        <v>25209390.469999999</v>
      </c>
      <c r="ABE13" s="11">
        <v>26641323.489999998</v>
      </c>
      <c r="ABF13" s="11">
        <v>17486224.690000001</v>
      </c>
      <c r="ABG13" s="11">
        <v>23742115.579999998</v>
      </c>
      <c r="ABH13" s="11">
        <v>14852886.58</v>
      </c>
      <c r="ABI13" s="11">
        <v>128085664.42</v>
      </c>
      <c r="ABJ13" s="11">
        <v>68278141.909999996</v>
      </c>
      <c r="ABK13" s="11">
        <v>13696526.550000001</v>
      </c>
      <c r="ABL13" s="11">
        <v>11602010</v>
      </c>
      <c r="ABM13" s="11">
        <v>13305378.27</v>
      </c>
      <c r="ABN13" s="11">
        <v>9097244.4499999993</v>
      </c>
      <c r="ABO13" s="11">
        <v>13064563.359999999</v>
      </c>
      <c r="ABP13" s="11">
        <v>204977309</v>
      </c>
      <c r="ABQ13" s="11">
        <v>37008216.450000003</v>
      </c>
      <c r="ABR13" s="11">
        <v>19751892.940000001</v>
      </c>
      <c r="ABS13" s="11">
        <v>42327431.850000001</v>
      </c>
      <c r="ABT13" s="11">
        <v>45031298.490000002</v>
      </c>
      <c r="ABU13" s="11">
        <v>31155910.969999999</v>
      </c>
      <c r="ABV13" s="11">
        <v>29316842.260000002</v>
      </c>
      <c r="ABW13" s="11">
        <v>39760331.020000003</v>
      </c>
      <c r="ABX13" s="11">
        <v>7843523.5999999996</v>
      </c>
      <c r="ABY13" s="11">
        <v>260571210.66999999</v>
      </c>
      <c r="ABZ13" s="11">
        <v>23524074.809999999</v>
      </c>
      <c r="ACA13" s="11">
        <v>39538781.619999997</v>
      </c>
      <c r="ACB13" s="11">
        <v>32424572.079999998</v>
      </c>
      <c r="ACC13" s="11">
        <v>20256950.809999999</v>
      </c>
      <c r="ACD13" s="11">
        <v>62832620.109999999</v>
      </c>
      <c r="ACE13" s="11">
        <v>19220800.550000001</v>
      </c>
      <c r="ACF13" s="11">
        <v>35054652.189999998</v>
      </c>
      <c r="ACG13" s="11">
        <v>22555403.23</v>
      </c>
      <c r="ACH13" s="11">
        <v>22412149.120000001</v>
      </c>
      <c r="ACI13" s="11">
        <v>22837245.399999999</v>
      </c>
      <c r="ACJ13" s="11">
        <v>483939380.66000003</v>
      </c>
      <c r="ACK13" s="11">
        <v>32381087.43</v>
      </c>
      <c r="ACL13" s="11">
        <v>38706657.899999999</v>
      </c>
      <c r="ACM13" s="11">
        <v>56081395.899999999</v>
      </c>
      <c r="ACN13" s="11">
        <v>27203938.190000001</v>
      </c>
      <c r="ACO13" s="11">
        <v>43326037.82</v>
      </c>
      <c r="ACP13" s="11">
        <v>43816131.899999999</v>
      </c>
      <c r="ACQ13" s="11">
        <v>96098509.900000006</v>
      </c>
      <c r="ACR13" s="11">
        <v>132020525.11</v>
      </c>
      <c r="ACS13" s="11">
        <v>34765233.649999999</v>
      </c>
      <c r="ACT13" s="11">
        <v>34027798.060000002</v>
      </c>
      <c r="ACU13" s="11">
        <v>46288014.200000003</v>
      </c>
      <c r="ACV13" s="11">
        <v>34932465.82</v>
      </c>
      <c r="ACW13" s="11">
        <v>91374362.810000002</v>
      </c>
      <c r="ACX13" s="11">
        <v>28990802.260000002</v>
      </c>
      <c r="ACY13" s="11">
        <v>41229956.810000002</v>
      </c>
      <c r="ACZ13" s="11">
        <v>27623040.199999999</v>
      </c>
      <c r="ADA13" s="11">
        <v>16309965.16</v>
      </c>
      <c r="ADB13" s="11">
        <v>23613264.73</v>
      </c>
      <c r="ADC13" s="11">
        <v>14531271.82</v>
      </c>
      <c r="ADD13" s="11">
        <v>10818629.66</v>
      </c>
      <c r="ADE13" s="11">
        <v>10422642.359999999</v>
      </c>
      <c r="ADF13" s="11">
        <v>15503537.189999999</v>
      </c>
      <c r="ADG13" s="11">
        <v>145949041.13999999</v>
      </c>
      <c r="ADH13" s="11">
        <v>128241267.95999999</v>
      </c>
      <c r="ADI13" s="11">
        <v>22182613.539999999</v>
      </c>
      <c r="ADJ13" s="11">
        <v>22793811.260000002</v>
      </c>
      <c r="ADK13" s="11">
        <v>26368710</v>
      </c>
      <c r="ADL13" s="11">
        <v>17186074.52</v>
      </c>
      <c r="ADM13" s="11">
        <v>30138211.949999999</v>
      </c>
      <c r="ADN13" s="11">
        <v>24530897.07</v>
      </c>
      <c r="ADO13" s="11">
        <v>29279435.809999999</v>
      </c>
      <c r="ADP13" s="11">
        <v>368663984.52999997</v>
      </c>
      <c r="ADQ13" s="11">
        <v>54271681.07</v>
      </c>
      <c r="ADR13" s="11">
        <v>60805525.520000003</v>
      </c>
      <c r="ADS13" s="11">
        <v>9794586.6600000001</v>
      </c>
      <c r="ADT13" s="11">
        <v>166496059.44999999</v>
      </c>
      <c r="ADU13" s="11">
        <v>19205189.59</v>
      </c>
      <c r="ADV13" s="11">
        <v>23043955.649999999</v>
      </c>
      <c r="ADW13" s="11">
        <v>36830359.369999997</v>
      </c>
      <c r="ADX13" s="11">
        <v>15701057.42</v>
      </c>
      <c r="ADY13" s="11">
        <v>3292782.9</v>
      </c>
      <c r="ADZ13" s="11">
        <v>546244582.75999999</v>
      </c>
      <c r="AEA13" s="11">
        <v>90099297.099999994</v>
      </c>
      <c r="AEB13" s="11">
        <v>70486903.719999999</v>
      </c>
      <c r="AEC13" s="11">
        <v>27265360.670000002</v>
      </c>
      <c r="AED13" s="11">
        <v>15074145.16</v>
      </c>
      <c r="AEE13" s="11">
        <v>42240032.359999999</v>
      </c>
      <c r="AEF13" s="11">
        <v>32638177.780000001</v>
      </c>
      <c r="AEG13" s="11">
        <v>30052588.129999999</v>
      </c>
      <c r="AEH13" s="11">
        <v>22870167.899999999</v>
      </c>
      <c r="AEI13" s="11">
        <v>24283902.539999999</v>
      </c>
      <c r="AEJ13" s="11">
        <v>26157698.5</v>
      </c>
      <c r="AEK13" s="11">
        <v>46054223.380000003</v>
      </c>
      <c r="AEL13" s="11">
        <v>27684615.109999999</v>
      </c>
      <c r="AEM13" s="11">
        <v>27436613.23</v>
      </c>
      <c r="AEN13" s="11">
        <v>37462559.240000002</v>
      </c>
      <c r="AEO13" s="11">
        <v>38150663.490000002</v>
      </c>
      <c r="AEP13" s="11">
        <v>22418186.719999999</v>
      </c>
      <c r="AEQ13" s="11">
        <v>49575649.670000002</v>
      </c>
      <c r="AER13" s="11">
        <v>16064346.77</v>
      </c>
      <c r="AES13" s="11">
        <v>47348346.130000003</v>
      </c>
      <c r="AET13" s="11">
        <v>361970481.33999997</v>
      </c>
      <c r="AEU13" s="11">
        <v>52034154.119999997</v>
      </c>
      <c r="AEV13" s="11">
        <v>51678918.530000001</v>
      </c>
      <c r="AEW13" s="11">
        <v>34083069.469999999</v>
      </c>
      <c r="AEX13" s="11">
        <v>30332399.140000001</v>
      </c>
      <c r="AEY13" s="11">
        <v>62263397.219999999</v>
      </c>
      <c r="AEZ13" s="11">
        <v>36421598.969999999</v>
      </c>
      <c r="AFA13" s="11">
        <v>44697774.090000004</v>
      </c>
      <c r="AFB13" s="11">
        <v>29243610.399999999</v>
      </c>
      <c r="AFC13" s="11">
        <v>12833647.41</v>
      </c>
      <c r="AFD13" s="11">
        <v>276959493.06</v>
      </c>
      <c r="AFE13" s="11">
        <v>174838257.49000001</v>
      </c>
      <c r="AFF13" s="11">
        <v>57326350.560000002</v>
      </c>
      <c r="AFG13" s="11">
        <v>57548026.530000001</v>
      </c>
      <c r="AFH13" s="11">
        <v>81482381.799999997</v>
      </c>
      <c r="AFI13" s="11">
        <v>65962442.140000001</v>
      </c>
      <c r="AFJ13" s="11">
        <v>41545219.310000002</v>
      </c>
      <c r="AFK13" s="11">
        <v>54331592.640000001</v>
      </c>
      <c r="AFL13" s="11">
        <v>31537612.890000001</v>
      </c>
      <c r="AFM13" s="11">
        <v>54187219.990000002</v>
      </c>
      <c r="AFN13" s="11">
        <v>44835708.75</v>
      </c>
      <c r="AFO13" s="11">
        <v>42332701.5</v>
      </c>
      <c r="AFP13" s="11">
        <v>62875862.530000001</v>
      </c>
      <c r="AFQ13" s="11">
        <v>304484463.60000002</v>
      </c>
      <c r="AFR13" s="11">
        <v>82812501.019999996</v>
      </c>
      <c r="AFS13" s="11">
        <v>52400912.780000001</v>
      </c>
      <c r="AFT13" s="11">
        <v>49959763.329999998</v>
      </c>
      <c r="AFU13" s="11">
        <v>50801574.579999998</v>
      </c>
      <c r="AFV13" s="11">
        <v>38973357.130000003</v>
      </c>
      <c r="AFW13" s="11">
        <v>32248848.510000002</v>
      </c>
      <c r="AFX13" s="11">
        <v>67437158.900000006</v>
      </c>
      <c r="AFY13" s="11">
        <v>57978821.189999998</v>
      </c>
      <c r="AFZ13" s="11">
        <v>33065090.079999998</v>
      </c>
      <c r="AGA13" s="11">
        <v>67174709.060000002</v>
      </c>
      <c r="AGB13" s="11">
        <v>32174873.219999999</v>
      </c>
      <c r="AGC13" s="11">
        <v>282340647.80000001</v>
      </c>
      <c r="AGD13" s="11">
        <v>27790692.949999999</v>
      </c>
      <c r="AGE13" s="11">
        <v>35057873.869999997</v>
      </c>
      <c r="AGF13" s="11">
        <v>34020604.700000003</v>
      </c>
      <c r="AGG13" s="11">
        <v>67620097.450000003</v>
      </c>
      <c r="AGH13" s="11">
        <v>31800485.390000001</v>
      </c>
      <c r="AGI13" s="11">
        <v>29932249.649999999</v>
      </c>
      <c r="AGJ13" s="11">
        <v>32821690</v>
      </c>
      <c r="AGK13" s="11">
        <v>26147381.309999999</v>
      </c>
      <c r="AGL13" s="11">
        <v>37384873.479999997</v>
      </c>
      <c r="AGM13" s="11">
        <v>16607025.289999999</v>
      </c>
      <c r="AGN13" s="11">
        <v>425357944.89999998</v>
      </c>
      <c r="AGO13" s="11">
        <v>121338264.48999999</v>
      </c>
      <c r="AGP13" s="11">
        <v>54372923.060000002</v>
      </c>
      <c r="AGQ13" s="11">
        <v>33398776.260000002</v>
      </c>
      <c r="AGR13" s="11">
        <v>61530099.700000003</v>
      </c>
      <c r="AGS13" s="11">
        <v>56603242</v>
      </c>
      <c r="AGT13" s="11">
        <v>29192080.899999999</v>
      </c>
      <c r="AGU13" s="11">
        <v>24212327.27</v>
      </c>
      <c r="AGV13" s="11">
        <v>554746475.80999994</v>
      </c>
      <c r="AGW13" s="11">
        <v>338462232.19999999</v>
      </c>
      <c r="AGX13" s="11">
        <v>40140800.82</v>
      </c>
      <c r="AGY13" s="11">
        <v>84815705.560000002</v>
      </c>
      <c r="AGZ13" s="11">
        <v>93185624.390000001</v>
      </c>
      <c r="AHA13" s="11">
        <v>66173630.43</v>
      </c>
      <c r="AHB13" s="11">
        <v>60179320.979999997</v>
      </c>
      <c r="AHC13" s="11">
        <v>46765014.609999999</v>
      </c>
      <c r="AHD13" s="11">
        <v>18134252.050000001</v>
      </c>
      <c r="AHE13" s="11">
        <v>35645328.310000002</v>
      </c>
      <c r="AHF13" s="11">
        <v>39015383.539999999</v>
      </c>
      <c r="AHG13" s="11">
        <v>30302282.66</v>
      </c>
      <c r="AHH13" s="11">
        <v>25626037.579999998</v>
      </c>
      <c r="AHI13" s="11">
        <v>23663912.440000001</v>
      </c>
      <c r="AHJ13" s="11">
        <v>29327560.48</v>
      </c>
      <c r="AHK13" s="11">
        <v>39715915.420000002</v>
      </c>
      <c r="AHL13" s="11">
        <v>25785853.719999999</v>
      </c>
      <c r="AHM13" s="11">
        <v>197625467.63999999</v>
      </c>
      <c r="AHN13" s="11">
        <v>41185066.240000002</v>
      </c>
      <c r="AHO13" s="11">
        <v>45925031.920000002</v>
      </c>
      <c r="AHP13" s="11">
        <v>37945056.359999999</v>
      </c>
      <c r="AHQ13" s="11">
        <v>59992267.979999997</v>
      </c>
      <c r="AHR13" s="11">
        <v>39288200.68</v>
      </c>
      <c r="AHS13" s="11">
        <v>12058066</v>
      </c>
      <c r="AHT13" s="11">
        <v>57762407371.819931</v>
      </c>
      <c r="AHU13" s="11"/>
    </row>
    <row r="14" spans="1:905" x14ac:dyDescent="0.7">
      <c r="B14" s="6" t="s">
        <v>16</v>
      </c>
      <c r="C14" s="6" t="s">
        <v>17</v>
      </c>
      <c r="D14" s="11">
        <v>210722394.99000001</v>
      </c>
      <c r="E14" s="11">
        <v>15461089.52</v>
      </c>
      <c r="F14" s="11">
        <v>17137963.990000002</v>
      </c>
      <c r="G14" s="11">
        <v>8834047.7300000004</v>
      </c>
      <c r="H14" s="11">
        <v>29829465.620000001</v>
      </c>
      <c r="I14" s="11">
        <v>9536829.0899999999</v>
      </c>
      <c r="J14" s="11">
        <v>37113325.789999999</v>
      </c>
      <c r="K14" s="11">
        <v>14199404.359999999</v>
      </c>
      <c r="L14" s="11">
        <v>12348734.560000001</v>
      </c>
      <c r="M14" s="11">
        <v>16861479.27</v>
      </c>
      <c r="N14" s="11">
        <v>13504476.23</v>
      </c>
      <c r="O14" s="11">
        <v>12402872.59</v>
      </c>
      <c r="P14" s="11">
        <v>12185727.390000001</v>
      </c>
      <c r="Q14" s="11">
        <v>11490913.9</v>
      </c>
      <c r="R14" s="11">
        <v>10333310.529999999</v>
      </c>
      <c r="S14" s="11">
        <v>17701491.380000003</v>
      </c>
      <c r="T14" s="11">
        <v>8901901.3300000001</v>
      </c>
      <c r="U14" s="11">
        <v>10838891.67</v>
      </c>
      <c r="V14" s="11">
        <v>551218339.13999999</v>
      </c>
      <c r="W14" s="11">
        <v>54128691.86999999</v>
      </c>
      <c r="X14" s="11">
        <v>18408947.190000001</v>
      </c>
      <c r="Y14" s="11">
        <v>16483934.279999999</v>
      </c>
      <c r="Z14" s="11">
        <v>15445004.67</v>
      </c>
      <c r="AA14" s="11">
        <v>11637303.780000001</v>
      </c>
      <c r="AB14" s="11">
        <v>5816273.9900000002</v>
      </c>
      <c r="AC14" s="11">
        <v>40639753.950000003</v>
      </c>
      <c r="AD14" s="11">
        <v>14608473.350000001</v>
      </c>
      <c r="AE14" s="11">
        <v>10293651.639999999</v>
      </c>
      <c r="AF14" s="11">
        <v>42396923.549999997</v>
      </c>
      <c r="AG14" s="11">
        <v>13854423.940000001</v>
      </c>
      <c r="AH14" s="11">
        <v>52030444.350000001</v>
      </c>
      <c r="AI14" s="11">
        <v>33043303.490000002</v>
      </c>
      <c r="AJ14" s="11">
        <v>8393699.2100000009</v>
      </c>
      <c r="AK14" s="11">
        <v>6263589.6500000004</v>
      </c>
      <c r="AL14" s="11">
        <v>9620174.5800000001</v>
      </c>
      <c r="AM14" s="11">
        <v>11239033.02</v>
      </c>
      <c r="AN14" s="11">
        <v>6669305.0999999996</v>
      </c>
      <c r="AO14" s="11">
        <v>8490704.8599999994</v>
      </c>
      <c r="AP14" s="11">
        <v>13645714.76</v>
      </c>
      <c r="AQ14" s="11">
        <v>11210964.18</v>
      </c>
      <c r="AR14" s="11">
        <v>6008629.2400000002</v>
      </c>
      <c r="AS14" s="11">
        <v>6731081.9500000002</v>
      </c>
      <c r="AT14" s="11">
        <v>73136907.640000001</v>
      </c>
      <c r="AU14" s="11">
        <v>10356859.83</v>
      </c>
      <c r="AV14" s="11">
        <v>10572122.67</v>
      </c>
      <c r="AW14" s="11">
        <v>5865424.9100000001</v>
      </c>
      <c r="AX14" s="11">
        <v>20554961.879999999</v>
      </c>
      <c r="AY14" s="11">
        <v>18599193.509999998</v>
      </c>
      <c r="AZ14" s="11">
        <v>7483915.2400000002</v>
      </c>
      <c r="BA14" s="11">
        <v>8208793.8200000003</v>
      </c>
      <c r="BB14" s="11">
        <v>5963884.6600000001</v>
      </c>
      <c r="BC14" s="11">
        <v>10473935.379999999</v>
      </c>
      <c r="BD14" s="11">
        <v>7635216.4100000001</v>
      </c>
      <c r="BE14" s="11">
        <v>6823646.79</v>
      </c>
      <c r="BF14" s="11">
        <v>28511198.740000002</v>
      </c>
      <c r="BG14" s="11">
        <v>10946908.689999999</v>
      </c>
      <c r="BH14" s="11">
        <v>9454091.9800000004</v>
      </c>
      <c r="BI14" s="11">
        <v>68506698.210000008</v>
      </c>
      <c r="BJ14" s="11">
        <v>36129659.420000002</v>
      </c>
      <c r="BK14" s="11">
        <v>13160505.789999999</v>
      </c>
      <c r="BL14" s="11">
        <v>6182264.1600000001</v>
      </c>
      <c r="BM14" s="11">
        <v>15425657.08</v>
      </c>
      <c r="BN14" s="11">
        <v>12102693.439999999</v>
      </c>
      <c r="BO14" s="11">
        <v>12286166.189999999</v>
      </c>
      <c r="BP14" s="11">
        <v>11045859.279999999</v>
      </c>
      <c r="BQ14" s="11">
        <v>3946017.94</v>
      </c>
      <c r="BR14" s="11">
        <v>77981073.560000002</v>
      </c>
      <c r="BS14" s="11">
        <v>10053986.369999999</v>
      </c>
      <c r="BT14" s="11">
        <v>10052535.35</v>
      </c>
      <c r="BU14" s="11">
        <v>24477838.759999998</v>
      </c>
      <c r="BV14" s="11">
        <v>21318664.630000003</v>
      </c>
      <c r="BW14" s="11">
        <v>6128946.1800000006</v>
      </c>
      <c r="BX14" s="11">
        <v>5317864.37</v>
      </c>
      <c r="BY14" s="11">
        <v>24510232.829999998</v>
      </c>
      <c r="BZ14" s="11">
        <v>44235161.219999999</v>
      </c>
      <c r="CA14" s="11">
        <v>13063169.91</v>
      </c>
      <c r="CB14" s="11">
        <v>15899768.060000001</v>
      </c>
      <c r="CC14" s="11">
        <v>29244288.699999999</v>
      </c>
      <c r="CD14" s="11">
        <v>7689613.3600000003</v>
      </c>
      <c r="CE14" s="11">
        <v>12046555.68</v>
      </c>
      <c r="CF14" s="11">
        <v>5552115.4100000001</v>
      </c>
      <c r="CG14" s="11">
        <v>148161370.37</v>
      </c>
      <c r="CH14" s="11">
        <v>11048502.560000001</v>
      </c>
      <c r="CI14" s="11">
        <v>42536915.670000002</v>
      </c>
      <c r="CJ14" s="11">
        <v>10617598.059999999</v>
      </c>
      <c r="CK14" s="11">
        <v>11504698.77</v>
      </c>
      <c r="CL14" s="11">
        <v>10852821.33</v>
      </c>
      <c r="CM14" s="11">
        <v>8826066.2699999996</v>
      </c>
      <c r="CN14" s="11">
        <v>21078776.02</v>
      </c>
      <c r="CO14" s="11">
        <v>5075151.17</v>
      </c>
      <c r="CP14" s="11">
        <v>10964235.67</v>
      </c>
      <c r="CQ14" s="11">
        <v>7513846.0999999996</v>
      </c>
      <c r="CR14" s="11">
        <v>14732301.600000001</v>
      </c>
      <c r="CS14" s="11">
        <v>9774142.8300000001</v>
      </c>
      <c r="CT14" s="11">
        <v>103060440.73</v>
      </c>
      <c r="CU14" s="11">
        <v>9433674.9900000002</v>
      </c>
      <c r="CV14" s="11">
        <v>11352093.42</v>
      </c>
      <c r="CW14" s="11">
        <v>14710710.610000001</v>
      </c>
      <c r="CX14" s="11">
        <v>9686598.4499999993</v>
      </c>
      <c r="CY14" s="11">
        <v>17327380.189999998</v>
      </c>
      <c r="CZ14" s="11">
        <v>6663428.29</v>
      </c>
      <c r="DA14" s="11">
        <v>4757842.8999999994</v>
      </c>
      <c r="DB14" s="11">
        <v>64357404.550000004</v>
      </c>
      <c r="DC14" s="11">
        <v>161936743.74999997</v>
      </c>
      <c r="DD14" s="11">
        <v>15258451.149999999</v>
      </c>
      <c r="DE14" s="11">
        <v>14163371.57</v>
      </c>
      <c r="DF14" s="11">
        <v>19510819.27</v>
      </c>
      <c r="DG14" s="11">
        <v>39155637.75</v>
      </c>
      <c r="DH14" s="11">
        <v>31236176.68</v>
      </c>
      <c r="DI14" s="11">
        <v>42351722.590000004</v>
      </c>
      <c r="DJ14" s="11">
        <v>14185594.859999999</v>
      </c>
      <c r="DK14" s="11">
        <v>303732418.47000003</v>
      </c>
      <c r="DL14" s="11">
        <v>12525667.16</v>
      </c>
      <c r="DM14" s="11">
        <v>32304303.969999999</v>
      </c>
      <c r="DN14" s="11">
        <v>9821886.0300000012</v>
      </c>
      <c r="DO14" s="11">
        <v>17194376.539999999</v>
      </c>
      <c r="DP14" s="11">
        <v>17739967.760000002</v>
      </c>
      <c r="DQ14" s="11">
        <v>17100937.780000001</v>
      </c>
      <c r="DR14" s="11">
        <v>8489379.4199999999</v>
      </c>
      <c r="DS14" s="11">
        <v>48489718.269999996</v>
      </c>
      <c r="DT14" s="11">
        <v>58305901.93</v>
      </c>
      <c r="DU14" s="11">
        <v>17352777.329999998</v>
      </c>
      <c r="DV14" s="11">
        <v>44760407.390000001</v>
      </c>
      <c r="DW14" s="11">
        <v>31953221.57</v>
      </c>
      <c r="DX14" s="11">
        <v>10776924.99</v>
      </c>
      <c r="DY14" s="11">
        <v>6306435.96</v>
      </c>
      <c r="DZ14" s="11">
        <v>50914947.859999999</v>
      </c>
      <c r="EA14" s="11">
        <v>6308864.7599999998</v>
      </c>
      <c r="EB14" s="11">
        <v>10516273.189999999</v>
      </c>
      <c r="EC14" s="11">
        <v>10364723.66</v>
      </c>
      <c r="ED14" s="11">
        <v>8810359.0999999996</v>
      </c>
      <c r="EE14" s="11">
        <v>87881507.230000019</v>
      </c>
      <c r="EF14" s="11">
        <v>54687308.969999999</v>
      </c>
      <c r="EG14" s="11">
        <v>9612908.5199999996</v>
      </c>
      <c r="EH14" s="11">
        <v>11335172.73</v>
      </c>
      <c r="EI14" s="11">
        <v>11428055.42</v>
      </c>
      <c r="EJ14" s="11">
        <v>25048111.210000001</v>
      </c>
      <c r="EK14" s="11">
        <v>14256832.24</v>
      </c>
      <c r="EL14" s="11">
        <v>11280084.35</v>
      </c>
      <c r="EM14" s="11">
        <v>8181560</v>
      </c>
      <c r="EN14" s="11">
        <v>86600514.190000013</v>
      </c>
      <c r="EO14" s="11">
        <v>7512440.5099999998</v>
      </c>
      <c r="EP14" s="11">
        <v>14216783.310000001</v>
      </c>
      <c r="EQ14" s="11">
        <v>12540698.939999999</v>
      </c>
      <c r="ER14" s="11">
        <v>13601280.23</v>
      </c>
      <c r="ES14" s="11">
        <v>6056407.6500000004</v>
      </c>
      <c r="ET14" s="11">
        <v>17945787.02</v>
      </c>
      <c r="EU14" s="11">
        <v>22566765.91</v>
      </c>
      <c r="EV14" s="11">
        <v>10935074.539999999</v>
      </c>
      <c r="EW14" s="11">
        <v>103621882.89</v>
      </c>
      <c r="EX14" s="11">
        <v>7001452.2600000007</v>
      </c>
      <c r="EY14" s="11">
        <v>10667719.74</v>
      </c>
      <c r="EZ14" s="11">
        <v>14313945.530000001</v>
      </c>
      <c r="FA14" s="11">
        <v>30549113.439999998</v>
      </c>
      <c r="FB14" s="11">
        <v>25228351.609999999</v>
      </c>
      <c r="FC14" s="11">
        <v>15792063.939999999</v>
      </c>
      <c r="FD14" s="11">
        <v>11708349.34</v>
      </c>
      <c r="FE14" s="11">
        <v>12413203.649999999</v>
      </c>
      <c r="FF14" s="11">
        <v>7096388.29</v>
      </c>
      <c r="FG14" s="11">
        <v>8254203.3899999997</v>
      </c>
      <c r="FH14" s="11">
        <v>6770830.7999999998</v>
      </c>
      <c r="FI14" s="11">
        <v>58711208.989999995</v>
      </c>
      <c r="FJ14" s="11">
        <v>9927482.5099999998</v>
      </c>
      <c r="FK14" s="11">
        <v>8741183.0700000003</v>
      </c>
      <c r="FL14" s="11">
        <v>8048734.3300000001</v>
      </c>
      <c r="FM14" s="11">
        <v>8966171.7200000007</v>
      </c>
      <c r="FN14" s="11">
        <v>27943640.850000005</v>
      </c>
      <c r="FO14" s="11">
        <v>4888496.83</v>
      </c>
      <c r="FP14" s="11">
        <v>2857945.97</v>
      </c>
      <c r="FQ14" s="11">
        <v>181877386.69999999</v>
      </c>
      <c r="FR14" s="11">
        <v>8171356.9299999997</v>
      </c>
      <c r="FS14" s="11">
        <v>10994569.16</v>
      </c>
      <c r="FT14" s="11">
        <v>14718400.65</v>
      </c>
      <c r="FU14" s="11">
        <v>27012462.309999999</v>
      </c>
      <c r="FV14" s="11">
        <v>7543583</v>
      </c>
      <c r="FW14" s="11">
        <v>16456762.65</v>
      </c>
      <c r="FX14" s="11">
        <v>12016710.399999999</v>
      </c>
      <c r="FY14" s="11">
        <v>14914243.76</v>
      </c>
      <c r="FZ14" s="11">
        <v>4371568.6999999993</v>
      </c>
      <c r="GA14" s="11">
        <v>15558836.02</v>
      </c>
      <c r="GB14" s="11">
        <v>8829027.8900000006</v>
      </c>
      <c r="GC14" s="11">
        <v>11099348.74</v>
      </c>
      <c r="GD14" s="11">
        <v>3283063.58</v>
      </c>
      <c r="GE14" s="11">
        <v>246416712.63000003</v>
      </c>
      <c r="GF14" s="11">
        <v>10121647.219999999</v>
      </c>
      <c r="GG14" s="11">
        <v>8353219.8899999997</v>
      </c>
      <c r="GH14" s="11">
        <v>11601194.060000002</v>
      </c>
      <c r="GI14" s="11">
        <v>14969207.07</v>
      </c>
      <c r="GJ14" s="11">
        <v>13673569.459999999</v>
      </c>
      <c r="GK14" s="11">
        <v>9040266.25</v>
      </c>
      <c r="GL14" s="11">
        <v>15589937.67</v>
      </c>
      <c r="GM14" s="11">
        <v>4927081.5699999994</v>
      </c>
      <c r="GN14" s="11">
        <v>9683980.5999999996</v>
      </c>
      <c r="GO14" s="11">
        <v>8433237.2100000009</v>
      </c>
      <c r="GP14" s="11">
        <v>6608830.8300000001</v>
      </c>
      <c r="GQ14" s="11">
        <v>93345780.349999994</v>
      </c>
      <c r="GR14" s="11">
        <v>14483667.280000001</v>
      </c>
      <c r="GS14" s="11">
        <v>7252150.9699999997</v>
      </c>
      <c r="GT14" s="11">
        <v>12074016.07</v>
      </c>
      <c r="GU14" s="11">
        <v>3110318.2</v>
      </c>
      <c r="GV14" s="11">
        <v>20398610.75</v>
      </c>
      <c r="GW14" s="11">
        <v>6008574.9900000002</v>
      </c>
      <c r="GX14" s="11">
        <v>4428031.22</v>
      </c>
      <c r="GY14" s="11">
        <v>44024405.450000003</v>
      </c>
      <c r="GZ14" s="11">
        <v>5449544.6899999995</v>
      </c>
      <c r="HA14" s="11">
        <v>9044182.3900000006</v>
      </c>
      <c r="HB14" s="11">
        <v>15554059.989999998</v>
      </c>
      <c r="HC14" s="11">
        <v>330655929.78999996</v>
      </c>
      <c r="HD14" s="11">
        <v>29486830.149999999</v>
      </c>
      <c r="HE14" s="11">
        <v>30426384.43</v>
      </c>
      <c r="HF14" s="11">
        <v>42797520.25</v>
      </c>
      <c r="HG14" s="11">
        <v>31603862.849999998</v>
      </c>
      <c r="HH14" s="11">
        <v>35226124.590000004</v>
      </c>
      <c r="HI14" s="11">
        <v>21467838.530000001</v>
      </c>
      <c r="HJ14" s="11">
        <v>6308824.6799999997</v>
      </c>
      <c r="HK14" s="11">
        <v>81831366.399999991</v>
      </c>
      <c r="HL14" s="11">
        <v>36229405.829999998</v>
      </c>
      <c r="HM14" s="11">
        <v>37712709.550000004</v>
      </c>
      <c r="HN14" s="11">
        <v>33164521.469999999</v>
      </c>
      <c r="HO14" s="11">
        <v>24504304.129999999</v>
      </c>
      <c r="HP14" s="11">
        <v>45678485.850000001</v>
      </c>
      <c r="HQ14" s="11">
        <v>27590932.530000001</v>
      </c>
      <c r="HR14" s="11">
        <v>18912444.120000001</v>
      </c>
      <c r="HS14" s="11">
        <v>94674398.850000009</v>
      </c>
      <c r="HT14" s="11">
        <v>28722989.879999995</v>
      </c>
      <c r="HU14" s="11">
        <v>19100465.899999999</v>
      </c>
      <c r="HV14" s="11">
        <v>9410790.1600000001</v>
      </c>
      <c r="HW14" s="11">
        <v>10601035.460000001</v>
      </c>
      <c r="HX14" s="11">
        <v>7863588.6500000004</v>
      </c>
      <c r="HY14" s="11">
        <v>27182148.659999996</v>
      </c>
      <c r="HZ14" s="11">
        <v>10509373.260000002</v>
      </c>
      <c r="IA14" s="11">
        <v>10306104.789999999</v>
      </c>
      <c r="IB14" s="11">
        <v>12139861.35</v>
      </c>
      <c r="IC14" s="11">
        <v>11155398.960000001</v>
      </c>
      <c r="ID14" s="11">
        <v>23405109.75</v>
      </c>
      <c r="IE14" s="11">
        <v>6166163.0899999999</v>
      </c>
      <c r="IF14" s="11">
        <v>15995943.620000001</v>
      </c>
      <c r="IG14" s="11">
        <v>8947161.6099999994</v>
      </c>
      <c r="IH14" s="11">
        <v>3270849.6599999997</v>
      </c>
      <c r="II14" s="11">
        <v>92640302.170000002</v>
      </c>
      <c r="IJ14" s="11">
        <v>23757681.470000003</v>
      </c>
      <c r="IK14" s="11">
        <v>14810624.08</v>
      </c>
      <c r="IL14" s="11">
        <v>19093796.52</v>
      </c>
      <c r="IM14" s="11">
        <v>17336416.07</v>
      </c>
      <c r="IN14" s="11">
        <v>4312636.0600000005</v>
      </c>
      <c r="IO14" s="11">
        <v>8244015.7300000004</v>
      </c>
      <c r="IP14" s="11">
        <v>4070656.0999999996</v>
      </c>
      <c r="IQ14" s="11">
        <v>11956332.350000001</v>
      </c>
      <c r="IR14" s="11">
        <v>4010706.32</v>
      </c>
      <c r="IS14" s="11">
        <v>3569215.62</v>
      </c>
      <c r="IT14" s="11">
        <v>212957165.82000005</v>
      </c>
      <c r="IU14" s="11">
        <v>74217111.770000011</v>
      </c>
      <c r="IV14" s="11">
        <v>29587833.050000004</v>
      </c>
      <c r="IW14" s="11">
        <v>19586925.32</v>
      </c>
      <c r="IX14" s="11">
        <v>11759792.190000001</v>
      </c>
      <c r="IY14" s="11">
        <v>4840439.7699999996</v>
      </c>
      <c r="IZ14" s="11">
        <v>15621469.76</v>
      </c>
      <c r="JA14" s="11">
        <v>2582997.5</v>
      </c>
      <c r="JB14" s="11">
        <v>4698315.18</v>
      </c>
      <c r="JC14" s="11">
        <v>4108606.49</v>
      </c>
      <c r="JD14" s="11">
        <v>15300152.039999999</v>
      </c>
      <c r="JE14" s="11">
        <v>13954856.15</v>
      </c>
      <c r="JF14" s="11">
        <v>59584379.700000003</v>
      </c>
      <c r="JG14" s="11">
        <v>21204083.199999999</v>
      </c>
      <c r="JH14" s="11">
        <v>8714839.6699999999</v>
      </c>
      <c r="JI14" s="11">
        <v>7756555.3599999994</v>
      </c>
      <c r="JJ14" s="11">
        <v>3332332.59</v>
      </c>
      <c r="JK14" s="11">
        <v>6402032.6600000001</v>
      </c>
      <c r="JL14" s="11">
        <v>62476876.07</v>
      </c>
      <c r="JM14" s="11">
        <v>13110185.939999999</v>
      </c>
      <c r="JN14" s="11">
        <v>21969199.829999998</v>
      </c>
      <c r="JO14" s="11">
        <v>14558408.43</v>
      </c>
      <c r="JP14" s="11">
        <v>6607699.8599999994</v>
      </c>
      <c r="JQ14" s="11">
        <v>28999620.039999999</v>
      </c>
      <c r="JR14" s="11">
        <v>6572010.4900000002</v>
      </c>
      <c r="JS14" s="11">
        <v>98066275.780000001</v>
      </c>
      <c r="JT14" s="11">
        <v>142722877.92000002</v>
      </c>
      <c r="JU14" s="11">
        <v>7358328.2999999998</v>
      </c>
      <c r="JV14" s="11">
        <v>6070779.5800000001</v>
      </c>
      <c r="JW14" s="11">
        <v>8890630.1400000006</v>
      </c>
      <c r="JX14" s="11">
        <v>5117803.18</v>
      </c>
      <c r="JY14" s="11">
        <v>60160990.82</v>
      </c>
      <c r="JZ14" s="11">
        <v>7763360.1799999997</v>
      </c>
      <c r="KA14" s="11">
        <v>52146656.259999998</v>
      </c>
      <c r="KB14" s="11">
        <v>16272609.109999999</v>
      </c>
      <c r="KC14" s="11">
        <v>9474847.3000000007</v>
      </c>
      <c r="KD14" s="11">
        <v>14418143</v>
      </c>
      <c r="KE14" s="11">
        <v>3700400.87</v>
      </c>
      <c r="KF14" s="11">
        <v>1568121.93</v>
      </c>
      <c r="KG14" s="11">
        <v>7588897.0999999996</v>
      </c>
      <c r="KH14" s="11">
        <v>3444465.2</v>
      </c>
      <c r="KI14" s="11">
        <v>235017267.12</v>
      </c>
      <c r="KJ14" s="11">
        <v>40684018.25</v>
      </c>
      <c r="KK14" s="11">
        <v>22260254.780000001</v>
      </c>
      <c r="KL14" s="11">
        <v>26375159.809999999</v>
      </c>
      <c r="KM14" s="11">
        <v>40452954.57</v>
      </c>
      <c r="KN14" s="11">
        <v>22875152.300000001</v>
      </c>
      <c r="KO14" s="11">
        <v>52765585.609999999</v>
      </c>
      <c r="KP14" s="11">
        <v>15610396.620000001</v>
      </c>
      <c r="KQ14" s="11">
        <v>16917924.809999999</v>
      </c>
      <c r="KR14" s="11">
        <v>48931279.109999999</v>
      </c>
      <c r="KS14" s="11">
        <v>14063376.18</v>
      </c>
      <c r="KT14" s="11">
        <v>13622115.890000001</v>
      </c>
      <c r="KU14" s="11">
        <v>31609304.829999998</v>
      </c>
      <c r="KV14" s="11">
        <v>13290315.23</v>
      </c>
      <c r="KW14" s="11">
        <v>13149243.99</v>
      </c>
      <c r="KX14" s="11">
        <v>67034783.219999999</v>
      </c>
      <c r="KY14" s="11">
        <v>20159145.119999997</v>
      </c>
      <c r="KZ14" s="11">
        <v>99046383.159999996</v>
      </c>
      <c r="LA14" s="11">
        <v>7423485.9500000002</v>
      </c>
      <c r="LB14" s="11">
        <v>12842925.280000001</v>
      </c>
      <c r="LC14" s="11">
        <v>21379147.050000001</v>
      </c>
      <c r="LD14" s="11">
        <v>12912706.899999999</v>
      </c>
      <c r="LE14" s="11">
        <v>16530303.859999999</v>
      </c>
      <c r="LF14" s="11">
        <v>19050353.329999998</v>
      </c>
      <c r="LG14" s="11">
        <v>10893963.449999999</v>
      </c>
      <c r="LH14" s="11">
        <v>418859274.59999996</v>
      </c>
      <c r="LI14" s="11">
        <v>46502656.840000004</v>
      </c>
      <c r="LJ14" s="11">
        <v>69517102.670000002</v>
      </c>
      <c r="LK14" s="11">
        <v>82495853.629999995</v>
      </c>
      <c r="LL14" s="11">
        <v>9680250.7100000009</v>
      </c>
      <c r="LM14" s="11">
        <v>21679555.120000001</v>
      </c>
      <c r="LN14" s="11">
        <v>3201134.16</v>
      </c>
      <c r="LO14" s="11">
        <v>9131141.4399999995</v>
      </c>
      <c r="LP14" s="11">
        <v>4642204.47</v>
      </c>
      <c r="LQ14" s="11">
        <v>35396406.460000001</v>
      </c>
      <c r="LR14" s="11">
        <v>5559296.2599999998</v>
      </c>
      <c r="LS14" s="11">
        <v>68976072.760000005</v>
      </c>
      <c r="LT14" s="11">
        <v>12616789.83</v>
      </c>
      <c r="LU14" s="11">
        <v>7582571.21</v>
      </c>
      <c r="LV14" s="11">
        <v>251115095.03000003</v>
      </c>
      <c r="LW14" s="11">
        <v>92427634.109999999</v>
      </c>
      <c r="LX14" s="11">
        <v>101957948.8</v>
      </c>
      <c r="LY14" s="11">
        <v>47458414.069999993</v>
      </c>
      <c r="LZ14" s="11">
        <v>15303290.310000001</v>
      </c>
      <c r="MA14" s="11">
        <v>28904258.899999999</v>
      </c>
      <c r="MB14" s="11">
        <v>17067222.039999999</v>
      </c>
      <c r="MC14" s="11">
        <v>4361874.92</v>
      </c>
      <c r="MD14" s="11">
        <v>15378989.85</v>
      </c>
      <c r="ME14" s="11">
        <v>8363147.2400000002</v>
      </c>
      <c r="MF14" s="11">
        <v>21886353.23</v>
      </c>
      <c r="MG14" s="11">
        <v>11273197.77</v>
      </c>
      <c r="MH14" s="11">
        <v>284930385.86000001</v>
      </c>
      <c r="MI14" s="11">
        <v>12985615.810000001</v>
      </c>
      <c r="MJ14" s="11">
        <v>6037746.0099999998</v>
      </c>
      <c r="MK14" s="11">
        <v>5950061.5700000003</v>
      </c>
      <c r="ML14" s="11">
        <v>7668253.5199999996</v>
      </c>
      <c r="MM14" s="11">
        <v>7152879.0999999996</v>
      </c>
      <c r="MN14" s="11">
        <v>8726909.1799999997</v>
      </c>
      <c r="MO14" s="11">
        <v>6874127.4399999995</v>
      </c>
      <c r="MP14" s="11">
        <v>14425366.329999998</v>
      </c>
      <c r="MQ14" s="11">
        <v>11732619.08</v>
      </c>
      <c r="MR14" s="11">
        <v>13656350.550000001</v>
      </c>
      <c r="MS14" s="11">
        <v>4150485.74</v>
      </c>
      <c r="MT14" s="11">
        <v>162054170.97999999</v>
      </c>
      <c r="MU14" s="11">
        <v>5561808.8300000001</v>
      </c>
      <c r="MV14" s="11">
        <v>25167046.050000001</v>
      </c>
      <c r="MW14" s="11">
        <v>18904204.550000001</v>
      </c>
      <c r="MX14" s="11">
        <v>7534957.6200000001</v>
      </c>
      <c r="MY14" s="11">
        <v>16524852.190000001</v>
      </c>
      <c r="MZ14" s="11">
        <v>37941135.920000002</v>
      </c>
      <c r="NA14" s="11">
        <v>15109155.359999999</v>
      </c>
      <c r="NB14" s="11">
        <v>4377652.5399999991</v>
      </c>
      <c r="NC14" s="11">
        <v>7649018.1399999997</v>
      </c>
      <c r="ND14" s="11">
        <v>5176945.76</v>
      </c>
      <c r="NE14" s="11">
        <v>277586297.63999999</v>
      </c>
      <c r="NF14" s="11">
        <v>83266433.400000006</v>
      </c>
      <c r="NG14" s="11">
        <v>14294219.979999999</v>
      </c>
      <c r="NH14" s="11">
        <v>150709284.96000001</v>
      </c>
      <c r="NI14" s="11">
        <v>10144357.039999999</v>
      </c>
      <c r="NJ14" s="11">
        <v>30025572.509999998</v>
      </c>
      <c r="NK14" s="11">
        <v>78499109.799999997</v>
      </c>
      <c r="NL14" s="11">
        <v>92336866.420000002</v>
      </c>
      <c r="NM14" s="11">
        <v>4162311.95</v>
      </c>
      <c r="NN14" s="11">
        <v>22739001.969999999</v>
      </c>
      <c r="NO14" s="11">
        <v>15024698.93</v>
      </c>
      <c r="NP14" s="11">
        <v>11488200.08</v>
      </c>
      <c r="NQ14" s="11">
        <v>78309509.860000014</v>
      </c>
      <c r="NR14" s="11">
        <v>11587969.890000001</v>
      </c>
      <c r="NS14" s="11">
        <v>5952346.1299999999</v>
      </c>
      <c r="NT14" s="11">
        <v>6249920.3399999999</v>
      </c>
      <c r="NU14" s="11">
        <v>5967056.6400000006</v>
      </c>
      <c r="NV14" s="11">
        <v>2652637.2800000003</v>
      </c>
      <c r="NW14" s="11">
        <v>7001645.8700000001</v>
      </c>
      <c r="NX14" s="11">
        <v>186922879.28</v>
      </c>
      <c r="NY14" s="11">
        <v>149088225.94</v>
      </c>
      <c r="NZ14" s="11">
        <v>12895460.82</v>
      </c>
      <c r="OA14" s="11">
        <v>8399538.3099999987</v>
      </c>
      <c r="OB14" s="11">
        <v>10329514.52</v>
      </c>
      <c r="OC14" s="11">
        <v>15382709.510000002</v>
      </c>
      <c r="OD14" s="11">
        <v>5533182.5</v>
      </c>
      <c r="OE14" s="11">
        <v>179112768.75999999</v>
      </c>
      <c r="OF14" s="11">
        <v>44765039.480000004</v>
      </c>
      <c r="OG14" s="11">
        <v>12894033.550000001</v>
      </c>
      <c r="OH14" s="11">
        <v>70219687.239999995</v>
      </c>
      <c r="OI14" s="11">
        <v>10244085.940000001</v>
      </c>
      <c r="OJ14" s="11">
        <v>7247253.6900000013</v>
      </c>
      <c r="OK14" s="11">
        <v>17160605.829999998</v>
      </c>
      <c r="OL14" s="11">
        <v>1285526.1400000001</v>
      </c>
      <c r="OM14" s="11">
        <v>17621333.490000002</v>
      </c>
      <c r="ON14" s="11">
        <v>203086284.24000001</v>
      </c>
      <c r="OO14" s="11">
        <v>33204714.210000001</v>
      </c>
      <c r="OP14" s="11">
        <v>75103928.319999993</v>
      </c>
      <c r="OQ14" s="11">
        <v>34844522.759999998</v>
      </c>
      <c r="OR14" s="11">
        <v>29656649.32</v>
      </c>
      <c r="OS14" s="11">
        <v>15655911.92</v>
      </c>
      <c r="OT14" s="11">
        <v>38957260.209999993</v>
      </c>
      <c r="OU14" s="11">
        <v>8818712.4900000002</v>
      </c>
      <c r="OV14" s="11">
        <v>8376295.7799999993</v>
      </c>
      <c r="OW14" s="11">
        <v>11416873.99</v>
      </c>
      <c r="OX14" s="11">
        <v>20101879.449999999</v>
      </c>
      <c r="OY14" s="11">
        <v>123850864.58000001</v>
      </c>
      <c r="OZ14" s="11">
        <v>9760834.2400000002</v>
      </c>
      <c r="PA14" s="11">
        <v>9046728.4199999999</v>
      </c>
      <c r="PB14" s="11">
        <v>11034145.66</v>
      </c>
      <c r="PC14" s="11">
        <v>120440061.22</v>
      </c>
      <c r="PD14" s="11">
        <v>8745066.3499999996</v>
      </c>
      <c r="PE14" s="11">
        <v>32207826.699999999</v>
      </c>
      <c r="PF14" s="11">
        <v>7339306.5499999998</v>
      </c>
      <c r="PG14" s="11">
        <v>11928143.039999999</v>
      </c>
      <c r="PH14" s="11">
        <v>31214656.34</v>
      </c>
      <c r="PI14" s="11">
        <v>11500936.699999999</v>
      </c>
      <c r="PJ14" s="11">
        <v>12995674.050000001</v>
      </c>
      <c r="PK14" s="11">
        <v>11566913.439999999</v>
      </c>
      <c r="PL14" s="11">
        <v>7688444.5099999998</v>
      </c>
      <c r="PM14" s="11">
        <v>20175236.969999999</v>
      </c>
      <c r="PN14" s="11">
        <v>23407054.300000001</v>
      </c>
      <c r="PO14" s="11">
        <v>7829744.2999999998</v>
      </c>
      <c r="PP14" s="11">
        <v>49840425.890000001</v>
      </c>
      <c r="PQ14" s="11">
        <v>2971338.96</v>
      </c>
      <c r="PR14" s="11">
        <v>6703595.6600000001</v>
      </c>
      <c r="PS14" s="11">
        <v>4092550.56</v>
      </c>
      <c r="PT14" s="11">
        <v>5611324.6399999997</v>
      </c>
      <c r="PU14" s="11">
        <v>304340877.68999994</v>
      </c>
      <c r="PV14" s="11">
        <v>6001584.9000000004</v>
      </c>
      <c r="PW14" s="11">
        <v>13765726.689999999</v>
      </c>
      <c r="PX14" s="11">
        <v>20269584.629999999</v>
      </c>
      <c r="PY14" s="11">
        <v>52837939.939999998</v>
      </c>
      <c r="PZ14" s="11">
        <v>11197929.199999999</v>
      </c>
      <c r="QA14" s="11">
        <v>225122323.61000001</v>
      </c>
      <c r="QB14" s="11">
        <v>5230670.2799999993</v>
      </c>
      <c r="QC14" s="11">
        <v>30331572.010000002</v>
      </c>
      <c r="QD14" s="11">
        <v>7230161.5099999998</v>
      </c>
      <c r="QE14" s="11">
        <v>24821431.340000004</v>
      </c>
      <c r="QF14" s="11">
        <v>11220722.83</v>
      </c>
      <c r="QG14" s="11">
        <v>7855464.3900000006</v>
      </c>
      <c r="QH14" s="11">
        <v>18546704.359999999</v>
      </c>
      <c r="QI14" s="11">
        <v>3958338.9</v>
      </c>
      <c r="QJ14" s="11">
        <v>21290728.329999998</v>
      </c>
      <c r="QK14" s="11">
        <v>6036685.5800000001</v>
      </c>
      <c r="QL14" s="11">
        <v>10095458.789999999</v>
      </c>
      <c r="QM14" s="11">
        <v>8708013.4000000004</v>
      </c>
      <c r="QN14" s="11">
        <v>208229263.27000001</v>
      </c>
      <c r="QO14" s="11">
        <v>39054459.629999995</v>
      </c>
      <c r="QP14" s="11">
        <v>6707061.2300000004</v>
      </c>
      <c r="QQ14" s="11">
        <v>8431673.5600000005</v>
      </c>
      <c r="QR14" s="11">
        <v>9348641.8200000003</v>
      </c>
      <c r="QS14" s="11">
        <v>9429128.0399999991</v>
      </c>
      <c r="QT14" s="11">
        <v>2404039.44</v>
      </c>
      <c r="QU14" s="11">
        <v>94794443.309999987</v>
      </c>
      <c r="QV14" s="11">
        <v>11256012.779999999</v>
      </c>
      <c r="QW14" s="11">
        <v>20166015.579999998</v>
      </c>
      <c r="QX14" s="11">
        <v>5406693.1299999999</v>
      </c>
      <c r="QY14" s="11">
        <v>11137870.67</v>
      </c>
      <c r="QZ14" s="11">
        <v>17789542.18</v>
      </c>
      <c r="RA14" s="11">
        <v>10709849.59</v>
      </c>
      <c r="RB14" s="11">
        <v>22037124.869999997</v>
      </c>
      <c r="RC14" s="11">
        <v>16105169.810000001</v>
      </c>
      <c r="RD14" s="11">
        <v>8083149.9199999999</v>
      </c>
      <c r="RE14" s="11">
        <v>8284265.5</v>
      </c>
      <c r="RF14" s="11">
        <v>9326669.9499999993</v>
      </c>
      <c r="RG14" s="11">
        <v>9243825.4100000001</v>
      </c>
      <c r="RH14" s="11">
        <v>93509666.160000011</v>
      </c>
      <c r="RI14" s="11">
        <v>25121354.98</v>
      </c>
      <c r="RJ14" s="11">
        <v>6117614.6100000003</v>
      </c>
      <c r="RK14" s="11">
        <v>12195450.02</v>
      </c>
      <c r="RL14" s="11">
        <v>7209378.1200000001</v>
      </c>
      <c r="RM14" s="11">
        <v>13112406.16</v>
      </c>
      <c r="RN14" s="11">
        <v>34499159.210000001</v>
      </c>
      <c r="RO14" s="11">
        <v>7852875.5600000005</v>
      </c>
      <c r="RP14" s="11">
        <v>13878461.34</v>
      </c>
      <c r="RQ14" s="11">
        <v>19970690.09</v>
      </c>
      <c r="RR14" s="11">
        <v>15617565.309999999</v>
      </c>
      <c r="RS14" s="11">
        <v>4221898.88</v>
      </c>
      <c r="RT14" s="11">
        <v>6301730.9399999995</v>
      </c>
      <c r="RU14" s="11">
        <v>23005027.699999999</v>
      </c>
      <c r="RV14" s="11">
        <v>4296896.63</v>
      </c>
      <c r="RW14" s="11">
        <v>13749729.460000001</v>
      </c>
      <c r="RX14" s="11">
        <v>8366122</v>
      </c>
      <c r="RY14" s="11">
        <v>4647825.58</v>
      </c>
      <c r="RZ14" s="11">
        <v>5853498.6400000006</v>
      </c>
      <c r="SA14" s="11">
        <v>7398727.3700000001</v>
      </c>
      <c r="SB14" s="11">
        <v>87101223.749999985</v>
      </c>
      <c r="SC14" s="11">
        <v>19753952.780000001</v>
      </c>
      <c r="SD14" s="11">
        <v>7410388.6299999999</v>
      </c>
      <c r="SE14" s="11">
        <v>21758178.199999999</v>
      </c>
      <c r="SF14" s="11">
        <v>9661031.2300000004</v>
      </c>
      <c r="SG14" s="11">
        <v>7060711.6100000003</v>
      </c>
      <c r="SH14" s="11">
        <v>8291817.5899999999</v>
      </c>
      <c r="SI14" s="11">
        <v>13099454.109999999</v>
      </c>
      <c r="SJ14" s="11">
        <v>7337437.9000000004</v>
      </c>
      <c r="SK14" s="11">
        <v>26086302.619999997</v>
      </c>
      <c r="SL14" s="11">
        <v>16284828.77</v>
      </c>
      <c r="SM14" s="11">
        <v>11123759.129999999</v>
      </c>
      <c r="SN14" s="11">
        <v>65639194.990000002</v>
      </c>
      <c r="SO14" s="11">
        <v>16404054.02</v>
      </c>
      <c r="SP14" s="11">
        <v>14106979.649999999</v>
      </c>
      <c r="SQ14" s="11">
        <v>24261539.800000001</v>
      </c>
      <c r="SR14" s="11">
        <v>12028429.99</v>
      </c>
      <c r="SS14" s="11">
        <v>10083726.690000001</v>
      </c>
      <c r="ST14" s="11">
        <v>8825724.9800000004</v>
      </c>
      <c r="SU14" s="11">
        <v>5771700.46</v>
      </c>
      <c r="SV14" s="11">
        <v>101036138.10999998</v>
      </c>
      <c r="SW14" s="11">
        <v>8810916.0800000001</v>
      </c>
      <c r="SX14" s="11">
        <v>95180832.74000001</v>
      </c>
      <c r="SY14" s="11">
        <v>4841239.5199999996</v>
      </c>
      <c r="SZ14" s="11">
        <v>4765082.1899999995</v>
      </c>
      <c r="TA14" s="11">
        <v>7130274.9000000004</v>
      </c>
      <c r="TB14" s="11">
        <v>4856121.3499999996</v>
      </c>
      <c r="TC14" s="11">
        <v>18977065.789999999</v>
      </c>
      <c r="TD14" s="11">
        <v>5233891.34</v>
      </c>
      <c r="TE14" s="11">
        <v>7138344.6400000006</v>
      </c>
      <c r="TF14" s="11">
        <v>10422186.15</v>
      </c>
      <c r="TG14" s="11">
        <v>18706215.330000002</v>
      </c>
      <c r="TH14" s="11">
        <v>4699966.0600000005</v>
      </c>
      <c r="TI14" s="11">
        <v>8987025.2699999996</v>
      </c>
      <c r="TJ14" s="11">
        <v>220886950.90000001</v>
      </c>
      <c r="TK14" s="11">
        <v>19305364.850000001</v>
      </c>
      <c r="TL14" s="11">
        <v>12765264.09</v>
      </c>
      <c r="TM14" s="11">
        <v>17311215.210000001</v>
      </c>
      <c r="TN14" s="11">
        <v>21045100.66</v>
      </c>
      <c r="TO14" s="11">
        <v>7930204.8099999996</v>
      </c>
      <c r="TP14" s="11">
        <v>5158013.9399999995</v>
      </c>
      <c r="TQ14" s="11">
        <v>57390169.400000006</v>
      </c>
      <c r="TR14" s="11">
        <v>11074548.4</v>
      </c>
      <c r="TS14" s="11">
        <v>25196214.899999999</v>
      </c>
      <c r="TT14" s="11">
        <v>17385013.189999998</v>
      </c>
      <c r="TU14" s="11">
        <v>10437992.310000001</v>
      </c>
      <c r="TV14" s="11">
        <v>11608602.449999999</v>
      </c>
      <c r="TW14" s="11">
        <v>17046126.490000002</v>
      </c>
      <c r="TX14" s="11">
        <v>17119493.530000001</v>
      </c>
      <c r="TY14" s="11">
        <v>10549515.620000001</v>
      </c>
      <c r="TZ14" s="11">
        <v>29692197.09</v>
      </c>
      <c r="UA14" s="11">
        <v>16250018.27</v>
      </c>
      <c r="UB14" s="11">
        <v>65190928.859999999</v>
      </c>
      <c r="UC14" s="11">
        <v>23741217.66</v>
      </c>
      <c r="UD14" s="11">
        <v>5729238.4699999997</v>
      </c>
      <c r="UE14" s="11">
        <v>12167783.48</v>
      </c>
      <c r="UF14" s="11">
        <v>62542985.670000002</v>
      </c>
      <c r="UG14" s="11">
        <v>10001642.07</v>
      </c>
      <c r="UH14" s="11">
        <v>13665628.110000001</v>
      </c>
      <c r="UI14" s="11">
        <v>10650920.649999999</v>
      </c>
      <c r="UJ14" s="11">
        <v>7412872.1200000001</v>
      </c>
      <c r="UK14" s="11">
        <v>63922384.889999993</v>
      </c>
      <c r="UL14" s="11">
        <v>12205116.629999999</v>
      </c>
      <c r="UM14" s="11">
        <v>18183991.120000001</v>
      </c>
      <c r="UN14" s="11">
        <v>19201466.609999999</v>
      </c>
      <c r="UO14" s="11">
        <v>18388390.25</v>
      </c>
      <c r="UP14" s="11">
        <v>7418929.1300000008</v>
      </c>
      <c r="UQ14" s="11">
        <v>250240646.58999997</v>
      </c>
      <c r="UR14" s="11">
        <v>14585920.27</v>
      </c>
      <c r="US14" s="11">
        <v>20963912.41</v>
      </c>
      <c r="UT14" s="11">
        <v>44723940.039999999</v>
      </c>
      <c r="UU14" s="11">
        <v>9391960.7699999996</v>
      </c>
      <c r="UV14" s="11">
        <v>11369102.52</v>
      </c>
      <c r="UW14" s="11">
        <v>29478721.850000001</v>
      </c>
      <c r="UX14" s="11">
        <v>7398060.4399999995</v>
      </c>
      <c r="UY14" s="11">
        <v>6980530.1600000001</v>
      </c>
      <c r="UZ14" s="11">
        <v>15221596.34</v>
      </c>
      <c r="VA14" s="11">
        <v>17412345.629999999</v>
      </c>
      <c r="VB14" s="11">
        <v>22017699.420000002</v>
      </c>
      <c r="VC14" s="11">
        <v>12458652.82</v>
      </c>
      <c r="VD14" s="11">
        <v>17332963.91</v>
      </c>
      <c r="VE14" s="11">
        <v>10512791.130000001</v>
      </c>
      <c r="VF14" s="11">
        <v>8991812.9600000009</v>
      </c>
      <c r="VG14" s="11">
        <v>10483488.970000001</v>
      </c>
      <c r="VH14" s="11">
        <v>5830381.3100000005</v>
      </c>
      <c r="VI14" s="11">
        <v>30558421.289999999</v>
      </c>
      <c r="VJ14" s="11">
        <v>6851990.4000000004</v>
      </c>
      <c r="VK14" s="11">
        <v>8804569.879999999</v>
      </c>
      <c r="VL14" s="11">
        <v>7663158.46</v>
      </c>
      <c r="VM14" s="11">
        <v>126855200.59</v>
      </c>
      <c r="VN14" s="11">
        <v>10263512.24</v>
      </c>
      <c r="VO14" s="11">
        <v>6861853.0899999999</v>
      </c>
      <c r="VP14" s="11">
        <v>15302064.32</v>
      </c>
      <c r="VQ14" s="11">
        <v>15148608.42</v>
      </c>
      <c r="VR14" s="11">
        <v>11698376.23</v>
      </c>
      <c r="VS14" s="11">
        <v>30917618.449999999</v>
      </c>
      <c r="VT14" s="11">
        <v>13006626.83</v>
      </c>
      <c r="VU14" s="11">
        <v>6414348.2799999993</v>
      </c>
      <c r="VV14" s="11">
        <v>20386194.52</v>
      </c>
      <c r="VW14" s="11">
        <v>7635308.0099999998</v>
      </c>
      <c r="VX14" s="11">
        <v>23883586.91</v>
      </c>
      <c r="VY14" s="11">
        <v>7509469.8399999999</v>
      </c>
      <c r="VZ14" s="11">
        <v>15054515.309999999</v>
      </c>
      <c r="WA14" s="11">
        <v>8935453.75</v>
      </c>
      <c r="WB14" s="11">
        <v>302512332.05000001</v>
      </c>
      <c r="WC14" s="11">
        <v>14212236.25</v>
      </c>
      <c r="WD14" s="11">
        <v>9691660.870000001</v>
      </c>
      <c r="WE14" s="11">
        <v>4780911.88</v>
      </c>
      <c r="WF14" s="11">
        <v>3721243.79</v>
      </c>
      <c r="WG14" s="11">
        <v>15733291.1</v>
      </c>
      <c r="WH14" s="11">
        <v>32034267.460000001</v>
      </c>
      <c r="WI14" s="11">
        <v>30466684.190000001</v>
      </c>
      <c r="WJ14" s="11">
        <v>11070163.52</v>
      </c>
      <c r="WK14" s="11">
        <v>18218330.41</v>
      </c>
      <c r="WL14" s="11">
        <v>5316997.7799999993</v>
      </c>
      <c r="WM14" s="11">
        <v>26242687.689999998</v>
      </c>
      <c r="WN14" s="11">
        <v>8144555.3300000001</v>
      </c>
      <c r="WO14" s="11">
        <v>28276017.41</v>
      </c>
      <c r="WP14" s="11">
        <v>12938675.439999999</v>
      </c>
      <c r="WQ14" s="11">
        <v>17316943.670000002</v>
      </c>
      <c r="WR14" s="11">
        <v>19291384.690000001</v>
      </c>
      <c r="WS14" s="11">
        <v>14483056.559999999</v>
      </c>
      <c r="WT14" s="11">
        <v>9594905.8099999987</v>
      </c>
      <c r="WU14" s="11">
        <v>26587203.609999999</v>
      </c>
      <c r="WV14" s="11">
        <v>68836485.74000001</v>
      </c>
      <c r="WW14" s="11">
        <v>8989155.129999999</v>
      </c>
      <c r="WX14" s="11">
        <v>7141932.8499999996</v>
      </c>
      <c r="WY14" s="11">
        <v>3313292.9</v>
      </c>
      <c r="WZ14" s="11">
        <v>7332692.0300000003</v>
      </c>
      <c r="XA14" s="11">
        <v>5443505.1200000001</v>
      </c>
      <c r="XB14" s="11">
        <v>6554036.5700000003</v>
      </c>
      <c r="XC14" s="11">
        <v>10808650.289999999</v>
      </c>
      <c r="XD14" s="11">
        <v>24556504.940000001</v>
      </c>
      <c r="XE14" s="11">
        <v>7649325.1500000004</v>
      </c>
      <c r="XF14" s="11">
        <v>9620076.5800000001</v>
      </c>
      <c r="XG14" s="11">
        <v>8677561.7400000002</v>
      </c>
      <c r="XH14" s="11">
        <v>13601074.23</v>
      </c>
      <c r="XI14" s="11">
        <v>172388214.24000001</v>
      </c>
      <c r="XJ14" s="11">
        <v>28959484.490000002</v>
      </c>
      <c r="XK14" s="11">
        <v>25951185.07</v>
      </c>
      <c r="XL14" s="11">
        <v>39758332.659999996</v>
      </c>
      <c r="XM14" s="11">
        <v>18307989.23</v>
      </c>
      <c r="XN14" s="11">
        <v>17740947.620000001</v>
      </c>
      <c r="XO14" s="11">
        <v>38075645.789999999</v>
      </c>
      <c r="XP14" s="11">
        <v>23705589.710000001</v>
      </c>
      <c r="XQ14" s="11">
        <v>15678502.640000001</v>
      </c>
      <c r="XR14" s="11">
        <v>35448821.469999999</v>
      </c>
      <c r="XS14" s="11">
        <v>31993715.439999998</v>
      </c>
      <c r="XT14" s="11">
        <v>20578500.170000002</v>
      </c>
      <c r="XU14" s="11">
        <v>12117144.440000001</v>
      </c>
      <c r="XV14" s="11">
        <v>14102545.620000001</v>
      </c>
      <c r="XW14" s="11">
        <v>14897782.83</v>
      </c>
      <c r="XX14" s="11">
        <v>11516325.74</v>
      </c>
      <c r="XY14" s="11">
        <v>7676321.1500000004</v>
      </c>
      <c r="XZ14" s="11">
        <v>13573104.220000001</v>
      </c>
      <c r="YA14" s="11">
        <v>9737643</v>
      </c>
      <c r="YB14" s="11">
        <v>10832703.85</v>
      </c>
      <c r="YC14" s="11">
        <v>13414665.989999998</v>
      </c>
      <c r="YD14" s="11">
        <v>9796656.1400000006</v>
      </c>
      <c r="YE14" s="11">
        <v>10706760.24</v>
      </c>
      <c r="YF14" s="11">
        <v>238525964.07000002</v>
      </c>
      <c r="YG14" s="11">
        <v>8906349.8900000006</v>
      </c>
      <c r="YH14" s="11">
        <v>11737241.02</v>
      </c>
      <c r="YI14" s="11">
        <v>7189077.5199999996</v>
      </c>
      <c r="YJ14" s="11">
        <v>26702738.620000001</v>
      </c>
      <c r="YK14" s="11">
        <v>8298822.8800000008</v>
      </c>
      <c r="YL14" s="11">
        <v>46849553.989999995</v>
      </c>
      <c r="YM14" s="11">
        <v>7753718.5599999996</v>
      </c>
      <c r="YN14" s="11">
        <v>15534334.880000001</v>
      </c>
      <c r="YO14" s="11">
        <v>18068744.550000001</v>
      </c>
      <c r="YP14" s="11">
        <v>14542325.140000001</v>
      </c>
      <c r="YQ14" s="11">
        <v>9658718.5899999999</v>
      </c>
      <c r="YR14" s="11">
        <v>7538728.3399999999</v>
      </c>
      <c r="YS14" s="11">
        <v>8182729.6099999994</v>
      </c>
      <c r="YT14" s="11">
        <v>3891581.36</v>
      </c>
      <c r="YU14" s="11">
        <v>2706412.4</v>
      </c>
      <c r="YV14" s="11">
        <v>9964250.4299999997</v>
      </c>
      <c r="YW14" s="11">
        <v>90216671.810000002</v>
      </c>
      <c r="YX14" s="11">
        <v>21385962.18</v>
      </c>
      <c r="YY14" s="11">
        <v>10349713.23</v>
      </c>
      <c r="YZ14" s="11">
        <v>8052043.2599999998</v>
      </c>
      <c r="ZA14" s="11">
        <v>22665131.200000003</v>
      </c>
      <c r="ZB14" s="11">
        <v>8023025.1799999997</v>
      </c>
      <c r="ZC14" s="11">
        <v>5518262.2699999996</v>
      </c>
      <c r="ZD14" s="11">
        <v>80267318.989999995</v>
      </c>
      <c r="ZE14" s="11">
        <v>5623593.8100000005</v>
      </c>
      <c r="ZF14" s="11">
        <v>18431155.460000001</v>
      </c>
      <c r="ZG14" s="11">
        <v>14786520.560000001</v>
      </c>
      <c r="ZH14" s="11">
        <v>7336614.8399999999</v>
      </c>
      <c r="ZI14" s="11">
        <v>15067315.76</v>
      </c>
      <c r="ZJ14" s="11">
        <v>12995931.539999999</v>
      </c>
      <c r="ZK14" s="11">
        <v>7460299.7999999998</v>
      </c>
      <c r="ZL14" s="11">
        <v>13561354.609999999</v>
      </c>
      <c r="ZM14" s="11">
        <v>151186358.17999998</v>
      </c>
      <c r="ZN14" s="11">
        <v>13721395.43</v>
      </c>
      <c r="ZO14" s="11">
        <v>15358539.300000001</v>
      </c>
      <c r="ZP14" s="11">
        <v>41003100.68</v>
      </c>
      <c r="ZQ14" s="11">
        <v>28369720.52</v>
      </c>
      <c r="ZR14" s="11">
        <v>23823426.259999998</v>
      </c>
      <c r="ZS14" s="11">
        <v>24059938.719999999</v>
      </c>
      <c r="ZT14" s="11">
        <v>20418448.050000001</v>
      </c>
      <c r="ZU14" s="11">
        <v>19445643.310000002</v>
      </c>
      <c r="ZV14" s="11">
        <v>37045652.969999999</v>
      </c>
      <c r="ZW14" s="11">
        <v>4528362.99</v>
      </c>
      <c r="ZX14" s="11">
        <v>9858993.7599999998</v>
      </c>
      <c r="ZY14" s="11">
        <v>10235366.43</v>
      </c>
      <c r="ZZ14" s="11">
        <v>19397055.399999999</v>
      </c>
      <c r="AAA14" s="11">
        <v>9838182.129999999</v>
      </c>
      <c r="AAB14" s="11">
        <v>8525740.8499999996</v>
      </c>
      <c r="AAC14" s="11">
        <v>14051537.43</v>
      </c>
      <c r="AAD14" s="11">
        <v>12102740.189999999</v>
      </c>
      <c r="AAE14" s="11">
        <v>6763631.3599999994</v>
      </c>
      <c r="AAF14" s="11">
        <v>8795327.3599999994</v>
      </c>
      <c r="AAG14" s="11">
        <v>5518658.4299999997</v>
      </c>
      <c r="AAH14" s="11">
        <v>14844441.32</v>
      </c>
      <c r="AAI14" s="11">
        <v>54552590.369999997</v>
      </c>
      <c r="AAJ14" s="11">
        <v>10773707.489999998</v>
      </c>
      <c r="AAK14" s="11">
        <v>4610661.22</v>
      </c>
      <c r="AAL14" s="11">
        <v>5114048.0199999996</v>
      </c>
      <c r="AAM14" s="11">
        <v>5015474.37</v>
      </c>
      <c r="AAN14" s="11">
        <v>7559929.6799999997</v>
      </c>
      <c r="AAO14" s="11">
        <v>5434989.6100000003</v>
      </c>
      <c r="AAP14" s="11">
        <v>346581221.30999994</v>
      </c>
      <c r="AAQ14" s="11">
        <v>9477217.3499999996</v>
      </c>
      <c r="AAR14" s="11">
        <v>5730751.0300000003</v>
      </c>
      <c r="AAS14" s="11">
        <v>15831812.26</v>
      </c>
      <c r="AAT14" s="11">
        <v>11694365.949999999</v>
      </c>
      <c r="AAU14" s="11">
        <v>5378155.7199999997</v>
      </c>
      <c r="AAV14" s="11">
        <v>8758733.870000001</v>
      </c>
      <c r="AAW14" s="11">
        <v>14896184.710000001</v>
      </c>
      <c r="AAX14" s="11">
        <v>21887244.669999998</v>
      </c>
      <c r="AAY14" s="11">
        <v>8169806.6699999999</v>
      </c>
      <c r="AAZ14" s="11">
        <v>16068663.09</v>
      </c>
      <c r="ABA14" s="11">
        <v>43794470.009999998</v>
      </c>
      <c r="ABB14" s="11">
        <v>23682926.18</v>
      </c>
      <c r="ABC14" s="11">
        <v>7619291.9900000002</v>
      </c>
      <c r="ABD14" s="11">
        <v>5212520.9399999995</v>
      </c>
      <c r="ABE14" s="11">
        <v>7003931.5999999996</v>
      </c>
      <c r="ABF14" s="11">
        <v>272293.70999999996</v>
      </c>
      <c r="ABG14" s="11">
        <v>2962928.35</v>
      </c>
      <c r="ABH14" s="11">
        <v>3901495.21</v>
      </c>
      <c r="ABI14" s="11">
        <v>90115341.430000007</v>
      </c>
      <c r="ABJ14" s="11">
        <v>81431575.560000002</v>
      </c>
      <c r="ABK14" s="11">
        <v>8522983.5600000005</v>
      </c>
      <c r="ABL14" s="11">
        <v>7646694.8499999996</v>
      </c>
      <c r="ABM14" s="11">
        <v>3614709.53</v>
      </c>
      <c r="ABN14" s="11">
        <v>5355300.75</v>
      </c>
      <c r="ABO14" s="11">
        <v>5544521.29</v>
      </c>
      <c r="ABP14" s="11">
        <v>85780125.770000011</v>
      </c>
      <c r="ABQ14" s="11">
        <v>16752713.75</v>
      </c>
      <c r="ABR14" s="11">
        <v>13740771.460000001</v>
      </c>
      <c r="ABS14" s="11">
        <v>16642270.199999999</v>
      </c>
      <c r="ABT14" s="11">
        <v>12761684.460000001</v>
      </c>
      <c r="ABU14" s="11">
        <v>12827204.57</v>
      </c>
      <c r="ABV14" s="11">
        <v>9072596.3300000001</v>
      </c>
      <c r="ABW14" s="11">
        <v>16395718.439999999</v>
      </c>
      <c r="ABX14" s="11">
        <v>2410866.62</v>
      </c>
      <c r="ABY14" s="11">
        <v>110834106.70999999</v>
      </c>
      <c r="ABZ14" s="11">
        <v>9307494.5099999998</v>
      </c>
      <c r="ACA14" s="11">
        <v>11892343.35</v>
      </c>
      <c r="ACB14" s="11">
        <v>10862577.67</v>
      </c>
      <c r="ACC14" s="11">
        <v>9408543.5700000003</v>
      </c>
      <c r="ACD14" s="11">
        <v>27572303</v>
      </c>
      <c r="ACE14" s="11">
        <v>11675407.5</v>
      </c>
      <c r="ACF14" s="11">
        <v>12060404.890000001</v>
      </c>
      <c r="ACG14" s="11">
        <v>15339953.140000001</v>
      </c>
      <c r="ACH14" s="11">
        <v>12040761.539999999</v>
      </c>
      <c r="ACI14" s="11">
        <v>9861017.4199999999</v>
      </c>
      <c r="ACJ14" s="11">
        <v>513463480.26999998</v>
      </c>
      <c r="ACK14" s="11">
        <v>8963012.0399999991</v>
      </c>
      <c r="ACL14" s="11">
        <v>7278957.79</v>
      </c>
      <c r="ACM14" s="11">
        <v>21641129.120000005</v>
      </c>
      <c r="ACN14" s="11">
        <v>7636241.1399999997</v>
      </c>
      <c r="ACO14" s="11">
        <v>7528303.4100000001</v>
      </c>
      <c r="ACP14" s="11">
        <v>8131654.7199999997</v>
      </c>
      <c r="ACQ14" s="11">
        <v>38066393.189999998</v>
      </c>
      <c r="ACR14" s="11">
        <v>36323018.849999994</v>
      </c>
      <c r="ACS14" s="11">
        <v>6473831.0099999998</v>
      </c>
      <c r="ACT14" s="11">
        <v>10329374.17</v>
      </c>
      <c r="ACU14" s="11">
        <v>12815494.870000001</v>
      </c>
      <c r="ACV14" s="11">
        <v>1940558.7999999998</v>
      </c>
      <c r="ACW14" s="11">
        <v>47374988.219999999</v>
      </c>
      <c r="ACX14" s="11">
        <v>22383814.080000002</v>
      </c>
      <c r="ACY14" s="11">
        <v>9556918.3599999994</v>
      </c>
      <c r="ACZ14" s="11">
        <v>10483286.84</v>
      </c>
      <c r="ADA14" s="11">
        <v>2687191.6</v>
      </c>
      <c r="ADB14" s="11">
        <v>2498105.16</v>
      </c>
      <c r="ADC14" s="11">
        <v>6889643.7699999996</v>
      </c>
      <c r="ADD14" s="11">
        <v>11595309.92</v>
      </c>
      <c r="ADE14" s="11">
        <v>3347109.39</v>
      </c>
      <c r="ADF14" s="11">
        <v>6081334.6400000006</v>
      </c>
      <c r="ADG14" s="11">
        <v>36495268.629999995</v>
      </c>
      <c r="ADH14" s="11">
        <v>25017999.82</v>
      </c>
      <c r="ADI14" s="11">
        <v>5357218.4700000007</v>
      </c>
      <c r="ADJ14" s="11">
        <v>7534190.5299999993</v>
      </c>
      <c r="ADK14" s="11">
        <v>8553441.120000001</v>
      </c>
      <c r="ADL14" s="11">
        <v>3407586.12</v>
      </c>
      <c r="ADM14" s="11">
        <v>9679071.1699999999</v>
      </c>
      <c r="ADN14" s="11">
        <v>5983022.4199999999</v>
      </c>
      <c r="ADO14" s="11">
        <v>10159759.66</v>
      </c>
      <c r="ADP14" s="11">
        <v>208980142.47</v>
      </c>
      <c r="ADQ14" s="11">
        <v>49265492.350000001</v>
      </c>
      <c r="ADR14" s="11">
        <v>36259044.549999997</v>
      </c>
      <c r="ADS14" s="11">
        <v>2462397.4699999997</v>
      </c>
      <c r="ADT14" s="11">
        <v>63058110.150000006</v>
      </c>
      <c r="ADU14" s="11">
        <v>4821611.79</v>
      </c>
      <c r="ADV14" s="11">
        <v>10472032.609999999</v>
      </c>
      <c r="ADW14" s="11">
        <v>7740098.5</v>
      </c>
      <c r="ADX14" s="11">
        <v>4592167.0999999996</v>
      </c>
      <c r="ADY14" s="11">
        <v>2911842.69</v>
      </c>
      <c r="ADZ14" s="11">
        <v>272200230.88999999</v>
      </c>
      <c r="AEA14" s="11">
        <v>64918743.260000005</v>
      </c>
      <c r="AEB14" s="11">
        <v>30095862.77</v>
      </c>
      <c r="AEC14" s="11">
        <v>11513744.85</v>
      </c>
      <c r="AED14" s="11">
        <v>18505725.91</v>
      </c>
      <c r="AEE14" s="11">
        <v>14046830.330000002</v>
      </c>
      <c r="AEF14" s="11">
        <v>8329753.5300000003</v>
      </c>
      <c r="AEG14" s="11">
        <v>13964862.710000001</v>
      </c>
      <c r="AEH14" s="11">
        <v>16797791.670000002</v>
      </c>
      <c r="AEI14" s="11">
        <v>6873055.6400000006</v>
      </c>
      <c r="AEJ14" s="11">
        <v>11773716.560000001</v>
      </c>
      <c r="AEK14" s="11">
        <v>24459733.780000001</v>
      </c>
      <c r="AEL14" s="11">
        <v>9586805.9299999997</v>
      </c>
      <c r="AEM14" s="11">
        <v>9557621.4399999995</v>
      </c>
      <c r="AEN14" s="11">
        <v>11935663.710000001</v>
      </c>
      <c r="AEO14" s="11">
        <v>12983100.85</v>
      </c>
      <c r="AEP14" s="11">
        <v>10629307.84</v>
      </c>
      <c r="AEQ14" s="11">
        <v>13309494.210000001</v>
      </c>
      <c r="AER14" s="11">
        <v>4340554.3600000003</v>
      </c>
      <c r="AES14" s="11">
        <v>19510223.450000003</v>
      </c>
      <c r="AET14" s="11">
        <v>163866989.83000001</v>
      </c>
      <c r="AEU14" s="11">
        <v>11611526.390000001</v>
      </c>
      <c r="AEV14" s="11">
        <v>12497507.629999999</v>
      </c>
      <c r="AEW14" s="11">
        <v>3422729.85</v>
      </c>
      <c r="AEX14" s="11">
        <v>3016086.17</v>
      </c>
      <c r="AEY14" s="11">
        <v>8043958.5300000003</v>
      </c>
      <c r="AEZ14" s="11">
        <v>2614768.16</v>
      </c>
      <c r="AFA14" s="11">
        <v>9103321.9600000009</v>
      </c>
      <c r="AFB14" s="11">
        <v>4426764.92</v>
      </c>
      <c r="AFC14" s="11">
        <v>2417683.96</v>
      </c>
      <c r="AFD14" s="11">
        <v>124975714.76000001</v>
      </c>
      <c r="AFE14" s="11">
        <v>80568215.629999995</v>
      </c>
      <c r="AFF14" s="11">
        <v>17012113.829999998</v>
      </c>
      <c r="AFG14" s="11">
        <v>10907977.390000001</v>
      </c>
      <c r="AFH14" s="11">
        <v>30743817.890000001</v>
      </c>
      <c r="AFI14" s="11">
        <v>20971632.34</v>
      </c>
      <c r="AFJ14" s="11">
        <v>12329104.09</v>
      </c>
      <c r="AFK14" s="11">
        <v>11308690.279999999</v>
      </c>
      <c r="AFL14" s="11">
        <v>8196712.0999999996</v>
      </c>
      <c r="AFM14" s="11">
        <v>12013365.710000001</v>
      </c>
      <c r="AFN14" s="11">
        <v>9888603.6799999997</v>
      </c>
      <c r="AFO14" s="11">
        <v>10285159.640000001</v>
      </c>
      <c r="AFP14" s="11">
        <v>17991101.98</v>
      </c>
      <c r="AFQ14" s="11">
        <v>72872919.550000012</v>
      </c>
      <c r="AFR14" s="11">
        <v>20151413.439999998</v>
      </c>
      <c r="AFS14" s="11">
        <v>15878850.609999999</v>
      </c>
      <c r="AFT14" s="11">
        <v>15678934.029999999</v>
      </c>
      <c r="AFU14" s="11">
        <v>21245659.540000003</v>
      </c>
      <c r="AFV14" s="11">
        <v>5796242.6299999999</v>
      </c>
      <c r="AFW14" s="11">
        <v>5924088.3200000003</v>
      </c>
      <c r="AFX14" s="11">
        <v>12316078.350000001</v>
      </c>
      <c r="AFY14" s="11">
        <v>13046943.799999999</v>
      </c>
      <c r="AFZ14" s="11">
        <v>5598986.0499999998</v>
      </c>
      <c r="AGA14" s="11">
        <v>15609361.84</v>
      </c>
      <c r="AGB14" s="11">
        <v>8244327.2400000002</v>
      </c>
      <c r="AGC14" s="11">
        <v>65046549.140000008</v>
      </c>
      <c r="AGD14" s="11">
        <v>12868495.530000001</v>
      </c>
      <c r="AGE14" s="11">
        <v>9754984.4399999995</v>
      </c>
      <c r="AGF14" s="11">
        <v>6641716.8700000001</v>
      </c>
      <c r="AGG14" s="11">
        <v>20015497.34</v>
      </c>
      <c r="AGH14" s="11">
        <v>10022350</v>
      </c>
      <c r="AGI14" s="11">
        <v>9248169.4000000004</v>
      </c>
      <c r="AGJ14" s="11">
        <v>12155467.73</v>
      </c>
      <c r="AGK14" s="11">
        <v>6443077.1800000006</v>
      </c>
      <c r="AGL14" s="11">
        <v>6565663.8700000001</v>
      </c>
      <c r="AGM14" s="11">
        <v>4496426.83</v>
      </c>
      <c r="AGN14" s="11">
        <v>147087031.42000002</v>
      </c>
      <c r="AGO14" s="11">
        <v>27386144.520000003</v>
      </c>
      <c r="AGP14" s="11">
        <v>11678433.59</v>
      </c>
      <c r="AGQ14" s="11">
        <v>10764719.859999999</v>
      </c>
      <c r="AGR14" s="11">
        <v>31454709.669999998</v>
      </c>
      <c r="AGS14" s="11">
        <v>9763720.5199999996</v>
      </c>
      <c r="AGT14" s="11">
        <v>9528324.5199999996</v>
      </c>
      <c r="AGU14" s="11">
        <v>8247523.8100000005</v>
      </c>
      <c r="AGV14" s="11">
        <v>190805117.12</v>
      </c>
      <c r="AGW14" s="11">
        <v>86028224.929999992</v>
      </c>
      <c r="AGX14" s="11">
        <v>11451259.09</v>
      </c>
      <c r="AGY14" s="11">
        <v>28962462.869999997</v>
      </c>
      <c r="AGZ14" s="11">
        <v>26333966.93</v>
      </c>
      <c r="AHA14" s="11">
        <v>18357691.73</v>
      </c>
      <c r="AHB14" s="11">
        <v>14923767.309999999</v>
      </c>
      <c r="AHC14" s="11">
        <v>7479891.04</v>
      </c>
      <c r="AHD14" s="11">
        <v>3821313.92</v>
      </c>
      <c r="AHE14" s="11">
        <v>17613335.57</v>
      </c>
      <c r="AHF14" s="11">
        <v>15074215.890000001</v>
      </c>
      <c r="AHG14" s="11">
        <v>5268080.45</v>
      </c>
      <c r="AHH14" s="11">
        <v>11881574.090000002</v>
      </c>
      <c r="AHI14" s="11">
        <v>11575063.289999999</v>
      </c>
      <c r="AHJ14" s="11">
        <v>10553026.550000001</v>
      </c>
      <c r="AHK14" s="11">
        <v>8980543.3300000001</v>
      </c>
      <c r="AHL14" s="11">
        <v>11877630.539999999</v>
      </c>
      <c r="AHM14" s="11">
        <v>59106056.710000001</v>
      </c>
      <c r="AHN14" s="11">
        <v>6897914.5899999999</v>
      </c>
      <c r="AHO14" s="11">
        <v>6253703.5999999996</v>
      </c>
      <c r="AHP14" s="11">
        <v>8143200.79</v>
      </c>
      <c r="AHQ14" s="11">
        <v>9604800.4699999988</v>
      </c>
      <c r="AHR14" s="11">
        <v>7084510.7599999998</v>
      </c>
      <c r="AHS14" s="11">
        <v>6819419.3499999996</v>
      </c>
      <c r="AHT14" s="11">
        <v>25388582294.279961</v>
      </c>
      <c r="AHU14" s="11"/>
    </row>
    <row r="15" spans="1:905" x14ac:dyDescent="0.7">
      <c r="B15" s="6" t="s">
        <v>1144</v>
      </c>
      <c r="C15" s="6" t="s">
        <v>1147</v>
      </c>
      <c r="D15" s="11">
        <v>2430847363.6199999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2784709553.1400003</v>
      </c>
      <c r="W15" s="11">
        <v>681526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1084257.75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475712720.01999998</v>
      </c>
      <c r="BJ15" s="11">
        <v>376977032.31999999</v>
      </c>
      <c r="BK15" s="11">
        <v>0</v>
      </c>
      <c r="BL15" s="11">
        <v>478992</v>
      </c>
      <c r="BM15" s="11">
        <v>0</v>
      </c>
      <c r="BN15" s="11">
        <v>1406853</v>
      </c>
      <c r="BO15" s="11">
        <v>997600</v>
      </c>
      <c r="BP15" s="11">
        <v>0</v>
      </c>
      <c r="BQ15" s="11">
        <v>0</v>
      </c>
      <c r="BR15" s="11">
        <v>989314872.05999994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1074151825.9400001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21949717.34</v>
      </c>
      <c r="DC15" s="11">
        <v>18468950.139999997</v>
      </c>
      <c r="DD15" s="11">
        <v>677250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684610921.88999999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203979556.82999998</v>
      </c>
      <c r="EF15" s="11">
        <v>153542435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630898206.90999997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296000000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8085000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627500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1">
        <v>0</v>
      </c>
      <c r="HK15" s="11">
        <v>0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11">
        <v>0</v>
      </c>
      <c r="IJ15" s="11">
        <v>89413688.799999997</v>
      </c>
      <c r="IK15" s="11">
        <v>0</v>
      </c>
      <c r="IL15" s="11">
        <v>0</v>
      </c>
      <c r="IM15" s="11">
        <v>0</v>
      </c>
      <c r="IN15" s="11">
        <v>0</v>
      </c>
      <c r="IO15" s="11">
        <v>0</v>
      </c>
      <c r="IP15" s="11">
        <v>0</v>
      </c>
      <c r="IQ15" s="11">
        <v>0</v>
      </c>
      <c r="IR15" s="11">
        <v>0</v>
      </c>
      <c r="IS15" s="11">
        <v>0</v>
      </c>
      <c r="IT15" s="11">
        <v>127700</v>
      </c>
      <c r="IU15" s="11">
        <v>167130</v>
      </c>
      <c r="IV15" s="11">
        <v>0</v>
      </c>
      <c r="IW15" s="11">
        <v>0</v>
      </c>
      <c r="IX15" s="11">
        <v>0</v>
      </c>
      <c r="IY15" s="11">
        <v>0</v>
      </c>
      <c r="IZ15" s="11">
        <v>0</v>
      </c>
      <c r="JA15" s="11">
        <v>0</v>
      </c>
      <c r="JB15" s="11">
        <v>0</v>
      </c>
      <c r="JC15" s="11">
        <v>0</v>
      </c>
      <c r="JD15" s="11">
        <v>0</v>
      </c>
      <c r="JE15" s="11">
        <v>0</v>
      </c>
      <c r="JF15" s="11">
        <v>371001508.76999998</v>
      </c>
      <c r="JG15" s="11">
        <v>0</v>
      </c>
      <c r="JH15" s="11">
        <v>0</v>
      </c>
      <c r="JI15" s="11">
        <v>0</v>
      </c>
      <c r="JJ15" s="11">
        <v>0</v>
      </c>
      <c r="JK15" s="11">
        <v>0</v>
      </c>
      <c r="JL15" s="11">
        <v>182907361.68000001</v>
      </c>
      <c r="JM15" s="11">
        <v>0</v>
      </c>
      <c r="JN15" s="11">
        <v>0</v>
      </c>
      <c r="JO15" s="11">
        <v>0</v>
      </c>
      <c r="JP15" s="11">
        <v>0</v>
      </c>
      <c r="JQ15" s="11">
        <v>0</v>
      </c>
      <c r="JR15" s="11">
        <v>0</v>
      </c>
      <c r="JS15" s="11">
        <v>496610639.81</v>
      </c>
      <c r="JT15" s="11">
        <v>0</v>
      </c>
      <c r="JU15" s="11">
        <v>0</v>
      </c>
      <c r="JV15" s="11">
        <v>0</v>
      </c>
      <c r="JW15" s="11">
        <v>178579.5</v>
      </c>
      <c r="JX15" s="11">
        <v>0</v>
      </c>
      <c r="JY15" s="11">
        <v>0</v>
      </c>
      <c r="JZ15" s="11">
        <v>0</v>
      </c>
      <c r="KA15" s="11">
        <v>0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0</v>
      </c>
      <c r="KP15" s="11">
        <v>0</v>
      </c>
      <c r="KQ15" s="11">
        <v>0</v>
      </c>
      <c r="KR15" s="11">
        <v>90000000</v>
      </c>
      <c r="KS15" s="11">
        <v>0</v>
      </c>
      <c r="KT15" s="11">
        <v>0</v>
      </c>
      <c r="KU15" s="11">
        <v>0</v>
      </c>
      <c r="KV15" s="11">
        <v>0</v>
      </c>
      <c r="KW15" s="11">
        <v>0</v>
      </c>
      <c r="KX15" s="11">
        <v>0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0</v>
      </c>
      <c r="LQ15" s="11">
        <v>0</v>
      </c>
      <c r="LR15" s="11">
        <v>0</v>
      </c>
      <c r="LS15" s="11">
        <v>0</v>
      </c>
      <c r="LT15" s="11">
        <v>0</v>
      </c>
      <c r="LU15" s="11">
        <v>0</v>
      </c>
      <c r="LV15" s="11">
        <v>0</v>
      </c>
      <c r="LW15" s="11">
        <v>127523139.25</v>
      </c>
      <c r="LX15" s="11">
        <v>0</v>
      </c>
      <c r="LY15" s="11">
        <v>0</v>
      </c>
      <c r="LZ15" s="11">
        <v>0</v>
      </c>
      <c r="MA15" s="11">
        <v>0</v>
      </c>
      <c r="MB15" s="11">
        <v>0</v>
      </c>
      <c r="MC15" s="11">
        <v>0</v>
      </c>
      <c r="MD15" s="11">
        <v>0</v>
      </c>
      <c r="ME15" s="11">
        <v>0</v>
      </c>
      <c r="MF15" s="11">
        <v>0</v>
      </c>
      <c r="MG15" s="11">
        <v>0</v>
      </c>
      <c r="MH15" s="11">
        <v>784925326.0999999</v>
      </c>
      <c r="MI15" s="11">
        <v>0</v>
      </c>
      <c r="MJ15" s="11">
        <v>0</v>
      </c>
      <c r="MK15" s="11">
        <v>0</v>
      </c>
      <c r="ML15" s="11">
        <v>0</v>
      </c>
      <c r="MM15" s="11">
        <v>0</v>
      </c>
      <c r="MN15" s="11">
        <v>0</v>
      </c>
      <c r="MO15" s="11">
        <v>0</v>
      </c>
      <c r="MP15" s="11">
        <v>0</v>
      </c>
      <c r="MQ15" s="11">
        <v>0</v>
      </c>
      <c r="MR15" s="11">
        <v>0</v>
      </c>
      <c r="MS15" s="11">
        <v>0</v>
      </c>
      <c r="MT15" s="11">
        <v>871742536.94999993</v>
      </c>
      <c r="MU15" s="11">
        <v>0</v>
      </c>
      <c r="MV15" s="11">
        <v>0</v>
      </c>
      <c r="MW15" s="11">
        <v>0</v>
      </c>
      <c r="MX15" s="11">
        <v>0</v>
      </c>
      <c r="MY15" s="11">
        <v>0</v>
      </c>
      <c r="MZ15" s="11">
        <v>0</v>
      </c>
      <c r="NA15" s="11">
        <v>0</v>
      </c>
      <c r="NB15" s="11">
        <v>0</v>
      </c>
      <c r="NC15" s="11">
        <v>0</v>
      </c>
      <c r="ND15" s="11">
        <v>0</v>
      </c>
      <c r="NE15" s="11">
        <v>865732696.40999997</v>
      </c>
      <c r="NF15" s="11">
        <v>0</v>
      </c>
      <c r="NG15" s="11">
        <v>0</v>
      </c>
      <c r="NH15" s="11">
        <v>0</v>
      </c>
      <c r="NI15" s="11">
        <v>0</v>
      </c>
      <c r="NJ15" s="11">
        <v>0</v>
      </c>
      <c r="NK15" s="11">
        <v>0</v>
      </c>
      <c r="NL15" s="11">
        <v>0</v>
      </c>
      <c r="NM15" s="11">
        <v>0</v>
      </c>
      <c r="NN15" s="11">
        <v>0</v>
      </c>
      <c r="NO15" s="11">
        <v>0</v>
      </c>
      <c r="NP15" s="11">
        <v>0</v>
      </c>
      <c r="NQ15" s="11">
        <v>87405982.409999996</v>
      </c>
      <c r="NR15" s="11">
        <v>0</v>
      </c>
      <c r="NS15" s="11">
        <v>0</v>
      </c>
      <c r="NT15" s="11">
        <v>0</v>
      </c>
      <c r="NU15" s="11">
        <v>0</v>
      </c>
      <c r="NV15" s="11">
        <v>0</v>
      </c>
      <c r="NW15" s="11">
        <v>0</v>
      </c>
      <c r="NX15" s="11">
        <v>882538231.51999998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0</v>
      </c>
      <c r="OF15" s="11">
        <v>66571</v>
      </c>
      <c r="OG15" s="11">
        <v>0</v>
      </c>
      <c r="OH15" s="11">
        <v>506434.22000000003</v>
      </c>
      <c r="OI15" s="11">
        <v>0</v>
      </c>
      <c r="OJ15" s="11">
        <v>0</v>
      </c>
      <c r="OK15" s="11">
        <v>0</v>
      </c>
      <c r="OL15" s="11">
        <v>0</v>
      </c>
      <c r="OM15" s="11">
        <v>0</v>
      </c>
      <c r="ON15" s="11">
        <v>0</v>
      </c>
      <c r="OO15" s="11">
        <v>0</v>
      </c>
      <c r="OP15" s="11">
        <v>0</v>
      </c>
      <c r="OQ15" s="11">
        <v>0</v>
      </c>
      <c r="OR15" s="11">
        <v>0</v>
      </c>
      <c r="OS15" s="11">
        <v>0</v>
      </c>
      <c r="OT15" s="11">
        <v>168800</v>
      </c>
      <c r="OU15" s="11">
        <v>0</v>
      </c>
      <c r="OV15" s="11">
        <v>0</v>
      </c>
      <c r="OW15" s="11">
        <v>346600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0</v>
      </c>
      <c r="PN15" s="11">
        <v>0</v>
      </c>
      <c r="PO15" s="11">
        <v>0</v>
      </c>
      <c r="PP15" s="11">
        <v>0</v>
      </c>
      <c r="PQ15" s="11">
        <v>0</v>
      </c>
      <c r="PR15" s="11">
        <v>0</v>
      </c>
      <c r="PS15" s="11">
        <v>0</v>
      </c>
      <c r="PT15" s="11">
        <v>0</v>
      </c>
      <c r="PU15" s="11">
        <v>0</v>
      </c>
      <c r="PV15" s="11">
        <v>0</v>
      </c>
      <c r="PW15" s="11">
        <v>0</v>
      </c>
      <c r="PX15" s="11">
        <v>0</v>
      </c>
      <c r="PY15" s="11">
        <v>0</v>
      </c>
      <c r="PZ15" s="11">
        <v>0</v>
      </c>
      <c r="QA15" s="11">
        <v>0</v>
      </c>
      <c r="QB15" s="11">
        <v>0</v>
      </c>
      <c r="QC15" s="11">
        <v>0</v>
      </c>
      <c r="QD15" s="11">
        <v>0</v>
      </c>
      <c r="QE15" s="11">
        <v>0</v>
      </c>
      <c r="QF15" s="11">
        <v>0</v>
      </c>
      <c r="QG15" s="11">
        <v>0</v>
      </c>
      <c r="QH15" s="11">
        <v>0</v>
      </c>
      <c r="QI15" s="11">
        <v>0</v>
      </c>
      <c r="QJ15" s="11">
        <v>0</v>
      </c>
      <c r="QK15" s="11">
        <v>0</v>
      </c>
      <c r="QL15" s="11">
        <v>0</v>
      </c>
      <c r="QM15" s="11">
        <v>0</v>
      </c>
      <c r="QN15" s="11">
        <v>0</v>
      </c>
      <c r="QO15" s="11">
        <v>26087433.700000003</v>
      </c>
      <c r="QP15" s="11">
        <v>0</v>
      </c>
      <c r="QQ15" s="11">
        <v>0</v>
      </c>
      <c r="QR15" s="11">
        <v>0</v>
      </c>
      <c r="QS15" s="11">
        <v>0</v>
      </c>
      <c r="QT15" s="11">
        <v>0</v>
      </c>
      <c r="QU15" s="11">
        <v>302930</v>
      </c>
      <c r="QV15" s="11">
        <v>0</v>
      </c>
      <c r="QW15" s="11">
        <v>0</v>
      </c>
      <c r="QX15" s="11">
        <v>0</v>
      </c>
      <c r="QY15" s="11">
        <v>0</v>
      </c>
      <c r="QZ15" s="11">
        <v>0</v>
      </c>
      <c r="RA15" s="11">
        <v>0</v>
      </c>
      <c r="RB15" s="11">
        <v>0</v>
      </c>
      <c r="RC15" s="11">
        <v>0</v>
      </c>
      <c r="RD15" s="11">
        <v>0</v>
      </c>
      <c r="RE15" s="11">
        <v>0</v>
      </c>
      <c r="RF15" s="11">
        <v>0</v>
      </c>
      <c r="RG15" s="11">
        <v>0</v>
      </c>
      <c r="RH15" s="11">
        <v>14710900</v>
      </c>
      <c r="RI15" s="11">
        <v>0</v>
      </c>
      <c r="RJ15" s="11">
        <v>0</v>
      </c>
      <c r="RK15" s="11">
        <v>0</v>
      </c>
      <c r="RL15" s="11">
        <v>0</v>
      </c>
      <c r="RM15" s="11">
        <v>0</v>
      </c>
      <c r="RN15" s="11">
        <v>0</v>
      </c>
      <c r="RO15" s="11">
        <v>0</v>
      </c>
      <c r="RP15" s="11">
        <v>0</v>
      </c>
      <c r="RQ15" s="11">
        <v>0</v>
      </c>
      <c r="RR15" s="11">
        <v>0</v>
      </c>
      <c r="RS15" s="11">
        <v>0</v>
      </c>
      <c r="RT15" s="11">
        <v>0</v>
      </c>
      <c r="RU15" s="11">
        <v>0</v>
      </c>
      <c r="RV15" s="11">
        <v>0</v>
      </c>
      <c r="RW15" s="11">
        <v>0</v>
      </c>
      <c r="RX15" s="11">
        <v>0</v>
      </c>
      <c r="RY15" s="11">
        <v>0</v>
      </c>
      <c r="RZ15" s="11">
        <v>0</v>
      </c>
      <c r="SA15" s="11">
        <v>0</v>
      </c>
      <c r="SB15" s="11">
        <v>62371139.060000002</v>
      </c>
      <c r="SC15" s="11">
        <v>0</v>
      </c>
      <c r="SD15" s="11">
        <v>0</v>
      </c>
      <c r="SE15" s="11">
        <v>0</v>
      </c>
      <c r="SF15" s="11">
        <v>0</v>
      </c>
      <c r="SG15" s="11">
        <v>0</v>
      </c>
      <c r="SH15" s="11">
        <v>0</v>
      </c>
      <c r="SI15" s="11">
        <v>0</v>
      </c>
      <c r="SJ15" s="11">
        <v>0</v>
      </c>
      <c r="SK15" s="11">
        <v>0</v>
      </c>
      <c r="SL15" s="11">
        <v>0</v>
      </c>
      <c r="SM15" s="11">
        <v>0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0</v>
      </c>
      <c r="TF15" s="11">
        <v>0</v>
      </c>
      <c r="TG15" s="11">
        <v>0</v>
      </c>
      <c r="TH15" s="11">
        <v>0</v>
      </c>
      <c r="TI15" s="11">
        <v>0</v>
      </c>
      <c r="TJ15" s="11">
        <v>2368500</v>
      </c>
      <c r="TK15" s="11">
        <v>0</v>
      </c>
      <c r="TL15" s="11">
        <v>0</v>
      </c>
      <c r="TM15" s="11">
        <v>0</v>
      </c>
      <c r="TN15" s="11">
        <v>0</v>
      </c>
      <c r="TO15" s="11">
        <v>0</v>
      </c>
      <c r="TP15" s="11">
        <v>0</v>
      </c>
      <c r="TQ15" s="11">
        <v>0</v>
      </c>
      <c r="TR15" s="11">
        <v>0</v>
      </c>
      <c r="TS15" s="11">
        <v>0</v>
      </c>
      <c r="TT15" s="11">
        <v>0</v>
      </c>
      <c r="TU15" s="11">
        <v>0</v>
      </c>
      <c r="TV15" s="11">
        <v>0</v>
      </c>
      <c r="TW15" s="11">
        <v>0</v>
      </c>
      <c r="TX15" s="11">
        <v>0</v>
      </c>
      <c r="TY15" s="11">
        <v>0</v>
      </c>
      <c r="TZ15" s="11">
        <v>450600</v>
      </c>
      <c r="UA15" s="11">
        <v>0</v>
      </c>
      <c r="UB15" s="11">
        <v>0</v>
      </c>
      <c r="UC15" s="11">
        <v>0</v>
      </c>
      <c r="UD15" s="11">
        <v>0</v>
      </c>
      <c r="UE15" s="11">
        <v>0</v>
      </c>
      <c r="UF15" s="11">
        <v>0</v>
      </c>
      <c r="UG15" s="11">
        <v>0</v>
      </c>
      <c r="UH15" s="11">
        <v>0</v>
      </c>
      <c r="UI15" s="11">
        <v>0</v>
      </c>
      <c r="UJ15" s="11">
        <v>0</v>
      </c>
      <c r="UK15" s="11">
        <v>768516</v>
      </c>
      <c r="UL15" s="11">
        <v>0</v>
      </c>
      <c r="UM15" s="11">
        <v>0</v>
      </c>
      <c r="UN15" s="11">
        <v>0</v>
      </c>
      <c r="UO15" s="11">
        <v>0</v>
      </c>
      <c r="UP15" s="11">
        <v>0</v>
      </c>
      <c r="UQ15" s="11">
        <v>6803445.7300000004</v>
      </c>
      <c r="UR15" s="11">
        <v>0</v>
      </c>
      <c r="US15" s="11">
        <v>0</v>
      </c>
      <c r="UT15" s="11">
        <v>10000</v>
      </c>
      <c r="UU15" s="11">
        <v>0</v>
      </c>
      <c r="UV15" s="11">
        <v>0</v>
      </c>
      <c r="UW15" s="11">
        <v>0</v>
      </c>
      <c r="UX15" s="11">
        <v>0</v>
      </c>
      <c r="UY15" s="11">
        <v>0</v>
      </c>
      <c r="UZ15" s="11">
        <v>0</v>
      </c>
      <c r="VA15" s="11">
        <v>0</v>
      </c>
      <c r="VB15" s="11">
        <v>0</v>
      </c>
      <c r="VC15" s="11">
        <v>0</v>
      </c>
      <c r="VD15" s="11">
        <v>0</v>
      </c>
      <c r="VE15" s="11">
        <v>0</v>
      </c>
      <c r="VF15" s="11">
        <v>0</v>
      </c>
      <c r="VG15" s="11">
        <v>0</v>
      </c>
      <c r="VH15" s="11">
        <v>0</v>
      </c>
      <c r="VI15" s="11">
        <v>0</v>
      </c>
      <c r="VJ15" s="11">
        <v>0</v>
      </c>
      <c r="VK15" s="11">
        <v>0</v>
      </c>
      <c r="VL15" s="11">
        <v>0</v>
      </c>
      <c r="VM15" s="11">
        <v>137719888.78</v>
      </c>
      <c r="VN15" s="11">
        <v>0</v>
      </c>
      <c r="VO15" s="11">
        <v>0</v>
      </c>
      <c r="VP15" s="11">
        <v>80000</v>
      </c>
      <c r="VQ15" s="11">
        <v>0</v>
      </c>
      <c r="VR15" s="11">
        <v>0</v>
      </c>
      <c r="VS15" s="11">
        <v>0</v>
      </c>
      <c r="VT15" s="11">
        <v>0</v>
      </c>
      <c r="VU15" s="11">
        <v>0</v>
      </c>
      <c r="VV15" s="11">
        <v>0</v>
      </c>
      <c r="VW15" s="11">
        <v>0</v>
      </c>
      <c r="VX15" s="11">
        <v>0</v>
      </c>
      <c r="VY15" s="11">
        <v>0</v>
      </c>
      <c r="VZ15" s="11">
        <v>0</v>
      </c>
      <c r="WA15" s="11">
        <v>0</v>
      </c>
      <c r="WB15" s="11">
        <v>19251000</v>
      </c>
      <c r="WC15" s="11">
        <v>0</v>
      </c>
      <c r="WD15" s="11">
        <v>0</v>
      </c>
      <c r="WE15" s="11">
        <v>0</v>
      </c>
      <c r="WF15" s="11">
        <v>0</v>
      </c>
      <c r="WG15" s="11">
        <v>0</v>
      </c>
      <c r="WH15" s="11">
        <v>0</v>
      </c>
      <c r="WI15" s="11">
        <v>0</v>
      </c>
      <c r="WJ15" s="11">
        <v>0</v>
      </c>
      <c r="WK15" s="11">
        <v>0</v>
      </c>
      <c r="WL15" s="11">
        <v>0</v>
      </c>
      <c r="WM15" s="11">
        <v>0</v>
      </c>
      <c r="WN15" s="11">
        <v>0</v>
      </c>
      <c r="WO15" s="11">
        <v>0</v>
      </c>
      <c r="WP15" s="11">
        <v>0</v>
      </c>
      <c r="WQ15" s="11">
        <v>0</v>
      </c>
      <c r="WR15" s="11">
        <v>0</v>
      </c>
      <c r="WS15" s="11">
        <v>0</v>
      </c>
      <c r="WT15" s="11">
        <v>0</v>
      </c>
      <c r="WU15" s="11">
        <v>0</v>
      </c>
      <c r="WV15" s="11">
        <v>0</v>
      </c>
      <c r="WW15" s="11">
        <v>0</v>
      </c>
      <c r="WX15" s="11">
        <v>0</v>
      </c>
      <c r="WY15" s="11">
        <v>0</v>
      </c>
      <c r="WZ15" s="11">
        <v>0</v>
      </c>
      <c r="XA15" s="11">
        <v>0</v>
      </c>
      <c r="XB15" s="11">
        <v>0</v>
      </c>
      <c r="XC15" s="11">
        <v>0</v>
      </c>
      <c r="XD15" s="11">
        <v>0</v>
      </c>
      <c r="XE15" s="11">
        <v>0</v>
      </c>
      <c r="XF15" s="11">
        <v>0</v>
      </c>
      <c r="XG15" s="11">
        <v>0</v>
      </c>
      <c r="XH15" s="11">
        <v>0</v>
      </c>
      <c r="XI15" s="11">
        <v>22350793.670000002</v>
      </c>
      <c r="XJ15" s="11">
        <v>0</v>
      </c>
      <c r="XK15" s="11">
        <v>0</v>
      </c>
      <c r="XL15" s="11">
        <v>23980</v>
      </c>
      <c r="XM15" s="11">
        <v>0</v>
      </c>
      <c r="XN15" s="11">
        <v>0</v>
      </c>
      <c r="XO15" s="11">
        <v>0</v>
      </c>
      <c r="XP15" s="11">
        <v>0</v>
      </c>
      <c r="XQ15" s="11">
        <v>0</v>
      </c>
      <c r="XR15" s="11">
        <v>0</v>
      </c>
      <c r="XS15" s="11">
        <v>0</v>
      </c>
      <c r="XT15" s="11">
        <v>0</v>
      </c>
      <c r="XU15" s="11">
        <v>0</v>
      </c>
      <c r="XV15" s="11">
        <v>0</v>
      </c>
      <c r="XW15" s="11">
        <v>0</v>
      </c>
      <c r="XX15" s="11">
        <v>0</v>
      </c>
      <c r="XY15" s="11">
        <v>0</v>
      </c>
      <c r="XZ15" s="11">
        <v>0</v>
      </c>
      <c r="YA15" s="11">
        <v>0</v>
      </c>
      <c r="YB15" s="11">
        <v>0</v>
      </c>
      <c r="YC15" s="11">
        <v>0</v>
      </c>
      <c r="YD15" s="11">
        <v>0</v>
      </c>
      <c r="YE15" s="11">
        <v>0</v>
      </c>
      <c r="YF15" s="11">
        <v>0</v>
      </c>
      <c r="YG15" s="11">
        <v>0</v>
      </c>
      <c r="YH15" s="11">
        <v>0</v>
      </c>
      <c r="YI15" s="11">
        <v>0</v>
      </c>
      <c r="YJ15" s="11">
        <v>67101175.599999994</v>
      </c>
      <c r="YK15" s="11">
        <v>0</v>
      </c>
      <c r="YL15" s="11">
        <v>0</v>
      </c>
      <c r="YM15" s="11">
        <v>0</v>
      </c>
      <c r="YN15" s="11">
        <v>0</v>
      </c>
      <c r="YO15" s="11">
        <v>0</v>
      </c>
      <c r="YP15" s="11">
        <v>0</v>
      </c>
      <c r="YQ15" s="11">
        <v>0</v>
      </c>
      <c r="YR15" s="11">
        <v>0</v>
      </c>
      <c r="YS15" s="11">
        <v>0</v>
      </c>
      <c r="YT15" s="11">
        <v>0</v>
      </c>
      <c r="YU15" s="11">
        <v>0</v>
      </c>
      <c r="YV15" s="11">
        <v>0</v>
      </c>
      <c r="YW15" s="11">
        <v>137164554.31999999</v>
      </c>
      <c r="YX15" s="11">
        <v>0</v>
      </c>
      <c r="YY15" s="11">
        <v>0</v>
      </c>
      <c r="YZ15" s="11">
        <v>0</v>
      </c>
      <c r="ZA15" s="11">
        <v>0</v>
      </c>
      <c r="ZB15" s="11">
        <v>0</v>
      </c>
      <c r="ZC15" s="11">
        <v>0</v>
      </c>
      <c r="ZD15" s="11">
        <v>5531.74</v>
      </c>
      <c r="ZE15" s="11">
        <v>0</v>
      </c>
      <c r="ZF15" s="11">
        <v>0</v>
      </c>
      <c r="ZG15" s="11">
        <v>0</v>
      </c>
      <c r="ZH15" s="11">
        <v>0</v>
      </c>
      <c r="ZI15" s="11">
        <v>0</v>
      </c>
      <c r="ZJ15" s="11">
        <v>0</v>
      </c>
      <c r="ZK15" s="11">
        <v>0</v>
      </c>
      <c r="ZL15" s="11">
        <v>0</v>
      </c>
      <c r="ZM15" s="11">
        <v>9598619.4299999997</v>
      </c>
      <c r="ZN15" s="11">
        <v>0</v>
      </c>
      <c r="ZO15" s="11">
        <v>0</v>
      </c>
      <c r="ZP15" s="11">
        <v>0</v>
      </c>
      <c r="ZQ15" s="11">
        <v>0</v>
      </c>
      <c r="ZR15" s="11">
        <v>0</v>
      </c>
      <c r="ZS15" s="11">
        <v>0</v>
      </c>
      <c r="ZT15" s="11">
        <v>0</v>
      </c>
      <c r="ZU15" s="11">
        <v>0</v>
      </c>
      <c r="ZV15" s="11">
        <v>0</v>
      </c>
      <c r="ZW15" s="11">
        <v>0</v>
      </c>
      <c r="ZX15" s="11">
        <v>0</v>
      </c>
      <c r="ZY15" s="11">
        <v>0</v>
      </c>
      <c r="ZZ15" s="11">
        <v>0</v>
      </c>
      <c r="AAA15" s="11">
        <v>0</v>
      </c>
      <c r="AAB15" s="11">
        <v>0</v>
      </c>
      <c r="AAC15" s="11">
        <v>0</v>
      </c>
      <c r="AAD15" s="11">
        <v>0</v>
      </c>
      <c r="AAE15" s="11">
        <v>0</v>
      </c>
      <c r="AAF15" s="11">
        <v>0</v>
      </c>
      <c r="AAG15" s="11">
        <v>0</v>
      </c>
      <c r="AAH15" s="11">
        <v>0</v>
      </c>
      <c r="AAI15" s="11">
        <v>0</v>
      </c>
      <c r="AAJ15" s="11">
        <v>0</v>
      </c>
      <c r="AAK15" s="11">
        <v>0</v>
      </c>
      <c r="AAL15" s="11">
        <v>0</v>
      </c>
      <c r="AAM15" s="11">
        <v>0</v>
      </c>
      <c r="AAN15" s="11">
        <v>0</v>
      </c>
      <c r="AAO15" s="11">
        <v>0</v>
      </c>
      <c r="AAP15" s="11">
        <v>19698000</v>
      </c>
      <c r="AAQ15" s="11">
        <v>0</v>
      </c>
      <c r="AAR15" s="11">
        <v>0</v>
      </c>
      <c r="AAS15" s="11">
        <v>0</v>
      </c>
      <c r="AAT15" s="11">
        <v>0</v>
      </c>
      <c r="AAU15" s="11">
        <v>0</v>
      </c>
      <c r="AAV15" s="11">
        <v>0</v>
      </c>
      <c r="AAW15" s="11">
        <v>0</v>
      </c>
      <c r="AAX15" s="11">
        <v>0</v>
      </c>
      <c r="AAY15" s="11">
        <v>0</v>
      </c>
      <c r="AAZ15" s="11">
        <v>0</v>
      </c>
      <c r="ABA15" s="11">
        <v>0</v>
      </c>
      <c r="ABB15" s="11">
        <v>0</v>
      </c>
      <c r="ABC15" s="11">
        <v>0</v>
      </c>
      <c r="ABD15" s="11">
        <v>0</v>
      </c>
      <c r="ABE15" s="11">
        <v>0</v>
      </c>
      <c r="ABF15" s="11">
        <v>0</v>
      </c>
      <c r="ABG15" s="11">
        <v>0</v>
      </c>
      <c r="ABH15" s="11">
        <v>0</v>
      </c>
      <c r="ABI15" s="11">
        <v>0</v>
      </c>
      <c r="ABJ15" s="11">
        <v>0</v>
      </c>
      <c r="ABK15" s="11">
        <v>0</v>
      </c>
      <c r="ABL15" s="11">
        <v>0</v>
      </c>
      <c r="ABM15" s="11">
        <v>0</v>
      </c>
      <c r="ABN15" s="11">
        <v>0</v>
      </c>
      <c r="ABO15" s="11">
        <v>0</v>
      </c>
      <c r="ABP15" s="11">
        <v>0</v>
      </c>
      <c r="ABQ15" s="11">
        <v>0</v>
      </c>
      <c r="ABR15" s="11">
        <v>0</v>
      </c>
      <c r="ABS15" s="11">
        <v>0</v>
      </c>
      <c r="ABT15" s="11">
        <v>0</v>
      </c>
      <c r="ABU15" s="11">
        <v>0</v>
      </c>
      <c r="ABV15" s="11">
        <v>0</v>
      </c>
      <c r="ABW15" s="11">
        <v>0</v>
      </c>
      <c r="ABX15" s="11">
        <v>0</v>
      </c>
      <c r="ABY15" s="11">
        <v>0</v>
      </c>
      <c r="ABZ15" s="11">
        <v>0</v>
      </c>
      <c r="ACA15" s="11">
        <v>0</v>
      </c>
      <c r="ACB15" s="11">
        <v>0</v>
      </c>
      <c r="ACC15" s="11">
        <v>0</v>
      </c>
      <c r="ACD15" s="11">
        <v>0</v>
      </c>
      <c r="ACE15" s="11">
        <v>0</v>
      </c>
      <c r="ACF15" s="11">
        <v>0</v>
      </c>
      <c r="ACG15" s="11">
        <v>0</v>
      </c>
      <c r="ACH15" s="11">
        <v>0</v>
      </c>
      <c r="ACI15" s="11">
        <v>0</v>
      </c>
      <c r="ACJ15" s="11">
        <v>13392000</v>
      </c>
      <c r="ACK15" s="11">
        <v>0</v>
      </c>
      <c r="ACL15" s="11">
        <v>0</v>
      </c>
      <c r="ACM15" s="11">
        <v>0</v>
      </c>
      <c r="ACN15" s="11">
        <v>0</v>
      </c>
      <c r="ACO15" s="11">
        <v>0</v>
      </c>
      <c r="ACP15" s="11">
        <v>0</v>
      </c>
      <c r="ACQ15" s="11">
        <v>0</v>
      </c>
      <c r="ACR15" s="11">
        <v>0</v>
      </c>
      <c r="ACS15" s="11">
        <v>0</v>
      </c>
      <c r="ACT15" s="11">
        <v>0</v>
      </c>
      <c r="ACU15" s="11">
        <v>0</v>
      </c>
      <c r="ACV15" s="11">
        <v>0</v>
      </c>
      <c r="ACW15" s="11">
        <v>0</v>
      </c>
      <c r="ACX15" s="11">
        <v>0</v>
      </c>
      <c r="ACY15" s="11">
        <v>0</v>
      </c>
      <c r="ACZ15" s="11">
        <v>0</v>
      </c>
      <c r="ADA15" s="11">
        <v>0</v>
      </c>
      <c r="ADB15" s="11">
        <v>0</v>
      </c>
      <c r="ADC15" s="11">
        <v>0</v>
      </c>
      <c r="ADD15" s="11">
        <v>0</v>
      </c>
      <c r="ADE15" s="11">
        <v>0</v>
      </c>
      <c r="ADF15" s="11">
        <v>0</v>
      </c>
      <c r="ADG15" s="11">
        <v>21236904.77</v>
      </c>
      <c r="ADH15" s="11">
        <v>34194315.909999996</v>
      </c>
      <c r="ADI15" s="11">
        <v>0</v>
      </c>
      <c r="ADJ15" s="11">
        <v>0</v>
      </c>
      <c r="ADK15" s="11">
        <v>0</v>
      </c>
      <c r="ADL15" s="11">
        <v>0</v>
      </c>
      <c r="ADM15" s="11">
        <v>0</v>
      </c>
      <c r="ADN15" s="11">
        <v>0</v>
      </c>
      <c r="ADO15" s="11">
        <v>0</v>
      </c>
      <c r="ADP15" s="11">
        <v>76957960.870000005</v>
      </c>
      <c r="ADQ15" s="11">
        <v>0</v>
      </c>
      <c r="ADR15" s="11">
        <v>0</v>
      </c>
      <c r="ADS15" s="11">
        <v>0</v>
      </c>
      <c r="ADT15" s="11">
        <v>51929124.149999999</v>
      </c>
      <c r="ADU15" s="11">
        <v>0</v>
      </c>
      <c r="ADV15" s="11">
        <v>0</v>
      </c>
      <c r="ADW15" s="11">
        <v>0</v>
      </c>
      <c r="ADX15" s="11">
        <v>0</v>
      </c>
      <c r="ADY15" s="11">
        <v>0</v>
      </c>
      <c r="ADZ15" s="11">
        <v>0</v>
      </c>
      <c r="AEA15" s="11">
        <v>0</v>
      </c>
      <c r="AEB15" s="11">
        <v>0</v>
      </c>
      <c r="AEC15" s="11">
        <v>0</v>
      </c>
      <c r="AED15" s="11">
        <v>0</v>
      </c>
      <c r="AEE15" s="11">
        <v>0</v>
      </c>
      <c r="AEF15" s="11">
        <v>0</v>
      </c>
      <c r="AEG15" s="11">
        <v>0</v>
      </c>
      <c r="AEH15" s="11">
        <v>0</v>
      </c>
      <c r="AEI15" s="11">
        <v>0</v>
      </c>
      <c r="AEJ15" s="11">
        <v>0</v>
      </c>
      <c r="AEK15" s="11">
        <v>0</v>
      </c>
      <c r="AEL15" s="11">
        <v>0</v>
      </c>
      <c r="AEM15" s="11">
        <v>0</v>
      </c>
      <c r="AEN15" s="11">
        <v>0</v>
      </c>
      <c r="AEO15" s="11">
        <v>0</v>
      </c>
      <c r="AEP15" s="11">
        <v>0</v>
      </c>
      <c r="AEQ15" s="11">
        <v>0</v>
      </c>
      <c r="AER15" s="11">
        <v>0</v>
      </c>
      <c r="AES15" s="11">
        <v>0</v>
      </c>
      <c r="AET15" s="11">
        <v>580207095.25999999</v>
      </c>
      <c r="AEU15" s="11">
        <v>0</v>
      </c>
      <c r="AEV15" s="11">
        <v>0</v>
      </c>
      <c r="AEW15" s="11">
        <v>0</v>
      </c>
      <c r="AEX15" s="11">
        <v>0</v>
      </c>
      <c r="AEY15" s="11">
        <v>0</v>
      </c>
      <c r="AEZ15" s="11">
        <v>0</v>
      </c>
      <c r="AFA15" s="11">
        <v>0</v>
      </c>
      <c r="AFB15" s="11">
        <v>0</v>
      </c>
      <c r="AFC15" s="11">
        <v>0</v>
      </c>
      <c r="AFD15" s="11">
        <v>167273216.91</v>
      </c>
      <c r="AFE15" s="11">
        <v>8107.2</v>
      </c>
      <c r="AFF15" s="11">
        <v>0</v>
      </c>
      <c r="AFG15" s="11">
        <v>0</v>
      </c>
      <c r="AFH15" s="11">
        <v>0</v>
      </c>
      <c r="AFI15" s="11">
        <v>0</v>
      </c>
      <c r="AFJ15" s="11">
        <v>0</v>
      </c>
      <c r="AFK15" s="11">
        <v>0</v>
      </c>
      <c r="AFL15" s="11">
        <v>0</v>
      </c>
      <c r="AFM15" s="11">
        <v>0</v>
      </c>
      <c r="AFN15" s="11">
        <v>0</v>
      </c>
      <c r="AFO15" s="11">
        <v>0</v>
      </c>
      <c r="AFP15" s="11">
        <v>0</v>
      </c>
      <c r="AFQ15" s="11">
        <v>0</v>
      </c>
      <c r="AFR15" s="11">
        <v>0</v>
      </c>
      <c r="AFS15" s="11">
        <v>0</v>
      </c>
      <c r="AFT15" s="11">
        <v>0</v>
      </c>
      <c r="AFU15" s="11">
        <v>0</v>
      </c>
      <c r="AFV15" s="11">
        <v>0</v>
      </c>
      <c r="AFW15" s="11">
        <v>0</v>
      </c>
      <c r="AFX15" s="11">
        <v>0</v>
      </c>
      <c r="AFY15" s="11">
        <v>0</v>
      </c>
      <c r="AFZ15" s="11">
        <v>0</v>
      </c>
      <c r="AGA15" s="11">
        <v>0</v>
      </c>
      <c r="AGB15" s="11">
        <v>0</v>
      </c>
      <c r="AGC15" s="11">
        <v>107737227.26000001</v>
      </c>
      <c r="AGD15" s="11">
        <v>0</v>
      </c>
      <c r="AGE15" s="11">
        <v>0</v>
      </c>
      <c r="AGF15" s="11">
        <v>0</v>
      </c>
      <c r="AGG15" s="11">
        <v>0</v>
      </c>
      <c r="AGH15" s="11">
        <v>0</v>
      </c>
      <c r="AGI15" s="11">
        <v>0</v>
      </c>
      <c r="AGJ15" s="11">
        <v>0</v>
      </c>
      <c r="AGK15" s="11">
        <v>0</v>
      </c>
      <c r="AGL15" s="11">
        <v>0</v>
      </c>
      <c r="AGM15" s="11">
        <v>0</v>
      </c>
      <c r="AGN15" s="11">
        <v>7497000</v>
      </c>
      <c r="AGO15" s="11">
        <v>0</v>
      </c>
      <c r="AGP15" s="11">
        <v>0</v>
      </c>
      <c r="AGQ15" s="11">
        <v>0</v>
      </c>
      <c r="AGR15" s="11">
        <v>0</v>
      </c>
      <c r="AGS15" s="11">
        <v>0</v>
      </c>
      <c r="AGT15" s="11">
        <v>0</v>
      </c>
      <c r="AGU15" s="11">
        <v>0</v>
      </c>
      <c r="AGV15" s="11">
        <v>16905000</v>
      </c>
      <c r="AGW15" s="11">
        <v>10731000</v>
      </c>
      <c r="AGX15" s="11">
        <v>0</v>
      </c>
      <c r="AGY15" s="11">
        <v>0</v>
      </c>
      <c r="AGZ15" s="11">
        <v>0</v>
      </c>
      <c r="AHA15" s="11">
        <v>0</v>
      </c>
      <c r="AHB15" s="11">
        <v>0</v>
      </c>
      <c r="AHC15" s="11">
        <v>0</v>
      </c>
      <c r="AHD15" s="11">
        <v>0</v>
      </c>
      <c r="AHE15" s="11">
        <v>0</v>
      </c>
      <c r="AHF15" s="11">
        <v>0</v>
      </c>
      <c r="AHG15" s="11">
        <v>0</v>
      </c>
      <c r="AHH15" s="11">
        <v>0</v>
      </c>
      <c r="AHI15" s="11">
        <v>0</v>
      </c>
      <c r="AHJ15" s="11">
        <v>0</v>
      </c>
      <c r="AHK15" s="11">
        <v>0</v>
      </c>
      <c r="AHL15" s="11">
        <v>0</v>
      </c>
      <c r="AHM15" s="11">
        <v>0</v>
      </c>
      <c r="AHN15" s="11">
        <v>0</v>
      </c>
      <c r="AHO15" s="11">
        <v>0</v>
      </c>
      <c r="AHP15" s="11">
        <v>0</v>
      </c>
      <c r="AHQ15" s="11">
        <v>0</v>
      </c>
      <c r="AHR15" s="11">
        <v>0</v>
      </c>
      <c r="AHS15" s="11">
        <v>0</v>
      </c>
      <c r="AHT15" s="11">
        <v>16621501020.740004</v>
      </c>
      <c r="AHU15" s="11"/>
    </row>
    <row r="16" spans="1:905" x14ac:dyDescent="0.7">
      <c r="B16" s="6" t="s">
        <v>18</v>
      </c>
      <c r="C16" s="6" t="s">
        <v>644</v>
      </c>
      <c r="D16" s="11">
        <v>72923790.689999998</v>
      </c>
      <c r="E16" s="11">
        <v>6122794.8799999999</v>
      </c>
      <c r="F16" s="11">
        <v>8862089.6600000001</v>
      </c>
      <c r="G16" s="11">
        <v>2175851.89</v>
      </c>
      <c r="H16" s="11">
        <v>8904291.4699999988</v>
      </c>
      <c r="I16" s="11">
        <v>4598808.7299999995</v>
      </c>
      <c r="J16" s="11">
        <v>39712819.509999998</v>
      </c>
      <c r="K16" s="11">
        <v>4965415.3600000003</v>
      </c>
      <c r="L16" s="11">
        <v>2509914.87</v>
      </c>
      <c r="M16" s="11">
        <v>3371534.25</v>
      </c>
      <c r="N16" s="11">
        <v>2097189.41</v>
      </c>
      <c r="O16" s="11">
        <v>2482555</v>
      </c>
      <c r="P16" s="11">
        <v>1979034.12</v>
      </c>
      <c r="Q16" s="11">
        <v>4455935.2300000004</v>
      </c>
      <c r="R16" s="11">
        <v>1572781.61</v>
      </c>
      <c r="S16" s="11">
        <v>8442384.5500000007</v>
      </c>
      <c r="T16" s="11">
        <v>2488861.81</v>
      </c>
      <c r="U16" s="11">
        <v>1489782.07</v>
      </c>
      <c r="V16" s="11">
        <v>82136382.170000002</v>
      </c>
      <c r="W16" s="11">
        <v>14645209.140000001</v>
      </c>
      <c r="X16" s="11">
        <v>1423095.97</v>
      </c>
      <c r="Y16" s="11">
        <v>6663809.9500000002</v>
      </c>
      <c r="Z16" s="11">
        <v>2649102.7599999998</v>
      </c>
      <c r="AA16" s="11">
        <v>3662780.52</v>
      </c>
      <c r="AB16" s="11">
        <v>1700246.4</v>
      </c>
      <c r="AC16" s="11">
        <v>10427672.82</v>
      </c>
      <c r="AD16" s="11">
        <v>4085306.29</v>
      </c>
      <c r="AE16" s="11">
        <v>3345326.32</v>
      </c>
      <c r="AF16" s="11">
        <v>11082868.029999999</v>
      </c>
      <c r="AG16" s="11">
        <v>3858400</v>
      </c>
      <c r="AH16" s="11">
        <v>11195636.59</v>
      </c>
      <c r="AI16" s="11">
        <v>3739035.44</v>
      </c>
      <c r="AJ16" s="11">
        <v>6169969.9500000002</v>
      </c>
      <c r="AK16" s="11">
        <v>460000</v>
      </c>
      <c r="AL16" s="11">
        <v>2730920.63</v>
      </c>
      <c r="AM16" s="11">
        <v>1335762.57</v>
      </c>
      <c r="AN16" s="11">
        <v>1654663.66</v>
      </c>
      <c r="AO16" s="11">
        <v>1983619</v>
      </c>
      <c r="AP16" s="11">
        <v>3894842.64</v>
      </c>
      <c r="AQ16" s="11">
        <v>2136984</v>
      </c>
      <c r="AR16" s="11">
        <v>2819759.01</v>
      </c>
      <c r="AS16" s="11">
        <v>0</v>
      </c>
      <c r="AT16" s="11">
        <v>58657566.490000002</v>
      </c>
      <c r="AU16" s="11">
        <v>443004.09</v>
      </c>
      <c r="AV16" s="11">
        <v>361872.73</v>
      </c>
      <c r="AW16" s="11">
        <v>1304002.74</v>
      </c>
      <c r="AX16" s="11">
        <v>2468292.7599999998</v>
      </c>
      <c r="AY16" s="11">
        <v>4096576.12</v>
      </c>
      <c r="AZ16" s="11">
        <v>3921832.88</v>
      </c>
      <c r="BA16" s="11">
        <v>567167.81000000006</v>
      </c>
      <c r="BB16" s="11">
        <v>2873539.61</v>
      </c>
      <c r="BC16" s="11">
        <v>1330856.67</v>
      </c>
      <c r="BD16" s="11">
        <v>1053689.1000000001</v>
      </c>
      <c r="BE16" s="11">
        <v>736370.46</v>
      </c>
      <c r="BF16" s="11">
        <v>6383707.9500000002</v>
      </c>
      <c r="BG16" s="11">
        <v>337906.96</v>
      </c>
      <c r="BH16" s="11">
        <v>0</v>
      </c>
      <c r="BI16" s="11">
        <v>43727913.589999996</v>
      </c>
      <c r="BJ16" s="11">
        <v>9064746.1699999999</v>
      </c>
      <c r="BK16" s="11">
        <v>9384923.5700000003</v>
      </c>
      <c r="BL16" s="11">
        <v>3038388.26</v>
      </c>
      <c r="BM16" s="11">
        <v>3467074.53</v>
      </c>
      <c r="BN16" s="11">
        <v>4202026.42</v>
      </c>
      <c r="BO16" s="11">
        <v>4120936.73</v>
      </c>
      <c r="BP16" s="11">
        <v>756788.63</v>
      </c>
      <c r="BQ16" s="11">
        <v>819100</v>
      </c>
      <c r="BR16" s="11">
        <v>63400533.029999994</v>
      </c>
      <c r="BS16" s="11">
        <v>2021365.44</v>
      </c>
      <c r="BT16" s="11">
        <v>1933914.77</v>
      </c>
      <c r="BU16" s="11">
        <v>4438318.8899999997</v>
      </c>
      <c r="BV16" s="11">
        <v>2283156.86</v>
      </c>
      <c r="BW16" s="11">
        <v>1847782.86</v>
      </c>
      <c r="BX16" s="11">
        <v>1910415.73</v>
      </c>
      <c r="BY16" s="11">
        <v>1668162.02</v>
      </c>
      <c r="BZ16" s="11">
        <v>3600000</v>
      </c>
      <c r="CA16" s="11">
        <v>4458387.2300000004</v>
      </c>
      <c r="CB16" s="11">
        <v>1360884.78</v>
      </c>
      <c r="CC16" s="11">
        <v>12066665.51</v>
      </c>
      <c r="CD16" s="11">
        <v>2190383.38</v>
      </c>
      <c r="CE16" s="11">
        <v>1641821.86</v>
      </c>
      <c r="CF16" s="11">
        <v>1703576.69</v>
      </c>
      <c r="CG16" s="11">
        <v>27748153.129999999</v>
      </c>
      <c r="CH16" s="11">
        <v>2424647.2000000002</v>
      </c>
      <c r="CI16" s="11">
        <v>21818763.609999999</v>
      </c>
      <c r="CJ16" s="11">
        <v>1364844.58</v>
      </c>
      <c r="CK16" s="11">
        <v>17044134.5</v>
      </c>
      <c r="CL16" s="11">
        <v>5110203.46</v>
      </c>
      <c r="CM16" s="11">
        <v>12297617.050000001</v>
      </c>
      <c r="CN16" s="11">
        <v>13912994.26</v>
      </c>
      <c r="CO16" s="11">
        <v>233210.76</v>
      </c>
      <c r="CP16" s="11">
        <v>227525.39</v>
      </c>
      <c r="CQ16" s="11">
        <v>1170318.05</v>
      </c>
      <c r="CR16" s="11">
        <v>1268000</v>
      </c>
      <c r="CS16" s="11">
        <v>934814.13</v>
      </c>
      <c r="CT16" s="11">
        <v>57273982.719999999</v>
      </c>
      <c r="CU16" s="11">
        <v>1862397.56</v>
      </c>
      <c r="CV16" s="11">
        <v>2296005.5699999998</v>
      </c>
      <c r="CW16" s="11">
        <v>4100266.23</v>
      </c>
      <c r="CX16" s="11">
        <v>1666737.21</v>
      </c>
      <c r="CY16" s="11">
        <v>3421328.87</v>
      </c>
      <c r="CZ16" s="11">
        <v>1220445.43</v>
      </c>
      <c r="DA16" s="11">
        <v>896111.75</v>
      </c>
      <c r="DB16" s="11">
        <v>22810628.73</v>
      </c>
      <c r="DC16" s="11">
        <v>24736019.609999999</v>
      </c>
      <c r="DD16" s="11">
        <v>4771431.46</v>
      </c>
      <c r="DE16" s="11">
        <v>1088481.42</v>
      </c>
      <c r="DF16" s="11">
        <v>19939950</v>
      </c>
      <c r="DG16" s="11">
        <v>10370934.609999999</v>
      </c>
      <c r="DH16" s="11">
        <v>4285187.59</v>
      </c>
      <c r="DI16" s="11">
        <v>2975167</v>
      </c>
      <c r="DJ16" s="11">
        <v>937681.57</v>
      </c>
      <c r="DK16" s="11">
        <v>334415062.69</v>
      </c>
      <c r="DL16" s="11">
        <v>2252145.17</v>
      </c>
      <c r="DM16" s="11">
        <v>4168591.64</v>
      </c>
      <c r="DN16" s="11">
        <v>3009305.27</v>
      </c>
      <c r="DO16" s="11">
        <v>8618840</v>
      </c>
      <c r="DP16" s="11">
        <v>7264748.5099999998</v>
      </c>
      <c r="DQ16" s="11">
        <v>5463220.8300000001</v>
      </c>
      <c r="DR16" s="11">
        <v>2615783.37</v>
      </c>
      <c r="DS16" s="11">
        <v>3354119.08</v>
      </c>
      <c r="DT16" s="11">
        <v>73879189.689999998</v>
      </c>
      <c r="DU16" s="11">
        <v>2655942.0099999998</v>
      </c>
      <c r="DV16" s="11">
        <v>20331907.460000001</v>
      </c>
      <c r="DW16" s="11">
        <v>7924265.8399999999</v>
      </c>
      <c r="DX16" s="11">
        <v>2187699.4700000002</v>
      </c>
      <c r="DY16" s="11">
        <v>9119744.5399999991</v>
      </c>
      <c r="DZ16" s="11">
        <v>4838200</v>
      </c>
      <c r="EA16" s="11">
        <v>2896718.62</v>
      </c>
      <c r="EB16" s="11">
        <v>3678632.42</v>
      </c>
      <c r="EC16" s="11">
        <v>1374122.44</v>
      </c>
      <c r="ED16" s="11">
        <v>5929082</v>
      </c>
      <c r="EE16" s="11">
        <v>26988474.469999999</v>
      </c>
      <c r="EF16" s="11">
        <v>66329510.75</v>
      </c>
      <c r="EG16" s="11">
        <v>5341432.18</v>
      </c>
      <c r="EH16" s="11">
        <v>3068593.88</v>
      </c>
      <c r="EI16" s="11">
        <v>4873565.91</v>
      </c>
      <c r="EJ16" s="11">
        <v>5008600</v>
      </c>
      <c r="EK16" s="11">
        <v>9580696.7699999996</v>
      </c>
      <c r="EL16" s="11">
        <v>2462088.91</v>
      </c>
      <c r="EM16" s="11">
        <v>3157727.05</v>
      </c>
      <c r="EN16" s="11">
        <v>139149149.34</v>
      </c>
      <c r="EO16" s="11">
        <v>3697600</v>
      </c>
      <c r="EP16" s="11">
        <v>8475693.4199999999</v>
      </c>
      <c r="EQ16" s="11">
        <v>1803210.71</v>
      </c>
      <c r="ER16" s="11">
        <v>2353964.91</v>
      </c>
      <c r="ES16" s="11">
        <v>2499200</v>
      </c>
      <c r="ET16" s="11">
        <v>16762941.68</v>
      </c>
      <c r="EU16" s="11">
        <v>2075295.19</v>
      </c>
      <c r="EV16" s="11">
        <v>4549354.26</v>
      </c>
      <c r="EW16" s="11">
        <v>45131442.539999999</v>
      </c>
      <c r="EX16" s="11">
        <v>887939.31</v>
      </c>
      <c r="EY16" s="11">
        <v>15618270.32</v>
      </c>
      <c r="EZ16" s="11">
        <v>4526309.4400000004</v>
      </c>
      <c r="FA16" s="11">
        <v>7063880.6500000004</v>
      </c>
      <c r="FB16" s="11">
        <v>7051228.6299999999</v>
      </c>
      <c r="FC16" s="11">
        <v>6384914.8900000006</v>
      </c>
      <c r="FD16" s="11">
        <v>4859417.28</v>
      </c>
      <c r="FE16" s="11">
        <v>4923580.96</v>
      </c>
      <c r="FF16" s="11">
        <v>1643217.63</v>
      </c>
      <c r="FG16" s="11">
        <v>7179502.8600000003</v>
      </c>
      <c r="FH16" s="11">
        <v>14224047.92</v>
      </c>
      <c r="FI16" s="11">
        <v>34499471.670000002</v>
      </c>
      <c r="FJ16" s="11">
        <v>2460005.31</v>
      </c>
      <c r="FK16" s="11">
        <v>1243003.5</v>
      </c>
      <c r="FL16" s="11">
        <v>4652076.18</v>
      </c>
      <c r="FM16" s="11">
        <v>5180566.42</v>
      </c>
      <c r="FN16" s="11">
        <v>9256371.5299999993</v>
      </c>
      <c r="FO16" s="11">
        <v>10255063.210000001</v>
      </c>
      <c r="FP16" s="11">
        <v>811019.59</v>
      </c>
      <c r="FQ16" s="11">
        <v>326492209.51999998</v>
      </c>
      <c r="FR16" s="11">
        <v>5312921.8900000006</v>
      </c>
      <c r="FS16" s="11">
        <v>10734449.710000001</v>
      </c>
      <c r="FT16" s="11">
        <v>5580380.0099999998</v>
      </c>
      <c r="FU16" s="11">
        <v>9766266.3399999999</v>
      </c>
      <c r="FV16" s="11">
        <v>1367071</v>
      </c>
      <c r="FW16" s="11">
        <v>22578088.879999999</v>
      </c>
      <c r="FX16" s="11">
        <v>5695757.8200000003</v>
      </c>
      <c r="FY16" s="11">
        <v>5341120.9800000004</v>
      </c>
      <c r="FZ16" s="11">
        <v>4247600</v>
      </c>
      <c r="GA16" s="11">
        <v>14278031.550000001</v>
      </c>
      <c r="GB16" s="11">
        <v>11595678.92</v>
      </c>
      <c r="GC16" s="11">
        <v>1639352.83</v>
      </c>
      <c r="GD16" s="11">
        <v>1886804</v>
      </c>
      <c r="GE16" s="11">
        <v>57582027.940000005</v>
      </c>
      <c r="GF16" s="11">
        <v>10095011.09</v>
      </c>
      <c r="GG16" s="11">
        <v>5972114.6299999999</v>
      </c>
      <c r="GH16" s="11">
        <v>15285332.91</v>
      </c>
      <c r="GI16" s="11">
        <v>4845085.3100000005</v>
      </c>
      <c r="GJ16" s="11">
        <v>1990422.94</v>
      </c>
      <c r="GK16" s="11">
        <v>3411540.37</v>
      </c>
      <c r="GL16" s="11">
        <v>5377409.9500000002</v>
      </c>
      <c r="GM16" s="11">
        <v>6703532.2599999998</v>
      </c>
      <c r="GN16" s="11">
        <v>4076678.25</v>
      </c>
      <c r="GO16" s="11">
        <v>2386084.66</v>
      </c>
      <c r="GP16" s="11">
        <v>2133631.12</v>
      </c>
      <c r="GQ16" s="11">
        <v>101281815.64</v>
      </c>
      <c r="GR16" s="11">
        <v>3071923.12</v>
      </c>
      <c r="GS16" s="11">
        <v>2247485.08</v>
      </c>
      <c r="GT16" s="11">
        <v>5927384.3200000003</v>
      </c>
      <c r="GU16" s="11">
        <v>780614.76</v>
      </c>
      <c r="GV16" s="11">
        <v>4539126.9000000004</v>
      </c>
      <c r="GW16" s="11">
        <v>2828136.58</v>
      </c>
      <c r="GX16" s="11">
        <v>1537507.13</v>
      </c>
      <c r="GY16" s="11">
        <v>8306844.1100000003</v>
      </c>
      <c r="GZ16" s="11">
        <v>1417000</v>
      </c>
      <c r="HA16" s="11">
        <v>8186251.0099999998</v>
      </c>
      <c r="HB16" s="11">
        <v>4910040.57</v>
      </c>
      <c r="HC16" s="11">
        <v>67808329.379999995</v>
      </c>
      <c r="HD16" s="11">
        <v>2416369.0699999998</v>
      </c>
      <c r="HE16" s="11">
        <v>9944714.1699999999</v>
      </c>
      <c r="HF16" s="11">
        <v>7405458.5300000003</v>
      </c>
      <c r="HG16" s="11">
        <v>3518700</v>
      </c>
      <c r="HH16" s="11">
        <v>3144634.24</v>
      </c>
      <c r="HI16" s="11">
        <v>837129.21</v>
      </c>
      <c r="HJ16" s="11">
        <v>500000</v>
      </c>
      <c r="HK16" s="11">
        <v>35446378.119999997</v>
      </c>
      <c r="HL16" s="11">
        <v>38013070.519999996</v>
      </c>
      <c r="HM16" s="11">
        <v>11887773.189999999</v>
      </c>
      <c r="HN16" s="11">
        <v>4484682.4400000004</v>
      </c>
      <c r="HO16" s="11">
        <v>2757683.21</v>
      </c>
      <c r="HP16" s="11">
        <v>2594639.2000000002</v>
      </c>
      <c r="HQ16" s="11">
        <v>2534104.2400000002</v>
      </c>
      <c r="HR16" s="11">
        <v>1199305.52</v>
      </c>
      <c r="HS16" s="11">
        <v>25960763.509999998</v>
      </c>
      <c r="HT16" s="11">
        <v>8190789.0999999996</v>
      </c>
      <c r="HU16" s="11">
        <v>3402114.57</v>
      </c>
      <c r="HV16" s="11">
        <v>1022664.37</v>
      </c>
      <c r="HW16" s="11">
        <v>3248000</v>
      </c>
      <c r="HX16" s="11">
        <v>739100</v>
      </c>
      <c r="HY16" s="11">
        <v>3341730</v>
      </c>
      <c r="HZ16" s="11">
        <v>1040663.68</v>
      </c>
      <c r="IA16" s="11">
        <v>1158344.9099999999</v>
      </c>
      <c r="IB16" s="11">
        <v>889932.91</v>
      </c>
      <c r="IC16" s="11">
        <v>670798.03</v>
      </c>
      <c r="ID16" s="11">
        <v>22204773.399999999</v>
      </c>
      <c r="IE16" s="11">
        <v>1513041.97</v>
      </c>
      <c r="IF16" s="11">
        <v>1354978.52</v>
      </c>
      <c r="IG16" s="11">
        <v>671241.49</v>
      </c>
      <c r="IH16" s="11">
        <v>635719.53</v>
      </c>
      <c r="II16" s="11">
        <v>16630000</v>
      </c>
      <c r="IJ16" s="11">
        <v>6233658.2800000003</v>
      </c>
      <c r="IK16" s="11">
        <v>3448187.51</v>
      </c>
      <c r="IL16" s="11">
        <v>4171924.25</v>
      </c>
      <c r="IM16" s="11">
        <v>95164888.680000007</v>
      </c>
      <c r="IN16" s="11">
        <v>1348317.26</v>
      </c>
      <c r="IO16" s="11">
        <v>1452365.34</v>
      </c>
      <c r="IP16" s="11">
        <v>1831232.5</v>
      </c>
      <c r="IQ16" s="11">
        <v>1331309.79</v>
      </c>
      <c r="IR16" s="11">
        <v>2723342.3</v>
      </c>
      <c r="IS16" s="11">
        <v>2236134.6</v>
      </c>
      <c r="IT16" s="11">
        <v>39673200.75</v>
      </c>
      <c r="IU16" s="11">
        <v>15368628.07</v>
      </c>
      <c r="IV16" s="11">
        <v>6200347.96</v>
      </c>
      <c r="IW16" s="11">
        <v>1858996.78</v>
      </c>
      <c r="IX16" s="11">
        <v>0</v>
      </c>
      <c r="IY16" s="11">
        <v>832811.83</v>
      </c>
      <c r="IZ16" s="11">
        <v>1174100</v>
      </c>
      <c r="JA16" s="11">
        <v>5400273.7699999996</v>
      </c>
      <c r="JB16" s="11">
        <v>2090797.34</v>
      </c>
      <c r="JC16" s="11">
        <v>2530608.48</v>
      </c>
      <c r="JD16" s="11">
        <v>2066221.11</v>
      </c>
      <c r="JE16" s="11">
        <v>991346</v>
      </c>
      <c r="JF16" s="11">
        <v>28795183.129999999</v>
      </c>
      <c r="JG16" s="11">
        <v>30363643.41</v>
      </c>
      <c r="JH16" s="11">
        <v>1843426.09</v>
      </c>
      <c r="JI16" s="11">
        <v>2324601.39</v>
      </c>
      <c r="JJ16" s="11">
        <v>1277265.75</v>
      </c>
      <c r="JK16" s="11">
        <v>1430567.16</v>
      </c>
      <c r="JL16" s="11">
        <v>17532374.539999999</v>
      </c>
      <c r="JM16" s="11">
        <v>1832493.25</v>
      </c>
      <c r="JN16" s="11">
        <v>1589667.42</v>
      </c>
      <c r="JO16" s="11">
        <v>3468764.67</v>
      </c>
      <c r="JP16" s="11">
        <v>1615395.88</v>
      </c>
      <c r="JQ16" s="11">
        <v>5980433.2699999996</v>
      </c>
      <c r="JR16" s="11">
        <v>5709949.7599999998</v>
      </c>
      <c r="JS16" s="11">
        <v>22733000</v>
      </c>
      <c r="JT16" s="11">
        <v>11504569.719999999</v>
      </c>
      <c r="JU16" s="11">
        <v>1888618.63</v>
      </c>
      <c r="JV16" s="11">
        <v>1092000</v>
      </c>
      <c r="JW16" s="11">
        <v>2250669.5499999998</v>
      </c>
      <c r="JX16" s="11">
        <v>2174072.61</v>
      </c>
      <c r="JY16" s="11">
        <v>6244430.8700000001</v>
      </c>
      <c r="JZ16" s="11">
        <v>3560543.6</v>
      </c>
      <c r="KA16" s="11">
        <v>355900</v>
      </c>
      <c r="KB16" s="11">
        <v>2887000</v>
      </c>
      <c r="KC16" s="11">
        <v>1301903.21</v>
      </c>
      <c r="KD16" s="11">
        <v>1255000</v>
      </c>
      <c r="KE16" s="11">
        <v>829707</v>
      </c>
      <c r="KF16" s="11">
        <v>298129.53999999998</v>
      </c>
      <c r="KG16" s="11">
        <v>1123444.1100000001</v>
      </c>
      <c r="KH16" s="11">
        <v>1347849.47</v>
      </c>
      <c r="KI16" s="11">
        <v>65481465.780000001</v>
      </c>
      <c r="KJ16" s="11">
        <v>5526576.4000000004</v>
      </c>
      <c r="KK16" s="11">
        <v>8487019.8000000007</v>
      </c>
      <c r="KL16" s="11">
        <v>2060442.89</v>
      </c>
      <c r="KM16" s="11">
        <v>3347256.79</v>
      </c>
      <c r="KN16" s="11">
        <v>2571419.8199999998</v>
      </c>
      <c r="KO16" s="11">
        <v>9518439.75</v>
      </c>
      <c r="KP16" s="11">
        <v>1036677.61</v>
      </c>
      <c r="KQ16" s="11">
        <v>5343615.34</v>
      </c>
      <c r="KR16" s="11">
        <v>13021013.190000001</v>
      </c>
      <c r="KS16" s="11">
        <v>2029626.56</v>
      </c>
      <c r="KT16" s="11">
        <v>13047968.26</v>
      </c>
      <c r="KU16" s="11">
        <v>6503278.3799999999</v>
      </c>
      <c r="KV16" s="11">
        <v>2050535.91</v>
      </c>
      <c r="KW16" s="11">
        <v>2908737.73</v>
      </c>
      <c r="KX16" s="11">
        <v>36340442.469999999</v>
      </c>
      <c r="KY16" s="11">
        <v>3134837.18</v>
      </c>
      <c r="KZ16" s="11">
        <v>9039100</v>
      </c>
      <c r="LA16" s="11">
        <v>2035269.85</v>
      </c>
      <c r="LB16" s="11">
        <v>511142.05</v>
      </c>
      <c r="LC16" s="11">
        <v>6211726.8300000001</v>
      </c>
      <c r="LD16" s="11">
        <v>2454310.13</v>
      </c>
      <c r="LE16" s="11">
        <v>5825</v>
      </c>
      <c r="LF16" s="11">
        <v>4529854.0999999996</v>
      </c>
      <c r="LG16" s="11">
        <v>1831980</v>
      </c>
      <c r="LH16" s="11">
        <v>345513307.41000003</v>
      </c>
      <c r="LI16" s="11">
        <v>9257877.5300000012</v>
      </c>
      <c r="LJ16" s="11">
        <v>40087200</v>
      </c>
      <c r="LK16" s="11">
        <v>59369579.609999999</v>
      </c>
      <c r="LL16" s="11">
        <v>1611784.73</v>
      </c>
      <c r="LM16" s="11">
        <v>2889053.25</v>
      </c>
      <c r="LN16" s="11">
        <v>0</v>
      </c>
      <c r="LO16" s="11">
        <v>3027375.29</v>
      </c>
      <c r="LP16" s="11">
        <v>841961.43</v>
      </c>
      <c r="LQ16" s="11">
        <v>45768323.409999996</v>
      </c>
      <c r="LR16" s="11">
        <v>2301546.5499999998</v>
      </c>
      <c r="LS16" s="11">
        <v>38204512.890000001</v>
      </c>
      <c r="LT16" s="11">
        <v>1490317.27</v>
      </c>
      <c r="LU16" s="11">
        <v>1600000.34</v>
      </c>
      <c r="LV16" s="11">
        <v>209000228.27000001</v>
      </c>
      <c r="LW16" s="11">
        <v>27703550.560000002</v>
      </c>
      <c r="LX16" s="11">
        <v>31129464.399999999</v>
      </c>
      <c r="LY16" s="11">
        <v>199866000</v>
      </c>
      <c r="LZ16" s="11">
        <v>3827382.73</v>
      </c>
      <c r="MA16" s="11">
        <v>10798870.960000001</v>
      </c>
      <c r="MB16" s="11">
        <v>4642176.88</v>
      </c>
      <c r="MC16" s="11">
        <v>1374972.11</v>
      </c>
      <c r="MD16" s="11">
        <v>11183589.060000001</v>
      </c>
      <c r="ME16" s="11">
        <v>11883953.859999999</v>
      </c>
      <c r="MF16" s="11">
        <v>5656471.7200000007</v>
      </c>
      <c r="MG16" s="11">
        <v>1593772.58</v>
      </c>
      <c r="MH16" s="11">
        <v>65782175.789999999</v>
      </c>
      <c r="MI16" s="11">
        <v>1274625.48</v>
      </c>
      <c r="MJ16" s="11">
        <v>0</v>
      </c>
      <c r="MK16" s="11">
        <v>4013000</v>
      </c>
      <c r="ML16" s="11">
        <v>2076400</v>
      </c>
      <c r="MM16" s="11">
        <v>2196506.61</v>
      </c>
      <c r="MN16" s="11">
        <v>1230923.93</v>
      </c>
      <c r="MO16" s="11">
        <v>2423790.12</v>
      </c>
      <c r="MP16" s="11">
        <v>5389993.8300000001</v>
      </c>
      <c r="MQ16" s="11">
        <v>1913876.88</v>
      </c>
      <c r="MR16" s="11">
        <v>7749669.2699999996</v>
      </c>
      <c r="MS16" s="11">
        <v>10823813.85</v>
      </c>
      <c r="MT16" s="11">
        <v>37919171.450000003</v>
      </c>
      <c r="MU16" s="11">
        <v>3795508.69</v>
      </c>
      <c r="MV16" s="11">
        <v>3892309.2</v>
      </c>
      <c r="MW16" s="11">
        <v>4802437.1100000003</v>
      </c>
      <c r="MX16" s="11">
        <v>4483886.5</v>
      </c>
      <c r="MY16" s="11">
        <v>2880422.44</v>
      </c>
      <c r="MZ16" s="11">
        <v>5162731.09</v>
      </c>
      <c r="NA16" s="11">
        <v>4456437.3</v>
      </c>
      <c r="NB16" s="11">
        <v>2944962.81</v>
      </c>
      <c r="NC16" s="11">
        <v>1980571.24</v>
      </c>
      <c r="ND16" s="11">
        <v>907493.36</v>
      </c>
      <c r="NE16" s="11">
        <v>74764049.129999995</v>
      </c>
      <c r="NF16" s="11">
        <v>17626179.760000002</v>
      </c>
      <c r="NG16" s="11">
        <v>4721449.3599999994</v>
      </c>
      <c r="NH16" s="11">
        <v>78167386.829999998</v>
      </c>
      <c r="NI16" s="11">
        <v>2119540.37</v>
      </c>
      <c r="NJ16" s="11">
        <v>6715235.3099999996</v>
      </c>
      <c r="NK16" s="11">
        <v>9906838.4100000001</v>
      </c>
      <c r="NL16" s="11">
        <v>13272000</v>
      </c>
      <c r="NM16" s="11">
        <v>553197.75</v>
      </c>
      <c r="NN16" s="11">
        <v>3906364.4</v>
      </c>
      <c r="NO16" s="11">
        <v>4729427.0600000005</v>
      </c>
      <c r="NP16" s="11">
        <v>2572790.2400000002</v>
      </c>
      <c r="NQ16" s="11">
        <v>19035745.969999999</v>
      </c>
      <c r="NR16" s="11">
        <v>1676625.89</v>
      </c>
      <c r="NS16" s="11">
        <v>2536854.2000000002</v>
      </c>
      <c r="NT16" s="11">
        <v>1611000</v>
      </c>
      <c r="NU16" s="11">
        <v>1702242.51</v>
      </c>
      <c r="NV16" s="11">
        <v>1814000</v>
      </c>
      <c r="NW16" s="11">
        <v>952463.3</v>
      </c>
      <c r="NX16" s="11">
        <v>39519650.920000002</v>
      </c>
      <c r="NY16" s="11">
        <v>9682764.7400000002</v>
      </c>
      <c r="NZ16" s="11">
        <v>1565862.72</v>
      </c>
      <c r="OA16" s="11">
        <v>821284.68</v>
      </c>
      <c r="OB16" s="11">
        <v>1744510.12</v>
      </c>
      <c r="OC16" s="11">
        <v>1946224.09</v>
      </c>
      <c r="OD16" s="11">
        <v>679500</v>
      </c>
      <c r="OE16" s="11">
        <v>17761432.170000002</v>
      </c>
      <c r="OF16" s="11">
        <v>37451928.590000004</v>
      </c>
      <c r="OG16" s="11">
        <v>4347711.6100000003</v>
      </c>
      <c r="OH16" s="11">
        <v>75434748.189999998</v>
      </c>
      <c r="OI16" s="11">
        <v>7621712.9100000001</v>
      </c>
      <c r="OJ16" s="11">
        <v>3733622.31</v>
      </c>
      <c r="OK16" s="11">
        <v>3649416.87</v>
      </c>
      <c r="OL16" s="11">
        <v>2308023.1</v>
      </c>
      <c r="OM16" s="11">
        <v>2046006.43</v>
      </c>
      <c r="ON16" s="11">
        <v>49321262.489999995</v>
      </c>
      <c r="OO16" s="11">
        <v>5485009.1100000003</v>
      </c>
      <c r="OP16" s="11">
        <v>27626822</v>
      </c>
      <c r="OQ16" s="11">
        <v>3856142.66</v>
      </c>
      <c r="OR16" s="11">
        <v>2841590.35</v>
      </c>
      <c r="OS16" s="11">
        <v>3410947.83</v>
      </c>
      <c r="OT16" s="11">
        <v>108597712.28</v>
      </c>
      <c r="OU16" s="11">
        <v>1775639.14</v>
      </c>
      <c r="OV16" s="11">
        <v>2641138.37</v>
      </c>
      <c r="OW16" s="11">
        <v>3175233.24</v>
      </c>
      <c r="OX16" s="11">
        <v>3186435.25</v>
      </c>
      <c r="OY16" s="11">
        <v>39928534.310000002</v>
      </c>
      <c r="OZ16" s="11">
        <v>1672740.96</v>
      </c>
      <c r="PA16" s="11">
        <v>4257781.55</v>
      </c>
      <c r="PB16" s="11">
        <v>2447984.98</v>
      </c>
      <c r="PC16" s="11">
        <v>75814215.109999999</v>
      </c>
      <c r="PD16" s="11">
        <v>1172573.97</v>
      </c>
      <c r="PE16" s="11">
        <v>7056399.8899999997</v>
      </c>
      <c r="PF16" s="11">
        <v>497701.52</v>
      </c>
      <c r="PG16" s="11">
        <v>1703958.96</v>
      </c>
      <c r="PH16" s="11">
        <v>6919784.2000000002</v>
      </c>
      <c r="PI16" s="11">
        <v>1196400</v>
      </c>
      <c r="PJ16" s="11">
        <v>1210844.2</v>
      </c>
      <c r="PK16" s="11">
        <v>3029300</v>
      </c>
      <c r="PL16" s="11">
        <v>1895302.44</v>
      </c>
      <c r="PM16" s="11">
        <v>2384400</v>
      </c>
      <c r="PN16" s="11">
        <v>5271782.0999999996</v>
      </c>
      <c r="PO16" s="11">
        <v>1128706.52</v>
      </c>
      <c r="PP16" s="11">
        <v>43196759.450000003</v>
      </c>
      <c r="PQ16" s="11">
        <v>10728586.029999999</v>
      </c>
      <c r="PR16" s="11">
        <v>1680299.86</v>
      </c>
      <c r="PS16" s="11">
        <v>390609</v>
      </c>
      <c r="PT16" s="11">
        <v>1778349.51</v>
      </c>
      <c r="PU16" s="11">
        <v>123028663.97</v>
      </c>
      <c r="PV16" s="11">
        <v>3222604.84</v>
      </c>
      <c r="PW16" s="11">
        <v>2269441.4700000002</v>
      </c>
      <c r="PX16" s="11">
        <v>5393645.7800000003</v>
      </c>
      <c r="PY16" s="11">
        <v>33523510.32</v>
      </c>
      <c r="PZ16" s="11">
        <v>4384114.21</v>
      </c>
      <c r="QA16" s="11">
        <v>6845871.0499999998</v>
      </c>
      <c r="QB16" s="11">
        <v>6490301.0700000003</v>
      </c>
      <c r="QC16" s="11">
        <v>7048920.5599999996</v>
      </c>
      <c r="QD16" s="11">
        <v>2477654.5499999998</v>
      </c>
      <c r="QE16" s="11">
        <v>5913597.8499999996</v>
      </c>
      <c r="QF16" s="11">
        <v>2234981.98</v>
      </c>
      <c r="QG16" s="11">
        <v>2728286.11</v>
      </c>
      <c r="QH16" s="11">
        <v>4272497.03</v>
      </c>
      <c r="QI16" s="11">
        <v>1197182.24</v>
      </c>
      <c r="QJ16" s="11">
        <v>4317979.7699999996</v>
      </c>
      <c r="QK16" s="11">
        <v>3376199.03</v>
      </c>
      <c r="QL16" s="11">
        <v>2625811.4900000002</v>
      </c>
      <c r="QM16" s="11">
        <v>2028102.95</v>
      </c>
      <c r="QN16" s="11">
        <v>6971188.3499999996</v>
      </c>
      <c r="QO16" s="11">
        <v>26576834.979999997</v>
      </c>
      <c r="QP16" s="11">
        <v>3355399.26</v>
      </c>
      <c r="QQ16" s="11">
        <v>1643023.77</v>
      </c>
      <c r="QR16" s="11">
        <v>948784.95</v>
      </c>
      <c r="QS16" s="11">
        <v>1712698.49</v>
      </c>
      <c r="QT16" s="11">
        <v>2369569.02</v>
      </c>
      <c r="QU16" s="11">
        <v>85598949.090000004</v>
      </c>
      <c r="QV16" s="11">
        <v>2531864.27</v>
      </c>
      <c r="QW16" s="11">
        <v>4955770.47</v>
      </c>
      <c r="QX16" s="11">
        <v>3149187.27</v>
      </c>
      <c r="QY16" s="11">
        <v>3923447.71</v>
      </c>
      <c r="QZ16" s="11">
        <v>21662443</v>
      </c>
      <c r="RA16" s="11">
        <v>4039750.51</v>
      </c>
      <c r="RB16" s="11">
        <v>5020300</v>
      </c>
      <c r="RC16" s="11">
        <v>6954752.4199999999</v>
      </c>
      <c r="RD16" s="11">
        <v>1154092.3999999999</v>
      </c>
      <c r="RE16" s="11">
        <v>1123981.1299999999</v>
      </c>
      <c r="RF16" s="11">
        <v>2661783.0299999998</v>
      </c>
      <c r="RG16" s="11">
        <v>1902905.64</v>
      </c>
      <c r="RH16" s="11">
        <v>59624158.060000002</v>
      </c>
      <c r="RI16" s="11">
        <v>12356739.109999999</v>
      </c>
      <c r="RJ16" s="11">
        <v>2017378.53</v>
      </c>
      <c r="RK16" s="11">
        <v>3852240.98</v>
      </c>
      <c r="RL16" s="11">
        <v>3332161.81</v>
      </c>
      <c r="RM16" s="11">
        <v>1154000</v>
      </c>
      <c r="RN16" s="11">
        <v>8669401.5899999999</v>
      </c>
      <c r="RO16" s="11">
        <v>9037672.2599999998</v>
      </c>
      <c r="RP16" s="11">
        <v>4805272.9400000004</v>
      </c>
      <c r="RQ16" s="11">
        <v>10904258.59</v>
      </c>
      <c r="RR16" s="11">
        <v>20723599.34</v>
      </c>
      <c r="RS16" s="11">
        <v>798721.15</v>
      </c>
      <c r="RT16" s="11">
        <v>0</v>
      </c>
      <c r="RU16" s="11">
        <v>2576238.13</v>
      </c>
      <c r="RV16" s="11">
        <v>2078045.22</v>
      </c>
      <c r="RW16" s="11">
        <v>2282356.6</v>
      </c>
      <c r="RX16" s="11">
        <v>4151973.74</v>
      </c>
      <c r="RY16" s="11">
        <v>2531500</v>
      </c>
      <c r="RZ16" s="11">
        <v>1063288.03</v>
      </c>
      <c r="SA16" s="11">
        <v>3136331.32</v>
      </c>
      <c r="SB16" s="11">
        <v>59407582.489999995</v>
      </c>
      <c r="SC16" s="11">
        <v>2781824.65</v>
      </c>
      <c r="SD16" s="11">
        <v>2097821.25</v>
      </c>
      <c r="SE16" s="11">
        <v>1677267.69</v>
      </c>
      <c r="SF16" s="11">
        <v>3703700</v>
      </c>
      <c r="SG16" s="11">
        <v>3169955.54</v>
      </c>
      <c r="SH16" s="11">
        <v>5983404.3799999999</v>
      </c>
      <c r="SI16" s="11">
        <v>4826953.55</v>
      </c>
      <c r="SJ16" s="11">
        <v>1457963.17</v>
      </c>
      <c r="SK16" s="11">
        <v>1216249</v>
      </c>
      <c r="SL16" s="11">
        <v>17557103.329999998</v>
      </c>
      <c r="SM16" s="11">
        <v>4498633.76</v>
      </c>
      <c r="SN16" s="11">
        <v>9424695.4299999997</v>
      </c>
      <c r="SO16" s="11">
        <v>1785691.92</v>
      </c>
      <c r="SP16" s="11">
        <v>4596085.33</v>
      </c>
      <c r="SQ16" s="11">
        <v>5096589.0599999996</v>
      </c>
      <c r="SR16" s="11">
        <v>3222626.3600000003</v>
      </c>
      <c r="SS16" s="11">
        <v>2250000</v>
      </c>
      <c r="ST16" s="11">
        <v>1185066.23</v>
      </c>
      <c r="SU16" s="11">
        <v>1460454.24</v>
      </c>
      <c r="SV16" s="11">
        <v>27104456.02</v>
      </c>
      <c r="SW16" s="11">
        <v>2046281.55</v>
      </c>
      <c r="SX16" s="11">
        <v>2507847.13</v>
      </c>
      <c r="SY16" s="11">
        <v>2409574.5099999998</v>
      </c>
      <c r="SZ16" s="11">
        <v>1560345.99</v>
      </c>
      <c r="TA16" s="11">
        <v>1894093.7</v>
      </c>
      <c r="TB16" s="11">
        <v>3568539.16</v>
      </c>
      <c r="TC16" s="11">
        <v>7375867.4299999997</v>
      </c>
      <c r="TD16" s="11">
        <v>1994025.94</v>
      </c>
      <c r="TE16" s="11">
        <v>1652070.25</v>
      </c>
      <c r="TF16" s="11">
        <v>4285174.88</v>
      </c>
      <c r="TG16" s="11">
        <v>2846677.7</v>
      </c>
      <c r="TH16" s="11">
        <v>2905573.64</v>
      </c>
      <c r="TI16" s="11">
        <v>1643016.47</v>
      </c>
      <c r="TJ16" s="11">
        <v>81568441.739999995</v>
      </c>
      <c r="TK16" s="11">
        <v>3005681.64</v>
      </c>
      <c r="TL16" s="11">
        <v>2291393.4700000002</v>
      </c>
      <c r="TM16" s="11">
        <v>6159219.6100000003</v>
      </c>
      <c r="TN16" s="11">
        <v>7278914.5099999998</v>
      </c>
      <c r="TO16" s="11">
        <v>6457418.1500000004</v>
      </c>
      <c r="TP16" s="11">
        <v>3669203.24</v>
      </c>
      <c r="TQ16" s="11">
        <v>7667824.1900000004</v>
      </c>
      <c r="TR16" s="11">
        <v>3848399.6</v>
      </c>
      <c r="TS16" s="11">
        <v>3067720.94</v>
      </c>
      <c r="TT16" s="11">
        <v>28895962.93</v>
      </c>
      <c r="TU16" s="11">
        <v>1872997.76</v>
      </c>
      <c r="TV16" s="11">
        <v>1763630.96</v>
      </c>
      <c r="TW16" s="11">
        <v>4581992.83</v>
      </c>
      <c r="TX16" s="11">
        <v>4458981.4800000004</v>
      </c>
      <c r="TY16" s="11">
        <v>4084782.03</v>
      </c>
      <c r="TZ16" s="11">
        <v>14151235.99</v>
      </c>
      <c r="UA16" s="11">
        <v>2624994.64</v>
      </c>
      <c r="UB16" s="11">
        <v>34516846.600000001</v>
      </c>
      <c r="UC16" s="11">
        <v>9228478.1500000004</v>
      </c>
      <c r="UD16" s="11">
        <v>3707987.19</v>
      </c>
      <c r="UE16" s="11">
        <v>902992.19</v>
      </c>
      <c r="UF16" s="11">
        <v>96039123.11999999</v>
      </c>
      <c r="UG16" s="11">
        <v>854000</v>
      </c>
      <c r="UH16" s="11">
        <v>2515052.06</v>
      </c>
      <c r="UI16" s="11">
        <v>1884575.28</v>
      </c>
      <c r="UJ16" s="11">
        <v>2956638.2</v>
      </c>
      <c r="UK16" s="11">
        <v>20257503.780000001</v>
      </c>
      <c r="UL16" s="11">
        <v>3403397</v>
      </c>
      <c r="UM16" s="11">
        <v>2268287.96</v>
      </c>
      <c r="UN16" s="11">
        <v>4768650</v>
      </c>
      <c r="UO16" s="11">
        <v>4038000</v>
      </c>
      <c r="UP16" s="11">
        <v>2409709.63</v>
      </c>
      <c r="UQ16" s="11">
        <v>73648856.859999999</v>
      </c>
      <c r="UR16" s="11">
        <v>6068196.7400000002</v>
      </c>
      <c r="US16" s="11">
        <v>2034165.35</v>
      </c>
      <c r="UT16" s="11">
        <v>11556563.59</v>
      </c>
      <c r="UU16" s="11">
        <v>3097801.93</v>
      </c>
      <c r="UV16" s="11">
        <v>2147099.85</v>
      </c>
      <c r="UW16" s="11">
        <v>16076711.26</v>
      </c>
      <c r="UX16" s="11">
        <v>4412266.46</v>
      </c>
      <c r="UY16" s="11">
        <v>1302207.3400000001</v>
      </c>
      <c r="UZ16" s="11">
        <v>5118635.45</v>
      </c>
      <c r="VA16" s="11">
        <v>2981365.68</v>
      </c>
      <c r="VB16" s="11">
        <v>18635975.800000001</v>
      </c>
      <c r="VC16" s="11">
        <v>2239744.12</v>
      </c>
      <c r="VD16" s="11">
        <v>16035090</v>
      </c>
      <c r="VE16" s="11">
        <v>902250</v>
      </c>
      <c r="VF16" s="11">
        <v>967897.67</v>
      </c>
      <c r="VG16" s="11">
        <v>2179305.86</v>
      </c>
      <c r="VH16" s="11">
        <v>1695275.27</v>
      </c>
      <c r="VI16" s="11">
        <v>31654512.810000002</v>
      </c>
      <c r="VJ16" s="11">
        <v>2780781.99</v>
      </c>
      <c r="VK16" s="11">
        <v>1307917.8700000001</v>
      </c>
      <c r="VL16" s="11">
        <v>1658093.49</v>
      </c>
      <c r="VM16" s="11">
        <v>61975696.549999997</v>
      </c>
      <c r="VN16" s="11">
        <v>3545653.5</v>
      </c>
      <c r="VO16" s="11">
        <v>2193500</v>
      </c>
      <c r="VP16" s="11">
        <v>8833166.0999999996</v>
      </c>
      <c r="VQ16" s="11">
        <v>5588759.46</v>
      </c>
      <c r="VR16" s="11">
        <v>6080901.0599999996</v>
      </c>
      <c r="VS16" s="11">
        <v>5686679.0299999993</v>
      </c>
      <c r="VT16" s="11">
        <v>3355097.43</v>
      </c>
      <c r="VU16" s="11">
        <v>3520822.81</v>
      </c>
      <c r="VV16" s="11">
        <v>35318606.009999998</v>
      </c>
      <c r="VW16" s="11">
        <v>2311522.7799999998</v>
      </c>
      <c r="VX16" s="11">
        <v>6406983.9800000004</v>
      </c>
      <c r="VY16" s="11">
        <v>3803028.9</v>
      </c>
      <c r="VZ16" s="11">
        <v>1964355.37</v>
      </c>
      <c r="WA16" s="11">
        <v>3104714.4</v>
      </c>
      <c r="WB16" s="11">
        <v>273453312.27999997</v>
      </c>
      <c r="WC16" s="11">
        <v>10045539.23</v>
      </c>
      <c r="WD16" s="11">
        <v>2911833.23</v>
      </c>
      <c r="WE16" s="11">
        <v>4427204.2300000004</v>
      </c>
      <c r="WF16" s="11">
        <v>3605475.57</v>
      </c>
      <c r="WG16" s="11">
        <v>4826653.3499999996</v>
      </c>
      <c r="WH16" s="11">
        <v>15345821.210000001</v>
      </c>
      <c r="WI16" s="11">
        <v>11256326.65</v>
      </c>
      <c r="WJ16" s="11">
        <v>3607331.92</v>
      </c>
      <c r="WK16" s="11">
        <v>6827248.1099999994</v>
      </c>
      <c r="WL16" s="11">
        <v>2267014.1100000003</v>
      </c>
      <c r="WM16" s="11">
        <v>16993794.509999998</v>
      </c>
      <c r="WN16" s="11">
        <v>9976670.2599999998</v>
      </c>
      <c r="WO16" s="11">
        <v>6762201.8399999999</v>
      </c>
      <c r="WP16" s="11">
        <v>14575796.050000001</v>
      </c>
      <c r="WQ16" s="11">
        <v>3638740.51</v>
      </c>
      <c r="WR16" s="11">
        <v>5128792.78</v>
      </c>
      <c r="WS16" s="11">
        <v>11340126.15</v>
      </c>
      <c r="WT16" s="11">
        <v>3035428.16</v>
      </c>
      <c r="WU16" s="11">
        <v>11577307.75</v>
      </c>
      <c r="WV16" s="11">
        <v>39546271.789999999</v>
      </c>
      <c r="WW16" s="11">
        <v>2273467.19</v>
      </c>
      <c r="WX16" s="11">
        <v>1551923.79</v>
      </c>
      <c r="WY16" s="11">
        <v>2074415.31</v>
      </c>
      <c r="WZ16" s="11">
        <v>2158651.61</v>
      </c>
      <c r="XA16" s="11">
        <v>0</v>
      </c>
      <c r="XB16" s="11">
        <v>2517836.5299999998</v>
      </c>
      <c r="XC16" s="11">
        <v>5488394.2199999997</v>
      </c>
      <c r="XD16" s="11">
        <v>23089556.149999999</v>
      </c>
      <c r="XE16" s="11">
        <v>1968453.32</v>
      </c>
      <c r="XF16" s="11">
        <v>3160682.57</v>
      </c>
      <c r="XG16" s="11">
        <v>1540067.51</v>
      </c>
      <c r="XH16" s="11">
        <v>5469427.6299999999</v>
      </c>
      <c r="XI16" s="11">
        <v>122961333.66</v>
      </c>
      <c r="XJ16" s="11">
        <v>7468605.2599999998</v>
      </c>
      <c r="XK16" s="11">
        <v>5898108.3799999999</v>
      </c>
      <c r="XL16" s="11">
        <v>22175730.649999999</v>
      </c>
      <c r="XM16" s="11">
        <v>3540414.09</v>
      </c>
      <c r="XN16" s="11">
        <v>8966450.5800000001</v>
      </c>
      <c r="XO16" s="11">
        <v>10079978.789999999</v>
      </c>
      <c r="XP16" s="11">
        <v>4706300</v>
      </c>
      <c r="XQ16" s="11">
        <v>3312564.16</v>
      </c>
      <c r="XR16" s="11">
        <v>8004842.6699999999</v>
      </c>
      <c r="XS16" s="11">
        <v>10403808.4</v>
      </c>
      <c r="XT16" s="11">
        <v>1996800</v>
      </c>
      <c r="XU16" s="11">
        <v>1627528.08</v>
      </c>
      <c r="XV16" s="11">
        <v>2858999.1</v>
      </c>
      <c r="XW16" s="11">
        <v>2048101.18</v>
      </c>
      <c r="XX16" s="11">
        <v>1872414.76</v>
      </c>
      <c r="XY16" s="11">
        <v>1947847.3</v>
      </c>
      <c r="XZ16" s="11">
        <v>2924610.13</v>
      </c>
      <c r="YA16" s="11">
        <v>1412188.03</v>
      </c>
      <c r="YB16" s="11">
        <v>2067195.31</v>
      </c>
      <c r="YC16" s="11">
        <v>1798848.34</v>
      </c>
      <c r="YD16" s="11">
        <v>1623632.98</v>
      </c>
      <c r="YE16" s="11">
        <v>1464000.17</v>
      </c>
      <c r="YF16" s="11">
        <v>141886850.50999999</v>
      </c>
      <c r="YG16" s="11">
        <v>3893209.42</v>
      </c>
      <c r="YH16" s="11">
        <v>7856346.9699999997</v>
      </c>
      <c r="YI16" s="11">
        <v>2616743.08</v>
      </c>
      <c r="YJ16" s="11">
        <v>12501433.33</v>
      </c>
      <c r="YK16" s="11">
        <v>3665500</v>
      </c>
      <c r="YL16" s="11">
        <v>8608825.8900000006</v>
      </c>
      <c r="YM16" s="11">
        <v>3024291.22</v>
      </c>
      <c r="YN16" s="11">
        <v>8644352.4499999993</v>
      </c>
      <c r="YO16" s="11">
        <v>8195735.0199999996</v>
      </c>
      <c r="YP16" s="11">
        <v>4697034.1100000003</v>
      </c>
      <c r="YQ16" s="11">
        <v>2367443.75</v>
      </c>
      <c r="YR16" s="11">
        <v>3436768.03</v>
      </c>
      <c r="YS16" s="11">
        <v>4409008.24</v>
      </c>
      <c r="YT16" s="11">
        <v>2773903.74</v>
      </c>
      <c r="YU16" s="11">
        <v>3663484.21</v>
      </c>
      <c r="YV16" s="11">
        <v>1746467.13</v>
      </c>
      <c r="YW16" s="11">
        <v>199703899.03999999</v>
      </c>
      <c r="YX16" s="11">
        <v>4124700</v>
      </c>
      <c r="YY16" s="11">
        <v>1989000</v>
      </c>
      <c r="YZ16" s="11">
        <v>4046539</v>
      </c>
      <c r="ZA16" s="11">
        <v>2810797.87</v>
      </c>
      <c r="ZB16" s="11">
        <v>587198.43999999994</v>
      </c>
      <c r="ZC16" s="11">
        <v>1424700</v>
      </c>
      <c r="ZD16" s="11">
        <v>37154500</v>
      </c>
      <c r="ZE16" s="11">
        <v>4226016.4000000004</v>
      </c>
      <c r="ZF16" s="11">
        <v>2477500</v>
      </c>
      <c r="ZG16" s="11">
        <v>2128400</v>
      </c>
      <c r="ZH16" s="11">
        <v>2785020.02</v>
      </c>
      <c r="ZI16" s="11">
        <v>4367500</v>
      </c>
      <c r="ZJ16" s="11">
        <v>2028445.67</v>
      </c>
      <c r="ZK16" s="11">
        <v>1341024</v>
      </c>
      <c r="ZL16" s="11">
        <v>7173675.5</v>
      </c>
      <c r="ZM16" s="11">
        <v>28028725.339999996</v>
      </c>
      <c r="ZN16" s="11">
        <v>1961612.73</v>
      </c>
      <c r="ZO16" s="11">
        <v>2820000</v>
      </c>
      <c r="ZP16" s="11">
        <v>15422158.83</v>
      </c>
      <c r="ZQ16" s="11">
        <v>4990560</v>
      </c>
      <c r="ZR16" s="11">
        <v>3280979.28</v>
      </c>
      <c r="ZS16" s="11">
        <v>4325000.26</v>
      </c>
      <c r="ZT16" s="11">
        <v>5348494.57</v>
      </c>
      <c r="ZU16" s="11">
        <v>2308926.86</v>
      </c>
      <c r="ZV16" s="11">
        <v>7364914.0999999996</v>
      </c>
      <c r="ZW16" s="11">
        <v>814392.71</v>
      </c>
      <c r="ZX16" s="11">
        <v>2294707.81</v>
      </c>
      <c r="ZY16" s="11">
        <v>6494818.9900000002</v>
      </c>
      <c r="ZZ16" s="11">
        <v>3924682.51</v>
      </c>
      <c r="AAA16" s="11">
        <v>3780290.78</v>
      </c>
      <c r="AAB16" s="11">
        <v>3710771.62</v>
      </c>
      <c r="AAC16" s="11">
        <v>2322752.12</v>
      </c>
      <c r="AAD16" s="11">
        <v>2133450.08</v>
      </c>
      <c r="AAE16" s="11">
        <v>1834364.43</v>
      </c>
      <c r="AAF16" s="11">
        <v>15465393.879999999</v>
      </c>
      <c r="AAG16" s="11">
        <v>1453900</v>
      </c>
      <c r="AAH16" s="11">
        <v>1688214.24</v>
      </c>
      <c r="AAI16" s="11">
        <v>54802355.18</v>
      </c>
      <c r="AAJ16" s="11">
        <v>2020308.88</v>
      </c>
      <c r="AAK16" s="11">
        <v>1838193.5</v>
      </c>
      <c r="AAL16" s="11">
        <v>985572.15</v>
      </c>
      <c r="AAM16" s="11">
        <v>1554348.81</v>
      </c>
      <c r="AAN16" s="11">
        <v>4978282</v>
      </c>
      <c r="AAO16" s="11">
        <v>5043561.91</v>
      </c>
      <c r="AAP16" s="11">
        <v>44416895.649999999</v>
      </c>
      <c r="AAQ16" s="11">
        <v>2952165.01</v>
      </c>
      <c r="AAR16" s="11">
        <v>3474334.25</v>
      </c>
      <c r="AAS16" s="11">
        <v>6064884.29</v>
      </c>
      <c r="AAT16" s="11">
        <v>6654644.2000000002</v>
      </c>
      <c r="AAU16" s="11">
        <v>1738643.45</v>
      </c>
      <c r="AAV16" s="11">
        <v>2374365.9900000002</v>
      </c>
      <c r="AAW16" s="11">
        <v>4186348.88</v>
      </c>
      <c r="AAX16" s="11">
        <v>12085698.35</v>
      </c>
      <c r="AAY16" s="11">
        <v>1694394</v>
      </c>
      <c r="AAZ16" s="11">
        <v>5041600</v>
      </c>
      <c r="ABA16" s="11">
        <v>13240098.24</v>
      </c>
      <c r="ABB16" s="11">
        <v>5940738.3700000001</v>
      </c>
      <c r="ABC16" s="11">
        <v>1709555.65</v>
      </c>
      <c r="ABD16" s="11">
        <v>4505000</v>
      </c>
      <c r="ABE16" s="11">
        <v>5031204.96</v>
      </c>
      <c r="ABF16" s="11">
        <v>2806182.02</v>
      </c>
      <c r="ABG16" s="11">
        <v>3767339.13</v>
      </c>
      <c r="ABH16" s="11">
        <v>4531273.6199999992</v>
      </c>
      <c r="ABI16" s="11">
        <v>14658623.529999999</v>
      </c>
      <c r="ABJ16" s="11">
        <v>43707100.890000001</v>
      </c>
      <c r="ABK16" s="11">
        <v>4480235.8</v>
      </c>
      <c r="ABL16" s="11">
        <v>4247947.26</v>
      </c>
      <c r="ABM16" s="11">
        <v>1240578.31</v>
      </c>
      <c r="ABN16" s="11">
        <v>808341.49</v>
      </c>
      <c r="ABO16" s="11">
        <v>1522239.37</v>
      </c>
      <c r="ABP16" s="11">
        <v>41961632.719999999</v>
      </c>
      <c r="ABQ16" s="11">
        <v>3523239.31</v>
      </c>
      <c r="ABR16" s="11">
        <v>0</v>
      </c>
      <c r="ABS16" s="11">
        <v>5544819.5700000003</v>
      </c>
      <c r="ABT16" s="11">
        <v>6617199.9500000002</v>
      </c>
      <c r="ABU16" s="11">
        <v>2205981.1</v>
      </c>
      <c r="ABV16" s="11">
        <v>1564806.3</v>
      </c>
      <c r="ABW16" s="11">
        <v>4741261.9700000007</v>
      </c>
      <c r="ABX16" s="11">
        <v>189943.6</v>
      </c>
      <c r="ABY16" s="11">
        <v>34696114.740000002</v>
      </c>
      <c r="ABZ16" s="11">
        <v>1286302.71</v>
      </c>
      <c r="ACA16" s="11">
        <v>5123392.1500000004</v>
      </c>
      <c r="ACB16" s="11">
        <v>1619659.9</v>
      </c>
      <c r="ACC16" s="11">
        <v>1205542.72</v>
      </c>
      <c r="ACD16" s="11">
        <v>3197506.87</v>
      </c>
      <c r="ACE16" s="11">
        <v>1553607.88</v>
      </c>
      <c r="ACF16" s="11">
        <v>1294386.42</v>
      </c>
      <c r="ACG16" s="11">
        <v>1492605.1</v>
      </c>
      <c r="ACH16" s="11">
        <v>3113612.28</v>
      </c>
      <c r="ACI16" s="11">
        <v>1221144.68</v>
      </c>
      <c r="ACJ16" s="11">
        <v>182239911.18000001</v>
      </c>
      <c r="ACK16" s="11">
        <v>2234803.8199999998</v>
      </c>
      <c r="ACL16" s="11">
        <v>1174668.3700000001</v>
      </c>
      <c r="ACM16" s="11">
        <v>3369733.14</v>
      </c>
      <c r="ACN16" s="11">
        <v>6453602.8399999999</v>
      </c>
      <c r="ACO16" s="11">
        <v>6138521.29</v>
      </c>
      <c r="ACP16" s="11">
        <v>4481879.18</v>
      </c>
      <c r="ACQ16" s="11">
        <v>9913106.9399999995</v>
      </c>
      <c r="ACR16" s="11">
        <v>17038483</v>
      </c>
      <c r="ACS16" s="11">
        <v>2092367.26</v>
      </c>
      <c r="ACT16" s="11">
        <v>3542979.38</v>
      </c>
      <c r="ACU16" s="11">
        <v>4298345.4000000004</v>
      </c>
      <c r="ACV16" s="11">
        <v>6021876.46</v>
      </c>
      <c r="ACW16" s="11">
        <v>50459879.280000001</v>
      </c>
      <c r="ACX16" s="11">
        <v>6919603.2699999996</v>
      </c>
      <c r="ACY16" s="11">
        <v>3570394.02</v>
      </c>
      <c r="ACZ16" s="11">
        <v>2957808.37</v>
      </c>
      <c r="ADA16" s="11">
        <v>5056623.68</v>
      </c>
      <c r="ADB16" s="11">
        <v>3422804.1100000003</v>
      </c>
      <c r="ADC16" s="11">
        <v>5647360.7300000004</v>
      </c>
      <c r="ADD16" s="11">
        <v>3267531.09</v>
      </c>
      <c r="ADE16" s="11">
        <v>1704555.18</v>
      </c>
      <c r="ADF16" s="11">
        <v>1840600.32</v>
      </c>
      <c r="ADG16" s="11">
        <v>4497669.79</v>
      </c>
      <c r="ADH16" s="11">
        <v>34180981.159999996</v>
      </c>
      <c r="ADI16" s="11">
        <v>3834100</v>
      </c>
      <c r="ADJ16" s="11">
        <v>5528950.4900000002</v>
      </c>
      <c r="ADK16" s="11">
        <v>2678771.02</v>
      </c>
      <c r="ADL16" s="11">
        <v>697500</v>
      </c>
      <c r="ADM16" s="11">
        <v>1478037.9</v>
      </c>
      <c r="ADN16" s="11">
        <v>2298496.19</v>
      </c>
      <c r="ADO16" s="11">
        <v>2474800.02</v>
      </c>
      <c r="ADP16" s="11">
        <v>93484543.090000004</v>
      </c>
      <c r="ADQ16" s="11">
        <v>3924082.46</v>
      </c>
      <c r="ADR16" s="11">
        <v>13064697.34</v>
      </c>
      <c r="ADS16" s="11">
        <v>4669854.2300000004</v>
      </c>
      <c r="ADT16" s="11">
        <v>34273974.229999997</v>
      </c>
      <c r="ADU16" s="11">
        <v>1855365.16</v>
      </c>
      <c r="ADV16" s="11">
        <v>1573532.91</v>
      </c>
      <c r="ADW16" s="11">
        <v>3246905.1</v>
      </c>
      <c r="ADX16" s="11">
        <v>1486827.86</v>
      </c>
      <c r="ADY16" s="11">
        <v>76341.17</v>
      </c>
      <c r="ADZ16" s="11">
        <v>100982986.72</v>
      </c>
      <c r="AEA16" s="11">
        <v>4988658.71</v>
      </c>
      <c r="AEB16" s="11">
        <v>16639813.5</v>
      </c>
      <c r="AEC16" s="11">
        <v>1020019.98</v>
      </c>
      <c r="AED16" s="11">
        <v>1625918.05</v>
      </c>
      <c r="AEE16" s="11">
        <v>2597454.69</v>
      </c>
      <c r="AEF16" s="11">
        <v>5107011.88</v>
      </c>
      <c r="AEG16" s="11">
        <v>3956333.55</v>
      </c>
      <c r="AEH16" s="11">
        <v>884897.69</v>
      </c>
      <c r="AEI16" s="11">
        <v>3534504.41</v>
      </c>
      <c r="AEJ16" s="11">
        <v>1565846.28</v>
      </c>
      <c r="AEK16" s="11">
        <v>3614299.54</v>
      </c>
      <c r="AEL16" s="11">
        <v>1260786.42</v>
      </c>
      <c r="AEM16" s="11">
        <v>7065634.6100000003</v>
      </c>
      <c r="AEN16" s="11">
        <v>6264010.5899999999</v>
      </c>
      <c r="AEO16" s="11">
        <v>2540324.21</v>
      </c>
      <c r="AEP16" s="11">
        <v>3834508.6</v>
      </c>
      <c r="AEQ16" s="11">
        <v>4100000</v>
      </c>
      <c r="AER16" s="11">
        <v>979799.91</v>
      </c>
      <c r="AES16" s="11">
        <v>18428289.52</v>
      </c>
      <c r="AET16" s="11">
        <v>143769055.54000002</v>
      </c>
      <c r="AEU16" s="11">
        <v>4222369.5199999996</v>
      </c>
      <c r="AEV16" s="11">
        <v>4327531.63</v>
      </c>
      <c r="AEW16" s="11">
        <v>2937829.05</v>
      </c>
      <c r="AEX16" s="11">
        <v>3294320.6399999997</v>
      </c>
      <c r="AEY16" s="11">
        <v>4778823.01</v>
      </c>
      <c r="AEZ16" s="11">
        <v>3075092.89</v>
      </c>
      <c r="AFA16" s="11">
        <v>3899445.08</v>
      </c>
      <c r="AFB16" s="11">
        <v>4870603.37</v>
      </c>
      <c r="AFC16" s="11">
        <v>1236337.33</v>
      </c>
      <c r="AFD16" s="11">
        <v>27703960</v>
      </c>
      <c r="AFE16" s="11">
        <v>12133009.93</v>
      </c>
      <c r="AFF16" s="11">
        <v>6410764.0599999996</v>
      </c>
      <c r="AFG16" s="11">
        <v>3820160.94</v>
      </c>
      <c r="AFH16" s="11">
        <v>4430000</v>
      </c>
      <c r="AFI16" s="11">
        <v>6097357.3899999997</v>
      </c>
      <c r="AFJ16" s="11">
        <v>2009988.01</v>
      </c>
      <c r="AFK16" s="11">
        <v>2665549.2799999998</v>
      </c>
      <c r="AFL16" s="11">
        <v>0</v>
      </c>
      <c r="AFM16" s="11">
        <v>8189887.5599999996</v>
      </c>
      <c r="AFN16" s="11">
        <v>0</v>
      </c>
      <c r="AFO16" s="11">
        <v>1498510.13</v>
      </c>
      <c r="AFP16" s="11">
        <v>1559700.7</v>
      </c>
      <c r="AFQ16" s="11">
        <v>38135512.859999999</v>
      </c>
      <c r="AFR16" s="11">
        <v>4528333.84</v>
      </c>
      <c r="AFS16" s="11">
        <v>1777000</v>
      </c>
      <c r="AFT16" s="11">
        <v>3117964.86</v>
      </c>
      <c r="AFU16" s="11">
        <v>2578581.7799999998</v>
      </c>
      <c r="AFV16" s="11">
        <v>1188586.99</v>
      </c>
      <c r="AFW16" s="11">
        <v>2835010.35</v>
      </c>
      <c r="AFX16" s="11">
        <v>5068468.66</v>
      </c>
      <c r="AFY16" s="11">
        <v>3834336.86</v>
      </c>
      <c r="AFZ16" s="11">
        <v>1498468.57</v>
      </c>
      <c r="AGA16" s="11">
        <v>4359546.8600000003</v>
      </c>
      <c r="AGB16" s="11">
        <v>1561091.88</v>
      </c>
      <c r="AGC16" s="11">
        <v>11580915.970000001</v>
      </c>
      <c r="AGD16" s="11">
        <v>2166150.91</v>
      </c>
      <c r="AGE16" s="11">
        <v>15271979.550000001</v>
      </c>
      <c r="AGF16" s="11">
        <v>2097872.37</v>
      </c>
      <c r="AGG16" s="11">
        <v>6906571.7599999998</v>
      </c>
      <c r="AGH16" s="11">
        <v>4249700</v>
      </c>
      <c r="AGI16" s="11">
        <v>1606780.31</v>
      </c>
      <c r="AGJ16" s="11">
        <v>2160000</v>
      </c>
      <c r="AGK16" s="11">
        <v>1585586.56</v>
      </c>
      <c r="AGL16" s="11">
        <v>6245394</v>
      </c>
      <c r="AGM16" s="11">
        <v>8963935.9199999999</v>
      </c>
      <c r="AGN16" s="11">
        <v>45666754.93</v>
      </c>
      <c r="AGO16" s="11">
        <v>10688425.52</v>
      </c>
      <c r="AGP16" s="11">
        <v>4227989.42</v>
      </c>
      <c r="AGQ16" s="11">
        <v>2829704.34</v>
      </c>
      <c r="AGR16" s="11">
        <v>4873330.68</v>
      </c>
      <c r="AGS16" s="11">
        <v>2600526.63</v>
      </c>
      <c r="AGT16" s="11">
        <v>1228089.53</v>
      </c>
      <c r="AGU16" s="11">
        <v>2046582</v>
      </c>
      <c r="AGV16" s="11">
        <v>61017278.719999999</v>
      </c>
      <c r="AGW16" s="11">
        <v>85223710.890000001</v>
      </c>
      <c r="AGX16" s="11">
        <v>2875700.81</v>
      </c>
      <c r="AGY16" s="11">
        <v>7963470.0300000003</v>
      </c>
      <c r="AGZ16" s="11">
        <v>5942569.3399999999</v>
      </c>
      <c r="AHA16" s="11">
        <v>4502477.32</v>
      </c>
      <c r="AHB16" s="11">
        <v>3720000</v>
      </c>
      <c r="AHC16" s="11">
        <v>4152664.21</v>
      </c>
      <c r="AHD16" s="11">
        <v>1637830.51</v>
      </c>
      <c r="AHE16" s="11">
        <v>4379425.8499999996</v>
      </c>
      <c r="AHF16" s="11">
        <v>4148667.76</v>
      </c>
      <c r="AHG16" s="11">
        <v>2130196.3199999998</v>
      </c>
      <c r="AHH16" s="11">
        <v>2266911.54</v>
      </c>
      <c r="AHI16" s="11">
        <v>10675515.48</v>
      </c>
      <c r="AHJ16" s="11">
        <v>5362066.12</v>
      </c>
      <c r="AHK16" s="11">
        <v>3460576.28</v>
      </c>
      <c r="AHL16" s="11">
        <v>5151898.13</v>
      </c>
      <c r="AHM16" s="11">
        <v>21329468.440000001</v>
      </c>
      <c r="AHN16" s="11">
        <v>1882552.6</v>
      </c>
      <c r="AHO16" s="11">
        <v>3399618.08</v>
      </c>
      <c r="AHP16" s="11">
        <v>2594764.1399999997</v>
      </c>
      <c r="AHQ16" s="11">
        <v>15051618.92</v>
      </c>
      <c r="AHR16" s="11">
        <v>2414295.09</v>
      </c>
      <c r="AHS16" s="11">
        <v>2834351.75</v>
      </c>
      <c r="AHT16" s="11">
        <v>10325850825.890003</v>
      </c>
      <c r="AHU16" s="11"/>
    </row>
    <row r="17" spans="2:905" x14ac:dyDescent="0.7">
      <c r="C17" s="6" t="s">
        <v>632</v>
      </c>
      <c r="D17" s="11">
        <f>SUM(D5:D16)</f>
        <v>5105945225.3300009</v>
      </c>
      <c r="E17" s="11">
        <f t="shared" ref="E17:BP17" si="0">SUM(E5:E16)</f>
        <v>198442176.17000002</v>
      </c>
      <c r="F17" s="11">
        <f t="shared" si="0"/>
        <v>280242824.50999999</v>
      </c>
      <c r="G17" s="11">
        <f t="shared" si="0"/>
        <v>78627465.310000002</v>
      </c>
      <c r="H17" s="11">
        <f t="shared" si="0"/>
        <v>384865269.23000002</v>
      </c>
      <c r="I17" s="11">
        <f t="shared" si="0"/>
        <v>155360405.34999996</v>
      </c>
      <c r="J17" s="11">
        <f t="shared" si="0"/>
        <v>380295718.36000001</v>
      </c>
      <c r="K17" s="11">
        <f t="shared" si="0"/>
        <v>183895748.60000002</v>
      </c>
      <c r="L17" s="11">
        <f t="shared" si="0"/>
        <v>190895877.57999998</v>
      </c>
      <c r="M17" s="11">
        <f t="shared" si="0"/>
        <v>148395534.62</v>
      </c>
      <c r="N17" s="11">
        <f t="shared" si="0"/>
        <v>142450137.46999997</v>
      </c>
      <c r="O17" s="11">
        <f t="shared" si="0"/>
        <v>115478084.11000001</v>
      </c>
      <c r="P17" s="11">
        <f t="shared" si="0"/>
        <v>153015398.01000005</v>
      </c>
      <c r="Q17" s="11">
        <f t="shared" si="0"/>
        <v>121797556.74000001</v>
      </c>
      <c r="R17" s="11">
        <f t="shared" si="0"/>
        <v>99014210.390000001</v>
      </c>
      <c r="S17" s="11">
        <f t="shared" si="0"/>
        <v>200206731.62</v>
      </c>
      <c r="T17" s="11">
        <f t="shared" si="0"/>
        <v>209628665.36000001</v>
      </c>
      <c r="U17" s="11">
        <f t="shared" si="0"/>
        <v>51401284.250000007</v>
      </c>
      <c r="V17" s="11">
        <f t="shared" si="0"/>
        <v>5825824106.0500002</v>
      </c>
      <c r="W17" s="11">
        <f t="shared" si="0"/>
        <v>566318939.94000006</v>
      </c>
      <c r="X17" s="11">
        <f t="shared" si="0"/>
        <v>124017795.66000001</v>
      </c>
      <c r="Y17" s="11">
        <f t="shared" si="0"/>
        <v>243311972.38999996</v>
      </c>
      <c r="Z17" s="11">
        <f t="shared" si="0"/>
        <v>144494611.69999996</v>
      </c>
      <c r="AA17" s="11">
        <f t="shared" si="0"/>
        <v>192348350.50000003</v>
      </c>
      <c r="AB17" s="11">
        <f t="shared" si="0"/>
        <v>68521081.420000002</v>
      </c>
      <c r="AC17" s="11">
        <f t="shared" si="0"/>
        <v>693682468.23000014</v>
      </c>
      <c r="AD17" s="11">
        <f t="shared" si="0"/>
        <v>213754991.04000002</v>
      </c>
      <c r="AE17" s="11">
        <f t="shared" si="0"/>
        <v>140223993.36999997</v>
      </c>
      <c r="AF17" s="11">
        <f t="shared" si="0"/>
        <v>443157436.0999999</v>
      </c>
      <c r="AG17" s="11">
        <f t="shared" si="0"/>
        <v>160342840.66999999</v>
      </c>
      <c r="AH17" s="11">
        <f t="shared" si="0"/>
        <v>523070447.87</v>
      </c>
      <c r="AI17" s="11">
        <f t="shared" si="0"/>
        <v>312304827.26000005</v>
      </c>
      <c r="AJ17" s="11">
        <f t="shared" si="0"/>
        <v>127796466.74999999</v>
      </c>
      <c r="AK17" s="11">
        <f t="shared" si="0"/>
        <v>84941499.789999992</v>
      </c>
      <c r="AL17" s="11">
        <f t="shared" si="0"/>
        <v>141285086.70000002</v>
      </c>
      <c r="AM17" s="11">
        <f t="shared" si="0"/>
        <v>157489944.38</v>
      </c>
      <c r="AN17" s="11">
        <f t="shared" si="0"/>
        <v>94561127.589999974</v>
      </c>
      <c r="AO17" s="11">
        <f t="shared" si="0"/>
        <v>108933116.23</v>
      </c>
      <c r="AP17" s="11">
        <f t="shared" si="0"/>
        <v>102756559.72</v>
      </c>
      <c r="AQ17" s="11">
        <f t="shared" si="0"/>
        <v>86720071.449999988</v>
      </c>
      <c r="AR17" s="11">
        <f t="shared" si="0"/>
        <v>73695691.290000007</v>
      </c>
      <c r="AS17" s="11">
        <f t="shared" si="0"/>
        <v>47258454.230000004</v>
      </c>
      <c r="AT17" s="11">
        <f t="shared" si="0"/>
        <v>1228530873.4000001</v>
      </c>
      <c r="AU17" s="11">
        <f t="shared" si="0"/>
        <v>63714431.210000008</v>
      </c>
      <c r="AV17" s="11">
        <f t="shared" si="0"/>
        <v>56257878.770000003</v>
      </c>
      <c r="AW17" s="11">
        <f t="shared" si="0"/>
        <v>93528542.909999982</v>
      </c>
      <c r="AX17" s="11">
        <f t="shared" si="0"/>
        <v>164634775.13999999</v>
      </c>
      <c r="AY17" s="11">
        <f t="shared" si="0"/>
        <v>188201215.25</v>
      </c>
      <c r="AZ17" s="11">
        <f t="shared" si="0"/>
        <v>82524657.469999984</v>
      </c>
      <c r="BA17" s="11">
        <f t="shared" si="0"/>
        <v>86382261.75</v>
      </c>
      <c r="BB17" s="11">
        <f t="shared" si="0"/>
        <v>53534636.049999982</v>
      </c>
      <c r="BC17" s="11">
        <f t="shared" si="0"/>
        <v>66311336.079999998</v>
      </c>
      <c r="BD17" s="11">
        <f t="shared" si="0"/>
        <v>51168064.339999996</v>
      </c>
      <c r="BE17" s="11">
        <f t="shared" si="0"/>
        <v>53030547.819999993</v>
      </c>
      <c r="BF17" s="11">
        <f t="shared" si="0"/>
        <v>284268960.21000004</v>
      </c>
      <c r="BG17" s="11">
        <f t="shared" si="0"/>
        <v>48277879.789999999</v>
      </c>
      <c r="BH17" s="11">
        <f t="shared" si="0"/>
        <v>66407631.340000004</v>
      </c>
      <c r="BI17" s="11">
        <f t="shared" si="0"/>
        <v>1426328577.1199999</v>
      </c>
      <c r="BJ17" s="11">
        <f t="shared" si="0"/>
        <v>1048280422.2799999</v>
      </c>
      <c r="BK17" s="11">
        <f t="shared" si="0"/>
        <v>142458518.90000001</v>
      </c>
      <c r="BL17" s="11">
        <f t="shared" si="0"/>
        <v>93999693.299999997</v>
      </c>
      <c r="BM17" s="11">
        <f t="shared" si="0"/>
        <v>208502154.54000005</v>
      </c>
      <c r="BN17" s="11">
        <f t="shared" si="0"/>
        <v>128572119.50000001</v>
      </c>
      <c r="BO17" s="11">
        <f t="shared" si="0"/>
        <v>106059147.36</v>
      </c>
      <c r="BP17" s="11">
        <f t="shared" si="0"/>
        <v>55760998.5</v>
      </c>
      <c r="BQ17" s="11">
        <f t="shared" ref="BQ17:EB17" si="1">SUM(BQ5:BQ16)</f>
        <v>32260499.420000002</v>
      </c>
      <c r="BR17" s="11">
        <f t="shared" si="1"/>
        <v>2237161375.6700001</v>
      </c>
      <c r="BS17" s="11">
        <f t="shared" si="1"/>
        <v>125010039.22</v>
      </c>
      <c r="BT17" s="11">
        <f t="shared" si="1"/>
        <v>116213578.95999999</v>
      </c>
      <c r="BU17" s="11">
        <f t="shared" si="1"/>
        <v>200249035.39999998</v>
      </c>
      <c r="BV17" s="11">
        <f t="shared" si="1"/>
        <v>137337347.43000001</v>
      </c>
      <c r="BW17" s="11">
        <f t="shared" si="1"/>
        <v>101912804.93000001</v>
      </c>
      <c r="BX17" s="11">
        <f t="shared" si="1"/>
        <v>78289413.340000004</v>
      </c>
      <c r="BY17" s="11">
        <f t="shared" si="1"/>
        <v>122876713.72</v>
      </c>
      <c r="BZ17" s="11">
        <f t="shared" si="1"/>
        <v>438513131.34000003</v>
      </c>
      <c r="CA17" s="11">
        <f t="shared" si="1"/>
        <v>102563250.88000001</v>
      </c>
      <c r="CB17" s="11">
        <f t="shared" si="1"/>
        <v>138544228.63</v>
      </c>
      <c r="CC17" s="11">
        <f t="shared" si="1"/>
        <v>313625981.75999993</v>
      </c>
      <c r="CD17" s="11">
        <f t="shared" si="1"/>
        <v>89585534.159999996</v>
      </c>
      <c r="CE17" s="11">
        <f t="shared" si="1"/>
        <v>111854040.61000003</v>
      </c>
      <c r="CF17" s="11">
        <f t="shared" si="1"/>
        <v>70895224.409999996</v>
      </c>
      <c r="CG17" s="11">
        <f t="shared" si="1"/>
        <v>3550135555.6500006</v>
      </c>
      <c r="CH17" s="11">
        <f t="shared" si="1"/>
        <v>105473588.89</v>
      </c>
      <c r="CI17" s="11">
        <f t="shared" si="1"/>
        <v>351463409.54000002</v>
      </c>
      <c r="CJ17" s="11">
        <f t="shared" si="1"/>
        <v>94172256.609999999</v>
      </c>
      <c r="CK17" s="11">
        <f t="shared" si="1"/>
        <v>127857592.88000001</v>
      </c>
      <c r="CL17" s="11">
        <f t="shared" si="1"/>
        <v>100885951.96000001</v>
      </c>
      <c r="CM17" s="11">
        <f t="shared" si="1"/>
        <v>112281906.59</v>
      </c>
      <c r="CN17" s="11">
        <f t="shared" si="1"/>
        <v>197537957.94999996</v>
      </c>
      <c r="CO17" s="11">
        <f t="shared" si="1"/>
        <v>52836887.359999999</v>
      </c>
      <c r="CP17" s="11">
        <f t="shared" si="1"/>
        <v>123001486.54999998</v>
      </c>
      <c r="CQ17" s="11">
        <f t="shared" si="1"/>
        <v>87445496.590000004</v>
      </c>
      <c r="CR17" s="11">
        <f t="shared" si="1"/>
        <v>129439733.63000003</v>
      </c>
      <c r="CS17" s="11">
        <f t="shared" si="1"/>
        <v>84596858.539999992</v>
      </c>
      <c r="CT17" s="11">
        <f t="shared" si="1"/>
        <v>1422449880.5100002</v>
      </c>
      <c r="CU17" s="11">
        <f t="shared" si="1"/>
        <v>105581400.73</v>
      </c>
      <c r="CV17" s="11">
        <f t="shared" si="1"/>
        <v>138374497.61999997</v>
      </c>
      <c r="CW17" s="11">
        <f t="shared" si="1"/>
        <v>206570540.74999997</v>
      </c>
      <c r="CX17" s="11">
        <f t="shared" si="1"/>
        <v>84036788.210000008</v>
      </c>
      <c r="CY17" s="11">
        <f t="shared" si="1"/>
        <v>202979155.30000001</v>
      </c>
      <c r="CZ17" s="11">
        <f t="shared" si="1"/>
        <v>79713500.180000007</v>
      </c>
      <c r="DA17" s="11">
        <f t="shared" si="1"/>
        <v>51584634.950000003</v>
      </c>
      <c r="DB17" s="11">
        <f t="shared" si="1"/>
        <v>821842094.49000001</v>
      </c>
      <c r="DC17" s="11">
        <f t="shared" si="1"/>
        <v>1150843754.9499998</v>
      </c>
      <c r="DD17" s="11">
        <f t="shared" si="1"/>
        <v>203550580.22</v>
      </c>
      <c r="DE17" s="11">
        <f t="shared" si="1"/>
        <v>111311595.10000001</v>
      </c>
      <c r="DF17" s="11">
        <f t="shared" si="1"/>
        <v>279104029.70000005</v>
      </c>
      <c r="DG17" s="11">
        <f t="shared" si="1"/>
        <v>301714392.20999998</v>
      </c>
      <c r="DH17" s="11">
        <f t="shared" si="1"/>
        <v>371463074.86000001</v>
      </c>
      <c r="DI17" s="11">
        <f t="shared" si="1"/>
        <v>252855460.81</v>
      </c>
      <c r="DJ17" s="11">
        <f t="shared" si="1"/>
        <v>133264024.55</v>
      </c>
      <c r="DK17" s="11">
        <f t="shared" si="1"/>
        <v>3875890265.6300001</v>
      </c>
      <c r="DL17" s="11">
        <f t="shared" si="1"/>
        <v>143512584.49000001</v>
      </c>
      <c r="DM17" s="11">
        <f t="shared" si="1"/>
        <v>339761927.38999999</v>
      </c>
      <c r="DN17" s="11">
        <f t="shared" si="1"/>
        <v>178959538.71000001</v>
      </c>
      <c r="DO17" s="11">
        <f t="shared" si="1"/>
        <v>253315040.16</v>
      </c>
      <c r="DP17" s="11">
        <f t="shared" si="1"/>
        <v>211494663.53000003</v>
      </c>
      <c r="DQ17" s="11">
        <f t="shared" si="1"/>
        <v>534232053.70999998</v>
      </c>
      <c r="DR17" s="11">
        <f t="shared" si="1"/>
        <v>127819631.15000002</v>
      </c>
      <c r="DS17" s="11">
        <f t="shared" si="1"/>
        <v>325511719.85999995</v>
      </c>
      <c r="DT17" s="11">
        <f t="shared" si="1"/>
        <v>1128156937.0799999</v>
      </c>
      <c r="DU17" s="11">
        <f t="shared" si="1"/>
        <v>148623052.79999995</v>
      </c>
      <c r="DV17" s="11">
        <f t="shared" si="1"/>
        <v>515127764.62999994</v>
      </c>
      <c r="DW17" s="11">
        <f t="shared" si="1"/>
        <v>504526034.40999997</v>
      </c>
      <c r="DX17" s="11">
        <f t="shared" si="1"/>
        <v>161348966.87</v>
      </c>
      <c r="DY17" s="11">
        <f t="shared" si="1"/>
        <v>380597486.48999989</v>
      </c>
      <c r="DZ17" s="11">
        <f t="shared" si="1"/>
        <v>238985345.17000002</v>
      </c>
      <c r="EA17" s="11">
        <f t="shared" si="1"/>
        <v>73155728.090000018</v>
      </c>
      <c r="EB17" s="11">
        <f t="shared" si="1"/>
        <v>148978259.44</v>
      </c>
      <c r="EC17" s="11">
        <f t="shared" ref="EC17:GN17" si="2">SUM(EC5:EC16)</f>
        <v>108615402.01000001</v>
      </c>
      <c r="ED17" s="11">
        <f t="shared" si="2"/>
        <v>245708334.28999999</v>
      </c>
      <c r="EE17" s="11">
        <f t="shared" si="2"/>
        <v>952257287.93999982</v>
      </c>
      <c r="EF17" s="11">
        <f t="shared" si="2"/>
        <v>795059969.65999997</v>
      </c>
      <c r="EG17" s="11">
        <f t="shared" si="2"/>
        <v>130454274.06999999</v>
      </c>
      <c r="EH17" s="11">
        <f t="shared" si="2"/>
        <v>125229398.35000001</v>
      </c>
      <c r="EI17" s="11">
        <f t="shared" si="2"/>
        <v>147884980.36999997</v>
      </c>
      <c r="EJ17" s="11">
        <f t="shared" si="2"/>
        <v>219721493.78</v>
      </c>
      <c r="EK17" s="11">
        <f t="shared" si="2"/>
        <v>244671113.76000002</v>
      </c>
      <c r="EL17" s="11">
        <f t="shared" si="2"/>
        <v>82588031.62999998</v>
      </c>
      <c r="EM17" s="11">
        <f t="shared" si="2"/>
        <v>115887274.69999999</v>
      </c>
      <c r="EN17" s="11">
        <f t="shared" si="2"/>
        <v>2255785466.23</v>
      </c>
      <c r="EO17" s="11">
        <f t="shared" si="2"/>
        <v>182175802.91999999</v>
      </c>
      <c r="EP17" s="11">
        <f t="shared" si="2"/>
        <v>156450880.21999997</v>
      </c>
      <c r="EQ17" s="11">
        <f t="shared" si="2"/>
        <v>134235727.04999998</v>
      </c>
      <c r="ER17" s="11">
        <f t="shared" si="2"/>
        <v>101374267.32000001</v>
      </c>
      <c r="ES17" s="11">
        <f t="shared" si="2"/>
        <v>90551167.420000002</v>
      </c>
      <c r="ET17" s="11">
        <f t="shared" si="2"/>
        <v>204355756.11000001</v>
      </c>
      <c r="EU17" s="11">
        <f t="shared" si="2"/>
        <v>196273749</v>
      </c>
      <c r="EV17" s="11">
        <f t="shared" si="2"/>
        <v>142605412.91999999</v>
      </c>
      <c r="EW17" s="11">
        <f t="shared" si="2"/>
        <v>1150158194.75</v>
      </c>
      <c r="EX17" s="11">
        <f t="shared" si="2"/>
        <v>63193651.510000013</v>
      </c>
      <c r="EY17" s="11">
        <f t="shared" si="2"/>
        <v>116387277.93000001</v>
      </c>
      <c r="EZ17" s="11">
        <f t="shared" si="2"/>
        <v>195239584.28999999</v>
      </c>
      <c r="FA17" s="11">
        <f t="shared" si="2"/>
        <v>258930259.28</v>
      </c>
      <c r="FB17" s="11">
        <f t="shared" si="2"/>
        <v>205541538.87</v>
      </c>
      <c r="FC17" s="11">
        <f t="shared" si="2"/>
        <v>163692363.94</v>
      </c>
      <c r="FD17" s="11">
        <f t="shared" si="2"/>
        <v>110827580.60000001</v>
      </c>
      <c r="FE17" s="11">
        <f t="shared" si="2"/>
        <v>106222245.3</v>
      </c>
      <c r="FF17" s="11">
        <f t="shared" si="2"/>
        <v>90935732.659999996</v>
      </c>
      <c r="FG17" s="11">
        <f t="shared" si="2"/>
        <v>80529502.530000001</v>
      </c>
      <c r="FH17" s="11">
        <f t="shared" si="2"/>
        <v>104803932.97</v>
      </c>
      <c r="FI17" s="11">
        <f t="shared" si="2"/>
        <v>1041322329.39</v>
      </c>
      <c r="FJ17" s="11">
        <f t="shared" si="2"/>
        <v>78660823.129999995</v>
      </c>
      <c r="FK17" s="11">
        <f t="shared" si="2"/>
        <v>82890923.969999999</v>
      </c>
      <c r="FL17" s="11">
        <f t="shared" si="2"/>
        <v>104503872.50999999</v>
      </c>
      <c r="FM17" s="11">
        <f t="shared" si="2"/>
        <v>162757216.74999997</v>
      </c>
      <c r="FN17" s="11">
        <f t="shared" si="2"/>
        <v>148450020.91</v>
      </c>
      <c r="FO17" s="11">
        <f t="shared" si="2"/>
        <v>53190450.950000003</v>
      </c>
      <c r="FP17" s="11">
        <f t="shared" si="2"/>
        <v>26771795.870000001</v>
      </c>
      <c r="FQ17" s="11">
        <f t="shared" si="2"/>
        <v>3861674609.9699998</v>
      </c>
      <c r="FR17" s="11">
        <f t="shared" si="2"/>
        <v>117612360.83</v>
      </c>
      <c r="FS17" s="11">
        <f t="shared" si="2"/>
        <v>165350390.86000001</v>
      </c>
      <c r="FT17" s="11">
        <f t="shared" si="2"/>
        <v>181407997.61000001</v>
      </c>
      <c r="FU17" s="11">
        <f t="shared" si="2"/>
        <v>266611895.47999999</v>
      </c>
      <c r="FV17" s="11">
        <f t="shared" si="2"/>
        <v>115440247.28</v>
      </c>
      <c r="FW17" s="11">
        <f t="shared" si="2"/>
        <v>271936804.12</v>
      </c>
      <c r="FX17" s="11">
        <f t="shared" si="2"/>
        <v>179128319.08000001</v>
      </c>
      <c r="FY17" s="11">
        <f t="shared" si="2"/>
        <v>178346714.83999994</v>
      </c>
      <c r="FZ17" s="11">
        <f t="shared" si="2"/>
        <v>132470047.47000001</v>
      </c>
      <c r="GA17" s="11">
        <f t="shared" si="2"/>
        <v>264007596.02000004</v>
      </c>
      <c r="GB17" s="11">
        <f t="shared" si="2"/>
        <v>122717457.78</v>
      </c>
      <c r="GC17" s="11">
        <f t="shared" si="2"/>
        <v>110380058.89999998</v>
      </c>
      <c r="GD17" s="11">
        <f t="shared" si="2"/>
        <v>65058034.240000002</v>
      </c>
      <c r="GE17" s="11">
        <f t="shared" si="2"/>
        <v>1166106787.7400002</v>
      </c>
      <c r="GF17" s="11">
        <f t="shared" si="2"/>
        <v>122662124.42999999</v>
      </c>
      <c r="GG17" s="11">
        <f t="shared" si="2"/>
        <v>98405762.890000001</v>
      </c>
      <c r="GH17" s="11">
        <f t="shared" si="2"/>
        <v>223560224.95999998</v>
      </c>
      <c r="GI17" s="11">
        <f t="shared" si="2"/>
        <v>160890865.90000001</v>
      </c>
      <c r="GJ17" s="11">
        <f t="shared" si="2"/>
        <v>115965026.51000001</v>
      </c>
      <c r="GK17" s="11">
        <f t="shared" si="2"/>
        <v>112400290.91000001</v>
      </c>
      <c r="GL17" s="11">
        <f t="shared" si="2"/>
        <v>246057166.35000002</v>
      </c>
      <c r="GM17" s="11">
        <f t="shared" si="2"/>
        <v>97812666.320000008</v>
      </c>
      <c r="GN17" s="11">
        <f t="shared" si="2"/>
        <v>56336642.479999997</v>
      </c>
      <c r="GO17" s="11">
        <f t="shared" ref="GO17:IX17" si="3">SUM(GO5:GO16)</f>
        <v>48426186.420000002</v>
      </c>
      <c r="GP17" s="11">
        <f t="shared" si="3"/>
        <v>43640741.849999987</v>
      </c>
      <c r="GQ17" s="11">
        <f t="shared" si="3"/>
        <v>888897969.21000004</v>
      </c>
      <c r="GR17" s="11">
        <f t="shared" si="3"/>
        <v>158388389.98000002</v>
      </c>
      <c r="GS17" s="11">
        <f t="shared" si="3"/>
        <v>96148839.739999995</v>
      </c>
      <c r="GT17" s="11">
        <f t="shared" si="3"/>
        <v>173775084.61000001</v>
      </c>
      <c r="GU17" s="11">
        <f t="shared" si="3"/>
        <v>39143668.829999998</v>
      </c>
      <c r="GV17" s="11">
        <f t="shared" si="3"/>
        <v>154240976.06</v>
      </c>
      <c r="GW17" s="11">
        <f t="shared" si="3"/>
        <v>131198663.62999997</v>
      </c>
      <c r="GX17" s="11">
        <f t="shared" si="3"/>
        <v>78231595.909999982</v>
      </c>
      <c r="GY17" s="11">
        <f t="shared" si="3"/>
        <v>776351622.76999998</v>
      </c>
      <c r="GZ17" s="11">
        <f t="shared" si="3"/>
        <v>63805892.459999993</v>
      </c>
      <c r="HA17" s="11">
        <f t="shared" si="3"/>
        <v>191748747.31</v>
      </c>
      <c r="HB17" s="11">
        <f t="shared" si="3"/>
        <v>141592125.70000002</v>
      </c>
      <c r="HC17" s="11">
        <f t="shared" si="3"/>
        <v>2445543964.2199998</v>
      </c>
      <c r="HD17" s="11">
        <f t="shared" si="3"/>
        <v>317237215.70000005</v>
      </c>
      <c r="HE17" s="11">
        <f t="shared" si="3"/>
        <v>291921203.01000005</v>
      </c>
      <c r="HF17" s="11">
        <f t="shared" si="3"/>
        <v>452338893.73999995</v>
      </c>
      <c r="HG17" s="11">
        <f t="shared" si="3"/>
        <v>206319737.73000002</v>
      </c>
      <c r="HH17" s="11">
        <f t="shared" si="3"/>
        <v>368277396.06000006</v>
      </c>
      <c r="HI17" s="11">
        <f t="shared" si="3"/>
        <v>82755673.019999996</v>
      </c>
      <c r="HJ17" s="11">
        <f t="shared" si="3"/>
        <v>47122225.860000007</v>
      </c>
      <c r="HK17" s="11">
        <f t="shared" si="3"/>
        <v>1341406782.6399999</v>
      </c>
      <c r="HL17" s="11">
        <f t="shared" si="3"/>
        <v>278467921.49000007</v>
      </c>
      <c r="HM17" s="11">
        <f t="shared" si="3"/>
        <v>336928844.63999999</v>
      </c>
      <c r="HN17" s="11">
        <f t="shared" si="3"/>
        <v>221188243.48999998</v>
      </c>
      <c r="HO17" s="11">
        <f t="shared" si="3"/>
        <v>128168372.77999999</v>
      </c>
      <c r="HP17" s="11">
        <f t="shared" si="3"/>
        <v>207529603.03999999</v>
      </c>
      <c r="HQ17" s="11">
        <f t="shared" si="3"/>
        <v>151622385.60000005</v>
      </c>
      <c r="HR17" s="11">
        <f t="shared" si="3"/>
        <v>95294189.559999987</v>
      </c>
      <c r="HS17" s="11">
        <f t="shared" si="3"/>
        <v>1476986753.77</v>
      </c>
      <c r="HT17" s="11">
        <f t="shared" si="3"/>
        <v>494682563.25</v>
      </c>
      <c r="HU17" s="11">
        <f t="shared" si="3"/>
        <v>139911413.57999995</v>
      </c>
      <c r="HV17" s="11">
        <f t="shared" si="3"/>
        <v>185147136.45000002</v>
      </c>
      <c r="HW17" s="11">
        <f t="shared" si="3"/>
        <v>101229557.19000003</v>
      </c>
      <c r="HX17" s="11">
        <f t="shared" si="3"/>
        <v>69915954.760000005</v>
      </c>
      <c r="HY17" s="11">
        <f t="shared" si="3"/>
        <v>352174816.90999997</v>
      </c>
      <c r="HZ17" s="11">
        <f t="shared" si="3"/>
        <v>90610461.850000024</v>
      </c>
      <c r="IA17" s="11">
        <f t="shared" si="3"/>
        <v>115683345.47</v>
      </c>
      <c r="IB17" s="11">
        <f t="shared" si="3"/>
        <v>134672286.77000001</v>
      </c>
      <c r="IC17" s="11">
        <f t="shared" si="3"/>
        <v>130628999.37</v>
      </c>
      <c r="ID17" s="11">
        <f t="shared" si="3"/>
        <v>192755655.47999999</v>
      </c>
      <c r="IE17" s="11">
        <f t="shared" si="3"/>
        <v>52183184.379999995</v>
      </c>
      <c r="IF17" s="11">
        <f t="shared" si="3"/>
        <v>180605358.75000003</v>
      </c>
      <c r="IG17" s="11">
        <f t="shared" si="3"/>
        <v>78127893.889999986</v>
      </c>
      <c r="IH17" s="11">
        <f t="shared" si="3"/>
        <v>57159816.49000001</v>
      </c>
      <c r="II17" s="11">
        <f t="shared" si="3"/>
        <v>1290732037.0800002</v>
      </c>
      <c r="IJ17" s="11">
        <f t="shared" si="3"/>
        <v>436723553.54000002</v>
      </c>
      <c r="IK17" s="11">
        <f t="shared" si="3"/>
        <v>181852425.82000002</v>
      </c>
      <c r="IL17" s="11">
        <f t="shared" si="3"/>
        <v>279787320.61000001</v>
      </c>
      <c r="IM17" s="11">
        <f t="shared" si="3"/>
        <v>434103317.95999992</v>
      </c>
      <c r="IN17" s="11">
        <f t="shared" si="3"/>
        <v>149469875.68000001</v>
      </c>
      <c r="IO17" s="11">
        <f t="shared" si="3"/>
        <v>112904865.25000001</v>
      </c>
      <c r="IP17" s="11">
        <f t="shared" si="3"/>
        <v>68128083.810000002</v>
      </c>
      <c r="IQ17" s="11">
        <f t="shared" si="3"/>
        <v>94448138.140000001</v>
      </c>
      <c r="IR17" s="11">
        <f t="shared" si="3"/>
        <v>108469059.21999998</v>
      </c>
      <c r="IS17" s="11">
        <f t="shared" si="3"/>
        <v>88742395.739999995</v>
      </c>
      <c r="IT17" s="11">
        <f t="shared" si="3"/>
        <v>1952726060.0100002</v>
      </c>
      <c r="IU17" s="11">
        <f t="shared" si="3"/>
        <v>675351680.24000013</v>
      </c>
      <c r="IV17" s="11">
        <f t="shared" si="3"/>
        <v>391916840.03000003</v>
      </c>
      <c r="IW17" s="11">
        <f t="shared" si="3"/>
        <v>229938047.66999999</v>
      </c>
      <c r="IX17" s="11">
        <f t="shared" si="3"/>
        <v>116876610.47</v>
      </c>
      <c r="IY17" s="11">
        <f t="shared" ref="IY17:LJ17" si="4">SUM(IY5:IY16)</f>
        <v>85202171.11999999</v>
      </c>
      <c r="IZ17" s="11">
        <f t="shared" si="4"/>
        <v>88213589.480800003</v>
      </c>
      <c r="JA17" s="11">
        <f t="shared" si="4"/>
        <v>56941821.280000001</v>
      </c>
      <c r="JB17" s="11">
        <f t="shared" si="4"/>
        <v>72255037.840000004</v>
      </c>
      <c r="JC17" s="11">
        <f t="shared" si="4"/>
        <v>119165894.95999999</v>
      </c>
      <c r="JD17" s="11">
        <f t="shared" si="4"/>
        <v>199900030.25</v>
      </c>
      <c r="JE17" s="11">
        <f t="shared" si="4"/>
        <v>85965553.969999999</v>
      </c>
      <c r="JF17" s="11">
        <f t="shared" si="4"/>
        <v>1032187948.24</v>
      </c>
      <c r="JG17" s="11">
        <f t="shared" si="4"/>
        <v>352594615.03000009</v>
      </c>
      <c r="JH17" s="11">
        <f t="shared" si="4"/>
        <v>93015611.470000029</v>
      </c>
      <c r="JI17" s="11">
        <f t="shared" si="4"/>
        <v>79431254.87000002</v>
      </c>
      <c r="JJ17" s="11">
        <f t="shared" si="4"/>
        <v>66746808.209999993</v>
      </c>
      <c r="JK17" s="11">
        <f t="shared" si="4"/>
        <v>116582378.54000001</v>
      </c>
      <c r="JL17" s="11">
        <f t="shared" si="4"/>
        <v>977038620.49000001</v>
      </c>
      <c r="JM17" s="11">
        <f t="shared" si="4"/>
        <v>245848529.75999999</v>
      </c>
      <c r="JN17" s="11">
        <f t="shared" si="4"/>
        <v>159990475.29999998</v>
      </c>
      <c r="JO17" s="11">
        <f t="shared" si="4"/>
        <v>245268047.27999997</v>
      </c>
      <c r="JP17" s="11">
        <f t="shared" si="4"/>
        <v>98803814.099999979</v>
      </c>
      <c r="JQ17" s="11">
        <f t="shared" si="4"/>
        <v>244145637.94999999</v>
      </c>
      <c r="JR17" s="11">
        <f t="shared" si="4"/>
        <v>102972875.47</v>
      </c>
      <c r="JS17" s="11">
        <f t="shared" si="4"/>
        <v>1984036327.3499999</v>
      </c>
      <c r="JT17" s="11">
        <f t="shared" si="4"/>
        <v>885045389.30000019</v>
      </c>
      <c r="JU17" s="11">
        <f t="shared" si="4"/>
        <v>138980213.74000001</v>
      </c>
      <c r="JV17" s="11">
        <f t="shared" si="4"/>
        <v>66210873.819999993</v>
      </c>
      <c r="JW17" s="11">
        <f t="shared" si="4"/>
        <v>136778647.93000001</v>
      </c>
      <c r="JX17" s="11">
        <f t="shared" si="4"/>
        <v>44722838.879999995</v>
      </c>
      <c r="JY17" s="11">
        <f t="shared" si="4"/>
        <v>334241926.49000001</v>
      </c>
      <c r="JZ17" s="11">
        <f t="shared" si="4"/>
        <v>159253054.14999998</v>
      </c>
      <c r="KA17" s="11">
        <f t="shared" si="4"/>
        <v>158863994.06999999</v>
      </c>
      <c r="KB17" s="11">
        <f t="shared" si="4"/>
        <v>134374949.39999998</v>
      </c>
      <c r="KC17" s="11">
        <f t="shared" si="4"/>
        <v>119657248.73999998</v>
      </c>
      <c r="KD17" s="11">
        <f t="shared" si="4"/>
        <v>144195149.90000004</v>
      </c>
      <c r="KE17" s="11">
        <f t="shared" si="4"/>
        <v>60881235.089999996</v>
      </c>
      <c r="KF17" s="11">
        <f t="shared" si="4"/>
        <v>32177494.109999999</v>
      </c>
      <c r="KG17" s="11">
        <f t="shared" si="4"/>
        <v>84457198.950000003</v>
      </c>
      <c r="KH17" s="11">
        <f t="shared" si="4"/>
        <v>30783093.909999996</v>
      </c>
      <c r="KI17" s="11">
        <f t="shared" si="4"/>
        <v>2235117744.6399999</v>
      </c>
      <c r="KJ17" s="11">
        <f t="shared" si="4"/>
        <v>352188169.64999998</v>
      </c>
      <c r="KK17" s="11">
        <f t="shared" si="4"/>
        <v>179312415.47</v>
      </c>
      <c r="KL17" s="11">
        <f t="shared" si="4"/>
        <v>226938233.81999996</v>
      </c>
      <c r="KM17" s="11">
        <f t="shared" si="4"/>
        <v>230914096.11999995</v>
      </c>
      <c r="KN17" s="11">
        <f t="shared" si="4"/>
        <v>143171855.11999997</v>
      </c>
      <c r="KO17" s="11">
        <f t="shared" si="4"/>
        <v>435290589.81999993</v>
      </c>
      <c r="KP17" s="11">
        <f t="shared" si="4"/>
        <v>176283451.60000002</v>
      </c>
      <c r="KQ17" s="11">
        <f t="shared" si="4"/>
        <v>146445886.34999999</v>
      </c>
      <c r="KR17" s="11">
        <f t="shared" si="4"/>
        <v>754998697.0200001</v>
      </c>
      <c r="KS17" s="11">
        <f t="shared" si="4"/>
        <v>142410398.13</v>
      </c>
      <c r="KT17" s="11">
        <f t="shared" si="4"/>
        <v>153896618.70999998</v>
      </c>
      <c r="KU17" s="11">
        <f t="shared" si="4"/>
        <v>602217148.22000003</v>
      </c>
      <c r="KV17" s="11">
        <f t="shared" si="4"/>
        <v>127655893.05999999</v>
      </c>
      <c r="KW17" s="11">
        <f t="shared" si="4"/>
        <v>279675196.66000003</v>
      </c>
      <c r="KX17" s="11">
        <f t="shared" si="4"/>
        <v>1265441718.45</v>
      </c>
      <c r="KY17" s="11">
        <f t="shared" si="4"/>
        <v>234490023.72</v>
      </c>
      <c r="KZ17" s="11">
        <f t="shared" si="4"/>
        <v>1243874205.1900001</v>
      </c>
      <c r="LA17" s="11">
        <f t="shared" si="4"/>
        <v>192212246.01999995</v>
      </c>
      <c r="LB17" s="11">
        <f t="shared" si="4"/>
        <v>120910606.89999999</v>
      </c>
      <c r="LC17" s="11">
        <f t="shared" si="4"/>
        <v>337790983.25</v>
      </c>
      <c r="LD17" s="11">
        <f t="shared" si="4"/>
        <v>352615008.87999988</v>
      </c>
      <c r="LE17" s="11">
        <f t="shared" si="4"/>
        <v>196076589.58999997</v>
      </c>
      <c r="LF17" s="11">
        <f t="shared" si="4"/>
        <v>225155808.59999999</v>
      </c>
      <c r="LG17" s="11">
        <f t="shared" si="4"/>
        <v>143347287.30000001</v>
      </c>
      <c r="LH17" s="11">
        <f t="shared" si="4"/>
        <v>3309348925.3299994</v>
      </c>
      <c r="LI17" s="11">
        <f t="shared" si="4"/>
        <v>464613190.03999996</v>
      </c>
      <c r="LJ17" s="11">
        <f t="shared" si="4"/>
        <v>998644635.00999999</v>
      </c>
      <c r="LK17" s="11">
        <f t="shared" ref="LK17:NV17" si="5">SUM(LK5:LK16)</f>
        <v>842437528.69000006</v>
      </c>
      <c r="LL17" s="11">
        <f t="shared" si="5"/>
        <v>220903133.5</v>
      </c>
      <c r="LM17" s="11">
        <f t="shared" si="5"/>
        <v>163367465.63000003</v>
      </c>
      <c r="LN17" s="11">
        <f t="shared" si="5"/>
        <v>101403923.81999999</v>
      </c>
      <c r="LO17" s="11">
        <f t="shared" si="5"/>
        <v>168396928.94999999</v>
      </c>
      <c r="LP17" s="11">
        <f t="shared" si="5"/>
        <v>64722636.579999998</v>
      </c>
      <c r="LQ17" s="11">
        <f t="shared" si="5"/>
        <v>298394113.61000001</v>
      </c>
      <c r="LR17" s="11">
        <f t="shared" si="5"/>
        <v>68706218.340000004</v>
      </c>
      <c r="LS17" s="11">
        <f t="shared" si="5"/>
        <v>722257014.32000005</v>
      </c>
      <c r="LT17" s="11">
        <f t="shared" si="5"/>
        <v>192921641.63000005</v>
      </c>
      <c r="LU17" s="11">
        <f t="shared" si="5"/>
        <v>134381207.81999996</v>
      </c>
      <c r="LV17" s="11">
        <f t="shared" si="5"/>
        <v>2844907391.48</v>
      </c>
      <c r="LW17" s="11">
        <f t="shared" si="5"/>
        <v>990145297.95000005</v>
      </c>
      <c r="LX17" s="11">
        <f t="shared" si="5"/>
        <v>1825562610.95</v>
      </c>
      <c r="LY17" s="11">
        <f t="shared" si="5"/>
        <v>785742766.26999998</v>
      </c>
      <c r="LZ17" s="11">
        <f t="shared" si="5"/>
        <v>267606956.00000003</v>
      </c>
      <c r="MA17" s="11">
        <f t="shared" si="5"/>
        <v>319548855.66999996</v>
      </c>
      <c r="MB17" s="11">
        <f t="shared" si="5"/>
        <v>264112677.19999999</v>
      </c>
      <c r="MC17" s="11">
        <f t="shared" si="5"/>
        <v>183708259.97999999</v>
      </c>
      <c r="MD17" s="11">
        <f t="shared" si="5"/>
        <v>186065083.10999998</v>
      </c>
      <c r="ME17" s="11">
        <f t="shared" si="5"/>
        <v>223031043.06</v>
      </c>
      <c r="MF17" s="11">
        <f t="shared" si="5"/>
        <v>363383226.84000009</v>
      </c>
      <c r="MG17" s="11">
        <f t="shared" si="5"/>
        <v>124197626.82000001</v>
      </c>
      <c r="MH17" s="11">
        <f t="shared" si="5"/>
        <v>3783027415.9000001</v>
      </c>
      <c r="MI17" s="11">
        <f t="shared" si="5"/>
        <v>169086969.34</v>
      </c>
      <c r="MJ17" s="11">
        <f t="shared" si="5"/>
        <v>84347282.620000005</v>
      </c>
      <c r="MK17" s="11">
        <f t="shared" si="5"/>
        <v>84373693.810000002</v>
      </c>
      <c r="ML17" s="11">
        <f t="shared" si="5"/>
        <v>86172371.489999995</v>
      </c>
      <c r="MM17" s="11">
        <f t="shared" si="5"/>
        <v>168478790.52000001</v>
      </c>
      <c r="MN17" s="11">
        <f t="shared" si="5"/>
        <v>100680338.20000002</v>
      </c>
      <c r="MO17" s="11">
        <f t="shared" si="5"/>
        <v>96168312.24000001</v>
      </c>
      <c r="MP17" s="11">
        <f t="shared" si="5"/>
        <v>173972310.17999998</v>
      </c>
      <c r="MQ17" s="11">
        <f t="shared" si="5"/>
        <v>104888782.28999999</v>
      </c>
      <c r="MR17" s="11">
        <f t="shared" si="5"/>
        <v>118354951.98</v>
      </c>
      <c r="MS17" s="11">
        <f t="shared" si="5"/>
        <v>94936186.019999996</v>
      </c>
      <c r="MT17" s="11">
        <f t="shared" si="5"/>
        <v>2408322917.48</v>
      </c>
      <c r="MU17" s="11">
        <f t="shared" si="5"/>
        <v>129116230.28000003</v>
      </c>
      <c r="MV17" s="11">
        <f t="shared" si="5"/>
        <v>249059760.59</v>
      </c>
      <c r="MW17" s="11">
        <f t="shared" si="5"/>
        <v>277142589.43000001</v>
      </c>
      <c r="MX17" s="11">
        <f t="shared" si="5"/>
        <v>209178762.99000001</v>
      </c>
      <c r="MY17" s="11">
        <f t="shared" si="5"/>
        <v>205449862.15000004</v>
      </c>
      <c r="MZ17" s="11">
        <f t="shared" si="5"/>
        <v>536279104.56999999</v>
      </c>
      <c r="NA17" s="11">
        <f t="shared" si="5"/>
        <v>299119135.12000006</v>
      </c>
      <c r="NB17" s="11">
        <f t="shared" si="5"/>
        <v>208732923.31999999</v>
      </c>
      <c r="NC17" s="11">
        <f t="shared" si="5"/>
        <v>78192877.579999998</v>
      </c>
      <c r="ND17" s="11">
        <f t="shared" si="5"/>
        <v>50432671.299999997</v>
      </c>
      <c r="NE17" s="11">
        <f t="shared" si="5"/>
        <v>3649011628.8699994</v>
      </c>
      <c r="NF17" s="11">
        <f t="shared" si="5"/>
        <v>656944482.01999986</v>
      </c>
      <c r="NG17" s="11">
        <f t="shared" si="5"/>
        <v>113647986.59</v>
      </c>
      <c r="NH17" s="11">
        <f t="shared" si="5"/>
        <v>1487001520.5799999</v>
      </c>
      <c r="NI17" s="11">
        <f t="shared" si="5"/>
        <v>120008640.63</v>
      </c>
      <c r="NJ17" s="11">
        <f t="shared" si="5"/>
        <v>257050836.20000002</v>
      </c>
      <c r="NK17" s="11">
        <f t="shared" si="5"/>
        <v>604869715.04999995</v>
      </c>
      <c r="NL17" s="11">
        <f t="shared" si="5"/>
        <v>677256712.93999994</v>
      </c>
      <c r="NM17" s="11">
        <f t="shared" si="5"/>
        <v>39073114.980000004</v>
      </c>
      <c r="NN17" s="11">
        <f t="shared" si="5"/>
        <v>321351554.1099999</v>
      </c>
      <c r="NO17" s="11">
        <f t="shared" si="5"/>
        <v>203573380.95000002</v>
      </c>
      <c r="NP17" s="11">
        <f t="shared" si="5"/>
        <v>121470693.66999999</v>
      </c>
      <c r="NQ17" s="11">
        <f t="shared" si="5"/>
        <v>824987872.1099999</v>
      </c>
      <c r="NR17" s="11">
        <f t="shared" si="5"/>
        <v>114541251.03999999</v>
      </c>
      <c r="NS17" s="11">
        <f t="shared" si="5"/>
        <v>103038559.33</v>
      </c>
      <c r="NT17" s="11">
        <f t="shared" si="5"/>
        <v>109377469.60000002</v>
      </c>
      <c r="NU17" s="11">
        <f t="shared" si="5"/>
        <v>82946863.850000009</v>
      </c>
      <c r="NV17" s="11">
        <f t="shared" si="5"/>
        <v>27598104.449999999</v>
      </c>
      <c r="NW17" s="11">
        <f t="shared" ref="NW17:QH17" si="6">SUM(NW5:NW16)</f>
        <v>58570190.819999993</v>
      </c>
      <c r="NX17" s="11">
        <f t="shared" si="6"/>
        <v>2801606000.0299997</v>
      </c>
      <c r="NY17" s="11">
        <f t="shared" si="6"/>
        <v>1036286075.5</v>
      </c>
      <c r="NZ17" s="11">
        <f t="shared" si="6"/>
        <v>170502632.93000001</v>
      </c>
      <c r="OA17" s="11">
        <f t="shared" si="6"/>
        <v>89505718.870000005</v>
      </c>
      <c r="OB17" s="11">
        <f t="shared" si="6"/>
        <v>110831708.44</v>
      </c>
      <c r="OC17" s="11">
        <f t="shared" si="6"/>
        <v>204898422.48999998</v>
      </c>
      <c r="OD17" s="11">
        <f t="shared" si="6"/>
        <v>71742307.49000001</v>
      </c>
      <c r="OE17" s="11">
        <f t="shared" si="6"/>
        <v>2097448243.79</v>
      </c>
      <c r="OF17" s="11">
        <f t="shared" si="6"/>
        <v>455512734.9000001</v>
      </c>
      <c r="OG17" s="11">
        <f t="shared" si="6"/>
        <v>172912354.75000003</v>
      </c>
      <c r="OH17" s="11">
        <f t="shared" si="6"/>
        <v>564314653.06999993</v>
      </c>
      <c r="OI17" s="11">
        <f t="shared" si="6"/>
        <v>137183776.81999999</v>
      </c>
      <c r="OJ17" s="11">
        <f t="shared" si="6"/>
        <v>212375937.18000001</v>
      </c>
      <c r="OK17" s="11">
        <f t="shared" si="6"/>
        <v>374316746.09000003</v>
      </c>
      <c r="OL17" s="11">
        <f t="shared" si="6"/>
        <v>94063908.279999986</v>
      </c>
      <c r="OM17" s="11">
        <f t="shared" si="6"/>
        <v>250105493.56999999</v>
      </c>
      <c r="ON17" s="11">
        <f t="shared" si="6"/>
        <v>2084690253.6299999</v>
      </c>
      <c r="OO17" s="11">
        <f t="shared" si="6"/>
        <v>472595539.88999993</v>
      </c>
      <c r="OP17" s="11">
        <f t="shared" si="6"/>
        <v>714219971.8599999</v>
      </c>
      <c r="OQ17" s="11">
        <f t="shared" si="6"/>
        <v>376898679.81000006</v>
      </c>
      <c r="OR17" s="11">
        <f t="shared" si="6"/>
        <v>223466901.84</v>
      </c>
      <c r="OS17" s="11">
        <f t="shared" si="6"/>
        <v>103661726.28</v>
      </c>
      <c r="OT17" s="11">
        <f t="shared" si="6"/>
        <v>1166640635.01</v>
      </c>
      <c r="OU17" s="11">
        <f t="shared" si="6"/>
        <v>127395717.63000001</v>
      </c>
      <c r="OV17" s="11">
        <f t="shared" si="6"/>
        <v>127953003.46000001</v>
      </c>
      <c r="OW17" s="11">
        <f t="shared" si="6"/>
        <v>181306873.54000005</v>
      </c>
      <c r="OX17" s="11">
        <f t="shared" si="6"/>
        <v>199121129.99000001</v>
      </c>
      <c r="OY17" s="11">
        <f t="shared" si="6"/>
        <v>711440935.07999992</v>
      </c>
      <c r="OZ17" s="11">
        <f t="shared" si="6"/>
        <v>134610335.16999999</v>
      </c>
      <c r="PA17" s="11">
        <f t="shared" si="6"/>
        <v>98976611.200000003</v>
      </c>
      <c r="PB17" s="11">
        <f t="shared" si="6"/>
        <v>103100598.12</v>
      </c>
      <c r="PC17" s="11">
        <f t="shared" si="6"/>
        <v>1514759138.3000002</v>
      </c>
      <c r="PD17" s="11">
        <f t="shared" si="6"/>
        <v>113101178.18999998</v>
      </c>
      <c r="PE17" s="11">
        <f t="shared" si="6"/>
        <v>278923374.45000005</v>
      </c>
      <c r="PF17" s="11">
        <f t="shared" si="6"/>
        <v>60054852.32</v>
      </c>
      <c r="PG17" s="11">
        <f t="shared" si="6"/>
        <v>178012485.23999995</v>
      </c>
      <c r="PH17" s="11">
        <f t="shared" si="6"/>
        <v>400978526.80000001</v>
      </c>
      <c r="PI17" s="11">
        <f t="shared" si="6"/>
        <v>116252068.20999998</v>
      </c>
      <c r="PJ17" s="11">
        <f t="shared" si="6"/>
        <v>99109393.199999988</v>
      </c>
      <c r="PK17" s="11">
        <f t="shared" si="6"/>
        <v>139661799.34999999</v>
      </c>
      <c r="PL17" s="11">
        <f t="shared" si="6"/>
        <v>108155382.53000002</v>
      </c>
      <c r="PM17" s="11">
        <f t="shared" si="6"/>
        <v>167821547.07999998</v>
      </c>
      <c r="PN17" s="11">
        <f t="shared" si="6"/>
        <v>228196124.98000002</v>
      </c>
      <c r="PO17" s="11">
        <f t="shared" si="6"/>
        <v>89536432.379999995</v>
      </c>
      <c r="PP17" s="11">
        <f t="shared" si="6"/>
        <v>396815919.25999993</v>
      </c>
      <c r="PQ17" s="11">
        <f t="shared" si="6"/>
        <v>85324074.199999988</v>
      </c>
      <c r="PR17" s="11">
        <f t="shared" si="6"/>
        <v>62388473.949999988</v>
      </c>
      <c r="PS17" s="11">
        <f t="shared" si="6"/>
        <v>66150415.899999991</v>
      </c>
      <c r="PT17" s="11">
        <f t="shared" si="6"/>
        <v>70524066.680000007</v>
      </c>
      <c r="PU17" s="11">
        <f t="shared" si="6"/>
        <v>3485331130.8999996</v>
      </c>
      <c r="PV17" s="11">
        <f t="shared" si="6"/>
        <v>115970777.24000002</v>
      </c>
      <c r="PW17" s="11">
        <f t="shared" si="6"/>
        <v>124029344.99999997</v>
      </c>
      <c r="PX17" s="11">
        <f t="shared" si="6"/>
        <v>258381934.25</v>
      </c>
      <c r="PY17" s="11">
        <f t="shared" si="6"/>
        <v>867571762.41999996</v>
      </c>
      <c r="PZ17" s="11">
        <f t="shared" si="6"/>
        <v>172895006.03999999</v>
      </c>
      <c r="QA17" s="11">
        <f t="shared" si="6"/>
        <v>509889924.46000004</v>
      </c>
      <c r="QB17" s="11">
        <f t="shared" si="6"/>
        <v>147775622.83000001</v>
      </c>
      <c r="QC17" s="11">
        <f t="shared" si="6"/>
        <v>372520567.31999993</v>
      </c>
      <c r="QD17" s="11">
        <f t="shared" si="6"/>
        <v>62600453.379999988</v>
      </c>
      <c r="QE17" s="11">
        <f t="shared" si="6"/>
        <v>367534144.38999999</v>
      </c>
      <c r="QF17" s="11">
        <f t="shared" si="6"/>
        <v>97759677.199999988</v>
      </c>
      <c r="QG17" s="11">
        <f t="shared" si="6"/>
        <v>154226794.26999998</v>
      </c>
      <c r="QH17" s="11">
        <f t="shared" si="6"/>
        <v>203326198.52000001</v>
      </c>
      <c r="QI17" s="11">
        <f t="shared" ref="QI17:ST17" si="7">SUM(QI5:QI16)</f>
        <v>179635620.03000003</v>
      </c>
      <c r="QJ17" s="11">
        <f t="shared" si="7"/>
        <v>199627530.05999997</v>
      </c>
      <c r="QK17" s="11">
        <f t="shared" si="7"/>
        <v>103777950.59000002</v>
      </c>
      <c r="QL17" s="11">
        <f t="shared" si="7"/>
        <v>106971984.59999995</v>
      </c>
      <c r="QM17" s="11">
        <f t="shared" si="7"/>
        <v>73624625.319999993</v>
      </c>
      <c r="QN17" s="11">
        <f t="shared" si="7"/>
        <v>498695735.41000009</v>
      </c>
      <c r="QO17" s="11">
        <f t="shared" si="7"/>
        <v>427028499.99000001</v>
      </c>
      <c r="QP17" s="11">
        <f t="shared" si="7"/>
        <v>86246746.510000005</v>
      </c>
      <c r="QQ17" s="11">
        <f t="shared" si="7"/>
        <v>47916589.910000004</v>
      </c>
      <c r="QR17" s="11">
        <f t="shared" si="7"/>
        <v>37958330.539999999</v>
      </c>
      <c r="QS17" s="11">
        <f t="shared" si="7"/>
        <v>74619982.149999991</v>
      </c>
      <c r="QT17" s="11">
        <f t="shared" si="7"/>
        <v>38607632.380000003</v>
      </c>
      <c r="QU17" s="11">
        <f t="shared" si="7"/>
        <v>2011701230.1199996</v>
      </c>
      <c r="QV17" s="11">
        <f t="shared" si="7"/>
        <v>73507550.539999977</v>
      </c>
      <c r="QW17" s="11">
        <f t="shared" si="7"/>
        <v>370575118.74000007</v>
      </c>
      <c r="QX17" s="11">
        <f t="shared" si="7"/>
        <v>113110598.12999998</v>
      </c>
      <c r="QY17" s="11">
        <f t="shared" si="7"/>
        <v>164256100.22</v>
      </c>
      <c r="QZ17" s="11">
        <f t="shared" si="7"/>
        <v>288979719.59000009</v>
      </c>
      <c r="RA17" s="11">
        <f t="shared" si="7"/>
        <v>123491101.54000001</v>
      </c>
      <c r="RB17" s="11">
        <f t="shared" si="7"/>
        <v>226056164.70999998</v>
      </c>
      <c r="RC17" s="11">
        <f t="shared" si="7"/>
        <v>230854692.39000002</v>
      </c>
      <c r="RD17" s="11">
        <f t="shared" si="7"/>
        <v>111625441.14000002</v>
      </c>
      <c r="RE17" s="11">
        <f t="shared" si="7"/>
        <v>102796636.81</v>
      </c>
      <c r="RF17" s="11">
        <f t="shared" si="7"/>
        <v>94958419.340000004</v>
      </c>
      <c r="RG17" s="11">
        <f t="shared" si="7"/>
        <v>60072359.049999997</v>
      </c>
      <c r="RH17" s="11">
        <f t="shared" si="7"/>
        <v>2358010142.5299997</v>
      </c>
      <c r="RI17" s="11">
        <f t="shared" si="7"/>
        <v>349924875.81999999</v>
      </c>
      <c r="RJ17" s="11">
        <f t="shared" si="7"/>
        <v>141129243.39000002</v>
      </c>
      <c r="RK17" s="11">
        <f t="shared" si="7"/>
        <v>171113780.45000005</v>
      </c>
      <c r="RL17" s="11">
        <f t="shared" si="7"/>
        <v>197500143.35000002</v>
      </c>
      <c r="RM17" s="11">
        <f t="shared" si="7"/>
        <v>258681156.33000001</v>
      </c>
      <c r="RN17" s="11">
        <f t="shared" si="7"/>
        <v>427025899.55999994</v>
      </c>
      <c r="RO17" s="11">
        <f t="shared" si="7"/>
        <v>149814274.53999999</v>
      </c>
      <c r="RP17" s="11">
        <f t="shared" si="7"/>
        <v>156523961.94000003</v>
      </c>
      <c r="RQ17" s="11">
        <f t="shared" si="7"/>
        <v>321097650.17999995</v>
      </c>
      <c r="RR17" s="11">
        <f t="shared" si="7"/>
        <v>520513995.82999998</v>
      </c>
      <c r="RS17" s="11">
        <f t="shared" si="7"/>
        <v>64718949.430000007</v>
      </c>
      <c r="RT17" s="11">
        <f t="shared" si="7"/>
        <v>72407140.320000008</v>
      </c>
      <c r="RU17" s="11">
        <f t="shared" si="7"/>
        <v>159198399.84</v>
      </c>
      <c r="RV17" s="11">
        <f t="shared" si="7"/>
        <v>76292726.659999996</v>
      </c>
      <c r="RW17" s="11">
        <f t="shared" si="7"/>
        <v>107585307.41</v>
      </c>
      <c r="RX17" s="11">
        <f t="shared" si="7"/>
        <v>171095559.77000001</v>
      </c>
      <c r="RY17" s="11">
        <f t="shared" si="7"/>
        <v>57613264.119999997</v>
      </c>
      <c r="RZ17" s="11">
        <f t="shared" si="7"/>
        <v>46796464.07</v>
      </c>
      <c r="SA17" s="11">
        <f t="shared" si="7"/>
        <v>67618014.690000013</v>
      </c>
      <c r="SB17" s="11">
        <f t="shared" si="7"/>
        <v>944732529.70000005</v>
      </c>
      <c r="SC17" s="11">
        <f t="shared" si="7"/>
        <v>138438573.19000003</v>
      </c>
      <c r="SD17" s="11">
        <f t="shared" si="7"/>
        <v>122051710.48000002</v>
      </c>
      <c r="SE17" s="11">
        <f t="shared" si="7"/>
        <v>118433418.64</v>
      </c>
      <c r="SF17" s="11">
        <f t="shared" si="7"/>
        <v>75652696.390000001</v>
      </c>
      <c r="SG17" s="11">
        <f t="shared" si="7"/>
        <v>123712691.51000001</v>
      </c>
      <c r="SH17" s="11">
        <f t="shared" si="7"/>
        <v>182586253.02000001</v>
      </c>
      <c r="SI17" s="11">
        <f t="shared" si="7"/>
        <v>235173591.22000003</v>
      </c>
      <c r="SJ17" s="11">
        <f t="shared" si="7"/>
        <v>128587634.47000001</v>
      </c>
      <c r="SK17" s="11">
        <f t="shared" si="7"/>
        <v>129922361.04000002</v>
      </c>
      <c r="SL17" s="11">
        <f t="shared" si="7"/>
        <v>293412753.39999998</v>
      </c>
      <c r="SM17" s="11">
        <f t="shared" si="7"/>
        <v>50325216.380000003</v>
      </c>
      <c r="SN17" s="11">
        <f t="shared" si="7"/>
        <v>582535704.00999987</v>
      </c>
      <c r="SO17" s="11">
        <f t="shared" si="7"/>
        <v>126136736.53999996</v>
      </c>
      <c r="SP17" s="11">
        <f t="shared" si="7"/>
        <v>168094873.39000002</v>
      </c>
      <c r="SQ17" s="11">
        <f t="shared" si="7"/>
        <v>221325454.28000003</v>
      </c>
      <c r="SR17" s="11">
        <f t="shared" si="7"/>
        <v>132373535.20000002</v>
      </c>
      <c r="SS17" s="11">
        <f t="shared" si="7"/>
        <v>113105829.31999999</v>
      </c>
      <c r="ST17" s="11">
        <f t="shared" si="7"/>
        <v>99475904.99000001</v>
      </c>
      <c r="SU17" s="11">
        <f t="shared" ref="SU17:VF17" si="8">SUM(SU5:SU16)</f>
        <v>64888144.660000011</v>
      </c>
      <c r="SV17" s="11">
        <f t="shared" si="8"/>
        <v>1060129093.65</v>
      </c>
      <c r="SW17" s="11">
        <f t="shared" si="8"/>
        <v>108007627.01000001</v>
      </c>
      <c r="SX17" s="11">
        <f t="shared" si="8"/>
        <v>227427655.53999999</v>
      </c>
      <c r="SY17" s="11">
        <f t="shared" si="8"/>
        <v>123716959.42</v>
      </c>
      <c r="SZ17" s="11">
        <f t="shared" si="8"/>
        <v>56106534.960000016</v>
      </c>
      <c r="TA17" s="11">
        <f t="shared" si="8"/>
        <v>79196507.63000001</v>
      </c>
      <c r="TB17" s="11">
        <f t="shared" si="8"/>
        <v>108489136.50999999</v>
      </c>
      <c r="TC17" s="11">
        <f t="shared" si="8"/>
        <v>270996004.00999999</v>
      </c>
      <c r="TD17" s="11">
        <f t="shared" si="8"/>
        <v>87284217.640000001</v>
      </c>
      <c r="TE17" s="11">
        <f t="shared" si="8"/>
        <v>102430767.74000001</v>
      </c>
      <c r="TF17" s="11">
        <f t="shared" si="8"/>
        <v>116160272.47999999</v>
      </c>
      <c r="TG17" s="11">
        <f t="shared" si="8"/>
        <v>173995817.71000001</v>
      </c>
      <c r="TH17" s="11">
        <f t="shared" si="8"/>
        <v>96432926.87000002</v>
      </c>
      <c r="TI17" s="11">
        <f t="shared" si="8"/>
        <v>68957660.279999986</v>
      </c>
      <c r="TJ17" s="11">
        <f t="shared" si="8"/>
        <v>2107843847.1000004</v>
      </c>
      <c r="TK17" s="11">
        <f t="shared" si="8"/>
        <v>126247319.54000001</v>
      </c>
      <c r="TL17" s="11">
        <f t="shared" si="8"/>
        <v>85623092.840000004</v>
      </c>
      <c r="TM17" s="11">
        <f t="shared" si="8"/>
        <v>192198539.00000003</v>
      </c>
      <c r="TN17" s="11">
        <f t="shared" si="8"/>
        <v>191533844.96000001</v>
      </c>
      <c r="TO17" s="11">
        <f t="shared" si="8"/>
        <v>114607428.36</v>
      </c>
      <c r="TP17" s="11">
        <f t="shared" si="8"/>
        <v>52966264.219999991</v>
      </c>
      <c r="TQ17" s="11">
        <f t="shared" si="8"/>
        <v>488158838.04000014</v>
      </c>
      <c r="TR17" s="11">
        <f t="shared" si="8"/>
        <v>119103876.17</v>
      </c>
      <c r="TS17" s="11">
        <f t="shared" si="8"/>
        <v>182456885.43000001</v>
      </c>
      <c r="TT17" s="11">
        <f t="shared" si="8"/>
        <v>239337593.76999998</v>
      </c>
      <c r="TU17" s="11">
        <f t="shared" si="8"/>
        <v>101528207.5</v>
      </c>
      <c r="TV17" s="11">
        <f t="shared" si="8"/>
        <v>75796274.120000005</v>
      </c>
      <c r="TW17" s="11">
        <f t="shared" si="8"/>
        <v>126098476.95</v>
      </c>
      <c r="TX17" s="11">
        <f t="shared" si="8"/>
        <v>104652076.51000002</v>
      </c>
      <c r="TY17" s="11">
        <f t="shared" si="8"/>
        <v>96439957.370000005</v>
      </c>
      <c r="TZ17" s="11">
        <f t="shared" si="8"/>
        <v>573722464.37000012</v>
      </c>
      <c r="UA17" s="11">
        <f t="shared" si="8"/>
        <v>93581136.680000007</v>
      </c>
      <c r="UB17" s="11">
        <f t="shared" si="8"/>
        <v>1112451017.6900001</v>
      </c>
      <c r="UC17" s="11">
        <f t="shared" si="8"/>
        <v>275251179.87999994</v>
      </c>
      <c r="UD17" s="11">
        <f t="shared" si="8"/>
        <v>89960593.700000003</v>
      </c>
      <c r="UE17" s="11">
        <f t="shared" si="8"/>
        <v>106343298.19000001</v>
      </c>
      <c r="UF17" s="11">
        <f t="shared" si="8"/>
        <v>664498414.46999991</v>
      </c>
      <c r="UG17" s="11">
        <f t="shared" si="8"/>
        <v>80420488.539999992</v>
      </c>
      <c r="UH17" s="11">
        <f t="shared" si="8"/>
        <v>51192381.939999998</v>
      </c>
      <c r="UI17" s="11">
        <f t="shared" si="8"/>
        <v>89023535.199999988</v>
      </c>
      <c r="UJ17" s="11">
        <f t="shared" si="8"/>
        <v>79963064.250000015</v>
      </c>
      <c r="UK17" s="11">
        <f t="shared" si="8"/>
        <v>856039066.73999989</v>
      </c>
      <c r="UL17" s="11">
        <f t="shared" si="8"/>
        <v>192382754.80999997</v>
      </c>
      <c r="UM17" s="11">
        <f t="shared" si="8"/>
        <v>158565386.39000002</v>
      </c>
      <c r="UN17" s="11">
        <f t="shared" si="8"/>
        <v>212435152.80000001</v>
      </c>
      <c r="UO17" s="11">
        <f t="shared" si="8"/>
        <v>164384013.17000002</v>
      </c>
      <c r="UP17" s="11">
        <f t="shared" si="8"/>
        <v>99826432.289999992</v>
      </c>
      <c r="UQ17" s="11">
        <f t="shared" si="8"/>
        <v>3555516328.1999998</v>
      </c>
      <c r="UR17" s="11">
        <f t="shared" si="8"/>
        <v>168498429.29000002</v>
      </c>
      <c r="US17" s="11">
        <f t="shared" si="8"/>
        <v>182149030.41999996</v>
      </c>
      <c r="UT17" s="11">
        <f t="shared" si="8"/>
        <v>654532968.44999993</v>
      </c>
      <c r="UU17" s="11">
        <f t="shared" si="8"/>
        <v>66998401.619999997</v>
      </c>
      <c r="UV17" s="11">
        <f t="shared" si="8"/>
        <v>124460996.13</v>
      </c>
      <c r="UW17" s="11">
        <f t="shared" si="8"/>
        <v>332242351.40999997</v>
      </c>
      <c r="UX17" s="11">
        <f t="shared" si="8"/>
        <v>87651049.920000002</v>
      </c>
      <c r="UY17" s="11">
        <f t="shared" si="8"/>
        <v>84619985.269999996</v>
      </c>
      <c r="UZ17" s="11">
        <f t="shared" si="8"/>
        <v>130067589.78</v>
      </c>
      <c r="VA17" s="11">
        <f t="shared" si="8"/>
        <v>171130159.41000003</v>
      </c>
      <c r="VB17" s="11">
        <f t="shared" si="8"/>
        <v>324676594.71000004</v>
      </c>
      <c r="VC17" s="11">
        <f t="shared" si="8"/>
        <v>177074373.73999998</v>
      </c>
      <c r="VD17" s="11">
        <f t="shared" si="8"/>
        <v>252808356.00000003</v>
      </c>
      <c r="VE17" s="11">
        <f t="shared" si="8"/>
        <v>84570198.140000001</v>
      </c>
      <c r="VF17" s="11">
        <f t="shared" si="8"/>
        <v>85165943.63000001</v>
      </c>
      <c r="VG17" s="11">
        <f t="shared" ref="VG17:XR17" si="9">SUM(VG5:VG16)</f>
        <v>79315954.700000003</v>
      </c>
      <c r="VH17" s="11">
        <f t="shared" si="9"/>
        <v>81586705.049999982</v>
      </c>
      <c r="VI17" s="11">
        <f t="shared" si="9"/>
        <v>376476117.35000008</v>
      </c>
      <c r="VJ17" s="11">
        <f t="shared" si="9"/>
        <v>60828640.319999993</v>
      </c>
      <c r="VK17" s="11">
        <f t="shared" si="9"/>
        <v>68132816.450000003</v>
      </c>
      <c r="VL17" s="11">
        <f t="shared" si="9"/>
        <v>49318622.829999998</v>
      </c>
      <c r="VM17" s="11">
        <f t="shared" si="9"/>
        <v>1730348390.3099997</v>
      </c>
      <c r="VN17" s="11">
        <f t="shared" si="9"/>
        <v>141425256.18000001</v>
      </c>
      <c r="VO17" s="11">
        <f t="shared" si="9"/>
        <v>149498678.51000002</v>
      </c>
      <c r="VP17" s="11">
        <f t="shared" si="9"/>
        <v>239317865.50999996</v>
      </c>
      <c r="VQ17" s="11">
        <f t="shared" si="9"/>
        <v>269892575.89999998</v>
      </c>
      <c r="VR17" s="11">
        <f t="shared" si="9"/>
        <v>243986530.20000002</v>
      </c>
      <c r="VS17" s="11">
        <f t="shared" si="9"/>
        <v>164214083.25999996</v>
      </c>
      <c r="VT17" s="11">
        <f t="shared" si="9"/>
        <v>146030304.47000003</v>
      </c>
      <c r="VU17" s="11">
        <f t="shared" si="9"/>
        <v>137023924.41999999</v>
      </c>
      <c r="VV17" s="11">
        <f t="shared" si="9"/>
        <v>549757404.88000011</v>
      </c>
      <c r="VW17" s="11">
        <f t="shared" si="9"/>
        <v>121081472.98</v>
      </c>
      <c r="VX17" s="11">
        <f t="shared" si="9"/>
        <v>444010355.95000005</v>
      </c>
      <c r="VY17" s="11">
        <f t="shared" si="9"/>
        <v>133204048.37</v>
      </c>
      <c r="VZ17" s="11">
        <f t="shared" si="9"/>
        <v>101772218.37999998</v>
      </c>
      <c r="WA17" s="11">
        <f t="shared" si="9"/>
        <v>89969216.890000001</v>
      </c>
      <c r="WB17" s="11">
        <f t="shared" si="9"/>
        <v>5151191251.6599998</v>
      </c>
      <c r="WC17" s="11">
        <f t="shared" si="9"/>
        <v>298270042.09000003</v>
      </c>
      <c r="WD17" s="11">
        <f t="shared" si="9"/>
        <v>155483313.45000002</v>
      </c>
      <c r="WE17" s="11">
        <f t="shared" si="9"/>
        <v>189807177.09</v>
      </c>
      <c r="WF17" s="11">
        <f t="shared" si="9"/>
        <v>100085384.40000001</v>
      </c>
      <c r="WG17" s="11">
        <f t="shared" si="9"/>
        <v>181923522.66</v>
      </c>
      <c r="WH17" s="11">
        <f t="shared" si="9"/>
        <v>277587930.50999999</v>
      </c>
      <c r="WI17" s="11">
        <f t="shared" si="9"/>
        <v>267965158.26000002</v>
      </c>
      <c r="WJ17" s="11">
        <f t="shared" si="9"/>
        <v>150867390.72999999</v>
      </c>
      <c r="WK17" s="11">
        <f t="shared" si="9"/>
        <v>218723445.12</v>
      </c>
      <c r="WL17" s="11">
        <f t="shared" si="9"/>
        <v>113296534.15000002</v>
      </c>
      <c r="WM17" s="11">
        <f t="shared" si="9"/>
        <v>403349612.67000002</v>
      </c>
      <c r="WN17" s="11">
        <f t="shared" si="9"/>
        <v>179917615.29000002</v>
      </c>
      <c r="WO17" s="11">
        <f t="shared" si="9"/>
        <v>324017071.67399997</v>
      </c>
      <c r="WP17" s="11">
        <f t="shared" si="9"/>
        <v>398336532.45999998</v>
      </c>
      <c r="WQ17" s="11">
        <f t="shared" si="9"/>
        <v>205419197.99000001</v>
      </c>
      <c r="WR17" s="11">
        <f t="shared" si="9"/>
        <v>190127465.73999998</v>
      </c>
      <c r="WS17" s="11">
        <f t="shared" si="9"/>
        <v>259272687.97</v>
      </c>
      <c r="WT17" s="11">
        <f t="shared" si="9"/>
        <v>114044837.40000001</v>
      </c>
      <c r="WU17" s="11">
        <f t="shared" si="9"/>
        <v>331099965.31999999</v>
      </c>
      <c r="WV17" s="11">
        <f t="shared" si="9"/>
        <v>693111279.3299998</v>
      </c>
      <c r="WW17" s="11">
        <f t="shared" si="9"/>
        <v>137122935.16999999</v>
      </c>
      <c r="WX17" s="11">
        <f t="shared" si="9"/>
        <v>100378395.36</v>
      </c>
      <c r="WY17" s="11">
        <f t="shared" si="9"/>
        <v>81323692.140000001</v>
      </c>
      <c r="WZ17" s="11">
        <f t="shared" si="9"/>
        <v>101743040.77000001</v>
      </c>
      <c r="XA17" s="11">
        <f t="shared" si="9"/>
        <v>91973204.670000017</v>
      </c>
      <c r="XB17" s="11">
        <f t="shared" si="9"/>
        <v>84674724.980000019</v>
      </c>
      <c r="XC17" s="11">
        <f t="shared" si="9"/>
        <v>102509215.01999998</v>
      </c>
      <c r="XD17" s="11">
        <f t="shared" si="9"/>
        <v>675036397.66000009</v>
      </c>
      <c r="XE17" s="11">
        <f t="shared" si="9"/>
        <v>77636981.814999998</v>
      </c>
      <c r="XF17" s="11">
        <f t="shared" si="9"/>
        <v>70845974.739999995</v>
      </c>
      <c r="XG17" s="11">
        <f t="shared" si="9"/>
        <v>52360628.650000006</v>
      </c>
      <c r="XH17" s="11">
        <f t="shared" si="9"/>
        <v>77284122.959999993</v>
      </c>
      <c r="XI17" s="11">
        <f t="shared" si="9"/>
        <v>2887058828.2400007</v>
      </c>
      <c r="XJ17" s="11">
        <f t="shared" si="9"/>
        <v>277342818.07999998</v>
      </c>
      <c r="XK17" s="11">
        <f t="shared" si="9"/>
        <v>303283836.55000001</v>
      </c>
      <c r="XL17" s="11">
        <f t="shared" si="9"/>
        <v>776240880.99000001</v>
      </c>
      <c r="XM17" s="11">
        <f t="shared" si="9"/>
        <v>172636905.18000001</v>
      </c>
      <c r="XN17" s="11">
        <f t="shared" si="9"/>
        <v>212832765.93000001</v>
      </c>
      <c r="XO17" s="11">
        <f t="shared" si="9"/>
        <v>442646146.61000001</v>
      </c>
      <c r="XP17" s="11">
        <f t="shared" si="9"/>
        <v>211380856.77999994</v>
      </c>
      <c r="XQ17" s="11">
        <f t="shared" si="9"/>
        <v>160169644.94999996</v>
      </c>
      <c r="XR17" s="11">
        <f t="shared" si="9"/>
        <v>376961155.36000007</v>
      </c>
      <c r="XS17" s="11">
        <f t="shared" ref="XS17:AAD17" si="10">SUM(XS5:XS16)</f>
        <v>358534048.00999999</v>
      </c>
      <c r="XT17" s="11">
        <f t="shared" si="10"/>
        <v>121889134.49000001</v>
      </c>
      <c r="XU17" s="11">
        <f t="shared" si="10"/>
        <v>135204272.93000001</v>
      </c>
      <c r="XV17" s="11">
        <f t="shared" si="10"/>
        <v>163474919.65000004</v>
      </c>
      <c r="XW17" s="11">
        <f t="shared" si="10"/>
        <v>140759317.60000002</v>
      </c>
      <c r="XX17" s="11">
        <f t="shared" si="10"/>
        <v>97823952.399999991</v>
      </c>
      <c r="XY17" s="11">
        <f t="shared" si="10"/>
        <v>84165576.600000009</v>
      </c>
      <c r="XZ17" s="11">
        <f t="shared" si="10"/>
        <v>115136285.68000001</v>
      </c>
      <c r="YA17" s="11">
        <f t="shared" si="10"/>
        <v>87535307.61999999</v>
      </c>
      <c r="YB17" s="11">
        <f t="shared" si="10"/>
        <v>111001336.25</v>
      </c>
      <c r="YC17" s="11">
        <f t="shared" si="10"/>
        <v>120377355.53</v>
      </c>
      <c r="YD17" s="11">
        <f t="shared" si="10"/>
        <v>95604457.149999991</v>
      </c>
      <c r="YE17" s="11">
        <f t="shared" si="10"/>
        <v>115986579.52999997</v>
      </c>
      <c r="YF17" s="11">
        <f t="shared" si="10"/>
        <v>3009804302.8800001</v>
      </c>
      <c r="YG17" s="11">
        <f t="shared" si="10"/>
        <v>199139721.01000002</v>
      </c>
      <c r="YH17" s="11">
        <f t="shared" si="10"/>
        <v>278791225.59000009</v>
      </c>
      <c r="YI17" s="11">
        <f t="shared" si="10"/>
        <v>166105268.91000003</v>
      </c>
      <c r="YJ17" s="11">
        <f t="shared" si="10"/>
        <v>759508258.62000024</v>
      </c>
      <c r="YK17" s="11">
        <f t="shared" si="10"/>
        <v>282295442.48000002</v>
      </c>
      <c r="YL17" s="11">
        <f t="shared" si="10"/>
        <v>400703806.15999997</v>
      </c>
      <c r="YM17" s="11">
        <f t="shared" si="10"/>
        <v>113054862.41999999</v>
      </c>
      <c r="YN17" s="11">
        <f t="shared" si="10"/>
        <v>621937401.03000009</v>
      </c>
      <c r="YO17" s="11">
        <f t="shared" si="10"/>
        <v>400344172.73000002</v>
      </c>
      <c r="YP17" s="11">
        <f t="shared" si="10"/>
        <v>257923960.95000005</v>
      </c>
      <c r="YQ17" s="11">
        <f t="shared" si="10"/>
        <v>144560467.69</v>
      </c>
      <c r="YR17" s="11">
        <f t="shared" si="10"/>
        <v>105641982.02999997</v>
      </c>
      <c r="YS17" s="11">
        <f t="shared" si="10"/>
        <v>108498180.47999999</v>
      </c>
      <c r="YT17" s="11">
        <f t="shared" si="10"/>
        <v>93367425.949999988</v>
      </c>
      <c r="YU17" s="11">
        <f t="shared" si="10"/>
        <v>119307752.94000001</v>
      </c>
      <c r="YV17" s="11">
        <f t="shared" si="10"/>
        <v>100965864.20999998</v>
      </c>
      <c r="YW17" s="11">
        <f t="shared" si="10"/>
        <v>1165412206.846</v>
      </c>
      <c r="YX17" s="11">
        <f t="shared" si="10"/>
        <v>154826637.5</v>
      </c>
      <c r="YY17" s="11">
        <f t="shared" si="10"/>
        <v>117520090.18000002</v>
      </c>
      <c r="YZ17" s="11">
        <f t="shared" si="10"/>
        <v>112489373.37999998</v>
      </c>
      <c r="ZA17" s="11">
        <f t="shared" si="10"/>
        <v>142224566.35999998</v>
      </c>
      <c r="ZB17" s="11">
        <f t="shared" si="10"/>
        <v>72615378.25999999</v>
      </c>
      <c r="ZC17" s="11">
        <f t="shared" si="10"/>
        <v>102721171.30999999</v>
      </c>
      <c r="ZD17" s="11">
        <f t="shared" si="10"/>
        <v>1205076746.04</v>
      </c>
      <c r="ZE17" s="11">
        <f t="shared" si="10"/>
        <v>85509158.49000001</v>
      </c>
      <c r="ZF17" s="11">
        <f t="shared" si="10"/>
        <v>154081650.70000002</v>
      </c>
      <c r="ZG17" s="11">
        <f t="shared" si="10"/>
        <v>143858019.75</v>
      </c>
      <c r="ZH17" s="11">
        <f t="shared" si="10"/>
        <v>103220677.32999998</v>
      </c>
      <c r="ZI17" s="11">
        <f t="shared" si="10"/>
        <v>100429967.25000001</v>
      </c>
      <c r="ZJ17" s="11">
        <f t="shared" si="10"/>
        <v>111376608.68999998</v>
      </c>
      <c r="ZK17" s="11">
        <f t="shared" si="10"/>
        <v>72516480.709999993</v>
      </c>
      <c r="ZL17" s="11">
        <f t="shared" si="10"/>
        <v>267910503.30000001</v>
      </c>
      <c r="ZM17" s="11">
        <f t="shared" si="10"/>
        <v>2054474725.29</v>
      </c>
      <c r="ZN17" s="11">
        <f t="shared" si="10"/>
        <v>118757025.09000002</v>
      </c>
      <c r="ZO17" s="11">
        <f t="shared" si="10"/>
        <v>216047154.41999999</v>
      </c>
      <c r="ZP17" s="11">
        <f t="shared" si="10"/>
        <v>756414535.90000033</v>
      </c>
      <c r="ZQ17" s="11">
        <f t="shared" si="10"/>
        <v>293130686.93999994</v>
      </c>
      <c r="ZR17" s="11">
        <f t="shared" si="10"/>
        <v>123061666.22999999</v>
      </c>
      <c r="ZS17" s="11">
        <f t="shared" si="10"/>
        <v>149048444.08999997</v>
      </c>
      <c r="ZT17" s="11">
        <f t="shared" si="10"/>
        <v>245527132.73999998</v>
      </c>
      <c r="ZU17" s="11">
        <f t="shared" si="10"/>
        <v>207525872.59999996</v>
      </c>
      <c r="ZV17" s="11">
        <f t="shared" si="10"/>
        <v>267348235.67000002</v>
      </c>
      <c r="ZW17" s="11">
        <f t="shared" si="10"/>
        <v>60657218.74000001</v>
      </c>
      <c r="ZX17" s="11">
        <f t="shared" si="10"/>
        <v>94189243.970000014</v>
      </c>
      <c r="ZY17" s="11">
        <f t="shared" si="10"/>
        <v>101615185.91000001</v>
      </c>
      <c r="ZZ17" s="11">
        <f t="shared" si="10"/>
        <v>273672295.70999992</v>
      </c>
      <c r="AAA17" s="11">
        <f t="shared" si="10"/>
        <v>110385725.72000001</v>
      </c>
      <c r="AAB17" s="11">
        <f t="shared" si="10"/>
        <v>121144535.19999999</v>
      </c>
      <c r="AAC17" s="11">
        <f t="shared" si="10"/>
        <v>127564022.15000001</v>
      </c>
      <c r="AAD17" s="11">
        <f t="shared" si="10"/>
        <v>145807067.72000003</v>
      </c>
      <c r="AAE17" s="11">
        <f t="shared" ref="AAE17:ACO17" si="11">SUM(AAE5:AAE16)</f>
        <v>112189251.94</v>
      </c>
      <c r="AAF17" s="11">
        <f t="shared" si="11"/>
        <v>89452635.029999986</v>
      </c>
      <c r="AAG17" s="11">
        <f t="shared" si="11"/>
        <v>54066256.480000004</v>
      </c>
      <c r="AAH17" s="11">
        <f t="shared" si="11"/>
        <v>59171917.789999984</v>
      </c>
      <c r="AAI17" s="11">
        <f t="shared" si="11"/>
        <v>960496905.46999991</v>
      </c>
      <c r="AAJ17" s="11">
        <f t="shared" si="11"/>
        <v>86150846.549999997</v>
      </c>
      <c r="AAK17" s="11">
        <f t="shared" si="11"/>
        <v>110026468.06999999</v>
      </c>
      <c r="AAL17" s="11">
        <f t="shared" si="11"/>
        <v>91043785.299999997</v>
      </c>
      <c r="AAM17" s="11">
        <f t="shared" si="11"/>
        <v>96971740.099999994</v>
      </c>
      <c r="AAN17" s="11">
        <f t="shared" si="11"/>
        <v>152745556.69</v>
      </c>
      <c r="AAO17" s="11">
        <f t="shared" si="11"/>
        <v>106070200.90000001</v>
      </c>
      <c r="AAP17" s="11">
        <f t="shared" si="11"/>
        <v>3460997866.0399995</v>
      </c>
      <c r="AAQ17" s="11">
        <f t="shared" si="11"/>
        <v>150199468.05999997</v>
      </c>
      <c r="AAR17" s="11">
        <f t="shared" si="11"/>
        <v>118913153.22</v>
      </c>
      <c r="AAS17" s="11">
        <f t="shared" si="11"/>
        <v>392365019.62000006</v>
      </c>
      <c r="AAT17" s="11">
        <f t="shared" si="11"/>
        <v>173154768.17999995</v>
      </c>
      <c r="AAU17" s="11">
        <f t="shared" si="11"/>
        <v>134591284.96000001</v>
      </c>
      <c r="AAV17" s="11">
        <f t="shared" si="11"/>
        <v>139281438.70000002</v>
      </c>
      <c r="AAW17" s="11">
        <f t="shared" si="11"/>
        <v>286448502.80999994</v>
      </c>
      <c r="AAX17" s="11">
        <f t="shared" si="11"/>
        <v>421030622.80000007</v>
      </c>
      <c r="AAY17" s="11">
        <f t="shared" si="11"/>
        <v>102467078.27000003</v>
      </c>
      <c r="AAZ17" s="11">
        <f t="shared" si="11"/>
        <v>242918654.38999999</v>
      </c>
      <c r="ABA17" s="11">
        <f t="shared" si="11"/>
        <v>575359867.05000007</v>
      </c>
      <c r="ABB17" s="11">
        <f t="shared" si="11"/>
        <v>376064289.02000004</v>
      </c>
      <c r="ABC17" s="11">
        <f t="shared" si="11"/>
        <v>74614765.689999998</v>
      </c>
      <c r="ABD17" s="11">
        <f t="shared" si="11"/>
        <v>108157841.89000002</v>
      </c>
      <c r="ABE17" s="11">
        <f t="shared" si="11"/>
        <v>106245813.99999997</v>
      </c>
      <c r="ABF17" s="11">
        <f t="shared" si="11"/>
        <v>79597157.679999992</v>
      </c>
      <c r="ABG17" s="11">
        <f t="shared" si="11"/>
        <v>127055765.70999998</v>
      </c>
      <c r="ABH17" s="11">
        <f t="shared" si="11"/>
        <v>69788782.310000002</v>
      </c>
      <c r="ABI17" s="11">
        <f t="shared" si="11"/>
        <v>939984907.72000027</v>
      </c>
      <c r="ABJ17" s="11">
        <f t="shared" si="11"/>
        <v>704033746.4799999</v>
      </c>
      <c r="ABK17" s="11">
        <f t="shared" si="11"/>
        <v>77471417.979999989</v>
      </c>
      <c r="ABL17" s="11">
        <f t="shared" si="11"/>
        <v>79187738.359999999</v>
      </c>
      <c r="ABM17" s="11">
        <f t="shared" si="11"/>
        <v>66918274.520000011</v>
      </c>
      <c r="ABN17" s="11">
        <f t="shared" si="11"/>
        <v>74897445</v>
      </c>
      <c r="ABO17" s="11">
        <f t="shared" si="11"/>
        <v>60778638.769999988</v>
      </c>
      <c r="ABP17" s="11">
        <f t="shared" si="11"/>
        <v>1381062296.8399999</v>
      </c>
      <c r="ABQ17" s="11">
        <f t="shared" si="11"/>
        <v>171480284.47</v>
      </c>
      <c r="ABR17" s="11">
        <f t="shared" si="11"/>
        <v>156570130.59999999</v>
      </c>
      <c r="ABS17" s="11">
        <f t="shared" si="11"/>
        <v>268440570.73000002</v>
      </c>
      <c r="ABT17" s="11">
        <f t="shared" si="11"/>
        <v>323142207.36999995</v>
      </c>
      <c r="ABU17" s="11">
        <f t="shared" si="11"/>
        <v>200625432.46000001</v>
      </c>
      <c r="ABV17" s="11">
        <f t="shared" si="11"/>
        <v>109790781.13999999</v>
      </c>
      <c r="ABW17" s="11">
        <f t="shared" si="11"/>
        <v>187251106.15000001</v>
      </c>
      <c r="ABX17" s="11">
        <f t="shared" si="11"/>
        <v>40083175.579999998</v>
      </c>
      <c r="ABY17" s="11">
        <f t="shared" si="11"/>
        <v>1366015693.7600002</v>
      </c>
      <c r="ABZ17" s="11">
        <f t="shared" si="11"/>
        <v>141385143.48999998</v>
      </c>
      <c r="ACA17" s="11">
        <f t="shared" si="11"/>
        <v>210927621.87</v>
      </c>
      <c r="ACB17" s="11">
        <f t="shared" si="11"/>
        <v>98097059.080000028</v>
      </c>
      <c r="ACC17" s="11">
        <f t="shared" si="11"/>
        <v>78614150.919999987</v>
      </c>
      <c r="ACD17" s="11">
        <f t="shared" si="11"/>
        <v>369561150.59000003</v>
      </c>
      <c r="ACE17" s="11">
        <f t="shared" si="11"/>
        <v>106748386.72</v>
      </c>
      <c r="ACF17" s="11">
        <f t="shared" si="11"/>
        <v>112570755.78</v>
      </c>
      <c r="ACG17" s="11">
        <f t="shared" si="11"/>
        <v>92154274.879999995</v>
      </c>
      <c r="ACH17" s="11">
        <f t="shared" si="11"/>
        <v>196771833.58000001</v>
      </c>
      <c r="ACI17" s="11">
        <f t="shared" si="11"/>
        <v>128020595.07000001</v>
      </c>
      <c r="ACJ17" s="11">
        <f t="shared" si="11"/>
        <v>2648790974.4299998</v>
      </c>
      <c r="ACK17" s="11">
        <f t="shared" si="11"/>
        <v>136694485.58000001</v>
      </c>
      <c r="ACL17" s="11">
        <f t="shared" si="11"/>
        <v>180862452.80000001</v>
      </c>
      <c r="ACM17" s="11">
        <f t="shared" si="11"/>
        <v>318319775.89999998</v>
      </c>
      <c r="ACN17" s="11">
        <f t="shared" si="11"/>
        <v>110734892.69999999</v>
      </c>
      <c r="ACO17" s="11">
        <f t="shared" si="11"/>
        <v>130869960.62999998</v>
      </c>
      <c r="ACP17" s="11">
        <f t="shared" ref="ACP17:AEY17" si="12">SUM(ACP5:ACP16)</f>
        <v>199082892.69999999</v>
      </c>
      <c r="ACQ17" s="11">
        <f t="shared" si="12"/>
        <v>706572478.33999991</v>
      </c>
      <c r="ACR17" s="11">
        <f t="shared" si="12"/>
        <v>790304149.66999996</v>
      </c>
      <c r="ACS17" s="11">
        <f t="shared" si="12"/>
        <v>138028572.33999997</v>
      </c>
      <c r="ACT17" s="11">
        <f t="shared" si="12"/>
        <v>181053603.47999999</v>
      </c>
      <c r="ACU17" s="11">
        <f t="shared" si="12"/>
        <v>255226434.72000006</v>
      </c>
      <c r="ACV17" s="11">
        <f t="shared" si="12"/>
        <v>182851860.03</v>
      </c>
      <c r="ACW17" s="11">
        <f t="shared" si="12"/>
        <v>985452949.02999997</v>
      </c>
      <c r="ACX17" s="11">
        <f t="shared" si="12"/>
        <v>129833241.83</v>
      </c>
      <c r="ACY17" s="11">
        <f t="shared" si="12"/>
        <v>166839916.83000001</v>
      </c>
      <c r="ACZ17" s="11">
        <f t="shared" si="12"/>
        <v>113957233.02000001</v>
      </c>
      <c r="ADA17" s="11">
        <f t="shared" si="12"/>
        <v>71042810.609999999</v>
      </c>
      <c r="ADB17" s="11">
        <f t="shared" si="12"/>
        <v>79895597.709999993</v>
      </c>
      <c r="ADC17" s="11">
        <f t="shared" si="12"/>
        <v>71832544.390000001</v>
      </c>
      <c r="ADD17" s="11">
        <f t="shared" si="12"/>
        <v>101061801.35000001</v>
      </c>
      <c r="ADE17" s="11">
        <f t="shared" si="12"/>
        <v>55400728.789999999</v>
      </c>
      <c r="ADF17" s="11">
        <f t="shared" si="12"/>
        <v>87598075.839999974</v>
      </c>
      <c r="ADG17" s="11">
        <f t="shared" si="12"/>
        <v>590012523.83999991</v>
      </c>
      <c r="ADH17" s="11">
        <f t="shared" si="12"/>
        <v>511494705.38999987</v>
      </c>
      <c r="ADI17" s="11">
        <f t="shared" si="12"/>
        <v>81695009.379999995</v>
      </c>
      <c r="ADJ17" s="11">
        <f t="shared" si="12"/>
        <v>64519323.730000004</v>
      </c>
      <c r="ADK17" s="11">
        <f t="shared" si="12"/>
        <v>135105445.88000003</v>
      </c>
      <c r="ADL17" s="11">
        <f t="shared" si="12"/>
        <v>54135199.770000003</v>
      </c>
      <c r="ADM17" s="11">
        <f t="shared" si="12"/>
        <v>118904878.06999999</v>
      </c>
      <c r="ADN17" s="11">
        <f t="shared" si="12"/>
        <v>87823736.329999998</v>
      </c>
      <c r="ADO17" s="11">
        <f t="shared" si="12"/>
        <v>132117573.99999999</v>
      </c>
      <c r="ADP17" s="11">
        <f t="shared" si="12"/>
        <v>2557217992.1199994</v>
      </c>
      <c r="ADQ17" s="11">
        <f t="shared" si="12"/>
        <v>317477747.5</v>
      </c>
      <c r="ADR17" s="11">
        <f t="shared" si="12"/>
        <v>318859748.38</v>
      </c>
      <c r="ADS17" s="11">
        <f t="shared" si="12"/>
        <v>176182536.91999999</v>
      </c>
      <c r="ADT17" s="11">
        <f t="shared" si="12"/>
        <v>730274976.70000005</v>
      </c>
      <c r="ADU17" s="11">
        <f t="shared" si="12"/>
        <v>73313351.88000001</v>
      </c>
      <c r="ADV17" s="11">
        <f t="shared" si="12"/>
        <v>98651036.109999999</v>
      </c>
      <c r="ADW17" s="11">
        <f t="shared" si="12"/>
        <v>136128627.22999999</v>
      </c>
      <c r="ADX17" s="11">
        <f t="shared" si="12"/>
        <v>65107020.440000005</v>
      </c>
      <c r="ADY17" s="11">
        <f t="shared" si="12"/>
        <v>49929796.899999999</v>
      </c>
      <c r="ADZ17" s="11">
        <f t="shared" si="12"/>
        <v>2813915715.1499996</v>
      </c>
      <c r="AEA17" s="11">
        <f t="shared" si="12"/>
        <v>572722499.62</v>
      </c>
      <c r="AEB17" s="11">
        <f t="shared" si="12"/>
        <v>405245658.22000003</v>
      </c>
      <c r="AEC17" s="11">
        <f t="shared" si="12"/>
        <v>106339275.31</v>
      </c>
      <c r="AED17" s="11">
        <f t="shared" si="12"/>
        <v>226983027.55000001</v>
      </c>
      <c r="AEE17" s="11">
        <f t="shared" si="12"/>
        <v>272687117.42999995</v>
      </c>
      <c r="AEF17" s="11">
        <f t="shared" si="12"/>
        <v>150788006.13000003</v>
      </c>
      <c r="AEG17" s="11">
        <f t="shared" si="12"/>
        <v>131629868.36999999</v>
      </c>
      <c r="AEH17" s="11">
        <f t="shared" si="12"/>
        <v>127038984.02000003</v>
      </c>
      <c r="AEI17" s="11">
        <f t="shared" si="12"/>
        <v>166093660.50000003</v>
      </c>
      <c r="AEJ17" s="11">
        <f t="shared" si="12"/>
        <v>161704070.81999999</v>
      </c>
      <c r="AEK17" s="11">
        <f t="shared" si="12"/>
        <v>375135424.99000007</v>
      </c>
      <c r="AEL17" s="11">
        <f t="shared" si="12"/>
        <v>127563897.02</v>
      </c>
      <c r="AEM17" s="11">
        <f t="shared" si="12"/>
        <v>233126492.67000002</v>
      </c>
      <c r="AEN17" s="11">
        <f t="shared" si="12"/>
        <v>199330326.07000002</v>
      </c>
      <c r="AEO17" s="11">
        <f t="shared" si="12"/>
        <v>250362442.30000001</v>
      </c>
      <c r="AEP17" s="11">
        <f t="shared" si="12"/>
        <v>98202815.38000001</v>
      </c>
      <c r="AEQ17" s="11">
        <f t="shared" si="12"/>
        <v>248131441.72</v>
      </c>
      <c r="AER17" s="11">
        <f t="shared" si="12"/>
        <v>69886105.220000014</v>
      </c>
      <c r="AES17" s="11">
        <f t="shared" si="12"/>
        <v>300272343.56999993</v>
      </c>
      <c r="AET17" s="11">
        <f t="shared" si="12"/>
        <v>2314094262.27</v>
      </c>
      <c r="AEU17" s="11">
        <f t="shared" si="12"/>
        <v>272028141.19</v>
      </c>
      <c r="AEV17" s="11">
        <f t="shared" si="12"/>
        <v>267187938.62999997</v>
      </c>
      <c r="AEW17" s="11">
        <f t="shared" si="12"/>
        <v>175956533.16000003</v>
      </c>
      <c r="AEX17" s="11">
        <f t="shared" si="12"/>
        <v>163020013.89000002</v>
      </c>
      <c r="AEY17" s="11">
        <f t="shared" si="12"/>
        <v>263608340.03000003</v>
      </c>
      <c r="AEZ17" s="11">
        <f t="shared" ref="AEZ17:AHJ17" si="13">SUM(AEZ5:AEZ16)</f>
        <v>131671152.60999997</v>
      </c>
      <c r="AFA17" s="11">
        <f t="shared" si="13"/>
        <v>147272360.54000002</v>
      </c>
      <c r="AFB17" s="11">
        <f t="shared" si="13"/>
        <v>97209244.800000027</v>
      </c>
      <c r="AFC17" s="11">
        <f t="shared" si="13"/>
        <v>57027685.749999993</v>
      </c>
      <c r="AFD17" s="11">
        <f t="shared" si="13"/>
        <v>1244884378.99</v>
      </c>
      <c r="AFE17" s="11">
        <f t="shared" si="13"/>
        <v>670842355.09000003</v>
      </c>
      <c r="AFF17" s="11">
        <f t="shared" si="13"/>
        <v>253426761.50999999</v>
      </c>
      <c r="AFG17" s="11">
        <f t="shared" si="13"/>
        <v>184969824.81999999</v>
      </c>
      <c r="AFH17" s="11">
        <f t="shared" si="13"/>
        <v>392943551.88</v>
      </c>
      <c r="AFI17" s="11">
        <f t="shared" si="13"/>
        <v>236479007.42999998</v>
      </c>
      <c r="AFJ17" s="11">
        <f t="shared" si="13"/>
        <v>133993852.36</v>
      </c>
      <c r="AFK17" s="11">
        <f t="shared" si="13"/>
        <v>165579704.88999999</v>
      </c>
      <c r="AFL17" s="11">
        <f t="shared" si="13"/>
        <v>127455920.55</v>
      </c>
      <c r="AFM17" s="11">
        <f t="shared" si="13"/>
        <v>188793827.03</v>
      </c>
      <c r="AFN17" s="11">
        <f t="shared" si="13"/>
        <v>179697558.75999999</v>
      </c>
      <c r="AFO17" s="11">
        <f t="shared" si="13"/>
        <v>157114583.88</v>
      </c>
      <c r="AFP17" s="11">
        <f t="shared" si="13"/>
        <v>198060404.68999997</v>
      </c>
      <c r="AFQ17" s="11">
        <f t="shared" si="13"/>
        <v>1314232895.5099998</v>
      </c>
      <c r="AFR17" s="11">
        <f t="shared" si="13"/>
        <v>334953979.36999995</v>
      </c>
      <c r="AFS17" s="11">
        <f t="shared" si="13"/>
        <v>222216497.82999998</v>
      </c>
      <c r="AFT17" s="11">
        <f t="shared" si="13"/>
        <v>173091608.99000004</v>
      </c>
      <c r="AFU17" s="11">
        <f t="shared" si="13"/>
        <v>239340051.57999998</v>
      </c>
      <c r="AFV17" s="11">
        <f t="shared" si="13"/>
        <v>169164084.55000001</v>
      </c>
      <c r="AFW17" s="11">
        <f t="shared" si="13"/>
        <v>95271965</v>
      </c>
      <c r="AFX17" s="11">
        <f t="shared" si="13"/>
        <v>305773607.00000006</v>
      </c>
      <c r="AFY17" s="11">
        <f t="shared" si="13"/>
        <v>245046014.68000001</v>
      </c>
      <c r="AFZ17" s="11">
        <f t="shared" si="13"/>
        <v>97874567.329999998</v>
      </c>
      <c r="AGA17" s="11">
        <f t="shared" si="13"/>
        <v>352246469.56</v>
      </c>
      <c r="AGB17" s="11">
        <f t="shared" si="13"/>
        <v>141110016.11000001</v>
      </c>
      <c r="AGC17" s="11">
        <f t="shared" si="13"/>
        <v>1529409611.9400001</v>
      </c>
      <c r="AGD17" s="11">
        <f t="shared" si="13"/>
        <v>284050178.83999997</v>
      </c>
      <c r="AGE17" s="11">
        <f t="shared" si="13"/>
        <v>252310992.93000004</v>
      </c>
      <c r="AGF17" s="11">
        <f t="shared" si="13"/>
        <v>137210654.17000002</v>
      </c>
      <c r="AGG17" s="11">
        <f t="shared" si="13"/>
        <v>499418690.88</v>
      </c>
      <c r="AGH17" s="11">
        <f t="shared" si="13"/>
        <v>210987878.33999991</v>
      </c>
      <c r="AGI17" s="11">
        <f t="shared" si="13"/>
        <v>140317356.24000001</v>
      </c>
      <c r="AGJ17" s="11">
        <f t="shared" si="13"/>
        <v>151440328.74000001</v>
      </c>
      <c r="AGK17" s="11">
        <f t="shared" si="13"/>
        <v>104029765.15000001</v>
      </c>
      <c r="AGL17" s="11">
        <f t="shared" si="13"/>
        <v>160713491.28</v>
      </c>
      <c r="AGM17" s="11">
        <f t="shared" si="13"/>
        <v>100702528.38000003</v>
      </c>
      <c r="AGN17" s="11">
        <f t="shared" si="13"/>
        <v>1683288036.97</v>
      </c>
      <c r="AGO17" s="11">
        <f t="shared" si="13"/>
        <v>389450576.85999995</v>
      </c>
      <c r="AGP17" s="11">
        <f t="shared" si="13"/>
        <v>293767822.94999999</v>
      </c>
      <c r="AGQ17" s="11">
        <f t="shared" si="13"/>
        <v>114194482.32000001</v>
      </c>
      <c r="AGR17" s="11">
        <f t="shared" si="13"/>
        <v>373347917.11999995</v>
      </c>
      <c r="AGS17" s="11">
        <f t="shared" si="13"/>
        <v>204998540.05000004</v>
      </c>
      <c r="AGT17" s="11">
        <f t="shared" si="13"/>
        <v>94585293.559999987</v>
      </c>
      <c r="AGU17" s="11">
        <f t="shared" si="13"/>
        <v>122301598.47999999</v>
      </c>
      <c r="AGV17" s="11">
        <f t="shared" si="13"/>
        <v>2787589073.3799996</v>
      </c>
      <c r="AGW17" s="11">
        <f t="shared" si="13"/>
        <v>1727271598.2900002</v>
      </c>
      <c r="AGX17" s="11">
        <f t="shared" si="13"/>
        <v>143992737.40000001</v>
      </c>
      <c r="AGY17" s="11">
        <f t="shared" si="13"/>
        <v>441537285.19999999</v>
      </c>
      <c r="AGZ17" s="11">
        <f t="shared" si="13"/>
        <v>448696181.10999995</v>
      </c>
      <c r="AHA17" s="11">
        <f t="shared" si="13"/>
        <v>312296409.30000007</v>
      </c>
      <c r="AHB17" s="11">
        <f t="shared" si="13"/>
        <v>193620857.40999997</v>
      </c>
      <c r="AHC17" s="11">
        <f t="shared" si="13"/>
        <v>186736503.93000001</v>
      </c>
      <c r="AHD17" s="11">
        <f t="shared" si="13"/>
        <v>62545055.520000003</v>
      </c>
      <c r="AHE17" s="11">
        <f t="shared" si="13"/>
        <v>206161759.81999999</v>
      </c>
      <c r="AHF17" s="11">
        <f t="shared" si="13"/>
        <v>309431275.70999998</v>
      </c>
      <c r="AHG17" s="11">
        <f t="shared" si="13"/>
        <v>114374630.28999999</v>
      </c>
      <c r="AHH17" s="11">
        <f t="shared" si="13"/>
        <v>124478186.95000002</v>
      </c>
      <c r="AHI17" s="11">
        <f t="shared" si="13"/>
        <v>202732858.84999999</v>
      </c>
      <c r="AHJ17" s="11">
        <f t="shared" si="13"/>
        <v>120954820.81999999</v>
      </c>
      <c r="AHK17" s="11">
        <f t="shared" ref="AHK17:AHL17" si="14">SUM(AHK5:AHK16)</f>
        <v>140373842.87</v>
      </c>
      <c r="AHL17" s="11">
        <f t="shared" si="14"/>
        <v>110510776.63</v>
      </c>
      <c r="AHM17" s="11">
        <f t="shared" ref="AHM17:AHT17" si="15">SUM(AHM5:AHM16)</f>
        <v>934294333.05000007</v>
      </c>
      <c r="AHN17" s="11">
        <f t="shared" si="15"/>
        <v>191056391.81999999</v>
      </c>
      <c r="AHO17" s="11">
        <f t="shared" si="15"/>
        <v>119796597.70999998</v>
      </c>
      <c r="AHP17" s="11">
        <f t="shared" si="15"/>
        <v>143583806.90999997</v>
      </c>
      <c r="AHQ17" s="11">
        <f t="shared" si="15"/>
        <v>288687745.25</v>
      </c>
      <c r="AHR17" s="11">
        <f t="shared" si="15"/>
        <v>125190245.12000002</v>
      </c>
      <c r="AHS17" s="11">
        <f t="shared" si="15"/>
        <v>71697633.200000003</v>
      </c>
      <c r="AHT17" s="11">
        <f t="shared" si="15"/>
        <v>312810327306.32574</v>
      </c>
      <c r="AHU17" s="11"/>
    </row>
    <row r="18" spans="2:905" x14ac:dyDescent="0.7">
      <c r="B18" s="6" t="s">
        <v>19</v>
      </c>
      <c r="C18" s="6" t="s">
        <v>20</v>
      </c>
      <c r="D18" s="11">
        <v>486981016.10000002</v>
      </c>
      <c r="E18" s="11">
        <v>16537389.48</v>
      </c>
      <c r="F18" s="11">
        <v>27538674.34</v>
      </c>
      <c r="G18" s="11">
        <v>4512257.09</v>
      </c>
      <c r="H18" s="11">
        <v>38872440.850000001</v>
      </c>
      <c r="I18" s="11">
        <v>12816929.42</v>
      </c>
      <c r="J18" s="11">
        <v>31747428.050000001</v>
      </c>
      <c r="K18" s="11">
        <v>8437443.6899999995</v>
      </c>
      <c r="L18" s="11">
        <v>16836775.890000001</v>
      </c>
      <c r="M18" s="11">
        <v>10047198.4</v>
      </c>
      <c r="N18" s="11">
        <v>4483492.9800000004</v>
      </c>
      <c r="O18" s="11">
        <v>7060604.2800000003</v>
      </c>
      <c r="P18" s="11">
        <v>6565656</v>
      </c>
      <c r="Q18" s="11">
        <v>4114059.27</v>
      </c>
      <c r="R18" s="11">
        <v>4045810.84</v>
      </c>
      <c r="S18" s="11">
        <v>12586724.460000001</v>
      </c>
      <c r="T18" s="11">
        <v>18356621.199999999</v>
      </c>
      <c r="U18" s="11">
        <v>3103118.21</v>
      </c>
      <c r="V18" s="11">
        <v>727472330.21000004</v>
      </c>
      <c r="W18" s="11">
        <v>50960553.530000001</v>
      </c>
      <c r="X18" s="11">
        <v>5861349.6299999999</v>
      </c>
      <c r="Y18" s="11">
        <v>16923580.239999998</v>
      </c>
      <c r="Z18" s="11">
        <v>10265854.83</v>
      </c>
      <c r="AA18" s="11">
        <v>16653658.640000001</v>
      </c>
      <c r="AB18" s="11">
        <v>3382140.69</v>
      </c>
      <c r="AC18" s="11">
        <v>57609755.829999998</v>
      </c>
      <c r="AD18" s="11">
        <v>14477750.699999999</v>
      </c>
      <c r="AE18" s="11">
        <v>10901565</v>
      </c>
      <c r="AF18" s="11">
        <v>49850919.990000002</v>
      </c>
      <c r="AG18" s="11">
        <v>9190932.2699999996</v>
      </c>
      <c r="AH18" s="11">
        <v>42677370.439999998</v>
      </c>
      <c r="AI18" s="11">
        <v>81214392.180000007</v>
      </c>
      <c r="AJ18" s="11">
        <v>6450402.2699999996</v>
      </c>
      <c r="AK18" s="11">
        <v>3499583.83</v>
      </c>
      <c r="AL18" s="11">
        <v>7995563.2000000002</v>
      </c>
      <c r="AM18" s="11">
        <v>30422550.949999999</v>
      </c>
      <c r="AN18" s="11">
        <v>5062481.21</v>
      </c>
      <c r="AO18" s="11">
        <v>8080143.3600000003</v>
      </c>
      <c r="AP18" s="11">
        <v>5868201.0199999996</v>
      </c>
      <c r="AQ18" s="11">
        <v>6392155.5</v>
      </c>
      <c r="AR18" s="11">
        <v>4293183.87</v>
      </c>
      <c r="AS18" s="11">
        <v>1617857.61</v>
      </c>
      <c r="AT18" s="11">
        <v>190914370.38</v>
      </c>
      <c r="AU18" s="11">
        <v>2433478.39</v>
      </c>
      <c r="AV18" s="11">
        <v>1991069.87</v>
      </c>
      <c r="AW18" s="11">
        <v>5549562.6600000001</v>
      </c>
      <c r="AX18" s="11">
        <v>10063231.17</v>
      </c>
      <c r="AY18" s="11">
        <v>13247945.74</v>
      </c>
      <c r="AZ18" s="11">
        <v>4596044.45</v>
      </c>
      <c r="BA18" s="11">
        <v>5893594.6799999997</v>
      </c>
      <c r="BB18" s="11">
        <v>3081640.2699999996</v>
      </c>
      <c r="BC18" s="11">
        <v>2467122.91</v>
      </c>
      <c r="BD18" s="11">
        <v>2017964.26</v>
      </c>
      <c r="BE18" s="11">
        <v>1845577.15</v>
      </c>
      <c r="BF18" s="11">
        <v>31405280.049999997</v>
      </c>
      <c r="BG18" s="11">
        <v>1604926.01</v>
      </c>
      <c r="BH18" s="11">
        <v>2902949.06</v>
      </c>
      <c r="BI18" s="11">
        <v>123326996.3</v>
      </c>
      <c r="BJ18" s="11">
        <v>75571926.460000008</v>
      </c>
      <c r="BK18" s="11">
        <v>9683429.1199999992</v>
      </c>
      <c r="BL18" s="11">
        <v>5839708.1900000004</v>
      </c>
      <c r="BM18" s="11">
        <v>14479848.24</v>
      </c>
      <c r="BN18" s="11">
        <v>10868920.49</v>
      </c>
      <c r="BO18" s="11">
        <v>7754405.1299999999</v>
      </c>
      <c r="BP18" s="11">
        <v>2683840.16</v>
      </c>
      <c r="BQ18" s="11">
        <v>3072495.83</v>
      </c>
      <c r="BR18" s="11">
        <v>230851168.75</v>
      </c>
      <c r="BS18" s="11">
        <v>9199096.7799999993</v>
      </c>
      <c r="BT18" s="11">
        <v>8633471.0199999996</v>
      </c>
      <c r="BU18" s="11">
        <v>9648043.9899999984</v>
      </c>
      <c r="BV18" s="11">
        <v>9058213.4600000009</v>
      </c>
      <c r="BW18" s="11">
        <v>10007058.07</v>
      </c>
      <c r="BX18" s="11">
        <v>1347822.29</v>
      </c>
      <c r="BY18" s="11">
        <v>9917355.3000000007</v>
      </c>
      <c r="BZ18" s="11">
        <v>43320385.07</v>
      </c>
      <c r="CA18" s="11">
        <v>14747988.83</v>
      </c>
      <c r="CB18" s="11">
        <v>9737913.3499999996</v>
      </c>
      <c r="CC18" s="11">
        <v>19405858.399999999</v>
      </c>
      <c r="CD18" s="11">
        <v>5260121.6399999997</v>
      </c>
      <c r="CE18" s="11">
        <v>3506684.88</v>
      </c>
      <c r="CF18" s="11">
        <v>4411710.92</v>
      </c>
      <c r="CG18" s="11">
        <v>476889332.16000003</v>
      </c>
      <c r="CH18" s="11">
        <v>8404920.9299999997</v>
      </c>
      <c r="CI18" s="11">
        <v>22460631.280000001</v>
      </c>
      <c r="CJ18" s="11">
        <v>6332899.7300000004</v>
      </c>
      <c r="CK18" s="11">
        <v>8037848.8600000003</v>
      </c>
      <c r="CL18" s="11">
        <v>6796762.5599999996</v>
      </c>
      <c r="CM18" s="11">
        <v>8297908.3300000001</v>
      </c>
      <c r="CN18" s="11">
        <v>13684647.949999999</v>
      </c>
      <c r="CO18" s="11">
        <v>3081073.7</v>
      </c>
      <c r="CP18" s="11">
        <v>7221146.2800000003</v>
      </c>
      <c r="CQ18" s="11">
        <v>5257955.45</v>
      </c>
      <c r="CR18" s="11">
        <v>6688701.6100000003</v>
      </c>
      <c r="CS18" s="11">
        <v>5890887.9400000004</v>
      </c>
      <c r="CT18" s="11">
        <v>194949103.56</v>
      </c>
      <c r="CU18" s="11">
        <v>5946775.9299999997</v>
      </c>
      <c r="CV18" s="11">
        <v>7911424.7599999998</v>
      </c>
      <c r="CW18" s="11">
        <v>13595599.630000001</v>
      </c>
      <c r="CX18" s="11">
        <v>3118865.65</v>
      </c>
      <c r="CY18" s="11">
        <v>14815339.58</v>
      </c>
      <c r="CZ18" s="11">
        <v>4122726.3999999999</v>
      </c>
      <c r="DA18" s="11">
        <v>3411436.92</v>
      </c>
      <c r="DB18" s="11">
        <v>102661907.65000001</v>
      </c>
      <c r="DC18" s="11">
        <v>162906658.78999999</v>
      </c>
      <c r="DD18" s="11">
        <v>8313638.7199999997</v>
      </c>
      <c r="DE18" s="11">
        <v>7837064.5099999998</v>
      </c>
      <c r="DF18" s="11">
        <v>17723228.640000001</v>
      </c>
      <c r="DG18" s="11">
        <v>16388956.699999999</v>
      </c>
      <c r="DH18" s="11">
        <v>15759833.189999999</v>
      </c>
      <c r="DI18" s="11">
        <v>18177329.710000001</v>
      </c>
      <c r="DJ18" s="11">
        <v>4492710.18</v>
      </c>
      <c r="DK18" s="11">
        <v>577478497.88</v>
      </c>
      <c r="DL18" s="11">
        <v>9080227.9700000007</v>
      </c>
      <c r="DM18" s="11">
        <v>20787703.350000001</v>
      </c>
      <c r="DN18" s="11">
        <v>13595972.24</v>
      </c>
      <c r="DO18" s="11">
        <v>15791613.380000001</v>
      </c>
      <c r="DP18" s="11">
        <v>10866966.74</v>
      </c>
      <c r="DQ18" s="11">
        <v>25545539.609999999</v>
      </c>
      <c r="DR18" s="11">
        <v>8695073.4000000004</v>
      </c>
      <c r="DS18" s="11">
        <v>24540344.370000001</v>
      </c>
      <c r="DT18" s="11">
        <v>168291355.06999999</v>
      </c>
      <c r="DU18" s="11">
        <v>11611822.220000001</v>
      </c>
      <c r="DV18" s="11">
        <v>90419546.989999995</v>
      </c>
      <c r="DW18" s="11">
        <v>37010069.670000002</v>
      </c>
      <c r="DX18" s="11">
        <v>11658907.65</v>
      </c>
      <c r="DY18" s="11">
        <v>17897246.690000001</v>
      </c>
      <c r="DZ18" s="11">
        <v>13190567.439999999</v>
      </c>
      <c r="EA18" s="11">
        <v>4276376.05</v>
      </c>
      <c r="EB18" s="11">
        <v>7606833.0199999996</v>
      </c>
      <c r="EC18" s="11">
        <v>5097361.87</v>
      </c>
      <c r="ED18" s="11">
        <v>32710948.309999999</v>
      </c>
      <c r="EE18" s="11">
        <v>72149152.810000002</v>
      </c>
      <c r="EF18" s="11">
        <v>62728550.240000002</v>
      </c>
      <c r="EG18" s="11">
        <v>4032743.52</v>
      </c>
      <c r="EH18" s="11">
        <v>9643538.4199999999</v>
      </c>
      <c r="EI18" s="11">
        <v>8554424.0500000007</v>
      </c>
      <c r="EJ18" s="11">
        <v>21763344.739999998</v>
      </c>
      <c r="EK18" s="11">
        <v>22709511.629999999</v>
      </c>
      <c r="EL18" s="11">
        <v>5058534.57</v>
      </c>
      <c r="EM18" s="11">
        <v>10679639.199999999</v>
      </c>
      <c r="EN18" s="11">
        <v>298829373.12</v>
      </c>
      <c r="EO18" s="11">
        <v>22138092.190000001</v>
      </c>
      <c r="EP18" s="11">
        <v>6242070.6900000004</v>
      </c>
      <c r="EQ18" s="11">
        <v>10801779.24</v>
      </c>
      <c r="ER18" s="11">
        <v>2373089.19</v>
      </c>
      <c r="ES18" s="11">
        <v>2613015.3199999998</v>
      </c>
      <c r="ET18" s="11">
        <v>14779860.41</v>
      </c>
      <c r="EU18" s="11">
        <v>11477258.310000001</v>
      </c>
      <c r="EV18" s="11">
        <v>5234789.66</v>
      </c>
      <c r="EW18" s="11">
        <v>138713436.56999999</v>
      </c>
      <c r="EX18" s="11">
        <v>2977358.12</v>
      </c>
      <c r="EY18" s="11">
        <v>8613031.0299999993</v>
      </c>
      <c r="EZ18" s="11">
        <v>12470922.1</v>
      </c>
      <c r="FA18" s="11">
        <v>22252214.579999998</v>
      </c>
      <c r="FB18" s="11">
        <v>19453536.039999999</v>
      </c>
      <c r="FC18" s="11">
        <v>8012058.6699999999</v>
      </c>
      <c r="FD18" s="11">
        <v>7833478.3600000003</v>
      </c>
      <c r="FE18" s="11">
        <v>6014387.5999999996</v>
      </c>
      <c r="FF18" s="11">
        <v>5458296.2300000004</v>
      </c>
      <c r="FG18" s="11">
        <v>4264523.4400000004</v>
      </c>
      <c r="FH18" s="11">
        <v>3354957.32</v>
      </c>
      <c r="FI18" s="11">
        <v>87106986.780000001</v>
      </c>
      <c r="FJ18" s="11">
        <v>5385366.5300000003</v>
      </c>
      <c r="FK18" s="11">
        <v>3775651.81</v>
      </c>
      <c r="FL18" s="11">
        <v>5415566.9900000002</v>
      </c>
      <c r="FM18" s="11">
        <v>10953431.59</v>
      </c>
      <c r="FN18" s="11">
        <v>9513456.8800000008</v>
      </c>
      <c r="FO18" s="11">
        <v>2872203.53</v>
      </c>
      <c r="FP18" s="11">
        <v>1663284.51</v>
      </c>
      <c r="FQ18" s="11">
        <v>461590629.69999999</v>
      </c>
      <c r="FR18" s="11">
        <v>6096100.3600000003</v>
      </c>
      <c r="FS18" s="11">
        <v>15947210.59</v>
      </c>
      <c r="FT18" s="11">
        <v>11356902.99</v>
      </c>
      <c r="FU18" s="11">
        <v>16419073.640000001</v>
      </c>
      <c r="FV18" s="11">
        <v>6411662.75</v>
      </c>
      <c r="FW18" s="11">
        <v>19535396.600000001</v>
      </c>
      <c r="FX18" s="11">
        <v>14154152.26</v>
      </c>
      <c r="FY18" s="11">
        <v>11426206.960000001</v>
      </c>
      <c r="FZ18" s="11">
        <v>10050360.199999999</v>
      </c>
      <c r="GA18" s="11">
        <v>23074838.23</v>
      </c>
      <c r="GB18" s="11">
        <v>10349301.25</v>
      </c>
      <c r="GC18" s="11">
        <v>8451788.7400000002</v>
      </c>
      <c r="GD18" s="11">
        <v>4143996.26</v>
      </c>
      <c r="GE18" s="11">
        <v>130662031.02</v>
      </c>
      <c r="GF18" s="11">
        <v>4974437.87</v>
      </c>
      <c r="GG18" s="11">
        <v>5803362.5599999996</v>
      </c>
      <c r="GH18" s="11">
        <v>22121482.34</v>
      </c>
      <c r="GI18" s="11">
        <v>8721960.8000000007</v>
      </c>
      <c r="GJ18" s="11">
        <v>7588609.54</v>
      </c>
      <c r="GK18" s="11">
        <v>7130088.04</v>
      </c>
      <c r="GL18" s="11">
        <v>31435291.73</v>
      </c>
      <c r="GM18" s="11">
        <v>3404397.84</v>
      </c>
      <c r="GN18" s="11">
        <v>3388974.61</v>
      </c>
      <c r="GO18" s="11">
        <v>2611022.14</v>
      </c>
      <c r="GP18" s="11">
        <v>2491000.39</v>
      </c>
      <c r="GQ18" s="11">
        <v>117591153.23</v>
      </c>
      <c r="GR18" s="11">
        <v>16002367.42</v>
      </c>
      <c r="GS18" s="11">
        <v>4603159.79</v>
      </c>
      <c r="GT18" s="11">
        <v>14734935.83</v>
      </c>
      <c r="GU18" s="11">
        <v>2368037.9300000002</v>
      </c>
      <c r="GV18" s="11">
        <v>12993595.98</v>
      </c>
      <c r="GW18" s="11">
        <v>10676595.039999999</v>
      </c>
      <c r="GX18" s="11">
        <v>7232634.7199999997</v>
      </c>
      <c r="GY18" s="11">
        <v>102821792.44</v>
      </c>
      <c r="GZ18" s="11">
        <v>4025128.81</v>
      </c>
      <c r="HA18" s="11">
        <v>20429630.420000002</v>
      </c>
      <c r="HB18" s="11">
        <v>8958532.2400000002</v>
      </c>
      <c r="HC18" s="11">
        <v>374987225.14999998</v>
      </c>
      <c r="HD18" s="11">
        <v>13667104.08</v>
      </c>
      <c r="HE18" s="11">
        <v>30890906.640000001</v>
      </c>
      <c r="HF18" s="11">
        <v>18835686.469999999</v>
      </c>
      <c r="HG18" s="11">
        <v>14034253.620000001</v>
      </c>
      <c r="HH18" s="11">
        <v>29919663.73</v>
      </c>
      <c r="HI18" s="11">
        <v>1433838.35</v>
      </c>
      <c r="HJ18" s="11">
        <v>5111104.88</v>
      </c>
      <c r="HK18" s="11">
        <v>172446135.94</v>
      </c>
      <c r="HL18" s="11">
        <v>18838116.149999999</v>
      </c>
      <c r="HM18" s="11">
        <v>24572560.960000001</v>
      </c>
      <c r="HN18" s="11">
        <v>12200661.73</v>
      </c>
      <c r="HO18" s="11">
        <v>8909164.5600000005</v>
      </c>
      <c r="HP18" s="11">
        <v>5333507.01</v>
      </c>
      <c r="HQ18" s="11">
        <v>7801891.7300000004</v>
      </c>
      <c r="HR18" s="11">
        <v>4205783.13</v>
      </c>
      <c r="HS18" s="11">
        <v>262357327.68000001</v>
      </c>
      <c r="HT18" s="11">
        <v>39262185.530000001</v>
      </c>
      <c r="HU18" s="11">
        <v>7870534.4100000001</v>
      </c>
      <c r="HV18" s="11">
        <v>6704694.2999999998</v>
      </c>
      <c r="HW18" s="11">
        <v>4819950.33</v>
      </c>
      <c r="HX18" s="11">
        <v>3811880.46</v>
      </c>
      <c r="HY18" s="11">
        <v>36733615.439999998</v>
      </c>
      <c r="HZ18" s="11">
        <v>7843942.4299999997</v>
      </c>
      <c r="IA18" s="11">
        <v>5630661.3799999999</v>
      </c>
      <c r="IB18" s="11">
        <v>5160358.3</v>
      </c>
      <c r="IC18" s="11">
        <v>5558735.9500000002</v>
      </c>
      <c r="ID18" s="11">
        <v>9479479.5999999996</v>
      </c>
      <c r="IE18" s="11">
        <v>1629837.07</v>
      </c>
      <c r="IF18" s="11">
        <v>4852646.66</v>
      </c>
      <c r="IG18" s="11">
        <v>1713254.66</v>
      </c>
      <c r="IH18" s="11">
        <v>2798503.22</v>
      </c>
      <c r="II18" s="11">
        <v>130500313.08</v>
      </c>
      <c r="IJ18" s="11">
        <v>29330463.109999999</v>
      </c>
      <c r="IK18" s="11">
        <v>11157103.48</v>
      </c>
      <c r="IL18" s="11">
        <v>57105749.869999997</v>
      </c>
      <c r="IM18" s="11">
        <v>25859873.149999999</v>
      </c>
      <c r="IN18" s="11">
        <v>10413507.34</v>
      </c>
      <c r="IO18" s="11">
        <v>6991979.0099999998</v>
      </c>
      <c r="IP18" s="11">
        <v>2722658.06</v>
      </c>
      <c r="IQ18" s="11">
        <v>3519209.77</v>
      </c>
      <c r="IR18" s="11">
        <v>4442619.09</v>
      </c>
      <c r="IS18" s="11">
        <v>5095159.24</v>
      </c>
      <c r="IT18" s="11">
        <v>399405070.49000001</v>
      </c>
      <c r="IU18" s="11">
        <v>56725616.740000002</v>
      </c>
      <c r="IV18" s="11">
        <v>9622507.2400000002</v>
      </c>
      <c r="IW18" s="11">
        <v>7551085.8700000001</v>
      </c>
      <c r="IX18" s="11">
        <v>4333883.9400000004</v>
      </c>
      <c r="IY18" s="11">
        <v>1628505.52</v>
      </c>
      <c r="IZ18" s="11">
        <v>3937855.7</v>
      </c>
      <c r="JA18" s="11">
        <v>1839812.07</v>
      </c>
      <c r="JB18" s="11">
        <v>4204233.45</v>
      </c>
      <c r="JC18" s="11">
        <v>5813682.79</v>
      </c>
      <c r="JD18" s="11">
        <v>5298449.7</v>
      </c>
      <c r="JE18" s="11">
        <v>3100695.46</v>
      </c>
      <c r="JF18" s="11">
        <v>94475353.75</v>
      </c>
      <c r="JG18" s="11">
        <v>29060824.699999999</v>
      </c>
      <c r="JH18" s="11">
        <v>4328514.91</v>
      </c>
      <c r="JI18" s="11">
        <v>4066973.69</v>
      </c>
      <c r="JJ18" s="11">
        <v>2086373.32</v>
      </c>
      <c r="JK18" s="11">
        <v>2579760.4500000002</v>
      </c>
      <c r="JL18" s="11">
        <v>61989717.140000001</v>
      </c>
      <c r="JM18" s="11">
        <v>3618056.73</v>
      </c>
      <c r="JN18" s="11">
        <v>5621742.75</v>
      </c>
      <c r="JO18" s="11">
        <v>10187091.119999999</v>
      </c>
      <c r="JP18" s="11">
        <v>5916309.9199999999</v>
      </c>
      <c r="JQ18" s="11">
        <v>11239372.65</v>
      </c>
      <c r="JR18" s="11">
        <v>3692228.1</v>
      </c>
      <c r="JS18" s="11">
        <v>199345354.31</v>
      </c>
      <c r="JT18" s="11">
        <v>57843719.07</v>
      </c>
      <c r="JU18" s="11">
        <v>9008807.2899999991</v>
      </c>
      <c r="JV18" s="11">
        <v>4489180.96</v>
      </c>
      <c r="JW18" s="11">
        <v>10350393.4</v>
      </c>
      <c r="JX18" s="11">
        <v>1871055.05</v>
      </c>
      <c r="JY18" s="11">
        <v>34704306.850000001</v>
      </c>
      <c r="JZ18" s="11">
        <v>15799788.880000001</v>
      </c>
      <c r="KA18" s="11">
        <v>7690476.7699999996</v>
      </c>
      <c r="KB18" s="11">
        <v>13438819.77</v>
      </c>
      <c r="KC18" s="11">
        <v>6320686.1799999997</v>
      </c>
      <c r="KD18" s="11">
        <v>8141955.1200000001</v>
      </c>
      <c r="KE18" s="11">
        <v>2028940.06</v>
      </c>
      <c r="KF18" s="11">
        <v>1233634.68</v>
      </c>
      <c r="KG18" s="11">
        <v>4825792.99</v>
      </c>
      <c r="KH18" s="11">
        <v>3739276.03</v>
      </c>
      <c r="KI18" s="11">
        <v>323926844.32999998</v>
      </c>
      <c r="KJ18" s="11">
        <v>38355563.350000001</v>
      </c>
      <c r="KK18" s="11">
        <v>10923790.039999999</v>
      </c>
      <c r="KL18" s="11">
        <v>9033941.8599999994</v>
      </c>
      <c r="KM18" s="11">
        <v>10025016.539999999</v>
      </c>
      <c r="KN18" s="11">
        <v>11381163.529999999</v>
      </c>
      <c r="KO18" s="11">
        <v>60192916.359999999</v>
      </c>
      <c r="KP18" s="11">
        <v>8969037.6400000006</v>
      </c>
      <c r="KQ18" s="11">
        <v>4734927.55</v>
      </c>
      <c r="KR18" s="11">
        <v>84247287.650000006</v>
      </c>
      <c r="KS18" s="11">
        <v>6814432.4199999999</v>
      </c>
      <c r="KT18" s="11">
        <v>8371113.6799999997</v>
      </c>
      <c r="KU18" s="11">
        <v>33771533.810000002</v>
      </c>
      <c r="KV18" s="11">
        <v>7129235.8899999997</v>
      </c>
      <c r="KW18" s="11">
        <v>12087053.93</v>
      </c>
      <c r="KX18" s="11">
        <v>202279986.5</v>
      </c>
      <c r="KY18" s="11">
        <v>13597038.359999999</v>
      </c>
      <c r="KZ18" s="11">
        <v>190811907.90000001</v>
      </c>
      <c r="LA18" s="11">
        <v>8389473.7899999991</v>
      </c>
      <c r="LB18" s="11">
        <v>2829622.7199999997</v>
      </c>
      <c r="LC18" s="11">
        <v>31707930.68</v>
      </c>
      <c r="LD18" s="11">
        <v>18467703.460000001</v>
      </c>
      <c r="LE18" s="11">
        <v>20910702.009999998</v>
      </c>
      <c r="LF18" s="11">
        <v>28307441.940000001</v>
      </c>
      <c r="LG18" s="11">
        <v>12321570.890000001</v>
      </c>
      <c r="LH18" s="11">
        <v>507984471.08999997</v>
      </c>
      <c r="LI18" s="11">
        <v>48764442.829999998</v>
      </c>
      <c r="LJ18" s="11">
        <v>85563279.719999999</v>
      </c>
      <c r="LK18" s="11">
        <v>77099508.109999999</v>
      </c>
      <c r="LL18" s="11">
        <v>15189386.050000001</v>
      </c>
      <c r="LM18" s="11">
        <v>6632449.2300000004</v>
      </c>
      <c r="LN18" s="11">
        <v>6122704.2699999996</v>
      </c>
      <c r="LO18" s="11">
        <v>7410537.5</v>
      </c>
      <c r="LP18" s="11">
        <v>5533718.6900000004</v>
      </c>
      <c r="LQ18" s="11">
        <v>20632282.07</v>
      </c>
      <c r="LR18" s="11">
        <v>3637048.74</v>
      </c>
      <c r="LS18" s="11">
        <v>96621477.209999993</v>
      </c>
      <c r="LT18" s="11">
        <v>9887397.8100000005</v>
      </c>
      <c r="LU18" s="11">
        <v>5487846.6100000003</v>
      </c>
      <c r="LV18" s="11">
        <v>214230216.59999999</v>
      </c>
      <c r="LW18" s="11">
        <v>131606911.78</v>
      </c>
      <c r="LX18" s="11">
        <v>345776917.88</v>
      </c>
      <c r="LY18" s="11">
        <v>47867410.869999997</v>
      </c>
      <c r="LZ18" s="11">
        <v>37551071.880000003</v>
      </c>
      <c r="MA18" s="11">
        <v>26819029.960000001</v>
      </c>
      <c r="MB18" s="11">
        <v>21982022.469999999</v>
      </c>
      <c r="MC18" s="11">
        <v>20829187.600000001</v>
      </c>
      <c r="MD18" s="11">
        <v>19682648.73</v>
      </c>
      <c r="ME18" s="11">
        <v>29197273.25</v>
      </c>
      <c r="MF18" s="11">
        <v>39161805.229999997</v>
      </c>
      <c r="MG18" s="11">
        <v>7287798.2000000002</v>
      </c>
      <c r="MH18" s="11">
        <v>310320968.46000004</v>
      </c>
      <c r="MI18" s="11">
        <v>14260179.58</v>
      </c>
      <c r="MJ18" s="11">
        <v>4012404.53</v>
      </c>
      <c r="MK18" s="11">
        <v>3736317.33</v>
      </c>
      <c r="ML18" s="11">
        <v>4070141.53</v>
      </c>
      <c r="MM18" s="11">
        <v>9221714.3999999985</v>
      </c>
      <c r="MN18" s="11">
        <v>2964175.82</v>
      </c>
      <c r="MO18" s="11">
        <v>8031375.7700000005</v>
      </c>
      <c r="MP18" s="11">
        <v>13609873.68</v>
      </c>
      <c r="MQ18" s="11">
        <v>7183514.2599999998</v>
      </c>
      <c r="MR18" s="11">
        <v>4185072.94</v>
      </c>
      <c r="MS18" s="11">
        <v>7268903.4500000002</v>
      </c>
      <c r="MT18" s="11">
        <v>247534947.19999999</v>
      </c>
      <c r="MU18" s="11">
        <v>7465885.6799999997</v>
      </c>
      <c r="MV18" s="11">
        <v>6604299.5199999996</v>
      </c>
      <c r="MW18" s="11">
        <v>23405595.199999999</v>
      </c>
      <c r="MX18" s="11">
        <v>11989510.939999999</v>
      </c>
      <c r="MY18" s="11">
        <v>9140562.5999999996</v>
      </c>
      <c r="MZ18" s="11">
        <v>20537320.5</v>
      </c>
      <c r="NA18" s="11">
        <v>17035035.991999999</v>
      </c>
      <c r="NB18" s="11">
        <v>13167510.67</v>
      </c>
      <c r="NC18" s="11">
        <v>3910180.08</v>
      </c>
      <c r="ND18" s="11">
        <v>2493316.88</v>
      </c>
      <c r="NE18" s="11">
        <v>690484084.75</v>
      </c>
      <c r="NF18" s="11">
        <v>29240696.039999999</v>
      </c>
      <c r="NG18" s="11">
        <v>4715403.92</v>
      </c>
      <c r="NH18" s="11">
        <v>149599439.03999999</v>
      </c>
      <c r="NI18" s="11">
        <v>5448779.3700000001</v>
      </c>
      <c r="NJ18" s="11">
        <v>17362944.469999999</v>
      </c>
      <c r="NK18" s="11">
        <v>53690526</v>
      </c>
      <c r="NL18" s="11">
        <v>36577044.020000003</v>
      </c>
      <c r="NM18" s="11">
        <v>1436321.66</v>
      </c>
      <c r="NN18" s="11">
        <v>13685338.210000001</v>
      </c>
      <c r="NO18" s="11">
        <v>12301579.550000001</v>
      </c>
      <c r="NP18" s="11">
        <v>5286248.92</v>
      </c>
      <c r="NQ18" s="11">
        <v>103170328.15000001</v>
      </c>
      <c r="NR18" s="11">
        <v>11809831.050000001</v>
      </c>
      <c r="NS18" s="11">
        <v>6795643.9699999997</v>
      </c>
      <c r="NT18" s="11">
        <v>6315218.5999999996</v>
      </c>
      <c r="NU18" s="11">
        <v>4166629.75</v>
      </c>
      <c r="NV18" s="11">
        <v>501653.77</v>
      </c>
      <c r="NW18" s="11">
        <v>2147086.7000000002</v>
      </c>
      <c r="NX18" s="11">
        <v>208679389.61000001</v>
      </c>
      <c r="NY18" s="11">
        <v>49364731.770000003</v>
      </c>
      <c r="NZ18" s="11">
        <v>6553659.2299999995</v>
      </c>
      <c r="OA18" s="11">
        <v>3969288.66</v>
      </c>
      <c r="OB18" s="11">
        <v>5454569.1300000008</v>
      </c>
      <c r="OC18" s="11">
        <v>8701327.6099999994</v>
      </c>
      <c r="OD18" s="11">
        <v>2981605.5999999996</v>
      </c>
      <c r="OE18" s="11">
        <v>322557027.33999997</v>
      </c>
      <c r="OF18" s="11">
        <v>27834198.940000001</v>
      </c>
      <c r="OG18" s="11">
        <v>13230986.74</v>
      </c>
      <c r="OH18" s="11">
        <v>51573577.920000002</v>
      </c>
      <c r="OI18" s="11">
        <v>8325176.6799999997</v>
      </c>
      <c r="OJ18" s="11">
        <v>31604071.259999998</v>
      </c>
      <c r="OK18" s="11">
        <v>18085467.309999999</v>
      </c>
      <c r="OL18" s="11">
        <v>4840076.0999999996</v>
      </c>
      <c r="OM18" s="11">
        <v>8172072.3799999999</v>
      </c>
      <c r="ON18" s="11">
        <v>218325333.43000001</v>
      </c>
      <c r="OO18" s="11">
        <v>27426237.800000001</v>
      </c>
      <c r="OP18" s="11">
        <v>46286833.740000002</v>
      </c>
      <c r="OQ18" s="11">
        <v>20334722.420000002</v>
      </c>
      <c r="OR18" s="11">
        <v>14889439.27</v>
      </c>
      <c r="OS18" s="11">
        <v>4216727.6100000003</v>
      </c>
      <c r="OT18" s="11">
        <v>141826611</v>
      </c>
      <c r="OU18" s="11">
        <v>4647002.54</v>
      </c>
      <c r="OV18" s="11">
        <v>7088938.9499999993</v>
      </c>
      <c r="OW18" s="11">
        <v>9244365.7800000012</v>
      </c>
      <c r="OX18" s="11">
        <v>10763572.710000001</v>
      </c>
      <c r="OY18" s="11">
        <v>40094289.149999999</v>
      </c>
      <c r="OZ18" s="11">
        <v>7316611.5800000001</v>
      </c>
      <c r="PA18" s="11">
        <v>3683721.19</v>
      </c>
      <c r="PB18" s="11">
        <v>3183590.4</v>
      </c>
      <c r="PC18" s="11">
        <v>192219032.69999999</v>
      </c>
      <c r="PD18" s="11">
        <v>5268803.3600000003</v>
      </c>
      <c r="PE18" s="11">
        <v>19079627.640000001</v>
      </c>
      <c r="PF18" s="11">
        <v>2828485.85</v>
      </c>
      <c r="PG18" s="11">
        <v>10533373.98</v>
      </c>
      <c r="PH18" s="11">
        <v>26613737.870000001</v>
      </c>
      <c r="PI18" s="11">
        <v>9096316.0999999996</v>
      </c>
      <c r="PJ18" s="11">
        <v>5322192.97</v>
      </c>
      <c r="PK18" s="11">
        <v>9060839.5500000007</v>
      </c>
      <c r="PL18" s="11">
        <v>10165897.17</v>
      </c>
      <c r="PM18" s="11">
        <v>10495278.15</v>
      </c>
      <c r="PN18" s="11">
        <v>19595215.82</v>
      </c>
      <c r="PO18" s="11">
        <v>6222458.7599999998</v>
      </c>
      <c r="PP18" s="11">
        <v>41374660.310000002</v>
      </c>
      <c r="PQ18" s="11">
        <v>6362998.25</v>
      </c>
      <c r="PR18" s="11">
        <v>3791203.25</v>
      </c>
      <c r="PS18" s="11">
        <v>15226464.91</v>
      </c>
      <c r="PT18" s="11">
        <v>3864784.59</v>
      </c>
      <c r="PU18" s="11">
        <v>741539862.99000001</v>
      </c>
      <c r="PV18" s="11">
        <v>8091267.3700000001</v>
      </c>
      <c r="PW18" s="11">
        <v>18357194.5</v>
      </c>
      <c r="PX18" s="11">
        <v>13267855.27</v>
      </c>
      <c r="PY18" s="11">
        <v>94582670.269999996</v>
      </c>
      <c r="PZ18" s="11">
        <v>8081633.71</v>
      </c>
      <c r="QA18" s="11">
        <v>21554106.010000002</v>
      </c>
      <c r="QB18" s="11">
        <v>6093368.8499999996</v>
      </c>
      <c r="QC18" s="11">
        <v>29121069.460000001</v>
      </c>
      <c r="QD18" s="11">
        <v>3703760.96</v>
      </c>
      <c r="QE18" s="11">
        <v>20930345.239999998</v>
      </c>
      <c r="QF18" s="11">
        <v>4468849.45</v>
      </c>
      <c r="QG18" s="11">
        <v>7318367.7699999996</v>
      </c>
      <c r="QH18" s="11">
        <v>8120215.8499999996</v>
      </c>
      <c r="QI18" s="11">
        <v>11865517.890000001</v>
      </c>
      <c r="QJ18" s="11">
        <v>14156645.43</v>
      </c>
      <c r="QK18" s="11">
        <v>6123487.8200000003</v>
      </c>
      <c r="QL18" s="11">
        <v>6991836.7199999997</v>
      </c>
      <c r="QM18" s="11">
        <v>4065477.89</v>
      </c>
      <c r="QN18" s="11">
        <v>19762369.550000001</v>
      </c>
      <c r="QO18" s="11">
        <v>23957908.559999999</v>
      </c>
      <c r="QP18" s="11">
        <v>3532532.97</v>
      </c>
      <c r="QQ18" s="11">
        <v>3062122.32</v>
      </c>
      <c r="QR18" s="11">
        <v>2498005.92</v>
      </c>
      <c r="QS18" s="11">
        <v>3206414.42</v>
      </c>
      <c r="QT18" s="11">
        <v>3286261.32</v>
      </c>
      <c r="QU18" s="11">
        <v>258400816.53999999</v>
      </c>
      <c r="QV18" s="11">
        <v>3361124.71</v>
      </c>
      <c r="QW18" s="11">
        <v>15482568.65</v>
      </c>
      <c r="QX18" s="11">
        <v>7122943.5599999996</v>
      </c>
      <c r="QY18" s="11">
        <v>5720246.1500000004</v>
      </c>
      <c r="QZ18" s="11">
        <v>18040283.530000001</v>
      </c>
      <c r="RA18" s="11">
        <v>4928965.32</v>
      </c>
      <c r="RB18" s="11">
        <v>14076711.25</v>
      </c>
      <c r="RC18" s="11">
        <v>12893998.960000001</v>
      </c>
      <c r="RD18" s="11">
        <v>7104607.5700000003</v>
      </c>
      <c r="RE18" s="11">
        <v>4573398.04</v>
      </c>
      <c r="RF18" s="11">
        <v>3801288.19</v>
      </c>
      <c r="RG18" s="11">
        <v>2810595.43</v>
      </c>
      <c r="RH18" s="11">
        <v>323199049.45999998</v>
      </c>
      <c r="RI18" s="11">
        <v>28683114.129999999</v>
      </c>
      <c r="RJ18" s="11">
        <v>12443494.199999999</v>
      </c>
      <c r="RK18" s="11">
        <v>12945935.720000001</v>
      </c>
      <c r="RL18" s="11">
        <v>9284371.9100000001</v>
      </c>
      <c r="RM18" s="11">
        <v>14294482.51</v>
      </c>
      <c r="RN18" s="11">
        <v>33097152.02</v>
      </c>
      <c r="RO18" s="11">
        <v>9674703.6300000008</v>
      </c>
      <c r="RP18" s="11">
        <v>13225764.68</v>
      </c>
      <c r="RQ18" s="11">
        <v>29263006.68</v>
      </c>
      <c r="RR18" s="11">
        <v>43088259.590000004</v>
      </c>
      <c r="RS18" s="11">
        <v>2999003.51</v>
      </c>
      <c r="RT18" s="11">
        <v>4700576.88</v>
      </c>
      <c r="RU18" s="11">
        <v>13024694.4</v>
      </c>
      <c r="RV18" s="11">
        <v>4538479.4000000004</v>
      </c>
      <c r="RW18" s="11">
        <v>4043113.58</v>
      </c>
      <c r="RX18" s="11">
        <v>7034037.2599999998</v>
      </c>
      <c r="RY18" s="11">
        <v>4599611.67</v>
      </c>
      <c r="RZ18" s="11">
        <v>2576336</v>
      </c>
      <c r="SA18" s="11">
        <v>3326426.84</v>
      </c>
      <c r="SB18" s="11">
        <v>138848690.58000001</v>
      </c>
      <c r="SC18" s="11">
        <v>22519323.59</v>
      </c>
      <c r="SD18" s="11">
        <v>5545467.3399999999</v>
      </c>
      <c r="SE18" s="11">
        <v>5629611.7400000002</v>
      </c>
      <c r="SF18" s="11">
        <v>6028128.5300000003</v>
      </c>
      <c r="SG18" s="11">
        <v>9730928.3100000005</v>
      </c>
      <c r="SH18" s="11">
        <v>8467063.8200000003</v>
      </c>
      <c r="SI18" s="11">
        <v>38685367.960000001</v>
      </c>
      <c r="SJ18" s="11">
        <v>22347841</v>
      </c>
      <c r="SK18" s="11">
        <v>20118381.469999999</v>
      </c>
      <c r="SL18" s="11">
        <v>23015615.300000001</v>
      </c>
      <c r="SM18" s="11">
        <v>2870296.66</v>
      </c>
      <c r="SN18" s="11">
        <v>62444937.520000003</v>
      </c>
      <c r="SO18" s="11">
        <v>10434265.09</v>
      </c>
      <c r="SP18" s="11">
        <v>8362109.5199999996</v>
      </c>
      <c r="SQ18" s="11">
        <v>22662957.329999998</v>
      </c>
      <c r="SR18" s="11">
        <v>7189332.2800000003</v>
      </c>
      <c r="SS18" s="11">
        <v>8387964.0300000003</v>
      </c>
      <c r="ST18" s="11">
        <v>6657009.1200000001</v>
      </c>
      <c r="SU18" s="11">
        <v>3072313.12</v>
      </c>
      <c r="SV18" s="11">
        <v>172891452.90000001</v>
      </c>
      <c r="SW18" s="11">
        <v>5396281.0599999996</v>
      </c>
      <c r="SX18" s="11">
        <v>16553388.560000001</v>
      </c>
      <c r="SY18" s="11">
        <v>5943239.4800000004</v>
      </c>
      <c r="SZ18" s="11">
        <v>2775175.03</v>
      </c>
      <c r="TA18" s="11">
        <v>4505984.49</v>
      </c>
      <c r="TB18" s="11">
        <v>6238134.79</v>
      </c>
      <c r="TC18" s="11">
        <v>25583263.09</v>
      </c>
      <c r="TD18" s="11">
        <v>3978970.63</v>
      </c>
      <c r="TE18" s="11">
        <v>4146144.37</v>
      </c>
      <c r="TF18" s="11">
        <v>6612328.5300000003</v>
      </c>
      <c r="TG18" s="11">
        <v>19969339.010000002</v>
      </c>
      <c r="TH18" s="11">
        <v>6640360.1600000001</v>
      </c>
      <c r="TI18" s="11">
        <v>3747054.93</v>
      </c>
      <c r="TJ18" s="11">
        <v>317969692.25</v>
      </c>
      <c r="TK18" s="11">
        <v>6323166.2599999998</v>
      </c>
      <c r="TL18" s="11">
        <v>3994630.43</v>
      </c>
      <c r="TM18" s="11">
        <v>15056223.369999999</v>
      </c>
      <c r="TN18" s="11">
        <v>11701430.970000001</v>
      </c>
      <c r="TO18" s="11">
        <v>7609828.5899999999</v>
      </c>
      <c r="TP18" s="11">
        <v>2355004.2599999998</v>
      </c>
      <c r="TQ18" s="11">
        <v>72616684.25</v>
      </c>
      <c r="TR18" s="11">
        <v>5024411.84</v>
      </c>
      <c r="TS18" s="11">
        <v>15543777.5</v>
      </c>
      <c r="TT18" s="11">
        <v>16316928.59</v>
      </c>
      <c r="TU18" s="11">
        <v>5042491.18</v>
      </c>
      <c r="TV18" s="11">
        <v>3191067.41</v>
      </c>
      <c r="TW18" s="11">
        <v>7213485.8700000001</v>
      </c>
      <c r="TX18" s="11">
        <v>7546121.8200000003</v>
      </c>
      <c r="TY18" s="11">
        <v>4552139.8</v>
      </c>
      <c r="TZ18" s="11">
        <v>57984040.850000001</v>
      </c>
      <c r="UA18" s="11">
        <v>4019505.92</v>
      </c>
      <c r="UB18" s="11">
        <v>164844402.24000001</v>
      </c>
      <c r="UC18" s="11">
        <v>20879075.579999998</v>
      </c>
      <c r="UD18" s="11">
        <v>4807200.9400000004</v>
      </c>
      <c r="UE18" s="11">
        <v>4870689.4800000004</v>
      </c>
      <c r="UF18" s="11">
        <v>54328363.270000003</v>
      </c>
      <c r="UG18" s="11">
        <v>3839686.62</v>
      </c>
      <c r="UH18" s="11">
        <v>2154787.7200000002</v>
      </c>
      <c r="UI18" s="11">
        <v>6936692.6600000001</v>
      </c>
      <c r="UJ18" s="11">
        <v>6103770.8899999997</v>
      </c>
      <c r="UK18" s="11">
        <v>116059169.48</v>
      </c>
      <c r="UL18" s="11">
        <v>13195389.24</v>
      </c>
      <c r="UM18" s="11">
        <v>11176339.26</v>
      </c>
      <c r="UN18" s="11">
        <v>15277979.130000001</v>
      </c>
      <c r="UO18" s="11">
        <v>11985288.59</v>
      </c>
      <c r="UP18" s="11">
        <v>6970446.0199999996</v>
      </c>
      <c r="UQ18" s="11">
        <v>693483321.07000005</v>
      </c>
      <c r="UR18" s="11">
        <v>11917129.869999999</v>
      </c>
      <c r="US18" s="11">
        <v>8645596.1899999995</v>
      </c>
      <c r="UT18" s="11">
        <v>63958866.399999999</v>
      </c>
      <c r="UU18" s="11">
        <v>3579109.22</v>
      </c>
      <c r="UV18" s="11">
        <v>8070553.8099999996</v>
      </c>
      <c r="UW18" s="11">
        <v>28336959.02</v>
      </c>
      <c r="UX18" s="11">
        <v>5304834.8899999997</v>
      </c>
      <c r="UY18" s="11">
        <v>4623609.84</v>
      </c>
      <c r="UZ18" s="11">
        <v>7092726.4000000004</v>
      </c>
      <c r="VA18" s="11">
        <v>7245164.2999999998</v>
      </c>
      <c r="VB18" s="11">
        <v>27435113.010000002</v>
      </c>
      <c r="VC18" s="11">
        <v>9523881.0299999993</v>
      </c>
      <c r="VD18" s="11">
        <v>22480959.170000002</v>
      </c>
      <c r="VE18" s="11">
        <v>3425649.21</v>
      </c>
      <c r="VF18" s="11">
        <v>3978111.53</v>
      </c>
      <c r="VG18" s="11">
        <v>4525792.7699999996</v>
      </c>
      <c r="VH18" s="11">
        <v>4741484.07</v>
      </c>
      <c r="VI18" s="11">
        <v>29480824.219999999</v>
      </c>
      <c r="VJ18" s="11">
        <v>2531034.5699999998</v>
      </c>
      <c r="VK18" s="11">
        <v>2848911.88</v>
      </c>
      <c r="VL18" s="11">
        <v>3005411.1</v>
      </c>
      <c r="VM18" s="11">
        <v>251995443.59</v>
      </c>
      <c r="VN18" s="11">
        <v>9080016.1699999999</v>
      </c>
      <c r="VO18" s="11">
        <v>7031650.6900000004</v>
      </c>
      <c r="VP18" s="11">
        <v>21108726.030000001</v>
      </c>
      <c r="VQ18" s="11">
        <v>27064043.949999999</v>
      </c>
      <c r="VR18" s="11">
        <v>17951252.82</v>
      </c>
      <c r="VS18" s="11">
        <v>10344385.41</v>
      </c>
      <c r="VT18" s="11">
        <v>20844932.530000001</v>
      </c>
      <c r="VU18" s="11">
        <v>8606577.2400000002</v>
      </c>
      <c r="VV18" s="11">
        <v>43960088.149999999</v>
      </c>
      <c r="VW18" s="11">
        <v>7701799</v>
      </c>
      <c r="VX18" s="11">
        <v>27670639.32</v>
      </c>
      <c r="VY18" s="11">
        <v>12783822.689999999</v>
      </c>
      <c r="VZ18" s="11">
        <v>9086998.8800000008</v>
      </c>
      <c r="WA18" s="11">
        <v>4234972.16</v>
      </c>
      <c r="WB18" s="11">
        <v>996016058.51999998</v>
      </c>
      <c r="WC18" s="11">
        <v>21608765.07</v>
      </c>
      <c r="WD18" s="11">
        <v>11800088.43</v>
      </c>
      <c r="WE18" s="11">
        <v>9971799.8200000003</v>
      </c>
      <c r="WF18" s="11">
        <v>6702630.2300000004</v>
      </c>
      <c r="WG18" s="11">
        <v>11326371.59</v>
      </c>
      <c r="WH18" s="11">
        <v>22286732.640000001</v>
      </c>
      <c r="WI18" s="11">
        <v>32265651.789999999</v>
      </c>
      <c r="WJ18" s="11">
        <v>12042357.140000001</v>
      </c>
      <c r="WK18" s="11">
        <v>15847146.59</v>
      </c>
      <c r="WL18" s="11">
        <v>11001383.860000001</v>
      </c>
      <c r="WM18" s="11">
        <v>52660639.229999997</v>
      </c>
      <c r="WN18" s="11">
        <v>10417968.550000001</v>
      </c>
      <c r="WO18" s="11">
        <v>21746782.039999999</v>
      </c>
      <c r="WP18" s="11">
        <v>55029874.020000003</v>
      </c>
      <c r="WQ18" s="11">
        <v>12250683.24</v>
      </c>
      <c r="WR18" s="11">
        <v>17849754.989999998</v>
      </c>
      <c r="WS18" s="11">
        <v>15758868.279999999</v>
      </c>
      <c r="WT18" s="11">
        <v>5614311.1500000004</v>
      </c>
      <c r="WU18" s="11">
        <v>23741051.43</v>
      </c>
      <c r="WV18" s="11">
        <v>50837847.25</v>
      </c>
      <c r="WW18" s="11">
        <v>9936604.9700000007</v>
      </c>
      <c r="WX18" s="11">
        <v>12302577.119999999</v>
      </c>
      <c r="WY18" s="11">
        <v>7691636.5300000003</v>
      </c>
      <c r="WZ18" s="11">
        <v>5535524.7400000002</v>
      </c>
      <c r="XA18" s="11">
        <v>3605482.46</v>
      </c>
      <c r="XB18" s="11">
        <v>6043420.9699999997</v>
      </c>
      <c r="XC18" s="11">
        <v>7801259.5099999998</v>
      </c>
      <c r="XD18" s="11">
        <v>48247482.560000002</v>
      </c>
      <c r="XE18" s="11">
        <v>4399517.5999999996</v>
      </c>
      <c r="XF18" s="11">
        <v>3328976.2</v>
      </c>
      <c r="XG18" s="11">
        <v>3363027.09</v>
      </c>
      <c r="XH18" s="11">
        <v>3835477.6</v>
      </c>
      <c r="XI18" s="11">
        <v>447240213.88</v>
      </c>
      <c r="XJ18" s="11">
        <v>13587924.84</v>
      </c>
      <c r="XK18" s="11">
        <v>13167471.99</v>
      </c>
      <c r="XL18" s="11">
        <v>68554342.980000004</v>
      </c>
      <c r="XM18" s="11">
        <v>10984792.789999999</v>
      </c>
      <c r="XN18" s="11">
        <v>15900436.779999999</v>
      </c>
      <c r="XO18" s="11">
        <v>24460741.129999999</v>
      </c>
      <c r="XP18" s="11">
        <v>11823170.26</v>
      </c>
      <c r="XQ18" s="11">
        <v>9403158.0700000003</v>
      </c>
      <c r="XR18" s="11">
        <v>25831076.66</v>
      </c>
      <c r="XS18" s="11">
        <v>18297355.530000001</v>
      </c>
      <c r="XT18" s="11">
        <v>5772065.2300000004</v>
      </c>
      <c r="XU18" s="11">
        <v>5458507.4199999999</v>
      </c>
      <c r="XV18" s="11">
        <v>8808835.5500000007</v>
      </c>
      <c r="XW18" s="11">
        <v>6671229.7800000003</v>
      </c>
      <c r="XX18" s="11">
        <v>5104388.45</v>
      </c>
      <c r="XY18" s="11">
        <v>4380988.7</v>
      </c>
      <c r="XZ18" s="11">
        <v>4015632.66</v>
      </c>
      <c r="YA18" s="11">
        <v>5341275.99</v>
      </c>
      <c r="YB18" s="11">
        <v>5896205.0899999999</v>
      </c>
      <c r="YC18" s="11">
        <v>6309992.5599999996</v>
      </c>
      <c r="YD18" s="11">
        <v>5185664.71</v>
      </c>
      <c r="YE18" s="11">
        <v>5254084.49</v>
      </c>
      <c r="YF18" s="11">
        <v>725377281.44000006</v>
      </c>
      <c r="YG18" s="11">
        <v>24180491.140000001</v>
      </c>
      <c r="YH18" s="11">
        <v>38950527.82</v>
      </c>
      <c r="YI18" s="11">
        <v>13643062.359999999</v>
      </c>
      <c r="YJ18" s="11">
        <v>93550737.469999999</v>
      </c>
      <c r="YK18" s="11">
        <v>24548840.829999998</v>
      </c>
      <c r="YL18" s="11">
        <v>29052192.870000001</v>
      </c>
      <c r="YM18" s="11">
        <v>10219124.49</v>
      </c>
      <c r="YN18" s="11">
        <v>49026415.32</v>
      </c>
      <c r="YO18" s="11">
        <v>38032253.259999998</v>
      </c>
      <c r="YP18" s="11">
        <v>14905455.25</v>
      </c>
      <c r="YQ18" s="11">
        <v>13736415.699999999</v>
      </c>
      <c r="YR18" s="11">
        <v>19933440.649999999</v>
      </c>
      <c r="YS18" s="11">
        <v>8302928.1699999999</v>
      </c>
      <c r="YT18" s="11">
        <v>9991557.3900000006</v>
      </c>
      <c r="YU18" s="11">
        <v>3670108.59</v>
      </c>
      <c r="YV18" s="11">
        <v>8792355.1799999997</v>
      </c>
      <c r="YW18" s="11">
        <v>111111225.48</v>
      </c>
      <c r="YX18" s="11">
        <v>9024792.1099999994</v>
      </c>
      <c r="YY18" s="11">
        <v>5266411.46</v>
      </c>
      <c r="YZ18" s="11">
        <v>4333210.6399999997</v>
      </c>
      <c r="ZA18" s="11">
        <v>8295102.3200000003</v>
      </c>
      <c r="ZB18" s="11">
        <v>2733433.23</v>
      </c>
      <c r="ZC18" s="11">
        <v>3673689.36</v>
      </c>
      <c r="ZD18" s="11">
        <v>127847203.44</v>
      </c>
      <c r="ZE18" s="11">
        <v>5239361.45</v>
      </c>
      <c r="ZF18" s="11">
        <v>9205325.1500000004</v>
      </c>
      <c r="ZG18" s="11">
        <v>10166995.369999999</v>
      </c>
      <c r="ZH18" s="11">
        <v>5526234.7999999998</v>
      </c>
      <c r="ZI18" s="11">
        <v>7062728.0199999996</v>
      </c>
      <c r="ZJ18" s="11">
        <v>4436031.0199999996</v>
      </c>
      <c r="ZK18" s="11">
        <v>5612380.4800000004</v>
      </c>
      <c r="ZL18" s="11">
        <v>27043477.670000002</v>
      </c>
      <c r="ZM18" s="11">
        <v>274899496.91000003</v>
      </c>
      <c r="ZN18" s="11">
        <v>5914221.3200000003</v>
      </c>
      <c r="ZO18" s="11">
        <v>43626344.210000001</v>
      </c>
      <c r="ZP18" s="11">
        <v>132793568.34999999</v>
      </c>
      <c r="ZQ18" s="11">
        <v>28780936.789999999</v>
      </c>
      <c r="ZR18" s="11">
        <v>8457158.7899999991</v>
      </c>
      <c r="ZS18" s="11">
        <v>10016727.1</v>
      </c>
      <c r="ZT18" s="11">
        <v>20009671.689999998</v>
      </c>
      <c r="ZU18" s="11">
        <v>24343875.550000001</v>
      </c>
      <c r="ZV18" s="11">
        <v>23407416.390000001</v>
      </c>
      <c r="ZW18" s="11">
        <v>6897989.7300000004</v>
      </c>
      <c r="ZX18" s="11">
        <v>8213355.8300000001</v>
      </c>
      <c r="ZY18" s="11">
        <v>21559803.73</v>
      </c>
      <c r="ZZ18" s="11">
        <v>27649866.82</v>
      </c>
      <c r="AAA18" s="11">
        <v>6437939.0700000003</v>
      </c>
      <c r="AAB18" s="11">
        <v>6330532.0300000003</v>
      </c>
      <c r="AAC18" s="11">
        <v>8978937.3100000005</v>
      </c>
      <c r="AAD18" s="11">
        <v>2750682.64</v>
      </c>
      <c r="AAE18" s="11">
        <v>9974449.4700000007</v>
      </c>
      <c r="AAF18" s="11">
        <v>5437643.9699999997</v>
      </c>
      <c r="AAG18" s="11">
        <v>4651316.33</v>
      </c>
      <c r="AAH18" s="11">
        <v>4126711.98</v>
      </c>
      <c r="AAI18" s="11">
        <v>225579022.47</v>
      </c>
      <c r="AAJ18" s="11">
        <v>6517373.8300000001</v>
      </c>
      <c r="AAK18" s="11">
        <v>7416231.9900000002</v>
      </c>
      <c r="AAL18" s="11">
        <v>6032577.46</v>
      </c>
      <c r="AAM18" s="11">
        <v>5805320.0899999999</v>
      </c>
      <c r="AAN18" s="11">
        <v>12060158.109999999</v>
      </c>
      <c r="AAO18" s="11">
        <v>7166641.8600000003</v>
      </c>
      <c r="AAP18" s="11">
        <v>848828687.27999997</v>
      </c>
      <c r="AAQ18" s="11">
        <v>11163375.050000001</v>
      </c>
      <c r="AAR18" s="11">
        <v>5140317.43</v>
      </c>
      <c r="AAS18" s="11">
        <v>22535063.100000001</v>
      </c>
      <c r="AAT18" s="11">
        <v>16274941.060000001</v>
      </c>
      <c r="AAU18" s="11">
        <v>9411841.75</v>
      </c>
      <c r="AAV18" s="11">
        <v>9868659.7200000007</v>
      </c>
      <c r="AAW18" s="11">
        <v>17434931.109999999</v>
      </c>
      <c r="AAX18" s="11">
        <v>43820516.840000004</v>
      </c>
      <c r="AAY18" s="11">
        <v>8036203.6699999999</v>
      </c>
      <c r="AAZ18" s="11">
        <v>17315856.100000001</v>
      </c>
      <c r="ABA18" s="11">
        <v>78471443.980000004</v>
      </c>
      <c r="ABB18" s="11">
        <v>32609369.23</v>
      </c>
      <c r="ABC18" s="11">
        <v>3744390.62</v>
      </c>
      <c r="ABD18" s="11">
        <v>8178946.1100000003</v>
      </c>
      <c r="ABE18" s="11">
        <v>8785204.0600000005</v>
      </c>
      <c r="ABF18" s="11">
        <v>5004523.76</v>
      </c>
      <c r="ABG18" s="11">
        <v>6922409.1799999997</v>
      </c>
      <c r="ABH18" s="11">
        <v>5920391.7300000004</v>
      </c>
      <c r="ABI18" s="11">
        <v>69238144.75</v>
      </c>
      <c r="ABJ18" s="11">
        <v>60811101.770000003</v>
      </c>
      <c r="ABK18" s="11">
        <v>5815290.5700000003</v>
      </c>
      <c r="ABL18" s="11">
        <v>6200837.0099999998</v>
      </c>
      <c r="ABM18" s="11">
        <v>5583398.0300000003</v>
      </c>
      <c r="ABN18" s="11">
        <v>5010739.3</v>
      </c>
      <c r="ABO18" s="11">
        <v>3233131.94</v>
      </c>
      <c r="ABP18" s="11">
        <v>190650772.94999999</v>
      </c>
      <c r="ABQ18" s="11">
        <v>8894355.1500000004</v>
      </c>
      <c r="ABR18" s="11">
        <v>9312654.4700000007</v>
      </c>
      <c r="ABS18" s="11">
        <v>15422666.27</v>
      </c>
      <c r="ABT18" s="11">
        <v>6654478.7000000002</v>
      </c>
      <c r="ABU18" s="11">
        <v>6899425.6100000003</v>
      </c>
      <c r="ABV18" s="11">
        <v>7093311.7800000003</v>
      </c>
      <c r="ABW18" s="11">
        <v>8172157.3899999997</v>
      </c>
      <c r="ABX18" s="11">
        <v>625832.62</v>
      </c>
      <c r="ABY18" s="11">
        <v>110802271.98</v>
      </c>
      <c r="ABZ18" s="11">
        <v>3763368.35</v>
      </c>
      <c r="ACA18" s="11">
        <v>22497751.030000001</v>
      </c>
      <c r="ACB18" s="11">
        <v>4667258.47</v>
      </c>
      <c r="ACC18" s="11">
        <v>3534368.16</v>
      </c>
      <c r="ACD18" s="11">
        <v>23226065.859999999</v>
      </c>
      <c r="ACE18" s="11">
        <v>3815761.83</v>
      </c>
      <c r="ACF18" s="11">
        <v>5668934.5199999996</v>
      </c>
      <c r="ACG18" s="11">
        <v>3193250.61</v>
      </c>
      <c r="ACH18" s="11">
        <v>14712377.18</v>
      </c>
      <c r="ACI18" s="11">
        <v>2786751.06</v>
      </c>
      <c r="ACJ18" s="11">
        <v>377452870.48000002</v>
      </c>
      <c r="ACK18" s="11">
        <v>5460629.1799999997</v>
      </c>
      <c r="ACL18" s="11">
        <v>12420241.119999999</v>
      </c>
      <c r="ACM18" s="11">
        <v>15657939.48</v>
      </c>
      <c r="ACN18" s="11">
        <v>5306009.21</v>
      </c>
      <c r="ACO18" s="11">
        <v>7082611.3200000003</v>
      </c>
      <c r="ACP18" s="11">
        <v>14721363.310000001</v>
      </c>
      <c r="ACQ18" s="11">
        <v>47709335.689999998</v>
      </c>
      <c r="ACR18" s="11">
        <v>51800560.710000001</v>
      </c>
      <c r="ACS18" s="11">
        <v>4789006.32</v>
      </c>
      <c r="ACT18" s="11">
        <v>10602006.210000001</v>
      </c>
      <c r="ACU18" s="11">
        <v>19638405.609999999</v>
      </c>
      <c r="ACV18" s="11">
        <v>8512328.1799999997</v>
      </c>
      <c r="ACW18" s="11">
        <v>51464192.810000002</v>
      </c>
      <c r="ACX18" s="11">
        <v>11053628.02</v>
      </c>
      <c r="ACY18" s="11">
        <v>7102168.5300000003</v>
      </c>
      <c r="ACZ18" s="11">
        <v>11599379.779999999</v>
      </c>
      <c r="ADA18" s="11">
        <v>1879584.83</v>
      </c>
      <c r="ADB18" s="11">
        <v>12617584.630000001</v>
      </c>
      <c r="ADC18" s="11">
        <v>3691105.37</v>
      </c>
      <c r="ADD18" s="11">
        <v>3529217.24</v>
      </c>
      <c r="ADE18" s="11">
        <v>6398038.7999999998</v>
      </c>
      <c r="ADF18" s="11">
        <v>5059071</v>
      </c>
      <c r="ADG18" s="11">
        <v>35698435.079999998</v>
      </c>
      <c r="ADH18" s="11">
        <v>31696923.350000001</v>
      </c>
      <c r="ADI18" s="11">
        <v>1847201.07</v>
      </c>
      <c r="ADJ18" s="11">
        <v>1993165.99</v>
      </c>
      <c r="ADK18" s="11">
        <v>25643088.289999999</v>
      </c>
      <c r="ADL18" s="11">
        <v>1107020.95</v>
      </c>
      <c r="ADM18" s="11">
        <v>4734135.5199999996</v>
      </c>
      <c r="ADN18" s="11">
        <v>4746305.0599999996</v>
      </c>
      <c r="ADO18" s="11">
        <v>5756486.9800000004</v>
      </c>
      <c r="ADP18" s="11">
        <v>290212139.02999997</v>
      </c>
      <c r="ADQ18" s="11">
        <v>14388045.029999999</v>
      </c>
      <c r="ADR18" s="11">
        <v>19543817.57</v>
      </c>
      <c r="ADS18" s="11">
        <v>7036252.6900000004</v>
      </c>
      <c r="ADT18" s="11">
        <v>62916073.740000002</v>
      </c>
      <c r="ADU18" s="11">
        <v>1623682.7</v>
      </c>
      <c r="ADV18" s="11">
        <v>2452906.2200000002</v>
      </c>
      <c r="ADW18" s="11">
        <v>4340552.18</v>
      </c>
      <c r="ADX18" s="11">
        <v>1290104.74</v>
      </c>
      <c r="ADY18" s="11">
        <v>813017.61</v>
      </c>
      <c r="ADZ18" s="11">
        <v>666583076.51999998</v>
      </c>
      <c r="AEA18" s="11">
        <v>18903938.949999999</v>
      </c>
      <c r="AEB18" s="11">
        <v>26845762.789999999</v>
      </c>
      <c r="AEC18" s="11">
        <v>6669730.1799999997</v>
      </c>
      <c r="AED18" s="11">
        <v>6027058.3899999997</v>
      </c>
      <c r="AEE18" s="11">
        <v>16002774.74</v>
      </c>
      <c r="AEF18" s="11">
        <v>7761479.7999999998</v>
      </c>
      <c r="AEG18" s="11">
        <v>8266233.7199999997</v>
      </c>
      <c r="AEH18" s="11">
        <v>4288323.9000000004</v>
      </c>
      <c r="AEI18" s="11">
        <v>11705193.43</v>
      </c>
      <c r="AEJ18" s="11">
        <v>8292163.5700000003</v>
      </c>
      <c r="AEK18" s="11">
        <v>15340178.51</v>
      </c>
      <c r="AEL18" s="11">
        <v>6113634.3200000003</v>
      </c>
      <c r="AEM18" s="11">
        <v>7890227.6600000001</v>
      </c>
      <c r="AEN18" s="11">
        <v>13096494.93</v>
      </c>
      <c r="AEO18" s="11">
        <v>9435822.4800000004</v>
      </c>
      <c r="AEP18" s="11">
        <v>4078093.25</v>
      </c>
      <c r="AEQ18" s="11">
        <v>17186320.039999999</v>
      </c>
      <c r="AER18" s="11">
        <v>3097789.55</v>
      </c>
      <c r="AES18" s="11">
        <v>14878189.189999999</v>
      </c>
      <c r="AET18" s="11">
        <v>296407344.05000001</v>
      </c>
      <c r="AEU18" s="11">
        <v>18462788.949999999</v>
      </c>
      <c r="AEV18" s="11">
        <v>13854071.859999999</v>
      </c>
      <c r="AEW18" s="11">
        <v>9552875.9800000004</v>
      </c>
      <c r="AEX18" s="11">
        <v>7890495.1600000001</v>
      </c>
      <c r="AEY18" s="11">
        <v>28754044.129999999</v>
      </c>
      <c r="AEZ18" s="11">
        <v>7728485.5999999996</v>
      </c>
      <c r="AFA18" s="11">
        <v>9768722.6400000006</v>
      </c>
      <c r="AFB18" s="11">
        <v>7125930.3499999996</v>
      </c>
      <c r="AFC18" s="11">
        <v>3125920.06</v>
      </c>
      <c r="AFD18" s="11">
        <v>119510696.53</v>
      </c>
      <c r="AFE18" s="11">
        <v>43971920.189999998</v>
      </c>
      <c r="AFF18" s="11">
        <v>8792663.1400000006</v>
      </c>
      <c r="AFG18" s="11">
        <v>5891414.6500000004</v>
      </c>
      <c r="AFH18" s="11">
        <v>9743895.4299999997</v>
      </c>
      <c r="AFI18" s="11">
        <v>6703915.6900000004</v>
      </c>
      <c r="AFJ18" s="11">
        <v>3824961.73</v>
      </c>
      <c r="AFK18" s="11">
        <v>6290621.8200000003</v>
      </c>
      <c r="AFL18" s="11">
        <v>2877002.44</v>
      </c>
      <c r="AFM18" s="11">
        <v>5194096.7300000004</v>
      </c>
      <c r="AFN18" s="11">
        <v>4431824.8600000003</v>
      </c>
      <c r="AFO18" s="11">
        <v>3703619.9000000004</v>
      </c>
      <c r="AFP18" s="11">
        <v>4447113.45</v>
      </c>
      <c r="AFQ18" s="11">
        <v>98318366.519999996</v>
      </c>
      <c r="AFR18" s="11">
        <v>8049417.0599999996</v>
      </c>
      <c r="AFS18" s="11">
        <v>6829103.5599999996</v>
      </c>
      <c r="AFT18" s="11">
        <v>4668311.54</v>
      </c>
      <c r="AFU18" s="11">
        <v>3775731.5700000003</v>
      </c>
      <c r="AFV18" s="11">
        <v>2436858.69</v>
      </c>
      <c r="AFW18" s="11">
        <v>2267131.4</v>
      </c>
      <c r="AFX18" s="11">
        <v>6826318.8200000003</v>
      </c>
      <c r="AFY18" s="11">
        <v>5143413.12</v>
      </c>
      <c r="AFZ18" s="11">
        <v>3786455.05</v>
      </c>
      <c r="AGA18" s="11">
        <v>12373391.869999999</v>
      </c>
      <c r="AGB18" s="11">
        <v>2335203.44</v>
      </c>
      <c r="AGC18" s="11">
        <v>209660095.00999999</v>
      </c>
      <c r="AGD18" s="11">
        <v>7414217.9299999997</v>
      </c>
      <c r="AGE18" s="11">
        <v>11572475.01</v>
      </c>
      <c r="AGF18" s="11">
        <v>5852334.5999999996</v>
      </c>
      <c r="AGG18" s="11">
        <v>28137798.149999999</v>
      </c>
      <c r="AGH18" s="11">
        <v>6437738.6600000001</v>
      </c>
      <c r="AGI18" s="11">
        <v>15754866.380000001</v>
      </c>
      <c r="AGJ18" s="11">
        <v>6644124.8899999997</v>
      </c>
      <c r="AGK18" s="11">
        <v>4468055.57</v>
      </c>
      <c r="AGL18" s="11">
        <v>5613665.3799999999</v>
      </c>
      <c r="AGM18" s="11">
        <v>4885581.03</v>
      </c>
      <c r="AGN18" s="11">
        <v>187428183.81</v>
      </c>
      <c r="AGO18" s="11">
        <v>19188402.170000002</v>
      </c>
      <c r="AGP18" s="11">
        <v>7712878.5199999996</v>
      </c>
      <c r="AGQ18" s="11">
        <v>3162073.41</v>
      </c>
      <c r="AGR18" s="11">
        <v>8351335.1600000001</v>
      </c>
      <c r="AGS18" s="11">
        <v>3831311.53</v>
      </c>
      <c r="AGT18" s="11">
        <v>2032868</v>
      </c>
      <c r="AGU18" s="11">
        <v>2420637.7400000002</v>
      </c>
      <c r="AGV18" s="11">
        <v>351590106.25999999</v>
      </c>
      <c r="AGW18" s="11">
        <v>207353955.31</v>
      </c>
      <c r="AGX18" s="11">
        <v>8586507.1099999994</v>
      </c>
      <c r="AGY18" s="11">
        <v>18995533.309999999</v>
      </c>
      <c r="AGZ18" s="11">
        <v>29098127.609999999</v>
      </c>
      <c r="AHA18" s="11">
        <v>10767830.5</v>
      </c>
      <c r="AHB18" s="11">
        <v>9941810.4499999993</v>
      </c>
      <c r="AHC18" s="11">
        <v>16219768.449999999</v>
      </c>
      <c r="AHD18" s="11">
        <v>2838848.9799999995</v>
      </c>
      <c r="AHE18" s="11">
        <v>8130422.7000000002</v>
      </c>
      <c r="AHF18" s="11">
        <v>11776055.99</v>
      </c>
      <c r="AHG18" s="11">
        <v>3721711.91</v>
      </c>
      <c r="AHH18" s="11">
        <v>3901544.35</v>
      </c>
      <c r="AHI18" s="11">
        <v>5126291.1899999995</v>
      </c>
      <c r="AHJ18" s="11">
        <v>3592115.1466999999</v>
      </c>
      <c r="AHK18" s="11">
        <v>5469369.5499999998</v>
      </c>
      <c r="AHL18" s="11">
        <v>3827710.09</v>
      </c>
      <c r="AHM18" s="11">
        <v>93117879.420000002</v>
      </c>
      <c r="AHN18" s="11">
        <v>5796642.0800000001</v>
      </c>
      <c r="AHO18" s="11">
        <v>5251025.34</v>
      </c>
      <c r="AHP18" s="11">
        <v>3398481.74</v>
      </c>
      <c r="AHQ18" s="11">
        <v>14583679.76</v>
      </c>
      <c r="AHR18" s="11">
        <v>4157762.53</v>
      </c>
      <c r="AHS18" s="11">
        <v>4015077.2</v>
      </c>
      <c r="AHT18" s="11">
        <v>32306479302.738705</v>
      </c>
      <c r="AHU18" s="11"/>
    </row>
    <row r="19" spans="2:905" x14ac:dyDescent="0.7">
      <c r="B19" s="6" t="s">
        <v>21</v>
      </c>
      <c r="C19" s="6" t="s">
        <v>22</v>
      </c>
      <c r="D19" s="11">
        <v>306197398.35000002</v>
      </c>
      <c r="E19" s="11">
        <v>4714339.92</v>
      </c>
      <c r="F19" s="11">
        <v>5719398.9400000004</v>
      </c>
      <c r="G19" s="11">
        <v>1621815.79</v>
      </c>
      <c r="H19" s="11">
        <v>22208696.870000001</v>
      </c>
      <c r="I19" s="11">
        <v>4127905.48</v>
      </c>
      <c r="J19" s="11">
        <v>16401018.82</v>
      </c>
      <c r="K19" s="11">
        <v>3614199.26</v>
      </c>
      <c r="L19" s="11">
        <v>3676695.35</v>
      </c>
      <c r="M19" s="11">
        <v>6159876.7399999993</v>
      </c>
      <c r="N19" s="11">
        <v>3614947.03</v>
      </c>
      <c r="O19" s="11">
        <v>1991742.99</v>
      </c>
      <c r="P19" s="11">
        <v>5688011.5599999996</v>
      </c>
      <c r="Q19" s="11">
        <v>1869317.05</v>
      </c>
      <c r="R19" s="11">
        <v>2012753.94</v>
      </c>
      <c r="S19" s="11">
        <v>7842450.1799999997</v>
      </c>
      <c r="T19" s="11">
        <v>5464569.9299999997</v>
      </c>
      <c r="U19" s="11">
        <v>825396.28</v>
      </c>
      <c r="V19" s="11">
        <v>189925399.27000001</v>
      </c>
      <c r="W19" s="11">
        <v>32575080.879999999</v>
      </c>
      <c r="X19" s="11">
        <v>3402184.5900000003</v>
      </c>
      <c r="Y19" s="11">
        <v>5411311.0300000003</v>
      </c>
      <c r="Z19" s="11">
        <v>4229121.84</v>
      </c>
      <c r="AA19" s="11">
        <v>5147699.49</v>
      </c>
      <c r="AB19" s="11">
        <v>821663.2</v>
      </c>
      <c r="AC19" s="11">
        <v>31545495.73</v>
      </c>
      <c r="AD19" s="11">
        <v>5200867.4499999993</v>
      </c>
      <c r="AE19" s="11">
        <v>1800137.9300000002</v>
      </c>
      <c r="AF19" s="11">
        <v>25033950.98</v>
      </c>
      <c r="AG19" s="11">
        <v>3830591.67</v>
      </c>
      <c r="AH19" s="11">
        <v>37823902.649999999</v>
      </c>
      <c r="AI19" s="11">
        <v>7873528.4299999997</v>
      </c>
      <c r="AJ19" s="11">
        <v>1911789.21</v>
      </c>
      <c r="AK19" s="11">
        <v>1039611.72</v>
      </c>
      <c r="AL19" s="11">
        <v>3405510.96</v>
      </c>
      <c r="AM19" s="11">
        <v>5584974.71</v>
      </c>
      <c r="AN19" s="11">
        <v>1990099.01</v>
      </c>
      <c r="AO19" s="11">
        <v>3693304.6</v>
      </c>
      <c r="AP19" s="11">
        <v>1223693.32</v>
      </c>
      <c r="AQ19" s="11">
        <v>1012463.46</v>
      </c>
      <c r="AR19" s="11">
        <v>1753942.76</v>
      </c>
      <c r="AS19" s="11">
        <v>1014462.48</v>
      </c>
      <c r="AT19" s="11">
        <v>97900688.640000001</v>
      </c>
      <c r="AU19" s="11">
        <v>990849.97</v>
      </c>
      <c r="AV19" s="11">
        <v>1106265.95</v>
      </c>
      <c r="AW19" s="11">
        <v>3801518.94</v>
      </c>
      <c r="AX19" s="11">
        <v>3851343.56</v>
      </c>
      <c r="AY19" s="11">
        <v>4350261.7200000007</v>
      </c>
      <c r="AZ19" s="11">
        <v>1103319.48</v>
      </c>
      <c r="BA19" s="11">
        <v>1771753.07</v>
      </c>
      <c r="BB19" s="11">
        <v>800583.86</v>
      </c>
      <c r="BC19" s="11">
        <v>740679.22</v>
      </c>
      <c r="BD19" s="11">
        <v>772008.59</v>
      </c>
      <c r="BE19" s="11">
        <v>472368.8</v>
      </c>
      <c r="BF19" s="11">
        <v>15535021.800000001</v>
      </c>
      <c r="BG19" s="11">
        <v>703403.59</v>
      </c>
      <c r="BH19" s="11">
        <v>975373.12</v>
      </c>
      <c r="BI19" s="11">
        <v>33540958.379999999</v>
      </c>
      <c r="BJ19" s="11">
        <v>44065834.229999997</v>
      </c>
      <c r="BK19" s="11">
        <v>4471344.99</v>
      </c>
      <c r="BL19" s="11">
        <v>1654845.1600000001</v>
      </c>
      <c r="BM19" s="11">
        <v>4238222.5599999996</v>
      </c>
      <c r="BN19" s="11">
        <v>3621423.6199999996</v>
      </c>
      <c r="BO19" s="11">
        <v>2213636</v>
      </c>
      <c r="BP19" s="11">
        <v>1582347.18</v>
      </c>
      <c r="BQ19" s="11">
        <v>601701.92999999993</v>
      </c>
      <c r="BR19" s="11">
        <v>97663278.909999996</v>
      </c>
      <c r="BS19" s="11">
        <v>1964275.76</v>
      </c>
      <c r="BT19" s="11">
        <v>3551229.07</v>
      </c>
      <c r="BU19" s="11">
        <v>2737906.29</v>
      </c>
      <c r="BV19" s="11">
        <v>2584086.12</v>
      </c>
      <c r="BW19" s="11">
        <v>1595165.32</v>
      </c>
      <c r="BX19" s="11">
        <v>1712606.38</v>
      </c>
      <c r="BY19" s="11">
        <v>2127700.08</v>
      </c>
      <c r="BZ19" s="11">
        <v>19492441.120000001</v>
      </c>
      <c r="CA19" s="11">
        <v>2526446.38</v>
      </c>
      <c r="CB19" s="11">
        <v>3583851.48</v>
      </c>
      <c r="CC19" s="11">
        <v>9492430.4800000004</v>
      </c>
      <c r="CD19" s="11">
        <v>1883000.41</v>
      </c>
      <c r="CE19" s="11">
        <v>2083473.57</v>
      </c>
      <c r="CF19" s="11">
        <v>936964.47</v>
      </c>
      <c r="CG19" s="11">
        <v>288469385.94</v>
      </c>
      <c r="CH19" s="11">
        <v>2102743.27</v>
      </c>
      <c r="CI19" s="11">
        <v>21716811.109999999</v>
      </c>
      <c r="CJ19" s="11">
        <v>1439331.91</v>
      </c>
      <c r="CK19" s="11">
        <v>2528233.71</v>
      </c>
      <c r="CL19" s="11">
        <v>1955610.33</v>
      </c>
      <c r="CM19" s="11">
        <v>2641502.4400000004</v>
      </c>
      <c r="CN19" s="11">
        <v>5825415.5299999993</v>
      </c>
      <c r="CO19" s="11">
        <v>396259.23</v>
      </c>
      <c r="CP19" s="11">
        <v>2462902.88</v>
      </c>
      <c r="CQ19" s="11">
        <v>1751041.95</v>
      </c>
      <c r="CR19" s="11">
        <v>3549705.71</v>
      </c>
      <c r="CS19" s="11">
        <v>2410836.96</v>
      </c>
      <c r="CT19" s="11">
        <v>87797038.070000008</v>
      </c>
      <c r="CU19" s="11">
        <v>1608528.62</v>
      </c>
      <c r="CV19" s="11">
        <v>1908821.0899999999</v>
      </c>
      <c r="CW19" s="11">
        <v>4394647.71</v>
      </c>
      <c r="CX19" s="11">
        <v>1049686.8600000001</v>
      </c>
      <c r="CY19" s="11">
        <v>4433344.68</v>
      </c>
      <c r="CZ19" s="11">
        <v>1310180.21</v>
      </c>
      <c r="DA19" s="11">
        <v>1313373.8400000001</v>
      </c>
      <c r="DB19" s="11">
        <v>52061036.880000003</v>
      </c>
      <c r="DC19" s="11">
        <v>66685815.460000001</v>
      </c>
      <c r="DD19" s="11">
        <v>5161489.5600000005</v>
      </c>
      <c r="DE19" s="11">
        <v>1594438.48</v>
      </c>
      <c r="DF19" s="11">
        <v>7572110.5199999996</v>
      </c>
      <c r="DG19" s="11">
        <v>7934427.4199999999</v>
      </c>
      <c r="DH19" s="11">
        <v>11182797.359999999</v>
      </c>
      <c r="DI19" s="11">
        <v>9362770.0999999996</v>
      </c>
      <c r="DJ19" s="11">
        <v>1859030.32</v>
      </c>
      <c r="DK19" s="11">
        <v>323551211.36000001</v>
      </c>
      <c r="DL19" s="11">
        <v>2281705.81</v>
      </c>
      <c r="DM19" s="11">
        <v>9657752.129999999</v>
      </c>
      <c r="DN19" s="11">
        <v>5979849.7999999998</v>
      </c>
      <c r="DO19" s="11">
        <v>5767677.5499999998</v>
      </c>
      <c r="DP19" s="11">
        <v>2223986.19</v>
      </c>
      <c r="DQ19" s="11">
        <v>9041148.3800000008</v>
      </c>
      <c r="DR19" s="11">
        <v>2747910.49</v>
      </c>
      <c r="DS19" s="11">
        <v>17122279.43</v>
      </c>
      <c r="DT19" s="11">
        <v>80524398.090000004</v>
      </c>
      <c r="DU19" s="11">
        <v>4258859.82</v>
      </c>
      <c r="DV19" s="11">
        <v>18314611.91</v>
      </c>
      <c r="DW19" s="11">
        <v>25057510.829999998</v>
      </c>
      <c r="DX19" s="11">
        <v>5251113.7799999993</v>
      </c>
      <c r="DY19" s="11">
        <v>12380532.639999999</v>
      </c>
      <c r="DZ19" s="11">
        <v>4897926.25</v>
      </c>
      <c r="EA19" s="11">
        <v>1408850.3499999999</v>
      </c>
      <c r="EB19" s="11">
        <v>3777135.8299999996</v>
      </c>
      <c r="EC19" s="11">
        <v>4705259</v>
      </c>
      <c r="ED19" s="11">
        <v>10813570.120000001</v>
      </c>
      <c r="EE19" s="11">
        <v>46431611.289999999</v>
      </c>
      <c r="EF19" s="11">
        <v>40645966.839999996</v>
      </c>
      <c r="EG19" s="11">
        <v>2065923.32</v>
      </c>
      <c r="EH19" s="11">
        <v>3519067.19</v>
      </c>
      <c r="EI19" s="11">
        <v>3704236.3899999997</v>
      </c>
      <c r="EJ19" s="11">
        <v>5191176.0100000007</v>
      </c>
      <c r="EK19" s="11">
        <v>8486034.5600000005</v>
      </c>
      <c r="EL19" s="11">
        <v>1793942.89</v>
      </c>
      <c r="EM19" s="11">
        <v>3181893.16</v>
      </c>
      <c r="EN19" s="11">
        <v>98350554.020000011</v>
      </c>
      <c r="EO19" s="11">
        <v>2497596.0499999998</v>
      </c>
      <c r="EP19" s="11">
        <v>3429397.24</v>
      </c>
      <c r="EQ19" s="11">
        <v>2977977.04</v>
      </c>
      <c r="ER19" s="11">
        <v>1881924.89</v>
      </c>
      <c r="ES19" s="11">
        <v>751659.13</v>
      </c>
      <c r="ET19" s="11">
        <v>6210470.0800000001</v>
      </c>
      <c r="EU19" s="11">
        <v>5695502.3799999999</v>
      </c>
      <c r="EV19" s="11">
        <v>2031448.37</v>
      </c>
      <c r="EW19" s="11">
        <v>105397023.84999999</v>
      </c>
      <c r="EX19" s="11">
        <v>2318640.48</v>
      </c>
      <c r="EY19" s="11">
        <v>3214100.81</v>
      </c>
      <c r="EZ19" s="11">
        <v>18876687.289999999</v>
      </c>
      <c r="FA19" s="11">
        <v>7155624.5800000001</v>
      </c>
      <c r="FB19" s="11">
        <v>4861452.75</v>
      </c>
      <c r="FC19" s="11">
        <v>6103369.75</v>
      </c>
      <c r="FD19" s="11">
        <v>5765340.4000000004</v>
      </c>
      <c r="FE19" s="11">
        <v>3594147.76</v>
      </c>
      <c r="FF19" s="11">
        <v>3042458.12</v>
      </c>
      <c r="FG19" s="11">
        <v>2503075.7000000002</v>
      </c>
      <c r="FH19" s="11">
        <v>4452179.38</v>
      </c>
      <c r="FI19" s="11">
        <v>39282863.140000001</v>
      </c>
      <c r="FJ19" s="11">
        <v>2152209.4</v>
      </c>
      <c r="FK19" s="11">
        <v>1041297.27</v>
      </c>
      <c r="FL19" s="11">
        <v>1067104.18</v>
      </c>
      <c r="FM19" s="11">
        <v>4187838.5</v>
      </c>
      <c r="FN19" s="11">
        <v>3798034.2</v>
      </c>
      <c r="FO19" s="11">
        <v>856823.16</v>
      </c>
      <c r="FP19" s="11">
        <v>215588.48000000001</v>
      </c>
      <c r="FQ19" s="11">
        <v>237489382.5</v>
      </c>
      <c r="FR19" s="11">
        <v>2046177.78</v>
      </c>
      <c r="FS19" s="11">
        <v>6981067.0999999996</v>
      </c>
      <c r="FT19" s="11">
        <v>4934807.8999999994</v>
      </c>
      <c r="FU19" s="11">
        <v>5579743.6399999997</v>
      </c>
      <c r="FV19" s="11">
        <v>2263727.12</v>
      </c>
      <c r="FW19" s="11">
        <v>7389422.46</v>
      </c>
      <c r="FX19" s="11">
        <v>3939024.88</v>
      </c>
      <c r="FY19" s="11">
        <v>2805903.47</v>
      </c>
      <c r="FZ19" s="11">
        <v>1763953.09</v>
      </c>
      <c r="GA19" s="11">
        <v>14184256.939999999</v>
      </c>
      <c r="GB19" s="11">
        <v>2817305.35</v>
      </c>
      <c r="GC19" s="11">
        <v>2598258.4900000002</v>
      </c>
      <c r="GD19" s="11">
        <v>1542402.7799999998</v>
      </c>
      <c r="GE19" s="11">
        <v>64644583.75</v>
      </c>
      <c r="GF19" s="11">
        <v>2439527.61</v>
      </c>
      <c r="GG19" s="11">
        <v>2582443.4300000002</v>
      </c>
      <c r="GH19" s="11">
        <v>17818979.809999999</v>
      </c>
      <c r="GI19" s="11">
        <v>2754963.16</v>
      </c>
      <c r="GJ19" s="11">
        <v>2540265.44</v>
      </c>
      <c r="GK19" s="11">
        <v>2129987.29</v>
      </c>
      <c r="GL19" s="11">
        <v>15471360.75</v>
      </c>
      <c r="GM19" s="11">
        <v>1587842.47</v>
      </c>
      <c r="GN19" s="11">
        <v>898639.42</v>
      </c>
      <c r="GO19" s="11">
        <v>1252359.32</v>
      </c>
      <c r="GP19" s="11">
        <v>806667.77</v>
      </c>
      <c r="GQ19" s="11">
        <v>51074566.700000003</v>
      </c>
      <c r="GR19" s="11">
        <v>4395968.7300000004</v>
      </c>
      <c r="GS19" s="11">
        <v>1486875.89</v>
      </c>
      <c r="GT19" s="11">
        <v>8691577.5399999991</v>
      </c>
      <c r="GU19" s="11">
        <v>451484.61</v>
      </c>
      <c r="GV19" s="11">
        <v>4382340.67</v>
      </c>
      <c r="GW19" s="11">
        <v>3319819.65</v>
      </c>
      <c r="GX19" s="11">
        <v>1512508.5499999998</v>
      </c>
      <c r="GY19" s="11">
        <v>56511177.849999994</v>
      </c>
      <c r="GZ19" s="11">
        <v>1546405.22</v>
      </c>
      <c r="HA19" s="11">
        <v>3716025.51</v>
      </c>
      <c r="HB19" s="11">
        <v>3482066.07</v>
      </c>
      <c r="HC19" s="11">
        <v>135620083.15000001</v>
      </c>
      <c r="HD19" s="11">
        <v>6144123.5499999998</v>
      </c>
      <c r="HE19" s="11">
        <v>9047855.1500000004</v>
      </c>
      <c r="HF19" s="11">
        <v>10514660.360000001</v>
      </c>
      <c r="HG19" s="11">
        <v>4803493.05</v>
      </c>
      <c r="HH19" s="11">
        <v>13698493.67</v>
      </c>
      <c r="HI19" s="11">
        <v>1472873.93</v>
      </c>
      <c r="HJ19" s="11">
        <v>138831.47</v>
      </c>
      <c r="HK19" s="11">
        <v>97534939.689999998</v>
      </c>
      <c r="HL19" s="11">
        <v>6465088.1699999999</v>
      </c>
      <c r="HM19" s="11">
        <v>15621929.48</v>
      </c>
      <c r="HN19" s="11">
        <v>5620314.71</v>
      </c>
      <c r="HO19" s="11">
        <v>2771984.9000000004</v>
      </c>
      <c r="HP19" s="11">
        <v>1926713.37</v>
      </c>
      <c r="HQ19" s="11">
        <v>4592061.3599999994</v>
      </c>
      <c r="HR19" s="11">
        <v>1282651.8700000001</v>
      </c>
      <c r="HS19" s="11">
        <v>95793401.629999995</v>
      </c>
      <c r="HT19" s="11">
        <v>31608150.27</v>
      </c>
      <c r="HU19" s="11">
        <v>3321638.92</v>
      </c>
      <c r="HV19" s="11">
        <v>1331474.8600000001</v>
      </c>
      <c r="HW19" s="11">
        <v>2104058.9300000002</v>
      </c>
      <c r="HX19" s="11">
        <v>880310.27</v>
      </c>
      <c r="HY19" s="11">
        <v>8305255.6100000003</v>
      </c>
      <c r="HZ19" s="11">
        <v>2556090.0699999998</v>
      </c>
      <c r="IA19" s="11">
        <v>1108452.74</v>
      </c>
      <c r="IB19" s="11">
        <v>1844403.35</v>
      </c>
      <c r="IC19" s="11">
        <v>3146526.78</v>
      </c>
      <c r="ID19" s="11">
        <v>7450559.8999999994</v>
      </c>
      <c r="IE19" s="11">
        <v>402980.3</v>
      </c>
      <c r="IF19" s="11">
        <v>6071070.8799999999</v>
      </c>
      <c r="IG19" s="11">
        <v>1006490.24</v>
      </c>
      <c r="IH19" s="11">
        <v>774064.89</v>
      </c>
      <c r="II19" s="11">
        <v>75532210.519999996</v>
      </c>
      <c r="IJ19" s="11">
        <v>16620716.91</v>
      </c>
      <c r="IK19" s="11">
        <v>3908103.92</v>
      </c>
      <c r="IL19" s="11">
        <v>10723597.279999999</v>
      </c>
      <c r="IM19" s="11">
        <v>19545180.260000002</v>
      </c>
      <c r="IN19" s="11">
        <v>4062286.46</v>
      </c>
      <c r="IO19" s="11">
        <v>2038738.77</v>
      </c>
      <c r="IP19" s="11">
        <v>2095988.35</v>
      </c>
      <c r="IQ19" s="11">
        <v>1654807.82</v>
      </c>
      <c r="IR19" s="11">
        <v>1608567.06</v>
      </c>
      <c r="IS19" s="11">
        <v>1611911.61</v>
      </c>
      <c r="IT19" s="11">
        <v>167152148.28999999</v>
      </c>
      <c r="IU19" s="11">
        <v>42905612.890000001</v>
      </c>
      <c r="IV19" s="11">
        <v>5691029.0599999996</v>
      </c>
      <c r="IW19" s="11">
        <v>2194081.37</v>
      </c>
      <c r="IX19" s="11">
        <v>2746060.67</v>
      </c>
      <c r="IY19" s="11">
        <v>639551.81999999995</v>
      </c>
      <c r="IZ19" s="11">
        <v>1465957.85</v>
      </c>
      <c r="JA19" s="11">
        <v>491930</v>
      </c>
      <c r="JB19" s="11">
        <v>732666.68</v>
      </c>
      <c r="JC19" s="11">
        <v>4110124.1900000004</v>
      </c>
      <c r="JD19" s="11">
        <v>3041194.05</v>
      </c>
      <c r="JE19" s="11">
        <v>1354359.2</v>
      </c>
      <c r="JF19" s="11">
        <v>34264362.289999999</v>
      </c>
      <c r="JG19" s="11">
        <v>12423473.91</v>
      </c>
      <c r="JH19" s="11">
        <v>1205267.71</v>
      </c>
      <c r="JI19" s="11">
        <v>873584.74</v>
      </c>
      <c r="JJ19" s="11">
        <v>1042619.34</v>
      </c>
      <c r="JK19" s="11">
        <v>651736.38</v>
      </c>
      <c r="JL19" s="11">
        <v>39501748.550000004</v>
      </c>
      <c r="JM19" s="11">
        <v>945505.32</v>
      </c>
      <c r="JN19" s="11">
        <v>2348734.14</v>
      </c>
      <c r="JO19" s="11">
        <v>6222375.2400000002</v>
      </c>
      <c r="JP19" s="11">
        <v>1532481.45</v>
      </c>
      <c r="JQ19" s="11">
        <v>6040495.6699999999</v>
      </c>
      <c r="JR19" s="11">
        <v>1196469.81</v>
      </c>
      <c r="JS19" s="11">
        <v>92023146.319999993</v>
      </c>
      <c r="JT19" s="11">
        <v>32635805.280000001</v>
      </c>
      <c r="JU19" s="11">
        <v>2822315.44</v>
      </c>
      <c r="JV19" s="11">
        <v>1826094.4</v>
      </c>
      <c r="JW19" s="11">
        <v>4936564.1900000004</v>
      </c>
      <c r="JX19" s="11">
        <v>882442.83</v>
      </c>
      <c r="JY19" s="11">
        <v>13873484.91</v>
      </c>
      <c r="JZ19" s="11">
        <v>8585166.2799999993</v>
      </c>
      <c r="KA19" s="11">
        <v>1688134.47</v>
      </c>
      <c r="KB19" s="11">
        <v>3920342.32</v>
      </c>
      <c r="KC19" s="11">
        <v>3008687.88</v>
      </c>
      <c r="KD19" s="11">
        <v>2523590.44</v>
      </c>
      <c r="KE19" s="11">
        <v>988900.46</v>
      </c>
      <c r="KF19" s="11">
        <v>332558.99</v>
      </c>
      <c r="KG19" s="11">
        <v>2195279.48</v>
      </c>
      <c r="KH19" s="11">
        <v>1427706.16</v>
      </c>
      <c r="KI19" s="11">
        <v>149743586.08000001</v>
      </c>
      <c r="KJ19" s="11">
        <v>12538591.93</v>
      </c>
      <c r="KK19" s="11">
        <v>3746092.82</v>
      </c>
      <c r="KL19" s="11">
        <v>1931652.67</v>
      </c>
      <c r="KM19" s="11">
        <v>8958944.3000000007</v>
      </c>
      <c r="KN19" s="11">
        <v>5016530.42</v>
      </c>
      <c r="KO19" s="11">
        <v>30762101.649999999</v>
      </c>
      <c r="KP19" s="11">
        <v>1994663.19</v>
      </c>
      <c r="KQ19" s="11">
        <v>1974147.24</v>
      </c>
      <c r="KR19" s="11">
        <v>34188954.259999998</v>
      </c>
      <c r="KS19" s="11">
        <v>1935061.82</v>
      </c>
      <c r="KT19" s="11">
        <v>3264409.7199999997</v>
      </c>
      <c r="KU19" s="11">
        <v>23926261.98</v>
      </c>
      <c r="KV19" s="11">
        <v>1757510.15</v>
      </c>
      <c r="KW19" s="11">
        <v>5643164.5700000003</v>
      </c>
      <c r="KX19" s="11">
        <v>82914761.310000002</v>
      </c>
      <c r="KY19" s="11">
        <v>4613837.6100000003</v>
      </c>
      <c r="KZ19" s="11">
        <v>65577437.369999997</v>
      </c>
      <c r="LA19" s="11">
        <v>2248069.83</v>
      </c>
      <c r="LB19" s="11">
        <v>1727291.36</v>
      </c>
      <c r="LC19" s="11">
        <v>5379452.0100000007</v>
      </c>
      <c r="LD19" s="11">
        <v>6050225.6499999994</v>
      </c>
      <c r="LE19" s="11">
        <v>4124950.92</v>
      </c>
      <c r="LF19" s="11">
        <v>2310206.88</v>
      </c>
      <c r="LG19" s="11">
        <v>1819248.24</v>
      </c>
      <c r="LH19" s="11">
        <v>132337889.21000001</v>
      </c>
      <c r="LI19" s="11">
        <v>16940006.239999998</v>
      </c>
      <c r="LJ19" s="11">
        <v>38856136.030000001</v>
      </c>
      <c r="LK19" s="11">
        <v>26848434.150000002</v>
      </c>
      <c r="LL19" s="11">
        <v>11530722.699999999</v>
      </c>
      <c r="LM19" s="11">
        <v>2319175.13</v>
      </c>
      <c r="LN19" s="11">
        <v>1025463.1</v>
      </c>
      <c r="LO19" s="11">
        <v>4743072.7799999993</v>
      </c>
      <c r="LP19" s="11">
        <v>2402112.0099999998</v>
      </c>
      <c r="LQ19" s="11">
        <v>6368993.5800000001</v>
      </c>
      <c r="LR19" s="11">
        <v>1433147.18</v>
      </c>
      <c r="LS19" s="11">
        <v>43389832.039999999</v>
      </c>
      <c r="LT19" s="11">
        <v>2908828.05</v>
      </c>
      <c r="LU19" s="11">
        <v>2733580.18</v>
      </c>
      <c r="LV19" s="11">
        <v>94180469.549999997</v>
      </c>
      <c r="LW19" s="11">
        <v>55224893.490000002</v>
      </c>
      <c r="LX19" s="11">
        <v>158399789.03000003</v>
      </c>
      <c r="LY19" s="11">
        <v>17724503.670000002</v>
      </c>
      <c r="LZ19" s="11">
        <v>8975353.0700000003</v>
      </c>
      <c r="MA19" s="11">
        <v>8749166.2599999998</v>
      </c>
      <c r="MB19" s="11">
        <v>7600467.2999999998</v>
      </c>
      <c r="MC19" s="11">
        <v>3585217.93</v>
      </c>
      <c r="MD19" s="11">
        <v>6249017.5899999999</v>
      </c>
      <c r="ME19" s="11">
        <v>7681002.9199999999</v>
      </c>
      <c r="MF19" s="11">
        <v>23260603.049999997</v>
      </c>
      <c r="MG19" s="11">
        <v>2100075.61</v>
      </c>
      <c r="MH19" s="11">
        <v>190567702.34999996</v>
      </c>
      <c r="MI19" s="11">
        <v>4640458.5600000005</v>
      </c>
      <c r="MJ19" s="11">
        <v>1560832.15</v>
      </c>
      <c r="MK19" s="11">
        <v>1457245.88</v>
      </c>
      <c r="ML19" s="11">
        <v>1163921.79</v>
      </c>
      <c r="MM19" s="11">
        <v>5007053.7200000007</v>
      </c>
      <c r="MN19" s="11">
        <v>2307103.14</v>
      </c>
      <c r="MO19" s="11">
        <v>1981662.7</v>
      </c>
      <c r="MP19" s="11">
        <v>6659121.4499999993</v>
      </c>
      <c r="MQ19" s="11">
        <v>1638224.43</v>
      </c>
      <c r="MR19" s="11">
        <v>2653870.9299999997</v>
      </c>
      <c r="MS19" s="11">
        <v>2681218.1199999996</v>
      </c>
      <c r="MT19" s="11">
        <v>81568680.260000005</v>
      </c>
      <c r="MU19" s="11">
        <v>3359952.98</v>
      </c>
      <c r="MV19" s="11">
        <v>2471475.83</v>
      </c>
      <c r="MW19" s="11">
        <v>4090189.3</v>
      </c>
      <c r="MX19" s="11">
        <v>8160251.0800000001</v>
      </c>
      <c r="MY19" s="11">
        <v>2099323.94</v>
      </c>
      <c r="MZ19" s="11">
        <v>15736574.199999999</v>
      </c>
      <c r="NA19" s="11">
        <v>7524615.5700000003</v>
      </c>
      <c r="NB19" s="11">
        <v>2506352.56</v>
      </c>
      <c r="NC19" s="11">
        <v>1203303.18</v>
      </c>
      <c r="ND19" s="11">
        <v>367552.25</v>
      </c>
      <c r="NE19" s="11">
        <v>247385541.80000001</v>
      </c>
      <c r="NF19" s="11">
        <v>21736478.82</v>
      </c>
      <c r="NG19" s="11">
        <v>2176750.6</v>
      </c>
      <c r="NH19" s="11">
        <v>70919645.099999994</v>
      </c>
      <c r="NI19" s="11">
        <v>1453378.58</v>
      </c>
      <c r="NJ19" s="11">
        <v>6020691.4500000002</v>
      </c>
      <c r="NK19" s="11">
        <v>36562172.780000001</v>
      </c>
      <c r="NL19" s="11">
        <v>15203515.35</v>
      </c>
      <c r="NM19" s="11">
        <v>650884.37999999989</v>
      </c>
      <c r="NN19" s="11">
        <v>5235814.6100000003</v>
      </c>
      <c r="NO19" s="11">
        <v>5179141.04</v>
      </c>
      <c r="NP19" s="11">
        <v>4713957.8499999996</v>
      </c>
      <c r="NQ19" s="11">
        <v>37981307.230000004</v>
      </c>
      <c r="NR19" s="11">
        <v>454449.84</v>
      </c>
      <c r="NS19" s="11">
        <v>1234655.76</v>
      </c>
      <c r="NT19" s="11">
        <v>1721770.39</v>
      </c>
      <c r="NU19" s="11">
        <v>588796.76</v>
      </c>
      <c r="NV19" s="11">
        <v>342539.95</v>
      </c>
      <c r="NW19" s="11">
        <v>1430204.53</v>
      </c>
      <c r="NX19" s="11">
        <v>96038820.019999996</v>
      </c>
      <c r="NY19" s="11">
        <v>32752129.57</v>
      </c>
      <c r="NZ19" s="11">
        <v>1706425.67</v>
      </c>
      <c r="OA19" s="11">
        <v>830993.67</v>
      </c>
      <c r="OB19" s="11">
        <v>1869532.06</v>
      </c>
      <c r="OC19" s="11">
        <v>4047088.61</v>
      </c>
      <c r="OD19" s="11">
        <v>690631.81</v>
      </c>
      <c r="OE19" s="11">
        <v>143312278.00999999</v>
      </c>
      <c r="OF19" s="11">
        <v>34372629.609999999</v>
      </c>
      <c r="OG19" s="11">
        <v>3303779.9</v>
      </c>
      <c r="OH19" s="11">
        <v>24276659.32</v>
      </c>
      <c r="OI19" s="11">
        <v>3265504.12</v>
      </c>
      <c r="OJ19" s="11">
        <v>3402424.8200000003</v>
      </c>
      <c r="OK19" s="11">
        <v>11049479.279999999</v>
      </c>
      <c r="OL19" s="11">
        <v>2013799.94</v>
      </c>
      <c r="OM19" s="11">
        <v>3408715.68</v>
      </c>
      <c r="ON19" s="11">
        <v>116225590.39999999</v>
      </c>
      <c r="OO19" s="11">
        <v>13152233.560000001</v>
      </c>
      <c r="OP19" s="11">
        <v>37793894.780000001</v>
      </c>
      <c r="OQ19" s="11">
        <v>4843018.25</v>
      </c>
      <c r="OR19" s="11">
        <v>7104747.5099999998</v>
      </c>
      <c r="OS19" s="11">
        <v>2227932.87</v>
      </c>
      <c r="OT19" s="11">
        <v>52173697.280000001</v>
      </c>
      <c r="OU19" s="11">
        <v>1718457.3</v>
      </c>
      <c r="OV19" s="11">
        <v>3258850.14</v>
      </c>
      <c r="OW19" s="11">
        <v>2223558.36</v>
      </c>
      <c r="OX19" s="11">
        <v>6721484.4399999995</v>
      </c>
      <c r="OY19" s="11">
        <v>19009458.189999998</v>
      </c>
      <c r="OZ19" s="11">
        <v>2938263.07</v>
      </c>
      <c r="PA19" s="11">
        <v>1580965.02</v>
      </c>
      <c r="PB19" s="11">
        <v>2516714.94</v>
      </c>
      <c r="PC19" s="11">
        <v>106254967.11</v>
      </c>
      <c r="PD19" s="11">
        <v>1986876.88</v>
      </c>
      <c r="PE19" s="11">
        <v>6586837.5099999998</v>
      </c>
      <c r="PF19" s="11">
        <v>805498.51</v>
      </c>
      <c r="PG19" s="11">
        <v>4474142.5600000005</v>
      </c>
      <c r="PH19" s="11">
        <v>12771239.58</v>
      </c>
      <c r="PI19" s="11">
        <v>3337303.77</v>
      </c>
      <c r="PJ19" s="11">
        <v>4630495.7799999993</v>
      </c>
      <c r="PK19" s="11">
        <v>3685042.23</v>
      </c>
      <c r="PL19" s="11">
        <v>4080008.31</v>
      </c>
      <c r="PM19" s="11">
        <v>3936759.4</v>
      </c>
      <c r="PN19" s="11">
        <v>10314255.549999999</v>
      </c>
      <c r="PO19" s="11">
        <v>2831520.98</v>
      </c>
      <c r="PP19" s="11">
        <v>26241374.189999998</v>
      </c>
      <c r="PQ19" s="11">
        <v>1588801.92</v>
      </c>
      <c r="PR19" s="11">
        <v>2339064.0099999998</v>
      </c>
      <c r="PS19" s="11">
        <v>490458.77</v>
      </c>
      <c r="PT19" s="11">
        <v>1408035</v>
      </c>
      <c r="PU19" s="11">
        <v>355874959.87</v>
      </c>
      <c r="PV19" s="11">
        <v>2972743.95</v>
      </c>
      <c r="PW19" s="11">
        <v>1921620.48</v>
      </c>
      <c r="PX19" s="11">
        <v>7472361.8399999999</v>
      </c>
      <c r="PY19" s="11">
        <v>33105877.309999999</v>
      </c>
      <c r="PZ19" s="11">
        <v>3943106.47</v>
      </c>
      <c r="QA19" s="11">
        <v>8807108.9000000004</v>
      </c>
      <c r="QB19" s="11">
        <v>1940980.16</v>
      </c>
      <c r="QC19" s="11">
        <v>11801122.380000001</v>
      </c>
      <c r="QD19" s="11">
        <v>857762.04</v>
      </c>
      <c r="QE19" s="11">
        <v>8875503.8100000005</v>
      </c>
      <c r="QF19" s="11">
        <v>1969651.94</v>
      </c>
      <c r="QG19" s="11">
        <v>2645808.5300000003</v>
      </c>
      <c r="QH19" s="11">
        <v>3482500.4</v>
      </c>
      <c r="QI19" s="11">
        <v>6638383.7599999998</v>
      </c>
      <c r="QJ19" s="11">
        <v>3501961.57</v>
      </c>
      <c r="QK19" s="11">
        <v>2932472.37</v>
      </c>
      <c r="QL19" s="11">
        <v>1539533.7</v>
      </c>
      <c r="QM19" s="11">
        <v>2527523.5</v>
      </c>
      <c r="QN19" s="11">
        <v>18173240.48</v>
      </c>
      <c r="QO19" s="11">
        <v>22082354.650000002</v>
      </c>
      <c r="QP19" s="11">
        <v>1978968.55</v>
      </c>
      <c r="QQ19" s="11">
        <v>810572.8899999999</v>
      </c>
      <c r="QR19" s="11">
        <v>280037.05</v>
      </c>
      <c r="QS19" s="11">
        <v>1400529.93</v>
      </c>
      <c r="QT19" s="11">
        <v>1327523.23</v>
      </c>
      <c r="QU19" s="11">
        <v>123234621.77999999</v>
      </c>
      <c r="QV19" s="11">
        <v>2356996.52</v>
      </c>
      <c r="QW19" s="11">
        <v>6634477.5700000003</v>
      </c>
      <c r="QX19" s="11">
        <v>3069497.96</v>
      </c>
      <c r="QY19" s="11">
        <v>3393734.17</v>
      </c>
      <c r="QZ19" s="11">
        <v>10480166.130000001</v>
      </c>
      <c r="RA19" s="11">
        <v>4238755.07</v>
      </c>
      <c r="RB19" s="11">
        <v>10417716.25</v>
      </c>
      <c r="RC19" s="11">
        <v>6499700.5</v>
      </c>
      <c r="RD19" s="11">
        <v>2446603.9</v>
      </c>
      <c r="RE19" s="11">
        <v>4621977.03</v>
      </c>
      <c r="RF19" s="11">
        <v>2719435.5</v>
      </c>
      <c r="RG19" s="11">
        <v>1231971.67</v>
      </c>
      <c r="RH19" s="11">
        <v>177087275.34</v>
      </c>
      <c r="RI19" s="11">
        <v>16908608.02</v>
      </c>
      <c r="RJ19" s="11">
        <v>4980900.26</v>
      </c>
      <c r="RK19" s="11">
        <v>5259596.6599999992</v>
      </c>
      <c r="RL19" s="11">
        <v>5064103.45</v>
      </c>
      <c r="RM19" s="11">
        <v>5665903.79</v>
      </c>
      <c r="RN19" s="11">
        <v>22315215.240000002</v>
      </c>
      <c r="RO19" s="11">
        <v>3361369.59</v>
      </c>
      <c r="RP19" s="11">
        <v>3557749.09</v>
      </c>
      <c r="RQ19" s="11">
        <v>17260760.169999998</v>
      </c>
      <c r="RR19" s="11">
        <v>19445586.25</v>
      </c>
      <c r="RS19" s="11">
        <v>2746553.8</v>
      </c>
      <c r="RT19" s="11">
        <v>1948284.88</v>
      </c>
      <c r="RU19" s="11">
        <v>4512773.82</v>
      </c>
      <c r="RV19" s="11">
        <v>2043851.5</v>
      </c>
      <c r="RW19" s="11">
        <v>2458447.96</v>
      </c>
      <c r="RX19" s="11">
        <v>5748554.1900000004</v>
      </c>
      <c r="RY19" s="11">
        <v>1704507.21</v>
      </c>
      <c r="RZ19" s="11">
        <v>1351965.49</v>
      </c>
      <c r="SA19" s="11">
        <v>2111568.31</v>
      </c>
      <c r="SB19" s="11">
        <v>49219803.439999998</v>
      </c>
      <c r="SC19" s="11">
        <v>4705231.66</v>
      </c>
      <c r="SD19" s="11">
        <v>3601075.18</v>
      </c>
      <c r="SE19" s="11">
        <v>1649277.87</v>
      </c>
      <c r="SF19" s="11">
        <v>2460325.69</v>
      </c>
      <c r="SG19" s="11">
        <v>5017036.9399999995</v>
      </c>
      <c r="SH19" s="11">
        <v>3066393.37</v>
      </c>
      <c r="SI19" s="11">
        <v>7169653.1800000006</v>
      </c>
      <c r="SJ19" s="11">
        <v>1883594.6900000002</v>
      </c>
      <c r="SK19" s="11">
        <v>2082422.54</v>
      </c>
      <c r="SL19" s="11">
        <v>14595707.860000001</v>
      </c>
      <c r="SM19" s="11">
        <v>759619.12</v>
      </c>
      <c r="SN19" s="11">
        <v>38197416.380000003</v>
      </c>
      <c r="SO19" s="11">
        <v>4588043.75</v>
      </c>
      <c r="SP19" s="11">
        <v>3828422.34</v>
      </c>
      <c r="SQ19" s="11">
        <v>10101497.359999999</v>
      </c>
      <c r="SR19" s="11">
        <v>2826932.55</v>
      </c>
      <c r="SS19" s="11">
        <v>4328566.9899999993</v>
      </c>
      <c r="ST19" s="11">
        <v>2280242.36</v>
      </c>
      <c r="SU19" s="11">
        <v>1563741.2</v>
      </c>
      <c r="SV19" s="11">
        <v>112069719.28</v>
      </c>
      <c r="SW19" s="11">
        <v>2468464.41</v>
      </c>
      <c r="SX19" s="11">
        <v>5710916.6900000004</v>
      </c>
      <c r="SY19" s="11">
        <v>4613228.49</v>
      </c>
      <c r="SZ19" s="11">
        <v>1258748.01</v>
      </c>
      <c r="TA19" s="11">
        <v>1514891.51</v>
      </c>
      <c r="TB19" s="11">
        <v>4328804.4000000004</v>
      </c>
      <c r="TC19" s="11">
        <v>9618921.9499999993</v>
      </c>
      <c r="TD19" s="11">
        <v>3779015.36</v>
      </c>
      <c r="TE19" s="11">
        <v>2426850.5699999998</v>
      </c>
      <c r="TF19" s="11">
        <v>4269072.07</v>
      </c>
      <c r="TG19" s="11">
        <v>7209255.1900000004</v>
      </c>
      <c r="TH19" s="11">
        <v>2536277.3199999998</v>
      </c>
      <c r="TI19" s="11">
        <v>1528022.23</v>
      </c>
      <c r="TJ19" s="11">
        <v>170508535.84</v>
      </c>
      <c r="TK19" s="11">
        <v>5376298.3899999997</v>
      </c>
      <c r="TL19" s="11">
        <v>2207167.27</v>
      </c>
      <c r="TM19" s="11">
        <v>6944062.6600000001</v>
      </c>
      <c r="TN19" s="11">
        <v>5051121.67</v>
      </c>
      <c r="TO19" s="11">
        <v>3214810.7800000003</v>
      </c>
      <c r="TP19" s="11">
        <v>661020.69999999995</v>
      </c>
      <c r="TQ19" s="11">
        <v>41729751.689999998</v>
      </c>
      <c r="TR19" s="11">
        <v>1705632.62</v>
      </c>
      <c r="TS19" s="11">
        <v>6799716.7300000004</v>
      </c>
      <c r="TT19" s="11">
        <v>9216317.4000000004</v>
      </c>
      <c r="TU19" s="11">
        <v>2966790.45</v>
      </c>
      <c r="TV19" s="11">
        <v>1543252.6099999999</v>
      </c>
      <c r="TW19" s="11">
        <v>2991881.37</v>
      </c>
      <c r="TX19" s="11">
        <v>3223563.02</v>
      </c>
      <c r="TY19" s="11">
        <v>3244436.97</v>
      </c>
      <c r="TZ19" s="11">
        <v>26115405.189999998</v>
      </c>
      <c r="UA19" s="11">
        <v>3111449.44</v>
      </c>
      <c r="UB19" s="11">
        <v>67277189.269999996</v>
      </c>
      <c r="UC19" s="11">
        <v>10838591.84</v>
      </c>
      <c r="UD19" s="11">
        <v>2033590.1900000002</v>
      </c>
      <c r="UE19" s="11">
        <v>2428100.5099999998</v>
      </c>
      <c r="UF19" s="11">
        <v>58304997.619999997</v>
      </c>
      <c r="UG19" s="11">
        <v>1531299.28</v>
      </c>
      <c r="UH19" s="11">
        <v>1542564.88</v>
      </c>
      <c r="UI19" s="11">
        <v>1672647.87</v>
      </c>
      <c r="UJ19" s="11">
        <v>3064433.4</v>
      </c>
      <c r="UK19" s="11">
        <v>62546749.769999996</v>
      </c>
      <c r="UL19" s="11">
        <v>7861156.7800000003</v>
      </c>
      <c r="UM19" s="11">
        <v>3819625.32</v>
      </c>
      <c r="UN19" s="11">
        <v>11737740.32</v>
      </c>
      <c r="UO19" s="11">
        <v>5838899.3900000006</v>
      </c>
      <c r="UP19" s="11">
        <v>2016556.07</v>
      </c>
      <c r="UQ19" s="11">
        <v>413178640.31</v>
      </c>
      <c r="UR19" s="11">
        <v>6360114.4000000004</v>
      </c>
      <c r="US19" s="11">
        <v>5212977.5999999996</v>
      </c>
      <c r="UT19" s="11">
        <v>37689842.270000003</v>
      </c>
      <c r="UU19" s="11">
        <v>762724.77</v>
      </c>
      <c r="UV19" s="11">
        <v>4195905.67</v>
      </c>
      <c r="UW19" s="11">
        <v>13180728.07</v>
      </c>
      <c r="UX19" s="11">
        <v>2486059.9700000002</v>
      </c>
      <c r="UY19" s="11">
        <v>3453146.34</v>
      </c>
      <c r="UZ19" s="11">
        <v>3672210.4200000004</v>
      </c>
      <c r="VA19" s="11">
        <v>4642477.0600000005</v>
      </c>
      <c r="VB19" s="11">
        <v>13816324.83</v>
      </c>
      <c r="VC19" s="11">
        <v>4511345.84</v>
      </c>
      <c r="VD19" s="11">
        <v>10833551.859999999</v>
      </c>
      <c r="VE19" s="11">
        <v>2365503.7200000002</v>
      </c>
      <c r="VF19" s="11">
        <v>1453528.61</v>
      </c>
      <c r="VG19" s="11">
        <v>1381337.0399999998</v>
      </c>
      <c r="VH19" s="11">
        <v>3199288.81</v>
      </c>
      <c r="VI19" s="11">
        <v>18980831.91</v>
      </c>
      <c r="VJ19" s="11">
        <v>3446126.57</v>
      </c>
      <c r="VK19" s="11">
        <v>2685764.92</v>
      </c>
      <c r="VL19" s="11">
        <v>1323115.49</v>
      </c>
      <c r="VM19" s="11">
        <v>137230933.12</v>
      </c>
      <c r="VN19" s="11">
        <v>3207225.24</v>
      </c>
      <c r="VO19" s="11">
        <v>3068454.96</v>
      </c>
      <c r="VP19" s="11">
        <v>4985297.45</v>
      </c>
      <c r="VQ19" s="11">
        <v>13935946.930000002</v>
      </c>
      <c r="VR19" s="11">
        <v>4011015.07</v>
      </c>
      <c r="VS19" s="11">
        <v>4564993.5</v>
      </c>
      <c r="VT19" s="11">
        <v>3155306.78</v>
      </c>
      <c r="VU19" s="11">
        <v>5236716.97</v>
      </c>
      <c r="VV19" s="11">
        <v>35961630.269999996</v>
      </c>
      <c r="VW19" s="11">
        <v>2486814.6800000002</v>
      </c>
      <c r="VX19" s="11">
        <v>9894639.9000000004</v>
      </c>
      <c r="VY19" s="11">
        <v>3501671.91</v>
      </c>
      <c r="VZ19" s="11">
        <v>3110753.02</v>
      </c>
      <c r="WA19" s="11">
        <v>2288638.94</v>
      </c>
      <c r="WB19" s="11">
        <v>434363825.94</v>
      </c>
      <c r="WC19" s="11">
        <v>8453403.8399999999</v>
      </c>
      <c r="WD19" s="11">
        <v>6565526.6199999992</v>
      </c>
      <c r="WE19" s="11">
        <v>3174644.1</v>
      </c>
      <c r="WF19" s="11">
        <v>2468971.1</v>
      </c>
      <c r="WG19" s="11">
        <v>5666069.4400000004</v>
      </c>
      <c r="WH19" s="11">
        <v>11031576.16</v>
      </c>
      <c r="WI19" s="11">
        <v>9484473.6400000006</v>
      </c>
      <c r="WJ19" s="11">
        <v>5795636.25</v>
      </c>
      <c r="WK19" s="11">
        <v>8876386.8099999987</v>
      </c>
      <c r="WL19" s="11">
        <v>4385121.9400000004</v>
      </c>
      <c r="WM19" s="11">
        <v>20634938.229999997</v>
      </c>
      <c r="WN19" s="11">
        <v>2923493.38</v>
      </c>
      <c r="WO19" s="11">
        <v>9025460.1899999995</v>
      </c>
      <c r="WP19" s="11">
        <v>16508882.76</v>
      </c>
      <c r="WQ19" s="11">
        <v>4385786.93</v>
      </c>
      <c r="WR19" s="11">
        <v>5728053.8799999999</v>
      </c>
      <c r="WS19" s="11">
        <v>6901055.3000000007</v>
      </c>
      <c r="WT19" s="11">
        <v>3071150.49</v>
      </c>
      <c r="WU19" s="11">
        <v>14966947.210000001</v>
      </c>
      <c r="WV19" s="11">
        <v>44152254.710000001</v>
      </c>
      <c r="WW19" s="11">
        <v>4496089.33</v>
      </c>
      <c r="WX19" s="11">
        <v>2312372.5099999998</v>
      </c>
      <c r="WY19" s="11">
        <v>2755435.43</v>
      </c>
      <c r="WZ19" s="11">
        <v>3363973.1200000001</v>
      </c>
      <c r="XA19" s="11">
        <v>1158157.6100000001</v>
      </c>
      <c r="XB19" s="11">
        <v>2866959.85</v>
      </c>
      <c r="XC19" s="11">
        <v>3570293.6</v>
      </c>
      <c r="XD19" s="11">
        <v>48685541.32</v>
      </c>
      <c r="XE19" s="11">
        <v>2748696.47</v>
      </c>
      <c r="XF19" s="11">
        <v>1422297.54</v>
      </c>
      <c r="XG19" s="11">
        <v>1198225.77</v>
      </c>
      <c r="XH19" s="11">
        <v>1257031.02</v>
      </c>
      <c r="XI19" s="11">
        <v>177280123.63</v>
      </c>
      <c r="XJ19" s="11">
        <v>5372408.5499999998</v>
      </c>
      <c r="XK19" s="11">
        <v>5482929.7800000003</v>
      </c>
      <c r="XL19" s="11">
        <v>35066266.229999997</v>
      </c>
      <c r="XM19" s="11">
        <v>3868817.1</v>
      </c>
      <c r="XN19" s="11">
        <v>6574320.3499999996</v>
      </c>
      <c r="XO19" s="11">
        <v>18018295.400000002</v>
      </c>
      <c r="XP19" s="11">
        <v>4199119.6099999994</v>
      </c>
      <c r="XQ19" s="11">
        <v>5220786.97</v>
      </c>
      <c r="XR19" s="11">
        <v>8522452.8399999999</v>
      </c>
      <c r="XS19" s="11">
        <v>7884393.2000000002</v>
      </c>
      <c r="XT19" s="11">
        <v>1636008.83</v>
      </c>
      <c r="XU19" s="11">
        <v>3661030.5300000003</v>
      </c>
      <c r="XV19" s="11">
        <v>4275331.5999999996</v>
      </c>
      <c r="XW19" s="11">
        <v>4735605.66</v>
      </c>
      <c r="XX19" s="11">
        <v>3375354.5599999996</v>
      </c>
      <c r="XY19" s="11">
        <v>2157479.81</v>
      </c>
      <c r="XZ19" s="11">
        <v>2261780.4099999997</v>
      </c>
      <c r="YA19" s="11">
        <v>2681800.48</v>
      </c>
      <c r="YB19" s="11">
        <v>1621745.02</v>
      </c>
      <c r="YC19" s="11">
        <v>2651614.9</v>
      </c>
      <c r="YD19" s="11">
        <v>2386516.94</v>
      </c>
      <c r="YE19" s="11">
        <v>1040547.28</v>
      </c>
      <c r="YF19" s="11">
        <v>179516241.80999997</v>
      </c>
      <c r="YG19" s="11">
        <v>1729328.68</v>
      </c>
      <c r="YH19" s="11">
        <v>9820600.9600000009</v>
      </c>
      <c r="YI19" s="11">
        <v>3707388.31</v>
      </c>
      <c r="YJ19" s="11">
        <v>25500001.489999998</v>
      </c>
      <c r="YK19" s="11">
        <v>4031970.78</v>
      </c>
      <c r="YL19" s="11">
        <v>6398555.8799999999</v>
      </c>
      <c r="YM19" s="11">
        <v>927355.82</v>
      </c>
      <c r="YN19" s="11">
        <v>75796607.129999995</v>
      </c>
      <c r="YO19" s="11">
        <v>17450475.369999997</v>
      </c>
      <c r="YP19" s="11">
        <v>4925363.4800000004</v>
      </c>
      <c r="YQ19" s="11">
        <v>4001438.4499999997</v>
      </c>
      <c r="YR19" s="11">
        <v>3976191.53</v>
      </c>
      <c r="YS19" s="11">
        <v>1939034.5</v>
      </c>
      <c r="YT19" s="11">
        <v>2296434.69</v>
      </c>
      <c r="YU19" s="11">
        <v>2396806.87</v>
      </c>
      <c r="YV19" s="11">
        <v>2272455.04</v>
      </c>
      <c r="YW19" s="11">
        <v>69671860.900000006</v>
      </c>
      <c r="YX19" s="11">
        <v>2261628.37</v>
      </c>
      <c r="YY19" s="11">
        <v>1843955.97</v>
      </c>
      <c r="YZ19" s="11">
        <v>1152640.44</v>
      </c>
      <c r="ZA19" s="11">
        <v>4150391.32</v>
      </c>
      <c r="ZB19" s="11">
        <v>1853985.63</v>
      </c>
      <c r="ZC19" s="11">
        <v>1454217.8</v>
      </c>
      <c r="ZD19" s="11">
        <v>71895532.430000007</v>
      </c>
      <c r="ZE19" s="11">
        <v>2662217.41</v>
      </c>
      <c r="ZF19" s="11">
        <v>3229719.17</v>
      </c>
      <c r="ZG19" s="11">
        <v>5145376.3</v>
      </c>
      <c r="ZH19" s="11">
        <v>3655437.6799999997</v>
      </c>
      <c r="ZI19" s="11">
        <v>3178228.43</v>
      </c>
      <c r="ZJ19" s="11">
        <v>2129922.9300000002</v>
      </c>
      <c r="ZK19" s="11">
        <v>1613923.24</v>
      </c>
      <c r="ZL19" s="11">
        <v>8553136.7200000007</v>
      </c>
      <c r="ZM19" s="11">
        <v>143293177.19</v>
      </c>
      <c r="ZN19" s="11">
        <v>4196223.54</v>
      </c>
      <c r="ZO19" s="11">
        <v>8109677.6800000006</v>
      </c>
      <c r="ZP19" s="11">
        <v>35171541.950000003</v>
      </c>
      <c r="ZQ19" s="11">
        <v>10557224.039999999</v>
      </c>
      <c r="ZR19" s="11">
        <v>1990123.02</v>
      </c>
      <c r="ZS19" s="11">
        <v>6131686.7400000002</v>
      </c>
      <c r="ZT19" s="11">
        <v>7675323.1400000006</v>
      </c>
      <c r="ZU19" s="11">
        <v>8402562.8100000005</v>
      </c>
      <c r="ZV19" s="11">
        <v>12930603.939999999</v>
      </c>
      <c r="ZW19" s="11">
        <v>1286150.8700000001</v>
      </c>
      <c r="ZX19" s="11">
        <v>2002106.26</v>
      </c>
      <c r="ZY19" s="11">
        <v>3523443.8</v>
      </c>
      <c r="ZZ19" s="11">
        <v>4919445.6900000004</v>
      </c>
      <c r="AAA19" s="11">
        <v>3280846.54</v>
      </c>
      <c r="AAB19" s="11">
        <v>2896267.54</v>
      </c>
      <c r="AAC19" s="11">
        <v>3344373.9000000004</v>
      </c>
      <c r="AAD19" s="11">
        <v>1187866</v>
      </c>
      <c r="AAE19" s="11">
        <v>3383865.5900000003</v>
      </c>
      <c r="AAF19" s="11">
        <v>1969878.71</v>
      </c>
      <c r="AAG19" s="11">
        <v>3261207.0900000003</v>
      </c>
      <c r="AAH19" s="11">
        <v>1974813.68</v>
      </c>
      <c r="AAI19" s="11">
        <v>44480786.729999997</v>
      </c>
      <c r="AAJ19" s="11">
        <v>3043704.08</v>
      </c>
      <c r="AAK19" s="11">
        <v>4883562.58</v>
      </c>
      <c r="AAL19" s="11">
        <v>3823118.5700000003</v>
      </c>
      <c r="AAM19" s="11">
        <v>3716717.04</v>
      </c>
      <c r="AAN19" s="11">
        <v>6358686.8200000003</v>
      </c>
      <c r="AAO19" s="11">
        <v>3779312.29</v>
      </c>
      <c r="AAP19" s="11">
        <v>426244982.76999998</v>
      </c>
      <c r="AAQ19" s="11">
        <v>6591418.0700000003</v>
      </c>
      <c r="AAR19" s="11">
        <v>4318869.71</v>
      </c>
      <c r="AAS19" s="11">
        <v>12464339.42</v>
      </c>
      <c r="AAT19" s="11">
        <v>8270424.2599999998</v>
      </c>
      <c r="AAU19" s="11">
        <v>2599680.5499999998</v>
      </c>
      <c r="AAV19" s="11">
        <v>6737981.2199999997</v>
      </c>
      <c r="AAW19" s="11">
        <v>13748547.020000001</v>
      </c>
      <c r="AAX19" s="11">
        <v>20803427.699999999</v>
      </c>
      <c r="AAY19" s="11">
        <v>3503821.54</v>
      </c>
      <c r="AAZ19" s="11">
        <v>6597079.6200000001</v>
      </c>
      <c r="ABA19" s="11">
        <v>33632609.450000003</v>
      </c>
      <c r="ABB19" s="11">
        <v>17659310.010000002</v>
      </c>
      <c r="ABC19" s="11">
        <v>1690060.49</v>
      </c>
      <c r="ABD19" s="11">
        <v>5813811.2400000002</v>
      </c>
      <c r="ABE19" s="11">
        <v>3523500.23</v>
      </c>
      <c r="ABF19" s="11">
        <v>1789304.8499999999</v>
      </c>
      <c r="ABG19" s="11">
        <v>3334947.81</v>
      </c>
      <c r="ABH19" s="11">
        <v>3568629.97</v>
      </c>
      <c r="ABI19" s="11">
        <v>57255895.290000007</v>
      </c>
      <c r="ABJ19" s="11">
        <v>40267777.609999999</v>
      </c>
      <c r="ABK19" s="11">
        <v>4828902.53</v>
      </c>
      <c r="ABL19" s="11">
        <v>3039236.46</v>
      </c>
      <c r="ABM19" s="11">
        <v>2855140.86</v>
      </c>
      <c r="ABN19" s="11">
        <v>1920043.26</v>
      </c>
      <c r="ABO19" s="11">
        <v>2255048.98</v>
      </c>
      <c r="ABP19" s="11">
        <v>73894787.25999999</v>
      </c>
      <c r="ABQ19" s="11">
        <v>8020382.3700000001</v>
      </c>
      <c r="ABR19" s="11">
        <v>3252562.48</v>
      </c>
      <c r="ABS19" s="11">
        <v>5283758.43</v>
      </c>
      <c r="ABT19" s="11">
        <v>2448858.5299999998</v>
      </c>
      <c r="ABU19" s="11">
        <v>2841379.21</v>
      </c>
      <c r="ABV19" s="11">
        <v>1333348.6200000001</v>
      </c>
      <c r="ABW19" s="11">
        <v>4362551.3</v>
      </c>
      <c r="ABX19" s="11">
        <v>531839.56000000006</v>
      </c>
      <c r="ABY19" s="11">
        <v>53638016.450000003</v>
      </c>
      <c r="ABZ19" s="11">
        <v>1776008.34</v>
      </c>
      <c r="ACA19" s="11">
        <v>18938435.34</v>
      </c>
      <c r="ACB19" s="11">
        <v>3901940.56</v>
      </c>
      <c r="ACC19" s="11">
        <v>2142617.06</v>
      </c>
      <c r="ACD19" s="11">
        <v>17893928.75</v>
      </c>
      <c r="ACE19" s="11">
        <v>1166251.3800000001</v>
      </c>
      <c r="ACF19" s="11">
        <v>3702610.54</v>
      </c>
      <c r="ACG19" s="11">
        <v>1435872.7399999998</v>
      </c>
      <c r="ACH19" s="11">
        <v>3541031.16</v>
      </c>
      <c r="ACI19" s="11">
        <v>3671205.32</v>
      </c>
      <c r="ACJ19" s="11">
        <v>206952473.45999998</v>
      </c>
      <c r="ACK19" s="11">
        <v>2723436.2</v>
      </c>
      <c r="ACL19" s="11">
        <v>2752040.2</v>
      </c>
      <c r="ACM19" s="11">
        <v>5547920.3400000008</v>
      </c>
      <c r="ACN19" s="11">
        <v>1395704.67</v>
      </c>
      <c r="ACO19" s="11">
        <v>1965917.04</v>
      </c>
      <c r="ACP19" s="11">
        <v>4752566.79</v>
      </c>
      <c r="ACQ19" s="11">
        <v>35900836.770000003</v>
      </c>
      <c r="ACR19" s="11">
        <v>56989105.980000004</v>
      </c>
      <c r="ACS19" s="11">
        <v>2020711.11</v>
      </c>
      <c r="ACT19" s="11">
        <v>4472825.8</v>
      </c>
      <c r="ACU19" s="11">
        <v>3120655.6500000004</v>
      </c>
      <c r="ACV19" s="11">
        <v>4935686.75</v>
      </c>
      <c r="ACW19" s="11">
        <v>33440857.120000001</v>
      </c>
      <c r="ACX19" s="11">
        <v>2909555.06</v>
      </c>
      <c r="ACY19" s="11">
        <v>2995264.53</v>
      </c>
      <c r="ACZ19" s="11">
        <v>3423952.25</v>
      </c>
      <c r="ADA19" s="11">
        <v>642372.6100000001</v>
      </c>
      <c r="ADB19" s="11">
        <v>782039.02999999991</v>
      </c>
      <c r="ADC19" s="11">
        <v>1792346.21</v>
      </c>
      <c r="ADD19" s="11">
        <v>2036391.69</v>
      </c>
      <c r="ADE19" s="11">
        <v>1615465.13</v>
      </c>
      <c r="ADF19" s="11">
        <v>1640472.77</v>
      </c>
      <c r="ADG19" s="11">
        <v>19152002.940000001</v>
      </c>
      <c r="ADH19" s="11">
        <v>15589111.68</v>
      </c>
      <c r="ADI19" s="11">
        <v>775532.99</v>
      </c>
      <c r="ADJ19" s="11">
        <v>1195819.1599999999</v>
      </c>
      <c r="ADK19" s="11">
        <v>1924574.28</v>
      </c>
      <c r="ADL19" s="11">
        <v>301120.71999999997</v>
      </c>
      <c r="ADM19" s="11">
        <v>2372333.39</v>
      </c>
      <c r="ADN19" s="11">
        <v>1270453.44</v>
      </c>
      <c r="ADO19" s="11">
        <v>2804724.22</v>
      </c>
      <c r="ADP19" s="11">
        <v>196624392</v>
      </c>
      <c r="ADQ19" s="11">
        <v>7928204.2800000003</v>
      </c>
      <c r="ADR19" s="11">
        <v>10772155.98</v>
      </c>
      <c r="ADS19" s="11">
        <v>7782857.1699999999</v>
      </c>
      <c r="ADT19" s="11">
        <v>56396522.039999999</v>
      </c>
      <c r="ADU19" s="11">
        <v>772528.1</v>
      </c>
      <c r="ADV19" s="11">
        <v>1139076.8999999999</v>
      </c>
      <c r="ADW19" s="11">
        <v>2076223.04</v>
      </c>
      <c r="ADX19" s="11">
        <v>812774.83</v>
      </c>
      <c r="ADY19" s="11">
        <v>607588.62</v>
      </c>
      <c r="ADZ19" s="11">
        <v>138026800.37</v>
      </c>
      <c r="AEA19" s="11">
        <v>30796264.859999999</v>
      </c>
      <c r="AEB19" s="11">
        <v>25266326.25</v>
      </c>
      <c r="AEC19" s="11">
        <v>3542388.53</v>
      </c>
      <c r="AED19" s="11">
        <v>4944155.3499999996</v>
      </c>
      <c r="AEE19" s="11">
        <v>9631932.9199999999</v>
      </c>
      <c r="AEF19" s="11">
        <v>3078452.4</v>
      </c>
      <c r="AEG19" s="11">
        <v>6097479.6900000004</v>
      </c>
      <c r="AEH19" s="11">
        <v>3524430.99</v>
      </c>
      <c r="AEI19" s="11">
        <v>3006944.94</v>
      </c>
      <c r="AEJ19" s="11">
        <v>8013594.7300000004</v>
      </c>
      <c r="AEK19" s="11">
        <v>5511338.7300000004</v>
      </c>
      <c r="AEL19" s="11">
        <v>3296799.81</v>
      </c>
      <c r="AEM19" s="11">
        <v>6117934.75</v>
      </c>
      <c r="AEN19" s="11">
        <v>9327026.7699999996</v>
      </c>
      <c r="AEO19" s="11">
        <v>8539846.1600000001</v>
      </c>
      <c r="AEP19" s="11">
        <v>3128365.89</v>
      </c>
      <c r="AEQ19" s="11">
        <v>17567049.57</v>
      </c>
      <c r="AER19" s="11">
        <v>2161230.5499999998</v>
      </c>
      <c r="AES19" s="11">
        <v>12129163.51</v>
      </c>
      <c r="AET19" s="11">
        <v>105311466.73</v>
      </c>
      <c r="AEU19" s="11">
        <v>8226837.2199999997</v>
      </c>
      <c r="AEV19" s="11">
        <v>7701905.9699999997</v>
      </c>
      <c r="AEW19" s="11">
        <v>4166610.2600000002</v>
      </c>
      <c r="AEX19" s="11">
        <v>4701523.13</v>
      </c>
      <c r="AEY19" s="11">
        <v>12628141.5</v>
      </c>
      <c r="AEZ19" s="11">
        <v>3206637.34</v>
      </c>
      <c r="AFA19" s="11">
        <v>4771373.7700000005</v>
      </c>
      <c r="AFB19" s="11">
        <v>3115315.89</v>
      </c>
      <c r="AFC19" s="11">
        <v>1038248.39</v>
      </c>
      <c r="AFD19" s="11">
        <v>68643267.200000003</v>
      </c>
      <c r="AFE19" s="11">
        <v>24606313.560000002</v>
      </c>
      <c r="AFF19" s="11">
        <v>4920255.7299999995</v>
      </c>
      <c r="AFG19" s="11">
        <v>3667474.43</v>
      </c>
      <c r="AFH19" s="11">
        <v>6894995.3400000008</v>
      </c>
      <c r="AFI19" s="11">
        <v>2969443.41</v>
      </c>
      <c r="AFJ19" s="11">
        <v>2632311.11</v>
      </c>
      <c r="AFK19" s="11">
        <v>2381435.8600000003</v>
      </c>
      <c r="AFL19" s="11">
        <v>1628869.82</v>
      </c>
      <c r="AFM19" s="11">
        <v>5190463.09</v>
      </c>
      <c r="AFN19" s="11">
        <v>2160020.42</v>
      </c>
      <c r="AFO19" s="11">
        <v>3850843.34</v>
      </c>
      <c r="AFP19" s="11">
        <v>2863278.27</v>
      </c>
      <c r="AFQ19" s="11">
        <v>53417981.279999994</v>
      </c>
      <c r="AFR19" s="11">
        <v>6478241.5499999998</v>
      </c>
      <c r="AFS19" s="11">
        <v>6483413.79</v>
      </c>
      <c r="AFT19" s="11">
        <v>1778873.52</v>
      </c>
      <c r="AFU19" s="11">
        <v>1778735.45</v>
      </c>
      <c r="AFV19" s="11">
        <v>1243032.5</v>
      </c>
      <c r="AFW19" s="11">
        <v>980289.01</v>
      </c>
      <c r="AFX19" s="11">
        <v>3819983.9</v>
      </c>
      <c r="AFY19" s="11">
        <v>8464531.5</v>
      </c>
      <c r="AFZ19" s="11">
        <v>1519362.18</v>
      </c>
      <c r="AGA19" s="11">
        <v>8669000.4700000007</v>
      </c>
      <c r="AGB19" s="11">
        <v>1673759.15</v>
      </c>
      <c r="AGC19" s="11">
        <v>71808908.719999999</v>
      </c>
      <c r="AGD19" s="11">
        <v>4115715.7600000002</v>
      </c>
      <c r="AGE19" s="11">
        <v>3555049.55</v>
      </c>
      <c r="AGF19" s="11">
        <v>1966095.4</v>
      </c>
      <c r="AGG19" s="11">
        <v>14957602.6</v>
      </c>
      <c r="AGH19" s="11">
        <v>3253295.2699999996</v>
      </c>
      <c r="AGI19" s="11">
        <v>1999557.28</v>
      </c>
      <c r="AGJ19" s="11">
        <v>2970491.51</v>
      </c>
      <c r="AGK19" s="11">
        <v>1942506.5</v>
      </c>
      <c r="AGL19" s="11">
        <v>3082487.21</v>
      </c>
      <c r="AGM19" s="11">
        <v>3098075.04</v>
      </c>
      <c r="AGN19" s="11">
        <v>147017000.22000003</v>
      </c>
      <c r="AGO19" s="11">
        <v>10971303.67</v>
      </c>
      <c r="AGP19" s="11">
        <v>10156165.189999999</v>
      </c>
      <c r="AGQ19" s="11">
        <v>1555327.13</v>
      </c>
      <c r="AGR19" s="11">
        <v>6107327.0600000005</v>
      </c>
      <c r="AGS19" s="11">
        <v>6112391.2199999997</v>
      </c>
      <c r="AGT19" s="11">
        <v>1245410.6399999999</v>
      </c>
      <c r="AGU19" s="11">
        <v>2237001.35</v>
      </c>
      <c r="AGV19" s="11">
        <v>214965589.99000001</v>
      </c>
      <c r="AGW19" s="11">
        <v>95076137.25</v>
      </c>
      <c r="AGX19" s="11">
        <v>2158576</v>
      </c>
      <c r="AGY19" s="11">
        <v>4002668.56</v>
      </c>
      <c r="AGZ19" s="11">
        <v>13620500.9</v>
      </c>
      <c r="AHA19" s="11">
        <v>5328123.16</v>
      </c>
      <c r="AHB19" s="11">
        <v>4406521.0999999996</v>
      </c>
      <c r="AHC19" s="11">
        <v>7866251.6199999992</v>
      </c>
      <c r="AHD19" s="11">
        <v>996651.1</v>
      </c>
      <c r="AHE19" s="11">
        <v>6505211.6900000004</v>
      </c>
      <c r="AHF19" s="11">
        <v>4145919.41</v>
      </c>
      <c r="AHG19" s="11">
        <v>2096586.71</v>
      </c>
      <c r="AHH19" s="11">
        <v>1560565.33</v>
      </c>
      <c r="AHI19" s="11">
        <v>1965206.98</v>
      </c>
      <c r="AHJ19" s="11">
        <v>3385643.08</v>
      </c>
      <c r="AHK19" s="11">
        <v>2114753.91</v>
      </c>
      <c r="AHL19" s="11">
        <v>2312963.2000000002</v>
      </c>
      <c r="AHM19" s="11">
        <v>42957140.789999999</v>
      </c>
      <c r="AHN19" s="11">
        <v>4774632.33</v>
      </c>
      <c r="AHO19" s="11">
        <v>1432281.01</v>
      </c>
      <c r="AHP19" s="11">
        <v>2961987.19</v>
      </c>
      <c r="AHQ19" s="11">
        <v>9748669.6099999994</v>
      </c>
      <c r="AHR19" s="11">
        <v>2136368.04</v>
      </c>
      <c r="AHS19" s="11">
        <v>1352515.52</v>
      </c>
      <c r="AHT19" s="11">
        <v>14863320973.700012</v>
      </c>
      <c r="AHU19" s="11"/>
    </row>
    <row r="20" spans="2:905" x14ac:dyDescent="0.7">
      <c r="B20" s="6" t="s">
        <v>665</v>
      </c>
      <c r="C20" s="6" t="s">
        <v>666</v>
      </c>
      <c r="D20" s="11">
        <v>4427244.0599999996</v>
      </c>
      <c r="E20" s="11">
        <v>245812.65</v>
      </c>
      <c r="F20" s="11">
        <v>570370.5</v>
      </c>
      <c r="G20" s="11">
        <v>157980.51</v>
      </c>
      <c r="H20" s="11">
        <v>1040387.43</v>
      </c>
      <c r="I20" s="11">
        <v>374379.34</v>
      </c>
      <c r="J20" s="11">
        <v>705469.45</v>
      </c>
      <c r="K20" s="11">
        <v>437363.77</v>
      </c>
      <c r="L20" s="11">
        <v>406046.1</v>
      </c>
      <c r="M20" s="11">
        <v>829142.28</v>
      </c>
      <c r="N20" s="11">
        <v>346043.06</v>
      </c>
      <c r="O20" s="11">
        <v>339974.63</v>
      </c>
      <c r="P20" s="11">
        <v>420762.55</v>
      </c>
      <c r="Q20" s="11">
        <v>342424.62</v>
      </c>
      <c r="R20" s="11">
        <v>241597.2</v>
      </c>
      <c r="S20" s="11">
        <v>152658.4</v>
      </c>
      <c r="T20" s="11">
        <v>305817.02</v>
      </c>
      <c r="U20" s="11">
        <v>164162.69</v>
      </c>
      <c r="V20" s="11">
        <v>1700183.95</v>
      </c>
      <c r="W20" s="11">
        <v>199628.69</v>
      </c>
      <c r="X20" s="11">
        <v>127657.71</v>
      </c>
      <c r="Y20" s="11">
        <v>518950.99</v>
      </c>
      <c r="Z20" s="11">
        <v>265081.02</v>
      </c>
      <c r="AA20" s="11">
        <v>351067.27</v>
      </c>
      <c r="AB20" s="11">
        <v>127952.06</v>
      </c>
      <c r="AC20" s="11">
        <v>1291592.49</v>
      </c>
      <c r="AD20" s="11">
        <v>363663.41</v>
      </c>
      <c r="AE20" s="11">
        <v>78531.62</v>
      </c>
      <c r="AF20" s="11">
        <v>997536.4</v>
      </c>
      <c r="AG20" s="11">
        <v>143475.16</v>
      </c>
      <c r="AH20" s="11">
        <v>509825.05</v>
      </c>
      <c r="AI20" s="11">
        <v>254597.99</v>
      </c>
      <c r="AJ20" s="11">
        <v>93667</v>
      </c>
      <c r="AK20" s="11">
        <v>59453.24</v>
      </c>
      <c r="AL20" s="11">
        <v>499190.29</v>
      </c>
      <c r="AM20" s="11">
        <v>80419.789999999994</v>
      </c>
      <c r="AN20" s="11">
        <v>79884.149999999994</v>
      </c>
      <c r="AO20" s="11">
        <v>229466.84</v>
      </c>
      <c r="AP20" s="11">
        <v>315256.57</v>
      </c>
      <c r="AQ20" s="11">
        <v>157514.26</v>
      </c>
      <c r="AR20" s="11">
        <v>167133.35999999999</v>
      </c>
      <c r="AS20" s="11">
        <v>81905.399999999994</v>
      </c>
      <c r="AT20" s="11">
        <v>1498138.13</v>
      </c>
      <c r="AU20" s="11">
        <v>141974.91</v>
      </c>
      <c r="AV20" s="11">
        <v>78350</v>
      </c>
      <c r="AW20" s="11">
        <v>140884.18</v>
      </c>
      <c r="AX20" s="11">
        <v>569648.07999999996</v>
      </c>
      <c r="AY20" s="11">
        <v>267830.06</v>
      </c>
      <c r="AZ20" s="11">
        <v>228576.47</v>
      </c>
      <c r="BA20" s="11">
        <v>209383.06</v>
      </c>
      <c r="BB20" s="11">
        <v>120483.13</v>
      </c>
      <c r="BC20" s="11">
        <v>119872.13</v>
      </c>
      <c r="BD20" s="11">
        <v>94314.18</v>
      </c>
      <c r="BE20" s="11">
        <v>139909.46</v>
      </c>
      <c r="BF20" s="11">
        <v>481764.74</v>
      </c>
      <c r="BG20" s="11">
        <v>93937.24</v>
      </c>
      <c r="BH20" s="11">
        <v>150907.22</v>
      </c>
      <c r="BI20" s="11">
        <v>343413.8</v>
      </c>
      <c r="BJ20" s="11">
        <v>597419.81000000006</v>
      </c>
      <c r="BK20" s="11">
        <v>210422.1</v>
      </c>
      <c r="BL20" s="11">
        <v>98937.1</v>
      </c>
      <c r="BM20" s="11">
        <v>250510.32</v>
      </c>
      <c r="BN20" s="11">
        <v>273964.25</v>
      </c>
      <c r="BO20" s="11">
        <v>107841.47</v>
      </c>
      <c r="BP20" s="11">
        <v>30436.45</v>
      </c>
      <c r="BQ20" s="11">
        <v>64733.08</v>
      </c>
      <c r="BR20" s="11">
        <v>1322869.56</v>
      </c>
      <c r="BS20" s="11">
        <v>265558.2</v>
      </c>
      <c r="BT20" s="11">
        <v>170059.34</v>
      </c>
      <c r="BU20" s="11">
        <v>149677.03</v>
      </c>
      <c r="BV20" s="11">
        <v>153531.75</v>
      </c>
      <c r="BW20" s="11">
        <v>213804.18</v>
      </c>
      <c r="BX20" s="11">
        <v>127775.32</v>
      </c>
      <c r="BY20" s="11">
        <v>124589.46</v>
      </c>
      <c r="BZ20" s="11">
        <v>317965.19</v>
      </c>
      <c r="CA20" s="11">
        <v>229512.49</v>
      </c>
      <c r="CB20" s="11">
        <v>248430.87</v>
      </c>
      <c r="CC20" s="11">
        <v>218246.51</v>
      </c>
      <c r="CD20" s="11">
        <v>130700.31</v>
      </c>
      <c r="CE20" s="11">
        <v>285734.14</v>
      </c>
      <c r="CF20" s="11">
        <v>184290.2</v>
      </c>
      <c r="CG20" s="11">
        <v>2381834.37</v>
      </c>
      <c r="CH20" s="11">
        <v>260075.86</v>
      </c>
      <c r="CI20" s="11">
        <v>1213222.51</v>
      </c>
      <c r="CJ20" s="11">
        <v>223196.71</v>
      </c>
      <c r="CK20" s="11">
        <v>290028.95</v>
      </c>
      <c r="CL20" s="11">
        <v>204567.36</v>
      </c>
      <c r="CM20" s="11">
        <v>154653.35</v>
      </c>
      <c r="CN20" s="11">
        <v>348920.86</v>
      </c>
      <c r="CO20" s="11">
        <v>116895.59</v>
      </c>
      <c r="CP20" s="11">
        <v>133195.45000000001</v>
      </c>
      <c r="CQ20" s="11">
        <v>165558.26</v>
      </c>
      <c r="CR20" s="11">
        <v>294082.34999999998</v>
      </c>
      <c r="CS20" s="11">
        <v>137366.22</v>
      </c>
      <c r="CT20" s="11">
        <v>556063.56999999995</v>
      </c>
      <c r="CU20" s="11">
        <v>101527.37</v>
      </c>
      <c r="CV20" s="11">
        <v>217802.3</v>
      </c>
      <c r="CW20" s="11">
        <v>501792.01</v>
      </c>
      <c r="CX20" s="11">
        <v>182496.2</v>
      </c>
      <c r="CY20" s="11">
        <v>276949.71999999997</v>
      </c>
      <c r="CZ20" s="11">
        <v>99979.14</v>
      </c>
      <c r="DA20" s="11">
        <v>129563.87</v>
      </c>
      <c r="DB20" s="11">
        <v>673650.22</v>
      </c>
      <c r="DC20" s="11">
        <v>1474181.66</v>
      </c>
      <c r="DD20" s="11">
        <v>259302.82</v>
      </c>
      <c r="DE20" s="11">
        <v>344187.96</v>
      </c>
      <c r="DF20" s="11">
        <v>232498.41</v>
      </c>
      <c r="DG20" s="11">
        <v>389340.91</v>
      </c>
      <c r="DH20" s="11">
        <v>203433.61</v>
      </c>
      <c r="DI20" s="11">
        <v>309700.32</v>
      </c>
      <c r="DJ20" s="11">
        <v>113267.01</v>
      </c>
      <c r="DK20" s="11">
        <v>2278778.4300000002</v>
      </c>
      <c r="DL20" s="11">
        <v>161078.62</v>
      </c>
      <c r="DM20" s="11">
        <v>137661.66</v>
      </c>
      <c r="DN20" s="11">
        <v>236938.54</v>
      </c>
      <c r="DO20" s="11">
        <v>348643.88</v>
      </c>
      <c r="DP20" s="11">
        <v>18993.62</v>
      </c>
      <c r="DQ20" s="11">
        <v>293928.62</v>
      </c>
      <c r="DR20" s="11">
        <v>430128.18</v>
      </c>
      <c r="DS20" s="11">
        <v>173918.95</v>
      </c>
      <c r="DT20" s="11">
        <v>530545.30000000005</v>
      </c>
      <c r="DU20" s="11">
        <v>133327.01999999999</v>
      </c>
      <c r="DV20" s="11">
        <v>432007.13</v>
      </c>
      <c r="DW20" s="11">
        <v>389227.45</v>
      </c>
      <c r="DX20" s="11">
        <v>243657.4</v>
      </c>
      <c r="DY20" s="11">
        <v>541931.65</v>
      </c>
      <c r="DZ20" s="11">
        <v>198592.68</v>
      </c>
      <c r="EA20" s="11">
        <v>88229.07</v>
      </c>
      <c r="EB20" s="11">
        <v>243473.05</v>
      </c>
      <c r="EC20" s="11">
        <v>282593.77</v>
      </c>
      <c r="ED20" s="11">
        <v>414793.5</v>
      </c>
      <c r="EE20" s="11">
        <v>230075.55</v>
      </c>
      <c r="EF20" s="11">
        <v>339316.14</v>
      </c>
      <c r="EG20" s="11">
        <v>512661.17</v>
      </c>
      <c r="EH20" s="11">
        <v>177847.53</v>
      </c>
      <c r="EI20" s="11">
        <v>381804.03</v>
      </c>
      <c r="EJ20" s="11">
        <v>441896.26</v>
      </c>
      <c r="EK20" s="11">
        <v>175878.07</v>
      </c>
      <c r="EL20" s="11">
        <v>154683.56</v>
      </c>
      <c r="EM20" s="11">
        <v>311666.46000000002</v>
      </c>
      <c r="EN20" s="11">
        <v>997260.82</v>
      </c>
      <c r="EO20" s="11">
        <v>301255.40000000002</v>
      </c>
      <c r="EP20" s="11">
        <v>452989.66</v>
      </c>
      <c r="EQ20" s="11">
        <v>290161.83</v>
      </c>
      <c r="ER20" s="11">
        <v>145299.18</v>
      </c>
      <c r="ES20" s="11">
        <v>129752.94</v>
      </c>
      <c r="ET20" s="11">
        <v>357043.20000000001</v>
      </c>
      <c r="EU20" s="11">
        <v>392977.31</v>
      </c>
      <c r="EV20" s="11">
        <v>168940.07</v>
      </c>
      <c r="EW20" s="11">
        <v>3683354.94</v>
      </c>
      <c r="EX20" s="11">
        <v>173265.76</v>
      </c>
      <c r="EY20" s="11">
        <v>68585.41</v>
      </c>
      <c r="EZ20" s="11">
        <v>354636.79999999999</v>
      </c>
      <c r="FA20" s="11">
        <v>278597</v>
      </c>
      <c r="FB20" s="11">
        <v>111104.4</v>
      </c>
      <c r="FC20" s="11">
        <v>177439.39</v>
      </c>
      <c r="FD20" s="11">
        <v>193931.16</v>
      </c>
      <c r="FE20" s="11">
        <v>212444.42</v>
      </c>
      <c r="FF20" s="11">
        <v>51385.01</v>
      </c>
      <c r="FG20" s="11">
        <v>50573.46</v>
      </c>
      <c r="FH20" s="11">
        <v>103306.87</v>
      </c>
      <c r="FI20" s="11">
        <v>710362.42</v>
      </c>
      <c r="FJ20" s="11">
        <v>74156.91</v>
      </c>
      <c r="FK20" s="11">
        <v>245401.86</v>
      </c>
      <c r="FL20" s="11">
        <v>115589.46</v>
      </c>
      <c r="FM20" s="11">
        <v>1498358.77</v>
      </c>
      <c r="FN20" s="11">
        <v>369407.5</v>
      </c>
      <c r="FO20" s="11">
        <v>134769.22</v>
      </c>
      <c r="FP20" s="11">
        <v>87534.41</v>
      </c>
      <c r="FQ20" s="11">
        <v>2579437.5499999998</v>
      </c>
      <c r="FR20" s="11">
        <v>467510.12</v>
      </c>
      <c r="FS20" s="11">
        <v>20572.099999999999</v>
      </c>
      <c r="FT20" s="11">
        <v>373639.5</v>
      </c>
      <c r="FU20" s="11">
        <v>105805.71</v>
      </c>
      <c r="FV20" s="11">
        <v>123306.1</v>
      </c>
      <c r="FW20" s="11">
        <v>355496.07</v>
      </c>
      <c r="FX20" s="11">
        <v>113517.61</v>
      </c>
      <c r="FY20" s="11">
        <v>283011.01</v>
      </c>
      <c r="FZ20" s="11">
        <v>151516.19</v>
      </c>
      <c r="GA20" s="11">
        <v>416477.06</v>
      </c>
      <c r="GB20" s="11">
        <v>198349.95</v>
      </c>
      <c r="GC20" s="11">
        <v>409238.87</v>
      </c>
      <c r="GD20" s="11">
        <v>163206.39999999999</v>
      </c>
      <c r="GE20" s="11">
        <v>561171.76</v>
      </c>
      <c r="GF20" s="11">
        <v>295439.55</v>
      </c>
      <c r="GG20" s="11">
        <v>328178.18</v>
      </c>
      <c r="GH20" s="11">
        <v>752565.81</v>
      </c>
      <c r="GI20" s="11">
        <v>218480.15</v>
      </c>
      <c r="GJ20" s="11">
        <v>379852.84</v>
      </c>
      <c r="GK20" s="11">
        <v>82144.36</v>
      </c>
      <c r="GL20" s="11">
        <v>403526.26</v>
      </c>
      <c r="GM20" s="11">
        <v>32674.240000000002</v>
      </c>
      <c r="GN20" s="11">
        <v>143397.16</v>
      </c>
      <c r="GO20" s="11">
        <v>65154.400000000001</v>
      </c>
      <c r="GP20" s="11">
        <v>120583.15</v>
      </c>
      <c r="GQ20" s="11">
        <v>620349.36</v>
      </c>
      <c r="GR20" s="11">
        <v>820657.71</v>
      </c>
      <c r="GS20" s="11">
        <v>220234.75</v>
      </c>
      <c r="GT20" s="11">
        <v>352695.41</v>
      </c>
      <c r="GU20" s="11">
        <v>125493.89</v>
      </c>
      <c r="GV20" s="11">
        <v>378626.42</v>
      </c>
      <c r="GW20" s="11">
        <v>186255.77</v>
      </c>
      <c r="GX20" s="11">
        <v>118540.62</v>
      </c>
      <c r="GY20" s="11">
        <v>343762.16</v>
      </c>
      <c r="GZ20" s="11">
        <v>193109.27</v>
      </c>
      <c r="HA20" s="11">
        <v>167514.5</v>
      </c>
      <c r="HB20" s="11">
        <v>146536.6</v>
      </c>
      <c r="HC20" s="11">
        <v>616918.27</v>
      </c>
      <c r="HD20" s="11">
        <v>3363740.74</v>
      </c>
      <c r="HE20" s="11">
        <v>769695.51</v>
      </c>
      <c r="HF20" s="11">
        <v>613007.56000000006</v>
      </c>
      <c r="HG20" s="11">
        <v>186780.13</v>
      </c>
      <c r="HH20" s="11">
        <v>349809.97</v>
      </c>
      <c r="HI20" s="11">
        <v>156221.54999999999</v>
      </c>
      <c r="HJ20" s="11">
        <v>665958.75</v>
      </c>
      <c r="HK20" s="11">
        <v>939260.9</v>
      </c>
      <c r="HL20" s="11">
        <v>313695.90999999997</v>
      </c>
      <c r="HM20" s="11">
        <v>520560.56</v>
      </c>
      <c r="HN20" s="11">
        <v>311246.76</v>
      </c>
      <c r="HO20" s="11">
        <v>407590.79</v>
      </c>
      <c r="HP20" s="11">
        <v>195073.4</v>
      </c>
      <c r="HQ20" s="11">
        <v>461523.94</v>
      </c>
      <c r="HR20" s="11">
        <v>168427.1</v>
      </c>
      <c r="HS20" s="11">
        <v>691714.03</v>
      </c>
      <c r="HT20" s="11">
        <v>205582.8</v>
      </c>
      <c r="HU20" s="11">
        <v>304161.61</v>
      </c>
      <c r="HV20" s="11">
        <v>153559.10999999999</v>
      </c>
      <c r="HW20" s="11">
        <v>193264.35</v>
      </c>
      <c r="HX20" s="11">
        <v>191345.99</v>
      </c>
      <c r="HY20" s="11">
        <v>314859.65000000002</v>
      </c>
      <c r="HZ20" s="11">
        <v>201660.9</v>
      </c>
      <c r="IA20" s="11">
        <v>111702.66</v>
      </c>
      <c r="IB20" s="11">
        <v>0</v>
      </c>
      <c r="IC20" s="11">
        <v>200147.99</v>
      </c>
      <c r="ID20" s="11">
        <v>816496.65</v>
      </c>
      <c r="IE20" s="11">
        <v>41292.21</v>
      </c>
      <c r="IF20" s="11">
        <v>122626.9</v>
      </c>
      <c r="IG20" s="11">
        <v>60007.8</v>
      </c>
      <c r="IH20" s="11">
        <v>44279.1</v>
      </c>
      <c r="II20" s="11">
        <v>554177.48</v>
      </c>
      <c r="IJ20" s="11">
        <v>650426</v>
      </c>
      <c r="IK20" s="11">
        <v>418353.53</v>
      </c>
      <c r="IL20" s="11">
        <v>218876.57</v>
      </c>
      <c r="IM20" s="11">
        <v>648689.86</v>
      </c>
      <c r="IN20" s="11">
        <v>424263.04</v>
      </c>
      <c r="IO20" s="11">
        <v>26169.83</v>
      </c>
      <c r="IP20" s="11">
        <v>177816.85</v>
      </c>
      <c r="IQ20" s="11">
        <v>188309.42</v>
      </c>
      <c r="IR20" s="11">
        <v>182370.46</v>
      </c>
      <c r="IS20" s="11">
        <v>142857.76</v>
      </c>
      <c r="IT20" s="11">
        <v>53578.06</v>
      </c>
      <c r="IU20" s="11">
        <v>515001.91</v>
      </c>
      <c r="IV20" s="11">
        <v>127750.62</v>
      </c>
      <c r="IW20" s="11">
        <v>157043.15</v>
      </c>
      <c r="IX20" s="11">
        <v>184570.07</v>
      </c>
      <c r="IY20" s="11">
        <v>58980</v>
      </c>
      <c r="IZ20" s="11">
        <v>209191.8</v>
      </c>
      <c r="JA20" s="11">
        <v>75194.38</v>
      </c>
      <c r="JB20" s="11">
        <v>87622.18</v>
      </c>
      <c r="JC20" s="11">
        <v>230640.36</v>
      </c>
      <c r="JD20" s="11">
        <v>147729.73000000001</v>
      </c>
      <c r="JE20" s="11">
        <v>341310.71</v>
      </c>
      <c r="JF20" s="11">
        <v>918821.84</v>
      </c>
      <c r="JG20" s="11">
        <v>317366.88</v>
      </c>
      <c r="JH20" s="11">
        <v>168360.56</v>
      </c>
      <c r="JI20" s="11">
        <v>113828.99</v>
      </c>
      <c r="JJ20" s="11">
        <v>255570.3</v>
      </c>
      <c r="JK20" s="11">
        <v>269648.76</v>
      </c>
      <c r="JL20" s="11">
        <v>357235.1</v>
      </c>
      <c r="JM20" s="11">
        <v>79975.600000000006</v>
      </c>
      <c r="JN20" s="11">
        <v>356052.49</v>
      </c>
      <c r="JO20" s="11">
        <v>203103.31</v>
      </c>
      <c r="JP20" s="11">
        <v>33305</v>
      </c>
      <c r="JQ20" s="11">
        <v>157886.1</v>
      </c>
      <c r="JR20" s="11">
        <v>115005.77</v>
      </c>
      <c r="JS20" s="11">
        <v>1919591.36</v>
      </c>
      <c r="JT20" s="11">
        <v>992563.94</v>
      </c>
      <c r="JU20" s="11">
        <v>231080.79</v>
      </c>
      <c r="JV20" s="11">
        <v>63806.28</v>
      </c>
      <c r="JW20" s="11">
        <v>393009.17</v>
      </c>
      <c r="JX20" s="11">
        <v>125564.48</v>
      </c>
      <c r="JY20" s="11">
        <v>380763.77</v>
      </c>
      <c r="JZ20" s="11">
        <v>480680.36</v>
      </c>
      <c r="KA20" s="11">
        <v>258804.38</v>
      </c>
      <c r="KB20" s="11">
        <v>364257.61</v>
      </c>
      <c r="KC20" s="11">
        <v>251315.97</v>
      </c>
      <c r="KD20" s="11">
        <v>270946.59000000003</v>
      </c>
      <c r="KE20" s="11">
        <v>100341.4</v>
      </c>
      <c r="KF20" s="11">
        <v>29820.89</v>
      </c>
      <c r="KG20" s="11">
        <v>264222.59000000003</v>
      </c>
      <c r="KH20" s="11">
        <v>92122.57</v>
      </c>
      <c r="KI20" s="11">
        <v>488857.7</v>
      </c>
      <c r="KJ20" s="11">
        <v>230086.77</v>
      </c>
      <c r="KK20" s="11">
        <v>172159.87</v>
      </c>
      <c r="KL20" s="11">
        <v>384554.18</v>
      </c>
      <c r="KM20" s="11">
        <v>95294</v>
      </c>
      <c r="KN20" s="11">
        <v>330939.65000000002</v>
      </c>
      <c r="KO20" s="11">
        <v>916502.53</v>
      </c>
      <c r="KP20" s="11">
        <v>276623.55</v>
      </c>
      <c r="KQ20" s="11">
        <v>262314.49</v>
      </c>
      <c r="KR20" s="11">
        <v>262472</v>
      </c>
      <c r="KS20" s="11">
        <v>244843.6</v>
      </c>
      <c r="KT20" s="11">
        <v>86157.94</v>
      </c>
      <c r="KU20" s="11">
        <v>418772.16</v>
      </c>
      <c r="KV20" s="11">
        <v>383590.95</v>
      </c>
      <c r="KW20" s="11">
        <v>180989.45</v>
      </c>
      <c r="KX20" s="11">
        <v>1433632.59</v>
      </c>
      <c r="KY20" s="11">
        <v>337986.73</v>
      </c>
      <c r="KZ20" s="11">
        <v>785063.74</v>
      </c>
      <c r="LA20" s="11">
        <v>51612.97</v>
      </c>
      <c r="LB20" s="11">
        <v>126660.9</v>
      </c>
      <c r="LC20" s="11">
        <v>165292.26999999999</v>
      </c>
      <c r="LD20" s="11">
        <v>881436.14</v>
      </c>
      <c r="LE20" s="11">
        <v>220764.3</v>
      </c>
      <c r="LF20" s="11">
        <v>220633.5</v>
      </c>
      <c r="LG20" s="11">
        <v>234630.07</v>
      </c>
      <c r="LH20" s="11">
        <v>785460.84</v>
      </c>
      <c r="LI20" s="11">
        <v>708443.35</v>
      </c>
      <c r="LJ20" s="11">
        <v>339147.25</v>
      </c>
      <c r="LK20" s="11">
        <v>461071.72</v>
      </c>
      <c r="LL20" s="11">
        <v>2114716.81</v>
      </c>
      <c r="LM20" s="11">
        <v>236946.9</v>
      </c>
      <c r="LN20" s="11">
        <v>359643.24</v>
      </c>
      <c r="LO20" s="11">
        <v>484753.52</v>
      </c>
      <c r="LP20" s="11">
        <v>303611.84000000003</v>
      </c>
      <c r="LQ20" s="11">
        <v>322108.7</v>
      </c>
      <c r="LR20" s="11">
        <v>322564.40000000002</v>
      </c>
      <c r="LS20" s="11">
        <v>465548.86</v>
      </c>
      <c r="LT20" s="11">
        <v>76587.899999999994</v>
      </c>
      <c r="LU20" s="11">
        <v>107859.2</v>
      </c>
      <c r="LV20" s="11">
        <v>889502.61</v>
      </c>
      <c r="LW20" s="11">
        <v>322203.78000000003</v>
      </c>
      <c r="LX20" s="11">
        <v>988662.37</v>
      </c>
      <c r="LY20" s="11">
        <v>381648.58</v>
      </c>
      <c r="LZ20" s="11">
        <v>595118.81999999995</v>
      </c>
      <c r="MA20" s="11">
        <v>276353.98</v>
      </c>
      <c r="MB20" s="11">
        <v>451508.3</v>
      </c>
      <c r="MC20" s="11">
        <v>342092.92</v>
      </c>
      <c r="MD20" s="11">
        <v>465892.58</v>
      </c>
      <c r="ME20" s="11">
        <v>189414.03</v>
      </c>
      <c r="MF20" s="11">
        <v>491440.67</v>
      </c>
      <c r="MG20" s="11">
        <v>159892.95000000001</v>
      </c>
      <c r="MH20" s="11">
        <v>690259.13</v>
      </c>
      <c r="MI20" s="11">
        <v>413972.66</v>
      </c>
      <c r="MJ20" s="11">
        <v>353107.06</v>
      </c>
      <c r="MK20" s="11">
        <v>134493.98000000001</v>
      </c>
      <c r="ML20" s="11">
        <v>227113.23</v>
      </c>
      <c r="MM20" s="11">
        <v>238103.22</v>
      </c>
      <c r="MN20" s="11">
        <v>137928.79</v>
      </c>
      <c r="MO20" s="11">
        <v>530037.27</v>
      </c>
      <c r="MP20" s="11">
        <v>239206.89</v>
      </c>
      <c r="MQ20" s="11">
        <v>169700.19</v>
      </c>
      <c r="MR20" s="11">
        <v>142675.79999999999</v>
      </c>
      <c r="MS20" s="11">
        <v>272167.44</v>
      </c>
      <c r="MT20" s="11">
        <v>4267980.3600000003</v>
      </c>
      <c r="MU20" s="11">
        <v>326230.96999999997</v>
      </c>
      <c r="MV20" s="11">
        <v>285309.12</v>
      </c>
      <c r="MW20" s="11">
        <v>137292.82999999999</v>
      </c>
      <c r="MX20" s="11">
        <v>153214.51999999999</v>
      </c>
      <c r="MY20" s="11">
        <v>171599.07</v>
      </c>
      <c r="MZ20" s="11">
        <v>323916.55</v>
      </c>
      <c r="NA20" s="11">
        <v>361682.52</v>
      </c>
      <c r="NB20" s="11">
        <v>158593.25</v>
      </c>
      <c r="NC20" s="11">
        <v>143305.85999999999</v>
      </c>
      <c r="ND20" s="11">
        <v>41513</v>
      </c>
      <c r="NE20" s="11">
        <v>1510817.68</v>
      </c>
      <c r="NF20" s="11">
        <v>684799.01</v>
      </c>
      <c r="NG20" s="11">
        <v>240315.46</v>
      </c>
      <c r="NH20" s="11">
        <v>838067.05</v>
      </c>
      <c r="NI20" s="11">
        <v>188573.5</v>
      </c>
      <c r="NJ20" s="11">
        <v>539580.66</v>
      </c>
      <c r="NK20" s="11">
        <v>1103426.3600000001</v>
      </c>
      <c r="NL20" s="11">
        <v>490065.6</v>
      </c>
      <c r="NM20" s="11">
        <v>67153.75</v>
      </c>
      <c r="NN20" s="11">
        <v>403445.01</v>
      </c>
      <c r="NO20" s="11">
        <v>228847.75</v>
      </c>
      <c r="NP20" s="11">
        <v>186889.43</v>
      </c>
      <c r="NQ20" s="11">
        <v>1523833.93</v>
      </c>
      <c r="NR20" s="11">
        <v>37221.78</v>
      </c>
      <c r="NS20" s="11">
        <v>128029.79</v>
      </c>
      <c r="NT20" s="11">
        <v>206553.89</v>
      </c>
      <c r="NU20" s="11">
        <v>198721.14</v>
      </c>
      <c r="NV20" s="11">
        <v>22046</v>
      </c>
      <c r="NW20" s="11">
        <v>35041</v>
      </c>
      <c r="NX20" s="11">
        <v>1475361.75</v>
      </c>
      <c r="NY20" s="11">
        <v>442671.51</v>
      </c>
      <c r="NZ20" s="11">
        <v>99765.799999999988</v>
      </c>
      <c r="OA20" s="11">
        <v>97878.7</v>
      </c>
      <c r="OB20" s="11">
        <v>261490.48</v>
      </c>
      <c r="OC20" s="11">
        <v>68860.740000000005</v>
      </c>
      <c r="OD20" s="11">
        <v>157893.01999999999</v>
      </c>
      <c r="OE20" s="11">
        <v>4288755.78</v>
      </c>
      <c r="OF20" s="11">
        <v>256124.16</v>
      </c>
      <c r="OG20" s="11">
        <v>342697.89</v>
      </c>
      <c r="OH20" s="11">
        <v>165716.19</v>
      </c>
      <c r="OI20" s="11">
        <v>118976.61</v>
      </c>
      <c r="OJ20" s="11">
        <v>275497.90000000002</v>
      </c>
      <c r="OK20" s="11">
        <v>111870.34</v>
      </c>
      <c r="OL20" s="11">
        <v>62756.26</v>
      </c>
      <c r="OM20" s="11">
        <v>282000.34000000003</v>
      </c>
      <c r="ON20" s="11">
        <v>1901173.13</v>
      </c>
      <c r="OO20" s="11">
        <v>275498.69</v>
      </c>
      <c r="OP20" s="11">
        <v>729433.41</v>
      </c>
      <c r="OQ20" s="11">
        <v>404569.55</v>
      </c>
      <c r="OR20" s="11">
        <v>182537.36</v>
      </c>
      <c r="OS20" s="11">
        <v>127003.34</v>
      </c>
      <c r="OT20" s="11">
        <v>225448.21</v>
      </c>
      <c r="OU20" s="11">
        <v>73506.44</v>
      </c>
      <c r="OV20" s="11">
        <v>128595.08</v>
      </c>
      <c r="OW20" s="11">
        <v>512296.74</v>
      </c>
      <c r="OX20" s="11">
        <v>93824.73</v>
      </c>
      <c r="OY20" s="11">
        <v>250009</v>
      </c>
      <c r="OZ20" s="11">
        <v>95450.34</v>
      </c>
      <c r="PA20" s="11">
        <v>124551.92</v>
      </c>
      <c r="PB20" s="11">
        <v>147580.03</v>
      </c>
      <c r="PC20" s="11">
        <v>1247623.28</v>
      </c>
      <c r="PD20" s="11">
        <v>177127.5</v>
      </c>
      <c r="PE20" s="11">
        <v>83830</v>
      </c>
      <c r="PF20" s="11">
        <v>125405.84</v>
      </c>
      <c r="PG20" s="11">
        <v>353836.52</v>
      </c>
      <c r="PH20" s="11">
        <v>107948.81</v>
      </c>
      <c r="PI20" s="11">
        <v>63389.57</v>
      </c>
      <c r="PJ20" s="11">
        <v>140348.78</v>
      </c>
      <c r="PK20" s="11">
        <v>137593.51999999999</v>
      </c>
      <c r="PL20" s="11">
        <v>378215.36</v>
      </c>
      <c r="PM20" s="11">
        <v>154042.35999999999</v>
      </c>
      <c r="PN20" s="11">
        <v>725775.38</v>
      </c>
      <c r="PO20" s="11">
        <v>226033.99</v>
      </c>
      <c r="PP20" s="11">
        <v>496224.77</v>
      </c>
      <c r="PQ20" s="11">
        <v>225127.1</v>
      </c>
      <c r="PR20" s="11">
        <v>154017.38</v>
      </c>
      <c r="PS20" s="11">
        <v>32485</v>
      </c>
      <c r="PT20" s="11">
        <v>190205</v>
      </c>
      <c r="PU20" s="11">
        <v>1658349</v>
      </c>
      <c r="PV20" s="11">
        <v>297696.74</v>
      </c>
      <c r="PW20" s="11">
        <v>158213.60999999999</v>
      </c>
      <c r="PX20" s="11">
        <v>141795.56</v>
      </c>
      <c r="PY20" s="11">
        <v>307330.75</v>
      </c>
      <c r="PZ20" s="11">
        <v>329893.34000000003</v>
      </c>
      <c r="QA20" s="11">
        <v>495678.19</v>
      </c>
      <c r="QB20" s="11">
        <v>75830</v>
      </c>
      <c r="QC20" s="11">
        <v>97317.759999999995</v>
      </c>
      <c r="QD20" s="11">
        <v>94591.5</v>
      </c>
      <c r="QE20" s="11">
        <v>414153.51</v>
      </c>
      <c r="QF20" s="11">
        <v>187292.61</v>
      </c>
      <c r="QG20" s="11">
        <v>195084.74</v>
      </c>
      <c r="QH20" s="11">
        <v>339347.26</v>
      </c>
      <c r="QI20" s="11">
        <v>372610.78</v>
      </c>
      <c r="QJ20" s="11">
        <v>489445.13</v>
      </c>
      <c r="QK20" s="11">
        <v>373757.38</v>
      </c>
      <c r="QL20" s="11">
        <v>97593.68</v>
      </c>
      <c r="QM20" s="11">
        <v>119241.99</v>
      </c>
      <c r="QN20" s="11">
        <v>1143958.53</v>
      </c>
      <c r="QO20" s="11">
        <v>257064</v>
      </c>
      <c r="QP20" s="11">
        <v>132409.44</v>
      </c>
      <c r="QQ20" s="11">
        <v>171683.4</v>
      </c>
      <c r="QR20" s="11">
        <v>142907.21</v>
      </c>
      <c r="QS20" s="11">
        <v>147629.54999999999</v>
      </c>
      <c r="QT20" s="11">
        <v>139130</v>
      </c>
      <c r="QU20" s="11">
        <v>1648127.81</v>
      </c>
      <c r="QV20" s="11">
        <v>300205.84999999998</v>
      </c>
      <c r="QW20" s="11">
        <v>540121.87</v>
      </c>
      <c r="QX20" s="11">
        <v>149022.24</v>
      </c>
      <c r="QY20" s="11">
        <v>474710.4</v>
      </c>
      <c r="QZ20" s="11">
        <v>562501.69999999995</v>
      </c>
      <c r="RA20" s="11">
        <v>258039</v>
      </c>
      <c r="RB20" s="11">
        <v>533760.18000000005</v>
      </c>
      <c r="RC20" s="11">
        <v>307851.13</v>
      </c>
      <c r="RD20" s="11">
        <v>186395.73</v>
      </c>
      <c r="RE20" s="11">
        <v>265503.74</v>
      </c>
      <c r="RF20" s="11">
        <v>184682.44</v>
      </c>
      <c r="RG20" s="11">
        <v>100262.85</v>
      </c>
      <c r="RH20" s="11">
        <v>1240895.48</v>
      </c>
      <c r="RI20" s="11">
        <v>1815752.75</v>
      </c>
      <c r="RJ20" s="11">
        <v>153190.37</v>
      </c>
      <c r="RK20" s="11">
        <v>635060.43000000005</v>
      </c>
      <c r="RL20" s="11">
        <v>230248.83</v>
      </c>
      <c r="RM20" s="11">
        <v>385797.88</v>
      </c>
      <c r="RN20" s="11">
        <v>773884.82</v>
      </c>
      <c r="RO20" s="11">
        <v>110427</v>
      </c>
      <c r="RP20" s="11">
        <v>90783</v>
      </c>
      <c r="RQ20" s="11">
        <v>406774.82</v>
      </c>
      <c r="RR20" s="11">
        <v>620686.26</v>
      </c>
      <c r="RS20" s="11">
        <v>329225.69</v>
      </c>
      <c r="RT20" s="11">
        <v>90468.93</v>
      </c>
      <c r="RU20" s="11">
        <v>216020</v>
      </c>
      <c r="RV20" s="11">
        <v>180257</v>
      </c>
      <c r="RW20" s="11">
        <v>337585.09</v>
      </c>
      <c r="RX20" s="11">
        <v>482705.74</v>
      </c>
      <c r="RY20" s="11">
        <v>140634</v>
      </c>
      <c r="RZ20" s="11">
        <v>151014</v>
      </c>
      <c r="SA20" s="11">
        <v>150923.34</v>
      </c>
      <c r="SB20" s="11">
        <v>1766345.56</v>
      </c>
      <c r="SC20" s="11">
        <v>110126.7</v>
      </c>
      <c r="SD20" s="11">
        <v>324979.86</v>
      </c>
      <c r="SE20" s="11">
        <v>139661.99</v>
      </c>
      <c r="SF20" s="11">
        <v>146867.66</v>
      </c>
      <c r="SG20" s="11">
        <v>408408.41</v>
      </c>
      <c r="SH20" s="11">
        <v>373806.34</v>
      </c>
      <c r="SI20" s="11">
        <v>305539.76</v>
      </c>
      <c r="SJ20" s="11">
        <v>465074.57</v>
      </c>
      <c r="SK20" s="11">
        <v>225450.36</v>
      </c>
      <c r="SL20" s="11">
        <v>569731.54</v>
      </c>
      <c r="SM20" s="11">
        <v>170290.04</v>
      </c>
      <c r="SN20" s="11">
        <v>790501.3</v>
      </c>
      <c r="SO20" s="11">
        <v>455088.38</v>
      </c>
      <c r="SP20" s="11">
        <v>266833.03999999998</v>
      </c>
      <c r="SQ20" s="11">
        <v>546443</v>
      </c>
      <c r="SR20" s="11">
        <v>119536.44</v>
      </c>
      <c r="SS20" s="11">
        <v>530801.51</v>
      </c>
      <c r="ST20" s="11">
        <v>208898.41</v>
      </c>
      <c r="SU20" s="11">
        <v>279898.53000000003</v>
      </c>
      <c r="SV20" s="11">
        <v>549070.11</v>
      </c>
      <c r="SW20" s="11">
        <v>181330.17</v>
      </c>
      <c r="SX20" s="11">
        <v>546503.51</v>
      </c>
      <c r="SY20" s="11">
        <v>377080.05</v>
      </c>
      <c r="SZ20" s="11">
        <v>148992.57</v>
      </c>
      <c r="TA20" s="11">
        <v>113959.3</v>
      </c>
      <c r="TB20" s="11">
        <v>515653.8</v>
      </c>
      <c r="TC20" s="11">
        <v>344958.23</v>
      </c>
      <c r="TD20" s="11">
        <v>182121.91</v>
      </c>
      <c r="TE20" s="11">
        <v>120548.44</v>
      </c>
      <c r="TF20" s="11">
        <v>401022.67</v>
      </c>
      <c r="TG20" s="11">
        <v>253156.66</v>
      </c>
      <c r="TH20" s="11">
        <v>492219.73</v>
      </c>
      <c r="TI20" s="11">
        <v>272696.40000000002</v>
      </c>
      <c r="TJ20" s="11">
        <v>1434497.93</v>
      </c>
      <c r="TK20" s="11">
        <v>207295.33</v>
      </c>
      <c r="TL20" s="11">
        <v>125219.5</v>
      </c>
      <c r="TM20" s="11">
        <v>120476.1</v>
      </c>
      <c r="TN20" s="11">
        <v>46741</v>
      </c>
      <c r="TO20" s="11">
        <v>207502.1</v>
      </c>
      <c r="TP20" s="11">
        <v>152946.14000000001</v>
      </c>
      <c r="TQ20" s="11">
        <v>1750585.63</v>
      </c>
      <c r="TR20" s="11">
        <v>247038.57</v>
      </c>
      <c r="TS20" s="11">
        <v>266372.98</v>
      </c>
      <c r="TT20" s="11">
        <v>526712.85</v>
      </c>
      <c r="TU20" s="11">
        <v>257778.3</v>
      </c>
      <c r="TV20" s="11">
        <v>111904.97</v>
      </c>
      <c r="TW20" s="11">
        <v>106176.57</v>
      </c>
      <c r="TX20" s="11">
        <v>93047.48</v>
      </c>
      <c r="TY20" s="11">
        <v>101991.76</v>
      </c>
      <c r="TZ20" s="11">
        <v>1086515.3899999999</v>
      </c>
      <c r="UA20" s="11">
        <v>206885.43</v>
      </c>
      <c r="UB20" s="11">
        <v>253471.55</v>
      </c>
      <c r="UC20" s="11">
        <v>85750.2</v>
      </c>
      <c r="UD20" s="11">
        <v>108966.5</v>
      </c>
      <c r="UE20" s="11">
        <v>99218.5</v>
      </c>
      <c r="UF20" s="11">
        <v>743715.4</v>
      </c>
      <c r="UG20" s="11">
        <v>113072</v>
      </c>
      <c r="UH20" s="11">
        <v>236334.36</v>
      </c>
      <c r="UI20" s="11">
        <v>84380</v>
      </c>
      <c r="UJ20" s="11">
        <v>78960</v>
      </c>
      <c r="UK20" s="11">
        <v>671401.44</v>
      </c>
      <c r="UL20" s="11">
        <v>526866.34</v>
      </c>
      <c r="UM20" s="11">
        <v>313521.99</v>
      </c>
      <c r="UN20" s="11">
        <v>1306953.1599999999</v>
      </c>
      <c r="UO20" s="11">
        <v>155049.10999999999</v>
      </c>
      <c r="UP20" s="11">
        <v>239502.52</v>
      </c>
      <c r="UQ20" s="11">
        <v>1796344.1</v>
      </c>
      <c r="UR20" s="11">
        <v>224751.81</v>
      </c>
      <c r="US20" s="11">
        <v>139105.85</v>
      </c>
      <c r="UT20" s="11">
        <v>722756.2</v>
      </c>
      <c r="UU20" s="11">
        <v>4720</v>
      </c>
      <c r="UV20" s="11">
        <v>172664.05</v>
      </c>
      <c r="UW20" s="11">
        <v>321576.05</v>
      </c>
      <c r="UX20" s="11">
        <v>701412.98</v>
      </c>
      <c r="UY20" s="11">
        <v>148384.6</v>
      </c>
      <c r="UZ20" s="11">
        <v>214376.7</v>
      </c>
      <c r="VA20" s="11">
        <v>345144.1</v>
      </c>
      <c r="VB20" s="11">
        <v>487945.52</v>
      </c>
      <c r="VC20" s="11">
        <v>205180</v>
      </c>
      <c r="VD20" s="11">
        <v>386154.01</v>
      </c>
      <c r="VE20" s="11">
        <v>224658.35</v>
      </c>
      <c r="VF20" s="11">
        <v>245395.8</v>
      </c>
      <c r="VG20" s="11">
        <v>64012</v>
      </c>
      <c r="VH20" s="11">
        <v>85925.1</v>
      </c>
      <c r="VI20" s="11">
        <v>469589.79</v>
      </c>
      <c r="VJ20" s="11">
        <v>162475</v>
      </c>
      <c r="VK20" s="11">
        <v>122765.15</v>
      </c>
      <c r="VL20" s="11">
        <v>125926.3</v>
      </c>
      <c r="VM20" s="11">
        <v>1334573.25</v>
      </c>
      <c r="VN20" s="11">
        <v>534350.67000000004</v>
      </c>
      <c r="VO20" s="11">
        <v>67137</v>
      </c>
      <c r="VP20" s="11">
        <v>651273.29</v>
      </c>
      <c r="VQ20" s="11">
        <v>473874.15</v>
      </c>
      <c r="VR20" s="11">
        <v>847772.93</v>
      </c>
      <c r="VS20" s="11">
        <v>174431.09</v>
      </c>
      <c r="VT20" s="11">
        <v>167374.03</v>
      </c>
      <c r="VU20" s="11">
        <v>150291.54</v>
      </c>
      <c r="VV20" s="11">
        <v>1582138.89</v>
      </c>
      <c r="VW20" s="11">
        <v>523530.35</v>
      </c>
      <c r="VX20" s="11">
        <v>1073486.33</v>
      </c>
      <c r="VY20" s="11">
        <v>519463.64</v>
      </c>
      <c r="VZ20" s="11">
        <v>515330.75</v>
      </c>
      <c r="WA20" s="11">
        <v>315809.38</v>
      </c>
      <c r="WB20" s="11">
        <v>781366.4</v>
      </c>
      <c r="WC20" s="11">
        <v>513394.8</v>
      </c>
      <c r="WD20" s="11">
        <v>519107.26</v>
      </c>
      <c r="WE20" s="11">
        <v>302471.08</v>
      </c>
      <c r="WF20" s="11">
        <v>396016.22</v>
      </c>
      <c r="WG20" s="11">
        <v>400681.59</v>
      </c>
      <c r="WH20" s="11">
        <v>1165115.79</v>
      </c>
      <c r="WI20" s="11">
        <v>600132.6</v>
      </c>
      <c r="WJ20" s="11">
        <v>322662.67</v>
      </c>
      <c r="WK20" s="11">
        <v>366891.6</v>
      </c>
      <c r="WL20" s="11">
        <v>476628.16</v>
      </c>
      <c r="WM20" s="11">
        <v>518408.72</v>
      </c>
      <c r="WN20" s="11">
        <v>745866.81</v>
      </c>
      <c r="WO20" s="11">
        <v>512645.77</v>
      </c>
      <c r="WP20" s="11">
        <v>868363.27</v>
      </c>
      <c r="WQ20" s="11">
        <v>415518.1</v>
      </c>
      <c r="WR20" s="11">
        <v>596453.30000000005</v>
      </c>
      <c r="WS20" s="11">
        <v>595536.67000000004</v>
      </c>
      <c r="WT20" s="11">
        <v>176539.72</v>
      </c>
      <c r="WU20" s="11">
        <v>762556.25</v>
      </c>
      <c r="WV20" s="11">
        <v>742725.62</v>
      </c>
      <c r="WW20" s="11">
        <v>265798.84000000003</v>
      </c>
      <c r="WX20" s="11">
        <v>208160.03</v>
      </c>
      <c r="WY20" s="11">
        <v>337207.29</v>
      </c>
      <c r="WZ20" s="11">
        <v>337197.41</v>
      </c>
      <c r="XA20" s="11">
        <v>166680.95999999999</v>
      </c>
      <c r="XB20" s="11">
        <v>400225.44</v>
      </c>
      <c r="XC20" s="11">
        <v>373149.32</v>
      </c>
      <c r="XD20" s="11">
        <v>1670761.66</v>
      </c>
      <c r="XE20" s="11">
        <v>409095.53</v>
      </c>
      <c r="XF20" s="11">
        <v>88234.19</v>
      </c>
      <c r="XG20" s="11">
        <v>303570.46000000002</v>
      </c>
      <c r="XH20" s="11">
        <v>161554.63</v>
      </c>
      <c r="XI20" s="11">
        <v>2588362.63</v>
      </c>
      <c r="XJ20" s="11">
        <v>370448.38</v>
      </c>
      <c r="XK20" s="11">
        <v>667616.18000000005</v>
      </c>
      <c r="XL20" s="11">
        <v>1311917.8600000001</v>
      </c>
      <c r="XM20" s="11">
        <v>488178.47</v>
      </c>
      <c r="XN20" s="11">
        <v>661796.27</v>
      </c>
      <c r="XO20" s="11">
        <v>1033148.09</v>
      </c>
      <c r="XP20" s="11">
        <v>492339.48</v>
      </c>
      <c r="XQ20" s="11">
        <v>488643.34</v>
      </c>
      <c r="XR20" s="11">
        <v>1379112.99</v>
      </c>
      <c r="XS20" s="11">
        <v>497616.85</v>
      </c>
      <c r="XT20" s="11">
        <v>443899.37</v>
      </c>
      <c r="XU20" s="11">
        <v>232972.91</v>
      </c>
      <c r="XV20" s="11">
        <v>214245.61</v>
      </c>
      <c r="XW20" s="11">
        <v>173358.04</v>
      </c>
      <c r="XX20" s="11">
        <v>237574.16</v>
      </c>
      <c r="XY20" s="11">
        <v>213936.8</v>
      </c>
      <c r="XZ20" s="11">
        <v>277979.82</v>
      </c>
      <c r="YA20" s="11">
        <v>262576.33</v>
      </c>
      <c r="YB20" s="11">
        <v>204699.98</v>
      </c>
      <c r="YC20" s="11">
        <v>432514.78</v>
      </c>
      <c r="YD20" s="11">
        <v>131566.85999999999</v>
      </c>
      <c r="YE20" s="11">
        <v>543506.30000000005</v>
      </c>
      <c r="YF20" s="11">
        <v>3139127.22</v>
      </c>
      <c r="YG20" s="11">
        <v>287986.45</v>
      </c>
      <c r="YH20" s="11">
        <v>655312.19999999995</v>
      </c>
      <c r="YI20" s="11">
        <v>510455.93</v>
      </c>
      <c r="YJ20" s="11">
        <v>928570.16</v>
      </c>
      <c r="YK20" s="11">
        <v>241530.76</v>
      </c>
      <c r="YL20" s="11">
        <v>639335.72</v>
      </c>
      <c r="YM20" s="11">
        <v>147825.95000000001</v>
      </c>
      <c r="YN20" s="11">
        <v>1604598.98</v>
      </c>
      <c r="YO20" s="11">
        <v>509355.19</v>
      </c>
      <c r="YP20" s="11">
        <v>284816.44</v>
      </c>
      <c r="YQ20" s="11">
        <v>313592.2</v>
      </c>
      <c r="YR20" s="11">
        <v>299367.34999999998</v>
      </c>
      <c r="YS20" s="11">
        <v>284279.55</v>
      </c>
      <c r="YT20" s="11">
        <v>142036.29</v>
      </c>
      <c r="YU20" s="11">
        <v>259251.38</v>
      </c>
      <c r="YV20" s="11">
        <v>301983.05</v>
      </c>
      <c r="YW20" s="11">
        <v>981520.06</v>
      </c>
      <c r="YX20" s="11">
        <v>304610.34000000003</v>
      </c>
      <c r="YY20" s="11">
        <v>176413.56</v>
      </c>
      <c r="YZ20" s="11">
        <v>167366.04</v>
      </c>
      <c r="ZA20" s="11">
        <v>128963.12</v>
      </c>
      <c r="ZB20" s="11">
        <v>268697.38</v>
      </c>
      <c r="ZC20" s="11">
        <v>274661.5</v>
      </c>
      <c r="ZD20" s="11">
        <v>936819.5</v>
      </c>
      <c r="ZE20" s="11">
        <v>310297.93</v>
      </c>
      <c r="ZF20" s="11">
        <v>121925.73</v>
      </c>
      <c r="ZG20" s="11">
        <v>164266.15</v>
      </c>
      <c r="ZH20" s="11">
        <v>165794.69</v>
      </c>
      <c r="ZI20" s="11">
        <v>282364.08</v>
      </c>
      <c r="ZJ20" s="11">
        <v>143594.97</v>
      </c>
      <c r="ZK20" s="11">
        <v>172706.75</v>
      </c>
      <c r="ZL20" s="11">
        <v>166018.35</v>
      </c>
      <c r="ZM20" s="11">
        <v>445693.64</v>
      </c>
      <c r="ZN20" s="11">
        <v>290524.87</v>
      </c>
      <c r="ZO20" s="11">
        <v>255441.99</v>
      </c>
      <c r="ZP20" s="11">
        <v>702844.72</v>
      </c>
      <c r="ZQ20" s="11">
        <v>621545.59</v>
      </c>
      <c r="ZR20" s="11">
        <v>253418.64</v>
      </c>
      <c r="ZS20" s="11">
        <v>239073.97</v>
      </c>
      <c r="ZT20" s="11">
        <v>592296.27</v>
      </c>
      <c r="ZU20" s="11">
        <v>556237.64</v>
      </c>
      <c r="ZV20" s="11">
        <v>261521.24</v>
      </c>
      <c r="ZW20" s="11">
        <v>149567.57999999999</v>
      </c>
      <c r="ZX20" s="11">
        <v>192839.52</v>
      </c>
      <c r="ZY20" s="11">
        <v>137637.98000000001</v>
      </c>
      <c r="ZZ20" s="11">
        <v>328809.11</v>
      </c>
      <c r="AAA20" s="11">
        <v>196305.1</v>
      </c>
      <c r="AAB20" s="11">
        <v>104071.55</v>
      </c>
      <c r="AAC20" s="11">
        <v>96760.67</v>
      </c>
      <c r="AAD20" s="11">
        <v>44194.07</v>
      </c>
      <c r="AAE20" s="11">
        <v>458365.24</v>
      </c>
      <c r="AAF20" s="11">
        <v>465381.6</v>
      </c>
      <c r="AAG20" s="11">
        <v>281897.13</v>
      </c>
      <c r="AAH20" s="11">
        <v>72871.87</v>
      </c>
      <c r="AAI20" s="11">
        <v>1114482.25</v>
      </c>
      <c r="AAJ20" s="11">
        <v>183537.56</v>
      </c>
      <c r="AAK20" s="11">
        <v>174820.01</v>
      </c>
      <c r="AAL20" s="11">
        <v>294542.65000000002</v>
      </c>
      <c r="AAM20" s="11">
        <v>171540.8</v>
      </c>
      <c r="AAN20" s="11">
        <v>181139.34</v>
      </c>
      <c r="AAO20" s="11">
        <v>266046.31</v>
      </c>
      <c r="AAP20" s="11">
        <v>1709425.76</v>
      </c>
      <c r="AAQ20" s="11">
        <v>238901.23</v>
      </c>
      <c r="AAR20" s="11">
        <v>168281.22</v>
      </c>
      <c r="AAS20" s="11">
        <v>95235.98</v>
      </c>
      <c r="AAT20" s="11">
        <v>596415.92000000004</v>
      </c>
      <c r="AAU20" s="11">
        <v>193159.04000000001</v>
      </c>
      <c r="AAV20" s="11">
        <v>213445.94</v>
      </c>
      <c r="AAW20" s="11">
        <v>577162.92000000004</v>
      </c>
      <c r="AAX20" s="11">
        <v>418061.11</v>
      </c>
      <c r="AAY20" s="11">
        <v>151964.65</v>
      </c>
      <c r="AAZ20" s="11">
        <v>347855.02</v>
      </c>
      <c r="ABA20" s="11">
        <v>406810.63</v>
      </c>
      <c r="ABB20" s="11">
        <v>1099021.03</v>
      </c>
      <c r="ABC20" s="11">
        <v>5388</v>
      </c>
      <c r="ABD20" s="11">
        <v>234157.22</v>
      </c>
      <c r="ABE20" s="11">
        <v>162617.75</v>
      </c>
      <c r="ABF20" s="11">
        <v>231318.34</v>
      </c>
      <c r="ABG20" s="11">
        <v>275461.8</v>
      </c>
      <c r="ABH20" s="11">
        <v>255486.93</v>
      </c>
      <c r="ABI20" s="11">
        <v>347282.09</v>
      </c>
      <c r="ABJ20" s="11">
        <v>909344.3</v>
      </c>
      <c r="ABK20" s="11">
        <v>237370.57</v>
      </c>
      <c r="ABL20" s="11">
        <v>206745.69</v>
      </c>
      <c r="ABM20" s="11">
        <v>118197.24</v>
      </c>
      <c r="ABN20" s="11">
        <v>74813.38</v>
      </c>
      <c r="ABO20" s="11">
        <v>74892.009999999995</v>
      </c>
      <c r="ABP20" s="11">
        <v>786086.76</v>
      </c>
      <c r="ABQ20" s="11">
        <v>178720.84</v>
      </c>
      <c r="ABR20" s="11">
        <v>160031.5</v>
      </c>
      <c r="ABS20" s="11">
        <v>126704.28</v>
      </c>
      <c r="ABT20" s="11">
        <v>276317.68</v>
      </c>
      <c r="ABU20" s="11">
        <v>173066.68</v>
      </c>
      <c r="ABV20" s="11">
        <v>117207.52</v>
      </c>
      <c r="ABW20" s="11">
        <v>488262.78</v>
      </c>
      <c r="ABX20" s="11">
        <v>3960.68</v>
      </c>
      <c r="ABY20" s="11">
        <v>1212733.3500000001</v>
      </c>
      <c r="ABZ20" s="11">
        <v>73127.12</v>
      </c>
      <c r="ACA20" s="11">
        <v>550415.49</v>
      </c>
      <c r="ACB20" s="11">
        <v>51529.14</v>
      </c>
      <c r="ACC20" s="11">
        <v>55276</v>
      </c>
      <c r="ACD20" s="11">
        <v>737668.48</v>
      </c>
      <c r="ACE20" s="11">
        <v>416539.03</v>
      </c>
      <c r="ACF20" s="11">
        <v>216689.67</v>
      </c>
      <c r="ACG20" s="11">
        <v>225338.82</v>
      </c>
      <c r="ACH20" s="11">
        <v>831845.35</v>
      </c>
      <c r="ACI20" s="11">
        <v>380196.45</v>
      </c>
      <c r="ACJ20" s="11">
        <v>1875219.87</v>
      </c>
      <c r="ACK20" s="11">
        <v>616416.94999999995</v>
      </c>
      <c r="ACL20" s="11">
        <v>82725.3</v>
      </c>
      <c r="ACM20" s="11">
        <v>218407.64</v>
      </c>
      <c r="ACN20" s="11">
        <v>101806.9</v>
      </c>
      <c r="ACO20" s="11">
        <v>681843.66</v>
      </c>
      <c r="ACP20" s="11">
        <v>439536.13</v>
      </c>
      <c r="ACQ20" s="11">
        <v>1463348.52</v>
      </c>
      <c r="ACR20" s="11">
        <v>1541084.18</v>
      </c>
      <c r="ACS20" s="11">
        <v>197320.11</v>
      </c>
      <c r="ACT20" s="11">
        <v>649398.27</v>
      </c>
      <c r="ACU20" s="11">
        <v>170704.9</v>
      </c>
      <c r="ACV20" s="11">
        <v>239553.44</v>
      </c>
      <c r="ACW20" s="11">
        <v>594916.23</v>
      </c>
      <c r="ACX20" s="11">
        <v>91034.84</v>
      </c>
      <c r="ACY20" s="11">
        <v>169557.5</v>
      </c>
      <c r="ACZ20" s="11">
        <v>202913.38</v>
      </c>
      <c r="ADA20" s="11">
        <v>102535.6</v>
      </c>
      <c r="ADB20" s="11">
        <v>130899.57</v>
      </c>
      <c r="ADC20" s="11">
        <v>224439.38</v>
      </c>
      <c r="ADD20" s="11">
        <v>57913.53</v>
      </c>
      <c r="ADE20" s="11">
        <v>148667.87</v>
      </c>
      <c r="ADF20" s="11">
        <v>196821</v>
      </c>
      <c r="ADG20" s="11">
        <v>499410.99</v>
      </c>
      <c r="ADH20" s="11">
        <v>339111.5</v>
      </c>
      <c r="ADI20" s="11">
        <v>263992.53000000003</v>
      </c>
      <c r="ADJ20" s="11">
        <v>107634.5</v>
      </c>
      <c r="ADK20" s="11">
        <v>442725.27</v>
      </c>
      <c r="ADL20" s="11">
        <v>164037.44</v>
      </c>
      <c r="ADM20" s="11">
        <v>101485.43</v>
      </c>
      <c r="ADN20" s="11">
        <v>119278.85</v>
      </c>
      <c r="ADO20" s="11">
        <v>173021.22</v>
      </c>
      <c r="ADP20" s="11">
        <v>3131000.63</v>
      </c>
      <c r="ADQ20" s="11">
        <v>507570.32</v>
      </c>
      <c r="ADR20" s="11">
        <v>856377.15</v>
      </c>
      <c r="ADS20" s="11">
        <v>144921.73000000001</v>
      </c>
      <c r="ADT20" s="11">
        <v>2402338.3199999998</v>
      </c>
      <c r="ADU20" s="11">
        <v>139554.48000000001</v>
      </c>
      <c r="ADV20" s="11">
        <v>164390.88</v>
      </c>
      <c r="ADW20" s="11">
        <v>401010.09</v>
      </c>
      <c r="ADX20" s="11">
        <v>132722.6</v>
      </c>
      <c r="ADY20" s="11">
        <v>97484.58</v>
      </c>
      <c r="ADZ20" s="11">
        <v>525825.89</v>
      </c>
      <c r="AEA20" s="11">
        <v>928650.58</v>
      </c>
      <c r="AEB20" s="11">
        <v>924308.62</v>
      </c>
      <c r="AEC20" s="11">
        <v>113401.31</v>
      </c>
      <c r="AED20" s="11">
        <v>431630.5</v>
      </c>
      <c r="AEE20" s="11">
        <v>478894.73</v>
      </c>
      <c r="AEF20" s="11">
        <v>65903.38</v>
      </c>
      <c r="AEG20" s="11">
        <v>111303.8</v>
      </c>
      <c r="AEH20" s="11">
        <v>208225.31</v>
      </c>
      <c r="AEI20" s="11">
        <v>104302.87</v>
      </c>
      <c r="AEJ20" s="11">
        <v>525150.39</v>
      </c>
      <c r="AEK20" s="11">
        <v>307928.8</v>
      </c>
      <c r="AEL20" s="11">
        <v>75889.84</v>
      </c>
      <c r="AEM20" s="11">
        <v>98189.17</v>
      </c>
      <c r="AEN20" s="11">
        <v>136268.87</v>
      </c>
      <c r="AEO20" s="11">
        <v>306996.09999999998</v>
      </c>
      <c r="AEP20" s="11">
        <v>151170.54999999999</v>
      </c>
      <c r="AEQ20" s="11">
        <v>296116</v>
      </c>
      <c r="AER20" s="11">
        <v>126607.85</v>
      </c>
      <c r="AES20" s="11">
        <v>1126451.8700000001</v>
      </c>
      <c r="AET20" s="11">
        <v>405617.5</v>
      </c>
      <c r="AEU20" s="11">
        <v>838662.67</v>
      </c>
      <c r="AEV20" s="11">
        <v>189153.25</v>
      </c>
      <c r="AEW20" s="11">
        <v>875170.01</v>
      </c>
      <c r="AEX20" s="11">
        <v>581190.78</v>
      </c>
      <c r="AEY20" s="11">
        <v>565269.92000000004</v>
      </c>
      <c r="AEZ20" s="11">
        <v>309588.21000000002</v>
      </c>
      <c r="AFA20" s="11">
        <v>112908.61</v>
      </c>
      <c r="AFB20" s="11">
        <v>177454.17</v>
      </c>
      <c r="AFC20" s="11">
        <v>28697.65</v>
      </c>
      <c r="AFD20" s="11">
        <v>362362.79</v>
      </c>
      <c r="AFE20" s="11">
        <v>429878.67</v>
      </c>
      <c r="AFF20" s="11">
        <v>614861.54</v>
      </c>
      <c r="AFG20" s="11">
        <v>524349</v>
      </c>
      <c r="AFH20" s="11">
        <v>698365.04</v>
      </c>
      <c r="AFI20" s="11">
        <v>883426.55</v>
      </c>
      <c r="AFJ20" s="11">
        <v>251110.88</v>
      </c>
      <c r="AFK20" s="11">
        <v>255450.65</v>
      </c>
      <c r="AFL20" s="11">
        <v>49306.15</v>
      </c>
      <c r="AFM20" s="11">
        <v>87130.98</v>
      </c>
      <c r="AFN20" s="11">
        <v>151291.9</v>
      </c>
      <c r="AFO20" s="11">
        <v>173530.43</v>
      </c>
      <c r="AFP20" s="11">
        <v>211976.65</v>
      </c>
      <c r="AFQ20" s="11">
        <v>1352736.1</v>
      </c>
      <c r="AFR20" s="11">
        <v>322625.27</v>
      </c>
      <c r="AFS20" s="11">
        <v>229526.58</v>
      </c>
      <c r="AFT20" s="11">
        <v>122337.69</v>
      </c>
      <c r="AFU20" s="11">
        <v>351949.35</v>
      </c>
      <c r="AFV20" s="11">
        <v>117876.7</v>
      </c>
      <c r="AFW20" s="11">
        <v>166770.66</v>
      </c>
      <c r="AFX20" s="11">
        <v>678175.86</v>
      </c>
      <c r="AFY20" s="11">
        <v>398114.41</v>
      </c>
      <c r="AFZ20" s="11">
        <v>54947.03</v>
      </c>
      <c r="AGA20" s="11">
        <v>173642.65</v>
      </c>
      <c r="AGB20" s="11">
        <v>300035.83</v>
      </c>
      <c r="AGC20" s="11">
        <v>4293419.34</v>
      </c>
      <c r="AGD20" s="11">
        <v>284142.8</v>
      </c>
      <c r="AGE20" s="11">
        <v>386127.88</v>
      </c>
      <c r="AGF20" s="11">
        <v>383920.9</v>
      </c>
      <c r="AGG20" s="11">
        <v>639420.02</v>
      </c>
      <c r="AGH20" s="11">
        <v>145044.03</v>
      </c>
      <c r="AGI20" s="11">
        <v>345564.56</v>
      </c>
      <c r="AGJ20" s="11">
        <v>67922.36</v>
      </c>
      <c r="AGK20" s="11">
        <v>295954.59000000003</v>
      </c>
      <c r="AGL20" s="11">
        <v>122413.84</v>
      </c>
      <c r="AGM20" s="11">
        <v>7300</v>
      </c>
      <c r="AGN20" s="11">
        <v>2166115.0099999998</v>
      </c>
      <c r="AGO20" s="11">
        <v>417580.73</v>
      </c>
      <c r="AGP20" s="11">
        <v>501852</v>
      </c>
      <c r="AGQ20" s="11">
        <v>111480.16</v>
      </c>
      <c r="AGR20" s="11">
        <v>74155.429999999993</v>
      </c>
      <c r="AGS20" s="11">
        <v>62535.77</v>
      </c>
      <c r="AGT20" s="11">
        <v>92252.56</v>
      </c>
      <c r="AGU20" s="11">
        <v>173368.47</v>
      </c>
      <c r="AGV20" s="11">
        <v>1127937.47</v>
      </c>
      <c r="AGW20" s="11">
        <v>859708.4</v>
      </c>
      <c r="AGX20" s="11">
        <v>247073.38</v>
      </c>
      <c r="AGY20" s="11">
        <v>250702.22</v>
      </c>
      <c r="AGZ20" s="11">
        <v>275152.7</v>
      </c>
      <c r="AHA20" s="11">
        <v>334946.15999999997</v>
      </c>
      <c r="AHB20" s="11">
        <v>403099.65</v>
      </c>
      <c r="AHC20" s="11">
        <v>218865.68</v>
      </c>
      <c r="AHD20" s="11">
        <v>32052.84</v>
      </c>
      <c r="AHE20" s="11">
        <v>278759.23</v>
      </c>
      <c r="AHF20" s="11">
        <v>141758.29</v>
      </c>
      <c r="AHG20" s="11">
        <v>165108.96</v>
      </c>
      <c r="AHH20" s="11">
        <v>311530.74</v>
      </c>
      <c r="AHI20" s="11">
        <v>131585.9</v>
      </c>
      <c r="AHJ20" s="11">
        <v>153943.79999999999</v>
      </c>
      <c r="AHK20" s="11">
        <v>384199.11</v>
      </c>
      <c r="AHL20" s="11">
        <v>128423.42</v>
      </c>
      <c r="AHM20" s="11">
        <v>1432160.73</v>
      </c>
      <c r="AHN20" s="11">
        <v>74349.88</v>
      </c>
      <c r="AHO20" s="11">
        <v>177347.96</v>
      </c>
      <c r="AHP20" s="11">
        <v>213194.11</v>
      </c>
      <c r="AHQ20" s="11">
        <v>604517.81000000006</v>
      </c>
      <c r="AHR20" s="11">
        <v>97548.36</v>
      </c>
      <c r="AHS20" s="11">
        <v>139595.29999999999</v>
      </c>
      <c r="AHT20" s="11">
        <v>359405475.8900001</v>
      </c>
      <c r="AHU20" s="11"/>
    </row>
    <row r="21" spans="2:905" x14ac:dyDescent="0.7">
      <c r="B21" s="6" t="s">
        <v>23</v>
      </c>
      <c r="C21" s="6" t="s">
        <v>24</v>
      </c>
      <c r="D21" s="11">
        <v>69210470.870000005</v>
      </c>
      <c r="E21" s="11">
        <v>8440550.4000000004</v>
      </c>
      <c r="F21" s="11">
        <v>6049218.9000000004</v>
      </c>
      <c r="G21" s="11">
        <v>1969934.1</v>
      </c>
      <c r="H21" s="11">
        <v>3704176.7</v>
      </c>
      <c r="I21" s="11">
        <v>2855576.86</v>
      </c>
      <c r="J21" s="11">
        <v>7455833.4199999999</v>
      </c>
      <c r="K21" s="11">
        <v>4663197.2</v>
      </c>
      <c r="L21" s="11">
        <v>6658318.25</v>
      </c>
      <c r="M21" s="11">
        <v>2705489.2</v>
      </c>
      <c r="N21" s="11">
        <v>2799858</v>
      </c>
      <c r="O21" s="11">
        <v>2253965.15</v>
      </c>
      <c r="P21" s="11">
        <v>3963548</v>
      </c>
      <c r="Q21" s="11">
        <v>2570857.2599999998</v>
      </c>
      <c r="R21" s="11">
        <v>971135.85</v>
      </c>
      <c r="S21" s="11">
        <v>6729085.3399999999</v>
      </c>
      <c r="T21" s="11">
        <v>1475362.6</v>
      </c>
      <c r="U21" s="11">
        <v>768368.1</v>
      </c>
      <c r="V21" s="11">
        <v>54058457.039999999</v>
      </c>
      <c r="W21" s="11">
        <v>4884829.28</v>
      </c>
      <c r="X21" s="11">
        <v>6119363.96</v>
      </c>
      <c r="Y21" s="11">
        <v>8503587.4000000004</v>
      </c>
      <c r="Z21" s="11">
        <v>3852827.19</v>
      </c>
      <c r="AA21" s="11">
        <v>3620888.1</v>
      </c>
      <c r="AB21" s="11">
        <v>1305634.2999999998</v>
      </c>
      <c r="AC21" s="11">
        <v>18377412.800000001</v>
      </c>
      <c r="AD21" s="11">
        <v>2621055.0699999998</v>
      </c>
      <c r="AE21" s="11">
        <v>2574727.19</v>
      </c>
      <c r="AF21" s="11">
        <v>33481055.690000001</v>
      </c>
      <c r="AG21" s="11">
        <v>1947110.26</v>
      </c>
      <c r="AH21" s="11">
        <v>13022726.060000001</v>
      </c>
      <c r="AI21" s="11">
        <v>8998832.3900000006</v>
      </c>
      <c r="AJ21" s="11">
        <v>3091857.99</v>
      </c>
      <c r="AK21" s="11">
        <v>2350932.0499999998</v>
      </c>
      <c r="AL21" s="11">
        <v>3927732.86</v>
      </c>
      <c r="AM21" s="11">
        <v>7902137.1200000001</v>
      </c>
      <c r="AN21" s="11">
        <v>2443457.29</v>
      </c>
      <c r="AO21" s="11">
        <v>5128878.04</v>
      </c>
      <c r="AP21" s="11">
        <v>2081489.45</v>
      </c>
      <c r="AQ21" s="11">
        <v>1449145.53</v>
      </c>
      <c r="AR21" s="11">
        <v>958239.11</v>
      </c>
      <c r="AS21" s="11">
        <v>732472.62</v>
      </c>
      <c r="AT21" s="11">
        <v>83938931.5</v>
      </c>
      <c r="AU21" s="11">
        <v>1126040.6000000001</v>
      </c>
      <c r="AV21" s="11">
        <v>1580805.69</v>
      </c>
      <c r="AW21" s="11">
        <v>4717835.1900000004</v>
      </c>
      <c r="AX21" s="11">
        <v>5419815.5</v>
      </c>
      <c r="AY21" s="11">
        <v>7746835.7999999998</v>
      </c>
      <c r="AZ21" s="11">
        <v>2061371.9</v>
      </c>
      <c r="BA21" s="11">
        <v>3272392.5</v>
      </c>
      <c r="BB21" s="11">
        <v>1289533.3500000001</v>
      </c>
      <c r="BC21" s="11">
        <v>1470419.85</v>
      </c>
      <c r="BD21" s="11">
        <v>833792.4</v>
      </c>
      <c r="BE21" s="11">
        <v>2057385.5</v>
      </c>
      <c r="BF21" s="11">
        <v>7181400.4299999997</v>
      </c>
      <c r="BG21" s="11">
        <v>578357.13</v>
      </c>
      <c r="BH21" s="11">
        <v>2031137.1</v>
      </c>
      <c r="BI21" s="11">
        <v>29408516.259999998</v>
      </c>
      <c r="BJ21" s="11">
        <v>28107634.800000001</v>
      </c>
      <c r="BK21" s="11">
        <v>2868135.17</v>
      </c>
      <c r="BL21" s="11">
        <v>1166561.3400000001</v>
      </c>
      <c r="BM21" s="11">
        <v>5557028.6600000001</v>
      </c>
      <c r="BN21" s="11">
        <v>3004000.19</v>
      </c>
      <c r="BO21" s="11">
        <v>3088401.16</v>
      </c>
      <c r="BP21" s="11">
        <v>1040122.5</v>
      </c>
      <c r="BQ21" s="11">
        <v>984055.62</v>
      </c>
      <c r="BR21" s="11">
        <v>45295416.159999996</v>
      </c>
      <c r="BS21" s="11">
        <v>1576524.09</v>
      </c>
      <c r="BT21" s="11">
        <v>2077399.95</v>
      </c>
      <c r="BU21" s="11">
        <v>2108663.9500000002</v>
      </c>
      <c r="BV21" s="11">
        <v>1688147.61</v>
      </c>
      <c r="BW21" s="11">
        <v>705891.43</v>
      </c>
      <c r="BX21" s="11">
        <v>2034663.24</v>
      </c>
      <c r="BY21" s="11">
        <v>1985741.5699999998</v>
      </c>
      <c r="BZ21" s="11">
        <v>13097759</v>
      </c>
      <c r="CA21" s="11">
        <v>3223282.55</v>
      </c>
      <c r="CB21" s="11">
        <v>5885132.2999999998</v>
      </c>
      <c r="CC21" s="11">
        <v>16087296.9</v>
      </c>
      <c r="CD21" s="11">
        <v>5734486</v>
      </c>
      <c r="CE21" s="11">
        <v>4188537.3</v>
      </c>
      <c r="CF21" s="11">
        <v>2867267.2</v>
      </c>
      <c r="CG21" s="11">
        <v>102306077.22</v>
      </c>
      <c r="CH21" s="11">
        <v>3046229.99</v>
      </c>
      <c r="CI21" s="11">
        <v>10552327.73</v>
      </c>
      <c r="CJ21" s="11">
        <v>1708515.73</v>
      </c>
      <c r="CK21" s="11">
        <v>2730301.67</v>
      </c>
      <c r="CL21" s="11">
        <v>2378885.2000000002</v>
      </c>
      <c r="CM21" s="11">
        <v>3230568.84</v>
      </c>
      <c r="CN21" s="11">
        <v>6791030.2199999997</v>
      </c>
      <c r="CO21" s="11">
        <v>1008382.97</v>
      </c>
      <c r="CP21" s="11">
        <v>2822918.59</v>
      </c>
      <c r="CQ21" s="11">
        <v>1736046.53</v>
      </c>
      <c r="CR21" s="11">
        <v>2933002.19</v>
      </c>
      <c r="CS21" s="11">
        <v>2045721.37</v>
      </c>
      <c r="CT21" s="11">
        <v>89525388.959999993</v>
      </c>
      <c r="CU21" s="11">
        <v>3073473.62</v>
      </c>
      <c r="CV21" s="11">
        <v>3396477.57</v>
      </c>
      <c r="CW21" s="11">
        <v>5983687.1399999997</v>
      </c>
      <c r="CX21" s="11">
        <v>1693090.2</v>
      </c>
      <c r="CY21" s="11">
        <v>4257098.21</v>
      </c>
      <c r="CZ21" s="11">
        <v>1800560.95</v>
      </c>
      <c r="DA21" s="11">
        <v>2016491.5</v>
      </c>
      <c r="DB21" s="11">
        <v>51893968.060000002</v>
      </c>
      <c r="DC21" s="11">
        <v>52252452.079999998</v>
      </c>
      <c r="DD21" s="11">
        <v>5152314.54</v>
      </c>
      <c r="DE21" s="11">
        <v>3390853.9</v>
      </c>
      <c r="DF21" s="11">
        <v>16583093</v>
      </c>
      <c r="DG21" s="11">
        <v>15821708.5</v>
      </c>
      <c r="DH21" s="11">
        <v>13545442.49</v>
      </c>
      <c r="DI21" s="11">
        <v>7232718.1999999993</v>
      </c>
      <c r="DJ21" s="11">
        <v>3659524.5</v>
      </c>
      <c r="DK21" s="11">
        <v>94523189.120000005</v>
      </c>
      <c r="DL21" s="11">
        <v>6252235.5499999998</v>
      </c>
      <c r="DM21" s="11">
        <v>6879090.5</v>
      </c>
      <c r="DN21" s="11">
        <v>5008447.3</v>
      </c>
      <c r="DO21" s="11">
        <v>9569468.3000000007</v>
      </c>
      <c r="DP21" s="11">
        <v>6737538.2999999998</v>
      </c>
      <c r="DQ21" s="11">
        <v>16410550.189999999</v>
      </c>
      <c r="DR21" s="11">
        <v>4138442.36</v>
      </c>
      <c r="DS21" s="11">
        <v>6365400.8200000003</v>
      </c>
      <c r="DT21" s="11">
        <v>56242865.049999997</v>
      </c>
      <c r="DU21" s="11">
        <v>6102437.1600000001</v>
      </c>
      <c r="DV21" s="11">
        <v>17147806.93</v>
      </c>
      <c r="DW21" s="11">
        <v>20296971.469999999</v>
      </c>
      <c r="DX21" s="11">
        <v>9452565.7100000009</v>
      </c>
      <c r="DY21" s="11">
        <v>11979969.59</v>
      </c>
      <c r="DZ21" s="11">
        <v>10210647.4</v>
      </c>
      <c r="EA21" s="11">
        <v>2089194.24</v>
      </c>
      <c r="EB21" s="11">
        <v>5986315</v>
      </c>
      <c r="EC21" s="11">
        <v>4722820.7300000004</v>
      </c>
      <c r="ED21" s="11">
        <v>8480746.8800000008</v>
      </c>
      <c r="EE21" s="11">
        <v>25446507.199999999</v>
      </c>
      <c r="EF21" s="11">
        <v>34857460.020000003</v>
      </c>
      <c r="EG21" s="11">
        <v>3915881</v>
      </c>
      <c r="EH21" s="11">
        <v>6703586</v>
      </c>
      <c r="EI21" s="11">
        <v>6496308</v>
      </c>
      <c r="EJ21" s="11">
        <v>5667386.5599999996</v>
      </c>
      <c r="EK21" s="11">
        <v>9553506.75</v>
      </c>
      <c r="EL21" s="11">
        <v>4227354.9000000004</v>
      </c>
      <c r="EM21" s="11">
        <v>5569317.1699999999</v>
      </c>
      <c r="EN21" s="11">
        <v>36109538.030000001</v>
      </c>
      <c r="EO21" s="11">
        <v>6214013.5</v>
      </c>
      <c r="EP21" s="11">
        <v>4454433.57</v>
      </c>
      <c r="EQ21" s="11">
        <v>5887474.4000000004</v>
      </c>
      <c r="ER21" s="11">
        <v>2553427.5499999998</v>
      </c>
      <c r="ES21" s="11">
        <v>2254988.15</v>
      </c>
      <c r="ET21" s="11">
        <v>7996218.7999999998</v>
      </c>
      <c r="EU21" s="11">
        <v>10974365.65</v>
      </c>
      <c r="EV21" s="11">
        <v>3579650.74</v>
      </c>
      <c r="EW21" s="11">
        <v>49596082.869999997</v>
      </c>
      <c r="EX21" s="11">
        <v>3876691</v>
      </c>
      <c r="EY21" s="11">
        <v>9043745.9000000004</v>
      </c>
      <c r="EZ21" s="11">
        <v>19731161.75</v>
      </c>
      <c r="FA21" s="11">
        <v>14335867</v>
      </c>
      <c r="FB21" s="11">
        <v>16253323</v>
      </c>
      <c r="FC21" s="11">
        <v>10637912.07</v>
      </c>
      <c r="FD21" s="11">
        <v>7217000</v>
      </c>
      <c r="FE21" s="11">
        <v>8338567</v>
      </c>
      <c r="FF21" s="11">
        <v>7225501</v>
      </c>
      <c r="FG21" s="11">
        <v>7158975.5999999996</v>
      </c>
      <c r="FH21" s="11">
        <v>5065693</v>
      </c>
      <c r="FI21" s="11">
        <v>39577591.950000003</v>
      </c>
      <c r="FJ21" s="11">
        <v>2030065.75</v>
      </c>
      <c r="FK21" s="11">
        <v>1586418.1</v>
      </c>
      <c r="FL21" s="11">
        <v>3325707.5</v>
      </c>
      <c r="FM21" s="11">
        <v>5838576.5999999996</v>
      </c>
      <c r="FN21" s="11">
        <v>4712533.45</v>
      </c>
      <c r="FO21" s="11">
        <v>1993025.57</v>
      </c>
      <c r="FP21" s="11">
        <v>1015346.82</v>
      </c>
      <c r="FQ21" s="11">
        <v>132936014.86</v>
      </c>
      <c r="FR21" s="11">
        <v>3960237.8</v>
      </c>
      <c r="FS21" s="11">
        <v>2444107.42</v>
      </c>
      <c r="FT21" s="11">
        <v>8049065.9000000004</v>
      </c>
      <c r="FU21" s="11">
        <v>7046150.0999999996</v>
      </c>
      <c r="FV21" s="11">
        <v>3013897.5</v>
      </c>
      <c r="FW21" s="11">
        <v>8581105.9499999993</v>
      </c>
      <c r="FX21" s="11">
        <v>2247375.8199999998</v>
      </c>
      <c r="FY21" s="11">
        <v>6307731.7599999998</v>
      </c>
      <c r="FZ21" s="11">
        <v>5437084</v>
      </c>
      <c r="GA21" s="11">
        <v>4201250.5999999996</v>
      </c>
      <c r="GB21" s="11">
        <v>3345332.1</v>
      </c>
      <c r="GC21" s="11">
        <v>7803009.6500000004</v>
      </c>
      <c r="GD21" s="11">
        <v>2090119.76</v>
      </c>
      <c r="GE21" s="11">
        <v>55075181.200000003</v>
      </c>
      <c r="GF21" s="11">
        <v>2400335.7400000002</v>
      </c>
      <c r="GG21" s="11">
        <v>2112842.85</v>
      </c>
      <c r="GH21" s="11">
        <v>6545645.2599999998</v>
      </c>
      <c r="GI21" s="11">
        <v>3518783.94</v>
      </c>
      <c r="GJ21" s="11">
        <v>2785832.45</v>
      </c>
      <c r="GK21" s="11">
        <v>2973565.4</v>
      </c>
      <c r="GL21" s="11">
        <v>7547654.6299999999</v>
      </c>
      <c r="GM21" s="11">
        <v>1575360.34</v>
      </c>
      <c r="GN21" s="11">
        <v>1478232.3</v>
      </c>
      <c r="GO21" s="11">
        <v>2143893.2000000002</v>
      </c>
      <c r="GP21" s="11">
        <v>1599259.6</v>
      </c>
      <c r="GQ21" s="11">
        <v>25422821.399999999</v>
      </c>
      <c r="GR21" s="11">
        <v>5661063.1299999999</v>
      </c>
      <c r="GS21" s="11">
        <v>2968353.7</v>
      </c>
      <c r="GT21" s="11">
        <v>7515706.3499999996</v>
      </c>
      <c r="GU21" s="11">
        <v>1730136</v>
      </c>
      <c r="GV21" s="11">
        <v>5282101.8</v>
      </c>
      <c r="GW21" s="11">
        <v>4664087.7</v>
      </c>
      <c r="GX21" s="11">
        <v>2125725.2999999998</v>
      </c>
      <c r="GY21" s="11">
        <v>11182067.4</v>
      </c>
      <c r="GZ21" s="11">
        <v>1108526.1000000001</v>
      </c>
      <c r="HA21" s="11">
        <v>3893441.3</v>
      </c>
      <c r="HB21" s="11">
        <v>3609272.6</v>
      </c>
      <c r="HC21" s="11">
        <v>129345856.16</v>
      </c>
      <c r="HD21" s="11">
        <v>3065291.63</v>
      </c>
      <c r="HE21" s="11">
        <v>9380867.5</v>
      </c>
      <c r="HF21" s="11">
        <v>8530056.5999999996</v>
      </c>
      <c r="HG21" s="11">
        <v>5956989.7300000004</v>
      </c>
      <c r="HH21" s="11">
        <v>7710817.2999999998</v>
      </c>
      <c r="HI21" s="11">
        <v>1407610.8799999999</v>
      </c>
      <c r="HJ21" s="11">
        <v>53129.9</v>
      </c>
      <c r="HK21" s="11">
        <v>53856971.600000001</v>
      </c>
      <c r="HL21" s="11">
        <v>8869333.9700000007</v>
      </c>
      <c r="HM21" s="11">
        <v>24191569.079999998</v>
      </c>
      <c r="HN21" s="11">
        <v>6894143.4500000002</v>
      </c>
      <c r="HO21" s="11">
        <v>2908510.55</v>
      </c>
      <c r="HP21" s="11">
        <v>2519924</v>
      </c>
      <c r="HQ21" s="11">
        <v>2786145.5</v>
      </c>
      <c r="HR21" s="11">
        <v>1093337.58</v>
      </c>
      <c r="HS21" s="11">
        <v>64058473.020000003</v>
      </c>
      <c r="HT21" s="11">
        <v>25648473.719999999</v>
      </c>
      <c r="HU21" s="11">
        <v>6827020</v>
      </c>
      <c r="HV21" s="11">
        <v>1552041.33</v>
      </c>
      <c r="HW21" s="11">
        <v>4330455.5</v>
      </c>
      <c r="HX21" s="11">
        <v>1917658</v>
      </c>
      <c r="HY21" s="11">
        <v>23675573.859999999</v>
      </c>
      <c r="HZ21" s="11">
        <v>4188020.73</v>
      </c>
      <c r="IA21" s="11">
        <v>3870101.41</v>
      </c>
      <c r="IB21" s="11">
        <v>3687169.84</v>
      </c>
      <c r="IC21" s="11">
        <v>3064792.6</v>
      </c>
      <c r="ID21" s="11">
        <v>6203144.9699999997</v>
      </c>
      <c r="IE21" s="11">
        <v>1411328.04</v>
      </c>
      <c r="IF21" s="11">
        <v>4486449.92</v>
      </c>
      <c r="IG21" s="11">
        <v>1621681.81</v>
      </c>
      <c r="IH21" s="11">
        <v>2596880.5</v>
      </c>
      <c r="II21" s="11">
        <v>81436552.180000007</v>
      </c>
      <c r="IJ21" s="11">
        <v>8390956.5999999996</v>
      </c>
      <c r="IK21" s="11">
        <v>9468430.7100000009</v>
      </c>
      <c r="IL21" s="11">
        <v>11621231.73</v>
      </c>
      <c r="IM21" s="11">
        <v>19992567</v>
      </c>
      <c r="IN21" s="11">
        <v>3810416.18</v>
      </c>
      <c r="IO21" s="11">
        <v>3364629</v>
      </c>
      <c r="IP21" s="11">
        <v>3467982</v>
      </c>
      <c r="IQ21" s="11">
        <v>3627818.7</v>
      </c>
      <c r="IR21" s="11">
        <v>3273389</v>
      </c>
      <c r="IS21" s="11">
        <v>5182218.0999999996</v>
      </c>
      <c r="IT21" s="11">
        <v>84116604.790000007</v>
      </c>
      <c r="IU21" s="11">
        <v>26550414</v>
      </c>
      <c r="IV21" s="11">
        <v>12752172.68</v>
      </c>
      <c r="IW21" s="11">
        <v>11251659</v>
      </c>
      <c r="IX21" s="11">
        <v>3167858</v>
      </c>
      <c r="IY21" s="11">
        <v>840564</v>
      </c>
      <c r="IZ21" s="11">
        <v>3373405.2</v>
      </c>
      <c r="JA21" s="11">
        <v>2047834.55</v>
      </c>
      <c r="JB21" s="11">
        <v>1474849.8</v>
      </c>
      <c r="JC21" s="11">
        <v>4921386.2</v>
      </c>
      <c r="JD21" s="11">
        <v>5620795.2000000002</v>
      </c>
      <c r="JE21" s="11">
        <v>1788080.48</v>
      </c>
      <c r="JF21" s="11">
        <v>35617075.729999997</v>
      </c>
      <c r="JG21" s="11">
        <v>6496233.8200000003</v>
      </c>
      <c r="JH21" s="11">
        <v>1992289.2</v>
      </c>
      <c r="JI21" s="11">
        <v>1562215</v>
      </c>
      <c r="JJ21" s="11">
        <v>1535924</v>
      </c>
      <c r="JK21" s="11">
        <v>1167399.7</v>
      </c>
      <c r="JL21" s="11">
        <v>31136487.829999998</v>
      </c>
      <c r="JM21" s="11">
        <v>2067724.8</v>
      </c>
      <c r="JN21" s="11">
        <v>2480128.98</v>
      </c>
      <c r="JO21" s="11">
        <v>33309005</v>
      </c>
      <c r="JP21" s="11">
        <v>3308491.9</v>
      </c>
      <c r="JQ21" s="11">
        <v>2986779.55</v>
      </c>
      <c r="JR21" s="11">
        <v>1963622</v>
      </c>
      <c r="JS21" s="11">
        <v>88100353.299999997</v>
      </c>
      <c r="JT21" s="11">
        <v>45172295.409999996</v>
      </c>
      <c r="JU21" s="11">
        <v>6825190.0999999996</v>
      </c>
      <c r="JV21" s="11">
        <v>2348014.6</v>
      </c>
      <c r="JW21" s="11">
        <v>5161030.75</v>
      </c>
      <c r="JX21" s="11">
        <v>2732467.9</v>
      </c>
      <c r="JY21" s="11">
        <v>10973778.109999999</v>
      </c>
      <c r="JZ21" s="11">
        <v>6641341.4299999997</v>
      </c>
      <c r="KA21" s="11">
        <v>2776126.41</v>
      </c>
      <c r="KB21" s="11">
        <v>5240985.6500000004</v>
      </c>
      <c r="KC21" s="11">
        <v>4303736.4000000004</v>
      </c>
      <c r="KD21" s="11">
        <v>7361740.6299999999</v>
      </c>
      <c r="KE21" s="11">
        <v>1733624.5</v>
      </c>
      <c r="KF21" s="11">
        <v>956545.5</v>
      </c>
      <c r="KG21" s="11">
        <v>4111701.3</v>
      </c>
      <c r="KH21" s="11">
        <v>2186115.5</v>
      </c>
      <c r="KI21" s="11">
        <v>59207303.390000001</v>
      </c>
      <c r="KJ21" s="11">
        <v>8860694.3000000007</v>
      </c>
      <c r="KK21" s="11">
        <v>5719320.8499999996</v>
      </c>
      <c r="KL21" s="11">
        <v>2769426.04</v>
      </c>
      <c r="KM21" s="11">
        <v>4931124.38</v>
      </c>
      <c r="KN21" s="11">
        <v>3611470.2</v>
      </c>
      <c r="KO21" s="11">
        <v>13625504.550000001</v>
      </c>
      <c r="KP21" s="11">
        <v>3593268.67</v>
      </c>
      <c r="KQ21" s="11">
        <v>8188866.0199999996</v>
      </c>
      <c r="KR21" s="11">
        <v>35516901.909999996</v>
      </c>
      <c r="KS21" s="11">
        <v>3022752.4</v>
      </c>
      <c r="KT21" s="11">
        <v>3142970.38</v>
      </c>
      <c r="KU21" s="11">
        <v>18260012.949999999</v>
      </c>
      <c r="KV21" s="11">
        <v>2904522.62</v>
      </c>
      <c r="KW21" s="11">
        <v>6247936</v>
      </c>
      <c r="KX21" s="11">
        <v>60774548.119999997</v>
      </c>
      <c r="KY21" s="11">
        <v>5138387.0999999996</v>
      </c>
      <c r="KZ21" s="11">
        <v>59344852.909999996</v>
      </c>
      <c r="LA21" s="11">
        <v>7851247.5999999996</v>
      </c>
      <c r="LB21" s="11">
        <v>4221752.22</v>
      </c>
      <c r="LC21" s="11">
        <v>10033892.6</v>
      </c>
      <c r="LD21" s="11">
        <v>21371268.199999999</v>
      </c>
      <c r="LE21" s="11">
        <v>7852980.7999999998</v>
      </c>
      <c r="LF21" s="11">
        <v>5533707.2400000002</v>
      </c>
      <c r="LG21" s="11">
        <v>6279521.6699999999</v>
      </c>
      <c r="LH21" s="11">
        <v>115603657.11</v>
      </c>
      <c r="LI21" s="11">
        <v>7454543.8499999996</v>
      </c>
      <c r="LJ21" s="11">
        <v>18706718.100000001</v>
      </c>
      <c r="LK21" s="11">
        <v>6719003.1799999997</v>
      </c>
      <c r="LL21" s="11">
        <v>4913365.58</v>
      </c>
      <c r="LM21" s="11">
        <v>3537207</v>
      </c>
      <c r="LN21" s="11">
        <v>1826808</v>
      </c>
      <c r="LO21" s="11">
        <v>9900115.1199999992</v>
      </c>
      <c r="LP21" s="11">
        <v>1659715</v>
      </c>
      <c r="LQ21" s="11">
        <v>7868007.8700000001</v>
      </c>
      <c r="LR21" s="11">
        <v>1632209.1</v>
      </c>
      <c r="LS21" s="11">
        <v>31102480.18</v>
      </c>
      <c r="LT21" s="11">
        <v>1961455.24</v>
      </c>
      <c r="LU21" s="11">
        <v>1306182.1100000001</v>
      </c>
      <c r="LV21" s="11">
        <v>37060106.119999997</v>
      </c>
      <c r="LW21" s="11">
        <v>63106594.020000003</v>
      </c>
      <c r="LX21" s="11">
        <v>85999830.510000005</v>
      </c>
      <c r="LY21" s="11">
        <v>7903998.75</v>
      </c>
      <c r="LZ21" s="11">
        <v>7540222.04</v>
      </c>
      <c r="MA21" s="11">
        <v>16144024.300000001</v>
      </c>
      <c r="MB21" s="11">
        <v>3241789</v>
      </c>
      <c r="MC21" s="11">
        <v>5456457.0899999999</v>
      </c>
      <c r="MD21" s="11">
        <v>6295605.4199999999</v>
      </c>
      <c r="ME21" s="11">
        <v>3726224.54</v>
      </c>
      <c r="MF21" s="11">
        <v>7709565.6699999999</v>
      </c>
      <c r="MG21" s="11">
        <v>2439020.6</v>
      </c>
      <c r="MH21" s="11">
        <v>234423644.37</v>
      </c>
      <c r="MI21" s="11">
        <v>5630831.2599999998</v>
      </c>
      <c r="MJ21" s="11">
        <v>988203.5</v>
      </c>
      <c r="MK21" s="11">
        <v>3501919.86</v>
      </c>
      <c r="ML21" s="11">
        <v>971955.25</v>
      </c>
      <c r="MM21" s="11">
        <v>5272193.67</v>
      </c>
      <c r="MN21" s="11">
        <v>4307784.0599999996</v>
      </c>
      <c r="MO21" s="11">
        <v>2070551.95</v>
      </c>
      <c r="MP21" s="11">
        <v>7409876.7000000002</v>
      </c>
      <c r="MQ21" s="11">
        <v>3567475.6</v>
      </c>
      <c r="MR21" s="11">
        <v>2552269.84</v>
      </c>
      <c r="MS21" s="11">
        <v>4242650.79</v>
      </c>
      <c r="MT21" s="11">
        <v>89043952.780000001</v>
      </c>
      <c r="MU21" s="11">
        <v>4881835</v>
      </c>
      <c r="MV21" s="11">
        <v>4895958.75</v>
      </c>
      <c r="MW21" s="11">
        <v>5878321</v>
      </c>
      <c r="MX21" s="11">
        <v>4774643.5199999996</v>
      </c>
      <c r="MY21" s="11">
        <v>2442918.84</v>
      </c>
      <c r="MZ21" s="11">
        <v>3380371</v>
      </c>
      <c r="NA21" s="11">
        <v>2140012.75</v>
      </c>
      <c r="NB21" s="11">
        <v>3791145.2</v>
      </c>
      <c r="NC21" s="11">
        <v>1618333.35</v>
      </c>
      <c r="ND21" s="11">
        <v>1853991.5</v>
      </c>
      <c r="NE21" s="11">
        <v>156426952.43000001</v>
      </c>
      <c r="NF21" s="11">
        <v>13156985.960000001</v>
      </c>
      <c r="NG21" s="11">
        <v>2786419</v>
      </c>
      <c r="NH21" s="11">
        <v>12890894.710000001</v>
      </c>
      <c r="NI21" s="11">
        <v>2398177.1800000002</v>
      </c>
      <c r="NJ21" s="11">
        <v>2986569.6</v>
      </c>
      <c r="NK21" s="11">
        <v>16011523.1</v>
      </c>
      <c r="NL21" s="11">
        <v>13737706.42</v>
      </c>
      <c r="NM21" s="11">
        <v>482157</v>
      </c>
      <c r="NN21" s="11">
        <v>6842712.3899999997</v>
      </c>
      <c r="NO21" s="11">
        <v>4405819</v>
      </c>
      <c r="NP21" s="11">
        <v>3249015.5</v>
      </c>
      <c r="NQ21" s="11">
        <v>66172304.359999999</v>
      </c>
      <c r="NR21" s="11">
        <v>3970576.26</v>
      </c>
      <c r="NS21" s="11">
        <v>3130816.99</v>
      </c>
      <c r="NT21" s="11">
        <v>2695377</v>
      </c>
      <c r="NU21" s="11">
        <v>1680793.95</v>
      </c>
      <c r="NV21" s="11">
        <v>348967</v>
      </c>
      <c r="NW21" s="11">
        <v>1337221.3999999999</v>
      </c>
      <c r="NX21" s="11">
        <v>118249611.16</v>
      </c>
      <c r="NY21" s="11">
        <v>53131588</v>
      </c>
      <c r="NZ21" s="11">
        <v>3229457.76</v>
      </c>
      <c r="OA21" s="11">
        <v>4131807</v>
      </c>
      <c r="OB21" s="11">
        <v>5774665.5</v>
      </c>
      <c r="OC21" s="11">
        <v>6612886.3600000003</v>
      </c>
      <c r="OD21" s="11">
        <v>2516694</v>
      </c>
      <c r="OE21" s="11">
        <v>134416639.63</v>
      </c>
      <c r="OF21" s="11">
        <v>9952250.7599999998</v>
      </c>
      <c r="OG21" s="11">
        <v>3205108.76</v>
      </c>
      <c r="OH21" s="11">
        <v>13933446.92</v>
      </c>
      <c r="OI21" s="11">
        <v>3875342</v>
      </c>
      <c r="OJ21" s="11">
        <v>3933644.9</v>
      </c>
      <c r="OK21" s="11">
        <v>5827823.5</v>
      </c>
      <c r="OL21" s="11">
        <v>1220232.8700000001</v>
      </c>
      <c r="OM21" s="11">
        <v>10817069.77</v>
      </c>
      <c r="ON21" s="11">
        <v>97434535.109999999</v>
      </c>
      <c r="OO21" s="11">
        <v>10102623.890000001</v>
      </c>
      <c r="OP21" s="11">
        <v>18149884.260000002</v>
      </c>
      <c r="OQ21" s="11">
        <v>8168603.5199999996</v>
      </c>
      <c r="OR21" s="11">
        <v>18877763.359999999</v>
      </c>
      <c r="OS21" s="11">
        <v>2274855.9500000002</v>
      </c>
      <c r="OT21" s="11">
        <v>52685103.529999994</v>
      </c>
      <c r="OU21" s="11">
        <v>1845269.2</v>
      </c>
      <c r="OV21" s="11">
        <v>804684.73</v>
      </c>
      <c r="OW21" s="11">
        <v>5033288.08</v>
      </c>
      <c r="OX21" s="11">
        <v>5481582.6300000008</v>
      </c>
      <c r="OY21" s="11">
        <v>39983759.909999996</v>
      </c>
      <c r="OZ21" s="11">
        <v>3137225.34</v>
      </c>
      <c r="PA21" s="11">
        <v>1252779.95</v>
      </c>
      <c r="PB21" s="11">
        <v>2402842.1800000002</v>
      </c>
      <c r="PC21" s="11">
        <v>115564129.92</v>
      </c>
      <c r="PD21" s="11">
        <v>4556863.3499999996</v>
      </c>
      <c r="PE21" s="11">
        <v>6292322.8499999996</v>
      </c>
      <c r="PF21" s="11">
        <v>3729525.23</v>
      </c>
      <c r="PG21" s="11">
        <v>7544212.2000000002</v>
      </c>
      <c r="PH21" s="11">
        <v>11350203.619999999</v>
      </c>
      <c r="PI21" s="11">
        <v>5685513.6399999997</v>
      </c>
      <c r="PJ21" s="11">
        <v>7468812.6399999997</v>
      </c>
      <c r="PK21" s="11">
        <v>7039132.3499999996</v>
      </c>
      <c r="PL21" s="11">
        <v>7074097</v>
      </c>
      <c r="PM21" s="11">
        <v>11232169</v>
      </c>
      <c r="PN21" s="11">
        <v>13588136.390000001</v>
      </c>
      <c r="PO21" s="11">
        <v>4176271</v>
      </c>
      <c r="PP21" s="11">
        <v>12304468.970000001</v>
      </c>
      <c r="PQ21" s="11">
        <v>5238065.55</v>
      </c>
      <c r="PR21" s="11">
        <v>2918003.99</v>
      </c>
      <c r="PS21" s="11">
        <v>1283540</v>
      </c>
      <c r="PT21" s="11">
        <v>3246134</v>
      </c>
      <c r="PU21" s="11">
        <v>243930381.97</v>
      </c>
      <c r="PV21" s="11">
        <v>1499656.9</v>
      </c>
      <c r="PW21" s="11">
        <v>3367787.66</v>
      </c>
      <c r="PX21" s="11">
        <v>12503124</v>
      </c>
      <c r="PY21" s="11">
        <v>61396792.109999999</v>
      </c>
      <c r="PZ21" s="11">
        <v>3821908.4</v>
      </c>
      <c r="QA21" s="11">
        <v>9252462.5800000001</v>
      </c>
      <c r="QB21" s="11">
        <v>3280335.17</v>
      </c>
      <c r="QC21" s="11">
        <v>9102096.0800000001</v>
      </c>
      <c r="QD21" s="11">
        <v>2419509.31</v>
      </c>
      <c r="QE21" s="11">
        <v>19065186.879999999</v>
      </c>
      <c r="QF21" s="11">
        <v>2768269.5</v>
      </c>
      <c r="QG21" s="11">
        <v>3402622.4</v>
      </c>
      <c r="QH21" s="11">
        <v>4406056.33</v>
      </c>
      <c r="QI21" s="11">
        <v>5029765.25</v>
      </c>
      <c r="QJ21" s="11">
        <v>4574770.68</v>
      </c>
      <c r="QK21" s="11">
        <v>4177160.2</v>
      </c>
      <c r="QL21" s="11">
        <v>2556189.6</v>
      </c>
      <c r="QM21" s="11">
        <v>1377374.09</v>
      </c>
      <c r="QN21" s="11">
        <v>11647602.800000001</v>
      </c>
      <c r="QO21" s="11">
        <v>13218386.199999999</v>
      </c>
      <c r="QP21" s="11">
        <v>1805101.5</v>
      </c>
      <c r="QQ21" s="11">
        <v>1310102.75</v>
      </c>
      <c r="QR21" s="11">
        <v>1798266.89</v>
      </c>
      <c r="QS21" s="11">
        <v>792236</v>
      </c>
      <c r="QT21" s="11">
        <v>1026568.77</v>
      </c>
      <c r="QU21" s="11">
        <v>116239037.19</v>
      </c>
      <c r="QV21" s="11">
        <v>1924087.8</v>
      </c>
      <c r="QW21" s="11">
        <v>11318985.630000001</v>
      </c>
      <c r="QX21" s="11">
        <v>3605272.7</v>
      </c>
      <c r="QY21" s="11">
        <v>5615799.5</v>
      </c>
      <c r="QZ21" s="11">
        <v>10094736.5</v>
      </c>
      <c r="RA21" s="11">
        <v>8753604.5099999998</v>
      </c>
      <c r="RB21" s="11">
        <v>6987351.5</v>
      </c>
      <c r="RC21" s="11">
        <v>11262686</v>
      </c>
      <c r="RD21" s="11">
        <v>3087718.2</v>
      </c>
      <c r="RE21" s="11">
        <v>5231165.12</v>
      </c>
      <c r="RF21" s="11">
        <v>2989608.5</v>
      </c>
      <c r="RG21" s="11">
        <v>2832012.6</v>
      </c>
      <c r="RH21" s="11">
        <v>121042373.90000001</v>
      </c>
      <c r="RI21" s="11">
        <v>31907885.109999999</v>
      </c>
      <c r="RJ21" s="11">
        <v>6995838.25</v>
      </c>
      <c r="RK21" s="11">
        <v>6582886.7599999998</v>
      </c>
      <c r="RL21" s="11">
        <v>6430334.7699999996</v>
      </c>
      <c r="RM21" s="11">
        <v>7118056.7300000004</v>
      </c>
      <c r="RN21" s="11">
        <v>14332201</v>
      </c>
      <c r="RO21" s="11">
        <v>4741363</v>
      </c>
      <c r="RP21" s="11">
        <v>4266957.7699999996</v>
      </c>
      <c r="RQ21" s="11">
        <v>12924911.1</v>
      </c>
      <c r="RR21" s="11">
        <v>40024526.43</v>
      </c>
      <c r="RS21" s="11">
        <v>1731205.52</v>
      </c>
      <c r="RT21" s="11">
        <v>2232216.5</v>
      </c>
      <c r="RU21" s="11">
        <v>5969903.0800000001</v>
      </c>
      <c r="RV21" s="11">
        <v>4630146.4000000004</v>
      </c>
      <c r="RW21" s="11">
        <v>2804110.25</v>
      </c>
      <c r="RX21" s="11">
        <v>4925285</v>
      </c>
      <c r="RY21" s="11">
        <v>2637354.25</v>
      </c>
      <c r="RZ21" s="11">
        <v>2158596.5</v>
      </c>
      <c r="SA21" s="11">
        <v>2383431.2799999998</v>
      </c>
      <c r="SB21" s="11">
        <v>38294162.909999996</v>
      </c>
      <c r="SC21" s="11">
        <v>2625905.1</v>
      </c>
      <c r="SD21" s="11">
        <v>6088396.5</v>
      </c>
      <c r="SE21" s="11">
        <v>5883676.5</v>
      </c>
      <c r="SF21" s="11">
        <v>2516102</v>
      </c>
      <c r="SG21" s="11">
        <v>5409870.5</v>
      </c>
      <c r="SH21" s="11">
        <v>4813658.5</v>
      </c>
      <c r="SI21" s="11">
        <v>5163541.95</v>
      </c>
      <c r="SJ21" s="11">
        <v>5790386.7000000002</v>
      </c>
      <c r="SK21" s="11">
        <v>6716384.2999999998</v>
      </c>
      <c r="SL21" s="11">
        <v>12151019</v>
      </c>
      <c r="SM21" s="11">
        <v>2213540.9</v>
      </c>
      <c r="SN21" s="11">
        <v>68737851.260000005</v>
      </c>
      <c r="SO21" s="11">
        <v>4386238.25</v>
      </c>
      <c r="SP21" s="11">
        <v>5692638.2999999998</v>
      </c>
      <c r="SQ21" s="11">
        <v>5717068.2000000002</v>
      </c>
      <c r="SR21" s="11">
        <v>4180403.84</v>
      </c>
      <c r="SS21" s="11">
        <v>2471552.9</v>
      </c>
      <c r="ST21" s="11">
        <v>4038820</v>
      </c>
      <c r="SU21" s="11">
        <v>1479516.2</v>
      </c>
      <c r="SV21" s="11">
        <v>27326012.75</v>
      </c>
      <c r="SW21" s="11">
        <v>3222633.8</v>
      </c>
      <c r="SX21" s="11">
        <v>7055137.7999999998</v>
      </c>
      <c r="SY21" s="11">
        <v>5803119.2000000002</v>
      </c>
      <c r="SZ21" s="11">
        <v>3530175.8</v>
      </c>
      <c r="TA21" s="11">
        <v>2478240</v>
      </c>
      <c r="TB21" s="11">
        <v>5417315</v>
      </c>
      <c r="TC21" s="11">
        <v>17341739.5</v>
      </c>
      <c r="TD21" s="11">
        <v>1871741</v>
      </c>
      <c r="TE21" s="11">
        <v>3746945.13</v>
      </c>
      <c r="TF21" s="11">
        <v>7378213</v>
      </c>
      <c r="TG21" s="11">
        <v>3105133.8</v>
      </c>
      <c r="TH21" s="11">
        <v>3511807.65</v>
      </c>
      <c r="TI21" s="11">
        <v>2104946.1</v>
      </c>
      <c r="TJ21" s="11">
        <v>45032893.649999999</v>
      </c>
      <c r="TK21" s="11">
        <v>4339934.7</v>
      </c>
      <c r="TL21" s="11">
        <v>2099644.5</v>
      </c>
      <c r="TM21" s="11">
        <v>5956914.1900000004</v>
      </c>
      <c r="TN21" s="11">
        <v>7482971.6500000004</v>
      </c>
      <c r="TO21" s="11">
        <v>4077226.79</v>
      </c>
      <c r="TP21" s="11">
        <v>1372473.9</v>
      </c>
      <c r="TQ21" s="11">
        <v>43648236.710000001</v>
      </c>
      <c r="TR21" s="11">
        <v>4173256.51</v>
      </c>
      <c r="TS21" s="11">
        <v>6013942</v>
      </c>
      <c r="TT21" s="11">
        <v>6228753.7000000002</v>
      </c>
      <c r="TU21" s="11">
        <v>4007933</v>
      </c>
      <c r="TV21" s="11">
        <v>3027598.25</v>
      </c>
      <c r="TW21" s="11">
        <v>4852781.59</v>
      </c>
      <c r="TX21" s="11">
        <v>4814672.75</v>
      </c>
      <c r="TY21" s="11">
        <v>3446974.4</v>
      </c>
      <c r="TZ21" s="11">
        <v>42536153.75</v>
      </c>
      <c r="UA21" s="11">
        <v>3814373.06</v>
      </c>
      <c r="UB21" s="11">
        <v>97320846.400000006</v>
      </c>
      <c r="UC21" s="11">
        <v>7982543.6699999999</v>
      </c>
      <c r="UD21" s="11">
        <v>3197207.25</v>
      </c>
      <c r="UE21" s="11">
        <v>3995300.8</v>
      </c>
      <c r="UF21" s="11">
        <v>15286440.630000001</v>
      </c>
      <c r="UG21" s="11">
        <v>2879336.98</v>
      </c>
      <c r="UH21" s="11">
        <v>1654494.49</v>
      </c>
      <c r="UI21" s="11">
        <v>2972570.9</v>
      </c>
      <c r="UJ21" s="11">
        <v>3434884.4</v>
      </c>
      <c r="UK21" s="11">
        <v>44416801.009999998</v>
      </c>
      <c r="UL21" s="11">
        <v>15158358.689999999</v>
      </c>
      <c r="UM21" s="11">
        <v>4578149.72</v>
      </c>
      <c r="UN21" s="11">
        <v>5623169.7999999998</v>
      </c>
      <c r="UO21" s="11">
        <v>3857350.6</v>
      </c>
      <c r="UP21" s="11">
        <v>7254773.0199999996</v>
      </c>
      <c r="UQ21" s="11">
        <v>112227983.76000001</v>
      </c>
      <c r="UR21" s="11">
        <v>6753867</v>
      </c>
      <c r="US21" s="11">
        <v>5179099.5</v>
      </c>
      <c r="UT21" s="11">
        <v>47934291.159999996</v>
      </c>
      <c r="UU21" s="11">
        <v>223741.4</v>
      </c>
      <c r="UV21" s="11">
        <v>4687145.33</v>
      </c>
      <c r="UW21" s="11">
        <v>13909562.939999999</v>
      </c>
      <c r="UX21" s="11">
        <v>4739424.2</v>
      </c>
      <c r="UY21" s="11">
        <v>4847343</v>
      </c>
      <c r="UZ21" s="11">
        <v>6486717.2300000004</v>
      </c>
      <c r="VA21" s="11">
        <v>10134128</v>
      </c>
      <c r="VB21" s="11">
        <v>14202845.5</v>
      </c>
      <c r="VC21" s="11">
        <v>4230915.9000000004</v>
      </c>
      <c r="VD21" s="11">
        <v>4291037.38</v>
      </c>
      <c r="VE21" s="11">
        <v>1918972.1</v>
      </c>
      <c r="VF21" s="11">
        <v>3271428.02</v>
      </c>
      <c r="VG21" s="11">
        <v>3426121.5</v>
      </c>
      <c r="VH21" s="11">
        <v>3098834.32</v>
      </c>
      <c r="VI21" s="11">
        <v>18857724.739999998</v>
      </c>
      <c r="VJ21" s="11">
        <v>2026755.4</v>
      </c>
      <c r="VK21" s="11">
        <v>2709653.21</v>
      </c>
      <c r="VL21" s="11">
        <v>1630171</v>
      </c>
      <c r="VM21" s="11">
        <v>45487066</v>
      </c>
      <c r="VN21" s="11">
        <v>4714124</v>
      </c>
      <c r="VO21" s="11">
        <v>5832928.5599999996</v>
      </c>
      <c r="VP21" s="11">
        <v>6233301.5</v>
      </c>
      <c r="VQ21" s="11">
        <v>14322141.82</v>
      </c>
      <c r="VR21" s="11">
        <v>8916562.6999999993</v>
      </c>
      <c r="VS21" s="11">
        <v>4440521.5999999996</v>
      </c>
      <c r="VT21" s="11">
        <v>4269116.5999999996</v>
      </c>
      <c r="VU21" s="11">
        <v>6910393</v>
      </c>
      <c r="VV21" s="11">
        <v>38779433.600000001</v>
      </c>
      <c r="VW21" s="11">
        <v>6132955.7000000002</v>
      </c>
      <c r="VX21" s="11">
        <v>16911538</v>
      </c>
      <c r="VY21" s="11">
        <v>6446340.8099999996</v>
      </c>
      <c r="VZ21" s="11">
        <v>4458461</v>
      </c>
      <c r="WA21" s="11">
        <v>2653974</v>
      </c>
      <c r="WB21" s="11">
        <v>522797770.35000002</v>
      </c>
      <c r="WC21" s="11">
        <v>22495019.370000001</v>
      </c>
      <c r="WD21" s="11">
        <v>5878222.6600000001</v>
      </c>
      <c r="WE21" s="11">
        <v>4843528.5999999996</v>
      </c>
      <c r="WF21" s="11">
        <v>2887828.5</v>
      </c>
      <c r="WG21" s="11">
        <v>6160688.7000000002</v>
      </c>
      <c r="WH21" s="11">
        <v>9001602.0999999996</v>
      </c>
      <c r="WI21" s="11">
        <v>11168134.199999999</v>
      </c>
      <c r="WJ21" s="11">
        <v>5328333.75</v>
      </c>
      <c r="WK21" s="11">
        <v>7884019.9500000002</v>
      </c>
      <c r="WL21" s="11">
        <v>3455859.06</v>
      </c>
      <c r="WM21" s="11">
        <v>48071570.100000001</v>
      </c>
      <c r="WN21" s="11">
        <v>8234882.75</v>
      </c>
      <c r="WO21" s="11">
        <v>7199147.5999999996</v>
      </c>
      <c r="WP21" s="11">
        <v>22625649.75</v>
      </c>
      <c r="WQ21" s="11">
        <v>5036463</v>
      </c>
      <c r="WR21" s="11">
        <v>5651139.7999999998</v>
      </c>
      <c r="WS21" s="11">
        <v>4009122.11</v>
      </c>
      <c r="WT21" s="11">
        <v>3954686.2</v>
      </c>
      <c r="WU21" s="11">
        <v>12415328.1</v>
      </c>
      <c r="WV21" s="11">
        <v>50215275.549999997</v>
      </c>
      <c r="WW21" s="11">
        <v>4305173.3499999996</v>
      </c>
      <c r="WX21" s="11">
        <v>2961328.88</v>
      </c>
      <c r="WY21" s="11">
        <v>1860536</v>
      </c>
      <c r="WZ21" s="11">
        <v>3037170.46</v>
      </c>
      <c r="XA21" s="11">
        <v>3472072.04</v>
      </c>
      <c r="XB21" s="11">
        <v>2540704.15</v>
      </c>
      <c r="XC21" s="11">
        <v>1874530.03</v>
      </c>
      <c r="XD21" s="11">
        <v>43474003.049999997</v>
      </c>
      <c r="XE21" s="11">
        <v>2366115.4</v>
      </c>
      <c r="XF21" s="11">
        <v>2029487.4</v>
      </c>
      <c r="XG21" s="11">
        <v>1344499.55</v>
      </c>
      <c r="XH21" s="11">
        <v>1840165.3</v>
      </c>
      <c r="XI21" s="11">
        <v>131137762.14</v>
      </c>
      <c r="XJ21" s="11">
        <v>8934647.5399999991</v>
      </c>
      <c r="XK21" s="11">
        <v>6417238.9900000002</v>
      </c>
      <c r="XL21" s="11">
        <v>57811848.899999999</v>
      </c>
      <c r="XM21" s="11">
        <v>5097980.05</v>
      </c>
      <c r="XN21" s="11">
        <v>9510193.6999999993</v>
      </c>
      <c r="XO21" s="11">
        <v>11394504.460000001</v>
      </c>
      <c r="XP21" s="11">
        <v>4211272.5</v>
      </c>
      <c r="XQ21" s="11">
        <v>6089969.8200000003</v>
      </c>
      <c r="XR21" s="11">
        <v>29858346.449999999</v>
      </c>
      <c r="XS21" s="11">
        <v>32716473.199999999</v>
      </c>
      <c r="XT21" s="11">
        <v>3002853.9</v>
      </c>
      <c r="XU21" s="11">
        <v>4330820.5999999996</v>
      </c>
      <c r="XV21" s="11">
        <v>4362817.2</v>
      </c>
      <c r="XW21" s="11">
        <v>3662800</v>
      </c>
      <c r="XX21" s="11">
        <v>2641207</v>
      </c>
      <c r="XY21" s="11">
        <v>3143728.7</v>
      </c>
      <c r="XZ21" s="11">
        <v>3137367.15</v>
      </c>
      <c r="YA21" s="11">
        <v>2982456.3</v>
      </c>
      <c r="YB21" s="11">
        <v>2537750.7999999998</v>
      </c>
      <c r="YC21" s="11">
        <v>3173612.8</v>
      </c>
      <c r="YD21" s="11">
        <v>2614766.6</v>
      </c>
      <c r="YE21" s="11">
        <v>4951975.5999999996</v>
      </c>
      <c r="YF21" s="11">
        <v>76745614.510000005</v>
      </c>
      <c r="YG21" s="11">
        <v>5841514.9199999999</v>
      </c>
      <c r="YH21" s="11">
        <v>8439375.0299999993</v>
      </c>
      <c r="YI21" s="11">
        <v>3731303.2</v>
      </c>
      <c r="YJ21" s="11">
        <v>35216163.32</v>
      </c>
      <c r="YK21" s="11">
        <v>3683022</v>
      </c>
      <c r="YL21" s="11">
        <v>8504378.8000000007</v>
      </c>
      <c r="YM21" s="11">
        <v>3289976.25</v>
      </c>
      <c r="YN21" s="11">
        <v>65336075.82</v>
      </c>
      <c r="YO21" s="11">
        <v>11738623.050000001</v>
      </c>
      <c r="YP21" s="11">
        <v>5041542.21</v>
      </c>
      <c r="YQ21" s="11">
        <v>3373053</v>
      </c>
      <c r="YR21" s="11">
        <v>2951650.5</v>
      </c>
      <c r="YS21" s="11">
        <v>2175920.4</v>
      </c>
      <c r="YT21" s="11">
        <v>3482360.85</v>
      </c>
      <c r="YU21" s="11">
        <v>5741936</v>
      </c>
      <c r="YV21" s="11">
        <v>2791275.4</v>
      </c>
      <c r="YW21" s="11">
        <v>59061252.990000002</v>
      </c>
      <c r="YX21" s="11">
        <v>3466405.58</v>
      </c>
      <c r="YY21" s="11">
        <v>2243063.7000000002</v>
      </c>
      <c r="YZ21" s="11">
        <v>2650305.92</v>
      </c>
      <c r="ZA21" s="11">
        <v>6126785</v>
      </c>
      <c r="ZB21" s="11">
        <v>2404959.5099999998</v>
      </c>
      <c r="ZC21" s="11">
        <v>4946895</v>
      </c>
      <c r="ZD21" s="11">
        <v>66393618.82</v>
      </c>
      <c r="ZE21" s="11">
        <v>3280948.15</v>
      </c>
      <c r="ZF21" s="11">
        <v>4848332.9000000004</v>
      </c>
      <c r="ZG21" s="11">
        <v>3931442.08</v>
      </c>
      <c r="ZH21" s="11">
        <v>3758593.67</v>
      </c>
      <c r="ZI21" s="11">
        <v>4220150</v>
      </c>
      <c r="ZJ21" s="11">
        <v>4571523.5</v>
      </c>
      <c r="ZK21" s="11">
        <v>2582758.25</v>
      </c>
      <c r="ZL21" s="11">
        <v>9481161.5</v>
      </c>
      <c r="ZM21" s="11">
        <v>90442629.340000004</v>
      </c>
      <c r="ZN21" s="11">
        <v>2877580.36</v>
      </c>
      <c r="ZO21" s="11">
        <v>10632195.74</v>
      </c>
      <c r="ZP21" s="11">
        <v>60640710.539999999</v>
      </c>
      <c r="ZQ21" s="11">
        <v>20177151.699999999</v>
      </c>
      <c r="ZR21" s="11">
        <v>6315236.5</v>
      </c>
      <c r="ZS21" s="11">
        <v>5917485.5999999996</v>
      </c>
      <c r="ZT21" s="11">
        <v>9397619.9399999995</v>
      </c>
      <c r="ZU21" s="11">
        <v>5060253.5</v>
      </c>
      <c r="ZV21" s="11">
        <v>11214827.1</v>
      </c>
      <c r="ZW21" s="11">
        <v>1888728.2</v>
      </c>
      <c r="ZX21" s="11">
        <v>2499668.9500000002</v>
      </c>
      <c r="ZY21" s="11">
        <v>4390425</v>
      </c>
      <c r="ZZ21" s="11">
        <v>44453106.700000003</v>
      </c>
      <c r="AAA21" s="11">
        <v>4260508.7</v>
      </c>
      <c r="AAB21" s="11">
        <v>3272613.19</v>
      </c>
      <c r="AAC21" s="11">
        <v>3910934.4</v>
      </c>
      <c r="AAD21" s="11">
        <v>2169525</v>
      </c>
      <c r="AAE21" s="11">
        <v>5339986</v>
      </c>
      <c r="AAF21" s="11">
        <v>3121072.09</v>
      </c>
      <c r="AAG21" s="11">
        <v>2987420</v>
      </c>
      <c r="AAH21" s="11">
        <v>2260034.9</v>
      </c>
      <c r="AAI21" s="11">
        <v>21740921.890000001</v>
      </c>
      <c r="AAJ21" s="11">
        <v>2282159.5</v>
      </c>
      <c r="AAK21" s="11">
        <v>3543619</v>
      </c>
      <c r="AAL21" s="11">
        <v>3749064.53</v>
      </c>
      <c r="AAM21" s="11">
        <v>2261069</v>
      </c>
      <c r="AAN21" s="11">
        <v>8775979</v>
      </c>
      <c r="AAO21" s="11">
        <v>3829811.74</v>
      </c>
      <c r="AAP21" s="11">
        <v>207773036.65000001</v>
      </c>
      <c r="AAQ21" s="11">
        <v>7067655.1200000001</v>
      </c>
      <c r="AAR21" s="11">
        <v>2896329.7</v>
      </c>
      <c r="AAS21" s="11">
        <v>31730329.329999998</v>
      </c>
      <c r="AAT21" s="11">
        <v>7165263.5</v>
      </c>
      <c r="AAU21" s="11">
        <v>1803051.54</v>
      </c>
      <c r="AAV21" s="11">
        <v>4544277.13</v>
      </c>
      <c r="AAW21" s="11">
        <v>17306203.870000001</v>
      </c>
      <c r="AAX21" s="11">
        <v>38411168.100000001</v>
      </c>
      <c r="AAY21" s="11">
        <v>3860342.21</v>
      </c>
      <c r="AAZ21" s="11">
        <v>6240551.25</v>
      </c>
      <c r="ABA21" s="11">
        <v>40400345.369999997</v>
      </c>
      <c r="ABB21" s="11">
        <v>24339868.600000001</v>
      </c>
      <c r="ABC21" s="11">
        <v>1766355.35</v>
      </c>
      <c r="ABD21" s="11">
        <v>4188690.14</v>
      </c>
      <c r="ABE21" s="11">
        <v>4007483.95</v>
      </c>
      <c r="ABF21" s="11">
        <v>1738339.3</v>
      </c>
      <c r="ABG21" s="11">
        <v>3461098.98</v>
      </c>
      <c r="ABH21" s="11">
        <v>2678337.1</v>
      </c>
      <c r="ABI21" s="11">
        <v>69662047.569999993</v>
      </c>
      <c r="ABJ21" s="11">
        <v>56961634.219999999</v>
      </c>
      <c r="ABK21" s="11">
        <v>2627120.7999999998</v>
      </c>
      <c r="ABL21" s="11">
        <v>2752459.09</v>
      </c>
      <c r="ABM21" s="11">
        <v>1790828.5</v>
      </c>
      <c r="ABN21" s="11">
        <v>1972915.25</v>
      </c>
      <c r="ABO21" s="11">
        <v>1356561.5</v>
      </c>
      <c r="ABP21" s="11">
        <v>69678785.590000004</v>
      </c>
      <c r="ABQ21" s="11">
        <v>11390397.880000001</v>
      </c>
      <c r="ABR21" s="11">
        <v>4310455.4800000004</v>
      </c>
      <c r="ABS21" s="11">
        <v>10317575.01</v>
      </c>
      <c r="ABT21" s="11">
        <v>7997777.8099999996</v>
      </c>
      <c r="ABU21" s="11">
        <v>5658229.4800000004</v>
      </c>
      <c r="ABV21" s="11">
        <v>4674437.47</v>
      </c>
      <c r="ABW21" s="11">
        <v>7248420.4500000002</v>
      </c>
      <c r="ABX21" s="11">
        <v>1193921.46</v>
      </c>
      <c r="ABY21" s="11">
        <v>132452126.09999999</v>
      </c>
      <c r="ABZ21" s="11">
        <v>11794032</v>
      </c>
      <c r="ACA21" s="11">
        <v>7813986.5</v>
      </c>
      <c r="ACB21" s="11">
        <v>3971960.8</v>
      </c>
      <c r="ACC21" s="11">
        <v>4281096.2</v>
      </c>
      <c r="ACD21" s="11">
        <v>23919084.82</v>
      </c>
      <c r="ACE21" s="11">
        <v>3546527.15</v>
      </c>
      <c r="ACF21" s="11">
        <v>4025017.68</v>
      </c>
      <c r="ACG21" s="11">
        <v>4338030.5</v>
      </c>
      <c r="ACH21" s="11">
        <v>7666738.8200000003</v>
      </c>
      <c r="ACI21" s="11">
        <v>2416109.41</v>
      </c>
      <c r="ACJ21" s="11">
        <v>147686703.44999999</v>
      </c>
      <c r="ACK21" s="11">
        <v>4145393.58</v>
      </c>
      <c r="ACL21" s="11">
        <v>9126407.5899999999</v>
      </c>
      <c r="ACM21" s="11">
        <v>6429974.3600000003</v>
      </c>
      <c r="ACN21" s="11">
        <v>3106775.5</v>
      </c>
      <c r="ACO21" s="11">
        <v>4616323</v>
      </c>
      <c r="ACP21" s="11">
        <v>9179398.2599999998</v>
      </c>
      <c r="ACQ21" s="11">
        <v>56665410.670000002</v>
      </c>
      <c r="ACR21" s="11">
        <v>38829295.649999999</v>
      </c>
      <c r="ACS21" s="11">
        <v>4878634.1500000004</v>
      </c>
      <c r="ACT21" s="11">
        <v>5898004.79</v>
      </c>
      <c r="ACU21" s="11">
        <v>15867674.5</v>
      </c>
      <c r="ACV21" s="11">
        <v>4934814</v>
      </c>
      <c r="ACW21" s="11">
        <v>95093759.170000002</v>
      </c>
      <c r="ACX21" s="11">
        <v>8346138</v>
      </c>
      <c r="ACY21" s="11">
        <v>6399182.5099999998</v>
      </c>
      <c r="ACZ21" s="11">
        <v>7298253.21</v>
      </c>
      <c r="ADA21" s="11">
        <v>3632511.51</v>
      </c>
      <c r="ADB21" s="11">
        <v>3855013</v>
      </c>
      <c r="ADC21" s="11">
        <v>3863262</v>
      </c>
      <c r="ADD21" s="11">
        <v>2651095.16</v>
      </c>
      <c r="ADE21" s="11">
        <v>4110085.2</v>
      </c>
      <c r="ADF21" s="11">
        <v>5475051.7000000002</v>
      </c>
      <c r="ADG21" s="11">
        <v>16783437.84</v>
      </c>
      <c r="ADH21" s="11">
        <v>19763912.5</v>
      </c>
      <c r="ADI21" s="11">
        <v>891098.03</v>
      </c>
      <c r="ADJ21" s="11">
        <v>891345.28</v>
      </c>
      <c r="ADK21" s="11">
        <v>1192544.3700000001</v>
      </c>
      <c r="ADL21" s="11">
        <v>472104</v>
      </c>
      <c r="ADM21" s="11">
        <v>1242989.56</v>
      </c>
      <c r="ADN21" s="11">
        <v>3563207.55</v>
      </c>
      <c r="ADO21" s="11">
        <v>2856278.21</v>
      </c>
      <c r="ADP21" s="11">
        <v>104180204.02</v>
      </c>
      <c r="ADQ21" s="11">
        <v>6834287.8700000001</v>
      </c>
      <c r="ADR21" s="11">
        <v>5521325.25</v>
      </c>
      <c r="ADS21" s="11">
        <v>2640271.64</v>
      </c>
      <c r="ADT21" s="11">
        <v>46876400.25</v>
      </c>
      <c r="ADU21" s="11">
        <v>1424333.75</v>
      </c>
      <c r="ADV21" s="11">
        <v>2658933.16</v>
      </c>
      <c r="ADW21" s="11">
        <v>5286706.75</v>
      </c>
      <c r="ADX21" s="11">
        <v>2262546</v>
      </c>
      <c r="ADY21" s="11">
        <v>593267.77</v>
      </c>
      <c r="ADZ21" s="11">
        <v>105853612.92</v>
      </c>
      <c r="AEA21" s="11">
        <v>39339286.590000004</v>
      </c>
      <c r="AEB21" s="11">
        <v>16033596.18</v>
      </c>
      <c r="AEC21" s="11">
        <v>4011475.56</v>
      </c>
      <c r="AED21" s="11">
        <v>15289957.42</v>
      </c>
      <c r="AEE21" s="11">
        <v>8079376.8600000003</v>
      </c>
      <c r="AEF21" s="11">
        <v>6870214.3600000003</v>
      </c>
      <c r="AEG21" s="11">
        <v>6755034.0300000003</v>
      </c>
      <c r="AEH21" s="11">
        <v>2688687.52</v>
      </c>
      <c r="AEI21" s="11">
        <v>6317488.0899999999</v>
      </c>
      <c r="AEJ21" s="11">
        <v>5390767.6900000004</v>
      </c>
      <c r="AEK21" s="11">
        <v>50104638.469999999</v>
      </c>
      <c r="AEL21" s="11">
        <v>3022367.41</v>
      </c>
      <c r="AEM21" s="11">
        <v>10269371.85</v>
      </c>
      <c r="AEN21" s="11">
        <v>8106036.1500000004</v>
      </c>
      <c r="AEO21" s="11">
        <v>7577463.04</v>
      </c>
      <c r="AEP21" s="11">
        <v>2783835.6</v>
      </c>
      <c r="AEQ21" s="11">
        <v>11514392.619999999</v>
      </c>
      <c r="AER21" s="11">
        <v>2872741.5</v>
      </c>
      <c r="AES21" s="11">
        <v>12862527.5</v>
      </c>
      <c r="AET21" s="11">
        <v>73963908.590000004</v>
      </c>
      <c r="AEU21" s="11">
        <v>10920399.35</v>
      </c>
      <c r="AEV21" s="11">
        <v>6932816.29</v>
      </c>
      <c r="AEW21" s="11">
        <v>6206171.2000000002</v>
      </c>
      <c r="AEX21" s="11">
        <v>4383496.3899999997</v>
      </c>
      <c r="AEY21" s="11">
        <v>11840213.23</v>
      </c>
      <c r="AEZ21" s="11">
        <v>2926204.3</v>
      </c>
      <c r="AFA21" s="11">
        <v>5415221</v>
      </c>
      <c r="AFB21" s="11">
        <v>3302815.68</v>
      </c>
      <c r="AFC21" s="11">
        <v>2118970</v>
      </c>
      <c r="AFD21" s="11">
        <v>34874709.780000001</v>
      </c>
      <c r="AFE21" s="11">
        <v>22166697.420000002</v>
      </c>
      <c r="AFF21" s="11">
        <v>19743303.149999999</v>
      </c>
      <c r="AFG21" s="11">
        <v>5513890.2000000002</v>
      </c>
      <c r="AFH21" s="11">
        <v>38848380.020000003</v>
      </c>
      <c r="AFI21" s="11">
        <v>8501643.3000000007</v>
      </c>
      <c r="AFJ21" s="11">
        <v>3998239</v>
      </c>
      <c r="AFK21" s="11">
        <v>10642149.75</v>
      </c>
      <c r="AFL21" s="11">
        <v>3295681.6</v>
      </c>
      <c r="AFM21" s="11">
        <v>8648749</v>
      </c>
      <c r="AFN21" s="11">
        <v>4576715.7</v>
      </c>
      <c r="AFO21" s="11">
        <v>4359264.3</v>
      </c>
      <c r="AFP21" s="11">
        <v>6089938.4000000004</v>
      </c>
      <c r="AFQ21" s="11">
        <v>69649290.609999999</v>
      </c>
      <c r="AFR21" s="11">
        <v>14218967.4</v>
      </c>
      <c r="AFS21" s="11">
        <v>6294965.6799999997</v>
      </c>
      <c r="AFT21" s="11">
        <v>4270799.6399999997</v>
      </c>
      <c r="AFU21" s="11">
        <v>6787155.2999999998</v>
      </c>
      <c r="AFV21" s="11">
        <v>4683746.0999999996</v>
      </c>
      <c r="AFW21" s="11">
        <v>2868090</v>
      </c>
      <c r="AFX21" s="11">
        <v>10442891.16</v>
      </c>
      <c r="AFY21" s="11">
        <v>8767071</v>
      </c>
      <c r="AFZ21" s="11">
        <v>2730880.5</v>
      </c>
      <c r="AGA21" s="11">
        <v>9558907.8599999994</v>
      </c>
      <c r="AGB21" s="11">
        <v>5233189.5</v>
      </c>
      <c r="AGC21" s="11">
        <v>57039557.659999996</v>
      </c>
      <c r="AGD21" s="11">
        <v>4641869.9000000004</v>
      </c>
      <c r="AGE21" s="11">
        <v>4096370.59</v>
      </c>
      <c r="AGF21" s="11">
        <v>1972550</v>
      </c>
      <c r="AGG21" s="11">
        <v>15096778.35</v>
      </c>
      <c r="AGH21" s="11">
        <v>3919938.52</v>
      </c>
      <c r="AGI21" s="11">
        <v>3041087.88</v>
      </c>
      <c r="AGJ21" s="11">
        <v>2124133</v>
      </c>
      <c r="AGK21" s="11">
        <v>3610655.55</v>
      </c>
      <c r="AGL21" s="11">
        <v>3624980.27</v>
      </c>
      <c r="AGM21" s="11">
        <v>2300829.2000000002</v>
      </c>
      <c r="AGN21" s="11">
        <v>109535174.18000001</v>
      </c>
      <c r="AGO21" s="11">
        <v>19321993.190000001</v>
      </c>
      <c r="AGP21" s="11">
        <v>8802786.5</v>
      </c>
      <c r="AGQ21" s="11">
        <v>2602956.15</v>
      </c>
      <c r="AGR21" s="11">
        <v>24794954.620000001</v>
      </c>
      <c r="AGS21" s="11">
        <v>18270223.09</v>
      </c>
      <c r="AGT21" s="11">
        <v>2811246.35</v>
      </c>
      <c r="AGU21" s="11">
        <v>3185237.26</v>
      </c>
      <c r="AGV21" s="11">
        <v>98262270.719999999</v>
      </c>
      <c r="AGW21" s="11">
        <v>60370841.539999999</v>
      </c>
      <c r="AGX21" s="11">
        <v>5201760.5</v>
      </c>
      <c r="AGY21" s="11">
        <v>26083000.789999999</v>
      </c>
      <c r="AGZ21" s="11">
        <v>76413084.109999999</v>
      </c>
      <c r="AHA21" s="11">
        <v>6102363.7000000002</v>
      </c>
      <c r="AHB21" s="11">
        <v>7356304.5</v>
      </c>
      <c r="AHC21" s="11">
        <v>9229446.1699999999</v>
      </c>
      <c r="AHD21" s="11">
        <v>2859976.34</v>
      </c>
      <c r="AHE21" s="11">
        <v>10721589.560000001</v>
      </c>
      <c r="AHF21" s="11">
        <v>10863954.5</v>
      </c>
      <c r="AHG21" s="11">
        <v>4380531.5999999996</v>
      </c>
      <c r="AHH21" s="11">
        <v>2995207</v>
      </c>
      <c r="AHI21" s="11">
        <v>4389573.3</v>
      </c>
      <c r="AHJ21" s="11">
        <v>2948344.3</v>
      </c>
      <c r="AHK21" s="11">
        <v>12287422.65</v>
      </c>
      <c r="AHL21" s="11">
        <v>1594860.05</v>
      </c>
      <c r="AHM21" s="11">
        <v>24125335.350000001</v>
      </c>
      <c r="AHN21" s="11">
        <v>5819977.7000000002</v>
      </c>
      <c r="AHO21" s="11">
        <v>3339885</v>
      </c>
      <c r="AHP21" s="11">
        <v>3682681.74</v>
      </c>
      <c r="AHQ21" s="11">
        <v>10159231.439999999</v>
      </c>
      <c r="AHR21" s="11">
        <v>3092792</v>
      </c>
      <c r="AHS21" s="11">
        <v>2612757.14</v>
      </c>
      <c r="AHT21" s="11">
        <v>12658204738.910015</v>
      </c>
      <c r="AHU21" s="11"/>
    </row>
    <row r="22" spans="2:905" x14ac:dyDescent="0.7">
      <c r="B22" s="6" t="s">
        <v>25</v>
      </c>
      <c r="C22" s="6" t="s">
        <v>26</v>
      </c>
      <c r="D22" s="11">
        <v>527470445.57999998</v>
      </c>
      <c r="E22" s="11">
        <v>43028869.25</v>
      </c>
      <c r="F22" s="11">
        <v>65958165.5</v>
      </c>
      <c r="G22" s="11">
        <v>26473485.329999998</v>
      </c>
      <c r="H22" s="11">
        <v>77603972.529999986</v>
      </c>
      <c r="I22" s="11">
        <v>41233440.57</v>
      </c>
      <c r="J22" s="11">
        <v>65745406.589999996</v>
      </c>
      <c r="K22" s="11">
        <v>43878528.409999996</v>
      </c>
      <c r="L22" s="11">
        <v>42161303.740000002</v>
      </c>
      <c r="M22" s="11">
        <v>36500306.980000004</v>
      </c>
      <c r="N22" s="11">
        <v>23851946.940000001</v>
      </c>
      <c r="O22" s="11">
        <v>27158175.34</v>
      </c>
      <c r="P22" s="11">
        <v>21165791.02</v>
      </c>
      <c r="Q22" s="11">
        <v>29971549.539999999</v>
      </c>
      <c r="R22" s="11">
        <v>30267973.140000001</v>
      </c>
      <c r="S22" s="11">
        <v>42298695.159999996</v>
      </c>
      <c r="T22" s="11">
        <v>37142343.159999996</v>
      </c>
      <c r="U22" s="11">
        <v>7385223.3300000001</v>
      </c>
      <c r="V22" s="11">
        <v>444056491.57999992</v>
      </c>
      <c r="W22" s="11">
        <v>115470488.73000002</v>
      </c>
      <c r="X22" s="11">
        <v>24861560</v>
      </c>
      <c r="Y22" s="11">
        <v>40443797.330000006</v>
      </c>
      <c r="Z22" s="11">
        <v>45464456.920000002</v>
      </c>
      <c r="AA22" s="11">
        <v>37823687.030000001</v>
      </c>
      <c r="AB22" s="11">
        <v>21079787.27</v>
      </c>
      <c r="AC22" s="11">
        <v>105669232.38</v>
      </c>
      <c r="AD22" s="11">
        <v>44684076.049999997</v>
      </c>
      <c r="AE22" s="11">
        <v>30010068.390000001</v>
      </c>
      <c r="AF22" s="11">
        <v>91826722.160000011</v>
      </c>
      <c r="AG22" s="11">
        <v>39719803.920000002</v>
      </c>
      <c r="AH22" s="11">
        <v>77827654.640000001</v>
      </c>
      <c r="AI22" s="11">
        <v>58980771.969999999</v>
      </c>
      <c r="AJ22" s="11">
        <v>25614650.849999998</v>
      </c>
      <c r="AK22" s="11">
        <v>21126769.199999999</v>
      </c>
      <c r="AL22" s="11">
        <v>27163376.379999999</v>
      </c>
      <c r="AM22" s="11">
        <v>41211403.189999998</v>
      </c>
      <c r="AN22" s="11">
        <v>16542200</v>
      </c>
      <c r="AO22" s="11">
        <v>28398019.300000001</v>
      </c>
      <c r="AP22" s="11">
        <v>32413410.039999999</v>
      </c>
      <c r="AQ22" s="11">
        <v>24510113.84</v>
      </c>
      <c r="AR22" s="11">
        <v>23462810</v>
      </c>
      <c r="AS22" s="11">
        <v>12273204.33</v>
      </c>
      <c r="AT22" s="11">
        <v>296079187.39999992</v>
      </c>
      <c r="AU22" s="11">
        <v>18133084.919999998</v>
      </c>
      <c r="AV22" s="11">
        <v>15864329.18</v>
      </c>
      <c r="AW22" s="11">
        <v>27412144.710000001</v>
      </c>
      <c r="AX22" s="11">
        <v>37405681.859999999</v>
      </c>
      <c r="AY22" s="11">
        <v>48666305.690000005</v>
      </c>
      <c r="AZ22" s="11">
        <v>22115011.649999999</v>
      </c>
      <c r="BA22" s="11">
        <v>25920610</v>
      </c>
      <c r="BB22" s="11">
        <v>20918627.620000001</v>
      </c>
      <c r="BC22" s="11">
        <v>22614470</v>
      </c>
      <c r="BD22" s="11">
        <v>12762847.560000001</v>
      </c>
      <c r="BE22" s="11">
        <v>15532080</v>
      </c>
      <c r="BF22" s="11">
        <v>77538090.859999999</v>
      </c>
      <c r="BG22" s="11">
        <v>14504202</v>
      </c>
      <c r="BH22" s="11">
        <v>15168329.08</v>
      </c>
      <c r="BI22" s="11">
        <v>242705921.58000001</v>
      </c>
      <c r="BJ22" s="11">
        <v>153385787.71999997</v>
      </c>
      <c r="BK22" s="11">
        <v>40762844.669999994</v>
      </c>
      <c r="BL22" s="11">
        <v>29433649.849999998</v>
      </c>
      <c r="BM22" s="11">
        <v>54892045.200000003</v>
      </c>
      <c r="BN22" s="11">
        <v>42006137.329999991</v>
      </c>
      <c r="BO22" s="11">
        <v>37692500.999999993</v>
      </c>
      <c r="BP22" s="11">
        <v>7139576.2400000002</v>
      </c>
      <c r="BQ22" s="11">
        <v>7050090.25</v>
      </c>
      <c r="BR22" s="11">
        <v>314000606.49000007</v>
      </c>
      <c r="BS22" s="11">
        <v>48212930.109999999</v>
      </c>
      <c r="BT22" s="11">
        <v>31743088.280000001</v>
      </c>
      <c r="BU22" s="11">
        <v>48639845.329999998</v>
      </c>
      <c r="BV22" s="11">
        <v>37886105.930000007</v>
      </c>
      <c r="BW22" s="11">
        <v>28849961.09</v>
      </c>
      <c r="BX22" s="11">
        <v>28321068.390000001</v>
      </c>
      <c r="BY22" s="11">
        <v>47435677.869999997</v>
      </c>
      <c r="BZ22" s="11">
        <v>109429056.88999999</v>
      </c>
      <c r="CA22" s="11">
        <v>22931604.129999999</v>
      </c>
      <c r="CB22" s="11">
        <v>37510419.039999999</v>
      </c>
      <c r="CC22" s="11">
        <v>58130108.049999997</v>
      </c>
      <c r="CD22" s="11">
        <v>21505521.870000001</v>
      </c>
      <c r="CE22" s="11">
        <v>20487875.459999997</v>
      </c>
      <c r="CF22" s="11">
        <v>19179426.559999999</v>
      </c>
      <c r="CG22" s="11">
        <v>509106478.56000006</v>
      </c>
      <c r="CH22" s="11">
        <v>35506728.090000004</v>
      </c>
      <c r="CI22" s="11">
        <v>65841786.609999999</v>
      </c>
      <c r="CJ22" s="11">
        <v>30350156.379999999</v>
      </c>
      <c r="CK22" s="11">
        <v>30527672.820000004</v>
      </c>
      <c r="CL22" s="11">
        <v>39231814.199999996</v>
      </c>
      <c r="CM22" s="11">
        <v>32345520.699999999</v>
      </c>
      <c r="CN22" s="11">
        <v>53595343.160000004</v>
      </c>
      <c r="CO22" s="11">
        <v>19719324.889999997</v>
      </c>
      <c r="CP22" s="11">
        <v>36865273.399999999</v>
      </c>
      <c r="CQ22" s="11">
        <v>25821438.199999999</v>
      </c>
      <c r="CR22" s="11">
        <v>43883882.919999994</v>
      </c>
      <c r="CS22" s="11">
        <v>29507186.940000001</v>
      </c>
      <c r="CT22" s="11">
        <v>257762307.43999997</v>
      </c>
      <c r="CU22" s="11">
        <v>29437442.309999999</v>
      </c>
      <c r="CV22" s="11">
        <v>36968563.119999997</v>
      </c>
      <c r="CW22" s="11">
        <v>49131169.810000002</v>
      </c>
      <c r="CX22" s="11">
        <v>25975521.280000001</v>
      </c>
      <c r="CY22" s="11">
        <v>45494793.009999998</v>
      </c>
      <c r="CZ22" s="11">
        <v>27169947.460000001</v>
      </c>
      <c r="DA22" s="11">
        <v>16383170.850000001</v>
      </c>
      <c r="DB22" s="11">
        <v>186348730.17999998</v>
      </c>
      <c r="DC22" s="11">
        <v>206515172.11999997</v>
      </c>
      <c r="DD22" s="11">
        <v>37038374.829999998</v>
      </c>
      <c r="DE22" s="11">
        <v>28564315.860000003</v>
      </c>
      <c r="DF22" s="11">
        <v>60322062.339999996</v>
      </c>
      <c r="DG22" s="11">
        <v>37047857.940000005</v>
      </c>
      <c r="DH22" s="11">
        <v>32648155.600000001</v>
      </c>
      <c r="DI22" s="11">
        <v>34118301.769999996</v>
      </c>
      <c r="DJ22" s="11">
        <v>16194118.539999999</v>
      </c>
      <c r="DK22" s="11">
        <v>619044811.75000012</v>
      </c>
      <c r="DL22" s="11">
        <v>30779107.970000003</v>
      </c>
      <c r="DM22" s="11">
        <v>48192575.239999987</v>
      </c>
      <c r="DN22" s="11">
        <v>41439814.850000001</v>
      </c>
      <c r="DO22" s="11">
        <v>46163975.689999998</v>
      </c>
      <c r="DP22" s="11">
        <v>37691812.32</v>
      </c>
      <c r="DQ22" s="11">
        <v>62604271.030000001</v>
      </c>
      <c r="DR22" s="11">
        <v>33716632.75</v>
      </c>
      <c r="DS22" s="11">
        <v>54421022.060000002</v>
      </c>
      <c r="DT22" s="11">
        <v>284163170.40999997</v>
      </c>
      <c r="DU22" s="11">
        <v>45110345.36999999</v>
      </c>
      <c r="DV22" s="11">
        <v>79785518.939999998</v>
      </c>
      <c r="DW22" s="11">
        <v>91035417.88000001</v>
      </c>
      <c r="DX22" s="11">
        <v>34919468.380000003</v>
      </c>
      <c r="DY22" s="11">
        <v>53576395.829999998</v>
      </c>
      <c r="DZ22" s="11">
        <v>47130377.910000004</v>
      </c>
      <c r="EA22" s="11">
        <v>14244053.02</v>
      </c>
      <c r="EB22" s="11">
        <v>29185319.689999998</v>
      </c>
      <c r="EC22" s="11">
        <v>30617469.509999998</v>
      </c>
      <c r="ED22" s="11">
        <v>59313832.990000002</v>
      </c>
      <c r="EE22" s="11">
        <v>191395913.67000005</v>
      </c>
      <c r="EF22" s="11">
        <v>161120809.63999996</v>
      </c>
      <c r="EG22" s="11">
        <v>36542653.199999996</v>
      </c>
      <c r="EH22" s="11">
        <v>35030958.230000004</v>
      </c>
      <c r="EI22" s="11">
        <v>41916781.030000001</v>
      </c>
      <c r="EJ22" s="11">
        <v>49476405.100000001</v>
      </c>
      <c r="EK22" s="11">
        <v>67419655.120000005</v>
      </c>
      <c r="EL22" s="11">
        <v>27579016.350000001</v>
      </c>
      <c r="EM22" s="11">
        <v>29803471.09</v>
      </c>
      <c r="EN22" s="11">
        <v>396128021.89999998</v>
      </c>
      <c r="EO22" s="11">
        <v>34197931.120000005</v>
      </c>
      <c r="EP22" s="11">
        <v>31732409.379999999</v>
      </c>
      <c r="EQ22" s="11">
        <v>31917867.23</v>
      </c>
      <c r="ER22" s="11">
        <v>18361603.98</v>
      </c>
      <c r="ES22" s="11">
        <v>19265538.950000003</v>
      </c>
      <c r="ET22" s="11">
        <v>41252580.899999999</v>
      </c>
      <c r="EU22" s="11">
        <v>38588610.800000004</v>
      </c>
      <c r="EV22" s="11">
        <v>27000650</v>
      </c>
      <c r="EW22" s="11">
        <v>266953499.90000001</v>
      </c>
      <c r="EX22" s="11">
        <v>16315891.17</v>
      </c>
      <c r="EY22" s="11">
        <v>27398902.800000001</v>
      </c>
      <c r="EZ22" s="11">
        <v>36703251.679999992</v>
      </c>
      <c r="FA22" s="11">
        <v>53256466.319999993</v>
      </c>
      <c r="FB22" s="11">
        <v>42013439.049999997</v>
      </c>
      <c r="FC22" s="11">
        <v>40699257.289999999</v>
      </c>
      <c r="FD22" s="11">
        <v>25224308.490000002</v>
      </c>
      <c r="FE22" s="11">
        <v>23330686.409999996</v>
      </c>
      <c r="FF22" s="11">
        <v>18084147.329999998</v>
      </c>
      <c r="FG22" s="11">
        <v>18071600</v>
      </c>
      <c r="FH22" s="11">
        <v>10825705.48</v>
      </c>
      <c r="FI22" s="11">
        <v>206736199.63</v>
      </c>
      <c r="FJ22" s="11">
        <v>31239834.73</v>
      </c>
      <c r="FK22" s="11">
        <v>31523230</v>
      </c>
      <c r="FL22" s="11">
        <v>33484910.460000001</v>
      </c>
      <c r="FM22" s="11">
        <v>50773562.119999997</v>
      </c>
      <c r="FN22" s="11">
        <v>41801258.599999994</v>
      </c>
      <c r="FO22" s="11">
        <v>11363680</v>
      </c>
      <c r="FP22" s="11">
        <v>6622980</v>
      </c>
      <c r="FQ22" s="11">
        <v>461030918.13000005</v>
      </c>
      <c r="FR22" s="11">
        <v>25798846.120000001</v>
      </c>
      <c r="FS22" s="11">
        <v>42966386.330000013</v>
      </c>
      <c r="FT22" s="11">
        <v>37015773.509999998</v>
      </c>
      <c r="FU22" s="11">
        <v>56809178.570000008</v>
      </c>
      <c r="FV22" s="11">
        <v>26032444.350000001</v>
      </c>
      <c r="FW22" s="11">
        <v>60116353.760000005</v>
      </c>
      <c r="FX22" s="11">
        <v>37373069.640000001</v>
      </c>
      <c r="FY22" s="11">
        <v>39695002.009999998</v>
      </c>
      <c r="FZ22" s="11">
        <v>29562358.309999999</v>
      </c>
      <c r="GA22" s="11">
        <v>61081640.489999995</v>
      </c>
      <c r="GB22" s="11">
        <v>30284483.989999998</v>
      </c>
      <c r="GC22" s="11">
        <v>21946115.289999999</v>
      </c>
      <c r="GD22" s="11">
        <v>9116212.9300000016</v>
      </c>
      <c r="GE22" s="11">
        <v>263188830.58999997</v>
      </c>
      <c r="GF22" s="11">
        <v>25174450.610000003</v>
      </c>
      <c r="GG22" s="11">
        <v>29572534.5</v>
      </c>
      <c r="GH22" s="11">
        <v>53617025.520000003</v>
      </c>
      <c r="GI22" s="11">
        <v>32082493.169999998</v>
      </c>
      <c r="GJ22" s="11">
        <v>29364513.630000003</v>
      </c>
      <c r="GK22" s="11">
        <v>28887267.539999999</v>
      </c>
      <c r="GL22" s="11">
        <v>67963952.679999992</v>
      </c>
      <c r="GM22" s="11">
        <v>25124821.559999999</v>
      </c>
      <c r="GN22" s="11">
        <v>10252302.25</v>
      </c>
      <c r="GO22" s="11">
        <v>7860525.6500000004</v>
      </c>
      <c r="GP22" s="11">
        <v>8753123.5700000003</v>
      </c>
      <c r="GQ22" s="11">
        <v>186834662.19</v>
      </c>
      <c r="GR22" s="11">
        <v>53891265.850000001</v>
      </c>
      <c r="GS22" s="11">
        <v>29202335.350000001</v>
      </c>
      <c r="GT22" s="11">
        <v>46582953.669999994</v>
      </c>
      <c r="GU22" s="11">
        <v>15210498.939999999</v>
      </c>
      <c r="GV22" s="11">
        <v>33626886.689999998</v>
      </c>
      <c r="GW22" s="11">
        <v>35379535.000000007</v>
      </c>
      <c r="GX22" s="11">
        <v>22146630</v>
      </c>
      <c r="GY22" s="11">
        <v>209448548.98000002</v>
      </c>
      <c r="GZ22" s="11">
        <v>23034143.369999997</v>
      </c>
      <c r="HA22" s="11">
        <v>54566844.63000001</v>
      </c>
      <c r="HB22" s="11">
        <v>36212055.149999999</v>
      </c>
      <c r="HC22" s="11">
        <v>358930668.36000007</v>
      </c>
      <c r="HD22" s="11">
        <v>55708451.079999998</v>
      </c>
      <c r="HE22" s="11">
        <v>62563969.319999993</v>
      </c>
      <c r="HF22" s="11">
        <v>62184578.859999999</v>
      </c>
      <c r="HG22" s="11">
        <v>48169417.520000003</v>
      </c>
      <c r="HH22" s="11">
        <v>64335899.600000001</v>
      </c>
      <c r="HI22" s="11">
        <v>11263651.619999999</v>
      </c>
      <c r="HJ22" s="11">
        <v>0</v>
      </c>
      <c r="HK22" s="11">
        <v>257183620.58999997</v>
      </c>
      <c r="HL22" s="11">
        <v>45266974.43</v>
      </c>
      <c r="HM22" s="11">
        <v>57333312.229999997</v>
      </c>
      <c r="HN22" s="11">
        <v>43966031.739999995</v>
      </c>
      <c r="HO22" s="11">
        <v>26430834.419999998</v>
      </c>
      <c r="HP22" s="11">
        <v>30357441.66</v>
      </c>
      <c r="HQ22" s="11">
        <v>40352952.339999996</v>
      </c>
      <c r="HR22" s="11">
        <v>20496422.02</v>
      </c>
      <c r="HS22" s="11">
        <v>335720540.24000001</v>
      </c>
      <c r="HT22" s="11">
        <v>132720784.02999999</v>
      </c>
      <c r="HU22" s="11">
        <v>37786898.890000001</v>
      </c>
      <c r="HV22" s="11">
        <v>28135402.179999996</v>
      </c>
      <c r="HW22" s="11">
        <v>24444247.790000003</v>
      </c>
      <c r="HX22" s="11">
        <v>28492068.960000001</v>
      </c>
      <c r="HY22" s="11">
        <v>57412504.200000003</v>
      </c>
      <c r="HZ22" s="11">
        <v>27942018.480000004</v>
      </c>
      <c r="IA22" s="11">
        <v>29173630.300000001</v>
      </c>
      <c r="IB22" s="11">
        <v>29263658</v>
      </c>
      <c r="IC22" s="11">
        <v>31730724.879999999</v>
      </c>
      <c r="ID22" s="11">
        <v>39105431.670000009</v>
      </c>
      <c r="IE22" s="11">
        <v>15786744.649999999</v>
      </c>
      <c r="IF22" s="11">
        <v>30825212.149999999</v>
      </c>
      <c r="IG22" s="11">
        <v>19205807.120000001</v>
      </c>
      <c r="IH22" s="11">
        <v>22695458.199999999</v>
      </c>
      <c r="II22" s="11">
        <v>269010979.00999999</v>
      </c>
      <c r="IJ22" s="11">
        <v>123596306.25</v>
      </c>
      <c r="IK22" s="11">
        <v>41881987.719999999</v>
      </c>
      <c r="IL22" s="11">
        <v>64763624.57</v>
      </c>
      <c r="IM22" s="11">
        <v>68841576.960000008</v>
      </c>
      <c r="IN22" s="11">
        <v>35333807.359999999</v>
      </c>
      <c r="IO22" s="11">
        <v>30938401.459999997</v>
      </c>
      <c r="IP22" s="11">
        <v>18165013.129999999</v>
      </c>
      <c r="IQ22" s="11">
        <v>22267131.480000004</v>
      </c>
      <c r="IR22" s="11">
        <v>22824990</v>
      </c>
      <c r="IS22" s="11">
        <v>26280123.699999996</v>
      </c>
      <c r="IT22" s="11">
        <v>401861743.16000009</v>
      </c>
      <c r="IU22" s="11">
        <v>197464089.53999999</v>
      </c>
      <c r="IV22" s="11">
        <v>57296450.679999992</v>
      </c>
      <c r="IW22" s="11">
        <v>38061884.829999998</v>
      </c>
      <c r="IX22" s="11">
        <v>30381095.400000002</v>
      </c>
      <c r="IY22" s="11">
        <v>18754370</v>
      </c>
      <c r="IZ22" s="11">
        <v>30795090.669999998</v>
      </c>
      <c r="JA22" s="11">
        <v>17968898.399999999</v>
      </c>
      <c r="JB22" s="11">
        <v>23235845.649999999</v>
      </c>
      <c r="JC22" s="11">
        <v>34103381.780000001</v>
      </c>
      <c r="JD22" s="11">
        <v>28356926.41</v>
      </c>
      <c r="JE22" s="11">
        <v>24351880.649999999</v>
      </c>
      <c r="JF22" s="11">
        <v>191871987.51000002</v>
      </c>
      <c r="JG22" s="11">
        <v>131319703.20000002</v>
      </c>
      <c r="JH22" s="11">
        <v>29701381.080000002</v>
      </c>
      <c r="JI22" s="11">
        <v>29183765.310000002</v>
      </c>
      <c r="JJ22" s="11">
        <v>23629713.5</v>
      </c>
      <c r="JK22" s="11">
        <v>28925222.640000001</v>
      </c>
      <c r="JL22" s="11">
        <v>195644431.02000001</v>
      </c>
      <c r="JM22" s="11">
        <v>23422720.299999997</v>
      </c>
      <c r="JN22" s="11">
        <v>35601304.309999995</v>
      </c>
      <c r="JO22" s="11">
        <v>44433187.029999994</v>
      </c>
      <c r="JP22" s="11">
        <v>32080597.060000002</v>
      </c>
      <c r="JQ22" s="11">
        <v>55805781.25</v>
      </c>
      <c r="JR22" s="11">
        <v>25396005.68</v>
      </c>
      <c r="JS22" s="11">
        <v>261285981.15000001</v>
      </c>
      <c r="JT22" s="11">
        <v>155572854.47999999</v>
      </c>
      <c r="JU22" s="11">
        <v>29633070.719999999</v>
      </c>
      <c r="JV22" s="11">
        <v>18044993.329999998</v>
      </c>
      <c r="JW22" s="11">
        <v>44285616.260000005</v>
      </c>
      <c r="JX22" s="11">
        <v>16854192.200000003</v>
      </c>
      <c r="JY22" s="11">
        <v>82723024.189999998</v>
      </c>
      <c r="JZ22" s="11">
        <v>40119896.280000001</v>
      </c>
      <c r="KA22" s="11">
        <v>24478674.23</v>
      </c>
      <c r="KB22" s="11">
        <v>42812565.68</v>
      </c>
      <c r="KC22" s="11">
        <v>28229153.129999999</v>
      </c>
      <c r="KD22" s="11">
        <v>30242427.300000001</v>
      </c>
      <c r="KE22" s="11">
        <v>20370067.329999998</v>
      </c>
      <c r="KF22" s="11">
        <v>10789656.42</v>
      </c>
      <c r="KG22" s="11">
        <v>21745655.159999996</v>
      </c>
      <c r="KH22" s="11">
        <v>213825</v>
      </c>
      <c r="KI22" s="11">
        <v>424869108.02999997</v>
      </c>
      <c r="KJ22" s="11">
        <v>57071226.329999998</v>
      </c>
      <c r="KK22" s="11">
        <v>37378651.790000007</v>
      </c>
      <c r="KL22" s="11">
        <v>44310965.479999997</v>
      </c>
      <c r="KM22" s="11">
        <v>33243909.280000001</v>
      </c>
      <c r="KN22" s="11">
        <v>32047386.119999997</v>
      </c>
      <c r="KO22" s="11">
        <v>69013781.75</v>
      </c>
      <c r="KP22" s="11">
        <v>29618512.609999996</v>
      </c>
      <c r="KQ22" s="11">
        <v>27226665.610000003</v>
      </c>
      <c r="KR22" s="11">
        <v>146242210.01999998</v>
      </c>
      <c r="KS22" s="11">
        <v>29963423.98</v>
      </c>
      <c r="KT22" s="11">
        <v>39311787.130000003</v>
      </c>
      <c r="KU22" s="11">
        <v>64343073.199999996</v>
      </c>
      <c r="KV22" s="11">
        <v>28901357.280000001</v>
      </c>
      <c r="KW22" s="11">
        <v>35790953.629999995</v>
      </c>
      <c r="KX22" s="11">
        <v>165445432.87</v>
      </c>
      <c r="KY22" s="11">
        <v>43622875.920000002</v>
      </c>
      <c r="KZ22" s="11">
        <v>280344593.85999995</v>
      </c>
      <c r="LA22" s="11">
        <v>29449279.920000002</v>
      </c>
      <c r="LB22" s="11">
        <v>25891770.210000001</v>
      </c>
      <c r="LC22" s="11">
        <v>52146695.840000004</v>
      </c>
      <c r="LD22" s="11">
        <v>50384401.07</v>
      </c>
      <c r="LE22" s="11">
        <v>37501316.32</v>
      </c>
      <c r="LF22" s="11">
        <v>30714811.789999999</v>
      </c>
      <c r="LG22" s="11">
        <v>24680953.759999998</v>
      </c>
      <c r="LH22" s="11">
        <v>465538526.20000005</v>
      </c>
      <c r="LI22" s="11">
        <v>128480890.79000001</v>
      </c>
      <c r="LJ22" s="11">
        <v>181745394.38</v>
      </c>
      <c r="LK22" s="11">
        <v>148833839.98000002</v>
      </c>
      <c r="LL22" s="11">
        <v>40008996.130000003</v>
      </c>
      <c r="LM22" s="11">
        <v>39473728.399999999</v>
      </c>
      <c r="LN22" s="11">
        <v>26094458.330000002</v>
      </c>
      <c r="LO22" s="11">
        <v>26317829.699999999</v>
      </c>
      <c r="LP22" s="11">
        <v>18659875.329999998</v>
      </c>
      <c r="LQ22" s="11">
        <v>45543186.599999994</v>
      </c>
      <c r="LR22" s="11">
        <v>9041337.4000000004</v>
      </c>
      <c r="LS22" s="11">
        <v>205198524.58999994</v>
      </c>
      <c r="LT22" s="11">
        <v>61344282.130000003</v>
      </c>
      <c r="LU22" s="11">
        <v>35910601.030000001</v>
      </c>
      <c r="LV22" s="11">
        <v>361560400.43000007</v>
      </c>
      <c r="LW22" s="11">
        <v>147808289.19000003</v>
      </c>
      <c r="LX22" s="11">
        <v>371189347.75000006</v>
      </c>
      <c r="LY22" s="11">
        <v>151025205.76000002</v>
      </c>
      <c r="LZ22" s="11">
        <v>60013313.899999999</v>
      </c>
      <c r="MA22" s="11">
        <v>51385174.68</v>
      </c>
      <c r="MB22" s="11">
        <v>50948657.339999996</v>
      </c>
      <c r="MC22" s="11">
        <v>39003980.82</v>
      </c>
      <c r="MD22" s="11">
        <v>45703373.399999999</v>
      </c>
      <c r="ME22" s="11">
        <v>42562541.740000002</v>
      </c>
      <c r="MF22" s="11">
        <v>77622766.189999998</v>
      </c>
      <c r="MG22" s="11">
        <v>29007653.469999995</v>
      </c>
      <c r="MH22" s="11">
        <v>457183173.00999999</v>
      </c>
      <c r="MI22" s="11">
        <v>27766920.27</v>
      </c>
      <c r="MJ22" s="11">
        <v>20817765.150000002</v>
      </c>
      <c r="MK22" s="11">
        <v>22222290.68</v>
      </c>
      <c r="ML22" s="11">
        <v>19453107.310000002</v>
      </c>
      <c r="MM22" s="11">
        <v>32545671.590000004</v>
      </c>
      <c r="MN22" s="11">
        <v>25310466.759999998</v>
      </c>
      <c r="MO22" s="11">
        <v>24095632.450000003</v>
      </c>
      <c r="MP22" s="11">
        <v>36862160.959999993</v>
      </c>
      <c r="MQ22" s="11">
        <v>20101832.949999999</v>
      </c>
      <c r="MR22" s="11">
        <v>24201819.219999999</v>
      </c>
      <c r="MS22" s="11">
        <v>23029380.460000005</v>
      </c>
      <c r="MT22" s="11">
        <v>333049482.44</v>
      </c>
      <c r="MU22" s="11">
        <v>22620484.240000002</v>
      </c>
      <c r="MV22" s="11">
        <v>35673398.899999999</v>
      </c>
      <c r="MW22" s="11">
        <v>49183499.960000001</v>
      </c>
      <c r="MX22" s="11">
        <v>51046292.969999999</v>
      </c>
      <c r="MY22" s="11">
        <v>35233591.799999997</v>
      </c>
      <c r="MZ22" s="11">
        <v>67011559.609999999</v>
      </c>
      <c r="NA22" s="11">
        <v>59637663.019999996</v>
      </c>
      <c r="NB22" s="11">
        <v>35573545.289999999</v>
      </c>
      <c r="NC22" s="11">
        <v>14691174.540000001</v>
      </c>
      <c r="ND22" s="11">
        <v>10022905.85</v>
      </c>
      <c r="NE22" s="11">
        <v>503427317.52999997</v>
      </c>
      <c r="NF22" s="11">
        <v>68658933.030000001</v>
      </c>
      <c r="NG22" s="11">
        <v>25554811.93</v>
      </c>
      <c r="NH22" s="11">
        <v>155116781.08000001</v>
      </c>
      <c r="NI22" s="11">
        <v>25220165.509999998</v>
      </c>
      <c r="NJ22" s="11">
        <v>54377549.909999996</v>
      </c>
      <c r="NK22" s="11">
        <v>100950814.32000001</v>
      </c>
      <c r="NL22" s="11">
        <v>92199213.980000004</v>
      </c>
      <c r="NM22" s="11">
        <v>10173206.800000001</v>
      </c>
      <c r="NN22" s="11">
        <v>47236452.620000005</v>
      </c>
      <c r="NO22" s="11">
        <v>35658363.540000007</v>
      </c>
      <c r="NP22" s="11">
        <v>14575988.16</v>
      </c>
      <c r="NQ22" s="11">
        <v>191334127.70999998</v>
      </c>
      <c r="NR22" s="11">
        <v>29776214.669999998</v>
      </c>
      <c r="NS22" s="11">
        <v>26422785.27</v>
      </c>
      <c r="NT22" s="11">
        <v>26467265.43</v>
      </c>
      <c r="NU22" s="11">
        <v>23469914.199999999</v>
      </c>
      <c r="NV22" s="11">
        <v>6839800.96</v>
      </c>
      <c r="NW22" s="11">
        <v>12184254.939999999</v>
      </c>
      <c r="NX22" s="11">
        <v>283889544.95999992</v>
      </c>
      <c r="NY22" s="11">
        <v>113344078</v>
      </c>
      <c r="NZ22" s="11">
        <v>29263168.73</v>
      </c>
      <c r="OA22" s="11">
        <v>24716319.310000002</v>
      </c>
      <c r="OB22" s="11">
        <v>32338875.489999998</v>
      </c>
      <c r="OC22" s="11">
        <v>42653456.890000001</v>
      </c>
      <c r="OD22" s="11">
        <v>24047363.98</v>
      </c>
      <c r="OE22" s="11">
        <v>336267415.27999997</v>
      </c>
      <c r="OF22" s="11">
        <v>101640573.22999999</v>
      </c>
      <c r="OG22" s="11">
        <v>49047332.18</v>
      </c>
      <c r="OH22" s="11">
        <v>100543648.94</v>
      </c>
      <c r="OI22" s="11">
        <v>32395397.84</v>
      </c>
      <c r="OJ22" s="11">
        <v>44905039.740000002</v>
      </c>
      <c r="OK22" s="11">
        <v>36515317.550000004</v>
      </c>
      <c r="OL22" s="11">
        <v>17860316.280000001</v>
      </c>
      <c r="OM22" s="11">
        <v>12537059.75</v>
      </c>
      <c r="ON22" s="11">
        <v>296888048.96000004</v>
      </c>
      <c r="OO22" s="11">
        <v>74435182.229999989</v>
      </c>
      <c r="OP22" s="11">
        <v>96129456.24000001</v>
      </c>
      <c r="OQ22" s="11">
        <v>50795657.270000003</v>
      </c>
      <c r="OR22" s="11">
        <v>36961627.240000002</v>
      </c>
      <c r="OS22" s="11">
        <v>14674779.380000001</v>
      </c>
      <c r="OT22" s="11">
        <v>176785416.44999999</v>
      </c>
      <c r="OU22" s="11">
        <v>25174895.48</v>
      </c>
      <c r="OV22" s="11">
        <v>24710637.650000002</v>
      </c>
      <c r="OW22" s="11">
        <v>39651905.649999999</v>
      </c>
      <c r="OX22" s="11">
        <v>40738818.220000006</v>
      </c>
      <c r="OY22" s="11">
        <v>79911187.030000016</v>
      </c>
      <c r="OZ22" s="11">
        <v>26936838.289999999</v>
      </c>
      <c r="PA22" s="11">
        <v>10414683.119999999</v>
      </c>
      <c r="PB22" s="11">
        <v>12458464.799999999</v>
      </c>
      <c r="PC22" s="11">
        <v>279228376.05000007</v>
      </c>
      <c r="PD22" s="11">
        <v>22394424.870000001</v>
      </c>
      <c r="PE22" s="11">
        <v>66146030.720000006</v>
      </c>
      <c r="PF22" s="11">
        <v>22422247.950000003</v>
      </c>
      <c r="PG22" s="11">
        <v>40208812.469999999</v>
      </c>
      <c r="PH22" s="11">
        <v>74926755</v>
      </c>
      <c r="PI22" s="11">
        <v>27282629.889999997</v>
      </c>
      <c r="PJ22" s="11">
        <v>26320185.950000003</v>
      </c>
      <c r="PK22" s="11">
        <v>33725703.010000005</v>
      </c>
      <c r="PL22" s="11">
        <v>26449068.819999997</v>
      </c>
      <c r="PM22" s="11">
        <v>30715614.799999997</v>
      </c>
      <c r="PN22" s="11">
        <v>44171085.030000001</v>
      </c>
      <c r="PO22" s="11">
        <v>25279118.530000005</v>
      </c>
      <c r="PP22" s="11">
        <v>75336033.100000009</v>
      </c>
      <c r="PQ22" s="11">
        <v>10764757.74</v>
      </c>
      <c r="PR22" s="11">
        <v>11740570</v>
      </c>
      <c r="PS22" s="11">
        <v>7787409.2699999996</v>
      </c>
      <c r="PT22" s="11">
        <v>10478935.51</v>
      </c>
      <c r="PU22" s="11">
        <v>636143241.37000012</v>
      </c>
      <c r="PV22" s="11">
        <v>34303223.219999999</v>
      </c>
      <c r="PW22" s="11">
        <v>39873472.380000003</v>
      </c>
      <c r="PX22" s="11">
        <v>55785532.740000002</v>
      </c>
      <c r="PY22" s="11">
        <v>140748347.21000001</v>
      </c>
      <c r="PZ22" s="11">
        <v>40097980.960000001</v>
      </c>
      <c r="QA22" s="11">
        <v>79899498.690000027</v>
      </c>
      <c r="QB22" s="11">
        <v>34793431.379999995</v>
      </c>
      <c r="QC22" s="11">
        <v>72683124.920000002</v>
      </c>
      <c r="QD22" s="11">
        <v>22207110.329999998</v>
      </c>
      <c r="QE22" s="11">
        <v>63710074.829999998</v>
      </c>
      <c r="QF22" s="11">
        <v>24014738.690000005</v>
      </c>
      <c r="QG22" s="11">
        <v>24130919.810000002</v>
      </c>
      <c r="QH22" s="11">
        <v>41823403.799999997</v>
      </c>
      <c r="QI22" s="11">
        <v>51527853.409999996</v>
      </c>
      <c r="QJ22" s="11">
        <v>59794280.259999998</v>
      </c>
      <c r="QK22" s="11">
        <v>30807825</v>
      </c>
      <c r="QL22" s="11">
        <v>30329073.699999999</v>
      </c>
      <c r="QM22" s="11">
        <v>22971224.960000001</v>
      </c>
      <c r="QN22" s="11">
        <v>56893368.68</v>
      </c>
      <c r="QO22" s="11">
        <v>65184568.139999993</v>
      </c>
      <c r="QP22" s="11">
        <v>26159458.75</v>
      </c>
      <c r="QQ22" s="11">
        <v>7187175.1500000004</v>
      </c>
      <c r="QR22" s="11">
        <v>5240926.13</v>
      </c>
      <c r="QS22" s="11">
        <v>9159991.9399999995</v>
      </c>
      <c r="QT22" s="11">
        <v>7780783</v>
      </c>
      <c r="QU22" s="11">
        <v>325994482.90000004</v>
      </c>
      <c r="QV22" s="11">
        <v>25532530</v>
      </c>
      <c r="QW22" s="11">
        <v>65745422.539999999</v>
      </c>
      <c r="QX22" s="11">
        <v>42342120</v>
      </c>
      <c r="QY22" s="11">
        <v>38823500</v>
      </c>
      <c r="QZ22" s="11">
        <v>62543314.670000002</v>
      </c>
      <c r="RA22" s="11">
        <v>28057340</v>
      </c>
      <c r="RB22" s="11">
        <v>60234700</v>
      </c>
      <c r="RC22" s="11">
        <v>64256009.329999998</v>
      </c>
      <c r="RD22" s="11">
        <v>27627000</v>
      </c>
      <c r="RE22" s="11">
        <v>21192540</v>
      </c>
      <c r="RF22" s="11">
        <v>9487050</v>
      </c>
      <c r="RG22" s="11">
        <v>8674370</v>
      </c>
      <c r="RH22" s="11">
        <v>415031401.24000001</v>
      </c>
      <c r="RI22" s="11">
        <v>50789533.400000006</v>
      </c>
      <c r="RJ22" s="11">
        <v>27201170.23</v>
      </c>
      <c r="RK22" s="11">
        <v>39071461.910000004</v>
      </c>
      <c r="RL22" s="11">
        <v>36921003.549999997</v>
      </c>
      <c r="RM22" s="11">
        <v>39981074.470000006</v>
      </c>
      <c r="RN22" s="11">
        <v>66490301.330000006</v>
      </c>
      <c r="RO22" s="11">
        <v>27433531.310000002</v>
      </c>
      <c r="RP22" s="11">
        <v>32707882.879999999</v>
      </c>
      <c r="RQ22" s="11">
        <v>60825039.960000001</v>
      </c>
      <c r="RR22" s="11">
        <v>67032855.310000002</v>
      </c>
      <c r="RS22" s="11">
        <v>26502226.689999998</v>
      </c>
      <c r="RT22" s="11">
        <v>19929505.850000001</v>
      </c>
      <c r="RU22" s="11">
        <v>31354271.449999999</v>
      </c>
      <c r="RV22" s="11">
        <v>20003662.220000003</v>
      </c>
      <c r="RW22" s="11">
        <v>28548648.029999997</v>
      </c>
      <c r="RX22" s="11">
        <v>35757455.469999999</v>
      </c>
      <c r="RY22" s="11">
        <v>5193342.5600000005</v>
      </c>
      <c r="RZ22" s="11">
        <v>4780738.1399999997</v>
      </c>
      <c r="SA22" s="11">
        <v>6578940</v>
      </c>
      <c r="SB22" s="11">
        <v>229438771.41</v>
      </c>
      <c r="SC22" s="11">
        <v>28771649.710000001</v>
      </c>
      <c r="SD22" s="11">
        <v>32768362.240000002</v>
      </c>
      <c r="SE22" s="11">
        <v>32458837.109999999</v>
      </c>
      <c r="SF22" s="11">
        <v>19563575.800000001</v>
      </c>
      <c r="SG22" s="11">
        <v>33914085.579999998</v>
      </c>
      <c r="SH22" s="11">
        <v>42829177.220000006</v>
      </c>
      <c r="SI22" s="11">
        <v>44750355.990000002</v>
      </c>
      <c r="SJ22" s="11">
        <v>28402063.539999999</v>
      </c>
      <c r="SK22" s="11">
        <v>25731129.07</v>
      </c>
      <c r="SL22" s="11">
        <v>61299192.249999993</v>
      </c>
      <c r="SM22" s="11">
        <v>6114231.3200000003</v>
      </c>
      <c r="SN22" s="11">
        <v>89630105.649999991</v>
      </c>
      <c r="SO22" s="11">
        <v>24599983.899999999</v>
      </c>
      <c r="SP22" s="11">
        <v>27817038.400000002</v>
      </c>
      <c r="SQ22" s="11">
        <v>42411475.600000001</v>
      </c>
      <c r="SR22" s="11">
        <v>28495847.069999997</v>
      </c>
      <c r="SS22" s="11">
        <v>23111488.18</v>
      </c>
      <c r="ST22" s="11">
        <v>25501946.09</v>
      </c>
      <c r="SU22" s="11">
        <v>14757515.16</v>
      </c>
      <c r="SV22" s="11">
        <v>247303360.36000001</v>
      </c>
      <c r="SW22" s="11">
        <v>19514406.670000002</v>
      </c>
      <c r="SX22" s="11">
        <v>32428952.499999996</v>
      </c>
      <c r="SY22" s="11">
        <v>21306514.369999997</v>
      </c>
      <c r="SZ22" s="11">
        <v>15392273.25</v>
      </c>
      <c r="TA22" s="11">
        <v>21699972.899999999</v>
      </c>
      <c r="TB22" s="11">
        <v>22973812.43</v>
      </c>
      <c r="TC22" s="11">
        <v>68251032.099999994</v>
      </c>
      <c r="TD22" s="11">
        <v>25231716.399999999</v>
      </c>
      <c r="TE22" s="11">
        <v>21213468.059999999</v>
      </c>
      <c r="TF22" s="11">
        <v>23971108.780000005</v>
      </c>
      <c r="TG22" s="11">
        <v>42043959.859999999</v>
      </c>
      <c r="TH22" s="11">
        <v>22368006.670000002</v>
      </c>
      <c r="TI22" s="11">
        <v>13705614.960000001</v>
      </c>
      <c r="TJ22" s="11">
        <v>387159904.10000002</v>
      </c>
      <c r="TK22" s="11">
        <v>26015203.069999997</v>
      </c>
      <c r="TL22" s="11">
        <v>22097878.399999999</v>
      </c>
      <c r="TM22" s="11">
        <v>50137002.840000004</v>
      </c>
      <c r="TN22" s="11">
        <v>45796222.759999998</v>
      </c>
      <c r="TO22" s="11">
        <v>27337672.379999995</v>
      </c>
      <c r="TP22" s="11">
        <v>14530092.67</v>
      </c>
      <c r="TQ22" s="11">
        <v>68110158.150000006</v>
      </c>
      <c r="TR22" s="11">
        <v>24925851.260000002</v>
      </c>
      <c r="TS22" s="11">
        <v>38690206.259999998</v>
      </c>
      <c r="TT22" s="11">
        <v>49586294.030000001</v>
      </c>
      <c r="TU22" s="11">
        <v>24575419.879999999</v>
      </c>
      <c r="TV22" s="11">
        <v>20560350</v>
      </c>
      <c r="TW22" s="11">
        <v>33452012.869999997</v>
      </c>
      <c r="TX22" s="11">
        <v>23619893.039999999</v>
      </c>
      <c r="TY22" s="11">
        <v>20842485.850000001</v>
      </c>
      <c r="TZ22" s="11">
        <v>109369550.62000002</v>
      </c>
      <c r="UA22" s="11">
        <v>21061043.369999997</v>
      </c>
      <c r="UB22" s="11">
        <v>223717442.51999998</v>
      </c>
      <c r="UC22" s="11">
        <v>60895649.220000006</v>
      </c>
      <c r="UD22" s="11">
        <v>28048263.09</v>
      </c>
      <c r="UE22" s="11">
        <v>22153211.080000002</v>
      </c>
      <c r="UF22" s="11">
        <v>112090269.95999999</v>
      </c>
      <c r="UG22" s="11">
        <v>17756006.34</v>
      </c>
      <c r="UH22" s="11">
        <v>9321215.379999999</v>
      </c>
      <c r="UI22" s="11">
        <v>12194881.84</v>
      </c>
      <c r="UJ22" s="11">
        <v>11739031.07</v>
      </c>
      <c r="UK22" s="11">
        <v>158199471.31</v>
      </c>
      <c r="UL22" s="11">
        <v>41859692.289999992</v>
      </c>
      <c r="UM22" s="11">
        <v>31089613.91</v>
      </c>
      <c r="UN22" s="11">
        <v>48118540.319999993</v>
      </c>
      <c r="UO22" s="11">
        <v>30905541.420000002</v>
      </c>
      <c r="UP22" s="11">
        <v>18107995.230000004</v>
      </c>
      <c r="UQ22" s="11">
        <v>579739765.19000006</v>
      </c>
      <c r="UR22" s="11">
        <v>34710644.450000003</v>
      </c>
      <c r="US22" s="11">
        <v>34405756.329999998</v>
      </c>
      <c r="UT22" s="11">
        <v>101620646.45</v>
      </c>
      <c r="UU22" s="11">
        <v>10448330</v>
      </c>
      <c r="UV22" s="11">
        <v>27624667.850000001</v>
      </c>
      <c r="UW22" s="11">
        <v>66329562.710000001</v>
      </c>
      <c r="UX22" s="11">
        <v>23457985.080000002</v>
      </c>
      <c r="UY22" s="11">
        <v>18619127.489999998</v>
      </c>
      <c r="UZ22" s="11">
        <v>25973268.27</v>
      </c>
      <c r="VA22" s="11">
        <v>34684053.010000005</v>
      </c>
      <c r="VB22" s="11">
        <v>56813660.559999995</v>
      </c>
      <c r="VC22" s="11">
        <v>37780578.149999999</v>
      </c>
      <c r="VD22" s="11">
        <v>48871076.980000004</v>
      </c>
      <c r="VE22" s="11">
        <v>18557775.970000003</v>
      </c>
      <c r="VF22" s="11">
        <v>21731968.289999999</v>
      </c>
      <c r="VG22" s="11">
        <v>13846700.590000002</v>
      </c>
      <c r="VH22" s="11">
        <v>20818749.52</v>
      </c>
      <c r="VI22" s="11">
        <v>58467248.660000004</v>
      </c>
      <c r="VJ22" s="11">
        <v>9474524.0199999996</v>
      </c>
      <c r="VK22" s="11">
        <v>9514854.6699999999</v>
      </c>
      <c r="VL22" s="11">
        <v>10243190</v>
      </c>
      <c r="VM22" s="11">
        <v>297964877.15999997</v>
      </c>
      <c r="VN22" s="11">
        <v>36253247.379999995</v>
      </c>
      <c r="VO22" s="11">
        <v>37748893.920000002</v>
      </c>
      <c r="VP22" s="11">
        <v>41717963.469999991</v>
      </c>
      <c r="VQ22" s="11">
        <v>53224772.640000001</v>
      </c>
      <c r="VR22" s="11">
        <v>48711773.049999997</v>
      </c>
      <c r="VS22" s="11">
        <v>37103057.629999995</v>
      </c>
      <c r="VT22" s="11">
        <v>32536884.190000001</v>
      </c>
      <c r="VU22" s="11">
        <v>28461291.760000002</v>
      </c>
      <c r="VV22" s="11">
        <v>94107552.429999992</v>
      </c>
      <c r="VW22" s="11">
        <v>31746872.929999996</v>
      </c>
      <c r="VX22" s="11">
        <v>53866762.670000002</v>
      </c>
      <c r="VY22" s="11">
        <v>28466406.710000001</v>
      </c>
      <c r="VZ22" s="11">
        <v>21281657.650000002</v>
      </c>
      <c r="WA22" s="11">
        <v>23656631.239999995</v>
      </c>
      <c r="WB22" s="11">
        <v>811516374.56000006</v>
      </c>
      <c r="WC22" s="11">
        <v>55676281.700000003</v>
      </c>
      <c r="WD22" s="11">
        <v>36385152.57</v>
      </c>
      <c r="WE22" s="11">
        <v>38756963.880000003</v>
      </c>
      <c r="WF22" s="11">
        <v>22522815.16</v>
      </c>
      <c r="WG22" s="11">
        <v>47852853.82</v>
      </c>
      <c r="WH22" s="11">
        <v>63162585.050000004</v>
      </c>
      <c r="WI22" s="11">
        <v>61514559.799999997</v>
      </c>
      <c r="WJ22" s="11">
        <v>40277218.5</v>
      </c>
      <c r="WK22" s="11">
        <v>57803841.980000004</v>
      </c>
      <c r="WL22" s="11">
        <v>37834532.739999995</v>
      </c>
      <c r="WM22" s="11">
        <v>74824268.570000008</v>
      </c>
      <c r="WN22" s="11">
        <v>41296492.629999988</v>
      </c>
      <c r="WO22" s="11">
        <v>67496396.860000014</v>
      </c>
      <c r="WP22" s="11">
        <v>76338211.139999986</v>
      </c>
      <c r="WQ22" s="11">
        <v>38465521.350000001</v>
      </c>
      <c r="WR22" s="11">
        <v>45255816.659999996</v>
      </c>
      <c r="WS22" s="11">
        <v>57093920.670000002</v>
      </c>
      <c r="WT22" s="11">
        <v>36638169.569999993</v>
      </c>
      <c r="WU22" s="11">
        <v>69935572.169999987</v>
      </c>
      <c r="WV22" s="11">
        <v>130469661.8</v>
      </c>
      <c r="WW22" s="11">
        <v>39848306.490000002</v>
      </c>
      <c r="WX22" s="11">
        <v>24144804.649999999</v>
      </c>
      <c r="WY22" s="11">
        <v>25104082.620000001</v>
      </c>
      <c r="WZ22" s="11">
        <v>25757520</v>
      </c>
      <c r="XA22" s="11">
        <v>21005555.870000001</v>
      </c>
      <c r="XB22" s="11">
        <v>22725007.859999999</v>
      </c>
      <c r="XC22" s="11">
        <v>23703284.190000001</v>
      </c>
      <c r="XD22" s="11">
        <v>87860302.730000019</v>
      </c>
      <c r="XE22" s="11">
        <v>17589803.800000001</v>
      </c>
      <c r="XF22" s="11">
        <v>10463090.23</v>
      </c>
      <c r="XG22" s="11">
        <v>10862470</v>
      </c>
      <c r="XH22" s="11">
        <v>10476843.370000001</v>
      </c>
      <c r="XI22" s="11">
        <v>428553896.87999994</v>
      </c>
      <c r="XJ22" s="11">
        <v>39663866.829999991</v>
      </c>
      <c r="XK22" s="11">
        <v>43180617.530000001</v>
      </c>
      <c r="XL22" s="11">
        <v>161635223.48000002</v>
      </c>
      <c r="XM22" s="11">
        <v>43463867.899999999</v>
      </c>
      <c r="XN22" s="11">
        <v>45539925.960000001</v>
      </c>
      <c r="XO22" s="11">
        <v>70840990.780000001</v>
      </c>
      <c r="XP22" s="11">
        <v>32222341.529999994</v>
      </c>
      <c r="XQ22" s="11">
        <v>38734469.990000002</v>
      </c>
      <c r="XR22" s="11">
        <v>68597623.319999993</v>
      </c>
      <c r="XS22" s="11">
        <v>47685651.350000001</v>
      </c>
      <c r="XT22" s="11">
        <v>26575388.280000001</v>
      </c>
      <c r="XU22" s="11">
        <v>24519501.57</v>
      </c>
      <c r="XV22" s="11">
        <v>26261598.539999999</v>
      </c>
      <c r="XW22" s="11">
        <v>24958372.859999999</v>
      </c>
      <c r="XX22" s="11">
        <v>22841909.849999998</v>
      </c>
      <c r="XY22" s="11">
        <v>17396495.939999998</v>
      </c>
      <c r="XZ22" s="11">
        <v>20544655.859999996</v>
      </c>
      <c r="YA22" s="11">
        <v>20011840</v>
      </c>
      <c r="YB22" s="11">
        <v>19729960</v>
      </c>
      <c r="YC22" s="11">
        <v>18521360.719999999</v>
      </c>
      <c r="YD22" s="11">
        <v>13611888.810000001</v>
      </c>
      <c r="YE22" s="11">
        <v>14181229.68</v>
      </c>
      <c r="YF22" s="11">
        <v>487609851.98999995</v>
      </c>
      <c r="YG22" s="11">
        <v>32230189.149999999</v>
      </c>
      <c r="YH22" s="11">
        <v>55579341.530000001</v>
      </c>
      <c r="YI22" s="11">
        <v>35214370.039999999</v>
      </c>
      <c r="YJ22" s="11">
        <v>97168398.149999976</v>
      </c>
      <c r="YK22" s="11">
        <v>37338030.460000001</v>
      </c>
      <c r="YL22" s="11">
        <v>57033169.269999996</v>
      </c>
      <c r="YM22" s="11">
        <v>22582951.129999999</v>
      </c>
      <c r="YN22" s="11">
        <v>67154726.859999999</v>
      </c>
      <c r="YO22" s="11">
        <v>62854132.360000007</v>
      </c>
      <c r="YP22" s="11">
        <v>45870129.860000007</v>
      </c>
      <c r="YQ22" s="11">
        <v>26100010.370000005</v>
      </c>
      <c r="YR22" s="11">
        <v>22269591.93</v>
      </c>
      <c r="YS22" s="11">
        <v>20612241.270000003</v>
      </c>
      <c r="YT22" s="11">
        <v>13058010.359999999</v>
      </c>
      <c r="YU22" s="11">
        <v>11135544.68</v>
      </c>
      <c r="YV22" s="11">
        <v>8617805.1600000001</v>
      </c>
      <c r="YW22" s="11">
        <v>208498594.75</v>
      </c>
      <c r="YX22" s="11">
        <v>35062725.789999999</v>
      </c>
      <c r="YY22" s="11">
        <v>33708266.060000002</v>
      </c>
      <c r="YZ22" s="11">
        <v>27020577.960000005</v>
      </c>
      <c r="ZA22" s="11">
        <v>34100036.689999998</v>
      </c>
      <c r="ZB22" s="11">
        <v>24337150</v>
      </c>
      <c r="ZC22" s="11">
        <v>30352181.289999999</v>
      </c>
      <c r="ZD22" s="11">
        <v>228268848.45000002</v>
      </c>
      <c r="ZE22" s="11">
        <v>27812853.800000001</v>
      </c>
      <c r="ZF22" s="11">
        <v>34837049.850000001</v>
      </c>
      <c r="ZG22" s="11">
        <v>43257953.229999997</v>
      </c>
      <c r="ZH22" s="11">
        <v>25761031.41</v>
      </c>
      <c r="ZI22" s="11">
        <v>34478051.599999994</v>
      </c>
      <c r="ZJ22" s="11">
        <v>23328273.93</v>
      </c>
      <c r="ZK22" s="11">
        <v>22530012.77</v>
      </c>
      <c r="ZL22" s="11">
        <v>69145330.629999995</v>
      </c>
      <c r="ZM22" s="11">
        <v>338390132.05000001</v>
      </c>
      <c r="ZN22" s="11">
        <v>23155420.93</v>
      </c>
      <c r="ZO22" s="11">
        <v>58932624.789999999</v>
      </c>
      <c r="ZP22" s="11">
        <v>102352022.44999999</v>
      </c>
      <c r="ZQ22" s="11">
        <v>68248402.11999999</v>
      </c>
      <c r="ZR22" s="11">
        <v>31611597.919999998</v>
      </c>
      <c r="ZS22" s="11">
        <v>32976702.09</v>
      </c>
      <c r="ZT22" s="11">
        <v>56641900.300000004</v>
      </c>
      <c r="ZU22" s="11">
        <v>59117648.389999993</v>
      </c>
      <c r="ZV22" s="11">
        <v>72625158.329999998</v>
      </c>
      <c r="ZW22" s="11">
        <v>22766399.16</v>
      </c>
      <c r="ZX22" s="11">
        <v>22937102.020000003</v>
      </c>
      <c r="ZY22" s="11">
        <v>20783520</v>
      </c>
      <c r="ZZ22" s="11">
        <v>33036457</v>
      </c>
      <c r="AAA22" s="11">
        <v>30610631.77</v>
      </c>
      <c r="AAB22" s="11">
        <v>26746671.489999998</v>
      </c>
      <c r="AAC22" s="11">
        <v>28211665.720000003</v>
      </c>
      <c r="AAD22" s="11">
        <v>14972970.109999999</v>
      </c>
      <c r="AAE22" s="11">
        <v>17346575.16</v>
      </c>
      <c r="AAF22" s="11">
        <v>14084640.590000002</v>
      </c>
      <c r="AAG22" s="11">
        <v>13259096.630000001</v>
      </c>
      <c r="AAH22" s="11">
        <v>10940585.870000001</v>
      </c>
      <c r="AAI22" s="11">
        <v>178319415.89000002</v>
      </c>
      <c r="AAJ22" s="11">
        <v>24403708.859999999</v>
      </c>
      <c r="AAK22" s="11">
        <v>24064454.18</v>
      </c>
      <c r="AAL22" s="11">
        <v>29247572.319999997</v>
      </c>
      <c r="AAM22" s="11">
        <v>27323515.470000003</v>
      </c>
      <c r="AAN22" s="11">
        <v>29748445.859999999</v>
      </c>
      <c r="AAO22" s="11">
        <v>24160776.989999998</v>
      </c>
      <c r="AAP22" s="11">
        <v>756702369.53999996</v>
      </c>
      <c r="AAQ22" s="11">
        <v>29780983.580000002</v>
      </c>
      <c r="AAR22" s="11">
        <v>21113007.370000001</v>
      </c>
      <c r="AAS22" s="11">
        <v>53495069.349999994</v>
      </c>
      <c r="AAT22" s="11">
        <v>36976281.079999998</v>
      </c>
      <c r="AAU22" s="11">
        <v>28213114.609999999</v>
      </c>
      <c r="AAV22" s="11">
        <v>28659625.350000001</v>
      </c>
      <c r="AAW22" s="11">
        <v>36265529.439999998</v>
      </c>
      <c r="AAX22" s="11">
        <v>57295234.840000004</v>
      </c>
      <c r="AAY22" s="11">
        <v>18807963.639999997</v>
      </c>
      <c r="AAZ22" s="11">
        <v>37440812.269999996</v>
      </c>
      <c r="ABA22" s="11">
        <v>114285231.23999999</v>
      </c>
      <c r="ABB22" s="11">
        <v>54925883.779999994</v>
      </c>
      <c r="ABC22" s="11">
        <v>21393960</v>
      </c>
      <c r="ABD22" s="11">
        <v>22917842.030000001</v>
      </c>
      <c r="ABE22" s="11">
        <v>26641323.489999998</v>
      </c>
      <c r="ABF22" s="11">
        <v>17486224.689999998</v>
      </c>
      <c r="ABG22" s="11">
        <v>18821466.98</v>
      </c>
      <c r="ABH22" s="11">
        <v>14852886.58</v>
      </c>
      <c r="ABI22" s="11">
        <v>129535837.67000002</v>
      </c>
      <c r="ABJ22" s="11">
        <v>68211843.909999996</v>
      </c>
      <c r="ABK22" s="11">
        <v>13696526.550000001</v>
      </c>
      <c r="ABL22" s="11">
        <v>11602010</v>
      </c>
      <c r="ABM22" s="11">
        <v>13305378.27</v>
      </c>
      <c r="ABN22" s="11">
        <v>9096566.4499999993</v>
      </c>
      <c r="ABO22" s="11">
        <v>13031276.130000001</v>
      </c>
      <c r="ABP22" s="11">
        <v>205305588.98000005</v>
      </c>
      <c r="ABQ22" s="11">
        <v>37008216.449999996</v>
      </c>
      <c r="ABR22" s="11">
        <v>19835342.939999998</v>
      </c>
      <c r="ABS22" s="11">
        <v>42327431.849999987</v>
      </c>
      <c r="ABT22" s="11">
        <v>45162578.490000002</v>
      </c>
      <c r="ABU22" s="11">
        <v>31155910.969999999</v>
      </c>
      <c r="ABV22" s="11">
        <v>29316842.260000002</v>
      </c>
      <c r="ABW22" s="11">
        <v>39760331.019999996</v>
      </c>
      <c r="ABX22" s="11">
        <v>7843523.6000000006</v>
      </c>
      <c r="ABY22" s="11">
        <v>258604334.13000003</v>
      </c>
      <c r="ABZ22" s="11">
        <v>23613767.109999999</v>
      </c>
      <c r="ACA22" s="11">
        <v>39539906.619999997</v>
      </c>
      <c r="ACB22" s="11">
        <v>32424572.079999998</v>
      </c>
      <c r="ACC22" s="11">
        <v>20249390.809999999</v>
      </c>
      <c r="ACD22" s="11">
        <v>62833989.269999996</v>
      </c>
      <c r="ACE22" s="11">
        <v>19225187.550000001</v>
      </c>
      <c r="ACF22" s="11">
        <v>35073114.429999992</v>
      </c>
      <c r="ACG22" s="11">
        <v>22652831.059999999</v>
      </c>
      <c r="ACH22" s="11">
        <v>22412149.119999997</v>
      </c>
      <c r="ACI22" s="11">
        <v>22937890.559999999</v>
      </c>
      <c r="ACJ22" s="11">
        <v>484202513.5</v>
      </c>
      <c r="ACK22" s="11">
        <v>30899445.059999999</v>
      </c>
      <c r="ACL22" s="11">
        <v>38706657.899999991</v>
      </c>
      <c r="ACM22" s="11">
        <v>56062855.899999999</v>
      </c>
      <c r="ACN22" s="11">
        <v>27403943.189999998</v>
      </c>
      <c r="ACO22" s="11">
        <v>43310783.82</v>
      </c>
      <c r="ACP22" s="11">
        <v>42731235.159999996</v>
      </c>
      <c r="ACQ22" s="11">
        <v>96093559.900000006</v>
      </c>
      <c r="ACR22" s="11">
        <v>132038581.17999999</v>
      </c>
      <c r="ACS22" s="11">
        <v>34765233.649999999</v>
      </c>
      <c r="ACT22" s="11">
        <v>33693243.560000002</v>
      </c>
      <c r="ACU22" s="11">
        <v>46281934.200000003</v>
      </c>
      <c r="ACV22" s="11">
        <v>34932465.82</v>
      </c>
      <c r="ACW22" s="11">
        <v>91374362.809999987</v>
      </c>
      <c r="ACX22" s="11">
        <v>28956512.259999994</v>
      </c>
      <c r="ACY22" s="11">
        <v>41220226.809999995</v>
      </c>
      <c r="ACZ22" s="11">
        <v>26702492</v>
      </c>
      <c r="ADA22" s="11">
        <v>16309965.16</v>
      </c>
      <c r="ADB22" s="11">
        <v>23613264.73</v>
      </c>
      <c r="ADC22" s="11">
        <v>15245071.82</v>
      </c>
      <c r="ADD22" s="11">
        <v>10766065.16</v>
      </c>
      <c r="ADE22" s="11">
        <v>10424500.51</v>
      </c>
      <c r="ADF22" s="11">
        <v>15503537.189999999</v>
      </c>
      <c r="ADG22" s="11">
        <v>142665338.16999999</v>
      </c>
      <c r="ADH22" s="11">
        <v>125135444.19999999</v>
      </c>
      <c r="ADI22" s="11">
        <v>22182613.539999999</v>
      </c>
      <c r="ADJ22" s="11">
        <v>22794095.970000003</v>
      </c>
      <c r="ADK22" s="11">
        <v>26369001</v>
      </c>
      <c r="ADL22" s="11">
        <v>16621707.08</v>
      </c>
      <c r="ADM22" s="11">
        <v>31280111.949999999</v>
      </c>
      <c r="ADN22" s="11">
        <v>24937818.969999999</v>
      </c>
      <c r="ADO22" s="11">
        <v>29280935.809999999</v>
      </c>
      <c r="ADP22" s="11">
        <v>368663984.52999997</v>
      </c>
      <c r="ADQ22" s="11">
        <v>54329402.230000004</v>
      </c>
      <c r="ADR22" s="11">
        <v>60813161.519999996</v>
      </c>
      <c r="ADS22" s="11">
        <v>9794586.6600000001</v>
      </c>
      <c r="ADT22" s="11">
        <v>166630634.79999998</v>
      </c>
      <c r="ADU22" s="11">
        <v>19205189.59</v>
      </c>
      <c r="ADV22" s="11">
        <v>23043955.650000002</v>
      </c>
      <c r="ADW22" s="11">
        <v>36830359.369999997</v>
      </c>
      <c r="ADX22" s="11">
        <v>15701057.42</v>
      </c>
      <c r="ADY22" s="11">
        <v>3354537.9</v>
      </c>
      <c r="ADZ22" s="11">
        <v>542801064.34000003</v>
      </c>
      <c r="AEA22" s="11">
        <v>90243995.679999992</v>
      </c>
      <c r="AEB22" s="11">
        <v>70486903.720000014</v>
      </c>
      <c r="AEC22" s="11">
        <v>27360829.330000002</v>
      </c>
      <c r="AED22" s="11">
        <v>15669205.16</v>
      </c>
      <c r="AEE22" s="11">
        <v>42147332.359999999</v>
      </c>
      <c r="AEF22" s="11">
        <v>32638177.779999997</v>
      </c>
      <c r="AEG22" s="11">
        <v>30049348.129999999</v>
      </c>
      <c r="AEH22" s="11">
        <v>22360462.5</v>
      </c>
      <c r="AEI22" s="11">
        <v>24283902.539999999</v>
      </c>
      <c r="AEJ22" s="11">
        <v>27647008.220000003</v>
      </c>
      <c r="AEK22" s="11">
        <v>45874143.380000003</v>
      </c>
      <c r="AEL22" s="11">
        <v>27714780.170000002</v>
      </c>
      <c r="AEM22" s="11">
        <v>27455543.23</v>
      </c>
      <c r="AEN22" s="11">
        <v>37462559.240000002</v>
      </c>
      <c r="AEO22" s="11">
        <v>38150663.490000002</v>
      </c>
      <c r="AEP22" s="11">
        <v>22418186.719999995</v>
      </c>
      <c r="AEQ22" s="11">
        <v>48499321.210000001</v>
      </c>
      <c r="AER22" s="11">
        <v>16085696.77</v>
      </c>
      <c r="AES22" s="11">
        <v>47349926.130000003</v>
      </c>
      <c r="AET22" s="11">
        <v>361900961.70000005</v>
      </c>
      <c r="AEU22" s="11">
        <v>52008234.120000005</v>
      </c>
      <c r="AEV22" s="11">
        <v>51663708.530000001</v>
      </c>
      <c r="AEW22" s="11">
        <v>34175339.020000003</v>
      </c>
      <c r="AEX22" s="11">
        <v>30335479.539999999</v>
      </c>
      <c r="AEY22" s="11">
        <v>62259257.219999999</v>
      </c>
      <c r="AEZ22" s="11">
        <v>35497098.969999999</v>
      </c>
      <c r="AFA22" s="11">
        <v>44697774.089999996</v>
      </c>
      <c r="AFB22" s="11">
        <v>29243610.399999999</v>
      </c>
      <c r="AFC22" s="11">
        <v>12833647.41</v>
      </c>
      <c r="AFD22" s="11">
        <v>262579937.14000002</v>
      </c>
      <c r="AFE22" s="11">
        <v>164828978.19999996</v>
      </c>
      <c r="AFF22" s="11">
        <v>53852438.920000009</v>
      </c>
      <c r="AFG22" s="11">
        <v>54081141.509999998</v>
      </c>
      <c r="AFH22" s="11">
        <v>76684040</v>
      </c>
      <c r="AFI22" s="11">
        <v>61828780.43</v>
      </c>
      <c r="AFJ22" s="11">
        <v>38695745.940000005</v>
      </c>
      <c r="AFK22" s="11">
        <v>50928337.299999997</v>
      </c>
      <c r="AFL22" s="11">
        <v>32976430.600000001</v>
      </c>
      <c r="AFM22" s="11">
        <v>50492680.899999999</v>
      </c>
      <c r="AFN22" s="11">
        <v>41959446.86999999</v>
      </c>
      <c r="AFO22" s="11">
        <v>39604917.360000014</v>
      </c>
      <c r="AFP22" s="11">
        <v>58926384.57</v>
      </c>
      <c r="AFQ22" s="11">
        <v>288745218.31</v>
      </c>
      <c r="AFR22" s="11">
        <v>78492393.359999999</v>
      </c>
      <c r="AFS22" s="11">
        <v>49548660.369999997</v>
      </c>
      <c r="AFT22" s="11">
        <v>47168431.459999993</v>
      </c>
      <c r="AFU22" s="11">
        <v>47921196.68999999</v>
      </c>
      <c r="AFV22" s="11">
        <v>36606685.25</v>
      </c>
      <c r="AFW22" s="11">
        <v>30255101.109999999</v>
      </c>
      <c r="AFX22" s="11">
        <v>63813273.459999993</v>
      </c>
      <c r="AFY22" s="11">
        <v>54856736.18</v>
      </c>
      <c r="AFZ22" s="11">
        <v>31013082.039999999</v>
      </c>
      <c r="AGA22" s="11">
        <v>63382223.809999995</v>
      </c>
      <c r="AGB22" s="11">
        <v>30290436.899999999</v>
      </c>
      <c r="AGC22" s="11">
        <v>282827982.98000002</v>
      </c>
      <c r="AGD22" s="11">
        <v>27791792.949999999</v>
      </c>
      <c r="AGE22" s="11">
        <v>35027733.870000005</v>
      </c>
      <c r="AGF22" s="11">
        <v>34010164.700000003</v>
      </c>
      <c r="AGG22" s="11">
        <v>67627116.769999996</v>
      </c>
      <c r="AGH22" s="11">
        <v>31767509.390000001</v>
      </c>
      <c r="AGI22" s="11">
        <v>29928469.650000002</v>
      </c>
      <c r="AGJ22" s="11">
        <v>32817736.84</v>
      </c>
      <c r="AGK22" s="11">
        <v>26136221.309999999</v>
      </c>
      <c r="AGL22" s="11">
        <v>37323313.480000004</v>
      </c>
      <c r="AGM22" s="11">
        <v>16607025.290000001</v>
      </c>
      <c r="AGN22" s="11">
        <v>430034662.79000002</v>
      </c>
      <c r="AGO22" s="11">
        <v>113407151.54999998</v>
      </c>
      <c r="AGP22" s="11">
        <v>51121094.059999995</v>
      </c>
      <c r="AGQ22" s="11">
        <v>31336272.080000002</v>
      </c>
      <c r="AGR22" s="11">
        <v>57893531.700000003</v>
      </c>
      <c r="AGS22" s="11">
        <v>53279683.569999993</v>
      </c>
      <c r="AGT22" s="11">
        <v>27373732.899999999</v>
      </c>
      <c r="AGU22" s="11">
        <v>22713881.77</v>
      </c>
      <c r="AGV22" s="11">
        <v>555720334.13999987</v>
      </c>
      <c r="AGW22" s="11">
        <v>331320695.94999999</v>
      </c>
      <c r="AGX22" s="11">
        <v>40071500.82</v>
      </c>
      <c r="AGY22" s="11">
        <v>81426365.700000003</v>
      </c>
      <c r="AGZ22" s="11">
        <v>88259225.919999987</v>
      </c>
      <c r="AHA22" s="11">
        <v>62090594.700000003</v>
      </c>
      <c r="AHB22" s="11">
        <v>57189552.410000004</v>
      </c>
      <c r="AHC22" s="11">
        <v>46662480.850000001</v>
      </c>
      <c r="AHD22" s="11">
        <v>18144264.850000001</v>
      </c>
      <c r="AHE22" s="11">
        <v>35514821.309999995</v>
      </c>
      <c r="AHF22" s="11">
        <v>37215593.539999999</v>
      </c>
      <c r="AHG22" s="11">
        <v>30334787.260000002</v>
      </c>
      <c r="AHH22" s="11">
        <v>25511757.579999998</v>
      </c>
      <c r="AHI22" s="11">
        <v>23689357.439999998</v>
      </c>
      <c r="AHJ22" s="11">
        <v>29147140.48</v>
      </c>
      <c r="AHK22" s="11">
        <v>39439819.459999993</v>
      </c>
      <c r="AHL22" s="11">
        <v>25718392.699999999</v>
      </c>
      <c r="AHM22" s="11">
        <v>193163422.16</v>
      </c>
      <c r="AHN22" s="11">
        <v>41219419.659999996</v>
      </c>
      <c r="AHO22" s="11">
        <v>45012434.330000006</v>
      </c>
      <c r="AHP22" s="11">
        <v>37903616.359999999</v>
      </c>
      <c r="AHQ22" s="11">
        <v>60071188.399999999</v>
      </c>
      <c r="AHR22" s="11">
        <v>38467855.189999998</v>
      </c>
      <c r="AHS22" s="11">
        <v>12044476</v>
      </c>
      <c r="AHT22" s="11">
        <v>57486987191.910034</v>
      </c>
      <c r="AHU22" s="11"/>
    </row>
    <row r="23" spans="2:905" x14ac:dyDescent="0.7">
      <c r="B23" s="6" t="s">
        <v>27</v>
      </c>
      <c r="C23" s="6" t="s">
        <v>28</v>
      </c>
      <c r="D23" s="11">
        <v>115572322.15000001</v>
      </c>
      <c r="E23" s="11">
        <v>11631247.58</v>
      </c>
      <c r="F23" s="11">
        <v>13210449</v>
      </c>
      <c r="G23" s="11">
        <v>8665765.5700000003</v>
      </c>
      <c r="H23" s="11">
        <v>26603144</v>
      </c>
      <c r="I23" s="11">
        <v>10576572.09</v>
      </c>
      <c r="J23" s="11">
        <v>21999306.170000002</v>
      </c>
      <c r="K23" s="11">
        <v>16206143.83</v>
      </c>
      <c r="L23" s="11">
        <v>16419005.030000001</v>
      </c>
      <c r="M23" s="11">
        <v>14931014.5</v>
      </c>
      <c r="N23" s="11">
        <v>8441450</v>
      </c>
      <c r="O23" s="11">
        <v>7365698</v>
      </c>
      <c r="P23" s="11">
        <v>11424945</v>
      </c>
      <c r="Q23" s="11">
        <v>8584705.5</v>
      </c>
      <c r="R23" s="11">
        <v>7073232.7199999997</v>
      </c>
      <c r="S23" s="11">
        <v>14074325.52</v>
      </c>
      <c r="T23" s="11">
        <v>10161165.75</v>
      </c>
      <c r="U23" s="11">
        <v>4946269.4399999995</v>
      </c>
      <c r="V23" s="11">
        <v>84289270</v>
      </c>
      <c r="W23" s="11">
        <v>34088842.589999996</v>
      </c>
      <c r="X23" s="11">
        <v>9255205.5700000003</v>
      </c>
      <c r="Y23" s="11">
        <v>14516404.300000001</v>
      </c>
      <c r="Z23" s="11">
        <v>12590471.4</v>
      </c>
      <c r="AA23" s="11">
        <v>8360799.2999999998</v>
      </c>
      <c r="AB23" s="11">
        <v>5772128.3499999996</v>
      </c>
      <c r="AC23" s="11">
        <v>37834432.349999994</v>
      </c>
      <c r="AD23" s="11">
        <v>14543744.73</v>
      </c>
      <c r="AE23" s="11">
        <v>8794716.0700000003</v>
      </c>
      <c r="AF23" s="11">
        <v>24460070.490000002</v>
      </c>
      <c r="AG23" s="11">
        <v>7782822.3600000003</v>
      </c>
      <c r="AH23" s="11">
        <v>30398149.329999998</v>
      </c>
      <c r="AI23" s="11">
        <v>17545106.559999999</v>
      </c>
      <c r="AJ23" s="11">
        <v>10697737.039999999</v>
      </c>
      <c r="AK23" s="11">
        <v>6594046.0700000003</v>
      </c>
      <c r="AL23" s="11">
        <v>14570142</v>
      </c>
      <c r="AM23" s="11">
        <v>10470868</v>
      </c>
      <c r="AN23" s="11">
        <v>6423389.6999999993</v>
      </c>
      <c r="AO23" s="11">
        <v>7817938.6600000001</v>
      </c>
      <c r="AP23" s="11">
        <v>7068640.4699999997</v>
      </c>
      <c r="AQ23" s="11">
        <v>7368889.7199999997</v>
      </c>
      <c r="AR23" s="11">
        <v>4558167.9000000004</v>
      </c>
      <c r="AS23" s="11">
        <v>6713812</v>
      </c>
      <c r="AT23" s="11">
        <v>77948510.879999995</v>
      </c>
      <c r="AU23" s="11">
        <v>4211290</v>
      </c>
      <c r="AV23" s="11">
        <v>3801568</v>
      </c>
      <c r="AW23" s="11">
        <v>4731585</v>
      </c>
      <c r="AX23" s="11">
        <v>7734330</v>
      </c>
      <c r="AY23" s="11">
        <v>10703386</v>
      </c>
      <c r="AZ23" s="11">
        <v>5905880</v>
      </c>
      <c r="BA23" s="11">
        <v>5933077.2199999997</v>
      </c>
      <c r="BB23" s="11">
        <v>3989590</v>
      </c>
      <c r="BC23" s="11">
        <v>3894391.8</v>
      </c>
      <c r="BD23" s="11">
        <v>2885375</v>
      </c>
      <c r="BE23" s="11">
        <v>3037065</v>
      </c>
      <c r="BF23" s="11">
        <v>17065697</v>
      </c>
      <c r="BG23" s="11">
        <v>2650930</v>
      </c>
      <c r="BH23" s="11">
        <v>2904300</v>
      </c>
      <c r="BI23" s="11">
        <v>36518074.5</v>
      </c>
      <c r="BJ23" s="11">
        <v>23982455</v>
      </c>
      <c r="BK23" s="11">
        <v>6723520.9299999997</v>
      </c>
      <c r="BL23" s="11">
        <v>5202826.2100000009</v>
      </c>
      <c r="BM23" s="11">
        <v>9007105.3399999999</v>
      </c>
      <c r="BN23" s="11">
        <v>7929902.0499999998</v>
      </c>
      <c r="BO23" s="11">
        <v>5396949</v>
      </c>
      <c r="BP23" s="11">
        <v>2076860.7</v>
      </c>
      <c r="BQ23" s="11">
        <v>1556792.5</v>
      </c>
      <c r="BR23" s="11">
        <v>47784994</v>
      </c>
      <c r="BS23" s="11">
        <v>7779552.5099999998</v>
      </c>
      <c r="BT23" s="11">
        <v>7918132.5</v>
      </c>
      <c r="BU23" s="11">
        <v>8759191.0700000003</v>
      </c>
      <c r="BV23" s="11">
        <v>8447173.370000001</v>
      </c>
      <c r="BW23" s="11">
        <v>6813710.3300000001</v>
      </c>
      <c r="BX23" s="11">
        <v>5718525</v>
      </c>
      <c r="BY23" s="11">
        <v>7664494.5</v>
      </c>
      <c r="BZ23" s="11">
        <v>21241495.239999998</v>
      </c>
      <c r="CA23" s="11">
        <v>6258138.2599999998</v>
      </c>
      <c r="CB23" s="11">
        <v>10640213.34</v>
      </c>
      <c r="CC23" s="11">
        <v>19205481.239999998</v>
      </c>
      <c r="CD23" s="11">
        <v>6446063</v>
      </c>
      <c r="CE23" s="11">
        <v>9056531.6999999993</v>
      </c>
      <c r="CF23" s="11">
        <v>6430119</v>
      </c>
      <c r="CG23" s="11">
        <v>83170155.329999998</v>
      </c>
      <c r="CH23" s="11">
        <v>5581051.1500000004</v>
      </c>
      <c r="CI23" s="11">
        <v>14492850.5</v>
      </c>
      <c r="CJ23" s="11">
        <v>6216725.0700000003</v>
      </c>
      <c r="CK23" s="11">
        <v>5730593.4399999995</v>
      </c>
      <c r="CL23" s="11">
        <v>5017727</v>
      </c>
      <c r="CM23" s="11">
        <v>5886453.6299999999</v>
      </c>
      <c r="CN23" s="11">
        <v>9794322.4100000001</v>
      </c>
      <c r="CO23" s="11">
        <v>3229496</v>
      </c>
      <c r="CP23" s="11">
        <v>6192180.5999999996</v>
      </c>
      <c r="CQ23" s="11">
        <v>6083922.1599999992</v>
      </c>
      <c r="CR23" s="11">
        <v>5234787.8</v>
      </c>
      <c r="CS23" s="11">
        <v>4397131.18</v>
      </c>
      <c r="CT23" s="11">
        <v>51700347.93</v>
      </c>
      <c r="CU23" s="11">
        <v>6334318</v>
      </c>
      <c r="CV23" s="11">
        <v>3986880</v>
      </c>
      <c r="CW23" s="11">
        <v>15692256.08</v>
      </c>
      <c r="CX23" s="11">
        <v>4598667.5</v>
      </c>
      <c r="CY23" s="11">
        <v>12775811.25</v>
      </c>
      <c r="CZ23" s="11">
        <v>4633102</v>
      </c>
      <c r="DA23" s="11">
        <v>3573185.21</v>
      </c>
      <c r="DB23" s="11">
        <v>33734547.170000002</v>
      </c>
      <c r="DC23" s="11">
        <v>64879593.75</v>
      </c>
      <c r="DD23" s="11">
        <v>9694367.4900000002</v>
      </c>
      <c r="DE23" s="11">
        <v>9310491.5300000012</v>
      </c>
      <c r="DF23" s="11">
        <v>19226499.170000002</v>
      </c>
      <c r="DG23" s="11">
        <v>20388176.5</v>
      </c>
      <c r="DH23" s="11">
        <v>20171301</v>
      </c>
      <c r="DI23" s="11">
        <v>22372883.559999999</v>
      </c>
      <c r="DJ23" s="11">
        <v>6732652.2700000005</v>
      </c>
      <c r="DK23" s="11">
        <v>134755382</v>
      </c>
      <c r="DL23" s="11">
        <v>8759875</v>
      </c>
      <c r="DM23" s="11">
        <v>11072270.5</v>
      </c>
      <c r="DN23" s="11">
        <v>5327904.96</v>
      </c>
      <c r="DO23" s="11">
        <v>9606440.9199999999</v>
      </c>
      <c r="DP23" s="11">
        <v>9121592.9100000001</v>
      </c>
      <c r="DQ23" s="11">
        <v>13462836.52</v>
      </c>
      <c r="DR23" s="11">
        <v>8141715.7999999998</v>
      </c>
      <c r="DS23" s="11">
        <v>14965690.93</v>
      </c>
      <c r="DT23" s="11">
        <v>74652110.650000006</v>
      </c>
      <c r="DU23" s="11">
        <v>10872208</v>
      </c>
      <c r="DV23" s="11">
        <v>27713527.91</v>
      </c>
      <c r="DW23" s="11">
        <v>36754718</v>
      </c>
      <c r="DX23" s="11">
        <v>10842189.75</v>
      </c>
      <c r="DY23" s="11">
        <v>22976637.25</v>
      </c>
      <c r="DZ23" s="11">
        <v>14192398.310000001</v>
      </c>
      <c r="EA23" s="11">
        <v>4386583.87</v>
      </c>
      <c r="EB23" s="11">
        <v>7594641</v>
      </c>
      <c r="EC23" s="11">
        <v>8758785.3599999994</v>
      </c>
      <c r="ED23" s="11">
        <v>13887097</v>
      </c>
      <c r="EE23" s="11">
        <v>27324698.099999998</v>
      </c>
      <c r="EF23" s="11">
        <v>33083023.199999999</v>
      </c>
      <c r="EG23" s="11">
        <v>7825348.7300000004</v>
      </c>
      <c r="EH23" s="11">
        <v>10153882.5</v>
      </c>
      <c r="EI23" s="11">
        <v>5757973.8899999997</v>
      </c>
      <c r="EJ23" s="11">
        <v>10092563.66</v>
      </c>
      <c r="EK23" s="11">
        <v>12581803.25</v>
      </c>
      <c r="EL23" s="11">
        <v>4449568</v>
      </c>
      <c r="EM23" s="11">
        <v>7285824.2799999993</v>
      </c>
      <c r="EN23" s="11">
        <v>86433586.359999999</v>
      </c>
      <c r="EO23" s="11">
        <v>7437346.2799999993</v>
      </c>
      <c r="EP23" s="11">
        <v>6636231.8900000006</v>
      </c>
      <c r="EQ23" s="11">
        <v>8383239.3100000005</v>
      </c>
      <c r="ER23" s="11">
        <v>5122767</v>
      </c>
      <c r="ES23" s="11">
        <v>4578802.83</v>
      </c>
      <c r="ET23" s="11">
        <v>11385951.460000001</v>
      </c>
      <c r="EU23" s="11">
        <v>7324343.370000001</v>
      </c>
      <c r="EV23" s="11">
        <v>7615677</v>
      </c>
      <c r="EW23" s="11">
        <v>58684577.500000007</v>
      </c>
      <c r="EX23" s="11">
        <v>3723126.13</v>
      </c>
      <c r="EY23" s="11">
        <v>7174370.379999999</v>
      </c>
      <c r="EZ23" s="11">
        <v>8521615.5</v>
      </c>
      <c r="FA23" s="11">
        <v>12538144.809999999</v>
      </c>
      <c r="FB23" s="11">
        <v>12158350.810000001</v>
      </c>
      <c r="FC23" s="11">
        <v>9087072.1100000013</v>
      </c>
      <c r="FD23" s="11">
        <v>7841841.1899999995</v>
      </c>
      <c r="FE23" s="11">
        <v>6553325.4100000001</v>
      </c>
      <c r="FF23" s="11">
        <v>5664968.8100000005</v>
      </c>
      <c r="FG23" s="11">
        <v>7405184</v>
      </c>
      <c r="FH23" s="11">
        <v>5422118.5</v>
      </c>
      <c r="FI23" s="11">
        <v>32395548</v>
      </c>
      <c r="FJ23" s="11">
        <v>4783200</v>
      </c>
      <c r="FK23" s="11">
        <v>4898159.71</v>
      </c>
      <c r="FL23" s="11">
        <v>4277623.5</v>
      </c>
      <c r="FM23" s="11">
        <v>8721428.3100000005</v>
      </c>
      <c r="FN23" s="11">
        <v>7765631.5899999999</v>
      </c>
      <c r="FO23" s="11">
        <v>4010494</v>
      </c>
      <c r="FP23" s="11">
        <v>2570380</v>
      </c>
      <c r="FQ23" s="11">
        <v>110356127.72</v>
      </c>
      <c r="FR23" s="11">
        <v>9754485</v>
      </c>
      <c r="FS23" s="11">
        <v>10151785</v>
      </c>
      <c r="FT23" s="11">
        <v>9259857.0899999999</v>
      </c>
      <c r="FU23" s="11">
        <v>14730720.5</v>
      </c>
      <c r="FV23" s="11">
        <v>7852774.4199999999</v>
      </c>
      <c r="FW23" s="11">
        <v>15701544</v>
      </c>
      <c r="FX23" s="11">
        <v>10186884.199999999</v>
      </c>
      <c r="FY23" s="11">
        <v>9075502.6500000004</v>
      </c>
      <c r="FZ23" s="11">
        <v>7663614.8499999996</v>
      </c>
      <c r="GA23" s="11">
        <v>14064620.039999999</v>
      </c>
      <c r="GB23" s="11">
        <v>8228672</v>
      </c>
      <c r="GC23" s="11">
        <v>6842106.1299999999</v>
      </c>
      <c r="GD23" s="11">
        <v>4224075.0199999996</v>
      </c>
      <c r="GE23" s="11">
        <v>40412435.439999998</v>
      </c>
      <c r="GF23" s="11">
        <v>5839874</v>
      </c>
      <c r="GG23" s="11">
        <v>5052798.99</v>
      </c>
      <c r="GH23" s="11">
        <v>12020027.060000001</v>
      </c>
      <c r="GI23" s="11">
        <v>8601055.9399999995</v>
      </c>
      <c r="GJ23" s="11">
        <v>7282642</v>
      </c>
      <c r="GK23" s="11">
        <v>6560341.7599999998</v>
      </c>
      <c r="GL23" s="11">
        <v>14319976.09</v>
      </c>
      <c r="GM23" s="11">
        <v>4928343.0600000005</v>
      </c>
      <c r="GN23" s="11">
        <v>3460099.45</v>
      </c>
      <c r="GO23" s="11">
        <v>3171402.76</v>
      </c>
      <c r="GP23" s="11">
        <v>2279350</v>
      </c>
      <c r="GQ23" s="11">
        <v>25115122.530000001</v>
      </c>
      <c r="GR23" s="11">
        <v>11803686.779999999</v>
      </c>
      <c r="GS23" s="11">
        <v>7814188</v>
      </c>
      <c r="GT23" s="11">
        <v>12788966</v>
      </c>
      <c r="GU23" s="11">
        <v>3547280</v>
      </c>
      <c r="GV23" s="11">
        <v>10466597.08</v>
      </c>
      <c r="GW23" s="11">
        <v>9784513.0700000003</v>
      </c>
      <c r="GX23" s="11">
        <v>5322847.57</v>
      </c>
      <c r="GY23" s="11">
        <v>27123043.390000001</v>
      </c>
      <c r="GZ23" s="11">
        <v>2514154.13</v>
      </c>
      <c r="HA23" s="11">
        <v>7810721.3499999996</v>
      </c>
      <c r="HB23" s="11">
        <v>5840404.2199999997</v>
      </c>
      <c r="HC23" s="11">
        <v>80783635</v>
      </c>
      <c r="HD23" s="11">
        <v>14681768</v>
      </c>
      <c r="HE23" s="11">
        <v>16827804.760000002</v>
      </c>
      <c r="HF23" s="11">
        <v>11624925.08</v>
      </c>
      <c r="HG23" s="11">
        <v>10570444.35</v>
      </c>
      <c r="HH23" s="11">
        <v>19750813.280000001</v>
      </c>
      <c r="HI23" s="11">
        <v>3122333.73</v>
      </c>
      <c r="HJ23" s="11">
        <v>8471150</v>
      </c>
      <c r="HK23" s="11">
        <v>70420599.129999995</v>
      </c>
      <c r="HL23" s="11">
        <v>10630612.77</v>
      </c>
      <c r="HM23" s="11">
        <v>10735816.059999999</v>
      </c>
      <c r="HN23" s="11">
        <v>7634482</v>
      </c>
      <c r="HO23" s="11">
        <v>5109631.5299999993</v>
      </c>
      <c r="HP23" s="11">
        <v>5411412</v>
      </c>
      <c r="HQ23" s="11">
        <v>8011331.25</v>
      </c>
      <c r="HR23" s="11">
        <v>6512517</v>
      </c>
      <c r="HS23" s="11">
        <v>72388794.790000007</v>
      </c>
      <c r="HT23" s="11">
        <v>20137368.48</v>
      </c>
      <c r="HU23" s="11">
        <v>5137341.8</v>
      </c>
      <c r="HV23" s="11">
        <v>3745824.49</v>
      </c>
      <c r="HW23" s="11">
        <v>4996455.16</v>
      </c>
      <c r="HX23" s="11">
        <v>2707475</v>
      </c>
      <c r="HY23" s="11">
        <v>9104304.9000000004</v>
      </c>
      <c r="HZ23" s="11">
        <v>4845123</v>
      </c>
      <c r="IA23" s="11">
        <v>3924046.13</v>
      </c>
      <c r="IB23" s="11">
        <v>5555539</v>
      </c>
      <c r="IC23" s="11">
        <v>5463300.0600000005</v>
      </c>
      <c r="ID23" s="11">
        <v>8676280.8200000003</v>
      </c>
      <c r="IE23" s="11">
        <v>2455449.5</v>
      </c>
      <c r="IF23" s="11">
        <v>8276035.7599999998</v>
      </c>
      <c r="IG23" s="11">
        <v>3748173.5</v>
      </c>
      <c r="IH23" s="11">
        <v>3679565.33</v>
      </c>
      <c r="II23" s="11">
        <v>55387270</v>
      </c>
      <c r="IJ23" s="11">
        <v>22867726.039999999</v>
      </c>
      <c r="IK23" s="11">
        <v>8290603.9400000004</v>
      </c>
      <c r="IL23" s="11">
        <v>9091705.1699999999</v>
      </c>
      <c r="IM23" s="11">
        <v>25206358.98</v>
      </c>
      <c r="IN23" s="11">
        <v>8208567.8300000001</v>
      </c>
      <c r="IO23" s="11">
        <v>7433914.5099999998</v>
      </c>
      <c r="IP23" s="11">
        <v>4999258</v>
      </c>
      <c r="IQ23" s="11">
        <v>5130641.21</v>
      </c>
      <c r="IR23" s="11">
        <v>4420324</v>
      </c>
      <c r="IS23" s="11">
        <v>5343585.5</v>
      </c>
      <c r="IT23" s="11">
        <v>86868687.840000004</v>
      </c>
      <c r="IU23" s="11">
        <v>32794514.890000001</v>
      </c>
      <c r="IV23" s="11">
        <v>10262627.58</v>
      </c>
      <c r="IW23" s="11">
        <v>8501696</v>
      </c>
      <c r="IX23" s="11">
        <v>6201999</v>
      </c>
      <c r="IY23" s="11">
        <v>4082340.84</v>
      </c>
      <c r="IZ23" s="11">
        <v>6985385.6600000001</v>
      </c>
      <c r="JA23" s="11">
        <v>3723547.4399999995</v>
      </c>
      <c r="JB23" s="11">
        <v>4424921.4000000004</v>
      </c>
      <c r="JC23" s="11">
        <v>8209171</v>
      </c>
      <c r="JD23" s="11">
        <v>11941791</v>
      </c>
      <c r="JE23" s="11">
        <v>7596295</v>
      </c>
      <c r="JF23" s="11">
        <v>29929116.5</v>
      </c>
      <c r="JG23" s="11">
        <v>17386780.800000001</v>
      </c>
      <c r="JH23" s="11">
        <v>2478315</v>
      </c>
      <c r="JI23" s="11">
        <v>2901567.5</v>
      </c>
      <c r="JJ23" s="11">
        <v>3975546.9699999997</v>
      </c>
      <c r="JK23" s="11">
        <v>2343090.31</v>
      </c>
      <c r="JL23" s="11">
        <v>36555901.649999999</v>
      </c>
      <c r="JM23" s="11">
        <v>4914421</v>
      </c>
      <c r="JN23" s="11">
        <v>6132724.8099999996</v>
      </c>
      <c r="JO23" s="11">
        <v>7345426.9800000004</v>
      </c>
      <c r="JP23" s="11">
        <v>4886413.1400000006</v>
      </c>
      <c r="JQ23" s="11">
        <v>11738075.460000001</v>
      </c>
      <c r="JR23" s="11">
        <v>3060960</v>
      </c>
      <c r="JS23" s="11">
        <v>65984302</v>
      </c>
      <c r="JT23" s="11">
        <v>30918524.399999999</v>
      </c>
      <c r="JU23" s="11">
        <v>6390481</v>
      </c>
      <c r="JV23" s="11">
        <v>4209455</v>
      </c>
      <c r="JW23" s="11">
        <v>9429495</v>
      </c>
      <c r="JX23" s="11">
        <v>2920590</v>
      </c>
      <c r="JY23" s="11">
        <v>17029264</v>
      </c>
      <c r="JZ23" s="11">
        <v>10949870</v>
      </c>
      <c r="KA23" s="11">
        <v>6893469</v>
      </c>
      <c r="KB23" s="11">
        <v>8435337.5</v>
      </c>
      <c r="KC23" s="11">
        <v>6580585.0099999998</v>
      </c>
      <c r="KD23" s="11">
        <v>6684563</v>
      </c>
      <c r="KE23" s="11">
        <v>5631008.3700000001</v>
      </c>
      <c r="KF23" s="11">
        <v>3349318</v>
      </c>
      <c r="KG23" s="11">
        <v>4842421.5</v>
      </c>
      <c r="KH23" s="11">
        <v>3737690</v>
      </c>
      <c r="KI23" s="11">
        <v>117117764.58</v>
      </c>
      <c r="KJ23" s="11">
        <v>17920398.09</v>
      </c>
      <c r="KK23" s="11">
        <v>8037577.1699999999</v>
      </c>
      <c r="KL23" s="11">
        <v>10653439.43</v>
      </c>
      <c r="KM23" s="11">
        <v>11322343.67</v>
      </c>
      <c r="KN23" s="11">
        <v>7176399.5899999999</v>
      </c>
      <c r="KO23" s="11">
        <v>24746967.879999999</v>
      </c>
      <c r="KP23" s="11">
        <v>5252773.0199999996</v>
      </c>
      <c r="KQ23" s="11">
        <v>6641460</v>
      </c>
      <c r="KR23" s="11">
        <v>41260576.009999998</v>
      </c>
      <c r="KS23" s="11">
        <v>10506099</v>
      </c>
      <c r="KT23" s="11">
        <v>11871657.610000001</v>
      </c>
      <c r="KU23" s="11">
        <v>20177189</v>
      </c>
      <c r="KV23" s="11">
        <v>6631983.7999999998</v>
      </c>
      <c r="KW23" s="11">
        <v>18204233.5</v>
      </c>
      <c r="KX23" s="11">
        <v>63498266.159999996</v>
      </c>
      <c r="KY23" s="11">
        <v>12135937</v>
      </c>
      <c r="KZ23" s="11">
        <v>51586462.520000003</v>
      </c>
      <c r="LA23" s="11">
        <v>8123924.8000000007</v>
      </c>
      <c r="LB23" s="11">
        <v>5398522</v>
      </c>
      <c r="LC23" s="11">
        <v>17031273.039999999</v>
      </c>
      <c r="LD23" s="11">
        <v>15088181.379999999</v>
      </c>
      <c r="LE23" s="11">
        <v>6882426.0700000003</v>
      </c>
      <c r="LF23" s="11">
        <v>7153877.3599999994</v>
      </c>
      <c r="LG23" s="11">
        <v>3831774</v>
      </c>
      <c r="LH23" s="11">
        <v>113190911.66999999</v>
      </c>
      <c r="LI23" s="11">
        <v>25690950</v>
      </c>
      <c r="LJ23" s="11">
        <v>35789500.609999999</v>
      </c>
      <c r="LK23" s="11">
        <v>28462515.719999999</v>
      </c>
      <c r="LL23" s="11">
        <v>12392664.639999999</v>
      </c>
      <c r="LM23" s="11">
        <v>7019539.9100000001</v>
      </c>
      <c r="LN23" s="11">
        <v>4865286</v>
      </c>
      <c r="LO23" s="11">
        <v>7963240</v>
      </c>
      <c r="LP23" s="11">
        <v>4511434</v>
      </c>
      <c r="LQ23" s="11">
        <v>10579720</v>
      </c>
      <c r="LR23" s="11">
        <v>5024493.6099999994</v>
      </c>
      <c r="LS23" s="11">
        <v>32250990.149999999</v>
      </c>
      <c r="LT23" s="11">
        <v>6896048.5600000005</v>
      </c>
      <c r="LU23" s="11">
        <v>4288381.59</v>
      </c>
      <c r="LV23" s="11">
        <v>130054560.76000001</v>
      </c>
      <c r="LW23" s="11">
        <v>38543744.399999999</v>
      </c>
      <c r="LX23" s="11">
        <v>85614724</v>
      </c>
      <c r="LY23" s="11">
        <v>28920490.16</v>
      </c>
      <c r="LZ23" s="11">
        <v>14010435.109999999</v>
      </c>
      <c r="MA23" s="11">
        <v>15259497</v>
      </c>
      <c r="MB23" s="11">
        <v>10283422.949999999</v>
      </c>
      <c r="MC23" s="11">
        <v>9658638.959999999</v>
      </c>
      <c r="MD23" s="11">
        <v>7680958.9000000004</v>
      </c>
      <c r="ME23" s="11">
        <v>10674513</v>
      </c>
      <c r="MF23" s="11">
        <v>26032985.280000001</v>
      </c>
      <c r="MG23" s="11">
        <v>7460024</v>
      </c>
      <c r="MH23" s="11">
        <v>112999083</v>
      </c>
      <c r="MI23" s="11">
        <v>7891125.7599999988</v>
      </c>
      <c r="MJ23" s="11">
        <v>4626530.26</v>
      </c>
      <c r="MK23" s="11">
        <v>4097312.16</v>
      </c>
      <c r="ML23" s="11">
        <v>4195610.1400000006</v>
      </c>
      <c r="MM23" s="11">
        <v>8317155.9800000004</v>
      </c>
      <c r="MN23" s="11">
        <v>7487184.75</v>
      </c>
      <c r="MO23" s="11">
        <v>7147763.46</v>
      </c>
      <c r="MP23" s="11">
        <v>9385962.7799999993</v>
      </c>
      <c r="MQ23" s="11">
        <v>6398606.1300000008</v>
      </c>
      <c r="MR23" s="11">
        <v>5361585.88</v>
      </c>
      <c r="MS23" s="11">
        <v>4427094</v>
      </c>
      <c r="MT23" s="11">
        <v>64068592.140000001</v>
      </c>
      <c r="MU23" s="11">
        <v>8359641.0700000003</v>
      </c>
      <c r="MV23" s="11">
        <v>7287148.7400000002</v>
      </c>
      <c r="MW23" s="11">
        <v>13238836</v>
      </c>
      <c r="MX23" s="11">
        <v>12859817.220000001</v>
      </c>
      <c r="MY23" s="11">
        <v>7043297</v>
      </c>
      <c r="MZ23" s="11">
        <v>20158822.699999999</v>
      </c>
      <c r="NA23" s="11">
        <v>12634720.300000001</v>
      </c>
      <c r="NB23" s="11">
        <v>9276549</v>
      </c>
      <c r="NC23" s="11">
        <v>3061662.28</v>
      </c>
      <c r="ND23" s="11">
        <v>2848690</v>
      </c>
      <c r="NE23" s="11">
        <v>163767565.93000001</v>
      </c>
      <c r="NF23" s="11">
        <v>23573577.259999998</v>
      </c>
      <c r="NG23" s="11">
        <v>4532901.4800000004</v>
      </c>
      <c r="NH23" s="11">
        <v>64859985</v>
      </c>
      <c r="NI23" s="11">
        <v>5045642.95</v>
      </c>
      <c r="NJ23" s="11">
        <v>19119456.800000001</v>
      </c>
      <c r="NK23" s="11">
        <v>34109164</v>
      </c>
      <c r="NL23" s="11">
        <v>28017534.640000001</v>
      </c>
      <c r="NM23" s="11">
        <v>2003850</v>
      </c>
      <c r="NN23" s="11">
        <v>9478870.8300000001</v>
      </c>
      <c r="NO23" s="11">
        <v>5438756.6899999995</v>
      </c>
      <c r="NP23" s="11">
        <v>7639254.5</v>
      </c>
      <c r="NQ23" s="11">
        <v>39423094.43</v>
      </c>
      <c r="NR23" s="11">
        <v>5299232.28</v>
      </c>
      <c r="NS23" s="11">
        <v>6322117.8900000006</v>
      </c>
      <c r="NT23" s="11">
        <v>5364056.57</v>
      </c>
      <c r="NU23" s="11">
        <v>5837014.5700000003</v>
      </c>
      <c r="NV23" s="11">
        <v>2672745.29</v>
      </c>
      <c r="NW23" s="11">
        <v>4501636.3899999997</v>
      </c>
      <c r="NX23" s="11">
        <v>58053732.040000007</v>
      </c>
      <c r="NY23" s="11">
        <v>31452406.170000002</v>
      </c>
      <c r="NZ23" s="11">
        <v>5367003</v>
      </c>
      <c r="OA23" s="11">
        <v>3238199.2499999995</v>
      </c>
      <c r="OB23" s="11">
        <v>5377266.4199999999</v>
      </c>
      <c r="OC23" s="11">
        <v>11025527.58</v>
      </c>
      <c r="OD23" s="11">
        <v>4995424</v>
      </c>
      <c r="OE23" s="11">
        <v>68378808.50999999</v>
      </c>
      <c r="OF23" s="11">
        <v>18701308.23</v>
      </c>
      <c r="OG23" s="11">
        <v>8919654.8300000001</v>
      </c>
      <c r="OH23" s="11">
        <v>29963634.119999997</v>
      </c>
      <c r="OI23" s="11">
        <v>7830606.25</v>
      </c>
      <c r="OJ23" s="11">
        <v>10098484.4</v>
      </c>
      <c r="OK23" s="11">
        <v>12140400.5</v>
      </c>
      <c r="OL23" s="11">
        <v>4122728.63</v>
      </c>
      <c r="OM23" s="11">
        <v>5295414.3</v>
      </c>
      <c r="ON23" s="11">
        <v>80786976.629999995</v>
      </c>
      <c r="OO23" s="11">
        <v>20999949.410000004</v>
      </c>
      <c r="OP23" s="11">
        <v>29296961.760000002</v>
      </c>
      <c r="OQ23" s="11">
        <v>17958162.240000002</v>
      </c>
      <c r="OR23" s="11">
        <v>10994729.140000001</v>
      </c>
      <c r="OS23" s="11">
        <v>7166979.5600000005</v>
      </c>
      <c r="OT23" s="11">
        <v>59513049.990000002</v>
      </c>
      <c r="OU23" s="11">
        <v>6597870.3599999994</v>
      </c>
      <c r="OV23" s="11">
        <v>6483314</v>
      </c>
      <c r="OW23" s="11">
        <v>11766101.52</v>
      </c>
      <c r="OX23" s="11">
        <v>10877604.859999999</v>
      </c>
      <c r="OY23" s="11">
        <v>23139462</v>
      </c>
      <c r="OZ23" s="11">
        <v>6271278.8200000003</v>
      </c>
      <c r="PA23" s="11">
        <v>5817298.6699999999</v>
      </c>
      <c r="PB23" s="11">
        <v>5372602.0500000007</v>
      </c>
      <c r="PC23" s="11">
        <v>62366647.039999999</v>
      </c>
      <c r="PD23" s="11">
        <v>6513963.0199999996</v>
      </c>
      <c r="PE23" s="11">
        <v>14018004.030000001</v>
      </c>
      <c r="PF23" s="11">
        <v>2786088</v>
      </c>
      <c r="PG23" s="11">
        <v>9256381.5</v>
      </c>
      <c r="PH23" s="11">
        <v>18633097.800000001</v>
      </c>
      <c r="PI23" s="11">
        <v>5916238.4400000004</v>
      </c>
      <c r="PJ23" s="11">
        <v>5169846</v>
      </c>
      <c r="PK23" s="11">
        <v>9860398.8499999996</v>
      </c>
      <c r="PL23" s="11">
        <v>7306554</v>
      </c>
      <c r="PM23" s="11">
        <v>7704123.9000000004</v>
      </c>
      <c r="PN23" s="11">
        <v>15989535.560000001</v>
      </c>
      <c r="PO23" s="11">
        <v>4119618.5</v>
      </c>
      <c r="PP23" s="11">
        <v>27320574.629999999</v>
      </c>
      <c r="PQ23" s="11">
        <v>6455786</v>
      </c>
      <c r="PR23" s="11">
        <v>3143683</v>
      </c>
      <c r="PS23" s="11">
        <v>2230522</v>
      </c>
      <c r="PT23" s="11">
        <v>6515400.5</v>
      </c>
      <c r="PU23" s="11">
        <v>207666984.74000001</v>
      </c>
      <c r="PV23" s="11">
        <v>5951577</v>
      </c>
      <c r="PW23" s="11">
        <v>6312809.1600000001</v>
      </c>
      <c r="PX23" s="11">
        <v>10565696</v>
      </c>
      <c r="PY23" s="11">
        <v>64055301.019999996</v>
      </c>
      <c r="PZ23" s="11">
        <v>16174277.32</v>
      </c>
      <c r="QA23" s="11">
        <v>22111815</v>
      </c>
      <c r="QB23" s="11">
        <v>7825709.5</v>
      </c>
      <c r="QC23" s="11">
        <v>20798322.5</v>
      </c>
      <c r="QD23" s="11">
        <v>5237124</v>
      </c>
      <c r="QE23" s="11">
        <v>16824803.199999999</v>
      </c>
      <c r="QF23" s="11">
        <v>7609714.4800000004</v>
      </c>
      <c r="QG23" s="11">
        <v>9127316.8499999996</v>
      </c>
      <c r="QH23" s="11">
        <v>10401123</v>
      </c>
      <c r="QI23" s="11">
        <v>10255863</v>
      </c>
      <c r="QJ23" s="11">
        <v>8140521</v>
      </c>
      <c r="QK23" s="11">
        <v>9471588.5999999996</v>
      </c>
      <c r="QL23" s="11">
        <v>6938841</v>
      </c>
      <c r="QM23" s="11">
        <v>6583574</v>
      </c>
      <c r="QN23" s="11">
        <v>24139105.530000001</v>
      </c>
      <c r="QO23" s="11">
        <v>23730676.969999999</v>
      </c>
      <c r="QP23" s="11">
        <v>5386042.7999999998</v>
      </c>
      <c r="QQ23" s="11">
        <v>2540761.5</v>
      </c>
      <c r="QR23" s="11">
        <v>3732159.69</v>
      </c>
      <c r="QS23" s="11">
        <v>2537987</v>
      </c>
      <c r="QT23" s="11">
        <v>2766263</v>
      </c>
      <c r="QU23" s="11">
        <v>87258849.069999993</v>
      </c>
      <c r="QV23" s="11">
        <v>6333907</v>
      </c>
      <c r="QW23" s="11">
        <v>13974805.77</v>
      </c>
      <c r="QX23" s="11">
        <v>6933094</v>
      </c>
      <c r="QY23" s="11">
        <v>7726070</v>
      </c>
      <c r="QZ23" s="11">
        <v>17385922.200000003</v>
      </c>
      <c r="RA23" s="11">
        <v>9304777.6600000001</v>
      </c>
      <c r="RB23" s="11">
        <v>13592288.079999998</v>
      </c>
      <c r="RC23" s="11">
        <v>16600874.5</v>
      </c>
      <c r="RD23" s="11">
        <v>5095701.4800000004</v>
      </c>
      <c r="RE23" s="11">
        <v>6538727</v>
      </c>
      <c r="RF23" s="11">
        <v>5585250</v>
      </c>
      <c r="RG23" s="11">
        <v>5606421</v>
      </c>
      <c r="RH23" s="11">
        <v>141766185.25</v>
      </c>
      <c r="RI23" s="11">
        <v>16818301.079999998</v>
      </c>
      <c r="RJ23" s="11">
        <v>6570605</v>
      </c>
      <c r="RK23" s="11">
        <v>9811620.7199999988</v>
      </c>
      <c r="RL23" s="11">
        <v>8403406</v>
      </c>
      <c r="RM23" s="11">
        <v>10706706.279999999</v>
      </c>
      <c r="RN23" s="11">
        <v>19464284</v>
      </c>
      <c r="RO23" s="11">
        <v>6118909.4000000004</v>
      </c>
      <c r="RP23" s="11">
        <v>8656545.3300000001</v>
      </c>
      <c r="RQ23" s="11">
        <v>14617580.5</v>
      </c>
      <c r="RR23" s="11">
        <v>15887245.530000001</v>
      </c>
      <c r="RS23" s="11">
        <v>4413108</v>
      </c>
      <c r="RT23" s="11">
        <v>4530706</v>
      </c>
      <c r="RU23" s="11">
        <v>7069827</v>
      </c>
      <c r="RV23" s="11">
        <v>5465102.5</v>
      </c>
      <c r="RW23" s="11">
        <v>6031247</v>
      </c>
      <c r="RX23" s="11">
        <v>4698070</v>
      </c>
      <c r="RY23" s="11">
        <v>2959260.92</v>
      </c>
      <c r="RZ23" s="11">
        <v>3162237.4699999997</v>
      </c>
      <c r="SA23" s="11">
        <v>4199806</v>
      </c>
      <c r="SB23" s="11">
        <v>56044268</v>
      </c>
      <c r="SC23" s="11">
        <v>8720575</v>
      </c>
      <c r="SD23" s="11">
        <v>8535690.6000000015</v>
      </c>
      <c r="SE23" s="11">
        <v>6470567</v>
      </c>
      <c r="SF23" s="11">
        <v>6423597.25</v>
      </c>
      <c r="SG23" s="11">
        <v>7863481.9900000002</v>
      </c>
      <c r="SH23" s="11">
        <v>6291454</v>
      </c>
      <c r="SI23" s="11">
        <v>12862262.609999999</v>
      </c>
      <c r="SJ23" s="11">
        <v>8342709.2799999993</v>
      </c>
      <c r="SK23" s="11">
        <v>8467385.2400000002</v>
      </c>
      <c r="SL23" s="11">
        <v>13782194</v>
      </c>
      <c r="SM23" s="11">
        <v>2507584</v>
      </c>
      <c r="SN23" s="11">
        <v>42121494.649999999</v>
      </c>
      <c r="SO23" s="11">
        <v>7333715</v>
      </c>
      <c r="SP23" s="11">
        <v>8741303.2899999991</v>
      </c>
      <c r="SQ23" s="11">
        <v>10812736.529999999</v>
      </c>
      <c r="SR23" s="11">
        <v>8329944.8000000007</v>
      </c>
      <c r="SS23" s="11">
        <v>6311937.5</v>
      </c>
      <c r="ST23" s="11">
        <v>7144904</v>
      </c>
      <c r="SU23" s="11">
        <v>4388145</v>
      </c>
      <c r="SV23" s="11">
        <v>59585176.850000001</v>
      </c>
      <c r="SW23" s="11">
        <v>5934826.5</v>
      </c>
      <c r="SX23" s="11">
        <v>13461201.719999999</v>
      </c>
      <c r="SY23" s="11">
        <v>8856416</v>
      </c>
      <c r="SZ23" s="11">
        <v>4791060</v>
      </c>
      <c r="TA23" s="11">
        <v>5545515.1799999997</v>
      </c>
      <c r="TB23" s="11">
        <v>5198020</v>
      </c>
      <c r="TC23" s="11">
        <v>16850954.939999998</v>
      </c>
      <c r="TD23" s="11">
        <v>4076303.92</v>
      </c>
      <c r="TE23" s="11">
        <v>5356946</v>
      </c>
      <c r="TF23" s="11">
        <v>7219730.9199999999</v>
      </c>
      <c r="TG23" s="11">
        <v>12421173</v>
      </c>
      <c r="TH23" s="11">
        <v>6022360</v>
      </c>
      <c r="TI23" s="11">
        <v>4602497.78</v>
      </c>
      <c r="TJ23" s="11">
        <v>126237421.78</v>
      </c>
      <c r="TK23" s="11">
        <v>8012164.5</v>
      </c>
      <c r="TL23" s="11">
        <v>6226744</v>
      </c>
      <c r="TM23" s="11">
        <v>14961132.290000001</v>
      </c>
      <c r="TN23" s="11">
        <v>11923131.67</v>
      </c>
      <c r="TO23" s="11">
        <v>8577075.8300000001</v>
      </c>
      <c r="TP23" s="11">
        <v>4959601</v>
      </c>
      <c r="TQ23" s="11">
        <v>32092361</v>
      </c>
      <c r="TR23" s="11">
        <v>9441491</v>
      </c>
      <c r="TS23" s="11">
        <v>18336187.609999999</v>
      </c>
      <c r="TT23" s="11">
        <v>13996902</v>
      </c>
      <c r="TU23" s="11">
        <v>8213579</v>
      </c>
      <c r="TV23" s="11">
        <v>4830527.4800000004</v>
      </c>
      <c r="TW23" s="11">
        <v>8979587.9200000018</v>
      </c>
      <c r="TX23" s="11">
        <v>7133510.3200000003</v>
      </c>
      <c r="TY23" s="11">
        <v>7859741</v>
      </c>
      <c r="TZ23" s="11">
        <v>28383956.099999998</v>
      </c>
      <c r="UA23" s="11">
        <v>6957175.2299999995</v>
      </c>
      <c r="UB23" s="11">
        <v>47099172.590000004</v>
      </c>
      <c r="UC23" s="11">
        <v>13541894</v>
      </c>
      <c r="UD23" s="11">
        <v>5041388</v>
      </c>
      <c r="UE23" s="11">
        <v>8972538.8099999987</v>
      </c>
      <c r="UF23" s="11">
        <v>45346889.5</v>
      </c>
      <c r="UG23" s="11">
        <v>5507067.04</v>
      </c>
      <c r="UH23" s="11">
        <v>4279084.5</v>
      </c>
      <c r="UI23" s="11">
        <v>7080170</v>
      </c>
      <c r="UJ23" s="11">
        <v>7038444.7800000003</v>
      </c>
      <c r="UK23" s="11">
        <v>31401149</v>
      </c>
      <c r="UL23" s="11">
        <v>10100001.5</v>
      </c>
      <c r="UM23" s="11">
        <v>6950888.25</v>
      </c>
      <c r="UN23" s="11">
        <v>11007465.01</v>
      </c>
      <c r="UO23" s="11">
        <v>6663807.5</v>
      </c>
      <c r="UP23" s="11">
        <v>7701711.3999999994</v>
      </c>
      <c r="UQ23" s="11">
        <v>154508188</v>
      </c>
      <c r="UR23" s="11">
        <v>9987146</v>
      </c>
      <c r="US23" s="11">
        <v>13216872</v>
      </c>
      <c r="UT23" s="11">
        <v>32749203.43</v>
      </c>
      <c r="UU23" s="11">
        <v>2840102.02</v>
      </c>
      <c r="UV23" s="11">
        <v>7667617.5</v>
      </c>
      <c r="UW23" s="11">
        <v>20184646.899999999</v>
      </c>
      <c r="UX23" s="11">
        <v>6459634</v>
      </c>
      <c r="UY23" s="11">
        <v>7466008.5</v>
      </c>
      <c r="UZ23" s="11">
        <v>7984871.3499999996</v>
      </c>
      <c r="VA23" s="11">
        <v>9271380.8900000006</v>
      </c>
      <c r="VB23" s="11">
        <v>20679177.619999997</v>
      </c>
      <c r="VC23" s="11">
        <v>9430000</v>
      </c>
      <c r="VD23" s="11">
        <v>20684683.870000001</v>
      </c>
      <c r="VE23" s="11">
        <v>6610971.1600000001</v>
      </c>
      <c r="VF23" s="11">
        <v>6232117</v>
      </c>
      <c r="VG23" s="11">
        <v>7043678.6600000001</v>
      </c>
      <c r="VH23" s="11">
        <v>5535347.2199999997</v>
      </c>
      <c r="VI23" s="11">
        <v>23745813.93</v>
      </c>
      <c r="VJ23" s="11">
        <v>5157214.4000000004</v>
      </c>
      <c r="VK23" s="11">
        <v>5343309.6100000003</v>
      </c>
      <c r="VL23" s="11">
        <v>2777640</v>
      </c>
      <c r="VM23" s="11">
        <v>66992267.039999999</v>
      </c>
      <c r="VN23" s="11">
        <v>7193183</v>
      </c>
      <c r="VO23" s="11">
        <v>7117515.9799999995</v>
      </c>
      <c r="VP23" s="11">
        <v>11028390.780000001</v>
      </c>
      <c r="VQ23" s="11">
        <v>15600434.92</v>
      </c>
      <c r="VR23" s="11">
        <v>10162351</v>
      </c>
      <c r="VS23" s="11">
        <v>11210046.960000001</v>
      </c>
      <c r="VT23" s="11">
        <v>6081220.8300000001</v>
      </c>
      <c r="VU23" s="11">
        <v>8664391.3000000007</v>
      </c>
      <c r="VV23" s="11">
        <v>29969055.5</v>
      </c>
      <c r="VW23" s="11">
        <v>7630962.7599999998</v>
      </c>
      <c r="VX23" s="11">
        <v>11452732.5</v>
      </c>
      <c r="VY23" s="11">
        <v>8283051</v>
      </c>
      <c r="VZ23" s="11">
        <v>6379162</v>
      </c>
      <c r="WA23" s="11">
        <v>5855404.7999999998</v>
      </c>
      <c r="WB23" s="11">
        <v>261041330.94999999</v>
      </c>
      <c r="WC23" s="11">
        <v>18598492.969999999</v>
      </c>
      <c r="WD23" s="11">
        <v>14299477</v>
      </c>
      <c r="WE23" s="11">
        <v>6854070.1899999995</v>
      </c>
      <c r="WF23" s="11">
        <v>8555478.5800000001</v>
      </c>
      <c r="WG23" s="11">
        <v>9892372.9000000004</v>
      </c>
      <c r="WH23" s="11">
        <v>15488547</v>
      </c>
      <c r="WI23" s="11">
        <v>20558678</v>
      </c>
      <c r="WJ23" s="11">
        <v>10844083.949999999</v>
      </c>
      <c r="WK23" s="11">
        <v>12543850</v>
      </c>
      <c r="WL23" s="11">
        <v>10246360</v>
      </c>
      <c r="WM23" s="11">
        <v>22406170.5</v>
      </c>
      <c r="WN23" s="11">
        <v>12148304</v>
      </c>
      <c r="WO23" s="11">
        <v>15171013</v>
      </c>
      <c r="WP23" s="11">
        <v>25113263.350000001</v>
      </c>
      <c r="WQ23" s="11">
        <v>11794445</v>
      </c>
      <c r="WR23" s="11">
        <v>11758018</v>
      </c>
      <c r="WS23" s="11">
        <v>13445208.67</v>
      </c>
      <c r="WT23" s="11">
        <v>7491661.25</v>
      </c>
      <c r="WU23" s="11">
        <v>22661195.140000001</v>
      </c>
      <c r="WV23" s="11">
        <v>48719556.030000001</v>
      </c>
      <c r="WW23" s="11">
        <v>11652575</v>
      </c>
      <c r="WX23" s="11">
        <v>6851510</v>
      </c>
      <c r="WY23" s="11">
        <v>6974268</v>
      </c>
      <c r="WZ23" s="11">
        <v>8603767.5</v>
      </c>
      <c r="XA23" s="11">
        <v>6207624.1899999995</v>
      </c>
      <c r="XB23" s="11">
        <v>8148590</v>
      </c>
      <c r="XC23" s="11">
        <v>7908715.1200000001</v>
      </c>
      <c r="XD23" s="11">
        <v>33205864.5</v>
      </c>
      <c r="XE23" s="11">
        <v>6652273.6999999993</v>
      </c>
      <c r="XF23" s="11">
        <v>3300790.56</v>
      </c>
      <c r="XG23" s="11">
        <v>3787275.08</v>
      </c>
      <c r="XH23" s="11">
        <v>4497849.32</v>
      </c>
      <c r="XI23" s="11">
        <v>121528568.99000001</v>
      </c>
      <c r="XJ23" s="11">
        <v>12335194.48</v>
      </c>
      <c r="XK23" s="11">
        <v>12431452.800000001</v>
      </c>
      <c r="XL23" s="11">
        <v>45676345.690000005</v>
      </c>
      <c r="XM23" s="11">
        <v>11181159.469999999</v>
      </c>
      <c r="XN23" s="11">
        <v>13936037.27</v>
      </c>
      <c r="XO23" s="11">
        <v>20809643.899999999</v>
      </c>
      <c r="XP23" s="11">
        <v>11976322</v>
      </c>
      <c r="XQ23" s="11">
        <v>10574436.6</v>
      </c>
      <c r="XR23" s="11">
        <v>22001296.789999999</v>
      </c>
      <c r="XS23" s="11">
        <v>16482708.16</v>
      </c>
      <c r="XT23" s="11">
        <v>8056578.7300000004</v>
      </c>
      <c r="XU23" s="11">
        <v>6176764</v>
      </c>
      <c r="XV23" s="11">
        <v>7515797</v>
      </c>
      <c r="XW23" s="11">
        <v>8882797.3000000007</v>
      </c>
      <c r="XX23" s="11">
        <v>8433089.5599999987</v>
      </c>
      <c r="XY23" s="11">
        <v>5430901</v>
      </c>
      <c r="XZ23" s="11">
        <v>6430711.6299999999</v>
      </c>
      <c r="YA23" s="11">
        <v>6999356.0499999998</v>
      </c>
      <c r="YB23" s="11">
        <v>6391572.3499999996</v>
      </c>
      <c r="YC23" s="11">
        <v>6949709.8399999999</v>
      </c>
      <c r="YD23" s="11">
        <v>7088790</v>
      </c>
      <c r="YE23" s="11">
        <v>5408459.9000000004</v>
      </c>
      <c r="YF23" s="11">
        <v>135764944</v>
      </c>
      <c r="YG23" s="11">
        <v>9234238</v>
      </c>
      <c r="YH23" s="11">
        <v>14381037.75</v>
      </c>
      <c r="YI23" s="11">
        <v>5922011.5700000003</v>
      </c>
      <c r="YJ23" s="11">
        <v>36216303.810000002</v>
      </c>
      <c r="YK23" s="11">
        <v>11656296.149999999</v>
      </c>
      <c r="YL23" s="11">
        <v>16673792.76</v>
      </c>
      <c r="YM23" s="11">
        <v>7393130</v>
      </c>
      <c r="YN23" s="11">
        <v>33930686.990000002</v>
      </c>
      <c r="YO23" s="11">
        <v>23593443.329999998</v>
      </c>
      <c r="YP23" s="11">
        <v>13178417.57</v>
      </c>
      <c r="YQ23" s="11">
        <v>9990573.9800000004</v>
      </c>
      <c r="YR23" s="11">
        <v>6755235</v>
      </c>
      <c r="YS23" s="11">
        <v>7468994.7800000003</v>
      </c>
      <c r="YT23" s="11">
        <v>5603697.5</v>
      </c>
      <c r="YU23" s="11">
        <v>5923486</v>
      </c>
      <c r="YV23" s="11">
        <v>4895124.49</v>
      </c>
      <c r="YW23" s="11">
        <v>40929303.489999995</v>
      </c>
      <c r="YX23" s="11">
        <v>5833742</v>
      </c>
      <c r="YY23" s="11">
        <v>4302889</v>
      </c>
      <c r="YZ23" s="11">
        <v>4320913.76</v>
      </c>
      <c r="ZA23" s="11">
        <v>5569553.4000000004</v>
      </c>
      <c r="ZB23" s="11">
        <v>3122412.6</v>
      </c>
      <c r="ZC23" s="11">
        <v>6009055</v>
      </c>
      <c r="ZD23" s="11">
        <v>50622154.200000003</v>
      </c>
      <c r="ZE23" s="11">
        <v>5211460.8</v>
      </c>
      <c r="ZF23" s="11">
        <v>10130640.6</v>
      </c>
      <c r="ZG23" s="11">
        <v>8275769</v>
      </c>
      <c r="ZH23" s="11">
        <v>5397060</v>
      </c>
      <c r="ZI23" s="11">
        <v>6850390.6299999999</v>
      </c>
      <c r="ZJ23" s="11">
        <v>4178313.44</v>
      </c>
      <c r="ZK23" s="11">
        <v>3698981.05</v>
      </c>
      <c r="ZL23" s="11">
        <v>18228735.990000002</v>
      </c>
      <c r="ZM23" s="11">
        <v>120618034</v>
      </c>
      <c r="ZN23" s="11">
        <v>5167665.42</v>
      </c>
      <c r="ZO23" s="11">
        <v>12608434.5</v>
      </c>
      <c r="ZP23" s="11">
        <v>30540298.32</v>
      </c>
      <c r="ZQ23" s="11">
        <v>19542822</v>
      </c>
      <c r="ZR23" s="11">
        <v>6843971</v>
      </c>
      <c r="ZS23" s="11">
        <v>8485094</v>
      </c>
      <c r="ZT23" s="11">
        <v>15184743.699999999</v>
      </c>
      <c r="ZU23" s="11">
        <v>12531908</v>
      </c>
      <c r="ZV23" s="11">
        <v>14467942.539999999</v>
      </c>
      <c r="ZW23" s="11">
        <v>4243812</v>
      </c>
      <c r="ZX23" s="11">
        <v>5796635.7000000002</v>
      </c>
      <c r="ZY23" s="11">
        <v>6600068.5800000001</v>
      </c>
      <c r="ZZ23" s="11">
        <v>8980099.5</v>
      </c>
      <c r="AAA23" s="11">
        <v>5524917</v>
      </c>
      <c r="AAB23" s="11">
        <v>7905054</v>
      </c>
      <c r="AAC23" s="11">
        <v>5591665</v>
      </c>
      <c r="AAD23" s="11">
        <v>5408383</v>
      </c>
      <c r="AAE23" s="11">
        <v>5077302</v>
      </c>
      <c r="AAF23" s="11">
        <v>5420410.5699999994</v>
      </c>
      <c r="AAG23" s="11">
        <v>5736958.25</v>
      </c>
      <c r="AAH23" s="11">
        <v>4575165</v>
      </c>
      <c r="AAI23" s="11">
        <v>41309309.939999998</v>
      </c>
      <c r="AAJ23" s="11">
        <v>6911070</v>
      </c>
      <c r="AAK23" s="11">
        <v>6575870</v>
      </c>
      <c r="AAL23" s="11">
        <v>6940397</v>
      </c>
      <c r="AAM23" s="11">
        <v>5428275</v>
      </c>
      <c r="AAN23" s="11">
        <v>9056800</v>
      </c>
      <c r="AAO23" s="11">
        <v>5398452.5</v>
      </c>
      <c r="AAP23" s="11">
        <v>148767510.67000002</v>
      </c>
      <c r="AAQ23" s="11">
        <v>11060118.5</v>
      </c>
      <c r="AAR23" s="11">
        <v>6911596</v>
      </c>
      <c r="AAS23" s="11">
        <v>18530259.5</v>
      </c>
      <c r="AAT23" s="11">
        <v>10900845</v>
      </c>
      <c r="AAU23" s="11">
        <v>7093070.79</v>
      </c>
      <c r="AAV23" s="11">
        <v>11049410</v>
      </c>
      <c r="AAW23" s="11">
        <v>11424528.07</v>
      </c>
      <c r="AAX23" s="11">
        <v>29046717</v>
      </c>
      <c r="AAY23" s="11">
        <v>7900180</v>
      </c>
      <c r="AAZ23" s="11">
        <v>10257986.49</v>
      </c>
      <c r="ABA23" s="11">
        <v>38611365.5</v>
      </c>
      <c r="ABB23" s="11">
        <v>23197935</v>
      </c>
      <c r="ABC23" s="11">
        <v>5869594</v>
      </c>
      <c r="ABD23" s="11">
        <v>6753762.29</v>
      </c>
      <c r="ABE23" s="11">
        <v>7489377.75</v>
      </c>
      <c r="ABF23" s="11">
        <v>6313044</v>
      </c>
      <c r="ABG23" s="11">
        <v>9338516</v>
      </c>
      <c r="ABH23" s="11">
        <v>6282384</v>
      </c>
      <c r="ABI23" s="11">
        <v>67991773</v>
      </c>
      <c r="ABJ23" s="11">
        <v>47706466.390000001</v>
      </c>
      <c r="ABK23" s="11">
        <v>5315533</v>
      </c>
      <c r="ABL23" s="11">
        <v>4915026.54</v>
      </c>
      <c r="ABM23" s="11">
        <v>4047606</v>
      </c>
      <c r="ABN23" s="11">
        <v>6657982.6299999999</v>
      </c>
      <c r="ABO23" s="11">
        <v>3639759.72</v>
      </c>
      <c r="ABP23" s="11">
        <v>66215976.549999997</v>
      </c>
      <c r="ABQ23" s="11">
        <v>8392151.1500000004</v>
      </c>
      <c r="ABR23" s="11">
        <v>6163314</v>
      </c>
      <c r="ABS23" s="11">
        <v>11186077.33</v>
      </c>
      <c r="ABT23" s="11">
        <v>10128876</v>
      </c>
      <c r="ABU23" s="11">
        <v>7305590</v>
      </c>
      <c r="ABV23" s="11">
        <v>6163815.6399999997</v>
      </c>
      <c r="ABW23" s="11">
        <v>7568265.6300000008</v>
      </c>
      <c r="ABX23" s="11">
        <v>1549943</v>
      </c>
      <c r="ABY23" s="11">
        <v>69219025.25999999</v>
      </c>
      <c r="ABZ23" s="11">
        <v>5182066.2699999996</v>
      </c>
      <c r="ACA23" s="11">
        <v>6421746.9000000004</v>
      </c>
      <c r="ACB23" s="11">
        <v>3374930.91</v>
      </c>
      <c r="ACC23" s="11">
        <v>4699772.9000000004</v>
      </c>
      <c r="ACD23" s="11">
        <v>18700897.32</v>
      </c>
      <c r="ACE23" s="11">
        <v>4445099</v>
      </c>
      <c r="ACF23" s="11">
        <v>6505798.7000000002</v>
      </c>
      <c r="ACG23" s="11">
        <v>4511233.8099999996</v>
      </c>
      <c r="ACH23" s="11">
        <v>6217098.5699999994</v>
      </c>
      <c r="ACI23" s="11">
        <v>2835378</v>
      </c>
      <c r="ACJ23" s="11">
        <v>146715288.94</v>
      </c>
      <c r="ACK23" s="11">
        <v>4576988.51</v>
      </c>
      <c r="ACL23" s="11">
        <v>5335678.9100000011</v>
      </c>
      <c r="ACM23" s="11">
        <v>10995515.68</v>
      </c>
      <c r="ACN23" s="11">
        <v>4389778.3900000006</v>
      </c>
      <c r="ACO23" s="11">
        <v>6322058</v>
      </c>
      <c r="ACP23" s="11">
        <v>12564555</v>
      </c>
      <c r="ACQ23" s="11">
        <v>32986555.640000001</v>
      </c>
      <c r="ACR23" s="11">
        <v>34632965.240000002</v>
      </c>
      <c r="ACS23" s="11">
        <v>5667038.8099999996</v>
      </c>
      <c r="ACT23" s="11">
        <v>10301128.27</v>
      </c>
      <c r="ACU23" s="11">
        <v>8987149.379999999</v>
      </c>
      <c r="ACV23" s="11">
        <v>6875109</v>
      </c>
      <c r="ACW23" s="11">
        <v>28175806.41</v>
      </c>
      <c r="ACX23" s="11">
        <v>7479094</v>
      </c>
      <c r="ACY23" s="11">
        <v>8070144.4900000002</v>
      </c>
      <c r="ACZ23" s="11">
        <v>4160714</v>
      </c>
      <c r="ADA23" s="11">
        <v>6287472.8099999996</v>
      </c>
      <c r="ADB23" s="11">
        <v>2469196</v>
      </c>
      <c r="ADC23" s="11">
        <v>4068817.5</v>
      </c>
      <c r="ADD23" s="11">
        <v>5533869.7400000002</v>
      </c>
      <c r="ADE23" s="11">
        <v>2999813.34</v>
      </c>
      <c r="ADF23" s="11">
        <v>4679357.5</v>
      </c>
      <c r="ADG23" s="11">
        <v>25495308.170000002</v>
      </c>
      <c r="ADH23" s="11">
        <v>17713950.16</v>
      </c>
      <c r="ADI23" s="11">
        <v>2955092.76</v>
      </c>
      <c r="ADJ23" s="11">
        <v>3092517</v>
      </c>
      <c r="ADK23" s="11">
        <v>5035853.78</v>
      </c>
      <c r="ADL23" s="11">
        <v>1597887.7599999998</v>
      </c>
      <c r="ADM23" s="11">
        <v>3281744.94</v>
      </c>
      <c r="ADN23" s="11">
        <v>3610369.62</v>
      </c>
      <c r="ADO23" s="11">
        <v>6575927.8900000006</v>
      </c>
      <c r="ADP23" s="11">
        <v>132203105.24000001</v>
      </c>
      <c r="ADQ23" s="11">
        <v>16812168.350000001</v>
      </c>
      <c r="ADR23" s="11">
        <v>16954832.300000001</v>
      </c>
      <c r="ADS23" s="11">
        <v>13285274.130000001</v>
      </c>
      <c r="ADT23" s="11">
        <v>41034990.75</v>
      </c>
      <c r="ADU23" s="11">
        <v>3456371.3200000003</v>
      </c>
      <c r="ADV23" s="11">
        <v>5057673.3999999994</v>
      </c>
      <c r="ADW23" s="11">
        <v>7484063.7999999998</v>
      </c>
      <c r="ADX23" s="11">
        <v>5563759</v>
      </c>
      <c r="ADY23" s="11">
        <v>3311314</v>
      </c>
      <c r="ADZ23" s="11">
        <v>116992961.79999998</v>
      </c>
      <c r="AEA23" s="11">
        <v>36474840.269999996</v>
      </c>
      <c r="AEB23" s="11">
        <v>32267087.449999999</v>
      </c>
      <c r="AEC23" s="11">
        <v>6859408.7999999998</v>
      </c>
      <c r="AED23" s="11">
        <v>14434435.060000001</v>
      </c>
      <c r="AEE23" s="11">
        <v>16220611.890000001</v>
      </c>
      <c r="AEF23" s="11">
        <v>12746574.290000001</v>
      </c>
      <c r="AEG23" s="11">
        <v>10250227.640000001</v>
      </c>
      <c r="AEH23" s="11">
        <v>14195668.300000001</v>
      </c>
      <c r="AEI23" s="11">
        <v>9022969.7400000002</v>
      </c>
      <c r="AEJ23" s="11">
        <v>13621867.440000001</v>
      </c>
      <c r="AEK23" s="11">
        <v>14169378.189999999</v>
      </c>
      <c r="AEL23" s="11">
        <v>7149844</v>
      </c>
      <c r="AEM23" s="11">
        <v>14361693.25</v>
      </c>
      <c r="AEN23" s="11">
        <v>11671915.82</v>
      </c>
      <c r="AEO23" s="11">
        <v>8637570</v>
      </c>
      <c r="AEP23" s="11">
        <v>9156655.5</v>
      </c>
      <c r="AEQ23" s="11">
        <v>19773006.039999999</v>
      </c>
      <c r="AER23" s="11">
        <v>8529132</v>
      </c>
      <c r="AES23" s="11">
        <v>18489564.319999997</v>
      </c>
      <c r="AET23" s="11">
        <v>98224948.019999996</v>
      </c>
      <c r="AEU23" s="11">
        <v>11910112</v>
      </c>
      <c r="AEV23" s="11">
        <v>12830296.039999999</v>
      </c>
      <c r="AEW23" s="11">
        <v>7068636</v>
      </c>
      <c r="AEX23" s="11">
        <v>7573337</v>
      </c>
      <c r="AEY23" s="11">
        <v>23985486.950000003</v>
      </c>
      <c r="AEZ23" s="11">
        <v>6316432.1899999995</v>
      </c>
      <c r="AFA23" s="11">
        <v>6861094</v>
      </c>
      <c r="AFB23" s="11">
        <v>8089341</v>
      </c>
      <c r="AFC23" s="11">
        <v>6023320.6200000001</v>
      </c>
      <c r="AFD23" s="11">
        <v>46161529.909999996</v>
      </c>
      <c r="AFE23" s="11">
        <v>27370746.43</v>
      </c>
      <c r="AFF23" s="11">
        <v>14260595.699999999</v>
      </c>
      <c r="AFG23" s="11">
        <v>10143249.5</v>
      </c>
      <c r="AFH23" s="11">
        <v>21256861</v>
      </c>
      <c r="AFI23" s="11">
        <v>9219160.1300000008</v>
      </c>
      <c r="AFJ23" s="11">
        <v>11114401.969999999</v>
      </c>
      <c r="AFK23" s="11">
        <v>7812152</v>
      </c>
      <c r="AFL23" s="11">
        <v>6849678</v>
      </c>
      <c r="AFM23" s="11">
        <v>7533979</v>
      </c>
      <c r="AFN23" s="11">
        <v>12070117.560000001</v>
      </c>
      <c r="AFO23" s="11">
        <v>5674971.8200000003</v>
      </c>
      <c r="AFP23" s="11">
        <v>6975916.3899999997</v>
      </c>
      <c r="AFQ23" s="11">
        <v>51290242.460000001</v>
      </c>
      <c r="AFR23" s="11">
        <v>14748839.1</v>
      </c>
      <c r="AFS23" s="11">
        <v>11324327.75</v>
      </c>
      <c r="AFT23" s="11">
        <v>7385480.3499999996</v>
      </c>
      <c r="AFU23" s="11">
        <v>9535794.6699999999</v>
      </c>
      <c r="AFV23" s="11">
        <v>7737249.8800000008</v>
      </c>
      <c r="AFW23" s="11">
        <v>4469238.3900000006</v>
      </c>
      <c r="AFX23" s="11">
        <v>9004619</v>
      </c>
      <c r="AFY23" s="11">
        <v>10774465.940000001</v>
      </c>
      <c r="AFZ23" s="11">
        <v>4875452.4400000004</v>
      </c>
      <c r="AGA23" s="11">
        <v>11177884.84</v>
      </c>
      <c r="AGB23" s="11">
        <v>5680596.6900000004</v>
      </c>
      <c r="AGC23" s="11">
        <v>71673467.200000003</v>
      </c>
      <c r="AGD23" s="11">
        <v>5737937.9399999995</v>
      </c>
      <c r="AGE23" s="11">
        <v>7246382.8200000003</v>
      </c>
      <c r="AGF23" s="11">
        <v>7518048.6799999997</v>
      </c>
      <c r="AGG23" s="11">
        <v>13263709.25</v>
      </c>
      <c r="AGH23" s="11">
        <v>8694163.5</v>
      </c>
      <c r="AGI23" s="11">
        <v>4045315</v>
      </c>
      <c r="AGJ23" s="11">
        <v>6755336.3200000003</v>
      </c>
      <c r="AGK23" s="11">
        <v>4726106.6500000004</v>
      </c>
      <c r="AGL23" s="11">
        <v>6397512.9399999995</v>
      </c>
      <c r="AGM23" s="11">
        <v>5397423.6799999997</v>
      </c>
      <c r="AGN23" s="11">
        <v>73831475.010000005</v>
      </c>
      <c r="AGO23" s="11">
        <v>15346537.220000001</v>
      </c>
      <c r="AGP23" s="11">
        <v>12279601.800000001</v>
      </c>
      <c r="AGQ23" s="11">
        <v>8280062.8599999994</v>
      </c>
      <c r="AGR23" s="11">
        <v>18822919.609999999</v>
      </c>
      <c r="AGS23" s="11">
        <v>12636175.859999999</v>
      </c>
      <c r="AGT23" s="11">
        <v>6649628.4199999999</v>
      </c>
      <c r="AGU23" s="11">
        <v>11638966.559999999</v>
      </c>
      <c r="AGV23" s="11">
        <v>115333675.47000001</v>
      </c>
      <c r="AGW23" s="11">
        <v>77206108.629999995</v>
      </c>
      <c r="AGX23" s="11">
        <v>8481179.5099999998</v>
      </c>
      <c r="AGY23" s="11">
        <v>19702767.920000002</v>
      </c>
      <c r="AGZ23" s="11">
        <v>17560369.120000001</v>
      </c>
      <c r="AHA23" s="11">
        <v>16369706</v>
      </c>
      <c r="AHB23" s="11">
        <v>10438147.15</v>
      </c>
      <c r="AHC23" s="11">
        <v>12958796.26</v>
      </c>
      <c r="AHD23" s="11">
        <v>7027245</v>
      </c>
      <c r="AHE23" s="11">
        <v>11026295.789999999</v>
      </c>
      <c r="AHF23" s="11">
        <v>12462042.439999999</v>
      </c>
      <c r="AHG23" s="11">
        <v>7517002.6699999999</v>
      </c>
      <c r="AHH23" s="11">
        <v>6650551.5999999996</v>
      </c>
      <c r="AHI23" s="11">
        <v>7495303.9000000004</v>
      </c>
      <c r="AHJ23" s="11">
        <v>7973634</v>
      </c>
      <c r="AHK23" s="11">
        <v>6590985.5200000005</v>
      </c>
      <c r="AHL23" s="11">
        <v>6462363.8700000001</v>
      </c>
      <c r="AHM23" s="11">
        <v>32671451.82</v>
      </c>
      <c r="AHN23" s="11">
        <v>4496190.63</v>
      </c>
      <c r="AHO23" s="11">
        <v>4656324.75</v>
      </c>
      <c r="AHP23" s="11">
        <v>7365302.1800000006</v>
      </c>
      <c r="AHQ23" s="11">
        <v>11579272</v>
      </c>
      <c r="AHR23" s="11">
        <v>3323245.97</v>
      </c>
      <c r="AHS23" s="11">
        <v>4913390.2</v>
      </c>
      <c r="AHT23" s="11">
        <v>14597974979.569996</v>
      </c>
      <c r="AHU23" s="11"/>
    </row>
    <row r="24" spans="2:905" x14ac:dyDescent="0.7">
      <c r="B24" s="6" t="s">
        <v>29</v>
      </c>
      <c r="C24" s="6" t="s">
        <v>30</v>
      </c>
      <c r="D24" s="11">
        <v>377746245.58000004</v>
      </c>
      <c r="E24" s="11">
        <v>21530495.850000001</v>
      </c>
      <c r="F24" s="11">
        <v>31081148.109999999</v>
      </c>
      <c r="G24" s="11">
        <v>10808204</v>
      </c>
      <c r="H24" s="11">
        <v>46072376.25</v>
      </c>
      <c r="I24" s="11">
        <v>18313770</v>
      </c>
      <c r="J24" s="11">
        <v>35869360.269999996</v>
      </c>
      <c r="K24" s="11">
        <v>25650452.640000001</v>
      </c>
      <c r="L24" s="11">
        <v>23731404.300000001</v>
      </c>
      <c r="M24" s="11">
        <v>14743248.370000001</v>
      </c>
      <c r="N24" s="11">
        <v>18352253.5</v>
      </c>
      <c r="O24" s="11">
        <v>12513350</v>
      </c>
      <c r="P24" s="11">
        <v>18004723.509999998</v>
      </c>
      <c r="Q24" s="11">
        <v>14166134.5</v>
      </c>
      <c r="R24" s="11">
        <v>11570370</v>
      </c>
      <c r="S24" s="11">
        <v>28876159.48</v>
      </c>
      <c r="T24" s="11">
        <v>14364828.74</v>
      </c>
      <c r="U24" s="11">
        <v>6577550</v>
      </c>
      <c r="V24" s="11">
        <v>320615598.00999999</v>
      </c>
      <c r="W24" s="11">
        <v>81065891.970000014</v>
      </c>
      <c r="X24" s="11">
        <v>21448623.420000002</v>
      </c>
      <c r="Y24" s="11">
        <v>37716478.990000002</v>
      </c>
      <c r="Z24" s="11">
        <v>18004964</v>
      </c>
      <c r="AA24" s="11">
        <v>21293012.689999998</v>
      </c>
      <c r="AB24" s="11">
        <v>10725688.399999999</v>
      </c>
      <c r="AC24" s="11">
        <v>83208060.229999989</v>
      </c>
      <c r="AD24" s="11">
        <v>30977254.990000002</v>
      </c>
      <c r="AE24" s="11">
        <v>13031483.83</v>
      </c>
      <c r="AF24" s="11">
        <v>56396453.030000001</v>
      </c>
      <c r="AG24" s="11">
        <v>19303283.59</v>
      </c>
      <c r="AH24" s="11">
        <v>66134459.770000003</v>
      </c>
      <c r="AI24" s="11">
        <v>33638740.240000002</v>
      </c>
      <c r="AJ24" s="11">
        <v>18218869</v>
      </c>
      <c r="AK24" s="11">
        <v>12773063.34</v>
      </c>
      <c r="AL24" s="11">
        <v>27612998.359999999</v>
      </c>
      <c r="AM24" s="11">
        <v>22508319.5</v>
      </c>
      <c r="AN24" s="11">
        <v>13812730.810000001</v>
      </c>
      <c r="AO24" s="11">
        <v>15191789.590000002</v>
      </c>
      <c r="AP24" s="11">
        <v>11384403</v>
      </c>
      <c r="AQ24" s="11">
        <v>10847056.890000001</v>
      </c>
      <c r="AR24" s="11">
        <v>11268497</v>
      </c>
      <c r="AS24" s="11">
        <v>10192326.689999999</v>
      </c>
      <c r="AT24" s="11">
        <v>147696962.82000002</v>
      </c>
      <c r="AU24" s="11">
        <v>9983180.7800000012</v>
      </c>
      <c r="AV24" s="11">
        <v>9288400</v>
      </c>
      <c r="AW24" s="11">
        <v>11316895.15</v>
      </c>
      <c r="AX24" s="11">
        <v>17900774.5</v>
      </c>
      <c r="AY24" s="11">
        <v>21286450.490000002</v>
      </c>
      <c r="AZ24" s="11">
        <v>9617055</v>
      </c>
      <c r="BA24" s="11">
        <v>9797473.75</v>
      </c>
      <c r="BB24" s="11">
        <v>8232837.5</v>
      </c>
      <c r="BC24" s="11">
        <v>8551650</v>
      </c>
      <c r="BD24" s="11">
        <v>8974870</v>
      </c>
      <c r="BE24" s="11">
        <v>9262747.5</v>
      </c>
      <c r="BF24" s="11">
        <v>50131302.5</v>
      </c>
      <c r="BG24" s="11">
        <v>8537526.25</v>
      </c>
      <c r="BH24" s="11">
        <v>6373510</v>
      </c>
      <c r="BI24" s="11">
        <v>109496078.66</v>
      </c>
      <c r="BJ24" s="11">
        <v>66914929.179999992</v>
      </c>
      <c r="BK24" s="11">
        <v>15182214.33</v>
      </c>
      <c r="BL24" s="11">
        <v>10452926.5</v>
      </c>
      <c r="BM24" s="11">
        <v>14759559.140000001</v>
      </c>
      <c r="BN24" s="11">
        <v>14529142.75</v>
      </c>
      <c r="BO24" s="11">
        <v>9006116.25</v>
      </c>
      <c r="BP24" s="11">
        <v>3837908.5</v>
      </c>
      <c r="BQ24" s="11">
        <v>2359460</v>
      </c>
      <c r="BR24" s="11">
        <v>124478701.95</v>
      </c>
      <c r="BS24" s="11">
        <v>15686261.25</v>
      </c>
      <c r="BT24" s="11">
        <v>15732204.75</v>
      </c>
      <c r="BU24" s="11">
        <v>14854435</v>
      </c>
      <c r="BV24" s="11">
        <v>13123000</v>
      </c>
      <c r="BW24" s="11">
        <v>14774949.24</v>
      </c>
      <c r="BX24" s="11">
        <v>9551705</v>
      </c>
      <c r="BY24" s="11">
        <v>12727216.25</v>
      </c>
      <c r="BZ24" s="11">
        <v>59593087.549999997</v>
      </c>
      <c r="CA24" s="11">
        <v>18092013.009999998</v>
      </c>
      <c r="CB24" s="11">
        <v>23209672.509999998</v>
      </c>
      <c r="CC24" s="11">
        <v>46176922.689999998</v>
      </c>
      <c r="CD24" s="11">
        <v>18329244.890000001</v>
      </c>
      <c r="CE24" s="11">
        <v>17427675.09</v>
      </c>
      <c r="CF24" s="11">
        <v>14259359</v>
      </c>
      <c r="CG24" s="11">
        <v>282545219.75999999</v>
      </c>
      <c r="CH24" s="11">
        <v>10528386.75</v>
      </c>
      <c r="CI24" s="11">
        <v>47800858</v>
      </c>
      <c r="CJ24" s="11">
        <v>12139737.5</v>
      </c>
      <c r="CK24" s="11">
        <v>17105437.5</v>
      </c>
      <c r="CL24" s="11">
        <v>12731569</v>
      </c>
      <c r="CM24" s="11">
        <v>13814798.33</v>
      </c>
      <c r="CN24" s="11">
        <v>24737915.050000001</v>
      </c>
      <c r="CO24" s="11">
        <v>7563310</v>
      </c>
      <c r="CP24" s="11">
        <v>12973320.48</v>
      </c>
      <c r="CQ24" s="11">
        <v>9928180</v>
      </c>
      <c r="CR24" s="11">
        <v>14445087.5</v>
      </c>
      <c r="CS24" s="11">
        <v>9747007.5</v>
      </c>
      <c r="CT24" s="11">
        <v>129026389.05</v>
      </c>
      <c r="CU24" s="11">
        <v>9933150</v>
      </c>
      <c r="CV24" s="11">
        <v>11494260</v>
      </c>
      <c r="CW24" s="11">
        <v>28947023</v>
      </c>
      <c r="CX24" s="11">
        <v>13256381.370000001</v>
      </c>
      <c r="CY24" s="11">
        <v>17822615.25</v>
      </c>
      <c r="CZ24" s="11">
        <v>8797317.5</v>
      </c>
      <c r="DA24" s="11">
        <v>8254975</v>
      </c>
      <c r="DB24" s="11">
        <v>98087077.349999994</v>
      </c>
      <c r="DC24" s="11">
        <v>104808470.28</v>
      </c>
      <c r="DD24" s="11">
        <v>15514524.34</v>
      </c>
      <c r="DE24" s="11">
        <v>13279395.85</v>
      </c>
      <c r="DF24" s="11">
        <v>39130476.240000002</v>
      </c>
      <c r="DG24" s="11">
        <v>36829689</v>
      </c>
      <c r="DH24" s="11">
        <v>36827590</v>
      </c>
      <c r="DI24" s="11">
        <v>39572811.589999996</v>
      </c>
      <c r="DJ24" s="11">
        <v>10623279.67</v>
      </c>
      <c r="DK24" s="11">
        <v>313475358.09000003</v>
      </c>
      <c r="DL24" s="11">
        <v>14470513</v>
      </c>
      <c r="DM24" s="11">
        <v>19824687.5</v>
      </c>
      <c r="DN24" s="11">
        <v>14854656.689999999</v>
      </c>
      <c r="DO24" s="11">
        <v>15619131.689999999</v>
      </c>
      <c r="DP24" s="11">
        <v>15567213.310000001</v>
      </c>
      <c r="DQ24" s="11">
        <v>33269669</v>
      </c>
      <c r="DR24" s="11">
        <v>14805933</v>
      </c>
      <c r="DS24" s="11">
        <v>43937410.909999996</v>
      </c>
      <c r="DT24" s="11">
        <v>143062680.28999999</v>
      </c>
      <c r="DU24" s="11">
        <v>28486303</v>
      </c>
      <c r="DV24" s="11">
        <v>57659167.75</v>
      </c>
      <c r="DW24" s="11">
        <v>79636107</v>
      </c>
      <c r="DX24" s="11">
        <v>20627093.399999999</v>
      </c>
      <c r="DY24" s="11">
        <v>39704982.649999999</v>
      </c>
      <c r="DZ24" s="11">
        <v>37667425</v>
      </c>
      <c r="EA24" s="11">
        <v>11730786.25</v>
      </c>
      <c r="EB24" s="11">
        <v>15842172</v>
      </c>
      <c r="EC24" s="11">
        <v>22680386</v>
      </c>
      <c r="ED24" s="11">
        <v>28769858</v>
      </c>
      <c r="EE24" s="11">
        <v>62528483.479999997</v>
      </c>
      <c r="EF24" s="11">
        <v>66972410.309999995</v>
      </c>
      <c r="EG24" s="11">
        <v>16160783.620000001</v>
      </c>
      <c r="EH24" s="11">
        <v>13886526.370000001</v>
      </c>
      <c r="EI24" s="11">
        <v>13623497.439999998</v>
      </c>
      <c r="EJ24" s="11">
        <v>23956497.5</v>
      </c>
      <c r="EK24" s="11">
        <v>26308490.390000001</v>
      </c>
      <c r="EL24" s="11">
        <v>8075768</v>
      </c>
      <c r="EM24" s="11">
        <v>14452169</v>
      </c>
      <c r="EN24" s="11">
        <v>158781570.76999998</v>
      </c>
      <c r="EO24" s="11">
        <v>14859872.07</v>
      </c>
      <c r="EP24" s="11">
        <v>16801472.25</v>
      </c>
      <c r="EQ24" s="11">
        <v>16874048.219999999</v>
      </c>
      <c r="ER24" s="11">
        <v>10995275</v>
      </c>
      <c r="ES24" s="11">
        <v>10587060</v>
      </c>
      <c r="ET24" s="11">
        <v>21063843</v>
      </c>
      <c r="EU24" s="11">
        <v>20115640.73</v>
      </c>
      <c r="EV24" s="11">
        <v>14280177.75</v>
      </c>
      <c r="EW24" s="11">
        <v>150205608.11000001</v>
      </c>
      <c r="EX24" s="11">
        <v>6151092.6099999994</v>
      </c>
      <c r="EY24" s="11">
        <v>11968288.25</v>
      </c>
      <c r="EZ24" s="11">
        <v>17202019.25</v>
      </c>
      <c r="FA24" s="11">
        <v>29759448.75</v>
      </c>
      <c r="FB24" s="11">
        <v>22907101.859999999</v>
      </c>
      <c r="FC24" s="11">
        <v>17082750.5</v>
      </c>
      <c r="FD24" s="11">
        <v>13317576.5</v>
      </c>
      <c r="FE24" s="11">
        <v>10421869</v>
      </c>
      <c r="FF24" s="11">
        <v>11446615</v>
      </c>
      <c r="FG24" s="11">
        <v>12354355</v>
      </c>
      <c r="FH24" s="11">
        <v>9610025.2199999988</v>
      </c>
      <c r="FI24" s="11">
        <v>75880497.419999987</v>
      </c>
      <c r="FJ24" s="11">
        <v>9390527</v>
      </c>
      <c r="FK24" s="11">
        <v>8666257</v>
      </c>
      <c r="FL24" s="11">
        <v>10043074</v>
      </c>
      <c r="FM24" s="11">
        <v>15237965.6</v>
      </c>
      <c r="FN24" s="11">
        <v>13891233.75</v>
      </c>
      <c r="FO24" s="11">
        <v>8128415</v>
      </c>
      <c r="FP24" s="11">
        <v>1941987</v>
      </c>
      <c r="FQ24" s="11">
        <v>215100216.39999998</v>
      </c>
      <c r="FR24" s="11">
        <v>10788026</v>
      </c>
      <c r="FS24" s="11">
        <v>19747506.670000002</v>
      </c>
      <c r="FT24" s="11">
        <v>20336162.920000002</v>
      </c>
      <c r="FU24" s="11">
        <v>27893231.130000003</v>
      </c>
      <c r="FV24" s="11">
        <v>13731723.34</v>
      </c>
      <c r="FW24" s="11">
        <v>36543684.43</v>
      </c>
      <c r="FX24" s="11">
        <v>20251955</v>
      </c>
      <c r="FY24" s="11">
        <v>18907951.469999999</v>
      </c>
      <c r="FZ24" s="11">
        <v>11174318.5</v>
      </c>
      <c r="GA24" s="11">
        <v>32834434.920000002</v>
      </c>
      <c r="GB24" s="11">
        <v>14259612.379999999</v>
      </c>
      <c r="GC24" s="11">
        <v>10181035</v>
      </c>
      <c r="GD24" s="11">
        <v>9503493.120000001</v>
      </c>
      <c r="GE24" s="11">
        <v>126979748.09</v>
      </c>
      <c r="GF24" s="11">
        <v>11822612.379999999</v>
      </c>
      <c r="GG24" s="11">
        <v>9389902.1999999993</v>
      </c>
      <c r="GH24" s="11">
        <v>23502546.170000002</v>
      </c>
      <c r="GI24" s="11">
        <v>15601627.51</v>
      </c>
      <c r="GJ24" s="11">
        <v>10267547.26</v>
      </c>
      <c r="GK24" s="11">
        <v>14469337.199999999</v>
      </c>
      <c r="GL24" s="11">
        <v>31740181.449999999</v>
      </c>
      <c r="GM24" s="11">
        <v>10104548.48</v>
      </c>
      <c r="GN24" s="11">
        <v>6600120.9000000004</v>
      </c>
      <c r="GO24" s="11">
        <v>6703705.1299999999</v>
      </c>
      <c r="GP24" s="11">
        <v>5674343.75</v>
      </c>
      <c r="GQ24" s="11">
        <v>60971846.799999997</v>
      </c>
      <c r="GR24" s="11">
        <v>19631808</v>
      </c>
      <c r="GS24" s="11">
        <v>10502365.939999999</v>
      </c>
      <c r="GT24" s="11">
        <v>28281151.670000002</v>
      </c>
      <c r="GU24" s="11">
        <v>5589760</v>
      </c>
      <c r="GV24" s="11">
        <v>16957106.939999998</v>
      </c>
      <c r="GW24" s="11">
        <v>16598895</v>
      </c>
      <c r="GX24" s="11">
        <v>10854759.189999999</v>
      </c>
      <c r="GY24" s="11">
        <v>66701391.549999997</v>
      </c>
      <c r="GZ24" s="11">
        <v>7239412.5</v>
      </c>
      <c r="HA24" s="11">
        <v>19647930.420000002</v>
      </c>
      <c r="HB24" s="11">
        <v>16604186.5</v>
      </c>
      <c r="HC24" s="11">
        <v>229238695.09999999</v>
      </c>
      <c r="HD24" s="11">
        <v>50421831.759999998</v>
      </c>
      <c r="HE24" s="11">
        <v>46749833.530000001</v>
      </c>
      <c r="HF24" s="11">
        <v>80486369.140000001</v>
      </c>
      <c r="HG24" s="11">
        <v>26847224</v>
      </c>
      <c r="HH24" s="11">
        <v>48220846.859999999</v>
      </c>
      <c r="HI24" s="11">
        <v>11119549.32</v>
      </c>
      <c r="HJ24" s="11">
        <v>6129213.9800000004</v>
      </c>
      <c r="HK24" s="11">
        <v>153653020.38</v>
      </c>
      <c r="HL24" s="11">
        <v>31662384.760000002</v>
      </c>
      <c r="HM24" s="11">
        <v>33319871.16</v>
      </c>
      <c r="HN24" s="11">
        <v>21663119.380000003</v>
      </c>
      <c r="HO24" s="11">
        <v>15728625</v>
      </c>
      <c r="HP24" s="11">
        <v>15904109</v>
      </c>
      <c r="HQ24" s="11">
        <v>23173260.59</v>
      </c>
      <c r="HR24" s="11">
        <v>19196327</v>
      </c>
      <c r="HS24" s="11">
        <v>168230031.31</v>
      </c>
      <c r="HT24" s="11">
        <v>57415820.530000001</v>
      </c>
      <c r="HU24" s="11">
        <v>22560977</v>
      </c>
      <c r="HV24" s="11">
        <v>9492010.5</v>
      </c>
      <c r="HW24" s="11">
        <v>10452618.76</v>
      </c>
      <c r="HX24" s="11">
        <v>7318074.5</v>
      </c>
      <c r="HY24" s="11">
        <v>28722183.23</v>
      </c>
      <c r="HZ24" s="11">
        <v>10723338</v>
      </c>
      <c r="IA24" s="11">
        <v>10532590</v>
      </c>
      <c r="IB24" s="11">
        <v>10696583.25</v>
      </c>
      <c r="IC24" s="11">
        <v>10401223.300000001</v>
      </c>
      <c r="ID24" s="11">
        <v>18767998.799999997</v>
      </c>
      <c r="IE24" s="11">
        <v>8432373.9399999995</v>
      </c>
      <c r="IF24" s="11">
        <v>22996017.68</v>
      </c>
      <c r="IG24" s="11">
        <v>8636531</v>
      </c>
      <c r="IH24" s="11">
        <v>6475783.96</v>
      </c>
      <c r="II24" s="11">
        <v>126037183.75</v>
      </c>
      <c r="IJ24" s="11">
        <v>43311259.179999992</v>
      </c>
      <c r="IK24" s="11">
        <v>14078753.739999998</v>
      </c>
      <c r="IL24" s="11">
        <v>21646538.09</v>
      </c>
      <c r="IM24" s="11">
        <v>41222611.25</v>
      </c>
      <c r="IN24" s="11">
        <v>14290425</v>
      </c>
      <c r="IO24" s="11">
        <v>12266468.75</v>
      </c>
      <c r="IP24" s="11">
        <v>7761405</v>
      </c>
      <c r="IQ24" s="11">
        <v>7740375</v>
      </c>
      <c r="IR24" s="11">
        <v>11946218.5</v>
      </c>
      <c r="IS24" s="11">
        <v>9639493.75</v>
      </c>
      <c r="IT24" s="11">
        <v>207016621.31</v>
      </c>
      <c r="IU24" s="11">
        <v>66504283.75</v>
      </c>
      <c r="IV24" s="11">
        <v>25749624</v>
      </c>
      <c r="IW24" s="11">
        <v>19908187.170000002</v>
      </c>
      <c r="IX24" s="11">
        <v>19826003</v>
      </c>
      <c r="IY24" s="11">
        <v>4523262.9399999995</v>
      </c>
      <c r="IZ24" s="11">
        <v>12055887.699999999</v>
      </c>
      <c r="JA24" s="11">
        <v>6734271.7999999998</v>
      </c>
      <c r="JB24" s="11">
        <v>8554698.0500000007</v>
      </c>
      <c r="JC24" s="11">
        <v>12334182.800000001</v>
      </c>
      <c r="JD24" s="11">
        <v>19074844</v>
      </c>
      <c r="JE24" s="11">
        <v>11201262.209999999</v>
      </c>
      <c r="JF24" s="11">
        <v>61604905.75</v>
      </c>
      <c r="JG24" s="11">
        <v>34297351.399999999</v>
      </c>
      <c r="JH24" s="11">
        <v>10951520</v>
      </c>
      <c r="JI24" s="11">
        <v>14163511</v>
      </c>
      <c r="JJ24" s="11">
        <v>7956599.25</v>
      </c>
      <c r="JK24" s="11">
        <v>8245717.5</v>
      </c>
      <c r="JL24" s="11">
        <v>72470336</v>
      </c>
      <c r="JM24" s="11">
        <v>21331562.5</v>
      </c>
      <c r="JN24" s="11">
        <v>12304646.5</v>
      </c>
      <c r="JO24" s="11">
        <v>17499827.5</v>
      </c>
      <c r="JP24" s="11">
        <v>9847125</v>
      </c>
      <c r="JQ24" s="11">
        <v>27837991.98</v>
      </c>
      <c r="JR24" s="11">
        <v>11093475</v>
      </c>
      <c r="JS24" s="11">
        <v>153131209.41</v>
      </c>
      <c r="JT24" s="11">
        <v>79802651.420000002</v>
      </c>
      <c r="JU24" s="11">
        <v>19840780.5</v>
      </c>
      <c r="JV24" s="11">
        <v>10037397.5</v>
      </c>
      <c r="JW24" s="11">
        <v>15898759.439999999</v>
      </c>
      <c r="JX24" s="11">
        <v>7528581.25</v>
      </c>
      <c r="JY24" s="11">
        <v>64129830.75</v>
      </c>
      <c r="JZ24" s="11">
        <v>30618341.25</v>
      </c>
      <c r="KA24" s="11">
        <v>15876536</v>
      </c>
      <c r="KB24" s="11">
        <v>15055692.5</v>
      </c>
      <c r="KC24" s="11">
        <v>13232456.210000001</v>
      </c>
      <c r="KD24" s="11">
        <v>14571538</v>
      </c>
      <c r="KE24" s="11">
        <v>9515266.5</v>
      </c>
      <c r="KF24" s="11">
        <v>5673421.5</v>
      </c>
      <c r="KG24" s="11">
        <v>11513051.25</v>
      </c>
      <c r="KH24" s="11">
        <v>8559060</v>
      </c>
      <c r="KI24" s="11">
        <v>212879741.00999999</v>
      </c>
      <c r="KJ24" s="11">
        <v>36024640.099999994</v>
      </c>
      <c r="KK24" s="11">
        <v>17391074.120000001</v>
      </c>
      <c r="KL24" s="11">
        <v>12196653.68</v>
      </c>
      <c r="KM24" s="11">
        <v>18155279.170000002</v>
      </c>
      <c r="KN24" s="11">
        <v>27468350.379999999</v>
      </c>
      <c r="KO24" s="11">
        <v>68536865.450000003</v>
      </c>
      <c r="KP24" s="11">
        <v>16084226.969999999</v>
      </c>
      <c r="KQ24" s="11">
        <v>18230257.199999999</v>
      </c>
      <c r="KR24" s="11">
        <v>83166036.890000001</v>
      </c>
      <c r="KS24" s="11">
        <v>15117559.5</v>
      </c>
      <c r="KT24" s="11">
        <v>18722992.25</v>
      </c>
      <c r="KU24" s="11">
        <v>51114634.5</v>
      </c>
      <c r="KV24" s="11">
        <v>13030738</v>
      </c>
      <c r="KW24" s="11">
        <v>18950296.25</v>
      </c>
      <c r="KX24" s="11">
        <v>164742441.43000001</v>
      </c>
      <c r="KY24" s="11">
        <v>23881524.130000003</v>
      </c>
      <c r="KZ24" s="11">
        <v>106100195.91</v>
      </c>
      <c r="LA24" s="11">
        <v>14165160.5</v>
      </c>
      <c r="LB24" s="11">
        <v>20083454.800000001</v>
      </c>
      <c r="LC24" s="11">
        <v>28869878</v>
      </c>
      <c r="LD24" s="11">
        <v>26919363.5</v>
      </c>
      <c r="LE24" s="11">
        <v>29267307.219999999</v>
      </c>
      <c r="LF24" s="11">
        <v>26979519.100000001</v>
      </c>
      <c r="LG24" s="11">
        <v>21909292.5</v>
      </c>
      <c r="LH24" s="11">
        <v>289230937.71000004</v>
      </c>
      <c r="LI24" s="11">
        <v>43476813.010000005</v>
      </c>
      <c r="LJ24" s="11">
        <v>81389245.849999994</v>
      </c>
      <c r="LK24" s="11">
        <v>79874882.239999995</v>
      </c>
      <c r="LL24" s="11">
        <v>21952445.759999998</v>
      </c>
      <c r="LM24" s="11">
        <v>20102021.25</v>
      </c>
      <c r="LN24" s="11">
        <v>8892603.9100000001</v>
      </c>
      <c r="LO24" s="11">
        <v>19511464.539999999</v>
      </c>
      <c r="LP24" s="11">
        <v>7847900</v>
      </c>
      <c r="LQ24" s="11">
        <v>25175818.52</v>
      </c>
      <c r="LR24" s="11">
        <v>10015258.75</v>
      </c>
      <c r="LS24" s="11">
        <v>67591356.840000004</v>
      </c>
      <c r="LT24" s="11">
        <v>15489937.75</v>
      </c>
      <c r="LU24" s="11">
        <v>8428180</v>
      </c>
      <c r="LV24" s="11">
        <v>189434782.95999998</v>
      </c>
      <c r="LW24" s="11">
        <v>112404665.06999999</v>
      </c>
      <c r="LX24" s="11">
        <v>199849676.34</v>
      </c>
      <c r="LY24" s="11">
        <v>65531899.75</v>
      </c>
      <c r="LZ24" s="11">
        <v>33029399.100000001</v>
      </c>
      <c r="MA24" s="11">
        <v>35766571.409999996</v>
      </c>
      <c r="MB24" s="11">
        <v>24676421.969999999</v>
      </c>
      <c r="MC24" s="11">
        <v>16391692.879999999</v>
      </c>
      <c r="MD24" s="11">
        <v>22613826</v>
      </c>
      <c r="ME24" s="11">
        <v>18343622</v>
      </c>
      <c r="MF24" s="11">
        <v>46000693.119999997</v>
      </c>
      <c r="MG24" s="11">
        <v>16469710</v>
      </c>
      <c r="MH24" s="11">
        <v>264154047.24000001</v>
      </c>
      <c r="MI24" s="11">
        <v>14533515.189999999</v>
      </c>
      <c r="MJ24" s="11">
        <v>8777237.379999999</v>
      </c>
      <c r="MK24" s="11">
        <v>10639806.01</v>
      </c>
      <c r="ML24" s="11">
        <v>10396996.539999999</v>
      </c>
      <c r="MM24" s="11">
        <v>19903921.25</v>
      </c>
      <c r="MN24" s="11">
        <v>12670204.77</v>
      </c>
      <c r="MO24" s="11">
        <v>11508655.5</v>
      </c>
      <c r="MP24" s="11">
        <v>26356658</v>
      </c>
      <c r="MQ24" s="11">
        <v>14281572</v>
      </c>
      <c r="MR24" s="11">
        <v>20054546</v>
      </c>
      <c r="MS24" s="11">
        <v>10724211</v>
      </c>
      <c r="MT24" s="11">
        <v>192031760.65000001</v>
      </c>
      <c r="MU24" s="11">
        <v>22827006</v>
      </c>
      <c r="MV24" s="11">
        <v>39105973.5</v>
      </c>
      <c r="MW24" s="11">
        <v>38515881.5</v>
      </c>
      <c r="MX24" s="11">
        <v>23647124.75</v>
      </c>
      <c r="MY24" s="11">
        <v>24855747.170000002</v>
      </c>
      <c r="MZ24" s="11">
        <v>54366283.110000007</v>
      </c>
      <c r="NA24" s="11">
        <v>35665192.5</v>
      </c>
      <c r="NB24" s="11">
        <v>12535305</v>
      </c>
      <c r="NC24" s="11">
        <v>11129049</v>
      </c>
      <c r="ND24" s="11">
        <v>6810782</v>
      </c>
      <c r="NE24" s="11">
        <v>389224848.5</v>
      </c>
      <c r="NF24" s="11">
        <v>50892247.530000001</v>
      </c>
      <c r="NG24" s="11">
        <v>14083849.890000001</v>
      </c>
      <c r="NH24" s="11">
        <v>133363633.53</v>
      </c>
      <c r="NI24" s="11">
        <v>13307041.060000001</v>
      </c>
      <c r="NJ24" s="11">
        <v>32208646.240000002</v>
      </c>
      <c r="NK24" s="11">
        <v>77719726.150000006</v>
      </c>
      <c r="NL24" s="11">
        <v>62648638.210000001</v>
      </c>
      <c r="NM24" s="11">
        <v>9110812.5800000001</v>
      </c>
      <c r="NN24" s="11">
        <v>32532876.5</v>
      </c>
      <c r="NO24" s="11">
        <v>22149346.329999998</v>
      </c>
      <c r="NP24" s="11">
        <v>15354774.710000001</v>
      </c>
      <c r="NQ24" s="11">
        <v>74951584</v>
      </c>
      <c r="NR24" s="11">
        <v>24525498.59</v>
      </c>
      <c r="NS24" s="11">
        <v>12183158.52</v>
      </c>
      <c r="NT24" s="11">
        <v>12094833</v>
      </c>
      <c r="NU24" s="11">
        <v>11596361.35</v>
      </c>
      <c r="NV24" s="11">
        <v>8520109</v>
      </c>
      <c r="NW24" s="11">
        <v>10293553</v>
      </c>
      <c r="NX24" s="11">
        <v>145730964.91</v>
      </c>
      <c r="NY24" s="11">
        <v>97001774.679999992</v>
      </c>
      <c r="NZ24" s="11">
        <v>16138783.24</v>
      </c>
      <c r="OA24" s="11">
        <v>7306127.25</v>
      </c>
      <c r="OB24" s="11">
        <v>13886258.120000001</v>
      </c>
      <c r="OC24" s="11">
        <v>20902471.329999998</v>
      </c>
      <c r="OD24" s="11">
        <v>11458624.699999999</v>
      </c>
      <c r="OE24" s="11">
        <v>210553473.60999998</v>
      </c>
      <c r="OF24" s="11">
        <v>62623319.210000001</v>
      </c>
      <c r="OG24" s="11">
        <v>16024788.949999999</v>
      </c>
      <c r="OH24" s="11">
        <v>46322532.649999999</v>
      </c>
      <c r="OI24" s="11">
        <v>15844298.189999999</v>
      </c>
      <c r="OJ24" s="11">
        <v>18510746.260000002</v>
      </c>
      <c r="OK24" s="11">
        <v>25235131.030000001</v>
      </c>
      <c r="OL24" s="11">
        <v>9589037.7999999989</v>
      </c>
      <c r="OM24" s="11">
        <v>16333674.690000001</v>
      </c>
      <c r="ON24" s="11">
        <v>290729688.81</v>
      </c>
      <c r="OO24" s="11">
        <v>43426182.619999997</v>
      </c>
      <c r="OP24" s="11">
        <v>90683412.760000005</v>
      </c>
      <c r="OQ24" s="11">
        <v>28892183.440000001</v>
      </c>
      <c r="OR24" s="11">
        <v>28266506.190000001</v>
      </c>
      <c r="OS24" s="11">
        <v>14177593.67</v>
      </c>
      <c r="OT24" s="11">
        <v>126783430.62</v>
      </c>
      <c r="OU24" s="11">
        <v>12355534</v>
      </c>
      <c r="OV24" s="11">
        <v>13995825</v>
      </c>
      <c r="OW24" s="11">
        <v>21944285.16</v>
      </c>
      <c r="OX24" s="11">
        <v>20760041.77</v>
      </c>
      <c r="OY24" s="11">
        <v>67407709</v>
      </c>
      <c r="OZ24" s="11">
        <v>16353968</v>
      </c>
      <c r="PA24" s="11">
        <v>12013931</v>
      </c>
      <c r="PB24" s="11">
        <v>8956923.5500000007</v>
      </c>
      <c r="PC24" s="11">
        <v>189599364</v>
      </c>
      <c r="PD24" s="11">
        <v>13865065</v>
      </c>
      <c r="PE24" s="11">
        <v>37889387.5</v>
      </c>
      <c r="PF24" s="11">
        <v>8816232</v>
      </c>
      <c r="PG24" s="11">
        <v>29637980</v>
      </c>
      <c r="PH24" s="11">
        <v>43281469.5</v>
      </c>
      <c r="PI24" s="11">
        <v>13911986.85</v>
      </c>
      <c r="PJ24" s="11">
        <v>14982575</v>
      </c>
      <c r="PK24" s="11">
        <v>24931118.75</v>
      </c>
      <c r="PL24" s="11">
        <v>19424140</v>
      </c>
      <c r="PM24" s="11">
        <v>26996892.240000002</v>
      </c>
      <c r="PN24" s="11">
        <v>32336321.780000001</v>
      </c>
      <c r="PO24" s="11">
        <v>10075944.5</v>
      </c>
      <c r="PP24" s="11">
        <v>67890978.75</v>
      </c>
      <c r="PQ24" s="11">
        <v>14420720</v>
      </c>
      <c r="PR24" s="11">
        <v>7970746.25</v>
      </c>
      <c r="PS24" s="11">
        <v>7765124.8499999996</v>
      </c>
      <c r="PT24" s="11">
        <v>9885487.75</v>
      </c>
      <c r="PU24" s="11">
        <v>467880246.39999998</v>
      </c>
      <c r="PV24" s="11">
        <v>15783163</v>
      </c>
      <c r="PW24" s="11">
        <v>17780363.5</v>
      </c>
      <c r="PX24" s="11">
        <v>21241585</v>
      </c>
      <c r="PY24" s="11">
        <v>92364456.590000004</v>
      </c>
      <c r="PZ24" s="11">
        <v>29995287.230000004</v>
      </c>
      <c r="QA24" s="11">
        <v>41747588</v>
      </c>
      <c r="QB24" s="11">
        <v>12986617.5</v>
      </c>
      <c r="QC24" s="11">
        <v>58139389.939999998</v>
      </c>
      <c r="QD24" s="11">
        <v>10143066</v>
      </c>
      <c r="QE24" s="11">
        <v>35594130</v>
      </c>
      <c r="QF24" s="11">
        <v>10018945</v>
      </c>
      <c r="QG24" s="11">
        <v>15720629</v>
      </c>
      <c r="QH24" s="11">
        <v>25267494</v>
      </c>
      <c r="QI24" s="11">
        <v>30681909.600000001</v>
      </c>
      <c r="QJ24" s="11">
        <v>31484579</v>
      </c>
      <c r="QK24" s="11">
        <v>16200382</v>
      </c>
      <c r="QL24" s="11">
        <v>17016509.5</v>
      </c>
      <c r="QM24" s="11">
        <v>11864420</v>
      </c>
      <c r="QN24" s="11">
        <v>48856934.289999999</v>
      </c>
      <c r="QO24" s="11">
        <v>41830039</v>
      </c>
      <c r="QP24" s="11">
        <v>14928187.02</v>
      </c>
      <c r="QQ24" s="11">
        <v>10410660.5</v>
      </c>
      <c r="QR24" s="11">
        <v>9852849.5</v>
      </c>
      <c r="QS24" s="11">
        <v>7552660.5</v>
      </c>
      <c r="QT24" s="11">
        <v>6652060.46</v>
      </c>
      <c r="QU24" s="11">
        <v>241085533.63</v>
      </c>
      <c r="QV24" s="11">
        <v>10838746.32</v>
      </c>
      <c r="QW24" s="11">
        <v>41848197</v>
      </c>
      <c r="QX24" s="11">
        <v>17462626</v>
      </c>
      <c r="QY24" s="11">
        <v>19857547.050000001</v>
      </c>
      <c r="QZ24" s="11">
        <v>44421912</v>
      </c>
      <c r="RA24" s="11">
        <v>19268977</v>
      </c>
      <c r="RB24" s="11">
        <v>34639855.990000002</v>
      </c>
      <c r="RC24" s="11">
        <v>37861275.75</v>
      </c>
      <c r="RD24" s="11">
        <v>22040046.489999998</v>
      </c>
      <c r="RE24" s="11">
        <v>16688434.02</v>
      </c>
      <c r="RF24" s="11">
        <v>13933657.560000001</v>
      </c>
      <c r="RG24" s="11">
        <v>8843572.5</v>
      </c>
      <c r="RH24" s="11">
        <v>308233668.44999999</v>
      </c>
      <c r="RI24" s="11">
        <v>47621485</v>
      </c>
      <c r="RJ24" s="11">
        <v>13863900.33</v>
      </c>
      <c r="RK24" s="11">
        <v>26654308.990000002</v>
      </c>
      <c r="RL24" s="11">
        <v>20698489.57</v>
      </c>
      <c r="RM24" s="11">
        <v>21528835.75</v>
      </c>
      <c r="RN24" s="11">
        <v>72024770.810000002</v>
      </c>
      <c r="RO24" s="11">
        <v>14264229.67</v>
      </c>
      <c r="RP24" s="11">
        <v>19435605.009999998</v>
      </c>
      <c r="RQ24" s="11">
        <v>45312685</v>
      </c>
      <c r="RR24" s="11">
        <v>58628008.340000004</v>
      </c>
      <c r="RS24" s="11">
        <v>9812831.2899999991</v>
      </c>
      <c r="RT24" s="11">
        <v>11906087</v>
      </c>
      <c r="RU24" s="11">
        <v>27127986.25</v>
      </c>
      <c r="RV24" s="11">
        <v>11456572.5</v>
      </c>
      <c r="RW24" s="11">
        <v>13002218.5</v>
      </c>
      <c r="RX24" s="11">
        <v>14942165</v>
      </c>
      <c r="RY24" s="11">
        <v>12961485</v>
      </c>
      <c r="RZ24" s="11">
        <v>9070980.870000001</v>
      </c>
      <c r="SA24" s="11">
        <v>12986045</v>
      </c>
      <c r="SB24" s="11">
        <v>114357590.88</v>
      </c>
      <c r="SC24" s="11">
        <v>17011820</v>
      </c>
      <c r="SD24" s="11">
        <v>13696670.25</v>
      </c>
      <c r="SE24" s="11">
        <v>10853334.5</v>
      </c>
      <c r="SF24" s="11">
        <v>9751382.5</v>
      </c>
      <c r="SG24" s="11">
        <v>13852518.75</v>
      </c>
      <c r="SH24" s="11">
        <v>21315412.5</v>
      </c>
      <c r="SI24" s="11">
        <v>29889481.060000002</v>
      </c>
      <c r="SJ24" s="11">
        <v>14913901</v>
      </c>
      <c r="SK24" s="11">
        <v>17257975</v>
      </c>
      <c r="SL24" s="11">
        <v>36275215</v>
      </c>
      <c r="SM24" s="11">
        <v>7985397.5</v>
      </c>
      <c r="SN24" s="11">
        <v>75871049.789999992</v>
      </c>
      <c r="SO24" s="11">
        <v>14543626.5</v>
      </c>
      <c r="SP24" s="11">
        <v>33294768</v>
      </c>
      <c r="SQ24" s="11">
        <v>36756888.650000006</v>
      </c>
      <c r="SR24" s="11">
        <v>15761306.75</v>
      </c>
      <c r="SS24" s="11">
        <v>15755409.73</v>
      </c>
      <c r="ST24" s="11">
        <v>16858424.060000002</v>
      </c>
      <c r="SU24" s="11">
        <v>10343869.33</v>
      </c>
      <c r="SV24" s="11">
        <v>128133577.17</v>
      </c>
      <c r="SW24" s="11">
        <v>17064416.5</v>
      </c>
      <c r="SX24" s="11">
        <v>21312640.5</v>
      </c>
      <c r="SY24" s="11">
        <v>19245981.25</v>
      </c>
      <c r="SZ24" s="11">
        <v>11373165</v>
      </c>
      <c r="TA24" s="11">
        <v>10954097.5</v>
      </c>
      <c r="TB24" s="11">
        <v>11902955</v>
      </c>
      <c r="TC24" s="11">
        <v>36638718.549999997</v>
      </c>
      <c r="TD24" s="11">
        <v>11669123</v>
      </c>
      <c r="TE24" s="11">
        <v>12934102</v>
      </c>
      <c r="TF24" s="11">
        <v>25394984.25</v>
      </c>
      <c r="TG24" s="11">
        <v>22373085</v>
      </c>
      <c r="TH24" s="11">
        <v>14326192.5</v>
      </c>
      <c r="TI24" s="11">
        <v>10598000.5</v>
      </c>
      <c r="TJ24" s="11">
        <v>222709435</v>
      </c>
      <c r="TK24" s="11">
        <v>13302541.25</v>
      </c>
      <c r="TL24" s="11">
        <v>12123787</v>
      </c>
      <c r="TM24" s="11">
        <v>19657383.5</v>
      </c>
      <c r="TN24" s="11">
        <v>23641062.5</v>
      </c>
      <c r="TO24" s="11">
        <v>14893229.5</v>
      </c>
      <c r="TP24" s="11">
        <v>7716503</v>
      </c>
      <c r="TQ24" s="11">
        <v>47204309.329999998</v>
      </c>
      <c r="TR24" s="11">
        <v>11657520.25</v>
      </c>
      <c r="TS24" s="11">
        <v>24364037</v>
      </c>
      <c r="TT24" s="11">
        <v>20718214.77</v>
      </c>
      <c r="TU24" s="11">
        <v>12512435</v>
      </c>
      <c r="TV24" s="11">
        <v>10917324.75</v>
      </c>
      <c r="TW24" s="11">
        <v>14101050</v>
      </c>
      <c r="TX24" s="11">
        <v>11939603</v>
      </c>
      <c r="TY24" s="11">
        <v>11668899</v>
      </c>
      <c r="TZ24" s="11">
        <v>65039060.25</v>
      </c>
      <c r="UA24" s="11">
        <v>11675937.5</v>
      </c>
      <c r="UB24" s="11">
        <v>130523215.52</v>
      </c>
      <c r="UC24" s="11">
        <v>42951828</v>
      </c>
      <c r="UD24" s="11">
        <v>13636710.57</v>
      </c>
      <c r="UE24" s="11">
        <v>15748434</v>
      </c>
      <c r="UF24" s="11">
        <v>86357841</v>
      </c>
      <c r="UG24" s="11">
        <v>11053073.609999999</v>
      </c>
      <c r="UH24" s="11">
        <v>9941512.5</v>
      </c>
      <c r="UI24" s="11">
        <v>19239235.370000001</v>
      </c>
      <c r="UJ24" s="11">
        <v>13428565.98</v>
      </c>
      <c r="UK24" s="11">
        <v>91459908.069999993</v>
      </c>
      <c r="UL24" s="11">
        <v>25588899.5</v>
      </c>
      <c r="UM24" s="11">
        <v>16221807.140000001</v>
      </c>
      <c r="UN24" s="11">
        <v>30171202.009999998</v>
      </c>
      <c r="UO24" s="11">
        <v>20840131</v>
      </c>
      <c r="UP24" s="11">
        <v>13381448.08</v>
      </c>
      <c r="UQ24" s="11">
        <v>442683018.32999998</v>
      </c>
      <c r="UR24" s="11">
        <v>16613493.75</v>
      </c>
      <c r="US24" s="11">
        <v>19626375</v>
      </c>
      <c r="UT24" s="11">
        <v>72135862.799999997</v>
      </c>
      <c r="UU24" s="11">
        <v>4228540</v>
      </c>
      <c r="UV24" s="11">
        <v>15473759.5</v>
      </c>
      <c r="UW24" s="11">
        <v>43010877.719999999</v>
      </c>
      <c r="UX24" s="11">
        <v>10564547</v>
      </c>
      <c r="UY24" s="11">
        <v>12943020.75</v>
      </c>
      <c r="UZ24" s="11">
        <v>14202291.25</v>
      </c>
      <c r="VA24" s="11">
        <v>17818880.5</v>
      </c>
      <c r="VB24" s="11">
        <v>39973072.109999999</v>
      </c>
      <c r="VC24" s="11">
        <v>20411356.5</v>
      </c>
      <c r="VD24" s="11">
        <v>32597985.52</v>
      </c>
      <c r="VE24" s="11">
        <v>12031185</v>
      </c>
      <c r="VF24" s="11">
        <v>10763926</v>
      </c>
      <c r="VG24" s="11">
        <v>11537967</v>
      </c>
      <c r="VH24" s="11">
        <v>11251120.609999999</v>
      </c>
      <c r="VI24" s="11">
        <v>46473990.109999999</v>
      </c>
      <c r="VJ24" s="11">
        <v>9533370</v>
      </c>
      <c r="VK24" s="11">
        <v>8134562.5</v>
      </c>
      <c r="VL24" s="11">
        <v>7017509</v>
      </c>
      <c r="VM24" s="11">
        <v>169303806.32999998</v>
      </c>
      <c r="VN24" s="11">
        <v>11709046</v>
      </c>
      <c r="VO24" s="11">
        <v>14148714.369999999</v>
      </c>
      <c r="VP24" s="11">
        <v>20969796.27</v>
      </c>
      <c r="VQ24" s="11">
        <v>33128330.120000001</v>
      </c>
      <c r="VR24" s="11">
        <v>31381536</v>
      </c>
      <c r="VS24" s="11">
        <v>16982541</v>
      </c>
      <c r="VT24" s="11">
        <v>12207060</v>
      </c>
      <c r="VU24" s="11">
        <v>11993598</v>
      </c>
      <c r="VV24" s="11">
        <v>64573912</v>
      </c>
      <c r="VW24" s="11">
        <v>14262579.5</v>
      </c>
      <c r="VX24" s="11">
        <v>36647845.5</v>
      </c>
      <c r="VY24" s="11">
        <v>15275077</v>
      </c>
      <c r="VZ24" s="11">
        <v>12817835</v>
      </c>
      <c r="WA24" s="11">
        <v>13004311.029999999</v>
      </c>
      <c r="WB24" s="11">
        <v>692659759.25999999</v>
      </c>
      <c r="WC24" s="11">
        <v>30849789.840000004</v>
      </c>
      <c r="WD24" s="11">
        <v>22534276.5</v>
      </c>
      <c r="WE24" s="11">
        <v>18074127.550000001</v>
      </c>
      <c r="WF24" s="11">
        <v>11450964</v>
      </c>
      <c r="WG24" s="11">
        <v>27284419.5</v>
      </c>
      <c r="WH24" s="11">
        <v>36879230</v>
      </c>
      <c r="WI24" s="11">
        <v>32832757.75</v>
      </c>
      <c r="WJ24" s="11">
        <v>19094967.460000001</v>
      </c>
      <c r="WK24" s="11">
        <v>30347185.560000002</v>
      </c>
      <c r="WL24" s="11">
        <v>16034943</v>
      </c>
      <c r="WM24" s="11">
        <v>55741790.150000006</v>
      </c>
      <c r="WN24" s="11">
        <v>20292271.25</v>
      </c>
      <c r="WO24" s="11">
        <v>38865335.07</v>
      </c>
      <c r="WP24" s="11">
        <v>53058937.909999996</v>
      </c>
      <c r="WQ24" s="11">
        <v>18856233</v>
      </c>
      <c r="WR24" s="11">
        <v>25333103.559999999</v>
      </c>
      <c r="WS24" s="11">
        <v>28472373.449999999</v>
      </c>
      <c r="WT24" s="11">
        <v>13046741</v>
      </c>
      <c r="WU24" s="11">
        <v>41618105</v>
      </c>
      <c r="WV24" s="11">
        <v>90649265.329999998</v>
      </c>
      <c r="WW24" s="11">
        <v>20133770.630000003</v>
      </c>
      <c r="WX24" s="11">
        <v>17265189</v>
      </c>
      <c r="WY24" s="11">
        <v>10432767</v>
      </c>
      <c r="WZ24" s="11">
        <v>14771225.5</v>
      </c>
      <c r="XA24" s="11">
        <v>12779052.59</v>
      </c>
      <c r="XB24" s="11">
        <v>13387110</v>
      </c>
      <c r="XC24" s="11">
        <v>14115180</v>
      </c>
      <c r="XD24" s="11">
        <v>67772867.25</v>
      </c>
      <c r="XE24" s="11">
        <v>9360868.75</v>
      </c>
      <c r="XF24" s="11">
        <v>10815251.85</v>
      </c>
      <c r="XG24" s="11">
        <v>8045082.2300000004</v>
      </c>
      <c r="XH24" s="11">
        <v>8903307.5</v>
      </c>
      <c r="XI24" s="11">
        <v>313626383.53999996</v>
      </c>
      <c r="XJ24" s="11">
        <v>28454978</v>
      </c>
      <c r="XK24" s="11">
        <v>24802996.939999998</v>
      </c>
      <c r="XL24" s="11">
        <v>102654374.83</v>
      </c>
      <c r="XM24" s="11">
        <v>21778932.079999998</v>
      </c>
      <c r="XN24" s="11">
        <v>31260617.75</v>
      </c>
      <c r="XO24" s="11">
        <v>45933005.329999998</v>
      </c>
      <c r="XP24" s="11">
        <v>21973016.25</v>
      </c>
      <c r="XQ24" s="11">
        <v>24337499</v>
      </c>
      <c r="XR24" s="11">
        <v>48228481.149999999</v>
      </c>
      <c r="XS24" s="11">
        <v>33814681.25</v>
      </c>
      <c r="XT24" s="11">
        <v>13966506.539999999</v>
      </c>
      <c r="XU24" s="11">
        <v>16007344</v>
      </c>
      <c r="XV24" s="11">
        <v>21081443.75</v>
      </c>
      <c r="XW24" s="11">
        <v>17255935.079999998</v>
      </c>
      <c r="XX24" s="11">
        <v>12332443.75</v>
      </c>
      <c r="XY24" s="11">
        <v>12501055.07</v>
      </c>
      <c r="XZ24" s="11">
        <v>15492556</v>
      </c>
      <c r="YA24" s="11">
        <v>14044002.5</v>
      </c>
      <c r="YB24" s="11">
        <v>14852069</v>
      </c>
      <c r="YC24" s="11">
        <v>13802626.560000001</v>
      </c>
      <c r="YD24" s="11">
        <v>11787312</v>
      </c>
      <c r="YE24" s="11">
        <v>15075906</v>
      </c>
      <c r="YF24" s="11">
        <v>308328093</v>
      </c>
      <c r="YG24" s="11">
        <v>17305534</v>
      </c>
      <c r="YH24" s="11">
        <v>36346366</v>
      </c>
      <c r="YI24" s="11">
        <v>13411151.25</v>
      </c>
      <c r="YJ24" s="11">
        <v>64020947.950000003</v>
      </c>
      <c r="YK24" s="11">
        <v>26847263.25</v>
      </c>
      <c r="YL24" s="11">
        <v>45057484.350000001</v>
      </c>
      <c r="YM24" s="11">
        <v>12066590</v>
      </c>
      <c r="YN24" s="11">
        <v>83187577.75</v>
      </c>
      <c r="YO24" s="11">
        <v>47584151</v>
      </c>
      <c r="YP24" s="11">
        <v>27760090</v>
      </c>
      <c r="YQ24" s="11">
        <v>17352169.75</v>
      </c>
      <c r="YR24" s="11">
        <v>13222207</v>
      </c>
      <c r="YS24" s="11">
        <v>15850222.5</v>
      </c>
      <c r="YT24" s="11">
        <v>7648284</v>
      </c>
      <c r="YU24" s="11">
        <v>10837872.359999999</v>
      </c>
      <c r="YV24" s="11">
        <v>11924412.9</v>
      </c>
      <c r="YW24" s="11">
        <v>98083072.74000001</v>
      </c>
      <c r="YX24" s="11">
        <v>18932038.5</v>
      </c>
      <c r="YY24" s="11">
        <v>15110448</v>
      </c>
      <c r="YZ24" s="11">
        <v>14633245</v>
      </c>
      <c r="ZA24" s="11">
        <v>16927468.25</v>
      </c>
      <c r="ZB24" s="11">
        <v>10197749</v>
      </c>
      <c r="ZC24" s="11">
        <v>14550235</v>
      </c>
      <c r="ZD24" s="11">
        <v>136686404.81999999</v>
      </c>
      <c r="ZE24" s="11">
        <v>7627553</v>
      </c>
      <c r="ZF24" s="11">
        <v>20702481.009999998</v>
      </c>
      <c r="ZG24" s="11">
        <v>17944312.5</v>
      </c>
      <c r="ZH24" s="11">
        <v>10189527</v>
      </c>
      <c r="ZI24" s="11">
        <v>16360734.5</v>
      </c>
      <c r="ZJ24" s="11">
        <v>9412950.0399999991</v>
      </c>
      <c r="ZK24" s="11">
        <v>12163791.73</v>
      </c>
      <c r="ZL24" s="11">
        <v>35467197.200000003</v>
      </c>
      <c r="ZM24" s="11">
        <v>279983718.74000001</v>
      </c>
      <c r="ZN24" s="11">
        <v>12344573.539999999</v>
      </c>
      <c r="ZO24" s="11">
        <v>28659451</v>
      </c>
      <c r="ZP24" s="11">
        <v>87257240.799999997</v>
      </c>
      <c r="ZQ24" s="11">
        <v>38416333</v>
      </c>
      <c r="ZR24" s="11">
        <v>14055236</v>
      </c>
      <c r="ZS24" s="11">
        <v>21158802</v>
      </c>
      <c r="ZT24" s="11">
        <v>30974806</v>
      </c>
      <c r="ZU24" s="11">
        <v>28113952</v>
      </c>
      <c r="ZV24" s="11">
        <v>52665725.890000001</v>
      </c>
      <c r="ZW24" s="11">
        <v>8712170</v>
      </c>
      <c r="ZX24" s="11">
        <v>12412574</v>
      </c>
      <c r="ZY24" s="11">
        <v>14603565.870000001</v>
      </c>
      <c r="ZZ24" s="11">
        <v>17785579</v>
      </c>
      <c r="AAA24" s="11">
        <v>15101271.699999999</v>
      </c>
      <c r="AAB24" s="11">
        <v>14711119</v>
      </c>
      <c r="AAC24" s="11">
        <v>18851736.390000001</v>
      </c>
      <c r="AAD24" s="11">
        <v>22547208</v>
      </c>
      <c r="AAE24" s="11">
        <v>11905746.800000001</v>
      </c>
      <c r="AAF24" s="11">
        <v>12345089.5</v>
      </c>
      <c r="AAG24" s="11">
        <v>11168002</v>
      </c>
      <c r="AAH24" s="11">
        <v>7263431</v>
      </c>
      <c r="AAI24" s="11">
        <v>92558820.5</v>
      </c>
      <c r="AAJ24" s="11">
        <v>16231281.5</v>
      </c>
      <c r="AAK24" s="11">
        <v>18694280</v>
      </c>
      <c r="AAL24" s="11">
        <v>12363765</v>
      </c>
      <c r="AAM24" s="11">
        <v>12700762.25</v>
      </c>
      <c r="AAN24" s="11">
        <v>20157295</v>
      </c>
      <c r="AAO24" s="11">
        <v>12280777.5</v>
      </c>
      <c r="AAP24" s="11">
        <v>431131645.03999996</v>
      </c>
      <c r="AAQ24" s="11">
        <v>23625552</v>
      </c>
      <c r="AAR24" s="11">
        <v>13317149.33</v>
      </c>
      <c r="AAS24" s="11">
        <v>31215840.52</v>
      </c>
      <c r="AAT24" s="11">
        <v>24878942</v>
      </c>
      <c r="AAU24" s="11">
        <v>24886718</v>
      </c>
      <c r="AAV24" s="11">
        <v>26273045.59</v>
      </c>
      <c r="AAW24" s="11">
        <v>30574432</v>
      </c>
      <c r="AAX24" s="11">
        <v>49957631.039999999</v>
      </c>
      <c r="AAY24" s="11">
        <v>18334150</v>
      </c>
      <c r="AAZ24" s="11">
        <v>24028049.300000001</v>
      </c>
      <c r="ABA24" s="11">
        <v>79831681.329999998</v>
      </c>
      <c r="ABB24" s="11">
        <v>44798366</v>
      </c>
      <c r="ABC24" s="11">
        <v>10460050</v>
      </c>
      <c r="ABD24" s="11">
        <v>19178166.77</v>
      </c>
      <c r="ABE24" s="11">
        <v>14635616.5</v>
      </c>
      <c r="ABF24" s="11">
        <v>8407828</v>
      </c>
      <c r="ABG24" s="11">
        <v>24048490</v>
      </c>
      <c r="ABH24" s="11">
        <v>12278108.52</v>
      </c>
      <c r="ABI24" s="11">
        <v>99010474.310000002</v>
      </c>
      <c r="ABJ24" s="11">
        <v>68576592.349999994</v>
      </c>
      <c r="ABK24" s="11">
        <v>14152534</v>
      </c>
      <c r="ABL24" s="11">
        <v>10990833</v>
      </c>
      <c r="ABM24" s="11">
        <v>11313409</v>
      </c>
      <c r="ABN24" s="11">
        <v>10702237.15</v>
      </c>
      <c r="ABO24" s="11">
        <v>8186314.9199999999</v>
      </c>
      <c r="ABP24" s="11">
        <v>100067574.75999999</v>
      </c>
      <c r="ABQ24" s="11">
        <v>22220667.890000004</v>
      </c>
      <c r="ABR24" s="11">
        <v>26223390.460000001</v>
      </c>
      <c r="ABS24" s="11">
        <v>29662795.259999998</v>
      </c>
      <c r="ABT24" s="11">
        <v>19788782.5</v>
      </c>
      <c r="ABU24" s="11">
        <v>15169588.949999999</v>
      </c>
      <c r="ABV24" s="11">
        <v>12899189</v>
      </c>
      <c r="ABW24" s="11">
        <v>16914924</v>
      </c>
      <c r="ABX24" s="11">
        <v>8371990.5</v>
      </c>
      <c r="ABY24" s="11">
        <v>128785145.05000001</v>
      </c>
      <c r="ABZ24" s="11">
        <v>13032755</v>
      </c>
      <c r="ACA24" s="11">
        <v>20212065</v>
      </c>
      <c r="ACB24" s="11">
        <v>14157392</v>
      </c>
      <c r="ACC24" s="11">
        <v>11864413.620000001</v>
      </c>
      <c r="ACD24" s="11">
        <v>41859960</v>
      </c>
      <c r="ACE24" s="11">
        <v>13693985</v>
      </c>
      <c r="ACF24" s="11">
        <v>11316931.75</v>
      </c>
      <c r="ACG24" s="11">
        <v>13300124.390000001</v>
      </c>
      <c r="ACH24" s="11">
        <v>17080571</v>
      </c>
      <c r="ACI24" s="11">
        <v>11377159</v>
      </c>
      <c r="ACJ24" s="11">
        <v>318415077.06</v>
      </c>
      <c r="ACK24" s="11">
        <v>14908086</v>
      </c>
      <c r="ACL24" s="11">
        <v>20684064.380000003</v>
      </c>
      <c r="ACM24" s="11">
        <v>29873765</v>
      </c>
      <c r="ACN24" s="11">
        <v>15739685</v>
      </c>
      <c r="ACO24" s="11">
        <v>18571421</v>
      </c>
      <c r="ACP24" s="11">
        <v>30203116</v>
      </c>
      <c r="ACQ24" s="11">
        <v>88395437.909999996</v>
      </c>
      <c r="ACR24" s="11">
        <v>121990811</v>
      </c>
      <c r="ACS24" s="11">
        <v>18559050</v>
      </c>
      <c r="ACT24" s="11">
        <v>29697113</v>
      </c>
      <c r="ACU24" s="11">
        <v>30639736.23</v>
      </c>
      <c r="ACV24" s="11">
        <v>21789092</v>
      </c>
      <c r="ACW24" s="11">
        <v>103279685.49000001</v>
      </c>
      <c r="ACX24" s="11">
        <v>27596401.23</v>
      </c>
      <c r="ACY24" s="11">
        <v>19572000</v>
      </c>
      <c r="ACZ24" s="11">
        <v>20311947</v>
      </c>
      <c r="ADA24" s="11">
        <v>11535595</v>
      </c>
      <c r="ADB24" s="11">
        <v>12521605</v>
      </c>
      <c r="ADC24" s="11">
        <v>17378272</v>
      </c>
      <c r="ADD24" s="11">
        <v>11709998.969999999</v>
      </c>
      <c r="ADE24" s="11">
        <v>10439597.5</v>
      </c>
      <c r="ADF24" s="11">
        <v>12996553.609999999</v>
      </c>
      <c r="ADG24" s="11">
        <v>63295825.609999999</v>
      </c>
      <c r="ADH24" s="11">
        <v>60948588.670000002</v>
      </c>
      <c r="ADI24" s="11">
        <v>10021417.5</v>
      </c>
      <c r="ADJ24" s="11">
        <v>9267327.5</v>
      </c>
      <c r="ADK24" s="11">
        <v>13137767.5</v>
      </c>
      <c r="ADL24" s="11">
        <v>4710302</v>
      </c>
      <c r="ADM24" s="11">
        <v>13761470.48</v>
      </c>
      <c r="ADN24" s="11">
        <v>13522998.75</v>
      </c>
      <c r="ADO24" s="11">
        <v>16325655</v>
      </c>
      <c r="ADP24" s="11">
        <v>310555107.62</v>
      </c>
      <c r="ADQ24" s="11">
        <v>33224438.130000003</v>
      </c>
      <c r="ADR24" s="11">
        <v>50152932.519999996</v>
      </c>
      <c r="ADS24" s="11">
        <v>23059298</v>
      </c>
      <c r="ADT24" s="11">
        <v>97730144.74000001</v>
      </c>
      <c r="ADU24" s="11">
        <v>9188039.5800000001</v>
      </c>
      <c r="ADV24" s="11">
        <v>13292564.9</v>
      </c>
      <c r="ADW24" s="11">
        <v>17828998.149999999</v>
      </c>
      <c r="ADX24" s="11">
        <v>10928777.25</v>
      </c>
      <c r="ADY24" s="11">
        <v>11549553.23</v>
      </c>
      <c r="ADZ24" s="11">
        <v>281452209.44999999</v>
      </c>
      <c r="AEA24" s="11">
        <v>102178375.38</v>
      </c>
      <c r="AEB24" s="11">
        <v>52046191.269999996</v>
      </c>
      <c r="AEC24" s="11">
        <v>14208638.25</v>
      </c>
      <c r="AED24" s="11">
        <v>24792112.600000001</v>
      </c>
      <c r="AEE24" s="11">
        <v>29101925.75</v>
      </c>
      <c r="AEF24" s="11">
        <v>15180317.859999999</v>
      </c>
      <c r="AEG24" s="11">
        <v>15950649.48</v>
      </c>
      <c r="AEH24" s="11">
        <v>14398976.949999999</v>
      </c>
      <c r="AEI24" s="11">
        <v>14789022</v>
      </c>
      <c r="AEJ24" s="11">
        <v>23044108.829999998</v>
      </c>
      <c r="AEK24" s="11">
        <v>28221533.619999997</v>
      </c>
      <c r="AEL24" s="11">
        <v>14976894.17</v>
      </c>
      <c r="AEM24" s="11">
        <v>16474935.469999999</v>
      </c>
      <c r="AEN24" s="11">
        <v>22080729.469999999</v>
      </c>
      <c r="AEO24" s="11">
        <v>21392788.18</v>
      </c>
      <c r="AEP24" s="11">
        <v>14802669.27</v>
      </c>
      <c r="AEQ24" s="11">
        <v>32699479.300000001</v>
      </c>
      <c r="AER24" s="11">
        <v>13629093.26</v>
      </c>
      <c r="AES24" s="11">
        <v>35497935.519999996</v>
      </c>
      <c r="AET24" s="11">
        <v>165580383.06</v>
      </c>
      <c r="AEU24" s="11">
        <v>26085295.75</v>
      </c>
      <c r="AEV24" s="11">
        <v>24749557.210000001</v>
      </c>
      <c r="AEW24" s="11">
        <v>16684545.9</v>
      </c>
      <c r="AEX24" s="11">
        <v>10657415</v>
      </c>
      <c r="AEY24" s="11">
        <v>31573402.75</v>
      </c>
      <c r="AEZ24" s="11">
        <v>13537194.75</v>
      </c>
      <c r="AFA24" s="11">
        <v>16518705</v>
      </c>
      <c r="AFB24" s="11">
        <v>14396544.67</v>
      </c>
      <c r="AFC24" s="11">
        <v>8637440</v>
      </c>
      <c r="AFD24" s="11">
        <v>151183261.42000002</v>
      </c>
      <c r="AFE24" s="11">
        <v>88744884.229999989</v>
      </c>
      <c r="AFF24" s="11">
        <v>37029741.879999995</v>
      </c>
      <c r="AFG24" s="11">
        <v>22323141</v>
      </c>
      <c r="AFH24" s="11">
        <v>46472920.079999998</v>
      </c>
      <c r="AFI24" s="11">
        <v>40210266.450000003</v>
      </c>
      <c r="AFJ24" s="11">
        <v>27425332.02</v>
      </c>
      <c r="AFK24" s="11">
        <v>28318485</v>
      </c>
      <c r="AFL24" s="11">
        <v>18169249.390000001</v>
      </c>
      <c r="AFM24" s="11">
        <v>27997719.829999998</v>
      </c>
      <c r="AFN24" s="11">
        <v>22353916.879999999</v>
      </c>
      <c r="AFO24" s="11">
        <v>28252975.16</v>
      </c>
      <c r="AFP24" s="11">
        <v>29381472.210000001</v>
      </c>
      <c r="AFQ24" s="11">
        <v>169411448</v>
      </c>
      <c r="AFR24" s="11">
        <v>39315628.829999998</v>
      </c>
      <c r="AFS24" s="11">
        <v>24771255</v>
      </c>
      <c r="AFT24" s="11">
        <v>23466597.5</v>
      </c>
      <c r="AFU24" s="11">
        <v>26898079</v>
      </c>
      <c r="AFV24" s="11">
        <v>22590132.5</v>
      </c>
      <c r="AFW24" s="11">
        <v>15203450</v>
      </c>
      <c r="AFX24" s="11">
        <v>32528032.850000001</v>
      </c>
      <c r="AFY24" s="11">
        <v>31157076.530000001</v>
      </c>
      <c r="AFZ24" s="11">
        <v>14933589</v>
      </c>
      <c r="AGA24" s="11">
        <v>39826273.269999996</v>
      </c>
      <c r="AGB24" s="11">
        <v>15942585.74</v>
      </c>
      <c r="AGC24" s="11">
        <v>138432941.57999998</v>
      </c>
      <c r="AGD24" s="11">
        <v>17896838.170000002</v>
      </c>
      <c r="AGE24" s="11">
        <v>10175132</v>
      </c>
      <c r="AGF24" s="11">
        <v>12961204.25</v>
      </c>
      <c r="AGG24" s="11">
        <v>30143994.829999998</v>
      </c>
      <c r="AGH24" s="11">
        <v>16260999.949999999</v>
      </c>
      <c r="AGI24" s="11">
        <v>11079952</v>
      </c>
      <c r="AGJ24" s="11">
        <v>13525369.439999999</v>
      </c>
      <c r="AGK24" s="11">
        <v>9600590</v>
      </c>
      <c r="AGL24" s="11">
        <v>11481961.5</v>
      </c>
      <c r="AGM24" s="11">
        <v>10468019.530000001</v>
      </c>
      <c r="AGN24" s="11">
        <v>186686338.84999999</v>
      </c>
      <c r="AGO24" s="11">
        <v>55438903.659999996</v>
      </c>
      <c r="AGP24" s="11">
        <v>31006455</v>
      </c>
      <c r="AGQ24" s="11">
        <v>17395098.41</v>
      </c>
      <c r="AGR24" s="11">
        <v>36057936.920000002</v>
      </c>
      <c r="AGS24" s="11">
        <v>26802388.329999998</v>
      </c>
      <c r="AGT24" s="11">
        <v>15418898</v>
      </c>
      <c r="AGU24" s="11">
        <v>19503162</v>
      </c>
      <c r="AGV24" s="11">
        <v>291896491.23000002</v>
      </c>
      <c r="AGW24" s="11">
        <v>179572019.56</v>
      </c>
      <c r="AGX24" s="11">
        <v>17601805</v>
      </c>
      <c r="AGY24" s="11">
        <v>42814536.609999999</v>
      </c>
      <c r="AGZ24" s="11">
        <v>66268316.519999996</v>
      </c>
      <c r="AHA24" s="11">
        <v>36594210.269999996</v>
      </c>
      <c r="AHB24" s="11">
        <v>31360268</v>
      </c>
      <c r="AHC24" s="11">
        <v>20699702</v>
      </c>
      <c r="AHD24" s="11">
        <v>10159549</v>
      </c>
      <c r="AHE24" s="11">
        <v>23663359.969999999</v>
      </c>
      <c r="AHF24" s="11">
        <v>27440437.710000001</v>
      </c>
      <c r="AHG24" s="11">
        <v>15600455</v>
      </c>
      <c r="AHH24" s="11">
        <v>17255352</v>
      </c>
      <c r="AHI24" s="11">
        <v>15358179.75</v>
      </c>
      <c r="AHJ24" s="11">
        <v>14343618</v>
      </c>
      <c r="AHK24" s="11">
        <v>16167828.75</v>
      </c>
      <c r="AHL24" s="11">
        <v>13510182.199999999</v>
      </c>
      <c r="AHM24" s="11">
        <v>75580580.340000004</v>
      </c>
      <c r="AHN24" s="11">
        <v>11763998.5</v>
      </c>
      <c r="AHO24" s="11">
        <v>11796755</v>
      </c>
      <c r="AHP24" s="11">
        <v>12971619.65</v>
      </c>
      <c r="AHQ24" s="11">
        <v>31510888.280000001</v>
      </c>
      <c r="AHR24" s="11">
        <v>11657623.25</v>
      </c>
      <c r="AHS24" s="11">
        <v>11473749.550000001</v>
      </c>
      <c r="AHT24" s="11">
        <v>33659167374.490051</v>
      </c>
      <c r="AHU24" s="11"/>
    </row>
    <row r="25" spans="2:905" x14ac:dyDescent="0.7">
      <c r="B25" s="6" t="s">
        <v>31</v>
      </c>
      <c r="C25" s="6" t="s">
        <v>32</v>
      </c>
      <c r="D25" s="11">
        <v>55516056.800000004</v>
      </c>
      <c r="E25" s="11">
        <v>6252645.8399999999</v>
      </c>
      <c r="F25" s="11">
        <v>8610336.379999999</v>
      </c>
      <c r="G25" s="11">
        <v>4033865.78</v>
      </c>
      <c r="H25" s="11">
        <v>15141178.75</v>
      </c>
      <c r="I25" s="11">
        <v>6792615.0600000005</v>
      </c>
      <c r="J25" s="11">
        <v>31958678.969999999</v>
      </c>
      <c r="K25" s="11">
        <v>4616020.92</v>
      </c>
      <c r="L25" s="11">
        <v>4740778.0599999996</v>
      </c>
      <c r="M25" s="11">
        <v>4772840.41</v>
      </c>
      <c r="N25" s="11">
        <v>7182846.4399999995</v>
      </c>
      <c r="O25" s="11">
        <v>5622808.7800000003</v>
      </c>
      <c r="P25" s="11">
        <v>8113448.5</v>
      </c>
      <c r="Q25" s="11">
        <v>6135252.1400000006</v>
      </c>
      <c r="R25" s="11">
        <v>3463117.05</v>
      </c>
      <c r="S25" s="11">
        <v>5223859.76</v>
      </c>
      <c r="T25" s="11">
        <v>4023085.94</v>
      </c>
      <c r="U25" s="11">
        <v>2432652.4699999997</v>
      </c>
      <c r="V25" s="11">
        <v>68421972.289999992</v>
      </c>
      <c r="W25" s="11">
        <v>24137926.060000002</v>
      </c>
      <c r="X25" s="11">
        <v>2670177.91</v>
      </c>
      <c r="Y25" s="11">
        <v>4844581.1399999997</v>
      </c>
      <c r="Z25" s="11">
        <v>6985280.5199999996</v>
      </c>
      <c r="AA25" s="11">
        <v>5950576.7000000002</v>
      </c>
      <c r="AB25" s="11">
        <v>3244195.6</v>
      </c>
      <c r="AC25" s="11">
        <v>19216342.289999999</v>
      </c>
      <c r="AD25" s="11">
        <v>6383239.8100000005</v>
      </c>
      <c r="AE25" s="11">
        <v>4973452.78</v>
      </c>
      <c r="AF25" s="11">
        <v>15093037.27</v>
      </c>
      <c r="AG25" s="11">
        <v>7015173.6699999999</v>
      </c>
      <c r="AH25" s="11">
        <v>18032576.25</v>
      </c>
      <c r="AI25" s="11">
        <v>17305667.23</v>
      </c>
      <c r="AJ25" s="11">
        <v>4820774.78</v>
      </c>
      <c r="AK25" s="11">
        <v>2364795.35</v>
      </c>
      <c r="AL25" s="11">
        <v>5414160.2000000002</v>
      </c>
      <c r="AM25" s="11">
        <v>5248772.62</v>
      </c>
      <c r="AN25" s="11">
        <v>4461742.9000000004</v>
      </c>
      <c r="AO25" s="11">
        <v>4037766.9699999997</v>
      </c>
      <c r="AP25" s="11">
        <v>5827994.2999999998</v>
      </c>
      <c r="AQ25" s="11">
        <v>3500425.2399999998</v>
      </c>
      <c r="AR25" s="11">
        <v>3170797.16</v>
      </c>
      <c r="AS25" s="11">
        <v>1792869.4</v>
      </c>
      <c r="AT25" s="11">
        <v>30666926.549999997</v>
      </c>
      <c r="AU25" s="11">
        <v>3241584.5</v>
      </c>
      <c r="AV25" s="11">
        <v>2942780.44</v>
      </c>
      <c r="AW25" s="11">
        <v>3681579.92</v>
      </c>
      <c r="AX25" s="11">
        <v>8431890.8000000007</v>
      </c>
      <c r="AY25" s="11">
        <v>9940858.5599999987</v>
      </c>
      <c r="AZ25" s="11">
        <v>2134572.6799999997</v>
      </c>
      <c r="BA25" s="11">
        <v>4325785.08</v>
      </c>
      <c r="BB25" s="11">
        <v>3081841.29</v>
      </c>
      <c r="BC25" s="11">
        <v>7489654.7000000002</v>
      </c>
      <c r="BD25" s="11">
        <v>1404120.6</v>
      </c>
      <c r="BE25" s="11">
        <v>4150732.7</v>
      </c>
      <c r="BF25" s="11">
        <v>5839290.7199999997</v>
      </c>
      <c r="BG25" s="11">
        <v>2439880</v>
      </c>
      <c r="BH25" s="11">
        <v>4154932.69</v>
      </c>
      <c r="BI25" s="11">
        <v>25006157.34</v>
      </c>
      <c r="BJ25" s="11">
        <v>9926239.290000001</v>
      </c>
      <c r="BK25" s="11">
        <v>4948163.66</v>
      </c>
      <c r="BL25" s="11">
        <v>3257005.3200000003</v>
      </c>
      <c r="BM25" s="11">
        <v>7893839.8699999992</v>
      </c>
      <c r="BN25" s="11">
        <v>5940323.7799999993</v>
      </c>
      <c r="BO25" s="11">
        <v>4739484.9000000004</v>
      </c>
      <c r="BP25" s="11">
        <v>2163443.6</v>
      </c>
      <c r="BQ25" s="11">
        <v>768060.5</v>
      </c>
      <c r="BR25" s="11">
        <v>33421723.930000003</v>
      </c>
      <c r="BS25" s="11">
        <v>3386860.1</v>
      </c>
      <c r="BT25" s="11">
        <v>2689667.5</v>
      </c>
      <c r="BU25" s="11">
        <v>3278436.1599999997</v>
      </c>
      <c r="BV25" s="11">
        <v>2803027.2600000002</v>
      </c>
      <c r="BW25" s="11">
        <v>2411656.3200000003</v>
      </c>
      <c r="BX25" s="11">
        <v>2450447.21</v>
      </c>
      <c r="BY25" s="11">
        <v>3343380.42</v>
      </c>
      <c r="BZ25" s="11">
        <v>14950579.800000001</v>
      </c>
      <c r="CA25" s="11">
        <v>1898458.0699999998</v>
      </c>
      <c r="CB25" s="11">
        <v>8282749.1299999999</v>
      </c>
      <c r="CC25" s="11">
        <v>7778850.3399999999</v>
      </c>
      <c r="CD25" s="11">
        <v>1431614.94</v>
      </c>
      <c r="CE25" s="11">
        <v>7089986.1500000004</v>
      </c>
      <c r="CF25" s="11">
        <v>1821355.38</v>
      </c>
      <c r="CG25" s="11">
        <v>64250778.150000006</v>
      </c>
      <c r="CH25" s="11">
        <v>3721423.12</v>
      </c>
      <c r="CI25" s="11">
        <v>9667393.120000001</v>
      </c>
      <c r="CJ25" s="11">
        <v>7974568.3200000003</v>
      </c>
      <c r="CK25" s="11">
        <v>5264432.9800000004</v>
      </c>
      <c r="CL25" s="11">
        <v>7683477.1899999995</v>
      </c>
      <c r="CM25" s="11">
        <v>2441900.65</v>
      </c>
      <c r="CN25" s="11">
        <v>10345928.949999999</v>
      </c>
      <c r="CO25" s="11">
        <v>3338532.58</v>
      </c>
      <c r="CP25" s="11">
        <v>7507256.0700000003</v>
      </c>
      <c r="CQ25" s="11">
        <v>4381290.82</v>
      </c>
      <c r="CR25" s="11">
        <v>7758710</v>
      </c>
      <c r="CS25" s="11">
        <v>4753025.41</v>
      </c>
      <c r="CT25" s="11">
        <v>43037617.969999999</v>
      </c>
      <c r="CU25" s="11">
        <v>3420203.47</v>
      </c>
      <c r="CV25" s="11">
        <v>4903553.4400000004</v>
      </c>
      <c r="CW25" s="11">
        <v>4419655.6100000003</v>
      </c>
      <c r="CX25" s="11">
        <v>3488400.96</v>
      </c>
      <c r="CY25" s="11">
        <v>5730424.5700000003</v>
      </c>
      <c r="CZ25" s="11">
        <v>3300870.5700000003</v>
      </c>
      <c r="DA25" s="11">
        <v>3361529.08</v>
      </c>
      <c r="DB25" s="11">
        <v>13924257.719999999</v>
      </c>
      <c r="DC25" s="11">
        <v>103878509.16</v>
      </c>
      <c r="DD25" s="11">
        <v>4537241.67</v>
      </c>
      <c r="DE25" s="11">
        <v>3515526.9299999997</v>
      </c>
      <c r="DF25" s="11">
        <v>8637792.7300000004</v>
      </c>
      <c r="DG25" s="11">
        <v>9564703.5999999996</v>
      </c>
      <c r="DH25" s="11">
        <v>27186748.099999998</v>
      </c>
      <c r="DI25" s="11">
        <v>11153477.859999999</v>
      </c>
      <c r="DJ25" s="11">
        <v>6054102.8300000001</v>
      </c>
      <c r="DK25" s="11">
        <v>91063881.400000006</v>
      </c>
      <c r="DL25" s="11">
        <v>4802200.5</v>
      </c>
      <c r="DM25" s="11">
        <v>10063137.41</v>
      </c>
      <c r="DN25" s="11">
        <v>6080982.0999999996</v>
      </c>
      <c r="DO25" s="11">
        <v>5568037.5</v>
      </c>
      <c r="DP25" s="11">
        <v>6988005.1500000004</v>
      </c>
      <c r="DQ25" s="11">
        <v>11332034.84</v>
      </c>
      <c r="DR25" s="11">
        <v>6391509.4500000002</v>
      </c>
      <c r="DS25" s="11">
        <v>10199897.43</v>
      </c>
      <c r="DT25" s="11">
        <v>32174760.040000007</v>
      </c>
      <c r="DU25" s="11">
        <v>4602332.03</v>
      </c>
      <c r="DV25" s="11">
        <v>6692848.9299999997</v>
      </c>
      <c r="DW25" s="11">
        <v>14168538.720000001</v>
      </c>
      <c r="DX25" s="11">
        <v>9456427.9399999995</v>
      </c>
      <c r="DY25" s="11">
        <v>4108290</v>
      </c>
      <c r="DZ25" s="11">
        <v>3670819.71</v>
      </c>
      <c r="EA25" s="11">
        <v>1183564.93</v>
      </c>
      <c r="EB25" s="11">
        <v>6030864.4699999997</v>
      </c>
      <c r="EC25" s="11">
        <v>2494464.06</v>
      </c>
      <c r="ED25" s="11">
        <v>3949987.56</v>
      </c>
      <c r="EE25" s="11">
        <v>22218243.07</v>
      </c>
      <c r="EF25" s="11">
        <v>21774698.419999998</v>
      </c>
      <c r="EG25" s="11">
        <v>2348106.7199999997</v>
      </c>
      <c r="EH25" s="11">
        <v>5541027.1500000004</v>
      </c>
      <c r="EI25" s="11">
        <v>6474148.2300000004</v>
      </c>
      <c r="EJ25" s="11">
        <v>3754865.9</v>
      </c>
      <c r="EK25" s="11">
        <v>5563312.7199999997</v>
      </c>
      <c r="EL25" s="11">
        <v>5218514.2300000004</v>
      </c>
      <c r="EM25" s="11">
        <v>1974862.6099999999</v>
      </c>
      <c r="EN25" s="11">
        <v>34911954.549999997</v>
      </c>
      <c r="EO25" s="11">
        <v>2077622.71</v>
      </c>
      <c r="EP25" s="11">
        <v>4882444.88</v>
      </c>
      <c r="EQ25" s="11">
        <v>4191652.95</v>
      </c>
      <c r="ER25" s="11">
        <v>2136661.9699999997</v>
      </c>
      <c r="ES25" s="11">
        <v>3089640.31</v>
      </c>
      <c r="ET25" s="11">
        <v>9131907.2799999993</v>
      </c>
      <c r="EU25" s="11">
        <v>8223087.5499999998</v>
      </c>
      <c r="EV25" s="11">
        <v>3879346.0600000005</v>
      </c>
      <c r="EW25" s="11">
        <v>30341089.869999997</v>
      </c>
      <c r="EX25" s="11">
        <v>2436903.98</v>
      </c>
      <c r="EY25" s="11">
        <v>5870724.4800000004</v>
      </c>
      <c r="EZ25" s="11">
        <v>7084314.4500000002</v>
      </c>
      <c r="FA25" s="11">
        <v>24946361.140000001</v>
      </c>
      <c r="FB25" s="11">
        <v>11247625.16</v>
      </c>
      <c r="FC25" s="11">
        <v>7941604.5</v>
      </c>
      <c r="FD25" s="11">
        <v>6448121.0999999996</v>
      </c>
      <c r="FE25" s="11">
        <v>9505501.4399999995</v>
      </c>
      <c r="FF25" s="11">
        <v>3897579.17</v>
      </c>
      <c r="FG25" s="11">
        <v>6108421.5</v>
      </c>
      <c r="FH25" s="11">
        <v>2919585.5</v>
      </c>
      <c r="FI25" s="11">
        <v>21537565.699999999</v>
      </c>
      <c r="FJ25" s="11">
        <v>2120300</v>
      </c>
      <c r="FK25" s="11">
        <v>2976830.9</v>
      </c>
      <c r="FL25" s="11">
        <v>2589058.2999999998</v>
      </c>
      <c r="FM25" s="11">
        <v>3076909.04</v>
      </c>
      <c r="FN25" s="11">
        <v>3650590.28</v>
      </c>
      <c r="FO25" s="11">
        <v>1549836.6</v>
      </c>
      <c r="FP25" s="11">
        <v>493407.07</v>
      </c>
      <c r="FQ25" s="11">
        <v>73401619.180000007</v>
      </c>
      <c r="FR25" s="11">
        <v>3212845.96</v>
      </c>
      <c r="FS25" s="11">
        <v>4603753.58</v>
      </c>
      <c r="FT25" s="11">
        <v>4002172.21</v>
      </c>
      <c r="FU25" s="11">
        <v>11246959.6</v>
      </c>
      <c r="FV25" s="11">
        <v>3140483.45</v>
      </c>
      <c r="FW25" s="11">
        <v>4763661.2200000007</v>
      </c>
      <c r="FX25" s="11">
        <v>3712679.16</v>
      </c>
      <c r="FY25" s="11">
        <v>4613316.9000000004</v>
      </c>
      <c r="FZ25" s="11">
        <v>1868920.28</v>
      </c>
      <c r="GA25" s="11">
        <v>8092540.8800000008</v>
      </c>
      <c r="GB25" s="11">
        <v>3164607.7300000004</v>
      </c>
      <c r="GC25" s="11">
        <v>3836266.4699999997</v>
      </c>
      <c r="GD25" s="11">
        <v>865624.43</v>
      </c>
      <c r="GE25" s="11">
        <v>47404657.359999999</v>
      </c>
      <c r="GF25" s="11">
        <v>3892557.1</v>
      </c>
      <c r="GG25" s="11">
        <v>5461490.4000000004</v>
      </c>
      <c r="GH25" s="11">
        <v>4725031.9000000004</v>
      </c>
      <c r="GI25" s="11">
        <v>7724015.6200000001</v>
      </c>
      <c r="GJ25" s="11">
        <v>1839453.62</v>
      </c>
      <c r="GK25" s="11">
        <v>1781103.94</v>
      </c>
      <c r="GL25" s="11">
        <v>8211114.8899999997</v>
      </c>
      <c r="GM25" s="11">
        <v>2422574.6999999997</v>
      </c>
      <c r="GN25" s="11">
        <v>2653872.19</v>
      </c>
      <c r="GO25" s="11">
        <v>1993526.93</v>
      </c>
      <c r="GP25" s="11">
        <v>926304.39</v>
      </c>
      <c r="GQ25" s="11">
        <v>29683206.57</v>
      </c>
      <c r="GR25" s="11">
        <v>8609518.0199999996</v>
      </c>
      <c r="GS25" s="11">
        <v>3926197.7700000005</v>
      </c>
      <c r="GT25" s="11">
        <v>3084470.79</v>
      </c>
      <c r="GU25" s="11">
        <v>1811536.41</v>
      </c>
      <c r="GV25" s="11">
        <v>4587536.45</v>
      </c>
      <c r="GW25" s="11">
        <v>2918308.8600000003</v>
      </c>
      <c r="GX25" s="11">
        <v>2052511.2999999998</v>
      </c>
      <c r="GY25" s="11">
        <v>10139614.27</v>
      </c>
      <c r="GZ25" s="11">
        <v>1029582</v>
      </c>
      <c r="HA25" s="11">
        <v>4132631.2800000003</v>
      </c>
      <c r="HB25" s="11">
        <v>2525925.9</v>
      </c>
      <c r="HC25" s="11">
        <v>228791835.18000001</v>
      </c>
      <c r="HD25" s="11">
        <v>4499167.8499999996</v>
      </c>
      <c r="HE25" s="11">
        <v>4291304.33</v>
      </c>
      <c r="HF25" s="11">
        <v>13548031.789999999</v>
      </c>
      <c r="HG25" s="11">
        <v>16185406.41</v>
      </c>
      <c r="HH25" s="11">
        <v>7452480.3799999999</v>
      </c>
      <c r="HI25" s="11">
        <v>14576099.41</v>
      </c>
      <c r="HJ25" s="11">
        <v>117035</v>
      </c>
      <c r="HK25" s="11">
        <v>25189309.670000002</v>
      </c>
      <c r="HL25" s="11">
        <v>29465356.23</v>
      </c>
      <c r="HM25" s="11">
        <v>21367060.5</v>
      </c>
      <c r="HN25" s="11">
        <v>23993228.27</v>
      </c>
      <c r="HO25" s="11">
        <v>16979407.440000001</v>
      </c>
      <c r="HP25" s="11">
        <v>16137454.289999999</v>
      </c>
      <c r="HQ25" s="11">
        <v>20939532.789999999</v>
      </c>
      <c r="HR25" s="11">
        <v>1430273.1999999997</v>
      </c>
      <c r="HS25" s="11">
        <v>37015631.279999994</v>
      </c>
      <c r="HT25" s="11">
        <v>15464729.58</v>
      </c>
      <c r="HU25" s="11">
        <v>2913021.77</v>
      </c>
      <c r="HV25" s="11">
        <v>7064948</v>
      </c>
      <c r="HW25" s="11">
        <v>5372340.7300000004</v>
      </c>
      <c r="HX25" s="11">
        <v>2706404.9</v>
      </c>
      <c r="HY25" s="11">
        <v>16521821.109999999</v>
      </c>
      <c r="HZ25" s="11">
        <v>3808418.8499999996</v>
      </c>
      <c r="IA25" s="11">
        <v>6155719.7000000002</v>
      </c>
      <c r="IB25" s="11">
        <v>10719973.16</v>
      </c>
      <c r="IC25" s="11">
        <v>8407884</v>
      </c>
      <c r="ID25" s="11">
        <v>15115597.689999999</v>
      </c>
      <c r="IE25" s="11">
        <v>1666607.4</v>
      </c>
      <c r="IF25" s="11">
        <v>3989827.9</v>
      </c>
      <c r="IG25" s="11">
        <v>4023988</v>
      </c>
      <c r="IH25" s="11">
        <v>1075914.2</v>
      </c>
      <c r="II25" s="11">
        <v>51999391.650000006</v>
      </c>
      <c r="IJ25" s="11">
        <v>13061653.079999998</v>
      </c>
      <c r="IK25" s="11">
        <v>10209721.4</v>
      </c>
      <c r="IL25" s="11">
        <v>13610629.800000001</v>
      </c>
      <c r="IM25" s="11">
        <v>12949034.109999999</v>
      </c>
      <c r="IN25" s="11">
        <v>825890.70000000007</v>
      </c>
      <c r="IO25" s="11">
        <v>5536414.7000000002</v>
      </c>
      <c r="IP25" s="11">
        <v>2359427.5</v>
      </c>
      <c r="IQ25" s="11">
        <v>7669938.4500000002</v>
      </c>
      <c r="IR25" s="11">
        <v>2477850.58</v>
      </c>
      <c r="IS25" s="11">
        <v>1166629.2</v>
      </c>
      <c r="IT25" s="11">
        <v>80947247.599999994</v>
      </c>
      <c r="IU25" s="11">
        <v>18349959.530000001</v>
      </c>
      <c r="IV25" s="11">
        <v>17303192.899999999</v>
      </c>
      <c r="IW25" s="11">
        <v>15833198.98</v>
      </c>
      <c r="IX25" s="11">
        <v>1744777.2999999998</v>
      </c>
      <c r="IY25" s="11">
        <v>839721.6</v>
      </c>
      <c r="IZ25" s="11">
        <v>7566064.6200000001</v>
      </c>
      <c r="JA25" s="11">
        <v>2001035.3</v>
      </c>
      <c r="JB25" s="11">
        <v>2811078.9</v>
      </c>
      <c r="JC25" s="11">
        <v>2596232.1799999997</v>
      </c>
      <c r="JD25" s="11">
        <v>10063819.030000001</v>
      </c>
      <c r="JE25" s="11">
        <v>10641006.039999999</v>
      </c>
      <c r="JF25" s="11">
        <v>31009872.909999996</v>
      </c>
      <c r="JG25" s="11">
        <v>6952133.0599999996</v>
      </c>
      <c r="JH25" s="11">
        <v>3472469.81</v>
      </c>
      <c r="JI25" s="11">
        <v>1494338.0000000002</v>
      </c>
      <c r="JJ25" s="11">
        <v>1941850.6</v>
      </c>
      <c r="JK25" s="11">
        <v>3260098.26</v>
      </c>
      <c r="JL25" s="11">
        <v>21813285.399999999</v>
      </c>
      <c r="JM25" s="11">
        <v>9359038.3000000007</v>
      </c>
      <c r="JN25" s="11">
        <v>8603551.4299999997</v>
      </c>
      <c r="JO25" s="11">
        <v>8857822.1400000006</v>
      </c>
      <c r="JP25" s="11">
        <v>5373553.8700000001</v>
      </c>
      <c r="JQ25" s="11">
        <v>14411026.710000001</v>
      </c>
      <c r="JR25" s="11">
        <v>3442226.96</v>
      </c>
      <c r="JS25" s="11">
        <v>51364256.280000001</v>
      </c>
      <c r="JT25" s="11">
        <v>88071961.060000002</v>
      </c>
      <c r="JU25" s="11">
        <v>1077438.54</v>
      </c>
      <c r="JV25" s="11">
        <v>1247183.5699999998</v>
      </c>
      <c r="JW25" s="11">
        <v>12696213.609999999</v>
      </c>
      <c r="JX25" s="11">
        <v>3738245.1</v>
      </c>
      <c r="JY25" s="11">
        <v>4846830.3000000007</v>
      </c>
      <c r="JZ25" s="11">
        <v>2546955.4700000002</v>
      </c>
      <c r="KA25" s="11">
        <v>8180257.0999999996</v>
      </c>
      <c r="KB25" s="11">
        <v>11360263.6</v>
      </c>
      <c r="KC25" s="11">
        <v>3420398.9000000004</v>
      </c>
      <c r="KD25" s="11">
        <v>4653536.2</v>
      </c>
      <c r="KE25" s="11">
        <v>4155521.45</v>
      </c>
      <c r="KF25" s="11">
        <v>287188.5</v>
      </c>
      <c r="KG25" s="11">
        <v>5065743.3</v>
      </c>
      <c r="KH25" s="11">
        <v>1089412</v>
      </c>
      <c r="KI25" s="11">
        <v>41254794.189999998</v>
      </c>
      <c r="KJ25" s="11">
        <v>8692380.7250000015</v>
      </c>
      <c r="KK25" s="11">
        <v>13064153.189999999</v>
      </c>
      <c r="KL25" s="11">
        <v>9828499.4400000013</v>
      </c>
      <c r="KM25" s="11">
        <v>14659296.25</v>
      </c>
      <c r="KN25" s="11">
        <v>5955490.2999999998</v>
      </c>
      <c r="KO25" s="11">
        <v>28930392.899999999</v>
      </c>
      <c r="KP25" s="11">
        <v>9683004.1600000001</v>
      </c>
      <c r="KQ25" s="11">
        <v>4089731.2</v>
      </c>
      <c r="KR25" s="11">
        <v>29531805.09</v>
      </c>
      <c r="KS25" s="11">
        <v>9338101.8900000006</v>
      </c>
      <c r="KT25" s="11">
        <v>5281118.18</v>
      </c>
      <c r="KU25" s="11">
        <v>11360824.98</v>
      </c>
      <c r="KV25" s="11">
        <v>7647811.2999999998</v>
      </c>
      <c r="KW25" s="11">
        <v>5337560.24</v>
      </c>
      <c r="KX25" s="11">
        <v>32960341.919999998</v>
      </c>
      <c r="KY25" s="11">
        <v>13286047.859999999</v>
      </c>
      <c r="KZ25" s="11">
        <v>57405325.810000002</v>
      </c>
      <c r="LA25" s="11">
        <v>1894010</v>
      </c>
      <c r="LB25" s="11">
        <v>1454939.6</v>
      </c>
      <c r="LC25" s="11">
        <v>2602942.5700000003</v>
      </c>
      <c r="LD25" s="11">
        <v>3459345.4</v>
      </c>
      <c r="LE25" s="11">
        <v>2137632.9299999997</v>
      </c>
      <c r="LF25" s="11">
        <v>1660355.52</v>
      </c>
      <c r="LG25" s="11">
        <v>1411851.8599999999</v>
      </c>
      <c r="LH25" s="11">
        <v>82937977.629999995</v>
      </c>
      <c r="LI25" s="11">
        <v>19802083.120000001</v>
      </c>
      <c r="LJ25" s="11">
        <v>22013622.199999999</v>
      </c>
      <c r="LK25" s="11">
        <v>28979237.229999997</v>
      </c>
      <c r="LL25" s="11">
        <v>2414876.4000000004</v>
      </c>
      <c r="LM25" s="11">
        <v>1670747.5</v>
      </c>
      <c r="LN25" s="11">
        <v>1274573.6000000001</v>
      </c>
      <c r="LO25" s="11">
        <v>5667124</v>
      </c>
      <c r="LP25" s="11">
        <v>3503901.5500000003</v>
      </c>
      <c r="LQ25" s="11">
        <v>2723783.78</v>
      </c>
      <c r="LR25" s="11">
        <v>679374.5</v>
      </c>
      <c r="LS25" s="11">
        <v>32315685.149999999</v>
      </c>
      <c r="LT25" s="11">
        <v>7501858.3399999999</v>
      </c>
      <c r="LU25" s="11">
        <v>7198249.6799999997</v>
      </c>
      <c r="LV25" s="11">
        <v>171223393.80000001</v>
      </c>
      <c r="LW25" s="11">
        <v>27114385.710000001</v>
      </c>
      <c r="LX25" s="11">
        <v>34907090.369999997</v>
      </c>
      <c r="LY25" s="11">
        <v>9005854.4399999995</v>
      </c>
      <c r="LZ25" s="11">
        <v>4661331.92</v>
      </c>
      <c r="MA25" s="11">
        <v>5195638.75</v>
      </c>
      <c r="MB25" s="11">
        <v>9735317.8499999996</v>
      </c>
      <c r="MC25" s="11">
        <v>2164842.0499999998</v>
      </c>
      <c r="MD25" s="11">
        <v>3691799.01</v>
      </c>
      <c r="ME25" s="11">
        <v>3967772.7</v>
      </c>
      <c r="MF25" s="11">
        <v>10224950.140000001</v>
      </c>
      <c r="MG25" s="11">
        <v>3045271.55</v>
      </c>
      <c r="MH25" s="11">
        <v>74046244.149999991</v>
      </c>
      <c r="MI25" s="11">
        <v>2471024.4899999998</v>
      </c>
      <c r="MJ25" s="11">
        <v>3383541.67</v>
      </c>
      <c r="MK25" s="11">
        <v>6123160.7999999998</v>
      </c>
      <c r="ML25" s="11">
        <v>4305894.4000000004</v>
      </c>
      <c r="MM25" s="11">
        <v>4615195.9399999995</v>
      </c>
      <c r="MN25" s="11">
        <v>2164123</v>
      </c>
      <c r="MO25" s="11">
        <v>3068774.81</v>
      </c>
      <c r="MP25" s="11">
        <v>7996771.0899999999</v>
      </c>
      <c r="MQ25" s="11">
        <v>3945871.31</v>
      </c>
      <c r="MR25" s="11">
        <v>1950564.41</v>
      </c>
      <c r="MS25" s="11">
        <v>1273191.1499999999</v>
      </c>
      <c r="MT25" s="11">
        <v>72908624.019999996</v>
      </c>
      <c r="MU25" s="11">
        <v>1833645.02</v>
      </c>
      <c r="MV25" s="11">
        <v>12435838.35</v>
      </c>
      <c r="MW25" s="11">
        <v>4304710.16</v>
      </c>
      <c r="MX25" s="11">
        <v>2271403</v>
      </c>
      <c r="MY25" s="11">
        <v>978789</v>
      </c>
      <c r="MZ25" s="11">
        <v>5764921.0999999996</v>
      </c>
      <c r="NA25" s="11">
        <v>9307334.9199999999</v>
      </c>
      <c r="NB25" s="11">
        <v>4771096.6400000006</v>
      </c>
      <c r="NC25" s="11">
        <v>1055097.6200000001</v>
      </c>
      <c r="ND25" s="11">
        <v>978021.8</v>
      </c>
      <c r="NE25" s="11">
        <v>79776514.899999991</v>
      </c>
      <c r="NF25" s="11">
        <v>25756880.379999999</v>
      </c>
      <c r="NG25" s="11">
        <v>7987237.6600000001</v>
      </c>
      <c r="NH25" s="11">
        <v>90193342.230000004</v>
      </c>
      <c r="NI25" s="11">
        <v>6761092.2000000002</v>
      </c>
      <c r="NJ25" s="11">
        <v>13610611.93</v>
      </c>
      <c r="NK25" s="11">
        <v>12052493.890000001</v>
      </c>
      <c r="NL25" s="11">
        <v>67921794.280000001</v>
      </c>
      <c r="NM25" s="11">
        <v>807132.5</v>
      </c>
      <c r="NN25" s="11">
        <v>3339519.14</v>
      </c>
      <c r="NO25" s="11">
        <v>3032140.52</v>
      </c>
      <c r="NP25" s="11">
        <v>4632165.9000000004</v>
      </c>
      <c r="NQ25" s="11">
        <v>38224298.68</v>
      </c>
      <c r="NR25" s="11">
        <v>1429998.5899999999</v>
      </c>
      <c r="NS25" s="11">
        <v>3622797.69</v>
      </c>
      <c r="NT25" s="11">
        <v>4907203.84</v>
      </c>
      <c r="NU25" s="11">
        <v>1792983.65</v>
      </c>
      <c r="NV25" s="11">
        <v>355835.93</v>
      </c>
      <c r="NW25" s="11">
        <v>3888530.0700000003</v>
      </c>
      <c r="NX25" s="11">
        <v>69578049.519999996</v>
      </c>
      <c r="NY25" s="11">
        <v>7756514.2199999997</v>
      </c>
      <c r="NZ25" s="11">
        <v>11032642.91</v>
      </c>
      <c r="OA25" s="11">
        <v>4731951.33</v>
      </c>
      <c r="OB25" s="11">
        <v>2067579.63</v>
      </c>
      <c r="OC25" s="11">
        <v>11501644.630000001</v>
      </c>
      <c r="OD25" s="11">
        <v>1406644.2</v>
      </c>
      <c r="OE25" s="11">
        <v>60199655.289999999</v>
      </c>
      <c r="OF25" s="11">
        <v>14418167.949999999</v>
      </c>
      <c r="OG25" s="11">
        <v>3708441.71</v>
      </c>
      <c r="OH25" s="11">
        <v>47907187.079999998</v>
      </c>
      <c r="OI25" s="11">
        <v>3785248.66</v>
      </c>
      <c r="OJ25" s="11">
        <v>3310212.79</v>
      </c>
      <c r="OK25" s="11">
        <v>1959072.7200000002</v>
      </c>
      <c r="OL25" s="11">
        <v>1346015.54</v>
      </c>
      <c r="OM25" s="11">
        <v>867728.57000000007</v>
      </c>
      <c r="ON25" s="11">
        <v>34160722.329999998</v>
      </c>
      <c r="OO25" s="11">
        <v>21147534.789999999</v>
      </c>
      <c r="OP25" s="11">
        <v>46345037.93</v>
      </c>
      <c r="OQ25" s="11">
        <v>23766583.579999998</v>
      </c>
      <c r="OR25" s="11">
        <v>12210328.59</v>
      </c>
      <c r="OS25" s="11">
        <v>10973633.789999999</v>
      </c>
      <c r="OT25" s="11">
        <v>16623802.720000003</v>
      </c>
      <c r="OU25" s="11">
        <v>5778268.7599999998</v>
      </c>
      <c r="OV25" s="11">
        <v>6943927.04</v>
      </c>
      <c r="OW25" s="11">
        <v>8767579.5099999998</v>
      </c>
      <c r="OX25" s="11">
        <v>5723610.6400000006</v>
      </c>
      <c r="OY25" s="11">
        <v>109532518.13</v>
      </c>
      <c r="OZ25" s="11">
        <v>7596896.7999999998</v>
      </c>
      <c r="PA25" s="11">
        <v>4668701.42</v>
      </c>
      <c r="PB25" s="11">
        <v>9808169.9199999999</v>
      </c>
      <c r="PC25" s="11">
        <v>28966525.580000002</v>
      </c>
      <c r="PD25" s="11">
        <v>4500307.5299999993</v>
      </c>
      <c r="PE25" s="11">
        <v>18275237.199999999</v>
      </c>
      <c r="PF25" s="11">
        <v>2819722.1</v>
      </c>
      <c r="PG25" s="11">
        <v>2603533.09</v>
      </c>
      <c r="PH25" s="11">
        <v>26162541.100000001</v>
      </c>
      <c r="PI25" s="11">
        <v>6216217.2699999996</v>
      </c>
      <c r="PJ25" s="11">
        <v>6200816.3300000001</v>
      </c>
      <c r="PK25" s="11">
        <v>1974436.93</v>
      </c>
      <c r="PL25" s="11">
        <v>2035921.9000000001</v>
      </c>
      <c r="PM25" s="11">
        <v>2176571.88</v>
      </c>
      <c r="PN25" s="11">
        <v>10759969.43</v>
      </c>
      <c r="PO25" s="11">
        <v>4493086.6099999994</v>
      </c>
      <c r="PP25" s="11">
        <v>7821227.3399999999</v>
      </c>
      <c r="PQ25" s="11">
        <v>4719467.8</v>
      </c>
      <c r="PR25" s="11">
        <v>3095447.37</v>
      </c>
      <c r="PS25" s="11">
        <v>1468271.68</v>
      </c>
      <c r="PT25" s="11">
        <v>4694922.17</v>
      </c>
      <c r="PU25" s="11">
        <v>105325321.71999998</v>
      </c>
      <c r="PV25" s="11">
        <v>405042.8</v>
      </c>
      <c r="PW25" s="11">
        <v>967611.2</v>
      </c>
      <c r="PX25" s="11">
        <v>13432323.57</v>
      </c>
      <c r="PY25" s="11">
        <v>39833349.460000001</v>
      </c>
      <c r="PZ25" s="11">
        <v>4024684.85</v>
      </c>
      <c r="QA25" s="11">
        <v>13989678.92</v>
      </c>
      <c r="QB25" s="11">
        <v>1263215.1000000001</v>
      </c>
      <c r="QC25" s="11">
        <v>3063722.2100000004</v>
      </c>
      <c r="QD25" s="11">
        <v>4908496.7</v>
      </c>
      <c r="QE25" s="11">
        <v>9746990.3699999992</v>
      </c>
      <c r="QF25" s="11">
        <v>4920735.8</v>
      </c>
      <c r="QG25" s="11">
        <v>5160114.05</v>
      </c>
      <c r="QH25" s="11">
        <v>12900166.48</v>
      </c>
      <c r="QI25" s="11">
        <v>2537953.2999999998</v>
      </c>
      <c r="QJ25" s="11">
        <v>13032039.050000001</v>
      </c>
      <c r="QK25" s="11">
        <v>784434.37000000011</v>
      </c>
      <c r="QL25" s="11">
        <v>1964831.6999999997</v>
      </c>
      <c r="QM25" s="11">
        <v>3479264.5</v>
      </c>
      <c r="QN25" s="11">
        <v>17985447.82</v>
      </c>
      <c r="QO25" s="11">
        <v>12316695.9</v>
      </c>
      <c r="QP25" s="11">
        <v>1796297.33</v>
      </c>
      <c r="QQ25" s="11">
        <v>983961.59000000008</v>
      </c>
      <c r="QR25" s="11">
        <v>2427186.4</v>
      </c>
      <c r="QS25" s="11">
        <v>4497441.07</v>
      </c>
      <c r="QT25" s="11">
        <v>2625716.5700000003</v>
      </c>
      <c r="QU25" s="11">
        <v>37303160.120000005</v>
      </c>
      <c r="QV25" s="11">
        <v>2361758.1100000003</v>
      </c>
      <c r="QW25" s="11">
        <v>3209336.6</v>
      </c>
      <c r="QX25" s="11">
        <v>1703606.56</v>
      </c>
      <c r="QY25" s="11">
        <v>5260785.0999999996</v>
      </c>
      <c r="QZ25" s="11">
        <v>7199055.7999999998</v>
      </c>
      <c r="RA25" s="11">
        <v>5175459.97</v>
      </c>
      <c r="RB25" s="11">
        <v>9503856.3599999994</v>
      </c>
      <c r="RC25" s="11">
        <v>1480770.6</v>
      </c>
      <c r="RD25" s="11">
        <v>367688.1</v>
      </c>
      <c r="RE25" s="11">
        <v>554839.19999999995</v>
      </c>
      <c r="RF25" s="11">
        <v>2097130.5</v>
      </c>
      <c r="RG25" s="11">
        <v>3375006</v>
      </c>
      <c r="RH25" s="11">
        <v>43091201.699999996</v>
      </c>
      <c r="RI25" s="11">
        <v>16922313.129999999</v>
      </c>
      <c r="RJ25" s="11">
        <v>2705769.9000000004</v>
      </c>
      <c r="RK25" s="11">
        <v>2264997.54</v>
      </c>
      <c r="RL25" s="11">
        <v>594695</v>
      </c>
      <c r="RM25" s="11">
        <v>2219837.52</v>
      </c>
      <c r="RN25" s="11">
        <v>2383455.2999999998</v>
      </c>
      <c r="RO25" s="11">
        <v>3187331.7399999998</v>
      </c>
      <c r="RP25" s="11">
        <v>4277887.2300000004</v>
      </c>
      <c r="RQ25" s="11">
        <v>1720977.9</v>
      </c>
      <c r="RR25" s="11">
        <v>4651771.45</v>
      </c>
      <c r="RS25" s="11">
        <v>1868481.17</v>
      </c>
      <c r="RT25" s="11">
        <v>2445304.23</v>
      </c>
      <c r="RU25" s="11">
        <v>2478934.92</v>
      </c>
      <c r="RV25" s="11">
        <v>367571.14</v>
      </c>
      <c r="RW25" s="11">
        <v>3314509.09</v>
      </c>
      <c r="RX25" s="11">
        <v>2331029.88</v>
      </c>
      <c r="RY25" s="11">
        <v>214613.29</v>
      </c>
      <c r="RZ25" s="11">
        <v>190970.32</v>
      </c>
      <c r="SA25" s="11">
        <v>346979.1</v>
      </c>
      <c r="SB25" s="11">
        <v>18388555.880000006</v>
      </c>
      <c r="SC25" s="11">
        <v>4704483.13</v>
      </c>
      <c r="SD25" s="11">
        <v>4258810.46</v>
      </c>
      <c r="SE25" s="11">
        <v>16076584.07</v>
      </c>
      <c r="SF25" s="11">
        <v>1815780.3</v>
      </c>
      <c r="SG25" s="11">
        <v>3452248.63</v>
      </c>
      <c r="SH25" s="11">
        <v>2774198.25</v>
      </c>
      <c r="SI25" s="11">
        <v>4393100.8600000003</v>
      </c>
      <c r="SJ25" s="11">
        <v>4727481.16</v>
      </c>
      <c r="SK25" s="11">
        <v>7543506.7800000003</v>
      </c>
      <c r="SL25" s="11">
        <v>7356592.8100000005</v>
      </c>
      <c r="SM25" s="11">
        <v>2221942.66</v>
      </c>
      <c r="SN25" s="11">
        <v>34914584.519999996</v>
      </c>
      <c r="SO25" s="11">
        <v>7937305.9000000004</v>
      </c>
      <c r="SP25" s="11">
        <v>9012090.1000000015</v>
      </c>
      <c r="SQ25" s="11">
        <v>10600503.5</v>
      </c>
      <c r="SR25" s="11">
        <v>7469320.7699999996</v>
      </c>
      <c r="SS25" s="11">
        <v>6150898.5499999998</v>
      </c>
      <c r="ST25" s="11">
        <v>6952007.4500000002</v>
      </c>
      <c r="SU25" s="11">
        <v>3979591.6</v>
      </c>
      <c r="SV25" s="11">
        <v>18155429.120000001</v>
      </c>
      <c r="SW25" s="11">
        <v>2104115.7999999998</v>
      </c>
      <c r="SX25" s="11">
        <v>3117749.1399999997</v>
      </c>
      <c r="SY25" s="11">
        <v>2083621.5</v>
      </c>
      <c r="SZ25" s="11">
        <v>1208056.6000000001</v>
      </c>
      <c r="TA25" s="11">
        <v>1322631.9700000002</v>
      </c>
      <c r="TB25" s="11">
        <v>1922352.4</v>
      </c>
      <c r="TC25" s="11">
        <v>7345630.1299999999</v>
      </c>
      <c r="TD25" s="11">
        <v>1978438.23</v>
      </c>
      <c r="TE25" s="11">
        <v>1969122.4</v>
      </c>
      <c r="TF25" s="11">
        <v>2757807.77</v>
      </c>
      <c r="TG25" s="11">
        <v>2600228.9900000002</v>
      </c>
      <c r="TH25" s="11">
        <v>2221873.4500000002</v>
      </c>
      <c r="TI25" s="11">
        <v>4740594.2</v>
      </c>
      <c r="TJ25" s="11">
        <v>67433905.340000004</v>
      </c>
      <c r="TK25" s="11">
        <v>12996720.67</v>
      </c>
      <c r="TL25" s="11">
        <v>4168929.8</v>
      </c>
      <c r="TM25" s="11">
        <v>15791488.85</v>
      </c>
      <c r="TN25" s="11">
        <v>13779625.050000001</v>
      </c>
      <c r="TO25" s="11">
        <v>4314893.99</v>
      </c>
      <c r="TP25" s="11">
        <v>3925038.38</v>
      </c>
      <c r="TQ25" s="11">
        <v>27576037.350000001</v>
      </c>
      <c r="TR25" s="11">
        <v>8245843.7199999997</v>
      </c>
      <c r="TS25" s="11">
        <v>11682124.370000001</v>
      </c>
      <c r="TT25" s="11">
        <v>14114637.1</v>
      </c>
      <c r="TU25" s="11">
        <v>6269001.4000000004</v>
      </c>
      <c r="TV25" s="11">
        <v>2440689.2000000002</v>
      </c>
      <c r="TW25" s="11">
        <v>8470688.6699999999</v>
      </c>
      <c r="TX25" s="11">
        <v>10418864.93</v>
      </c>
      <c r="TY25" s="11">
        <v>6946048.7999999998</v>
      </c>
      <c r="TZ25" s="11">
        <v>17912126.650000002</v>
      </c>
      <c r="UA25" s="11">
        <v>8573312</v>
      </c>
      <c r="UB25" s="11">
        <v>28244413.960000001</v>
      </c>
      <c r="UC25" s="11">
        <v>15634281.810000001</v>
      </c>
      <c r="UD25" s="11">
        <v>4197432.4399999995</v>
      </c>
      <c r="UE25" s="11">
        <v>2943759.8</v>
      </c>
      <c r="UF25" s="11">
        <v>32390298.080000002</v>
      </c>
      <c r="UG25" s="11">
        <v>6755332.9900000002</v>
      </c>
      <c r="UH25" s="11">
        <v>1606170.25</v>
      </c>
      <c r="UI25" s="11">
        <v>2639022.0499999998</v>
      </c>
      <c r="UJ25" s="11">
        <v>4553461.88</v>
      </c>
      <c r="UK25" s="11">
        <v>25841170.600000001</v>
      </c>
      <c r="UL25" s="11">
        <v>7920630.9199999999</v>
      </c>
      <c r="UM25" s="11">
        <v>6258871.0300000003</v>
      </c>
      <c r="UN25" s="11">
        <v>10345180.140000001</v>
      </c>
      <c r="UO25" s="11">
        <v>4706300.25</v>
      </c>
      <c r="UP25" s="11">
        <v>5824691.46</v>
      </c>
      <c r="UQ25" s="11">
        <v>161908621.78</v>
      </c>
      <c r="UR25" s="11">
        <v>6594211.4000000004</v>
      </c>
      <c r="US25" s="11">
        <v>15510137.279999999</v>
      </c>
      <c r="UT25" s="11">
        <v>24593683.189999998</v>
      </c>
      <c r="UU25" s="11">
        <v>7031913.5</v>
      </c>
      <c r="UV25" s="11">
        <v>8815294.370000001</v>
      </c>
      <c r="UW25" s="11">
        <v>15458521.289999999</v>
      </c>
      <c r="UX25" s="11">
        <v>5757523.2199999997</v>
      </c>
      <c r="UY25" s="11">
        <v>4100670.9</v>
      </c>
      <c r="UZ25" s="11">
        <v>8465369.8399999999</v>
      </c>
      <c r="VA25" s="11">
        <v>6918104.7999999998</v>
      </c>
      <c r="VB25" s="11">
        <v>15056123.300000001</v>
      </c>
      <c r="VC25" s="11">
        <v>10656590.949999999</v>
      </c>
      <c r="VD25" s="11">
        <v>8171417.9399999995</v>
      </c>
      <c r="VE25" s="11">
        <v>6777883.5700000003</v>
      </c>
      <c r="VF25" s="11">
        <v>5425277.3799999999</v>
      </c>
      <c r="VG25" s="11">
        <v>4837147.9000000004</v>
      </c>
      <c r="VH25" s="11">
        <v>3738844.44</v>
      </c>
      <c r="VI25" s="11">
        <v>21272205.219999999</v>
      </c>
      <c r="VJ25" s="11">
        <v>4528010.58</v>
      </c>
      <c r="VK25" s="11">
        <v>5535349.8499999996</v>
      </c>
      <c r="VL25" s="11">
        <v>4389469.5</v>
      </c>
      <c r="VM25" s="11">
        <v>79317637.200000003</v>
      </c>
      <c r="VN25" s="11">
        <v>1999440.21</v>
      </c>
      <c r="VO25" s="11">
        <v>2599314.1999999997</v>
      </c>
      <c r="VP25" s="11">
        <v>2911572.8</v>
      </c>
      <c r="VQ25" s="11">
        <v>10129659.25</v>
      </c>
      <c r="VR25" s="11">
        <v>2765958.38</v>
      </c>
      <c r="VS25" s="11">
        <v>6654103.25</v>
      </c>
      <c r="VT25" s="11">
        <v>8324032.1099999994</v>
      </c>
      <c r="VU25" s="11">
        <v>3109031.42</v>
      </c>
      <c r="VV25" s="11">
        <v>7059566.4100000001</v>
      </c>
      <c r="VW25" s="11">
        <v>2918788.4299999997</v>
      </c>
      <c r="VX25" s="11">
        <v>10419848.300000001</v>
      </c>
      <c r="VY25" s="11">
        <v>1852997.3</v>
      </c>
      <c r="VZ25" s="11">
        <v>5774401</v>
      </c>
      <c r="WA25" s="11">
        <v>1446771.3</v>
      </c>
      <c r="WB25" s="11">
        <v>59169736.510000005</v>
      </c>
      <c r="WC25" s="11">
        <v>4686854.4399999995</v>
      </c>
      <c r="WD25" s="11">
        <v>3547117.24</v>
      </c>
      <c r="WE25" s="11">
        <v>2455038.08</v>
      </c>
      <c r="WF25" s="11">
        <v>1417512.91</v>
      </c>
      <c r="WG25" s="11">
        <v>2638470.7599999998</v>
      </c>
      <c r="WH25" s="11">
        <v>4774871.17</v>
      </c>
      <c r="WI25" s="11">
        <v>11264604.17</v>
      </c>
      <c r="WJ25" s="11">
        <v>3785535.5700000003</v>
      </c>
      <c r="WK25" s="11">
        <v>8468846</v>
      </c>
      <c r="WL25" s="11">
        <v>2101228.7999999998</v>
      </c>
      <c r="WM25" s="11">
        <v>9316337.6699999999</v>
      </c>
      <c r="WN25" s="11">
        <v>2138962.1500000004</v>
      </c>
      <c r="WO25" s="11">
        <v>3618036.62</v>
      </c>
      <c r="WP25" s="11">
        <v>5074899.08</v>
      </c>
      <c r="WQ25" s="11">
        <v>4580600.2</v>
      </c>
      <c r="WR25" s="11">
        <v>8632474.3900000006</v>
      </c>
      <c r="WS25" s="11">
        <v>2922493.68</v>
      </c>
      <c r="WT25" s="11">
        <v>5013411.55</v>
      </c>
      <c r="WU25" s="11">
        <v>10271087.140000001</v>
      </c>
      <c r="WV25" s="11">
        <v>20514451.109999999</v>
      </c>
      <c r="WW25" s="11">
        <v>2842696.13</v>
      </c>
      <c r="WX25" s="11">
        <v>2268181.75</v>
      </c>
      <c r="WY25" s="11">
        <v>1233596</v>
      </c>
      <c r="WZ25" s="11">
        <v>1524368.13</v>
      </c>
      <c r="XA25" s="11">
        <v>1292766.53</v>
      </c>
      <c r="XB25" s="11">
        <v>5184523.45</v>
      </c>
      <c r="XC25" s="11">
        <v>2133270.16</v>
      </c>
      <c r="XD25" s="11">
        <v>25328126.59</v>
      </c>
      <c r="XE25" s="11">
        <v>3346496</v>
      </c>
      <c r="XF25" s="11">
        <v>470930</v>
      </c>
      <c r="XG25" s="11">
        <v>3482230</v>
      </c>
      <c r="XH25" s="11">
        <v>3573309.41</v>
      </c>
      <c r="XI25" s="11">
        <v>92364661.589999989</v>
      </c>
      <c r="XJ25" s="11">
        <v>13045132.98</v>
      </c>
      <c r="XK25" s="11">
        <v>23039140.280000001</v>
      </c>
      <c r="XL25" s="11">
        <v>27087166.369999997</v>
      </c>
      <c r="XM25" s="11">
        <v>12493027.629999999</v>
      </c>
      <c r="XN25" s="11">
        <v>11461895.960000001</v>
      </c>
      <c r="XO25" s="11">
        <v>28112413.149999999</v>
      </c>
      <c r="XP25" s="11">
        <v>19235803.329999998</v>
      </c>
      <c r="XQ25" s="11">
        <v>9772958.6799999997</v>
      </c>
      <c r="XR25" s="11">
        <v>21871456.57</v>
      </c>
      <c r="XS25" s="11">
        <v>21370139.859999999</v>
      </c>
      <c r="XT25" s="11">
        <v>8090616.8300000001</v>
      </c>
      <c r="XU25" s="11">
        <v>9784931.2400000002</v>
      </c>
      <c r="XV25" s="11">
        <v>9880615.9900000002</v>
      </c>
      <c r="XW25" s="11">
        <v>10807981.43</v>
      </c>
      <c r="XX25" s="11">
        <v>7543039.21</v>
      </c>
      <c r="XY25" s="11">
        <v>6132732.1600000001</v>
      </c>
      <c r="XZ25" s="11">
        <v>10512081.689999999</v>
      </c>
      <c r="YA25" s="11">
        <v>7411657.75</v>
      </c>
      <c r="YB25" s="11">
        <v>6914906.46</v>
      </c>
      <c r="YC25" s="11">
        <v>9857889.5199999996</v>
      </c>
      <c r="YD25" s="11">
        <v>7483034.5499999998</v>
      </c>
      <c r="YE25" s="11">
        <v>6300570.5600000005</v>
      </c>
      <c r="YF25" s="11">
        <v>46327028.789999999</v>
      </c>
      <c r="YG25" s="11">
        <v>4623281.2200000007</v>
      </c>
      <c r="YH25" s="11">
        <v>4725194.25</v>
      </c>
      <c r="YI25" s="11">
        <v>2701691.85</v>
      </c>
      <c r="YJ25" s="11">
        <v>11637297.960000001</v>
      </c>
      <c r="YK25" s="11">
        <v>2365620.8499999996</v>
      </c>
      <c r="YL25" s="11">
        <v>9099906.129999999</v>
      </c>
      <c r="YM25" s="11">
        <v>1340970.8999999999</v>
      </c>
      <c r="YN25" s="11">
        <v>7680109.7999999998</v>
      </c>
      <c r="YO25" s="11">
        <v>4359255.6500000004</v>
      </c>
      <c r="YP25" s="11">
        <v>4622833.13</v>
      </c>
      <c r="YQ25" s="11">
        <v>2530157.85</v>
      </c>
      <c r="YR25" s="11">
        <v>1493070.35</v>
      </c>
      <c r="YS25" s="11">
        <v>5359716.63</v>
      </c>
      <c r="YT25" s="11">
        <v>1928451.9</v>
      </c>
      <c r="YU25" s="11">
        <v>1596642</v>
      </c>
      <c r="YV25" s="11">
        <v>959183.6</v>
      </c>
      <c r="YW25" s="11">
        <v>36289787.369999997</v>
      </c>
      <c r="YX25" s="11">
        <v>9724180.3000000007</v>
      </c>
      <c r="YY25" s="11">
        <v>5500071.2999999998</v>
      </c>
      <c r="YZ25" s="11">
        <v>4191338</v>
      </c>
      <c r="ZA25" s="11">
        <v>10492378.51</v>
      </c>
      <c r="ZB25" s="11">
        <v>3398825.05</v>
      </c>
      <c r="ZC25" s="11">
        <v>2932773.91</v>
      </c>
      <c r="ZD25" s="11">
        <v>21591196.420000002</v>
      </c>
      <c r="ZE25" s="11">
        <v>1442764.7</v>
      </c>
      <c r="ZF25" s="11">
        <v>2560367.3400000003</v>
      </c>
      <c r="ZG25" s="11">
        <v>5698900</v>
      </c>
      <c r="ZH25" s="11">
        <v>3203501.91</v>
      </c>
      <c r="ZI25" s="11">
        <v>2482969.9</v>
      </c>
      <c r="ZJ25" s="11">
        <v>4808175.4000000004</v>
      </c>
      <c r="ZK25" s="11">
        <v>1461768.5</v>
      </c>
      <c r="ZL25" s="11">
        <v>4613181.3499999996</v>
      </c>
      <c r="ZM25" s="11">
        <v>32249777.550000001</v>
      </c>
      <c r="ZN25" s="11">
        <v>6073811.0999999996</v>
      </c>
      <c r="ZO25" s="11">
        <v>2430524.9</v>
      </c>
      <c r="ZP25" s="11">
        <v>12712162.949999999</v>
      </c>
      <c r="ZQ25" s="11">
        <v>14810683.08</v>
      </c>
      <c r="ZR25" s="11">
        <v>20730841.740000002</v>
      </c>
      <c r="ZS25" s="11">
        <v>10437249.9</v>
      </c>
      <c r="ZT25" s="11">
        <v>15265257.32</v>
      </c>
      <c r="ZU25" s="11">
        <v>8838775.8499999996</v>
      </c>
      <c r="ZV25" s="11">
        <v>7078733.5700000003</v>
      </c>
      <c r="ZW25" s="11">
        <v>2687856.3</v>
      </c>
      <c r="ZX25" s="11">
        <v>7382594.2000000002</v>
      </c>
      <c r="ZY25" s="11">
        <v>7142795.5999999996</v>
      </c>
      <c r="ZZ25" s="11">
        <v>16553479.75</v>
      </c>
      <c r="AAA25" s="11">
        <v>4773508.45</v>
      </c>
      <c r="AAB25" s="11">
        <v>5251637.2600000007</v>
      </c>
      <c r="AAC25" s="11">
        <v>6195302.3799999999</v>
      </c>
      <c r="AAD25" s="11">
        <v>1232753.79</v>
      </c>
      <c r="AAE25" s="11">
        <v>3579523.96</v>
      </c>
      <c r="AAF25" s="11">
        <v>2669367.7000000002</v>
      </c>
      <c r="AAG25" s="11">
        <v>1643037.4</v>
      </c>
      <c r="AAH25" s="11">
        <v>3121700.21</v>
      </c>
      <c r="AAI25" s="11">
        <v>45120581.32</v>
      </c>
      <c r="AAJ25" s="11">
        <v>4646337.4000000004</v>
      </c>
      <c r="AAK25" s="11">
        <v>2550905.5999999996</v>
      </c>
      <c r="AAL25" s="11">
        <v>2367695.83</v>
      </c>
      <c r="AAM25" s="11">
        <v>2012817</v>
      </c>
      <c r="AAN25" s="11">
        <v>2888471.75</v>
      </c>
      <c r="AAO25" s="11">
        <v>3484841.14</v>
      </c>
      <c r="AAP25" s="11">
        <v>50859781.689999998</v>
      </c>
      <c r="AAQ25" s="11">
        <v>1853265.85</v>
      </c>
      <c r="AAR25" s="11">
        <v>2242812.6799999997</v>
      </c>
      <c r="AAS25" s="11">
        <v>7763981.9000000004</v>
      </c>
      <c r="AAT25" s="11">
        <v>5396406.5599999996</v>
      </c>
      <c r="AAU25" s="11">
        <v>2376688.08</v>
      </c>
      <c r="AAV25" s="11">
        <v>2765057.8600000003</v>
      </c>
      <c r="AAW25" s="11">
        <v>2859516.58</v>
      </c>
      <c r="AAX25" s="11">
        <v>9758416.75</v>
      </c>
      <c r="AAY25" s="11">
        <v>3175493.74</v>
      </c>
      <c r="AAZ25" s="11">
        <v>8392361.8599999994</v>
      </c>
      <c r="ABA25" s="11">
        <v>15346382.309999999</v>
      </c>
      <c r="ABB25" s="11">
        <v>9273202.8699999992</v>
      </c>
      <c r="ABC25" s="11">
        <v>2319308.3499999996</v>
      </c>
      <c r="ABD25" s="11">
        <v>2996246.91</v>
      </c>
      <c r="ABE25" s="11">
        <v>3071921.23</v>
      </c>
      <c r="ABF25" s="11">
        <v>1574119.6</v>
      </c>
      <c r="ABG25" s="11">
        <v>2598246.6</v>
      </c>
      <c r="ABH25" s="11">
        <v>1023271.22</v>
      </c>
      <c r="ABI25" s="11">
        <v>35981915.689999998</v>
      </c>
      <c r="ABJ25" s="11">
        <v>52378764.920000002</v>
      </c>
      <c r="ABK25" s="11">
        <v>2761555.7</v>
      </c>
      <c r="ABL25" s="11">
        <v>1349480.1</v>
      </c>
      <c r="ABM25" s="11">
        <v>1526582.1</v>
      </c>
      <c r="ABN25" s="11">
        <v>3010030.7</v>
      </c>
      <c r="ABO25" s="11">
        <v>1820113.8599999999</v>
      </c>
      <c r="ABP25" s="11">
        <v>45158355.739999995</v>
      </c>
      <c r="ABQ25" s="11">
        <v>2757256.05</v>
      </c>
      <c r="ABR25" s="11">
        <v>1068609.8400000001</v>
      </c>
      <c r="ABS25" s="11">
        <v>3673480.13</v>
      </c>
      <c r="ABT25" s="11">
        <v>9699254.7799999993</v>
      </c>
      <c r="ABU25" s="11">
        <v>7177105.5499999998</v>
      </c>
      <c r="ABV25" s="11">
        <v>2342512.27</v>
      </c>
      <c r="ABW25" s="11">
        <v>6902539</v>
      </c>
      <c r="ABX25" s="11">
        <v>536385.57999999996</v>
      </c>
      <c r="ABY25" s="11">
        <v>82203116.039999992</v>
      </c>
      <c r="ABZ25" s="11">
        <v>4433160.53</v>
      </c>
      <c r="ACA25" s="11">
        <v>7758069.8700000001</v>
      </c>
      <c r="ACB25" s="11">
        <v>3123718.75</v>
      </c>
      <c r="ACC25" s="11">
        <v>5596238</v>
      </c>
      <c r="ACD25" s="11">
        <v>17393106.27</v>
      </c>
      <c r="ACE25" s="11">
        <v>6555314.3100000005</v>
      </c>
      <c r="ACF25" s="11">
        <v>8592846.6500000004</v>
      </c>
      <c r="ACG25" s="11">
        <v>7290890.9500000002</v>
      </c>
      <c r="ACH25" s="11">
        <v>8789394.25</v>
      </c>
      <c r="ACI25" s="11">
        <v>8488185.0300000012</v>
      </c>
      <c r="ACJ25" s="11">
        <v>63003921.079999998</v>
      </c>
      <c r="ACK25" s="11">
        <v>5300140.13</v>
      </c>
      <c r="ACL25" s="11">
        <v>2868467.5100000002</v>
      </c>
      <c r="ACM25" s="11">
        <v>7238658.4399999995</v>
      </c>
      <c r="ACN25" s="11">
        <v>1799587.7</v>
      </c>
      <c r="ACO25" s="11">
        <v>3886837.4000000004</v>
      </c>
      <c r="ACP25" s="11">
        <v>3525987.9</v>
      </c>
      <c r="ACQ25" s="11">
        <v>22468822.5</v>
      </c>
      <c r="ACR25" s="11">
        <v>16519086.609999999</v>
      </c>
      <c r="ACS25" s="11">
        <v>5179770.47</v>
      </c>
      <c r="ACT25" s="11">
        <v>2197999.5300000003</v>
      </c>
      <c r="ACU25" s="11">
        <v>2739742.9299999997</v>
      </c>
      <c r="ACV25" s="11">
        <v>359974</v>
      </c>
      <c r="ACW25" s="11">
        <v>30099070.16</v>
      </c>
      <c r="ACX25" s="11">
        <v>1977756.5699999998</v>
      </c>
      <c r="ACY25" s="11">
        <v>6603915.96</v>
      </c>
      <c r="ACZ25" s="11">
        <v>6340429.8399999999</v>
      </c>
      <c r="ADA25" s="11">
        <v>2265546.2000000002</v>
      </c>
      <c r="ADB25" s="11">
        <v>1257494.2</v>
      </c>
      <c r="ADC25" s="11">
        <v>1323277.2</v>
      </c>
      <c r="ADD25" s="11">
        <v>3225141</v>
      </c>
      <c r="ADE25" s="11">
        <v>925640.64</v>
      </c>
      <c r="ADF25" s="11">
        <v>3961144.9</v>
      </c>
      <c r="ADG25" s="11">
        <v>22971088.960000001</v>
      </c>
      <c r="ADH25" s="11">
        <v>15495046.470000001</v>
      </c>
      <c r="ADI25" s="11">
        <v>1152369.82</v>
      </c>
      <c r="ADJ25" s="11">
        <v>1936551.1800000002</v>
      </c>
      <c r="ADK25" s="11">
        <v>3174149.7</v>
      </c>
      <c r="ADL25" s="11">
        <v>1263396.23</v>
      </c>
      <c r="ADM25" s="11">
        <v>2320846.17</v>
      </c>
      <c r="ADN25" s="11">
        <v>1123826.6800000002</v>
      </c>
      <c r="ADO25" s="11">
        <v>3226460.58</v>
      </c>
      <c r="ADP25" s="11">
        <v>133345216</v>
      </c>
      <c r="ADQ25" s="11">
        <v>21873070.399999999</v>
      </c>
      <c r="ADR25" s="11">
        <v>11822673.129999999</v>
      </c>
      <c r="ADS25" s="11">
        <v>1076378.3999999999</v>
      </c>
      <c r="ADT25" s="11">
        <v>42145402.140000001</v>
      </c>
      <c r="ADU25" s="11">
        <v>2146249</v>
      </c>
      <c r="ADV25" s="11">
        <v>589826.61</v>
      </c>
      <c r="ADW25" s="11">
        <v>4028149.8</v>
      </c>
      <c r="ADX25" s="11">
        <v>2714736.36</v>
      </c>
      <c r="ADY25" s="11">
        <v>483220.4</v>
      </c>
      <c r="ADZ25" s="11">
        <v>96424355.669999987</v>
      </c>
      <c r="AEA25" s="11">
        <v>5732835.1200000001</v>
      </c>
      <c r="AEB25" s="11">
        <v>19823350.689999998</v>
      </c>
      <c r="AEC25" s="11">
        <v>5415984.4000000004</v>
      </c>
      <c r="AED25" s="11">
        <v>1316874.1000000001</v>
      </c>
      <c r="AEE25" s="11">
        <v>8841834.0299999993</v>
      </c>
      <c r="AEF25" s="11">
        <v>4620375.0600000005</v>
      </c>
      <c r="AEG25" s="11">
        <v>6996287.7799999993</v>
      </c>
      <c r="AEH25" s="11">
        <v>1950180.04</v>
      </c>
      <c r="AEI25" s="11">
        <v>4562002.8900000006</v>
      </c>
      <c r="AEJ25" s="11">
        <v>3524469.49</v>
      </c>
      <c r="AEK25" s="11">
        <v>20548395.73</v>
      </c>
      <c r="AEL25" s="11">
        <v>8239241.4399999995</v>
      </c>
      <c r="AEM25" s="11">
        <v>6133542.9000000004</v>
      </c>
      <c r="AEN25" s="11">
        <v>6997282.6500000004</v>
      </c>
      <c r="AEO25" s="11">
        <v>9502304.25</v>
      </c>
      <c r="AEP25" s="11">
        <v>5697953.0299999993</v>
      </c>
      <c r="AEQ25" s="11">
        <v>5321073.88</v>
      </c>
      <c r="AER25" s="11">
        <v>2979189.88</v>
      </c>
      <c r="AES25" s="11">
        <v>14134421.09</v>
      </c>
      <c r="AET25" s="11">
        <v>50928315.149999999</v>
      </c>
      <c r="AEU25" s="11">
        <v>4348947.28</v>
      </c>
      <c r="AEV25" s="11">
        <v>4899105.2300000004</v>
      </c>
      <c r="AEW25" s="11">
        <v>2536354.5300000003</v>
      </c>
      <c r="AEX25" s="11">
        <v>2817759.7300000004</v>
      </c>
      <c r="AEY25" s="11">
        <v>6045513.9900000012</v>
      </c>
      <c r="AEZ25" s="11">
        <v>2326506.5599999996</v>
      </c>
      <c r="AFA25" s="11">
        <v>2764737.7</v>
      </c>
      <c r="AFB25" s="11">
        <v>2286983.0300000003</v>
      </c>
      <c r="AFC25" s="11">
        <v>1263553.17</v>
      </c>
      <c r="AFD25" s="11">
        <v>61843995.299999997</v>
      </c>
      <c r="AFE25" s="11">
        <v>35339861.519999996</v>
      </c>
      <c r="AFF25" s="11">
        <v>8691101.8000000007</v>
      </c>
      <c r="AFG25" s="11">
        <v>7537608.5999999996</v>
      </c>
      <c r="AFH25" s="11">
        <v>22863321.100000001</v>
      </c>
      <c r="AFI25" s="11">
        <v>10665004.65</v>
      </c>
      <c r="AFJ25" s="11">
        <v>3279176.4</v>
      </c>
      <c r="AFK25" s="11">
        <v>6540575.3200000003</v>
      </c>
      <c r="AFL25" s="11">
        <v>3505297.29</v>
      </c>
      <c r="AFM25" s="11">
        <v>3664259.7</v>
      </c>
      <c r="AFN25" s="11">
        <v>9902749.0500000007</v>
      </c>
      <c r="AFO25" s="11">
        <v>2852045.58</v>
      </c>
      <c r="AFP25" s="11">
        <v>4944721.25</v>
      </c>
      <c r="AFQ25" s="11">
        <v>53085612.050000004</v>
      </c>
      <c r="AFR25" s="11">
        <v>16357676.33</v>
      </c>
      <c r="AFS25" s="11">
        <v>11352469.59</v>
      </c>
      <c r="AFT25" s="11">
        <v>9250353.3200000003</v>
      </c>
      <c r="AFU25" s="11">
        <v>16198880.310000001</v>
      </c>
      <c r="AFV25" s="11">
        <v>5416248.46</v>
      </c>
      <c r="AFW25" s="11">
        <v>5550322.0999999996</v>
      </c>
      <c r="AFX25" s="11">
        <v>11551879.789999999</v>
      </c>
      <c r="AFY25" s="11">
        <v>11323252.079999998</v>
      </c>
      <c r="AFZ25" s="11">
        <v>5130679.25</v>
      </c>
      <c r="AGA25" s="11">
        <v>10326779.090000002</v>
      </c>
      <c r="AGB25" s="11">
        <v>5014077.99</v>
      </c>
      <c r="AGC25" s="11">
        <v>26057622.68</v>
      </c>
      <c r="AGD25" s="11">
        <v>5529449.7999999998</v>
      </c>
      <c r="AGE25" s="11">
        <v>1972661.8</v>
      </c>
      <c r="AGF25" s="11">
        <v>4543443.5999999996</v>
      </c>
      <c r="AGG25" s="11">
        <v>14189676.810000001</v>
      </c>
      <c r="AGH25" s="11">
        <v>7040528.3900000006</v>
      </c>
      <c r="AGI25" s="11">
        <v>2601751.0299999998</v>
      </c>
      <c r="AGJ25" s="11">
        <v>9427494.3000000007</v>
      </c>
      <c r="AGK25" s="11">
        <v>5444104.2000000002</v>
      </c>
      <c r="AGL25" s="11">
        <v>3986532.15</v>
      </c>
      <c r="AGM25" s="11">
        <v>2229317.98</v>
      </c>
      <c r="AGN25" s="11">
        <v>39557614.880000003</v>
      </c>
      <c r="AGO25" s="11">
        <v>17410545.459999997</v>
      </c>
      <c r="AGP25" s="11">
        <v>8640555.9800000004</v>
      </c>
      <c r="AGQ25" s="11">
        <v>5344108.71</v>
      </c>
      <c r="AGR25" s="11">
        <v>18022216.469999999</v>
      </c>
      <c r="AGS25" s="11">
        <v>8501073.2000000011</v>
      </c>
      <c r="AGT25" s="11">
        <v>4567604.7</v>
      </c>
      <c r="AGU25" s="11">
        <v>6439782.040000001</v>
      </c>
      <c r="AGV25" s="11">
        <v>58370449.909999996</v>
      </c>
      <c r="AGW25" s="11">
        <v>28921284.379999995</v>
      </c>
      <c r="AGX25" s="11">
        <v>2023964.5099999998</v>
      </c>
      <c r="AGY25" s="11">
        <v>17700796.969999999</v>
      </c>
      <c r="AGZ25" s="11">
        <v>12054717.91</v>
      </c>
      <c r="AHA25" s="11">
        <v>14718278.24</v>
      </c>
      <c r="AHB25" s="11">
        <v>12941180.060000001</v>
      </c>
      <c r="AHC25" s="11">
        <v>4328110.6500000004</v>
      </c>
      <c r="AHD25" s="11">
        <v>1630250.5</v>
      </c>
      <c r="AHE25" s="11">
        <v>8545039.4699999988</v>
      </c>
      <c r="AHF25" s="11">
        <v>10132507.449999999</v>
      </c>
      <c r="AHG25" s="11">
        <v>2462382.7999999998</v>
      </c>
      <c r="AHH25" s="11">
        <v>2087023.33</v>
      </c>
      <c r="AHI25" s="11">
        <v>8051732.7000000002</v>
      </c>
      <c r="AHJ25" s="11">
        <v>5163770.92</v>
      </c>
      <c r="AHK25" s="11">
        <v>2017379.6800000002</v>
      </c>
      <c r="AHL25" s="11">
        <v>8364971.6799999997</v>
      </c>
      <c r="AHM25" s="11">
        <v>32887073.050000004</v>
      </c>
      <c r="AHN25" s="11">
        <v>2715740.58</v>
      </c>
      <c r="AHO25" s="11">
        <v>3667894.1499999994</v>
      </c>
      <c r="AHP25" s="11">
        <v>4809474.18</v>
      </c>
      <c r="AHQ25" s="11">
        <v>5148242.96</v>
      </c>
      <c r="AHR25" s="11">
        <v>3707498.99</v>
      </c>
      <c r="AHS25" s="11">
        <v>2029610.74</v>
      </c>
      <c r="AHT25" s="11">
        <v>10000117219.364994</v>
      </c>
      <c r="AHU25" s="11"/>
    </row>
    <row r="26" spans="2:905" x14ac:dyDescent="0.7">
      <c r="B26" s="6" t="s">
        <v>33</v>
      </c>
      <c r="C26" s="6" t="s">
        <v>34</v>
      </c>
      <c r="D26" s="11">
        <v>270804119.75</v>
      </c>
      <c r="E26" s="11">
        <v>5177188.01</v>
      </c>
      <c r="F26" s="11">
        <v>36619335.100000001</v>
      </c>
      <c r="G26" s="11">
        <v>1899327.6199999999</v>
      </c>
      <c r="H26" s="11">
        <v>39014111.670000002</v>
      </c>
      <c r="I26" s="11">
        <v>4528041.4600000009</v>
      </c>
      <c r="J26" s="11">
        <v>44567848.980000004</v>
      </c>
      <c r="K26" s="11">
        <v>5488020.2300000004</v>
      </c>
      <c r="L26" s="11">
        <v>5176788.4799999995</v>
      </c>
      <c r="M26" s="11">
        <v>4973039.42</v>
      </c>
      <c r="N26" s="11">
        <v>2341069.0300000003</v>
      </c>
      <c r="O26" s="11">
        <v>4442054.4399999995</v>
      </c>
      <c r="P26" s="11">
        <v>6874889.330000001</v>
      </c>
      <c r="Q26" s="11">
        <v>6443434.3399999999</v>
      </c>
      <c r="R26" s="11">
        <v>3049907.71</v>
      </c>
      <c r="S26" s="11">
        <v>28387334.990000002</v>
      </c>
      <c r="T26" s="11">
        <v>60634642.710000001</v>
      </c>
      <c r="U26" s="11">
        <v>4417906.2</v>
      </c>
      <c r="V26" s="11">
        <v>317316248.26999998</v>
      </c>
      <c r="W26" s="11">
        <v>45571680.330000006</v>
      </c>
      <c r="X26" s="11">
        <v>6365594.6900000004</v>
      </c>
      <c r="Y26" s="11">
        <v>12947155.59</v>
      </c>
      <c r="Z26" s="11">
        <v>6241462.5899999989</v>
      </c>
      <c r="AA26" s="11">
        <v>11126232.23</v>
      </c>
      <c r="AB26" s="11">
        <v>4336467.7200000007</v>
      </c>
      <c r="AC26" s="11">
        <v>51038773.460000001</v>
      </c>
      <c r="AD26" s="11">
        <v>15229674.609999999</v>
      </c>
      <c r="AE26" s="11">
        <v>7839079.6999999993</v>
      </c>
      <c r="AF26" s="11">
        <v>44085207.230000004</v>
      </c>
      <c r="AG26" s="11">
        <v>9254811.9000000004</v>
      </c>
      <c r="AH26" s="11">
        <v>62577033.68</v>
      </c>
      <c r="AI26" s="11">
        <v>25513712.07</v>
      </c>
      <c r="AJ26" s="11">
        <v>7848006.4700000007</v>
      </c>
      <c r="AK26" s="11">
        <v>4558681.83</v>
      </c>
      <c r="AL26" s="11">
        <v>3879553.7199999997</v>
      </c>
      <c r="AM26" s="11">
        <v>9367640.5399999991</v>
      </c>
      <c r="AN26" s="11">
        <v>6572924.4600000009</v>
      </c>
      <c r="AO26" s="11">
        <v>5860873.8799999999</v>
      </c>
      <c r="AP26" s="11">
        <v>6305700.9299999997</v>
      </c>
      <c r="AQ26" s="11">
        <v>4048023.29</v>
      </c>
      <c r="AR26" s="11">
        <v>4918228.55</v>
      </c>
      <c r="AS26" s="11">
        <v>1816897.7</v>
      </c>
      <c r="AT26" s="11">
        <v>49163539.510000005</v>
      </c>
      <c r="AU26" s="11">
        <v>1768800.8299999998</v>
      </c>
      <c r="AV26" s="11">
        <v>1402685.1199999999</v>
      </c>
      <c r="AW26" s="11">
        <v>6960455.6400000006</v>
      </c>
      <c r="AX26" s="11">
        <v>7211738.5700000003</v>
      </c>
      <c r="AY26" s="11">
        <v>9451873.25</v>
      </c>
      <c r="AZ26" s="11">
        <v>3779133.64</v>
      </c>
      <c r="BA26" s="11">
        <v>1685418.8800000001</v>
      </c>
      <c r="BB26" s="11">
        <v>2174692.65</v>
      </c>
      <c r="BC26" s="11">
        <v>3069428.85</v>
      </c>
      <c r="BD26" s="11">
        <v>1468232.95</v>
      </c>
      <c r="BE26" s="11">
        <v>1776185.3</v>
      </c>
      <c r="BF26" s="11">
        <v>32541017.780000001</v>
      </c>
      <c r="BG26" s="11">
        <v>1380958.8499999999</v>
      </c>
      <c r="BH26" s="11">
        <v>2176189.42</v>
      </c>
      <c r="BI26" s="11">
        <v>49992450.870000005</v>
      </c>
      <c r="BJ26" s="11">
        <v>30221363.829999998</v>
      </c>
      <c r="BK26" s="11">
        <v>4039706.88</v>
      </c>
      <c r="BL26" s="11">
        <v>4165547.66</v>
      </c>
      <c r="BM26" s="11">
        <v>6807808.2599999998</v>
      </c>
      <c r="BN26" s="11">
        <v>3640919.15</v>
      </c>
      <c r="BO26" s="11">
        <v>3939463.8</v>
      </c>
      <c r="BP26" s="11">
        <v>5040723.74</v>
      </c>
      <c r="BQ26" s="11">
        <v>1532773.5999999999</v>
      </c>
      <c r="BR26" s="11">
        <v>104822286.61</v>
      </c>
      <c r="BS26" s="11">
        <v>13794205.870000001</v>
      </c>
      <c r="BT26" s="11">
        <v>4125842.63</v>
      </c>
      <c r="BU26" s="11">
        <v>10659624.5</v>
      </c>
      <c r="BV26" s="11">
        <v>5468246.1300000008</v>
      </c>
      <c r="BW26" s="11">
        <v>6190633.0500000007</v>
      </c>
      <c r="BX26" s="11">
        <v>2324610.2799999998</v>
      </c>
      <c r="BY26" s="11">
        <v>5792693.7000000002</v>
      </c>
      <c r="BZ26" s="11">
        <v>23166744.950000003</v>
      </c>
      <c r="CA26" s="11">
        <v>4545630.87</v>
      </c>
      <c r="CB26" s="11">
        <v>10227120.890000001</v>
      </c>
      <c r="CC26" s="11">
        <v>11282307.430000002</v>
      </c>
      <c r="CD26" s="11">
        <v>6329916.7800000003</v>
      </c>
      <c r="CE26" s="11">
        <v>4408502.28</v>
      </c>
      <c r="CF26" s="11">
        <v>3443051.4899999998</v>
      </c>
      <c r="CG26" s="11">
        <v>144565124.25</v>
      </c>
      <c r="CH26" s="11">
        <v>8973465.4100000001</v>
      </c>
      <c r="CI26" s="11">
        <v>58543923.039999999</v>
      </c>
      <c r="CJ26" s="11">
        <v>6430812.4900000002</v>
      </c>
      <c r="CK26" s="11">
        <v>12594341.979999999</v>
      </c>
      <c r="CL26" s="11">
        <v>8604136.4000000004</v>
      </c>
      <c r="CM26" s="11">
        <v>5981232.7299999995</v>
      </c>
      <c r="CN26" s="11">
        <v>10855469.090000002</v>
      </c>
      <c r="CO26" s="11">
        <v>3546862.75</v>
      </c>
      <c r="CP26" s="11">
        <v>8831001.3200000003</v>
      </c>
      <c r="CQ26" s="11">
        <v>6029535.9699999997</v>
      </c>
      <c r="CR26" s="11">
        <v>10169172.08</v>
      </c>
      <c r="CS26" s="11">
        <v>6292256.3300000001</v>
      </c>
      <c r="CT26" s="11">
        <v>60986263.729999997</v>
      </c>
      <c r="CU26" s="11">
        <v>6386065.6200000001</v>
      </c>
      <c r="CV26" s="11">
        <v>7233882.0099999998</v>
      </c>
      <c r="CW26" s="11">
        <v>10799252.060000001</v>
      </c>
      <c r="CX26" s="11">
        <v>3648153.3400000003</v>
      </c>
      <c r="CY26" s="11">
        <v>11334772.860000001</v>
      </c>
      <c r="CZ26" s="11">
        <v>4686292.9000000004</v>
      </c>
      <c r="DA26" s="11">
        <v>3792525.38</v>
      </c>
      <c r="DB26" s="11">
        <v>31169019.869999997</v>
      </c>
      <c r="DC26" s="11">
        <v>48506594.849999994</v>
      </c>
      <c r="DD26" s="11">
        <v>8112494.0299999993</v>
      </c>
      <c r="DE26" s="11">
        <v>5729758.9299999997</v>
      </c>
      <c r="DF26" s="11">
        <v>10466038.579999998</v>
      </c>
      <c r="DG26" s="11">
        <v>11857334.029999999</v>
      </c>
      <c r="DH26" s="11">
        <v>18022703.600000001</v>
      </c>
      <c r="DI26" s="11">
        <v>6193191.9100000011</v>
      </c>
      <c r="DJ26" s="11">
        <v>7454463.3399999989</v>
      </c>
      <c r="DK26" s="11">
        <v>161174859.27999997</v>
      </c>
      <c r="DL26" s="11">
        <v>5595922.2000000002</v>
      </c>
      <c r="DM26" s="11">
        <v>16113164.539999999</v>
      </c>
      <c r="DN26" s="11">
        <v>8532598.8399999999</v>
      </c>
      <c r="DO26" s="11">
        <v>6654567.8399999999</v>
      </c>
      <c r="DP26" s="11">
        <v>6423908.3800000008</v>
      </c>
      <c r="DQ26" s="11">
        <v>22187887.719999999</v>
      </c>
      <c r="DR26" s="11">
        <v>3742990.4</v>
      </c>
      <c r="DS26" s="11">
        <v>26392268.309999995</v>
      </c>
      <c r="DT26" s="11">
        <v>70611786.290000021</v>
      </c>
      <c r="DU26" s="11">
        <v>7607592.7599999998</v>
      </c>
      <c r="DV26" s="11">
        <v>22585660.029999997</v>
      </c>
      <c r="DW26" s="11">
        <v>47536520.550000004</v>
      </c>
      <c r="DX26" s="11">
        <v>14593018.17</v>
      </c>
      <c r="DY26" s="11">
        <v>26548811.599999998</v>
      </c>
      <c r="DZ26" s="11">
        <v>8606189.8599999994</v>
      </c>
      <c r="EA26" s="11">
        <v>2143015.89</v>
      </c>
      <c r="EB26" s="11">
        <v>11289062.68</v>
      </c>
      <c r="EC26" s="11">
        <v>7521658.5099999998</v>
      </c>
      <c r="ED26" s="11">
        <v>28913963.250000004</v>
      </c>
      <c r="EE26" s="11">
        <v>40213642.859999999</v>
      </c>
      <c r="EF26" s="11">
        <v>29350665.279999997</v>
      </c>
      <c r="EG26" s="11">
        <v>7843363.7999999998</v>
      </c>
      <c r="EH26" s="11">
        <v>7174988.6100000003</v>
      </c>
      <c r="EI26" s="11">
        <v>7370589.1699999999</v>
      </c>
      <c r="EJ26" s="11">
        <v>9428223.1799999997</v>
      </c>
      <c r="EK26" s="11">
        <v>20726646.670000002</v>
      </c>
      <c r="EL26" s="11">
        <v>4624337.2899999991</v>
      </c>
      <c r="EM26" s="11">
        <v>5894873.8200000003</v>
      </c>
      <c r="EN26" s="11">
        <v>155407269.46000001</v>
      </c>
      <c r="EO26" s="11">
        <v>11555809</v>
      </c>
      <c r="EP26" s="11">
        <v>6751622.7800000003</v>
      </c>
      <c r="EQ26" s="11">
        <v>7776888.3600000003</v>
      </c>
      <c r="ER26" s="11">
        <v>11052881.450000001</v>
      </c>
      <c r="ES26" s="11">
        <v>2665816.0699999998</v>
      </c>
      <c r="ET26" s="11">
        <v>7819029.4900000002</v>
      </c>
      <c r="EU26" s="11">
        <v>18218334.539999999</v>
      </c>
      <c r="EV26" s="11">
        <v>3497200.51</v>
      </c>
      <c r="EW26" s="11">
        <v>84889690.219999984</v>
      </c>
      <c r="EX26" s="11">
        <v>2306316.7000000002</v>
      </c>
      <c r="EY26" s="11">
        <v>2868608.6799999997</v>
      </c>
      <c r="EZ26" s="11">
        <v>7786472.7599999998</v>
      </c>
      <c r="FA26" s="11">
        <v>5457370.1499999994</v>
      </c>
      <c r="FB26" s="11">
        <v>5369833.54</v>
      </c>
      <c r="FC26" s="11">
        <v>5129431.05</v>
      </c>
      <c r="FD26" s="11">
        <v>3588282.8</v>
      </c>
      <c r="FE26" s="11">
        <v>2483120.08</v>
      </c>
      <c r="FF26" s="11">
        <v>3185835.71</v>
      </c>
      <c r="FG26" s="11">
        <v>4919797.0600000005</v>
      </c>
      <c r="FH26" s="11">
        <v>4418882.580000001</v>
      </c>
      <c r="FI26" s="11">
        <v>31183666.43</v>
      </c>
      <c r="FJ26" s="11">
        <v>2889508.8899999997</v>
      </c>
      <c r="FK26" s="11">
        <v>2312804.27</v>
      </c>
      <c r="FL26" s="11">
        <v>3307353.1900000004</v>
      </c>
      <c r="FM26" s="11">
        <v>7882337.0599999996</v>
      </c>
      <c r="FN26" s="11">
        <v>5245428.22</v>
      </c>
      <c r="FO26" s="11">
        <v>2330674.12</v>
      </c>
      <c r="FP26" s="11">
        <v>1570183.49</v>
      </c>
      <c r="FQ26" s="11">
        <v>199086109.69999999</v>
      </c>
      <c r="FR26" s="11">
        <v>8158080.3499999996</v>
      </c>
      <c r="FS26" s="11">
        <v>5466357.8200000003</v>
      </c>
      <c r="FT26" s="11">
        <v>11463315.209999999</v>
      </c>
      <c r="FU26" s="11">
        <v>8142294.79</v>
      </c>
      <c r="FV26" s="11">
        <v>5735632.3199999994</v>
      </c>
      <c r="FW26" s="11">
        <v>10121529.930000002</v>
      </c>
      <c r="FX26" s="11">
        <v>7825341.4900000002</v>
      </c>
      <c r="FY26" s="11">
        <v>3620909.3800000004</v>
      </c>
      <c r="FZ26" s="11">
        <v>6751396.5599999987</v>
      </c>
      <c r="GA26" s="11">
        <v>14233829.41</v>
      </c>
      <c r="GB26" s="11">
        <v>2832630.7399999998</v>
      </c>
      <c r="GC26" s="11">
        <v>4996377.33</v>
      </c>
      <c r="GD26" s="11">
        <v>2810075.19</v>
      </c>
      <c r="GE26" s="11">
        <v>42266905.57</v>
      </c>
      <c r="GF26" s="11">
        <v>5956093.5099999998</v>
      </c>
      <c r="GG26" s="11">
        <v>5368499.3099999996</v>
      </c>
      <c r="GH26" s="11">
        <v>31533399.039999999</v>
      </c>
      <c r="GI26" s="11">
        <v>10742419.719999999</v>
      </c>
      <c r="GJ26" s="11">
        <v>3783527.63</v>
      </c>
      <c r="GK26" s="11">
        <v>6428939.25</v>
      </c>
      <c r="GL26" s="11">
        <v>16531014.83</v>
      </c>
      <c r="GM26" s="11">
        <v>7966072.0299999993</v>
      </c>
      <c r="GN26" s="11">
        <v>3523100.5199999996</v>
      </c>
      <c r="GO26" s="11">
        <v>4176489.5600000005</v>
      </c>
      <c r="GP26" s="11">
        <v>2417126.59</v>
      </c>
      <c r="GQ26" s="11">
        <v>52592629.210000001</v>
      </c>
      <c r="GR26" s="11">
        <v>6074493.96</v>
      </c>
      <c r="GS26" s="11">
        <v>2840690.9600000004</v>
      </c>
      <c r="GT26" s="11">
        <v>6801214.1099999994</v>
      </c>
      <c r="GU26" s="11">
        <v>1508523.4100000001</v>
      </c>
      <c r="GV26" s="11">
        <v>7159693.96</v>
      </c>
      <c r="GW26" s="11">
        <v>4313727.0599999996</v>
      </c>
      <c r="GX26" s="11">
        <v>2144176.64</v>
      </c>
      <c r="GY26" s="11">
        <v>103863935.30000001</v>
      </c>
      <c r="GZ26" s="11">
        <v>5956918.8099999996</v>
      </c>
      <c r="HA26" s="11">
        <v>5758604.7599999998</v>
      </c>
      <c r="HB26" s="11">
        <v>7049719.8600000003</v>
      </c>
      <c r="HC26" s="11">
        <v>112828904.89999999</v>
      </c>
      <c r="HD26" s="11">
        <v>27852305.089999996</v>
      </c>
      <c r="HE26" s="11">
        <v>54779677.920000002</v>
      </c>
      <c r="HF26" s="11">
        <v>20365211.949999999</v>
      </c>
      <c r="HG26" s="11">
        <v>28050076.969999999</v>
      </c>
      <c r="HH26" s="11">
        <v>12988237.6</v>
      </c>
      <c r="HI26" s="11">
        <v>6673621.6599999992</v>
      </c>
      <c r="HJ26" s="11">
        <v>3269216.66</v>
      </c>
      <c r="HK26" s="11">
        <v>65716205.970000006</v>
      </c>
      <c r="HL26" s="11">
        <v>11873831.49</v>
      </c>
      <c r="HM26" s="11">
        <v>45379535.170000002</v>
      </c>
      <c r="HN26" s="11">
        <v>9664749.0700000003</v>
      </c>
      <c r="HO26" s="11">
        <v>8959954.9399999995</v>
      </c>
      <c r="HP26" s="11">
        <v>9446451.629999999</v>
      </c>
      <c r="HQ26" s="11">
        <v>11798728.619999999</v>
      </c>
      <c r="HR26" s="11">
        <v>4130502.67</v>
      </c>
      <c r="HS26" s="11">
        <v>87505193.170000002</v>
      </c>
      <c r="HT26" s="11">
        <v>20213851.469999999</v>
      </c>
      <c r="HU26" s="11">
        <v>5402941.8400000008</v>
      </c>
      <c r="HV26" s="11">
        <v>3696311.67</v>
      </c>
      <c r="HW26" s="11">
        <v>4437319.43</v>
      </c>
      <c r="HX26" s="11">
        <v>2288958.98</v>
      </c>
      <c r="HY26" s="11">
        <v>12973208.579999998</v>
      </c>
      <c r="HZ26" s="11">
        <v>3909061.08</v>
      </c>
      <c r="IA26" s="11">
        <v>4900570.0999999996</v>
      </c>
      <c r="IB26" s="11">
        <v>2597619.56</v>
      </c>
      <c r="IC26" s="11">
        <v>6141785.2400000002</v>
      </c>
      <c r="ID26" s="11">
        <v>11442042.83</v>
      </c>
      <c r="IE26" s="11">
        <v>3279455.65</v>
      </c>
      <c r="IF26" s="11">
        <v>56943633.140000008</v>
      </c>
      <c r="IG26" s="11">
        <v>4730612.8499999996</v>
      </c>
      <c r="IH26" s="11">
        <v>3763915.56</v>
      </c>
      <c r="II26" s="11">
        <v>67645995.329999998</v>
      </c>
      <c r="IJ26" s="11">
        <v>21858069.759999998</v>
      </c>
      <c r="IK26" s="11">
        <v>9977283.9400000013</v>
      </c>
      <c r="IL26" s="11">
        <v>10838955.079999998</v>
      </c>
      <c r="IM26" s="11">
        <v>40299107.350000001</v>
      </c>
      <c r="IN26" s="11">
        <v>12325609.5</v>
      </c>
      <c r="IO26" s="11">
        <v>7574013.7000000002</v>
      </c>
      <c r="IP26" s="11">
        <v>5307295.8600000003</v>
      </c>
      <c r="IQ26" s="11">
        <v>4637656.9799999995</v>
      </c>
      <c r="IR26" s="11">
        <v>5655466.2199999997</v>
      </c>
      <c r="IS26" s="11">
        <v>5161911.24</v>
      </c>
      <c r="IT26" s="11">
        <v>138671495.79000002</v>
      </c>
      <c r="IU26" s="11">
        <v>45732424.600000001</v>
      </c>
      <c r="IV26" s="11">
        <v>10772756.34</v>
      </c>
      <c r="IW26" s="11">
        <v>33224780.739999998</v>
      </c>
      <c r="IX26" s="11">
        <v>6387864.9100000001</v>
      </c>
      <c r="IY26" s="11">
        <v>2269973.48</v>
      </c>
      <c r="IZ26" s="11">
        <v>4535396.6827000007</v>
      </c>
      <c r="JA26" s="11">
        <v>4171771.91</v>
      </c>
      <c r="JB26" s="11">
        <v>2327008.2000000002</v>
      </c>
      <c r="JC26" s="11">
        <v>4454568.18</v>
      </c>
      <c r="JD26" s="11">
        <v>24562916.490000002</v>
      </c>
      <c r="JE26" s="11">
        <v>3704119.61</v>
      </c>
      <c r="JF26" s="11">
        <v>55387768.589999996</v>
      </c>
      <c r="JG26" s="11">
        <v>15788989.68</v>
      </c>
      <c r="JH26" s="11">
        <v>4457390.3599999994</v>
      </c>
      <c r="JI26" s="11">
        <v>5431020.4300000006</v>
      </c>
      <c r="JJ26" s="11">
        <v>5307688.21</v>
      </c>
      <c r="JK26" s="11">
        <v>5414323.3100000005</v>
      </c>
      <c r="JL26" s="11">
        <v>32934395.539999999</v>
      </c>
      <c r="JM26" s="11">
        <v>10766300.399999999</v>
      </c>
      <c r="JN26" s="11">
        <v>3036078.85</v>
      </c>
      <c r="JO26" s="11">
        <v>24104092.850000001</v>
      </c>
      <c r="JP26" s="11">
        <v>2921330.07</v>
      </c>
      <c r="JQ26" s="11">
        <v>6076789.3099999996</v>
      </c>
      <c r="JR26" s="11">
        <v>3427735.8800000004</v>
      </c>
      <c r="JS26" s="11">
        <v>97199953.129999995</v>
      </c>
      <c r="JT26" s="11">
        <v>43368408.530000001</v>
      </c>
      <c r="JU26" s="11">
        <v>7480349.1500000013</v>
      </c>
      <c r="JV26" s="11">
        <v>2365700.23</v>
      </c>
      <c r="JW26" s="11">
        <v>6897291.7299999995</v>
      </c>
      <c r="JX26" s="11">
        <v>1250918.47</v>
      </c>
      <c r="JY26" s="11">
        <v>26663643.91</v>
      </c>
      <c r="JZ26" s="11">
        <v>15839806.170000002</v>
      </c>
      <c r="KA26" s="11">
        <v>5597239.4200000009</v>
      </c>
      <c r="KB26" s="11">
        <v>2106367.09</v>
      </c>
      <c r="KC26" s="11">
        <v>6946575.6799999997</v>
      </c>
      <c r="KD26" s="11">
        <v>20024861.34</v>
      </c>
      <c r="KE26" s="11">
        <v>2983548.2600000002</v>
      </c>
      <c r="KF26" s="11">
        <v>931725.73</v>
      </c>
      <c r="KG26" s="11">
        <v>2332299.04</v>
      </c>
      <c r="KH26" s="11">
        <v>2830411.67</v>
      </c>
      <c r="KI26" s="11">
        <v>146186834.24000001</v>
      </c>
      <c r="KJ26" s="11">
        <v>21606248.43</v>
      </c>
      <c r="KK26" s="11">
        <v>17199104.340000004</v>
      </c>
      <c r="KL26" s="11">
        <v>11879428.66</v>
      </c>
      <c r="KM26" s="11">
        <v>7724637.5699999994</v>
      </c>
      <c r="KN26" s="11">
        <v>8053726.959999999</v>
      </c>
      <c r="KO26" s="11">
        <v>35229697.740000002</v>
      </c>
      <c r="KP26" s="11">
        <v>9910629.6900000013</v>
      </c>
      <c r="KQ26" s="11">
        <v>3694056.18</v>
      </c>
      <c r="KR26" s="11">
        <v>36153740.219999999</v>
      </c>
      <c r="KS26" s="11">
        <v>5685969.1999999993</v>
      </c>
      <c r="KT26" s="11">
        <v>5701104.6900000004</v>
      </c>
      <c r="KU26" s="11">
        <v>46849644.460000001</v>
      </c>
      <c r="KV26" s="11">
        <v>9237410.8900000006</v>
      </c>
      <c r="KW26" s="11">
        <v>11335167.52</v>
      </c>
      <c r="KX26" s="11">
        <v>95302152.73999998</v>
      </c>
      <c r="KY26" s="11">
        <v>12246180.57</v>
      </c>
      <c r="KZ26" s="11">
        <v>53156226.879999995</v>
      </c>
      <c r="LA26" s="11">
        <v>10975977.82</v>
      </c>
      <c r="LB26" s="11">
        <v>2073392.3599999999</v>
      </c>
      <c r="LC26" s="11">
        <v>20208397.200000003</v>
      </c>
      <c r="LD26" s="11">
        <v>17760335.220000003</v>
      </c>
      <c r="LE26" s="11">
        <v>10397387.719999999</v>
      </c>
      <c r="LF26" s="11">
        <v>8083512.9500000002</v>
      </c>
      <c r="LG26" s="11">
        <v>14561324.620000001</v>
      </c>
      <c r="LH26" s="11">
        <v>216514339.48000002</v>
      </c>
      <c r="LI26" s="11">
        <v>22890394.580000002</v>
      </c>
      <c r="LJ26" s="11">
        <v>81123232.640000001</v>
      </c>
      <c r="LK26" s="11">
        <v>38085077.390000001</v>
      </c>
      <c r="LL26" s="11">
        <v>19145245.080000002</v>
      </c>
      <c r="LM26" s="11">
        <v>10384630.969999999</v>
      </c>
      <c r="LN26" s="11">
        <v>7437209.5799999991</v>
      </c>
      <c r="LO26" s="11">
        <v>5305030.9399999995</v>
      </c>
      <c r="LP26" s="11">
        <v>1684855.72</v>
      </c>
      <c r="LQ26" s="11">
        <v>9811403.6799999997</v>
      </c>
      <c r="LR26" s="11">
        <v>4535894.0299999993</v>
      </c>
      <c r="LS26" s="11">
        <v>42416328.979999997</v>
      </c>
      <c r="LT26" s="11">
        <v>8760269.3899999987</v>
      </c>
      <c r="LU26" s="11">
        <v>10506743.540000001</v>
      </c>
      <c r="LV26" s="11">
        <v>321994875.49999988</v>
      </c>
      <c r="LW26" s="11">
        <v>118474315.49000001</v>
      </c>
      <c r="LX26" s="11">
        <v>134017713.58</v>
      </c>
      <c r="LY26" s="11">
        <v>21669878.479999997</v>
      </c>
      <c r="LZ26" s="11">
        <v>13606457.710000003</v>
      </c>
      <c r="MA26" s="11">
        <v>22440185.460000001</v>
      </c>
      <c r="MB26" s="11">
        <v>24447438.210000001</v>
      </c>
      <c r="MC26" s="11">
        <v>16684413.069999998</v>
      </c>
      <c r="MD26" s="11">
        <v>14803452.699999999</v>
      </c>
      <c r="ME26" s="11">
        <v>15419238.870000001</v>
      </c>
      <c r="MF26" s="11">
        <v>13362694.279999999</v>
      </c>
      <c r="MG26" s="11">
        <v>5475698.3700000001</v>
      </c>
      <c r="MH26" s="11">
        <v>187839139.85000002</v>
      </c>
      <c r="MI26" s="11">
        <v>13689806.170000002</v>
      </c>
      <c r="MJ26" s="11">
        <v>3562530.6999999997</v>
      </c>
      <c r="MK26" s="11">
        <v>3345366.92</v>
      </c>
      <c r="ML26" s="11">
        <v>4935191.45</v>
      </c>
      <c r="MM26" s="11">
        <v>12900346.869999999</v>
      </c>
      <c r="MN26" s="11">
        <v>4522776.18</v>
      </c>
      <c r="MO26" s="11">
        <v>4330029.24</v>
      </c>
      <c r="MP26" s="11">
        <v>9071713.0099999998</v>
      </c>
      <c r="MQ26" s="11">
        <v>9317841.4800000004</v>
      </c>
      <c r="MR26" s="11">
        <v>6261999.8899999997</v>
      </c>
      <c r="MS26" s="11">
        <v>3083431.8499999996</v>
      </c>
      <c r="MT26" s="11">
        <v>71297098.450000003</v>
      </c>
      <c r="MU26" s="11">
        <v>10631844.859999999</v>
      </c>
      <c r="MV26" s="11">
        <v>20757846.43</v>
      </c>
      <c r="MW26" s="11">
        <v>24171811.359999999</v>
      </c>
      <c r="MX26" s="11">
        <v>20295127.120000001</v>
      </c>
      <c r="MY26" s="11">
        <v>16712870.279999997</v>
      </c>
      <c r="MZ26" s="11">
        <v>25096789.709999997</v>
      </c>
      <c r="NA26" s="11">
        <v>38343413.750000007</v>
      </c>
      <c r="NB26" s="11">
        <v>9252358.1100000013</v>
      </c>
      <c r="NC26" s="11">
        <v>3370744.7399999998</v>
      </c>
      <c r="ND26" s="11">
        <v>2761392.06</v>
      </c>
      <c r="NE26" s="11">
        <v>189325304.28999999</v>
      </c>
      <c r="NF26" s="11">
        <v>26246684.350000001</v>
      </c>
      <c r="NG26" s="11">
        <v>8232309.1600000011</v>
      </c>
      <c r="NH26" s="11">
        <v>181815054.05000001</v>
      </c>
      <c r="NI26" s="11">
        <v>11623330.85</v>
      </c>
      <c r="NJ26" s="11">
        <v>14250520.859999999</v>
      </c>
      <c r="NK26" s="11">
        <v>30091959.399999999</v>
      </c>
      <c r="NL26" s="11">
        <v>62109039.890000001</v>
      </c>
      <c r="NM26" s="11">
        <v>3770872.39</v>
      </c>
      <c r="NN26" s="11">
        <v>23450460.760000002</v>
      </c>
      <c r="NO26" s="11">
        <v>13205464.050000001</v>
      </c>
      <c r="NP26" s="11">
        <v>10442596.130000001</v>
      </c>
      <c r="NQ26" s="11">
        <v>46269404.559999995</v>
      </c>
      <c r="NR26" s="11">
        <v>5583007.4900000002</v>
      </c>
      <c r="NS26" s="11">
        <v>4539053.21</v>
      </c>
      <c r="NT26" s="11">
        <v>4509956.54</v>
      </c>
      <c r="NU26" s="11">
        <v>3458196.51</v>
      </c>
      <c r="NV26" s="11">
        <v>2133214.7699999996</v>
      </c>
      <c r="NW26" s="11">
        <v>4076915.54</v>
      </c>
      <c r="NX26" s="11">
        <v>108950775.68999998</v>
      </c>
      <c r="NY26" s="11">
        <v>36975001.149999999</v>
      </c>
      <c r="NZ26" s="11">
        <v>8205532.3000000007</v>
      </c>
      <c r="OA26" s="11">
        <v>2814292.4800000004</v>
      </c>
      <c r="OB26" s="11">
        <v>2501995.1100000003</v>
      </c>
      <c r="OC26" s="11">
        <v>9906908.1300000027</v>
      </c>
      <c r="OD26" s="11">
        <v>2406712.12</v>
      </c>
      <c r="OE26" s="11">
        <v>183278989.62</v>
      </c>
      <c r="OF26" s="11">
        <v>43706130.419999994</v>
      </c>
      <c r="OG26" s="11">
        <v>10163470.530000001</v>
      </c>
      <c r="OH26" s="11">
        <v>56421132.460000001</v>
      </c>
      <c r="OI26" s="11">
        <v>21109389.159999996</v>
      </c>
      <c r="OJ26" s="11">
        <v>9866465.870000001</v>
      </c>
      <c r="OK26" s="11">
        <v>12233728.890000001</v>
      </c>
      <c r="OL26" s="11">
        <v>5795992.3100000005</v>
      </c>
      <c r="OM26" s="11">
        <v>12316648.380000003</v>
      </c>
      <c r="ON26" s="11">
        <v>178037354.55000001</v>
      </c>
      <c r="OO26" s="11">
        <v>38121222.75</v>
      </c>
      <c r="OP26" s="11">
        <v>112999137.15999998</v>
      </c>
      <c r="OQ26" s="11">
        <v>12103475.42</v>
      </c>
      <c r="OR26" s="11">
        <v>14179912.039999999</v>
      </c>
      <c r="OS26" s="11">
        <v>11831881.17</v>
      </c>
      <c r="OT26" s="11">
        <v>64478537.240000002</v>
      </c>
      <c r="OU26" s="11">
        <v>4524897.54</v>
      </c>
      <c r="OV26" s="11">
        <v>3564680.5500000003</v>
      </c>
      <c r="OW26" s="11">
        <v>6029672.0499999998</v>
      </c>
      <c r="OX26" s="11">
        <v>4715067.49</v>
      </c>
      <c r="OY26" s="11">
        <v>39825555.920000002</v>
      </c>
      <c r="OZ26" s="11">
        <v>5634022.71</v>
      </c>
      <c r="PA26" s="11">
        <v>4163623.38</v>
      </c>
      <c r="PB26" s="11">
        <v>3718821.52</v>
      </c>
      <c r="PC26" s="11">
        <v>86805416.079999998</v>
      </c>
      <c r="PD26" s="11">
        <v>1922261.24</v>
      </c>
      <c r="PE26" s="11">
        <v>15566508.200000001</v>
      </c>
      <c r="PF26" s="11">
        <v>989071.81</v>
      </c>
      <c r="PG26" s="11">
        <v>12986090.440000001</v>
      </c>
      <c r="PH26" s="11">
        <v>38734102.960000008</v>
      </c>
      <c r="PI26" s="11">
        <v>2611141.33</v>
      </c>
      <c r="PJ26" s="11">
        <v>4737491.7400000012</v>
      </c>
      <c r="PK26" s="11">
        <v>7443476.9000000004</v>
      </c>
      <c r="PL26" s="11">
        <v>9915896.4499999993</v>
      </c>
      <c r="PM26" s="11">
        <v>15814815.18</v>
      </c>
      <c r="PN26" s="11">
        <v>18059777.940000001</v>
      </c>
      <c r="PO26" s="11">
        <v>2821259.41</v>
      </c>
      <c r="PP26" s="11">
        <v>17033595.550000001</v>
      </c>
      <c r="PQ26" s="11">
        <v>5061286.3899999997</v>
      </c>
      <c r="PR26" s="11">
        <v>1802809.54</v>
      </c>
      <c r="PS26" s="11">
        <v>1040735.8999999999</v>
      </c>
      <c r="PT26" s="11">
        <v>1924517.4400000002</v>
      </c>
      <c r="PU26" s="11">
        <v>199758251.34000003</v>
      </c>
      <c r="PV26" s="11">
        <v>4482883.3499999996</v>
      </c>
      <c r="PW26" s="11">
        <v>9326348.9400000013</v>
      </c>
      <c r="PX26" s="11">
        <v>3739728.89</v>
      </c>
      <c r="PY26" s="11">
        <v>81695274.879999995</v>
      </c>
      <c r="PZ26" s="11">
        <v>6244425.0199999996</v>
      </c>
      <c r="QA26" s="11">
        <v>9752703.2399999984</v>
      </c>
      <c r="QB26" s="11">
        <v>2439056.87</v>
      </c>
      <c r="QC26" s="11">
        <v>37267463.409999996</v>
      </c>
      <c r="QD26" s="11">
        <v>2820680.5599999996</v>
      </c>
      <c r="QE26" s="11">
        <v>19774759.499999996</v>
      </c>
      <c r="QF26" s="11">
        <v>2285991.9900000002</v>
      </c>
      <c r="QG26" s="11">
        <v>8270664.0499999998</v>
      </c>
      <c r="QH26" s="11">
        <v>5795648.7000000002</v>
      </c>
      <c r="QI26" s="11">
        <v>4118478.48</v>
      </c>
      <c r="QJ26" s="11">
        <v>16260316.210000001</v>
      </c>
      <c r="QK26" s="11">
        <v>2983346.16</v>
      </c>
      <c r="QL26" s="11">
        <v>2056422.14</v>
      </c>
      <c r="QM26" s="11">
        <v>1561349.18</v>
      </c>
      <c r="QN26" s="11">
        <v>27852494.479999997</v>
      </c>
      <c r="QO26" s="11">
        <v>26404141.059999999</v>
      </c>
      <c r="QP26" s="11">
        <v>2703850.75</v>
      </c>
      <c r="QQ26" s="11">
        <v>1730448.0699999998</v>
      </c>
      <c r="QR26" s="11">
        <v>1796828.5000000002</v>
      </c>
      <c r="QS26" s="11">
        <v>3207151.5700000003</v>
      </c>
      <c r="QT26" s="11">
        <v>2155932.88</v>
      </c>
      <c r="QU26" s="11">
        <v>138709347.41999999</v>
      </c>
      <c r="QV26" s="11">
        <v>2537311.1800000002</v>
      </c>
      <c r="QW26" s="11">
        <v>31191022.139999997</v>
      </c>
      <c r="QX26" s="11">
        <v>5004983.79</v>
      </c>
      <c r="QY26" s="11">
        <v>5356366.17</v>
      </c>
      <c r="QZ26" s="11">
        <v>26211640.809999999</v>
      </c>
      <c r="RA26" s="11">
        <v>2915770.54</v>
      </c>
      <c r="RB26" s="11">
        <v>5588402.1099999994</v>
      </c>
      <c r="RC26" s="11">
        <v>24793091.120000001</v>
      </c>
      <c r="RD26" s="11">
        <v>2922975.76</v>
      </c>
      <c r="RE26" s="11">
        <v>3527898.59</v>
      </c>
      <c r="RF26" s="11">
        <v>4036752.1900000004</v>
      </c>
      <c r="RG26" s="11">
        <v>2783695.0100000002</v>
      </c>
      <c r="RH26" s="11">
        <v>87554785.739999995</v>
      </c>
      <c r="RI26" s="11">
        <v>9243353.7599999998</v>
      </c>
      <c r="RJ26" s="11">
        <v>15702324.77</v>
      </c>
      <c r="RK26" s="11">
        <v>5983349.4899999993</v>
      </c>
      <c r="RL26" s="11">
        <v>22143218.579999998</v>
      </c>
      <c r="RM26" s="11">
        <v>18409226.489999998</v>
      </c>
      <c r="RN26" s="11">
        <v>41776315.490000002</v>
      </c>
      <c r="RO26" s="11">
        <v>4538564.5299999993</v>
      </c>
      <c r="RP26" s="11">
        <v>6438180.4000000004</v>
      </c>
      <c r="RQ26" s="11">
        <v>16025308.84</v>
      </c>
      <c r="RR26" s="11">
        <v>21155900.340000004</v>
      </c>
      <c r="RS26" s="11">
        <v>3323393.2600000002</v>
      </c>
      <c r="RT26" s="11">
        <v>3294873.68</v>
      </c>
      <c r="RU26" s="11">
        <v>6443922.8200000003</v>
      </c>
      <c r="RV26" s="11">
        <v>3319134.9</v>
      </c>
      <c r="RW26" s="11">
        <v>4249879.71</v>
      </c>
      <c r="RX26" s="11">
        <v>5118350.17</v>
      </c>
      <c r="RY26" s="11">
        <v>3363262.88</v>
      </c>
      <c r="RZ26" s="11">
        <v>4073718.52</v>
      </c>
      <c r="SA26" s="11">
        <v>4760549.4700000007</v>
      </c>
      <c r="SB26" s="11">
        <v>34539341.350000001</v>
      </c>
      <c r="SC26" s="11">
        <v>5531186.0200000005</v>
      </c>
      <c r="SD26" s="11">
        <v>5436487.3999999994</v>
      </c>
      <c r="SE26" s="11">
        <v>3062992.8099999996</v>
      </c>
      <c r="SF26" s="11">
        <v>2048414.6</v>
      </c>
      <c r="SG26" s="11">
        <v>3441394.6900000004</v>
      </c>
      <c r="SH26" s="11">
        <v>4718105.84</v>
      </c>
      <c r="SI26" s="11">
        <v>20744972.890000001</v>
      </c>
      <c r="SJ26" s="11">
        <v>5002186.7799999993</v>
      </c>
      <c r="SK26" s="11">
        <v>4427298.6900000004</v>
      </c>
      <c r="SL26" s="11">
        <v>29296580.070000004</v>
      </c>
      <c r="SM26" s="11">
        <v>1555453.6199999999</v>
      </c>
      <c r="SN26" s="11">
        <v>51022885.230000004</v>
      </c>
      <c r="SO26" s="11">
        <v>5573327.9799999995</v>
      </c>
      <c r="SP26" s="11">
        <v>10227424.350000001</v>
      </c>
      <c r="SQ26" s="11">
        <v>18066550.719999999</v>
      </c>
      <c r="SR26" s="11">
        <v>3804056.6799999997</v>
      </c>
      <c r="SS26" s="11">
        <v>8825753.6699999999</v>
      </c>
      <c r="ST26" s="11">
        <v>3918639.2399999998</v>
      </c>
      <c r="SU26" s="11">
        <v>1940496.91</v>
      </c>
      <c r="SV26" s="11">
        <v>85386399.279999986</v>
      </c>
      <c r="SW26" s="11">
        <v>2435360.36</v>
      </c>
      <c r="SX26" s="11">
        <v>3370447.3699999996</v>
      </c>
      <c r="SY26" s="11">
        <v>2764247.69</v>
      </c>
      <c r="SZ26" s="11">
        <v>2747320.9299999997</v>
      </c>
      <c r="TA26" s="11">
        <v>1991919.8900000001</v>
      </c>
      <c r="TB26" s="11">
        <v>532553.76</v>
      </c>
      <c r="TC26" s="11">
        <v>13807447.869999999</v>
      </c>
      <c r="TD26" s="11">
        <v>1434150.44</v>
      </c>
      <c r="TE26" s="11">
        <v>5297619.0999999996</v>
      </c>
      <c r="TF26" s="11">
        <v>4888350.71</v>
      </c>
      <c r="TG26" s="11">
        <v>12801417.35</v>
      </c>
      <c r="TH26" s="11">
        <v>2666530.25</v>
      </c>
      <c r="TI26" s="11">
        <v>1872811.4700000002</v>
      </c>
      <c r="TJ26" s="11">
        <v>166469745.59</v>
      </c>
      <c r="TK26" s="11">
        <v>2954203.8000000003</v>
      </c>
      <c r="TL26" s="11">
        <v>2083967.3599999999</v>
      </c>
      <c r="TM26" s="11">
        <v>4385647.9400000004</v>
      </c>
      <c r="TN26" s="11">
        <v>4616771.6000000006</v>
      </c>
      <c r="TO26" s="11">
        <v>3381226.25</v>
      </c>
      <c r="TP26" s="11">
        <v>1490323.1800000002</v>
      </c>
      <c r="TQ26" s="11">
        <v>62829842.200000003</v>
      </c>
      <c r="TR26" s="11">
        <v>4345225.6800000006</v>
      </c>
      <c r="TS26" s="11">
        <v>9613233.1400000006</v>
      </c>
      <c r="TT26" s="11">
        <v>4736836.96</v>
      </c>
      <c r="TU26" s="11">
        <v>4565251.6499999994</v>
      </c>
      <c r="TV26" s="11">
        <v>1364089.85</v>
      </c>
      <c r="TW26" s="11">
        <v>2315319.64</v>
      </c>
      <c r="TX26" s="11">
        <v>3028420.4499999997</v>
      </c>
      <c r="TY26" s="11">
        <v>3573861.9699999997</v>
      </c>
      <c r="TZ26" s="11">
        <v>39419327.940000005</v>
      </c>
      <c r="UA26" s="11">
        <v>2913188.08</v>
      </c>
      <c r="UB26" s="11">
        <v>51897466.090000004</v>
      </c>
      <c r="UC26" s="11">
        <v>23073616.580000002</v>
      </c>
      <c r="UD26" s="11">
        <v>3256523.0800000005</v>
      </c>
      <c r="UE26" s="11">
        <v>2543213.4300000002</v>
      </c>
      <c r="UF26" s="11">
        <v>33006784.750000004</v>
      </c>
      <c r="UG26" s="11">
        <v>1932663.15</v>
      </c>
      <c r="UH26" s="11">
        <v>1855154.37</v>
      </c>
      <c r="UI26" s="11">
        <v>2938654.3400000003</v>
      </c>
      <c r="UJ26" s="11">
        <v>3294742.77</v>
      </c>
      <c r="UK26" s="11">
        <v>35980274.710000001</v>
      </c>
      <c r="UL26" s="11">
        <v>14646020.930000002</v>
      </c>
      <c r="UM26" s="11">
        <v>7161768.3899999997</v>
      </c>
      <c r="UN26" s="11">
        <v>10463413.060000001</v>
      </c>
      <c r="UO26" s="11">
        <v>7190539.1500000004</v>
      </c>
      <c r="UP26" s="11">
        <v>11712275.599999998</v>
      </c>
      <c r="UQ26" s="11">
        <v>194747188.26000002</v>
      </c>
      <c r="UR26" s="11">
        <v>14953372.67</v>
      </c>
      <c r="US26" s="11">
        <v>8476642.8100000005</v>
      </c>
      <c r="UT26" s="11">
        <v>56683806.789999999</v>
      </c>
      <c r="UU26" s="11">
        <v>8083165.9299999997</v>
      </c>
      <c r="UV26" s="11">
        <v>14537096.710000001</v>
      </c>
      <c r="UW26" s="11">
        <v>20495897.279999997</v>
      </c>
      <c r="UX26" s="11">
        <v>2486294.0599999996</v>
      </c>
      <c r="UY26" s="11">
        <v>5939808.1799999997</v>
      </c>
      <c r="UZ26" s="11">
        <v>4251981.03</v>
      </c>
      <c r="VA26" s="11">
        <v>7562327.4000000004</v>
      </c>
      <c r="VB26" s="11">
        <v>24191954.850000001</v>
      </c>
      <c r="VC26" s="11">
        <v>7483571.2599999998</v>
      </c>
      <c r="VD26" s="11">
        <v>20777508.550000001</v>
      </c>
      <c r="VE26" s="11">
        <v>3609708.5300000003</v>
      </c>
      <c r="VF26" s="11">
        <v>5366556.41</v>
      </c>
      <c r="VG26" s="11">
        <v>1579008.49</v>
      </c>
      <c r="VH26" s="11">
        <v>3028082.58</v>
      </c>
      <c r="VI26" s="11">
        <v>24802006.25</v>
      </c>
      <c r="VJ26" s="11">
        <v>4429766.0299999993</v>
      </c>
      <c r="VK26" s="11">
        <v>3148815.62</v>
      </c>
      <c r="VL26" s="11">
        <v>2240470.5699999998</v>
      </c>
      <c r="VM26" s="11">
        <v>141825260.94</v>
      </c>
      <c r="VN26" s="11">
        <v>5439502.7000000002</v>
      </c>
      <c r="VO26" s="11">
        <v>4135944.41</v>
      </c>
      <c r="VP26" s="11">
        <v>30975511.16</v>
      </c>
      <c r="VQ26" s="11">
        <v>20818655.919999998</v>
      </c>
      <c r="VR26" s="11">
        <v>16604250.659999998</v>
      </c>
      <c r="VS26" s="11">
        <v>16931765.809999999</v>
      </c>
      <c r="VT26" s="11">
        <v>4985636.6100000003</v>
      </c>
      <c r="VU26" s="11">
        <v>3399553.64</v>
      </c>
      <c r="VV26" s="11">
        <v>52615985.620000005</v>
      </c>
      <c r="VW26" s="11">
        <v>9072117.1899999995</v>
      </c>
      <c r="VX26" s="11">
        <v>27015574.48</v>
      </c>
      <c r="VY26" s="11">
        <v>7479627.7300000004</v>
      </c>
      <c r="VZ26" s="11">
        <v>3302434.2399999998</v>
      </c>
      <c r="WA26" s="11">
        <v>2156882.48</v>
      </c>
      <c r="WB26" s="11">
        <v>262521406.52999997</v>
      </c>
      <c r="WC26" s="11">
        <v>8096706.7399999993</v>
      </c>
      <c r="WD26" s="11">
        <v>7889607.6000000006</v>
      </c>
      <c r="WE26" s="11">
        <v>3846608</v>
      </c>
      <c r="WF26" s="11">
        <v>2046031.01</v>
      </c>
      <c r="WG26" s="11">
        <v>4760226.7799999993</v>
      </c>
      <c r="WH26" s="11">
        <v>10578859.75</v>
      </c>
      <c r="WI26" s="11">
        <v>9755394.9299999997</v>
      </c>
      <c r="WJ26" s="11">
        <v>3757274</v>
      </c>
      <c r="WK26" s="11">
        <v>5796209.1400000006</v>
      </c>
      <c r="WL26" s="11">
        <v>3351596.9099999997</v>
      </c>
      <c r="WM26" s="11">
        <v>24151726.09</v>
      </c>
      <c r="WN26" s="11">
        <v>4514082.1300000008</v>
      </c>
      <c r="WO26" s="11">
        <v>20373074.760000005</v>
      </c>
      <c r="WP26" s="11">
        <v>21187247</v>
      </c>
      <c r="WQ26" s="11">
        <v>5234071.2</v>
      </c>
      <c r="WR26" s="11">
        <v>6947318.4099999992</v>
      </c>
      <c r="WS26" s="11">
        <v>13226267.189999999</v>
      </c>
      <c r="WT26" s="11">
        <v>5401484.6799999997</v>
      </c>
      <c r="WU26" s="11">
        <v>17172129.23</v>
      </c>
      <c r="WV26" s="11">
        <v>57095699.780000009</v>
      </c>
      <c r="WW26" s="11">
        <v>3431022.7199999997</v>
      </c>
      <c r="WX26" s="11">
        <v>2700837.71</v>
      </c>
      <c r="WY26" s="11">
        <v>2822478.83</v>
      </c>
      <c r="WZ26" s="11">
        <v>2954567.53</v>
      </c>
      <c r="XA26" s="11">
        <v>3003484.08</v>
      </c>
      <c r="XB26" s="11">
        <v>1513209.73</v>
      </c>
      <c r="XC26" s="11">
        <v>2588203.6800000002</v>
      </c>
      <c r="XD26" s="11">
        <v>47891139.600000001</v>
      </c>
      <c r="XE26" s="11">
        <v>3027264.76</v>
      </c>
      <c r="XF26" s="11">
        <v>2331843.11</v>
      </c>
      <c r="XG26" s="11">
        <v>2320431.85</v>
      </c>
      <c r="XH26" s="11">
        <v>5581683.4199999999</v>
      </c>
      <c r="XI26" s="11">
        <v>224656581.31999999</v>
      </c>
      <c r="XJ26" s="11">
        <v>10042567.069999998</v>
      </c>
      <c r="XK26" s="11">
        <v>14736770.809999999</v>
      </c>
      <c r="XL26" s="11">
        <v>79419993.519999996</v>
      </c>
      <c r="XM26" s="11">
        <v>5557684.4800000004</v>
      </c>
      <c r="XN26" s="11">
        <v>4280112.59</v>
      </c>
      <c r="XO26" s="11">
        <v>28622423.370000001</v>
      </c>
      <c r="XP26" s="11">
        <v>4190293.13</v>
      </c>
      <c r="XQ26" s="11">
        <v>6373322.7999999998</v>
      </c>
      <c r="XR26" s="11">
        <v>19780959.559999999</v>
      </c>
      <c r="XS26" s="11">
        <v>20559191.280000001</v>
      </c>
      <c r="XT26" s="11">
        <v>6056658.3100000005</v>
      </c>
      <c r="XU26" s="11">
        <v>2884688.25</v>
      </c>
      <c r="XV26" s="11">
        <v>6161557.4500000002</v>
      </c>
      <c r="XW26" s="11">
        <v>2098115.88</v>
      </c>
      <c r="XX26" s="11">
        <v>10679430.259999998</v>
      </c>
      <c r="XY26" s="11">
        <v>2897504.25</v>
      </c>
      <c r="XZ26" s="11">
        <v>3830961.1499999994</v>
      </c>
      <c r="YA26" s="11">
        <v>2741736.37</v>
      </c>
      <c r="YB26" s="11">
        <v>1882156.43</v>
      </c>
      <c r="YC26" s="11">
        <v>4772121.3800000008</v>
      </c>
      <c r="YD26" s="11">
        <v>2340816.54</v>
      </c>
      <c r="YE26" s="11">
        <v>2161143.6900000004</v>
      </c>
      <c r="YF26" s="11">
        <v>107555908.94</v>
      </c>
      <c r="YG26" s="11">
        <v>2759461.73</v>
      </c>
      <c r="YH26" s="11">
        <v>18232797.59</v>
      </c>
      <c r="YI26" s="11">
        <v>3635866.3800000004</v>
      </c>
      <c r="YJ26" s="11">
        <v>24350270.52</v>
      </c>
      <c r="YK26" s="11">
        <v>4502127.6399999997</v>
      </c>
      <c r="YL26" s="11">
        <v>12933664.669999998</v>
      </c>
      <c r="YM26" s="11">
        <v>1235837.3800000001</v>
      </c>
      <c r="YN26" s="11">
        <v>34423262.939999998</v>
      </c>
      <c r="YO26" s="11">
        <v>33809439.93</v>
      </c>
      <c r="YP26" s="11">
        <v>9923409.8900000006</v>
      </c>
      <c r="YQ26" s="11">
        <v>2107905</v>
      </c>
      <c r="YR26" s="11">
        <v>3007334.34</v>
      </c>
      <c r="YS26" s="11">
        <v>4179145.0199999996</v>
      </c>
      <c r="YT26" s="11">
        <v>3290945.19</v>
      </c>
      <c r="YU26" s="11">
        <v>2121254.5499999998</v>
      </c>
      <c r="YV26" s="11">
        <v>1621397.66</v>
      </c>
      <c r="YW26" s="11">
        <v>59471923.470000006</v>
      </c>
      <c r="YX26" s="11">
        <v>4237528.9800000004</v>
      </c>
      <c r="YY26" s="11">
        <v>8309780.9800000014</v>
      </c>
      <c r="YZ26" s="11">
        <v>6278440.0499999989</v>
      </c>
      <c r="ZA26" s="11">
        <v>9715729.879999999</v>
      </c>
      <c r="ZB26" s="11">
        <v>2809289.8</v>
      </c>
      <c r="ZC26" s="11">
        <v>3052949.7</v>
      </c>
      <c r="ZD26" s="11">
        <v>60951640.800000004</v>
      </c>
      <c r="ZE26" s="11">
        <v>5250178.29</v>
      </c>
      <c r="ZF26" s="11">
        <v>14027020.310000001</v>
      </c>
      <c r="ZG26" s="11">
        <v>11382094.789999999</v>
      </c>
      <c r="ZH26" s="11">
        <v>2022979.3499999999</v>
      </c>
      <c r="ZI26" s="11">
        <v>3189421.5900000003</v>
      </c>
      <c r="ZJ26" s="11">
        <v>2482856.73</v>
      </c>
      <c r="ZK26" s="11">
        <v>3022225.52</v>
      </c>
      <c r="ZL26" s="11">
        <v>20335047.059999999</v>
      </c>
      <c r="ZM26" s="11">
        <v>114412143.45999999</v>
      </c>
      <c r="ZN26" s="11">
        <v>7148285.9400000004</v>
      </c>
      <c r="ZO26" s="11">
        <v>11913751.73</v>
      </c>
      <c r="ZP26" s="11">
        <v>44581098.159999996</v>
      </c>
      <c r="ZQ26" s="11">
        <v>22870508.290000003</v>
      </c>
      <c r="ZR26" s="11">
        <v>2743723.43</v>
      </c>
      <c r="ZS26" s="11">
        <v>9329087.9900000002</v>
      </c>
      <c r="ZT26" s="11">
        <v>6123445.7299999995</v>
      </c>
      <c r="ZU26" s="11">
        <v>20085957.350000001</v>
      </c>
      <c r="ZV26" s="11">
        <v>17350220.379999999</v>
      </c>
      <c r="ZW26" s="11">
        <v>2758275.05</v>
      </c>
      <c r="ZX26" s="11">
        <v>3581612.7899999996</v>
      </c>
      <c r="ZY26" s="11">
        <v>3894991.22</v>
      </c>
      <c r="ZZ26" s="11">
        <v>18492802.82</v>
      </c>
      <c r="AAA26" s="11">
        <v>5344777.1099999994</v>
      </c>
      <c r="AAB26" s="11">
        <v>3130213.81</v>
      </c>
      <c r="AAC26" s="11">
        <v>3430389.3499999996</v>
      </c>
      <c r="AAD26" s="11">
        <v>7981704.8200000003</v>
      </c>
      <c r="AAE26" s="11">
        <v>3640159.7100000004</v>
      </c>
      <c r="AAF26" s="11">
        <v>2482699.9699999997</v>
      </c>
      <c r="AAG26" s="11">
        <v>2251934.2999999998</v>
      </c>
      <c r="AAH26" s="11">
        <v>3309568.15</v>
      </c>
      <c r="AAI26" s="11">
        <v>81430780.730000004</v>
      </c>
      <c r="AAJ26" s="11">
        <v>3795335.23</v>
      </c>
      <c r="AAK26" s="11">
        <v>10345474.65</v>
      </c>
      <c r="AAL26" s="11">
        <v>4731903.28</v>
      </c>
      <c r="AAM26" s="11">
        <v>2974106.35</v>
      </c>
      <c r="AAN26" s="11">
        <v>10482566.51</v>
      </c>
      <c r="AAO26" s="11">
        <v>3543291.9799999995</v>
      </c>
      <c r="AAP26" s="11">
        <v>102386052.90000001</v>
      </c>
      <c r="AAQ26" s="11">
        <v>6945199.96</v>
      </c>
      <c r="AAR26" s="11">
        <v>4300008.28</v>
      </c>
      <c r="AAS26" s="11">
        <v>25604410.639999997</v>
      </c>
      <c r="AAT26" s="11">
        <v>17627499.009999998</v>
      </c>
      <c r="AAU26" s="11">
        <v>3408662.47</v>
      </c>
      <c r="AAV26" s="11">
        <v>8431406.1699999999</v>
      </c>
      <c r="AAW26" s="11">
        <v>6374942.5800000001</v>
      </c>
      <c r="AAX26" s="11">
        <v>23301949.399999999</v>
      </c>
      <c r="AAY26" s="11">
        <v>5098677.59</v>
      </c>
      <c r="AAZ26" s="11">
        <v>13617387.380000001</v>
      </c>
      <c r="ABA26" s="11">
        <v>31846382.080000002</v>
      </c>
      <c r="ABB26" s="11">
        <v>19090658.699999999</v>
      </c>
      <c r="ABC26" s="11">
        <v>1628563</v>
      </c>
      <c r="ABD26" s="11">
        <v>3645432.26</v>
      </c>
      <c r="ABE26" s="11">
        <v>4103862.87</v>
      </c>
      <c r="ABF26" s="11">
        <v>1176733.5</v>
      </c>
      <c r="ABG26" s="11">
        <v>4765037.8499999996</v>
      </c>
      <c r="ABH26" s="11">
        <v>3031572.2800000003</v>
      </c>
      <c r="ABI26" s="11">
        <v>54392564.880000003</v>
      </c>
      <c r="ABJ26" s="11">
        <v>67115342.50999999</v>
      </c>
      <c r="ABK26" s="11">
        <v>2948545</v>
      </c>
      <c r="ABL26" s="11">
        <v>2480283.5300000003</v>
      </c>
      <c r="ABM26" s="11">
        <v>2523258.4</v>
      </c>
      <c r="ABN26" s="11">
        <v>3253903.16</v>
      </c>
      <c r="ABO26" s="11">
        <v>3116493.2600000002</v>
      </c>
      <c r="ABP26" s="11">
        <v>77092730.480000004</v>
      </c>
      <c r="ABQ26" s="11">
        <v>5518372.5200000005</v>
      </c>
      <c r="ABR26" s="11">
        <v>11303850.609999999</v>
      </c>
      <c r="ABS26" s="11">
        <v>10067199.799999999</v>
      </c>
      <c r="ABT26" s="11">
        <v>18441295.550000001</v>
      </c>
      <c r="ABU26" s="11">
        <v>12147715.489999998</v>
      </c>
      <c r="ABV26" s="11">
        <v>2554321.59</v>
      </c>
      <c r="ABW26" s="11">
        <v>3748723.72</v>
      </c>
      <c r="ABX26" s="11">
        <v>2438486.46</v>
      </c>
      <c r="ABY26" s="11">
        <v>50630858</v>
      </c>
      <c r="ABZ26" s="11">
        <v>7935420.4100000001</v>
      </c>
      <c r="ACA26" s="11">
        <v>8264011.5</v>
      </c>
      <c r="ACB26" s="11">
        <v>3751399.39</v>
      </c>
      <c r="ACC26" s="11">
        <v>2644742.39</v>
      </c>
      <c r="ACD26" s="11">
        <v>17347670.52</v>
      </c>
      <c r="ACE26" s="11">
        <v>5709524.4400000004</v>
      </c>
      <c r="ACF26" s="11">
        <v>10274161.16</v>
      </c>
      <c r="ACG26" s="11">
        <v>2232383.9900000002</v>
      </c>
      <c r="ACH26" s="11">
        <v>7055500.2700000005</v>
      </c>
      <c r="ACI26" s="11">
        <v>3373728.18</v>
      </c>
      <c r="ACJ26" s="11">
        <v>126154988.57000001</v>
      </c>
      <c r="ACK26" s="11">
        <v>5016338.7500000009</v>
      </c>
      <c r="ACL26" s="11">
        <v>7123040.9899999993</v>
      </c>
      <c r="ACM26" s="11">
        <v>12842721.24</v>
      </c>
      <c r="ACN26" s="11">
        <v>7248338.2599999998</v>
      </c>
      <c r="ACO26" s="11">
        <v>4395235.41</v>
      </c>
      <c r="ACP26" s="11">
        <v>14710223.619999999</v>
      </c>
      <c r="ACQ26" s="11">
        <v>24223479.049999997</v>
      </c>
      <c r="ACR26" s="11">
        <v>77045616.030000016</v>
      </c>
      <c r="ACS26" s="11">
        <v>5645971.3599999994</v>
      </c>
      <c r="ACT26" s="11">
        <v>8826080.4700000007</v>
      </c>
      <c r="ACU26" s="11">
        <v>14460839.26</v>
      </c>
      <c r="ACV26" s="11">
        <v>5813444.6200000001</v>
      </c>
      <c r="ACW26" s="11">
        <v>36293905.220000006</v>
      </c>
      <c r="ACX26" s="11">
        <v>5277067.9800000004</v>
      </c>
      <c r="ACY26" s="11">
        <v>19760194.059999999</v>
      </c>
      <c r="ACZ26" s="11">
        <v>5447424.0099999998</v>
      </c>
      <c r="ADA26" s="11">
        <v>2543463.73</v>
      </c>
      <c r="ADB26" s="11">
        <v>6991309.0199999996</v>
      </c>
      <c r="ADC26" s="11">
        <v>4055586.06</v>
      </c>
      <c r="ADD26" s="11">
        <v>11389390.970000001</v>
      </c>
      <c r="ADE26" s="11">
        <v>4917724.6399999997</v>
      </c>
      <c r="ADF26" s="11">
        <v>3554488.18</v>
      </c>
      <c r="ADG26" s="11">
        <v>25302928.599999998</v>
      </c>
      <c r="ADH26" s="11">
        <v>21334125.419999998</v>
      </c>
      <c r="ADI26" s="11">
        <v>4124849.1599999997</v>
      </c>
      <c r="ADJ26" s="11">
        <v>2705235.99</v>
      </c>
      <c r="ADK26" s="11">
        <v>8563553.3100000005</v>
      </c>
      <c r="ADL26" s="11">
        <v>1812737.67</v>
      </c>
      <c r="ADM26" s="11">
        <v>8159438.1700000009</v>
      </c>
      <c r="ADN26" s="11">
        <v>4954505.9399999995</v>
      </c>
      <c r="ADO26" s="11">
        <v>5538197.3100000005</v>
      </c>
      <c r="ADP26" s="11">
        <v>160234485.11000001</v>
      </c>
      <c r="ADQ26" s="11">
        <v>46520148.730000004</v>
      </c>
      <c r="ADR26" s="11">
        <v>36451398.040000007</v>
      </c>
      <c r="ADS26" s="11">
        <v>23213447.060000002</v>
      </c>
      <c r="ADT26" s="11">
        <v>91304972.290000007</v>
      </c>
      <c r="ADU26" s="11">
        <v>6084001.2800000003</v>
      </c>
      <c r="ADV26" s="11">
        <v>2939961.0900000003</v>
      </c>
      <c r="ADW26" s="11">
        <v>2410751.3600000003</v>
      </c>
      <c r="ADX26" s="11">
        <v>5906643.9400000004</v>
      </c>
      <c r="ADY26" s="11">
        <v>8994093.4699999988</v>
      </c>
      <c r="ADZ26" s="11">
        <v>148741993.68999997</v>
      </c>
      <c r="AEA26" s="11">
        <v>33661925.5</v>
      </c>
      <c r="AEB26" s="11">
        <v>22280786.149999999</v>
      </c>
      <c r="AEC26" s="11">
        <v>4121435.4400000004</v>
      </c>
      <c r="AED26" s="11">
        <v>13345553.539999999</v>
      </c>
      <c r="AEE26" s="11">
        <v>14757766.73</v>
      </c>
      <c r="AEF26" s="11">
        <v>9086554.8599999994</v>
      </c>
      <c r="AEG26" s="11">
        <v>7021523.0699999984</v>
      </c>
      <c r="AEH26" s="11">
        <v>5687641.2899999991</v>
      </c>
      <c r="AEI26" s="11">
        <v>6924900.2400000002</v>
      </c>
      <c r="AEJ26" s="11">
        <v>6890691.5500000007</v>
      </c>
      <c r="AEK26" s="11">
        <v>14884157.719999999</v>
      </c>
      <c r="AEL26" s="11">
        <v>5752516.8400000008</v>
      </c>
      <c r="AEM26" s="11">
        <v>18250621.039999999</v>
      </c>
      <c r="AEN26" s="11">
        <v>9911933.5</v>
      </c>
      <c r="AEO26" s="11">
        <v>64293012.300000004</v>
      </c>
      <c r="AEP26" s="11">
        <v>4839089.79</v>
      </c>
      <c r="AEQ26" s="11">
        <v>29323211.909999996</v>
      </c>
      <c r="AER26" s="11">
        <v>2957970.0200000005</v>
      </c>
      <c r="AES26" s="11">
        <v>15389897.189999998</v>
      </c>
      <c r="AET26" s="11">
        <v>60830699.399999999</v>
      </c>
      <c r="AEU26" s="11">
        <v>10194875.01</v>
      </c>
      <c r="AEV26" s="11">
        <v>11064781.99</v>
      </c>
      <c r="AEW26" s="11">
        <v>11884024.91</v>
      </c>
      <c r="AEX26" s="11">
        <v>5078783.6500000004</v>
      </c>
      <c r="AEY26" s="11">
        <v>20939178.719999999</v>
      </c>
      <c r="AEZ26" s="11">
        <v>3336077.96</v>
      </c>
      <c r="AFA26" s="11">
        <v>5855549.9700000007</v>
      </c>
      <c r="AFB26" s="11">
        <v>5144366.38</v>
      </c>
      <c r="AFC26" s="11">
        <v>2414952.52</v>
      </c>
      <c r="AFD26" s="11">
        <v>59887714.790000014</v>
      </c>
      <c r="AFE26" s="11">
        <v>21112683.169999998</v>
      </c>
      <c r="AFF26" s="11">
        <v>8750535.5999999996</v>
      </c>
      <c r="AFG26" s="11">
        <v>6926855.9399999995</v>
      </c>
      <c r="AFH26" s="11">
        <v>6730833.75</v>
      </c>
      <c r="AFI26" s="11">
        <v>5463480.1900000004</v>
      </c>
      <c r="AFJ26" s="11">
        <v>4093494.72</v>
      </c>
      <c r="AFK26" s="11">
        <v>4483887.99</v>
      </c>
      <c r="AFL26" s="11">
        <v>2269017.4700000002</v>
      </c>
      <c r="AFM26" s="11">
        <v>6101410.5700000003</v>
      </c>
      <c r="AFN26" s="11">
        <v>4918464.2300000004</v>
      </c>
      <c r="AFO26" s="11">
        <v>7105791.8599999994</v>
      </c>
      <c r="AFP26" s="11">
        <v>13726148.560000002</v>
      </c>
      <c r="AFQ26" s="11">
        <v>41882679.029999994</v>
      </c>
      <c r="AFR26" s="11">
        <v>13748922.75</v>
      </c>
      <c r="AFS26" s="11">
        <v>3246870.1399999997</v>
      </c>
      <c r="AFT26" s="11">
        <v>8768695.5000000019</v>
      </c>
      <c r="AFU26" s="11">
        <v>4182589.8600000003</v>
      </c>
      <c r="AFV26" s="11">
        <v>2705313.41</v>
      </c>
      <c r="AFW26" s="11">
        <v>2845130.17</v>
      </c>
      <c r="AFX26" s="11">
        <v>24420447.949999999</v>
      </c>
      <c r="AFY26" s="11">
        <v>9816692.7300000004</v>
      </c>
      <c r="AFZ26" s="11">
        <v>2423875.3499999996</v>
      </c>
      <c r="AGA26" s="11">
        <v>4004360.29</v>
      </c>
      <c r="AGB26" s="11">
        <v>2692720.81</v>
      </c>
      <c r="AGC26" s="11">
        <v>70251322.150000006</v>
      </c>
      <c r="AGD26" s="11">
        <v>7657273.3000000007</v>
      </c>
      <c r="AGE26" s="11">
        <v>5428683.4799999995</v>
      </c>
      <c r="AGF26" s="11">
        <v>2805155.47</v>
      </c>
      <c r="AGG26" s="11">
        <v>39668019.079999998</v>
      </c>
      <c r="AGH26" s="11">
        <v>8026778.9299999997</v>
      </c>
      <c r="AGI26" s="11">
        <v>2693546.3300000005</v>
      </c>
      <c r="AGJ26" s="11">
        <v>4759479.8899999997</v>
      </c>
      <c r="AGK26" s="11">
        <v>2727563.13</v>
      </c>
      <c r="AGL26" s="11">
        <v>4126423.45</v>
      </c>
      <c r="AGM26" s="11">
        <v>2856874.7800000003</v>
      </c>
      <c r="AGN26" s="11">
        <v>62369804.009999998</v>
      </c>
      <c r="AGO26" s="11">
        <v>17858305.449999999</v>
      </c>
      <c r="AGP26" s="11">
        <v>13957079.049999999</v>
      </c>
      <c r="AGQ26" s="11">
        <v>1933611.62</v>
      </c>
      <c r="AGR26" s="11">
        <v>7173075.370000001</v>
      </c>
      <c r="AGS26" s="11">
        <v>7279906.29</v>
      </c>
      <c r="AGT26" s="11">
        <v>1880979.2000000002</v>
      </c>
      <c r="AGU26" s="11">
        <v>2751657.8299999996</v>
      </c>
      <c r="AGV26" s="11">
        <v>215480336.03</v>
      </c>
      <c r="AGW26" s="11">
        <v>159809332.20000002</v>
      </c>
      <c r="AGX26" s="11">
        <v>4061371.1100000003</v>
      </c>
      <c r="AGY26" s="11">
        <v>15861232.1</v>
      </c>
      <c r="AGZ26" s="11">
        <v>17344393.5</v>
      </c>
      <c r="AHA26" s="11">
        <v>12687270.070000002</v>
      </c>
      <c r="AHB26" s="11">
        <v>8499629.1600000001</v>
      </c>
      <c r="AHC26" s="11">
        <v>8053145.9199999999</v>
      </c>
      <c r="AHD26" s="11">
        <v>1359386.42</v>
      </c>
      <c r="AHE26" s="11">
        <v>13697874.309999999</v>
      </c>
      <c r="AHF26" s="11">
        <v>6933056.6800000006</v>
      </c>
      <c r="AHG26" s="11">
        <v>5451737.7599999988</v>
      </c>
      <c r="AHH26" s="11">
        <v>6253733.0899999999</v>
      </c>
      <c r="AHI26" s="11">
        <v>14944331.220000001</v>
      </c>
      <c r="AHJ26" s="11">
        <v>3660039.06</v>
      </c>
      <c r="AHK26" s="11">
        <v>4543687.5</v>
      </c>
      <c r="AHL26" s="11">
        <v>9539132.3400000017</v>
      </c>
      <c r="AHM26" s="11">
        <v>101551354.42999999</v>
      </c>
      <c r="AHN26" s="11">
        <v>15001675.829999998</v>
      </c>
      <c r="AHO26" s="11">
        <v>4074164.6</v>
      </c>
      <c r="AHP26" s="11">
        <v>7905305.9900000002</v>
      </c>
      <c r="AHQ26" s="11">
        <v>26840018.049999997</v>
      </c>
      <c r="AHR26" s="11">
        <v>7466612.3499999996</v>
      </c>
      <c r="AHS26" s="11">
        <v>7617253.2800000003</v>
      </c>
      <c r="AHT26" s="11">
        <v>17744097818.652691</v>
      </c>
      <c r="AHU26" s="11"/>
    </row>
    <row r="27" spans="2:905" x14ac:dyDescent="0.7">
      <c r="B27" s="6" t="s">
        <v>35</v>
      </c>
      <c r="C27" s="6" t="s">
        <v>36</v>
      </c>
      <c r="D27" s="11">
        <v>40252303.670000002</v>
      </c>
      <c r="E27" s="11">
        <v>2679006.5799999996</v>
      </c>
      <c r="F27" s="11">
        <v>3877599.34</v>
      </c>
      <c r="G27" s="11">
        <v>1500196.22</v>
      </c>
      <c r="H27" s="11">
        <v>7178833.0700000003</v>
      </c>
      <c r="I27" s="11">
        <v>2451859.83</v>
      </c>
      <c r="J27" s="11">
        <v>5738511.3800000008</v>
      </c>
      <c r="K27" s="11">
        <v>2895410</v>
      </c>
      <c r="L27" s="11">
        <v>2743258.65</v>
      </c>
      <c r="M27" s="11">
        <v>1839134.55</v>
      </c>
      <c r="N27" s="11">
        <v>1511823.91</v>
      </c>
      <c r="O27" s="11">
        <v>1447936.72</v>
      </c>
      <c r="P27" s="11">
        <v>1480193.5999999999</v>
      </c>
      <c r="Q27" s="11">
        <v>1621446.63</v>
      </c>
      <c r="R27" s="11">
        <v>1439579.23</v>
      </c>
      <c r="S27" s="11">
        <v>3023068.29</v>
      </c>
      <c r="T27" s="11">
        <v>3281541.85</v>
      </c>
      <c r="U27" s="11">
        <v>658581.69999999995</v>
      </c>
      <c r="V27" s="11">
        <v>37018901.280000001</v>
      </c>
      <c r="W27" s="11">
        <v>9155742.5800000001</v>
      </c>
      <c r="X27" s="11">
        <v>1556236.9200000002</v>
      </c>
      <c r="Y27" s="11">
        <v>2966532.5</v>
      </c>
      <c r="Z27" s="11">
        <v>2033572.3299999998</v>
      </c>
      <c r="AA27" s="11">
        <v>2357538.2500000005</v>
      </c>
      <c r="AB27" s="11">
        <v>1081496.3400000001</v>
      </c>
      <c r="AC27" s="11">
        <v>12318332.33</v>
      </c>
      <c r="AD27" s="11">
        <v>2930062.27</v>
      </c>
      <c r="AE27" s="11">
        <v>979918.95</v>
      </c>
      <c r="AF27" s="11">
        <v>6120890.4900000002</v>
      </c>
      <c r="AG27" s="11">
        <v>1675129.77</v>
      </c>
      <c r="AH27" s="11">
        <v>9564018.1800000016</v>
      </c>
      <c r="AI27" s="11">
        <v>3393791.5799999996</v>
      </c>
      <c r="AJ27" s="11">
        <v>2149258.87</v>
      </c>
      <c r="AK27" s="11">
        <v>1022547.21</v>
      </c>
      <c r="AL27" s="11">
        <v>1172265.3999999999</v>
      </c>
      <c r="AM27" s="11">
        <v>2360377.94</v>
      </c>
      <c r="AN27" s="11">
        <v>944994.46</v>
      </c>
      <c r="AO27" s="11">
        <v>1511048.49</v>
      </c>
      <c r="AP27" s="11">
        <v>1701640.79</v>
      </c>
      <c r="AQ27" s="11">
        <v>1064380.1000000001</v>
      </c>
      <c r="AR27" s="11">
        <v>885971.08</v>
      </c>
      <c r="AS27" s="11">
        <v>767644.02000000014</v>
      </c>
      <c r="AT27" s="11">
        <v>17812857.91</v>
      </c>
      <c r="AU27" s="11">
        <v>912934.14</v>
      </c>
      <c r="AV27" s="11">
        <v>751854.69</v>
      </c>
      <c r="AW27" s="11">
        <v>1424256.59</v>
      </c>
      <c r="AX27" s="11">
        <v>2098075.64</v>
      </c>
      <c r="AY27" s="11">
        <v>2656584.1100000003</v>
      </c>
      <c r="AZ27" s="11">
        <v>1135077.2000000002</v>
      </c>
      <c r="BA27" s="11">
        <v>1165095.92</v>
      </c>
      <c r="BB27" s="11">
        <v>834236.8600000001</v>
      </c>
      <c r="BC27" s="11">
        <v>917943.02999999991</v>
      </c>
      <c r="BD27" s="11">
        <v>590692.82000000007</v>
      </c>
      <c r="BE27" s="11">
        <v>875898.06</v>
      </c>
      <c r="BF27" s="11">
        <v>3429019.85</v>
      </c>
      <c r="BG27" s="11">
        <v>852027.37</v>
      </c>
      <c r="BH27" s="11">
        <v>677163.83</v>
      </c>
      <c r="BI27" s="11">
        <v>13211513.630000003</v>
      </c>
      <c r="BJ27" s="11">
        <v>10049714.190000001</v>
      </c>
      <c r="BK27" s="11">
        <v>1533894.63</v>
      </c>
      <c r="BL27" s="11">
        <v>960828.59</v>
      </c>
      <c r="BM27" s="11">
        <v>2353574.9300000002</v>
      </c>
      <c r="BN27" s="11">
        <v>1870211.85</v>
      </c>
      <c r="BO27" s="11">
        <v>926136.93</v>
      </c>
      <c r="BP27" s="11">
        <v>297676.2</v>
      </c>
      <c r="BQ27" s="11">
        <v>324411.17000000004</v>
      </c>
      <c r="BR27" s="11">
        <v>19905556.16</v>
      </c>
      <c r="BS27" s="11">
        <v>2354855</v>
      </c>
      <c r="BT27" s="11">
        <v>2448636.6599999997</v>
      </c>
      <c r="BU27" s="11">
        <v>2847457.4099999997</v>
      </c>
      <c r="BV27" s="11">
        <v>2155315.5</v>
      </c>
      <c r="BW27" s="11">
        <v>1370421.35</v>
      </c>
      <c r="BX27" s="11">
        <v>1438668.03</v>
      </c>
      <c r="BY27" s="11">
        <v>1949043.64</v>
      </c>
      <c r="BZ27" s="11">
        <v>6459972.4199999999</v>
      </c>
      <c r="CA27" s="11">
        <v>1024801.94</v>
      </c>
      <c r="CB27" s="11">
        <v>2625753.5499999998</v>
      </c>
      <c r="CC27" s="11">
        <v>5369584.6499999994</v>
      </c>
      <c r="CD27" s="11">
        <v>1130244.53</v>
      </c>
      <c r="CE27" s="11">
        <v>1045310.24</v>
      </c>
      <c r="CF27" s="11">
        <v>1653479.41</v>
      </c>
      <c r="CG27" s="11">
        <v>49476815.420000002</v>
      </c>
      <c r="CH27" s="11">
        <v>2083714.5599999998</v>
      </c>
      <c r="CI27" s="11">
        <v>7585293.2599999998</v>
      </c>
      <c r="CJ27" s="11">
        <v>1251247.06</v>
      </c>
      <c r="CK27" s="11">
        <v>1481461.69</v>
      </c>
      <c r="CL27" s="11">
        <v>1782517.54</v>
      </c>
      <c r="CM27" s="11">
        <v>1387293.6800000002</v>
      </c>
      <c r="CN27" s="11">
        <v>3844989.89</v>
      </c>
      <c r="CO27" s="11">
        <v>1074095.5799999998</v>
      </c>
      <c r="CP27" s="11">
        <v>1486155.3099999998</v>
      </c>
      <c r="CQ27" s="11">
        <v>1330917</v>
      </c>
      <c r="CR27" s="11">
        <v>1832308.2</v>
      </c>
      <c r="CS27" s="11">
        <v>1413843.17</v>
      </c>
      <c r="CT27" s="11">
        <v>16871401.289999999</v>
      </c>
      <c r="CU27" s="11">
        <v>1371449.73</v>
      </c>
      <c r="CV27" s="11">
        <v>1379629.5899999999</v>
      </c>
      <c r="CW27" s="11">
        <v>3142392.56</v>
      </c>
      <c r="CX27" s="11">
        <v>817950.86</v>
      </c>
      <c r="CY27" s="11">
        <v>2789318.54</v>
      </c>
      <c r="CZ27" s="11">
        <v>1363510.96</v>
      </c>
      <c r="DA27" s="11">
        <v>706634.91999999993</v>
      </c>
      <c r="DB27" s="11">
        <v>13390348.999999998</v>
      </c>
      <c r="DC27" s="11">
        <v>23406147.91</v>
      </c>
      <c r="DD27" s="11">
        <v>1507156.34</v>
      </c>
      <c r="DE27" s="11">
        <v>1607190.9</v>
      </c>
      <c r="DF27" s="11">
        <v>2792202.0100000002</v>
      </c>
      <c r="DG27" s="11">
        <v>2601596.88</v>
      </c>
      <c r="DH27" s="11">
        <v>2276713.2799999998</v>
      </c>
      <c r="DI27" s="11">
        <v>2462076.8199999998</v>
      </c>
      <c r="DJ27" s="11">
        <v>1371100.42</v>
      </c>
      <c r="DK27" s="11">
        <v>44927549.329999998</v>
      </c>
      <c r="DL27" s="11">
        <v>2343151.58</v>
      </c>
      <c r="DM27" s="11">
        <v>3098978.4299999997</v>
      </c>
      <c r="DN27" s="11">
        <v>2889312.96</v>
      </c>
      <c r="DO27" s="11">
        <v>3206517.6799999997</v>
      </c>
      <c r="DP27" s="11">
        <v>3127400.14</v>
      </c>
      <c r="DQ27" s="11">
        <v>4372410.6899999995</v>
      </c>
      <c r="DR27" s="11">
        <v>2466018.6500000004</v>
      </c>
      <c r="DS27" s="11">
        <v>4187081.9099999997</v>
      </c>
      <c r="DT27" s="11">
        <v>20051408.789999995</v>
      </c>
      <c r="DU27" s="11">
        <v>2425713.48</v>
      </c>
      <c r="DV27" s="11">
        <v>6667003.1299999999</v>
      </c>
      <c r="DW27" s="11">
        <v>13404908.99</v>
      </c>
      <c r="DX27" s="11">
        <v>2669742.79</v>
      </c>
      <c r="DY27" s="11">
        <v>6317039.6600000001</v>
      </c>
      <c r="DZ27" s="11">
        <v>3126302.6799999997</v>
      </c>
      <c r="EA27" s="11">
        <v>588868.96</v>
      </c>
      <c r="EB27" s="11">
        <v>2024978.01</v>
      </c>
      <c r="EC27" s="11">
        <v>1095617.24</v>
      </c>
      <c r="ED27" s="11">
        <v>3797742.96</v>
      </c>
      <c r="EE27" s="11">
        <v>10115633.690000001</v>
      </c>
      <c r="EF27" s="11">
        <v>10176115.01</v>
      </c>
      <c r="EG27" s="11">
        <v>1644217.54</v>
      </c>
      <c r="EH27" s="11">
        <v>2134090.64</v>
      </c>
      <c r="EI27" s="11">
        <v>2001336.04</v>
      </c>
      <c r="EJ27" s="11">
        <v>2225060.2400000002</v>
      </c>
      <c r="EK27" s="11">
        <v>3430720.6699999995</v>
      </c>
      <c r="EL27" s="11">
        <v>1262956.31</v>
      </c>
      <c r="EM27" s="11">
        <v>2666376.9899999998</v>
      </c>
      <c r="EN27" s="11">
        <v>26342370.700000003</v>
      </c>
      <c r="EO27" s="11">
        <v>2534946.9899999998</v>
      </c>
      <c r="EP27" s="11">
        <v>1993879.17</v>
      </c>
      <c r="EQ27" s="11">
        <v>2430566.85</v>
      </c>
      <c r="ER27" s="11">
        <v>1662035.9000000001</v>
      </c>
      <c r="ES27" s="11">
        <v>1107106.1100000001</v>
      </c>
      <c r="ET27" s="11">
        <v>3216105.46</v>
      </c>
      <c r="EU27" s="11">
        <v>2962196.78</v>
      </c>
      <c r="EV27" s="11">
        <v>1890713.58</v>
      </c>
      <c r="EW27" s="11">
        <v>13572336.699999999</v>
      </c>
      <c r="EX27" s="11">
        <v>1176139.8999999999</v>
      </c>
      <c r="EY27" s="11">
        <v>2251424.7000000002</v>
      </c>
      <c r="EZ27" s="11">
        <v>2711590.35</v>
      </c>
      <c r="FA27" s="11">
        <v>3529525.49</v>
      </c>
      <c r="FB27" s="11">
        <v>2827561.84</v>
      </c>
      <c r="FC27" s="11">
        <v>2780270.59</v>
      </c>
      <c r="FD27" s="11">
        <v>2014042.77</v>
      </c>
      <c r="FE27" s="11">
        <v>1549198.43</v>
      </c>
      <c r="FF27" s="11">
        <v>1380966.7200000002</v>
      </c>
      <c r="FG27" s="11">
        <v>1443707.3800000001</v>
      </c>
      <c r="FH27" s="11">
        <v>1379260.44</v>
      </c>
      <c r="FI27" s="11">
        <v>20534727.760000002</v>
      </c>
      <c r="FJ27" s="11">
        <v>1186802.0799999998</v>
      </c>
      <c r="FK27" s="11">
        <v>1653864.99</v>
      </c>
      <c r="FL27" s="11">
        <v>1654220.3199999998</v>
      </c>
      <c r="FM27" s="11">
        <v>1947413.8</v>
      </c>
      <c r="FN27" s="11">
        <v>2318412.11</v>
      </c>
      <c r="FO27" s="11">
        <v>927916.44000000006</v>
      </c>
      <c r="FP27" s="11">
        <v>438930</v>
      </c>
      <c r="FQ27" s="11">
        <v>35939627.75</v>
      </c>
      <c r="FR27" s="11">
        <v>1847461.68</v>
      </c>
      <c r="FS27" s="11">
        <v>2984878.8000000003</v>
      </c>
      <c r="FT27" s="11">
        <v>2689607.71</v>
      </c>
      <c r="FU27" s="11">
        <v>3057979.15</v>
      </c>
      <c r="FV27" s="11">
        <v>2410334.6800000002</v>
      </c>
      <c r="FW27" s="11">
        <v>5369895.9000000004</v>
      </c>
      <c r="FX27" s="11">
        <v>2755425.29</v>
      </c>
      <c r="FY27" s="11">
        <v>2993317.3200000008</v>
      </c>
      <c r="FZ27" s="11">
        <v>2424891.8000000003</v>
      </c>
      <c r="GA27" s="11">
        <v>5087812.46</v>
      </c>
      <c r="GB27" s="11">
        <v>1801906.05</v>
      </c>
      <c r="GC27" s="11">
        <v>1397727.0999999999</v>
      </c>
      <c r="GD27" s="11">
        <v>844231.79999999993</v>
      </c>
      <c r="GE27" s="11">
        <v>15362635.909999998</v>
      </c>
      <c r="GF27" s="11">
        <v>1650869.8800000001</v>
      </c>
      <c r="GG27" s="11">
        <v>1255572.83</v>
      </c>
      <c r="GH27" s="11">
        <v>5272567.8199999994</v>
      </c>
      <c r="GI27" s="11">
        <v>2226453.2599999998</v>
      </c>
      <c r="GJ27" s="11">
        <v>2019442.19</v>
      </c>
      <c r="GK27" s="11">
        <v>2199895.19</v>
      </c>
      <c r="GL27" s="11">
        <v>4027502.43</v>
      </c>
      <c r="GM27" s="11">
        <v>1476056.7100000002</v>
      </c>
      <c r="GN27" s="11">
        <v>931254.69</v>
      </c>
      <c r="GO27" s="11">
        <v>820910.61</v>
      </c>
      <c r="GP27" s="11">
        <v>582403.48</v>
      </c>
      <c r="GQ27" s="11">
        <v>9993147.1199999992</v>
      </c>
      <c r="GR27" s="11">
        <v>3795573.21</v>
      </c>
      <c r="GS27" s="11">
        <v>2120192.19</v>
      </c>
      <c r="GT27" s="11">
        <v>4590783.0199999996</v>
      </c>
      <c r="GU27" s="11">
        <v>786668.42</v>
      </c>
      <c r="GV27" s="11">
        <v>1993610.77</v>
      </c>
      <c r="GW27" s="11">
        <v>2703282.38</v>
      </c>
      <c r="GX27" s="11">
        <v>1227394.1100000001</v>
      </c>
      <c r="GY27" s="11">
        <v>13164244.439999999</v>
      </c>
      <c r="GZ27" s="11">
        <v>1806570.6099999999</v>
      </c>
      <c r="HA27" s="11">
        <v>3068829.6500000004</v>
      </c>
      <c r="HB27" s="11">
        <v>2219357.25</v>
      </c>
      <c r="HC27" s="11">
        <v>38151947.400000006</v>
      </c>
      <c r="HD27" s="11">
        <v>3988857.74</v>
      </c>
      <c r="HE27" s="11">
        <v>4538765.71</v>
      </c>
      <c r="HF27" s="11">
        <v>4668676.18</v>
      </c>
      <c r="HG27" s="11">
        <v>2794621.44</v>
      </c>
      <c r="HH27" s="11">
        <v>4191264.66</v>
      </c>
      <c r="HI27" s="11">
        <v>1530982.43</v>
      </c>
      <c r="HJ27" s="11">
        <v>1767766.5399999998</v>
      </c>
      <c r="HK27" s="11">
        <v>22854350.089999996</v>
      </c>
      <c r="HL27" s="11">
        <v>2831686.6399999997</v>
      </c>
      <c r="HM27" s="11">
        <v>8331273.3599999994</v>
      </c>
      <c r="HN27" s="11">
        <v>2446612.3900000006</v>
      </c>
      <c r="HO27" s="11">
        <v>2007865.77</v>
      </c>
      <c r="HP27" s="11">
        <v>1820717.7</v>
      </c>
      <c r="HQ27" s="11">
        <v>2674721.58</v>
      </c>
      <c r="HR27" s="11">
        <v>2024229</v>
      </c>
      <c r="HS27" s="11">
        <v>23886377.5</v>
      </c>
      <c r="HT27" s="11">
        <v>11129580.07</v>
      </c>
      <c r="HU27" s="11">
        <v>1895092.49</v>
      </c>
      <c r="HV27" s="11">
        <v>2058493.9100000001</v>
      </c>
      <c r="HW27" s="11">
        <v>1387560.2399999998</v>
      </c>
      <c r="HX27" s="11">
        <v>1170119.47</v>
      </c>
      <c r="HY27" s="11">
        <v>5744879.0899999999</v>
      </c>
      <c r="HZ27" s="11">
        <v>1266481.4099999999</v>
      </c>
      <c r="IA27" s="11">
        <v>1768955</v>
      </c>
      <c r="IB27" s="11">
        <v>1681615.6199999999</v>
      </c>
      <c r="IC27" s="11">
        <v>1666337.04</v>
      </c>
      <c r="ID27" s="11">
        <v>3521687.65</v>
      </c>
      <c r="IE27" s="11">
        <v>908868.08000000007</v>
      </c>
      <c r="IF27" s="11">
        <v>2386457.48</v>
      </c>
      <c r="IG27" s="11">
        <v>1706288.91</v>
      </c>
      <c r="IH27" s="11">
        <v>1273426.8799999999</v>
      </c>
      <c r="II27" s="11">
        <v>22953754.339999996</v>
      </c>
      <c r="IJ27" s="11">
        <v>8020120.1200000001</v>
      </c>
      <c r="IK27" s="11">
        <v>1731944.56</v>
      </c>
      <c r="IL27" s="11">
        <v>3413567.87</v>
      </c>
      <c r="IM27" s="11">
        <v>6265934.2000000002</v>
      </c>
      <c r="IN27" s="11">
        <v>2013233.52</v>
      </c>
      <c r="IO27" s="11">
        <v>1688861.75</v>
      </c>
      <c r="IP27" s="11">
        <v>1631466.9700000002</v>
      </c>
      <c r="IQ27" s="11">
        <v>1347990.69</v>
      </c>
      <c r="IR27" s="11">
        <v>1681067.2799999998</v>
      </c>
      <c r="IS27" s="11">
        <v>1551587.2400000002</v>
      </c>
      <c r="IT27" s="11">
        <v>34704916.060000002</v>
      </c>
      <c r="IU27" s="11">
        <v>14826692.26</v>
      </c>
      <c r="IV27" s="11">
        <v>2689189.64</v>
      </c>
      <c r="IW27" s="11">
        <v>3036999.5400000005</v>
      </c>
      <c r="IX27" s="11">
        <v>1285806.3999999999</v>
      </c>
      <c r="IY27" s="11">
        <v>936145.42</v>
      </c>
      <c r="IZ27" s="11">
        <v>1949674.3064999999</v>
      </c>
      <c r="JA27" s="11">
        <v>903035.27</v>
      </c>
      <c r="JB27" s="11">
        <v>1354378.44</v>
      </c>
      <c r="JC27" s="11">
        <v>2135072.9500000002</v>
      </c>
      <c r="JD27" s="11">
        <v>3046283.7599999993</v>
      </c>
      <c r="JE27" s="11">
        <v>1174366.1900000002</v>
      </c>
      <c r="JF27" s="11">
        <v>13895923.819999998</v>
      </c>
      <c r="JG27" s="11">
        <v>6297356.9500000011</v>
      </c>
      <c r="JH27" s="11">
        <v>1643860.46</v>
      </c>
      <c r="JI27" s="11">
        <v>1088664.1000000001</v>
      </c>
      <c r="JJ27" s="11">
        <v>1390306.77</v>
      </c>
      <c r="JK27" s="11">
        <v>1083624.1700000002</v>
      </c>
      <c r="JL27" s="11">
        <v>12678472.99</v>
      </c>
      <c r="JM27" s="11">
        <v>1607962.24</v>
      </c>
      <c r="JN27" s="11">
        <v>1517507.7599999998</v>
      </c>
      <c r="JO27" s="11">
        <v>2810834.11</v>
      </c>
      <c r="JP27" s="11">
        <v>1761974.19</v>
      </c>
      <c r="JQ27" s="11">
        <v>3562088.4</v>
      </c>
      <c r="JR27" s="11">
        <v>1575846.2</v>
      </c>
      <c r="JS27" s="11">
        <v>28060509.549999997</v>
      </c>
      <c r="JT27" s="11">
        <v>10538212.73</v>
      </c>
      <c r="JU27" s="11">
        <v>1958091.02</v>
      </c>
      <c r="JV27" s="11">
        <v>1015485.15</v>
      </c>
      <c r="JW27" s="11">
        <v>2628733.6199999996</v>
      </c>
      <c r="JX27" s="11">
        <v>757359.46</v>
      </c>
      <c r="JY27" s="11">
        <v>6559390.7199999997</v>
      </c>
      <c r="JZ27" s="11">
        <v>2827428.8000000003</v>
      </c>
      <c r="KA27" s="11">
        <v>2333796.5</v>
      </c>
      <c r="KB27" s="11">
        <v>2749333.7</v>
      </c>
      <c r="KC27" s="11">
        <v>2674348.8899999997</v>
      </c>
      <c r="KD27" s="11">
        <v>2490290.7199999997</v>
      </c>
      <c r="KE27" s="11">
        <v>887940.02</v>
      </c>
      <c r="KF27" s="11">
        <v>685571.95</v>
      </c>
      <c r="KG27" s="11">
        <v>1471633.55</v>
      </c>
      <c r="KH27" s="11">
        <v>1103639.42</v>
      </c>
      <c r="KI27" s="11">
        <v>28986135.010000002</v>
      </c>
      <c r="KJ27" s="11">
        <v>6019424.5899999999</v>
      </c>
      <c r="KK27" s="11">
        <v>2927453.77</v>
      </c>
      <c r="KL27" s="11">
        <v>2893876.9200000004</v>
      </c>
      <c r="KM27" s="11">
        <v>3346919.1</v>
      </c>
      <c r="KN27" s="11">
        <v>3942663.14</v>
      </c>
      <c r="KO27" s="11">
        <v>10256568.549999999</v>
      </c>
      <c r="KP27" s="11">
        <v>1039820.93</v>
      </c>
      <c r="KQ27" s="11">
        <v>1749057.8599999999</v>
      </c>
      <c r="KR27" s="11">
        <v>14725907.350000001</v>
      </c>
      <c r="KS27" s="11">
        <v>2166655.12</v>
      </c>
      <c r="KT27" s="11">
        <v>2683133.16</v>
      </c>
      <c r="KU27" s="11">
        <v>7806482.2699999996</v>
      </c>
      <c r="KV27" s="11">
        <v>1467873.4200000002</v>
      </c>
      <c r="KW27" s="11">
        <v>3298550.17</v>
      </c>
      <c r="KX27" s="11">
        <v>27063433.66</v>
      </c>
      <c r="KY27" s="11">
        <v>3379464.76</v>
      </c>
      <c r="KZ27" s="11">
        <v>25240839.57</v>
      </c>
      <c r="LA27" s="11">
        <v>2633125.9499999997</v>
      </c>
      <c r="LB27" s="11">
        <v>1516281.1999999997</v>
      </c>
      <c r="LC27" s="11">
        <v>3179216.4699999997</v>
      </c>
      <c r="LD27" s="11">
        <v>4266882.1399999997</v>
      </c>
      <c r="LE27" s="11">
        <v>2181500.79</v>
      </c>
      <c r="LF27" s="11">
        <v>2409751.9899999998</v>
      </c>
      <c r="LG27" s="11">
        <v>1893448.8199999998</v>
      </c>
      <c r="LH27" s="11">
        <v>30222689.649999999</v>
      </c>
      <c r="LI27" s="11">
        <v>10179800.200000001</v>
      </c>
      <c r="LJ27" s="11">
        <v>11267480.870000001</v>
      </c>
      <c r="LK27" s="11">
        <v>12515047.32</v>
      </c>
      <c r="LL27" s="11">
        <v>1943336.8100000003</v>
      </c>
      <c r="LM27" s="11">
        <v>1760277.7499999998</v>
      </c>
      <c r="LN27" s="11">
        <v>1304106.52</v>
      </c>
      <c r="LO27" s="11">
        <v>2396250.7800000003</v>
      </c>
      <c r="LP27" s="11">
        <v>462662.94</v>
      </c>
      <c r="LQ27" s="11">
        <v>2835020.37</v>
      </c>
      <c r="LR27" s="11">
        <v>916698.6100000001</v>
      </c>
      <c r="LS27" s="11">
        <v>12542925.74</v>
      </c>
      <c r="LT27" s="11">
        <v>3148164</v>
      </c>
      <c r="LU27" s="11">
        <v>1587108.71</v>
      </c>
      <c r="LV27" s="11">
        <v>42209678.890000001</v>
      </c>
      <c r="LW27" s="11">
        <v>16607136.389999999</v>
      </c>
      <c r="LX27" s="11">
        <v>29205282.25</v>
      </c>
      <c r="LY27" s="11">
        <v>11372986.82</v>
      </c>
      <c r="LZ27" s="11">
        <v>5793665.2200000007</v>
      </c>
      <c r="MA27" s="11">
        <v>4895977.17</v>
      </c>
      <c r="MB27" s="11">
        <v>3036987.6899999995</v>
      </c>
      <c r="MC27" s="11">
        <v>3321646.81</v>
      </c>
      <c r="MD27" s="11">
        <v>2795748.3899999997</v>
      </c>
      <c r="ME27" s="11">
        <v>3031314.38</v>
      </c>
      <c r="MF27" s="11">
        <v>7428889.8600000003</v>
      </c>
      <c r="MG27" s="11">
        <v>2151050.79</v>
      </c>
      <c r="MH27" s="11">
        <v>37353121.289999999</v>
      </c>
      <c r="MI27" s="11">
        <v>2168981.71</v>
      </c>
      <c r="MJ27" s="11">
        <v>1170027.2400000002</v>
      </c>
      <c r="MK27" s="11">
        <v>1461170.27</v>
      </c>
      <c r="ML27" s="11">
        <v>1092051.99</v>
      </c>
      <c r="MM27" s="11">
        <v>2077284.9100000001</v>
      </c>
      <c r="MN27" s="11">
        <v>1704602.83</v>
      </c>
      <c r="MO27" s="11">
        <v>1401256.4000000001</v>
      </c>
      <c r="MP27" s="11">
        <v>2184647.7300000004</v>
      </c>
      <c r="MQ27" s="11">
        <v>1809377.3399999999</v>
      </c>
      <c r="MR27" s="11">
        <v>1904344.0699999998</v>
      </c>
      <c r="MS27" s="11">
        <v>1455143.32</v>
      </c>
      <c r="MT27" s="11">
        <v>30224709.68</v>
      </c>
      <c r="MU27" s="11">
        <v>1835630.44</v>
      </c>
      <c r="MV27" s="11">
        <v>1578506.9100000001</v>
      </c>
      <c r="MW27" s="11">
        <v>2868502.6</v>
      </c>
      <c r="MX27" s="11">
        <v>3317736.0799999996</v>
      </c>
      <c r="MY27" s="11">
        <v>2396396.91</v>
      </c>
      <c r="MZ27" s="11">
        <v>6721877.9600000009</v>
      </c>
      <c r="NA27" s="11">
        <v>3925377.69</v>
      </c>
      <c r="NB27" s="11">
        <v>325732.34999999998</v>
      </c>
      <c r="NC27" s="11">
        <v>891824.12000000011</v>
      </c>
      <c r="ND27" s="11">
        <v>619020.85000000009</v>
      </c>
      <c r="NE27" s="11">
        <v>56280892.300000004</v>
      </c>
      <c r="NF27" s="11">
        <v>8227414.1500000004</v>
      </c>
      <c r="NG27" s="11">
        <v>1846599.64</v>
      </c>
      <c r="NH27" s="11">
        <v>14576594.51</v>
      </c>
      <c r="NI27" s="11">
        <v>1783877.8199999998</v>
      </c>
      <c r="NJ27" s="11">
        <v>4955998.84</v>
      </c>
      <c r="NK27" s="11">
        <v>12735032.790000001</v>
      </c>
      <c r="NL27" s="11">
        <v>9264226.5900000017</v>
      </c>
      <c r="NM27" s="11">
        <v>1459553.48</v>
      </c>
      <c r="NN27" s="11">
        <v>2627327.7399999998</v>
      </c>
      <c r="NO27" s="11">
        <v>2831718.45</v>
      </c>
      <c r="NP27" s="11">
        <v>2055760.0499999998</v>
      </c>
      <c r="NQ27" s="11">
        <v>13718029.639999999</v>
      </c>
      <c r="NR27" s="11">
        <v>1600945.94</v>
      </c>
      <c r="NS27" s="11">
        <v>1508943.93</v>
      </c>
      <c r="NT27" s="11">
        <v>1729608.27</v>
      </c>
      <c r="NU27" s="11">
        <v>1339524.6599999999</v>
      </c>
      <c r="NV27" s="11">
        <v>550512.93999999994</v>
      </c>
      <c r="NW27" s="11">
        <v>944058.75999999989</v>
      </c>
      <c r="NX27" s="11">
        <v>29203773.27</v>
      </c>
      <c r="NY27" s="11">
        <v>10527773.65</v>
      </c>
      <c r="NZ27" s="11">
        <v>1758890.49</v>
      </c>
      <c r="OA27" s="11">
        <v>1026791.4299999999</v>
      </c>
      <c r="OB27" s="11">
        <v>1858998.88</v>
      </c>
      <c r="OC27" s="11">
        <v>3239754.42</v>
      </c>
      <c r="OD27" s="11">
        <v>1590303.2100000002</v>
      </c>
      <c r="OE27" s="11">
        <v>41642411.590000004</v>
      </c>
      <c r="OF27" s="11">
        <v>8919225.7199999988</v>
      </c>
      <c r="OG27" s="11">
        <v>4718865.17</v>
      </c>
      <c r="OH27" s="11">
        <v>8461132.5</v>
      </c>
      <c r="OI27" s="11">
        <v>2158673.2599999998</v>
      </c>
      <c r="OJ27" s="11">
        <v>3013856.2</v>
      </c>
      <c r="OK27" s="11">
        <v>3121044.6699999995</v>
      </c>
      <c r="OL27" s="11">
        <v>1868059.67</v>
      </c>
      <c r="OM27" s="11">
        <v>2340424.0299999998</v>
      </c>
      <c r="ON27" s="11">
        <v>31696050.160000004</v>
      </c>
      <c r="OO27" s="11">
        <v>5777819.7399999993</v>
      </c>
      <c r="OP27" s="11">
        <v>11029993.929999998</v>
      </c>
      <c r="OQ27" s="11">
        <v>3807049.33</v>
      </c>
      <c r="OR27" s="11">
        <v>3236867.5700000003</v>
      </c>
      <c r="OS27" s="11">
        <v>1583161.2500000002</v>
      </c>
      <c r="OT27" s="11">
        <v>16669712.27</v>
      </c>
      <c r="OU27" s="11">
        <v>1835824.09</v>
      </c>
      <c r="OV27" s="11">
        <v>1660904.54</v>
      </c>
      <c r="OW27" s="11">
        <v>3764107.8300000005</v>
      </c>
      <c r="OX27" s="11">
        <v>3598185.14</v>
      </c>
      <c r="OY27" s="11">
        <v>6761614.3399999999</v>
      </c>
      <c r="OZ27" s="11">
        <v>2504892.7600000002</v>
      </c>
      <c r="PA27" s="11">
        <v>1172782.96</v>
      </c>
      <c r="PB27" s="11">
        <v>1227770.54</v>
      </c>
      <c r="PC27" s="11">
        <v>26918386.129999999</v>
      </c>
      <c r="PD27" s="11">
        <v>1131174.6500000001</v>
      </c>
      <c r="PE27" s="11">
        <v>3164111.2</v>
      </c>
      <c r="PF27" s="11">
        <v>1057535.04</v>
      </c>
      <c r="PG27" s="11">
        <v>3041616.2600000002</v>
      </c>
      <c r="PH27" s="11">
        <v>4201320.0599999996</v>
      </c>
      <c r="PI27" s="11">
        <v>1543987.78</v>
      </c>
      <c r="PJ27" s="11">
        <v>1563830.39</v>
      </c>
      <c r="PK27" s="11">
        <v>1776613.54</v>
      </c>
      <c r="PL27" s="11">
        <v>1673316.64</v>
      </c>
      <c r="PM27" s="11">
        <v>2805303.71</v>
      </c>
      <c r="PN27" s="11">
        <v>2757162.84</v>
      </c>
      <c r="PO27" s="11">
        <v>1186500.24</v>
      </c>
      <c r="PP27" s="11">
        <v>5332202.75</v>
      </c>
      <c r="PQ27" s="11">
        <v>1175098.26</v>
      </c>
      <c r="PR27" s="11">
        <v>818477.29</v>
      </c>
      <c r="PS27" s="11">
        <v>382637.43</v>
      </c>
      <c r="PT27" s="11">
        <v>995136.3600000001</v>
      </c>
      <c r="PU27" s="11">
        <v>56501370</v>
      </c>
      <c r="PV27" s="11">
        <v>2396302.3800000008</v>
      </c>
      <c r="PW27" s="11">
        <v>1381115.22</v>
      </c>
      <c r="PX27" s="11">
        <v>3239405.47</v>
      </c>
      <c r="PY27" s="11">
        <v>13646409.089999998</v>
      </c>
      <c r="PZ27" s="11">
        <v>3172661.07</v>
      </c>
      <c r="QA27" s="11">
        <v>3986484.83</v>
      </c>
      <c r="QB27" s="11">
        <v>1190702.58</v>
      </c>
      <c r="QC27" s="11">
        <v>6021183.7999999998</v>
      </c>
      <c r="QD27" s="11">
        <v>1213988.1399999999</v>
      </c>
      <c r="QE27" s="11">
        <v>4116391.9099999997</v>
      </c>
      <c r="QF27" s="11">
        <v>1495882.8999999997</v>
      </c>
      <c r="QG27" s="11">
        <v>2153166.14</v>
      </c>
      <c r="QH27" s="11">
        <v>2735436.32</v>
      </c>
      <c r="QI27" s="11">
        <v>2852870.57</v>
      </c>
      <c r="QJ27" s="11">
        <v>3017279.5300000003</v>
      </c>
      <c r="QK27" s="11">
        <v>1728029.35</v>
      </c>
      <c r="QL27" s="11">
        <v>1417893.7300000002</v>
      </c>
      <c r="QM27" s="11">
        <v>1109376.94</v>
      </c>
      <c r="QN27" s="11">
        <v>5185012.32</v>
      </c>
      <c r="QO27" s="11">
        <v>6390829.2000000002</v>
      </c>
      <c r="QP27" s="11">
        <v>1288386.1100000001</v>
      </c>
      <c r="QQ27" s="11">
        <v>582991.96</v>
      </c>
      <c r="QR27" s="11">
        <v>553461.48</v>
      </c>
      <c r="QS27" s="11">
        <v>497603.44999999995</v>
      </c>
      <c r="QT27" s="11">
        <v>704947.26</v>
      </c>
      <c r="QU27" s="11">
        <v>31985961.520000003</v>
      </c>
      <c r="QV27" s="11">
        <v>1192288.76</v>
      </c>
      <c r="QW27" s="11">
        <v>4543904.28</v>
      </c>
      <c r="QX27" s="11">
        <v>1772518.53</v>
      </c>
      <c r="QY27" s="11">
        <v>2327391.4200000004</v>
      </c>
      <c r="QZ27" s="11">
        <v>5631242.6699999999</v>
      </c>
      <c r="RA27" s="11">
        <v>2259566.29</v>
      </c>
      <c r="RB27" s="11">
        <v>3980315.63</v>
      </c>
      <c r="RC27" s="11">
        <v>4127632.7300000004</v>
      </c>
      <c r="RD27" s="11">
        <v>1408313.47</v>
      </c>
      <c r="RE27" s="11">
        <v>1230263.6300000001</v>
      </c>
      <c r="RF27" s="11">
        <v>1095170.8399999999</v>
      </c>
      <c r="RG27" s="11">
        <v>859943.71</v>
      </c>
      <c r="RH27" s="11">
        <v>31413483.779999997</v>
      </c>
      <c r="RI27" s="11">
        <v>3929028.2100000004</v>
      </c>
      <c r="RJ27" s="11">
        <v>1339123.8</v>
      </c>
      <c r="RK27" s="11">
        <v>1734774.12</v>
      </c>
      <c r="RL27" s="11">
        <v>1594148.0599999998</v>
      </c>
      <c r="RM27" s="11">
        <v>2129580.3899999997</v>
      </c>
      <c r="RN27" s="11">
        <v>5762049.8000000007</v>
      </c>
      <c r="RO27" s="11">
        <v>1682856.5499999998</v>
      </c>
      <c r="RP27" s="11">
        <v>2527354.1</v>
      </c>
      <c r="RQ27" s="11">
        <v>5173532.59</v>
      </c>
      <c r="RR27" s="11">
        <v>5084792.3499999996</v>
      </c>
      <c r="RS27" s="11">
        <v>1194705.49</v>
      </c>
      <c r="RT27" s="11">
        <v>1114496.6000000001</v>
      </c>
      <c r="RU27" s="11">
        <v>1614021.73</v>
      </c>
      <c r="RV27" s="11">
        <v>912037.37999999989</v>
      </c>
      <c r="RW27" s="11">
        <v>1381661.1300000001</v>
      </c>
      <c r="RX27" s="11">
        <v>1636007.4200000002</v>
      </c>
      <c r="RY27" s="11">
        <v>795606.19</v>
      </c>
      <c r="RZ27" s="11">
        <v>632309.78999999992</v>
      </c>
      <c r="SA27" s="11">
        <v>792113.31</v>
      </c>
      <c r="SB27" s="11">
        <v>16300801.390000001</v>
      </c>
      <c r="SC27" s="11">
        <v>2397908.3099999996</v>
      </c>
      <c r="SD27" s="11">
        <v>1864513.97</v>
      </c>
      <c r="SE27" s="11">
        <v>1133777.83</v>
      </c>
      <c r="SF27" s="11">
        <v>980355.29</v>
      </c>
      <c r="SG27" s="11">
        <v>1901100.5699999998</v>
      </c>
      <c r="SH27" s="11">
        <v>2048314.28</v>
      </c>
      <c r="SI27" s="11">
        <v>3931273.9</v>
      </c>
      <c r="SJ27" s="11">
        <v>1683029.1099999999</v>
      </c>
      <c r="SK27" s="11">
        <v>1908840.0299999998</v>
      </c>
      <c r="SL27" s="11">
        <v>4629414.1500000004</v>
      </c>
      <c r="SM27" s="11">
        <v>519919.81000000006</v>
      </c>
      <c r="SN27" s="11">
        <v>10906830.640000001</v>
      </c>
      <c r="SO27" s="11">
        <v>2152799.7000000002</v>
      </c>
      <c r="SP27" s="11">
        <v>2380770.31</v>
      </c>
      <c r="SQ27" s="11">
        <v>3500103.96</v>
      </c>
      <c r="SR27" s="11">
        <v>1960686.5100000002</v>
      </c>
      <c r="SS27" s="11">
        <v>1647575.01</v>
      </c>
      <c r="ST27" s="11">
        <v>1645379.37</v>
      </c>
      <c r="SU27" s="11">
        <v>768904.87</v>
      </c>
      <c r="SV27" s="11">
        <v>16159979.780000001</v>
      </c>
      <c r="SW27" s="11">
        <v>1250344.57</v>
      </c>
      <c r="SX27" s="11">
        <v>2399875.4700000002</v>
      </c>
      <c r="SY27" s="11">
        <v>2592769.3899999997</v>
      </c>
      <c r="SZ27" s="11">
        <v>902624.14000000013</v>
      </c>
      <c r="TA27" s="11">
        <v>756514.54999999993</v>
      </c>
      <c r="TB27" s="11">
        <v>952607.5</v>
      </c>
      <c r="TC27" s="11">
        <v>4228703.42</v>
      </c>
      <c r="TD27" s="11">
        <v>1358809.78</v>
      </c>
      <c r="TE27" s="11">
        <v>1107243.45</v>
      </c>
      <c r="TF27" s="11">
        <v>1994067.8900000001</v>
      </c>
      <c r="TG27" s="11">
        <v>1663011.8899999997</v>
      </c>
      <c r="TH27" s="11">
        <v>1514529.02</v>
      </c>
      <c r="TI27" s="11">
        <v>1003355.3200000001</v>
      </c>
      <c r="TJ27" s="11">
        <v>34649035.630000003</v>
      </c>
      <c r="TK27" s="11">
        <v>1796469.58</v>
      </c>
      <c r="TL27" s="11">
        <v>1365491.58</v>
      </c>
      <c r="TM27" s="11">
        <v>3357834.9</v>
      </c>
      <c r="TN27" s="11">
        <v>3055157.94</v>
      </c>
      <c r="TO27" s="11">
        <v>2081116.01</v>
      </c>
      <c r="TP27" s="11">
        <v>718558.98</v>
      </c>
      <c r="TQ27" s="11">
        <v>7025972.9699999997</v>
      </c>
      <c r="TR27" s="11">
        <v>1611098.9</v>
      </c>
      <c r="TS27" s="11">
        <v>3906913.5199999996</v>
      </c>
      <c r="TT27" s="11">
        <v>3057356.7099999995</v>
      </c>
      <c r="TU27" s="11">
        <v>1376677.8900000001</v>
      </c>
      <c r="TV27" s="11">
        <v>1149570.25</v>
      </c>
      <c r="TW27" s="11">
        <v>1633979.75</v>
      </c>
      <c r="TX27" s="11">
        <v>1474319.5499999998</v>
      </c>
      <c r="TY27" s="11">
        <v>1520847.97</v>
      </c>
      <c r="TZ27" s="11">
        <v>11416637.209999999</v>
      </c>
      <c r="UA27" s="11">
        <v>1529734.3699999999</v>
      </c>
      <c r="UB27" s="11">
        <v>15210646.960000001</v>
      </c>
      <c r="UC27" s="11">
        <v>4179132.6600000006</v>
      </c>
      <c r="UD27" s="11">
        <v>987436.64999999991</v>
      </c>
      <c r="UE27" s="11">
        <v>1886389.9300000002</v>
      </c>
      <c r="UF27" s="11">
        <v>9428541.25</v>
      </c>
      <c r="UG27" s="11">
        <v>942893.44</v>
      </c>
      <c r="UH27" s="11">
        <v>430365.92000000004</v>
      </c>
      <c r="UI27" s="11">
        <v>1179106.94</v>
      </c>
      <c r="UJ27" s="11">
        <v>1061729.57</v>
      </c>
      <c r="UK27" s="11">
        <v>13912198.99</v>
      </c>
      <c r="UL27" s="11">
        <v>3676346.81</v>
      </c>
      <c r="UM27" s="11">
        <v>2268014.88</v>
      </c>
      <c r="UN27" s="11">
        <v>3964863.65</v>
      </c>
      <c r="UO27" s="11">
        <v>2350464.77</v>
      </c>
      <c r="UP27" s="11">
        <v>1938979.5299999998</v>
      </c>
      <c r="UQ27" s="11">
        <v>55977133.539999999</v>
      </c>
      <c r="UR27" s="11">
        <v>3113314.67</v>
      </c>
      <c r="US27" s="11">
        <v>2053123.95</v>
      </c>
      <c r="UT27" s="11">
        <v>12785907.27</v>
      </c>
      <c r="UU27" s="11">
        <v>731770.17999999993</v>
      </c>
      <c r="UV27" s="11">
        <v>2128052.09</v>
      </c>
      <c r="UW27" s="11">
        <v>6287826.2000000002</v>
      </c>
      <c r="UX27" s="11">
        <v>1615347.9</v>
      </c>
      <c r="UY27" s="11">
        <v>1538764.7999999998</v>
      </c>
      <c r="UZ27" s="11">
        <v>1728266.6800000002</v>
      </c>
      <c r="VA27" s="11">
        <v>2330590.04</v>
      </c>
      <c r="VB27" s="11">
        <v>5235937.93</v>
      </c>
      <c r="VC27" s="11">
        <v>2637583.7799999998</v>
      </c>
      <c r="VD27" s="11">
        <v>5074713.3999999994</v>
      </c>
      <c r="VE27" s="11">
        <v>1658703.8</v>
      </c>
      <c r="VF27" s="11">
        <v>1489786.8499999999</v>
      </c>
      <c r="VG27" s="11">
        <v>1175775.1399999999</v>
      </c>
      <c r="VH27" s="11">
        <v>1517052.73</v>
      </c>
      <c r="VI27" s="11">
        <v>5837631.25</v>
      </c>
      <c r="VJ27" s="11">
        <v>588665.64</v>
      </c>
      <c r="VK27" s="11">
        <v>1133368.3499999999</v>
      </c>
      <c r="VL27" s="11">
        <v>696349.32000000007</v>
      </c>
      <c r="VM27" s="11">
        <v>29116747.119999997</v>
      </c>
      <c r="VN27" s="11">
        <v>2161653.9200000004</v>
      </c>
      <c r="VO27" s="11">
        <v>2070821.52</v>
      </c>
      <c r="VP27" s="11">
        <v>3022436.8000000003</v>
      </c>
      <c r="VQ27" s="11">
        <v>6271355.3399999999</v>
      </c>
      <c r="VR27" s="11">
        <v>4912794.76</v>
      </c>
      <c r="VS27" s="11">
        <v>3081546.5900000003</v>
      </c>
      <c r="VT27" s="11">
        <v>2467448.0099999998</v>
      </c>
      <c r="VU27" s="11">
        <v>2668509.7799999998</v>
      </c>
      <c r="VV27" s="11">
        <v>9117752.4000000004</v>
      </c>
      <c r="VW27" s="11">
        <v>2072919.23</v>
      </c>
      <c r="VX27" s="11">
        <v>3485742.3199999994</v>
      </c>
      <c r="VY27" s="11">
        <v>2149081.4299999997</v>
      </c>
      <c r="VZ27" s="11">
        <v>1648604.79</v>
      </c>
      <c r="WA27" s="11">
        <v>1255662.2</v>
      </c>
      <c r="WB27" s="11">
        <v>87134025.510000005</v>
      </c>
      <c r="WC27" s="11">
        <v>4117084.14</v>
      </c>
      <c r="WD27" s="11">
        <v>2865954.54</v>
      </c>
      <c r="WE27" s="11">
        <v>2368924.0300000003</v>
      </c>
      <c r="WF27" s="11">
        <v>1370088.5199999998</v>
      </c>
      <c r="WG27" s="11">
        <v>3998195.0999999996</v>
      </c>
      <c r="WH27" s="11">
        <v>3982430.66</v>
      </c>
      <c r="WI27" s="11">
        <v>5316567.09</v>
      </c>
      <c r="WJ27" s="11">
        <v>2640992.71</v>
      </c>
      <c r="WK27" s="11">
        <v>4288659.1000000006</v>
      </c>
      <c r="WL27" s="11">
        <v>2106876.62</v>
      </c>
      <c r="WM27" s="11">
        <v>9448570.3899999987</v>
      </c>
      <c r="WN27" s="11">
        <v>2851571.0000000005</v>
      </c>
      <c r="WO27" s="11">
        <v>5368878.6000000006</v>
      </c>
      <c r="WP27" s="11">
        <v>6819109.1199999992</v>
      </c>
      <c r="WQ27" s="11">
        <v>2155953.2999999998</v>
      </c>
      <c r="WR27" s="11">
        <v>3159157.3400000003</v>
      </c>
      <c r="WS27" s="11">
        <v>3502456.5200000005</v>
      </c>
      <c r="WT27" s="11">
        <v>1273369.8999999999</v>
      </c>
      <c r="WU27" s="11">
        <v>5769735.8000000007</v>
      </c>
      <c r="WV27" s="11">
        <v>16271365.609999999</v>
      </c>
      <c r="WW27" s="11">
        <v>2362219.0399999996</v>
      </c>
      <c r="WX27" s="11">
        <v>1502123.8199999998</v>
      </c>
      <c r="WY27" s="11">
        <v>1544876.07</v>
      </c>
      <c r="WZ27" s="11">
        <v>1737227.37</v>
      </c>
      <c r="XA27" s="11">
        <v>1206946.08</v>
      </c>
      <c r="XB27" s="11">
        <v>1390582.61</v>
      </c>
      <c r="XC27" s="11">
        <v>1499855.75</v>
      </c>
      <c r="XD27" s="11">
        <v>9154497.6300000008</v>
      </c>
      <c r="XE27" s="11">
        <v>1357884.21</v>
      </c>
      <c r="XF27" s="11">
        <v>827941.43</v>
      </c>
      <c r="XG27" s="11">
        <v>1097191.1499999999</v>
      </c>
      <c r="XH27" s="11">
        <v>733669.23</v>
      </c>
      <c r="XI27" s="11">
        <v>42655885.82</v>
      </c>
      <c r="XJ27" s="11">
        <v>3390972.83</v>
      </c>
      <c r="XK27" s="11">
        <v>3252940.9899999998</v>
      </c>
      <c r="XL27" s="11">
        <v>12736380.49</v>
      </c>
      <c r="XM27" s="11">
        <v>2614767.4</v>
      </c>
      <c r="XN27" s="11">
        <v>4342384.6500000004</v>
      </c>
      <c r="XO27" s="11">
        <v>5553034.5800000001</v>
      </c>
      <c r="XP27" s="11">
        <v>2424949.8400000003</v>
      </c>
      <c r="XQ27" s="11">
        <v>2093661.83</v>
      </c>
      <c r="XR27" s="11">
        <v>5474153.5299999993</v>
      </c>
      <c r="XS27" s="11">
        <v>4489994.01</v>
      </c>
      <c r="XT27" s="11">
        <v>1598005.36</v>
      </c>
      <c r="XU27" s="11">
        <v>1973407.47</v>
      </c>
      <c r="XV27" s="11">
        <v>1896768.27</v>
      </c>
      <c r="XW27" s="11">
        <v>1435138.1999999997</v>
      </c>
      <c r="XX27" s="11">
        <v>1740723.1300000001</v>
      </c>
      <c r="XY27" s="11">
        <v>1170802.56</v>
      </c>
      <c r="XZ27" s="11">
        <v>1669650.76</v>
      </c>
      <c r="YA27" s="11">
        <v>1557570.01</v>
      </c>
      <c r="YB27" s="11">
        <v>1068660.18</v>
      </c>
      <c r="YC27" s="11">
        <v>1241098.5699999998</v>
      </c>
      <c r="YD27" s="11">
        <v>1142888.5399999998</v>
      </c>
      <c r="YE27" s="11">
        <v>1146109.7500000002</v>
      </c>
      <c r="YF27" s="11">
        <v>35978660.390000001</v>
      </c>
      <c r="YG27" s="11">
        <v>2053125.54</v>
      </c>
      <c r="YH27" s="11">
        <v>4260304.8</v>
      </c>
      <c r="YI27" s="11">
        <v>2213920.58</v>
      </c>
      <c r="YJ27" s="11">
        <v>7152351.6699999999</v>
      </c>
      <c r="YK27" s="11">
        <v>1793143.4800000002</v>
      </c>
      <c r="YL27" s="11">
        <v>3963165.47</v>
      </c>
      <c r="YM27" s="11">
        <v>1980374.5899999999</v>
      </c>
      <c r="YN27" s="11">
        <v>7480690.5599999996</v>
      </c>
      <c r="YO27" s="11">
        <v>7511111.1200000001</v>
      </c>
      <c r="YP27" s="11">
        <v>3596347.51</v>
      </c>
      <c r="YQ27" s="11">
        <v>2372607.9</v>
      </c>
      <c r="YR27" s="11">
        <v>1714725.1700000002</v>
      </c>
      <c r="YS27" s="11">
        <v>1439228.9400000002</v>
      </c>
      <c r="YT27" s="11">
        <v>1226804.8</v>
      </c>
      <c r="YU27" s="11">
        <v>1261298.3500000001</v>
      </c>
      <c r="YV27" s="11">
        <v>1326967.3500000001</v>
      </c>
      <c r="YW27" s="11">
        <v>15651680.74</v>
      </c>
      <c r="YX27" s="11">
        <v>1806706.02</v>
      </c>
      <c r="YY27" s="11">
        <v>1324172.75</v>
      </c>
      <c r="YZ27" s="11">
        <v>965092.3</v>
      </c>
      <c r="ZA27" s="11">
        <v>1871119.1199999999</v>
      </c>
      <c r="ZB27" s="11">
        <v>880315.75</v>
      </c>
      <c r="ZC27" s="11">
        <v>1182727.1600000001</v>
      </c>
      <c r="ZD27" s="11">
        <v>17694189.84</v>
      </c>
      <c r="ZE27" s="11">
        <v>1250780.3399999999</v>
      </c>
      <c r="ZF27" s="11">
        <v>2037293.1199999999</v>
      </c>
      <c r="ZG27" s="11">
        <v>1593817.54</v>
      </c>
      <c r="ZH27" s="11">
        <v>1406755.87</v>
      </c>
      <c r="ZI27" s="11">
        <v>1329288.57</v>
      </c>
      <c r="ZJ27" s="11">
        <v>1060749.44</v>
      </c>
      <c r="ZK27" s="11">
        <v>1002002.0199999999</v>
      </c>
      <c r="ZL27" s="11">
        <v>6054593.1600000011</v>
      </c>
      <c r="ZM27" s="11">
        <v>31536969.620000001</v>
      </c>
      <c r="ZN27" s="11">
        <v>1567002.04</v>
      </c>
      <c r="ZO27" s="11">
        <v>2691956.5900000003</v>
      </c>
      <c r="ZP27" s="11">
        <v>8198153.169999999</v>
      </c>
      <c r="ZQ27" s="11">
        <v>5733295.4000000004</v>
      </c>
      <c r="ZR27" s="11">
        <v>1472977.06</v>
      </c>
      <c r="ZS27" s="11">
        <v>2471665.5</v>
      </c>
      <c r="ZT27" s="11">
        <v>3830768.66</v>
      </c>
      <c r="ZU27" s="11">
        <v>3669545.1</v>
      </c>
      <c r="ZV27" s="11">
        <v>5978639.3199999994</v>
      </c>
      <c r="ZW27" s="11">
        <v>886575.91999999993</v>
      </c>
      <c r="ZX27" s="11">
        <v>1558246.84</v>
      </c>
      <c r="ZY27" s="11">
        <v>1413111.08</v>
      </c>
      <c r="ZZ27" s="11">
        <v>2684422.82</v>
      </c>
      <c r="AAA27" s="11">
        <v>1654535.52</v>
      </c>
      <c r="AAB27" s="11">
        <v>1632796.95</v>
      </c>
      <c r="AAC27" s="11">
        <v>1595319.1</v>
      </c>
      <c r="AAD27" s="11">
        <v>1281423.3</v>
      </c>
      <c r="AAE27" s="11">
        <v>1495154</v>
      </c>
      <c r="AAF27" s="11">
        <v>1138457.99</v>
      </c>
      <c r="AAG27" s="11">
        <v>1151104.74</v>
      </c>
      <c r="AAH27" s="11">
        <v>977565.09</v>
      </c>
      <c r="AAI27" s="11">
        <v>15222351.909999998</v>
      </c>
      <c r="AAJ27" s="11">
        <v>2156526.16</v>
      </c>
      <c r="AAK27" s="11">
        <v>1329314.8499999999</v>
      </c>
      <c r="AAL27" s="11">
        <v>1735201.5899999999</v>
      </c>
      <c r="AAM27" s="11">
        <v>1434666.2699999998</v>
      </c>
      <c r="AAN27" s="11">
        <v>2151039.12</v>
      </c>
      <c r="AAO27" s="11">
        <v>1342477.82</v>
      </c>
      <c r="AAP27" s="11">
        <v>57361868.089999989</v>
      </c>
      <c r="AAQ27" s="11">
        <v>1746835.49</v>
      </c>
      <c r="AAR27" s="11">
        <v>1254966.3999999999</v>
      </c>
      <c r="AAS27" s="11">
        <v>4274824.67</v>
      </c>
      <c r="AAT27" s="11">
        <v>2620016.7099999995</v>
      </c>
      <c r="AAU27" s="11">
        <v>1800562.1400000001</v>
      </c>
      <c r="AAV27" s="11">
        <v>3201823.41</v>
      </c>
      <c r="AAW27" s="11">
        <v>3128058.7499999995</v>
      </c>
      <c r="AAX27" s="11">
        <v>7569732.6299999999</v>
      </c>
      <c r="AAY27" s="11">
        <v>1968228.55</v>
      </c>
      <c r="AAZ27" s="11">
        <v>3044161.47</v>
      </c>
      <c r="ABA27" s="11">
        <v>11798344.32</v>
      </c>
      <c r="ABB27" s="11">
        <v>4732557.01</v>
      </c>
      <c r="ABC27" s="11">
        <v>993756.22</v>
      </c>
      <c r="ABD27" s="11">
        <v>2037857.23</v>
      </c>
      <c r="ABE27" s="11">
        <v>1635373.3099999998</v>
      </c>
      <c r="ABF27" s="11">
        <v>946015.25</v>
      </c>
      <c r="ABG27" s="11">
        <v>1545699.4500000002</v>
      </c>
      <c r="ABH27" s="11">
        <v>1294138.69</v>
      </c>
      <c r="ABI27" s="11">
        <v>16015324.149999999</v>
      </c>
      <c r="ABJ27" s="11">
        <v>6769343.6599999992</v>
      </c>
      <c r="ABK27" s="11">
        <v>956972.6</v>
      </c>
      <c r="ABL27" s="11">
        <v>1125502.6499999999</v>
      </c>
      <c r="ABM27" s="11">
        <v>1118074.54</v>
      </c>
      <c r="ABN27" s="11">
        <v>971743.32</v>
      </c>
      <c r="ABO27" s="11">
        <v>800983.56</v>
      </c>
      <c r="ABP27" s="11">
        <v>17519679.900000002</v>
      </c>
      <c r="ABQ27" s="11">
        <v>2480909.27</v>
      </c>
      <c r="ABR27" s="11">
        <v>1432977.3</v>
      </c>
      <c r="ABS27" s="11">
        <v>3042321.73</v>
      </c>
      <c r="ABT27" s="11">
        <v>2574072.29</v>
      </c>
      <c r="ABU27" s="11">
        <v>1761436.89</v>
      </c>
      <c r="ABV27" s="11">
        <v>1432925.85</v>
      </c>
      <c r="ABW27" s="11">
        <v>2059057.4400000002</v>
      </c>
      <c r="ABX27" s="11">
        <v>656240.46</v>
      </c>
      <c r="ABY27" s="11">
        <v>23110740.34</v>
      </c>
      <c r="ABZ27" s="11">
        <v>1125734.49</v>
      </c>
      <c r="ACA27" s="11">
        <v>3016725.1</v>
      </c>
      <c r="ACB27" s="11">
        <v>1576962.28</v>
      </c>
      <c r="ACC27" s="11">
        <v>1380204.8499999999</v>
      </c>
      <c r="ACD27" s="11">
        <v>6618525.0299999993</v>
      </c>
      <c r="ACE27" s="11">
        <v>1387477.9200000002</v>
      </c>
      <c r="ACF27" s="11">
        <v>1232457</v>
      </c>
      <c r="ACG27" s="11">
        <v>1416433.6600000001</v>
      </c>
      <c r="ACH27" s="11">
        <v>1651445.3900000001</v>
      </c>
      <c r="ACI27" s="11">
        <v>1161528.81</v>
      </c>
      <c r="ACJ27" s="11">
        <v>50458620.060000002</v>
      </c>
      <c r="ACK27" s="11">
        <v>1427489.04</v>
      </c>
      <c r="ACL27" s="11">
        <v>1403497.75</v>
      </c>
      <c r="ACM27" s="11">
        <v>2846809.5</v>
      </c>
      <c r="ACN27" s="11">
        <v>1131931.19</v>
      </c>
      <c r="ACO27" s="11">
        <v>2520252.75</v>
      </c>
      <c r="ACP27" s="11">
        <v>3397660.5300000003</v>
      </c>
      <c r="ACQ27" s="11">
        <v>8857179.9300000016</v>
      </c>
      <c r="ACR27" s="11">
        <v>13064800.49</v>
      </c>
      <c r="ACS27" s="11">
        <v>1556345.89</v>
      </c>
      <c r="ACT27" s="11">
        <v>2457300.36</v>
      </c>
      <c r="ACU27" s="11">
        <v>3716585.59</v>
      </c>
      <c r="ACV27" s="11">
        <v>1778806.4399999997</v>
      </c>
      <c r="ACW27" s="11">
        <v>10228454.85</v>
      </c>
      <c r="ACX27" s="11">
        <v>1937426.75</v>
      </c>
      <c r="ACY27" s="11">
        <v>1784918.1500000001</v>
      </c>
      <c r="ACZ27" s="11">
        <v>1160039.8799999999</v>
      </c>
      <c r="ADA27" s="11">
        <v>971859.49</v>
      </c>
      <c r="ADB27" s="11">
        <v>1252540.8900000001</v>
      </c>
      <c r="ADC27" s="11">
        <v>964853.28</v>
      </c>
      <c r="ADD27" s="11">
        <v>1431270.27</v>
      </c>
      <c r="ADE27" s="11">
        <v>882575.02999999991</v>
      </c>
      <c r="ADF27" s="11">
        <v>1067397.0899999999</v>
      </c>
      <c r="ADG27" s="11">
        <v>10153355.58</v>
      </c>
      <c r="ADH27" s="11">
        <v>7671838.6900000004</v>
      </c>
      <c r="ADI27" s="11">
        <v>958585.53</v>
      </c>
      <c r="ADJ27" s="11">
        <v>882525.64999999991</v>
      </c>
      <c r="ADK27" s="11">
        <v>1758275.46</v>
      </c>
      <c r="ADL27" s="11">
        <v>727281.45999999985</v>
      </c>
      <c r="ADM27" s="11">
        <v>1553197.06</v>
      </c>
      <c r="ADN27" s="11">
        <v>1682580.53</v>
      </c>
      <c r="ADO27" s="11">
        <v>1544158.95</v>
      </c>
      <c r="ADP27" s="11">
        <v>41713875.149999999</v>
      </c>
      <c r="ADQ27" s="11">
        <v>5239504.75</v>
      </c>
      <c r="ADR27" s="11">
        <v>5568826.0200000005</v>
      </c>
      <c r="ADS27" s="11">
        <v>2316091.9200000004</v>
      </c>
      <c r="ADT27" s="11">
        <v>15045328.000000002</v>
      </c>
      <c r="ADU27" s="11">
        <v>1060038.68</v>
      </c>
      <c r="ADV27" s="11">
        <v>1176824.7499999998</v>
      </c>
      <c r="ADW27" s="11">
        <v>1886257.81</v>
      </c>
      <c r="ADX27" s="11">
        <v>1381245.88</v>
      </c>
      <c r="ADY27" s="11">
        <v>1039760.74</v>
      </c>
      <c r="ADZ27" s="11">
        <v>34459892.669999994</v>
      </c>
      <c r="AEA27" s="11">
        <v>8063179.46</v>
      </c>
      <c r="AEB27" s="11">
        <v>5719446.4099999992</v>
      </c>
      <c r="AEC27" s="11">
        <v>1757331.8399999999</v>
      </c>
      <c r="AED27" s="11">
        <v>2996948.21</v>
      </c>
      <c r="AEE27" s="11">
        <v>2973938.6100000003</v>
      </c>
      <c r="AEF27" s="11">
        <v>2108003.59</v>
      </c>
      <c r="AEG27" s="11">
        <v>2257256.91</v>
      </c>
      <c r="AEH27" s="11">
        <v>1895947.54</v>
      </c>
      <c r="AEI27" s="11">
        <v>1496559.71</v>
      </c>
      <c r="AEJ27" s="11">
        <v>2535601.85</v>
      </c>
      <c r="AEK27" s="11">
        <v>3030789.14</v>
      </c>
      <c r="AEL27" s="11">
        <v>1382319.91</v>
      </c>
      <c r="AEM27" s="11">
        <v>1996334.29</v>
      </c>
      <c r="AEN27" s="11">
        <v>2865913.85</v>
      </c>
      <c r="AEO27" s="11">
        <v>2583428.9400000004</v>
      </c>
      <c r="AEP27" s="11">
        <v>1580067.1600000001</v>
      </c>
      <c r="AEQ27" s="11">
        <v>3726109.1999999997</v>
      </c>
      <c r="AER27" s="11">
        <v>1288974.9800000002</v>
      </c>
      <c r="AES27" s="11">
        <v>4007033.05</v>
      </c>
      <c r="AET27" s="11">
        <v>19071409.800000001</v>
      </c>
      <c r="AEU27" s="11">
        <v>2110065.4400000004</v>
      </c>
      <c r="AEV27" s="11">
        <v>2280923.4500000002</v>
      </c>
      <c r="AEW27" s="11">
        <v>1725559.5499999998</v>
      </c>
      <c r="AEX27" s="11">
        <v>1912688.03</v>
      </c>
      <c r="AEY27" s="11">
        <v>5010110.1099999994</v>
      </c>
      <c r="AEZ27" s="11">
        <v>1607100.3399999996</v>
      </c>
      <c r="AFA27" s="11">
        <v>2052689.3</v>
      </c>
      <c r="AFB27" s="11">
        <v>1425594.99</v>
      </c>
      <c r="AFC27" s="11">
        <v>1009515.77</v>
      </c>
      <c r="AFD27" s="11">
        <v>22242135.449999999</v>
      </c>
      <c r="AFE27" s="11">
        <v>11256241.32</v>
      </c>
      <c r="AFF27" s="11">
        <v>3116483.71</v>
      </c>
      <c r="AFG27" s="11">
        <v>2265063.5699999998</v>
      </c>
      <c r="AFH27" s="11">
        <v>3765439.3300000005</v>
      </c>
      <c r="AFI27" s="11">
        <v>2369645.65</v>
      </c>
      <c r="AFJ27" s="11">
        <v>2014624.9100000001</v>
      </c>
      <c r="AFK27" s="11">
        <v>1853534.1700000002</v>
      </c>
      <c r="AFL27" s="11">
        <v>2049513.3199999998</v>
      </c>
      <c r="AFM27" s="11">
        <v>2218447.81</v>
      </c>
      <c r="AFN27" s="11">
        <v>2072777.21</v>
      </c>
      <c r="AFO27" s="11">
        <v>1759153.0399999998</v>
      </c>
      <c r="AFP27" s="11">
        <v>2174991.5300000003</v>
      </c>
      <c r="AFQ27" s="11">
        <v>16083326.380000001</v>
      </c>
      <c r="AFR27" s="11">
        <v>3906705.02</v>
      </c>
      <c r="AFS27" s="11">
        <v>2164252.0699999998</v>
      </c>
      <c r="AFT27" s="11">
        <v>1751025.48</v>
      </c>
      <c r="AFU27" s="11">
        <v>1783106.43</v>
      </c>
      <c r="AFV27" s="11">
        <v>1771688.0899999999</v>
      </c>
      <c r="AFW27" s="11">
        <v>1369155.14</v>
      </c>
      <c r="AFX27" s="11">
        <v>2295523.9700000002</v>
      </c>
      <c r="AFY27" s="11">
        <v>2755640.15</v>
      </c>
      <c r="AFZ27" s="11">
        <v>1505078.21</v>
      </c>
      <c r="AGA27" s="11">
        <v>2982818.4899999998</v>
      </c>
      <c r="AGB27" s="11">
        <v>1428337.46</v>
      </c>
      <c r="AGC27" s="11">
        <v>28413238.379999999</v>
      </c>
      <c r="AGD27" s="11">
        <v>791399.05999999994</v>
      </c>
      <c r="AGE27" s="11">
        <v>1569991.8800000001</v>
      </c>
      <c r="AGF27" s="11">
        <v>1382957.36</v>
      </c>
      <c r="AGG27" s="11">
        <v>3086907.86</v>
      </c>
      <c r="AGH27" s="11">
        <v>1656123.7599999998</v>
      </c>
      <c r="AGI27" s="11">
        <v>1022828.8</v>
      </c>
      <c r="AGJ27" s="11">
        <v>1332903.96</v>
      </c>
      <c r="AGK27" s="11">
        <v>1246298</v>
      </c>
      <c r="AGL27" s="11">
        <v>1560507.7400000002</v>
      </c>
      <c r="AGM27" s="11">
        <v>1511276.68</v>
      </c>
      <c r="AGN27" s="11">
        <v>26998626.199999999</v>
      </c>
      <c r="AGO27" s="11">
        <v>4272901.95</v>
      </c>
      <c r="AGP27" s="11">
        <v>2312517.12</v>
      </c>
      <c r="AGQ27" s="11">
        <v>1423932.24</v>
      </c>
      <c r="AGR27" s="11">
        <v>3892458.24</v>
      </c>
      <c r="AGS27" s="11">
        <v>3264821.7199999997</v>
      </c>
      <c r="AGT27" s="11">
        <v>1470938.13</v>
      </c>
      <c r="AGU27" s="11">
        <v>1471571.4400000002</v>
      </c>
      <c r="AGV27" s="11">
        <v>41744224.889999993</v>
      </c>
      <c r="AGW27" s="11">
        <v>29036829</v>
      </c>
      <c r="AGX27" s="11">
        <v>1257144.3399999999</v>
      </c>
      <c r="AGY27" s="11">
        <v>2580585.5400000005</v>
      </c>
      <c r="AGZ27" s="11">
        <v>5873229.8800000008</v>
      </c>
      <c r="AHA27" s="11">
        <v>3448290.6599999997</v>
      </c>
      <c r="AHB27" s="11">
        <v>3141591.31</v>
      </c>
      <c r="AHC27" s="11">
        <v>2445912.98</v>
      </c>
      <c r="AHD27" s="11">
        <v>1060814.49</v>
      </c>
      <c r="AHE27" s="11">
        <v>3088238.7500000005</v>
      </c>
      <c r="AHF27" s="11">
        <v>3085966.95</v>
      </c>
      <c r="AHG27" s="11">
        <v>1475140.4000000001</v>
      </c>
      <c r="AHH27" s="11">
        <v>1734815.76</v>
      </c>
      <c r="AHI27" s="11">
        <v>1568253.3099999998</v>
      </c>
      <c r="AHJ27" s="11">
        <v>1578178.9</v>
      </c>
      <c r="AHK27" s="11">
        <v>2086616.1</v>
      </c>
      <c r="AHL27" s="11">
        <v>1161974.27</v>
      </c>
      <c r="AHM27" s="11">
        <v>14952613.380000001</v>
      </c>
      <c r="AHN27" s="11">
        <v>1382537.24</v>
      </c>
      <c r="AHO27" s="11">
        <v>1392651.15</v>
      </c>
      <c r="AHP27" s="11">
        <v>1814718.9000000001</v>
      </c>
      <c r="AHQ27" s="11">
        <v>3681085.48</v>
      </c>
      <c r="AHR27" s="11">
        <v>1309227.31</v>
      </c>
      <c r="AHS27" s="11">
        <v>1021565.54</v>
      </c>
      <c r="AHT27" s="11">
        <v>4392737627.7365065</v>
      </c>
      <c r="AHU27" s="11"/>
    </row>
    <row r="28" spans="2:905" x14ac:dyDescent="0.7">
      <c r="B28" s="6" t="s">
        <v>37</v>
      </c>
      <c r="C28" s="6" t="s">
        <v>38</v>
      </c>
      <c r="D28" s="11">
        <v>55591146.600000001</v>
      </c>
      <c r="E28" s="11">
        <v>4567821.5999999996</v>
      </c>
      <c r="F28" s="11">
        <v>6761585.7999999989</v>
      </c>
      <c r="G28" s="11">
        <v>2934286.4</v>
      </c>
      <c r="H28" s="11">
        <v>9561154.6999999993</v>
      </c>
      <c r="I28" s="11">
        <v>3483999.09</v>
      </c>
      <c r="J28" s="11">
        <v>10519583.789999999</v>
      </c>
      <c r="K28" s="11">
        <v>5711249.4100000001</v>
      </c>
      <c r="L28" s="11">
        <v>5502607.9500000002</v>
      </c>
      <c r="M28" s="11">
        <v>7655602.25</v>
      </c>
      <c r="N28" s="11">
        <v>4749175.91</v>
      </c>
      <c r="O28" s="11">
        <v>4207943.43</v>
      </c>
      <c r="P28" s="11">
        <v>6350268.7999999998</v>
      </c>
      <c r="Q28" s="11">
        <v>3889397.6100000003</v>
      </c>
      <c r="R28" s="11">
        <v>2254326.38</v>
      </c>
      <c r="S28" s="11">
        <v>6289329.1900000004</v>
      </c>
      <c r="T28" s="11">
        <v>6248198.3499999996</v>
      </c>
      <c r="U28" s="11">
        <v>1343962.1</v>
      </c>
      <c r="V28" s="11">
        <v>55940989.840000004</v>
      </c>
      <c r="W28" s="11">
        <v>10875939.09</v>
      </c>
      <c r="X28" s="11">
        <v>4626890.8600000003</v>
      </c>
      <c r="Y28" s="11">
        <v>4480231.6500000004</v>
      </c>
      <c r="Z28" s="11">
        <v>3390480.44</v>
      </c>
      <c r="AA28" s="11">
        <v>3132967.9000000004</v>
      </c>
      <c r="AB28" s="11">
        <v>1811988.74</v>
      </c>
      <c r="AC28" s="11">
        <v>7543218.3000000007</v>
      </c>
      <c r="AD28" s="11">
        <v>4188776.25</v>
      </c>
      <c r="AE28" s="11">
        <v>1326285.6000000001</v>
      </c>
      <c r="AF28" s="11">
        <v>7245368.8399999999</v>
      </c>
      <c r="AG28" s="11">
        <v>1261647.55</v>
      </c>
      <c r="AH28" s="11">
        <v>14138353.800000001</v>
      </c>
      <c r="AI28" s="11">
        <v>4564812.9799999995</v>
      </c>
      <c r="AJ28" s="11">
        <v>2029541.75</v>
      </c>
      <c r="AK28" s="11">
        <v>1791244.66</v>
      </c>
      <c r="AL28" s="11">
        <v>6375293.3799999999</v>
      </c>
      <c r="AM28" s="11">
        <v>2559676.94</v>
      </c>
      <c r="AN28" s="11">
        <v>3159042.8000000003</v>
      </c>
      <c r="AO28" s="11">
        <v>3314671.9899999998</v>
      </c>
      <c r="AP28" s="11">
        <v>2682758.9099999997</v>
      </c>
      <c r="AQ28" s="11">
        <v>1755788.87</v>
      </c>
      <c r="AR28" s="11">
        <v>1523886.66</v>
      </c>
      <c r="AS28" s="11">
        <v>1427111.66</v>
      </c>
      <c r="AT28" s="11">
        <v>27536433.539999999</v>
      </c>
      <c r="AU28" s="11">
        <v>1644308.28</v>
      </c>
      <c r="AV28" s="11">
        <v>1651032.44</v>
      </c>
      <c r="AW28" s="11">
        <v>3110863.6</v>
      </c>
      <c r="AX28" s="11">
        <v>3471534.6900000004</v>
      </c>
      <c r="AY28" s="11">
        <v>4392031.75</v>
      </c>
      <c r="AZ28" s="11">
        <v>1993062.65</v>
      </c>
      <c r="BA28" s="11">
        <v>2796278.26</v>
      </c>
      <c r="BB28" s="11">
        <v>1035450.72</v>
      </c>
      <c r="BC28" s="11">
        <v>1876242.22</v>
      </c>
      <c r="BD28" s="11">
        <v>1474985.06</v>
      </c>
      <c r="BE28" s="11">
        <v>1879597.44</v>
      </c>
      <c r="BF28" s="11">
        <v>7840286.0600000005</v>
      </c>
      <c r="BG28" s="11">
        <v>1260674.57</v>
      </c>
      <c r="BH28" s="11">
        <v>1886119.8599999999</v>
      </c>
      <c r="BI28" s="11">
        <v>7056516.0700000003</v>
      </c>
      <c r="BJ28" s="11">
        <v>16368337.58</v>
      </c>
      <c r="BK28" s="11">
        <v>2999745.34</v>
      </c>
      <c r="BL28" s="11">
        <v>1508335.73</v>
      </c>
      <c r="BM28" s="11">
        <v>3731379.17</v>
      </c>
      <c r="BN28" s="11">
        <v>3988549.5500000003</v>
      </c>
      <c r="BO28" s="11">
        <v>2076717.8</v>
      </c>
      <c r="BP28" s="11">
        <v>759349.3</v>
      </c>
      <c r="BQ28" s="11">
        <v>628902.43999999994</v>
      </c>
      <c r="BR28" s="11">
        <v>33977895.790000007</v>
      </c>
      <c r="BS28" s="11">
        <v>3438762.2</v>
      </c>
      <c r="BT28" s="11">
        <v>3210409.42</v>
      </c>
      <c r="BU28" s="11">
        <v>2346342.3600000003</v>
      </c>
      <c r="BV28" s="11">
        <v>2865446.48</v>
      </c>
      <c r="BW28" s="11">
        <v>2294531.7199999997</v>
      </c>
      <c r="BX28" s="11">
        <v>2464350.41</v>
      </c>
      <c r="BY28" s="11">
        <v>2793000.79</v>
      </c>
      <c r="BZ28" s="11">
        <v>10422140.379999999</v>
      </c>
      <c r="CA28" s="11">
        <v>2032184.7000000002</v>
      </c>
      <c r="CB28" s="11">
        <v>5738569.2599999998</v>
      </c>
      <c r="CC28" s="11">
        <v>7596168.3300000001</v>
      </c>
      <c r="CD28" s="11">
        <v>2504863.89</v>
      </c>
      <c r="CE28" s="11">
        <v>3544995.44</v>
      </c>
      <c r="CF28" s="11">
        <v>2091088.6900000002</v>
      </c>
      <c r="CG28" s="11">
        <v>47124005.119999997</v>
      </c>
      <c r="CH28" s="11">
        <v>2368985.79</v>
      </c>
      <c r="CI28" s="11">
        <v>9289702.7400000002</v>
      </c>
      <c r="CJ28" s="11">
        <v>3016066.5</v>
      </c>
      <c r="CK28" s="11">
        <v>3836134.41</v>
      </c>
      <c r="CL28" s="11">
        <v>1845953.9500000002</v>
      </c>
      <c r="CM28" s="11">
        <v>1587527.2999999998</v>
      </c>
      <c r="CN28" s="11">
        <v>4679055.3</v>
      </c>
      <c r="CO28" s="11">
        <v>1442529.8</v>
      </c>
      <c r="CP28" s="11">
        <v>1969605.11</v>
      </c>
      <c r="CQ28" s="11">
        <v>3552210.25</v>
      </c>
      <c r="CR28" s="11">
        <v>2006885.6800000002</v>
      </c>
      <c r="CS28" s="11">
        <v>1945898.3699999999</v>
      </c>
      <c r="CT28" s="11">
        <v>26303485.790000003</v>
      </c>
      <c r="CU28" s="11">
        <v>1692867.86</v>
      </c>
      <c r="CV28" s="11">
        <v>1872913.18</v>
      </c>
      <c r="CW28" s="11">
        <v>4386952.5600000005</v>
      </c>
      <c r="CX28" s="11">
        <v>1444981.3199999998</v>
      </c>
      <c r="CY28" s="11">
        <v>1641612.93</v>
      </c>
      <c r="CZ28" s="11">
        <v>1871835.45</v>
      </c>
      <c r="DA28" s="11">
        <v>919215.9</v>
      </c>
      <c r="DB28" s="11">
        <v>19291665.469999999</v>
      </c>
      <c r="DC28" s="11">
        <v>23204558.540000003</v>
      </c>
      <c r="DD28" s="11">
        <v>2402445.12</v>
      </c>
      <c r="DE28" s="11">
        <v>3245944.08</v>
      </c>
      <c r="DF28" s="11">
        <v>10445330.07</v>
      </c>
      <c r="DG28" s="11">
        <v>7906349.0700000003</v>
      </c>
      <c r="DH28" s="11">
        <v>7401638.29</v>
      </c>
      <c r="DI28" s="11">
        <v>22058963.769999996</v>
      </c>
      <c r="DJ28" s="11">
        <v>2876324.25</v>
      </c>
      <c r="DK28" s="11">
        <v>64499232.670000009</v>
      </c>
      <c r="DL28" s="11">
        <v>7027910.3500000006</v>
      </c>
      <c r="DM28" s="11">
        <v>5640151.7400000002</v>
      </c>
      <c r="DN28" s="11">
        <v>3245333.58</v>
      </c>
      <c r="DO28" s="11">
        <v>4219747.4499999993</v>
      </c>
      <c r="DP28" s="11">
        <v>3989489.24</v>
      </c>
      <c r="DQ28" s="11">
        <v>4534227.9099999992</v>
      </c>
      <c r="DR28" s="11">
        <v>3099378.14</v>
      </c>
      <c r="DS28" s="11">
        <v>8943491.7199999988</v>
      </c>
      <c r="DT28" s="11">
        <v>42544347.32</v>
      </c>
      <c r="DU28" s="11">
        <v>3280706.36</v>
      </c>
      <c r="DV28" s="11">
        <v>13459157.299999999</v>
      </c>
      <c r="DW28" s="11">
        <v>13521024.460000001</v>
      </c>
      <c r="DX28" s="11">
        <v>3778081.57</v>
      </c>
      <c r="DY28" s="11">
        <v>10623515.49</v>
      </c>
      <c r="DZ28" s="11">
        <v>4333224.4000000004</v>
      </c>
      <c r="EA28" s="11">
        <v>1686201.09</v>
      </c>
      <c r="EB28" s="11">
        <v>2864266.68</v>
      </c>
      <c r="EC28" s="11">
        <v>2541382.92</v>
      </c>
      <c r="ED28" s="11">
        <v>6310365.2599999998</v>
      </c>
      <c r="EE28" s="11">
        <v>14663276.900000002</v>
      </c>
      <c r="EF28" s="11">
        <v>13008264.130000001</v>
      </c>
      <c r="EG28" s="11">
        <v>2131960.7199999997</v>
      </c>
      <c r="EH28" s="11">
        <v>2654080.17</v>
      </c>
      <c r="EI28" s="11">
        <v>2523020.16</v>
      </c>
      <c r="EJ28" s="11">
        <v>6179543.8700000001</v>
      </c>
      <c r="EK28" s="11">
        <v>8065855.6899999995</v>
      </c>
      <c r="EL28" s="11">
        <v>1524569.45</v>
      </c>
      <c r="EM28" s="11">
        <v>1711170.52</v>
      </c>
      <c r="EN28" s="11">
        <v>32533560.349999998</v>
      </c>
      <c r="EO28" s="11">
        <v>3737103.44</v>
      </c>
      <c r="EP28" s="11">
        <v>3214722.22</v>
      </c>
      <c r="EQ28" s="11">
        <v>3278339.7700000005</v>
      </c>
      <c r="ER28" s="11">
        <v>2874198.6</v>
      </c>
      <c r="ES28" s="11">
        <v>2024611.3599999999</v>
      </c>
      <c r="ET28" s="11">
        <v>6227252.6799999997</v>
      </c>
      <c r="EU28" s="11">
        <v>4032871.35</v>
      </c>
      <c r="EV28" s="11">
        <v>1796606.1600000001</v>
      </c>
      <c r="EW28" s="11">
        <v>27203261.77</v>
      </c>
      <c r="EX28" s="11">
        <v>1407719.5</v>
      </c>
      <c r="EY28" s="11">
        <v>3000267.29</v>
      </c>
      <c r="EZ28" s="11">
        <v>4765519.4399999995</v>
      </c>
      <c r="FA28" s="11">
        <v>9851134.790000001</v>
      </c>
      <c r="FB28" s="11">
        <v>6023290.04</v>
      </c>
      <c r="FC28" s="11">
        <v>3982370.11</v>
      </c>
      <c r="FD28" s="11">
        <v>4926138.3100000005</v>
      </c>
      <c r="FE28" s="11">
        <v>2286394.98</v>
      </c>
      <c r="FF28" s="11">
        <v>3097211.03</v>
      </c>
      <c r="FG28" s="11">
        <v>2321029.48</v>
      </c>
      <c r="FH28" s="11">
        <v>3498229.4800000004</v>
      </c>
      <c r="FI28" s="11">
        <v>11158430.059999999</v>
      </c>
      <c r="FJ28" s="11">
        <v>1277820.1800000002</v>
      </c>
      <c r="FK28" s="11">
        <v>1463894.81</v>
      </c>
      <c r="FL28" s="11">
        <v>1163244.5</v>
      </c>
      <c r="FM28" s="11">
        <v>4546600.28</v>
      </c>
      <c r="FN28" s="11">
        <v>3501202.5</v>
      </c>
      <c r="FO28" s="11">
        <v>761196.45</v>
      </c>
      <c r="FP28" s="11">
        <v>431751.41000000003</v>
      </c>
      <c r="FQ28" s="11">
        <v>55494233.370000005</v>
      </c>
      <c r="FR28" s="11">
        <v>1640610.79</v>
      </c>
      <c r="FS28" s="11">
        <v>3449728.6</v>
      </c>
      <c r="FT28" s="11">
        <v>6574996.0699999994</v>
      </c>
      <c r="FU28" s="11">
        <v>4093934.61</v>
      </c>
      <c r="FV28" s="11">
        <v>2777951.9</v>
      </c>
      <c r="FW28" s="11">
        <v>8665401.2200000007</v>
      </c>
      <c r="FX28" s="11">
        <v>5018132.72</v>
      </c>
      <c r="FY28" s="11">
        <v>4323438.8999999994</v>
      </c>
      <c r="FZ28" s="11">
        <v>2150196.39</v>
      </c>
      <c r="GA28" s="11">
        <v>7380403.4000000004</v>
      </c>
      <c r="GB28" s="11">
        <v>2385495.5099999998</v>
      </c>
      <c r="GC28" s="11">
        <v>2177953.8000000003</v>
      </c>
      <c r="GD28" s="11">
        <v>1700275.26</v>
      </c>
      <c r="GE28" s="11">
        <v>22834319.539999999</v>
      </c>
      <c r="GF28" s="11">
        <v>3310199.5</v>
      </c>
      <c r="GG28" s="11">
        <v>1558972.48</v>
      </c>
      <c r="GH28" s="11">
        <v>6867625.71</v>
      </c>
      <c r="GI28" s="11">
        <v>3139569.8</v>
      </c>
      <c r="GJ28" s="11">
        <v>1655437.85</v>
      </c>
      <c r="GK28" s="11">
        <v>2099245.9900000002</v>
      </c>
      <c r="GL28" s="11">
        <v>6702635.0799999991</v>
      </c>
      <c r="GM28" s="11">
        <v>1295281.31</v>
      </c>
      <c r="GN28" s="11">
        <v>1240208.3</v>
      </c>
      <c r="GO28" s="11">
        <v>1226426.6499999999</v>
      </c>
      <c r="GP28" s="11">
        <v>967969.53999999992</v>
      </c>
      <c r="GQ28" s="11">
        <v>12588483.859999999</v>
      </c>
      <c r="GR28" s="11">
        <v>4420430.32</v>
      </c>
      <c r="GS28" s="11">
        <v>2876925.5999999996</v>
      </c>
      <c r="GT28" s="11">
        <v>5908030.5500000007</v>
      </c>
      <c r="GU28" s="11">
        <v>613441.27</v>
      </c>
      <c r="GV28" s="11">
        <v>6064116.4900000002</v>
      </c>
      <c r="GW28" s="11">
        <v>3338814.84</v>
      </c>
      <c r="GX28" s="11">
        <v>1788178.3199999998</v>
      </c>
      <c r="GY28" s="11">
        <v>14479905.18</v>
      </c>
      <c r="GZ28" s="11">
        <v>1370462.81</v>
      </c>
      <c r="HA28" s="11">
        <v>11092122.85</v>
      </c>
      <c r="HB28" s="11">
        <v>1892695.61</v>
      </c>
      <c r="HC28" s="11">
        <v>63711271.00999999</v>
      </c>
      <c r="HD28" s="11">
        <v>3103998.94</v>
      </c>
      <c r="HE28" s="11">
        <v>3180582.27</v>
      </c>
      <c r="HF28" s="11">
        <v>4163959.57</v>
      </c>
      <c r="HG28" s="11">
        <v>1883802.54</v>
      </c>
      <c r="HH28" s="11">
        <v>3587909.5399999996</v>
      </c>
      <c r="HI28" s="11">
        <v>576984.64</v>
      </c>
      <c r="HJ28" s="11">
        <v>620503.05999999994</v>
      </c>
      <c r="HK28" s="11">
        <v>29109434.27</v>
      </c>
      <c r="HL28" s="11">
        <v>6926251.3099999996</v>
      </c>
      <c r="HM28" s="11">
        <v>13573600.02</v>
      </c>
      <c r="HN28" s="11">
        <v>3681659.34</v>
      </c>
      <c r="HO28" s="11">
        <v>2813864.44</v>
      </c>
      <c r="HP28" s="11">
        <v>2590965.91</v>
      </c>
      <c r="HQ28" s="11">
        <v>4326341.7699999996</v>
      </c>
      <c r="HR28" s="11">
        <v>1985149.12</v>
      </c>
      <c r="HS28" s="11">
        <v>28456601.82</v>
      </c>
      <c r="HT28" s="11">
        <v>6300135.620000001</v>
      </c>
      <c r="HU28" s="11">
        <v>2654043.0500000003</v>
      </c>
      <c r="HV28" s="11">
        <v>3156255.02</v>
      </c>
      <c r="HW28" s="11">
        <v>2336787.7300000004</v>
      </c>
      <c r="HX28" s="11">
        <v>1371800.21</v>
      </c>
      <c r="HY28" s="11">
        <v>6847204.0899999999</v>
      </c>
      <c r="HZ28" s="11">
        <v>2557763.54</v>
      </c>
      <c r="IA28" s="11">
        <v>3016038.67</v>
      </c>
      <c r="IB28" s="11">
        <v>2606868.2199999997</v>
      </c>
      <c r="IC28" s="11">
        <v>3581512.43</v>
      </c>
      <c r="ID28" s="11">
        <v>3920679.79</v>
      </c>
      <c r="IE28" s="11">
        <v>783469.39</v>
      </c>
      <c r="IF28" s="11">
        <v>4228484.4600000009</v>
      </c>
      <c r="IG28" s="11">
        <v>1956604.28</v>
      </c>
      <c r="IH28" s="11">
        <v>2229977.96</v>
      </c>
      <c r="II28" s="11">
        <v>39298222.25</v>
      </c>
      <c r="IJ28" s="11">
        <v>6584951.8200000003</v>
      </c>
      <c r="IK28" s="11">
        <v>3507408.2</v>
      </c>
      <c r="IL28" s="11">
        <v>6108651.1500000004</v>
      </c>
      <c r="IM28" s="11">
        <v>10892228.199999999</v>
      </c>
      <c r="IN28" s="11">
        <v>4030006.1</v>
      </c>
      <c r="IO28" s="11">
        <v>2715863.6</v>
      </c>
      <c r="IP28" s="11">
        <v>1726619.8699999999</v>
      </c>
      <c r="IQ28" s="11">
        <v>1799513.0699999998</v>
      </c>
      <c r="IR28" s="11">
        <v>2388438.98</v>
      </c>
      <c r="IS28" s="11">
        <v>2244040.88</v>
      </c>
      <c r="IT28" s="11">
        <v>28638457.420000002</v>
      </c>
      <c r="IU28" s="11">
        <v>19620554.880000003</v>
      </c>
      <c r="IV28" s="11">
        <v>4513221.76</v>
      </c>
      <c r="IW28" s="11">
        <v>2956954.11</v>
      </c>
      <c r="IX28" s="11">
        <v>2246314.91</v>
      </c>
      <c r="IY28" s="11">
        <v>882399.13</v>
      </c>
      <c r="IZ28" s="11">
        <v>2055400.3824999998</v>
      </c>
      <c r="JA28" s="11">
        <v>944413.57</v>
      </c>
      <c r="JB28" s="11">
        <v>6022366.8700000001</v>
      </c>
      <c r="JC28" s="11">
        <v>6006491.1500000004</v>
      </c>
      <c r="JD28" s="11">
        <v>3271098.4899999998</v>
      </c>
      <c r="JE28" s="11">
        <v>2163554.8699999996</v>
      </c>
      <c r="JF28" s="11">
        <v>12931224.16</v>
      </c>
      <c r="JG28" s="11">
        <v>8568468.1699999999</v>
      </c>
      <c r="JH28" s="11">
        <v>1059616.96</v>
      </c>
      <c r="JI28" s="11">
        <v>1266945.3400000001</v>
      </c>
      <c r="JJ28" s="11">
        <v>1073796.44</v>
      </c>
      <c r="JK28" s="11">
        <v>1129075.31</v>
      </c>
      <c r="JL28" s="11">
        <v>16967538.27</v>
      </c>
      <c r="JM28" s="11">
        <v>3180037.3</v>
      </c>
      <c r="JN28" s="11">
        <v>3848045.74</v>
      </c>
      <c r="JO28" s="11">
        <v>6164685.3100000005</v>
      </c>
      <c r="JP28" s="11">
        <v>4316714.29</v>
      </c>
      <c r="JQ28" s="11">
        <v>9119485.5899999999</v>
      </c>
      <c r="JR28" s="11">
        <v>756865.32000000007</v>
      </c>
      <c r="JS28" s="11">
        <v>36272364.259999998</v>
      </c>
      <c r="JT28" s="11">
        <v>18038218.090000004</v>
      </c>
      <c r="JU28" s="11">
        <v>3579921.87</v>
      </c>
      <c r="JV28" s="11">
        <v>2162897.61</v>
      </c>
      <c r="JW28" s="11">
        <v>5537276</v>
      </c>
      <c r="JX28" s="11">
        <v>1403543.37</v>
      </c>
      <c r="JY28" s="11">
        <v>11031559.219999999</v>
      </c>
      <c r="JZ28" s="11">
        <v>5625064.7300000004</v>
      </c>
      <c r="KA28" s="11">
        <v>8178734.5300000003</v>
      </c>
      <c r="KB28" s="11">
        <v>3785351.67</v>
      </c>
      <c r="KC28" s="11">
        <v>4058014.97</v>
      </c>
      <c r="KD28" s="11">
        <v>4846713.1099999994</v>
      </c>
      <c r="KE28" s="11">
        <v>1989413.27</v>
      </c>
      <c r="KF28" s="11">
        <v>740755</v>
      </c>
      <c r="KG28" s="11">
        <v>3325970.4299999997</v>
      </c>
      <c r="KH28" s="11">
        <v>2744818.52</v>
      </c>
      <c r="KI28" s="11">
        <v>46528416.200000003</v>
      </c>
      <c r="KJ28" s="11">
        <v>5749008.6900000004</v>
      </c>
      <c r="KK28" s="11">
        <v>4133509.71</v>
      </c>
      <c r="KL28" s="11">
        <v>4207391.0999999996</v>
      </c>
      <c r="KM28" s="11">
        <v>5536476.1200000001</v>
      </c>
      <c r="KN28" s="11">
        <v>3457513.34</v>
      </c>
      <c r="KO28" s="11">
        <v>9615550.4700000007</v>
      </c>
      <c r="KP28" s="11">
        <v>1729229.93</v>
      </c>
      <c r="KQ28" s="11">
        <v>3998470.8099999996</v>
      </c>
      <c r="KR28" s="11">
        <v>15310500.67</v>
      </c>
      <c r="KS28" s="11">
        <v>1821652.56</v>
      </c>
      <c r="KT28" s="11">
        <v>3764071.05</v>
      </c>
      <c r="KU28" s="11">
        <v>18420945.129999999</v>
      </c>
      <c r="KV28" s="11">
        <v>3049211.43</v>
      </c>
      <c r="KW28" s="11">
        <v>8204623.8500000006</v>
      </c>
      <c r="KX28" s="11">
        <v>32926860.479999997</v>
      </c>
      <c r="KY28" s="11">
        <v>7696779.1699999999</v>
      </c>
      <c r="KZ28" s="11">
        <v>30109204.160000004</v>
      </c>
      <c r="LA28" s="11">
        <v>5252305.76</v>
      </c>
      <c r="LB28" s="11">
        <v>5919358.2699999996</v>
      </c>
      <c r="LC28" s="11">
        <v>7545889.9699999997</v>
      </c>
      <c r="LD28" s="11">
        <v>6458091.54</v>
      </c>
      <c r="LE28" s="11">
        <v>5066139.67</v>
      </c>
      <c r="LF28" s="11">
        <v>3148397.59</v>
      </c>
      <c r="LG28" s="11">
        <v>3405951.45</v>
      </c>
      <c r="LH28" s="11">
        <v>46586915.339999989</v>
      </c>
      <c r="LI28" s="11">
        <v>10794471.17</v>
      </c>
      <c r="LJ28" s="11">
        <v>17581944.080000002</v>
      </c>
      <c r="LK28" s="11">
        <v>11326602.439999999</v>
      </c>
      <c r="LL28" s="11">
        <v>5730283.4999999991</v>
      </c>
      <c r="LM28" s="11">
        <v>3048775.85</v>
      </c>
      <c r="LN28" s="11">
        <v>1931797.17</v>
      </c>
      <c r="LO28" s="11">
        <v>4126083.81</v>
      </c>
      <c r="LP28" s="11">
        <v>1285289.52</v>
      </c>
      <c r="LQ28" s="11">
        <v>6539642.2299999995</v>
      </c>
      <c r="LR28" s="11">
        <v>1629358.35</v>
      </c>
      <c r="LS28" s="11">
        <v>16305639.220000001</v>
      </c>
      <c r="LT28" s="11">
        <v>4355062.49</v>
      </c>
      <c r="LU28" s="11">
        <v>3246471.79</v>
      </c>
      <c r="LV28" s="11">
        <v>48706861.93</v>
      </c>
      <c r="LW28" s="11">
        <v>18377899.030000001</v>
      </c>
      <c r="LX28" s="11">
        <v>33126404.130000003</v>
      </c>
      <c r="LY28" s="11">
        <v>9487295.1699999999</v>
      </c>
      <c r="LZ28" s="11">
        <v>7526755.5899999989</v>
      </c>
      <c r="MA28" s="11">
        <v>8521892.2899999991</v>
      </c>
      <c r="MB28" s="11">
        <v>11572164.66</v>
      </c>
      <c r="MC28" s="11">
        <v>3442802.19</v>
      </c>
      <c r="MD28" s="11">
        <v>8683139.3900000006</v>
      </c>
      <c r="ME28" s="11">
        <v>6706924.5799999991</v>
      </c>
      <c r="MF28" s="11">
        <v>12022853.73</v>
      </c>
      <c r="MG28" s="11">
        <v>4472630.1899999995</v>
      </c>
      <c r="MH28" s="11">
        <v>48129520.949999996</v>
      </c>
      <c r="MI28" s="11">
        <v>3347014.54</v>
      </c>
      <c r="MJ28" s="11">
        <v>1226130.0899999999</v>
      </c>
      <c r="MK28" s="11">
        <v>1607588.6800000002</v>
      </c>
      <c r="ML28" s="11">
        <v>1091288.79</v>
      </c>
      <c r="MM28" s="11">
        <v>4304095.51</v>
      </c>
      <c r="MN28" s="11">
        <v>3369447.71</v>
      </c>
      <c r="MO28" s="11">
        <v>2455856.7800000003</v>
      </c>
      <c r="MP28" s="11">
        <v>5729469.1999999993</v>
      </c>
      <c r="MQ28" s="11">
        <v>2358082.8200000003</v>
      </c>
      <c r="MR28" s="11">
        <v>2429632.0900000003</v>
      </c>
      <c r="MS28" s="11">
        <v>1521740.4500000002</v>
      </c>
      <c r="MT28" s="11">
        <v>48878850.120000005</v>
      </c>
      <c r="MU28" s="11">
        <v>3411544.8200000003</v>
      </c>
      <c r="MV28" s="11">
        <v>3344789.72</v>
      </c>
      <c r="MW28" s="11">
        <v>6517633.5800000001</v>
      </c>
      <c r="MX28" s="11">
        <v>6855060.1799999997</v>
      </c>
      <c r="MY28" s="11">
        <v>2712894.2</v>
      </c>
      <c r="MZ28" s="11">
        <v>9897541.6600000001</v>
      </c>
      <c r="NA28" s="11">
        <v>3532418.3699999996</v>
      </c>
      <c r="NB28" s="11">
        <v>13459038.299999999</v>
      </c>
      <c r="NC28" s="11">
        <v>1183617.75</v>
      </c>
      <c r="ND28" s="11">
        <v>1289183.8800000001</v>
      </c>
      <c r="NE28" s="11">
        <v>58976629.350000001</v>
      </c>
      <c r="NF28" s="11">
        <v>15968387.989999998</v>
      </c>
      <c r="NG28" s="11">
        <v>2056901.8599999999</v>
      </c>
      <c r="NH28" s="11">
        <v>24676261.990000002</v>
      </c>
      <c r="NI28" s="11">
        <v>2627535.2599999998</v>
      </c>
      <c r="NJ28" s="11">
        <v>5904815.75</v>
      </c>
      <c r="NK28" s="11">
        <v>21910225.320000004</v>
      </c>
      <c r="NL28" s="11">
        <v>8945511.1999999993</v>
      </c>
      <c r="NM28" s="11">
        <v>634434.77999999991</v>
      </c>
      <c r="NN28" s="11">
        <v>2665578.7199999997</v>
      </c>
      <c r="NO28" s="11">
        <v>4128197.21</v>
      </c>
      <c r="NP28" s="11">
        <v>2355243.2099999995</v>
      </c>
      <c r="NQ28" s="11">
        <v>19751264.339999996</v>
      </c>
      <c r="NR28" s="11">
        <v>3365214.8600000003</v>
      </c>
      <c r="NS28" s="11">
        <v>2494532.9</v>
      </c>
      <c r="NT28" s="11">
        <v>3261175.8899999997</v>
      </c>
      <c r="NU28" s="11">
        <v>1711184.37</v>
      </c>
      <c r="NV28" s="11">
        <v>488751.3</v>
      </c>
      <c r="NW28" s="11">
        <v>1312967.75</v>
      </c>
      <c r="NX28" s="11">
        <v>48472923.68</v>
      </c>
      <c r="NY28" s="11">
        <v>8897082.75</v>
      </c>
      <c r="NZ28" s="11">
        <v>2788255.4099999997</v>
      </c>
      <c r="OA28" s="11">
        <v>1305208.27</v>
      </c>
      <c r="OB28" s="11">
        <v>3134590</v>
      </c>
      <c r="OC28" s="11">
        <v>4555332.84</v>
      </c>
      <c r="OD28" s="11">
        <v>2135234.88</v>
      </c>
      <c r="OE28" s="11">
        <v>34564912.589999996</v>
      </c>
      <c r="OF28" s="11">
        <v>23798998.169999998</v>
      </c>
      <c r="OG28" s="11">
        <v>5537893.129999999</v>
      </c>
      <c r="OH28" s="11">
        <v>14994332.200000001</v>
      </c>
      <c r="OI28" s="11">
        <v>3233269.2000000007</v>
      </c>
      <c r="OJ28" s="11">
        <v>3911357.81</v>
      </c>
      <c r="OK28" s="11">
        <v>4588721.4799999995</v>
      </c>
      <c r="OL28" s="11">
        <v>2503687.7600000002</v>
      </c>
      <c r="OM28" s="11">
        <v>3379426.0700000003</v>
      </c>
      <c r="ON28" s="11">
        <v>50199040.439999998</v>
      </c>
      <c r="OO28" s="11">
        <v>9620508.5399999991</v>
      </c>
      <c r="OP28" s="11">
        <v>14739317.279999999</v>
      </c>
      <c r="OQ28" s="11">
        <v>7678329.7200000007</v>
      </c>
      <c r="OR28" s="11">
        <v>5215812.0999999996</v>
      </c>
      <c r="OS28" s="11">
        <v>2344009.87</v>
      </c>
      <c r="OT28" s="11">
        <v>20498132.880000003</v>
      </c>
      <c r="OU28" s="11">
        <v>2831497.25</v>
      </c>
      <c r="OV28" s="11">
        <v>2995630.3</v>
      </c>
      <c r="OW28" s="11">
        <v>5322031.5999999996</v>
      </c>
      <c r="OX28" s="11">
        <v>4701998.4000000004</v>
      </c>
      <c r="OY28" s="11">
        <v>14897541.970000001</v>
      </c>
      <c r="OZ28" s="11">
        <v>2041764.62</v>
      </c>
      <c r="PA28" s="11">
        <v>2638531.9</v>
      </c>
      <c r="PB28" s="11">
        <v>3693200.1500000004</v>
      </c>
      <c r="PC28" s="11">
        <v>31546915</v>
      </c>
      <c r="PD28" s="11">
        <v>2626399</v>
      </c>
      <c r="PE28" s="11">
        <v>6116719.4900000002</v>
      </c>
      <c r="PF28" s="11">
        <v>1239338.1200000001</v>
      </c>
      <c r="PG28" s="11">
        <v>4206494.62</v>
      </c>
      <c r="PH28" s="11">
        <v>8725064.8399999999</v>
      </c>
      <c r="PI28" s="11">
        <v>3483943.7600000002</v>
      </c>
      <c r="PJ28" s="11">
        <v>2807513.55</v>
      </c>
      <c r="PK28" s="11">
        <v>4802460.4000000004</v>
      </c>
      <c r="PL28" s="11">
        <v>4135628.5</v>
      </c>
      <c r="PM28" s="11">
        <v>4342120.3900000006</v>
      </c>
      <c r="PN28" s="11">
        <v>7652546.4600000009</v>
      </c>
      <c r="PO28" s="11">
        <v>2985787.6</v>
      </c>
      <c r="PP28" s="11">
        <v>10367304.4</v>
      </c>
      <c r="PQ28" s="11">
        <v>3241029.74</v>
      </c>
      <c r="PR28" s="11">
        <v>757647.14</v>
      </c>
      <c r="PS28" s="11">
        <v>899607.4</v>
      </c>
      <c r="PT28" s="11">
        <v>3099554.07</v>
      </c>
      <c r="PU28" s="11">
        <v>80707091.580000013</v>
      </c>
      <c r="PV28" s="11">
        <v>2092426.37</v>
      </c>
      <c r="PW28" s="11">
        <v>2390798.1800000002</v>
      </c>
      <c r="PX28" s="11">
        <v>8583940.879999999</v>
      </c>
      <c r="PY28" s="11">
        <v>9285474.709999999</v>
      </c>
      <c r="PZ28" s="11">
        <v>8230166.7200000007</v>
      </c>
      <c r="QA28" s="11">
        <v>12661391.84</v>
      </c>
      <c r="QB28" s="11">
        <v>2949822.63</v>
      </c>
      <c r="QC28" s="11">
        <v>6965829.3600000003</v>
      </c>
      <c r="QD28" s="11">
        <v>2188451.2000000002</v>
      </c>
      <c r="QE28" s="11">
        <v>8445020.6500000004</v>
      </c>
      <c r="QF28" s="11">
        <v>2459250.67</v>
      </c>
      <c r="QG28" s="11">
        <v>4135723.02</v>
      </c>
      <c r="QH28" s="11">
        <v>3166258.1100000003</v>
      </c>
      <c r="QI28" s="11">
        <v>5909017.8099999996</v>
      </c>
      <c r="QJ28" s="11">
        <v>4961582.1599999992</v>
      </c>
      <c r="QK28" s="11">
        <v>3466783.95</v>
      </c>
      <c r="QL28" s="11">
        <v>1909558.56</v>
      </c>
      <c r="QM28" s="11">
        <v>2188385.92</v>
      </c>
      <c r="QN28" s="11">
        <v>9683589.2600000016</v>
      </c>
      <c r="QO28" s="11">
        <v>7341737.4600000009</v>
      </c>
      <c r="QP28" s="11">
        <v>2705752.8</v>
      </c>
      <c r="QQ28" s="11">
        <v>1068866.7</v>
      </c>
      <c r="QR28" s="11">
        <v>1270646.75</v>
      </c>
      <c r="QS28" s="11">
        <v>1543784.3800000001</v>
      </c>
      <c r="QT28" s="11">
        <v>837365.07000000007</v>
      </c>
      <c r="QU28" s="11">
        <v>56651657.619999997</v>
      </c>
      <c r="QV28" s="11">
        <v>2548462.59</v>
      </c>
      <c r="QW28" s="11">
        <v>10243347.16</v>
      </c>
      <c r="QX28" s="11">
        <v>2299385.5300000003</v>
      </c>
      <c r="QY28" s="11">
        <v>6659795.5499999998</v>
      </c>
      <c r="QZ28" s="11">
        <v>8314729.5</v>
      </c>
      <c r="RA28" s="11">
        <v>4923719.7200000007</v>
      </c>
      <c r="RB28" s="11">
        <v>9013890.3000000007</v>
      </c>
      <c r="RC28" s="11">
        <v>5130896.16</v>
      </c>
      <c r="RD28" s="11">
        <v>1886659.41</v>
      </c>
      <c r="RE28" s="11">
        <v>4722436</v>
      </c>
      <c r="RF28" s="11">
        <v>1908924.67</v>
      </c>
      <c r="RG28" s="11">
        <v>2789515.6500000004</v>
      </c>
      <c r="RH28" s="11">
        <v>51555731.939999998</v>
      </c>
      <c r="RI28" s="11">
        <v>11024080.460000001</v>
      </c>
      <c r="RJ28" s="11">
        <v>4477757.5199999996</v>
      </c>
      <c r="RK28" s="11">
        <v>5623769.5800000001</v>
      </c>
      <c r="RL28" s="11">
        <v>4185855.7199999997</v>
      </c>
      <c r="RM28" s="11">
        <v>8747382.129999999</v>
      </c>
      <c r="RN28" s="11">
        <v>12496479.610000001</v>
      </c>
      <c r="RO28" s="11">
        <v>3850441.81</v>
      </c>
      <c r="RP28" s="11">
        <v>4625267.5</v>
      </c>
      <c r="RQ28" s="11">
        <v>14036444.050000001</v>
      </c>
      <c r="RR28" s="11">
        <v>11780829.279999999</v>
      </c>
      <c r="RS28" s="11">
        <v>1841891.65</v>
      </c>
      <c r="RT28" s="11">
        <v>2298393</v>
      </c>
      <c r="RU28" s="11">
        <v>2754901.19</v>
      </c>
      <c r="RV28" s="11">
        <v>3662267.0700000003</v>
      </c>
      <c r="RW28" s="11">
        <v>4880573.0199999996</v>
      </c>
      <c r="RX28" s="11">
        <v>6154544.5199999996</v>
      </c>
      <c r="RY28" s="11">
        <v>1199122.52</v>
      </c>
      <c r="RZ28" s="11">
        <v>1594309.8599999999</v>
      </c>
      <c r="SA28" s="11">
        <v>2000436.42</v>
      </c>
      <c r="SB28" s="11">
        <v>23557523.75</v>
      </c>
      <c r="SC28" s="11">
        <v>3424274.31</v>
      </c>
      <c r="SD28" s="11">
        <v>4273188.87</v>
      </c>
      <c r="SE28" s="11">
        <v>2862211</v>
      </c>
      <c r="SF28" s="11">
        <v>2540785.5099999998</v>
      </c>
      <c r="SG28" s="11">
        <v>2772554.37</v>
      </c>
      <c r="SH28" s="11">
        <v>5833641.46</v>
      </c>
      <c r="SI28" s="11">
        <v>4171500.28</v>
      </c>
      <c r="SJ28" s="11">
        <v>4672461.9399999995</v>
      </c>
      <c r="SK28" s="11">
        <v>4949665.6099999994</v>
      </c>
      <c r="SL28" s="11">
        <v>8736747.3900000006</v>
      </c>
      <c r="SM28" s="11">
        <v>1835523.6099999999</v>
      </c>
      <c r="SN28" s="11">
        <v>15960725.66</v>
      </c>
      <c r="SO28" s="11">
        <v>3465198.06</v>
      </c>
      <c r="SP28" s="11">
        <v>6627682.6299999999</v>
      </c>
      <c r="SQ28" s="11">
        <v>8443498.0999999996</v>
      </c>
      <c r="SR28" s="11">
        <v>4006259.4999999995</v>
      </c>
      <c r="SS28" s="11">
        <v>4717823.25</v>
      </c>
      <c r="ST28" s="11">
        <v>4194136.4699999997</v>
      </c>
      <c r="SU28" s="11">
        <v>2362897.0499999998</v>
      </c>
      <c r="SV28" s="11">
        <v>34161181.320000008</v>
      </c>
      <c r="SW28" s="11">
        <v>3136787.62</v>
      </c>
      <c r="SX28" s="11">
        <v>7540079.8200000003</v>
      </c>
      <c r="SY28" s="11">
        <v>4872777</v>
      </c>
      <c r="SZ28" s="11">
        <v>2342011.3600000003</v>
      </c>
      <c r="TA28" s="11">
        <v>2990530.51</v>
      </c>
      <c r="TB28" s="11">
        <v>3762340.4699999997</v>
      </c>
      <c r="TC28" s="11">
        <v>14272844.520000001</v>
      </c>
      <c r="TD28" s="11">
        <v>3801557.8600000003</v>
      </c>
      <c r="TE28" s="11">
        <v>4252824.17</v>
      </c>
      <c r="TF28" s="11">
        <v>6872108.6400000006</v>
      </c>
      <c r="TG28" s="11">
        <v>4599123.59</v>
      </c>
      <c r="TH28" s="11">
        <v>4340658.4799999995</v>
      </c>
      <c r="TI28" s="11">
        <v>2712199.38</v>
      </c>
      <c r="TJ28" s="11">
        <v>58864656.740000002</v>
      </c>
      <c r="TK28" s="11">
        <v>5935848.6399999997</v>
      </c>
      <c r="TL28" s="11">
        <v>1982881.7</v>
      </c>
      <c r="TM28" s="11">
        <v>6940950.5999999996</v>
      </c>
      <c r="TN28" s="11">
        <v>5821900.0499999998</v>
      </c>
      <c r="TO28" s="11">
        <v>5749817.6500000004</v>
      </c>
      <c r="TP28" s="11">
        <v>1609515.1500000001</v>
      </c>
      <c r="TQ28" s="11">
        <v>16757590.030000001</v>
      </c>
      <c r="TR28" s="11">
        <v>4918930.34</v>
      </c>
      <c r="TS28" s="11">
        <v>14655982.5</v>
      </c>
      <c r="TT28" s="11">
        <v>8633790.8599999994</v>
      </c>
      <c r="TU28" s="11">
        <v>3538252.64</v>
      </c>
      <c r="TV28" s="11">
        <v>2942937.5</v>
      </c>
      <c r="TW28" s="11">
        <v>3300899.23</v>
      </c>
      <c r="TX28" s="11">
        <v>3491115.27</v>
      </c>
      <c r="TY28" s="11">
        <v>3731816</v>
      </c>
      <c r="TZ28" s="11">
        <v>11846663.25</v>
      </c>
      <c r="UA28" s="11">
        <v>2252339.92</v>
      </c>
      <c r="UB28" s="11">
        <v>18881216.120000001</v>
      </c>
      <c r="UC28" s="11">
        <v>4409272.79</v>
      </c>
      <c r="UD28" s="11">
        <v>2238348.7400000002</v>
      </c>
      <c r="UE28" s="11">
        <v>3017715.63</v>
      </c>
      <c r="UF28" s="11">
        <v>13829661.74</v>
      </c>
      <c r="UG28" s="11">
        <v>2485560.0700000003</v>
      </c>
      <c r="UH28" s="11">
        <v>1152902.08</v>
      </c>
      <c r="UI28" s="11">
        <v>3659904.6999999997</v>
      </c>
      <c r="UJ28" s="11">
        <v>2196290.0099999998</v>
      </c>
      <c r="UK28" s="11">
        <v>19302970.699999999</v>
      </c>
      <c r="UL28" s="11">
        <v>5497636.8500000006</v>
      </c>
      <c r="UM28" s="11">
        <v>4520907.38</v>
      </c>
      <c r="UN28" s="11">
        <v>7050238.3899999997</v>
      </c>
      <c r="UO28" s="11">
        <v>6916125.4000000004</v>
      </c>
      <c r="UP28" s="11">
        <v>5062538.5299999993</v>
      </c>
      <c r="UQ28" s="11">
        <v>89238028.439999998</v>
      </c>
      <c r="UR28" s="11">
        <v>5373413.0199999996</v>
      </c>
      <c r="US28" s="11">
        <v>7786728.5</v>
      </c>
      <c r="UT28" s="11">
        <v>18200604.330000002</v>
      </c>
      <c r="UU28" s="11">
        <v>1145989.29</v>
      </c>
      <c r="UV28" s="11">
        <v>4047214.16</v>
      </c>
      <c r="UW28" s="11">
        <v>10231239.809999999</v>
      </c>
      <c r="UX28" s="11">
        <v>3561326.35</v>
      </c>
      <c r="UY28" s="11">
        <v>3200609.27</v>
      </c>
      <c r="UZ28" s="11">
        <v>4740427.88</v>
      </c>
      <c r="VA28" s="11">
        <v>11658528.59</v>
      </c>
      <c r="VB28" s="11">
        <v>10979324.43</v>
      </c>
      <c r="VC28" s="11">
        <v>5318676.79</v>
      </c>
      <c r="VD28" s="11">
        <v>7755795.7000000002</v>
      </c>
      <c r="VE28" s="11">
        <v>1950314.2</v>
      </c>
      <c r="VF28" s="11">
        <v>3088996.94</v>
      </c>
      <c r="VG28" s="11">
        <v>2471689.21</v>
      </c>
      <c r="VH28" s="11">
        <v>3774705.4</v>
      </c>
      <c r="VI28" s="11">
        <v>15595599.359999998</v>
      </c>
      <c r="VJ28" s="11">
        <v>2081684.7000000002</v>
      </c>
      <c r="VK28" s="11">
        <v>1571618.3499999999</v>
      </c>
      <c r="VL28" s="11">
        <v>1203280.6600000001</v>
      </c>
      <c r="VM28" s="11">
        <v>39997454.57</v>
      </c>
      <c r="VN28" s="11">
        <v>4230233.9000000004</v>
      </c>
      <c r="VO28" s="11">
        <v>6534470.7700000005</v>
      </c>
      <c r="VP28" s="11">
        <v>4560302.7799999993</v>
      </c>
      <c r="VQ28" s="11">
        <v>9710850.1500000004</v>
      </c>
      <c r="VR28" s="11">
        <v>5681654.5699999994</v>
      </c>
      <c r="VS28" s="11">
        <v>5701777.8499999996</v>
      </c>
      <c r="VT28" s="11">
        <v>3921851.39</v>
      </c>
      <c r="VU28" s="11">
        <v>5544918.3300000001</v>
      </c>
      <c r="VV28" s="11">
        <v>18954138.059999999</v>
      </c>
      <c r="VW28" s="11">
        <v>3557823.4699999997</v>
      </c>
      <c r="VX28" s="11">
        <v>7761507.6200000001</v>
      </c>
      <c r="VY28" s="11">
        <v>4082505.14</v>
      </c>
      <c r="VZ28" s="11">
        <v>3979918.4000000004</v>
      </c>
      <c r="WA28" s="11">
        <v>2225309.89</v>
      </c>
      <c r="WB28" s="11">
        <v>90050992.199999988</v>
      </c>
      <c r="WC28" s="11">
        <v>7073689.96</v>
      </c>
      <c r="WD28" s="11">
        <v>5765143.0100000007</v>
      </c>
      <c r="WE28" s="11">
        <v>2814944.5999999996</v>
      </c>
      <c r="WF28" s="11">
        <v>3616727.37</v>
      </c>
      <c r="WG28" s="11">
        <v>5673628.4100000001</v>
      </c>
      <c r="WH28" s="11">
        <v>6808766.290000001</v>
      </c>
      <c r="WI28" s="11">
        <v>7644367.4499999993</v>
      </c>
      <c r="WJ28" s="11">
        <v>3250906.2</v>
      </c>
      <c r="WK28" s="11">
        <v>6077827.3900000006</v>
      </c>
      <c r="WL28" s="11">
        <v>3056167.05</v>
      </c>
      <c r="WM28" s="11">
        <v>11110398.41</v>
      </c>
      <c r="WN28" s="11">
        <v>5474390.4900000002</v>
      </c>
      <c r="WO28" s="11">
        <v>5241918.49</v>
      </c>
      <c r="WP28" s="11">
        <v>5466104.4699999997</v>
      </c>
      <c r="WQ28" s="11">
        <v>6476064.7000000002</v>
      </c>
      <c r="WR28" s="11">
        <v>5076863.91</v>
      </c>
      <c r="WS28" s="11">
        <v>9173706.3099999987</v>
      </c>
      <c r="WT28" s="11">
        <v>2834109.9299999997</v>
      </c>
      <c r="WU28" s="11">
        <v>13680724.959999999</v>
      </c>
      <c r="WV28" s="11">
        <v>22188091.089999996</v>
      </c>
      <c r="WW28" s="11">
        <v>4630450.3499999996</v>
      </c>
      <c r="WX28" s="11">
        <v>2626062.35</v>
      </c>
      <c r="WY28" s="11">
        <v>2979050.69</v>
      </c>
      <c r="WZ28" s="11">
        <v>3685975.67</v>
      </c>
      <c r="XA28" s="11">
        <v>2711182.91</v>
      </c>
      <c r="XB28" s="11">
        <v>2905086.23</v>
      </c>
      <c r="XC28" s="11">
        <v>2617088.12</v>
      </c>
      <c r="XD28" s="11">
        <v>8478984.709999999</v>
      </c>
      <c r="XE28" s="11">
        <v>3071988.26</v>
      </c>
      <c r="XF28" s="11">
        <v>1776406.8599999999</v>
      </c>
      <c r="XG28" s="11">
        <v>2582016.7400000002</v>
      </c>
      <c r="XH28" s="11">
        <v>2090784.64</v>
      </c>
      <c r="XI28" s="11">
        <v>59190981.599999994</v>
      </c>
      <c r="XJ28" s="11">
        <v>9491198.3399999999</v>
      </c>
      <c r="XK28" s="11">
        <v>6431519.9000000004</v>
      </c>
      <c r="XL28" s="11">
        <v>24035821.410000004</v>
      </c>
      <c r="XM28" s="11">
        <v>3290998.9099999997</v>
      </c>
      <c r="XN28" s="11">
        <v>5045910.82</v>
      </c>
      <c r="XO28" s="11">
        <v>9725733.8099999987</v>
      </c>
      <c r="XP28" s="11">
        <v>4381698.6400000006</v>
      </c>
      <c r="XQ28" s="11">
        <v>6129318.8499999996</v>
      </c>
      <c r="XR28" s="11">
        <v>7522385.6900000004</v>
      </c>
      <c r="XS28" s="11">
        <v>7379248.6999999993</v>
      </c>
      <c r="XT28" s="11">
        <v>3428276.09</v>
      </c>
      <c r="XU28" s="11">
        <v>3535398.25</v>
      </c>
      <c r="XV28" s="11">
        <v>4058561.78</v>
      </c>
      <c r="XW28" s="11">
        <v>3569446.7</v>
      </c>
      <c r="XX28" s="11">
        <v>2242835.0499999998</v>
      </c>
      <c r="XY28" s="11">
        <v>3158902.73</v>
      </c>
      <c r="XZ28" s="11">
        <v>2336469.0300000003</v>
      </c>
      <c r="YA28" s="11">
        <v>2171454.91</v>
      </c>
      <c r="YB28" s="11">
        <v>2485354.73</v>
      </c>
      <c r="YC28" s="11">
        <v>3123324.08</v>
      </c>
      <c r="YD28" s="11">
        <v>2298535.77</v>
      </c>
      <c r="YE28" s="11">
        <v>1648380.01</v>
      </c>
      <c r="YF28" s="11">
        <v>51373358.509999998</v>
      </c>
      <c r="YG28" s="11">
        <v>3543573.97</v>
      </c>
      <c r="YH28" s="11">
        <v>8737676.0800000001</v>
      </c>
      <c r="YI28" s="11">
        <v>3193244.17</v>
      </c>
      <c r="YJ28" s="11">
        <v>12029743.690000001</v>
      </c>
      <c r="YK28" s="11">
        <v>6097237.3399999999</v>
      </c>
      <c r="YL28" s="11">
        <v>6946336.5499999998</v>
      </c>
      <c r="YM28" s="11">
        <v>2971128.5</v>
      </c>
      <c r="YN28" s="11">
        <v>32820907.800000001</v>
      </c>
      <c r="YO28" s="11">
        <v>13531311.350000001</v>
      </c>
      <c r="YP28" s="11">
        <v>9090014.3699999992</v>
      </c>
      <c r="YQ28" s="11">
        <v>4607369.0600000005</v>
      </c>
      <c r="YR28" s="11">
        <v>5213666.5500000007</v>
      </c>
      <c r="YS28" s="11">
        <v>3108549.1</v>
      </c>
      <c r="YT28" s="11">
        <v>2816680.67</v>
      </c>
      <c r="YU28" s="11">
        <v>2613360.7399999998</v>
      </c>
      <c r="YV28" s="11">
        <v>2640048.09</v>
      </c>
      <c r="YW28" s="11">
        <v>29958294.049999997</v>
      </c>
      <c r="YX28" s="11">
        <v>5480872.9500000002</v>
      </c>
      <c r="YY28" s="11">
        <v>1646314.55</v>
      </c>
      <c r="YZ28" s="11">
        <v>1801078.9100000001</v>
      </c>
      <c r="ZA28" s="11">
        <v>1756190.9</v>
      </c>
      <c r="ZB28" s="11">
        <v>1844766.0999999999</v>
      </c>
      <c r="ZC28" s="11">
        <v>1499195.85</v>
      </c>
      <c r="ZD28" s="11">
        <v>25190131.57</v>
      </c>
      <c r="ZE28" s="11">
        <v>2195196.14</v>
      </c>
      <c r="ZF28" s="11">
        <v>7083654.5700000003</v>
      </c>
      <c r="ZG28" s="11">
        <v>3556879.6</v>
      </c>
      <c r="ZH28" s="11">
        <v>2694388.24</v>
      </c>
      <c r="ZI28" s="11">
        <v>3447207.72</v>
      </c>
      <c r="ZJ28" s="11">
        <v>3372452.94</v>
      </c>
      <c r="ZK28" s="11">
        <v>1702506.47</v>
      </c>
      <c r="ZL28" s="11">
        <v>10593401.199999999</v>
      </c>
      <c r="ZM28" s="11">
        <v>65508905.090000004</v>
      </c>
      <c r="ZN28" s="11">
        <v>2936721.61</v>
      </c>
      <c r="ZO28" s="11">
        <v>6604258</v>
      </c>
      <c r="ZP28" s="11">
        <v>22322331.890000001</v>
      </c>
      <c r="ZQ28" s="11">
        <v>9671534.6999999993</v>
      </c>
      <c r="ZR28" s="11">
        <v>2877247.61</v>
      </c>
      <c r="ZS28" s="11">
        <v>5118444.9399999995</v>
      </c>
      <c r="ZT28" s="11">
        <v>6739029.1500000004</v>
      </c>
      <c r="ZU28" s="11">
        <v>8475098.2100000009</v>
      </c>
      <c r="ZV28" s="11">
        <v>6414900.9299999997</v>
      </c>
      <c r="ZW28" s="11">
        <v>970663.90999999992</v>
      </c>
      <c r="ZX28" s="11">
        <v>8362233.8099999996</v>
      </c>
      <c r="ZY28" s="11">
        <v>2838665.15</v>
      </c>
      <c r="ZZ28" s="11">
        <v>6112471.0199999996</v>
      </c>
      <c r="AAA28" s="11">
        <v>5184840.2700000005</v>
      </c>
      <c r="AAB28" s="11">
        <v>3217149.3899999997</v>
      </c>
      <c r="AAC28" s="11">
        <v>6660262.8900000006</v>
      </c>
      <c r="AAD28" s="11">
        <v>6209256.5200000005</v>
      </c>
      <c r="AAE28" s="11">
        <v>3957027.02</v>
      </c>
      <c r="AAF28" s="11">
        <v>3147288.15</v>
      </c>
      <c r="AAG28" s="11">
        <v>1712440.04</v>
      </c>
      <c r="AAH28" s="11">
        <v>1558032.5</v>
      </c>
      <c r="AAI28" s="11">
        <v>19355891.199999999</v>
      </c>
      <c r="AAJ28" s="11">
        <v>4122827.8200000003</v>
      </c>
      <c r="AAK28" s="11">
        <v>2471225.13</v>
      </c>
      <c r="AAL28" s="11">
        <v>2844312.53</v>
      </c>
      <c r="AAM28" s="11">
        <v>2227836.54</v>
      </c>
      <c r="AAN28" s="11">
        <v>7436675.4199999999</v>
      </c>
      <c r="AAO28" s="11">
        <v>1818491.53</v>
      </c>
      <c r="AAP28" s="11">
        <v>87048500.519999996</v>
      </c>
      <c r="AAQ28" s="11">
        <v>6439117.2400000002</v>
      </c>
      <c r="AAR28" s="11">
        <v>3462458.08</v>
      </c>
      <c r="AAS28" s="11">
        <v>12203399.5</v>
      </c>
      <c r="AAT28" s="11">
        <v>4288221.3500000006</v>
      </c>
      <c r="AAU28" s="11">
        <v>5635939.7100000009</v>
      </c>
      <c r="AAV28" s="11">
        <v>6640707.6900000004</v>
      </c>
      <c r="AAW28" s="11">
        <v>7276563.3799999999</v>
      </c>
      <c r="AAX28" s="11">
        <v>13491937.390000001</v>
      </c>
      <c r="AAY28" s="11">
        <v>3813681.13</v>
      </c>
      <c r="AAZ28" s="11">
        <v>7876411.6299999999</v>
      </c>
      <c r="ABA28" s="11">
        <v>10413009.449999999</v>
      </c>
      <c r="ABB28" s="11">
        <v>11402512.01</v>
      </c>
      <c r="ABC28" s="11">
        <v>1737308.18</v>
      </c>
      <c r="ABD28" s="11">
        <v>4648337.76</v>
      </c>
      <c r="ABE28" s="11">
        <v>2632042.7400000002</v>
      </c>
      <c r="ABF28" s="11">
        <v>2058179.5499999998</v>
      </c>
      <c r="ABG28" s="11">
        <v>5088146.3499999996</v>
      </c>
      <c r="ABH28" s="11">
        <v>3297068.5999999996</v>
      </c>
      <c r="ABI28" s="11">
        <v>24141019.830000002</v>
      </c>
      <c r="ABJ28" s="11">
        <v>11900474.16</v>
      </c>
      <c r="ABK28" s="11">
        <v>2440551.77</v>
      </c>
      <c r="ABL28" s="11">
        <v>2072657.31</v>
      </c>
      <c r="ABM28" s="11">
        <v>1861805.41</v>
      </c>
      <c r="ABN28" s="11">
        <v>2898803.3</v>
      </c>
      <c r="ABO28" s="11">
        <v>1395606.46</v>
      </c>
      <c r="ABP28" s="11">
        <v>29009325</v>
      </c>
      <c r="ABQ28" s="11">
        <v>2719468.53</v>
      </c>
      <c r="ABR28" s="11">
        <v>2005704.6800000002</v>
      </c>
      <c r="ABS28" s="11">
        <v>4533075.37</v>
      </c>
      <c r="ABT28" s="11">
        <v>2378105.09</v>
      </c>
      <c r="ABU28" s="11">
        <v>6466287.2699999996</v>
      </c>
      <c r="ABV28" s="11">
        <v>1637295.46</v>
      </c>
      <c r="ABW28" s="11">
        <v>1708143.79</v>
      </c>
      <c r="ABX28" s="11">
        <v>451888</v>
      </c>
      <c r="ABY28" s="11">
        <v>23051169.640000001</v>
      </c>
      <c r="ABZ28" s="11">
        <v>1596076.7</v>
      </c>
      <c r="ACA28" s="11">
        <v>4617601.2300000004</v>
      </c>
      <c r="ACB28" s="11">
        <v>1914050.08</v>
      </c>
      <c r="ACC28" s="11">
        <v>3252367.88</v>
      </c>
      <c r="ACD28" s="11">
        <v>9771162.6999999993</v>
      </c>
      <c r="ACE28" s="11">
        <v>1801033</v>
      </c>
      <c r="ACF28" s="11">
        <v>1836559.5500000003</v>
      </c>
      <c r="ACG28" s="11">
        <v>1342047.21</v>
      </c>
      <c r="ACH28" s="11">
        <v>4035325.58</v>
      </c>
      <c r="ACI28" s="11">
        <v>1677886.44</v>
      </c>
      <c r="ACJ28" s="11">
        <v>102773092.87</v>
      </c>
      <c r="ACK28" s="11">
        <v>3748491.71</v>
      </c>
      <c r="ACL28" s="11">
        <v>2615114.73</v>
      </c>
      <c r="ACM28" s="11">
        <v>9856706.4299999997</v>
      </c>
      <c r="ACN28" s="11">
        <v>1094706.6000000001</v>
      </c>
      <c r="ACO28" s="11">
        <v>4756750.51</v>
      </c>
      <c r="ACP28" s="11">
        <v>4659844.43</v>
      </c>
      <c r="ACQ28" s="11">
        <v>27279640.02</v>
      </c>
      <c r="ACR28" s="11">
        <v>8222028.5100000007</v>
      </c>
      <c r="ACS28" s="11">
        <v>2574804.0700000003</v>
      </c>
      <c r="ACT28" s="11">
        <v>2326072.23</v>
      </c>
      <c r="ACU28" s="11">
        <v>3095005.01</v>
      </c>
      <c r="ACV28" s="11">
        <v>6317846.4000000004</v>
      </c>
      <c r="ACW28" s="11">
        <v>12828963.59</v>
      </c>
      <c r="ACX28" s="11">
        <v>9917984.1799999997</v>
      </c>
      <c r="ACY28" s="11">
        <v>5120281.7699999996</v>
      </c>
      <c r="ACZ28" s="11">
        <v>2750797.2699999996</v>
      </c>
      <c r="ADA28" s="11">
        <v>3509552.31</v>
      </c>
      <c r="ADB28" s="11">
        <v>1666524.61</v>
      </c>
      <c r="ADC28" s="11">
        <v>1962423</v>
      </c>
      <c r="ADD28" s="11">
        <v>1100331.5</v>
      </c>
      <c r="ADE28" s="11">
        <v>5111627.88</v>
      </c>
      <c r="ADF28" s="11">
        <v>3025541.1</v>
      </c>
      <c r="ADG28" s="11">
        <v>11864067.720000001</v>
      </c>
      <c r="ADH28" s="11">
        <v>11100237.640000001</v>
      </c>
      <c r="ADI28" s="11">
        <v>2967852.6300000004</v>
      </c>
      <c r="ADJ28" s="11">
        <v>637015.54</v>
      </c>
      <c r="ADK28" s="11">
        <v>4671641.49</v>
      </c>
      <c r="ADL28" s="11">
        <v>322517.75</v>
      </c>
      <c r="ADM28" s="11">
        <v>3561216.2</v>
      </c>
      <c r="ADN28" s="11">
        <v>767113.14999999991</v>
      </c>
      <c r="ADO28" s="11">
        <v>1802244.26</v>
      </c>
      <c r="ADP28" s="11">
        <v>46039216.43</v>
      </c>
      <c r="ADQ28" s="11">
        <v>5148007.42</v>
      </c>
      <c r="ADR28" s="11">
        <v>5357864.42</v>
      </c>
      <c r="ADS28" s="11">
        <v>1459832.5499999998</v>
      </c>
      <c r="ADT28" s="11">
        <v>26209002.610000003</v>
      </c>
      <c r="ADU28" s="11">
        <v>707050.6</v>
      </c>
      <c r="ADV28" s="11">
        <v>4412145.87</v>
      </c>
      <c r="ADW28" s="11">
        <v>3239301.4</v>
      </c>
      <c r="ADX28" s="11">
        <v>2302213</v>
      </c>
      <c r="ADY28" s="11">
        <v>472709</v>
      </c>
      <c r="ADZ28" s="11">
        <v>31303582.57</v>
      </c>
      <c r="AEA28" s="11">
        <v>18938216.550000001</v>
      </c>
      <c r="AEB28" s="11">
        <v>36020878.32</v>
      </c>
      <c r="AEC28" s="11">
        <v>11717976.67</v>
      </c>
      <c r="AED28" s="11">
        <v>5365018.34</v>
      </c>
      <c r="AEE28" s="11">
        <v>3550212.2900000005</v>
      </c>
      <c r="AEF28" s="11">
        <v>2493847.04</v>
      </c>
      <c r="AEG28" s="11">
        <v>5027964.2399999993</v>
      </c>
      <c r="AEH28" s="11">
        <v>2025473.31</v>
      </c>
      <c r="AEI28" s="11">
        <v>1813216.8299999998</v>
      </c>
      <c r="AEJ28" s="11">
        <v>19010115.849999998</v>
      </c>
      <c r="AEK28" s="11">
        <v>3623649.2399999998</v>
      </c>
      <c r="AEL28" s="11">
        <v>1372823.05</v>
      </c>
      <c r="AEM28" s="11">
        <v>3812549.89</v>
      </c>
      <c r="AEN28" s="11">
        <v>5427417.4199999999</v>
      </c>
      <c r="AEO28" s="11">
        <v>2251144.3800000004</v>
      </c>
      <c r="AEP28" s="11">
        <v>3360793.1799999997</v>
      </c>
      <c r="AEQ28" s="11">
        <v>6747834.7300000004</v>
      </c>
      <c r="AER28" s="11">
        <v>974395.68</v>
      </c>
      <c r="AES28" s="11">
        <v>4356007.5199999996</v>
      </c>
      <c r="AET28" s="11">
        <v>45702740.579999998</v>
      </c>
      <c r="AEU28" s="11">
        <v>5898431.5</v>
      </c>
      <c r="AEV28" s="11">
        <v>5468530.9799999995</v>
      </c>
      <c r="AEW28" s="11">
        <v>8959589.7300000004</v>
      </c>
      <c r="AEX28" s="11">
        <v>5279559.3699999992</v>
      </c>
      <c r="AEY28" s="11">
        <v>15631603.6</v>
      </c>
      <c r="AEZ28" s="11">
        <v>6650867.2299999995</v>
      </c>
      <c r="AFA28" s="11">
        <v>6152481.46</v>
      </c>
      <c r="AFB28" s="11">
        <v>4335213.2</v>
      </c>
      <c r="AFC28" s="11">
        <v>2557595.37</v>
      </c>
      <c r="AFD28" s="11">
        <v>38026293.640000001</v>
      </c>
      <c r="AFE28" s="11">
        <v>26329315.939999998</v>
      </c>
      <c r="AFF28" s="11">
        <v>14170413.760000002</v>
      </c>
      <c r="AFG28" s="11">
        <v>3886782.32</v>
      </c>
      <c r="AFH28" s="11">
        <v>17397028.43</v>
      </c>
      <c r="AFI28" s="11">
        <v>8501435.6400000006</v>
      </c>
      <c r="AFJ28" s="11">
        <v>6071163.3399999999</v>
      </c>
      <c r="AFK28" s="11">
        <v>5339474.42</v>
      </c>
      <c r="AFL28" s="11">
        <v>1745660.04</v>
      </c>
      <c r="AFM28" s="11">
        <v>7184508.9899999993</v>
      </c>
      <c r="AFN28" s="11">
        <v>8531521.4699999988</v>
      </c>
      <c r="AFO28" s="11">
        <v>4702580.79</v>
      </c>
      <c r="AFP28" s="11">
        <v>2320264.88</v>
      </c>
      <c r="AFQ28" s="11">
        <v>25109337.849999998</v>
      </c>
      <c r="AFR28" s="11">
        <v>12120166.619999999</v>
      </c>
      <c r="AFS28" s="11">
        <v>12779129.84</v>
      </c>
      <c r="AFT28" s="11">
        <v>3063925.35</v>
      </c>
      <c r="AFU28" s="11">
        <v>8308785.8499999996</v>
      </c>
      <c r="AFV28" s="11">
        <v>6287314.5</v>
      </c>
      <c r="AFW28" s="11">
        <v>4304234.79</v>
      </c>
      <c r="AFX28" s="11">
        <v>7223614.0300000003</v>
      </c>
      <c r="AFY28" s="11">
        <v>8388838.0199999996</v>
      </c>
      <c r="AFZ28" s="11">
        <v>1761248.68</v>
      </c>
      <c r="AGA28" s="11">
        <v>9475694.3499999996</v>
      </c>
      <c r="AGB28" s="11">
        <v>6086661.1100000003</v>
      </c>
      <c r="AGC28" s="11">
        <v>49290370.32</v>
      </c>
      <c r="AGD28" s="11">
        <v>5901580.5599999996</v>
      </c>
      <c r="AGE28" s="11">
        <v>6774397.3599999994</v>
      </c>
      <c r="AGF28" s="11">
        <v>5647913.9100000001</v>
      </c>
      <c r="AGG28" s="11">
        <v>10176060.290000001</v>
      </c>
      <c r="AGH28" s="11">
        <v>6191119.4000000004</v>
      </c>
      <c r="AGI28" s="11">
        <v>1955900</v>
      </c>
      <c r="AGJ28" s="11">
        <v>3411706.1799999997</v>
      </c>
      <c r="AGK28" s="11">
        <v>4073772.56</v>
      </c>
      <c r="AGL28" s="11">
        <v>4944317.83</v>
      </c>
      <c r="AGM28" s="11">
        <v>1688014.8299999998</v>
      </c>
      <c r="AGN28" s="11">
        <v>47717957.969999991</v>
      </c>
      <c r="AGO28" s="11">
        <v>7790483.2399999993</v>
      </c>
      <c r="AGP28" s="11">
        <v>3758168.75</v>
      </c>
      <c r="AGQ28" s="11">
        <v>3649485.15</v>
      </c>
      <c r="AGR28" s="11">
        <v>17665546.02</v>
      </c>
      <c r="AGS28" s="11">
        <v>9375816.3999999985</v>
      </c>
      <c r="AGT28" s="11">
        <v>4104289.67</v>
      </c>
      <c r="AGU28" s="11">
        <v>6246583.0700000003</v>
      </c>
      <c r="AGV28" s="11">
        <v>52500876.939999998</v>
      </c>
      <c r="AGW28" s="11">
        <v>35228412.490000002</v>
      </c>
      <c r="AGX28" s="11">
        <v>5535886.21</v>
      </c>
      <c r="AGY28" s="11">
        <v>7878072.3900000006</v>
      </c>
      <c r="AGZ28" s="11">
        <v>14868839.020000001</v>
      </c>
      <c r="AHA28" s="11">
        <v>9761305.9699999988</v>
      </c>
      <c r="AHB28" s="11">
        <v>7880777.2999999998</v>
      </c>
      <c r="AHC28" s="11">
        <v>4521218.6499999994</v>
      </c>
      <c r="AHD28" s="11">
        <v>1981986.99</v>
      </c>
      <c r="AHE28" s="11">
        <v>4449255.4800000004</v>
      </c>
      <c r="AHF28" s="11">
        <v>6264934.9799999995</v>
      </c>
      <c r="AHG28" s="11">
        <v>2507193.5</v>
      </c>
      <c r="AHH28" s="11">
        <v>1457110.65</v>
      </c>
      <c r="AHI28" s="11">
        <v>2226099.2000000002</v>
      </c>
      <c r="AHJ28" s="11">
        <v>4970389.05</v>
      </c>
      <c r="AHK28" s="11">
        <v>5563506.6500000004</v>
      </c>
      <c r="AHL28" s="11">
        <v>2210285.7999999998</v>
      </c>
      <c r="AHM28" s="11">
        <v>20824739.649999999</v>
      </c>
      <c r="AHN28" s="11">
        <v>1845994.1800000002</v>
      </c>
      <c r="AHO28" s="11">
        <v>5596866.0899999999</v>
      </c>
      <c r="AHP28" s="11">
        <v>3702639.83</v>
      </c>
      <c r="AHQ28" s="11">
        <v>5257336.8499999996</v>
      </c>
      <c r="AHR28" s="11">
        <v>2168916.5499999998</v>
      </c>
      <c r="AHS28" s="11">
        <v>1636603.86</v>
      </c>
      <c r="AHT28" s="11">
        <v>7148948206.2825089</v>
      </c>
      <c r="AHU28" s="11"/>
    </row>
    <row r="29" spans="2:905" x14ac:dyDescent="0.7">
      <c r="B29" s="6" t="s">
        <v>39</v>
      </c>
      <c r="C29" s="6" t="s">
        <v>40</v>
      </c>
      <c r="D29" s="11">
        <v>187685129.09000006</v>
      </c>
      <c r="E29" s="11">
        <v>7890905.4000000004</v>
      </c>
      <c r="F29" s="11">
        <v>8751586</v>
      </c>
      <c r="G29" s="11">
        <v>4374624.0299999993</v>
      </c>
      <c r="H29" s="11">
        <v>28631234.980000004</v>
      </c>
      <c r="I29" s="11">
        <v>6746658.2899999982</v>
      </c>
      <c r="J29" s="11">
        <v>18570313.1822</v>
      </c>
      <c r="K29" s="11">
        <v>11745024.610000001</v>
      </c>
      <c r="L29" s="11">
        <v>10539582.66</v>
      </c>
      <c r="M29" s="11">
        <v>7823227.4899999993</v>
      </c>
      <c r="N29" s="11">
        <v>4502110.3100000005</v>
      </c>
      <c r="O29" s="11">
        <v>4266379.38</v>
      </c>
      <c r="P29" s="11">
        <v>7337337.0600000005</v>
      </c>
      <c r="Q29" s="11">
        <v>7253454.2699999996</v>
      </c>
      <c r="R29" s="11">
        <v>6231352.3999999994</v>
      </c>
      <c r="S29" s="11">
        <v>8627247.0699999984</v>
      </c>
      <c r="T29" s="11">
        <v>6429108.879999999</v>
      </c>
      <c r="U29" s="11">
        <v>3230508.2299999991</v>
      </c>
      <c r="V29" s="11">
        <v>175681824.41</v>
      </c>
      <c r="W29" s="11">
        <v>27411928.120000005</v>
      </c>
      <c r="X29" s="11">
        <v>10313270</v>
      </c>
      <c r="Y29" s="11">
        <v>10229636.449999999</v>
      </c>
      <c r="Z29" s="11">
        <v>6365361.4999999991</v>
      </c>
      <c r="AA29" s="11">
        <v>5289708.1499999994</v>
      </c>
      <c r="AB29" s="11">
        <v>1228095.9900000002</v>
      </c>
      <c r="AC29" s="11">
        <v>30764676.960000001</v>
      </c>
      <c r="AD29" s="11">
        <v>11106998.600000001</v>
      </c>
      <c r="AE29" s="11">
        <v>2914992.9</v>
      </c>
      <c r="AF29" s="11">
        <v>15221987.459999999</v>
      </c>
      <c r="AG29" s="11">
        <v>6821835.4299999997</v>
      </c>
      <c r="AH29" s="11">
        <v>40438119.599999994</v>
      </c>
      <c r="AI29" s="11">
        <v>6903847.7200000007</v>
      </c>
      <c r="AJ29" s="11">
        <v>6679382.5899999999</v>
      </c>
      <c r="AK29" s="11">
        <v>4256578.0199999996</v>
      </c>
      <c r="AL29" s="11">
        <v>4327524.6899999995</v>
      </c>
      <c r="AM29" s="11">
        <v>3637321.4200000004</v>
      </c>
      <c r="AN29" s="11">
        <v>3985709.5500000003</v>
      </c>
      <c r="AO29" s="11">
        <v>1930908.2000000002</v>
      </c>
      <c r="AP29" s="11">
        <v>5984419.1299999999</v>
      </c>
      <c r="AQ29" s="11">
        <v>3445141.6200000006</v>
      </c>
      <c r="AR29" s="11">
        <v>2580153.5699999994</v>
      </c>
      <c r="AS29" s="11">
        <v>6087263.75</v>
      </c>
      <c r="AT29" s="11">
        <v>77775037.709999993</v>
      </c>
      <c r="AU29" s="11">
        <v>1494680.42</v>
      </c>
      <c r="AV29" s="11">
        <v>2799084.6100000008</v>
      </c>
      <c r="AW29" s="11">
        <v>1902635.55</v>
      </c>
      <c r="AX29" s="11">
        <v>5278274.42</v>
      </c>
      <c r="AY29" s="11">
        <v>5148591.83</v>
      </c>
      <c r="AZ29" s="11">
        <v>1679595.71</v>
      </c>
      <c r="BA29" s="11">
        <v>2685326.0900000003</v>
      </c>
      <c r="BB29" s="11">
        <v>2257511.5400000005</v>
      </c>
      <c r="BC29" s="11">
        <v>1637161.57</v>
      </c>
      <c r="BD29" s="11">
        <v>3035061.4099999997</v>
      </c>
      <c r="BE29" s="11">
        <v>1497211.31</v>
      </c>
      <c r="BF29" s="11">
        <v>21473636.909999996</v>
      </c>
      <c r="BG29" s="11">
        <v>3305882.3800000004</v>
      </c>
      <c r="BH29" s="11">
        <v>2644912.9099999997</v>
      </c>
      <c r="BI29" s="11">
        <v>46920174.469999999</v>
      </c>
      <c r="BJ29" s="11">
        <v>33322097.329999998</v>
      </c>
      <c r="BK29" s="11">
        <v>8033994.9500000002</v>
      </c>
      <c r="BL29" s="11">
        <v>2968305.4099999997</v>
      </c>
      <c r="BM29" s="11">
        <v>5670069.6099999994</v>
      </c>
      <c r="BN29" s="11">
        <v>5080651.7699999996</v>
      </c>
      <c r="BO29" s="11">
        <v>5775876.4000000004</v>
      </c>
      <c r="BP29" s="11">
        <v>3413431.0600000005</v>
      </c>
      <c r="BQ29" s="11">
        <v>2383154.91</v>
      </c>
      <c r="BR29" s="11">
        <v>98925420.540000007</v>
      </c>
      <c r="BS29" s="11">
        <v>6051413.9199999999</v>
      </c>
      <c r="BT29" s="11">
        <v>4822847.6000000006</v>
      </c>
      <c r="BU29" s="11">
        <v>4800448.9099999992</v>
      </c>
      <c r="BV29" s="11">
        <v>3575634.9899999998</v>
      </c>
      <c r="BW29" s="11">
        <v>3921802.81</v>
      </c>
      <c r="BX29" s="11">
        <v>3219124.89</v>
      </c>
      <c r="BY29" s="11">
        <v>5984001.0099999998</v>
      </c>
      <c r="BZ29" s="11">
        <v>41296397.269999981</v>
      </c>
      <c r="CA29" s="11">
        <v>5307109.4900000012</v>
      </c>
      <c r="CB29" s="11">
        <v>8507202.879999999</v>
      </c>
      <c r="CC29" s="11">
        <v>18477335.780000001</v>
      </c>
      <c r="CD29" s="11">
        <v>2599361.9099999997</v>
      </c>
      <c r="CE29" s="11">
        <v>3712610.5900000003</v>
      </c>
      <c r="CF29" s="11">
        <v>4671166.8</v>
      </c>
      <c r="CG29" s="11">
        <v>150873374.72999999</v>
      </c>
      <c r="CH29" s="11">
        <v>5430886.7300000004</v>
      </c>
      <c r="CI29" s="11">
        <v>20236392.940000009</v>
      </c>
      <c r="CJ29" s="11">
        <v>2455617.7800000003</v>
      </c>
      <c r="CK29" s="11">
        <v>4255289.79</v>
      </c>
      <c r="CL29" s="11">
        <v>2122260.4800000004</v>
      </c>
      <c r="CM29" s="11">
        <v>4134198.06</v>
      </c>
      <c r="CN29" s="11">
        <v>20039079.829999998</v>
      </c>
      <c r="CO29" s="11">
        <v>1925800.3199999998</v>
      </c>
      <c r="CP29" s="11">
        <v>4363312.09</v>
      </c>
      <c r="CQ29" s="11">
        <v>3434571.89</v>
      </c>
      <c r="CR29" s="11">
        <v>2590523.9199999995</v>
      </c>
      <c r="CS29" s="11">
        <v>2999924.4600000004</v>
      </c>
      <c r="CT29" s="11">
        <v>60202127.350000009</v>
      </c>
      <c r="CU29" s="11">
        <v>2397550.9899999998</v>
      </c>
      <c r="CV29" s="11">
        <v>4036703.24</v>
      </c>
      <c r="CW29" s="11">
        <v>7588545.7700000005</v>
      </c>
      <c r="CX29" s="11">
        <v>3771430.4</v>
      </c>
      <c r="CY29" s="11">
        <v>11720272.01</v>
      </c>
      <c r="CZ29" s="11">
        <v>3255458.2899999996</v>
      </c>
      <c r="DA29" s="11">
        <v>2536332.8099999996</v>
      </c>
      <c r="DB29" s="11">
        <v>63869871.169999994</v>
      </c>
      <c r="DC29" s="11">
        <v>47806858.060000002</v>
      </c>
      <c r="DD29" s="11">
        <v>6839646.5499999989</v>
      </c>
      <c r="DE29" s="11">
        <v>4188285.75</v>
      </c>
      <c r="DF29" s="11">
        <v>19458594.049999997</v>
      </c>
      <c r="DG29" s="11">
        <v>18600473.950000003</v>
      </c>
      <c r="DH29" s="11">
        <v>11463209.98</v>
      </c>
      <c r="DI29" s="11">
        <v>13058826.32</v>
      </c>
      <c r="DJ29" s="11">
        <v>6889772.1599999992</v>
      </c>
      <c r="DK29" s="11">
        <v>238287260.33999997</v>
      </c>
      <c r="DL29" s="11">
        <v>7363329.8800000008</v>
      </c>
      <c r="DM29" s="11">
        <v>12015930.450000001</v>
      </c>
      <c r="DN29" s="11">
        <v>9813377.2699999977</v>
      </c>
      <c r="DO29" s="11">
        <v>6984511.4900000002</v>
      </c>
      <c r="DP29" s="11">
        <v>7518045.7799999993</v>
      </c>
      <c r="DQ29" s="11">
        <v>12848859.199999999</v>
      </c>
      <c r="DR29" s="11">
        <v>6043167.6899999995</v>
      </c>
      <c r="DS29" s="11">
        <v>25046574.350000009</v>
      </c>
      <c r="DT29" s="11">
        <v>91902698.039999992</v>
      </c>
      <c r="DU29" s="11">
        <v>7008672.7800000003</v>
      </c>
      <c r="DV29" s="11">
        <v>26576232.68</v>
      </c>
      <c r="DW29" s="11">
        <v>28617185.960000001</v>
      </c>
      <c r="DX29" s="11">
        <v>5906373.5999999996</v>
      </c>
      <c r="DY29" s="11">
        <v>6194971.2400000002</v>
      </c>
      <c r="DZ29" s="11">
        <v>6161440.9199999999</v>
      </c>
      <c r="EA29" s="11">
        <v>4341652.3099999996</v>
      </c>
      <c r="EB29" s="11">
        <v>4943383.51</v>
      </c>
      <c r="EC29" s="11">
        <v>4547727.43</v>
      </c>
      <c r="ED29" s="11">
        <v>17411877.020000003</v>
      </c>
      <c r="EE29" s="11">
        <v>50069257.949999996</v>
      </c>
      <c r="EF29" s="11">
        <v>34916971.609999999</v>
      </c>
      <c r="EG29" s="11">
        <v>3294398.7600000002</v>
      </c>
      <c r="EH29" s="11">
        <v>6932958.4299999997</v>
      </c>
      <c r="EI29" s="11">
        <v>4411759.4600000009</v>
      </c>
      <c r="EJ29" s="11">
        <v>6211684.1500000004</v>
      </c>
      <c r="EK29" s="11">
        <v>12341561.889999999</v>
      </c>
      <c r="EL29" s="11">
        <v>4205710.4399999995</v>
      </c>
      <c r="EM29" s="11">
        <v>4689059.3899999987</v>
      </c>
      <c r="EN29" s="11">
        <v>81331080.439999998</v>
      </c>
      <c r="EO29" s="11">
        <v>4397653.34</v>
      </c>
      <c r="EP29" s="11">
        <v>5596240.7599999998</v>
      </c>
      <c r="EQ29" s="11">
        <v>5636369.4500000002</v>
      </c>
      <c r="ER29" s="11">
        <v>4859375.1900000004</v>
      </c>
      <c r="ES29" s="11">
        <v>4636444.1800000016</v>
      </c>
      <c r="ET29" s="11">
        <v>7690082.0199999986</v>
      </c>
      <c r="EU29" s="11">
        <v>7020161.0200000005</v>
      </c>
      <c r="EV29" s="11">
        <v>3696622.45</v>
      </c>
      <c r="EW29" s="11">
        <v>65913135.590000004</v>
      </c>
      <c r="EX29" s="11">
        <v>3306401.42</v>
      </c>
      <c r="EY29" s="11">
        <v>7607071.6899999995</v>
      </c>
      <c r="EZ29" s="11">
        <v>8867596.2699999996</v>
      </c>
      <c r="FA29" s="11">
        <v>21094771.91</v>
      </c>
      <c r="FB29" s="11">
        <v>12378889.319999998</v>
      </c>
      <c r="FC29" s="11">
        <v>7138793.7799999984</v>
      </c>
      <c r="FD29" s="11">
        <v>6082786.3100000015</v>
      </c>
      <c r="FE29" s="11">
        <v>5306709.8899999997</v>
      </c>
      <c r="FF29" s="11">
        <v>5494952.1200000001</v>
      </c>
      <c r="FG29" s="11">
        <v>4871028.6399999997</v>
      </c>
      <c r="FH29" s="11">
        <v>6984114.1499999994</v>
      </c>
      <c r="FI29" s="11">
        <v>70883797.480000004</v>
      </c>
      <c r="FJ29" s="11">
        <v>3583521.57</v>
      </c>
      <c r="FK29" s="11">
        <v>5087526.8199999984</v>
      </c>
      <c r="FL29" s="11">
        <v>3425923.7200000011</v>
      </c>
      <c r="FM29" s="11">
        <v>10596178.310000001</v>
      </c>
      <c r="FN29" s="11">
        <v>6406331.5800000001</v>
      </c>
      <c r="FO29" s="11">
        <v>3905532.3899999997</v>
      </c>
      <c r="FP29" s="11">
        <v>3181388</v>
      </c>
      <c r="FQ29" s="11">
        <v>217456613.60000002</v>
      </c>
      <c r="FR29" s="11">
        <v>3617216.7599999988</v>
      </c>
      <c r="FS29" s="11">
        <v>10653918.959999999</v>
      </c>
      <c r="FT29" s="11">
        <v>7383184.7200000007</v>
      </c>
      <c r="FU29" s="11">
        <v>8218541.9900000012</v>
      </c>
      <c r="FV29" s="11">
        <v>4384248.959999999</v>
      </c>
      <c r="FW29" s="11">
        <v>16865544.379999999</v>
      </c>
      <c r="FX29" s="11">
        <v>8620584.3300000001</v>
      </c>
      <c r="FY29" s="11">
        <v>7467832.0699999994</v>
      </c>
      <c r="FZ29" s="11">
        <v>4797312.49</v>
      </c>
      <c r="GA29" s="11">
        <v>15079874.039999999</v>
      </c>
      <c r="GB29" s="11">
        <v>6782807.9900000002</v>
      </c>
      <c r="GC29" s="11">
        <v>5757002.0300000003</v>
      </c>
      <c r="GD29" s="11">
        <v>5253148.3099999996</v>
      </c>
      <c r="GE29" s="11">
        <v>74895168.290000007</v>
      </c>
      <c r="GF29" s="11">
        <v>5886264.2200000007</v>
      </c>
      <c r="GG29" s="11">
        <v>3553230.41</v>
      </c>
      <c r="GH29" s="11">
        <v>13333530.620000001</v>
      </c>
      <c r="GI29" s="11">
        <v>6021053.5099999998</v>
      </c>
      <c r="GJ29" s="11">
        <v>7137587.4100000001</v>
      </c>
      <c r="GK29" s="11">
        <v>4107095.5799999996</v>
      </c>
      <c r="GL29" s="11">
        <v>12014165.129999999</v>
      </c>
      <c r="GM29" s="11">
        <v>4602576.3900000006</v>
      </c>
      <c r="GN29" s="11">
        <v>4526778.8899999997</v>
      </c>
      <c r="GO29" s="11">
        <v>3355694.2600000002</v>
      </c>
      <c r="GP29" s="11">
        <v>3220785.6999999997</v>
      </c>
      <c r="GQ29" s="11">
        <v>53931051.990000002</v>
      </c>
      <c r="GR29" s="11">
        <v>9819671.0100000016</v>
      </c>
      <c r="GS29" s="11">
        <v>5365980.0600000005</v>
      </c>
      <c r="GT29" s="11">
        <v>9678139.2200000007</v>
      </c>
      <c r="GU29" s="11">
        <v>2820790.6299999994</v>
      </c>
      <c r="GV29" s="11">
        <v>6881141.3200000003</v>
      </c>
      <c r="GW29" s="11">
        <v>6685560.3200000003</v>
      </c>
      <c r="GX29" s="11">
        <v>3858740.85</v>
      </c>
      <c r="GY29" s="11">
        <v>32826230.059999999</v>
      </c>
      <c r="GZ29" s="11">
        <v>4512764.6099999994</v>
      </c>
      <c r="HA29" s="11">
        <v>8116641.5499999998</v>
      </c>
      <c r="HB29" s="11">
        <v>11685960.989999998</v>
      </c>
      <c r="HC29" s="11">
        <v>154367381.95999998</v>
      </c>
      <c r="HD29" s="11">
        <v>21957640.23</v>
      </c>
      <c r="HE29" s="11">
        <v>18256865.84</v>
      </c>
      <c r="HF29" s="11">
        <v>33620610.280000001</v>
      </c>
      <c r="HG29" s="11">
        <v>10810487.229999999</v>
      </c>
      <c r="HH29" s="11">
        <v>22737213.249999996</v>
      </c>
      <c r="HI29" s="11">
        <v>8187281.1000000006</v>
      </c>
      <c r="HJ29" s="11">
        <v>14875368.369999999</v>
      </c>
      <c r="HK29" s="11">
        <v>76634220.989999995</v>
      </c>
      <c r="HL29" s="11">
        <v>12216446.189999999</v>
      </c>
      <c r="HM29" s="11">
        <v>24853047.239999995</v>
      </c>
      <c r="HN29" s="11">
        <v>6944243.5800000001</v>
      </c>
      <c r="HO29" s="11">
        <v>6405576.1099999994</v>
      </c>
      <c r="HP29" s="11">
        <v>5061829.83</v>
      </c>
      <c r="HQ29" s="11">
        <v>6113368.0099999988</v>
      </c>
      <c r="HR29" s="11">
        <v>4376275.29</v>
      </c>
      <c r="HS29" s="11">
        <v>67999706.859999999</v>
      </c>
      <c r="HT29" s="11">
        <v>36542066.07</v>
      </c>
      <c r="HU29" s="11">
        <v>2434084.2899999996</v>
      </c>
      <c r="HV29" s="11">
        <v>5957238.2800000003</v>
      </c>
      <c r="HW29" s="11">
        <v>5071115.7399999993</v>
      </c>
      <c r="HX29" s="11">
        <v>2851815.87</v>
      </c>
      <c r="HY29" s="11">
        <v>71467852.50999999</v>
      </c>
      <c r="HZ29" s="11">
        <v>3041918.73</v>
      </c>
      <c r="IA29" s="11">
        <v>4449076.99</v>
      </c>
      <c r="IB29" s="11">
        <v>5902276.2899999991</v>
      </c>
      <c r="IC29" s="11">
        <v>4919239.9700000007</v>
      </c>
      <c r="ID29" s="11">
        <v>11082324.540000001</v>
      </c>
      <c r="IE29" s="11">
        <v>2324756.0300000007</v>
      </c>
      <c r="IF29" s="11">
        <v>6922096.4800000004</v>
      </c>
      <c r="IG29" s="11">
        <v>3360942.9499999993</v>
      </c>
      <c r="IH29" s="11">
        <v>3353490.92</v>
      </c>
      <c r="II29" s="11">
        <v>51317989.870000005</v>
      </c>
      <c r="IJ29" s="11">
        <v>23992708.050000001</v>
      </c>
      <c r="IK29" s="11">
        <v>7691731.4099999992</v>
      </c>
      <c r="IL29" s="11">
        <v>9340160.8800000008</v>
      </c>
      <c r="IM29" s="11">
        <v>15241085.02</v>
      </c>
      <c r="IN29" s="11">
        <v>3100262.4800000004</v>
      </c>
      <c r="IO29" s="11">
        <v>8134731.2199999997</v>
      </c>
      <c r="IP29" s="11">
        <v>2154977.79</v>
      </c>
      <c r="IQ29" s="11">
        <v>3213546.7899999996</v>
      </c>
      <c r="IR29" s="11">
        <v>3025666.27</v>
      </c>
      <c r="IS29" s="11">
        <v>2144427.37</v>
      </c>
      <c r="IT29" s="11">
        <v>126302576.14000003</v>
      </c>
      <c r="IU29" s="11">
        <v>36326350.149999999</v>
      </c>
      <c r="IV29" s="11">
        <v>7475488.9399999995</v>
      </c>
      <c r="IW29" s="11">
        <v>5754815.3299999991</v>
      </c>
      <c r="IX29" s="11">
        <v>3144147.3</v>
      </c>
      <c r="IY29" s="11">
        <v>951003.84000000008</v>
      </c>
      <c r="IZ29" s="11">
        <v>2584222.42</v>
      </c>
      <c r="JA29" s="11">
        <v>1476418.1700000002</v>
      </c>
      <c r="JB29" s="11">
        <v>3313562.6900000004</v>
      </c>
      <c r="JC29" s="11">
        <v>5926751.8899999987</v>
      </c>
      <c r="JD29" s="11">
        <v>3351022.0399999996</v>
      </c>
      <c r="JE29" s="11">
        <v>2038665.83</v>
      </c>
      <c r="JF29" s="11">
        <v>41239758.539999999</v>
      </c>
      <c r="JG29" s="11">
        <v>18187501.409999996</v>
      </c>
      <c r="JH29" s="11">
        <v>2116413.37</v>
      </c>
      <c r="JI29" s="11">
        <v>2640439.0299999998</v>
      </c>
      <c r="JJ29" s="11">
        <v>2850920.82</v>
      </c>
      <c r="JK29" s="11">
        <v>2473553.5</v>
      </c>
      <c r="JL29" s="11">
        <v>30537005.450000003</v>
      </c>
      <c r="JM29" s="11">
        <v>4733486.2699999996</v>
      </c>
      <c r="JN29" s="11">
        <v>5888859.54</v>
      </c>
      <c r="JO29" s="11">
        <v>13032906.309999999</v>
      </c>
      <c r="JP29" s="11">
        <v>2616857.4300000002</v>
      </c>
      <c r="JQ29" s="11">
        <v>13228482.720000001</v>
      </c>
      <c r="JR29" s="11">
        <v>3224215.2500000005</v>
      </c>
      <c r="JS29" s="11">
        <v>131446385.63</v>
      </c>
      <c r="JT29" s="11">
        <v>21473710.289999999</v>
      </c>
      <c r="JU29" s="11">
        <v>4521709.78</v>
      </c>
      <c r="JV29" s="11">
        <v>3257073.7800000003</v>
      </c>
      <c r="JW29" s="11">
        <v>8500168.7399999984</v>
      </c>
      <c r="JX29" s="11">
        <v>3163533.99</v>
      </c>
      <c r="JY29" s="11">
        <v>27561060.520000003</v>
      </c>
      <c r="JZ29" s="11">
        <v>17052630.93</v>
      </c>
      <c r="KA29" s="11">
        <v>8126479.3199999984</v>
      </c>
      <c r="KB29" s="11">
        <v>8974967.620000001</v>
      </c>
      <c r="KC29" s="11">
        <v>2267229.9699999997</v>
      </c>
      <c r="KD29" s="11">
        <v>7005877.9699999997</v>
      </c>
      <c r="KE29" s="11">
        <v>2115414.69</v>
      </c>
      <c r="KF29" s="11">
        <v>2977374.33</v>
      </c>
      <c r="KG29" s="11">
        <v>5917528.4099999992</v>
      </c>
      <c r="KH29" s="11">
        <v>5704089.2799999984</v>
      </c>
      <c r="KI29" s="11">
        <v>57896837.530000001</v>
      </c>
      <c r="KJ29" s="11">
        <v>42601643.200000003</v>
      </c>
      <c r="KK29" s="11">
        <v>9163688.8800000008</v>
      </c>
      <c r="KL29" s="11">
        <v>4918345.3</v>
      </c>
      <c r="KM29" s="11">
        <v>13395646.809999999</v>
      </c>
      <c r="KN29" s="11">
        <v>5566817.1299999999</v>
      </c>
      <c r="KO29" s="11">
        <v>28033227.119999997</v>
      </c>
      <c r="KP29" s="11">
        <v>4561440.4200000009</v>
      </c>
      <c r="KQ29" s="11">
        <v>4089881.8499999996</v>
      </c>
      <c r="KR29" s="11">
        <v>43658035.839999989</v>
      </c>
      <c r="KS29" s="11">
        <v>4355017.9600000009</v>
      </c>
      <c r="KT29" s="11">
        <v>6643052.5599999996</v>
      </c>
      <c r="KU29" s="11">
        <v>30251747.180000007</v>
      </c>
      <c r="KV29" s="11">
        <v>6185209.9899999993</v>
      </c>
      <c r="KW29" s="11">
        <v>7551846.6899999985</v>
      </c>
      <c r="KX29" s="11">
        <v>77852629.549999997</v>
      </c>
      <c r="KY29" s="11">
        <v>6535258.5999999996</v>
      </c>
      <c r="KZ29" s="11">
        <v>78399448.389999986</v>
      </c>
      <c r="LA29" s="11">
        <v>6548370.8300000001</v>
      </c>
      <c r="LB29" s="11">
        <v>2984729.5</v>
      </c>
      <c r="LC29" s="11">
        <v>13565181.520000001</v>
      </c>
      <c r="LD29" s="11">
        <v>14089107.229999997</v>
      </c>
      <c r="LE29" s="11">
        <v>3759803.3</v>
      </c>
      <c r="LF29" s="11">
        <v>4692302.4899999993</v>
      </c>
      <c r="LG29" s="11">
        <v>4128591.28</v>
      </c>
      <c r="LH29" s="11">
        <v>61710854.110000007</v>
      </c>
      <c r="LI29" s="11">
        <v>26941462.939999998</v>
      </c>
      <c r="LJ29" s="11">
        <v>43816350.010000005</v>
      </c>
      <c r="LK29" s="11">
        <v>34710032.170000002</v>
      </c>
      <c r="LL29" s="11">
        <v>6780499.0199999996</v>
      </c>
      <c r="LM29" s="11">
        <v>4821107.9800000004</v>
      </c>
      <c r="LN29" s="11">
        <v>2633798.6100000003</v>
      </c>
      <c r="LO29" s="11">
        <v>5125971.9499999993</v>
      </c>
      <c r="LP29" s="11">
        <v>722913.80999999994</v>
      </c>
      <c r="LQ29" s="11">
        <v>5137336.83</v>
      </c>
      <c r="LR29" s="11">
        <v>4214379.22</v>
      </c>
      <c r="LS29" s="11">
        <v>66443697.609999999</v>
      </c>
      <c r="LT29" s="11">
        <v>8336420.7500000019</v>
      </c>
      <c r="LU29" s="11">
        <v>5059553.8100000005</v>
      </c>
      <c r="LV29" s="11">
        <v>36567071.640000001</v>
      </c>
      <c r="LW29" s="11">
        <v>37891951.420000002</v>
      </c>
      <c r="LX29" s="11">
        <v>139910684.97</v>
      </c>
      <c r="LY29" s="11">
        <v>29962819.390000001</v>
      </c>
      <c r="LZ29" s="11">
        <v>16498740.049999999</v>
      </c>
      <c r="MA29" s="11">
        <v>15285463.239999998</v>
      </c>
      <c r="MB29" s="11">
        <v>13557593.090000004</v>
      </c>
      <c r="MC29" s="11">
        <v>1933871.41</v>
      </c>
      <c r="MD29" s="11">
        <v>9059276.6999999993</v>
      </c>
      <c r="ME29" s="11">
        <v>17575756.809999995</v>
      </c>
      <c r="MF29" s="11">
        <v>23047710.810000002</v>
      </c>
      <c r="MG29" s="11">
        <v>7489535.0700000012</v>
      </c>
      <c r="MH29" s="11">
        <v>156236752.93000001</v>
      </c>
      <c r="MI29" s="11">
        <v>6300628.3100000005</v>
      </c>
      <c r="MJ29" s="11">
        <v>3534853.9</v>
      </c>
      <c r="MK29" s="11">
        <v>3273793.4300000006</v>
      </c>
      <c r="ML29" s="11">
        <v>4089442.4300000006</v>
      </c>
      <c r="MM29" s="11">
        <v>4257426.82</v>
      </c>
      <c r="MN29" s="11">
        <v>6048006.6700000009</v>
      </c>
      <c r="MO29" s="11">
        <v>5003966.1999999993</v>
      </c>
      <c r="MP29" s="11">
        <v>11499357.65</v>
      </c>
      <c r="MQ29" s="11">
        <v>4866501.1499999985</v>
      </c>
      <c r="MR29" s="11">
        <v>4714970.6399999997</v>
      </c>
      <c r="MS29" s="11">
        <v>5038395.1399999997</v>
      </c>
      <c r="MT29" s="11">
        <v>98137211.359999999</v>
      </c>
      <c r="MU29" s="11">
        <v>6514058.1200000001</v>
      </c>
      <c r="MV29" s="11">
        <v>6636331.2899999991</v>
      </c>
      <c r="MW29" s="11">
        <v>9091716.6899999976</v>
      </c>
      <c r="MX29" s="11">
        <v>4864876.6500000004</v>
      </c>
      <c r="MY29" s="11">
        <v>622203.78</v>
      </c>
      <c r="MZ29" s="11">
        <v>27280629.419400007</v>
      </c>
      <c r="NA29" s="11">
        <v>18183140.530000001</v>
      </c>
      <c r="NB29" s="11">
        <v>6208066.9700000016</v>
      </c>
      <c r="NC29" s="11">
        <v>2550544.0400000005</v>
      </c>
      <c r="ND29" s="11">
        <v>2630085.8999999994</v>
      </c>
      <c r="NE29" s="11">
        <v>159179030.40000004</v>
      </c>
      <c r="NF29" s="11">
        <v>29812483.269999996</v>
      </c>
      <c r="NG29" s="11">
        <v>6112843.9199999999</v>
      </c>
      <c r="NH29" s="11">
        <v>80476771.439999998</v>
      </c>
      <c r="NI29" s="11">
        <v>2644188.6299999994</v>
      </c>
      <c r="NJ29" s="11">
        <v>13834852.83</v>
      </c>
      <c r="NK29" s="11">
        <v>39377690.389999993</v>
      </c>
      <c r="NL29" s="11">
        <v>33353230.079999994</v>
      </c>
      <c r="NM29" s="11">
        <v>2466953.04</v>
      </c>
      <c r="NN29" s="11">
        <v>7480342.0090999994</v>
      </c>
      <c r="NO29" s="11">
        <v>8891229.2300000004</v>
      </c>
      <c r="NP29" s="11">
        <v>7291221.6199999992</v>
      </c>
      <c r="NQ29" s="11">
        <v>58136632.539999984</v>
      </c>
      <c r="NR29" s="11">
        <v>2936116.17</v>
      </c>
      <c r="NS29" s="11">
        <v>3025355.7</v>
      </c>
      <c r="NT29" s="11">
        <v>2853821.04</v>
      </c>
      <c r="NU29" s="11">
        <v>2103786.62</v>
      </c>
      <c r="NV29" s="11">
        <v>1073078.8900000001</v>
      </c>
      <c r="NW29" s="11">
        <v>2457523.29</v>
      </c>
      <c r="NX29" s="11">
        <v>114263366.57000001</v>
      </c>
      <c r="NY29" s="11">
        <v>33649424.250000007</v>
      </c>
      <c r="NZ29" s="11">
        <v>3971066.5399999996</v>
      </c>
      <c r="OA29" s="11">
        <v>2923897.4399999995</v>
      </c>
      <c r="OB29" s="11">
        <v>4063693.0599999996</v>
      </c>
      <c r="OC29" s="11">
        <v>9674057.1799999997</v>
      </c>
      <c r="OD29" s="11">
        <v>3324327.9200000004</v>
      </c>
      <c r="OE29" s="11">
        <v>87513602.440000013</v>
      </c>
      <c r="OF29" s="11">
        <v>40737870.160000011</v>
      </c>
      <c r="OG29" s="11">
        <v>15092032.670000004</v>
      </c>
      <c r="OH29" s="11">
        <v>36421604.82</v>
      </c>
      <c r="OI29" s="11">
        <v>7032512.2299999995</v>
      </c>
      <c r="OJ29" s="11">
        <v>5062104.0900000008</v>
      </c>
      <c r="OK29" s="11">
        <v>7347174.4900000012</v>
      </c>
      <c r="OL29" s="11">
        <v>1320206.0399999996</v>
      </c>
      <c r="OM29" s="11">
        <v>1465642.71</v>
      </c>
      <c r="ON29" s="11">
        <v>101269789.50999999</v>
      </c>
      <c r="OO29" s="11">
        <v>16859395.140000001</v>
      </c>
      <c r="OP29" s="11">
        <v>35131511.869999997</v>
      </c>
      <c r="OQ29" s="11">
        <v>8682906</v>
      </c>
      <c r="OR29" s="11">
        <v>10263256.930000002</v>
      </c>
      <c r="OS29" s="11">
        <v>6534727.9900000002</v>
      </c>
      <c r="OT29" s="11">
        <v>58545047.93</v>
      </c>
      <c r="OU29" s="11">
        <v>3090414.62</v>
      </c>
      <c r="OV29" s="11">
        <v>5780019.4500000002</v>
      </c>
      <c r="OW29" s="11">
        <v>9151213.4900000002</v>
      </c>
      <c r="OX29" s="11">
        <v>7031088.5899999999</v>
      </c>
      <c r="OY29" s="11">
        <v>27909940.980000004</v>
      </c>
      <c r="OZ29" s="11">
        <v>6096615.9699999997</v>
      </c>
      <c r="PA29" s="11">
        <v>7295717.9699999997</v>
      </c>
      <c r="PB29" s="11">
        <v>5653177.5900000008</v>
      </c>
      <c r="PC29" s="11">
        <v>49451529.809999995</v>
      </c>
      <c r="PD29" s="11">
        <v>3434187.4600000009</v>
      </c>
      <c r="PE29" s="11">
        <v>7935348.2799999984</v>
      </c>
      <c r="PF29" s="11">
        <v>2346390.25</v>
      </c>
      <c r="PG29" s="11">
        <v>5215375.46</v>
      </c>
      <c r="PH29" s="11">
        <v>15389533.67</v>
      </c>
      <c r="PI29" s="11">
        <v>3026845.8300000005</v>
      </c>
      <c r="PJ29" s="11">
        <v>3405361.06</v>
      </c>
      <c r="PK29" s="11">
        <v>12981193.689999999</v>
      </c>
      <c r="PL29" s="11">
        <v>6154073.3100000005</v>
      </c>
      <c r="PM29" s="11">
        <v>5293433.45</v>
      </c>
      <c r="PN29" s="11">
        <v>12178552.25</v>
      </c>
      <c r="PO29" s="11">
        <v>4265130.2699999996</v>
      </c>
      <c r="PP29" s="11">
        <v>23731138.450000003</v>
      </c>
      <c r="PQ29" s="11">
        <v>5011249.7399999993</v>
      </c>
      <c r="PR29" s="11">
        <v>4033697.9800000014</v>
      </c>
      <c r="PS29" s="11">
        <v>2112864.29</v>
      </c>
      <c r="PT29" s="11">
        <v>4490115.1199999982</v>
      </c>
      <c r="PU29" s="11">
        <v>270226990.40999997</v>
      </c>
      <c r="PV29" s="11">
        <v>2802706.5399999991</v>
      </c>
      <c r="PW29" s="11">
        <v>4927292.2100000009</v>
      </c>
      <c r="PX29" s="11">
        <v>6455241.799999998</v>
      </c>
      <c r="PY29" s="11">
        <v>61021660.480000004</v>
      </c>
      <c r="PZ29" s="11">
        <v>5190465.7499999991</v>
      </c>
      <c r="QA29" s="11">
        <v>16085946</v>
      </c>
      <c r="QB29" s="11">
        <v>4264441.4799999995</v>
      </c>
      <c r="QC29" s="11">
        <v>9637905.1800000016</v>
      </c>
      <c r="QD29" s="11">
        <v>2730314.27</v>
      </c>
      <c r="QE29" s="11">
        <v>7348336.5900000008</v>
      </c>
      <c r="QF29" s="11">
        <v>3382473.95</v>
      </c>
      <c r="QG29" s="11">
        <v>4538495.7299999995</v>
      </c>
      <c r="QH29" s="11">
        <v>11177178.68</v>
      </c>
      <c r="QI29" s="11">
        <v>4933539.6499999994</v>
      </c>
      <c r="QJ29" s="11">
        <v>7689873.4300000006</v>
      </c>
      <c r="QK29" s="11">
        <v>2861858.14</v>
      </c>
      <c r="QL29" s="11">
        <v>4382981.9399999995</v>
      </c>
      <c r="QM29" s="11">
        <v>3435949.2700000005</v>
      </c>
      <c r="QN29" s="11">
        <v>9639841</v>
      </c>
      <c r="QO29" s="11">
        <v>20767582.010000002</v>
      </c>
      <c r="QP29" s="11">
        <v>2254872.62</v>
      </c>
      <c r="QQ29" s="11">
        <v>3314075.69</v>
      </c>
      <c r="QR29" s="11">
        <v>3203491.43</v>
      </c>
      <c r="QS29" s="11">
        <v>3924973.74</v>
      </c>
      <c r="QT29" s="11">
        <v>2042412.3200000003</v>
      </c>
      <c r="QU29" s="11">
        <v>102950374.53000002</v>
      </c>
      <c r="QV29" s="11">
        <v>4369681.79</v>
      </c>
      <c r="QW29" s="11">
        <v>11098203.880000001</v>
      </c>
      <c r="QX29" s="11">
        <v>4779668.3999999994</v>
      </c>
      <c r="QY29" s="11">
        <v>8450201.8899999987</v>
      </c>
      <c r="QZ29" s="11">
        <v>23714814.550000004</v>
      </c>
      <c r="RA29" s="11">
        <v>3107403.8899999992</v>
      </c>
      <c r="RB29" s="11">
        <v>16196946.029999999</v>
      </c>
      <c r="RC29" s="11">
        <v>8394423.25</v>
      </c>
      <c r="RD29" s="11">
        <v>2708602.42</v>
      </c>
      <c r="RE29" s="11">
        <v>6897759.5000000009</v>
      </c>
      <c r="RF29" s="11">
        <v>4829469.2999999989</v>
      </c>
      <c r="RG29" s="11">
        <v>5213123.1499999994</v>
      </c>
      <c r="RH29" s="11">
        <v>188294217.46000001</v>
      </c>
      <c r="RI29" s="11">
        <v>20245245.219999999</v>
      </c>
      <c r="RJ29" s="11">
        <v>4055078.5399999996</v>
      </c>
      <c r="RK29" s="11">
        <v>8681851.1900000013</v>
      </c>
      <c r="RL29" s="11">
        <v>5131550.709999999</v>
      </c>
      <c r="RM29" s="11">
        <v>8667474.5800000001</v>
      </c>
      <c r="RN29" s="11">
        <v>20432999.679999996</v>
      </c>
      <c r="RO29" s="11">
        <v>5582116.8299999991</v>
      </c>
      <c r="RP29" s="11">
        <v>8444764.3200000022</v>
      </c>
      <c r="RQ29" s="11">
        <v>25546427.710000001</v>
      </c>
      <c r="RR29" s="11">
        <v>18528505.989999998</v>
      </c>
      <c r="RS29" s="11">
        <v>2994619.1200000006</v>
      </c>
      <c r="RT29" s="11">
        <v>4378752.71</v>
      </c>
      <c r="RU29" s="11">
        <v>4378174.76</v>
      </c>
      <c r="RV29" s="11">
        <v>3865587.6500000004</v>
      </c>
      <c r="RW29" s="11">
        <v>4900366.8000000007</v>
      </c>
      <c r="RX29" s="11">
        <v>4058942.0499999993</v>
      </c>
      <c r="RY29" s="11">
        <v>5313646.8600000003</v>
      </c>
      <c r="RZ29" s="11">
        <v>5039457.67</v>
      </c>
      <c r="SA29" s="11">
        <v>5350709.8000000007</v>
      </c>
      <c r="SB29" s="11">
        <v>55221608.419999994</v>
      </c>
      <c r="SC29" s="11">
        <v>4075495.0800000005</v>
      </c>
      <c r="SD29" s="11">
        <v>2901473.3899999997</v>
      </c>
      <c r="SE29" s="11">
        <v>4901591.5200000005</v>
      </c>
      <c r="SF29" s="11">
        <v>3308380.9099999997</v>
      </c>
      <c r="SG29" s="11">
        <v>3593090.77</v>
      </c>
      <c r="SH29" s="11">
        <v>3919071.58</v>
      </c>
      <c r="SI29" s="11">
        <v>8041167.3800000008</v>
      </c>
      <c r="SJ29" s="11">
        <v>4640436.55</v>
      </c>
      <c r="SK29" s="11">
        <v>5884065.4700000007</v>
      </c>
      <c r="SL29" s="11">
        <v>19277943.119999997</v>
      </c>
      <c r="SM29" s="11">
        <v>4888586.4800000004</v>
      </c>
      <c r="SN29" s="11">
        <v>46402059.170000002</v>
      </c>
      <c r="SO29" s="11">
        <v>5809907.0299999993</v>
      </c>
      <c r="SP29" s="11">
        <v>4581517.7999999989</v>
      </c>
      <c r="SQ29" s="11">
        <v>11919529.490000002</v>
      </c>
      <c r="SR29" s="11">
        <v>4801842.9799999986</v>
      </c>
      <c r="SS29" s="11">
        <v>5537966.9900000012</v>
      </c>
      <c r="ST29" s="11">
        <v>2096429.25</v>
      </c>
      <c r="SU29" s="11">
        <v>2792070.34</v>
      </c>
      <c r="SV29" s="11">
        <v>75646480.530000001</v>
      </c>
      <c r="SW29" s="11">
        <v>5400785.5</v>
      </c>
      <c r="SX29" s="11">
        <v>7115969.2600000016</v>
      </c>
      <c r="SY29" s="11">
        <v>4965360.59</v>
      </c>
      <c r="SZ29" s="11">
        <v>2907558.03</v>
      </c>
      <c r="TA29" s="11">
        <v>3028246.55</v>
      </c>
      <c r="TB29" s="11">
        <v>3497388.94</v>
      </c>
      <c r="TC29" s="11">
        <v>15307529.33</v>
      </c>
      <c r="TD29" s="11">
        <v>3850263.11</v>
      </c>
      <c r="TE29" s="11">
        <v>3904483.4</v>
      </c>
      <c r="TF29" s="11">
        <v>5144104.63</v>
      </c>
      <c r="TG29" s="11">
        <v>8424825.7899999991</v>
      </c>
      <c r="TH29" s="11">
        <v>5052988.8999999994</v>
      </c>
      <c r="TI29" s="11">
        <v>5100108.9499999993</v>
      </c>
      <c r="TJ29" s="11">
        <v>147937957.93000001</v>
      </c>
      <c r="TK29" s="11">
        <v>6333628.669999999</v>
      </c>
      <c r="TL29" s="11">
        <v>4345461.3199999994</v>
      </c>
      <c r="TM29" s="11">
        <v>6136525.7999999989</v>
      </c>
      <c r="TN29" s="11">
        <v>9246044.8399999999</v>
      </c>
      <c r="TO29" s="11">
        <v>5972462.959999999</v>
      </c>
      <c r="TP29" s="11">
        <v>3491229.63</v>
      </c>
      <c r="TQ29" s="11">
        <v>37254262.789999999</v>
      </c>
      <c r="TR29" s="11">
        <v>4650835.8299999991</v>
      </c>
      <c r="TS29" s="11">
        <v>9481491.6500000004</v>
      </c>
      <c r="TT29" s="11">
        <v>10717272.169999998</v>
      </c>
      <c r="TU29" s="11">
        <v>3911682.82</v>
      </c>
      <c r="TV29" s="11">
        <v>4544833.0699999994</v>
      </c>
      <c r="TW29" s="11">
        <v>6426370.129999999</v>
      </c>
      <c r="TX29" s="11">
        <v>5208272.62</v>
      </c>
      <c r="TY29" s="11">
        <v>7199642.3300000001</v>
      </c>
      <c r="TZ29" s="11">
        <v>37635756.999999993</v>
      </c>
      <c r="UA29" s="11">
        <v>7477987.1599999992</v>
      </c>
      <c r="UB29" s="11">
        <v>65802900.100000001</v>
      </c>
      <c r="UC29" s="11">
        <v>14907089.58</v>
      </c>
      <c r="UD29" s="11">
        <v>2912780.6800000006</v>
      </c>
      <c r="UE29" s="11">
        <v>12209035.890000001</v>
      </c>
      <c r="UF29" s="11">
        <v>53683760.079999991</v>
      </c>
      <c r="UG29" s="11">
        <v>2241300.3199999998</v>
      </c>
      <c r="UH29" s="11">
        <v>5174424.16</v>
      </c>
      <c r="UI29" s="11">
        <v>3105722.2800000003</v>
      </c>
      <c r="UJ29" s="11">
        <v>5918193.8900000006</v>
      </c>
      <c r="UK29" s="11">
        <v>46643728.960000008</v>
      </c>
      <c r="UL29" s="11">
        <v>7775960.120000001</v>
      </c>
      <c r="UM29" s="11">
        <v>7616263.5799999991</v>
      </c>
      <c r="UN29" s="11">
        <v>9315081.5300000012</v>
      </c>
      <c r="UO29" s="11">
        <v>5807831.25</v>
      </c>
      <c r="UP29" s="11">
        <v>7157202.4900000012</v>
      </c>
      <c r="UQ29" s="11">
        <v>176144793.13000003</v>
      </c>
      <c r="UR29" s="11">
        <v>6735366.8799999999</v>
      </c>
      <c r="US29" s="11">
        <v>3629046.77</v>
      </c>
      <c r="UT29" s="11">
        <v>40709164.45000001</v>
      </c>
      <c r="UU29" s="11">
        <v>2858855.2499999995</v>
      </c>
      <c r="UV29" s="11">
        <v>6043135.54</v>
      </c>
      <c r="UW29" s="11">
        <v>22161639.590000004</v>
      </c>
      <c r="UX29" s="11">
        <v>4890927.8299999991</v>
      </c>
      <c r="UY29" s="11">
        <v>2963949.4999999995</v>
      </c>
      <c r="UZ29" s="11">
        <v>4887560.0599999996</v>
      </c>
      <c r="VA29" s="11">
        <v>6595137.4000000004</v>
      </c>
      <c r="VB29" s="11">
        <v>19930769.84</v>
      </c>
      <c r="VC29" s="11">
        <v>6061851.4200000018</v>
      </c>
      <c r="VD29" s="11">
        <v>18129164.23</v>
      </c>
      <c r="VE29" s="11">
        <v>3195031.95</v>
      </c>
      <c r="VF29" s="11">
        <v>3101738.0499999993</v>
      </c>
      <c r="VG29" s="11">
        <v>4124734.4699999997</v>
      </c>
      <c r="VH29" s="11">
        <v>2341100.0599999996</v>
      </c>
      <c r="VI29" s="11">
        <v>25564632.929999996</v>
      </c>
      <c r="VJ29" s="11">
        <v>6620079.2799999993</v>
      </c>
      <c r="VK29" s="11">
        <v>4424139.7299999995</v>
      </c>
      <c r="VL29" s="11">
        <v>1717594.1099999999</v>
      </c>
      <c r="VM29" s="11">
        <v>91518039.310000002</v>
      </c>
      <c r="VN29" s="11">
        <v>4017673.07</v>
      </c>
      <c r="VO29" s="11">
        <v>4453402.7000000011</v>
      </c>
      <c r="VP29" s="11">
        <v>9399021.5199999996</v>
      </c>
      <c r="VQ29" s="11">
        <v>7691599.9800000004</v>
      </c>
      <c r="VR29" s="11">
        <v>9797422.7599999998</v>
      </c>
      <c r="VS29" s="11">
        <v>4873896.5100000007</v>
      </c>
      <c r="VT29" s="11">
        <v>5497091.2599999988</v>
      </c>
      <c r="VU29" s="11">
        <v>5107581.2299999995</v>
      </c>
      <c r="VV29" s="11">
        <v>23710000.999999996</v>
      </c>
      <c r="VW29" s="11">
        <v>4476987.8800000008</v>
      </c>
      <c r="VX29" s="11">
        <v>11677097.520000001</v>
      </c>
      <c r="VY29" s="11">
        <v>8041600.2300000004</v>
      </c>
      <c r="VZ29" s="11">
        <v>4967166.3600000003</v>
      </c>
      <c r="WA29" s="11">
        <v>2669731.4099999997</v>
      </c>
      <c r="WB29" s="11">
        <v>224085123</v>
      </c>
      <c r="WC29" s="11">
        <v>14500064.079999998</v>
      </c>
      <c r="WD29" s="11">
        <v>6146920.0300000003</v>
      </c>
      <c r="WE29" s="11">
        <v>5086500.0199999996</v>
      </c>
      <c r="WF29" s="11">
        <v>3928365.49</v>
      </c>
      <c r="WG29" s="11">
        <v>8483226.8800000008</v>
      </c>
      <c r="WH29" s="11">
        <v>20631011.690000001</v>
      </c>
      <c r="WI29" s="11">
        <v>10150000.609999999</v>
      </c>
      <c r="WJ29" s="11">
        <v>8437686.709999999</v>
      </c>
      <c r="WK29" s="11">
        <v>10191810.280000001</v>
      </c>
      <c r="WL29" s="11">
        <v>4255210.6800000006</v>
      </c>
      <c r="WM29" s="11">
        <v>28333980.399999999</v>
      </c>
      <c r="WN29" s="11">
        <v>10132523.859999999</v>
      </c>
      <c r="WO29" s="11">
        <v>20674643.199999999</v>
      </c>
      <c r="WP29" s="11">
        <v>22568857.390000001</v>
      </c>
      <c r="WQ29" s="11">
        <v>8790146.8499999996</v>
      </c>
      <c r="WR29" s="11">
        <v>7741968.7199999997</v>
      </c>
      <c r="WS29" s="11">
        <v>5748617.6299999999</v>
      </c>
      <c r="WT29" s="11">
        <v>6156036.9799999995</v>
      </c>
      <c r="WU29" s="11">
        <v>14439552.42</v>
      </c>
      <c r="WV29" s="11">
        <v>56094517.039999992</v>
      </c>
      <c r="WW29" s="11">
        <v>4337290.34</v>
      </c>
      <c r="WX29" s="11">
        <v>2147049.4099999997</v>
      </c>
      <c r="WY29" s="11">
        <v>4511815.79</v>
      </c>
      <c r="WZ29" s="11">
        <v>6616669.5299999993</v>
      </c>
      <c r="XA29" s="11">
        <v>4259842.9800000004</v>
      </c>
      <c r="XB29" s="11">
        <v>4259370.97</v>
      </c>
      <c r="XC29" s="11">
        <v>9668371.9000000004</v>
      </c>
      <c r="XD29" s="11">
        <v>48482934.429999992</v>
      </c>
      <c r="XE29" s="11">
        <v>4953797.0699999994</v>
      </c>
      <c r="XF29" s="11">
        <v>5230977.0500000007</v>
      </c>
      <c r="XG29" s="11">
        <v>5421763.7999999989</v>
      </c>
      <c r="XH29" s="11">
        <v>3400589.68</v>
      </c>
      <c r="XI29" s="11">
        <v>131950785.92000002</v>
      </c>
      <c r="XJ29" s="11">
        <v>14283915.900000002</v>
      </c>
      <c r="XK29" s="11">
        <v>8564347.4100000001</v>
      </c>
      <c r="XL29" s="11">
        <v>42027849.969999999</v>
      </c>
      <c r="XM29" s="11">
        <v>7152271.8200000003</v>
      </c>
      <c r="XN29" s="11">
        <v>11402409.66</v>
      </c>
      <c r="XO29" s="11">
        <v>18596419.540000003</v>
      </c>
      <c r="XP29" s="11">
        <v>7796517.3600000003</v>
      </c>
      <c r="XQ29" s="11">
        <v>5002551.2000000011</v>
      </c>
      <c r="XR29" s="11">
        <v>21886863.009999998</v>
      </c>
      <c r="XS29" s="11">
        <v>17077853.610000003</v>
      </c>
      <c r="XT29" s="11">
        <v>4481004.7200000007</v>
      </c>
      <c r="XU29" s="11">
        <v>5290735.209999999</v>
      </c>
      <c r="XV29" s="11">
        <v>7691844.75</v>
      </c>
      <c r="XW29" s="11">
        <v>5086387.6899999995</v>
      </c>
      <c r="XX29" s="11">
        <v>4638338.8600000003</v>
      </c>
      <c r="XY29" s="11">
        <v>4484394.9699999988</v>
      </c>
      <c r="XZ29" s="11">
        <v>6836089.4499999993</v>
      </c>
      <c r="YA29" s="11">
        <v>3279941.99</v>
      </c>
      <c r="YB29" s="11">
        <v>4506566.13</v>
      </c>
      <c r="YC29" s="11">
        <v>4194969.62</v>
      </c>
      <c r="YD29" s="11">
        <v>4865562.8099999996</v>
      </c>
      <c r="YE29" s="11">
        <v>4347259.07</v>
      </c>
      <c r="YF29" s="11">
        <v>65245542.030000009</v>
      </c>
      <c r="YG29" s="11">
        <v>8178941.4899999993</v>
      </c>
      <c r="YH29" s="11">
        <v>12392322.91</v>
      </c>
      <c r="YI29" s="11">
        <v>6415426.1600000001</v>
      </c>
      <c r="YJ29" s="11">
        <v>2405803.5699999998</v>
      </c>
      <c r="YK29" s="11">
        <v>8512412.4000000004</v>
      </c>
      <c r="YL29" s="11">
        <v>14532925.129999999</v>
      </c>
      <c r="YM29" s="11">
        <v>4792632.6400000006</v>
      </c>
      <c r="YN29" s="11">
        <v>29881116.150000002</v>
      </c>
      <c r="YO29" s="11">
        <v>17543873.220000003</v>
      </c>
      <c r="YP29" s="11">
        <v>10137133.349999998</v>
      </c>
      <c r="YQ29" s="11">
        <v>6200896.1199999992</v>
      </c>
      <c r="YR29" s="11">
        <v>4260578.8900000006</v>
      </c>
      <c r="YS29" s="11">
        <v>8106912.8099999996</v>
      </c>
      <c r="YT29" s="11">
        <v>6196544.8499999987</v>
      </c>
      <c r="YU29" s="11">
        <v>9780745.0499999989</v>
      </c>
      <c r="YV29" s="11">
        <v>7139158.3100000005</v>
      </c>
      <c r="YW29" s="11">
        <v>48141357.080000021</v>
      </c>
      <c r="YX29" s="11">
        <v>5023388.9399999995</v>
      </c>
      <c r="YY29" s="11">
        <v>5312036.620000001</v>
      </c>
      <c r="YZ29" s="11">
        <v>4659888.5100000007</v>
      </c>
      <c r="ZA29" s="11">
        <v>6000651.29</v>
      </c>
      <c r="ZB29" s="11">
        <v>3907576.0800000005</v>
      </c>
      <c r="ZC29" s="11">
        <v>3653251.4499999997</v>
      </c>
      <c r="ZD29" s="11">
        <v>93964091.939999998</v>
      </c>
      <c r="ZE29" s="11">
        <v>2984231.79</v>
      </c>
      <c r="ZF29" s="11">
        <v>4474326.3500000006</v>
      </c>
      <c r="ZG29" s="11">
        <v>5966335.8099999996</v>
      </c>
      <c r="ZH29" s="11">
        <v>3536802.2199999997</v>
      </c>
      <c r="ZI29" s="11">
        <v>4953756.1399999997</v>
      </c>
      <c r="ZJ29" s="11">
        <v>6278841.0300000003</v>
      </c>
      <c r="ZK29" s="11">
        <v>4042053.38</v>
      </c>
      <c r="ZL29" s="11">
        <v>13261715.950000001</v>
      </c>
      <c r="ZM29" s="11">
        <v>114967725.34999999</v>
      </c>
      <c r="ZN29" s="11">
        <v>7482901.4100000011</v>
      </c>
      <c r="ZO29" s="11">
        <v>11683846.4</v>
      </c>
      <c r="ZP29" s="11">
        <v>43619555.489999987</v>
      </c>
      <c r="ZQ29" s="11">
        <v>11882303.879999999</v>
      </c>
      <c r="ZR29" s="11">
        <v>4608942.33</v>
      </c>
      <c r="ZS29" s="11">
        <v>5874189.6600000001</v>
      </c>
      <c r="ZT29" s="11">
        <v>20410924.859999996</v>
      </c>
      <c r="ZU29" s="11">
        <v>14591947.110000001</v>
      </c>
      <c r="ZV29" s="11">
        <v>20060148.91</v>
      </c>
      <c r="ZW29" s="11">
        <v>2860668.8499999996</v>
      </c>
      <c r="ZX29" s="11">
        <v>5641794.7700000005</v>
      </c>
      <c r="ZY29" s="11">
        <v>3316586</v>
      </c>
      <c r="ZZ29" s="11">
        <v>5472527.2599999998</v>
      </c>
      <c r="AAA29" s="11">
        <v>4480051.08</v>
      </c>
      <c r="AAB29" s="11">
        <v>5466350.7999999998</v>
      </c>
      <c r="AAC29" s="11">
        <v>5806387.5200000005</v>
      </c>
      <c r="AAD29" s="11">
        <v>4713451.4000000004</v>
      </c>
      <c r="AAE29" s="11">
        <v>8802368.0800000001</v>
      </c>
      <c r="AAF29" s="11">
        <v>6617921.4000000004</v>
      </c>
      <c r="AAG29" s="11">
        <v>4914251.09</v>
      </c>
      <c r="AAH29" s="11">
        <v>4108187.34</v>
      </c>
      <c r="AAI29" s="11">
        <v>60189134.620000005</v>
      </c>
      <c r="AAJ29" s="11">
        <v>5175543.4799999986</v>
      </c>
      <c r="AAK29" s="11">
        <v>3821464.7800000003</v>
      </c>
      <c r="AAL29" s="11">
        <v>3543835.8800000008</v>
      </c>
      <c r="AAM29" s="11">
        <v>3825280.9699999997</v>
      </c>
      <c r="AAN29" s="11">
        <v>6373335.7299999995</v>
      </c>
      <c r="AAO29" s="11">
        <v>4000431.8800000004</v>
      </c>
      <c r="AAP29" s="11">
        <v>222227638.78999996</v>
      </c>
      <c r="AAQ29" s="11">
        <v>6548424.3600000013</v>
      </c>
      <c r="AAR29" s="11">
        <v>4438689.83</v>
      </c>
      <c r="AAS29" s="11">
        <v>2859705.8699999996</v>
      </c>
      <c r="AAT29" s="11">
        <v>8856308.839999998</v>
      </c>
      <c r="AAU29" s="11">
        <v>3670593.5600000005</v>
      </c>
      <c r="AAV29" s="11">
        <v>5272627.370000001</v>
      </c>
      <c r="AAW29" s="11">
        <v>14169289.939999999</v>
      </c>
      <c r="AAX29" s="11">
        <v>24446800.43</v>
      </c>
      <c r="AAY29" s="11">
        <v>4437644.87</v>
      </c>
      <c r="AAZ29" s="11">
        <v>7959955.4499999993</v>
      </c>
      <c r="ABA29" s="11">
        <v>44367049.810000002</v>
      </c>
      <c r="ABB29" s="11">
        <v>27994309.859999999</v>
      </c>
      <c r="ABC29" s="11">
        <v>5378403.4800000004</v>
      </c>
      <c r="ABD29" s="11">
        <v>10739398.99</v>
      </c>
      <c r="ABE29" s="11">
        <v>5465029.1700000009</v>
      </c>
      <c r="ABF29" s="11">
        <v>2781522.8199999994</v>
      </c>
      <c r="ABG29" s="11">
        <v>4664222.379999999</v>
      </c>
      <c r="ABH29" s="11">
        <v>3945463.85</v>
      </c>
      <c r="ABI29" s="11">
        <v>53600087.870000005</v>
      </c>
      <c r="ABJ29" s="11">
        <v>47381252.93999999</v>
      </c>
      <c r="ABK29" s="11">
        <v>5707981.7199999997</v>
      </c>
      <c r="ABL29" s="11">
        <v>6269967.0899999999</v>
      </c>
      <c r="ABM29" s="11">
        <v>4834557.8500000006</v>
      </c>
      <c r="ABN29" s="11">
        <v>6410117.9600000009</v>
      </c>
      <c r="ABO29" s="11">
        <v>5099397.7999999989</v>
      </c>
      <c r="ABP29" s="11">
        <v>79991784.12999998</v>
      </c>
      <c r="ABQ29" s="11">
        <v>4856165.8399999989</v>
      </c>
      <c r="ABR29" s="11">
        <v>6203412.6399999997</v>
      </c>
      <c r="ABS29" s="11">
        <v>10509129.100000001</v>
      </c>
      <c r="ABT29" s="11">
        <v>7107240.5800000001</v>
      </c>
      <c r="ABU29" s="11">
        <v>5108592.91</v>
      </c>
      <c r="ABV29" s="11">
        <v>4977966.7299999995</v>
      </c>
      <c r="ABW29" s="11">
        <v>7150466.7000000011</v>
      </c>
      <c r="ABX29" s="11">
        <v>3337535.5100000002</v>
      </c>
      <c r="ABY29" s="11">
        <v>34070334.870000005</v>
      </c>
      <c r="ABZ29" s="11">
        <v>3083662.87</v>
      </c>
      <c r="ACA29" s="11">
        <v>5972410.2299999995</v>
      </c>
      <c r="ACB29" s="11">
        <v>3280445.35</v>
      </c>
      <c r="ACC29" s="11">
        <v>3258673.6800000006</v>
      </c>
      <c r="ACD29" s="11">
        <v>23095663.839999996</v>
      </c>
      <c r="ACE29" s="11">
        <v>730132.3899999999</v>
      </c>
      <c r="ACF29" s="11">
        <v>5862222.71</v>
      </c>
      <c r="ACG29" s="11">
        <v>3802951.8200000008</v>
      </c>
      <c r="ACH29" s="11">
        <v>3191712.5000000005</v>
      </c>
      <c r="ACI29" s="11">
        <v>2389879.8200000003</v>
      </c>
      <c r="ACJ29" s="11">
        <v>183453697.85000002</v>
      </c>
      <c r="ACK29" s="11">
        <v>2765163.3400000003</v>
      </c>
      <c r="ACL29" s="11">
        <v>6377032.5200000014</v>
      </c>
      <c r="ACM29" s="11">
        <v>10652118.960000001</v>
      </c>
      <c r="ACN29" s="11">
        <v>4999397.0600000005</v>
      </c>
      <c r="ACO29" s="11">
        <v>6131723.3400000008</v>
      </c>
      <c r="ACP29" s="11">
        <v>6267057.7799999993</v>
      </c>
      <c r="ACQ29" s="11">
        <v>36197549.590000018</v>
      </c>
      <c r="ACR29" s="11">
        <v>54787183.749999993</v>
      </c>
      <c r="ACS29" s="11">
        <v>5313989.74</v>
      </c>
      <c r="ACT29" s="11">
        <v>3518245.87</v>
      </c>
      <c r="ACU29" s="11">
        <v>6399627.5499999998</v>
      </c>
      <c r="ACV29" s="11">
        <v>9421724.2500000019</v>
      </c>
      <c r="ACW29" s="11">
        <v>63627706.370000005</v>
      </c>
      <c r="ACX29" s="11">
        <v>6337927.0099999998</v>
      </c>
      <c r="ACY29" s="11">
        <v>6281287.3600000013</v>
      </c>
      <c r="ACZ29" s="11">
        <v>4693093.1900000004</v>
      </c>
      <c r="ADA29" s="11">
        <v>3894474.9199999995</v>
      </c>
      <c r="ADB29" s="11">
        <v>4554847.4499999993</v>
      </c>
      <c r="ADC29" s="11">
        <v>5109540.41</v>
      </c>
      <c r="ADD29" s="11">
        <v>5050592.4299999988</v>
      </c>
      <c r="ADE29" s="11">
        <v>2830901.54</v>
      </c>
      <c r="ADF29" s="11">
        <v>5491619.5099999988</v>
      </c>
      <c r="ADG29" s="11">
        <v>17390413.730000004</v>
      </c>
      <c r="ADH29" s="11">
        <v>20600347.499999996</v>
      </c>
      <c r="ADI29" s="11">
        <v>11591563.77</v>
      </c>
      <c r="ADJ29" s="11">
        <v>5532745.3300000001</v>
      </c>
      <c r="ADK29" s="11">
        <v>3241524.0600000005</v>
      </c>
      <c r="ADL29" s="11">
        <v>1976788.7400000002</v>
      </c>
      <c r="ADM29" s="11">
        <v>5774265.7000000002</v>
      </c>
      <c r="ADN29" s="11">
        <v>1638045.77</v>
      </c>
      <c r="ADO29" s="11">
        <v>3884316.1199999996</v>
      </c>
      <c r="ADP29" s="11">
        <v>133929502.2</v>
      </c>
      <c r="ADQ29" s="11">
        <v>24882184.559999999</v>
      </c>
      <c r="ADR29" s="11">
        <v>16245308.030000001</v>
      </c>
      <c r="ADS29" s="11">
        <v>6293817.4800000004</v>
      </c>
      <c r="ADT29" s="11">
        <v>28995490.849999998</v>
      </c>
      <c r="ADU29" s="11">
        <v>3014409.68</v>
      </c>
      <c r="ADV29" s="11">
        <v>1888895.8</v>
      </c>
      <c r="ADW29" s="11">
        <v>4335408</v>
      </c>
      <c r="ADX29" s="11">
        <v>2153232.5500000003</v>
      </c>
      <c r="ADY29" s="11">
        <v>2911398.03</v>
      </c>
      <c r="ADZ29" s="11">
        <v>161309440.60000002</v>
      </c>
      <c r="AEA29" s="11">
        <v>17233326.429999996</v>
      </c>
      <c r="AEB29" s="11">
        <v>19866121.940000001</v>
      </c>
      <c r="AEC29" s="11">
        <v>5952604.9499999993</v>
      </c>
      <c r="AED29" s="11">
        <v>3732797.7700000005</v>
      </c>
      <c r="AEE29" s="11">
        <v>5601166.7499999981</v>
      </c>
      <c r="AEF29" s="11">
        <v>7880072.1100000013</v>
      </c>
      <c r="AEG29" s="11">
        <v>7261363.6000000006</v>
      </c>
      <c r="AEH29" s="11">
        <v>7966108.1799999997</v>
      </c>
      <c r="AEI29" s="11">
        <v>4687720.72</v>
      </c>
      <c r="AEJ29" s="11">
        <v>3137711.1499999994</v>
      </c>
      <c r="AEK29" s="11">
        <v>8414622.4500000011</v>
      </c>
      <c r="AEL29" s="11">
        <v>3903200.44</v>
      </c>
      <c r="AEM29" s="11">
        <v>3451785.33</v>
      </c>
      <c r="AEN29" s="11">
        <v>5119448.3399999989</v>
      </c>
      <c r="AEO29" s="11">
        <v>6679700.7299999995</v>
      </c>
      <c r="AEP29" s="11">
        <v>3963290.55</v>
      </c>
      <c r="AEQ29" s="11">
        <v>15715047.66</v>
      </c>
      <c r="AER29" s="11">
        <v>4067026.13</v>
      </c>
      <c r="AES29" s="11">
        <v>19228977.590000004</v>
      </c>
      <c r="AET29" s="11">
        <v>88276394.940000013</v>
      </c>
      <c r="AEU29" s="11">
        <v>8616262.8500000015</v>
      </c>
      <c r="AEV29" s="11">
        <v>11691275.92</v>
      </c>
      <c r="AEW29" s="11">
        <v>7364491.2700000005</v>
      </c>
      <c r="AEX29" s="11">
        <v>4305979.5999999996</v>
      </c>
      <c r="AEY29" s="11">
        <v>14973429.560000001</v>
      </c>
      <c r="AEZ29" s="11">
        <v>2957497.82</v>
      </c>
      <c r="AFA29" s="11">
        <v>5712559.2599999998</v>
      </c>
      <c r="AFB29" s="11">
        <v>3438906.06</v>
      </c>
      <c r="AFC29" s="11">
        <v>5400197.8700000001</v>
      </c>
      <c r="AFD29" s="11">
        <v>108736575.59999999</v>
      </c>
      <c r="AFE29" s="11">
        <v>51053125.709999986</v>
      </c>
      <c r="AFF29" s="11">
        <v>13173827.41</v>
      </c>
      <c r="AFG29" s="11">
        <v>8928776.4699999988</v>
      </c>
      <c r="AFH29" s="11">
        <v>10561101.709999999</v>
      </c>
      <c r="AFI29" s="11">
        <v>7831335.6500000013</v>
      </c>
      <c r="AFJ29" s="11">
        <v>4389128.62</v>
      </c>
      <c r="AFK29" s="11">
        <v>4660835.7100000009</v>
      </c>
      <c r="AFL29" s="11">
        <v>6445567.0100000007</v>
      </c>
      <c r="AFM29" s="11">
        <v>4877527.28</v>
      </c>
      <c r="AFN29" s="11">
        <v>5407345.4500000002</v>
      </c>
      <c r="AFO29" s="11">
        <v>6829603.0800000001</v>
      </c>
      <c r="AFP29" s="11">
        <v>12290336.380000001</v>
      </c>
      <c r="AFQ29" s="11">
        <v>80572479.149999991</v>
      </c>
      <c r="AFR29" s="11">
        <v>8035629.459999999</v>
      </c>
      <c r="AFS29" s="11">
        <v>3348768.69</v>
      </c>
      <c r="AFT29" s="11">
        <v>5075670.5199999996</v>
      </c>
      <c r="AFU29" s="11">
        <v>5314516.63</v>
      </c>
      <c r="AFV29" s="11">
        <v>4477417.4099999992</v>
      </c>
      <c r="AFW29" s="11">
        <v>3337391.1399999997</v>
      </c>
      <c r="AFX29" s="11">
        <v>9957956.2300000004</v>
      </c>
      <c r="AFY29" s="11">
        <v>9349902.1700000018</v>
      </c>
      <c r="AFZ29" s="11">
        <v>4737979.84</v>
      </c>
      <c r="AGA29" s="11">
        <v>14184202.189999999</v>
      </c>
      <c r="AGB29" s="11">
        <v>5048055.4799999995</v>
      </c>
      <c r="AGC29" s="11">
        <v>64361777.520000011</v>
      </c>
      <c r="AGD29" s="11">
        <v>5521279.1299999999</v>
      </c>
      <c r="AGE29" s="11">
        <v>4282039.12</v>
      </c>
      <c r="AGF29" s="11">
        <v>3656217.97</v>
      </c>
      <c r="AGG29" s="11">
        <v>15229861.649999995</v>
      </c>
      <c r="AGH29" s="11">
        <v>4793079.37</v>
      </c>
      <c r="AGI29" s="11">
        <v>2693223.07</v>
      </c>
      <c r="AGJ29" s="11">
        <v>3463421.16</v>
      </c>
      <c r="AGK29" s="11">
        <v>2948629.9499999997</v>
      </c>
      <c r="AGL29" s="11">
        <v>4655396.04</v>
      </c>
      <c r="AGM29" s="11">
        <v>6152488.0700000003</v>
      </c>
      <c r="AGN29" s="11">
        <v>165073201.28999999</v>
      </c>
      <c r="AGO29" s="11">
        <v>29836440.059999999</v>
      </c>
      <c r="AGP29" s="11">
        <v>7297683.4899999993</v>
      </c>
      <c r="AGQ29" s="11">
        <v>4697093.6399999987</v>
      </c>
      <c r="AGR29" s="11">
        <v>12287689.589999998</v>
      </c>
      <c r="AGS29" s="11">
        <v>11011230.66</v>
      </c>
      <c r="AGT29" s="11">
        <v>6050961.0700000003</v>
      </c>
      <c r="AGU29" s="11">
        <v>5277342.2100000009</v>
      </c>
      <c r="AGV29" s="11">
        <v>177577533.47</v>
      </c>
      <c r="AGW29" s="11">
        <v>73857977.100000009</v>
      </c>
      <c r="AGX29" s="11">
        <v>6263217.6300000008</v>
      </c>
      <c r="AGY29" s="11">
        <v>11362122.720000004</v>
      </c>
      <c r="AGZ29" s="11">
        <v>23961331.440000001</v>
      </c>
      <c r="AHA29" s="11">
        <v>9233800.3000000026</v>
      </c>
      <c r="AHB29" s="11">
        <v>11909728.900000002</v>
      </c>
      <c r="AHC29" s="11">
        <v>7821754.2999999989</v>
      </c>
      <c r="AHD29" s="11">
        <v>4406637.43</v>
      </c>
      <c r="AHE29" s="11">
        <v>8526563.7100000009</v>
      </c>
      <c r="AHF29" s="11">
        <v>15622712.77</v>
      </c>
      <c r="AHG29" s="11">
        <v>7880079.040000001</v>
      </c>
      <c r="AHH29" s="11">
        <v>5259379.08</v>
      </c>
      <c r="AHI29" s="11">
        <v>8098779</v>
      </c>
      <c r="AHJ29" s="11">
        <v>6066033.379999999</v>
      </c>
      <c r="AHK29" s="11">
        <v>4963199.7000000011</v>
      </c>
      <c r="AHL29" s="11">
        <v>8119483.6900000013</v>
      </c>
      <c r="AHM29" s="11">
        <v>39855350.629999995</v>
      </c>
      <c r="AHN29" s="11">
        <v>3435987.6999999997</v>
      </c>
      <c r="AHO29" s="11">
        <v>3694034.22</v>
      </c>
      <c r="AHP29" s="11">
        <v>6226635.4400000004</v>
      </c>
      <c r="AHQ29" s="11">
        <v>7679531.2099999972</v>
      </c>
      <c r="AHR29" s="11">
        <v>4151260.7399999998</v>
      </c>
      <c r="AHS29" s="11">
        <v>5042424.4600000009</v>
      </c>
      <c r="AHT29" s="11">
        <v>15092948243.360689</v>
      </c>
      <c r="AHU29" s="11"/>
    </row>
    <row r="30" spans="2:905" x14ac:dyDescent="0.7">
      <c r="B30" s="6" t="s">
        <v>667</v>
      </c>
      <c r="C30" s="6" t="s">
        <v>668</v>
      </c>
      <c r="D30" s="11">
        <v>4378216.6199999992</v>
      </c>
      <c r="E30" s="11">
        <v>57026.36</v>
      </c>
      <c r="F30" s="11">
        <v>573571.14</v>
      </c>
      <c r="G30" s="11">
        <v>4433.58</v>
      </c>
      <c r="H30" s="11">
        <v>870074.39000000013</v>
      </c>
      <c r="I30" s="11">
        <v>113137.64000000001</v>
      </c>
      <c r="J30" s="11">
        <v>46726.399999999994</v>
      </c>
      <c r="K30" s="11">
        <v>70419.28</v>
      </c>
      <c r="L30" s="11">
        <v>22727.200000000001</v>
      </c>
      <c r="M30" s="11">
        <v>32555.739999999998</v>
      </c>
      <c r="N30" s="11">
        <v>6804.54</v>
      </c>
      <c r="O30" s="11">
        <v>9973.0999999999985</v>
      </c>
      <c r="P30" s="11">
        <v>215969.7</v>
      </c>
      <c r="Q30" s="11">
        <v>18568.559999999998</v>
      </c>
      <c r="R30" s="11">
        <v>18308.46</v>
      </c>
      <c r="S30" s="11">
        <v>7450.4800000000005</v>
      </c>
      <c r="T30" s="11">
        <v>23254.44</v>
      </c>
      <c r="U30" s="11">
        <v>960</v>
      </c>
      <c r="V30" s="11">
        <v>128876862.59</v>
      </c>
      <c r="W30" s="11">
        <v>417462.37</v>
      </c>
      <c r="X30" s="11">
        <v>48049.82</v>
      </c>
      <c r="Y30" s="11">
        <v>760284.94000000006</v>
      </c>
      <c r="Z30" s="11">
        <v>22293.360000000001</v>
      </c>
      <c r="AA30" s="11">
        <v>44956.630000000005</v>
      </c>
      <c r="AB30" s="11">
        <v>10919.710000000001</v>
      </c>
      <c r="AC30" s="11">
        <v>468074.67999999993</v>
      </c>
      <c r="AD30" s="11">
        <v>364405.20999999996</v>
      </c>
      <c r="AE30" s="11">
        <v>96870.12000000001</v>
      </c>
      <c r="AF30" s="11">
        <v>213798.86</v>
      </c>
      <c r="AG30" s="11">
        <v>18061.239999999998</v>
      </c>
      <c r="AH30" s="11">
        <v>593929.43999999994</v>
      </c>
      <c r="AI30" s="11">
        <v>39050.130000000005</v>
      </c>
      <c r="AJ30" s="11">
        <v>44165.820000000007</v>
      </c>
      <c r="AK30" s="11">
        <v>13161.57</v>
      </c>
      <c r="AL30" s="11">
        <v>111187.01</v>
      </c>
      <c r="AM30" s="11">
        <v>80643.55</v>
      </c>
      <c r="AN30" s="11">
        <v>149437.48000000001</v>
      </c>
      <c r="AO30" s="11">
        <v>79300.87</v>
      </c>
      <c r="AP30" s="11">
        <v>73037.070000000007</v>
      </c>
      <c r="AQ30" s="11">
        <v>26056.559999999998</v>
      </c>
      <c r="AR30" s="11">
        <v>0</v>
      </c>
      <c r="AS30" s="11">
        <v>18969.29</v>
      </c>
      <c r="AT30" s="11">
        <v>388399.11</v>
      </c>
      <c r="AU30" s="11">
        <v>23591.08</v>
      </c>
      <c r="AV30" s="11">
        <v>27482.09</v>
      </c>
      <c r="AW30" s="11">
        <v>71334.34</v>
      </c>
      <c r="AX30" s="11">
        <v>113713.84</v>
      </c>
      <c r="AY30" s="11">
        <v>17581.28</v>
      </c>
      <c r="AZ30" s="11">
        <v>35474</v>
      </c>
      <c r="BA30" s="11">
        <v>30981.96</v>
      </c>
      <c r="BB30" s="11">
        <v>2893.22</v>
      </c>
      <c r="BC30" s="11">
        <v>109865.14000000001</v>
      </c>
      <c r="BD30" s="11">
        <v>45749</v>
      </c>
      <c r="BE30" s="11">
        <v>4611.4399999999996</v>
      </c>
      <c r="BF30" s="11">
        <v>650563.97</v>
      </c>
      <c r="BG30" s="11">
        <v>4873.7</v>
      </c>
      <c r="BH30" s="11">
        <v>1688362</v>
      </c>
      <c r="BI30" s="11">
        <v>66890.42</v>
      </c>
      <c r="BJ30" s="11">
        <v>270360.48</v>
      </c>
      <c r="BK30" s="11">
        <v>278.64</v>
      </c>
      <c r="BL30" s="11">
        <v>780.71</v>
      </c>
      <c r="BM30" s="11">
        <v>6538.26</v>
      </c>
      <c r="BN30" s="11">
        <v>91.8</v>
      </c>
      <c r="BO30" s="11">
        <v>112.5</v>
      </c>
      <c r="BP30" s="11">
        <v>193.86</v>
      </c>
      <c r="BQ30" s="11">
        <v>48.9</v>
      </c>
      <c r="BR30" s="11">
        <v>141587.28</v>
      </c>
      <c r="BS30" s="11">
        <v>13212.12</v>
      </c>
      <c r="BT30" s="11">
        <v>21080.73</v>
      </c>
      <c r="BU30" s="11">
        <v>36400.410000000003</v>
      </c>
      <c r="BV30" s="11">
        <v>503.4</v>
      </c>
      <c r="BW30" s="11">
        <v>6937.15</v>
      </c>
      <c r="BX30" s="11">
        <v>2430</v>
      </c>
      <c r="BY30" s="11">
        <v>0</v>
      </c>
      <c r="BZ30" s="11">
        <v>3625102.26</v>
      </c>
      <c r="CA30" s="11">
        <v>1308054.1200000001</v>
      </c>
      <c r="CB30" s="11">
        <v>1658363.2200000002</v>
      </c>
      <c r="CC30" s="11">
        <v>8252555.5800000001</v>
      </c>
      <c r="CD30" s="11">
        <v>41501.800000000003</v>
      </c>
      <c r="CE30" s="11">
        <v>1460616.37</v>
      </c>
      <c r="CF30" s="11">
        <v>2012856.0899999999</v>
      </c>
      <c r="CG30" s="11">
        <v>552920.29</v>
      </c>
      <c r="CH30" s="11">
        <v>131053.5</v>
      </c>
      <c r="CI30" s="11">
        <v>391040.67</v>
      </c>
      <c r="CJ30" s="11">
        <v>76.89</v>
      </c>
      <c r="CK30" s="11">
        <v>7743.0999999999995</v>
      </c>
      <c r="CL30" s="11">
        <v>340.65</v>
      </c>
      <c r="CM30" s="11">
        <v>3851.16</v>
      </c>
      <c r="CN30" s="11">
        <v>33928.35</v>
      </c>
      <c r="CO30" s="11">
        <v>444.70000000000005</v>
      </c>
      <c r="CP30" s="11">
        <v>28094.199999999997</v>
      </c>
      <c r="CQ30" s="11">
        <v>1612.5</v>
      </c>
      <c r="CR30" s="11">
        <v>10260.629999999999</v>
      </c>
      <c r="CS30" s="11">
        <v>1074.9100000000001</v>
      </c>
      <c r="CT30" s="11">
        <v>206135.38</v>
      </c>
      <c r="CU30" s="11">
        <v>12588.55</v>
      </c>
      <c r="CV30" s="11">
        <v>36944.71</v>
      </c>
      <c r="CW30" s="11">
        <v>28776.239999999998</v>
      </c>
      <c r="CX30" s="11">
        <v>6054.05</v>
      </c>
      <c r="CY30" s="11">
        <v>195584.86999999997</v>
      </c>
      <c r="CZ30" s="11">
        <v>11335.91</v>
      </c>
      <c r="DA30" s="11">
        <v>3665.11</v>
      </c>
      <c r="DB30" s="11">
        <v>244803.46999999997</v>
      </c>
      <c r="DC30" s="11">
        <v>797277.24</v>
      </c>
      <c r="DD30" s="11">
        <v>24226.32</v>
      </c>
      <c r="DE30" s="11">
        <v>19685.310000000001</v>
      </c>
      <c r="DF30" s="11">
        <v>785833.98</v>
      </c>
      <c r="DG30" s="11">
        <v>15317.89</v>
      </c>
      <c r="DH30" s="11">
        <v>2983902.2300000004</v>
      </c>
      <c r="DI30" s="11">
        <v>21424.57</v>
      </c>
      <c r="DJ30" s="11">
        <v>25862.449999999997</v>
      </c>
      <c r="DK30" s="11">
        <v>13990839.4</v>
      </c>
      <c r="DL30" s="11">
        <v>190699.91999999998</v>
      </c>
      <c r="DM30" s="11">
        <v>234450.13</v>
      </c>
      <c r="DN30" s="11">
        <v>306896.06</v>
      </c>
      <c r="DO30" s="11">
        <v>91638.6</v>
      </c>
      <c r="DP30" s="11">
        <v>1228057.25</v>
      </c>
      <c r="DQ30" s="11">
        <v>2601952.6799999997</v>
      </c>
      <c r="DR30" s="11">
        <v>1639721.32</v>
      </c>
      <c r="DS30" s="11">
        <v>308742.28999999998</v>
      </c>
      <c r="DT30" s="11">
        <v>12689.9</v>
      </c>
      <c r="DU30" s="11">
        <v>55214.02</v>
      </c>
      <c r="DV30" s="11">
        <v>16751.09</v>
      </c>
      <c r="DW30" s="11">
        <v>126194.52</v>
      </c>
      <c r="DX30" s="11">
        <v>0</v>
      </c>
      <c r="DY30" s="11">
        <v>17086.12</v>
      </c>
      <c r="DZ30" s="11">
        <v>12366.509999999998</v>
      </c>
      <c r="EA30" s="11">
        <v>14465.84</v>
      </c>
      <c r="EB30" s="11">
        <v>38304.99</v>
      </c>
      <c r="EC30" s="11">
        <v>11863.949999999999</v>
      </c>
      <c r="ED30" s="11">
        <v>201919.38</v>
      </c>
      <c r="EE30" s="11">
        <v>80363.19</v>
      </c>
      <c r="EF30" s="11">
        <v>91085.59</v>
      </c>
      <c r="EG30" s="11">
        <v>159361.22</v>
      </c>
      <c r="EH30" s="11">
        <v>50135.59</v>
      </c>
      <c r="EI30" s="11">
        <v>14252.23</v>
      </c>
      <c r="EJ30" s="11">
        <v>477588.99</v>
      </c>
      <c r="EK30" s="11">
        <v>773129</v>
      </c>
      <c r="EL30" s="11">
        <v>15047.880000000001</v>
      </c>
      <c r="EM30" s="11">
        <v>597378.54</v>
      </c>
      <c r="EN30" s="11">
        <v>572699.92999999993</v>
      </c>
      <c r="EO30" s="11">
        <v>23699.199999999997</v>
      </c>
      <c r="EP30" s="11">
        <v>45063.199999999997</v>
      </c>
      <c r="EQ30" s="11">
        <v>36398.54</v>
      </c>
      <c r="ER30" s="11">
        <v>1587.8</v>
      </c>
      <c r="ES30" s="11">
        <v>7252.5099999999993</v>
      </c>
      <c r="ET30" s="11">
        <v>154519.54999999999</v>
      </c>
      <c r="EU30" s="11">
        <v>105783.89</v>
      </c>
      <c r="EV30" s="11">
        <v>33361.660000000003</v>
      </c>
      <c r="EW30" s="11">
        <v>1319919</v>
      </c>
      <c r="EX30" s="11">
        <v>5891.8099999999995</v>
      </c>
      <c r="EY30" s="11">
        <v>50621.93</v>
      </c>
      <c r="EZ30" s="11">
        <v>37310.54</v>
      </c>
      <c r="FA30" s="11">
        <v>50818.75</v>
      </c>
      <c r="FB30" s="11">
        <v>22625.599999999999</v>
      </c>
      <c r="FC30" s="11">
        <v>25750.080000000002</v>
      </c>
      <c r="FD30" s="11">
        <v>18385.599999999999</v>
      </c>
      <c r="FE30" s="11">
        <v>30877.88</v>
      </c>
      <c r="FF30" s="11">
        <v>9879.5600000000013</v>
      </c>
      <c r="FG30" s="11">
        <v>4014.2200000000003</v>
      </c>
      <c r="FH30" s="11">
        <v>16751.16</v>
      </c>
      <c r="FI30" s="11">
        <v>436564.80000000005</v>
      </c>
      <c r="FJ30" s="11">
        <v>0</v>
      </c>
      <c r="FK30" s="11">
        <v>23243.51</v>
      </c>
      <c r="FL30" s="11">
        <v>994.4</v>
      </c>
      <c r="FM30" s="11">
        <v>176409.63</v>
      </c>
      <c r="FN30" s="11">
        <v>65329.3</v>
      </c>
      <c r="FO30" s="11">
        <v>4660.25</v>
      </c>
      <c r="FP30" s="11">
        <v>2377.2600000000002</v>
      </c>
      <c r="FQ30" s="11">
        <v>501895.13999999996</v>
      </c>
      <c r="FR30" s="11">
        <v>0</v>
      </c>
      <c r="FS30" s="11">
        <v>4036.98</v>
      </c>
      <c r="FT30" s="11">
        <v>4594.59</v>
      </c>
      <c r="FU30" s="11">
        <v>0</v>
      </c>
      <c r="FV30" s="11">
        <v>11660.95</v>
      </c>
      <c r="FW30" s="11">
        <v>0</v>
      </c>
      <c r="FX30" s="11">
        <v>0</v>
      </c>
      <c r="FY30" s="11">
        <v>1998.9</v>
      </c>
      <c r="FZ30" s="11">
        <v>0</v>
      </c>
      <c r="GA30" s="11">
        <v>13733.5</v>
      </c>
      <c r="GB30" s="11">
        <v>13771.56</v>
      </c>
      <c r="GC30" s="11">
        <v>47525.78</v>
      </c>
      <c r="GD30" s="11">
        <v>0</v>
      </c>
      <c r="GE30" s="11">
        <v>441706.92000000004</v>
      </c>
      <c r="GF30" s="11">
        <v>106142.55</v>
      </c>
      <c r="GG30" s="11">
        <v>3107.2599999999998</v>
      </c>
      <c r="GH30" s="11">
        <v>0</v>
      </c>
      <c r="GI30" s="11">
        <v>276166.44</v>
      </c>
      <c r="GJ30" s="11">
        <v>0</v>
      </c>
      <c r="GK30" s="11">
        <v>121370.14</v>
      </c>
      <c r="GL30" s="11">
        <v>380.4</v>
      </c>
      <c r="GM30" s="11">
        <v>2763.12</v>
      </c>
      <c r="GN30" s="11">
        <v>4947.83</v>
      </c>
      <c r="GO30" s="11">
        <v>4102.88</v>
      </c>
      <c r="GP30" s="11">
        <v>5802.29</v>
      </c>
      <c r="GQ30" s="11">
        <v>426164.29</v>
      </c>
      <c r="GR30" s="11">
        <v>31993.06</v>
      </c>
      <c r="GS30" s="11">
        <v>36989.31</v>
      </c>
      <c r="GT30" s="11">
        <v>331665.67</v>
      </c>
      <c r="GU30" s="11">
        <v>7980.3300000000008</v>
      </c>
      <c r="GV30" s="11">
        <v>18615.29</v>
      </c>
      <c r="GW30" s="11">
        <v>22056.560000000001</v>
      </c>
      <c r="GX30" s="11">
        <v>47035.46</v>
      </c>
      <c r="GY30" s="11">
        <v>2530620.7999999998</v>
      </c>
      <c r="GZ30" s="11">
        <v>0</v>
      </c>
      <c r="HA30" s="11">
        <v>0</v>
      </c>
      <c r="HB30" s="11">
        <v>0</v>
      </c>
      <c r="HC30" s="11">
        <v>1065419.92</v>
      </c>
      <c r="HD30" s="11">
        <v>6499</v>
      </c>
      <c r="HE30" s="11">
        <v>33309.1</v>
      </c>
      <c r="HF30" s="11">
        <v>98733.15</v>
      </c>
      <c r="HG30" s="11">
        <v>47646.48</v>
      </c>
      <c r="HH30" s="11">
        <v>22206.6</v>
      </c>
      <c r="HI30" s="11">
        <v>7256.99</v>
      </c>
      <c r="HJ30" s="11">
        <v>0</v>
      </c>
      <c r="HK30" s="11">
        <v>2310882.4700000002</v>
      </c>
      <c r="HL30" s="11">
        <v>52911.37</v>
      </c>
      <c r="HM30" s="11">
        <v>505199.72</v>
      </c>
      <c r="HN30" s="11">
        <v>0</v>
      </c>
      <c r="HO30" s="11">
        <v>16240</v>
      </c>
      <c r="HP30" s="11">
        <v>9778.16</v>
      </c>
      <c r="HQ30" s="11">
        <v>18478.039999999997</v>
      </c>
      <c r="HR30" s="11">
        <v>0</v>
      </c>
      <c r="HS30" s="11">
        <v>550153.56000000006</v>
      </c>
      <c r="HT30" s="11">
        <v>123905.18</v>
      </c>
      <c r="HU30" s="11">
        <v>5015.3</v>
      </c>
      <c r="HV30" s="11">
        <v>9933.6700000000019</v>
      </c>
      <c r="HW30" s="11">
        <v>35675.72</v>
      </c>
      <c r="HX30" s="11">
        <v>730.53</v>
      </c>
      <c r="HY30" s="11">
        <v>83644.549999999988</v>
      </c>
      <c r="HZ30" s="11">
        <v>2405.88</v>
      </c>
      <c r="IA30" s="11">
        <v>7290.34</v>
      </c>
      <c r="IB30" s="11">
        <v>23214.19</v>
      </c>
      <c r="IC30" s="11">
        <v>23982.58</v>
      </c>
      <c r="ID30" s="11">
        <v>204376.9</v>
      </c>
      <c r="IE30" s="11">
        <v>4617.07</v>
      </c>
      <c r="IF30" s="11">
        <v>0</v>
      </c>
      <c r="IG30" s="11">
        <v>0</v>
      </c>
      <c r="IH30" s="11">
        <v>4765.9599999999991</v>
      </c>
      <c r="II30" s="11">
        <v>406927.12</v>
      </c>
      <c r="IJ30" s="11">
        <v>62161.64</v>
      </c>
      <c r="IK30" s="11">
        <v>17203.519999999997</v>
      </c>
      <c r="IL30" s="11">
        <v>7512.63</v>
      </c>
      <c r="IM30" s="11">
        <v>58928.479999999996</v>
      </c>
      <c r="IN30" s="11">
        <v>6750.1</v>
      </c>
      <c r="IO30" s="11">
        <v>16140.79</v>
      </c>
      <c r="IP30" s="11">
        <v>27105.68</v>
      </c>
      <c r="IQ30" s="11">
        <v>44200.69</v>
      </c>
      <c r="IR30" s="11">
        <v>7776.84</v>
      </c>
      <c r="IS30" s="11">
        <v>4021.7299999999996</v>
      </c>
      <c r="IT30" s="11">
        <v>7766773.3399999999</v>
      </c>
      <c r="IU30" s="11">
        <v>319800.68</v>
      </c>
      <c r="IV30" s="11">
        <v>77064.179999999993</v>
      </c>
      <c r="IW30" s="11">
        <v>0</v>
      </c>
      <c r="IX30" s="11">
        <v>149105.02000000002</v>
      </c>
      <c r="IY30" s="11">
        <v>247745.65</v>
      </c>
      <c r="IZ30" s="11">
        <v>0</v>
      </c>
      <c r="JA30" s="11">
        <v>1790.78</v>
      </c>
      <c r="JB30" s="11">
        <v>6806.85</v>
      </c>
      <c r="JC30" s="11">
        <v>288109.09999999998</v>
      </c>
      <c r="JD30" s="11">
        <v>-535412.35</v>
      </c>
      <c r="JE30" s="11">
        <v>169544.43</v>
      </c>
      <c r="JF30" s="11">
        <v>7941643.080000001</v>
      </c>
      <c r="JG30" s="11">
        <v>2020248.4900000002</v>
      </c>
      <c r="JH30" s="11">
        <v>0</v>
      </c>
      <c r="JI30" s="11">
        <v>9495.86</v>
      </c>
      <c r="JJ30" s="11">
        <v>0</v>
      </c>
      <c r="JK30" s="11">
        <v>221915.25</v>
      </c>
      <c r="JL30" s="11">
        <v>233538.6</v>
      </c>
      <c r="JM30" s="11">
        <v>30235.15</v>
      </c>
      <c r="JN30" s="11">
        <v>0</v>
      </c>
      <c r="JO30" s="11">
        <v>143403.01999999999</v>
      </c>
      <c r="JP30" s="11">
        <v>0</v>
      </c>
      <c r="JQ30" s="11">
        <v>108082.01000000001</v>
      </c>
      <c r="JR30" s="11">
        <v>2023.44</v>
      </c>
      <c r="JS30" s="11">
        <v>0</v>
      </c>
      <c r="JT30" s="11">
        <v>4355287.7</v>
      </c>
      <c r="JU30" s="11">
        <v>785853</v>
      </c>
      <c r="JV30" s="11">
        <v>0</v>
      </c>
      <c r="JW30" s="11">
        <v>0</v>
      </c>
      <c r="JX30" s="11">
        <v>0</v>
      </c>
      <c r="JY30" s="11">
        <v>69340.37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54429.479999999996</v>
      </c>
      <c r="KG30" s="11">
        <v>0</v>
      </c>
      <c r="KH30" s="11">
        <v>0</v>
      </c>
      <c r="KI30" s="11">
        <v>800443.78</v>
      </c>
      <c r="KJ30" s="11">
        <v>8931.39</v>
      </c>
      <c r="KK30" s="11">
        <v>0</v>
      </c>
      <c r="KL30" s="11">
        <v>0</v>
      </c>
      <c r="KM30" s="11">
        <v>18945.36</v>
      </c>
      <c r="KN30" s="11">
        <v>78881.11</v>
      </c>
      <c r="KO30" s="11">
        <v>13318.35</v>
      </c>
      <c r="KP30" s="11">
        <v>249211.18</v>
      </c>
      <c r="KQ30" s="11">
        <v>12530.52</v>
      </c>
      <c r="KR30" s="11">
        <v>266894.65999999997</v>
      </c>
      <c r="KS30" s="11">
        <v>24760.489999999998</v>
      </c>
      <c r="KT30" s="11">
        <v>30765.15</v>
      </c>
      <c r="KU30" s="11">
        <v>654997.78</v>
      </c>
      <c r="KV30" s="11">
        <v>5650.4800000000005</v>
      </c>
      <c r="KW30" s="11">
        <v>84032.959999999992</v>
      </c>
      <c r="KX30" s="11">
        <v>268815.17000000004</v>
      </c>
      <c r="KY30" s="11">
        <v>155066.51</v>
      </c>
      <c r="KZ30" s="11">
        <v>0</v>
      </c>
      <c r="LA30" s="11">
        <v>0</v>
      </c>
      <c r="LB30" s="11">
        <v>0</v>
      </c>
      <c r="LC30" s="11">
        <v>0</v>
      </c>
      <c r="LD30" s="11">
        <v>0</v>
      </c>
      <c r="LE30" s="11">
        <v>0</v>
      </c>
      <c r="LF30" s="11">
        <v>0</v>
      </c>
      <c r="LG30" s="11">
        <v>0</v>
      </c>
      <c r="LH30" s="11">
        <v>1014278.26</v>
      </c>
      <c r="LI30" s="11">
        <v>26945.63</v>
      </c>
      <c r="LJ30" s="11">
        <v>0</v>
      </c>
      <c r="LK30" s="11">
        <v>1324638.2999999998</v>
      </c>
      <c r="LL30" s="11">
        <v>0</v>
      </c>
      <c r="LM30" s="11">
        <v>0</v>
      </c>
      <c r="LN30" s="11">
        <v>0</v>
      </c>
      <c r="LO30" s="11">
        <v>0</v>
      </c>
      <c r="LP30" s="11">
        <v>0</v>
      </c>
      <c r="LQ30" s="11">
        <v>0</v>
      </c>
      <c r="LR30" s="11">
        <v>0</v>
      </c>
      <c r="LS30" s="11">
        <v>711.1</v>
      </c>
      <c r="LT30" s="11">
        <v>0</v>
      </c>
      <c r="LU30" s="11">
        <v>0</v>
      </c>
      <c r="LV30" s="11">
        <v>4047715.52</v>
      </c>
      <c r="LW30" s="11">
        <v>1243531.0899999999</v>
      </c>
      <c r="LX30" s="11">
        <v>6389010.4600000009</v>
      </c>
      <c r="LY30" s="11">
        <v>79611.58</v>
      </c>
      <c r="LZ30" s="11">
        <v>12167.68</v>
      </c>
      <c r="MA30" s="11">
        <v>54975.68</v>
      </c>
      <c r="MB30" s="11">
        <v>16713.64</v>
      </c>
      <c r="MC30" s="11">
        <v>0</v>
      </c>
      <c r="MD30" s="11">
        <v>24159.7</v>
      </c>
      <c r="ME30" s="11">
        <v>30316.76</v>
      </c>
      <c r="MF30" s="11">
        <v>36278.01</v>
      </c>
      <c r="MG30" s="11">
        <v>0</v>
      </c>
      <c r="MH30" s="11">
        <v>1258821.6200000001</v>
      </c>
      <c r="MI30" s="11">
        <v>133284.03</v>
      </c>
      <c r="MJ30" s="11">
        <v>73053.34</v>
      </c>
      <c r="MK30" s="11">
        <v>4122.6400000000003</v>
      </c>
      <c r="ML30" s="11">
        <v>16268.91</v>
      </c>
      <c r="MM30" s="11">
        <v>177833.88999999998</v>
      </c>
      <c r="MN30" s="11">
        <v>86524.27</v>
      </c>
      <c r="MO30" s="11">
        <v>6436.97</v>
      </c>
      <c r="MP30" s="11">
        <v>48303.850000000006</v>
      </c>
      <c r="MQ30" s="11">
        <v>10709.359999999999</v>
      </c>
      <c r="MR30" s="11">
        <v>89278.549999999988</v>
      </c>
      <c r="MS30" s="11">
        <v>44834.39</v>
      </c>
      <c r="MT30" s="11">
        <v>1113515.6399999999</v>
      </c>
      <c r="MU30" s="11">
        <v>0</v>
      </c>
      <c r="MV30" s="11">
        <v>1275020.2799999998</v>
      </c>
      <c r="MW30" s="11">
        <v>523949.44</v>
      </c>
      <c r="MX30" s="11">
        <v>0</v>
      </c>
      <c r="MY30" s="11">
        <v>162812.06</v>
      </c>
      <c r="MZ30" s="11">
        <v>1292523.71</v>
      </c>
      <c r="NA30" s="11">
        <v>354186.32</v>
      </c>
      <c r="NB30" s="11">
        <v>0</v>
      </c>
      <c r="NC30" s="11">
        <v>18667.52</v>
      </c>
      <c r="ND30" s="11">
        <v>183888.7</v>
      </c>
      <c r="NE30" s="11">
        <v>2428942.5300000003</v>
      </c>
      <c r="NF30" s="11">
        <v>3843984.54</v>
      </c>
      <c r="NG30" s="11">
        <v>49549.679999999993</v>
      </c>
      <c r="NH30" s="11">
        <v>78384.509999999995</v>
      </c>
      <c r="NI30" s="11">
        <v>172542.13</v>
      </c>
      <c r="NJ30" s="11">
        <v>27492.49</v>
      </c>
      <c r="NK30" s="11">
        <v>35967.14</v>
      </c>
      <c r="NL30" s="11">
        <v>2294.14</v>
      </c>
      <c r="NM30" s="11">
        <v>89500</v>
      </c>
      <c r="NN30" s="11">
        <v>24000</v>
      </c>
      <c r="NO30" s="11">
        <v>239169.33999999997</v>
      </c>
      <c r="NP30" s="11">
        <v>113910.65</v>
      </c>
      <c r="NQ30" s="11">
        <v>983240.59</v>
      </c>
      <c r="NR30" s="11">
        <v>28314.09</v>
      </c>
      <c r="NS30" s="11">
        <v>49520.28</v>
      </c>
      <c r="NT30" s="11">
        <v>381171.01999999996</v>
      </c>
      <c r="NU30" s="11">
        <v>59213.55</v>
      </c>
      <c r="NV30" s="11">
        <v>2644.95</v>
      </c>
      <c r="NW30" s="11">
        <v>51312.25</v>
      </c>
      <c r="NX30" s="11">
        <v>364284.15</v>
      </c>
      <c r="NY30" s="11">
        <v>117400.62</v>
      </c>
      <c r="NZ30" s="11">
        <v>783829</v>
      </c>
      <c r="OA30" s="11">
        <v>684234.14999999991</v>
      </c>
      <c r="OB30" s="11">
        <v>181628.79999999999</v>
      </c>
      <c r="OC30" s="11">
        <v>4399355.9499999993</v>
      </c>
      <c r="OD30" s="11">
        <v>234336.5</v>
      </c>
      <c r="OE30" s="11">
        <v>0</v>
      </c>
      <c r="OF30" s="11">
        <v>1257218.7</v>
      </c>
      <c r="OG30" s="11">
        <v>697.08</v>
      </c>
      <c r="OH30" s="11">
        <v>458824.3</v>
      </c>
      <c r="OI30" s="11">
        <v>125619.91</v>
      </c>
      <c r="OJ30" s="11">
        <v>1507277.36</v>
      </c>
      <c r="OK30" s="11">
        <v>0</v>
      </c>
      <c r="OL30" s="11">
        <v>58067.6</v>
      </c>
      <c r="OM30" s="11">
        <v>357394.31</v>
      </c>
      <c r="ON30" s="11">
        <v>17772154</v>
      </c>
      <c r="OO30" s="11">
        <v>585572.42000000004</v>
      </c>
      <c r="OP30" s="11">
        <v>0</v>
      </c>
      <c r="OQ30" s="11">
        <v>14975.52</v>
      </c>
      <c r="OR30" s="11">
        <v>13026.95</v>
      </c>
      <c r="OS30" s="11">
        <v>0</v>
      </c>
      <c r="OT30" s="11">
        <v>965462.53</v>
      </c>
      <c r="OU30" s="11">
        <v>101613.03</v>
      </c>
      <c r="OV30" s="11">
        <v>35941.58</v>
      </c>
      <c r="OW30" s="11">
        <v>32295.37</v>
      </c>
      <c r="OX30" s="11">
        <v>998620.69000000006</v>
      </c>
      <c r="OY30" s="11">
        <v>250211.57</v>
      </c>
      <c r="OZ30" s="11">
        <v>63022.82</v>
      </c>
      <c r="PA30" s="11">
        <v>140442.98000000001</v>
      </c>
      <c r="PB30" s="11">
        <v>91448.41</v>
      </c>
      <c r="PC30" s="11">
        <v>2618687.7400000002</v>
      </c>
      <c r="PD30" s="11">
        <v>49035</v>
      </c>
      <c r="PE30" s="11">
        <v>0</v>
      </c>
      <c r="PF30" s="11">
        <v>10478.86</v>
      </c>
      <c r="PG30" s="11">
        <v>441932.71</v>
      </c>
      <c r="PH30" s="11">
        <v>72000.05</v>
      </c>
      <c r="PI30" s="11">
        <v>0</v>
      </c>
      <c r="PJ30" s="11">
        <v>15483.76</v>
      </c>
      <c r="PK30" s="11">
        <v>12933.59</v>
      </c>
      <c r="PL30" s="11">
        <v>151163.96000000002</v>
      </c>
      <c r="PM30" s="11">
        <v>569153.99</v>
      </c>
      <c r="PN30" s="11">
        <v>245434.9</v>
      </c>
      <c r="PO30" s="11">
        <v>46505.440000000002</v>
      </c>
      <c r="PP30" s="11">
        <v>2648900.5499999998</v>
      </c>
      <c r="PQ30" s="11">
        <v>745676.21000000008</v>
      </c>
      <c r="PR30" s="11">
        <v>12102.279999999999</v>
      </c>
      <c r="PS30" s="11">
        <v>94509.5</v>
      </c>
      <c r="PT30" s="11">
        <v>7365.82</v>
      </c>
      <c r="PU30" s="11">
        <v>738601.27</v>
      </c>
      <c r="PV30" s="11">
        <v>285722.56</v>
      </c>
      <c r="PW30" s="11">
        <v>67989.460000000006</v>
      </c>
      <c r="PX30" s="11">
        <v>3441.72</v>
      </c>
      <c r="PY30" s="11">
        <v>387863.20999999996</v>
      </c>
      <c r="PZ30" s="11">
        <v>0</v>
      </c>
      <c r="QA30" s="11">
        <v>15478.24</v>
      </c>
      <c r="QB30" s="11">
        <v>75076.56</v>
      </c>
      <c r="QC30" s="11">
        <v>11350.09</v>
      </c>
      <c r="QD30" s="11">
        <v>0</v>
      </c>
      <c r="QE30" s="11">
        <v>126294.72</v>
      </c>
      <c r="QF30" s="11">
        <v>17648.809999999998</v>
      </c>
      <c r="QG30" s="11">
        <v>3088.82</v>
      </c>
      <c r="QH30" s="11">
        <v>43401.48</v>
      </c>
      <c r="QI30" s="11">
        <v>2290803.4300000002</v>
      </c>
      <c r="QJ30" s="11">
        <v>8773.73</v>
      </c>
      <c r="QK30" s="11">
        <v>14614.79</v>
      </c>
      <c r="QL30" s="11">
        <v>24877.07</v>
      </c>
      <c r="QM30" s="11">
        <v>5420.36</v>
      </c>
      <c r="QN30" s="11">
        <v>35084.480000000003</v>
      </c>
      <c r="QO30" s="11">
        <v>398029.16000000003</v>
      </c>
      <c r="QP30" s="11">
        <v>40862.269999999997</v>
      </c>
      <c r="QQ30" s="11">
        <v>9849.5300000000007</v>
      </c>
      <c r="QR30" s="11">
        <v>7020.24</v>
      </c>
      <c r="QS30" s="11">
        <v>1113.2</v>
      </c>
      <c r="QT30" s="11">
        <v>0</v>
      </c>
      <c r="QU30" s="11">
        <v>3570824.2700000005</v>
      </c>
      <c r="QV30" s="11">
        <v>11986</v>
      </c>
      <c r="QW30" s="11">
        <v>18653.759999999998</v>
      </c>
      <c r="QX30" s="11">
        <v>27736.65</v>
      </c>
      <c r="QY30" s="11">
        <v>1140997.45</v>
      </c>
      <c r="QZ30" s="11">
        <v>265821.34999999998</v>
      </c>
      <c r="RA30" s="11">
        <v>19908.870000000003</v>
      </c>
      <c r="RB30" s="11">
        <v>0</v>
      </c>
      <c r="RC30" s="11">
        <v>30079.300000000003</v>
      </c>
      <c r="RD30" s="11">
        <v>18903.689999999999</v>
      </c>
      <c r="RE30" s="11">
        <v>7372.3799999999992</v>
      </c>
      <c r="RF30" s="11">
        <v>15313.07</v>
      </c>
      <c r="RG30" s="11">
        <v>13197.400000000001</v>
      </c>
      <c r="RH30" s="11">
        <v>898485.3</v>
      </c>
      <c r="RI30" s="11">
        <v>8175.1</v>
      </c>
      <c r="RJ30" s="11">
        <v>477.75</v>
      </c>
      <c r="RK30" s="11">
        <v>15714.82</v>
      </c>
      <c r="RL30" s="11">
        <v>136581.20000000001</v>
      </c>
      <c r="RM30" s="11">
        <v>102144.69</v>
      </c>
      <c r="RN30" s="11">
        <v>300226.48</v>
      </c>
      <c r="RO30" s="11">
        <v>997.63</v>
      </c>
      <c r="RP30" s="11">
        <v>40455.850000000006</v>
      </c>
      <c r="RQ30" s="11">
        <v>85113.37</v>
      </c>
      <c r="RR30" s="11">
        <v>119402.84999999999</v>
      </c>
      <c r="RS30" s="11">
        <v>13280.03</v>
      </c>
      <c r="RT30" s="11">
        <v>380825.74999999994</v>
      </c>
      <c r="RU30" s="11">
        <v>58295.95</v>
      </c>
      <c r="RV30" s="11">
        <v>6736.1</v>
      </c>
      <c r="RW30" s="11">
        <v>38270.74</v>
      </c>
      <c r="RX30" s="11">
        <v>11567.17</v>
      </c>
      <c r="RY30" s="11">
        <v>3564.35</v>
      </c>
      <c r="RZ30" s="11">
        <v>1230003.94</v>
      </c>
      <c r="SA30" s="11">
        <v>3449.65</v>
      </c>
      <c r="SB30" s="11">
        <v>2940522.91</v>
      </c>
      <c r="SC30" s="11">
        <v>288761.23</v>
      </c>
      <c r="SD30" s="11">
        <v>147986.22999999998</v>
      </c>
      <c r="SE30" s="11">
        <v>198270.25</v>
      </c>
      <c r="SF30" s="11">
        <v>103244.25</v>
      </c>
      <c r="SG30" s="11">
        <v>137701.98000000001</v>
      </c>
      <c r="SH30" s="11">
        <v>39541.949999999997</v>
      </c>
      <c r="SI30" s="11">
        <v>613369.81000000006</v>
      </c>
      <c r="SJ30" s="11">
        <v>194730.19999999998</v>
      </c>
      <c r="SK30" s="11">
        <v>512469.10000000003</v>
      </c>
      <c r="SL30" s="11">
        <v>453858.60000000003</v>
      </c>
      <c r="SM30" s="11">
        <v>59671.05</v>
      </c>
      <c r="SN30" s="11">
        <v>1041321.2300000001</v>
      </c>
      <c r="SO30" s="11">
        <v>111151.93000000001</v>
      </c>
      <c r="SP30" s="11">
        <v>29341.919999999998</v>
      </c>
      <c r="SQ30" s="11">
        <v>1177255.9600000002</v>
      </c>
      <c r="SR30" s="11">
        <v>393423.93000000005</v>
      </c>
      <c r="SS30" s="11">
        <v>86562.859999999986</v>
      </c>
      <c r="ST30" s="11">
        <v>249370.36000000002</v>
      </c>
      <c r="SU30" s="11">
        <v>90145.59</v>
      </c>
      <c r="SV30" s="11">
        <v>2092810.96</v>
      </c>
      <c r="SW30" s="11">
        <v>72690.67</v>
      </c>
      <c r="SX30" s="11">
        <v>274344.49</v>
      </c>
      <c r="SY30" s="11">
        <v>262181.65999999997</v>
      </c>
      <c r="SZ30" s="11">
        <v>26932.400000000001</v>
      </c>
      <c r="TA30" s="11">
        <v>48413.880000000005</v>
      </c>
      <c r="TB30" s="11">
        <v>427206</v>
      </c>
      <c r="TC30" s="11">
        <v>348546.08</v>
      </c>
      <c r="TD30" s="11">
        <v>147823.6</v>
      </c>
      <c r="TE30" s="11">
        <v>102355.76000000001</v>
      </c>
      <c r="TF30" s="11">
        <v>37298</v>
      </c>
      <c r="TG30" s="11">
        <v>37529</v>
      </c>
      <c r="TH30" s="11">
        <v>83944</v>
      </c>
      <c r="TI30" s="11">
        <v>100293.45999999999</v>
      </c>
      <c r="TJ30" s="11">
        <v>3776247.88</v>
      </c>
      <c r="TK30" s="11">
        <v>61433.120000000003</v>
      </c>
      <c r="TL30" s="11">
        <v>96764.87000000001</v>
      </c>
      <c r="TM30" s="11">
        <v>620383.60000000009</v>
      </c>
      <c r="TN30" s="11">
        <v>256779.4</v>
      </c>
      <c r="TO30" s="11">
        <v>50161.779999999992</v>
      </c>
      <c r="TP30" s="11">
        <v>12848.050000000001</v>
      </c>
      <c r="TQ30" s="11">
        <v>794397.44</v>
      </c>
      <c r="TR30" s="11">
        <v>37850.22</v>
      </c>
      <c r="TS30" s="11">
        <v>103713.75</v>
      </c>
      <c r="TT30" s="11">
        <v>107707.43000000001</v>
      </c>
      <c r="TU30" s="11">
        <v>52922.95</v>
      </c>
      <c r="TV30" s="11">
        <v>111706.3</v>
      </c>
      <c r="TW30" s="11">
        <v>167140.18</v>
      </c>
      <c r="TX30" s="11">
        <v>136490.83000000002</v>
      </c>
      <c r="TY30" s="11">
        <v>64043</v>
      </c>
      <c r="TZ30" s="11">
        <v>1101921.18</v>
      </c>
      <c r="UA30" s="11">
        <v>26255.53</v>
      </c>
      <c r="UB30" s="11">
        <v>2585244.3000000003</v>
      </c>
      <c r="UC30" s="11">
        <v>641924.1</v>
      </c>
      <c r="UD30" s="11">
        <v>34698.29</v>
      </c>
      <c r="UE30" s="11">
        <v>125951.15000000001</v>
      </c>
      <c r="UF30" s="11">
        <v>1159440.3</v>
      </c>
      <c r="UG30" s="11">
        <v>16312.730000000001</v>
      </c>
      <c r="UH30" s="11">
        <v>8633.39</v>
      </c>
      <c r="UI30" s="11">
        <v>144147.23000000001</v>
      </c>
      <c r="UJ30" s="11">
        <v>483007.61000000004</v>
      </c>
      <c r="UK30" s="11">
        <v>1038417.52</v>
      </c>
      <c r="UL30" s="11">
        <v>275194.13</v>
      </c>
      <c r="UM30" s="11">
        <v>89240.609999999986</v>
      </c>
      <c r="UN30" s="11">
        <v>176234.58999999997</v>
      </c>
      <c r="UO30" s="11">
        <v>143018.18</v>
      </c>
      <c r="UP30" s="11">
        <v>325520.65999999997</v>
      </c>
      <c r="UQ30" s="11">
        <v>4081897.8</v>
      </c>
      <c r="UR30" s="11">
        <v>43793.75</v>
      </c>
      <c r="US30" s="11">
        <v>490985.37</v>
      </c>
      <c r="UT30" s="11">
        <v>3117441.9399999995</v>
      </c>
      <c r="UU30" s="11">
        <v>151823.51999999999</v>
      </c>
      <c r="UV30" s="11">
        <v>177001.19</v>
      </c>
      <c r="UW30" s="11">
        <v>518812.02999999997</v>
      </c>
      <c r="UX30" s="11">
        <v>39308.289999999994</v>
      </c>
      <c r="UY30" s="11">
        <v>235942.09000000003</v>
      </c>
      <c r="UZ30" s="11">
        <v>176292.41</v>
      </c>
      <c r="VA30" s="11">
        <v>392816.44</v>
      </c>
      <c r="VB30" s="11">
        <v>399092.79</v>
      </c>
      <c r="VC30" s="11">
        <v>386855.14</v>
      </c>
      <c r="VD30" s="11">
        <v>312406.03000000003</v>
      </c>
      <c r="VE30" s="11">
        <v>7797.82</v>
      </c>
      <c r="VF30" s="11">
        <v>160775.76999999999</v>
      </c>
      <c r="VG30" s="11">
        <v>61743.369999999995</v>
      </c>
      <c r="VH30" s="11">
        <v>43073.66</v>
      </c>
      <c r="VI30" s="11">
        <v>786022.89</v>
      </c>
      <c r="VJ30" s="11">
        <v>213995.37000000002</v>
      </c>
      <c r="VK30" s="11">
        <v>78275.09</v>
      </c>
      <c r="VL30" s="11">
        <v>42069.759999999995</v>
      </c>
      <c r="VM30" s="11">
        <v>415664.38000000006</v>
      </c>
      <c r="VN30" s="11">
        <v>21955.78</v>
      </c>
      <c r="VO30" s="11">
        <v>45074.43</v>
      </c>
      <c r="VP30" s="11">
        <v>39989.42</v>
      </c>
      <c r="VQ30" s="11">
        <v>213365.47999999998</v>
      </c>
      <c r="VR30" s="11">
        <v>50153.08</v>
      </c>
      <c r="VS30" s="11">
        <v>15537.4</v>
      </c>
      <c r="VT30" s="11">
        <v>93298.1</v>
      </c>
      <c r="VU30" s="11">
        <v>80048.45</v>
      </c>
      <c r="VV30" s="11">
        <v>153998.22999999998</v>
      </c>
      <c r="VW30" s="11">
        <v>66905.259999999995</v>
      </c>
      <c r="VX30" s="11">
        <v>527601.77</v>
      </c>
      <c r="VY30" s="11">
        <v>11853.67</v>
      </c>
      <c r="VZ30" s="11">
        <v>192484.63999999998</v>
      </c>
      <c r="WA30" s="11">
        <v>115724.14000000001</v>
      </c>
      <c r="WB30" s="11">
        <v>5358703.6500000004</v>
      </c>
      <c r="WC30" s="11">
        <v>28799.54</v>
      </c>
      <c r="WD30" s="11">
        <v>40551.829999999994</v>
      </c>
      <c r="WE30" s="11">
        <v>1066816.32</v>
      </c>
      <c r="WF30" s="11">
        <v>39013.730000000003</v>
      </c>
      <c r="WG30" s="11">
        <v>2348.66</v>
      </c>
      <c r="WH30" s="11">
        <v>133206.9</v>
      </c>
      <c r="WI30" s="11">
        <v>710659.36</v>
      </c>
      <c r="WJ30" s="11">
        <v>10514.21</v>
      </c>
      <c r="WK30" s="11">
        <v>52365.599999999999</v>
      </c>
      <c r="WL30" s="11">
        <v>88625.489999999991</v>
      </c>
      <c r="WM30" s="11">
        <v>176081.90000000002</v>
      </c>
      <c r="WN30" s="11">
        <v>69759.98000000001</v>
      </c>
      <c r="WO30" s="11">
        <v>1146432.73</v>
      </c>
      <c r="WP30" s="11">
        <v>109134.42</v>
      </c>
      <c r="WQ30" s="11">
        <v>30258.800000000003</v>
      </c>
      <c r="WR30" s="11">
        <v>17209.52</v>
      </c>
      <c r="WS30" s="11">
        <v>160738.60999999999</v>
      </c>
      <c r="WT30" s="11">
        <v>14759.32</v>
      </c>
      <c r="WU30" s="11">
        <v>23403.760000000002</v>
      </c>
      <c r="WV30" s="11">
        <v>451113.19</v>
      </c>
      <c r="WW30" s="11">
        <v>11897.449999999999</v>
      </c>
      <c r="WX30" s="11">
        <v>0</v>
      </c>
      <c r="WY30" s="11">
        <v>6491.82</v>
      </c>
      <c r="WZ30" s="11">
        <v>39863.919999999998</v>
      </c>
      <c r="XA30" s="11">
        <v>0</v>
      </c>
      <c r="XB30" s="11">
        <v>0</v>
      </c>
      <c r="XC30" s="11">
        <v>10697.16</v>
      </c>
      <c r="XD30" s="11">
        <v>37412.36</v>
      </c>
      <c r="XE30" s="11">
        <v>32357.3</v>
      </c>
      <c r="XF30" s="11">
        <v>4902.5600000000004</v>
      </c>
      <c r="XG30" s="11">
        <v>15019</v>
      </c>
      <c r="XH30" s="11">
        <v>24659.32</v>
      </c>
      <c r="XI30" s="11">
        <v>5473035.7699999996</v>
      </c>
      <c r="XJ30" s="11">
        <v>70401.049999999988</v>
      </c>
      <c r="XK30" s="11">
        <v>51942.91</v>
      </c>
      <c r="XL30" s="11">
        <v>219738.22999999998</v>
      </c>
      <c r="XM30" s="11">
        <v>25323.749999999996</v>
      </c>
      <c r="XN30" s="11">
        <v>39836.100000000006</v>
      </c>
      <c r="XO30" s="11">
        <v>63793.289999999994</v>
      </c>
      <c r="XP30" s="11">
        <v>43360.020000000004</v>
      </c>
      <c r="XQ30" s="11">
        <v>16150.72</v>
      </c>
      <c r="XR30" s="11">
        <v>57777.159999999996</v>
      </c>
      <c r="XS30" s="11">
        <v>145906.57999999999</v>
      </c>
      <c r="XT30" s="11">
        <v>25401.65</v>
      </c>
      <c r="XU30" s="11">
        <v>13393.09</v>
      </c>
      <c r="XV30" s="11">
        <v>46581.240000000005</v>
      </c>
      <c r="XW30" s="11">
        <v>19562.79</v>
      </c>
      <c r="XX30" s="11">
        <v>20992.850000000002</v>
      </c>
      <c r="XY30" s="11">
        <v>6304.08</v>
      </c>
      <c r="XZ30" s="11">
        <v>11848.919999999998</v>
      </c>
      <c r="YA30" s="11">
        <v>8596.91</v>
      </c>
      <c r="YB30" s="11">
        <v>4466.12</v>
      </c>
      <c r="YC30" s="11">
        <v>3811.1299999999997</v>
      </c>
      <c r="YD30" s="11">
        <v>7453.99</v>
      </c>
      <c r="YE30" s="11">
        <v>59331.26</v>
      </c>
      <c r="YF30" s="11">
        <v>1686819.92</v>
      </c>
      <c r="YG30" s="11">
        <v>18488.37</v>
      </c>
      <c r="YH30" s="11">
        <v>69775.399999999994</v>
      </c>
      <c r="YI30" s="11">
        <v>40227.75</v>
      </c>
      <c r="YJ30" s="11">
        <v>42228.81</v>
      </c>
      <c r="YK30" s="11">
        <v>1084627.57</v>
      </c>
      <c r="YL30" s="11">
        <v>72467.81</v>
      </c>
      <c r="YM30" s="11">
        <v>42172.94</v>
      </c>
      <c r="YN30" s="11">
        <v>90071.74</v>
      </c>
      <c r="YO30" s="11">
        <v>89222.29</v>
      </c>
      <c r="YP30" s="11">
        <v>112842.38</v>
      </c>
      <c r="YQ30" s="11">
        <v>100468.59</v>
      </c>
      <c r="YR30" s="11">
        <v>20850.580000000002</v>
      </c>
      <c r="YS30" s="11">
        <v>20735.47</v>
      </c>
      <c r="YT30" s="11">
        <v>38456.15</v>
      </c>
      <c r="YU30" s="11">
        <v>132203.17000000001</v>
      </c>
      <c r="YV30" s="11">
        <v>10131.49</v>
      </c>
      <c r="YW30" s="11">
        <v>960690.8</v>
      </c>
      <c r="YX30" s="11">
        <v>10021.320000000002</v>
      </c>
      <c r="YY30" s="11">
        <v>328012.86</v>
      </c>
      <c r="YZ30" s="11">
        <v>414167.63</v>
      </c>
      <c r="ZA30" s="11">
        <v>34808.31</v>
      </c>
      <c r="ZB30" s="11">
        <v>61604.119999999995</v>
      </c>
      <c r="ZC30" s="11">
        <v>21208.89</v>
      </c>
      <c r="ZD30" s="11">
        <v>2716462.31</v>
      </c>
      <c r="ZE30" s="11">
        <v>13891.349999999999</v>
      </c>
      <c r="ZF30" s="11">
        <v>0</v>
      </c>
      <c r="ZG30" s="11">
        <v>63102.782500000001</v>
      </c>
      <c r="ZH30" s="11">
        <v>33584.57</v>
      </c>
      <c r="ZI30" s="11">
        <v>17680.830000000002</v>
      </c>
      <c r="ZJ30" s="11">
        <v>33613.21</v>
      </c>
      <c r="ZK30" s="11">
        <v>383489.2</v>
      </c>
      <c r="ZL30" s="11">
        <v>54162.25</v>
      </c>
      <c r="ZM30" s="11">
        <v>1427173.43</v>
      </c>
      <c r="ZN30" s="11">
        <v>2652.51</v>
      </c>
      <c r="ZO30" s="11">
        <v>26753.38</v>
      </c>
      <c r="ZP30" s="11">
        <v>1177858.6200000001</v>
      </c>
      <c r="ZQ30" s="11">
        <v>41360.79</v>
      </c>
      <c r="ZR30" s="11">
        <v>4474.1799999999994</v>
      </c>
      <c r="ZS30" s="11">
        <v>72808.350000000006</v>
      </c>
      <c r="ZT30" s="11">
        <v>251770.27000000002</v>
      </c>
      <c r="ZU30" s="11">
        <v>60731.27</v>
      </c>
      <c r="ZV30" s="11">
        <v>228590.39</v>
      </c>
      <c r="ZW30" s="11">
        <v>2538.96</v>
      </c>
      <c r="ZX30" s="11">
        <v>696254.84</v>
      </c>
      <c r="ZY30" s="11">
        <v>25704.82</v>
      </c>
      <c r="ZZ30" s="11">
        <v>76998.41</v>
      </c>
      <c r="AAA30" s="11">
        <v>17350.419999999998</v>
      </c>
      <c r="AAB30" s="11">
        <v>138991.57</v>
      </c>
      <c r="AAC30" s="11">
        <v>29803.870000000003</v>
      </c>
      <c r="AAD30" s="11">
        <v>5896.12</v>
      </c>
      <c r="AAE30" s="11">
        <v>62226.080000000002</v>
      </c>
      <c r="AAF30" s="11">
        <v>90344.55</v>
      </c>
      <c r="AAG30" s="11">
        <v>24984.97</v>
      </c>
      <c r="AAH30" s="11">
        <v>2134.4</v>
      </c>
      <c r="AAI30" s="11">
        <v>0</v>
      </c>
      <c r="AAJ30" s="11">
        <v>15789.3</v>
      </c>
      <c r="AAK30" s="11">
        <v>97358.67</v>
      </c>
      <c r="AAL30" s="11">
        <v>290655.46999999997</v>
      </c>
      <c r="AAM30" s="11">
        <v>186427.09000000003</v>
      </c>
      <c r="AAN30" s="11">
        <v>59300.18</v>
      </c>
      <c r="AAO30" s="11">
        <v>2830.8900000000003</v>
      </c>
      <c r="AAP30" s="11">
        <v>4283810.13</v>
      </c>
      <c r="AAQ30" s="11">
        <v>0</v>
      </c>
      <c r="AAR30" s="11">
        <v>53348.37</v>
      </c>
      <c r="AAS30" s="11">
        <v>1799.18</v>
      </c>
      <c r="AAT30" s="11">
        <v>60410.09</v>
      </c>
      <c r="AAU30" s="11">
        <v>27253.120000000003</v>
      </c>
      <c r="AAV30" s="11">
        <v>1735.39</v>
      </c>
      <c r="AAW30" s="11">
        <v>153538.18000000002</v>
      </c>
      <c r="AAX30" s="11">
        <v>873474.38</v>
      </c>
      <c r="AAY30" s="11">
        <v>45462.350000000006</v>
      </c>
      <c r="AAZ30" s="11">
        <v>1253.1199999999999</v>
      </c>
      <c r="ABA30" s="11">
        <v>7042.21</v>
      </c>
      <c r="ABB30" s="11">
        <v>74669.08</v>
      </c>
      <c r="ABC30" s="11">
        <v>6395.7</v>
      </c>
      <c r="ABD30" s="11">
        <v>54556.590000000004</v>
      </c>
      <c r="ABE30" s="11">
        <v>10672.859999999999</v>
      </c>
      <c r="ABF30" s="11">
        <v>25637.43</v>
      </c>
      <c r="ABG30" s="11">
        <v>22228.58</v>
      </c>
      <c r="ABH30" s="11">
        <v>7626.97</v>
      </c>
      <c r="ABI30" s="11">
        <v>367969.56999999995</v>
      </c>
      <c r="ABJ30" s="11">
        <v>229421.77</v>
      </c>
      <c r="ABK30" s="11">
        <v>277874.09000000003</v>
      </c>
      <c r="ABL30" s="11">
        <v>179141.73</v>
      </c>
      <c r="ABM30" s="11">
        <v>9509</v>
      </c>
      <c r="ABN30" s="11">
        <v>17086.88</v>
      </c>
      <c r="ABO30" s="11">
        <v>0</v>
      </c>
      <c r="ABP30" s="11">
        <v>90625</v>
      </c>
      <c r="ABQ30" s="11">
        <v>24214</v>
      </c>
      <c r="ABR30" s="11">
        <v>0</v>
      </c>
      <c r="ABS30" s="11">
        <v>0</v>
      </c>
      <c r="ABT30" s="11">
        <v>0</v>
      </c>
      <c r="ABU30" s="11">
        <v>0</v>
      </c>
      <c r="ABV30" s="11">
        <v>0</v>
      </c>
      <c r="ABW30" s="11">
        <v>0</v>
      </c>
      <c r="ABX30" s="11">
        <v>0</v>
      </c>
      <c r="ABY30" s="11">
        <v>62213.600999999995</v>
      </c>
      <c r="ABZ30" s="11">
        <v>1000026.43</v>
      </c>
      <c r="ACA30" s="11">
        <v>106959.97</v>
      </c>
      <c r="ACB30" s="11">
        <v>41255.74</v>
      </c>
      <c r="ACC30" s="11">
        <v>45715.700000000004</v>
      </c>
      <c r="ACD30" s="11">
        <v>354046.68</v>
      </c>
      <c r="ACE30" s="11">
        <v>0</v>
      </c>
      <c r="ACF30" s="11">
        <v>217096.07</v>
      </c>
      <c r="ACG30" s="11">
        <v>117812.51999999999</v>
      </c>
      <c r="ACH30" s="11">
        <v>2513363.7000000002</v>
      </c>
      <c r="ACI30" s="11">
        <v>182261.62</v>
      </c>
      <c r="ACJ30" s="11">
        <v>459387.92</v>
      </c>
      <c r="ACK30" s="11">
        <v>0</v>
      </c>
      <c r="ACL30" s="11">
        <v>2169.92</v>
      </c>
      <c r="ACM30" s="11">
        <v>0</v>
      </c>
      <c r="ACN30" s="11">
        <v>0</v>
      </c>
      <c r="ACO30" s="11">
        <v>0</v>
      </c>
      <c r="ACP30" s="11">
        <v>0</v>
      </c>
      <c r="ACQ30" s="11">
        <v>28401.58</v>
      </c>
      <c r="ACR30" s="11">
        <v>0</v>
      </c>
      <c r="ACS30" s="11">
        <v>0</v>
      </c>
      <c r="ACT30" s="11">
        <v>0</v>
      </c>
      <c r="ACU30" s="11">
        <v>2624015.9</v>
      </c>
      <c r="ACV30" s="11">
        <v>0</v>
      </c>
      <c r="ACW30" s="11">
        <v>0</v>
      </c>
      <c r="ACX30" s="11">
        <v>509762</v>
      </c>
      <c r="ACY30" s="11">
        <v>44515.6</v>
      </c>
      <c r="ACZ30" s="11">
        <v>0</v>
      </c>
      <c r="ADA30" s="11">
        <v>0</v>
      </c>
      <c r="ADB30" s="11">
        <v>0</v>
      </c>
      <c r="ADC30" s="11">
        <v>0</v>
      </c>
      <c r="ADD30" s="11">
        <v>0</v>
      </c>
      <c r="ADE30" s="11">
        <v>0</v>
      </c>
      <c r="ADF30" s="11">
        <v>0</v>
      </c>
      <c r="ADG30" s="11">
        <v>694238.69</v>
      </c>
      <c r="ADH30" s="11">
        <v>426836.61</v>
      </c>
      <c r="ADI30" s="11">
        <v>0</v>
      </c>
      <c r="ADJ30" s="11">
        <v>40856.720000000001</v>
      </c>
      <c r="ADK30" s="11">
        <v>0</v>
      </c>
      <c r="ADL30" s="11">
        <v>1837522.23</v>
      </c>
      <c r="ADM30" s="11">
        <v>95892.19</v>
      </c>
      <c r="ADN30" s="11">
        <v>269394.42</v>
      </c>
      <c r="ADO30" s="11">
        <v>474351.48</v>
      </c>
      <c r="ADP30" s="11">
        <v>2406974.06</v>
      </c>
      <c r="ADQ30" s="11">
        <v>0</v>
      </c>
      <c r="ADR30" s="11">
        <v>0</v>
      </c>
      <c r="ADS30" s="11">
        <v>0</v>
      </c>
      <c r="ADT30" s="11">
        <v>62882.58</v>
      </c>
      <c r="ADU30" s="11">
        <v>187815.25</v>
      </c>
      <c r="ADV30" s="11">
        <v>0</v>
      </c>
      <c r="ADW30" s="11">
        <v>1765974.1</v>
      </c>
      <c r="ADX30" s="11">
        <v>0</v>
      </c>
      <c r="ADY30" s="11">
        <v>0</v>
      </c>
      <c r="ADZ30" s="11">
        <v>9129772.9800000004</v>
      </c>
      <c r="AEA30" s="11">
        <v>323938</v>
      </c>
      <c r="AEB30" s="11">
        <v>275788.48</v>
      </c>
      <c r="AEC30" s="11">
        <v>128323.66</v>
      </c>
      <c r="AED30" s="11">
        <v>95698.110000000015</v>
      </c>
      <c r="AEE30" s="11">
        <v>0</v>
      </c>
      <c r="AEF30" s="11">
        <v>82723.460000000006</v>
      </c>
      <c r="AEG30" s="11">
        <v>22710.83</v>
      </c>
      <c r="AEH30" s="11">
        <v>383021.96</v>
      </c>
      <c r="AEI30" s="11">
        <v>34677.100000000006</v>
      </c>
      <c r="AEJ30" s="11">
        <v>0</v>
      </c>
      <c r="AEK30" s="11">
        <v>210554.08000000002</v>
      </c>
      <c r="AEL30" s="11">
        <v>166555.09</v>
      </c>
      <c r="AEM30" s="11">
        <v>106689.84</v>
      </c>
      <c r="AEN30" s="11">
        <v>32164.63</v>
      </c>
      <c r="AEO30" s="11">
        <v>375662.38</v>
      </c>
      <c r="AEP30" s="11">
        <v>13795.6</v>
      </c>
      <c r="AEQ30" s="11">
        <v>358604.1</v>
      </c>
      <c r="AER30" s="11">
        <v>15730</v>
      </c>
      <c r="AES30" s="11">
        <v>383052.28</v>
      </c>
      <c r="AET30" s="11">
        <v>6576103.2300000004</v>
      </c>
      <c r="AEU30" s="11">
        <v>854.16</v>
      </c>
      <c r="AEV30" s="11">
        <v>53889.829999999994</v>
      </c>
      <c r="AEW30" s="11">
        <v>6682.1100000000006</v>
      </c>
      <c r="AEX30" s="11">
        <v>7274.09</v>
      </c>
      <c r="AEY30" s="11">
        <v>259.61000000000604</v>
      </c>
      <c r="AEZ30" s="11">
        <v>5330.5099999999993</v>
      </c>
      <c r="AFA30" s="11">
        <v>2574.38</v>
      </c>
      <c r="AFB30" s="11">
        <v>13671.76</v>
      </c>
      <c r="AFC30" s="11">
        <v>9728.4600000000009</v>
      </c>
      <c r="AFD30" s="11">
        <v>50344.06</v>
      </c>
      <c r="AFE30" s="11">
        <v>37720.68</v>
      </c>
      <c r="AFF30" s="11">
        <v>260590.99</v>
      </c>
      <c r="AFG30" s="11">
        <v>0</v>
      </c>
      <c r="AFH30" s="11">
        <v>861.03</v>
      </c>
      <c r="AFI30" s="11">
        <v>508.9</v>
      </c>
      <c r="AFJ30" s="11">
        <v>3484.1499999999996</v>
      </c>
      <c r="AFK30" s="11">
        <v>2484.9899999999998</v>
      </c>
      <c r="AFL30" s="11">
        <v>0</v>
      </c>
      <c r="AFM30" s="11">
        <v>5963.78</v>
      </c>
      <c r="AFN30" s="11">
        <v>0</v>
      </c>
      <c r="AFO30" s="11">
        <v>0</v>
      </c>
      <c r="AFP30" s="11">
        <v>2698.95</v>
      </c>
      <c r="AFQ30" s="11">
        <v>40050.060000000005</v>
      </c>
      <c r="AFR30" s="11">
        <v>21016.959999999999</v>
      </c>
      <c r="AFS30" s="11">
        <v>7429.59</v>
      </c>
      <c r="AFT30" s="11">
        <v>8873.5499999999993</v>
      </c>
      <c r="AFU30" s="11">
        <v>-18933.3</v>
      </c>
      <c r="AFV30" s="11">
        <v>6809.79</v>
      </c>
      <c r="AFW30" s="11">
        <v>74319.45</v>
      </c>
      <c r="AFX30" s="11">
        <v>6664.47</v>
      </c>
      <c r="AFY30" s="11">
        <v>2058.34</v>
      </c>
      <c r="AFZ30" s="11">
        <v>2933.68</v>
      </c>
      <c r="AGA30" s="11">
        <v>59032.04</v>
      </c>
      <c r="AGB30" s="11">
        <v>25115.7</v>
      </c>
      <c r="AGC30" s="11">
        <v>527722.76</v>
      </c>
      <c r="AGD30" s="11">
        <v>11466</v>
      </c>
      <c r="AGE30" s="11">
        <v>54105.020000000004</v>
      </c>
      <c r="AGF30" s="11">
        <v>167838.37999999998</v>
      </c>
      <c r="AGG30" s="11">
        <v>202043.72</v>
      </c>
      <c r="AGH30" s="11">
        <v>10327.68</v>
      </c>
      <c r="AGI30" s="11">
        <v>8617.380000000001</v>
      </c>
      <c r="AGJ30" s="11">
        <v>20823.940000000002</v>
      </c>
      <c r="AGK30" s="11">
        <v>4694.8999999999996</v>
      </c>
      <c r="AGL30" s="11">
        <v>29849.269999999997</v>
      </c>
      <c r="AGM30" s="11">
        <v>7349.28</v>
      </c>
      <c r="AGN30" s="11">
        <v>344733.37</v>
      </c>
      <c r="AGO30" s="11">
        <v>170014.65</v>
      </c>
      <c r="AGP30" s="11">
        <v>2471.19</v>
      </c>
      <c r="AGQ30" s="11">
        <v>1680.94</v>
      </c>
      <c r="AGR30" s="11">
        <v>834.3</v>
      </c>
      <c r="AGS30" s="11">
        <v>16773.66</v>
      </c>
      <c r="AGT30" s="11">
        <v>708.87</v>
      </c>
      <c r="AGU30" s="11">
        <v>305.55</v>
      </c>
      <c r="AGV30" s="11">
        <v>2058910.24</v>
      </c>
      <c r="AGW30" s="11">
        <v>111467.32</v>
      </c>
      <c r="AGX30" s="11">
        <v>22788.629999999997</v>
      </c>
      <c r="AGY30" s="11">
        <v>29064.17</v>
      </c>
      <c r="AGZ30" s="11">
        <v>283704.28000000003</v>
      </c>
      <c r="AHA30" s="11">
        <v>-51231.97</v>
      </c>
      <c r="AHB30" s="11">
        <v>20176.289999999997</v>
      </c>
      <c r="AHC30" s="11">
        <v>29762.399999999998</v>
      </c>
      <c r="AHD30" s="11">
        <v>4919.93</v>
      </c>
      <c r="AHE30" s="11">
        <v>43851.65</v>
      </c>
      <c r="AHF30" s="11">
        <v>24843.000000000004</v>
      </c>
      <c r="AHG30" s="11">
        <v>107198.89000000001</v>
      </c>
      <c r="AHH30" s="11">
        <v>19036.080000000002</v>
      </c>
      <c r="AHI30" s="11">
        <v>27696.089999999997</v>
      </c>
      <c r="AHJ30" s="11">
        <v>41721.369999999995</v>
      </c>
      <c r="AHK30" s="11">
        <v>107134.04</v>
      </c>
      <c r="AHL30" s="11">
        <v>92604.26</v>
      </c>
      <c r="AHM30" s="11">
        <v>461702.66</v>
      </c>
      <c r="AHN30" s="11">
        <v>35299.259999999995</v>
      </c>
      <c r="AHO30" s="11">
        <v>25866.85</v>
      </c>
      <c r="AHP30" s="11">
        <v>13368.93</v>
      </c>
      <c r="AHQ30" s="11">
        <v>270431.51</v>
      </c>
      <c r="AHR30" s="11">
        <v>12259.14</v>
      </c>
      <c r="AHS30" s="11">
        <v>5077.8499999999995</v>
      </c>
      <c r="AHT30" s="11">
        <v>435157339.42350006</v>
      </c>
      <c r="AHU30" s="11"/>
    </row>
    <row r="31" spans="2:905" x14ac:dyDescent="0.7">
      <c r="B31" s="6" t="s">
        <v>41</v>
      </c>
      <c r="C31" s="6" t="s">
        <v>42</v>
      </c>
      <c r="D31" s="11">
        <v>71296388.469999999</v>
      </c>
      <c r="E31" s="11">
        <v>28430511.359999996</v>
      </c>
      <c r="F31" s="11">
        <v>28168435.060000002</v>
      </c>
      <c r="G31" s="11">
        <v>7494196.7899999991</v>
      </c>
      <c r="H31" s="11">
        <v>25673171.409999996</v>
      </c>
      <c r="I31" s="11">
        <v>15690119.6</v>
      </c>
      <c r="J31" s="11">
        <v>29810186.43</v>
      </c>
      <c r="K31" s="11">
        <v>32256573.649999999</v>
      </c>
      <c r="L31" s="11">
        <v>17843525.649999999</v>
      </c>
      <c r="M31" s="11">
        <v>14370448.150000002</v>
      </c>
      <c r="N31" s="11">
        <v>9159910.75</v>
      </c>
      <c r="O31" s="11">
        <v>9413614.1099999994</v>
      </c>
      <c r="P31" s="11">
        <v>22445017.190000001</v>
      </c>
      <c r="Q31" s="11">
        <v>11094613.140000001</v>
      </c>
      <c r="R31" s="11">
        <v>9507130.3499999996</v>
      </c>
      <c r="S31" s="11">
        <v>14143503.960000001</v>
      </c>
      <c r="T31" s="11">
        <v>15139015.559999999</v>
      </c>
      <c r="U31" s="11">
        <v>5333545.8800000008</v>
      </c>
      <c r="V31" s="11">
        <v>90959561.570000008</v>
      </c>
      <c r="W31" s="11">
        <v>13141547.299999999</v>
      </c>
      <c r="X31" s="11">
        <v>7972646.2400000002</v>
      </c>
      <c r="Y31" s="11">
        <v>42346626.109999999</v>
      </c>
      <c r="Z31" s="11">
        <v>17716855.960000001</v>
      </c>
      <c r="AA31" s="11">
        <v>24757267.350000001</v>
      </c>
      <c r="AB31" s="11">
        <v>5009330.1500000004</v>
      </c>
      <c r="AC31" s="11">
        <v>15944741.620000001</v>
      </c>
      <c r="AD31" s="11">
        <v>29999217.199999996</v>
      </c>
      <c r="AE31" s="11">
        <v>7248776.7800000003</v>
      </c>
      <c r="AF31" s="11">
        <v>19087010.800000001</v>
      </c>
      <c r="AG31" s="11">
        <v>19495570.789999999</v>
      </c>
      <c r="AH31" s="11">
        <v>34389118.310000002</v>
      </c>
      <c r="AI31" s="11">
        <v>17154061.060000002</v>
      </c>
      <c r="AJ31" s="11">
        <v>11035448.119999999</v>
      </c>
      <c r="AK31" s="11">
        <v>4538177.4799999995</v>
      </c>
      <c r="AL31" s="11">
        <v>9842000.129999999</v>
      </c>
      <c r="AM31" s="11">
        <v>14575600.75</v>
      </c>
      <c r="AN31" s="11">
        <v>7799858.6800000006</v>
      </c>
      <c r="AO31" s="11">
        <v>7307360.5299999993</v>
      </c>
      <c r="AP31" s="11">
        <v>9353308.7200000007</v>
      </c>
      <c r="AQ31" s="11">
        <v>7107146.6799999997</v>
      </c>
      <c r="AR31" s="11">
        <v>6957168.8899999997</v>
      </c>
      <c r="AS31" s="11">
        <v>2341022.21</v>
      </c>
      <c r="AT31" s="11">
        <v>28198708.620000001</v>
      </c>
      <c r="AU31" s="11">
        <v>5117531.75</v>
      </c>
      <c r="AV31" s="11">
        <v>4008156.95</v>
      </c>
      <c r="AW31" s="11">
        <v>2331774</v>
      </c>
      <c r="AX31" s="11">
        <v>28516790.84</v>
      </c>
      <c r="AY31" s="11">
        <v>35971899.75</v>
      </c>
      <c r="AZ31" s="11">
        <v>6274408</v>
      </c>
      <c r="BA31" s="11">
        <v>5440299.6699999999</v>
      </c>
      <c r="BB31" s="11">
        <v>1638951.6</v>
      </c>
      <c r="BC31" s="11">
        <v>3499026.5999999996</v>
      </c>
      <c r="BD31" s="11">
        <v>672851</v>
      </c>
      <c r="BE31" s="11">
        <v>5020739.32</v>
      </c>
      <c r="BF31" s="11">
        <v>15583746.629999999</v>
      </c>
      <c r="BG31" s="11">
        <v>2683055.85</v>
      </c>
      <c r="BH31" s="11">
        <v>6003780.25</v>
      </c>
      <c r="BI31" s="11">
        <v>12534444.949999999</v>
      </c>
      <c r="BJ31" s="11">
        <v>5639492.2200000007</v>
      </c>
      <c r="BK31" s="11">
        <v>14173366.789999999</v>
      </c>
      <c r="BL31" s="11">
        <v>4649879.87</v>
      </c>
      <c r="BM31" s="11">
        <v>21162516.59</v>
      </c>
      <c r="BN31" s="11">
        <v>16119295.93</v>
      </c>
      <c r="BO31" s="11">
        <v>7542311.6200000001</v>
      </c>
      <c r="BP31" s="11">
        <v>7496914.21</v>
      </c>
      <c r="BQ31" s="11">
        <v>3079333.5</v>
      </c>
      <c r="BR31" s="11">
        <v>30013819.990000002</v>
      </c>
      <c r="BS31" s="11">
        <v>17136793.699999999</v>
      </c>
      <c r="BT31" s="11">
        <v>21823661.149999999</v>
      </c>
      <c r="BU31" s="11">
        <v>30077423.59</v>
      </c>
      <c r="BV31" s="11">
        <v>25790003.040000003</v>
      </c>
      <c r="BW31" s="11">
        <v>16073898</v>
      </c>
      <c r="BX31" s="11">
        <v>3010175</v>
      </c>
      <c r="BY31" s="11">
        <v>15484231.4</v>
      </c>
      <c r="BZ31" s="11">
        <v>6667117.5999999996</v>
      </c>
      <c r="CA31" s="11">
        <v>6935800.2599999998</v>
      </c>
      <c r="CB31" s="11">
        <v>8827703.0899999999</v>
      </c>
      <c r="CC31" s="11">
        <v>7175974.9900000002</v>
      </c>
      <c r="CD31" s="11">
        <v>4533804.9399999995</v>
      </c>
      <c r="CE31" s="11">
        <v>7445900.1200000001</v>
      </c>
      <c r="CF31" s="11">
        <v>2982007.8600000003</v>
      </c>
      <c r="CG31" s="11">
        <v>70003484.729999989</v>
      </c>
      <c r="CH31" s="11">
        <v>10086648.73</v>
      </c>
      <c r="CI31" s="11">
        <v>23554436.630000003</v>
      </c>
      <c r="CJ31" s="11">
        <v>13944296.810000001</v>
      </c>
      <c r="CK31" s="11">
        <v>14478107.800000001</v>
      </c>
      <c r="CL31" s="11">
        <v>21931321.369999997</v>
      </c>
      <c r="CM31" s="11">
        <v>8943243.2599999998</v>
      </c>
      <c r="CN31" s="11">
        <v>22287606.07</v>
      </c>
      <c r="CO31" s="11">
        <v>5857690.5</v>
      </c>
      <c r="CP31" s="11">
        <v>31675184.59</v>
      </c>
      <c r="CQ31" s="11">
        <v>11137523.25</v>
      </c>
      <c r="CR31" s="11">
        <v>24471734.25</v>
      </c>
      <c r="CS31" s="11">
        <v>16880153.27</v>
      </c>
      <c r="CT31" s="11">
        <v>20435568.370000001</v>
      </c>
      <c r="CU31" s="11">
        <v>11222136.720000001</v>
      </c>
      <c r="CV31" s="11">
        <v>15083750.790000001</v>
      </c>
      <c r="CW31" s="11">
        <v>20146651.880000003</v>
      </c>
      <c r="CX31" s="11">
        <v>5779743.5</v>
      </c>
      <c r="CY31" s="11">
        <v>22283517.34</v>
      </c>
      <c r="CZ31" s="11">
        <v>7032539.5199999996</v>
      </c>
      <c r="DA31" s="11">
        <v>6543329.8499999996</v>
      </c>
      <c r="DB31" s="11">
        <v>17828878.23</v>
      </c>
      <c r="DC31" s="11">
        <v>82658120.420000002</v>
      </c>
      <c r="DD31" s="11">
        <v>8661517.9400000013</v>
      </c>
      <c r="DE31" s="11">
        <v>10430400.57</v>
      </c>
      <c r="DF31" s="11">
        <v>12874212.520000001</v>
      </c>
      <c r="DG31" s="11">
        <v>11875876.32</v>
      </c>
      <c r="DH31" s="11">
        <v>21864645.16</v>
      </c>
      <c r="DI31" s="11">
        <v>46551297.950000003</v>
      </c>
      <c r="DJ31" s="11">
        <v>3013010.44</v>
      </c>
      <c r="DK31" s="11">
        <v>72619185.960000008</v>
      </c>
      <c r="DL31" s="11">
        <v>11988240.449999999</v>
      </c>
      <c r="DM31" s="11">
        <v>33126840.240000002</v>
      </c>
      <c r="DN31" s="11">
        <v>18219003.670000002</v>
      </c>
      <c r="DO31" s="11">
        <v>30354729</v>
      </c>
      <c r="DP31" s="11">
        <v>18919960.050000001</v>
      </c>
      <c r="DQ31" s="11">
        <v>46551607.380000003</v>
      </c>
      <c r="DR31" s="11">
        <v>19834526.52</v>
      </c>
      <c r="DS31" s="11">
        <v>16171457.300000001</v>
      </c>
      <c r="DT31" s="11">
        <v>14747700.59</v>
      </c>
      <c r="DU31" s="11">
        <v>3475463.32</v>
      </c>
      <c r="DV31" s="11">
        <v>18534418.640000001</v>
      </c>
      <c r="DW31" s="11">
        <v>5429062.7000000002</v>
      </c>
      <c r="DX31" s="11">
        <v>3834770.83</v>
      </c>
      <c r="DY31" s="11">
        <v>7952849.4699999997</v>
      </c>
      <c r="DZ31" s="11">
        <v>5259333.0999999996</v>
      </c>
      <c r="EA31" s="11">
        <v>3381479.5</v>
      </c>
      <c r="EB31" s="11">
        <v>1021814.28</v>
      </c>
      <c r="EC31" s="11">
        <v>1679444.75</v>
      </c>
      <c r="ED31" s="11">
        <v>3330672.05</v>
      </c>
      <c r="EE31" s="11">
        <v>11025829.1</v>
      </c>
      <c r="EF31" s="11">
        <v>25526087.43</v>
      </c>
      <c r="EG31" s="11">
        <v>9831479.5399999991</v>
      </c>
      <c r="EH31" s="11">
        <v>9578773.3300000001</v>
      </c>
      <c r="EI31" s="11">
        <v>10255646.850000001</v>
      </c>
      <c r="EJ31" s="11">
        <v>8100831.6299999999</v>
      </c>
      <c r="EK31" s="11">
        <v>12366239.080000002</v>
      </c>
      <c r="EL31" s="11">
        <v>2863054.3</v>
      </c>
      <c r="EM31" s="11">
        <v>8701716.7199999988</v>
      </c>
      <c r="EN31" s="11">
        <v>16502306.68</v>
      </c>
      <c r="EO31" s="11">
        <v>14905659.959999999</v>
      </c>
      <c r="EP31" s="11">
        <v>17079198.23</v>
      </c>
      <c r="EQ31" s="11">
        <v>15114075.270000001</v>
      </c>
      <c r="ER31" s="11">
        <v>9140480.6899999995</v>
      </c>
      <c r="ES31" s="11">
        <v>6568185.3300000001</v>
      </c>
      <c r="ET31" s="11">
        <v>28051692.66</v>
      </c>
      <c r="EU31" s="11">
        <v>32545062.830000002</v>
      </c>
      <c r="EV31" s="11">
        <v>14593067.029999999</v>
      </c>
      <c r="EW31" s="11">
        <v>14619838.370000001</v>
      </c>
      <c r="EX31" s="11">
        <v>3565384.15</v>
      </c>
      <c r="EY31" s="11">
        <v>9053580.25</v>
      </c>
      <c r="EZ31" s="11">
        <v>15590445</v>
      </c>
      <c r="FA31" s="11">
        <v>16859030.719999999</v>
      </c>
      <c r="FB31" s="11">
        <v>19205038.639999997</v>
      </c>
      <c r="FC31" s="11">
        <v>15130383.34</v>
      </c>
      <c r="FD31" s="11">
        <v>8502084.5399999991</v>
      </c>
      <c r="FE31" s="11">
        <v>5633178.6899999995</v>
      </c>
      <c r="FF31" s="11">
        <v>6991674.1299999999</v>
      </c>
      <c r="FG31" s="11">
        <v>4960721.29</v>
      </c>
      <c r="FH31" s="11">
        <v>5306629.3100000005</v>
      </c>
      <c r="FI31" s="11">
        <v>956436.13000000012</v>
      </c>
      <c r="FJ31" s="11">
        <v>5299983.74</v>
      </c>
      <c r="FK31" s="11">
        <v>3384651.9</v>
      </c>
      <c r="FL31" s="11">
        <v>4043654</v>
      </c>
      <c r="FM31" s="11">
        <v>9825037.2100000009</v>
      </c>
      <c r="FN31" s="11">
        <v>11882647.199999999</v>
      </c>
      <c r="FO31" s="11">
        <v>2836633.66</v>
      </c>
      <c r="FP31" s="11">
        <v>2703870.5</v>
      </c>
      <c r="FQ31" s="11">
        <v>25951129.099999998</v>
      </c>
      <c r="FR31" s="11">
        <v>7914445.9400000004</v>
      </c>
      <c r="FS31" s="11">
        <v>15068109.439999999</v>
      </c>
      <c r="FT31" s="11">
        <v>17564658.380000003</v>
      </c>
      <c r="FU31" s="11">
        <v>28658361.859999999</v>
      </c>
      <c r="FV31" s="11">
        <v>8846880.3499999996</v>
      </c>
      <c r="FW31" s="11">
        <v>18291567.059999999</v>
      </c>
      <c r="FX31" s="11">
        <v>22230240.550000001</v>
      </c>
      <c r="FY31" s="11">
        <v>19318522.440000001</v>
      </c>
      <c r="FZ31" s="11">
        <v>15666293.210000001</v>
      </c>
      <c r="GA31" s="11">
        <v>23535330.949999999</v>
      </c>
      <c r="GB31" s="11">
        <v>10717797.93</v>
      </c>
      <c r="GC31" s="11">
        <v>10771193.76</v>
      </c>
      <c r="GD31" s="11">
        <v>7549365.8499999996</v>
      </c>
      <c r="GE31" s="11">
        <v>25513844.719999999</v>
      </c>
      <c r="GF31" s="11">
        <v>12369261.210000001</v>
      </c>
      <c r="GG31" s="11">
        <v>6328968.6699999999</v>
      </c>
      <c r="GH31" s="11">
        <v>4691335.25</v>
      </c>
      <c r="GI31" s="11">
        <v>4380090.8900000006</v>
      </c>
      <c r="GJ31" s="11">
        <v>3464584.84</v>
      </c>
      <c r="GK31" s="11">
        <v>3885788.52</v>
      </c>
      <c r="GL31" s="11">
        <v>6666727.0499999998</v>
      </c>
      <c r="GM31" s="11">
        <v>4708733.13</v>
      </c>
      <c r="GN31" s="11">
        <v>6026375.2000000002</v>
      </c>
      <c r="GO31" s="11">
        <v>2350809.8600000003</v>
      </c>
      <c r="GP31" s="11">
        <v>3932495.25</v>
      </c>
      <c r="GQ31" s="11">
        <v>9967122.0500000007</v>
      </c>
      <c r="GR31" s="11">
        <v>3472866.84</v>
      </c>
      <c r="GS31" s="11">
        <v>2433024.75</v>
      </c>
      <c r="GT31" s="11">
        <v>13998100.300000001</v>
      </c>
      <c r="GU31" s="11">
        <v>2143028</v>
      </c>
      <c r="GV31" s="11">
        <v>9595691.6799999997</v>
      </c>
      <c r="GW31" s="11">
        <v>5332343.25</v>
      </c>
      <c r="GX31" s="11">
        <v>1976951.21</v>
      </c>
      <c r="GY31" s="11">
        <v>7320407.8599999994</v>
      </c>
      <c r="GZ31" s="11">
        <v>11893737.6</v>
      </c>
      <c r="HA31" s="11">
        <v>14902010.82</v>
      </c>
      <c r="HB31" s="11">
        <v>10582154.41</v>
      </c>
      <c r="HC31" s="11">
        <v>23262879.32</v>
      </c>
      <c r="HD31" s="11">
        <v>21360410.149999999</v>
      </c>
      <c r="HE31" s="11">
        <v>27124154.619999997</v>
      </c>
      <c r="HF31" s="11">
        <v>21772157.210000001</v>
      </c>
      <c r="HG31" s="11">
        <v>22413788.75</v>
      </c>
      <c r="HH31" s="11">
        <v>18014749.600000001</v>
      </c>
      <c r="HI31" s="11">
        <v>7918292.2000000002</v>
      </c>
      <c r="HJ31" s="11">
        <v>0</v>
      </c>
      <c r="HK31" s="11">
        <v>17236033.219999999</v>
      </c>
      <c r="HL31" s="11">
        <v>42575983.799999997</v>
      </c>
      <c r="HM31" s="11">
        <v>10519218.389999999</v>
      </c>
      <c r="HN31" s="11">
        <v>16013009.689999999</v>
      </c>
      <c r="HO31" s="11">
        <v>5497865.8200000003</v>
      </c>
      <c r="HP31" s="11">
        <v>28354602.620000001</v>
      </c>
      <c r="HQ31" s="11">
        <v>4111861</v>
      </c>
      <c r="HR31" s="11">
        <v>4960029.3499999996</v>
      </c>
      <c r="HS31" s="11">
        <v>39986585.530000001</v>
      </c>
      <c r="HT31" s="11">
        <v>9048155.6699999999</v>
      </c>
      <c r="HU31" s="11">
        <v>5468792.2000000002</v>
      </c>
      <c r="HV31" s="11">
        <v>6443838.1399999997</v>
      </c>
      <c r="HW31" s="11">
        <v>4652718.75</v>
      </c>
      <c r="HX31" s="11">
        <v>5010341.66</v>
      </c>
      <c r="HY31" s="11">
        <v>17328390.02</v>
      </c>
      <c r="HZ31" s="11">
        <v>4976022.2</v>
      </c>
      <c r="IA31" s="11">
        <v>7503551.2000000002</v>
      </c>
      <c r="IB31" s="11">
        <v>9028515.0099999998</v>
      </c>
      <c r="IC31" s="11">
        <v>8425674.75</v>
      </c>
      <c r="ID31" s="11">
        <v>9633092</v>
      </c>
      <c r="IE31" s="11">
        <v>3118600.25</v>
      </c>
      <c r="IF31" s="11">
        <v>12649149.719999999</v>
      </c>
      <c r="IG31" s="11">
        <v>2067955.95</v>
      </c>
      <c r="IH31" s="11">
        <v>2626817.2000000002</v>
      </c>
      <c r="II31" s="11">
        <v>15716824.58</v>
      </c>
      <c r="IJ31" s="11">
        <v>3181123.64</v>
      </c>
      <c r="IK31" s="11">
        <v>6610916.8499999996</v>
      </c>
      <c r="IL31" s="11">
        <v>5997939.9300000006</v>
      </c>
      <c r="IM31" s="11">
        <v>4892141.58</v>
      </c>
      <c r="IN31" s="11">
        <v>14884291.17</v>
      </c>
      <c r="IO31" s="11">
        <v>3371559.29</v>
      </c>
      <c r="IP31" s="11">
        <v>2605310.75</v>
      </c>
      <c r="IQ31" s="11">
        <v>4326701.16</v>
      </c>
      <c r="IR31" s="11">
        <v>1654135.42</v>
      </c>
      <c r="IS31" s="11">
        <v>2455760.11</v>
      </c>
      <c r="IT31" s="11">
        <v>13627635.960000001</v>
      </c>
      <c r="IU31" s="11">
        <v>10642138.92</v>
      </c>
      <c r="IV31" s="11">
        <v>7767239.8599999994</v>
      </c>
      <c r="IW31" s="11">
        <v>5481037.3300000001</v>
      </c>
      <c r="IX31" s="11">
        <v>10222666.779999999</v>
      </c>
      <c r="IY31" s="11">
        <v>6819900.4700000007</v>
      </c>
      <c r="IZ31" s="11">
        <v>4703496.8800000008</v>
      </c>
      <c r="JA31" s="11">
        <v>786209.66</v>
      </c>
      <c r="JB31" s="11">
        <v>2544710.87</v>
      </c>
      <c r="JC31" s="11">
        <v>3747397.54</v>
      </c>
      <c r="JD31" s="11">
        <v>3749841.92</v>
      </c>
      <c r="JE31" s="11">
        <v>1974475.57</v>
      </c>
      <c r="JF31" s="11">
        <v>6604185.5600000005</v>
      </c>
      <c r="JG31" s="11">
        <v>4181759.45</v>
      </c>
      <c r="JH31" s="11">
        <v>10521822.52</v>
      </c>
      <c r="JI31" s="11">
        <v>6474878.7800000003</v>
      </c>
      <c r="JJ31" s="11">
        <v>4175009.18</v>
      </c>
      <c r="JK31" s="11">
        <v>3069115.84</v>
      </c>
      <c r="JL31" s="11">
        <v>6782074.2800000003</v>
      </c>
      <c r="JM31" s="11">
        <v>8071927.2599999998</v>
      </c>
      <c r="JN31" s="11">
        <v>3972502.74</v>
      </c>
      <c r="JO31" s="11">
        <v>12068859.540000001</v>
      </c>
      <c r="JP31" s="11">
        <v>7852365.8900000006</v>
      </c>
      <c r="JQ31" s="11">
        <v>13682841.59</v>
      </c>
      <c r="JR31" s="11">
        <v>6312745.0800000001</v>
      </c>
      <c r="JS31" s="11">
        <v>18540156.609999999</v>
      </c>
      <c r="JT31" s="11">
        <v>14645504.030000001</v>
      </c>
      <c r="JU31" s="11">
        <v>8173503.6999999993</v>
      </c>
      <c r="JV31" s="11">
        <v>164939</v>
      </c>
      <c r="JW31" s="11">
        <v>9914814.6500000004</v>
      </c>
      <c r="JX31" s="11">
        <v>2181626.21</v>
      </c>
      <c r="JY31" s="11">
        <v>10137783.26</v>
      </c>
      <c r="JZ31" s="11">
        <v>560350</v>
      </c>
      <c r="KA31" s="11">
        <v>14798745.32</v>
      </c>
      <c r="KB31" s="11">
        <v>4357655.8499999996</v>
      </c>
      <c r="KC31" s="11">
        <v>6048918.2300000004</v>
      </c>
      <c r="KD31" s="11">
        <v>10656769.42</v>
      </c>
      <c r="KE31" s="11">
        <v>2224673</v>
      </c>
      <c r="KF31" s="11">
        <v>691585</v>
      </c>
      <c r="KG31" s="11">
        <v>1518073.5</v>
      </c>
      <c r="KH31" s="11">
        <v>3425315.75</v>
      </c>
      <c r="KI31" s="11">
        <v>62766262.82</v>
      </c>
      <c r="KJ31" s="11">
        <v>49738452.759999998</v>
      </c>
      <c r="KK31" s="11">
        <v>11976185.67</v>
      </c>
      <c r="KL31" s="11">
        <v>19546115.77</v>
      </c>
      <c r="KM31" s="11">
        <v>19770015.419999998</v>
      </c>
      <c r="KN31" s="11">
        <v>20409372.509999998</v>
      </c>
      <c r="KO31" s="11">
        <v>38980719.700000003</v>
      </c>
      <c r="KP31" s="11">
        <v>11776840.309999999</v>
      </c>
      <c r="KQ31" s="11">
        <v>4500012.07</v>
      </c>
      <c r="KR31" s="11">
        <v>8847169.2699999996</v>
      </c>
      <c r="KS31" s="11">
        <v>13027421.27</v>
      </c>
      <c r="KT31" s="11">
        <v>9270906.5300000012</v>
      </c>
      <c r="KU31" s="11">
        <v>13332688.809999999</v>
      </c>
      <c r="KV31" s="11">
        <v>6400350.9800000004</v>
      </c>
      <c r="KW31" s="11">
        <v>9413651.5999999996</v>
      </c>
      <c r="KX31" s="11">
        <v>28946050.43</v>
      </c>
      <c r="KY31" s="11">
        <v>6160691.0999999996</v>
      </c>
      <c r="KZ31" s="11">
        <v>10557528.460000001</v>
      </c>
      <c r="LA31" s="11">
        <v>13271918.4</v>
      </c>
      <c r="LB31" s="11">
        <v>8057247.0499999998</v>
      </c>
      <c r="LC31" s="11">
        <v>16221712.800000001</v>
      </c>
      <c r="LD31" s="11">
        <v>26516694.190000005</v>
      </c>
      <c r="LE31" s="11">
        <v>12481037.24</v>
      </c>
      <c r="LF31" s="11">
        <v>21701127.350000001</v>
      </c>
      <c r="LG31" s="11">
        <v>6543126.6899999995</v>
      </c>
      <c r="LH31" s="11">
        <v>31960118.220000003</v>
      </c>
      <c r="LI31" s="11">
        <v>8623980.75</v>
      </c>
      <c r="LJ31" s="11">
        <v>8943130.5399999991</v>
      </c>
      <c r="LK31" s="11">
        <v>45705704.890000001</v>
      </c>
      <c r="LL31" s="11">
        <v>13280874.129999999</v>
      </c>
      <c r="LM31" s="11">
        <v>5736764.8399999999</v>
      </c>
      <c r="LN31" s="11">
        <v>4430843.1399999997</v>
      </c>
      <c r="LO31" s="11">
        <v>9942120.9399999995</v>
      </c>
      <c r="LP31" s="11">
        <v>2043052</v>
      </c>
      <c r="LQ31" s="11">
        <v>11648724.149999999</v>
      </c>
      <c r="LR31" s="11">
        <v>4182355.42</v>
      </c>
      <c r="LS31" s="11">
        <v>12018766.209999999</v>
      </c>
      <c r="LT31" s="11">
        <v>12453877.029999999</v>
      </c>
      <c r="LU31" s="11">
        <v>14356660.720000001</v>
      </c>
      <c r="LV31" s="11">
        <v>12259714.52</v>
      </c>
      <c r="LW31" s="11">
        <v>8700304.6899999995</v>
      </c>
      <c r="LX31" s="11">
        <v>15186215.779999997</v>
      </c>
      <c r="LY31" s="11">
        <v>13525734.800000001</v>
      </c>
      <c r="LZ31" s="11">
        <v>12053234.5</v>
      </c>
      <c r="MA31" s="11">
        <v>10230680.399999999</v>
      </c>
      <c r="MB31" s="11">
        <v>18124514.990000002</v>
      </c>
      <c r="MC31" s="11">
        <v>8130149</v>
      </c>
      <c r="MD31" s="11">
        <v>11450696.939999999</v>
      </c>
      <c r="ME31" s="11">
        <v>7502434.9699999997</v>
      </c>
      <c r="MF31" s="11">
        <v>24221037.079999998</v>
      </c>
      <c r="MG31" s="11">
        <v>5822053.8300000001</v>
      </c>
      <c r="MH31" s="11">
        <v>27137563.5</v>
      </c>
      <c r="MI31" s="11">
        <v>30706850.75</v>
      </c>
      <c r="MJ31" s="11">
        <v>15857298</v>
      </c>
      <c r="MK31" s="11">
        <v>8850544.1500000004</v>
      </c>
      <c r="ML31" s="11">
        <v>14387063.85</v>
      </c>
      <c r="MM31" s="11">
        <v>22177121.25</v>
      </c>
      <c r="MN31" s="11">
        <v>14516589.010000002</v>
      </c>
      <c r="MO31" s="11">
        <v>14269213.5</v>
      </c>
      <c r="MP31" s="11">
        <v>20548919.5</v>
      </c>
      <c r="MQ31" s="11">
        <v>16166834.74</v>
      </c>
      <c r="MR31" s="11">
        <v>19068888.879999999</v>
      </c>
      <c r="MS31" s="11">
        <v>11958515.060000001</v>
      </c>
      <c r="MT31" s="11">
        <v>48731069.950000003</v>
      </c>
      <c r="MU31" s="11">
        <v>4775832.08</v>
      </c>
      <c r="MV31" s="11">
        <v>11178832.52</v>
      </c>
      <c r="MW31" s="11">
        <v>12672581.75</v>
      </c>
      <c r="MX31" s="11">
        <v>22483172.5</v>
      </c>
      <c r="MY31" s="11">
        <v>9076240.4000000004</v>
      </c>
      <c r="MZ31" s="11">
        <v>11416385.41</v>
      </c>
      <c r="NA31" s="11">
        <v>7254680.4000000004</v>
      </c>
      <c r="NB31" s="11">
        <v>257703.75</v>
      </c>
      <c r="NC31" s="11">
        <v>2350531.75</v>
      </c>
      <c r="ND31" s="11">
        <v>3533201.5</v>
      </c>
      <c r="NE31" s="11">
        <v>49134081.040000007</v>
      </c>
      <c r="NF31" s="11">
        <v>25565064.369999997</v>
      </c>
      <c r="NG31" s="11">
        <v>4145099.5</v>
      </c>
      <c r="NH31" s="11">
        <v>53081765.819999993</v>
      </c>
      <c r="NI31" s="11">
        <v>2968603.5</v>
      </c>
      <c r="NJ31" s="11">
        <v>19083884.489999998</v>
      </c>
      <c r="NK31" s="11">
        <v>23372625.82</v>
      </c>
      <c r="NL31" s="11">
        <v>14047951.189999999</v>
      </c>
      <c r="NM31" s="11">
        <v>903998</v>
      </c>
      <c r="NN31" s="11">
        <v>11705786.59</v>
      </c>
      <c r="NO31" s="11">
        <v>16001736.810000001</v>
      </c>
      <c r="NP31" s="11">
        <v>3386219.2</v>
      </c>
      <c r="NQ31" s="11">
        <v>15227383.760000002</v>
      </c>
      <c r="NR31" s="11">
        <v>2835934.29</v>
      </c>
      <c r="NS31" s="11">
        <v>6684926.5999999996</v>
      </c>
      <c r="NT31" s="11">
        <v>3682192.64</v>
      </c>
      <c r="NU31" s="11">
        <v>3351422.87</v>
      </c>
      <c r="NV31" s="11">
        <v>603555.65</v>
      </c>
      <c r="NW31" s="11">
        <v>1706107.75</v>
      </c>
      <c r="NX31" s="11">
        <v>52204891.93</v>
      </c>
      <c r="NY31" s="11">
        <v>27469984.420000002</v>
      </c>
      <c r="NZ31" s="11">
        <v>6190209.7800000003</v>
      </c>
      <c r="OA31" s="11">
        <v>12474829.4</v>
      </c>
      <c r="OB31" s="11">
        <v>13372126.15</v>
      </c>
      <c r="OC31" s="11">
        <v>21121872.41</v>
      </c>
      <c r="OD31" s="11">
        <v>3927827.35</v>
      </c>
      <c r="OE31" s="11">
        <v>41866456.079999998</v>
      </c>
      <c r="OF31" s="11">
        <v>4399256.24</v>
      </c>
      <c r="OG31" s="11">
        <v>5301816.82</v>
      </c>
      <c r="OH31" s="11">
        <v>4451950.88</v>
      </c>
      <c r="OI31" s="11">
        <v>9777593.7800000012</v>
      </c>
      <c r="OJ31" s="11">
        <v>9831411.4400000013</v>
      </c>
      <c r="OK31" s="11">
        <v>3252846</v>
      </c>
      <c r="OL31" s="11">
        <v>12517866.550000001</v>
      </c>
      <c r="OM31" s="11">
        <v>9327625.8599999994</v>
      </c>
      <c r="ON31" s="11">
        <v>75922005.909999996</v>
      </c>
      <c r="OO31" s="11">
        <v>8231300</v>
      </c>
      <c r="OP31" s="11">
        <v>39873049.740000002</v>
      </c>
      <c r="OQ31" s="11">
        <v>13702386.550000001</v>
      </c>
      <c r="OR31" s="11">
        <v>7117422.5800000001</v>
      </c>
      <c r="OS31" s="11">
        <v>9801778.8499999996</v>
      </c>
      <c r="OT31" s="11">
        <v>13103767.58</v>
      </c>
      <c r="OU31" s="11">
        <v>5999765.5499999998</v>
      </c>
      <c r="OV31" s="11">
        <v>6597702.6100000003</v>
      </c>
      <c r="OW31" s="11">
        <v>7588023.8599999994</v>
      </c>
      <c r="OX31" s="11">
        <v>20825928.140000001</v>
      </c>
      <c r="OY31" s="11">
        <v>6881572.9699999997</v>
      </c>
      <c r="OZ31" s="11">
        <v>11121941.24</v>
      </c>
      <c r="PA31" s="11">
        <v>5146707.87</v>
      </c>
      <c r="PB31" s="11">
        <v>2942192.7</v>
      </c>
      <c r="PC31" s="11">
        <v>39710942.310000002</v>
      </c>
      <c r="PD31" s="11">
        <v>4205261.01</v>
      </c>
      <c r="PE31" s="11">
        <v>574525.69999999995</v>
      </c>
      <c r="PF31" s="11">
        <v>1279839.18</v>
      </c>
      <c r="PG31" s="11">
        <v>456551.47</v>
      </c>
      <c r="PH31" s="11">
        <v>4853682.6900000004</v>
      </c>
      <c r="PI31" s="11">
        <v>2428756.94</v>
      </c>
      <c r="PJ31" s="11">
        <v>562501</v>
      </c>
      <c r="PK31" s="11">
        <v>4008747.11</v>
      </c>
      <c r="PL31" s="11">
        <v>1203520.54</v>
      </c>
      <c r="PM31" s="11">
        <v>2479189.65</v>
      </c>
      <c r="PN31" s="11">
        <v>3316217.51</v>
      </c>
      <c r="PO31" s="11">
        <v>455219</v>
      </c>
      <c r="PP31" s="11">
        <v>7671774.7199999997</v>
      </c>
      <c r="PQ31" s="11">
        <v>1424925.25</v>
      </c>
      <c r="PR31" s="11">
        <v>4331264.74</v>
      </c>
      <c r="PS31" s="11">
        <v>351517.47</v>
      </c>
      <c r="PT31" s="11">
        <v>245751</v>
      </c>
      <c r="PU31" s="11">
        <v>48253303.060000002</v>
      </c>
      <c r="PV31" s="11">
        <v>315877.90000000002</v>
      </c>
      <c r="PW31" s="11">
        <v>127837</v>
      </c>
      <c r="PX31" s="11">
        <v>985494.5</v>
      </c>
      <c r="PY31" s="11">
        <v>1182955</v>
      </c>
      <c r="PZ31" s="11">
        <v>4199639.2300000004</v>
      </c>
      <c r="QA31" s="11">
        <v>2581904.23</v>
      </c>
      <c r="QB31" s="11">
        <v>2298121.9500000002</v>
      </c>
      <c r="QC31" s="11">
        <v>15142114.85</v>
      </c>
      <c r="QD31" s="11">
        <v>474379.07</v>
      </c>
      <c r="QE31" s="11">
        <v>10794459.5</v>
      </c>
      <c r="QF31" s="11">
        <v>3862539.25</v>
      </c>
      <c r="QG31" s="11">
        <v>9442119.7799999993</v>
      </c>
      <c r="QH31" s="11">
        <v>16462392.17</v>
      </c>
      <c r="QI31" s="11">
        <v>308844</v>
      </c>
      <c r="QJ31" s="11">
        <v>7300715.7000000002</v>
      </c>
      <c r="QK31" s="11">
        <v>7310685.75</v>
      </c>
      <c r="QL31" s="11">
        <v>5177925.74</v>
      </c>
      <c r="QM31" s="11">
        <v>1207660.3</v>
      </c>
      <c r="QN31" s="11">
        <v>1993997</v>
      </c>
      <c r="QO31" s="11">
        <v>12506272.550000001</v>
      </c>
      <c r="QP31" s="11">
        <v>824982.01</v>
      </c>
      <c r="QQ31" s="11">
        <v>555300</v>
      </c>
      <c r="QR31" s="11">
        <v>387765</v>
      </c>
      <c r="QS31" s="11">
        <v>1325162.8</v>
      </c>
      <c r="QT31" s="11">
        <v>314385</v>
      </c>
      <c r="QU31" s="11">
        <v>32839825.609999999</v>
      </c>
      <c r="QV31" s="11">
        <v>5319859.1899999995</v>
      </c>
      <c r="QW31" s="11">
        <v>8023738.9100000001</v>
      </c>
      <c r="QX31" s="11">
        <v>5691924.9199999999</v>
      </c>
      <c r="QY31" s="11">
        <v>5018653.75</v>
      </c>
      <c r="QZ31" s="11">
        <v>9287439.2599999998</v>
      </c>
      <c r="RA31" s="11">
        <v>3432725.25</v>
      </c>
      <c r="RB31" s="11">
        <v>2334275</v>
      </c>
      <c r="RC31" s="11">
        <v>3025288.21</v>
      </c>
      <c r="RD31" s="11">
        <v>6545494.7400000002</v>
      </c>
      <c r="RE31" s="11">
        <v>4168113.25</v>
      </c>
      <c r="RF31" s="11">
        <v>1278793.96</v>
      </c>
      <c r="RG31" s="11">
        <v>1004553.7</v>
      </c>
      <c r="RH31" s="11">
        <v>37932859.460000001</v>
      </c>
      <c r="RI31" s="11">
        <v>3722730.23</v>
      </c>
      <c r="RJ31" s="11">
        <v>4136994.28</v>
      </c>
      <c r="RK31" s="11">
        <v>8401654.1999999993</v>
      </c>
      <c r="RL31" s="11">
        <v>15138379.82</v>
      </c>
      <c r="RM31" s="11">
        <v>7881569.75</v>
      </c>
      <c r="RN31" s="11">
        <v>8594211.9800000004</v>
      </c>
      <c r="RO31" s="11">
        <v>9561056.4000000004</v>
      </c>
      <c r="RP31" s="11">
        <v>6762750.7599999998</v>
      </c>
      <c r="RQ31" s="11">
        <v>11599985.949999999</v>
      </c>
      <c r="RR31" s="11">
        <v>9352726.3000000007</v>
      </c>
      <c r="RS31" s="11">
        <v>1945010</v>
      </c>
      <c r="RT31" s="11">
        <v>3433180.25</v>
      </c>
      <c r="RU31" s="11">
        <v>16707363.609999999</v>
      </c>
      <c r="RV31" s="11">
        <v>1910156.5</v>
      </c>
      <c r="RW31" s="11">
        <v>3276785</v>
      </c>
      <c r="RX31" s="11">
        <v>5588244.5899999999</v>
      </c>
      <c r="RY31" s="11">
        <v>1998357.67</v>
      </c>
      <c r="RZ31" s="11">
        <v>5534409.4800000004</v>
      </c>
      <c r="SA31" s="11">
        <v>3720292.83</v>
      </c>
      <c r="SB31" s="11">
        <v>19141728.600000001</v>
      </c>
      <c r="SC31" s="11">
        <v>3897717</v>
      </c>
      <c r="SD31" s="11">
        <v>6204454.2999999998</v>
      </c>
      <c r="SE31" s="11">
        <v>4664925.25</v>
      </c>
      <c r="SF31" s="11">
        <v>3400114.8</v>
      </c>
      <c r="SG31" s="11">
        <v>8049711.0899999999</v>
      </c>
      <c r="SH31" s="11">
        <v>18158233.829999998</v>
      </c>
      <c r="SI31" s="11">
        <v>10328322.16</v>
      </c>
      <c r="SJ31" s="11">
        <v>4664425.9000000004</v>
      </c>
      <c r="SK31" s="11">
        <v>6952715.3100000005</v>
      </c>
      <c r="SL31" s="11">
        <v>10051989.82</v>
      </c>
      <c r="SM31" s="11">
        <v>2766948.2800000003</v>
      </c>
      <c r="SN31" s="11">
        <v>18971404.269999996</v>
      </c>
      <c r="SO31" s="11">
        <v>12162322.49</v>
      </c>
      <c r="SP31" s="11">
        <v>17637654.240000002</v>
      </c>
      <c r="SQ31" s="11">
        <v>3516636.34</v>
      </c>
      <c r="SR31" s="11">
        <v>6788541.2600000016</v>
      </c>
      <c r="SS31" s="11">
        <v>3873426.87</v>
      </c>
      <c r="ST31" s="11">
        <v>6793315.3799999999</v>
      </c>
      <c r="SU31" s="11">
        <v>2876362.8</v>
      </c>
      <c r="SV31" s="11">
        <v>9777694.6400000006</v>
      </c>
      <c r="SW31" s="11">
        <v>12450538.050000001</v>
      </c>
      <c r="SX31" s="11">
        <v>11025697.77</v>
      </c>
      <c r="SY31" s="11">
        <v>12022577.59</v>
      </c>
      <c r="SZ31" s="11">
        <v>2024645.5</v>
      </c>
      <c r="TA31" s="11">
        <v>7677341.5</v>
      </c>
      <c r="TB31" s="11">
        <v>1922700</v>
      </c>
      <c r="TC31" s="11">
        <v>20923655.990000002</v>
      </c>
      <c r="TD31" s="11">
        <v>2780250.49</v>
      </c>
      <c r="TE31" s="11">
        <v>7140409.8600000003</v>
      </c>
      <c r="TF31" s="11">
        <v>8469494.25</v>
      </c>
      <c r="TG31" s="11">
        <v>12674748.07</v>
      </c>
      <c r="TH31" s="11">
        <v>11054415.5</v>
      </c>
      <c r="TI31" s="11">
        <v>4837815.75</v>
      </c>
      <c r="TJ31" s="11">
        <v>51164063.249999993</v>
      </c>
      <c r="TK31" s="11">
        <v>7959325.5</v>
      </c>
      <c r="TL31" s="11">
        <v>2867192.25</v>
      </c>
      <c r="TM31" s="11">
        <v>15192967.800000001</v>
      </c>
      <c r="TN31" s="11">
        <v>3323836.46</v>
      </c>
      <c r="TO31" s="11">
        <v>6307410.75</v>
      </c>
      <c r="TP31" s="11">
        <v>1764752.4</v>
      </c>
      <c r="TQ31" s="11">
        <v>9986673.9000000004</v>
      </c>
      <c r="TR31" s="11">
        <v>10370661.210000001</v>
      </c>
      <c r="TS31" s="11">
        <v>4754111.6900000004</v>
      </c>
      <c r="TT31" s="11">
        <v>15340723.300000001</v>
      </c>
      <c r="TU31" s="11">
        <v>4703682.3</v>
      </c>
      <c r="TV31" s="11">
        <v>1944010.66</v>
      </c>
      <c r="TW31" s="11">
        <v>3201739.98</v>
      </c>
      <c r="TX31" s="11">
        <v>3132799.71</v>
      </c>
      <c r="TY31" s="11">
        <v>2829183.6</v>
      </c>
      <c r="TZ31" s="11">
        <v>12225331.15</v>
      </c>
      <c r="UA31" s="11">
        <v>2364055</v>
      </c>
      <c r="UB31" s="11">
        <v>16739991.549999999</v>
      </c>
      <c r="UC31" s="11">
        <v>16172213.41</v>
      </c>
      <c r="UD31" s="11">
        <v>8153766.7399999993</v>
      </c>
      <c r="UE31" s="11">
        <v>6085549.0999999996</v>
      </c>
      <c r="UF31" s="11">
        <v>10782859.129999999</v>
      </c>
      <c r="UG31" s="11">
        <v>3102124.5</v>
      </c>
      <c r="UH31" s="11">
        <v>2387870.25</v>
      </c>
      <c r="UI31" s="11">
        <v>6874058.3499999996</v>
      </c>
      <c r="UJ31" s="11">
        <v>2760036.05</v>
      </c>
      <c r="UK31" s="11">
        <v>5035126.5</v>
      </c>
      <c r="UL31" s="11">
        <v>7177136.6800000006</v>
      </c>
      <c r="UM31" s="11">
        <v>5924269.5599999996</v>
      </c>
      <c r="UN31" s="11">
        <v>8139750.6699999999</v>
      </c>
      <c r="UO31" s="11">
        <v>5680006.1099999994</v>
      </c>
      <c r="UP31" s="11">
        <v>2699971.01</v>
      </c>
      <c r="UQ31" s="11">
        <v>43089344.459999993</v>
      </c>
      <c r="UR31" s="11">
        <v>13161068.369999999</v>
      </c>
      <c r="US31" s="11">
        <v>13661530.550000001</v>
      </c>
      <c r="UT31" s="11">
        <v>26687825.289999999</v>
      </c>
      <c r="UU31" s="11">
        <v>1724354.92</v>
      </c>
      <c r="UV31" s="11">
        <v>8650482.1600000001</v>
      </c>
      <c r="UW31" s="11">
        <v>12426716.710000001</v>
      </c>
      <c r="UX31" s="11">
        <v>6350682.8100000005</v>
      </c>
      <c r="UY31" s="11">
        <v>5904040.7700000005</v>
      </c>
      <c r="UZ31" s="11">
        <v>11716016.359999999</v>
      </c>
      <c r="VA31" s="11">
        <v>9893062.0700000003</v>
      </c>
      <c r="VB31" s="11">
        <v>19627315.120000001</v>
      </c>
      <c r="VC31" s="11">
        <v>9960475.0800000001</v>
      </c>
      <c r="VD31" s="11">
        <v>19323170.640000001</v>
      </c>
      <c r="VE31" s="11">
        <v>8740088.5300000012</v>
      </c>
      <c r="VF31" s="11">
        <v>6108481.6700000009</v>
      </c>
      <c r="VG31" s="11">
        <v>2511874.4900000002</v>
      </c>
      <c r="VH31" s="11">
        <v>6314559.0499999998</v>
      </c>
      <c r="VI31" s="11">
        <v>14392142.010000002</v>
      </c>
      <c r="VJ31" s="11">
        <v>7884531.8300000001</v>
      </c>
      <c r="VK31" s="11">
        <v>7905026.4199999999</v>
      </c>
      <c r="VL31" s="11">
        <v>1801970.71</v>
      </c>
      <c r="VM31" s="11">
        <v>22004031.919999998</v>
      </c>
      <c r="VN31" s="11">
        <v>6567725.1299999999</v>
      </c>
      <c r="VO31" s="11">
        <v>4574225.58</v>
      </c>
      <c r="VP31" s="11">
        <v>11318964.799999999</v>
      </c>
      <c r="VQ31" s="11">
        <v>3609074.64</v>
      </c>
      <c r="VR31" s="11">
        <v>7578771.6399999997</v>
      </c>
      <c r="VS31" s="11">
        <v>5151993.8499999996</v>
      </c>
      <c r="VT31" s="11">
        <v>2968657.13</v>
      </c>
      <c r="VU31" s="11">
        <v>4916491.74</v>
      </c>
      <c r="VV31" s="11">
        <v>11907782.559999999</v>
      </c>
      <c r="VW31" s="11">
        <v>4469397.92</v>
      </c>
      <c r="VX31" s="11">
        <v>17462678.870000001</v>
      </c>
      <c r="VY31" s="11">
        <v>6453971.9799999995</v>
      </c>
      <c r="VZ31" s="11">
        <v>6382349.6899999995</v>
      </c>
      <c r="WA31" s="11">
        <v>1847819.3</v>
      </c>
      <c r="WB31" s="11">
        <v>51757181.93</v>
      </c>
      <c r="WC31" s="11">
        <v>8445973.0500000007</v>
      </c>
      <c r="WD31" s="11">
        <v>10318690.390000001</v>
      </c>
      <c r="WE31" s="11">
        <v>10886626.699999999</v>
      </c>
      <c r="WF31" s="11">
        <v>1464829.25</v>
      </c>
      <c r="WG31" s="11">
        <v>8340169.0000000009</v>
      </c>
      <c r="WH31" s="11">
        <v>7245118.9100000001</v>
      </c>
      <c r="WI31" s="11">
        <v>15435404.699999999</v>
      </c>
      <c r="WJ31" s="11">
        <v>8905392.8800000008</v>
      </c>
      <c r="WK31" s="11">
        <v>15703989.23</v>
      </c>
      <c r="WL31" s="11">
        <v>1861104.1</v>
      </c>
      <c r="WM31" s="11">
        <v>10081644.77</v>
      </c>
      <c r="WN31" s="11">
        <v>8181432.8099999996</v>
      </c>
      <c r="WO31" s="11">
        <v>3000362.2199999997</v>
      </c>
      <c r="WP31" s="11">
        <v>9944430.5</v>
      </c>
      <c r="WQ31" s="11">
        <v>7080663.8600000003</v>
      </c>
      <c r="WR31" s="11">
        <v>17594433.5</v>
      </c>
      <c r="WS31" s="11">
        <v>7916856.3800000008</v>
      </c>
      <c r="WT31" s="11">
        <v>4332885.1400000006</v>
      </c>
      <c r="WU31" s="11">
        <v>17021757.950000003</v>
      </c>
      <c r="WV31" s="11">
        <v>21137357.400000002</v>
      </c>
      <c r="WW31" s="11">
        <v>4786601.0999999996</v>
      </c>
      <c r="WX31" s="11">
        <v>3395714.7</v>
      </c>
      <c r="WY31" s="11">
        <v>541728.69000000006</v>
      </c>
      <c r="WZ31" s="11">
        <v>4516153.6999999993</v>
      </c>
      <c r="XA31" s="11">
        <v>1246567.05</v>
      </c>
      <c r="XB31" s="11">
        <v>2784350.79</v>
      </c>
      <c r="XC31" s="11">
        <v>3472908.1300000004</v>
      </c>
      <c r="XD31" s="11">
        <v>4608587.24</v>
      </c>
      <c r="XE31" s="11">
        <v>3261589.5</v>
      </c>
      <c r="XF31" s="11">
        <v>4792572.07</v>
      </c>
      <c r="XG31" s="11">
        <v>2372381.75</v>
      </c>
      <c r="XH31" s="11">
        <v>4563547.8</v>
      </c>
      <c r="XI31" s="11">
        <v>18667961.18</v>
      </c>
      <c r="XJ31" s="11">
        <v>34112162.729999997</v>
      </c>
      <c r="XK31" s="11">
        <v>41670866.850000001</v>
      </c>
      <c r="XL31" s="11">
        <v>20192357.199999999</v>
      </c>
      <c r="XM31" s="11">
        <v>18113623.370000001</v>
      </c>
      <c r="XN31" s="11">
        <v>21147591.91</v>
      </c>
      <c r="XO31" s="11">
        <v>51453327.130000003</v>
      </c>
      <c r="XP31" s="11">
        <v>44979510.240000002</v>
      </c>
      <c r="XQ31" s="11">
        <v>18887801.879999999</v>
      </c>
      <c r="XR31" s="11">
        <v>50299855.280000001</v>
      </c>
      <c r="XS31" s="11">
        <v>58316606.369999997</v>
      </c>
      <c r="XT31" s="11">
        <v>15200121.279999999</v>
      </c>
      <c r="XU31" s="11">
        <v>12737378.75</v>
      </c>
      <c r="XV31" s="11">
        <v>18680501.530000001</v>
      </c>
      <c r="XW31" s="11">
        <v>19711168.039999999</v>
      </c>
      <c r="XX31" s="11">
        <v>16504850.98</v>
      </c>
      <c r="XY31" s="11">
        <v>7065233.0599999996</v>
      </c>
      <c r="XZ31" s="11">
        <v>14265025.59</v>
      </c>
      <c r="YA31" s="11">
        <v>11204693.630000001</v>
      </c>
      <c r="YB31" s="11">
        <v>6762028.0999999996</v>
      </c>
      <c r="YC31" s="11">
        <v>13055419.58</v>
      </c>
      <c r="YD31" s="11">
        <v>16730161.75</v>
      </c>
      <c r="YE31" s="11">
        <v>41497840.890000001</v>
      </c>
      <c r="YF31" s="11">
        <v>73123423.189999998</v>
      </c>
      <c r="YG31" s="11">
        <v>5040638.9000000004</v>
      </c>
      <c r="YH31" s="11">
        <v>8446000.9699999988</v>
      </c>
      <c r="YI31" s="11">
        <v>8251187.5599999996</v>
      </c>
      <c r="YJ31" s="11">
        <v>4817285.2799999993</v>
      </c>
      <c r="YK31" s="11">
        <v>10146082.140000001</v>
      </c>
      <c r="YL31" s="11">
        <v>6925605.6100000003</v>
      </c>
      <c r="YM31" s="11">
        <v>5176963.43</v>
      </c>
      <c r="YN31" s="11">
        <v>7376666.1399999997</v>
      </c>
      <c r="YO31" s="11">
        <v>10816754.49</v>
      </c>
      <c r="YP31" s="11">
        <v>4662434.0999999996</v>
      </c>
      <c r="YQ31" s="11">
        <v>7657473.2199999997</v>
      </c>
      <c r="YR31" s="11">
        <v>4198433.66</v>
      </c>
      <c r="YS31" s="11">
        <v>2349122.5</v>
      </c>
      <c r="YT31" s="11">
        <v>6272166.1699999999</v>
      </c>
      <c r="YU31" s="11">
        <v>5796932.54</v>
      </c>
      <c r="YV31" s="11">
        <v>4789502.3999999994</v>
      </c>
      <c r="YW31" s="11">
        <v>6067233.5300000003</v>
      </c>
      <c r="YX31" s="11">
        <v>9637542.0500000007</v>
      </c>
      <c r="YY31" s="11">
        <v>8937604</v>
      </c>
      <c r="YZ31" s="11">
        <v>7504669.9500000002</v>
      </c>
      <c r="ZA31" s="11">
        <v>9670629.5</v>
      </c>
      <c r="ZB31" s="11">
        <v>3936875.9</v>
      </c>
      <c r="ZC31" s="11">
        <v>4505126</v>
      </c>
      <c r="ZD31" s="11">
        <v>39621756.57</v>
      </c>
      <c r="ZE31" s="11">
        <v>3256683.59</v>
      </c>
      <c r="ZF31" s="11">
        <v>13023644.439999998</v>
      </c>
      <c r="ZG31" s="11">
        <v>1727437</v>
      </c>
      <c r="ZH31" s="11">
        <v>3775751.41</v>
      </c>
      <c r="ZI31" s="11">
        <v>2341567.65</v>
      </c>
      <c r="ZJ31" s="11">
        <v>1249206</v>
      </c>
      <c r="ZK31" s="11">
        <v>953599.75</v>
      </c>
      <c r="ZL31" s="11">
        <v>1987199</v>
      </c>
      <c r="ZM31" s="11">
        <v>30205486.77</v>
      </c>
      <c r="ZN31" s="11">
        <v>3393153.36</v>
      </c>
      <c r="ZO31" s="11">
        <v>12513137.629999999</v>
      </c>
      <c r="ZP31" s="11">
        <v>31640678.559999999</v>
      </c>
      <c r="ZQ31" s="11">
        <v>15706447.859999999</v>
      </c>
      <c r="ZR31" s="11">
        <v>4344968.6500000004</v>
      </c>
      <c r="ZS31" s="11">
        <v>4342917.0399999991</v>
      </c>
      <c r="ZT31" s="11">
        <v>7895884.5299999993</v>
      </c>
      <c r="ZU31" s="11">
        <v>13525597.550000001</v>
      </c>
      <c r="ZV31" s="11">
        <v>12741823.07</v>
      </c>
      <c r="ZW31" s="11">
        <v>1269922.78</v>
      </c>
      <c r="ZX31" s="11">
        <v>2570954.77</v>
      </c>
      <c r="ZY31" s="11">
        <v>3232283.52</v>
      </c>
      <c r="ZZ31" s="11">
        <v>5916279.3100000005</v>
      </c>
      <c r="AAA31" s="11">
        <v>4808694.53</v>
      </c>
      <c r="AAB31" s="11">
        <v>4275816.79</v>
      </c>
      <c r="AAC31" s="11">
        <v>6364088.3500000006</v>
      </c>
      <c r="AAD31" s="11">
        <v>2948817.21</v>
      </c>
      <c r="AAE31" s="11">
        <v>3811637.8899999997</v>
      </c>
      <c r="AAF31" s="11">
        <v>4188367.5599999996</v>
      </c>
      <c r="AAG31" s="11">
        <v>3109945.6799999997</v>
      </c>
      <c r="AAH31" s="11">
        <v>10232815.210000001</v>
      </c>
      <c r="AAI31" s="11">
        <v>24880704.350000001</v>
      </c>
      <c r="AAJ31" s="11">
        <v>3330645.06</v>
      </c>
      <c r="AAK31" s="11">
        <v>2351935.75</v>
      </c>
      <c r="AAL31" s="11">
        <v>3403363.7800000003</v>
      </c>
      <c r="AAM31" s="11">
        <v>3240679</v>
      </c>
      <c r="AAN31" s="11">
        <v>5235902</v>
      </c>
      <c r="AAO31" s="11">
        <v>8000123.0700000003</v>
      </c>
      <c r="AAP31" s="11">
        <v>12737516.76</v>
      </c>
      <c r="AAQ31" s="11">
        <v>2996428.2800000003</v>
      </c>
      <c r="AAR31" s="11">
        <v>2954538.4299999997</v>
      </c>
      <c r="AAS31" s="11">
        <v>19072739.18</v>
      </c>
      <c r="AAT31" s="11">
        <v>5554485.8900000006</v>
      </c>
      <c r="AAU31" s="11">
        <v>7373300.0099999998</v>
      </c>
      <c r="AAV31" s="11">
        <v>8625067.8900000006</v>
      </c>
      <c r="AAW31" s="11">
        <v>11154049.75</v>
      </c>
      <c r="AAX31" s="11">
        <v>13830765.67</v>
      </c>
      <c r="AAY31" s="11">
        <v>3094403.5300000003</v>
      </c>
      <c r="AAZ31" s="11">
        <v>12038411.85</v>
      </c>
      <c r="ABA31" s="11">
        <v>5428233.5999999996</v>
      </c>
      <c r="ABB31" s="11">
        <v>17496598.199999999</v>
      </c>
      <c r="ABC31" s="11">
        <v>5298182</v>
      </c>
      <c r="ABD31" s="11">
        <v>4001770.25</v>
      </c>
      <c r="ABE31" s="11">
        <v>4133959.4</v>
      </c>
      <c r="ABF31" s="11">
        <v>1527811.8599999999</v>
      </c>
      <c r="ABG31" s="11">
        <v>3218259.1799999997</v>
      </c>
      <c r="ABH31" s="11">
        <v>3613501.34</v>
      </c>
      <c r="ABI31" s="11">
        <v>8501273.7200000007</v>
      </c>
      <c r="ABJ31" s="11">
        <v>9239441.6300000008</v>
      </c>
      <c r="ABK31" s="11">
        <v>3492271.56</v>
      </c>
      <c r="ABL31" s="11">
        <v>2775392.06</v>
      </c>
      <c r="ABM31" s="11">
        <v>9149661.75</v>
      </c>
      <c r="ABN31" s="11">
        <v>4613120.8</v>
      </c>
      <c r="ABO31" s="11">
        <v>2979485.93</v>
      </c>
      <c r="ABP31" s="11">
        <v>26655792.740000002</v>
      </c>
      <c r="ABQ31" s="11">
        <v>13652457.870000001</v>
      </c>
      <c r="ABR31" s="11">
        <v>3352979.41</v>
      </c>
      <c r="ABS31" s="11">
        <v>29471943.539999999</v>
      </c>
      <c r="ABT31" s="11">
        <v>17028501.060000002</v>
      </c>
      <c r="ABU31" s="11">
        <v>11489044</v>
      </c>
      <c r="ABV31" s="11">
        <v>5971021.5</v>
      </c>
      <c r="ABW31" s="11">
        <v>23246658.93</v>
      </c>
      <c r="ABX31" s="11">
        <v>2088222.18</v>
      </c>
      <c r="ABY31" s="11">
        <v>32518674</v>
      </c>
      <c r="ABZ31" s="11">
        <v>3833654.5100000002</v>
      </c>
      <c r="ACA31" s="11">
        <v>9056565.8100000005</v>
      </c>
      <c r="ACB31" s="11">
        <v>702352.25</v>
      </c>
      <c r="ACC31" s="11">
        <v>2128035.2999999998</v>
      </c>
      <c r="ACD31" s="11">
        <v>5720379.6200000001</v>
      </c>
      <c r="ACE31" s="11">
        <v>1757744.6</v>
      </c>
      <c r="ACF31" s="11">
        <v>2623149.75</v>
      </c>
      <c r="ACG31" s="11">
        <v>2780023.25</v>
      </c>
      <c r="ACH31" s="11">
        <v>4929297.75</v>
      </c>
      <c r="ACI31" s="11">
        <v>1022170.66</v>
      </c>
      <c r="ACJ31" s="11">
        <v>37530049.839999996</v>
      </c>
      <c r="ACK31" s="11">
        <v>1142576.69</v>
      </c>
      <c r="ACL31" s="11">
        <v>3574016.5300000003</v>
      </c>
      <c r="ACM31" s="11">
        <v>2030685.3</v>
      </c>
      <c r="ACN31" s="11">
        <v>528168.75</v>
      </c>
      <c r="ACO31" s="11">
        <v>1943919</v>
      </c>
      <c r="ACP31" s="11">
        <v>6492516.6200000001</v>
      </c>
      <c r="ACQ31" s="11">
        <v>36203023.560000002</v>
      </c>
      <c r="ACR31" s="11">
        <v>18319567.43</v>
      </c>
      <c r="ACS31" s="11">
        <v>207457.46000000002</v>
      </c>
      <c r="ACT31" s="11">
        <v>210759.61</v>
      </c>
      <c r="ACU31" s="11">
        <v>2521084.34</v>
      </c>
      <c r="ACV31" s="11">
        <v>5571590.8499999996</v>
      </c>
      <c r="ACW31" s="11">
        <v>11712239.109999999</v>
      </c>
      <c r="ACX31" s="11">
        <v>8504065.7400000002</v>
      </c>
      <c r="ACY31" s="11">
        <v>2337562.7199999997</v>
      </c>
      <c r="ACZ31" s="11">
        <v>908188.31</v>
      </c>
      <c r="ADA31" s="11">
        <v>565893.07000000007</v>
      </c>
      <c r="ADB31" s="11">
        <v>1191876.25</v>
      </c>
      <c r="ADC31" s="11">
        <v>257782</v>
      </c>
      <c r="ADD31" s="11">
        <v>1314540</v>
      </c>
      <c r="ADE31" s="11">
        <v>1315624.7</v>
      </c>
      <c r="ADF31" s="11">
        <v>2486988.7400000002</v>
      </c>
      <c r="ADG31" s="11">
        <v>3978935.52</v>
      </c>
      <c r="ADH31" s="11">
        <v>5476947.2400000002</v>
      </c>
      <c r="ADI31" s="11">
        <v>4055233.16</v>
      </c>
      <c r="ADJ31" s="11">
        <v>1518409.32</v>
      </c>
      <c r="ADK31" s="11">
        <v>4563472.2</v>
      </c>
      <c r="ADL31" s="11">
        <v>1038810</v>
      </c>
      <c r="ADM31" s="11">
        <v>2361477.46</v>
      </c>
      <c r="ADN31" s="11">
        <v>945892.75</v>
      </c>
      <c r="ADO31" s="11">
        <v>4059243.68</v>
      </c>
      <c r="ADP31" s="11">
        <v>27748372.779999997</v>
      </c>
      <c r="ADQ31" s="11">
        <v>3250688.2</v>
      </c>
      <c r="ADR31" s="11">
        <v>7992975.2700000005</v>
      </c>
      <c r="ADS31" s="11">
        <v>8863765.1899999995</v>
      </c>
      <c r="ADT31" s="11">
        <v>12693931.699999999</v>
      </c>
      <c r="ADU31" s="11">
        <v>1332470.67</v>
      </c>
      <c r="ADV31" s="11">
        <v>1883601.24</v>
      </c>
      <c r="ADW31" s="11">
        <v>7411825.3100000005</v>
      </c>
      <c r="ADX31" s="11">
        <v>2255461.59</v>
      </c>
      <c r="ADY31" s="11">
        <v>6036.8</v>
      </c>
      <c r="ADZ31" s="11">
        <v>71727773.530000001</v>
      </c>
      <c r="AEA31" s="11">
        <v>34353878.960000001</v>
      </c>
      <c r="AEB31" s="11">
        <v>14695715.120000001</v>
      </c>
      <c r="AEC31" s="11">
        <v>1255798.3500000001</v>
      </c>
      <c r="AED31" s="11">
        <v>2036052.15</v>
      </c>
      <c r="AEE31" s="11">
        <v>9904948.3200000003</v>
      </c>
      <c r="AEF31" s="11">
        <v>1552312.23</v>
      </c>
      <c r="AEG31" s="11">
        <v>18476852.030000001</v>
      </c>
      <c r="AEH31" s="11">
        <v>3787638.81</v>
      </c>
      <c r="AEI31" s="11">
        <v>9591626.25</v>
      </c>
      <c r="AEJ31" s="11">
        <v>3399298.67</v>
      </c>
      <c r="AEK31" s="11">
        <v>19122657.98</v>
      </c>
      <c r="AEL31" s="11">
        <v>3504595.49</v>
      </c>
      <c r="AEM31" s="11">
        <v>8327614.8499999996</v>
      </c>
      <c r="AEN31" s="11">
        <v>12673822.51</v>
      </c>
      <c r="AEO31" s="11">
        <v>6393113.5999999996</v>
      </c>
      <c r="AEP31" s="11">
        <v>4138434.5</v>
      </c>
      <c r="AEQ31" s="11">
        <v>5930736.8700000001</v>
      </c>
      <c r="AER31" s="11">
        <v>1353760.1600000001</v>
      </c>
      <c r="AES31" s="11">
        <v>17189212.75</v>
      </c>
      <c r="AET31" s="11">
        <v>27938077.190000001</v>
      </c>
      <c r="AEU31" s="11">
        <v>17147956.350000001</v>
      </c>
      <c r="AEV31" s="11">
        <v>29987776.960000001</v>
      </c>
      <c r="AEW31" s="11">
        <v>15312859.82</v>
      </c>
      <c r="AEX31" s="11">
        <v>12615694.359999999</v>
      </c>
      <c r="AEY31" s="11">
        <v>29433507.32</v>
      </c>
      <c r="AEZ31" s="11">
        <v>6975863.96</v>
      </c>
      <c r="AFA31" s="11">
        <v>16356405.719999999</v>
      </c>
      <c r="AFB31" s="11">
        <v>8878902.120000001</v>
      </c>
      <c r="AFC31" s="11">
        <v>6811643.4700000007</v>
      </c>
      <c r="AFD31" s="11">
        <v>11556612.219999999</v>
      </c>
      <c r="AFE31" s="11">
        <v>6127059.0300000003</v>
      </c>
      <c r="AFF31" s="11">
        <v>7629548.4500000002</v>
      </c>
      <c r="AFG31" s="11">
        <v>6041586.1400000006</v>
      </c>
      <c r="AFH31" s="11">
        <v>8414898.3599999994</v>
      </c>
      <c r="AFI31" s="11">
        <v>9939895.0099999998</v>
      </c>
      <c r="AFJ31" s="11">
        <v>1931304.77</v>
      </c>
      <c r="AFK31" s="11">
        <v>5848199.8399999999</v>
      </c>
      <c r="AFL31" s="11">
        <v>1880624.4300000002</v>
      </c>
      <c r="AFM31" s="11">
        <v>6193274.5</v>
      </c>
      <c r="AFN31" s="11">
        <v>2486136.12</v>
      </c>
      <c r="AFO31" s="11">
        <v>2115453.4</v>
      </c>
      <c r="AFP31" s="11">
        <v>4817690.9499999993</v>
      </c>
      <c r="AFQ31" s="11">
        <v>12681002.17</v>
      </c>
      <c r="AFR31" s="11">
        <v>8369733.0499999998</v>
      </c>
      <c r="AFS31" s="11">
        <v>6353759.71</v>
      </c>
      <c r="AFT31" s="11">
        <v>3330240.5</v>
      </c>
      <c r="AFU31" s="11">
        <v>14632828.01</v>
      </c>
      <c r="AFV31" s="11">
        <v>3754227.47</v>
      </c>
      <c r="AFW31" s="11">
        <v>1193498.5</v>
      </c>
      <c r="AFX31" s="11">
        <v>6878611.4700000007</v>
      </c>
      <c r="AFY31" s="11">
        <v>5890255.5099999998</v>
      </c>
      <c r="AFZ31" s="11">
        <v>2904367</v>
      </c>
      <c r="AGA31" s="11">
        <v>6883696.2699999996</v>
      </c>
      <c r="AGB31" s="11">
        <v>2381998.5599999996</v>
      </c>
      <c r="AGC31" s="11">
        <v>58722628.479999997</v>
      </c>
      <c r="AGD31" s="11">
        <v>13932556.779999999</v>
      </c>
      <c r="AGE31" s="11">
        <v>17151669.879999999</v>
      </c>
      <c r="AGF31" s="11">
        <v>10325790.01</v>
      </c>
      <c r="AGG31" s="11">
        <v>29710685.620000001</v>
      </c>
      <c r="AGH31" s="11">
        <v>13660567.610000001</v>
      </c>
      <c r="AGI31" s="11">
        <v>5787042.8000000007</v>
      </c>
      <c r="AGJ31" s="11">
        <v>12918551.17</v>
      </c>
      <c r="AGK31" s="11">
        <v>7734868.3499999996</v>
      </c>
      <c r="AGL31" s="11">
        <v>11265946.5</v>
      </c>
      <c r="AGM31" s="11">
        <v>9110854.5299999993</v>
      </c>
      <c r="AGN31" s="11">
        <v>28208888.850000001</v>
      </c>
      <c r="AGO31" s="11">
        <v>3510947.61</v>
      </c>
      <c r="AGP31" s="11">
        <v>11493940.039999999</v>
      </c>
      <c r="AGQ31" s="11">
        <v>4339543.1400000006</v>
      </c>
      <c r="AGR31" s="11">
        <v>9283347.6799999997</v>
      </c>
      <c r="AGS31" s="11">
        <v>8553344.4100000001</v>
      </c>
      <c r="AGT31" s="11">
        <v>2255159.9700000002</v>
      </c>
      <c r="AGU31" s="11">
        <v>5422867.5</v>
      </c>
      <c r="AGV31" s="11">
        <v>37470824.309999995</v>
      </c>
      <c r="AGW31" s="11">
        <v>18735497.870000001</v>
      </c>
      <c r="AGX31" s="11">
        <v>3497265.7199999997</v>
      </c>
      <c r="AGY31" s="11">
        <v>19057782.280000001</v>
      </c>
      <c r="AGZ31" s="11">
        <v>9197663.8499999996</v>
      </c>
      <c r="AHA31" s="11">
        <v>8244475.3999999994</v>
      </c>
      <c r="AHB31" s="11">
        <v>6980838.6299999999</v>
      </c>
      <c r="AHC31" s="11">
        <v>13876096.120000001</v>
      </c>
      <c r="AHD31" s="11">
        <v>2290826.85</v>
      </c>
      <c r="AHE31" s="11">
        <v>8843434.1799999997</v>
      </c>
      <c r="AHF31" s="11">
        <v>19881557.48</v>
      </c>
      <c r="AHG31" s="11">
        <v>2532410.0299999998</v>
      </c>
      <c r="AHH31" s="11">
        <v>3654662.0399999996</v>
      </c>
      <c r="AHI31" s="11">
        <v>7829174.0200000005</v>
      </c>
      <c r="AHJ31" s="11">
        <v>7221746.8700000001</v>
      </c>
      <c r="AHK31" s="11">
        <v>4148127.24</v>
      </c>
      <c r="AHL31" s="11">
        <v>6656370.0800000001</v>
      </c>
      <c r="AHM31" s="11">
        <v>2666180.08</v>
      </c>
      <c r="AHN31" s="11">
        <v>4279913.5999999996</v>
      </c>
      <c r="AHO31" s="11">
        <v>7388270.1399999997</v>
      </c>
      <c r="AHP31" s="11">
        <v>5040906.4000000004</v>
      </c>
      <c r="AHQ31" s="11">
        <v>10260740.07</v>
      </c>
      <c r="AHR31" s="11">
        <v>3745877.1500000004</v>
      </c>
      <c r="AHS31" s="11">
        <v>3467398.9</v>
      </c>
      <c r="AHT31" s="11">
        <v>10130841083.34</v>
      </c>
      <c r="AHU31" s="11"/>
    </row>
    <row r="32" spans="2:905" x14ac:dyDescent="0.7">
      <c r="B32" s="6" t="s">
        <v>1145</v>
      </c>
      <c r="C32" s="6" t="s">
        <v>1146</v>
      </c>
      <c r="D32" s="11">
        <v>2432533681.8199997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2786917177.2800002</v>
      </c>
      <c r="W32" s="11">
        <v>1049795.5900000001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1169197.1299999999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475784826.80999994</v>
      </c>
      <c r="BJ32" s="11">
        <v>376997680.32000005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989636876.12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2667677.2599999998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1141182768.98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22002325.43</v>
      </c>
      <c r="DC32" s="11">
        <v>19197348.09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685176270.33999991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2369360.35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203022182.31999999</v>
      </c>
      <c r="EF32" s="11">
        <v>153586321.38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632442148.68999994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107574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296187938.35000002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8391496.2599999998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44954.879999999997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600</v>
      </c>
      <c r="GZ32" s="11">
        <v>0</v>
      </c>
      <c r="HA32" s="11">
        <v>0</v>
      </c>
      <c r="HB32" s="11">
        <v>0</v>
      </c>
      <c r="HC32" s="11">
        <v>4434106.18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0</v>
      </c>
      <c r="HK32" s="11">
        <v>201245.05000000002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0</v>
      </c>
      <c r="HS32" s="11">
        <v>347123.81</v>
      </c>
      <c r="HT32" s="11">
        <v>321906.09999999998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0</v>
      </c>
      <c r="II32" s="11">
        <v>3095881.8400000003</v>
      </c>
      <c r="IJ32" s="11">
        <v>90607093.049999997</v>
      </c>
      <c r="IK32" s="11">
        <v>0</v>
      </c>
      <c r="IL32" s="11">
        <v>0</v>
      </c>
      <c r="IM32" s="11">
        <v>0</v>
      </c>
      <c r="IN32" s="11">
        <v>0</v>
      </c>
      <c r="IO32" s="11">
        <v>0</v>
      </c>
      <c r="IP32" s="11">
        <v>0</v>
      </c>
      <c r="IQ32" s="11">
        <v>0</v>
      </c>
      <c r="IR32" s="11">
        <v>0</v>
      </c>
      <c r="IS32" s="11">
        <v>0</v>
      </c>
      <c r="IT32" s="11">
        <v>127700</v>
      </c>
      <c r="IU32" s="11">
        <v>168657.91</v>
      </c>
      <c r="IV32" s="11">
        <v>0</v>
      </c>
      <c r="IW32" s="11">
        <v>0</v>
      </c>
      <c r="IX32" s="11">
        <v>0</v>
      </c>
      <c r="IY32" s="11">
        <v>0</v>
      </c>
      <c r="IZ32" s="11">
        <v>0</v>
      </c>
      <c r="JA32" s="11">
        <v>0</v>
      </c>
      <c r="JB32" s="11">
        <v>0</v>
      </c>
      <c r="JC32" s="11">
        <v>0</v>
      </c>
      <c r="JD32" s="11">
        <v>0</v>
      </c>
      <c r="JE32" s="11">
        <v>0</v>
      </c>
      <c r="JF32" s="11">
        <v>371844561.99000001</v>
      </c>
      <c r="JG32" s="11">
        <v>0</v>
      </c>
      <c r="JH32" s="11">
        <v>0</v>
      </c>
      <c r="JI32" s="11">
        <v>0</v>
      </c>
      <c r="JJ32" s="11">
        <v>0</v>
      </c>
      <c r="JK32" s="11">
        <v>0</v>
      </c>
      <c r="JL32" s="11">
        <v>182907361.68000001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496766173.28000003</v>
      </c>
      <c r="JT32" s="11">
        <v>11382.29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220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3547353.55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90000000</v>
      </c>
      <c r="KS32" s="11">
        <v>0</v>
      </c>
      <c r="KT32" s="11">
        <v>0</v>
      </c>
      <c r="KU32" s="11">
        <v>0</v>
      </c>
      <c r="KV32" s="11">
        <v>0</v>
      </c>
      <c r="KW32" s="11">
        <v>0</v>
      </c>
      <c r="KX32" s="11">
        <v>2060082.14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0</v>
      </c>
      <c r="LF32" s="11">
        <v>0</v>
      </c>
      <c r="LG32" s="11">
        <v>0</v>
      </c>
      <c r="LH32" s="11">
        <v>1619847</v>
      </c>
      <c r="LI32" s="11">
        <v>152230.66</v>
      </c>
      <c r="LJ32" s="11">
        <v>0</v>
      </c>
      <c r="LK32" s="11">
        <v>0</v>
      </c>
      <c r="LL32" s="11">
        <v>0</v>
      </c>
      <c r="LM32" s="11">
        <v>0</v>
      </c>
      <c r="LN32" s="11">
        <v>0</v>
      </c>
      <c r="LO32" s="11">
        <v>0</v>
      </c>
      <c r="LP32" s="11">
        <v>0</v>
      </c>
      <c r="LQ32" s="11">
        <v>0</v>
      </c>
      <c r="LR32" s="11">
        <v>7000</v>
      </c>
      <c r="LS32" s="11">
        <v>48788.3</v>
      </c>
      <c r="LT32" s="11">
        <v>0</v>
      </c>
      <c r="LU32" s="11">
        <v>0</v>
      </c>
      <c r="LV32" s="11">
        <v>2038773.77</v>
      </c>
      <c r="LW32" s="11">
        <v>128923781.53999999</v>
      </c>
      <c r="LX32" s="11">
        <v>707314.27</v>
      </c>
      <c r="LY32" s="11">
        <v>0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0</v>
      </c>
      <c r="MF32" s="11">
        <v>0</v>
      </c>
      <c r="MG32" s="11">
        <v>0</v>
      </c>
      <c r="MH32" s="11">
        <v>785955823.86000001</v>
      </c>
      <c r="MI32" s="11">
        <v>0</v>
      </c>
      <c r="MJ32" s="11">
        <v>0</v>
      </c>
      <c r="MK32" s="11">
        <v>0</v>
      </c>
      <c r="ML32" s="11">
        <v>0</v>
      </c>
      <c r="MM32" s="11">
        <v>0</v>
      </c>
      <c r="MN32" s="11">
        <v>0</v>
      </c>
      <c r="MO32" s="11">
        <v>0</v>
      </c>
      <c r="MP32" s="11">
        <v>0</v>
      </c>
      <c r="MQ32" s="11">
        <v>0</v>
      </c>
      <c r="MR32" s="11">
        <v>0</v>
      </c>
      <c r="MS32" s="11">
        <v>0</v>
      </c>
      <c r="MT32" s="11">
        <v>872447026.64999986</v>
      </c>
      <c r="MU32" s="11">
        <v>0</v>
      </c>
      <c r="MV32" s="11">
        <v>0</v>
      </c>
      <c r="MW32" s="11">
        <v>0</v>
      </c>
      <c r="MX32" s="11">
        <v>634.12</v>
      </c>
      <c r="MY32" s="11">
        <v>0</v>
      </c>
      <c r="MZ32" s="11">
        <v>0</v>
      </c>
      <c r="NA32" s="11">
        <v>811.22</v>
      </c>
      <c r="NB32" s="11">
        <v>0</v>
      </c>
      <c r="NC32" s="11">
        <v>0</v>
      </c>
      <c r="ND32" s="11">
        <v>0</v>
      </c>
      <c r="NE32" s="11">
        <v>865783269.23000002</v>
      </c>
      <c r="NF32" s="11">
        <v>0</v>
      </c>
      <c r="NG32" s="11">
        <v>0</v>
      </c>
      <c r="NH32" s="11">
        <v>39228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0</v>
      </c>
      <c r="NO32" s="11">
        <v>0</v>
      </c>
      <c r="NP32" s="11">
        <v>0</v>
      </c>
      <c r="NQ32" s="11">
        <v>92560248.659999996</v>
      </c>
      <c r="NR32" s="11">
        <v>0</v>
      </c>
      <c r="NS32" s="11">
        <v>0</v>
      </c>
      <c r="NT32" s="11">
        <v>0</v>
      </c>
      <c r="NU32" s="11">
        <v>0</v>
      </c>
      <c r="NV32" s="11">
        <v>0</v>
      </c>
      <c r="NW32" s="11">
        <v>0</v>
      </c>
      <c r="NX32" s="11">
        <v>891281362.88</v>
      </c>
      <c r="NY32" s="11">
        <v>13500</v>
      </c>
      <c r="NZ32" s="11">
        <v>0</v>
      </c>
      <c r="OA32" s="11">
        <v>0</v>
      </c>
      <c r="OB32" s="11">
        <v>0</v>
      </c>
      <c r="OC32" s="11">
        <v>0</v>
      </c>
      <c r="OD32" s="11">
        <v>0</v>
      </c>
      <c r="OE32" s="11">
        <v>10000</v>
      </c>
      <c r="OF32" s="11">
        <v>85813.18</v>
      </c>
      <c r="OG32" s="11">
        <v>0</v>
      </c>
      <c r="OH32" s="11">
        <v>933223.02</v>
      </c>
      <c r="OI32" s="11">
        <v>0</v>
      </c>
      <c r="OJ32" s="11">
        <v>0</v>
      </c>
      <c r="OK32" s="11">
        <v>0</v>
      </c>
      <c r="OL32" s="11">
        <v>0</v>
      </c>
      <c r="OM32" s="11">
        <v>0</v>
      </c>
      <c r="ON32" s="11">
        <v>1372827.77</v>
      </c>
      <c r="OO32" s="11">
        <v>0</v>
      </c>
      <c r="OP32" s="11">
        <v>0</v>
      </c>
      <c r="OQ32" s="11">
        <v>0</v>
      </c>
      <c r="OR32" s="11">
        <v>0</v>
      </c>
      <c r="OS32" s="11">
        <v>0</v>
      </c>
      <c r="OT32" s="11">
        <v>102445.06</v>
      </c>
      <c r="OU32" s="11">
        <v>0</v>
      </c>
      <c r="OV32" s="11">
        <v>0</v>
      </c>
      <c r="OW32" s="11">
        <v>0</v>
      </c>
      <c r="OX32" s="11">
        <v>0</v>
      </c>
      <c r="OY32" s="11">
        <v>0</v>
      </c>
      <c r="OZ32" s="11">
        <v>0</v>
      </c>
      <c r="PA32" s="11">
        <v>0</v>
      </c>
      <c r="PB32" s="11">
        <v>0</v>
      </c>
      <c r="PC32" s="11">
        <v>1928355.8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1">
        <v>0</v>
      </c>
      <c r="PS32" s="11">
        <v>0</v>
      </c>
      <c r="PT32" s="11">
        <v>0</v>
      </c>
      <c r="PU32" s="11">
        <v>1968621.29</v>
      </c>
      <c r="PV32" s="11">
        <v>0</v>
      </c>
      <c r="PW32" s="11">
        <v>0</v>
      </c>
      <c r="PX32" s="11">
        <v>0</v>
      </c>
      <c r="PY32" s="11">
        <v>17865</v>
      </c>
      <c r="PZ32" s="11">
        <v>0</v>
      </c>
      <c r="QA32" s="11">
        <v>0</v>
      </c>
      <c r="QB32" s="11">
        <v>0</v>
      </c>
      <c r="QC32" s="11">
        <v>0</v>
      </c>
      <c r="QD32" s="11">
        <v>0</v>
      </c>
      <c r="QE32" s="11">
        <v>0</v>
      </c>
      <c r="QF32" s="11">
        <v>0</v>
      </c>
      <c r="QG32" s="11">
        <v>0</v>
      </c>
      <c r="QH32" s="11">
        <v>0</v>
      </c>
      <c r="QI32" s="11">
        <v>0</v>
      </c>
      <c r="QJ32" s="11">
        <v>0</v>
      </c>
      <c r="QK32" s="11">
        <v>0</v>
      </c>
      <c r="QL32" s="11">
        <v>0</v>
      </c>
      <c r="QM32" s="11">
        <v>0</v>
      </c>
      <c r="QN32" s="11">
        <v>0</v>
      </c>
      <c r="QO32" s="11">
        <v>26213754.760000002</v>
      </c>
      <c r="QP32" s="11">
        <v>0</v>
      </c>
      <c r="QQ32" s="11">
        <v>0</v>
      </c>
      <c r="QR32" s="11">
        <v>0</v>
      </c>
      <c r="QS32" s="11">
        <v>0</v>
      </c>
      <c r="QT32" s="11">
        <v>0</v>
      </c>
      <c r="QU32" s="11">
        <v>397892.62</v>
      </c>
      <c r="QV32" s="11">
        <v>0</v>
      </c>
      <c r="QW32" s="11">
        <v>0</v>
      </c>
      <c r="QX32" s="11">
        <v>0</v>
      </c>
      <c r="QY32" s="11">
        <v>0</v>
      </c>
      <c r="QZ32" s="11">
        <v>0</v>
      </c>
      <c r="RA32" s="11">
        <v>0</v>
      </c>
      <c r="RB32" s="11">
        <v>0</v>
      </c>
      <c r="RC32" s="11">
        <v>0</v>
      </c>
      <c r="RD32" s="11">
        <v>0</v>
      </c>
      <c r="RE32" s="11">
        <v>0</v>
      </c>
      <c r="RF32" s="11">
        <v>0</v>
      </c>
      <c r="RG32" s="11">
        <v>0</v>
      </c>
      <c r="RH32" s="11">
        <v>178992.15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0</v>
      </c>
      <c r="RZ32" s="11">
        <v>0</v>
      </c>
      <c r="SA32" s="11">
        <v>0</v>
      </c>
      <c r="SB32" s="11">
        <v>61964356.060000002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0</v>
      </c>
      <c r="SL32" s="11">
        <v>0</v>
      </c>
      <c r="SM32" s="11">
        <v>0</v>
      </c>
      <c r="SN32" s="11">
        <v>1573373.36</v>
      </c>
      <c r="SO32" s="11">
        <v>0</v>
      </c>
      <c r="SP32" s="11">
        <v>0</v>
      </c>
      <c r="SQ32" s="11">
        <v>0</v>
      </c>
      <c r="SR32" s="11">
        <v>0</v>
      </c>
      <c r="SS32" s="11">
        <v>0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0</v>
      </c>
      <c r="TH32" s="11">
        <v>0</v>
      </c>
      <c r="TI32" s="11">
        <v>0</v>
      </c>
      <c r="TJ32" s="11">
        <v>6942.3</v>
      </c>
      <c r="TK32" s="11">
        <v>0</v>
      </c>
      <c r="TL32" s="11">
        <v>0</v>
      </c>
      <c r="TM32" s="11">
        <v>0</v>
      </c>
      <c r="TN32" s="11">
        <v>0</v>
      </c>
      <c r="TO32" s="11">
        <v>0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0</v>
      </c>
      <c r="TX32" s="11">
        <v>0</v>
      </c>
      <c r="TY32" s="11">
        <v>0</v>
      </c>
      <c r="TZ32" s="11">
        <v>18980.54</v>
      </c>
      <c r="UA32" s="11">
        <v>0</v>
      </c>
      <c r="UB32" s="11">
        <v>9400</v>
      </c>
      <c r="UC32" s="11">
        <v>0</v>
      </c>
      <c r="UD32" s="11">
        <v>0</v>
      </c>
      <c r="UE32" s="11">
        <v>0</v>
      </c>
      <c r="UF32" s="11">
        <v>0</v>
      </c>
      <c r="UG32" s="11">
        <v>0</v>
      </c>
      <c r="UH32" s="11">
        <v>0</v>
      </c>
      <c r="UI32" s="11">
        <v>0</v>
      </c>
      <c r="UJ32" s="11">
        <v>0</v>
      </c>
      <c r="UK32" s="11">
        <v>2142286.17</v>
      </c>
      <c r="UL32" s="11">
        <v>0</v>
      </c>
      <c r="UM32" s="11">
        <v>0</v>
      </c>
      <c r="UN32" s="11">
        <v>0</v>
      </c>
      <c r="UO32" s="11">
        <v>0</v>
      </c>
      <c r="UP32" s="11">
        <v>0</v>
      </c>
      <c r="UQ32" s="11">
        <v>7542752.1900000004</v>
      </c>
      <c r="UR32" s="11">
        <v>0</v>
      </c>
      <c r="US32" s="11">
        <v>0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11">
        <v>0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  <c r="VH32" s="11">
        <v>0</v>
      </c>
      <c r="VI32" s="11">
        <v>0</v>
      </c>
      <c r="VJ32" s="11">
        <v>0</v>
      </c>
      <c r="VK32" s="11">
        <v>0</v>
      </c>
      <c r="VL32" s="11">
        <v>0</v>
      </c>
      <c r="VM32" s="11">
        <v>138475085.67000002</v>
      </c>
      <c r="VN32" s="11">
        <v>0</v>
      </c>
      <c r="VO32" s="11">
        <v>0</v>
      </c>
      <c r="VP32" s="11">
        <v>0</v>
      </c>
      <c r="VQ32" s="11">
        <v>0</v>
      </c>
      <c r="VR32" s="11">
        <v>0</v>
      </c>
      <c r="VS32" s="11">
        <v>0</v>
      </c>
      <c r="VT32" s="11">
        <v>0</v>
      </c>
      <c r="VU32" s="11">
        <v>0</v>
      </c>
      <c r="VV32" s="11">
        <v>0</v>
      </c>
      <c r="VW32" s="11">
        <v>0</v>
      </c>
      <c r="VX32" s="11">
        <v>0</v>
      </c>
      <c r="VY32" s="11">
        <v>0</v>
      </c>
      <c r="VZ32" s="11">
        <v>0</v>
      </c>
      <c r="WA32" s="11">
        <v>0</v>
      </c>
      <c r="WB32" s="11">
        <v>22597598.879999999</v>
      </c>
      <c r="WC32" s="11">
        <v>0</v>
      </c>
      <c r="WD32" s="11">
        <v>0</v>
      </c>
      <c r="WE32" s="11">
        <v>0</v>
      </c>
      <c r="WF32" s="11">
        <v>0</v>
      </c>
      <c r="WG32" s="11">
        <v>0</v>
      </c>
      <c r="WH32" s="11">
        <v>0</v>
      </c>
      <c r="WI32" s="11">
        <v>0</v>
      </c>
      <c r="WJ32" s="11">
        <v>0</v>
      </c>
      <c r="WK32" s="11">
        <v>0</v>
      </c>
      <c r="WL32" s="11">
        <v>0</v>
      </c>
      <c r="WM32" s="11">
        <v>0</v>
      </c>
      <c r="WN32" s="11">
        <v>0</v>
      </c>
      <c r="WO32" s="11">
        <v>0</v>
      </c>
      <c r="WP32" s="11">
        <v>0</v>
      </c>
      <c r="WQ32" s="11">
        <v>0</v>
      </c>
      <c r="WR32" s="11">
        <v>1500</v>
      </c>
      <c r="WS32" s="11">
        <v>0</v>
      </c>
      <c r="WT32" s="11">
        <v>0</v>
      </c>
      <c r="WU32" s="11">
        <v>0</v>
      </c>
      <c r="WV32" s="11">
        <v>5800</v>
      </c>
      <c r="WW32" s="11">
        <v>0</v>
      </c>
      <c r="WX32" s="11">
        <v>0</v>
      </c>
      <c r="WY32" s="11">
        <v>0</v>
      </c>
      <c r="WZ32" s="11">
        <v>0</v>
      </c>
      <c r="XA32" s="11">
        <v>0</v>
      </c>
      <c r="XB32" s="11">
        <v>0</v>
      </c>
      <c r="XC32" s="11">
        <v>0</v>
      </c>
      <c r="XD32" s="11">
        <v>0</v>
      </c>
      <c r="XE32" s="11">
        <v>0</v>
      </c>
      <c r="XF32" s="11">
        <v>0</v>
      </c>
      <c r="XG32" s="11">
        <v>0</v>
      </c>
      <c r="XH32" s="11">
        <v>0</v>
      </c>
      <c r="XI32" s="11">
        <v>27556380.59</v>
      </c>
      <c r="XJ32" s="11">
        <v>0</v>
      </c>
      <c r="XK32" s="11">
        <v>0</v>
      </c>
      <c r="XL32" s="11">
        <v>523956.05</v>
      </c>
      <c r="XM32" s="11">
        <v>0</v>
      </c>
      <c r="XN32" s="11">
        <v>0</v>
      </c>
      <c r="XO32" s="11">
        <v>0</v>
      </c>
      <c r="XP32" s="11">
        <v>0</v>
      </c>
      <c r="XQ32" s="11">
        <v>0</v>
      </c>
      <c r="XR32" s="11">
        <v>0</v>
      </c>
      <c r="XS32" s="11">
        <v>0</v>
      </c>
      <c r="XT32" s="11">
        <v>0</v>
      </c>
      <c r="XU32" s="11">
        <v>0</v>
      </c>
      <c r="XV32" s="11">
        <v>0</v>
      </c>
      <c r="XW32" s="11">
        <v>0</v>
      </c>
      <c r="XX32" s="11">
        <v>0</v>
      </c>
      <c r="XY32" s="11">
        <v>0</v>
      </c>
      <c r="XZ32" s="11">
        <v>0</v>
      </c>
      <c r="YA32" s="11">
        <v>0</v>
      </c>
      <c r="YB32" s="11">
        <v>0</v>
      </c>
      <c r="YC32" s="11">
        <v>0</v>
      </c>
      <c r="YD32" s="11">
        <v>0</v>
      </c>
      <c r="YE32" s="11">
        <v>0</v>
      </c>
      <c r="YF32" s="11">
        <v>12444794.85</v>
      </c>
      <c r="YG32" s="11">
        <v>0</v>
      </c>
      <c r="YH32" s="11">
        <v>0</v>
      </c>
      <c r="YI32" s="11">
        <v>0</v>
      </c>
      <c r="YJ32" s="11">
        <v>67976188.069999993</v>
      </c>
      <c r="YK32" s="11">
        <v>0</v>
      </c>
      <c r="YL32" s="11">
        <v>0</v>
      </c>
      <c r="YM32" s="11">
        <v>0</v>
      </c>
      <c r="YN32" s="11">
        <v>0</v>
      </c>
      <c r="YO32" s="11">
        <v>0</v>
      </c>
      <c r="YP32" s="11">
        <v>0</v>
      </c>
      <c r="YQ32" s="11">
        <v>0</v>
      </c>
      <c r="YR32" s="11">
        <v>0</v>
      </c>
      <c r="YS32" s="11">
        <v>0</v>
      </c>
      <c r="YT32" s="11">
        <v>0</v>
      </c>
      <c r="YU32" s="11">
        <v>0</v>
      </c>
      <c r="YV32" s="11">
        <v>0</v>
      </c>
      <c r="YW32" s="11">
        <v>137404346.51999998</v>
      </c>
      <c r="YX32" s="11">
        <v>0</v>
      </c>
      <c r="YY32" s="11">
        <v>0</v>
      </c>
      <c r="YZ32" s="11">
        <v>0</v>
      </c>
      <c r="ZA32" s="11">
        <v>0</v>
      </c>
      <c r="ZB32" s="11">
        <v>0</v>
      </c>
      <c r="ZC32" s="11">
        <v>0</v>
      </c>
      <c r="ZD32" s="11">
        <v>1032321.69</v>
      </c>
      <c r="ZE32" s="11">
        <v>0</v>
      </c>
      <c r="ZF32" s="11">
        <v>0</v>
      </c>
      <c r="ZG32" s="11">
        <v>0</v>
      </c>
      <c r="ZH32" s="11">
        <v>0</v>
      </c>
      <c r="ZI32" s="11">
        <v>0</v>
      </c>
      <c r="ZJ32" s="11">
        <v>0</v>
      </c>
      <c r="ZK32" s="11">
        <v>0</v>
      </c>
      <c r="ZL32" s="11">
        <v>0</v>
      </c>
      <c r="ZM32" s="11">
        <v>10089117.700000001</v>
      </c>
      <c r="ZN32" s="11">
        <v>0</v>
      </c>
      <c r="ZO32" s="11">
        <v>0</v>
      </c>
      <c r="ZP32" s="11">
        <v>200</v>
      </c>
      <c r="ZQ32" s="11">
        <v>0</v>
      </c>
      <c r="ZR32" s="11">
        <v>0</v>
      </c>
      <c r="ZS32" s="11">
        <v>0</v>
      </c>
      <c r="ZT32" s="11">
        <v>0</v>
      </c>
      <c r="ZU32" s="11">
        <v>0</v>
      </c>
      <c r="ZV32" s="11">
        <v>0</v>
      </c>
      <c r="ZW32" s="11">
        <v>0</v>
      </c>
      <c r="ZX32" s="11">
        <v>0</v>
      </c>
      <c r="ZY32" s="11">
        <v>0</v>
      </c>
      <c r="ZZ32" s="11">
        <v>0</v>
      </c>
      <c r="AAA32" s="11">
        <v>0</v>
      </c>
      <c r="AAB32" s="11">
        <v>0</v>
      </c>
      <c r="AAC32" s="11">
        <v>0</v>
      </c>
      <c r="AAD32" s="11">
        <v>0</v>
      </c>
      <c r="AAE32" s="11">
        <v>93.43</v>
      </c>
      <c r="AAF32" s="11">
        <v>0</v>
      </c>
      <c r="AAG32" s="11">
        <v>0</v>
      </c>
      <c r="AAH32" s="11">
        <v>0</v>
      </c>
      <c r="AAI32" s="11">
        <v>25000</v>
      </c>
      <c r="AAJ32" s="11">
        <v>0</v>
      </c>
      <c r="AAK32" s="11">
        <v>0</v>
      </c>
      <c r="AAL32" s="11">
        <v>0</v>
      </c>
      <c r="AAM32" s="11">
        <v>0</v>
      </c>
      <c r="AAN32" s="11">
        <v>0</v>
      </c>
      <c r="AAO32" s="11">
        <v>0</v>
      </c>
      <c r="AAP32" s="11">
        <v>21215274.219999999</v>
      </c>
      <c r="AAQ32" s="11">
        <v>0</v>
      </c>
      <c r="AAR32" s="11">
        <v>0</v>
      </c>
      <c r="AAS32" s="11">
        <v>0</v>
      </c>
      <c r="AAT32" s="11">
        <v>0</v>
      </c>
      <c r="AAU32" s="11">
        <v>0</v>
      </c>
      <c r="AAV32" s="11">
        <v>0</v>
      </c>
      <c r="AAW32" s="11">
        <v>0</v>
      </c>
      <c r="AAX32" s="11">
        <v>0</v>
      </c>
      <c r="AAY32" s="11">
        <v>0</v>
      </c>
      <c r="AAZ32" s="11">
        <v>0</v>
      </c>
      <c r="ABA32" s="11">
        <v>0</v>
      </c>
      <c r="ABB32" s="11">
        <v>0</v>
      </c>
      <c r="ABC32" s="11">
        <v>0</v>
      </c>
      <c r="ABD32" s="11">
        <v>0</v>
      </c>
      <c r="ABE32" s="11">
        <v>0</v>
      </c>
      <c r="ABF32" s="11">
        <v>0</v>
      </c>
      <c r="ABG32" s="11">
        <v>0</v>
      </c>
      <c r="ABH32" s="11">
        <v>0</v>
      </c>
      <c r="ABI32" s="11">
        <v>0</v>
      </c>
      <c r="ABJ32" s="11">
        <v>0</v>
      </c>
      <c r="ABK32" s="11">
        <v>0</v>
      </c>
      <c r="ABL32" s="11">
        <v>0</v>
      </c>
      <c r="ABM32" s="11">
        <v>0</v>
      </c>
      <c r="ABN32" s="11">
        <v>0</v>
      </c>
      <c r="ABO32" s="11">
        <v>0</v>
      </c>
      <c r="ABP32" s="11">
        <v>1957335.36</v>
      </c>
      <c r="ABQ32" s="11">
        <v>0</v>
      </c>
      <c r="ABR32" s="11">
        <v>0</v>
      </c>
      <c r="ABS32" s="11">
        <v>0</v>
      </c>
      <c r="ABT32" s="11">
        <v>0</v>
      </c>
      <c r="ABU32" s="11">
        <v>0</v>
      </c>
      <c r="ABV32" s="11">
        <v>0</v>
      </c>
      <c r="ABW32" s="11">
        <v>0</v>
      </c>
      <c r="ABX32" s="11">
        <v>0</v>
      </c>
      <c r="ABY32" s="11">
        <v>38700</v>
      </c>
      <c r="ABZ32" s="11">
        <v>0</v>
      </c>
      <c r="ACA32" s="11">
        <v>0</v>
      </c>
      <c r="ACB32" s="11">
        <v>0</v>
      </c>
      <c r="ACC32" s="11">
        <v>0</v>
      </c>
      <c r="ACD32" s="11">
        <v>0</v>
      </c>
      <c r="ACE32" s="11">
        <v>0</v>
      </c>
      <c r="ACF32" s="11">
        <v>0</v>
      </c>
      <c r="ACG32" s="11">
        <v>0</v>
      </c>
      <c r="ACH32" s="11">
        <v>0</v>
      </c>
      <c r="ACI32" s="11">
        <v>0</v>
      </c>
      <c r="ACJ32" s="11">
        <v>13392000</v>
      </c>
      <c r="ACK32" s="11">
        <v>0</v>
      </c>
      <c r="ACL32" s="11">
        <v>0</v>
      </c>
      <c r="ACM32" s="11">
        <v>0</v>
      </c>
      <c r="ACN32" s="11">
        <v>0</v>
      </c>
      <c r="ACO32" s="11">
        <v>0</v>
      </c>
      <c r="ACP32" s="11">
        <v>0</v>
      </c>
      <c r="ACQ32" s="11">
        <v>0</v>
      </c>
      <c r="ACR32" s="11">
        <v>0</v>
      </c>
      <c r="ACS32" s="11">
        <v>0</v>
      </c>
      <c r="ACT32" s="11">
        <v>0</v>
      </c>
      <c r="ACU32" s="11">
        <v>0</v>
      </c>
      <c r="ACV32" s="11">
        <v>0</v>
      </c>
      <c r="ACW32" s="11">
        <v>0</v>
      </c>
      <c r="ACX32" s="11">
        <v>0</v>
      </c>
      <c r="ACY32" s="11">
        <v>0</v>
      </c>
      <c r="ACZ32" s="11">
        <v>0</v>
      </c>
      <c r="ADA32" s="11">
        <v>0</v>
      </c>
      <c r="ADB32" s="11">
        <v>0</v>
      </c>
      <c r="ADC32" s="11">
        <v>0</v>
      </c>
      <c r="ADD32" s="11">
        <v>0</v>
      </c>
      <c r="ADE32" s="11">
        <v>0</v>
      </c>
      <c r="ADF32" s="11">
        <v>0</v>
      </c>
      <c r="ADG32" s="11">
        <v>21265475.77</v>
      </c>
      <c r="ADH32" s="11">
        <v>34298263.739999995</v>
      </c>
      <c r="ADI32" s="11">
        <v>0</v>
      </c>
      <c r="ADJ32" s="11">
        <v>4491.29</v>
      </c>
      <c r="ADK32" s="11">
        <v>0</v>
      </c>
      <c r="ADL32" s="11">
        <v>0</v>
      </c>
      <c r="ADM32" s="11">
        <v>0</v>
      </c>
      <c r="ADN32" s="11">
        <v>0</v>
      </c>
      <c r="ADO32" s="11">
        <v>0</v>
      </c>
      <c r="ADP32" s="11">
        <v>77473578.719999999</v>
      </c>
      <c r="ADQ32" s="11">
        <v>0</v>
      </c>
      <c r="ADR32" s="11">
        <v>0</v>
      </c>
      <c r="ADS32" s="11">
        <v>0</v>
      </c>
      <c r="ADT32" s="11">
        <v>54559138.339999996</v>
      </c>
      <c r="ADU32" s="11">
        <v>0</v>
      </c>
      <c r="ADV32" s="11">
        <v>0</v>
      </c>
      <c r="ADW32" s="11">
        <v>0</v>
      </c>
      <c r="ADX32" s="11">
        <v>0</v>
      </c>
      <c r="ADY32" s="11">
        <v>0</v>
      </c>
      <c r="ADZ32" s="11">
        <v>61099564.420000002</v>
      </c>
      <c r="AEA32" s="11">
        <v>0</v>
      </c>
      <c r="AEB32" s="11">
        <v>0</v>
      </c>
      <c r="AEC32" s="11">
        <v>0</v>
      </c>
      <c r="AED32" s="11">
        <v>0</v>
      </c>
      <c r="AEE32" s="11">
        <v>0</v>
      </c>
      <c r="AEF32" s="11">
        <v>0</v>
      </c>
      <c r="AEG32" s="11">
        <v>0</v>
      </c>
      <c r="AEH32" s="11">
        <v>0</v>
      </c>
      <c r="AEI32" s="11">
        <v>0</v>
      </c>
      <c r="AEJ32" s="11">
        <v>0</v>
      </c>
      <c r="AEK32" s="11">
        <v>0</v>
      </c>
      <c r="AEL32" s="11">
        <v>0</v>
      </c>
      <c r="AEM32" s="11">
        <v>0</v>
      </c>
      <c r="AEN32" s="11">
        <v>0</v>
      </c>
      <c r="AEO32" s="11">
        <v>0</v>
      </c>
      <c r="AEP32" s="11">
        <v>0</v>
      </c>
      <c r="AEQ32" s="11">
        <v>0</v>
      </c>
      <c r="AER32" s="11">
        <v>0</v>
      </c>
      <c r="AES32" s="11">
        <v>0</v>
      </c>
      <c r="AET32" s="11">
        <v>579734655.58000004</v>
      </c>
      <c r="AEU32" s="11">
        <v>0</v>
      </c>
      <c r="AEV32" s="11">
        <v>0</v>
      </c>
      <c r="AEW32" s="11">
        <v>0</v>
      </c>
      <c r="AEX32" s="11">
        <v>0</v>
      </c>
      <c r="AEY32" s="11">
        <v>0</v>
      </c>
      <c r="AEZ32" s="11">
        <v>0</v>
      </c>
      <c r="AFA32" s="11">
        <v>0</v>
      </c>
      <c r="AFB32" s="11">
        <v>0</v>
      </c>
      <c r="AFC32" s="11">
        <v>0</v>
      </c>
      <c r="AFD32" s="11">
        <v>168345600.16999999</v>
      </c>
      <c r="AFE32" s="11">
        <v>73579.14</v>
      </c>
      <c r="AFF32" s="11">
        <v>0</v>
      </c>
      <c r="AFG32" s="11">
        <v>0</v>
      </c>
      <c r="AFH32" s="11">
        <v>0</v>
      </c>
      <c r="AFI32" s="11">
        <v>0</v>
      </c>
      <c r="AFJ32" s="11">
        <v>0</v>
      </c>
      <c r="AFK32" s="11">
        <v>0</v>
      </c>
      <c r="AFL32" s="11">
        <v>0</v>
      </c>
      <c r="AFM32" s="11">
        <v>0</v>
      </c>
      <c r="AFN32" s="11">
        <v>0</v>
      </c>
      <c r="AFO32" s="11">
        <v>0</v>
      </c>
      <c r="AFP32" s="11">
        <v>0</v>
      </c>
      <c r="AFQ32" s="11">
        <v>0</v>
      </c>
      <c r="AFR32" s="11">
        <v>0</v>
      </c>
      <c r="AFS32" s="11">
        <v>0</v>
      </c>
      <c r="AFT32" s="11">
        <v>0</v>
      </c>
      <c r="AFU32" s="11">
        <v>0</v>
      </c>
      <c r="AFV32" s="11">
        <v>0</v>
      </c>
      <c r="AFW32" s="11">
        <v>0</v>
      </c>
      <c r="AFX32" s="11">
        <v>0</v>
      </c>
      <c r="AFY32" s="11">
        <v>0</v>
      </c>
      <c r="AFZ32" s="11">
        <v>0</v>
      </c>
      <c r="AGA32" s="11">
        <v>0</v>
      </c>
      <c r="AGB32" s="11">
        <v>0</v>
      </c>
      <c r="AGC32" s="11">
        <v>107944492.26000001</v>
      </c>
      <c r="AGD32" s="11">
        <v>0</v>
      </c>
      <c r="AGE32" s="11">
        <v>0</v>
      </c>
      <c r="AGF32" s="11">
        <v>0</v>
      </c>
      <c r="AGG32" s="11">
        <v>0</v>
      </c>
      <c r="AGH32" s="11">
        <v>0</v>
      </c>
      <c r="AGI32" s="11">
        <v>0</v>
      </c>
      <c r="AGJ32" s="11">
        <v>0</v>
      </c>
      <c r="AGK32" s="11">
        <v>0</v>
      </c>
      <c r="AGL32" s="11">
        <v>0</v>
      </c>
      <c r="AGM32" s="11">
        <v>0</v>
      </c>
      <c r="AGN32" s="11">
        <v>8061794.6100000003</v>
      </c>
      <c r="AGO32" s="11">
        <v>43461.1</v>
      </c>
      <c r="AGP32" s="11">
        <v>0</v>
      </c>
      <c r="AGQ32" s="11">
        <v>0</v>
      </c>
      <c r="AGR32" s="11">
        <v>0</v>
      </c>
      <c r="AGS32" s="11">
        <v>0</v>
      </c>
      <c r="AGT32" s="11">
        <v>0</v>
      </c>
      <c r="AGU32" s="11">
        <v>0</v>
      </c>
      <c r="AGV32" s="11">
        <v>16905000</v>
      </c>
      <c r="AGW32" s="11">
        <v>10731000</v>
      </c>
      <c r="AGX32" s="11">
        <v>0</v>
      </c>
      <c r="AGY32" s="11">
        <v>0</v>
      </c>
      <c r="AGZ32" s="11">
        <v>0</v>
      </c>
      <c r="AHA32" s="11">
        <v>0</v>
      </c>
      <c r="AHB32" s="11">
        <v>0</v>
      </c>
      <c r="AHC32" s="11">
        <v>0</v>
      </c>
      <c r="AHD32" s="11">
        <v>0</v>
      </c>
      <c r="AHE32" s="11">
        <v>0</v>
      </c>
      <c r="AHF32" s="11">
        <v>0</v>
      </c>
      <c r="AHG32" s="11">
        <v>0</v>
      </c>
      <c r="AHH32" s="11">
        <v>0</v>
      </c>
      <c r="AHI32" s="11">
        <v>0</v>
      </c>
      <c r="AHJ32" s="11">
        <v>0</v>
      </c>
      <c r="AHK32" s="11">
        <v>0</v>
      </c>
      <c r="AHL32" s="11">
        <v>0</v>
      </c>
      <c r="AHM32" s="11">
        <v>365738.01</v>
      </c>
      <c r="AHN32" s="11">
        <v>0</v>
      </c>
      <c r="AHO32" s="11">
        <v>0</v>
      </c>
      <c r="AHP32" s="11">
        <v>0</v>
      </c>
      <c r="AHQ32" s="11">
        <v>0</v>
      </c>
      <c r="AHR32" s="11">
        <v>0</v>
      </c>
      <c r="AHS32" s="11">
        <v>0</v>
      </c>
      <c r="AHT32" s="11">
        <v>16820598097.880005</v>
      </c>
      <c r="AHU32" s="11"/>
    </row>
    <row r="33" spans="2:905" x14ac:dyDescent="0.7">
      <c r="C33" s="6" t="s">
        <v>650</v>
      </c>
      <c r="D33" s="11">
        <f>SUM(D18:D32)</f>
        <v>5005662185.5099993</v>
      </c>
      <c r="E33" s="11">
        <f t="shared" ref="E33:BP33" si="16">SUM(E18:E32)</f>
        <v>161183810.28</v>
      </c>
      <c r="F33" s="11">
        <f t="shared" si="16"/>
        <v>243489874.11000001</v>
      </c>
      <c r="G33" s="11">
        <f t="shared" si="16"/>
        <v>76450372.810000002</v>
      </c>
      <c r="H33" s="11">
        <f t="shared" si="16"/>
        <v>342174953.60000002</v>
      </c>
      <c r="I33" s="11">
        <f t="shared" si="16"/>
        <v>130105004.72999999</v>
      </c>
      <c r="J33" s="11">
        <f t="shared" si="16"/>
        <v>321135671.90219998</v>
      </c>
      <c r="K33" s="11">
        <f t="shared" si="16"/>
        <v>165670046.90000001</v>
      </c>
      <c r="L33" s="11">
        <f t="shared" si="16"/>
        <v>156458817.31000003</v>
      </c>
      <c r="M33" s="11">
        <f t="shared" si="16"/>
        <v>127383124.48</v>
      </c>
      <c r="N33" s="11">
        <f t="shared" si="16"/>
        <v>91343732.400000006</v>
      </c>
      <c r="O33" s="11">
        <f t="shared" si="16"/>
        <v>88094220.349999979</v>
      </c>
      <c r="P33" s="11">
        <f t="shared" si="16"/>
        <v>120050561.81999998</v>
      </c>
      <c r="Q33" s="11">
        <f t="shared" si="16"/>
        <v>98075214.429999992</v>
      </c>
      <c r="R33" s="11">
        <f t="shared" si="16"/>
        <v>82146595.269999981</v>
      </c>
      <c r="S33" s="11">
        <f t="shared" si="16"/>
        <v>178261892.27999997</v>
      </c>
      <c r="T33" s="11">
        <f t="shared" si="16"/>
        <v>183049556.12999997</v>
      </c>
      <c r="U33" s="11">
        <f t="shared" si="16"/>
        <v>41188204.629999995</v>
      </c>
      <c r="V33" s="11">
        <f t="shared" si="16"/>
        <v>5483251267.5900002</v>
      </c>
      <c r="W33" s="11">
        <f t="shared" si="16"/>
        <v>451007337.10999995</v>
      </c>
      <c r="X33" s="11">
        <f t="shared" si="16"/>
        <v>104628811.31999998</v>
      </c>
      <c r="Y33" s="11">
        <f t="shared" si="16"/>
        <v>202609158.65999997</v>
      </c>
      <c r="Z33" s="11">
        <f t="shared" si="16"/>
        <v>137428083.90000001</v>
      </c>
      <c r="AA33" s="11">
        <f t="shared" si="16"/>
        <v>145910059.73000002</v>
      </c>
      <c r="AB33" s="11">
        <f t="shared" si="16"/>
        <v>59937488.520000003</v>
      </c>
      <c r="AC33" s="11">
        <f t="shared" si="16"/>
        <v>473999338.57999992</v>
      </c>
      <c r="AD33" s="11">
        <f t="shared" si="16"/>
        <v>183070786.34999999</v>
      </c>
      <c r="AE33" s="11">
        <f t="shared" si="16"/>
        <v>92570606.860000014</v>
      </c>
      <c r="AF33" s="11">
        <f t="shared" si="16"/>
        <v>389114009.69</v>
      </c>
      <c r="AG33" s="11">
        <f t="shared" si="16"/>
        <v>127460249.58000001</v>
      </c>
      <c r="AH33" s="11">
        <f t="shared" si="16"/>
        <v>448127237.20000005</v>
      </c>
      <c r="AI33" s="11">
        <f t="shared" si="16"/>
        <v>283380912.52999997</v>
      </c>
      <c r="AJ33" s="11">
        <f t="shared" si="16"/>
        <v>100685551.76000001</v>
      </c>
      <c r="AK33" s="11">
        <f t="shared" si="16"/>
        <v>65988645.569999993</v>
      </c>
      <c r="AL33" s="11">
        <f t="shared" si="16"/>
        <v>116296498.58</v>
      </c>
      <c r="AM33" s="11">
        <f t="shared" si="16"/>
        <v>156010707.01999998</v>
      </c>
      <c r="AN33" s="11">
        <f t="shared" si="16"/>
        <v>73427952.5</v>
      </c>
      <c r="AO33" s="11">
        <f t="shared" si="16"/>
        <v>92581471.319999993</v>
      </c>
      <c r="AP33" s="11">
        <f t="shared" si="16"/>
        <v>92283953.719999984</v>
      </c>
      <c r="AQ33" s="11">
        <f t="shared" si="16"/>
        <v>72684301.560000002</v>
      </c>
      <c r="AR33" s="11">
        <f t="shared" si="16"/>
        <v>66498179.909999989</v>
      </c>
      <c r="AS33" s="11">
        <f t="shared" si="16"/>
        <v>46877819.159999996</v>
      </c>
      <c r="AT33" s="11">
        <f t="shared" si="16"/>
        <v>1127518692.6999996</v>
      </c>
      <c r="AU33" s="11">
        <f t="shared" si="16"/>
        <v>51223330.57</v>
      </c>
      <c r="AV33" s="11">
        <f t="shared" si="16"/>
        <v>47293865.029999994</v>
      </c>
      <c r="AW33" s="11">
        <f t="shared" si="16"/>
        <v>77153325.469999999</v>
      </c>
      <c r="AX33" s="11">
        <f t="shared" si="16"/>
        <v>138066843.47</v>
      </c>
      <c r="AY33" s="11">
        <f t="shared" si="16"/>
        <v>173848436.03</v>
      </c>
      <c r="AZ33" s="11">
        <f t="shared" si="16"/>
        <v>62658582.829999998</v>
      </c>
      <c r="BA33" s="11">
        <f t="shared" si="16"/>
        <v>70927470.140000001</v>
      </c>
      <c r="BB33" s="11">
        <f t="shared" si="16"/>
        <v>49458873.609999999</v>
      </c>
      <c r="BC33" s="11">
        <f t="shared" si="16"/>
        <v>58457928.020000003</v>
      </c>
      <c r="BD33" s="11">
        <f t="shared" si="16"/>
        <v>37032864.829999998</v>
      </c>
      <c r="BE33" s="11">
        <f t="shared" si="16"/>
        <v>47552108.979999997</v>
      </c>
      <c r="BF33" s="11">
        <f t="shared" si="16"/>
        <v>286696119.30000001</v>
      </c>
      <c r="BG33" s="11">
        <f t="shared" si="16"/>
        <v>40600634.940000005</v>
      </c>
      <c r="BH33" s="11">
        <f t="shared" si="16"/>
        <v>49737966.539999992</v>
      </c>
      <c r="BI33" s="11">
        <f t="shared" si="16"/>
        <v>1205912934.04</v>
      </c>
      <c r="BJ33" s="11">
        <f t="shared" si="16"/>
        <v>875421272.44000006</v>
      </c>
      <c r="BK33" s="11">
        <f t="shared" si="16"/>
        <v>115631062.19999999</v>
      </c>
      <c r="BL33" s="11">
        <f t="shared" si="16"/>
        <v>71360137.640000001</v>
      </c>
      <c r="BM33" s="11">
        <f t="shared" si="16"/>
        <v>150810046.15000004</v>
      </c>
      <c r="BN33" s="11">
        <f t="shared" si="16"/>
        <v>118873534.50999999</v>
      </c>
      <c r="BO33" s="11">
        <f t="shared" si="16"/>
        <v>90259953.960000008</v>
      </c>
      <c r="BP33" s="11">
        <f t="shared" si="16"/>
        <v>37562823.700000003</v>
      </c>
      <c r="BQ33" s="11">
        <f t="shared" ref="BQ33:EB33" si="17">SUM(BQ18:BQ32)</f>
        <v>24406014.230000004</v>
      </c>
      <c r="BR33" s="11">
        <f t="shared" si="17"/>
        <v>2172242202.2400002</v>
      </c>
      <c r="BS33" s="11">
        <f t="shared" si="17"/>
        <v>130860301.61000001</v>
      </c>
      <c r="BT33" s="11">
        <f t="shared" si="17"/>
        <v>108967730.59999999</v>
      </c>
      <c r="BU33" s="11">
        <f t="shared" si="17"/>
        <v>140943895.99999997</v>
      </c>
      <c r="BV33" s="11">
        <f t="shared" si="17"/>
        <v>115598435.04000002</v>
      </c>
      <c r="BW33" s="11">
        <f t="shared" si="17"/>
        <v>95230420.060000002</v>
      </c>
      <c r="BX33" s="11">
        <f t="shared" si="17"/>
        <v>63723971.440000013</v>
      </c>
      <c r="BY33" s="11">
        <f t="shared" si="17"/>
        <v>117329125.99000002</v>
      </c>
      <c r="BZ33" s="11">
        <f t="shared" si="17"/>
        <v>375747922</v>
      </c>
      <c r="CA33" s="11">
        <f t="shared" si="17"/>
        <v>91061025.099999994</v>
      </c>
      <c r="CB33" s="11">
        <f t="shared" si="17"/>
        <v>136683094.90999997</v>
      </c>
      <c r="CC33" s="11">
        <f t="shared" si="17"/>
        <v>234649121.37000003</v>
      </c>
      <c r="CD33" s="11">
        <f t="shared" si="17"/>
        <v>77860446.909999996</v>
      </c>
      <c r="CE33" s="11">
        <f t="shared" si="17"/>
        <v>85744433.329999998</v>
      </c>
      <c r="CF33" s="11">
        <f t="shared" si="17"/>
        <v>66944143.069999993</v>
      </c>
      <c r="CG33" s="11">
        <f t="shared" si="17"/>
        <v>3412897755.0099998</v>
      </c>
      <c r="CH33" s="11">
        <f t="shared" si="17"/>
        <v>98226313.88000001</v>
      </c>
      <c r="CI33" s="11">
        <f t="shared" si="17"/>
        <v>313346670.13999999</v>
      </c>
      <c r="CJ33" s="11">
        <f t="shared" si="17"/>
        <v>93483248.88000001</v>
      </c>
      <c r="CK33" s="11">
        <f t="shared" si="17"/>
        <v>108867628.7</v>
      </c>
      <c r="CL33" s="11">
        <f t="shared" si="17"/>
        <v>112286943.23000002</v>
      </c>
      <c r="CM33" s="11">
        <f t="shared" si="17"/>
        <v>90850652.460000008</v>
      </c>
      <c r="CN33" s="11">
        <f t="shared" si="17"/>
        <v>186863652.66</v>
      </c>
      <c r="CO33" s="11">
        <f t="shared" si="17"/>
        <v>52300698.609999992</v>
      </c>
      <c r="CP33" s="11">
        <f t="shared" si="17"/>
        <v>124531546.37</v>
      </c>
      <c r="CQ33" s="11">
        <f t="shared" si="17"/>
        <v>80611804.229999989</v>
      </c>
      <c r="CR33" s="11">
        <f t="shared" si="17"/>
        <v>125868844.83999999</v>
      </c>
      <c r="CS33" s="11">
        <f t="shared" si="17"/>
        <v>88422314.030000001</v>
      </c>
      <c r="CT33" s="11">
        <f t="shared" si="17"/>
        <v>1039359238.4599998</v>
      </c>
      <c r="CU33" s="11">
        <f t="shared" si="17"/>
        <v>82938078.789999977</v>
      </c>
      <c r="CV33" s="11">
        <f t="shared" si="17"/>
        <v>100431605.80000001</v>
      </c>
      <c r="CW33" s="11">
        <f t="shared" si="17"/>
        <v>168758402.06000003</v>
      </c>
      <c r="CX33" s="11">
        <f t="shared" si="17"/>
        <v>68831423.49000001</v>
      </c>
      <c r="CY33" s="11">
        <f t="shared" si="17"/>
        <v>155571454.81999999</v>
      </c>
      <c r="CZ33" s="11">
        <f t="shared" si="17"/>
        <v>69455657.25999999</v>
      </c>
      <c r="DA33" s="11">
        <f t="shared" si="17"/>
        <v>52945430.240000002</v>
      </c>
      <c r="DB33" s="11">
        <f t="shared" si="17"/>
        <v>707182087.87</v>
      </c>
      <c r="DC33" s="11">
        <f t="shared" si="17"/>
        <v>1008977758.4099998</v>
      </c>
      <c r="DD33" s="11">
        <f t="shared" si="17"/>
        <v>113218740.27</v>
      </c>
      <c r="DE33" s="11">
        <f t="shared" si="17"/>
        <v>93057540.560000032</v>
      </c>
      <c r="DF33" s="11">
        <f t="shared" si="17"/>
        <v>226249972.25999999</v>
      </c>
      <c r="DG33" s="11">
        <f t="shared" si="17"/>
        <v>197221808.70999998</v>
      </c>
      <c r="DH33" s="11">
        <f t="shared" si="17"/>
        <v>221538113.88999996</v>
      </c>
      <c r="DI33" s="11">
        <f t="shared" si="17"/>
        <v>232645774.44999999</v>
      </c>
      <c r="DJ33" s="11">
        <f t="shared" si="17"/>
        <v>71359218.379999995</v>
      </c>
      <c r="DK33" s="11">
        <f t="shared" si="17"/>
        <v>3436846307.3500004</v>
      </c>
      <c r="DL33" s="11">
        <f t="shared" si="17"/>
        <v>111096198.8</v>
      </c>
      <c r="DM33" s="11">
        <f t="shared" si="17"/>
        <v>196844393.81999999</v>
      </c>
      <c r="DN33" s="11">
        <f t="shared" si="17"/>
        <v>135531088.85999998</v>
      </c>
      <c r="DO33" s="11">
        <f t="shared" si="17"/>
        <v>159946700.97</v>
      </c>
      <c r="DP33" s="11">
        <f t="shared" si="17"/>
        <v>130422969.38</v>
      </c>
      <c r="DQ33" s="11">
        <f t="shared" si="17"/>
        <v>265056923.76999998</v>
      </c>
      <c r="DR33" s="11">
        <f t="shared" si="17"/>
        <v>115893148.14999999</v>
      </c>
      <c r="DS33" s="11">
        <f t="shared" si="17"/>
        <v>252775580.78</v>
      </c>
      <c r="DT33" s="11">
        <f t="shared" si="17"/>
        <v>1081881876.1799996</v>
      </c>
      <c r="DU33" s="11">
        <f t="shared" si="17"/>
        <v>135030997.34</v>
      </c>
      <c r="DV33" s="11">
        <f t="shared" si="17"/>
        <v>386004259.3599999</v>
      </c>
      <c r="DW33" s="11">
        <f t="shared" si="17"/>
        <v>412983458.19999999</v>
      </c>
      <c r="DX33" s="11">
        <f t="shared" si="17"/>
        <v>133233410.96999998</v>
      </c>
      <c r="DY33" s="11">
        <f t="shared" si="17"/>
        <v>220820259.88</v>
      </c>
      <c r="DZ33" s="11">
        <f t="shared" si="17"/>
        <v>158657612.16999999</v>
      </c>
      <c r="EA33" s="11">
        <f t="shared" si="17"/>
        <v>51563321.370000012</v>
      </c>
      <c r="EB33" s="11">
        <f t="shared" si="17"/>
        <v>98448564.210000023</v>
      </c>
      <c r="EC33" s="11">
        <f t="shared" ref="EC33:GN33" si="18">SUM(EC18:EC32)</f>
        <v>96756835.100000009</v>
      </c>
      <c r="ED33" s="11">
        <f t="shared" si="18"/>
        <v>218307374.28000003</v>
      </c>
      <c r="EE33" s="11">
        <f t="shared" si="18"/>
        <v>776914871.18000007</v>
      </c>
      <c r="EF33" s="11">
        <f t="shared" si="18"/>
        <v>688177745.24000001</v>
      </c>
      <c r="EG33" s="11">
        <f t="shared" si="18"/>
        <v>98308882.860000014</v>
      </c>
      <c r="EH33" s="11">
        <f t="shared" si="18"/>
        <v>113181460.16000001</v>
      </c>
      <c r="EI33" s="11">
        <f t="shared" si="18"/>
        <v>113485776.97000003</v>
      </c>
      <c r="EJ33" s="11">
        <f t="shared" si="18"/>
        <v>152967067.78999999</v>
      </c>
      <c r="EK33" s="11">
        <f t="shared" si="18"/>
        <v>210502345.48999995</v>
      </c>
      <c r="EL33" s="11">
        <f t="shared" si="18"/>
        <v>71053058.170000002</v>
      </c>
      <c r="EM33" s="11">
        <f t="shared" si="18"/>
        <v>97519418.949999988</v>
      </c>
      <c r="EN33" s="11">
        <f t="shared" si="18"/>
        <v>2055673295.8200002</v>
      </c>
      <c r="EO33" s="11">
        <f t="shared" si="18"/>
        <v>126878601.25</v>
      </c>
      <c r="EP33" s="11">
        <f t="shared" si="18"/>
        <v>109312175.92000002</v>
      </c>
      <c r="EQ33" s="11">
        <f t="shared" si="18"/>
        <v>115596838.46000001</v>
      </c>
      <c r="ER33" s="11">
        <f t="shared" si="18"/>
        <v>73160608.390000001</v>
      </c>
      <c r="ES33" s="11">
        <f t="shared" si="18"/>
        <v>60279873.189999998</v>
      </c>
      <c r="ET33" s="11">
        <f t="shared" si="18"/>
        <v>165336556.99000001</v>
      </c>
      <c r="EU33" s="11">
        <f t="shared" si="18"/>
        <v>167676196.51000002</v>
      </c>
      <c r="EV33" s="11">
        <f t="shared" si="18"/>
        <v>89298251.040000007</v>
      </c>
      <c r="EW33" s="11">
        <f t="shared" si="18"/>
        <v>1011200429.2600001</v>
      </c>
      <c r="EX33" s="11">
        <f t="shared" si="18"/>
        <v>49740822.729999997</v>
      </c>
      <c r="EY33" s="11">
        <f t="shared" si="18"/>
        <v>98183323.600000024</v>
      </c>
      <c r="EZ33" s="11">
        <f t="shared" si="18"/>
        <v>160703543.18000001</v>
      </c>
      <c r="FA33" s="11">
        <f t="shared" si="18"/>
        <v>221365375.99000001</v>
      </c>
      <c r="FB33" s="11">
        <f t="shared" si="18"/>
        <v>174833172.04999995</v>
      </c>
      <c r="FC33" s="11">
        <f t="shared" si="18"/>
        <v>133928463.23</v>
      </c>
      <c r="FD33" s="11">
        <f t="shared" si="18"/>
        <v>98973317.529999971</v>
      </c>
      <c r="FE33" s="11">
        <f t="shared" si="18"/>
        <v>85260408.989999995</v>
      </c>
      <c r="FF33" s="11">
        <f t="shared" si="18"/>
        <v>75031469.939999998</v>
      </c>
      <c r="FG33" s="11">
        <f t="shared" si="18"/>
        <v>76437006.770000011</v>
      </c>
      <c r="FH33" s="11">
        <f t="shared" si="18"/>
        <v>63357438.389999993</v>
      </c>
      <c r="FI33" s="11">
        <f t="shared" si="18"/>
        <v>934569176.04999995</v>
      </c>
      <c r="FJ33" s="11">
        <f t="shared" si="18"/>
        <v>71413296.780000001</v>
      </c>
      <c r="FK33" s="11">
        <f t="shared" si="18"/>
        <v>68639232.950000003</v>
      </c>
      <c r="FL33" s="11">
        <f t="shared" si="18"/>
        <v>73914024.520000011</v>
      </c>
      <c r="FM33" s="11">
        <f t="shared" si="18"/>
        <v>135262046.81999999</v>
      </c>
      <c r="FN33" s="11">
        <f t="shared" si="18"/>
        <v>114921497.16</v>
      </c>
      <c r="FO33" s="11">
        <f t="shared" si="18"/>
        <v>41675860.390000001</v>
      </c>
      <c r="FP33" s="11">
        <f t="shared" si="18"/>
        <v>22939008.949999999</v>
      </c>
      <c r="FQ33" s="11">
        <f t="shared" si="18"/>
        <v>2228913954.6999998</v>
      </c>
      <c r="FR33" s="11">
        <f t="shared" si="18"/>
        <v>85302044.660000011</v>
      </c>
      <c r="FS33" s="11">
        <f t="shared" si="18"/>
        <v>140489419.39000002</v>
      </c>
      <c r="FT33" s="11">
        <f t="shared" si="18"/>
        <v>141008738.69999999</v>
      </c>
      <c r="FU33" s="11">
        <f t="shared" si="18"/>
        <v>192001975.29000002</v>
      </c>
      <c r="FV33" s="11">
        <f t="shared" si="18"/>
        <v>86736728.189999998</v>
      </c>
      <c r="FW33" s="11">
        <f t="shared" si="18"/>
        <v>212300602.98000002</v>
      </c>
      <c r="FX33" s="11">
        <f t="shared" si="18"/>
        <v>138428382.94999999</v>
      </c>
      <c r="FY33" s="11">
        <f t="shared" si="18"/>
        <v>130840645.24000001</v>
      </c>
      <c r="FZ33" s="11">
        <f t="shared" si="18"/>
        <v>99462215.869999975</v>
      </c>
      <c r="GA33" s="11">
        <f t="shared" si="18"/>
        <v>223281042.91999996</v>
      </c>
      <c r="GB33" s="11">
        <f t="shared" si="18"/>
        <v>97182074.530000001</v>
      </c>
      <c r="GC33" s="11">
        <f t="shared" si="18"/>
        <v>87215598.439999998</v>
      </c>
      <c r="GD33" s="11">
        <f t="shared" si="18"/>
        <v>49806227.109999999</v>
      </c>
      <c r="GE33" s="11">
        <f t="shared" si="18"/>
        <v>918634716.41999996</v>
      </c>
      <c r="GF33" s="11">
        <f t="shared" si="18"/>
        <v>86118065.729999989</v>
      </c>
      <c r="GG33" s="11">
        <f t="shared" si="18"/>
        <v>78371904.069999993</v>
      </c>
      <c r="GH33" s="11">
        <f t="shared" si="18"/>
        <v>202801762.31000003</v>
      </c>
      <c r="GI33" s="11">
        <f t="shared" si="18"/>
        <v>106009133.91000001</v>
      </c>
      <c r="GJ33" s="11">
        <f t="shared" si="18"/>
        <v>80109296.700000003</v>
      </c>
      <c r="GK33" s="11">
        <f t="shared" si="18"/>
        <v>82856170.199999973</v>
      </c>
      <c r="GL33" s="11">
        <f t="shared" si="18"/>
        <v>223035483.40000001</v>
      </c>
      <c r="GM33" s="11">
        <f t="shared" si="18"/>
        <v>69232045.379999995</v>
      </c>
      <c r="GN33" s="11">
        <f t="shared" si="18"/>
        <v>45128303.710000008</v>
      </c>
      <c r="GO33" s="11">
        <f t="shared" ref="GO33:IX33" si="19">SUM(GO18:GO32)</f>
        <v>37736023.349999994</v>
      </c>
      <c r="GP33" s="11">
        <f t="shared" si="19"/>
        <v>33777215.469999999</v>
      </c>
      <c r="GQ33" s="11">
        <f t="shared" si="19"/>
        <v>636857282.17999995</v>
      </c>
      <c r="GR33" s="11">
        <f t="shared" si="19"/>
        <v>148431364.03999999</v>
      </c>
      <c r="GS33" s="11">
        <f t="shared" si="19"/>
        <v>76397514.060000002</v>
      </c>
      <c r="GT33" s="11">
        <f t="shared" si="19"/>
        <v>163340390.13</v>
      </c>
      <c r="GU33" s="11">
        <f t="shared" si="19"/>
        <v>38714659.840000004</v>
      </c>
      <c r="GV33" s="11">
        <f t="shared" si="19"/>
        <v>120387661.53999999</v>
      </c>
      <c r="GW33" s="11">
        <f t="shared" si="19"/>
        <v>105923794.50000003</v>
      </c>
      <c r="GX33" s="11">
        <f t="shared" si="19"/>
        <v>62408633.839999996</v>
      </c>
      <c r="GY33" s="11">
        <f t="shared" si="19"/>
        <v>658457341.67999995</v>
      </c>
      <c r="GZ33" s="11">
        <f t="shared" si="19"/>
        <v>66230915.839999996</v>
      </c>
      <c r="HA33" s="11">
        <f t="shared" si="19"/>
        <v>157302949.04000002</v>
      </c>
      <c r="HB33" s="11">
        <f t="shared" si="19"/>
        <v>110808867.39999999</v>
      </c>
      <c r="HC33" s="11">
        <f t="shared" si="19"/>
        <v>1936136827.0600002</v>
      </c>
      <c r="HD33" s="11">
        <f t="shared" si="19"/>
        <v>229821189.84</v>
      </c>
      <c r="HE33" s="11">
        <f t="shared" si="19"/>
        <v>288435592.20000005</v>
      </c>
      <c r="HF33" s="11">
        <f t="shared" si="19"/>
        <v>291026664.19999993</v>
      </c>
      <c r="HG33" s="11">
        <f t="shared" si="19"/>
        <v>192754432.21999997</v>
      </c>
      <c r="HH33" s="11">
        <f t="shared" si="19"/>
        <v>252980406.03999999</v>
      </c>
      <c r="HI33" s="11">
        <f t="shared" si="19"/>
        <v>69446597.810000002</v>
      </c>
      <c r="HJ33" s="11">
        <f t="shared" si="19"/>
        <v>41219278.609999999</v>
      </c>
      <c r="HK33" s="11">
        <f t="shared" si="19"/>
        <v>1045286229.96</v>
      </c>
      <c r="HL33" s="11">
        <f t="shared" si="19"/>
        <v>227988673.19</v>
      </c>
      <c r="HM33" s="11">
        <f t="shared" si="19"/>
        <v>290824553.93000001</v>
      </c>
      <c r="HN33" s="11">
        <f t="shared" si="19"/>
        <v>161033502.11000001</v>
      </c>
      <c r="HO33" s="11">
        <f t="shared" si="19"/>
        <v>104947116.26999998</v>
      </c>
      <c r="HP33" s="11">
        <f t="shared" si="19"/>
        <v>125069980.57999998</v>
      </c>
      <c r="HQ33" s="11">
        <f t="shared" si="19"/>
        <v>137162198.52000001</v>
      </c>
      <c r="HR33" s="11">
        <f t="shared" si="19"/>
        <v>71861924.329999998</v>
      </c>
      <c r="HS33" s="11">
        <f t="shared" si="19"/>
        <v>1284987656.2299995</v>
      </c>
      <c r="HT33" s="11">
        <f t="shared" si="19"/>
        <v>406142695.12</v>
      </c>
      <c r="HU33" s="11">
        <f t="shared" si="19"/>
        <v>104581563.56999999</v>
      </c>
      <c r="HV33" s="11">
        <f t="shared" si="19"/>
        <v>79502025.460000008</v>
      </c>
      <c r="HW33" s="11">
        <f t="shared" si="19"/>
        <v>74634569.159999996</v>
      </c>
      <c r="HX33" s="11">
        <f t="shared" si="19"/>
        <v>60718984.799999997</v>
      </c>
      <c r="HY33" s="11">
        <f t="shared" si="19"/>
        <v>295235296.83999997</v>
      </c>
      <c r="HZ33" s="11">
        <f t="shared" si="19"/>
        <v>77862265.300000012</v>
      </c>
      <c r="IA33" s="11">
        <f t="shared" si="19"/>
        <v>82152386.62000002</v>
      </c>
      <c r="IB33" s="11">
        <f t="shared" si="19"/>
        <v>88767793.790000007</v>
      </c>
      <c r="IC33" s="11">
        <f t="shared" si="19"/>
        <v>92731867.570000008</v>
      </c>
      <c r="ID33" s="11">
        <f t="shared" si="19"/>
        <v>145419193.81000003</v>
      </c>
      <c r="IE33" s="11">
        <f t="shared" si="19"/>
        <v>42246379.579999998</v>
      </c>
      <c r="IF33" s="11">
        <f t="shared" si="19"/>
        <v>164749709.13</v>
      </c>
      <c r="IG33" s="11">
        <f t="shared" si="19"/>
        <v>53838339.070000008</v>
      </c>
      <c r="IH33" s="11">
        <f t="shared" si="19"/>
        <v>53392843.880000018</v>
      </c>
      <c r="II33" s="11">
        <f t="shared" si="19"/>
        <v>990893673.00000012</v>
      </c>
      <c r="IJ33" s="11">
        <f t="shared" si="19"/>
        <v>412135735.24999994</v>
      </c>
      <c r="IK33" s="11">
        <f t="shared" si="19"/>
        <v>128949546.91999999</v>
      </c>
      <c r="IL33" s="11">
        <f t="shared" si="19"/>
        <v>224488740.61999997</v>
      </c>
      <c r="IM33" s="11">
        <f t="shared" si="19"/>
        <v>291915316.39999998</v>
      </c>
      <c r="IN33" s="11">
        <f t="shared" si="19"/>
        <v>113729316.77999999</v>
      </c>
      <c r="IO33" s="11">
        <f t="shared" si="19"/>
        <v>92097886.379999995</v>
      </c>
      <c r="IP33" s="11">
        <f t="shared" si="19"/>
        <v>55202325.809999995</v>
      </c>
      <c r="IQ33" s="11">
        <f t="shared" si="19"/>
        <v>67167841.230000004</v>
      </c>
      <c r="IR33" s="11">
        <f t="shared" si="19"/>
        <v>65588879.700000003</v>
      </c>
      <c r="IS33" s="11">
        <f t="shared" si="19"/>
        <v>68023727.430000007</v>
      </c>
      <c r="IT33" s="11">
        <f t="shared" si="19"/>
        <v>1777261256.2499998</v>
      </c>
      <c r="IU33" s="11">
        <f t="shared" si="19"/>
        <v>569446112.64999986</v>
      </c>
      <c r="IV33" s="11">
        <f t="shared" si="19"/>
        <v>172100315.47999996</v>
      </c>
      <c r="IW33" s="11">
        <f t="shared" si="19"/>
        <v>153913423.42000005</v>
      </c>
      <c r="IX33" s="11">
        <f t="shared" si="19"/>
        <v>92022152.699999988</v>
      </c>
      <c r="IY33" s="11">
        <f t="shared" ref="IY33:LJ33" si="20">SUM(IY18:IY32)</f>
        <v>43474464.710000001</v>
      </c>
      <c r="IZ33" s="11">
        <f t="shared" si="20"/>
        <v>82217029.871699989</v>
      </c>
      <c r="JA33" s="11">
        <f t="shared" si="20"/>
        <v>43166163.299999997</v>
      </c>
      <c r="JB33" s="11">
        <f t="shared" si="20"/>
        <v>61094750.029999986</v>
      </c>
      <c r="JC33" s="11">
        <f t="shared" si="20"/>
        <v>94877192.110000029</v>
      </c>
      <c r="JD33" s="11">
        <f t="shared" si="20"/>
        <v>120991299.47000003</v>
      </c>
      <c r="JE33" s="11">
        <f t="shared" si="20"/>
        <v>71599616.25</v>
      </c>
      <c r="JF33" s="11">
        <f t="shared" si="20"/>
        <v>989536562.01999986</v>
      </c>
      <c r="JG33" s="11">
        <f t="shared" si="20"/>
        <v>293298191.92000002</v>
      </c>
      <c r="JH33" s="11">
        <f t="shared" si="20"/>
        <v>74097221.939999998</v>
      </c>
      <c r="JI33" s="11">
        <f t="shared" si="20"/>
        <v>71271227.770000011</v>
      </c>
      <c r="JJ33" s="11">
        <f t="shared" si="20"/>
        <v>57221918.700000003</v>
      </c>
      <c r="JK33" s="11">
        <f t="shared" si="20"/>
        <v>60834281.38000001</v>
      </c>
      <c r="JL33" s="11">
        <f t="shared" si="20"/>
        <v>742509529.5</v>
      </c>
      <c r="JM33" s="11">
        <f t="shared" si="20"/>
        <v>94128953.169999987</v>
      </c>
      <c r="JN33" s="11">
        <f t="shared" si="20"/>
        <v>91711880.039999992</v>
      </c>
      <c r="JO33" s="11">
        <f t="shared" si="20"/>
        <v>186382619.46000001</v>
      </c>
      <c r="JP33" s="11">
        <f t="shared" si="20"/>
        <v>82447519.210000008</v>
      </c>
      <c r="JQ33" s="11">
        <f t="shared" si="20"/>
        <v>175995178.99000001</v>
      </c>
      <c r="JR33" s="11">
        <f t="shared" si="20"/>
        <v>65259424.490000002</v>
      </c>
      <c r="JS33" s="11">
        <f t="shared" si="20"/>
        <v>1721439736.5899997</v>
      </c>
      <c r="JT33" s="11">
        <f t="shared" si="20"/>
        <v>603441098.71999991</v>
      </c>
      <c r="JU33" s="11">
        <f t="shared" si="20"/>
        <v>102328592.90000002</v>
      </c>
      <c r="JV33" s="11">
        <f t="shared" si="20"/>
        <v>51232221.409999996</v>
      </c>
      <c r="JW33" s="11">
        <f t="shared" si="20"/>
        <v>136629366.56</v>
      </c>
      <c r="JX33" s="11">
        <f t="shared" si="20"/>
        <v>45410120.310000002</v>
      </c>
      <c r="JY33" s="11">
        <f t="shared" si="20"/>
        <v>310684060.88</v>
      </c>
      <c r="JZ33" s="11">
        <f t="shared" si="20"/>
        <v>157647540.58000001</v>
      </c>
      <c r="KA33" s="11">
        <f t="shared" si="20"/>
        <v>106877473.44999999</v>
      </c>
      <c r="KB33" s="11">
        <f t="shared" si="20"/>
        <v>122601940.56</v>
      </c>
      <c r="KC33" s="11">
        <f t="shared" si="20"/>
        <v>87342107.420000002</v>
      </c>
      <c r="KD33" s="11">
        <f t="shared" si="20"/>
        <v>119474809.84</v>
      </c>
      <c r="KE33" s="11">
        <f t="shared" si="20"/>
        <v>54724659.31000001</v>
      </c>
      <c r="KF33" s="11">
        <f t="shared" si="20"/>
        <v>28733585.970000003</v>
      </c>
      <c r="KG33" s="11">
        <f t="shared" si="20"/>
        <v>69129372.499999985</v>
      </c>
      <c r="KH33" s="11">
        <f t="shared" si="20"/>
        <v>36853481.899999999</v>
      </c>
      <c r="KI33" s="11">
        <f t="shared" si="20"/>
        <v>1676200282.4399998</v>
      </c>
      <c r="KJ33" s="11">
        <f t="shared" si="20"/>
        <v>305417290.65499997</v>
      </c>
      <c r="KK33" s="11">
        <f t="shared" si="20"/>
        <v>141832762.22</v>
      </c>
      <c r="KL33" s="11">
        <f t="shared" si="20"/>
        <v>134554290.53</v>
      </c>
      <c r="KM33" s="11">
        <f t="shared" si="20"/>
        <v>151183847.97</v>
      </c>
      <c r="KN33" s="11">
        <f t="shared" si="20"/>
        <v>134496704.38</v>
      </c>
      <c r="KO33" s="11">
        <f t="shared" si="20"/>
        <v>418854115</v>
      </c>
      <c r="KP33" s="11">
        <f t="shared" si="20"/>
        <v>104739282.27000001</v>
      </c>
      <c r="KQ33" s="11">
        <f t="shared" si="20"/>
        <v>89392378.599999994</v>
      </c>
      <c r="KR33" s="11">
        <f t="shared" si="20"/>
        <v>663378491.83999991</v>
      </c>
      <c r="KS33" s="11">
        <f t="shared" si="20"/>
        <v>104023751.21000001</v>
      </c>
      <c r="KT33" s="11">
        <f t="shared" si="20"/>
        <v>118145240.03000002</v>
      </c>
      <c r="KU33" s="11">
        <f t="shared" si="20"/>
        <v>340688808.20999992</v>
      </c>
      <c r="KV33" s="11">
        <f t="shared" si="20"/>
        <v>94732457.180000007</v>
      </c>
      <c r="KW33" s="11">
        <f t="shared" si="20"/>
        <v>142330060.35999998</v>
      </c>
      <c r="KX33" s="11">
        <f t="shared" si="20"/>
        <v>1038469435.0699998</v>
      </c>
      <c r="KY33" s="11">
        <f t="shared" si="20"/>
        <v>152787075.41999999</v>
      </c>
      <c r="KZ33" s="11">
        <f t="shared" si="20"/>
        <v>1009419087.48</v>
      </c>
      <c r="LA33" s="11">
        <f t="shared" si="20"/>
        <v>110854478.17</v>
      </c>
      <c r="LB33" s="11">
        <f t="shared" si="20"/>
        <v>82285022.189999998</v>
      </c>
      <c r="LC33" s="11">
        <f t="shared" si="20"/>
        <v>208657754.97</v>
      </c>
      <c r="LD33" s="11">
        <f t="shared" si="20"/>
        <v>211713035.11999997</v>
      </c>
      <c r="LE33" s="11">
        <f t="shared" si="20"/>
        <v>142783949.28999999</v>
      </c>
      <c r="LF33" s="11">
        <f t="shared" si="20"/>
        <v>142915645.69999999</v>
      </c>
      <c r="LG33" s="11">
        <f t="shared" si="20"/>
        <v>103021285.84999999</v>
      </c>
      <c r="LH33" s="11">
        <f t="shared" si="20"/>
        <v>2097238873.52</v>
      </c>
      <c r="LI33" s="11">
        <f t="shared" si="20"/>
        <v>370927459.12</v>
      </c>
      <c r="LJ33" s="11">
        <f t="shared" si="20"/>
        <v>627135182.28000009</v>
      </c>
      <c r="LK33" s="11">
        <f t="shared" ref="LK33:NV33" si="21">SUM(LK18:LK32)</f>
        <v>540945594.84000003</v>
      </c>
      <c r="LL33" s="11">
        <f t="shared" si="21"/>
        <v>157397412.61000001</v>
      </c>
      <c r="LM33" s="11">
        <f t="shared" si="21"/>
        <v>106743372.70999999</v>
      </c>
      <c r="LN33" s="11">
        <f t="shared" si="21"/>
        <v>68199295.469999999</v>
      </c>
      <c r="LO33" s="11">
        <f t="shared" si="21"/>
        <v>108893595.58</v>
      </c>
      <c r="LP33" s="11">
        <f t="shared" si="21"/>
        <v>50621042.409999996</v>
      </c>
      <c r="LQ33" s="11">
        <f t="shared" si="21"/>
        <v>155186028.38</v>
      </c>
      <c r="LR33" s="11">
        <f t="shared" si="21"/>
        <v>47271119.310000002</v>
      </c>
      <c r="LS33" s="11">
        <f t="shared" si="21"/>
        <v>658712752.18000007</v>
      </c>
      <c r="LT33" s="11">
        <f t="shared" si="21"/>
        <v>143120189.44</v>
      </c>
      <c r="LU33" s="11">
        <f t="shared" si="21"/>
        <v>100217418.97</v>
      </c>
      <c r="LV33" s="11">
        <f t="shared" si="21"/>
        <v>1666458124.6000001</v>
      </c>
      <c r="LW33" s="11">
        <f t="shared" si="21"/>
        <v>906350607.09000003</v>
      </c>
      <c r="LX33" s="11">
        <f t="shared" si="21"/>
        <v>1641268663.6900001</v>
      </c>
      <c r="LY33" s="11">
        <f t="shared" si="21"/>
        <v>414459338.22000003</v>
      </c>
      <c r="LZ33" s="11">
        <f t="shared" si="21"/>
        <v>221867266.59000003</v>
      </c>
      <c r="MA33" s="11">
        <f t="shared" si="21"/>
        <v>221024630.58000001</v>
      </c>
      <c r="MB33" s="11">
        <f t="shared" si="21"/>
        <v>199675019.45999998</v>
      </c>
      <c r="MC33" s="11">
        <f t="shared" si="21"/>
        <v>130944992.72999997</v>
      </c>
      <c r="MD33" s="11">
        <f t="shared" si="21"/>
        <v>159199595.44999999</v>
      </c>
      <c r="ME33" s="11">
        <f t="shared" si="21"/>
        <v>166608350.55000001</v>
      </c>
      <c r="MF33" s="11">
        <f t="shared" si="21"/>
        <v>310624273.12</v>
      </c>
      <c r="MG33" s="11">
        <f t="shared" si="21"/>
        <v>93380414.63000001</v>
      </c>
      <c r="MH33" s="11">
        <f t="shared" si="21"/>
        <v>2888295865.71</v>
      </c>
      <c r="MI33" s="11">
        <f t="shared" si="21"/>
        <v>133954593.28</v>
      </c>
      <c r="MJ33" s="11">
        <f t="shared" si="21"/>
        <v>69943514.969999999</v>
      </c>
      <c r="MK33" s="11">
        <f t="shared" si="21"/>
        <v>70455132.790000007</v>
      </c>
      <c r="ML33" s="11">
        <f t="shared" si="21"/>
        <v>70396047.609999999</v>
      </c>
      <c r="MM33" s="11">
        <f t="shared" si="21"/>
        <v>131015119.02</v>
      </c>
      <c r="MN33" s="11">
        <f t="shared" si="21"/>
        <v>87596917.75999999</v>
      </c>
      <c r="MO33" s="11">
        <f t="shared" si="21"/>
        <v>85901213</v>
      </c>
      <c r="MP33" s="11">
        <f t="shared" si="21"/>
        <v>157602042.49000001</v>
      </c>
      <c r="MQ33" s="11">
        <f t="shared" si="21"/>
        <v>91816143.76000002</v>
      </c>
      <c r="MR33" s="11">
        <f t="shared" si="21"/>
        <v>95571519.139999986</v>
      </c>
      <c r="MS33" s="11">
        <f t="shared" si="21"/>
        <v>77020876.620000005</v>
      </c>
      <c r="MT33" s="11">
        <f t="shared" si="21"/>
        <v>2255303501.6999998</v>
      </c>
      <c r="MU33" s="11">
        <f t="shared" si="21"/>
        <v>98843591.279999986</v>
      </c>
      <c r="MV33" s="11">
        <f t="shared" si="21"/>
        <v>153530729.85999998</v>
      </c>
      <c r="MW33" s="11">
        <f t="shared" si="21"/>
        <v>194600521.37</v>
      </c>
      <c r="MX33" s="11">
        <f t="shared" si="21"/>
        <v>172718864.65000004</v>
      </c>
      <c r="MY33" s="11">
        <f t="shared" si="21"/>
        <v>113649247.05000001</v>
      </c>
      <c r="MZ33" s="11">
        <f t="shared" si="21"/>
        <v>268985516.63940006</v>
      </c>
      <c r="NA33" s="11">
        <f t="shared" si="21"/>
        <v>215900285.852</v>
      </c>
      <c r="NB33" s="11">
        <f t="shared" si="21"/>
        <v>111282997.08999999</v>
      </c>
      <c r="NC33" s="11">
        <f t="shared" si="21"/>
        <v>47178035.830000006</v>
      </c>
      <c r="ND33" s="11">
        <f t="shared" si="21"/>
        <v>36433546.170000002</v>
      </c>
      <c r="NE33" s="11">
        <f t="shared" si="21"/>
        <v>3613111792.6600003</v>
      </c>
      <c r="NF33" s="11">
        <f t="shared" si="21"/>
        <v>343364616.69999999</v>
      </c>
      <c r="NG33" s="11">
        <f t="shared" si="21"/>
        <v>84520993.700000003</v>
      </c>
      <c r="NH33" s="11">
        <f t="shared" si="21"/>
        <v>1032525848.0599999</v>
      </c>
      <c r="NI33" s="11">
        <f t="shared" si="21"/>
        <v>81642928.539999992</v>
      </c>
      <c r="NJ33" s="11">
        <f t="shared" si="21"/>
        <v>204283616.32000005</v>
      </c>
      <c r="NK33" s="11">
        <f t="shared" si="21"/>
        <v>459723347.45999998</v>
      </c>
      <c r="NL33" s="11">
        <f t="shared" si="21"/>
        <v>444517765.58999991</v>
      </c>
      <c r="NM33" s="11">
        <f t="shared" si="21"/>
        <v>34056830.359999999</v>
      </c>
      <c r="NN33" s="11">
        <f t="shared" si="21"/>
        <v>166708525.12909999</v>
      </c>
      <c r="NO33" s="11">
        <f t="shared" si="21"/>
        <v>133691509.51000001</v>
      </c>
      <c r="NP33" s="11">
        <f t="shared" si="21"/>
        <v>81283245.830000013</v>
      </c>
      <c r="NQ33" s="11">
        <f t="shared" si="21"/>
        <v>799427082.57999992</v>
      </c>
      <c r="NR33" s="11">
        <f t="shared" si="21"/>
        <v>93652555.900000006</v>
      </c>
      <c r="NS33" s="11">
        <f t="shared" si="21"/>
        <v>78142338.5</v>
      </c>
      <c r="NT33" s="11">
        <f t="shared" si="21"/>
        <v>76190204.120000005</v>
      </c>
      <c r="NU33" s="11">
        <f t="shared" si="21"/>
        <v>61354543.949999981</v>
      </c>
      <c r="NV33" s="11">
        <f t="shared" si="21"/>
        <v>24455456.399999999</v>
      </c>
      <c r="NW33" s="11">
        <f t="shared" ref="NW33:QH33" si="22">SUM(NW18:NW32)</f>
        <v>46366413.369999997</v>
      </c>
      <c r="NX33" s="11">
        <f t="shared" si="22"/>
        <v>2226436852.1399999</v>
      </c>
      <c r="NY33" s="11">
        <f t="shared" si="22"/>
        <v>502896060.76000005</v>
      </c>
      <c r="NZ33" s="11">
        <f t="shared" si="22"/>
        <v>97088689.859999999</v>
      </c>
      <c r="OA33" s="11">
        <f t="shared" si="22"/>
        <v>70251818.340000004</v>
      </c>
      <c r="OB33" s="11">
        <f t="shared" si="22"/>
        <v>92143268.830000013</v>
      </c>
      <c r="OC33" s="11">
        <f t="shared" si="22"/>
        <v>158410544.67999998</v>
      </c>
      <c r="OD33" s="11">
        <f t="shared" si="22"/>
        <v>61873623.290000007</v>
      </c>
      <c r="OE33" s="11">
        <f t="shared" si="22"/>
        <v>1668850425.7699995</v>
      </c>
      <c r="OF33" s="11">
        <f t="shared" si="22"/>
        <v>392703084.68000007</v>
      </c>
      <c r="OG33" s="11">
        <f t="shared" si="22"/>
        <v>138597566.35999998</v>
      </c>
      <c r="OH33" s="11">
        <f t="shared" si="22"/>
        <v>436828603.31999999</v>
      </c>
      <c r="OI33" s="11">
        <f t="shared" si="22"/>
        <v>118877607.89</v>
      </c>
      <c r="OJ33" s="11">
        <f t="shared" si="22"/>
        <v>149232594.84000003</v>
      </c>
      <c r="OK33" s="11">
        <f t="shared" si="22"/>
        <v>141468077.75999999</v>
      </c>
      <c r="OL33" s="11">
        <f t="shared" si="22"/>
        <v>65118843.349999994</v>
      </c>
      <c r="OM33" s="11">
        <f t="shared" si="22"/>
        <v>86900896.840000004</v>
      </c>
      <c r="ON33" s="11">
        <f t="shared" si="22"/>
        <v>1592721291.1400001</v>
      </c>
      <c r="OO33" s="11">
        <f t="shared" si="22"/>
        <v>290161261.57999998</v>
      </c>
      <c r="OP33" s="11">
        <f t="shared" si="22"/>
        <v>579187924.8599999</v>
      </c>
      <c r="OQ33" s="11">
        <f t="shared" si="22"/>
        <v>201152622.81</v>
      </c>
      <c r="OR33" s="11">
        <f t="shared" si="22"/>
        <v>169513976.83000001</v>
      </c>
      <c r="OS33" s="11">
        <f t="shared" si="22"/>
        <v>87935065.299999997</v>
      </c>
      <c r="OT33" s="11">
        <f t="shared" si="22"/>
        <v>800979665.28999996</v>
      </c>
      <c r="OU33" s="11">
        <f t="shared" si="22"/>
        <v>76574816.160000011</v>
      </c>
      <c r="OV33" s="11">
        <f t="shared" si="22"/>
        <v>84049651.620000005</v>
      </c>
      <c r="OW33" s="11">
        <f t="shared" si="22"/>
        <v>131030724.99999999</v>
      </c>
      <c r="OX33" s="11">
        <f t="shared" si="22"/>
        <v>143031428.44999999</v>
      </c>
      <c r="OY33" s="11">
        <f t="shared" si="22"/>
        <v>475854830.16000009</v>
      </c>
      <c r="OZ33" s="11">
        <f t="shared" si="22"/>
        <v>98108792.359999985</v>
      </c>
      <c r="PA33" s="11">
        <f t="shared" si="22"/>
        <v>60114439.349999994</v>
      </c>
      <c r="PB33" s="11">
        <f t="shared" si="22"/>
        <v>62173498.780000009</v>
      </c>
      <c r="PC33" s="11">
        <f t="shared" si="22"/>
        <v>1214426898.55</v>
      </c>
      <c r="PD33" s="11">
        <f t="shared" si="22"/>
        <v>72631749.87000002</v>
      </c>
      <c r="PE33" s="11">
        <f t="shared" si="22"/>
        <v>201728490.31999996</v>
      </c>
      <c r="PF33" s="11">
        <f t="shared" si="22"/>
        <v>51255858.740000002</v>
      </c>
      <c r="PG33" s="11">
        <f t="shared" si="22"/>
        <v>130960333.28</v>
      </c>
      <c r="PH33" s="11">
        <f t="shared" si="22"/>
        <v>285822697.55000001</v>
      </c>
      <c r="PI33" s="11">
        <f t="shared" si="22"/>
        <v>84604271.170000002</v>
      </c>
      <c r="PJ33" s="11">
        <f t="shared" si="22"/>
        <v>83327454.950000003</v>
      </c>
      <c r="PK33" s="11">
        <f t="shared" si="22"/>
        <v>121439690.42000003</v>
      </c>
      <c r="PL33" s="11">
        <f t="shared" si="22"/>
        <v>100147501.96000001</v>
      </c>
      <c r="PM33" s="11">
        <f t="shared" si="22"/>
        <v>124715468.09999999</v>
      </c>
      <c r="PN33" s="11">
        <f t="shared" si="22"/>
        <v>191689986.84</v>
      </c>
      <c r="PO33" s="11">
        <f t="shared" si="22"/>
        <v>69184454.829999998</v>
      </c>
      <c r="PP33" s="11">
        <f t="shared" si="22"/>
        <v>325570458.48000002</v>
      </c>
      <c r="PQ33" s="11">
        <f t="shared" si="22"/>
        <v>66434989.950000003</v>
      </c>
      <c r="PR33" s="11">
        <f t="shared" si="22"/>
        <v>46908734.220000006</v>
      </c>
      <c r="PS33" s="11">
        <f t="shared" si="22"/>
        <v>41166148.469999991</v>
      </c>
      <c r="PT33" s="11">
        <f t="shared" si="22"/>
        <v>51046344.329999998</v>
      </c>
      <c r="PU33" s="11">
        <f t="shared" si="22"/>
        <v>3418173577.0100002</v>
      </c>
      <c r="PV33" s="11">
        <f t="shared" si="22"/>
        <v>81680290.080000013</v>
      </c>
      <c r="PW33" s="11">
        <f t="shared" si="22"/>
        <v>106960453.50000001</v>
      </c>
      <c r="PX33" s="11">
        <f t="shared" si="22"/>
        <v>157417527.23999998</v>
      </c>
      <c r="PY33" s="11">
        <f t="shared" si="22"/>
        <v>693631627.09000003</v>
      </c>
      <c r="PZ33" s="11">
        <f t="shared" si="22"/>
        <v>133506130.06999999</v>
      </c>
      <c r="QA33" s="11">
        <f t="shared" si="22"/>
        <v>242941844.67000005</v>
      </c>
      <c r="QB33" s="11">
        <f t="shared" si="22"/>
        <v>81476709.730000004</v>
      </c>
      <c r="QC33" s="11">
        <f t="shared" si="22"/>
        <v>279852011.94000006</v>
      </c>
      <c r="QD33" s="11">
        <f t="shared" si="22"/>
        <v>58999234.080000013</v>
      </c>
      <c r="QE33" s="11">
        <f t="shared" si="22"/>
        <v>225766450.71000001</v>
      </c>
      <c r="QF33" s="11">
        <f t="shared" si="22"/>
        <v>69461985.040000007</v>
      </c>
      <c r="QG33" s="11">
        <f t="shared" si="22"/>
        <v>96244120.689999998</v>
      </c>
      <c r="QH33" s="11">
        <f t="shared" si="22"/>
        <v>146120622.58000001</v>
      </c>
      <c r="QI33" s="11">
        <f t="shared" ref="QI33:ST33" si="23">SUM(QI18:QI32)</f>
        <v>139323410.93000001</v>
      </c>
      <c r="QJ33" s="11">
        <f t="shared" si="23"/>
        <v>174412782.88</v>
      </c>
      <c r="QK33" s="11">
        <f t="shared" si="23"/>
        <v>89236425.88000001</v>
      </c>
      <c r="QL33" s="11">
        <f t="shared" si="23"/>
        <v>82404068.779999986</v>
      </c>
      <c r="QM33" s="11">
        <f t="shared" si="23"/>
        <v>62496242.899999999</v>
      </c>
      <c r="QN33" s="11">
        <f t="shared" si="23"/>
        <v>252992046.21999994</v>
      </c>
      <c r="QO33" s="11">
        <f t="shared" si="23"/>
        <v>302600039.61999995</v>
      </c>
      <c r="QP33" s="11">
        <f t="shared" si="23"/>
        <v>65537704.919999994</v>
      </c>
      <c r="QQ33" s="11">
        <f t="shared" si="23"/>
        <v>33738572.049999997</v>
      </c>
      <c r="QR33" s="11">
        <f t="shared" si="23"/>
        <v>33191552.189999998</v>
      </c>
      <c r="QS33" s="11">
        <f t="shared" si="23"/>
        <v>39794679.550000004</v>
      </c>
      <c r="QT33" s="11">
        <f t="shared" si="23"/>
        <v>31659348.880000003</v>
      </c>
      <c r="QU33" s="11">
        <f t="shared" si="23"/>
        <v>1558270512.6299996</v>
      </c>
      <c r="QV33" s="11">
        <f t="shared" si="23"/>
        <v>68988945.819999993</v>
      </c>
      <c r="QW33" s="11">
        <f t="shared" si="23"/>
        <v>223872785.75999993</v>
      </c>
      <c r="QX33" s="11">
        <f t="shared" si="23"/>
        <v>101964400.84000003</v>
      </c>
      <c r="QY33" s="11">
        <f t="shared" si="23"/>
        <v>115825798.59999999</v>
      </c>
      <c r="QZ33" s="11">
        <f t="shared" si="23"/>
        <v>244153580.67000002</v>
      </c>
      <c r="RA33" s="11">
        <f t="shared" si="23"/>
        <v>96645013.090000018</v>
      </c>
      <c r="RB33" s="11">
        <f t="shared" si="23"/>
        <v>187100068.68000004</v>
      </c>
      <c r="RC33" s="11">
        <f t="shared" si="23"/>
        <v>196664577.54000002</v>
      </c>
      <c r="RD33" s="11">
        <f t="shared" si="23"/>
        <v>83446710.959999993</v>
      </c>
      <c r="RE33" s="11">
        <f t="shared" si="23"/>
        <v>80220427.5</v>
      </c>
      <c r="RF33" s="11">
        <f t="shared" si="23"/>
        <v>53962526.719999999</v>
      </c>
      <c r="RG33" s="11">
        <f t="shared" si="23"/>
        <v>46138240.670000002</v>
      </c>
      <c r="RH33" s="11">
        <f t="shared" si="23"/>
        <v>1928520606.6500003</v>
      </c>
      <c r="RI33" s="11">
        <f t="shared" si="23"/>
        <v>259639605.59999999</v>
      </c>
      <c r="RJ33" s="11">
        <f t="shared" si="23"/>
        <v>104626625.2</v>
      </c>
      <c r="RK33" s="11">
        <f t="shared" si="23"/>
        <v>133666982.13</v>
      </c>
      <c r="RL33" s="11">
        <f t="shared" si="23"/>
        <v>135956387.16999999</v>
      </c>
      <c r="RM33" s="11">
        <f t="shared" si="23"/>
        <v>147838072.96000001</v>
      </c>
      <c r="RN33" s="11">
        <f t="shared" si="23"/>
        <v>320243547.56000012</v>
      </c>
      <c r="RO33" s="11">
        <f t="shared" si="23"/>
        <v>94107899.090000004</v>
      </c>
      <c r="RP33" s="11">
        <f t="shared" si="23"/>
        <v>115057947.92</v>
      </c>
      <c r="RQ33" s="11">
        <f t="shared" si="23"/>
        <v>254798548.64000002</v>
      </c>
      <c r="RR33" s="11">
        <f t="shared" si="23"/>
        <v>315401096.27000004</v>
      </c>
      <c r="RS33" s="11">
        <f t="shared" si="23"/>
        <v>61715535.219999991</v>
      </c>
      <c r="RT33" s="11">
        <f t="shared" si="23"/>
        <v>62683672.259999998</v>
      </c>
      <c r="RU33" s="11">
        <f t="shared" si="23"/>
        <v>123711090.98000002</v>
      </c>
      <c r="RV33" s="11">
        <f t="shared" si="23"/>
        <v>62361562.260000005</v>
      </c>
      <c r="RW33" s="11">
        <f t="shared" si="23"/>
        <v>79267415.899999991</v>
      </c>
      <c r="RX33" s="11">
        <f t="shared" si="23"/>
        <v>98486958.459999993</v>
      </c>
      <c r="RY33" s="11">
        <f t="shared" si="23"/>
        <v>43084369.370000005</v>
      </c>
      <c r="RZ33" s="11">
        <f t="shared" si="23"/>
        <v>41547048.049999997</v>
      </c>
      <c r="SA33" s="11">
        <f t="shared" si="23"/>
        <v>48711671.350000001</v>
      </c>
      <c r="SB33" s="11">
        <f t="shared" si="23"/>
        <v>860024071.13999987</v>
      </c>
      <c r="SC33" s="11">
        <f t="shared" si="23"/>
        <v>108784456.84</v>
      </c>
      <c r="SD33" s="11">
        <f t="shared" si="23"/>
        <v>95647556.590000004</v>
      </c>
      <c r="SE33" s="11">
        <f t="shared" si="23"/>
        <v>95985319.439999998</v>
      </c>
      <c r="SF33" s="11">
        <f t="shared" si="23"/>
        <v>61087055.089999989</v>
      </c>
      <c r="SG33" s="11">
        <f t="shared" si="23"/>
        <v>99544132.579999983</v>
      </c>
      <c r="SH33" s="11">
        <f t="shared" si="23"/>
        <v>124648072.94</v>
      </c>
      <c r="SI33" s="11">
        <f t="shared" si="23"/>
        <v>191049909.78999999</v>
      </c>
      <c r="SJ33" s="11">
        <f t="shared" si="23"/>
        <v>107730322.42</v>
      </c>
      <c r="SK33" s="11">
        <f t="shared" si="23"/>
        <v>112777688.96999998</v>
      </c>
      <c r="SL33" s="11">
        <f t="shared" si="23"/>
        <v>241491800.91</v>
      </c>
      <c r="SM33" s="11">
        <f t="shared" si="23"/>
        <v>36469005.049999997</v>
      </c>
      <c r="SN33" s="11">
        <f t="shared" si="23"/>
        <v>558586540.63</v>
      </c>
      <c r="SO33" s="11">
        <f t="shared" si="23"/>
        <v>103552973.96000001</v>
      </c>
      <c r="SP33" s="11">
        <f t="shared" si="23"/>
        <v>138499594.24000001</v>
      </c>
      <c r="SQ33" s="11">
        <f t="shared" si="23"/>
        <v>186233144.74000004</v>
      </c>
      <c r="SR33" s="11">
        <f t="shared" si="23"/>
        <v>96127435.359999999</v>
      </c>
      <c r="SS33" s="11">
        <f t="shared" si="23"/>
        <v>91737728.040000007</v>
      </c>
      <c r="ST33" s="11">
        <f t="shared" si="23"/>
        <v>88539521.560000002</v>
      </c>
      <c r="SU33" s="11">
        <f t="shared" ref="SU33:VF33" si="24">SUM(SU18:SU32)</f>
        <v>50695467.699999988</v>
      </c>
      <c r="SV33" s="11">
        <f t="shared" si="24"/>
        <v>989238345.05000007</v>
      </c>
      <c r="SW33" s="11">
        <f t="shared" si="24"/>
        <v>80632981.679999992</v>
      </c>
      <c r="SX33" s="11">
        <f t="shared" si="24"/>
        <v>131912904.60000001</v>
      </c>
      <c r="SY33" s="11">
        <f t="shared" si="24"/>
        <v>95709114.260000005</v>
      </c>
      <c r="SZ33" s="11">
        <f t="shared" si="24"/>
        <v>51428738.619999997</v>
      </c>
      <c r="TA33" s="11">
        <f t="shared" si="24"/>
        <v>64628259.729999989</v>
      </c>
      <c r="TB33" s="11">
        <f t="shared" si="24"/>
        <v>69591844.489999995</v>
      </c>
      <c r="TC33" s="11">
        <f t="shared" si="24"/>
        <v>250863945.70000005</v>
      </c>
      <c r="TD33" s="11">
        <f t="shared" si="24"/>
        <v>66140285.729999997</v>
      </c>
      <c r="TE33" s="11">
        <f t="shared" si="24"/>
        <v>73719062.710000008</v>
      </c>
      <c r="TF33" s="11">
        <f t="shared" si="24"/>
        <v>105409692.11</v>
      </c>
      <c r="TG33" s="11">
        <f t="shared" si="24"/>
        <v>150175987.19999999</v>
      </c>
      <c r="TH33" s="11">
        <f t="shared" si="24"/>
        <v>82832163.63000001</v>
      </c>
      <c r="TI33" s="11">
        <f t="shared" si="24"/>
        <v>56926011.430000015</v>
      </c>
      <c r="TJ33" s="11">
        <f t="shared" si="24"/>
        <v>1801354935.21</v>
      </c>
      <c r="TK33" s="11">
        <f t="shared" si="24"/>
        <v>101614233.48</v>
      </c>
      <c r="TL33" s="11">
        <f t="shared" si="24"/>
        <v>65785759.979999989</v>
      </c>
      <c r="TM33" s="11">
        <f t="shared" si="24"/>
        <v>165258994.44000003</v>
      </c>
      <c r="TN33" s="11">
        <f t="shared" si="24"/>
        <v>145742797.56</v>
      </c>
      <c r="TO33" s="11">
        <f t="shared" si="24"/>
        <v>93774435.359999999</v>
      </c>
      <c r="TP33" s="11">
        <f t="shared" si="24"/>
        <v>44759907.439999998</v>
      </c>
      <c r="TQ33" s="11">
        <f t="shared" si="24"/>
        <v>469376863.44000006</v>
      </c>
      <c r="TR33" s="11">
        <f t="shared" si="24"/>
        <v>91355647.950000018</v>
      </c>
      <c r="TS33" s="11">
        <f t="shared" si="24"/>
        <v>164211810.70000002</v>
      </c>
      <c r="TT33" s="11">
        <f t="shared" si="24"/>
        <v>173298447.87000003</v>
      </c>
      <c r="TU33" s="11">
        <f t="shared" si="24"/>
        <v>81993898.459999993</v>
      </c>
      <c r="TV33" s="11">
        <f t="shared" si="24"/>
        <v>58679862.299999997</v>
      </c>
      <c r="TW33" s="11">
        <f t="shared" si="24"/>
        <v>97213113.770000011</v>
      </c>
      <c r="TX33" s="11">
        <f t="shared" si="24"/>
        <v>85260694.789999992</v>
      </c>
      <c r="TY33" s="11">
        <f t="shared" si="24"/>
        <v>77582112.449999988</v>
      </c>
      <c r="TZ33" s="11">
        <f t="shared" si="24"/>
        <v>462091427.06999993</v>
      </c>
      <c r="UA33" s="11">
        <f t="shared" si="24"/>
        <v>75983242.00999999</v>
      </c>
      <c r="UB33" s="11">
        <f t="shared" si="24"/>
        <v>930407019.17000008</v>
      </c>
      <c r="UC33" s="11">
        <f t="shared" si="24"/>
        <v>236192863.44</v>
      </c>
      <c r="UD33" s="11">
        <f t="shared" si="24"/>
        <v>78654313.159999996</v>
      </c>
      <c r="UE33" s="11">
        <f t="shared" si="24"/>
        <v>87079108.109999999</v>
      </c>
      <c r="UF33" s="11">
        <f t="shared" si="24"/>
        <v>526739862.70999998</v>
      </c>
      <c r="UG33" s="11">
        <f t="shared" si="24"/>
        <v>60155729.069999993</v>
      </c>
      <c r="UH33" s="11">
        <f t="shared" si="24"/>
        <v>41745514.25</v>
      </c>
      <c r="UI33" s="11">
        <f t="shared" si="24"/>
        <v>70721194.530000001</v>
      </c>
      <c r="UJ33" s="11">
        <f t="shared" si="24"/>
        <v>65155552.299999997</v>
      </c>
      <c r="UK33" s="11">
        <f t="shared" si="24"/>
        <v>654650824.23000002</v>
      </c>
      <c r="UL33" s="11">
        <f t="shared" si="24"/>
        <v>161259290.78</v>
      </c>
      <c r="UM33" s="11">
        <f t="shared" si="24"/>
        <v>107989281.02</v>
      </c>
      <c r="UN33" s="11">
        <f t="shared" si="24"/>
        <v>172697811.77999997</v>
      </c>
      <c r="UO33" s="11">
        <f t="shared" si="24"/>
        <v>113040352.72000001</v>
      </c>
      <c r="UP33" s="11">
        <f t="shared" si="24"/>
        <v>90393611.61999999</v>
      </c>
      <c r="UQ33" s="11">
        <f t="shared" si="24"/>
        <v>3130347020.3600011</v>
      </c>
      <c r="UR33" s="11">
        <f t="shared" si="24"/>
        <v>136541688.03999999</v>
      </c>
      <c r="US33" s="11">
        <f t="shared" si="24"/>
        <v>138033977.70000002</v>
      </c>
      <c r="UT33" s="11">
        <f t="shared" si="24"/>
        <v>539589901.97000003</v>
      </c>
      <c r="UU33" s="11">
        <f t="shared" si="24"/>
        <v>43815140.000000007</v>
      </c>
      <c r="UV33" s="11">
        <f t="shared" si="24"/>
        <v>112290589.93000002</v>
      </c>
      <c r="UW33" s="11">
        <f t="shared" si="24"/>
        <v>272854566.31999999</v>
      </c>
      <c r="UX33" s="11">
        <f t="shared" si="24"/>
        <v>78415308.580000013</v>
      </c>
      <c r="UY33" s="11">
        <f t="shared" si="24"/>
        <v>75984426.029999986</v>
      </c>
      <c r="UZ33" s="11">
        <f t="shared" si="24"/>
        <v>101592375.88</v>
      </c>
      <c r="VA33" s="11">
        <f t="shared" si="24"/>
        <v>129491794.60000002</v>
      </c>
      <c r="VB33" s="11">
        <f t="shared" si="24"/>
        <v>268828657.40999997</v>
      </c>
      <c r="VC33" s="11">
        <f t="shared" si="24"/>
        <v>128598861.84000002</v>
      </c>
      <c r="VD33" s="11">
        <f t="shared" si="24"/>
        <v>219689625.28000003</v>
      </c>
      <c r="VE33" s="11">
        <f t="shared" si="24"/>
        <v>71074243.910000011</v>
      </c>
      <c r="VF33" s="11">
        <f t="shared" si="24"/>
        <v>72418088.320000008</v>
      </c>
      <c r="VG33" s="11">
        <f t="shared" ref="VG33:XR33" si="25">SUM(VG18:VG32)</f>
        <v>58587582.630000003</v>
      </c>
      <c r="VH33" s="11">
        <f t="shared" si="25"/>
        <v>69488167.569999993</v>
      </c>
      <c r="VI33" s="11">
        <f t="shared" si="25"/>
        <v>304726263.26999998</v>
      </c>
      <c r="VJ33" s="11">
        <f t="shared" si="25"/>
        <v>58678233.390000001</v>
      </c>
      <c r="VK33" s="11">
        <f t="shared" si="25"/>
        <v>55156415.350000001</v>
      </c>
      <c r="VL33" s="11">
        <f t="shared" si="25"/>
        <v>38214167.519999996</v>
      </c>
      <c r="VM33" s="11">
        <f t="shared" si="25"/>
        <v>1512978887.6000001</v>
      </c>
      <c r="VN33" s="11">
        <f t="shared" si="25"/>
        <v>97129377.169999987</v>
      </c>
      <c r="VO33" s="11">
        <f t="shared" si="25"/>
        <v>99428549.090000004</v>
      </c>
      <c r="VP33" s="11">
        <f t="shared" si="25"/>
        <v>168922548.07000002</v>
      </c>
      <c r="VQ33" s="11">
        <f t="shared" si="25"/>
        <v>216194105.28999996</v>
      </c>
      <c r="VR33" s="11">
        <f t="shared" si="25"/>
        <v>169373269.41999996</v>
      </c>
      <c r="VS33" s="11">
        <f t="shared" si="25"/>
        <v>127230598.45</v>
      </c>
      <c r="VT33" s="11">
        <f t="shared" si="25"/>
        <v>107519909.57000001</v>
      </c>
      <c r="VU33" s="11">
        <f t="shared" si="25"/>
        <v>94849394.400000006</v>
      </c>
      <c r="VV33" s="11">
        <f t="shared" si="25"/>
        <v>432453035.12</v>
      </c>
      <c r="VW33" s="11">
        <f t="shared" si="25"/>
        <v>97120454.299999997</v>
      </c>
      <c r="VX33" s="11">
        <f t="shared" si="25"/>
        <v>235867695.10000002</v>
      </c>
      <c r="VY33" s="11">
        <f t="shared" si="25"/>
        <v>105347471.24000001</v>
      </c>
      <c r="VZ33" s="11">
        <f t="shared" si="25"/>
        <v>83897557.420000002</v>
      </c>
      <c r="WA33" s="11">
        <f t="shared" si="25"/>
        <v>63727642.269999988</v>
      </c>
      <c r="WB33" s="11">
        <f t="shared" si="25"/>
        <v>4521851254.1899996</v>
      </c>
      <c r="WC33" s="11">
        <f t="shared" si="25"/>
        <v>205144319.53999999</v>
      </c>
      <c r="WD33" s="11">
        <f t="shared" si="25"/>
        <v>134555835.68000001</v>
      </c>
      <c r="WE33" s="11">
        <f t="shared" si="25"/>
        <v>110503062.96999998</v>
      </c>
      <c r="WF33" s="11">
        <f t="shared" si="25"/>
        <v>68867272.069999993</v>
      </c>
      <c r="WG33" s="11">
        <f t="shared" si="25"/>
        <v>142479723.13</v>
      </c>
      <c r="WH33" s="11">
        <f t="shared" si="25"/>
        <v>213169654.10999998</v>
      </c>
      <c r="WI33" s="11">
        <f t="shared" si="25"/>
        <v>228701386.08999997</v>
      </c>
      <c r="WJ33" s="11">
        <f t="shared" si="25"/>
        <v>124493561.99999997</v>
      </c>
      <c r="WK33" s="11">
        <f t="shared" si="25"/>
        <v>184249029.22999999</v>
      </c>
      <c r="WL33" s="11">
        <f t="shared" si="25"/>
        <v>100255638.40999998</v>
      </c>
      <c r="WM33" s="11">
        <f t="shared" si="25"/>
        <v>367476525.12999994</v>
      </c>
      <c r="WN33" s="11">
        <f t="shared" si="25"/>
        <v>129422001.78999999</v>
      </c>
      <c r="WO33" s="11">
        <f t="shared" si="25"/>
        <v>219440127.15000001</v>
      </c>
      <c r="WP33" s="11">
        <f t="shared" si="25"/>
        <v>320712964.18000001</v>
      </c>
      <c r="WQ33" s="11">
        <f t="shared" si="25"/>
        <v>125552409.53</v>
      </c>
      <c r="WR33" s="11">
        <f t="shared" si="25"/>
        <v>161343265.98000002</v>
      </c>
      <c r="WS33" s="11">
        <f t="shared" si="25"/>
        <v>168927221.47000003</v>
      </c>
      <c r="WT33" s="11">
        <f t="shared" si="25"/>
        <v>95019316.879999995</v>
      </c>
      <c r="WU33" s="11">
        <f t="shared" si="25"/>
        <v>264479146.56</v>
      </c>
      <c r="WV33" s="11">
        <f t="shared" si="25"/>
        <v>609544981.51000011</v>
      </c>
      <c r="WW33" s="11">
        <f t="shared" si="25"/>
        <v>113040495.74000001</v>
      </c>
      <c r="WX33" s="11">
        <f t="shared" si="25"/>
        <v>80685911.929999977</v>
      </c>
      <c r="WY33" s="11">
        <f t="shared" si="25"/>
        <v>68795970.75999999</v>
      </c>
      <c r="WZ33" s="11">
        <f t="shared" si="25"/>
        <v>82481204.580000013</v>
      </c>
      <c r="XA33" s="11">
        <f t="shared" si="25"/>
        <v>62115415.349999994</v>
      </c>
      <c r="XB33" s="11">
        <f t="shared" si="25"/>
        <v>74149142.049999997</v>
      </c>
      <c r="XC33" s="11">
        <f t="shared" si="25"/>
        <v>81336806.669999987</v>
      </c>
      <c r="XD33" s="11">
        <f t="shared" si="25"/>
        <v>474898505.63</v>
      </c>
      <c r="XE33" s="11">
        <f t="shared" si="25"/>
        <v>62577748.349999994</v>
      </c>
      <c r="XF33" s="11">
        <f t="shared" si="25"/>
        <v>46883701.050000004</v>
      </c>
      <c r="XG33" s="11">
        <f t="shared" si="25"/>
        <v>46195184.469999991</v>
      </c>
      <c r="XH33" s="11">
        <f t="shared" si="25"/>
        <v>50940472.240000002</v>
      </c>
      <c r="XI33" s="11">
        <f t="shared" si="25"/>
        <v>2224471585.4799995</v>
      </c>
      <c r="XJ33" s="11">
        <f t="shared" si="25"/>
        <v>193155819.52000001</v>
      </c>
      <c r="XK33" s="11">
        <f t="shared" si="25"/>
        <v>203897853.35999998</v>
      </c>
      <c r="XL33" s="11">
        <f t="shared" si="25"/>
        <v>678953583.21000004</v>
      </c>
      <c r="XM33" s="11">
        <f t="shared" si="25"/>
        <v>146111425.22</v>
      </c>
      <c r="XN33" s="11">
        <f t="shared" si="25"/>
        <v>181103469.76999998</v>
      </c>
      <c r="XO33" s="11">
        <f t="shared" si="25"/>
        <v>334617473.9600001</v>
      </c>
      <c r="XP33" s="11">
        <f t="shared" si="25"/>
        <v>169949714.19</v>
      </c>
      <c r="XQ33" s="11">
        <f t="shared" si="25"/>
        <v>143124729.75</v>
      </c>
      <c r="XR33" s="11">
        <f t="shared" si="25"/>
        <v>331311841</v>
      </c>
      <c r="XS33" s="11">
        <f t="shared" ref="XS33:AAD33" si="26">SUM(XS18:XS32)</f>
        <v>286717819.94999999</v>
      </c>
      <c r="XT33" s="11">
        <f t="shared" si="26"/>
        <v>98333385.12000002</v>
      </c>
      <c r="XU33" s="11">
        <f t="shared" si="26"/>
        <v>96606873.289999992</v>
      </c>
      <c r="XV33" s="11">
        <f t="shared" si="26"/>
        <v>120936500.25999999</v>
      </c>
      <c r="XW33" s="11">
        <f t="shared" si="26"/>
        <v>109067899.45000002</v>
      </c>
      <c r="XX33" s="11">
        <f t="shared" si="26"/>
        <v>98336177.669999987</v>
      </c>
      <c r="XY33" s="11">
        <f t="shared" si="26"/>
        <v>70140459.829999983</v>
      </c>
      <c r="XZ33" s="11">
        <f t="shared" si="26"/>
        <v>91622810.120000005</v>
      </c>
      <c r="YA33" s="11">
        <f t="shared" si="26"/>
        <v>80698959.219999984</v>
      </c>
      <c r="YB33" s="11">
        <f t="shared" si="26"/>
        <v>74858140.390000001</v>
      </c>
      <c r="YC33" s="11">
        <f t="shared" si="26"/>
        <v>88090066.039999992</v>
      </c>
      <c r="YD33" s="11">
        <f t="shared" si="26"/>
        <v>77674959.870000005</v>
      </c>
      <c r="YE33" s="11">
        <f t="shared" si="26"/>
        <v>103616344.47999999</v>
      </c>
      <c r="YF33" s="11">
        <f t="shared" si="26"/>
        <v>2310216690.5900006</v>
      </c>
      <c r="YG33" s="11">
        <f t="shared" si="26"/>
        <v>117026793.56000002</v>
      </c>
      <c r="YH33" s="11">
        <f t="shared" si="26"/>
        <v>221036633.29000005</v>
      </c>
      <c r="YI33" s="11">
        <f t="shared" si="26"/>
        <v>102591307.10999998</v>
      </c>
      <c r="YJ33" s="11">
        <f t="shared" si="26"/>
        <v>483012291.9199999</v>
      </c>
      <c r="YK33" s="11">
        <f t="shared" si="26"/>
        <v>142848205.64999998</v>
      </c>
      <c r="YL33" s="11">
        <f t="shared" si="26"/>
        <v>217832981.02000001</v>
      </c>
      <c r="YM33" s="11">
        <f t="shared" si="26"/>
        <v>74167034.020000011</v>
      </c>
      <c r="YN33" s="11">
        <f t="shared" si="26"/>
        <v>495789513.98000002</v>
      </c>
      <c r="YO33" s="11">
        <f t="shared" si="26"/>
        <v>289423401.61000007</v>
      </c>
      <c r="YP33" s="11">
        <f t="shared" si="26"/>
        <v>154110829.53999999</v>
      </c>
      <c r="YQ33" s="11">
        <f t="shared" si="26"/>
        <v>100444131.19000001</v>
      </c>
      <c r="YR33" s="11">
        <f t="shared" si="26"/>
        <v>89316343.5</v>
      </c>
      <c r="YS33" s="11">
        <f t="shared" si="26"/>
        <v>81197031.640000001</v>
      </c>
      <c r="YT33" s="11">
        <f t="shared" si="26"/>
        <v>63992430.809999995</v>
      </c>
      <c r="YU33" s="11">
        <f t="shared" si="26"/>
        <v>63267442.279999994</v>
      </c>
      <c r="YV33" s="11">
        <f t="shared" si="26"/>
        <v>58081800.120000005</v>
      </c>
      <c r="YW33" s="11">
        <f t="shared" si="26"/>
        <v>922282143.97000003</v>
      </c>
      <c r="YX33" s="11">
        <f t="shared" si="26"/>
        <v>110806183.24999999</v>
      </c>
      <c r="YY33" s="11">
        <f t="shared" si="26"/>
        <v>94009440.810000002</v>
      </c>
      <c r="YZ33" s="11">
        <f t="shared" si="26"/>
        <v>80092935.109999999</v>
      </c>
      <c r="ZA33" s="11">
        <f t="shared" si="26"/>
        <v>114839807.61000001</v>
      </c>
      <c r="ZB33" s="11">
        <f t="shared" si="26"/>
        <v>61757640.149999991</v>
      </c>
      <c r="ZC33" s="11">
        <f t="shared" si="26"/>
        <v>78108167.909999996</v>
      </c>
      <c r="ZD33" s="11">
        <f t="shared" si="26"/>
        <v>945412372.80000007</v>
      </c>
      <c r="ZE33" s="11">
        <f t="shared" si="26"/>
        <v>68538418.74000001</v>
      </c>
      <c r="ZF33" s="11">
        <f t="shared" si="26"/>
        <v>126281780.53999999</v>
      </c>
      <c r="ZG33" s="11">
        <f t="shared" si="26"/>
        <v>118874682.15249999</v>
      </c>
      <c r="ZH33" s="11">
        <f t="shared" si="26"/>
        <v>71127442.819999993</v>
      </c>
      <c r="ZI33" s="11">
        <f t="shared" si="26"/>
        <v>90194539.659999996</v>
      </c>
      <c r="ZJ33" s="11">
        <f t="shared" si="26"/>
        <v>67486504.579999983</v>
      </c>
      <c r="ZK33" s="11">
        <f t="shared" si="26"/>
        <v>60942199.110000007</v>
      </c>
      <c r="ZL33" s="11">
        <f t="shared" si="26"/>
        <v>224984358.02999997</v>
      </c>
      <c r="ZM33" s="11">
        <f t="shared" si="26"/>
        <v>1648470180.8399999</v>
      </c>
      <c r="ZN33" s="11">
        <f t="shared" si="26"/>
        <v>82550737.950000003</v>
      </c>
      <c r="ZO33" s="11">
        <f t="shared" si="26"/>
        <v>210688398.53999999</v>
      </c>
      <c r="ZP33" s="11">
        <f t="shared" si="26"/>
        <v>613710265.97000003</v>
      </c>
      <c r="ZQ33" s="11">
        <f t="shared" si="26"/>
        <v>267060549.24000001</v>
      </c>
      <c r="ZR33" s="11">
        <f t="shared" si="26"/>
        <v>106309916.87000003</v>
      </c>
      <c r="ZS33" s="11">
        <f t="shared" si="26"/>
        <v>122571934.88</v>
      </c>
      <c r="ZT33" s="11">
        <f t="shared" si="26"/>
        <v>200993441.56</v>
      </c>
      <c r="ZU33" s="11">
        <f t="shared" si="26"/>
        <v>207374090.33000001</v>
      </c>
      <c r="ZV33" s="11">
        <f t="shared" si="26"/>
        <v>257426251.99999997</v>
      </c>
      <c r="ZW33" s="11">
        <f t="shared" si="26"/>
        <v>57381319.309999995</v>
      </c>
      <c r="ZX33" s="11">
        <f t="shared" si="26"/>
        <v>83847974.299999997</v>
      </c>
      <c r="ZY33" s="11">
        <f t="shared" si="26"/>
        <v>93462602.349999994</v>
      </c>
      <c r="ZZ33" s="11">
        <f t="shared" si="26"/>
        <v>192462345.20999998</v>
      </c>
      <c r="AAA33" s="11">
        <f t="shared" si="26"/>
        <v>91676177.25999999</v>
      </c>
      <c r="AAB33" s="11">
        <f t="shared" si="26"/>
        <v>85079285.370000005</v>
      </c>
      <c r="AAC33" s="11">
        <f t="shared" si="26"/>
        <v>99067626.849999979</v>
      </c>
      <c r="AAD33" s="11">
        <f t="shared" si="26"/>
        <v>73454131.980000004</v>
      </c>
      <c r="AAE33" s="11">
        <f t="shared" ref="AAE33:ACO33" si="27">SUM(AAE18:AAE32)</f>
        <v>78834480.430000022</v>
      </c>
      <c r="AAF33" s="11">
        <f t="shared" si="27"/>
        <v>63178564.350000001</v>
      </c>
      <c r="AAG33" s="11">
        <f t="shared" si="27"/>
        <v>56153595.649999999</v>
      </c>
      <c r="AAH33" s="11">
        <f t="shared" si="27"/>
        <v>54523617.200000003</v>
      </c>
      <c r="AAI33" s="11">
        <f t="shared" si="27"/>
        <v>851327203.80000019</v>
      </c>
      <c r="AAJ33" s="11">
        <f t="shared" si="27"/>
        <v>82815839.780000001</v>
      </c>
      <c r="AAK33" s="11">
        <f t="shared" si="27"/>
        <v>88320517.189999998</v>
      </c>
      <c r="AAL33" s="11">
        <f t="shared" si="27"/>
        <v>81368005.890000001</v>
      </c>
      <c r="AAM33" s="11">
        <f t="shared" si="27"/>
        <v>73309012.87000002</v>
      </c>
      <c r="AAN33" s="11">
        <f t="shared" si="27"/>
        <v>120965794.84000002</v>
      </c>
      <c r="AAO33" s="11">
        <f t="shared" si="27"/>
        <v>79074307.5</v>
      </c>
      <c r="AAP33" s="11">
        <f t="shared" si="27"/>
        <v>3379278100.8100004</v>
      </c>
      <c r="AAQ33" s="11">
        <f t="shared" si="27"/>
        <v>116057274.72999999</v>
      </c>
      <c r="AAR33" s="11">
        <f t="shared" si="27"/>
        <v>72572372.830000013</v>
      </c>
      <c r="AAS33" s="11">
        <f t="shared" si="27"/>
        <v>241846998.14000002</v>
      </c>
      <c r="AAT33" s="11">
        <f t="shared" si="27"/>
        <v>149466461.26999998</v>
      </c>
      <c r="AAU33" s="11">
        <f t="shared" si="27"/>
        <v>98493635.37000002</v>
      </c>
      <c r="AAV33" s="11">
        <f t="shared" si="27"/>
        <v>122284870.73</v>
      </c>
      <c r="AAW33" s="11">
        <f t="shared" si="27"/>
        <v>172447293.59</v>
      </c>
      <c r="AAX33" s="11">
        <f t="shared" si="27"/>
        <v>333025833.27999997</v>
      </c>
      <c r="AAY33" s="11">
        <f t="shared" si="27"/>
        <v>82228217.469999984</v>
      </c>
      <c r="AAZ33" s="11">
        <f t="shared" si="27"/>
        <v>155158132.80999997</v>
      </c>
      <c r="ABA33" s="11">
        <f t="shared" si="27"/>
        <v>504845931.27999997</v>
      </c>
      <c r="ABB33" s="11">
        <f t="shared" si="27"/>
        <v>288694261.37999994</v>
      </c>
      <c r="ABC33" s="11">
        <f t="shared" si="27"/>
        <v>62291715.390000001</v>
      </c>
      <c r="ABD33" s="11">
        <f t="shared" si="27"/>
        <v>95388975.790000007</v>
      </c>
      <c r="ABE33" s="11">
        <f t="shared" si="27"/>
        <v>86297985.310000017</v>
      </c>
      <c r="ABF33" s="11">
        <f t="shared" si="27"/>
        <v>51060602.949999996</v>
      </c>
      <c r="ABG33" s="11">
        <f t="shared" si="27"/>
        <v>88104231.139999986</v>
      </c>
      <c r="ABH33" s="11">
        <f t="shared" si="27"/>
        <v>62048867.780000001</v>
      </c>
      <c r="ABI33" s="11">
        <f t="shared" si="27"/>
        <v>686041610.3900001</v>
      </c>
      <c r="ABJ33" s="11">
        <f t="shared" si="27"/>
        <v>538458802.13999999</v>
      </c>
      <c r="ABK33" s="11">
        <f t="shared" si="27"/>
        <v>65259030.460000016</v>
      </c>
      <c r="ABL33" s="11">
        <f t="shared" si="27"/>
        <v>55959572.259999998</v>
      </c>
      <c r="ABM33" s="11">
        <f t="shared" si="27"/>
        <v>60037406.949999996</v>
      </c>
      <c r="ABN33" s="11">
        <f t="shared" si="27"/>
        <v>56610103.539999999</v>
      </c>
      <c r="ABO33" s="11">
        <f t="shared" si="27"/>
        <v>46989066.07</v>
      </c>
      <c r="ABP33" s="11">
        <f t="shared" si="27"/>
        <v>984075201.19999993</v>
      </c>
      <c r="ABQ33" s="11">
        <f t="shared" si="27"/>
        <v>128113735.81</v>
      </c>
      <c r="ABR33" s="11">
        <f t="shared" si="27"/>
        <v>94625285.810000002</v>
      </c>
      <c r="ABS33" s="11">
        <f t="shared" si="27"/>
        <v>175624158.09999996</v>
      </c>
      <c r="ABT33" s="11">
        <f t="shared" si="27"/>
        <v>149686139.06</v>
      </c>
      <c r="ABU33" s="11">
        <f t="shared" si="27"/>
        <v>113353373.00999999</v>
      </c>
      <c r="ABV33" s="11">
        <f t="shared" si="27"/>
        <v>80514195.689999998</v>
      </c>
      <c r="ABW33" s="11">
        <f t="shared" si="27"/>
        <v>129330502.15000001</v>
      </c>
      <c r="ABX33" s="11">
        <f t="shared" si="27"/>
        <v>29629769.610000003</v>
      </c>
      <c r="ABY33" s="11">
        <f t="shared" si="27"/>
        <v>1000399458.8109999</v>
      </c>
      <c r="ABZ33" s="11">
        <f t="shared" si="27"/>
        <v>82242860.13000001</v>
      </c>
      <c r="ACA33" s="11">
        <f t="shared" si="27"/>
        <v>154766650.59</v>
      </c>
      <c r="ACB33" s="11">
        <f t="shared" si="27"/>
        <v>76939767.799999982</v>
      </c>
      <c r="ACC33" s="11">
        <f t="shared" si="27"/>
        <v>65132912.550000004</v>
      </c>
      <c r="ACD33" s="11">
        <f t="shared" si="27"/>
        <v>269472149.16000003</v>
      </c>
      <c r="ACE33" s="11">
        <f t="shared" si="27"/>
        <v>64250577.600000001</v>
      </c>
      <c r="ACF33" s="11">
        <f t="shared" si="27"/>
        <v>97147590.179999977</v>
      </c>
      <c r="ACG33" s="11">
        <f t="shared" si="27"/>
        <v>68639225.330000013</v>
      </c>
      <c r="ACH33" s="11">
        <f t="shared" si="27"/>
        <v>104627850.63999999</v>
      </c>
      <c r="ACI33" s="11">
        <f t="shared" si="27"/>
        <v>64700330.359999992</v>
      </c>
      <c r="ACJ33" s="11">
        <f t="shared" si="27"/>
        <v>2260525904.9499998</v>
      </c>
      <c r="ACK33" s="11">
        <f t="shared" si="27"/>
        <v>82730595.140000001</v>
      </c>
      <c r="ACL33" s="11">
        <f t="shared" si="27"/>
        <v>113071155.35000001</v>
      </c>
      <c r="ACM33" s="11">
        <f t="shared" si="27"/>
        <v>170254078.27000004</v>
      </c>
      <c r="ACN33" s="11">
        <f t="shared" si="27"/>
        <v>74245832.420000002</v>
      </c>
      <c r="ACO33" s="11">
        <f t="shared" si="27"/>
        <v>106185676.25000001</v>
      </c>
      <c r="ACP33" s="11">
        <f t="shared" ref="ACP33:AEY33" si="28">SUM(ACP18:ACP32)</f>
        <v>153645061.53000003</v>
      </c>
      <c r="ACQ33" s="11">
        <f t="shared" si="28"/>
        <v>514472581.33000004</v>
      </c>
      <c r="ACR33" s="11">
        <f t="shared" si="28"/>
        <v>625780686.75999999</v>
      </c>
      <c r="ACS33" s="11">
        <f t="shared" si="28"/>
        <v>91355333.139999986</v>
      </c>
      <c r="ACT33" s="11">
        <f t="shared" si="28"/>
        <v>114850177.97000001</v>
      </c>
      <c r="ACU33" s="11">
        <f t="shared" si="28"/>
        <v>160263161.05000001</v>
      </c>
      <c r="ACV33" s="11">
        <f t="shared" si="28"/>
        <v>111482435.75</v>
      </c>
      <c r="ACW33" s="11">
        <f t="shared" si="28"/>
        <v>568213919.34000003</v>
      </c>
      <c r="ACX33" s="11">
        <f t="shared" si="28"/>
        <v>120894353.63999999</v>
      </c>
      <c r="ACY33" s="11">
        <f t="shared" si="28"/>
        <v>127461219.98999999</v>
      </c>
      <c r="ACZ33" s="11">
        <f t="shared" si="28"/>
        <v>94999624.120000005</v>
      </c>
      <c r="ADA33" s="11">
        <f t="shared" si="28"/>
        <v>54140827.240000002</v>
      </c>
      <c r="ADB33" s="11">
        <f t="shared" si="28"/>
        <v>72904194.38000001</v>
      </c>
      <c r="ADC33" s="11">
        <f t="shared" si="28"/>
        <v>59936776.230000004</v>
      </c>
      <c r="ADD33" s="11">
        <f t="shared" si="28"/>
        <v>59795817.660000004</v>
      </c>
      <c r="ADE33" s="11">
        <f t="shared" si="28"/>
        <v>52120262.780000001</v>
      </c>
      <c r="ADF33" s="11">
        <f t="shared" si="28"/>
        <v>65138044.289999999</v>
      </c>
      <c r="ADG33" s="11">
        <f t="shared" si="28"/>
        <v>417210263.37</v>
      </c>
      <c r="ADH33" s="11">
        <f t="shared" si="28"/>
        <v>387590685.37000006</v>
      </c>
      <c r="ADI33" s="11">
        <f t="shared" si="28"/>
        <v>63787402.489999995</v>
      </c>
      <c r="ADJ33" s="11">
        <f t="shared" si="28"/>
        <v>52599736.420000002</v>
      </c>
      <c r="ADK33" s="11">
        <f t="shared" si="28"/>
        <v>99718170.710000008</v>
      </c>
      <c r="ADL33" s="11">
        <f t="shared" si="28"/>
        <v>33953234.030000001</v>
      </c>
      <c r="ADM33" s="11">
        <f t="shared" si="28"/>
        <v>80600604.219999999</v>
      </c>
      <c r="ADN33" s="11">
        <f t="shared" si="28"/>
        <v>63151791.479999997</v>
      </c>
      <c r="ADO33" s="11">
        <f t="shared" si="28"/>
        <v>84302001.710000023</v>
      </c>
      <c r="ADP33" s="11">
        <f t="shared" si="28"/>
        <v>2028461153.52</v>
      </c>
      <c r="ADQ33" s="11">
        <f t="shared" si="28"/>
        <v>240937720.27000001</v>
      </c>
      <c r="ADR33" s="11">
        <f t="shared" si="28"/>
        <v>248053647.19999999</v>
      </c>
      <c r="ADS33" s="11">
        <f t="shared" si="28"/>
        <v>106966794.62</v>
      </c>
      <c r="ADT33" s="11">
        <f t="shared" si="28"/>
        <v>745003253.1500001</v>
      </c>
      <c r="ADU33" s="11">
        <f t="shared" si="28"/>
        <v>50341734.680000007</v>
      </c>
      <c r="ADV33" s="11">
        <f t="shared" si="28"/>
        <v>60700756.469999999</v>
      </c>
      <c r="ADW33" s="11">
        <f t="shared" si="28"/>
        <v>99325581.159999996</v>
      </c>
      <c r="ADX33" s="11">
        <f t="shared" si="28"/>
        <v>53405275.159999996</v>
      </c>
      <c r="ADY33" s="11">
        <f t="shared" si="28"/>
        <v>34233982.149999991</v>
      </c>
      <c r="ADZ33" s="11">
        <f t="shared" si="28"/>
        <v>2466431927.4200006</v>
      </c>
      <c r="AEA33" s="11">
        <f t="shared" si="28"/>
        <v>437172652.32999998</v>
      </c>
      <c r="AEB33" s="11">
        <f t="shared" si="28"/>
        <v>342552263.38999999</v>
      </c>
      <c r="AEC33" s="11">
        <f t="shared" si="28"/>
        <v>93115327.269999996</v>
      </c>
      <c r="AED33" s="11">
        <f t="shared" si="28"/>
        <v>110477496.69999997</v>
      </c>
      <c r="AEE33" s="11">
        <f t="shared" si="28"/>
        <v>167292715.97999999</v>
      </c>
      <c r="AEF33" s="11">
        <f t="shared" si="28"/>
        <v>106165008.22000001</v>
      </c>
      <c r="AEG33" s="11">
        <f t="shared" si="28"/>
        <v>124544234.94999999</v>
      </c>
      <c r="AEH33" s="11">
        <f t="shared" si="28"/>
        <v>85360786.600000009</v>
      </c>
      <c r="AEI33" s="11">
        <f t="shared" si="28"/>
        <v>98340527.349999979</v>
      </c>
      <c r="AEJ33" s="11">
        <f t="shared" si="28"/>
        <v>125032549.42999999</v>
      </c>
      <c r="AEK33" s="11">
        <f t="shared" si="28"/>
        <v>229363966.03999999</v>
      </c>
      <c r="AEL33" s="11">
        <f t="shared" si="28"/>
        <v>86671461.980000004</v>
      </c>
      <c r="AEM33" s="11">
        <f t="shared" si="28"/>
        <v>124747033.52</v>
      </c>
      <c r="AEN33" s="11">
        <f t="shared" si="28"/>
        <v>144909014.15000001</v>
      </c>
      <c r="AEO33" s="11">
        <f t="shared" si="28"/>
        <v>186119516.03</v>
      </c>
      <c r="AEP33" s="11">
        <f t="shared" si="28"/>
        <v>80112400.589999989</v>
      </c>
      <c r="AEQ33" s="11">
        <f t="shared" si="28"/>
        <v>214658303.12999997</v>
      </c>
      <c r="AER33" s="11">
        <f t="shared" si="28"/>
        <v>60139338.329999998</v>
      </c>
      <c r="AES33" s="11">
        <f t="shared" si="28"/>
        <v>217022359.51000002</v>
      </c>
      <c r="AET33" s="11">
        <f t="shared" si="28"/>
        <v>1980853025.5200005</v>
      </c>
      <c r="AEU33" s="11">
        <f t="shared" si="28"/>
        <v>176769722.64999998</v>
      </c>
      <c r="AEV33" s="11">
        <f t="shared" si="28"/>
        <v>183367793.50999999</v>
      </c>
      <c r="AEW33" s="11">
        <f t="shared" si="28"/>
        <v>126518910.28999999</v>
      </c>
      <c r="AEX33" s="11">
        <f t="shared" si="28"/>
        <v>98140675.830000013</v>
      </c>
      <c r="AEY33" s="11">
        <f t="shared" si="28"/>
        <v>263639418.60999998</v>
      </c>
      <c r="AEZ33" s="11">
        <f t="shared" ref="AEZ33:AHJ33" si="29">SUM(AEZ18:AEZ32)</f>
        <v>93380885.739999995</v>
      </c>
      <c r="AFA33" s="11">
        <f t="shared" si="29"/>
        <v>127042796.89999999</v>
      </c>
      <c r="AFB33" s="11">
        <f t="shared" si="29"/>
        <v>90974649.700000003</v>
      </c>
      <c r="AFC33" s="11">
        <f t="shared" si="29"/>
        <v>53273430.759999998</v>
      </c>
      <c r="AFD33" s="11">
        <f t="shared" si="29"/>
        <v>1154005036</v>
      </c>
      <c r="AFE33" s="11">
        <f t="shared" si="29"/>
        <v>523449005.20999986</v>
      </c>
      <c r="AFF33" s="11">
        <f t="shared" si="29"/>
        <v>195006361.78</v>
      </c>
      <c r="AFG33" s="11">
        <f t="shared" si="29"/>
        <v>137731333.32999998</v>
      </c>
      <c r="AFH33" s="11">
        <f t="shared" si="29"/>
        <v>270332940.62</v>
      </c>
      <c r="AFI33" s="11">
        <f t="shared" si="29"/>
        <v>175087941.64999998</v>
      </c>
      <c r="AFJ33" s="11">
        <f t="shared" si="29"/>
        <v>109724479.56000002</v>
      </c>
      <c r="AFK33" s="11">
        <f t="shared" si="29"/>
        <v>135357624.81999996</v>
      </c>
      <c r="AFL33" s="11">
        <f t="shared" si="29"/>
        <v>83741897.560000017</v>
      </c>
      <c r="AFM33" s="11">
        <f t="shared" si="29"/>
        <v>135390212.16000003</v>
      </c>
      <c r="AFN33" s="11">
        <f t="shared" si="29"/>
        <v>121022327.72</v>
      </c>
      <c r="AFO33" s="11">
        <f t="shared" si="29"/>
        <v>110984750.06000003</v>
      </c>
      <c r="AFP33" s="11">
        <f t="shared" si="29"/>
        <v>149172932.43999997</v>
      </c>
      <c r="AFQ33" s="11">
        <f t="shared" si="29"/>
        <v>961639769.96999979</v>
      </c>
      <c r="AFR33" s="11">
        <f t="shared" si="29"/>
        <v>224185962.76000005</v>
      </c>
      <c r="AFS33" s="11">
        <f t="shared" si="29"/>
        <v>144733932.35999998</v>
      </c>
      <c r="AFT33" s="11">
        <f t="shared" si="29"/>
        <v>120109615.91999997</v>
      </c>
      <c r="AFU33" s="11">
        <f t="shared" si="29"/>
        <v>147450415.81999999</v>
      </c>
      <c r="AFV33" s="11">
        <f t="shared" si="29"/>
        <v>99834600.75</v>
      </c>
      <c r="AFW33" s="11">
        <f t="shared" si="29"/>
        <v>74884121.860000014</v>
      </c>
      <c r="AFX33" s="11">
        <f t="shared" si="29"/>
        <v>189447992.95999995</v>
      </c>
      <c r="AFY33" s="11">
        <f t="shared" si="29"/>
        <v>167088047.68000004</v>
      </c>
      <c r="AFZ33" s="11">
        <f t="shared" si="29"/>
        <v>77379930.250000015</v>
      </c>
      <c r="AGA33" s="11">
        <f t="shared" si="29"/>
        <v>193077907.48999998</v>
      </c>
      <c r="AGB33" s="11">
        <f t="shared" si="29"/>
        <v>84132774.359999999</v>
      </c>
      <c r="AGC33" s="11">
        <f t="shared" si="29"/>
        <v>1241305547.04</v>
      </c>
      <c r="AGD33" s="11">
        <f t="shared" si="29"/>
        <v>107227520.08</v>
      </c>
      <c r="AGE33" s="11">
        <f t="shared" si="29"/>
        <v>109292820.25999999</v>
      </c>
      <c r="AGF33" s="11">
        <f t="shared" si="29"/>
        <v>93193635.229999989</v>
      </c>
      <c r="AGG33" s="11">
        <f t="shared" si="29"/>
        <v>282129674.99999994</v>
      </c>
      <c r="AGH33" s="11">
        <f t="shared" si="29"/>
        <v>111857214.46000001</v>
      </c>
      <c r="AGI33" s="11">
        <f t="shared" si="29"/>
        <v>82957722.159999982</v>
      </c>
      <c r="AGJ33" s="11">
        <f t="shared" si="29"/>
        <v>100239494.95999999</v>
      </c>
      <c r="AGK33" s="11">
        <f t="shared" si="29"/>
        <v>74960021.260000005</v>
      </c>
      <c r="AGL33" s="11">
        <f t="shared" si="29"/>
        <v>98215307.600000009</v>
      </c>
      <c r="AGM33" s="11">
        <f t="shared" si="29"/>
        <v>66320429.920000002</v>
      </c>
      <c r="AGN33" s="11">
        <f t="shared" si="29"/>
        <v>1515031571.0499997</v>
      </c>
      <c r="AGO33" s="11">
        <f t="shared" si="29"/>
        <v>314984971.71000004</v>
      </c>
      <c r="AGP33" s="11">
        <f t="shared" si="29"/>
        <v>169043248.69</v>
      </c>
      <c r="AGQ33" s="11">
        <f t="shared" si="29"/>
        <v>85832725.640000001</v>
      </c>
      <c r="AGR33" s="11">
        <f t="shared" si="29"/>
        <v>220427328.17000005</v>
      </c>
      <c r="AGS33" s="11">
        <f t="shared" si="29"/>
        <v>168997675.70999998</v>
      </c>
      <c r="AGT33" s="11">
        <f t="shared" si="29"/>
        <v>75954678.480000019</v>
      </c>
      <c r="AGU33" s="11">
        <f t="shared" si="29"/>
        <v>89482364.790000007</v>
      </c>
      <c r="AGV33" s="11">
        <f t="shared" si="29"/>
        <v>2231004561.0699997</v>
      </c>
      <c r="AGW33" s="11">
        <f t="shared" si="29"/>
        <v>1308191266.9999998</v>
      </c>
      <c r="AGX33" s="11">
        <f t="shared" si="29"/>
        <v>105010040.46999998</v>
      </c>
      <c r="AGY33" s="11">
        <f t="shared" si="29"/>
        <v>267745231.28</v>
      </c>
      <c r="AGZ33" s="11">
        <f t="shared" si="29"/>
        <v>375078656.75999999</v>
      </c>
      <c r="AHA33" s="11">
        <f t="shared" si="29"/>
        <v>195629963.16000003</v>
      </c>
      <c r="AHB33" s="11">
        <f t="shared" si="29"/>
        <v>172469624.91000003</v>
      </c>
      <c r="AHC33" s="11">
        <f t="shared" si="29"/>
        <v>154931312.05000004</v>
      </c>
      <c r="AHD33" s="11">
        <f t="shared" si="29"/>
        <v>54793410.720000006</v>
      </c>
      <c r="AHE33" s="11">
        <f t="shared" si="29"/>
        <v>143034717.80000001</v>
      </c>
      <c r="AHF33" s="11">
        <f t="shared" si="29"/>
        <v>165991341.19</v>
      </c>
      <c r="AHG33" s="11">
        <f t="shared" si="29"/>
        <v>86232326.530000016</v>
      </c>
      <c r="AHH33" s="11">
        <f t="shared" si="29"/>
        <v>78652268.63000001</v>
      </c>
      <c r="AHI33" s="11">
        <f t="shared" si="29"/>
        <v>100901564.00000001</v>
      </c>
      <c r="AHJ33" s="11">
        <f t="shared" si="29"/>
        <v>90246318.356700003</v>
      </c>
      <c r="AHK33" s="11">
        <f t="shared" ref="AHK33:AHL33" si="30">SUM(AHK18:AHK32)</f>
        <v>105884029.86</v>
      </c>
      <c r="AHL33" s="11">
        <f t="shared" si="30"/>
        <v>89699717.649999991</v>
      </c>
      <c r="AHM33" s="11">
        <f t="shared" ref="AHM33:AHT33" si="31">SUM(AHM18:AHM32)</f>
        <v>676612722.5</v>
      </c>
      <c r="AHN33" s="11">
        <f t="shared" si="31"/>
        <v>102642359.17</v>
      </c>
      <c r="AHO33" s="11">
        <f t="shared" si="31"/>
        <v>97505800.590000004</v>
      </c>
      <c r="AHP33" s="11">
        <f t="shared" si="31"/>
        <v>98009932.640000015</v>
      </c>
      <c r="AHQ33" s="11">
        <f t="shared" si="31"/>
        <v>197394833.42999998</v>
      </c>
      <c r="AHR33" s="11">
        <f t="shared" si="31"/>
        <v>85494847.569999993</v>
      </c>
      <c r="AHS33" s="11">
        <f t="shared" si="31"/>
        <v>57371495.539999999</v>
      </c>
      <c r="AHT33" s="11">
        <f t="shared" si="31"/>
        <v>247696985673.24966</v>
      </c>
      <c r="AHU33" s="11"/>
    </row>
    <row r="34" spans="2:905" x14ac:dyDescent="0.7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</row>
    <row r="35" spans="2:905" x14ac:dyDescent="0.7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</row>
    <row r="36" spans="2:905" x14ac:dyDescent="0.7">
      <c r="B36" s="6" t="s">
        <v>43</v>
      </c>
      <c r="C36" s="6" t="s">
        <v>6384</v>
      </c>
      <c r="D36" s="11">
        <v>991641486.02999985</v>
      </c>
      <c r="E36" s="11">
        <v>48868136.20000001</v>
      </c>
      <c r="F36" s="11">
        <v>53380600.939999998</v>
      </c>
      <c r="G36" s="11">
        <v>5585632.169999999</v>
      </c>
      <c r="H36" s="11">
        <v>103555820.00000001</v>
      </c>
      <c r="I36" s="11">
        <v>43034220.38000001</v>
      </c>
      <c r="J36" s="11">
        <v>371859307.83000004</v>
      </c>
      <c r="K36" s="11">
        <v>97275846.219999969</v>
      </c>
      <c r="L36" s="11">
        <v>44878091.989999987</v>
      </c>
      <c r="M36" s="11">
        <v>33315914.909999993</v>
      </c>
      <c r="N36" s="11">
        <v>47904693.160000011</v>
      </c>
      <c r="O36" s="11">
        <v>27690982.540000003</v>
      </c>
      <c r="P36" s="11">
        <v>144204735.35999998</v>
      </c>
      <c r="Q36" s="11">
        <v>22907251.150000002</v>
      </c>
      <c r="R36" s="11">
        <v>17053767.099999998</v>
      </c>
      <c r="S36" s="11">
        <v>7339483.4000000013</v>
      </c>
      <c r="T36" s="11">
        <v>72724777.250000015</v>
      </c>
      <c r="U36" s="11">
        <v>8729439.7400000021</v>
      </c>
      <c r="V36" s="11">
        <v>1536520133.6999991</v>
      </c>
      <c r="W36" s="11">
        <v>170224964.68000001</v>
      </c>
      <c r="X36" s="11">
        <v>42513320.510000005</v>
      </c>
      <c r="Y36" s="11">
        <v>155584612.17000002</v>
      </c>
      <c r="Z36" s="11">
        <v>19246157.529999979</v>
      </c>
      <c r="AA36" s="11">
        <v>61241011.249999963</v>
      </c>
      <c r="AB36" s="11">
        <v>10058585.169999998</v>
      </c>
      <c r="AC36" s="11">
        <v>210778080.60000002</v>
      </c>
      <c r="AD36" s="11">
        <v>65202413.600000016</v>
      </c>
      <c r="AE36" s="11">
        <v>21376844.480000008</v>
      </c>
      <c r="AF36" s="11">
        <v>31392790.519999973</v>
      </c>
      <c r="AG36" s="11">
        <v>30449866.650000013</v>
      </c>
      <c r="AH36" s="11">
        <v>168351214.3899999</v>
      </c>
      <c r="AI36" s="11">
        <v>6438569.5100000007</v>
      </c>
      <c r="AJ36" s="11">
        <v>34418518.460000008</v>
      </c>
      <c r="AK36" s="11">
        <v>25058103.270000007</v>
      </c>
      <c r="AL36" s="11">
        <v>84326996.399999976</v>
      </c>
      <c r="AM36" s="11">
        <v>2311586.410000002</v>
      </c>
      <c r="AN36" s="11">
        <v>78665503.199999988</v>
      </c>
      <c r="AO36" s="11">
        <v>27544399.969999991</v>
      </c>
      <c r="AP36" s="11">
        <v>8499552.2400000002</v>
      </c>
      <c r="AQ36" s="11">
        <v>11426567.810000002</v>
      </c>
      <c r="AR36" s="11">
        <v>7274302.3300000038</v>
      </c>
      <c r="AS36" s="11">
        <v>-121341.84000000112</v>
      </c>
      <c r="AT36" s="11">
        <v>447816489.98999995</v>
      </c>
      <c r="AU36" s="11">
        <v>21928898.909999993</v>
      </c>
      <c r="AV36" s="11">
        <v>15957882.49</v>
      </c>
      <c r="AW36" s="11">
        <v>29783837.779999986</v>
      </c>
      <c r="AX36" s="11">
        <v>24089069.150000002</v>
      </c>
      <c r="AY36" s="11">
        <v>16252879.050000004</v>
      </c>
      <c r="AZ36" s="11">
        <v>33626955.189999975</v>
      </c>
      <c r="BA36" s="11">
        <v>26509792.000000004</v>
      </c>
      <c r="BB36" s="11">
        <v>13925004.730000008</v>
      </c>
      <c r="BC36" s="11">
        <v>19990852.870000001</v>
      </c>
      <c r="BD36" s="11">
        <v>26245254.150000002</v>
      </c>
      <c r="BE36" s="11">
        <v>7768009.0399999954</v>
      </c>
      <c r="BF36" s="11">
        <v>29715542.610000007</v>
      </c>
      <c r="BG36" s="11">
        <v>10363113.349999996</v>
      </c>
      <c r="BH36" s="11">
        <v>32274865.300000012</v>
      </c>
      <c r="BI36" s="11">
        <v>403274722.07999992</v>
      </c>
      <c r="BJ36" s="11">
        <v>256815582.57000008</v>
      </c>
      <c r="BK36" s="11">
        <v>34592466.540000007</v>
      </c>
      <c r="BL36" s="11">
        <v>32017947.880000014</v>
      </c>
      <c r="BM36" s="11">
        <v>54691745.850000009</v>
      </c>
      <c r="BN36" s="11">
        <v>20150599.649999984</v>
      </c>
      <c r="BO36" s="11">
        <v>19686662.730000004</v>
      </c>
      <c r="BP36" s="11">
        <v>23379645.540000003</v>
      </c>
      <c r="BQ36" s="11">
        <v>15468197.140000012</v>
      </c>
      <c r="BR36" s="11">
        <v>394523079.2100001</v>
      </c>
      <c r="BS36" s="11">
        <v>13184687.090000007</v>
      </c>
      <c r="BT36" s="11">
        <v>20925517.960000001</v>
      </c>
      <c r="BU36" s="11">
        <v>67396625.979999989</v>
      </c>
      <c r="BV36" s="11">
        <v>26450408.049999993</v>
      </c>
      <c r="BW36" s="11">
        <v>11606219.92</v>
      </c>
      <c r="BX36" s="11">
        <v>24208119.48</v>
      </c>
      <c r="BY36" s="11">
        <v>18066496.120000005</v>
      </c>
      <c r="BZ36" s="11">
        <v>190057363.61000007</v>
      </c>
      <c r="CA36" s="11">
        <v>10650990.660000002</v>
      </c>
      <c r="CB36" s="11">
        <v>3799799.419999999</v>
      </c>
      <c r="CC36" s="11">
        <v>72782705.140000001</v>
      </c>
      <c r="CD36" s="11">
        <v>17984388.479999989</v>
      </c>
      <c r="CE36" s="11">
        <v>35835937.94000002</v>
      </c>
      <c r="CF36" s="11">
        <v>8732925.1999999899</v>
      </c>
      <c r="CG36" s="11">
        <v>2079524212.0900004</v>
      </c>
      <c r="CH36" s="11">
        <v>23864275.519999992</v>
      </c>
      <c r="CI36" s="11">
        <v>81325994.600000039</v>
      </c>
      <c r="CJ36" s="11">
        <v>13506885.089999996</v>
      </c>
      <c r="CK36" s="11">
        <v>37600109.450000018</v>
      </c>
      <c r="CL36" s="11">
        <v>4870233.3400000017</v>
      </c>
      <c r="CM36" s="11">
        <v>30210028.070000008</v>
      </c>
      <c r="CN36" s="11">
        <v>42570368.18999999</v>
      </c>
      <c r="CO36" s="11">
        <v>14288567.370000001</v>
      </c>
      <c r="CP36" s="11">
        <v>10674640.669999996</v>
      </c>
      <c r="CQ36" s="11">
        <v>14452613.959999997</v>
      </c>
      <c r="CR36" s="11">
        <v>18723768.109999988</v>
      </c>
      <c r="CS36" s="11">
        <v>14233159.330000002</v>
      </c>
      <c r="CT36" s="11">
        <v>631992057.42999995</v>
      </c>
      <c r="CU36" s="11">
        <v>45611604.200000033</v>
      </c>
      <c r="CV36" s="11">
        <v>56430946.430000015</v>
      </c>
      <c r="CW36" s="11">
        <v>40025876.370000012</v>
      </c>
      <c r="CX36" s="11">
        <v>34508775.390000015</v>
      </c>
      <c r="CY36" s="11">
        <v>59332837.759999983</v>
      </c>
      <c r="CZ36" s="11">
        <v>14622342.629999997</v>
      </c>
      <c r="DA36" s="11">
        <v>8176076.2299999967</v>
      </c>
      <c r="DB36" s="11">
        <v>259377475.88999978</v>
      </c>
      <c r="DC36" s="11">
        <v>580555267.99999976</v>
      </c>
      <c r="DD36" s="11">
        <v>78825873.700000003</v>
      </c>
      <c r="DE36" s="11">
        <v>36172602.699999988</v>
      </c>
      <c r="DF36" s="11">
        <v>87522236.130000025</v>
      </c>
      <c r="DG36" s="11">
        <v>119250459.28</v>
      </c>
      <c r="DH36" s="11">
        <v>209246366.78000009</v>
      </c>
      <c r="DI36" s="11">
        <v>16655344.989999996</v>
      </c>
      <c r="DJ36" s="11">
        <v>97664842.420000032</v>
      </c>
      <c r="DK36" s="11">
        <v>1116786399.7699995</v>
      </c>
      <c r="DL36" s="11">
        <v>61867059.700000025</v>
      </c>
      <c r="DM36" s="11">
        <v>174140104.60000005</v>
      </c>
      <c r="DN36" s="11">
        <v>95799510.839999974</v>
      </c>
      <c r="DO36" s="11">
        <v>120980822.04980002</v>
      </c>
      <c r="DP36" s="11">
        <v>98490954.720000058</v>
      </c>
      <c r="DQ36" s="11">
        <v>354074670.28999996</v>
      </c>
      <c r="DR36" s="11">
        <v>62355186.600100003</v>
      </c>
      <c r="DS36" s="11">
        <v>164390553.93000007</v>
      </c>
      <c r="DT36" s="11">
        <v>334420633.21999997</v>
      </c>
      <c r="DU36" s="11">
        <v>22119187.170000006</v>
      </c>
      <c r="DV36" s="11">
        <v>162457289.95000002</v>
      </c>
      <c r="DW36" s="11">
        <v>169677851.54000002</v>
      </c>
      <c r="DX36" s="11">
        <v>58623527.500000022</v>
      </c>
      <c r="DY36" s="11">
        <v>157279021.11000001</v>
      </c>
      <c r="DZ36" s="11">
        <v>80693045.289999992</v>
      </c>
      <c r="EA36" s="11">
        <v>44029366.059999995</v>
      </c>
      <c r="EB36" s="11">
        <v>67583632.429999948</v>
      </c>
      <c r="EC36" s="11">
        <v>38803232.25</v>
      </c>
      <c r="ED36" s="11">
        <v>37548543.840000033</v>
      </c>
      <c r="EE36" s="11">
        <v>458395737.46999997</v>
      </c>
      <c r="EF36" s="11">
        <v>330009034.71000004</v>
      </c>
      <c r="EG36" s="11">
        <v>55977883.849999987</v>
      </c>
      <c r="EH36" s="11">
        <v>24762227.259999994</v>
      </c>
      <c r="EI36" s="11">
        <v>57303463.909999989</v>
      </c>
      <c r="EJ36" s="11">
        <v>82067173.990000024</v>
      </c>
      <c r="EK36" s="11">
        <v>78372119.099999979</v>
      </c>
      <c r="EL36" s="11">
        <v>23403071.819999997</v>
      </c>
      <c r="EM36" s="11">
        <v>44466049.109999999</v>
      </c>
      <c r="EN36" s="11">
        <v>514804250.34999967</v>
      </c>
      <c r="EO36" s="11">
        <v>68507980.699999988</v>
      </c>
      <c r="EP36" s="11">
        <v>42972461.549999967</v>
      </c>
      <c r="EQ36" s="11">
        <v>37200924.070000015</v>
      </c>
      <c r="ER36" s="11">
        <v>27332294.980000012</v>
      </c>
      <c r="ES36" s="11">
        <v>47185567.429999985</v>
      </c>
      <c r="ET36" s="11">
        <v>37859400.960000008</v>
      </c>
      <c r="EU36" s="11">
        <v>55887571.430000044</v>
      </c>
      <c r="EV36" s="11">
        <v>58804208.340000011</v>
      </c>
      <c r="EW36" s="11">
        <v>426379592.80999994</v>
      </c>
      <c r="EX36" s="11">
        <v>45488773.789999999</v>
      </c>
      <c r="EY36" s="11">
        <v>49451717.24000001</v>
      </c>
      <c r="EZ36" s="11">
        <v>80945136.189999983</v>
      </c>
      <c r="FA36" s="11">
        <v>82340957.669999987</v>
      </c>
      <c r="FB36" s="11">
        <v>53278392.289999984</v>
      </c>
      <c r="FC36" s="11">
        <v>70577871.019999996</v>
      </c>
      <c r="FD36" s="11">
        <v>32604281.000000015</v>
      </c>
      <c r="FE36" s="11">
        <v>47471661.840000018</v>
      </c>
      <c r="FF36" s="11">
        <v>62778131.800000012</v>
      </c>
      <c r="FG36" s="11">
        <v>29610426.979999982</v>
      </c>
      <c r="FH36" s="11">
        <v>51162605.93999999</v>
      </c>
      <c r="FI36" s="11">
        <v>287777662.49000007</v>
      </c>
      <c r="FJ36" s="11">
        <v>21544383.25999999</v>
      </c>
      <c r="FK36" s="11">
        <v>35812973.289999984</v>
      </c>
      <c r="FL36" s="11">
        <v>54932613.240000017</v>
      </c>
      <c r="FM36" s="11">
        <v>51819512.970000073</v>
      </c>
      <c r="FN36" s="11">
        <v>44984596.760000005</v>
      </c>
      <c r="FO36" s="11">
        <v>10886090.070000006</v>
      </c>
      <c r="FP36" s="11">
        <v>15890363.270000001</v>
      </c>
      <c r="FQ36" s="11">
        <v>2509935279.2099981</v>
      </c>
      <c r="FR36" s="11">
        <v>48286228.629999973</v>
      </c>
      <c r="FS36" s="11">
        <v>68934415.099999964</v>
      </c>
      <c r="FT36" s="11">
        <v>63960866.549999982</v>
      </c>
      <c r="FU36" s="11">
        <v>103343442.85000001</v>
      </c>
      <c r="FV36" s="11">
        <v>55069231.439999998</v>
      </c>
      <c r="FW36" s="11">
        <v>80849894.35999997</v>
      </c>
      <c r="FX36" s="11">
        <v>44401026.359999992</v>
      </c>
      <c r="FY36" s="11">
        <v>98377219.919999927</v>
      </c>
      <c r="FZ36" s="11">
        <v>85875085.13000001</v>
      </c>
      <c r="GA36" s="11">
        <v>95341301.780000046</v>
      </c>
      <c r="GB36" s="11">
        <v>34097962.020000018</v>
      </c>
      <c r="GC36" s="11">
        <v>49906420.099999979</v>
      </c>
      <c r="GD36" s="11">
        <v>51497569.589999996</v>
      </c>
      <c r="GE36" s="11">
        <v>277148542.9600001</v>
      </c>
      <c r="GF36" s="11">
        <v>73760199.500000015</v>
      </c>
      <c r="GG36" s="11">
        <v>54858053.159999967</v>
      </c>
      <c r="GH36" s="11">
        <v>48316306.040000014</v>
      </c>
      <c r="GI36" s="11">
        <v>85846045.919999972</v>
      </c>
      <c r="GJ36" s="11">
        <v>74055794.579999998</v>
      </c>
      <c r="GK36" s="11">
        <v>49190263.739999995</v>
      </c>
      <c r="GL36" s="11">
        <v>101593892.14999999</v>
      </c>
      <c r="GM36" s="11">
        <v>53462290.619999997</v>
      </c>
      <c r="GN36" s="11">
        <v>24908877.859999996</v>
      </c>
      <c r="GO36" s="11">
        <v>22315605.619999997</v>
      </c>
      <c r="GP36" s="11">
        <v>18630814.470000006</v>
      </c>
      <c r="GQ36" s="11">
        <v>502543241.98000002</v>
      </c>
      <c r="GR36" s="11">
        <v>108745745.30999999</v>
      </c>
      <c r="GS36" s="11">
        <v>42189208.17999997</v>
      </c>
      <c r="GT36" s="11">
        <v>91908708.150000006</v>
      </c>
      <c r="GU36" s="11">
        <v>11502091.699999999</v>
      </c>
      <c r="GV36" s="11">
        <v>116122362.38999999</v>
      </c>
      <c r="GW36" s="11">
        <v>56607386.670000017</v>
      </c>
      <c r="GX36" s="11">
        <v>34664689.960000016</v>
      </c>
      <c r="GY36" s="11">
        <v>342432477.33000004</v>
      </c>
      <c r="GZ36" s="11">
        <v>21673691.270000003</v>
      </c>
      <c r="HA36" s="11">
        <v>106494710.68000004</v>
      </c>
      <c r="HB36" s="11">
        <v>63530264.160000011</v>
      </c>
      <c r="HC36" s="11">
        <v>1159165521.3900001</v>
      </c>
      <c r="HD36" s="11">
        <v>197879101.87999985</v>
      </c>
      <c r="HE36" s="11">
        <v>51167544.939999983</v>
      </c>
      <c r="HF36" s="11">
        <v>334510430.22999984</v>
      </c>
      <c r="HG36" s="11">
        <v>77617889.38000001</v>
      </c>
      <c r="HH36" s="11">
        <v>248599798.16000012</v>
      </c>
      <c r="HI36" s="11">
        <v>94203137.279999986</v>
      </c>
      <c r="HJ36" s="11">
        <v>22550882.030000012</v>
      </c>
      <c r="HK36" s="11">
        <v>1189675304.2700005</v>
      </c>
      <c r="HL36" s="11">
        <v>37999724.920000009</v>
      </c>
      <c r="HM36" s="11">
        <v>172499989.67999989</v>
      </c>
      <c r="HN36" s="11">
        <v>166423809.44</v>
      </c>
      <c r="HO36" s="11">
        <v>49561022.719999999</v>
      </c>
      <c r="HP36" s="11">
        <v>195306386.89000008</v>
      </c>
      <c r="HQ36" s="11">
        <v>64821303.439999968</v>
      </c>
      <c r="HR36" s="11">
        <v>65257378.82000003</v>
      </c>
      <c r="HS36" s="11">
        <v>440317351.50999987</v>
      </c>
      <c r="HT36" s="11">
        <v>142580725.65999997</v>
      </c>
      <c r="HU36" s="11">
        <v>75484620.459999964</v>
      </c>
      <c r="HV36" s="11">
        <v>164823667.88000005</v>
      </c>
      <c r="HW36" s="11">
        <v>71091005.319999978</v>
      </c>
      <c r="HX36" s="11">
        <v>24348392.559999999</v>
      </c>
      <c r="HY36" s="11">
        <v>227283583.04999992</v>
      </c>
      <c r="HZ36" s="11">
        <v>29569134.189999998</v>
      </c>
      <c r="IA36" s="11">
        <v>88374943.020000011</v>
      </c>
      <c r="IB36" s="11">
        <v>79001432.210000008</v>
      </c>
      <c r="IC36" s="11">
        <v>77442451.799999982</v>
      </c>
      <c r="ID36" s="11">
        <v>181966342.19000006</v>
      </c>
      <c r="IE36" s="11">
        <v>23892676.730000008</v>
      </c>
      <c r="IF36" s="11">
        <v>181780233.59000003</v>
      </c>
      <c r="IG36" s="11">
        <v>40815167.280000009</v>
      </c>
      <c r="IH36" s="11">
        <v>17587224.009999994</v>
      </c>
      <c r="II36" s="11">
        <v>635185070.31999993</v>
      </c>
      <c r="IJ36" s="11">
        <v>46643585.979999982</v>
      </c>
      <c r="IK36" s="11">
        <v>94920704.619999975</v>
      </c>
      <c r="IL36" s="11">
        <v>103592322.69000004</v>
      </c>
      <c r="IM36" s="11">
        <v>65351059.940000072</v>
      </c>
      <c r="IN36" s="11">
        <v>101848327.00000006</v>
      </c>
      <c r="IO36" s="11">
        <v>36192831.979999982</v>
      </c>
      <c r="IP36" s="11">
        <v>23471327.759999998</v>
      </c>
      <c r="IQ36" s="11">
        <v>52087472.039999984</v>
      </c>
      <c r="IR36" s="11">
        <v>47043710.689999998</v>
      </c>
      <c r="IS36" s="11">
        <v>78344196.390000015</v>
      </c>
      <c r="IT36" s="11">
        <v>934087453.4599998</v>
      </c>
      <c r="IU36" s="11">
        <v>125495219.33000012</v>
      </c>
      <c r="IV36" s="11">
        <v>295708530.71999997</v>
      </c>
      <c r="IW36" s="11">
        <v>88656325.200000003</v>
      </c>
      <c r="IX36" s="11">
        <v>113714919.41000001</v>
      </c>
      <c r="IY36" s="11">
        <v>52168676.93</v>
      </c>
      <c r="IZ36" s="11">
        <v>19281239.646099996</v>
      </c>
      <c r="JA36" s="11">
        <v>35782522.61999999</v>
      </c>
      <c r="JB36" s="11">
        <v>26106009.420000006</v>
      </c>
      <c r="JC36" s="11">
        <v>55244437.130000077</v>
      </c>
      <c r="JD36" s="11">
        <v>159375619.16000012</v>
      </c>
      <c r="JE36" s="11">
        <v>27122759.449999988</v>
      </c>
      <c r="JF36" s="11">
        <v>312326233.75000012</v>
      </c>
      <c r="JG36" s="11">
        <v>97108038.490000024</v>
      </c>
      <c r="JH36" s="11">
        <v>26222026.019999988</v>
      </c>
      <c r="JI36" s="11">
        <v>9651442.1799999997</v>
      </c>
      <c r="JJ36" s="11">
        <v>23540943.57</v>
      </c>
      <c r="JK36" s="11">
        <v>77553652.330000013</v>
      </c>
      <c r="JL36" s="11">
        <v>441994469.09000021</v>
      </c>
      <c r="JM36" s="11">
        <v>259253151.53999999</v>
      </c>
      <c r="JN36" s="11">
        <v>140622442.42000008</v>
      </c>
      <c r="JO36" s="11">
        <v>161851411.34000006</v>
      </c>
      <c r="JP36" s="11">
        <v>46385689.249999978</v>
      </c>
      <c r="JQ36" s="11">
        <v>175349136.0099999</v>
      </c>
      <c r="JR36" s="11">
        <v>51047233.669999994</v>
      </c>
      <c r="JS36" s="11">
        <v>839290341.60000002</v>
      </c>
      <c r="JT36" s="11">
        <v>637030419.17000031</v>
      </c>
      <c r="JU36" s="11">
        <v>94086126.890000015</v>
      </c>
      <c r="JV36" s="11">
        <v>26320052.059999991</v>
      </c>
      <c r="JW36" s="11">
        <v>87907846.190000027</v>
      </c>
      <c r="JX36" s="11">
        <v>12854477.140000002</v>
      </c>
      <c r="JY36" s="11">
        <v>95703957.889999956</v>
      </c>
      <c r="JZ36" s="11">
        <v>84624051.50000003</v>
      </c>
      <c r="KA36" s="11">
        <v>73702018.250000045</v>
      </c>
      <c r="KB36" s="11">
        <v>34720048.360000007</v>
      </c>
      <c r="KC36" s="11">
        <v>81059169.289999992</v>
      </c>
      <c r="KD36" s="11">
        <v>70483913.309999973</v>
      </c>
      <c r="KE36" s="11">
        <v>16860238.409999993</v>
      </c>
      <c r="KF36" s="11">
        <v>20355968.380000003</v>
      </c>
      <c r="KG36" s="11">
        <v>41499400.970000014</v>
      </c>
      <c r="KH36" s="11">
        <v>11002388.75999999</v>
      </c>
      <c r="KI36" s="11">
        <v>1627703035.0900009</v>
      </c>
      <c r="KJ36" s="11">
        <v>99945172.655000016</v>
      </c>
      <c r="KK36" s="11">
        <v>87935947.450000003</v>
      </c>
      <c r="KL36" s="11">
        <v>124721001.94000013</v>
      </c>
      <c r="KM36" s="11">
        <v>155976016.91999999</v>
      </c>
      <c r="KN36" s="11">
        <v>122805161.31000002</v>
      </c>
      <c r="KO36" s="11">
        <v>49733570.670000017</v>
      </c>
      <c r="KP36" s="11">
        <v>136160415.60999998</v>
      </c>
      <c r="KQ36" s="11">
        <v>100862550.40000001</v>
      </c>
      <c r="KR36" s="11">
        <v>226181668.6400001</v>
      </c>
      <c r="KS36" s="11">
        <v>90673300.090000004</v>
      </c>
      <c r="KT36" s="11">
        <v>57854909.860000022</v>
      </c>
      <c r="KU36" s="11">
        <v>303473735.46999979</v>
      </c>
      <c r="KV36" s="11">
        <v>57452005.510000043</v>
      </c>
      <c r="KW36" s="11">
        <v>185929341.32999998</v>
      </c>
      <c r="KX36" s="11">
        <v>659037637.14999998</v>
      </c>
      <c r="KY36" s="11">
        <v>215114342.69</v>
      </c>
      <c r="KZ36" s="11">
        <v>962751765.20999968</v>
      </c>
      <c r="LA36" s="11">
        <v>152917391.91000003</v>
      </c>
      <c r="LB36" s="11">
        <v>75725524.419999987</v>
      </c>
      <c r="LC36" s="11">
        <v>227940677.51999995</v>
      </c>
      <c r="LD36" s="11">
        <v>227253899.53999996</v>
      </c>
      <c r="LE36" s="11">
        <v>116993689.00999999</v>
      </c>
      <c r="LF36" s="11">
        <v>145274848.71999994</v>
      </c>
      <c r="LG36" s="11">
        <v>130522863.03</v>
      </c>
      <c r="LH36" s="11">
        <v>1641063644.5200002</v>
      </c>
      <c r="LI36" s="11">
        <v>239716261.03</v>
      </c>
      <c r="LJ36" s="11">
        <v>714995697.06000018</v>
      </c>
      <c r="LK36" s="11">
        <v>433573905.87000012</v>
      </c>
      <c r="LL36" s="11">
        <v>93755942.880000025</v>
      </c>
      <c r="LM36" s="11">
        <v>50097534.799999997</v>
      </c>
      <c r="LN36" s="11">
        <v>44862847.230000012</v>
      </c>
      <c r="LO36" s="11">
        <v>87202101.330000043</v>
      </c>
      <c r="LP36" s="11">
        <v>22098686.239999983</v>
      </c>
      <c r="LQ36" s="11">
        <v>124189258.72000001</v>
      </c>
      <c r="LR36" s="11">
        <v>26191411.590000004</v>
      </c>
      <c r="LS36" s="11">
        <v>267625739.77000004</v>
      </c>
      <c r="LT36" s="11">
        <v>101636270.31999998</v>
      </c>
      <c r="LU36" s="11">
        <v>70768327.089999989</v>
      </c>
      <c r="LV36" s="11">
        <v>2009588342.3000019</v>
      </c>
      <c r="LW36" s="11">
        <v>727237769.92999971</v>
      </c>
      <c r="LX36" s="11">
        <v>1106758506.579999</v>
      </c>
      <c r="LY36" s="11">
        <v>395615831.32999986</v>
      </c>
      <c r="LZ36" s="11">
        <v>84634855.590000018</v>
      </c>
      <c r="MA36" s="11">
        <v>205745961.11999995</v>
      </c>
      <c r="MB36" s="11">
        <v>163724748.74000007</v>
      </c>
      <c r="MC36" s="11">
        <v>107193013.68000002</v>
      </c>
      <c r="MD36" s="11">
        <v>140300456.55000001</v>
      </c>
      <c r="ME36" s="11">
        <v>227539120.84</v>
      </c>
      <c r="MF36" s="11">
        <v>125522149.48999999</v>
      </c>
      <c r="MG36" s="11">
        <v>75884543.779999986</v>
      </c>
      <c r="MH36" s="11">
        <v>1211981773.9999993</v>
      </c>
      <c r="MI36" s="11">
        <v>60283105.539999984</v>
      </c>
      <c r="MJ36" s="11">
        <v>60585229.709999986</v>
      </c>
      <c r="MK36" s="11">
        <v>40984925.730000012</v>
      </c>
      <c r="ML36" s="11">
        <v>54538103.710000001</v>
      </c>
      <c r="MM36" s="11">
        <v>75217767.929999977</v>
      </c>
      <c r="MN36" s="11">
        <v>19460789.860000007</v>
      </c>
      <c r="MO36" s="11">
        <v>36084021.140000008</v>
      </c>
      <c r="MP36" s="11">
        <v>47392048.019999996</v>
      </c>
      <c r="MQ36" s="11">
        <v>38521028.940000005</v>
      </c>
      <c r="MR36" s="11">
        <v>30518887.760000009</v>
      </c>
      <c r="MS36" s="11">
        <v>52151965.596999995</v>
      </c>
      <c r="MT36" s="11">
        <v>744849003.32000029</v>
      </c>
      <c r="MU36" s="11">
        <v>57243697.719999976</v>
      </c>
      <c r="MV36" s="11">
        <v>285548111.27999991</v>
      </c>
      <c r="MW36" s="11">
        <v>155929897.94000012</v>
      </c>
      <c r="MX36" s="11">
        <v>108840930.50000003</v>
      </c>
      <c r="MY36" s="11">
        <v>177844320.84999999</v>
      </c>
      <c r="MZ36" s="11">
        <v>552941220.98999989</v>
      </c>
      <c r="NA36" s="11">
        <v>151754380.91799998</v>
      </c>
      <c r="NB36" s="11">
        <v>175626541.59000003</v>
      </c>
      <c r="NC36" s="11">
        <v>38280808.670000017</v>
      </c>
      <c r="ND36" s="11">
        <v>50752607.320000008</v>
      </c>
      <c r="NE36" s="11">
        <v>2619873631.9100008</v>
      </c>
      <c r="NF36" s="11">
        <v>705897374.3100003</v>
      </c>
      <c r="NG36" s="11">
        <v>70737843.339999989</v>
      </c>
      <c r="NH36" s="11">
        <v>949115405.62999988</v>
      </c>
      <c r="NI36" s="11">
        <v>61445560.179999992</v>
      </c>
      <c r="NJ36" s="11">
        <v>166617131.15999997</v>
      </c>
      <c r="NK36" s="11">
        <v>487989603.29999995</v>
      </c>
      <c r="NL36" s="11">
        <v>490341320.77999979</v>
      </c>
      <c r="NM36" s="11">
        <v>39562581.190000013</v>
      </c>
      <c r="NN36" s="11">
        <v>391160472.06</v>
      </c>
      <c r="NO36" s="11">
        <v>180171439.57999998</v>
      </c>
      <c r="NP36" s="11">
        <v>110377700.93000002</v>
      </c>
      <c r="NQ36" s="11">
        <v>417544788.42000014</v>
      </c>
      <c r="NR36" s="11">
        <v>43754038.110000014</v>
      </c>
      <c r="NS36" s="11">
        <v>38385385.649999999</v>
      </c>
      <c r="NT36" s="11">
        <v>66307118.98999998</v>
      </c>
      <c r="NU36" s="11">
        <v>56816885.999999985</v>
      </c>
      <c r="NV36" s="11">
        <v>15228617.57</v>
      </c>
      <c r="NW36" s="11">
        <v>33676470.489999987</v>
      </c>
      <c r="NX36" s="11">
        <v>1182144244.51</v>
      </c>
      <c r="NY36" s="11">
        <v>620156072.25000036</v>
      </c>
      <c r="NZ36" s="11">
        <v>101574686.58999999</v>
      </c>
      <c r="OA36" s="11">
        <v>27289637.870000008</v>
      </c>
      <c r="OB36" s="11">
        <v>44035575.030000024</v>
      </c>
      <c r="OC36" s="11">
        <v>108576643.34999996</v>
      </c>
      <c r="OD36" s="11">
        <v>16359965.370000005</v>
      </c>
      <c r="OE36" s="11">
        <v>1400661400.1399994</v>
      </c>
      <c r="OF36" s="11">
        <v>107640241.57999998</v>
      </c>
      <c r="OG36" s="11">
        <v>100518543.97000001</v>
      </c>
      <c r="OH36" s="11">
        <v>320758103.15000021</v>
      </c>
      <c r="OI36" s="11">
        <v>52224662.450000018</v>
      </c>
      <c r="OJ36" s="11">
        <v>208182921.65000001</v>
      </c>
      <c r="OK36" s="11">
        <v>369119761.51000005</v>
      </c>
      <c r="OL36" s="11">
        <v>29194686.639999997</v>
      </c>
      <c r="OM36" s="11">
        <v>270126427.89999992</v>
      </c>
      <c r="ON36" s="11">
        <v>1606483863.0199995</v>
      </c>
      <c r="OO36" s="11">
        <v>323393993.81</v>
      </c>
      <c r="OP36" s="11">
        <v>779197219.96000051</v>
      </c>
      <c r="OQ36" s="11">
        <v>230561229.37000003</v>
      </c>
      <c r="OR36" s="11">
        <v>83557572.650000006</v>
      </c>
      <c r="OS36" s="11">
        <v>114621111.52000001</v>
      </c>
      <c r="OT36" s="11">
        <v>978460256.66999912</v>
      </c>
      <c r="OU36" s="11">
        <v>79261644.389999971</v>
      </c>
      <c r="OV36" s="11">
        <v>137406735.72999996</v>
      </c>
      <c r="OW36" s="11">
        <v>131479842.56999993</v>
      </c>
      <c r="OX36" s="11">
        <v>111588268.66000003</v>
      </c>
      <c r="OY36" s="11">
        <v>543418182.8599999</v>
      </c>
      <c r="OZ36" s="11">
        <v>84631800.720000044</v>
      </c>
      <c r="PA36" s="11">
        <v>98237973.249999985</v>
      </c>
      <c r="PB36" s="11">
        <v>93460394.74000001</v>
      </c>
      <c r="PC36" s="11">
        <v>601517183.16000021</v>
      </c>
      <c r="PD36" s="11">
        <v>34827487.280000016</v>
      </c>
      <c r="PE36" s="11">
        <v>75277619.499999985</v>
      </c>
      <c r="PF36" s="11">
        <v>21020104.020000003</v>
      </c>
      <c r="PG36" s="11">
        <v>91188237.599999934</v>
      </c>
      <c r="PH36" s="11">
        <v>252488463.61000007</v>
      </c>
      <c r="PI36" s="11">
        <v>44314094.020000003</v>
      </c>
      <c r="PJ36" s="11">
        <v>42045059.970000021</v>
      </c>
      <c r="PK36" s="11">
        <v>46513480.020000011</v>
      </c>
      <c r="PL36" s="11">
        <v>23612621.949999973</v>
      </c>
      <c r="PM36" s="11">
        <v>108441514.93000001</v>
      </c>
      <c r="PN36" s="11">
        <v>106447500.62999997</v>
      </c>
      <c r="PO36" s="11">
        <v>31151253.239999987</v>
      </c>
      <c r="PP36" s="11">
        <v>151884330.71000001</v>
      </c>
      <c r="PQ36" s="11">
        <v>22326596.450000007</v>
      </c>
      <c r="PR36" s="11">
        <v>34928375.939999998</v>
      </c>
      <c r="PS36" s="11">
        <v>37720036.990000002</v>
      </c>
      <c r="PT36" s="11">
        <v>45061748.550000012</v>
      </c>
      <c r="PU36" s="11">
        <v>932115911.47999883</v>
      </c>
      <c r="PV36" s="11">
        <v>47260787.909999959</v>
      </c>
      <c r="PW36" s="11">
        <v>17156766.039999999</v>
      </c>
      <c r="PX36" s="11">
        <v>131865614.06999993</v>
      </c>
      <c r="PY36" s="11">
        <v>348592376.74000001</v>
      </c>
      <c r="PZ36" s="11">
        <v>43236282.600000016</v>
      </c>
      <c r="QA36" s="11">
        <v>97905361.079999983</v>
      </c>
      <c r="QB36" s="11">
        <v>91732088.439999998</v>
      </c>
      <c r="QC36" s="11">
        <v>155890768.67000002</v>
      </c>
      <c r="QD36" s="11">
        <v>13933651.469999993</v>
      </c>
      <c r="QE36" s="11">
        <v>262077280.86000004</v>
      </c>
      <c r="QF36" s="11">
        <v>27041369.820000004</v>
      </c>
      <c r="QG36" s="11">
        <v>73367886.530000001</v>
      </c>
      <c r="QH36" s="11">
        <v>116445106.37000002</v>
      </c>
      <c r="QI36" s="11">
        <v>68319077.37999998</v>
      </c>
      <c r="QJ36" s="11">
        <v>84746526.599999994</v>
      </c>
      <c r="QK36" s="11">
        <v>14275749.139999997</v>
      </c>
      <c r="QL36" s="11">
        <v>24440985.360000011</v>
      </c>
      <c r="QM36" s="11">
        <v>7739788.4900000058</v>
      </c>
      <c r="QN36" s="11">
        <v>99882488.969999954</v>
      </c>
      <c r="QO36" s="11">
        <v>161142976.98999992</v>
      </c>
      <c r="QP36" s="11">
        <v>20834534.610000011</v>
      </c>
      <c r="QQ36" s="11">
        <v>16690485.950000003</v>
      </c>
      <c r="QR36" s="11">
        <v>1386894.8800000018</v>
      </c>
      <c r="QS36" s="11">
        <v>34756440.25999999</v>
      </c>
      <c r="QT36" s="11">
        <v>18718373.790000003</v>
      </c>
      <c r="QU36" s="11">
        <v>1194015703.5199993</v>
      </c>
      <c r="QV36" s="11">
        <v>20455584.769999996</v>
      </c>
      <c r="QW36" s="11">
        <v>262577935.92999998</v>
      </c>
      <c r="QX36" s="11">
        <v>49103839.289999999</v>
      </c>
      <c r="QY36" s="11">
        <v>72903764.020000026</v>
      </c>
      <c r="QZ36" s="11">
        <v>214985064.45000002</v>
      </c>
      <c r="RA36" s="11">
        <v>42133914.930000007</v>
      </c>
      <c r="RB36" s="11">
        <v>138604355.86000001</v>
      </c>
      <c r="RC36" s="11">
        <v>148747605.43000001</v>
      </c>
      <c r="RD36" s="11">
        <v>47381250.219999984</v>
      </c>
      <c r="RE36" s="11">
        <v>44371925.759999998</v>
      </c>
      <c r="RF36" s="11">
        <v>111383466.42999999</v>
      </c>
      <c r="RG36" s="11">
        <v>27274222.210000012</v>
      </c>
      <c r="RH36" s="11">
        <v>1547458970.5700006</v>
      </c>
      <c r="RI36" s="11">
        <v>156864222.13999996</v>
      </c>
      <c r="RJ36" s="11">
        <v>78492789.019999981</v>
      </c>
      <c r="RK36" s="11">
        <v>114646686.26999995</v>
      </c>
      <c r="RL36" s="11">
        <v>105190575.57999995</v>
      </c>
      <c r="RM36" s="11">
        <v>159103309.20999998</v>
      </c>
      <c r="RN36" s="11">
        <v>166695026.12999994</v>
      </c>
      <c r="RO36" s="11">
        <v>82012581.509999976</v>
      </c>
      <c r="RP36" s="11">
        <v>80623370.680000022</v>
      </c>
      <c r="RQ36" s="11">
        <v>81677031.74000001</v>
      </c>
      <c r="RR36" s="11">
        <v>314204466.34000015</v>
      </c>
      <c r="RS36" s="11">
        <v>35661905.510000035</v>
      </c>
      <c r="RT36" s="11">
        <v>32911935.499999996</v>
      </c>
      <c r="RU36" s="11">
        <v>51219929.880000032</v>
      </c>
      <c r="RV36" s="11">
        <v>21370819.639999989</v>
      </c>
      <c r="RW36" s="11">
        <v>51617058.12999998</v>
      </c>
      <c r="RX36" s="11">
        <v>78851326.74000001</v>
      </c>
      <c r="RY36" s="11">
        <v>77746525.800000042</v>
      </c>
      <c r="RZ36" s="11">
        <v>13234399.84</v>
      </c>
      <c r="SA36" s="11">
        <v>47297004.240000002</v>
      </c>
      <c r="SB36" s="11">
        <v>278424464.60999995</v>
      </c>
      <c r="SC36" s="11">
        <v>95039056.919999972</v>
      </c>
      <c r="SD36" s="11">
        <v>62463382.059999987</v>
      </c>
      <c r="SE36" s="11">
        <v>50485805.690000005</v>
      </c>
      <c r="SF36" s="11">
        <v>26562827.529999994</v>
      </c>
      <c r="SG36" s="11">
        <v>40826761.010000005</v>
      </c>
      <c r="SH36" s="11">
        <v>91838687.470000044</v>
      </c>
      <c r="SI36" s="11">
        <v>118613962.27999991</v>
      </c>
      <c r="SJ36" s="11">
        <v>56454380.910000034</v>
      </c>
      <c r="SK36" s="11">
        <v>80402508.340000004</v>
      </c>
      <c r="SL36" s="11">
        <v>70516685.129999965</v>
      </c>
      <c r="SM36" s="11">
        <v>20643995.049999997</v>
      </c>
      <c r="SN36" s="11">
        <v>262861684.71000004</v>
      </c>
      <c r="SO36" s="11">
        <v>63048324.630000018</v>
      </c>
      <c r="SP36" s="11">
        <v>47064600.969999999</v>
      </c>
      <c r="SQ36" s="11">
        <v>85923039.75</v>
      </c>
      <c r="SR36" s="11">
        <v>69172022.469999969</v>
      </c>
      <c r="SS36" s="11">
        <v>54209092.030000001</v>
      </c>
      <c r="ST36" s="11">
        <v>72270146.099999994</v>
      </c>
      <c r="SU36" s="11">
        <v>28464857.200000003</v>
      </c>
      <c r="SV36" s="11">
        <v>185025840.19999984</v>
      </c>
      <c r="SW36" s="11">
        <v>53039335.599999994</v>
      </c>
      <c r="SX36" s="11">
        <v>55177167.190000005</v>
      </c>
      <c r="SY36" s="11">
        <v>55280719.750000022</v>
      </c>
      <c r="SZ36" s="11">
        <v>15226873.300000004</v>
      </c>
      <c r="TA36" s="11">
        <v>28351810.610000003</v>
      </c>
      <c r="TB36" s="11">
        <v>45304006.249999993</v>
      </c>
      <c r="TC36" s="11">
        <v>40261305.900000043</v>
      </c>
      <c r="TD36" s="11">
        <v>28639725.04999999</v>
      </c>
      <c r="TE36" s="11">
        <v>43180874.680000015</v>
      </c>
      <c r="TF36" s="11">
        <v>42211645.770000011</v>
      </c>
      <c r="TG36" s="11">
        <v>32680775.249999993</v>
      </c>
      <c r="TH36" s="11">
        <v>70355845.970000014</v>
      </c>
      <c r="TI36" s="11">
        <v>25591213.759999994</v>
      </c>
      <c r="TJ36" s="11">
        <v>493722155.56000018</v>
      </c>
      <c r="TK36" s="11">
        <v>93791031.739999995</v>
      </c>
      <c r="TL36" s="11">
        <v>39134754.619999997</v>
      </c>
      <c r="TM36" s="11">
        <v>77110072.390000015</v>
      </c>
      <c r="TN36" s="11">
        <v>47818512.120000012</v>
      </c>
      <c r="TO36" s="11">
        <v>38646258.879999988</v>
      </c>
      <c r="TP36" s="11">
        <v>19226322.570000004</v>
      </c>
      <c r="TQ36" s="11">
        <v>203479895.89999989</v>
      </c>
      <c r="TR36" s="11">
        <v>57127116.249999985</v>
      </c>
      <c r="TS36" s="11">
        <v>29848137.270000014</v>
      </c>
      <c r="TT36" s="11">
        <v>74829015.030000031</v>
      </c>
      <c r="TU36" s="11">
        <v>53463106.739999995</v>
      </c>
      <c r="TV36" s="11">
        <v>24306653.449999996</v>
      </c>
      <c r="TW36" s="11">
        <v>48786888.820000015</v>
      </c>
      <c r="TX36" s="11">
        <v>28563412.5</v>
      </c>
      <c r="TY36" s="11">
        <v>80866768.64000003</v>
      </c>
      <c r="TZ36" s="11">
        <v>288495436.30000001</v>
      </c>
      <c r="UA36" s="11">
        <v>51230667.559999965</v>
      </c>
      <c r="UB36" s="11">
        <v>680872993.15999961</v>
      </c>
      <c r="UC36" s="11">
        <v>74971015.689999983</v>
      </c>
      <c r="UD36" s="11">
        <v>9156684.7399999984</v>
      </c>
      <c r="UE36" s="11">
        <v>32524200.469999995</v>
      </c>
      <c r="UF36" s="11">
        <v>-39505433.789999969</v>
      </c>
      <c r="UG36" s="11">
        <v>48822535.889999993</v>
      </c>
      <c r="UH36" s="11">
        <v>3076785.599999995</v>
      </c>
      <c r="UI36" s="11">
        <v>59610785.200000018</v>
      </c>
      <c r="UJ36" s="11">
        <v>21535686.319999993</v>
      </c>
      <c r="UK36" s="11">
        <v>421891593.0799998</v>
      </c>
      <c r="UL36" s="11">
        <v>60755179.229999997</v>
      </c>
      <c r="UM36" s="11">
        <v>68699562.339999989</v>
      </c>
      <c r="UN36" s="11">
        <v>53706827.419999972</v>
      </c>
      <c r="UO36" s="11">
        <v>65583393.249999985</v>
      </c>
      <c r="UP36" s="11">
        <v>31342104.479999967</v>
      </c>
      <c r="UQ36" s="11">
        <v>1818439013.430001</v>
      </c>
      <c r="UR36" s="11">
        <v>44349722.979999997</v>
      </c>
      <c r="US36" s="11">
        <v>60090568.800000004</v>
      </c>
      <c r="UT36" s="11">
        <v>235628871.85000008</v>
      </c>
      <c r="UU36" s="11">
        <v>45458212.210000008</v>
      </c>
      <c r="UV36" s="11">
        <v>21744386.529999997</v>
      </c>
      <c r="UW36" s="11">
        <v>75012862.260000005</v>
      </c>
      <c r="UX36" s="11">
        <v>17908711.580000002</v>
      </c>
      <c r="UY36" s="11">
        <v>10796027.160000002</v>
      </c>
      <c r="UZ36" s="11">
        <v>51852997.859999999</v>
      </c>
      <c r="VA36" s="11">
        <v>64818324.25</v>
      </c>
      <c r="VB36" s="11">
        <v>74161963.480000034</v>
      </c>
      <c r="VC36" s="11">
        <v>98044259.559999987</v>
      </c>
      <c r="VD36" s="11">
        <v>89859968.479999989</v>
      </c>
      <c r="VE36" s="11">
        <v>20155617.420000006</v>
      </c>
      <c r="VF36" s="11">
        <v>22306916.799999993</v>
      </c>
      <c r="VG36" s="11">
        <v>30992405.039999984</v>
      </c>
      <c r="VH36" s="11">
        <v>22886765.959999982</v>
      </c>
      <c r="VI36" s="11">
        <v>75902058.959999993</v>
      </c>
      <c r="VJ36" s="11">
        <v>6735052.0200000051</v>
      </c>
      <c r="VK36" s="11">
        <v>32922734.189999998</v>
      </c>
      <c r="VL36" s="11">
        <v>40043545.919999994</v>
      </c>
      <c r="VM36" s="11">
        <v>682056737.86000025</v>
      </c>
      <c r="VN36" s="11">
        <v>62225568.160000019</v>
      </c>
      <c r="VO36" s="11">
        <v>93578449.149999961</v>
      </c>
      <c r="VP36" s="11">
        <v>84457555.780000001</v>
      </c>
      <c r="VQ36" s="11">
        <v>88470537.99000001</v>
      </c>
      <c r="VR36" s="11">
        <v>107554184.47000001</v>
      </c>
      <c r="VS36" s="11">
        <v>48455961.020000033</v>
      </c>
      <c r="VT36" s="11">
        <v>54679316.090000018</v>
      </c>
      <c r="VU36" s="11">
        <v>88499495.330000028</v>
      </c>
      <c r="VV36" s="11">
        <v>240666059.68999997</v>
      </c>
      <c r="VW36" s="11">
        <v>37872494.149999999</v>
      </c>
      <c r="VX36" s="11">
        <v>377131480.40999985</v>
      </c>
      <c r="VY36" s="11">
        <v>58191076.420000002</v>
      </c>
      <c r="VZ36" s="11">
        <v>76428292.950000033</v>
      </c>
      <c r="WA36" s="11">
        <v>31157832.700000014</v>
      </c>
      <c r="WB36" s="11">
        <v>3151709246.7499986</v>
      </c>
      <c r="WC36" s="11">
        <v>143511648.87</v>
      </c>
      <c r="WD36" s="11">
        <v>109874935.41999996</v>
      </c>
      <c r="WE36" s="11">
        <v>137561610.23000008</v>
      </c>
      <c r="WF36" s="11">
        <v>59204186.660000004</v>
      </c>
      <c r="WG36" s="11">
        <v>50244439.210000008</v>
      </c>
      <c r="WH36" s="11">
        <v>116427099.24999994</v>
      </c>
      <c r="WI36" s="11">
        <v>111068858.87000003</v>
      </c>
      <c r="WJ36" s="11">
        <v>85466147.339999989</v>
      </c>
      <c r="WK36" s="11">
        <v>81742309.439999998</v>
      </c>
      <c r="WL36" s="11">
        <v>33474152.689999998</v>
      </c>
      <c r="WM36" s="11">
        <v>87065074.970000029</v>
      </c>
      <c r="WN36" s="11">
        <v>107647277.97999999</v>
      </c>
      <c r="WO36" s="11">
        <v>166989429.08400011</v>
      </c>
      <c r="WP36" s="11">
        <v>216072277.19999996</v>
      </c>
      <c r="WQ36" s="11">
        <v>146053542.06000003</v>
      </c>
      <c r="WR36" s="11">
        <v>69759373.760000005</v>
      </c>
      <c r="WS36" s="11">
        <v>142317194.89000002</v>
      </c>
      <c r="WT36" s="11">
        <v>48851788.129999988</v>
      </c>
      <c r="WU36" s="11">
        <v>133017164.05000006</v>
      </c>
      <c r="WV36" s="11">
        <v>184415670.42000008</v>
      </c>
      <c r="WW36" s="11">
        <v>38660242.020000026</v>
      </c>
      <c r="WX36" s="11">
        <v>45298342.869999982</v>
      </c>
      <c r="WY36" s="11">
        <v>66495136.969999991</v>
      </c>
      <c r="WZ36" s="11">
        <v>45169472.369999968</v>
      </c>
      <c r="XA36" s="11">
        <v>26989077.119999986</v>
      </c>
      <c r="XB36" s="11">
        <v>23794133.640000008</v>
      </c>
      <c r="XC36" s="11">
        <v>51266081.36999999</v>
      </c>
      <c r="XD36" s="11">
        <v>535843407.49999994</v>
      </c>
      <c r="XE36" s="11">
        <v>31142752.444999989</v>
      </c>
      <c r="XF36" s="11">
        <v>50613404.819999993</v>
      </c>
      <c r="XG36" s="11">
        <v>23644486.73</v>
      </c>
      <c r="XH36" s="11">
        <v>47707271.459999979</v>
      </c>
      <c r="XI36" s="11">
        <v>2149708216.7799997</v>
      </c>
      <c r="XJ36" s="11">
        <v>183878985.15000004</v>
      </c>
      <c r="XK36" s="11">
        <v>227542123.01000002</v>
      </c>
      <c r="XL36" s="11">
        <v>278218853.66000003</v>
      </c>
      <c r="XM36" s="11">
        <v>90042419.719999984</v>
      </c>
      <c r="XN36" s="11">
        <v>119157808.40000002</v>
      </c>
      <c r="XO36" s="11">
        <v>248163994.58000004</v>
      </c>
      <c r="XP36" s="11">
        <v>158211028.17000005</v>
      </c>
      <c r="XQ36" s="11">
        <v>59792900.149999999</v>
      </c>
      <c r="XR36" s="11">
        <v>189818243.58000001</v>
      </c>
      <c r="XS36" s="11">
        <v>193314406.46000007</v>
      </c>
      <c r="XT36" s="11">
        <v>50316658.869999997</v>
      </c>
      <c r="XU36" s="11">
        <v>78430828.049999997</v>
      </c>
      <c r="XV36" s="11">
        <v>102309421.35999995</v>
      </c>
      <c r="XW36" s="11">
        <v>109279065.49000001</v>
      </c>
      <c r="XX36" s="11">
        <v>17598669.800000008</v>
      </c>
      <c r="XY36" s="11">
        <v>43859764.010000013</v>
      </c>
      <c r="XZ36" s="11">
        <v>69728637.25</v>
      </c>
      <c r="YA36" s="11">
        <v>35614710.460000001</v>
      </c>
      <c r="YB36" s="11">
        <v>76233466.280000001</v>
      </c>
      <c r="YC36" s="11">
        <v>81268574.370000049</v>
      </c>
      <c r="YD36" s="11">
        <v>103048155.31000002</v>
      </c>
      <c r="YE36" s="11">
        <v>73148145.689999953</v>
      </c>
      <c r="YF36" s="11">
        <v>1529293521.7200003</v>
      </c>
      <c r="YG36" s="11">
        <v>136018238.45000005</v>
      </c>
      <c r="YH36" s="11">
        <v>210452102.34999999</v>
      </c>
      <c r="YI36" s="11">
        <v>147198722.38999999</v>
      </c>
      <c r="YJ36" s="11">
        <v>617098217.47000015</v>
      </c>
      <c r="YK36" s="11">
        <v>253997873.46000019</v>
      </c>
      <c r="YL36" s="11">
        <v>311370364.77999991</v>
      </c>
      <c r="YM36" s="11">
        <v>96349115.639999971</v>
      </c>
      <c r="YN36" s="11">
        <v>348521937.53000015</v>
      </c>
      <c r="YO36" s="11">
        <v>227692281.36999997</v>
      </c>
      <c r="YP36" s="11">
        <v>166811029.35000008</v>
      </c>
      <c r="YQ36" s="11">
        <v>110526757.98999996</v>
      </c>
      <c r="YR36" s="11">
        <v>57605837.68</v>
      </c>
      <c r="YS36" s="11">
        <v>85865873.62999998</v>
      </c>
      <c r="YT36" s="11">
        <v>123189185.78999998</v>
      </c>
      <c r="YU36" s="11">
        <v>168521691.99000001</v>
      </c>
      <c r="YV36" s="11">
        <v>90605296.379999995</v>
      </c>
      <c r="YW36" s="11">
        <v>280990021.45600009</v>
      </c>
      <c r="YX36" s="11">
        <v>63618098.250000007</v>
      </c>
      <c r="YY36" s="11">
        <v>67463246.780000046</v>
      </c>
      <c r="YZ36" s="11">
        <v>54516747.029999994</v>
      </c>
      <c r="ZA36" s="11">
        <v>46726134.349999994</v>
      </c>
      <c r="ZB36" s="11">
        <v>30596062.48</v>
      </c>
      <c r="ZC36" s="11">
        <v>53214515.090000011</v>
      </c>
      <c r="ZD36" s="11">
        <v>648879699.08999968</v>
      </c>
      <c r="ZE36" s="11">
        <v>36532418.050000004</v>
      </c>
      <c r="ZF36" s="11">
        <v>104261940.24000001</v>
      </c>
      <c r="ZG36" s="11">
        <v>49327927.637500003</v>
      </c>
      <c r="ZH36" s="11">
        <v>80939427.360000029</v>
      </c>
      <c r="ZI36" s="11">
        <v>39602391.50999999</v>
      </c>
      <c r="ZJ36" s="11">
        <v>62672926.330000021</v>
      </c>
      <c r="ZK36" s="11">
        <v>33862222.890000008</v>
      </c>
      <c r="ZL36" s="11">
        <v>113469205.36</v>
      </c>
      <c r="ZM36" s="11">
        <v>773746481.65999973</v>
      </c>
      <c r="ZN36" s="11">
        <v>74636938.710000038</v>
      </c>
      <c r="ZO36" s="11">
        <v>77576146.680000037</v>
      </c>
      <c r="ZP36" s="11">
        <v>481138671.39999998</v>
      </c>
      <c r="ZQ36" s="11">
        <v>165762344.77999997</v>
      </c>
      <c r="ZR36" s="11">
        <v>69104349.049999997</v>
      </c>
      <c r="ZS36" s="11">
        <v>62333107.669999994</v>
      </c>
      <c r="ZT36" s="11">
        <v>201880980.63000005</v>
      </c>
      <c r="ZU36" s="11">
        <v>371618150.56999993</v>
      </c>
      <c r="ZV36" s="11">
        <v>50574036.229999982</v>
      </c>
      <c r="ZW36" s="11">
        <v>51796635.520000003</v>
      </c>
      <c r="ZX36" s="11">
        <v>92413834.48999995</v>
      </c>
      <c r="ZY36" s="11">
        <v>34958431.410000004</v>
      </c>
      <c r="ZZ36" s="11">
        <v>110479366.97999994</v>
      </c>
      <c r="AAA36" s="11">
        <v>39122645.980000027</v>
      </c>
      <c r="AAB36" s="11">
        <v>62823922.500000022</v>
      </c>
      <c r="AAC36" s="11">
        <v>70453010.450000018</v>
      </c>
      <c r="AAD36" s="11">
        <v>95164409.529999986</v>
      </c>
      <c r="AAE36" s="11">
        <v>100916120.19999997</v>
      </c>
      <c r="AAF36" s="11">
        <v>83523663.979999989</v>
      </c>
      <c r="AAG36" s="11">
        <v>31340002.189999998</v>
      </c>
      <c r="AAH36" s="11">
        <v>30495379.409999989</v>
      </c>
      <c r="AAI36" s="11">
        <v>266488114.8600001</v>
      </c>
      <c r="AAJ36" s="11">
        <v>19437939.989999998</v>
      </c>
      <c r="AAK36" s="11">
        <v>42283098.039999977</v>
      </c>
      <c r="AAL36" s="11">
        <v>19417499.899999991</v>
      </c>
      <c r="AAM36" s="11">
        <v>48362748.419999994</v>
      </c>
      <c r="AAN36" s="11">
        <v>43667705.320000038</v>
      </c>
      <c r="AAO36" s="11">
        <v>43138134.059999995</v>
      </c>
      <c r="AAP36" s="11">
        <v>1682327390.339999</v>
      </c>
      <c r="AAQ36" s="11">
        <v>47264485.710000008</v>
      </c>
      <c r="AAR36" s="11">
        <v>102027731.55</v>
      </c>
      <c r="AAS36" s="11">
        <v>312661964.97999996</v>
      </c>
      <c r="AAT36" s="11">
        <v>57939029.589999974</v>
      </c>
      <c r="AAU36" s="11">
        <v>107619193.52</v>
      </c>
      <c r="AAV36" s="11">
        <v>47169534.07</v>
      </c>
      <c r="AAW36" s="11">
        <v>178636824.75000003</v>
      </c>
      <c r="AAX36" s="11">
        <v>183454375.84000012</v>
      </c>
      <c r="AAY36" s="11">
        <v>46216303.249999993</v>
      </c>
      <c r="AAZ36" s="11">
        <v>111249382.71000004</v>
      </c>
      <c r="ABA36" s="11">
        <v>185748972.16000009</v>
      </c>
      <c r="ABB36" s="11">
        <v>158007183.70999998</v>
      </c>
      <c r="ABC36" s="11">
        <v>24960530.23</v>
      </c>
      <c r="ABD36" s="11">
        <v>24566705.050000023</v>
      </c>
      <c r="ABE36" s="11">
        <v>40489250.44000002</v>
      </c>
      <c r="ABF36" s="11">
        <v>49092605.779999986</v>
      </c>
      <c r="ABG36" s="11">
        <v>95137844.450000018</v>
      </c>
      <c r="ABH36" s="11">
        <v>30182228</v>
      </c>
      <c r="ABI36" s="11">
        <v>385143537.1699999</v>
      </c>
      <c r="ABJ36" s="11">
        <v>179706593.07000005</v>
      </c>
      <c r="ABK36" s="11">
        <v>49610853.760000005</v>
      </c>
      <c r="ABL36" s="11">
        <v>41519649.430000015</v>
      </c>
      <c r="ABM36" s="11">
        <v>29961833.770000007</v>
      </c>
      <c r="ABN36" s="11">
        <v>67349704.109999999</v>
      </c>
      <c r="ABO36" s="11">
        <v>45065015.31000001</v>
      </c>
      <c r="ABP36" s="11">
        <v>619191272.58999979</v>
      </c>
      <c r="ABQ36" s="11">
        <v>98148833.849999979</v>
      </c>
      <c r="ABR36" s="11">
        <v>85002580.569999993</v>
      </c>
      <c r="ABS36" s="11">
        <v>163857728.05000001</v>
      </c>
      <c r="ABT36" s="11">
        <v>203641167.24999997</v>
      </c>
      <c r="ABU36" s="11">
        <v>130935361.77999997</v>
      </c>
      <c r="ABV36" s="11">
        <v>42037236.079999998</v>
      </c>
      <c r="ABW36" s="11">
        <v>69543339.419999972</v>
      </c>
      <c r="ABX36" s="11">
        <v>44775147.519999988</v>
      </c>
      <c r="ABY36" s="11">
        <v>435798598.67419982</v>
      </c>
      <c r="ABZ36" s="11">
        <v>123768692.56</v>
      </c>
      <c r="ACA36" s="11">
        <v>109387242.98999992</v>
      </c>
      <c r="ACB36" s="11">
        <v>32386306.309999995</v>
      </c>
      <c r="ACC36" s="11">
        <v>31271515.50999999</v>
      </c>
      <c r="ACD36" s="11">
        <v>179227441.49999994</v>
      </c>
      <c r="ACE36" s="11">
        <v>58692205.789999992</v>
      </c>
      <c r="ACF36" s="11">
        <v>32082721.929999996</v>
      </c>
      <c r="ACG36" s="11">
        <v>28453034.84</v>
      </c>
      <c r="ACH36" s="11">
        <v>140419926.39000002</v>
      </c>
      <c r="ACI36" s="11">
        <v>85333120.689999968</v>
      </c>
      <c r="ACJ36" s="11">
        <v>1331114478.9399998</v>
      </c>
      <c r="ACK36" s="11">
        <v>58257793.000000007</v>
      </c>
      <c r="ACL36" s="11">
        <v>64836435.860000014</v>
      </c>
      <c r="ACM36" s="11">
        <v>151660394.97000003</v>
      </c>
      <c r="ACN36" s="11">
        <v>37205129.269999988</v>
      </c>
      <c r="ACO36" s="11">
        <v>14847198.059999993</v>
      </c>
      <c r="ACP36" s="11">
        <v>82267398.410000026</v>
      </c>
      <c r="ACQ36" s="11">
        <v>362946018.5999999</v>
      </c>
      <c r="ACR36" s="11">
        <v>388267084.03000003</v>
      </c>
      <c r="ACS36" s="11">
        <v>48857484.979999997</v>
      </c>
      <c r="ACT36" s="11">
        <v>104636768.88</v>
      </c>
      <c r="ACU36" s="11">
        <v>137909625.25000003</v>
      </c>
      <c r="ACV36" s="11">
        <v>81101418.689999998</v>
      </c>
      <c r="ACW36" s="11">
        <v>674457734.99000025</v>
      </c>
      <c r="ACX36" s="11">
        <v>10740605.190000007</v>
      </c>
      <c r="ACY36" s="11">
        <v>67974087.049999997</v>
      </c>
      <c r="ACZ36" s="11">
        <v>60655297.529999994</v>
      </c>
      <c r="ADA36" s="11">
        <v>16983346.199999992</v>
      </c>
      <c r="ADB36" s="11">
        <v>10254153.269999998</v>
      </c>
      <c r="ADC36" s="11">
        <v>18269077.719999999</v>
      </c>
      <c r="ADD36" s="11">
        <v>34238512.730000004</v>
      </c>
      <c r="ADE36" s="11">
        <v>23694248.599999998</v>
      </c>
      <c r="ADF36" s="11">
        <v>72102311.089999974</v>
      </c>
      <c r="ADG36" s="11">
        <v>224540784.83999994</v>
      </c>
      <c r="ADH36" s="11">
        <v>161664880.79000002</v>
      </c>
      <c r="ADI36" s="11">
        <v>49367793.769999988</v>
      </c>
      <c r="ADJ36" s="11">
        <v>16820339.36999999</v>
      </c>
      <c r="ADK36" s="11">
        <v>26334430.410000004</v>
      </c>
      <c r="ADL36" s="11">
        <v>31455618.310000002</v>
      </c>
      <c r="ADM36" s="11">
        <v>78285124.930000007</v>
      </c>
      <c r="ADN36" s="11">
        <v>38009362.649999991</v>
      </c>
      <c r="ADO36" s="11">
        <v>61098255.559999973</v>
      </c>
      <c r="ADP36" s="11">
        <v>735392241.99000049</v>
      </c>
      <c r="ADQ36" s="11">
        <v>187429999.87000006</v>
      </c>
      <c r="ADR36" s="11">
        <v>87882487.179999992</v>
      </c>
      <c r="ADS36" s="11">
        <v>105014902.89000005</v>
      </c>
      <c r="ADT36" s="11">
        <v>95441003.120000049</v>
      </c>
      <c r="ADU36" s="11">
        <v>22278193.91</v>
      </c>
      <c r="ADV36" s="11">
        <v>48622958.290000014</v>
      </c>
      <c r="ADW36" s="11">
        <v>63507793.720000014</v>
      </c>
      <c r="ADX36" s="11">
        <v>11470395.660000002</v>
      </c>
      <c r="ADY36" s="11">
        <v>31552823.270000018</v>
      </c>
      <c r="ADZ36" s="11">
        <v>661926717.09999943</v>
      </c>
      <c r="AEA36" s="11">
        <v>258802316.59000018</v>
      </c>
      <c r="AEB36" s="11">
        <v>110237180.60999997</v>
      </c>
      <c r="AEC36" s="11">
        <v>36444848.790000007</v>
      </c>
      <c r="AED36" s="11">
        <v>133079957.65999994</v>
      </c>
      <c r="AEE36" s="11">
        <v>143984120.46000004</v>
      </c>
      <c r="AEF36" s="11">
        <v>68056282.620000005</v>
      </c>
      <c r="AEG36" s="11">
        <v>21392732.969999984</v>
      </c>
      <c r="AEH36" s="11">
        <v>36941341.230000027</v>
      </c>
      <c r="AEI36" s="11">
        <v>117631249.55000001</v>
      </c>
      <c r="AEJ36" s="11">
        <v>47504393.709999986</v>
      </c>
      <c r="AEK36" s="11">
        <v>198081000.18999991</v>
      </c>
      <c r="AEL36" s="11">
        <v>58011861.879999988</v>
      </c>
      <c r="AEM36" s="11">
        <v>111706716.85000005</v>
      </c>
      <c r="AEN36" s="11">
        <v>75661448.729999974</v>
      </c>
      <c r="AEO36" s="11">
        <v>113304965.59000006</v>
      </c>
      <c r="AEP36" s="11">
        <v>29458729.149999991</v>
      </c>
      <c r="AEQ36" s="11">
        <v>49850182.360000014</v>
      </c>
      <c r="AER36" s="11">
        <v>25310474.710000008</v>
      </c>
      <c r="AES36" s="11">
        <v>114188973.96000001</v>
      </c>
      <c r="AET36" s="11">
        <v>853772063.41999984</v>
      </c>
      <c r="AEU36" s="11">
        <v>120366869.27000006</v>
      </c>
      <c r="AEV36" s="11">
        <v>166107908.80000001</v>
      </c>
      <c r="AEW36" s="11">
        <v>59720696.900000021</v>
      </c>
      <c r="AEX36" s="11">
        <v>70852499.329999998</v>
      </c>
      <c r="AEY36" s="11">
        <v>51784932.859999999</v>
      </c>
      <c r="AEZ36" s="11">
        <v>45912727.179999977</v>
      </c>
      <c r="AFA36" s="11">
        <v>29243697.719999995</v>
      </c>
      <c r="AFB36" s="11">
        <v>5403821.4499999955</v>
      </c>
      <c r="AFC36" s="11">
        <v>15436902.679999996</v>
      </c>
      <c r="AFD36" s="11">
        <v>456115452.09000021</v>
      </c>
      <c r="AFE36" s="11">
        <v>348677490.35999984</v>
      </c>
      <c r="AFF36" s="11">
        <v>103481411.51000001</v>
      </c>
      <c r="AFG36" s="11">
        <v>73618860.440000013</v>
      </c>
      <c r="AFH36" s="11">
        <v>238441572.00000003</v>
      </c>
      <c r="AFI36" s="11">
        <v>122652021.30999988</v>
      </c>
      <c r="AFJ36" s="11">
        <v>41632207.320000023</v>
      </c>
      <c r="AFK36" s="11">
        <v>42555297.580000006</v>
      </c>
      <c r="AFL36" s="11">
        <v>93969268.720000014</v>
      </c>
      <c r="AFM36" s="11">
        <v>59036429.5</v>
      </c>
      <c r="AFN36" s="11">
        <v>72614916.590000004</v>
      </c>
      <c r="AFO36" s="11">
        <v>58772902.109999962</v>
      </c>
      <c r="AFP36" s="11">
        <v>66633204.81000001</v>
      </c>
      <c r="AFQ36" s="11">
        <v>988494361.97999954</v>
      </c>
      <c r="AFR36" s="11">
        <v>143254946.17000002</v>
      </c>
      <c r="AFS36" s="11">
        <v>134401200.23999992</v>
      </c>
      <c r="AFT36" s="11">
        <v>66442163.460000001</v>
      </c>
      <c r="AFU36" s="11">
        <v>112591426.62999998</v>
      </c>
      <c r="AFV36" s="11">
        <v>87951750.010000035</v>
      </c>
      <c r="AFW36" s="11">
        <v>46352202.880000003</v>
      </c>
      <c r="AFX36" s="11">
        <v>164021204.00000003</v>
      </c>
      <c r="AFY36" s="11">
        <v>123566492.07999992</v>
      </c>
      <c r="AFZ36" s="11">
        <v>40150613.200000003</v>
      </c>
      <c r="AGA36" s="11">
        <v>229599495.50999987</v>
      </c>
      <c r="AGB36" s="11">
        <v>103433508.02</v>
      </c>
      <c r="AGC36" s="11">
        <v>724807437.66000009</v>
      </c>
      <c r="AGD36" s="11">
        <v>230088987.59999996</v>
      </c>
      <c r="AGE36" s="11">
        <v>141958912.40000007</v>
      </c>
      <c r="AGF36" s="11">
        <v>85331355.770000011</v>
      </c>
      <c r="AGG36" s="11">
        <v>321142777.96999991</v>
      </c>
      <c r="AGH36" s="11">
        <v>108542023.79999995</v>
      </c>
      <c r="AGI36" s="11">
        <v>77546457.480000004</v>
      </c>
      <c r="AGJ36" s="11">
        <v>59102808.20000001</v>
      </c>
      <c r="AGK36" s="11">
        <v>44704227.920000017</v>
      </c>
      <c r="AGL36" s="11">
        <v>75379855.020000011</v>
      </c>
      <c r="AGM36" s="11">
        <v>39371094.500000015</v>
      </c>
      <c r="AGN36" s="11">
        <v>1151266184.5000005</v>
      </c>
      <c r="AGO36" s="11">
        <v>154106671.72999987</v>
      </c>
      <c r="AGP36" s="11">
        <v>236969811.56000003</v>
      </c>
      <c r="AGQ36" s="11">
        <v>61182427.689999998</v>
      </c>
      <c r="AGR36" s="11">
        <v>226734719.38999999</v>
      </c>
      <c r="AGS36" s="11">
        <v>139411654.62</v>
      </c>
      <c r="AGT36" s="11">
        <v>23694645.030000005</v>
      </c>
      <c r="AGU36" s="11">
        <v>76653552.87999998</v>
      </c>
      <c r="AGV36" s="11">
        <v>1246988108.97</v>
      </c>
      <c r="AGW36" s="11">
        <v>775546714.67000055</v>
      </c>
      <c r="AGX36" s="11">
        <v>38832298.920000002</v>
      </c>
      <c r="AGY36" s="11">
        <v>312306019.33999991</v>
      </c>
      <c r="AGZ36" s="11">
        <v>226830172.1699999</v>
      </c>
      <c r="AHA36" s="11">
        <v>196055500.73000002</v>
      </c>
      <c r="AHB36" s="11">
        <v>43548678.480000004</v>
      </c>
      <c r="AHC36" s="11">
        <v>65821286.449999988</v>
      </c>
      <c r="AHD36" s="11">
        <v>24730782.999999996</v>
      </c>
      <c r="AHE36" s="11">
        <v>91266724.450000077</v>
      </c>
      <c r="AHF36" s="11">
        <v>209567406.02000004</v>
      </c>
      <c r="AHG36" s="11">
        <v>108122031.60000001</v>
      </c>
      <c r="AHH36" s="11">
        <v>47555860.380000018</v>
      </c>
      <c r="AHI36" s="11">
        <v>129016717.64000006</v>
      </c>
      <c r="AHJ36" s="11">
        <v>66727704.573300034</v>
      </c>
      <c r="AHK36" s="11">
        <v>80452177.680000007</v>
      </c>
      <c r="AHL36" s="11">
        <v>36069828.289999999</v>
      </c>
      <c r="AHM36" s="11">
        <v>373362501.83000016</v>
      </c>
      <c r="AHN36" s="11">
        <v>111343436.25999998</v>
      </c>
      <c r="AHO36" s="11">
        <v>39072762.260000013</v>
      </c>
      <c r="AHP36" s="11">
        <v>44739290.930000015</v>
      </c>
      <c r="AHQ36" s="11">
        <v>95255236.829999983</v>
      </c>
      <c r="AHR36" s="11">
        <v>54246046.269999988</v>
      </c>
      <c r="AHS36" s="11">
        <v>15130553.98</v>
      </c>
      <c r="AHT36" s="11">
        <v>146996913706.95621</v>
      </c>
      <c r="AHU36" s="11"/>
    </row>
    <row r="37" spans="2:905" x14ac:dyDescent="0.7">
      <c r="B37" s="6" t="s">
        <v>44</v>
      </c>
      <c r="C37" s="6" t="s">
        <v>6385</v>
      </c>
      <c r="D37" s="11">
        <v>736733931.79999995</v>
      </c>
      <c r="E37" s="11">
        <v>33138826.010000002</v>
      </c>
      <c r="F37" s="11">
        <v>27611264.460000001</v>
      </c>
      <c r="G37" s="11">
        <v>6334234.3300000001</v>
      </c>
      <c r="H37" s="11">
        <v>60932156.93</v>
      </c>
      <c r="I37" s="11">
        <v>26177760.700000003</v>
      </c>
      <c r="J37" s="11">
        <v>420471615.94999999</v>
      </c>
      <c r="K37" s="11">
        <v>102291192.64999999</v>
      </c>
      <c r="L37" s="11">
        <v>28331523.609999999</v>
      </c>
      <c r="M37" s="11">
        <v>25136206.900000002</v>
      </c>
      <c r="N37" s="11">
        <v>12433922.569999998</v>
      </c>
      <c r="O37" s="11">
        <v>11249294.310000002</v>
      </c>
      <c r="P37" s="11">
        <v>164523808.59999999</v>
      </c>
      <c r="Q37" s="11">
        <v>19901329.93</v>
      </c>
      <c r="R37" s="11">
        <v>4034135.9</v>
      </c>
      <c r="S37" s="11">
        <v>36707381.100000001</v>
      </c>
      <c r="T37" s="11">
        <v>29861828.440000001</v>
      </c>
      <c r="U37" s="11">
        <v>8317894.3500000006</v>
      </c>
      <c r="V37" s="11">
        <v>1033383396.0799999</v>
      </c>
      <c r="W37" s="11">
        <v>71785378</v>
      </c>
      <c r="X37" s="11">
        <v>42472231.829999998</v>
      </c>
      <c r="Y37" s="11">
        <v>123812016.05999999</v>
      </c>
      <c r="Z37" s="11">
        <v>25526997.41</v>
      </c>
      <c r="AA37" s="11">
        <v>53135071.290000007</v>
      </c>
      <c r="AB37" s="11">
        <v>22765939.339999996</v>
      </c>
      <c r="AC37" s="11">
        <v>67486232.469999999</v>
      </c>
      <c r="AD37" s="11">
        <v>50628669.079999998</v>
      </c>
      <c r="AE37" s="11">
        <v>29472376.109999999</v>
      </c>
      <c r="AF37" s="11">
        <v>107740382.17999998</v>
      </c>
      <c r="AG37" s="11">
        <v>46798184.710000001</v>
      </c>
      <c r="AH37" s="11">
        <v>113498510.73</v>
      </c>
      <c r="AI37" s="11">
        <v>31882379.460000005</v>
      </c>
      <c r="AJ37" s="11">
        <v>33629114.199999996</v>
      </c>
      <c r="AK37" s="11">
        <v>23434923.52</v>
      </c>
      <c r="AL37" s="11">
        <v>77218948.849999994</v>
      </c>
      <c r="AM37" s="11">
        <v>14603240.549999999</v>
      </c>
      <c r="AN37" s="11">
        <v>87569353.829999998</v>
      </c>
      <c r="AO37" s="11">
        <v>34547504.950000003</v>
      </c>
      <c r="AP37" s="11">
        <v>9425767.1199999973</v>
      </c>
      <c r="AQ37" s="11">
        <v>9911968.8699999992</v>
      </c>
      <c r="AR37" s="11">
        <v>34002821.330000006</v>
      </c>
      <c r="AS37" s="11">
        <v>9734274.9299999997</v>
      </c>
      <c r="AT37" s="11">
        <v>200513656.34999999</v>
      </c>
      <c r="AU37" s="11">
        <v>16013167.129999999</v>
      </c>
      <c r="AV37" s="11">
        <v>16003241.520000005</v>
      </c>
      <c r="AW37" s="11">
        <v>18774872.57</v>
      </c>
      <c r="AX37" s="11">
        <v>15750301.200000001</v>
      </c>
      <c r="AY37" s="11">
        <v>21923613.379999999</v>
      </c>
      <c r="AZ37" s="11">
        <v>19226616.139999997</v>
      </c>
      <c r="BA37" s="11">
        <v>18327389.190000001</v>
      </c>
      <c r="BB37" s="11">
        <v>13925072.939999999</v>
      </c>
      <c r="BC37" s="11">
        <v>17782086.289999999</v>
      </c>
      <c r="BD37" s="11">
        <v>23450495.130000003</v>
      </c>
      <c r="BE37" s="11">
        <v>8115788.3999999994</v>
      </c>
      <c r="BF37" s="11">
        <v>31090631.860000003</v>
      </c>
      <c r="BG37" s="11">
        <v>6603012.7699999986</v>
      </c>
      <c r="BH37" s="11">
        <v>39696272.660000004</v>
      </c>
      <c r="BI37" s="11">
        <v>342725534.63999987</v>
      </c>
      <c r="BJ37" s="11">
        <v>131133102.83000001</v>
      </c>
      <c r="BK37" s="11">
        <v>26386856.259999998</v>
      </c>
      <c r="BL37" s="11">
        <v>15689147.560000001</v>
      </c>
      <c r="BM37" s="11">
        <v>31470730.800000004</v>
      </c>
      <c r="BN37" s="11">
        <v>25744258.739999995</v>
      </c>
      <c r="BO37" s="11">
        <v>15949650.590000004</v>
      </c>
      <c r="BP37" s="11">
        <v>18020437.370000001</v>
      </c>
      <c r="BQ37" s="11">
        <v>17558834.799999997</v>
      </c>
      <c r="BR37" s="11">
        <v>280761533.67000002</v>
      </c>
      <c r="BS37" s="11">
        <v>24327881.900000002</v>
      </c>
      <c r="BT37" s="11">
        <v>16504092.1</v>
      </c>
      <c r="BU37" s="11">
        <v>42853635.069999993</v>
      </c>
      <c r="BV37" s="11">
        <v>22245358.170000002</v>
      </c>
      <c r="BW37" s="11">
        <v>8542798.6500000004</v>
      </c>
      <c r="BX37" s="11">
        <v>18513362.449999999</v>
      </c>
      <c r="BY37" s="11">
        <v>13551700.569999998</v>
      </c>
      <c r="BZ37" s="11">
        <v>131269714.95</v>
      </c>
      <c r="CA37" s="11">
        <v>9933223.870000001</v>
      </c>
      <c r="CB37" s="11">
        <v>6155773.7100000009</v>
      </c>
      <c r="CC37" s="11">
        <v>38260418.630000003</v>
      </c>
      <c r="CD37" s="11">
        <v>14098050.5</v>
      </c>
      <c r="CE37" s="11">
        <v>32227043.310000002</v>
      </c>
      <c r="CF37" s="11">
        <v>12335947.279999999</v>
      </c>
      <c r="CG37" s="11">
        <v>1572809015.1400001</v>
      </c>
      <c r="CH37" s="11">
        <v>22269772.859999996</v>
      </c>
      <c r="CI37" s="11">
        <v>59590298.070000008</v>
      </c>
      <c r="CJ37" s="11">
        <v>14541257.110000001</v>
      </c>
      <c r="CK37" s="11">
        <v>40491652.420000002</v>
      </c>
      <c r="CL37" s="11">
        <v>11560366.360000001</v>
      </c>
      <c r="CM37" s="11">
        <v>29119654.049999997</v>
      </c>
      <c r="CN37" s="11">
        <v>46063398.079999998</v>
      </c>
      <c r="CO37" s="11">
        <v>16646614.859999999</v>
      </c>
      <c r="CP37" s="11">
        <v>13601167.940000001</v>
      </c>
      <c r="CQ37" s="11">
        <v>12903538.029999999</v>
      </c>
      <c r="CR37" s="11">
        <v>21928985.789999995</v>
      </c>
      <c r="CS37" s="11">
        <v>13988654.970000001</v>
      </c>
      <c r="CT37" s="11">
        <v>324223460.72000003</v>
      </c>
      <c r="CU37" s="11">
        <v>38990713.540000007</v>
      </c>
      <c r="CV37" s="11">
        <v>31556717.719999999</v>
      </c>
      <c r="CW37" s="11">
        <v>25831769.060000002</v>
      </c>
      <c r="CX37" s="11">
        <v>31270603.489999998</v>
      </c>
      <c r="CY37" s="11">
        <v>31969072.710000001</v>
      </c>
      <c r="CZ37" s="11">
        <v>9564838.3199999984</v>
      </c>
      <c r="DA37" s="11">
        <v>14341039.549999999</v>
      </c>
      <c r="DB37" s="11">
        <v>246790202.81</v>
      </c>
      <c r="DC37" s="11">
        <v>520189105.76000005</v>
      </c>
      <c r="DD37" s="11">
        <v>27668667.720000003</v>
      </c>
      <c r="DE37" s="11">
        <v>49116280.649999999</v>
      </c>
      <c r="DF37" s="11">
        <v>29103669.080000002</v>
      </c>
      <c r="DG37" s="11">
        <v>103734412.49000001</v>
      </c>
      <c r="DH37" s="11">
        <v>145544524.81</v>
      </c>
      <c r="DI37" s="11">
        <v>17282713.169999998</v>
      </c>
      <c r="DJ37" s="11">
        <v>81362635.200000018</v>
      </c>
      <c r="DK37" s="11">
        <v>1055295096.7199999</v>
      </c>
      <c r="DL37" s="11">
        <v>48525378.030000009</v>
      </c>
      <c r="DM37" s="11">
        <v>58319348.010000005</v>
      </c>
      <c r="DN37" s="11">
        <v>60825314.190000005</v>
      </c>
      <c r="DO37" s="11">
        <v>47004063.269900002</v>
      </c>
      <c r="DP37" s="11">
        <v>58054588.660000011</v>
      </c>
      <c r="DQ37" s="11">
        <v>149085534.63</v>
      </c>
      <c r="DR37" s="11">
        <v>60648568.619999997</v>
      </c>
      <c r="DS37" s="11">
        <v>123017231.45000002</v>
      </c>
      <c r="DT37" s="11">
        <v>284604874.83000004</v>
      </c>
      <c r="DU37" s="11">
        <v>26089182.610000003</v>
      </c>
      <c r="DV37" s="11">
        <v>96889386.980000019</v>
      </c>
      <c r="DW37" s="11">
        <v>92556798.88000001</v>
      </c>
      <c r="DX37" s="11">
        <v>35635765.120000005</v>
      </c>
      <c r="DY37" s="11">
        <v>29622381.159999996</v>
      </c>
      <c r="DZ37" s="11">
        <v>66709670.049999997</v>
      </c>
      <c r="EA37" s="11">
        <v>28452008.219999999</v>
      </c>
      <c r="EB37" s="11">
        <v>29303292.580000002</v>
      </c>
      <c r="EC37" s="11">
        <v>40745288.469999991</v>
      </c>
      <c r="ED37" s="11">
        <v>21949648.139999997</v>
      </c>
      <c r="EE37" s="11">
        <v>366878939.95999998</v>
      </c>
      <c r="EF37" s="11">
        <v>316620362.15999997</v>
      </c>
      <c r="EG37" s="11">
        <v>49802886.530000009</v>
      </c>
      <c r="EH37" s="11">
        <v>25086140.68</v>
      </c>
      <c r="EI37" s="11">
        <v>57804028.550000004</v>
      </c>
      <c r="EJ37" s="11">
        <v>46006357.800000004</v>
      </c>
      <c r="EK37" s="11">
        <v>61095496.649999999</v>
      </c>
      <c r="EL37" s="11">
        <v>23196368.900000002</v>
      </c>
      <c r="EM37" s="11">
        <v>40495055.170000002</v>
      </c>
      <c r="EN37" s="11">
        <v>304044733.20999998</v>
      </c>
      <c r="EO37" s="11">
        <v>19041484.729999997</v>
      </c>
      <c r="EP37" s="11">
        <v>19446150.84</v>
      </c>
      <c r="EQ37" s="11">
        <v>15921003.25</v>
      </c>
      <c r="ER37" s="11">
        <v>12198369.6</v>
      </c>
      <c r="ES37" s="11">
        <v>23624166.449999999</v>
      </c>
      <c r="ET37" s="11">
        <v>36041883.810000002</v>
      </c>
      <c r="EU37" s="11">
        <v>40275416.829999998</v>
      </c>
      <c r="EV37" s="11">
        <v>20227904.460000001</v>
      </c>
      <c r="EW37" s="11">
        <v>265665705.44</v>
      </c>
      <c r="EX37" s="11">
        <v>36846706.969999999</v>
      </c>
      <c r="EY37" s="11">
        <v>48172815.780000001</v>
      </c>
      <c r="EZ37" s="11">
        <v>31966917.929999996</v>
      </c>
      <c r="FA37" s="11">
        <v>81471152.989999995</v>
      </c>
      <c r="FB37" s="11">
        <v>52982558.630000003</v>
      </c>
      <c r="FC37" s="11">
        <v>66734698.039999999</v>
      </c>
      <c r="FD37" s="11">
        <v>37004393.759999998</v>
      </c>
      <c r="FE37" s="11">
        <v>32053918.900000002</v>
      </c>
      <c r="FF37" s="11">
        <v>59887683.589999996</v>
      </c>
      <c r="FG37" s="11">
        <v>32519213.359999999</v>
      </c>
      <c r="FH37" s="11">
        <v>15925661.109999999</v>
      </c>
      <c r="FI37" s="11">
        <v>195009951.56999999</v>
      </c>
      <c r="FJ37" s="11">
        <v>20891953.439999998</v>
      </c>
      <c r="FK37" s="11">
        <v>26952801.170000002</v>
      </c>
      <c r="FL37" s="11">
        <v>33502990.430000003</v>
      </c>
      <c r="FM37" s="11">
        <v>37015450.320000008</v>
      </c>
      <c r="FN37" s="11">
        <v>43063426.750000007</v>
      </c>
      <c r="FO37" s="11">
        <v>15744476.819999998</v>
      </c>
      <c r="FP37" s="11">
        <v>16633436.75</v>
      </c>
      <c r="FQ37" s="11">
        <v>1480058927.0699999</v>
      </c>
      <c r="FR37" s="11">
        <v>31607349.520000003</v>
      </c>
      <c r="FS37" s="11">
        <v>75782273.730000004</v>
      </c>
      <c r="FT37" s="11">
        <v>59709835.32</v>
      </c>
      <c r="FU37" s="11">
        <v>107305160.43000001</v>
      </c>
      <c r="FV37" s="11">
        <v>39472610.399999999</v>
      </c>
      <c r="FW37" s="11">
        <v>98002774.730000004</v>
      </c>
      <c r="FX37" s="11">
        <v>45672423.710000001</v>
      </c>
      <c r="FY37" s="11">
        <v>96256471.519999981</v>
      </c>
      <c r="FZ37" s="11">
        <v>69023698.760000005</v>
      </c>
      <c r="GA37" s="11">
        <v>106479978.18000001</v>
      </c>
      <c r="GB37" s="11">
        <v>32145658.219999999</v>
      </c>
      <c r="GC37" s="11">
        <v>54979897.579999998</v>
      </c>
      <c r="GD37" s="11">
        <v>58719979.409999996</v>
      </c>
      <c r="GE37" s="11">
        <v>281136477.27999997</v>
      </c>
      <c r="GF37" s="11">
        <v>49271483.620000005</v>
      </c>
      <c r="GG37" s="11">
        <v>50240065.119999997</v>
      </c>
      <c r="GH37" s="11">
        <v>58663357.799999997</v>
      </c>
      <c r="GI37" s="11">
        <v>53650927.200000003</v>
      </c>
      <c r="GJ37" s="11">
        <v>53848602.370000012</v>
      </c>
      <c r="GK37" s="11">
        <v>38330523.800000004</v>
      </c>
      <c r="GL37" s="11">
        <v>79737771.640000001</v>
      </c>
      <c r="GM37" s="11">
        <v>35287789.840000004</v>
      </c>
      <c r="GN37" s="11">
        <v>20972988.75</v>
      </c>
      <c r="GO37" s="11">
        <v>22397214.379999999</v>
      </c>
      <c r="GP37" s="11">
        <v>18382875.550000001</v>
      </c>
      <c r="GQ37" s="11">
        <v>397942602.34999996</v>
      </c>
      <c r="GR37" s="11">
        <v>112312548.55</v>
      </c>
      <c r="GS37" s="11">
        <v>25132776.27</v>
      </c>
      <c r="GT37" s="11">
        <v>59985065.760000005</v>
      </c>
      <c r="GU37" s="11">
        <v>9959028.9200000018</v>
      </c>
      <c r="GV37" s="11">
        <v>74212076.950000003</v>
      </c>
      <c r="GW37" s="11">
        <v>33591253.970000006</v>
      </c>
      <c r="GX37" s="11">
        <v>21469039.41</v>
      </c>
      <c r="GY37" s="11">
        <v>175956387.43000001</v>
      </c>
      <c r="GZ37" s="11">
        <v>21854880.790000003</v>
      </c>
      <c r="HA37" s="11">
        <v>75015809.550000012</v>
      </c>
      <c r="HB37" s="11">
        <v>54301702.670000002</v>
      </c>
      <c r="HC37" s="11">
        <v>743316506.2299999</v>
      </c>
      <c r="HD37" s="11">
        <v>290242075.56000006</v>
      </c>
      <c r="HE37" s="11">
        <v>72013553.319999993</v>
      </c>
      <c r="HF37" s="11">
        <v>230701646.35999998</v>
      </c>
      <c r="HG37" s="11">
        <v>87489499.030000016</v>
      </c>
      <c r="HH37" s="11">
        <v>222192070.50000003</v>
      </c>
      <c r="HI37" s="11">
        <v>72745643.299999982</v>
      </c>
      <c r="HJ37" s="11">
        <v>18312976.190000001</v>
      </c>
      <c r="HK37" s="11">
        <v>678282748.33000004</v>
      </c>
      <c r="HL37" s="11">
        <v>86681800.649999991</v>
      </c>
      <c r="HM37" s="11">
        <v>144771455.93000001</v>
      </c>
      <c r="HN37" s="11">
        <v>105278447.71999998</v>
      </c>
      <c r="HO37" s="11">
        <v>40216623.049999997</v>
      </c>
      <c r="HP37" s="11">
        <v>130393633.63000003</v>
      </c>
      <c r="HQ37" s="11">
        <v>64516828.88000001</v>
      </c>
      <c r="HR37" s="11">
        <v>55507448.005000003</v>
      </c>
      <c r="HS37" s="11">
        <v>190299538.3556</v>
      </c>
      <c r="HT37" s="11">
        <v>139789639</v>
      </c>
      <c r="HU37" s="11">
        <v>66558931.059999995</v>
      </c>
      <c r="HV37" s="11">
        <v>115364533.08000003</v>
      </c>
      <c r="HW37" s="11">
        <v>45501910.949999996</v>
      </c>
      <c r="HX37" s="11">
        <v>25219501.550000001</v>
      </c>
      <c r="HY37" s="11">
        <v>212753307.26999998</v>
      </c>
      <c r="HZ37" s="11">
        <v>35149870.589999996</v>
      </c>
      <c r="IA37" s="11">
        <v>63484046.009999998</v>
      </c>
      <c r="IB37" s="11">
        <v>58749186.93</v>
      </c>
      <c r="IC37" s="11">
        <v>60146886.389999993</v>
      </c>
      <c r="ID37" s="11">
        <v>163575852.94</v>
      </c>
      <c r="IE37" s="11">
        <v>23386905.349999998</v>
      </c>
      <c r="IF37" s="11">
        <v>159862456.76999998</v>
      </c>
      <c r="IG37" s="11">
        <v>15880539.370000003</v>
      </c>
      <c r="IH37" s="11">
        <v>10902205.389999999</v>
      </c>
      <c r="II37" s="11">
        <v>284298541.38999999</v>
      </c>
      <c r="IJ37" s="11">
        <v>116812094.83</v>
      </c>
      <c r="IK37" s="11">
        <v>65423254.789999999</v>
      </c>
      <c r="IL37" s="11">
        <v>94342642.969999999</v>
      </c>
      <c r="IM37" s="11">
        <v>55833238.390000001</v>
      </c>
      <c r="IN37" s="11">
        <v>110846839.67000002</v>
      </c>
      <c r="IO37" s="11">
        <v>20422380.469999999</v>
      </c>
      <c r="IP37" s="11">
        <v>14344596.729999999</v>
      </c>
      <c r="IQ37" s="11">
        <v>26792389.239999998</v>
      </c>
      <c r="IR37" s="11">
        <v>40576793.43</v>
      </c>
      <c r="IS37" s="11">
        <v>77063073.490000024</v>
      </c>
      <c r="IT37" s="11">
        <v>295454107.40000004</v>
      </c>
      <c r="IU37" s="11">
        <v>172674954.55000001</v>
      </c>
      <c r="IV37" s="11">
        <v>174964409.93999997</v>
      </c>
      <c r="IW37" s="11">
        <v>99535184.38000001</v>
      </c>
      <c r="IX37" s="11">
        <v>86411108.859999999</v>
      </c>
      <c r="IY37" s="11">
        <v>38802074.93</v>
      </c>
      <c r="IZ37" s="11">
        <v>29497887.789999999</v>
      </c>
      <c r="JA37" s="11">
        <v>32257459.259999998</v>
      </c>
      <c r="JB37" s="11">
        <v>27464743.640000001</v>
      </c>
      <c r="JC37" s="11">
        <v>55682575.549999997</v>
      </c>
      <c r="JD37" s="11">
        <v>99237377.39000003</v>
      </c>
      <c r="JE37" s="11">
        <v>19988862.469999995</v>
      </c>
      <c r="JF37" s="11">
        <v>165633951.82000002</v>
      </c>
      <c r="JG37" s="11">
        <v>90963505.62000002</v>
      </c>
      <c r="JH37" s="11">
        <v>22605271.609999999</v>
      </c>
      <c r="JI37" s="11">
        <v>11631809.370000001</v>
      </c>
      <c r="JJ37" s="11">
        <v>20245308.990000002</v>
      </c>
      <c r="JK37" s="11">
        <v>42624630.93</v>
      </c>
      <c r="JL37" s="11">
        <v>271892098.84000003</v>
      </c>
      <c r="JM37" s="11">
        <v>159767824.35999998</v>
      </c>
      <c r="JN37" s="11">
        <v>115719416.82000001</v>
      </c>
      <c r="JO37" s="11">
        <v>124115820.87</v>
      </c>
      <c r="JP37" s="11">
        <v>35543470.119999997</v>
      </c>
      <c r="JQ37" s="11">
        <v>129884642.86</v>
      </c>
      <c r="JR37" s="11">
        <v>36145818.359999999</v>
      </c>
      <c r="JS37" s="11">
        <v>613279963.72000003</v>
      </c>
      <c r="JT37" s="11">
        <v>509746823.78999996</v>
      </c>
      <c r="JU37" s="11">
        <v>73229800.280000001</v>
      </c>
      <c r="JV37" s="11">
        <v>14594998.58</v>
      </c>
      <c r="JW37" s="11">
        <v>79678098.099999994</v>
      </c>
      <c r="JX37" s="11">
        <v>12493097.450000001</v>
      </c>
      <c r="JY37" s="11">
        <v>81947953.889999986</v>
      </c>
      <c r="JZ37" s="11">
        <v>69553921.120000005</v>
      </c>
      <c r="KA37" s="11">
        <v>47238157.750000007</v>
      </c>
      <c r="KB37" s="11">
        <v>31802641.75</v>
      </c>
      <c r="KC37" s="11">
        <v>72235391.049999997</v>
      </c>
      <c r="KD37" s="11">
        <v>57483083.360000007</v>
      </c>
      <c r="KE37" s="11">
        <v>18803495.18</v>
      </c>
      <c r="KF37" s="11">
        <v>18867495.739999998</v>
      </c>
      <c r="KG37" s="11">
        <v>37890245.960000008</v>
      </c>
      <c r="KH37" s="11">
        <v>10967399.989999998</v>
      </c>
      <c r="KI37" s="11">
        <v>1278490001.0700002</v>
      </c>
      <c r="KJ37" s="11">
        <v>71928316.5</v>
      </c>
      <c r="KK37" s="11">
        <v>93313747.340000004</v>
      </c>
      <c r="KL37" s="11">
        <v>73146484.340000004</v>
      </c>
      <c r="KM37" s="11">
        <v>142325772.17999998</v>
      </c>
      <c r="KN37" s="11">
        <v>117481537.59</v>
      </c>
      <c r="KO37" s="11">
        <v>87905559.420000002</v>
      </c>
      <c r="KP37" s="11">
        <v>92733441.430000007</v>
      </c>
      <c r="KQ37" s="11">
        <v>76608918.829999998</v>
      </c>
      <c r="KR37" s="11">
        <v>236132432.04999995</v>
      </c>
      <c r="KS37" s="11">
        <v>73197396.829999998</v>
      </c>
      <c r="KT37" s="11">
        <v>53238264.060000002</v>
      </c>
      <c r="KU37" s="11">
        <v>117022705.39999999</v>
      </c>
      <c r="KV37" s="11">
        <v>52152540.120000005</v>
      </c>
      <c r="KW37" s="11">
        <v>133533839.61999999</v>
      </c>
      <c r="KX37" s="11">
        <v>557253392.32000005</v>
      </c>
      <c r="KY37" s="11">
        <v>197317099.81000003</v>
      </c>
      <c r="KZ37" s="11">
        <v>812066026.15999973</v>
      </c>
      <c r="LA37" s="11">
        <v>122775437.15000001</v>
      </c>
      <c r="LB37" s="11">
        <v>77068042.590000004</v>
      </c>
      <c r="LC37" s="11">
        <v>163866173.09999999</v>
      </c>
      <c r="LD37" s="11">
        <v>178317942.34999999</v>
      </c>
      <c r="LE37" s="11">
        <v>105320975.23999999</v>
      </c>
      <c r="LF37" s="11">
        <v>118003218.97</v>
      </c>
      <c r="LG37" s="11">
        <v>96554914.650000006</v>
      </c>
      <c r="LH37" s="11">
        <v>1064159616.8700002</v>
      </c>
      <c r="LI37" s="11">
        <v>208752551.32000002</v>
      </c>
      <c r="LJ37" s="11">
        <v>509428552.84999996</v>
      </c>
      <c r="LK37" s="11">
        <v>309107280.71000004</v>
      </c>
      <c r="LL37" s="11">
        <v>46800387.590000004</v>
      </c>
      <c r="LM37" s="11">
        <v>55243699.020000003</v>
      </c>
      <c r="LN37" s="11">
        <v>13693819.500000002</v>
      </c>
      <c r="LO37" s="11">
        <v>110903866.90000001</v>
      </c>
      <c r="LP37" s="11">
        <v>18901388.559999999</v>
      </c>
      <c r="LQ37" s="11">
        <v>72316163.680000007</v>
      </c>
      <c r="LR37" s="11">
        <v>20378827.170000002</v>
      </c>
      <c r="LS37" s="11">
        <v>172340638.42000002</v>
      </c>
      <c r="LT37" s="11">
        <v>61057669.349999994</v>
      </c>
      <c r="LU37" s="11">
        <v>38178258.719999999</v>
      </c>
      <c r="LV37" s="11">
        <v>1788949529.6400001</v>
      </c>
      <c r="LW37" s="11">
        <v>605254437.05000007</v>
      </c>
      <c r="LX37" s="11">
        <v>845780156.63999999</v>
      </c>
      <c r="LY37" s="11">
        <v>281038090.04999995</v>
      </c>
      <c r="LZ37" s="11">
        <v>50236533.779999994</v>
      </c>
      <c r="MA37" s="11">
        <v>169587161.97</v>
      </c>
      <c r="MB37" s="11">
        <v>86104887.010000005</v>
      </c>
      <c r="MC37" s="11">
        <v>72567358.799999997</v>
      </c>
      <c r="MD37" s="11">
        <v>120308872.56999999</v>
      </c>
      <c r="ME37" s="11">
        <v>186851734.21000001</v>
      </c>
      <c r="MF37" s="11">
        <v>95390243.089999989</v>
      </c>
      <c r="MG37" s="11">
        <v>68484559.219999999</v>
      </c>
      <c r="MH37" s="11">
        <v>634051321.31000006</v>
      </c>
      <c r="MI37" s="11">
        <v>44467261.769999996</v>
      </c>
      <c r="MJ37" s="11">
        <v>56209362.129999995</v>
      </c>
      <c r="MK37" s="11">
        <v>33738659.890000001</v>
      </c>
      <c r="ML37" s="11">
        <v>40096051.110000007</v>
      </c>
      <c r="MM37" s="11">
        <v>80293678.439999998</v>
      </c>
      <c r="MN37" s="11">
        <v>11440660.92</v>
      </c>
      <c r="MO37" s="11">
        <v>25796707.039999999</v>
      </c>
      <c r="MP37" s="11">
        <v>57421980.369999997</v>
      </c>
      <c r="MQ37" s="11">
        <v>35346786.640000001</v>
      </c>
      <c r="MR37" s="11">
        <v>26930334.91</v>
      </c>
      <c r="MS37" s="11">
        <v>46176129.649999999</v>
      </c>
      <c r="MT37" s="11">
        <v>801406566.64999998</v>
      </c>
      <c r="MU37" s="11">
        <v>41608557.75</v>
      </c>
      <c r="MV37" s="11">
        <v>174344707.39999998</v>
      </c>
      <c r="MW37" s="11">
        <v>99219221.520000011</v>
      </c>
      <c r="MX37" s="11">
        <v>118748165.69999999</v>
      </c>
      <c r="MY37" s="11">
        <v>74775833.650000006</v>
      </c>
      <c r="MZ37" s="11">
        <v>267525544.89999998</v>
      </c>
      <c r="NA37" s="11">
        <v>69132880.159999996</v>
      </c>
      <c r="NB37" s="11">
        <v>132303311.45</v>
      </c>
      <c r="NC37" s="11">
        <v>12354061.020000001</v>
      </c>
      <c r="ND37" s="11">
        <v>42192844.790000007</v>
      </c>
      <c r="NE37" s="11">
        <v>1750751981.0799997</v>
      </c>
      <c r="NF37" s="11">
        <v>537942254.20000005</v>
      </c>
      <c r="NG37" s="11">
        <v>55468723.979999997</v>
      </c>
      <c r="NH37" s="11">
        <v>950550421.75999987</v>
      </c>
      <c r="NI37" s="11">
        <v>38349476.270000003</v>
      </c>
      <c r="NJ37" s="11">
        <v>156920259.78999999</v>
      </c>
      <c r="NK37" s="11">
        <v>488380192.79999995</v>
      </c>
      <c r="NL37" s="11">
        <v>422199255.25000006</v>
      </c>
      <c r="NM37" s="11">
        <v>37820572.680000007</v>
      </c>
      <c r="NN37" s="11">
        <v>262959975.44999999</v>
      </c>
      <c r="NO37" s="11">
        <v>134008682.97999999</v>
      </c>
      <c r="NP37" s="11">
        <v>84245084.010000005</v>
      </c>
      <c r="NQ37" s="11">
        <v>324016127.25000006</v>
      </c>
      <c r="NR37" s="11">
        <v>38802800.480000004</v>
      </c>
      <c r="NS37" s="11">
        <v>26879658.929999996</v>
      </c>
      <c r="NT37" s="11">
        <v>46525105.939999998</v>
      </c>
      <c r="NU37" s="11">
        <v>42445494.139999993</v>
      </c>
      <c r="NV37" s="11">
        <v>15916407.330000002</v>
      </c>
      <c r="NW37" s="11">
        <v>21661620.579999998</v>
      </c>
      <c r="NX37" s="11">
        <v>667901981.28000009</v>
      </c>
      <c r="NY37" s="11">
        <v>481412096.68000001</v>
      </c>
      <c r="NZ37" s="11">
        <v>86140330.769999996</v>
      </c>
      <c r="OA37" s="11">
        <v>15353690.790000001</v>
      </c>
      <c r="OB37" s="11">
        <v>50681640.280000009</v>
      </c>
      <c r="OC37" s="11">
        <v>79056135.239999995</v>
      </c>
      <c r="OD37" s="11">
        <v>18465802.82</v>
      </c>
      <c r="OE37" s="11">
        <v>1307209392.74</v>
      </c>
      <c r="OF37" s="11">
        <v>59543018.259999998</v>
      </c>
      <c r="OG37" s="11">
        <v>96922611.060000002</v>
      </c>
      <c r="OH37" s="11">
        <v>194278196.34</v>
      </c>
      <c r="OI37" s="11">
        <v>30638338.510000002</v>
      </c>
      <c r="OJ37" s="11">
        <v>143078400.99999997</v>
      </c>
      <c r="OK37" s="11">
        <v>142210568.40000001</v>
      </c>
      <c r="OL37" s="11">
        <v>31672569.73</v>
      </c>
      <c r="OM37" s="11">
        <v>145037426.68000001</v>
      </c>
      <c r="ON37" s="11">
        <v>1255772522.77</v>
      </c>
      <c r="OO37" s="11">
        <v>254566886.36000001</v>
      </c>
      <c r="OP37" s="11">
        <v>949477010.36000025</v>
      </c>
      <c r="OQ37" s="11">
        <v>205594903.62</v>
      </c>
      <c r="OR37" s="11">
        <v>53306659.620000005</v>
      </c>
      <c r="OS37" s="11">
        <v>141167105.30000001</v>
      </c>
      <c r="OT37" s="11">
        <v>712769641.07999957</v>
      </c>
      <c r="OU37" s="11">
        <v>62838029.149999999</v>
      </c>
      <c r="OV37" s="11">
        <v>118152551.35000002</v>
      </c>
      <c r="OW37" s="11">
        <v>103378659.59000002</v>
      </c>
      <c r="OX37" s="11">
        <v>89020879.449999988</v>
      </c>
      <c r="OY37" s="11">
        <v>326030940.79000002</v>
      </c>
      <c r="OZ37" s="11">
        <v>56306281.240000002</v>
      </c>
      <c r="PA37" s="11">
        <v>67367703.770000011</v>
      </c>
      <c r="PB37" s="11">
        <v>68815843.849999994</v>
      </c>
      <c r="PC37" s="11">
        <v>380173406.30000007</v>
      </c>
      <c r="PD37" s="11">
        <v>33497083.32</v>
      </c>
      <c r="PE37" s="11">
        <v>62015407.030000001</v>
      </c>
      <c r="PF37" s="11">
        <v>20099843.43</v>
      </c>
      <c r="PG37" s="11">
        <v>55367896.519999996</v>
      </c>
      <c r="PH37" s="11">
        <v>144504951.58000004</v>
      </c>
      <c r="PI37" s="11">
        <v>30404300.309999999</v>
      </c>
      <c r="PJ37" s="11">
        <v>30636144.810000002</v>
      </c>
      <c r="PK37" s="11">
        <v>38064308.030000001</v>
      </c>
      <c r="PL37" s="11">
        <v>31304953.509999998</v>
      </c>
      <c r="PM37" s="11">
        <v>84443130.319999993</v>
      </c>
      <c r="PN37" s="11">
        <v>88178729.560000002</v>
      </c>
      <c r="PO37" s="11">
        <v>15023772.909999998</v>
      </c>
      <c r="PP37" s="11">
        <v>128909324.52</v>
      </c>
      <c r="PQ37" s="11">
        <v>18597481.109999999</v>
      </c>
      <c r="PR37" s="11">
        <v>31227864.140000001</v>
      </c>
      <c r="PS37" s="11">
        <v>15967278.539999999</v>
      </c>
      <c r="PT37" s="11">
        <v>26815946.809999999</v>
      </c>
      <c r="PU37" s="11">
        <v>529508284.83999997</v>
      </c>
      <c r="PV37" s="11">
        <v>63568837.190000005</v>
      </c>
      <c r="PW37" s="11">
        <v>14982361.789999999</v>
      </c>
      <c r="PX37" s="11">
        <v>105355597.79000001</v>
      </c>
      <c r="PY37" s="11">
        <v>358614571.17999995</v>
      </c>
      <c r="PZ37" s="11">
        <v>45592715.310000002</v>
      </c>
      <c r="QA37" s="11">
        <v>74873598.810000002</v>
      </c>
      <c r="QB37" s="11">
        <v>38559316.18</v>
      </c>
      <c r="QC37" s="11">
        <v>140784578.08000001</v>
      </c>
      <c r="QD37" s="11">
        <v>13141759.68</v>
      </c>
      <c r="QE37" s="11">
        <v>214271759.75999999</v>
      </c>
      <c r="QF37" s="11">
        <v>22341492.52</v>
      </c>
      <c r="QG37" s="11">
        <v>39767763.299999997</v>
      </c>
      <c r="QH37" s="11">
        <v>78666423.029999986</v>
      </c>
      <c r="QI37" s="11">
        <v>18587291.460000001</v>
      </c>
      <c r="QJ37" s="11">
        <v>71402633.340000004</v>
      </c>
      <c r="QK37" s="11">
        <v>26657020.949999999</v>
      </c>
      <c r="QL37" s="11">
        <v>13174686.52</v>
      </c>
      <c r="QM37" s="11">
        <v>5018853.47</v>
      </c>
      <c r="QN37" s="11">
        <v>75264117.439999998</v>
      </c>
      <c r="QO37" s="11">
        <v>136231360.71000001</v>
      </c>
      <c r="QP37" s="11">
        <v>18468724.129999995</v>
      </c>
      <c r="QQ37" s="11">
        <v>11300960.73</v>
      </c>
      <c r="QR37" s="11">
        <v>4813326.08</v>
      </c>
      <c r="QS37" s="11">
        <v>11621247.520000001</v>
      </c>
      <c r="QT37" s="11">
        <v>26528580.84</v>
      </c>
      <c r="QU37" s="11">
        <v>453256313.68000001</v>
      </c>
      <c r="QV37" s="11">
        <v>22954534.539999999</v>
      </c>
      <c r="QW37" s="11">
        <v>192726981.63999999</v>
      </c>
      <c r="QX37" s="11">
        <v>49520505.909999996</v>
      </c>
      <c r="QY37" s="11">
        <v>34313246.979999997</v>
      </c>
      <c r="QZ37" s="11">
        <v>207923139.81</v>
      </c>
      <c r="RA37" s="11">
        <v>39924680.640000001</v>
      </c>
      <c r="RB37" s="11">
        <v>108748486.27</v>
      </c>
      <c r="RC37" s="11">
        <v>141423339.78</v>
      </c>
      <c r="RD37" s="11">
        <v>28948737.27</v>
      </c>
      <c r="RE37" s="11">
        <v>20193822.210000001</v>
      </c>
      <c r="RF37" s="11">
        <v>69605342.019999996</v>
      </c>
      <c r="RG37" s="11">
        <v>25722496.470000003</v>
      </c>
      <c r="RH37" s="11">
        <v>1250092510.4000001</v>
      </c>
      <c r="RI37" s="11">
        <v>95288254.079999998</v>
      </c>
      <c r="RJ37" s="11">
        <v>30540262.379999999</v>
      </c>
      <c r="RK37" s="11">
        <v>95595894.019999996</v>
      </c>
      <c r="RL37" s="11">
        <v>51841830.829999998</v>
      </c>
      <c r="RM37" s="11">
        <v>66032036.219999999</v>
      </c>
      <c r="RN37" s="11">
        <v>39522984.890000001</v>
      </c>
      <c r="RO37" s="11">
        <v>76329351.339999989</v>
      </c>
      <c r="RP37" s="11">
        <v>76975607.290000007</v>
      </c>
      <c r="RQ37" s="11">
        <v>39668007.589999996</v>
      </c>
      <c r="RR37" s="11">
        <v>172452681.09</v>
      </c>
      <c r="RS37" s="11">
        <v>31286650.630000003</v>
      </c>
      <c r="RT37" s="11">
        <v>25883275.979999997</v>
      </c>
      <c r="RU37" s="11">
        <v>42217420.219999999</v>
      </c>
      <c r="RV37" s="11">
        <v>16456686.67</v>
      </c>
      <c r="RW37" s="11">
        <v>23339258.780000001</v>
      </c>
      <c r="RX37" s="11">
        <v>39954999.479999997</v>
      </c>
      <c r="RY37" s="11">
        <v>55150254.780000001</v>
      </c>
      <c r="RZ37" s="11">
        <v>13367139.060000001</v>
      </c>
      <c r="SA37" s="11">
        <v>35518837.399999999</v>
      </c>
      <c r="SB37" s="11">
        <v>208835856.82000005</v>
      </c>
      <c r="SC37" s="11">
        <v>77677517.25999999</v>
      </c>
      <c r="SD37" s="11">
        <v>42965184.960000001</v>
      </c>
      <c r="SE37" s="11">
        <v>37248341.970000006</v>
      </c>
      <c r="SF37" s="11">
        <v>17272467.469999999</v>
      </c>
      <c r="SG37" s="11">
        <v>28527821.07</v>
      </c>
      <c r="SH37" s="11">
        <v>46131882.240000002</v>
      </c>
      <c r="SI37" s="11">
        <v>40986553.329999998</v>
      </c>
      <c r="SJ37" s="11">
        <v>46788591.699999996</v>
      </c>
      <c r="SK37" s="11">
        <v>52890535.329999998</v>
      </c>
      <c r="SL37" s="11">
        <v>19039597.050000001</v>
      </c>
      <c r="SM37" s="11">
        <v>8270445.7300000004</v>
      </c>
      <c r="SN37" s="11">
        <v>178734198.48999998</v>
      </c>
      <c r="SO37" s="11">
        <v>54619756.25</v>
      </c>
      <c r="SP37" s="11">
        <v>36281991.170000002</v>
      </c>
      <c r="SQ37" s="11">
        <v>57917798.700000003</v>
      </c>
      <c r="SR37" s="11">
        <v>47740348.599999994</v>
      </c>
      <c r="SS37" s="11">
        <v>44962715.930000007</v>
      </c>
      <c r="ST37" s="11">
        <v>63471054.049999997</v>
      </c>
      <c r="SU37" s="11">
        <v>20864708.520000003</v>
      </c>
      <c r="SV37" s="11">
        <v>98608687.170000002</v>
      </c>
      <c r="SW37" s="11">
        <v>37117392.929999992</v>
      </c>
      <c r="SX37" s="11">
        <v>28351179.430000003</v>
      </c>
      <c r="SY37" s="11">
        <v>43435970.140000008</v>
      </c>
      <c r="SZ37" s="11">
        <v>10327617.699999999</v>
      </c>
      <c r="TA37" s="11">
        <v>17854152.989999998</v>
      </c>
      <c r="TB37" s="11">
        <v>23382864.029999997</v>
      </c>
      <c r="TC37" s="11">
        <v>56720856.82</v>
      </c>
      <c r="TD37" s="11">
        <v>13886850.57</v>
      </c>
      <c r="TE37" s="11">
        <v>12005327.02</v>
      </c>
      <c r="TF37" s="11">
        <v>29224405.84</v>
      </c>
      <c r="TG37" s="11">
        <v>38632413.869999997</v>
      </c>
      <c r="TH37" s="11">
        <v>62497292.470000006</v>
      </c>
      <c r="TI37" s="11">
        <v>16565963.35</v>
      </c>
      <c r="TJ37" s="11">
        <v>216349084.27999997</v>
      </c>
      <c r="TK37" s="11">
        <v>65665539.479999997</v>
      </c>
      <c r="TL37" s="11">
        <v>45078238.259999998</v>
      </c>
      <c r="TM37" s="11">
        <v>33574800.880000003</v>
      </c>
      <c r="TN37" s="11">
        <v>35991298.760000005</v>
      </c>
      <c r="TO37" s="11">
        <v>28567898.739999998</v>
      </c>
      <c r="TP37" s="11">
        <v>19395692.84</v>
      </c>
      <c r="TQ37" s="11">
        <v>94769760.950000003</v>
      </c>
      <c r="TR37" s="11">
        <v>41802680.610000007</v>
      </c>
      <c r="TS37" s="11">
        <v>27933570.210000001</v>
      </c>
      <c r="TT37" s="11">
        <v>38688406.290000007</v>
      </c>
      <c r="TU37" s="11">
        <v>41576395.57</v>
      </c>
      <c r="TV37" s="11">
        <v>10638243.9</v>
      </c>
      <c r="TW37" s="11">
        <v>24789395.010000002</v>
      </c>
      <c r="TX37" s="11">
        <v>26877884.77</v>
      </c>
      <c r="TY37" s="11">
        <v>52330542.230000004</v>
      </c>
      <c r="TZ37" s="11">
        <v>153644479.23000002</v>
      </c>
      <c r="UA37" s="11">
        <v>42965244.75999999</v>
      </c>
      <c r="UB37" s="11">
        <v>432153997.53000003</v>
      </c>
      <c r="UC37" s="11">
        <v>38134223.240000002</v>
      </c>
      <c r="UD37" s="11">
        <v>9071588.1199999992</v>
      </c>
      <c r="UE37" s="11">
        <v>16766547.43</v>
      </c>
      <c r="UF37" s="11">
        <v>30750925.34</v>
      </c>
      <c r="UG37" s="11">
        <v>29025192.960000001</v>
      </c>
      <c r="UH37" s="11">
        <v>6632346.9100000001</v>
      </c>
      <c r="UI37" s="11">
        <v>50437313.82</v>
      </c>
      <c r="UJ37" s="11">
        <v>17663273.490000002</v>
      </c>
      <c r="UK37" s="11">
        <v>273254785.04999995</v>
      </c>
      <c r="UL37" s="11">
        <v>56738953.779999994</v>
      </c>
      <c r="UM37" s="11">
        <v>37092751.100000001</v>
      </c>
      <c r="UN37" s="11">
        <v>50885554.789999999</v>
      </c>
      <c r="UO37" s="11">
        <v>51307576.280000001</v>
      </c>
      <c r="UP37" s="11">
        <v>26541646.920000002</v>
      </c>
      <c r="UQ37" s="11">
        <v>1226877767.6699998</v>
      </c>
      <c r="UR37" s="11">
        <v>33890749.32</v>
      </c>
      <c r="US37" s="11">
        <v>28250704.890000001</v>
      </c>
      <c r="UT37" s="11">
        <v>137759472.95000002</v>
      </c>
      <c r="UU37" s="11">
        <v>39930294.770000003</v>
      </c>
      <c r="UV37" s="11">
        <v>14212060.289999999</v>
      </c>
      <c r="UW37" s="11">
        <v>69561628.769999996</v>
      </c>
      <c r="UX37" s="11">
        <v>16314031.380000001</v>
      </c>
      <c r="UY37" s="11">
        <v>8080638.96</v>
      </c>
      <c r="UZ37" s="11">
        <v>50804189.390000001</v>
      </c>
      <c r="VA37" s="11">
        <v>39403927.070000008</v>
      </c>
      <c r="VB37" s="11">
        <v>77308346.519999996</v>
      </c>
      <c r="VC37" s="11">
        <v>79706255.36999999</v>
      </c>
      <c r="VD37" s="11">
        <v>86959459.219999999</v>
      </c>
      <c r="VE37" s="11">
        <v>29359148.439999998</v>
      </c>
      <c r="VF37" s="11">
        <v>21018367.789999999</v>
      </c>
      <c r="VG37" s="11">
        <v>34987907.75</v>
      </c>
      <c r="VH37" s="11">
        <v>26284948.600000001</v>
      </c>
      <c r="VI37" s="11">
        <v>84544325.829999998</v>
      </c>
      <c r="VJ37" s="11">
        <v>5613938.1099999994</v>
      </c>
      <c r="VK37" s="11">
        <v>28803171.539999999</v>
      </c>
      <c r="VL37" s="11">
        <v>21658505.59</v>
      </c>
      <c r="VM37" s="11">
        <v>393741125.33999991</v>
      </c>
      <c r="VN37" s="11">
        <v>39294796.460000001</v>
      </c>
      <c r="VO37" s="11">
        <v>68743246.299999997</v>
      </c>
      <c r="VP37" s="11">
        <v>61405773.859999999</v>
      </c>
      <c r="VQ37" s="11">
        <v>61894699.549999997</v>
      </c>
      <c r="VR37" s="11">
        <v>49503592.219999999</v>
      </c>
      <c r="VS37" s="11">
        <v>41649487.980000004</v>
      </c>
      <c r="VT37" s="11">
        <v>22930309.720000003</v>
      </c>
      <c r="VU37" s="11">
        <v>67488816.390000001</v>
      </c>
      <c r="VV37" s="11">
        <v>177395183.44</v>
      </c>
      <c r="VW37" s="11">
        <v>28124213.940000001</v>
      </c>
      <c r="VX37" s="11">
        <v>136416048.68000001</v>
      </c>
      <c r="VY37" s="11">
        <v>54214155.090000018</v>
      </c>
      <c r="VZ37" s="11">
        <v>63604723.360000007</v>
      </c>
      <c r="WA37" s="11">
        <v>16917250.899999999</v>
      </c>
      <c r="WB37" s="11">
        <v>3253330040.0599995</v>
      </c>
      <c r="WC37" s="11">
        <v>70594437.370000005</v>
      </c>
      <c r="WD37" s="11">
        <v>98012996.469999999</v>
      </c>
      <c r="WE37" s="11">
        <v>99252579.590000004</v>
      </c>
      <c r="WF37" s="11">
        <v>44641993.959999993</v>
      </c>
      <c r="WG37" s="11">
        <v>33261938.040000007</v>
      </c>
      <c r="WH37" s="11">
        <v>77477341.120000005</v>
      </c>
      <c r="WI37" s="11">
        <v>88574496.190000013</v>
      </c>
      <c r="WJ37" s="11">
        <v>81179786.74000001</v>
      </c>
      <c r="WK37" s="11">
        <v>88624476.810000017</v>
      </c>
      <c r="WL37" s="11">
        <v>22696797.400000002</v>
      </c>
      <c r="WM37" s="11">
        <v>48573316.45000001</v>
      </c>
      <c r="WN37" s="11">
        <v>80023839.570000008</v>
      </c>
      <c r="WO37" s="11">
        <v>75224712.969999999</v>
      </c>
      <c r="WP37" s="11">
        <v>100181498.73999999</v>
      </c>
      <c r="WQ37" s="11">
        <v>86011908.349999994</v>
      </c>
      <c r="WR37" s="11">
        <v>48780190.160000004</v>
      </c>
      <c r="WS37" s="11">
        <v>119253244.69000001</v>
      </c>
      <c r="WT37" s="11">
        <v>31079700.609999999</v>
      </c>
      <c r="WU37" s="11">
        <v>94588994.679999992</v>
      </c>
      <c r="WV37" s="11">
        <v>198918298.14000005</v>
      </c>
      <c r="WW37" s="11">
        <v>40805199.00999999</v>
      </c>
      <c r="WX37" s="11">
        <v>50272676.169999994</v>
      </c>
      <c r="WY37" s="11">
        <v>26731446.880000006</v>
      </c>
      <c r="WZ37" s="11">
        <v>56938857.18999999</v>
      </c>
      <c r="XA37" s="11">
        <v>19890708.889999997</v>
      </c>
      <c r="XB37" s="11">
        <v>15995337.48</v>
      </c>
      <c r="XC37" s="11">
        <v>45394624.279999994</v>
      </c>
      <c r="XD37" s="11">
        <v>278578596.27999997</v>
      </c>
      <c r="XE37" s="11">
        <v>17141693.145</v>
      </c>
      <c r="XF37" s="11">
        <v>42146730.089999989</v>
      </c>
      <c r="XG37" s="11">
        <v>25315143.350000001</v>
      </c>
      <c r="XH37" s="11">
        <v>19158691.57</v>
      </c>
      <c r="XI37" s="11">
        <v>1141696532.4199998</v>
      </c>
      <c r="XJ37" s="11">
        <v>110165096.68000001</v>
      </c>
      <c r="XK37" s="11">
        <v>151544366.63</v>
      </c>
      <c r="XL37" s="11">
        <v>193503765.82000002</v>
      </c>
      <c r="XM37" s="11">
        <v>81462102.319999993</v>
      </c>
      <c r="XN37" s="11">
        <v>81992083.510000005</v>
      </c>
      <c r="XO37" s="11">
        <v>186804173.37</v>
      </c>
      <c r="XP37" s="11">
        <v>155820757.58000001</v>
      </c>
      <c r="XQ37" s="11">
        <v>46393932.379999995</v>
      </c>
      <c r="XR37" s="11">
        <v>165898939.17999998</v>
      </c>
      <c r="XS37" s="11">
        <v>133889115.82000001</v>
      </c>
      <c r="XT37" s="11">
        <v>49320827.640000001</v>
      </c>
      <c r="XU37" s="11">
        <v>58867114.859999999</v>
      </c>
      <c r="XV37" s="11">
        <v>85152432.620000005</v>
      </c>
      <c r="XW37" s="11">
        <v>94612743.579999983</v>
      </c>
      <c r="XX37" s="11">
        <v>17856971.930000003</v>
      </c>
      <c r="XY37" s="11">
        <v>33774159.340000004</v>
      </c>
      <c r="XZ37" s="11">
        <v>47711403.130000003</v>
      </c>
      <c r="YA37" s="11">
        <v>35781902.109999999</v>
      </c>
      <c r="YB37" s="11">
        <v>47149179.979999997</v>
      </c>
      <c r="YC37" s="11">
        <v>53352986.299999997</v>
      </c>
      <c r="YD37" s="11">
        <v>94644474.400000006</v>
      </c>
      <c r="YE37" s="11">
        <v>69793976.249999985</v>
      </c>
      <c r="YF37" s="11">
        <v>1043859458.5700001</v>
      </c>
      <c r="YG37" s="11">
        <v>128821787.15000001</v>
      </c>
      <c r="YH37" s="11">
        <v>163499761.33000001</v>
      </c>
      <c r="YI37" s="11">
        <v>111643158.23</v>
      </c>
      <c r="YJ37" s="11">
        <v>416182417.52000004</v>
      </c>
      <c r="YK37" s="11">
        <v>91639973.519999996</v>
      </c>
      <c r="YL37" s="11">
        <v>154701097.69</v>
      </c>
      <c r="YM37" s="11">
        <v>59975667.24000001</v>
      </c>
      <c r="YN37" s="11">
        <v>102847695.62</v>
      </c>
      <c r="YO37" s="11">
        <v>137751663.90000001</v>
      </c>
      <c r="YP37" s="11">
        <v>81183875.75</v>
      </c>
      <c r="YQ37" s="11">
        <v>92399767.840000018</v>
      </c>
      <c r="YR37" s="11">
        <v>65434460.270000003</v>
      </c>
      <c r="YS37" s="11">
        <v>66337885.119999997</v>
      </c>
      <c r="YT37" s="11">
        <v>109095837.77</v>
      </c>
      <c r="YU37" s="11">
        <v>137250457.36000001</v>
      </c>
      <c r="YV37" s="11">
        <v>76930686.720000014</v>
      </c>
      <c r="YW37" s="11">
        <v>215410547.26000005</v>
      </c>
      <c r="YX37" s="11">
        <v>34818621.809999995</v>
      </c>
      <c r="YY37" s="11">
        <v>44129153.390000001</v>
      </c>
      <c r="YZ37" s="11">
        <v>42395735.129999995</v>
      </c>
      <c r="ZA37" s="11">
        <v>19977691.380000003</v>
      </c>
      <c r="ZB37" s="11">
        <v>24778455.619999994</v>
      </c>
      <c r="ZC37" s="11">
        <v>32608380.989999998</v>
      </c>
      <c r="ZD37" s="11">
        <v>311842996.38000005</v>
      </c>
      <c r="ZE37" s="11">
        <v>32177751.760000002</v>
      </c>
      <c r="ZF37" s="11">
        <v>75204860.36999999</v>
      </c>
      <c r="ZG37" s="11">
        <v>38735030.389999993</v>
      </c>
      <c r="ZH37" s="11">
        <v>56801611.510000005</v>
      </c>
      <c r="ZI37" s="11">
        <v>36438898.759999998</v>
      </c>
      <c r="ZJ37" s="11">
        <v>38595219.209999993</v>
      </c>
      <c r="ZK37" s="11">
        <v>31011717.02</v>
      </c>
      <c r="ZL37" s="11">
        <v>94982353.320000008</v>
      </c>
      <c r="ZM37" s="11">
        <v>464535276.51999998</v>
      </c>
      <c r="ZN37" s="11">
        <v>38106701.520000011</v>
      </c>
      <c r="ZO37" s="11">
        <v>81385644.487000003</v>
      </c>
      <c r="ZP37" s="11">
        <v>424576899.6500001</v>
      </c>
      <c r="ZQ37" s="11">
        <v>172042568.98999995</v>
      </c>
      <c r="ZR37" s="11">
        <v>69396734.847000003</v>
      </c>
      <c r="ZS37" s="11">
        <v>57502762.459999993</v>
      </c>
      <c r="ZT37" s="11">
        <v>195167187.09999999</v>
      </c>
      <c r="ZU37" s="11">
        <v>375494126.75</v>
      </c>
      <c r="ZV37" s="11">
        <v>66928200.179999992</v>
      </c>
      <c r="ZW37" s="11">
        <v>55175250.429999992</v>
      </c>
      <c r="ZX37" s="11">
        <v>65008457.309999995</v>
      </c>
      <c r="ZY37" s="11">
        <v>37034430.350000001</v>
      </c>
      <c r="ZZ37" s="11">
        <v>118309327.65000001</v>
      </c>
      <c r="AAA37" s="11">
        <v>30252318.900000002</v>
      </c>
      <c r="AAB37" s="11">
        <v>53755229.160000004</v>
      </c>
      <c r="AAC37" s="11">
        <v>64382087.859999999</v>
      </c>
      <c r="AAD37" s="11">
        <v>48134953.029999994</v>
      </c>
      <c r="AAE37" s="11">
        <v>87157032.319999993</v>
      </c>
      <c r="AAF37" s="11">
        <v>82808590.120000005</v>
      </c>
      <c r="AAG37" s="11">
        <v>26814802.010000005</v>
      </c>
      <c r="AAH37" s="11">
        <v>35415819.859999992</v>
      </c>
      <c r="AAI37" s="11">
        <v>177059363.02000004</v>
      </c>
      <c r="AAJ37" s="11">
        <v>31929929.120000001</v>
      </c>
      <c r="AAK37" s="11">
        <v>32612346.630000003</v>
      </c>
      <c r="AAL37" s="11">
        <v>11166641.559999999</v>
      </c>
      <c r="AAM37" s="11">
        <v>27459128.329999998</v>
      </c>
      <c r="AAN37" s="11">
        <v>24605696</v>
      </c>
      <c r="AAO37" s="11">
        <v>20985551.440000001</v>
      </c>
      <c r="AAP37" s="11">
        <v>1422528462.9599998</v>
      </c>
      <c r="AAQ37" s="11">
        <v>35045858.359999999</v>
      </c>
      <c r="AAR37" s="11">
        <v>59848179.769999996</v>
      </c>
      <c r="AAS37" s="11">
        <v>210368169.72999999</v>
      </c>
      <c r="AAT37" s="11">
        <v>64077296.439999998</v>
      </c>
      <c r="AAU37" s="11">
        <v>91106501.069999993</v>
      </c>
      <c r="AAV37" s="11">
        <v>38450008.809999995</v>
      </c>
      <c r="AAW37" s="11">
        <v>102935826.35999998</v>
      </c>
      <c r="AAX37" s="11">
        <v>143226274.09999999</v>
      </c>
      <c r="AAY37" s="11">
        <v>39920246.919999994</v>
      </c>
      <c r="AAZ37" s="11">
        <v>71240332.859999999</v>
      </c>
      <c r="ABA37" s="11">
        <v>162467973.81</v>
      </c>
      <c r="ABB37" s="11">
        <v>96187212.699999988</v>
      </c>
      <c r="ABC37" s="11">
        <v>17757160.07</v>
      </c>
      <c r="ABD37" s="11">
        <v>23616416.599999998</v>
      </c>
      <c r="ABE37" s="11">
        <v>41991664.410000004</v>
      </c>
      <c r="ABF37" s="11">
        <v>44471250.940000005</v>
      </c>
      <c r="ABG37" s="11">
        <v>75590069.739999995</v>
      </c>
      <c r="ABH37" s="11">
        <v>36611185.920000002</v>
      </c>
      <c r="ABI37" s="11">
        <v>179921311.74000001</v>
      </c>
      <c r="ABJ37" s="11">
        <v>140473155.38000003</v>
      </c>
      <c r="ABK37" s="11">
        <v>58422402.789999999</v>
      </c>
      <c r="ABL37" s="11">
        <v>34758716.880000003</v>
      </c>
      <c r="ABM37" s="11">
        <v>28052372.93</v>
      </c>
      <c r="ABN37" s="11">
        <v>47850140.529999994</v>
      </c>
      <c r="ABO37" s="11">
        <v>34450042.629999995</v>
      </c>
      <c r="ABP37" s="11">
        <v>419257544.75</v>
      </c>
      <c r="ABQ37" s="11">
        <v>97070364.030000001</v>
      </c>
      <c r="ABR37" s="11">
        <v>50485356.649999991</v>
      </c>
      <c r="ABS37" s="11">
        <v>165917867.26999998</v>
      </c>
      <c r="ABT37" s="11">
        <v>128898266.58000001</v>
      </c>
      <c r="ABU37" s="11">
        <v>118310945.83</v>
      </c>
      <c r="ABV37" s="11">
        <v>27244892.760000002</v>
      </c>
      <c r="ABW37" s="11">
        <v>58354570.899999991</v>
      </c>
      <c r="ABX37" s="11">
        <v>43796219.939999998</v>
      </c>
      <c r="ABY37" s="11">
        <v>259268137.24000004</v>
      </c>
      <c r="ABZ37" s="11">
        <v>46881240.180000007</v>
      </c>
      <c r="ACA37" s="11">
        <v>83745506.879999995</v>
      </c>
      <c r="ACB37" s="11">
        <v>34933831.210000001</v>
      </c>
      <c r="ACC37" s="11">
        <v>27383180.180000003</v>
      </c>
      <c r="ACD37" s="11">
        <v>108506107.95999999</v>
      </c>
      <c r="ACE37" s="11">
        <v>6908634.75</v>
      </c>
      <c r="ACF37" s="11">
        <v>11985552.59</v>
      </c>
      <c r="ACG37" s="11">
        <v>27689655.640000001</v>
      </c>
      <c r="ACH37" s="11">
        <v>42623123.969999999</v>
      </c>
      <c r="ACI37" s="11">
        <v>31579330.359999999</v>
      </c>
      <c r="ACJ37" s="11">
        <v>660103163.88999999</v>
      </c>
      <c r="ACK37" s="11">
        <v>48303567.050000004</v>
      </c>
      <c r="ACL37" s="11">
        <v>22726587.419999998</v>
      </c>
      <c r="ACM37" s="11">
        <v>119807680.73</v>
      </c>
      <c r="ACN37" s="11">
        <v>23807594.599999998</v>
      </c>
      <c r="ACO37" s="11">
        <v>36900681.439999998</v>
      </c>
      <c r="ACP37" s="11">
        <v>62364646.800000004</v>
      </c>
      <c r="ACQ37" s="11">
        <v>373572097.40999997</v>
      </c>
      <c r="ACR37" s="11">
        <v>380955138.36000001</v>
      </c>
      <c r="ACS37" s="11">
        <v>40759714.900000013</v>
      </c>
      <c r="ACT37" s="11">
        <v>69182637.159999996</v>
      </c>
      <c r="ACU37" s="11">
        <v>87382541.929999992</v>
      </c>
      <c r="ACV37" s="11">
        <v>87864974.62000002</v>
      </c>
      <c r="ACW37" s="11">
        <v>655560504.30000007</v>
      </c>
      <c r="ACX37" s="11">
        <v>20520573.890000001</v>
      </c>
      <c r="ACY37" s="11">
        <v>56321769.779999994</v>
      </c>
      <c r="ACZ37" s="11">
        <v>88679536.019999996</v>
      </c>
      <c r="ADA37" s="11">
        <v>21732867.84</v>
      </c>
      <c r="ADB37" s="11">
        <v>20501295.309999999</v>
      </c>
      <c r="ADC37" s="11">
        <v>18351044.949999999</v>
      </c>
      <c r="ADD37" s="11">
        <v>26168204.280000005</v>
      </c>
      <c r="ADE37" s="11">
        <v>33380704.850000001</v>
      </c>
      <c r="ADF37" s="11">
        <v>72597801.790000007</v>
      </c>
      <c r="ADG37" s="11">
        <v>70521248.180000007</v>
      </c>
      <c r="ADH37" s="11">
        <v>77643433.149999991</v>
      </c>
      <c r="ADI37" s="11">
        <v>30548685.91</v>
      </c>
      <c r="ADJ37" s="11">
        <v>18599756.709999997</v>
      </c>
      <c r="ADK37" s="11">
        <v>27336152.169999998</v>
      </c>
      <c r="ADL37" s="11">
        <v>17017040.669999998</v>
      </c>
      <c r="ADM37" s="11">
        <v>53002978.130000003</v>
      </c>
      <c r="ADN37" s="11">
        <v>31697194.699999999</v>
      </c>
      <c r="ADO37" s="11">
        <v>43086862.439999998</v>
      </c>
      <c r="ADP37" s="11">
        <v>732020311.38</v>
      </c>
      <c r="ADQ37" s="11">
        <v>179162658.21000004</v>
      </c>
      <c r="ADR37" s="11">
        <v>97942902.650000006</v>
      </c>
      <c r="ADS37" s="11">
        <v>52697493.400000006</v>
      </c>
      <c r="ADT37" s="11">
        <v>130177971.75999999</v>
      </c>
      <c r="ADU37" s="11">
        <v>4232749.3800000008</v>
      </c>
      <c r="ADV37" s="11">
        <v>21086007.73</v>
      </c>
      <c r="ADW37" s="11">
        <v>40480627.420000002</v>
      </c>
      <c r="ADX37" s="11">
        <v>3653138.19</v>
      </c>
      <c r="ADY37" s="11">
        <v>14568836.9</v>
      </c>
      <c r="ADZ37" s="11">
        <v>717206798.15000033</v>
      </c>
      <c r="AEA37" s="11">
        <v>224423617.24000001</v>
      </c>
      <c r="AEB37" s="11">
        <v>50589629.690000005</v>
      </c>
      <c r="AEC37" s="11">
        <v>54768064.290000007</v>
      </c>
      <c r="AED37" s="11">
        <v>40680028.800000004</v>
      </c>
      <c r="AEE37" s="11">
        <v>90757944.820000008</v>
      </c>
      <c r="AEF37" s="11">
        <v>51646056.75</v>
      </c>
      <c r="AEG37" s="11">
        <v>14238631.909999998</v>
      </c>
      <c r="AEH37" s="11">
        <v>17324420.010000002</v>
      </c>
      <c r="AEI37" s="11">
        <v>62193523.989999995</v>
      </c>
      <c r="AEJ37" s="11">
        <v>41342203.369999997</v>
      </c>
      <c r="AEK37" s="11">
        <v>152282634.01999998</v>
      </c>
      <c r="AEL37" s="11">
        <v>31351103.129999999</v>
      </c>
      <c r="AEM37" s="11">
        <v>19691652.530000001</v>
      </c>
      <c r="AEN37" s="11">
        <v>56707110.319999985</v>
      </c>
      <c r="AEO37" s="11">
        <v>75650603.099999994</v>
      </c>
      <c r="AEP37" s="11">
        <v>29605452.57</v>
      </c>
      <c r="AEQ37" s="11">
        <v>58531886.610000007</v>
      </c>
      <c r="AER37" s="11">
        <v>13462959.690000001</v>
      </c>
      <c r="AES37" s="11">
        <v>46337211.380000003</v>
      </c>
      <c r="AET37" s="11">
        <v>659676067.30999994</v>
      </c>
      <c r="AEU37" s="11">
        <v>97222697.980000019</v>
      </c>
      <c r="AEV37" s="11">
        <v>126059549.17999999</v>
      </c>
      <c r="AEW37" s="11">
        <v>39323393</v>
      </c>
      <c r="AEX37" s="11">
        <v>32581040.289999995</v>
      </c>
      <c r="AEY37" s="11">
        <v>63779837.720000006</v>
      </c>
      <c r="AEZ37" s="11">
        <v>37147634.059999995</v>
      </c>
      <c r="AFA37" s="11">
        <v>35711796.640000001</v>
      </c>
      <c r="AFB37" s="11">
        <v>20738827.169999998</v>
      </c>
      <c r="AFC37" s="11">
        <v>18563262.630000003</v>
      </c>
      <c r="AFD37" s="11">
        <v>523813730.79999995</v>
      </c>
      <c r="AFE37" s="11">
        <v>264378969.33999994</v>
      </c>
      <c r="AFF37" s="11">
        <v>101453129.10999998</v>
      </c>
      <c r="AFG37" s="11">
        <v>73910148.409999996</v>
      </c>
      <c r="AFH37" s="11">
        <v>229092302.59</v>
      </c>
      <c r="AFI37" s="11">
        <v>106603986.73</v>
      </c>
      <c r="AFJ37" s="11">
        <v>50952847.970000006</v>
      </c>
      <c r="AFK37" s="11">
        <v>45860571.909999996</v>
      </c>
      <c r="AFL37" s="11">
        <v>66563380.769999996</v>
      </c>
      <c r="AFM37" s="11">
        <v>69456640.790000007</v>
      </c>
      <c r="AFN37" s="11">
        <v>48741075.769999996</v>
      </c>
      <c r="AFO37" s="11">
        <v>63157020.239999995</v>
      </c>
      <c r="AFP37" s="11">
        <v>62391311.600000001</v>
      </c>
      <c r="AFQ37" s="11">
        <v>840213873.71000004</v>
      </c>
      <c r="AFR37" s="11">
        <v>96180899.86999999</v>
      </c>
      <c r="AFS37" s="11">
        <v>146079126.41</v>
      </c>
      <c r="AFT37" s="11">
        <v>65288894.5</v>
      </c>
      <c r="AFU37" s="11">
        <v>88412659.88000001</v>
      </c>
      <c r="AFV37" s="11">
        <v>76313349.959999993</v>
      </c>
      <c r="AFW37" s="11">
        <v>50921050.900000006</v>
      </c>
      <c r="AFX37" s="11">
        <v>174550199.78</v>
      </c>
      <c r="AFY37" s="11">
        <v>88123284.429999992</v>
      </c>
      <c r="AFZ37" s="11">
        <v>45535356.549999997</v>
      </c>
      <c r="AGA37" s="11">
        <v>238130916.97999999</v>
      </c>
      <c r="AGB37" s="11">
        <v>64127992.950000003</v>
      </c>
      <c r="AGC37" s="11">
        <v>532018149.03000003</v>
      </c>
      <c r="AGD37" s="11">
        <v>122087752.17999999</v>
      </c>
      <c r="AGE37" s="11">
        <v>46112213.979999997</v>
      </c>
      <c r="AGF37" s="11">
        <v>75783274.120000005</v>
      </c>
      <c r="AGG37" s="11">
        <v>133201451.19</v>
      </c>
      <c r="AGH37" s="11">
        <v>55273388.520000003</v>
      </c>
      <c r="AGI37" s="11">
        <v>47586199.809999995</v>
      </c>
      <c r="AGJ37" s="11">
        <v>67169535.480000004</v>
      </c>
      <c r="AGK37" s="11">
        <v>35729368.579999998</v>
      </c>
      <c r="AGL37" s="11">
        <v>46584985.080000006</v>
      </c>
      <c r="AGM37" s="11">
        <v>34395457.25</v>
      </c>
      <c r="AGN37" s="11">
        <v>1057020893.3700001</v>
      </c>
      <c r="AGO37" s="11">
        <v>146532769.60999995</v>
      </c>
      <c r="AGP37" s="11">
        <v>222957875.39000002</v>
      </c>
      <c r="AGQ37" s="11">
        <v>60814412.460000001</v>
      </c>
      <c r="AGR37" s="11">
        <v>204689063.05000001</v>
      </c>
      <c r="AGS37" s="11">
        <v>138720167.07999998</v>
      </c>
      <c r="AGT37" s="11">
        <v>31653911.140000001</v>
      </c>
      <c r="AGU37" s="11">
        <v>80127113.560000002</v>
      </c>
      <c r="AGV37" s="11">
        <v>832949985.17999983</v>
      </c>
      <c r="AGW37" s="11">
        <v>741765500.48000026</v>
      </c>
      <c r="AGX37" s="11">
        <v>33198018.82</v>
      </c>
      <c r="AGY37" s="11">
        <v>291479400.56999999</v>
      </c>
      <c r="AGZ37" s="11">
        <v>204166293.75000003</v>
      </c>
      <c r="AHA37" s="11">
        <v>180595976.63000005</v>
      </c>
      <c r="AHB37" s="11">
        <v>53858062.989999995</v>
      </c>
      <c r="AHC37" s="11">
        <v>56412337.970000006</v>
      </c>
      <c r="AHD37" s="11">
        <v>25198166.189999998</v>
      </c>
      <c r="AHE37" s="11">
        <v>122105399.67000002</v>
      </c>
      <c r="AHF37" s="11">
        <v>209369469.00999996</v>
      </c>
      <c r="AHG37" s="11">
        <v>101845385.61999999</v>
      </c>
      <c r="AHH37" s="11">
        <v>54093289.880000003</v>
      </c>
      <c r="AHI37" s="11">
        <v>82215273.109999999</v>
      </c>
      <c r="AHJ37" s="11">
        <v>48327131.149999999</v>
      </c>
      <c r="AHK37" s="11">
        <v>63434201.609999999</v>
      </c>
      <c r="AHL37" s="11">
        <v>34036002.079999991</v>
      </c>
      <c r="AHM37" s="11">
        <v>143463537.73000005</v>
      </c>
      <c r="AHN37" s="11">
        <v>60682804.090000004</v>
      </c>
      <c r="AHO37" s="11">
        <v>50245515.669999994</v>
      </c>
      <c r="AHP37" s="11">
        <v>32856609.539999999</v>
      </c>
      <c r="AHQ37" s="11">
        <v>25075167.139999997</v>
      </c>
      <c r="AHR37" s="11">
        <v>35427959.499999993</v>
      </c>
      <c r="AHS37" s="11">
        <v>21638605.390000001</v>
      </c>
      <c r="AHT37" s="11">
        <v>109603162611.6295</v>
      </c>
      <c r="AHU37" s="11"/>
    </row>
    <row r="38" spans="2:905" x14ac:dyDescent="0.7">
      <c r="B38" s="6" t="s">
        <v>653</v>
      </c>
      <c r="C38" s="6" t="s">
        <v>6386</v>
      </c>
      <c r="D38" s="11">
        <v>-522623666.34000003</v>
      </c>
      <c r="E38" s="11">
        <v>-28399225.93</v>
      </c>
      <c r="F38" s="11">
        <v>-44041055.589999996</v>
      </c>
      <c r="G38" s="11">
        <v>-7571775.0099999998</v>
      </c>
      <c r="H38" s="11">
        <v>-52410899.479999997</v>
      </c>
      <c r="I38" s="11">
        <v>-7958215.0699999994</v>
      </c>
      <c r="J38" s="11">
        <v>-125222963.94999999</v>
      </c>
      <c r="K38" s="11">
        <v>-20225522.140000001</v>
      </c>
      <c r="L38" s="11">
        <v>-23818631.340000004</v>
      </c>
      <c r="M38" s="11">
        <v>-22882639.110000007</v>
      </c>
      <c r="N38" s="11">
        <v>-18285130.299999997</v>
      </c>
      <c r="O38" s="11">
        <v>-19693085.939999994</v>
      </c>
      <c r="P38" s="11">
        <v>-50981867.299999997</v>
      </c>
      <c r="Q38" s="11">
        <v>-19798498.899999999</v>
      </c>
      <c r="R38" s="11">
        <v>-6105801.9399999995</v>
      </c>
      <c r="S38" s="11">
        <v>-51220447.010000005</v>
      </c>
      <c r="T38" s="11">
        <v>-10656892.73</v>
      </c>
      <c r="U38" s="11">
        <v>-7893081.2599999998</v>
      </c>
      <c r="V38" s="11">
        <v>-388599688.76000005</v>
      </c>
      <c r="W38" s="11">
        <v>-89633209.429999992</v>
      </c>
      <c r="X38" s="11">
        <v>-23855408.010000002</v>
      </c>
      <c r="Y38" s="11">
        <v>-35301311.149999991</v>
      </c>
      <c r="Z38" s="11">
        <v>-35365036.989999995</v>
      </c>
      <c r="AA38" s="11">
        <v>-40113572.630000003</v>
      </c>
      <c r="AB38" s="11">
        <v>-25516437.609999999</v>
      </c>
      <c r="AC38" s="11">
        <v>-184526341.63999996</v>
      </c>
      <c r="AD38" s="11">
        <v>-47939697.280000009</v>
      </c>
      <c r="AE38" s="11">
        <v>-49062869.030000009</v>
      </c>
      <c r="AF38" s="11">
        <v>-200345652.07999998</v>
      </c>
      <c r="AG38" s="11">
        <v>-47820563.57</v>
      </c>
      <c r="AH38" s="11">
        <v>-75133284.080000013</v>
      </c>
      <c r="AI38" s="11">
        <v>-94144108.809999987</v>
      </c>
      <c r="AJ38" s="11">
        <v>-26294220.530000001</v>
      </c>
      <c r="AK38" s="11">
        <v>-21205672.190000001</v>
      </c>
      <c r="AL38" s="11">
        <v>-22478337.700000007</v>
      </c>
      <c r="AM38" s="11">
        <v>-54935928.320000008</v>
      </c>
      <c r="AN38" s="11">
        <v>-37866564.850000001</v>
      </c>
      <c r="AO38" s="11">
        <v>-29902643.310000002</v>
      </c>
      <c r="AP38" s="11">
        <v>-22997914.210000001</v>
      </c>
      <c r="AQ38" s="11">
        <v>-18052295.169999994</v>
      </c>
      <c r="AR38" s="11">
        <v>-34572250.589999996</v>
      </c>
      <c r="AS38" s="11">
        <v>-20550463.719999999</v>
      </c>
      <c r="AT38" s="11">
        <v>-126068970.35999998</v>
      </c>
      <c r="AU38" s="11">
        <v>-9359954.5499999989</v>
      </c>
      <c r="AV38" s="11">
        <v>-7566199.1699999999</v>
      </c>
      <c r="AW38" s="11">
        <v>-9968137.9600000028</v>
      </c>
      <c r="AX38" s="11">
        <v>-22853832.760000002</v>
      </c>
      <c r="AY38" s="11">
        <v>-38672102.109999999</v>
      </c>
      <c r="AZ38" s="11">
        <v>-7578207.5800000001</v>
      </c>
      <c r="BA38" s="11">
        <v>-10954906.289999999</v>
      </c>
      <c r="BB38" s="11">
        <v>-4563889.83</v>
      </c>
      <c r="BC38" s="11">
        <v>-11499175.729999999</v>
      </c>
      <c r="BD38" s="11">
        <v>-4634924.92</v>
      </c>
      <c r="BE38" s="11">
        <v>-13447160.059999999</v>
      </c>
      <c r="BF38" s="11">
        <v>-61471602.610000014</v>
      </c>
      <c r="BG38" s="11">
        <v>-3048256.2000000007</v>
      </c>
      <c r="BH38" s="11">
        <v>-14228365.59</v>
      </c>
      <c r="BI38" s="11">
        <v>-192366721.21000001</v>
      </c>
      <c r="BJ38" s="11">
        <v>-84958517.470000014</v>
      </c>
      <c r="BK38" s="11">
        <v>-12996678.41</v>
      </c>
      <c r="BL38" s="11">
        <v>-7004560.96</v>
      </c>
      <c r="BM38" s="11">
        <v>-34759835.57</v>
      </c>
      <c r="BN38" s="11">
        <v>-19366735.299999997</v>
      </c>
      <c r="BO38" s="11">
        <v>-10354121.719999999</v>
      </c>
      <c r="BP38" s="11">
        <v>-2118423.77</v>
      </c>
      <c r="BQ38" s="11">
        <v>-4682169.0600000005</v>
      </c>
      <c r="BR38" s="11">
        <v>-132501423.02</v>
      </c>
      <c r="BS38" s="11">
        <v>-21389960.649999995</v>
      </c>
      <c r="BT38" s="11">
        <v>-11510092.290000001</v>
      </c>
      <c r="BU38" s="11">
        <v>-20497763.359999996</v>
      </c>
      <c r="BV38" s="11">
        <v>-13965995.190000001</v>
      </c>
      <c r="BW38" s="11">
        <v>-12328014.250000002</v>
      </c>
      <c r="BX38" s="11">
        <v>-9861827.2999999989</v>
      </c>
      <c r="BY38" s="11">
        <v>-11919581.309999999</v>
      </c>
      <c r="BZ38" s="11">
        <v>-91683096.460000008</v>
      </c>
      <c r="CA38" s="11">
        <v>-19699800.119999997</v>
      </c>
      <c r="CB38" s="11">
        <v>-35167752.379999995</v>
      </c>
      <c r="CC38" s="11">
        <v>-45683969.719999999</v>
      </c>
      <c r="CD38" s="11">
        <v>-19678484.509999994</v>
      </c>
      <c r="CE38" s="11">
        <v>-17830707.5</v>
      </c>
      <c r="CF38" s="11">
        <v>-19499955.740000002</v>
      </c>
      <c r="CG38" s="11">
        <v>-251979579.32999992</v>
      </c>
      <c r="CH38" s="11">
        <v>-11451716.170000002</v>
      </c>
      <c r="CI38" s="11">
        <v>-41933871.309999995</v>
      </c>
      <c r="CJ38" s="11">
        <v>-8490307.8099999987</v>
      </c>
      <c r="CK38" s="11">
        <v>-13626456.029999999</v>
      </c>
      <c r="CL38" s="11">
        <v>-16654877.609999996</v>
      </c>
      <c r="CM38" s="11">
        <v>-9993871.5700000003</v>
      </c>
      <c r="CN38" s="11">
        <v>-21376197.209999997</v>
      </c>
      <c r="CO38" s="11">
        <v>-4541131.22</v>
      </c>
      <c r="CP38" s="11">
        <v>-15786415.090000002</v>
      </c>
      <c r="CQ38" s="11">
        <v>-6555996.3600000013</v>
      </c>
      <c r="CR38" s="11">
        <v>-14088080.41</v>
      </c>
      <c r="CS38" s="11">
        <v>-7934308.080000001</v>
      </c>
      <c r="CT38" s="11">
        <v>-179423957.36999995</v>
      </c>
      <c r="CU38" s="11">
        <v>-11652360.98</v>
      </c>
      <c r="CV38" s="11">
        <v>-11437714.769999998</v>
      </c>
      <c r="CW38" s="11">
        <v>-32149919.619999997</v>
      </c>
      <c r="CX38" s="11">
        <v>-15790082.74</v>
      </c>
      <c r="CY38" s="11">
        <v>-20567711.170000002</v>
      </c>
      <c r="CZ38" s="11">
        <v>-9734479.0199999977</v>
      </c>
      <c r="DA38" s="11">
        <v>-11174268.029999999</v>
      </c>
      <c r="DB38" s="11">
        <v>-158941870.36000004</v>
      </c>
      <c r="DC38" s="11">
        <v>-230704603.57000002</v>
      </c>
      <c r="DD38" s="11">
        <v>-25456504.040000003</v>
      </c>
      <c r="DE38" s="11">
        <v>-20773248.880000003</v>
      </c>
      <c r="DF38" s="11">
        <v>-16696375.360000001</v>
      </c>
      <c r="DG38" s="11">
        <v>-27610284.829999998</v>
      </c>
      <c r="DH38" s="11">
        <v>-47130786.700000003</v>
      </c>
      <c r="DI38" s="11">
        <v>-31184721.490000002</v>
      </c>
      <c r="DJ38" s="11">
        <v>-10137893.270000001</v>
      </c>
      <c r="DK38" s="11">
        <v>-598704099.89000022</v>
      </c>
      <c r="DL38" s="11">
        <v>-15203908.24</v>
      </c>
      <c r="DM38" s="11">
        <v>-26352437.489999995</v>
      </c>
      <c r="DN38" s="11">
        <v>-25691239.680000011</v>
      </c>
      <c r="DO38" s="11">
        <v>-19029318.369999997</v>
      </c>
      <c r="DP38" s="11">
        <v>-14882152.82</v>
      </c>
      <c r="DQ38" s="11">
        <v>-53252839.879999995</v>
      </c>
      <c r="DR38" s="11">
        <v>-14262946.299900003</v>
      </c>
      <c r="DS38" s="11">
        <v>-50208212.049999997</v>
      </c>
      <c r="DT38" s="11">
        <v>-211490973.30000001</v>
      </c>
      <c r="DU38" s="11">
        <v>-27445118.860000003</v>
      </c>
      <c r="DV38" s="11">
        <v>-61007997.090000004</v>
      </c>
      <c r="DW38" s="11">
        <v>-69103858.940000013</v>
      </c>
      <c r="DX38" s="11">
        <v>-23241303.280000005</v>
      </c>
      <c r="DY38" s="11">
        <v>-36749631.090000004</v>
      </c>
      <c r="DZ38" s="11">
        <v>-29112883.480000004</v>
      </c>
      <c r="EA38" s="11">
        <v>-6865395.540000001</v>
      </c>
      <c r="EB38" s="11">
        <v>-14141117.699999999</v>
      </c>
      <c r="EC38" s="11">
        <v>-13180855.35</v>
      </c>
      <c r="ED38" s="11">
        <v>-35230949.249999993</v>
      </c>
      <c r="EE38" s="11">
        <v>-93746970.269999981</v>
      </c>
      <c r="EF38" s="11">
        <v>-73716049.299999982</v>
      </c>
      <c r="EG38" s="11">
        <v>-13714139.59</v>
      </c>
      <c r="EH38" s="11">
        <v>-22595362.080000002</v>
      </c>
      <c r="EI38" s="11">
        <v>-31064690.670000009</v>
      </c>
      <c r="EJ38" s="11">
        <v>-23029634.77</v>
      </c>
      <c r="EK38" s="11">
        <v>-25728348.489999998</v>
      </c>
      <c r="EL38" s="11">
        <v>-13326619.270000001</v>
      </c>
      <c r="EM38" s="11">
        <v>-17651057.5</v>
      </c>
      <c r="EN38" s="11">
        <v>-268427775.05000001</v>
      </c>
      <c r="EO38" s="11">
        <v>-20416365.080000002</v>
      </c>
      <c r="EP38" s="11">
        <v>-37302328.529999994</v>
      </c>
      <c r="EQ38" s="11">
        <v>-16781602.98</v>
      </c>
      <c r="ER38" s="11">
        <v>-15296757.499999998</v>
      </c>
      <c r="ES38" s="11">
        <v>-10339507.639999997</v>
      </c>
      <c r="ET38" s="11">
        <v>-46949832.660000004</v>
      </c>
      <c r="EU38" s="11">
        <v>-41801859.049999997</v>
      </c>
      <c r="EV38" s="11">
        <v>-23794698.639999997</v>
      </c>
      <c r="EW38" s="11">
        <v>-214641799.09999996</v>
      </c>
      <c r="EX38" s="11">
        <v>-7658319.870000001</v>
      </c>
      <c r="EY38" s="11">
        <v>-14804157.879999995</v>
      </c>
      <c r="EZ38" s="11">
        <v>-35349961.569999993</v>
      </c>
      <c r="FA38" s="11">
        <v>-39281375.480000004</v>
      </c>
      <c r="FB38" s="11">
        <v>-48803504.170000009</v>
      </c>
      <c r="FC38" s="11">
        <v>-35666316.86999999</v>
      </c>
      <c r="FD38" s="11">
        <v>-16680864.180000002</v>
      </c>
      <c r="FE38" s="11">
        <v>-20241668.089999996</v>
      </c>
      <c r="FF38" s="11">
        <v>-14020957.139999999</v>
      </c>
      <c r="FG38" s="11">
        <v>-14624060.280000001</v>
      </c>
      <c r="FH38" s="11">
        <v>-8958678.6500000022</v>
      </c>
      <c r="FI38" s="11">
        <v>-95285298.080000013</v>
      </c>
      <c r="FJ38" s="11">
        <v>-11476562.279999999</v>
      </c>
      <c r="FK38" s="11">
        <v>-2784146.12</v>
      </c>
      <c r="FL38" s="11">
        <v>-8801856.9000000004</v>
      </c>
      <c r="FM38" s="11">
        <v>-24259778.529999997</v>
      </c>
      <c r="FN38" s="11">
        <v>-13163097.360000001</v>
      </c>
      <c r="FO38" s="11">
        <v>-9930445.6100000013</v>
      </c>
      <c r="FP38" s="11">
        <v>-3904134.21</v>
      </c>
      <c r="FQ38" s="11">
        <v>-472306531.36000013</v>
      </c>
      <c r="FR38" s="11">
        <v>-15327423.85</v>
      </c>
      <c r="FS38" s="11">
        <v>-32366975.09</v>
      </c>
      <c r="FT38" s="11">
        <v>-32001915.25</v>
      </c>
      <c r="FU38" s="11">
        <v>-23748040.090000004</v>
      </c>
      <c r="FV38" s="11">
        <v>-15310742.219999997</v>
      </c>
      <c r="FW38" s="11">
        <v>-69733068.090000004</v>
      </c>
      <c r="FX38" s="11">
        <v>-41613040.429999992</v>
      </c>
      <c r="FY38" s="11">
        <v>-26215634.709999997</v>
      </c>
      <c r="FZ38" s="11">
        <v>-18154496.800000004</v>
      </c>
      <c r="GA38" s="11">
        <v>-49413266.930000015</v>
      </c>
      <c r="GB38" s="11">
        <v>-25521844.969999999</v>
      </c>
      <c r="GC38" s="11">
        <v>-22573047.990000002</v>
      </c>
      <c r="GD38" s="11">
        <v>-13102365.65</v>
      </c>
      <c r="GE38" s="11">
        <v>-151716081.16000003</v>
      </c>
      <c r="GF38" s="11">
        <v>-9459757.3100000005</v>
      </c>
      <c r="GG38" s="11">
        <v>-9011475.2500000019</v>
      </c>
      <c r="GH38" s="11">
        <v>-34296933.100000009</v>
      </c>
      <c r="GI38" s="11">
        <v>-16441694.09</v>
      </c>
      <c r="GJ38" s="11">
        <v>-13841905.970000001</v>
      </c>
      <c r="GK38" s="11">
        <v>-12263684.930000003</v>
      </c>
      <c r="GL38" s="11">
        <v>-25577291.820000004</v>
      </c>
      <c r="GM38" s="11">
        <v>-7002071.8099999996</v>
      </c>
      <c r="GN38" s="11">
        <v>-7893034.6600000001</v>
      </c>
      <c r="GO38" s="11">
        <v>-5673618.2199999997</v>
      </c>
      <c r="GP38" s="11">
        <v>-5356214.7399999993</v>
      </c>
      <c r="GQ38" s="11">
        <v>-120181426.11</v>
      </c>
      <c r="GR38" s="11">
        <v>-13531998.640000002</v>
      </c>
      <c r="GS38" s="11">
        <v>-8090253.669999999</v>
      </c>
      <c r="GT38" s="11">
        <v>-22036839.399999999</v>
      </c>
      <c r="GU38" s="11">
        <v>-4965038.37</v>
      </c>
      <c r="GV38" s="11">
        <v>-10138282.24</v>
      </c>
      <c r="GW38" s="11">
        <v>-15755367.620000003</v>
      </c>
      <c r="GX38" s="11">
        <v>-8725225.4700000007</v>
      </c>
      <c r="GY38" s="11">
        <v>-131555159.02</v>
      </c>
      <c r="GZ38" s="11">
        <v>-9972636.3500000015</v>
      </c>
      <c r="HA38" s="11">
        <v>-29123805.520000003</v>
      </c>
      <c r="HB38" s="11">
        <v>-21717747.48</v>
      </c>
      <c r="HC38" s="11">
        <v>-450996862.55000013</v>
      </c>
      <c r="HD38" s="11">
        <v>-178221431.54000008</v>
      </c>
      <c r="HE38" s="11">
        <v>-74329390.230000019</v>
      </c>
      <c r="HF38" s="11">
        <v>-92346581.439999998</v>
      </c>
      <c r="HG38" s="11">
        <v>-44003638.369999997</v>
      </c>
      <c r="HH38" s="11">
        <v>-43788438.009999998</v>
      </c>
      <c r="HI38" s="11">
        <v>-34206956.719999991</v>
      </c>
      <c r="HJ38" s="11">
        <v>-18067618.84</v>
      </c>
      <c r="HK38" s="11">
        <v>-336134640.23000008</v>
      </c>
      <c r="HL38" s="11">
        <v>-74746382.450000003</v>
      </c>
      <c r="HM38" s="11">
        <v>-102499248.02000001</v>
      </c>
      <c r="HN38" s="11">
        <v>-50611271.500000007</v>
      </c>
      <c r="HO38" s="11">
        <v>-28088339.020000007</v>
      </c>
      <c r="HP38" s="11">
        <v>-30830232.440000001</v>
      </c>
      <c r="HQ38" s="11">
        <v>-46495237.780000001</v>
      </c>
      <c r="HR38" s="11">
        <v>-39213004.225000001</v>
      </c>
      <c r="HS38" s="11">
        <v>-204932491.45560005</v>
      </c>
      <c r="HT38" s="11">
        <v>-134753411.59000003</v>
      </c>
      <c r="HU38" s="11">
        <v>-33178068.359999999</v>
      </c>
      <c r="HV38" s="11">
        <v>-13710302.539999999</v>
      </c>
      <c r="HW38" s="11">
        <v>-16734021.950000003</v>
      </c>
      <c r="HX38" s="11">
        <v>-18404040.090000004</v>
      </c>
      <c r="HY38" s="11">
        <v>-32104472.970000003</v>
      </c>
      <c r="HZ38" s="11">
        <v>-26341922.25</v>
      </c>
      <c r="IA38" s="11">
        <v>-16626332.729999999</v>
      </c>
      <c r="IB38" s="11">
        <v>-18437591.68</v>
      </c>
      <c r="IC38" s="11">
        <v>-13268556.470000003</v>
      </c>
      <c r="ID38" s="11">
        <v>-24271105.909999996</v>
      </c>
      <c r="IE38" s="11">
        <v>-10857019.729999999</v>
      </c>
      <c r="IF38" s="11">
        <v>-19253825.329999998</v>
      </c>
      <c r="IG38" s="11">
        <v>-8098389.3499999996</v>
      </c>
      <c r="IH38" s="11">
        <v>-7419206.8299999991</v>
      </c>
      <c r="II38" s="11">
        <v>-229777729.03000003</v>
      </c>
      <c r="IJ38" s="11">
        <v>-174908856.62999994</v>
      </c>
      <c r="IK38" s="11">
        <v>-13024817.560000001</v>
      </c>
      <c r="IL38" s="11">
        <v>-69937157.340000004</v>
      </c>
      <c r="IM38" s="11">
        <v>-86063662.719999999</v>
      </c>
      <c r="IN38" s="11">
        <v>-39935979.980000004</v>
      </c>
      <c r="IO38" s="11">
        <v>-12146346.880000001</v>
      </c>
      <c r="IP38" s="11">
        <v>-14556716.440000003</v>
      </c>
      <c r="IQ38" s="11">
        <v>-13494260.529999999</v>
      </c>
      <c r="IR38" s="11">
        <v>-18860988.800000004</v>
      </c>
      <c r="IS38" s="11">
        <v>-16119547.719999997</v>
      </c>
      <c r="IT38" s="11">
        <v>-402251338.11999989</v>
      </c>
      <c r="IU38" s="11">
        <v>-322913991.81999999</v>
      </c>
      <c r="IV38" s="11">
        <v>-17150376.869999997</v>
      </c>
      <c r="IW38" s="11">
        <v>-35919796.979999997</v>
      </c>
      <c r="IX38" s="11">
        <v>-48727486.369999997</v>
      </c>
      <c r="IY38" s="11">
        <v>-7499124.419999999</v>
      </c>
      <c r="IZ38" s="11">
        <v>-24634437.390000001</v>
      </c>
      <c r="JA38" s="11">
        <v>-6940937.1499999994</v>
      </c>
      <c r="JB38" s="11">
        <v>-16999008.77</v>
      </c>
      <c r="JC38" s="11">
        <v>-20316712.079999998</v>
      </c>
      <c r="JD38" s="11">
        <v>-45722326.900000006</v>
      </c>
      <c r="JE38" s="11">
        <v>-18093860.09</v>
      </c>
      <c r="JF38" s="11">
        <v>-70041719.600000009</v>
      </c>
      <c r="JG38" s="11">
        <v>-75864425.849999994</v>
      </c>
      <c r="JH38" s="11">
        <v>-16032998.350000003</v>
      </c>
      <c r="JI38" s="11">
        <v>-15185226.030000001</v>
      </c>
      <c r="JJ38" s="11">
        <v>-12432003.5</v>
      </c>
      <c r="JK38" s="11">
        <v>-10006827.99</v>
      </c>
      <c r="JL38" s="11">
        <v>-186923112.45000002</v>
      </c>
      <c r="JM38" s="11">
        <v>-15863857.359999998</v>
      </c>
      <c r="JN38" s="11">
        <v>-28904091.420000002</v>
      </c>
      <c r="JO38" s="11">
        <v>-37902992.900000006</v>
      </c>
      <c r="JP38" s="11">
        <v>-25989756.830000002</v>
      </c>
      <c r="JQ38" s="11">
        <v>-45803284.319999985</v>
      </c>
      <c r="JR38" s="11">
        <v>-11044769.410000002</v>
      </c>
      <c r="JS38" s="11">
        <v>-233526465.81</v>
      </c>
      <c r="JT38" s="11">
        <v>-73503295.230000004</v>
      </c>
      <c r="JU38" s="11">
        <v>-13997016.74</v>
      </c>
      <c r="JV38" s="11">
        <v>-5569301.209999999</v>
      </c>
      <c r="JW38" s="11">
        <v>-26859668.469999999</v>
      </c>
      <c r="JX38" s="11">
        <v>-4367144.5</v>
      </c>
      <c r="JY38" s="11">
        <v>-66580733.670000009</v>
      </c>
      <c r="JZ38" s="11">
        <v>-24885602.000000007</v>
      </c>
      <c r="KA38" s="11">
        <v>-14944242.060000002</v>
      </c>
      <c r="KB38" s="11">
        <v>-21415946.950000003</v>
      </c>
      <c r="KC38" s="11">
        <v>-12152389.290000001</v>
      </c>
      <c r="KD38" s="11">
        <v>-16467880.460000001</v>
      </c>
      <c r="KE38" s="11">
        <v>-6340367.580000001</v>
      </c>
      <c r="KF38" s="11">
        <v>-4531850.1499999994</v>
      </c>
      <c r="KG38" s="11">
        <v>-7760773.9099999992</v>
      </c>
      <c r="KH38" s="11">
        <v>-11514214.379999999</v>
      </c>
      <c r="KI38" s="11">
        <v>-497895527.37</v>
      </c>
      <c r="KJ38" s="11">
        <v>-72177288.104999989</v>
      </c>
      <c r="KK38" s="11">
        <v>-39767405.18</v>
      </c>
      <c r="KL38" s="11">
        <v>-32609400.579999998</v>
      </c>
      <c r="KM38" s="11">
        <v>-11895086.560000001</v>
      </c>
      <c r="KN38" s="11">
        <v>-22940696.889999997</v>
      </c>
      <c r="KO38" s="11">
        <v>-84583410.75999999</v>
      </c>
      <c r="KP38" s="11">
        <v>-9417354.2600000016</v>
      </c>
      <c r="KQ38" s="11">
        <v>-13836585.539999997</v>
      </c>
      <c r="KR38" s="11">
        <v>-206498573.36999997</v>
      </c>
      <c r="KS38" s="11">
        <v>-13967312.210000001</v>
      </c>
      <c r="KT38" s="11">
        <v>-16466690.959999999</v>
      </c>
      <c r="KU38" s="11">
        <v>-45960455.68</v>
      </c>
      <c r="KV38" s="11">
        <v>-28089294.989999998</v>
      </c>
      <c r="KW38" s="11">
        <v>-37682199.140000001</v>
      </c>
      <c r="KX38" s="11">
        <v>-198692047.78</v>
      </c>
      <c r="KY38" s="11">
        <v>-26984257.250000004</v>
      </c>
      <c r="KZ38" s="11">
        <v>-284030607.40000004</v>
      </c>
      <c r="LA38" s="11">
        <v>-19477601.559999999</v>
      </c>
      <c r="LB38" s="11">
        <v>-14110276.76</v>
      </c>
      <c r="LC38" s="11">
        <v>-34899003.360000007</v>
      </c>
      <c r="LD38" s="11">
        <v>-27525345.250000004</v>
      </c>
      <c r="LE38" s="11">
        <v>-18407751.43</v>
      </c>
      <c r="LF38" s="11">
        <v>-14443534.810000001</v>
      </c>
      <c r="LG38" s="11">
        <v>-23238169.000000004</v>
      </c>
      <c r="LH38" s="11">
        <v>-750392514.83000016</v>
      </c>
      <c r="LI38" s="11">
        <v>-110539453.05999999</v>
      </c>
      <c r="LJ38" s="11">
        <v>-123272239.09</v>
      </c>
      <c r="LK38" s="11">
        <v>-143750231.90000004</v>
      </c>
      <c r="LL38" s="11">
        <v>-29558066.239999995</v>
      </c>
      <c r="LM38" s="11">
        <v>-29824027.43</v>
      </c>
      <c r="LN38" s="11">
        <v>-12284222.660000002</v>
      </c>
      <c r="LO38" s="11">
        <v>-40263076.649999999</v>
      </c>
      <c r="LP38" s="11">
        <v>-6310272.8299999991</v>
      </c>
      <c r="LQ38" s="11">
        <v>-40755374.109999985</v>
      </c>
      <c r="LR38" s="11">
        <v>-10583334.609999999</v>
      </c>
      <c r="LS38" s="11">
        <v>-70416643.13000001</v>
      </c>
      <c r="LT38" s="11">
        <v>-12025509.539999999</v>
      </c>
      <c r="LU38" s="11">
        <v>-12430012.24</v>
      </c>
      <c r="LV38" s="11">
        <v>-310326753.98000002</v>
      </c>
      <c r="LW38" s="11">
        <v>-124840512.34999999</v>
      </c>
      <c r="LX38" s="11">
        <v>-341691811.84999996</v>
      </c>
      <c r="LY38" s="11">
        <v>-79504450.75</v>
      </c>
      <c r="LZ38" s="11">
        <v>-37241146.520000003</v>
      </c>
      <c r="MA38" s="11">
        <v>-35130103.059999995</v>
      </c>
      <c r="MB38" s="11">
        <v>-33882228.870000005</v>
      </c>
      <c r="MC38" s="11">
        <v>-30832036.769999996</v>
      </c>
      <c r="MD38" s="11">
        <v>-27296994.739999998</v>
      </c>
      <c r="ME38" s="11">
        <v>-31956582.760000002</v>
      </c>
      <c r="MF38" s="11">
        <v>-67663336.719999999</v>
      </c>
      <c r="MG38" s="11">
        <v>-15691761.970000001</v>
      </c>
      <c r="MH38" s="11">
        <v>-395728141.67999995</v>
      </c>
      <c r="MI38" s="11">
        <v>-18911599.279999994</v>
      </c>
      <c r="MJ38" s="11">
        <v>-11572381.16</v>
      </c>
      <c r="MK38" s="11">
        <v>-10674144.799999999</v>
      </c>
      <c r="ML38" s="11">
        <v>-9069737.3800000008</v>
      </c>
      <c r="MM38" s="11">
        <v>-29312609.560000002</v>
      </c>
      <c r="MN38" s="11">
        <v>-17265723.530000001</v>
      </c>
      <c r="MO38" s="11">
        <v>-8780132.1600000001</v>
      </c>
      <c r="MP38" s="11">
        <v>-35893911.430000007</v>
      </c>
      <c r="MQ38" s="11">
        <v>-13453883.999999998</v>
      </c>
      <c r="MR38" s="11">
        <v>-17921924.100000001</v>
      </c>
      <c r="MS38" s="11">
        <v>-14572833.750000002</v>
      </c>
      <c r="MT38" s="11">
        <v>-401174573.14000005</v>
      </c>
      <c r="MU38" s="11">
        <v>-29812117.089999996</v>
      </c>
      <c r="MV38" s="11">
        <v>-28395896.480000004</v>
      </c>
      <c r="MW38" s="11">
        <v>-35967259.660000004</v>
      </c>
      <c r="MX38" s="11">
        <v>-60476983.880000003</v>
      </c>
      <c r="MY38" s="11">
        <v>-17784395.140000001</v>
      </c>
      <c r="MZ38" s="11">
        <v>-70417447.190000013</v>
      </c>
      <c r="NA38" s="11">
        <v>-57353810.160000004</v>
      </c>
      <c r="NB38" s="11">
        <v>-39564512.349999987</v>
      </c>
      <c r="NC38" s="11">
        <v>-13550135.17</v>
      </c>
      <c r="ND38" s="11">
        <v>-9770332.8300000019</v>
      </c>
      <c r="NE38" s="11">
        <v>-697812541.69000006</v>
      </c>
      <c r="NF38" s="11">
        <v>-58420585.959999993</v>
      </c>
      <c r="NG38" s="11">
        <v>-16769296.280000001</v>
      </c>
      <c r="NH38" s="11">
        <v>-236899468.93000004</v>
      </c>
      <c r="NI38" s="11">
        <v>-33299658.329999998</v>
      </c>
      <c r="NJ38" s="11">
        <v>-38603203.019999996</v>
      </c>
      <c r="NK38" s="11">
        <v>-227408967.56</v>
      </c>
      <c r="NL38" s="11">
        <v>-138784887.98999995</v>
      </c>
      <c r="NM38" s="11">
        <v>-3525076.8000000003</v>
      </c>
      <c r="NN38" s="11">
        <v>-40797074.520000003</v>
      </c>
      <c r="NO38" s="11">
        <v>-18389275.310000002</v>
      </c>
      <c r="NP38" s="11">
        <v>-16593129.58</v>
      </c>
      <c r="NQ38" s="11">
        <v>-114975755.00000001</v>
      </c>
      <c r="NR38" s="11">
        <v>-11145256.619999999</v>
      </c>
      <c r="NS38" s="11">
        <v>-13653975.719999999</v>
      </c>
      <c r="NT38" s="11">
        <v>-9590289.0299999993</v>
      </c>
      <c r="NU38" s="11">
        <v>-6659179.8699999992</v>
      </c>
      <c r="NV38" s="11">
        <v>-3613433.11</v>
      </c>
      <c r="NW38" s="11">
        <v>-5512377.1899999995</v>
      </c>
      <c r="NX38" s="11">
        <v>-455624023.02000004</v>
      </c>
      <c r="NY38" s="11">
        <v>-211127455.81999999</v>
      </c>
      <c r="NZ38" s="11">
        <v>-21744038.439999994</v>
      </c>
      <c r="OA38" s="11">
        <v>-10868849.210000001</v>
      </c>
      <c r="OB38" s="11">
        <v>-20803303.960000005</v>
      </c>
      <c r="OC38" s="11">
        <v>-25709844.030000005</v>
      </c>
      <c r="OD38" s="11">
        <v>-15664278.07</v>
      </c>
      <c r="OE38" s="11">
        <v>-448086455.84000003</v>
      </c>
      <c r="OF38" s="11">
        <v>-110399070.68000001</v>
      </c>
      <c r="OG38" s="11">
        <v>-30681839.939999998</v>
      </c>
      <c r="OH38" s="11">
        <v>-157216175.46000001</v>
      </c>
      <c r="OI38" s="11">
        <v>-27302700.340000004</v>
      </c>
      <c r="OJ38" s="11">
        <v>-25572556.809999999</v>
      </c>
      <c r="OK38" s="11">
        <v>-63001463.990000002</v>
      </c>
      <c r="OL38" s="11">
        <v>-29514337.330000002</v>
      </c>
      <c r="OM38" s="11">
        <v>-30731729.179999996</v>
      </c>
      <c r="ON38" s="11">
        <v>-279863495.63999999</v>
      </c>
      <c r="OO38" s="11">
        <v>-66196997.460000001</v>
      </c>
      <c r="OP38" s="11">
        <v>-248953276.31</v>
      </c>
      <c r="OQ38" s="11">
        <v>-40035831.869999997</v>
      </c>
      <c r="OR38" s="11">
        <v>-35070241.229999997</v>
      </c>
      <c r="OS38" s="11">
        <v>-39275918.300000004</v>
      </c>
      <c r="OT38" s="11">
        <v>-115230158.40000002</v>
      </c>
      <c r="OU38" s="11">
        <v>-22619800.970000003</v>
      </c>
      <c r="OV38" s="11">
        <v>-22828583.350000001</v>
      </c>
      <c r="OW38" s="11">
        <v>-18567961.539999999</v>
      </c>
      <c r="OX38" s="11">
        <v>-24924853.400000002</v>
      </c>
      <c r="OY38" s="11">
        <v>-83004384.299999997</v>
      </c>
      <c r="OZ38" s="11">
        <v>-16348693.330000004</v>
      </c>
      <c r="PA38" s="11">
        <v>-11544137.77</v>
      </c>
      <c r="PB38" s="11">
        <v>-14748271.389999997</v>
      </c>
      <c r="PC38" s="11">
        <v>-209953919.39000002</v>
      </c>
      <c r="PD38" s="11">
        <v>-9104523.3399999999</v>
      </c>
      <c r="PE38" s="11">
        <v>-48652735.959999993</v>
      </c>
      <c r="PF38" s="11">
        <v>-8075985.6300000018</v>
      </c>
      <c r="PG38" s="11">
        <v>-13571386.98</v>
      </c>
      <c r="PH38" s="11">
        <v>-37139384.789999999</v>
      </c>
      <c r="PI38" s="11">
        <v>-17432941.509999998</v>
      </c>
      <c r="PJ38" s="11">
        <v>-17663897.929999996</v>
      </c>
      <c r="PK38" s="11">
        <v>-21663840.650000006</v>
      </c>
      <c r="PL38" s="11">
        <v>-20580914.160000004</v>
      </c>
      <c r="PM38" s="11">
        <v>-12707421.98</v>
      </c>
      <c r="PN38" s="11">
        <v>-39462120.339999996</v>
      </c>
      <c r="PO38" s="11">
        <v>-10893611.789999999</v>
      </c>
      <c r="PP38" s="11">
        <v>-58616084.68</v>
      </c>
      <c r="PQ38" s="11">
        <v>-13033298.680000002</v>
      </c>
      <c r="PR38" s="11">
        <v>-11511403.83</v>
      </c>
      <c r="PS38" s="11">
        <v>-8655771.7499999981</v>
      </c>
      <c r="PT38" s="11">
        <v>-9830609.7199999988</v>
      </c>
      <c r="PU38" s="11">
        <v>-678870941.31000006</v>
      </c>
      <c r="PV38" s="11">
        <v>-58932326.089999996</v>
      </c>
      <c r="PW38" s="11">
        <v>-18157917.98</v>
      </c>
      <c r="PX38" s="11">
        <v>-22840716.590000004</v>
      </c>
      <c r="PY38" s="11">
        <v>-271259600.54000002</v>
      </c>
      <c r="PZ38" s="11">
        <v>-43994979.55999998</v>
      </c>
      <c r="QA38" s="11">
        <v>-75701115.329999998</v>
      </c>
      <c r="QB38" s="11">
        <v>-15286590.620000001</v>
      </c>
      <c r="QC38" s="11">
        <v>-60511411.630000003</v>
      </c>
      <c r="QD38" s="11">
        <v>-8577501.9800000004</v>
      </c>
      <c r="QE38" s="11">
        <v>-57821864.049999997</v>
      </c>
      <c r="QF38" s="11">
        <v>-17883530.960000001</v>
      </c>
      <c r="QG38" s="11">
        <v>-16213064.669999998</v>
      </c>
      <c r="QH38" s="11">
        <v>-18778702.179999996</v>
      </c>
      <c r="QI38" s="11">
        <v>-47248879.550000004</v>
      </c>
      <c r="QJ38" s="11">
        <v>-24512603.360000007</v>
      </c>
      <c r="QK38" s="11">
        <v>-31268576.309999999</v>
      </c>
      <c r="QL38" s="11">
        <v>-20660748.129999992</v>
      </c>
      <c r="QM38" s="11">
        <v>-19721918.210000001</v>
      </c>
      <c r="QN38" s="11">
        <v>-60963902.159999989</v>
      </c>
      <c r="QO38" s="11">
        <v>-65981595.850000001</v>
      </c>
      <c r="QP38" s="11">
        <v>-15916371.190000003</v>
      </c>
      <c r="QQ38" s="11">
        <v>-5921247.8700000001</v>
      </c>
      <c r="QR38" s="11">
        <v>-12339773.709999997</v>
      </c>
      <c r="QS38" s="11">
        <v>-4502613.2899999991</v>
      </c>
      <c r="QT38" s="11">
        <v>-11247612.650000002</v>
      </c>
      <c r="QU38" s="11">
        <v>-361726720.40999991</v>
      </c>
      <c r="QV38" s="11">
        <v>-14532880.029999997</v>
      </c>
      <c r="QW38" s="11">
        <v>-48716521.029999994</v>
      </c>
      <c r="QX38" s="11">
        <v>-17148106.039999999</v>
      </c>
      <c r="QY38" s="11">
        <v>-18846054.220000003</v>
      </c>
      <c r="QZ38" s="11">
        <v>-57788685.55999998</v>
      </c>
      <c r="RA38" s="11">
        <v>-28878458.710000001</v>
      </c>
      <c r="RB38" s="11">
        <v>-45804088.090000004</v>
      </c>
      <c r="RC38" s="11">
        <v>-21207684.380000003</v>
      </c>
      <c r="RD38" s="11">
        <v>-32388608.619999997</v>
      </c>
      <c r="RE38" s="11">
        <v>-15675266.929999998</v>
      </c>
      <c r="RF38" s="11">
        <v>-5174529.21</v>
      </c>
      <c r="RG38" s="11">
        <v>-11907412.59</v>
      </c>
      <c r="RH38" s="11">
        <v>-374352751.02999991</v>
      </c>
      <c r="RI38" s="11">
        <v>-79532377.690000013</v>
      </c>
      <c r="RJ38" s="11">
        <v>-29598848.289999999</v>
      </c>
      <c r="RK38" s="11">
        <v>-31389196.34</v>
      </c>
      <c r="RL38" s="11">
        <v>-34517020.469999999</v>
      </c>
      <c r="RM38" s="11">
        <v>-57450339.309999995</v>
      </c>
      <c r="RN38" s="11">
        <v>-38816367.390000001</v>
      </c>
      <c r="RO38" s="11">
        <v>-25294843.590000004</v>
      </c>
      <c r="RP38" s="11">
        <v>-18875156.190000001</v>
      </c>
      <c r="RQ38" s="11">
        <v>-59303326.440000005</v>
      </c>
      <c r="RR38" s="11">
        <v>-73654978.520000011</v>
      </c>
      <c r="RS38" s="11">
        <v>-23494935.57</v>
      </c>
      <c r="RT38" s="11">
        <v>-21963523.780000001</v>
      </c>
      <c r="RU38" s="11">
        <v>-29440698.73</v>
      </c>
      <c r="RV38" s="11">
        <v>-16805647.82</v>
      </c>
      <c r="RW38" s="11">
        <v>-12736894.399999997</v>
      </c>
      <c r="RX38" s="11">
        <v>-25780694.82</v>
      </c>
      <c r="RY38" s="11">
        <v>-9395341.4600000009</v>
      </c>
      <c r="RZ38" s="11">
        <v>-14346410.9</v>
      </c>
      <c r="SA38" s="11">
        <v>-11305240.809999999</v>
      </c>
      <c r="SB38" s="11">
        <v>-178281985.04999998</v>
      </c>
      <c r="SC38" s="11">
        <v>-11440889.17</v>
      </c>
      <c r="SD38" s="11">
        <v>-14004604.539999999</v>
      </c>
      <c r="SE38" s="11">
        <v>-22214743.840000007</v>
      </c>
      <c r="SF38" s="11">
        <v>-8473606.7300000004</v>
      </c>
      <c r="SG38" s="11">
        <v>-22848917.159999996</v>
      </c>
      <c r="SH38" s="11">
        <v>-36340463.25</v>
      </c>
      <c r="SI38" s="11">
        <v>-27551436.980000004</v>
      </c>
      <c r="SJ38" s="11">
        <v>-18892539.16</v>
      </c>
      <c r="SK38" s="11">
        <v>-9395494.2199999988</v>
      </c>
      <c r="SL38" s="11">
        <v>-71239336.050000012</v>
      </c>
      <c r="SM38" s="11">
        <v>-8714598.6199999992</v>
      </c>
      <c r="SN38" s="11">
        <v>-89812879.849999979</v>
      </c>
      <c r="SO38" s="11">
        <v>-16145951.670000002</v>
      </c>
      <c r="SP38" s="11">
        <v>-19215315.390000001</v>
      </c>
      <c r="SQ38" s="11">
        <v>-43994196.07</v>
      </c>
      <c r="SR38" s="11">
        <v>-12555499.279999997</v>
      </c>
      <c r="SS38" s="11">
        <v>-9571534.8399999999</v>
      </c>
      <c r="ST38" s="11">
        <v>-16086966.299999999</v>
      </c>
      <c r="SU38" s="11">
        <v>-11766024.019999998</v>
      </c>
      <c r="SV38" s="11">
        <v>-274909221.60000002</v>
      </c>
      <c r="SW38" s="11">
        <v>-8440200.9100000001</v>
      </c>
      <c r="SX38" s="11">
        <v>-23077708.319999997</v>
      </c>
      <c r="SY38" s="11">
        <v>-24844698.470000003</v>
      </c>
      <c r="SZ38" s="11">
        <v>-6081395.0800000001</v>
      </c>
      <c r="TA38" s="11">
        <v>-8397234.8200000003</v>
      </c>
      <c r="TB38" s="11">
        <v>-8974469.7199999988</v>
      </c>
      <c r="TC38" s="11">
        <v>-82622023.88000001</v>
      </c>
      <c r="TD38" s="11">
        <v>-12889346.929999998</v>
      </c>
      <c r="TE38" s="11">
        <v>-13695456.720000001</v>
      </c>
      <c r="TF38" s="11">
        <v>-16383087.449999999</v>
      </c>
      <c r="TG38" s="11">
        <v>-50626062.440000005</v>
      </c>
      <c r="TH38" s="11">
        <v>-8593069.3000000007</v>
      </c>
      <c r="TI38" s="11">
        <v>-8387656.8399999989</v>
      </c>
      <c r="TJ38" s="11">
        <v>-371422508.02000004</v>
      </c>
      <c r="TK38" s="11">
        <v>-14800072.060000001</v>
      </c>
      <c r="TL38" s="11">
        <v>-21028152.860000003</v>
      </c>
      <c r="TM38" s="11">
        <v>-36575502.770000003</v>
      </c>
      <c r="TN38" s="11">
        <v>-34313121.419999994</v>
      </c>
      <c r="TO38" s="11">
        <v>-13584855.979999999</v>
      </c>
      <c r="TP38" s="11">
        <v>-8720262.9900000021</v>
      </c>
      <c r="TQ38" s="11">
        <v>-79579450.030000001</v>
      </c>
      <c r="TR38" s="11">
        <v>-11327139.73</v>
      </c>
      <c r="TS38" s="11">
        <v>-28426838.170000002</v>
      </c>
      <c r="TT38" s="11">
        <v>-34649855.920000002</v>
      </c>
      <c r="TU38" s="11">
        <v>-8183544.1699999999</v>
      </c>
      <c r="TV38" s="11">
        <v>-9524216.0399999991</v>
      </c>
      <c r="TW38" s="11">
        <v>-14224010.840000004</v>
      </c>
      <c r="TX38" s="11">
        <v>-19897267.649999999</v>
      </c>
      <c r="TY38" s="11">
        <v>-5142844.99</v>
      </c>
      <c r="TZ38" s="11">
        <v>-85563510.669999987</v>
      </c>
      <c r="UA38" s="11">
        <v>-11730895.629999999</v>
      </c>
      <c r="UB38" s="11">
        <v>-141073493.13999999</v>
      </c>
      <c r="UC38" s="11">
        <v>-52083903.229999989</v>
      </c>
      <c r="UD38" s="11">
        <v>-19335527.899999999</v>
      </c>
      <c r="UE38" s="11">
        <v>-23632106.109999999</v>
      </c>
      <c r="UF38" s="11">
        <v>-230942286.15000001</v>
      </c>
      <c r="UG38" s="11">
        <v>-16676554.460000001</v>
      </c>
      <c r="UH38" s="11">
        <v>-15757308.459999999</v>
      </c>
      <c r="UI38" s="11">
        <v>-23447398.529999994</v>
      </c>
      <c r="UJ38" s="11">
        <v>-14972058.279999999</v>
      </c>
      <c r="UK38" s="11">
        <v>-113679345.49000001</v>
      </c>
      <c r="UL38" s="11">
        <v>-45344247.829999991</v>
      </c>
      <c r="UM38" s="11">
        <v>-24305943.410000004</v>
      </c>
      <c r="UN38" s="11">
        <v>-53156506.289999999</v>
      </c>
      <c r="UO38" s="11">
        <v>-25283731.499999996</v>
      </c>
      <c r="UP38" s="11">
        <v>-27356941.739999998</v>
      </c>
      <c r="UQ38" s="11">
        <v>-640175880.68000007</v>
      </c>
      <c r="UR38" s="11">
        <v>-34093766.189999998</v>
      </c>
      <c r="US38" s="11">
        <v>-28211499.619999997</v>
      </c>
      <c r="UT38" s="11">
        <v>-112991858.65000001</v>
      </c>
      <c r="UU38" s="11">
        <v>-3990174.87</v>
      </c>
      <c r="UV38" s="11">
        <v>-23121956.509999994</v>
      </c>
      <c r="UW38" s="11">
        <v>-69626133.38000001</v>
      </c>
      <c r="UX38" s="11">
        <v>-12980050.58</v>
      </c>
      <c r="UY38" s="11">
        <v>-18212530.73</v>
      </c>
      <c r="UZ38" s="11">
        <v>-21246724.539999999</v>
      </c>
      <c r="VA38" s="11">
        <v>-24005025.450000007</v>
      </c>
      <c r="VB38" s="11">
        <v>-69083819.590000004</v>
      </c>
      <c r="VC38" s="11">
        <v>-36661558.679999992</v>
      </c>
      <c r="VD38" s="11">
        <v>-37118953.590000004</v>
      </c>
      <c r="VE38" s="11">
        <v>-22794067.919999998</v>
      </c>
      <c r="VF38" s="11">
        <v>-17400223.430000003</v>
      </c>
      <c r="VG38" s="11">
        <v>-19377208.660000004</v>
      </c>
      <c r="VH38" s="11">
        <v>-19528723.190000001</v>
      </c>
      <c r="VI38" s="11">
        <v>-83173050.310000017</v>
      </c>
      <c r="VJ38" s="11">
        <v>-13953920.139999999</v>
      </c>
      <c r="VK38" s="11">
        <v>-11841383.459999999</v>
      </c>
      <c r="VL38" s="11">
        <v>-7231573.7599999998</v>
      </c>
      <c r="VM38" s="11">
        <v>-368564468.84000003</v>
      </c>
      <c r="VN38" s="11">
        <v>-20618211.130000003</v>
      </c>
      <c r="VO38" s="11">
        <v>-32882909.000000007</v>
      </c>
      <c r="VP38" s="11">
        <v>-34785285.450000003</v>
      </c>
      <c r="VQ38" s="11">
        <v>-53012566.710000001</v>
      </c>
      <c r="VR38" s="11">
        <v>-45353293.789999999</v>
      </c>
      <c r="VS38" s="11">
        <v>-28133280.039999999</v>
      </c>
      <c r="VT38" s="11">
        <v>-11397659.199999999</v>
      </c>
      <c r="VU38" s="11">
        <v>-31627795.350000001</v>
      </c>
      <c r="VV38" s="11">
        <v>-127556627.47</v>
      </c>
      <c r="VW38" s="11">
        <v>-18253838.899999999</v>
      </c>
      <c r="VX38" s="11">
        <v>-54028170.379999995</v>
      </c>
      <c r="VY38" s="11">
        <v>-28464437.690000001</v>
      </c>
      <c r="VZ38" s="11">
        <v>-8481908.4900000002</v>
      </c>
      <c r="WA38" s="11">
        <v>-14284632.649999999</v>
      </c>
      <c r="WB38" s="11">
        <v>-928664563.48000002</v>
      </c>
      <c r="WC38" s="11">
        <v>-33055850.239999998</v>
      </c>
      <c r="WD38" s="11">
        <v>-25139808.390000001</v>
      </c>
      <c r="WE38" s="11">
        <v>-18276338.299999997</v>
      </c>
      <c r="WF38" s="11">
        <v>-8303720.8200000012</v>
      </c>
      <c r="WG38" s="11">
        <v>-23883445.719999999</v>
      </c>
      <c r="WH38" s="11">
        <v>-60420097.470000006</v>
      </c>
      <c r="WI38" s="11">
        <v>-34745975.760000005</v>
      </c>
      <c r="WJ38" s="11">
        <v>-19253084.899999999</v>
      </c>
      <c r="WK38" s="11">
        <v>-45804370.140000001</v>
      </c>
      <c r="WL38" s="11">
        <v>-13464811.000000002</v>
      </c>
      <c r="WM38" s="11">
        <v>-66997440.799999975</v>
      </c>
      <c r="WN38" s="11">
        <v>-17343393.329999998</v>
      </c>
      <c r="WO38" s="11">
        <v>-58201818.619999997</v>
      </c>
      <c r="WP38" s="11">
        <v>-63151162.860000014</v>
      </c>
      <c r="WQ38" s="11">
        <v>-16063318.069999997</v>
      </c>
      <c r="WR38" s="11">
        <v>-12511631.049999999</v>
      </c>
      <c r="WS38" s="11">
        <v>-34331778.579999998</v>
      </c>
      <c r="WT38" s="11">
        <v>-9866163.6799999997</v>
      </c>
      <c r="WU38" s="11">
        <v>-39335758.219999999</v>
      </c>
      <c r="WV38" s="11">
        <v>-155034499.99000001</v>
      </c>
      <c r="WW38" s="11">
        <v>-39237547.199999988</v>
      </c>
      <c r="WX38" s="11">
        <v>-21030468.260000002</v>
      </c>
      <c r="WY38" s="11">
        <v>-11894750.770000001</v>
      </c>
      <c r="WZ38" s="11">
        <v>-22646376.870000001</v>
      </c>
      <c r="XA38" s="11">
        <v>-16915268.949999996</v>
      </c>
      <c r="XB38" s="11">
        <v>-7619935.7400000012</v>
      </c>
      <c r="XC38" s="11">
        <v>-18981592.82</v>
      </c>
      <c r="XD38" s="11">
        <v>-102297628.8</v>
      </c>
      <c r="XE38" s="11">
        <v>-15982099.92</v>
      </c>
      <c r="XF38" s="11">
        <v>-4526235.0199999996</v>
      </c>
      <c r="XG38" s="11">
        <v>-5786861.3599999994</v>
      </c>
      <c r="XH38" s="11">
        <v>-12828918.73</v>
      </c>
      <c r="XI38" s="11">
        <v>-416436715.56999999</v>
      </c>
      <c r="XJ38" s="11">
        <v>-40033130.25</v>
      </c>
      <c r="XK38" s="11">
        <v>-27913883.740000002</v>
      </c>
      <c r="XL38" s="11">
        <v>-166244612.74000004</v>
      </c>
      <c r="XM38" s="11">
        <v>-28522058.470000003</v>
      </c>
      <c r="XN38" s="11">
        <v>-17283491.41</v>
      </c>
      <c r="XO38" s="11">
        <v>-81569155.450000003</v>
      </c>
      <c r="XP38" s="11">
        <v>-27643019.409999996</v>
      </c>
      <c r="XQ38" s="11">
        <v>-20000136.100000001</v>
      </c>
      <c r="XR38" s="11">
        <v>-44275217.090000004</v>
      </c>
      <c r="XS38" s="11">
        <v>-45257807.330000013</v>
      </c>
      <c r="XT38" s="11">
        <v>-14374065.35</v>
      </c>
      <c r="XU38" s="11">
        <v>-20717598.559999999</v>
      </c>
      <c r="XV38" s="11">
        <v>-18486249.529999997</v>
      </c>
      <c r="XW38" s="11">
        <v>-14159790.15</v>
      </c>
      <c r="XX38" s="11">
        <v>-15366109.58</v>
      </c>
      <c r="XY38" s="11">
        <v>-9219171.6500000022</v>
      </c>
      <c r="XZ38" s="11">
        <v>-15176437.120000001</v>
      </c>
      <c r="YA38" s="11">
        <v>-12995566.280000001</v>
      </c>
      <c r="YB38" s="11">
        <v>-8132207.0599999996</v>
      </c>
      <c r="YC38" s="11">
        <v>-9334202.4199999981</v>
      </c>
      <c r="YD38" s="11">
        <v>-14828909.509999996</v>
      </c>
      <c r="YE38" s="11">
        <v>-15388452.41</v>
      </c>
      <c r="YF38" s="11">
        <v>-373066059.91999996</v>
      </c>
      <c r="YG38" s="11">
        <v>-18519061.299999997</v>
      </c>
      <c r="YH38" s="11">
        <v>-42498369.430000007</v>
      </c>
      <c r="YI38" s="11">
        <v>-12469365.99</v>
      </c>
      <c r="YJ38" s="11">
        <v>-129800325.61</v>
      </c>
      <c r="YK38" s="11">
        <v>-13277165.309999999</v>
      </c>
      <c r="YL38" s="11">
        <v>-47412878.349999987</v>
      </c>
      <c r="YM38" s="11">
        <v>-8762814.3599999994</v>
      </c>
      <c r="YN38" s="11">
        <v>-63115194.060000002</v>
      </c>
      <c r="YO38" s="11">
        <v>-66172897.640000001</v>
      </c>
      <c r="YP38" s="11">
        <v>-21613044.709999997</v>
      </c>
      <c r="YQ38" s="11">
        <v>-17249334.249999996</v>
      </c>
      <c r="YR38" s="11">
        <v>-22516208.679999996</v>
      </c>
      <c r="YS38" s="11">
        <v>-12879357.089999998</v>
      </c>
      <c r="YT38" s="11">
        <v>-11179570.999999998</v>
      </c>
      <c r="YU38" s="11">
        <v>-25525640.060000002</v>
      </c>
      <c r="YV38" s="11">
        <v>-10563959.809999999</v>
      </c>
      <c r="YW38" s="11">
        <v>-174652921.18000001</v>
      </c>
      <c r="YX38" s="11">
        <v>-17241260.140000001</v>
      </c>
      <c r="YY38" s="11">
        <v>-13251765.039999999</v>
      </c>
      <c r="YZ38" s="11">
        <v>-12504894.41</v>
      </c>
      <c r="ZA38" s="11">
        <v>-22167195.43</v>
      </c>
      <c r="ZB38" s="11">
        <v>-11416365.4</v>
      </c>
      <c r="ZC38" s="11">
        <v>-10223131.610000001</v>
      </c>
      <c r="ZD38" s="11">
        <v>-115631333.2</v>
      </c>
      <c r="ZE38" s="11">
        <v>-8503872.6400000006</v>
      </c>
      <c r="ZF38" s="11">
        <v>-15077202.489999996</v>
      </c>
      <c r="ZG38" s="11">
        <v>-12170168.99</v>
      </c>
      <c r="ZH38" s="11">
        <v>-8594906.5300000012</v>
      </c>
      <c r="ZI38" s="11">
        <v>-10509024.469999999</v>
      </c>
      <c r="ZJ38" s="11">
        <v>-19306493.289999999</v>
      </c>
      <c r="ZK38" s="11">
        <v>-11605684.329999998</v>
      </c>
      <c r="ZL38" s="11">
        <v>-81053477.999999985</v>
      </c>
      <c r="ZM38" s="11">
        <v>-324719266.76000011</v>
      </c>
      <c r="ZN38" s="11">
        <v>-12477722.43</v>
      </c>
      <c r="ZO38" s="11">
        <v>-41527703.467000008</v>
      </c>
      <c r="ZP38" s="11">
        <v>-80453031.450000003</v>
      </c>
      <c r="ZQ38" s="11">
        <v>-63159257.609999999</v>
      </c>
      <c r="ZR38" s="11">
        <v>-10212634.646999998</v>
      </c>
      <c r="ZS38" s="11">
        <v>-28387783.280000001</v>
      </c>
      <c r="ZT38" s="11">
        <v>-57127994.469999999</v>
      </c>
      <c r="ZU38" s="11">
        <v>-38621886.320000008</v>
      </c>
      <c r="ZV38" s="11">
        <v>-63569867.149999991</v>
      </c>
      <c r="ZW38" s="11">
        <v>-11030754.130000001</v>
      </c>
      <c r="ZX38" s="11">
        <v>-18879927.340000004</v>
      </c>
      <c r="ZY38" s="11">
        <v>-16008963.780000001</v>
      </c>
      <c r="ZZ38" s="11">
        <v>-43157626.229999997</v>
      </c>
      <c r="AAA38" s="11">
        <v>-13729284.740000002</v>
      </c>
      <c r="AAB38" s="11">
        <v>-20855140.179999996</v>
      </c>
      <c r="AAC38" s="11">
        <v>-17045715.879999999</v>
      </c>
      <c r="AAD38" s="11">
        <v>-10326548.369999999</v>
      </c>
      <c r="AAE38" s="11">
        <v>-20863177.309999999</v>
      </c>
      <c r="AAF38" s="11">
        <v>-14022489.010000002</v>
      </c>
      <c r="AAG38" s="11">
        <v>-7722350.7299999995</v>
      </c>
      <c r="AAH38" s="11">
        <v>-12772471.77</v>
      </c>
      <c r="AAI38" s="11">
        <v>-130423739.81999999</v>
      </c>
      <c r="AAJ38" s="11">
        <v>-21903215.570000004</v>
      </c>
      <c r="AAK38" s="11">
        <v>-20886348.300000001</v>
      </c>
      <c r="AAL38" s="11">
        <v>-15582908.4</v>
      </c>
      <c r="AAM38" s="11">
        <v>-6907021.54</v>
      </c>
      <c r="AAN38" s="11">
        <v>-32108874.250000004</v>
      </c>
      <c r="AAO38" s="11">
        <v>-9421731.4499999993</v>
      </c>
      <c r="AAP38" s="11">
        <v>-943453172.36000001</v>
      </c>
      <c r="AAQ38" s="11">
        <v>-37300982.749999993</v>
      </c>
      <c r="AAR38" s="11">
        <v>-22386030.469999999</v>
      </c>
      <c r="AAS38" s="11">
        <v>-46236938.329999998</v>
      </c>
      <c r="AAT38" s="11">
        <v>-41899536.789999992</v>
      </c>
      <c r="AAU38" s="11">
        <v>-12322665.18</v>
      </c>
      <c r="AAV38" s="11">
        <v>-19225435.66</v>
      </c>
      <c r="AAW38" s="11">
        <v>-31610489.239999998</v>
      </c>
      <c r="AAX38" s="11">
        <v>-132142245.25000001</v>
      </c>
      <c r="AAY38" s="11">
        <v>-22131322.630000003</v>
      </c>
      <c r="AAZ38" s="11">
        <v>-33199644.630000006</v>
      </c>
      <c r="ABA38" s="11">
        <v>-140912313.44</v>
      </c>
      <c r="ABB38" s="11">
        <v>-51262462.480000004</v>
      </c>
      <c r="ABC38" s="11">
        <v>-9560272.8099999987</v>
      </c>
      <c r="ABD38" s="11">
        <v>-20505665.529999997</v>
      </c>
      <c r="ABE38" s="11">
        <v>-18514429.539999995</v>
      </c>
      <c r="ABF38" s="11">
        <v>-10838894.110000001</v>
      </c>
      <c r="ABG38" s="11">
        <v>-16432539.58</v>
      </c>
      <c r="ABH38" s="11">
        <v>-17044946.239999998</v>
      </c>
      <c r="ABI38" s="11">
        <v>-135885234.63000003</v>
      </c>
      <c r="ABJ38" s="11">
        <v>-102475953.56999999</v>
      </c>
      <c r="ABK38" s="11">
        <v>-23757179.260000002</v>
      </c>
      <c r="ABL38" s="11">
        <v>-10092107.329999996</v>
      </c>
      <c r="ABM38" s="11">
        <v>-23918182.960000001</v>
      </c>
      <c r="ABN38" s="11">
        <v>-7951400.0099999998</v>
      </c>
      <c r="ABO38" s="11">
        <v>-12020607.589999998</v>
      </c>
      <c r="ABP38" s="11">
        <v>-202176259.99000001</v>
      </c>
      <c r="ABQ38" s="11">
        <v>-28289589.719999999</v>
      </c>
      <c r="ABR38" s="11">
        <v>-22334408.580000006</v>
      </c>
      <c r="ABS38" s="11">
        <v>-28163457.799999997</v>
      </c>
      <c r="ABT38" s="11">
        <v>-39528645.150000006</v>
      </c>
      <c r="ABU38" s="11">
        <v>-20199917.620000001</v>
      </c>
      <c r="ABV38" s="11">
        <v>-13385080.92</v>
      </c>
      <c r="ABW38" s="11">
        <v>-19174520.689999998</v>
      </c>
      <c r="ABX38" s="11">
        <v>-3372564.0900000003</v>
      </c>
      <c r="ABY38" s="11">
        <v>-330613931.08000004</v>
      </c>
      <c r="ABZ38" s="11">
        <v>-17678156.810000002</v>
      </c>
      <c r="ACA38" s="11">
        <v>-40840815.390000001</v>
      </c>
      <c r="ACB38" s="11">
        <v>-13560064.35</v>
      </c>
      <c r="ACC38" s="11">
        <v>-15616211.630000001</v>
      </c>
      <c r="ACD38" s="11">
        <v>-133833175.20999996</v>
      </c>
      <c r="ACE38" s="11">
        <v>-8840065.9600000009</v>
      </c>
      <c r="ACF38" s="11">
        <v>-12237803.610000001</v>
      </c>
      <c r="ACG38" s="11">
        <v>-14535935.749999998</v>
      </c>
      <c r="ACH38" s="11">
        <v>-20690011.690000001</v>
      </c>
      <c r="ACI38" s="11">
        <v>-19933436.82</v>
      </c>
      <c r="ACJ38" s="11">
        <v>-473419768.50000006</v>
      </c>
      <c r="ACK38" s="11">
        <v>-10683052.910000002</v>
      </c>
      <c r="ACL38" s="11">
        <v>-29884507.029999994</v>
      </c>
      <c r="ACM38" s="11">
        <v>-40357355.190000005</v>
      </c>
      <c r="ACN38" s="11">
        <v>-12274086.729999999</v>
      </c>
      <c r="ACO38" s="11">
        <v>-42673648.160000004</v>
      </c>
      <c r="ACP38" s="11">
        <v>-19768271.760000002</v>
      </c>
      <c r="ACQ38" s="11">
        <v>-118102354.73999999</v>
      </c>
      <c r="ACR38" s="11">
        <v>-157036565.74000001</v>
      </c>
      <c r="ACS38" s="11">
        <v>-29488072.230000004</v>
      </c>
      <c r="ACT38" s="11">
        <v>-59535443.040000007</v>
      </c>
      <c r="ACU38" s="11">
        <v>-46759012.81000001</v>
      </c>
      <c r="ACV38" s="11">
        <v>-35872870.910000011</v>
      </c>
      <c r="ACW38" s="11">
        <v>-73423748.700000003</v>
      </c>
      <c r="ACX38" s="11">
        <v>-30633337.68</v>
      </c>
      <c r="ACY38" s="11">
        <v>-13754043.649999999</v>
      </c>
      <c r="ACZ38" s="11">
        <v>-36187180.329999998</v>
      </c>
      <c r="ADA38" s="11">
        <v>-20471052.16</v>
      </c>
      <c r="ADB38" s="11">
        <v>-18122000.990000002</v>
      </c>
      <c r="ADC38" s="11">
        <v>-12132159.840000002</v>
      </c>
      <c r="ADD38" s="11">
        <v>-27620670.199999996</v>
      </c>
      <c r="ADE38" s="11">
        <v>-14811297.42</v>
      </c>
      <c r="ADF38" s="11">
        <v>-12121087.309999997</v>
      </c>
      <c r="ADG38" s="11">
        <v>-76400335.089999989</v>
      </c>
      <c r="ADH38" s="11">
        <v>-62301288.789999999</v>
      </c>
      <c r="ADI38" s="11">
        <v>-4757800.3000000007</v>
      </c>
      <c r="ADJ38" s="11">
        <v>-12697598.560000001</v>
      </c>
      <c r="ADK38" s="11">
        <v>-29642057.209999993</v>
      </c>
      <c r="ADL38" s="11">
        <v>-8928306.0899999999</v>
      </c>
      <c r="ADM38" s="11">
        <v>-23901915.43</v>
      </c>
      <c r="ADN38" s="11">
        <v>-27224726.489999998</v>
      </c>
      <c r="ADO38" s="11">
        <v>-36761199.159999996</v>
      </c>
      <c r="ADP38" s="11">
        <v>-500796235.06999993</v>
      </c>
      <c r="ADQ38" s="11">
        <v>-62559040.969999999</v>
      </c>
      <c r="ADR38" s="11">
        <v>-44875803.199999996</v>
      </c>
      <c r="ADS38" s="11">
        <v>-14712955.149999999</v>
      </c>
      <c r="ADT38" s="11">
        <v>-158823644.43999997</v>
      </c>
      <c r="ADU38" s="11">
        <v>-7629773.9199999999</v>
      </c>
      <c r="ADV38" s="11">
        <v>-21747424.119999997</v>
      </c>
      <c r="ADW38" s="11">
        <v>-12426361.870000001</v>
      </c>
      <c r="ADX38" s="11">
        <v>-6497129.3100000005</v>
      </c>
      <c r="ADY38" s="11">
        <v>-7848009.9700000007</v>
      </c>
      <c r="ADZ38" s="11">
        <v>-631632263.46000004</v>
      </c>
      <c r="AEA38" s="11">
        <v>-209587195.54999998</v>
      </c>
      <c r="AEB38" s="11">
        <v>-98692480.359999999</v>
      </c>
      <c r="AEC38" s="11">
        <v>-38732322.829999991</v>
      </c>
      <c r="AED38" s="11">
        <v>-16531200.189999999</v>
      </c>
      <c r="AEE38" s="11">
        <v>-50945947.680000007</v>
      </c>
      <c r="AEF38" s="11">
        <v>-37708241.829999998</v>
      </c>
      <c r="AEG38" s="11">
        <v>-26320222.699999996</v>
      </c>
      <c r="AEH38" s="11">
        <v>-14868852.130000005</v>
      </c>
      <c r="AEI38" s="11">
        <v>-11939380.41</v>
      </c>
      <c r="AEJ38" s="11">
        <v>-50016857.199999996</v>
      </c>
      <c r="AEK38" s="11">
        <v>-59438615.909999989</v>
      </c>
      <c r="AEL38" s="11">
        <v>-17697268.41</v>
      </c>
      <c r="AEM38" s="11">
        <v>-34375809.590000004</v>
      </c>
      <c r="AEN38" s="11">
        <v>-43848490.919999987</v>
      </c>
      <c r="AEO38" s="11">
        <v>-43216746.030000001</v>
      </c>
      <c r="AEP38" s="11">
        <v>-10385961.559999999</v>
      </c>
      <c r="AEQ38" s="11">
        <v>-78687869.310000017</v>
      </c>
      <c r="AER38" s="11">
        <v>-7830313.5500000007</v>
      </c>
      <c r="AES38" s="11">
        <v>-59589947.279999986</v>
      </c>
      <c r="AET38" s="11">
        <v>-264154777.90000007</v>
      </c>
      <c r="AEU38" s="11">
        <v>-47383005.120000005</v>
      </c>
      <c r="AEV38" s="11">
        <v>-29372099.34</v>
      </c>
      <c r="AEW38" s="11">
        <v>-30611010.759999998</v>
      </c>
      <c r="AEX38" s="11">
        <v>-19288505.549999993</v>
      </c>
      <c r="AEY38" s="11">
        <v>-83760376.450000003</v>
      </c>
      <c r="AEZ38" s="11">
        <v>-23847119.499999996</v>
      </c>
      <c r="AFA38" s="11">
        <v>-35983851.719999991</v>
      </c>
      <c r="AFB38" s="11">
        <v>-26746992.66</v>
      </c>
      <c r="AFC38" s="11">
        <v>-15657440.99</v>
      </c>
      <c r="AFD38" s="11">
        <v>-278789240.11999995</v>
      </c>
      <c r="AFE38" s="11">
        <v>-27449077.210000001</v>
      </c>
      <c r="AFF38" s="11">
        <v>-23498283.199999999</v>
      </c>
      <c r="AFG38" s="11">
        <v>-18662407.359999999</v>
      </c>
      <c r="AFH38" s="11">
        <v>-25729175.140000004</v>
      </c>
      <c r="AFI38" s="11">
        <v>-26058360.57</v>
      </c>
      <c r="AFJ38" s="11">
        <v>-22128075.73</v>
      </c>
      <c r="AFK38" s="11">
        <v>-15907048.68</v>
      </c>
      <c r="AFL38" s="11">
        <v>-19749091.41</v>
      </c>
      <c r="AFM38" s="11">
        <v>-28019924.130000003</v>
      </c>
      <c r="AFN38" s="11">
        <v>-17110471.830000002</v>
      </c>
      <c r="AFO38" s="11">
        <v>-13883710.580000002</v>
      </c>
      <c r="AFP38" s="11">
        <v>-25188955.789999999</v>
      </c>
      <c r="AFQ38" s="11">
        <v>-235051998.34999999</v>
      </c>
      <c r="AFR38" s="11">
        <v>-46503288.359999999</v>
      </c>
      <c r="AFS38" s="11">
        <v>-29751522.98</v>
      </c>
      <c r="AFT38" s="11">
        <v>-17446326.740000002</v>
      </c>
      <c r="AFU38" s="11">
        <v>-34023482.709999993</v>
      </c>
      <c r="AFV38" s="11">
        <v>-14504716.220000003</v>
      </c>
      <c r="AFW38" s="11">
        <v>-11984391.6</v>
      </c>
      <c r="AFX38" s="11">
        <v>-29748590.489999998</v>
      </c>
      <c r="AFY38" s="11">
        <v>-19764216.029999997</v>
      </c>
      <c r="AFZ38" s="11">
        <v>-14042010.050000001</v>
      </c>
      <c r="AGA38" s="11">
        <v>-47138345.189999998</v>
      </c>
      <c r="AGB38" s="11">
        <v>-10373270.1</v>
      </c>
      <c r="AGC38" s="11">
        <v>-77748668.090000004</v>
      </c>
      <c r="AGD38" s="11">
        <v>-16513917.93</v>
      </c>
      <c r="AGE38" s="11">
        <v>-22891566.340000004</v>
      </c>
      <c r="AGF38" s="11">
        <v>-16410095.749999998</v>
      </c>
      <c r="AGG38" s="11">
        <v>-41398532.189999983</v>
      </c>
      <c r="AGH38" s="11">
        <v>-26243563.649999999</v>
      </c>
      <c r="AGI38" s="11">
        <v>-7860803.4699999997</v>
      </c>
      <c r="AGJ38" s="11">
        <v>-19022133.900000002</v>
      </c>
      <c r="AGK38" s="11">
        <v>-14764351.33</v>
      </c>
      <c r="AGL38" s="11">
        <v>-15386607.720000001</v>
      </c>
      <c r="AGM38" s="11">
        <v>-16993578.469999999</v>
      </c>
      <c r="AGN38" s="11">
        <v>-187720773.33000001</v>
      </c>
      <c r="AGO38" s="11">
        <v>-33153789.539999992</v>
      </c>
      <c r="AGP38" s="11">
        <v>-20266860.09</v>
      </c>
      <c r="AGQ38" s="11">
        <v>-7313334.25</v>
      </c>
      <c r="AGR38" s="11">
        <v>-24938420</v>
      </c>
      <c r="AGS38" s="11">
        <v>-30667102.109999999</v>
      </c>
      <c r="AGT38" s="11">
        <v>-14520815.040000001</v>
      </c>
      <c r="AGU38" s="11">
        <v>-14892923.210000003</v>
      </c>
      <c r="AGV38" s="11">
        <v>-429953999.44999999</v>
      </c>
      <c r="AGW38" s="11">
        <v>-351388981.85000002</v>
      </c>
      <c r="AGX38" s="11">
        <v>-21377605.290000007</v>
      </c>
      <c r="AGY38" s="11">
        <v>-23326491.82</v>
      </c>
      <c r="AGZ38" s="11">
        <v>-61579057.269999996</v>
      </c>
      <c r="AHA38" s="11">
        <v>-14525241.430000002</v>
      </c>
      <c r="AHB38" s="11">
        <v>-23009509.609999999</v>
      </c>
      <c r="AHC38" s="11">
        <v>-18846759.010000002</v>
      </c>
      <c r="AHD38" s="11">
        <v>-7799669.3999999994</v>
      </c>
      <c r="AHE38" s="11">
        <v>-47705621.469999999</v>
      </c>
      <c r="AHF38" s="11">
        <v>-36451204.480000004</v>
      </c>
      <c r="AHG38" s="11">
        <v>-12578422.119999997</v>
      </c>
      <c r="AHH38" s="11">
        <v>-20728821.360000003</v>
      </c>
      <c r="AHI38" s="11">
        <v>-19327230.509999998</v>
      </c>
      <c r="AHJ38" s="11">
        <v>-8698611.2699999996</v>
      </c>
      <c r="AHK38" s="11">
        <v>-9509435.8999999985</v>
      </c>
      <c r="AHL38" s="11">
        <v>-13182446.959999997</v>
      </c>
      <c r="AHM38" s="11">
        <v>-149286744.11000001</v>
      </c>
      <c r="AHN38" s="11">
        <v>-12199893.68</v>
      </c>
      <c r="AHO38" s="11">
        <v>-18999391.799999997</v>
      </c>
      <c r="AHP38" s="11">
        <v>-11667830.65</v>
      </c>
      <c r="AHQ38" s="11">
        <v>-38722176.490000002</v>
      </c>
      <c r="AHR38" s="11">
        <v>-9322426.6199999992</v>
      </c>
      <c r="AHS38" s="11">
        <v>-20867875.560000002</v>
      </c>
      <c r="AHT38" s="11">
        <v>-49738442932.009544</v>
      </c>
      <c r="AHU38" s="11"/>
    </row>
    <row r="40" spans="2:905" x14ac:dyDescent="0.7">
      <c r="D40" s="6" t="s">
        <v>1189</v>
      </c>
      <c r="V40" s="6" t="s">
        <v>1190</v>
      </c>
      <c r="AT40" s="6" t="s">
        <v>1191</v>
      </c>
      <c r="BI40" s="6" t="s">
        <v>1192</v>
      </c>
      <c r="BR40" s="6" t="s">
        <v>1193</v>
      </c>
      <c r="BZ40" s="6" t="s">
        <v>1194</v>
      </c>
      <c r="CG40" s="6" t="s">
        <v>1195</v>
      </c>
      <c r="CT40" s="6" t="s">
        <v>1196</v>
      </c>
      <c r="DB40" s="6" t="s">
        <v>1197</v>
      </c>
      <c r="DK40" s="6" t="s">
        <v>1198</v>
      </c>
      <c r="DT40" s="6" t="s">
        <v>1199</v>
      </c>
      <c r="EE40" s="6" t="s">
        <v>1200</v>
      </c>
      <c r="EN40" s="6" t="s">
        <v>1201</v>
      </c>
      <c r="EW40" s="6" t="s">
        <v>1202</v>
      </c>
      <c r="FI40" s="6" t="s">
        <v>1203</v>
      </c>
      <c r="FQ40" s="6" t="s">
        <v>1204</v>
      </c>
      <c r="GE40" s="6" t="s">
        <v>1205</v>
      </c>
      <c r="GQ40" s="6" t="s">
        <v>1206</v>
      </c>
      <c r="GY40" s="6" t="s">
        <v>1207</v>
      </c>
      <c r="HC40" s="6" t="s">
        <v>1208</v>
      </c>
      <c r="HK40" s="6" t="s">
        <v>1209</v>
      </c>
      <c r="HS40" s="6" t="s">
        <v>1210</v>
      </c>
      <c r="II40" s="6" t="s">
        <v>1211</v>
      </c>
      <c r="IT40" s="6" t="s">
        <v>1212</v>
      </c>
      <c r="JF40" s="6" t="s">
        <v>1213</v>
      </c>
      <c r="JL40" s="6" t="s">
        <v>1214</v>
      </c>
      <c r="JS40" s="6" t="s">
        <v>1215</v>
      </c>
      <c r="KI40" s="6" t="s">
        <v>1216</v>
      </c>
      <c r="KR40" s="6" t="s">
        <v>1217</v>
      </c>
      <c r="KZ40" s="6" t="s">
        <v>1218</v>
      </c>
      <c r="LH40" s="6" t="s">
        <v>1219</v>
      </c>
      <c r="LS40" s="6" t="s">
        <v>1220</v>
      </c>
      <c r="LV40" s="6" t="s">
        <v>1221</v>
      </c>
      <c r="LX40" s="6" t="s">
        <v>1222</v>
      </c>
      <c r="MH40" s="6" t="s">
        <v>1223</v>
      </c>
      <c r="MT40" s="6" t="s">
        <v>1224</v>
      </c>
      <c r="NE40" s="6" t="s">
        <v>1225</v>
      </c>
      <c r="NQ40" s="6" t="s">
        <v>1226</v>
      </c>
      <c r="NX40" s="6" t="s">
        <v>1227</v>
      </c>
      <c r="OE40" s="6" t="s">
        <v>1228</v>
      </c>
      <c r="ON40" s="6" t="s">
        <v>1229</v>
      </c>
      <c r="OT40" s="6" t="s">
        <v>1230</v>
      </c>
      <c r="PC40" s="6" t="s">
        <v>1231</v>
      </c>
      <c r="PU40" s="6" t="s">
        <v>1232</v>
      </c>
      <c r="QU40" s="6" t="s">
        <v>1233</v>
      </c>
      <c r="RH40" s="6" t="s">
        <v>1234</v>
      </c>
      <c r="SB40" s="6" t="s">
        <v>1235</v>
      </c>
      <c r="SN40" s="6" t="s">
        <v>1236</v>
      </c>
      <c r="SV40" s="6" t="s">
        <v>1237</v>
      </c>
      <c r="TJ40" s="6" t="s">
        <v>1238</v>
      </c>
      <c r="UB40" s="6" t="s">
        <v>1239</v>
      </c>
      <c r="UK40" s="6" t="s">
        <v>1240</v>
      </c>
      <c r="UQ40" s="6" t="s">
        <v>1241</v>
      </c>
      <c r="VL40" s="6" t="s">
        <v>1242</v>
      </c>
      <c r="WB40" s="6" t="s">
        <v>1243</v>
      </c>
      <c r="XI40" s="6" t="s">
        <v>1244</v>
      </c>
      <c r="YF40" s="6" t="s">
        <v>1245</v>
      </c>
      <c r="YW40" s="6" t="s">
        <v>1246</v>
      </c>
      <c r="ZD40" s="6" t="s">
        <v>1247</v>
      </c>
      <c r="ZM40" s="6" t="s">
        <v>1248</v>
      </c>
      <c r="AAI40" s="6" t="s">
        <v>1249</v>
      </c>
      <c r="AAP40" s="6" t="s">
        <v>1250</v>
      </c>
      <c r="ABP40" s="6" t="s">
        <v>1251</v>
      </c>
      <c r="ABY40" s="6" t="s">
        <v>1252</v>
      </c>
      <c r="ACJ40" s="6" t="s">
        <v>1253</v>
      </c>
      <c r="ADG40" s="6" t="s">
        <v>1254</v>
      </c>
      <c r="ADP40" s="6" t="s">
        <v>1255</v>
      </c>
      <c r="ADT40" s="6" t="s">
        <v>1256</v>
      </c>
      <c r="ADY40" s="6" t="s">
        <v>1257</v>
      </c>
      <c r="AET40" s="6" t="s">
        <v>1258</v>
      </c>
      <c r="AFD40" s="6" t="s">
        <v>1259</v>
      </c>
      <c r="AFQ40" s="6" t="s">
        <v>1260</v>
      </c>
      <c r="AGC40" s="6" t="s">
        <v>1261</v>
      </c>
      <c r="AGN40" s="6" t="s">
        <v>1262</v>
      </c>
      <c r="AGV40" s="6" t="s">
        <v>1263</v>
      </c>
      <c r="AHM40" s="6" t="s">
        <v>1264</v>
      </c>
    </row>
    <row r="41" spans="2:905" x14ac:dyDescent="0.7">
      <c r="D41" s="6" t="s">
        <v>2606</v>
      </c>
      <c r="E41" s="6" t="s">
        <v>2610</v>
      </c>
      <c r="F41" s="6" t="s">
        <v>2614</v>
      </c>
      <c r="G41" s="6" t="s">
        <v>2618</v>
      </c>
      <c r="H41" s="6" t="s">
        <v>2622</v>
      </c>
      <c r="I41" s="6" t="s">
        <v>2626</v>
      </c>
      <c r="J41" s="6" t="s">
        <v>2630</v>
      </c>
      <c r="K41" s="6" t="s">
        <v>2634</v>
      </c>
      <c r="L41" s="6" t="s">
        <v>2638</v>
      </c>
      <c r="M41" s="6" t="s">
        <v>2642</v>
      </c>
      <c r="N41" s="6" t="s">
        <v>2646</v>
      </c>
      <c r="O41" s="6" t="s">
        <v>2650</v>
      </c>
      <c r="P41" s="6" t="s">
        <v>2654</v>
      </c>
      <c r="Q41" s="6" t="s">
        <v>2658</v>
      </c>
      <c r="R41" s="6" t="s">
        <v>2662</v>
      </c>
      <c r="S41" s="6" t="s">
        <v>2666</v>
      </c>
      <c r="T41" s="6" t="s">
        <v>2670</v>
      </c>
      <c r="U41" s="6" t="s">
        <v>2674</v>
      </c>
      <c r="V41" s="6" t="s">
        <v>2290</v>
      </c>
      <c r="W41" s="6" t="s">
        <v>2298</v>
      </c>
      <c r="X41" s="6" t="s">
        <v>2306</v>
      </c>
      <c r="Y41" s="6" t="s">
        <v>2313</v>
      </c>
      <c r="Z41" s="6" t="s">
        <v>2318</v>
      </c>
      <c r="AA41" s="6" t="s">
        <v>2322</v>
      </c>
      <c r="AB41" s="6" t="s">
        <v>2326</v>
      </c>
      <c r="AC41" s="6" t="s">
        <v>2330</v>
      </c>
      <c r="AD41" s="6" t="s">
        <v>2334</v>
      </c>
      <c r="AE41" s="6" t="s">
        <v>2338</v>
      </c>
      <c r="AF41" s="6" t="s">
        <v>2342</v>
      </c>
      <c r="AG41" s="6" t="s">
        <v>2347</v>
      </c>
      <c r="AH41" s="6" t="s">
        <v>2351</v>
      </c>
      <c r="AI41" s="6" t="s">
        <v>2355</v>
      </c>
      <c r="AJ41" s="6" t="s">
        <v>2359</v>
      </c>
      <c r="AK41" s="6" t="s">
        <v>2363</v>
      </c>
      <c r="AL41" s="6" t="s">
        <v>2367</v>
      </c>
      <c r="AM41" s="6" t="s">
        <v>2371</v>
      </c>
      <c r="AN41" s="6" t="s">
        <v>2375</v>
      </c>
      <c r="AO41" s="6" t="s">
        <v>2379</v>
      </c>
      <c r="AP41" s="6" t="s">
        <v>2383</v>
      </c>
      <c r="AQ41" s="6" t="s">
        <v>2387</v>
      </c>
      <c r="AR41" s="6" t="s">
        <v>2391</v>
      </c>
      <c r="AS41" s="6" t="s">
        <v>2395</v>
      </c>
      <c r="AT41" s="6" t="s">
        <v>2513</v>
      </c>
      <c r="AU41" s="6" t="s">
        <v>2516</v>
      </c>
      <c r="AV41" s="6" t="s">
        <v>2520</v>
      </c>
      <c r="AW41" s="6" t="s">
        <v>2524</v>
      </c>
      <c r="AX41" s="6" t="s">
        <v>2528</v>
      </c>
      <c r="AY41" s="6" t="s">
        <v>2532</v>
      </c>
      <c r="AZ41" s="6" t="s">
        <v>2536</v>
      </c>
      <c r="BA41" s="6" t="s">
        <v>2540</v>
      </c>
      <c r="BB41" s="6" t="s">
        <v>2544</v>
      </c>
      <c r="BC41" s="6" t="s">
        <v>2548</v>
      </c>
      <c r="BD41" s="6" t="s">
        <v>2552</v>
      </c>
      <c r="BE41" s="6" t="s">
        <v>2556</v>
      </c>
      <c r="BF41" s="6" t="s">
        <v>2560</v>
      </c>
      <c r="BG41" s="6" t="s">
        <v>2564</v>
      </c>
      <c r="BH41" s="6" t="s">
        <v>2568</v>
      </c>
      <c r="BI41" s="6" t="s">
        <v>2571</v>
      </c>
      <c r="BJ41" s="6" t="s">
        <v>2574</v>
      </c>
      <c r="BK41" s="6" t="s">
        <v>2578</v>
      </c>
      <c r="BL41" s="6" t="s">
        <v>2582</v>
      </c>
      <c r="BM41" s="6" t="s">
        <v>2586</v>
      </c>
      <c r="BN41" s="6" t="s">
        <v>2590</v>
      </c>
      <c r="BO41" s="6" t="s">
        <v>2594</v>
      </c>
      <c r="BP41" s="6" t="s">
        <v>2598</v>
      </c>
      <c r="BQ41" s="6" t="s">
        <v>2602</v>
      </c>
      <c r="BR41" s="6" t="s">
        <v>2482</v>
      </c>
      <c r="BS41" s="6" t="s">
        <v>2485</v>
      </c>
      <c r="BT41" s="6" t="s">
        <v>2489</v>
      </c>
      <c r="BU41" s="6" t="s">
        <v>2493</v>
      </c>
      <c r="BV41" s="6" t="s">
        <v>2497</v>
      </c>
      <c r="BW41" s="6" t="s">
        <v>2501</v>
      </c>
      <c r="BX41" s="6" t="s">
        <v>2505</v>
      </c>
      <c r="BY41" s="6" t="s">
        <v>2509</v>
      </c>
      <c r="BZ41" s="6" t="s">
        <v>2678</v>
      </c>
      <c r="CA41" s="6" t="s">
        <v>2682</v>
      </c>
      <c r="CB41" s="6" t="s">
        <v>2686</v>
      </c>
      <c r="CC41" s="6" t="s">
        <v>2690</v>
      </c>
      <c r="CD41" s="6" t="s">
        <v>2694</v>
      </c>
      <c r="CE41" s="6" t="s">
        <v>2698</v>
      </c>
      <c r="CF41" s="6" t="s">
        <v>2702</v>
      </c>
      <c r="CG41" s="6" t="s">
        <v>2431</v>
      </c>
      <c r="CH41" s="6" t="s">
        <v>2434</v>
      </c>
      <c r="CI41" s="6" t="s">
        <v>2438</v>
      </c>
      <c r="CJ41" s="6" t="s">
        <v>2442</v>
      </c>
      <c r="CK41" s="6" t="s">
        <v>2446</v>
      </c>
      <c r="CL41" s="6" t="s">
        <v>2450</v>
      </c>
      <c r="CM41" s="6" t="s">
        <v>2454</v>
      </c>
      <c r="CN41" s="6" t="s">
        <v>2458</v>
      </c>
      <c r="CO41" s="6" t="s">
        <v>2462</v>
      </c>
      <c r="CP41" s="6" t="s">
        <v>2466</v>
      </c>
      <c r="CQ41" s="6" t="s">
        <v>2470</v>
      </c>
      <c r="CR41" s="6" t="s">
        <v>2474</v>
      </c>
      <c r="CS41" s="6" t="s">
        <v>2478</v>
      </c>
      <c r="CT41" s="6" t="s">
        <v>2400</v>
      </c>
      <c r="CU41" s="6" t="s">
        <v>2403</v>
      </c>
      <c r="CV41" s="6" t="s">
        <v>2407</v>
      </c>
      <c r="CW41" s="6" t="s">
        <v>2411</v>
      </c>
      <c r="CX41" s="6" t="s">
        <v>2415</v>
      </c>
      <c r="CY41" s="6" t="s">
        <v>2419</v>
      </c>
      <c r="CZ41" s="6" t="s">
        <v>2423</v>
      </c>
      <c r="DA41" s="6" t="s">
        <v>2427</v>
      </c>
      <c r="DB41" s="6" t="s">
        <v>2741</v>
      </c>
      <c r="DC41" s="6" t="s">
        <v>2745</v>
      </c>
      <c r="DD41" s="6" t="s">
        <v>2749</v>
      </c>
      <c r="DE41" s="6" t="s">
        <v>2753</v>
      </c>
      <c r="DF41" s="6" t="s">
        <v>2757</v>
      </c>
      <c r="DG41" s="6" t="s">
        <v>2761</v>
      </c>
      <c r="DH41" s="6" t="s">
        <v>2765</v>
      </c>
      <c r="DI41" s="6" t="s">
        <v>2769</v>
      </c>
      <c r="DJ41" s="6" t="s">
        <v>2773</v>
      </c>
      <c r="DK41" s="6" t="s">
        <v>2812</v>
      </c>
      <c r="DL41" s="6" t="s">
        <v>2816</v>
      </c>
      <c r="DM41" s="6" t="s">
        <v>2820</v>
      </c>
      <c r="DN41" s="6" t="s">
        <v>2824</v>
      </c>
      <c r="DO41" s="6" t="s">
        <v>2828</v>
      </c>
      <c r="DP41" s="6" t="s">
        <v>2832</v>
      </c>
      <c r="DQ41" s="6" t="s">
        <v>2836</v>
      </c>
      <c r="DR41" s="6" t="s">
        <v>2840</v>
      </c>
      <c r="DS41" s="6" t="s">
        <v>2844</v>
      </c>
      <c r="DT41" s="6" t="s">
        <v>2848</v>
      </c>
      <c r="DU41" s="6" t="s">
        <v>2851</v>
      </c>
      <c r="DV41" s="6" t="s">
        <v>2855</v>
      </c>
      <c r="DW41" s="6" t="s">
        <v>2859</v>
      </c>
      <c r="DX41" s="6" t="s">
        <v>2863</v>
      </c>
      <c r="DY41" s="6" t="s">
        <v>2867</v>
      </c>
      <c r="DZ41" s="6" t="s">
        <v>2871</v>
      </c>
      <c r="EA41" s="6" t="s">
        <v>2875</v>
      </c>
      <c r="EB41" s="6" t="s">
        <v>2879</v>
      </c>
      <c r="EC41" s="6" t="s">
        <v>2883</v>
      </c>
      <c r="ED41" s="6" t="s">
        <v>2887</v>
      </c>
      <c r="EE41" s="6" t="s">
        <v>2777</v>
      </c>
      <c r="EF41" s="6" t="s">
        <v>2780</v>
      </c>
      <c r="EG41" s="6" t="s">
        <v>2784</v>
      </c>
      <c r="EH41" s="6" t="s">
        <v>2788</v>
      </c>
      <c r="EI41" s="6" t="s">
        <v>2792</v>
      </c>
      <c r="EJ41" s="6" t="s">
        <v>2796</v>
      </c>
      <c r="EK41" s="6" t="s">
        <v>2800</v>
      </c>
      <c r="EL41" s="6" t="s">
        <v>2804</v>
      </c>
      <c r="EM41" s="6" t="s">
        <v>2808</v>
      </c>
      <c r="EN41" s="6" t="s">
        <v>2706</v>
      </c>
      <c r="EO41" s="6" t="s">
        <v>2709</v>
      </c>
      <c r="EP41" s="6" t="s">
        <v>2713</v>
      </c>
      <c r="EQ41" s="6" t="s">
        <v>2717</v>
      </c>
      <c r="ER41" s="6" t="s">
        <v>2721</v>
      </c>
      <c r="ES41" s="6" t="s">
        <v>2725</v>
      </c>
      <c r="ET41" s="6" t="s">
        <v>2729</v>
      </c>
      <c r="EU41" s="6" t="s">
        <v>2733</v>
      </c>
      <c r="EV41" s="6" t="s">
        <v>2737</v>
      </c>
      <c r="EW41" s="6" t="s">
        <v>3008</v>
      </c>
      <c r="EX41" s="6" t="s">
        <v>3011</v>
      </c>
      <c r="EY41" s="6" t="s">
        <v>3015</v>
      </c>
      <c r="EZ41" s="6" t="s">
        <v>3019</v>
      </c>
      <c r="FA41" s="6" t="s">
        <v>3023</v>
      </c>
      <c r="FB41" s="6" t="s">
        <v>3027</v>
      </c>
      <c r="FC41" s="6" t="s">
        <v>3031</v>
      </c>
      <c r="FD41" s="6" t="s">
        <v>3035</v>
      </c>
      <c r="FE41" s="6" t="s">
        <v>3039</v>
      </c>
      <c r="FF41" s="6" t="s">
        <v>3043</v>
      </c>
      <c r="FG41" s="6" t="s">
        <v>3047</v>
      </c>
      <c r="FH41" s="6" t="s">
        <v>3051</v>
      </c>
      <c r="FI41" s="6" t="s">
        <v>2891</v>
      </c>
      <c r="FJ41" s="6" t="s">
        <v>2895</v>
      </c>
      <c r="FK41" s="6" t="s">
        <v>2899</v>
      </c>
      <c r="FL41" s="6" t="s">
        <v>2903</v>
      </c>
      <c r="FM41" s="6" t="s">
        <v>2907</v>
      </c>
      <c r="FN41" s="6" t="s">
        <v>2911</v>
      </c>
      <c r="FO41" s="6" t="s">
        <v>2915</v>
      </c>
      <c r="FP41" s="6" t="s">
        <v>2918</v>
      </c>
      <c r="FQ41" s="6" t="s">
        <v>2921</v>
      </c>
      <c r="FR41" s="6" t="s">
        <v>2925</v>
      </c>
      <c r="FS41" s="6" t="s">
        <v>2929</v>
      </c>
      <c r="FT41" s="6" t="s">
        <v>2933</v>
      </c>
      <c r="FU41" s="6" t="s">
        <v>2937</v>
      </c>
      <c r="FV41" s="6" t="s">
        <v>2941</v>
      </c>
      <c r="FW41" s="6" t="s">
        <v>2945</v>
      </c>
      <c r="FX41" s="6" t="s">
        <v>2949</v>
      </c>
      <c r="FY41" s="6" t="s">
        <v>2953</v>
      </c>
      <c r="FZ41" s="6" t="s">
        <v>2957</v>
      </c>
      <c r="GA41" s="6" t="s">
        <v>2961</v>
      </c>
      <c r="GB41" s="6" t="s">
        <v>2965</v>
      </c>
      <c r="GC41" s="6" t="s">
        <v>2969</v>
      </c>
      <c r="GD41" s="6" t="s">
        <v>2973</v>
      </c>
      <c r="GE41" s="6" t="s">
        <v>3054</v>
      </c>
      <c r="GF41" s="6" t="s">
        <v>3057</v>
      </c>
      <c r="GG41" s="6" t="s">
        <v>3061</v>
      </c>
      <c r="GH41" s="6" t="s">
        <v>3065</v>
      </c>
      <c r="GI41" s="6" t="s">
        <v>3069</v>
      </c>
      <c r="GJ41" s="6" t="s">
        <v>3073</v>
      </c>
      <c r="GK41" s="6" t="s">
        <v>3077</v>
      </c>
      <c r="GL41" s="6" t="s">
        <v>3081</v>
      </c>
      <c r="GM41" s="6" t="s">
        <v>3085</v>
      </c>
      <c r="GN41" s="6" t="s">
        <v>3089</v>
      </c>
      <c r="GO41" s="6" t="s">
        <v>3093</v>
      </c>
      <c r="GP41" s="6" t="s">
        <v>3097</v>
      </c>
      <c r="GQ41" s="6" t="s">
        <v>2977</v>
      </c>
      <c r="GR41" s="6" t="s">
        <v>2980</v>
      </c>
      <c r="GS41" s="6" t="s">
        <v>2984</v>
      </c>
      <c r="GT41" s="6" t="s">
        <v>2988</v>
      </c>
      <c r="GU41" s="6" t="s">
        <v>2992</v>
      </c>
      <c r="GV41" s="6" t="s">
        <v>2996</v>
      </c>
      <c r="GW41" s="6" t="s">
        <v>3000</v>
      </c>
      <c r="GX41" s="6" t="s">
        <v>3004</v>
      </c>
      <c r="GY41" s="6" t="s">
        <v>3364</v>
      </c>
      <c r="GZ41" s="6" t="s">
        <v>3367</v>
      </c>
      <c r="HA41" s="6" t="s">
        <v>3371</v>
      </c>
      <c r="HB41" s="6" t="s">
        <v>3375</v>
      </c>
      <c r="HC41" s="6" t="s">
        <v>3101</v>
      </c>
      <c r="HD41" s="6" t="s">
        <v>3105</v>
      </c>
      <c r="HE41" s="6" t="s">
        <v>3109</v>
      </c>
      <c r="HF41" s="6" t="s">
        <v>3113</v>
      </c>
      <c r="HG41" s="6" t="s">
        <v>3117</v>
      </c>
      <c r="HH41" s="6" t="s">
        <v>3121</v>
      </c>
      <c r="HI41" s="6" t="s">
        <v>3125</v>
      </c>
      <c r="HJ41" s="6" t="s">
        <v>6382</v>
      </c>
      <c r="HK41" s="6" t="s">
        <v>3129</v>
      </c>
      <c r="HL41" s="6" t="s">
        <v>3132</v>
      </c>
      <c r="HM41" s="6" t="s">
        <v>3136</v>
      </c>
      <c r="HN41" s="6" t="s">
        <v>3140</v>
      </c>
      <c r="HO41" s="6" t="s">
        <v>3144</v>
      </c>
      <c r="HP41" s="6" t="s">
        <v>3148</v>
      </c>
      <c r="HQ41" s="6" t="s">
        <v>3152</v>
      </c>
      <c r="HR41" s="6" t="s">
        <v>3156</v>
      </c>
      <c r="HS41" s="6" t="s">
        <v>3160</v>
      </c>
      <c r="HT41" s="6" t="s">
        <v>3163</v>
      </c>
      <c r="HU41" s="6" t="s">
        <v>3167</v>
      </c>
      <c r="HV41" s="6" t="s">
        <v>3171</v>
      </c>
      <c r="HW41" s="6" t="s">
        <v>3175</v>
      </c>
      <c r="HX41" s="6" t="s">
        <v>3179</v>
      </c>
      <c r="HY41" s="6" t="s">
        <v>3183</v>
      </c>
      <c r="HZ41" s="6" t="s">
        <v>3187</v>
      </c>
      <c r="IA41" s="6" t="s">
        <v>3191</v>
      </c>
      <c r="IB41" s="6" t="s">
        <v>3195</v>
      </c>
      <c r="IC41" s="6" t="s">
        <v>3199</v>
      </c>
      <c r="ID41" s="6" t="s">
        <v>3203</v>
      </c>
      <c r="IE41" s="6" t="s">
        <v>3207</v>
      </c>
      <c r="IF41" s="6" t="s">
        <v>3211</v>
      </c>
      <c r="IG41" s="6" t="s">
        <v>3215</v>
      </c>
      <c r="IH41" s="6" t="s">
        <v>3219</v>
      </c>
      <c r="II41" s="6" t="s">
        <v>3250</v>
      </c>
      <c r="IJ41" s="6" t="s">
        <v>3254</v>
      </c>
      <c r="IK41" s="6" t="s">
        <v>3258</v>
      </c>
      <c r="IL41" s="6" t="s">
        <v>3262</v>
      </c>
      <c r="IM41" s="6" t="s">
        <v>3266</v>
      </c>
      <c r="IN41" s="6" t="s">
        <v>3270</v>
      </c>
      <c r="IO41" s="6" t="s">
        <v>3274</v>
      </c>
      <c r="IP41" s="6" t="s">
        <v>3278</v>
      </c>
      <c r="IQ41" s="6" t="s">
        <v>3282</v>
      </c>
      <c r="IR41" s="6" t="s">
        <v>3286</v>
      </c>
      <c r="IS41" s="6" t="s">
        <v>3290</v>
      </c>
      <c r="IT41" s="6" t="s">
        <v>3317</v>
      </c>
      <c r="IU41" s="6" t="s">
        <v>3320</v>
      </c>
      <c r="IV41" s="6" t="s">
        <v>3324</v>
      </c>
      <c r="IW41" s="6" t="s">
        <v>3328</v>
      </c>
      <c r="IX41" s="6" t="s">
        <v>3332</v>
      </c>
      <c r="IY41" s="6" t="s">
        <v>3336</v>
      </c>
      <c r="IZ41" s="6" t="s">
        <v>3340</v>
      </c>
      <c r="JA41" s="6" t="s">
        <v>3344</v>
      </c>
      <c r="JB41" s="6" t="s">
        <v>3348</v>
      </c>
      <c r="JC41" s="6" t="s">
        <v>3352</v>
      </c>
      <c r="JD41" s="6" t="s">
        <v>3356</v>
      </c>
      <c r="JE41" s="6" t="s">
        <v>3360</v>
      </c>
      <c r="JF41" s="6" t="s">
        <v>3294</v>
      </c>
      <c r="JG41" s="6" t="s">
        <v>3297</v>
      </c>
      <c r="JH41" s="6" t="s">
        <v>3301</v>
      </c>
      <c r="JI41" s="6" t="s">
        <v>3305</v>
      </c>
      <c r="JJ41" s="6" t="s">
        <v>3309</v>
      </c>
      <c r="JK41" s="6" t="s">
        <v>3313</v>
      </c>
      <c r="JL41" s="6" t="s">
        <v>3223</v>
      </c>
      <c r="JM41" s="6" t="s">
        <v>3226</v>
      </c>
      <c r="JN41" s="6" t="s">
        <v>3230</v>
      </c>
      <c r="JO41" s="6" t="s">
        <v>3234</v>
      </c>
      <c r="JP41" s="6" t="s">
        <v>3238</v>
      </c>
      <c r="JQ41" s="6" t="s">
        <v>3242</v>
      </c>
      <c r="JR41" s="6" t="s">
        <v>3246</v>
      </c>
      <c r="JS41" s="6" t="s">
        <v>3422</v>
      </c>
      <c r="JT41" s="6" t="s">
        <v>3426</v>
      </c>
      <c r="JU41" s="6" t="s">
        <v>3430</v>
      </c>
      <c r="JV41" s="6" t="s">
        <v>3434</v>
      </c>
      <c r="JW41" s="6" t="s">
        <v>3438</v>
      </c>
      <c r="JX41" s="6" t="s">
        <v>3442</v>
      </c>
      <c r="JY41" s="6" t="s">
        <v>3446</v>
      </c>
      <c r="JZ41" s="6" t="s">
        <v>3450</v>
      </c>
      <c r="KA41" s="6" t="s">
        <v>3454</v>
      </c>
      <c r="KB41" s="6" t="s">
        <v>3458</v>
      </c>
      <c r="KC41" s="6" t="s">
        <v>3462</v>
      </c>
      <c r="KD41" s="6" t="s">
        <v>3466</v>
      </c>
      <c r="KE41" s="6" t="s">
        <v>3470</v>
      </c>
      <c r="KF41" s="6" t="s">
        <v>3474</v>
      </c>
      <c r="KG41" s="6" t="s">
        <v>3478</v>
      </c>
      <c r="KH41" s="6" t="s">
        <v>5918</v>
      </c>
      <c r="KI41" s="6" t="s">
        <v>3522</v>
      </c>
      <c r="KJ41" s="6" t="s">
        <v>3525</v>
      </c>
      <c r="KK41" s="6" t="s">
        <v>3529</v>
      </c>
      <c r="KL41" s="6" t="s">
        <v>3533</v>
      </c>
      <c r="KM41" s="6" t="s">
        <v>3537</v>
      </c>
      <c r="KN41" s="6" t="s">
        <v>3541</v>
      </c>
      <c r="KO41" s="6" t="s">
        <v>3545</v>
      </c>
      <c r="KP41" s="6" t="s">
        <v>3549</v>
      </c>
      <c r="KQ41" s="6" t="s">
        <v>3553</v>
      </c>
      <c r="KR41" s="6" t="s">
        <v>3608</v>
      </c>
      <c r="KS41" s="6" t="s">
        <v>3611</v>
      </c>
      <c r="KT41" s="6" t="s">
        <v>3615</v>
      </c>
      <c r="KU41" s="6" t="s">
        <v>3619</v>
      </c>
      <c r="KV41" s="6" t="s">
        <v>3623</v>
      </c>
      <c r="KW41" s="6" t="s">
        <v>3627</v>
      </c>
      <c r="KX41" s="6" t="s">
        <v>3631</v>
      </c>
      <c r="KY41" s="6" t="s">
        <v>3635</v>
      </c>
      <c r="KZ41" s="6" t="s">
        <v>3576</v>
      </c>
      <c r="LA41" s="6" t="s">
        <v>3580</v>
      </c>
      <c r="LB41" s="6" t="s">
        <v>3584</v>
      </c>
      <c r="LC41" s="6" t="s">
        <v>3588</v>
      </c>
      <c r="LD41" s="6" t="s">
        <v>3592</v>
      </c>
      <c r="LE41" s="6" t="s">
        <v>3596</v>
      </c>
      <c r="LF41" s="6" t="s">
        <v>3600</v>
      </c>
      <c r="LG41" s="6" t="s">
        <v>3604</v>
      </c>
      <c r="LH41" s="6" t="s">
        <v>3379</v>
      </c>
      <c r="LI41" s="6" t="s">
        <v>3382</v>
      </c>
      <c r="LJ41" s="6" t="s">
        <v>3386</v>
      </c>
      <c r="LK41" s="6" t="s">
        <v>3390</v>
      </c>
      <c r="LL41" s="6" t="s">
        <v>3394</v>
      </c>
      <c r="LM41" s="6" t="s">
        <v>3398</v>
      </c>
      <c r="LN41" s="6" t="s">
        <v>3402</v>
      </c>
      <c r="LO41" s="6" t="s">
        <v>3406</v>
      </c>
      <c r="LP41" s="6" t="s">
        <v>3410</v>
      </c>
      <c r="LQ41" s="6" t="s">
        <v>3414</v>
      </c>
      <c r="LR41" s="6" t="s">
        <v>3418</v>
      </c>
      <c r="LS41" s="6" t="s">
        <v>3564</v>
      </c>
      <c r="LT41" s="6" t="s">
        <v>3568</v>
      </c>
      <c r="LU41" s="6" t="s">
        <v>3572</v>
      </c>
      <c r="LV41" s="6" t="s">
        <v>3557</v>
      </c>
      <c r="LW41" s="6" t="s">
        <v>3560</v>
      </c>
      <c r="LX41" s="6" t="s">
        <v>3482</v>
      </c>
      <c r="LY41" s="6" t="s">
        <v>3486</v>
      </c>
      <c r="LZ41" s="6" t="s">
        <v>3490</v>
      </c>
      <c r="MA41" s="6" t="s">
        <v>3494</v>
      </c>
      <c r="MB41" s="6" t="s">
        <v>3498</v>
      </c>
      <c r="MC41" s="6" t="s">
        <v>3502</v>
      </c>
      <c r="MD41" s="6" t="s">
        <v>3506</v>
      </c>
      <c r="ME41" s="6" t="s">
        <v>3510</v>
      </c>
      <c r="MF41" s="6" t="s">
        <v>3514</v>
      </c>
      <c r="MG41" s="6" t="s">
        <v>3518</v>
      </c>
      <c r="MH41" s="6" t="s">
        <v>3742</v>
      </c>
      <c r="MI41" s="6" t="s">
        <v>3746</v>
      </c>
      <c r="MJ41" s="6" t="s">
        <v>3750</v>
      </c>
      <c r="MK41" s="6" t="s">
        <v>3754</v>
      </c>
      <c r="ML41" s="6" t="s">
        <v>3758</v>
      </c>
      <c r="MM41" s="6" t="s">
        <v>3762</v>
      </c>
      <c r="MN41" s="6" t="s">
        <v>3766</v>
      </c>
      <c r="MO41" s="6" t="s">
        <v>3770</v>
      </c>
      <c r="MP41" s="6" t="s">
        <v>3774</v>
      </c>
      <c r="MQ41" s="6" t="s">
        <v>3778</v>
      </c>
      <c r="MR41" s="6" t="s">
        <v>3782</v>
      </c>
      <c r="MS41" s="6" t="s">
        <v>3786</v>
      </c>
      <c r="MT41" s="6" t="s">
        <v>3817</v>
      </c>
      <c r="MU41" s="6" t="s">
        <v>3821</v>
      </c>
      <c r="MV41" s="6" t="s">
        <v>3825</v>
      </c>
      <c r="MW41" s="6" t="s">
        <v>3829</v>
      </c>
      <c r="MX41" s="6" t="s">
        <v>3833</v>
      </c>
      <c r="MY41" s="6" t="s">
        <v>3837</v>
      </c>
      <c r="MZ41" s="6" t="s">
        <v>3841</v>
      </c>
      <c r="NA41" s="6" t="s">
        <v>3845</v>
      </c>
      <c r="NB41" s="6" t="s">
        <v>3849</v>
      </c>
      <c r="NC41" s="6" t="s">
        <v>3853</v>
      </c>
      <c r="ND41" s="6" t="s">
        <v>3857</v>
      </c>
      <c r="NE41" s="6" t="s">
        <v>3661</v>
      </c>
      <c r="NF41" s="6" t="s">
        <v>3664</v>
      </c>
      <c r="NG41" s="6" t="s">
        <v>3668</v>
      </c>
      <c r="NH41" s="6" t="s">
        <v>3672</v>
      </c>
      <c r="NI41" s="6" t="s">
        <v>3676</v>
      </c>
      <c r="NJ41" s="6" t="s">
        <v>3680</v>
      </c>
      <c r="NK41" s="6" t="s">
        <v>3684</v>
      </c>
      <c r="NL41" s="6" t="s">
        <v>3688</v>
      </c>
      <c r="NM41" s="6" t="s">
        <v>3692</v>
      </c>
      <c r="NN41" s="6" t="s">
        <v>3696</v>
      </c>
      <c r="NO41" s="6" t="s">
        <v>3700</v>
      </c>
      <c r="NP41" s="6" t="s">
        <v>3704</v>
      </c>
      <c r="NQ41" s="6" t="s">
        <v>3790</v>
      </c>
      <c r="NR41" s="6" t="s">
        <v>3793</v>
      </c>
      <c r="NS41" s="6" t="s">
        <v>3797</v>
      </c>
      <c r="NT41" s="6" t="s">
        <v>3801</v>
      </c>
      <c r="NU41" s="6" t="s">
        <v>3805</v>
      </c>
      <c r="NV41" s="6" t="s">
        <v>3809</v>
      </c>
      <c r="NW41" s="6" t="s">
        <v>3813</v>
      </c>
      <c r="NX41" s="6" t="s">
        <v>3861</v>
      </c>
      <c r="NY41" s="6" t="s">
        <v>3865</v>
      </c>
      <c r="NZ41" s="6" t="s">
        <v>3869</v>
      </c>
      <c r="OA41" s="6" t="s">
        <v>3873</v>
      </c>
      <c r="OB41" s="6" t="s">
        <v>3877</v>
      </c>
      <c r="OC41" s="6" t="s">
        <v>3881</v>
      </c>
      <c r="OD41" s="6" t="s">
        <v>3885</v>
      </c>
      <c r="OE41" s="6" t="s">
        <v>3707</v>
      </c>
      <c r="OF41" s="6" t="s">
        <v>3710</v>
      </c>
      <c r="OG41" s="6" t="s">
        <v>3714</v>
      </c>
      <c r="OH41" s="6" t="s">
        <v>3718</v>
      </c>
      <c r="OI41" s="6" t="s">
        <v>3722</v>
      </c>
      <c r="OJ41" s="6" t="s">
        <v>3726</v>
      </c>
      <c r="OK41" s="6" t="s">
        <v>3730</v>
      </c>
      <c r="OL41" s="6" t="s">
        <v>3734</v>
      </c>
      <c r="OM41" s="6" t="s">
        <v>3738</v>
      </c>
      <c r="ON41" s="6" t="s">
        <v>3639</v>
      </c>
      <c r="OO41" s="6" t="s">
        <v>3642</v>
      </c>
      <c r="OP41" s="6" t="s">
        <v>3646</v>
      </c>
      <c r="OQ41" s="6" t="s">
        <v>3650</v>
      </c>
      <c r="OR41" s="6" t="s">
        <v>3654</v>
      </c>
      <c r="OS41" s="6" t="s">
        <v>3658</v>
      </c>
      <c r="OT41" s="6" t="s">
        <v>3889</v>
      </c>
      <c r="OU41" s="6" t="s">
        <v>3893</v>
      </c>
      <c r="OV41" s="6" t="s">
        <v>3897</v>
      </c>
      <c r="OW41" s="6" t="s">
        <v>3901</v>
      </c>
      <c r="OX41" s="6" t="s">
        <v>3905</v>
      </c>
      <c r="OY41" s="6" t="s">
        <v>3909</v>
      </c>
      <c r="OZ41" s="6" t="s">
        <v>3913</v>
      </c>
      <c r="PA41" s="6" t="s">
        <v>3917</v>
      </c>
      <c r="PB41" s="6" t="s">
        <v>3921</v>
      </c>
      <c r="PC41" s="6" t="s">
        <v>4156</v>
      </c>
      <c r="PD41" s="6" t="s">
        <v>4159</v>
      </c>
      <c r="PE41" s="6" t="s">
        <v>4163</v>
      </c>
      <c r="PF41" s="6" t="s">
        <v>4166</v>
      </c>
      <c r="PG41" s="6" t="s">
        <v>4170</v>
      </c>
      <c r="PH41" s="6" t="s">
        <v>4174</v>
      </c>
      <c r="PI41" s="6" t="s">
        <v>4178</v>
      </c>
      <c r="PJ41" s="6" t="s">
        <v>4182</v>
      </c>
      <c r="PK41" s="6" t="s">
        <v>4186</v>
      </c>
      <c r="PL41" s="6" t="s">
        <v>4190</v>
      </c>
      <c r="PM41" s="6" t="s">
        <v>4194</v>
      </c>
      <c r="PN41" s="6" t="s">
        <v>4198</v>
      </c>
      <c r="PO41" s="6" t="s">
        <v>4202</v>
      </c>
      <c r="PP41" s="6" t="s">
        <v>4206</v>
      </c>
      <c r="PQ41" s="6" t="s">
        <v>4210</v>
      </c>
      <c r="PR41" s="6" t="s">
        <v>4214</v>
      </c>
      <c r="PS41" s="6" t="s">
        <v>4218</v>
      </c>
      <c r="PT41" s="6" t="s">
        <v>4222</v>
      </c>
      <c r="PU41" s="6" t="s">
        <v>3925</v>
      </c>
      <c r="PV41" s="6" t="s">
        <v>3928</v>
      </c>
      <c r="PW41" s="6" t="s">
        <v>3932</v>
      </c>
      <c r="PX41" s="6" t="s">
        <v>3936</v>
      </c>
      <c r="PY41" s="6" t="s">
        <v>3940</v>
      </c>
      <c r="PZ41" s="6" t="s">
        <v>3944</v>
      </c>
      <c r="QA41" s="6" t="s">
        <v>3948</v>
      </c>
      <c r="QB41" s="6" t="s">
        <v>3952</v>
      </c>
      <c r="QC41" s="6" t="s">
        <v>3956</v>
      </c>
      <c r="QD41" s="6" t="s">
        <v>3960</v>
      </c>
      <c r="QE41" s="6" t="s">
        <v>3964</v>
      </c>
      <c r="QF41" s="6" t="s">
        <v>3968</v>
      </c>
      <c r="QG41" s="6" t="s">
        <v>3972</v>
      </c>
      <c r="QH41" s="6" t="s">
        <v>3976</v>
      </c>
      <c r="QI41" s="6" t="s">
        <v>3980</v>
      </c>
      <c r="QJ41" s="6" t="s">
        <v>3984</v>
      </c>
      <c r="QK41" s="6" t="s">
        <v>3988</v>
      </c>
      <c r="QL41" s="6" t="s">
        <v>3992</v>
      </c>
      <c r="QM41" s="6" t="s">
        <v>3996</v>
      </c>
      <c r="QN41" s="6" t="s">
        <v>4000</v>
      </c>
      <c r="QO41" s="6" t="s">
        <v>4004</v>
      </c>
      <c r="QP41" s="6" t="s">
        <v>4008</v>
      </c>
      <c r="QQ41" s="6" t="s">
        <v>4012</v>
      </c>
      <c r="QR41" s="6" t="s">
        <v>4016</v>
      </c>
      <c r="QS41" s="6" t="s">
        <v>4020</v>
      </c>
      <c r="QT41" s="6" t="s">
        <v>4024</v>
      </c>
      <c r="QU41" s="6" t="s">
        <v>4028</v>
      </c>
      <c r="QV41" s="6" t="s">
        <v>4031</v>
      </c>
      <c r="QW41" s="6" t="s">
        <v>4035</v>
      </c>
      <c r="QX41" s="6" t="s">
        <v>4039</v>
      </c>
      <c r="QY41" s="6" t="s">
        <v>4043</v>
      </c>
      <c r="QZ41" s="6" t="s">
        <v>4047</v>
      </c>
      <c r="RA41" s="6" t="s">
        <v>4051</v>
      </c>
      <c r="RB41" s="6" t="s">
        <v>4055</v>
      </c>
      <c r="RC41" s="6" t="s">
        <v>4059</v>
      </c>
      <c r="RD41" s="6" t="s">
        <v>4063</v>
      </c>
      <c r="RE41" s="6" t="s">
        <v>4067</v>
      </c>
      <c r="RF41" s="6" t="s">
        <v>4071</v>
      </c>
      <c r="RG41" s="6" t="s">
        <v>4075</v>
      </c>
      <c r="RH41" s="6" t="s">
        <v>4079</v>
      </c>
      <c r="RI41" s="6" t="s">
        <v>4082</v>
      </c>
      <c r="RJ41" s="6" t="s">
        <v>4086</v>
      </c>
      <c r="RK41" s="6" t="s">
        <v>4090</v>
      </c>
      <c r="RL41" s="6" t="s">
        <v>4094</v>
      </c>
      <c r="RM41" s="6" t="s">
        <v>4098</v>
      </c>
      <c r="RN41" s="6" t="s">
        <v>4102</v>
      </c>
      <c r="RO41" s="6" t="s">
        <v>4106</v>
      </c>
      <c r="RP41" s="6" t="s">
        <v>4110</v>
      </c>
      <c r="RQ41" s="6" t="s">
        <v>4114</v>
      </c>
      <c r="RR41" s="6" t="s">
        <v>4118</v>
      </c>
      <c r="RS41" s="6" t="s">
        <v>4122</v>
      </c>
      <c r="RT41" s="6" t="s">
        <v>4126</v>
      </c>
      <c r="RU41" s="6" t="s">
        <v>4130</v>
      </c>
      <c r="RV41" s="6" t="s">
        <v>4134</v>
      </c>
      <c r="RW41" s="6" t="s">
        <v>4138</v>
      </c>
      <c r="RX41" s="6" t="s">
        <v>4142</v>
      </c>
      <c r="RY41" s="6" t="s">
        <v>4146</v>
      </c>
      <c r="RZ41" s="6" t="s">
        <v>4149</v>
      </c>
      <c r="SA41" s="6" t="s">
        <v>4153</v>
      </c>
      <c r="SB41" s="6" t="s">
        <v>4522</v>
      </c>
      <c r="SC41" s="6" t="s">
        <v>4525</v>
      </c>
      <c r="SD41" s="6" t="s">
        <v>4529</v>
      </c>
      <c r="SE41" s="6" t="s">
        <v>4533</v>
      </c>
      <c r="SF41" s="6" t="s">
        <v>4537</v>
      </c>
      <c r="SG41" s="6" t="s">
        <v>4541</v>
      </c>
      <c r="SH41" s="6" t="s">
        <v>4545</v>
      </c>
      <c r="SI41" s="6" t="s">
        <v>4549</v>
      </c>
      <c r="SJ41" s="6" t="s">
        <v>4553</v>
      </c>
      <c r="SK41" s="6" t="s">
        <v>4557</v>
      </c>
      <c r="SL41" s="6" t="s">
        <v>4561</v>
      </c>
      <c r="SM41" s="6" t="s">
        <v>4565</v>
      </c>
      <c r="SN41" s="6" t="s">
        <v>4226</v>
      </c>
      <c r="SO41" s="6" t="s">
        <v>4229</v>
      </c>
      <c r="SP41" s="6" t="s">
        <v>4233</v>
      </c>
      <c r="SQ41" s="6" t="s">
        <v>4237</v>
      </c>
      <c r="SR41" s="6" t="s">
        <v>4241</v>
      </c>
      <c r="SS41" s="6" t="s">
        <v>4245</v>
      </c>
      <c r="ST41" s="6" t="s">
        <v>4249</v>
      </c>
      <c r="SU41" s="6" t="s">
        <v>4253</v>
      </c>
      <c r="SV41" s="6" t="s">
        <v>4361</v>
      </c>
      <c r="SW41" s="6" t="s">
        <v>4364</v>
      </c>
      <c r="SX41" s="6" t="s">
        <v>4368</v>
      </c>
      <c r="SY41" s="6" t="s">
        <v>4372</v>
      </c>
      <c r="SZ41" s="6" t="s">
        <v>4376</v>
      </c>
      <c r="TA41" s="6" t="s">
        <v>4380</v>
      </c>
      <c r="TB41" s="6" t="s">
        <v>4384</v>
      </c>
      <c r="TC41" s="6" t="s">
        <v>4388</v>
      </c>
      <c r="TD41" s="6" t="s">
        <v>4392</v>
      </c>
      <c r="TE41" s="6" t="s">
        <v>4396</v>
      </c>
      <c r="TF41" s="6" t="s">
        <v>4400</v>
      </c>
      <c r="TG41" s="6" t="s">
        <v>4404</v>
      </c>
      <c r="TH41" s="6" t="s">
        <v>4408</v>
      </c>
      <c r="TI41" s="6" t="s">
        <v>4412</v>
      </c>
      <c r="TJ41" s="6" t="s">
        <v>4451</v>
      </c>
      <c r="TK41" s="6" t="s">
        <v>4454</v>
      </c>
      <c r="TL41" s="6" t="s">
        <v>4458</v>
      </c>
      <c r="TM41" s="6" t="s">
        <v>4462</v>
      </c>
      <c r="TN41" s="6" t="s">
        <v>4466</v>
      </c>
      <c r="TO41" s="6" t="s">
        <v>4470</v>
      </c>
      <c r="TP41" s="6" t="s">
        <v>4474</v>
      </c>
      <c r="TQ41" s="6" t="s">
        <v>4478</v>
      </c>
      <c r="TR41" s="6" t="s">
        <v>4482</v>
      </c>
      <c r="TS41" s="6" t="s">
        <v>4486</v>
      </c>
      <c r="TT41" s="6" t="s">
        <v>4490</v>
      </c>
      <c r="TU41" s="6" t="s">
        <v>4494</v>
      </c>
      <c r="TV41" s="6" t="s">
        <v>4498</v>
      </c>
      <c r="TW41" s="6" t="s">
        <v>4502</v>
      </c>
      <c r="TX41" s="6" t="s">
        <v>4506</v>
      </c>
      <c r="TY41" s="6" t="s">
        <v>4510</v>
      </c>
      <c r="TZ41" s="6" t="s">
        <v>4514</v>
      </c>
      <c r="UA41" s="6" t="s">
        <v>4518</v>
      </c>
      <c r="UB41" s="6" t="s">
        <v>4416</v>
      </c>
      <c r="UC41" s="6" t="s">
        <v>4419</v>
      </c>
      <c r="UD41" s="6" t="s">
        <v>4423</v>
      </c>
      <c r="UE41" s="6" t="s">
        <v>4427</v>
      </c>
      <c r="UF41" s="6" t="s">
        <v>4431</v>
      </c>
      <c r="UG41" s="6" t="s">
        <v>4435</v>
      </c>
      <c r="UH41" s="6" t="s">
        <v>4439</v>
      </c>
      <c r="UI41" s="6" t="s">
        <v>4443</v>
      </c>
      <c r="UJ41" s="6" t="s">
        <v>4447</v>
      </c>
      <c r="UK41" s="6" t="s">
        <v>4257</v>
      </c>
      <c r="UL41" s="6" t="s">
        <v>4260</v>
      </c>
      <c r="UM41" s="6" t="s">
        <v>4264</v>
      </c>
      <c r="UN41" s="6" t="s">
        <v>4268</v>
      </c>
      <c r="UO41" s="6" t="s">
        <v>4272</v>
      </c>
      <c r="UP41" s="6" t="s">
        <v>4276</v>
      </c>
      <c r="UQ41" s="6" t="s">
        <v>4280</v>
      </c>
      <c r="UR41" s="6" t="s">
        <v>4283</v>
      </c>
      <c r="US41" s="6" t="s">
        <v>4287</v>
      </c>
      <c r="UT41" s="6" t="s">
        <v>4291</v>
      </c>
      <c r="UU41" s="6" t="s">
        <v>4295</v>
      </c>
      <c r="UV41" s="6" t="s">
        <v>4299</v>
      </c>
      <c r="UW41" s="6" t="s">
        <v>4303</v>
      </c>
      <c r="UX41" s="6" t="s">
        <v>4307</v>
      </c>
      <c r="UY41" s="6" t="s">
        <v>4311</v>
      </c>
      <c r="UZ41" s="6" t="s">
        <v>4315</v>
      </c>
      <c r="VA41" s="6" t="s">
        <v>4319</v>
      </c>
      <c r="VB41" s="6" t="s">
        <v>4323</v>
      </c>
      <c r="VC41" s="6" t="s">
        <v>4327</v>
      </c>
      <c r="VD41" s="6" t="s">
        <v>4331</v>
      </c>
      <c r="VE41" s="6" t="s">
        <v>4335</v>
      </c>
      <c r="VF41" s="6" t="s">
        <v>4339</v>
      </c>
      <c r="VG41" s="6" t="s">
        <v>4343</v>
      </c>
      <c r="VH41" s="6" t="s">
        <v>4347</v>
      </c>
      <c r="VI41" s="6" t="s">
        <v>4351</v>
      </c>
      <c r="VJ41" s="6" t="s">
        <v>4355</v>
      </c>
      <c r="VK41" s="6" t="s">
        <v>4358</v>
      </c>
      <c r="VL41" s="6" t="s">
        <v>4850</v>
      </c>
      <c r="VM41" s="6" t="s">
        <v>4853</v>
      </c>
      <c r="VN41" s="6" t="s">
        <v>4856</v>
      </c>
      <c r="VO41" s="6" t="s">
        <v>4860</v>
      </c>
      <c r="VP41" s="6" t="s">
        <v>4864</v>
      </c>
      <c r="VQ41" s="6" t="s">
        <v>4868</v>
      </c>
      <c r="VR41" s="6" t="s">
        <v>4872</v>
      </c>
      <c r="VS41" s="6" t="s">
        <v>4876</v>
      </c>
      <c r="VT41" s="6" t="s">
        <v>4880</v>
      </c>
      <c r="VU41" s="6" t="s">
        <v>4884</v>
      </c>
      <c r="VV41" s="6" t="s">
        <v>4888</v>
      </c>
      <c r="VW41" s="6" t="s">
        <v>4892</v>
      </c>
      <c r="VX41" s="6" t="s">
        <v>4896</v>
      </c>
      <c r="VY41" s="6" t="s">
        <v>4900</v>
      </c>
      <c r="VZ41" s="6" t="s">
        <v>4904</v>
      </c>
      <c r="WA41" s="6" t="s">
        <v>4908</v>
      </c>
      <c r="WB41" s="6" t="s">
        <v>4569</v>
      </c>
      <c r="WC41" s="6" t="s">
        <v>4573</v>
      </c>
      <c r="WD41" s="6" t="s">
        <v>4577</v>
      </c>
      <c r="WE41" s="6" t="s">
        <v>4581</v>
      </c>
      <c r="WF41" s="6" t="s">
        <v>4585</v>
      </c>
      <c r="WG41" s="6" t="s">
        <v>4589</v>
      </c>
      <c r="WH41" s="6" t="s">
        <v>4593</v>
      </c>
      <c r="WI41" s="6" t="s">
        <v>4597</v>
      </c>
      <c r="WJ41" s="6" t="s">
        <v>4601</v>
      </c>
      <c r="WK41" s="6" t="s">
        <v>4605</v>
      </c>
      <c r="WL41" s="6" t="s">
        <v>4609</v>
      </c>
      <c r="WM41" s="6" t="s">
        <v>4613</v>
      </c>
      <c r="WN41" s="6" t="s">
        <v>4617</v>
      </c>
      <c r="WO41" s="6" t="s">
        <v>4621</v>
      </c>
      <c r="WP41" s="6" t="s">
        <v>4625</v>
      </c>
      <c r="WQ41" s="6" t="s">
        <v>4629</v>
      </c>
      <c r="WR41" s="6" t="s">
        <v>4633</v>
      </c>
      <c r="WS41" s="6" t="s">
        <v>4637</v>
      </c>
      <c r="WT41" s="6" t="s">
        <v>4641</v>
      </c>
      <c r="WU41" s="6" t="s">
        <v>4645</v>
      </c>
      <c r="WV41" s="6" t="s">
        <v>4649</v>
      </c>
      <c r="WW41" s="6" t="s">
        <v>4653</v>
      </c>
      <c r="WX41" s="6" t="s">
        <v>4657</v>
      </c>
      <c r="WY41" s="6" t="s">
        <v>4661</v>
      </c>
      <c r="WZ41" s="6" t="s">
        <v>4665</v>
      </c>
      <c r="XA41" s="6" t="s">
        <v>4669</v>
      </c>
      <c r="XB41" s="6" t="s">
        <v>4673</v>
      </c>
      <c r="XC41" s="6" t="s">
        <v>4677</v>
      </c>
      <c r="XD41" s="6" t="s">
        <v>4681</v>
      </c>
      <c r="XE41" s="6" t="s">
        <v>4685</v>
      </c>
      <c r="XF41" s="6" t="s">
        <v>4688</v>
      </c>
      <c r="XG41" s="6" t="s">
        <v>4691</v>
      </c>
      <c r="XH41" s="6" t="s">
        <v>4694</v>
      </c>
      <c r="XI41" s="6" t="s">
        <v>4697</v>
      </c>
      <c r="XJ41" s="6" t="s">
        <v>4700</v>
      </c>
      <c r="XK41" s="6" t="s">
        <v>4704</v>
      </c>
      <c r="XL41" s="6" t="s">
        <v>4708</v>
      </c>
      <c r="XM41" s="6" t="s">
        <v>4712</v>
      </c>
      <c r="XN41" s="6" t="s">
        <v>4716</v>
      </c>
      <c r="XO41" s="6" t="s">
        <v>4720</v>
      </c>
      <c r="XP41" s="6" t="s">
        <v>4724</v>
      </c>
      <c r="XQ41" s="6" t="s">
        <v>4728</v>
      </c>
      <c r="XR41" s="6" t="s">
        <v>4732</v>
      </c>
      <c r="XS41" s="6" t="s">
        <v>4736</v>
      </c>
      <c r="XT41" s="6" t="s">
        <v>4740</v>
      </c>
      <c r="XU41" s="6" t="s">
        <v>4744</v>
      </c>
      <c r="XV41" s="6" t="s">
        <v>4748</v>
      </c>
      <c r="XW41" s="6" t="s">
        <v>4752</v>
      </c>
      <c r="XX41" s="6" t="s">
        <v>4756</v>
      </c>
      <c r="XY41" s="6" t="s">
        <v>4760</v>
      </c>
      <c r="XZ41" s="6" t="s">
        <v>4764</v>
      </c>
      <c r="YA41" s="6" t="s">
        <v>4768</v>
      </c>
      <c r="YB41" s="6" t="s">
        <v>4772</v>
      </c>
      <c r="YC41" s="6" t="s">
        <v>4776</v>
      </c>
      <c r="YD41" s="6" t="s">
        <v>4779</v>
      </c>
      <c r="YE41" s="6" t="s">
        <v>4783</v>
      </c>
      <c r="YF41" s="6" t="s">
        <v>4786</v>
      </c>
      <c r="YG41" s="6" t="s">
        <v>4789</v>
      </c>
      <c r="YH41" s="6" t="s">
        <v>4793</v>
      </c>
      <c r="YI41" s="6" t="s">
        <v>4797</v>
      </c>
      <c r="YJ41" s="6" t="s">
        <v>4801</v>
      </c>
      <c r="YK41" s="6" t="s">
        <v>4805</v>
      </c>
      <c r="YL41" s="6" t="s">
        <v>4809</v>
      </c>
      <c r="YM41" s="6" t="s">
        <v>4813</v>
      </c>
      <c r="YN41" s="6" t="s">
        <v>4817</v>
      </c>
      <c r="YO41" s="6" t="s">
        <v>4821</v>
      </c>
      <c r="YP41" s="6" t="s">
        <v>4825</v>
      </c>
      <c r="YQ41" s="6" t="s">
        <v>4829</v>
      </c>
      <c r="YR41" s="6" t="s">
        <v>4833</v>
      </c>
      <c r="YS41" s="6" t="s">
        <v>4837</v>
      </c>
      <c r="YT41" s="6" t="s">
        <v>4841</v>
      </c>
      <c r="YU41" s="6" t="s">
        <v>4844</v>
      </c>
      <c r="YV41" s="6" t="s">
        <v>4847</v>
      </c>
      <c r="YW41" s="6" t="s">
        <v>5161</v>
      </c>
      <c r="YX41" s="6" t="s">
        <v>5164</v>
      </c>
      <c r="YY41" s="6" t="s">
        <v>5168</v>
      </c>
      <c r="YZ41" s="6" t="s">
        <v>5172</v>
      </c>
      <c r="ZA41" s="6" t="s">
        <v>5176</v>
      </c>
      <c r="ZB41" s="6" t="s">
        <v>5180</v>
      </c>
      <c r="ZC41" s="6" t="s">
        <v>5184</v>
      </c>
      <c r="ZD41" s="6" t="s">
        <v>5099</v>
      </c>
      <c r="ZE41" s="6" t="s">
        <v>5102</v>
      </c>
      <c r="ZF41" s="6" t="s">
        <v>5106</v>
      </c>
      <c r="ZG41" s="6" t="s">
        <v>5110</v>
      </c>
      <c r="ZH41" s="6" t="s">
        <v>5114</v>
      </c>
      <c r="ZI41" s="6" t="s">
        <v>5118</v>
      </c>
      <c r="ZJ41" s="6" t="s">
        <v>5122</v>
      </c>
      <c r="ZK41" s="6" t="s">
        <v>5126</v>
      </c>
      <c r="ZL41" s="6" t="s">
        <v>5130</v>
      </c>
      <c r="ZM41" s="6" t="s">
        <v>4912</v>
      </c>
      <c r="ZN41" s="6" t="s">
        <v>4915</v>
      </c>
      <c r="ZO41" s="6" t="s">
        <v>4919</v>
      </c>
      <c r="ZP41" s="6" t="s">
        <v>4923</v>
      </c>
      <c r="ZQ41" s="6" t="s">
        <v>4927</v>
      </c>
      <c r="ZR41" s="6" t="s">
        <v>4931</v>
      </c>
      <c r="ZS41" s="6" t="s">
        <v>4935</v>
      </c>
      <c r="ZT41" s="6" t="s">
        <v>4939</v>
      </c>
      <c r="ZU41" s="6" t="s">
        <v>4943</v>
      </c>
      <c r="ZV41" s="6" t="s">
        <v>4947</v>
      </c>
      <c r="ZW41" s="6" t="s">
        <v>4951</v>
      </c>
      <c r="ZX41" s="6" t="s">
        <v>4955</v>
      </c>
      <c r="ZY41" s="6" t="s">
        <v>4959</v>
      </c>
      <c r="ZZ41" s="6" t="s">
        <v>4963</v>
      </c>
      <c r="AAA41" s="6" t="s">
        <v>4967</v>
      </c>
      <c r="AAB41" s="6" t="s">
        <v>4971</v>
      </c>
      <c r="AAC41" s="6" t="s">
        <v>4975</v>
      </c>
      <c r="AAD41" s="6" t="s">
        <v>4979</v>
      </c>
      <c r="AAE41" s="6" t="s">
        <v>4983</v>
      </c>
      <c r="AAF41" s="6" t="s">
        <v>4987</v>
      </c>
      <c r="AAG41" s="6" t="s">
        <v>4991</v>
      </c>
      <c r="AAH41" s="6" t="s">
        <v>4994</v>
      </c>
      <c r="AAI41" s="6" t="s">
        <v>5134</v>
      </c>
      <c r="AAJ41" s="6" t="s">
        <v>5137</v>
      </c>
      <c r="AAK41" s="6" t="s">
        <v>5141</v>
      </c>
      <c r="AAL41" s="6" t="s">
        <v>5145</v>
      </c>
      <c r="AAM41" s="6" t="s">
        <v>5149</v>
      </c>
      <c r="AAN41" s="6" t="s">
        <v>5153</v>
      </c>
      <c r="AAO41" s="6" t="s">
        <v>5157</v>
      </c>
      <c r="AAP41" s="6" t="s">
        <v>4998</v>
      </c>
      <c r="AAQ41" s="6" t="s">
        <v>5002</v>
      </c>
      <c r="AAR41" s="6" t="s">
        <v>5006</v>
      </c>
      <c r="AAS41" s="6" t="s">
        <v>5010</v>
      </c>
      <c r="AAT41" s="6" t="s">
        <v>5014</v>
      </c>
      <c r="AAU41" s="6" t="s">
        <v>5018</v>
      </c>
      <c r="AAV41" s="6" t="s">
        <v>5022</v>
      </c>
      <c r="AAW41" s="6" t="s">
        <v>5026</v>
      </c>
      <c r="AAX41" s="6" t="s">
        <v>5030</v>
      </c>
      <c r="AAY41" s="6" t="s">
        <v>5034</v>
      </c>
      <c r="AAZ41" s="6" t="s">
        <v>5038</v>
      </c>
      <c r="ABA41" s="6" t="s">
        <v>5042</v>
      </c>
      <c r="ABB41" s="6" t="s">
        <v>5046</v>
      </c>
      <c r="ABC41" s="6" t="s">
        <v>5050</v>
      </c>
      <c r="ABD41" s="6" t="s">
        <v>5054</v>
      </c>
      <c r="ABE41" s="6" t="s">
        <v>5058</v>
      </c>
      <c r="ABF41" s="6" t="s">
        <v>5062</v>
      </c>
      <c r="ABG41" s="6" t="s">
        <v>5066</v>
      </c>
      <c r="ABH41" s="6" t="s">
        <v>5070</v>
      </c>
      <c r="ABI41" s="6" t="s">
        <v>5074</v>
      </c>
      <c r="ABJ41" s="6" t="s">
        <v>5078</v>
      </c>
      <c r="ABK41" s="6" t="s">
        <v>5082</v>
      </c>
      <c r="ABL41" s="6" t="s">
        <v>5086</v>
      </c>
      <c r="ABM41" s="6" t="s">
        <v>5090</v>
      </c>
      <c r="ABN41" s="6" t="s">
        <v>5093</v>
      </c>
      <c r="ABO41" s="6" t="s">
        <v>5096</v>
      </c>
      <c r="ABP41" s="6" t="s">
        <v>5278</v>
      </c>
      <c r="ABQ41" s="6" t="s">
        <v>5281</v>
      </c>
      <c r="ABR41" s="6" t="s">
        <v>5285</v>
      </c>
      <c r="ABS41" s="6" t="s">
        <v>5289</v>
      </c>
      <c r="ABT41" s="6" t="s">
        <v>5293</v>
      </c>
      <c r="ABU41" s="6" t="s">
        <v>5297</v>
      </c>
      <c r="ABV41" s="6" t="s">
        <v>5301</v>
      </c>
      <c r="ABW41" s="6" t="s">
        <v>5305</v>
      </c>
      <c r="ABX41" s="6" t="s">
        <v>5309</v>
      </c>
      <c r="ABY41" s="6" t="s">
        <v>5456</v>
      </c>
      <c r="ABZ41" s="6" t="s">
        <v>5460</v>
      </c>
      <c r="ACA41" s="6" t="s">
        <v>5464</v>
      </c>
      <c r="ACB41" s="6" t="s">
        <v>5468</v>
      </c>
      <c r="ACC41" s="6" t="s">
        <v>5472</v>
      </c>
      <c r="ACD41" s="6" t="s">
        <v>5476</v>
      </c>
      <c r="ACE41" s="6" t="s">
        <v>5480</v>
      </c>
      <c r="ACF41" s="6" t="s">
        <v>5484</v>
      </c>
      <c r="ACG41" s="6" t="s">
        <v>5488</v>
      </c>
      <c r="ACH41" s="6" t="s">
        <v>5492</v>
      </c>
      <c r="ACI41" s="6" t="s">
        <v>5496</v>
      </c>
      <c r="ACJ41" s="6" t="s">
        <v>5188</v>
      </c>
      <c r="ACK41" s="6" t="s">
        <v>5192</v>
      </c>
      <c r="ACL41" s="6" t="s">
        <v>5196</v>
      </c>
      <c r="ACM41" s="6" t="s">
        <v>5200</v>
      </c>
      <c r="ACN41" s="6" t="s">
        <v>5204</v>
      </c>
      <c r="ACO41" s="6" t="s">
        <v>5208</v>
      </c>
      <c r="ACP41" s="6" t="s">
        <v>5212</v>
      </c>
      <c r="ACQ41" s="6" t="s">
        <v>5216</v>
      </c>
      <c r="ACR41" s="6" t="s">
        <v>5220</v>
      </c>
      <c r="ACS41" s="6" t="s">
        <v>5224</v>
      </c>
      <c r="ACT41" s="6" t="s">
        <v>5228</v>
      </c>
      <c r="ACU41" s="6" t="s">
        <v>5232</v>
      </c>
      <c r="ACV41" s="6" t="s">
        <v>5236</v>
      </c>
      <c r="ACW41" s="6" t="s">
        <v>5240</v>
      </c>
      <c r="ACX41" s="6" t="s">
        <v>5244</v>
      </c>
      <c r="ACY41" s="6" t="s">
        <v>5248</v>
      </c>
      <c r="ACZ41" s="6" t="s">
        <v>5252</v>
      </c>
      <c r="ADA41" s="6" t="s">
        <v>5256</v>
      </c>
      <c r="ADB41" s="6" t="s">
        <v>5260</v>
      </c>
      <c r="ADC41" s="6" t="s">
        <v>5264</v>
      </c>
      <c r="ADD41" s="6" t="s">
        <v>5266</v>
      </c>
      <c r="ADE41" s="6" t="s">
        <v>5270</v>
      </c>
      <c r="ADF41" s="6" t="s">
        <v>5274</v>
      </c>
      <c r="ADG41" s="6" t="s">
        <v>5313</v>
      </c>
      <c r="ADH41" s="6" t="s">
        <v>5316</v>
      </c>
      <c r="ADI41" s="6" t="s">
        <v>5320</v>
      </c>
      <c r="ADJ41" s="6" t="s">
        <v>5324</v>
      </c>
      <c r="ADK41" s="6" t="s">
        <v>5328</v>
      </c>
      <c r="ADL41" s="6" t="s">
        <v>5332</v>
      </c>
      <c r="ADM41" s="6" t="s">
        <v>5334</v>
      </c>
      <c r="ADN41" s="6" t="s">
        <v>5338</v>
      </c>
      <c r="ADO41" s="6" t="s">
        <v>5342</v>
      </c>
      <c r="ADP41" s="6" t="s">
        <v>5346</v>
      </c>
      <c r="ADQ41" s="6" t="s">
        <v>5350</v>
      </c>
      <c r="ADR41" s="6" t="s">
        <v>5354</v>
      </c>
      <c r="ADS41" s="6" t="s">
        <v>5913</v>
      </c>
      <c r="ADT41" s="6" t="s">
        <v>5437</v>
      </c>
      <c r="ADU41" s="6" t="s">
        <v>5440</v>
      </c>
      <c r="ADV41" s="6" t="s">
        <v>5444</v>
      </c>
      <c r="ADW41" s="6" t="s">
        <v>5448</v>
      </c>
      <c r="ADX41" s="6" t="s">
        <v>5452</v>
      </c>
      <c r="ADY41" s="6" t="s">
        <v>5924</v>
      </c>
      <c r="ADZ41" s="6" t="s">
        <v>5358</v>
      </c>
      <c r="AEA41" s="6" t="s">
        <v>5361</v>
      </c>
      <c r="AEB41" s="6" t="s">
        <v>5365</v>
      </c>
      <c r="AEC41" s="6" t="s">
        <v>5369</v>
      </c>
      <c r="AED41" s="6" t="s">
        <v>5373</v>
      </c>
      <c r="AEE41" s="6" t="s">
        <v>5377</v>
      </c>
      <c r="AEF41" s="6" t="s">
        <v>5381</v>
      </c>
      <c r="AEG41" s="6" t="s">
        <v>5385</v>
      </c>
      <c r="AEH41" s="6" t="s">
        <v>5389</v>
      </c>
      <c r="AEI41" s="6" t="s">
        <v>5393</v>
      </c>
      <c r="AEJ41" s="6" t="s">
        <v>5397</v>
      </c>
      <c r="AEK41" s="6" t="s">
        <v>5401</v>
      </c>
      <c r="AEL41" s="6" t="s">
        <v>5405</v>
      </c>
      <c r="AEM41" s="6" t="s">
        <v>5409</v>
      </c>
      <c r="AEN41" s="6" t="s">
        <v>5413</v>
      </c>
      <c r="AEO41" s="6" t="s">
        <v>5417</v>
      </c>
      <c r="AEP41" s="6" t="s">
        <v>5421</v>
      </c>
      <c r="AEQ41" s="6" t="s">
        <v>5425</v>
      </c>
      <c r="AER41" s="6" t="s">
        <v>5429</v>
      </c>
      <c r="AES41" s="6" t="s">
        <v>5433</v>
      </c>
      <c r="AET41" s="6" t="s">
        <v>5594</v>
      </c>
      <c r="AEU41" s="6" t="s">
        <v>5597</v>
      </c>
      <c r="AEV41" s="6" t="s">
        <v>5601</v>
      </c>
      <c r="AEW41" s="6" t="s">
        <v>5605</v>
      </c>
      <c r="AEX41" s="6" t="s">
        <v>5609</v>
      </c>
      <c r="AEY41" s="6" t="s">
        <v>5613</v>
      </c>
      <c r="AEZ41" s="6" t="s">
        <v>5617</v>
      </c>
      <c r="AFA41" s="6" t="s">
        <v>5621</v>
      </c>
      <c r="AFB41" s="6" t="s">
        <v>5625</v>
      </c>
      <c r="AFC41" s="6" t="s">
        <v>5629</v>
      </c>
      <c r="AFD41" s="6" t="s">
        <v>5754</v>
      </c>
      <c r="AFE41" s="6" t="s">
        <v>5758</v>
      </c>
      <c r="AFF41" s="6" t="s">
        <v>5762</v>
      </c>
      <c r="AFG41" s="6" t="s">
        <v>5766</v>
      </c>
      <c r="AFH41" s="6" t="s">
        <v>5770</v>
      </c>
      <c r="AFI41" s="6" t="s">
        <v>5774</v>
      </c>
      <c r="AFJ41" s="6" t="s">
        <v>5778</v>
      </c>
      <c r="AFK41" s="6" t="s">
        <v>5782</v>
      </c>
      <c r="AFL41" s="6" t="s">
        <v>5786</v>
      </c>
      <c r="AFM41" s="6" t="s">
        <v>5790</v>
      </c>
      <c r="AFN41" s="6" t="s">
        <v>5794</v>
      </c>
      <c r="AFO41" s="6" t="s">
        <v>5798</v>
      </c>
      <c r="AFP41" s="6" t="s">
        <v>5802</v>
      </c>
      <c r="AFQ41" s="6" t="s">
        <v>5676</v>
      </c>
      <c r="AFR41" s="6" t="s">
        <v>5679</v>
      </c>
      <c r="AFS41" s="6" t="s">
        <v>5683</v>
      </c>
      <c r="AFT41" s="6" t="s">
        <v>5687</v>
      </c>
      <c r="AFU41" s="6" t="s">
        <v>5691</v>
      </c>
      <c r="AFV41" s="6" t="s">
        <v>5695</v>
      </c>
      <c r="AFW41" s="6" t="s">
        <v>5699</v>
      </c>
      <c r="AFX41" s="6" t="s">
        <v>5703</v>
      </c>
      <c r="AFY41" s="6" t="s">
        <v>5707</v>
      </c>
      <c r="AFZ41" s="6" t="s">
        <v>5711</v>
      </c>
      <c r="AGA41" s="6" t="s">
        <v>5715</v>
      </c>
      <c r="AGB41" s="6" t="s">
        <v>5719</v>
      </c>
      <c r="AGC41" s="6" t="s">
        <v>5633</v>
      </c>
      <c r="AGD41" s="6" t="s">
        <v>5636</v>
      </c>
      <c r="AGE41" s="6" t="s">
        <v>5640</v>
      </c>
      <c r="AGF41" s="6" t="s">
        <v>5644</v>
      </c>
      <c r="AGG41" s="6" t="s">
        <v>5648</v>
      </c>
      <c r="AGH41" s="6" t="s">
        <v>5652</v>
      </c>
      <c r="AGI41" s="6" t="s">
        <v>5656</v>
      </c>
      <c r="AGJ41" s="6" t="s">
        <v>5660</v>
      </c>
      <c r="AGK41" s="6" t="s">
        <v>5664</v>
      </c>
      <c r="AGL41" s="6" t="s">
        <v>5668</v>
      </c>
      <c r="AGM41" s="6" t="s">
        <v>5672</v>
      </c>
      <c r="AGN41" s="6" t="s">
        <v>5723</v>
      </c>
      <c r="AGO41" s="6" t="s">
        <v>5726</v>
      </c>
      <c r="AGP41" s="6" t="s">
        <v>5730</v>
      </c>
      <c r="AGQ41" s="6" t="s">
        <v>5734</v>
      </c>
      <c r="AGR41" s="6" t="s">
        <v>5738</v>
      </c>
      <c r="AGS41" s="6" t="s">
        <v>5742</v>
      </c>
      <c r="AGT41" s="6" t="s">
        <v>5746</v>
      </c>
      <c r="AGU41" s="6" t="s">
        <v>5750</v>
      </c>
      <c r="AGV41" s="6" t="s">
        <v>5500</v>
      </c>
      <c r="AGW41" s="6" t="s">
        <v>5504</v>
      </c>
      <c r="AGX41" s="6" t="s">
        <v>5507</v>
      </c>
      <c r="AGY41" s="6" t="s">
        <v>5511</v>
      </c>
      <c r="AGZ41" s="6" t="s">
        <v>5515</v>
      </c>
      <c r="AHA41" s="6" t="s">
        <v>5519</v>
      </c>
      <c r="AHB41" s="6" t="s">
        <v>5523</v>
      </c>
      <c r="AHC41" s="6" t="s">
        <v>5527</v>
      </c>
      <c r="AHD41" s="6" t="s">
        <v>5531</v>
      </c>
      <c r="AHE41" s="6" t="s">
        <v>5535</v>
      </c>
      <c r="AHF41" s="6" t="s">
        <v>5539</v>
      </c>
      <c r="AHG41" s="6" t="s">
        <v>5543</v>
      </c>
      <c r="AHH41" s="6" t="s">
        <v>5547</v>
      </c>
      <c r="AHI41" s="6" t="s">
        <v>5551</v>
      </c>
      <c r="AHJ41" s="6" t="s">
        <v>5555</v>
      </c>
      <c r="AHK41" s="6" t="s">
        <v>5559</v>
      </c>
      <c r="AHL41" s="6" t="s">
        <v>5563</v>
      </c>
      <c r="AHM41" s="6" t="s">
        <v>5567</v>
      </c>
      <c r="AHN41" s="6" t="s">
        <v>5570</v>
      </c>
      <c r="AHO41" s="6" t="s">
        <v>5574</v>
      </c>
      <c r="AHP41" s="6" t="s">
        <v>5578</v>
      </c>
      <c r="AHQ41" s="6" t="s">
        <v>5582</v>
      </c>
      <c r="AHR41" s="6" t="s">
        <v>5586</v>
      </c>
      <c r="AHS41" s="6" t="s">
        <v>5590</v>
      </c>
      <c r="AHT41" s="6" t="s">
        <v>6454</v>
      </c>
    </row>
    <row r="42" spans="2:905" x14ac:dyDescent="0.7">
      <c r="B42" s="6" t="s">
        <v>6033</v>
      </c>
      <c r="C42" s="6" t="s">
        <v>6034</v>
      </c>
      <c r="D42" s="6" t="s">
        <v>1267</v>
      </c>
      <c r="E42" s="6" t="s">
        <v>1268</v>
      </c>
      <c r="F42" s="6" t="s">
        <v>1269</v>
      </c>
      <c r="G42" s="6" t="s">
        <v>1270</v>
      </c>
      <c r="H42" s="6" t="s">
        <v>1271</v>
      </c>
      <c r="I42" s="6" t="s">
        <v>1272</v>
      </c>
      <c r="J42" s="6" t="s">
        <v>1273</v>
      </c>
      <c r="K42" s="6" t="s">
        <v>1274</v>
      </c>
      <c r="L42" s="6" t="s">
        <v>1275</v>
      </c>
      <c r="M42" s="6" t="s">
        <v>1276</v>
      </c>
      <c r="N42" s="6" t="s">
        <v>1277</v>
      </c>
      <c r="O42" s="6" t="s">
        <v>1278</v>
      </c>
      <c r="P42" s="6" t="s">
        <v>1279</v>
      </c>
      <c r="Q42" s="6" t="s">
        <v>1280</v>
      </c>
      <c r="R42" s="6" t="s">
        <v>1281</v>
      </c>
      <c r="S42" s="6" t="s">
        <v>1282</v>
      </c>
      <c r="T42" s="6" t="s">
        <v>1283</v>
      </c>
      <c r="U42" s="6" t="s">
        <v>1284</v>
      </c>
      <c r="V42" s="6" t="s">
        <v>1285</v>
      </c>
      <c r="W42" s="6" t="s">
        <v>2107</v>
      </c>
      <c r="X42" s="6" t="s">
        <v>2108</v>
      </c>
      <c r="Y42" s="6" t="s">
        <v>1286</v>
      </c>
      <c r="Z42" s="6" t="s">
        <v>1287</v>
      </c>
      <c r="AA42" s="6" t="s">
        <v>1288</v>
      </c>
      <c r="AB42" s="6" t="s">
        <v>1289</v>
      </c>
      <c r="AC42" s="6" t="s">
        <v>2109</v>
      </c>
      <c r="AD42" s="6" t="s">
        <v>1290</v>
      </c>
      <c r="AE42" s="6" t="s">
        <v>1291</v>
      </c>
      <c r="AF42" s="6" t="s">
        <v>1292</v>
      </c>
      <c r="AG42" s="6" t="s">
        <v>1293</v>
      </c>
      <c r="AH42" s="6" t="s">
        <v>1294</v>
      </c>
      <c r="AI42" s="6" t="s">
        <v>1295</v>
      </c>
      <c r="AJ42" s="6" t="s">
        <v>1296</v>
      </c>
      <c r="AK42" s="6" t="s">
        <v>1297</v>
      </c>
      <c r="AL42" s="6" t="s">
        <v>1298</v>
      </c>
      <c r="AM42" s="6" t="s">
        <v>1299</v>
      </c>
      <c r="AN42" s="6" t="s">
        <v>1300</v>
      </c>
      <c r="AO42" s="6" t="s">
        <v>1301</v>
      </c>
      <c r="AP42" s="6" t="s">
        <v>1302</v>
      </c>
      <c r="AQ42" s="6" t="s">
        <v>1303</v>
      </c>
      <c r="AR42" s="6" t="s">
        <v>1304</v>
      </c>
      <c r="AS42" s="6" t="s">
        <v>1305</v>
      </c>
      <c r="AT42" s="6" t="s">
        <v>1306</v>
      </c>
      <c r="AU42" s="6" t="s">
        <v>1307</v>
      </c>
      <c r="AV42" s="6" t="s">
        <v>1308</v>
      </c>
      <c r="AW42" s="6" t="s">
        <v>1309</v>
      </c>
      <c r="AX42" s="6" t="s">
        <v>1310</v>
      </c>
      <c r="AY42" s="6" t="s">
        <v>1311</v>
      </c>
      <c r="AZ42" s="6" t="s">
        <v>1312</v>
      </c>
      <c r="BA42" s="6" t="s">
        <v>1313</v>
      </c>
      <c r="BB42" s="6" t="s">
        <v>1314</v>
      </c>
      <c r="BC42" s="6" t="s">
        <v>1315</v>
      </c>
      <c r="BD42" s="6" t="s">
        <v>1316</v>
      </c>
      <c r="BE42" s="6" t="s">
        <v>1317</v>
      </c>
      <c r="BF42" s="6" t="s">
        <v>1318</v>
      </c>
      <c r="BG42" s="6" t="s">
        <v>1319</v>
      </c>
      <c r="BH42" s="6" t="s">
        <v>2110</v>
      </c>
      <c r="BI42" s="6" t="s">
        <v>1321</v>
      </c>
      <c r="BJ42" s="6" t="s">
        <v>1322</v>
      </c>
      <c r="BK42" s="6" t="s">
        <v>1323</v>
      </c>
      <c r="BL42" s="6" t="s">
        <v>1324</v>
      </c>
      <c r="BM42" s="6" t="s">
        <v>1325</v>
      </c>
      <c r="BN42" s="6" t="s">
        <v>1326</v>
      </c>
      <c r="BO42" s="6" t="s">
        <v>1327</v>
      </c>
      <c r="BP42" s="6" t="s">
        <v>2111</v>
      </c>
      <c r="BQ42" s="6" t="s">
        <v>2112</v>
      </c>
      <c r="BR42" s="6" t="s">
        <v>1328</v>
      </c>
      <c r="BS42" s="6" t="s">
        <v>1329</v>
      </c>
      <c r="BT42" s="6" t="s">
        <v>1330</v>
      </c>
      <c r="BU42" s="6" t="s">
        <v>1331</v>
      </c>
      <c r="BV42" s="6" t="s">
        <v>1332</v>
      </c>
      <c r="BW42" s="6" t="s">
        <v>1333</v>
      </c>
      <c r="BX42" s="6" t="s">
        <v>1334</v>
      </c>
      <c r="BY42" s="6" t="s">
        <v>1335</v>
      </c>
      <c r="BZ42" s="6" t="s">
        <v>1336</v>
      </c>
      <c r="CA42" s="6" t="s">
        <v>1337</v>
      </c>
      <c r="CB42" s="6" t="s">
        <v>1338</v>
      </c>
      <c r="CC42" s="6" t="s">
        <v>1339</v>
      </c>
      <c r="CD42" s="6" t="s">
        <v>1340</v>
      </c>
      <c r="CE42" s="6" t="s">
        <v>1341</v>
      </c>
      <c r="CF42" s="6" t="s">
        <v>1342</v>
      </c>
      <c r="CG42" s="6" t="s">
        <v>1343</v>
      </c>
      <c r="CH42" s="6" t="s">
        <v>1344</v>
      </c>
      <c r="CI42" s="6" t="s">
        <v>1345</v>
      </c>
      <c r="CJ42" s="6" t="s">
        <v>1346</v>
      </c>
      <c r="CK42" s="6" t="s">
        <v>1347</v>
      </c>
      <c r="CL42" s="6" t="s">
        <v>1348</v>
      </c>
      <c r="CM42" s="6" t="s">
        <v>1349</v>
      </c>
      <c r="CN42" s="6" t="s">
        <v>1350</v>
      </c>
      <c r="CO42" s="6" t="s">
        <v>1351</v>
      </c>
      <c r="CP42" s="6" t="s">
        <v>1352</v>
      </c>
      <c r="CQ42" s="6" t="s">
        <v>1353</v>
      </c>
      <c r="CR42" s="6" t="s">
        <v>1354</v>
      </c>
      <c r="CS42" s="6" t="s">
        <v>1355</v>
      </c>
      <c r="CT42" s="6" t="s">
        <v>1356</v>
      </c>
      <c r="CU42" s="6" t="s">
        <v>1357</v>
      </c>
      <c r="CV42" s="6" t="s">
        <v>1358</v>
      </c>
      <c r="CW42" s="6" t="s">
        <v>1359</v>
      </c>
      <c r="CX42" s="6" t="s">
        <v>1360</v>
      </c>
      <c r="CY42" s="6" t="s">
        <v>1361</v>
      </c>
      <c r="CZ42" s="6" t="s">
        <v>1362</v>
      </c>
      <c r="DA42" s="6" t="s">
        <v>1363</v>
      </c>
      <c r="DB42" s="6" t="s">
        <v>1364</v>
      </c>
      <c r="DC42" s="6" t="s">
        <v>1365</v>
      </c>
      <c r="DD42" s="6" t="s">
        <v>1366</v>
      </c>
      <c r="DE42" s="6" t="s">
        <v>1367</v>
      </c>
      <c r="DF42" s="6" t="s">
        <v>1368</v>
      </c>
      <c r="DG42" s="6" t="s">
        <v>1369</v>
      </c>
      <c r="DH42" s="6" t="s">
        <v>1370</v>
      </c>
      <c r="DI42" s="6" t="s">
        <v>1371</v>
      </c>
      <c r="DJ42" s="6" t="s">
        <v>1372</v>
      </c>
      <c r="DK42" s="6" t="s">
        <v>1373</v>
      </c>
      <c r="DL42" s="6" t="s">
        <v>1374</v>
      </c>
      <c r="DM42" s="6" t="s">
        <v>1375</v>
      </c>
      <c r="DN42" s="6" t="s">
        <v>1376</v>
      </c>
      <c r="DO42" s="6" t="s">
        <v>1377</v>
      </c>
      <c r="DP42" s="6" t="s">
        <v>1378</v>
      </c>
      <c r="DQ42" s="6" t="s">
        <v>1379</v>
      </c>
      <c r="DR42" s="6" t="s">
        <v>1380</v>
      </c>
      <c r="DS42" s="6" t="s">
        <v>1381</v>
      </c>
      <c r="DT42" s="6" t="s">
        <v>1382</v>
      </c>
      <c r="DU42" s="6" t="s">
        <v>1383</v>
      </c>
      <c r="DV42" s="6" t="s">
        <v>1384</v>
      </c>
      <c r="DW42" s="6" t="s">
        <v>1385</v>
      </c>
      <c r="DX42" s="6" t="s">
        <v>1386</v>
      </c>
      <c r="DY42" s="6" t="s">
        <v>1387</v>
      </c>
      <c r="DZ42" s="6" t="s">
        <v>1388</v>
      </c>
      <c r="EA42" s="6" t="s">
        <v>1389</v>
      </c>
      <c r="EB42" s="6" t="s">
        <v>1390</v>
      </c>
      <c r="EC42" s="6" t="s">
        <v>1391</v>
      </c>
      <c r="ED42" s="6" t="s">
        <v>1392</v>
      </c>
      <c r="EE42" s="6" t="s">
        <v>1393</v>
      </c>
      <c r="EF42" s="6" t="s">
        <v>1394</v>
      </c>
      <c r="EG42" s="6" t="s">
        <v>1395</v>
      </c>
      <c r="EH42" s="6" t="s">
        <v>1396</v>
      </c>
      <c r="EI42" s="6" t="s">
        <v>1397</v>
      </c>
      <c r="EJ42" s="6" t="s">
        <v>1398</v>
      </c>
      <c r="EK42" s="6" t="s">
        <v>1399</v>
      </c>
      <c r="EL42" s="6" t="s">
        <v>1400</v>
      </c>
      <c r="EM42" s="6" t="s">
        <v>1401</v>
      </c>
      <c r="EN42" s="6" t="s">
        <v>1402</v>
      </c>
      <c r="EO42" s="6" t="s">
        <v>1403</v>
      </c>
      <c r="EP42" s="6" t="s">
        <v>1404</v>
      </c>
      <c r="EQ42" s="6" t="s">
        <v>1405</v>
      </c>
      <c r="ER42" s="6" t="s">
        <v>1406</v>
      </c>
      <c r="ES42" s="6" t="s">
        <v>1407</v>
      </c>
      <c r="ET42" s="6" t="s">
        <v>1408</v>
      </c>
      <c r="EU42" s="6" t="s">
        <v>1409</v>
      </c>
      <c r="EV42" s="6" t="s">
        <v>1410</v>
      </c>
      <c r="EW42" s="6" t="s">
        <v>1411</v>
      </c>
      <c r="EX42" s="6" t="s">
        <v>1412</v>
      </c>
      <c r="EY42" s="6" t="s">
        <v>1413</v>
      </c>
      <c r="EZ42" s="6" t="s">
        <v>1414</v>
      </c>
      <c r="FA42" s="6" t="s">
        <v>1415</v>
      </c>
      <c r="FB42" s="6" t="s">
        <v>1416</v>
      </c>
      <c r="FC42" s="6" t="s">
        <v>1417</v>
      </c>
      <c r="FD42" s="6" t="s">
        <v>1418</v>
      </c>
      <c r="FE42" s="6" t="s">
        <v>1419</v>
      </c>
      <c r="FF42" s="6" t="s">
        <v>1420</v>
      </c>
      <c r="FG42" s="6" t="s">
        <v>1421</v>
      </c>
      <c r="FH42" s="6" t="s">
        <v>2113</v>
      </c>
      <c r="FI42" s="6" t="s">
        <v>1423</v>
      </c>
      <c r="FJ42" s="6" t="s">
        <v>1424</v>
      </c>
      <c r="FK42" s="6" t="s">
        <v>1425</v>
      </c>
      <c r="FL42" s="6" t="s">
        <v>1426</v>
      </c>
      <c r="FM42" s="6" t="s">
        <v>1427</v>
      </c>
      <c r="FN42" s="6" t="s">
        <v>1428</v>
      </c>
      <c r="FO42" s="6" t="s">
        <v>2114</v>
      </c>
      <c r="FP42" s="6" t="s">
        <v>2115</v>
      </c>
      <c r="FQ42" s="6" t="s">
        <v>1431</v>
      </c>
      <c r="FR42" s="6" t="s">
        <v>1432</v>
      </c>
      <c r="FS42" s="6" t="s">
        <v>1433</v>
      </c>
      <c r="FT42" s="6" t="s">
        <v>1434</v>
      </c>
      <c r="FU42" s="6" t="s">
        <v>1435</v>
      </c>
      <c r="FV42" s="6" t="s">
        <v>1436</v>
      </c>
      <c r="FW42" s="6" t="s">
        <v>1437</v>
      </c>
      <c r="FX42" s="6" t="s">
        <v>1438</v>
      </c>
      <c r="FY42" s="6" t="s">
        <v>1439</v>
      </c>
      <c r="FZ42" s="6" t="s">
        <v>1440</v>
      </c>
      <c r="GA42" s="6" t="s">
        <v>1441</v>
      </c>
      <c r="GB42" s="6" t="s">
        <v>1442</v>
      </c>
      <c r="GC42" s="6" t="s">
        <v>1443</v>
      </c>
      <c r="GD42" s="6" t="s">
        <v>2116</v>
      </c>
      <c r="GE42" s="6" t="s">
        <v>1444</v>
      </c>
      <c r="GF42" s="6" t="s">
        <v>1445</v>
      </c>
      <c r="GG42" s="6" t="s">
        <v>1446</v>
      </c>
      <c r="GH42" s="6" t="s">
        <v>1447</v>
      </c>
      <c r="GI42" s="6" t="s">
        <v>1448</v>
      </c>
      <c r="GJ42" s="6" t="s">
        <v>1449</v>
      </c>
      <c r="GK42" s="6" t="s">
        <v>1450</v>
      </c>
      <c r="GL42" s="6" t="s">
        <v>1451</v>
      </c>
      <c r="GM42" s="6" t="s">
        <v>1452</v>
      </c>
      <c r="GN42" s="6" t="s">
        <v>1453</v>
      </c>
      <c r="GO42" s="6" t="s">
        <v>1454</v>
      </c>
      <c r="GP42" s="6" t="s">
        <v>1455</v>
      </c>
      <c r="GQ42" s="6" t="s">
        <v>1456</v>
      </c>
      <c r="GR42" s="6" t="s">
        <v>1457</v>
      </c>
      <c r="GS42" s="6" t="s">
        <v>1458</v>
      </c>
      <c r="GT42" s="6" t="s">
        <v>1459</v>
      </c>
      <c r="GU42" s="6" t="s">
        <v>1460</v>
      </c>
      <c r="GV42" s="6" t="s">
        <v>1461</v>
      </c>
      <c r="GW42" s="6" t="s">
        <v>1462</v>
      </c>
      <c r="GX42" s="6" t="s">
        <v>1463</v>
      </c>
      <c r="GY42" s="6" t="s">
        <v>1464</v>
      </c>
      <c r="GZ42" s="6" t="s">
        <v>1465</v>
      </c>
      <c r="HA42" s="6" t="s">
        <v>1466</v>
      </c>
      <c r="HB42" s="6" t="s">
        <v>1467</v>
      </c>
      <c r="HC42" s="6" t="s">
        <v>6324</v>
      </c>
      <c r="HD42" s="6" t="s">
        <v>1469</v>
      </c>
      <c r="HE42" s="6" t="s">
        <v>1470</v>
      </c>
      <c r="HF42" s="6" t="s">
        <v>1471</v>
      </c>
      <c r="HG42" s="6" t="s">
        <v>1472</v>
      </c>
      <c r="HH42" s="6" t="s">
        <v>1473</v>
      </c>
      <c r="HI42" s="6" t="s">
        <v>2117</v>
      </c>
      <c r="HJ42" s="6" t="s">
        <v>6383</v>
      </c>
      <c r="HK42" s="6" t="s">
        <v>1474</v>
      </c>
      <c r="HL42" s="6" t="s">
        <v>1475</v>
      </c>
      <c r="HM42" s="6" t="s">
        <v>1476</v>
      </c>
      <c r="HN42" s="6" t="s">
        <v>1477</v>
      </c>
      <c r="HO42" s="6" t="s">
        <v>1478</v>
      </c>
      <c r="HP42" s="6" t="s">
        <v>1479</v>
      </c>
      <c r="HQ42" s="6" t="s">
        <v>1480</v>
      </c>
      <c r="HR42" s="6" t="s">
        <v>1481</v>
      </c>
      <c r="HS42" s="6" t="s">
        <v>1482</v>
      </c>
      <c r="HT42" s="6" t="s">
        <v>1483</v>
      </c>
      <c r="HU42" s="6" t="s">
        <v>1484</v>
      </c>
      <c r="HV42" s="6" t="s">
        <v>1485</v>
      </c>
      <c r="HW42" s="6" t="s">
        <v>1486</v>
      </c>
      <c r="HX42" s="6" t="s">
        <v>1487</v>
      </c>
      <c r="HY42" s="6" t="s">
        <v>1488</v>
      </c>
      <c r="HZ42" s="6" t="s">
        <v>1489</v>
      </c>
      <c r="IA42" s="6" t="s">
        <v>1490</v>
      </c>
      <c r="IB42" s="6" t="s">
        <v>1491</v>
      </c>
      <c r="IC42" s="6" t="s">
        <v>1492</v>
      </c>
      <c r="ID42" s="6" t="s">
        <v>1493</v>
      </c>
      <c r="IE42" s="6" t="s">
        <v>1494</v>
      </c>
      <c r="IF42" s="6" t="s">
        <v>1495</v>
      </c>
      <c r="IG42" s="6" t="s">
        <v>1496</v>
      </c>
      <c r="IH42" s="6" t="s">
        <v>1497</v>
      </c>
      <c r="II42" s="6" t="s">
        <v>1498</v>
      </c>
      <c r="IJ42" s="6" t="s">
        <v>1499</v>
      </c>
      <c r="IK42" s="6" t="s">
        <v>1500</v>
      </c>
      <c r="IL42" s="6" t="s">
        <v>1501</v>
      </c>
      <c r="IM42" s="6" t="s">
        <v>1502</v>
      </c>
      <c r="IN42" s="6" t="s">
        <v>1503</v>
      </c>
      <c r="IO42" s="6" t="s">
        <v>1504</v>
      </c>
      <c r="IP42" s="6" t="s">
        <v>1505</v>
      </c>
      <c r="IQ42" s="6" t="s">
        <v>1506</v>
      </c>
      <c r="IR42" s="6" t="s">
        <v>1507</v>
      </c>
      <c r="IS42" s="6" t="s">
        <v>1508</v>
      </c>
      <c r="IT42" s="6" t="s">
        <v>1509</v>
      </c>
      <c r="IU42" s="6" t="s">
        <v>1510</v>
      </c>
      <c r="IV42" s="6" t="s">
        <v>1511</v>
      </c>
      <c r="IW42" s="6" t="s">
        <v>1512</v>
      </c>
      <c r="IX42" s="6" t="s">
        <v>1513</v>
      </c>
      <c r="IY42" s="6" t="s">
        <v>1514</v>
      </c>
      <c r="IZ42" s="6" t="s">
        <v>1515</v>
      </c>
      <c r="JA42" s="6" t="s">
        <v>1516</v>
      </c>
      <c r="JB42" s="6" t="s">
        <v>1517</v>
      </c>
      <c r="JC42" s="6" t="s">
        <v>1518</v>
      </c>
      <c r="JD42" s="6" t="s">
        <v>1519</v>
      </c>
      <c r="JE42" s="6" t="s">
        <v>1520</v>
      </c>
      <c r="JF42" s="6" t="s">
        <v>1521</v>
      </c>
      <c r="JG42" s="6" t="s">
        <v>1522</v>
      </c>
      <c r="JH42" s="6" t="s">
        <v>1523</v>
      </c>
      <c r="JI42" s="6" t="s">
        <v>1524</v>
      </c>
      <c r="JJ42" s="6" t="s">
        <v>1525</v>
      </c>
      <c r="JK42" s="6" t="s">
        <v>1526</v>
      </c>
      <c r="JL42" s="6" t="s">
        <v>1527</v>
      </c>
      <c r="JM42" s="6" t="s">
        <v>1528</v>
      </c>
      <c r="JN42" s="6" t="s">
        <v>1529</v>
      </c>
      <c r="JO42" s="6" t="s">
        <v>1530</v>
      </c>
      <c r="JP42" s="6" t="s">
        <v>1531</v>
      </c>
      <c r="JQ42" s="6" t="s">
        <v>1532</v>
      </c>
      <c r="JR42" s="6" t="s">
        <v>1533</v>
      </c>
      <c r="JS42" s="6" t="s">
        <v>1534</v>
      </c>
      <c r="JT42" s="6" t="s">
        <v>1535</v>
      </c>
      <c r="JU42" s="6" t="s">
        <v>1536</v>
      </c>
      <c r="JV42" s="6" t="s">
        <v>1537</v>
      </c>
      <c r="JW42" s="6" t="s">
        <v>1538</v>
      </c>
      <c r="JX42" s="6" t="s">
        <v>1539</v>
      </c>
      <c r="JY42" s="6" t="s">
        <v>1540</v>
      </c>
      <c r="JZ42" s="6" t="s">
        <v>1541</v>
      </c>
      <c r="KA42" s="6" t="s">
        <v>1542</v>
      </c>
      <c r="KB42" s="6" t="s">
        <v>1543</v>
      </c>
      <c r="KC42" s="6" t="s">
        <v>1544</v>
      </c>
      <c r="KD42" s="6" t="s">
        <v>1545</v>
      </c>
      <c r="KE42" s="6" t="s">
        <v>1546</v>
      </c>
      <c r="KF42" s="6" t="s">
        <v>1547</v>
      </c>
      <c r="KG42" s="6" t="s">
        <v>1548</v>
      </c>
      <c r="KH42" s="6" t="s">
        <v>5920</v>
      </c>
      <c r="KI42" s="6" t="s">
        <v>1549</v>
      </c>
      <c r="KJ42" s="6" t="s">
        <v>1550</v>
      </c>
      <c r="KK42" s="6" t="s">
        <v>1551</v>
      </c>
      <c r="KL42" s="6" t="s">
        <v>1552</v>
      </c>
      <c r="KM42" s="6" t="s">
        <v>1553</v>
      </c>
      <c r="KN42" s="6" t="s">
        <v>1554</v>
      </c>
      <c r="KO42" s="6" t="s">
        <v>1555</v>
      </c>
      <c r="KP42" s="6" t="s">
        <v>1556</v>
      </c>
      <c r="KQ42" s="6" t="s">
        <v>1557</v>
      </c>
      <c r="KR42" s="6" t="s">
        <v>1558</v>
      </c>
      <c r="KS42" s="6" t="s">
        <v>1559</v>
      </c>
      <c r="KT42" s="6" t="s">
        <v>1560</v>
      </c>
      <c r="KU42" s="6" t="s">
        <v>1561</v>
      </c>
      <c r="KV42" s="6" t="s">
        <v>1562</v>
      </c>
      <c r="KW42" s="6" t="s">
        <v>1563</v>
      </c>
      <c r="KX42" s="6" t="s">
        <v>1564</v>
      </c>
      <c r="KY42" s="6" t="s">
        <v>1565</v>
      </c>
      <c r="KZ42" s="6" t="s">
        <v>1566</v>
      </c>
      <c r="LA42" s="6" t="s">
        <v>1567</v>
      </c>
      <c r="LB42" s="6" t="s">
        <v>1568</v>
      </c>
      <c r="LC42" s="6" t="s">
        <v>1569</v>
      </c>
      <c r="LD42" s="6" t="s">
        <v>1570</v>
      </c>
      <c r="LE42" s="6" t="s">
        <v>1571</v>
      </c>
      <c r="LF42" s="6" t="s">
        <v>1572</v>
      </c>
      <c r="LG42" s="6" t="s">
        <v>1573</v>
      </c>
      <c r="LH42" s="6" t="s">
        <v>1574</v>
      </c>
      <c r="LI42" s="6" t="s">
        <v>1575</v>
      </c>
      <c r="LJ42" s="6" t="s">
        <v>1576</v>
      </c>
      <c r="LK42" s="6" t="s">
        <v>1577</v>
      </c>
      <c r="LL42" s="6" t="s">
        <v>1578</v>
      </c>
      <c r="LM42" s="6" t="s">
        <v>1579</v>
      </c>
      <c r="LN42" s="6" t="s">
        <v>1580</v>
      </c>
      <c r="LO42" s="6" t="s">
        <v>1581</v>
      </c>
      <c r="LP42" s="6" t="s">
        <v>1582</v>
      </c>
      <c r="LQ42" s="6" t="s">
        <v>1583</v>
      </c>
      <c r="LR42" s="6" t="s">
        <v>2118</v>
      </c>
      <c r="LS42" s="6" t="s">
        <v>1584</v>
      </c>
      <c r="LT42" s="6" t="s">
        <v>1585</v>
      </c>
      <c r="LU42" s="6" t="s">
        <v>1586</v>
      </c>
      <c r="LV42" s="6" t="s">
        <v>6325</v>
      </c>
      <c r="LW42" s="6" t="s">
        <v>1588</v>
      </c>
      <c r="LX42" s="6" t="s">
        <v>1589</v>
      </c>
      <c r="LY42" s="6" t="s">
        <v>1590</v>
      </c>
      <c r="LZ42" s="6" t="s">
        <v>1591</v>
      </c>
      <c r="MA42" s="6" t="s">
        <v>1592</v>
      </c>
      <c r="MB42" s="6" t="s">
        <v>1593</v>
      </c>
      <c r="MC42" s="6" t="s">
        <v>1594</v>
      </c>
      <c r="MD42" s="6" t="s">
        <v>1595</v>
      </c>
      <c r="ME42" s="6" t="s">
        <v>1596</v>
      </c>
      <c r="MF42" s="6" t="s">
        <v>1597</v>
      </c>
      <c r="MG42" s="6" t="s">
        <v>1598</v>
      </c>
      <c r="MH42" s="6" t="s">
        <v>1599</v>
      </c>
      <c r="MI42" s="6" t="s">
        <v>1600</v>
      </c>
      <c r="MJ42" s="6" t="s">
        <v>1601</v>
      </c>
      <c r="MK42" s="6" t="s">
        <v>1602</v>
      </c>
      <c r="ML42" s="6" t="s">
        <v>1603</v>
      </c>
      <c r="MM42" s="6" t="s">
        <v>1604</v>
      </c>
      <c r="MN42" s="6" t="s">
        <v>1605</v>
      </c>
      <c r="MO42" s="6" t="s">
        <v>1606</v>
      </c>
      <c r="MP42" s="6" t="s">
        <v>1607</v>
      </c>
      <c r="MQ42" s="6" t="s">
        <v>1608</v>
      </c>
      <c r="MR42" s="6" t="s">
        <v>1609</v>
      </c>
      <c r="MS42" s="6" t="s">
        <v>1610</v>
      </c>
      <c r="MT42" s="6" t="s">
        <v>6326</v>
      </c>
      <c r="MU42" s="6" t="s">
        <v>1612</v>
      </c>
      <c r="MV42" s="6" t="s">
        <v>1613</v>
      </c>
      <c r="MW42" s="6" t="s">
        <v>1614</v>
      </c>
      <c r="MX42" s="6" t="s">
        <v>1615</v>
      </c>
      <c r="MY42" s="6" t="s">
        <v>1616</v>
      </c>
      <c r="MZ42" s="6" t="s">
        <v>1617</v>
      </c>
      <c r="NA42" s="6" t="s">
        <v>1618</v>
      </c>
      <c r="NB42" s="6" t="s">
        <v>1619</v>
      </c>
      <c r="NC42" s="6" t="s">
        <v>1620</v>
      </c>
      <c r="ND42" s="6" t="s">
        <v>2119</v>
      </c>
      <c r="NE42" s="6" t="s">
        <v>1621</v>
      </c>
      <c r="NF42" s="6" t="s">
        <v>1622</v>
      </c>
      <c r="NG42" s="6" t="s">
        <v>1623</v>
      </c>
      <c r="NH42" s="6" t="s">
        <v>2120</v>
      </c>
      <c r="NI42" s="6" t="s">
        <v>1624</v>
      </c>
      <c r="NJ42" s="6" t="s">
        <v>1625</v>
      </c>
      <c r="NK42" s="6" t="s">
        <v>1626</v>
      </c>
      <c r="NL42" s="6" t="s">
        <v>1627</v>
      </c>
      <c r="NM42" s="6" t="s">
        <v>1628</v>
      </c>
      <c r="NN42" s="6" t="s">
        <v>1629</v>
      </c>
      <c r="NO42" s="6" t="s">
        <v>1630</v>
      </c>
      <c r="NP42" s="6" t="s">
        <v>2121</v>
      </c>
      <c r="NQ42" s="6" t="s">
        <v>1632</v>
      </c>
      <c r="NR42" s="6" t="s">
        <v>1633</v>
      </c>
      <c r="NS42" s="6" t="s">
        <v>1634</v>
      </c>
      <c r="NT42" s="6" t="s">
        <v>1635</v>
      </c>
      <c r="NU42" s="6" t="s">
        <v>1636</v>
      </c>
      <c r="NV42" s="6" t="s">
        <v>1637</v>
      </c>
      <c r="NW42" s="6" t="s">
        <v>1638</v>
      </c>
      <c r="NX42" s="6" t="s">
        <v>1639</v>
      </c>
      <c r="NY42" s="6" t="s">
        <v>2122</v>
      </c>
      <c r="NZ42" s="6" t="s">
        <v>1640</v>
      </c>
      <c r="OA42" s="6" t="s">
        <v>1641</v>
      </c>
      <c r="OB42" s="6" t="s">
        <v>1642</v>
      </c>
      <c r="OC42" s="6" t="s">
        <v>1643</v>
      </c>
      <c r="OD42" s="6" t="s">
        <v>1644</v>
      </c>
      <c r="OE42" s="6" t="s">
        <v>1645</v>
      </c>
      <c r="OF42" s="6" t="s">
        <v>6327</v>
      </c>
      <c r="OG42" s="6" t="s">
        <v>1646</v>
      </c>
      <c r="OH42" s="6" t="s">
        <v>2124</v>
      </c>
      <c r="OI42" s="6" t="s">
        <v>1647</v>
      </c>
      <c r="OJ42" s="6" t="s">
        <v>1648</v>
      </c>
      <c r="OK42" s="6" t="s">
        <v>1651</v>
      </c>
      <c r="OL42" s="6" t="s">
        <v>1649</v>
      </c>
      <c r="OM42" s="6" t="s">
        <v>1650</v>
      </c>
      <c r="ON42" s="6" t="s">
        <v>6328</v>
      </c>
      <c r="OO42" s="6" t="s">
        <v>1653</v>
      </c>
      <c r="OP42" s="6" t="s">
        <v>2125</v>
      </c>
      <c r="OQ42" s="6" t="s">
        <v>1654</v>
      </c>
      <c r="OR42" s="6" t="s">
        <v>1655</v>
      </c>
      <c r="OS42" s="6" t="s">
        <v>2126</v>
      </c>
      <c r="OT42" s="6" t="s">
        <v>1657</v>
      </c>
      <c r="OU42" s="6" t="s">
        <v>1658</v>
      </c>
      <c r="OV42" s="6" t="s">
        <v>1659</v>
      </c>
      <c r="OW42" s="6" t="s">
        <v>1660</v>
      </c>
      <c r="OX42" s="6" t="s">
        <v>1661</v>
      </c>
      <c r="OY42" s="6" t="s">
        <v>2127</v>
      </c>
      <c r="OZ42" s="6" t="s">
        <v>1662</v>
      </c>
      <c r="PA42" s="6" t="s">
        <v>2128</v>
      </c>
      <c r="PB42" s="6" t="s">
        <v>2129</v>
      </c>
      <c r="PC42" s="6" t="s">
        <v>1663</v>
      </c>
      <c r="PD42" s="6" t="s">
        <v>1664</v>
      </c>
      <c r="PE42" s="6" t="s">
        <v>2130</v>
      </c>
      <c r="PF42" s="6" t="s">
        <v>1666</v>
      </c>
      <c r="PG42" s="6" t="s">
        <v>1667</v>
      </c>
      <c r="PH42" s="6" t="s">
        <v>1668</v>
      </c>
      <c r="PI42" s="6" t="s">
        <v>1669</v>
      </c>
      <c r="PJ42" s="6" t="s">
        <v>1670</v>
      </c>
      <c r="PK42" s="6" t="s">
        <v>1671</v>
      </c>
      <c r="PL42" s="6" t="s">
        <v>1672</v>
      </c>
      <c r="PM42" s="6" t="s">
        <v>1673</v>
      </c>
      <c r="PN42" s="6" t="s">
        <v>1674</v>
      </c>
      <c r="PO42" s="6" t="s">
        <v>1675</v>
      </c>
      <c r="PP42" s="6" t="s">
        <v>1676</v>
      </c>
      <c r="PQ42" s="6" t="s">
        <v>2131</v>
      </c>
      <c r="PR42" s="6" t="s">
        <v>2132</v>
      </c>
      <c r="PS42" s="6" t="s">
        <v>2133</v>
      </c>
      <c r="PT42" s="6" t="s">
        <v>2134</v>
      </c>
      <c r="PU42" s="6" t="s">
        <v>1677</v>
      </c>
      <c r="PV42" s="6" t="s">
        <v>1678</v>
      </c>
      <c r="PW42" s="6" t="s">
        <v>1679</v>
      </c>
      <c r="PX42" s="6" t="s">
        <v>1680</v>
      </c>
      <c r="PY42" s="6" t="s">
        <v>2135</v>
      </c>
      <c r="PZ42" s="6" t="s">
        <v>1681</v>
      </c>
      <c r="QA42" s="6" t="s">
        <v>1682</v>
      </c>
      <c r="QB42" s="6" t="s">
        <v>1683</v>
      </c>
      <c r="QC42" s="6" t="s">
        <v>1684</v>
      </c>
      <c r="QD42" s="6" t="s">
        <v>1685</v>
      </c>
      <c r="QE42" s="6" t="s">
        <v>1686</v>
      </c>
      <c r="QF42" s="6" t="s">
        <v>1687</v>
      </c>
      <c r="QG42" s="6" t="s">
        <v>1688</v>
      </c>
      <c r="QH42" s="6" t="s">
        <v>1689</v>
      </c>
      <c r="QI42" s="6" t="s">
        <v>1690</v>
      </c>
      <c r="QJ42" s="6" t="s">
        <v>1691</v>
      </c>
      <c r="QK42" s="6" t="s">
        <v>1692</v>
      </c>
      <c r="QL42" s="6" t="s">
        <v>1693</v>
      </c>
      <c r="QM42" s="6" t="s">
        <v>1694</v>
      </c>
      <c r="QN42" s="6" t="s">
        <v>1695</v>
      </c>
      <c r="QO42" s="6" t="s">
        <v>1696</v>
      </c>
      <c r="QP42" s="6" t="s">
        <v>1697</v>
      </c>
      <c r="QQ42" s="6" t="s">
        <v>2136</v>
      </c>
      <c r="QR42" s="6" t="s">
        <v>2137</v>
      </c>
      <c r="QS42" s="6" t="s">
        <v>2138</v>
      </c>
      <c r="QT42" s="6" t="s">
        <v>2139</v>
      </c>
      <c r="QU42" s="6" t="s">
        <v>1698</v>
      </c>
      <c r="QV42" s="6" t="s">
        <v>1699</v>
      </c>
      <c r="QW42" s="6" t="s">
        <v>1700</v>
      </c>
      <c r="QX42" s="6" t="s">
        <v>1701</v>
      </c>
      <c r="QY42" s="6" t="s">
        <v>1702</v>
      </c>
      <c r="QZ42" s="6" t="s">
        <v>1703</v>
      </c>
      <c r="RA42" s="6" t="s">
        <v>1704</v>
      </c>
      <c r="RB42" s="6" t="s">
        <v>1705</v>
      </c>
      <c r="RC42" s="6" t="s">
        <v>1706</v>
      </c>
      <c r="RD42" s="6" t="s">
        <v>1707</v>
      </c>
      <c r="RE42" s="6" t="s">
        <v>1708</v>
      </c>
      <c r="RF42" s="6" t="s">
        <v>2140</v>
      </c>
      <c r="RG42" s="6" t="s">
        <v>2141</v>
      </c>
      <c r="RH42" s="6" t="s">
        <v>6329</v>
      </c>
      <c r="RI42" s="6" t="s">
        <v>1710</v>
      </c>
      <c r="RJ42" s="6" t="s">
        <v>1711</v>
      </c>
      <c r="RK42" s="6" t="s">
        <v>1712</v>
      </c>
      <c r="RL42" s="6" t="s">
        <v>1713</v>
      </c>
      <c r="RM42" s="6" t="s">
        <v>1714</v>
      </c>
      <c r="RN42" s="6" t="s">
        <v>1715</v>
      </c>
      <c r="RO42" s="6" t="s">
        <v>1716</v>
      </c>
      <c r="RP42" s="6" t="s">
        <v>1717</v>
      </c>
      <c r="RQ42" s="6" t="s">
        <v>1718</v>
      </c>
      <c r="RR42" s="6" t="s">
        <v>1719</v>
      </c>
      <c r="RS42" s="6" t="s">
        <v>1720</v>
      </c>
      <c r="RT42" s="6" t="s">
        <v>1721</v>
      </c>
      <c r="RU42" s="6" t="s">
        <v>1722</v>
      </c>
      <c r="RV42" s="6" t="s">
        <v>1723</v>
      </c>
      <c r="RW42" s="6" t="s">
        <v>1724</v>
      </c>
      <c r="RX42" s="6" t="s">
        <v>1725</v>
      </c>
      <c r="RY42" s="6" t="s">
        <v>2142</v>
      </c>
      <c r="RZ42" s="6" t="s">
        <v>2143</v>
      </c>
      <c r="SA42" s="6" t="s">
        <v>2144</v>
      </c>
      <c r="SB42" s="6" t="s">
        <v>1728</v>
      </c>
      <c r="SC42" s="6" t="s">
        <v>1729</v>
      </c>
      <c r="SD42" s="6" t="s">
        <v>1730</v>
      </c>
      <c r="SE42" s="6" t="s">
        <v>1731</v>
      </c>
      <c r="SF42" s="6" t="s">
        <v>1732</v>
      </c>
      <c r="SG42" s="6" t="s">
        <v>1733</v>
      </c>
      <c r="SH42" s="6" t="s">
        <v>1734</v>
      </c>
      <c r="SI42" s="6" t="s">
        <v>1735</v>
      </c>
      <c r="SJ42" s="6" t="s">
        <v>1736</v>
      </c>
      <c r="SK42" s="6" t="s">
        <v>1737</v>
      </c>
      <c r="SL42" s="6" t="s">
        <v>1738</v>
      </c>
      <c r="SM42" s="6" t="s">
        <v>2145</v>
      </c>
      <c r="SN42" s="6" t="s">
        <v>1739</v>
      </c>
      <c r="SO42" s="6" t="s">
        <v>1740</v>
      </c>
      <c r="SP42" s="6" t="s">
        <v>1741</v>
      </c>
      <c r="SQ42" s="6" t="s">
        <v>1742</v>
      </c>
      <c r="SR42" s="6" t="s">
        <v>1743</v>
      </c>
      <c r="SS42" s="6" t="s">
        <v>1744</v>
      </c>
      <c r="ST42" s="6" t="s">
        <v>1745</v>
      </c>
      <c r="SU42" s="6" t="s">
        <v>1746</v>
      </c>
      <c r="SV42" s="6" t="s">
        <v>1747</v>
      </c>
      <c r="SW42" s="6" t="s">
        <v>1748</v>
      </c>
      <c r="SX42" s="6" t="s">
        <v>1749</v>
      </c>
      <c r="SY42" s="6" t="s">
        <v>1750</v>
      </c>
      <c r="SZ42" s="6" t="s">
        <v>1751</v>
      </c>
      <c r="TA42" s="6" t="s">
        <v>1752</v>
      </c>
      <c r="TB42" s="6" t="s">
        <v>1753</v>
      </c>
      <c r="TC42" s="6" t="s">
        <v>1754</v>
      </c>
      <c r="TD42" s="6" t="s">
        <v>1755</v>
      </c>
      <c r="TE42" s="6" t="s">
        <v>1756</v>
      </c>
      <c r="TF42" s="6" t="s">
        <v>1757</v>
      </c>
      <c r="TG42" s="6" t="s">
        <v>1758</v>
      </c>
      <c r="TH42" s="6" t="s">
        <v>1759</v>
      </c>
      <c r="TI42" s="6" t="s">
        <v>2146</v>
      </c>
      <c r="TJ42" s="6" t="s">
        <v>1760</v>
      </c>
      <c r="TK42" s="6" t="s">
        <v>1761</v>
      </c>
      <c r="TL42" s="6" t="s">
        <v>1762</v>
      </c>
      <c r="TM42" s="6" t="s">
        <v>1763</v>
      </c>
      <c r="TN42" s="6" t="s">
        <v>1764</v>
      </c>
      <c r="TO42" s="6" t="s">
        <v>1765</v>
      </c>
      <c r="TP42" s="6" t="s">
        <v>1766</v>
      </c>
      <c r="TQ42" s="6" t="s">
        <v>1767</v>
      </c>
      <c r="TR42" s="6" t="s">
        <v>1768</v>
      </c>
      <c r="TS42" s="6" t="s">
        <v>1769</v>
      </c>
      <c r="TT42" s="6" t="s">
        <v>1770</v>
      </c>
      <c r="TU42" s="6" t="s">
        <v>1771</v>
      </c>
      <c r="TV42" s="6" t="s">
        <v>1772</v>
      </c>
      <c r="TW42" s="6" t="s">
        <v>1773</v>
      </c>
      <c r="TX42" s="6" t="s">
        <v>1774</v>
      </c>
      <c r="TY42" s="6" t="s">
        <v>1775</v>
      </c>
      <c r="TZ42" s="6" t="s">
        <v>2147</v>
      </c>
      <c r="UA42" s="6" t="s">
        <v>1776</v>
      </c>
      <c r="UB42" s="6" t="s">
        <v>1777</v>
      </c>
      <c r="UC42" s="6" t="s">
        <v>1778</v>
      </c>
      <c r="UD42" s="6" t="s">
        <v>1779</v>
      </c>
      <c r="UE42" s="6" t="s">
        <v>1780</v>
      </c>
      <c r="UF42" s="6" t="s">
        <v>1781</v>
      </c>
      <c r="UG42" s="6" t="s">
        <v>1782</v>
      </c>
      <c r="UH42" s="6" t="s">
        <v>2148</v>
      </c>
      <c r="UI42" s="6" t="s">
        <v>2149</v>
      </c>
      <c r="UJ42" s="6" t="s">
        <v>2150</v>
      </c>
      <c r="UK42" s="6" t="s">
        <v>1783</v>
      </c>
      <c r="UL42" s="6" t="s">
        <v>1784</v>
      </c>
      <c r="UM42" s="6" t="s">
        <v>1785</v>
      </c>
      <c r="UN42" s="6" t="s">
        <v>1786</v>
      </c>
      <c r="UO42" s="6" t="s">
        <v>1787</v>
      </c>
      <c r="UP42" s="6" t="s">
        <v>1788</v>
      </c>
      <c r="UQ42" s="6" t="s">
        <v>1789</v>
      </c>
      <c r="UR42" s="6" t="s">
        <v>1790</v>
      </c>
      <c r="US42" s="6" t="s">
        <v>1791</v>
      </c>
      <c r="UT42" s="6" t="s">
        <v>2151</v>
      </c>
      <c r="UU42" s="6" t="s">
        <v>1792</v>
      </c>
      <c r="UV42" s="6" t="s">
        <v>1793</v>
      </c>
      <c r="UW42" s="6" t="s">
        <v>1794</v>
      </c>
      <c r="UX42" s="6" t="s">
        <v>1795</v>
      </c>
      <c r="UY42" s="6" t="s">
        <v>1796</v>
      </c>
      <c r="UZ42" s="6" t="s">
        <v>1797</v>
      </c>
      <c r="VA42" s="6" t="s">
        <v>1798</v>
      </c>
      <c r="VB42" s="6" t="s">
        <v>1799</v>
      </c>
      <c r="VC42" s="6" t="s">
        <v>1800</v>
      </c>
      <c r="VD42" s="6" t="s">
        <v>1801</v>
      </c>
      <c r="VE42" s="6" t="s">
        <v>1802</v>
      </c>
      <c r="VF42" s="6" t="s">
        <v>1803</v>
      </c>
      <c r="VG42" s="6" t="s">
        <v>1804</v>
      </c>
      <c r="VH42" s="6" t="s">
        <v>1805</v>
      </c>
      <c r="VI42" s="6" t="s">
        <v>1806</v>
      </c>
      <c r="VJ42" s="6" t="s">
        <v>2152</v>
      </c>
      <c r="VK42" s="6" t="s">
        <v>2153</v>
      </c>
      <c r="VL42" s="6" t="s">
        <v>2154</v>
      </c>
      <c r="VM42" s="6" t="s">
        <v>1810</v>
      </c>
      <c r="VN42" s="6" t="s">
        <v>1811</v>
      </c>
      <c r="VO42" s="6" t="s">
        <v>1812</v>
      </c>
      <c r="VP42" s="6" t="s">
        <v>1813</v>
      </c>
      <c r="VQ42" s="6" t="s">
        <v>1814</v>
      </c>
      <c r="VR42" s="6" t="s">
        <v>1815</v>
      </c>
      <c r="VS42" s="6" t="s">
        <v>1816</v>
      </c>
      <c r="VT42" s="6" t="s">
        <v>1817</v>
      </c>
      <c r="VU42" s="6" t="s">
        <v>1818</v>
      </c>
      <c r="VV42" s="6" t="s">
        <v>2155</v>
      </c>
      <c r="VW42" s="6" t="s">
        <v>1819</v>
      </c>
      <c r="VX42" s="6" t="s">
        <v>1820</v>
      </c>
      <c r="VY42" s="6" t="s">
        <v>1821</v>
      </c>
      <c r="VZ42" s="6" t="s">
        <v>1822</v>
      </c>
      <c r="WA42" s="6" t="s">
        <v>1823</v>
      </c>
      <c r="WB42" s="6" t="s">
        <v>1824</v>
      </c>
      <c r="WC42" s="6" t="s">
        <v>1825</v>
      </c>
      <c r="WD42" s="6" t="s">
        <v>1826</v>
      </c>
      <c r="WE42" s="6" t="s">
        <v>1827</v>
      </c>
      <c r="WF42" s="6" t="s">
        <v>1828</v>
      </c>
      <c r="WG42" s="6" t="s">
        <v>1829</v>
      </c>
      <c r="WH42" s="6" t="s">
        <v>1830</v>
      </c>
      <c r="WI42" s="6" t="s">
        <v>1831</v>
      </c>
      <c r="WJ42" s="6" t="s">
        <v>1832</v>
      </c>
      <c r="WK42" s="6" t="s">
        <v>1833</v>
      </c>
      <c r="WL42" s="6" t="s">
        <v>1834</v>
      </c>
      <c r="WM42" s="6" t="s">
        <v>1835</v>
      </c>
      <c r="WN42" s="6" t="s">
        <v>1836</v>
      </c>
      <c r="WO42" s="6" t="s">
        <v>1837</v>
      </c>
      <c r="WP42" s="6" t="s">
        <v>1838</v>
      </c>
      <c r="WQ42" s="6" t="s">
        <v>1839</v>
      </c>
      <c r="WR42" s="6" t="s">
        <v>1840</v>
      </c>
      <c r="WS42" s="6" t="s">
        <v>1841</v>
      </c>
      <c r="WT42" s="6" t="s">
        <v>1842</v>
      </c>
      <c r="WU42" s="6" t="s">
        <v>1843</v>
      </c>
      <c r="WV42" s="6" t="s">
        <v>2156</v>
      </c>
      <c r="WW42" s="6" t="s">
        <v>2157</v>
      </c>
      <c r="WX42" s="6" t="s">
        <v>1844</v>
      </c>
      <c r="WY42" s="6" t="s">
        <v>1845</v>
      </c>
      <c r="WZ42" s="6" t="s">
        <v>1846</v>
      </c>
      <c r="XA42" s="6" t="s">
        <v>2158</v>
      </c>
      <c r="XB42" s="6" t="s">
        <v>1847</v>
      </c>
      <c r="XC42" s="6" t="s">
        <v>1848</v>
      </c>
      <c r="XD42" s="6" t="s">
        <v>1849</v>
      </c>
      <c r="XE42" s="6" t="s">
        <v>1850</v>
      </c>
      <c r="XF42" s="6" t="s">
        <v>2159</v>
      </c>
      <c r="XG42" s="6" t="s">
        <v>2160</v>
      </c>
      <c r="XH42" s="6" t="s">
        <v>2161</v>
      </c>
      <c r="XI42" s="6" t="s">
        <v>1854</v>
      </c>
      <c r="XJ42" s="6" t="s">
        <v>1855</v>
      </c>
      <c r="XK42" s="6" t="s">
        <v>1856</v>
      </c>
      <c r="XL42" s="6" t="s">
        <v>2162</v>
      </c>
      <c r="XM42" s="6" t="s">
        <v>1857</v>
      </c>
      <c r="XN42" s="6" t="s">
        <v>1858</v>
      </c>
      <c r="XO42" s="6" t="s">
        <v>1859</v>
      </c>
      <c r="XP42" s="6" t="s">
        <v>1860</v>
      </c>
      <c r="XQ42" s="6" t="s">
        <v>1861</v>
      </c>
      <c r="XR42" s="6" t="s">
        <v>1862</v>
      </c>
      <c r="XS42" s="6" t="s">
        <v>1863</v>
      </c>
      <c r="XT42" s="6" t="s">
        <v>1864</v>
      </c>
      <c r="XU42" s="6" t="s">
        <v>1865</v>
      </c>
      <c r="XV42" s="6" t="s">
        <v>1866</v>
      </c>
      <c r="XW42" s="6" t="s">
        <v>1867</v>
      </c>
      <c r="XX42" s="6" t="s">
        <v>1868</v>
      </c>
      <c r="XY42" s="6" t="s">
        <v>1869</v>
      </c>
      <c r="XZ42" s="6" t="s">
        <v>1870</v>
      </c>
      <c r="YA42" s="6" t="s">
        <v>1871</v>
      </c>
      <c r="YB42" s="6" t="s">
        <v>1872</v>
      </c>
      <c r="YC42" s="6" t="s">
        <v>1873</v>
      </c>
      <c r="YD42" s="6" t="s">
        <v>2163</v>
      </c>
      <c r="YE42" s="6" t="s">
        <v>2164</v>
      </c>
      <c r="YF42" s="6" t="s">
        <v>1875</v>
      </c>
      <c r="YG42" s="6" t="s">
        <v>1876</v>
      </c>
      <c r="YH42" s="6" t="s">
        <v>1877</v>
      </c>
      <c r="YI42" s="6" t="s">
        <v>1878</v>
      </c>
      <c r="YJ42" s="6" t="s">
        <v>2165</v>
      </c>
      <c r="YK42" s="6" t="s">
        <v>1879</v>
      </c>
      <c r="YL42" s="6" t="s">
        <v>1880</v>
      </c>
      <c r="YM42" s="6" t="s">
        <v>1881</v>
      </c>
      <c r="YN42" s="6" t="s">
        <v>1882</v>
      </c>
      <c r="YO42" s="6" t="s">
        <v>1883</v>
      </c>
      <c r="YP42" s="6" t="s">
        <v>1884</v>
      </c>
      <c r="YQ42" s="6" t="s">
        <v>1885</v>
      </c>
      <c r="YR42" s="6" t="s">
        <v>1886</v>
      </c>
      <c r="YS42" s="6" t="s">
        <v>1887</v>
      </c>
      <c r="YT42" s="6" t="s">
        <v>2166</v>
      </c>
      <c r="YU42" s="6" t="s">
        <v>2167</v>
      </c>
      <c r="YV42" s="6" t="s">
        <v>2168</v>
      </c>
      <c r="YW42" s="6" t="s">
        <v>1891</v>
      </c>
      <c r="YX42" s="6" t="s">
        <v>1892</v>
      </c>
      <c r="YY42" s="6" t="s">
        <v>1893</v>
      </c>
      <c r="YZ42" s="6" t="s">
        <v>1894</v>
      </c>
      <c r="ZA42" s="6" t="s">
        <v>1895</v>
      </c>
      <c r="ZB42" s="6" t="s">
        <v>1896</v>
      </c>
      <c r="ZC42" s="6" t="s">
        <v>1897</v>
      </c>
      <c r="ZD42" s="6" t="s">
        <v>1898</v>
      </c>
      <c r="ZE42" s="6" t="s">
        <v>1899</v>
      </c>
      <c r="ZF42" s="6" t="s">
        <v>1900</v>
      </c>
      <c r="ZG42" s="6" t="s">
        <v>1901</v>
      </c>
      <c r="ZH42" s="6" t="s">
        <v>1902</v>
      </c>
      <c r="ZI42" s="6" t="s">
        <v>1903</v>
      </c>
      <c r="ZJ42" s="6" t="s">
        <v>1904</v>
      </c>
      <c r="ZK42" s="6" t="s">
        <v>1905</v>
      </c>
      <c r="ZL42" s="6" t="s">
        <v>1906</v>
      </c>
      <c r="ZM42" s="6" t="s">
        <v>6330</v>
      </c>
      <c r="ZN42" s="6" t="s">
        <v>1908</v>
      </c>
      <c r="ZO42" s="6" t="s">
        <v>1909</v>
      </c>
      <c r="ZP42" s="6" t="s">
        <v>1910</v>
      </c>
      <c r="ZQ42" s="6" t="s">
        <v>1911</v>
      </c>
      <c r="ZR42" s="6" t="s">
        <v>1912</v>
      </c>
      <c r="ZS42" s="6" t="s">
        <v>1913</v>
      </c>
      <c r="ZT42" s="6" t="s">
        <v>1914</v>
      </c>
      <c r="ZU42" s="6" t="s">
        <v>1915</v>
      </c>
      <c r="ZV42" s="6" t="s">
        <v>1916</v>
      </c>
      <c r="ZW42" s="6" t="s">
        <v>1917</v>
      </c>
      <c r="ZX42" s="6" t="s">
        <v>1918</v>
      </c>
      <c r="ZY42" s="6" t="s">
        <v>1919</v>
      </c>
      <c r="ZZ42" s="6" t="s">
        <v>1920</v>
      </c>
      <c r="AAA42" s="6" t="s">
        <v>1921</v>
      </c>
      <c r="AAB42" s="6" t="s">
        <v>1922</v>
      </c>
      <c r="AAC42" s="6" t="s">
        <v>1923</v>
      </c>
      <c r="AAD42" s="6" t="s">
        <v>1924</v>
      </c>
      <c r="AAE42" s="6" t="s">
        <v>1925</v>
      </c>
      <c r="AAF42" s="6" t="s">
        <v>2169</v>
      </c>
      <c r="AAG42" s="6" t="s">
        <v>2170</v>
      </c>
      <c r="AAH42" s="6" t="s">
        <v>2171</v>
      </c>
      <c r="AAI42" s="6" t="s">
        <v>1927</v>
      </c>
      <c r="AAJ42" s="6" t="s">
        <v>1928</v>
      </c>
      <c r="AAK42" s="6" t="s">
        <v>1929</v>
      </c>
      <c r="AAL42" s="6" t="s">
        <v>1930</v>
      </c>
      <c r="AAM42" s="6" t="s">
        <v>1931</v>
      </c>
      <c r="AAN42" s="6" t="s">
        <v>1932</v>
      </c>
      <c r="AAO42" s="6" t="s">
        <v>1933</v>
      </c>
      <c r="AAP42" s="6" t="s">
        <v>1934</v>
      </c>
      <c r="AAQ42" s="6" t="s">
        <v>1935</v>
      </c>
      <c r="AAR42" s="6" t="s">
        <v>1936</v>
      </c>
      <c r="AAS42" s="6" t="s">
        <v>1937</v>
      </c>
      <c r="AAT42" s="6" t="s">
        <v>1938</v>
      </c>
      <c r="AAU42" s="6" t="s">
        <v>1939</v>
      </c>
      <c r="AAV42" s="6" t="s">
        <v>1940</v>
      </c>
      <c r="AAW42" s="6" t="s">
        <v>1941</v>
      </c>
      <c r="AAX42" s="6" t="s">
        <v>1942</v>
      </c>
      <c r="AAY42" s="6" t="s">
        <v>1943</v>
      </c>
      <c r="AAZ42" s="6" t="s">
        <v>1944</v>
      </c>
      <c r="ABA42" s="6" t="s">
        <v>2172</v>
      </c>
      <c r="ABB42" s="6" t="s">
        <v>1945</v>
      </c>
      <c r="ABC42" s="6" t="s">
        <v>1946</v>
      </c>
      <c r="ABD42" s="6" t="s">
        <v>1947</v>
      </c>
      <c r="ABE42" s="6" t="s">
        <v>1948</v>
      </c>
      <c r="ABF42" s="6" t="s">
        <v>1949</v>
      </c>
      <c r="ABG42" s="6" t="s">
        <v>1950</v>
      </c>
      <c r="ABH42" s="6" t="s">
        <v>1951</v>
      </c>
      <c r="ABI42" s="6" t="s">
        <v>2173</v>
      </c>
      <c r="ABJ42" s="6" t="s">
        <v>2174</v>
      </c>
      <c r="ABK42" s="6" t="s">
        <v>1952</v>
      </c>
      <c r="ABL42" s="6" t="s">
        <v>2175</v>
      </c>
      <c r="ABM42" s="6" t="s">
        <v>2176</v>
      </c>
      <c r="ABN42" s="6" t="s">
        <v>2177</v>
      </c>
      <c r="ABO42" s="6" t="s">
        <v>2178</v>
      </c>
      <c r="ABP42" s="6" t="s">
        <v>1956</v>
      </c>
      <c r="ABQ42" s="6" t="s">
        <v>1957</v>
      </c>
      <c r="ABR42" s="6" t="s">
        <v>1958</v>
      </c>
      <c r="ABS42" s="6" t="s">
        <v>1959</v>
      </c>
      <c r="ABT42" s="6" t="s">
        <v>1960</v>
      </c>
      <c r="ABU42" s="6" t="s">
        <v>1961</v>
      </c>
      <c r="ABV42" s="6" t="s">
        <v>1962</v>
      </c>
      <c r="ABW42" s="6" t="s">
        <v>1963</v>
      </c>
      <c r="ABX42" s="6" t="s">
        <v>2179</v>
      </c>
      <c r="ABY42" s="6" t="s">
        <v>1964</v>
      </c>
      <c r="ABZ42" s="6" t="s">
        <v>1965</v>
      </c>
      <c r="ACA42" s="6" t="s">
        <v>1966</v>
      </c>
      <c r="ACB42" s="6" t="s">
        <v>1967</v>
      </c>
      <c r="ACC42" s="6" t="s">
        <v>1968</v>
      </c>
      <c r="ACD42" s="6" t="s">
        <v>1969</v>
      </c>
      <c r="ACE42" s="6" t="s">
        <v>1970</v>
      </c>
      <c r="ACF42" s="6" t="s">
        <v>1971</v>
      </c>
      <c r="ACG42" s="6" t="s">
        <v>1972</v>
      </c>
      <c r="ACH42" s="6" t="s">
        <v>1973</v>
      </c>
      <c r="ACI42" s="6" t="s">
        <v>1974</v>
      </c>
      <c r="ACJ42" s="6" t="s">
        <v>1975</v>
      </c>
      <c r="ACK42" s="6" t="s">
        <v>1976</v>
      </c>
      <c r="ACL42" s="6" t="s">
        <v>1977</v>
      </c>
      <c r="ACM42" s="6" t="s">
        <v>1978</v>
      </c>
      <c r="ACN42" s="6" t="s">
        <v>1979</v>
      </c>
      <c r="ACO42" s="6" t="s">
        <v>1980</v>
      </c>
      <c r="ACP42" s="6" t="s">
        <v>1981</v>
      </c>
      <c r="ACQ42" s="6" t="s">
        <v>1982</v>
      </c>
      <c r="ACR42" s="6" t="s">
        <v>2180</v>
      </c>
      <c r="ACS42" s="6" t="s">
        <v>1983</v>
      </c>
      <c r="ACT42" s="6" t="s">
        <v>1984</v>
      </c>
      <c r="ACU42" s="6" t="s">
        <v>1985</v>
      </c>
      <c r="ACV42" s="6" t="s">
        <v>1986</v>
      </c>
      <c r="ACW42" s="6" t="s">
        <v>2181</v>
      </c>
      <c r="ACX42" s="6" t="s">
        <v>1987</v>
      </c>
      <c r="ACY42" s="6" t="s">
        <v>1988</v>
      </c>
      <c r="ACZ42" s="6" t="s">
        <v>1989</v>
      </c>
      <c r="ADA42" s="6" t="s">
        <v>1990</v>
      </c>
      <c r="ADB42" s="6" t="s">
        <v>1991</v>
      </c>
      <c r="ADC42" s="6" t="s">
        <v>1850</v>
      </c>
      <c r="ADD42" s="6" t="s">
        <v>2182</v>
      </c>
      <c r="ADE42" s="6" t="s">
        <v>2183</v>
      </c>
      <c r="ADF42" s="6" t="s">
        <v>2184</v>
      </c>
      <c r="ADG42" s="6" t="s">
        <v>1992</v>
      </c>
      <c r="ADH42" s="6" t="s">
        <v>1993</v>
      </c>
      <c r="ADI42" s="6" t="s">
        <v>1994</v>
      </c>
      <c r="ADJ42" s="6" t="s">
        <v>1995</v>
      </c>
      <c r="ADK42" s="6" t="s">
        <v>1996</v>
      </c>
      <c r="ADL42" s="6" t="s">
        <v>1486</v>
      </c>
      <c r="ADM42" s="6" t="s">
        <v>1997</v>
      </c>
      <c r="ADN42" s="6" t="s">
        <v>1998</v>
      </c>
      <c r="ADO42" s="6" t="s">
        <v>1999</v>
      </c>
      <c r="ADP42" s="6" t="s">
        <v>2000</v>
      </c>
      <c r="ADQ42" s="6" t="s">
        <v>2001</v>
      </c>
      <c r="ADR42" s="6" t="s">
        <v>2002</v>
      </c>
      <c r="ADS42" s="6" t="s">
        <v>5915</v>
      </c>
      <c r="ADT42" s="6" t="s">
        <v>2003</v>
      </c>
      <c r="ADU42" s="6" t="s">
        <v>2004</v>
      </c>
      <c r="ADV42" s="6" t="s">
        <v>2005</v>
      </c>
      <c r="ADW42" s="6" t="s">
        <v>2006</v>
      </c>
      <c r="ADX42" s="6" t="s">
        <v>2007</v>
      </c>
      <c r="ADY42" s="6" t="s">
        <v>5927</v>
      </c>
      <c r="ADZ42" s="6" t="s">
        <v>2008</v>
      </c>
      <c r="AEA42" s="6" t="s">
        <v>2009</v>
      </c>
      <c r="AEB42" s="6" t="s">
        <v>2010</v>
      </c>
      <c r="AEC42" s="6" t="s">
        <v>2011</v>
      </c>
      <c r="AED42" s="6" t="s">
        <v>2027</v>
      </c>
      <c r="AEE42" s="6" t="s">
        <v>2012</v>
      </c>
      <c r="AEF42" s="6" t="s">
        <v>2013</v>
      </c>
      <c r="AEG42" s="6" t="s">
        <v>2014</v>
      </c>
      <c r="AEH42" s="6" t="s">
        <v>2015</v>
      </c>
      <c r="AEI42" s="6" t="s">
        <v>2016</v>
      </c>
      <c r="AEJ42" s="6" t="s">
        <v>2017</v>
      </c>
      <c r="AEK42" s="6" t="s">
        <v>2018</v>
      </c>
      <c r="AEL42" s="6" t="s">
        <v>2019</v>
      </c>
      <c r="AEM42" s="6" t="s">
        <v>2020</v>
      </c>
      <c r="AEN42" s="6" t="s">
        <v>2021</v>
      </c>
      <c r="AEO42" s="6" t="s">
        <v>2022</v>
      </c>
      <c r="AEP42" s="6" t="s">
        <v>2023</v>
      </c>
      <c r="AEQ42" s="6" t="s">
        <v>2024</v>
      </c>
      <c r="AER42" s="6" t="s">
        <v>2025</v>
      </c>
      <c r="AES42" s="6" t="s">
        <v>2026</v>
      </c>
      <c r="AET42" s="6" t="s">
        <v>2028</v>
      </c>
      <c r="AEU42" s="6" t="s">
        <v>2029</v>
      </c>
      <c r="AEV42" s="6" t="s">
        <v>2030</v>
      </c>
      <c r="AEW42" s="6" t="s">
        <v>2031</v>
      </c>
      <c r="AEX42" s="6" t="s">
        <v>2032</v>
      </c>
      <c r="AEY42" s="6" t="s">
        <v>2033</v>
      </c>
      <c r="AEZ42" s="6" t="s">
        <v>2034</v>
      </c>
      <c r="AFA42" s="6" t="s">
        <v>2035</v>
      </c>
      <c r="AFB42" s="6" t="s">
        <v>2036</v>
      </c>
      <c r="AFC42" s="6" t="s">
        <v>2037</v>
      </c>
      <c r="AFD42" s="6" t="s">
        <v>2038</v>
      </c>
      <c r="AFE42" s="6" t="s">
        <v>2039</v>
      </c>
      <c r="AFF42" s="6" t="s">
        <v>2040</v>
      </c>
      <c r="AFG42" s="6" t="s">
        <v>2041</v>
      </c>
      <c r="AFH42" s="6" t="s">
        <v>2042</v>
      </c>
      <c r="AFI42" s="6" t="s">
        <v>2043</v>
      </c>
      <c r="AFJ42" s="6" t="s">
        <v>2044</v>
      </c>
      <c r="AFK42" s="6" t="s">
        <v>2045</v>
      </c>
      <c r="AFL42" s="6" t="s">
        <v>2046</v>
      </c>
      <c r="AFM42" s="6" t="s">
        <v>2047</v>
      </c>
      <c r="AFN42" s="6" t="s">
        <v>2048</v>
      </c>
      <c r="AFO42" s="6" t="s">
        <v>2049</v>
      </c>
      <c r="AFP42" s="6" t="s">
        <v>2050</v>
      </c>
      <c r="AFQ42" s="6" t="s">
        <v>2051</v>
      </c>
      <c r="AFR42" s="6" t="s">
        <v>2052</v>
      </c>
      <c r="AFS42" s="6" t="s">
        <v>2053</v>
      </c>
      <c r="AFT42" s="6" t="s">
        <v>2054</v>
      </c>
      <c r="AFU42" s="6" t="s">
        <v>2055</v>
      </c>
      <c r="AFV42" s="6" t="s">
        <v>2056</v>
      </c>
      <c r="AFW42" s="6" t="s">
        <v>2057</v>
      </c>
      <c r="AFX42" s="6" t="s">
        <v>2058</v>
      </c>
      <c r="AFY42" s="6" t="s">
        <v>2059</v>
      </c>
      <c r="AFZ42" s="6" t="s">
        <v>2060</v>
      </c>
      <c r="AGA42" s="6" t="s">
        <v>2061</v>
      </c>
      <c r="AGB42" s="6" t="s">
        <v>2062</v>
      </c>
      <c r="AGC42" s="6" t="s">
        <v>2063</v>
      </c>
      <c r="AGD42" s="6" t="s">
        <v>2064</v>
      </c>
      <c r="AGE42" s="6" t="s">
        <v>2065</v>
      </c>
      <c r="AGF42" s="6" t="s">
        <v>2066</v>
      </c>
      <c r="AGG42" s="6" t="s">
        <v>2067</v>
      </c>
      <c r="AGH42" s="6" t="s">
        <v>2068</v>
      </c>
      <c r="AGI42" s="6" t="s">
        <v>2069</v>
      </c>
      <c r="AGJ42" s="6" t="s">
        <v>2070</v>
      </c>
      <c r="AGK42" s="6" t="s">
        <v>2071</v>
      </c>
      <c r="AGL42" s="6" t="s">
        <v>2072</v>
      </c>
      <c r="AGM42" s="6" t="s">
        <v>2073</v>
      </c>
      <c r="AGN42" s="6" t="s">
        <v>2074</v>
      </c>
      <c r="AGO42" s="6" t="s">
        <v>2075</v>
      </c>
      <c r="AGP42" s="6" t="s">
        <v>2076</v>
      </c>
      <c r="AGQ42" s="6" t="s">
        <v>2077</v>
      </c>
      <c r="AGR42" s="6" t="s">
        <v>2078</v>
      </c>
      <c r="AGS42" s="6" t="s">
        <v>2079</v>
      </c>
      <c r="AGT42" s="6" t="s">
        <v>2080</v>
      </c>
      <c r="AGU42" s="6" t="s">
        <v>2081</v>
      </c>
      <c r="AGV42" s="6" t="s">
        <v>2082</v>
      </c>
      <c r="AGW42" s="6" t="s">
        <v>2083</v>
      </c>
      <c r="AGX42" s="6" t="s">
        <v>2084</v>
      </c>
      <c r="AGY42" s="6" t="s">
        <v>2085</v>
      </c>
      <c r="AGZ42" s="6" t="s">
        <v>2086</v>
      </c>
      <c r="AHA42" s="6" t="s">
        <v>2087</v>
      </c>
      <c r="AHB42" s="6" t="s">
        <v>2088</v>
      </c>
      <c r="AHC42" s="6" t="s">
        <v>2089</v>
      </c>
      <c r="AHD42" s="6" t="s">
        <v>2090</v>
      </c>
      <c r="AHE42" s="6" t="s">
        <v>2091</v>
      </c>
      <c r="AHF42" s="6" t="s">
        <v>2092</v>
      </c>
      <c r="AHG42" s="6" t="s">
        <v>2093</v>
      </c>
      <c r="AHH42" s="6" t="s">
        <v>2094</v>
      </c>
      <c r="AHI42" s="6" t="s">
        <v>2095</v>
      </c>
      <c r="AHJ42" s="6" t="s">
        <v>2096</v>
      </c>
      <c r="AHK42" s="6" t="s">
        <v>2097</v>
      </c>
      <c r="AHL42" s="6" t="s">
        <v>2098</v>
      </c>
      <c r="AHM42" s="6" t="s">
        <v>2099</v>
      </c>
      <c r="AHN42" s="6" t="s">
        <v>2100</v>
      </c>
      <c r="AHO42" s="6" t="s">
        <v>2101</v>
      </c>
      <c r="AHP42" s="6" t="s">
        <v>2102</v>
      </c>
      <c r="AHQ42" s="6" t="s">
        <v>2103</v>
      </c>
      <c r="AHR42" s="6" t="s">
        <v>2104</v>
      </c>
      <c r="AHS42" s="6" t="s">
        <v>2105</v>
      </c>
      <c r="AHT42" s="6" t="s">
        <v>6454</v>
      </c>
    </row>
    <row r="43" spans="2:905" x14ac:dyDescent="0.7">
      <c r="B43" s="6" t="s">
        <v>6035</v>
      </c>
      <c r="C43" s="6" t="s">
        <v>6036</v>
      </c>
      <c r="D43" s="11">
        <v>0</v>
      </c>
      <c r="E43" s="11">
        <v>30473</v>
      </c>
      <c r="F43" s="11">
        <v>23162</v>
      </c>
      <c r="G43" s="11">
        <v>9651</v>
      </c>
      <c r="H43" s="11">
        <v>18302</v>
      </c>
      <c r="I43" s="11">
        <v>0</v>
      </c>
      <c r="J43" s="11">
        <v>64157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367334.29</v>
      </c>
      <c r="Q43" s="11">
        <v>120150.5</v>
      </c>
      <c r="R43" s="11">
        <v>6702</v>
      </c>
      <c r="S43" s="11">
        <v>12991</v>
      </c>
      <c r="T43" s="11">
        <v>2411</v>
      </c>
      <c r="U43" s="11">
        <v>7344</v>
      </c>
      <c r="V43" s="11">
        <v>235374</v>
      </c>
      <c r="W43" s="11">
        <v>0</v>
      </c>
      <c r="X43" s="11">
        <v>0</v>
      </c>
      <c r="Y43" s="11">
        <v>0</v>
      </c>
      <c r="Z43" s="11">
        <v>0</v>
      </c>
      <c r="AA43" s="11">
        <v>500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3911.25</v>
      </c>
      <c r="AK43" s="11">
        <v>0</v>
      </c>
      <c r="AL43" s="11">
        <v>0</v>
      </c>
      <c r="AM43" s="11">
        <v>4084</v>
      </c>
      <c r="AN43" s="11">
        <v>0</v>
      </c>
      <c r="AO43" s="11">
        <v>0</v>
      </c>
      <c r="AP43" s="11">
        <v>22000</v>
      </c>
      <c r="AQ43" s="11">
        <v>10033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24189</v>
      </c>
      <c r="BE43" s="11">
        <v>920</v>
      </c>
      <c r="BF43" s="11">
        <v>0</v>
      </c>
      <c r="BG43" s="11">
        <v>0</v>
      </c>
      <c r="BH43" s="11">
        <v>0</v>
      </c>
      <c r="BI43" s="11">
        <v>35952</v>
      </c>
      <c r="BJ43" s="11">
        <v>0</v>
      </c>
      <c r="BK43" s="11">
        <v>4390</v>
      </c>
      <c r="BL43" s="11">
        <v>11110</v>
      </c>
      <c r="BM43" s="11">
        <v>520</v>
      </c>
      <c r="BN43" s="11">
        <v>670</v>
      </c>
      <c r="BO43" s="11">
        <v>3201.7</v>
      </c>
      <c r="BP43" s="11">
        <v>698</v>
      </c>
      <c r="BQ43" s="11">
        <v>6571.9</v>
      </c>
      <c r="BR43" s="11">
        <v>0</v>
      </c>
      <c r="BS43" s="11">
        <v>0</v>
      </c>
      <c r="BT43" s="11">
        <v>17609.53</v>
      </c>
      <c r="BU43" s="11">
        <v>0</v>
      </c>
      <c r="BV43" s="11">
        <v>7513</v>
      </c>
      <c r="BW43" s="11">
        <v>0</v>
      </c>
      <c r="BX43" s="11">
        <v>0</v>
      </c>
      <c r="BY43" s="11">
        <v>0</v>
      </c>
      <c r="BZ43" s="11">
        <v>2940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1210</v>
      </c>
      <c r="CI43" s="11">
        <v>7202.5</v>
      </c>
      <c r="CJ43" s="11">
        <v>0</v>
      </c>
      <c r="CK43" s="11">
        <v>7223</v>
      </c>
      <c r="CL43" s="11">
        <v>630</v>
      </c>
      <c r="CM43" s="11">
        <v>790</v>
      </c>
      <c r="CN43" s="11">
        <v>0</v>
      </c>
      <c r="CO43" s="11">
        <v>460</v>
      </c>
      <c r="CP43" s="11">
        <v>0</v>
      </c>
      <c r="CQ43" s="11">
        <v>0</v>
      </c>
      <c r="CR43" s="11">
        <v>0</v>
      </c>
      <c r="CS43" s="11">
        <v>4338</v>
      </c>
      <c r="CT43" s="11">
        <v>72915.8</v>
      </c>
      <c r="CU43" s="11">
        <v>0</v>
      </c>
      <c r="CV43" s="11">
        <v>54.54</v>
      </c>
      <c r="CW43" s="11">
        <v>0</v>
      </c>
      <c r="CX43" s="11">
        <v>4661</v>
      </c>
      <c r="CY43" s="11">
        <v>2000</v>
      </c>
      <c r="CZ43" s="11">
        <v>0</v>
      </c>
      <c r="DA43" s="11">
        <v>1276</v>
      </c>
      <c r="DB43" s="11"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0</v>
      </c>
      <c r="DK43" s="11">
        <v>167722.75</v>
      </c>
      <c r="DL43" s="11"/>
      <c r="DM43" s="11">
        <v>120.56</v>
      </c>
      <c r="DN43" s="11">
        <v>0</v>
      </c>
      <c r="DO43" s="11">
        <v>2780</v>
      </c>
      <c r="DP43" s="11">
        <v>0</v>
      </c>
      <c r="DQ43" s="11">
        <v>0</v>
      </c>
      <c r="DR43" s="11">
        <v>0</v>
      </c>
      <c r="DS43" s="11">
        <v>100</v>
      </c>
      <c r="DT43" s="11">
        <v>27000</v>
      </c>
      <c r="DU43" s="11">
        <v>11414.5</v>
      </c>
      <c r="DV43" s="11">
        <v>2903</v>
      </c>
      <c r="DW43" s="11">
        <v>0</v>
      </c>
      <c r="DX43" s="11">
        <v>10268</v>
      </c>
      <c r="DY43" s="11">
        <v>0</v>
      </c>
      <c r="DZ43" s="11">
        <v>0</v>
      </c>
      <c r="EA43" s="11">
        <v>0</v>
      </c>
      <c r="EB43" s="11">
        <v>0</v>
      </c>
      <c r="EC43" s="11">
        <v>0</v>
      </c>
      <c r="ED43" s="11">
        <v>4632</v>
      </c>
      <c r="EE43" s="11">
        <v>14336</v>
      </c>
      <c r="EF43" s="11">
        <v>25755.119999999999</v>
      </c>
      <c r="EG43" s="11">
        <v>-60</v>
      </c>
      <c r="EH43" s="11">
        <v>0</v>
      </c>
      <c r="EI43" s="11">
        <v>0</v>
      </c>
      <c r="EJ43" s="11">
        <v>3200</v>
      </c>
      <c r="EK43" s="11">
        <v>300</v>
      </c>
      <c r="EL43" s="11">
        <v>0</v>
      </c>
      <c r="EM43" s="11">
        <v>0</v>
      </c>
      <c r="EN43" s="11">
        <v>0</v>
      </c>
      <c r="EO43" s="11">
        <v>0</v>
      </c>
      <c r="EP43" s="11">
        <v>0</v>
      </c>
      <c r="EQ43" s="11">
        <v>0</v>
      </c>
      <c r="ER43" s="11">
        <v>0</v>
      </c>
      <c r="ES43" s="11">
        <v>0</v>
      </c>
      <c r="ET43" s="11">
        <v>0</v>
      </c>
      <c r="EU43" s="11">
        <v>0</v>
      </c>
      <c r="EV43" s="11">
        <v>0</v>
      </c>
      <c r="EW43" s="11">
        <v>33633.5</v>
      </c>
      <c r="EX43" s="11">
        <v>30069</v>
      </c>
      <c r="EY43" s="11">
        <v>2553</v>
      </c>
      <c r="EZ43" s="11">
        <v>0</v>
      </c>
      <c r="FA43" s="11">
        <v>0</v>
      </c>
      <c r="FB43" s="11">
        <v>9815</v>
      </c>
      <c r="FC43" s="11">
        <v>0</v>
      </c>
      <c r="FD43" s="11">
        <v>208131.82</v>
      </c>
      <c r="FE43" s="11">
        <v>32175</v>
      </c>
      <c r="FF43" s="11">
        <v>6145</v>
      </c>
      <c r="FG43" s="11">
        <v>32939.82</v>
      </c>
      <c r="FH43" s="11">
        <v>472811</v>
      </c>
      <c r="FI43" s="11">
        <v>7161</v>
      </c>
      <c r="FJ43" s="11">
        <v>0</v>
      </c>
      <c r="FK43" s="11">
        <v>0</v>
      </c>
      <c r="FL43" s="11">
        <v>5052.79</v>
      </c>
      <c r="FM43" s="11">
        <v>91</v>
      </c>
      <c r="FN43" s="11">
        <v>0</v>
      </c>
      <c r="FO43" s="11">
        <v>0</v>
      </c>
      <c r="FP43" s="11">
        <v>0</v>
      </c>
      <c r="FQ43" s="11">
        <v>0</v>
      </c>
      <c r="FR43" s="11">
        <v>2</v>
      </c>
      <c r="FS43" s="11">
        <v>4525</v>
      </c>
      <c r="FT43" s="11">
        <v>0</v>
      </c>
      <c r="FU43" s="11">
        <v>0</v>
      </c>
      <c r="FV43" s="11">
        <v>0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11">
        <v>0</v>
      </c>
      <c r="GC43" s="11">
        <v>0</v>
      </c>
      <c r="GD43" s="11">
        <v>0</v>
      </c>
      <c r="GE43" s="11">
        <v>0</v>
      </c>
      <c r="GF43" s="11">
        <v>120</v>
      </c>
      <c r="GG43" s="11">
        <v>495</v>
      </c>
      <c r="GH43" s="11">
        <v>9505</v>
      </c>
      <c r="GI43" s="11">
        <v>3290</v>
      </c>
      <c r="GJ43" s="11">
        <v>0</v>
      </c>
      <c r="GK43" s="11">
        <v>2697</v>
      </c>
      <c r="GL43" s="11">
        <v>0</v>
      </c>
      <c r="GM43" s="11">
        <v>0</v>
      </c>
      <c r="GN43" s="11">
        <v>0</v>
      </c>
      <c r="GO43" s="11">
        <v>490</v>
      </c>
      <c r="GP43" s="11">
        <v>1265</v>
      </c>
      <c r="GQ43" s="11">
        <v>15605.75</v>
      </c>
      <c r="GR43" s="11">
        <v>0</v>
      </c>
      <c r="GS43" s="11">
        <v>0</v>
      </c>
      <c r="GT43" s="11">
        <v>0</v>
      </c>
      <c r="GU43" s="11">
        <v>0</v>
      </c>
      <c r="GV43" s="11">
        <v>0</v>
      </c>
      <c r="GW43" s="11">
        <v>0</v>
      </c>
      <c r="GX43" s="11">
        <v>0</v>
      </c>
      <c r="GY43" s="11">
        <v>79706.039999999994</v>
      </c>
      <c r="GZ43" s="11">
        <v>0</v>
      </c>
      <c r="HA43" s="11">
        <v>0</v>
      </c>
      <c r="HB43" s="11">
        <v>3980</v>
      </c>
      <c r="HC43" s="11">
        <v>45725.599999999999</v>
      </c>
      <c r="HD43" s="11">
        <v>84</v>
      </c>
      <c r="HE43" s="11">
        <v>283525.06</v>
      </c>
      <c r="HF43" s="11">
        <v>0</v>
      </c>
      <c r="HG43" s="11">
        <v>0</v>
      </c>
      <c r="HH43" s="11">
        <v>0</v>
      </c>
      <c r="HI43" s="11">
        <v>0</v>
      </c>
      <c r="HJ43" s="11">
        <v>0</v>
      </c>
      <c r="HK43" s="11">
        <v>69373.75</v>
      </c>
      <c r="HL43" s="11">
        <v>14000</v>
      </c>
      <c r="HM43" s="11">
        <v>36842.11</v>
      </c>
      <c r="HN43" s="11">
        <v>15173</v>
      </c>
      <c r="HO43" s="11">
        <v>9163</v>
      </c>
      <c r="HP43" s="11">
        <v>0</v>
      </c>
      <c r="HQ43" s="11">
        <v>31053.98</v>
      </c>
      <c r="HR43" s="11">
        <v>22328</v>
      </c>
      <c r="HS43" s="11">
        <v>1520</v>
      </c>
      <c r="HT43" s="11">
        <v>84892.75</v>
      </c>
      <c r="HU43" s="11">
        <v>36354.949999999997</v>
      </c>
      <c r="HV43" s="11">
        <v>24485</v>
      </c>
      <c r="HW43" s="11">
        <v>0</v>
      </c>
      <c r="HX43" s="11">
        <v>47857</v>
      </c>
      <c r="HY43" s="11">
        <v>238475.5</v>
      </c>
      <c r="HZ43" s="11">
        <v>64666</v>
      </c>
      <c r="IA43" s="11">
        <v>62959</v>
      </c>
      <c r="IB43" s="11">
        <v>0</v>
      </c>
      <c r="IC43" s="11">
        <v>15647</v>
      </c>
      <c r="ID43" s="11">
        <v>4226.38</v>
      </c>
      <c r="IE43" s="11">
        <v>0</v>
      </c>
      <c r="IF43" s="11">
        <v>419900</v>
      </c>
      <c r="IG43" s="11">
        <v>2767.75</v>
      </c>
      <c r="IH43" s="11">
        <v>39866.300000000003</v>
      </c>
      <c r="II43" s="11">
        <v>325012.5</v>
      </c>
      <c r="IJ43" s="11">
        <v>0</v>
      </c>
      <c r="IK43" s="11">
        <v>0</v>
      </c>
      <c r="IL43" s="11">
        <v>0</v>
      </c>
      <c r="IM43" s="11">
        <v>0</v>
      </c>
      <c r="IN43" s="11">
        <v>0</v>
      </c>
      <c r="IO43" s="11">
        <v>40497</v>
      </c>
      <c r="IP43" s="11">
        <v>0</v>
      </c>
      <c r="IQ43" s="11">
        <v>0</v>
      </c>
      <c r="IR43" s="11">
        <v>0</v>
      </c>
      <c r="IS43" s="11">
        <v>0</v>
      </c>
      <c r="IT43" s="11">
        <v>200342.5</v>
      </c>
      <c r="IU43" s="11">
        <v>0</v>
      </c>
      <c r="IV43" s="11">
        <v>0</v>
      </c>
      <c r="IW43" s="11">
        <v>0</v>
      </c>
      <c r="IX43" s="11">
        <v>0</v>
      </c>
      <c r="IY43" s="11">
        <v>0</v>
      </c>
      <c r="IZ43" s="11">
        <v>2768</v>
      </c>
      <c r="JA43" s="11">
        <v>0</v>
      </c>
      <c r="JB43" s="11">
        <v>9600</v>
      </c>
      <c r="JC43" s="11">
        <v>0</v>
      </c>
      <c r="JD43" s="11">
        <v>82870</v>
      </c>
      <c r="JE43" s="11">
        <v>146097</v>
      </c>
      <c r="JF43" s="11">
        <v>21540</v>
      </c>
      <c r="JG43" s="11">
        <v>33752.5</v>
      </c>
      <c r="JH43" s="11">
        <v>57356.01</v>
      </c>
      <c r="JI43" s="11">
        <v>6430.75</v>
      </c>
      <c r="JJ43" s="11">
        <v>44724.5</v>
      </c>
      <c r="JK43" s="11">
        <v>0</v>
      </c>
      <c r="JL43" s="11">
        <v>78108.639999999999</v>
      </c>
      <c r="JM43" s="11">
        <v>10043.5</v>
      </c>
      <c r="JN43" s="11">
        <v>28077.5</v>
      </c>
      <c r="JO43" s="11"/>
      <c r="JP43" s="11">
        <v>0</v>
      </c>
      <c r="JQ43" s="11">
        <v>231971</v>
      </c>
      <c r="JR43" s="11">
        <v>16187.75</v>
      </c>
      <c r="JS43" s="11">
        <v>61594</v>
      </c>
      <c r="JT43" s="11">
        <v>0</v>
      </c>
      <c r="JU43" s="11">
        <v>0</v>
      </c>
      <c r="JV43" s="11">
        <v>993</v>
      </c>
      <c r="JW43" s="11">
        <v>41731</v>
      </c>
      <c r="JX43" s="11">
        <v>33130</v>
      </c>
      <c r="JY43" s="11">
        <v>0</v>
      </c>
      <c r="JZ43" s="11">
        <v>0</v>
      </c>
      <c r="KA43" s="11">
        <v>0</v>
      </c>
      <c r="KB43" s="11">
        <v>53257.440000000002</v>
      </c>
      <c r="KC43" s="11">
        <v>0</v>
      </c>
      <c r="KD43" s="11">
        <v>8082</v>
      </c>
      <c r="KE43" s="11">
        <v>3442</v>
      </c>
      <c r="KF43" s="11">
        <v>2937</v>
      </c>
      <c r="KG43" s="11">
        <v>18422</v>
      </c>
      <c r="KH43" s="11">
        <v>563</v>
      </c>
      <c r="KI43" s="11">
        <v>177425.25</v>
      </c>
      <c r="KJ43" s="11">
        <v>0</v>
      </c>
      <c r="KK43" s="11">
        <v>0</v>
      </c>
      <c r="KL43" s="11">
        <v>73716</v>
      </c>
      <c r="KM43" s="11">
        <v>1838.5</v>
      </c>
      <c r="KN43" s="11">
        <v>12000</v>
      </c>
      <c r="KO43" s="11">
        <v>154215</v>
      </c>
      <c r="KP43" s="11">
        <v>0</v>
      </c>
      <c r="KQ43" s="11">
        <v>0</v>
      </c>
      <c r="KR43" s="11">
        <v>71179</v>
      </c>
      <c r="KS43" s="11">
        <v>0</v>
      </c>
      <c r="KT43" s="11">
        <v>16649</v>
      </c>
      <c r="KU43" s="11">
        <v>639.99699999999996</v>
      </c>
      <c r="KV43" s="11">
        <v>0</v>
      </c>
      <c r="KW43" s="11">
        <v>0</v>
      </c>
      <c r="KX43" s="11">
        <v>12468.5</v>
      </c>
      <c r="KY43" s="11">
        <v>6</v>
      </c>
      <c r="KZ43" s="11">
        <v>17705</v>
      </c>
      <c r="LA43" s="11">
        <v>0</v>
      </c>
      <c r="LB43" s="11">
        <v>9713.25</v>
      </c>
      <c r="LC43" s="11">
        <v>0</v>
      </c>
      <c r="LD43" s="11">
        <v>0</v>
      </c>
      <c r="LE43" s="11">
        <v>107603.06</v>
      </c>
      <c r="LF43" s="11">
        <v>24793.13</v>
      </c>
      <c r="LG43" s="11">
        <v>2901</v>
      </c>
      <c r="LH43" s="11">
        <v>2000</v>
      </c>
      <c r="LI43" s="11">
        <v>0</v>
      </c>
      <c r="LJ43" s="11">
        <v>42388</v>
      </c>
      <c r="LK43" s="11">
        <v>88470.25</v>
      </c>
      <c r="LL43" s="11">
        <v>-22297.16</v>
      </c>
      <c r="LM43" s="11">
        <v>0</v>
      </c>
      <c r="LN43" s="11">
        <v>288195.43</v>
      </c>
      <c r="LO43" s="11">
        <v>9879.16</v>
      </c>
      <c r="LP43" s="11">
        <v>165649</v>
      </c>
      <c r="LQ43" s="11">
        <v>11562.54</v>
      </c>
      <c r="LR43" s="11">
        <v>90684.160000000003</v>
      </c>
      <c r="LS43" s="11">
        <v>0</v>
      </c>
      <c r="LT43" s="11">
        <v>0</v>
      </c>
      <c r="LU43" s="11">
        <v>0</v>
      </c>
      <c r="LV43" s="11">
        <v>0</v>
      </c>
      <c r="LW43" s="11">
        <v>500</v>
      </c>
      <c r="LX43" s="11">
        <v>51860</v>
      </c>
      <c r="LY43" s="11">
        <v>75312.5</v>
      </c>
      <c r="LZ43" s="11">
        <v>13718.25</v>
      </c>
      <c r="MA43" s="11">
        <v>3798</v>
      </c>
      <c r="MB43" s="11">
        <v>2540</v>
      </c>
      <c r="MC43" s="11">
        <v>3169</v>
      </c>
      <c r="MD43" s="11">
        <v>2390</v>
      </c>
      <c r="ME43" s="11">
        <v>8944.5</v>
      </c>
      <c r="MF43" s="11">
        <v>19349</v>
      </c>
      <c r="MG43" s="11">
        <v>35297</v>
      </c>
      <c r="MH43" s="11">
        <v>157923.5</v>
      </c>
      <c r="MI43" s="11">
        <v>0</v>
      </c>
      <c r="MJ43" s="11">
        <v>4145</v>
      </c>
      <c r="MK43" s="11">
        <v>0</v>
      </c>
      <c r="ML43" s="11">
        <v>0</v>
      </c>
      <c r="MM43" s="11">
        <v>0</v>
      </c>
      <c r="MN43" s="11">
        <v>94833.5</v>
      </c>
      <c r="MO43" s="11">
        <v>0</v>
      </c>
      <c r="MP43" s="11">
        <v>0</v>
      </c>
      <c r="MQ43" s="11">
        <v>0</v>
      </c>
      <c r="MR43" s="11">
        <v>0</v>
      </c>
      <c r="MS43" s="11">
        <v>270</v>
      </c>
      <c r="MT43" s="11">
        <v>207219</v>
      </c>
      <c r="MU43" s="11">
        <v>5530</v>
      </c>
      <c r="MV43" s="11">
        <v>0</v>
      </c>
      <c r="MW43" s="11">
        <v>0</v>
      </c>
      <c r="MX43" s="11">
        <v>0</v>
      </c>
      <c r="MY43" s="11">
        <v>0</v>
      </c>
      <c r="MZ43" s="11">
        <v>0</v>
      </c>
      <c r="NA43" s="11">
        <v>0</v>
      </c>
      <c r="NB43" s="11">
        <v>0</v>
      </c>
      <c r="NC43" s="11">
        <v>0</v>
      </c>
      <c r="ND43" s="11">
        <v>0</v>
      </c>
      <c r="NE43" s="11">
        <v>0</v>
      </c>
      <c r="NF43" s="11">
        <v>0</v>
      </c>
      <c r="NG43" s="11">
        <v>0</v>
      </c>
      <c r="NH43" s="11">
        <v>30</v>
      </c>
      <c r="NI43" s="11">
        <v>0</v>
      </c>
      <c r="NJ43" s="11">
        <v>0</v>
      </c>
      <c r="NK43" s="11">
        <v>0</v>
      </c>
      <c r="NL43" s="11">
        <v>0</v>
      </c>
      <c r="NM43" s="11">
        <v>0</v>
      </c>
      <c r="NN43" s="11"/>
      <c r="NO43" s="11">
        <v>0</v>
      </c>
      <c r="NP43" s="11">
        <v>0</v>
      </c>
      <c r="NQ43" s="11">
        <v>0</v>
      </c>
      <c r="NR43" s="11">
        <v>0</v>
      </c>
      <c r="NS43" s="11">
        <v>0</v>
      </c>
      <c r="NT43" s="11">
        <v>0</v>
      </c>
      <c r="NU43" s="11">
        <v>0</v>
      </c>
      <c r="NV43" s="11">
        <v>0</v>
      </c>
      <c r="NW43" s="11">
        <v>0</v>
      </c>
      <c r="NX43" s="11">
        <v>172153.25</v>
      </c>
      <c r="NY43" s="11">
        <v>45642.38</v>
      </c>
      <c r="NZ43" s="11">
        <v>0</v>
      </c>
      <c r="OA43" s="11">
        <v>0</v>
      </c>
      <c r="OB43" s="11">
        <v>0</v>
      </c>
      <c r="OC43" s="11">
        <v>14432</v>
      </c>
      <c r="OD43" s="11">
        <v>0</v>
      </c>
      <c r="OE43" s="11">
        <v>0</v>
      </c>
      <c r="OF43" s="11">
        <v>60</v>
      </c>
      <c r="OG43" s="11">
        <v>2212</v>
      </c>
      <c r="OH43" s="11">
        <v>18280</v>
      </c>
      <c r="OI43" s="11">
        <v>6097</v>
      </c>
      <c r="OJ43" s="11">
        <v>7882</v>
      </c>
      <c r="OK43" s="11">
        <v>14565.5</v>
      </c>
      <c r="OL43" s="11">
        <v>1701</v>
      </c>
      <c r="OM43" s="11">
        <v>9209</v>
      </c>
      <c r="ON43" s="11">
        <v>0</v>
      </c>
      <c r="OO43" s="11">
        <v>180</v>
      </c>
      <c r="OP43" s="11">
        <v>0</v>
      </c>
      <c r="OQ43" s="11">
        <v>0</v>
      </c>
      <c r="OR43" s="11">
        <v>2015</v>
      </c>
      <c r="OS43" s="11">
        <v>74498.7</v>
      </c>
      <c r="OT43" s="11">
        <v>61333</v>
      </c>
      <c r="OU43" s="11">
        <v>4430</v>
      </c>
      <c r="OV43" s="11">
        <v>0</v>
      </c>
      <c r="OW43" s="11">
        <v>14919.5</v>
      </c>
      <c r="OX43" s="11">
        <v>3220</v>
      </c>
      <c r="OY43" s="11">
        <v>0</v>
      </c>
      <c r="OZ43" s="11">
        <v>0</v>
      </c>
      <c r="PA43" s="11">
        <v>0</v>
      </c>
      <c r="PB43" s="11">
        <v>0</v>
      </c>
      <c r="PC43" s="11">
        <v>0</v>
      </c>
      <c r="PD43" s="11">
        <v>0</v>
      </c>
      <c r="PE43" s="11">
        <v>0</v>
      </c>
      <c r="PF43" s="11">
        <v>0</v>
      </c>
      <c r="PG43" s="11">
        <v>0</v>
      </c>
      <c r="PH43" s="11">
        <v>0</v>
      </c>
      <c r="PI43" s="11">
        <v>5889</v>
      </c>
      <c r="PJ43" s="11">
        <v>0</v>
      </c>
      <c r="PK43" s="11">
        <v>0</v>
      </c>
      <c r="PL43" s="11">
        <v>0</v>
      </c>
      <c r="PM43" s="11">
        <v>0</v>
      </c>
      <c r="PN43" s="11">
        <v>0</v>
      </c>
      <c r="PO43" s="11">
        <v>0</v>
      </c>
      <c r="PP43" s="11">
        <v>0</v>
      </c>
      <c r="PQ43" s="11">
        <v>0</v>
      </c>
      <c r="PR43" s="11">
        <v>0</v>
      </c>
      <c r="PS43" s="11">
        <v>27628</v>
      </c>
      <c r="PT43" s="11">
        <v>0</v>
      </c>
      <c r="PU43" s="11">
        <v>0</v>
      </c>
      <c r="PV43" s="11">
        <v>13859.5</v>
      </c>
      <c r="PW43" s="11">
        <v>1779</v>
      </c>
      <c r="PX43" s="11">
        <v>0</v>
      </c>
      <c r="PY43" s="11">
        <v>0</v>
      </c>
      <c r="PZ43" s="11">
        <v>32649</v>
      </c>
      <c r="QA43" s="11">
        <v>0</v>
      </c>
      <c r="QB43" s="11">
        <v>0</v>
      </c>
      <c r="QC43" s="11">
        <v>0</v>
      </c>
      <c r="QD43" s="11">
        <v>0</v>
      </c>
      <c r="QE43" s="11">
        <v>0</v>
      </c>
      <c r="QF43" s="11">
        <v>0</v>
      </c>
      <c r="QG43" s="11">
        <v>0</v>
      </c>
      <c r="QH43" s="11">
        <v>0</v>
      </c>
      <c r="QI43" s="11">
        <v>693</v>
      </c>
      <c r="QJ43" s="11">
        <v>0</v>
      </c>
      <c r="QK43" s="11">
        <v>0</v>
      </c>
      <c r="QL43" s="11">
        <v>0</v>
      </c>
      <c r="QM43" s="11">
        <v>0</v>
      </c>
      <c r="QN43" s="11">
        <v>0</v>
      </c>
      <c r="QO43" s="11">
        <v>0</v>
      </c>
      <c r="QP43" s="11">
        <v>0</v>
      </c>
      <c r="QQ43" s="11">
        <v>0</v>
      </c>
      <c r="QR43" s="11">
        <v>26479.9</v>
      </c>
      <c r="QS43" s="11"/>
      <c r="QT43" s="11">
        <v>0</v>
      </c>
      <c r="QU43" s="11">
        <v>0</v>
      </c>
      <c r="QV43" s="11">
        <v>51450.25</v>
      </c>
      <c r="QW43" s="11">
        <v>300</v>
      </c>
      <c r="QX43" s="11">
        <v>18870</v>
      </c>
      <c r="QY43" s="11">
        <v>9025</v>
      </c>
      <c r="QZ43" s="11">
        <v>0</v>
      </c>
      <c r="RA43" s="11">
        <v>31750</v>
      </c>
      <c r="RB43" s="11">
        <v>0</v>
      </c>
      <c r="RC43" s="11">
        <v>0</v>
      </c>
      <c r="RD43" s="11">
        <v>0</v>
      </c>
      <c r="RE43" s="11">
        <v>0</v>
      </c>
      <c r="RF43" s="11">
        <v>0</v>
      </c>
      <c r="RG43" s="11">
        <v>0</v>
      </c>
      <c r="RH43" s="11">
        <v>383485.25</v>
      </c>
      <c r="RI43" s="11">
        <v>0</v>
      </c>
      <c r="RJ43" s="11">
        <v>0</v>
      </c>
      <c r="RK43" s="11">
        <v>0</v>
      </c>
      <c r="RL43" s="11">
        <v>0</v>
      </c>
      <c r="RM43" s="11">
        <v>0</v>
      </c>
      <c r="RN43" s="11">
        <v>8365</v>
      </c>
      <c r="RO43" s="11">
        <v>0</v>
      </c>
      <c r="RP43" s="11">
        <v>3510</v>
      </c>
      <c r="RQ43" s="11">
        <v>0</v>
      </c>
      <c r="RR43" s="11">
        <v>0</v>
      </c>
      <c r="RS43" s="11">
        <v>0</v>
      </c>
      <c r="RT43" s="11">
        <v>0</v>
      </c>
      <c r="RU43" s="11">
        <v>0</v>
      </c>
      <c r="RV43" s="11">
        <v>0</v>
      </c>
      <c r="RW43" s="11">
        <v>10620</v>
      </c>
      <c r="RX43" s="11">
        <v>0</v>
      </c>
      <c r="RY43" s="11">
        <v>0</v>
      </c>
      <c r="RZ43" s="11">
        <v>0</v>
      </c>
      <c r="SA43" s="11">
        <v>0</v>
      </c>
      <c r="SB43" s="11">
        <v>42751</v>
      </c>
      <c r="SC43" s="11">
        <v>0</v>
      </c>
      <c r="SD43" s="11">
        <v>0</v>
      </c>
      <c r="SE43" s="11">
        <v>12104</v>
      </c>
      <c r="SF43" s="11">
        <v>550</v>
      </c>
      <c r="SG43" s="11">
        <v>0</v>
      </c>
      <c r="SH43" s="11">
        <v>0</v>
      </c>
      <c r="SI43" s="11">
        <v>0</v>
      </c>
      <c r="SJ43" s="11">
        <v>0</v>
      </c>
      <c r="SK43" s="11">
        <v>0</v>
      </c>
      <c r="SL43" s="11">
        <v>0</v>
      </c>
      <c r="SM43" s="11">
        <v>0</v>
      </c>
      <c r="SN43" s="11">
        <v>47433.5</v>
      </c>
      <c r="SO43" s="11">
        <v>4642.5</v>
      </c>
      <c r="SP43" s="11">
        <v>3533</v>
      </c>
      <c r="SQ43" s="11">
        <v>0</v>
      </c>
      <c r="SR43" s="11">
        <v>0</v>
      </c>
      <c r="SS43" s="11">
        <v>1880</v>
      </c>
      <c r="ST43" s="11">
        <v>194</v>
      </c>
      <c r="SU43" s="11">
        <v>0</v>
      </c>
      <c r="SV43" s="11">
        <v>0</v>
      </c>
      <c r="SW43" s="11">
        <v>0</v>
      </c>
      <c r="SX43" s="11">
        <v>0</v>
      </c>
      <c r="SY43" s="11">
        <v>0</v>
      </c>
      <c r="SZ43" s="11">
        <v>0</v>
      </c>
      <c r="TA43" s="11">
        <v>0</v>
      </c>
      <c r="TB43" s="11">
        <v>0</v>
      </c>
      <c r="TC43" s="11">
        <v>0</v>
      </c>
      <c r="TD43" s="11">
        <v>0</v>
      </c>
      <c r="TE43" s="11">
        <v>0</v>
      </c>
      <c r="TF43" s="11">
        <v>0</v>
      </c>
      <c r="TG43" s="11">
        <v>0</v>
      </c>
      <c r="TH43" s="11">
        <v>0</v>
      </c>
      <c r="TI43" s="11">
        <v>0</v>
      </c>
      <c r="TJ43" s="11">
        <v>44003</v>
      </c>
      <c r="TK43" s="11">
        <v>0</v>
      </c>
      <c r="TL43" s="11">
        <v>0</v>
      </c>
      <c r="TM43" s="11">
        <v>0</v>
      </c>
      <c r="TN43" s="11">
        <v>0</v>
      </c>
      <c r="TO43" s="11">
        <v>0</v>
      </c>
      <c r="TP43" s="11">
        <v>0</v>
      </c>
      <c r="TQ43" s="11">
        <v>0</v>
      </c>
      <c r="TR43" s="11">
        <v>0</v>
      </c>
      <c r="TS43" s="11">
        <v>0</v>
      </c>
      <c r="TT43" s="11">
        <v>0</v>
      </c>
      <c r="TU43" s="11">
        <v>0</v>
      </c>
      <c r="TV43" s="11">
        <v>0</v>
      </c>
      <c r="TW43" s="11">
        <v>0</v>
      </c>
      <c r="TX43" s="11">
        <v>0</v>
      </c>
      <c r="TY43" s="11">
        <v>0</v>
      </c>
      <c r="TZ43" s="11">
        <v>0</v>
      </c>
      <c r="UA43" s="11">
        <v>0</v>
      </c>
      <c r="UB43" s="11">
        <v>0</v>
      </c>
      <c r="UC43" s="11">
        <v>0</v>
      </c>
      <c r="UD43" s="11">
        <v>0</v>
      </c>
      <c r="UE43" s="11">
        <v>0</v>
      </c>
      <c r="UF43" s="11">
        <v>256</v>
      </c>
      <c r="UG43" s="11">
        <v>0</v>
      </c>
      <c r="UH43" s="11">
        <v>0</v>
      </c>
      <c r="UI43" s="11">
        <v>0</v>
      </c>
      <c r="UJ43" s="11">
        <v>1270</v>
      </c>
      <c r="UK43" s="11">
        <v>0</v>
      </c>
      <c r="UL43" s="11">
        <v>49</v>
      </c>
      <c r="UM43" s="11">
        <v>0</v>
      </c>
      <c r="UN43" s="11">
        <v>0</v>
      </c>
      <c r="UO43" s="11">
        <v>0</v>
      </c>
      <c r="UP43" s="11">
        <v>0</v>
      </c>
      <c r="UQ43" s="11">
        <v>0</v>
      </c>
      <c r="UR43" s="11">
        <v>1093</v>
      </c>
      <c r="US43" s="11">
        <v>0</v>
      </c>
      <c r="UT43" s="11">
        <v>0</v>
      </c>
      <c r="UU43" s="11">
        <v>0</v>
      </c>
      <c r="UV43" s="11">
        <v>0</v>
      </c>
      <c r="UW43" s="11">
        <v>0</v>
      </c>
      <c r="UX43" s="11">
        <v>0</v>
      </c>
      <c r="UY43" s="11">
        <v>210</v>
      </c>
      <c r="UZ43" s="11">
        <v>2930</v>
      </c>
      <c r="VA43" s="11">
        <v>0</v>
      </c>
      <c r="VB43" s="11">
        <v>0</v>
      </c>
      <c r="VC43" s="11">
        <v>0</v>
      </c>
      <c r="VD43" s="11">
        <v>0</v>
      </c>
      <c r="VE43" s="11">
        <v>0</v>
      </c>
      <c r="VF43" s="11">
        <v>0</v>
      </c>
      <c r="VG43" s="11">
        <v>0</v>
      </c>
      <c r="VH43" s="11">
        <v>0</v>
      </c>
      <c r="VI43" s="11">
        <v>0</v>
      </c>
      <c r="VJ43" s="11">
        <v>0</v>
      </c>
      <c r="VK43" s="11">
        <v>2275</v>
      </c>
      <c r="VL43" s="11">
        <v>0</v>
      </c>
      <c r="VM43" s="11">
        <v>0</v>
      </c>
      <c r="VN43" s="11">
        <v>0</v>
      </c>
      <c r="VO43" s="11">
        <v>1305</v>
      </c>
      <c r="VP43" s="11">
        <v>0</v>
      </c>
      <c r="VQ43" s="11">
        <v>0</v>
      </c>
      <c r="VR43" s="11">
        <v>15198.75</v>
      </c>
      <c r="VS43" s="11">
        <v>18772.04</v>
      </c>
      <c r="VT43" s="11">
        <v>0</v>
      </c>
      <c r="VU43" s="11">
        <v>0</v>
      </c>
      <c r="VV43" s="11">
        <v>0</v>
      </c>
      <c r="VW43" s="11">
        <v>11695.3</v>
      </c>
      <c r="VX43" s="11">
        <v>13775.1</v>
      </c>
      <c r="VY43" s="11">
        <v>8446</v>
      </c>
      <c r="VZ43" s="11">
        <v>0</v>
      </c>
      <c r="WA43" s="11">
        <v>0</v>
      </c>
      <c r="WB43" s="11">
        <v>0</v>
      </c>
      <c r="WC43" s="11">
        <v>7708.5</v>
      </c>
      <c r="WD43" s="11">
        <v>0</v>
      </c>
      <c r="WE43" s="11">
        <v>5000</v>
      </c>
      <c r="WF43" s="11">
        <v>0</v>
      </c>
      <c r="WG43" s="11">
        <v>0</v>
      </c>
      <c r="WH43" s="11">
        <v>45249</v>
      </c>
      <c r="WI43" s="11">
        <v>0</v>
      </c>
      <c r="WJ43" s="11">
        <v>0</v>
      </c>
      <c r="WK43" s="11">
        <v>3000</v>
      </c>
      <c r="WL43" s="11">
        <v>179002</v>
      </c>
      <c r="WM43" s="11">
        <v>0</v>
      </c>
      <c r="WN43" s="11">
        <v>0</v>
      </c>
      <c r="WO43" s="11">
        <v>0</v>
      </c>
      <c r="WP43" s="11">
        <v>5529</v>
      </c>
      <c r="WQ43" s="11">
        <v>0</v>
      </c>
      <c r="WR43" s="11">
        <v>0</v>
      </c>
      <c r="WS43" s="11">
        <v>0</v>
      </c>
      <c r="WT43" s="11">
        <v>81.5</v>
      </c>
      <c r="WU43" s="11">
        <v>76623.25</v>
      </c>
      <c r="WV43" s="11">
        <v>5000</v>
      </c>
      <c r="WW43" s="11">
        <v>0</v>
      </c>
      <c r="WX43" s="11">
        <v>0</v>
      </c>
      <c r="WY43" s="11">
        <v>0</v>
      </c>
      <c r="WZ43" s="11">
        <v>23657</v>
      </c>
      <c r="XA43" s="11">
        <v>0</v>
      </c>
      <c r="XB43" s="11">
        <v>9203</v>
      </c>
      <c r="XC43" s="11">
        <v>0</v>
      </c>
      <c r="XD43" s="11">
        <v>50000</v>
      </c>
      <c r="XE43" s="11">
        <v>0</v>
      </c>
      <c r="XF43" s="11">
        <v>125795</v>
      </c>
      <c r="XG43" s="11">
        <v>5000</v>
      </c>
      <c r="XH43" s="11">
        <v>49525</v>
      </c>
      <c r="XI43" s="11">
        <v>2200</v>
      </c>
      <c r="XJ43" s="11">
        <v>0</v>
      </c>
      <c r="XK43" s="11">
        <v>0</v>
      </c>
      <c r="XL43" s="11">
        <v>0</v>
      </c>
      <c r="XM43" s="11">
        <v>2145</v>
      </c>
      <c r="XN43" s="11">
        <v>0</v>
      </c>
      <c r="XO43" s="11">
        <v>0</v>
      </c>
      <c r="XP43" s="11">
        <v>0</v>
      </c>
      <c r="XQ43" s="11">
        <v>9</v>
      </c>
      <c r="XR43" s="11">
        <v>0</v>
      </c>
      <c r="XS43" s="11">
        <v>0</v>
      </c>
      <c r="XT43" s="11">
        <v>0</v>
      </c>
      <c r="XU43" s="11">
        <v>2016</v>
      </c>
      <c r="XV43" s="11">
        <v>0</v>
      </c>
      <c r="XW43" s="11">
        <v>0</v>
      </c>
      <c r="XX43" s="11">
        <v>0</v>
      </c>
      <c r="XY43" s="11">
        <v>0</v>
      </c>
      <c r="XZ43" s="11">
        <v>0</v>
      </c>
      <c r="YA43" s="11">
        <v>0</v>
      </c>
      <c r="YB43" s="11">
        <v>0</v>
      </c>
      <c r="YC43" s="11">
        <v>0</v>
      </c>
      <c r="YD43" s="11">
        <v>0</v>
      </c>
      <c r="YE43" s="11">
        <v>0</v>
      </c>
      <c r="YF43" s="11">
        <v>0</v>
      </c>
      <c r="YG43" s="11">
        <v>0</v>
      </c>
      <c r="YH43" s="11">
        <v>0</v>
      </c>
      <c r="YI43" s="11">
        <v>0</v>
      </c>
      <c r="YJ43" s="11">
        <v>0</v>
      </c>
      <c r="YK43" s="11">
        <v>0</v>
      </c>
      <c r="YL43" s="11">
        <v>0</v>
      </c>
      <c r="YM43" s="11">
        <v>0</v>
      </c>
      <c r="YN43" s="11">
        <v>40</v>
      </c>
      <c r="YO43" s="11">
        <v>0</v>
      </c>
      <c r="YP43" s="11">
        <v>0</v>
      </c>
      <c r="YQ43" s="11">
        <v>0</v>
      </c>
      <c r="YR43" s="11">
        <v>0</v>
      </c>
      <c r="YS43" s="11">
        <v>0</v>
      </c>
      <c r="YT43" s="11">
        <v>0</v>
      </c>
      <c r="YU43" s="11">
        <v>0</v>
      </c>
      <c r="YV43" s="11">
        <v>0</v>
      </c>
      <c r="YW43" s="11">
        <v>0</v>
      </c>
      <c r="YX43" s="11">
        <v>0</v>
      </c>
      <c r="YY43" s="11">
        <v>0</v>
      </c>
      <c r="YZ43" s="11">
        <v>0</v>
      </c>
      <c r="ZA43" s="11">
        <v>0</v>
      </c>
      <c r="ZB43" s="11">
        <v>4137</v>
      </c>
      <c r="ZC43" s="11">
        <v>6629</v>
      </c>
      <c r="ZD43" s="11">
        <v>0</v>
      </c>
      <c r="ZE43" s="11">
        <v>0</v>
      </c>
      <c r="ZF43" s="11">
        <v>2205</v>
      </c>
      <c r="ZG43" s="11">
        <v>0</v>
      </c>
      <c r="ZH43" s="11">
        <v>0</v>
      </c>
      <c r="ZI43" s="11">
        <v>604</v>
      </c>
      <c r="ZJ43" s="11">
        <v>0</v>
      </c>
      <c r="ZK43" s="11">
        <v>0</v>
      </c>
      <c r="ZL43" s="11">
        <v>1838.81</v>
      </c>
      <c r="ZM43" s="11">
        <v>0</v>
      </c>
      <c r="ZN43" s="11">
        <v>0</v>
      </c>
      <c r="ZO43" s="11">
        <v>0</v>
      </c>
      <c r="ZP43" s="11">
        <v>0</v>
      </c>
      <c r="ZQ43" s="11">
        <v>0</v>
      </c>
      <c r="ZR43" s="11">
        <v>0</v>
      </c>
      <c r="ZS43" s="11">
        <v>0</v>
      </c>
      <c r="ZT43" s="11">
        <v>0</v>
      </c>
      <c r="ZU43" s="11">
        <v>0</v>
      </c>
      <c r="ZV43" s="11">
        <v>0</v>
      </c>
      <c r="ZW43" s="11">
        <v>95.5</v>
      </c>
      <c r="ZX43" s="11">
        <v>0</v>
      </c>
      <c r="ZY43" s="11">
        <v>0</v>
      </c>
      <c r="ZZ43" s="11">
        <v>0</v>
      </c>
      <c r="AAA43" s="11">
        <v>0</v>
      </c>
      <c r="AAB43" s="11">
        <v>0</v>
      </c>
      <c r="AAC43" s="11">
        <v>0</v>
      </c>
      <c r="AAD43" s="11">
        <v>0</v>
      </c>
      <c r="AAE43" s="11">
        <v>0</v>
      </c>
      <c r="AAF43" s="11">
        <v>0</v>
      </c>
      <c r="AAG43" s="11">
        <v>0</v>
      </c>
      <c r="AAH43" s="11">
        <v>0</v>
      </c>
      <c r="AAI43" s="11">
        <v>0</v>
      </c>
      <c r="AAJ43" s="11">
        <v>0</v>
      </c>
      <c r="AAK43" s="11">
        <v>11601</v>
      </c>
      <c r="AAL43" s="11">
        <v>0</v>
      </c>
      <c r="AAM43" s="11">
        <v>0</v>
      </c>
      <c r="AAN43" s="11">
        <v>0</v>
      </c>
      <c r="AAO43" s="11">
        <v>2950</v>
      </c>
      <c r="AAP43" s="11">
        <v>0</v>
      </c>
      <c r="AAQ43" s="11">
        <v>0</v>
      </c>
      <c r="AAR43" s="11">
        <v>0</v>
      </c>
      <c r="AAS43" s="11">
        <v>0</v>
      </c>
      <c r="AAT43" s="11">
        <v>0</v>
      </c>
      <c r="AAU43" s="11">
        <v>0</v>
      </c>
      <c r="AAV43" s="11">
        <v>0</v>
      </c>
      <c r="AAW43" s="11">
        <v>0</v>
      </c>
      <c r="AAX43" s="11">
        <v>0</v>
      </c>
      <c r="AAY43" s="11">
        <v>0</v>
      </c>
      <c r="AAZ43" s="11">
        <v>0</v>
      </c>
      <c r="ABA43" s="11">
        <v>0</v>
      </c>
      <c r="ABB43" s="11">
        <v>0</v>
      </c>
      <c r="ABC43" s="11">
        <v>340</v>
      </c>
      <c r="ABD43" s="11">
        <v>0</v>
      </c>
      <c r="ABE43" s="11">
        <v>0</v>
      </c>
      <c r="ABF43" s="11">
        <v>0</v>
      </c>
      <c r="ABG43" s="11">
        <v>0</v>
      </c>
      <c r="ABH43" s="11">
        <v>0</v>
      </c>
      <c r="ABI43" s="11">
        <v>83784</v>
      </c>
      <c r="ABJ43" s="11">
        <v>329</v>
      </c>
      <c r="ABK43" s="11">
        <v>0</v>
      </c>
      <c r="ABL43" s="11">
        <v>0</v>
      </c>
      <c r="ABM43" s="11">
        <v>0</v>
      </c>
      <c r="ABN43" s="11">
        <v>0</v>
      </c>
      <c r="ABO43" s="11">
        <v>0</v>
      </c>
      <c r="ABP43" s="11">
        <v>221163.36</v>
      </c>
      <c r="ABQ43" s="11">
        <v>5600</v>
      </c>
      <c r="ABR43" s="11">
        <v>15587.68</v>
      </c>
      <c r="ABS43" s="11">
        <v>0</v>
      </c>
      <c r="ABT43" s="11">
        <v>0</v>
      </c>
      <c r="ABU43" s="11">
        <v>0</v>
      </c>
      <c r="ABV43" s="11">
        <v>0</v>
      </c>
      <c r="ABW43" s="11">
        <v>0</v>
      </c>
      <c r="ABX43" s="11">
        <v>0</v>
      </c>
      <c r="ABY43" s="11">
        <v>0</v>
      </c>
      <c r="ABZ43" s="11">
        <v>4308403</v>
      </c>
      <c r="ACA43" s="11">
        <v>38662.25</v>
      </c>
      <c r="ACB43" s="11">
        <v>0</v>
      </c>
      <c r="ACC43" s="11">
        <v>103053.9</v>
      </c>
      <c r="ACD43" s="11">
        <v>50829</v>
      </c>
      <c r="ACE43" s="11">
        <v>147668</v>
      </c>
      <c r="ACF43" s="11">
        <v>0</v>
      </c>
      <c r="ACG43" s="11">
        <v>0</v>
      </c>
      <c r="ACH43" s="11">
        <v>170</v>
      </c>
      <c r="ACI43" s="11">
        <v>-29657.03</v>
      </c>
      <c r="ACJ43" s="11">
        <v>0</v>
      </c>
      <c r="ACK43" s="11">
        <v>0</v>
      </c>
      <c r="ACL43" s="11">
        <v>0</v>
      </c>
      <c r="ACM43" s="11">
        <v>0</v>
      </c>
      <c r="ACN43" s="11">
        <v>0</v>
      </c>
      <c r="ACO43" s="11">
        <v>0</v>
      </c>
      <c r="ACP43" s="11">
        <v>0</v>
      </c>
      <c r="ACQ43" s="11">
        <v>0</v>
      </c>
      <c r="ACR43" s="11">
        <v>0</v>
      </c>
      <c r="ACS43" s="11">
        <v>0</v>
      </c>
      <c r="ACT43" s="11">
        <v>0</v>
      </c>
      <c r="ACU43" s="11">
        <v>0</v>
      </c>
      <c r="ACV43" s="11">
        <v>0</v>
      </c>
      <c r="ACW43" s="11">
        <v>0</v>
      </c>
      <c r="ACX43" s="11">
        <v>0</v>
      </c>
      <c r="ACY43" s="11">
        <v>0</v>
      </c>
      <c r="ACZ43" s="11">
        <v>0</v>
      </c>
      <c r="ADA43" s="11">
        <v>0</v>
      </c>
      <c r="ADB43" s="11">
        <v>0</v>
      </c>
      <c r="ADC43" s="11">
        <v>0</v>
      </c>
      <c r="ADD43" s="11">
        <v>0</v>
      </c>
      <c r="ADE43" s="11">
        <v>0</v>
      </c>
      <c r="ADF43" s="11">
        <v>0</v>
      </c>
      <c r="ADG43" s="11">
        <v>0</v>
      </c>
      <c r="ADH43" s="11">
        <v>0</v>
      </c>
      <c r="ADI43" s="11">
        <v>0</v>
      </c>
      <c r="ADJ43" s="11">
        <v>7030</v>
      </c>
      <c r="ADK43" s="11">
        <v>0</v>
      </c>
      <c r="ADL43" s="11">
        <v>0</v>
      </c>
      <c r="ADM43" s="11">
        <v>0</v>
      </c>
      <c r="ADN43" s="11">
        <v>3180.85</v>
      </c>
      <c r="ADO43" s="11">
        <v>9600</v>
      </c>
      <c r="ADP43" s="11">
        <v>0</v>
      </c>
      <c r="ADQ43" s="11">
        <v>0</v>
      </c>
      <c r="ADR43" s="11">
        <v>0</v>
      </c>
      <c r="ADS43" s="11">
        <v>0</v>
      </c>
      <c r="ADT43" s="11">
        <v>0</v>
      </c>
      <c r="ADU43" s="11">
        <v>0</v>
      </c>
      <c r="ADV43" s="11">
        <v>0</v>
      </c>
      <c r="ADW43" s="11">
        <v>0</v>
      </c>
      <c r="ADX43" s="11">
        <v>0</v>
      </c>
      <c r="ADY43" s="11">
        <v>0</v>
      </c>
      <c r="ADZ43" s="11">
        <v>93300</v>
      </c>
      <c r="AEA43" s="11">
        <v>36746</v>
      </c>
      <c r="AEB43" s="11">
        <v>0</v>
      </c>
      <c r="AEC43" s="11">
        <v>0</v>
      </c>
      <c r="AED43" s="11">
        <v>0</v>
      </c>
      <c r="AEE43" s="11">
        <v>0</v>
      </c>
      <c r="AEF43" s="11">
        <v>0</v>
      </c>
      <c r="AEG43" s="11">
        <v>0</v>
      </c>
      <c r="AEH43" s="11">
        <v>0</v>
      </c>
      <c r="AEI43" s="11">
        <v>0</v>
      </c>
      <c r="AEJ43" s="11">
        <v>0</v>
      </c>
      <c r="AEK43" s="11">
        <v>0</v>
      </c>
      <c r="AEL43" s="11">
        <v>0</v>
      </c>
      <c r="AEM43" s="11">
        <v>0</v>
      </c>
      <c r="AEN43" s="11">
        <v>0</v>
      </c>
      <c r="AEO43" s="11">
        <v>0</v>
      </c>
      <c r="AEP43" s="11">
        <v>0</v>
      </c>
      <c r="AEQ43" s="11">
        <v>300</v>
      </c>
      <c r="AER43" s="11">
        <v>0</v>
      </c>
      <c r="AES43" s="11">
        <v>0</v>
      </c>
      <c r="AET43" s="11">
        <v>100000</v>
      </c>
      <c r="AEU43" s="11">
        <v>0</v>
      </c>
      <c r="AEV43" s="11">
        <v>0</v>
      </c>
      <c r="AEW43" s="11">
        <v>10000</v>
      </c>
      <c r="AEX43" s="11">
        <v>8000</v>
      </c>
      <c r="AEY43" s="11">
        <v>0</v>
      </c>
      <c r="AEZ43" s="11">
        <v>40000</v>
      </c>
      <c r="AFA43" s="11">
        <v>0</v>
      </c>
      <c r="AFB43" s="11">
        <v>0</v>
      </c>
      <c r="AFC43" s="11">
        <v>10000</v>
      </c>
      <c r="AFD43" s="11">
        <v>94044.71</v>
      </c>
      <c r="AFE43" s="11">
        <v>0</v>
      </c>
      <c r="AFF43" s="11">
        <v>44207.39</v>
      </c>
      <c r="AFG43" s="11">
        <v>22325</v>
      </c>
      <c r="AFH43" s="11">
        <v>438.4</v>
      </c>
      <c r="AFI43" s="11">
        <v>0</v>
      </c>
      <c r="AFJ43" s="11">
        <v>0</v>
      </c>
      <c r="AFK43" s="11">
        <v>0</v>
      </c>
      <c r="AFL43" s="11">
        <v>2217</v>
      </c>
      <c r="AFM43" s="11">
        <v>0</v>
      </c>
      <c r="AFN43" s="11">
        <v>3080</v>
      </c>
      <c r="AFO43" s="11">
        <v>17985.5</v>
      </c>
      <c r="AFP43" s="11">
        <v>36496</v>
      </c>
      <c r="AFQ43" s="11">
        <v>31099</v>
      </c>
      <c r="AFR43" s="11">
        <v>0</v>
      </c>
      <c r="AFS43" s="11">
        <v>4193.3</v>
      </c>
      <c r="AFT43" s="11">
        <v>0</v>
      </c>
      <c r="AFU43" s="11">
        <v>4576</v>
      </c>
      <c r="AFV43" s="11">
        <v>13669.41</v>
      </c>
      <c r="AFW43" s="11">
        <v>13172.58</v>
      </c>
      <c r="AFX43" s="11">
        <v>7374.05</v>
      </c>
      <c r="AFY43" s="11">
        <v>17048.439999999999</v>
      </c>
      <c r="AFZ43" s="11">
        <v>42457.35</v>
      </c>
      <c r="AGA43" s="11">
        <v>2757.78</v>
      </c>
      <c r="AGB43" s="11">
        <v>18378</v>
      </c>
      <c r="AGC43" s="11">
        <v>0</v>
      </c>
      <c r="AGD43" s="11">
        <v>23847</v>
      </c>
      <c r="AGE43" s="11">
        <v>0</v>
      </c>
      <c r="AGF43" s="11">
        <v>3803</v>
      </c>
      <c r="AGG43" s="11">
        <v>0</v>
      </c>
      <c r="AGH43" s="11">
        <v>770700</v>
      </c>
      <c r="AGI43" s="11">
        <v>0</v>
      </c>
      <c r="AGJ43" s="11">
        <v>0</v>
      </c>
      <c r="AGK43" s="11">
        <v>0</v>
      </c>
      <c r="AGL43" s="11">
        <v>8077.75</v>
      </c>
      <c r="AGM43" s="11">
        <v>527663</v>
      </c>
      <c r="AGN43" s="11">
        <v>36945</v>
      </c>
      <c r="AGO43" s="11">
        <v>0</v>
      </c>
      <c r="AGP43" s="11">
        <v>18910</v>
      </c>
      <c r="AGQ43" s="11">
        <v>3541</v>
      </c>
      <c r="AGR43" s="11">
        <v>3000</v>
      </c>
      <c r="AGS43" s="11">
        <v>6435</v>
      </c>
      <c r="AGT43" s="11">
        <v>6284</v>
      </c>
      <c r="AGU43" s="11">
        <v>13591.5</v>
      </c>
      <c r="AGV43" s="11">
        <v>0</v>
      </c>
      <c r="AGW43" s="11">
        <v>0</v>
      </c>
      <c r="AGX43" s="11">
        <v>0</v>
      </c>
      <c r="AGY43" s="11">
        <v>0</v>
      </c>
      <c r="AGZ43" s="11">
        <v>62143</v>
      </c>
      <c r="AHA43" s="11">
        <v>0</v>
      </c>
      <c r="AHB43" s="11">
        <v>0</v>
      </c>
      <c r="AHC43" s="11">
        <v>0</v>
      </c>
      <c r="AHD43" s="11">
        <v>0</v>
      </c>
      <c r="AHE43" s="11">
        <v>0</v>
      </c>
      <c r="AHF43" s="11">
        <v>0</v>
      </c>
      <c r="AHG43" s="11">
        <v>0</v>
      </c>
      <c r="AHH43" s="11">
        <v>0</v>
      </c>
      <c r="AHI43" s="11">
        <v>0</v>
      </c>
      <c r="AHJ43" s="11">
        <v>0</v>
      </c>
      <c r="AHK43" s="11">
        <v>0</v>
      </c>
      <c r="AHL43" s="11">
        <v>0</v>
      </c>
      <c r="AHM43" s="11">
        <v>0</v>
      </c>
      <c r="AHN43" s="11">
        <v>0</v>
      </c>
      <c r="AHO43" s="11">
        <v>20358</v>
      </c>
      <c r="AHP43" s="11">
        <v>0</v>
      </c>
      <c r="AHQ43" s="11">
        <v>60000</v>
      </c>
      <c r="AHR43" s="11">
        <v>0</v>
      </c>
      <c r="AHS43" s="11">
        <v>20000</v>
      </c>
      <c r="AHT43" s="11">
        <v>16732287.847000003</v>
      </c>
    </row>
    <row r="44" spans="2:905" x14ac:dyDescent="0.7">
      <c r="B44" s="6" t="s">
        <v>6037</v>
      </c>
      <c r="C44" s="6" t="s">
        <v>6455</v>
      </c>
      <c r="D44" s="11">
        <v>38160989.619999997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>
        <v>265499098.91999999</v>
      </c>
      <c r="W44" s="11">
        <v>1986608</v>
      </c>
      <c r="X44" s="11"/>
      <c r="Y44" s="11"/>
      <c r="Z44" s="11"/>
      <c r="AA44" s="11"/>
      <c r="AB44" s="11"/>
      <c r="AC44" s="11">
        <v>590692.75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25749599.690000001</v>
      </c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>
        <v>39883730.079999998</v>
      </c>
      <c r="BJ44" s="11">
        <v>21705765.489999998</v>
      </c>
      <c r="BK44" s="11"/>
      <c r="BL44" s="11"/>
      <c r="BM44" s="11"/>
      <c r="BN44" s="11"/>
      <c r="BO44" s="11"/>
      <c r="BP44" s="11"/>
      <c r="BQ44" s="11"/>
      <c r="BR44" s="11">
        <v>157142948.5</v>
      </c>
      <c r="BS44" s="11"/>
      <c r="BT44" s="11"/>
      <c r="BU44" s="11"/>
      <c r="BV44" s="11"/>
      <c r="BW44" s="11"/>
      <c r="BX44" s="11"/>
      <c r="BY44" s="11"/>
      <c r="BZ44" s="11">
        <v>3663059.2</v>
      </c>
      <c r="CA44" s="11"/>
      <c r="CB44" s="11"/>
      <c r="CC44" s="11"/>
      <c r="CD44" s="11"/>
      <c r="CE44" s="11"/>
      <c r="CF44" s="11"/>
      <c r="CG44" s="11">
        <v>406808035.70999998</v>
      </c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>
        <v>65452902.829999998</v>
      </c>
      <c r="CU44" s="11"/>
      <c r="CV44" s="11"/>
      <c r="CW44" s="11"/>
      <c r="CX44" s="11"/>
      <c r="CY44" s="11"/>
      <c r="CZ44" s="11"/>
      <c r="DA44" s="11"/>
      <c r="DB44" s="11">
        <v>375444.7</v>
      </c>
      <c r="DC44" s="11">
        <v>2903755.88</v>
      </c>
      <c r="DD44" s="11"/>
      <c r="DE44" s="11"/>
      <c r="DF44" s="11"/>
      <c r="DG44" s="11"/>
      <c r="DH44" s="11"/>
      <c r="DI44" s="11"/>
      <c r="DJ44" s="11"/>
      <c r="DK44" s="11">
        <v>23624110.18</v>
      </c>
      <c r="DL44" s="11"/>
      <c r="DM44" s="11"/>
      <c r="DN44" s="11"/>
      <c r="DO44" s="11"/>
      <c r="DP44" s="11"/>
      <c r="DQ44" s="11"/>
      <c r="DR44" s="11"/>
      <c r="DS44" s="11"/>
      <c r="DT44" s="11">
        <v>56308637.030000001</v>
      </c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>
        <v>51650154.899999999</v>
      </c>
      <c r="EF44" s="11">
        <v>39502058.460000001</v>
      </c>
      <c r="EG44" s="11"/>
      <c r="EH44" s="11"/>
      <c r="EI44" s="11">
        <v>1613364.72</v>
      </c>
      <c r="EJ44" s="11"/>
      <c r="EK44" s="11"/>
      <c r="EL44" s="11"/>
      <c r="EM44" s="11"/>
      <c r="EN44" s="11">
        <v>143661880.16999999</v>
      </c>
      <c r="EO44" s="11"/>
      <c r="EP44" s="11"/>
      <c r="EQ44" s="11"/>
      <c r="ER44" s="11"/>
      <c r="ES44" s="11"/>
      <c r="ET44" s="11"/>
      <c r="EU44" s="11"/>
      <c r="EV44" s="11"/>
      <c r="EW44" s="11">
        <v>55639065.450000003</v>
      </c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>
        <v>153293025.53999999</v>
      </c>
      <c r="FJ44" s="11"/>
      <c r="FK44" s="11"/>
      <c r="FL44" s="11"/>
      <c r="FM44" s="11"/>
      <c r="FN44" s="11"/>
      <c r="FO44" s="11"/>
      <c r="FP44" s="11"/>
      <c r="FQ44" s="11">
        <v>132972303.8</v>
      </c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>
        <v>13823171.25</v>
      </c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>
        <v>226274039.34</v>
      </c>
      <c r="GR44" s="11"/>
      <c r="GS44" s="11"/>
      <c r="GT44" s="11"/>
      <c r="GU44" s="11"/>
      <c r="GV44" s="11"/>
      <c r="GW44" s="11"/>
      <c r="GX44" s="11"/>
      <c r="GY44" s="11">
        <v>7995877.9900000002</v>
      </c>
      <c r="GZ44" s="11"/>
      <c r="HA44" s="11"/>
      <c r="HB44" s="11"/>
      <c r="HC44" s="11">
        <v>112796807.15000001</v>
      </c>
      <c r="HD44" s="11"/>
      <c r="HE44" s="11"/>
      <c r="HF44" s="11"/>
      <c r="HG44" s="11"/>
      <c r="HH44" s="11"/>
      <c r="HI44" s="11"/>
      <c r="HJ44" s="11"/>
      <c r="HK44" s="11">
        <v>14628415.09</v>
      </c>
      <c r="HL44" s="11"/>
      <c r="HM44" s="11"/>
      <c r="HN44" s="11"/>
      <c r="HO44" s="11"/>
      <c r="HP44" s="11"/>
      <c r="HQ44" s="11"/>
      <c r="HR44" s="11"/>
      <c r="HS44" s="11">
        <v>1584119.4955</v>
      </c>
      <c r="HT44" s="11">
        <v>18297997.670000002</v>
      </c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>
        <v>1727175.06</v>
      </c>
      <c r="IJ44" s="11">
        <v>3425803.31</v>
      </c>
      <c r="IK44" s="11"/>
      <c r="IL44" s="11"/>
      <c r="IM44" s="11"/>
      <c r="IN44" s="11"/>
      <c r="IO44" s="11"/>
      <c r="IP44" s="11"/>
      <c r="IQ44" s="11"/>
      <c r="IR44" s="11"/>
      <c r="IS44" s="11"/>
      <c r="IT44" s="11">
        <v>21917895.510000002</v>
      </c>
      <c r="IU44" s="11">
        <v>1807622.05</v>
      </c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>
        <v>29059747.879999999</v>
      </c>
      <c r="JG44" s="11">
        <v>8233340.1500000004</v>
      </c>
      <c r="JH44" s="11"/>
      <c r="JI44" s="11">
        <v>24878</v>
      </c>
      <c r="JJ44" s="11"/>
      <c r="JK44" s="11"/>
      <c r="JL44" s="11">
        <v>45227128.310000002</v>
      </c>
      <c r="JM44" s="11"/>
      <c r="JN44" s="11"/>
      <c r="JO44" s="11"/>
      <c r="JP44" s="11"/>
      <c r="JQ44" s="11"/>
      <c r="JR44" s="11"/>
      <c r="JS44" s="11">
        <v>10300483.470000001</v>
      </c>
      <c r="JT44" s="11">
        <v>33164772.41</v>
      </c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>
        <v>232308712.25</v>
      </c>
      <c r="KJ44" s="11"/>
      <c r="KK44" s="11"/>
      <c r="KL44" s="11"/>
      <c r="KM44" s="11"/>
      <c r="KN44" s="11"/>
      <c r="KO44" s="11"/>
      <c r="KP44" s="11"/>
      <c r="KQ44" s="11"/>
      <c r="KR44" s="11">
        <v>20645431.949999999</v>
      </c>
      <c r="KS44" s="11"/>
      <c r="KT44" s="11"/>
      <c r="KU44" s="11"/>
      <c r="KV44" s="11"/>
      <c r="KW44" s="11"/>
      <c r="KX44" s="11">
        <v>1400020.99</v>
      </c>
      <c r="KY44" s="11"/>
      <c r="KZ44" s="11">
        <v>602849982.53999996</v>
      </c>
      <c r="LA44" s="11"/>
      <c r="LB44" s="11"/>
      <c r="LC44" s="11"/>
      <c r="LD44" s="11"/>
      <c r="LE44" s="11"/>
      <c r="LF44" s="11"/>
      <c r="LG44" s="11"/>
      <c r="LH44" s="11">
        <v>189157947.59</v>
      </c>
      <c r="LI44" s="11">
        <v>62757641.759999998</v>
      </c>
      <c r="LJ44" s="11">
        <v>40179747.170000002</v>
      </c>
      <c r="LK44" s="11">
        <v>2595004.81</v>
      </c>
      <c r="LL44" s="11"/>
      <c r="LM44" s="11"/>
      <c r="LN44" s="11"/>
      <c r="LO44" s="11"/>
      <c r="LP44" s="11"/>
      <c r="LQ44" s="11"/>
      <c r="LR44" s="11"/>
      <c r="LS44" s="11">
        <v>860492.54</v>
      </c>
      <c r="LT44" s="11"/>
      <c r="LU44" s="11"/>
      <c r="LV44" s="11">
        <v>301024991.75</v>
      </c>
      <c r="LW44" s="11">
        <v>14198900.25</v>
      </c>
      <c r="LX44" s="11">
        <v>16996298.940000001</v>
      </c>
      <c r="LY44" s="11">
        <v>2003190.03</v>
      </c>
      <c r="LZ44" s="11"/>
      <c r="MA44" s="11"/>
      <c r="MB44" s="11"/>
      <c r="MC44" s="11"/>
      <c r="MD44" s="11"/>
      <c r="ME44" s="11"/>
      <c r="MF44" s="11"/>
      <c r="MG44" s="11"/>
      <c r="MH44" s="11">
        <v>215029518.46000001</v>
      </c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>
        <v>5017801.2</v>
      </c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>
        <v>157407619.65000001</v>
      </c>
      <c r="NF44" s="11"/>
      <c r="NG44" s="11"/>
      <c r="NH44" s="11">
        <v>34875179.57</v>
      </c>
      <c r="NI44" s="11"/>
      <c r="NJ44" s="11"/>
      <c r="NK44" s="11"/>
      <c r="NL44" s="11"/>
      <c r="NM44" s="11"/>
      <c r="NN44" s="11"/>
      <c r="NO44" s="11"/>
      <c r="NP44" s="11"/>
      <c r="NQ44" s="11">
        <v>42777138.600000001</v>
      </c>
      <c r="NR44" s="11"/>
      <c r="NS44" s="11"/>
      <c r="NT44" s="11"/>
      <c r="NU44" s="11"/>
      <c r="NV44" s="11"/>
      <c r="NW44" s="11"/>
      <c r="NX44" s="11">
        <v>33082244.52</v>
      </c>
      <c r="NY44" s="11"/>
      <c r="NZ44" s="11"/>
      <c r="OA44" s="11"/>
      <c r="OB44" s="11"/>
      <c r="OC44" s="11"/>
      <c r="OD44" s="11"/>
      <c r="OE44" s="11">
        <v>130360110.52</v>
      </c>
      <c r="OF44" s="11">
        <v>983506</v>
      </c>
      <c r="OG44" s="11"/>
      <c r="OH44" s="11">
        <v>2425923.5</v>
      </c>
      <c r="OI44" s="11">
        <v>684393.5</v>
      </c>
      <c r="OJ44" s="11"/>
      <c r="OK44" s="11"/>
      <c r="OL44" s="11"/>
      <c r="OM44" s="11"/>
      <c r="ON44" s="11">
        <v>80195209.079999998</v>
      </c>
      <c r="OO44" s="11"/>
      <c r="OP44" s="11"/>
      <c r="OQ44" s="11"/>
      <c r="OR44" s="11"/>
      <c r="OS44" s="11"/>
      <c r="OT44" s="11">
        <v>24671679.809999999</v>
      </c>
      <c r="OU44" s="11"/>
      <c r="OV44" s="11"/>
      <c r="OW44" s="11"/>
      <c r="OX44" s="11"/>
      <c r="OY44" s="11">
        <v>1707702</v>
      </c>
      <c r="OZ44" s="11"/>
      <c r="PA44" s="11"/>
      <c r="PB44" s="11"/>
      <c r="PC44" s="11">
        <v>27286903.039999999</v>
      </c>
      <c r="PD44" s="11">
        <v>267573.43</v>
      </c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>
        <v>59415317.340000004</v>
      </c>
      <c r="PV44" s="11"/>
      <c r="PW44" s="11"/>
      <c r="PX44" s="11"/>
      <c r="PY44" s="11">
        <v>650440</v>
      </c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>
        <v>7904951</v>
      </c>
      <c r="QP44" s="11"/>
      <c r="QQ44" s="11"/>
      <c r="QR44" s="11"/>
      <c r="QS44" s="11"/>
      <c r="QT44" s="11"/>
      <c r="QU44" s="11">
        <v>196868904.78999999</v>
      </c>
      <c r="QV44" s="11"/>
      <c r="QW44" s="11"/>
      <c r="QX44" s="11"/>
      <c r="QY44" s="11"/>
      <c r="QZ44" s="11"/>
      <c r="RA44" s="11"/>
      <c r="RB44" s="11"/>
      <c r="RC44" s="11">
        <v>1114307</v>
      </c>
      <c r="RD44" s="11"/>
      <c r="RE44" s="11"/>
      <c r="RF44" s="11"/>
      <c r="RG44" s="11"/>
      <c r="RH44" s="11">
        <v>128198884.45</v>
      </c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>
        <v>239781</v>
      </c>
      <c r="RX44" s="11"/>
      <c r="RY44" s="11"/>
      <c r="RZ44" s="11"/>
      <c r="SA44" s="11"/>
      <c r="SB44" s="11">
        <v>15430720.609999999</v>
      </c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>
        <v>2006562.2</v>
      </c>
      <c r="SO44" s="11"/>
      <c r="SP44" s="11"/>
      <c r="SQ44" s="11"/>
      <c r="SR44" s="11"/>
      <c r="SS44" s="11"/>
      <c r="ST44" s="11"/>
      <c r="SU44" s="11"/>
      <c r="SV44" s="11">
        <v>4808203</v>
      </c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>
        <v>20453439.199999999</v>
      </c>
      <c r="TK44" s="11"/>
      <c r="TL44" s="11"/>
      <c r="TM44" s="11"/>
      <c r="TN44" s="11"/>
      <c r="TO44" s="11"/>
      <c r="TP44" s="11"/>
      <c r="TQ44" s="11">
        <v>966060</v>
      </c>
      <c r="TR44" s="11"/>
      <c r="TS44" s="11"/>
      <c r="TT44" s="11"/>
      <c r="TU44" s="11"/>
      <c r="TV44" s="11"/>
      <c r="TW44" s="11"/>
      <c r="TX44" s="11"/>
      <c r="TY44" s="11"/>
      <c r="TZ44" s="11">
        <v>3301765</v>
      </c>
      <c r="UA44" s="11"/>
      <c r="UB44" s="11">
        <v>13528500.189999999</v>
      </c>
      <c r="UC44" s="11"/>
      <c r="UD44" s="11"/>
      <c r="UE44" s="11"/>
      <c r="UF44" s="11"/>
      <c r="UG44" s="11"/>
      <c r="UH44" s="11"/>
      <c r="UI44" s="11"/>
      <c r="UJ44" s="11"/>
      <c r="UK44" s="11">
        <v>3607930.46</v>
      </c>
      <c r="UL44" s="11"/>
      <c r="UM44" s="11"/>
      <c r="UN44" s="11"/>
      <c r="UO44" s="11"/>
      <c r="UP44" s="11"/>
      <c r="UQ44" s="11">
        <v>74110412.530000001</v>
      </c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>
        <v>163599946.97999999</v>
      </c>
      <c r="VN44" s="11"/>
      <c r="VO44" s="11"/>
      <c r="VP44" s="11"/>
      <c r="VQ44" s="11"/>
      <c r="VR44" s="11"/>
      <c r="VS44" s="11"/>
      <c r="VT44" s="11"/>
      <c r="VU44" s="11"/>
      <c r="VV44" s="11">
        <v>89098246.290000007</v>
      </c>
      <c r="VW44" s="11"/>
      <c r="VX44" s="11"/>
      <c r="VY44" s="11"/>
      <c r="VZ44" s="11"/>
      <c r="WA44" s="11"/>
      <c r="WB44" s="11">
        <v>193003488.69999999</v>
      </c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>
        <v>12393433.199999999</v>
      </c>
      <c r="WQ44" s="11"/>
      <c r="WR44" s="11"/>
      <c r="WS44" s="11"/>
      <c r="WT44" s="11"/>
      <c r="WU44" s="11"/>
      <c r="WV44" s="11">
        <v>121723775.37</v>
      </c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>
        <v>738925049.63</v>
      </c>
      <c r="XJ44" s="11"/>
      <c r="XK44" s="11"/>
      <c r="XL44" s="11">
        <v>9329168.2699999996</v>
      </c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>
        <v>797406707.12</v>
      </c>
      <c r="YG44" s="11"/>
      <c r="YH44" s="11"/>
      <c r="YI44" s="11"/>
      <c r="YJ44" s="11">
        <v>491864.39</v>
      </c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>
        <v>27132803.18</v>
      </c>
      <c r="YX44" s="11"/>
      <c r="YY44" s="11"/>
      <c r="YZ44" s="11"/>
      <c r="ZA44" s="11"/>
      <c r="ZB44" s="11"/>
      <c r="ZC44" s="11"/>
      <c r="ZD44" s="11">
        <v>81168198.599999994</v>
      </c>
      <c r="ZE44" s="11"/>
      <c r="ZF44" s="11"/>
      <c r="ZG44" s="11"/>
      <c r="ZH44" s="11"/>
      <c r="ZI44" s="11"/>
      <c r="ZJ44" s="11"/>
      <c r="ZK44" s="11"/>
      <c r="ZL44" s="11"/>
      <c r="ZM44" s="11">
        <v>6522635.0899999999</v>
      </c>
      <c r="ZN44" s="11">
        <v>0</v>
      </c>
      <c r="ZO44" s="11"/>
      <c r="ZP44" s="11">
        <v>10815419.300000001</v>
      </c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>
        <v>683526.62</v>
      </c>
      <c r="AAD44" s="11"/>
      <c r="AAE44" s="11"/>
      <c r="AAF44" s="11"/>
      <c r="AAG44" s="11"/>
      <c r="AAH44" s="11"/>
      <c r="AAI44" s="11">
        <v>53874786.299999997</v>
      </c>
      <c r="AAJ44" s="11"/>
      <c r="AAK44" s="11"/>
      <c r="AAL44" s="11"/>
      <c r="AAM44" s="11"/>
      <c r="AAN44" s="11"/>
      <c r="AAO44" s="11"/>
      <c r="AAP44" s="11">
        <v>88058417.430000007</v>
      </c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>
        <v>1368499</v>
      </c>
      <c r="ABB44" s="11"/>
      <c r="ABC44" s="11"/>
      <c r="ABD44" s="11"/>
      <c r="ABE44" s="11"/>
      <c r="ABF44" s="11"/>
      <c r="ABG44" s="11"/>
      <c r="ABH44" s="11"/>
      <c r="ABI44" s="11">
        <v>4440716.57</v>
      </c>
      <c r="ABJ44" s="11">
        <v>4864678.82</v>
      </c>
      <c r="ABK44" s="11"/>
      <c r="ABL44" s="11"/>
      <c r="ABM44" s="11"/>
      <c r="ABN44" s="11"/>
      <c r="ABO44" s="11"/>
      <c r="ABP44" s="11">
        <v>281433726.99000001</v>
      </c>
      <c r="ABQ44" s="11"/>
      <c r="ABR44" s="11"/>
      <c r="ABS44" s="11"/>
      <c r="ABT44" s="11"/>
      <c r="ABU44" s="11"/>
      <c r="ABV44" s="11"/>
      <c r="ABW44" s="11"/>
      <c r="ABX44" s="11"/>
      <c r="ABY44" s="11">
        <v>22282910.73</v>
      </c>
      <c r="ABZ44" s="11"/>
      <c r="ACA44" s="11"/>
      <c r="ACB44" s="11"/>
      <c r="ACC44" s="11">
        <v>212126</v>
      </c>
      <c r="ACD44" s="11"/>
      <c r="ACE44" s="11"/>
      <c r="ACF44" s="11"/>
      <c r="ACG44" s="11"/>
      <c r="ACH44" s="11"/>
      <c r="ACI44" s="11"/>
      <c r="ACJ44" s="11">
        <v>148411761.94999999</v>
      </c>
      <c r="ACK44" s="11"/>
      <c r="ACL44" s="11"/>
      <c r="ACM44" s="11"/>
      <c r="ACN44" s="11"/>
      <c r="ACO44" s="11"/>
      <c r="ACP44" s="11"/>
      <c r="ACQ44" s="11"/>
      <c r="ACR44" s="11">
        <v>1852490.5</v>
      </c>
      <c r="ACS44" s="11"/>
      <c r="ACT44" s="11"/>
      <c r="ACU44" s="11"/>
      <c r="ACV44" s="11"/>
      <c r="ACW44" s="11">
        <v>97072259.870000005</v>
      </c>
      <c r="ACX44" s="11"/>
      <c r="ACY44" s="11"/>
      <c r="ACZ44" s="11"/>
      <c r="ADA44" s="11"/>
      <c r="ADB44" s="11"/>
      <c r="ADC44" s="11"/>
      <c r="ADD44" s="11"/>
      <c r="ADE44" s="11"/>
      <c r="ADF44" s="11"/>
      <c r="ADG44" s="11">
        <v>14708482.93</v>
      </c>
      <c r="ADH44" s="11">
        <v>14169801.1</v>
      </c>
      <c r="ADI44" s="11"/>
      <c r="ADJ44" s="11"/>
      <c r="ADK44" s="11"/>
      <c r="ADL44" s="11"/>
      <c r="ADM44" s="11"/>
      <c r="ADN44" s="11"/>
      <c r="ADO44" s="11"/>
      <c r="ADP44" s="11">
        <v>41131331.700000003</v>
      </c>
      <c r="ADQ44" s="11"/>
      <c r="ADR44" s="11"/>
      <c r="ADS44" s="11"/>
      <c r="ADT44" s="11">
        <v>16144120.41</v>
      </c>
      <c r="ADU44" s="11"/>
      <c r="ADV44" s="11"/>
      <c r="ADW44" s="11"/>
      <c r="ADX44" s="11"/>
      <c r="ADY44" s="11"/>
      <c r="ADZ44" s="11">
        <v>68279986.420000002</v>
      </c>
      <c r="AEA44" s="11">
        <v>17816774.010000002</v>
      </c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>
        <v>279096129.29000002</v>
      </c>
      <c r="AEU44" s="11"/>
      <c r="AEV44" s="11"/>
      <c r="AEW44" s="11"/>
      <c r="AEX44" s="11"/>
      <c r="AEY44" s="11"/>
      <c r="AEZ44" s="11"/>
      <c r="AFA44" s="11"/>
      <c r="AFB44" s="11"/>
      <c r="AFC44" s="11"/>
      <c r="AFD44" s="11">
        <v>17842376.210000001</v>
      </c>
      <c r="AFE44" s="11">
        <v>10855873.539999999</v>
      </c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>
        <v>15250213.140000001</v>
      </c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>
        <v>5387947.2300000004</v>
      </c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>
        <v>113890472.88</v>
      </c>
      <c r="AGO44" s="11">
        <v>2545859.5699999998</v>
      </c>
      <c r="AGP44" s="11"/>
      <c r="AGQ44" s="11"/>
      <c r="AGR44" s="11"/>
      <c r="AGS44" s="11"/>
      <c r="AGT44" s="11"/>
      <c r="AGU44" s="11"/>
      <c r="AGV44" s="11">
        <v>139419248.58000001</v>
      </c>
      <c r="AGW44" s="11">
        <v>139573912.21000001</v>
      </c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>
        <v>77605778.390000001</v>
      </c>
      <c r="AHN44" s="11"/>
      <c r="AHO44" s="11"/>
      <c r="AHP44" s="11"/>
      <c r="AHQ44" s="11"/>
      <c r="AHR44" s="11"/>
      <c r="AHS44" s="11"/>
      <c r="AHT44" s="11">
        <v>8944718494.4854984</v>
      </c>
    </row>
    <row r="45" spans="2:905" x14ac:dyDescent="0.7">
      <c r="B45" s="6" t="s">
        <v>6039</v>
      </c>
      <c r="C45" s="6" t="s">
        <v>6456</v>
      </c>
      <c r="D45" s="11"/>
      <c r="E45" s="11">
        <v>368106</v>
      </c>
      <c r="F45" s="11">
        <v>15403989.18</v>
      </c>
      <c r="G45" s="11">
        <v>138039</v>
      </c>
      <c r="H45" s="11">
        <v>1197642.3999999999</v>
      </c>
      <c r="I45" s="11">
        <v>501765.17</v>
      </c>
      <c r="J45" s="11">
        <v>39359739.710000001</v>
      </c>
      <c r="K45" s="11">
        <v>5099905.9400000004</v>
      </c>
      <c r="L45" s="11">
        <v>226965</v>
      </c>
      <c r="M45" s="11">
        <v>483605</v>
      </c>
      <c r="N45" s="11">
        <v>74193</v>
      </c>
      <c r="O45" s="11">
        <v>366442.75</v>
      </c>
      <c r="P45" s="11">
        <v>230623.55</v>
      </c>
      <c r="Q45" s="11">
        <v>496642</v>
      </c>
      <c r="R45" s="11">
        <v>204166</v>
      </c>
      <c r="S45" s="11"/>
      <c r="T45" s="11">
        <v>525230</v>
      </c>
      <c r="U45" s="11">
        <v>183708.2</v>
      </c>
      <c r="V45" s="11"/>
      <c r="W45" s="11"/>
      <c r="X45" s="11">
        <v>293071.28000000003</v>
      </c>
      <c r="Y45" s="11">
        <v>118289</v>
      </c>
      <c r="Z45" s="11">
        <v>76398</v>
      </c>
      <c r="AA45" s="11">
        <v>499512.45</v>
      </c>
      <c r="AB45" s="11">
        <v>165923</v>
      </c>
      <c r="AC45" s="11"/>
      <c r="AD45" s="11">
        <v>439327.81</v>
      </c>
      <c r="AE45" s="11">
        <v>486873.03</v>
      </c>
      <c r="AF45" s="11">
        <v>1114378</v>
      </c>
      <c r="AG45" s="11">
        <v>418151.9</v>
      </c>
      <c r="AH45" s="11">
        <v>580376.72</v>
      </c>
      <c r="AI45" s="11">
        <v>1288769.05</v>
      </c>
      <c r="AJ45" s="11">
        <v>301872.76</v>
      </c>
      <c r="AK45" s="11">
        <v>168702</v>
      </c>
      <c r="AL45" s="11">
        <v>247073</v>
      </c>
      <c r="AM45" s="11">
        <v>39910</v>
      </c>
      <c r="AN45" s="11">
        <v>396795</v>
      </c>
      <c r="AO45" s="11">
        <v>615467</v>
      </c>
      <c r="AP45" s="11">
        <v>321280.23</v>
      </c>
      <c r="AQ45" s="11">
        <v>363475</v>
      </c>
      <c r="AR45" s="11">
        <v>242100</v>
      </c>
      <c r="AS45" s="11">
        <v>101134.14</v>
      </c>
      <c r="AT45" s="11"/>
      <c r="AU45" s="11">
        <v>82970.63</v>
      </c>
      <c r="AV45" s="11">
        <v>111822.25</v>
      </c>
      <c r="AW45" s="11">
        <v>9145</v>
      </c>
      <c r="AX45" s="11">
        <v>250870</v>
      </c>
      <c r="AY45" s="11">
        <v>182298</v>
      </c>
      <c r="AZ45" s="11">
        <v>62938</v>
      </c>
      <c r="BA45" s="11">
        <v>26075</v>
      </c>
      <c r="BB45" s="11">
        <v>72921.5</v>
      </c>
      <c r="BC45" s="11">
        <v>69397.5</v>
      </c>
      <c r="BD45" s="11">
        <v>153555</v>
      </c>
      <c r="BE45" s="11"/>
      <c r="BF45" s="11">
        <v>62218.75</v>
      </c>
      <c r="BG45" s="11">
        <v>55945</v>
      </c>
      <c r="BH45" s="11">
        <v>408405</v>
      </c>
      <c r="BI45" s="11"/>
      <c r="BJ45" s="11"/>
      <c r="BK45" s="11">
        <v>239773.21</v>
      </c>
      <c r="BL45" s="11">
        <v>196446.86</v>
      </c>
      <c r="BM45" s="11">
        <v>580858.87</v>
      </c>
      <c r="BN45" s="11">
        <v>340416.03</v>
      </c>
      <c r="BO45" s="11">
        <v>59676.68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>
        <v>76400</v>
      </c>
      <c r="CB45" s="11">
        <v>158929</v>
      </c>
      <c r="CC45" s="11">
        <v>261612.99</v>
      </c>
      <c r="CD45" s="11">
        <v>283253</v>
      </c>
      <c r="CE45" s="11">
        <v>170754</v>
      </c>
      <c r="CF45" s="11"/>
      <c r="CG45" s="11"/>
      <c r="CH45" s="11">
        <v>460860</v>
      </c>
      <c r="CI45" s="11">
        <v>1427162.45</v>
      </c>
      <c r="CJ45" s="11">
        <v>116353</v>
      </c>
      <c r="CK45" s="11">
        <v>755442</v>
      </c>
      <c r="CL45" s="11">
        <v>421469.7</v>
      </c>
      <c r="CM45" s="11">
        <v>373104.5</v>
      </c>
      <c r="CN45" s="11">
        <v>593462.9</v>
      </c>
      <c r="CO45" s="11">
        <v>267353.7</v>
      </c>
      <c r="CP45" s="11">
        <v>92447.49</v>
      </c>
      <c r="CQ45" s="11">
        <v>18700</v>
      </c>
      <c r="CR45" s="11">
        <v>215435</v>
      </c>
      <c r="CS45" s="11">
        <v>313946.94</v>
      </c>
      <c r="CT45" s="11"/>
      <c r="CU45" s="11">
        <v>141261</v>
      </c>
      <c r="CV45" s="11">
        <v>64768.5</v>
      </c>
      <c r="CW45" s="11">
        <v>335032</v>
      </c>
      <c r="CX45" s="11">
        <v>167249.56</v>
      </c>
      <c r="CY45" s="11">
        <v>185937</v>
      </c>
      <c r="CZ45" s="11">
        <v>64668.5</v>
      </c>
      <c r="DA45" s="11">
        <v>236805</v>
      </c>
      <c r="DB45" s="11"/>
      <c r="DC45" s="11"/>
      <c r="DD45" s="11">
        <v>269926.25</v>
      </c>
      <c r="DE45" s="11"/>
      <c r="DF45" s="11">
        <v>258087.5</v>
      </c>
      <c r="DG45" s="11">
        <v>716660.75</v>
      </c>
      <c r="DH45" s="11">
        <v>50000</v>
      </c>
      <c r="DI45" s="11">
        <v>377000</v>
      </c>
      <c r="DJ45" s="11">
        <v>722792</v>
      </c>
      <c r="DK45" s="11"/>
      <c r="DL45" s="11">
        <v>1205000</v>
      </c>
      <c r="DM45" s="11">
        <v>9551565</v>
      </c>
      <c r="DN45" s="11">
        <v>10099100</v>
      </c>
      <c r="DO45" s="11">
        <v>1096445</v>
      </c>
      <c r="DP45" s="11">
        <v>1047800</v>
      </c>
      <c r="DQ45" s="11">
        <v>2000000</v>
      </c>
      <c r="DR45" s="11">
        <v>1832432.93</v>
      </c>
      <c r="DS45" s="11">
        <v>3243255</v>
      </c>
      <c r="DT45" s="11"/>
      <c r="DU45" s="11">
        <v>111515</v>
      </c>
      <c r="DV45" s="11">
        <v>489636.25</v>
      </c>
      <c r="DW45" s="11"/>
      <c r="DX45" s="11">
        <v>148099</v>
      </c>
      <c r="DY45" s="11">
        <v>4494554</v>
      </c>
      <c r="DZ45" s="11"/>
      <c r="EA45" s="11">
        <v>134808</v>
      </c>
      <c r="EB45" s="11">
        <v>442910.5</v>
      </c>
      <c r="EC45" s="11"/>
      <c r="ED45" s="11"/>
      <c r="EE45" s="11"/>
      <c r="EF45" s="11"/>
      <c r="EG45" s="11">
        <v>3246814.29</v>
      </c>
      <c r="EH45" s="11">
        <v>1205722.22</v>
      </c>
      <c r="EI45" s="11">
        <v>479838.5</v>
      </c>
      <c r="EJ45" s="11">
        <v>545508</v>
      </c>
      <c r="EK45" s="11">
        <v>2000000</v>
      </c>
      <c r="EL45" s="11">
        <v>522818</v>
      </c>
      <c r="EM45" s="11">
        <v>2000000</v>
      </c>
      <c r="EN45" s="11"/>
      <c r="EO45" s="11">
        <v>794507.75</v>
      </c>
      <c r="EP45" s="11">
        <v>450996</v>
      </c>
      <c r="EQ45" s="11">
        <v>346417</v>
      </c>
      <c r="ER45" s="11">
        <v>248930</v>
      </c>
      <c r="ES45" s="11">
        <v>454240.5</v>
      </c>
      <c r="ET45" s="11">
        <v>3642595.5</v>
      </c>
      <c r="EU45" s="11">
        <v>7031297.7999999998</v>
      </c>
      <c r="EV45" s="11">
        <v>42335</v>
      </c>
      <c r="EW45" s="11"/>
      <c r="EX45" s="11">
        <v>196339.25</v>
      </c>
      <c r="EY45" s="11">
        <v>32063222.949999999</v>
      </c>
      <c r="EZ45" s="11">
        <v>4917528.5999999996</v>
      </c>
      <c r="FA45" s="11">
        <v>2310121</v>
      </c>
      <c r="FB45" s="11">
        <v>847662</v>
      </c>
      <c r="FC45" s="11">
        <v>1292738.2</v>
      </c>
      <c r="FD45" s="11">
        <v>2618854.4500000002</v>
      </c>
      <c r="FE45" s="11">
        <v>225830.01</v>
      </c>
      <c r="FF45" s="11">
        <v>30130297.100000001</v>
      </c>
      <c r="FG45" s="11">
        <v>335400</v>
      </c>
      <c r="FH45" s="11">
        <v>41551</v>
      </c>
      <c r="FI45" s="11"/>
      <c r="FJ45" s="11">
        <v>774830</v>
      </c>
      <c r="FK45" s="11">
        <v>220911</v>
      </c>
      <c r="FL45" s="11">
        <v>219763.6</v>
      </c>
      <c r="FM45" s="11">
        <v>4400796</v>
      </c>
      <c r="FN45" s="11">
        <v>406518.7</v>
      </c>
      <c r="FO45" s="11">
        <v>337229.81</v>
      </c>
      <c r="FP45" s="11">
        <v>140355</v>
      </c>
      <c r="FQ45" s="11"/>
      <c r="FR45" s="11">
        <v>14572348.98</v>
      </c>
      <c r="FS45" s="11">
        <v>15000143.300000001</v>
      </c>
      <c r="FT45" s="11">
        <v>6368003.6600000001</v>
      </c>
      <c r="FU45" s="11">
        <v>399627</v>
      </c>
      <c r="FV45" s="11">
        <v>2246559</v>
      </c>
      <c r="FW45" s="11">
        <v>4714717.76</v>
      </c>
      <c r="FX45" s="11">
        <v>5403953</v>
      </c>
      <c r="FY45" s="11">
        <v>60162284.799999997</v>
      </c>
      <c r="FZ45" s="11">
        <v>8363742.0999999996</v>
      </c>
      <c r="GA45" s="11">
        <v>6171028.1500000004</v>
      </c>
      <c r="GB45" s="11">
        <v>626050.19999999995</v>
      </c>
      <c r="GC45" s="11">
        <v>1363463</v>
      </c>
      <c r="GD45" s="11">
        <v>5011476</v>
      </c>
      <c r="GE45" s="11"/>
      <c r="GF45" s="11">
        <v>26780785.100000001</v>
      </c>
      <c r="GG45" s="11">
        <v>15375291.619999999</v>
      </c>
      <c r="GH45" s="11">
        <v>2320033.2999999998</v>
      </c>
      <c r="GI45" s="11">
        <v>5603875.1100000003</v>
      </c>
      <c r="GJ45" s="11">
        <v>4296050.5199999996</v>
      </c>
      <c r="GK45" s="11">
        <v>14413399</v>
      </c>
      <c r="GL45" s="11">
        <v>24915845.640000001</v>
      </c>
      <c r="GM45" s="11">
        <v>27585057.260000002</v>
      </c>
      <c r="GN45" s="11">
        <v>1561705</v>
      </c>
      <c r="GO45" s="11">
        <v>9114317.8300000001</v>
      </c>
      <c r="GP45" s="11">
        <v>977090</v>
      </c>
      <c r="GQ45" s="11"/>
      <c r="GR45" s="11">
        <v>104022730.25</v>
      </c>
      <c r="GS45" s="11">
        <v>4323130.88</v>
      </c>
      <c r="GT45" s="11">
        <v>2536193.0099999998</v>
      </c>
      <c r="GU45" s="11">
        <v>629747.48</v>
      </c>
      <c r="GV45" s="11">
        <v>10078129.01</v>
      </c>
      <c r="GW45" s="11">
        <v>502183.3</v>
      </c>
      <c r="GX45" s="11">
        <v>708875.5</v>
      </c>
      <c r="GY45" s="11"/>
      <c r="GZ45" s="11"/>
      <c r="HA45" s="11"/>
      <c r="HB45" s="11"/>
      <c r="HC45" s="11"/>
      <c r="HD45" s="11">
        <v>2328055.56</v>
      </c>
      <c r="HE45" s="11">
        <v>6504073.0499999998</v>
      </c>
      <c r="HF45" s="11"/>
      <c r="HG45" s="11">
        <v>890451.43</v>
      </c>
      <c r="HH45" s="11">
        <v>7276945.8899999997</v>
      </c>
      <c r="HI45" s="11">
        <v>102226</v>
      </c>
      <c r="HJ45" s="11"/>
      <c r="HK45" s="11">
        <v>7579618.3499999996</v>
      </c>
      <c r="HL45" s="11">
        <v>135030</v>
      </c>
      <c r="HM45" s="11">
        <v>813696.04</v>
      </c>
      <c r="HN45" s="11">
        <v>110876</v>
      </c>
      <c r="HO45" s="11">
        <v>13317.33</v>
      </c>
      <c r="HP45" s="11"/>
      <c r="HQ45" s="11">
        <v>62353.56</v>
      </c>
      <c r="HR45" s="11">
        <v>114902</v>
      </c>
      <c r="HS45" s="11"/>
      <c r="HT45" s="11"/>
      <c r="HU45" s="11"/>
      <c r="HV45" s="11">
        <v>10250</v>
      </c>
      <c r="HW45" s="11">
        <v>326778.5</v>
      </c>
      <c r="HX45" s="11">
        <v>469335</v>
      </c>
      <c r="HY45" s="11">
        <v>1541256.34</v>
      </c>
      <c r="HZ45" s="11">
        <v>258085</v>
      </c>
      <c r="IA45" s="11">
        <v>218981.62</v>
      </c>
      <c r="IB45" s="11">
        <v>728895.2</v>
      </c>
      <c r="IC45" s="11">
        <v>179721.5</v>
      </c>
      <c r="ID45" s="11">
        <v>674423.65</v>
      </c>
      <c r="IE45" s="11">
        <v>56650</v>
      </c>
      <c r="IF45" s="11">
        <v>756553</v>
      </c>
      <c r="IG45" s="11">
        <v>3500</v>
      </c>
      <c r="IH45" s="11">
        <v>5050</v>
      </c>
      <c r="II45" s="11"/>
      <c r="IJ45" s="11"/>
      <c r="IK45" s="11">
        <v>135185</v>
      </c>
      <c r="IL45" s="11">
        <v>369561.5</v>
      </c>
      <c r="IM45" s="11">
        <v>619886.14</v>
      </c>
      <c r="IN45" s="11">
        <v>14223412.050000001</v>
      </c>
      <c r="IO45" s="11">
        <v>188312</v>
      </c>
      <c r="IP45" s="11">
        <v>537100</v>
      </c>
      <c r="IQ45" s="11">
        <v>182465</v>
      </c>
      <c r="IR45" s="11">
        <v>74480</v>
      </c>
      <c r="IS45" s="11">
        <v>1885530.25</v>
      </c>
      <c r="IT45" s="11"/>
      <c r="IU45" s="11"/>
      <c r="IV45" s="11">
        <v>1000000</v>
      </c>
      <c r="IW45" s="11"/>
      <c r="IX45" s="11">
        <v>20000</v>
      </c>
      <c r="IY45" s="11">
        <v>1000000</v>
      </c>
      <c r="IZ45" s="11"/>
      <c r="JA45" s="11">
        <v>20000000</v>
      </c>
      <c r="JB45" s="11">
        <v>300000</v>
      </c>
      <c r="JC45" s="11"/>
      <c r="JD45" s="11"/>
      <c r="JE45" s="11"/>
      <c r="JF45" s="11"/>
      <c r="JG45" s="11"/>
      <c r="JH45" s="11">
        <v>1527388.13</v>
      </c>
      <c r="JI45" s="11">
        <v>55666</v>
      </c>
      <c r="JJ45" s="11"/>
      <c r="JK45" s="11">
        <v>94865</v>
      </c>
      <c r="JL45" s="11"/>
      <c r="JM45" s="11"/>
      <c r="JN45" s="11"/>
      <c r="JO45" s="11"/>
      <c r="JP45" s="11"/>
      <c r="JQ45" s="11"/>
      <c r="JR45" s="11"/>
      <c r="JS45" s="11"/>
      <c r="JT45" s="11"/>
      <c r="JU45" s="11">
        <v>417631</v>
      </c>
      <c r="JV45" s="11"/>
      <c r="JW45" s="11">
        <v>702286</v>
      </c>
      <c r="JX45" s="11">
        <v>153400</v>
      </c>
      <c r="JY45" s="11">
        <v>186155</v>
      </c>
      <c r="JZ45" s="11">
        <v>421320</v>
      </c>
      <c r="KA45" s="11"/>
      <c r="KB45" s="11">
        <v>377390</v>
      </c>
      <c r="KC45" s="11"/>
      <c r="KD45" s="11">
        <v>356210</v>
      </c>
      <c r="KE45" s="11"/>
      <c r="KF45" s="11">
        <v>49800</v>
      </c>
      <c r="KG45" s="11">
        <v>225309</v>
      </c>
      <c r="KH45" s="11">
        <v>389450</v>
      </c>
      <c r="KI45" s="11"/>
      <c r="KJ45" s="11"/>
      <c r="KK45" s="11">
        <v>30990190.5</v>
      </c>
      <c r="KL45" s="11">
        <v>1852447.32</v>
      </c>
      <c r="KM45" s="11">
        <v>21214173.850000001</v>
      </c>
      <c r="KN45" s="11">
        <v>81130000</v>
      </c>
      <c r="KO45" s="11">
        <v>36019341.5</v>
      </c>
      <c r="KP45" s="11">
        <v>43088264.640000001</v>
      </c>
      <c r="KQ45" s="11">
        <v>20000000</v>
      </c>
      <c r="KR45" s="11"/>
      <c r="KS45" s="11"/>
      <c r="KT45" s="11">
        <v>30839</v>
      </c>
      <c r="KU45" s="11"/>
      <c r="KV45" s="11">
        <v>241650</v>
      </c>
      <c r="KW45" s="11"/>
      <c r="KX45" s="11"/>
      <c r="KY45" s="11"/>
      <c r="KZ45" s="11"/>
      <c r="LA45" s="11">
        <v>100000000</v>
      </c>
      <c r="LB45" s="11">
        <v>28410765.18</v>
      </c>
      <c r="LC45" s="11">
        <v>93500000</v>
      </c>
      <c r="LD45" s="11">
        <v>52638189.140000001</v>
      </c>
      <c r="LE45" s="11">
        <v>79000000</v>
      </c>
      <c r="LF45" s="11">
        <v>40512886</v>
      </c>
      <c r="LG45" s="11">
        <v>24000000</v>
      </c>
      <c r="LH45" s="11"/>
      <c r="LI45" s="11"/>
      <c r="LJ45" s="11"/>
      <c r="LK45" s="11"/>
      <c r="LL45" s="11">
        <v>552251.06000000006</v>
      </c>
      <c r="LM45" s="11">
        <v>169875</v>
      </c>
      <c r="LN45" s="11"/>
      <c r="LO45" s="11">
        <v>160160</v>
      </c>
      <c r="LP45" s="11">
        <v>588981</v>
      </c>
      <c r="LQ45" s="11">
        <v>179510.5</v>
      </c>
      <c r="LR45" s="11">
        <v>338980</v>
      </c>
      <c r="LS45" s="11"/>
      <c r="LT45" s="11">
        <v>10002818.949999999</v>
      </c>
      <c r="LU45" s="11"/>
      <c r="LV45" s="11"/>
      <c r="LW45" s="11"/>
      <c r="LX45" s="11"/>
      <c r="LY45" s="11"/>
      <c r="LZ45" s="11">
        <v>764363</v>
      </c>
      <c r="MA45" s="11">
        <v>6487971.5</v>
      </c>
      <c r="MB45" s="11">
        <v>1324493.5</v>
      </c>
      <c r="MC45" s="11">
        <v>207662.15</v>
      </c>
      <c r="MD45" s="11">
        <v>897668</v>
      </c>
      <c r="ME45" s="11">
        <v>2153585</v>
      </c>
      <c r="MF45" s="11">
        <v>8704513</v>
      </c>
      <c r="MG45" s="11">
        <v>599678.6</v>
      </c>
      <c r="MH45" s="11"/>
      <c r="MI45" s="11"/>
      <c r="MJ45" s="11">
        <v>146480</v>
      </c>
      <c r="MK45" s="11">
        <v>256750</v>
      </c>
      <c r="ML45" s="11">
        <v>203155</v>
      </c>
      <c r="MM45" s="11">
        <v>460115</v>
      </c>
      <c r="MN45" s="11">
        <v>462544</v>
      </c>
      <c r="MO45" s="11">
        <v>111880</v>
      </c>
      <c r="MP45" s="11">
        <v>116050</v>
      </c>
      <c r="MQ45" s="11">
        <v>362150</v>
      </c>
      <c r="MR45" s="11">
        <v>800000</v>
      </c>
      <c r="MS45" s="11">
        <v>811091</v>
      </c>
      <c r="MT45" s="11"/>
      <c r="MU45" s="11">
        <v>5968290</v>
      </c>
      <c r="MV45" s="11">
        <v>19894090.670000002</v>
      </c>
      <c r="MW45" s="11">
        <v>1261831</v>
      </c>
      <c r="MX45" s="11">
        <v>30513199.649999999</v>
      </c>
      <c r="MY45" s="11">
        <v>1979484</v>
      </c>
      <c r="MZ45" s="11">
        <v>139033922.61000001</v>
      </c>
      <c r="NA45" s="11">
        <v>4936582.87</v>
      </c>
      <c r="NB45" s="11">
        <v>5823365.5499999998</v>
      </c>
      <c r="NC45" s="11">
        <v>7961000</v>
      </c>
      <c r="ND45" s="11">
        <v>1266486</v>
      </c>
      <c r="NE45" s="11"/>
      <c r="NF45" s="11">
        <v>6441953.0300000003</v>
      </c>
      <c r="NG45" s="11">
        <v>1143938.77</v>
      </c>
      <c r="NH45" s="11"/>
      <c r="NI45" s="11">
        <v>139670</v>
      </c>
      <c r="NJ45" s="11">
        <v>17643954.399999999</v>
      </c>
      <c r="NK45" s="11">
        <v>25772872.07</v>
      </c>
      <c r="NL45" s="11"/>
      <c r="NM45" s="11">
        <v>3457256.3</v>
      </c>
      <c r="NN45" s="11">
        <v>2370227.54</v>
      </c>
      <c r="NO45" s="11">
        <v>4535898.95</v>
      </c>
      <c r="NP45" s="11">
        <v>168200</v>
      </c>
      <c r="NQ45" s="11"/>
      <c r="NR45" s="11"/>
      <c r="NS45" s="11"/>
      <c r="NT45" s="11"/>
      <c r="NU45" s="11"/>
      <c r="NV45" s="11"/>
      <c r="NW45" s="11"/>
      <c r="NX45" s="11"/>
      <c r="NY45" s="11">
        <v>4238007.67</v>
      </c>
      <c r="NZ45" s="11"/>
      <c r="OA45" s="11"/>
      <c r="OB45" s="11"/>
      <c r="OC45" s="11"/>
      <c r="OD45" s="11"/>
      <c r="OE45" s="11"/>
      <c r="OF45" s="11"/>
      <c r="OG45" s="11">
        <v>4668722.58</v>
      </c>
      <c r="OH45" s="11"/>
      <c r="OI45" s="11"/>
      <c r="OJ45" s="11">
        <v>2964025</v>
      </c>
      <c r="OK45" s="11">
        <v>92208</v>
      </c>
      <c r="OL45" s="11">
        <v>721978.75</v>
      </c>
      <c r="OM45" s="11">
        <v>131494.70000000001</v>
      </c>
      <c r="ON45" s="11"/>
      <c r="OO45" s="11">
        <v>2000000</v>
      </c>
      <c r="OP45" s="11">
        <v>16921747.789999999</v>
      </c>
      <c r="OQ45" s="11">
        <v>2000000</v>
      </c>
      <c r="OR45" s="11">
        <v>1269803.3500000001</v>
      </c>
      <c r="OS45" s="11">
        <v>401361.77</v>
      </c>
      <c r="OT45" s="11"/>
      <c r="OU45" s="11">
        <v>31500</v>
      </c>
      <c r="OV45" s="11">
        <v>381941.42</v>
      </c>
      <c r="OW45" s="11">
        <v>893127</v>
      </c>
      <c r="OX45" s="11">
        <v>399972</v>
      </c>
      <c r="OY45" s="11"/>
      <c r="OZ45" s="11">
        <v>344274.3</v>
      </c>
      <c r="PA45" s="11">
        <v>592367.65</v>
      </c>
      <c r="PB45" s="11"/>
      <c r="PC45" s="11"/>
      <c r="PD45" s="11"/>
      <c r="PE45" s="11">
        <v>114181</v>
      </c>
      <c r="PF45" s="11">
        <v>57300.03</v>
      </c>
      <c r="PG45" s="11">
        <v>658027.5</v>
      </c>
      <c r="PH45" s="11">
        <v>527488</v>
      </c>
      <c r="PI45" s="11">
        <v>304327</v>
      </c>
      <c r="PJ45" s="11">
        <v>119110</v>
      </c>
      <c r="PK45" s="11">
        <v>459110.85</v>
      </c>
      <c r="PL45" s="11">
        <v>173550</v>
      </c>
      <c r="PM45" s="11">
        <v>313901.15999999997</v>
      </c>
      <c r="PN45" s="11">
        <v>1054352.78</v>
      </c>
      <c r="PO45" s="11"/>
      <c r="PP45" s="11">
        <v>1042266.61</v>
      </c>
      <c r="PQ45" s="11">
        <v>458718</v>
      </c>
      <c r="PR45" s="11">
        <v>273075</v>
      </c>
      <c r="PS45" s="11">
        <v>147234</v>
      </c>
      <c r="PT45" s="11">
        <v>247758.5</v>
      </c>
      <c r="PU45" s="11"/>
      <c r="PV45" s="11"/>
      <c r="PW45" s="11"/>
      <c r="PX45" s="11"/>
      <c r="PY45" s="11"/>
      <c r="PZ45" s="11"/>
      <c r="QA45" s="11">
        <v>2025000</v>
      </c>
      <c r="QB45" s="11">
        <v>39750</v>
      </c>
      <c r="QC45" s="11">
        <v>342512.14</v>
      </c>
      <c r="QD45" s="11">
        <v>93800</v>
      </c>
      <c r="QE45" s="11">
        <v>378400</v>
      </c>
      <c r="QF45" s="11">
        <v>8025</v>
      </c>
      <c r="QG45" s="11">
        <v>1522750</v>
      </c>
      <c r="QH45" s="11">
        <v>67490</v>
      </c>
      <c r="QI45" s="11"/>
      <c r="QJ45" s="11"/>
      <c r="QK45" s="11"/>
      <c r="QL45" s="11"/>
      <c r="QM45" s="11"/>
      <c r="QN45" s="11">
        <v>1042455.02</v>
      </c>
      <c r="QO45" s="11"/>
      <c r="QP45" s="11"/>
      <c r="QQ45" s="11"/>
      <c r="QR45" s="11">
        <v>106765</v>
      </c>
      <c r="QS45" s="11"/>
      <c r="QT45" s="11"/>
      <c r="QU45" s="11"/>
      <c r="QV45" s="11">
        <v>275360</v>
      </c>
      <c r="QW45" s="11">
        <v>448242</v>
      </c>
      <c r="QX45" s="11">
        <v>324344</v>
      </c>
      <c r="QY45" s="11">
        <v>69400</v>
      </c>
      <c r="QZ45" s="11">
        <v>2599724</v>
      </c>
      <c r="RA45" s="11">
        <v>200000</v>
      </c>
      <c r="RB45" s="11">
        <v>158740</v>
      </c>
      <c r="RC45" s="11"/>
      <c r="RD45" s="11">
        <v>213348.5</v>
      </c>
      <c r="RE45" s="11">
        <v>211723</v>
      </c>
      <c r="RF45" s="11">
        <v>256848</v>
      </c>
      <c r="RG45" s="11">
        <v>104950</v>
      </c>
      <c r="RH45" s="11"/>
      <c r="RI45" s="11">
        <v>757990</v>
      </c>
      <c r="RJ45" s="11">
        <v>190408</v>
      </c>
      <c r="RK45" s="11">
        <v>171420</v>
      </c>
      <c r="RL45" s="11">
        <v>121510</v>
      </c>
      <c r="RM45" s="11">
        <v>83825</v>
      </c>
      <c r="RN45" s="11"/>
      <c r="RO45" s="11">
        <v>269410</v>
      </c>
      <c r="RP45" s="11">
        <v>560059</v>
      </c>
      <c r="RQ45" s="11">
        <v>1526645.35</v>
      </c>
      <c r="RR45" s="11">
        <v>2041386.25</v>
      </c>
      <c r="RS45" s="11">
        <v>112334</v>
      </c>
      <c r="RT45" s="11">
        <v>71740</v>
      </c>
      <c r="RU45" s="11">
        <v>215490</v>
      </c>
      <c r="RV45" s="11">
        <v>323254.5</v>
      </c>
      <c r="RW45" s="11"/>
      <c r="RX45" s="11">
        <v>409928</v>
      </c>
      <c r="RY45" s="11">
        <v>211100</v>
      </c>
      <c r="RZ45" s="11">
        <v>123168</v>
      </c>
      <c r="SA45" s="11">
        <v>215915</v>
      </c>
      <c r="SB45" s="11"/>
      <c r="SC45" s="11">
        <v>333924</v>
      </c>
      <c r="SD45" s="11">
        <v>60400</v>
      </c>
      <c r="SE45" s="11"/>
      <c r="SF45" s="11"/>
      <c r="SG45" s="11"/>
      <c r="SH45" s="11"/>
      <c r="SI45" s="11">
        <v>40630</v>
      </c>
      <c r="SJ45" s="11">
        <v>143827</v>
      </c>
      <c r="SK45" s="11">
        <v>153424</v>
      </c>
      <c r="SL45" s="11">
        <v>390295</v>
      </c>
      <c r="SM45" s="11">
        <v>24950</v>
      </c>
      <c r="SN45" s="11"/>
      <c r="SO45" s="11">
        <v>475148.9</v>
      </c>
      <c r="SP45" s="11">
        <v>940644.75</v>
      </c>
      <c r="SQ45" s="11">
        <v>493500.35</v>
      </c>
      <c r="SR45" s="11">
        <v>404605.61</v>
      </c>
      <c r="SS45" s="11">
        <v>394279.95</v>
      </c>
      <c r="ST45" s="11">
        <v>19400</v>
      </c>
      <c r="SU45" s="11">
        <v>216330.1</v>
      </c>
      <c r="SV45" s="11"/>
      <c r="SW45" s="11">
        <v>287695</v>
      </c>
      <c r="SX45" s="11">
        <v>313452</v>
      </c>
      <c r="SY45" s="11">
        <v>175325</v>
      </c>
      <c r="SZ45" s="11">
        <v>139265</v>
      </c>
      <c r="TA45" s="11">
        <v>95675</v>
      </c>
      <c r="TB45" s="11">
        <v>175345</v>
      </c>
      <c r="TC45" s="11">
        <v>529453</v>
      </c>
      <c r="TD45" s="11">
        <v>126970</v>
      </c>
      <c r="TE45" s="11">
        <v>352655.5</v>
      </c>
      <c r="TF45" s="11">
        <v>212950</v>
      </c>
      <c r="TG45" s="11">
        <v>499101.5</v>
      </c>
      <c r="TH45" s="11">
        <v>135600</v>
      </c>
      <c r="TI45" s="11">
        <v>124425</v>
      </c>
      <c r="TJ45" s="11"/>
      <c r="TK45" s="11">
        <v>102945</v>
      </c>
      <c r="TL45" s="11">
        <v>123208</v>
      </c>
      <c r="TM45" s="11">
        <v>371193</v>
      </c>
      <c r="TN45" s="11">
        <v>129645</v>
      </c>
      <c r="TO45" s="11">
        <v>115060</v>
      </c>
      <c r="TP45" s="11">
        <v>100548</v>
      </c>
      <c r="TQ45" s="11"/>
      <c r="TR45" s="11">
        <v>215609</v>
      </c>
      <c r="TS45" s="11">
        <v>429536</v>
      </c>
      <c r="TT45" s="11">
        <v>531433</v>
      </c>
      <c r="TU45" s="11">
        <v>38755</v>
      </c>
      <c r="TV45" s="11">
        <v>52350</v>
      </c>
      <c r="TW45" s="11">
        <v>41400</v>
      </c>
      <c r="TX45" s="11">
        <v>248270</v>
      </c>
      <c r="TY45" s="11">
        <v>309501.5</v>
      </c>
      <c r="TZ45" s="11"/>
      <c r="UA45" s="11">
        <v>141320</v>
      </c>
      <c r="UB45" s="11"/>
      <c r="UC45" s="11">
        <v>602287.5</v>
      </c>
      <c r="UD45" s="11">
        <v>15450</v>
      </c>
      <c r="UE45" s="11">
        <v>84240</v>
      </c>
      <c r="UF45" s="11">
        <v>1583104.54</v>
      </c>
      <c r="UG45" s="11">
        <v>148214</v>
      </c>
      <c r="UH45" s="11">
        <v>51575</v>
      </c>
      <c r="UI45" s="11">
        <v>210095</v>
      </c>
      <c r="UJ45" s="11">
        <v>214342.85</v>
      </c>
      <c r="UK45" s="11"/>
      <c r="UL45" s="11">
        <v>99540</v>
      </c>
      <c r="UM45" s="11">
        <v>321844.15000000002</v>
      </c>
      <c r="UN45" s="11">
        <v>26215.200000000001</v>
      </c>
      <c r="UO45" s="11">
        <v>234826</v>
      </c>
      <c r="UP45" s="11">
        <v>128586</v>
      </c>
      <c r="UQ45" s="11"/>
      <c r="UR45" s="11">
        <v>548000</v>
      </c>
      <c r="US45" s="11"/>
      <c r="UT45" s="11">
        <v>837824.37</v>
      </c>
      <c r="UU45" s="11"/>
      <c r="UV45" s="11">
        <v>65332</v>
      </c>
      <c r="UW45" s="11">
        <v>702617</v>
      </c>
      <c r="UX45" s="11">
        <v>70650</v>
      </c>
      <c r="UY45" s="11">
        <v>656714.9</v>
      </c>
      <c r="UZ45" s="11">
        <v>333805</v>
      </c>
      <c r="VA45" s="11">
        <v>296890</v>
      </c>
      <c r="VB45" s="11">
        <v>1211298</v>
      </c>
      <c r="VC45" s="11">
        <v>409358</v>
      </c>
      <c r="VD45" s="11">
        <v>375862.5</v>
      </c>
      <c r="VE45" s="11">
        <v>188971.55</v>
      </c>
      <c r="VF45" s="11">
        <v>99501</v>
      </c>
      <c r="VG45" s="11"/>
      <c r="VH45" s="11">
        <v>43950</v>
      </c>
      <c r="VI45" s="11">
        <v>1030078.6</v>
      </c>
      <c r="VJ45" s="11">
        <v>251855</v>
      </c>
      <c r="VK45" s="11">
        <v>231077</v>
      </c>
      <c r="VL45" s="11"/>
      <c r="VM45" s="11"/>
      <c r="VN45" s="11">
        <v>34942.5</v>
      </c>
      <c r="VO45" s="11">
        <v>172630</v>
      </c>
      <c r="VP45" s="11">
        <v>300000</v>
      </c>
      <c r="VQ45" s="11">
        <v>187170</v>
      </c>
      <c r="VR45" s="11">
        <v>248901</v>
      </c>
      <c r="VS45" s="11">
        <v>606312.98</v>
      </c>
      <c r="VT45" s="11">
        <v>197710</v>
      </c>
      <c r="VU45" s="11"/>
      <c r="VV45" s="11">
        <v>4534727</v>
      </c>
      <c r="VW45" s="11">
        <v>1000000</v>
      </c>
      <c r="VX45" s="11">
        <v>10048859.050000001</v>
      </c>
      <c r="VY45" s="11">
        <v>40000</v>
      </c>
      <c r="VZ45" s="11"/>
      <c r="WA45" s="11"/>
      <c r="WB45" s="11"/>
      <c r="WC45" s="11">
        <v>4078104.7</v>
      </c>
      <c r="WD45" s="11">
        <v>14700000</v>
      </c>
      <c r="WE45" s="11">
        <v>9153264</v>
      </c>
      <c r="WF45" s="11">
        <v>1255711</v>
      </c>
      <c r="WG45" s="11">
        <v>2408410.7999999998</v>
      </c>
      <c r="WH45" s="11">
        <v>2599549</v>
      </c>
      <c r="WI45" s="11">
        <v>8363400</v>
      </c>
      <c r="WJ45" s="11">
        <v>1222657.32</v>
      </c>
      <c r="WK45" s="11">
        <v>2277414</v>
      </c>
      <c r="WL45" s="11">
        <v>345308</v>
      </c>
      <c r="WM45" s="11">
        <v>2926364</v>
      </c>
      <c r="WN45" s="11">
        <v>1024500</v>
      </c>
      <c r="WO45" s="11">
        <v>34756746.030000001</v>
      </c>
      <c r="WP45" s="11"/>
      <c r="WQ45" s="11">
        <v>3248830</v>
      </c>
      <c r="WR45" s="11">
        <v>9463474.8800000008</v>
      </c>
      <c r="WS45" s="11">
        <v>1263179.5</v>
      </c>
      <c r="WT45" s="11">
        <v>400000</v>
      </c>
      <c r="WU45" s="11">
        <v>30978614</v>
      </c>
      <c r="WV45" s="11"/>
      <c r="WW45" s="11">
        <v>500000</v>
      </c>
      <c r="WX45" s="11">
        <v>97795.23</v>
      </c>
      <c r="WY45" s="11">
        <v>275656.09999999998</v>
      </c>
      <c r="WZ45" s="11">
        <v>4500000</v>
      </c>
      <c r="XA45" s="11">
        <v>1633196.6</v>
      </c>
      <c r="XB45" s="11">
        <v>3522470</v>
      </c>
      <c r="XC45" s="11">
        <v>630917</v>
      </c>
      <c r="XD45" s="11">
        <v>195702950.91</v>
      </c>
      <c r="XE45" s="11">
        <v>1276925</v>
      </c>
      <c r="XF45" s="11">
        <v>325279</v>
      </c>
      <c r="XG45" s="11">
        <v>247454.5</v>
      </c>
      <c r="XH45" s="11">
        <v>197706.31</v>
      </c>
      <c r="XI45" s="11"/>
      <c r="XJ45" s="11">
        <v>10290063.65</v>
      </c>
      <c r="XK45" s="11">
        <v>3409447.5</v>
      </c>
      <c r="XL45" s="11"/>
      <c r="XM45" s="11">
        <v>6873332.7800000003</v>
      </c>
      <c r="XN45" s="11">
        <v>2542302</v>
      </c>
      <c r="XO45" s="11">
        <v>1818544</v>
      </c>
      <c r="XP45" s="11">
        <v>7000610</v>
      </c>
      <c r="XQ45" s="11">
        <v>1225345</v>
      </c>
      <c r="XR45" s="11">
        <v>2916714</v>
      </c>
      <c r="XS45" s="11">
        <v>1862992.7</v>
      </c>
      <c r="XT45" s="11">
        <v>3459693.25</v>
      </c>
      <c r="XU45" s="11">
        <v>1222679</v>
      </c>
      <c r="XV45" s="11">
        <v>1572540</v>
      </c>
      <c r="XW45" s="11">
        <v>2738100</v>
      </c>
      <c r="XX45" s="11">
        <v>1564459</v>
      </c>
      <c r="XY45" s="11">
        <v>3156439</v>
      </c>
      <c r="XZ45" s="11">
        <v>2418383.75</v>
      </c>
      <c r="YA45" s="11">
        <v>1219485</v>
      </c>
      <c r="YB45" s="11">
        <v>2631445.2000000002</v>
      </c>
      <c r="YC45" s="11">
        <v>2580000</v>
      </c>
      <c r="YD45" s="11">
        <v>1457784.95</v>
      </c>
      <c r="YE45" s="11">
        <v>2889705</v>
      </c>
      <c r="YF45" s="11"/>
      <c r="YG45" s="11">
        <v>593665</v>
      </c>
      <c r="YH45" s="11">
        <v>197790</v>
      </c>
      <c r="YI45" s="11">
        <v>458045</v>
      </c>
      <c r="YJ45" s="11">
        <v>15274671.359999999</v>
      </c>
      <c r="YK45" s="11">
        <v>1245954.2</v>
      </c>
      <c r="YL45" s="11">
        <v>269745</v>
      </c>
      <c r="YM45" s="11">
        <v>160000</v>
      </c>
      <c r="YN45" s="11">
        <v>1322763.7</v>
      </c>
      <c r="YO45" s="11">
        <v>1995794.33</v>
      </c>
      <c r="YP45" s="11">
        <v>221850</v>
      </c>
      <c r="YQ45" s="11">
        <v>1080000</v>
      </c>
      <c r="YR45" s="11">
        <v>440300</v>
      </c>
      <c r="YS45" s="11">
        <v>270000</v>
      </c>
      <c r="YT45" s="11">
        <v>91265</v>
      </c>
      <c r="YU45" s="11">
        <v>1100000</v>
      </c>
      <c r="YV45" s="11">
        <v>426700</v>
      </c>
      <c r="YW45" s="11"/>
      <c r="YX45" s="11">
        <v>5576977.9400000004</v>
      </c>
      <c r="YY45" s="11">
        <v>620312</v>
      </c>
      <c r="YZ45" s="11">
        <v>109822.5</v>
      </c>
      <c r="ZA45" s="11">
        <v>154545</v>
      </c>
      <c r="ZB45" s="11">
        <v>139600</v>
      </c>
      <c r="ZC45" s="11">
        <v>132010</v>
      </c>
      <c r="ZD45" s="11"/>
      <c r="ZE45" s="11">
        <v>72748</v>
      </c>
      <c r="ZF45" s="11">
        <v>413995</v>
      </c>
      <c r="ZG45" s="11">
        <v>623935</v>
      </c>
      <c r="ZH45" s="11">
        <v>49650</v>
      </c>
      <c r="ZI45" s="11">
        <v>314190</v>
      </c>
      <c r="ZJ45" s="11">
        <v>93423</v>
      </c>
      <c r="ZK45" s="11">
        <v>166000</v>
      </c>
      <c r="ZL45" s="11">
        <v>103605</v>
      </c>
      <c r="ZM45" s="11"/>
      <c r="ZN45" s="11">
        <v>1536655.5</v>
      </c>
      <c r="ZO45" s="11">
        <v>404021</v>
      </c>
      <c r="ZP45" s="11"/>
      <c r="ZQ45" s="11">
        <v>16623021.699999999</v>
      </c>
      <c r="ZR45" s="11">
        <v>1020614.2</v>
      </c>
      <c r="ZS45" s="11">
        <v>630151.94999999995</v>
      </c>
      <c r="ZT45" s="11">
        <v>1841546.2</v>
      </c>
      <c r="ZU45" s="11">
        <v>83313829.290000007</v>
      </c>
      <c r="ZV45" s="11">
        <v>1046410.45</v>
      </c>
      <c r="ZW45" s="11">
        <v>1034937</v>
      </c>
      <c r="ZX45" s="11">
        <v>8989464.5</v>
      </c>
      <c r="ZY45" s="11">
        <v>1362572.95</v>
      </c>
      <c r="ZZ45" s="11">
        <v>2759862.17</v>
      </c>
      <c r="AAA45" s="11">
        <v>886702</v>
      </c>
      <c r="AAB45" s="11">
        <v>2057405.2</v>
      </c>
      <c r="AAC45" s="11"/>
      <c r="AAD45" s="11">
        <v>570000</v>
      </c>
      <c r="AAE45" s="11">
        <v>420610</v>
      </c>
      <c r="AAF45" s="11">
        <v>1189933</v>
      </c>
      <c r="AAG45" s="11">
        <v>70000</v>
      </c>
      <c r="AAH45" s="11">
        <v>319475</v>
      </c>
      <c r="AAI45" s="11"/>
      <c r="AAJ45" s="11">
        <v>610967.30000000005</v>
      </c>
      <c r="AAK45" s="11">
        <v>925580.25</v>
      </c>
      <c r="AAL45" s="11">
        <v>660543.5</v>
      </c>
      <c r="AAM45" s="11">
        <v>549465.03</v>
      </c>
      <c r="AAN45" s="11">
        <v>555388</v>
      </c>
      <c r="AAO45" s="11">
        <v>679195.75</v>
      </c>
      <c r="AAP45" s="11"/>
      <c r="AAQ45" s="11">
        <v>637230</v>
      </c>
      <c r="AAR45" s="11">
        <v>1792713.42</v>
      </c>
      <c r="AAS45" s="11">
        <v>602000</v>
      </c>
      <c r="AAT45" s="11">
        <v>500531</v>
      </c>
      <c r="AAU45" s="11">
        <v>445196</v>
      </c>
      <c r="AAV45" s="11">
        <v>737114</v>
      </c>
      <c r="AAW45" s="11">
        <v>1643130.6</v>
      </c>
      <c r="AAX45" s="11">
        <v>6247734</v>
      </c>
      <c r="AAY45" s="11">
        <v>2313681.66</v>
      </c>
      <c r="AAZ45" s="11">
        <v>1573606</v>
      </c>
      <c r="ABA45" s="11"/>
      <c r="ABB45" s="11">
        <v>609200</v>
      </c>
      <c r="ABC45" s="11">
        <v>800939.47</v>
      </c>
      <c r="ABD45" s="11">
        <v>825531.75</v>
      </c>
      <c r="ABE45" s="11">
        <v>627215.14</v>
      </c>
      <c r="ABF45" s="11">
        <v>18600</v>
      </c>
      <c r="ABG45" s="11"/>
      <c r="ABH45" s="11"/>
      <c r="ABI45" s="11"/>
      <c r="ABJ45" s="11"/>
      <c r="ABK45" s="11">
        <v>880610</v>
      </c>
      <c r="ABL45" s="11">
        <v>506823</v>
      </c>
      <c r="ABM45" s="11">
        <v>485203</v>
      </c>
      <c r="ABN45" s="11">
        <v>472237.48</v>
      </c>
      <c r="ABO45" s="11">
        <v>335782</v>
      </c>
      <c r="ABP45" s="11"/>
      <c r="ABQ45" s="11">
        <v>383006.2</v>
      </c>
      <c r="ABR45" s="11">
        <v>148333</v>
      </c>
      <c r="ABS45" s="11">
        <v>3702396.98</v>
      </c>
      <c r="ABT45" s="11">
        <v>323803.67</v>
      </c>
      <c r="ABU45" s="11">
        <v>348492</v>
      </c>
      <c r="ABV45" s="11">
        <v>213914</v>
      </c>
      <c r="ABW45" s="11">
        <v>268157</v>
      </c>
      <c r="ABX45" s="11">
        <v>49675</v>
      </c>
      <c r="ABY45" s="11"/>
      <c r="ABZ45" s="11">
        <v>2068775</v>
      </c>
      <c r="ACA45" s="11">
        <v>1053337.06</v>
      </c>
      <c r="ACB45" s="11">
        <v>499094.86</v>
      </c>
      <c r="ACC45" s="11">
        <v>0</v>
      </c>
      <c r="ACD45" s="11">
        <v>1561450</v>
      </c>
      <c r="ACE45" s="11">
        <v>53399</v>
      </c>
      <c r="ACF45" s="11">
        <v>435751.5</v>
      </c>
      <c r="ACG45" s="11">
        <v>566573</v>
      </c>
      <c r="ACH45" s="11">
        <v>1160618.3999999999</v>
      </c>
      <c r="ACI45" s="11">
        <v>176748</v>
      </c>
      <c r="ACJ45" s="11"/>
      <c r="ACK45" s="11">
        <v>232265</v>
      </c>
      <c r="ACL45" s="11">
        <v>374037.83</v>
      </c>
      <c r="ACM45" s="11">
        <v>70454</v>
      </c>
      <c r="ACN45" s="11"/>
      <c r="ACO45" s="11">
        <v>268255</v>
      </c>
      <c r="ACP45" s="11"/>
      <c r="ACQ45" s="11">
        <v>6905261.2000000002</v>
      </c>
      <c r="ACR45" s="11"/>
      <c r="ACS45" s="11">
        <v>186683</v>
      </c>
      <c r="ACT45" s="11"/>
      <c r="ACU45" s="11">
        <v>156809</v>
      </c>
      <c r="ACV45" s="11"/>
      <c r="ACW45" s="11"/>
      <c r="ACX45" s="11">
        <v>135139</v>
      </c>
      <c r="ACY45" s="11">
        <v>214152.5</v>
      </c>
      <c r="ACZ45" s="11">
        <v>183634.75</v>
      </c>
      <c r="ADA45" s="11">
        <v>341342.5</v>
      </c>
      <c r="ADB45" s="11">
        <v>162915</v>
      </c>
      <c r="ADC45" s="11"/>
      <c r="ADD45" s="11">
        <v>421884</v>
      </c>
      <c r="ADE45" s="11">
        <v>206425</v>
      </c>
      <c r="ADF45" s="11">
        <v>517893.03</v>
      </c>
      <c r="ADG45" s="11"/>
      <c r="ADH45" s="11"/>
      <c r="ADI45" s="11"/>
      <c r="ADJ45" s="11">
        <v>105575</v>
      </c>
      <c r="ADK45" s="11">
        <v>258986.5</v>
      </c>
      <c r="ADL45" s="11">
        <v>82858</v>
      </c>
      <c r="ADM45" s="11">
        <v>28550</v>
      </c>
      <c r="ADN45" s="11">
        <v>164350</v>
      </c>
      <c r="ADO45" s="11"/>
      <c r="ADP45" s="11"/>
      <c r="ADQ45" s="11">
        <v>33650</v>
      </c>
      <c r="ADR45" s="11">
        <v>862431.03</v>
      </c>
      <c r="ADS45" s="11"/>
      <c r="ADT45" s="11"/>
      <c r="ADU45" s="11">
        <v>247934</v>
      </c>
      <c r="ADV45" s="11">
        <v>404458.99</v>
      </c>
      <c r="ADW45" s="11">
        <v>453588.45</v>
      </c>
      <c r="ADX45" s="11">
        <v>375847.5</v>
      </c>
      <c r="ADY45" s="11"/>
      <c r="ADZ45" s="11"/>
      <c r="AEA45" s="11"/>
      <c r="AEB45" s="11">
        <v>1319855.25</v>
      </c>
      <c r="AEC45" s="11">
        <v>262240.5</v>
      </c>
      <c r="AED45" s="11"/>
      <c r="AEE45" s="11">
        <v>796711.5</v>
      </c>
      <c r="AEF45" s="11">
        <v>70475</v>
      </c>
      <c r="AEG45" s="11">
        <v>515511.35</v>
      </c>
      <c r="AEH45" s="11">
        <v>220009.97</v>
      </c>
      <c r="AEI45" s="11">
        <v>520461.62</v>
      </c>
      <c r="AEJ45" s="11">
        <v>571134.77</v>
      </c>
      <c r="AEK45" s="11">
        <v>569811</v>
      </c>
      <c r="AEL45" s="11">
        <v>45372.6</v>
      </c>
      <c r="AEM45" s="11">
        <v>430637.47</v>
      </c>
      <c r="AEN45" s="11">
        <v>430280.75</v>
      </c>
      <c r="AEO45" s="11">
        <v>385100</v>
      </c>
      <c r="AEP45" s="11">
        <v>111715</v>
      </c>
      <c r="AEQ45" s="11">
        <v>1320011</v>
      </c>
      <c r="AER45" s="11">
        <v>65629</v>
      </c>
      <c r="AES45" s="11">
        <v>618262.5</v>
      </c>
      <c r="AET45" s="11"/>
      <c r="AEU45" s="11">
        <v>1998851.1</v>
      </c>
      <c r="AEV45" s="11">
        <v>1651790.46</v>
      </c>
      <c r="AEW45" s="11"/>
      <c r="AEX45" s="11">
        <v>1645267.04</v>
      </c>
      <c r="AEY45" s="11">
        <v>11621357.77</v>
      </c>
      <c r="AEZ45" s="11">
        <v>716468.3</v>
      </c>
      <c r="AFA45" s="11">
        <v>432930.6</v>
      </c>
      <c r="AFB45" s="11">
        <v>297619.34999999998</v>
      </c>
      <c r="AFC45" s="11">
        <v>506446.25</v>
      </c>
      <c r="AFD45" s="11"/>
      <c r="AFE45" s="11"/>
      <c r="AFF45" s="11">
        <v>1043915</v>
      </c>
      <c r="AFG45" s="11">
        <v>706454.5</v>
      </c>
      <c r="AFH45" s="11">
        <v>2240175.6</v>
      </c>
      <c r="AFI45" s="11">
        <v>2398279.7000000002</v>
      </c>
      <c r="AFJ45" s="11">
        <v>1412863.4</v>
      </c>
      <c r="AFK45" s="11">
        <v>322325</v>
      </c>
      <c r="AFL45" s="11">
        <v>392428.6</v>
      </c>
      <c r="AFM45" s="11">
        <v>4277010</v>
      </c>
      <c r="AFN45" s="11">
        <v>1099324.3</v>
      </c>
      <c r="AFO45" s="11">
        <v>895976.1</v>
      </c>
      <c r="AFP45" s="11">
        <v>334891</v>
      </c>
      <c r="AFQ45" s="11"/>
      <c r="AFR45" s="11">
        <v>600000</v>
      </c>
      <c r="AFS45" s="11">
        <v>277775</v>
      </c>
      <c r="AFT45" s="11">
        <v>310000</v>
      </c>
      <c r="AFU45" s="11">
        <v>2659504.75</v>
      </c>
      <c r="AFV45" s="11">
        <v>250000</v>
      </c>
      <c r="AFW45" s="11">
        <v>50000</v>
      </c>
      <c r="AFX45" s="11">
        <v>300000</v>
      </c>
      <c r="AFY45" s="11">
        <v>3164966.52</v>
      </c>
      <c r="AFZ45" s="11">
        <v>80000</v>
      </c>
      <c r="AGA45" s="11">
        <v>6276815.5</v>
      </c>
      <c r="AGB45" s="11">
        <v>796597</v>
      </c>
      <c r="AGC45" s="11"/>
      <c r="AGD45" s="11">
        <v>647573.69999999995</v>
      </c>
      <c r="AGE45" s="11">
        <v>3062398.4</v>
      </c>
      <c r="AGF45" s="11">
        <v>482516</v>
      </c>
      <c r="AGG45" s="11">
        <v>760367.8</v>
      </c>
      <c r="AGH45" s="11">
        <v>835984.8</v>
      </c>
      <c r="AGI45" s="11">
        <v>29125</v>
      </c>
      <c r="AGJ45" s="11">
        <v>148101.5</v>
      </c>
      <c r="AGK45" s="11">
        <v>738811.4</v>
      </c>
      <c r="AGL45" s="11">
        <v>2581964.5</v>
      </c>
      <c r="AGM45" s="11">
        <v>311720</v>
      </c>
      <c r="AGN45" s="11"/>
      <c r="AGO45" s="11"/>
      <c r="AGP45" s="11">
        <v>838883.4</v>
      </c>
      <c r="AGQ45" s="11">
        <v>193072.6</v>
      </c>
      <c r="AGR45" s="11">
        <v>114939.95</v>
      </c>
      <c r="AGS45" s="11">
        <v>930190.74</v>
      </c>
      <c r="AGT45" s="11">
        <v>54020.6</v>
      </c>
      <c r="AGU45" s="11">
        <v>553850.5</v>
      </c>
      <c r="AGV45" s="11"/>
      <c r="AGW45" s="11"/>
      <c r="AGX45" s="11">
        <v>400143.3</v>
      </c>
      <c r="AGY45" s="11">
        <v>942141.61</v>
      </c>
      <c r="AGZ45" s="11">
        <v>567099</v>
      </c>
      <c r="AHA45" s="11">
        <v>1343258.95</v>
      </c>
      <c r="AHB45" s="11">
        <v>1088520.1499999999</v>
      </c>
      <c r="AHC45" s="11">
        <v>808708</v>
      </c>
      <c r="AHD45" s="11">
        <v>164020</v>
      </c>
      <c r="AHE45" s="11">
        <v>2724070</v>
      </c>
      <c r="AHF45" s="11">
        <v>207664.5</v>
      </c>
      <c r="AHG45" s="11">
        <v>510100.32</v>
      </c>
      <c r="AHH45" s="11">
        <v>112123</v>
      </c>
      <c r="AHI45" s="11">
        <v>467665</v>
      </c>
      <c r="AHJ45" s="11">
        <v>479615</v>
      </c>
      <c r="AHK45" s="11">
        <v>545818</v>
      </c>
      <c r="AHL45" s="11"/>
      <c r="AHM45" s="11"/>
      <c r="AHN45" s="11">
        <v>493449</v>
      </c>
      <c r="AHO45" s="11">
        <v>736376.5</v>
      </c>
      <c r="AHP45" s="11">
        <v>369704.95</v>
      </c>
      <c r="AHQ45" s="11">
        <v>1928541</v>
      </c>
      <c r="AHR45" s="11">
        <v>1064284.1100000001</v>
      </c>
      <c r="AHS45" s="11">
        <v>573476</v>
      </c>
      <c r="AHT45" s="11">
        <v>2460541433.3599963</v>
      </c>
    </row>
    <row r="46" spans="2:905" x14ac:dyDescent="0.7">
      <c r="B46" s="6" t="s">
        <v>6041</v>
      </c>
      <c r="C46" s="6" t="s">
        <v>6042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>
        <v>2818878.05</v>
      </c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>
        <v>2270266.6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>
        <v>153305</v>
      </c>
      <c r="BT46" s="11">
        <v>271864</v>
      </c>
      <c r="BU46" s="11">
        <v>228327</v>
      </c>
      <c r="BV46" s="11">
        <v>396366</v>
      </c>
      <c r="BW46" s="11">
        <v>88950</v>
      </c>
      <c r="BX46" s="11">
        <v>122543.5</v>
      </c>
      <c r="BY46" s="11">
        <v>236326.99</v>
      </c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>
        <v>1821714</v>
      </c>
      <c r="DC46" s="11">
        <v>2636259.73</v>
      </c>
      <c r="DD46" s="11">
        <v>1451785</v>
      </c>
      <c r="DE46" s="11">
        <v>200000</v>
      </c>
      <c r="DF46" s="11"/>
      <c r="DG46" s="11"/>
      <c r="DH46" s="11"/>
      <c r="DI46" s="11"/>
      <c r="DJ46" s="11">
        <v>200000</v>
      </c>
      <c r="DK46" s="11">
        <v>9252529.9299999997</v>
      </c>
      <c r="DL46" s="11">
        <v>172650.75</v>
      </c>
      <c r="DM46" s="11">
        <v>1041382</v>
      </c>
      <c r="DN46" s="11">
        <v>854901</v>
      </c>
      <c r="DO46" s="11">
        <v>462021.75</v>
      </c>
      <c r="DP46" s="11">
        <v>343509.5</v>
      </c>
      <c r="DQ46" s="11">
        <v>406857.23</v>
      </c>
      <c r="DR46" s="11">
        <v>509677.14</v>
      </c>
      <c r="DS46" s="11">
        <v>1196262.22</v>
      </c>
      <c r="DT46" s="11"/>
      <c r="DU46" s="11"/>
      <c r="DV46" s="11"/>
      <c r="DW46" s="11">
        <v>85712.43</v>
      </c>
      <c r="DX46" s="11"/>
      <c r="DY46" s="11"/>
      <c r="DZ46" s="11"/>
      <c r="EA46" s="11"/>
      <c r="EB46" s="11"/>
      <c r="EC46" s="11">
        <v>317760</v>
      </c>
      <c r="ED46" s="11"/>
      <c r="EE46" s="11"/>
      <c r="EF46" s="11">
        <v>1397135.63</v>
      </c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>
        <v>8976567</v>
      </c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>
        <v>75898</v>
      </c>
      <c r="GV46" s="11"/>
      <c r="GW46" s="11">
        <v>98263</v>
      </c>
      <c r="GX46" s="11"/>
      <c r="GY46" s="11"/>
      <c r="GZ46" s="11"/>
      <c r="HA46" s="11"/>
      <c r="HB46" s="11"/>
      <c r="HC46" s="11">
        <v>8827170.5</v>
      </c>
      <c r="HD46" s="11"/>
      <c r="HE46" s="11"/>
      <c r="HF46" s="11">
        <v>3544922</v>
      </c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>
        <v>2594260</v>
      </c>
      <c r="HT46" s="11">
        <v>1751125.45</v>
      </c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>
        <v>1263610.3</v>
      </c>
      <c r="IJ46" s="11">
        <v>2509576.7999999998</v>
      </c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>
        <v>322000</v>
      </c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>
        <v>417050</v>
      </c>
      <c r="KZ46" s="11">
        <v>6619140.5499999998</v>
      </c>
      <c r="LA46" s="11"/>
      <c r="LB46" s="11"/>
      <c r="LC46" s="11"/>
      <c r="LD46" s="11"/>
      <c r="LE46" s="11"/>
      <c r="LF46" s="11"/>
      <c r="LG46" s="11"/>
      <c r="LH46" s="11"/>
      <c r="LI46" s="11"/>
      <c r="LJ46" s="11">
        <v>1369732</v>
      </c>
      <c r="LK46" s="11"/>
      <c r="LL46" s="11"/>
      <c r="LM46" s="11"/>
      <c r="LN46" s="11"/>
      <c r="LO46" s="11"/>
      <c r="LP46" s="11"/>
      <c r="LQ46" s="11"/>
      <c r="LR46" s="11"/>
      <c r="LS46" s="11">
        <v>1469041.2</v>
      </c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>
        <v>154700</v>
      </c>
      <c r="MJ46" s="11"/>
      <c r="MK46" s="11">
        <v>0</v>
      </c>
      <c r="ML46" s="11">
        <v>0</v>
      </c>
      <c r="MM46" s="11"/>
      <c r="MN46" s="11"/>
      <c r="MO46" s="11">
        <v>17415</v>
      </c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>
        <v>4860000</v>
      </c>
      <c r="NG46" s="11"/>
      <c r="NH46" s="11"/>
      <c r="NI46" s="11"/>
      <c r="NJ46" s="11"/>
      <c r="NK46" s="11"/>
      <c r="NL46" s="11">
        <v>6326662.7999999998</v>
      </c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>
        <v>8419328.9900000002</v>
      </c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>
        <v>197801</v>
      </c>
      <c r="QR46" s="11"/>
      <c r="QS46" s="11">
        <v>245405.5</v>
      </c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>
        <v>678047</v>
      </c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>
        <v>27992980.309999999</v>
      </c>
      <c r="WW46" s="11"/>
      <c r="WX46" s="11"/>
      <c r="WY46" s="11"/>
      <c r="WZ46" s="11"/>
      <c r="XA46" s="11"/>
      <c r="XB46" s="11"/>
      <c r="XC46" s="11"/>
      <c r="XD46" s="11">
        <v>11695176.67</v>
      </c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>
        <v>4681664</v>
      </c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>
        <v>1481351.72</v>
      </c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>
        <v>8021962.5</v>
      </c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>
        <v>7809039.8600000003</v>
      </c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>
        <v>1793773</v>
      </c>
      <c r="AFS46" s="11"/>
      <c r="AFT46" s="11">
        <v>441188.7</v>
      </c>
      <c r="AFU46" s="11">
        <v>388334.28</v>
      </c>
      <c r="AFV46" s="11"/>
      <c r="AFW46" s="11"/>
      <c r="AFX46" s="11"/>
      <c r="AFY46" s="11"/>
      <c r="AFZ46" s="11"/>
      <c r="AGA46" s="11"/>
      <c r="AGB46" s="11"/>
      <c r="AGC46" s="11">
        <v>3591760.2</v>
      </c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>
        <v>430721</v>
      </c>
      <c r="AHM46" s="11"/>
      <c r="AHN46" s="11"/>
      <c r="AHO46" s="11"/>
      <c r="AHP46" s="11"/>
      <c r="AHQ46" s="11"/>
      <c r="AHR46" s="11"/>
      <c r="AHS46" s="11"/>
      <c r="AHT46" s="11">
        <v>158002654.78</v>
      </c>
    </row>
    <row r="47" spans="2:905" x14ac:dyDescent="0.7">
      <c r="B47" s="6" t="s">
        <v>6043</v>
      </c>
      <c r="C47" s="6" t="s">
        <v>6457</v>
      </c>
      <c r="D47" s="11">
        <v>0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>
        <v>278694</v>
      </c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>
        <v>0</v>
      </c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>
        <v>177131840.87</v>
      </c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>
        <v>0</v>
      </c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>
        <v>0</v>
      </c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>
        <v>0</v>
      </c>
      <c r="GZ47" s="11"/>
      <c r="HA47" s="11"/>
      <c r="HB47" s="11"/>
      <c r="HC47" s="11">
        <v>0</v>
      </c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>
        <v>41002</v>
      </c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>
        <v>595313.09</v>
      </c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>
        <v>0</v>
      </c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>
        <v>0</v>
      </c>
      <c r="LA47" s="11"/>
      <c r="LB47" s="11"/>
      <c r="LC47" s="11"/>
      <c r="LD47" s="11"/>
      <c r="LE47" s="11"/>
      <c r="LF47" s="11"/>
      <c r="LG47" s="11"/>
      <c r="LH47" s="11">
        <v>0</v>
      </c>
      <c r="LI47" s="11"/>
      <c r="LJ47" s="11">
        <v>0</v>
      </c>
      <c r="LK47" s="11"/>
      <c r="LL47" s="11"/>
      <c r="LM47" s="11"/>
      <c r="LN47" s="11"/>
      <c r="LO47" s="11"/>
      <c r="LP47" s="11"/>
      <c r="LQ47" s="11"/>
      <c r="LR47" s="11"/>
      <c r="LS47" s="11">
        <v>0</v>
      </c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>
        <v>1032.4000000000001</v>
      </c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>
        <v>6010.43</v>
      </c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>
        <v>0</v>
      </c>
      <c r="NY47" s="11">
        <v>216289.24</v>
      </c>
      <c r="NZ47" s="11"/>
      <c r="OA47" s="11"/>
      <c r="OB47" s="11"/>
      <c r="OC47" s="11"/>
      <c r="OD47" s="11"/>
      <c r="OE47" s="11"/>
      <c r="OF47" s="11">
        <v>41821</v>
      </c>
      <c r="OG47" s="11"/>
      <c r="OH47" s="11">
        <v>0</v>
      </c>
      <c r="OI47" s="11"/>
      <c r="OJ47" s="11"/>
      <c r="OK47" s="11"/>
      <c r="OL47" s="11"/>
      <c r="OM47" s="11"/>
      <c r="ON47" s="11"/>
      <c r="OO47" s="11"/>
      <c r="OP47" s="11">
        <v>8560</v>
      </c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>
        <v>0</v>
      </c>
      <c r="PV47" s="11">
        <v>13671.26</v>
      </c>
      <c r="PW47" s="11">
        <v>1625695.94</v>
      </c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>
        <v>0</v>
      </c>
      <c r="QP47" s="11"/>
      <c r="QQ47" s="11"/>
      <c r="QR47" s="11"/>
      <c r="QS47" s="11"/>
      <c r="QT47" s="11"/>
      <c r="QU47" s="11"/>
      <c r="QV47" s="11"/>
      <c r="QW47" s="11"/>
      <c r="QX47" s="11"/>
      <c r="QY47" s="11">
        <v>9561048.9199999999</v>
      </c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>
        <v>0</v>
      </c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>
        <v>0</v>
      </c>
      <c r="UA47" s="11"/>
      <c r="UB47" s="11">
        <v>70412</v>
      </c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>
        <v>0</v>
      </c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>
        <v>0</v>
      </c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>
        <v>0</v>
      </c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>
        <v>11979</v>
      </c>
      <c r="YX47" s="11"/>
      <c r="YY47" s="11"/>
      <c r="YZ47" s="11"/>
      <c r="ZA47" s="11"/>
      <c r="ZB47" s="11"/>
      <c r="ZC47" s="11"/>
      <c r="ZD47" s="11">
        <v>0</v>
      </c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>
        <v>0</v>
      </c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>
        <v>95195</v>
      </c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>
        <v>5055.5</v>
      </c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>
        <v>0</v>
      </c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>
        <v>0</v>
      </c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>
        <v>38747949.5</v>
      </c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>
        <v>228451570.15000001</v>
      </c>
    </row>
    <row r="48" spans="2:905" x14ac:dyDescent="0.7">
      <c r="B48" s="6" t="s">
        <v>6045</v>
      </c>
      <c r="C48" s="6" t="s">
        <v>6046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>
        <v>0</v>
      </c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>
        <v>0</v>
      </c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>
        <v>2755177.5</v>
      </c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>
        <v>0</v>
      </c>
      <c r="LJ48" s="11"/>
      <c r="LK48" s="11"/>
      <c r="LL48" s="11"/>
      <c r="LM48" s="11"/>
      <c r="LN48" s="11"/>
      <c r="LO48" s="11"/>
      <c r="LP48" s="11"/>
      <c r="LQ48" s="11"/>
      <c r="LR48" s="11"/>
      <c r="LS48" s="11">
        <v>4724.2</v>
      </c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>
        <v>404507.25</v>
      </c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>
        <v>0</v>
      </c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>
        <v>0</v>
      </c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>
        <v>0</v>
      </c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>
        <v>0</v>
      </c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>
        <v>3164408.95</v>
      </c>
    </row>
    <row r="49" spans="1:908" x14ac:dyDescent="0.7">
      <c r="B49" s="6" t="s">
        <v>6047</v>
      </c>
      <c r="C49" s="6" t="s">
        <v>6458</v>
      </c>
      <c r="D49" s="11"/>
      <c r="E49" s="11"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>
        <v>0</v>
      </c>
      <c r="W49" s="11"/>
      <c r="X49" s="11"/>
      <c r="Y49" s="11"/>
      <c r="Z49" s="11">
        <v>996843.83</v>
      </c>
      <c r="AA49" s="11"/>
      <c r="AB49" s="11"/>
      <c r="AC49" s="11"/>
      <c r="AD49" s="11"/>
      <c r="AE49" s="11"/>
      <c r="AF49" s="11"/>
      <c r="AG49" s="11"/>
      <c r="AH49" s="11">
        <v>839831</v>
      </c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803191.87</v>
      </c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>
        <v>1133130</v>
      </c>
      <c r="BJ49" s="11"/>
      <c r="BK49" s="11"/>
      <c r="BL49" s="11"/>
      <c r="BM49" s="11"/>
      <c r="BN49" s="11"/>
      <c r="BO49" s="11"/>
      <c r="BP49" s="11"/>
      <c r="BQ49" s="11"/>
      <c r="BR49" s="11">
        <v>0</v>
      </c>
      <c r="BS49" s="11"/>
      <c r="BT49" s="11"/>
      <c r="BU49" s="11"/>
      <c r="BV49" s="11"/>
      <c r="BW49" s="11"/>
      <c r="BX49" s="11"/>
      <c r="BY49" s="11">
        <v>0</v>
      </c>
      <c r="BZ49" s="11"/>
      <c r="CA49" s="11"/>
      <c r="CB49" s="11"/>
      <c r="CC49" s="11"/>
      <c r="CD49" s="11"/>
      <c r="CE49" s="11"/>
      <c r="CF49" s="11"/>
      <c r="CG49" s="11">
        <v>0</v>
      </c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>
        <v>0</v>
      </c>
      <c r="CU49" s="11"/>
      <c r="CV49" s="11"/>
      <c r="CW49" s="11"/>
      <c r="CX49" s="11"/>
      <c r="CY49" s="11"/>
      <c r="CZ49" s="11"/>
      <c r="DA49" s="11"/>
      <c r="DB49" s="11">
        <v>0</v>
      </c>
      <c r="DC49" s="11"/>
      <c r="DD49" s="11"/>
      <c r="DE49" s="11"/>
      <c r="DF49" s="11"/>
      <c r="DG49" s="11"/>
      <c r="DH49" s="11"/>
      <c r="DI49" s="11"/>
      <c r="DJ49" s="11"/>
      <c r="DK49" s="11">
        <v>11949.48</v>
      </c>
      <c r="DL49" s="11"/>
      <c r="DM49" s="11">
        <v>0</v>
      </c>
      <c r="DN49" s="11">
        <v>0</v>
      </c>
      <c r="DO49" s="11"/>
      <c r="DP49" s="11"/>
      <c r="DQ49" s="11">
        <v>0</v>
      </c>
      <c r="DR49" s="11">
        <v>0</v>
      </c>
      <c r="DS49" s="11">
        <v>0</v>
      </c>
      <c r="DT49" s="11">
        <v>21000</v>
      </c>
      <c r="DU49" s="11"/>
      <c r="DV49" s="11">
        <v>0</v>
      </c>
      <c r="DW49" s="11"/>
      <c r="DX49" s="11">
        <v>0</v>
      </c>
      <c r="DY49" s="11"/>
      <c r="DZ49" s="11">
        <v>0</v>
      </c>
      <c r="EA49" s="11">
        <v>396</v>
      </c>
      <c r="EB49" s="11"/>
      <c r="EC49" s="11"/>
      <c r="ED49" s="11"/>
      <c r="EE49" s="11">
        <v>0</v>
      </c>
      <c r="EF49" s="11">
        <v>0</v>
      </c>
      <c r="EG49" s="11"/>
      <c r="EH49" s="11"/>
      <c r="EI49" s="11"/>
      <c r="EJ49" s="11">
        <v>442135.48</v>
      </c>
      <c r="EK49" s="11"/>
      <c r="EL49" s="11"/>
      <c r="EM49" s="11"/>
      <c r="EN49" s="11">
        <v>118344</v>
      </c>
      <c r="EO49" s="11"/>
      <c r="EP49" s="11"/>
      <c r="EQ49" s="11"/>
      <c r="ER49" s="11"/>
      <c r="ES49" s="11"/>
      <c r="ET49" s="11"/>
      <c r="EU49" s="11">
        <v>0</v>
      </c>
      <c r="EV49" s="11"/>
      <c r="EW49" s="11">
        <v>0</v>
      </c>
      <c r="EX49" s="11">
        <v>0</v>
      </c>
      <c r="EY49" s="11">
        <v>0</v>
      </c>
      <c r="EZ49" s="11">
        <v>0</v>
      </c>
      <c r="FA49" s="11">
        <v>0</v>
      </c>
      <c r="FB49" s="11">
        <v>0</v>
      </c>
      <c r="FC49" s="11">
        <v>0</v>
      </c>
      <c r="FD49" s="11">
        <v>0</v>
      </c>
      <c r="FE49" s="11">
        <v>0</v>
      </c>
      <c r="FF49" s="11">
        <v>0</v>
      </c>
      <c r="FG49" s="11">
        <v>0</v>
      </c>
      <c r="FH49" s="11">
        <v>0</v>
      </c>
      <c r="FI49" s="11"/>
      <c r="FJ49" s="11"/>
      <c r="FK49" s="11"/>
      <c r="FL49" s="11"/>
      <c r="FM49" s="11"/>
      <c r="FN49" s="11"/>
      <c r="FO49" s="11"/>
      <c r="FP49" s="11"/>
      <c r="FQ49" s="11">
        <v>0</v>
      </c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>
        <v>3453930.45</v>
      </c>
      <c r="GF49" s="11"/>
      <c r="GG49" s="11"/>
      <c r="GH49" s="11"/>
      <c r="GI49" s="11"/>
      <c r="GJ49" s="11"/>
      <c r="GK49" s="11">
        <v>11566563.199999999</v>
      </c>
      <c r="GL49" s="11"/>
      <c r="GM49" s="11"/>
      <c r="GN49" s="11"/>
      <c r="GO49" s="11"/>
      <c r="GP49" s="11">
        <v>3357099.08</v>
      </c>
      <c r="GQ49" s="11">
        <v>29488.14</v>
      </c>
      <c r="GR49" s="11">
        <v>0</v>
      </c>
      <c r="GS49" s="11"/>
      <c r="GT49" s="11"/>
      <c r="GU49" s="11"/>
      <c r="GV49" s="11"/>
      <c r="GW49" s="11"/>
      <c r="GX49" s="11"/>
      <c r="GY49" s="11"/>
      <c r="GZ49" s="11"/>
      <c r="HA49" s="11"/>
      <c r="HB49" s="11">
        <v>0</v>
      </c>
      <c r="HC49" s="11">
        <v>0</v>
      </c>
      <c r="HD49" s="11"/>
      <c r="HE49" s="11">
        <v>1159.27</v>
      </c>
      <c r="HF49" s="11"/>
      <c r="HG49" s="11"/>
      <c r="HH49" s="11">
        <v>112802648.75</v>
      </c>
      <c r="HI49" s="11"/>
      <c r="HJ49" s="11"/>
      <c r="HK49" s="11">
        <v>6577421.0599999996</v>
      </c>
      <c r="HL49" s="11"/>
      <c r="HM49" s="11"/>
      <c r="HN49" s="11"/>
      <c r="HO49" s="11"/>
      <c r="HP49" s="11"/>
      <c r="HQ49" s="11"/>
      <c r="HR49" s="11"/>
      <c r="HS49" s="11"/>
      <c r="HT49" s="11">
        <v>0</v>
      </c>
      <c r="HU49" s="11"/>
      <c r="HV49" s="11"/>
      <c r="HW49" s="11"/>
      <c r="HX49" s="11"/>
      <c r="HY49" s="11"/>
      <c r="HZ49" s="11"/>
      <c r="IA49" s="11"/>
      <c r="IB49" s="11"/>
      <c r="IC49" s="11"/>
      <c r="ID49" s="11">
        <v>291963.5</v>
      </c>
      <c r="IE49" s="11"/>
      <c r="IF49" s="11"/>
      <c r="IG49" s="11">
        <v>132.16999999999999</v>
      </c>
      <c r="IH49" s="11"/>
      <c r="II49" s="11">
        <v>0</v>
      </c>
      <c r="IJ49" s="11">
        <v>502809.25</v>
      </c>
      <c r="IK49" s="11">
        <v>0</v>
      </c>
      <c r="IL49" s="11">
        <v>1270</v>
      </c>
      <c r="IM49" s="11">
        <v>0</v>
      </c>
      <c r="IN49" s="11"/>
      <c r="IO49" s="11"/>
      <c r="IP49" s="11"/>
      <c r="IQ49" s="11">
        <v>0</v>
      </c>
      <c r="IR49" s="11"/>
      <c r="IS49" s="11">
        <v>0</v>
      </c>
      <c r="IT49" s="11">
        <v>1129.17</v>
      </c>
      <c r="IU49" s="11">
        <v>1889046.37</v>
      </c>
      <c r="IV49" s="11">
        <v>0</v>
      </c>
      <c r="IW49" s="11">
        <v>0</v>
      </c>
      <c r="IX49" s="11">
        <v>0</v>
      </c>
      <c r="IY49" s="11">
        <v>-160764.64000000001</v>
      </c>
      <c r="IZ49" s="11">
        <v>1188.6400000000001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11"/>
      <c r="JH49" s="11"/>
      <c r="JI49" s="11">
        <v>2783547.52</v>
      </c>
      <c r="JJ49" s="11"/>
      <c r="JK49" s="11">
        <v>103174.48</v>
      </c>
      <c r="JL49" s="11">
        <v>1618263.1</v>
      </c>
      <c r="JM49" s="11"/>
      <c r="JN49" s="11"/>
      <c r="JO49" s="11"/>
      <c r="JP49" s="11">
        <v>681.25</v>
      </c>
      <c r="JQ49" s="11"/>
      <c r="JR49" s="11"/>
      <c r="JS49" s="11">
        <v>11134895.189999999</v>
      </c>
      <c r="JT49" s="11">
        <v>1649713</v>
      </c>
      <c r="JU49" s="11"/>
      <c r="JV49" s="11"/>
      <c r="JW49" s="11"/>
      <c r="JX49" s="11"/>
      <c r="JY49" s="11"/>
      <c r="JZ49" s="11"/>
      <c r="KA49" s="11"/>
      <c r="KB49" s="11"/>
      <c r="KC49" s="11">
        <v>0</v>
      </c>
      <c r="KD49" s="11"/>
      <c r="KE49" s="11"/>
      <c r="KF49" s="11"/>
      <c r="KG49" s="11"/>
      <c r="KH49" s="11"/>
      <c r="KI49" s="11">
        <v>0</v>
      </c>
      <c r="KJ49" s="11"/>
      <c r="KK49" s="11">
        <v>1300.05</v>
      </c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>
        <v>0</v>
      </c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>
        <v>2274605.6800000002</v>
      </c>
      <c r="LO49" s="11"/>
      <c r="LP49" s="11">
        <v>42909</v>
      </c>
      <c r="LQ49" s="11"/>
      <c r="LR49" s="11"/>
      <c r="LS49" s="11"/>
      <c r="LT49" s="11"/>
      <c r="LU49" s="11"/>
      <c r="LV49" s="11"/>
      <c r="LW49" s="11"/>
      <c r="LX49" s="11"/>
      <c r="LY49" s="11">
        <v>89171</v>
      </c>
      <c r="LZ49" s="11"/>
      <c r="MA49" s="11"/>
      <c r="MB49" s="11"/>
      <c r="MC49" s="11"/>
      <c r="MD49" s="11"/>
      <c r="ME49" s="11"/>
      <c r="MF49" s="11"/>
      <c r="MG49" s="11"/>
      <c r="MH49" s="11">
        <v>1968907.89</v>
      </c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>
        <v>0</v>
      </c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>
        <v>38667630.100000001</v>
      </c>
      <c r="NF49" s="11"/>
      <c r="NG49" s="11"/>
      <c r="NH49" s="11"/>
      <c r="NI49" s="11"/>
      <c r="NJ49" s="11"/>
      <c r="NK49" s="11"/>
      <c r="NL49" s="11"/>
      <c r="NM49" s="11">
        <v>162427.25</v>
      </c>
      <c r="NN49" s="11"/>
      <c r="NO49" s="11"/>
      <c r="NP49" s="11"/>
      <c r="NQ49" s="11">
        <v>87909.65</v>
      </c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>
        <v>0</v>
      </c>
      <c r="OD49" s="11"/>
      <c r="OE49" s="11">
        <v>0</v>
      </c>
      <c r="OF49" s="11"/>
      <c r="OG49" s="11"/>
      <c r="OH49" s="11"/>
      <c r="OI49" s="11"/>
      <c r="OJ49" s="11">
        <v>1970717.87</v>
      </c>
      <c r="OK49" s="11"/>
      <c r="OL49" s="11"/>
      <c r="OM49" s="11"/>
      <c r="ON49" s="11">
        <v>0</v>
      </c>
      <c r="OO49" s="11">
        <v>0</v>
      </c>
      <c r="OP49" s="11">
        <v>0</v>
      </c>
      <c r="OQ49" s="11">
        <v>0</v>
      </c>
      <c r="OR49" s="11">
        <v>0</v>
      </c>
      <c r="OS49" s="11">
        <v>0</v>
      </c>
      <c r="OT49" s="11">
        <v>3580845.17</v>
      </c>
      <c r="OU49" s="11"/>
      <c r="OV49" s="11"/>
      <c r="OW49" s="11"/>
      <c r="OX49" s="11"/>
      <c r="OY49" s="11"/>
      <c r="OZ49" s="11"/>
      <c r="PA49" s="11"/>
      <c r="PB49" s="11"/>
      <c r="PC49" s="11">
        <v>0</v>
      </c>
      <c r="PD49" s="11"/>
      <c r="PE49" s="11"/>
      <c r="PF49" s="11"/>
      <c r="PG49" s="11"/>
      <c r="PH49" s="11"/>
      <c r="PI49" s="11">
        <v>0</v>
      </c>
      <c r="PJ49" s="11">
        <v>0</v>
      </c>
      <c r="PK49" s="11"/>
      <c r="PL49" s="11">
        <v>0</v>
      </c>
      <c r="PM49" s="11"/>
      <c r="PN49" s="11">
        <v>0</v>
      </c>
      <c r="PO49" s="11"/>
      <c r="PP49" s="11">
        <v>102071</v>
      </c>
      <c r="PQ49" s="11"/>
      <c r="PR49" s="11"/>
      <c r="PS49" s="11"/>
      <c r="PT49" s="11"/>
      <c r="PU49" s="11"/>
      <c r="PV49" s="11">
        <v>-379502.63</v>
      </c>
      <c r="PW49" s="11">
        <v>0</v>
      </c>
      <c r="PX49" s="11">
        <v>0</v>
      </c>
      <c r="PY49" s="11">
        <v>0</v>
      </c>
      <c r="PZ49" s="11">
        <v>0</v>
      </c>
      <c r="QA49" s="11"/>
      <c r="QB49" s="11">
        <v>500</v>
      </c>
      <c r="QC49" s="11">
        <v>0</v>
      </c>
      <c r="QD49" s="11">
        <v>0</v>
      </c>
      <c r="QE49" s="11">
        <v>0</v>
      </c>
      <c r="QF49" s="11">
        <v>0</v>
      </c>
      <c r="QG49" s="11">
        <v>0</v>
      </c>
      <c r="QH49" s="11">
        <v>0</v>
      </c>
      <c r="QI49" s="11">
        <v>0</v>
      </c>
      <c r="QJ49" s="11">
        <v>0</v>
      </c>
      <c r="QK49" s="11">
        <v>0</v>
      </c>
      <c r="QL49" s="11">
        <v>0</v>
      </c>
      <c r="QM49" s="11">
        <v>0</v>
      </c>
      <c r="QN49" s="11">
        <v>0</v>
      </c>
      <c r="QO49" s="11">
        <v>0</v>
      </c>
      <c r="QP49" s="11">
        <v>0</v>
      </c>
      <c r="QQ49" s="11"/>
      <c r="QR49" s="11">
        <v>138556</v>
      </c>
      <c r="QS49" s="11">
        <v>0</v>
      </c>
      <c r="QT49" s="11">
        <v>0</v>
      </c>
      <c r="QU49" s="11">
        <v>0</v>
      </c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>
        <v>0</v>
      </c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>
        <v>315175.13</v>
      </c>
      <c r="RU49" s="11"/>
      <c r="RV49" s="11"/>
      <c r="RW49" s="11"/>
      <c r="RX49" s="11"/>
      <c r="RY49" s="11"/>
      <c r="RZ49" s="11"/>
      <c r="SA49" s="11"/>
      <c r="SB49" s="11">
        <v>27130430.34</v>
      </c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>
        <v>29526</v>
      </c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>
        <v>8597240.9000000004</v>
      </c>
      <c r="UC49" s="11">
        <v>0</v>
      </c>
      <c r="UD49" s="11"/>
      <c r="UE49" s="11"/>
      <c r="UF49" s="11"/>
      <c r="UG49" s="11"/>
      <c r="UH49" s="11"/>
      <c r="UI49" s="11"/>
      <c r="UJ49" s="11"/>
      <c r="UK49" s="11">
        <v>0</v>
      </c>
      <c r="UL49" s="11"/>
      <c r="UM49" s="11"/>
      <c r="UN49" s="11"/>
      <c r="UO49" s="11"/>
      <c r="UP49" s="11"/>
      <c r="UQ49" s="11">
        <v>57053.83</v>
      </c>
      <c r="UR49" s="11"/>
      <c r="US49" s="11"/>
      <c r="UT49" s="11">
        <v>0</v>
      </c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>
        <v>284160.13</v>
      </c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>
        <v>937213</v>
      </c>
      <c r="VR49" s="11"/>
      <c r="VS49" s="11"/>
      <c r="VT49" s="11"/>
      <c r="VU49" s="11"/>
      <c r="VV49" s="11"/>
      <c r="VW49" s="11"/>
      <c r="VX49" s="11">
        <v>1748159</v>
      </c>
      <c r="VY49" s="11"/>
      <c r="VZ49" s="11"/>
      <c r="WA49" s="11"/>
      <c r="WB49" s="11">
        <v>0</v>
      </c>
      <c r="WC49" s="11"/>
      <c r="WD49" s="11"/>
      <c r="WE49" s="11"/>
      <c r="WF49" s="11"/>
      <c r="WG49" s="11"/>
      <c r="WH49" s="11"/>
      <c r="WI49" s="11"/>
      <c r="WJ49" s="11"/>
      <c r="WK49" s="11"/>
      <c r="WL49" s="11">
        <v>500</v>
      </c>
      <c r="WM49" s="11"/>
      <c r="WN49" s="11"/>
      <c r="WO49" s="11">
        <v>86045.5</v>
      </c>
      <c r="WP49" s="11"/>
      <c r="WQ49" s="11"/>
      <c r="WR49" s="11"/>
      <c r="WS49" s="11"/>
      <c r="WT49" s="11"/>
      <c r="WU49" s="11"/>
      <c r="WV49" s="11">
        <v>8737785.0500000007</v>
      </c>
      <c r="WW49" s="11"/>
      <c r="WX49" s="11"/>
      <c r="WY49" s="11"/>
      <c r="WZ49" s="11">
        <v>44161841.609999999</v>
      </c>
      <c r="XA49" s="11"/>
      <c r="XB49" s="11"/>
      <c r="XC49" s="11"/>
      <c r="XD49" s="11"/>
      <c r="XE49" s="11"/>
      <c r="XF49" s="11"/>
      <c r="XG49" s="11"/>
      <c r="XH49" s="11"/>
      <c r="XI49" s="11">
        <v>396795.5</v>
      </c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>
        <v>1520</v>
      </c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>
        <v>0</v>
      </c>
      <c r="YX49" s="11"/>
      <c r="YY49" s="11"/>
      <c r="YZ49" s="11"/>
      <c r="ZA49" s="11">
        <v>4644606.51</v>
      </c>
      <c r="ZB49" s="11"/>
      <c r="ZC49" s="11">
        <v>12046144.880000001</v>
      </c>
      <c r="ZD49" s="11">
        <v>0</v>
      </c>
      <c r="ZE49" s="11"/>
      <c r="ZF49" s="11"/>
      <c r="ZG49" s="11"/>
      <c r="ZH49" s="11"/>
      <c r="ZI49" s="11">
        <v>0</v>
      </c>
      <c r="ZJ49" s="11"/>
      <c r="ZK49" s="11"/>
      <c r="ZL49" s="11"/>
      <c r="ZM49" s="11">
        <v>0</v>
      </c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>
        <v>0</v>
      </c>
      <c r="AAD49" s="11"/>
      <c r="AAE49" s="11"/>
      <c r="AAF49" s="11"/>
      <c r="AAG49" s="11"/>
      <c r="AAH49" s="11"/>
      <c r="AAI49" s="11">
        <v>333342.52</v>
      </c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>
        <v>0</v>
      </c>
      <c r="AAW49" s="11"/>
      <c r="AAX49" s="11">
        <v>40000</v>
      </c>
      <c r="AAY49" s="11"/>
      <c r="AAZ49" s="11">
        <v>10187.049999999999</v>
      </c>
      <c r="ABA49" s="11">
        <v>1000</v>
      </c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>
        <v>0</v>
      </c>
      <c r="ABQ49" s="11"/>
      <c r="ABR49" s="11"/>
      <c r="ABS49" s="11"/>
      <c r="ABT49" s="11"/>
      <c r="ABU49" s="11"/>
      <c r="ABV49" s="11"/>
      <c r="ABW49" s="11">
        <v>2237028.8199999998</v>
      </c>
      <c r="ABX49" s="11"/>
      <c r="ABY49" s="11"/>
      <c r="ABZ49" s="11">
        <v>2795095.68</v>
      </c>
      <c r="ACA49" s="11"/>
      <c r="ACB49" s="11"/>
      <c r="ACC49" s="11"/>
      <c r="ACD49" s="11">
        <v>25200</v>
      </c>
      <c r="ACE49" s="11"/>
      <c r="ACF49" s="11"/>
      <c r="ACG49" s="11"/>
      <c r="ACH49" s="11"/>
      <c r="ACI49" s="11"/>
      <c r="ACJ49" s="11">
        <v>10930372.27</v>
      </c>
      <c r="ACK49" s="11"/>
      <c r="ACL49" s="11"/>
      <c r="ACM49" s="11">
        <v>4603.87</v>
      </c>
      <c r="ACN49" s="11">
        <v>15321378.6</v>
      </c>
      <c r="ACO49" s="11"/>
      <c r="ACP49" s="11">
        <v>28998.94</v>
      </c>
      <c r="ACQ49" s="11"/>
      <c r="ACR49" s="11"/>
      <c r="ACS49" s="11"/>
      <c r="ACT49" s="11"/>
      <c r="ACU49" s="11"/>
      <c r="ACV49" s="11"/>
      <c r="ACW49" s="11">
        <v>20000</v>
      </c>
      <c r="ACX49" s="11"/>
      <c r="ACY49" s="11"/>
      <c r="ACZ49" s="11"/>
      <c r="ADA49" s="11"/>
      <c r="ADB49" s="11"/>
      <c r="ADC49" s="11"/>
      <c r="ADD49" s="11"/>
      <c r="ADE49" s="11"/>
      <c r="ADF49" s="11"/>
      <c r="ADG49" s="11">
        <v>1953170.5</v>
      </c>
      <c r="ADH49" s="11">
        <v>0</v>
      </c>
      <c r="ADI49" s="11"/>
      <c r="ADJ49" s="11"/>
      <c r="ADK49" s="11"/>
      <c r="ADL49" s="11">
        <v>0</v>
      </c>
      <c r="ADM49" s="11"/>
      <c r="ADN49" s="11"/>
      <c r="ADO49" s="11"/>
      <c r="ADP49" s="11">
        <v>254000</v>
      </c>
      <c r="ADQ49" s="11"/>
      <c r="ADR49" s="11"/>
      <c r="ADS49" s="11"/>
      <c r="ADT49" s="11"/>
      <c r="ADU49" s="11"/>
      <c r="ADV49" s="11"/>
      <c r="ADW49" s="11"/>
      <c r="ADX49" s="11"/>
      <c r="ADY49" s="11">
        <v>10884</v>
      </c>
      <c r="ADZ49" s="11">
        <v>0</v>
      </c>
      <c r="AEA49" s="11">
        <v>0</v>
      </c>
      <c r="AEB49" s="11"/>
      <c r="AEC49" s="11"/>
      <c r="AED49" s="11"/>
      <c r="AEE49" s="11"/>
      <c r="AEF49" s="11"/>
      <c r="AEG49" s="11"/>
      <c r="AEH49" s="11">
        <v>2388.19</v>
      </c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>
        <v>0</v>
      </c>
      <c r="AEU49" s="11"/>
      <c r="AEV49" s="11"/>
      <c r="AEW49" s="11"/>
      <c r="AEX49" s="11"/>
      <c r="AEY49" s="11"/>
      <c r="AEZ49" s="11"/>
      <c r="AFA49" s="11"/>
      <c r="AFB49" s="11"/>
      <c r="AFC49" s="11"/>
      <c r="AFD49" s="11">
        <v>640021.49</v>
      </c>
      <c r="AFE49" s="11"/>
      <c r="AFF49" s="11"/>
      <c r="AFG49" s="11">
        <v>2151000.42</v>
      </c>
      <c r="AFH49" s="11"/>
      <c r="AFI49" s="11"/>
      <c r="AFJ49" s="11"/>
      <c r="AFK49" s="11"/>
      <c r="AFL49" s="11"/>
      <c r="AFM49" s="11"/>
      <c r="AFN49" s="11"/>
      <c r="AFO49" s="11"/>
      <c r="AFP49" s="11"/>
      <c r="AFQ49" s="11">
        <v>494587539.47000003</v>
      </c>
      <c r="AFR49" s="11"/>
      <c r="AFS49" s="11"/>
      <c r="AFT49" s="11">
        <v>174164.57</v>
      </c>
      <c r="AFU49" s="11">
        <v>14902.46</v>
      </c>
      <c r="AFV49" s="11"/>
      <c r="AFW49" s="11">
        <v>296878.57</v>
      </c>
      <c r="AFX49" s="11"/>
      <c r="AFY49" s="11">
        <v>205152.41</v>
      </c>
      <c r="AFZ49" s="11">
        <v>6355926.1100000003</v>
      </c>
      <c r="AGA49" s="11">
        <v>303134.71999999997</v>
      </c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>
        <v>2012761</v>
      </c>
      <c r="AGO49" s="11"/>
      <c r="AGP49" s="11"/>
      <c r="AGQ49" s="11"/>
      <c r="AGR49" s="11"/>
      <c r="AGS49" s="11"/>
      <c r="AGT49" s="11"/>
      <c r="AGU49" s="11"/>
      <c r="AGV49" s="11">
        <v>50000</v>
      </c>
      <c r="AGW49" s="11">
        <v>83624.639999999999</v>
      </c>
      <c r="AGX49" s="11"/>
      <c r="AGY49" s="11"/>
      <c r="AGZ49" s="11"/>
      <c r="AHA49" s="11"/>
      <c r="AHB49" s="11"/>
      <c r="AHC49" s="11"/>
      <c r="AHD49" s="11">
        <v>0</v>
      </c>
      <c r="AHE49" s="11"/>
      <c r="AHF49" s="11"/>
      <c r="AHG49" s="11"/>
      <c r="AHH49" s="11"/>
      <c r="AHI49" s="11">
        <v>268560.31</v>
      </c>
      <c r="AHJ49" s="11"/>
      <c r="AHK49" s="11"/>
      <c r="AHL49" s="11"/>
      <c r="AHM49" s="11">
        <v>471228.52</v>
      </c>
      <c r="AHN49" s="11"/>
      <c r="AHO49" s="11"/>
      <c r="AHP49" s="11"/>
      <c r="AHQ49" s="11"/>
      <c r="AHR49" s="11"/>
      <c r="AHS49" s="11"/>
      <c r="AHT49" s="11">
        <v>861436971.1500001</v>
      </c>
    </row>
    <row r="50" spans="1:908" x14ac:dyDescent="0.7">
      <c r="B50" s="6" t="s">
        <v>6049</v>
      </c>
      <c r="C50" s="6" t="s">
        <v>6459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0</v>
      </c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>
        <v>0</v>
      </c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>
        <v>0</v>
      </c>
      <c r="CU50" s="11">
        <v>555880.06999999995</v>
      </c>
      <c r="CV50" s="11"/>
      <c r="CW50" s="11"/>
      <c r="CX50" s="11">
        <v>76102.84</v>
      </c>
      <c r="CY50" s="11"/>
      <c r="CZ50" s="11"/>
      <c r="DA50" s="11">
        <v>723055</v>
      </c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>
        <v>32514488.579999998</v>
      </c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>
        <v>0</v>
      </c>
      <c r="EF50" s="11">
        <v>0</v>
      </c>
      <c r="EG50" s="11"/>
      <c r="EH50" s="11"/>
      <c r="EI50" s="11"/>
      <c r="EJ50" s="11"/>
      <c r="EK50" s="11"/>
      <c r="EL50" s="11"/>
      <c r="EM50" s="11"/>
      <c r="EN50" s="11">
        <v>0</v>
      </c>
      <c r="EO50" s="11"/>
      <c r="EP50" s="11"/>
      <c r="EQ50" s="11"/>
      <c r="ER50" s="11"/>
      <c r="ES50" s="11"/>
      <c r="ET50" s="11"/>
      <c r="EU50" s="11"/>
      <c r="EV50" s="11"/>
      <c r="EW50" s="11">
        <v>0</v>
      </c>
      <c r="EX50" s="11"/>
      <c r="EY50" s="11"/>
      <c r="EZ50" s="11"/>
      <c r="FA50" s="11">
        <v>0</v>
      </c>
      <c r="FB50" s="11"/>
      <c r="FC50" s="11">
        <v>0</v>
      </c>
      <c r="FD50" s="11"/>
      <c r="FE50" s="11">
        <v>0</v>
      </c>
      <c r="FF50" s="11"/>
      <c r="FG50" s="11">
        <v>0</v>
      </c>
      <c r="FH50" s="11"/>
      <c r="FI50" s="11"/>
      <c r="FJ50" s="11"/>
      <c r="FK50" s="11"/>
      <c r="FL50" s="11"/>
      <c r="FM50" s="11">
        <v>6826093.6600000001</v>
      </c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>
        <v>10180981.65</v>
      </c>
      <c r="GL50" s="11">
        <v>309024.76</v>
      </c>
      <c r="GM50" s="11"/>
      <c r="GN50" s="11"/>
      <c r="GO50" s="11"/>
      <c r="GP50" s="11"/>
      <c r="GQ50" s="11"/>
      <c r="GR50" s="11">
        <v>1215000</v>
      </c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>
        <v>8283278.3399999999</v>
      </c>
      <c r="HI50" s="11"/>
      <c r="HJ50" s="11"/>
      <c r="HK50" s="11"/>
      <c r="HL50" s="11"/>
      <c r="HM50" s="11"/>
      <c r="HN50" s="11">
        <v>12510306.08</v>
      </c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>
        <v>329045.25</v>
      </c>
      <c r="IE50" s="11"/>
      <c r="IF50" s="11"/>
      <c r="IG50" s="11"/>
      <c r="IH50" s="11"/>
      <c r="II50" s="11">
        <v>0</v>
      </c>
      <c r="IJ50" s="11"/>
      <c r="IK50" s="11">
        <v>0</v>
      </c>
      <c r="IL50" s="11">
        <v>0</v>
      </c>
      <c r="IM50" s="11"/>
      <c r="IN50" s="11"/>
      <c r="IO50" s="11"/>
      <c r="IP50" s="11"/>
      <c r="IQ50" s="11"/>
      <c r="IR50" s="11"/>
      <c r="IS50" s="11"/>
      <c r="IT50" s="11">
        <v>0</v>
      </c>
      <c r="IU50" s="11"/>
      <c r="IV50" s="11"/>
      <c r="IW50" s="11"/>
      <c r="IX50" s="11"/>
      <c r="IY50" s="11"/>
      <c r="IZ50" s="11"/>
      <c r="JA50" s="11">
        <v>427847.74</v>
      </c>
      <c r="JB50" s="11"/>
      <c r="JC50" s="11"/>
      <c r="JD50" s="11"/>
      <c r="JE50" s="11">
        <v>0</v>
      </c>
      <c r="JF50" s="11">
        <v>1000</v>
      </c>
      <c r="JG50" s="11"/>
      <c r="JH50" s="11"/>
      <c r="JI50" s="11">
        <v>877522.35</v>
      </c>
      <c r="JJ50" s="11"/>
      <c r="JK50" s="11"/>
      <c r="JL50" s="11">
        <v>877003.5</v>
      </c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>
        <v>0</v>
      </c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>
        <v>0</v>
      </c>
      <c r="LA50" s="11"/>
      <c r="LB50" s="11"/>
      <c r="LC50" s="11"/>
      <c r="LD50" s="11">
        <v>11883148.15</v>
      </c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>
        <v>0</v>
      </c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>
        <v>0</v>
      </c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>
        <v>0</v>
      </c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>
        <v>0</v>
      </c>
      <c r="PD50" s="11"/>
      <c r="PE50" s="11"/>
      <c r="PF50" s="11"/>
      <c r="PG50" s="11"/>
      <c r="PH50" s="11"/>
      <c r="PI50" s="11">
        <v>0</v>
      </c>
      <c r="PJ50" s="11"/>
      <c r="PK50" s="11"/>
      <c r="PL50" s="11">
        <v>0</v>
      </c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>
        <v>0</v>
      </c>
      <c r="PX50" s="11">
        <v>0</v>
      </c>
      <c r="PY50" s="11"/>
      <c r="PZ50" s="11"/>
      <c r="QA50" s="11"/>
      <c r="QB50" s="11">
        <v>24481524.77</v>
      </c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>
        <v>0</v>
      </c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>
        <v>0</v>
      </c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>
        <v>5382679.5999999996</v>
      </c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>
        <v>0</v>
      </c>
      <c r="UC50" s="11">
        <v>0</v>
      </c>
      <c r="UD50" s="11"/>
      <c r="UE50" s="11"/>
      <c r="UF50" s="11"/>
      <c r="UG50" s="11"/>
      <c r="UH50" s="11"/>
      <c r="UI50" s="11"/>
      <c r="UJ50" s="11"/>
      <c r="UK50" s="11">
        <v>0</v>
      </c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>
        <v>0</v>
      </c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>
        <v>0</v>
      </c>
      <c r="YX50" s="11"/>
      <c r="YY50" s="11"/>
      <c r="YZ50" s="11"/>
      <c r="ZA50" s="11"/>
      <c r="ZB50" s="11"/>
      <c r="ZC50" s="11"/>
      <c r="ZD50" s="11">
        <v>5852285.3700000001</v>
      </c>
      <c r="ZE50" s="11"/>
      <c r="ZF50" s="11"/>
      <c r="ZG50" s="11"/>
      <c r="ZH50" s="11"/>
      <c r="ZI50" s="11">
        <v>0</v>
      </c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>
        <v>0</v>
      </c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>
        <v>0</v>
      </c>
      <c r="ABQ50" s="11"/>
      <c r="ABR50" s="11"/>
      <c r="ABS50" s="11">
        <v>25568568.890000001</v>
      </c>
      <c r="ABT50" s="11"/>
      <c r="ABU50" s="11"/>
      <c r="ABV50" s="11"/>
      <c r="ABW50" s="11">
        <v>976349.73</v>
      </c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>
        <v>0</v>
      </c>
      <c r="ACK50" s="11"/>
      <c r="ACL50" s="11"/>
      <c r="ACM50" s="11"/>
      <c r="ACN50" s="11">
        <v>1616933.1</v>
      </c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>
        <v>1312042.82</v>
      </c>
      <c r="ADT50" s="11"/>
      <c r="ADU50" s="11"/>
      <c r="ADV50" s="11"/>
      <c r="ADW50" s="11"/>
      <c r="ADX50" s="11"/>
      <c r="ADY50" s="11"/>
      <c r="ADZ50" s="11"/>
      <c r="AEA50" s="11">
        <v>0</v>
      </c>
      <c r="AEB50" s="11"/>
      <c r="AEC50" s="11"/>
      <c r="AED50" s="11"/>
      <c r="AEE50" s="11"/>
      <c r="AEF50" s="11"/>
      <c r="AEG50" s="11"/>
      <c r="AEH50" s="11">
        <v>1226440.75</v>
      </c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>
        <v>0</v>
      </c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>
        <v>154006602.99999994</v>
      </c>
    </row>
    <row r="51" spans="1:908" x14ac:dyDescent="0.7">
      <c r="B51" s="6" t="s">
        <v>6051</v>
      </c>
      <c r="C51" s="6" t="s">
        <v>6460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>
        <v>7042326.0700000003</v>
      </c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0</v>
      </c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>
        <v>77883.23</v>
      </c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>
        <v>0</v>
      </c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>
        <v>0</v>
      </c>
      <c r="CU51" s="11"/>
      <c r="CV51" s="11"/>
      <c r="CW51" s="11"/>
      <c r="CX51" s="11">
        <v>1528000</v>
      </c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>
        <v>18601908.350000001</v>
      </c>
      <c r="DU51" s="11"/>
      <c r="DV51" s="11">
        <v>70468.009999999995</v>
      </c>
      <c r="DW51" s="11"/>
      <c r="DX51" s="11"/>
      <c r="DY51" s="11"/>
      <c r="DZ51" s="11">
        <v>0</v>
      </c>
      <c r="EA51" s="11"/>
      <c r="EB51" s="11"/>
      <c r="EC51" s="11"/>
      <c r="ED51" s="11"/>
      <c r="EE51" s="11">
        <v>0</v>
      </c>
      <c r="EF51" s="11">
        <v>0</v>
      </c>
      <c r="EG51" s="11">
        <v>2780.51</v>
      </c>
      <c r="EH51" s="11"/>
      <c r="EI51" s="11"/>
      <c r="EJ51" s="11"/>
      <c r="EK51" s="11"/>
      <c r="EL51" s="11"/>
      <c r="EM51" s="11"/>
      <c r="EN51" s="11">
        <v>0</v>
      </c>
      <c r="EO51" s="11"/>
      <c r="EP51" s="11"/>
      <c r="EQ51" s="11"/>
      <c r="ER51" s="11"/>
      <c r="ES51" s="11"/>
      <c r="ET51" s="11"/>
      <c r="EU51" s="11"/>
      <c r="EV51" s="11"/>
      <c r="EW51" s="11">
        <v>0</v>
      </c>
      <c r="EX51" s="11"/>
      <c r="EY51" s="11">
        <v>0</v>
      </c>
      <c r="EZ51" s="11"/>
      <c r="FA51" s="11"/>
      <c r="FB51" s="11"/>
      <c r="FC51" s="11">
        <v>0</v>
      </c>
      <c r="FD51" s="11"/>
      <c r="FE51" s="11"/>
      <c r="FF51" s="11"/>
      <c r="FG51" s="11">
        <v>0</v>
      </c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>
        <v>277010</v>
      </c>
      <c r="GG51" s="11"/>
      <c r="GH51" s="11"/>
      <c r="GI51" s="11"/>
      <c r="GJ51" s="11"/>
      <c r="GK51" s="11">
        <v>2615.81</v>
      </c>
      <c r="GL51" s="11">
        <v>262930.39</v>
      </c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>
        <v>4781514.42</v>
      </c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>
        <v>375</v>
      </c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>
        <v>0</v>
      </c>
      <c r="IL51" s="11"/>
      <c r="IM51" s="11">
        <v>0</v>
      </c>
      <c r="IN51" s="11"/>
      <c r="IO51" s="11"/>
      <c r="IP51" s="11"/>
      <c r="IQ51" s="11"/>
      <c r="IR51" s="11"/>
      <c r="IS51" s="11"/>
      <c r="IT51" s="11"/>
      <c r="IU51" s="11">
        <v>0</v>
      </c>
      <c r="IV51" s="11"/>
      <c r="IW51" s="11"/>
      <c r="IX51" s="11"/>
      <c r="IY51" s="11"/>
      <c r="IZ51" s="11"/>
      <c r="JA51" s="11"/>
      <c r="JB51" s="11"/>
      <c r="JC51" s="11"/>
      <c r="JD51" s="11"/>
      <c r="JE51" s="11">
        <v>0</v>
      </c>
      <c r="JF51" s="11"/>
      <c r="JG51" s="11"/>
      <c r="JH51" s="11"/>
      <c r="JI51" s="11"/>
      <c r="JJ51" s="11"/>
      <c r="JK51" s="11"/>
      <c r="JL51" s="11">
        <v>3134549.72</v>
      </c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>
        <v>0</v>
      </c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>
        <v>0</v>
      </c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>
        <v>41073.47</v>
      </c>
      <c r="LZ51" s="11"/>
      <c r="MA51" s="11"/>
      <c r="MB51" s="11"/>
      <c r="MC51" s="11"/>
      <c r="MD51" s="11"/>
      <c r="ME51" s="11"/>
      <c r="MF51" s="11"/>
      <c r="MG51" s="11"/>
      <c r="MH51" s="11"/>
      <c r="MI51" s="11">
        <v>50000</v>
      </c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>
        <v>0</v>
      </c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>
        <v>0</v>
      </c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>
        <v>3557.95</v>
      </c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>
        <v>0</v>
      </c>
      <c r="OP51" s="11"/>
      <c r="OQ51" s="11">
        <v>3331707.94</v>
      </c>
      <c r="OR51" s="11"/>
      <c r="OS51" s="11">
        <v>0</v>
      </c>
      <c r="OT51" s="11"/>
      <c r="OU51" s="11"/>
      <c r="OV51" s="11"/>
      <c r="OW51" s="11"/>
      <c r="OX51" s="11"/>
      <c r="OY51" s="11"/>
      <c r="OZ51" s="11"/>
      <c r="PA51" s="11"/>
      <c r="PB51" s="11"/>
      <c r="PC51" s="11">
        <v>0</v>
      </c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>
        <v>0</v>
      </c>
      <c r="PO51" s="11"/>
      <c r="PP51" s="11">
        <v>0</v>
      </c>
      <c r="PQ51" s="11"/>
      <c r="PR51" s="11"/>
      <c r="PS51" s="11"/>
      <c r="PT51" s="11"/>
      <c r="PU51" s="11">
        <v>2721490.5</v>
      </c>
      <c r="PV51" s="11">
        <v>0</v>
      </c>
      <c r="PW51" s="11"/>
      <c r="PX51" s="11"/>
      <c r="PY51" s="11"/>
      <c r="PZ51" s="11"/>
      <c r="QA51" s="11"/>
      <c r="QB51" s="11"/>
      <c r="QC51" s="11">
        <v>0</v>
      </c>
      <c r="QD51" s="11"/>
      <c r="QE51" s="11"/>
      <c r="QF51" s="11"/>
      <c r="QG51" s="11"/>
      <c r="QH51" s="11"/>
      <c r="QI51" s="11"/>
      <c r="QJ51" s="11">
        <v>0</v>
      </c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>
        <v>0</v>
      </c>
      <c r="QV51" s="11"/>
      <c r="QW51" s="11"/>
      <c r="QX51" s="11">
        <v>14630</v>
      </c>
      <c r="QY51" s="11"/>
      <c r="QZ51" s="11"/>
      <c r="RA51" s="11"/>
      <c r="RB51" s="11"/>
      <c r="RC51" s="11"/>
      <c r="RD51" s="11"/>
      <c r="RE51" s="11"/>
      <c r="RF51" s="11"/>
      <c r="RG51" s="11"/>
      <c r="RH51" s="11">
        <v>0</v>
      </c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>
        <v>153933</v>
      </c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>
        <v>0</v>
      </c>
      <c r="UD51" s="11"/>
      <c r="UE51" s="11"/>
      <c r="UF51" s="11"/>
      <c r="UG51" s="11"/>
      <c r="UH51" s="11"/>
      <c r="UI51" s="11"/>
      <c r="UJ51" s="11"/>
      <c r="UK51" s="11">
        <v>0</v>
      </c>
      <c r="UL51" s="11"/>
      <c r="UM51" s="11"/>
      <c r="UN51" s="11"/>
      <c r="UO51" s="11"/>
      <c r="UP51" s="11"/>
      <c r="UQ51" s="11">
        <v>1888362</v>
      </c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>
        <v>6245047.4000000004</v>
      </c>
      <c r="VY51" s="11"/>
      <c r="VZ51" s="11"/>
      <c r="WA51" s="11"/>
      <c r="WB51" s="11">
        <v>0</v>
      </c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>
        <v>0</v>
      </c>
      <c r="YX51" s="11"/>
      <c r="YY51" s="11"/>
      <c r="YZ51" s="11"/>
      <c r="ZA51" s="11"/>
      <c r="ZB51" s="11"/>
      <c r="ZC51" s="11">
        <v>5034.32</v>
      </c>
      <c r="ZD51" s="11"/>
      <c r="ZE51" s="11"/>
      <c r="ZF51" s="11"/>
      <c r="ZG51" s="11"/>
      <c r="ZH51" s="11"/>
      <c r="ZI51" s="11"/>
      <c r="ZJ51" s="11"/>
      <c r="ZK51" s="11"/>
      <c r="ZL51" s="11"/>
      <c r="ZM51" s="11">
        <v>0</v>
      </c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>
        <v>0</v>
      </c>
      <c r="AAU51" s="11"/>
      <c r="AAV51" s="11"/>
      <c r="AAW51" s="11"/>
      <c r="AAX51" s="11"/>
      <c r="AAY51" s="11"/>
      <c r="AAZ51" s="11"/>
      <c r="ABA51" s="11"/>
      <c r="ABB51" s="11">
        <v>16431.599999999999</v>
      </c>
      <c r="ABC51" s="11"/>
      <c r="ABD51" s="11"/>
      <c r="ABE51" s="11"/>
      <c r="ABF51" s="11"/>
      <c r="ABG51" s="11"/>
      <c r="ABH51" s="11"/>
      <c r="ABI51" s="11"/>
      <c r="ABJ51" s="11">
        <v>0</v>
      </c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>
        <v>0</v>
      </c>
      <c r="ACK51" s="11"/>
      <c r="ACL51" s="11"/>
      <c r="ACM51" s="11"/>
      <c r="ACN51" s="11">
        <v>180647.23</v>
      </c>
      <c r="ACO51" s="11"/>
      <c r="ACP51" s="11"/>
      <c r="ACQ51" s="11"/>
      <c r="ACR51" s="11"/>
      <c r="ACS51" s="11"/>
      <c r="ACT51" s="11">
        <v>7500</v>
      </c>
      <c r="ACU51" s="11"/>
      <c r="ACV51" s="11"/>
      <c r="ACW51" s="11"/>
      <c r="ACX51" s="11"/>
      <c r="ACY51" s="11"/>
      <c r="ACZ51" s="11"/>
      <c r="ADA51" s="11"/>
      <c r="ADB51" s="11"/>
      <c r="ADC51" s="11">
        <v>1879863</v>
      </c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>
        <v>9449198.1699999999</v>
      </c>
      <c r="ADQ51" s="11"/>
      <c r="ADR51" s="11"/>
      <c r="ADS51" s="11"/>
      <c r="ADT51" s="11"/>
      <c r="ADU51" s="11"/>
      <c r="ADV51" s="11"/>
      <c r="ADW51" s="11"/>
      <c r="ADX51" s="11"/>
      <c r="ADY51" s="11"/>
      <c r="ADZ51" s="11">
        <v>0</v>
      </c>
      <c r="AEA51" s="11">
        <v>0</v>
      </c>
      <c r="AEB51" s="11"/>
      <c r="AEC51" s="11"/>
      <c r="AED51" s="11"/>
      <c r="AEE51" s="11"/>
      <c r="AEF51" s="11"/>
      <c r="AEG51" s="11"/>
      <c r="AEH51" s="11">
        <v>2308158.54</v>
      </c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>
        <v>0</v>
      </c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>
        <v>0</v>
      </c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>
        <v>64078996.630000003</v>
      </c>
    </row>
    <row r="52" spans="1:908" x14ac:dyDescent="0.7">
      <c r="B52" s="6" t="s">
        <v>6053</v>
      </c>
      <c r="C52" s="6" t="s">
        <v>6461</v>
      </c>
      <c r="D52" s="11">
        <v>633518474.58000004</v>
      </c>
      <c r="E52" s="11">
        <v>23885708.920000002</v>
      </c>
      <c r="F52" s="11">
        <v>9393230.4800000004</v>
      </c>
      <c r="G52" s="11">
        <v>5351274.63</v>
      </c>
      <c r="H52" s="11">
        <v>39760530.850000001</v>
      </c>
      <c r="I52" s="11">
        <v>24149759.07</v>
      </c>
      <c r="J52" s="11">
        <v>236498657.58000001</v>
      </c>
      <c r="K52" s="11">
        <v>83517062.269999996</v>
      </c>
      <c r="L52" s="11">
        <v>20299623.760000002</v>
      </c>
      <c r="M52" s="11">
        <v>18116170.170000002</v>
      </c>
      <c r="N52" s="11">
        <v>12141818.609999999</v>
      </c>
      <c r="O52" s="11">
        <v>9557083.3900000006</v>
      </c>
      <c r="P52" s="11">
        <v>104130153.40000001</v>
      </c>
      <c r="Q52" s="11">
        <v>16609898.18</v>
      </c>
      <c r="R52" s="11">
        <v>2518873.5099999998</v>
      </c>
      <c r="S52" s="11">
        <v>13309350.34</v>
      </c>
      <c r="T52" s="11">
        <v>20422912.920000002</v>
      </c>
      <c r="U52" s="11">
        <v>5047793.9400000004</v>
      </c>
      <c r="V52" s="11">
        <v>596276405.38</v>
      </c>
      <c r="W52" s="11">
        <v>59727545.609999999</v>
      </c>
      <c r="X52" s="11">
        <v>35357859.240000002</v>
      </c>
      <c r="Y52" s="11">
        <v>110290467.91</v>
      </c>
      <c r="Z52" s="11">
        <v>15535865.050000001</v>
      </c>
      <c r="AA52" s="11">
        <v>45936012.710000001</v>
      </c>
      <c r="AB52" s="11">
        <v>13858684.25</v>
      </c>
      <c r="AC52" s="11">
        <v>53502690.850000001</v>
      </c>
      <c r="AD52" s="11">
        <v>41268550.600000001</v>
      </c>
      <c r="AE52" s="11">
        <v>22870517.170000002</v>
      </c>
      <c r="AF52" s="11">
        <v>84345741.5</v>
      </c>
      <c r="AG52" s="11">
        <v>39036867.060000002</v>
      </c>
      <c r="AH52" s="11">
        <v>88852820.599999994</v>
      </c>
      <c r="AI52" s="11">
        <v>15564322.16</v>
      </c>
      <c r="AJ52" s="11">
        <v>26811796.809999999</v>
      </c>
      <c r="AK52" s="11">
        <v>22595395.43</v>
      </c>
      <c r="AL52" s="11">
        <v>70133839.280000001</v>
      </c>
      <c r="AM52" s="11">
        <v>9794588.7899999991</v>
      </c>
      <c r="AN52" s="11">
        <v>54885146.960000001</v>
      </c>
      <c r="AO52" s="11">
        <v>23639033.550000001</v>
      </c>
      <c r="AP52" s="11">
        <v>6848787.8200000003</v>
      </c>
      <c r="AQ52" s="11">
        <v>8996211.9499999993</v>
      </c>
      <c r="AR52" s="11">
        <v>27499742.84</v>
      </c>
      <c r="AS52" s="11">
        <v>6775463.7199999997</v>
      </c>
      <c r="AT52" s="11">
        <v>149103240.53999999</v>
      </c>
      <c r="AU52" s="11">
        <v>12569194.16</v>
      </c>
      <c r="AV52" s="11">
        <v>14287793.17</v>
      </c>
      <c r="AW52" s="11">
        <v>14501716.35</v>
      </c>
      <c r="AX52" s="11">
        <v>15072479.6</v>
      </c>
      <c r="AY52" s="11">
        <v>19061722.210000001</v>
      </c>
      <c r="AZ52" s="11">
        <v>15080800.939999999</v>
      </c>
      <c r="BA52" s="11">
        <v>17867079.030000001</v>
      </c>
      <c r="BB52" s="11">
        <v>13605962.35</v>
      </c>
      <c r="BC52" s="11">
        <v>17329912.32</v>
      </c>
      <c r="BD52" s="11">
        <v>21855363.940000001</v>
      </c>
      <c r="BE52" s="11">
        <v>5461139.1399999997</v>
      </c>
      <c r="BF52" s="11">
        <v>16841412.559999999</v>
      </c>
      <c r="BG52" s="11">
        <v>6072694.6200000001</v>
      </c>
      <c r="BH52" s="11">
        <v>32403556.399999999</v>
      </c>
      <c r="BI52" s="11">
        <v>243832842.87</v>
      </c>
      <c r="BJ52" s="11">
        <v>93375191.560000002</v>
      </c>
      <c r="BK52" s="11">
        <v>24582632.609999999</v>
      </c>
      <c r="BL52" s="11">
        <v>12841194.050000001</v>
      </c>
      <c r="BM52" s="11">
        <v>29713286.91</v>
      </c>
      <c r="BN52" s="11">
        <v>16468672.039999999</v>
      </c>
      <c r="BO52" s="11">
        <v>9873462.8100000005</v>
      </c>
      <c r="BP52" s="11">
        <v>15640362.130000001</v>
      </c>
      <c r="BQ52" s="11">
        <v>15796241.630000001</v>
      </c>
      <c r="BR52" s="11">
        <v>35373580.289999999</v>
      </c>
      <c r="BS52" s="11">
        <v>12783252.4</v>
      </c>
      <c r="BT52" s="11">
        <v>11628567.09</v>
      </c>
      <c r="BU52" s="11">
        <v>36042916.020000003</v>
      </c>
      <c r="BV52" s="11">
        <v>16478729.689999999</v>
      </c>
      <c r="BW52" s="11">
        <v>3027877.94</v>
      </c>
      <c r="BX52" s="11">
        <v>12845326.960000001</v>
      </c>
      <c r="BY52" s="11">
        <v>10421558.880000001</v>
      </c>
      <c r="BZ52" s="11">
        <v>112940297.73</v>
      </c>
      <c r="CA52" s="11">
        <v>8762474.6600000001</v>
      </c>
      <c r="CB52" s="11">
        <v>4466457.7699999996</v>
      </c>
      <c r="CC52" s="11">
        <v>36112179.689999998</v>
      </c>
      <c r="CD52" s="11">
        <v>12793446.23</v>
      </c>
      <c r="CE52" s="11">
        <v>30432085.039999999</v>
      </c>
      <c r="CF52" s="11">
        <v>7770907.1699999999</v>
      </c>
      <c r="CG52" s="11">
        <v>1110259932.9300001</v>
      </c>
      <c r="CH52" s="11">
        <v>19281745.239999998</v>
      </c>
      <c r="CI52" s="11">
        <v>54780621.130000003</v>
      </c>
      <c r="CJ52" s="11">
        <v>13571374.34</v>
      </c>
      <c r="CK52" s="11">
        <v>36435032.380000003</v>
      </c>
      <c r="CL52" s="11">
        <v>7587483.1600000001</v>
      </c>
      <c r="CM52" s="11">
        <v>26270536.379999999</v>
      </c>
      <c r="CN52" s="11">
        <v>40538051.969999999</v>
      </c>
      <c r="CO52" s="11">
        <v>14769751.49</v>
      </c>
      <c r="CP52" s="11">
        <v>9858411.7300000004</v>
      </c>
      <c r="CQ52" s="11">
        <v>11626026.029999999</v>
      </c>
      <c r="CR52" s="11">
        <v>17304060.469999999</v>
      </c>
      <c r="CS52" s="11">
        <v>10820439.74</v>
      </c>
      <c r="CT52" s="11">
        <v>198746415.13999999</v>
      </c>
      <c r="CU52" s="11">
        <v>34278019.5</v>
      </c>
      <c r="CV52" s="11">
        <v>29032553.52</v>
      </c>
      <c r="CW52" s="11">
        <v>16894914.84</v>
      </c>
      <c r="CX52" s="11">
        <v>25705028.579999998</v>
      </c>
      <c r="CY52" s="11">
        <v>25569698.84</v>
      </c>
      <c r="CZ52" s="11">
        <v>8487839.9100000001</v>
      </c>
      <c r="DA52" s="11">
        <v>13235689.449999999</v>
      </c>
      <c r="DB52" s="11">
        <v>209756434.93000001</v>
      </c>
      <c r="DC52" s="11">
        <v>387959483.97000003</v>
      </c>
      <c r="DD52" s="11">
        <v>20561924.170000002</v>
      </c>
      <c r="DE52" s="11">
        <v>9631033.25</v>
      </c>
      <c r="DF52" s="11">
        <v>24636538.600000001</v>
      </c>
      <c r="DG52" s="11">
        <v>91657676</v>
      </c>
      <c r="DH52" s="11">
        <v>126126780.44</v>
      </c>
      <c r="DI52" s="11">
        <v>7318709.3700000001</v>
      </c>
      <c r="DJ52" s="11">
        <v>72808624.430000007</v>
      </c>
      <c r="DK52" s="11">
        <v>740845020.10000002</v>
      </c>
      <c r="DL52" s="11">
        <v>44686421.310000002</v>
      </c>
      <c r="DM52" s="11">
        <v>42538208.899999999</v>
      </c>
      <c r="DN52" s="11">
        <v>45869454.390000001</v>
      </c>
      <c r="DO52" s="11">
        <v>40653745.949900001</v>
      </c>
      <c r="DP52" s="11">
        <v>55002879.5</v>
      </c>
      <c r="DQ52" s="11">
        <v>116177093.23</v>
      </c>
      <c r="DR52" s="11">
        <v>55336395.909999996</v>
      </c>
      <c r="DS52" s="11">
        <v>106766793.69</v>
      </c>
      <c r="DT52" s="11"/>
      <c r="DU52" s="11">
        <v>23223335.280000001</v>
      </c>
      <c r="DV52" s="11">
        <v>78768303.400000006</v>
      </c>
      <c r="DW52" s="11">
        <v>89754073.269999996</v>
      </c>
      <c r="DX52" s="11">
        <v>33470705.949999999</v>
      </c>
      <c r="DY52" s="11">
        <v>24656271.66</v>
      </c>
      <c r="DZ52" s="11">
        <v>64592115.5</v>
      </c>
      <c r="EA52" s="11">
        <v>27377479.52</v>
      </c>
      <c r="EB52" s="11">
        <v>26578315.789999999</v>
      </c>
      <c r="EC52" s="11">
        <v>37567314.109999999</v>
      </c>
      <c r="ED52" s="11">
        <v>18082048.329999998</v>
      </c>
      <c r="EE52" s="11">
        <v>277079377.94999999</v>
      </c>
      <c r="EF52" s="11">
        <v>259895917.66</v>
      </c>
      <c r="EG52" s="11">
        <v>16493933.32</v>
      </c>
      <c r="EH52" s="11">
        <v>14393505.880000001</v>
      </c>
      <c r="EI52" s="11">
        <v>35914333.359999999</v>
      </c>
      <c r="EJ52" s="11">
        <v>41997486.920000002</v>
      </c>
      <c r="EK52" s="11">
        <v>56790682.43</v>
      </c>
      <c r="EL52" s="11">
        <v>17777968.25</v>
      </c>
      <c r="EM52" s="11">
        <v>30717938.260000002</v>
      </c>
      <c r="EN52" s="11">
        <v>46983219.939999998</v>
      </c>
      <c r="EO52" s="11">
        <v>16457614.189999999</v>
      </c>
      <c r="EP52" s="11">
        <v>12576952.59</v>
      </c>
      <c r="EQ52" s="11">
        <v>12119634.16</v>
      </c>
      <c r="ER52" s="11">
        <v>10976236.09</v>
      </c>
      <c r="ES52" s="11">
        <v>20690462.52</v>
      </c>
      <c r="ET52" s="11">
        <v>27520679.09</v>
      </c>
      <c r="EU52" s="11">
        <v>26097665.710000001</v>
      </c>
      <c r="EV52" s="11">
        <v>16513580.699999999</v>
      </c>
      <c r="EW52" s="11">
        <v>163074316.19</v>
      </c>
      <c r="EX52" s="11">
        <v>35954658.759999998</v>
      </c>
      <c r="EY52" s="11">
        <v>13039457.779999999</v>
      </c>
      <c r="EZ52" s="11">
        <v>23717988.809999999</v>
      </c>
      <c r="FA52" s="11">
        <v>75881620.659999996</v>
      </c>
      <c r="FB52" s="11">
        <v>49959187.509999998</v>
      </c>
      <c r="FC52" s="11">
        <v>55627935.909999996</v>
      </c>
      <c r="FD52" s="11">
        <v>28831108.870000001</v>
      </c>
      <c r="FE52" s="11">
        <v>28193397.48</v>
      </c>
      <c r="FF52" s="11">
        <v>26104446.469999999</v>
      </c>
      <c r="FG52" s="11">
        <v>30419354.73</v>
      </c>
      <c r="FH52" s="11">
        <v>9673651.7799999993</v>
      </c>
      <c r="FI52" s="11">
        <v>18467246.43</v>
      </c>
      <c r="FJ52" s="11">
        <v>18599280.93</v>
      </c>
      <c r="FK52" s="11">
        <v>26048117.649999999</v>
      </c>
      <c r="FL52" s="11">
        <v>25781874.66</v>
      </c>
      <c r="FM52" s="11">
        <v>22716183.350000001</v>
      </c>
      <c r="FN52" s="11">
        <v>41563565.909999996</v>
      </c>
      <c r="FO52" s="11">
        <v>11415520.390000001</v>
      </c>
      <c r="FP52" s="11">
        <v>15846900.41</v>
      </c>
      <c r="FQ52" s="11">
        <v>1209259436.72</v>
      </c>
      <c r="FR52" s="11">
        <v>9863236.5099999998</v>
      </c>
      <c r="FS52" s="11">
        <v>52528873.18</v>
      </c>
      <c r="FT52" s="11">
        <v>47049911.920000002</v>
      </c>
      <c r="FU52" s="11">
        <v>102748291.48999999</v>
      </c>
      <c r="FV52" s="11">
        <v>32849296.239999998</v>
      </c>
      <c r="FW52" s="11">
        <v>82513497.079999998</v>
      </c>
      <c r="FX52" s="11">
        <v>35052733.130000003</v>
      </c>
      <c r="FY52" s="11">
        <v>33035001.149999999</v>
      </c>
      <c r="FZ52" s="11">
        <v>55946789.299999997</v>
      </c>
      <c r="GA52" s="11">
        <v>90952654.549999997</v>
      </c>
      <c r="GB52" s="11">
        <v>24150506.149999999</v>
      </c>
      <c r="GC52" s="11">
        <v>47145754.299999997</v>
      </c>
      <c r="GD52" s="11">
        <v>46448186.979999997</v>
      </c>
      <c r="GE52" s="11">
        <v>187909059.53</v>
      </c>
      <c r="GF52" s="11">
        <v>17422281.039999999</v>
      </c>
      <c r="GG52" s="11">
        <v>31376072.719999999</v>
      </c>
      <c r="GH52" s="11">
        <v>38463106.640000001</v>
      </c>
      <c r="GI52" s="11">
        <v>42191733.060000002</v>
      </c>
      <c r="GJ52" s="11">
        <v>43193105.520000003</v>
      </c>
      <c r="GK52" s="11">
        <v>7463.53</v>
      </c>
      <c r="GL52" s="11">
        <v>52482764.939999998</v>
      </c>
      <c r="GM52" s="11">
        <v>5531934.0099999998</v>
      </c>
      <c r="GN52" s="11">
        <v>16361862.1</v>
      </c>
      <c r="GO52" s="11">
        <v>9135075.5800000001</v>
      </c>
      <c r="GP52" s="11">
        <v>11779494.42</v>
      </c>
      <c r="GQ52" s="11">
        <v>109303968.34</v>
      </c>
      <c r="GR52" s="11">
        <v>6888512.1399999997</v>
      </c>
      <c r="GS52" s="11">
        <v>19164867.850000001</v>
      </c>
      <c r="GT52" s="11">
        <v>51538820.590000004</v>
      </c>
      <c r="GU52" s="11">
        <v>8484489.8800000008</v>
      </c>
      <c r="GV52" s="11">
        <v>60315669.68</v>
      </c>
      <c r="GW52" s="11">
        <v>29246399.34</v>
      </c>
      <c r="GX52" s="11">
        <v>19772310.93</v>
      </c>
      <c r="GY52" s="11">
        <v>150618501.19999999</v>
      </c>
      <c r="GZ52" s="11">
        <v>21758414.059999999</v>
      </c>
      <c r="HA52" s="11">
        <v>63148622.890000001</v>
      </c>
      <c r="HB52" s="11">
        <v>51622489.189999998</v>
      </c>
      <c r="HC52" s="11">
        <v>569519153.34000003</v>
      </c>
      <c r="HD52" s="11">
        <v>272515917.55000001</v>
      </c>
      <c r="HE52" s="11">
        <v>33030713.66</v>
      </c>
      <c r="HF52" s="11">
        <v>205045611.19999999</v>
      </c>
      <c r="HG52" s="11">
        <v>69597601.780000001</v>
      </c>
      <c r="HH52" s="11">
        <v>80081850.549999997</v>
      </c>
      <c r="HI52" s="11">
        <v>66265793.890000001</v>
      </c>
      <c r="HJ52" s="11">
        <v>18312976.190000001</v>
      </c>
      <c r="HK52" s="11">
        <v>474965643.70999998</v>
      </c>
      <c r="HL52" s="11">
        <v>74789246.439999998</v>
      </c>
      <c r="HM52" s="11">
        <v>132222257.18000001</v>
      </c>
      <c r="HN52" s="11">
        <v>87625296.379999995</v>
      </c>
      <c r="HO52" s="11">
        <v>32531951.719999999</v>
      </c>
      <c r="HP52" s="11">
        <v>103512407.16</v>
      </c>
      <c r="HQ52" s="11">
        <v>45799723.600000001</v>
      </c>
      <c r="HR52" s="11">
        <v>43997631.994999997</v>
      </c>
      <c r="HS52" s="11">
        <v>71286879.8301</v>
      </c>
      <c r="HT52" s="11">
        <v>104257583.45</v>
      </c>
      <c r="HU52" s="11">
        <v>64171908.439999998</v>
      </c>
      <c r="HV52" s="11">
        <v>110714421.48999999</v>
      </c>
      <c r="HW52" s="11">
        <v>39885081.170000002</v>
      </c>
      <c r="HX52" s="11">
        <v>22303869.640000001</v>
      </c>
      <c r="HY52" s="11">
        <v>206910992.88999999</v>
      </c>
      <c r="HZ52" s="11">
        <v>33266240.27</v>
      </c>
      <c r="IA52" s="11">
        <v>62012731.43</v>
      </c>
      <c r="IB52" s="11">
        <v>56428872.829999998</v>
      </c>
      <c r="IC52" s="11">
        <v>52705311.560000002</v>
      </c>
      <c r="ID52" s="11">
        <v>157756082.15000001</v>
      </c>
      <c r="IE52" s="11">
        <v>21480418.690000001</v>
      </c>
      <c r="IF52" s="11">
        <v>156426299.31</v>
      </c>
      <c r="IG52" s="11">
        <v>14969039.449999999</v>
      </c>
      <c r="IH52" s="11">
        <v>10324202.32</v>
      </c>
      <c r="II52" s="11">
        <v>128381253.77</v>
      </c>
      <c r="IJ52" s="11">
        <v>71970513.519999996</v>
      </c>
      <c r="IK52" s="11">
        <v>58097710.350000001</v>
      </c>
      <c r="IL52" s="11">
        <v>88492567.349999994</v>
      </c>
      <c r="IM52" s="11">
        <v>52711734.729999997</v>
      </c>
      <c r="IN52" s="11">
        <v>89898046.209999993</v>
      </c>
      <c r="IO52" s="11">
        <v>14556718.859999999</v>
      </c>
      <c r="IP52" s="11">
        <v>10970592.18</v>
      </c>
      <c r="IQ52" s="11">
        <v>24223246.27</v>
      </c>
      <c r="IR52" s="11">
        <v>4126313</v>
      </c>
      <c r="IS52" s="11">
        <v>72171893.019999996</v>
      </c>
      <c r="IT52" s="11">
        <v>225870966.84</v>
      </c>
      <c r="IU52" s="11">
        <v>36478814.299999997</v>
      </c>
      <c r="IV52" s="11">
        <v>166818473.78999999</v>
      </c>
      <c r="IW52" s="11">
        <v>90628170.390000001</v>
      </c>
      <c r="IX52" s="11">
        <v>71766116.939999998</v>
      </c>
      <c r="IY52" s="11">
        <v>37945882.829999998</v>
      </c>
      <c r="IZ52" s="11">
        <v>28020060.77</v>
      </c>
      <c r="JA52" s="11">
        <v>11190820.800000001</v>
      </c>
      <c r="JB52" s="11">
        <v>20462275.32</v>
      </c>
      <c r="JC52" s="11">
        <v>52566525.509999998</v>
      </c>
      <c r="JD52" s="11">
        <v>95067290.790000007</v>
      </c>
      <c r="JE52" s="11">
        <v>19097403.390000001</v>
      </c>
      <c r="JF52" s="11">
        <v>123347125.79000001</v>
      </c>
      <c r="JG52" s="11">
        <v>67882532.010000005</v>
      </c>
      <c r="JH52" s="11">
        <v>19193376.469999999</v>
      </c>
      <c r="JI52" s="11">
        <v>7883764.75</v>
      </c>
      <c r="JJ52" s="11">
        <v>19866374.870000001</v>
      </c>
      <c r="JK52" s="11">
        <v>40786662.950000003</v>
      </c>
      <c r="JL52" s="11">
        <v>126564489.2</v>
      </c>
      <c r="JM52" s="11">
        <v>154265173.72999999</v>
      </c>
      <c r="JN52" s="11">
        <v>114262293.73</v>
      </c>
      <c r="JO52" s="11">
        <v>88711108.430000007</v>
      </c>
      <c r="JP52" s="11">
        <v>33982392.079999998</v>
      </c>
      <c r="JQ52" s="11">
        <v>116844961.69</v>
      </c>
      <c r="JR52" s="11">
        <v>35569423.490000002</v>
      </c>
      <c r="JS52" s="11">
        <v>391842803.43000001</v>
      </c>
      <c r="JT52" s="11">
        <v>428605949.44</v>
      </c>
      <c r="JU52" s="11">
        <v>64866835.310000002</v>
      </c>
      <c r="JV52" s="11">
        <v>12354524.470000001</v>
      </c>
      <c r="JW52" s="11">
        <v>74876223.780000001</v>
      </c>
      <c r="JX52" s="11">
        <v>9609255.5</v>
      </c>
      <c r="JY52" s="11">
        <v>76636634.700000003</v>
      </c>
      <c r="JZ52" s="11">
        <v>62179380.039999999</v>
      </c>
      <c r="KA52" s="11">
        <v>43972568.640000001</v>
      </c>
      <c r="KB52" s="11">
        <v>29323515.629999999</v>
      </c>
      <c r="KC52" s="11">
        <v>62800471.509999998</v>
      </c>
      <c r="KD52" s="11">
        <v>53141478.939999998</v>
      </c>
      <c r="KE52" s="11">
        <v>16800792.93</v>
      </c>
      <c r="KF52" s="11">
        <v>18323308.559999999</v>
      </c>
      <c r="KG52" s="11">
        <v>36976156.369999997</v>
      </c>
      <c r="KH52" s="11">
        <v>4960254.66</v>
      </c>
      <c r="KI52" s="11">
        <v>853591897.85000002</v>
      </c>
      <c r="KJ52" s="11">
        <v>66272527.130000003</v>
      </c>
      <c r="KK52" s="11">
        <v>9126831.3300000001</v>
      </c>
      <c r="KL52" s="11">
        <v>57488985.43</v>
      </c>
      <c r="KM52" s="11">
        <v>114187166.87</v>
      </c>
      <c r="KN52" s="11">
        <v>9160258.4499999993</v>
      </c>
      <c r="KO52" s="11">
        <v>42642553.859999999</v>
      </c>
      <c r="KP52" s="11">
        <v>45967579.770000003</v>
      </c>
      <c r="KQ52" s="11">
        <v>53546919.25</v>
      </c>
      <c r="KR52" s="11">
        <v>177788970.5</v>
      </c>
      <c r="KS52" s="11">
        <v>69803850.819999993</v>
      </c>
      <c r="KT52" s="11">
        <v>49322878.689999998</v>
      </c>
      <c r="KU52" s="11">
        <v>103839658.84299999</v>
      </c>
      <c r="KV52" s="11">
        <v>41450732.740000002</v>
      </c>
      <c r="KW52" s="11">
        <v>126681601.59999999</v>
      </c>
      <c r="KX52" s="11">
        <v>524278469.89999998</v>
      </c>
      <c r="KY52" s="11">
        <v>192430104.78</v>
      </c>
      <c r="KZ52" s="11">
        <v>40961301.25</v>
      </c>
      <c r="LA52" s="11">
        <v>11618792.27</v>
      </c>
      <c r="LB52" s="11">
        <v>9872017.75</v>
      </c>
      <c r="LC52" s="11">
        <v>2484354.5699999998</v>
      </c>
      <c r="LD52" s="11">
        <v>18371766.550000001</v>
      </c>
      <c r="LE52" s="11">
        <v>21301472.18</v>
      </c>
      <c r="LF52" s="11">
        <v>51634117.390000001</v>
      </c>
      <c r="LG52" s="11">
        <v>14949820.18</v>
      </c>
      <c r="LH52" s="11">
        <v>737276625.19000006</v>
      </c>
      <c r="LI52" s="11">
        <v>131512342.94</v>
      </c>
      <c r="LJ52" s="11">
        <v>403846789.19</v>
      </c>
      <c r="LK52" s="11">
        <v>246574709.61000001</v>
      </c>
      <c r="LL52" s="11">
        <v>41913629.520000003</v>
      </c>
      <c r="LM52" s="11">
        <v>49341832.520000003</v>
      </c>
      <c r="LN52" s="11">
        <v>8497487.5</v>
      </c>
      <c r="LO52" s="11">
        <v>87794350.549999997</v>
      </c>
      <c r="LP52" s="11">
        <v>17610226.649999999</v>
      </c>
      <c r="LQ52" s="11">
        <v>62924333.090000004</v>
      </c>
      <c r="LR52" s="11">
        <v>14940727.210000001</v>
      </c>
      <c r="LS52" s="11">
        <v>125508553.7</v>
      </c>
      <c r="LT52" s="11">
        <v>46129542.090000004</v>
      </c>
      <c r="LU52" s="11">
        <v>34758726.310000002</v>
      </c>
      <c r="LV52" s="11">
        <v>1352174924.1600001</v>
      </c>
      <c r="LW52" s="11">
        <v>486815020.37</v>
      </c>
      <c r="LX52" s="11">
        <v>717634188.83000004</v>
      </c>
      <c r="LY52" s="11">
        <v>263297408.27000001</v>
      </c>
      <c r="LZ52" s="11">
        <v>47236467.310000002</v>
      </c>
      <c r="MA52" s="11">
        <v>154014025.19999999</v>
      </c>
      <c r="MB52" s="11">
        <v>78451840.349999994</v>
      </c>
      <c r="MC52" s="11">
        <v>63728629.079999998</v>
      </c>
      <c r="MD52" s="11">
        <v>116470967.93000001</v>
      </c>
      <c r="ME52" s="11">
        <v>177626730.22999999</v>
      </c>
      <c r="MF52" s="11">
        <v>73694492.810000002</v>
      </c>
      <c r="MG52" s="11">
        <v>66876145.200000003</v>
      </c>
      <c r="MH52" s="11">
        <v>223279307.13999999</v>
      </c>
      <c r="MI52" s="11">
        <v>39024389.280000001</v>
      </c>
      <c r="MJ52" s="11">
        <v>55743059.68</v>
      </c>
      <c r="MK52" s="11">
        <v>32174381.989999998</v>
      </c>
      <c r="ML52" s="11">
        <v>39713276.109999999</v>
      </c>
      <c r="MM52" s="11">
        <v>71896815.680000007</v>
      </c>
      <c r="MN52" s="11">
        <v>8012502.3300000001</v>
      </c>
      <c r="MO52" s="11">
        <v>24661888.289999999</v>
      </c>
      <c r="MP52" s="11">
        <v>50331880.520000003</v>
      </c>
      <c r="MQ52" s="11">
        <v>33618155.909999996</v>
      </c>
      <c r="MR52" s="11">
        <v>22446593.809999999</v>
      </c>
      <c r="MS52" s="11">
        <v>43714835.939999998</v>
      </c>
      <c r="MT52" s="11">
        <v>562821282.76999998</v>
      </c>
      <c r="MU52" s="11">
        <v>26225896.809999999</v>
      </c>
      <c r="MV52" s="11">
        <v>146496763.11000001</v>
      </c>
      <c r="MW52" s="11">
        <v>96948944.519999996</v>
      </c>
      <c r="MX52" s="11">
        <v>66634357.700000003</v>
      </c>
      <c r="MY52" s="11">
        <v>67322353.340000004</v>
      </c>
      <c r="MZ52" s="11">
        <v>113796078.43000001</v>
      </c>
      <c r="NA52" s="11">
        <v>58653114.670000002</v>
      </c>
      <c r="NB52" s="11">
        <v>107865942.31999999</v>
      </c>
      <c r="NC52" s="11">
        <v>2866341.71</v>
      </c>
      <c r="ND52" s="11">
        <v>36572246.729999997</v>
      </c>
      <c r="NE52" s="11">
        <v>1135555089.95</v>
      </c>
      <c r="NF52" s="11">
        <v>487144823.55000001</v>
      </c>
      <c r="NG52" s="11">
        <v>48868802.039999999</v>
      </c>
      <c r="NH52" s="11">
        <v>862978199.21000004</v>
      </c>
      <c r="NI52" s="11">
        <v>28898865.43</v>
      </c>
      <c r="NJ52" s="11">
        <v>114570135.97</v>
      </c>
      <c r="NK52" s="11">
        <v>275669436.45999998</v>
      </c>
      <c r="NL52" s="11">
        <v>343966563.14999998</v>
      </c>
      <c r="NM52" s="11">
        <v>33172133.039999999</v>
      </c>
      <c r="NN52" s="11">
        <v>238863626.91</v>
      </c>
      <c r="NO52" s="11">
        <v>114737313.8</v>
      </c>
      <c r="NP52" s="11">
        <v>79687574.480000004</v>
      </c>
      <c r="NQ52" s="11">
        <v>230358404.11000001</v>
      </c>
      <c r="NR52" s="11">
        <v>25844185.460000001</v>
      </c>
      <c r="NS52" s="11">
        <v>21453444.219999999</v>
      </c>
      <c r="NT52" s="11">
        <v>42147238.729999997</v>
      </c>
      <c r="NU52" s="11">
        <v>38802933.850000001</v>
      </c>
      <c r="NV52" s="11">
        <v>14596135.58</v>
      </c>
      <c r="NW52" s="11">
        <v>19235691.050000001</v>
      </c>
      <c r="NX52" s="11">
        <v>499732676.75</v>
      </c>
      <c r="NY52" s="11">
        <v>389936348.77999997</v>
      </c>
      <c r="NZ52" s="11">
        <v>76537430.930000007</v>
      </c>
      <c r="OA52" s="11">
        <v>12948293.23</v>
      </c>
      <c r="OB52" s="11">
        <v>49816282.229999997</v>
      </c>
      <c r="OC52" s="11">
        <v>74668174.540000007</v>
      </c>
      <c r="OD52" s="11">
        <v>15690937.49</v>
      </c>
      <c r="OE52" s="11">
        <v>544128956.34000003</v>
      </c>
      <c r="OF52" s="11">
        <v>52559900.789999999</v>
      </c>
      <c r="OG52" s="11">
        <v>74252403.879999995</v>
      </c>
      <c r="OH52" s="11">
        <v>154018516.16999999</v>
      </c>
      <c r="OI52" s="11">
        <v>8738328.1099999994</v>
      </c>
      <c r="OJ52" s="11">
        <v>122608262.40000001</v>
      </c>
      <c r="OK52" s="11">
        <v>126822619.18000001</v>
      </c>
      <c r="OL52" s="11">
        <v>26796908.91</v>
      </c>
      <c r="OM52" s="11">
        <v>125392820.41</v>
      </c>
      <c r="ON52" s="11">
        <v>1108735199.75</v>
      </c>
      <c r="OO52" s="11">
        <v>142591563.21000001</v>
      </c>
      <c r="OP52" s="11">
        <v>830303262.20000005</v>
      </c>
      <c r="OQ52" s="11">
        <v>186037773.16999999</v>
      </c>
      <c r="OR52" s="11">
        <v>44312033.670000002</v>
      </c>
      <c r="OS52" s="11">
        <v>137934482.46000001</v>
      </c>
      <c r="OT52" s="11">
        <v>631035650.69000006</v>
      </c>
      <c r="OU52" s="11">
        <v>53389035.340000004</v>
      </c>
      <c r="OV52" s="11">
        <v>102719011.01000001</v>
      </c>
      <c r="OW52" s="11">
        <v>96547878.670000002</v>
      </c>
      <c r="OX52" s="11">
        <v>66346485.100000001</v>
      </c>
      <c r="OY52" s="11">
        <v>207692259</v>
      </c>
      <c r="OZ52" s="11">
        <v>50719269.380000003</v>
      </c>
      <c r="PA52" s="11">
        <v>61560116.299999997</v>
      </c>
      <c r="PB52" s="11">
        <v>50707105.109999999</v>
      </c>
      <c r="PC52" s="11">
        <v>302117433</v>
      </c>
      <c r="PD52" s="11">
        <v>33223761.940000001</v>
      </c>
      <c r="PE52" s="11">
        <v>58670115.969999999</v>
      </c>
      <c r="PF52" s="11">
        <v>19632786.27</v>
      </c>
      <c r="PG52" s="11">
        <v>52359989.619999997</v>
      </c>
      <c r="PH52" s="11">
        <v>137244672.46000001</v>
      </c>
      <c r="PI52" s="11">
        <v>28454134.57</v>
      </c>
      <c r="PJ52" s="11">
        <v>28997660.809999999</v>
      </c>
      <c r="PK52" s="11">
        <v>36794810.289999999</v>
      </c>
      <c r="PL52" s="11">
        <v>30734574.649999999</v>
      </c>
      <c r="PM52" s="11">
        <v>73776071.920000002</v>
      </c>
      <c r="PN52" s="11">
        <v>56097334.380000003</v>
      </c>
      <c r="PO52" s="11">
        <v>13655340.609999999</v>
      </c>
      <c r="PP52" s="11">
        <v>53648132.490000002</v>
      </c>
      <c r="PQ52" s="11">
        <v>13154753.16</v>
      </c>
      <c r="PR52" s="11">
        <v>29362882.780000001</v>
      </c>
      <c r="PS52" s="11">
        <v>12010851.289999999</v>
      </c>
      <c r="PT52" s="11">
        <v>24698372.93</v>
      </c>
      <c r="PU52" s="11">
        <v>270725790.97000003</v>
      </c>
      <c r="PV52" s="11">
        <v>42786335.880000003</v>
      </c>
      <c r="PW52" s="11">
        <v>11541619.27</v>
      </c>
      <c r="PX52" s="11">
        <v>89126305.829999998</v>
      </c>
      <c r="PY52" s="11">
        <v>294966861.98000002</v>
      </c>
      <c r="PZ52" s="11">
        <v>41701121.899999999</v>
      </c>
      <c r="QA52" s="11">
        <v>52280394.990000002</v>
      </c>
      <c r="QB52" s="11">
        <v>8689729.5500000007</v>
      </c>
      <c r="QC52" s="11">
        <v>131215264.26000001</v>
      </c>
      <c r="QD52" s="11">
        <v>12288133.199999999</v>
      </c>
      <c r="QE52" s="11">
        <v>188018002.58000001</v>
      </c>
      <c r="QF52" s="11">
        <v>18794803.18</v>
      </c>
      <c r="QG52" s="11">
        <v>35507078.049999997</v>
      </c>
      <c r="QH52" s="11">
        <v>70559395.090000004</v>
      </c>
      <c r="QI52" s="11">
        <v>18063010.300000001</v>
      </c>
      <c r="QJ52" s="11">
        <v>61735444.649999999</v>
      </c>
      <c r="QK52" s="11">
        <v>19654871.25</v>
      </c>
      <c r="QL52" s="11">
        <v>12790123.970000001</v>
      </c>
      <c r="QM52" s="11">
        <v>4090598.39</v>
      </c>
      <c r="QN52" s="11">
        <v>71171850.030000001</v>
      </c>
      <c r="QO52" s="11">
        <v>120693739.54000001</v>
      </c>
      <c r="QP52" s="11">
        <v>16957611.390000001</v>
      </c>
      <c r="QQ52" s="11">
        <v>8488575.5999999996</v>
      </c>
      <c r="QR52" s="11">
        <v>3264491.56</v>
      </c>
      <c r="QS52" s="11">
        <v>10150279.460000001</v>
      </c>
      <c r="QT52" s="11">
        <v>23358795.18</v>
      </c>
      <c r="QU52" s="11">
        <v>183077171.46000001</v>
      </c>
      <c r="QV52" s="11">
        <v>20306024.609999999</v>
      </c>
      <c r="QW52" s="11">
        <v>190978439.63999999</v>
      </c>
      <c r="QX52" s="11">
        <v>45079471.25</v>
      </c>
      <c r="QY52" s="11">
        <v>22492752.02</v>
      </c>
      <c r="QZ52" s="11">
        <v>201436736.19</v>
      </c>
      <c r="RA52" s="11">
        <v>34627849.350000001</v>
      </c>
      <c r="RB52" s="11">
        <v>102949784.81</v>
      </c>
      <c r="RC52" s="11">
        <v>134579032.78</v>
      </c>
      <c r="RD52" s="11">
        <v>23131368.489999998</v>
      </c>
      <c r="RE52" s="11">
        <v>16744428.5</v>
      </c>
      <c r="RF52" s="11">
        <v>67270391.769999996</v>
      </c>
      <c r="RG52" s="11">
        <v>24023736.620000001</v>
      </c>
      <c r="RH52" s="11">
        <v>968387049.46000004</v>
      </c>
      <c r="RI52" s="11">
        <v>81700868.450000003</v>
      </c>
      <c r="RJ52" s="11">
        <v>22700397.329999998</v>
      </c>
      <c r="RK52" s="11">
        <v>84647127.319999993</v>
      </c>
      <c r="RL52" s="11">
        <v>51172001.969999999</v>
      </c>
      <c r="RM52" s="11">
        <v>65869264.369999997</v>
      </c>
      <c r="RN52" s="11">
        <v>39107222.740000002</v>
      </c>
      <c r="RO52" s="11">
        <v>72202059.239999995</v>
      </c>
      <c r="RP52" s="11">
        <v>72250326.340000004</v>
      </c>
      <c r="RQ52" s="11">
        <v>32137845.629999999</v>
      </c>
      <c r="RR52" s="11">
        <v>164238671.18000001</v>
      </c>
      <c r="RS52" s="11">
        <v>23650625.460000001</v>
      </c>
      <c r="RT52" s="11">
        <v>23718979.02</v>
      </c>
      <c r="RU52" s="11">
        <v>39248374.009999998</v>
      </c>
      <c r="RV52" s="11">
        <v>15059366.49</v>
      </c>
      <c r="RW52" s="11">
        <v>20479758.23</v>
      </c>
      <c r="RX52" s="11">
        <v>37708222.619999997</v>
      </c>
      <c r="RY52" s="11">
        <v>7684543.4699999997</v>
      </c>
      <c r="RZ52" s="11">
        <v>3372337.63</v>
      </c>
      <c r="SA52" s="11">
        <v>33325677.609999999</v>
      </c>
      <c r="SB52" s="11">
        <v>102751437.79000001</v>
      </c>
      <c r="SC52" s="11">
        <v>76944871.670000002</v>
      </c>
      <c r="SD52" s="11">
        <v>38500317.280000001</v>
      </c>
      <c r="SE52" s="11">
        <v>36196795.57</v>
      </c>
      <c r="SF52" s="11">
        <v>16881566.66</v>
      </c>
      <c r="SG52" s="11">
        <v>24786555.120000001</v>
      </c>
      <c r="SH52" s="11">
        <v>41823512.850000001</v>
      </c>
      <c r="SI52" s="11">
        <v>37564106.710000001</v>
      </c>
      <c r="SJ52" s="11">
        <v>43146997.219999999</v>
      </c>
      <c r="SK52" s="11">
        <v>49884318.609999999</v>
      </c>
      <c r="SL52" s="11">
        <v>10866509.18</v>
      </c>
      <c r="SM52" s="11">
        <v>8144188.7300000004</v>
      </c>
      <c r="SN52" s="11">
        <v>156506659.19999999</v>
      </c>
      <c r="SO52" s="11">
        <v>51851117.579999998</v>
      </c>
      <c r="SP52" s="11">
        <v>33934214.590000004</v>
      </c>
      <c r="SQ52" s="11">
        <v>46250844.609999999</v>
      </c>
      <c r="SR52" s="11">
        <v>43601917.369999997</v>
      </c>
      <c r="SS52" s="11">
        <v>42722346.140000001</v>
      </c>
      <c r="ST52" s="11">
        <v>55680335.259999998</v>
      </c>
      <c r="SU52" s="11">
        <v>19234477.620000001</v>
      </c>
      <c r="SV52" s="11">
        <v>73102377.810000002</v>
      </c>
      <c r="SW52" s="11">
        <v>35170374.049999997</v>
      </c>
      <c r="SX52" s="11">
        <v>24680444.23</v>
      </c>
      <c r="SY52" s="11">
        <v>35469098.590000004</v>
      </c>
      <c r="SZ52" s="11">
        <v>9372158.2400000002</v>
      </c>
      <c r="TA52" s="11">
        <v>16089263.779999999</v>
      </c>
      <c r="TB52" s="11">
        <v>23096393.449999999</v>
      </c>
      <c r="TC52" s="11">
        <v>55260401.140000001</v>
      </c>
      <c r="TD52" s="11">
        <v>12121401.029999999</v>
      </c>
      <c r="TE52" s="11">
        <v>8927523.8399999999</v>
      </c>
      <c r="TF52" s="11">
        <v>27063627.43</v>
      </c>
      <c r="TG52" s="11">
        <v>35373396.079999998</v>
      </c>
      <c r="TH52" s="11">
        <v>61439229.450000003</v>
      </c>
      <c r="TI52" s="11">
        <v>14871773.689999999</v>
      </c>
      <c r="TJ52" s="11">
        <v>163108860.41</v>
      </c>
      <c r="TK52" s="11">
        <v>64633936.689999998</v>
      </c>
      <c r="TL52" s="11">
        <v>41038155.369999997</v>
      </c>
      <c r="TM52" s="11">
        <v>23996403.440000001</v>
      </c>
      <c r="TN52" s="11">
        <v>30673952.5</v>
      </c>
      <c r="TO52" s="11">
        <v>23373881.129999999</v>
      </c>
      <c r="TP52" s="11">
        <v>18693234.960000001</v>
      </c>
      <c r="TQ52" s="11">
        <v>84286742.439999998</v>
      </c>
      <c r="TR52" s="11">
        <v>39191132.520000003</v>
      </c>
      <c r="TS52" s="11">
        <v>23102074.449999999</v>
      </c>
      <c r="TT52" s="11">
        <v>36557502.200000003</v>
      </c>
      <c r="TU52" s="11">
        <v>39497249.240000002</v>
      </c>
      <c r="TV52" s="11">
        <v>9055432.8000000007</v>
      </c>
      <c r="TW52" s="11">
        <v>24024080.379999999</v>
      </c>
      <c r="TX52" s="11">
        <v>21998233.359999999</v>
      </c>
      <c r="TY52" s="11">
        <v>51271896.170000002</v>
      </c>
      <c r="TZ52" s="11">
        <v>127781829.66</v>
      </c>
      <c r="UA52" s="11">
        <v>40186273.619999997</v>
      </c>
      <c r="UB52" s="11">
        <v>397705084.22000003</v>
      </c>
      <c r="UC52" s="11">
        <v>32722524.809999999</v>
      </c>
      <c r="UD52" s="11">
        <v>7632126.4699999997</v>
      </c>
      <c r="UE52" s="11">
        <v>13926191.27</v>
      </c>
      <c r="UF52" s="11">
        <v>15136626.689999999</v>
      </c>
      <c r="UG52" s="11">
        <v>27214590.530000001</v>
      </c>
      <c r="UH52" s="11">
        <v>4771652.1900000004</v>
      </c>
      <c r="UI52" s="11">
        <v>47706683.43</v>
      </c>
      <c r="UJ52" s="11">
        <v>15105441.460000001</v>
      </c>
      <c r="UK52" s="11">
        <v>258859278.53</v>
      </c>
      <c r="UL52" s="11">
        <v>51076770</v>
      </c>
      <c r="UM52" s="11">
        <v>31500377.690000001</v>
      </c>
      <c r="UN52" s="11">
        <v>47988940.200000003</v>
      </c>
      <c r="UO52" s="11">
        <v>47530263.390000001</v>
      </c>
      <c r="UP52" s="11">
        <v>20699187.699999999</v>
      </c>
      <c r="UQ52" s="11">
        <v>1018341278.17</v>
      </c>
      <c r="UR52" s="11">
        <v>29678413.120000001</v>
      </c>
      <c r="US52" s="11">
        <v>27164440.84</v>
      </c>
      <c r="UT52" s="11">
        <v>127318187.76000001</v>
      </c>
      <c r="UU52" s="11">
        <v>39922897.770000003</v>
      </c>
      <c r="UV52" s="11">
        <v>12864089.1</v>
      </c>
      <c r="UW52" s="11">
        <v>54664542.299999997</v>
      </c>
      <c r="UX52" s="11">
        <v>14498237.58</v>
      </c>
      <c r="UY52" s="11">
        <v>7395714.0599999996</v>
      </c>
      <c r="UZ52" s="11">
        <v>45140322.880000003</v>
      </c>
      <c r="VA52" s="11">
        <v>34208004.310000002</v>
      </c>
      <c r="VB52" s="11">
        <v>62802767.409999996</v>
      </c>
      <c r="VC52" s="11">
        <v>68905182.709999993</v>
      </c>
      <c r="VD52" s="11">
        <v>72282143.939999998</v>
      </c>
      <c r="VE52" s="11">
        <v>12491598.99</v>
      </c>
      <c r="VF52" s="11">
        <v>18119359.829999998</v>
      </c>
      <c r="VG52" s="11">
        <v>29542008.879999999</v>
      </c>
      <c r="VH52" s="11">
        <v>23582457.649999999</v>
      </c>
      <c r="VI52" s="11">
        <v>59033343.75</v>
      </c>
      <c r="VJ52" s="11">
        <v>4989299.55</v>
      </c>
      <c r="VK52" s="11">
        <v>25779218.66</v>
      </c>
      <c r="VL52" s="11">
        <v>16997336.199999999</v>
      </c>
      <c r="VM52" s="11">
        <v>192126424.94999999</v>
      </c>
      <c r="VN52" s="11">
        <v>38251348.109999999</v>
      </c>
      <c r="VO52" s="11">
        <v>55710965.509999998</v>
      </c>
      <c r="VP52" s="11">
        <v>37963379.329999998</v>
      </c>
      <c r="VQ52" s="11">
        <v>54447977.82</v>
      </c>
      <c r="VR52" s="11">
        <v>36092472.509999998</v>
      </c>
      <c r="VS52" s="11">
        <v>34969023.609999999</v>
      </c>
      <c r="VT52" s="11">
        <v>17835845.879999999</v>
      </c>
      <c r="VU52" s="11">
        <v>63808346.909999996</v>
      </c>
      <c r="VV52" s="11">
        <v>68067503.400000006</v>
      </c>
      <c r="VW52" s="11">
        <v>24957015.98</v>
      </c>
      <c r="VX52" s="11">
        <v>96539810.370000005</v>
      </c>
      <c r="VY52" s="11">
        <v>42074861.590000004</v>
      </c>
      <c r="VZ52" s="11">
        <v>60416368.460000001</v>
      </c>
      <c r="WA52" s="11">
        <v>15096210.9</v>
      </c>
      <c r="WB52" s="11">
        <v>2845065616.96</v>
      </c>
      <c r="WC52" s="11">
        <v>62124170.340000004</v>
      </c>
      <c r="WD52" s="11">
        <v>73452289.280000001</v>
      </c>
      <c r="WE52" s="11">
        <v>79529051.670000002</v>
      </c>
      <c r="WF52" s="11">
        <v>43386281.039999999</v>
      </c>
      <c r="WG52" s="11">
        <v>27031004.710000001</v>
      </c>
      <c r="WH52" s="11">
        <v>39236315.560000002</v>
      </c>
      <c r="WI52" s="11">
        <v>69722427.219999999</v>
      </c>
      <c r="WJ52" s="11">
        <v>76224779.799999997</v>
      </c>
      <c r="WK52" s="11">
        <v>75747885.790000007</v>
      </c>
      <c r="WL52" s="11">
        <v>18799251.420000002</v>
      </c>
      <c r="WM52" s="11">
        <v>23781513.300000001</v>
      </c>
      <c r="WN52" s="11">
        <v>75486668.920000002</v>
      </c>
      <c r="WO52" s="11">
        <v>31280887.050000001</v>
      </c>
      <c r="WP52" s="11">
        <v>75239515.659999996</v>
      </c>
      <c r="WQ52" s="11">
        <v>78805957.219999999</v>
      </c>
      <c r="WR52" s="11">
        <v>35974774.700000003</v>
      </c>
      <c r="WS52" s="11">
        <v>116639080.17</v>
      </c>
      <c r="WT52" s="11">
        <v>24345361.079999998</v>
      </c>
      <c r="WU52" s="11">
        <v>59642962.460000001</v>
      </c>
      <c r="WV52" s="11">
        <v>23842386.57</v>
      </c>
      <c r="WW52" s="11">
        <v>33980376.770000003</v>
      </c>
      <c r="WX52" s="11">
        <v>46814293.670000002</v>
      </c>
      <c r="WY52" s="11">
        <v>25500909.68</v>
      </c>
      <c r="WZ52" s="11"/>
      <c r="XA52" s="11">
        <v>18257512.289999999</v>
      </c>
      <c r="XB52" s="11">
        <v>12011099.48</v>
      </c>
      <c r="XC52" s="11">
        <v>41820935.039999999</v>
      </c>
      <c r="XD52" s="11">
        <v>42353762.770000003</v>
      </c>
      <c r="XE52" s="11">
        <v>13179544.715</v>
      </c>
      <c r="XF52" s="11">
        <v>41022926.93</v>
      </c>
      <c r="XG52" s="11">
        <v>25053188.850000001</v>
      </c>
      <c r="XH52" s="11">
        <v>14210279.92</v>
      </c>
      <c r="XI52" s="11">
        <v>318326930.72000003</v>
      </c>
      <c r="XJ52" s="11">
        <v>97730219.329999998</v>
      </c>
      <c r="XK52" s="11">
        <v>144247379.91</v>
      </c>
      <c r="XL52" s="11">
        <v>141582616.13</v>
      </c>
      <c r="XM52" s="11">
        <v>68668029.859999999</v>
      </c>
      <c r="XN52" s="11">
        <v>77321627.609999999</v>
      </c>
      <c r="XO52" s="11">
        <v>179690461.61000001</v>
      </c>
      <c r="XP52" s="11">
        <v>146086222.05000001</v>
      </c>
      <c r="XQ52" s="11">
        <v>41883199.509999998</v>
      </c>
      <c r="XR52" s="11">
        <v>160866559.25999999</v>
      </c>
      <c r="XS52" s="11">
        <v>126701966.23</v>
      </c>
      <c r="XT52" s="11">
        <v>44359800.340000004</v>
      </c>
      <c r="XU52" s="11">
        <v>56497927.109999999</v>
      </c>
      <c r="XV52" s="11">
        <v>81738070.439999998</v>
      </c>
      <c r="XW52" s="11">
        <v>89463719.709999993</v>
      </c>
      <c r="XX52" s="11">
        <v>15571421.460000001</v>
      </c>
      <c r="XY52" s="11">
        <v>29041473.309999999</v>
      </c>
      <c r="XZ52" s="11">
        <v>44129046.43</v>
      </c>
      <c r="YA52" s="11">
        <v>32787900.949999999</v>
      </c>
      <c r="YB52" s="11">
        <v>42996200.049999997</v>
      </c>
      <c r="YC52" s="11">
        <v>50138747.119999997</v>
      </c>
      <c r="YD52" s="11">
        <v>89959304.909999996</v>
      </c>
      <c r="YE52" s="11">
        <v>65787526.509999998</v>
      </c>
      <c r="YF52" s="11">
        <v>118886336.97</v>
      </c>
      <c r="YG52" s="11">
        <v>123000282.86</v>
      </c>
      <c r="YH52" s="11">
        <v>157408628.59</v>
      </c>
      <c r="YI52" s="11">
        <v>110275712.22</v>
      </c>
      <c r="YJ52" s="11">
        <v>375737407.43000001</v>
      </c>
      <c r="YK52" s="11">
        <v>89130786.319999993</v>
      </c>
      <c r="YL52" s="11">
        <v>146128870.44999999</v>
      </c>
      <c r="YM52" s="11">
        <v>58595367.560000002</v>
      </c>
      <c r="YN52" s="11">
        <v>96578374.069999993</v>
      </c>
      <c r="YO52" s="11">
        <v>132305513.40000001</v>
      </c>
      <c r="YP52" s="11">
        <v>78881698.560000002</v>
      </c>
      <c r="YQ52" s="11">
        <v>89534706.620000005</v>
      </c>
      <c r="YR52" s="11">
        <v>61035801.799999997</v>
      </c>
      <c r="YS52" s="11">
        <v>62745300.009999998</v>
      </c>
      <c r="YT52" s="11">
        <v>107035541.66</v>
      </c>
      <c r="YU52" s="11">
        <v>131846589.06999999</v>
      </c>
      <c r="YV52" s="11">
        <v>74119706.319999993</v>
      </c>
      <c r="YW52" s="11">
        <v>101697467.15000001</v>
      </c>
      <c r="YX52" s="11">
        <v>26569779.579999998</v>
      </c>
      <c r="YY52" s="11">
        <v>31588902.09</v>
      </c>
      <c r="YZ52" s="11">
        <v>39601293.840000004</v>
      </c>
      <c r="ZA52" s="11">
        <v>5722405.1500000004</v>
      </c>
      <c r="ZB52" s="11">
        <v>19794662.300000001</v>
      </c>
      <c r="ZC52" s="11">
        <v>9878855.9399999995</v>
      </c>
      <c r="ZD52" s="11">
        <v>192597707.37</v>
      </c>
      <c r="ZE52" s="11">
        <v>26088146.68</v>
      </c>
      <c r="ZF52" s="11">
        <v>64827896.75</v>
      </c>
      <c r="ZG52" s="11">
        <v>34582919.560000002</v>
      </c>
      <c r="ZH52" s="11">
        <v>54425846.920000002</v>
      </c>
      <c r="ZI52" s="11">
        <v>32170228.16</v>
      </c>
      <c r="ZJ52" s="11">
        <v>25818005.420000002</v>
      </c>
      <c r="ZK52" s="11">
        <v>24746409.5</v>
      </c>
      <c r="ZL52" s="11">
        <v>63809959.210000001</v>
      </c>
      <c r="ZM52" s="11">
        <v>406847707.02999997</v>
      </c>
      <c r="ZN52" s="11">
        <v>30222034.760000002</v>
      </c>
      <c r="ZO52" s="11">
        <v>72820941.696999997</v>
      </c>
      <c r="ZP52" s="11">
        <v>396276198.36000001</v>
      </c>
      <c r="ZQ52" s="11">
        <v>133089636.26000001</v>
      </c>
      <c r="ZR52" s="11">
        <v>37441000.387000002</v>
      </c>
      <c r="ZS52" s="11">
        <v>32511403.120000001</v>
      </c>
      <c r="ZT52" s="11">
        <v>170089881.87</v>
      </c>
      <c r="ZU52" s="11">
        <v>210954128.96000001</v>
      </c>
      <c r="ZV52" s="11">
        <v>40189954.490000002</v>
      </c>
      <c r="ZW52" s="11">
        <v>47075846.549999997</v>
      </c>
      <c r="ZX52" s="11">
        <v>37456807.340000004</v>
      </c>
      <c r="ZY52" s="11">
        <v>11770195.07</v>
      </c>
      <c r="ZZ52" s="11">
        <v>35277754</v>
      </c>
      <c r="AAA52" s="11">
        <v>17968593.25</v>
      </c>
      <c r="AAB52" s="11">
        <v>20914935.010000002</v>
      </c>
      <c r="AAC52" s="11">
        <v>24784084.260000002</v>
      </c>
      <c r="AAD52" s="11">
        <v>37856376.149999999</v>
      </c>
      <c r="AAE52" s="11">
        <v>61262789.82</v>
      </c>
      <c r="AAF52" s="11">
        <v>51114192.890000001</v>
      </c>
      <c r="AAG52" s="11">
        <v>17690035.329999998</v>
      </c>
      <c r="AAH52" s="11">
        <v>29901189.079999998</v>
      </c>
      <c r="AAI52" s="11">
        <v>81372498.260000005</v>
      </c>
      <c r="AAJ52" s="11">
        <v>25698404.199999999</v>
      </c>
      <c r="AAK52" s="11">
        <v>28544010.09</v>
      </c>
      <c r="AAL52" s="11">
        <v>7738975.54</v>
      </c>
      <c r="AAM52" s="11">
        <v>24524094.210000001</v>
      </c>
      <c r="AAN52" s="11">
        <v>18843611.02</v>
      </c>
      <c r="AAO52" s="11">
        <v>17773941.629999999</v>
      </c>
      <c r="AAP52" s="11">
        <v>1038681061.8200001</v>
      </c>
      <c r="AAQ52" s="11">
        <v>27902572.07</v>
      </c>
      <c r="AAR52" s="11">
        <v>43799333.729999997</v>
      </c>
      <c r="AAS52" s="11">
        <v>206318190.81999999</v>
      </c>
      <c r="AAT52" s="11">
        <v>60544054.289999999</v>
      </c>
      <c r="AAU52" s="11">
        <v>90059756.5</v>
      </c>
      <c r="AAV52" s="11">
        <v>37027919.299999997</v>
      </c>
      <c r="AAW52" s="11">
        <v>90669272.489999995</v>
      </c>
      <c r="AAX52" s="11">
        <v>129833136.7</v>
      </c>
      <c r="AAY52" s="11">
        <v>36542358.329999998</v>
      </c>
      <c r="AAZ52" s="11">
        <v>64845871.799999997</v>
      </c>
      <c r="ABA52" s="11">
        <v>117948843.65000001</v>
      </c>
      <c r="ABB52" s="11">
        <v>93030484.959999993</v>
      </c>
      <c r="ABC52" s="11">
        <v>15704344.380000001</v>
      </c>
      <c r="ABD52" s="11">
        <v>20416320.489999998</v>
      </c>
      <c r="ABE52" s="11">
        <v>39480352.140000001</v>
      </c>
      <c r="ABF52" s="11">
        <v>43391913.350000001</v>
      </c>
      <c r="ABG52" s="11">
        <v>63998943.329999998</v>
      </c>
      <c r="ABH52" s="11">
        <v>33625266.229999997</v>
      </c>
      <c r="ABI52" s="11">
        <v>159450338.94</v>
      </c>
      <c r="ABJ52" s="11">
        <v>123125778.5</v>
      </c>
      <c r="ABK52" s="11">
        <v>57154642.789999999</v>
      </c>
      <c r="ABL52" s="11">
        <v>33596761.740000002</v>
      </c>
      <c r="ABM52" s="11">
        <v>25305128.559999999</v>
      </c>
      <c r="ABN52" s="11">
        <v>45154978.409999996</v>
      </c>
      <c r="ABO52" s="11">
        <v>32153579.559999999</v>
      </c>
      <c r="ABP52" s="11">
        <v>91093810.640000001</v>
      </c>
      <c r="ABQ52" s="11">
        <v>53642506.270000003</v>
      </c>
      <c r="ABR52" s="11">
        <v>21027787.039999999</v>
      </c>
      <c r="ABS52" s="11">
        <v>132751629.01000001</v>
      </c>
      <c r="ABT52" s="11">
        <v>107112758.91</v>
      </c>
      <c r="ABU52" s="11">
        <v>116091337.84999999</v>
      </c>
      <c r="ABV52" s="11">
        <v>22803537.949999999</v>
      </c>
      <c r="ABW52" s="11">
        <v>52849301.469999999</v>
      </c>
      <c r="ABX52" s="11">
        <v>43612129.939999998</v>
      </c>
      <c r="ABY52" s="11">
        <v>171475529.19</v>
      </c>
      <c r="ABZ52" s="11">
        <v>29519043.949999999</v>
      </c>
      <c r="ACA52" s="11">
        <v>65498601.630000003</v>
      </c>
      <c r="ACB52" s="11">
        <v>29755114.25</v>
      </c>
      <c r="ACC52" s="11">
        <v>20388079.620000001</v>
      </c>
      <c r="ACD52" s="11">
        <v>99144629.719999999</v>
      </c>
      <c r="ACE52" s="11">
        <v>2910037.79</v>
      </c>
      <c r="ACF52" s="11">
        <v>9001304.8200000003</v>
      </c>
      <c r="ACG52" s="11">
        <v>23799304.469999999</v>
      </c>
      <c r="ACH52" s="11">
        <v>33901856.619999997</v>
      </c>
      <c r="ACI52" s="11">
        <v>21217420.75</v>
      </c>
      <c r="ACJ52" s="11">
        <v>276529714.18000001</v>
      </c>
      <c r="ACK52" s="11">
        <v>39097932.390000001</v>
      </c>
      <c r="ACL52" s="11">
        <v>19635169.190000001</v>
      </c>
      <c r="ACM52" s="11">
        <v>116129174.65000001</v>
      </c>
      <c r="ACN52" s="11">
        <v>6688635.6699999999</v>
      </c>
      <c r="ACO52" s="11">
        <v>36632426.439999998</v>
      </c>
      <c r="ACP52" s="11">
        <v>60445025.07</v>
      </c>
      <c r="ACQ52" s="11">
        <v>323836684.69999999</v>
      </c>
      <c r="ACR52" s="11">
        <v>49504133.420000002</v>
      </c>
      <c r="ACS52" s="11">
        <v>37475358.049999997</v>
      </c>
      <c r="ACT52" s="11">
        <v>42694342.020000003</v>
      </c>
      <c r="ACU52" s="11">
        <v>83272813.219999999</v>
      </c>
      <c r="ACV52" s="11">
        <v>82864974.620000005</v>
      </c>
      <c r="ACW52" s="11">
        <v>544973952.25999999</v>
      </c>
      <c r="ACX52" s="11">
        <v>10604379.08</v>
      </c>
      <c r="ACY52" s="11">
        <v>51802368.310000002</v>
      </c>
      <c r="ACZ52" s="11">
        <v>81732467.859999999</v>
      </c>
      <c r="ADA52" s="11">
        <v>20011950.5</v>
      </c>
      <c r="ADB52" s="11">
        <v>20138641.25</v>
      </c>
      <c r="ADC52" s="11">
        <v>16471181.949999999</v>
      </c>
      <c r="ADD52" s="11">
        <v>23683026.399999999</v>
      </c>
      <c r="ADE52" s="11">
        <v>29966526.57</v>
      </c>
      <c r="ADF52" s="11">
        <v>70461713.829999998</v>
      </c>
      <c r="ADG52" s="11">
        <v>24604108.489999998</v>
      </c>
      <c r="ADH52" s="11">
        <v>38251250.810000002</v>
      </c>
      <c r="ADI52" s="11">
        <v>18134424.789999999</v>
      </c>
      <c r="ADJ52" s="11">
        <v>15749479.220000001</v>
      </c>
      <c r="ADK52" s="11">
        <v>20543090.77</v>
      </c>
      <c r="ADL52" s="11">
        <v>10492635.130000001</v>
      </c>
      <c r="ADM52" s="11">
        <v>40034248.75</v>
      </c>
      <c r="ADN52" s="11">
        <v>28227903.739999998</v>
      </c>
      <c r="ADO52" s="11">
        <v>12368866.130000001</v>
      </c>
      <c r="ADP52" s="11">
        <v>508629030.24000001</v>
      </c>
      <c r="ADQ52" s="11">
        <v>146001909.44</v>
      </c>
      <c r="ADR52" s="11">
        <v>83186594.299999997</v>
      </c>
      <c r="ADS52" s="11">
        <v>50579449.520000003</v>
      </c>
      <c r="ADT52" s="11">
        <v>84698383.209999993</v>
      </c>
      <c r="ADU52" s="11">
        <v>2332592.65</v>
      </c>
      <c r="ADV52" s="11">
        <v>17295962.489999998</v>
      </c>
      <c r="ADW52" s="11">
        <v>38060829.420000002</v>
      </c>
      <c r="ADX52" s="11">
        <v>3277290.69</v>
      </c>
      <c r="ADY52" s="11">
        <v>13567737.9</v>
      </c>
      <c r="ADZ52" s="11">
        <v>360755096.20999998</v>
      </c>
      <c r="AEA52" s="11">
        <v>166239959.30000001</v>
      </c>
      <c r="AEB52" s="11">
        <v>41600164.140000001</v>
      </c>
      <c r="AEC52" s="11">
        <v>45054702.789999999</v>
      </c>
      <c r="AED52" s="11">
        <v>25549993.170000002</v>
      </c>
      <c r="AEE52" s="11">
        <v>80570920.590000004</v>
      </c>
      <c r="AEF52" s="11">
        <v>44856526.270000003</v>
      </c>
      <c r="AEG52" s="11">
        <v>12073120.560000001</v>
      </c>
      <c r="AEH52" s="11">
        <v>9400922.8699999992</v>
      </c>
      <c r="AEI52" s="11">
        <v>21412311.870000001</v>
      </c>
      <c r="AEJ52" s="11">
        <v>34835665.280000001</v>
      </c>
      <c r="AEK52" s="11">
        <v>143417308.63999999</v>
      </c>
      <c r="AEL52" s="11">
        <v>26509235.719999999</v>
      </c>
      <c r="AEM52" s="11">
        <v>11030529.369999999</v>
      </c>
      <c r="AEN52" s="11">
        <v>45854529.100000001</v>
      </c>
      <c r="AEO52" s="11">
        <v>49216834.369999997</v>
      </c>
      <c r="AEP52" s="11">
        <v>26054911.739999998</v>
      </c>
      <c r="AEQ52" s="11">
        <v>50473278.240000002</v>
      </c>
      <c r="AER52" s="11">
        <v>10017086.210000001</v>
      </c>
      <c r="AES52" s="11">
        <v>23837702.43</v>
      </c>
      <c r="AET52" s="11">
        <v>304371715.35000002</v>
      </c>
      <c r="AEU52" s="11">
        <v>88610803.409999996</v>
      </c>
      <c r="AEV52" s="11">
        <v>122725373.31</v>
      </c>
      <c r="AEW52" s="11">
        <v>34664758.579999998</v>
      </c>
      <c r="AEX52" s="11">
        <v>28259217.16</v>
      </c>
      <c r="AEY52" s="11">
        <v>37797364.93</v>
      </c>
      <c r="AEZ52" s="11">
        <v>31855509.190000001</v>
      </c>
      <c r="AFA52" s="11">
        <v>32449520.640000001</v>
      </c>
      <c r="AFB52" s="11">
        <v>16819586.809999999</v>
      </c>
      <c r="AFC52" s="11">
        <v>16700668.83</v>
      </c>
      <c r="AFD52" s="11">
        <v>304255738.64999998</v>
      </c>
      <c r="AFE52" s="11">
        <v>197172533.41999999</v>
      </c>
      <c r="AFF52" s="11">
        <v>96775374.590000004</v>
      </c>
      <c r="AFG52" s="11">
        <v>64366376.18</v>
      </c>
      <c r="AFH52" s="11">
        <v>225181952.09</v>
      </c>
      <c r="AFI52" s="11">
        <v>90287528.829999998</v>
      </c>
      <c r="AFJ52" s="11">
        <v>47963435.619999997</v>
      </c>
      <c r="AFK52" s="11">
        <v>43819740.009999998</v>
      </c>
      <c r="AFL52" s="11">
        <v>55456984.68</v>
      </c>
      <c r="AFM52" s="11">
        <v>64959185.009999998</v>
      </c>
      <c r="AFN52" s="11">
        <v>44502716.200000003</v>
      </c>
      <c r="AFO52" s="11">
        <v>56106031.509999998</v>
      </c>
      <c r="AFP52" s="11">
        <v>53172414.090000004</v>
      </c>
      <c r="AFQ52" s="11">
        <v>293929755.25999999</v>
      </c>
      <c r="AFR52" s="11">
        <v>92303191.549999997</v>
      </c>
      <c r="AFS52" s="11">
        <v>143859519.62</v>
      </c>
      <c r="AFT52" s="11">
        <v>63894097.740000002</v>
      </c>
      <c r="AFU52" s="11">
        <v>83250310.939999998</v>
      </c>
      <c r="AFV52" s="11">
        <v>75256686.400000006</v>
      </c>
      <c r="AFW52" s="11">
        <v>48717119.259999998</v>
      </c>
      <c r="AFX52" s="11">
        <v>170812070.80000001</v>
      </c>
      <c r="AFY52" s="11">
        <v>83493772.200000003</v>
      </c>
      <c r="AFZ52" s="11">
        <v>37448823.07</v>
      </c>
      <c r="AGA52" s="11">
        <v>224092909.93000001</v>
      </c>
      <c r="AGB52" s="11">
        <v>62365597.649999999</v>
      </c>
      <c r="AGC52" s="11">
        <v>493804468.12</v>
      </c>
      <c r="AGD52" s="11">
        <v>119520648</v>
      </c>
      <c r="AGE52" s="11">
        <v>41271309.68</v>
      </c>
      <c r="AGF52" s="11">
        <v>73641523.25</v>
      </c>
      <c r="AGG52" s="11">
        <v>127000484.92</v>
      </c>
      <c r="AGH52" s="11">
        <v>50189750.710000001</v>
      </c>
      <c r="AGI52" s="11">
        <v>45800512.520000003</v>
      </c>
      <c r="AGJ52" s="11">
        <v>52807449.299999997</v>
      </c>
      <c r="AGK52" s="11">
        <v>34472647.579999998</v>
      </c>
      <c r="AGL52" s="11">
        <v>40896743.219999999</v>
      </c>
      <c r="AGM52" s="11">
        <v>32019743.93</v>
      </c>
      <c r="AGN52" s="11">
        <v>879235440.71000004</v>
      </c>
      <c r="AGO52" s="11">
        <v>133778359.34</v>
      </c>
      <c r="AGP52" s="11">
        <v>213838475.84</v>
      </c>
      <c r="AGQ52" s="11">
        <v>60509981.740000002</v>
      </c>
      <c r="AGR52" s="11">
        <v>193362543.09999999</v>
      </c>
      <c r="AGS52" s="11">
        <v>135430508.50999999</v>
      </c>
      <c r="AGT52" s="11">
        <v>25039939.859999999</v>
      </c>
      <c r="AGU52" s="11">
        <v>74185833.310000002</v>
      </c>
      <c r="AGV52" s="11">
        <v>626069070.67999995</v>
      </c>
      <c r="AGW52" s="11">
        <v>510080383.60000002</v>
      </c>
      <c r="AGX52" s="11">
        <v>27784338</v>
      </c>
      <c r="AGY52" s="11">
        <v>226342007.96000001</v>
      </c>
      <c r="AGZ52" s="11">
        <v>197513293.00999999</v>
      </c>
      <c r="AHA52" s="11">
        <v>173600746.77000001</v>
      </c>
      <c r="AHB52" s="11">
        <v>42200179.18</v>
      </c>
      <c r="AHC52" s="11">
        <v>54116269.479999997</v>
      </c>
      <c r="AHD52" s="11">
        <v>24347980.760000002</v>
      </c>
      <c r="AHE52" s="11">
        <v>113773994.02</v>
      </c>
      <c r="AHF52" s="11">
        <v>196230102.91999999</v>
      </c>
      <c r="AHG52" s="11"/>
      <c r="AHH52" s="11">
        <v>50338969.609999999</v>
      </c>
      <c r="AHI52" s="11">
        <v>72087243.810000002</v>
      </c>
      <c r="AHJ52" s="11">
        <v>46067891.630000003</v>
      </c>
      <c r="AHK52" s="11">
        <v>33105766.07</v>
      </c>
      <c r="AHL52" s="11">
        <v>29598303.309999999</v>
      </c>
      <c r="AHM52" s="11">
        <v>41313263.649999999</v>
      </c>
      <c r="AHN52" s="11">
        <v>59270846.890000001</v>
      </c>
      <c r="AHO52" s="11">
        <v>42210684.549999997</v>
      </c>
      <c r="AHP52" s="11">
        <v>31224999.920000002</v>
      </c>
      <c r="AHQ52" s="11">
        <v>17479700.829999998</v>
      </c>
      <c r="AHR52" s="11">
        <v>32367929.390000001</v>
      </c>
      <c r="AHS52" s="11">
        <v>20469480.609999999</v>
      </c>
      <c r="AHT52" s="11">
        <v>80714383983.72699</v>
      </c>
    </row>
    <row r="53" spans="1:908" x14ac:dyDescent="0.7">
      <c r="B53" s="6" t="s">
        <v>6055</v>
      </c>
      <c r="C53" s="6" t="s">
        <v>6462</v>
      </c>
      <c r="D53" s="11">
        <v>31753766.539999999</v>
      </c>
      <c r="E53" s="11">
        <v>4578060.16</v>
      </c>
      <c r="F53" s="11">
        <v>2602407.89</v>
      </c>
      <c r="G53" s="11">
        <v>101779.38</v>
      </c>
      <c r="H53" s="11">
        <v>13407085.550000001</v>
      </c>
      <c r="I53" s="11">
        <v>1144696.27</v>
      </c>
      <c r="J53" s="11">
        <v>117479865.34</v>
      </c>
      <c r="K53" s="11">
        <v>13674224.439999999</v>
      </c>
      <c r="L53" s="11">
        <v>7529273.8499999996</v>
      </c>
      <c r="M53" s="11">
        <v>6155425.9699999997</v>
      </c>
      <c r="N53" s="11">
        <v>153772.12</v>
      </c>
      <c r="O53" s="11">
        <v>1318512.46</v>
      </c>
      <c r="P53" s="11">
        <v>52667825.939999998</v>
      </c>
      <c r="Q53" s="11">
        <v>2236036.46</v>
      </c>
      <c r="R53" s="11">
        <v>1113097.6100000001</v>
      </c>
      <c r="S53" s="11">
        <v>15792599.59</v>
      </c>
      <c r="T53" s="11">
        <v>8241405.6200000001</v>
      </c>
      <c r="U53" s="11">
        <v>2368284.88</v>
      </c>
      <c r="V53" s="11">
        <v>104368496.41</v>
      </c>
      <c r="W53" s="11">
        <v>4688428.3899999997</v>
      </c>
      <c r="X53" s="11">
        <v>6619921.3099999996</v>
      </c>
      <c r="Y53" s="11">
        <v>12224028.08</v>
      </c>
      <c r="Z53" s="11">
        <v>8399781</v>
      </c>
      <c r="AA53" s="11">
        <v>6665001.1299999999</v>
      </c>
      <c r="AB53" s="11">
        <v>5304239.53</v>
      </c>
      <c r="AC53" s="11">
        <v>13392848.869999999</v>
      </c>
      <c r="AD53" s="11">
        <v>7913191.0199999996</v>
      </c>
      <c r="AE53" s="11">
        <v>5284798.47</v>
      </c>
      <c r="AF53" s="11">
        <v>18898962.91</v>
      </c>
      <c r="AG53" s="11">
        <v>7073181.6500000004</v>
      </c>
      <c r="AH53" s="11">
        <v>12798689.380000001</v>
      </c>
      <c r="AI53" s="11">
        <v>10935434.060000001</v>
      </c>
      <c r="AJ53" s="11">
        <v>6181619.6200000001</v>
      </c>
      <c r="AK53" s="11">
        <v>590592.80000000005</v>
      </c>
      <c r="AL53" s="11">
        <v>4250356.22</v>
      </c>
      <c r="AM53" s="11">
        <v>4444439.8899999997</v>
      </c>
      <c r="AN53" s="11">
        <v>32087530.370000001</v>
      </c>
      <c r="AO53" s="11">
        <v>9966325.1999999993</v>
      </c>
      <c r="AP53" s="11">
        <v>1845183.92</v>
      </c>
      <c r="AQ53" s="11">
        <v>534898.92000000004</v>
      </c>
      <c r="AR53" s="11">
        <v>4444714.54</v>
      </c>
      <c r="AS53" s="11">
        <v>2853505.56</v>
      </c>
      <c r="AT53" s="11">
        <v>7792956.1600000001</v>
      </c>
      <c r="AU53" s="11">
        <v>3317982.34</v>
      </c>
      <c r="AV53" s="11">
        <v>358511.76</v>
      </c>
      <c r="AW53" s="11">
        <v>4000000</v>
      </c>
      <c r="AX53" s="11">
        <v>426951.6</v>
      </c>
      <c r="AY53" s="11">
        <v>2580249.17</v>
      </c>
      <c r="AZ53" s="11">
        <v>2473603.9900000002</v>
      </c>
      <c r="BA53" s="11">
        <v>430485.16</v>
      </c>
      <c r="BB53" s="11">
        <v>240036.09</v>
      </c>
      <c r="BC53" s="11">
        <v>250403.47</v>
      </c>
      <c r="BD53" s="11">
        <v>1000000</v>
      </c>
      <c r="BE53" s="11">
        <v>2610654.2599999998</v>
      </c>
      <c r="BF53" s="11">
        <v>13640764.84</v>
      </c>
      <c r="BG53" s="11">
        <v>452158.15</v>
      </c>
      <c r="BH53" s="11">
        <v>5470591.2599999998</v>
      </c>
      <c r="BI53" s="11">
        <v>40556417.43</v>
      </c>
      <c r="BJ53" s="11">
        <v>8246621.5300000003</v>
      </c>
      <c r="BK53" s="11">
        <v>532999.18999999994</v>
      </c>
      <c r="BL53" s="11">
        <v>2276062.34</v>
      </c>
      <c r="BM53" s="11">
        <v>584373.61</v>
      </c>
      <c r="BN53" s="11">
        <v>8539335.0299999993</v>
      </c>
      <c r="BO53" s="11">
        <v>2769007.37</v>
      </c>
      <c r="BP53" s="11">
        <v>2054434.75</v>
      </c>
      <c r="BQ53" s="11">
        <v>1405552.66</v>
      </c>
      <c r="BR53" s="11">
        <v>10700561.4</v>
      </c>
      <c r="BS53" s="11">
        <v>7440430.9000000004</v>
      </c>
      <c r="BT53" s="11">
        <v>2425974.7599999998</v>
      </c>
      <c r="BU53" s="11">
        <v>2324503.65</v>
      </c>
      <c r="BV53" s="11">
        <v>5068773.4800000004</v>
      </c>
      <c r="BW53" s="11">
        <v>3206126.62</v>
      </c>
      <c r="BX53" s="11">
        <v>3607878.82</v>
      </c>
      <c r="BY53" s="11">
        <v>825158</v>
      </c>
      <c r="BZ53" s="11">
        <v>14663418.02</v>
      </c>
      <c r="CA53" s="11">
        <v>1094349.21</v>
      </c>
      <c r="CB53" s="11">
        <v>1530386.94</v>
      </c>
      <c r="CC53" s="11">
        <v>1886625.95</v>
      </c>
      <c r="CD53" s="11">
        <v>1021351.27</v>
      </c>
      <c r="CE53" s="11">
        <v>1612084.27</v>
      </c>
      <c r="CF53" s="11">
        <v>4357850.1100000003</v>
      </c>
      <c r="CG53" s="11">
        <v>26066225.25</v>
      </c>
      <c r="CH53" s="11">
        <v>2034066.31</v>
      </c>
      <c r="CI53" s="11">
        <v>2665460.91</v>
      </c>
      <c r="CJ53" s="11">
        <v>684087.97</v>
      </c>
      <c r="CK53" s="11">
        <v>3050362.46</v>
      </c>
      <c r="CL53" s="11">
        <v>3024888.19</v>
      </c>
      <c r="CM53" s="11">
        <v>2246473.17</v>
      </c>
      <c r="CN53" s="11">
        <v>4931883.21</v>
      </c>
      <c r="CO53" s="11">
        <v>1573779.8</v>
      </c>
      <c r="CP53" s="11">
        <v>3563387.72</v>
      </c>
      <c r="CQ53" s="11">
        <v>1206150.5</v>
      </c>
      <c r="CR53" s="11">
        <v>4051973.01</v>
      </c>
      <c r="CS53" s="11">
        <v>2288185.16</v>
      </c>
      <c r="CT53" s="11">
        <v>54384973.229999997</v>
      </c>
      <c r="CU53" s="11">
        <v>3898193.41</v>
      </c>
      <c r="CV53" s="11">
        <v>2339341.16</v>
      </c>
      <c r="CW53" s="11">
        <v>4798555.37</v>
      </c>
      <c r="CX53" s="11">
        <v>3761754.16</v>
      </c>
      <c r="CY53" s="11">
        <v>5271500.3899999997</v>
      </c>
      <c r="CZ53" s="11">
        <v>334446.03999999998</v>
      </c>
      <c r="DA53" s="11">
        <v>144214.1</v>
      </c>
      <c r="DB53" s="11">
        <v>32926644.899999999</v>
      </c>
      <c r="DC53" s="11">
        <v>89659297.069999993</v>
      </c>
      <c r="DD53" s="11">
        <v>5162598.7300000004</v>
      </c>
      <c r="DE53" s="11">
        <v>5818514.0599999996</v>
      </c>
      <c r="DF53" s="11">
        <v>3206550.89</v>
      </c>
      <c r="DG53" s="11">
        <v>8695879.5899999999</v>
      </c>
      <c r="DH53" s="11">
        <v>16443871.029999999</v>
      </c>
      <c r="DI53" s="11">
        <v>8081879.9900000002</v>
      </c>
      <c r="DJ53" s="11">
        <v>5626086.4000000004</v>
      </c>
      <c r="DK53" s="11">
        <v>91324761.959999993</v>
      </c>
      <c r="DL53" s="11">
        <v>2332733.9700000002</v>
      </c>
      <c r="DM53" s="11">
        <v>5178716.55</v>
      </c>
      <c r="DN53" s="11">
        <v>2673668.64</v>
      </c>
      <c r="DO53" s="11">
        <v>4348358.9000000004</v>
      </c>
      <c r="DP53" s="11">
        <v>1465912.2</v>
      </c>
      <c r="DQ53" s="11">
        <v>18519280.23</v>
      </c>
      <c r="DR53" s="11">
        <v>2715043.64</v>
      </c>
      <c r="DS53" s="11">
        <v>11012285.26</v>
      </c>
      <c r="DT53" s="11"/>
      <c r="DU53" s="11">
        <v>2742917.83</v>
      </c>
      <c r="DV53" s="11">
        <v>7425664.3600000003</v>
      </c>
      <c r="DW53" s="11">
        <v>2258352.1800000002</v>
      </c>
      <c r="DX53" s="11">
        <v>1539297.17</v>
      </c>
      <c r="DY53" s="11">
        <v>471555.5</v>
      </c>
      <c r="DZ53" s="11">
        <v>1318885.69</v>
      </c>
      <c r="EA53" s="11">
        <v>252964.7</v>
      </c>
      <c r="EB53" s="11">
        <v>1194015.6499999999</v>
      </c>
      <c r="EC53" s="11">
        <v>2860214.36</v>
      </c>
      <c r="ED53" s="11">
        <v>117565.44</v>
      </c>
      <c r="EE53" s="11">
        <v>12103891.220000001</v>
      </c>
      <c r="EF53" s="11">
        <v>14564717.09</v>
      </c>
      <c r="EG53" s="11">
        <v>29993674.420000002</v>
      </c>
      <c r="EH53" s="11">
        <v>9268100.5800000001</v>
      </c>
      <c r="EI53" s="11">
        <v>17092706.98</v>
      </c>
      <c r="EJ53" s="11">
        <v>2494591.77</v>
      </c>
      <c r="EK53" s="11">
        <v>1283207.42</v>
      </c>
      <c r="EL53" s="11">
        <v>3680343.87</v>
      </c>
      <c r="EM53" s="11">
        <v>6495421.9100000001</v>
      </c>
      <c r="EN53" s="11">
        <v>60211819.439999998</v>
      </c>
      <c r="EO53" s="11">
        <v>1789362.79</v>
      </c>
      <c r="EP53" s="11">
        <v>1143202.25</v>
      </c>
      <c r="EQ53" s="11">
        <v>3454952.09</v>
      </c>
      <c r="ER53" s="11">
        <v>520435.04</v>
      </c>
      <c r="ES53" s="11">
        <v>1754390.95</v>
      </c>
      <c r="ET53" s="11">
        <v>3785987.62</v>
      </c>
      <c r="EU53" s="11">
        <v>5301142.63</v>
      </c>
      <c r="EV53" s="11">
        <v>507111.67999999999</v>
      </c>
      <c r="EW53" s="11">
        <v>25612045.030000001</v>
      </c>
      <c r="EX53" s="11">
        <v>230004.96</v>
      </c>
      <c r="EY53" s="11">
        <v>1749097.06</v>
      </c>
      <c r="EZ53" s="11">
        <v>2884041.52</v>
      </c>
      <c r="FA53" s="11">
        <v>2872214.33</v>
      </c>
      <c r="FB53" s="11">
        <v>1452588.84</v>
      </c>
      <c r="FC53" s="11">
        <v>9444171.4299999997</v>
      </c>
      <c r="FD53" s="11">
        <v>5180438.62</v>
      </c>
      <c r="FE53" s="11">
        <v>2296825.9500000002</v>
      </c>
      <c r="FF53" s="11">
        <v>2213632.98</v>
      </c>
      <c r="FG53" s="11">
        <v>1485956.41</v>
      </c>
      <c r="FH53" s="11">
        <v>5241548.2300000004</v>
      </c>
      <c r="FI53" s="11">
        <v>12050175.869999999</v>
      </c>
      <c r="FJ53" s="11">
        <v>1407807.93</v>
      </c>
      <c r="FK53" s="11">
        <v>683772.52</v>
      </c>
      <c r="FL53" s="11">
        <v>7037977.1299999999</v>
      </c>
      <c r="FM53" s="11"/>
      <c r="FN53" s="11">
        <v>1073133.1399999999</v>
      </c>
      <c r="FO53" s="11">
        <v>3138071.38</v>
      </c>
      <c r="FP53" s="11">
        <v>619823.34</v>
      </c>
      <c r="FQ53" s="11">
        <v>128726708.44</v>
      </c>
      <c r="FR53" s="11">
        <v>6375814.5300000003</v>
      </c>
      <c r="FS53" s="11">
        <v>7918902.0499999998</v>
      </c>
      <c r="FT53" s="11">
        <v>6282129.7400000002</v>
      </c>
      <c r="FU53" s="11">
        <v>3127237.79</v>
      </c>
      <c r="FV53" s="11">
        <v>2915995.46</v>
      </c>
      <c r="FW53" s="11">
        <v>6603800</v>
      </c>
      <c r="FX53" s="11">
        <v>4659687.58</v>
      </c>
      <c r="FY53" s="11">
        <v>2844305.57</v>
      </c>
      <c r="FZ53" s="11">
        <v>4593082.3600000003</v>
      </c>
      <c r="GA53" s="11">
        <v>9180835.5399999991</v>
      </c>
      <c r="GB53" s="11">
        <v>6847846.8700000001</v>
      </c>
      <c r="GC53" s="11">
        <v>5910549.25</v>
      </c>
      <c r="GD53" s="11">
        <v>6337814.4199999999</v>
      </c>
      <c r="GE53" s="11">
        <v>41463281.920000002</v>
      </c>
      <c r="GF53" s="11">
        <v>4791287.4800000004</v>
      </c>
      <c r="GG53" s="11">
        <v>3415151.15</v>
      </c>
      <c r="GH53" s="11">
        <v>6109426.6299999999</v>
      </c>
      <c r="GI53" s="11">
        <v>5410590.8499999996</v>
      </c>
      <c r="GJ53" s="11">
        <v>6277418.6299999999</v>
      </c>
      <c r="GK53" s="11">
        <v>1935605.14</v>
      </c>
      <c r="GL53" s="11">
        <v>1564684</v>
      </c>
      <c r="GM53" s="11">
        <v>1874998.57</v>
      </c>
      <c r="GN53" s="11">
        <v>2254747.65</v>
      </c>
      <c r="GO53" s="11">
        <v>4115543.75</v>
      </c>
      <c r="GP53" s="11">
        <v>1707608.32</v>
      </c>
      <c r="GQ53" s="11">
        <v>32868407.579999998</v>
      </c>
      <c r="GR53" s="11"/>
      <c r="GS53" s="11">
        <v>1609520.95</v>
      </c>
      <c r="GT53" s="11">
        <v>5461433.1600000001</v>
      </c>
      <c r="GU53" s="11">
        <v>742367.56</v>
      </c>
      <c r="GV53" s="11">
        <v>3494838.26</v>
      </c>
      <c r="GW53" s="11">
        <v>3384627.99</v>
      </c>
      <c r="GX53" s="11">
        <v>672000</v>
      </c>
      <c r="GY53" s="11">
        <v>17224947.68</v>
      </c>
      <c r="GZ53" s="11">
        <v>13866.2</v>
      </c>
      <c r="HA53" s="11">
        <v>8974250.7400000002</v>
      </c>
      <c r="HB53" s="11">
        <v>2591025</v>
      </c>
      <c r="HC53" s="11">
        <v>49738715.340000004</v>
      </c>
      <c r="HD53" s="11">
        <v>13398018.449999999</v>
      </c>
      <c r="HE53" s="11">
        <v>20964492.829999998</v>
      </c>
      <c r="HF53" s="11">
        <v>21216098.02</v>
      </c>
      <c r="HG53" s="11">
        <v>16694576.699999999</v>
      </c>
      <c r="HH53" s="11"/>
      <c r="HI53" s="11">
        <v>6377623.4100000001</v>
      </c>
      <c r="HJ53" s="11"/>
      <c r="HK53" s="11">
        <v>167142456.63999999</v>
      </c>
      <c r="HL53" s="11">
        <v>11713279.130000001</v>
      </c>
      <c r="HM53" s="11">
        <v>7644181.5300000003</v>
      </c>
      <c r="HN53" s="11">
        <v>4228843.7</v>
      </c>
      <c r="HO53" s="11">
        <v>7102680.7999999998</v>
      </c>
      <c r="HP53" s="11">
        <v>25602491.809999999</v>
      </c>
      <c r="HQ53" s="11">
        <v>16287154.27</v>
      </c>
      <c r="HR53" s="11">
        <v>10870655.960000001</v>
      </c>
      <c r="HS53" s="11">
        <v>104127587.53</v>
      </c>
      <c r="HT53" s="11">
        <v>15298278.130000001</v>
      </c>
      <c r="HU53" s="11">
        <v>2350667.67</v>
      </c>
      <c r="HV53" s="11">
        <v>402655.7</v>
      </c>
      <c r="HW53" s="11">
        <v>5160139.28</v>
      </c>
      <c r="HX53" s="11">
        <v>2398439.91</v>
      </c>
      <c r="HY53" s="11">
        <v>3714875.94</v>
      </c>
      <c r="HZ53" s="11">
        <v>1351261.32</v>
      </c>
      <c r="IA53" s="11">
        <v>1184445.45</v>
      </c>
      <c r="IB53" s="11">
        <v>1026045.9</v>
      </c>
      <c r="IC53" s="11">
        <v>7246206.3300000001</v>
      </c>
      <c r="ID53" s="11">
        <v>3780612.01</v>
      </c>
      <c r="IE53" s="11">
        <v>1610246.66</v>
      </c>
      <c r="IF53" s="11">
        <v>2259704.46</v>
      </c>
      <c r="IG53" s="11">
        <v>900000</v>
      </c>
      <c r="IH53" s="11">
        <v>533086.77</v>
      </c>
      <c r="II53" s="11">
        <v>150839938.38999999</v>
      </c>
      <c r="IJ53" s="11">
        <v>28290354.710000001</v>
      </c>
      <c r="IK53" s="11">
        <v>6400144.8200000003</v>
      </c>
      <c r="IL53" s="11">
        <v>4819586.68</v>
      </c>
      <c r="IM53" s="11">
        <v>1173876.76</v>
      </c>
      <c r="IN53" s="11">
        <v>6095536.5700000003</v>
      </c>
      <c r="IO53" s="11">
        <v>545433.91</v>
      </c>
      <c r="IP53" s="11">
        <v>1246842.92</v>
      </c>
      <c r="IQ53" s="11">
        <v>1617757.97</v>
      </c>
      <c r="IR53" s="11">
        <v>35926800.920000002</v>
      </c>
      <c r="IS53" s="11">
        <v>2812003.83</v>
      </c>
      <c r="IT53" s="11">
        <v>38175905.5</v>
      </c>
      <c r="IU53" s="11">
        <v>132067471.83</v>
      </c>
      <c r="IV53" s="11">
        <v>1086407.07</v>
      </c>
      <c r="IW53" s="11">
        <v>3491574.93</v>
      </c>
      <c r="IX53" s="11">
        <v>13761502.439999999</v>
      </c>
      <c r="IY53" s="11">
        <v>4570</v>
      </c>
      <c r="IZ53" s="11">
        <v>1009236.3</v>
      </c>
      <c r="JA53" s="11">
        <v>37232.15</v>
      </c>
      <c r="JB53" s="11">
        <v>559201.81999999995</v>
      </c>
      <c r="JC53" s="11">
        <v>1949320.32</v>
      </c>
      <c r="JD53" s="11">
        <v>3431318.6</v>
      </c>
      <c r="JE53" s="11">
        <v>574686.79</v>
      </c>
      <c r="JF53" s="11">
        <v>9491109.7300000004</v>
      </c>
      <c r="JG53" s="11">
        <v>14117976.24</v>
      </c>
      <c r="JH53" s="11">
        <v>1392920.06</v>
      </c>
      <c r="JI53" s="11"/>
      <c r="JJ53" s="11">
        <v>334209.62</v>
      </c>
      <c r="JK53" s="11">
        <v>787638.05</v>
      </c>
      <c r="JL53" s="11">
        <v>90902405.680000007</v>
      </c>
      <c r="JM53" s="11">
        <v>1775226.62</v>
      </c>
      <c r="JN53" s="11">
        <v>402690.59</v>
      </c>
      <c r="JO53" s="11">
        <v>1755814.28</v>
      </c>
      <c r="JP53" s="11">
        <v>1244227.47</v>
      </c>
      <c r="JQ53" s="11">
        <v>5947532.4699999997</v>
      </c>
      <c r="JR53" s="11">
        <v>337121.32</v>
      </c>
      <c r="JS53" s="11">
        <v>199618187.63</v>
      </c>
      <c r="JT53" s="11">
        <v>46326388.939999998</v>
      </c>
      <c r="JU53" s="11">
        <v>7855833.9699999997</v>
      </c>
      <c r="JV53" s="11">
        <v>1390343.61</v>
      </c>
      <c r="JW53" s="11">
        <v>3684993.32</v>
      </c>
      <c r="JX53" s="11">
        <v>1654311.95</v>
      </c>
      <c r="JY53" s="11">
        <v>4588686.1900000004</v>
      </c>
      <c r="JZ53" s="11">
        <v>6953221.0800000001</v>
      </c>
      <c r="KA53" s="11">
        <v>3046137.51</v>
      </c>
      <c r="KB53" s="11">
        <v>2047241.03</v>
      </c>
      <c r="KC53" s="11">
        <v>5747617.0599999996</v>
      </c>
      <c r="KD53" s="11">
        <v>3976348.17</v>
      </c>
      <c r="KE53" s="11">
        <v>1171126.8700000001</v>
      </c>
      <c r="KF53" s="11">
        <v>335612.68</v>
      </c>
      <c r="KG53" s="11">
        <v>670358.59</v>
      </c>
      <c r="KH53" s="11">
        <v>5295182.5999999996</v>
      </c>
      <c r="KI53" s="11">
        <v>167535650.81999999</v>
      </c>
      <c r="KJ53" s="11">
        <v>5655789.3700000001</v>
      </c>
      <c r="KK53" s="11">
        <v>50845858.289999999</v>
      </c>
      <c r="KL53" s="11">
        <v>13731335.59</v>
      </c>
      <c r="KM53" s="11">
        <v>6799192.96</v>
      </c>
      <c r="KN53" s="11">
        <v>27108192.09</v>
      </c>
      <c r="KO53" s="11">
        <v>9074449.0600000005</v>
      </c>
      <c r="KP53" s="11">
        <v>3652385.31</v>
      </c>
      <c r="KQ53" s="11">
        <v>3061999.58</v>
      </c>
      <c r="KR53" s="11">
        <v>35867447.560000002</v>
      </c>
      <c r="KS53" s="11">
        <v>2648586</v>
      </c>
      <c r="KT53" s="11">
        <v>3856497.72</v>
      </c>
      <c r="KU53" s="11">
        <v>10817720.460000001</v>
      </c>
      <c r="KV53" s="11">
        <v>10112840.380000001</v>
      </c>
      <c r="KW53" s="11">
        <v>6286466.9900000002</v>
      </c>
      <c r="KX53" s="11">
        <v>31445101.170000002</v>
      </c>
      <c r="KY53" s="11">
        <v>3590902.37</v>
      </c>
      <c r="KZ53" s="11">
        <v>122552126.56999999</v>
      </c>
      <c r="LA53" s="11">
        <v>11156644.880000001</v>
      </c>
      <c r="LB53" s="11">
        <v>38498060.649999999</v>
      </c>
      <c r="LC53" s="11">
        <v>67881818.530000001</v>
      </c>
      <c r="LD53" s="11"/>
      <c r="LE53" s="11">
        <v>4874275</v>
      </c>
      <c r="LF53" s="11">
        <v>23674936.43</v>
      </c>
      <c r="LG53" s="11">
        <v>56673163.130000003</v>
      </c>
      <c r="LH53" s="11">
        <v>128254984.09</v>
      </c>
      <c r="LI53" s="11">
        <v>13059225.49</v>
      </c>
      <c r="LJ53" s="11">
        <v>36324577.020000003</v>
      </c>
      <c r="LK53" s="11">
        <v>59290422.840000004</v>
      </c>
      <c r="LL53" s="11">
        <v>4132304.17</v>
      </c>
      <c r="LM53" s="11">
        <v>5478423.04</v>
      </c>
      <c r="LN53" s="11">
        <v>2633530.89</v>
      </c>
      <c r="LO53" s="11">
        <v>22168054.98</v>
      </c>
      <c r="LP53" s="11">
        <v>477037.67</v>
      </c>
      <c r="LQ53" s="11">
        <v>9200757.5500000007</v>
      </c>
      <c r="LR53" s="11">
        <v>4998435.8</v>
      </c>
      <c r="LS53" s="11">
        <v>29621282.52</v>
      </c>
      <c r="LT53" s="11">
        <v>4925308.3099999996</v>
      </c>
      <c r="LU53" s="11">
        <v>3080232.41</v>
      </c>
      <c r="LV53" s="11">
        <v>131773019.67</v>
      </c>
      <c r="LW53" s="11">
        <v>38118458.060000002</v>
      </c>
      <c r="LX53" s="11">
        <v>95249776.430000007</v>
      </c>
      <c r="LY53" s="11">
        <v>14573542.93</v>
      </c>
      <c r="LZ53" s="11">
        <v>2221985.2200000002</v>
      </c>
      <c r="MA53" s="11">
        <v>5439769.6799999997</v>
      </c>
      <c r="MB53" s="11">
        <v>3336391.51</v>
      </c>
      <c r="MC53" s="11">
        <v>8627898.5700000003</v>
      </c>
      <c r="MD53" s="11">
        <v>2937846.64</v>
      </c>
      <c r="ME53" s="11">
        <v>6369786.3899999997</v>
      </c>
      <c r="MF53" s="11">
        <v>12231443.310000001</v>
      </c>
      <c r="MG53" s="11">
        <v>860545.81</v>
      </c>
      <c r="MH53" s="11">
        <v>31970693.16</v>
      </c>
      <c r="MI53" s="11">
        <v>5238172.49</v>
      </c>
      <c r="MJ53" s="11">
        <v>103628.45</v>
      </c>
      <c r="MK53" s="11">
        <v>511216.9</v>
      </c>
      <c r="ML53" s="11">
        <v>79620</v>
      </c>
      <c r="MM53" s="11">
        <v>6860614.7800000003</v>
      </c>
      <c r="MN53" s="11">
        <v>2870781.09</v>
      </c>
      <c r="MO53" s="11">
        <v>853109.36</v>
      </c>
      <c r="MP53" s="11">
        <v>3246508.82</v>
      </c>
      <c r="MQ53" s="11">
        <v>1249284.47</v>
      </c>
      <c r="MR53" s="11">
        <v>3109091.1</v>
      </c>
      <c r="MS53" s="11">
        <v>1513549.71</v>
      </c>
      <c r="MT53" s="11">
        <v>151968000.71000001</v>
      </c>
      <c r="MU53" s="11">
        <v>9408840.9399999995</v>
      </c>
      <c r="MV53" s="11">
        <v>7872853.6200000001</v>
      </c>
      <c r="MW53" s="11">
        <v>1008446</v>
      </c>
      <c r="MX53" s="11">
        <v>20132436.350000001</v>
      </c>
      <c r="MY53" s="11">
        <v>4950707.17</v>
      </c>
      <c r="MZ53" s="11">
        <v>13535933.789999999</v>
      </c>
      <c r="NA53" s="11">
        <v>5065572.63</v>
      </c>
      <c r="NB53" s="11">
        <v>18074666.09</v>
      </c>
      <c r="NC53" s="11">
        <v>1222309.31</v>
      </c>
      <c r="ND53" s="11">
        <v>3833476.04</v>
      </c>
      <c r="NE53" s="11">
        <v>323128327.08999997</v>
      </c>
      <c r="NF53" s="11">
        <v>33742477.619999997</v>
      </c>
      <c r="NG53" s="11">
        <v>5132223.68</v>
      </c>
      <c r="NH53" s="11">
        <v>49727002.549999997</v>
      </c>
      <c r="NI53" s="11">
        <v>9042552.3399999999</v>
      </c>
      <c r="NJ53" s="11">
        <v>18825154.140000001</v>
      </c>
      <c r="NK53" s="11">
        <v>165984917.62</v>
      </c>
      <c r="NL53" s="11">
        <v>60445056.100000001</v>
      </c>
      <c r="NM53" s="11">
        <v>1028756.09</v>
      </c>
      <c r="NN53" s="11">
        <v>21603437.149999999</v>
      </c>
      <c r="NO53" s="11">
        <v>14688435.23</v>
      </c>
      <c r="NP53" s="11">
        <v>3361233.18</v>
      </c>
      <c r="NQ53" s="11">
        <v>39361205.259999998</v>
      </c>
      <c r="NR53" s="11">
        <v>11575294.02</v>
      </c>
      <c r="NS53" s="11">
        <v>5426214.71</v>
      </c>
      <c r="NT53" s="11">
        <v>4319155.12</v>
      </c>
      <c r="NU53" s="11">
        <v>3143196.4</v>
      </c>
      <c r="NV53" s="11">
        <v>1320257.69</v>
      </c>
      <c r="NW53" s="11">
        <v>842109.53</v>
      </c>
      <c r="NX53" s="11">
        <v>108734637.20999999</v>
      </c>
      <c r="NY53" s="11">
        <v>77130114.959999993</v>
      </c>
      <c r="NZ53" s="11">
        <v>7670489.8399999999</v>
      </c>
      <c r="OA53" s="11">
        <v>2035097.56</v>
      </c>
      <c r="OB53" s="11">
        <v>712940.83</v>
      </c>
      <c r="OC53" s="11">
        <v>3453154.35</v>
      </c>
      <c r="OD53" s="11">
        <v>2771307.38</v>
      </c>
      <c r="OE53" s="11">
        <v>607165102.39999998</v>
      </c>
      <c r="OF53" s="11">
        <v>5375465.6699999999</v>
      </c>
      <c r="OG53" s="11">
        <v>17539646.73</v>
      </c>
      <c r="OH53" s="11">
        <v>37590036.090000004</v>
      </c>
      <c r="OI53" s="11">
        <v>17368835.350000001</v>
      </c>
      <c r="OJ53" s="11">
        <v>15273636.1</v>
      </c>
      <c r="OK53" s="11">
        <v>14040119.619999999</v>
      </c>
      <c r="OL53" s="11">
        <v>2903289.11</v>
      </c>
      <c r="OM53" s="11">
        <v>19503902.57</v>
      </c>
      <c r="ON53" s="11">
        <v>66081868.509999998</v>
      </c>
      <c r="OO53" s="11">
        <v>109975143.15000001</v>
      </c>
      <c r="OP53" s="11">
        <v>101694864.37</v>
      </c>
      <c r="OQ53" s="11">
        <v>12570925.18</v>
      </c>
      <c r="OR53" s="11">
        <v>7222203.9699999997</v>
      </c>
      <c r="OS53" s="11">
        <v>1790671.35</v>
      </c>
      <c r="OT53" s="11">
        <v>40764837.670000002</v>
      </c>
      <c r="OU53" s="11">
        <v>8755118.5500000007</v>
      </c>
      <c r="OV53" s="11">
        <v>14434551.34</v>
      </c>
      <c r="OW53" s="11">
        <v>3762523.2</v>
      </c>
      <c r="OX53" s="11">
        <v>21295116.100000001</v>
      </c>
      <c r="OY53" s="11">
        <v>95534943.180000007</v>
      </c>
      <c r="OZ53" s="11">
        <v>2824187.17</v>
      </c>
      <c r="PA53" s="11">
        <v>4677950.82</v>
      </c>
      <c r="PB53" s="11">
        <v>5215673.29</v>
      </c>
      <c r="PC53" s="11">
        <v>15210846.07</v>
      </c>
      <c r="PD53" s="11">
        <v>5747.95</v>
      </c>
      <c r="PE53" s="11">
        <v>3231110.06</v>
      </c>
      <c r="PF53" s="11">
        <v>409341.72</v>
      </c>
      <c r="PG53" s="11">
        <v>2349879.4</v>
      </c>
      <c r="PH53" s="11">
        <v>5827264.1200000001</v>
      </c>
      <c r="PI53" s="11">
        <v>1639949.74</v>
      </c>
      <c r="PJ53" s="11">
        <v>1200000</v>
      </c>
      <c r="PK53" s="11">
        <v>705094.29</v>
      </c>
      <c r="PL53" s="11">
        <v>285184.86</v>
      </c>
      <c r="PM53" s="11">
        <v>4737500.25</v>
      </c>
      <c r="PN53" s="11">
        <v>4432.43</v>
      </c>
      <c r="PO53" s="11">
        <v>801586.62</v>
      </c>
      <c r="PP53" s="11">
        <v>5354165.46</v>
      </c>
      <c r="PQ53" s="11">
        <v>2806969.95</v>
      </c>
      <c r="PR53" s="11">
        <v>81492.740000000005</v>
      </c>
      <c r="PS53" s="11">
        <v>3781565.25</v>
      </c>
      <c r="PT53" s="11">
        <v>1869815.38</v>
      </c>
      <c r="PU53" s="11">
        <v>155563491.31</v>
      </c>
      <c r="PV53" s="11">
        <v>21134473.18</v>
      </c>
      <c r="PW53" s="11">
        <v>1813267.58</v>
      </c>
      <c r="PX53" s="11">
        <v>16229291.960000001</v>
      </c>
      <c r="PY53" s="11">
        <v>62842623.200000003</v>
      </c>
      <c r="PZ53" s="11">
        <v>3772994.41</v>
      </c>
      <c r="QA53" s="11">
        <v>19375476.82</v>
      </c>
      <c r="QB53" s="11">
        <v>1119954.47</v>
      </c>
      <c r="QC53" s="11">
        <v>8938843.3499999996</v>
      </c>
      <c r="QD53" s="11">
        <v>83001</v>
      </c>
      <c r="QE53" s="11">
        <v>25349324.66</v>
      </c>
      <c r="QF53" s="11">
        <v>3537104.66</v>
      </c>
      <c r="QG53" s="11">
        <v>2388735.25</v>
      </c>
      <c r="QH53" s="11">
        <v>4637770.24</v>
      </c>
      <c r="QI53" s="11">
        <v>523588.16</v>
      </c>
      <c r="QJ53" s="11">
        <v>9667188.6899999995</v>
      </c>
      <c r="QK53" s="11">
        <v>6464552.75</v>
      </c>
      <c r="QL53" s="11">
        <v>384562.55</v>
      </c>
      <c r="QM53" s="11">
        <v>928255.08</v>
      </c>
      <c r="QN53" s="11">
        <v>3049812.39</v>
      </c>
      <c r="QO53" s="11">
        <v>6350873.0599999996</v>
      </c>
      <c r="QP53" s="11">
        <v>1456612.74</v>
      </c>
      <c r="QQ53" s="11">
        <v>2354922.2999999998</v>
      </c>
      <c r="QR53" s="11">
        <v>1277033.6200000001</v>
      </c>
      <c r="QS53" s="11">
        <v>1225562.56</v>
      </c>
      <c r="QT53" s="11">
        <v>2868940.66</v>
      </c>
      <c r="QU53" s="11">
        <v>30321410.98</v>
      </c>
      <c r="QV53" s="11">
        <v>2190754.6800000002</v>
      </c>
      <c r="QW53" s="11">
        <v>1300000</v>
      </c>
      <c r="QX53" s="11">
        <v>4022030.66</v>
      </c>
      <c r="QY53" s="11">
        <v>2181021.04</v>
      </c>
      <c r="QZ53" s="11">
        <v>3437585.62</v>
      </c>
      <c r="RA53" s="11">
        <v>5059981.29</v>
      </c>
      <c r="RB53" s="11">
        <v>4355256</v>
      </c>
      <c r="RC53" s="11">
        <v>5730000</v>
      </c>
      <c r="RD53" s="11">
        <v>5428776.2800000003</v>
      </c>
      <c r="RE53" s="11">
        <v>3237670.71</v>
      </c>
      <c r="RF53" s="11">
        <v>1860104.62</v>
      </c>
      <c r="RG53" s="11">
        <v>1544423.85</v>
      </c>
      <c r="RH53" s="11">
        <v>84819539.319999993</v>
      </c>
      <c r="RI53" s="11">
        <v>11085841.550000001</v>
      </c>
      <c r="RJ53" s="11">
        <v>7521797.6100000003</v>
      </c>
      <c r="RK53" s="11">
        <v>7008774.0800000001</v>
      </c>
      <c r="RL53" s="11">
        <v>20363.86</v>
      </c>
      <c r="RM53" s="11">
        <v>78946.850000000006</v>
      </c>
      <c r="RN53" s="11">
        <v>130628.17</v>
      </c>
      <c r="RO53" s="11">
        <v>3550975.72</v>
      </c>
      <c r="RP53" s="11">
        <v>3487998.95</v>
      </c>
      <c r="RQ53" s="11">
        <v>5752191.6100000003</v>
      </c>
      <c r="RR53" s="11">
        <v>5651427.7599999998</v>
      </c>
      <c r="RS53" s="11">
        <v>7432790.8200000003</v>
      </c>
      <c r="RT53" s="11">
        <v>1762081.83</v>
      </c>
      <c r="RU53" s="11">
        <v>2599623.21</v>
      </c>
      <c r="RV53" s="11">
        <v>1074065.68</v>
      </c>
      <c r="RW53" s="11">
        <v>2541665.33</v>
      </c>
      <c r="RX53" s="11">
        <v>1836848.86</v>
      </c>
      <c r="RY53" s="11">
        <v>47233911.310000002</v>
      </c>
      <c r="RZ53" s="11">
        <v>9871336.0800000001</v>
      </c>
      <c r="SA53" s="11">
        <v>1799882.79</v>
      </c>
      <c r="SB53" s="11">
        <v>51429747.479999997</v>
      </c>
      <c r="SC53" s="11">
        <v>43851.59</v>
      </c>
      <c r="SD53" s="11">
        <v>4025835.81</v>
      </c>
      <c r="SE53" s="11">
        <v>774247.4</v>
      </c>
      <c r="SF53" s="11">
        <v>256050.81</v>
      </c>
      <c r="SG53" s="11">
        <v>2410638.88</v>
      </c>
      <c r="SH53" s="11">
        <v>3119697.96</v>
      </c>
      <c r="SI53" s="11">
        <v>2364099.46</v>
      </c>
      <c r="SJ53" s="11">
        <v>3299242.48</v>
      </c>
      <c r="SK53" s="11">
        <v>2762946.93</v>
      </c>
      <c r="SL53" s="11">
        <v>7405869.2699999996</v>
      </c>
      <c r="SM53" s="11">
        <v>20607</v>
      </c>
      <c r="SN53" s="11">
        <v>13954633.98</v>
      </c>
      <c r="SO53" s="11">
        <v>1720812.07</v>
      </c>
      <c r="SP53" s="11">
        <v>584888.18000000005</v>
      </c>
      <c r="SQ53" s="11">
        <v>9568650.7699999996</v>
      </c>
      <c r="SR53" s="11">
        <v>2670676.36</v>
      </c>
      <c r="SS53" s="11">
        <v>1186868.78</v>
      </c>
      <c r="ST53" s="11">
        <v>5685731.7999999998</v>
      </c>
      <c r="SU53" s="11">
        <v>1413900.8</v>
      </c>
      <c r="SV53" s="11">
        <v>20234289.359999999</v>
      </c>
      <c r="SW53" s="11">
        <v>868156.41</v>
      </c>
      <c r="SX53" s="11">
        <v>3191161.44</v>
      </c>
      <c r="SY53" s="11">
        <v>5583429.2300000004</v>
      </c>
      <c r="SZ53" s="11">
        <v>723544.46</v>
      </c>
      <c r="TA53" s="11">
        <v>1556078.21</v>
      </c>
      <c r="TB53" s="11">
        <v>111125.58</v>
      </c>
      <c r="TC53" s="11">
        <v>761632.68</v>
      </c>
      <c r="TD53" s="11">
        <v>1383479.54</v>
      </c>
      <c r="TE53" s="11">
        <v>1950362.68</v>
      </c>
      <c r="TF53" s="11">
        <v>1694690.41</v>
      </c>
      <c r="TG53" s="11">
        <v>2266609.9300000002</v>
      </c>
      <c r="TH53" s="11">
        <v>343723.81</v>
      </c>
      <c r="TI53" s="11">
        <v>1549812.03</v>
      </c>
      <c r="TJ53" s="11">
        <v>29616676.07</v>
      </c>
      <c r="TK53" s="11">
        <v>772996.17</v>
      </c>
      <c r="TL53" s="11">
        <v>3694724.89</v>
      </c>
      <c r="TM53" s="11">
        <v>8501394.4399999995</v>
      </c>
      <c r="TN53" s="11">
        <v>4783636.99</v>
      </c>
      <c r="TO53" s="11">
        <v>4992222</v>
      </c>
      <c r="TP53" s="11">
        <v>575953.88</v>
      </c>
      <c r="TQ53" s="11">
        <v>7265249.7000000002</v>
      </c>
      <c r="TR53" s="11">
        <v>2220640.67</v>
      </c>
      <c r="TS53" s="11">
        <v>3972091.69</v>
      </c>
      <c r="TT53" s="11">
        <v>1474571.09</v>
      </c>
      <c r="TU53" s="11">
        <v>1784241.33</v>
      </c>
      <c r="TV53" s="11">
        <v>1477811.1</v>
      </c>
      <c r="TW53" s="11">
        <v>183611.12</v>
      </c>
      <c r="TX53" s="11">
        <v>4293341.41</v>
      </c>
      <c r="TY53" s="11">
        <v>615144.56000000006</v>
      </c>
      <c r="TZ53" s="11">
        <v>20726102.52</v>
      </c>
      <c r="UA53" s="11">
        <v>2494631.09</v>
      </c>
      <c r="UB53" s="11">
        <v>11882260.220000001</v>
      </c>
      <c r="UC53" s="11">
        <v>3707726.55</v>
      </c>
      <c r="UD53" s="11">
        <v>1065163.6499999999</v>
      </c>
      <c r="UE53" s="11">
        <v>1721436.1599999999</v>
      </c>
      <c r="UF53" s="11">
        <v>13148633.109999999</v>
      </c>
      <c r="UG53" s="11">
        <v>1662388.43</v>
      </c>
      <c r="UH53" s="11">
        <v>1402034.72</v>
      </c>
      <c r="UI53" s="11">
        <v>2490691.39</v>
      </c>
      <c r="UJ53" s="11">
        <v>1932383.08</v>
      </c>
      <c r="UK53" s="11">
        <v>9631326.0600000005</v>
      </c>
      <c r="UL53" s="11">
        <v>4291516.78</v>
      </c>
      <c r="UM53" s="11">
        <v>5155114.26</v>
      </c>
      <c r="UN53" s="11">
        <v>2727709.39</v>
      </c>
      <c r="UO53" s="11">
        <v>3491104.89</v>
      </c>
      <c r="UP53" s="11">
        <v>4521869.72</v>
      </c>
      <c r="UQ53" s="11">
        <v>92212048.780000001</v>
      </c>
      <c r="UR53" s="11">
        <v>3489994.41</v>
      </c>
      <c r="US53" s="11">
        <v>1086264.05</v>
      </c>
      <c r="UT53" s="11">
        <v>8594389.0500000007</v>
      </c>
      <c r="UU53" s="11">
        <v>7397</v>
      </c>
      <c r="UV53" s="11">
        <v>1045790.15</v>
      </c>
      <c r="UW53" s="11">
        <v>10419013.91</v>
      </c>
      <c r="UX53" s="11">
        <v>1497278.25</v>
      </c>
      <c r="UY53" s="11"/>
      <c r="UZ53" s="11">
        <v>4477396.59</v>
      </c>
      <c r="VA53" s="11">
        <v>3827283.7</v>
      </c>
      <c r="VB53" s="11">
        <v>12968576.109999999</v>
      </c>
      <c r="VC53" s="11">
        <v>8749704.6600000001</v>
      </c>
      <c r="VD53" s="11">
        <v>14097076.25</v>
      </c>
      <c r="VE53" s="11">
        <v>16287699.77</v>
      </c>
      <c r="VF53" s="11">
        <v>1529474.98</v>
      </c>
      <c r="VG53" s="11">
        <v>4962553.7</v>
      </c>
      <c r="VH53" s="11">
        <v>789242.53</v>
      </c>
      <c r="VI53" s="11">
        <v>22712714.09</v>
      </c>
      <c r="VJ53" s="11">
        <v>6520</v>
      </c>
      <c r="VK53" s="11">
        <v>2677250.88</v>
      </c>
      <c r="VL53" s="11">
        <v>1755527.39</v>
      </c>
      <c r="VM53" s="11">
        <v>35837720.210000001</v>
      </c>
      <c r="VN53" s="11">
        <v>49294.17</v>
      </c>
      <c r="VO53" s="11">
        <v>12254557.23</v>
      </c>
      <c r="VP53" s="11">
        <v>20342394.530000001</v>
      </c>
      <c r="VQ53" s="11">
        <v>5993538.7300000004</v>
      </c>
      <c r="VR53" s="11">
        <v>3470490.3</v>
      </c>
      <c r="VS53" s="11">
        <v>5070929.9199999999</v>
      </c>
      <c r="VT53" s="11">
        <v>3710663.7</v>
      </c>
      <c r="VU53" s="11">
        <v>557921.37</v>
      </c>
      <c r="VV53" s="11">
        <v>14511034.529999999</v>
      </c>
      <c r="VW53" s="11">
        <v>1200066.1100000001</v>
      </c>
      <c r="VX53" s="11">
        <v>21746347.760000002</v>
      </c>
      <c r="VY53" s="11">
        <v>10524505.4</v>
      </c>
      <c r="VZ53" s="11">
        <v>3146093.4</v>
      </c>
      <c r="WA53" s="11">
        <v>1821040</v>
      </c>
      <c r="WB53" s="11">
        <v>213576715.97</v>
      </c>
      <c r="WC53" s="11">
        <v>2568299.83</v>
      </c>
      <c r="WD53" s="11">
        <v>7275702.3899999997</v>
      </c>
      <c r="WE53" s="11">
        <v>10565263.92</v>
      </c>
      <c r="WF53" s="11">
        <v>0</v>
      </c>
      <c r="WG53" s="11">
        <v>2593982.7799999998</v>
      </c>
      <c r="WH53" s="11">
        <v>4536879.72</v>
      </c>
      <c r="WI53" s="11">
        <v>9133036.6099999994</v>
      </c>
      <c r="WJ53" s="11">
        <v>3342969.62</v>
      </c>
      <c r="WK53" s="11">
        <v>7677507.79</v>
      </c>
      <c r="WL53" s="11">
        <v>3004913.57</v>
      </c>
      <c r="WM53" s="11">
        <v>18673045.850000001</v>
      </c>
      <c r="WN53" s="11">
        <v>3130521</v>
      </c>
      <c r="WO53" s="11">
        <v>5711716.9900000002</v>
      </c>
      <c r="WP53" s="11">
        <v>10059482.02</v>
      </c>
      <c r="WQ53" s="11">
        <v>3462666.87</v>
      </c>
      <c r="WR53" s="11">
        <v>3070553.84</v>
      </c>
      <c r="WS53" s="11">
        <v>556695.02</v>
      </c>
      <c r="WT53" s="11">
        <v>2831439.27</v>
      </c>
      <c r="WU53" s="11">
        <v>3220833.47</v>
      </c>
      <c r="WV53" s="11">
        <v>16616370.84</v>
      </c>
      <c r="WW53" s="11">
        <v>6188072.2400000002</v>
      </c>
      <c r="WX53" s="11">
        <v>1219896.17</v>
      </c>
      <c r="WY53" s="11">
        <v>2464</v>
      </c>
      <c r="WZ53" s="11">
        <v>4862461.3499999996</v>
      </c>
      <c r="XA53" s="11"/>
      <c r="XB53" s="11">
        <v>375765</v>
      </c>
      <c r="XC53" s="11">
        <v>1978422.24</v>
      </c>
      <c r="XD53" s="11">
        <v>28364105.93</v>
      </c>
      <c r="XE53" s="11">
        <v>1324327.04</v>
      </c>
      <c r="XF53" s="11">
        <v>672729.16</v>
      </c>
      <c r="XG53" s="11"/>
      <c r="XH53" s="11">
        <v>4619055.34</v>
      </c>
      <c r="XI53" s="11">
        <v>58938889.229999997</v>
      </c>
      <c r="XJ53" s="11">
        <v>1029383.58</v>
      </c>
      <c r="XK53" s="11">
        <v>3437456.22</v>
      </c>
      <c r="XL53" s="11">
        <v>39796092.899999999</v>
      </c>
      <c r="XM53" s="11">
        <v>4793310.1900000004</v>
      </c>
      <c r="XN53" s="11">
        <v>1675597.59</v>
      </c>
      <c r="XO53" s="11">
        <v>4073015.81</v>
      </c>
      <c r="XP53" s="11">
        <v>2145125.9900000002</v>
      </c>
      <c r="XQ53" s="11">
        <v>2640682.87</v>
      </c>
      <c r="XR53" s="11">
        <v>1666888.2</v>
      </c>
      <c r="XS53" s="11">
        <v>2374823.91</v>
      </c>
      <c r="XT53" s="11">
        <v>779738.05</v>
      </c>
      <c r="XU53" s="11">
        <v>1025794.91</v>
      </c>
      <c r="XV53" s="11">
        <v>927663.18</v>
      </c>
      <c r="XW53" s="11">
        <v>1142080.57</v>
      </c>
      <c r="XX53" s="11">
        <v>363825.85</v>
      </c>
      <c r="XY53" s="11">
        <v>1104242.28</v>
      </c>
      <c r="XZ53" s="11">
        <v>707455.5</v>
      </c>
      <c r="YA53" s="11">
        <v>1153509.8</v>
      </c>
      <c r="YB53" s="11">
        <v>1063567.57</v>
      </c>
      <c r="YC53" s="11">
        <v>269847.18</v>
      </c>
      <c r="YD53" s="11">
        <v>1404237.23</v>
      </c>
      <c r="YE53" s="11">
        <v>726849.67</v>
      </c>
      <c r="YF53" s="11">
        <v>118429164.84999999</v>
      </c>
      <c r="YG53" s="11">
        <v>4981033.29</v>
      </c>
      <c r="YH53" s="11">
        <v>5893342.7400000002</v>
      </c>
      <c r="YI53" s="11">
        <v>633521.26</v>
      </c>
      <c r="YJ53" s="11">
        <v>21411536.489999998</v>
      </c>
      <c r="YK53" s="11">
        <v>1120828</v>
      </c>
      <c r="YL53" s="11">
        <v>8297482.2400000002</v>
      </c>
      <c r="YM53" s="11">
        <v>1220299.68</v>
      </c>
      <c r="YN53" s="11">
        <v>4038799.85</v>
      </c>
      <c r="YO53" s="11">
        <v>2921682.9</v>
      </c>
      <c r="YP53" s="11">
        <v>576614.18999999994</v>
      </c>
      <c r="YQ53" s="11">
        <v>418876.22</v>
      </c>
      <c r="YR53" s="11">
        <v>2436358.4700000002</v>
      </c>
      <c r="YS53" s="11">
        <v>3122135.11</v>
      </c>
      <c r="YT53" s="11">
        <v>1381559.09</v>
      </c>
      <c r="YU53" s="11">
        <v>3675616.91</v>
      </c>
      <c r="YV53" s="11">
        <v>2040180.4</v>
      </c>
      <c r="YW53" s="11">
        <v>69375567.230000004</v>
      </c>
      <c r="YX53" s="11">
        <v>1500790.49</v>
      </c>
      <c r="YY53" s="11">
        <v>11677589.300000001</v>
      </c>
      <c r="YZ53" s="11">
        <v>2684618.79</v>
      </c>
      <c r="ZA53" s="11">
        <v>6784976.7199999997</v>
      </c>
      <c r="ZB53" s="11">
        <v>4306577.51</v>
      </c>
      <c r="ZC53" s="11">
        <v>10384489.439999999</v>
      </c>
      <c r="ZD53" s="11">
        <v>31706718.989999998</v>
      </c>
      <c r="ZE53" s="11">
        <v>6013235.9199999999</v>
      </c>
      <c r="ZF53" s="11">
        <v>9735758.8100000005</v>
      </c>
      <c r="ZG53" s="11">
        <v>3505675.83</v>
      </c>
      <c r="ZH53" s="11">
        <v>1535048.89</v>
      </c>
      <c r="ZI53" s="11">
        <v>3953876.6</v>
      </c>
      <c r="ZJ53" s="11">
        <v>11474749.57</v>
      </c>
      <c r="ZK53" s="11">
        <v>6099048.8899999997</v>
      </c>
      <c r="ZL53" s="11">
        <v>31066950.300000001</v>
      </c>
      <c r="ZM53" s="11">
        <v>49523838.18</v>
      </c>
      <c r="ZN53" s="11">
        <v>5515588.3099999996</v>
      </c>
      <c r="ZO53" s="11">
        <v>7870828.75</v>
      </c>
      <c r="ZP53" s="11">
        <v>13918169.02</v>
      </c>
      <c r="ZQ53" s="11">
        <v>20916890.129999999</v>
      </c>
      <c r="ZR53" s="11">
        <v>27666678.309999999</v>
      </c>
      <c r="ZS53" s="11">
        <v>24101092.390000001</v>
      </c>
      <c r="ZT53" s="11">
        <v>21194319.219999999</v>
      </c>
      <c r="ZU53" s="11">
        <v>72135824.019999996</v>
      </c>
      <c r="ZV53" s="11">
        <v>14839436.48</v>
      </c>
      <c r="ZW53" s="11">
        <v>6427345.5999999996</v>
      </c>
      <c r="ZX53" s="11">
        <v>16365515.74</v>
      </c>
      <c r="ZY53" s="11">
        <v>23118112.27</v>
      </c>
      <c r="ZZ53" s="11">
        <v>80268449.040000007</v>
      </c>
      <c r="AAA53" s="11">
        <v>10605699.35</v>
      </c>
      <c r="AAB53" s="11">
        <v>30781985.43</v>
      </c>
      <c r="AAC53" s="11">
        <v>37451925.979999997</v>
      </c>
      <c r="AAD53" s="11">
        <v>9707636.8399999999</v>
      </c>
      <c r="AAE53" s="11">
        <v>24010216.190000001</v>
      </c>
      <c r="AAF53" s="11">
        <v>26015984.420000002</v>
      </c>
      <c r="AAG53" s="11">
        <v>7750692.5300000003</v>
      </c>
      <c r="AAH53" s="11">
        <v>4786845.45</v>
      </c>
      <c r="AAI53" s="11">
        <v>37989464.200000003</v>
      </c>
      <c r="AAJ53" s="11">
        <v>4739090.1399999997</v>
      </c>
      <c r="AAK53" s="11">
        <v>3115062.52</v>
      </c>
      <c r="AAL53" s="11">
        <v>2426618.52</v>
      </c>
      <c r="AAM53" s="11">
        <v>2182378.62</v>
      </c>
      <c r="AAN53" s="11">
        <v>1612363.66</v>
      </c>
      <c r="AAO53" s="11">
        <v>1486675.64</v>
      </c>
      <c r="AAP53" s="11">
        <v>145857402.74000001</v>
      </c>
      <c r="AAQ53" s="11">
        <v>6072161.29</v>
      </c>
      <c r="AAR53" s="11">
        <v>13333463.119999999</v>
      </c>
      <c r="AAS53" s="11">
        <v>3010370.91</v>
      </c>
      <c r="AAT53" s="11">
        <v>2380908.61</v>
      </c>
      <c r="AAU53" s="11">
        <v>496650.6</v>
      </c>
      <c r="AAV53" s="11">
        <v>536777.81999999995</v>
      </c>
      <c r="AAW53" s="11">
        <v>10623423.27</v>
      </c>
      <c r="AAX53" s="11">
        <v>3541466.87</v>
      </c>
      <c r="AAY53" s="11">
        <v>681164.7</v>
      </c>
      <c r="AAZ53" s="11">
        <v>3538668</v>
      </c>
      <c r="ABA53" s="11">
        <v>42938031.159999996</v>
      </c>
      <c r="ABB53" s="11">
        <v>2510496.14</v>
      </c>
      <c r="ABC53" s="11">
        <v>756895.72</v>
      </c>
      <c r="ABD53" s="11">
        <v>2032827.87</v>
      </c>
      <c r="ABE53" s="11">
        <v>1829097.13</v>
      </c>
      <c r="ABF53" s="11">
        <v>356353</v>
      </c>
      <c r="ABG53" s="11">
        <v>4839537.3</v>
      </c>
      <c r="ABH53" s="11">
        <v>2200354.66</v>
      </c>
      <c r="ABI53" s="11">
        <v>11821226.619999999</v>
      </c>
      <c r="ABJ53" s="11">
        <v>9788644.4000000004</v>
      </c>
      <c r="ABK53" s="11">
        <v>500</v>
      </c>
      <c r="ABL53" s="11">
        <v>248961.77</v>
      </c>
      <c r="ABM53" s="11">
        <v>2262041.37</v>
      </c>
      <c r="ABN53" s="11">
        <v>1625060.74</v>
      </c>
      <c r="ABO53" s="11">
        <v>1952136.07</v>
      </c>
      <c r="ABP53" s="11">
        <v>18365649.550000001</v>
      </c>
      <c r="ABQ53" s="11">
        <v>36348862.560000002</v>
      </c>
      <c r="ABR53" s="11">
        <v>29005536.629999999</v>
      </c>
      <c r="ABS53" s="11"/>
      <c r="ABT53" s="11">
        <v>21207894.920000002</v>
      </c>
      <c r="ABU53" s="11">
        <v>1057649.8400000001</v>
      </c>
      <c r="ABV53" s="11">
        <v>2222702.35</v>
      </c>
      <c r="ABW53" s="11">
        <v>1093936.6599999999</v>
      </c>
      <c r="ABX53" s="11"/>
      <c r="ABY53" s="11">
        <v>63947737</v>
      </c>
      <c r="ABZ53" s="11">
        <v>8096814.5499999998</v>
      </c>
      <c r="ACA53" s="11">
        <v>13206590.390000001</v>
      </c>
      <c r="ACB53" s="11">
        <v>4611882.0999999996</v>
      </c>
      <c r="ACC53" s="11">
        <v>6510802.6600000001</v>
      </c>
      <c r="ACD53" s="11">
        <v>7125963.2400000002</v>
      </c>
      <c r="ACE53" s="11">
        <v>3697396.96</v>
      </c>
      <c r="ACF53" s="11">
        <v>1724772.89</v>
      </c>
      <c r="ACG53" s="11">
        <v>3238167.15</v>
      </c>
      <c r="ACH53" s="11">
        <v>7090604.9500000002</v>
      </c>
      <c r="ACI53" s="11">
        <v>9893193.6400000006</v>
      </c>
      <c r="ACJ53" s="11">
        <v>76455582.420000002</v>
      </c>
      <c r="ACK53" s="11">
        <v>7965676.8200000003</v>
      </c>
      <c r="ACL53" s="11">
        <v>2511181.52</v>
      </c>
      <c r="ACM53" s="11">
        <v>3603448.21</v>
      </c>
      <c r="ACN53" s="11"/>
      <c r="ACO53" s="11"/>
      <c r="ACP53" s="11">
        <v>1500000</v>
      </c>
      <c r="ACQ53" s="11">
        <v>35537204.409999996</v>
      </c>
      <c r="ACR53" s="11">
        <v>329519437.14999998</v>
      </c>
      <c r="ACS53" s="11">
        <v>2840423.85</v>
      </c>
      <c r="ACT53" s="11">
        <v>16480795.140000001</v>
      </c>
      <c r="ACU53" s="11">
        <v>3952919.71</v>
      </c>
      <c r="ACV53" s="11">
        <v>5000000</v>
      </c>
      <c r="ACW53" s="11">
        <v>12864292.17</v>
      </c>
      <c r="ACX53" s="11">
        <v>1361490.81</v>
      </c>
      <c r="ACY53" s="11">
        <v>2453701.39</v>
      </c>
      <c r="ACZ53" s="11">
        <v>3087328.94</v>
      </c>
      <c r="ADA53" s="11">
        <v>1164289.52</v>
      </c>
      <c r="ADB53" s="11">
        <v>142816.91</v>
      </c>
      <c r="ADC53" s="11"/>
      <c r="ADD53" s="11">
        <v>1400334.33</v>
      </c>
      <c r="ADE53" s="11">
        <v>2407753.2799999998</v>
      </c>
      <c r="ADF53" s="11">
        <v>1454734.93</v>
      </c>
      <c r="ADG53" s="11">
        <v>29255486.260000002</v>
      </c>
      <c r="ADH53" s="11">
        <v>22113476.16</v>
      </c>
      <c r="ADI53" s="11">
        <v>10285681.550000001</v>
      </c>
      <c r="ADJ53" s="11">
        <v>2459416.38</v>
      </c>
      <c r="ADK53" s="11">
        <v>6534074.9000000004</v>
      </c>
      <c r="ADL53" s="11">
        <v>1966972.83</v>
      </c>
      <c r="ADM53" s="11">
        <v>11655049.1</v>
      </c>
      <c r="ADN53" s="11">
        <v>3242887.94</v>
      </c>
      <c r="ADO53" s="11">
        <v>29778763.870000001</v>
      </c>
      <c r="ADP53" s="11">
        <v>133483325.45999999</v>
      </c>
      <c r="ADQ53" s="11">
        <v>31897683.760000002</v>
      </c>
      <c r="ADR53" s="11">
        <v>11251354.51</v>
      </c>
      <c r="ADS53" s="11"/>
      <c r="ADT53" s="11">
        <v>23072080.620000001</v>
      </c>
      <c r="ADU53" s="11">
        <v>1623808.91</v>
      </c>
      <c r="ADV53" s="11">
        <v>3385586.25</v>
      </c>
      <c r="ADW53" s="11">
        <v>1966209.55</v>
      </c>
      <c r="ADX53" s="11">
        <v>0</v>
      </c>
      <c r="ADY53" s="11">
        <v>887140</v>
      </c>
      <c r="ADZ53" s="11">
        <v>165982751.40000001</v>
      </c>
      <c r="AEA53" s="11">
        <v>33621306.439999998</v>
      </c>
      <c r="AEB53" s="11">
        <v>6538328.2699999996</v>
      </c>
      <c r="AEC53" s="11">
        <v>8027022.1399999997</v>
      </c>
      <c r="AED53" s="11">
        <v>11083652.720000001</v>
      </c>
      <c r="AEE53" s="11">
        <v>7023011.1299999999</v>
      </c>
      <c r="AEF53" s="11">
        <v>5862606.1200000001</v>
      </c>
      <c r="AEG53" s="11">
        <v>1650000</v>
      </c>
      <c r="AEH53" s="11">
        <v>3179581.05</v>
      </c>
      <c r="AEI53" s="11">
        <v>40260750.5</v>
      </c>
      <c r="AEJ53" s="11">
        <v>5196550.2</v>
      </c>
      <c r="AEK53" s="11">
        <v>8295514.3799999999</v>
      </c>
      <c r="AEL53" s="11">
        <v>4322460.03</v>
      </c>
      <c r="AEM53" s="11">
        <v>8055663.2300000004</v>
      </c>
      <c r="AEN53" s="11">
        <v>9430426.4600000009</v>
      </c>
      <c r="AEO53" s="11">
        <v>26048668.73</v>
      </c>
      <c r="AEP53" s="11">
        <v>3306781.83</v>
      </c>
      <c r="AEQ53" s="11">
        <v>6690297.3700000001</v>
      </c>
      <c r="AER53" s="11">
        <v>2716750.98</v>
      </c>
      <c r="AES53" s="11">
        <v>18839555.609999999</v>
      </c>
      <c r="AET53" s="11">
        <v>26153113.399999999</v>
      </c>
      <c r="AEU53" s="11">
        <v>4253490.3600000003</v>
      </c>
      <c r="AEV53" s="11">
        <v>1053273.93</v>
      </c>
      <c r="AEW53" s="11">
        <v>3862017.91</v>
      </c>
      <c r="AEX53" s="11">
        <v>1968072.98</v>
      </c>
      <c r="AEY53" s="11">
        <v>13508669.810000001</v>
      </c>
      <c r="AEZ53" s="11">
        <v>4224444.8899999997</v>
      </c>
      <c r="AFA53" s="11">
        <v>2081961.09</v>
      </c>
      <c r="AFB53" s="11">
        <v>3290107.99</v>
      </c>
      <c r="AFC53" s="11">
        <v>943867.55</v>
      </c>
      <c r="AFD53" s="11">
        <v>188731349.86000001</v>
      </c>
      <c r="AFE53" s="11">
        <v>7386010.1100000003</v>
      </c>
      <c r="AFF53" s="11">
        <v>1077506.24</v>
      </c>
      <c r="AFG53" s="11">
        <v>5150683.18</v>
      </c>
      <c r="AFH53" s="11">
        <v>1669736.5</v>
      </c>
      <c r="AFI53" s="11">
        <v>10253828</v>
      </c>
      <c r="AFJ53" s="11">
        <v>1100775.18</v>
      </c>
      <c r="AFK53" s="11">
        <v>1696406.9</v>
      </c>
      <c r="AFL53" s="11">
        <v>10654207.6</v>
      </c>
      <c r="AFM53" s="11">
        <v>220445.78</v>
      </c>
      <c r="AFN53" s="11">
        <v>1220751.55</v>
      </c>
      <c r="AFO53" s="11">
        <v>5142178.0199999996</v>
      </c>
      <c r="AFP53" s="11">
        <v>3136843.77</v>
      </c>
      <c r="AFQ53" s="11">
        <v>24619504.050000001</v>
      </c>
      <c r="AFR53" s="11">
        <v>1430328.82</v>
      </c>
      <c r="AFS53" s="11">
        <v>1937638.49</v>
      </c>
      <c r="AFT53" s="11">
        <v>314215.57</v>
      </c>
      <c r="AFU53" s="11">
        <v>1717917.17</v>
      </c>
      <c r="AFV53" s="11">
        <v>720610.28</v>
      </c>
      <c r="AFW53" s="11">
        <v>1822155.49</v>
      </c>
      <c r="AFX53" s="11">
        <v>3430754.93</v>
      </c>
      <c r="AFY53" s="11">
        <v>1236738.03</v>
      </c>
      <c r="AFZ53" s="11">
        <v>1608150.02</v>
      </c>
      <c r="AGA53" s="11">
        <v>5574224.1500000004</v>
      </c>
      <c r="AGB53" s="11">
        <v>942767.3</v>
      </c>
      <c r="AGC53" s="11">
        <v>28291531.16</v>
      </c>
      <c r="AGD53" s="11">
        <v>1864241.22</v>
      </c>
      <c r="AGE53" s="11">
        <v>1007318.66</v>
      </c>
      <c r="AGF53" s="11">
        <v>1518453.95</v>
      </c>
      <c r="AGG53" s="11">
        <v>5440598.4699999997</v>
      </c>
      <c r="AGH53" s="11">
        <v>3067635.17</v>
      </c>
      <c r="AGI53" s="11">
        <v>1481097.31</v>
      </c>
      <c r="AGJ53" s="11">
        <v>10473028.34</v>
      </c>
      <c r="AGK53" s="11">
        <v>164145.26</v>
      </c>
      <c r="AGL53" s="11">
        <v>2966793.34</v>
      </c>
      <c r="AGM53" s="11">
        <v>950313.28</v>
      </c>
      <c r="AGN53" s="11">
        <v>19364446.550000001</v>
      </c>
      <c r="AGO53" s="11">
        <v>8719818.2899999991</v>
      </c>
      <c r="AGP53" s="11">
        <v>4925372.03</v>
      </c>
      <c r="AGQ53" s="11">
        <v>41446.85</v>
      </c>
      <c r="AGR53" s="11">
        <v>11123962.91</v>
      </c>
      <c r="AGS53" s="11">
        <v>2335658.4900000002</v>
      </c>
      <c r="AGT53" s="11">
        <v>6509021.6799999997</v>
      </c>
      <c r="AGU53" s="11">
        <v>5373838.25</v>
      </c>
      <c r="AGV53" s="11">
        <v>64403246.170000002</v>
      </c>
      <c r="AGW53" s="11">
        <v>89013301.980000004</v>
      </c>
      <c r="AGX53" s="11">
        <v>2233153.69</v>
      </c>
      <c r="AGY53" s="11">
        <v>8670528.9399999995</v>
      </c>
      <c r="AGZ53" s="11">
        <v>4747307.18</v>
      </c>
      <c r="AHA53" s="11">
        <v>5102312.91</v>
      </c>
      <c r="AHB53" s="11">
        <v>10261509.66</v>
      </c>
      <c r="AHC53" s="11">
        <v>1446744.49</v>
      </c>
      <c r="AHD53" s="11">
        <v>649365.43000000005</v>
      </c>
      <c r="AHE53" s="11">
        <v>5477475.6500000004</v>
      </c>
      <c r="AHF53" s="11">
        <v>12931275.92</v>
      </c>
      <c r="AHG53" s="11">
        <v>62355613.479999997</v>
      </c>
      <c r="AHH53" s="11">
        <v>3628197.27</v>
      </c>
      <c r="AHI53" s="11">
        <v>9104834.0500000007</v>
      </c>
      <c r="AHJ53" s="11">
        <v>1661236.5</v>
      </c>
      <c r="AHK53" s="11">
        <v>28651535.870000001</v>
      </c>
      <c r="AHL53" s="11">
        <v>2735043.49</v>
      </c>
      <c r="AHM53" s="11">
        <v>22547790.170000002</v>
      </c>
      <c r="AHN53" s="11">
        <v>908508.2</v>
      </c>
      <c r="AHO53" s="11">
        <v>6898245.54</v>
      </c>
      <c r="AHP53" s="11">
        <v>1178839.67</v>
      </c>
      <c r="AHQ53" s="11">
        <v>5528425.3099999996</v>
      </c>
      <c r="AHR53" s="11">
        <v>1937416.22</v>
      </c>
      <c r="AHS53" s="11">
        <v>421876.47999999998</v>
      </c>
      <c r="AHT53" s="11">
        <v>12499278825.630003</v>
      </c>
    </row>
    <row r="54" spans="1:908" x14ac:dyDescent="0.7">
      <c r="B54" s="6" t="s">
        <v>6057</v>
      </c>
      <c r="C54" s="6" t="s">
        <v>6463</v>
      </c>
      <c r="D54" s="11">
        <v>33300701.059999999</v>
      </c>
      <c r="E54" s="11">
        <v>4276477.93</v>
      </c>
      <c r="F54" s="11">
        <v>188474.91</v>
      </c>
      <c r="G54" s="11">
        <v>733490.32</v>
      </c>
      <c r="H54" s="11">
        <v>6548596.1299999999</v>
      </c>
      <c r="I54" s="11">
        <v>381540.19</v>
      </c>
      <c r="J54" s="11">
        <v>27069196.32</v>
      </c>
      <c r="K54" s="11"/>
      <c r="L54" s="11">
        <v>275661</v>
      </c>
      <c r="M54" s="11">
        <v>381005.76</v>
      </c>
      <c r="N54" s="11">
        <v>64138.84</v>
      </c>
      <c r="O54" s="11">
        <v>7255.71</v>
      </c>
      <c r="P54" s="11">
        <v>7127871.4199999999</v>
      </c>
      <c r="Q54" s="11">
        <v>438602.79</v>
      </c>
      <c r="R54" s="11">
        <v>191296.78</v>
      </c>
      <c r="S54" s="11">
        <v>550114.1</v>
      </c>
      <c r="T54" s="11">
        <v>669868.9</v>
      </c>
      <c r="U54" s="11">
        <v>710763.33</v>
      </c>
      <c r="V54" s="11">
        <v>66725327.369999997</v>
      </c>
      <c r="W54" s="11">
        <v>5382796</v>
      </c>
      <c r="X54" s="11">
        <v>201380</v>
      </c>
      <c r="Y54" s="11">
        <v>1179231.07</v>
      </c>
      <c r="Z54" s="11">
        <v>518109.53</v>
      </c>
      <c r="AA54" s="11">
        <v>34045</v>
      </c>
      <c r="AB54" s="11">
        <v>3437092.56</v>
      </c>
      <c r="AC54" s="11">
        <v>0</v>
      </c>
      <c r="AD54" s="11">
        <v>1007599.65</v>
      </c>
      <c r="AE54" s="11">
        <v>830187.44</v>
      </c>
      <c r="AF54" s="11">
        <v>3381299.77</v>
      </c>
      <c r="AG54" s="11">
        <v>269984.09999999998</v>
      </c>
      <c r="AH54" s="11">
        <v>10426793.029999999</v>
      </c>
      <c r="AI54" s="11">
        <v>4093854.19</v>
      </c>
      <c r="AJ54" s="11">
        <v>329913.76</v>
      </c>
      <c r="AK54" s="11">
        <v>80233.289999999994</v>
      </c>
      <c r="AL54" s="11">
        <v>2587680.35</v>
      </c>
      <c r="AM54" s="11">
        <v>320217.87</v>
      </c>
      <c r="AN54" s="11">
        <v>199881.5</v>
      </c>
      <c r="AO54" s="11">
        <v>326679.2</v>
      </c>
      <c r="AP54" s="11">
        <v>388515.15</v>
      </c>
      <c r="AQ54" s="11">
        <v>7350</v>
      </c>
      <c r="AR54" s="11">
        <v>1816263.95</v>
      </c>
      <c r="AS54" s="11">
        <v>4171.51</v>
      </c>
      <c r="AT54" s="11">
        <v>14245790.039999999</v>
      </c>
      <c r="AU54" s="11">
        <v>43020</v>
      </c>
      <c r="AV54" s="11">
        <v>1245114.3400000001</v>
      </c>
      <c r="AW54" s="11">
        <v>264011.21999999997</v>
      </c>
      <c r="AX54" s="11"/>
      <c r="AY54" s="11">
        <v>99344</v>
      </c>
      <c r="AZ54" s="11">
        <v>1609273.21</v>
      </c>
      <c r="BA54" s="11">
        <v>3750</v>
      </c>
      <c r="BB54" s="11">
        <v>6153</v>
      </c>
      <c r="BC54" s="11">
        <v>132373</v>
      </c>
      <c r="BD54" s="11">
        <v>417387.19</v>
      </c>
      <c r="BE54" s="11">
        <v>43075</v>
      </c>
      <c r="BF54" s="11">
        <v>546235.71</v>
      </c>
      <c r="BG54" s="11">
        <v>22215</v>
      </c>
      <c r="BH54" s="11">
        <v>1413720</v>
      </c>
      <c r="BI54" s="11">
        <v>15013195.66</v>
      </c>
      <c r="BJ54" s="11">
        <v>7805524.25</v>
      </c>
      <c r="BK54" s="11">
        <v>1027061.25</v>
      </c>
      <c r="BL54" s="11">
        <v>364334.31</v>
      </c>
      <c r="BM54" s="11">
        <v>591691.41</v>
      </c>
      <c r="BN54" s="11">
        <v>395165.64</v>
      </c>
      <c r="BO54" s="11">
        <v>3244302.03</v>
      </c>
      <c r="BP54" s="11">
        <v>324942.49</v>
      </c>
      <c r="BQ54" s="11">
        <v>350468.61</v>
      </c>
      <c r="BR54" s="11">
        <v>77466560.25</v>
      </c>
      <c r="BS54" s="11">
        <v>3950893.6</v>
      </c>
      <c r="BT54" s="11">
        <v>2160076.7200000002</v>
      </c>
      <c r="BU54" s="11">
        <v>4257888.4000000004</v>
      </c>
      <c r="BV54" s="11">
        <v>293976</v>
      </c>
      <c r="BW54" s="11">
        <v>2219844.09</v>
      </c>
      <c r="BX54" s="11">
        <v>1937613.17</v>
      </c>
      <c r="BY54" s="11">
        <v>2068656.7</v>
      </c>
      <c r="BZ54" s="11">
        <v>0</v>
      </c>
      <c r="CA54" s="11"/>
      <c r="CB54" s="11"/>
      <c r="CC54" s="11"/>
      <c r="CD54" s="11"/>
      <c r="CE54" s="11">
        <v>12120</v>
      </c>
      <c r="CF54" s="11">
        <v>207190</v>
      </c>
      <c r="CG54" s="11">
        <v>29674821.25</v>
      </c>
      <c r="CH54" s="11">
        <v>491891.31</v>
      </c>
      <c r="CI54" s="11">
        <v>709851.08</v>
      </c>
      <c r="CJ54" s="11">
        <v>169441.8</v>
      </c>
      <c r="CK54" s="11">
        <v>243592.58</v>
      </c>
      <c r="CL54" s="11">
        <v>525895.31000000006</v>
      </c>
      <c r="CM54" s="11">
        <v>228750</v>
      </c>
      <c r="CN54" s="11"/>
      <c r="CO54" s="11">
        <v>35269.870000000003</v>
      </c>
      <c r="CP54" s="11">
        <v>86921</v>
      </c>
      <c r="CQ54" s="11">
        <v>52661.5</v>
      </c>
      <c r="CR54" s="11">
        <v>357517.31</v>
      </c>
      <c r="CS54" s="11">
        <v>561745.13</v>
      </c>
      <c r="CT54" s="11">
        <v>5566253.7199999997</v>
      </c>
      <c r="CU54" s="11">
        <v>117359.56</v>
      </c>
      <c r="CV54" s="11">
        <v>120000</v>
      </c>
      <c r="CW54" s="11">
        <v>3803266.85</v>
      </c>
      <c r="CX54" s="11">
        <v>27807.35</v>
      </c>
      <c r="CY54" s="11">
        <v>939936.48</v>
      </c>
      <c r="CZ54" s="11">
        <v>677883.87</v>
      </c>
      <c r="DA54" s="11"/>
      <c r="DB54" s="11">
        <v>1909964.28</v>
      </c>
      <c r="DC54" s="11">
        <v>36722015.509999998</v>
      </c>
      <c r="DD54" s="11">
        <v>222433.57</v>
      </c>
      <c r="DE54" s="11">
        <v>33466733.34</v>
      </c>
      <c r="DF54" s="11">
        <v>1002492.09</v>
      </c>
      <c r="DG54" s="11">
        <v>2664196.15</v>
      </c>
      <c r="DH54" s="11">
        <v>2923873.34</v>
      </c>
      <c r="DI54" s="11">
        <v>1505123.81</v>
      </c>
      <c r="DJ54" s="11">
        <v>2005132.37</v>
      </c>
      <c r="DK54" s="11">
        <v>44518827.079999998</v>
      </c>
      <c r="DL54" s="11">
        <v>128572</v>
      </c>
      <c r="DM54" s="11">
        <v>9355</v>
      </c>
      <c r="DN54" s="11">
        <v>1328190.1599999999</v>
      </c>
      <c r="DO54" s="11">
        <v>440711.67</v>
      </c>
      <c r="DP54" s="11">
        <v>194487.46</v>
      </c>
      <c r="DQ54" s="11">
        <v>11982303.939999999</v>
      </c>
      <c r="DR54" s="11">
        <v>255019</v>
      </c>
      <c r="DS54" s="11">
        <v>798535.28</v>
      </c>
      <c r="DT54" s="11"/>
      <c r="DU54" s="11">
        <v>0</v>
      </c>
      <c r="DV54" s="11">
        <v>10132411.960000001</v>
      </c>
      <c r="DW54" s="11">
        <v>458661</v>
      </c>
      <c r="DX54" s="11">
        <v>467395</v>
      </c>
      <c r="DY54" s="11"/>
      <c r="DZ54" s="11">
        <v>798668.86</v>
      </c>
      <c r="EA54" s="11">
        <v>686360</v>
      </c>
      <c r="EB54" s="11">
        <v>1088050.6399999999</v>
      </c>
      <c r="EC54" s="11"/>
      <c r="ED54" s="11">
        <v>3745402.37</v>
      </c>
      <c r="EE54" s="11">
        <v>26031179.890000001</v>
      </c>
      <c r="EF54" s="11">
        <v>1234778.2</v>
      </c>
      <c r="EG54" s="11">
        <v>65743.990000000005</v>
      </c>
      <c r="EH54" s="11">
        <v>218812</v>
      </c>
      <c r="EI54" s="11">
        <v>2703784.99</v>
      </c>
      <c r="EJ54" s="11">
        <v>523435.63</v>
      </c>
      <c r="EK54" s="11">
        <v>1021306.8</v>
      </c>
      <c r="EL54" s="11">
        <v>1215238.78</v>
      </c>
      <c r="EM54" s="11">
        <v>1281695</v>
      </c>
      <c r="EN54" s="11">
        <v>53069469.659999996</v>
      </c>
      <c r="EO54" s="11"/>
      <c r="EP54" s="11">
        <v>5275000</v>
      </c>
      <c r="EQ54" s="11"/>
      <c r="ER54" s="11">
        <v>452768.47</v>
      </c>
      <c r="ES54" s="11">
        <v>725072.48</v>
      </c>
      <c r="ET54" s="11">
        <v>1092621.6000000001</v>
      </c>
      <c r="EU54" s="11">
        <v>1845310.69</v>
      </c>
      <c r="EV54" s="11">
        <v>3164877.08</v>
      </c>
      <c r="EW54" s="11">
        <v>21306645.27</v>
      </c>
      <c r="EX54" s="11">
        <v>435635</v>
      </c>
      <c r="EY54" s="11">
        <v>1318484.99</v>
      </c>
      <c r="EZ54" s="11">
        <v>447359</v>
      </c>
      <c r="FA54" s="11">
        <v>407197</v>
      </c>
      <c r="FB54" s="11">
        <v>713305.28</v>
      </c>
      <c r="FC54" s="11">
        <v>369852.5</v>
      </c>
      <c r="FD54" s="11">
        <v>165860</v>
      </c>
      <c r="FE54" s="11">
        <v>1305690.46</v>
      </c>
      <c r="FF54" s="11">
        <v>1433162.04</v>
      </c>
      <c r="FG54" s="11">
        <v>245562.4</v>
      </c>
      <c r="FH54" s="11">
        <v>496099.1</v>
      </c>
      <c r="FI54" s="11">
        <v>2215775.73</v>
      </c>
      <c r="FJ54" s="11">
        <v>110034.58</v>
      </c>
      <c r="FK54" s="11"/>
      <c r="FL54" s="11">
        <v>458322.25</v>
      </c>
      <c r="FM54" s="11">
        <v>3072286.31</v>
      </c>
      <c r="FN54" s="11">
        <v>20209</v>
      </c>
      <c r="FO54" s="11">
        <v>853655.24</v>
      </c>
      <c r="FP54" s="11">
        <v>26358</v>
      </c>
      <c r="FQ54" s="11">
        <v>9100478.1099999994</v>
      </c>
      <c r="FR54" s="11">
        <v>795947.5</v>
      </c>
      <c r="FS54" s="11">
        <v>329830.2</v>
      </c>
      <c r="FT54" s="11">
        <v>9790</v>
      </c>
      <c r="FU54" s="11">
        <v>1030004.15</v>
      </c>
      <c r="FV54" s="11">
        <v>1460759.7</v>
      </c>
      <c r="FW54" s="11">
        <v>4170759.89</v>
      </c>
      <c r="FX54" s="11">
        <v>556050</v>
      </c>
      <c r="FY54" s="11">
        <v>214880</v>
      </c>
      <c r="FZ54" s="11">
        <v>120085</v>
      </c>
      <c r="GA54" s="11">
        <v>175459.94</v>
      </c>
      <c r="GB54" s="11">
        <v>521255</v>
      </c>
      <c r="GC54" s="11">
        <v>560131.03</v>
      </c>
      <c r="GD54" s="11">
        <v>922502.01</v>
      </c>
      <c r="GE54" s="11">
        <v>34487034.130000003</v>
      </c>
      <c r="GF54" s="11"/>
      <c r="GG54" s="11">
        <v>73054.63</v>
      </c>
      <c r="GH54" s="11">
        <v>11761286.23</v>
      </c>
      <c r="GI54" s="11">
        <v>441438.18</v>
      </c>
      <c r="GJ54" s="11">
        <v>82027.7</v>
      </c>
      <c r="GK54" s="11">
        <v>221198.47</v>
      </c>
      <c r="GL54" s="11">
        <v>202521.91</v>
      </c>
      <c r="GM54" s="11">
        <v>295800</v>
      </c>
      <c r="GN54" s="11">
        <v>794674</v>
      </c>
      <c r="GO54" s="11">
        <v>31787.22</v>
      </c>
      <c r="GP54" s="11">
        <v>560318.73</v>
      </c>
      <c r="GQ54" s="11">
        <v>29451093.199999999</v>
      </c>
      <c r="GR54" s="11">
        <v>186306.16</v>
      </c>
      <c r="GS54" s="11">
        <v>35256.589999999997</v>
      </c>
      <c r="GT54" s="11">
        <v>448619</v>
      </c>
      <c r="GU54" s="11">
        <v>26526</v>
      </c>
      <c r="GV54" s="11">
        <v>323440</v>
      </c>
      <c r="GW54" s="11">
        <v>359780.34</v>
      </c>
      <c r="GX54" s="11">
        <v>315852.98</v>
      </c>
      <c r="GY54" s="11">
        <v>21300</v>
      </c>
      <c r="GZ54" s="11">
        <v>82600.53</v>
      </c>
      <c r="HA54" s="11">
        <v>2892935.92</v>
      </c>
      <c r="HB54" s="11">
        <v>84208.48</v>
      </c>
      <c r="HC54" s="11">
        <v>2388934.2999999998</v>
      </c>
      <c r="HD54" s="11">
        <v>2000000</v>
      </c>
      <c r="HE54" s="11">
        <v>11229589.449999999</v>
      </c>
      <c r="HF54" s="11">
        <v>895015.14</v>
      </c>
      <c r="HG54" s="11">
        <v>306869.12</v>
      </c>
      <c r="HH54" s="11">
        <v>8965832.5500000007</v>
      </c>
      <c r="HI54" s="11">
        <v>0</v>
      </c>
      <c r="HJ54" s="11"/>
      <c r="HK54" s="11">
        <v>3899947.48</v>
      </c>
      <c r="HL54" s="11">
        <v>30245.08</v>
      </c>
      <c r="HM54" s="11">
        <v>4054479.07</v>
      </c>
      <c r="HN54" s="11">
        <v>787952.56</v>
      </c>
      <c r="HO54" s="11">
        <v>559510.19999999995</v>
      </c>
      <c r="HP54" s="11">
        <v>1278734.6599999999</v>
      </c>
      <c r="HQ54" s="11">
        <v>2336543.4700000002</v>
      </c>
      <c r="HR54" s="11">
        <v>501930.05</v>
      </c>
      <c r="HS54" s="11">
        <v>10704796.5</v>
      </c>
      <c r="HT54" s="11">
        <v>99761.55</v>
      </c>
      <c r="HU54" s="11"/>
      <c r="HV54" s="11">
        <v>4212720.8899999997</v>
      </c>
      <c r="HW54" s="11">
        <v>88910</v>
      </c>
      <c r="HX54" s="11"/>
      <c r="HY54" s="11">
        <v>347706.6</v>
      </c>
      <c r="HZ54" s="11">
        <v>209618</v>
      </c>
      <c r="IA54" s="11">
        <v>4928.51</v>
      </c>
      <c r="IB54" s="11">
        <v>565373</v>
      </c>
      <c r="IC54" s="11"/>
      <c r="ID54" s="11">
        <v>739500</v>
      </c>
      <c r="IE54" s="11">
        <v>239590</v>
      </c>
      <c r="IF54" s="11"/>
      <c r="IG54" s="11">
        <v>5100</v>
      </c>
      <c r="IH54" s="11"/>
      <c r="II54" s="11">
        <v>1761551.37</v>
      </c>
      <c r="IJ54" s="11">
        <v>10113037.24</v>
      </c>
      <c r="IK54" s="11">
        <v>790214.62</v>
      </c>
      <c r="IL54" s="11">
        <v>659657.43999999994</v>
      </c>
      <c r="IM54" s="11">
        <v>1327740.76</v>
      </c>
      <c r="IN54" s="11">
        <v>629844.84</v>
      </c>
      <c r="IO54" s="11">
        <v>5091418.7</v>
      </c>
      <c r="IP54" s="11">
        <v>1590061.63</v>
      </c>
      <c r="IQ54" s="11">
        <v>768920</v>
      </c>
      <c r="IR54" s="11">
        <v>449199.51</v>
      </c>
      <c r="IS54" s="11">
        <v>193646.39</v>
      </c>
      <c r="IT54" s="11">
        <v>9287867.8800000008</v>
      </c>
      <c r="IU54" s="11">
        <v>432000</v>
      </c>
      <c r="IV54" s="11">
        <v>6059529.0800000001</v>
      </c>
      <c r="IW54" s="11">
        <v>5415439.0599999996</v>
      </c>
      <c r="IX54" s="11">
        <v>863489.48</v>
      </c>
      <c r="IY54" s="11">
        <v>12386.74</v>
      </c>
      <c r="IZ54" s="11">
        <v>464634.08</v>
      </c>
      <c r="JA54" s="11">
        <v>601558.56999999995</v>
      </c>
      <c r="JB54" s="11">
        <v>6133666.5</v>
      </c>
      <c r="JC54" s="11">
        <v>1166729.72</v>
      </c>
      <c r="JD54" s="11">
        <v>655898</v>
      </c>
      <c r="JE54" s="11">
        <v>170675.29</v>
      </c>
      <c r="JF54" s="11">
        <v>3713428.42</v>
      </c>
      <c r="JG54" s="11">
        <v>670326.13</v>
      </c>
      <c r="JH54" s="11">
        <v>434230.94</v>
      </c>
      <c r="JI54" s="11"/>
      <c r="JJ54" s="11"/>
      <c r="JK54" s="11">
        <v>852290.45</v>
      </c>
      <c r="JL54" s="11">
        <v>139660.1</v>
      </c>
      <c r="JM54" s="11">
        <v>3717380.51</v>
      </c>
      <c r="JN54" s="11">
        <v>1026355</v>
      </c>
      <c r="JO54" s="11">
        <v>2355304.2599999998</v>
      </c>
      <c r="JP54" s="11">
        <v>316169.32</v>
      </c>
      <c r="JQ54" s="11">
        <v>6860177.7000000002</v>
      </c>
      <c r="JR54" s="11">
        <v>223085.8</v>
      </c>
      <c r="JS54" s="11"/>
      <c r="JT54" s="11"/>
      <c r="JU54" s="11">
        <v>89500</v>
      </c>
      <c r="JV54" s="11">
        <v>849137.5</v>
      </c>
      <c r="JW54" s="11">
        <v>372864</v>
      </c>
      <c r="JX54" s="11">
        <v>1043000</v>
      </c>
      <c r="JY54" s="11">
        <v>536478</v>
      </c>
      <c r="JZ54" s="11"/>
      <c r="KA54" s="11">
        <v>219451.6</v>
      </c>
      <c r="KB54" s="11">
        <v>1237.6500000000001</v>
      </c>
      <c r="KC54" s="11">
        <v>3687302.48</v>
      </c>
      <c r="KD54" s="11">
        <v>964.25</v>
      </c>
      <c r="KE54" s="11">
        <v>828133.38</v>
      </c>
      <c r="KF54" s="11">
        <v>155837.5</v>
      </c>
      <c r="KG54" s="11"/>
      <c r="KH54" s="11">
        <v>321949.73</v>
      </c>
      <c r="KI54" s="11">
        <v>24876314.899999999</v>
      </c>
      <c r="KJ54" s="11"/>
      <c r="KK54" s="11">
        <v>2349567.17</v>
      </c>
      <c r="KL54" s="11"/>
      <c r="KM54" s="11">
        <v>123400</v>
      </c>
      <c r="KN54" s="11">
        <v>71087.05</v>
      </c>
      <c r="KO54" s="11">
        <v>15000</v>
      </c>
      <c r="KP54" s="11">
        <v>25211.71</v>
      </c>
      <c r="KQ54" s="11"/>
      <c r="KR54" s="11">
        <v>759403.04</v>
      </c>
      <c r="KS54" s="11">
        <v>744960.01</v>
      </c>
      <c r="KT54" s="11">
        <v>11399.65</v>
      </c>
      <c r="KU54" s="11">
        <v>2364686.1</v>
      </c>
      <c r="KV54" s="11">
        <v>347317</v>
      </c>
      <c r="KW54" s="11">
        <v>565771.03</v>
      </c>
      <c r="KX54" s="11"/>
      <c r="KY54" s="11">
        <v>879036.66</v>
      </c>
      <c r="KZ54" s="11">
        <v>33563208.140000001</v>
      </c>
      <c r="LA54" s="11"/>
      <c r="LB54" s="11">
        <v>277485.76</v>
      </c>
      <c r="LC54" s="11"/>
      <c r="LD54" s="11">
        <v>95424838.510000005</v>
      </c>
      <c r="LE54" s="11">
        <v>37625</v>
      </c>
      <c r="LF54" s="11">
        <v>2156486.02</v>
      </c>
      <c r="LG54" s="11">
        <v>929030.34</v>
      </c>
      <c r="LH54" s="11">
        <v>9468060</v>
      </c>
      <c r="LI54" s="11">
        <v>940276.01</v>
      </c>
      <c r="LJ54" s="11">
        <v>27665319.469999999</v>
      </c>
      <c r="LK54" s="11">
        <v>558673.19999999995</v>
      </c>
      <c r="LL54" s="11">
        <v>224500</v>
      </c>
      <c r="LM54" s="11">
        <v>253568.46</v>
      </c>
      <c r="LN54" s="11"/>
      <c r="LO54" s="11">
        <v>771422.21</v>
      </c>
      <c r="LP54" s="11">
        <v>16585.240000000002</v>
      </c>
      <c r="LQ54" s="11"/>
      <c r="LR54" s="11">
        <v>10000</v>
      </c>
      <c r="LS54" s="11">
        <v>14876544.26</v>
      </c>
      <c r="LT54" s="11"/>
      <c r="LU54" s="11">
        <v>339300</v>
      </c>
      <c r="LV54" s="11">
        <v>3976594.06</v>
      </c>
      <c r="LW54" s="11">
        <v>66121558.369999997</v>
      </c>
      <c r="LX54" s="11">
        <v>14701024.029999999</v>
      </c>
      <c r="LY54" s="11">
        <v>958391.85</v>
      </c>
      <c r="LZ54" s="11"/>
      <c r="MA54" s="11">
        <v>3641597.59</v>
      </c>
      <c r="MB54" s="11">
        <v>2989621.65</v>
      </c>
      <c r="MC54" s="11"/>
      <c r="MD54" s="11"/>
      <c r="ME54" s="11">
        <v>692688.09</v>
      </c>
      <c r="MF54" s="11">
        <v>740444.97</v>
      </c>
      <c r="MG54" s="11">
        <v>112892.61</v>
      </c>
      <c r="MH54" s="11">
        <v>161643938.75999999</v>
      </c>
      <c r="MI54" s="11"/>
      <c r="MJ54" s="11">
        <v>212049</v>
      </c>
      <c r="MK54" s="11">
        <v>796311</v>
      </c>
      <c r="ML54" s="11">
        <v>100000</v>
      </c>
      <c r="MM54" s="11">
        <v>1076132.98</v>
      </c>
      <c r="MN54" s="11"/>
      <c r="MO54" s="11">
        <v>152414.39000000001</v>
      </c>
      <c r="MP54" s="11">
        <v>3727541.03</v>
      </c>
      <c r="MQ54" s="11">
        <v>117196.26</v>
      </c>
      <c r="MR54" s="11">
        <v>574650</v>
      </c>
      <c r="MS54" s="11">
        <v>136383</v>
      </c>
      <c r="MT54" s="11">
        <v>81392262.969999999</v>
      </c>
      <c r="MU54" s="11"/>
      <c r="MV54" s="11">
        <v>81000</v>
      </c>
      <c r="MW54" s="11"/>
      <c r="MX54" s="11">
        <v>1468172</v>
      </c>
      <c r="MY54" s="11">
        <v>523289.14</v>
      </c>
      <c r="MZ54" s="11">
        <v>1159610.07</v>
      </c>
      <c r="NA54" s="11">
        <v>477609.99</v>
      </c>
      <c r="NB54" s="11">
        <v>539337.49</v>
      </c>
      <c r="NC54" s="11">
        <v>304410</v>
      </c>
      <c r="ND54" s="11">
        <v>520636.02</v>
      </c>
      <c r="NE54" s="11">
        <v>95993314.290000007</v>
      </c>
      <c r="NF54" s="11">
        <v>5753000</v>
      </c>
      <c r="NG54" s="11">
        <v>323759.49</v>
      </c>
      <c r="NH54" s="11">
        <v>2964000</v>
      </c>
      <c r="NI54" s="11">
        <v>268388.5</v>
      </c>
      <c r="NJ54" s="11">
        <v>5881015.2800000003</v>
      </c>
      <c r="NK54" s="11">
        <v>20952966.649999999</v>
      </c>
      <c r="NL54" s="11">
        <v>11460973.199999999</v>
      </c>
      <c r="NM54" s="11"/>
      <c r="NN54" s="11">
        <v>122683.85</v>
      </c>
      <c r="NO54" s="11">
        <v>47035</v>
      </c>
      <c r="NP54" s="11">
        <v>1028076.35</v>
      </c>
      <c r="NQ54" s="11">
        <v>11431469.630000001</v>
      </c>
      <c r="NR54" s="11">
        <v>1383321</v>
      </c>
      <c r="NS54" s="11"/>
      <c r="NT54" s="11">
        <v>58712.09</v>
      </c>
      <c r="NU54" s="11">
        <v>499363.89</v>
      </c>
      <c r="NV54" s="11">
        <v>14.06</v>
      </c>
      <c r="NW54" s="11">
        <v>1583820</v>
      </c>
      <c r="NX54" s="11">
        <v>25775762.300000001</v>
      </c>
      <c r="NY54" s="11">
        <v>9845693.6500000004</v>
      </c>
      <c r="NZ54" s="11">
        <v>1932410</v>
      </c>
      <c r="OA54" s="11">
        <v>370300</v>
      </c>
      <c r="OB54" s="11">
        <v>152417.22</v>
      </c>
      <c r="OC54" s="11">
        <v>920374.35</v>
      </c>
      <c r="OD54" s="11"/>
      <c r="OE54" s="11">
        <v>25555223.48</v>
      </c>
      <c r="OF54" s="11">
        <v>582264.80000000005</v>
      </c>
      <c r="OG54" s="11">
        <v>459625.87</v>
      </c>
      <c r="OH54" s="11">
        <v>225440.58</v>
      </c>
      <c r="OI54" s="11">
        <v>3840684.55</v>
      </c>
      <c r="OJ54" s="11">
        <v>253877.63</v>
      </c>
      <c r="OK54" s="11">
        <v>1241056.1000000001</v>
      </c>
      <c r="OL54" s="11">
        <v>1248691.96</v>
      </c>
      <c r="OM54" s="11"/>
      <c r="ON54" s="11">
        <v>760245.43</v>
      </c>
      <c r="OO54" s="11"/>
      <c r="OP54" s="11">
        <v>548576</v>
      </c>
      <c r="OQ54" s="11">
        <v>1654497.33</v>
      </c>
      <c r="OR54" s="11">
        <v>500603.63</v>
      </c>
      <c r="OS54" s="11">
        <v>966091.02</v>
      </c>
      <c r="OT54" s="11">
        <v>4235965.75</v>
      </c>
      <c r="OU54" s="11">
        <v>657945.26</v>
      </c>
      <c r="OV54" s="11">
        <v>617047.57999999996</v>
      </c>
      <c r="OW54" s="11">
        <v>2160211.2200000002</v>
      </c>
      <c r="OX54" s="11">
        <v>976086.25</v>
      </c>
      <c r="OY54" s="11">
        <v>21096036.609999999</v>
      </c>
      <c r="OZ54" s="11">
        <v>2418550.39</v>
      </c>
      <c r="PA54" s="11">
        <v>537269</v>
      </c>
      <c r="PB54" s="11">
        <v>12893065.449999999</v>
      </c>
      <c r="PC54" s="11">
        <v>35558224.189999998</v>
      </c>
      <c r="PD54" s="11"/>
      <c r="PE54" s="11"/>
      <c r="PF54" s="11">
        <v>415.41</v>
      </c>
      <c r="PG54" s="11"/>
      <c r="PH54" s="11">
        <v>905527</v>
      </c>
      <c r="PI54" s="11"/>
      <c r="PJ54" s="11">
        <v>319374</v>
      </c>
      <c r="PK54" s="11">
        <v>105292.6</v>
      </c>
      <c r="PL54" s="11">
        <v>111644</v>
      </c>
      <c r="PM54" s="11">
        <v>5615656.9900000002</v>
      </c>
      <c r="PN54" s="11">
        <v>31022609.969999999</v>
      </c>
      <c r="PO54" s="11">
        <v>566845.68000000005</v>
      </c>
      <c r="PP54" s="11">
        <v>68762688.959999993</v>
      </c>
      <c r="PQ54" s="11">
        <v>2177040</v>
      </c>
      <c r="PR54" s="11">
        <v>1510413.62</v>
      </c>
      <c r="PS54" s="11"/>
      <c r="PT54" s="11"/>
      <c r="PU54" s="11">
        <v>41082194.719999999</v>
      </c>
      <c r="PV54" s="11"/>
      <c r="PW54" s="11"/>
      <c r="PX54" s="11"/>
      <c r="PY54" s="11">
        <v>154646</v>
      </c>
      <c r="PZ54" s="11">
        <v>85950</v>
      </c>
      <c r="QA54" s="11">
        <v>1192727</v>
      </c>
      <c r="QB54" s="11">
        <v>4227857.3899999997</v>
      </c>
      <c r="QC54" s="11">
        <v>287958.33</v>
      </c>
      <c r="QD54" s="11">
        <v>676825.48</v>
      </c>
      <c r="QE54" s="11">
        <v>526032.52</v>
      </c>
      <c r="QF54" s="11">
        <v>1559.68</v>
      </c>
      <c r="QG54" s="11">
        <v>349200</v>
      </c>
      <c r="QH54" s="11">
        <v>3401767.7</v>
      </c>
      <c r="QI54" s="11"/>
      <c r="QJ54" s="11"/>
      <c r="QK54" s="11">
        <v>537596.94999999995</v>
      </c>
      <c r="QL54" s="11"/>
      <c r="QM54" s="11"/>
      <c r="QN54" s="11"/>
      <c r="QO54" s="11">
        <v>1281797.1100000001</v>
      </c>
      <c r="QP54" s="11">
        <v>54500</v>
      </c>
      <c r="QQ54" s="11">
        <v>259661.83</v>
      </c>
      <c r="QR54" s="11"/>
      <c r="QS54" s="11"/>
      <c r="QT54" s="11">
        <v>300845</v>
      </c>
      <c r="QU54" s="11">
        <v>41714408.890000001</v>
      </c>
      <c r="QV54" s="11">
        <v>130945</v>
      </c>
      <c r="QW54" s="11"/>
      <c r="QX54" s="11">
        <v>61160</v>
      </c>
      <c r="QY54" s="11"/>
      <c r="QZ54" s="11">
        <v>449094</v>
      </c>
      <c r="RA54" s="11">
        <v>5100</v>
      </c>
      <c r="RB54" s="11">
        <v>1284705.46</v>
      </c>
      <c r="RC54" s="11"/>
      <c r="RD54" s="11">
        <v>175244</v>
      </c>
      <c r="RE54" s="11"/>
      <c r="RF54" s="11">
        <v>217997.63</v>
      </c>
      <c r="RG54" s="11">
        <v>49386</v>
      </c>
      <c r="RH54" s="11">
        <v>68303551.920000002</v>
      </c>
      <c r="RI54" s="11">
        <v>1743554.08</v>
      </c>
      <c r="RJ54" s="11">
        <v>127659.44</v>
      </c>
      <c r="RK54" s="11">
        <v>3768572.62</v>
      </c>
      <c r="RL54" s="11">
        <v>527955</v>
      </c>
      <c r="RM54" s="11"/>
      <c r="RN54" s="11">
        <v>276768.98</v>
      </c>
      <c r="RO54" s="11">
        <v>306906.38</v>
      </c>
      <c r="RP54" s="11">
        <v>673713</v>
      </c>
      <c r="RQ54" s="11">
        <v>251325</v>
      </c>
      <c r="RR54" s="11">
        <v>521195.9</v>
      </c>
      <c r="RS54" s="11">
        <v>90900.35</v>
      </c>
      <c r="RT54" s="11">
        <v>15300</v>
      </c>
      <c r="RU54" s="11"/>
      <c r="RV54" s="11"/>
      <c r="RW54" s="11">
        <v>67434.22</v>
      </c>
      <c r="RX54" s="11"/>
      <c r="RY54" s="11">
        <v>20700</v>
      </c>
      <c r="RZ54" s="11">
        <v>297.35000000000002</v>
      </c>
      <c r="SA54" s="11">
        <v>177362</v>
      </c>
      <c r="SB54" s="11">
        <v>6668090</v>
      </c>
      <c r="SC54" s="11">
        <v>354870</v>
      </c>
      <c r="SD54" s="11">
        <v>378631.87</v>
      </c>
      <c r="SE54" s="11">
        <v>265195</v>
      </c>
      <c r="SF54" s="11">
        <v>134300</v>
      </c>
      <c r="SG54" s="11">
        <v>1330627.07</v>
      </c>
      <c r="SH54" s="11">
        <v>1188671.43</v>
      </c>
      <c r="SI54" s="11">
        <v>1017717.16</v>
      </c>
      <c r="SJ54" s="11">
        <v>198525</v>
      </c>
      <c r="SK54" s="11">
        <v>89845.79</v>
      </c>
      <c r="SL54" s="11">
        <v>376923.6</v>
      </c>
      <c r="SM54" s="11">
        <v>80700</v>
      </c>
      <c r="SN54" s="11">
        <v>6218909.6100000003</v>
      </c>
      <c r="SO54" s="11">
        <v>568035.19999999995</v>
      </c>
      <c r="SP54" s="11">
        <v>818710.65</v>
      </c>
      <c r="SQ54" s="11">
        <v>1604802.97</v>
      </c>
      <c r="SR54" s="11">
        <v>1063149.26</v>
      </c>
      <c r="SS54" s="11">
        <v>657341.06000000006</v>
      </c>
      <c r="ST54" s="11">
        <v>2085392.99</v>
      </c>
      <c r="SU54" s="11"/>
      <c r="SV54" s="11">
        <v>434291</v>
      </c>
      <c r="SW54" s="11">
        <v>791167.47</v>
      </c>
      <c r="SX54" s="11">
        <v>166121.76</v>
      </c>
      <c r="SY54" s="11">
        <v>2208117.3199999998</v>
      </c>
      <c r="SZ54" s="11">
        <v>92650</v>
      </c>
      <c r="TA54" s="11">
        <v>113136</v>
      </c>
      <c r="TB54" s="11"/>
      <c r="TC54" s="11">
        <v>169370</v>
      </c>
      <c r="TD54" s="11">
        <v>255000</v>
      </c>
      <c r="TE54" s="11">
        <v>774785</v>
      </c>
      <c r="TF54" s="11">
        <v>253138</v>
      </c>
      <c r="TG54" s="11">
        <v>493306.36</v>
      </c>
      <c r="TH54" s="11">
        <v>578739.21</v>
      </c>
      <c r="TI54" s="11">
        <v>19952.63</v>
      </c>
      <c r="TJ54" s="11">
        <v>3126105.6</v>
      </c>
      <c r="TK54" s="11">
        <v>155661.62</v>
      </c>
      <c r="TL54" s="11">
        <v>222150</v>
      </c>
      <c r="TM54" s="11">
        <v>705810</v>
      </c>
      <c r="TN54" s="11">
        <v>404064.27</v>
      </c>
      <c r="TO54" s="11">
        <v>86735.61</v>
      </c>
      <c r="TP54" s="11">
        <v>25956</v>
      </c>
      <c r="TQ54" s="11">
        <v>2251708.81</v>
      </c>
      <c r="TR54" s="11">
        <v>175298.42</v>
      </c>
      <c r="TS54" s="11">
        <v>429868.07</v>
      </c>
      <c r="TT54" s="11">
        <v>124900</v>
      </c>
      <c r="TU54" s="11">
        <v>256150</v>
      </c>
      <c r="TV54" s="11">
        <v>52650</v>
      </c>
      <c r="TW54" s="11">
        <v>540303.51</v>
      </c>
      <c r="TX54" s="11">
        <v>338040</v>
      </c>
      <c r="TY54" s="11">
        <v>134000</v>
      </c>
      <c r="TZ54" s="11">
        <v>1834782.05</v>
      </c>
      <c r="UA54" s="11">
        <v>143020.04999999999</v>
      </c>
      <c r="UB54" s="11">
        <v>370500</v>
      </c>
      <c r="UC54" s="11">
        <v>1101684.3799999999</v>
      </c>
      <c r="UD54" s="11">
        <v>358848</v>
      </c>
      <c r="UE54" s="11">
        <v>1034680</v>
      </c>
      <c r="UF54" s="11">
        <v>882305</v>
      </c>
      <c r="UG54" s="11"/>
      <c r="UH54" s="11">
        <v>407085</v>
      </c>
      <c r="UI54" s="11">
        <v>29844</v>
      </c>
      <c r="UJ54" s="11">
        <v>409836.1</v>
      </c>
      <c r="UK54" s="11">
        <v>1156250</v>
      </c>
      <c r="UL54" s="11">
        <v>1271078</v>
      </c>
      <c r="UM54" s="11">
        <v>115415</v>
      </c>
      <c r="UN54" s="11">
        <v>142690</v>
      </c>
      <c r="UO54" s="11">
        <v>51382</v>
      </c>
      <c r="UP54" s="11">
        <v>1192003.5</v>
      </c>
      <c r="UQ54" s="11">
        <v>40268612.359999999</v>
      </c>
      <c r="UR54" s="11">
        <v>173248.79</v>
      </c>
      <c r="US54" s="11"/>
      <c r="UT54" s="11">
        <v>1009071.77</v>
      </c>
      <c r="UU54" s="11"/>
      <c r="UV54" s="11">
        <v>236849.04</v>
      </c>
      <c r="UW54" s="11">
        <v>3775455.56</v>
      </c>
      <c r="UX54" s="11">
        <v>247865.55</v>
      </c>
      <c r="UY54" s="11">
        <v>28000</v>
      </c>
      <c r="UZ54" s="11">
        <v>849734.92</v>
      </c>
      <c r="VA54" s="11">
        <v>1071749.06</v>
      </c>
      <c r="VB54" s="11">
        <v>325705</v>
      </c>
      <c r="VC54" s="11">
        <v>1642010</v>
      </c>
      <c r="VD54" s="11">
        <v>204376.53</v>
      </c>
      <c r="VE54" s="11">
        <v>106718</v>
      </c>
      <c r="VF54" s="11">
        <v>1270031.98</v>
      </c>
      <c r="VG54" s="11">
        <v>483345.17</v>
      </c>
      <c r="VH54" s="11">
        <v>1869298.42</v>
      </c>
      <c r="VI54" s="11">
        <v>1768189.39</v>
      </c>
      <c r="VJ54" s="11">
        <v>366263.56</v>
      </c>
      <c r="VK54" s="11">
        <v>113350</v>
      </c>
      <c r="VL54" s="11">
        <v>2905642</v>
      </c>
      <c r="VM54" s="11">
        <v>2177033.2000000002</v>
      </c>
      <c r="VN54" s="11">
        <v>959211.68</v>
      </c>
      <c r="VO54" s="11">
        <v>603788.56000000006</v>
      </c>
      <c r="VP54" s="11">
        <v>2800000</v>
      </c>
      <c r="VQ54" s="11">
        <v>328800</v>
      </c>
      <c r="VR54" s="11">
        <v>9676529.6600000001</v>
      </c>
      <c r="VS54" s="11">
        <v>984449.43</v>
      </c>
      <c r="VT54" s="11">
        <v>1186090.1399999999</v>
      </c>
      <c r="VU54" s="11">
        <v>3122548.11</v>
      </c>
      <c r="VV54" s="11">
        <v>1183672.22</v>
      </c>
      <c r="VW54" s="11">
        <v>955436.55</v>
      </c>
      <c r="VX54" s="11">
        <v>74050</v>
      </c>
      <c r="VY54" s="11">
        <v>1566342.1</v>
      </c>
      <c r="VZ54" s="11">
        <v>42261.5</v>
      </c>
      <c r="WA54" s="11"/>
      <c r="WB54" s="11">
        <v>1684218.43</v>
      </c>
      <c r="WC54" s="11">
        <v>1816154</v>
      </c>
      <c r="WD54" s="11">
        <v>2585004.7999999998</v>
      </c>
      <c r="WE54" s="11"/>
      <c r="WF54" s="11">
        <v>1.92</v>
      </c>
      <c r="WG54" s="11">
        <v>1228539.75</v>
      </c>
      <c r="WH54" s="11">
        <v>30381300.84</v>
      </c>
      <c r="WI54" s="11">
        <v>1355632.36</v>
      </c>
      <c r="WJ54" s="11">
        <v>389380</v>
      </c>
      <c r="WK54" s="11">
        <v>2918669.23</v>
      </c>
      <c r="WL54" s="11">
        <v>367822.41</v>
      </c>
      <c r="WM54" s="11">
        <v>3192393.3</v>
      </c>
      <c r="WN54" s="11">
        <v>382149.65</v>
      </c>
      <c r="WO54" s="11">
        <v>3389317.4</v>
      </c>
      <c r="WP54" s="11">
        <v>2483538.86</v>
      </c>
      <c r="WQ54" s="11">
        <v>494454.26</v>
      </c>
      <c r="WR54" s="11">
        <v>271386.74</v>
      </c>
      <c r="WS54" s="11">
        <v>794290</v>
      </c>
      <c r="WT54" s="11">
        <v>3502818.76</v>
      </c>
      <c r="WU54" s="11">
        <v>669961.5</v>
      </c>
      <c r="WV54" s="11"/>
      <c r="WW54" s="11">
        <v>136750</v>
      </c>
      <c r="WX54" s="11">
        <v>2140691.1</v>
      </c>
      <c r="WY54" s="11">
        <v>952417.1</v>
      </c>
      <c r="WZ54" s="11">
        <v>3390897.23</v>
      </c>
      <c r="XA54" s="11"/>
      <c r="XB54" s="11">
        <v>76800</v>
      </c>
      <c r="XC54" s="11">
        <v>964350</v>
      </c>
      <c r="XD54" s="11">
        <v>412600</v>
      </c>
      <c r="XE54" s="11">
        <v>1360896.39</v>
      </c>
      <c r="XF54" s="11"/>
      <c r="XG54" s="11">
        <v>9500</v>
      </c>
      <c r="XH54" s="11">
        <v>82125</v>
      </c>
      <c r="XI54" s="11">
        <v>25106667.34</v>
      </c>
      <c r="XJ54" s="11">
        <v>1115430.1200000001</v>
      </c>
      <c r="XK54" s="11">
        <v>450083</v>
      </c>
      <c r="XL54" s="11">
        <v>2795888.52</v>
      </c>
      <c r="XM54" s="11">
        <v>1125284.49</v>
      </c>
      <c r="XN54" s="11">
        <v>452556.31</v>
      </c>
      <c r="XO54" s="11">
        <v>1222151.95</v>
      </c>
      <c r="XP54" s="11">
        <v>588799.54</v>
      </c>
      <c r="XQ54" s="11">
        <v>644696</v>
      </c>
      <c r="XR54" s="11">
        <v>448777.72</v>
      </c>
      <c r="XS54" s="11">
        <v>2949332.98</v>
      </c>
      <c r="XT54" s="11">
        <v>721596</v>
      </c>
      <c r="XU54" s="11">
        <v>118697.84</v>
      </c>
      <c r="XV54" s="11">
        <v>914159</v>
      </c>
      <c r="XW54" s="11">
        <v>1268843.3</v>
      </c>
      <c r="XX54" s="11">
        <v>357265.62</v>
      </c>
      <c r="XY54" s="11">
        <v>472004.75</v>
      </c>
      <c r="XZ54" s="11">
        <v>456517.45</v>
      </c>
      <c r="YA54" s="11">
        <v>621006.36</v>
      </c>
      <c r="YB54" s="11">
        <v>457967.16</v>
      </c>
      <c r="YC54" s="11">
        <v>364392</v>
      </c>
      <c r="YD54" s="11">
        <v>1823147.31</v>
      </c>
      <c r="YE54" s="11">
        <v>389895.07</v>
      </c>
      <c r="YF54" s="11">
        <v>9137249.6300000008</v>
      </c>
      <c r="YG54" s="11">
        <v>246806</v>
      </c>
      <c r="YH54" s="11"/>
      <c r="YI54" s="11">
        <v>275879.75</v>
      </c>
      <c r="YJ54" s="11">
        <v>3265417.85</v>
      </c>
      <c r="YK54" s="11">
        <v>142405</v>
      </c>
      <c r="YL54" s="11">
        <v>5000</v>
      </c>
      <c r="YM54" s="11"/>
      <c r="YN54" s="11">
        <v>907718</v>
      </c>
      <c r="YO54" s="11">
        <v>528673.27</v>
      </c>
      <c r="YP54" s="11">
        <v>1503713</v>
      </c>
      <c r="YQ54" s="11">
        <v>1366185</v>
      </c>
      <c r="YR54" s="11">
        <v>1522000</v>
      </c>
      <c r="YS54" s="11">
        <v>200450</v>
      </c>
      <c r="YT54" s="11">
        <v>587472.02</v>
      </c>
      <c r="YU54" s="11">
        <v>628251.38</v>
      </c>
      <c r="YV54" s="11">
        <v>344100</v>
      </c>
      <c r="YW54" s="11">
        <v>17192730.699999999</v>
      </c>
      <c r="YX54" s="11">
        <v>1171073.8</v>
      </c>
      <c r="YY54" s="11">
        <v>242350</v>
      </c>
      <c r="YZ54" s="11"/>
      <c r="ZA54" s="11">
        <v>2671158</v>
      </c>
      <c r="ZB54" s="11">
        <v>533478.81000000006</v>
      </c>
      <c r="ZC54" s="11">
        <v>155217.41</v>
      </c>
      <c r="ZD54" s="11">
        <v>518086.05</v>
      </c>
      <c r="ZE54" s="11">
        <v>3621.16</v>
      </c>
      <c r="ZF54" s="11">
        <v>225004.81</v>
      </c>
      <c r="ZG54" s="11">
        <v>22500</v>
      </c>
      <c r="ZH54" s="11">
        <v>791065.7</v>
      </c>
      <c r="ZI54" s="11"/>
      <c r="ZJ54" s="11">
        <v>1209041.22</v>
      </c>
      <c r="ZK54" s="11">
        <v>258.63</v>
      </c>
      <c r="ZL54" s="11"/>
      <c r="ZM54" s="11">
        <v>1641096.22</v>
      </c>
      <c r="ZN54" s="11">
        <v>832422.95</v>
      </c>
      <c r="ZO54" s="11">
        <v>289853.03999999998</v>
      </c>
      <c r="ZP54" s="11">
        <v>3567112.97</v>
      </c>
      <c r="ZQ54" s="11">
        <v>1413020.9</v>
      </c>
      <c r="ZR54" s="11">
        <v>3268441.95</v>
      </c>
      <c r="ZS54" s="11">
        <v>260115</v>
      </c>
      <c r="ZT54" s="11">
        <v>2041439.81</v>
      </c>
      <c r="ZU54" s="11">
        <v>9090344.4800000004</v>
      </c>
      <c r="ZV54" s="11">
        <v>10852398.76</v>
      </c>
      <c r="ZW54" s="11">
        <v>637025.78</v>
      </c>
      <c r="ZX54" s="11">
        <v>2196669.73</v>
      </c>
      <c r="ZY54" s="11">
        <v>783550.06</v>
      </c>
      <c r="ZZ54" s="11">
        <v>3262.44</v>
      </c>
      <c r="AAA54" s="11">
        <v>791324.3</v>
      </c>
      <c r="AAB54" s="11">
        <v>903.52</v>
      </c>
      <c r="AAC54" s="11">
        <v>1462551</v>
      </c>
      <c r="AAD54" s="11">
        <v>940.04</v>
      </c>
      <c r="AAE54" s="11">
        <v>1463416.31</v>
      </c>
      <c r="AAF54" s="11">
        <v>4488479.8099999996</v>
      </c>
      <c r="AAG54" s="11">
        <v>1304074.1499999999</v>
      </c>
      <c r="AAH54" s="11">
        <v>408310.33</v>
      </c>
      <c r="AAI54" s="11">
        <v>3489271.74</v>
      </c>
      <c r="AAJ54" s="11">
        <v>881467.48</v>
      </c>
      <c r="AAK54" s="11">
        <v>16092.77</v>
      </c>
      <c r="AAL54" s="11">
        <v>340504</v>
      </c>
      <c r="AAM54" s="11">
        <v>203190.47</v>
      </c>
      <c r="AAN54" s="11">
        <v>3594333.32</v>
      </c>
      <c r="AAO54" s="11">
        <v>1042788.42</v>
      </c>
      <c r="AAP54" s="11">
        <v>149931580.97</v>
      </c>
      <c r="AAQ54" s="11">
        <v>433895</v>
      </c>
      <c r="AAR54" s="11">
        <v>922669.5</v>
      </c>
      <c r="AAS54" s="11">
        <v>437608</v>
      </c>
      <c r="AAT54" s="11">
        <v>651802.54</v>
      </c>
      <c r="AAU54" s="11">
        <v>104897.97</v>
      </c>
      <c r="AAV54" s="11">
        <v>148197.69</v>
      </c>
      <c r="AAW54" s="11">
        <v>0</v>
      </c>
      <c r="AAX54" s="11">
        <v>3563936.53</v>
      </c>
      <c r="AAY54" s="11">
        <v>383042.23</v>
      </c>
      <c r="AAZ54" s="11">
        <v>1272000.01</v>
      </c>
      <c r="ABA54" s="11">
        <v>211600</v>
      </c>
      <c r="ABB54" s="11">
        <v>20600</v>
      </c>
      <c r="ABC54" s="11">
        <v>494640.5</v>
      </c>
      <c r="ABD54" s="11">
        <v>341736.49</v>
      </c>
      <c r="ABE54" s="11">
        <v>55000</v>
      </c>
      <c r="ABF54" s="11">
        <v>704384.59</v>
      </c>
      <c r="ABG54" s="11">
        <v>6751589.1100000003</v>
      </c>
      <c r="ABH54" s="11">
        <v>785565.03</v>
      </c>
      <c r="ABI54" s="11">
        <v>4030050.61</v>
      </c>
      <c r="ABJ54" s="11">
        <v>2693724.66</v>
      </c>
      <c r="ABK54" s="11">
        <v>386650</v>
      </c>
      <c r="ABL54" s="11">
        <v>406170.37</v>
      </c>
      <c r="ABM54" s="11"/>
      <c r="ABN54" s="11">
        <v>597863.9</v>
      </c>
      <c r="ABO54" s="11">
        <v>8545</v>
      </c>
      <c r="ABP54" s="11">
        <v>23461530.210000001</v>
      </c>
      <c r="ABQ54" s="11">
        <v>6690389</v>
      </c>
      <c r="ABR54" s="11">
        <v>288112.3</v>
      </c>
      <c r="ABS54" s="11">
        <v>3895272.39</v>
      </c>
      <c r="ABT54" s="11">
        <v>253809.08</v>
      </c>
      <c r="ABU54" s="11">
        <v>813466.14</v>
      </c>
      <c r="ABV54" s="11">
        <v>2004738.46</v>
      </c>
      <c r="ABW54" s="11">
        <v>929797.22</v>
      </c>
      <c r="ABX54" s="11">
        <v>134415</v>
      </c>
      <c r="ABY54" s="11">
        <v>1561960.32</v>
      </c>
      <c r="ABZ54" s="11">
        <v>93108</v>
      </c>
      <c r="ACA54" s="11">
        <v>3948315.55</v>
      </c>
      <c r="ACB54" s="11">
        <v>67740</v>
      </c>
      <c r="ACC54" s="11">
        <v>169118</v>
      </c>
      <c r="ACD54" s="11">
        <v>598036</v>
      </c>
      <c r="ACE54" s="11">
        <v>100133</v>
      </c>
      <c r="ACF54" s="11">
        <v>823723.38</v>
      </c>
      <c r="ACG54" s="11">
        <v>85611.02</v>
      </c>
      <c r="ACH54" s="11">
        <v>469874</v>
      </c>
      <c r="ACI54" s="11">
        <v>321625</v>
      </c>
      <c r="ACJ54" s="11">
        <v>147299752.47</v>
      </c>
      <c r="ACK54" s="11">
        <v>1007692.84</v>
      </c>
      <c r="ACL54" s="11">
        <v>206198.88</v>
      </c>
      <c r="ACM54" s="11"/>
      <c r="ACN54" s="11"/>
      <c r="ACO54" s="11"/>
      <c r="ACP54" s="11">
        <v>390622.79</v>
      </c>
      <c r="ACQ54" s="11">
        <v>7292947.0999999996</v>
      </c>
      <c r="ACR54" s="11">
        <v>79077.289999999994</v>
      </c>
      <c r="ACS54" s="11">
        <v>257250</v>
      </c>
      <c r="ACT54" s="11">
        <v>10000000</v>
      </c>
      <c r="ACU54" s="11"/>
      <c r="ACV54" s="11"/>
      <c r="ACW54" s="11">
        <v>630000</v>
      </c>
      <c r="ACX54" s="11">
        <v>8419565</v>
      </c>
      <c r="ACY54" s="11">
        <v>1851547.58</v>
      </c>
      <c r="ACZ54" s="11">
        <v>3676104.47</v>
      </c>
      <c r="ADA54" s="11">
        <v>215285.32</v>
      </c>
      <c r="ADB54" s="11">
        <v>56922.15</v>
      </c>
      <c r="ADC54" s="11"/>
      <c r="ADD54" s="11">
        <v>662959.55000000005</v>
      </c>
      <c r="ADE54" s="11">
        <v>800000</v>
      </c>
      <c r="ADF54" s="11">
        <v>163460</v>
      </c>
      <c r="ADG54" s="11"/>
      <c r="ADH54" s="11">
        <v>1622497.86</v>
      </c>
      <c r="ADI54" s="11">
        <v>2128579.5699999998</v>
      </c>
      <c r="ADJ54" s="11">
        <v>278256.11</v>
      </c>
      <c r="ADK54" s="11"/>
      <c r="ADL54" s="11">
        <v>4474574.71</v>
      </c>
      <c r="ADM54" s="11">
        <v>1285130.28</v>
      </c>
      <c r="ADN54" s="11">
        <v>58872.17</v>
      </c>
      <c r="ADO54" s="11">
        <v>929632.44</v>
      </c>
      <c r="ADP54" s="11">
        <v>38650717.799999997</v>
      </c>
      <c r="ADQ54" s="11">
        <v>1229415.01</v>
      </c>
      <c r="ADR54" s="11">
        <v>2642522.81</v>
      </c>
      <c r="ADS54" s="11">
        <v>806001.06</v>
      </c>
      <c r="ADT54" s="11">
        <v>6263387.5199999996</v>
      </c>
      <c r="ADU54" s="11">
        <v>28413.82</v>
      </c>
      <c r="ADV54" s="11"/>
      <c r="ADW54" s="11"/>
      <c r="ADX54" s="11"/>
      <c r="ADY54" s="11">
        <v>103075</v>
      </c>
      <c r="ADZ54" s="11">
        <v>108683125.5</v>
      </c>
      <c r="AEA54" s="11">
        <v>6708831.4900000002</v>
      </c>
      <c r="AEB54" s="11">
        <v>1131282.03</v>
      </c>
      <c r="AEC54" s="11">
        <v>1424098.86</v>
      </c>
      <c r="AED54" s="11">
        <v>4046382.91</v>
      </c>
      <c r="AEE54" s="11">
        <v>2367301.6</v>
      </c>
      <c r="AEF54" s="11">
        <v>856449.36</v>
      </c>
      <c r="AEG54" s="11"/>
      <c r="AEH54" s="11">
        <v>986918.64</v>
      </c>
      <c r="AEI54" s="11"/>
      <c r="AEJ54" s="11">
        <v>738853.12</v>
      </c>
      <c r="AEK54" s="11"/>
      <c r="AEL54" s="11">
        <v>474034.78</v>
      </c>
      <c r="AEM54" s="11">
        <v>174822.46</v>
      </c>
      <c r="AEN54" s="11">
        <v>991874.01</v>
      </c>
      <c r="AEO54" s="11"/>
      <c r="AEP54" s="11">
        <v>132044</v>
      </c>
      <c r="AEQ54" s="11">
        <v>48000</v>
      </c>
      <c r="AER54" s="11">
        <v>663493.5</v>
      </c>
      <c r="AES54" s="11">
        <v>3041690.84</v>
      </c>
      <c r="AET54" s="11">
        <v>42146069.409999996</v>
      </c>
      <c r="AEU54" s="11">
        <v>2359553.11</v>
      </c>
      <c r="AEV54" s="11">
        <v>629111.48</v>
      </c>
      <c r="AEW54" s="11">
        <v>786616.51</v>
      </c>
      <c r="AEX54" s="11">
        <v>700483.11</v>
      </c>
      <c r="AEY54" s="11">
        <v>852445.21</v>
      </c>
      <c r="AEZ54" s="11">
        <v>311211.68</v>
      </c>
      <c r="AFA54" s="11">
        <v>747384.31</v>
      </c>
      <c r="AFB54" s="11">
        <v>331513.02</v>
      </c>
      <c r="AFC54" s="11">
        <v>402280</v>
      </c>
      <c r="AFD54" s="11">
        <v>10460331.039999999</v>
      </c>
      <c r="AFE54" s="11">
        <v>48964552.270000003</v>
      </c>
      <c r="AFF54" s="11">
        <v>2512125.89</v>
      </c>
      <c r="AFG54" s="11">
        <v>1513309.13</v>
      </c>
      <c r="AFH54" s="11"/>
      <c r="AFI54" s="11">
        <v>3664350.2</v>
      </c>
      <c r="AFJ54" s="11">
        <v>475773.77</v>
      </c>
      <c r="AFK54" s="11">
        <v>22100</v>
      </c>
      <c r="AFL54" s="11">
        <v>57542.89</v>
      </c>
      <c r="AFM54" s="11"/>
      <c r="AFN54" s="11">
        <v>1915203.72</v>
      </c>
      <c r="AFO54" s="11">
        <v>994849.11</v>
      </c>
      <c r="AFP54" s="11">
        <v>5710666.7400000002</v>
      </c>
      <c r="AFQ54" s="11">
        <v>11795762.789999999</v>
      </c>
      <c r="AFR54" s="11">
        <v>53606.5</v>
      </c>
      <c r="AFS54" s="11"/>
      <c r="AFT54" s="11">
        <v>155227.92000000001</v>
      </c>
      <c r="AFU54" s="11">
        <v>377114.28</v>
      </c>
      <c r="AFV54" s="11">
        <v>72383.87</v>
      </c>
      <c r="AFW54" s="11">
        <v>21725</v>
      </c>
      <c r="AFX54" s="11"/>
      <c r="AFY54" s="11">
        <v>5606.83</v>
      </c>
      <c r="AFZ54" s="11"/>
      <c r="AGA54" s="11">
        <v>1881074.9</v>
      </c>
      <c r="AGB54" s="11">
        <v>4653</v>
      </c>
      <c r="AGC54" s="11">
        <v>942442.32</v>
      </c>
      <c r="AGD54" s="11">
        <v>31442.26</v>
      </c>
      <c r="AGE54" s="11">
        <v>771187.24</v>
      </c>
      <c r="AGF54" s="11">
        <v>136977.92000000001</v>
      </c>
      <c r="AGG54" s="11">
        <v>0</v>
      </c>
      <c r="AGH54" s="11">
        <v>409317.84</v>
      </c>
      <c r="AGI54" s="11">
        <v>275464.98</v>
      </c>
      <c r="AGJ54" s="11">
        <v>3740956.34</v>
      </c>
      <c r="AGK54" s="11">
        <v>353764.34</v>
      </c>
      <c r="AGL54" s="11">
        <v>131406.26999999999</v>
      </c>
      <c r="AGM54" s="11">
        <v>586017.04</v>
      </c>
      <c r="AGN54" s="11">
        <v>42480827.229999997</v>
      </c>
      <c r="AGO54" s="11">
        <v>1488732.41</v>
      </c>
      <c r="AGP54" s="11">
        <v>3336234.12</v>
      </c>
      <c r="AGQ54" s="11">
        <v>66370.27</v>
      </c>
      <c r="AGR54" s="11">
        <v>84617.09</v>
      </c>
      <c r="AGS54" s="11">
        <v>17374.34</v>
      </c>
      <c r="AGT54" s="11">
        <v>44645</v>
      </c>
      <c r="AGU54" s="11"/>
      <c r="AGV54" s="11">
        <v>3008419.75</v>
      </c>
      <c r="AGW54" s="11">
        <v>3014278.05</v>
      </c>
      <c r="AGX54" s="11">
        <v>2780383.83</v>
      </c>
      <c r="AGY54" s="11">
        <v>55524722.060000002</v>
      </c>
      <c r="AGZ54" s="11">
        <v>1276451.56</v>
      </c>
      <c r="AHA54" s="11">
        <v>549658</v>
      </c>
      <c r="AHB54" s="11">
        <v>307854</v>
      </c>
      <c r="AHC54" s="11">
        <v>40616</v>
      </c>
      <c r="AHD54" s="11">
        <v>36800</v>
      </c>
      <c r="AHE54" s="11">
        <v>129860</v>
      </c>
      <c r="AHF54" s="11">
        <v>425.67</v>
      </c>
      <c r="AHG54" s="11">
        <v>231722.32</v>
      </c>
      <c r="AHH54" s="11">
        <v>14000</v>
      </c>
      <c r="AHI54" s="11">
        <v>286969.94</v>
      </c>
      <c r="AHJ54" s="11">
        <v>118388.02</v>
      </c>
      <c r="AHK54" s="11">
        <v>1131081.67</v>
      </c>
      <c r="AHL54" s="11">
        <v>1271934.28</v>
      </c>
      <c r="AHM54" s="11">
        <v>1525477</v>
      </c>
      <c r="AHN54" s="11">
        <v>10000</v>
      </c>
      <c r="AHO54" s="11">
        <v>379851.08</v>
      </c>
      <c r="AHP54" s="11">
        <v>83065</v>
      </c>
      <c r="AHQ54" s="11">
        <v>78500</v>
      </c>
      <c r="AHR54" s="11">
        <v>58329.78</v>
      </c>
      <c r="AHS54" s="11">
        <v>153772.29999999999</v>
      </c>
      <c r="AHT54" s="11">
        <v>3300149295.2900019</v>
      </c>
    </row>
    <row r="55" spans="1:908" x14ac:dyDescent="0.7">
      <c r="B55" s="6" t="s">
        <v>6059</v>
      </c>
      <c r="C55" s="6" t="s">
        <v>6060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>
        <v>308293.59999999998</v>
      </c>
      <c r="DD55" s="11"/>
      <c r="DE55" s="11"/>
      <c r="DF55" s="11"/>
      <c r="DG55" s="11"/>
      <c r="DH55" s="11"/>
      <c r="DI55" s="11"/>
      <c r="DJ55" s="11"/>
      <c r="DK55" s="11">
        <v>145550175.24000001</v>
      </c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>
        <v>16054.52</v>
      </c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>
        <v>3419872.25</v>
      </c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>
        <v>25578.59</v>
      </c>
      <c r="JH55" s="11"/>
      <c r="JI55" s="11"/>
      <c r="JJ55" s="11"/>
      <c r="JK55" s="11"/>
      <c r="JL55" s="11"/>
      <c r="JM55" s="11"/>
      <c r="JN55" s="11"/>
      <c r="JO55" s="11">
        <v>31293593.899999999</v>
      </c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>
        <v>1000000</v>
      </c>
      <c r="KS55" s="11"/>
      <c r="KT55" s="11"/>
      <c r="KU55" s="11"/>
      <c r="KV55" s="11"/>
      <c r="KW55" s="11"/>
      <c r="KX55" s="11">
        <v>117331.76</v>
      </c>
      <c r="KY55" s="11"/>
      <c r="KZ55" s="11">
        <v>5502562.1100000003</v>
      </c>
      <c r="LA55" s="11"/>
      <c r="LB55" s="11"/>
      <c r="LC55" s="11"/>
      <c r="LD55" s="11"/>
      <c r="LE55" s="11"/>
      <c r="LF55" s="11"/>
      <c r="LG55" s="11"/>
      <c r="LH55" s="11"/>
      <c r="LI55" s="11">
        <v>483065.12</v>
      </c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>
        <v>1147008.4099999999</v>
      </c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>
        <v>1274417.56</v>
      </c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>
        <v>475980.6</v>
      </c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>
        <v>422708.01</v>
      </c>
      <c r="ADQ55" s="11"/>
      <c r="ADR55" s="11"/>
      <c r="ADS55" s="11"/>
      <c r="ADT55" s="11"/>
      <c r="ADU55" s="11"/>
      <c r="ADV55" s="11"/>
      <c r="ADW55" s="11"/>
      <c r="ADX55" s="11"/>
      <c r="ADY55" s="11"/>
      <c r="ADZ55" s="11">
        <v>5390576.1200000001</v>
      </c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>
        <v>1789868.84</v>
      </c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>
        <v>198217086.63000003</v>
      </c>
    </row>
    <row r="56" spans="1:908" x14ac:dyDescent="0.7">
      <c r="B56" s="6" t="s">
        <v>6061</v>
      </c>
      <c r="C56" s="6" t="s">
        <v>6062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>
        <v>0</v>
      </c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>
        <v>0</v>
      </c>
    </row>
    <row r="57" spans="1:908" x14ac:dyDescent="0.7">
      <c r="B57" s="268" t="s">
        <v>44</v>
      </c>
      <c r="C57" s="6" t="s">
        <v>6385</v>
      </c>
      <c r="D57" s="11">
        <f>SUM(D43:D56)</f>
        <v>736733931.79999995</v>
      </c>
      <c r="E57" s="11">
        <f t="shared" ref="E57:BP57" si="32">SUM(E43:E56)</f>
        <v>33138826.010000002</v>
      </c>
      <c r="F57" s="11">
        <f t="shared" si="32"/>
        <v>27611264.460000001</v>
      </c>
      <c r="G57" s="11">
        <f t="shared" si="32"/>
        <v>6334234.3300000001</v>
      </c>
      <c r="H57" s="11">
        <f t="shared" si="32"/>
        <v>60932156.93</v>
      </c>
      <c r="I57" s="11">
        <f t="shared" si="32"/>
        <v>26177760.700000003</v>
      </c>
      <c r="J57" s="11">
        <f t="shared" si="32"/>
        <v>420471615.94999999</v>
      </c>
      <c r="K57" s="11">
        <f t="shared" si="32"/>
        <v>102291192.64999999</v>
      </c>
      <c r="L57" s="11">
        <f t="shared" si="32"/>
        <v>28331523.609999999</v>
      </c>
      <c r="M57" s="11">
        <f t="shared" si="32"/>
        <v>25136206.900000002</v>
      </c>
      <c r="N57" s="11">
        <f t="shared" si="32"/>
        <v>12433922.569999998</v>
      </c>
      <c r="O57" s="11">
        <f t="shared" si="32"/>
        <v>11249294.310000002</v>
      </c>
      <c r="P57" s="11">
        <f t="shared" si="32"/>
        <v>164523808.59999999</v>
      </c>
      <c r="Q57" s="11">
        <f t="shared" si="32"/>
        <v>19901329.93</v>
      </c>
      <c r="R57" s="11">
        <f t="shared" si="32"/>
        <v>4034135.9</v>
      </c>
      <c r="S57" s="11">
        <f t="shared" si="32"/>
        <v>36707381.100000001</v>
      </c>
      <c r="T57" s="11">
        <f t="shared" si="32"/>
        <v>29861828.440000001</v>
      </c>
      <c r="U57" s="11">
        <f t="shared" si="32"/>
        <v>8317894.3500000006</v>
      </c>
      <c r="V57" s="11">
        <f t="shared" si="32"/>
        <v>1033383396.0799999</v>
      </c>
      <c r="W57" s="11">
        <f t="shared" si="32"/>
        <v>71785378</v>
      </c>
      <c r="X57" s="11">
        <f t="shared" si="32"/>
        <v>42472231.830000006</v>
      </c>
      <c r="Y57" s="11">
        <f t="shared" si="32"/>
        <v>123812016.05999999</v>
      </c>
      <c r="Z57" s="11">
        <f t="shared" si="32"/>
        <v>25526997.410000004</v>
      </c>
      <c r="AA57" s="11">
        <f t="shared" si="32"/>
        <v>53135071.290000007</v>
      </c>
      <c r="AB57" s="11">
        <f t="shared" si="32"/>
        <v>22765939.34</v>
      </c>
      <c r="AC57" s="11">
        <f t="shared" si="32"/>
        <v>67486232.469999999</v>
      </c>
      <c r="AD57" s="11">
        <f t="shared" si="32"/>
        <v>50628669.080000006</v>
      </c>
      <c r="AE57" s="11">
        <f t="shared" si="32"/>
        <v>29472376.110000003</v>
      </c>
      <c r="AF57" s="11">
        <f t="shared" si="32"/>
        <v>107740382.17999999</v>
      </c>
      <c r="AG57" s="11">
        <f t="shared" si="32"/>
        <v>46798184.710000001</v>
      </c>
      <c r="AH57" s="11">
        <f t="shared" si="32"/>
        <v>113498510.72999999</v>
      </c>
      <c r="AI57" s="11">
        <f t="shared" si="32"/>
        <v>31882379.460000005</v>
      </c>
      <c r="AJ57" s="11">
        <f t="shared" si="32"/>
        <v>33629114.200000003</v>
      </c>
      <c r="AK57" s="11">
        <f t="shared" si="32"/>
        <v>23434923.52</v>
      </c>
      <c r="AL57" s="11">
        <f t="shared" si="32"/>
        <v>77218948.849999994</v>
      </c>
      <c r="AM57" s="11">
        <f t="shared" si="32"/>
        <v>14603240.549999999</v>
      </c>
      <c r="AN57" s="11">
        <f t="shared" si="32"/>
        <v>87569353.829999998</v>
      </c>
      <c r="AO57" s="11">
        <f t="shared" si="32"/>
        <v>34547504.950000003</v>
      </c>
      <c r="AP57" s="11">
        <f t="shared" si="32"/>
        <v>9425767.120000001</v>
      </c>
      <c r="AQ57" s="11">
        <f t="shared" si="32"/>
        <v>9911968.8699999992</v>
      </c>
      <c r="AR57" s="11">
        <f t="shared" si="32"/>
        <v>34002821.329999998</v>
      </c>
      <c r="AS57" s="11">
        <f t="shared" si="32"/>
        <v>9734274.9299999997</v>
      </c>
      <c r="AT57" s="11">
        <f t="shared" si="32"/>
        <v>200513656.34999999</v>
      </c>
      <c r="AU57" s="11">
        <f t="shared" si="32"/>
        <v>16013167.130000001</v>
      </c>
      <c r="AV57" s="11">
        <f t="shared" si="32"/>
        <v>16003241.52</v>
      </c>
      <c r="AW57" s="11">
        <f t="shared" si="32"/>
        <v>18774872.57</v>
      </c>
      <c r="AX57" s="11">
        <f t="shared" si="32"/>
        <v>15750301.199999999</v>
      </c>
      <c r="AY57" s="11">
        <f t="shared" si="32"/>
        <v>21923613.380000003</v>
      </c>
      <c r="AZ57" s="11">
        <f t="shared" si="32"/>
        <v>19226616.140000001</v>
      </c>
      <c r="BA57" s="11">
        <f t="shared" si="32"/>
        <v>18327389.190000001</v>
      </c>
      <c r="BB57" s="11">
        <f t="shared" si="32"/>
        <v>13925072.939999999</v>
      </c>
      <c r="BC57" s="11">
        <f t="shared" si="32"/>
        <v>17782086.289999999</v>
      </c>
      <c r="BD57" s="11">
        <f t="shared" si="32"/>
        <v>23450495.130000003</v>
      </c>
      <c r="BE57" s="11">
        <f t="shared" si="32"/>
        <v>8115788.3999999994</v>
      </c>
      <c r="BF57" s="11">
        <f t="shared" si="32"/>
        <v>31090631.859999999</v>
      </c>
      <c r="BG57" s="11">
        <f t="shared" si="32"/>
        <v>6603012.7700000005</v>
      </c>
      <c r="BH57" s="11">
        <f t="shared" si="32"/>
        <v>39696272.659999996</v>
      </c>
      <c r="BI57" s="11">
        <f t="shared" si="32"/>
        <v>342725534.64000005</v>
      </c>
      <c r="BJ57" s="11">
        <f t="shared" si="32"/>
        <v>131133102.83</v>
      </c>
      <c r="BK57" s="11">
        <f t="shared" si="32"/>
        <v>26386856.260000002</v>
      </c>
      <c r="BL57" s="11">
        <f t="shared" si="32"/>
        <v>15689147.560000001</v>
      </c>
      <c r="BM57" s="11">
        <f t="shared" si="32"/>
        <v>31470730.800000001</v>
      </c>
      <c r="BN57" s="11">
        <f t="shared" si="32"/>
        <v>25744258.740000002</v>
      </c>
      <c r="BO57" s="11">
        <f t="shared" si="32"/>
        <v>15949650.590000002</v>
      </c>
      <c r="BP57" s="11">
        <f t="shared" si="32"/>
        <v>18020437.370000001</v>
      </c>
      <c r="BQ57" s="11">
        <f t="shared" ref="BQ57:EB57" si="33">SUM(BQ43:BQ56)</f>
        <v>17558834.800000001</v>
      </c>
      <c r="BR57" s="11">
        <f t="shared" si="33"/>
        <v>280761533.66999996</v>
      </c>
      <c r="BS57" s="11">
        <f t="shared" si="33"/>
        <v>24327881.900000002</v>
      </c>
      <c r="BT57" s="11">
        <f t="shared" si="33"/>
        <v>16504092.1</v>
      </c>
      <c r="BU57" s="11">
        <f t="shared" si="33"/>
        <v>42853635.07</v>
      </c>
      <c r="BV57" s="11">
        <f t="shared" si="33"/>
        <v>22245358.169999998</v>
      </c>
      <c r="BW57" s="11">
        <f t="shared" si="33"/>
        <v>8542798.6500000004</v>
      </c>
      <c r="BX57" s="11">
        <f t="shared" si="33"/>
        <v>18513362.450000003</v>
      </c>
      <c r="BY57" s="11">
        <f t="shared" si="33"/>
        <v>13551700.57</v>
      </c>
      <c r="BZ57" s="11">
        <f t="shared" si="33"/>
        <v>131269714.95</v>
      </c>
      <c r="CA57" s="11">
        <f t="shared" si="33"/>
        <v>9933223.870000001</v>
      </c>
      <c r="CB57" s="11">
        <f t="shared" si="33"/>
        <v>6155773.709999999</v>
      </c>
      <c r="CC57" s="11">
        <f t="shared" si="33"/>
        <v>38260418.630000003</v>
      </c>
      <c r="CD57" s="11">
        <f t="shared" si="33"/>
        <v>14098050.5</v>
      </c>
      <c r="CE57" s="11">
        <f t="shared" si="33"/>
        <v>32227043.309999999</v>
      </c>
      <c r="CF57" s="11">
        <f t="shared" si="33"/>
        <v>12335947.280000001</v>
      </c>
      <c r="CG57" s="11">
        <f t="shared" si="33"/>
        <v>1572809015.1400001</v>
      </c>
      <c r="CH57" s="11">
        <f t="shared" si="33"/>
        <v>22269772.859999996</v>
      </c>
      <c r="CI57" s="11">
        <f t="shared" si="33"/>
        <v>59590298.070000008</v>
      </c>
      <c r="CJ57" s="11">
        <f t="shared" si="33"/>
        <v>14541257.110000001</v>
      </c>
      <c r="CK57" s="11">
        <f t="shared" si="33"/>
        <v>40491652.420000002</v>
      </c>
      <c r="CL57" s="11">
        <f t="shared" si="33"/>
        <v>11560366.360000001</v>
      </c>
      <c r="CM57" s="11">
        <f t="shared" si="33"/>
        <v>29119654.049999997</v>
      </c>
      <c r="CN57" s="11">
        <f t="shared" si="33"/>
        <v>46063398.079999998</v>
      </c>
      <c r="CO57" s="11">
        <f t="shared" si="33"/>
        <v>16646614.859999999</v>
      </c>
      <c r="CP57" s="11">
        <f t="shared" si="33"/>
        <v>13601167.940000001</v>
      </c>
      <c r="CQ57" s="11">
        <f t="shared" si="33"/>
        <v>12903538.029999999</v>
      </c>
      <c r="CR57" s="11">
        <f t="shared" si="33"/>
        <v>21928985.789999995</v>
      </c>
      <c r="CS57" s="11">
        <f t="shared" si="33"/>
        <v>13988654.970000001</v>
      </c>
      <c r="CT57" s="11">
        <f t="shared" si="33"/>
        <v>324223460.72000003</v>
      </c>
      <c r="CU57" s="11">
        <f t="shared" si="33"/>
        <v>38990713.540000007</v>
      </c>
      <c r="CV57" s="11">
        <f t="shared" si="33"/>
        <v>31556717.719999999</v>
      </c>
      <c r="CW57" s="11">
        <f t="shared" si="33"/>
        <v>25831769.060000002</v>
      </c>
      <c r="CX57" s="11">
        <f t="shared" si="33"/>
        <v>31270603.489999998</v>
      </c>
      <c r="CY57" s="11">
        <f t="shared" si="33"/>
        <v>31969072.710000001</v>
      </c>
      <c r="CZ57" s="11">
        <f t="shared" si="33"/>
        <v>9564838.3199999984</v>
      </c>
      <c r="DA57" s="11">
        <f t="shared" si="33"/>
        <v>14341039.549999999</v>
      </c>
      <c r="DB57" s="11">
        <f t="shared" si="33"/>
        <v>246790202.81</v>
      </c>
      <c r="DC57" s="11">
        <f t="shared" si="33"/>
        <v>520189105.76000005</v>
      </c>
      <c r="DD57" s="11">
        <f t="shared" si="33"/>
        <v>27668667.720000003</v>
      </c>
      <c r="DE57" s="11">
        <f t="shared" si="33"/>
        <v>49116280.649999999</v>
      </c>
      <c r="DF57" s="11">
        <f t="shared" si="33"/>
        <v>29103669.080000002</v>
      </c>
      <c r="DG57" s="11">
        <f t="shared" si="33"/>
        <v>103734412.49000001</v>
      </c>
      <c r="DH57" s="11">
        <f t="shared" si="33"/>
        <v>145544524.81</v>
      </c>
      <c r="DI57" s="11">
        <f t="shared" si="33"/>
        <v>17282713.169999998</v>
      </c>
      <c r="DJ57" s="11">
        <f t="shared" si="33"/>
        <v>81362635.200000018</v>
      </c>
      <c r="DK57" s="11">
        <f t="shared" si="33"/>
        <v>1055295096.7200001</v>
      </c>
      <c r="DL57" s="11">
        <f t="shared" si="33"/>
        <v>48525378.030000001</v>
      </c>
      <c r="DM57" s="11">
        <f t="shared" si="33"/>
        <v>58319348.009999998</v>
      </c>
      <c r="DN57" s="11">
        <f t="shared" si="33"/>
        <v>60825314.189999998</v>
      </c>
      <c r="DO57" s="11">
        <f t="shared" si="33"/>
        <v>47004063.269900002</v>
      </c>
      <c r="DP57" s="11">
        <f t="shared" si="33"/>
        <v>58054588.660000004</v>
      </c>
      <c r="DQ57" s="11">
        <f t="shared" si="33"/>
        <v>149085534.63</v>
      </c>
      <c r="DR57" s="11">
        <f t="shared" si="33"/>
        <v>60648568.619999997</v>
      </c>
      <c r="DS57" s="11">
        <f t="shared" si="33"/>
        <v>123017231.45</v>
      </c>
      <c r="DT57" s="11">
        <f t="shared" si="33"/>
        <v>284604874.83000004</v>
      </c>
      <c r="DU57" s="11">
        <f t="shared" si="33"/>
        <v>26089182.609999999</v>
      </c>
      <c r="DV57" s="11">
        <f t="shared" si="33"/>
        <v>96889386.980000019</v>
      </c>
      <c r="DW57" s="11">
        <f t="shared" si="33"/>
        <v>92556798.88000001</v>
      </c>
      <c r="DX57" s="11">
        <f t="shared" si="33"/>
        <v>35635765.120000005</v>
      </c>
      <c r="DY57" s="11">
        <f t="shared" si="33"/>
        <v>29622381.16</v>
      </c>
      <c r="DZ57" s="11">
        <f t="shared" si="33"/>
        <v>66709670.049999997</v>
      </c>
      <c r="EA57" s="11">
        <f t="shared" si="33"/>
        <v>28452008.219999999</v>
      </c>
      <c r="EB57" s="11">
        <f t="shared" si="33"/>
        <v>29303292.579999998</v>
      </c>
      <c r="EC57" s="11">
        <f t="shared" ref="EC57:GN57" si="34">SUM(EC43:EC56)</f>
        <v>40745288.469999999</v>
      </c>
      <c r="ED57" s="11">
        <f t="shared" si="34"/>
        <v>21949648.140000001</v>
      </c>
      <c r="EE57" s="11">
        <f t="shared" si="34"/>
        <v>366878939.95999998</v>
      </c>
      <c r="EF57" s="11">
        <f t="shared" si="34"/>
        <v>316620362.15999997</v>
      </c>
      <c r="EG57" s="11">
        <f t="shared" si="34"/>
        <v>49802886.530000009</v>
      </c>
      <c r="EH57" s="11">
        <f t="shared" si="34"/>
        <v>25086140.68</v>
      </c>
      <c r="EI57" s="11">
        <f t="shared" si="34"/>
        <v>57804028.550000004</v>
      </c>
      <c r="EJ57" s="11">
        <f t="shared" si="34"/>
        <v>46006357.800000004</v>
      </c>
      <c r="EK57" s="11">
        <f t="shared" si="34"/>
        <v>61095496.649999999</v>
      </c>
      <c r="EL57" s="11">
        <f t="shared" si="34"/>
        <v>23196368.900000002</v>
      </c>
      <c r="EM57" s="11">
        <f t="shared" si="34"/>
        <v>40495055.170000002</v>
      </c>
      <c r="EN57" s="11">
        <f t="shared" si="34"/>
        <v>304044733.20999998</v>
      </c>
      <c r="EO57" s="11">
        <f t="shared" si="34"/>
        <v>19041484.729999997</v>
      </c>
      <c r="EP57" s="11">
        <f t="shared" si="34"/>
        <v>19446150.84</v>
      </c>
      <c r="EQ57" s="11">
        <f t="shared" si="34"/>
        <v>15921003.25</v>
      </c>
      <c r="ER57" s="11">
        <f t="shared" si="34"/>
        <v>12198369.6</v>
      </c>
      <c r="ES57" s="11">
        <f t="shared" si="34"/>
        <v>23624166.449999999</v>
      </c>
      <c r="ET57" s="11">
        <f t="shared" si="34"/>
        <v>36041883.810000002</v>
      </c>
      <c r="EU57" s="11">
        <f t="shared" si="34"/>
        <v>40275416.829999998</v>
      </c>
      <c r="EV57" s="11">
        <f t="shared" si="34"/>
        <v>20227904.460000001</v>
      </c>
      <c r="EW57" s="11">
        <f t="shared" si="34"/>
        <v>265665705.44</v>
      </c>
      <c r="EX57" s="11">
        <f t="shared" si="34"/>
        <v>36846706.969999999</v>
      </c>
      <c r="EY57" s="11">
        <f t="shared" si="34"/>
        <v>48172815.780000001</v>
      </c>
      <c r="EZ57" s="11">
        <f t="shared" si="34"/>
        <v>31966917.929999996</v>
      </c>
      <c r="FA57" s="11">
        <f t="shared" si="34"/>
        <v>81471152.989999995</v>
      </c>
      <c r="FB57" s="11">
        <f t="shared" si="34"/>
        <v>52982558.630000003</v>
      </c>
      <c r="FC57" s="11">
        <f t="shared" si="34"/>
        <v>66734698.039999999</v>
      </c>
      <c r="FD57" s="11">
        <f t="shared" si="34"/>
        <v>37004393.759999998</v>
      </c>
      <c r="FE57" s="11">
        <f t="shared" si="34"/>
        <v>32053918.900000002</v>
      </c>
      <c r="FF57" s="11">
        <f t="shared" si="34"/>
        <v>59887683.589999996</v>
      </c>
      <c r="FG57" s="11">
        <f t="shared" si="34"/>
        <v>32519213.359999999</v>
      </c>
      <c r="FH57" s="11">
        <f t="shared" si="34"/>
        <v>15925661.109999999</v>
      </c>
      <c r="FI57" s="11">
        <f t="shared" si="34"/>
        <v>195009951.56999999</v>
      </c>
      <c r="FJ57" s="11">
        <f t="shared" si="34"/>
        <v>20891953.439999998</v>
      </c>
      <c r="FK57" s="11">
        <f t="shared" si="34"/>
        <v>26952801.169999998</v>
      </c>
      <c r="FL57" s="11">
        <f t="shared" si="34"/>
        <v>33502990.43</v>
      </c>
      <c r="FM57" s="11">
        <f t="shared" si="34"/>
        <v>37015450.320000008</v>
      </c>
      <c r="FN57" s="11">
        <f t="shared" si="34"/>
        <v>43063426.75</v>
      </c>
      <c r="FO57" s="11">
        <f t="shared" si="34"/>
        <v>15744476.820000002</v>
      </c>
      <c r="FP57" s="11">
        <f t="shared" si="34"/>
        <v>16633436.75</v>
      </c>
      <c r="FQ57" s="11">
        <f t="shared" si="34"/>
        <v>1480058927.0699999</v>
      </c>
      <c r="FR57" s="11">
        <f t="shared" si="34"/>
        <v>31607349.520000003</v>
      </c>
      <c r="FS57" s="11">
        <f t="shared" si="34"/>
        <v>75782273.730000004</v>
      </c>
      <c r="FT57" s="11">
        <f t="shared" si="34"/>
        <v>59709835.32</v>
      </c>
      <c r="FU57" s="11">
        <f t="shared" si="34"/>
        <v>107305160.43000001</v>
      </c>
      <c r="FV57" s="11">
        <f t="shared" si="34"/>
        <v>39472610.399999999</v>
      </c>
      <c r="FW57" s="11">
        <f t="shared" si="34"/>
        <v>98002774.730000004</v>
      </c>
      <c r="FX57" s="11">
        <f t="shared" si="34"/>
        <v>45672423.710000001</v>
      </c>
      <c r="FY57" s="11">
        <f t="shared" si="34"/>
        <v>96256471.519999981</v>
      </c>
      <c r="FZ57" s="11">
        <f t="shared" si="34"/>
        <v>69023698.760000005</v>
      </c>
      <c r="GA57" s="11">
        <f t="shared" si="34"/>
        <v>106479978.18000001</v>
      </c>
      <c r="GB57" s="11">
        <f t="shared" si="34"/>
        <v>32145658.219999999</v>
      </c>
      <c r="GC57" s="11">
        <f t="shared" si="34"/>
        <v>54979897.579999998</v>
      </c>
      <c r="GD57" s="11">
        <f t="shared" si="34"/>
        <v>58719979.409999996</v>
      </c>
      <c r="GE57" s="11">
        <f t="shared" si="34"/>
        <v>281136477.27999997</v>
      </c>
      <c r="GF57" s="11">
        <f t="shared" si="34"/>
        <v>49271483.620000005</v>
      </c>
      <c r="GG57" s="11">
        <f t="shared" si="34"/>
        <v>50240065.119999997</v>
      </c>
      <c r="GH57" s="11">
        <f t="shared" si="34"/>
        <v>58663357.799999997</v>
      </c>
      <c r="GI57" s="11">
        <f t="shared" si="34"/>
        <v>53650927.200000003</v>
      </c>
      <c r="GJ57" s="11">
        <f t="shared" si="34"/>
        <v>53848602.370000012</v>
      </c>
      <c r="GK57" s="11">
        <f t="shared" si="34"/>
        <v>38330523.800000004</v>
      </c>
      <c r="GL57" s="11">
        <f t="shared" si="34"/>
        <v>79737771.640000001</v>
      </c>
      <c r="GM57" s="11">
        <f t="shared" si="34"/>
        <v>35287789.840000004</v>
      </c>
      <c r="GN57" s="11">
        <f t="shared" si="34"/>
        <v>20972988.75</v>
      </c>
      <c r="GO57" s="11">
        <f t="shared" ref="GO57:IZ57" si="35">SUM(GO43:GO56)</f>
        <v>22397214.379999999</v>
      </c>
      <c r="GP57" s="11">
        <f t="shared" si="35"/>
        <v>18382875.550000001</v>
      </c>
      <c r="GQ57" s="11">
        <f t="shared" si="35"/>
        <v>397942602.34999996</v>
      </c>
      <c r="GR57" s="11">
        <f t="shared" si="35"/>
        <v>112312548.55</v>
      </c>
      <c r="GS57" s="11">
        <f t="shared" si="35"/>
        <v>25132776.27</v>
      </c>
      <c r="GT57" s="11">
        <f t="shared" si="35"/>
        <v>59985065.760000005</v>
      </c>
      <c r="GU57" s="11">
        <f t="shared" si="35"/>
        <v>9959028.9200000018</v>
      </c>
      <c r="GV57" s="11">
        <f t="shared" si="35"/>
        <v>74212076.950000003</v>
      </c>
      <c r="GW57" s="11">
        <f t="shared" si="35"/>
        <v>33591253.970000006</v>
      </c>
      <c r="GX57" s="11">
        <f t="shared" si="35"/>
        <v>21469039.41</v>
      </c>
      <c r="GY57" s="11">
        <f t="shared" si="35"/>
        <v>175956387.43000001</v>
      </c>
      <c r="GZ57" s="11">
        <f t="shared" si="35"/>
        <v>21854880.789999999</v>
      </c>
      <c r="HA57" s="11">
        <f t="shared" si="35"/>
        <v>75015809.549999997</v>
      </c>
      <c r="HB57" s="11">
        <f t="shared" si="35"/>
        <v>54301702.669999994</v>
      </c>
      <c r="HC57" s="11">
        <f t="shared" si="35"/>
        <v>743316506.23000002</v>
      </c>
      <c r="HD57" s="11">
        <f t="shared" si="35"/>
        <v>290242075.56</v>
      </c>
      <c r="HE57" s="11">
        <f t="shared" si="35"/>
        <v>72013553.319999993</v>
      </c>
      <c r="HF57" s="11">
        <f t="shared" si="35"/>
        <v>230701646.35999998</v>
      </c>
      <c r="HG57" s="11">
        <f t="shared" si="35"/>
        <v>87489499.030000016</v>
      </c>
      <c r="HH57" s="11">
        <f t="shared" si="35"/>
        <v>222192070.5</v>
      </c>
      <c r="HI57" s="11">
        <f t="shared" si="35"/>
        <v>72745643.299999997</v>
      </c>
      <c r="HJ57" s="11">
        <f t="shared" si="35"/>
        <v>18312976.190000001</v>
      </c>
      <c r="HK57" s="11">
        <f t="shared" si="35"/>
        <v>678282748.32999992</v>
      </c>
      <c r="HL57" s="11">
        <f t="shared" si="35"/>
        <v>86681800.649999991</v>
      </c>
      <c r="HM57" s="11">
        <f t="shared" si="35"/>
        <v>144771455.93000001</v>
      </c>
      <c r="HN57" s="11">
        <f t="shared" si="35"/>
        <v>105278447.72</v>
      </c>
      <c r="HO57" s="11">
        <f t="shared" si="35"/>
        <v>40216623.049999997</v>
      </c>
      <c r="HP57" s="11">
        <f t="shared" si="35"/>
        <v>130393633.63</v>
      </c>
      <c r="HQ57" s="11">
        <f t="shared" si="35"/>
        <v>64516828.879999995</v>
      </c>
      <c r="HR57" s="11">
        <f t="shared" si="35"/>
        <v>55507448.004999995</v>
      </c>
      <c r="HS57" s="11">
        <f t="shared" si="35"/>
        <v>190299538.3556</v>
      </c>
      <c r="HT57" s="11">
        <f t="shared" si="35"/>
        <v>139789639.00000003</v>
      </c>
      <c r="HU57" s="11">
        <f t="shared" si="35"/>
        <v>66558931.060000002</v>
      </c>
      <c r="HV57" s="11">
        <f t="shared" si="35"/>
        <v>115364533.08</v>
      </c>
      <c r="HW57" s="11">
        <f t="shared" si="35"/>
        <v>45501910.950000003</v>
      </c>
      <c r="HX57" s="11">
        <f t="shared" si="35"/>
        <v>25219501.550000001</v>
      </c>
      <c r="HY57" s="11">
        <f t="shared" si="35"/>
        <v>212753307.26999998</v>
      </c>
      <c r="HZ57" s="11">
        <f t="shared" si="35"/>
        <v>35149870.589999996</v>
      </c>
      <c r="IA57" s="11">
        <f t="shared" si="35"/>
        <v>63484046.009999998</v>
      </c>
      <c r="IB57" s="11">
        <f t="shared" si="35"/>
        <v>58749186.93</v>
      </c>
      <c r="IC57" s="11">
        <f t="shared" si="35"/>
        <v>60146886.390000001</v>
      </c>
      <c r="ID57" s="11">
        <f t="shared" si="35"/>
        <v>163575852.94</v>
      </c>
      <c r="IE57" s="11">
        <f t="shared" si="35"/>
        <v>23386905.350000001</v>
      </c>
      <c r="IF57" s="11">
        <f t="shared" si="35"/>
        <v>159862456.77000001</v>
      </c>
      <c r="IG57" s="11">
        <f t="shared" si="35"/>
        <v>15880539.369999999</v>
      </c>
      <c r="IH57" s="11">
        <f t="shared" si="35"/>
        <v>10902205.390000001</v>
      </c>
      <c r="II57" s="11">
        <f t="shared" si="35"/>
        <v>284298541.38999999</v>
      </c>
      <c r="IJ57" s="11">
        <f t="shared" si="35"/>
        <v>116812094.83</v>
      </c>
      <c r="IK57" s="11">
        <f t="shared" si="35"/>
        <v>65423254.789999999</v>
      </c>
      <c r="IL57" s="11">
        <f t="shared" si="35"/>
        <v>94342642.969999999</v>
      </c>
      <c r="IM57" s="11">
        <f t="shared" si="35"/>
        <v>55833238.389999993</v>
      </c>
      <c r="IN57" s="11">
        <f t="shared" si="35"/>
        <v>110846839.66999999</v>
      </c>
      <c r="IO57" s="11">
        <f t="shared" si="35"/>
        <v>20422380.469999999</v>
      </c>
      <c r="IP57" s="11">
        <f t="shared" si="35"/>
        <v>14344596.73</v>
      </c>
      <c r="IQ57" s="11">
        <f t="shared" si="35"/>
        <v>26792389.239999998</v>
      </c>
      <c r="IR57" s="11">
        <f t="shared" si="35"/>
        <v>40576793.43</v>
      </c>
      <c r="IS57" s="11">
        <f t="shared" si="35"/>
        <v>77063073.489999995</v>
      </c>
      <c r="IT57" s="11">
        <f t="shared" si="35"/>
        <v>295454107.39999998</v>
      </c>
      <c r="IU57" s="11">
        <f t="shared" si="35"/>
        <v>172674954.55000001</v>
      </c>
      <c r="IV57" s="11">
        <f t="shared" si="35"/>
        <v>174964409.94</v>
      </c>
      <c r="IW57" s="11">
        <f t="shared" si="35"/>
        <v>99535184.38000001</v>
      </c>
      <c r="IX57" s="11">
        <f t="shared" si="35"/>
        <v>86411108.859999999</v>
      </c>
      <c r="IY57" s="11">
        <f t="shared" si="35"/>
        <v>38802074.93</v>
      </c>
      <c r="IZ57" s="11">
        <f t="shared" si="35"/>
        <v>29497887.789999999</v>
      </c>
      <c r="JA57" s="11">
        <f t="shared" ref="JA57:LL57" si="36">SUM(JA43:JA56)</f>
        <v>32257459.259999998</v>
      </c>
      <c r="JB57" s="11">
        <f t="shared" si="36"/>
        <v>27464743.640000001</v>
      </c>
      <c r="JC57" s="11">
        <f t="shared" si="36"/>
        <v>55682575.549999997</v>
      </c>
      <c r="JD57" s="11">
        <f t="shared" si="36"/>
        <v>99237377.390000001</v>
      </c>
      <c r="JE57" s="11">
        <f t="shared" si="36"/>
        <v>19988862.469999999</v>
      </c>
      <c r="JF57" s="11">
        <f t="shared" si="36"/>
        <v>165633951.81999999</v>
      </c>
      <c r="JG57" s="11">
        <f t="shared" si="36"/>
        <v>90963505.620000005</v>
      </c>
      <c r="JH57" s="11">
        <f t="shared" si="36"/>
        <v>22605271.609999999</v>
      </c>
      <c r="JI57" s="11">
        <f t="shared" si="36"/>
        <v>11631809.370000001</v>
      </c>
      <c r="JJ57" s="11">
        <f t="shared" si="36"/>
        <v>20245308.990000002</v>
      </c>
      <c r="JK57" s="11">
        <f t="shared" si="36"/>
        <v>42624630.93</v>
      </c>
      <c r="JL57" s="11">
        <f t="shared" si="36"/>
        <v>271892098.84000003</v>
      </c>
      <c r="JM57" s="11">
        <f t="shared" si="36"/>
        <v>159767824.35999998</v>
      </c>
      <c r="JN57" s="11">
        <f t="shared" si="36"/>
        <v>115719416.82000001</v>
      </c>
      <c r="JO57" s="11">
        <f t="shared" si="36"/>
        <v>124115820.87</v>
      </c>
      <c r="JP57" s="11">
        <f t="shared" si="36"/>
        <v>35543470.119999997</v>
      </c>
      <c r="JQ57" s="11">
        <f t="shared" si="36"/>
        <v>129884642.86</v>
      </c>
      <c r="JR57" s="11">
        <f t="shared" si="36"/>
        <v>36145818.359999999</v>
      </c>
      <c r="JS57" s="11">
        <f t="shared" si="36"/>
        <v>613279963.72000003</v>
      </c>
      <c r="JT57" s="11">
        <f t="shared" si="36"/>
        <v>509746823.79000002</v>
      </c>
      <c r="JU57" s="11">
        <f t="shared" si="36"/>
        <v>73229800.280000001</v>
      </c>
      <c r="JV57" s="11">
        <f t="shared" si="36"/>
        <v>14594998.58</v>
      </c>
      <c r="JW57" s="11">
        <f t="shared" si="36"/>
        <v>79678098.099999994</v>
      </c>
      <c r="JX57" s="11">
        <f t="shared" si="36"/>
        <v>12493097.449999999</v>
      </c>
      <c r="JY57" s="11">
        <f t="shared" si="36"/>
        <v>81947953.890000001</v>
      </c>
      <c r="JZ57" s="11">
        <f t="shared" si="36"/>
        <v>69553921.120000005</v>
      </c>
      <c r="KA57" s="11">
        <f t="shared" si="36"/>
        <v>47238157.75</v>
      </c>
      <c r="KB57" s="11">
        <f t="shared" si="36"/>
        <v>31802641.75</v>
      </c>
      <c r="KC57" s="11">
        <f t="shared" si="36"/>
        <v>72235391.049999997</v>
      </c>
      <c r="KD57" s="11">
        <f t="shared" si="36"/>
        <v>57483083.359999999</v>
      </c>
      <c r="KE57" s="11">
        <f t="shared" si="36"/>
        <v>18803495.18</v>
      </c>
      <c r="KF57" s="11">
        <f t="shared" si="36"/>
        <v>18867495.739999998</v>
      </c>
      <c r="KG57" s="11">
        <f t="shared" si="36"/>
        <v>37890245.960000001</v>
      </c>
      <c r="KH57" s="11">
        <f t="shared" si="36"/>
        <v>10967399.99</v>
      </c>
      <c r="KI57" s="11">
        <f t="shared" si="36"/>
        <v>1278490001.0699999</v>
      </c>
      <c r="KJ57" s="11">
        <f t="shared" si="36"/>
        <v>71928316.5</v>
      </c>
      <c r="KK57" s="11">
        <f t="shared" si="36"/>
        <v>93313747.340000004</v>
      </c>
      <c r="KL57" s="11">
        <f t="shared" si="36"/>
        <v>73146484.340000004</v>
      </c>
      <c r="KM57" s="11">
        <f t="shared" si="36"/>
        <v>142325772.18000001</v>
      </c>
      <c r="KN57" s="11">
        <f t="shared" si="36"/>
        <v>117481537.59</v>
      </c>
      <c r="KO57" s="11">
        <f t="shared" si="36"/>
        <v>87905559.420000002</v>
      </c>
      <c r="KP57" s="11">
        <f t="shared" si="36"/>
        <v>92733441.429999992</v>
      </c>
      <c r="KQ57" s="11">
        <f t="shared" si="36"/>
        <v>76608918.829999998</v>
      </c>
      <c r="KR57" s="11">
        <f t="shared" si="36"/>
        <v>236132432.04999998</v>
      </c>
      <c r="KS57" s="11">
        <f t="shared" si="36"/>
        <v>73197396.829999998</v>
      </c>
      <c r="KT57" s="11">
        <f t="shared" si="36"/>
        <v>53238264.059999995</v>
      </c>
      <c r="KU57" s="11">
        <f t="shared" si="36"/>
        <v>117022705.39999998</v>
      </c>
      <c r="KV57" s="11">
        <f t="shared" si="36"/>
        <v>52152540.120000005</v>
      </c>
      <c r="KW57" s="11">
        <f t="shared" si="36"/>
        <v>133533839.61999999</v>
      </c>
      <c r="KX57" s="11">
        <f t="shared" si="36"/>
        <v>557253392.31999993</v>
      </c>
      <c r="KY57" s="11">
        <f t="shared" si="36"/>
        <v>197317099.81</v>
      </c>
      <c r="KZ57" s="11">
        <f t="shared" si="36"/>
        <v>812066026.15999985</v>
      </c>
      <c r="LA57" s="11">
        <f t="shared" si="36"/>
        <v>122775437.14999999</v>
      </c>
      <c r="LB57" s="11">
        <f t="shared" si="36"/>
        <v>77068042.590000004</v>
      </c>
      <c r="LC57" s="11">
        <f t="shared" si="36"/>
        <v>163866173.09999999</v>
      </c>
      <c r="LD57" s="11">
        <f t="shared" si="36"/>
        <v>178317942.35000002</v>
      </c>
      <c r="LE57" s="11">
        <f t="shared" si="36"/>
        <v>105320975.24000001</v>
      </c>
      <c r="LF57" s="11">
        <f t="shared" si="36"/>
        <v>118003218.97000001</v>
      </c>
      <c r="LG57" s="11">
        <f t="shared" si="36"/>
        <v>96554914.650000006</v>
      </c>
      <c r="LH57" s="11">
        <f t="shared" si="36"/>
        <v>1064159616.8700001</v>
      </c>
      <c r="LI57" s="11">
        <f t="shared" si="36"/>
        <v>208752551.31999999</v>
      </c>
      <c r="LJ57" s="11">
        <f t="shared" si="36"/>
        <v>509428552.85000002</v>
      </c>
      <c r="LK57" s="11">
        <f t="shared" si="36"/>
        <v>309107280.70999998</v>
      </c>
      <c r="LL57" s="11">
        <f t="shared" si="36"/>
        <v>46800387.590000004</v>
      </c>
      <c r="LM57" s="11">
        <f t="shared" ref="LM57:NX57" si="37">SUM(LM43:LM56)</f>
        <v>55243699.020000003</v>
      </c>
      <c r="LN57" s="11">
        <f t="shared" si="37"/>
        <v>13693819.5</v>
      </c>
      <c r="LO57" s="11">
        <f t="shared" si="37"/>
        <v>110903866.89999999</v>
      </c>
      <c r="LP57" s="11">
        <f t="shared" si="37"/>
        <v>18901388.559999999</v>
      </c>
      <c r="LQ57" s="11">
        <f t="shared" si="37"/>
        <v>72316163.680000007</v>
      </c>
      <c r="LR57" s="11">
        <f t="shared" si="37"/>
        <v>20378827.170000002</v>
      </c>
      <c r="LS57" s="11">
        <f t="shared" si="37"/>
        <v>172340638.41999999</v>
      </c>
      <c r="LT57" s="11">
        <f t="shared" si="37"/>
        <v>61057669.350000009</v>
      </c>
      <c r="LU57" s="11">
        <f t="shared" si="37"/>
        <v>38178258.719999999</v>
      </c>
      <c r="LV57" s="11">
        <f t="shared" si="37"/>
        <v>1788949529.6400001</v>
      </c>
      <c r="LW57" s="11">
        <f t="shared" si="37"/>
        <v>605254437.05000007</v>
      </c>
      <c r="LX57" s="11">
        <f t="shared" si="37"/>
        <v>845780156.63999999</v>
      </c>
      <c r="LY57" s="11">
        <f t="shared" si="37"/>
        <v>281038090.05000001</v>
      </c>
      <c r="LZ57" s="11">
        <f t="shared" si="37"/>
        <v>50236533.780000001</v>
      </c>
      <c r="MA57" s="11">
        <f t="shared" si="37"/>
        <v>169587161.97</v>
      </c>
      <c r="MB57" s="11">
        <f t="shared" si="37"/>
        <v>86104887.010000005</v>
      </c>
      <c r="MC57" s="11">
        <f t="shared" si="37"/>
        <v>72567358.799999997</v>
      </c>
      <c r="MD57" s="11">
        <f t="shared" si="37"/>
        <v>120308872.57000001</v>
      </c>
      <c r="ME57" s="11">
        <f t="shared" si="37"/>
        <v>186851734.20999998</v>
      </c>
      <c r="MF57" s="11">
        <f t="shared" si="37"/>
        <v>95390243.090000004</v>
      </c>
      <c r="MG57" s="11">
        <f t="shared" si="37"/>
        <v>68484559.219999999</v>
      </c>
      <c r="MH57" s="11">
        <f t="shared" si="37"/>
        <v>634051321.30999994</v>
      </c>
      <c r="MI57" s="11">
        <f t="shared" si="37"/>
        <v>44467261.770000003</v>
      </c>
      <c r="MJ57" s="11">
        <f t="shared" si="37"/>
        <v>56209362.130000003</v>
      </c>
      <c r="MK57" s="11">
        <f t="shared" si="37"/>
        <v>33738659.890000001</v>
      </c>
      <c r="ML57" s="11">
        <f t="shared" si="37"/>
        <v>40096051.109999999</v>
      </c>
      <c r="MM57" s="11">
        <f t="shared" si="37"/>
        <v>80293678.440000013</v>
      </c>
      <c r="MN57" s="11">
        <f t="shared" si="37"/>
        <v>11440660.92</v>
      </c>
      <c r="MO57" s="11">
        <f t="shared" si="37"/>
        <v>25796707.039999999</v>
      </c>
      <c r="MP57" s="11">
        <f t="shared" si="37"/>
        <v>57421980.370000005</v>
      </c>
      <c r="MQ57" s="11">
        <f t="shared" si="37"/>
        <v>35346786.639999993</v>
      </c>
      <c r="MR57" s="11">
        <f t="shared" si="37"/>
        <v>26930334.91</v>
      </c>
      <c r="MS57" s="11">
        <f t="shared" si="37"/>
        <v>46176129.649999999</v>
      </c>
      <c r="MT57" s="11">
        <f t="shared" si="37"/>
        <v>801406566.6500001</v>
      </c>
      <c r="MU57" s="11">
        <f t="shared" si="37"/>
        <v>41608557.75</v>
      </c>
      <c r="MV57" s="11">
        <f t="shared" si="37"/>
        <v>174344707.40000004</v>
      </c>
      <c r="MW57" s="11">
        <f t="shared" si="37"/>
        <v>99219221.519999996</v>
      </c>
      <c r="MX57" s="11">
        <f t="shared" si="37"/>
        <v>118748165.69999999</v>
      </c>
      <c r="MY57" s="11">
        <f t="shared" si="37"/>
        <v>74775833.650000006</v>
      </c>
      <c r="MZ57" s="11">
        <f t="shared" si="37"/>
        <v>267525544.90000001</v>
      </c>
      <c r="NA57" s="11">
        <f t="shared" si="37"/>
        <v>69132880.159999996</v>
      </c>
      <c r="NB57" s="11">
        <f t="shared" si="37"/>
        <v>132303311.44999999</v>
      </c>
      <c r="NC57" s="11">
        <f t="shared" si="37"/>
        <v>12354061.020000001</v>
      </c>
      <c r="ND57" s="11">
        <f t="shared" si="37"/>
        <v>42192844.789999999</v>
      </c>
      <c r="NE57" s="11">
        <f t="shared" si="37"/>
        <v>1750751981.0799999</v>
      </c>
      <c r="NF57" s="11">
        <f t="shared" si="37"/>
        <v>537942254.20000005</v>
      </c>
      <c r="NG57" s="11">
        <f t="shared" si="37"/>
        <v>55468723.980000004</v>
      </c>
      <c r="NH57" s="11">
        <f t="shared" si="37"/>
        <v>950550421.75999999</v>
      </c>
      <c r="NI57" s="11">
        <f t="shared" si="37"/>
        <v>38349476.269999996</v>
      </c>
      <c r="NJ57" s="11">
        <f t="shared" si="37"/>
        <v>156920259.78999999</v>
      </c>
      <c r="NK57" s="11">
        <f t="shared" si="37"/>
        <v>488380192.79999995</v>
      </c>
      <c r="NL57" s="11">
        <f t="shared" si="37"/>
        <v>422199255.25</v>
      </c>
      <c r="NM57" s="11">
        <f t="shared" si="37"/>
        <v>37820572.68</v>
      </c>
      <c r="NN57" s="11">
        <f t="shared" si="37"/>
        <v>262959975.44999999</v>
      </c>
      <c r="NO57" s="11">
        <f t="shared" si="37"/>
        <v>134008682.98</v>
      </c>
      <c r="NP57" s="11">
        <f t="shared" si="37"/>
        <v>84245084.010000005</v>
      </c>
      <c r="NQ57" s="11">
        <f t="shared" si="37"/>
        <v>324016127.25</v>
      </c>
      <c r="NR57" s="11">
        <f t="shared" si="37"/>
        <v>38802800.480000004</v>
      </c>
      <c r="NS57" s="11">
        <f t="shared" si="37"/>
        <v>26879658.93</v>
      </c>
      <c r="NT57" s="11">
        <f t="shared" si="37"/>
        <v>46525105.939999998</v>
      </c>
      <c r="NU57" s="11">
        <f t="shared" si="37"/>
        <v>42445494.140000001</v>
      </c>
      <c r="NV57" s="11">
        <f t="shared" si="37"/>
        <v>15916407.33</v>
      </c>
      <c r="NW57" s="11">
        <f t="shared" si="37"/>
        <v>21661620.580000002</v>
      </c>
      <c r="NX57" s="11">
        <f t="shared" si="37"/>
        <v>667901981.27999997</v>
      </c>
      <c r="NY57" s="11">
        <f t="shared" ref="NY57:QJ57" si="38">SUM(NY43:NY56)</f>
        <v>481412096.67999995</v>
      </c>
      <c r="NZ57" s="11">
        <f t="shared" si="38"/>
        <v>86140330.770000011</v>
      </c>
      <c r="OA57" s="11">
        <f t="shared" si="38"/>
        <v>15353690.790000001</v>
      </c>
      <c r="OB57" s="11">
        <f t="shared" si="38"/>
        <v>50681640.279999994</v>
      </c>
      <c r="OC57" s="11">
        <f t="shared" si="38"/>
        <v>79056135.239999995</v>
      </c>
      <c r="OD57" s="11">
        <f t="shared" si="38"/>
        <v>18465802.82</v>
      </c>
      <c r="OE57" s="11">
        <f t="shared" si="38"/>
        <v>1307209392.74</v>
      </c>
      <c r="OF57" s="11">
        <f t="shared" si="38"/>
        <v>59543018.259999998</v>
      </c>
      <c r="OG57" s="11">
        <f t="shared" si="38"/>
        <v>96922611.060000002</v>
      </c>
      <c r="OH57" s="11">
        <f t="shared" si="38"/>
        <v>194278196.34</v>
      </c>
      <c r="OI57" s="11">
        <f t="shared" si="38"/>
        <v>30638338.510000002</v>
      </c>
      <c r="OJ57" s="11">
        <f t="shared" si="38"/>
        <v>143078401</v>
      </c>
      <c r="OK57" s="11">
        <f t="shared" si="38"/>
        <v>142210568.40000001</v>
      </c>
      <c r="OL57" s="11">
        <f t="shared" si="38"/>
        <v>31672569.73</v>
      </c>
      <c r="OM57" s="11">
        <f t="shared" si="38"/>
        <v>145037426.68000001</v>
      </c>
      <c r="ON57" s="11">
        <f t="shared" si="38"/>
        <v>1255772522.77</v>
      </c>
      <c r="OO57" s="11">
        <f t="shared" si="38"/>
        <v>254566886.36000001</v>
      </c>
      <c r="OP57" s="11">
        <f t="shared" si="38"/>
        <v>949477010.36000001</v>
      </c>
      <c r="OQ57" s="11">
        <f t="shared" si="38"/>
        <v>205594903.62</v>
      </c>
      <c r="OR57" s="11">
        <f t="shared" si="38"/>
        <v>53306659.620000005</v>
      </c>
      <c r="OS57" s="11">
        <f t="shared" si="38"/>
        <v>141167105.30000001</v>
      </c>
      <c r="OT57" s="11">
        <f t="shared" si="38"/>
        <v>712769641.08000004</v>
      </c>
      <c r="OU57" s="11">
        <f t="shared" si="38"/>
        <v>62838029.149999999</v>
      </c>
      <c r="OV57" s="11">
        <f t="shared" si="38"/>
        <v>118152551.35000001</v>
      </c>
      <c r="OW57" s="11">
        <f t="shared" si="38"/>
        <v>103378659.59</v>
      </c>
      <c r="OX57" s="11">
        <f t="shared" si="38"/>
        <v>89020879.450000003</v>
      </c>
      <c r="OY57" s="11">
        <f t="shared" si="38"/>
        <v>326030940.79000002</v>
      </c>
      <c r="OZ57" s="11">
        <f t="shared" si="38"/>
        <v>56306281.240000002</v>
      </c>
      <c r="PA57" s="11">
        <f t="shared" si="38"/>
        <v>67367703.769999996</v>
      </c>
      <c r="PB57" s="11">
        <f t="shared" si="38"/>
        <v>68815843.849999994</v>
      </c>
      <c r="PC57" s="11">
        <f t="shared" si="38"/>
        <v>380173406.30000001</v>
      </c>
      <c r="PD57" s="11">
        <f t="shared" si="38"/>
        <v>33497083.32</v>
      </c>
      <c r="PE57" s="11">
        <f t="shared" si="38"/>
        <v>62015407.030000001</v>
      </c>
      <c r="PF57" s="11">
        <f t="shared" si="38"/>
        <v>20099843.43</v>
      </c>
      <c r="PG57" s="11">
        <f t="shared" si="38"/>
        <v>55367896.519999996</v>
      </c>
      <c r="PH57" s="11">
        <f t="shared" si="38"/>
        <v>144504951.58000001</v>
      </c>
      <c r="PI57" s="11">
        <f t="shared" si="38"/>
        <v>30404300.309999999</v>
      </c>
      <c r="PJ57" s="11">
        <f t="shared" si="38"/>
        <v>30636144.809999999</v>
      </c>
      <c r="PK57" s="11">
        <f t="shared" si="38"/>
        <v>38064308.030000001</v>
      </c>
      <c r="PL57" s="11">
        <f t="shared" si="38"/>
        <v>31304953.509999998</v>
      </c>
      <c r="PM57" s="11">
        <f t="shared" si="38"/>
        <v>84443130.319999993</v>
      </c>
      <c r="PN57" s="11">
        <f t="shared" si="38"/>
        <v>88178729.560000002</v>
      </c>
      <c r="PO57" s="11">
        <f t="shared" si="38"/>
        <v>15023772.909999998</v>
      </c>
      <c r="PP57" s="11">
        <f t="shared" si="38"/>
        <v>128909324.52</v>
      </c>
      <c r="PQ57" s="11">
        <f t="shared" si="38"/>
        <v>18597481.109999999</v>
      </c>
      <c r="PR57" s="11">
        <f t="shared" si="38"/>
        <v>31227864.140000001</v>
      </c>
      <c r="PS57" s="11">
        <f t="shared" si="38"/>
        <v>15967278.539999999</v>
      </c>
      <c r="PT57" s="11">
        <f t="shared" si="38"/>
        <v>26815946.809999999</v>
      </c>
      <c r="PU57" s="11">
        <f t="shared" si="38"/>
        <v>529508284.84000003</v>
      </c>
      <c r="PV57" s="11">
        <f t="shared" si="38"/>
        <v>63568837.190000005</v>
      </c>
      <c r="PW57" s="11">
        <f t="shared" si="38"/>
        <v>14982361.789999999</v>
      </c>
      <c r="PX57" s="11">
        <f t="shared" si="38"/>
        <v>105355597.78999999</v>
      </c>
      <c r="PY57" s="11">
        <f t="shared" si="38"/>
        <v>358614571.18000001</v>
      </c>
      <c r="PZ57" s="11">
        <f t="shared" si="38"/>
        <v>45592715.310000002</v>
      </c>
      <c r="QA57" s="11">
        <f t="shared" si="38"/>
        <v>74873598.810000002</v>
      </c>
      <c r="QB57" s="11">
        <f t="shared" si="38"/>
        <v>38559316.18</v>
      </c>
      <c r="QC57" s="11">
        <f t="shared" si="38"/>
        <v>140784578.08000001</v>
      </c>
      <c r="QD57" s="11">
        <f t="shared" si="38"/>
        <v>13141759.68</v>
      </c>
      <c r="QE57" s="11">
        <f t="shared" si="38"/>
        <v>214271759.76000002</v>
      </c>
      <c r="QF57" s="11">
        <f t="shared" si="38"/>
        <v>22341492.52</v>
      </c>
      <c r="QG57" s="11">
        <f t="shared" si="38"/>
        <v>39767763.299999997</v>
      </c>
      <c r="QH57" s="11">
        <f t="shared" si="38"/>
        <v>78666423.030000001</v>
      </c>
      <c r="QI57" s="11">
        <f t="shared" si="38"/>
        <v>18587291.460000001</v>
      </c>
      <c r="QJ57" s="11">
        <f t="shared" si="38"/>
        <v>71402633.340000004</v>
      </c>
      <c r="QK57" s="11">
        <f t="shared" ref="QK57:SV57" si="39">SUM(QK43:QK56)</f>
        <v>26657020.949999999</v>
      </c>
      <c r="QL57" s="11">
        <f t="shared" si="39"/>
        <v>13174686.520000001</v>
      </c>
      <c r="QM57" s="11">
        <f t="shared" si="39"/>
        <v>5018853.47</v>
      </c>
      <c r="QN57" s="11">
        <f t="shared" si="39"/>
        <v>75264117.439999998</v>
      </c>
      <c r="QO57" s="11">
        <f t="shared" si="39"/>
        <v>136231360.71000001</v>
      </c>
      <c r="QP57" s="11">
        <f t="shared" si="39"/>
        <v>18468724.129999999</v>
      </c>
      <c r="QQ57" s="11">
        <f t="shared" si="39"/>
        <v>11300960.729999999</v>
      </c>
      <c r="QR57" s="11">
        <f t="shared" si="39"/>
        <v>4813326.08</v>
      </c>
      <c r="QS57" s="11">
        <f t="shared" si="39"/>
        <v>11621247.520000001</v>
      </c>
      <c r="QT57" s="11">
        <f t="shared" si="39"/>
        <v>26528580.84</v>
      </c>
      <c r="QU57" s="11">
        <f t="shared" si="39"/>
        <v>453256313.68000001</v>
      </c>
      <c r="QV57" s="11">
        <f t="shared" si="39"/>
        <v>22954534.539999999</v>
      </c>
      <c r="QW57" s="11">
        <f t="shared" si="39"/>
        <v>192726981.63999999</v>
      </c>
      <c r="QX57" s="11">
        <f t="shared" si="39"/>
        <v>49520505.909999996</v>
      </c>
      <c r="QY57" s="11">
        <f t="shared" si="39"/>
        <v>34313246.979999997</v>
      </c>
      <c r="QZ57" s="11">
        <f t="shared" si="39"/>
        <v>207923139.81</v>
      </c>
      <c r="RA57" s="11">
        <f t="shared" si="39"/>
        <v>39924680.640000001</v>
      </c>
      <c r="RB57" s="11">
        <f t="shared" si="39"/>
        <v>108748486.27</v>
      </c>
      <c r="RC57" s="11">
        <f t="shared" si="39"/>
        <v>141423339.78</v>
      </c>
      <c r="RD57" s="11">
        <f t="shared" si="39"/>
        <v>28948737.27</v>
      </c>
      <c r="RE57" s="11">
        <f t="shared" si="39"/>
        <v>20193822.210000001</v>
      </c>
      <c r="RF57" s="11">
        <f t="shared" si="39"/>
        <v>69605342.019999996</v>
      </c>
      <c r="RG57" s="11">
        <f t="shared" si="39"/>
        <v>25722496.470000003</v>
      </c>
      <c r="RH57" s="11">
        <f t="shared" si="39"/>
        <v>1250092510.4000001</v>
      </c>
      <c r="RI57" s="11">
        <f t="shared" si="39"/>
        <v>95288254.079999998</v>
      </c>
      <c r="RJ57" s="11">
        <f t="shared" si="39"/>
        <v>30540262.379999999</v>
      </c>
      <c r="RK57" s="11">
        <f t="shared" si="39"/>
        <v>95595894.019999996</v>
      </c>
      <c r="RL57" s="11">
        <f t="shared" si="39"/>
        <v>51841830.829999998</v>
      </c>
      <c r="RM57" s="11">
        <f t="shared" si="39"/>
        <v>66032036.219999999</v>
      </c>
      <c r="RN57" s="11">
        <f t="shared" si="39"/>
        <v>39522984.890000001</v>
      </c>
      <c r="RO57" s="11">
        <f t="shared" si="39"/>
        <v>76329351.339999989</v>
      </c>
      <c r="RP57" s="11">
        <f t="shared" si="39"/>
        <v>76975607.290000007</v>
      </c>
      <c r="RQ57" s="11">
        <f t="shared" si="39"/>
        <v>39668007.589999996</v>
      </c>
      <c r="RR57" s="11">
        <f t="shared" si="39"/>
        <v>172452681.09</v>
      </c>
      <c r="RS57" s="11">
        <f t="shared" si="39"/>
        <v>31286650.630000003</v>
      </c>
      <c r="RT57" s="11">
        <f t="shared" si="39"/>
        <v>25883275.979999997</v>
      </c>
      <c r="RU57" s="11">
        <f t="shared" si="39"/>
        <v>42217420.219999999</v>
      </c>
      <c r="RV57" s="11">
        <f t="shared" si="39"/>
        <v>16456686.67</v>
      </c>
      <c r="RW57" s="11">
        <f t="shared" si="39"/>
        <v>23339258.780000001</v>
      </c>
      <c r="RX57" s="11">
        <f t="shared" si="39"/>
        <v>39954999.479999997</v>
      </c>
      <c r="RY57" s="11">
        <f t="shared" si="39"/>
        <v>55150254.780000001</v>
      </c>
      <c r="RZ57" s="11">
        <f t="shared" si="39"/>
        <v>13367139.060000001</v>
      </c>
      <c r="SA57" s="11">
        <f t="shared" si="39"/>
        <v>35518837.399999999</v>
      </c>
      <c r="SB57" s="11">
        <f t="shared" si="39"/>
        <v>208835856.81999999</v>
      </c>
      <c r="SC57" s="11">
        <f t="shared" si="39"/>
        <v>77677517.260000005</v>
      </c>
      <c r="SD57" s="11">
        <f t="shared" si="39"/>
        <v>42965184.960000001</v>
      </c>
      <c r="SE57" s="11">
        <f t="shared" si="39"/>
        <v>37248341.969999999</v>
      </c>
      <c r="SF57" s="11">
        <f t="shared" si="39"/>
        <v>17272467.469999999</v>
      </c>
      <c r="SG57" s="11">
        <f t="shared" si="39"/>
        <v>28527821.07</v>
      </c>
      <c r="SH57" s="11">
        <f t="shared" si="39"/>
        <v>46131882.240000002</v>
      </c>
      <c r="SI57" s="11">
        <f t="shared" si="39"/>
        <v>40986553.329999998</v>
      </c>
      <c r="SJ57" s="11">
        <f t="shared" si="39"/>
        <v>46788591.699999996</v>
      </c>
      <c r="SK57" s="11">
        <f t="shared" si="39"/>
        <v>52890535.329999998</v>
      </c>
      <c r="SL57" s="11">
        <f t="shared" si="39"/>
        <v>19039597.050000001</v>
      </c>
      <c r="SM57" s="11">
        <f t="shared" si="39"/>
        <v>8270445.7300000004</v>
      </c>
      <c r="SN57" s="11">
        <f t="shared" si="39"/>
        <v>178734198.48999998</v>
      </c>
      <c r="SO57" s="11">
        <f t="shared" si="39"/>
        <v>54619756.25</v>
      </c>
      <c r="SP57" s="11">
        <f t="shared" si="39"/>
        <v>36281991.170000002</v>
      </c>
      <c r="SQ57" s="11">
        <f t="shared" si="39"/>
        <v>57917798.700000003</v>
      </c>
      <c r="SR57" s="11">
        <f t="shared" si="39"/>
        <v>47740348.599999994</v>
      </c>
      <c r="SS57" s="11">
        <f t="shared" si="39"/>
        <v>44962715.930000007</v>
      </c>
      <c r="ST57" s="11">
        <f t="shared" si="39"/>
        <v>63471054.049999997</v>
      </c>
      <c r="SU57" s="11">
        <f t="shared" si="39"/>
        <v>20864708.520000003</v>
      </c>
      <c r="SV57" s="11">
        <f t="shared" si="39"/>
        <v>98608687.170000002</v>
      </c>
      <c r="SW57" s="11">
        <f t="shared" ref="SW57:VH57" si="40">SUM(SW43:SW56)</f>
        <v>37117392.929999992</v>
      </c>
      <c r="SX57" s="11">
        <f t="shared" si="40"/>
        <v>28351179.430000003</v>
      </c>
      <c r="SY57" s="11">
        <f t="shared" si="40"/>
        <v>43435970.140000008</v>
      </c>
      <c r="SZ57" s="11">
        <f t="shared" si="40"/>
        <v>10327617.699999999</v>
      </c>
      <c r="TA57" s="11">
        <f t="shared" si="40"/>
        <v>17854152.989999998</v>
      </c>
      <c r="TB57" s="11">
        <f t="shared" si="40"/>
        <v>23382864.029999997</v>
      </c>
      <c r="TC57" s="11">
        <f t="shared" si="40"/>
        <v>56720856.82</v>
      </c>
      <c r="TD57" s="11">
        <f t="shared" si="40"/>
        <v>13886850.57</v>
      </c>
      <c r="TE57" s="11">
        <f t="shared" si="40"/>
        <v>12005327.02</v>
      </c>
      <c r="TF57" s="11">
        <f t="shared" si="40"/>
        <v>29224405.84</v>
      </c>
      <c r="TG57" s="11">
        <f t="shared" si="40"/>
        <v>38632413.869999997</v>
      </c>
      <c r="TH57" s="11">
        <f t="shared" si="40"/>
        <v>62497292.470000006</v>
      </c>
      <c r="TI57" s="11">
        <f t="shared" si="40"/>
        <v>16565963.35</v>
      </c>
      <c r="TJ57" s="11">
        <f t="shared" si="40"/>
        <v>216349084.27999997</v>
      </c>
      <c r="TK57" s="11">
        <f t="shared" si="40"/>
        <v>65665539.479999997</v>
      </c>
      <c r="TL57" s="11">
        <f t="shared" si="40"/>
        <v>45078238.259999998</v>
      </c>
      <c r="TM57" s="11">
        <f t="shared" si="40"/>
        <v>33574800.880000003</v>
      </c>
      <c r="TN57" s="11">
        <f t="shared" si="40"/>
        <v>35991298.760000005</v>
      </c>
      <c r="TO57" s="11">
        <f t="shared" si="40"/>
        <v>28567898.739999998</v>
      </c>
      <c r="TP57" s="11">
        <f t="shared" si="40"/>
        <v>19395692.84</v>
      </c>
      <c r="TQ57" s="11">
        <f t="shared" si="40"/>
        <v>94769760.950000003</v>
      </c>
      <c r="TR57" s="11">
        <f t="shared" si="40"/>
        <v>41802680.610000007</v>
      </c>
      <c r="TS57" s="11">
        <f t="shared" si="40"/>
        <v>27933570.210000001</v>
      </c>
      <c r="TT57" s="11">
        <f t="shared" si="40"/>
        <v>38688406.290000007</v>
      </c>
      <c r="TU57" s="11">
        <f t="shared" si="40"/>
        <v>41576395.57</v>
      </c>
      <c r="TV57" s="11">
        <f t="shared" si="40"/>
        <v>10638243.9</v>
      </c>
      <c r="TW57" s="11">
        <f t="shared" si="40"/>
        <v>24789395.010000002</v>
      </c>
      <c r="TX57" s="11">
        <f t="shared" si="40"/>
        <v>26877884.77</v>
      </c>
      <c r="TY57" s="11">
        <f t="shared" si="40"/>
        <v>52330542.230000004</v>
      </c>
      <c r="TZ57" s="11">
        <f t="shared" si="40"/>
        <v>153644479.23000002</v>
      </c>
      <c r="UA57" s="11">
        <f t="shared" si="40"/>
        <v>42965244.75999999</v>
      </c>
      <c r="UB57" s="11">
        <f t="shared" si="40"/>
        <v>432153997.53000003</v>
      </c>
      <c r="UC57" s="11">
        <f t="shared" si="40"/>
        <v>38134223.240000002</v>
      </c>
      <c r="UD57" s="11">
        <f t="shared" si="40"/>
        <v>9071588.1199999992</v>
      </c>
      <c r="UE57" s="11">
        <f t="shared" si="40"/>
        <v>16766547.43</v>
      </c>
      <c r="UF57" s="11">
        <f t="shared" si="40"/>
        <v>30750925.34</v>
      </c>
      <c r="UG57" s="11">
        <f t="shared" si="40"/>
        <v>29025192.960000001</v>
      </c>
      <c r="UH57" s="11">
        <f t="shared" si="40"/>
        <v>6632346.9100000001</v>
      </c>
      <c r="UI57" s="11">
        <f t="shared" si="40"/>
        <v>50437313.82</v>
      </c>
      <c r="UJ57" s="11">
        <f t="shared" si="40"/>
        <v>17663273.490000002</v>
      </c>
      <c r="UK57" s="11">
        <f t="shared" si="40"/>
        <v>273254785.05000001</v>
      </c>
      <c r="UL57" s="11">
        <f t="shared" si="40"/>
        <v>56738953.780000001</v>
      </c>
      <c r="UM57" s="11">
        <f t="shared" si="40"/>
        <v>37092751.100000001</v>
      </c>
      <c r="UN57" s="11">
        <f t="shared" si="40"/>
        <v>50885554.790000007</v>
      </c>
      <c r="UO57" s="11">
        <f t="shared" si="40"/>
        <v>51307576.280000001</v>
      </c>
      <c r="UP57" s="11">
        <f t="shared" si="40"/>
        <v>26541646.919999998</v>
      </c>
      <c r="UQ57" s="11">
        <f t="shared" si="40"/>
        <v>1226877767.6699998</v>
      </c>
      <c r="UR57" s="11">
        <f t="shared" si="40"/>
        <v>33890749.32</v>
      </c>
      <c r="US57" s="11">
        <f t="shared" si="40"/>
        <v>28250704.890000001</v>
      </c>
      <c r="UT57" s="11">
        <f t="shared" si="40"/>
        <v>137759472.95000002</v>
      </c>
      <c r="UU57" s="11">
        <f t="shared" si="40"/>
        <v>39930294.770000003</v>
      </c>
      <c r="UV57" s="11">
        <f t="shared" si="40"/>
        <v>14212060.289999999</v>
      </c>
      <c r="UW57" s="11">
        <f t="shared" si="40"/>
        <v>69561628.769999996</v>
      </c>
      <c r="UX57" s="11">
        <f t="shared" si="40"/>
        <v>16314031.380000001</v>
      </c>
      <c r="UY57" s="11">
        <f t="shared" si="40"/>
        <v>8080638.96</v>
      </c>
      <c r="UZ57" s="11">
        <f t="shared" si="40"/>
        <v>50804189.390000001</v>
      </c>
      <c r="VA57" s="11">
        <f t="shared" si="40"/>
        <v>39403927.070000008</v>
      </c>
      <c r="VB57" s="11">
        <f t="shared" si="40"/>
        <v>77308346.519999996</v>
      </c>
      <c r="VC57" s="11">
        <f t="shared" si="40"/>
        <v>79706255.36999999</v>
      </c>
      <c r="VD57" s="11">
        <f t="shared" si="40"/>
        <v>86959459.219999999</v>
      </c>
      <c r="VE57" s="11">
        <f t="shared" si="40"/>
        <v>29359148.439999998</v>
      </c>
      <c r="VF57" s="11">
        <f t="shared" si="40"/>
        <v>21018367.789999999</v>
      </c>
      <c r="VG57" s="11">
        <f t="shared" si="40"/>
        <v>34987907.75</v>
      </c>
      <c r="VH57" s="11">
        <f t="shared" si="40"/>
        <v>26284948.600000001</v>
      </c>
      <c r="VI57" s="11">
        <f t="shared" ref="VI57:XT57" si="41">SUM(VI43:VI56)</f>
        <v>84544325.829999998</v>
      </c>
      <c r="VJ57" s="11">
        <f t="shared" si="41"/>
        <v>5613938.1099999994</v>
      </c>
      <c r="VK57" s="11">
        <f t="shared" si="41"/>
        <v>28803171.539999999</v>
      </c>
      <c r="VL57" s="11">
        <f t="shared" si="41"/>
        <v>21658505.59</v>
      </c>
      <c r="VM57" s="11">
        <f t="shared" si="41"/>
        <v>393741125.33999991</v>
      </c>
      <c r="VN57" s="11">
        <f t="shared" si="41"/>
        <v>39294796.460000001</v>
      </c>
      <c r="VO57" s="11">
        <f t="shared" si="41"/>
        <v>68743246.299999997</v>
      </c>
      <c r="VP57" s="11">
        <f t="shared" si="41"/>
        <v>61405773.859999999</v>
      </c>
      <c r="VQ57" s="11">
        <f t="shared" si="41"/>
        <v>61894699.549999997</v>
      </c>
      <c r="VR57" s="11">
        <f t="shared" si="41"/>
        <v>49503592.219999999</v>
      </c>
      <c r="VS57" s="11">
        <f t="shared" si="41"/>
        <v>41649487.980000004</v>
      </c>
      <c r="VT57" s="11">
        <f t="shared" si="41"/>
        <v>22930309.719999999</v>
      </c>
      <c r="VU57" s="11">
        <f t="shared" si="41"/>
        <v>67488816.390000001</v>
      </c>
      <c r="VV57" s="11">
        <f t="shared" si="41"/>
        <v>177395183.44</v>
      </c>
      <c r="VW57" s="11">
        <f t="shared" si="41"/>
        <v>28124213.940000001</v>
      </c>
      <c r="VX57" s="11">
        <f t="shared" si="41"/>
        <v>136416048.68000001</v>
      </c>
      <c r="VY57" s="11">
        <f t="shared" si="41"/>
        <v>54214155.090000004</v>
      </c>
      <c r="VZ57" s="11">
        <f t="shared" si="41"/>
        <v>63604723.359999999</v>
      </c>
      <c r="WA57" s="11">
        <f t="shared" si="41"/>
        <v>16917250.899999999</v>
      </c>
      <c r="WB57" s="11">
        <f t="shared" si="41"/>
        <v>3253330040.0599995</v>
      </c>
      <c r="WC57" s="11">
        <f t="shared" si="41"/>
        <v>70594437.370000005</v>
      </c>
      <c r="WD57" s="11">
        <f t="shared" si="41"/>
        <v>98012996.469999999</v>
      </c>
      <c r="WE57" s="11">
        <f t="shared" si="41"/>
        <v>99252579.590000004</v>
      </c>
      <c r="WF57" s="11">
        <f t="shared" si="41"/>
        <v>44641993.960000001</v>
      </c>
      <c r="WG57" s="11">
        <f t="shared" si="41"/>
        <v>33261938.040000003</v>
      </c>
      <c r="WH57" s="11">
        <f t="shared" si="41"/>
        <v>77477341.120000005</v>
      </c>
      <c r="WI57" s="11">
        <f t="shared" si="41"/>
        <v>88574496.189999998</v>
      </c>
      <c r="WJ57" s="11">
        <f t="shared" si="41"/>
        <v>81179786.739999995</v>
      </c>
      <c r="WK57" s="11">
        <f t="shared" si="41"/>
        <v>88624476.810000017</v>
      </c>
      <c r="WL57" s="11">
        <f t="shared" si="41"/>
        <v>22696797.400000002</v>
      </c>
      <c r="WM57" s="11">
        <f t="shared" si="41"/>
        <v>48573316.450000003</v>
      </c>
      <c r="WN57" s="11">
        <f t="shared" si="41"/>
        <v>80023839.570000008</v>
      </c>
      <c r="WO57" s="11">
        <f t="shared" si="41"/>
        <v>75224712.969999999</v>
      </c>
      <c r="WP57" s="11">
        <f t="shared" si="41"/>
        <v>100181498.73999999</v>
      </c>
      <c r="WQ57" s="11">
        <f t="shared" si="41"/>
        <v>86011908.350000009</v>
      </c>
      <c r="WR57" s="11">
        <f t="shared" si="41"/>
        <v>48780190.160000004</v>
      </c>
      <c r="WS57" s="11">
        <f t="shared" si="41"/>
        <v>119253244.69</v>
      </c>
      <c r="WT57" s="11">
        <f t="shared" si="41"/>
        <v>31079700.609999999</v>
      </c>
      <c r="WU57" s="11">
        <f t="shared" si="41"/>
        <v>94588994.680000007</v>
      </c>
      <c r="WV57" s="11">
        <f t="shared" si="41"/>
        <v>198918298.14000002</v>
      </c>
      <c r="WW57" s="11">
        <f t="shared" si="41"/>
        <v>40805199.010000005</v>
      </c>
      <c r="WX57" s="11">
        <f t="shared" si="41"/>
        <v>50272676.170000002</v>
      </c>
      <c r="WY57" s="11">
        <f t="shared" si="41"/>
        <v>26731446.880000003</v>
      </c>
      <c r="WZ57" s="11">
        <f t="shared" si="41"/>
        <v>56938857.189999998</v>
      </c>
      <c r="XA57" s="11">
        <f t="shared" si="41"/>
        <v>19890708.890000001</v>
      </c>
      <c r="XB57" s="11">
        <f t="shared" si="41"/>
        <v>15995337.48</v>
      </c>
      <c r="XC57" s="11">
        <f t="shared" si="41"/>
        <v>45394624.280000001</v>
      </c>
      <c r="XD57" s="11">
        <f t="shared" si="41"/>
        <v>278578596.27999997</v>
      </c>
      <c r="XE57" s="11">
        <f t="shared" si="41"/>
        <v>17141693.145</v>
      </c>
      <c r="XF57" s="11">
        <f t="shared" si="41"/>
        <v>42146730.089999996</v>
      </c>
      <c r="XG57" s="11">
        <f t="shared" si="41"/>
        <v>25315143.350000001</v>
      </c>
      <c r="XH57" s="11">
        <f t="shared" si="41"/>
        <v>19158691.57</v>
      </c>
      <c r="XI57" s="11">
        <f t="shared" si="41"/>
        <v>1141696532.4199998</v>
      </c>
      <c r="XJ57" s="11">
        <f t="shared" si="41"/>
        <v>110165096.68000001</v>
      </c>
      <c r="XK57" s="11">
        <f t="shared" si="41"/>
        <v>151544366.63</v>
      </c>
      <c r="XL57" s="11">
        <f t="shared" si="41"/>
        <v>193503765.82000002</v>
      </c>
      <c r="XM57" s="11">
        <f t="shared" si="41"/>
        <v>81462102.319999993</v>
      </c>
      <c r="XN57" s="11">
        <f t="shared" si="41"/>
        <v>81992083.510000005</v>
      </c>
      <c r="XO57" s="11">
        <f t="shared" si="41"/>
        <v>186804173.37</v>
      </c>
      <c r="XP57" s="11">
        <f t="shared" si="41"/>
        <v>155820757.58000001</v>
      </c>
      <c r="XQ57" s="11">
        <f t="shared" si="41"/>
        <v>46393932.379999995</v>
      </c>
      <c r="XR57" s="11">
        <f t="shared" si="41"/>
        <v>165898939.17999998</v>
      </c>
      <c r="XS57" s="11">
        <f t="shared" si="41"/>
        <v>133889115.82000001</v>
      </c>
      <c r="XT57" s="11">
        <f t="shared" si="41"/>
        <v>49320827.640000001</v>
      </c>
      <c r="XU57" s="11">
        <f t="shared" ref="XU57:AAF57" si="42">SUM(XU43:XU56)</f>
        <v>58867114.859999999</v>
      </c>
      <c r="XV57" s="11">
        <f t="shared" si="42"/>
        <v>85152432.620000005</v>
      </c>
      <c r="XW57" s="11">
        <f t="shared" si="42"/>
        <v>94612743.579999983</v>
      </c>
      <c r="XX57" s="11">
        <f t="shared" si="42"/>
        <v>17856971.930000003</v>
      </c>
      <c r="XY57" s="11">
        <f t="shared" si="42"/>
        <v>33774159.340000004</v>
      </c>
      <c r="XZ57" s="11">
        <f t="shared" si="42"/>
        <v>47711403.130000003</v>
      </c>
      <c r="YA57" s="11">
        <f t="shared" si="42"/>
        <v>35781902.109999999</v>
      </c>
      <c r="YB57" s="11">
        <f t="shared" si="42"/>
        <v>47149179.979999997</v>
      </c>
      <c r="YC57" s="11">
        <f t="shared" si="42"/>
        <v>53352986.299999997</v>
      </c>
      <c r="YD57" s="11">
        <f t="shared" si="42"/>
        <v>94644474.400000006</v>
      </c>
      <c r="YE57" s="11">
        <f t="shared" si="42"/>
        <v>69793976.249999985</v>
      </c>
      <c r="YF57" s="11">
        <f t="shared" si="42"/>
        <v>1043859458.5700001</v>
      </c>
      <c r="YG57" s="11">
        <f t="shared" si="42"/>
        <v>128821787.15000001</v>
      </c>
      <c r="YH57" s="11">
        <f t="shared" si="42"/>
        <v>163499761.33000001</v>
      </c>
      <c r="YI57" s="11">
        <f t="shared" si="42"/>
        <v>111643158.23</v>
      </c>
      <c r="YJ57" s="11">
        <f t="shared" si="42"/>
        <v>416182417.52000004</v>
      </c>
      <c r="YK57" s="11">
        <f t="shared" si="42"/>
        <v>91639973.519999996</v>
      </c>
      <c r="YL57" s="11">
        <f t="shared" si="42"/>
        <v>154701097.69</v>
      </c>
      <c r="YM57" s="11">
        <f t="shared" si="42"/>
        <v>59975667.240000002</v>
      </c>
      <c r="YN57" s="11">
        <f t="shared" si="42"/>
        <v>102847695.61999999</v>
      </c>
      <c r="YO57" s="11">
        <f t="shared" si="42"/>
        <v>137751663.90000004</v>
      </c>
      <c r="YP57" s="11">
        <f t="shared" si="42"/>
        <v>81183875.75</v>
      </c>
      <c r="YQ57" s="11">
        <f t="shared" si="42"/>
        <v>92399767.840000004</v>
      </c>
      <c r="YR57" s="11">
        <f t="shared" si="42"/>
        <v>65434460.269999996</v>
      </c>
      <c r="YS57" s="11">
        <f t="shared" si="42"/>
        <v>66337885.119999997</v>
      </c>
      <c r="YT57" s="11">
        <f t="shared" si="42"/>
        <v>109095837.77</v>
      </c>
      <c r="YU57" s="11">
        <f t="shared" si="42"/>
        <v>137250457.35999998</v>
      </c>
      <c r="YV57" s="11">
        <f t="shared" si="42"/>
        <v>76930686.719999999</v>
      </c>
      <c r="YW57" s="11">
        <f t="shared" si="42"/>
        <v>215410547.25999999</v>
      </c>
      <c r="YX57" s="11">
        <f t="shared" si="42"/>
        <v>34818621.809999995</v>
      </c>
      <c r="YY57" s="11">
        <f t="shared" si="42"/>
        <v>44129153.390000001</v>
      </c>
      <c r="YZ57" s="11">
        <f t="shared" si="42"/>
        <v>42395735.130000003</v>
      </c>
      <c r="ZA57" s="11">
        <f t="shared" si="42"/>
        <v>19977691.379999999</v>
      </c>
      <c r="ZB57" s="11">
        <f t="shared" si="42"/>
        <v>24778455.620000001</v>
      </c>
      <c r="ZC57" s="11">
        <f t="shared" si="42"/>
        <v>32608380.989999998</v>
      </c>
      <c r="ZD57" s="11">
        <f t="shared" si="42"/>
        <v>311842996.38000005</v>
      </c>
      <c r="ZE57" s="11">
        <f t="shared" si="42"/>
        <v>32177751.760000002</v>
      </c>
      <c r="ZF57" s="11">
        <f t="shared" si="42"/>
        <v>75204860.370000005</v>
      </c>
      <c r="ZG57" s="11">
        <f t="shared" si="42"/>
        <v>38735030.390000001</v>
      </c>
      <c r="ZH57" s="11">
        <f t="shared" si="42"/>
        <v>56801611.510000005</v>
      </c>
      <c r="ZI57" s="11">
        <f t="shared" si="42"/>
        <v>36438898.759999998</v>
      </c>
      <c r="ZJ57" s="11">
        <f t="shared" si="42"/>
        <v>38595219.210000001</v>
      </c>
      <c r="ZK57" s="11">
        <f t="shared" si="42"/>
        <v>31011717.02</v>
      </c>
      <c r="ZL57" s="11">
        <f t="shared" si="42"/>
        <v>94982353.320000008</v>
      </c>
      <c r="ZM57" s="11">
        <f t="shared" si="42"/>
        <v>464535276.51999998</v>
      </c>
      <c r="ZN57" s="11">
        <f t="shared" si="42"/>
        <v>38106701.520000003</v>
      </c>
      <c r="ZO57" s="11">
        <f t="shared" si="42"/>
        <v>81385644.487000003</v>
      </c>
      <c r="ZP57" s="11">
        <f t="shared" si="42"/>
        <v>424576899.65000004</v>
      </c>
      <c r="ZQ57" s="11">
        <f t="shared" si="42"/>
        <v>172042568.99000001</v>
      </c>
      <c r="ZR57" s="11">
        <f t="shared" si="42"/>
        <v>69396734.847000003</v>
      </c>
      <c r="ZS57" s="11">
        <f t="shared" si="42"/>
        <v>57502762.460000001</v>
      </c>
      <c r="ZT57" s="11">
        <f t="shared" si="42"/>
        <v>195167187.09999999</v>
      </c>
      <c r="ZU57" s="11">
        <f t="shared" si="42"/>
        <v>375494126.75</v>
      </c>
      <c r="ZV57" s="11">
        <f t="shared" si="42"/>
        <v>66928200.18</v>
      </c>
      <c r="ZW57" s="11">
        <f t="shared" si="42"/>
        <v>55175250.43</v>
      </c>
      <c r="ZX57" s="11">
        <f t="shared" si="42"/>
        <v>65008457.310000002</v>
      </c>
      <c r="ZY57" s="11">
        <f t="shared" si="42"/>
        <v>37034430.350000001</v>
      </c>
      <c r="ZZ57" s="11">
        <f t="shared" si="42"/>
        <v>118309327.65000001</v>
      </c>
      <c r="AAA57" s="11">
        <f t="shared" si="42"/>
        <v>30252318.900000002</v>
      </c>
      <c r="AAB57" s="11">
        <f t="shared" si="42"/>
        <v>53755229.160000004</v>
      </c>
      <c r="AAC57" s="11">
        <f t="shared" si="42"/>
        <v>64382087.859999999</v>
      </c>
      <c r="AAD57" s="11">
        <f t="shared" si="42"/>
        <v>48134953.029999994</v>
      </c>
      <c r="AAE57" s="11">
        <f t="shared" si="42"/>
        <v>87157032.320000008</v>
      </c>
      <c r="AAF57" s="11">
        <f t="shared" si="42"/>
        <v>82808590.120000005</v>
      </c>
      <c r="AAG57" s="11">
        <f t="shared" ref="AAG57:ACR57" si="43">SUM(AAG43:AAG56)</f>
        <v>26814802.009999998</v>
      </c>
      <c r="AAH57" s="11">
        <f t="shared" si="43"/>
        <v>35415819.859999999</v>
      </c>
      <c r="AAI57" s="11">
        <f t="shared" si="43"/>
        <v>177059363.02000004</v>
      </c>
      <c r="AAJ57" s="11">
        <f t="shared" si="43"/>
        <v>31929929.120000001</v>
      </c>
      <c r="AAK57" s="11">
        <f t="shared" si="43"/>
        <v>32612346.629999999</v>
      </c>
      <c r="AAL57" s="11">
        <f t="shared" si="43"/>
        <v>11166641.559999999</v>
      </c>
      <c r="AAM57" s="11">
        <f t="shared" si="43"/>
        <v>27459128.330000002</v>
      </c>
      <c r="AAN57" s="11">
        <f t="shared" si="43"/>
        <v>24605696</v>
      </c>
      <c r="AAO57" s="11">
        <f t="shared" si="43"/>
        <v>20985551.440000001</v>
      </c>
      <c r="AAP57" s="11">
        <f t="shared" si="43"/>
        <v>1422528462.96</v>
      </c>
      <c r="AAQ57" s="11">
        <f t="shared" si="43"/>
        <v>35045858.359999999</v>
      </c>
      <c r="AAR57" s="11">
        <f t="shared" si="43"/>
        <v>59848179.769999996</v>
      </c>
      <c r="AAS57" s="11">
        <f t="shared" si="43"/>
        <v>210368169.72999999</v>
      </c>
      <c r="AAT57" s="11">
        <f t="shared" si="43"/>
        <v>64077296.439999998</v>
      </c>
      <c r="AAU57" s="11">
        <f t="shared" si="43"/>
        <v>91106501.069999993</v>
      </c>
      <c r="AAV57" s="11">
        <f t="shared" si="43"/>
        <v>38450008.809999995</v>
      </c>
      <c r="AAW57" s="11">
        <f t="shared" si="43"/>
        <v>102935826.35999998</v>
      </c>
      <c r="AAX57" s="11">
        <f t="shared" si="43"/>
        <v>143226274.09999999</v>
      </c>
      <c r="AAY57" s="11">
        <f t="shared" si="43"/>
        <v>39920246.919999994</v>
      </c>
      <c r="AAZ57" s="11">
        <f t="shared" si="43"/>
        <v>71240332.859999999</v>
      </c>
      <c r="ABA57" s="11">
        <f t="shared" si="43"/>
        <v>162467973.81</v>
      </c>
      <c r="ABB57" s="11">
        <f t="shared" si="43"/>
        <v>96187212.699999988</v>
      </c>
      <c r="ABC57" s="11">
        <f t="shared" si="43"/>
        <v>17757160.07</v>
      </c>
      <c r="ABD57" s="11">
        <f t="shared" si="43"/>
        <v>23616416.599999998</v>
      </c>
      <c r="ABE57" s="11">
        <f t="shared" si="43"/>
        <v>41991664.410000004</v>
      </c>
      <c r="ABF57" s="11">
        <f t="shared" si="43"/>
        <v>44471250.940000005</v>
      </c>
      <c r="ABG57" s="11">
        <f t="shared" si="43"/>
        <v>75590069.739999995</v>
      </c>
      <c r="ABH57" s="11">
        <f t="shared" si="43"/>
        <v>36611185.920000002</v>
      </c>
      <c r="ABI57" s="11">
        <f t="shared" si="43"/>
        <v>179921311.74000001</v>
      </c>
      <c r="ABJ57" s="11">
        <f t="shared" si="43"/>
        <v>140473155.38</v>
      </c>
      <c r="ABK57" s="11">
        <f t="shared" si="43"/>
        <v>58422402.789999999</v>
      </c>
      <c r="ABL57" s="11">
        <f t="shared" si="43"/>
        <v>34758716.880000003</v>
      </c>
      <c r="ABM57" s="11">
        <f t="shared" si="43"/>
        <v>28052372.93</v>
      </c>
      <c r="ABN57" s="11">
        <f t="shared" si="43"/>
        <v>47850140.529999994</v>
      </c>
      <c r="ABO57" s="11">
        <f t="shared" si="43"/>
        <v>34450042.629999995</v>
      </c>
      <c r="ABP57" s="11">
        <f t="shared" si="43"/>
        <v>419257544.75</v>
      </c>
      <c r="ABQ57" s="11">
        <f t="shared" si="43"/>
        <v>97070364.030000001</v>
      </c>
      <c r="ABR57" s="11">
        <f t="shared" si="43"/>
        <v>50485356.649999991</v>
      </c>
      <c r="ABS57" s="11">
        <f t="shared" si="43"/>
        <v>165917867.26999998</v>
      </c>
      <c r="ABT57" s="11">
        <f t="shared" si="43"/>
        <v>128898266.58</v>
      </c>
      <c r="ABU57" s="11">
        <f t="shared" si="43"/>
        <v>118310945.83</v>
      </c>
      <c r="ABV57" s="11">
        <f t="shared" si="43"/>
        <v>27244892.760000002</v>
      </c>
      <c r="ABW57" s="11">
        <f t="shared" si="43"/>
        <v>58354570.899999991</v>
      </c>
      <c r="ABX57" s="11">
        <f t="shared" si="43"/>
        <v>43796219.939999998</v>
      </c>
      <c r="ABY57" s="11">
        <f t="shared" si="43"/>
        <v>259268137.23999998</v>
      </c>
      <c r="ABZ57" s="11">
        <f t="shared" si="43"/>
        <v>46881240.179999992</v>
      </c>
      <c r="ACA57" s="11">
        <f t="shared" si="43"/>
        <v>83745506.88000001</v>
      </c>
      <c r="ACB57" s="11">
        <f t="shared" si="43"/>
        <v>34933831.210000001</v>
      </c>
      <c r="ACC57" s="11">
        <f t="shared" si="43"/>
        <v>27383180.18</v>
      </c>
      <c r="ACD57" s="11">
        <f t="shared" si="43"/>
        <v>108506107.95999999</v>
      </c>
      <c r="ACE57" s="11">
        <f t="shared" si="43"/>
        <v>6908634.75</v>
      </c>
      <c r="ACF57" s="11">
        <f t="shared" si="43"/>
        <v>11985552.590000002</v>
      </c>
      <c r="ACG57" s="11">
        <f t="shared" si="43"/>
        <v>27689655.639999997</v>
      </c>
      <c r="ACH57" s="11">
        <f t="shared" si="43"/>
        <v>42623123.969999999</v>
      </c>
      <c r="ACI57" s="11">
        <f t="shared" si="43"/>
        <v>31579330.359999999</v>
      </c>
      <c r="ACJ57" s="11">
        <f t="shared" si="43"/>
        <v>660103163.88999999</v>
      </c>
      <c r="ACK57" s="11">
        <f t="shared" si="43"/>
        <v>48303567.050000004</v>
      </c>
      <c r="ACL57" s="11">
        <f t="shared" si="43"/>
        <v>22726587.419999998</v>
      </c>
      <c r="ACM57" s="11">
        <f t="shared" si="43"/>
        <v>119807680.73</v>
      </c>
      <c r="ACN57" s="11">
        <f t="shared" si="43"/>
        <v>23807594.600000001</v>
      </c>
      <c r="ACO57" s="11">
        <f t="shared" si="43"/>
        <v>36900681.439999998</v>
      </c>
      <c r="ACP57" s="11">
        <f t="shared" si="43"/>
        <v>62364646.799999997</v>
      </c>
      <c r="ACQ57" s="11">
        <f t="shared" si="43"/>
        <v>373572097.40999997</v>
      </c>
      <c r="ACR57" s="11">
        <f t="shared" si="43"/>
        <v>380955138.36000001</v>
      </c>
      <c r="ACS57" s="11">
        <f t="shared" ref="ACS57:AFD57" si="44">SUM(ACS43:ACS56)</f>
        <v>40759714.899999999</v>
      </c>
      <c r="ACT57" s="11">
        <f t="shared" si="44"/>
        <v>69182637.159999996</v>
      </c>
      <c r="ACU57" s="11">
        <f t="shared" si="44"/>
        <v>87382541.929999992</v>
      </c>
      <c r="ACV57" s="11">
        <f t="shared" si="44"/>
        <v>87864974.620000005</v>
      </c>
      <c r="ACW57" s="11">
        <f t="shared" si="44"/>
        <v>655560504.29999995</v>
      </c>
      <c r="ACX57" s="11">
        <f t="shared" si="44"/>
        <v>20520573.890000001</v>
      </c>
      <c r="ACY57" s="11">
        <f t="shared" si="44"/>
        <v>56321769.780000001</v>
      </c>
      <c r="ACZ57" s="11">
        <f t="shared" si="44"/>
        <v>88679536.019999996</v>
      </c>
      <c r="ADA57" s="11">
        <f t="shared" si="44"/>
        <v>21732867.84</v>
      </c>
      <c r="ADB57" s="11">
        <f t="shared" si="44"/>
        <v>20501295.309999999</v>
      </c>
      <c r="ADC57" s="11">
        <f t="shared" si="44"/>
        <v>18351044.949999999</v>
      </c>
      <c r="ADD57" s="11">
        <f t="shared" si="44"/>
        <v>26168204.279999997</v>
      </c>
      <c r="ADE57" s="11">
        <f t="shared" si="44"/>
        <v>33380704.850000001</v>
      </c>
      <c r="ADF57" s="11">
        <f t="shared" si="44"/>
        <v>72597801.790000007</v>
      </c>
      <c r="ADG57" s="11">
        <f t="shared" si="44"/>
        <v>70521248.180000007</v>
      </c>
      <c r="ADH57" s="11">
        <f t="shared" si="44"/>
        <v>77643433.150000006</v>
      </c>
      <c r="ADI57" s="11">
        <f t="shared" si="44"/>
        <v>30548685.91</v>
      </c>
      <c r="ADJ57" s="11">
        <f t="shared" si="44"/>
        <v>18599756.710000001</v>
      </c>
      <c r="ADK57" s="11">
        <f t="shared" si="44"/>
        <v>27336152.170000002</v>
      </c>
      <c r="ADL57" s="11">
        <f t="shared" si="44"/>
        <v>17017040.670000002</v>
      </c>
      <c r="ADM57" s="11">
        <f t="shared" si="44"/>
        <v>53002978.130000003</v>
      </c>
      <c r="ADN57" s="11">
        <f t="shared" si="44"/>
        <v>31697194.700000003</v>
      </c>
      <c r="ADO57" s="11">
        <f t="shared" si="44"/>
        <v>43086862.439999998</v>
      </c>
      <c r="ADP57" s="11">
        <f t="shared" si="44"/>
        <v>732020311.38</v>
      </c>
      <c r="ADQ57" s="11">
        <f t="shared" si="44"/>
        <v>179162658.20999998</v>
      </c>
      <c r="ADR57" s="11">
        <f t="shared" si="44"/>
        <v>97942902.650000006</v>
      </c>
      <c r="ADS57" s="11">
        <f t="shared" si="44"/>
        <v>52697493.400000006</v>
      </c>
      <c r="ADT57" s="11">
        <f t="shared" si="44"/>
        <v>130177971.75999999</v>
      </c>
      <c r="ADU57" s="11">
        <f t="shared" si="44"/>
        <v>4232749.38</v>
      </c>
      <c r="ADV57" s="11">
        <f t="shared" si="44"/>
        <v>21086007.729999997</v>
      </c>
      <c r="ADW57" s="11">
        <f t="shared" si="44"/>
        <v>40480627.420000002</v>
      </c>
      <c r="ADX57" s="11">
        <f t="shared" si="44"/>
        <v>3653138.19</v>
      </c>
      <c r="ADY57" s="11">
        <f t="shared" si="44"/>
        <v>14568836.9</v>
      </c>
      <c r="ADZ57" s="11">
        <f t="shared" si="44"/>
        <v>717206798.14999998</v>
      </c>
      <c r="AEA57" s="11">
        <f t="shared" si="44"/>
        <v>224423617.24000001</v>
      </c>
      <c r="AEB57" s="11">
        <f t="shared" si="44"/>
        <v>50589629.689999998</v>
      </c>
      <c r="AEC57" s="11">
        <f t="shared" si="44"/>
        <v>54768064.289999999</v>
      </c>
      <c r="AED57" s="11">
        <f t="shared" si="44"/>
        <v>40680028.799999997</v>
      </c>
      <c r="AEE57" s="11">
        <f t="shared" si="44"/>
        <v>90757944.819999993</v>
      </c>
      <c r="AEF57" s="11">
        <f t="shared" si="44"/>
        <v>51646056.75</v>
      </c>
      <c r="AEG57" s="11">
        <f t="shared" si="44"/>
        <v>14238631.91</v>
      </c>
      <c r="AEH57" s="11">
        <f t="shared" si="44"/>
        <v>17324420.010000002</v>
      </c>
      <c r="AEI57" s="11">
        <f t="shared" si="44"/>
        <v>62193523.990000002</v>
      </c>
      <c r="AEJ57" s="11">
        <f t="shared" si="44"/>
        <v>41342203.370000005</v>
      </c>
      <c r="AEK57" s="11">
        <f t="shared" si="44"/>
        <v>152282634.01999998</v>
      </c>
      <c r="AEL57" s="11">
        <f t="shared" si="44"/>
        <v>31351103.130000003</v>
      </c>
      <c r="AEM57" s="11">
        <f t="shared" si="44"/>
        <v>19691652.530000001</v>
      </c>
      <c r="AEN57" s="11">
        <f t="shared" si="44"/>
        <v>56707110.32</v>
      </c>
      <c r="AEO57" s="11">
        <f t="shared" si="44"/>
        <v>75650603.099999994</v>
      </c>
      <c r="AEP57" s="11">
        <f t="shared" si="44"/>
        <v>29605452.57</v>
      </c>
      <c r="AEQ57" s="11">
        <f t="shared" si="44"/>
        <v>58531886.609999999</v>
      </c>
      <c r="AER57" s="11">
        <f t="shared" si="44"/>
        <v>13462959.690000001</v>
      </c>
      <c r="AES57" s="11">
        <f t="shared" si="44"/>
        <v>46337211.379999995</v>
      </c>
      <c r="AET57" s="11">
        <f t="shared" si="44"/>
        <v>659676067.30999994</v>
      </c>
      <c r="AEU57" s="11">
        <f t="shared" si="44"/>
        <v>97222697.979999989</v>
      </c>
      <c r="AEV57" s="11">
        <f t="shared" si="44"/>
        <v>126059549.18000001</v>
      </c>
      <c r="AEW57" s="11">
        <f t="shared" si="44"/>
        <v>39323392.999999993</v>
      </c>
      <c r="AEX57" s="11">
        <f t="shared" si="44"/>
        <v>32581040.289999999</v>
      </c>
      <c r="AEY57" s="11">
        <f t="shared" si="44"/>
        <v>63779837.720000006</v>
      </c>
      <c r="AEZ57" s="11">
        <f t="shared" si="44"/>
        <v>37147634.060000002</v>
      </c>
      <c r="AFA57" s="11">
        <f t="shared" si="44"/>
        <v>35711796.640000008</v>
      </c>
      <c r="AFB57" s="11">
        <f t="shared" si="44"/>
        <v>20738827.169999998</v>
      </c>
      <c r="AFC57" s="11">
        <f t="shared" si="44"/>
        <v>18563262.629999999</v>
      </c>
      <c r="AFD57" s="11">
        <f t="shared" si="44"/>
        <v>523813730.80000001</v>
      </c>
      <c r="AFE57" s="11">
        <f t="shared" ref="AFE57:AHP57" si="45">SUM(AFE43:AFE56)</f>
        <v>264378969.34</v>
      </c>
      <c r="AFF57" s="11">
        <f t="shared" si="45"/>
        <v>101453129.11</v>
      </c>
      <c r="AFG57" s="11">
        <f t="shared" si="45"/>
        <v>73910148.409999996</v>
      </c>
      <c r="AFH57" s="11">
        <f t="shared" si="45"/>
        <v>229092302.59</v>
      </c>
      <c r="AFI57" s="11">
        <f t="shared" si="45"/>
        <v>106603986.73</v>
      </c>
      <c r="AFJ57" s="11">
        <f t="shared" si="45"/>
        <v>50952847.969999999</v>
      </c>
      <c r="AFK57" s="11">
        <f t="shared" si="45"/>
        <v>45860571.909999996</v>
      </c>
      <c r="AFL57" s="11">
        <f t="shared" si="45"/>
        <v>66563380.770000003</v>
      </c>
      <c r="AFM57" s="11">
        <f t="shared" si="45"/>
        <v>69456640.789999992</v>
      </c>
      <c r="AFN57" s="11">
        <f t="shared" si="45"/>
        <v>48741075.769999996</v>
      </c>
      <c r="AFO57" s="11">
        <f t="shared" si="45"/>
        <v>63157020.239999995</v>
      </c>
      <c r="AFP57" s="11">
        <f t="shared" si="45"/>
        <v>62391311.600000009</v>
      </c>
      <c r="AFQ57" s="11">
        <f t="shared" si="45"/>
        <v>840213873.70999992</v>
      </c>
      <c r="AFR57" s="11">
        <f t="shared" si="45"/>
        <v>96180899.86999999</v>
      </c>
      <c r="AFS57" s="11">
        <f t="shared" si="45"/>
        <v>146079126.41000003</v>
      </c>
      <c r="AFT57" s="11">
        <f t="shared" si="45"/>
        <v>65288894.500000007</v>
      </c>
      <c r="AFU57" s="11">
        <f t="shared" si="45"/>
        <v>88412659.879999995</v>
      </c>
      <c r="AFV57" s="11">
        <f t="shared" si="45"/>
        <v>76313349.960000008</v>
      </c>
      <c r="AFW57" s="11">
        <f t="shared" si="45"/>
        <v>50921050.899999999</v>
      </c>
      <c r="AFX57" s="11">
        <f t="shared" si="45"/>
        <v>174550199.78000003</v>
      </c>
      <c r="AFY57" s="11">
        <f t="shared" si="45"/>
        <v>88123284.430000007</v>
      </c>
      <c r="AFZ57" s="11">
        <f t="shared" si="45"/>
        <v>45535356.550000004</v>
      </c>
      <c r="AGA57" s="11">
        <f t="shared" si="45"/>
        <v>238130916.98000002</v>
      </c>
      <c r="AGB57" s="11">
        <f t="shared" si="45"/>
        <v>64127992.949999996</v>
      </c>
      <c r="AGC57" s="11">
        <f t="shared" si="45"/>
        <v>532018149.03000003</v>
      </c>
      <c r="AGD57" s="11">
        <f t="shared" si="45"/>
        <v>122087752.18000001</v>
      </c>
      <c r="AGE57" s="11">
        <f t="shared" si="45"/>
        <v>46112213.979999997</v>
      </c>
      <c r="AGF57" s="11">
        <f t="shared" si="45"/>
        <v>75783274.120000005</v>
      </c>
      <c r="AGG57" s="11">
        <f t="shared" si="45"/>
        <v>133201451.19</v>
      </c>
      <c r="AGH57" s="11">
        <f t="shared" si="45"/>
        <v>55273388.520000003</v>
      </c>
      <c r="AGI57" s="11">
        <f t="shared" si="45"/>
        <v>47586199.810000002</v>
      </c>
      <c r="AGJ57" s="11">
        <f t="shared" si="45"/>
        <v>67169535.480000004</v>
      </c>
      <c r="AGK57" s="11">
        <f t="shared" si="45"/>
        <v>35729368.579999998</v>
      </c>
      <c r="AGL57" s="11">
        <f t="shared" si="45"/>
        <v>46584985.080000006</v>
      </c>
      <c r="AGM57" s="11">
        <f t="shared" si="45"/>
        <v>34395457.25</v>
      </c>
      <c r="AGN57" s="11">
        <f t="shared" si="45"/>
        <v>1057020893.37</v>
      </c>
      <c r="AGO57" s="11">
        <f t="shared" si="45"/>
        <v>146532769.60999998</v>
      </c>
      <c r="AGP57" s="11">
        <f t="shared" si="45"/>
        <v>222957875.39000002</v>
      </c>
      <c r="AGQ57" s="11">
        <f t="shared" si="45"/>
        <v>60814412.460000008</v>
      </c>
      <c r="AGR57" s="11">
        <f t="shared" si="45"/>
        <v>204689063.04999998</v>
      </c>
      <c r="AGS57" s="11">
        <f t="shared" si="45"/>
        <v>138720167.08000001</v>
      </c>
      <c r="AGT57" s="11">
        <f t="shared" si="45"/>
        <v>31653911.140000001</v>
      </c>
      <c r="AGU57" s="11">
        <f t="shared" si="45"/>
        <v>80127113.560000002</v>
      </c>
      <c r="AGV57" s="11">
        <f t="shared" si="45"/>
        <v>832949985.17999995</v>
      </c>
      <c r="AGW57" s="11">
        <f t="shared" si="45"/>
        <v>741765500.48000002</v>
      </c>
      <c r="AGX57" s="11">
        <f t="shared" si="45"/>
        <v>33198018.82</v>
      </c>
      <c r="AGY57" s="11">
        <f t="shared" si="45"/>
        <v>291479400.57000005</v>
      </c>
      <c r="AGZ57" s="11">
        <f t="shared" si="45"/>
        <v>204166293.75</v>
      </c>
      <c r="AHA57" s="11">
        <f t="shared" si="45"/>
        <v>180595976.63</v>
      </c>
      <c r="AHB57" s="11">
        <f t="shared" si="45"/>
        <v>53858062.989999995</v>
      </c>
      <c r="AHC57" s="11">
        <f t="shared" si="45"/>
        <v>56412337.969999999</v>
      </c>
      <c r="AHD57" s="11">
        <f t="shared" si="45"/>
        <v>25198166.190000001</v>
      </c>
      <c r="AHE57" s="11">
        <f t="shared" si="45"/>
        <v>122105399.67</v>
      </c>
      <c r="AHF57" s="11">
        <f t="shared" si="45"/>
        <v>209369469.00999996</v>
      </c>
      <c r="AHG57" s="11">
        <f t="shared" si="45"/>
        <v>101845385.61999999</v>
      </c>
      <c r="AHH57" s="11">
        <f t="shared" si="45"/>
        <v>54093289.880000003</v>
      </c>
      <c r="AHI57" s="11">
        <f t="shared" si="45"/>
        <v>82215273.109999999</v>
      </c>
      <c r="AHJ57" s="11">
        <f t="shared" si="45"/>
        <v>48327131.150000006</v>
      </c>
      <c r="AHK57" s="11">
        <f t="shared" si="45"/>
        <v>63434201.609999999</v>
      </c>
      <c r="AHL57" s="11">
        <f t="shared" si="45"/>
        <v>34036002.079999998</v>
      </c>
      <c r="AHM57" s="11">
        <f t="shared" si="45"/>
        <v>143463537.73000002</v>
      </c>
      <c r="AHN57" s="11">
        <f t="shared" si="45"/>
        <v>60682804.090000004</v>
      </c>
      <c r="AHO57" s="11">
        <f t="shared" si="45"/>
        <v>50245515.669999994</v>
      </c>
      <c r="AHP57" s="11">
        <f t="shared" si="45"/>
        <v>32856609.539999999</v>
      </c>
      <c r="AHQ57" s="11">
        <f t="shared" ref="AHQ57:AHT57" si="46">SUM(AHQ43:AHQ56)</f>
        <v>25075167.139999997</v>
      </c>
      <c r="AHR57" s="11">
        <f t="shared" si="46"/>
        <v>35427959.5</v>
      </c>
      <c r="AHS57" s="11">
        <f t="shared" si="46"/>
        <v>21638605.390000001</v>
      </c>
      <c r="AHT57" s="11">
        <f t="shared" si="46"/>
        <v>109603162611.6295</v>
      </c>
    </row>
    <row r="58" spans="1:908" x14ac:dyDescent="0.7">
      <c r="D58" s="11">
        <f>D57-D37</f>
        <v>0</v>
      </c>
      <c r="E58" s="11">
        <f t="shared" ref="E58:BP58" si="47">E57-E37</f>
        <v>0</v>
      </c>
      <c r="F58" s="11">
        <f t="shared" si="47"/>
        <v>0</v>
      </c>
      <c r="G58" s="11">
        <f t="shared" si="47"/>
        <v>0</v>
      </c>
      <c r="H58" s="11">
        <f t="shared" si="47"/>
        <v>0</v>
      </c>
      <c r="I58" s="11">
        <f t="shared" si="47"/>
        <v>0</v>
      </c>
      <c r="J58" s="11">
        <f t="shared" si="47"/>
        <v>0</v>
      </c>
      <c r="K58" s="11">
        <f t="shared" si="47"/>
        <v>0</v>
      </c>
      <c r="L58" s="11">
        <f t="shared" si="47"/>
        <v>0</v>
      </c>
      <c r="M58" s="11">
        <f t="shared" si="47"/>
        <v>0</v>
      </c>
      <c r="N58" s="11">
        <f t="shared" si="47"/>
        <v>0</v>
      </c>
      <c r="O58" s="11">
        <f t="shared" si="47"/>
        <v>0</v>
      </c>
      <c r="P58" s="11">
        <f t="shared" si="47"/>
        <v>0</v>
      </c>
      <c r="Q58" s="11">
        <f t="shared" si="47"/>
        <v>0</v>
      </c>
      <c r="R58" s="11">
        <f t="shared" si="47"/>
        <v>0</v>
      </c>
      <c r="S58" s="11">
        <f t="shared" si="47"/>
        <v>0</v>
      </c>
      <c r="T58" s="11">
        <f t="shared" si="47"/>
        <v>0</v>
      </c>
      <c r="U58" s="11">
        <f t="shared" si="47"/>
        <v>0</v>
      </c>
      <c r="V58" s="11">
        <f t="shared" si="47"/>
        <v>0</v>
      </c>
      <c r="W58" s="11">
        <f t="shared" si="47"/>
        <v>0</v>
      </c>
      <c r="X58" s="11">
        <f t="shared" si="47"/>
        <v>0</v>
      </c>
      <c r="Y58" s="11">
        <f t="shared" si="47"/>
        <v>0</v>
      </c>
      <c r="Z58" s="11">
        <f t="shared" si="47"/>
        <v>0</v>
      </c>
      <c r="AA58" s="11">
        <f t="shared" si="47"/>
        <v>0</v>
      </c>
      <c r="AB58" s="11">
        <f t="shared" si="47"/>
        <v>0</v>
      </c>
      <c r="AC58" s="11">
        <f t="shared" si="47"/>
        <v>0</v>
      </c>
      <c r="AD58" s="11">
        <f t="shared" si="47"/>
        <v>0</v>
      </c>
      <c r="AE58" s="11">
        <f t="shared" si="47"/>
        <v>0</v>
      </c>
      <c r="AF58" s="11">
        <f t="shared" si="47"/>
        <v>0</v>
      </c>
      <c r="AG58" s="11">
        <f t="shared" si="47"/>
        <v>0</v>
      </c>
      <c r="AH58" s="11">
        <f t="shared" si="47"/>
        <v>0</v>
      </c>
      <c r="AI58" s="11">
        <f t="shared" si="47"/>
        <v>0</v>
      </c>
      <c r="AJ58" s="11">
        <f t="shared" si="47"/>
        <v>0</v>
      </c>
      <c r="AK58" s="11">
        <f t="shared" si="47"/>
        <v>0</v>
      </c>
      <c r="AL58" s="11">
        <f t="shared" si="47"/>
        <v>0</v>
      </c>
      <c r="AM58" s="11">
        <f t="shared" si="47"/>
        <v>0</v>
      </c>
      <c r="AN58" s="11">
        <f t="shared" si="47"/>
        <v>0</v>
      </c>
      <c r="AO58" s="11">
        <f t="shared" si="47"/>
        <v>0</v>
      </c>
      <c r="AP58" s="11">
        <f t="shared" si="47"/>
        <v>0</v>
      </c>
      <c r="AQ58" s="11">
        <f t="shared" si="47"/>
        <v>0</v>
      </c>
      <c r="AR58" s="11">
        <f t="shared" si="47"/>
        <v>0</v>
      </c>
      <c r="AS58" s="11">
        <f t="shared" si="47"/>
        <v>0</v>
      </c>
      <c r="AT58" s="11">
        <f t="shared" si="47"/>
        <v>0</v>
      </c>
      <c r="AU58" s="11">
        <f t="shared" si="47"/>
        <v>0</v>
      </c>
      <c r="AV58" s="11">
        <f t="shared" si="47"/>
        <v>0</v>
      </c>
      <c r="AW58" s="11">
        <f t="shared" si="47"/>
        <v>0</v>
      </c>
      <c r="AX58" s="11">
        <f t="shared" si="47"/>
        <v>0</v>
      </c>
      <c r="AY58" s="11">
        <f t="shared" si="47"/>
        <v>0</v>
      </c>
      <c r="AZ58" s="11">
        <f t="shared" si="47"/>
        <v>0</v>
      </c>
      <c r="BA58" s="11">
        <f t="shared" si="47"/>
        <v>0</v>
      </c>
      <c r="BB58" s="11">
        <f t="shared" si="47"/>
        <v>0</v>
      </c>
      <c r="BC58" s="11">
        <f t="shared" si="47"/>
        <v>0</v>
      </c>
      <c r="BD58" s="11">
        <f t="shared" si="47"/>
        <v>0</v>
      </c>
      <c r="BE58" s="11">
        <f t="shared" si="47"/>
        <v>0</v>
      </c>
      <c r="BF58" s="11">
        <f t="shared" si="47"/>
        <v>0</v>
      </c>
      <c r="BG58" s="11">
        <f t="shared" si="47"/>
        <v>0</v>
      </c>
      <c r="BH58" s="11">
        <f t="shared" si="47"/>
        <v>0</v>
      </c>
      <c r="BI58" s="11">
        <f t="shared" si="47"/>
        <v>0</v>
      </c>
      <c r="BJ58" s="11">
        <f t="shared" si="47"/>
        <v>0</v>
      </c>
      <c r="BK58" s="11">
        <f t="shared" si="47"/>
        <v>0</v>
      </c>
      <c r="BL58" s="11">
        <f t="shared" si="47"/>
        <v>0</v>
      </c>
      <c r="BM58" s="11">
        <f t="shared" si="47"/>
        <v>0</v>
      </c>
      <c r="BN58" s="11">
        <f t="shared" si="47"/>
        <v>0</v>
      </c>
      <c r="BO58" s="11">
        <f t="shared" si="47"/>
        <v>0</v>
      </c>
      <c r="BP58" s="11">
        <f t="shared" si="47"/>
        <v>0</v>
      </c>
      <c r="BQ58" s="11">
        <f t="shared" ref="BQ58:EB58" si="48">BQ57-BQ37</f>
        <v>0</v>
      </c>
      <c r="BR58" s="11">
        <f t="shared" si="48"/>
        <v>0</v>
      </c>
      <c r="BS58" s="11">
        <f t="shared" si="48"/>
        <v>0</v>
      </c>
      <c r="BT58" s="11">
        <f t="shared" si="48"/>
        <v>0</v>
      </c>
      <c r="BU58" s="11">
        <f t="shared" si="48"/>
        <v>0</v>
      </c>
      <c r="BV58" s="11">
        <f t="shared" si="48"/>
        <v>0</v>
      </c>
      <c r="BW58" s="11">
        <f t="shared" si="48"/>
        <v>0</v>
      </c>
      <c r="BX58" s="11">
        <f t="shared" si="48"/>
        <v>0</v>
      </c>
      <c r="BY58" s="11">
        <f t="shared" si="48"/>
        <v>0</v>
      </c>
      <c r="BZ58" s="11">
        <f t="shared" si="48"/>
        <v>0</v>
      </c>
      <c r="CA58" s="11">
        <f t="shared" si="48"/>
        <v>0</v>
      </c>
      <c r="CB58" s="11">
        <f t="shared" si="48"/>
        <v>0</v>
      </c>
      <c r="CC58" s="11">
        <f t="shared" si="48"/>
        <v>0</v>
      </c>
      <c r="CD58" s="11">
        <f t="shared" si="48"/>
        <v>0</v>
      </c>
      <c r="CE58" s="11">
        <f t="shared" si="48"/>
        <v>0</v>
      </c>
      <c r="CF58" s="11">
        <f t="shared" si="48"/>
        <v>0</v>
      </c>
      <c r="CG58" s="11">
        <f t="shared" si="48"/>
        <v>0</v>
      </c>
      <c r="CH58" s="11">
        <f t="shared" si="48"/>
        <v>0</v>
      </c>
      <c r="CI58" s="11">
        <f t="shared" si="48"/>
        <v>0</v>
      </c>
      <c r="CJ58" s="11">
        <f t="shared" si="48"/>
        <v>0</v>
      </c>
      <c r="CK58" s="11">
        <f t="shared" si="48"/>
        <v>0</v>
      </c>
      <c r="CL58" s="11">
        <f t="shared" si="48"/>
        <v>0</v>
      </c>
      <c r="CM58" s="11">
        <f t="shared" si="48"/>
        <v>0</v>
      </c>
      <c r="CN58" s="11">
        <f t="shared" si="48"/>
        <v>0</v>
      </c>
      <c r="CO58" s="11">
        <f t="shared" si="48"/>
        <v>0</v>
      </c>
      <c r="CP58" s="11">
        <f t="shared" si="48"/>
        <v>0</v>
      </c>
      <c r="CQ58" s="11">
        <f t="shared" si="48"/>
        <v>0</v>
      </c>
      <c r="CR58" s="11">
        <f t="shared" si="48"/>
        <v>0</v>
      </c>
      <c r="CS58" s="11">
        <f t="shared" si="48"/>
        <v>0</v>
      </c>
      <c r="CT58" s="11">
        <f t="shared" si="48"/>
        <v>0</v>
      </c>
      <c r="CU58" s="11">
        <f t="shared" si="48"/>
        <v>0</v>
      </c>
      <c r="CV58" s="11">
        <f t="shared" si="48"/>
        <v>0</v>
      </c>
      <c r="CW58" s="11">
        <f t="shared" si="48"/>
        <v>0</v>
      </c>
      <c r="CX58" s="11">
        <f t="shared" si="48"/>
        <v>0</v>
      </c>
      <c r="CY58" s="11">
        <f t="shared" si="48"/>
        <v>0</v>
      </c>
      <c r="CZ58" s="11">
        <f t="shared" si="48"/>
        <v>0</v>
      </c>
      <c r="DA58" s="11">
        <f t="shared" si="48"/>
        <v>0</v>
      </c>
      <c r="DB58" s="11">
        <f t="shared" si="48"/>
        <v>0</v>
      </c>
      <c r="DC58" s="11">
        <f t="shared" si="48"/>
        <v>0</v>
      </c>
      <c r="DD58" s="11">
        <f t="shared" si="48"/>
        <v>0</v>
      </c>
      <c r="DE58" s="11">
        <f t="shared" si="48"/>
        <v>0</v>
      </c>
      <c r="DF58" s="11">
        <f t="shared" si="48"/>
        <v>0</v>
      </c>
      <c r="DG58" s="11">
        <f t="shared" si="48"/>
        <v>0</v>
      </c>
      <c r="DH58" s="11">
        <f t="shared" si="48"/>
        <v>0</v>
      </c>
      <c r="DI58" s="11">
        <f t="shared" si="48"/>
        <v>0</v>
      </c>
      <c r="DJ58" s="11">
        <f t="shared" si="48"/>
        <v>0</v>
      </c>
      <c r="DK58" s="11">
        <f t="shared" si="48"/>
        <v>0</v>
      </c>
      <c r="DL58" s="11">
        <f t="shared" si="48"/>
        <v>0</v>
      </c>
      <c r="DM58" s="11">
        <f t="shared" si="48"/>
        <v>0</v>
      </c>
      <c r="DN58" s="11">
        <f t="shared" si="48"/>
        <v>0</v>
      </c>
      <c r="DO58" s="11">
        <f t="shared" si="48"/>
        <v>0</v>
      </c>
      <c r="DP58" s="11">
        <f t="shared" si="48"/>
        <v>0</v>
      </c>
      <c r="DQ58" s="11">
        <f t="shared" si="48"/>
        <v>0</v>
      </c>
      <c r="DR58" s="11">
        <f t="shared" si="48"/>
        <v>0</v>
      </c>
      <c r="DS58" s="11">
        <f t="shared" si="48"/>
        <v>0</v>
      </c>
      <c r="DT58" s="11">
        <f t="shared" si="48"/>
        <v>0</v>
      </c>
      <c r="DU58" s="11">
        <f t="shared" si="48"/>
        <v>0</v>
      </c>
      <c r="DV58" s="11">
        <f t="shared" si="48"/>
        <v>0</v>
      </c>
      <c r="DW58" s="11">
        <f t="shared" si="48"/>
        <v>0</v>
      </c>
      <c r="DX58" s="11">
        <f t="shared" si="48"/>
        <v>0</v>
      </c>
      <c r="DY58" s="11">
        <f t="shared" si="48"/>
        <v>0</v>
      </c>
      <c r="DZ58" s="11">
        <f t="shared" si="48"/>
        <v>0</v>
      </c>
      <c r="EA58" s="11">
        <f t="shared" si="48"/>
        <v>0</v>
      </c>
      <c r="EB58" s="11">
        <f t="shared" si="48"/>
        <v>0</v>
      </c>
      <c r="EC58" s="11">
        <f t="shared" ref="EC58:GN58" si="49">EC57-EC37</f>
        <v>0</v>
      </c>
      <c r="ED58" s="11">
        <f t="shared" si="49"/>
        <v>0</v>
      </c>
      <c r="EE58" s="11">
        <f t="shared" si="49"/>
        <v>0</v>
      </c>
      <c r="EF58" s="11">
        <f t="shared" si="49"/>
        <v>0</v>
      </c>
      <c r="EG58" s="11">
        <f t="shared" si="49"/>
        <v>0</v>
      </c>
      <c r="EH58" s="11">
        <f t="shared" si="49"/>
        <v>0</v>
      </c>
      <c r="EI58" s="11">
        <f t="shared" si="49"/>
        <v>0</v>
      </c>
      <c r="EJ58" s="11">
        <f t="shared" si="49"/>
        <v>0</v>
      </c>
      <c r="EK58" s="11">
        <f t="shared" si="49"/>
        <v>0</v>
      </c>
      <c r="EL58" s="11">
        <f t="shared" si="49"/>
        <v>0</v>
      </c>
      <c r="EM58" s="11">
        <f t="shared" si="49"/>
        <v>0</v>
      </c>
      <c r="EN58" s="11">
        <f t="shared" si="49"/>
        <v>0</v>
      </c>
      <c r="EO58" s="11">
        <f t="shared" si="49"/>
        <v>0</v>
      </c>
      <c r="EP58" s="11">
        <f t="shared" si="49"/>
        <v>0</v>
      </c>
      <c r="EQ58" s="11">
        <f t="shared" si="49"/>
        <v>0</v>
      </c>
      <c r="ER58" s="11">
        <f t="shared" si="49"/>
        <v>0</v>
      </c>
      <c r="ES58" s="11">
        <f t="shared" si="49"/>
        <v>0</v>
      </c>
      <c r="ET58" s="11">
        <f t="shared" si="49"/>
        <v>0</v>
      </c>
      <c r="EU58" s="11">
        <f t="shared" si="49"/>
        <v>0</v>
      </c>
      <c r="EV58" s="11">
        <f t="shared" si="49"/>
        <v>0</v>
      </c>
      <c r="EW58" s="11">
        <f t="shared" si="49"/>
        <v>0</v>
      </c>
      <c r="EX58" s="11">
        <f t="shared" si="49"/>
        <v>0</v>
      </c>
      <c r="EY58" s="11">
        <f t="shared" si="49"/>
        <v>0</v>
      </c>
      <c r="EZ58" s="11">
        <f t="shared" si="49"/>
        <v>0</v>
      </c>
      <c r="FA58" s="11">
        <f t="shared" si="49"/>
        <v>0</v>
      </c>
      <c r="FB58" s="11">
        <f t="shared" si="49"/>
        <v>0</v>
      </c>
      <c r="FC58" s="11">
        <f t="shared" si="49"/>
        <v>0</v>
      </c>
      <c r="FD58" s="11">
        <f t="shared" si="49"/>
        <v>0</v>
      </c>
      <c r="FE58" s="11">
        <f t="shared" si="49"/>
        <v>0</v>
      </c>
      <c r="FF58" s="11">
        <f t="shared" si="49"/>
        <v>0</v>
      </c>
      <c r="FG58" s="11">
        <f t="shared" si="49"/>
        <v>0</v>
      </c>
      <c r="FH58" s="11">
        <f t="shared" si="49"/>
        <v>0</v>
      </c>
      <c r="FI58" s="11">
        <f t="shared" si="49"/>
        <v>0</v>
      </c>
      <c r="FJ58" s="11">
        <f t="shared" si="49"/>
        <v>0</v>
      </c>
      <c r="FK58" s="11">
        <f t="shared" si="49"/>
        <v>0</v>
      </c>
      <c r="FL58" s="11">
        <f t="shared" si="49"/>
        <v>0</v>
      </c>
      <c r="FM58" s="11">
        <f t="shared" si="49"/>
        <v>0</v>
      </c>
      <c r="FN58" s="11">
        <f t="shared" si="49"/>
        <v>0</v>
      </c>
      <c r="FO58" s="11">
        <f t="shared" si="49"/>
        <v>0</v>
      </c>
      <c r="FP58" s="11">
        <f t="shared" si="49"/>
        <v>0</v>
      </c>
      <c r="FQ58" s="11">
        <f t="shared" si="49"/>
        <v>0</v>
      </c>
      <c r="FR58" s="11">
        <f t="shared" si="49"/>
        <v>0</v>
      </c>
      <c r="FS58" s="11">
        <f t="shared" si="49"/>
        <v>0</v>
      </c>
      <c r="FT58" s="11">
        <f t="shared" si="49"/>
        <v>0</v>
      </c>
      <c r="FU58" s="11">
        <f t="shared" si="49"/>
        <v>0</v>
      </c>
      <c r="FV58" s="11">
        <f t="shared" si="49"/>
        <v>0</v>
      </c>
      <c r="FW58" s="11">
        <f t="shared" si="49"/>
        <v>0</v>
      </c>
      <c r="FX58" s="11">
        <f t="shared" si="49"/>
        <v>0</v>
      </c>
      <c r="FY58" s="11">
        <f t="shared" si="49"/>
        <v>0</v>
      </c>
      <c r="FZ58" s="11">
        <f t="shared" si="49"/>
        <v>0</v>
      </c>
      <c r="GA58" s="11">
        <f t="shared" si="49"/>
        <v>0</v>
      </c>
      <c r="GB58" s="11">
        <f t="shared" si="49"/>
        <v>0</v>
      </c>
      <c r="GC58" s="11">
        <f t="shared" si="49"/>
        <v>0</v>
      </c>
      <c r="GD58" s="11">
        <f t="shared" si="49"/>
        <v>0</v>
      </c>
      <c r="GE58" s="11">
        <f t="shared" si="49"/>
        <v>0</v>
      </c>
      <c r="GF58" s="11">
        <f t="shared" si="49"/>
        <v>0</v>
      </c>
      <c r="GG58" s="11">
        <f t="shared" si="49"/>
        <v>0</v>
      </c>
      <c r="GH58" s="11">
        <f t="shared" si="49"/>
        <v>0</v>
      </c>
      <c r="GI58" s="11">
        <f t="shared" si="49"/>
        <v>0</v>
      </c>
      <c r="GJ58" s="11">
        <f t="shared" si="49"/>
        <v>0</v>
      </c>
      <c r="GK58" s="11">
        <f t="shared" si="49"/>
        <v>0</v>
      </c>
      <c r="GL58" s="11">
        <f t="shared" si="49"/>
        <v>0</v>
      </c>
      <c r="GM58" s="11">
        <f t="shared" si="49"/>
        <v>0</v>
      </c>
      <c r="GN58" s="11">
        <f t="shared" si="49"/>
        <v>0</v>
      </c>
      <c r="GO58" s="11">
        <f t="shared" ref="GO58:IZ58" si="50">GO57-GO37</f>
        <v>0</v>
      </c>
      <c r="GP58" s="11">
        <f t="shared" si="50"/>
        <v>0</v>
      </c>
      <c r="GQ58" s="11">
        <f t="shared" si="50"/>
        <v>0</v>
      </c>
      <c r="GR58" s="11">
        <f t="shared" si="50"/>
        <v>0</v>
      </c>
      <c r="GS58" s="11">
        <f t="shared" si="50"/>
        <v>0</v>
      </c>
      <c r="GT58" s="11">
        <f t="shared" si="50"/>
        <v>0</v>
      </c>
      <c r="GU58" s="11">
        <f t="shared" si="50"/>
        <v>0</v>
      </c>
      <c r="GV58" s="11">
        <f t="shared" si="50"/>
        <v>0</v>
      </c>
      <c r="GW58" s="11">
        <f t="shared" si="50"/>
        <v>0</v>
      </c>
      <c r="GX58" s="11">
        <f t="shared" si="50"/>
        <v>0</v>
      </c>
      <c r="GY58" s="11">
        <f t="shared" si="50"/>
        <v>0</v>
      </c>
      <c r="GZ58" s="11">
        <f t="shared" si="50"/>
        <v>0</v>
      </c>
      <c r="HA58" s="11">
        <f t="shared" si="50"/>
        <v>0</v>
      </c>
      <c r="HB58" s="11">
        <f t="shared" si="50"/>
        <v>0</v>
      </c>
      <c r="HC58" s="11">
        <f t="shared" si="50"/>
        <v>0</v>
      </c>
      <c r="HD58" s="11">
        <f t="shared" si="50"/>
        <v>0</v>
      </c>
      <c r="HE58" s="11">
        <f t="shared" si="50"/>
        <v>0</v>
      </c>
      <c r="HF58" s="11">
        <f t="shared" si="50"/>
        <v>0</v>
      </c>
      <c r="HG58" s="11">
        <f t="shared" si="50"/>
        <v>0</v>
      </c>
      <c r="HH58" s="11">
        <f t="shared" si="50"/>
        <v>0</v>
      </c>
      <c r="HI58" s="11">
        <f t="shared" si="50"/>
        <v>0</v>
      </c>
      <c r="HJ58" s="11">
        <f t="shared" si="50"/>
        <v>0</v>
      </c>
      <c r="HK58" s="11">
        <f t="shared" si="50"/>
        <v>0</v>
      </c>
      <c r="HL58" s="11">
        <f t="shared" si="50"/>
        <v>0</v>
      </c>
      <c r="HM58" s="11">
        <f t="shared" si="50"/>
        <v>0</v>
      </c>
      <c r="HN58" s="11">
        <f t="shared" si="50"/>
        <v>0</v>
      </c>
      <c r="HO58" s="11">
        <f t="shared" si="50"/>
        <v>0</v>
      </c>
      <c r="HP58" s="11">
        <f t="shared" si="50"/>
        <v>0</v>
      </c>
      <c r="HQ58" s="11">
        <f t="shared" si="50"/>
        <v>0</v>
      </c>
      <c r="HR58" s="11">
        <f t="shared" si="50"/>
        <v>0</v>
      </c>
      <c r="HS58" s="11">
        <f t="shared" si="50"/>
        <v>0</v>
      </c>
      <c r="HT58" s="11">
        <f t="shared" si="50"/>
        <v>0</v>
      </c>
      <c r="HU58" s="11">
        <f t="shared" si="50"/>
        <v>0</v>
      </c>
      <c r="HV58" s="11">
        <f t="shared" si="50"/>
        <v>0</v>
      </c>
      <c r="HW58" s="11">
        <f t="shared" si="50"/>
        <v>0</v>
      </c>
      <c r="HX58" s="11">
        <f t="shared" si="50"/>
        <v>0</v>
      </c>
      <c r="HY58" s="11">
        <f t="shared" si="50"/>
        <v>0</v>
      </c>
      <c r="HZ58" s="11">
        <f t="shared" si="50"/>
        <v>0</v>
      </c>
      <c r="IA58" s="11">
        <f t="shared" si="50"/>
        <v>0</v>
      </c>
      <c r="IB58" s="11">
        <f t="shared" si="50"/>
        <v>0</v>
      </c>
      <c r="IC58" s="11">
        <f t="shared" si="50"/>
        <v>0</v>
      </c>
      <c r="ID58" s="11">
        <f t="shared" si="50"/>
        <v>0</v>
      </c>
      <c r="IE58" s="11">
        <f t="shared" si="50"/>
        <v>0</v>
      </c>
      <c r="IF58" s="11">
        <f t="shared" si="50"/>
        <v>0</v>
      </c>
      <c r="IG58" s="11">
        <f t="shared" si="50"/>
        <v>0</v>
      </c>
      <c r="IH58" s="11">
        <f t="shared" si="50"/>
        <v>0</v>
      </c>
      <c r="II58" s="11">
        <f t="shared" si="50"/>
        <v>0</v>
      </c>
      <c r="IJ58" s="11">
        <f t="shared" si="50"/>
        <v>0</v>
      </c>
      <c r="IK58" s="11">
        <f t="shared" si="50"/>
        <v>0</v>
      </c>
      <c r="IL58" s="11">
        <f t="shared" si="50"/>
        <v>0</v>
      </c>
      <c r="IM58" s="11">
        <f t="shared" si="50"/>
        <v>0</v>
      </c>
      <c r="IN58" s="11">
        <f t="shared" si="50"/>
        <v>0</v>
      </c>
      <c r="IO58" s="11">
        <f t="shared" si="50"/>
        <v>0</v>
      </c>
      <c r="IP58" s="11">
        <f t="shared" si="50"/>
        <v>0</v>
      </c>
      <c r="IQ58" s="11">
        <f t="shared" si="50"/>
        <v>0</v>
      </c>
      <c r="IR58" s="11">
        <f t="shared" si="50"/>
        <v>0</v>
      </c>
      <c r="IS58" s="11">
        <f t="shared" si="50"/>
        <v>0</v>
      </c>
      <c r="IT58" s="11">
        <f t="shared" si="50"/>
        <v>0</v>
      </c>
      <c r="IU58" s="11">
        <f t="shared" si="50"/>
        <v>0</v>
      </c>
      <c r="IV58" s="11">
        <f t="shared" si="50"/>
        <v>0</v>
      </c>
      <c r="IW58" s="11">
        <f t="shared" si="50"/>
        <v>0</v>
      </c>
      <c r="IX58" s="11">
        <f t="shared" si="50"/>
        <v>0</v>
      </c>
      <c r="IY58" s="11">
        <f t="shared" si="50"/>
        <v>0</v>
      </c>
      <c r="IZ58" s="11">
        <f t="shared" si="50"/>
        <v>0</v>
      </c>
      <c r="JA58" s="11">
        <f t="shared" ref="JA58:LL58" si="51">JA57-JA37</f>
        <v>0</v>
      </c>
      <c r="JB58" s="11">
        <f t="shared" si="51"/>
        <v>0</v>
      </c>
      <c r="JC58" s="11">
        <f t="shared" si="51"/>
        <v>0</v>
      </c>
      <c r="JD58" s="11">
        <f t="shared" si="51"/>
        <v>0</v>
      </c>
      <c r="JE58" s="11">
        <f t="shared" si="51"/>
        <v>0</v>
      </c>
      <c r="JF58" s="11">
        <f t="shared" si="51"/>
        <v>0</v>
      </c>
      <c r="JG58" s="11">
        <f t="shared" si="51"/>
        <v>0</v>
      </c>
      <c r="JH58" s="11">
        <f t="shared" si="51"/>
        <v>0</v>
      </c>
      <c r="JI58" s="11">
        <f t="shared" si="51"/>
        <v>0</v>
      </c>
      <c r="JJ58" s="11">
        <f t="shared" si="51"/>
        <v>0</v>
      </c>
      <c r="JK58" s="11">
        <f t="shared" si="51"/>
        <v>0</v>
      </c>
      <c r="JL58" s="11">
        <f t="shared" si="51"/>
        <v>0</v>
      </c>
      <c r="JM58" s="11">
        <f t="shared" si="51"/>
        <v>0</v>
      </c>
      <c r="JN58" s="11">
        <f t="shared" si="51"/>
        <v>0</v>
      </c>
      <c r="JO58" s="11">
        <f t="shared" si="51"/>
        <v>0</v>
      </c>
      <c r="JP58" s="11">
        <f t="shared" si="51"/>
        <v>0</v>
      </c>
      <c r="JQ58" s="11">
        <f t="shared" si="51"/>
        <v>0</v>
      </c>
      <c r="JR58" s="11">
        <f t="shared" si="51"/>
        <v>0</v>
      </c>
      <c r="JS58" s="11">
        <f t="shared" si="51"/>
        <v>0</v>
      </c>
      <c r="JT58" s="11">
        <f t="shared" si="51"/>
        <v>0</v>
      </c>
      <c r="JU58" s="11">
        <f t="shared" si="51"/>
        <v>0</v>
      </c>
      <c r="JV58" s="11">
        <f t="shared" si="51"/>
        <v>0</v>
      </c>
      <c r="JW58" s="11">
        <f t="shared" si="51"/>
        <v>0</v>
      </c>
      <c r="JX58" s="11">
        <f t="shared" si="51"/>
        <v>0</v>
      </c>
      <c r="JY58" s="11">
        <f t="shared" si="51"/>
        <v>0</v>
      </c>
      <c r="JZ58" s="11">
        <f t="shared" si="51"/>
        <v>0</v>
      </c>
      <c r="KA58" s="11">
        <f t="shared" si="51"/>
        <v>0</v>
      </c>
      <c r="KB58" s="11">
        <f t="shared" si="51"/>
        <v>0</v>
      </c>
      <c r="KC58" s="11">
        <f t="shared" si="51"/>
        <v>0</v>
      </c>
      <c r="KD58" s="11">
        <f t="shared" si="51"/>
        <v>0</v>
      </c>
      <c r="KE58" s="11">
        <f t="shared" si="51"/>
        <v>0</v>
      </c>
      <c r="KF58" s="11">
        <f t="shared" si="51"/>
        <v>0</v>
      </c>
      <c r="KG58" s="11">
        <f t="shared" si="51"/>
        <v>0</v>
      </c>
      <c r="KH58" s="11">
        <f t="shared" si="51"/>
        <v>0</v>
      </c>
      <c r="KI58" s="11">
        <f t="shared" si="51"/>
        <v>0</v>
      </c>
      <c r="KJ58" s="11">
        <f t="shared" si="51"/>
        <v>0</v>
      </c>
      <c r="KK58" s="11">
        <f t="shared" si="51"/>
        <v>0</v>
      </c>
      <c r="KL58" s="11">
        <f t="shared" si="51"/>
        <v>0</v>
      </c>
      <c r="KM58" s="11">
        <f t="shared" si="51"/>
        <v>0</v>
      </c>
      <c r="KN58" s="11">
        <f t="shared" si="51"/>
        <v>0</v>
      </c>
      <c r="KO58" s="11">
        <f t="shared" si="51"/>
        <v>0</v>
      </c>
      <c r="KP58" s="11">
        <f t="shared" si="51"/>
        <v>0</v>
      </c>
      <c r="KQ58" s="11">
        <f t="shared" si="51"/>
        <v>0</v>
      </c>
      <c r="KR58" s="11">
        <f t="shared" si="51"/>
        <v>0</v>
      </c>
      <c r="KS58" s="11">
        <f t="shared" si="51"/>
        <v>0</v>
      </c>
      <c r="KT58" s="11">
        <f t="shared" si="51"/>
        <v>0</v>
      </c>
      <c r="KU58" s="11">
        <f t="shared" si="51"/>
        <v>0</v>
      </c>
      <c r="KV58" s="11">
        <f t="shared" si="51"/>
        <v>0</v>
      </c>
      <c r="KW58" s="11">
        <f t="shared" si="51"/>
        <v>0</v>
      </c>
      <c r="KX58" s="11">
        <f t="shared" si="51"/>
        <v>0</v>
      </c>
      <c r="KY58" s="11">
        <f t="shared" si="51"/>
        <v>0</v>
      </c>
      <c r="KZ58" s="11">
        <f t="shared" si="51"/>
        <v>0</v>
      </c>
      <c r="LA58" s="11">
        <f t="shared" si="51"/>
        <v>0</v>
      </c>
      <c r="LB58" s="11">
        <f t="shared" si="51"/>
        <v>0</v>
      </c>
      <c r="LC58" s="11">
        <f t="shared" si="51"/>
        <v>0</v>
      </c>
      <c r="LD58" s="11">
        <f t="shared" si="51"/>
        <v>0</v>
      </c>
      <c r="LE58" s="11">
        <f t="shared" si="51"/>
        <v>0</v>
      </c>
      <c r="LF58" s="11">
        <f t="shared" si="51"/>
        <v>0</v>
      </c>
      <c r="LG58" s="11">
        <f t="shared" si="51"/>
        <v>0</v>
      </c>
      <c r="LH58" s="11">
        <f t="shared" si="51"/>
        <v>0</v>
      </c>
      <c r="LI58" s="11">
        <f t="shared" si="51"/>
        <v>0</v>
      </c>
      <c r="LJ58" s="11">
        <f t="shared" si="51"/>
        <v>0</v>
      </c>
      <c r="LK58" s="11">
        <f t="shared" si="51"/>
        <v>0</v>
      </c>
      <c r="LL58" s="11">
        <f t="shared" si="51"/>
        <v>0</v>
      </c>
      <c r="LM58" s="11">
        <f t="shared" ref="LM58:NX58" si="52">LM57-LM37</f>
        <v>0</v>
      </c>
      <c r="LN58" s="11">
        <f t="shared" si="52"/>
        <v>0</v>
      </c>
      <c r="LO58" s="11">
        <f t="shared" si="52"/>
        <v>0</v>
      </c>
      <c r="LP58" s="11">
        <f t="shared" si="52"/>
        <v>0</v>
      </c>
      <c r="LQ58" s="11">
        <f t="shared" si="52"/>
        <v>0</v>
      </c>
      <c r="LR58" s="11">
        <f t="shared" si="52"/>
        <v>0</v>
      </c>
      <c r="LS58" s="11">
        <f t="shared" si="52"/>
        <v>0</v>
      </c>
      <c r="LT58" s="11">
        <f t="shared" si="52"/>
        <v>0</v>
      </c>
      <c r="LU58" s="11">
        <f t="shared" si="52"/>
        <v>0</v>
      </c>
      <c r="LV58" s="11">
        <f t="shared" si="52"/>
        <v>0</v>
      </c>
      <c r="LW58" s="11">
        <f t="shared" si="52"/>
        <v>0</v>
      </c>
      <c r="LX58" s="11">
        <f t="shared" si="52"/>
        <v>0</v>
      </c>
      <c r="LY58" s="11">
        <f t="shared" si="52"/>
        <v>0</v>
      </c>
      <c r="LZ58" s="11">
        <f t="shared" si="52"/>
        <v>0</v>
      </c>
      <c r="MA58" s="11">
        <f t="shared" si="52"/>
        <v>0</v>
      </c>
      <c r="MB58" s="11">
        <f t="shared" si="52"/>
        <v>0</v>
      </c>
      <c r="MC58" s="11">
        <f t="shared" si="52"/>
        <v>0</v>
      </c>
      <c r="MD58" s="11">
        <f t="shared" si="52"/>
        <v>0</v>
      </c>
      <c r="ME58" s="11">
        <f t="shared" si="52"/>
        <v>0</v>
      </c>
      <c r="MF58" s="11">
        <f t="shared" si="52"/>
        <v>0</v>
      </c>
      <c r="MG58" s="11">
        <f t="shared" si="52"/>
        <v>0</v>
      </c>
      <c r="MH58" s="11">
        <f t="shared" si="52"/>
        <v>0</v>
      </c>
      <c r="MI58" s="11">
        <f t="shared" si="52"/>
        <v>0</v>
      </c>
      <c r="MJ58" s="11">
        <f t="shared" si="52"/>
        <v>0</v>
      </c>
      <c r="MK58" s="11">
        <f t="shared" si="52"/>
        <v>0</v>
      </c>
      <c r="ML58" s="11">
        <f t="shared" si="52"/>
        <v>0</v>
      </c>
      <c r="MM58" s="11">
        <f t="shared" si="52"/>
        <v>0</v>
      </c>
      <c r="MN58" s="11">
        <f t="shared" si="52"/>
        <v>0</v>
      </c>
      <c r="MO58" s="11">
        <f t="shared" si="52"/>
        <v>0</v>
      </c>
      <c r="MP58" s="11">
        <f t="shared" si="52"/>
        <v>0</v>
      </c>
      <c r="MQ58" s="11">
        <f t="shared" si="52"/>
        <v>0</v>
      </c>
      <c r="MR58" s="11">
        <f t="shared" si="52"/>
        <v>0</v>
      </c>
      <c r="MS58" s="11">
        <f t="shared" si="52"/>
        <v>0</v>
      </c>
      <c r="MT58" s="11">
        <f t="shared" si="52"/>
        <v>0</v>
      </c>
      <c r="MU58" s="11">
        <f t="shared" si="52"/>
        <v>0</v>
      </c>
      <c r="MV58" s="11">
        <f t="shared" si="52"/>
        <v>0</v>
      </c>
      <c r="MW58" s="11">
        <f t="shared" si="52"/>
        <v>0</v>
      </c>
      <c r="MX58" s="11">
        <f t="shared" si="52"/>
        <v>0</v>
      </c>
      <c r="MY58" s="11">
        <f t="shared" si="52"/>
        <v>0</v>
      </c>
      <c r="MZ58" s="11">
        <f t="shared" si="52"/>
        <v>0</v>
      </c>
      <c r="NA58" s="11">
        <f t="shared" si="52"/>
        <v>0</v>
      </c>
      <c r="NB58" s="11">
        <f t="shared" si="52"/>
        <v>0</v>
      </c>
      <c r="NC58" s="11">
        <f t="shared" si="52"/>
        <v>0</v>
      </c>
      <c r="ND58" s="11">
        <f t="shared" si="52"/>
        <v>0</v>
      </c>
      <c r="NE58" s="11">
        <f t="shared" si="52"/>
        <v>0</v>
      </c>
      <c r="NF58" s="11">
        <f t="shared" si="52"/>
        <v>0</v>
      </c>
      <c r="NG58" s="11">
        <f t="shared" si="52"/>
        <v>0</v>
      </c>
      <c r="NH58" s="11">
        <f t="shared" si="52"/>
        <v>0</v>
      </c>
      <c r="NI58" s="11">
        <f t="shared" si="52"/>
        <v>0</v>
      </c>
      <c r="NJ58" s="11">
        <f t="shared" si="52"/>
        <v>0</v>
      </c>
      <c r="NK58" s="11">
        <f t="shared" si="52"/>
        <v>0</v>
      </c>
      <c r="NL58" s="11">
        <f t="shared" si="52"/>
        <v>0</v>
      </c>
      <c r="NM58" s="11">
        <f t="shared" si="52"/>
        <v>0</v>
      </c>
      <c r="NN58" s="11">
        <f t="shared" si="52"/>
        <v>0</v>
      </c>
      <c r="NO58" s="11">
        <f t="shared" si="52"/>
        <v>0</v>
      </c>
      <c r="NP58" s="11">
        <f t="shared" si="52"/>
        <v>0</v>
      </c>
      <c r="NQ58" s="11">
        <f t="shared" si="52"/>
        <v>0</v>
      </c>
      <c r="NR58" s="11">
        <f t="shared" si="52"/>
        <v>0</v>
      </c>
      <c r="NS58" s="11">
        <f t="shared" si="52"/>
        <v>0</v>
      </c>
      <c r="NT58" s="11">
        <f t="shared" si="52"/>
        <v>0</v>
      </c>
      <c r="NU58" s="11">
        <f t="shared" si="52"/>
        <v>0</v>
      </c>
      <c r="NV58" s="11">
        <f t="shared" si="52"/>
        <v>0</v>
      </c>
      <c r="NW58" s="11">
        <f t="shared" si="52"/>
        <v>0</v>
      </c>
      <c r="NX58" s="11">
        <f t="shared" si="52"/>
        <v>0</v>
      </c>
      <c r="NY58" s="11">
        <f t="shared" ref="NY58:QJ58" si="53">NY57-NY37</f>
        <v>0</v>
      </c>
      <c r="NZ58" s="11">
        <f t="shared" si="53"/>
        <v>0</v>
      </c>
      <c r="OA58" s="11">
        <f t="shared" si="53"/>
        <v>0</v>
      </c>
      <c r="OB58" s="11">
        <f t="shared" si="53"/>
        <v>0</v>
      </c>
      <c r="OC58" s="11">
        <f t="shared" si="53"/>
        <v>0</v>
      </c>
      <c r="OD58" s="11">
        <f t="shared" si="53"/>
        <v>0</v>
      </c>
      <c r="OE58" s="11">
        <f t="shared" si="53"/>
        <v>0</v>
      </c>
      <c r="OF58" s="11">
        <f t="shared" si="53"/>
        <v>0</v>
      </c>
      <c r="OG58" s="11">
        <f t="shared" si="53"/>
        <v>0</v>
      </c>
      <c r="OH58" s="11">
        <f t="shared" si="53"/>
        <v>0</v>
      </c>
      <c r="OI58" s="11">
        <f t="shared" si="53"/>
        <v>0</v>
      </c>
      <c r="OJ58" s="11">
        <f t="shared" si="53"/>
        <v>0</v>
      </c>
      <c r="OK58" s="11">
        <f t="shared" si="53"/>
        <v>0</v>
      </c>
      <c r="OL58" s="11">
        <f t="shared" si="53"/>
        <v>0</v>
      </c>
      <c r="OM58" s="11">
        <f t="shared" si="53"/>
        <v>0</v>
      </c>
      <c r="ON58" s="11">
        <f t="shared" si="53"/>
        <v>0</v>
      </c>
      <c r="OO58" s="11">
        <f t="shared" si="53"/>
        <v>0</v>
      </c>
      <c r="OP58" s="11">
        <f t="shared" si="53"/>
        <v>0</v>
      </c>
      <c r="OQ58" s="11">
        <f t="shared" si="53"/>
        <v>0</v>
      </c>
      <c r="OR58" s="11">
        <f t="shared" si="53"/>
        <v>0</v>
      </c>
      <c r="OS58" s="11">
        <f t="shared" si="53"/>
        <v>0</v>
      </c>
      <c r="OT58" s="11">
        <f t="shared" si="53"/>
        <v>0</v>
      </c>
      <c r="OU58" s="11">
        <f t="shared" si="53"/>
        <v>0</v>
      </c>
      <c r="OV58" s="11">
        <f t="shared" si="53"/>
        <v>0</v>
      </c>
      <c r="OW58" s="11">
        <f t="shared" si="53"/>
        <v>0</v>
      </c>
      <c r="OX58" s="11">
        <f t="shared" si="53"/>
        <v>0</v>
      </c>
      <c r="OY58" s="11">
        <f t="shared" si="53"/>
        <v>0</v>
      </c>
      <c r="OZ58" s="11">
        <f t="shared" si="53"/>
        <v>0</v>
      </c>
      <c r="PA58" s="11">
        <f t="shared" si="53"/>
        <v>0</v>
      </c>
      <c r="PB58" s="11">
        <f t="shared" si="53"/>
        <v>0</v>
      </c>
      <c r="PC58" s="11">
        <f t="shared" si="53"/>
        <v>0</v>
      </c>
      <c r="PD58" s="11">
        <f t="shared" si="53"/>
        <v>0</v>
      </c>
      <c r="PE58" s="11">
        <f t="shared" si="53"/>
        <v>0</v>
      </c>
      <c r="PF58" s="11">
        <f t="shared" si="53"/>
        <v>0</v>
      </c>
      <c r="PG58" s="11">
        <f t="shared" si="53"/>
        <v>0</v>
      </c>
      <c r="PH58" s="11">
        <f t="shared" si="53"/>
        <v>0</v>
      </c>
      <c r="PI58" s="11">
        <f t="shared" si="53"/>
        <v>0</v>
      </c>
      <c r="PJ58" s="11">
        <f t="shared" si="53"/>
        <v>0</v>
      </c>
      <c r="PK58" s="11">
        <f t="shared" si="53"/>
        <v>0</v>
      </c>
      <c r="PL58" s="11">
        <f t="shared" si="53"/>
        <v>0</v>
      </c>
      <c r="PM58" s="11">
        <f t="shared" si="53"/>
        <v>0</v>
      </c>
      <c r="PN58" s="11">
        <f t="shared" si="53"/>
        <v>0</v>
      </c>
      <c r="PO58" s="11">
        <f t="shared" si="53"/>
        <v>0</v>
      </c>
      <c r="PP58" s="11">
        <f t="shared" si="53"/>
        <v>0</v>
      </c>
      <c r="PQ58" s="11">
        <f t="shared" si="53"/>
        <v>0</v>
      </c>
      <c r="PR58" s="11">
        <f t="shared" si="53"/>
        <v>0</v>
      </c>
      <c r="PS58" s="11">
        <f t="shared" si="53"/>
        <v>0</v>
      </c>
      <c r="PT58" s="11">
        <f t="shared" si="53"/>
        <v>0</v>
      </c>
      <c r="PU58" s="11">
        <f t="shared" si="53"/>
        <v>0</v>
      </c>
      <c r="PV58" s="11">
        <f t="shared" si="53"/>
        <v>0</v>
      </c>
      <c r="PW58" s="11">
        <f t="shared" si="53"/>
        <v>0</v>
      </c>
      <c r="PX58" s="11">
        <f t="shared" si="53"/>
        <v>0</v>
      </c>
      <c r="PY58" s="11">
        <f t="shared" si="53"/>
        <v>0</v>
      </c>
      <c r="PZ58" s="11">
        <f t="shared" si="53"/>
        <v>0</v>
      </c>
      <c r="QA58" s="11">
        <f t="shared" si="53"/>
        <v>0</v>
      </c>
      <c r="QB58" s="11">
        <f t="shared" si="53"/>
        <v>0</v>
      </c>
      <c r="QC58" s="11">
        <f t="shared" si="53"/>
        <v>0</v>
      </c>
      <c r="QD58" s="11">
        <f t="shared" si="53"/>
        <v>0</v>
      </c>
      <c r="QE58" s="11">
        <f t="shared" si="53"/>
        <v>0</v>
      </c>
      <c r="QF58" s="11">
        <f t="shared" si="53"/>
        <v>0</v>
      </c>
      <c r="QG58" s="11">
        <f t="shared" si="53"/>
        <v>0</v>
      </c>
      <c r="QH58" s="11">
        <f t="shared" si="53"/>
        <v>0</v>
      </c>
      <c r="QI58" s="11">
        <f t="shared" si="53"/>
        <v>0</v>
      </c>
      <c r="QJ58" s="11">
        <f t="shared" si="53"/>
        <v>0</v>
      </c>
      <c r="QK58" s="11">
        <f t="shared" ref="QK58:SV58" si="54">QK57-QK37</f>
        <v>0</v>
      </c>
      <c r="QL58" s="11">
        <f t="shared" si="54"/>
        <v>0</v>
      </c>
      <c r="QM58" s="11">
        <f t="shared" si="54"/>
        <v>0</v>
      </c>
      <c r="QN58" s="11">
        <f t="shared" si="54"/>
        <v>0</v>
      </c>
      <c r="QO58" s="11">
        <f t="shared" si="54"/>
        <v>0</v>
      </c>
      <c r="QP58" s="11">
        <f t="shared" si="54"/>
        <v>0</v>
      </c>
      <c r="QQ58" s="11">
        <f t="shared" si="54"/>
        <v>0</v>
      </c>
      <c r="QR58" s="11">
        <f t="shared" si="54"/>
        <v>0</v>
      </c>
      <c r="QS58" s="11">
        <f t="shared" si="54"/>
        <v>0</v>
      </c>
      <c r="QT58" s="11">
        <f t="shared" si="54"/>
        <v>0</v>
      </c>
      <c r="QU58" s="11">
        <f t="shared" si="54"/>
        <v>0</v>
      </c>
      <c r="QV58" s="11">
        <f t="shared" si="54"/>
        <v>0</v>
      </c>
      <c r="QW58" s="11">
        <f t="shared" si="54"/>
        <v>0</v>
      </c>
      <c r="QX58" s="11">
        <f t="shared" si="54"/>
        <v>0</v>
      </c>
      <c r="QY58" s="11">
        <f t="shared" si="54"/>
        <v>0</v>
      </c>
      <c r="QZ58" s="11">
        <f t="shared" si="54"/>
        <v>0</v>
      </c>
      <c r="RA58" s="11">
        <f t="shared" si="54"/>
        <v>0</v>
      </c>
      <c r="RB58" s="11">
        <f t="shared" si="54"/>
        <v>0</v>
      </c>
      <c r="RC58" s="11">
        <f t="shared" si="54"/>
        <v>0</v>
      </c>
      <c r="RD58" s="11">
        <f t="shared" si="54"/>
        <v>0</v>
      </c>
      <c r="RE58" s="11">
        <f t="shared" si="54"/>
        <v>0</v>
      </c>
      <c r="RF58" s="11">
        <f t="shared" si="54"/>
        <v>0</v>
      </c>
      <c r="RG58" s="11">
        <f t="shared" si="54"/>
        <v>0</v>
      </c>
      <c r="RH58" s="11">
        <f t="shared" si="54"/>
        <v>0</v>
      </c>
      <c r="RI58" s="11">
        <f t="shared" si="54"/>
        <v>0</v>
      </c>
      <c r="RJ58" s="11">
        <f t="shared" si="54"/>
        <v>0</v>
      </c>
      <c r="RK58" s="11">
        <f t="shared" si="54"/>
        <v>0</v>
      </c>
      <c r="RL58" s="11">
        <f t="shared" si="54"/>
        <v>0</v>
      </c>
      <c r="RM58" s="11">
        <f t="shared" si="54"/>
        <v>0</v>
      </c>
      <c r="RN58" s="11">
        <f t="shared" si="54"/>
        <v>0</v>
      </c>
      <c r="RO58" s="11">
        <f t="shared" si="54"/>
        <v>0</v>
      </c>
      <c r="RP58" s="11">
        <f t="shared" si="54"/>
        <v>0</v>
      </c>
      <c r="RQ58" s="11">
        <f t="shared" si="54"/>
        <v>0</v>
      </c>
      <c r="RR58" s="11">
        <f t="shared" si="54"/>
        <v>0</v>
      </c>
      <c r="RS58" s="11">
        <f t="shared" si="54"/>
        <v>0</v>
      </c>
      <c r="RT58" s="11">
        <f t="shared" si="54"/>
        <v>0</v>
      </c>
      <c r="RU58" s="11">
        <f t="shared" si="54"/>
        <v>0</v>
      </c>
      <c r="RV58" s="11">
        <f t="shared" si="54"/>
        <v>0</v>
      </c>
      <c r="RW58" s="11">
        <f t="shared" si="54"/>
        <v>0</v>
      </c>
      <c r="RX58" s="11">
        <f t="shared" si="54"/>
        <v>0</v>
      </c>
      <c r="RY58" s="11">
        <f t="shared" si="54"/>
        <v>0</v>
      </c>
      <c r="RZ58" s="11">
        <f t="shared" si="54"/>
        <v>0</v>
      </c>
      <c r="SA58" s="11">
        <f t="shared" si="54"/>
        <v>0</v>
      </c>
      <c r="SB58" s="11">
        <f t="shared" si="54"/>
        <v>0</v>
      </c>
      <c r="SC58" s="11">
        <f t="shared" si="54"/>
        <v>0</v>
      </c>
      <c r="SD58" s="11">
        <f t="shared" si="54"/>
        <v>0</v>
      </c>
      <c r="SE58" s="11">
        <f t="shared" si="54"/>
        <v>0</v>
      </c>
      <c r="SF58" s="11">
        <f t="shared" si="54"/>
        <v>0</v>
      </c>
      <c r="SG58" s="11">
        <f t="shared" si="54"/>
        <v>0</v>
      </c>
      <c r="SH58" s="11">
        <f t="shared" si="54"/>
        <v>0</v>
      </c>
      <c r="SI58" s="11">
        <f t="shared" si="54"/>
        <v>0</v>
      </c>
      <c r="SJ58" s="11">
        <f t="shared" si="54"/>
        <v>0</v>
      </c>
      <c r="SK58" s="11">
        <f t="shared" si="54"/>
        <v>0</v>
      </c>
      <c r="SL58" s="11">
        <f t="shared" si="54"/>
        <v>0</v>
      </c>
      <c r="SM58" s="11">
        <f t="shared" si="54"/>
        <v>0</v>
      </c>
      <c r="SN58" s="11">
        <f t="shared" si="54"/>
        <v>0</v>
      </c>
      <c r="SO58" s="11">
        <f t="shared" si="54"/>
        <v>0</v>
      </c>
      <c r="SP58" s="11">
        <f t="shared" si="54"/>
        <v>0</v>
      </c>
      <c r="SQ58" s="11">
        <f t="shared" si="54"/>
        <v>0</v>
      </c>
      <c r="SR58" s="11">
        <f t="shared" si="54"/>
        <v>0</v>
      </c>
      <c r="SS58" s="11">
        <f t="shared" si="54"/>
        <v>0</v>
      </c>
      <c r="ST58" s="11">
        <f t="shared" si="54"/>
        <v>0</v>
      </c>
      <c r="SU58" s="11">
        <f t="shared" si="54"/>
        <v>0</v>
      </c>
      <c r="SV58" s="11">
        <f t="shared" si="54"/>
        <v>0</v>
      </c>
      <c r="SW58" s="11">
        <f t="shared" ref="SW58:VH58" si="55">SW57-SW37</f>
        <v>0</v>
      </c>
      <c r="SX58" s="11">
        <f t="shared" si="55"/>
        <v>0</v>
      </c>
      <c r="SY58" s="11">
        <f t="shared" si="55"/>
        <v>0</v>
      </c>
      <c r="SZ58" s="11">
        <f t="shared" si="55"/>
        <v>0</v>
      </c>
      <c r="TA58" s="11">
        <f t="shared" si="55"/>
        <v>0</v>
      </c>
      <c r="TB58" s="11">
        <f t="shared" si="55"/>
        <v>0</v>
      </c>
      <c r="TC58" s="11">
        <f t="shared" si="55"/>
        <v>0</v>
      </c>
      <c r="TD58" s="11">
        <f t="shared" si="55"/>
        <v>0</v>
      </c>
      <c r="TE58" s="11">
        <f t="shared" si="55"/>
        <v>0</v>
      </c>
      <c r="TF58" s="11">
        <f t="shared" si="55"/>
        <v>0</v>
      </c>
      <c r="TG58" s="11">
        <f t="shared" si="55"/>
        <v>0</v>
      </c>
      <c r="TH58" s="11">
        <f t="shared" si="55"/>
        <v>0</v>
      </c>
      <c r="TI58" s="11">
        <f t="shared" si="55"/>
        <v>0</v>
      </c>
      <c r="TJ58" s="11">
        <f t="shared" si="55"/>
        <v>0</v>
      </c>
      <c r="TK58" s="11">
        <f t="shared" si="55"/>
        <v>0</v>
      </c>
      <c r="TL58" s="11">
        <f t="shared" si="55"/>
        <v>0</v>
      </c>
      <c r="TM58" s="11">
        <f t="shared" si="55"/>
        <v>0</v>
      </c>
      <c r="TN58" s="11">
        <f t="shared" si="55"/>
        <v>0</v>
      </c>
      <c r="TO58" s="11">
        <f t="shared" si="55"/>
        <v>0</v>
      </c>
      <c r="TP58" s="11">
        <f t="shared" si="55"/>
        <v>0</v>
      </c>
      <c r="TQ58" s="11">
        <f t="shared" si="55"/>
        <v>0</v>
      </c>
      <c r="TR58" s="11">
        <f t="shared" si="55"/>
        <v>0</v>
      </c>
      <c r="TS58" s="11">
        <f t="shared" si="55"/>
        <v>0</v>
      </c>
      <c r="TT58" s="11">
        <f t="shared" si="55"/>
        <v>0</v>
      </c>
      <c r="TU58" s="11">
        <f t="shared" si="55"/>
        <v>0</v>
      </c>
      <c r="TV58" s="11">
        <f t="shared" si="55"/>
        <v>0</v>
      </c>
      <c r="TW58" s="11">
        <f t="shared" si="55"/>
        <v>0</v>
      </c>
      <c r="TX58" s="11">
        <f t="shared" si="55"/>
        <v>0</v>
      </c>
      <c r="TY58" s="11">
        <f t="shared" si="55"/>
        <v>0</v>
      </c>
      <c r="TZ58" s="11">
        <f t="shared" si="55"/>
        <v>0</v>
      </c>
      <c r="UA58" s="11">
        <f t="shared" si="55"/>
        <v>0</v>
      </c>
      <c r="UB58" s="11">
        <f t="shared" si="55"/>
        <v>0</v>
      </c>
      <c r="UC58" s="11">
        <f t="shared" si="55"/>
        <v>0</v>
      </c>
      <c r="UD58" s="11">
        <f t="shared" si="55"/>
        <v>0</v>
      </c>
      <c r="UE58" s="11">
        <f t="shared" si="55"/>
        <v>0</v>
      </c>
      <c r="UF58" s="11">
        <f t="shared" si="55"/>
        <v>0</v>
      </c>
      <c r="UG58" s="11">
        <f t="shared" si="55"/>
        <v>0</v>
      </c>
      <c r="UH58" s="11">
        <f t="shared" si="55"/>
        <v>0</v>
      </c>
      <c r="UI58" s="11">
        <f t="shared" si="55"/>
        <v>0</v>
      </c>
      <c r="UJ58" s="11">
        <f t="shared" si="55"/>
        <v>0</v>
      </c>
      <c r="UK58" s="11">
        <f t="shared" si="55"/>
        <v>0</v>
      </c>
      <c r="UL58" s="11">
        <f t="shared" si="55"/>
        <v>0</v>
      </c>
      <c r="UM58" s="11">
        <f t="shared" si="55"/>
        <v>0</v>
      </c>
      <c r="UN58" s="11">
        <f t="shared" si="55"/>
        <v>0</v>
      </c>
      <c r="UO58" s="11">
        <f t="shared" si="55"/>
        <v>0</v>
      </c>
      <c r="UP58" s="11">
        <f t="shared" si="55"/>
        <v>0</v>
      </c>
      <c r="UQ58" s="11">
        <f t="shared" si="55"/>
        <v>0</v>
      </c>
      <c r="UR58" s="11">
        <f t="shared" si="55"/>
        <v>0</v>
      </c>
      <c r="US58" s="11">
        <f t="shared" si="55"/>
        <v>0</v>
      </c>
      <c r="UT58" s="11">
        <f t="shared" si="55"/>
        <v>0</v>
      </c>
      <c r="UU58" s="11">
        <f t="shared" si="55"/>
        <v>0</v>
      </c>
      <c r="UV58" s="11">
        <f t="shared" si="55"/>
        <v>0</v>
      </c>
      <c r="UW58" s="11">
        <f t="shared" si="55"/>
        <v>0</v>
      </c>
      <c r="UX58" s="11">
        <f t="shared" si="55"/>
        <v>0</v>
      </c>
      <c r="UY58" s="11">
        <f t="shared" si="55"/>
        <v>0</v>
      </c>
      <c r="UZ58" s="11">
        <f t="shared" si="55"/>
        <v>0</v>
      </c>
      <c r="VA58" s="11">
        <f t="shared" si="55"/>
        <v>0</v>
      </c>
      <c r="VB58" s="11">
        <f t="shared" si="55"/>
        <v>0</v>
      </c>
      <c r="VC58" s="11">
        <f t="shared" si="55"/>
        <v>0</v>
      </c>
      <c r="VD58" s="11">
        <f t="shared" si="55"/>
        <v>0</v>
      </c>
      <c r="VE58" s="11">
        <f t="shared" si="55"/>
        <v>0</v>
      </c>
      <c r="VF58" s="11">
        <f t="shared" si="55"/>
        <v>0</v>
      </c>
      <c r="VG58" s="11">
        <f t="shared" si="55"/>
        <v>0</v>
      </c>
      <c r="VH58" s="11">
        <f t="shared" si="55"/>
        <v>0</v>
      </c>
      <c r="VI58" s="11">
        <f t="shared" ref="VI58:XT58" si="56">VI57-VI37</f>
        <v>0</v>
      </c>
      <c r="VJ58" s="11">
        <f t="shared" si="56"/>
        <v>0</v>
      </c>
      <c r="VK58" s="11">
        <f t="shared" si="56"/>
        <v>0</v>
      </c>
      <c r="VL58" s="11">
        <f t="shared" si="56"/>
        <v>0</v>
      </c>
      <c r="VM58" s="11">
        <f t="shared" si="56"/>
        <v>0</v>
      </c>
      <c r="VN58" s="11">
        <f t="shared" si="56"/>
        <v>0</v>
      </c>
      <c r="VO58" s="11">
        <f t="shared" si="56"/>
        <v>0</v>
      </c>
      <c r="VP58" s="11">
        <f t="shared" si="56"/>
        <v>0</v>
      </c>
      <c r="VQ58" s="11">
        <f t="shared" si="56"/>
        <v>0</v>
      </c>
      <c r="VR58" s="11">
        <f t="shared" si="56"/>
        <v>0</v>
      </c>
      <c r="VS58" s="11">
        <f t="shared" si="56"/>
        <v>0</v>
      </c>
      <c r="VT58" s="11">
        <f t="shared" si="56"/>
        <v>0</v>
      </c>
      <c r="VU58" s="11">
        <f t="shared" si="56"/>
        <v>0</v>
      </c>
      <c r="VV58" s="11">
        <f t="shared" si="56"/>
        <v>0</v>
      </c>
      <c r="VW58" s="11">
        <f t="shared" si="56"/>
        <v>0</v>
      </c>
      <c r="VX58" s="11">
        <f t="shared" si="56"/>
        <v>0</v>
      </c>
      <c r="VY58" s="11">
        <f t="shared" si="56"/>
        <v>0</v>
      </c>
      <c r="VZ58" s="11">
        <f t="shared" si="56"/>
        <v>0</v>
      </c>
      <c r="WA58" s="11">
        <f t="shared" si="56"/>
        <v>0</v>
      </c>
      <c r="WB58" s="11">
        <f t="shared" si="56"/>
        <v>0</v>
      </c>
      <c r="WC58" s="11">
        <f t="shared" si="56"/>
        <v>0</v>
      </c>
      <c r="WD58" s="11">
        <f t="shared" si="56"/>
        <v>0</v>
      </c>
      <c r="WE58" s="11">
        <f t="shared" si="56"/>
        <v>0</v>
      </c>
      <c r="WF58" s="11">
        <f t="shared" si="56"/>
        <v>0</v>
      </c>
      <c r="WG58" s="11">
        <f t="shared" si="56"/>
        <v>0</v>
      </c>
      <c r="WH58" s="11">
        <f t="shared" si="56"/>
        <v>0</v>
      </c>
      <c r="WI58" s="11">
        <f t="shared" si="56"/>
        <v>0</v>
      </c>
      <c r="WJ58" s="11">
        <f t="shared" si="56"/>
        <v>0</v>
      </c>
      <c r="WK58" s="11">
        <f t="shared" si="56"/>
        <v>0</v>
      </c>
      <c r="WL58" s="11">
        <f t="shared" si="56"/>
        <v>0</v>
      </c>
      <c r="WM58" s="11">
        <f t="shared" si="56"/>
        <v>0</v>
      </c>
      <c r="WN58" s="11">
        <f t="shared" si="56"/>
        <v>0</v>
      </c>
      <c r="WO58" s="11">
        <f t="shared" si="56"/>
        <v>0</v>
      </c>
      <c r="WP58" s="11">
        <f t="shared" si="56"/>
        <v>0</v>
      </c>
      <c r="WQ58" s="11">
        <f t="shared" si="56"/>
        <v>0</v>
      </c>
      <c r="WR58" s="11">
        <f t="shared" si="56"/>
        <v>0</v>
      </c>
      <c r="WS58" s="11">
        <f t="shared" si="56"/>
        <v>0</v>
      </c>
      <c r="WT58" s="11">
        <f t="shared" si="56"/>
        <v>0</v>
      </c>
      <c r="WU58" s="11">
        <f t="shared" si="56"/>
        <v>0</v>
      </c>
      <c r="WV58" s="11">
        <f t="shared" si="56"/>
        <v>0</v>
      </c>
      <c r="WW58" s="11">
        <f t="shared" si="56"/>
        <v>0</v>
      </c>
      <c r="WX58" s="11">
        <f t="shared" si="56"/>
        <v>0</v>
      </c>
      <c r="WY58" s="11">
        <f t="shared" si="56"/>
        <v>0</v>
      </c>
      <c r="WZ58" s="11">
        <f t="shared" si="56"/>
        <v>0</v>
      </c>
      <c r="XA58" s="11">
        <f t="shared" si="56"/>
        <v>0</v>
      </c>
      <c r="XB58" s="11">
        <f t="shared" si="56"/>
        <v>0</v>
      </c>
      <c r="XC58" s="11">
        <f t="shared" si="56"/>
        <v>0</v>
      </c>
      <c r="XD58" s="11">
        <f t="shared" si="56"/>
        <v>0</v>
      </c>
      <c r="XE58" s="11">
        <f t="shared" si="56"/>
        <v>0</v>
      </c>
      <c r="XF58" s="11">
        <f t="shared" si="56"/>
        <v>0</v>
      </c>
      <c r="XG58" s="11">
        <f t="shared" si="56"/>
        <v>0</v>
      </c>
      <c r="XH58" s="11">
        <f t="shared" si="56"/>
        <v>0</v>
      </c>
      <c r="XI58" s="11">
        <f t="shared" si="56"/>
        <v>0</v>
      </c>
      <c r="XJ58" s="11">
        <f t="shared" si="56"/>
        <v>0</v>
      </c>
      <c r="XK58" s="11">
        <f t="shared" si="56"/>
        <v>0</v>
      </c>
      <c r="XL58" s="11">
        <f t="shared" si="56"/>
        <v>0</v>
      </c>
      <c r="XM58" s="11">
        <f t="shared" si="56"/>
        <v>0</v>
      </c>
      <c r="XN58" s="11">
        <f t="shared" si="56"/>
        <v>0</v>
      </c>
      <c r="XO58" s="11">
        <f t="shared" si="56"/>
        <v>0</v>
      </c>
      <c r="XP58" s="11">
        <f t="shared" si="56"/>
        <v>0</v>
      </c>
      <c r="XQ58" s="11">
        <f t="shared" si="56"/>
        <v>0</v>
      </c>
      <c r="XR58" s="11">
        <f t="shared" si="56"/>
        <v>0</v>
      </c>
      <c r="XS58" s="11">
        <f t="shared" si="56"/>
        <v>0</v>
      </c>
      <c r="XT58" s="11">
        <f t="shared" si="56"/>
        <v>0</v>
      </c>
      <c r="XU58" s="11">
        <f t="shared" ref="XU58:AAF58" si="57">XU57-XU37</f>
        <v>0</v>
      </c>
      <c r="XV58" s="11">
        <f t="shared" si="57"/>
        <v>0</v>
      </c>
      <c r="XW58" s="11">
        <f t="shared" si="57"/>
        <v>0</v>
      </c>
      <c r="XX58" s="11">
        <f t="shared" si="57"/>
        <v>0</v>
      </c>
      <c r="XY58" s="11">
        <f t="shared" si="57"/>
        <v>0</v>
      </c>
      <c r="XZ58" s="11">
        <f t="shared" si="57"/>
        <v>0</v>
      </c>
      <c r="YA58" s="11">
        <f t="shared" si="57"/>
        <v>0</v>
      </c>
      <c r="YB58" s="11">
        <f t="shared" si="57"/>
        <v>0</v>
      </c>
      <c r="YC58" s="11">
        <f t="shared" si="57"/>
        <v>0</v>
      </c>
      <c r="YD58" s="11">
        <f t="shared" si="57"/>
        <v>0</v>
      </c>
      <c r="YE58" s="11">
        <f t="shared" si="57"/>
        <v>0</v>
      </c>
      <c r="YF58" s="11">
        <f t="shared" si="57"/>
        <v>0</v>
      </c>
      <c r="YG58" s="11">
        <f t="shared" si="57"/>
        <v>0</v>
      </c>
      <c r="YH58" s="11">
        <f t="shared" si="57"/>
        <v>0</v>
      </c>
      <c r="YI58" s="11">
        <f t="shared" si="57"/>
        <v>0</v>
      </c>
      <c r="YJ58" s="11">
        <f t="shared" si="57"/>
        <v>0</v>
      </c>
      <c r="YK58" s="11">
        <f t="shared" si="57"/>
        <v>0</v>
      </c>
      <c r="YL58" s="11">
        <f t="shared" si="57"/>
        <v>0</v>
      </c>
      <c r="YM58" s="11">
        <f t="shared" si="57"/>
        <v>0</v>
      </c>
      <c r="YN58" s="11">
        <f t="shared" si="57"/>
        <v>0</v>
      </c>
      <c r="YO58" s="11">
        <f t="shared" si="57"/>
        <v>0</v>
      </c>
      <c r="YP58" s="11">
        <f t="shared" si="57"/>
        <v>0</v>
      </c>
      <c r="YQ58" s="11">
        <f t="shared" si="57"/>
        <v>0</v>
      </c>
      <c r="YR58" s="11">
        <f t="shared" si="57"/>
        <v>0</v>
      </c>
      <c r="YS58" s="11">
        <f t="shared" si="57"/>
        <v>0</v>
      </c>
      <c r="YT58" s="11">
        <f t="shared" si="57"/>
        <v>0</v>
      </c>
      <c r="YU58" s="11">
        <f t="shared" si="57"/>
        <v>0</v>
      </c>
      <c r="YV58" s="11">
        <f t="shared" si="57"/>
        <v>0</v>
      </c>
      <c r="YW58" s="11">
        <f t="shared" si="57"/>
        <v>0</v>
      </c>
      <c r="YX58" s="11">
        <f t="shared" si="57"/>
        <v>0</v>
      </c>
      <c r="YY58" s="11">
        <f t="shared" si="57"/>
        <v>0</v>
      </c>
      <c r="YZ58" s="11">
        <f t="shared" si="57"/>
        <v>0</v>
      </c>
      <c r="ZA58" s="11">
        <f t="shared" si="57"/>
        <v>0</v>
      </c>
      <c r="ZB58" s="11">
        <f t="shared" si="57"/>
        <v>0</v>
      </c>
      <c r="ZC58" s="11">
        <f t="shared" si="57"/>
        <v>0</v>
      </c>
      <c r="ZD58" s="11">
        <f t="shared" si="57"/>
        <v>0</v>
      </c>
      <c r="ZE58" s="11">
        <f t="shared" si="57"/>
        <v>0</v>
      </c>
      <c r="ZF58" s="11">
        <f t="shared" si="57"/>
        <v>0</v>
      </c>
      <c r="ZG58" s="11">
        <f t="shared" si="57"/>
        <v>0</v>
      </c>
      <c r="ZH58" s="11">
        <f t="shared" si="57"/>
        <v>0</v>
      </c>
      <c r="ZI58" s="11">
        <f t="shared" si="57"/>
        <v>0</v>
      </c>
      <c r="ZJ58" s="11">
        <f t="shared" si="57"/>
        <v>0</v>
      </c>
      <c r="ZK58" s="11">
        <f t="shared" si="57"/>
        <v>0</v>
      </c>
      <c r="ZL58" s="11">
        <f t="shared" si="57"/>
        <v>0</v>
      </c>
      <c r="ZM58" s="11">
        <f t="shared" si="57"/>
        <v>0</v>
      </c>
      <c r="ZN58" s="11">
        <f t="shared" si="57"/>
        <v>0</v>
      </c>
      <c r="ZO58" s="11">
        <f t="shared" si="57"/>
        <v>0</v>
      </c>
      <c r="ZP58" s="11">
        <f t="shared" si="57"/>
        <v>0</v>
      </c>
      <c r="ZQ58" s="11">
        <f t="shared" si="57"/>
        <v>0</v>
      </c>
      <c r="ZR58" s="11">
        <f t="shared" si="57"/>
        <v>0</v>
      </c>
      <c r="ZS58" s="11">
        <f t="shared" si="57"/>
        <v>0</v>
      </c>
      <c r="ZT58" s="11">
        <f t="shared" si="57"/>
        <v>0</v>
      </c>
      <c r="ZU58" s="11">
        <f t="shared" si="57"/>
        <v>0</v>
      </c>
      <c r="ZV58" s="11">
        <f t="shared" si="57"/>
        <v>0</v>
      </c>
      <c r="ZW58" s="11">
        <f t="shared" si="57"/>
        <v>0</v>
      </c>
      <c r="ZX58" s="11">
        <f t="shared" si="57"/>
        <v>0</v>
      </c>
      <c r="ZY58" s="11">
        <f t="shared" si="57"/>
        <v>0</v>
      </c>
      <c r="ZZ58" s="11">
        <f t="shared" si="57"/>
        <v>0</v>
      </c>
      <c r="AAA58" s="11">
        <f t="shared" si="57"/>
        <v>0</v>
      </c>
      <c r="AAB58" s="11">
        <f t="shared" si="57"/>
        <v>0</v>
      </c>
      <c r="AAC58" s="11">
        <f t="shared" si="57"/>
        <v>0</v>
      </c>
      <c r="AAD58" s="11">
        <f t="shared" si="57"/>
        <v>0</v>
      </c>
      <c r="AAE58" s="11">
        <f t="shared" si="57"/>
        <v>0</v>
      </c>
      <c r="AAF58" s="11">
        <f t="shared" si="57"/>
        <v>0</v>
      </c>
      <c r="AAG58" s="11">
        <f t="shared" ref="AAG58:ACR58" si="58">AAG57-AAG37</f>
        <v>0</v>
      </c>
      <c r="AAH58" s="11">
        <f t="shared" si="58"/>
        <v>0</v>
      </c>
      <c r="AAI58" s="11">
        <f t="shared" si="58"/>
        <v>0</v>
      </c>
      <c r="AAJ58" s="11">
        <f t="shared" si="58"/>
        <v>0</v>
      </c>
      <c r="AAK58" s="11">
        <f t="shared" si="58"/>
        <v>0</v>
      </c>
      <c r="AAL58" s="11">
        <f t="shared" si="58"/>
        <v>0</v>
      </c>
      <c r="AAM58" s="11">
        <f t="shared" si="58"/>
        <v>0</v>
      </c>
      <c r="AAN58" s="11">
        <f t="shared" si="58"/>
        <v>0</v>
      </c>
      <c r="AAO58" s="11">
        <f t="shared" si="58"/>
        <v>0</v>
      </c>
      <c r="AAP58" s="11">
        <f t="shared" si="58"/>
        <v>0</v>
      </c>
      <c r="AAQ58" s="11">
        <f t="shared" si="58"/>
        <v>0</v>
      </c>
      <c r="AAR58" s="11">
        <f t="shared" si="58"/>
        <v>0</v>
      </c>
      <c r="AAS58" s="11">
        <f t="shared" si="58"/>
        <v>0</v>
      </c>
      <c r="AAT58" s="11">
        <f t="shared" si="58"/>
        <v>0</v>
      </c>
      <c r="AAU58" s="11">
        <f t="shared" si="58"/>
        <v>0</v>
      </c>
      <c r="AAV58" s="11">
        <f t="shared" si="58"/>
        <v>0</v>
      </c>
      <c r="AAW58" s="11">
        <f t="shared" si="58"/>
        <v>0</v>
      </c>
      <c r="AAX58" s="11">
        <f t="shared" si="58"/>
        <v>0</v>
      </c>
      <c r="AAY58" s="11">
        <f t="shared" si="58"/>
        <v>0</v>
      </c>
      <c r="AAZ58" s="11">
        <f t="shared" si="58"/>
        <v>0</v>
      </c>
      <c r="ABA58" s="11">
        <f t="shared" si="58"/>
        <v>0</v>
      </c>
      <c r="ABB58" s="11">
        <f t="shared" si="58"/>
        <v>0</v>
      </c>
      <c r="ABC58" s="11">
        <f t="shared" si="58"/>
        <v>0</v>
      </c>
      <c r="ABD58" s="11">
        <f t="shared" si="58"/>
        <v>0</v>
      </c>
      <c r="ABE58" s="11">
        <f t="shared" si="58"/>
        <v>0</v>
      </c>
      <c r="ABF58" s="11">
        <f t="shared" si="58"/>
        <v>0</v>
      </c>
      <c r="ABG58" s="11">
        <f t="shared" si="58"/>
        <v>0</v>
      </c>
      <c r="ABH58" s="11">
        <f t="shared" si="58"/>
        <v>0</v>
      </c>
      <c r="ABI58" s="11">
        <f t="shared" si="58"/>
        <v>0</v>
      </c>
      <c r="ABJ58" s="11">
        <f t="shared" si="58"/>
        <v>0</v>
      </c>
      <c r="ABK58" s="11">
        <f t="shared" si="58"/>
        <v>0</v>
      </c>
      <c r="ABL58" s="11">
        <f t="shared" si="58"/>
        <v>0</v>
      </c>
      <c r="ABM58" s="11">
        <f t="shared" si="58"/>
        <v>0</v>
      </c>
      <c r="ABN58" s="11">
        <f t="shared" si="58"/>
        <v>0</v>
      </c>
      <c r="ABO58" s="11">
        <f t="shared" si="58"/>
        <v>0</v>
      </c>
      <c r="ABP58" s="11">
        <f t="shared" si="58"/>
        <v>0</v>
      </c>
      <c r="ABQ58" s="11">
        <f t="shared" si="58"/>
        <v>0</v>
      </c>
      <c r="ABR58" s="11">
        <f t="shared" si="58"/>
        <v>0</v>
      </c>
      <c r="ABS58" s="11">
        <f t="shared" si="58"/>
        <v>0</v>
      </c>
      <c r="ABT58" s="11">
        <f t="shared" si="58"/>
        <v>0</v>
      </c>
      <c r="ABU58" s="11">
        <f t="shared" si="58"/>
        <v>0</v>
      </c>
      <c r="ABV58" s="11">
        <f t="shared" si="58"/>
        <v>0</v>
      </c>
      <c r="ABW58" s="11">
        <f t="shared" si="58"/>
        <v>0</v>
      </c>
      <c r="ABX58" s="11">
        <f t="shared" si="58"/>
        <v>0</v>
      </c>
      <c r="ABY58" s="11">
        <f t="shared" si="58"/>
        <v>0</v>
      </c>
      <c r="ABZ58" s="11">
        <f t="shared" si="58"/>
        <v>0</v>
      </c>
      <c r="ACA58" s="11">
        <f t="shared" si="58"/>
        <v>0</v>
      </c>
      <c r="ACB58" s="11">
        <f t="shared" si="58"/>
        <v>0</v>
      </c>
      <c r="ACC58" s="11">
        <f t="shared" si="58"/>
        <v>0</v>
      </c>
      <c r="ACD58" s="11">
        <f t="shared" si="58"/>
        <v>0</v>
      </c>
      <c r="ACE58" s="11">
        <f t="shared" si="58"/>
        <v>0</v>
      </c>
      <c r="ACF58" s="11">
        <f t="shared" si="58"/>
        <v>0</v>
      </c>
      <c r="ACG58" s="11">
        <f t="shared" si="58"/>
        <v>0</v>
      </c>
      <c r="ACH58" s="11">
        <f t="shared" si="58"/>
        <v>0</v>
      </c>
      <c r="ACI58" s="11">
        <f t="shared" si="58"/>
        <v>0</v>
      </c>
      <c r="ACJ58" s="11">
        <f t="shared" si="58"/>
        <v>0</v>
      </c>
      <c r="ACK58" s="11">
        <f t="shared" si="58"/>
        <v>0</v>
      </c>
      <c r="ACL58" s="11">
        <f t="shared" si="58"/>
        <v>0</v>
      </c>
      <c r="ACM58" s="11">
        <f t="shared" si="58"/>
        <v>0</v>
      </c>
      <c r="ACN58" s="11">
        <f t="shared" si="58"/>
        <v>0</v>
      </c>
      <c r="ACO58" s="11">
        <f t="shared" si="58"/>
        <v>0</v>
      </c>
      <c r="ACP58" s="11">
        <f t="shared" si="58"/>
        <v>0</v>
      </c>
      <c r="ACQ58" s="11">
        <f t="shared" si="58"/>
        <v>0</v>
      </c>
      <c r="ACR58" s="11">
        <f t="shared" si="58"/>
        <v>0</v>
      </c>
      <c r="ACS58" s="11">
        <f t="shared" ref="ACS58:AFD58" si="59">ACS57-ACS37</f>
        <v>0</v>
      </c>
      <c r="ACT58" s="11">
        <f t="shared" si="59"/>
        <v>0</v>
      </c>
      <c r="ACU58" s="11">
        <f t="shared" si="59"/>
        <v>0</v>
      </c>
      <c r="ACV58" s="11">
        <f t="shared" si="59"/>
        <v>0</v>
      </c>
      <c r="ACW58" s="11">
        <f t="shared" si="59"/>
        <v>0</v>
      </c>
      <c r="ACX58" s="11">
        <f t="shared" si="59"/>
        <v>0</v>
      </c>
      <c r="ACY58" s="11">
        <f t="shared" si="59"/>
        <v>0</v>
      </c>
      <c r="ACZ58" s="11">
        <f t="shared" si="59"/>
        <v>0</v>
      </c>
      <c r="ADA58" s="11">
        <f t="shared" si="59"/>
        <v>0</v>
      </c>
      <c r="ADB58" s="11">
        <f t="shared" si="59"/>
        <v>0</v>
      </c>
      <c r="ADC58" s="11">
        <f t="shared" si="59"/>
        <v>0</v>
      </c>
      <c r="ADD58" s="11">
        <f t="shared" si="59"/>
        <v>0</v>
      </c>
      <c r="ADE58" s="11">
        <f t="shared" si="59"/>
        <v>0</v>
      </c>
      <c r="ADF58" s="11">
        <f t="shared" si="59"/>
        <v>0</v>
      </c>
      <c r="ADG58" s="11">
        <f t="shared" si="59"/>
        <v>0</v>
      </c>
      <c r="ADH58" s="11">
        <f t="shared" si="59"/>
        <v>0</v>
      </c>
      <c r="ADI58" s="11">
        <f t="shared" si="59"/>
        <v>0</v>
      </c>
      <c r="ADJ58" s="11">
        <f t="shared" si="59"/>
        <v>0</v>
      </c>
      <c r="ADK58" s="11">
        <f t="shared" si="59"/>
        <v>0</v>
      </c>
      <c r="ADL58" s="11">
        <f t="shared" si="59"/>
        <v>0</v>
      </c>
      <c r="ADM58" s="11">
        <f t="shared" si="59"/>
        <v>0</v>
      </c>
      <c r="ADN58" s="11">
        <f t="shared" si="59"/>
        <v>0</v>
      </c>
      <c r="ADO58" s="11">
        <f t="shared" si="59"/>
        <v>0</v>
      </c>
      <c r="ADP58" s="11">
        <f t="shared" si="59"/>
        <v>0</v>
      </c>
      <c r="ADQ58" s="11">
        <f t="shared" si="59"/>
        <v>0</v>
      </c>
      <c r="ADR58" s="11">
        <f t="shared" si="59"/>
        <v>0</v>
      </c>
      <c r="ADS58" s="11">
        <f t="shared" si="59"/>
        <v>0</v>
      </c>
      <c r="ADT58" s="11">
        <f t="shared" si="59"/>
        <v>0</v>
      </c>
      <c r="ADU58" s="11">
        <f t="shared" si="59"/>
        <v>0</v>
      </c>
      <c r="ADV58" s="11">
        <f t="shared" si="59"/>
        <v>0</v>
      </c>
      <c r="ADW58" s="11">
        <f t="shared" si="59"/>
        <v>0</v>
      </c>
      <c r="ADX58" s="11">
        <f t="shared" si="59"/>
        <v>0</v>
      </c>
      <c r="ADY58" s="11">
        <f t="shared" si="59"/>
        <v>0</v>
      </c>
      <c r="ADZ58" s="11">
        <f t="shared" si="59"/>
        <v>0</v>
      </c>
      <c r="AEA58" s="11">
        <f t="shared" si="59"/>
        <v>0</v>
      </c>
      <c r="AEB58" s="11">
        <f t="shared" si="59"/>
        <v>0</v>
      </c>
      <c r="AEC58" s="11">
        <f t="shared" si="59"/>
        <v>0</v>
      </c>
      <c r="AED58" s="11">
        <f t="shared" si="59"/>
        <v>0</v>
      </c>
      <c r="AEE58" s="11">
        <f t="shared" si="59"/>
        <v>0</v>
      </c>
      <c r="AEF58" s="11">
        <f t="shared" si="59"/>
        <v>0</v>
      </c>
      <c r="AEG58" s="11">
        <f t="shared" si="59"/>
        <v>0</v>
      </c>
      <c r="AEH58" s="11">
        <f t="shared" si="59"/>
        <v>0</v>
      </c>
      <c r="AEI58" s="11">
        <f t="shared" si="59"/>
        <v>0</v>
      </c>
      <c r="AEJ58" s="11">
        <f t="shared" si="59"/>
        <v>0</v>
      </c>
      <c r="AEK58" s="11">
        <f t="shared" si="59"/>
        <v>0</v>
      </c>
      <c r="AEL58" s="11">
        <f t="shared" si="59"/>
        <v>0</v>
      </c>
      <c r="AEM58" s="11">
        <f t="shared" si="59"/>
        <v>0</v>
      </c>
      <c r="AEN58" s="11">
        <f t="shared" si="59"/>
        <v>0</v>
      </c>
      <c r="AEO58" s="11">
        <f t="shared" si="59"/>
        <v>0</v>
      </c>
      <c r="AEP58" s="11">
        <f t="shared" si="59"/>
        <v>0</v>
      </c>
      <c r="AEQ58" s="11">
        <f t="shared" si="59"/>
        <v>0</v>
      </c>
      <c r="AER58" s="11">
        <f t="shared" si="59"/>
        <v>0</v>
      </c>
      <c r="AES58" s="11">
        <f t="shared" si="59"/>
        <v>0</v>
      </c>
      <c r="AET58" s="11">
        <f t="shared" si="59"/>
        <v>0</v>
      </c>
      <c r="AEU58" s="11">
        <f t="shared" si="59"/>
        <v>0</v>
      </c>
      <c r="AEV58" s="11">
        <f t="shared" si="59"/>
        <v>0</v>
      </c>
      <c r="AEW58" s="11">
        <f t="shared" si="59"/>
        <v>0</v>
      </c>
      <c r="AEX58" s="11">
        <f t="shared" si="59"/>
        <v>0</v>
      </c>
      <c r="AEY58" s="11">
        <f t="shared" si="59"/>
        <v>0</v>
      </c>
      <c r="AEZ58" s="11">
        <f t="shared" si="59"/>
        <v>0</v>
      </c>
      <c r="AFA58" s="11">
        <f t="shared" si="59"/>
        <v>0</v>
      </c>
      <c r="AFB58" s="11">
        <f t="shared" si="59"/>
        <v>0</v>
      </c>
      <c r="AFC58" s="11">
        <f t="shared" si="59"/>
        <v>0</v>
      </c>
      <c r="AFD58" s="11">
        <f t="shared" si="59"/>
        <v>0</v>
      </c>
      <c r="AFE58" s="11">
        <f t="shared" ref="AFE58:AHP58" si="60">AFE57-AFE37</f>
        <v>0</v>
      </c>
      <c r="AFF58" s="11">
        <f t="shared" si="60"/>
        <v>0</v>
      </c>
      <c r="AFG58" s="11">
        <f t="shared" si="60"/>
        <v>0</v>
      </c>
      <c r="AFH58" s="11">
        <f t="shared" si="60"/>
        <v>0</v>
      </c>
      <c r="AFI58" s="11">
        <f t="shared" si="60"/>
        <v>0</v>
      </c>
      <c r="AFJ58" s="11">
        <f t="shared" si="60"/>
        <v>0</v>
      </c>
      <c r="AFK58" s="11">
        <f t="shared" si="60"/>
        <v>0</v>
      </c>
      <c r="AFL58" s="11">
        <f t="shared" si="60"/>
        <v>0</v>
      </c>
      <c r="AFM58" s="11">
        <f t="shared" si="60"/>
        <v>0</v>
      </c>
      <c r="AFN58" s="11">
        <f t="shared" si="60"/>
        <v>0</v>
      </c>
      <c r="AFO58" s="11">
        <f t="shared" si="60"/>
        <v>0</v>
      </c>
      <c r="AFP58" s="11">
        <f t="shared" si="60"/>
        <v>0</v>
      </c>
      <c r="AFQ58" s="11">
        <f t="shared" si="60"/>
        <v>0</v>
      </c>
      <c r="AFR58" s="11">
        <f t="shared" si="60"/>
        <v>0</v>
      </c>
      <c r="AFS58" s="11">
        <f t="shared" si="60"/>
        <v>0</v>
      </c>
      <c r="AFT58" s="11">
        <f t="shared" si="60"/>
        <v>0</v>
      </c>
      <c r="AFU58" s="11">
        <f t="shared" si="60"/>
        <v>0</v>
      </c>
      <c r="AFV58" s="11">
        <f t="shared" si="60"/>
        <v>0</v>
      </c>
      <c r="AFW58" s="11">
        <f t="shared" si="60"/>
        <v>0</v>
      </c>
      <c r="AFX58" s="11">
        <f t="shared" si="60"/>
        <v>0</v>
      </c>
      <c r="AFY58" s="11">
        <f t="shared" si="60"/>
        <v>0</v>
      </c>
      <c r="AFZ58" s="11">
        <f t="shared" si="60"/>
        <v>0</v>
      </c>
      <c r="AGA58" s="11">
        <f t="shared" si="60"/>
        <v>0</v>
      </c>
      <c r="AGB58" s="11">
        <f t="shared" si="60"/>
        <v>0</v>
      </c>
      <c r="AGC58" s="11">
        <f t="shared" si="60"/>
        <v>0</v>
      </c>
      <c r="AGD58" s="11">
        <f t="shared" si="60"/>
        <v>0</v>
      </c>
      <c r="AGE58" s="11">
        <f t="shared" si="60"/>
        <v>0</v>
      </c>
      <c r="AGF58" s="11">
        <f t="shared" si="60"/>
        <v>0</v>
      </c>
      <c r="AGG58" s="11">
        <f t="shared" si="60"/>
        <v>0</v>
      </c>
      <c r="AGH58" s="11">
        <f t="shared" si="60"/>
        <v>0</v>
      </c>
      <c r="AGI58" s="11">
        <f t="shared" si="60"/>
        <v>0</v>
      </c>
      <c r="AGJ58" s="11">
        <f t="shared" si="60"/>
        <v>0</v>
      </c>
      <c r="AGK58" s="11">
        <f t="shared" si="60"/>
        <v>0</v>
      </c>
      <c r="AGL58" s="11">
        <f t="shared" si="60"/>
        <v>0</v>
      </c>
      <c r="AGM58" s="11">
        <f t="shared" si="60"/>
        <v>0</v>
      </c>
      <c r="AGN58" s="11">
        <f t="shared" si="60"/>
        <v>0</v>
      </c>
      <c r="AGO58" s="11">
        <f t="shared" si="60"/>
        <v>0</v>
      </c>
      <c r="AGP58" s="11">
        <f t="shared" si="60"/>
        <v>0</v>
      </c>
      <c r="AGQ58" s="11">
        <f t="shared" si="60"/>
        <v>0</v>
      </c>
      <c r="AGR58" s="11">
        <f t="shared" si="60"/>
        <v>0</v>
      </c>
      <c r="AGS58" s="11">
        <f t="shared" si="60"/>
        <v>0</v>
      </c>
      <c r="AGT58" s="11">
        <f t="shared" si="60"/>
        <v>0</v>
      </c>
      <c r="AGU58" s="11">
        <f t="shared" si="60"/>
        <v>0</v>
      </c>
      <c r="AGV58" s="11">
        <f t="shared" si="60"/>
        <v>0</v>
      </c>
      <c r="AGW58" s="11">
        <f t="shared" si="60"/>
        <v>0</v>
      </c>
      <c r="AGX58" s="11">
        <f t="shared" si="60"/>
        <v>0</v>
      </c>
      <c r="AGY58" s="11">
        <f t="shared" si="60"/>
        <v>0</v>
      </c>
      <c r="AGZ58" s="11">
        <f t="shared" si="60"/>
        <v>0</v>
      </c>
      <c r="AHA58" s="11">
        <f t="shared" si="60"/>
        <v>0</v>
      </c>
      <c r="AHB58" s="11">
        <f t="shared" si="60"/>
        <v>0</v>
      </c>
      <c r="AHC58" s="11">
        <f t="shared" si="60"/>
        <v>0</v>
      </c>
      <c r="AHD58" s="11">
        <f t="shared" si="60"/>
        <v>0</v>
      </c>
      <c r="AHE58" s="11">
        <f t="shared" si="60"/>
        <v>0</v>
      </c>
      <c r="AHF58" s="11">
        <f t="shared" si="60"/>
        <v>0</v>
      </c>
      <c r="AHG58" s="11">
        <f t="shared" si="60"/>
        <v>0</v>
      </c>
      <c r="AHH58" s="11">
        <f t="shared" si="60"/>
        <v>0</v>
      </c>
      <c r="AHI58" s="11">
        <f t="shared" si="60"/>
        <v>0</v>
      </c>
      <c r="AHJ58" s="11">
        <f t="shared" si="60"/>
        <v>0</v>
      </c>
      <c r="AHK58" s="11">
        <f t="shared" si="60"/>
        <v>0</v>
      </c>
      <c r="AHL58" s="11">
        <f t="shared" si="60"/>
        <v>0</v>
      </c>
      <c r="AHM58" s="11">
        <f t="shared" si="60"/>
        <v>0</v>
      </c>
      <c r="AHN58" s="11">
        <f t="shared" si="60"/>
        <v>0</v>
      </c>
      <c r="AHO58" s="11">
        <f t="shared" si="60"/>
        <v>0</v>
      </c>
      <c r="AHP58" s="11">
        <f t="shared" si="60"/>
        <v>0</v>
      </c>
      <c r="AHQ58" s="11">
        <f t="shared" ref="AHQ58:AHT58" si="61">AHQ57-AHQ37</f>
        <v>0</v>
      </c>
      <c r="AHR58" s="11">
        <f t="shared" si="61"/>
        <v>0</v>
      </c>
      <c r="AHS58" s="11">
        <f t="shared" si="61"/>
        <v>0</v>
      </c>
      <c r="AHT58" s="11">
        <f t="shared" si="61"/>
        <v>0</v>
      </c>
      <c r="AHU58" s="11"/>
    </row>
    <row r="61" spans="1:908" x14ac:dyDescent="0.7">
      <c r="A61" s="6" t="s">
        <v>6278</v>
      </c>
      <c r="B61" s="6" t="s">
        <v>6464</v>
      </c>
      <c r="C61" s="6" t="s">
        <v>6465</v>
      </c>
      <c r="D61" s="11">
        <v>27947388.199999999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>
        <v>71005720.739999995</v>
      </c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48456994.259999998</v>
      </c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>
        <v>48429554.5</v>
      </c>
      <c r="BJ61" s="11">
        <v>0</v>
      </c>
      <c r="BK61" s="11"/>
      <c r="BL61" s="11"/>
      <c r="BM61" s="11"/>
      <c r="BN61" s="11"/>
      <c r="BO61" s="11"/>
      <c r="BP61" s="11"/>
      <c r="BQ61" s="11"/>
      <c r="BR61" s="11">
        <v>25681197.469999999</v>
      </c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>
        <v>85769153.640000001</v>
      </c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>
        <v>42027951.939999998</v>
      </c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>
        <v>0</v>
      </c>
      <c r="DL61" s="11"/>
      <c r="DM61" s="11"/>
      <c r="DN61" s="11"/>
      <c r="DO61" s="11"/>
      <c r="DP61" s="11"/>
      <c r="DQ61" s="11"/>
      <c r="DR61" s="11"/>
      <c r="DS61" s="11"/>
      <c r="DT61" s="11">
        <v>61560504.850000001</v>
      </c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>
        <v>0</v>
      </c>
      <c r="EF61" s="11">
        <v>12393829.74</v>
      </c>
      <c r="EG61" s="11"/>
      <c r="EH61" s="11"/>
      <c r="EI61" s="11"/>
      <c r="EJ61" s="11"/>
      <c r="EK61" s="11"/>
      <c r="EL61" s="11"/>
      <c r="EM61" s="11"/>
      <c r="EN61" s="11">
        <v>57512216.810000002</v>
      </c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>
        <v>25674190.359999999</v>
      </c>
      <c r="FJ61" s="11"/>
      <c r="FK61" s="11"/>
      <c r="FL61" s="11"/>
      <c r="FM61" s="11"/>
      <c r="FN61" s="11"/>
      <c r="FO61" s="11"/>
      <c r="FP61" s="11"/>
      <c r="FQ61" s="11">
        <v>107867729.61</v>
      </c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>
        <v>27677143.850000001</v>
      </c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>
        <v>19817651.219999999</v>
      </c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>
        <v>130035892.41</v>
      </c>
      <c r="HD61" s="11"/>
      <c r="HE61" s="11"/>
      <c r="HF61" s="11"/>
      <c r="HG61" s="11"/>
      <c r="HH61" s="11"/>
      <c r="HI61" s="11"/>
      <c r="HJ61" s="11"/>
      <c r="HK61" s="11">
        <v>4343436.1900000004</v>
      </c>
      <c r="HL61" s="11"/>
      <c r="HM61" s="11"/>
      <c r="HN61" s="11"/>
      <c r="HO61" s="11"/>
      <c r="HP61" s="11"/>
      <c r="HQ61" s="11"/>
      <c r="HR61" s="11"/>
      <c r="HS61" s="11">
        <v>48895235.189999998</v>
      </c>
      <c r="HT61" s="11">
        <v>21139703.879999999</v>
      </c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>
        <v>38602385.740000002</v>
      </c>
      <c r="IJ61" s="11">
        <v>0</v>
      </c>
      <c r="IK61" s="11"/>
      <c r="IL61" s="11"/>
      <c r="IM61" s="11"/>
      <c r="IN61" s="11"/>
      <c r="IO61" s="11"/>
      <c r="IP61" s="11"/>
      <c r="IQ61" s="11"/>
      <c r="IR61" s="11"/>
      <c r="IS61" s="11"/>
      <c r="IT61" s="11">
        <v>99133728.159999996</v>
      </c>
      <c r="IU61" s="11">
        <v>40558421.009999998</v>
      </c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>
        <v>23370174.219999999</v>
      </c>
      <c r="JG61" s="11"/>
      <c r="JH61" s="11"/>
      <c r="JI61" s="11"/>
      <c r="JJ61" s="11"/>
      <c r="JK61" s="11"/>
      <c r="JL61" s="11">
        <v>0</v>
      </c>
      <c r="JM61" s="11"/>
      <c r="JN61" s="11"/>
      <c r="JO61" s="11"/>
      <c r="JP61" s="11"/>
      <c r="JQ61" s="11"/>
      <c r="JR61" s="11"/>
      <c r="JS61" s="11">
        <v>52878369.469999999</v>
      </c>
      <c r="JT61" s="11">
        <v>10924141.699999999</v>
      </c>
      <c r="JU61" s="11"/>
      <c r="JV61" s="11"/>
      <c r="JW61" s="11">
        <v>373800</v>
      </c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>
        <v>269061599.42000002</v>
      </c>
      <c r="LI61" s="11">
        <v>39586156.939999998</v>
      </c>
      <c r="LJ61" s="11">
        <v>30389244.25</v>
      </c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>
        <v>11803015.970000001</v>
      </c>
      <c r="LW61" s="11"/>
      <c r="LX61" s="11"/>
      <c r="LY61" s="11">
        <v>6371555.5499999998</v>
      </c>
      <c r="LZ61" s="11"/>
      <c r="MA61" s="11"/>
      <c r="MB61" s="11"/>
      <c r="MC61" s="11"/>
      <c r="MD61" s="11"/>
      <c r="ME61" s="11"/>
      <c r="MF61" s="11"/>
      <c r="MG61" s="11"/>
      <c r="MH61" s="11">
        <v>1102980</v>
      </c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>
        <v>126395368.79000001</v>
      </c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>
        <v>0</v>
      </c>
      <c r="NY61" s="11"/>
      <c r="NZ61" s="11"/>
      <c r="OA61" s="11"/>
      <c r="OB61" s="11"/>
      <c r="OC61" s="11"/>
      <c r="OD61" s="11"/>
      <c r="OE61" s="11">
        <v>0</v>
      </c>
      <c r="OF61" s="11"/>
      <c r="OG61" s="11"/>
      <c r="OH61" s="11"/>
      <c r="OI61" s="11"/>
      <c r="OJ61" s="11"/>
      <c r="OK61" s="11"/>
      <c r="OL61" s="11"/>
      <c r="OM61" s="11"/>
      <c r="ON61" s="11">
        <v>46536113.030000001</v>
      </c>
      <c r="OO61" s="11"/>
      <c r="OP61" s="11"/>
      <c r="OQ61" s="11"/>
      <c r="OR61" s="11"/>
      <c r="OS61" s="11"/>
      <c r="OT61" s="11">
        <v>18777713.43</v>
      </c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>
        <v>173052829.41999999</v>
      </c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>
        <v>6311768.4000000004</v>
      </c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>
        <v>80</v>
      </c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>
        <v>65578359.18</v>
      </c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>
        <v>7554945.5700000003</v>
      </c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>
        <v>1028911.5</v>
      </c>
      <c r="XJ61" s="11"/>
      <c r="XK61" s="11"/>
      <c r="XL61" s="11">
        <v>1559447.4</v>
      </c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>
        <v>111007589.7</v>
      </c>
      <c r="YG61" s="11"/>
      <c r="YH61" s="11"/>
      <c r="YI61" s="11"/>
      <c r="YJ61" s="11">
        <v>27931095.420000002</v>
      </c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>
        <v>0</v>
      </c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>
        <v>13174168.66</v>
      </c>
      <c r="ABQ61" s="11"/>
      <c r="ABR61" s="11"/>
      <c r="ABS61" s="11"/>
      <c r="ABT61" s="11"/>
      <c r="ABU61" s="11"/>
      <c r="ABV61" s="11"/>
      <c r="ABW61" s="11"/>
      <c r="ABX61" s="11"/>
      <c r="ABY61" s="11">
        <v>127717133.72</v>
      </c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>
        <v>106045857.31999999</v>
      </c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>
        <v>61199018.619999997</v>
      </c>
      <c r="AEU61" s="11"/>
      <c r="AEV61" s="11"/>
      <c r="AEW61" s="11"/>
      <c r="AEX61" s="11"/>
      <c r="AEY61" s="11"/>
      <c r="AEZ61" s="11"/>
      <c r="AFA61" s="11"/>
      <c r="AFB61" s="11"/>
      <c r="AFC61" s="11"/>
      <c r="AFD61" s="11">
        <v>0</v>
      </c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>
        <v>30024408.48</v>
      </c>
      <c r="AGO61" s="11"/>
      <c r="AGP61" s="11"/>
      <c r="AGQ61" s="11"/>
      <c r="AGR61" s="11"/>
      <c r="AGS61" s="11"/>
      <c r="AGT61" s="11"/>
      <c r="AGU61" s="11"/>
      <c r="AGV61" s="11">
        <v>106287690.20999999</v>
      </c>
      <c r="AGW61" s="11">
        <v>156876330.96000001</v>
      </c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>
        <v>23597901.18</v>
      </c>
      <c r="AHN61" s="11"/>
      <c r="AHO61" s="11"/>
      <c r="AHP61" s="11"/>
      <c r="AHQ61" s="11"/>
      <c r="AHR61" s="11"/>
      <c r="AHS61" s="11"/>
      <c r="AHT61" s="11">
        <v>2701047798.2800007</v>
      </c>
      <c r="AHV61" s="269" t="s">
        <v>6278</v>
      </c>
      <c r="AHW61" s="269" t="s">
        <v>6063</v>
      </c>
      <c r="AHX61" s="269" t="s">
        <v>6064</v>
      </c>
    </row>
    <row r="62" spans="1:908" x14ac:dyDescent="0.7">
      <c r="A62" s="6" t="s">
        <v>6278</v>
      </c>
      <c r="B62" s="6" t="s">
        <v>6466</v>
      </c>
      <c r="C62" s="6" t="s">
        <v>6467</v>
      </c>
      <c r="D62" s="11">
        <v>13800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>
        <v>261613.9</v>
      </c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3316972.3</v>
      </c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>
        <v>601175</v>
      </c>
      <c r="BJ62" s="11"/>
      <c r="BK62" s="11"/>
      <c r="BL62" s="11"/>
      <c r="BM62" s="11"/>
      <c r="BN62" s="11"/>
      <c r="BO62" s="11"/>
      <c r="BP62" s="11"/>
      <c r="BQ62" s="11"/>
      <c r="BR62" s="11">
        <v>236484.5</v>
      </c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>
        <v>9279780.1199999992</v>
      </c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>
        <v>597579.5</v>
      </c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>
        <v>0</v>
      </c>
      <c r="DL62" s="11"/>
      <c r="DM62" s="11"/>
      <c r="DN62" s="11"/>
      <c r="DO62" s="11"/>
      <c r="DP62" s="11"/>
      <c r="DQ62" s="11"/>
      <c r="DR62" s="11"/>
      <c r="DS62" s="11"/>
      <c r="DT62" s="11">
        <v>435020.79999999999</v>
      </c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>
        <v>676844.55</v>
      </c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>
        <v>461553.2</v>
      </c>
      <c r="FJ62" s="11"/>
      <c r="FK62" s="11"/>
      <c r="FL62" s="11"/>
      <c r="FM62" s="11"/>
      <c r="FN62" s="11"/>
      <c r="FO62" s="11"/>
      <c r="FP62" s="11"/>
      <c r="FQ62" s="11">
        <v>564810</v>
      </c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>
        <v>2406034.15</v>
      </c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>
        <v>184828.2</v>
      </c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>
        <v>88965770.390000001</v>
      </c>
      <c r="HD62" s="11"/>
      <c r="HE62" s="11"/>
      <c r="HF62" s="11"/>
      <c r="HG62" s="11"/>
      <c r="HH62" s="11"/>
      <c r="HI62" s="11"/>
      <c r="HJ62" s="11"/>
      <c r="HK62" s="11">
        <v>430050</v>
      </c>
      <c r="HL62" s="11"/>
      <c r="HM62" s="11"/>
      <c r="HN62" s="11"/>
      <c r="HO62" s="11"/>
      <c r="HP62" s="11"/>
      <c r="HQ62" s="11"/>
      <c r="HR62" s="11"/>
      <c r="HS62" s="11">
        <v>10595357.23</v>
      </c>
      <c r="HT62" s="11">
        <v>288472</v>
      </c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>
        <v>491661.9</v>
      </c>
      <c r="IJ62" s="11">
        <v>0</v>
      </c>
      <c r="IK62" s="11"/>
      <c r="IL62" s="11"/>
      <c r="IM62" s="11"/>
      <c r="IN62" s="11"/>
      <c r="IO62" s="11"/>
      <c r="IP62" s="11"/>
      <c r="IQ62" s="11"/>
      <c r="IR62" s="11"/>
      <c r="IS62" s="11"/>
      <c r="IT62" s="11">
        <v>643215.98</v>
      </c>
      <c r="IU62" s="11">
        <v>2485146.62</v>
      </c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>
        <v>7247080.8700000001</v>
      </c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>
        <v>1766656.48</v>
      </c>
      <c r="JT62" s="11">
        <v>95839.55</v>
      </c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>
        <v>1039611.4</v>
      </c>
      <c r="LI62" s="11"/>
      <c r="LJ62" s="11">
        <v>3365929.9</v>
      </c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>
        <v>186608</v>
      </c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>
        <v>40563636.149999999</v>
      </c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>
        <v>0</v>
      </c>
      <c r="NY62" s="11"/>
      <c r="NZ62" s="11"/>
      <c r="OA62" s="11"/>
      <c r="OB62" s="11"/>
      <c r="OC62" s="11"/>
      <c r="OD62" s="11"/>
      <c r="OE62" s="11">
        <v>0</v>
      </c>
      <c r="OF62" s="11"/>
      <c r="OG62" s="11"/>
      <c r="OH62" s="11"/>
      <c r="OI62" s="11"/>
      <c r="OJ62" s="11"/>
      <c r="OK62" s="11"/>
      <c r="OL62" s="11"/>
      <c r="OM62" s="11"/>
      <c r="ON62" s="11">
        <v>8548475.4900000002</v>
      </c>
      <c r="OO62" s="11"/>
      <c r="OP62" s="11"/>
      <c r="OQ62" s="11"/>
      <c r="OR62" s="11"/>
      <c r="OS62" s="11"/>
      <c r="OT62" s="11">
        <v>720365.02</v>
      </c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>
        <v>6663978.2199999997</v>
      </c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>
        <v>6927690.7000000002</v>
      </c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>
        <v>100000</v>
      </c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>
        <v>1815183.9</v>
      </c>
      <c r="YG62" s="11"/>
      <c r="YH62" s="11"/>
      <c r="YI62" s="11"/>
      <c r="YJ62" s="11">
        <v>685320</v>
      </c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>
        <v>0</v>
      </c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>
        <v>4931599.25</v>
      </c>
      <c r="ABQ62" s="11"/>
      <c r="ABR62" s="11"/>
      <c r="ABS62" s="11"/>
      <c r="ABT62" s="11"/>
      <c r="ABU62" s="11"/>
      <c r="ABV62" s="11"/>
      <c r="ABW62" s="11"/>
      <c r="ABX62" s="11"/>
      <c r="ABY62" s="11">
        <v>10904549.6</v>
      </c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>
        <v>689615.66</v>
      </c>
      <c r="AEU62" s="11"/>
      <c r="AEV62" s="11"/>
      <c r="AEW62" s="11"/>
      <c r="AEX62" s="11"/>
      <c r="AEY62" s="11"/>
      <c r="AEZ62" s="11"/>
      <c r="AFA62" s="11"/>
      <c r="AFB62" s="11"/>
      <c r="AFC62" s="11"/>
      <c r="AFD62" s="11">
        <v>0</v>
      </c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>
        <v>137252.85</v>
      </c>
      <c r="AGO62" s="11"/>
      <c r="AGP62" s="11"/>
      <c r="AGQ62" s="11"/>
      <c r="AGR62" s="11"/>
      <c r="AGS62" s="11"/>
      <c r="AGT62" s="11"/>
      <c r="AGU62" s="11"/>
      <c r="AGV62" s="11">
        <v>1076685.8400000001</v>
      </c>
      <c r="AGW62" s="11">
        <v>1247530.97</v>
      </c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>
        <v>5617734.4900000002</v>
      </c>
      <c r="AHN62" s="11"/>
      <c r="AHO62" s="11"/>
      <c r="AHP62" s="11"/>
      <c r="AHQ62" s="11"/>
      <c r="AHR62" s="11"/>
      <c r="AHS62" s="11"/>
      <c r="AHT62" s="11">
        <v>227267514.68000004</v>
      </c>
      <c r="AHV62" s="269" t="s">
        <v>6278</v>
      </c>
      <c r="AHW62" s="269" t="s">
        <v>6065</v>
      </c>
      <c r="AHX62" s="269" t="s">
        <v>6066</v>
      </c>
    </row>
    <row r="63" spans="1:908" x14ac:dyDescent="0.7">
      <c r="A63" s="6" t="s">
        <v>6278</v>
      </c>
      <c r="B63" s="6" t="s">
        <v>6468</v>
      </c>
      <c r="C63" s="6" t="s">
        <v>6469</v>
      </c>
      <c r="D63" s="11">
        <v>109146731.8</v>
      </c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>
        <v>27909583.109999999</v>
      </c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8257869.8200000003</v>
      </c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>
        <v>16359506.939999999</v>
      </c>
      <c r="BJ63" s="11">
        <v>0</v>
      </c>
      <c r="BK63" s="11"/>
      <c r="BL63" s="11"/>
      <c r="BM63" s="11"/>
      <c r="BN63" s="11"/>
      <c r="BO63" s="11"/>
      <c r="BP63" s="11"/>
      <c r="BQ63" s="11"/>
      <c r="BR63" s="11">
        <v>23917968.260000002</v>
      </c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>
        <v>28462361.18</v>
      </c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>
        <v>20742355.399999999</v>
      </c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>
        <v>0</v>
      </c>
      <c r="DL63" s="11"/>
      <c r="DM63" s="11"/>
      <c r="DN63" s="11"/>
      <c r="DO63" s="11"/>
      <c r="DP63" s="11"/>
      <c r="DQ63" s="11"/>
      <c r="DR63" s="11"/>
      <c r="DS63" s="11"/>
      <c r="DT63" s="11">
        <v>15601587.59</v>
      </c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>
        <v>455747.01</v>
      </c>
      <c r="EG63" s="11"/>
      <c r="EH63" s="11"/>
      <c r="EI63" s="11"/>
      <c r="EJ63" s="11"/>
      <c r="EK63" s="11"/>
      <c r="EL63" s="11"/>
      <c r="EM63" s="11"/>
      <c r="EN63" s="11">
        <v>28410041.82</v>
      </c>
      <c r="EO63" s="11"/>
      <c r="EP63" s="11"/>
      <c r="EQ63" s="11"/>
      <c r="ER63" s="11"/>
      <c r="ES63" s="11"/>
      <c r="ET63" s="11"/>
      <c r="EU63" s="11"/>
      <c r="EV63" s="11"/>
      <c r="EW63" s="11">
        <v>10040190</v>
      </c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>
        <v>12745119.26</v>
      </c>
      <c r="FJ63" s="11"/>
      <c r="FK63" s="11"/>
      <c r="FL63" s="11"/>
      <c r="FM63" s="11"/>
      <c r="FN63" s="11"/>
      <c r="FO63" s="11"/>
      <c r="FP63" s="11"/>
      <c r="FQ63" s="11">
        <v>88160887.189999998</v>
      </c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>
        <v>17462455.469999999</v>
      </c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>
        <v>12732027.039999999</v>
      </c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>
        <v>6010971.6500000004</v>
      </c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>
        <v>20126025.440000001</v>
      </c>
      <c r="HT63" s="11">
        <v>19023730.550000001</v>
      </c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>
        <v>21284039.829999998</v>
      </c>
      <c r="IJ63" s="11">
        <v>0</v>
      </c>
      <c r="IK63" s="11"/>
      <c r="IL63" s="11"/>
      <c r="IM63" s="11"/>
      <c r="IN63" s="11"/>
      <c r="IO63" s="11"/>
      <c r="IP63" s="11"/>
      <c r="IQ63" s="11"/>
      <c r="IR63" s="11"/>
      <c r="IS63" s="11"/>
      <c r="IT63" s="11">
        <v>22345245.75</v>
      </c>
      <c r="IU63" s="11">
        <v>35956030.159999996</v>
      </c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>
        <v>1694800.68</v>
      </c>
      <c r="JG63" s="11"/>
      <c r="JH63" s="11"/>
      <c r="JI63" s="11"/>
      <c r="JJ63" s="11"/>
      <c r="JK63" s="11"/>
      <c r="JL63" s="11">
        <v>0</v>
      </c>
      <c r="JM63" s="11"/>
      <c r="JN63" s="11"/>
      <c r="JO63" s="11"/>
      <c r="JP63" s="11"/>
      <c r="JQ63" s="11"/>
      <c r="JR63" s="11"/>
      <c r="JS63" s="11">
        <v>26884306.93</v>
      </c>
      <c r="JT63" s="11">
        <v>3209692.48</v>
      </c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>
        <v>972000</v>
      </c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>
        <v>107234543.93000001</v>
      </c>
      <c r="LI63" s="11">
        <v>13801667.91</v>
      </c>
      <c r="LJ63" s="11">
        <v>13725573.15</v>
      </c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>
        <v>4831758.0999999996</v>
      </c>
      <c r="LW63" s="11"/>
      <c r="LX63" s="11">
        <v>108000</v>
      </c>
      <c r="LY63" s="11"/>
      <c r="LZ63" s="11"/>
      <c r="MA63" s="11"/>
      <c r="MB63" s="11"/>
      <c r="MC63" s="11"/>
      <c r="MD63" s="11"/>
      <c r="ME63" s="11"/>
      <c r="MF63" s="11"/>
      <c r="MG63" s="11"/>
      <c r="MH63" s="11">
        <v>26233849.170000002</v>
      </c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>
        <v>26159966.739999998</v>
      </c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>
        <v>162500</v>
      </c>
      <c r="NR63" s="11"/>
      <c r="NS63" s="11"/>
      <c r="NT63" s="11"/>
      <c r="NU63" s="11"/>
      <c r="NV63" s="11"/>
      <c r="NW63" s="11"/>
      <c r="NX63" s="11">
        <v>0</v>
      </c>
      <c r="NY63" s="11"/>
      <c r="NZ63" s="11"/>
      <c r="OA63" s="11"/>
      <c r="OB63" s="11"/>
      <c r="OC63" s="11"/>
      <c r="OD63" s="11"/>
      <c r="OE63" s="11">
        <v>0</v>
      </c>
      <c r="OF63" s="11"/>
      <c r="OG63" s="11"/>
      <c r="OH63" s="11"/>
      <c r="OI63" s="11"/>
      <c r="OJ63" s="11"/>
      <c r="OK63" s="11"/>
      <c r="OL63" s="11"/>
      <c r="OM63" s="11"/>
      <c r="ON63" s="11">
        <v>32200505.460000001</v>
      </c>
      <c r="OO63" s="11"/>
      <c r="OP63" s="11"/>
      <c r="OQ63" s="11"/>
      <c r="OR63" s="11"/>
      <c r="OS63" s="11"/>
      <c r="OT63" s="11">
        <v>10840979.66</v>
      </c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>
        <v>126125206.59</v>
      </c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>
        <v>48000</v>
      </c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>
        <v>4558658.3499999996</v>
      </c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>
        <v>919002</v>
      </c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>
        <v>40096926.469999999</v>
      </c>
      <c r="YG63" s="11"/>
      <c r="YH63" s="11"/>
      <c r="YI63" s="11"/>
      <c r="YJ63" s="11">
        <v>12103172.76</v>
      </c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>
        <v>0</v>
      </c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>
        <v>2222998.58</v>
      </c>
      <c r="ABJ63" s="11"/>
      <c r="ABK63" s="11"/>
      <c r="ABL63" s="11"/>
      <c r="ABM63" s="11"/>
      <c r="ABN63" s="11"/>
      <c r="ABO63" s="11"/>
      <c r="ABP63" s="11">
        <v>6102824.3200000003</v>
      </c>
      <c r="ABQ63" s="11"/>
      <c r="ABR63" s="11"/>
      <c r="ABS63" s="11"/>
      <c r="ABT63" s="11"/>
      <c r="ABU63" s="11"/>
      <c r="ABV63" s="11"/>
      <c r="ABW63" s="11"/>
      <c r="ABX63" s="11"/>
      <c r="ABY63" s="11">
        <v>46412894.229999997</v>
      </c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>
        <v>65242633.75</v>
      </c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>
        <v>20102507.170000002</v>
      </c>
      <c r="AEU63" s="11"/>
      <c r="AEV63" s="11"/>
      <c r="AEW63" s="11"/>
      <c r="AEX63" s="11"/>
      <c r="AEY63" s="11"/>
      <c r="AEZ63" s="11"/>
      <c r="AFA63" s="11"/>
      <c r="AFB63" s="11"/>
      <c r="AFC63" s="11"/>
      <c r="AFD63" s="11">
        <v>0</v>
      </c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>
        <v>0</v>
      </c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>
        <v>15271055.09</v>
      </c>
      <c r="AGO63" s="11"/>
      <c r="AGP63" s="11"/>
      <c r="AGQ63" s="11"/>
      <c r="AGR63" s="11"/>
      <c r="AGS63" s="11"/>
      <c r="AGT63" s="11"/>
      <c r="AGU63" s="11"/>
      <c r="AGV63" s="11">
        <v>84867713.950000003</v>
      </c>
      <c r="AGW63" s="11">
        <v>44180825.740000002</v>
      </c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>
        <v>4464495.08</v>
      </c>
      <c r="AHN63" s="11"/>
      <c r="AHO63" s="11"/>
      <c r="AHP63" s="11"/>
      <c r="AHQ63" s="11"/>
      <c r="AHR63" s="11"/>
      <c r="AHS63" s="11"/>
      <c r="AHT63" s="11">
        <v>1285929533.5600002</v>
      </c>
      <c r="AHV63" s="269" t="s">
        <v>6278</v>
      </c>
      <c r="AHW63" s="269" t="s">
        <v>6067</v>
      </c>
      <c r="AHX63" s="269" t="s">
        <v>6068</v>
      </c>
    </row>
    <row r="64" spans="1:908" x14ac:dyDescent="0.7">
      <c r="A64" s="6" t="s">
        <v>6278</v>
      </c>
      <c r="B64" s="6" t="s">
        <v>6470</v>
      </c>
      <c r="C64" s="6" t="s">
        <v>6471</v>
      </c>
      <c r="D64" s="11">
        <v>21345855.899999999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>
        <v>7689535.0300000003</v>
      </c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3697959.35</v>
      </c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>
        <v>9515251.9199999999</v>
      </c>
      <c r="BJ64" s="11">
        <v>0</v>
      </c>
      <c r="BK64" s="11"/>
      <c r="BL64" s="11"/>
      <c r="BM64" s="11"/>
      <c r="BN64" s="11"/>
      <c r="BO64" s="11"/>
      <c r="BP64" s="11"/>
      <c r="BQ64" s="11"/>
      <c r="BR64" s="11">
        <v>10838575.800000001</v>
      </c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>
        <v>9261065</v>
      </c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>
        <v>13188722.5</v>
      </c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>
        <v>0</v>
      </c>
      <c r="DL64" s="11"/>
      <c r="DM64" s="11"/>
      <c r="DN64" s="11"/>
      <c r="DO64" s="11"/>
      <c r="DP64" s="11"/>
      <c r="DQ64" s="11"/>
      <c r="DR64" s="11"/>
      <c r="DS64" s="11"/>
      <c r="DT64" s="11">
        <v>20431762.43</v>
      </c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>
        <v>0</v>
      </c>
      <c r="EF64" s="11">
        <v>1196041</v>
      </c>
      <c r="EG64" s="11"/>
      <c r="EH64" s="11"/>
      <c r="EI64" s="11"/>
      <c r="EJ64" s="11"/>
      <c r="EK64" s="11"/>
      <c r="EL64" s="11"/>
      <c r="EM64" s="11"/>
      <c r="EN64" s="11">
        <v>8815052</v>
      </c>
      <c r="EO64" s="11"/>
      <c r="EP64" s="11"/>
      <c r="EQ64" s="11"/>
      <c r="ER64" s="11"/>
      <c r="ES64" s="11"/>
      <c r="ET64" s="11"/>
      <c r="EU64" s="11"/>
      <c r="EV64" s="11"/>
      <c r="EW64" s="11">
        <v>11762059.4</v>
      </c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>
        <v>11594560.560000001</v>
      </c>
      <c r="FJ64" s="11"/>
      <c r="FK64" s="11"/>
      <c r="FL64" s="11"/>
      <c r="FM64" s="11"/>
      <c r="FN64" s="11"/>
      <c r="FO64" s="11"/>
      <c r="FP64" s="11"/>
      <c r="FQ64" s="11">
        <v>30219757.170000002</v>
      </c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>
        <v>7534177.4000000004</v>
      </c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>
        <v>3259591.55</v>
      </c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>
        <v>1833094</v>
      </c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>
        <v>15031214.9494</v>
      </c>
      <c r="HT64" s="11">
        <v>377839</v>
      </c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>
        <v>24052297.210000001</v>
      </c>
      <c r="IJ64" s="11">
        <v>0</v>
      </c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>
        <v>17084478.059999999</v>
      </c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>
        <v>11389308.5</v>
      </c>
      <c r="JG64" s="11"/>
      <c r="JH64" s="11"/>
      <c r="JI64" s="11"/>
      <c r="JJ64" s="11"/>
      <c r="JK64" s="11"/>
      <c r="JL64" s="11">
        <v>0</v>
      </c>
      <c r="JM64" s="11"/>
      <c r="JN64" s="11"/>
      <c r="JO64" s="11"/>
      <c r="JP64" s="11"/>
      <c r="JQ64" s="11"/>
      <c r="JR64" s="11"/>
      <c r="JS64" s="11">
        <v>24771510.399999999</v>
      </c>
      <c r="JT64" s="11">
        <v>4413006.62</v>
      </c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>
        <v>68022800.840000004</v>
      </c>
      <c r="LI64" s="11">
        <v>4646992.3</v>
      </c>
      <c r="LJ64" s="11">
        <v>8604739.4499999993</v>
      </c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>
        <v>637472.25</v>
      </c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>
        <v>4180064.9</v>
      </c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>
        <v>17195443.859999999</v>
      </c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>
        <v>3112104</v>
      </c>
      <c r="NR64" s="11"/>
      <c r="NS64" s="11"/>
      <c r="NT64" s="11"/>
      <c r="NU64" s="11"/>
      <c r="NV64" s="11"/>
      <c r="NW64" s="11"/>
      <c r="NX64" s="11">
        <v>0</v>
      </c>
      <c r="NY64" s="11"/>
      <c r="NZ64" s="11"/>
      <c r="OA64" s="11"/>
      <c r="OB64" s="11"/>
      <c r="OC64" s="11"/>
      <c r="OD64" s="11"/>
      <c r="OE64" s="11">
        <v>0</v>
      </c>
      <c r="OF64" s="11"/>
      <c r="OG64" s="11"/>
      <c r="OH64" s="11"/>
      <c r="OI64" s="11"/>
      <c r="OJ64" s="11"/>
      <c r="OK64" s="11"/>
      <c r="OL64" s="11"/>
      <c r="OM64" s="11"/>
      <c r="ON64" s="11">
        <v>7100087.5499999998</v>
      </c>
      <c r="OO64" s="11"/>
      <c r="OP64" s="11"/>
      <c r="OQ64" s="11"/>
      <c r="OR64" s="11"/>
      <c r="OS64" s="11"/>
      <c r="OT64" s="11">
        <v>6703262.9500000002</v>
      </c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>
        <v>57371126.399999999</v>
      </c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>
        <v>3080856</v>
      </c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>
        <v>6061268.7800000003</v>
      </c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>
        <v>394312</v>
      </c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>
        <v>15547036.199999999</v>
      </c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>
        <v>0</v>
      </c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>
        <v>435500</v>
      </c>
      <c r="ABJ64" s="11"/>
      <c r="ABK64" s="11"/>
      <c r="ABL64" s="11"/>
      <c r="ABM64" s="11"/>
      <c r="ABN64" s="11"/>
      <c r="ABO64" s="11"/>
      <c r="ABP64" s="11">
        <v>6837672.7300000004</v>
      </c>
      <c r="ABQ64" s="11"/>
      <c r="ABR64" s="11"/>
      <c r="ABS64" s="11"/>
      <c r="ABT64" s="11"/>
      <c r="ABU64" s="11"/>
      <c r="ABV64" s="11"/>
      <c r="ABW64" s="11"/>
      <c r="ABX64" s="11"/>
      <c r="ABY64" s="11">
        <v>39185289.270000003</v>
      </c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>
        <v>30056922.98</v>
      </c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>
        <v>41023347.020000003</v>
      </c>
      <c r="AEU64" s="11"/>
      <c r="AEV64" s="11"/>
      <c r="AEW64" s="11"/>
      <c r="AEX64" s="11"/>
      <c r="AEY64" s="11"/>
      <c r="AEZ64" s="11"/>
      <c r="AFA64" s="11"/>
      <c r="AFB64" s="11"/>
      <c r="AFC64" s="11"/>
      <c r="AFD64" s="11">
        <v>0</v>
      </c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>
        <v>32918919</v>
      </c>
      <c r="AGO64" s="11"/>
      <c r="AGP64" s="11"/>
      <c r="AGQ64" s="11"/>
      <c r="AGR64" s="11"/>
      <c r="AGS64" s="11"/>
      <c r="AGT64" s="11"/>
      <c r="AGU64" s="11"/>
      <c r="AGV64" s="11">
        <v>49685086.32</v>
      </c>
      <c r="AGW64" s="11">
        <v>12205663.779999999</v>
      </c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>
        <v>2324913.65</v>
      </c>
      <c r="AHN64" s="11"/>
      <c r="AHO64" s="11"/>
      <c r="AHP64" s="11"/>
      <c r="AHQ64" s="11"/>
      <c r="AHR64" s="11"/>
      <c r="AHS64" s="11"/>
      <c r="AHT64" s="11">
        <v>686633597.97939992</v>
      </c>
      <c r="AHV64" s="269" t="s">
        <v>6278</v>
      </c>
      <c r="AHW64" s="269" t="s">
        <v>6069</v>
      </c>
      <c r="AHX64" s="269" t="s">
        <v>6070</v>
      </c>
    </row>
    <row r="65" spans="1:908" x14ac:dyDescent="0.7">
      <c r="A65" s="6" t="s">
        <v>6278</v>
      </c>
      <c r="B65" s="6" t="s">
        <v>6472</v>
      </c>
      <c r="C65" s="6" t="s">
        <v>6473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>
        <v>2469675</v>
      </c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>
        <v>648160.03</v>
      </c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>
        <v>27820</v>
      </c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>
        <v>0</v>
      </c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>
        <v>27820</v>
      </c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>
        <v>442712</v>
      </c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>
        <v>37350</v>
      </c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>
        <v>0</v>
      </c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>
        <v>259395</v>
      </c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>
        <v>1442620</v>
      </c>
      <c r="AHN65" s="11"/>
      <c r="AHO65" s="11"/>
      <c r="AHP65" s="11"/>
      <c r="AHQ65" s="11"/>
      <c r="AHR65" s="11"/>
      <c r="AHS65" s="11"/>
      <c r="AHT65" s="11">
        <v>5355552.03</v>
      </c>
      <c r="AHV65" s="269" t="s">
        <v>6278</v>
      </c>
      <c r="AHW65" s="269" t="s">
        <v>6071</v>
      </c>
      <c r="AHX65" s="269" t="s">
        <v>6072</v>
      </c>
    </row>
    <row r="66" spans="1:908" x14ac:dyDescent="0.7">
      <c r="A66" s="6" t="s">
        <v>6278</v>
      </c>
      <c r="B66" s="6" t="s">
        <v>6474</v>
      </c>
      <c r="C66" s="6" t="s">
        <v>6475</v>
      </c>
      <c r="D66" s="11">
        <v>1880665.18</v>
      </c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>
        <v>0</v>
      </c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892281.58</v>
      </c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>
        <v>199539.33</v>
      </c>
      <c r="BJ66" s="11">
        <v>0</v>
      </c>
      <c r="BK66" s="11"/>
      <c r="BL66" s="11"/>
      <c r="BM66" s="11"/>
      <c r="BN66" s="11"/>
      <c r="BO66" s="11"/>
      <c r="BP66" s="11"/>
      <c r="BQ66" s="11"/>
      <c r="BR66" s="11">
        <v>233874.98</v>
      </c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>
        <v>100910</v>
      </c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>
        <v>151647.76999999999</v>
      </c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>
        <v>0</v>
      </c>
      <c r="DL66" s="11"/>
      <c r="DM66" s="11"/>
      <c r="DN66" s="11"/>
      <c r="DO66" s="11"/>
      <c r="DP66" s="11"/>
      <c r="DQ66" s="11"/>
      <c r="DR66" s="11"/>
      <c r="DS66" s="11"/>
      <c r="DT66" s="11">
        <v>0</v>
      </c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>
        <v>0</v>
      </c>
      <c r="EF66" s="11">
        <v>48435</v>
      </c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>
        <v>531090</v>
      </c>
      <c r="FJ66" s="11"/>
      <c r="FK66" s="11"/>
      <c r="FL66" s="11"/>
      <c r="FM66" s="11"/>
      <c r="FN66" s="11"/>
      <c r="FO66" s="11"/>
      <c r="FP66" s="11"/>
      <c r="FQ66" s="11">
        <v>2774007.96</v>
      </c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>
        <v>179618.6</v>
      </c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>
        <v>142116</v>
      </c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>
        <v>395668.61</v>
      </c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>
        <v>312259.20000000001</v>
      </c>
      <c r="HT66" s="11">
        <v>119444.8</v>
      </c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>
        <v>57270.58</v>
      </c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>
        <v>408531.41</v>
      </c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>
        <v>125513.14</v>
      </c>
      <c r="JG66" s="11"/>
      <c r="JH66" s="11"/>
      <c r="JI66" s="11"/>
      <c r="JJ66" s="11"/>
      <c r="JK66" s="11"/>
      <c r="JL66" s="11">
        <v>0</v>
      </c>
      <c r="JM66" s="11"/>
      <c r="JN66" s="11"/>
      <c r="JO66" s="11"/>
      <c r="JP66" s="11"/>
      <c r="JQ66" s="11"/>
      <c r="JR66" s="11"/>
      <c r="JS66" s="11">
        <v>706930.03</v>
      </c>
      <c r="JT66" s="11">
        <v>404794.16</v>
      </c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>
        <v>499080.15</v>
      </c>
      <c r="LI66" s="11">
        <v>1198558.8999999999</v>
      </c>
      <c r="LJ66" s="11">
        <v>254261.7</v>
      </c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>
        <v>77896</v>
      </c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>
        <v>620382.56000000006</v>
      </c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>
        <v>0</v>
      </c>
      <c r="NY66" s="11"/>
      <c r="NZ66" s="11"/>
      <c r="OA66" s="11"/>
      <c r="OB66" s="11"/>
      <c r="OC66" s="11"/>
      <c r="OD66" s="11"/>
      <c r="OE66" s="11">
        <v>0</v>
      </c>
      <c r="OF66" s="11"/>
      <c r="OG66" s="11"/>
      <c r="OH66" s="11"/>
      <c r="OI66" s="11"/>
      <c r="OJ66" s="11"/>
      <c r="OK66" s="11"/>
      <c r="OL66" s="11"/>
      <c r="OM66" s="11"/>
      <c r="ON66" s="11">
        <v>719464.68</v>
      </c>
      <c r="OO66" s="11"/>
      <c r="OP66" s="11"/>
      <c r="OQ66" s="11"/>
      <c r="OR66" s="11"/>
      <c r="OS66" s="11"/>
      <c r="OT66" s="11">
        <v>27275.599999999999</v>
      </c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>
        <v>947290.9</v>
      </c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>
        <v>0</v>
      </c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>
        <v>6950</v>
      </c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>
        <v>723369.69</v>
      </c>
      <c r="YG66" s="11"/>
      <c r="YH66" s="11"/>
      <c r="YI66" s="11"/>
      <c r="YJ66" s="11">
        <v>635205.86</v>
      </c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>
        <v>1189931.73</v>
      </c>
      <c r="ABJ66" s="11"/>
      <c r="ABK66" s="11"/>
      <c r="ABL66" s="11"/>
      <c r="ABM66" s="11"/>
      <c r="ABN66" s="11"/>
      <c r="ABO66" s="11"/>
      <c r="ABP66" s="11">
        <v>126776.2</v>
      </c>
      <c r="ABQ66" s="11"/>
      <c r="ABR66" s="11"/>
      <c r="ABS66" s="11"/>
      <c r="ABT66" s="11"/>
      <c r="ABU66" s="11"/>
      <c r="ABV66" s="11"/>
      <c r="ABW66" s="11"/>
      <c r="ABX66" s="11"/>
      <c r="ABY66" s="11">
        <v>1236266.5900000001</v>
      </c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>
        <v>501983.51</v>
      </c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>
        <v>50360</v>
      </c>
      <c r="AEU66" s="11"/>
      <c r="AEV66" s="11"/>
      <c r="AEW66" s="11"/>
      <c r="AEX66" s="11"/>
      <c r="AEY66" s="11"/>
      <c r="AEZ66" s="11"/>
      <c r="AFA66" s="11"/>
      <c r="AFB66" s="11"/>
      <c r="AFC66" s="11"/>
      <c r="AFD66" s="11">
        <v>0</v>
      </c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>
        <v>0</v>
      </c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>
        <v>129824</v>
      </c>
      <c r="AGO66" s="11"/>
      <c r="AGP66" s="11"/>
      <c r="AGQ66" s="11"/>
      <c r="AGR66" s="11"/>
      <c r="AGS66" s="11"/>
      <c r="AGT66" s="11"/>
      <c r="AGU66" s="11"/>
      <c r="AGV66" s="11">
        <v>757809.82</v>
      </c>
      <c r="AGW66" s="11">
        <v>466369.93</v>
      </c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>
        <v>0</v>
      </c>
      <c r="AHN66" s="11"/>
      <c r="AHO66" s="11"/>
      <c r="AHP66" s="11"/>
      <c r="AHQ66" s="11"/>
      <c r="AHR66" s="11"/>
      <c r="AHS66" s="11"/>
      <c r="AHT66" s="11">
        <v>19833656.150000002</v>
      </c>
      <c r="AHV66" s="269" t="s">
        <v>6278</v>
      </c>
      <c r="AHW66" s="269" t="s">
        <v>6073</v>
      </c>
      <c r="AHX66" s="269" t="s">
        <v>6074</v>
      </c>
    </row>
    <row r="67" spans="1:908" x14ac:dyDescent="0.7">
      <c r="A67" s="6" t="s">
        <v>6278</v>
      </c>
      <c r="B67" s="6" t="s">
        <v>6476</v>
      </c>
      <c r="C67" s="6" t="s">
        <v>6477</v>
      </c>
      <c r="D67" s="11">
        <v>8251269.6299999999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>
        <v>8794633.4100000001</v>
      </c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1368352</v>
      </c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>
        <v>2164482.12</v>
      </c>
      <c r="BJ67" s="11">
        <v>0</v>
      </c>
      <c r="BK67" s="11"/>
      <c r="BL67" s="11"/>
      <c r="BM67" s="11"/>
      <c r="BN67" s="11"/>
      <c r="BO67" s="11"/>
      <c r="BP67" s="11"/>
      <c r="BQ67" s="11"/>
      <c r="BR67" s="11">
        <v>2054906.75</v>
      </c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>
        <v>4953218.2</v>
      </c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>
        <v>3580243.09</v>
      </c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>
        <v>0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>
        <v>0</v>
      </c>
      <c r="EF67" s="11">
        <v>764934.82</v>
      </c>
      <c r="EG67" s="11"/>
      <c r="EH67" s="11"/>
      <c r="EI67" s="11"/>
      <c r="EJ67" s="11"/>
      <c r="EK67" s="11"/>
      <c r="EL67" s="11"/>
      <c r="EM67" s="11"/>
      <c r="EN67" s="11">
        <v>5657083.6500000004</v>
      </c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>
        <v>2772139</v>
      </c>
      <c r="FJ67" s="11"/>
      <c r="FK67" s="11"/>
      <c r="FL67" s="11"/>
      <c r="FM67" s="11"/>
      <c r="FN67" s="11"/>
      <c r="FO67" s="11"/>
      <c r="FP67" s="11"/>
      <c r="FQ67" s="11">
        <v>6702020.3799999999</v>
      </c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>
        <v>1660435.07</v>
      </c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>
        <v>364075</v>
      </c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>
        <v>6045142.2199999997</v>
      </c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>
        <v>3830002.95</v>
      </c>
      <c r="HT67" s="11">
        <v>1646190.3</v>
      </c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>
        <v>4839182.57</v>
      </c>
      <c r="IJ67" s="11">
        <v>0</v>
      </c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>
        <v>9143417.2400000002</v>
      </c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>
        <v>1107620.4099999999</v>
      </c>
      <c r="JG67" s="11"/>
      <c r="JH67" s="11"/>
      <c r="JI67" s="11"/>
      <c r="JJ67" s="11"/>
      <c r="JK67" s="11"/>
      <c r="JL67" s="11">
        <v>0</v>
      </c>
      <c r="JM67" s="11"/>
      <c r="JN67" s="11"/>
      <c r="JO67" s="11"/>
      <c r="JP67" s="11"/>
      <c r="JQ67" s="11"/>
      <c r="JR67" s="11"/>
      <c r="JS67" s="11">
        <v>3398944.5</v>
      </c>
      <c r="JT67" s="11">
        <v>11863773.85</v>
      </c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>
        <v>18100621.949999999</v>
      </c>
      <c r="LI67" s="11">
        <v>2968320.87</v>
      </c>
      <c r="LJ67" s="11">
        <v>3308889.36</v>
      </c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>
        <v>667701.16</v>
      </c>
      <c r="LW67" s="11"/>
      <c r="LX67" s="11">
        <v>590</v>
      </c>
      <c r="LY67" s="11"/>
      <c r="LZ67" s="11"/>
      <c r="MA67" s="11"/>
      <c r="MB67" s="11"/>
      <c r="MC67" s="11"/>
      <c r="MD67" s="11"/>
      <c r="ME67" s="11"/>
      <c r="MF67" s="11"/>
      <c r="MG67" s="11"/>
      <c r="MH67" s="11">
        <v>6241907.7300000004</v>
      </c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>
        <v>11185584.859999999</v>
      </c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>
        <v>213529.27</v>
      </c>
      <c r="NR67" s="11"/>
      <c r="NS67" s="11"/>
      <c r="NT67" s="11"/>
      <c r="NU67" s="11"/>
      <c r="NV67" s="11"/>
      <c r="NW67" s="11"/>
      <c r="NX67" s="11">
        <v>0</v>
      </c>
      <c r="NY67" s="11"/>
      <c r="NZ67" s="11"/>
      <c r="OA67" s="11"/>
      <c r="OB67" s="11"/>
      <c r="OC67" s="11"/>
      <c r="OD67" s="11"/>
      <c r="OE67" s="11">
        <v>0</v>
      </c>
      <c r="OF67" s="11"/>
      <c r="OG67" s="11"/>
      <c r="OH67" s="11"/>
      <c r="OI67" s="11"/>
      <c r="OJ67" s="11"/>
      <c r="OK67" s="11"/>
      <c r="OL67" s="11"/>
      <c r="OM67" s="11"/>
      <c r="ON67" s="11">
        <v>7746425.1699999999</v>
      </c>
      <c r="OO67" s="11"/>
      <c r="OP67" s="11"/>
      <c r="OQ67" s="11"/>
      <c r="OR67" s="11"/>
      <c r="OS67" s="11"/>
      <c r="OT67" s="11">
        <v>1866397.8</v>
      </c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>
        <v>12298488.58</v>
      </c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>
        <v>932321.14</v>
      </c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>
        <v>134400</v>
      </c>
      <c r="XJ67" s="11"/>
      <c r="XK67" s="11"/>
      <c r="XL67" s="11">
        <v>5000</v>
      </c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>
        <v>5850763.2000000002</v>
      </c>
      <c r="YG67" s="11"/>
      <c r="YH67" s="11"/>
      <c r="YI67" s="11"/>
      <c r="YJ67" s="11">
        <v>1275569.75</v>
      </c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>
        <v>0</v>
      </c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>
        <v>2234437.5</v>
      </c>
      <c r="ABJ67" s="11"/>
      <c r="ABK67" s="11"/>
      <c r="ABL67" s="11"/>
      <c r="ABM67" s="11"/>
      <c r="ABN67" s="11"/>
      <c r="ABO67" s="11"/>
      <c r="ABP67" s="11">
        <v>2252429.64</v>
      </c>
      <c r="ABQ67" s="11"/>
      <c r="ABR67" s="11"/>
      <c r="ABS67" s="11"/>
      <c r="ABT67" s="11"/>
      <c r="ABU67" s="11"/>
      <c r="ABV67" s="11"/>
      <c r="ABW67" s="11"/>
      <c r="ABX67" s="11"/>
      <c r="ABY67" s="11">
        <v>7784157.29</v>
      </c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>
        <v>54180</v>
      </c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>
        <v>3580005.57</v>
      </c>
      <c r="AEU67" s="11"/>
      <c r="AEV67" s="11"/>
      <c r="AEW67" s="11"/>
      <c r="AEX67" s="11"/>
      <c r="AEY67" s="11"/>
      <c r="AEZ67" s="11"/>
      <c r="AFA67" s="11"/>
      <c r="AFB67" s="11"/>
      <c r="AFC67" s="11"/>
      <c r="AFD67" s="11">
        <v>0</v>
      </c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>
        <v>0</v>
      </c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>
        <v>3186999</v>
      </c>
      <c r="AGO67" s="11"/>
      <c r="AGP67" s="11"/>
      <c r="AGQ67" s="11"/>
      <c r="AGR67" s="11"/>
      <c r="AGS67" s="11"/>
      <c r="AGT67" s="11"/>
      <c r="AGU67" s="11"/>
      <c r="AGV67" s="11">
        <v>9250288.6799999997</v>
      </c>
      <c r="AGW67" s="11">
        <v>4966266.1900000004</v>
      </c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>
        <v>2231829.71</v>
      </c>
      <c r="AHN67" s="11"/>
      <c r="AHO67" s="11"/>
      <c r="AHP67" s="11"/>
      <c r="AHQ67" s="11"/>
      <c r="AHR67" s="11"/>
      <c r="AHS67" s="11"/>
      <c r="AHT67" s="11">
        <v>199299171.57999998</v>
      </c>
      <c r="AHV67" s="269" t="s">
        <v>6278</v>
      </c>
      <c r="AHW67" s="269" t="s">
        <v>6075</v>
      </c>
      <c r="AHX67" s="269" t="s">
        <v>6076</v>
      </c>
    </row>
    <row r="68" spans="1:908" x14ac:dyDescent="0.7">
      <c r="A68" s="6" t="s">
        <v>6278</v>
      </c>
      <c r="B68" s="6" t="s">
        <v>6478</v>
      </c>
      <c r="C68" s="6" t="s">
        <v>6479</v>
      </c>
      <c r="D68" s="11">
        <v>21076065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16496125.75</v>
      </c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>
        <v>4923637.96</v>
      </c>
      <c r="BJ68" s="11">
        <v>852920</v>
      </c>
      <c r="BK68" s="11"/>
      <c r="BL68" s="11"/>
      <c r="BM68" s="11"/>
      <c r="BN68" s="11"/>
      <c r="BO68" s="11"/>
      <c r="BP68" s="11"/>
      <c r="BQ68" s="11"/>
      <c r="BR68" s="11">
        <v>16103344.609999999</v>
      </c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>
        <v>23181439.280000001</v>
      </c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>
        <v>2385279.4</v>
      </c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>
        <v>0</v>
      </c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>
        <v>0</v>
      </c>
      <c r="EF68" s="11">
        <v>197846</v>
      </c>
      <c r="EG68" s="11"/>
      <c r="EH68" s="11"/>
      <c r="EI68" s="11"/>
      <c r="EJ68" s="11"/>
      <c r="EK68" s="11"/>
      <c r="EL68" s="11"/>
      <c r="EM68" s="11"/>
      <c r="EN68" s="11">
        <v>36800508.380000003</v>
      </c>
      <c r="EO68" s="11"/>
      <c r="EP68" s="11"/>
      <c r="EQ68" s="11"/>
      <c r="ER68" s="11"/>
      <c r="ES68" s="11"/>
      <c r="ET68" s="11"/>
      <c r="EU68" s="11"/>
      <c r="EV68" s="11"/>
      <c r="EW68" s="11">
        <v>11802421.199999999</v>
      </c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>
        <v>1491831.1</v>
      </c>
      <c r="FJ68" s="11"/>
      <c r="FK68" s="11"/>
      <c r="FL68" s="11"/>
      <c r="FM68" s="11"/>
      <c r="FN68" s="11"/>
      <c r="FO68" s="11"/>
      <c r="FP68" s="11"/>
      <c r="FQ68" s="11">
        <v>27304465.27</v>
      </c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>
        <v>8032972.75</v>
      </c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>
        <v>2594686.34</v>
      </c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>
        <v>20131182.199999999</v>
      </c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>
        <v>14073811.27</v>
      </c>
      <c r="HT68" s="11">
        <v>559212.86</v>
      </c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>
        <v>7849368.9699999997</v>
      </c>
      <c r="IJ68" s="11">
        <v>0</v>
      </c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>
        <v>7238735.1299999999</v>
      </c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>
        <v>4992733.4400000004</v>
      </c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>
        <v>14020892.75</v>
      </c>
      <c r="JT68" s="11">
        <v>1156721.01</v>
      </c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>
        <v>0</v>
      </c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>
        <v>37610670.990000002</v>
      </c>
      <c r="LI68" s="11">
        <v>5621591.1799999997</v>
      </c>
      <c r="LJ68" s="11">
        <v>10028628.9</v>
      </c>
      <c r="LK68" s="11">
        <v>1340000</v>
      </c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>
        <v>612443</v>
      </c>
      <c r="LW68" s="11"/>
      <c r="LX68" s="11">
        <v>580215.30000000005</v>
      </c>
      <c r="LY68" s="11"/>
      <c r="LZ68" s="11"/>
      <c r="MA68" s="11"/>
      <c r="MB68" s="11"/>
      <c r="MC68" s="11"/>
      <c r="MD68" s="11"/>
      <c r="ME68" s="11"/>
      <c r="MF68" s="11"/>
      <c r="MG68" s="11"/>
      <c r="MH68" s="11">
        <v>2936353.35</v>
      </c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>
        <v>0</v>
      </c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>
        <v>18617382.329999998</v>
      </c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>
        <v>4046435</v>
      </c>
      <c r="NR68" s="11"/>
      <c r="NS68" s="11"/>
      <c r="NT68" s="11"/>
      <c r="NU68" s="11"/>
      <c r="NV68" s="11"/>
      <c r="NW68" s="11"/>
      <c r="NX68" s="11">
        <v>0</v>
      </c>
      <c r="NY68" s="11"/>
      <c r="NZ68" s="11"/>
      <c r="OA68" s="11"/>
      <c r="OB68" s="11"/>
      <c r="OC68" s="11"/>
      <c r="OD68" s="11"/>
      <c r="OE68" s="11">
        <v>0</v>
      </c>
      <c r="OF68" s="11"/>
      <c r="OG68" s="11"/>
      <c r="OH68" s="11"/>
      <c r="OI68" s="11"/>
      <c r="OJ68" s="11"/>
      <c r="OK68" s="11"/>
      <c r="OL68" s="11"/>
      <c r="OM68" s="11"/>
      <c r="ON68" s="11">
        <v>14447226.470000001</v>
      </c>
      <c r="OO68" s="11"/>
      <c r="OP68" s="11"/>
      <c r="OQ68" s="11"/>
      <c r="OR68" s="11"/>
      <c r="OS68" s="11"/>
      <c r="OT68" s="11">
        <v>4884370.93</v>
      </c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>
        <v>35425848.939999998</v>
      </c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>
        <v>1524770</v>
      </c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>
        <v>9873302.3499999996</v>
      </c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>
        <v>26460986.550000001</v>
      </c>
      <c r="YG68" s="11"/>
      <c r="YH68" s="11"/>
      <c r="YI68" s="11"/>
      <c r="YJ68" s="11">
        <v>2160211.7000000002</v>
      </c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>
        <v>0</v>
      </c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>
        <v>294200</v>
      </c>
      <c r="ABJ68" s="11"/>
      <c r="ABK68" s="11"/>
      <c r="ABL68" s="11"/>
      <c r="ABM68" s="11"/>
      <c r="ABN68" s="11"/>
      <c r="ABO68" s="11"/>
      <c r="ABP68" s="11">
        <v>25500</v>
      </c>
      <c r="ABQ68" s="11"/>
      <c r="ABR68" s="11"/>
      <c r="ABS68" s="11"/>
      <c r="ABT68" s="11"/>
      <c r="ABU68" s="11"/>
      <c r="ABV68" s="11"/>
      <c r="ABW68" s="11"/>
      <c r="ABX68" s="11"/>
      <c r="ABY68" s="11">
        <v>2208655.92</v>
      </c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>
        <v>2993749.12</v>
      </c>
      <c r="AEU68" s="11"/>
      <c r="AEV68" s="11"/>
      <c r="AEW68" s="11"/>
      <c r="AEX68" s="11"/>
      <c r="AEY68" s="11"/>
      <c r="AEZ68" s="11"/>
      <c r="AFA68" s="11"/>
      <c r="AFB68" s="11"/>
      <c r="AFC68" s="11"/>
      <c r="AFD68" s="11">
        <v>0</v>
      </c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>
        <v>0</v>
      </c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>
        <v>5011135.54</v>
      </c>
      <c r="AGO68" s="11"/>
      <c r="AGP68" s="11"/>
      <c r="AGQ68" s="11"/>
      <c r="AGR68" s="11"/>
      <c r="AGS68" s="11"/>
      <c r="AGT68" s="11"/>
      <c r="AGU68" s="11"/>
      <c r="AGV68" s="11">
        <v>29895276.199999999</v>
      </c>
      <c r="AGW68" s="11">
        <v>21540274.84</v>
      </c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>
        <v>6662958.8200000003</v>
      </c>
      <c r="AHN68" s="11"/>
      <c r="AHO68" s="11"/>
      <c r="AHP68" s="11"/>
      <c r="AHQ68" s="11"/>
      <c r="AHR68" s="11"/>
      <c r="AHS68" s="11"/>
      <c r="AHT68" s="11">
        <v>488068388.10000008</v>
      </c>
      <c r="AHV68" s="269" t="s">
        <v>6278</v>
      </c>
      <c r="AHW68" s="269" t="s">
        <v>6077</v>
      </c>
      <c r="AHX68" s="269" t="s">
        <v>6078</v>
      </c>
    </row>
    <row r="69" spans="1:908" x14ac:dyDescent="0.7">
      <c r="A69" s="6" t="s">
        <v>6278</v>
      </c>
      <c r="B69" s="6" t="s">
        <v>6480</v>
      </c>
      <c r="C69" s="6" t="s">
        <v>6481</v>
      </c>
      <c r="D69" s="11">
        <v>232758475.88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>
        <v>0</v>
      </c>
      <c r="BJ69" s="11">
        <v>0</v>
      </c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>
        <v>0</v>
      </c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>
        <v>159547781.03999999</v>
      </c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>
        <v>8823300</v>
      </c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>
        <v>422512.5</v>
      </c>
      <c r="FJ69" s="11"/>
      <c r="FK69" s="11"/>
      <c r="FL69" s="11"/>
      <c r="FM69" s="11"/>
      <c r="FN69" s="11"/>
      <c r="FO69" s="11"/>
      <c r="FP69" s="11"/>
      <c r="FQ69" s="11">
        <v>4554260.5</v>
      </c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>
        <v>0</v>
      </c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>
        <v>142010677.53999999</v>
      </c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>
        <v>0</v>
      </c>
      <c r="JG69" s="11"/>
      <c r="JH69" s="11"/>
      <c r="JI69" s="11"/>
      <c r="JJ69" s="11"/>
      <c r="JK69" s="11"/>
      <c r="JL69" s="11">
        <v>8297046.2999999998</v>
      </c>
      <c r="JM69" s="11"/>
      <c r="JN69" s="11"/>
      <c r="JO69" s="11"/>
      <c r="JP69" s="11"/>
      <c r="JQ69" s="11"/>
      <c r="JR69" s="11"/>
      <c r="JS69" s="11">
        <v>0</v>
      </c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>
        <v>0</v>
      </c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>
        <v>101594828.51000001</v>
      </c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>
        <v>238800463.47</v>
      </c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>
        <v>88120</v>
      </c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>
        <v>0</v>
      </c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>
        <v>62523693.039999999</v>
      </c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>
        <v>0</v>
      </c>
      <c r="AEU69" s="11"/>
      <c r="AEV69" s="11"/>
      <c r="AEW69" s="11"/>
      <c r="AEX69" s="11"/>
      <c r="AEY69" s="11"/>
      <c r="AEZ69" s="11"/>
      <c r="AFA69" s="11"/>
      <c r="AFB69" s="11"/>
      <c r="AFC69" s="11"/>
      <c r="AFD69" s="11">
        <v>30031973.579999998</v>
      </c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>
        <v>0</v>
      </c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>
        <v>0</v>
      </c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>
        <v>989453132.3599999</v>
      </c>
      <c r="AHV69" s="269" t="s">
        <v>6278</v>
      </c>
      <c r="AHW69" s="269" t="s">
        <v>6079</v>
      </c>
      <c r="AHX69" s="269" t="s">
        <v>6080</v>
      </c>
    </row>
    <row r="70" spans="1:908" x14ac:dyDescent="0.7">
      <c r="A70" s="6" t="s">
        <v>6278</v>
      </c>
      <c r="B70" s="6" t="s">
        <v>6482</v>
      </c>
      <c r="C70" s="6" t="s">
        <v>6483</v>
      </c>
      <c r="D70" s="11">
        <v>0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>
        <v>2328766.7000000002</v>
      </c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>
        <v>1188848.1599999999</v>
      </c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>
        <v>335137.59999999998</v>
      </c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>
        <v>2347828.9</v>
      </c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>
        <v>496295.8</v>
      </c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>
        <v>1196059.3600000001</v>
      </c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>
        <v>827450.6</v>
      </c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>
        <v>0</v>
      </c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>
        <v>7710769.2800000003</v>
      </c>
      <c r="OO70" s="11"/>
      <c r="OP70" s="11"/>
      <c r="OQ70" s="11"/>
      <c r="OR70" s="11"/>
      <c r="OS70" s="11"/>
      <c r="OT70" s="11">
        <v>772014.3</v>
      </c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>
        <v>13386800.300000001</v>
      </c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>
        <v>30589971.000000004</v>
      </c>
      <c r="AHV70" s="269" t="s">
        <v>6278</v>
      </c>
      <c r="AHW70" s="269" t="s">
        <v>6081</v>
      </c>
      <c r="AHX70" s="269" t="s">
        <v>6082</v>
      </c>
    </row>
    <row r="71" spans="1:908" x14ac:dyDescent="0.7">
      <c r="A71" s="6" t="s">
        <v>6278</v>
      </c>
      <c r="B71" s="6" t="s">
        <v>6484</v>
      </c>
      <c r="C71" s="6" t="s">
        <v>6485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>
        <v>63000</v>
      </c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>
        <v>63000</v>
      </c>
      <c r="AHV71" s="269" t="s">
        <v>6278</v>
      </c>
      <c r="AHW71" s="269" t="s">
        <v>6083</v>
      </c>
      <c r="AHX71" s="269" t="s">
        <v>6084</v>
      </c>
    </row>
    <row r="72" spans="1:908" x14ac:dyDescent="0.7">
      <c r="A72" s="6" t="s">
        <v>6278</v>
      </c>
      <c r="B72" s="6" t="s">
        <v>6486</v>
      </c>
      <c r="C72" s="6" t="s">
        <v>6084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>
        <v>0</v>
      </c>
      <c r="RU72" s="11"/>
      <c r="RV72" s="11"/>
      <c r="RW72" s="11"/>
      <c r="RX72" s="11"/>
      <c r="RY72" s="11">
        <v>25840</v>
      </c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>
        <v>25840</v>
      </c>
      <c r="AHV72" s="269" t="s">
        <v>6278</v>
      </c>
      <c r="AHW72" s="269" t="s">
        <v>6085</v>
      </c>
      <c r="AHX72" s="269" t="s">
        <v>6086</v>
      </c>
    </row>
    <row r="73" spans="1:908" x14ac:dyDescent="0.7">
      <c r="A73" s="6" t="s">
        <v>6278</v>
      </c>
      <c r="B73" s="6" t="s">
        <v>6487</v>
      </c>
      <c r="C73" s="6" t="s">
        <v>6088</v>
      </c>
      <c r="D73" s="11">
        <v>0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>
        <v>795608</v>
      </c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>
        <v>0</v>
      </c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>
        <v>0</v>
      </c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>
        <v>1284</v>
      </c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>
        <v>0</v>
      </c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>
        <v>0</v>
      </c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>
        <v>0</v>
      </c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>
        <v>0</v>
      </c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>
        <v>0</v>
      </c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>
        <v>796892</v>
      </c>
      <c r="AHV73" s="269" t="s">
        <v>6278</v>
      </c>
      <c r="AHW73" s="269" t="s">
        <v>6087</v>
      </c>
      <c r="AHX73" s="269" t="s">
        <v>6088</v>
      </c>
    </row>
    <row r="74" spans="1:908" x14ac:dyDescent="0.7">
      <c r="A74" s="6" t="s">
        <v>6278</v>
      </c>
      <c r="B74" s="6" t="s">
        <v>6488</v>
      </c>
      <c r="C74" s="6" t="s">
        <v>6090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>
        <v>4087.02</v>
      </c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>
        <v>0</v>
      </c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>
        <v>1346</v>
      </c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>
        <v>5433.02</v>
      </c>
      <c r="AHV74" s="269" t="s">
        <v>6278</v>
      </c>
      <c r="AHW74" s="269" t="s">
        <v>6089</v>
      </c>
      <c r="AHX74" s="269" t="s">
        <v>6090</v>
      </c>
    </row>
    <row r="75" spans="1:908" x14ac:dyDescent="0.7">
      <c r="A75" s="6" t="s">
        <v>6278</v>
      </c>
      <c r="B75" s="6" t="s">
        <v>6095</v>
      </c>
      <c r="C75" s="6" t="s">
        <v>6096</v>
      </c>
      <c r="D75" s="11">
        <v>303017.52</v>
      </c>
      <c r="E75" s="11">
        <v>8922665</v>
      </c>
      <c r="F75" s="11">
        <v>16432622.75</v>
      </c>
      <c r="G75" s="11">
        <v>2725484.99</v>
      </c>
      <c r="H75" s="11">
        <v>12378037.65</v>
      </c>
      <c r="I75" s="11">
        <v>1054311.28</v>
      </c>
      <c r="J75" s="11">
        <v>8725004.9399999995</v>
      </c>
      <c r="K75" s="11">
        <v>2903590.38</v>
      </c>
      <c r="L75" s="11">
        <v>5813198.0899999999</v>
      </c>
      <c r="M75" s="11">
        <v>4503019.4800000004</v>
      </c>
      <c r="N75" s="11">
        <v>5762773.54</v>
      </c>
      <c r="O75" s="11">
        <v>6346772.9299999997</v>
      </c>
      <c r="P75" s="11">
        <v>3199525.9</v>
      </c>
      <c r="Q75" s="11">
        <v>4043428.8</v>
      </c>
      <c r="R75" s="11">
        <v>1995014.06</v>
      </c>
      <c r="S75" s="11">
        <v>15478543.83</v>
      </c>
      <c r="T75" s="11">
        <v>4112862.7</v>
      </c>
      <c r="U75" s="11">
        <v>2199392.85</v>
      </c>
      <c r="V75" s="11">
        <v>165390.29</v>
      </c>
      <c r="W75" s="11">
        <v>38355261.229999997</v>
      </c>
      <c r="X75" s="11">
        <v>1120843.28</v>
      </c>
      <c r="Y75" s="11">
        <v>3923888.54</v>
      </c>
      <c r="Z75" s="11">
        <v>12011418.49</v>
      </c>
      <c r="AA75" s="11">
        <v>13560023.65</v>
      </c>
      <c r="AB75" s="11">
        <v>6852249.9299999997</v>
      </c>
      <c r="AC75" s="11">
        <v>88964371.019999996</v>
      </c>
      <c r="AD75" s="11">
        <v>12351355.6</v>
      </c>
      <c r="AE75" s="11">
        <v>11999970.720000001</v>
      </c>
      <c r="AF75" s="11">
        <v>79126623.640000001</v>
      </c>
      <c r="AG75" s="11">
        <v>16405489.380000001</v>
      </c>
      <c r="AH75" s="11">
        <v>10241377.640000001</v>
      </c>
      <c r="AI75" s="11">
        <v>35418231.189999998</v>
      </c>
      <c r="AJ75" s="11">
        <v>8990230.3699999992</v>
      </c>
      <c r="AK75" s="11">
        <v>7038897.5</v>
      </c>
      <c r="AL75" s="11">
        <v>3350605.16</v>
      </c>
      <c r="AM75" s="11">
        <v>27569394.280000001</v>
      </c>
      <c r="AN75" s="11">
        <v>1719610.89</v>
      </c>
      <c r="AO75" s="11">
        <v>5988007.3499999996</v>
      </c>
      <c r="AP75" s="11">
        <v>6324151.3499999996</v>
      </c>
      <c r="AQ75" s="11">
        <v>6364322.3300000001</v>
      </c>
      <c r="AR75" s="11">
        <v>11988009.02</v>
      </c>
      <c r="AS75" s="11">
        <v>4407222.96</v>
      </c>
      <c r="AT75" s="11"/>
      <c r="AU75" s="11">
        <v>558326.36</v>
      </c>
      <c r="AV75" s="11">
        <v>730345.34</v>
      </c>
      <c r="AW75" s="11">
        <v>2243105.0499999998</v>
      </c>
      <c r="AX75" s="11">
        <v>2594516.8199999998</v>
      </c>
      <c r="AY75" s="11">
        <v>10109440.289999999</v>
      </c>
      <c r="AZ75" s="11">
        <v>730254.62</v>
      </c>
      <c r="BA75" s="11">
        <v>2016136.23</v>
      </c>
      <c r="BB75" s="11">
        <v>210086.71</v>
      </c>
      <c r="BC75" s="11">
        <v>798825.16</v>
      </c>
      <c r="BD75" s="11">
        <v>599582.29</v>
      </c>
      <c r="BE75" s="11">
        <v>916524.94</v>
      </c>
      <c r="BF75" s="11">
        <v>8742695.9900000002</v>
      </c>
      <c r="BG75" s="11">
        <v>141804.71</v>
      </c>
      <c r="BH75" s="11">
        <v>2705005.95</v>
      </c>
      <c r="BI75" s="11">
        <v>8352343.0800000001</v>
      </c>
      <c r="BJ75" s="11">
        <v>23643203.559999999</v>
      </c>
      <c r="BK75" s="11">
        <v>3254251.96</v>
      </c>
      <c r="BL75" s="11">
        <v>2354610.84</v>
      </c>
      <c r="BM75" s="11">
        <v>13412684.859999999</v>
      </c>
      <c r="BN75" s="11">
        <v>2507123.6</v>
      </c>
      <c r="BO75" s="11">
        <v>848080.01</v>
      </c>
      <c r="BP75" s="11">
        <v>183741.77</v>
      </c>
      <c r="BQ75" s="11">
        <v>1138735.83</v>
      </c>
      <c r="BR75" s="11"/>
      <c r="BS75" s="11">
        <v>1866594.61</v>
      </c>
      <c r="BT75" s="11">
        <v>1819196.07</v>
      </c>
      <c r="BU75" s="11">
        <v>5424939.8300000001</v>
      </c>
      <c r="BV75" s="11">
        <v>2331990.66</v>
      </c>
      <c r="BW75" s="11">
        <v>2219406.6800000002</v>
      </c>
      <c r="BX75" s="11">
        <v>802615.04</v>
      </c>
      <c r="BY75" s="11">
        <v>1991190.93</v>
      </c>
      <c r="BZ75" s="11">
        <v>26683182.02</v>
      </c>
      <c r="CA75" s="11">
        <v>5226256.3</v>
      </c>
      <c r="CB75" s="11">
        <v>15006955.66</v>
      </c>
      <c r="CC75" s="11">
        <v>12820437.09</v>
      </c>
      <c r="CD75" s="11">
        <v>4112104.49</v>
      </c>
      <c r="CE75" s="11">
        <v>2889574.56</v>
      </c>
      <c r="CF75" s="11">
        <v>4007847.49</v>
      </c>
      <c r="CG75" s="11">
        <v>555725.17000000004</v>
      </c>
      <c r="CH75" s="11">
        <v>3208078.66</v>
      </c>
      <c r="CI75" s="11">
        <v>7777628.8499999996</v>
      </c>
      <c r="CJ75" s="11">
        <v>1455908.63</v>
      </c>
      <c r="CK75" s="11">
        <v>2455698.9300000002</v>
      </c>
      <c r="CL75" s="11">
        <v>4137904.09</v>
      </c>
      <c r="CM75" s="11">
        <v>3282239.24</v>
      </c>
      <c r="CN75" s="11">
        <v>3924775.88</v>
      </c>
      <c r="CO75" s="11">
        <v>1206392.76</v>
      </c>
      <c r="CP75" s="11">
        <v>4256060.13</v>
      </c>
      <c r="CQ75" s="11">
        <v>903413.45</v>
      </c>
      <c r="CR75" s="11">
        <v>2963130.58</v>
      </c>
      <c r="CS75" s="11">
        <v>1338604.74</v>
      </c>
      <c r="CT75" s="11">
        <v>691444.37</v>
      </c>
      <c r="CU75" s="11">
        <v>1650201.05</v>
      </c>
      <c r="CV75" s="11">
        <v>2881162.25</v>
      </c>
      <c r="CW75" s="11">
        <v>6084651.1299999999</v>
      </c>
      <c r="CX75" s="11">
        <v>1304510.3700000001</v>
      </c>
      <c r="CY75" s="11">
        <v>2445158.3999999999</v>
      </c>
      <c r="CZ75" s="11">
        <v>2970438.76</v>
      </c>
      <c r="DA75" s="11">
        <v>3755532.95</v>
      </c>
      <c r="DB75" s="11">
        <v>45918177.700000003</v>
      </c>
      <c r="DC75" s="11">
        <v>43037121.770000003</v>
      </c>
      <c r="DD75" s="11">
        <v>6525418.7999999998</v>
      </c>
      <c r="DE75" s="11">
        <v>5075830.63</v>
      </c>
      <c r="DF75" s="11">
        <v>5269579.55</v>
      </c>
      <c r="DG75" s="11">
        <v>5386852.4100000001</v>
      </c>
      <c r="DH75" s="11">
        <v>8549989.2100000009</v>
      </c>
      <c r="DI75" s="11">
        <v>12564414.58</v>
      </c>
      <c r="DJ75" s="11">
        <v>937718.28</v>
      </c>
      <c r="DK75" s="11">
        <v>135208382.05000001</v>
      </c>
      <c r="DL75" s="11">
        <v>5113132.22</v>
      </c>
      <c r="DM75" s="11">
        <v>12414738.449999999</v>
      </c>
      <c r="DN75" s="11">
        <v>4037770.73</v>
      </c>
      <c r="DO75" s="11">
        <v>5077851.59</v>
      </c>
      <c r="DP75" s="11">
        <v>3376749.1</v>
      </c>
      <c r="DQ75" s="11">
        <v>17108197.920000002</v>
      </c>
      <c r="DR75" s="11">
        <v>2751503.1</v>
      </c>
      <c r="DS75" s="11">
        <v>9222536.5399999991</v>
      </c>
      <c r="DT75" s="11">
        <v>1231955</v>
      </c>
      <c r="DU75" s="11">
        <v>12797271.82</v>
      </c>
      <c r="DV75" s="11">
        <v>11772101.130000001</v>
      </c>
      <c r="DW75" s="11">
        <v>18074512.620000001</v>
      </c>
      <c r="DX75" s="11">
        <v>7342263.1500000004</v>
      </c>
      <c r="DY75" s="11">
        <v>10041541.279999999</v>
      </c>
      <c r="DZ75" s="11">
        <v>5823944.5700000003</v>
      </c>
      <c r="EA75" s="11">
        <v>1165249.98</v>
      </c>
      <c r="EB75" s="11">
        <v>2953488.9</v>
      </c>
      <c r="EC75" s="11">
        <v>2440267.9500000002</v>
      </c>
      <c r="ED75" s="11">
        <v>10950300.57</v>
      </c>
      <c r="EE75" s="11">
        <v>16028825.710000001</v>
      </c>
      <c r="EF75" s="11">
        <v>5093665.8499999996</v>
      </c>
      <c r="EG75" s="11">
        <v>1205421.5900000001</v>
      </c>
      <c r="EH75" s="11">
        <v>7189411.4900000002</v>
      </c>
      <c r="EI75" s="11">
        <v>6205747.6900000004</v>
      </c>
      <c r="EJ75" s="11">
        <v>7171339.0099999998</v>
      </c>
      <c r="EK75" s="11">
        <v>8198146.5</v>
      </c>
      <c r="EL75" s="11">
        <v>4576434.09</v>
      </c>
      <c r="EM75" s="11">
        <v>6163653.8899999997</v>
      </c>
      <c r="EN75" s="11">
        <v>3852</v>
      </c>
      <c r="EO75" s="11">
        <v>3562122.07</v>
      </c>
      <c r="EP75" s="11">
        <v>9409071.9499999993</v>
      </c>
      <c r="EQ75" s="11">
        <v>5715451.4900000002</v>
      </c>
      <c r="ER75" s="11">
        <v>6556128.0300000003</v>
      </c>
      <c r="ES75" s="11">
        <v>2754690.63</v>
      </c>
      <c r="ET75" s="11">
        <v>17605881.809999999</v>
      </c>
      <c r="EU75" s="11">
        <v>8438766.8300000001</v>
      </c>
      <c r="EV75" s="11">
        <v>6527003.7599999998</v>
      </c>
      <c r="EW75" s="11">
        <v>61751752.979999997</v>
      </c>
      <c r="EX75" s="11">
        <v>939991.64</v>
      </c>
      <c r="EY75" s="11">
        <v>1761242.15</v>
      </c>
      <c r="EZ75" s="11">
        <v>6112816.4900000002</v>
      </c>
      <c r="FA75" s="11">
        <v>6467333.4000000004</v>
      </c>
      <c r="FB75" s="11">
        <v>20435188.489999998</v>
      </c>
      <c r="FC75" s="11">
        <v>7365670.5599999996</v>
      </c>
      <c r="FD75" s="11">
        <v>5418241.8399999999</v>
      </c>
      <c r="FE75" s="11">
        <v>2980159.05</v>
      </c>
      <c r="FF75" s="11">
        <v>3254352.2</v>
      </c>
      <c r="FG75" s="11">
        <v>3349488.45</v>
      </c>
      <c r="FH75" s="11">
        <v>1662851.45</v>
      </c>
      <c r="FI75" s="11">
        <v>0</v>
      </c>
      <c r="FJ75" s="11">
        <v>4423926.42</v>
      </c>
      <c r="FK75" s="11">
        <v>429281.34</v>
      </c>
      <c r="FL75" s="11">
        <v>2320239.84</v>
      </c>
      <c r="FM75" s="11">
        <v>2346509.64</v>
      </c>
      <c r="FN75" s="11">
        <v>5823199.9100000001</v>
      </c>
      <c r="FO75" s="11">
        <v>3443138.75</v>
      </c>
      <c r="FP75" s="11">
        <v>1590373.46</v>
      </c>
      <c r="FQ75" s="11">
        <v>274536.65000000002</v>
      </c>
      <c r="FR75" s="11">
        <v>4238372.17</v>
      </c>
      <c r="FS75" s="11">
        <v>10202797.43</v>
      </c>
      <c r="FT75" s="11">
        <v>11440776.75</v>
      </c>
      <c r="FU75" s="11">
        <v>6123367.75</v>
      </c>
      <c r="FV75" s="11">
        <v>2764581.29</v>
      </c>
      <c r="FW75" s="11">
        <v>29951329.530000001</v>
      </c>
      <c r="FX75" s="11">
        <v>18978706.739999998</v>
      </c>
      <c r="FY75" s="11">
        <v>7728196.0300000003</v>
      </c>
      <c r="FZ75" s="11">
        <v>4062451.55</v>
      </c>
      <c r="GA75" s="11">
        <v>14003199.039999999</v>
      </c>
      <c r="GB75" s="11">
        <v>9295061.3399999999</v>
      </c>
      <c r="GC75" s="11">
        <v>5697181.3899999997</v>
      </c>
      <c r="GD75" s="11">
        <v>2949809.7</v>
      </c>
      <c r="GE75" s="11">
        <v>48500</v>
      </c>
      <c r="GF75" s="11">
        <v>1725677.48</v>
      </c>
      <c r="GG75" s="11">
        <v>1820657.58</v>
      </c>
      <c r="GH75" s="11">
        <v>6266233.2699999996</v>
      </c>
      <c r="GI75" s="11">
        <v>3807729.83</v>
      </c>
      <c r="GJ75" s="11">
        <v>807217.24</v>
      </c>
      <c r="GK75" s="11">
        <v>1928196.34</v>
      </c>
      <c r="GL75" s="11">
        <v>9670947.2799999993</v>
      </c>
      <c r="GM75" s="11">
        <v>1328205.24</v>
      </c>
      <c r="GN75" s="11">
        <v>1302338.67</v>
      </c>
      <c r="GO75" s="11">
        <v>1025780.36</v>
      </c>
      <c r="GP75" s="11">
        <v>899220.02</v>
      </c>
      <c r="GQ75" s="11">
        <v>3143091.9</v>
      </c>
      <c r="GR75" s="11">
        <v>3540197.9</v>
      </c>
      <c r="GS75" s="11">
        <v>3411502.01</v>
      </c>
      <c r="GT75" s="11">
        <v>6102980.6500000004</v>
      </c>
      <c r="GU75" s="11">
        <v>882176.47</v>
      </c>
      <c r="GV75" s="11">
        <v>1896095.7</v>
      </c>
      <c r="GW75" s="11">
        <v>3636001.86</v>
      </c>
      <c r="GX75" s="11">
        <v>2298576.33</v>
      </c>
      <c r="GY75" s="11">
        <v>37092580.960000001</v>
      </c>
      <c r="GZ75" s="11">
        <v>2518789.04</v>
      </c>
      <c r="HA75" s="11">
        <v>5768731.7999999998</v>
      </c>
      <c r="HB75" s="11">
        <v>3657542.21</v>
      </c>
      <c r="HC75" s="11">
        <v>1155286.08</v>
      </c>
      <c r="HD75" s="11">
        <v>1892183.67</v>
      </c>
      <c r="HE75" s="11">
        <v>7900720.5599999996</v>
      </c>
      <c r="HF75" s="11">
        <v>12802251.51</v>
      </c>
      <c r="HG75" s="11">
        <v>9602740.8599999994</v>
      </c>
      <c r="HH75" s="11">
        <v>7194016.0999999996</v>
      </c>
      <c r="HI75" s="11">
        <v>491143.3</v>
      </c>
      <c r="HJ75" s="11">
        <v>6282727.8700000001</v>
      </c>
      <c r="HK75" s="11">
        <v>34586613.5</v>
      </c>
      <c r="HL75" s="11">
        <v>16084742.93</v>
      </c>
      <c r="HM75" s="11">
        <v>7322493.54</v>
      </c>
      <c r="HN75" s="11">
        <v>9422394.0099999998</v>
      </c>
      <c r="HO75" s="11">
        <v>5430270.3799999999</v>
      </c>
      <c r="HP75" s="11">
        <v>1198148.3899999999</v>
      </c>
      <c r="HQ75" s="11">
        <v>5958611.9800000004</v>
      </c>
      <c r="HR75" s="11">
        <v>891188.67</v>
      </c>
      <c r="HS75" s="11">
        <v>586590</v>
      </c>
      <c r="HT75" s="11">
        <v>13292037.49</v>
      </c>
      <c r="HU75" s="11">
        <v>13636024.91</v>
      </c>
      <c r="HV75" s="11">
        <v>5252214.57</v>
      </c>
      <c r="HW75" s="11">
        <v>3887289.16</v>
      </c>
      <c r="HX75" s="11">
        <v>5386323.6799999997</v>
      </c>
      <c r="HY75" s="11">
        <v>12589288.939999999</v>
      </c>
      <c r="HZ75" s="11">
        <v>12651508.4</v>
      </c>
      <c r="IA75" s="11">
        <v>4090681.96</v>
      </c>
      <c r="IB75" s="11">
        <v>6705515.9199999999</v>
      </c>
      <c r="IC75" s="11">
        <v>4602535.1399999997</v>
      </c>
      <c r="ID75" s="11">
        <v>2815473.69</v>
      </c>
      <c r="IE75" s="11">
        <v>2171186.98</v>
      </c>
      <c r="IF75" s="11">
        <v>5819513.8799999999</v>
      </c>
      <c r="IG75" s="11">
        <v>2800228.8</v>
      </c>
      <c r="IH75" s="11">
        <v>1705342.45</v>
      </c>
      <c r="II75" s="11">
        <v>11348</v>
      </c>
      <c r="IJ75" s="11"/>
      <c r="IK75" s="11">
        <v>1352210</v>
      </c>
      <c r="IL75" s="11">
        <v>13203973.85</v>
      </c>
      <c r="IM75" s="11">
        <v>18570601.5</v>
      </c>
      <c r="IN75" s="11">
        <v>3212893.69</v>
      </c>
      <c r="IO75" s="11">
        <v>3781653.41</v>
      </c>
      <c r="IP75" s="11">
        <v>2022117.04</v>
      </c>
      <c r="IQ75" s="11">
        <v>2827427.23</v>
      </c>
      <c r="IR75" s="11">
        <v>4168172.83</v>
      </c>
      <c r="IS75" s="11">
        <v>1713412.26</v>
      </c>
      <c r="IT75" s="11">
        <v>113741445.31999999</v>
      </c>
      <c r="IU75" s="11"/>
      <c r="IV75" s="11">
        <v>2936166.13</v>
      </c>
      <c r="IW75" s="11">
        <v>5760288.9500000002</v>
      </c>
      <c r="IX75" s="11">
        <v>4241715.8499999996</v>
      </c>
      <c r="IY75" s="11">
        <v>627639.5</v>
      </c>
      <c r="IZ75" s="11">
        <v>7182710.6100000003</v>
      </c>
      <c r="JA75" s="11">
        <v>1959562.96</v>
      </c>
      <c r="JB75" s="11">
        <v>3683579.76</v>
      </c>
      <c r="JC75" s="11">
        <v>6160456.25</v>
      </c>
      <c r="JD75" s="11">
        <v>11792308.15</v>
      </c>
      <c r="JE75" s="11">
        <v>3625616.99</v>
      </c>
      <c r="JF75" s="11">
        <v>619359.27</v>
      </c>
      <c r="JG75" s="11">
        <v>26398076.300000001</v>
      </c>
      <c r="JH75" s="11">
        <v>3357061.58</v>
      </c>
      <c r="JI75" s="11">
        <v>6903701.6299999999</v>
      </c>
      <c r="JJ75" s="11">
        <v>7726852.3200000003</v>
      </c>
      <c r="JK75" s="11">
        <v>2165381.7200000002</v>
      </c>
      <c r="JL75" s="11">
        <v>26110126.620000001</v>
      </c>
      <c r="JM75" s="11">
        <v>4414092.7699999996</v>
      </c>
      <c r="JN75" s="11">
        <v>14580126.84</v>
      </c>
      <c r="JO75" s="11">
        <v>6253675.6699999999</v>
      </c>
      <c r="JP75" s="11">
        <v>9210822.6699999999</v>
      </c>
      <c r="JQ75" s="11">
        <v>18546299.809999999</v>
      </c>
      <c r="JR75" s="11">
        <v>4098505.85</v>
      </c>
      <c r="JS75" s="11">
        <v>1157485</v>
      </c>
      <c r="JT75" s="11">
        <v>223570</v>
      </c>
      <c r="JU75" s="11">
        <v>4438127.71</v>
      </c>
      <c r="JV75" s="11">
        <v>1786928.17</v>
      </c>
      <c r="JW75" s="11">
        <v>5802943.7000000002</v>
      </c>
      <c r="JX75" s="11">
        <v>1224743.1200000001</v>
      </c>
      <c r="JY75" s="11">
        <v>16655038.470000001</v>
      </c>
      <c r="JZ75" s="11">
        <v>3819256.24</v>
      </c>
      <c r="KA75" s="11">
        <v>6991670.0999999996</v>
      </c>
      <c r="KB75" s="11">
        <v>7004537.1900000004</v>
      </c>
      <c r="KC75" s="11">
        <v>2005841.06</v>
      </c>
      <c r="KD75" s="11">
        <v>2652332.1800000002</v>
      </c>
      <c r="KE75" s="11">
        <v>600599.80000000005</v>
      </c>
      <c r="KF75" s="11">
        <v>923712.29</v>
      </c>
      <c r="KG75" s="11">
        <v>2422175.38</v>
      </c>
      <c r="KH75" s="11">
        <v>2494867.46</v>
      </c>
      <c r="KI75" s="11">
        <v>135647155.02000001</v>
      </c>
      <c r="KJ75" s="11">
        <v>24177749</v>
      </c>
      <c r="KK75" s="11">
        <v>2599991.5099999998</v>
      </c>
      <c r="KL75" s="11">
        <v>1682397.7</v>
      </c>
      <c r="KM75" s="11">
        <v>2635711.1</v>
      </c>
      <c r="KN75" s="11">
        <v>4176652.58</v>
      </c>
      <c r="KO75" s="11">
        <v>24925064.23</v>
      </c>
      <c r="KP75" s="11">
        <v>1962394.68</v>
      </c>
      <c r="KQ75" s="11">
        <v>3659598.85</v>
      </c>
      <c r="KR75" s="11">
        <v>71055027.640000001</v>
      </c>
      <c r="KS75" s="11">
        <v>3166472.89</v>
      </c>
      <c r="KT75" s="11">
        <v>1226773.3999999999</v>
      </c>
      <c r="KU75" s="11">
        <v>9849043.2200000007</v>
      </c>
      <c r="KV75" s="11">
        <v>3252818.89</v>
      </c>
      <c r="KW75" s="11">
        <v>7246397.9900000002</v>
      </c>
      <c r="KX75" s="11">
        <v>47754710.93</v>
      </c>
      <c r="KY75" s="11">
        <v>6424183.6900000004</v>
      </c>
      <c r="KZ75" s="11">
        <v>76286321.620000005</v>
      </c>
      <c r="LA75" s="11">
        <v>5306509.05</v>
      </c>
      <c r="LB75" s="11">
        <v>2276561.54</v>
      </c>
      <c r="LC75" s="11">
        <v>10271300.48</v>
      </c>
      <c r="LD75" s="11">
        <v>6523512.1900000004</v>
      </c>
      <c r="LE75" s="11">
        <v>4378349.8099999996</v>
      </c>
      <c r="LF75" s="11">
        <v>3566907.23</v>
      </c>
      <c r="LG75" s="11">
        <v>2605135.09</v>
      </c>
      <c r="LH75" s="11">
        <v>9111186.6999999993</v>
      </c>
      <c r="LI75" s="11">
        <v>242375</v>
      </c>
      <c r="LJ75" s="11">
        <v>487695.67</v>
      </c>
      <c r="LK75" s="11">
        <v>31146989.82</v>
      </c>
      <c r="LL75" s="11">
        <v>4603650.13</v>
      </c>
      <c r="LM75" s="11">
        <v>3565964.51</v>
      </c>
      <c r="LN75" s="11">
        <v>2213181.27</v>
      </c>
      <c r="LO75" s="11">
        <v>2824133.52</v>
      </c>
      <c r="LP75" s="11">
        <v>1563480.2</v>
      </c>
      <c r="LQ75" s="11">
        <v>6965164.8600000003</v>
      </c>
      <c r="LR75" s="11">
        <v>1566950.12</v>
      </c>
      <c r="LS75" s="11">
        <v>16905887.34</v>
      </c>
      <c r="LT75" s="11">
        <v>3459664.06</v>
      </c>
      <c r="LU75" s="11">
        <v>3997571.12</v>
      </c>
      <c r="LV75" s="11">
        <v>17725742.57</v>
      </c>
      <c r="LW75" s="11">
        <v>25585830.149999999</v>
      </c>
      <c r="LX75" s="11">
        <v>122521797.28</v>
      </c>
      <c r="LY75" s="11">
        <v>19965882.219999999</v>
      </c>
      <c r="LZ75" s="11">
        <v>19336323.940000001</v>
      </c>
      <c r="MA75" s="11">
        <v>5140552.82</v>
      </c>
      <c r="MB75" s="11">
        <v>5152546.22</v>
      </c>
      <c r="MC75" s="11">
        <v>6898329.6500000004</v>
      </c>
      <c r="MD75" s="11">
        <v>8365869.1900000004</v>
      </c>
      <c r="ME75" s="11">
        <v>10314940.310000001</v>
      </c>
      <c r="MF75" s="11">
        <v>15358368.189999999</v>
      </c>
      <c r="MG75" s="11">
        <v>3143350.37</v>
      </c>
      <c r="MH75" s="11">
        <v>114727558.83</v>
      </c>
      <c r="MI75" s="11">
        <v>4189970.04</v>
      </c>
      <c r="MJ75" s="11">
        <v>3592809.37</v>
      </c>
      <c r="MK75" s="11">
        <v>2037996.91</v>
      </c>
      <c r="ML75" s="11">
        <v>2014201.88</v>
      </c>
      <c r="MM75" s="11">
        <v>3285194.5</v>
      </c>
      <c r="MN75" s="11">
        <v>2980955.62</v>
      </c>
      <c r="MO75" s="11">
        <v>1808469.07</v>
      </c>
      <c r="MP75" s="11">
        <v>9621625.9000000004</v>
      </c>
      <c r="MQ75" s="11">
        <v>4220254.66</v>
      </c>
      <c r="MR75" s="11">
        <v>2639379.19</v>
      </c>
      <c r="MS75" s="11">
        <v>4286591.4400000004</v>
      </c>
      <c r="MT75" s="11">
        <v>7379622.4000000004</v>
      </c>
      <c r="MU75" s="11">
        <v>3435060.28</v>
      </c>
      <c r="MV75" s="11">
        <v>3926732.45</v>
      </c>
      <c r="MW75" s="11">
        <v>14801964.98</v>
      </c>
      <c r="MX75" s="11">
        <v>15255332.27</v>
      </c>
      <c r="MY75" s="11">
        <v>3705876.08</v>
      </c>
      <c r="MZ75" s="11">
        <v>10683218.460000001</v>
      </c>
      <c r="NA75" s="11">
        <v>12662235.75</v>
      </c>
      <c r="NB75" s="11">
        <v>4016736.8</v>
      </c>
      <c r="NC75" s="11">
        <v>4353395.3</v>
      </c>
      <c r="ND75" s="11">
        <v>1135794.01</v>
      </c>
      <c r="NE75" s="11">
        <v>10504517.380000001</v>
      </c>
      <c r="NF75" s="11">
        <v>2692152.39</v>
      </c>
      <c r="NG75" s="11">
        <v>1611008.05</v>
      </c>
      <c r="NH75" s="11">
        <v>32836277.66</v>
      </c>
      <c r="NI75" s="11">
        <v>3432958.55</v>
      </c>
      <c r="NJ75" s="11">
        <v>5738719.25</v>
      </c>
      <c r="NK75" s="11">
        <v>15596641.949999999</v>
      </c>
      <c r="NL75" s="11">
        <v>13487102.390000001</v>
      </c>
      <c r="NM75" s="11">
        <v>766524.8</v>
      </c>
      <c r="NN75" s="11">
        <v>5800184.6100000003</v>
      </c>
      <c r="NO75" s="11">
        <v>2562403.77</v>
      </c>
      <c r="NP75" s="11">
        <v>5187639.46</v>
      </c>
      <c r="NQ75" s="11">
        <v>31340105.949999999</v>
      </c>
      <c r="NR75" s="11">
        <v>2160448.0099999998</v>
      </c>
      <c r="NS75" s="11">
        <v>1609095.06</v>
      </c>
      <c r="NT75" s="11">
        <v>1018027.3</v>
      </c>
      <c r="NU75" s="11">
        <v>1077463.1100000001</v>
      </c>
      <c r="NV75" s="11">
        <v>278205.65000000002</v>
      </c>
      <c r="NW75" s="11">
        <v>510163.83</v>
      </c>
      <c r="NX75" s="11">
        <v>4121232</v>
      </c>
      <c r="NY75" s="11">
        <v>16736489.119999999</v>
      </c>
      <c r="NZ75" s="11">
        <v>3055559.83</v>
      </c>
      <c r="OA75" s="11">
        <v>2097850.11</v>
      </c>
      <c r="OB75" s="11">
        <v>3555585.12</v>
      </c>
      <c r="OC75" s="11">
        <v>4548631.16</v>
      </c>
      <c r="OD75" s="11">
        <v>4080485.67</v>
      </c>
      <c r="OE75" s="11">
        <v>23200571.539999999</v>
      </c>
      <c r="OF75" s="11">
        <v>26190393.379999999</v>
      </c>
      <c r="OG75" s="11">
        <v>2159271.33</v>
      </c>
      <c r="OH75" s="11">
        <v>21954965.629999999</v>
      </c>
      <c r="OI75" s="11">
        <v>2565803.0699999998</v>
      </c>
      <c r="OJ75" s="11">
        <v>1429160.42</v>
      </c>
      <c r="OK75" s="11">
        <v>4910900</v>
      </c>
      <c r="OL75" s="11">
        <v>4928285.74</v>
      </c>
      <c r="OM75" s="11">
        <v>5931888.7999999998</v>
      </c>
      <c r="ON75" s="11">
        <v>10473693.699999999</v>
      </c>
      <c r="OO75" s="11">
        <v>15971174.02</v>
      </c>
      <c r="OP75" s="11">
        <v>30103959.890000001</v>
      </c>
      <c r="OQ75" s="11">
        <v>6682427.5899999999</v>
      </c>
      <c r="OR75" s="11">
        <v>9245542.5500000007</v>
      </c>
      <c r="OS75" s="11">
        <v>5162630.88</v>
      </c>
      <c r="OT75" s="11">
        <v>7196638.9400000004</v>
      </c>
      <c r="OU75" s="11">
        <v>2561648.5</v>
      </c>
      <c r="OV75" s="11">
        <v>1107081.3999999999</v>
      </c>
      <c r="OW75" s="11">
        <v>2586155.77</v>
      </c>
      <c r="OX75" s="11">
        <v>5025716.5999999996</v>
      </c>
      <c r="OY75" s="11">
        <v>17357294.719999999</v>
      </c>
      <c r="OZ75" s="11">
        <v>3902282.11</v>
      </c>
      <c r="PA75" s="11">
        <v>2594907.7599999998</v>
      </c>
      <c r="PB75" s="11">
        <v>2973722.07</v>
      </c>
      <c r="PC75" s="11">
        <v>48437762.950000003</v>
      </c>
      <c r="PD75" s="11">
        <v>3171112.08</v>
      </c>
      <c r="PE75" s="11">
        <v>25022398.219999999</v>
      </c>
      <c r="PF75" s="11">
        <v>2219084.14</v>
      </c>
      <c r="PG75" s="11">
        <v>4795356.72</v>
      </c>
      <c r="PH75" s="11">
        <v>8051254.4900000002</v>
      </c>
      <c r="PI75" s="11">
        <v>4298393.99</v>
      </c>
      <c r="PJ75" s="11">
        <v>3006194.49</v>
      </c>
      <c r="PK75" s="11">
        <v>6828851.6799999997</v>
      </c>
      <c r="PL75" s="11">
        <v>7232168.7400000002</v>
      </c>
      <c r="PM75" s="11">
        <v>3216198.82</v>
      </c>
      <c r="PN75" s="11">
        <v>11226571.74</v>
      </c>
      <c r="PO75" s="11">
        <v>3305027.97</v>
      </c>
      <c r="PP75" s="11">
        <v>14436090.52</v>
      </c>
      <c r="PQ75" s="11">
        <v>3033444.97</v>
      </c>
      <c r="PR75" s="11">
        <v>3930008.53</v>
      </c>
      <c r="PS75" s="11">
        <v>4241302.55</v>
      </c>
      <c r="PT75" s="11">
        <v>4089480.32</v>
      </c>
      <c r="PU75" s="11">
        <v>16185915.75</v>
      </c>
      <c r="PV75" s="11">
        <v>19995793.559999999</v>
      </c>
      <c r="PW75" s="11">
        <v>10813356.939999999</v>
      </c>
      <c r="PX75" s="11">
        <v>6972015.54</v>
      </c>
      <c r="PY75" s="11">
        <v>76792939.510000005</v>
      </c>
      <c r="PZ75" s="11">
        <v>18156498.579999998</v>
      </c>
      <c r="QA75" s="11">
        <v>33637741.979999997</v>
      </c>
      <c r="QB75" s="11">
        <v>8949441.3300000001</v>
      </c>
      <c r="QC75" s="11">
        <v>21321485.27</v>
      </c>
      <c r="QD75" s="11">
        <v>2865512.31</v>
      </c>
      <c r="QE75" s="11">
        <v>24682142.629999999</v>
      </c>
      <c r="QF75" s="11">
        <v>6541860.9400000004</v>
      </c>
      <c r="QG75" s="11">
        <v>4851047.3600000003</v>
      </c>
      <c r="QH75" s="11">
        <v>7105128.9000000004</v>
      </c>
      <c r="QI75" s="11">
        <v>27181955.989999998</v>
      </c>
      <c r="QJ75" s="11">
        <v>7754578.3700000001</v>
      </c>
      <c r="QK75" s="11">
        <v>16129698.82</v>
      </c>
      <c r="QL75" s="11">
        <v>11817270.92</v>
      </c>
      <c r="QM75" s="11">
        <v>8916555.3300000001</v>
      </c>
      <c r="QN75" s="11">
        <v>20013699.82</v>
      </c>
      <c r="QO75" s="11">
        <v>14889366.369999999</v>
      </c>
      <c r="QP75" s="11">
        <v>8712863.2100000009</v>
      </c>
      <c r="QQ75" s="11">
        <v>2762562.81</v>
      </c>
      <c r="QR75" s="11">
        <v>6672215.5700000003</v>
      </c>
      <c r="QS75" s="11">
        <v>564178.19999999995</v>
      </c>
      <c r="QT75" s="11">
        <v>3517677.61</v>
      </c>
      <c r="QU75" s="11">
        <v>104620626.98999999</v>
      </c>
      <c r="QV75" s="11">
        <v>3684475.38</v>
      </c>
      <c r="QW75" s="11">
        <v>8702726.2799999993</v>
      </c>
      <c r="QX75" s="11">
        <v>2547069.27</v>
      </c>
      <c r="QY75" s="11">
        <v>4884853.7699999996</v>
      </c>
      <c r="QZ75" s="11">
        <v>18535219.899999999</v>
      </c>
      <c r="RA75" s="11">
        <v>7241818.8700000001</v>
      </c>
      <c r="RB75" s="11">
        <v>15611234.02</v>
      </c>
      <c r="RC75" s="11">
        <v>5741705.0499999998</v>
      </c>
      <c r="RD75" s="11">
        <v>10630418.060000001</v>
      </c>
      <c r="RE75" s="11">
        <v>3348391.86</v>
      </c>
      <c r="RF75" s="11">
        <v>383599.4</v>
      </c>
      <c r="RG75" s="11">
        <v>2318696.19</v>
      </c>
      <c r="RH75" s="11">
        <v>83179657.329999998</v>
      </c>
      <c r="RI75" s="11">
        <v>22654610.18</v>
      </c>
      <c r="RJ75" s="11">
        <v>6189446.1900000004</v>
      </c>
      <c r="RK75" s="11">
        <v>4991367.05</v>
      </c>
      <c r="RL75" s="11">
        <v>12492646.779999999</v>
      </c>
      <c r="RM75" s="11">
        <v>26285616.920000002</v>
      </c>
      <c r="RN75" s="11">
        <v>19413775.579999998</v>
      </c>
      <c r="RO75" s="11">
        <v>6979056.4100000001</v>
      </c>
      <c r="RP75" s="11">
        <v>2572457.92</v>
      </c>
      <c r="RQ75" s="11">
        <v>26895304.460000001</v>
      </c>
      <c r="RR75" s="11">
        <v>20711439.07</v>
      </c>
      <c r="RS75" s="11">
        <v>6291529.5199999996</v>
      </c>
      <c r="RT75" s="11">
        <v>7167715.04</v>
      </c>
      <c r="RU75" s="11">
        <v>8761703.9499999993</v>
      </c>
      <c r="RV75" s="11">
        <v>3112911.67</v>
      </c>
      <c r="RW75" s="11">
        <v>4241650.03</v>
      </c>
      <c r="RX75" s="11">
        <v>8733343.5999999996</v>
      </c>
      <c r="RY75" s="11">
        <v>1905346.32</v>
      </c>
      <c r="RZ75" s="11">
        <v>3029971.14</v>
      </c>
      <c r="SA75" s="11">
        <v>2721648.03</v>
      </c>
      <c r="SB75" s="11">
        <v>20959272.899999999</v>
      </c>
      <c r="SC75" s="11">
        <v>4026028.67</v>
      </c>
      <c r="SD75" s="11">
        <v>2579635.52</v>
      </c>
      <c r="SE75" s="11">
        <v>4036318.6</v>
      </c>
      <c r="SF75" s="11">
        <v>2811221.98</v>
      </c>
      <c r="SG75" s="11">
        <v>5935476.7400000002</v>
      </c>
      <c r="SH75" s="11">
        <v>8373295.1799999997</v>
      </c>
      <c r="SI75" s="11">
        <v>4161169.49</v>
      </c>
      <c r="SJ75" s="11">
        <v>3433150.64</v>
      </c>
      <c r="SK75" s="11">
        <v>1913003</v>
      </c>
      <c r="SL75" s="11">
        <v>16779577.84</v>
      </c>
      <c r="SM75" s="11">
        <v>2153659.35</v>
      </c>
      <c r="SN75" s="11">
        <v>16776991.609999999</v>
      </c>
      <c r="SO75" s="11">
        <v>4835350.4000000004</v>
      </c>
      <c r="SP75" s="11">
        <v>3415267.68</v>
      </c>
      <c r="SQ75" s="11">
        <v>9409913.8000000007</v>
      </c>
      <c r="SR75" s="11">
        <v>1648953.1</v>
      </c>
      <c r="SS75" s="11">
        <v>1788070.69</v>
      </c>
      <c r="ST75" s="11">
        <v>9000</v>
      </c>
      <c r="SU75" s="11">
        <v>4074190.26</v>
      </c>
      <c r="SV75" s="11">
        <v>75427205.859999999</v>
      </c>
      <c r="SW75" s="11">
        <v>1960200.43</v>
      </c>
      <c r="SX75" s="11">
        <v>3679329.09</v>
      </c>
      <c r="SY75" s="11">
        <v>4328196.45</v>
      </c>
      <c r="SZ75" s="11">
        <v>1337473.23</v>
      </c>
      <c r="TA75" s="11">
        <v>1953886.73</v>
      </c>
      <c r="TB75" s="11">
        <v>2151963.75</v>
      </c>
      <c r="TC75" s="11">
        <v>33498746.489999998</v>
      </c>
      <c r="TD75" s="11">
        <v>5413544.2400000002</v>
      </c>
      <c r="TE75" s="11">
        <v>3643417.06</v>
      </c>
      <c r="TF75" s="11">
        <v>3628945.77</v>
      </c>
      <c r="TG75" s="11">
        <v>25972718.5</v>
      </c>
      <c r="TH75" s="11">
        <v>1677515.38</v>
      </c>
      <c r="TI75" s="11">
        <v>2423138.0499999998</v>
      </c>
      <c r="TJ75" s="11">
        <v>120006072.33</v>
      </c>
      <c r="TK75" s="11">
        <v>3345188.74</v>
      </c>
      <c r="TL75" s="11">
        <v>7106091.96</v>
      </c>
      <c r="TM75" s="11">
        <v>9280022.1500000004</v>
      </c>
      <c r="TN75" s="11">
        <v>9790023.4900000002</v>
      </c>
      <c r="TO75" s="11">
        <v>1312734.23</v>
      </c>
      <c r="TP75" s="11">
        <v>2360894.14</v>
      </c>
      <c r="TQ75" s="11">
        <v>13998816.109999999</v>
      </c>
      <c r="TR75" s="11">
        <v>3212231.63</v>
      </c>
      <c r="TS75" s="11">
        <v>9784811.5299999993</v>
      </c>
      <c r="TT75" s="11">
        <v>13080639.050000001</v>
      </c>
      <c r="TU75" s="11">
        <v>1034401.28</v>
      </c>
      <c r="TV75" s="11">
        <v>1778534.24</v>
      </c>
      <c r="TW75" s="11">
        <v>3296945.26</v>
      </c>
      <c r="TX75" s="11">
        <v>4838227.7</v>
      </c>
      <c r="TY75" s="11">
        <v>939871.91</v>
      </c>
      <c r="TZ75" s="11">
        <v>27746509.77</v>
      </c>
      <c r="UA75" s="11">
        <v>2166867.7200000002</v>
      </c>
      <c r="UB75" s="11">
        <v>40650822.140000001</v>
      </c>
      <c r="UC75" s="11">
        <v>19461173.77</v>
      </c>
      <c r="UD75" s="11">
        <v>7353895.1200000001</v>
      </c>
      <c r="UE75" s="11">
        <v>7893048.3799999999</v>
      </c>
      <c r="UF75" s="11">
        <v>57991599.490000002</v>
      </c>
      <c r="UG75" s="11">
        <v>4055065.44</v>
      </c>
      <c r="UH75" s="11">
        <v>3480923.55</v>
      </c>
      <c r="UI75" s="11">
        <v>8933546.0399999991</v>
      </c>
      <c r="UJ75" s="11">
        <v>4043226.24</v>
      </c>
      <c r="UK75" s="11">
        <v>23798368.710000001</v>
      </c>
      <c r="UL75" s="11">
        <v>14201332</v>
      </c>
      <c r="UM75" s="11">
        <v>9191580.9000000004</v>
      </c>
      <c r="UN75" s="11">
        <v>17073967.32</v>
      </c>
      <c r="UO75" s="11">
        <v>7345714.4400000004</v>
      </c>
      <c r="UP75" s="11">
        <v>5419396.0999999996</v>
      </c>
      <c r="UQ75" s="11">
        <v>105618250.97</v>
      </c>
      <c r="UR75" s="11">
        <v>10245971.029999999</v>
      </c>
      <c r="US75" s="11">
        <v>9966733.6899999995</v>
      </c>
      <c r="UT75" s="11">
        <v>32567645.190000001</v>
      </c>
      <c r="UU75" s="11">
        <v>263757.78999999998</v>
      </c>
      <c r="UV75" s="11">
        <v>7327615.3600000003</v>
      </c>
      <c r="UW75" s="11">
        <v>16259057.630000001</v>
      </c>
      <c r="UX75" s="11">
        <v>2576431.7200000002</v>
      </c>
      <c r="UY75" s="11">
        <v>9024260.4499999993</v>
      </c>
      <c r="UZ75" s="11">
        <v>1954355.7</v>
      </c>
      <c r="VA75" s="11">
        <v>8087187.96</v>
      </c>
      <c r="VB75" s="11">
        <v>13876212.119999999</v>
      </c>
      <c r="VC75" s="11">
        <v>10973834.779999999</v>
      </c>
      <c r="VD75" s="11">
        <v>5274837.0999999996</v>
      </c>
      <c r="VE75" s="11">
        <v>3750822.23</v>
      </c>
      <c r="VF75" s="11">
        <v>5853172.9500000002</v>
      </c>
      <c r="VG75" s="11">
        <v>5138263.9000000004</v>
      </c>
      <c r="VH75" s="11">
        <v>4613165.76</v>
      </c>
      <c r="VI75" s="11">
        <v>19868696.16</v>
      </c>
      <c r="VJ75" s="11">
        <v>4535695.76</v>
      </c>
      <c r="VK75" s="11">
        <v>1985492.07</v>
      </c>
      <c r="VL75" s="11">
        <v>1135964.1499999999</v>
      </c>
      <c r="VM75" s="11">
        <v>117904212.72</v>
      </c>
      <c r="VN75" s="11">
        <v>7320197.7000000002</v>
      </c>
      <c r="VO75" s="11">
        <v>3683769.29</v>
      </c>
      <c r="VP75" s="11">
        <v>11895186.41</v>
      </c>
      <c r="VQ75" s="11">
        <v>19132167.73</v>
      </c>
      <c r="VR75" s="11">
        <v>11614447.890000001</v>
      </c>
      <c r="VS75" s="11">
        <v>7490731.1200000001</v>
      </c>
      <c r="VT75" s="11">
        <v>2859269.03</v>
      </c>
      <c r="VU75" s="11">
        <v>11192380.800000001</v>
      </c>
      <c r="VV75" s="11">
        <v>40088654.43</v>
      </c>
      <c r="VW75" s="11">
        <v>5033129.5999999996</v>
      </c>
      <c r="VX75" s="11">
        <v>8259153.9100000001</v>
      </c>
      <c r="VY75" s="11">
        <v>4371271.34</v>
      </c>
      <c r="VZ75" s="11">
        <v>2334414.2599999998</v>
      </c>
      <c r="WA75" s="11">
        <v>4376462.33</v>
      </c>
      <c r="WB75" s="11">
        <v>403157095.80000001</v>
      </c>
      <c r="WC75" s="11">
        <v>12651010.93</v>
      </c>
      <c r="WD75" s="11">
        <v>4637160.2</v>
      </c>
      <c r="WE75" s="11">
        <v>3326997.04</v>
      </c>
      <c r="WF75" s="11">
        <v>2086412.39</v>
      </c>
      <c r="WG75" s="11">
        <v>7243233.5800000001</v>
      </c>
      <c r="WH75" s="11">
        <v>20076146.120000001</v>
      </c>
      <c r="WI75" s="11">
        <v>8087781.54</v>
      </c>
      <c r="WJ75" s="11">
        <v>4262149.9400000004</v>
      </c>
      <c r="WK75" s="11">
        <v>8832755.8000000007</v>
      </c>
      <c r="WL75" s="11">
        <v>3094786.09</v>
      </c>
      <c r="WM75" s="11">
        <v>18923009.289999999</v>
      </c>
      <c r="WN75" s="11">
        <v>1921394.82</v>
      </c>
      <c r="WO75" s="11">
        <v>16068177.9</v>
      </c>
      <c r="WP75" s="11">
        <v>15935143.5</v>
      </c>
      <c r="WQ75" s="11">
        <v>2872022.78</v>
      </c>
      <c r="WR75" s="11">
        <v>2678327.84</v>
      </c>
      <c r="WS75" s="11">
        <v>10708603.73</v>
      </c>
      <c r="WT75" s="11">
        <v>854547.03</v>
      </c>
      <c r="WU75" s="11">
        <v>7207001.7999999998</v>
      </c>
      <c r="WV75" s="11">
        <v>25505753.350000001</v>
      </c>
      <c r="WW75" s="11">
        <v>7908293.4800000004</v>
      </c>
      <c r="WX75" s="11">
        <v>5857568.0599999996</v>
      </c>
      <c r="WY75" s="11">
        <v>3560184.01</v>
      </c>
      <c r="WZ75" s="11">
        <v>4562026.09</v>
      </c>
      <c r="XA75" s="11">
        <v>5101573.76</v>
      </c>
      <c r="XB75" s="11">
        <v>3476185.92</v>
      </c>
      <c r="XC75" s="11">
        <v>4524387.4400000004</v>
      </c>
      <c r="XD75" s="11">
        <v>12540687.439999999</v>
      </c>
      <c r="XE75" s="11">
        <v>3331751.9</v>
      </c>
      <c r="XF75" s="11">
        <v>923877.99</v>
      </c>
      <c r="XG75" s="11">
        <v>1350099.67</v>
      </c>
      <c r="XH75" s="11">
        <v>3334921.77</v>
      </c>
      <c r="XI75" s="11">
        <v>72650362.099999994</v>
      </c>
      <c r="XJ75" s="11">
        <v>7408940.3499999996</v>
      </c>
      <c r="XK75" s="11">
        <v>3457927.6</v>
      </c>
      <c r="XL75" s="11">
        <v>14982063.24</v>
      </c>
      <c r="XM75" s="11">
        <v>5212161.03</v>
      </c>
      <c r="XN75" s="11">
        <v>1207016.82</v>
      </c>
      <c r="XO75" s="11">
        <v>13067872.710000001</v>
      </c>
      <c r="XP75" s="11">
        <v>7947278.0099999998</v>
      </c>
      <c r="XQ75" s="11">
        <v>3018894.7</v>
      </c>
      <c r="XR75" s="11">
        <v>6389108.9299999997</v>
      </c>
      <c r="XS75" s="11">
        <v>8269492.5</v>
      </c>
      <c r="XT75" s="11">
        <v>3653210.4</v>
      </c>
      <c r="XU75" s="11">
        <v>4852251.93</v>
      </c>
      <c r="XV75" s="11">
        <v>2440757.4500000002</v>
      </c>
      <c r="XW75" s="11">
        <v>1621902.77</v>
      </c>
      <c r="XX75" s="11">
        <v>2197620.48</v>
      </c>
      <c r="XY75" s="11">
        <v>1201913.29</v>
      </c>
      <c r="XZ75" s="11">
        <v>3317045.95</v>
      </c>
      <c r="YA75" s="11">
        <v>1249752.29</v>
      </c>
      <c r="YB75" s="11">
        <v>801577.95</v>
      </c>
      <c r="YC75" s="11">
        <v>1340022.82</v>
      </c>
      <c r="YD75" s="11">
        <v>2964158.91</v>
      </c>
      <c r="YE75" s="11">
        <v>1848131.15</v>
      </c>
      <c r="YF75" s="11"/>
      <c r="YG75" s="11">
        <v>4172635.62</v>
      </c>
      <c r="YH75" s="11">
        <v>12948905.16</v>
      </c>
      <c r="YI75" s="11">
        <v>2938218.94</v>
      </c>
      <c r="YJ75" s="11">
        <v>3790669.1</v>
      </c>
      <c r="YK75" s="11">
        <v>3266772.66</v>
      </c>
      <c r="YL75" s="11">
        <v>15184632.73</v>
      </c>
      <c r="YM75" s="11">
        <v>2887450.75</v>
      </c>
      <c r="YN75" s="11">
        <v>11539899</v>
      </c>
      <c r="YO75" s="11">
        <v>15573734.34</v>
      </c>
      <c r="YP75" s="11">
        <v>4492192.8899999997</v>
      </c>
      <c r="YQ75" s="11">
        <v>6672011.1200000001</v>
      </c>
      <c r="YR75" s="11">
        <v>6149756.8499999996</v>
      </c>
      <c r="YS75" s="11">
        <v>3465060.1</v>
      </c>
      <c r="YT75" s="11">
        <v>3379191.25</v>
      </c>
      <c r="YU75" s="11">
        <v>7467132.8499999996</v>
      </c>
      <c r="YV75" s="11">
        <v>3091750.44</v>
      </c>
      <c r="YW75" s="11">
        <v>49009905.75</v>
      </c>
      <c r="YX75" s="11">
        <v>5864285.9800000004</v>
      </c>
      <c r="YY75" s="11">
        <v>1933594.45</v>
      </c>
      <c r="YZ75" s="11">
        <v>3847951.7</v>
      </c>
      <c r="ZA75" s="11">
        <v>2226929.06</v>
      </c>
      <c r="ZB75" s="11">
        <v>1092171.8600000001</v>
      </c>
      <c r="ZC75" s="11">
        <v>1624314.39</v>
      </c>
      <c r="ZD75" s="11">
        <v>21342905.07</v>
      </c>
      <c r="ZE75" s="11">
        <v>790449.23</v>
      </c>
      <c r="ZF75" s="11">
        <v>1969787.57</v>
      </c>
      <c r="ZG75" s="11">
        <v>2300229.6</v>
      </c>
      <c r="ZH75" s="11">
        <v>2262369.67</v>
      </c>
      <c r="ZI75" s="11">
        <v>1393076.88</v>
      </c>
      <c r="ZJ75" s="11">
        <v>2788758.17</v>
      </c>
      <c r="ZK75" s="11">
        <v>2162330.87</v>
      </c>
      <c r="ZL75" s="11">
        <v>28799535.82</v>
      </c>
      <c r="ZM75" s="11">
        <v>103621570.98</v>
      </c>
      <c r="ZN75" s="11">
        <v>1730581.02</v>
      </c>
      <c r="ZO75" s="11">
        <v>15639379.107000001</v>
      </c>
      <c r="ZP75" s="11">
        <v>17650213.23</v>
      </c>
      <c r="ZQ75" s="11">
        <v>13803386</v>
      </c>
      <c r="ZR75" s="11">
        <v>2468622.5499999998</v>
      </c>
      <c r="ZS75" s="11">
        <v>4982353.9400000004</v>
      </c>
      <c r="ZT75" s="11">
        <v>10017107.23</v>
      </c>
      <c r="ZU75" s="11">
        <v>7143497.4100000001</v>
      </c>
      <c r="ZV75" s="11">
        <v>12848302.9</v>
      </c>
      <c r="ZW75" s="11">
        <v>1777313.44</v>
      </c>
      <c r="ZX75" s="11">
        <v>1058840.93</v>
      </c>
      <c r="ZY75" s="11">
        <v>4450592.9800000004</v>
      </c>
      <c r="ZZ75" s="11">
        <v>6066020.5300000003</v>
      </c>
      <c r="AAA75" s="11">
        <v>5075495.7300000004</v>
      </c>
      <c r="AAB75" s="11">
        <v>4025535.71</v>
      </c>
      <c r="AAC75" s="11">
        <v>4397687.83</v>
      </c>
      <c r="AAD75" s="11">
        <v>1518861.88</v>
      </c>
      <c r="AAE75" s="11">
        <v>3284604.6</v>
      </c>
      <c r="AAF75" s="11">
        <v>1253117.1499999999</v>
      </c>
      <c r="AAG75" s="11">
        <v>1554767.97</v>
      </c>
      <c r="AAH75" s="11">
        <v>2825724.42</v>
      </c>
      <c r="AAI75" s="11">
        <v>33125671.989999998</v>
      </c>
      <c r="AAJ75" s="11">
        <v>5653134.8399999999</v>
      </c>
      <c r="AAK75" s="11">
        <v>6533050.8499999996</v>
      </c>
      <c r="AAL75" s="11">
        <v>3764642.81</v>
      </c>
      <c r="AAM75" s="11">
        <v>526046.30000000005</v>
      </c>
      <c r="AAN75" s="11">
        <v>10561943.5</v>
      </c>
      <c r="AAO75" s="11">
        <v>2770165.68</v>
      </c>
      <c r="AAP75" s="11">
        <v>155219923.81999999</v>
      </c>
      <c r="AAQ75" s="11">
        <v>10958637.449999999</v>
      </c>
      <c r="AAR75" s="11">
        <v>6998694.1699999999</v>
      </c>
      <c r="AAS75" s="11">
        <v>13818244.039999999</v>
      </c>
      <c r="AAT75" s="11">
        <v>6124236</v>
      </c>
      <c r="AAU75" s="11">
        <v>6285303.3300000001</v>
      </c>
      <c r="AAV75" s="11">
        <v>3881890.47</v>
      </c>
      <c r="AAW75" s="11">
        <v>5711944.3099999996</v>
      </c>
      <c r="AAX75" s="11">
        <v>42307689.200000003</v>
      </c>
      <c r="AAY75" s="11">
        <v>7500158.2400000002</v>
      </c>
      <c r="AAZ75" s="11">
        <v>8655969.7899999991</v>
      </c>
      <c r="ABA75" s="11">
        <v>39540291.859999999</v>
      </c>
      <c r="ABB75" s="11">
        <v>10744504.359999999</v>
      </c>
      <c r="ABC75" s="11">
        <v>1749811.83</v>
      </c>
      <c r="ABD75" s="11">
        <v>3252538.47</v>
      </c>
      <c r="ABE75" s="11">
        <v>5833714.5300000003</v>
      </c>
      <c r="ABF75" s="11">
        <v>2281935.56</v>
      </c>
      <c r="ABG75" s="11">
        <v>3791991.69</v>
      </c>
      <c r="ABH75" s="11">
        <v>5598342.2199999997</v>
      </c>
      <c r="ABI75" s="11">
        <v>42106805.020000003</v>
      </c>
      <c r="ABJ75" s="11">
        <v>19889049.100000001</v>
      </c>
      <c r="ABK75" s="11">
        <v>8184580.6200000001</v>
      </c>
      <c r="ABL75" s="11">
        <v>3026740.22</v>
      </c>
      <c r="ABM75" s="11">
        <v>10124864.470000001</v>
      </c>
      <c r="ABN75" s="11">
        <v>1715079.37</v>
      </c>
      <c r="ABO75" s="11">
        <v>3042762.93</v>
      </c>
      <c r="ABP75" s="11">
        <v>40195200.100000001</v>
      </c>
      <c r="ABQ75" s="11">
        <v>4042432.18</v>
      </c>
      <c r="ABR75" s="11">
        <v>10041906.42</v>
      </c>
      <c r="ABS75" s="11">
        <v>8343606.7999999998</v>
      </c>
      <c r="ABT75" s="11">
        <v>5794091.6900000004</v>
      </c>
      <c r="ABU75" s="11">
        <v>8777978.9900000002</v>
      </c>
      <c r="ABV75" s="11">
        <v>3916952.54</v>
      </c>
      <c r="ABW75" s="11">
        <v>5615263.2400000002</v>
      </c>
      <c r="ABX75" s="11">
        <v>109907.24</v>
      </c>
      <c r="ABY75" s="11"/>
      <c r="ABZ75" s="11">
        <v>1819800.36</v>
      </c>
      <c r="ACA75" s="11">
        <v>10622591.689999999</v>
      </c>
      <c r="ACB75" s="11">
        <v>2618925.7200000002</v>
      </c>
      <c r="ACC75" s="11">
        <v>2682645.92</v>
      </c>
      <c r="ACD75" s="11">
        <v>46859578.939999998</v>
      </c>
      <c r="ACE75" s="11">
        <v>1561400.28</v>
      </c>
      <c r="ACF75" s="11">
        <v>4199785.49</v>
      </c>
      <c r="ACG75" s="11">
        <v>5569069.5099999998</v>
      </c>
      <c r="ACH75" s="11">
        <v>8797854.2599999998</v>
      </c>
      <c r="ACI75" s="11">
        <v>2732328.34</v>
      </c>
      <c r="ACJ75" s="11"/>
      <c r="ACK75" s="11">
        <v>4276923.59</v>
      </c>
      <c r="ACL75" s="11">
        <v>13825090.6</v>
      </c>
      <c r="ACM75" s="11">
        <v>16835624.780000001</v>
      </c>
      <c r="ACN75" s="11">
        <v>4545463.05</v>
      </c>
      <c r="ACO75" s="11">
        <v>27623438.739999998</v>
      </c>
      <c r="ACP75" s="11">
        <v>8938800.9600000009</v>
      </c>
      <c r="ACQ75" s="11">
        <v>26406325.579999998</v>
      </c>
      <c r="ACR75" s="11">
        <v>17474586.98</v>
      </c>
      <c r="ACS75" s="11">
        <v>12718018.630000001</v>
      </c>
      <c r="ACT75" s="11">
        <v>33839356.090000004</v>
      </c>
      <c r="ACU75" s="11">
        <v>23964565</v>
      </c>
      <c r="ACV75" s="11">
        <v>24449067.030000001</v>
      </c>
      <c r="ACW75" s="11">
        <v>13419809.92</v>
      </c>
      <c r="ACX75" s="11">
        <v>9804607.1500000004</v>
      </c>
      <c r="ACY75" s="11">
        <v>4484788.42</v>
      </c>
      <c r="ACZ75" s="11">
        <v>26885640.73</v>
      </c>
      <c r="ADA75" s="11">
        <v>7918125.9000000004</v>
      </c>
      <c r="ADB75" s="11">
        <v>9303317.9600000009</v>
      </c>
      <c r="ADC75" s="11">
        <v>6282084.4500000002</v>
      </c>
      <c r="ADD75" s="11">
        <v>11004087.140000001</v>
      </c>
      <c r="ADE75" s="11">
        <v>6242888.6200000001</v>
      </c>
      <c r="ADF75" s="11">
        <v>6487739.6399999997</v>
      </c>
      <c r="ADG75" s="11">
        <v>31027141.600000001</v>
      </c>
      <c r="ADH75" s="11">
        <v>15908462.26</v>
      </c>
      <c r="ADI75" s="11">
        <v>528784.78</v>
      </c>
      <c r="ADJ75" s="11">
        <v>2864521.47</v>
      </c>
      <c r="ADK75" s="11">
        <v>16427978.970000001</v>
      </c>
      <c r="ADL75" s="11">
        <v>454976.5</v>
      </c>
      <c r="ADM75" s="11">
        <v>2644766.5499999998</v>
      </c>
      <c r="ADN75" s="11">
        <v>9432516.8900000006</v>
      </c>
      <c r="ADO75" s="11">
        <v>13380744.869999999</v>
      </c>
      <c r="ADP75" s="11">
        <v>120588259.34</v>
      </c>
      <c r="ADQ75" s="11">
        <v>16555819.939999999</v>
      </c>
      <c r="ADR75" s="11">
        <v>10972280.109999999</v>
      </c>
      <c r="ADS75" s="11">
        <v>957910.34</v>
      </c>
      <c r="ADT75" s="11">
        <v>27494464.850000001</v>
      </c>
      <c r="ADU75" s="11">
        <v>2624288.33</v>
      </c>
      <c r="ADV75" s="11">
        <v>4884996.18</v>
      </c>
      <c r="ADW75" s="11">
        <v>1674146.57</v>
      </c>
      <c r="ADX75" s="11">
        <v>1066818.21</v>
      </c>
      <c r="ADY75" s="11">
        <v>547129.19999999995</v>
      </c>
      <c r="ADZ75" s="11">
        <v>212404503.62</v>
      </c>
      <c r="AEA75" s="11">
        <v>32900773.18</v>
      </c>
      <c r="AEB75" s="11">
        <v>33368678.41</v>
      </c>
      <c r="AEC75" s="11">
        <v>12444608.279999999</v>
      </c>
      <c r="AED75" s="11">
        <v>1320969.6200000001</v>
      </c>
      <c r="AEE75" s="11">
        <v>22333799.190000001</v>
      </c>
      <c r="AEF75" s="11">
        <v>18346562.390000001</v>
      </c>
      <c r="AEG75" s="11">
        <v>10725345.449999999</v>
      </c>
      <c r="AEH75" s="11">
        <v>6193385.3300000001</v>
      </c>
      <c r="AEI75" s="11">
        <v>1590889.5</v>
      </c>
      <c r="AEJ75" s="11">
        <v>12731742.279999999</v>
      </c>
      <c r="AEK75" s="11">
        <v>12124717.42</v>
      </c>
      <c r="AEL75" s="11">
        <v>3234559.86</v>
      </c>
      <c r="AEM75" s="11">
        <v>7168428.3499999996</v>
      </c>
      <c r="AEN75" s="11">
        <v>13431626.869999999</v>
      </c>
      <c r="AEO75" s="11">
        <v>5021810.63</v>
      </c>
      <c r="AEP75" s="11">
        <v>1724223.9</v>
      </c>
      <c r="AEQ75" s="11">
        <v>34592916.119999997</v>
      </c>
      <c r="AER75" s="11">
        <v>2008081.51</v>
      </c>
      <c r="AES75" s="11">
        <v>17283746.760000002</v>
      </c>
      <c r="AET75" s="11">
        <v>35180979.579999998</v>
      </c>
      <c r="AEU75" s="11">
        <v>16998672.280000001</v>
      </c>
      <c r="AEV75" s="11">
        <v>7405127.4500000002</v>
      </c>
      <c r="AEW75" s="11">
        <v>9214859.5199999996</v>
      </c>
      <c r="AEX75" s="11">
        <v>6498807.3200000003</v>
      </c>
      <c r="AEY75" s="11">
        <v>33538155.949999999</v>
      </c>
      <c r="AEZ75" s="11">
        <v>9897550.3399999999</v>
      </c>
      <c r="AFA75" s="11">
        <v>13532161.92</v>
      </c>
      <c r="AFB75" s="11">
        <v>10691243.23</v>
      </c>
      <c r="AFC75" s="11">
        <v>4374239.68</v>
      </c>
      <c r="AFD75" s="11">
        <v>1483100.5</v>
      </c>
      <c r="AFE75" s="11">
        <v>48983.6</v>
      </c>
      <c r="AFF75" s="11">
        <v>3344008.69</v>
      </c>
      <c r="AFG75" s="11">
        <v>3781811.58</v>
      </c>
      <c r="AFH75" s="11">
        <v>3192815.48</v>
      </c>
      <c r="AFI75" s="11">
        <v>3748390.61</v>
      </c>
      <c r="AFJ75" s="11">
        <v>2454077.14</v>
      </c>
      <c r="AFK75" s="11">
        <v>3420323.76</v>
      </c>
      <c r="AFL75" s="11">
        <v>1208553.47</v>
      </c>
      <c r="AFM75" s="11">
        <v>7192281.2300000004</v>
      </c>
      <c r="AFN75" s="11">
        <v>2054420.64</v>
      </c>
      <c r="AFO75" s="11">
        <v>1034624.68</v>
      </c>
      <c r="AFP75" s="11">
        <v>3166110.3</v>
      </c>
      <c r="AFQ75" s="11">
        <v>53893834.380000003</v>
      </c>
      <c r="AFR75" s="11">
        <v>3529170.66</v>
      </c>
      <c r="AFS75" s="11">
        <v>5940517.5999999996</v>
      </c>
      <c r="AFT75" s="11">
        <v>2666120.5099999998</v>
      </c>
      <c r="AFU75" s="11">
        <v>3114639.8</v>
      </c>
      <c r="AFV75" s="11">
        <v>2483739.4500000002</v>
      </c>
      <c r="AFW75" s="11">
        <v>1653868.15</v>
      </c>
      <c r="AFX75" s="11">
        <v>3749363.73</v>
      </c>
      <c r="AFY75" s="11">
        <v>3262401.86</v>
      </c>
      <c r="AFZ75" s="11">
        <v>2352986.63</v>
      </c>
      <c r="AGA75" s="11">
        <v>8593558.9499999993</v>
      </c>
      <c r="AGB75" s="11">
        <v>1657068.84</v>
      </c>
      <c r="AGC75" s="11">
        <v>15791944.210000001</v>
      </c>
      <c r="AGD75" s="11">
        <v>4428597.97</v>
      </c>
      <c r="AGE75" s="11">
        <v>7440837.8899999997</v>
      </c>
      <c r="AGF75" s="11">
        <v>6599577.9299999997</v>
      </c>
      <c r="AGG75" s="11">
        <v>14910815.77</v>
      </c>
      <c r="AGH75" s="11">
        <v>10233334.02</v>
      </c>
      <c r="AGI75" s="11">
        <v>1233110.57</v>
      </c>
      <c r="AGJ75" s="11">
        <v>6227647.9500000002</v>
      </c>
      <c r="AGK75" s="11">
        <v>2246247.33</v>
      </c>
      <c r="AGL75" s="11">
        <v>5361952.1900000004</v>
      </c>
      <c r="AGM75" s="11">
        <v>3750912.72</v>
      </c>
      <c r="AGN75" s="11">
        <v>1172407.58</v>
      </c>
      <c r="AGO75" s="11">
        <v>4020840.05</v>
      </c>
      <c r="AGP75" s="11">
        <v>617933.74</v>
      </c>
      <c r="AGQ75" s="11">
        <v>1066342.96</v>
      </c>
      <c r="AGR75" s="11">
        <v>2154441.2799999998</v>
      </c>
      <c r="AGS75" s="11">
        <v>2280792.11</v>
      </c>
      <c r="AGT75" s="11">
        <v>701480.47</v>
      </c>
      <c r="AGU75" s="11">
        <v>697806.67</v>
      </c>
      <c r="AGV75" s="11">
        <v>873600</v>
      </c>
      <c r="AGW75" s="11"/>
      <c r="AGX75" s="11">
        <v>7063236.8899999997</v>
      </c>
      <c r="AGY75" s="11">
        <v>6284188.8799999999</v>
      </c>
      <c r="AGZ75" s="11">
        <v>13404979.470000001</v>
      </c>
      <c r="AHA75" s="11">
        <v>591159.12</v>
      </c>
      <c r="AHB75" s="11">
        <v>3555838.72</v>
      </c>
      <c r="AHC75" s="11">
        <v>4929063.84</v>
      </c>
      <c r="AHD75" s="11">
        <v>1259801.76</v>
      </c>
      <c r="AHE75" s="11">
        <v>12541624.699999999</v>
      </c>
      <c r="AHF75" s="11">
        <v>3312980.5</v>
      </c>
      <c r="AHG75" s="11">
        <v>1586118.07</v>
      </c>
      <c r="AHH75" s="11">
        <v>6017338.75</v>
      </c>
      <c r="AHI75" s="11">
        <v>2834010.88</v>
      </c>
      <c r="AHJ75" s="11">
        <v>1360898.62</v>
      </c>
      <c r="AHK75" s="11">
        <v>1809793.71</v>
      </c>
      <c r="AHL75" s="11">
        <v>2153921.52</v>
      </c>
      <c r="AHM75" s="11">
        <v>3264721.13</v>
      </c>
      <c r="AHN75" s="11">
        <v>1097574.23</v>
      </c>
      <c r="AHO75" s="11">
        <v>2335474.5299999998</v>
      </c>
      <c r="AHP75" s="11">
        <v>2320189.87</v>
      </c>
      <c r="AHQ75" s="11">
        <v>6073162.6200000001</v>
      </c>
      <c r="AHR75" s="11">
        <v>1358304.68</v>
      </c>
      <c r="AHS75" s="11">
        <v>5161504.2</v>
      </c>
      <c r="AHT75" s="11">
        <v>9493366082.5969963</v>
      </c>
      <c r="AHV75" s="269" t="s">
        <v>6278</v>
      </c>
      <c r="AHW75" s="269" t="s">
        <v>6091</v>
      </c>
      <c r="AHX75" s="269" t="s">
        <v>6092</v>
      </c>
    </row>
    <row r="76" spans="1:908" x14ac:dyDescent="0.7">
      <c r="A76" s="6" t="s">
        <v>6278</v>
      </c>
      <c r="B76" s="6" t="s">
        <v>6097</v>
      </c>
      <c r="C76" s="6" t="s">
        <v>6098</v>
      </c>
      <c r="D76" s="11">
        <v>253707.03</v>
      </c>
      <c r="E76" s="11">
        <v>2948953.69</v>
      </c>
      <c r="F76" s="11">
        <v>4054834.4</v>
      </c>
      <c r="G76" s="11">
        <v>673591.36</v>
      </c>
      <c r="H76" s="11">
        <v>6627803</v>
      </c>
      <c r="I76" s="11">
        <v>493979.1</v>
      </c>
      <c r="J76" s="11">
        <v>5866848.54</v>
      </c>
      <c r="K76" s="11">
        <v>559026.68000000005</v>
      </c>
      <c r="L76" s="11">
        <v>1599669.25</v>
      </c>
      <c r="M76" s="11">
        <v>3311800.33</v>
      </c>
      <c r="N76" s="11">
        <v>3140175.68</v>
      </c>
      <c r="O76" s="11">
        <v>1371667.34</v>
      </c>
      <c r="P76" s="11">
        <v>1648283</v>
      </c>
      <c r="Q76" s="11">
        <v>1014681.3</v>
      </c>
      <c r="R76" s="11">
        <v>646891</v>
      </c>
      <c r="S76" s="11">
        <v>7071252.3600000003</v>
      </c>
      <c r="T76" s="11">
        <v>1428078.78</v>
      </c>
      <c r="U76" s="11">
        <v>404898.85</v>
      </c>
      <c r="V76" s="11">
        <v>89471.2</v>
      </c>
      <c r="W76" s="11">
        <v>10158539.09</v>
      </c>
      <c r="X76" s="11">
        <v>641981.73</v>
      </c>
      <c r="Y76" s="11">
        <v>534844.78</v>
      </c>
      <c r="Z76" s="11">
        <v>4232299.8899999997</v>
      </c>
      <c r="AA76" s="11">
        <v>2967403.9</v>
      </c>
      <c r="AB76" s="11">
        <v>684971.44</v>
      </c>
      <c r="AC76" s="11">
        <v>29063750.91</v>
      </c>
      <c r="AD76" s="11">
        <v>2998538.54</v>
      </c>
      <c r="AE76" s="11">
        <v>2115195.56</v>
      </c>
      <c r="AF76" s="11">
        <v>14684458.65</v>
      </c>
      <c r="AG76" s="11">
        <v>2021755.2</v>
      </c>
      <c r="AH76" s="11">
        <v>6870153.0199999996</v>
      </c>
      <c r="AI76" s="11">
        <v>5540280.6799999997</v>
      </c>
      <c r="AJ76" s="11">
        <v>2262444.23</v>
      </c>
      <c r="AK76" s="11">
        <v>1313403.29</v>
      </c>
      <c r="AL76" s="11">
        <v>1906159.94</v>
      </c>
      <c r="AM76" s="11">
        <v>5655120.9800000004</v>
      </c>
      <c r="AN76" s="11">
        <v>247270.19</v>
      </c>
      <c r="AO76" s="11">
        <v>3812067.45</v>
      </c>
      <c r="AP76" s="11">
        <v>1057479.33</v>
      </c>
      <c r="AQ76" s="11">
        <v>537583.28</v>
      </c>
      <c r="AR76" s="11">
        <v>954130.39</v>
      </c>
      <c r="AS76" s="11">
        <v>1384066.4</v>
      </c>
      <c r="AT76" s="11"/>
      <c r="AU76" s="11">
        <v>223887.5</v>
      </c>
      <c r="AV76" s="11">
        <v>216669.97</v>
      </c>
      <c r="AW76" s="11">
        <v>2295583.92</v>
      </c>
      <c r="AX76" s="11">
        <v>808018.21</v>
      </c>
      <c r="AY76" s="11">
        <v>2939398.54</v>
      </c>
      <c r="AZ76" s="11">
        <v>109299.55</v>
      </c>
      <c r="BA76" s="11">
        <v>552175.54</v>
      </c>
      <c r="BB76" s="11">
        <v>127453.1</v>
      </c>
      <c r="BC76" s="11">
        <v>373562.76</v>
      </c>
      <c r="BD76" s="11">
        <v>198407.41</v>
      </c>
      <c r="BE76" s="11">
        <v>382612.1</v>
      </c>
      <c r="BF76" s="11">
        <v>5019309.43</v>
      </c>
      <c r="BG76" s="11">
        <v>78277.62</v>
      </c>
      <c r="BH76" s="11">
        <v>260622.7</v>
      </c>
      <c r="BI76" s="11">
        <v>5595256.5599999996</v>
      </c>
      <c r="BJ76" s="11">
        <v>11460559.876</v>
      </c>
      <c r="BK76" s="11">
        <v>1908761.95</v>
      </c>
      <c r="BL76" s="11">
        <v>543065.25</v>
      </c>
      <c r="BM76" s="11">
        <v>3852874.81</v>
      </c>
      <c r="BN76" s="11">
        <v>1211871.47</v>
      </c>
      <c r="BO76" s="11">
        <v>349283</v>
      </c>
      <c r="BP76" s="11">
        <v>470</v>
      </c>
      <c r="BQ76" s="11">
        <v>276295.07</v>
      </c>
      <c r="BR76" s="11"/>
      <c r="BS76" s="11">
        <v>425065.16</v>
      </c>
      <c r="BT76" s="11">
        <v>499511.73</v>
      </c>
      <c r="BU76" s="11">
        <v>1962885.15</v>
      </c>
      <c r="BV76" s="11">
        <v>1044182.45</v>
      </c>
      <c r="BW76" s="11">
        <v>1117730.4099999999</v>
      </c>
      <c r="BX76" s="11">
        <v>1061044.25</v>
      </c>
      <c r="BY76" s="11">
        <v>681998.45</v>
      </c>
      <c r="BZ76" s="11">
        <v>14988994.779999999</v>
      </c>
      <c r="CA76" s="11">
        <v>296756.01</v>
      </c>
      <c r="CB76" s="11">
        <v>50888.3</v>
      </c>
      <c r="CC76" s="11">
        <v>4777774.5999999996</v>
      </c>
      <c r="CD76" s="11">
        <v>1241793.26</v>
      </c>
      <c r="CE76" s="11">
        <v>192321</v>
      </c>
      <c r="CF76" s="11">
        <v>772390.37</v>
      </c>
      <c r="CG76" s="11">
        <v>106136.92</v>
      </c>
      <c r="CH76" s="11">
        <v>617563.18000000005</v>
      </c>
      <c r="CI76" s="11">
        <v>6768912.7199999997</v>
      </c>
      <c r="CJ76" s="11">
        <v>467247.26</v>
      </c>
      <c r="CK76" s="11">
        <v>811755.1</v>
      </c>
      <c r="CL76" s="11">
        <v>949391.55</v>
      </c>
      <c r="CM76" s="11">
        <v>452012.22</v>
      </c>
      <c r="CN76" s="11">
        <v>1319893.6399999999</v>
      </c>
      <c r="CO76" s="11">
        <v>74657.649999999994</v>
      </c>
      <c r="CP76" s="11">
        <v>1411450.95</v>
      </c>
      <c r="CQ76" s="11">
        <v>513478.48</v>
      </c>
      <c r="CR76" s="11">
        <v>1133094.3</v>
      </c>
      <c r="CS76" s="11">
        <v>226809.5</v>
      </c>
      <c r="CT76" s="11">
        <v>3315282.9</v>
      </c>
      <c r="CU76" s="11">
        <v>501312.48</v>
      </c>
      <c r="CV76" s="11">
        <v>830414.32</v>
      </c>
      <c r="CW76" s="11">
        <v>3252655.27</v>
      </c>
      <c r="CX76" s="11">
        <v>639585.39</v>
      </c>
      <c r="CY76" s="11">
        <v>821929.47</v>
      </c>
      <c r="CZ76" s="11">
        <v>622599.55000000005</v>
      </c>
      <c r="DA76" s="11">
        <v>952470.22</v>
      </c>
      <c r="DB76" s="11">
        <v>20658909.789999999</v>
      </c>
      <c r="DC76" s="11">
        <v>30739797.989999998</v>
      </c>
      <c r="DD76" s="11">
        <v>3060613.89</v>
      </c>
      <c r="DE76" s="11">
        <v>1023086.67</v>
      </c>
      <c r="DF76" s="11">
        <v>1188707.3</v>
      </c>
      <c r="DG76" s="11">
        <v>882668.03</v>
      </c>
      <c r="DH76" s="11">
        <v>5666376.5700000003</v>
      </c>
      <c r="DI76" s="11">
        <v>1470162.05</v>
      </c>
      <c r="DJ76" s="11">
        <v>149490.5</v>
      </c>
      <c r="DK76" s="11">
        <v>32020850.030000001</v>
      </c>
      <c r="DL76" s="11">
        <v>636705.85</v>
      </c>
      <c r="DM76" s="11">
        <v>1639231.19</v>
      </c>
      <c r="DN76" s="11">
        <v>566404.67000000004</v>
      </c>
      <c r="DO76" s="11">
        <v>1190241.94</v>
      </c>
      <c r="DP76" s="11">
        <v>746653</v>
      </c>
      <c r="DQ76" s="11">
        <v>5387668.8099999996</v>
      </c>
      <c r="DR76" s="11">
        <v>1999917.0799</v>
      </c>
      <c r="DS76" s="11">
        <v>7454824.5099999998</v>
      </c>
      <c r="DT76" s="11">
        <v>21403068.149999999</v>
      </c>
      <c r="DU76" s="11">
        <v>232390</v>
      </c>
      <c r="DV76" s="11">
        <v>5282742.74</v>
      </c>
      <c r="DW76" s="11">
        <v>12368336.390000001</v>
      </c>
      <c r="DX76" s="11">
        <v>604367.51</v>
      </c>
      <c r="DY76" s="11">
        <v>4686105.5999999996</v>
      </c>
      <c r="DZ76" s="11">
        <v>2572492.5299999998</v>
      </c>
      <c r="EA76" s="11">
        <v>298245.34000000003</v>
      </c>
      <c r="EB76" s="11">
        <v>809116.15</v>
      </c>
      <c r="EC76" s="11">
        <v>1641811.64</v>
      </c>
      <c r="ED76" s="11">
        <v>8276058.04</v>
      </c>
      <c r="EE76" s="11">
        <v>18602535.109999999</v>
      </c>
      <c r="EF76" s="11">
        <v>12965464.640000001</v>
      </c>
      <c r="EG76" s="11">
        <v>169980.62</v>
      </c>
      <c r="EH76" s="11">
        <v>1284549.1499999999</v>
      </c>
      <c r="EI76" s="11">
        <v>2582206.9500000002</v>
      </c>
      <c r="EJ76" s="11">
        <v>2061702.42</v>
      </c>
      <c r="EK76" s="11">
        <v>3474198.94</v>
      </c>
      <c r="EL76" s="11">
        <v>947618.12</v>
      </c>
      <c r="EM76" s="11">
        <v>1778192.98</v>
      </c>
      <c r="EN76" s="11">
        <v>164800.57</v>
      </c>
      <c r="EO76" s="11">
        <v>476265.31</v>
      </c>
      <c r="EP76" s="11">
        <v>2443202.29</v>
      </c>
      <c r="EQ76" s="11">
        <v>746319.03</v>
      </c>
      <c r="ER76" s="11">
        <v>615002.80000000005</v>
      </c>
      <c r="ES76" s="11">
        <v>733421.56</v>
      </c>
      <c r="ET76" s="11">
        <v>1719154.28</v>
      </c>
      <c r="EU76" s="11">
        <v>1219019.77</v>
      </c>
      <c r="EV76" s="11">
        <v>170866.68</v>
      </c>
      <c r="EW76" s="11">
        <v>37633032.509999998</v>
      </c>
      <c r="EX76" s="11">
        <v>1744252.9</v>
      </c>
      <c r="EY76" s="11">
        <v>1100916.68</v>
      </c>
      <c r="EZ76" s="11">
        <v>2086388.4</v>
      </c>
      <c r="FA76" s="11">
        <v>1973069.84</v>
      </c>
      <c r="FB76" s="11">
        <v>2011933.75</v>
      </c>
      <c r="FC76" s="11">
        <v>4348970.83</v>
      </c>
      <c r="FD76" s="11">
        <v>690567</v>
      </c>
      <c r="FE76" s="11">
        <v>986975.65</v>
      </c>
      <c r="FF76" s="11">
        <v>1658096.6</v>
      </c>
      <c r="FG76" s="11">
        <v>1304248.27</v>
      </c>
      <c r="FH76" s="11">
        <v>231714.6</v>
      </c>
      <c r="FI76" s="11"/>
      <c r="FJ76" s="11">
        <v>962630.03</v>
      </c>
      <c r="FK76" s="11">
        <v>184525.68</v>
      </c>
      <c r="FL76" s="11">
        <v>373208.07</v>
      </c>
      <c r="FM76" s="11">
        <v>93251.97</v>
      </c>
      <c r="FN76" s="11">
        <v>885645.28</v>
      </c>
      <c r="FO76" s="11">
        <v>442145.07</v>
      </c>
      <c r="FP76" s="11">
        <v>86516.1</v>
      </c>
      <c r="FQ76" s="11">
        <v>2964239.94</v>
      </c>
      <c r="FR76" s="11">
        <v>504051.42</v>
      </c>
      <c r="FS76" s="11">
        <v>4066289.05</v>
      </c>
      <c r="FT76" s="11">
        <v>3631200.78</v>
      </c>
      <c r="FU76" s="11">
        <v>1666507.74</v>
      </c>
      <c r="FV76" s="11">
        <v>1393632.72</v>
      </c>
      <c r="FW76" s="11">
        <v>3448209.04</v>
      </c>
      <c r="FX76" s="11">
        <v>1371828.44</v>
      </c>
      <c r="FY76" s="11">
        <v>1547510.9</v>
      </c>
      <c r="FZ76" s="11">
        <v>528661.84</v>
      </c>
      <c r="GA76" s="11">
        <v>4799757.57</v>
      </c>
      <c r="GB76" s="11">
        <v>733159.28</v>
      </c>
      <c r="GC76" s="11">
        <v>1417387</v>
      </c>
      <c r="GD76" s="11">
        <v>328903</v>
      </c>
      <c r="GE76" s="11">
        <v>1127380</v>
      </c>
      <c r="GF76" s="11">
        <v>515280.83</v>
      </c>
      <c r="GG76" s="11">
        <v>631269.37</v>
      </c>
      <c r="GH76" s="11">
        <v>1302566.05</v>
      </c>
      <c r="GI76" s="11">
        <v>1125581.8700000001</v>
      </c>
      <c r="GJ76" s="11">
        <v>338889.45</v>
      </c>
      <c r="GK76" s="11">
        <v>806259.19</v>
      </c>
      <c r="GL76" s="11">
        <v>5039568.32</v>
      </c>
      <c r="GM76" s="11">
        <v>164716</v>
      </c>
      <c r="GN76" s="11">
        <v>516459.93</v>
      </c>
      <c r="GO76" s="11">
        <v>211928.44</v>
      </c>
      <c r="GP76" s="11">
        <v>428280.38</v>
      </c>
      <c r="GQ76" s="11">
        <v>13669593.6</v>
      </c>
      <c r="GR76" s="11">
        <v>1674652.94</v>
      </c>
      <c r="GS76" s="11">
        <v>872563.64</v>
      </c>
      <c r="GT76" s="11">
        <v>3087066.3</v>
      </c>
      <c r="GU76" s="11">
        <v>180046.56</v>
      </c>
      <c r="GV76" s="11">
        <v>123958.2</v>
      </c>
      <c r="GW76" s="11">
        <v>172337.79</v>
      </c>
      <c r="GX76" s="11">
        <v>771813.75</v>
      </c>
      <c r="GY76" s="11">
        <v>10606644.75</v>
      </c>
      <c r="GZ76" s="11">
        <v>36127.760000000002</v>
      </c>
      <c r="HA76" s="11">
        <v>1544647.49</v>
      </c>
      <c r="HB76" s="11">
        <v>1356835.64</v>
      </c>
      <c r="HC76" s="11">
        <v>1373620.59</v>
      </c>
      <c r="HD76" s="11"/>
      <c r="HE76" s="11">
        <v>3121721.44</v>
      </c>
      <c r="HF76" s="11">
        <v>5412453.29</v>
      </c>
      <c r="HG76" s="11">
        <v>1107419.68</v>
      </c>
      <c r="HH76" s="11">
        <v>2943089.99</v>
      </c>
      <c r="HI76" s="11">
        <v>418487.4</v>
      </c>
      <c r="HJ76" s="11">
        <v>74810</v>
      </c>
      <c r="HK76" s="11">
        <v>9639675.5099999998</v>
      </c>
      <c r="HL76" s="11">
        <v>553278.23</v>
      </c>
      <c r="HM76" s="11">
        <v>6336915.6100000003</v>
      </c>
      <c r="HN76" s="11">
        <v>1319493.47</v>
      </c>
      <c r="HO76" s="11">
        <v>85310</v>
      </c>
      <c r="HP76" s="11">
        <v>107044.6</v>
      </c>
      <c r="HQ76" s="11">
        <v>2681434.1800000002</v>
      </c>
      <c r="HR76" s="11">
        <v>1205333.73</v>
      </c>
      <c r="HS76" s="11">
        <v>1041241.5</v>
      </c>
      <c r="HT76" s="11">
        <v>4315743.3899999997</v>
      </c>
      <c r="HU76" s="11">
        <v>1602480.75</v>
      </c>
      <c r="HV76" s="11">
        <v>1358388.66</v>
      </c>
      <c r="HW76" s="11">
        <v>850377.5</v>
      </c>
      <c r="HX76" s="11">
        <v>371919.3</v>
      </c>
      <c r="HY76" s="11">
        <v>1712482.08</v>
      </c>
      <c r="HZ76" s="11">
        <v>2313111.85</v>
      </c>
      <c r="IA76" s="11">
        <v>997649.5</v>
      </c>
      <c r="IB76" s="11">
        <v>1898198.68</v>
      </c>
      <c r="IC76" s="11">
        <v>1171189.6399999999</v>
      </c>
      <c r="ID76" s="11">
        <v>3453912.14</v>
      </c>
      <c r="IE76" s="11">
        <v>372398.1</v>
      </c>
      <c r="IF76" s="11">
        <v>1841822.88</v>
      </c>
      <c r="IG76" s="11">
        <v>906605.4</v>
      </c>
      <c r="IH76" s="11">
        <v>595789.80000000005</v>
      </c>
      <c r="II76" s="11">
        <v>21930.2</v>
      </c>
      <c r="IJ76" s="11">
        <v>28660</v>
      </c>
      <c r="IK76" s="11">
        <v>51271.48</v>
      </c>
      <c r="IL76" s="11">
        <v>6073844.6699999999</v>
      </c>
      <c r="IM76" s="11">
        <v>10997688.83</v>
      </c>
      <c r="IN76" s="11">
        <v>346163.1</v>
      </c>
      <c r="IO76" s="11">
        <v>770187.46</v>
      </c>
      <c r="IP76" s="11">
        <v>1450903.4</v>
      </c>
      <c r="IQ76" s="11">
        <v>1057734.03</v>
      </c>
      <c r="IR76" s="11">
        <v>1065014.7</v>
      </c>
      <c r="IS76" s="11">
        <v>610059.24</v>
      </c>
      <c r="IT76" s="11">
        <v>16895190.109999999</v>
      </c>
      <c r="IU76" s="11">
        <v>9458816.1899999995</v>
      </c>
      <c r="IV76" s="11">
        <v>556697.9</v>
      </c>
      <c r="IW76" s="11">
        <v>854232</v>
      </c>
      <c r="IX76" s="11">
        <v>1848048.03</v>
      </c>
      <c r="IY76" s="11">
        <v>211313.11</v>
      </c>
      <c r="IZ76" s="11">
        <v>517978.7</v>
      </c>
      <c r="JA76" s="11">
        <v>126184.05</v>
      </c>
      <c r="JB76" s="11">
        <v>520373.7</v>
      </c>
      <c r="JC76" s="11">
        <v>318104.21999999997</v>
      </c>
      <c r="JD76" s="11">
        <v>1765710.12</v>
      </c>
      <c r="JE76" s="11">
        <v>887781.31</v>
      </c>
      <c r="JF76" s="11">
        <v>399648.46</v>
      </c>
      <c r="JG76" s="11">
        <v>11348031.529999999</v>
      </c>
      <c r="JH76" s="11">
        <v>1168707.3999999999</v>
      </c>
      <c r="JI76" s="11">
        <v>743500.9</v>
      </c>
      <c r="JJ76" s="11">
        <v>297903.44</v>
      </c>
      <c r="JK76" s="11">
        <v>291267.38</v>
      </c>
      <c r="JL76" s="11">
        <v>17776878.07</v>
      </c>
      <c r="JM76" s="11">
        <v>287656.53999999998</v>
      </c>
      <c r="JN76" s="11">
        <v>1482902.43</v>
      </c>
      <c r="JO76" s="11">
        <v>3247397.52</v>
      </c>
      <c r="JP76" s="11">
        <v>2149152.9500000002</v>
      </c>
      <c r="JQ76" s="11">
        <v>3924228.91</v>
      </c>
      <c r="JR76" s="11">
        <v>810365.51</v>
      </c>
      <c r="JS76" s="11">
        <v>992871</v>
      </c>
      <c r="JT76" s="11"/>
      <c r="JU76" s="11">
        <v>538497.6</v>
      </c>
      <c r="JV76" s="11">
        <v>113411.6</v>
      </c>
      <c r="JW76" s="11">
        <v>536278.35</v>
      </c>
      <c r="JX76" s="11">
        <v>193423.86</v>
      </c>
      <c r="JY76" s="11">
        <v>7179889.2300000004</v>
      </c>
      <c r="JZ76" s="11">
        <v>4125704.56</v>
      </c>
      <c r="KA76" s="11">
        <v>962987.88</v>
      </c>
      <c r="KB76" s="11">
        <v>2576555.4500000002</v>
      </c>
      <c r="KC76" s="11">
        <v>378526.82</v>
      </c>
      <c r="KD76" s="11">
        <v>942379.62</v>
      </c>
      <c r="KE76" s="11">
        <v>429313.72</v>
      </c>
      <c r="KF76" s="11">
        <v>198694.6</v>
      </c>
      <c r="KG76" s="11">
        <v>935741.48</v>
      </c>
      <c r="KH76" s="11">
        <v>621871.43999999994</v>
      </c>
      <c r="KI76" s="11">
        <v>63320689.409999996</v>
      </c>
      <c r="KJ76" s="11">
        <v>8885202.0899999999</v>
      </c>
      <c r="KK76" s="11">
        <v>879064.02</v>
      </c>
      <c r="KL76" s="11">
        <v>238711.16</v>
      </c>
      <c r="KM76" s="11">
        <v>1231923</v>
      </c>
      <c r="KN76" s="11">
        <v>1060148.2</v>
      </c>
      <c r="KO76" s="11">
        <v>18732335.809999999</v>
      </c>
      <c r="KP76" s="11">
        <v>1209582.93</v>
      </c>
      <c r="KQ76" s="11">
        <v>1616576.55</v>
      </c>
      <c r="KR76" s="11">
        <v>24067726.600000001</v>
      </c>
      <c r="KS76" s="11">
        <v>849236.84</v>
      </c>
      <c r="KT76" s="11">
        <v>805003.6</v>
      </c>
      <c r="KU76" s="11">
        <v>4978180.74</v>
      </c>
      <c r="KV76" s="11">
        <v>928912.85</v>
      </c>
      <c r="KW76" s="11">
        <v>3357972.5</v>
      </c>
      <c r="KX76" s="11">
        <v>26931600.649999999</v>
      </c>
      <c r="KY76" s="11">
        <v>1487017.72</v>
      </c>
      <c r="KZ76" s="11">
        <v>35669211.100000001</v>
      </c>
      <c r="LA76" s="11">
        <v>882347.32</v>
      </c>
      <c r="LB76" s="11">
        <v>1018182.6</v>
      </c>
      <c r="LC76" s="11">
        <v>3167677.84</v>
      </c>
      <c r="LD76" s="11">
        <v>885019.4</v>
      </c>
      <c r="LE76" s="11">
        <v>1651530.31</v>
      </c>
      <c r="LF76" s="11">
        <v>1077529.99</v>
      </c>
      <c r="LG76" s="11">
        <v>891905.28</v>
      </c>
      <c r="LH76" s="11">
        <v>8530.5</v>
      </c>
      <c r="LI76" s="11">
        <v>19050</v>
      </c>
      <c r="LJ76" s="11">
        <v>162161.57999999999</v>
      </c>
      <c r="LK76" s="11">
        <v>18928175.43</v>
      </c>
      <c r="LL76" s="11">
        <v>1490819.63</v>
      </c>
      <c r="LM76" s="11">
        <v>1530312.06</v>
      </c>
      <c r="LN76" s="11">
        <v>205882.96</v>
      </c>
      <c r="LO76" s="11">
        <v>3059853.96</v>
      </c>
      <c r="LP76" s="11">
        <v>1216526.1200000001</v>
      </c>
      <c r="LQ76" s="11">
        <v>1907958.43</v>
      </c>
      <c r="LR76" s="11">
        <v>407812.75</v>
      </c>
      <c r="LS76" s="11">
        <v>3679525.67</v>
      </c>
      <c r="LT76" s="11">
        <v>892089.06</v>
      </c>
      <c r="LU76" s="11">
        <v>2440163.7599999998</v>
      </c>
      <c r="LV76" s="11">
        <v>21501892.739999998</v>
      </c>
      <c r="LW76" s="11">
        <v>2657769.2599999998</v>
      </c>
      <c r="LX76" s="11">
        <v>47055169.210000001</v>
      </c>
      <c r="LY76" s="11">
        <v>5660459.4000000004</v>
      </c>
      <c r="LZ76" s="11">
        <v>2546011.77</v>
      </c>
      <c r="MA76" s="11">
        <v>2960469.32</v>
      </c>
      <c r="MB76" s="11">
        <v>752885.71</v>
      </c>
      <c r="MC76" s="11">
        <v>-108327.51</v>
      </c>
      <c r="MD76" s="11">
        <v>3039548.67</v>
      </c>
      <c r="ME76" s="11">
        <v>1356911.74</v>
      </c>
      <c r="MF76" s="11">
        <v>5222378.41</v>
      </c>
      <c r="MG76" s="11">
        <v>1243914.69</v>
      </c>
      <c r="MH76" s="11">
        <v>51588216.579999998</v>
      </c>
      <c r="MI76" s="11">
        <v>2009397.9</v>
      </c>
      <c r="MJ76" s="11">
        <v>233057.32</v>
      </c>
      <c r="MK76" s="11">
        <v>599106.69999999995</v>
      </c>
      <c r="ML76" s="11">
        <v>791305.4</v>
      </c>
      <c r="MM76" s="11">
        <v>1438461.95</v>
      </c>
      <c r="MN76" s="11">
        <v>1456165.65</v>
      </c>
      <c r="MO76" s="11">
        <v>874640.43</v>
      </c>
      <c r="MP76" s="11">
        <v>2463545.61</v>
      </c>
      <c r="MQ76" s="11">
        <v>943371.8</v>
      </c>
      <c r="MR76" s="11">
        <v>478259.4</v>
      </c>
      <c r="MS76" s="11">
        <v>220768</v>
      </c>
      <c r="MT76" s="11">
        <v>10097745.6</v>
      </c>
      <c r="MU76" s="11">
        <v>2059327.84</v>
      </c>
      <c r="MV76" s="11">
        <v>828754.8</v>
      </c>
      <c r="MW76" s="11">
        <v>2243434.9500000002</v>
      </c>
      <c r="MX76" s="11">
        <v>5771807.6600000001</v>
      </c>
      <c r="MY76" s="11">
        <v>729758.46</v>
      </c>
      <c r="MZ76" s="11">
        <v>4545280.3</v>
      </c>
      <c r="NA76" s="11">
        <v>6602303.4400000004</v>
      </c>
      <c r="NB76" s="11">
        <v>2110394.17</v>
      </c>
      <c r="NC76" s="11">
        <v>870767.75</v>
      </c>
      <c r="ND76" s="11">
        <v>217911.1</v>
      </c>
      <c r="NE76" s="11">
        <v>897763.17</v>
      </c>
      <c r="NF76" s="11">
        <v>523335.73</v>
      </c>
      <c r="NG76" s="11">
        <v>495772.4</v>
      </c>
      <c r="NH76" s="11">
        <v>32985643.359999999</v>
      </c>
      <c r="NI76" s="11">
        <v>1063315.8700000001</v>
      </c>
      <c r="NJ76" s="11">
        <v>2472328.06</v>
      </c>
      <c r="NK76" s="11">
        <v>14026113.050000001</v>
      </c>
      <c r="NL76" s="11">
        <v>8481164.1600000001</v>
      </c>
      <c r="NM76" s="11">
        <v>25580</v>
      </c>
      <c r="NN76" s="11">
        <v>1695221.1</v>
      </c>
      <c r="NO76" s="11">
        <v>254129</v>
      </c>
      <c r="NP76" s="11">
        <v>920244.19</v>
      </c>
      <c r="NQ76" s="11">
        <v>12459655.83</v>
      </c>
      <c r="NR76" s="11">
        <v>326398.61</v>
      </c>
      <c r="NS76" s="11">
        <v>485245.9</v>
      </c>
      <c r="NT76" s="11">
        <v>290777.59999999998</v>
      </c>
      <c r="NU76" s="11">
        <v>163279.42000000001</v>
      </c>
      <c r="NV76" s="11">
        <v>106616.65</v>
      </c>
      <c r="NW76" s="11">
        <v>144778.53</v>
      </c>
      <c r="NX76" s="11">
        <v>70056</v>
      </c>
      <c r="NY76" s="11">
        <v>4485371.5199999996</v>
      </c>
      <c r="NZ76" s="11">
        <v>548814.35</v>
      </c>
      <c r="OA76" s="11">
        <v>647542.11</v>
      </c>
      <c r="OB76" s="11">
        <v>901882</v>
      </c>
      <c r="OC76" s="11">
        <v>3746568.3</v>
      </c>
      <c r="OD76" s="11">
        <v>600859.48</v>
      </c>
      <c r="OE76" s="11">
        <v>18026998.699999999</v>
      </c>
      <c r="OF76" s="11">
        <v>21848434.760000002</v>
      </c>
      <c r="OG76" s="11">
        <v>1089005.49</v>
      </c>
      <c r="OH76" s="11">
        <v>14391835.74</v>
      </c>
      <c r="OI76" s="11">
        <v>1055025.17</v>
      </c>
      <c r="OJ76" s="11">
        <v>2441955.6</v>
      </c>
      <c r="OK76" s="11">
        <v>4879237.7</v>
      </c>
      <c r="OL76" s="11">
        <v>1172268.6200000001</v>
      </c>
      <c r="OM76" s="11">
        <v>1896421.2</v>
      </c>
      <c r="ON76" s="11">
        <v>808823.62</v>
      </c>
      <c r="OO76" s="11">
        <v>5048813.74</v>
      </c>
      <c r="OP76" s="11">
        <v>9024655.6400000006</v>
      </c>
      <c r="OQ76" s="11">
        <v>1468193.89</v>
      </c>
      <c r="OR76" s="11">
        <v>3378475.53</v>
      </c>
      <c r="OS76" s="11">
        <v>2706881.14</v>
      </c>
      <c r="OT76" s="11">
        <v>1103238.6000000001</v>
      </c>
      <c r="OU76" s="11">
        <v>1095605.8999999999</v>
      </c>
      <c r="OV76" s="11">
        <v>889907.66</v>
      </c>
      <c r="OW76" s="11">
        <v>1118270.75</v>
      </c>
      <c r="OX76" s="11">
        <v>2560655.38</v>
      </c>
      <c r="OY76" s="11">
        <v>10080903.58</v>
      </c>
      <c r="OZ76" s="11">
        <v>1123131.76</v>
      </c>
      <c r="PA76" s="11">
        <v>917443.14</v>
      </c>
      <c r="PB76" s="11">
        <v>169010</v>
      </c>
      <c r="PC76" s="11">
        <v>21883349.800000001</v>
      </c>
      <c r="PD76" s="11">
        <v>952391.6</v>
      </c>
      <c r="PE76" s="11">
        <v>6344994.1100000003</v>
      </c>
      <c r="PF76" s="11">
        <v>156716.65</v>
      </c>
      <c r="PG76" s="11">
        <v>784598.54</v>
      </c>
      <c r="PH76" s="11">
        <v>4465721.88</v>
      </c>
      <c r="PI76" s="11">
        <v>2001097.45</v>
      </c>
      <c r="PJ76" s="11">
        <v>1532709.79</v>
      </c>
      <c r="PK76" s="11">
        <v>1420217.04</v>
      </c>
      <c r="PL76" s="11">
        <v>2214349.2999999998</v>
      </c>
      <c r="PM76" s="11">
        <v>766964.94</v>
      </c>
      <c r="PN76" s="11">
        <v>3923677.36</v>
      </c>
      <c r="PO76" s="11">
        <v>338940</v>
      </c>
      <c r="PP76" s="11">
        <v>9800956.8000000007</v>
      </c>
      <c r="PQ76" s="11">
        <v>743898.25</v>
      </c>
      <c r="PR76" s="11">
        <v>1653145.15</v>
      </c>
      <c r="PS76" s="11">
        <v>416812.01</v>
      </c>
      <c r="PT76" s="11">
        <v>1007213.3</v>
      </c>
      <c r="PU76" s="11">
        <v>4532742.1500000004</v>
      </c>
      <c r="PV76" s="11">
        <v>3071725.76</v>
      </c>
      <c r="PW76" s="11"/>
      <c r="PX76" s="11">
        <v>2203367.15</v>
      </c>
      <c r="PY76" s="11">
        <v>30602222.140000001</v>
      </c>
      <c r="PZ76" s="11">
        <v>5403100.1799999997</v>
      </c>
      <c r="QA76" s="11">
        <v>11822503.699999999</v>
      </c>
      <c r="QB76" s="11">
        <v>2062451.67</v>
      </c>
      <c r="QC76" s="11">
        <v>2285053.14</v>
      </c>
      <c r="QD76" s="11">
        <v>891856.33</v>
      </c>
      <c r="QE76" s="11">
        <v>7170616.5</v>
      </c>
      <c r="QF76" s="11">
        <v>1647987.35</v>
      </c>
      <c r="QG76" s="11">
        <v>1106613.43</v>
      </c>
      <c r="QH76" s="11">
        <v>504190</v>
      </c>
      <c r="QI76" s="11">
        <v>6717270.0899999999</v>
      </c>
      <c r="QJ76" s="11">
        <v>1100817.32</v>
      </c>
      <c r="QK76" s="11">
        <v>2814745.3</v>
      </c>
      <c r="QL76" s="11">
        <v>2063229</v>
      </c>
      <c r="QM76" s="11">
        <v>4039337</v>
      </c>
      <c r="QN76" s="11">
        <v>11869047.59</v>
      </c>
      <c r="QO76" s="11">
        <v>15077911.68</v>
      </c>
      <c r="QP76" s="11">
        <v>1016791.47</v>
      </c>
      <c r="QQ76" s="11">
        <v>493829.19</v>
      </c>
      <c r="QR76" s="11">
        <v>877766.27</v>
      </c>
      <c r="QS76" s="11">
        <v>85858.7</v>
      </c>
      <c r="QT76" s="11">
        <v>957239.77</v>
      </c>
      <c r="QU76" s="11">
        <v>48815370.409999996</v>
      </c>
      <c r="QV76" s="11">
        <v>1725061.95</v>
      </c>
      <c r="QW76" s="11">
        <v>5441376.1100000003</v>
      </c>
      <c r="QX76" s="11">
        <v>1349581.7</v>
      </c>
      <c r="QY76" s="11">
        <v>1606991.32</v>
      </c>
      <c r="QZ76" s="11">
        <v>7500097.7199999997</v>
      </c>
      <c r="RA76" s="11">
        <v>4368775.1399999997</v>
      </c>
      <c r="RB76" s="11">
        <v>5834764.71</v>
      </c>
      <c r="RC76" s="11">
        <v>1455044.06</v>
      </c>
      <c r="RD76" s="11">
        <v>394332</v>
      </c>
      <c r="RE76" s="11">
        <v>455252.5</v>
      </c>
      <c r="RF76" s="11">
        <v>133291.1</v>
      </c>
      <c r="RG76" s="11">
        <v>628280.80000000005</v>
      </c>
      <c r="RH76" s="11">
        <v>59362617.909999996</v>
      </c>
      <c r="RI76" s="11">
        <v>8220314.7800000003</v>
      </c>
      <c r="RJ76" s="11">
        <v>603879</v>
      </c>
      <c r="RK76" s="11">
        <v>1138154.06</v>
      </c>
      <c r="RL76" s="11">
        <v>3248091.45</v>
      </c>
      <c r="RM76" s="11">
        <v>2333768.54</v>
      </c>
      <c r="RN76" s="11">
        <v>4619051.72</v>
      </c>
      <c r="RO76" s="11">
        <v>1685539.8</v>
      </c>
      <c r="RP76" s="11">
        <v>463473.5</v>
      </c>
      <c r="RQ76" s="11">
        <v>4403269.83</v>
      </c>
      <c r="RR76" s="11">
        <v>10684722.439999999</v>
      </c>
      <c r="RS76" s="11">
        <v>1957588.35</v>
      </c>
      <c r="RT76" s="11">
        <v>993625.15</v>
      </c>
      <c r="RU76" s="11">
        <v>868704</v>
      </c>
      <c r="RV76" s="11">
        <v>292663.99</v>
      </c>
      <c r="RW76" s="11">
        <v>180431.6</v>
      </c>
      <c r="RX76" s="11">
        <v>435537</v>
      </c>
      <c r="RY76" s="11">
        <v>534038.85</v>
      </c>
      <c r="RZ76" s="11">
        <v>737170.58</v>
      </c>
      <c r="SA76" s="11">
        <v>522432.8</v>
      </c>
      <c r="SB76" s="11">
        <v>14535100.460000001</v>
      </c>
      <c r="SC76" s="11">
        <v>1807601.1</v>
      </c>
      <c r="SD76" s="11">
        <v>772119.92</v>
      </c>
      <c r="SE76" s="11">
        <v>1654868.77</v>
      </c>
      <c r="SF76" s="11">
        <v>1739765.45</v>
      </c>
      <c r="SG76" s="11">
        <v>2066527.22</v>
      </c>
      <c r="SH76" s="11">
        <v>2567814.44</v>
      </c>
      <c r="SI76" s="11">
        <v>4357002.83</v>
      </c>
      <c r="SJ76" s="11">
        <v>1074372.8600000001</v>
      </c>
      <c r="SK76" s="11">
        <v>381713.13</v>
      </c>
      <c r="SL76" s="11">
        <v>14399828.800000001</v>
      </c>
      <c r="SM76" s="11">
        <v>844118.95</v>
      </c>
      <c r="SN76" s="11">
        <v>13888390.27</v>
      </c>
      <c r="SO76" s="11">
        <v>1599963.12</v>
      </c>
      <c r="SP76" s="11">
        <v>2222901.4</v>
      </c>
      <c r="SQ76" s="11">
        <v>4750222.49</v>
      </c>
      <c r="SR76" s="11">
        <v>762714.5</v>
      </c>
      <c r="SS76" s="11">
        <v>977198.5</v>
      </c>
      <c r="ST76" s="11">
        <v>394798.67</v>
      </c>
      <c r="SU76" s="11">
        <v>755036.57</v>
      </c>
      <c r="SV76" s="11">
        <v>80520229.269999996</v>
      </c>
      <c r="SW76" s="11">
        <v>772562.32</v>
      </c>
      <c r="SX76" s="11">
        <v>3331362.37</v>
      </c>
      <c r="SY76" s="11">
        <v>3319145.48</v>
      </c>
      <c r="SZ76" s="11">
        <v>202074.8</v>
      </c>
      <c r="TA76" s="11">
        <v>608466.1</v>
      </c>
      <c r="TB76" s="11">
        <v>649161.96</v>
      </c>
      <c r="TC76" s="11">
        <v>5385034.7000000002</v>
      </c>
      <c r="TD76" s="11">
        <v>1336784.1000000001</v>
      </c>
      <c r="TE76" s="11">
        <v>1762536.39</v>
      </c>
      <c r="TF76" s="11">
        <v>1442840.68</v>
      </c>
      <c r="TG76" s="11">
        <v>5340521.9400000004</v>
      </c>
      <c r="TH76" s="11">
        <v>606724.25</v>
      </c>
      <c r="TI76" s="11">
        <v>652929</v>
      </c>
      <c r="TJ76" s="11">
        <v>80013913.400000006</v>
      </c>
      <c r="TK76" s="11">
        <v>3626257.5</v>
      </c>
      <c r="TL76" s="11">
        <v>2358911.65</v>
      </c>
      <c r="TM76" s="11">
        <v>7555218.0599999996</v>
      </c>
      <c r="TN76" s="11">
        <v>3233164.83</v>
      </c>
      <c r="TO76" s="11">
        <v>551886.56999999995</v>
      </c>
      <c r="TP76" s="11">
        <v>392065.85</v>
      </c>
      <c r="TQ76" s="11">
        <v>5065146.63</v>
      </c>
      <c r="TR76" s="11">
        <v>596350.5</v>
      </c>
      <c r="TS76" s="11">
        <v>3998899.21</v>
      </c>
      <c r="TT76" s="11">
        <v>3833453.8</v>
      </c>
      <c r="TU76" s="11">
        <v>402562.89</v>
      </c>
      <c r="TV76" s="11">
        <v>1336939.6000000001</v>
      </c>
      <c r="TW76" s="11">
        <v>1822681.99</v>
      </c>
      <c r="TX76" s="11">
        <v>2087794.13</v>
      </c>
      <c r="TY76" s="11">
        <v>259905.8</v>
      </c>
      <c r="TZ76" s="11">
        <v>6081422.2000000002</v>
      </c>
      <c r="UA76" s="11">
        <v>671541.2</v>
      </c>
      <c r="UB76" s="11">
        <v>26486113.170000002</v>
      </c>
      <c r="UC76" s="11">
        <v>7125446.1699999999</v>
      </c>
      <c r="UD76" s="11">
        <v>1346035.9</v>
      </c>
      <c r="UE76" s="11">
        <v>1604660.86</v>
      </c>
      <c r="UF76" s="11">
        <v>74757883.329999998</v>
      </c>
      <c r="UG76" s="11">
        <v>1363236.36</v>
      </c>
      <c r="UH76" s="11">
        <v>2073992.6</v>
      </c>
      <c r="UI76" s="11">
        <v>1066261.8500000001</v>
      </c>
      <c r="UJ76" s="11">
        <v>1146252.3999999999</v>
      </c>
      <c r="UK76" s="11">
        <v>25303887.219999999</v>
      </c>
      <c r="UL76" s="11">
        <v>5743382.1600000001</v>
      </c>
      <c r="UM76" s="11">
        <v>2679233.7799999998</v>
      </c>
      <c r="UN76" s="11">
        <v>10413719.880000001</v>
      </c>
      <c r="UO76" s="11">
        <v>3867308.25</v>
      </c>
      <c r="UP76" s="11">
        <v>1036631.22</v>
      </c>
      <c r="UQ76" s="11">
        <v>170379698.97</v>
      </c>
      <c r="UR76" s="11">
        <v>3699169.95</v>
      </c>
      <c r="US76" s="11">
        <v>4135119.12</v>
      </c>
      <c r="UT76" s="11">
        <v>17183242.870000001</v>
      </c>
      <c r="UU76" s="11">
        <v>235970</v>
      </c>
      <c r="UV76" s="11">
        <v>3013442.58</v>
      </c>
      <c r="UW76" s="11">
        <v>5983280.8600000003</v>
      </c>
      <c r="UX76" s="11">
        <v>1453184.43</v>
      </c>
      <c r="UY76" s="11">
        <v>2519609.5</v>
      </c>
      <c r="UZ76" s="11">
        <v>880569.47</v>
      </c>
      <c r="VA76" s="11">
        <v>2433187.2999999998</v>
      </c>
      <c r="VB76" s="11">
        <v>7451883.0300000003</v>
      </c>
      <c r="VC76" s="11">
        <v>3733134.62</v>
      </c>
      <c r="VD76" s="11">
        <v>1356167.82</v>
      </c>
      <c r="VE76" s="11">
        <v>1145045.6000000001</v>
      </c>
      <c r="VF76" s="11">
        <v>1372845.35</v>
      </c>
      <c r="VG76" s="11">
        <v>1084501.6299999999</v>
      </c>
      <c r="VH76" s="11">
        <v>2522346.77</v>
      </c>
      <c r="VI76" s="11">
        <v>5472430.3099999996</v>
      </c>
      <c r="VJ76" s="11">
        <v>2421239.86</v>
      </c>
      <c r="VK76" s="11">
        <v>1075128.3400000001</v>
      </c>
      <c r="VL76" s="11">
        <v>534840.19999999995</v>
      </c>
      <c r="VM76" s="11">
        <v>77960449.849999994</v>
      </c>
      <c r="VN76" s="11">
        <v>1891010.84</v>
      </c>
      <c r="VO76" s="11">
        <v>1895027.49</v>
      </c>
      <c r="VP76" s="11">
        <v>1071708.74</v>
      </c>
      <c r="VQ76" s="11">
        <v>7442551.25</v>
      </c>
      <c r="VR76" s="11">
        <v>1995518.28</v>
      </c>
      <c r="VS76" s="11">
        <v>1531583.25</v>
      </c>
      <c r="VT76" s="11">
        <v>359038.62</v>
      </c>
      <c r="VU76" s="11">
        <v>2685150.88</v>
      </c>
      <c r="VV76" s="11">
        <v>17743872.289999999</v>
      </c>
      <c r="VW76" s="11">
        <v>901717.92</v>
      </c>
      <c r="VX76" s="11">
        <v>8856550.4600000009</v>
      </c>
      <c r="VY76" s="11">
        <v>1791749.78</v>
      </c>
      <c r="VZ76" s="11">
        <v>1182574.44</v>
      </c>
      <c r="WA76" s="11">
        <v>800871.79</v>
      </c>
      <c r="WB76" s="11">
        <v>59503552.520000003</v>
      </c>
      <c r="WC76" s="11">
        <v>3068478.6</v>
      </c>
      <c r="WD76" s="11">
        <v>3151278.87</v>
      </c>
      <c r="WE76" s="11">
        <v>1113813.8899999999</v>
      </c>
      <c r="WF76" s="11">
        <v>1348565.11</v>
      </c>
      <c r="WG76" s="11">
        <v>3487157.44</v>
      </c>
      <c r="WH76" s="11">
        <v>6703602.5300000003</v>
      </c>
      <c r="WI76" s="11">
        <v>1779231.77</v>
      </c>
      <c r="WJ76" s="11">
        <v>2430032.7000000002</v>
      </c>
      <c r="WK76" s="11">
        <v>3756461.37</v>
      </c>
      <c r="WL76" s="11">
        <v>42693.9</v>
      </c>
      <c r="WM76" s="11">
        <v>9469392.0600000005</v>
      </c>
      <c r="WN76" s="11">
        <v>1033521.31</v>
      </c>
      <c r="WO76" s="11">
        <v>6202025.5899999999</v>
      </c>
      <c r="WP76" s="11">
        <v>8250033.79</v>
      </c>
      <c r="WQ76" s="11">
        <v>777771.05</v>
      </c>
      <c r="WR76" s="11">
        <v>261338.49</v>
      </c>
      <c r="WS76" s="11">
        <v>858884.4</v>
      </c>
      <c r="WT76" s="11">
        <v>670662.91</v>
      </c>
      <c r="WU76" s="11">
        <v>3781993.79</v>
      </c>
      <c r="WV76" s="11">
        <v>9224050.0199999996</v>
      </c>
      <c r="WW76" s="11">
        <v>3898445.67</v>
      </c>
      <c r="WX76" s="11">
        <v>1384487.73</v>
      </c>
      <c r="WY76" s="11">
        <v>1541763.86</v>
      </c>
      <c r="WZ76" s="11">
        <v>3079516.14</v>
      </c>
      <c r="XA76" s="11">
        <v>1813278.53</v>
      </c>
      <c r="XB76" s="11">
        <v>1205160.6599999999</v>
      </c>
      <c r="XC76" s="11">
        <v>1403696.58</v>
      </c>
      <c r="XD76" s="11">
        <v>12252928.85</v>
      </c>
      <c r="XE76" s="11">
        <v>1712645.33</v>
      </c>
      <c r="XF76" s="11">
        <v>343514.97</v>
      </c>
      <c r="XG76" s="11">
        <v>106893.5</v>
      </c>
      <c r="XH76" s="11">
        <v>863506.06</v>
      </c>
      <c r="XI76" s="11">
        <v>20169333.460000001</v>
      </c>
      <c r="XJ76" s="11">
        <v>3876563</v>
      </c>
      <c r="XK76" s="11">
        <v>1833035.23</v>
      </c>
      <c r="XL76" s="11">
        <v>17548858.27</v>
      </c>
      <c r="XM76" s="11">
        <v>2098631.1</v>
      </c>
      <c r="XN76" s="11">
        <v>195472.27</v>
      </c>
      <c r="XO76" s="11">
        <v>14205967.74</v>
      </c>
      <c r="XP76" s="11">
        <v>814101.6</v>
      </c>
      <c r="XQ76" s="11">
        <v>1606159.12</v>
      </c>
      <c r="XR76" s="11">
        <v>2278162.38</v>
      </c>
      <c r="XS76" s="11">
        <v>3035557.5</v>
      </c>
      <c r="XT76" s="11">
        <v>573286.14</v>
      </c>
      <c r="XU76" s="11">
        <v>2165700</v>
      </c>
      <c r="XV76" s="11">
        <v>744764.46</v>
      </c>
      <c r="XW76" s="11">
        <v>944224.3</v>
      </c>
      <c r="XX76" s="11">
        <v>2095932.36</v>
      </c>
      <c r="XY76" s="11">
        <v>1005531.4</v>
      </c>
      <c r="XZ76" s="11">
        <v>1328470.73</v>
      </c>
      <c r="YA76" s="11">
        <v>1513492.46</v>
      </c>
      <c r="YB76" s="11">
        <v>397873</v>
      </c>
      <c r="YC76" s="11">
        <v>642073.63</v>
      </c>
      <c r="YD76" s="11">
        <v>992790.78</v>
      </c>
      <c r="YE76" s="11">
        <v>313048</v>
      </c>
      <c r="YF76" s="11">
        <v>1438210.65</v>
      </c>
      <c r="YG76" s="11">
        <v>998977.73</v>
      </c>
      <c r="YH76" s="11">
        <v>4641916.75</v>
      </c>
      <c r="YI76" s="11">
        <v>1622753.9</v>
      </c>
      <c r="YJ76" s="11">
        <v>329036</v>
      </c>
      <c r="YK76" s="11">
        <v>1159613.92</v>
      </c>
      <c r="YL76" s="11">
        <v>3645430.38</v>
      </c>
      <c r="YM76" s="11">
        <v>255367.15</v>
      </c>
      <c r="YN76" s="11">
        <v>8671222.7300000004</v>
      </c>
      <c r="YO76" s="11">
        <v>8586622.8399999999</v>
      </c>
      <c r="YP76" s="11">
        <v>1410316.25</v>
      </c>
      <c r="YQ76" s="11">
        <v>1264081.42</v>
      </c>
      <c r="YR76" s="11">
        <v>3804730.26</v>
      </c>
      <c r="YS76" s="11">
        <v>1188001.29</v>
      </c>
      <c r="YT76" s="11">
        <v>785538.72</v>
      </c>
      <c r="YU76" s="11">
        <v>2770468.94</v>
      </c>
      <c r="YV76" s="11">
        <v>805870</v>
      </c>
      <c r="YW76" s="11">
        <v>22050455.079999998</v>
      </c>
      <c r="YX76" s="11">
        <v>1630197.69</v>
      </c>
      <c r="YY76" s="11">
        <v>913101.84</v>
      </c>
      <c r="YZ76" s="11">
        <v>485401.35</v>
      </c>
      <c r="ZA76" s="11">
        <v>1311257.8999999999</v>
      </c>
      <c r="ZB76" s="11">
        <v>479863.8</v>
      </c>
      <c r="ZC76" s="11">
        <v>589488.28</v>
      </c>
      <c r="ZD76" s="11">
        <v>15629735.050000001</v>
      </c>
      <c r="ZE76" s="11">
        <v>95920</v>
      </c>
      <c r="ZF76" s="11">
        <v>1532558.9</v>
      </c>
      <c r="ZG76" s="11">
        <v>1160283.99</v>
      </c>
      <c r="ZH76" s="11">
        <v>1035895.75</v>
      </c>
      <c r="ZI76" s="11">
        <v>178526.54</v>
      </c>
      <c r="ZJ76" s="11">
        <v>692857.79</v>
      </c>
      <c r="ZK76" s="11">
        <v>1010012.05</v>
      </c>
      <c r="ZL76" s="11">
        <v>11663850.4</v>
      </c>
      <c r="ZM76" s="11">
        <v>53483831.310000002</v>
      </c>
      <c r="ZN76" s="11">
        <v>1019797.92</v>
      </c>
      <c r="ZO76" s="11">
        <v>4003662.98</v>
      </c>
      <c r="ZP76" s="11">
        <v>13936153.07</v>
      </c>
      <c r="ZQ76" s="11">
        <v>5037086.0999999996</v>
      </c>
      <c r="ZR76" s="11">
        <v>482432</v>
      </c>
      <c r="ZS76" s="11">
        <v>1497487.5</v>
      </c>
      <c r="ZT76" s="11">
        <v>2940710.74</v>
      </c>
      <c r="ZU76" s="11">
        <v>3462614.8</v>
      </c>
      <c r="ZV76" s="11">
        <v>6222363.0999999996</v>
      </c>
      <c r="ZW76" s="11">
        <v>644224.1</v>
      </c>
      <c r="ZX76" s="11">
        <v>598169.47</v>
      </c>
      <c r="ZY76" s="11">
        <v>2227434.4700000002</v>
      </c>
      <c r="ZZ76" s="11">
        <v>1714645.62</v>
      </c>
      <c r="AAA76" s="11">
        <v>842924.4</v>
      </c>
      <c r="AAB76" s="11">
        <v>1674479.8</v>
      </c>
      <c r="AAC76" s="11">
        <v>3408688.5</v>
      </c>
      <c r="AAD76" s="11">
        <v>168789.9</v>
      </c>
      <c r="AAE76" s="11">
        <v>1542994.31</v>
      </c>
      <c r="AAF76" s="11">
        <v>321042.40000000002</v>
      </c>
      <c r="AAG76" s="11">
        <v>228504.34</v>
      </c>
      <c r="AAH76" s="11">
        <v>1115487.48</v>
      </c>
      <c r="AAI76" s="11">
        <v>14388504.01</v>
      </c>
      <c r="AAJ76" s="11">
        <v>2113213.9900000002</v>
      </c>
      <c r="AAK76" s="11">
        <v>2580199.85</v>
      </c>
      <c r="AAL76" s="11">
        <v>997833.9</v>
      </c>
      <c r="AAM76" s="11">
        <v>118300</v>
      </c>
      <c r="AAN76" s="11">
        <v>3271323.6</v>
      </c>
      <c r="AAO76" s="11">
        <v>947084.2</v>
      </c>
      <c r="AAP76" s="11">
        <v>227961992.08000001</v>
      </c>
      <c r="AAQ76" s="11">
        <v>725660</v>
      </c>
      <c r="AAR76" s="11">
        <v>2978634.4</v>
      </c>
      <c r="AAS76" s="11">
        <v>3949709.38</v>
      </c>
      <c r="AAT76" s="11">
        <v>2754477.48</v>
      </c>
      <c r="AAU76" s="11">
        <v>902218.66</v>
      </c>
      <c r="AAV76" s="11">
        <v>1362141.36</v>
      </c>
      <c r="AAW76" s="11">
        <v>4282932.34</v>
      </c>
      <c r="AAX76" s="11">
        <v>23452543.170000002</v>
      </c>
      <c r="AAY76" s="11">
        <v>2299163.91</v>
      </c>
      <c r="AAZ76" s="11">
        <v>3901212.13</v>
      </c>
      <c r="ABA76" s="11">
        <v>18337616.129999999</v>
      </c>
      <c r="ABB76" s="11">
        <v>7359491.2300000004</v>
      </c>
      <c r="ABC76" s="11">
        <v>697424</v>
      </c>
      <c r="ABD76" s="11">
        <v>3040133.18</v>
      </c>
      <c r="ABE76" s="11">
        <v>1458096.9</v>
      </c>
      <c r="ABF76" s="11">
        <v>183680</v>
      </c>
      <c r="ABG76" s="11">
        <v>1177283.6100000001</v>
      </c>
      <c r="ABH76" s="11">
        <v>2277400.06</v>
      </c>
      <c r="ABI76" s="11">
        <v>20040767.469999999</v>
      </c>
      <c r="ABJ76" s="11">
        <v>10911236.82</v>
      </c>
      <c r="ABK76" s="11">
        <v>4274749.6100000003</v>
      </c>
      <c r="ABL76" s="11">
        <v>760020.8</v>
      </c>
      <c r="ABM76" s="11">
        <v>1149953.1000000001</v>
      </c>
      <c r="ABN76" s="11">
        <v>448336.57</v>
      </c>
      <c r="ABO76" s="11">
        <v>670112.76</v>
      </c>
      <c r="ABP76" s="11">
        <v>11372375.85</v>
      </c>
      <c r="ABQ76" s="11">
        <v>277055</v>
      </c>
      <c r="ABR76" s="11">
        <v>2695101.29</v>
      </c>
      <c r="ABS76" s="11">
        <v>1744422.13</v>
      </c>
      <c r="ABT76" s="11">
        <v>1545741.4</v>
      </c>
      <c r="ABU76" s="11">
        <v>1630133.07</v>
      </c>
      <c r="ABV76" s="11">
        <v>934007.54</v>
      </c>
      <c r="ABW76" s="11">
        <v>3016376.27</v>
      </c>
      <c r="ABX76" s="11">
        <v>37147.26</v>
      </c>
      <c r="ABY76" s="11">
        <v>1612140.8</v>
      </c>
      <c r="ABZ76" s="11">
        <v>1243000.58</v>
      </c>
      <c r="ACA76" s="11">
        <v>9705702.6500000004</v>
      </c>
      <c r="ACB76" s="11">
        <v>2233081.2200000002</v>
      </c>
      <c r="ACC76" s="11">
        <v>402174.2</v>
      </c>
      <c r="ACD76" s="11">
        <v>20471954.16</v>
      </c>
      <c r="ACE76" s="11">
        <v>306866.63</v>
      </c>
      <c r="ACF76" s="11">
        <v>376052.19</v>
      </c>
      <c r="ACG76" s="11">
        <v>1152416.3999999999</v>
      </c>
      <c r="ACH76" s="11">
        <v>35230</v>
      </c>
      <c r="ACI76" s="11">
        <v>1283011.8999999999</v>
      </c>
      <c r="ACJ76" s="11"/>
      <c r="ACK76" s="11">
        <v>458743.5</v>
      </c>
      <c r="ACL76" s="11">
        <v>283388.7</v>
      </c>
      <c r="ACM76" s="11">
        <v>596370.5</v>
      </c>
      <c r="ACN76" s="11">
        <v>132260</v>
      </c>
      <c r="ACO76" s="11">
        <v>3270462.63</v>
      </c>
      <c r="ACP76" s="11">
        <v>3549967.52</v>
      </c>
      <c r="ACQ76" s="11">
        <v>12292115.35</v>
      </c>
      <c r="ACR76" s="11">
        <v>8856398.5600000005</v>
      </c>
      <c r="ACS76" s="11">
        <v>2110025.5099999998</v>
      </c>
      <c r="ACT76" s="11">
        <v>1794449.25</v>
      </c>
      <c r="ACU76" s="11">
        <v>986339.7</v>
      </c>
      <c r="ACV76" s="11">
        <v>6390446</v>
      </c>
      <c r="ACW76" s="11">
        <v>5163856.22</v>
      </c>
      <c r="ACX76" s="11">
        <v>569297.13</v>
      </c>
      <c r="ACY76" s="11">
        <v>750237</v>
      </c>
      <c r="ACZ76" s="11">
        <v>971042.35</v>
      </c>
      <c r="ADA76" s="11">
        <v>173733</v>
      </c>
      <c r="ADB76" s="11">
        <v>442010.15</v>
      </c>
      <c r="ADC76" s="11">
        <v>843789.16</v>
      </c>
      <c r="ADD76" s="11">
        <v>1939373.88</v>
      </c>
      <c r="ADE76" s="11">
        <v>1107208.81</v>
      </c>
      <c r="ADF76" s="11">
        <v>671509.87</v>
      </c>
      <c r="ADG76" s="11">
        <v>9604798.7799999993</v>
      </c>
      <c r="ADH76" s="11">
        <v>5538430.8799999999</v>
      </c>
      <c r="ADI76" s="11">
        <v>-189806.3</v>
      </c>
      <c r="ADJ76" s="11">
        <v>1232981.42</v>
      </c>
      <c r="ADK76" s="11">
        <v>1774926.5</v>
      </c>
      <c r="ADL76" s="11">
        <v>5800</v>
      </c>
      <c r="ADM76" s="11">
        <v>1469210.65</v>
      </c>
      <c r="ADN76" s="11">
        <v>2421778.5299999998</v>
      </c>
      <c r="ADO76" s="11">
        <v>2791759.8</v>
      </c>
      <c r="ADP76" s="11">
        <v>85446167.049999997</v>
      </c>
      <c r="ADQ76" s="11">
        <v>2519305.2999999998</v>
      </c>
      <c r="ADR76" s="11">
        <v>3201134.02</v>
      </c>
      <c r="ADS76" s="11">
        <v>5163.41</v>
      </c>
      <c r="ADT76" s="11">
        <v>33502633.399999999</v>
      </c>
      <c r="ADU76" s="11">
        <v>573259.65</v>
      </c>
      <c r="ADV76" s="11">
        <v>1420732.16</v>
      </c>
      <c r="ADW76" s="11">
        <v>556378.09</v>
      </c>
      <c r="ADX76" s="11">
        <v>383066</v>
      </c>
      <c r="ADY76" s="11">
        <v>636294.88</v>
      </c>
      <c r="ADZ76" s="11">
        <v>51158486.899999999</v>
      </c>
      <c r="AEA76" s="11">
        <v>23674526.940000001</v>
      </c>
      <c r="AEB76" s="11">
        <v>14754947.460000001</v>
      </c>
      <c r="AEC76" s="11">
        <v>3587582.11</v>
      </c>
      <c r="AED76" s="11">
        <v>358187.09</v>
      </c>
      <c r="AEE76" s="11">
        <v>5973394.4800000004</v>
      </c>
      <c r="AEF76" s="11">
        <v>2463273.79</v>
      </c>
      <c r="AEG76" s="11">
        <v>3293126.13</v>
      </c>
      <c r="AEH76" s="11">
        <v>1784608.6</v>
      </c>
      <c r="AEI76" s="11">
        <v>833394</v>
      </c>
      <c r="AEJ76" s="11">
        <v>5169257.34</v>
      </c>
      <c r="AEK76" s="11">
        <v>582582.6</v>
      </c>
      <c r="AEL76" s="11">
        <v>184145.9</v>
      </c>
      <c r="AEM76" s="11">
        <v>3622516.28</v>
      </c>
      <c r="AEN76" s="11">
        <v>4866562.83</v>
      </c>
      <c r="AEO76" s="11">
        <v>1136789.1399999999</v>
      </c>
      <c r="AEP76" s="11"/>
      <c r="AEQ76" s="11">
        <v>1359062.92</v>
      </c>
      <c r="AER76" s="11">
        <v>714442.52</v>
      </c>
      <c r="AES76" s="11">
        <v>9613870.7699999996</v>
      </c>
      <c r="AET76" s="11">
        <v>4206289.3</v>
      </c>
      <c r="AEU76" s="11">
        <v>5961466.5099999998</v>
      </c>
      <c r="AEV76" s="11">
        <v>2215158.21</v>
      </c>
      <c r="AEW76" s="11">
        <v>208454.34</v>
      </c>
      <c r="AEX76" s="11">
        <v>3170871.11</v>
      </c>
      <c r="AEY76" s="11">
        <v>7179702.7400000002</v>
      </c>
      <c r="AEZ76" s="11">
        <v>1858330.87</v>
      </c>
      <c r="AFA76" s="11">
        <v>5732155.7999999998</v>
      </c>
      <c r="AFB76" s="11">
        <v>1497087.09</v>
      </c>
      <c r="AFC76" s="11">
        <v>776139.35</v>
      </c>
      <c r="AFD76" s="11">
        <v>2881773.15</v>
      </c>
      <c r="AFE76" s="11">
        <v>94174.95</v>
      </c>
      <c r="AFF76" s="11">
        <v>957513.4</v>
      </c>
      <c r="AFG76" s="11">
        <v>1266726.6000000001</v>
      </c>
      <c r="AFH76" s="11">
        <v>3601357.5</v>
      </c>
      <c r="AFI76" s="11">
        <v>1395558.11</v>
      </c>
      <c r="AFJ76" s="11">
        <v>2211016.7999999998</v>
      </c>
      <c r="AFK76" s="11">
        <v>725326.2</v>
      </c>
      <c r="AFL76" s="11">
        <v>1304022.02</v>
      </c>
      <c r="AFM76" s="11">
        <v>2196291.8199999998</v>
      </c>
      <c r="AFN76" s="11">
        <v>820664.55</v>
      </c>
      <c r="AFO76" s="11">
        <v>848298</v>
      </c>
      <c r="AFP76" s="11">
        <v>1687728.7</v>
      </c>
      <c r="AFQ76" s="11">
        <v>39062696.990000002</v>
      </c>
      <c r="AFR76" s="11">
        <v>1642046</v>
      </c>
      <c r="AFS76" s="11">
        <v>207850</v>
      </c>
      <c r="AFT76" s="11">
        <v>126600.4</v>
      </c>
      <c r="AFU76" s="11">
        <v>1811966.76</v>
      </c>
      <c r="AFV76" s="11">
        <v>777126.39</v>
      </c>
      <c r="AFW76" s="11">
        <v>594527.5</v>
      </c>
      <c r="AFX76" s="11">
        <v>1871073.58</v>
      </c>
      <c r="AFY76" s="11">
        <v>913389.28</v>
      </c>
      <c r="AFZ76" s="11">
        <v>511035</v>
      </c>
      <c r="AGA76" s="11">
        <v>1304707.3999999999</v>
      </c>
      <c r="AGB76" s="11">
        <v>808271.3</v>
      </c>
      <c r="AGC76" s="11">
        <v>2237754.2400000002</v>
      </c>
      <c r="AGD76" s="11">
        <v>900983.4</v>
      </c>
      <c r="AGE76" s="11">
        <v>3154043.25</v>
      </c>
      <c r="AGF76" s="11">
        <v>1283892.49</v>
      </c>
      <c r="AGG76" s="11">
        <v>2920296.56</v>
      </c>
      <c r="AGH76" s="11">
        <v>1678709.12</v>
      </c>
      <c r="AGI76" s="11">
        <v>328222.09000000003</v>
      </c>
      <c r="AGJ76" s="11">
        <v>908954.17</v>
      </c>
      <c r="AGK76" s="11">
        <v>1309625.23</v>
      </c>
      <c r="AGL76" s="11">
        <v>1469662.42</v>
      </c>
      <c r="AGM76" s="11">
        <v>1903372.33</v>
      </c>
      <c r="AGN76" s="11">
        <v>3331552.21</v>
      </c>
      <c r="AGO76" s="11">
        <v>2595401.59</v>
      </c>
      <c r="AGP76" s="11">
        <v>279123.8</v>
      </c>
      <c r="AGQ76" s="11">
        <v>110686</v>
      </c>
      <c r="AGR76" s="11">
        <v>382433.75</v>
      </c>
      <c r="AGS76" s="11">
        <v>340700</v>
      </c>
      <c r="AGT76" s="11">
        <v>297084.5</v>
      </c>
      <c r="AGU76" s="11">
        <v>156415</v>
      </c>
      <c r="AGV76" s="11"/>
      <c r="AGW76" s="11"/>
      <c r="AGX76" s="11">
        <v>1132046.3799999999</v>
      </c>
      <c r="AGY76" s="11">
        <v>1674398.23</v>
      </c>
      <c r="AGZ76" s="11">
        <v>7201557.9500000002</v>
      </c>
      <c r="AHA76" s="11">
        <v>353091.67</v>
      </c>
      <c r="AHB76" s="11">
        <v>915914.3</v>
      </c>
      <c r="AHC76" s="11">
        <v>1850803.12</v>
      </c>
      <c r="AHD76" s="11">
        <v>501294.85</v>
      </c>
      <c r="AHE76" s="11">
        <v>4924560.3499999996</v>
      </c>
      <c r="AHF76" s="11">
        <v>1713123.1</v>
      </c>
      <c r="AHG76" s="11">
        <v>1071746.1499999999</v>
      </c>
      <c r="AHH76" s="11">
        <v>1919991.61</v>
      </c>
      <c r="AHI76" s="11">
        <v>610277.85</v>
      </c>
      <c r="AHJ76" s="11">
        <v>525703.6</v>
      </c>
      <c r="AHK76" s="11">
        <v>374751.73</v>
      </c>
      <c r="AHL76" s="11">
        <v>697839</v>
      </c>
      <c r="AHM76" s="11">
        <v>55286</v>
      </c>
      <c r="AHN76" s="11">
        <v>942759.27</v>
      </c>
      <c r="AHO76" s="11">
        <v>784189.57</v>
      </c>
      <c r="AHP76" s="11">
        <v>1153762.3700000001</v>
      </c>
      <c r="AHQ76" s="11">
        <v>3873706.67</v>
      </c>
      <c r="AHR76" s="11">
        <v>482425.14</v>
      </c>
      <c r="AHS76" s="11">
        <v>1690447.79</v>
      </c>
      <c r="AHT76" s="11">
        <v>3997471447.6359048</v>
      </c>
      <c r="AHV76" s="269" t="s">
        <v>6278</v>
      </c>
      <c r="AHW76" s="269" t="s">
        <v>6093</v>
      </c>
      <c r="AHX76" s="269" t="s">
        <v>6094</v>
      </c>
    </row>
    <row r="77" spans="1:908" x14ac:dyDescent="0.7">
      <c r="A77" s="6" t="s">
        <v>6278</v>
      </c>
      <c r="B77" s="6" t="s">
        <v>6099</v>
      </c>
      <c r="C77" s="6" t="s">
        <v>6100</v>
      </c>
      <c r="D77" s="11">
        <v>4815</v>
      </c>
      <c r="E77" s="11">
        <v>4368845</v>
      </c>
      <c r="F77" s="11">
        <v>4674031.75</v>
      </c>
      <c r="G77" s="11">
        <v>540312.75</v>
      </c>
      <c r="H77" s="11">
        <v>719322.5</v>
      </c>
      <c r="I77" s="11">
        <v>248749.8</v>
      </c>
      <c r="J77" s="11">
        <v>1802876.84</v>
      </c>
      <c r="K77" s="11">
        <v>1034958.4</v>
      </c>
      <c r="L77" s="11">
        <v>1696387.2</v>
      </c>
      <c r="M77" s="11">
        <v>1333117</v>
      </c>
      <c r="N77" s="11">
        <v>1474330</v>
      </c>
      <c r="O77" s="11">
        <v>1500534.7</v>
      </c>
      <c r="P77" s="11">
        <v>594184</v>
      </c>
      <c r="Q77" s="11">
        <v>2407582.6</v>
      </c>
      <c r="R77" s="11">
        <v>342105</v>
      </c>
      <c r="S77" s="11">
        <v>7180263.4800000004</v>
      </c>
      <c r="T77" s="11">
        <v>678960</v>
      </c>
      <c r="U77" s="11">
        <v>188610</v>
      </c>
      <c r="V77" s="11">
        <v>21614</v>
      </c>
      <c r="W77" s="11">
        <v>1651438.76</v>
      </c>
      <c r="X77" s="11">
        <v>4250965.43</v>
      </c>
      <c r="Y77" s="11">
        <v>60497.599999999999</v>
      </c>
      <c r="Z77" s="11">
        <v>3433342.4</v>
      </c>
      <c r="AA77" s="11">
        <v>1855620.93</v>
      </c>
      <c r="AB77" s="11">
        <v>1318173.6299999999</v>
      </c>
      <c r="AC77" s="11">
        <v>15512774.470000001</v>
      </c>
      <c r="AD77" s="11">
        <v>849641.75</v>
      </c>
      <c r="AE77" s="11">
        <v>2632786.5099999998</v>
      </c>
      <c r="AF77" s="11">
        <v>28708081.07</v>
      </c>
      <c r="AG77" s="11">
        <v>1202328.5</v>
      </c>
      <c r="AH77" s="11">
        <v>8944922.4299999997</v>
      </c>
      <c r="AI77" s="11">
        <v>5364103.47</v>
      </c>
      <c r="AJ77" s="11">
        <v>3549289.58</v>
      </c>
      <c r="AK77" s="11">
        <v>2294954.2999999998</v>
      </c>
      <c r="AL77" s="11">
        <v>3679436.95</v>
      </c>
      <c r="AM77" s="11">
        <v>9124984.3100000005</v>
      </c>
      <c r="AN77" s="11">
        <v>249627.34</v>
      </c>
      <c r="AO77" s="11">
        <v>5636008.9699999997</v>
      </c>
      <c r="AP77" s="11">
        <v>1850266.25</v>
      </c>
      <c r="AQ77" s="11">
        <v>985099.97</v>
      </c>
      <c r="AR77" s="11">
        <v>2286869.6</v>
      </c>
      <c r="AS77" s="11">
        <v>2089944.31</v>
      </c>
      <c r="AT77" s="11"/>
      <c r="AU77" s="11">
        <v>40625</v>
      </c>
      <c r="AV77" s="11">
        <v>339688</v>
      </c>
      <c r="AW77" s="11">
        <v>678847.4</v>
      </c>
      <c r="AX77" s="11">
        <v>1683857.5</v>
      </c>
      <c r="AY77" s="11">
        <v>5949884.0800000001</v>
      </c>
      <c r="AZ77" s="11">
        <v>318000</v>
      </c>
      <c r="BA77" s="11">
        <v>2053683.5</v>
      </c>
      <c r="BB77" s="11">
        <v>217086.5</v>
      </c>
      <c r="BC77" s="11">
        <v>421860.75</v>
      </c>
      <c r="BD77" s="11">
        <v>725772.2</v>
      </c>
      <c r="BE77" s="11">
        <v>1174881.5</v>
      </c>
      <c r="BF77" s="11">
        <v>1623435.1</v>
      </c>
      <c r="BG77" s="11">
        <v>16721</v>
      </c>
      <c r="BH77" s="11">
        <v>21359.200000000001</v>
      </c>
      <c r="BI77" s="11">
        <v>1614987</v>
      </c>
      <c r="BJ77" s="11">
        <v>11323394.199999999</v>
      </c>
      <c r="BK77" s="11">
        <v>976631.76</v>
      </c>
      <c r="BL77" s="11">
        <v>332906.82</v>
      </c>
      <c r="BM77" s="11">
        <v>6023480.5599999996</v>
      </c>
      <c r="BN77" s="11">
        <v>1206463.6000000001</v>
      </c>
      <c r="BO77" s="11">
        <v>513456.54</v>
      </c>
      <c r="BP77" s="11">
        <v>0</v>
      </c>
      <c r="BQ77" s="11">
        <v>19838.5</v>
      </c>
      <c r="BR77" s="11"/>
      <c r="BS77" s="11">
        <v>248385</v>
      </c>
      <c r="BT77" s="11">
        <v>403762.92</v>
      </c>
      <c r="BU77" s="11">
        <v>1294360</v>
      </c>
      <c r="BV77" s="11">
        <v>800340.5</v>
      </c>
      <c r="BW77" s="11">
        <v>510272.5</v>
      </c>
      <c r="BX77" s="11">
        <v>674622</v>
      </c>
      <c r="BY77" s="11">
        <v>666026.15</v>
      </c>
      <c r="BZ77" s="11">
        <v>9509934.3900000006</v>
      </c>
      <c r="CA77" s="11">
        <v>3440685.9</v>
      </c>
      <c r="CB77" s="11">
        <v>5084088.55</v>
      </c>
      <c r="CC77" s="11">
        <v>11311944.300000001</v>
      </c>
      <c r="CD77" s="11">
        <v>3853609.6</v>
      </c>
      <c r="CE77" s="11">
        <v>3086603.05</v>
      </c>
      <c r="CF77" s="11">
        <v>3004571.55</v>
      </c>
      <c r="CG77" s="11">
        <v>92672</v>
      </c>
      <c r="CH77" s="11">
        <v>136831.32</v>
      </c>
      <c r="CI77" s="11">
        <v>2234814</v>
      </c>
      <c r="CJ77" s="11">
        <v>511391.23</v>
      </c>
      <c r="CK77" s="11">
        <v>389182.59</v>
      </c>
      <c r="CL77" s="11">
        <v>1317620.96</v>
      </c>
      <c r="CM77" s="11">
        <v>233347.54</v>
      </c>
      <c r="CN77" s="11">
        <v>1375539.76</v>
      </c>
      <c r="CO77" s="11">
        <v>62022</v>
      </c>
      <c r="CP77" s="11">
        <v>1541238.52</v>
      </c>
      <c r="CQ77" s="11">
        <v>200553.75</v>
      </c>
      <c r="CR77" s="11">
        <v>511723.08</v>
      </c>
      <c r="CS77" s="11">
        <v>137694.5</v>
      </c>
      <c r="CT77" s="11">
        <v>758300</v>
      </c>
      <c r="CU77" s="11">
        <v>1416891.16</v>
      </c>
      <c r="CV77" s="11">
        <v>1433471.9</v>
      </c>
      <c r="CW77" s="11">
        <v>1730496.8</v>
      </c>
      <c r="CX77" s="11">
        <v>818343.9</v>
      </c>
      <c r="CY77" s="11">
        <v>582218.30000000005</v>
      </c>
      <c r="CZ77" s="11">
        <v>800129.78</v>
      </c>
      <c r="DA77" s="11">
        <v>1312380</v>
      </c>
      <c r="DB77" s="11">
        <v>25824265.350000001</v>
      </c>
      <c r="DC77" s="11">
        <v>24862419.469999999</v>
      </c>
      <c r="DD77" s="11">
        <v>2818268.93</v>
      </c>
      <c r="DE77" s="11">
        <v>3605688.1</v>
      </c>
      <c r="DF77" s="11">
        <v>3484044</v>
      </c>
      <c r="DG77" s="11">
        <v>738665</v>
      </c>
      <c r="DH77" s="11">
        <v>7708670.1600000001</v>
      </c>
      <c r="DI77" s="11">
        <v>708608.9</v>
      </c>
      <c r="DJ77" s="11">
        <v>1440488</v>
      </c>
      <c r="DK77" s="11">
        <v>1905268.3</v>
      </c>
      <c r="DL77" s="11">
        <v>3160378</v>
      </c>
      <c r="DM77" s="11">
        <v>1043901</v>
      </c>
      <c r="DN77" s="11">
        <v>2413382.7000000002</v>
      </c>
      <c r="DO77" s="11">
        <v>1365757</v>
      </c>
      <c r="DP77" s="11">
        <v>2865391</v>
      </c>
      <c r="DQ77" s="11">
        <v>8226039.1299999999</v>
      </c>
      <c r="DR77" s="11">
        <v>629455</v>
      </c>
      <c r="DS77" s="11">
        <v>2493737.6</v>
      </c>
      <c r="DT77" s="11"/>
      <c r="DU77" s="11">
        <v>3390086.8</v>
      </c>
      <c r="DV77" s="11">
        <v>3577828.3</v>
      </c>
      <c r="DW77" s="11">
        <v>3637169</v>
      </c>
      <c r="DX77" s="11">
        <v>3128469</v>
      </c>
      <c r="DY77" s="11">
        <v>1524942.19</v>
      </c>
      <c r="DZ77" s="11">
        <v>3510678.2</v>
      </c>
      <c r="EA77" s="11">
        <v>174391</v>
      </c>
      <c r="EB77" s="11">
        <v>2754652</v>
      </c>
      <c r="EC77" s="11">
        <v>690900.25</v>
      </c>
      <c r="ED77" s="11">
        <v>3714011.68</v>
      </c>
      <c r="EE77" s="11">
        <v>1976022.2</v>
      </c>
      <c r="EF77" s="11">
        <v>9316132</v>
      </c>
      <c r="EG77" s="11">
        <v>1220171.06</v>
      </c>
      <c r="EH77" s="11">
        <v>1893487.5</v>
      </c>
      <c r="EI77" s="11">
        <v>3210546.31</v>
      </c>
      <c r="EJ77" s="11">
        <v>828133.99</v>
      </c>
      <c r="EK77" s="11">
        <v>1651012</v>
      </c>
      <c r="EL77" s="11">
        <v>1353759.18</v>
      </c>
      <c r="EM77" s="11">
        <v>688842.96</v>
      </c>
      <c r="EN77" s="11">
        <v>5700</v>
      </c>
      <c r="EO77" s="11">
        <v>3712067</v>
      </c>
      <c r="EP77" s="11">
        <v>3662450.85</v>
      </c>
      <c r="EQ77" s="11">
        <v>1782300.65</v>
      </c>
      <c r="ER77" s="11">
        <v>820991.25</v>
      </c>
      <c r="ES77" s="11">
        <v>877044.87</v>
      </c>
      <c r="ET77" s="11">
        <v>1012413.96</v>
      </c>
      <c r="EU77" s="11">
        <v>7267632.9000000004</v>
      </c>
      <c r="EV77" s="11">
        <v>2176522.94</v>
      </c>
      <c r="EW77" s="11">
        <v>12193457.630000001</v>
      </c>
      <c r="EX77" s="11">
        <v>673985</v>
      </c>
      <c r="EY77" s="11">
        <v>1333041</v>
      </c>
      <c r="EZ77" s="11">
        <v>4536145.25</v>
      </c>
      <c r="FA77" s="11">
        <v>3103907</v>
      </c>
      <c r="FB77" s="11">
        <v>7276312.2599999998</v>
      </c>
      <c r="FC77" s="11">
        <v>6101539</v>
      </c>
      <c r="FD77" s="11">
        <v>1676497</v>
      </c>
      <c r="FE77" s="11">
        <v>1387496.7</v>
      </c>
      <c r="FF77" s="11">
        <v>1450014</v>
      </c>
      <c r="FG77" s="11">
        <v>2301656.6</v>
      </c>
      <c r="FH77" s="11">
        <v>977388</v>
      </c>
      <c r="FI77" s="11"/>
      <c r="FJ77" s="11">
        <v>1457274.59</v>
      </c>
      <c r="FK77" s="11">
        <v>143315</v>
      </c>
      <c r="FL77" s="11">
        <v>994757.9</v>
      </c>
      <c r="FM77" s="11">
        <v>1117119.3500000001</v>
      </c>
      <c r="FN77" s="11">
        <v>1344995.5</v>
      </c>
      <c r="FO77" s="11">
        <v>324075.8</v>
      </c>
      <c r="FP77" s="11">
        <v>214360</v>
      </c>
      <c r="FQ77" s="11">
        <v>1040614.4</v>
      </c>
      <c r="FR77" s="11">
        <v>1711064</v>
      </c>
      <c r="FS77" s="11">
        <v>1367524.5</v>
      </c>
      <c r="FT77" s="11">
        <v>4075015.5</v>
      </c>
      <c r="FU77" s="11">
        <v>4172743</v>
      </c>
      <c r="FV77" s="11">
        <v>971867</v>
      </c>
      <c r="FW77" s="11">
        <v>2914736.4</v>
      </c>
      <c r="FX77" s="11">
        <v>1976278.2</v>
      </c>
      <c r="FY77" s="11">
        <v>2847212</v>
      </c>
      <c r="FZ77" s="11">
        <v>757955.77</v>
      </c>
      <c r="GA77" s="11">
        <v>3560443.73</v>
      </c>
      <c r="GB77" s="11">
        <v>822053</v>
      </c>
      <c r="GC77" s="11">
        <v>4728618.9800000004</v>
      </c>
      <c r="GD77" s="11">
        <v>701846.23</v>
      </c>
      <c r="GE77" s="11">
        <v>9993287</v>
      </c>
      <c r="GF77" s="11">
        <v>468965.75</v>
      </c>
      <c r="GG77" s="11">
        <v>643410</v>
      </c>
      <c r="GH77" s="11">
        <v>521252.5</v>
      </c>
      <c r="GI77" s="11">
        <v>504435</v>
      </c>
      <c r="GJ77" s="11">
        <v>87812</v>
      </c>
      <c r="GK77" s="11">
        <v>1850566.75</v>
      </c>
      <c r="GL77" s="11">
        <v>1860238.5</v>
      </c>
      <c r="GM77" s="11">
        <v>281043.45</v>
      </c>
      <c r="GN77" s="11">
        <v>127481.8</v>
      </c>
      <c r="GO77" s="11">
        <v>481136.5</v>
      </c>
      <c r="GP77" s="11">
        <v>193210</v>
      </c>
      <c r="GQ77" s="11">
        <v>3107681.82</v>
      </c>
      <c r="GR77" s="11">
        <v>2052228.9</v>
      </c>
      <c r="GS77" s="11">
        <v>372723</v>
      </c>
      <c r="GT77" s="11">
        <v>1694034.08</v>
      </c>
      <c r="GU77" s="11">
        <v>1282672</v>
      </c>
      <c r="GV77" s="11">
        <v>1207496.5</v>
      </c>
      <c r="GW77" s="11">
        <v>1002274.67</v>
      </c>
      <c r="GX77" s="11">
        <v>1295174.3999999999</v>
      </c>
      <c r="GY77" s="11">
        <v>692349.69</v>
      </c>
      <c r="GZ77" s="11">
        <v>460641.02</v>
      </c>
      <c r="HA77" s="11">
        <v>2067335</v>
      </c>
      <c r="HB77" s="11">
        <v>1328661.24</v>
      </c>
      <c r="HC77" s="11">
        <v>70409682.150000006</v>
      </c>
      <c r="HD77" s="11">
        <v>2460665.79</v>
      </c>
      <c r="HE77" s="11">
        <v>3264096.01</v>
      </c>
      <c r="HF77" s="11">
        <v>5161527</v>
      </c>
      <c r="HG77" s="11">
        <v>1255932.8999999999</v>
      </c>
      <c r="HH77" s="11">
        <v>3096801.32</v>
      </c>
      <c r="HI77" s="11">
        <v>279254.88</v>
      </c>
      <c r="HJ77" s="11">
        <v>396552</v>
      </c>
      <c r="HK77" s="11">
        <v>26969241.109999999</v>
      </c>
      <c r="HL77" s="11">
        <v>6709590.5099999998</v>
      </c>
      <c r="HM77" s="11">
        <v>9854540.6199999992</v>
      </c>
      <c r="HN77" s="11">
        <v>1280823.58</v>
      </c>
      <c r="HO77" s="11">
        <v>1054312.92</v>
      </c>
      <c r="HP77" s="11">
        <v>845122.38</v>
      </c>
      <c r="HQ77" s="11">
        <v>3065205</v>
      </c>
      <c r="HR77" s="11">
        <v>614621.62</v>
      </c>
      <c r="HS77" s="11">
        <v>117950</v>
      </c>
      <c r="HT77" s="11">
        <v>21246232.399999999</v>
      </c>
      <c r="HU77" s="11">
        <v>3395789</v>
      </c>
      <c r="HV77" s="11">
        <v>1062222</v>
      </c>
      <c r="HW77" s="11">
        <v>779400</v>
      </c>
      <c r="HX77" s="11">
        <v>214160</v>
      </c>
      <c r="HY77" s="11">
        <v>4226900.25</v>
      </c>
      <c r="HZ77" s="11">
        <v>4709894.9400000004</v>
      </c>
      <c r="IA77" s="11">
        <v>2719626</v>
      </c>
      <c r="IB77" s="11">
        <v>3108290.32</v>
      </c>
      <c r="IC77" s="11">
        <v>423357</v>
      </c>
      <c r="ID77" s="11">
        <v>881164.12</v>
      </c>
      <c r="IE77" s="11">
        <v>1375048</v>
      </c>
      <c r="IF77" s="11">
        <v>2787055.92</v>
      </c>
      <c r="IG77" s="11">
        <v>676763.75</v>
      </c>
      <c r="IH77" s="11">
        <v>1691154.5</v>
      </c>
      <c r="II77" s="11">
        <v>5700</v>
      </c>
      <c r="IJ77" s="11"/>
      <c r="IK77" s="11">
        <v>210890</v>
      </c>
      <c r="IL77" s="11">
        <v>8008307.2300000004</v>
      </c>
      <c r="IM77" s="11">
        <v>11108726.5</v>
      </c>
      <c r="IN77" s="11">
        <v>641540</v>
      </c>
      <c r="IO77" s="11">
        <v>1698914</v>
      </c>
      <c r="IP77" s="11">
        <v>1635842</v>
      </c>
      <c r="IQ77" s="11">
        <v>2368530.96</v>
      </c>
      <c r="IR77" s="11">
        <v>2875666.38</v>
      </c>
      <c r="IS77" s="11">
        <v>922184.53</v>
      </c>
      <c r="IT77" s="11">
        <v>21605289.02</v>
      </c>
      <c r="IU77" s="11">
        <v>1719096.88</v>
      </c>
      <c r="IV77" s="11">
        <v>1902304.91</v>
      </c>
      <c r="IW77" s="11">
        <v>4088517</v>
      </c>
      <c r="IX77" s="11">
        <v>2274936.14</v>
      </c>
      <c r="IY77" s="11">
        <v>19925.64</v>
      </c>
      <c r="IZ77" s="11">
        <v>2644089.92</v>
      </c>
      <c r="JA77" s="11">
        <v>783806.45</v>
      </c>
      <c r="JB77" s="11">
        <v>1156625.43</v>
      </c>
      <c r="JC77" s="11">
        <v>1191194.83</v>
      </c>
      <c r="JD77" s="11">
        <v>2046631.93</v>
      </c>
      <c r="JE77" s="11">
        <v>1923702.04</v>
      </c>
      <c r="JF77" s="11">
        <v>98694</v>
      </c>
      <c r="JG77" s="11">
        <v>4095901.47</v>
      </c>
      <c r="JH77" s="11">
        <v>752965</v>
      </c>
      <c r="JI77" s="11">
        <v>1458500</v>
      </c>
      <c r="JJ77" s="11">
        <v>704123.53</v>
      </c>
      <c r="JK77" s="11">
        <v>669482</v>
      </c>
      <c r="JL77" s="11">
        <v>8339737.3499999996</v>
      </c>
      <c r="JM77" s="11">
        <v>1084089</v>
      </c>
      <c r="JN77" s="11">
        <v>1073263.97</v>
      </c>
      <c r="JO77" s="11">
        <v>10037694.1</v>
      </c>
      <c r="JP77" s="11">
        <v>3344891</v>
      </c>
      <c r="JQ77" s="11">
        <v>1499401.59</v>
      </c>
      <c r="JR77" s="11">
        <v>926405.8</v>
      </c>
      <c r="JS77" s="11">
        <v>277500</v>
      </c>
      <c r="JT77" s="11"/>
      <c r="JU77" s="11">
        <v>369880</v>
      </c>
      <c r="JV77" s="11">
        <v>770214</v>
      </c>
      <c r="JW77" s="11">
        <v>247555.55</v>
      </c>
      <c r="JX77" s="11">
        <v>191829</v>
      </c>
      <c r="JY77" s="11">
        <v>6848944.04</v>
      </c>
      <c r="JZ77" s="11">
        <v>2306903.83</v>
      </c>
      <c r="KA77" s="11">
        <v>47650</v>
      </c>
      <c r="KB77" s="11">
        <v>2626526</v>
      </c>
      <c r="KC77" s="11">
        <v>25750</v>
      </c>
      <c r="KD77" s="11">
        <v>1122950.0900000001</v>
      </c>
      <c r="KE77" s="11">
        <v>251939.5</v>
      </c>
      <c r="KF77" s="11">
        <v>1223753</v>
      </c>
      <c r="KG77" s="11">
        <v>1255642.5</v>
      </c>
      <c r="KH77" s="11">
        <v>619672.5</v>
      </c>
      <c r="KI77" s="11">
        <v>21315571.390000001</v>
      </c>
      <c r="KJ77" s="11">
        <v>5409203.4000000004</v>
      </c>
      <c r="KK77" s="11">
        <v>453112</v>
      </c>
      <c r="KL77" s="11">
        <v>1158216.6599999999</v>
      </c>
      <c r="KM77" s="11">
        <v>4950</v>
      </c>
      <c r="KN77" s="11">
        <v>719533.6</v>
      </c>
      <c r="KO77" s="11">
        <v>9927815.5</v>
      </c>
      <c r="KP77" s="11">
        <v>680729.62</v>
      </c>
      <c r="KQ77" s="11">
        <v>1773579.71</v>
      </c>
      <c r="KR77" s="11">
        <v>16001466.92</v>
      </c>
      <c r="KS77" s="11">
        <v>1105894</v>
      </c>
      <c r="KT77" s="11">
        <v>397417</v>
      </c>
      <c r="KU77" s="11">
        <v>1998046.5</v>
      </c>
      <c r="KV77" s="11">
        <v>1254483.51</v>
      </c>
      <c r="KW77" s="11">
        <v>3497081</v>
      </c>
      <c r="KX77" s="11">
        <v>22997922.100000001</v>
      </c>
      <c r="KY77" s="11">
        <v>3187545.2</v>
      </c>
      <c r="KZ77" s="11">
        <v>14660575.199999999</v>
      </c>
      <c r="LA77" s="11">
        <v>1146051.3999999999</v>
      </c>
      <c r="LB77" s="11">
        <v>2241987</v>
      </c>
      <c r="LC77" s="11">
        <v>5759787.4199999999</v>
      </c>
      <c r="LD77" s="11">
        <v>5820159.25</v>
      </c>
      <c r="LE77" s="11">
        <v>1197817</v>
      </c>
      <c r="LF77" s="11">
        <v>877179</v>
      </c>
      <c r="LG77" s="11">
        <v>3459407.5</v>
      </c>
      <c r="LH77" s="11"/>
      <c r="LI77" s="11"/>
      <c r="LJ77" s="11">
        <v>29190</v>
      </c>
      <c r="LK77" s="11">
        <v>4857541.9800000004</v>
      </c>
      <c r="LL77" s="11">
        <v>1818256.49</v>
      </c>
      <c r="LM77" s="11">
        <v>1299589.6000000001</v>
      </c>
      <c r="LN77" s="11">
        <v>1853729.61</v>
      </c>
      <c r="LO77" s="11">
        <v>4227150</v>
      </c>
      <c r="LP77" s="11">
        <v>1297241.48</v>
      </c>
      <c r="LQ77" s="11">
        <v>3178447.8</v>
      </c>
      <c r="LR77" s="11">
        <v>491506</v>
      </c>
      <c r="LS77" s="11">
        <v>1765494</v>
      </c>
      <c r="LT77" s="11">
        <v>705407.13</v>
      </c>
      <c r="LU77" s="11">
        <v>798858</v>
      </c>
      <c r="LV77" s="11">
        <v>9144202.9800000004</v>
      </c>
      <c r="LW77" s="11">
        <v>4874957</v>
      </c>
      <c r="LX77" s="11">
        <v>22630122.129999999</v>
      </c>
      <c r="LY77" s="11">
        <v>12805829.310000001</v>
      </c>
      <c r="LZ77" s="11">
        <v>1539361.83</v>
      </c>
      <c r="MA77" s="11">
        <v>1080985.1000000001</v>
      </c>
      <c r="MB77" s="11">
        <v>338398</v>
      </c>
      <c r="MC77" s="11">
        <v>4010885.08</v>
      </c>
      <c r="MD77" s="11">
        <v>1677265.9</v>
      </c>
      <c r="ME77" s="11">
        <v>1030540</v>
      </c>
      <c r="MF77" s="11">
        <v>4533081.4000000004</v>
      </c>
      <c r="MG77" s="11">
        <v>1236878.8</v>
      </c>
      <c r="MH77" s="11">
        <v>52234661.68</v>
      </c>
      <c r="MI77" s="11">
        <v>1041889.44</v>
      </c>
      <c r="MJ77" s="11">
        <v>216987.5</v>
      </c>
      <c r="MK77" s="11">
        <v>742910</v>
      </c>
      <c r="ML77" s="11">
        <v>208620</v>
      </c>
      <c r="MM77" s="11">
        <v>6333484.2999999998</v>
      </c>
      <c r="MN77" s="11">
        <v>1853678.5</v>
      </c>
      <c r="MO77" s="11">
        <v>379521.68</v>
      </c>
      <c r="MP77" s="11">
        <v>2627113.94</v>
      </c>
      <c r="MQ77" s="11">
        <v>525475</v>
      </c>
      <c r="MR77" s="11">
        <v>1286107.5</v>
      </c>
      <c r="MS77" s="11">
        <v>703353.78</v>
      </c>
      <c r="MT77" s="11">
        <v>10168259.199999999</v>
      </c>
      <c r="MU77" s="11">
        <v>3767857</v>
      </c>
      <c r="MV77" s="11">
        <v>1310739</v>
      </c>
      <c r="MW77" s="11">
        <v>2884483</v>
      </c>
      <c r="MX77" s="11">
        <v>3971965.1</v>
      </c>
      <c r="MY77" s="11">
        <v>501992.9</v>
      </c>
      <c r="MZ77" s="11">
        <v>2684941</v>
      </c>
      <c r="NA77" s="11">
        <v>1733906</v>
      </c>
      <c r="NB77" s="11">
        <v>2338317.9</v>
      </c>
      <c r="NC77" s="11">
        <v>1218165.2</v>
      </c>
      <c r="ND77" s="11">
        <v>612587</v>
      </c>
      <c r="NE77" s="11">
        <v>650432.19999999995</v>
      </c>
      <c r="NF77" s="11">
        <v>1206567.5</v>
      </c>
      <c r="NG77" s="11">
        <v>548325</v>
      </c>
      <c r="NH77" s="11">
        <v>21471627.199999999</v>
      </c>
      <c r="NI77" s="11">
        <v>1331202.96</v>
      </c>
      <c r="NJ77" s="11">
        <v>1362885</v>
      </c>
      <c r="NK77" s="11">
        <v>4332247</v>
      </c>
      <c r="NL77" s="11">
        <v>7056086.3399999999</v>
      </c>
      <c r="NM77" s="11">
        <v>190060</v>
      </c>
      <c r="NN77" s="11">
        <v>2020463.33</v>
      </c>
      <c r="NO77" s="11">
        <v>491925.65</v>
      </c>
      <c r="NP77" s="11">
        <v>1045725</v>
      </c>
      <c r="NQ77" s="11">
        <v>4694472.5</v>
      </c>
      <c r="NR77" s="11">
        <v>1119530.6000000001</v>
      </c>
      <c r="NS77" s="11">
        <v>989177.25</v>
      </c>
      <c r="NT77" s="11">
        <v>0</v>
      </c>
      <c r="NU77" s="11">
        <v>105761</v>
      </c>
      <c r="NV77" s="11">
        <v>13300</v>
      </c>
      <c r="NW77" s="11">
        <v>3015</v>
      </c>
      <c r="NX77" s="11">
        <v>2045730.2</v>
      </c>
      <c r="NY77" s="11">
        <v>21320009.5</v>
      </c>
      <c r="NZ77" s="11">
        <v>3029819.93</v>
      </c>
      <c r="OA77" s="11">
        <v>208650</v>
      </c>
      <c r="OB77" s="11">
        <v>662080</v>
      </c>
      <c r="OC77" s="11">
        <v>1612042.35</v>
      </c>
      <c r="OD77" s="11">
        <v>1237187.5</v>
      </c>
      <c r="OE77" s="11">
        <v>562978.36</v>
      </c>
      <c r="OF77" s="11">
        <v>4673354.16</v>
      </c>
      <c r="OG77" s="11">
        <v>1994912.3</v>
      </c>
      <c r="OH77" s="11">
        <v>9016914.7100000009</v>
      </c>
      <c r="OI77" s="11">
        <v>2666723.6</v>
      </c>
      <c r="OJ77" s="11">
        <v>2255450.08</v>
      </c>
      <c r="OK77" s="11">
        <v>1011386.72</v>
      </c>
      <c r="OL77" s="11">
        <v>725799.84</v>
      </c>
      <c r="OM77" s="11">
        <v>7796691.5300000003</v>
      </c>
      <c r="ON77" s="11">
        <v>4280</v>
      </c>
      <c r="OO77" s="11">
        <v>4173297.07</v>
      </c>
      <c r="OP77" s="11">
        <v>11632305.52</v>
      </c>
      <c r="OQ77" s="11">
        <v>3339952.61</v>
      </c>
      <c r="OR77" s="11">
        <v>2332528.06</v>
      </c>
      <c r="OS77" s="11">
        <v>1057096.1200000001</v>
      </c>
      <c r="OT77" s="11">
        <v>293820</v>
      </c>
      <c r="OU77" s="11">
        <v>1466147.77</v>
      </c>
      <c r="OV77" s="11">
        <v>18592.48</v>
      </c>
      <c r="OW77" s="11">
        <v>1835599.8</v>
      </c>
      <c r="OX77" s="11">
        <v>1649816.1</v>
      </c>
      <c r="OY77" s="11">
        <v>4106320.39</v>
      </c>
      <c r="OZ77" s="11">
        <v>1159881.58</v>
      </c>
      <c r="PA77" s="11">
        <v>157597.20000000001</v>
      </c>
      <c r="PB77" s="11">
        <v>1724983.5</v>
      </c>
      <c r="PC77" s="11">
        <v>30504690.059999999</v>
      </c>
      <c r="PD77" s="11">
        <v>3282528.4</v>
      </c>
      <c r="PE77" s="11">
        <v>6558356.2699999996</v>
      </c>
      <c r="PF77" s="11">
        <v>1492761.82</v>
      </c>
      <c r="PG77" s="11">
        <v>847924.4</v>
      </c>
      <c r="PH77" s="11">
        <v>2692046.34</v>
      </c>
      <c r="PI77" s="11">
        <v>4248608.83</v>
      </c>
      <c r="PJ77" s="11">
        <v>4305353.8</v>
      </c>
      <c r="PK77" s="11">
        <v>4708505.12</v>
      </c>
      <c r="PL77" s="11">
        <v>5625890</v>
      </c>
      <c r="PM77" s="11">
        <v>1355404</v>
      </c>
      <c r="PN77" s="11">
        <v>11050185.939999999</v>
      </c>
      <c r="PO77" s="11">
        <v>2044239.4</v>
      </c>
      <c r="PP77" s="11">
        <v>7422322.9500000002</v>
      </c>
      <c r="PQ77" s="11">
        <v>658415</v>
      </c>
      <c r="PR77" s="11">
        <v>1712034.52</v>
      </c>
      <c r="PS77" s="11">
        <v>602934</v>
      </c>
      <c r="PT77" s="11">
        <v>882023</v>
      </c>
      <c r="PU77" s="11">
        <v>4528961.24</v>
      </c>
      <c r="PV77" s="11">
        <v>4675858.21</v>
      </c>
      <c r="PW77" s="11">
        <v>3264586.72</v>
      </c>
      <c r="PX77" s="11">
        <v>1317574</v>
      </c>
      <c r="PY77" s="11">
        <v>38026261.780000001</v>
      </c>
      <c r="PZ77" s="11">
        <v>7784311.7999999998</v>
      </c>
      <c r="QA77" s="11">
        <v>10650556.58</v>
      </c>
      <c r="QB77" s="11">
        <v>2438870.5499999998</v>
      </c>
      <c r="QC77" s="11">
        <v>8178175.7699999996</v>
      </c>
      <c r="QD77" s="11">
        <v>2236930.0499999998</v>
      </c>
      <c r="QE77" s="11">
        <v>791277.64</v>
      </c>
      <c r="QF77" s="11">
        <v>2957461.78</v>
      </c>
      <c r="QG77" s="11">
        <v>2322649</v>
      </c>
      <c r="QH77" s="11">
        <v>3351698.8</v>
      </c>
      <c r="QI77" s="11">
        <v>4210809.5199999996</v>
      </c>
      <c r="QJ77" s="11">
        <v>3106921.1</v>
      </c>
      <c r="QK77" s="11">
        <v>5574616</v>
      </c>
      <c r="QL77" s="11">
        <v>1827528.91</v>
      </c>
      <c r="QM77" s="11">
        <v>2550755.11</v>
      </c>
      <c r="QN77" s="11">
        <v>6165277.2000000002</v>
      </c>
      <c r="QO77" s="11">
        <v>11105952.34</v>
      </c>
      <c r="QP77" s="11">
        <v>1962459.5</v>
      </c>
      <c r="QQ77" s="11">
        <v>441796.48</v>
      </c>
      <c r="QR77" s="11">
        <v>2064043.5</v>
      </c>
      <c r="QS77" s="11">
        <v>299283</v>
      </c>
      <c r="QT77" s="11">
        <v>1849142.66</v>
      </c>
      <c r="QU77" s="11">
        <v>65604659.700000003</v>
      </c>
      <c r="QV77" s="11">
        <v>1206192.5</v>
      </c>
      <c r="QW77" s="11">
        <v>10531684.5</v>
      </c>
      <c r="QX77" s="11">
        <v>2681816.65</v>
      </c>
      <c r="QY77" s="11">
        <v>3042786</v>
      </c>
      <c r="QZ77" s="11">
        <v>7932802.0499999998</v>
      </c>
      <c r="RA77" s="11">
        <v>3751271.2</v>
      </c>
      <c r="RB77" s="11">
        <v>2545910.0099999998</v>
      </c>
      <c r="RC77" s="11">
        <v>1496935</v>
      </c>
      <c r="RD77" s="11">
        <v>3194064</v>
      </c>
      <c r="RE77" s="11">
        <v>1700658.38</v>
      </c>
      <c r="RF77" s="11">
        <v>7000</v>
      </c>
      <c r="RG77" s="11">
        <v>1444682.3</v>
      </c>
      <c r="RH77" s="11">
        <v>45465839.57</v>
      </c>
      <c r="RI77" s="11">
        <v>10892763</v>
      </c>
      <c r="RJ77" s="11">
        <v>1145194</v>
      </c>
      <c r="RK77" s="11">
        <v>844845</v>
      </c>
      <c r="RL77" s="11">
        <v>822636.6</v>
      </c>
      <c r="RM77" s="11">
        <v>4566668.93</v>
      </c>
      <c r="RN77" s="11">
        <v>2022127.3</v>
      </c>
      <c r="RO77" s="11">
        <v>1468370</v>
      </c>
      <c r="RP77" s="11">
        <v>385440.97</v>
      </c>
      <c r="RQ77" s="11">
        <v>2815903.2</v>
      </c>
      <c r="RR77" s="11">
        <v>11563225</v>
      </c>
      <c r="RS77" s="11">
        <v>1224230</v>
      </c>
      <c r="RT77" s="11">
        <v>3056579.5</v>
      </c>
      <c r="RU77" s="11">
        <v>1831173</v>
      </c>
      <c r="RV77" s="11">
        <v>648718</v>
      </c>
      <c r="RW77" s="11">
        <v>739332</v>
      </c>
      <c r="RX77" s="11">
        <v>2177434</v>
      </c>
      <c r="RY77" s="11">
        <v>631975</v>
      </c>
      <c r="RZ77" s="11">
        <v>1482396</v>
      </c>
      <c r="SA77" s="11">
        <v>781800.28</v>
      </c>
      <c r="SB77" s="11">
        <v>38125149.689999998</v>
      </c>
      <c r="SC77" s="11">
        <v>994620</v>
      </c>
      <c r="SD77" s="11">
        <v>1381506</v>
      </c>
      <c r="SE77" s="11">
        <v>1620231</v>
      </c>
      <c r="SF77" s="11">
        <v>954202</v>
      </c>
      <c r="SG77" s="11">
        <v>4464430</v>
      </c>
      <c r="SH77" s="11">
        <v>1225068.5</v>
      </c>
      <c r="SI77" s="11">
        <v>1436686.06</v>
      </c>
      <c r="SJ77" s="11">
        <v>5097955.82</v>
      </c>
      <c r="SK77" s="11">
        <v>1144970</v>
      </c>
      <c r="SL77" s="11">
        <v>9608153</v>
      </c>
      <c r="SM77" s="11">
        <v>2375001.4</v>
      </c>
      <c r="SN77" s="11">
        <v>13836681</v>
      </c>
      <c r="SO77" s="11">
        <v>1441079.25</v>
      </c>
      <c r="SP77" s="11">
        <v>3221164</v>
      </c>
      <c r="SQ77" s="11">
        <v>3225425.25</v>
      </c>
      <c r="SR77" s="11">
        <v>1684043.87</v>
      </c>
      <c r="SS77" s="11">
        <v>660279.5</v>
      </c>
      <c r="ST77" s="11">
        <v>243674</v>
      </c>
      <c r="SU77" s="11">
        <v>530898</v>
      </c>
      <c r="SV77" s="11">
        <v>20504409.699999999</v>
      </c>
      <c r="SW77" s="11">
        <v>1082010.3999999999</v>
      </c>
      <c r="SX77" s="11">
        <v>3074733</v>
      </c>
      <c r="SY77" s="11">
        <v>2376039</v>
      </c>
      <c r="SZ77" s="11">
        <v>339107</v>
      </c>
      <c r="TA77" s="11">
        <v>382007</v>
      </c>
      <c r="TB77" s="11">
        <v>1804561.09</v>
      </c>
      <c r="TC77" s="11">
        <v>11096067.5</v>
      </c>
      <c r="TD77" s="11">
        <v>482892</v>
      </c>
      <c r="TE77" s="11">
        <v>708056.03</v>
      </c>
      <c r="TF77" s="11">
        <v>2125727</v>
      </c>
      <c r="TG77" s="11">
        <v>2370364.6</v>
      </c>
      <c r="TH77" s="11">
        <v>1156160.3500000001</v>
      </c>
      <c r="TI77" s="11">
        <v>861840</v>
      </c>
      <c r="TJ77" s="11">
        <v>19734776.059999999</v>
      </c>
      <c r="TK77" s="11">
        <v>690710.5</v>
      </c>
      <c r="TL77" s="11">
        <v>2798369.5</v>
      </c>
      <c r="TM77" s="11">
        <v>1719720</v>
      </c>
      <c r="TN77" s="11">
        <v>3178905.8</v>
      </c>
      <c r="TO77" s="11">
        <v>719238</v>
      </c>
      <c r="TP77" s="11">
        <v>1161654.3999999999</v>
      </c>
      <c r="TQ77" s="11">
        <v>9676548.6699999999</v>
      </c>
      <c r="TR77" s="11">
        <v>1140347.33</v>
      </c>
      <c r="TS77" s="11">
        <v>2026151</v>
      </c>
      <c r="TT77" s="11">
        <v>4918544</v>
      </c>
      <c r="TU77" s="11">
        <v>530455</v>
      </c>
      <c r="TV77" s="11">
        <v>1356932</v>
      </c>
      <c r="TW77" s="11">
        <v>2462650.65</v>
      </c>
      <c r="TX77" s="11">
        <v>1446920</v>
      </c>
      <c r="TY77" s="11">
        <v>325984</v>
      </c>
      <c r="TZ77" s="11">
        <v>7938422.5499999998</v>
      </c>
      <c r="UA77" s="11">
        <v>1113953</v>
      </c>
      <c r="UB77" s="11">
        <v>18522422.5</v>
      </c>
      <c r="UC77" s="11">
        <v>3539223.01</v>
      </c>
      <c r="UD77" s="11">
        <v>2273268.5</v>
      </c>
      <c r="UE77" s="11">
        <v>4113507</v>
      </c>
      <c r="UF77" s="11">
        <v>13335742.1</v>
      </c>
      <c r="UG77" s="11">
        <v>1484064.6</v>
      </c>
      <c r="UH77" s="11">
        <v>2071512.98</v>
      </c>
      <c r="UI77" s="11">
        <v>548940</v>
      </c>
      <c r="UJ77" s="11">
        <v>1606289</v>
      </c>
      <c r="UK77" s="11">
        <v>13281871.93</v>
      </c>
      <c r="UL77" s="11">
        <v>8583275.9600000009</v>
      </c>
      <c r="UM77" s="11">
        <v>1046245</v>
      </c>
      <c r="UN77" s="11">
        <v>5779821.7999999998</v>
      </c>
      <c r="UO77" s="11">
        <v>1607042.9</v>
      </c>
      <c r="UP77" s="11">
        <v>4222088.4000000004</v>
      </c>
      <c r="UQ77" s="11">
        <v>32417199.5</v>
      </c>
      <c r="UR77" s="11">
        <v>6805951</v>
      </c>
      <c r="US77" s="11">
        <v>3976707.5</v>
      </c>
      <c r="UT77" s="11">
        <v>10279665</v>
      </c>
      <c r="UU77" s="11">
        <v>64635.5</v>
      </c>
      <c r="UV77" s="11">
        <v>3103959.8</v>
      </c>
      <c r="UW77" s="11">
        <v>4277068</v>
      </c>
      <c r="UX77" s="11">
        <v>2904643</v>
      </c>
      <c r="UY77" s="11">
        <v>2220236.7000000002</v>
      </c>
      <c r="UZ77" s="11">
        <v>1970722</v>
      </c>
      <c r="VA77" s="11">
        <v>3105204.5</v>
      </c>
      <c r="VB77" s="11">
        <v>7393804</v>
      </c>
      <c r="VC77" s="11">
        <v>4329422</v>
      </c>
      <c r="VD77" s="11">
        <v>859204.5</v>
      </c>
      <c r="VE77" s="11">
        <v>1679161</v>
      </c>
      <c r="VF77" s="11">
        <v>1204796.22</v>
      </c>
      <c r="VG77" s="11">
        <v>4063387</v>
      </c>
      <c r="VH77" s="11">
        <v>2427368</v>
      </c>
      <c r="VI77" s="11">
        <v>8776328.0999999996</v>
      </c>
      <c r="VJ77" s="11">
        <v>1028944</v>
      </c>
      <c r="VK77" s="11">
        <v>1342790.9</v>
      </c>
      <c r="VL77" s="11">
        <v>638446</v>
      </c>
      <c r="VM77" s="11">
        <v>21128017</v>
      </c>
      <c r="VN77" s="11">
        <v>3932589</v>
      </c>
      <c r="VO77" s="11">
        <v>1938082</v>
      </c>
      <c r="VP77" s="11">
        <v>1428607</v>
      </c>
      <c r="VQ77" s="11">
        <v>8209219.6200000001</v>
      </c>
      <c r="VR77" s="11">
        <v>4911025.9000000004</v>
      </c>
      <c r="VS77" s="11">
        <v>2608652.2200000002</v>
      </c>
      <c r="VT77" s="11">
        <v>1073292</v>
      </c>
      <c r="VU77" s="11">
        <v>7700564.04</v>
      </c>
      <c r="VV77" s="11">
        <v>14484432.1</v>
      </c>
      <c r="VW77" s="11">
        <v>4797230</v>
      </c>
      <c r="VX77" s="11">
        <v>9357801.2899999991</v>
      </c>
      <c r="VY77" s="11">
        <v>3482449.47</v>
      </c>
      <c r="VZ77" s="11">
        <v>590080</v>
      </c>
      <c r="WA77" s="11">
        <v>3134594.75</v>
      </c>
      <c r="WB77" s="11">
        <v>168331984.30000001</v>
      </c>
      <c r="WC77" s="11">
        <v>6466909.9900000002</v>
      </c>
      <c r="WD77" s="11">
        <v>709775.6</v>
      </c>
      <c r="WE77" s="11">
        <v>994774.29</v>
      </c>
      <c r="WF77" s="11">
        <v>1129274.5</v>
      </c>
      <c r="WG77" s="11">
        <v>3930356.24</v>
      </c>
      <c r="WH77" s="11">
        <v>8058950</v>
      </c>
      <c r="WI77" s="11">
        <v>2844070.5</v>
      </c>
      <c r="WJ77" s="11">
        <v>1820457.5</v>
      </c>
      <c r="WK77" s="11">
        <v>4598135.5</v>
      </c>
      <c r="WL77" s="11">
        <v>900163.94</v>
      </c>
      <c r="WM77" s="11">
        <v>7517787</v>
      </c>
      <c r="WN77" s="11">
        <v>2543508</v>
      </c>
      <c r="WO77" s="11">
        <v>4655998.75</v>
      </c>
      <c r="WP77" s="11">
        <v>8215802.2699999996</v>
      </c>
      <c r="WQ77" s="11">
        <v>1443229.06</v>
      </c>
      <c r="WR77" s="11">
        <v>9000</v>
      </c>
      <c r="WS77" s="11">
        <v>1895023.44</v>
      </c>
      <c r="WT77" s="11">
        <v>218185.1</v>
      </c>
      <c r="WU77" s="11">
        <v>4015059.1</v>
      </c>
      <c r="WV77" s="11">
        <v>277020.26</v>
      </c>
      <c r="WW77" s="11">
        <v>4507509</v>
      </c>
      <c r="WX77" s="11">
        <v>2043237</v>
      </c>
      <c r="WY77" s="11">
        <v>1216370.94</v>
      </c>
      <c r="WZ77" s="11">
        <v>3729979.93</v>
      </c>
      <c r="XA77" s="11">
        <v>5149456.71</v>
      </c>
      <c r="XB77" s="11">
        <v>1143708.54</v>
      </c>
      <c r="XC77" s="11">
        <v>808683.5</v>
      </c>
      <c r="XD77" s="11">
        <v>15026855.199999999</v>
      </c>
      <c r="XE77" s="11">
        <v>2634172.0499999998</v>
      </c>
      <c r="XF77" s="11">
        <v>211289</v>
      </c>
      <c r="XG77" s="11">
        <v>263549</v>
      </c>
      <c r="XH77" s="11">
        <v>998959.55</v>
      </c>
      <c r="XI77" s="11">
        <v>99300089.780000001</v>
      </c>
      <c r="XJ77" s="11">
        <v>4117813</v>
      </c>
      <c r="XK77" s="11">
        <v>2356246</v>
      </c>
      <c r="XL77" s="11">
        <v>17318405</v>
      </c>
      <c r="XM77" s="11">
        <v>2258533.66</v>
      </c>
      <c r="XN77" s="11">
        <v>2155050</v>
      </c>
      <c r="XO77" s="11">
        <v>9119070.3000000007</v>
      </c>
      <c r="XP77" s="11">
        <v>2021330</v>
      </c>
      <c r="XQ77" s="11">
        <v>2488628</v>
      </c>
      <c r="XR77" s="11">
        <v>8082435.0999999996</v>
      </c>
      <c r="XS77" s="11">
        <v>2300052.5</v>
      </c>
      <c r="XT77" s="11">
        <v>540879</v>
      </c>
      <c r="XU77" s="11">
        <v>2529336.6</v>
      </c>
      <c r="XV77" s="11">
        <v>1463605</v>
      </c>
      <c r="XW77" s="11">
        <v>738667</v>
      </c>
      <c r="XX77" s="11">
        <v>1288304</v>
      </c>
      <c r="XY77" s="11">
        <v>428986.41</v>
      </c>
      <c r="XZ77" s="11">
        <v>1626308</v>
      </c>
      <c r="YA77" s="11">
        <v>1063198</v>
      </c>
      <c r="YB77" s="11">
        <v>304527</v>
      </c>
      <c r="YC77" s="11">
        <v>398116.2</v>
      </c>
      <c r="YD77" s="11">
        <v>1722625.93</v>
      </c>
      <c r="YE77" s="11">
        <v>1677662</v>
      </c>
      <c r="YF77" s="11">
        <v>494250</v>
      </c>
      <c r="YG77" s="11">
        <v>2101451.89</v>
      </c>
      <c r="YH77" s="11">
        <v>2616801.08</v>
      </c>
      <c r="YI77" s="11">
        <v>1365584</v>
      </c>
      <c r="YJ77" s="11">
        <v>28667197.760000002</v>
      </c>
      <c r="YK77" s="11">
        <v>1787774</v>
      </c>
      <c r="YL77" s="11">
        <v>3668184.2</v>
      </c>
      <c r="YM77" s="11">
        <v>1627572.72</v>
      </c>
      <c r="YN77" s="11">
        <v>9643816.4000000004</v>
      </c>
      <c r="YO77" s="11">
        <v>10553847.289999999</v>
      </c>
      <c r="YP77" s="11">
        <v>1226332.5</v>
      </c>
      <c r="YQ77" s="11">
        <v>3612558</v>
      </c>
      <c r="YR77" s="11">
        <v>2854927.2</v>
      </c>
      <c r="YS77" s="11">
        <v>1537639</v>
      </c>
      <c r="YT77" s="11">
        <v>2194412.54</v>
      </c>
      <c r="YU77" s="11">
        <v>2891130</v>
      </c>
      <c r="YV77" s="11">
        <v>1265102</v>
      </c>
      <c r="YW77" s="11">
        <v>22616531.48</v>
      </c>
      <c r="YX77" s="11">
        <v>1331135</v>
      </c>
      <c r="YY77" s="11">
        <v>223514</v>
      </c>
      <c r="YZ77" s="11">
        <v>1108061</v>
      </c>
      <c r="ZA77" s="11">
        <v>1040217</v>
      </c>
      <c r="ZB77" s="11">
        <v>378471</v>
      </c>
      <c r="ZC77" s="11">
        <v>2074809</v>
      </c>
      <c r="ZD77" s="11">
        <v>7920600.4800000004</v>
      </c>
      <c r="ZE77" s="11">
        <v>1293570</v>
      </c>
      <c r="ZF77" s="11">
        <v>1363856.6</v>
      </c>
      <c r="ZG77" s="11">
        <v>526781.9</v>
      </c>
      <c r="ZH77" s="11">
        <v>537640</v>
      </c>
      <c r="ZI77" s="11">
        <v>782920</v>
      </c>
      <c r="ZJ77" s="11">
        <v>838924</v>
      </c>
      <c r="ZK77" s="11">
        <v>992820</v>
      </c>
      <c r="ZL77" s="11">
        <v>11517244</v>
      </c>
      <c r="ZM77" s="11">
        <v>22631130.02</v>
      </c>
      <c r="ZN77" s="11">
        <v>666471</v>
      </c>
      <c r="ZO77" s="11">
        <v>2710922.1</v>
      </c>
      <c r="ZP77" s="11">
        <v>7323857.0800000001</v>
      </c>
      <c r="ZQ77" s="11">
        <v>14060343.300000001</v>
      </c>
      <c r="ZR77" s="11">
        <v>2128188.5</v>
      </c>
      <c r="ZS77" s="11">
        <v>418310</v>
      </c>
      <c r="ZT77" s="11">
        <v>2760201.5</v>
      </c>
      <c r="ZU77" s="11">
        <v>1246042</v>
      </c>
      <c r="ZV77" s="11">
        <v>5790110.5800000001</v>
      </c>
      <c r="ZW77" s="11">
        <v>438953.5</v>
      </c>
      <c r="ZX77" s="11">
        <v>173662.5</v>
      </c>
      <c r="ZY77" s="11">
        <v>1388023</v>
      </c>
      <c r="ZZ77" s="11">
        <v>1624453.4</v>
      </c>
      <c r="AAA77" s="11">
        <v>787528.5</v>
      </c>
      <c r="AAB77" s="11">
        <v>1545050.5</v>
      </c>
      <c r="AAC77" s="11">
        <v>904320</v>
      </c>
      <c r="AAD77" s="11">
        <v>105910</v>
      </c>
      <c r="AAE77" s="11">
        <v>1874765.5</v>
      </c>
      <c r="AAF77" s="11">
        <v>615208.1</v>
      </c>
      <c r="AAG77" s="11">
        <v>462339.27</v>
      </c>
      <c r="AAH77" s="11">
        <v>1327246.73</v>
      </c>
      <c r="AAI77" s="11">
        <v>3698660</v>
      </c>
      <c r="AAJ77" s="11">
        <v>1518092</v>
      </c>
      <c r="AAK77" s="11">
        <v>3251955</v>
      </c>
      <c r="AAL77" s="11">
        <v>2227062.5099999998</v>
      </c>
      <c r="AAM77" s="11">
        <v>724430</v>
      </c>
      <c r="AAN77" s="11">
        <v>4263595</v>
      </c>
      <c r="AAO77" s="11">
        <v>352362.51</v>
      </c>
      <c r="AAP77" s="11">
        <v>133583504.90000001</v>
      </c>
      <c r="AAQ77" s="11">
        <v>6959066.2000000002</v>
      </c>
      <c r="AAR77" s="11">
        <v>2903127.6</v>
      </c>
      <c r="AAS77" s="11">
        <v>8127853.3700000001</v>
      </c>
      <c r="AAT77" s="11">
        <v>4729686</v>
      </c>
      <c r="AAU77" s="11">
        <v>918345.8</v>
      </c>
      <c r="AAV77" s="11">
        <v>5236395.8</v>
      </c>
      <c r="AAW77" s="11">
        <v>2538239.7000000002</v>
      </c>
      <c r="AAX77" s="11">
        <v>32365971.199999999</v>
      </c>
      <c r="AAY77" s="11">
        <v>4802424.4000000004</v>
      </c>
      <c r="AAZ77" s="11">
        <v>4775619.9000000004</v>
      </c>
      <c r="ABA77" s="11">
        <v>12452487.199999999</v>
      </c>
      <c r="ABB77" s="11">
        <v>12471037.5</v>
      </c>
      <c r="ABC77" s="11">
        <v>641716.1</v>
      </c>
      <c r="ABD77" s="11">
        <v>4209528.4000000004</v>
      </c>
      <c r="ABE77" s="11">
        <v>3497313.8</v>
      </c>
      <c r="ABF77" s="11">
        <v>904001</v>
      </c>
      <c r="ABG77" s="11">
        <v>3222772.8</v>
      </c>
      <c r="ABH77" s="11">
        <v>1673725.12</v>
      </c>
      <c r="ABI77" s="11">
        <v>14327433.6</v>
      </c>
      <c r="ABJ77" s="11">
        <v>12284086.359999999</v>
      </c>
      <c r="ABK77" s="11">
        <v>2472430</v>
      </c>
      <c r="ABL77" s="11">
        <v>1161282.3</v>
      </c>
      <c r="ABM77" s="11">
        <v>3512743.6</v>
      </c>
      <c r="ABN77" s="11">
        <v>665225.69999999995</v>
      </c>
      <c r="ABO77" s="11">
        <v>1602760.3</v>
      </c>
      <c r="ABP77" s="11">
        <v>8625340.6799999997</v>
      </c>
      <c r="ABQ77" s="11">
        <v>1680885.5</v>
      </c>
      <c r="ABR77" s="11">
        <v>3469134.56</v>
      </c>
      <c r="ABS77" s="11">
        <v>3339847.79</v>
      </c>
      <c r="ABT77" s="11">
        <v>5581446</v>
      </c>
      <c r="ABU77" s="11">
        <v>3346268</v>
      </c>
      <c r="ABV77" s="11">
        <v>1459358.68</v>
      </c>
      <c r="ABW77" s="11">
        <v>1299261</v>
      </c>
      <c r="ABX77" s="11">
        <v>51614</v>
      </c>
      <c r="ABY77" s="11">
        <v>16456350</v>
      </c>
      <c r="ABZ77" s="11">
        <v>5507672</v>
      </c>
      <c r="ACA77" s="11">
        <v>2401159.73</v>
      </c>
      <c r="ACB77" s="11">
        <v>1059923.8500000001</v>
      </c>
      <c r="ACC77" s="11">
        <v>2233338</v>
      </c>
      <c r="ACD77" s="11">
        <v>32050225.629999999</v>
      </c>
      <c r="ACE77" s="11">
        <v>2197111.58</v>
      </c>
      <c r="ACF77" s="11">
        <v>1082196.53</v>
      </c>
      <c r="ACG77" s="11">
        <v>2341856</v>
      </c>
      <c r="ACH77" s="11">
        <v>2802733.99</v>
      </c>
      <c r="ACI77" s="11">
        <v>1227920.6499999999</v>
      </c>
      <c r="ACJ77" s="11"/>
      <c r="ACK77" s="11">
        <v>395683.02</v>
      </c>
      <c r="ACL77" s="11">
        <v>6911087.4900000002</v>
      </c>
      <c r="ACM77" s="11">
        <v>4348091.76</v>
      </c>
      <c r="ACN77" s="11">
        <v>2870964</v>
      </c>
      <c r="ACO77" s="11">
        <v>3831520</v>
      </c>
      <c r="ACP77" s="11">
        <v>3524642.5</v>
      </c>
      <c r="ACQ77" s="11">
        <v>10294862.359999999</v>
      </c>
      <c r="ACR77" s="11">
        <v>21314092.399999999</v>
      </c>
      <c r="ACS77" s="11">
        <v>7122344.3499999996</v>
      </c>
      <c r="ACT77" s="11">
        <v>5160696.5</v>
      </c>
      <c r="ACU77" s="11">
        <v>7850490.5</v>
      </c>
      <c r="ACV77" s="11">
        <v>2592874.91</v>
      </c>
      <c r="ACW77" s="11">
        <v>7743108.2999999998</v>
      </c>
      <c r="ACX77" s="11">
        <v>3155005</v>
      </c>
      <c r="ACY77" s="11">
        <v>1499175</v>
      </c>
      <c r="ACZ77" s="11">
        <v>4188181.58</v>
      </c>
      <c r="ADA77" s="11">
        <v>4975134</v>
      </c>
      <c r="ADB77" s="11">
        <v>2124270</v>
      </c>
      <c r="ADC77" s="11">
        <v>2467475.38</v>
      </c>
      <c r="ADD77" s="11">
        <v>5334926.59</v>
      </c>
      <c r="ADE77" s="11">
        <v>5221971.78</v>
      </c>
      <c r="ADF77" s="11">
        <v>1421873</v>
      </c>
      <c r="ADG77" s="11">
        <v>3998697.04</v>
      </c>
      <c r="ADH77" s="11">
        <v>10535038.25</v>
      </c>
      <c r="ADI77" s="11">
        <v>269343.84999999998</v>
      </c>
      <c r="ADJ77" s="11">
        <v>848855.52</v>
      </c>
      <c r="ADK77" s="11">
        <v>1857502</v>
      </c>
      <c r="ADL77" s="11">
        <v>198998</v>
      </c>
      <c r="ADM77" s="11">
        <v>936620</v>
      </c>
      <c r="ADN77" s="11">
        <v>5503278.7400000002</v>
      </c>
      <c r="ADO77" s="11">
        <v>5236629.95</v>
      </c>
      <c r="ADP77" s="11">
        <v>44216616.490000002</v>
      </c>
      <c r="ADQ77" s="11">
        <v>817975</v>
      </c>
      <c r="ADR77" s="11">
        <v>519472.25</v>
      </c>
      <c r="ADS77" s="11">
        <v>53802.52</v>
      </c>
      <c r="ADT77" s="11">
        <v>29063510.359999999</v>
      </c>
      <c r="ADU77" s="11">
        <v>956182.5</v>
      </c>
      <c r="ADV77" s="11">
        <v>3043302.95</v>
      </c>
      <c r="ADW77" s="11">
        <v>1895495.02</v>
      </c>
      <c r="ADX77" s="11">
        <v>1209699</v>
      </c>
      <c r="ADY77" s="11">
        <v>756969.8</v>
      </c>
      <c r="ADZ77" s="11">
        <v>52721193.149999999</v>
      </c>
      <c r="AEA77" s="11">
        <v>13359365.26</v>
      </c>
      <c r="AEB77" s="11">
        <v>14152160.279999999</v>
      </c>
      <c r="AEC77" s="11">
        <v>3890206.73</v>
      </c>
      <c r="AED77" s="11">
        <v>378909</v>
      </c>
      <c r="AEE77" s="11">
        <v>6973817.0099999998</v>
      </c>
      <c r="AEF77" s="11">
        <v>6277949.3799999999</v>
      </c>
      <c r="AEG77" s="11">
        <v>5209431</v>
      </c>
      <c r="AEH77" s="11">
        <v>1996844.87</v>
      </c>
      <c r="AEI77" s="11">
        <v>990346.41</v>
      </c>
      <c r="AEJ77" s="11">
        <v>5264879.9400000004</v>
      </c>
      <c r="AEK77" s="11">
        <v>23046199.870000001</v>
      </c>
      <c r="AEL77" s="11">
        <v>636916.5</v>
      </c>
      <c r="AEM77" s="11">
        <v>6000692.3099999996</v>
      </c>
      <c r="AEN77" s="11">
        <v>6196162</v>
      </c>
      <c r="AEO77" s="11">
        <v>3981206.64</v>
      </c>
      <c r="AEP77" s="11">
        <v>754856.59</v>
      </c>
      <c r="AEQ77" s="11">
        <v>14434566</v>
      </c>
      <c r="AER77" s="11">
        <v>1060723.5</v>
      </c>
      <c r="AES77" s="11">
        <v>9952679.5</v>
      </c>
      <c r="AET77" s="11">
        <v>10110743.58</v>
      </c>
      <c r="AEU77" s="11">
        <v>5485705.5999999996</v>
      </c>
      <c r="AEV77" s="11">
        <v>1857738.04</v>
      </c>
      <c r="AEW77" s="11">
        <v>1691409</v>
      </c>
      <c r="AEX77" s="11">
        <v>1736818</v>
      </c>
      <c r="AEY77" s="11">
        <v>5962005.6100000003</v>
      </c>
      <c r="AEZ77" s="11">
        <v>2379066</v>
      </c>
      <c r="AFA77" s="11">
        <v>726174</v>
      </c>
      <c r="AFB77" s="11">
        <v>2588833.23</v>
      </c>
      <c r="AFC77" s="11">
        <v>1877341.5</v>
      </c>
      <c r="AFD77" s="11">
        <v>2871480.29</v>
      </c>
      <c r="AFE77" s="11">
        <v>2110622.5299999998</v>
      </c>
      <c r="AFF77" s="11">
        <v>9655309.6600000001</v>
      </c>
      <c r="AFG77" s="11">
        <v>3939764</v>
      </c>
      <c r="AFH77" s="11">
        <v>3197814.07</v>
      </c>
      <c r="AFI77" s="11">
        <v>2498843.4700000002</v>
      </c>
      <c r="AFJ77" s="11">
        <v>3524301</v>
      </c>
      <c r="AFK77" s="11">
        <v>4393203</v>
      </c>
      <c r="AFL77" s="11">
        <v>1030415.75</v>
      </c>
      <c r="AFM77" s="11">
        <v>7140340.3499999996</v>
      </c>
      <c r="AFN77" s="11">
        <v>1672308.5</v>
      </c>
      <c r="AFO77" s="11">
        <v>809674</v>
      </c>
      <c r="AFP77" s="11">
        <v>2623568</v>
      </c>
      <c r="AFQ77" s="11">
        <v>60758266.899999999</v>
      </c>
      <c r="AFR77" s="11">
        <v>9311706</v>
      </c>
      <c r="AFS77" s="11">
        <v>2503693.2999999998</v>
      </c>
      <c r="AFT77" s="11">
        <v>1655136.41</v>
      </c>
      <c r="AFU77" s="11">
        <v>4372227.0599999996</v>
      </c>
      <c r="AFV77" s="11">
        <v>2118495.2000000002</v>
      </c>
      <c r="AFW77" s="11">
        <v>1598703</v>
      </c>
      <c r="AFX77" s="11">
        <v>4694615.68</v>
      </c>
      <c r="AFY77" s="11">
        <v>1027974</v>
      </c>
      <c r="AFZ77" s="11">
        <v>2650619</v>
      </c>
      <c r="AGA77" s="11">
        <v>7402158.8300000001</v>
      </c>
      <c r="AGB77" s="11">
        <v>1084353.93</v>
      </c>
      <c r="AGC77" s="11">
        <v>3369034.6</v>
      </c>
      <c r="AGD77" s="11">
        <v>1349446.85</v>
      </c>
      <c r="AGE77" s="11">
        <v>2465228.16</v>
      </c>
      <c r="AGF77" s="11">
        <v>1425395</v>
      </c>
      <c r="AGG77" s="11">
        <v>765450.75</v>
      </c>
      <c r="AGH77" s="11">
        <v>1720857.77</v>
      </c>
      <c r="AGI77" s="11">
        <v>613354</v>
      </c>
      <c r="AGJ77" s="11">
        <v>491423</v>
      </c>
      <c r="AGK77" s="11">
        <v>2958064.5</v>
      </c>
      <c r="AGL77" s="11">
        <v>453073.41</v>
      </c>
      <c r="AGM77" s="11">
        <v>1025158.8</v>
      </c>
      <c r="AGN77" s="11">
        <v>127051.5</v>
      </c>
      <c r="AGO77" s="11">
        <v>3218122.03</v>
      </c>
      <c r="AGP77" s="11">
        <v>655228</v>
      </c>
      <c r="AGQ77" s="11">
        <v>284455.84999999998</v>
      </c>
      <c r="AGR77" s="11">
        <v>1040243.85</v>
      </c>
      <c r="AGS77" s="11">
        <v>11898638.59</v>
      </c>
      <c r="AGT77" s="11">
        <v>267855</v>
      </c>
      <c r="AGU77" s="11">
        <v>602556.87</v>
      </c>
      <c r="AGV77" s="11"/>
      <c r="AGW77" s="11"/>
      <c r="AGX77" s="11">
        <v>3599443</v>
      </c>
      <c r="AGY77" s="11">
        <v>3053831.95</v>
      </c>
      <c r="AGZ77" s="11">
        <v>16070232.5</v>
      </c>
      <c r="AHA77" s="11">
        <v>333232</v>
      </c>
      <c r="AHB77" s="11">
        <v>518223</v>
      </c>
      <c r="AHC77" s="11">
        <v>2123720.15</v>
      </c>
      <c r="AHD77" s="11">
        <v>3109311.34</v>
      </c>
      <c r="AHE77" s="11">
        <v>10785070.83</v>
      </c>
      <c r="AHF77" s="11">
        <v>5293490</v>
      </c>
      <c r="AHG77" s="11">
        <v>466987.78</v>
      </c>
      <c r="AHH77" s="11">
        <v>4297947.8600000003</v>
      </c>
      <c r="AHI77" s="11">
        <v>1367969.5</v>
      </c>
      <c r="AHJ77" s="11">
        <v>183390</v>
      </c>
      <c r="AHK77" s="11">
        <v>174493</v>
      </c>
      <c r="AHL77" s="11">
        <v>246338.21</v>
      </c>
      <c r="AHM77" s="11">
        <v>6858505.2300000004</v>
      </c>
      <c r="AHN77" s="11">
        <v>4426100.9000000004</v>
      </c>
      <c r="AHO77" s="11">
        <v>1068239</v>
      </c>
      <c r="AHP77" s="11">
        <v>872483.28</v>
      </c>
      <c r="AHQ77" s="11">
        <v>4322711.75</v>
      </c>
      <c r="AHR77" s="11">
        <v>329026.5</v>
      </c>
      <c r="AHS77" s="11">
        <v>4333283</v>
      </c>
      <c r="AHT77" s="11">
        <v>3911379606.619998</v>
      </c>
      <c r="AHV77" s="269" t="s">
        <v>6278</v>
      </c>
      <c r="AHW77" s="269" t="s">
        <v>6095</v>
      </c>
      <c r="AHX77" s="269" t="s">
        <v>6096</v>
      </c>
    </row>
    <row r="78" spans="1:908" x14ac:dyDescent="0.7">
      <c r="A78" s="6" t="s">
        <v>6278</v>
      </c>
      <c r="B78" s="6" t="s">
        <v>6101</v>
      </c>
      <c r="C78" s="6" t="s">
        <v>6102</v>
      </c>
      <c r="D78" s="11">
        <v>507997.68</v>
      </c>
      <c r="E78" s="11">
        <v>482488</v>
      </c>
      <c r="F78" s="11">
        <v>1526018.8</v>
      </c>
      <c r="G78" s="11">
        <v>252286</v>
      </c>
      <c r="H78" s="11">
        <v>1144509.19</v>
      </c>
      <c r="I78" s="11">
        <v>295608.09999999998</v>
      </c>
      <c r="J78" s="11">
        <v>1319323.08</v>
      </c>
      <c r="K78" s="11">
        <v>200254.5</v>
      </c>
      <c r="L78" s="11">
        <v>1048002</v>
      </c>
      <c r="M78" s="11">
        <v>948730.49</v>
      </c>
      <c r="N78" s="11">
        <v>2069242.95</v>
      </c>
      <c r="O78" s="11">
        <v>198463</v>
      </c>
      <c r="P78" s="11">
        <v>386624</v>
      </c>
      <c r="Q78" s="11">
        <v>1571935</v>
      </c>
      <c r="R78" s="11">
        <v>252306</v>
      </c>
      <c r="S78" s="11">
        <v>2626419.42</v>
      </c>
      <c r="T78" s="11">
        <v>409054</v>
      </c>
      <c r="U78" s="11">
        <v>265563.67</v>
      </c>
      <c r="V78" s="11">
        <v>130906</v>
      </c>
      <c r="W78" s="11">
        <v>2420911.5699999998</v>
      </c>
      <c r="X78" s="11">
        <v>455157</v>
      </c>
      <c r="Y78" s="11">
        <v>532849.4</v>
      </c>
      <c r="Z78" s="11">
        <v>2226241.5</v>
      </c>
      <c r="AA78" s="11">
        <v>203707.56</v>
      </c>
      <c r="AB78" s="11">
        <v>1675625.25</v>
      </c>
      <c r="AC78" s="11">
        <v>698718.93</v>
      </c>
      <c r="AD78" s="11">
        <v>683753.06</v>
      </c>
      <c r="AE78" s="11">
        <v>90297.64</v>
      </c>
      <c r="AF78" s="11">
        <v>2414443.6</v>
      </c>
      <c r="AG78" s="11">
        <v>245096.3</v>
      </c>
      <c r="AH78" s="11">
        <v>2243842.59</v>
      </c>
      <c r="AI78" s="11">
        <v>2526164.12</v>
      </c>
      <c r="AJ78" s="11">
        <v>317520.3</v>
      </c>
      <c r="AK78" s="11">
        <v>141943.99</v>
      </c>
      <c r="AL78" s="11">
        <v>367231.82</v>
      </c>
      <c r="AM78" s="11">
        <v>333612.09000000003</v>
      </c>
      <c r="AN78" s="11">
        <v>64610.87</v>
      </c>
      <c r="AO78" s="11">
        <v>615248.59</v>
      </c>
      <c r="AP78" s="11">
        <v>250029.9</v>
      </c>
      <c r="AQ78" s="11">
        <v>314086.8</v>
      </c>
      <c r="AR78" s="11">
        <v>146916.07999999999</v>
      </c>
      <c r="AS78" s="11">
        <v>442500.1</v>
      </c>
      <c r="AT78" s="11"/>
      <c r="AU78" s="11">
        <v>189807.1</v>
      </c>
      <c r="AV78" s="11">
        <v>226110.3</v>
      </c>
      <c r="AW78" s="11">
        <v>259168.8</v>
      </c>
      <c r="AX78" s="11">
        <v>157885</v>
      </c>
      <c r="AY78" s="11">
        <v>160235</v>
      </c>
      <c r="AZ78" s="11">
        <v>211789.59</v>
      </c>
      <c r="BA78" s="11">
        <v>386474.8</v>
      </c>
      <c r="BB78" s="11">
        <v>87383.97</v>
      </c>
      <c r="BC78" s="11">
        <v>678822.18</v>
      </c>
      <c r="BD78" s="11">
        <v>139437.79999999999</v>
      </c>
      <c r="BE78" s="11">
        <v>1056999</v>
      </c>
      <c r="BF78" s="11">
        <v>2181762</v>
      </c>
      <c r="BG78" s="11">
        <v>83670.5</v>
      </c>
      <c r="BH78" s="11">
        <v>726063.21</v>
      </c>
      <c r="BI78" s="11">
        <v>291513.34000000003</v>
      </c>
      <c r="BJ78" s="11">
        <v>1534843.35</v>
      </c>
      <c r="BK78" s="11">
        <v>548334.80000000005</v>
      </c>
      <c r="BL78" s="11">
        <v>87370.4</v>
      </c>
      <c r="BM78" s="11">
        <v>898530</v>
      </c>
      <c r="BN78" s="11">
        <v>258743.8</v>
      </c>
      <c r="BO78" s="11">
        <v>154970</v>
      </c>
      <c r="BP78" s="11">
        <v>40900</v>
      </c>
      <c r="BQ78" s="11">
        <v>83288.539999999994</v>
      </c>
      <c r="BR78" s="11"/>
      <c r="BS78" s="11">
        <v>256218.7</v>
      </c>
      <c r="BT78" s="11">
        <v>352109</v>
      </c>
      <c r="BU78" s="11">
        <v>963859.92</v>
      </c>
      <c r="BV78" s="11">
        <v>297950.7</v>
      </c>
      <c r="BW78" s="11">
        <v>229946.36</v>
      </c>
      <c r="BX78" s="11">
        <v>445578.2</v>
      </c>
      <c r="BY78" s="11">
        <v>167397.5</v>
      </c>
      <c r="BZ78" s="11">
        <v>2901836.38</v>
      </c>
      <c r="CA78" s="11">
        <v>841869.7</v>
      </c>
      <c r="CB78" s="11">
        <v>1534546.9</v>
      </c>
      <c r="CC78" s="11">
        <v>1431567.21</v>
      </c>
      <c r="CD78" s="11">
        <v>321657.09999999998</v>
      </c>
      <c r="CE78" s="11">
        <v>787673</v>
      </c>
      <c r="CF78" s="11">
        <v>165196.25</v>
      </c>
      <c r="CG78" s="11">
        <v>365635.35</v>
      </c>
      <c r="CH78" s="11">
        <v>44195.4</v>
      </c>
      <c r="CI78" s="11">
        <v>1194958.05</v>
      </c>
      <c r="CJ78" s="11">
        <v>894073.8</v>
      </c>
      <c r="CK78" s="11">
        <v>748475.66</v>
      </c>
      <c r="CL78" s="11">
        <v>549690.5</v>
      </c>
      <c r="CM78" s="11">
        <v>118089.9</v>
      </c>
      <c r="CN78" s="11">
        <v>1099321.6000000001</v>
      </c>
      <c r="CO78" s="11">
        <v>159670</v>
      </c>
      <c r="CP78" s="11">
        <v>567548.28</v>
      </c>
      <c r="CQ78" s="11">
        <v>354473.8</v>
      </c>
      <c r="CR78" s="11">
        <v>278671.7</v>
      </c>
      <c r="CS78" s="11">
        <v>145245.97</v>
      </c>
      <c r="CT78" s="11">
        <v>1177496.3600000001</v>
      </c>
      <c r="CU78" s="11">
        <v>113782.5</v>
      </c>
      <c r="CV78" s="11">
        <v>141152</v>
      </c>
      <c r="CW78" s="11">
        <v>1007014.1</v>
      </c>
      <c r="CX78" s="11">
        <v>292763.32</v>
      </c>
      <c r="CY78" s="11">
        <v>136826.15</v>
      </c>
      <c r="CZ78" s="11">
        <v>132904.6</v>
      </c>
      <c r="DA78" s="11">
        <v>241511</v>
      </c>
      <c r="DB78" s="11">
        <v>3283799.17</v>
      </c>
      <c r="DC78" s="11">
        <v>5537502.8200000003</v>
      </c>
      <c r="DD78" s="11">
        <v>670246.68999999994</v>
      </c>
      <c r="DE78" s="11">
        <v>736452.32</v>
      </c>
      <c r="DF78" s="11">
        <v>276953.5</v>
      </c>
      <c r="DG78" s="11">
        <v>1946376.4</v>
      </c>
      <c r="DH78" s="11">
        <v>119238.86</v>
      </c>
      <c r="DI78" s="11">
        <v>1814474.31</v>
      </c>
      <c r="DJ78" s="11">
        <v>398424.21</v>
      </c>
      <c r="DK78" s="11">
        <v>3625492.16</v>
      </c>
      <c r="DL78" s="11">
        <v>664132.80000000005</v>
      </c>
      <c r="DM78" s="11">
        <v>611879.92000000004</v>
      </c>
      <c r="DN78" s="11">
        <v>556075.9</v>
      </c>
      <c r="DO78" s="11">
        <v>110627.38</v>
      </c>
      <c r="DP78" s="11">
        <v>1061403.05</v>
      </c>
      <c r="DQ78" s="11">
        <v>1240830.3</v>
      </c>
      <c r="DR78" s="11">
        <v>771262.4</v>
      </c>
      <c r="DS78" s="11">
        <v>1387628.09</v>
      </c>
      <c r="DT78" s="11">
        <v>9701294.9000000004</v>
      </c>
      <c r="DU78" s="11">
        <v>167757</v>
      </c>
      <c r="DV78" s="11">
        <v>3059067.89</v>
      </c>
      <c r="DW78" s="11">
        <v>2160686.21</v>
      </c>
      <c r="DX78" s="11">
        <v>1321958.6499999999</v>
      </c>
      <c r="DY78" s="11">
        <v>2364625.06</v>
      </c>
      <c r="DZ78" s="11">
        <v>670290</v>
      </c>
      <c r="EA78" s="11">
        <v>155159</v>
      </c>
      <c r="EB78" s="11">
        <v>608502</v>
      </c>
      <c r="EC78" s="11">
        <v>510745.59999999998</v>
      </c>
      <c r="ED78" s="11">
        <v>2187532</v>
      </c>
      <c r="EE78" s="11">
        <v>1165886.01</v>
      </c>
      <c r="EF78" s="11">
        <v>213294.9</v>
      </c>
      <c r="EG78" s="11">
        <v>276185</v>
      </c>
      <c r="EH78" s="11">
        <v>594163.31999999995</v>
      </c>
      <c r="EI78" s="11">
        <v>1668244.98</v>
      </c>
      <c r="EJ78" s="11">
        <v>785136.98</v>
      </c>
      <c r="EK78" s="11">
        <v>1344541.55</v>
      </c>
      <c r="EL78" s="11">
        <v>314425</v>
      </c>
      <c r="EM78" s="11">
        <v>173842</v>
      </c>
      <c r="EN78" s="11">
        <v>308305.13</v>
      </c>
      <c r="EO78" s="11">
        <v>236815</v>
      </c>
      <c r="EP78" s="11">
        <v>77773.08</v>
      </c>
      <c r="EQ78" s="11">
        <v>379158</v>
      </c>
      <c r="ER78" s="11">
        <v>1977608.8</v>
      </c>
      <c r="ES78" s="11">
        <v>228207.2</v>
      </c>
      <c r="ET78" s="11">
        <v>1262872</v>
      </c>
      <c r="EU78" s="11">
        <v>1210905.96</v>
      </c>
      <c r="EV78" s="11">
        <v>1068471</v>
      </c>
      <c r="EW78" s="11">
        <v>5731922.7000000002</v>
      </c>
      <c r="EX78" s="11">
        <v>248393</v>
      </c>
      <c r="EY78" s="11">
        <v>890933.6</v>
      </c>
      <c r="EZ78" s="11">
        <v>10738</v>
      </c>
      <c r="FA78" s="11">
        <v>2030324.66</v>
      </c>
      <c r="FB78" s="11">
        <v>2467741.0499999998</v>
      </c>
      <c r="FC78" s="11">
        <v>889836</v>
      </c>
      <c r="FD78" s="11">
        <v>955679.15</v>
      </c>
      <c r="FE78" s="11">
        <v>209001</v>
      </c>
      <c r="FF78" s="11">
        <v>379052.35</v>
      </c>
      <c r="FG78" s="11">
        <v>386224.71</v>
      </c>
      <c r="FH78" s="11">
        <v>170700</v>
      </c>
      <c r="FI78" s="11">
        <v>170540</v>
      </c>
      <c r="FJ78" s="11">
        <v>31040</v>
      </c>
      <c r="FK78" s="11">
        <v>8616</v>
      </c>
      <c r="FL78" s="11">
        <v>37935</v>
      </c>
      <c r="FM78" s="11">
        <v>1345779.52</v>
      </c>
      <c r="FN78" s="11">
        <v>612892.23</v>
      </c>
      <c r="FO78" s="11">
        <v>96472.7</v>
      </c>
      <c r="FP78" s="11">
        <v>17244</v>
      </c>
      <c r="FQ78" s="11">
        <v>948757.26</v>
      </c>
      <c r="FR78" s="11">
        <v>277130</v>
      </c>
      <c r="FS78" s="11">
        <v>616436.35</v>
      </c>
      <c r="FT78" s="11">
        <v>3366781.09</v>
      </c>
      <c r="FU78" s="11">
        <v>570885.73</v>
      </c>
      <c r="FV78" s="11">
        <v>561411.19999999995</v>
      </c>
      <c r="FW78" s="11">
        <v>1460654.02</v>
      </c>
      <c r="FX78" s="11">
        <v>440849.2</v>
      </c>
      <c r="FY78" s="11">
        <v>1106979.94</v>
      </c>
      <c r="FZ78" s="11">
        <v>208691.76</v>
      </c>
      <c r="GA78" s="11">
        <v>1222524.7</v>
      </c>
      <c r="GB78" s="11">
        <v>562111.98</v>
      </c>
      <c r="GC78" s="11">
        <v>1042400.5</v>
      </c>
      <c r="GD78" s="11">
        <v>918511.5</v>
      </c>
      <c r="GE78" s="11">
        <v>846836</v>
      </c>
      <c r="GF78" s="11">
        <v>403831.5</v>
      </c>
      <c r="GG78" s="11">
        <v>238219.24</v>
      </c>
      <c r="GH78" s="11">
        <v>2163530.06</v>
      </c>
      <c r="GI78" s="11">
        <v>234521</v>
      </c>
      <c r="GJ78" s="11">
        <v>308946.90000000002</v>
      </c>
      <c r="GK78" s="11">
        <v>260468.2</v>
      </c>
      <c r="GL78" s="11">
        <v>1169660.79</v>
      </c>
      <c r="GM78" s="11">
        <v>150981.76000000001</v>
      </c>
      <c r="GN78" s="11">
        <v>72882.48</v>
      </c>
      <c r="GO78" s="11">
        <v>347678</v>
      </c>
      <c r="GP78" s="11">
        <v>102659.56</v>
      </c>
      <c r="GQ78" s="11">
        <v>2241356.7000000002</v>
      </c>
      <c r="GR78" s="11">
        <v>569180</v>
      </c>
      <c r="GS78" s="11">
        <v>211211.2</v>
      </c>
      <c r="GT78" s="11">
        <v>288087.25</v>
      </c>
      <c r="GU78" s="11">
        <v>118216</v>
      </c>
      <c r="GV78" s="11">
        <v>368990.46</v>
      </c>
      <c r="GW78" s="11">
        <v>730837</v>
      </c>
      <c r="GX78" s="11">
        <v>367576</v>
      </c>
      <c r="GY78" s="11">
        <v>2917421.6</v>
      </c>
      <c r="GZ78" s="11">
        <v>270506.40000000002</v>
      </c>
      <c r="HA78" s="11">
        <v>1352645.34</v>
      </c>
      <c r="HB78" s="11">
        <v>448059.3</v>
      </c>
      <c r="HC78" s="11">
        <v>728662.65</v>
      </c>
      <c r="HD78" s="11">
        <v>6225231.4800000004</v>
      </c>
      <c r="HE78" s="11">
        <v>881575.73</v>
      </c>
      <c r="HF78" s="11">
        <v>2493265.19</v>
      </c>
      <c r="HG78" s="11">
        <v>278072.11</v>
      </c>
      <c r="HH78" s="11">
        <v>1838013.17</v>
      </c>
      <c r="HI78" s="11">
        <v>6030</v>
      </c>
      <c r="HJ78" s="11">
        <v>26750</v>
      </c>
      <c r="HK78" s="11">
        <v>6363957.7800000003</v>
      </c>
      <c r="HL78" s="11">
        <v>2302050.73</v>
      </c>
      <c r="HM78" s="11">
        <v>5980891.7999999998</v>
      </c>
      <c r="HN78" s="11">
        <v>1266734.3500000001</v>
      </c>
      <c r="HO78" s="11">
        <v>438873.59</v>
      </c>
      <c r="HP78" s="11">
        <v>96729.75</v>
      </c>
      <c r="HQ78" s="11">
        <v>1660325.26</v>
      </c>
      <c r="HR78" s="11">
        <v>326037.18</v>
      </c>
      <c r="HS78" s="11">
        <v>319322.08010000002</v>
      </c>
      <c r="HT78" s="11">
        <v>237510.65</v>
      </c>
      <c r="HU78" s="11">
        <v>200389</v>
      </c>
      <c r="HV78" s="11">
        <v>369045.65</v>
      </c>
      <c r="HW78" s="11">
        <v>750196.4</v>
      </c>
      <c r="HX78" s="11">
        <v>297394.15000000002</v>
      </c>
      <c r="HY78" s="11">
        <v>661055.11</v>
      </c>
      <c r="HZ78" s="11">
        <v>618513.32999999996</v>
      </c>
      <c r="IA78" s="11">
        <v>585676.6</v>
      </c>
      <c r="IB78" s="11">
        <v>526544.97</v>
      </c>
      <c r="IC78" s="11">
        <v>416966.94</v>
      </c>
      <c r="ID78" s="11">
        <v>42153.66</v>
      </c>
      <c r="IE78" s="11">
        <v>573534.68999999994</v>
      </c>
      <c r="IF78" s="11">
        <v>478037.16</v>
      </c>
      <c r="IG78" s="11">
        <v>473717.27</v>
      </c>
      <c r="IH78" s="11">
        <v>186634</v>
      </c>
      <c r="II78" s="11">
        <v>7325</v>
      </c>
      <c r="IJ78" s="11">
        <v>23566</v>
      </c>
      <c r="IK78" s="11">
        <v>2730</v>
      </c>
      <c r="IL78" s="11">
        <v>1151480.5900000001</v>
      </c>
      <c r="IM78" s="11">
        <v>1685062.36</v>
      </c>
      <c r="IN78" s="11">
        <v>750815.3</v>
      </c>
      <c r="IO78" s="11">
        <v>373562</v>
      </c>
      <c r="IP78" s="11">
        <v>380178.55</v>
      </c>
      <c r="IQ78" s="11">
        <v>201710.92</v>
      </c>
      <c r="IR78" s="11">
        <v>478222.97</v>
      </c>
      <c r="IS78" s="11">
        <v>264850.61</v>
      </c>
      <c r="IT78" s="11">
        <v>12995069.6</v>
      </c>
      <c r="IU78" s="11">
        <v>1011684.89</v>
      </c>
      <c r="IV78" s="11">
        <v>53782</v>
      </c>
      <c r="IW78" s="11">
        <v>1095928.6399999999</v>
      </c>
      <c r="IX78" s="11">
        <v>840916.27</v>
      </c>
      <c r="IY78" s="11">
        <v>55065.27</v>
      </c>
      <c r="IZ78" s="11">
        <v>1085983.5900000001</v>
      </c>
      <c r="JA78" s="11">
        <v>56620.09</v>
      </c>
      <c r="JB78" s="11">
        <v>408182.85</v>
      </c>
      <c r="JC78" s="11">
        <v>85980.64</v>
      </c>
      <c r="JD78" s="11">
        <v>422229.95</v>
      </c>
      <c r="JE78" s="11"/>
      <c r="JF78" s="11">
        <v>293316.06</v>
      </c>
      <c r="JG78" s="11">
        <v>4721945.8499999996</v>
      </c>
      <c r="JH78" s="11">
        <v>273264.24</v>
      </c>
      <c r="JI78" s="11">
        <v>291227.84999999998</v>
      </c>
      <c r="JJ78" s="11">
        <v>319903.45</v>
      </c>
      <c r="JK78" s="11">
        <v>109819.74</v>
      </c>
      <c r="JL78" s="11">
        <v>3905427.32</v>
      </c>
      <c r="JM78" s="11">
        <v>714068.74</v>
      </c>
      <c r="JN78" s="11">
        <v>812490.16</v>
      </c>
      <c r="JO78" s="11">
        <v>579464.63</v>
      </c>
      <c r="JP78" s="11">
        <v>377446.51</v>
      </c>
      <c r="JQ78" s="11">
        <v>1929206.68</v>
      </c>
      <c r="JR78" s="11">
        <v>66484.070000000007</v>
      </c>
      <c r="JS78" s="11">
        <v>1974805.22</v>
      </c>
      <c r="JT78" s="11"/>
      <c r="JU78" s="11">
        <v>1395387.6</v>
      </c>
      <c r="JV78" s="11">
        <v>6000</v>
      </c>
      <c r="JW78" s="11">
        <v>716078.6</v>
      </c>
      <c r="JX78" s="11">
        <v>312884.5</v>
      </c>
      <c r="JY78" s="11">
        <v>1754413.25</v>
      </c>
      <c r="JZ78" s="11">
        <v>1405492.78</v>
      </c>
      <c r="KA78" s="11">
        <v>9837.2000000000007</v>
      </c>
      <c r="KB78" s="11">
        <v>776322.48</v>
      </c>
      <c r="KC78" s="11">
        <v>8275</v>
      </c>
      <c r="KD78" s="11">
        <v>886732.81</v>
      </c>
      <c r="KE78" s="11">
        <v>168287.8</v>
      </c>
      <c r="KF78" s="11">
        <v>102926.8</v>
      </c>
      <c r="KG78" s="11">
        <v>242060.49</v>
      </c>
      <c r="KH78" s="11">
        <v>314879.46000000002</v>
      </c>
      <c r="KI78" s="11">
        <v>14442593.699999999</v>
      </c>
      <c r="KJ78" s="11">
        <v>2145352.59</v>
      </c>
      <c r="KK78" s="11">
        <v>206837.85</v>
      </c>
      <c r="KL78" s="11">
        <v>323315.73</v>
      </c>
      <c r="KM78" s="11">
        <v>183947</v>
      </c>
      <c r="KN78" s="11">
        <v>210185.79</v>
      </c>
      <c r="KO78" s="11">
        <v>2752666.21</v>
      </c>
      <c r="KP78" s="11">
        <v>455645.51</v>
      </c>
      <c r="KQ78" s="11">
        <v>277117.77</v>
      </c>
      <c r="KR78" s="11">
        <v>4715380.12</v>
      </c>
      <c r="KS78" s="11">
        <v>341654.81</v>
      </c>
      <c r="KT78" s="11">
        <v>521003.3</v>
      </c>
      <c r="KU78" s="11">
        <v>1923546.24</v>
      </c>
      <c r="KV78" s="11">
        <v>575960.65</v>
      </c>
      <c r="KW78" s="11">
        <v>1363008.9</v>
      </c>
      <c r="KX78" s="11">
        <v>5080504.1900000004</v>
      </c>
      <c r="KY78" s="11">
        <v>1290847.93</v>
      </c>
      <c r="KZ78" s="11">
        <v>4604086.47</v>
      </c>
      <c r="LA78" s="11">
        <v>793635.6</v>
      </c>
      <c r="LB78" s="11">
        <v>354442.28</v>
      </c>
      <c r="LC78" s="11">
        <v>2281528.5499999998</v>
      </c>
      <c r="LD78" s="11">
        <v>991269.04</v>
      </c>
      <c r="LE78" s="11">
        <v>989256.37</v>
      </c>
      <c r="LF78" s="11">
        <v>425899.3</v>
      </c>
      <c r="LG78" s="11">
        <v>781233.5</v>
      </c>
      <c r="LH78" s="11">
        <v>446563.5</v>
      </c>
      <c r="LI78" s="11">
        <v>31060.62</v>
      </c>
      <c r="LJ78" s="11">
        <v>272782.65000000002</v>
      </c>
      <c r="LK78" s="11">
        <v>2412465.85</v>
      </c>
      <c r="LL78" s="11">
        <v>1230867.75</v>
      </c>
      <c r="LM78" s="11">
        <v>1004301.31</v>
      </c>
      <c r="LN78" s="11">
        <v>1095026.8600000001</v>
      </c>
      <c r="LO78" s="11">
        <v>394270.74</v>
      </c>
      <c r="LP78" s="11">
        <v>223829.37</v>
      </c>
      <c r="LQ78" s="11"/>
      <c r="LR78" s="11">
        <v>87759.8</v>
      </c>
      <c r="LS78" s="11">
        <v>915408.28</v>
      </c>
      <c r="LT78" s="11">
        <v>479597</v>
      </c>
      <c r="LU78" s="11">
        <v>1035266.37</v>
      </c>
      <c r="LV78" s="11">
        <v>5190062.25</v>
      </c>
      <c r="LW78" s="11">
        <v>1878373.41</v>
      </c>
      <c r="LX78" s="11">
        <v>801494.38</v>
      </c>
      <c r="LY78" s="11">
        <v>1080121.01</v>
      </c>
      <c r="LZ78" s="11">
        <v>736980.55</v>
      </c>
      <c r="MA78" s="11">
        <v>1425527.69</v>
      </c>
      <c r="MB78" s="11">
        <v>1140883.29</v>
      </c>
      <c r="MC78" s="11">
        <v>450114.52</v>
      </c>
      <c r="MD78" s="11">
        <v>1841535.54</v>
      </c>
      <c r="ME78" s="11">
        <v>640449.31000000006</v>
      </c>
      <c r="MF78" s="11">
        <v>2057596.3</v>
      </c>
      <c r="MG78" s="11">
        <v>566080.75</v>
      </c>
      <c r="MH78" s="11">
        <v>4018524.61</v>
      </c>
      <c r="MI78" s="11">
        <v>457800.44</v>
      </c>
      <c r="MJ78" s="11">
        <v>136485.39000000001</v>
      </c>
      <c r="MK78" s="11">
        <v>338169.5</v>
      </c>
      <c r="ML78" s="11">
        <v>304710.5</v>
      </c>
      <c r="MM78" s="11">
        <v>743816.92</v>
      </c>
      <c r="MN78" s="11">
        <v>616185.25</v>
      </c>
      <c r="MO78" s="11">
        <v>291137.2</v>
      </c>
      <c r="MP78" s="11">
        <v>1509978.25</v>
      </c>
      <c r="MQ78" s="11">
        <v>692140.65</v>
      </c>
      <c r="MR78" s="11">
        <v>560348.4</v>
      </c>
      <c r="MS78" s="11">
        <v>351787</v>
      </c>
      <c r="MT78" s="11">
        <v>2136760.0499999998</v>
      </c>
      <c r="MU78" s="11">
        <v>425132.09</v>
      </c>
      <c r="MV78" s="11">
        <v>104716</v>
      </c>
      <c r="MW78" s="11">
        <v>2368988.29</v>
      </c>
      <c r="MX78" s="11">
        <v>2803900.76</v>
      </c>
      <c r="MY78" s="11">
        <v>510475.22</v>
      </c>
      <c r="MZ78" s="11">
        <v>2036902.92</v>
      </c>
      <c r="NA78" s="11">
        <v>971850.81</v>
      </c>
      <c r="NB78" s="11">
        <v>754630.65</v>
      </c>
      <c r="NC78" s="11">
        <v>379873.18</v>
      </c>
      <c r="ND78" s="11">
        <v>173384.21</v>
      </c>
      <c r="NE78" s="11">
        <v>287771.34999999998</v>
      </c>
      <c r="NF78" s="11">
        <v>401547.59</v>
      </c>
      <c r="NG78" s="11">
        <v>145228.37</v>
      </c>
      <c r="NH78" s="11">
        <v>8749330.4900000002</v>
      </c>
      <c r="NI78" s="11">
        <v>495333.11</v>
      </c>
      <c r="NJ78" s="11">
        <v>2035806.35</v>
      </c>
      <c r="NK78" s="11">
        <v>3126151.2</v>
      </c>
      <c r="NL78" s="11">
        <v>1167706.77</v>
      </c>
      <c r="NM78" s="11">
        <v>64746.98</v>
      </c>
      <c r="NN78" s="11">
        <v>324196.44</v>
      </c>
      <c r="NO78" s="11">
        <v>501404.96</v>
      </c>
      <c r="NP78" s="11">
        <v>182472.69</v>
      </c>
      <c r="NQ78" s="11">
        <v>3352794.17</v>
      </c>
      <c r="NR78" s="11">
        <v>238295</v>
      </c>
      <c r="NS78" s="11">
        <v>1259161.8</v>
      </c>
      <c r="NT78" s="11">
        <v>383171.2</v>
      </c>
      <c r="NU78" s="11">
        <v>66101.2</v>
      </c>
      <c r="NV78" s="11">
        <v>87850</v>
      </c>
      <c r="NW78" s="11">
        <v>64473.8</v>
      </c>
      <c r="NX78" s="11">
        <v>386796.6</v>
      </c>
      <c r="NY78" s="11">
        <v>2171512.04</v>
      </c>
      <c r="NZ78" s="11">
        <v>706150.44</v>
      </c>
      <c r="OA78" s="11">
        <v>208643.1</v>
      </c>
      <c r="OB78" s="11">
        <v>137550</v>
      </c>
      <c r="OC78" s="11">
        <v>601903.01</v>
      </c>
      <c r="OD78" s="11">
        <v>260429.4</v>
      </c>
      <c r="OE78" s="11">
        <v>1614820.32</v>
      </c>
      <c r="OF78" s="11">
        <v>12780739.029999999</v>
      </c>
      <c r="OG78" s="11">
        <v>1766418.83</v>
      </c>
      <c r="OH78" s="11">
        <v>6386501.4900000002</v>
      </c>
      <c r="OI78" s="11">
        <v>585124.47</v>
      </c>
      <c r="OJ78" s="11">
        <v>2137729.7200000002</v>
      </c>
      <c r="OK78" s="11">
        <v>2887442.66</v>
      </c>
      <c r="OL78" s="11">
        <v>193412.7</v>
      </c>
      <c r="OM78" s="11">
        <v>2064945.42</v>
      </c>
      <c r="ON78" s="11">
        <v>800153.02</v>
      </c>
      <c r="OO78" s="11">
        <v>2177365.87</v>
      </c>
      <c r="OP78" s="11">
        <v>2503150.9900000002</v>
      </c>
      <c r="OQ78" s="11">
        <v>1706646.2</v>
      </c>
      <c r="OR78" s="11">
        <v>642482.82999999996</v>
      </c>
      <c r="OS78" s="11">
        <v>338084.05</v>
      </c>
      <c r="OT78" s="11">
        <v>68292.5</v>
      </c>
      <c r="OU78" s="11">
        <v>398929.9</v>
      </c>
      <c r="OV78" s="11">
        <v>296383.2</v>
      </c>
      <c r="OW78" s="11">
        <v>894233.37</v>
      </c>
      <c r="OX78" s="11">
        <v>533283.43999999994</v>
      </c>
      <c r="OY78" s="11">
        <v>1973942.6</v>
      </c>
      <c r="OZ78" s="11">
        <v>141680</v>
      </c>
      <c r="PA78" s="11">
        <v>277525</v>
      </c>
      <c r="PB78" s="11">
        <v>663342</v>
      </c>
      <c r="PC78" s="11">
        <v>3079215.09</v>
      </c>
      <c r="PD78" s="11">
        <v>137836</v>
      </c>
      <c r="PE78" s="11">
        <v>1796312.65</v>
      </c>
      <c r="PF78" s="11">
        <v>417460.8</v>
      </c>
      <c r="PG78" s="11">
        <v>674627.31</v>
      </c>
      <c r="PH78" s="11">
        <v>1685457.4</v>
      </c>
      <c r="PI78" s="11">
        <v>1415799.42</v>
      </c>
      <c r="PJ78" s="11">
        <v>716730.1</v>
      </c>
      <c r="PK78" s="11">
        <v>691014.08</v>
      </c>
      <c r="PL78" s="11">
        <v>777151.14</v>
      </c>
      <c r="PM78" s="11">
        <v>305655.82</v>
      </c>
      <c r="PN78" s="11">
        <v>1396361</v>
      </c>
      <c r="PO78" s="11">
        <v>484867</v>
      </c>
      <c r="PP78" s="11">
        <v>2455302.34</v>
      </c>
      <c r="PQ78" s="11">
        <v>322164.63</v>
      </c>
      <c r="PR78" s="11">
        <v>284551.90000000002</v>
      </c>
      <c r="PS78" s="11">
        <v>271102</v>
      </c>
      <c r="PT78" s="11">
        <v>661855.05000000005</v>
      </c>
      <c r="PU78" s="11">
        <v>1394375.6</v>
      </c>
      <c r="PV78" s="11">
        <v>2587615.02</v>
      </c>
      <c r="PW78" s="11">
        <v>297475.8</v>
      </c>
      <c r="PX78" s="11">
        <v>1120459.55</v>
      </c>
      <c r="PY78" s="11">
        <v>4092391.79</v>
      </c>
      <c r="PZ78" s="11">
        <v>1495912.6</v>
      </c>
      <c r="QA78" s="11">
        <v>3484370.32</v>
      </c>
      <c r="QB78" s="11">
        <v>194155.92</v>
      </c>
      <c r="QC78" s="11">
        <v>2000441.65</v>
      </c>
      <c r="QD78" s="11">
        <v>348648.56</v>
      </c>
      <c r="QE78" s="11">
        <v>2364288.81</v>
      </c>
      <c r="QF78" s="11">
        <v>644227.69999999995</v>
      </c>
      <c r="QG78" s="11">
        <v>1423167.74</v>
      </c>
      <c r="QH78" s="11">
        <v>774691.61</v>
      </c>
      <c r="QI78" s="11">
        <v>1152183.68</v>
      </c>
      <c r="QJ78" s="11">
        <v>1331666.3700000001</v>
      </c>
      <c r="QK78" s="11">
        <v>1974439.03</v>
      </c>
      <c r="QL78" s="11">
        <v>331010.83</v>
      </c>
      <c r="QM78" s="11">
        <v>687350.19</v>
      </c>
      <c r="QN78" s="11">
        <v>1630735.51</v>
      </c>
      <c r="QO78" s="11">
        <v>895529.95</v>
      </c>
      <c r="QP78" s="11">
        <v>706218.9</v>
      </c>
      <c r="QQ78" s="11">
        <v>16555.2</v>
      </c>
      <c r="QR78" s="11">
        <v>308316.7</v>
      </c>
      <c r="QS78" s="11">
        <v>346109.66</v>
      </c>
      <c r="QT78" s="11">
        <v>326300.87</v>
      </c>
      <c r="QU78" s="11">
        <v>23397628.640000001</v>
      </c>
      <c r="QV78" s="11">
        <v>1202979.01</v>
      </c>
      <c r="QW78" s="11">
        <v>1526358.33</v>
      </c>
      <c r="QX78" s="11">
        <v>348356.08</v>
      </c>
      <c r="QY78" s="11">
        <v>949411.22</v>
      </c>
      <c r="QZ78" s="11">
        <v>2584413.04</v>
      </c>
      <c r="RA78" s="11">
        <v>1755849.98</v>
      </c>
      <c r="RB78" s="11">
        <v>2197103.2799999998</v>
      </c>
      <c r="RC78" s="11">
        <v>956321.8</v>
      </c>
      <c r="RD78" s="11">
        <v>622282.6</v>
      </c>
      <c r="RE78" s="11">
        <v>472805</v>
      </c>
      <c r="RF78" s="11">
        <v>0</v>
      </c>
      <c r="RG78" s="11">
        <v>602212</v>
      </c>
      <c r="RH78" s="11">
        <v>8615022.1699999999</v>
      </c>
      <c r="RI78" s="11">
        <v>3522065.95</v>
      </c>
      <c r="RJ78" s="11">
        <v>3686395.8</v>
      </c>
      <c r="RK78" s="11">
        <v>624549.5</v>
      </c>
      <c r="RL78" s="11">
        <v>1942168.88</v>
      </c>
      <c r="RM78" s="11">
        <v>4046358.1</v>
      </c>
      <c r="RN78" s="11">
        <v>1955271.29</v>
      </c>
      <c r="RO78" s="11">
        <v>1126027.05</v>
      </c>
      <c r="RP78" s="11">
        <v>970731.7</v>
      </c>
      <c r="RQ78" s="11">
        <v>2671243.84</v>
      </c>
      <c r="RR78" s="11">
        <v>4242609.6500000004</v>
      </c>
      <c r="RS78" s="11">
        <v>844888.34</v>
      </c>
      <c r="RT78" s="11">
        <v>693535</v>
      </c>
      <c r="RU78" s="11">
        <v>634734.73</v>
      </c>
      <c r="RV78" s="11">
        <v>813823.62</v>
      </c>
      <c r="RW78" s="11">
        <v>352012</v>
      </c>
      <c r="RX78" s="11">
        <v>1148431.75</v>
      </c>
      <c r="RY78" s="11">
        <v>314085.3</v>
      </c>
      <c r="RZ78" s="11">
        <v>345627.78</v>
      </c>
      <c r="SA78" s="11">
        <v>248288.9</v>
      </c>
      <c r="SB78" s="11">
        <v>4958052.75</v>
      </c>
      <c r="SC78" s="11">
        <v>556835.65</v>
      </c>
      <c r="SD78" s="11">
        <v>501044</v>
      </c>
      <c r="SE78" s="11">
        <v>7946</v>
      </c>
      <c r="SF78" s="11">
        <v>148588.28</v>
      </c>
      <c r="SG78" s="11">
        <v>407695.47</v>
      </c>
      <c r="SH78" s="11">
        <v>748118.8</v>
      </c>
      <c r="SI78" s="11">
        <v>274509.46000000002</v>
      </c>
      <c r="SJ78" s="11">
        <v>837819.7</v>
      </c>
      <c r="SK78" s="11">
        <v>318993</v>
      </c>
      <c r="SL78" s="11">
        <v>1731289.81</v>
      </c>
      <c r="SM78" s="11">
        <v>152267.07999999999</v>
      </c>
      <c r="SN78" s="11">
        <v>2703430.54</v>
      </c>
      <c r="SO78" s="11">
        <v>557658.1</v>
      </c>
      <c r="SP78" s="11">
        <v>611024.12</v>
      </c>
      <c r="SQ78" s="11">
        <v>404287.1</v>
      </c>
      <c r="SR78" s="11">
        <v>776378.7</v>
      </c>
      <c r="SS78" s="11">
        <v>447900</v>
      </c>
      <c r="ST78" s="11">
        <v>539763.42000000004</v>
      </c>
      <c r="SU78" s="11">
        <v>196965</v>
      </c>
      <c r="SV78" s="11">
        <v>11842618.6</v>
      </c>
      <c r="SW78" s="11">
        <v>286963.3</v>
      </c>
      <c r="SX78" s="11">
        <v>-703665</v>
      </c>
      <c r="SY78" s="11">
        <v>604211.46</v>
      </c>
      <c r="SZ78" s="11">
        <v>201072</v>
      </c>
      <c r="TA78" s="11">
        <v>545645.9</v>
      </c>
      <c r="TB78" s="11">
        <v>1786706.53</v>
      </c>
      <c r="TC78" s="11">
        <v>3896308.88</v>
      </c>
      <c r="TD78" s="11">
        <v>206339.45</v>
      </c>
      <c r="TE78" s="11">
        <v>556933.75</v>
      </c>
      <c r="TF78" s="11">
        <v>815388.6</v>
      </c>
      <c r="TG78" s="11">
        <v>417528.2</v>
      </c>
      <c r="TH78" s="11">
        <v>857640.48</v>
      </c>
      <c r="TI78" s="11">
        <v>559316.55000000005</v>
      </c>
      <c r="TJ78" s="11">
        <v>17483048.719999999</v>
      </c>
      <c r="TK78" s="11">
        <v>1188795.2</v>
      </c>
      <c r="TL78" s="11">
        <v>1080979.3</v>
      </c>
      <c r="TM78" s="11">
        <v>2585677.4900000002</v>
      </c>
      <c r="TN78" s="11">
        <v>2043883.92</v>
      </c>
      <c r="TO78" s="11">
        <v>941452</v>
      </c>
      <c r="TP78" s="11">
        <v>186646.47</v>
      </c>
      <c r="TQ78" s="11">
        <v>5400834.9699999997</v>
      </c>
      <c r="TR78" s="11">
        <v>720429.95</v>
      </c>
      <c r="TS78" s="11">
        <v>1303908</v>
      </c>
      <c r="TT78" s="11">
        <v>1727937.17</v>
      </c>
      <c r="TU78" s="11">
        <v>488120</v>
      </c>
      <c r="TV78" s="11">
        <v>285060.3</v>
      </c>
      <c r="TW78" s="11">
        <v>1501576.8</v>
      </c>
      <c r="TX78" s="11">
        <v>135264</v>
      </c>
      <c r="TY78" s="11">
        <v>227556.65</v>
      </c>
      <c r="TZ78" s="11">
        <v>2086242.8</v>
      </c>
      <c r="UA78" s="11">
        <v>824016.99</v>
      </c>
      <c r="UB78" s="11">
        <v>2888274.95</v>
      </c>
      <c r="UC78" s="11">
        <v>765426.5</v>
      </c>
      <c r="UD78" s="11">
        <v>828613</v>
      </c>
      <c r="UE78" s="11">
        <v>415310.33</v>
      </c>
      <c r="UF78" s="11">
        <v>5932144.3499999996</v>
      </c>
      <c r="UG78" s="11">
        <v>353618.52</v>
      </c>
      <c r="UH78" s="11">
        <v>985027.86</v>
      </c>
      <c r="UI78" s="11">
        <v>678871</v>
      </c>
      <c r="UJ78" s="11">
        <v>404313</v>
      </c>
      <c r="UK78" s="11">
        <v>3560130.97</v>
      </c>
      <c r="UL78" s="11">
        <v>3010492.4</v>
      </c>
      <c r="UM78" s="11">
        <v>501479</v>
      </c>
      <c r="UN78" s="11">
        <v>1579419</v>
      </c>
      <c r="UO78" s="11">
        <v>1416408.2</v>
      </c>
      <c r="UP78" s="11">
        <v>1179190.3700000001</v>
      </c>
      <c r="UQ78" s="11">
        <v>12962187.220000001</v>
      </c>
      <c r="UR78" s="11">
        <v>2142594.77</v>
      </c>
      <c r="US78" s="11">
        <v>411000</v>
      </c>
      <c r="UT78" s="11">
        <v>4364127.1399999997</v>
      </c>
      <c r="UU78" s="11">
        <v>341815.13</v>
      </c>
      <c r="UV78" s="11">
        <v>647374.93000000005</v>
      </c>
      <c r="UW78" s="11">
        <v>2195221</v>
      </c>
      <c r="UX78" s="11">
        <v>292693.09999999998</v>
      </c>
      <c r="UY78" s="11">
        <v>314055.90000000002</v>
      </c>
      <c r="UZ78" s="11">
        <v>370587.3</v>
      </c>
      <c r="VA78" s="11">
        <v>1353717</v>
      </c>
      <c r="VB78" s="11">
        <v>3481925</v>
      </c>
      <c r="VC78" s="11">
        <v>606734.35</v>
      </c>
      <c r="VD78" s="11">
        <v>449437.73</v>
      </c>
      <c r="VE78" s="11">
        <v>907140.8</v>
      </c>
      <c r="VF78" s="11">
        <v>682809.38</v>
      </c>
      <c r="VG78" s="11">
        <v>223062.65</v>
      </c>
      <c r="VH78" s="11">
        <v>1030121.19</v>
      </c>
      <c r="VI78" s="11">
        <v>2843988.08</v>
      </c>
      <c r="VJ78" s="11">
        <v>339350</v>
      </c>
      <c r="VK78" s="11">
        <v>392684.1</v>
      </c>
      <c r="VL78" s="11">
        <v>0</v>
      </c>
      <c r="VM78" s="11">
        <v>11519076.630000001</v>
      </c>
      <c r="VN78" s="11">
        <v>1419682.53</v>
      </c>
      <c r="VO78" s="11">
        <v>2671525.4</v>
      </c>
      <c r="VP78" s="11">
        <v>358588.42</v>
      </c>
      <c r="VQ78" s="11">
        <v>1331025.8600000001</v>
      </c>
      <c r="VR78" s="11">
        <v>645822.39</v>
      </c>
      <c r="VS78" s="11">
        <v>1390659.49</v>
      </c>
      <c r="VT78" s="11">
        <v>700536.78</v>
      </c>
      <c r="VU78" s="11">
        <v>1413511.03</v>
      </c>
      <c r="VV78" s="11">
        <v>2793388.08</v>
      </c>
      <c r="VW78" s="11"/>
      <c r="VX78" s="11">
        <v>3241703.41</v>
      </c>
      <c r="VY78" s="11">
        <v>2753898.31</v>
      </c>
      <c r="VZ78" s="11">
        <v>124814.5</v>
      </c>
      <c r="WA78" s="11">
        <v>115746.58</v>
      </c>
      <c r="WB78" s="11">
        <v>4984678.25</v>
      </c>
      <c r="WC78" s="11">
        <v>980318.04</v>
      </c>
      <c r="WD78" s="11">
        <v>818894.11</v>
      </c>
      <c r="WE78" s="11">
        <v>363598.75</v>
      </c>
      <c r="WF78" s="11">
        <v>888085.82</v>
      </c>
      <c r="WG78" s="11">
        <v>813720.28</v>
      </c>
      <c r="WH78" s="11">
        <v>1930051.2</v>
      </c>
      <c r="WI78" s="11">
        <v>1751971.49</v>
      </c>
      <c r="WJ78" s="11">
        <v>149138.25</v>
      </c>
      <c r="WK78" s="11">
        <v>1267949</v>
      </c>
      <c r="WL78" s="11">
        <v>640372.09</v>
      </c>
      <c r="WM78" s="11">
        <v>2208816.94</v>
      </c>
      <c r="WN78" s="11">
        <v>15173</v>
      </c>
      <c r="WO78" s="11">
        <v>1657985.06</v>
      </c>
      <c r="WP78" s="11">
        <v>2456570.9500000002</v>
      </c>
      <c r="WQ78" s="11">
        <v>721487.78</v>
      </c>
      <c r="WR78" s="11">
        <v>784584.33</v>
      </c>
      <c r="WS78" s="11">
        <v>2104355.0499999998</v>
      </c>
      <c r="WT78" s="11">
        <v>98351.25</v>
      </c>
      <c r="WU78" s="11">
        <v>2046906.86</v>
      </c>
      <c r="WV78" s="11">
        <v>2119448.31</v>
      </c>
      <c r="WW78" s="11">
        <v>1586079.05</v>
      </c>
      <c r="WX78" s="11">
        <v>1098656</v>
      </c>
      <c r="WY78" s="11">
        <v>1193880.49</v>
      </c>
      <c r="WZ78" s="11">
        <v>1712510.64</v>
      </c>
      <c r="XA78" s="11">
        <v>990634.7</v>
      </c>
      <c r="XB78" s="11">
        <v>58752</v>
      </c>
      <c r="XC78" s="11">
        <v>987068.93</v>
      </c>
      <c r="XD78" s="11">
        <v>3559220.7</v>
      </c>
      <c r="XE78" s="11">
        <v>467321.3</v>
      </c>
      <c r="XF78" s="11">
        <v>526813.74</v>
      </c>
      <c r="XG78" s="11">
        <v>424445</v>
      </c>
      <c r="XH78" s="11">
        <v>1375854.11</v>
      </c>
      <c r="XI78" s="11">
        <v>7377344.5999999996</v>
      </c>
      <c r="XJ78" s="11">
        <v>2387413.7999999998</v>
      </c>
      <c r="XK78" s="11">
        <v>735717.04</v>
      </c>
      <c r="XL78" s="11">
        <v>6855192.04</v>
      </c>
      <c r="XM78" s="11">
        <v>930694.49</v>
      </c>
      <c r="XN78" s="11">
        <v>495613.1</v>
      </c>
      <c r="XO78" s="11">
        <v>4772111.99</v>
      </c>
      <c r="XP78" s="11">
        <v>868792.19</v>
      </c>
      <c r="XQ78" s="11">
        <v>808821.24</v>
      </c>
      <c r="XR78" s="11">
        <v>1672434.76</v>
      </c>
      <c r="XS78" s="11">
        <v>1004190.39</v>
      </c>
      <c r="XT78" s="11">
        <v>1024923.26</v>
      </c>
      <c r="XU78" s="11">
        <v>1464016.2</v>
      </c>
      <c r="XV78" s="11">
        <v>581173</v>
      </c>
      <c r="XW78" s="11">
        <v>681838.8</v>
      </c>
      <c r="XX78" s="11">
        <v>1124502.5900000001</v>
      </c>
      <c r="XY78" s="11">
        <v>551981.22</v>
      </c>
      <c r="XZ78" s="11">
        <v>511298.57</v>
      </c>
      <c r="YA78" s="11">
        <v>583025.64</v>
      </c>
      <c r="YB78" s="11">
        <v>121631.34</v>
      </c>
      <c r="YC78" s="11">
        <v>109320.96000000001</v>
      </c>
      <c r="YD78" s="11">
        <v>335535.67</v>
      </c>
      <c r="YE78" s="11">
        <v>201674</v>
      </c>
      <c r="YF78" s="11">
        <v>202852.6</v>
      </c>
      <c r="YG78" s="11">
        <v>1076297.49</v>
      </c>
      <c r="YH78" s="11">
        <v>1840679.44</v>
      </c>
      <c r="YI78" s="11">
        <v>646023.17000000004</v>
      </c>
      <c r="YJ78" s="11">
        <v>1249717.22</v>
      </c>
      <c r="YK78" s="11">
        <v>1362742.6</v>
      </c>
      <c r="YL78" s="11">
        <v>2242152.2999999998</v>
      </c>
      <c r="YM78" s="11">
        <v>732540.42</v>
      </c>
      <c r="YN78" s="11">
        <v>1305369</v>
      </c>
      <c r="YO78" s="11">
        <v>6615578</v>
      </c>
      <c r="YP78" s="11">
        <v>1513839.73</v>
      </c>
      <c r="YQ78" s="11">
        <v>210597</v>
      </c>
      <c r="YR78" s="11">
        <v>1485984.66</v>
      </c>
      <c r="YS78" s="11">
        <v>1081270.6000000001</v>
      </c>
      <c r="YT78" s="11">
        <v>542053</v>
      </c>
      <c r="YU78" s="11">
        <v>1476474.68</v>
      </c>
      <c r="YV78" s="11">
        <v>140425</v>
      </c>
      <c r="YW78" s="11">
        <v>7158383.9500000002</v>
      </c>
      <c r="YX78" s="11">
        <v>580761.94999999995</v>
      </c>
      <c r="YY78" s="11">
        <v>175843</v>
      </c>
      <c r="YZ78" s="11">
        <v>460870</v>
      </c>
      <c r="ZA78" s="11">
        <v>782534</v>
      </c>
      <c r="ZB78" s="11">
        <v>146326.20000000001</v>
      </c>
      <c r="ZC78" s="11">
        <v>250530.5</v>
      </c>
      <c r="ZD78" s="11">
        <v>2645239.11</v>
      </c>
      <c r="ZE78" s="11">
        <v>167759</v>
      </c>
      <c r="ZF78" s="11">
        <v>1647056</v>
      </c>
      <c r="ZG78" s="11">
        <v>917966.9</v>
      </c>
      <c r="ZH78" s="11">
        <v>648566.05000000005</v>
      </c>
      <c r="ZI78" s="11">
        <v>321187.89</v>
      </c>
      <c r="ZJ78" s="11">
        <v>503720.69</v>
      </c>
      <c r="ZK78" s="11">
        <v>454208</v>
      </c>
      <c r="ZL78" s="11">
        <v>4097585</v>
      </c>
      <c r="ZM78" s="11">
        <v>21661864.129999999</v>
      </c>
      <c r="ZN78" s="11">
        <v>340106</v>
      </c>
      <c r="ZO78" s="11">
        <v>624453.32999999996</v>
      </c>
      <c r="ZP78" s="11">
        <v>3252937.4</v>
      </c>
      <c r="ZQ78" s="11">
        <v>3150723.8</v>
      </c>
      <c r="ZR78" s="11">
        <v>455423.147</v>
      </c>
      <c r="ZS78" s="11">
        <v>476868.5</v>
      </c>
      <c r="ZT78" s="11">
        <v>3625225.48</v>
      </c>
      <c r="ZU78" s="11">
        <v>1745836.74</v>
      </c>
      <c r="ZV78" s="11">
        <v>1909744.75</v>
      </c>
      <c r="ZW78" s="11">
        <v>477162.42</v>
      </c>
      <c r="ZX78" s="11">
        <v>1061074.6000000001</v>
      </c>
      <c r="ZY78" s="11">
        <v>733197</v>
      </c>
      <c r="ZZ78" s="11">
        <v>1450125.32</v>
      </c>
      <c r="AAA78" s="11">
        <v>635105.94999999995</v>
      </c>
      <c r="AAB78" s="11">
        <v>887196.59</v>
      </c>
      <c r="AAC78" s="11">
        <v>952517.5</v>
      </c>
      <c r="AAD78" s="11">
        <v>594254.68000000005</v>
      </c>
      <c r="AAE78" s="11">
        <v>1230795.8</v>
      </c>
      <c r="AAF78" s="11">
        <v>855712.35</v>
      </c>
      <c r="AAG78" s="11">
        <v>145655.94</v>
      </c>
      <c r="AAH78" s="11">
        <v>643014</v>
      </c>
      <c r="AAI78" s="11">
        <v>2475502.4</v>
      </c>
      <c r="AAJ78" s="11">
        <v>1246967.3999999999</v>
      </c>
      <c r="AAK78" s="11">
        <v>758294</v>
      </c>
      <c r="AAL78" s="11">
        <v>593879</v>
      </c>
      <c r="AAM78" s="11">
        <v>201507.53</v>
      </c>
      <c r="AAN78" s="11">
        <v>2044645.1</v>
      </c>
      <c r="AAO78" s="11">
        <v>491872.6</v>
      </c>
      <c r="AAP78" s="11">
        <v>28401281.699999999</v>
      </c>
      <c r="AAQ78" s="11">
        <v>686229.5</v>
      </c>
      <c r="AAR78" s="11">
        <v>944261.34</v>
      </c>
      <c r="AAS78" s="11">
        <v>1947877</v>
      </c>
      <c r="AAT78" s="11">
        <v>648110.69999999995</v>
      </c>
      <c r="AAU78" s="11">
        <v>28510</v>
      </c>
      <c r="AAV78" s="11">
        <v>935445.6</v>
      </c>
      <c r="AAW78" s="11">
        <v>471065.04</v>
      </c>
      <c r="AAX78" s="11">
        <v>5079434.3</v>
      </c>
      <c r="AAY78" s="11">
        <v>437016</v>
      </c>
      <c r="AAZ78" s="11">
        <v>1149305.1000000001</v>
      </c>
      <c r="ABA78" s="11">
        <v>2619598.5</v>
      </c>
      <c r="ABB78" s="11">
        <v>1602011.99</v>
      </c>
      <c r="ABC78" s="11">
        <v>424293</v>
      </c>
      <c r="ABD78" s="11">
        <v>805558</v>
      </c>
      <c r="ABE78" s="11">
        <v>346428.76</v>
      </c>
      <c r="ABF78" s="11">
        <v>305826.40000000002</v>
      </c>
      <c r="ABG78" s="11">
        <v>446108.6</v>
      </c>
      <c r="ABH78" s="11">
        <v>949287.4</v>
      </c>
      <c r="ABI78" s="11">
        <v>2945440.78</v>
      </c>
      <c r="ABJ78" s="11">
        <v>2819320.83</v>
      </c>
      <c r="ABK78" s="11">
        <v>645920</v>
      </c>
      <c r="ABL78" s="11">
        <v>317037.31</v>
      </c>
      <c r="ABM78" s="11">
        <v>250154.4</v>
      </c>
      <c r="ABN78" s="11">
        <v>296567</v>
      </c>
      <c r="ABO78" s="11">
        <v>164283</v>
      </c>
      <c r="ABP78" s="11">
        <v>7481406.7000000002</v>
      </c>
      <c r="ABQ78" s="11">
        <v>441882</v>
      </c>
      <c r="ABR78" s="11">
        <v>665736</v>
      </c>
      <c r="ABS78" s="11">
        <v>1519856.86</v>
      </c>
      <c r="ABT78" s="11">
        <v>881835.48</v>
      </c>
      <c r="ABU78" s="11">
        <v>337927</v>
      </c>
      <c r="ABV78" s="11">
        <v>363483.06</v>
      </c>
      <c r="ABW78" s="11">
        <v>799628.9</v>
      </c>
      <c r="ABX78" s="11">
        <v>21616</v>
      </c>
      <c r="ABY78" s="11">
        <v>1248795.75</v>
      </c>
      <c r="ABZ78" s="11"/>
      <c r="ACA78" s="11">
        <v>212364.64</v>
      </c>
      <c r="ACB78" s="11">
        <v>476915.48</v>
      </c>
      <c r="ACC78" s="11">
        <v>782613.6</v>
      </c>
      <c r="ACD78" s="11">
        <v>4201142.1900000004</v>
      </c>
      <c r="ACE78" s="11">
        <v>19623.240000000002</v>
      </c>
      <c r="ACF78" s="11">
        <v>188693.8</v>
      </c>
      <c r="ACG78" s="11">
        <v>313389</v>
      </c>
      <c r="ACH78" s="11">
        <v>452209.6</v>
      </c>
      <c r="ACI78" s="11">
        <v>342850.87</v>
      </c>
      <c r="ACJ78" s="11">
        <v>23404910.219999999</v>
      </c>
      <c r="ACK78" s="11">
        <v>557213</v>
      </c>
      <c r="ACL78" s="11">
        <v>1340986.3999999999</v>
      </c>
      <c r="ACM78" s="11">
        <v>734360.3</v>
      </c>
      <c r="ACN78" s="11">
        <v>225082</v>
      </c>
      <c r="ACO78" s="11">
        <v>890292.6</v>
      </c>
      <c r="ACP78" s="11">
        <v>275408.45</v>
      </c>
      <c r="ACQ78" s="11">
        <v>6135331.6299999999</v>
      </c>
      <c r="ACR78" s="11">
        <v>542264.29</v>
      </c>
      <c r="ACS78" s="11">
        <v>1123762.8999999999</v>
      </c>
      <c r="ACT78" s="11">
        <v>768736</v>
      </c>
      <c r="ACU78" s="11">
        <v>551982.6</v>
      </c>
      <c r="ACV78" s="11">
        <v>354029.4</v>
      </c>
      <c r="ACW78" s="11">
        <v>2652484.15</v>
      </c>
      <c r="ACX78" s="11">
        <v>218290</v>
      </c>
      <c r="ACY78" s="11">
        <v>302913.96000000002</v>
      </c>
      <c r="ACZ78" s="11">
        <v>274808.19</v>
      </c>
      <c r="ADA78" s="11">
        <v>855363</v>
      </c>
      <c r="ADB78" s="11">
        <v>721205</v>
      </c>
      <c r="ADC78" s="11">
        <v>140650.01</v>
      </c>
      <c r="ADD78" s="11">
        <v>570714</v>
      </c>
      <c r="ADE78" s="11">
        <v>341156.1</v>
      </c>
      <c r="ADF78" s="11">
        <v>89168</v>
      </c>
      <c r="ADG78" s="11">
        <v>3440103.69</v>
      </c>
      <c r="ADH78" s="11">
        <v>423690.03</v>
      </c>
      <c r="ADI78" s="11">
        <v>55400</v>
      </c>
      <c r="ADJ78" s="11">
        <v>189218.96</v>
      </c>
      <c r="ADK78" s="11">
        <v>39187.199999999997</v>
      </c>
      <c r="ADL78" s="11">
        <v>329690.58</v>
      </c>
      <c r="ADM78" s="11">
        <v>286226.7</v>
      </c>
      <c r="ADN78" s="11">
        <v>540509.78</v>
      </c>
      <c r="ADO78" s="11">
        <v>549787.43999999994</v>
      </c>
      <c r="ADP78" s="11">
        <v>12200526.779999999</v>
      </c>
      <c r="ADQ78" s="11">
        <v>607869.34</v>
      </c>
      <c r="ADR78" s="11">
        <v>301891.42</v>
      </c>
      <c r="ADS78" s="11">
        <v>640489.07999999996</v>
      </c>
      <c r="ADT78" s="11">
        <v>9093740.3800000008</v>
      </c>
      <c r="ADU78" s="11">
        <v>165192</v>
      </c>
      <c r="ADV78" s="11">
        <v>952239.87</v>
      </c>
      <c r="ADW78" s="11">
        <v>2638669.23</v>
      </c>
      <c r="ADX78" s="11">
        <v>0</v>
      </c>
      <c r="ADY78" s="11">
        <v>1309478.01</v>
      </c>
      <c r="ADZ78" s="11">
        <v>20776981.079999998</v>
      </c>
      <c r="AEA78" s="11">
        <v>7546276.8399999999</v>
      </c>
      <c r="AEB78" s="11">
        <v>2437721.1</v>
      </c>
      <c r="AEC78" s="11">
        <v>75488.27</v>
      </c>
      <c r="AED78" s="11">
        <v>586147.32999999996</v>
      </c>
      <c r="AEE78" s="11">
        <v>854529.02</v>
      </c>
      <c r="AEF78" s="11">
        <v>631926.41</v>
      </c>
      <c r="AEG78" s="11">
        <v>318857.86</v>
      </c>
      <c r="AEH78" s="11">
        <v>425375.32</v>
      </c>
      <c r="AEI78" s="11">
        <v>35674</v>
      </c>
      <c r="AEJ78" s="11">
        <v>1219499.74</v>
      </c>
      <c r="AEK78" s="11">
        <v>1154806.72</v>
      </c>
      <c r="AEL78" s="11">
        <v>553950.80000000005</v>
      </c>
      <c r="AEM78" s="11">
        <v>1287491.6000000001</v>
      </c>
      <c r="AEN78" s="11">
        <v>1510102.32</v>
      </c>
      <c r="AEO78" s="11">
        <v>1152614.3899999999</v>
      </c>
      <c r="AEP78" s="11">
        <v>60290</v>
      </c>
      <c r="AEQ78" s="11">
        <v>733794.33</v>
      </c>
      <c r="AER78" s="11">
        <v>84890.9</v>
      </c>
      <c r="AES78" s="11">
        <v>638223.71</v>
      </c>
      <c r="AET78" s="11">
        <v>1895544.83</v>
      </c>
      <c r="AEU78" s="11">
        <v>1002317.44</v>
      </c>
      <c r="AEV78" s="11">
        <v>515651</v>
      </c>
      <c r="AEW78" s="11">
        <v>1766394.78</v>
      </c>
      <c r="AEX78" s="11">
        <v>215659</v>
      </c>
      <c r="AEY78" s="11">
        <v>3415836.96</v>
      </c>
      <c r="AEZ78" s="11">
        <v>1661951</v>
      </c>
      <c r="AFA78" s="11">
        <v>729648.25</v>
      </c>
      <c r="AFB78" s="11">
        <v>820856</v>
      </c>
      <c r="AFC78" s="11">
        <v>1201378.5</v>
      </c>
      <c r="AFD78" s="11">
        <v>2982683.5</v>
      </c>
      <c r="AFE78" s="11">
        <v>207440.19</v>
      </c>
      <c r="AFF78" s="11">
        <v>164227</v>
      </c>
      <c r="AFG78" s="11">
        <v>830967.03</v>
      </c>
      <c r="AFH78" s="11">
        <v>1756216.06</v>
      </c>
      <c r="AFI78" s="11">
        <v>3006042.92</v>
      </c>
      <c r="AFJ78" s="11">
        <v>1315825.3999999999</v>
      </c>
      <c r="AFK78" s="11">
        <v>870110.4</v>
      </c>
      <c r="AFL78" s="11">
        <v>927376.88</v>
      </c>
      <c r="AFM78" s="11">
        <v>900389.21</v>
      </c>
      <c r="AFN78" s="11">
        <v>874744.25</v>
      </c>
      <c r="AFO78" s="11">
        <v>1032515.54</v>
      </c>
      <c r="AFP78" s="11">
        <v>550586.9</v>
      </c>
      <c r="AFQ78" s="11">
        <v>9644857.9100000001</v>
      </c>
      <c r="AFR78" s="11">
        <v>4448489.26</v>
      </c>
      <c r="AFS78" s="11">
        <v>2178851.7999999998</v>
      </c>
      <c r="AFT78" s="11">
        <v>1678460.22</v>
      </c>
      <c r="AFU78" s="11">
        <v>1027659.45</v>
      </c>
      <c r="AFV78" s="11">
        <v>1254875.8999999999</v>
      </c>
      <c r="AFW78" s="11">
        <v>1013156.7</v>
      </c>
      <c r="AFX78" s="11">
        <v>2113257.3199999998</v>
      </c>
      <c r="AFY78" s="11">
        <v>581346.9</v>
      </c>
      <c r="AFZ78" s="11">
        <v>562330.91</v>
      </c>
      <c r="AGA78" s="11">
        <v>2135565.67</v>
      </c>
      <c r="AGB78" s="11">
        <v>564154.96</v>
      </c>
      <c r="AGC78" s="11">
        <v>684300.92</v>
      </c>
      <c r="AGD78" s="11">
        <v>241902</v>
      </c>
      <c r="AGE78" s="11">
        <v>433311</v>
      </c>
      <c r="AGF78" s="11">
        <v>290308.59999999998</v>
      </c>
      <c r="AGG78" s="11">
        <v>432223.78</v>
      </c>
      <c r="AGH78" s="11">
        <v>795585</v>
      </c>
      <c r="AGI78" s="11">
        <v>123694.68</v>
      </c>
      <c r="AGJ78" s="11">
        <v>430501.79</v>
      </c>
      <c r="AGK78" s="11">
        <v>879832.25</v>
      </c>
      <c r="AGL78" s="11">
        <v>700849.18</v>
      </c>
      <c r="AGM78" s="11">
        <v>719819.4</v>
      </c>
      <c r="AGN78" s="11">
        <v>5525702.8600000003</v>
      </c>
      <c r="AGO78" s="11">
        <v>1589212.8</v>
      </c>
      <c r="AGP78" s="11">
        <v>239540</v>
      </c>
      <c r="AGQ78" s="11">
        <v>416362.12</v>
      </c>
      <c r="AGR78" s="11">
        <v>1081999.71</v>
      </c>
      <c r="AGS78" s="11">
        <v>841025.82</v>
      </c>
      <c r="AGT78" s="11">
        <v>637846.56999999995</v>
      </c>
      <c r="AGU78" s="11">
        <v>683490.8</v>
      </c>
      <c r="AGV78" s="11">
        <v>0</v>
      </c>
      <c r="AGW78" s="11"/>
      <c r="AGX78" s="11">
        <v>533252.24</v>
      </c>
      <c r="AGY78" s="11">
        <v>934745.96</v>
      </c>
      <c r="AGZ78" s="11">
        <v>929097.78</v>
      </c>
      <c r="AHA78" s="11">
        <v>518445.07</v>
      </c>
      <c r="AHB78" s="11">
        <v>237711</v>
      </c>
      <c r="AHC78" s="11">
        <v>352196.31</v>
      </c>
      <c r="AHD78" s="11">
        <v>179741.8</v>
      </c>
      <c r="AHE78" s="11">
        <v>1106358.8999999999</v>
      </c>
      <c r="AHF78" s="11">
        <v>1281043</v>
      </c>
      <c r="AHG78" s="11">
        <v>575352.79</v>
      </c>
      <c r="AHH78" s="11">
        <v>266789.13</v>
      </c>
      <c r="AHI78" s="11">
        <v>343960.88</v>
      </c>
      <c r="AHJ78" s="11">
        <v>436148.47999999998</v>
      </c>
      <c r="AHK78" s="11">
        <v>136849.5</v>
      </c>
      <c r="AHL78" s="11">
        <v>740423.87</v>
      </c>
      <c r="AHM78" s="11">
        <v>409171.52</v>
      </c>
      <c r="AHN78" s="11">
        <v>215595.2</v>
      </c>
      <c r="AHO78" s="11">
        <v>1524236.15</v>
      </c>
      <c r="AHP78" s="11">
        <v>475576.57</v>
      </c>
      <c r="AHQ78" s="11">
        <v>585209.67000000004</v>
      </c>
      <c r="AHR78" s="11">
        <v>582655.68000000005</v>
      </c>
      <c r="AHS78" s="11">
        <v>1080935.8600000001</v>
      </c>
      <c r="AHT78" s="11">
        <v>1182060633.9471009</v>
      </c>
      <c r="AHV78" s="269" t="s">
        <v>6278</v>
      </c>
      <c r="AHW78" s="269" t="s">
        <v>6097</v>
      </c>
      <c r="AHX78" s="269" t="s">
        <v>6098</v>
      </c>
    </row>
    <row r="79" spans="1:908" x14ac:dyDescent="0.7">
      <c r="A79" s="6" t="s">
        <v>6278</v>
      </c>
      <c r="B79" s="6" t="s">
        <v>6103</v>
      </c>
      <c r="C79" s="6" t="s">
        <v>6104</v>
      </c>
      <c r="D79" s="11">
        <v>631943</v>
      </c>
      <c r="E79" s="11">
        <v>325653.58</v>
      </c>
      <c r="F79" s="11">
        <v>842055.36</v>
      </c>
      <c r="G79" s="11">
        <v>268083.89</v>
      </c>
      <c r="H79" s="11">
        <v>5784841.96</v>
      </c>
      <c r="I79" s="11">
        <v>456814.22</v>
      </c>
      <c r="J79" s="11">
        <v>3239413.81</v>
      </c>
      <c r="K79" s="11">
        <v>321757.8</v>
      </c>
      <c r="L79" s="11">
        <v>578030.13</v>
      </c>
      <c r="M79" s="11">
        <v>33180</v>
      </c>
      <c r="N79" s="11">
        <v>335821.1</v>
      </c>
      <c r="O79" s="11">
        <v>568659.21</v>
      </c>
      <c r="P79" s="11">
        <v>520032.09</v>
      </c>
      <c r="Q79" s="11">
        <v>1089874.3799999999</v>
      </c>
      <c r="R79" s="11">
        <v>143787</v>
      </c>
      <c r="S79" s="11">
        <v>1115213</v>
      </c>
      <c r="T79" s="11">
        <v>255572</v>
      </c>
      <c r="U79" s="11">
        <v>496269.7</v>
      </c>
      <c r="V79" s="11">
        <v>16209368.939999999</v>
      </c>
      <c r="W79" s="11">
        <v>4368843.6399999997</v>
      </c>
      <c r="X79" s="11">
        <v>654657</v>
      </c>
      <c r="Y79" s="11">
        <v>722560.97</v>
      </c>
      <c r="Z79" s="11"/>
      <c r="AA79" s="11">
        <v>423217.14</v>
      </c>
      <c r="AB79" s="11">
        <v>1192836.05</v>
      </c>
      <c r="AC79" s="11">
        <v>5389713.9100000001</v>
      </c>
      <c r="AD79" s="11">
        <v>1759497.13</v>
      </c>
      <c r="AE79" s="11"/>
      <c r="AF79" s="11">
        <v>2459045.7000000002</v>
      </c>
      <c r="AG79" s="11">
        <v>1754011.48</v>
      </c>
      <c r="AH79" s="11">
        <v>4082244.84</v>
      </c>
      <c r="AI79" s="11">
        <v>5704754.7599999998</v>
      </c>
      <c r="AJ79" s="11">
        <v>799780.44</v>
      </c>
      <c r="AK79" s="11">
        <v>229790.38</v>
      </c>
      <c r="AL79" s="11">
        <v>279225.89</v>
      </c>
      <c r="AM79" s="11">
        <v>58755</v>
      </c>
      <c r="AN79" s="11">
        <v>240540.43</v>
      </c>
      <c r="AO79" s="11">
        <v>599397.1</v>
      </c>
      <c r="AP79" s="11">
        <v>135902.39999999999</v>
      </c>
      <c r="AQ79" s="11">
        <v>243213.99</v>
      </c>
      <c r="AR79" s="11">
        <v>456862.1</v>
      </c>
      <c r="AS79" s="11">
        <v>615500.46</v>
      </c>
      <c r="AT79" s="11"/>
      <c r="AU79" s="11"/>
      <c r="AV79" s="11">
        <v>151051.85</v>
      </c>
      <c r="AW79" s="11">
        <v>844931.16</v>
      </c>
      <c r="AX79" s="11">
        <v>293937.42</v>
      </c>
      <c r="AY79" s="11">
        <v>203335.04000000001</v>
      </c>
      <c r="AZ79" s="11">
        <v>109094.3</v>
      </c>
      <c r="BA79" s="11">
        <v>128546.08</v>
      </c>
      <c r="BB79" s="11">
        <v>217450.5</v>
      </c>
      <c r="BC79" s="11">
        <v>704129.44</v>
      </c>
      <c r="BD79" s="11">
        <v>111009.28</v>
      </c>
      <c r="BE79" s="11">
        <v>408855</v>
      </c>
      <c r="BF79" s="11">
        <v>4026569.49</v>
      </c>
      <c r="BG79" s="11">
        <v>102690</v>
      </c>
      <c r="BH79" s="11">
        <v>110120</v>
      </c>
      <c r="BI79" s="11">
        <v>643622.24</v>
      </c>
      <c r="BJ79" s="11">
        <v>4999644.55</v>
      </c>
      <c r="BK79" s="11">
        <v>492973.46</v>
      </c>
      <c r="BL79" s="11">
        <v>73973.53</v>
      </c>
      <c r="BM79" s="11">
        <v>1240537</v>
      </c>
      <c r="BN79" s="11">
        <v>178336</v>
      </c>
      <c r="BO79" s="11">
        <v>383306.81</v>
      </c>
      <c r="BP79" s="11">
        <v>317052.31</v>
      </c>
      <c r="BQ79" s="11">
        <v>105093.54</v>
      </c>
      <c r="BR79" s="11"/>
      <c r="BS79" s="11">
        <v>991095.05</v>
      </c>
      <c r="BT79" s="11">
        <v>474791.27</v>
      </c>
      <c r="BU79" s="11">
        <v>1321062.19</v>
      </c>
      <c r="BV79" s="11">
        <v>273132.34999999998</v>
      </c>
      <c r="BW79" s="11">
        <v>600518.17000000004</v>
      </c>
      <c r="BX79" s="11"/>
      <c r="BY79" s="11">
        <v>157943</v>
      </c>
      <c r="BZ79" s="11">
        <v>8364436.3399999999</v>
      </c>
      <c r="CA79" s="11">
        <v>547028.55000000005</v>
      </c>
      <c r="CB79" s="11">
        <v>757403.48</v>
      </c>
      <c r="CC79" s="11">
        <v>529978.30000000005</v>
      </c>
      <c r="CD79" s="11">
        <v>591472.55000000005</v>
      </c>
      <c r="CE79" s="11">
        <v>580484.6</v>
      </c>
      <c r="CF79" s="11">
        <v>1192104.75</v>
      </c>
      <c r="CG79" s="11">
        <v>30207</v>
      </c>
      <c r="CH79" s="11">
        <v>868959.5</v>
      </c>
      <c r="CI79" s="11">
        <v>3151996.45</v>
      </c>
      <c r="CJ79" s="11">
        <v>296504.15999999997</v>
      </c>
      <c r="CK79" s="11">
        <v>1272556.1200000001</v>
      </c>
      <c r="CL79" s="11">
        <v>744853.95</v>
      </c>
      <c r="CM79" s="11">
        <v>289339.67</v>
      </c>
      <c r="CN79" s="11">
        <v>1125370.68</v>
      </c>
      <c r="CO79" s="11">
        <v>218509.65</v>
      </c>
      <c r="CP79" s="11">
        <v>435552.73</v>
      </c>
      <c r="CQ79" s="11">
        <v>379726.58</v>
      </c>
      <c r="CR79" s="11">
        <v>639174.81000000006</v>
      </c>
      <c r="CS79" s="11">
        <v>479428.69</v>
      </c>
      <c r="CT79" s="11">
        <v>1796898.59</v>
      </c>
      <c r="CU79" s="11">
        <v>320668.36</v>
      </c>
      <c r="CV79" s="11">
        <v>223062.39999999999</v>
      </c>
      <c r="CW79" s="11">
        <v>832261.17</v>
      </c>
      <c r="CX79" s="11">
        <v>534368.74</v>
      </c>
      <c r="CY79" s="11">
        <v>546030.04</v>
      </c>
      <c r="CZ79" s="11">
        <v>121607</v>
      </c>
      <c r="DA79" s="11">
        <v>507676.06</v>
      </c>
      <c r="DB79" s="11">
        <v>4678475.8600000003</v>
      </c>
      <c r="DC79" s="11">
        <v>7064910.9699999997</v>
      </c>
      <c r="DD79" s="11">
        <v>2770095.58</v>
      </c>
      <c r="DE79" s="11">
        <v>327235.09999999998</v>
      </c>
      <c r="DF79" s="11">
        <v>4805.8999999999996</v>
      </c>
      <c r="DG79" s="11">
        <v>713222.4</v>
      </c>
      <c r="DH79" s="11">
        <v>233945</v>
      </c>
      <c r="DI79" s="11">
        <v>14462</v>
      </c>
      <c r="DJ79" s="11">
        <v>966846.33</v>
      </c>
      <c r="DK79" s="11">
        <v>22947856.5</v>
      </c>
      <c r="DL79" s="11">
        <v>749061.77</v>
      </c>
      <c r="DM79" s="11">
        <v>267654.53999999998</v>
      </c>
      <c r="DN79" s="11">
        <v>637544.5</v>
      </c>
      <c r="DO79" s="11">
        <v>150000</v>
      </c>
      <c r="DP79" s="11">
        <v>253898.9</v>
      </c>
      <c r="DQ79" s="11">
        <v>1751512.45</v>
      </c>
      <c r="DR79" s="11">
        <v>1344443.15</v>
      </c>
      <c r="DS79" s="11">
        <v>1599102.04</v>
      </c>
      <c r="DT79" s="11">
        <v>8877563</v>
      </c>
      <c r="DU79" s="11">
        <v>111275.29</v>
      </c>
      <c r="DV79" s="11">
        <v>2013920.22</v>
      </c>
      <c r="DW79" s="11">
        <v>2603281.02</v>
      </c>
      <c r="DX79" s="11">
        <v>1216086.03</v>
      </c>
      <c r="DY79" s="11">
        <v>657408.48</v>
      </c>
      <c r="DZ79" s="11">
        <v>1402792.21</v>
      </c>
      <c r="EA79" s="11">
        <v>172475.19</v>
      </c>
      <c r="EB79" s="11">
        <v>625217.49</v>
      </c>
      <c r="EC79" s="11">
        <v>1137186.3500000001</v>
      </c>
      <c r="ED79" s="11">
        <v>1337292.25</v>
      </c>
      <c r="EE79" s="11">
        <v>5053916.4000000004</v>
      </c>
      <c r="EF79" s="11">
        <v>918829.51</v>
      </c>
      <c r="EG79" s="11">
        <v>163325.14000000001</v>
      </c>
      <c r="EH79" s="11">
        <v>919146.8</v>
      </c>
      <c r="EI79" s="11">
        <v>2283782.7000000002</v>
      </c>
      <c r="EJ79" s="11">
        <v>588926.13</v>
      </c>
      <c r="EK79" s="11">
        <v>772924.72</v>
      </c>
      <c r="EL79" s="11">
        <v>280190.62</v>
      </c>
      <c r="EM79" s="11">
        <v>554074.19999999995</v>
      </c>
      <c r="EN79" s="11">
        <v>116126.26</v>
      </c>
      <c r="EO79" s="11">
        <v>157512.1</v>
      </c>
      <c r="EP79" s="11">
        <v>553802.17000000004</v>
      </c>
      <c r="EQ79" s="11">
        <v>365481.65</v>
      </c>
      <c r="ER79" s="11">
        <v>631545.09</v>
      </c>
      <c r="ES79" s="11">
        <v>189174.17</v>
      </c>
      <c r="ET79" s="11">
        <v>383647.85</v>
      </c>
      <c r="EU79" s="11">
        <v>763912.58</v>
      </c>
      <c r="EV79" s="11">
        <v>671672.9</v>
      </c>
      <c r="EW79" s="11">
        <v>282812.99</v>
      </c>
      <c r="EX79" s="11">
        <v>257432.27</v>
      </c>
      <c r="EY79" s="11">
        <v>369364.28</v>
      </c>
      <c r="EZ79" s="11">
        <v>1055644</v>
      </c>
      <c r="FA79" s="11">
        <v>552828.63</v>
      </c>
      <c r="FB79" s="11">
        <v>798173.29</v>
      </c>
      <c r="FC79" s="11">
        <v>574806.4</v>
      </c>
      <c r="FD79" s="11">
        <v>221586.62</v>
      </c>
      <c r="FE79" s="11">
        <v>267250.33</v>
      </c>
      <c r="FF79" s="11">
        <v>454743.71</v>
      </c>
      <c r="FG79" s="11">
        <v>278238.78000000003</v>
      </c>
      <c r="FH79" s="11">
        <v>130357.37</v>
      </c>
      <c r="FI79" s="11">
        <v>53191.95</v>
      </c>
      <c r="FJ79" s="11">
        <v>11942.06</v>
      </c>
      <c r="FK79" s="11">
        <v>23885</v>
      </c>
      <c r="FL79" s="11">
        <v>47367.4</v>
      </c>
      <c r="FM79" s="11">
        <v>2745408.38</v>
      </c>
      <c r="FN79" s="11">
        <v>428900.06</v>
      </c>
      <c r="FO79" s="11">
        <v>264534.28999999998</v>
      </c>
      <c r="FP79" s="11">
        <v>120006</v>
      </c>
      <c r="FQ79" s="11">
        <v>10510287.359999999</v>
      </c>
      <c r="FR79" s="11">
        <v>2036550.34</v>
      </c>
      <c r="FS79" s="11">
        <v>640610.47</v>
      </c>
      <c r="FT79" s="11">
        <v>1291288.73</v>
      </c>
      <c r="FU79" s="11">
        <v>1413605.02</v>
      </c>
      <c r="FV79" s="11">
        <v>1695148.14</v>
      </c>
      <c r="FW79" s="11">
        <v>1219751.79</v>
      </c>
      <c r="FX79" s="11">
        <v>235144.15</v>
      </c>
      <c r="FY79" s="11">
        <v>843061.35</v>
      </c>
      <c r="FZ79" s="11">
        <v>756104.16</v>
      </c>
      <c r="GA79" s="11">
        <v>745401.45</v>
      </c>
      <c r="GB79" s="11">
        <v>353315.98</v>
      </c>
      <c r="GC79" s="11">
        <v>538580.47999999998</v>
      </c>
      <c r="GD79" s="11">
        <v>181994.2</v>
      </c>
      <c r="GE79" s="11">
        <v>177006.94</v>
      </c>
      <c r="GF79" s="11">
        <v>853895.69</v>
      </c>
      <c r="GG79" s="11">
        <v>54140.2</v>
      </c>
      <c r="GH79" s="11">
        <v>3945242.65</v>
      </c>
      <c r="GI79" s="11">
        <v>691509.45</v>
      </c>
      <c r="GJ79" s="11">
        <v>139347.01</v>
      </c>
      <c r="GK79" s="11">
        <v>155200.4</v>
      </c>
      <c r="GL79" s="11">
        <v>1078768.1000000001</v>
      </c>
      <c r="GM79" s="11">
        <v>719068.18</v>
      </c>
      <c r="GN79" s="11">
        <v>226028.45</v>
      </c>
      <c r="GO79" s="11">
        <v>136413.31</v>
      </c>
      <c r="GP79" s="11">
        <v>166402.43</v>
      </c>
      <c r="GQ79" s="11">
        <v>3245807.81</v>
      </c>
      <c r="GR79" s="11">
        <v>238383.45</v>
      </c>
      <c r="GS79" s="11">
        <v>354368.68</v>
      </c>
      <c r="GT79" s="11">
        <v>155274.71</v>
      </c>
      <c r="GU79" s="11">
        <v>99708.5</v>
      </c>
      <c r="GV79" s="11">
        <v>1033761.67</v>
      </c>
      <c r="GW79" s="11">
        <v>991659.01</v>
      </c>
      <c r="GX79" s="11">
        <v>452779.75</v>
      </c>
      <c r="GY79" s="11">
        <v>7216042.4400000004</v>
      </c>
      <c r="GZ79" s="11">
        <v>623496.41</v>
      </c>
      <c r="HA79" s="11">
        <v>1139587.8899999999</v>
      </c>
      <c r="HB79" s="11">
        <v>970029</v>
      </c>
      <c r="HC79" s="11">
        <v>1225200.3700000001</v>
      </c>
      <c r="HD79" s="11">
        <v>125533901.90000001</v>
      </c>
      <c r="HE79" s="11">
        <v>4259200.9000000004</v>
      </c>
      <c r="HF79" s="11">
        <v>4134916.76</v>
      </c>
      <c r="HG79" s="11">
        <v>697320.99</v>
      </c>
      <c r="HH79" s="11">
        <v>2491619.65</v>
      </c>
      <c r="HI79" s="11">
        <v>802601.7</v>
      </c>
      <c r="HJ79" s="11">
        <v>397055.23</v>
      </c>
      <c r="HK79" s="11">
        <v>8305027.9900000002</v>
      </c>
      <c r="HL79" s="11">
        <v>126956</v>
      </c>
      <c r="HM79" s="11">
        <v>6996054.5899999999</v>
      </c>
      <c r="HN79" s="11">
        <v>2515950.61</v>
      </c>
      <c r="HO79" s="11">
        <v>2931077.14</v>
      </c>
      <c r="HP79" s="11">
        <v>575805.75</v>
      </c>
      <c r="HQ79" s="11">
        <v>2462049.0699999998</v>
      </c>
      <c r="HR79" s="11">
        <v>1823868.77</v>
      </c>
      <c r="HS79" s="11">
        <v>516501</v>
      </c>
      <c r="HT79" s="11">
        <v>268264.5</v>
      </c>
      <c r="HU79" s="11">
        <v>245379</v>
      </c>
      <c r="HV79" s="11">
        <v>45478.400000000001</v>
      </c>
      <c r="HW79" s="11">
        <v>385114</v>
      </c>
      <c r="HX79" s="11">
        <v>166551.45000000001</v>
      </c>
      <c r="HY79" s="11">
        <v>1079578.81</v>
      </c>
      <c r="HZ79" s="11">
        <v>700433.19</v>
      </c>
      <c r="IA79" s="11">
        <v>1240740.82</v>
      </c>
      <c r="IB79" s="11">
        <v>466338.31</v>
      </c>
      <c r="IC79" s="11">
        <v>105988.13</v>
      </c>
      <c r="ID79" s="11">
        <v>1556242.54</v>
      </c>
      <c r="IE79" s="11">
        <v>321228.74</v>
      </c>
      <c r="IF79" s="11">
        <v>314242.8</v>
      </c>
      <c r="IG79" s="11">
        <v>154797.70000000001</v>
      </c>
      <c r="IH79" s="11">
        <v>295102.44</v>
      </c>
      <c r="II79" s="11">
        <v>723368</v>
      </c>
      <c r="IJ79" s="11">
        <v>48610</v>
      </c>
      <c r="IK79" s="11">
        <v>4150</v>
      </c>
      <c r="IL79" s="11">
        <v>1422942.48</v>
      </c>
      <c r="IM79" s="11">
        <v>1607430.16</v>
      </c>
      <c r="IN79" s="11">
        <v>1056680.42</v>
      </c>
      <c r="IO79" s="11">
        <v>157227.96</v>
      </c>
      <c r="IP79" s="11">
        <v>820268.97</v>
      </c>
      <c r="IQ79" s="11">
        <v>440338.97</v>
      </c>
      <c r="IR79" s="11">
        <v>409706.18</v>
      </c>
      <c r="IS79" s="11">
        <v>44162.98</v>
      </c>
      <c r="IT79" s="11">
        <v>23550137.48</v>
      </c>
      <c r="IU79" s="11">
        <v>467216.5</v>
      </c>
      <c r="IV79" s="11">
        <v>303056</v>
      </c>
      <c r="IW79" s="11">
        <v>804055.39</v>
      </c>
      <c r="IX79" s="11">
        <v>351175.83</v>
      </c>
      <c r="IY79" s="11">
        <v>15244.7</v>
      </c>
      <c r="IZ79" s="11">
        <v>786992.65</v>
      </c>
      <c r="JA79" s="11">
        <v>376765.35</v>
      </c>
      <c r="JB79" s="11">
        <v>462362.65</v>
      </c>
      <c r="JC79" s="11">
        <v>402877.4</v>
      </c>
      <c r="JD79" s="11">
        <v>410480.69</v>
      </c>
      <c r="JE79" s="11">
        <v>733180.99</v>
      </c>
      <c r="JF79" s="11">
        <v>565786.98</v>
      </c>
      <c r="JG79" s="11">
        <v>3334413.91</v>
      </c>
      <c r="JH79" s="11">
        <v>310046.18</v>
      </c>
      <c r="JI79" s="11">
        <v>622129.81999999995</v>
      </c>
      <c r="JJ79" s="11">
        <v>545718.76</v>
      </c>
      <c r="JK79" s="11">
        <v>27489.95</v>
      </c>
      <c r="JL79" s="11">
        <v>4180635.31</v>
      </c>
      <c r="JM79" s="11">
        <v>622345.26</v>
      </c>
      <c r="JN79" s="11">
        <v>707458.77</v>
      </c>
      <c r="JO79" s="11">
        <v>609101.80000000005</v>
      </c>
      <c r="JP79" s="11">
        <v>1148515.92</v>
      </c>
      <c r="JQ79" s="11">
        <v>1204310.1299999999</v>
      </c>
      <c r="JR79" s="11">
        <v>249813.1</v>
      </c>
      <c r="JS79" s="11">
        <v>1414375.55</v>
      </c>
      <c r="JT79" s="11">
        <v>0</v>
      </c>
      <c r="JU79" s="11">
        <v>1631849.76</v>
      </c>
      <c r="JV79" s="11">
        <v>238035</v>
      </c>
      <c r="JW79" s="11">
        <v>473700.83</v>
      </c>
      <c r="JX79" s="11">
        <v>122590.04</v>
      </c>
      <c r="JY79" s="11">
        <v>1513649.47</v>
      </c>
      <c r="JZ79" s="11">
        <v>829619.3</v>
      </c>
      <c r="KA79" s="11">
        <v>20591.900000000001</v>
      </c>
      <c r="KB79" s="11">
        <v>240428.71</v>
      </c>
      <c r="KC79" s="11">
        <v>167067</v>
      </c>
      <c r="KD79" s="11">
        <v>817947.89</v>
      </c>
      <c r="KE79" s="11">
        <v>105202.28</v>
      </c>
      <c r="KF79" s="11">
        <v>20172.34</v>
      </c>
      <c r="KG79" s="11">
        <v>434550.41</v>
      </c>
      <c r="KH79" s="11">
        <v>251800</v>
      </c>
      <c r="KI79" s="11">
        <v>31563894.120000001</v>
      </c>
      <c r="KJ79" s="11">
        <v>11480412.02</v>
      </c>
      <c r="KK79" s="11">
        <v>41041</v>
      </c>
      <c r="KL79" s="11">
        <v>511594.01</v>
      </c>
      <c r="KM79" s="11">
        <v>644418.5</v>
      </c>
      <c r="KN79" s="11">
        <v>1282847.69</v>
      </c>
      <c r="KO79" s="11">
        <v>1683888.19</v>
      </c>
      <c r="KP79" s="11">
        <v>1271318.1499999999</v>
      </c>
      <c r="KQ79" s="11">
        <v>146125.20000000001</v>
      </c>
      <c r="KR79" s="11">
        <v>9683725.9499999993</v>
      </c>
      <c r="KS79" s="11">
        <v>229354.98</v>
      </c>
      <c r="KT79" s="11">
        <v>594304.48</v>
      </c>
      <c r="KU79" s="11">
        <v>603492.93999999994</v>
      </c>
      <c r="KV79" s="11">
        <v>978340.36</v>
      </c>
      <c r="KW79" s="11">
        <v>868932.74</v>
      </c>
      <c r="KX79" s="11">
        <v>20793634.539999999</v>
      </c>
      <c r="KY79" s="11">
        <v>409327.35</v>
      </c>
      <c r="KZ79" s="11">
        <v>3344112.07</v>
      </c>
      <c r="LA79" s="11">
        <v>1453765.19</v>
      </c>
      <c r="LB79" s="11">
        <v>250526</v>
      </c>
      <c r="LC79" s="11">
        <v>1001672.41</v>
      </c>
      <c r="LD79" s="11">
        <v>950646.02</v>
      </c>
      <c r="LE79" s="11">
        <v>2304177.09</v>
      </c>
      <c r="LF79" s="11">
        <v>458915.06</v>
      </c>
      <c r="LG79" s="11">
        <v>4879566.8499999996</v>
      </c>
      <c r="LH79" s="11">
        <v>2586039.34</v>
      </c>
      <c r="LI79" s="11">
        <v>26800</v>
      </c>
      <c r="LJ79" s="11">
        <v>1271793.1299999999</v>
      </c>
      <c r="LK79" s="11">
        <v>2250328.62</v>
      </c>
      <c r="LL79" s="11">
        <v>926000.92</v>
      </c>
      <c r="LM79" s="11">
        <v>753862.87</v>
      </c>
      <c r="LN79" s="11">
        <v>101286.56</v>
      </c>
      <c r="LO79" s="11">
        <v>369434.33</v>
      </c>
      <c r="LP79" s="11">
        <v>-446013.14</v>
      </c>
      <c r="LQ79" s="11"/>
      <c r="LR79" s="11">
        <v>111765</v>
      </c>
      <c r="LS79" s="11">
        <v>1613535.35</v>
      </c>
      <c r="LT79" s="11"/>
      <c r="LU79" s="11">
        <v>877485.42</v>
      </c>
      <c r="LV79" s="11">
        <v>11318960.630000001</v>
      </c>
      <c r="LW79" s="11">
        <v>2190211.9700000002</v>
      </c>
      <c r="LX79" s="11">
        <v>2163709.87</v>
      </c>
      <c r="LY79" s="11"/>
      <c r="LZ79" s="11">
        <v>501202.6</v>
      </c>
      <c r="MA79" s="11">
        <v>6046934.2599999998</v>
      </c>
      <c r="MB79" s="11">
        <v>1717544.78</v>
      </c>
      <c r="MC79" s="11">
        <v>5414570.4400000004</v>
      </c>
      <c r="MD79" s="11">
        <v>364066.88</v>
      </c>
      <c r="ME79" s="11">
        <v>870386.7</v>
      </c>
      <c r="MF79" s="11">
        <v>1085587.31</v>
      </c>
      <c r="MG79" s="11">
        <v>132028.04</v>
      </c>
      <c r="MH79" s="11">
        <v>4093762.94</v>
      </c>
      <c r="MI79" s="11">
        <v>860326.68</v>
      </c>
      <c r="MJ79" s="11">
        <v>586335.51</v>
      </c>
      <c r="MK79" s="11">
        <v>314552.82</v>
      </c>
      <c r="ML79" s="11">
        <v>387983.63</v>
      </c>
      <c r="MM79" s="11">
        <v>539820.79</v>
      </c>
      <c r="MN79" s="11">
        <v>980539.92</v>
      </c>
      <c r="MO79" s="11">
        <v>171107.16</v>
      </c>
      <c r="MP79" s="11">
        <v>2527563.0299999998</v>
      </c>
      <c r="MQ79" s="11">
        <v>319574.7</v>
      </c>
      <c r="MR79" s="11">
        <v>1111568.3999999999</v>
      </c>
      <c r="MS79" s="11">
        <v>588642</v>
      </c>
      <c r="MT79" s="11">
        <v>1963982.48</v>
      </c>
      <c r="MU79" s="11">
        <v>1331147.77</v>
      </c>
      <c r="MV79" s="11">
        <v>135783</v>
      </c>
      <c r="MW79" s="11">
        <v>2047164.02</v>
      </c>
      <c r="MX79" s="11">
        <v>3342243.01</v>
      </c>
      <c r="MY79" s="11">
        <v>981088.44</v>
      </c>
      <c r="MZ79" s="11">
        <v>3495254.47</v>
      </c>
      <c r="NA79" s="11">
        <v>9197521.9199999999</v>
      </c>
      <c r="NB79" s="11">
        <v>6374614.9199999999</v>
      </c>
      <c r="NC79" s="11">
        <v>308948.53000000003</v>
      </c>
      <c r="ND79" s="11">
        <v>510749.22</v>
      </c>
      <c r="NE79" s="11">
        <v>4052534.85</v>
      </c>
      <c r="NF79" s="11">
        <v>2782250.57</v>
      </c>
      <c r="NG79" s="11">
        <v>1637866.37</v>
      </c>
      <c r="NH79" s="11">
        <v>26760647.870000001</v>
      </c>
      <c r="NI79" s="11">
        <v>6131504.3899999997</v>
      </c>
      <c r="NJ79" s="11">
        <v>1795619.05</v>
      </c>
      <c r="NK79" s="11">
        <v>2623691.5099999998</v>
      </c>
      <c r="NL79" s="11">
        <v>4743491.38</v>
      </c>
      <c r="NM79" s="11">
        <v>191979.79</v>
      </c>
      <c r="NN79" s="11">
        <v>2039914.1</v>
      </c>
      <c r="NO79" s="11">
        <v>901585.26</v>
      </c>
      <c r="NP79" s="11">
        <v>633863.68999999994</v>
      </c>
      <c r="NQ79" s="11">
        <v>2825129.4</v>
      </c>
      <c r="NR79" s="11">
        <v>243223.66</v>
      </c>
      <c r="NS79" s="11">
        <v>194925.12</v>
      </c>
      <c r="NT79" s="11">
        <v>229262.42</v>
      </c>
      <c r="NU79" s="11">
        <v>61559.8</v>
      </c>
      <c r="NV79" s="11">
        <v>220644.8</v>
      </c>
      <c r="NW79" s="11">
        <v>188999.04000000001</v>
      </c>
      <c r="NX79" s="11">
        <v>622674.96</v>
      </c>
      <c r="NY79" s="11">
        <v>31614836.98</v>
      </c>
      <c r="NZ79" s="11">
        <v>1469104.39</v>
      </c>
      <c r="OA79" s="11">
        <v>321098</v>
      </c>
      <c r="OB79" s="11">
        <v>52506.9</v>
      </c>
      <c r="OC79" s="11">
        <v>1307278.9099999999</v>
      </c>
      <c r="OD79" s="11">
        <v>831139.2</v>
      </c>
      <c r="OE79" s="11">
        <v>2012899.16</v>
      </c>
      <c r="OF79" s="11">
        <v>9123809.6199999992</v>
      </c>
      <c r="OG79" s="11">
        <v>918008.52</v>
      </c>
      <c r="OH79" s="11">
        <v>7549125.4400000004</v>
      </c>
      <c r="OI79" s="11">
        <v>675171.02</v>
      </c>
      <c r="OJ79" s="11">
        <v>318501.53999999998</v>
      </c>
      <c r="OK79" s="11">
        <v>3882326.89</v>
      </c>
      <c r="OL79" s="11">
        <v>342328.25</v>
      </c>
      <c r="OM79" s="11">
        <v>3059064.4</v>
      </c>
      <c r="ON79" s="11">
        <v>1487447.48</v>
      </c>
      <c r="OO79" s="11">
        <v>970743.7</v>
      </c>
      <c r="OP79" s="11">
        <v>13251092.24</v>
      </c>
      <c r="OQ79" s="11">
        <v>2719854.54</v>
      </c>
      <c r="OR79" s="11">
        <v>517637.75</v>
      </c>
      <c r="OS79" s="11">
        <v>353924.3</v>
      </c>
      <c r="OT79" s="11">
        <v>651881.27</v>
      </c>
      <c r="OU79" s="11">
        <v>217145.8</v>
      </c>
      <c r="OV79" s="11">
        <v>472681.95</v>
      </c>
      <c r="OW79" s="11">
        <v>333728.44</v>
      </c>
      <c r="OX79" s="11">
        <v>571087.54</v>
      </c>
      <c r="OY79" s="11">
        <v>629531.98</v>
      </c>
      <c r="OZ79" s="11">
        <v>573946.01</v>
      </c>
      <c r="PA79" s="11">
        <v>143959.4</v>
      </c>
      <c r="PB79" s="11">
        <v>1070847.3</v>
      </c>
      <c r="PC79" s="11">
        <v>3899725.01</v>
      </c>
      <c r="PD79" s="11">
        <v>228417.4</v>
      </c>
      <c r="PE79" s="11">
        <v>272017.83</v>
      </c>
      <c r="PF79" s="11">
        <v>370488.24</v>
      </c>
      <c r="PG79" s="11">
        <v>869025.71</v>
      </c>
      <c r="PH79" s="11">
        <v>1238293.6000000001</v>
      </c>
      <c r="PI79" s="11">
        <v>500852.63</v>
      </c>
      <c r="PJ79" s="11">
        <v>556023.01</v>
      </c>
      <c r="PK79" s="11">
        <v>511036.2</v>
      </c>
      <c r="PL79" s="11">
        <v>346326.75</v>
      </c>
      <c r="PM79" s="11">
        <v>958154.23999999999</v>
      </c>
      <c r="PN79" s="11">
        <v>828157.02</v>
      </c>
      <c r="PO79" s="11">
        <v>250508.01</v>
      </c>
      <c r="PP79" s="11">
        <v>2577483.81</v>
      </c>
      <c r="PQ79" s="11">
        <v>396815.62</v>
      </c>
      <c r="PR79" s="11">
        <v>200373.48</v>
      </c>
      <c r="PS79" s="11">
        <v>98014.59</v>
      </c>
      <c r="PT79" s="11">
        <v>559789.32999999996</v>
      </c>
      <c r="PU79" s="11">
        <v>13425014.4</v>
      </c>
      <c r="PV79" s="11">
        <v>2887689.2</v>
      </c>
      <c r="PW79" s="11">
        <v>268376.15000000002</v>
      </c>
      <c r="PX79" s="11">
        <v>460104.25</v>
      </c>
      <c r="PY79" s="11">
        <v>9138693.25</v>
      </c>
      <c r="PZ79" s="11">
        <v>2898676.85</v>
      </c>
      <c r="QA79" s="11">
        <v>932108.99</v>
      </c>
      <c r="QB79" s="11">
        <v>112374.28</v>
      </c>
      <c r="QC79" s="11">
        <v>863975.14</v>
      </c>
      <c r="QD79" s="11">
        <v>845965.57</v>
      </c>
      <c r="QE79" s="11">
        <v>1703772.88</v>
      </c>
      <c r="QF79" s="11">
        <v>735466.72</v>
      </c>
      <c r="QG79" s="11">
        <v>825185.5</v>
      </c>
      <c r="QH79" s="11">
        <v>1207124.8600000001</v>
      </c>
      <c r="QI79" s="11">
        <v>826074.99</v>
      </c>
      <c r="QJ79" s="11">
        <v>719622.46</v>
      </c>
      <c r="QK79" s="11"/>
      <c r="QL79" s="11">
        <v>810261.38</v>
      </c>
      <c r="QM79" s="11">
        <v>366968.26</v>
      </c>
      <c r="QN79" s="11">
        <v>3521635.59</v>
      </c>
      <c r="QO79" s="11">
        <v>2348748.4300000002</v>
      </c>
      <c r="QP79" s="11">
        <v>471800.06</v>
      </c>
      <c r="QQ79" s="11">
        <v>152245</v>
      </c>
      <c r="QR79" s="11">
        <v>393228.61</v>
      </c>
      <c r="QS79" s="11">
        <v>493945.09</v>
      </c>
      <c r="QT79" s="11">
        <v>764119.52</v>
      </c>
      <c r="QU79" s="11">
        <v>17021806.129999999</v>
      </c>
      <c r="QV79" s="11">
        <v>234205</v>
      </c>
      <c r="QW79" s="11">
        <v>1797255.16</v>
      </c>
      <c r="QX79" s="11">
        <v>510997.52</v>
      </c>
      <c r="QY79" s="11">
        <v>769668.56</v>
      </c>
      <c r="QZ79" s="11">
        <v>3442088.5</v>
      </c>
      <c r="RA79" s="11">
        <v>182752.8</v>
      </c>
      <c r="RB79" s="11">
        <v>1528697.03</v>
      </c>
      <c r="RC79" s="11">
        <v>773200.2</v>
      </c>
      <c r="RD79" s="11">
        <v>748273.87</v>
      </c>
      <c r="RE79" s="11">
        <v>719759.6</v>
      </c>
      <c r="RF79" s="11">
        <v>202600</v>
      </c>
      <c r="RG79" s="11">
        <v>794664.81</v>
      </c>
      <c r="RH79" s="11">
        <v>6387155.0700000003</v>
      </c>
      <c r="RI79" s="11">
        <v>1916081.31</v>
      </c>
      <c r="RJ79" s="11">
        <v>1605688.02</v>
      </c>
      <c r="RK79" s="11">
        <v>424476.31</v>
      </c>
      <c r="RL79" s="11">
        <v>2821040.67</v>
      </c>
      <c r="RM79" s="11">
        <v>2098172.4700000002</v>
      </c>
      <c r="RN79" s="11">
        <v>508066</v>
      </c>
      <c r="RO79" s="11">
        <v>708453.8</v>
      </c>
      <c r="RP79" s="11">
        <v>150216.15</v>
      </c>
      <c r="RQ79" s="11">
        <v>1212279.45</v>
      </c>
      <c r="RR79" s="11">
        <v>2099831.2999999998</v>
      </c>
      <c r="RS79" s="11">
        <v>919613.55</v>
      </c>
      <c r="RT79" s="11">
        <v>475291.81</v>
      </c>
      <c r="RU79" s="11">
        <v>560587.99</v>
      </c>
      <c r="RV79" s="11">
        <v>383355.69</v>
      </c>
      <c r="RW79" s="11">
        <v>665263.05000000005</v>
      </c>
      <c r="RX79" s="11">
        <v>515582.05</v>
      </c>
      <c r="RY79" s="11">
        <v>453797.8</v>
      </c>
      <c r="RZ79" s="11">
        <v>1065388.79</v>
      </c>
      <c r="SA79" s="11">
        <v>163045</v>
      </c>
      <c r="SB79" s="11">
        <v>7388731.6900000004</v>
      </c>
      <c r="SC79" s="11">
        <v>1738943.59</v>
      </c>
      <c r="SD79" s="11">
        <v>40748.68</v>
      </c>
      <c r="SE79" s="11">
        <v>60421</v>
      </c>
      <c r="SF79" s="11">
        <v>115424</v>
      </c>
      <c r="SG79" s="11">
        <v>1034017.69</v>
      </c>
      <c r="SH79" s="11">
        <v>813061.1</v>
      </c>
      <c r="SI79" s="11">
        <v>488140.41</v>
      </c>
      <c r="SJ79" s="11">
        <v>501275.2</v>
      </c>
      <c r="SK79" s="11">
        <v>0</v>
      </c>
      <c r="SL79" s="11">
        <v>6508214.0599999996</v>
      </c>
      <c r="SM79" s="11">
        <v>203206.37</v>
      </c>
      <c r="SN79" s="11">
        <v>1868862.17</v>
      </c>
      <c r="SO79" s="11">
        <v>257214</v>
      </c>
      <c r="SP79" s="11">
        <v>1128342.8500000001</v>
      </c>
      <c r="SQ79" s="11">
        <v>4931877.18</v>
      </c>
      <c r="SR79" s="11">
        <v>217328.49</v>
      </c>
      <c r="SS79" s="11">
        <v>558932.54</v>
      </c>
      <c r="ST79" s="11">
        <v>501380.37</v>
      </c>
      <c r="SU79" s="11">
        <v>113368.97</v>
      </c>
      <c r="SV79" s="11">
        <v>4486230.09</v>
      </c>
      <c r="SW79" s="11">
        <v>255759</v>
      </c>
      <c r="SX79" s="11">
        <v>37500</v>
      </c>
      <c r="SY79" s="11">
        <v>1039916.78</v>
      </c>
      <c r="SZ79" s="11">
        <v>57283.09</v>
      </c>
      <c r="TA79" s="11">
        <v>584893.5</v>
      </c>
      <c r="TB79" s="11">
        <v>66580.56</v>
      </c>
      <c r="TC79" s="11">
        <v>1653877.6</v>
      </c>
      <c r="TD79" s="11">
        <v>98290</v>
      </c>
      <c r="TE79" s="11">
        <v>486049.47</v>
      </c>
      <c r="TF79" s="11">
        <v>350410.22</v>
      </c>
      <c r="TG79" s="11">
        <v>1692376.27</v>
      </c>
      <c r="TH79" s="11">
        <v>166213.38</v>
      </c>
      <c r="TI79" s="11">
        <v>65930.080000000002</v>
      </c>
      <c r="TJ79" s="11">
        <v>19812398.02</v>
      </c>
      <c r="TK79" s="11">
        <v>467996.1</v>
      </c>
      <c r="TL79" s="11">
        <v>715285.16</v>
      </c>
      <c r="TM79" s="11">
        <v>1114588.3500000001</v>
      </c>
      <c r="TN79" s="11">
        <v>1258138.8899999999</v>
      </c>
      <c r="TO79" s="11">
        <v>917544.8</v>
      </c>
      <c r="TP79" s="11">
        <v>138249.74</v>
      </c>
      <c r="TQ79" s="11">
        <v>8369086.1200000001</v>
      </c>
      <c r="TR79" s="11">
        <v>369053.54</v>
      </c>
      <c r="TS79" s="11">
        <v>470001.8</v>
      </c>
      <c r="TT79" s="11">
        <v>759381.62</v>
      </c>
      <c r="TU79" s="11">
        <v>230023</v>
      </c>
      <c r="TV79" s="11">
        <v>204916.15</v>
      </c>
      <c r="TW79" s="11">
        <v>418757.32</v>
      </c>
      <c r="TX79" s="11">
        <v>132594.47</v>
      </c>
      <c r="TY79" s="11">
        <v>142785.26999999999</v>
      </c>
      <c r="TZ79" s="11">
        <v>741903.41</v>
      </c>
      <c r="UA79" s="11">
        <v>483475.42</v>
      </c>
      <c r="UB79" s="11">
        <v>2010782.11</v>
      </c>
      <c r="UC79" s="11">
        <v>462864.95</v>
      </c>
      <c r="UD79" s="11">
        <v>449010.91</v>
      </c>
      <c r="UE79" s="11">
        <v>175815.95</v>
      </c>
      <c r="UF79" s="11">
        <v>19142382.870000001</v>
      </c>
      <c r="UG79" s="11">
        <v>417659.68</v>
      </c>
      <c r="UH79" s="11">
        <v>1417603.1</v>
      </c>
      <c r="UI79" s="11">
        <v>691196.49</v>
      </c>
      <c r="UJ79" s="11">
        <v>374580.46</v>
      </c>
      <c r="UK79" s="11">
        <v>678931.97</v>
      </c>
      <c r="UL79" s="11">
        <v>1120544.24</v>
      </c>
      <c r="UM79" s="11">
        <v>439769.8</v>
      </c>
      <c r="UN79" s="11">
        <v>1947645.74</v>
      </c>
      <c r="UO79" s="11">
        <v>278786.46000000002</v>
      </c>
      <c r="UP79" s="11">
        <v>2613464.9500000002</v>
      </c>
      <c r="UQ79" s="11">
        <v>8895665.4000000004</v>
      </c>
      <c r="UR79" s="11">
        <v>1469636.94</v>
      </c>
      <c r="US79" s="11">
        <v>0</v>
      </c>
      <c r="UT79" s="11">
        <v>1767718.5</v>
      </c>
      <c r="UU79" s="11">
        <v>2088583.8</v>
      </c>
      <c r="UV79" s="11">
        <v>777054.68</v>
      </c>
      <c r="UW79" s="11">
        <v>2807961.43</v>
      </c>
      <c r="UX79" s="11">
        <v>128766.79</v>
      </c>
      <c r="UY79" s="11">
        <v>656063.26</v>
      </c>
      <c r="UZ79" s="11">
        <v>353486.52</v>
      </c>
      <c r="VA79" s="11">
        <v>277148.05</v>
      </c>
      <c r="VB79" s="11">
        <v>418421.95</v>
      </c>
      <c r="VC79" s="11">
        <v>1450683.24</v>
      </c>
      <c r="VD79" s="11">
        <v>209793</v>
      </c>
      <c r="VE79" s="11">
        <v>1031148.73</v>
      </c>
      <c r="VF79" s="11">
        <v>549141.80000000005</v>
      </c>
      <c r="VG79" s="11">
        <v>64667.74</v>
      </c>
      <c r="VH79" s="11">
        <v>509904.08</v>
      </c>
      <c r="VI79" s="11">
        <v>3558436.21</v>
      </c>
      <c r="VJ79" s="11">
        <v>458340.1</v>
      </c>
      <c r="VK79" s="11">
        <v>414011.6</v>
      </c>
      <c r="VL79" s="11">
        <v>27575</v>
      </c>
      <c r="VM79" s="11">
        <v>56413571.439999998</v>
      </c>
      <c r="VN79" s="11">
        <v>565186.5</v>
      </c>
      <c r="VO79" s="11">
        <v>867877.62</v>
      </c>
      <c r="VP79" s="11">
        <v>1255060.8899999999</v>
      </c>
      <c r="VQ79" s="11">
        <v>498764.65</v>
      </c>
      <c r="VR79" s="11">
        <v>1066779.1000000001</v>
      </c>
      <c r="VS79" s="11">
        <v>1507642.19</v>
      </c>
      <c r="VT79" s="11">
        <v>626331.28</v>
      </c>
      <c r="VU79" s="11">
        <v>652345.18000000005</v>
      </c>
      <c r="VV79" s="11">
        <v>9215002.3300000001</v>
      </c>
      <c r="VW79" s="11">
        <v>1815515.21</v>
      </c>
      <c r="VX79" s="11">
        <v>3196158.35</v>
      </c>
      <c r="VY79" s="11">
        <v>52973.65</v>
      </c>
      <c r="VZ79" s="11">
        <v>177897.5</v>
      </c>
      <c r="WA79" s="11">
        <v>57354.92</v>
      </c>
      <c r="WB79" s="11">
        <v>33107952.300000001</v>
      </c>
      <c r="WC79" s="11">
        <v>513677.9</v>
      </c>
      <c r="WD79" s="11">
        <v>989000.84</v>
      </c>
      <c r="WE79" s="11"/>
      <c r="WF79" s="11">
        <v>349185.99</v>
      </c>
      <c r="WG79" s="11">
        <v>820892.06</v>
      </c>
      <c r="WH79" s="11">
        <v>334322.09999999998</v>
      </c>
      <c r="WI79" s="11">
        <v>1085468.8400000001</v>
      </c>
      <c r="WJ79" s="11">
        <v>207493.58</v>
      </c>
      <c r="WK79" s="11">
        <v>758324.03</v>
      </c>
      <c r="WL79" s="11">
        <v>400669.88</v>
      </c>
      <c r="WM79" s="11">
        <v>1311782.9099999999</v>
      </c>
      <c r="WN79" s="11">
        <v>173466.33</v>
      </c>
      <c r="WO79" s="11">
        <v>2537027.89</v>
      </c>
      <c r="WP79" s="11">
        <v>2561386.77</v>
      </c>
      <c r="WQ79" s="11">
        <v>705137.6</v>
      </c>
      <c r="WR79" s="11">
        <v>682060.61</v>
      </c>
      <c r="WS79" s="11">
        <v>2394067.6800000002</v>
      </c>
      <c r="WT79" s="11">
        <v>67601.86</v>
      </c>
      <c r="WU79" s="11">
        <v>2050491.56</v>
      </c>
      <c r="WV79" s="11">
        <v>13006722.74</v>
      </c>
      <c r="WW79" s="11">
        <v>1350658.85</v>
      </c>
      <c r="WX79" s="11">
        <v>475423.85</v>
      </c>
      <c r="WY79" s="11">
        <v>505891.87</v>
      </c>
      <c r="WZ79" s="11"/>
      <c r="XA79" s="11">
        <v>1069493.1399999999</v>
      </c>
      <c r="XB79" s="11">
        <v>179953.61</v>
      </c>
      <c r="XC79" s="11">
        <v>670130.19999999995</v>
      </c>
      <c r="XD79" s="11"/>
      <c r="XE79" s="11">
        <v>536960.44999999995</v>
      </c>
      <c r="XF79" s="11">
        <v>206762.97</v>
      </c>
      <c r="XG79" s="11">
        <v>839309</v>
      </c>
      <c r="XH79" s="11">
        <v>1637049.97</v>
      </c>
      <c r="XI79" s="11">
        <v>5548029.0300000003</v>
      </c>
      <c r="XJ79" s="11">
        <v>2679465.29</v>
      </c>
      <c r="XK79" s="11">
        <v>1053624.25</v>
      </c>
      <c r="XL79" s="11">
        <v>14540173.27</v>
      </c>
      <c r="XM79" s="11">
        <v>819364.44</v>
      </c>
      <c r="XN79" s="11">
        <v>337612.84</v>
      </c>
      <c r="XO79" s="11">
        <v>5693082.1699999999</v>
      </c>
      <c r="XP79" s="11">
        <v>389559.17</v>
      </c>
      <c r="XQ79" s="11">
        <v>841589.77</v>
      </c>
      <c r="XR79" s="11">
        <v>881860.19</v>
      </c>
      <c r="XS79" s="11">
        <v>1316111.23</v>
      </c>
      <c r="XT79" s="11">
        <v>752224.34</v>
      </c>
      <c r="XU79" s="11">
        <v>777725.78</v>
      </c>
      <c r="XV79" s="11">
        <v>413224.8</v>
      </c>
      <c r="XW79" s="11">
        <v>181083.75</v>
      </c>
      <c r="XX79" s="11">
        <v>725605.15</v>
      </c>
      <c r="XY79" s="11">
        <v>451447.4</v>
      </c>
      <c r="XZ79" s="11">
        <v>710138.9</v>
      </c>
      <c r="YA79" s="11">
        <v>495621.21</v>
      </c>
      <c r="YB79" s="11">
        <v>373951.05</v>
      </c>
      <c r="YC79" s="11">
        <v>300013.25</v>
      </c>
      <c r="YD79" s="11">
        <v>256774.8</v>
      </c>
      <c r="YE79" s="11">
        <v>321248.78000000003</v>
      </c>
      <c r="YF79" s="11">
        <v>434118.17</v>
      </c>
      <c r="YG79" s="11">
        <v>616890.44999999995</v>
      </c>
      <c r="YH79" s="11">
        <v>1071891.02</v>
      </c>
      <c r="YI79" s="11">
        <v>885087.78</v>
      </c>
      <c r="YJ79" s="11">
        <v>1224340.1200000001</v>
      </c>
      <c r="YK79" s="11">
        <v>1033443.69</v>
      </c>
      <c r="YL79" s="11">
        <v>1311702</v>
      </c>
      <c r="YM79" s="11">
        <v>214928.28</v>
      </c>
      <c r="YN79" s="11">
        <v>1721807</v>
      </c>
      <c r="YO79" s="11">
        <v>5997128.1100000003</v>
      </c>
      <c r="YP79" s="11">
        <v>1344878.7</v>
      </c>
      <c r="YQ79" s="11">
        <v>222961.4</v>
      </c>
      <c r="YR79" s="11">
        <v>599230</v>
      </c>
      <c r="YS79" s="11">
        <v>37460</v>
      </c>
      <c r="YT79" s="11">
        <v>443135.59</v>
      </c>
      <c r="YU79" s="11">
        <v>850661.55</v>
      </c>
      <c r="YV79" s="11">
        <v>289372.78999999998</v>
      </c>
      <c r="YW79" s="11">
        <v>4963109.2699999996</v>
      </c>
      <c r="YX79" s="11">
        <v>291503.09999999998</v>
      </c>
      <c r="YY79" s="11">
        <v>588632</v>
      </c>
      <c r="YZ79" s="11">
        <v>1077441.8</v>
      </c>
      <c r="ZA79" s="11">
        <v>1027045.2</v>
      </c>
      <c r="ZB79" s="11">
        <v>1245632</v>
      </c>
      <c r="ZC79" s="11">
        <v>295272</v>
      </c>
      <c r="ZD79" s="11">
        <v>10200695.460000001</v>
      </c>
      <c r="ZE79" s="11">
        <v>297135.40000000002</v>
      </c>
      <c r="ZF79" s="11">
        <v>388671</v>
      </c>
      <c r="ZG79" s="11">
        <v>218909.87</v>
      </c>
      <c r="ZH79" s="11">
        <v>247233.43</v>
      </c>
      <c r="ZI79" s="11">
        <v>755043.29</v>
      </c>
      <c r="ZJ79" s="11">
        <v>212474</v>
      </c>
      <c r="ZK79" s="11">
        <v>367978.75</v>
      </c>
      <c r="ZL79" s="11">
        <v>1229565.07</v>
      </c>
      <c r="ZM79" s="11">
        <v>10685192.310000001</v>
      </c>
      <c r="ZN79" s="11">
        <v>611428.69999999995</v>
      </c>
      <c r="ZO79" s="11">
        <v>203896.03</v>
      </c>
      <c r="ZP79" s="11">
        <v>5404327.2800000003</v>
      </c>
      <c r="ZQ79" s="11">
        <v>620169.75</v>
      </c>
      <c r="ZR79" s="11">
        <v>64876.4</v>
      </c>
      <c r="ZS79" s="11">
        <v>2796039.68</v>
      </c>
      <c r="ZT79" s="11">
        <v>738704.85</v>
      </c>
      <c r="ZU79" s="11">
        <v>338115.77</v>
      </c>
      <c r="ZV79" s="11">
        <v>1182410.04</v>
      </c>
      <c r="ZW79" s="11">
        <v>262787.71000000002</v>
      </c>
      <c r="ZX79" s="11">
        <v>1256005.24</v>
      </c>
      <c r="ZY79" s="11">
        <v>1304848.75</v>
      </c>
      <c r="ZZ79" s="11">
        <v>1283909.55</v>
      </c>
      <c r="AAA79" s="11">
        <v>319957.94</v>
      </c>
      <c r="AAB79" s="11">
        <v>518217.45</v>
      </c>
      <c r="AAC79" s="11">
        <v>500475.9</v>
      </c>
      <c r="AAD79" s="11">
        <v>38892</v>
      </c>
      <c r="AAE79" s="11">
        <v>755089.71</v>
      </c>
      <c r="AAF79" s="11">
        <v>554809.65</v>
      </c>
      <c r="AAG79" s="11">
        <v>493155.06</v>
      </c>
      <c r="AAH79" s="11">
        <v>507044</v>
      </c>
      <c r="AAI79" s="11">
        <v>7559840.5</v>
      </c>
      <c r="AAJ79" s="11">
        <v>1487766.53</v>
      </c>
      <c r="AAK79" s="11">
        <v>378486.27</v>
      </c>
      <c r="AAL79" s="11">
        <v>938344.2</v>
      </c>
      <c r="AAM79" s="11">
        <v>470392.71</v>
      </c>
      <c r="AAN79" s="11">
        <v>792126.21</v>
      </c>
      <c r="AAO79" s="11">
        <v>347837.44</v>
      </c>
      <c r="AAP79" s="11">
        <v>31771686.23</v>
      </c>
      <c r="AAQ79" s="11">
        <v>739829.73</v>
      </c>
      <c r="AAR79" s="11">
        <v>736622.12</v>
      </c>
      <c r="AAS79" s="11">
        <v>2073305.15</v>
      </c>
      <c r="AAT79" s="11">
        <v>609495.80000000005</v>
      </c>
      <c r="AAU79" s="11">
        <v>3715</v>
      </c>
      <c r="AAV79" s="11">
        <v>1995876.75</v>
      </c>
      <c r="AAW79" s="11">
        <v>2938061.9</v>
      </c>
      <c r="AAX79" s="11">
        <v>3106203.04</v>
      </c>
      <c r="AAY79" s="11">
        <v>713141.46</v>
      </c>
      <c r="AAZ79" s="11">
        <v>4119370.62</v>
      </c>
      <c r="ABA79" s="11">
        <v>1727788.5</v>
      </c>
      <c r="ABB79" s="11">
        <v>3645905.61</v>
      </c>
      <c r="ABC79" s="11">
        <v>330071.8</v>
      </c>
      <c r="ABD79" s="11">
        <v>678876.39</v>
      </c>
      <c r="ABE79" s="11">
        <v>376522.94</v>
      </c>
      <c r="ABF79" s="11">
        <v>211093</v>
      </c>
      <c r="ABG79" s="11">
        <v>414829.47</v>
      </c>
      <c r="ABH79" s="11">
        <v>224179.8</v>
      </c>
      <c r="ABI79" s="11">
        <v>1486348.17</v>
      </c>
      <c r="ABJ79" s="11">
        <v>6245954.9800000004</v>
      </c>
      <c r="ABK79" s="11">
        <v>490429.27</v>
      </c>
      <c r="ABL79" s="11">
        <v>148275.71</v>
      </c>
      <c r="ABM79" s="11">
        <v>629406</v>
      </c>
      <c r="ABN79" s="11">
        <v>506338.63</v>
      </c>
      <c r="ABO79" s="11">
        <v>171547.03</v>
      </c>
      <c r="ABP79" s="11">
        <v>2227366.2200000002</v>
      </c>
      <c r="ABQ79" s="11">
        <v>606611.6</v>
      </c>
      <c r="ABR79" s="11">
        <v>458954.64</v>
      </c>
      <c r="ABS79" s="11">
        <v>380770.17</v>
      </c>
      <c r="ABT79" s="11">
        <v>626883.62</v>
      </c>
      <c r="ABU79" s="11">
        <v>252138</v>
      </c>
      <c r="ABV79" s="11">
        <v>599570</v>
      </c>
      <c r="ABW79" s="11">
        <v>670968.77</v>
      </c>
      <c r="ABX79" s="11">
        <v>14597.6</v>
      </c>
      <c r="ABY79" s="11">
        <v>176382.62</v>
      </c>
      <c r="ABZ79" s="11"/>
      <c r="ACA79" s="11">
        <v>148510.92000000001</v>
      </c>
      <c r="ACB79" s="11">
        <v>225879.71</v>
      </c>
      <c r="ACC79" s="11">
        <v>542505.48</v>
      </c>
      <c r="ACD79" s="11">
        <v>6358749.7000000002</v>
      </c>
      <c r="ACE79" s="11">
        <v>-5156.01</v>
      </c>
      <c r="ACF79" s="11">
        <v>420204.03</v>
      </c>
      <c r="ACG79" s="11">
        <v>280034.42</v>
      </c>
      <c r="ACH79" s="11">
        <v>454842.6</v>
      </c>
      <c r="ACI79" s="11">
        <v>265185.19</v>
      </c>
      <c r="ACJ79" s="11">
        <v>10277697.18</v>
      </c>
      <c r="ACK79" s="11">
        <v>227820</v>
      </c>
      <c r="ACL79" s="11">
        <v>1254124.29</v>
      </c>
      <c r="ACM79" s="11">
        <v>982642.39</v>
      </c>
      <c r="ACN79" s="11">
        <v>314366.92</v>
      </c>
      <c r="ACO79" s="11">
        <v>291529.71999999997</v>
      </c>
      <c r="ACP79" s="11">
        <v>372229.05</v>
      </c>
      <c r="ACQ79" s="11">
        <v>2805510.63</v>
      </c>
      <c r="ACR79" s="11">
        <v>4674968.67</v>
      </c>
      <c r="ACS79" s="11">
        <v>720127.5</v>
      </c>
      <c r="ACT79" s="11">
        <v>1042856.24</v>
      </c>
      <c r="ACU79" s="11">
        <v>2146994.46</v>
      </c>
      <c r="ACV79" s="11">
        <v>107054.2</v>
      </c>
      <c r="ACW79" s="11">
        <v>3536856.73</v>
      </c>
      <c r="ACX79" s="11">
        <v>755111.29</v>
      </c>
      <c r="ACY79" s="11">
        <v>114906</v>
      </c>
      <c r="ACZ79" s="11">
        <v>344455.4</v>
      </c>
      <c r="ADA79" s="11">
        <v>621512.39</v>
      </c>
      <c r="ADB79" s="11">
        <v>621728.05000000005</v>
      </c>
      <c r="ADC79" s="11">
        <v>75985</v>
      </c>
      <c r="ADD79" s="11">
        <v>923085.27</v>
      </c>
      <c r="ADE79" s="11"/>
      <c r="ADF79" s="11"/>
      <c r="ADG79" s="11">
        <v>3861582.82</v>
      </c>
      <c r="ADH79" s="11">
        <v>549431.86</v>
      </c>
      <c r="ADI79" s="11"/>
      <c r="ADJ79" s="11"/>
      <c r="ADK79" s="11"/>
      <c r="ADL79" s="11">
        <v>236170.81</v>
      </c>
      <c r="ADM79" s="11">
        <v>408277</v>
      </c>
      <c r="ADN79" s="11">
        <v>1075130.02</v>
      </c>
      <c r="ADO79" s="11">
        <v>367124.51</v>
      </c>
      <c r="ADP79" s="11">
        <v>8994331.5199999996</v>
      </c>
      <c r="ADQ79" s="11"/>
      <c r="ADR79" s="11">
        <v>2823033.53</v>
      </c>
      <c r="ADS79" s="11">
        <v>9915677.7400000002</v>
      </c>
      <c r="ADT79" s="11">
        <v>6463040.7599999998</v>
      </c>
      <c r="ADU79" s="11">
        <v>337363</v>
      </c>
      <c r="ADV79" s="11">
        <v>1160359.23</v>
      </c>
      <c r="ADW79" s="11">
        <v>0</v>
      </c>
      <c r="ADX79" s="11">
        <v>0</v>
      </c>
      <c r="ADY79" s="11">
        <v>1247769.95</v>
      </c>
      <c r="ADZ79" s="11">
        <v>12376244.48</v>
      </c>
      <c r="AEA79" s="11">
        <v>8356398.4900000002</v>
      </c>
      <c r="AEB79" s="11">
        <v>3509645.11</v>
      </c>
      <c r="AEC79" s="11">
        <v>1301778.47</v>
      </c>
      <c r="AED79" s="11">
        <v>2075789.35</v>
      </c>
      <c r="AEE79" s="11">
        <v>515616.89</v>
      </c>
      <c r="AEF79" s="11">
        <v>1431688.36</v>
      </c>
      <c r="AEG79" s="11">
        <v>682065.34</v>
      </c>
      <c r="AEH79" s="11">
        <v>669609.05000000005</v>
      </c>
      <c r="AEI79" s="11">
        <v>163609.75</v>
      </c>
      <c r="AEJ79" s="11">
        <v>465822.94</v>
      </c>
      <c r="AEK79" s="11">
        <v>192688.8</v>
      </c>
      <c r="AEL79" s="11">
        <v>365740.65</v>
      </c>
      <c r="AEM79" s="11">
        <v>871184</v>
      </c>
      <c r="AEN79" s="11">
        <v>1553816.01</v>
      </c>
      <c r="AEO79" s="11">
        <v>2144945.27</v>
      </c>
      <c r="AEP79" s="11">
        <v>320377.8</v>
      </c>
      <c r="AEQ79" s="11">
        <v>584383.14</v>
      </c>
      <c r="AER79" s="11">
        <v>61278.68</v>
      </c>
      <c r="AES79" s="11">
        <v>1514548.91</v>
      </c>
      <c r="AET79" s="11">
        <v>116843.32</v>
      </c>
      <c r="AEU79" s="11">
        <v>1789380.04</v>
      </c>
      <c r="AEV79" s="11">
        <v>1985321.69</v>
      </c>
      <c r="AEW79" s="11">
        <v>456954.32</v>
      </c>
      <c r="AEX79" s="11">
        <v>148847.38</v>
      </c>
      <c r="AEY79" s="11">
        <v>363697.05</v>
      </c>
      <c r="AEZ79" s="11">
        <v>1276677.8799999999</v>
      </c>
      <c r="AFA79" s="11">
        <v>466701.13</v>
      </c>
      <c r="AFB79" s="11">
        <v>706327</v>
      </c>
      <c r="AFC79" s="11">
        <v>709455.48</v>
      </c>
      <c r="AFD79" s="11">
        <v>2571038.4300000002</v>
      </c>
      <c r="AFE79" s="11">
        <v>1147390.75</v>
      </c>
      <c r="AFF79" s="11">
        <v>1608016</v>
      </c>
      <c r="AFG79" s="11">
        <v>238807</v>
      </c>
      <c r="AFH79" s="11">
        <v>2071898.35</v>
      </c>
      <c r="AFI79" s="11">
        <v>1268358.08</v>
      </c>
      <c r="AFJ79" s="11">
        <v>818367.47</v>
      </c>
      <c r="AFK79" s="11">
        <v>346062.44</v>
      </c>
      <c r="AFL79" s="11">
        <v>1065838.81</v>
      </c>
      <c r="AFM79" s="11">
        <v>633467.02</v>
      </c>
      <c r="AFN79" s="11">
        <v>202173</v>
      </c>
      <c r="AFO79" s="11">
        <v>821971.43</v>
      </c>
      <c r="AFP79" s="11">
        <v>1289805</v>
      </c>
      <c r="AFQ79" s="11">
        <v>6952668.3399999999</v>
      </c>
      <c r="AFR79" s="11">
        <v>342216.6</v>
      </c>
      <c r="AFS79" s="11"/>
      <c r="AFT79" s="11">
        <v>357769.03</v>
      </c>
      <c r="AFU79" s="11">
        <v>1122977.3</v>
      </c>
      <c r="AFV79" s="11">
        <v>1480413.79</v>
      </c>
      <c r="AFW79" s="11">
        <v>594885.11</v>
      </c>
      <c r="AFX79" s="11">
        <v>1755472.66</v>
      </c>
      <c r="AFY79" s="11">
        <v>1864385</v>
      </c>
      <c r="AFZ79" s="11">
        <v>1151511.77</v>
      </c>
      <c r="AGA79" s="11">
        <v>1153027.8500000001</v>
      </c>
      <c r="AGB79" s="11">
        <v>783340.59</v>
      </c>
      <c r="AGC79" s="11">
        <v>1180589.06</v>
      </c>
      <c r="AGD79" s="11">
        <v>536130.21</v>
      </c>
      <c r="AGE79" s="11">
        <v>520366.64</v>
      </c>
      <c r="AGF79" s="11">
        <v>793381.69</v>
      </c>
      <c r="AGG79" s="11">
        <v>3083095.03</v>
      </c>
      <c r="AGH79" s="11">
        <v>1616513.64</v>
      </c>
      <c r="AGI79" s="11">
        <v>178906.57</v>
      </c>
      <c r="AGJ79" s="11">
        <v>888576.6</v>
      </c>
      <c r="AGK79" s="11">
        <v>403530.5</v>
      </c>
      <c r="AGL79" s="11">
        <v>331458.19</v>
      </c>
      <c r="AGM79" s="11">
        <v>2005477.35</v>
      </c>
      <c r="AGN79" s="11">
        <v>8839296.1600000001</v>
      </c>
      <c r="AGO79" s="11">
        <v>2590751.3199999998</v>
      </c>
      <c r="AGP79" s="11">
        <v>1246035.21</v>
      </c>
      <c r="AGQ79" s="11">
        <v>695145.5</v>
      </c>
      <c r="AGR79" s="11">
        <v>667242</v>
      </c>
      <c r="AGS79" s="11">
        <v>516489.2</v>
      </c>
      <c r="AGT79" s="11">
        <v>426354.64</v>
      </c>
      <c r="AGU79" s="11">
        <v>1749190.61</v>
      </c>
      <c r="AGV79" s="11">
        <v>392670</v>
      </c>
      <c r="AGW79" s="11"/>
      <c r="AGX79" s="11">
        <v>407253.18</v>
      </c>
      <c r="AGY79" s="11">
        <v>798482.54</v>
      </c>
      <c r="AGZ79" s="11">
        <v>482435.49</v>
      </c>
      <c r="AHA79" s="11">
        <v>451829.09</v>
      </c>
      <c r="AHB79" s="11">
        <v>522897.05</v>
      </c>
      <c r="AHC79" s="11">
        <v>199069.18</v>
      </c>
      <c r="AHD79" s="11">
        <v>194759.38</v>
      </c>
      <c r="AHE79" s="11">
        <v>4426128.7699999996</v>
      </c>
      <c r="AHF79" s="11">
        <v>2560563.1</v>
      </c>
      <c r="AHG79" s="11">
        <v>332472.52</v>
      </c>
      <c r="AHH79" s="11">
        <v>276352</v>
      </c>
      <c r="AHI79" s="11">
        <v>832475.94</v>
      </c>
      <c r="AHJ79" s="11">
        <v>666868.5</v>
      </c>
      <c r="AHK79" s="11">
        <v>90796.93</v>
      </c>
      <c r="AHL79" s="11">
        <v>897597.62</v>
      </c>
      <c r="AHM79" s="11">
        <v>3479441.46</v>
      </c>
      <c r="AHN79" s="11">
        <v>893324.98</v>
      </c>
      <c r="AHO79" s="11">
        <v>1979830.02</v>
      </c>
      <c r="AHP79" s="11">
        <v>1814200.19</v>
      </c>
      <c r="AHQ79" s="11">
        <v>472818.19</v>
      </c>
      <c r="AHR79" s="11">
        <v>379226.86</v>
      </c>
      <c r="AHS79" s="11">
        <v>340159.51</v>
      </c>
      <c r="AHT79" s="11">
        <v>1615803617.6199992</v>
      </c>
      <c r="AHV79" s="269" t="s">
        <v>6278</v>
      </c>
      <c r="AHW79" s="269" t="s">
        <v>6099</v>
      </c>
      <c r="AHX79" s="269" t="s">
        <v>6100</v>
      </c>
    </row>
    <row r="80" spans="1:908" x14ac:dyDescent="0.7">
      <c r="A80" s="6" t="s">
        <v>6278</v>
      </c>
      <c r="B80" s="6" t="s">
        <v>6105</v>
      </c>
      <c r="C80" s="6" t="s">
        <v>6106</v>
      </c>
      <c r="D80" s="11">
        <v>484890</v>
      </c>
      <c r="E80" s="11">
        <v>27500</v>
      </c>
      <c r="F80" s="11">
        <v>191065</v>
      </c>
      <c r="G80" s="11">
        <v>187200</v>
      </c>
      <c r="H80" s="11">
        <v>100200</v>
      </c>
      <c r="I80" s="11">
        <v>292500</v>
      </c>
      <c r="J80" s="11">
        <v>559237.5</v>
      </c>
      <c r="K80" s="11">
        <v>1218500</v>
      </c>
      <c r="L80" s="11">
        <v>162100</v>
      </c>
      <c r="M80" s="11">
        <v>545690</v>
      </c>
      <c r="N80" s="11">
        <v>648330</v>
      </c>
      <c r="O80" s="11">
        <v>257135</v>
      </c>
      <c r="P80" s="11">
        <v>140920</v>
      </c>
      <c r="Q80" s="11">
        <v>165826</v>
      </c>
      <c r="R80" s="11">
        <v>20880</v>
      </c>
      <c r="S80" s="11">
        <v>1726860</v>
      </c>
      <c r="T80" s="11">
        <v>864155</v>
      </c>
      <c r="U80" s="11">
        <v>91070</v>
      </c>
      <c r="V80" s="11">
        <v>2204560.5</v>
      </c>
      <c r="W80" s="11">
        <v>406324</v>
      </c>
      <c r="X80" s="11">
        <v>764828</v>
      </c>
      <c r="Y80" s="11">
        <v>734724.6</v>
      </c>
      <c r="Z80" s="11"/>
      <c r="AA80" s="11">
        <v>183900</v>
      </c>
      <c r="AB80" s="11">
        <v>573390</v>
      </c>
      <c r="AC80" s="11">
        <v>1123007.3400000001</v>
      </c>
      <c r="AD80" s="11">
        <v>0</v>
      </c>
      <c r="AE80" s="11">
        <v>130442.88</v>
      </c>
      <c r="AF80" s="11">
        <v>2197138.5</v>
      </c>
      <c r="AG80" s="11">
        <v>264880</v>
      </c>
      <c r="AH80" s="11">
        <v>2241581.2999999998</v>
      </c>
      <c r="AI80" s="11">
        <v>998710.89</v>
      </c>
      <c r="AJ80" s="11">
        <v>1347</v>
      </c>
      <c r="AK80" s="11">
        <v>50686.35</v>
      </c>
      <c r="AL80" s="11">
        <v>246019</v>
      </c>
      <c r="AM80" s="11">
        <v>35837.910000000003</v>
      </c>
      <c r="AN80" s="11">
        <v>320630</v>
      </c>
      <c r="AO80" s="11">
        <v>369951</v>
      </c>
      <c r="AP80" s="11">
        <v>62000</v>
      </c>
      <c r="AQ80" s="11">
        <v>201674</v>
      </c>
      <c r="AR80" s="11">
        <v>324449.23</v>
      </c>
      <c r="AS80" s="11">
        <v>76990</v>
      </c>
      <c r="AT80" s="11"/>
      <c r="AU80" s="11">
        <v>54380</v>
      </c>
      <c r="AV80" s="11">
        <v>293200</v>
      </c>
      <c r="AW80" s="11">
        <v>257610</v>
      </c>
      <c r="AX80" s="11">
        <v>3708230</v>
      </c>
      <c r="AY80" s="11">
        <v>9500</v>
      </c>
      <c r="AZ80" s="11">
        <v>89630</v>
      </c>
      <c r="BA80" s="11">
        <v>0</v>
      </c>
      <c r="BB80" s="11">
        <v>0</v>
      </c>
      <c r="BC80" s="11">
        <v>414319.5</v>
      </c>
      <c r="BD80" s="11">
        <v>0</v>
      </c>
      <c r="BE80" s="11">
        <v>118000</v>
      </c>
      <c r="BF80" s="11">
        <v>2934000</v>
      </c>
      <c r="BG80" s="11">
        <v>17950</v>
      </c>
      <c r="BH80" s="11">
        <v>368523.9</v>
      </c>
      <c r="BI80" s="11">
        <v>179933</v>
      </c>
      <c r="BJ80" s="11">
        <v>902160</v>
      </c>
      <c r="BK80" s="11"/>
      <c r="BL80" s="11">
        <v>13520</v>
      </c>
      <c r="BM80" s="11">
        <v>55790</v>
      </c>
      <c r="BN80" s="11">
        <v>15800</v>
      </c>
      <c r="BO80" s="11">
        <v>0</v>
      </c>
      <c r="BP80" s="11">
        <v>0</v>
      </c>
      <c r="BQ80" s="11">
        <v>122085.49</v>
      </c>
      <c r="BR80" s="11"/>
      <c r="BS80" s="11">
        <v>997500</v>
      </c>
      <c r="BT80" s="11">
        <v>84400</v>
      </c>
      <c r="BU80" s="11">
        <v>94500</v>
      </c>
      <c r="BV80" s="11">
        <v>15000</v>
      </c>
      <c r="BW80" s="11">
        <v>720819</v>
      </c>
      <c r="BX80" s="11">
        <v>21850</v>
      </c>
      <c r="BY80" s="11">
        <v>82964</v>
      </c>
      <c r="BZ80" s="11">
        <v>2202071.5</v>
      </c>
      <c r="CA80" s="11">
        <v>279910</v>
      </c>
      <c r="CB80" s="11">
        <v>486800</v>
      </c>
      <c r="CC80" s="11">
        <v>155890</v>
      </c>
      <c r="CD80" s="11">
        <v>326406.45</v>
      </c>
      <c r="CE80" s="11">
        <v>192090</v>
      </c>
      <c r="CF80" s="11">
        <v>124580</v>
      </c>
      <c r="CG80" s="11">
        <v>146695.16</v>
      </c>
      <c r="CH80" s="11">
        <v>127760</v>
      </c>
      <c r="CI80" s="11">
        <v>236167</v>
      </c>
      <c r="CJ80" s="11">
        <v>32316</v>
      </c>
      <c r="CK80" s="11">
        <v>712310</v>
      </c>
      <c r="CL80" s="11">
        <v>26944</v>
      </c>
      <c r="CM80" s="11">
        <v>90000</v>
      </c>
      <c r="CN80" s="11">
        <v>153952.6</v>
      </c>
      <c r="CO80" s="11">
        <v>0</v>
      </c>
      <c r="CP80" s="11">
        <v>184985.3</v>
      </c>
      <c r="CQ80" s="11">
        <v>11885</v>
      </c>
      <c r="CR80" s="11">
        <v>85090</v>
      </c>
      <c r="CS80" s="11">
        <v>4680</v>
      </c>
      <c r="CT80" s="11">
        <v>1515788</v>
      </c>
      <c r="CU80" s="11">
        <v>27750</v>
      </c>
      <c r="CV80" s="11">
        <v>81890</v>
      </c>
      <c r="CW80" s="11">
        <v>156440</v>
      </c>
      <c r="CX80" s="11">
        <v>282805</v>
      </c>
      <c r="CY80" s="11">
        <v>9400</v>
      </c>
      <c r="CZ80" s="11">
        <v>9800</v>
      </c>
      <c r="DA80" s="11">
        <v>527835</v>
      </c>
      <c r="DB80" s="11">
        <v>1123014.27</v>
      </c>
      <c r="DC80" s="11">
        <v>3287272.73</v>
      </c>
      <c r="DD80" s="11">
        <v>1284032</v>
      </c>
      <c r="DE80" s="11">
        <v>132990</v>
      </c>
      <c r="DF80" s="11">
        <v>176320</v>
      </c>
      <c r="DG80" s="11">
        <v>1624646</v>
      </c>
      <c r="DH80" s="11">
        <v>712222.5</v>
      </c>
      <c r="DI80" s="11">
        <v>535643.62</v>
      </c>
      <c r="DJ80" s="11">
        <v>290817.55</v>
      </c>
      <c r="DK80" s="11">
        <v>38968482.799999997</v>
      </c>
      <c r="DL80" s="11">
        <v>491136</v>
      </c>
      <c r="DM80" s="11"/>
      <c r="DN80" s="11">
        <v>6187338.4900000002</v>
      </c>
      <c r="DO80" s="11">
        <v>326992.21999999997</v>
      </c>
      <c r="DP80" s="11">
        <v>1519190</v>
      </c>
      <c r="DQ80" s="11">
        <v>952102.28</v>
      </c>
      <c r="DR80" s="11">
        <v>230777.35</v>
      </c>
      <c r="DS80" s="11">
        <v>492790</v>
      </c>
      <c r="DT80" s="11">
        <v>13700248</v>
      </c>
      <c r="DU80" s="11">
        <v>0</v>
      </c>
      <c r="DV80" s="11">
        <v>1237310</v>
      </c>
      <c r="DW80" s="11">
        <v>1497200.08</v>
      </c>
      <c r="DX80" s="11">
        <v>459770</v>
      </c>
      <c r="DY80" s="11">
        <v>2647245</v>
      </c>
      <c r="DZ80" s="11">
        <v>561310</v>
      </c>
      <c r="EA80" s="11">
        <v>11580</v>
      </c>
      <c r="EB80" s="11">
        <v>829227.58</v>
      </c>
      <c r="EC80" s="11">
        <v>58850</v>
      </c>
      <c r="ED80" s="11">
        <v>608180</v>
      </c>
      <c r="EE80" s="11">
        <v>301221</v>
      </c>
      <c r="EF80" s="11">
        <v>734680</v>
      </c>
      <c r="EG80" s="11">
        <v>347610</v>
      </c>
      <c r="EH80" s="11">
        <v>373634</v>
      </c>
      <c r="EI80" s="11">
        <v>211536.27</v>
      </c>
      <c r="EJ80" s="11">
        <v>45000</v>
      </c>
      <c r="EK80" s="11">
        <v>768510</v>
      </c>
      <c r="EL80" s="11">
        <v>257890</v>
      </c>
      <c r="EM80" s="11">
        <v>130850</v>
      </c>
      <c r="EN80" s="11">
        <v>425530</v>
      </c>
      <c r="EO80" s="11">
        <v>154160</v>
      </c>
      <c r="EP80" s="11">
        <v>2083019.75</v>
      </c>
      <c r="EQ80" s="11">
        <v>393460</v>
      </c>
      <c r="ER80" s="11">
        <v>13000</v>
      </c>
      <c r="ES80" s="11">
        <v>0</v>
      </c>
      <c r="ET80" s="11">
        <v>27000</v>
      </c>
      <c r="EU80" s="11">
        <v>440130</v>
      </c>
      <c r="EV80" s="11">
        <v>3031108.45</v>
      </c>
      <c r="EW80" s="11">
        <v>1428187.6</v>
      </c>
      <c r="EX80" s="11">
        <v>235093</v>
      </c>
      <c r="EY80" s="11">
        <v>791122.76</v>
      </c>
      <c r="EZ80" s="11">
        <v>246795</v>
      </c>
      <c r="FA80" s="11">
        <v>2047980</v>
      </c>
      <c r="FB80" s="11">
        <v>934965</v>
      </c>
      <c r="FC80" s="11">
        <v>454200</v>
      </c>
      <c r="FD80" s="11">
        <v>860803.5</v>
      </c>
      <c r="FE80" s="11">
        <v>904425</v>
      </c>
      <c r="FF80" s="11">
        <v>869523</v>
      </c>
      <c r="FG80" s="11">
        <v>170933</v>
      </c>
      <c r="FH80" s="11">
        <v>49998.96</v>
      </c>
      <c r="FI80" s="11"/>
      <c r="FJ80" s="11">
        <v>0</v>
      </c>
      <c r="FK80" s="11">
        <v>6000</v>
      </c>
      <c r="FL80" s="11">
        <v>61280</v>
      </c>
      <c r="FM80" s="11">
        <v>3017261</v>
      </c>
      <c r="FN80" s="11">
        <v>206409</v>
      </c>
      <c r="FO80" s="11">
        <v>0</v>
      </c>
      <c r="FP80" s="11">
        <v>0</v>
      </c>
      <c r="FQ80" s="11">
        <v>596366.5</v>
      </c>
      <c r="FR80" s="11">
        <v>944560</v>
      </c>
      <c r="FS80" s="11">
        <v>51600</v>
      </c>
      <c r="FT80" s="11">
        <v>1272889.98</v>
      </c>
      <c r="FU80" s="11">
        <v>139795</v>
      </c>
      <c r="FV80" s="11">
        <v>114260</v>
      </c>
      <c r="FW80" s="11">
        <v>215400</v>
      </c>
      <c r="FX80" s="11">
        <v>57270</v>
      </c>
      <c r="FY80" s="11">
        <v>510552.1</v>
      </c>
      <c r="FZ80" s="11">
        <v>28100</v>
      </c>
      <c r="GA80" s="11">
        <v>1537982.95</v>
      </c>
      <c r="GB80" s="11">
        <v>254201.5</v>
      </c>
      <c r="GC80" s="11">
        <v>1175102</v>
      </c>
      <c r="GD80" s="11">
        <v>655202</v>
      </c>
      <c r="GE80" s="11">
        <v>7575500</v>
      </c>
      <c r="GF80" s="11">
        <v>522170</v>
      </c>
      <c r="GG80" s="11">
        <v>20770</v>
      </c>
      <c r="GH80" s="11">
        <v>1927246</v>
      </c>
      <c r="GI80" s="11">
        <v>694188.96</v>
      </c>
      <c r="GJ80" s="11">
        <v>693618</v>
      </c>
      <c r="GK80" s="11">
        <v>0</v>
      </c>
      <c r="GL80" s="11">
        <v>357270.5</v>
      </c>
      <c r="GM80" s="11">
        <v>160070</v>
      </c>
      <c r="GN80" s="11">
        <v>9750</v>
      </c>
      <c r="GO80" s="11">
        <v>17140</v>
      </c>
      <c r="GP80" s="11">
        <v>32690</v>
      </c>
      <c r="GQ80" s="11">
        <v>433397.93</v>
      </c>
      <c r="GR80" s="11">
        <v>419242.44</v>
      </c>
      <c r="GS80" s="11">
        <v>46400</v>
      </c>
      <c r="GT80" s="11">
        <v>90705</v>
      </c>
      <c r="GU80" s="11">
        <v>54000</v>
      </c>
      <c r="GV80" s="11">
        <v>43320</v>
      </c>
      <c r="GW80" s="11">
        <v>658960</v>
      </c>
      <c r="GX80" s="11">
        <v>60340</v>
      </c>
      <c r="GY80" s="11">
        <v>2096048.9</v>
      </c>
      <c r="GZ80" s="11">
        <v>77060</v>
      </c>
      <c r="HA80" s="11">
        <v>294867.28000000003</v>
      </c>
      <c r="HB80" s="11">
        <v>87000</v>
      </c>
      <c r="HC80" s="11">
        <v>86670</v>
      </c>
      <c r="HD80" s="11">
        <v>3661481.23</v>
      </c>
      <c r="HE80" s="11">
        <v>607505.1</v>
      </c>
      <c r="HF80" s="11">
        <v>12516618.4</v>
      </c>
      <c r="HG80" s="11">
        <v>307243.8</v>
      </c>
      <c r="HH80" s="11">
        <v>6451648.2199999997</v>
      </c>
      <c r="HI80" s="11">
        <v>35310</v>
      </c>
      <c r="HJ80" s="11">
        <v>260000</v>
      </c>
      <c r="HK80" s="11">
        <v>8802121.9700000007</v>
      </c>
      <c r="HL80" s="11">
        <v>271968</v>
      </c>
      <c r="HM80" s="11">
        <v>5884246.25</v>
      </c>
      <c r="HN80" s="11">
        <v>25182.15</v>
      </c>
      <c r="HO80" s="11">
        <v>152150</v>
      </c>
      <c r="HP80" s="11">
        <v>18394.57</v>
      </c>
      <c r="HQ80" s="11">
        <v>658716.94999999995</v>
      </c>
      <c r="HR80" s="11">
        <v>793367.66</v>
      </c>
      <c r="HS80" s="11">
        <v>577480</v>
      </c>
      <c r="HT80" s="11">
        <v>1008920</v>
      </c>
      <c r="HU80" s="11">
        <v>92862</v>
      </c>
      <c r="HV80" s="11">
        <v>45000</v>
      </c>
      <c r="HW80" s="11">
        <v>356096.4</v>
      </c>
      <c r="HX80" s="11">
        <v>13179</v>
      </c>
      <c r="HY80" s="11">
        <v>1714451.09</v>
      </c>
      <c r="HZ80" s="11">
        <v>155636</v>
      </c>
      <c r="IA80" s="11">
        <v>384032.04</v>
      </c>
      <c r="IB80" s="11">
        <v>0</v>
      </c>
      <c r="IC80" s="11"/>
      <c r="ID80" s="11">
        <v>4473995.05</v>
      </c>
      <c r="IE80" s="11">
        <v>755000</v>
      </c>
      <c r="IF80" s="11">
        <v>11500</v>
      </c>
      <c r="IG80" s="11">
        <v>220639</v>
      </c>
      <c r="IH80" s="11">
        <v>309631.34999999998</v>
      </c>
      <c r="II80" s="11"/>
      <c r="IJ80" s="11"/>
      <c r="IK80" s="11">
        <v>62530</v>
      </c>
      <c r="IL80" s="11">
        <v>227294</v>
      </c>
      <c r="IM80" s="11">
        <v>1426720</v>
      </c>
      <c r="IN80" s="11">
        <v>422950</v>
      </c>
      <c r="IO80" s="11">
        <v>207270</v>
      </c>
      <c r="IP80" s="11">
        <v>108005.17</v>
      </c>
      <c r="IQ80" s="11">
        <v>334970.94</v>
      </c>
      <c r="IR80" s="11">
        <v>164283.41</v>
      </c>
      <c r="IS80" s="11">
        <v>119630.02</v>
      </c>
      <c r="IT80" s="11">
        <v>26789054.280000001</v>
      </c>
      <c r="IU80" s="11"/>
      <c r="IV80" s="11">
        <v>0</v>
      </c>
      <c r="IW80" s="11">
        <v>103183</v>
      </c>
      <c r="IX80" s="11">
        <v>2170435.66</v>
      </c>
      <c r="IY80" s="11">
        <v>31710</v>
      </c>
      <c r="IZ80" s="11">
        <v>175743.6</v>
      </c>
      <c r="JA80" s="11">
        <v>43080.3</v>
      </c>
      <c r="JB80" s="11">
        <v>995690</v>
      </c>
      <c r="JC80" s="11">
        <v>-105803.93</v>
      </c>
      <c r="JD80" s="11">
        <v>200750</v>
      </c>
      <c r="JE80" s="11">
        <v>470746.81</v>
      </c>
      <c r="JF80" s="11">
        <v>345932.05</v>
      </c>
      <c r="JG80" s="11">
        <v>1333916.23</v>
      </c>
      <c r="JH80" s="11"/>
      <c r="JI80" s="11">
        <v>426231.2</v>
      </c>
      <c r="JJ80" s="11">
        <v>146000</v>
      </c>
      <c r="JK80" s="11">
        <v>4900</v>
      </c>
      <c r="JL80" s="11">
        <v>7147746.0999999996</v>
      </c>
      <c r="JM80" s="11">
        <v>694390</v>
      </c>
      <c r="JN80" s="11">
        <v>2315322.14</v>
      </c>
      <c r="JO80" s="11">
        <v>865888</v>
      </c>
      <c r="JP80" s="11">
        <v>404000</v>
      </c>
      <c r="JQ80" s="11">
        <v>58615</v>
      </c>
      <c r="JR80" s="11">
        <v>361790</v>
      </c>
      <c r="JS80" s="11">
        <v>2184593</v>
      </c>
      <c r="JT80" s="11">
        <v>32612.23</v>
      </c>
      <c r="JU80" s="11">
        <v>1551025</v>
      </c>
      <c r="JV80" s="11">
        <v>192990</v>
      </c>
      <c r="JW80" s="11">
        <v>818048.5</v>
      </c>
      <c r="JX80" s="11">
        <v>98090</v>
      </c>
      <c r="JY80" s="11">
        <v>763000</v>
      </c>
      <c r="JZ80" s="11">
        <v>558178.65</v>
      </c>
      <c r="KA80" s="11">
        <v>955500</v>
      </c>
      <c r="KB80" s="11">
        <v>288794.81</v>
      </c>
      <c r="KC80" s="11">
        <v>0</v>
      </c>
      <c r="KD80" s="11">
        <v>46591.56</v>
      </c>
      <c r="KE80" s="11">
        <v>35200</v>
      </c>
      <c r="KF80" s="11">
        <v>18500</v>
      </c>
      <c r="KG80" s="11">
        <v>359700</v>
      </c>
      <c r="KH80" s="11">
        <v>0</v>
      </c>
      <c r="KI80" s="11">
        <v>13610532.359999999</v>
      </c>
      <c r="KJ80" s="11">
        <v>6081992</v>
      </c>
      <c r="KK80" s="11">
        <v>198300</v>
      </c>
      <c r="KL80" s="11">
        <v>3002300.17</v>
      </c>
      <c r="KM80" s="11">
        <v>25850</v>
      </c>
      <c r="KN80" s="11">
        <v>2200000</v>
      </c>
      <c r="KO80" s="11">
        <v>1390440.22</v>
      </c>
      <c r="KP80" s="11">
        <v>535918.5</v>
      </c>
      <c r="KQ80" s="11">
        <v>66116</v>
      </c>
      <c r="KR80" s="11">
        <v>969916.88</v>
      </c>
      <c r="KS80" s="11">
        <v>722960</v>
      </c>
      <c r="KT80" s="11">
        <v>299180</v>
      </c>
      <c r="KU80" s="11">
        <v>616278.54</v>
      </c>
      <c r="KV80" s="11">
        <v>61103.72</v>
      </c>
      <c r="KW80" s="11">
        <v>406976.4</v>
      </c>
      <c r="KX80" s="11">
        <v>5405066.8700000001</v>
      </c>
      <c r="KY80" s="11">
        <v>1328164.5</v>
      </c>
      <c r="KZ80" s="11">
        <v>4752245</v>
      </c>
      <c r="LA80" s="11">
        <v>1227595.69</v>
      </c>
      <c r="LB80" s="11">
        <v>222900</v>
      </c>
      <c r="LC80" s="11">
        <v>475710</v>
      </c>
      <c r="LD80" s="11">
        <v>636450</v>
      </c>
      <c r="LE80" s="11">
        <v>106795</v>
      </c>
      <c r="LF80" s="11">
        <v>497000</v>
      </c>
      <c r="LG80" s="11">
        <v>160772.5</v>
      </c>
      <c r="LH80" s="11"/>
      <c r="LI80" s="11"/>
      <c r="LJ80" s="11">
        <v>93150</v>
      </c>
      <c r="LK80" s="11">
        <v>4097320.6</v>
      </c>
      <c r="LL80" s="11">
        <v>2443510.6800000002</v>
      </c>
      <c r="LM80" s="11">
        <v>29900</v>
      </c>
      <c r="LN80" s="11">
        <v>540726.25</v>
      </c>
      <c r="LO80" s="11">
        <v>35640</v>
      </c>
      <c r="LP80" s="11">
        <v>512119.48</v>
      </c>
      <c r="LQ80" s="11"/>
      <c r="LR80" s="11">
        <v>87500</v>
      </c>
      <c r="LS80" s="11">
        <v>175945.5</v>
      </c>
      <c r="LT80" s="11">
        <v>30816</v>
      </c>
      <c r="LU80" s="11">
        <v>342695</v>
      </c>
      <c r="LV80" s="11">
        <v>4062475.88</v>
      </c>
      <c r="LW80" s="11">
        <v>1242400</v>
      </c>
      <c r="LX80" s="11">
        <v>959450</v>
      </c>
      <c r="LY80" s="11">
        <v>3572000</v>
      </c>
      <c r="LZ80" s="11">
        <v>1104562.3</v>
      </c>
      <c r="MA80" s="11">
        <v>691600</v>
      </c>
      <c r="MB80" s="11">
        <v>666800</v>
      </c>
      <c r="MC80" s="11">
        <v>195613.79</v>
      </c>
      <c r="MD80" s="11">
        <v>153700</v>
      </c>
      <c r="ME80" s="11">
        <v>381700</v>
      </c>
      <c r="MF80" s="11">
        <v>591861.35</v>
      </c>
      <c r="MG80" s="11">
        <v>763100</v>
      </c>
      <c r="MH80" s="11">
        <v>6732618</v>
      </c>
      <c r="MI80" s="11">
        <v>27000</v>
      </c>
      <c r="MJ80" s="11">
        <v>22700</v>
      </c>
      <c r="MK80" s="11">
        <v>137100</v>
      </c>
      <c r="ML80" s="11">
        <v>261480</v>
      </c>
      <c r="MM80" s="11">
        <v>691731</v>
      </c>
      <c r="MN80" s="11">
        <v>288511.59999999998</v>
      </c>
      <c r="MO80" s="11">
        <v>35980</v>
      </c>
      <c r="MP80" s="11">
        <v>1985794.01</v>
      </c>
      <c r="MQ80" s="11">
        <v>162599</v>
      </c>
      <c r="MR80" s="11">
        <v>283030</v>
      </c>
      <c r="MS80" s="11">
        <v>64500</v>
      </c>
      <c r="MT80" s="11">
        <v>124800</v>
      </c>
      <c r="MU80" s="11">
        <v>123140</v>
      </c>
      <c r="MV80" s="11">
        <v>102200</v>
      </c>
      <c r="MW80" s="11">
        <v>1172308</v>
      </c>
      <c r="MX80" s="11">
        <v>1226351.5</v>
      </c>
      <c r="MY80" s="11">
        <v>505295</v>
      </c>
      <c r="MZ80" s="11">
        <v>512203.15</v>
      </c>
      <c r="NA80" s="11">
        <v>47000</v>
      </c>
      <c r="NB80" s="11">
        <v>2061025.38</v>
      </c>
      <c r="NC80" s="11">
        <v>81196.100000000006</v>
      </c>
      <c r="ND80" s="11">
        <v>174000</v>
      </c>
      <c r="NE80" s="11">
        <v>23390</v>
      </c>
      <c r="NF80" s="11">
        <v>6455008.5</v>
      </c>
      <c r="NG80" s="11">
        <v>646454.80000000005</v>
      </c>
      <c r="NH80" s="11">
        <v>22054382.949999999</v>
      </c>
      <c r="NI80" s="11">
        <v>184435.3</v>
      </c>
      <c r="NJ80" s="11">
        <v>291901.15000000002</v>
      </c>
      <c r="NK80" s="11">
        <v>2118786.42</v>
      </c>
      <c r="NL80" s="11">
        <v>512492.39</v>
      </c>
      <c r="NM80" s="11">
        <v>268000</v>
      </c>
      <c r="NN80" s="11">
        <v>383487.79</v>
      </c>
      <c r="NO80" s="11">
        <v>9850</v>
      </c>
      <c r="NP80" s="11">
        <v>438657.25</v>
      </c>
      <c r="NQ80" s="11"/>
      <c r="NR80" s="11">
        <v>841320</v>
      </c>
      <c r="NS80" s="11"/>
      <c r="NT80" s="11"/>
      <c r="NU80" s="11">
        <v>103850</v>
      </c>
      <c r="NV80" s="11"/>
      <c r="NW80" s="11">
        <v>380132.5</v>
      </c>
      <c r="NX80" s="11"/>
      <c r="NY80" s="11">
        <v>20559510</v>
      </c>
      <c r="NZ80" s="11">
        <v>1688620.42</v>
      </c>
      <c r="OA80" s="11">
        <v>341000</v>
      </c>
      <c r="OB80" s="11">
        <v>0</v>
      </c>
      <c r="OC80" s="11">
        <v>38700</v>
      </c>
      <c r="OD80" s="11">
        <v>579410.84</v>
      </c>
      <c r="OE80" s="11">
        <v>7238990</v>
      </c>
      <c r="OF80" s="11">
        <v>3350773.32</v>
      </c>
      <c r="OG80" s="11">
        <v>371293.5</v>
      </c>
      <c r="OH80" s="11">
        <v>4843320.1900000004</v>
      </c>
      <c r="OI80" s="11">
        <v>77900</v>
      </c>
      <c r="OJ80" s="11">
        <v>2246109.2400000002</v>
      </c>
      <c r="OK80" s="11">
        <v>13064877.029999999</v>
      </c>
      <c r="OL80" s="11">
        <v>2858395</v>
      </c>
      <c r="OM80" s="11">
        <v>2046955.78</v>
      </c>
      <c r="ON80" s="11"/>
      <c r="OO80" s="11">
        <v>557707.19999999995</v>
      </c>
      <c r="OP80" s="11">
        <v>9789635.4399999995</v>
      </c>
      <c r="OQ80" s="11">
        <v>94585</v>
      </c>
      <c r="OR80" s="11">
        <v>91900</v>
      </c>
      <c r="OS80" s="11">
        <v>24964.2</v>
      </c>
      <c r="OT80" s="11">
        <v>0</v>
      </c>
      <c r="OU80" s="11">
        <v>263950</v>
      </c>
      <c r="OV80" s="11">
        <v>68450</v>
      </c>
      <c r="OW80" s="11">
        <v>301923</v>
      </c>
      <c r="OX80" s="11">
        <v>803658</v>
      </c>
      <c r="OY80" s="11">
        <v>1699250.2</v>
      </c>
      <c r="OZ80" s="11">
        <v>26940</v>
      </c>
      <c r="PA80" s="11">
        <v>52970</v>
      </c>
      <c r="PB80" s="11">
        <v>257760</v>
      </c>
      <c r="PC80" s="11">
        <v>3025360</v>
      </c>
      <c r="PD80" s="11">
        <v>156830</v>
      </c>
      <c r="PE80" s="11">
        <v>1063342.5</v>
      </c>
      <c r="PF80" s="11">
        <v>90959</v>
      </c>
      <c r="PG80" s="11">
        <v>628000</v>
      </c>
      <c r="PH80" s="11">
        <v>699385</v>
      </c>
      <c r="PI80" s="11">
        <v>1291178.6000000001</v>
      </c>
      <c r="PJ80" s="11">
        <v>399360</v>
      </c>
      <c r="PK80" s="11">
        <v>744925</v>
      </c>
      <c r="PL80" s="11">
        <v>1256400</v>
      </c>
      <c r="PM80" s="11">
        <v>249778</v>
      </c>
      <c r="PN80" s="11">
        <v>1585167</v>
      </c>
      <c r="PO80" s="11">
        <v>144620</v>
      </c>
      <c r="PP80" s="11">
        <v>3999170.01</v>
      </c>
      <c r="PQ80" s="11">
        <v>371259.55</v>
      </c>
      <c r="PR80" s="11">
        <v>150335</v>
      </c>
      <c r="PS80" s="11">
        <v>178190</v>
      </c>
      <c r="PT80" s="11">
        <v>567930</v>
      </c>
      <c r="PU80" s="11">
        <v>2866300</v>
      </c>
      <c r="PV80" s="11">
        <v>2003465.48</v>
      </c>
      <c r="PW80" s="11">
        <v>925700</v>
      </c>
      <c r="PX80" s="11">
        <v>164430</v>
      </c>
      <c r="PY80" s="11">
        <v>11029299.800000001</v>
      </c>
      <c r="PZ80" s="11">
        <v>1141942</v>
      </c>
      <c r="QA80" s="11">
        <v>936491.68</v>
      </c>
      <c r="QB80" s="11">
        <v>35090</v>
      </c>
      <c r="QC80" s="11">
        <v>52500</v>
      </c>
      <c r="QD80" s="11">
        <v>126116.5</v>
      </c>
      <c r="QE80" s="11">
        <v>1181860</v>
      </c>
      <c r="QF80" s="11">
        <v>518765</v>
      </c>
      <c r="QG80" s="11">
        <v>522589</v>
      </c>
      <c r="QH80" s="11">
        <v>496300</v>
      </c>
      <c r="QI80" s="11">
        <v>2098391.4500000002</v>
      </c>
      <c r="QJ80" s="11">
        <v>46645.3</v>
      </c>
      <c r="QK80" s="11">
        <v>330360</v>
      </c>
      <c r="QL80" s="11">
        <v>362476</v>
      </c>
      <c r="QM80" s="11">
        <v>184800</v>
      </c>
      <c r="QN80" s="11">
        <v>257860</v>
      </c>
      <c r="QO80" s="11"/>
      <c r="QP80" s="11">
        <v>175640</v>
      </c>
      <c r="QQ80" s="11"/>
      <c r="QR80" s="11">
        <v>127975.01</v>
      </c>
      <c r="QS80" s="11">
        <v>84739</v>
      </c>
      <c r="QT80" s="11">
        <v>569018.59</v>
      </c>
      <c r="QU80" s="11">
        <v>16387963.16</v>
      </c>
      <c r="QV80" s="11">
        <v>164490</v>
      </c>
      <c r="QW80" s="11">
        <v>385270</v>
      </c>
      <c r="QX80" s="11">
        <v>513209.5</v>
      </c>
      <c r="QY80" s="11">
        <v>251786.5</v>
      </c>
      <c r="QZ80" s="11">
        <v>1812299</v>
      </c>
      <c r="RA80" s="11">
        <v>626579.81999999995</v>
      </c>
      <c r="RB80" s="11">
        <v>3675792</v>
      </c>
      <c r="RC80" s="11">
        <v>714000</v>
      </c>
      <c r="RD80" s="11">
        <v>130025.14</v>
      </c>
      <c r="RE80" s="11">
        <v>173190</v>
      </c>
      <c r="RF80" s="11">
        <v>34000</v>
      </c>
      <c r="RG80" s="11">
        <v>926675</v>
      </c>
      <c r="RH80" s="11">
        <v>12661637</v>
      </c>
      <c r="RI80" s="11">
        <v>2132815.52</v>
      </c>
      <c r="RJ80" s="11">
        <v>1741790</v>
      </c>
      <c r="RK80" s="11">
        <v>605500</v>
      </c>
      <c r="RL80" s="11">
        <v>1081058</v>
      </c>
      <c r="RM80" s="11">
        <v>2001537.15</v>
      </c>
      <c r="RN80" s="11">
        <v>0</v>
      </c>
      <c r="RO80" s="11">
        <v>1119680</v>
      </c>
      <c r="RP80" s="11">
        <v>904990</v>
      </c>
      <c r="RQ80" s="11">
        <v>1821017</v>
      </c>
      <c r="RR80" s="11">
        <v>1942248</v>
      </c>
      <c r="RS80" s="11">
        <v>214087</v>
      </c>
      <c r="RT80" s="11">
        <v>276000</v>
      </c>
      <c r="RU80" s="11">
        <v>875995.89</v>
      </c>
      <c r="RV80" s="11">
        <v>361270</v>
      </c>
      <c r="RW80" s="11">
        <v>290150</v>
      </c>
      <c r="RX80" s="11">
        <v>1568694</v>
      </c>
      <c r="RY80" s="11">
        <v>59000</v>
      </c>
      <c r="RZ80" s="11">
        <v>336000</v>
      </c>
      <c r="SA80" s="11">
        <v>406220</v>
      </c>
      <c r="SB80" s="11">
        <v>4033291.78</v>
      </c>
      <c r="SC80" s="11">
        <v>333730</v>
      </c>
      <c r="SD80" s="11">
        <v>109430</v>
      </c>
      <c r="SE80" s="11">
        <v>348390</v>
      </c>
      <c r="SF80" s="11">
        <v>192530</v>
      </c>
      <c r="SG80" s="11">
        <v>647995</v>
      </c>
      <c r="SH80" s="11">
        <v>1478500</v>
      </c>
      <c r="SI80" s="11">
        <v>106590</v>
      </c>
      <c r="SJ80" s="11">
        <v>408763</v>
      </c>
      <c r="SK80" s="11">
        <v>545300</v>
      </c>
      <c r="SL80" s="11">
        <v>2260039</v>
      </c>
      <c r="SM80" s="11">
        <v>878661.24</v>
      </c>
      <c r="SN80" s="11">
        <v>663300</v>
      </c>
      <c r="SO80" s="11">
        <v>168670</v>
      </c>
      <c r="SP80" s="11">
        <v>75680</v>
      </c>
      <c r="SQ80" s="11">
        <v>843420</v>
      </c>
      <c r="SR80" s="11">
        <v>1700350</v>
      </c>
      <c r="SS80" s="11">
        <v>118678</v>
      </c>
      <c r="ST80" s="11">
        <v>870410</v>
      </c>
      <c r="SU80" s="11">
        <v>141760</v>
      </c>
      <c r="SV80" s="11">
        <v>1731368</v>
      </c>
      <c r="SW80" s="11">
        <v>271230</v>
      </c>
      <c r="SX80" s="11">
        <v>150940</v>
      </c>
      <c r="SY80" s="11">
        <v>2709040</v>
      </c>
      <c r="SZ80" s="11">
        <v>47200</v>
      </c>
      <c r="TA80" s="11">
        <v>71800</v>
      </c>
      <c r="TB80" s="11">
        <v>387972</v>
      </c>
      <c r="TC80" s="11">
        <v>2258555</v>
      </c>
      <c r="TD80" s="11">
        <v>20000</v>
      </c>
      <c r="TE80" s="11">
        <v>162422.5</v>
      </c>
      <c r="TF80" s="11">
        <v>505090</v>
      </c>
      <c r="TG80" s="11">
        <v>1550</v>
      </c>
      <c r="TH80" s="11">
        <v>436729</v>
      </c>
      <c r="TI80" s="11">
        <v>30700</v>
      </c>
      <c r="TJ80" s="11">
        <v>9531870.5</v>
      </c>
      <c r="TK80" s="11">
        <v>156770</v>
      </c>
      <c r="TL80" s="11">
        <v>441950</v>
      </c>
      <c r="TM80" s="11">
        <v>638230</v>
      </c>
      <c r="TN80" s="11">
        <v>491760</v>
      </c>
      <c r="TO80" s="11">
        <v>463890</v>
      </c>
      <c r="TP80" s="11">
        <v>89620</v>
      </c>
      <c r="TQ80" s="11">
        <v>6819371.79</v>
      </c>
      <c r="TR80" s="11">
        <v>262220</v>
      </c>
      <c r="TS80" s="11">
        <v>80100</v>
      </c>
      <c r="TT80" s="11">
        <v>2096425</v>
      </c>
      <c r="TU80" s="11">
        <v>63100</v>
      </c>
      <c r="TV80" s="11">
        <v>276060</v>
      </c>
      <c r="TW80" s="11">
        <v>88420</v>
      </c>
      <c r="TX80" s="11">
        <v>150446</v>
      </c>
      <c r="TY80" s="11">
        <v>120818</v>
      </c>
      <c r="TZ80" s="11">
        <v>1250500</v>
      </c>
      <c r="UA80" s="11">
        <v>271800</v>
      </c>
      <c r="UB80" s="11">
        <v>1310896.9099999999</v>
      </c>
      <c r="UC80" s="11">
        <v>179050</v>
      </c>
      <c r="UD80" s="11">
        <v>1070115</v>
      </c>
      <c r="UE80" s="11">
        <v>177980</v>
      </c>
      <c r="UF80" s="11">
        <v>3684967.9</v>
      </c>
      <c r="UG80" s="11">
        <v>599182</v>
      </c>
      <c r="UH80" s="11">
        <v>593723.55000000005</v>
      </c>
      <c r="UI80" s="11">
        <v>406113.44</v>
      </c>
      <c r="UJ80" s="11">
        <v>159750</v>
      </c>
      <c r="UK80" s="11">
        <v>8351554</v>
      </c>
      <c r="UL80" s="11">
        <v>738922</v>
      </c>
      <c r="UM80" s="11">
        <v>1596269.75</v>
      </c>
      <c r="UN80" s="11">
        <v>2134641</v>
      </c>
      <c r="UO80" s="11">
        <v>592360.63</v>
      </c>
      <c r="UP80" s="11">
        <v>569728.02</v>
      </c>
      <c r="UQ80" s="11">
        <v>20466932.489999998</v>
      </c>
      <c r="UR80" s="11">
        <v>395450</v>
      </c>
      <c r="US80" s="11">
        <v>440125</v>
      </c>
      <c r="UT80" s="11">
        <v>5006501</v>
      </c>
      <c r="UU80" s="11">
        <v>136068.25</v>
      </c>
      <c r="UV80" s="11">
        <v>653151</v>
      </c>
      <c r="UW80" s="11">
        <v>2616009</v>
      </c>
      <c r="UX80" s="11">
        <v>220080</v>
      </c>
      <c r="UY80" s="11">
        <v>42005</v>
      </c>
      <c r="UZ80" s="11">
        <v>780768</v>
      </c>
      <c r="VA80" s="11">
        <v>123625.75</v>
      </c>
      <c r="VB80" s="11">
        <v>1361500</v>
      </c>
      <c r="VC80" s="11">
        <v>1094590</v>
      </c>
      <c r="VD80" s="11">
        <v>870955</v>
      </c>
      <c r="VE80" s="11">
        <v>254977</v>
      </c>
      <c r="VF80" s="11">
        <v>673635</v>
      </c>
      <c r="VG80" s="11">
        <v>53648</v>
      </c>
      <c r="VH80" s="11">
        <v>1152146.5</v>
      </c>
      <c r="VI80" s="11">
        <v>2735128</v>
      </c>
      <c r="VJ80" s="11">
        <v>655400</v>
      </c>
      <c r="VK80" s="11">
        <v>807275</v>
      </c>
      <c r="VL80" s="11">
        <v>0</v>
      </c>
      <c r="VM80" s="11">
        <v>3611765.02</v>
      </c>
      <c r="VN80" s="11">
        <v>1990326</v>
      </c>
      <c r="VO80" s="11">
        <v>863268.93</v>
      </c>
      <c r="VP80" s="11">
        <v>0</v>
      </c>
      <c r="VQ80" s="11">
        <v>1193381.3999999999</v>
      </c>
      <c r="VR80" s="11">
        <v>1799012.05</v>
      </c>
      <c r="VS80" s="11">
        <v>2005177.65</v>
      </c>
      <c r="VT80" s="11">
        <v>409900</v>
      </c>
      <c r="VU80" s="11">
        <v>951800</v>
      </c>
      <c r="VV80" s="11">
        <v>1100202</v>
      </c>
      <c r="VW80" s="11">
        <v>279091.59999999998</v>
      </c>
      <c r="VX80" s="11">
        <v>4462745.3</v>
      </c>
      <c r="VY80" s="11">
        <v>1415762.38</v>
      </c>
      <c r="VZ80" s="11">
        <v>12000</v>
      </c>
      <c r="WA80" s="11">
        <v>11500</v>
      </c>
      <c r="WB80" s="11">
        <v>54665192.200000003</v>
      </c>
      <c r="WC80" s="11">
        <v>177536.35</v>
      </c>
      <c r="WD80" s="11">
        <v>223005</v>
      </c>
      <c r="WE80" s="11"/>
      <c r="WF80" s="11">
        <v>28500</v>
      </c>
      <c r="WG80" s="11">
        <v>548850</v>
      </c>
      <c r="WH80" s="11">
        <v>1419195</v>
      </c>
      <c r="WI80" s="11">
        <v>606476</v>
      </c>
      <c r="WJ80" s="11">
        <v>48880</v>
      </c>
      <c r="WK80" s="11">
        <v>115350</v>
      </c>
      <c r="WL80" s="11">
        <v>5190</v>
      </c>
      <c r="WM80" s="11">
        <v>155250</v>
      </c>
      <c r="WN80" s="11">
        <v>334390.46000000002</v>
      </c>
      <c r="WO80" s="11">
        <v>214084</v>
      </c>
      <c r="WP80" s="11">
        <v>5972646.8200000003</v>
      </c>
      <c r="WQ80" s="11">
        <v>323910</v>
      </c>
      <c r="WR80" s="11">
        <v>262868.59000000003</v>
      </c>
      <c r="WS80" s="11">
        <v>511000</v>
      </c>
      <c r="WT80" s="11">
        <v>45000</v>
      </c>
      <c r="WU80" s="11">
        <v>995043</v>
      </c>
      <c r="WV80" s="11">
        <v>2315359.75</v>
      </c>
      <c r="WW80" s="11">
        <v>702165.71</v>
      </c>
      <c r="WX80" s="11">
        <v>536370</v>
      </c>
      <c r="WY80" s="11">
        <v>590290.44999999995</v>
      </c>
      <c r="WZ80" s="11">
        <v>258618</v>
      </c>
      <c r="XA80" s="11">
        <v>442847.61</v>
      </c>
      <c r="XB80" s="11">
        <v>61680.66</v>
      </c>
      <c r="XC80" s="11">
        <v>627275</v>
      </c>
      <c r="XD80" s="11">
        <v>4118039.9</v>
      </c>
      <c r="XE80" s="11">
        <v>21018</v>
      </c>
      <c r="XF80" s="11">
        <v>510300</v>
      </c>
      <c r="XG80" s="11">
        <v>830655</v>
      </c>
      <c r="XH80" s="11">
        <v>587941.52</v>
      </c>
      <c r="XI80" s="11">
        <v>2089546.4</v>
      </c>
      <c r="XJ80" s="11">
        <v>1189369.2</v>
      </c>
      <c r="XK80" s="11">
        <v>142900</v>
      </c>
      <c r="XL80" s="11">
        <v>970700</v>
      </c>
      <c r="XM80" s="11">
        <v>103000</v>
      </c>
      <c r="XN80" s="11">
        <v>371431</v>
      </c>
      <c r="XO80" s="11">
        <v>1195350</v>
      </c>
      <c r="XP80" s="11">
        <v>647000</v>
      </c>
      <c r="XQ80" s="11">
        <v>79000</v>
      </c>
      <c r="XR80" s="11">
        <v>199900</v>
      </c>
      <c r="XS80" s="11">
        <v>3417800</v>
      </c>
      <c r="XT80" s="11">
        <v>31000</v>
      </c>
      <c r="XU80" s="11">
        <v>276255</v>
      </c>
      <c r="XV80" s="11">
        <v>1761700</v>
      </c>
      <c r="XW80" s="11">
        <v>109480</v>
      </c>
      <c r="XX80" s="11">
        <v>24500</v>
      </c>
      <c r="XY80" s="11">
        <v>64200</v>
      </c>
      <c r="XZ80" s="11">
        <v>41000</v>
      </c>
      <c r="YA80" s="11">
        <v>469200</v>
      </c>
      <c r="YB80" s="11">
        <v>213000</v>
      </c>
      <c r="YC80" s="11">
        <v>45000</v>
      </c>
      <c r="YD80" s="11">
        <v>0</v>
      </c>
      <c r="YE80" s="11">
        <v>18500</v>
      </c>
      <c r="YF80" s="11"/>
      <c r="YG80" s="11">
        <v>748500</v>
      </c>
      <c r="YH80" s="11">
        <v>1293400</v>
      </c>
      <c r="YI80" s="11">
        <v>1913712</v>
      </c>
      <c r="YJ80" s="11">
        <v>1321629.2</v>
      </c>
      <c r="YK80" s="11">
        <v>69000</v>
      </c>
      <c r="YL80" s="11">
        <v>3058940</v>
      </c>
      <c r="YM80" s="11">
        <v>106579.27</v>
      </c>
      <c r="YN80" s="11">
        <v>3461700</v>
      </c>
      <c r="YO80" s="11">
        <v>2346255</v>
      </c>
      <c r="YP80" s="11">
        <v>1633221.8</v>
      </c>
      <c r="YQ80" s="11">
        <v>25000</v>
      </c>
      <c r="YR80" s="11">
        <v>657000</v>
      </c>
      <c r="YS80" s="11">
        <v>0</v>
      </c>
      <c r="YT80" s="11">
        <v>230750</v>
      </c>
      <c r="YU80" s="11">
        <v>2611043.33</v>
      </c>
      <c r="YV80" s="11">
        <v>225000</v>
      </c>
      <c r="YW80" s="11">
        <v>1007730</v>
      </c>
      <c r="YX80" s="11">
        <v>13760.2</v>
      </c>
      <c r="YY80" s="11">
        <v>133222.29999999999</v>
      </c>
      <c r="YZ80" s="11">
        <v>43560</v>
      </c>
      <c r="ZA80" s="11">
        <v>58400</v>
      </c>
      <c r="ZB80" s="11">
        <v>180000</v>
      </c>
      <c r="ZC80" s="11">
        <v>239400</v>
      </c>
      <c r="ZD80" s="11">
        <v>328320</v>
      </c>
      <c r="ZE80" s="11">
        <v>238310</v>
      </c>
      <c r="ZF80" s="11">
        <v>1709650</v>
      </c>
      <c r="ZG80" s="11">
        <v>82800</v>
      </c>
      <c r="ZH80" s="11">
        <v>427695</v>
      </c>
      <c r="ZI80" s="11">
        <v>874350</v>
      </c>
      <c r="ZJ80" s="11">
        <v>288796</v>
      </c>
      <c r="ZK80" s="11">
        <v>89000</v>
      </c>
      <c r="ZL80" s="11">
        <v>987530</v>
      </c>
      <c r="ZM80" s="11">
        <v>13026930</v>
      </c>
      <c r="ZN80" s="11">
        <v>950000</v>
      </c>
      <c r="ZO80" s="11">
        <v>962330</v>
      </c>
      <c r="ZP80" s="11">
        <v>4957550</v>
      </c>
      <c r="ZQ80" s="11">
        <v>915460</v>
      </c>
      <c r="ZR80" s="11">
        <v>22016</v>
      </c>
      <c r="ZS80" s="11">
        <v>27285</v>
      </c>
      <c r="ZT80" s="11">
        <v>556946</v>
      </c>
      <c r="ZU80" s="11">
        <v>543231.98</v>
      </c>
      <c r="ZV80" s="11">
        <v>4829000</v>
      </c>
      <c r="ZW80" s="11">
        <v>479067</v>
      </c>
      <c r="ZX80" s="11">
        <v>510000</v>
      </c>
      <c r="ZY80" s="11">
        <v>584690</v>
      </c>
      <c r="ZZ80" s="11">
        <v>3173460</v>
      </c>
      <c r="AAA80" s="11">
        <v>311800</v>
      </c>
      <c r="AAB80" s="11">
        <v>494116</v>
      </c>
      <c r="AAC80" s="11">
        <v>906200</v>
      </c>
      <c r="AAD80" s="11"/>
      <c r="AAE80" s="11">
        <v>357900</v>
      </c>
      <c r="AAF80" s="11">
        <v>263822</v>
      </c>
      <c r="AAG80" s="11">
        <v>135875</v>
      </c>
      <c r="AAH80" s="11">
        <v>447323.83</v>
      </c>
      <c r="AAI80" s="11">
        <v>289735</v>
      </c>
      <c r="AAJ80" s="11">
        <v>414282</v>
      </c>
      <c r="AAK80" s="11">
        <v>120430</v>
      </c>
      <c r="AAL80" s="11"/>
      <c r="AAM80" s="11">
        <v>47780</v>
      </c>
      <c r="AAN80" s="11">
        <v>1161954</v>
      </c>
      <c r="AAO80" s="11">
        <v>35200</v>
      </c>
      <c r="AAP80" s="11">
        <v>53486901</v>
      </c>
      <c r="AAQ80" s="11">
        <v>616060</v>
      </c>
      <c r="AAR80" s="11">
        <v>870390</v>
      </c>
      <c r="AAS80" s="11">
        <v>3900450</v>
      </c>
      <c r="AAT80" s="11">
        <v>190463.2</v>
      </c>
      <c r="AAU80" s="11">
        <v>0</v>
      </c>
      <c r="AAV80" s="11">
        <v>1134170</v>
      </c>
      <c r="AAW80" s="11">
        <v>155525.25</v>
      </c>
      <c r="AAX80" s="11">
        <v>1790916</v>
      </c>
      <c r="AAY80" s="11">
        <v>775979</v>
      </c>
      <c r="AAZ80" s="11">
        <v>852080</v>
      </c>
      <c r="ABA80" s="11">
        <v>935365.5</v>
      </c>
      <c r="ABB80" s="11">
        <v>1691817</v>
      </c>
      <c r="ABC80" s="11">
        <v>149500</v>
      </c>
      <c r="ABD80" s="11">
        <v>331960</v>
      </c>
      <c r="ABE80" s="11">
        <v>113150</v>
      </c>
      <c r="ABF80" s="11">
        <v>557050</v>
      </c>
      <c r="ABG80" s="11">
        <v>41970</v>
      </c>
      <c r="ABH80" s="11">
        <v>141900</v>
      </c>
      <c r="ABI80" s="11">
        <v>7696036</v>
      </c>
      <c r="ABJ80" s="11">
        <v>13036961</v>
      </c>
      <c r="ABK80" s="11">
        <v>2468060</v>
      </c>
      <c r="ABL80" s="11">
        <v>95445</v>
      </c>
      <c r="ABM80" s="11">
        <v>440430</v>
      </c>
      <c r="ABN80" s="11">
        <v>0</v>
      </c>
      <c r="ABO80" s="11">
        <v>2071347</v>
      </c>
      <c r="ABP80" s="11">
        <v>6235231</v>
      </c>
      <c r="ABQ80" s="11">
        <v>620620</v>
      </c>
      <c r="ABR80" s="11">
        <v>997377</v>
      </c>
      <c r="ABS80" s="11">
        <v>510200</v>
      </c>
      <c r="ABT80" s="11">
        <v>48510</v>
      </c>
      <c r="ABU80" s="11">
        <v>64200</v>
      </c>
      <c r="ABV80" s="11">
        <v>63500</v>
      </c>
      <c r="ABW80" s="11">
        <v>514070</v>
      </c>
      <c r="ABX80" s="11"/>
      <c r="ABY80" s="11">
        <v>1954700</v>
      </c>
      <c r="ABZ80" s="11">
        <v>-0.01</v>
      </c>
      <c r="ACA80" s="11">
        <v>167255.23000000001</v>
      </c>
      <c r="ACB80" s="11">
        <v>0</v>
      </c>
      <c r="ACC80" s="11">
        <v>230706</v>
      </c>
      <c r="ACD80" s="11">
        <v>1508163.13</v>
      </c>
      <c r="ACE80" s="11">
        <v>-97360.42</v>
      </c>
      <c r="ACF80" s="11">
        <v>932700</v>
      </c>
      <c r="ACG80" s="11">
        <v>29470</v>
      </c>
      <c r="ACH80" s="11">
        <v>70879.92</v>
      </c>
      <c r="ACI80" s="11">
        <v>183024</v>
      </c>
      <c r="ACJ80" s="11">
        <v>27366270</v>
      </c>
      <c r="ACK80" s="11">
        <v>160000</v>
      </c>
      <c r="ACL80" s="11">
        <v>184000</v>
      </c>
      <c r="ACM80" s="11">
        <v>320553</v>
      </c>
      <c r="ACN80" s="11">
        <v>509100</v>
      </c>
      <c r="ACO80" s="11">
        <v>26400</v>
      </c>
      <c r="ACP80" s="11">
        <v>577027.02</v>
      </c>
      <c r="ACQ80" s="11">
        <v>4344895.3499999996</v>
      </c>
      <c r="ACR80" s="11">
        <v>2187070</v>
      </c>
      <c r="ACS80" s="11">
        <v>676201</v>
      </c>
      <c r="ACT80" s="11">
        <v>999411.96</v>
      </c>
      <c r="ACU80" s="11">
        <v>326090</v>
      </c>
      <c r="ACV80" s="11">
        <v>8270</v>
      </c>
      <c r="ACW80" s="11">
        <v>2515440</v>
      </c>
      <c r="ACX80" s="11">
        <v>170990</v>
      </c>
      <c r="ACY80" s="11"/>
      <c r="ACZ80" s="11">
        <v>62926.11</v>
      </c>
      <c r="ADA80" s="11">
        <v>791815</v>
      </c>
      <c r="ADB80" s="11">
        <v>252170</v>
      </c>
      <c r="ADC80" s="11"/>
      <c r="ADD80" s="11">
        <v>2700730</v>
      </c>
      <c r="ADE80" s="11"/>
      <c r="ADF80" s="11"/>
      <c r="ADG80" s="11">
        <v>564250</v>
      </c>
      <c r="ADH80" s="11">
        <v>149240</v>
      </c>
      <c r="ADI80" s="11"/>
      <c r="ADJ80" s="11">
        <v>8488</v>
      </c>
      <c r="ADK80" s="11"/>
      <c r="ADL80" s="11">
        <v>17749</v>
      </c>
      <c r="ADM80" s="11">
        <v>0</v>
      </c>
      <c r="ADN80" s="11">
        <v>593120</v>
      </c>
      <c r="ADO80" s="11">
        <v>377090</v>
      </c>
      <c r="ADP80" s="11">
        <v>5680325.1500000004</v>
      </c>
      <c r="ADQ80" s="11">
        <v>353030</v>
      </c>
      <c r="ADR80" s="11">
        <v>510153.5</v>
      </c>
      <c r="ADS80" s="11">
        <v>177795.33</v>
      </c>
      <c r="ADT80" s="11">
        <v>3179780.1</v>
      </c>
      <c r="ADU80" s="11">
        <v>66790</v>
      </c>
      <c r="ADV80" s="11">
        <v>646640.65</v>
      </c>
      <c r="ADW80" s="11">
        <v>795320</v>
      </c>
      <c r="ADX80" s="11">
        <v>0</v>
      </c>
      <c r="ADY80" s="11">
        <v>253150</v>
      </c>
      <c r="ADZ80" s="11">
        <v>46419995.75</v>
      </c>
      <c r="AEA80" s="11">
        <v>30320709</v>
      </c>
      <c r="AEB80" s="11">
        <v>819440</v>
      </c>
      <c r="AEC80" s="11">
        <v>570336.4</v>
      </c>
      <c r="AED80" s="11">
        <v>1329650</v>
      </c>
      <c r="AEE80" s="11">
        <v>1380955.9</v>
      </c>
      <c r="AEF80" s="11">
        <v>309540</v>
      </c>
      <c r="AEG80" s="11">
        <v>307000</v>
      </c>
      <c r="AEH80" s="11">
        <v>909625.49</v>
      </c>
      <c r="AEI80" s="11">
        <v>477250</v>
      </c>
      <c r="AEJ80" s="11">
        <v>351800.82</v>
      </c>
      <c r="AEK80" s="11">
        <v>3181682.05</v>
      </c>
      <c r="AEL80" s="11">
        <v>75906</v>
      </c>
      <c r="AEM80" s="11">
        <v>1363500</v>
      </c>
      <c r="AEN80" s="11">
        <v>28800</v>
      </c>
      <c r="AEO80" s="11">
        <v>3253818.38</v>
      </c>
      <c r="AEP80" s="11">
        <v>58550</v>
      </c>
      <c r="AEQ80" s="11">
        <v>1077290</v>
      </c>
      <c r="AER80" s="11">
        <v>25300</v>
      </c>
      <c r="AES80" s="11">
        <v>1694990</v>
      </c>
      <c r="AET80" s="11">
        <v>4709163.5</v>
      </c>
      <c r="AEU80" s="11">
        <v>211872.35</v>
      </c>
      <c r="AEV80" s="11">
        <v>212739.45</v>
      </c>
      <c r="AEW80" s="11">
        <v>141190</v>
      </c>
      <c r="AEX80" s="11">
        <v>85000</v>
      </c>
      <c r="AEY80" s="11">
        <v>1699136.45</v>
      </c>
      <c r="AEZ80" s="11">
        <v>110942.9</v>
      </c>
      <c r="AFA80" s="11">
        <v>75000</v>
      </c>
      <c r="AFB80" s="11">
        <v>19600</v>
      </c>
      <c r="AFC80" s="11">
        <v>1245430</v>
      </c>
      <c r="AFD80" s="11">
        <v>293500</v>
      </c>
      <c r="AFE80" s="11">
        <v>1100</v>
      </c>
      <c r="AFF80" s="11">
        <v>8774</v>
      </c>
      <c r="AFG80" s="11">
        <v>256423</v>
      </c>
      <c r="AFH80" s="11">
        <v>1000655</v>
      </c>
      <c r="AFI80" s="11">
        <v>1309350.03</v>
      </c>
      <c r="AFJ80" s="11">
        <v>205200</v>
      </c>
      <c r="AFK80" s="11">
        <v>147020</v>
      </c>
      <c r="AFL80" s="11">
        <v>1232992.08</v>
      </c>
      <c r="AFM80" s="11">
        <v>1589673.46</v>
      </c>
      <c r="AFN80" s="11">
        <v>982958.9</v>
      </c>
      <c r="AFO80" s="11">
        <v>130200</v>
      </c>
      <c r="AFP80" s="11">
        <v>334622</v>
      </c>
      <c r="AFQ80" s="11">
        <v>5392809.25</v>
      </c>
      <c r="AFR80" s="11">
        <v>1189473.8500000001</v>
      </c>
      <c r="AFS80" s="11">
        <v>717895</v>
      </c>
      <c r="AFT80" s="11">
        <v>225460</v>
      </c>
      <c r="AFU80" s="11">
        <v>748150.5</v>
      </c>
      <c r="AFV80" s="11">
        <v>77579</v>
      </c>
      <c r="AFW80" s="11">
        <v>567490.47</v>
      </c>
      <c r="AFX80" s="11">
        <v>254026.12</v>
      </c>
      <c r="AFY80" s="11">
        <v>247550.8</v>
      </c>
      <c r="AFZ80" s="11">
        <v>323656</v>
      </c>
      <c r="AGA80" s="11">
        <v>1146186.6000000001</v>
      </c>
      <c r="AGB80" s="11">
        <v>318444.40000000002</v>
      </c>
      <c r="AGC80" s="11">
        <v>34329</v>
      </c>
      <c r="AGD80" s="11">
        <v>1377940</v>
      </c>
      <c r="AGE80" s="11">
        <v>2348980</v>
      </c>
      <c r="AGF80" s="11">
        <v>335311</v>
      </c>
      <c r="AGG80" s="11">
        <v>1152996.6200000001</v>
      </c>
      <c r="AGH80" s="11">
        <v>184050</v>
      </c>
      <c r="AGI80" s="11">
        <v>352360</v>
      </c>
      <c r="AGJ80" s="11">
        <v>257590</v>
      </c>
      <c r="AGK80" s="11">
        <v>141745</v>
      </c>
      <c r="AGL80" s="11">
        <v>252358</v>
      </c>
      <c r="AGM80" s="11">
        <v>307640</v>
      </c>
      <c r="AGN80" s="11">
        <v>1503249.05</v>
      </c>
      <c r="AGO80" s="11">
        <v>625966.4</v>
      </c>
      <c r="AGP80" s="11">
        <v>672000</v>
      </c>
      <c r="AGQ80" s="11">
        <v>30000</v>
      </c>
      <c r="AGR80" s="11">
        <v>174928</v>
      </c>
      <c r="AGS80" s="11">
        <v>591850</v>
      </c>
      <c r="AGT80" s="11">
        <v>0</v>
      </c>
      <c r="AGU80" s="11">
        <v>165149.70000000001</v>
      </c>
      <c r="AGV80" s="11"/>
      <c r="AGW80" s="11"/>
      <c r="AGX80" s="11">
        <v>273815</v>
      </c>
      <c r="AGY80" s="11">
        <v>34500</v>
      </c>
      <c r="AGZ80" s="11">
        <v>653276</v>
      </c>
      <c r="AHA80" s="11">
        <v>453030.8</v>
      </c>
      <c r="AHB80" s="11">
        <v>692650</v>
      </c>
      <c r="AHC80" s="11">
        <v>50550</v>
      </c>
      <c r="AHD80" s="11">
        <v>175697.49</v>
      </c>
      <c r="AHE80" s="11">
        <v>544200</v>
      </c>
      <c r="AHF80" s="11">
        <v>609992.4</v>
      </c>
      <c r="AHG80" s="11">
        <v>2634775.13</v>
      </c>
      <c r="AHH80" s="11">
        <v>449286.91</v>
      </c>
      <c r="AHI80" s="11">
        <v>393300</v>
      </c>
      <c r="AHJ80" s="11">
        <v>162481</v>
      </c>
      <c r="AHK80" s="11">
        <v>77000</v>
      </c>
      <c r="AHL80" s="11">
        <v>469500</v>
      </c>
      <c r="AHM80" s="11"/>
      <c r="AHN80" s="11">
        <v>418867.4</v>
      </c>
      <c r="AHO80" s="11">
        <v>29065</v>
      </c>
      <c r="AHP80" s="11">
        <v>242043.33</v>
      </c>
      <c r="AHQ80" s="11">
        <v>6933005</v>
      </c>
      <c r="AHR80" s="11">
        <v>63722</v>
      </c>
      <c r="AHS80" s="11">
        <v>135700</v>
      </c>
      <c r="AHT80" s="11">
        <v>1162907997.1000006</v>
      </c>
      <c r="AHV80" s="269" t="s">
        <v>6278</v>
      </c>
      <c r="AHW80" s="269" t="s">
        <v>6101</v>
      </c>
      <c r="AHX80" s="269" t="s">
        <v>6102</v>
      </c>
    </row>
    <row r="81" spans="1:908" x14ac:dyDescent="0.7">
      <c r="A81" s="6" t="s">
        <v>6278</v>
      </c>
      <c r="B81" s="6" t="s">
        <v>6107</v>
      </c>
      <c r="C81" s="6" t="s">
        <v>6108</v>
      </c>
      <c r="D81" s="11"/>
      <c r="E81" s="11">
        <v>0</v>
      </c>
      <c r="F81" s="11"/>
      <c r="G81" s="11"/>
      <c r="H81" s="11">
        <v>251600</v>
      </c>
      <c r="I81" s="11">
        <v>0</v>
      </c>
      <c r="J81" s="11">
        <v>0</v>
      </c>
      <c r="K81" s="11">
        <v>0</v>
      </c>
      <c r="L81" s="11"/>
      <c r="M81" s="11"/>
      <c r="N81" s="11"/>
      <c r="O81" s="11"/>
      <c r="P81" s="11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>
        <v>1138561</v>
      </c>
      <c r="AP81" s="11">
        <v>185000</v>
      </c>
      <c r="AQ81" s="11"/>
      <c r="AR81" s="11"/>
      <c r="AS81" s="11"/>
      <c r="AT81" s="11"/>
      <c r="AU81" s="11"/>
      <c r="AV81" s="11"/>
      <c r="AW81" s="11">
        <v>0</v>
      </c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>
        <v>0</v>
      </c>
      <c r="BI81" s="11"/>
      <c r="BJ81" s="11"/>
      <c r="BK81" s="11"/>
      <c r="BL81" s="11"/>
      <c r="BM81" s="11"/>
      <c r="BN81" s="11"/>
      <c r="BO81" s="11"/>
      <c r="BP81" s="11"/>
      <c r="BQ81" s="11"/>
      <c r="BR81" s="11">
        <v>0</v>
      </c>
      <c r="BS81" s="11"/>
      <c r="BT81" s="11"/>
      <c r="BU81" s="11"/>
      <c r="BV81" s="11"/>
      <c r="BW81" s="11"/>
      <c r="BX81" s="11"/>
      <c r="BY81" s="11">
        <v>0</v>
      </c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>
        <v>0</v>
      </c>
      <c r="CO81" s="11"/>
      <c r="CP81" s="11"/>
      <c r="CQ81" s="11"/>
      <c r="CR81" s="11"/>
      <c r="CS81" s="11"/>
      <c r="CT81" s="11">
        <v>0</v>
      </c>
      <c r="CU81" s="11"/>
      <c r="CV81" s="11"/>
      <c r="CW81" s="11"/>
      <c r="CX81" s="11"/>
      <c r="CY81" s="11"/>
      <c r="CZ81" s="11"/>
      <c r="DA81" s="11"/>
      <c r="DB81" s="11">
        <v>0</v>
      </c>
      <c r="DC81" s="11"/>
      <c r="DD81" s="11"/>
      <c r="DE81" s="11"/>
      <c r="DF81" s="11"/>
      <c r="DG81" s="11"/>
      <c r="DH81" s="11"/>
      <c r="DI81" s="11"/>
      <c r="DJ81" s="11">
        <v>0</v>
      </c>
      <c r="DK81" s="11"/>
      <c r="DL81" s="11"/>
      <c r="DM81" s="11"/>
      <c r="DN81" s="11"/>
      <c r="DO81" s="11"/>
      <c r="DP81" s="11"/>
      <c r="DQ81" s="11"/>
      <c r="DR81" s="11"/>
      <c r="DS81" s="11">
        <v>50000</v>
      </c>
      <c r="DT81" s="11"/>
      <c r="DU81" s="11"/>
      <c r="DV81" s="11"/>
      <c r="DW81" s="11"/>
      <c r="DX81" s="11"/>
      <c r="DY81" s="11"/>
      <c r="DZ81" s="11">
        <v>226000</v>
      </c>
      <c r="EA81" s="11">
        <v>0</v>
      </c>
      <c r="EB81" s="11"/>
      <c r="EC81" s="11">
        <v>0</v>
      </c>
      <c r="ED81" s="11"/>
      <c r="EE81" s="11"/>
      <c r="EF81" s="11">
        <v>0</v>
      </c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>
        <v>0</v>
      </c>
      <c r="ET81" s="11"/>
      <c r="EU81" s="11">
        <v>0</v>
      </c>
      <c r="EV81" s="11"/>
      <c r="EW81" s="11">
        <v>0</v>
      </c>
      <c r="EX81" s="11"/>
      <c r="EY81" s="11">
        <v>499500</v>
      </c>
      <c r="EZ81" s="11">
        <v>0</v>
      </c>
      <c r="FA81" s="11"/>
      <c r="FB81" s="11"/>
      <c r="FC81" s="11"/>
      <c r="FD81" s="11">
        <v>129000</v>
      </c>
      <c r="FE81" s="11"/>
      <c r="FF81" s="11"/>
      <c r="FG81" s="11"/>
      <c r="FH81" s="11"/>
      <c r="FI81" s="11">
        <v>0</v>
      </c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>
        <v>736540</v>
      </c>
      <c r="GG81" s="11"/>
      <c r="GH81" s="11"/>
      <c r="GI81" s="11"/>
      <c r="GJ81" s="11">
        <v>0</v>
      </c>
      <c r="GK81" s="11">
        <v>0</v>
      </c>
      <c r="GL81" s="11"/>
      <c r="GM81" s="11"/>
      <c r="GN81" s="11"/>
      <c r="GO81" s="11"/>
      <c r="GP81" s="11">
        <v>0</v>
      </c>
      <c r="GQ81" s="11"/>
      <c r="GR81" s="11"/>
      <c r="GS81" s="11"/>
      <c r="GT81" s="11"/>
      <c r="GU81" s="11"/>
      <c r="GV81" s="11"/>
      <c r="GW81" s="11"/>
      <c r="GX81" s="11"/>
      <c r="GY81" s="11">
        <v>1488000</v>
      </c>
      <c r="GZ81" s="11"/>
      <c r="HA81" s="11"/>
      <c r="HB81" s="11">
        <v>0</v>
      </c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>
        <v>0</v>
      </c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>
        <v>0</v>
      </c>
      <c r="IL81" s="11"/>
      <c r="IM81" s="11"/>
      <c r="IN81" s="11"/>
      <c r="IO81" s="11"/>
      <c r="IP81" s="11"/>
      <c r="IQ81" s="11"/>
      <c r="IR81" s="11">
        <v>0</v>
      </c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>
        <v>180000</v>
      </c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>
        <v>200000</v>
      </c>
      <c r="KG81" s="11"/>
      <c r="KH81" s="11">
        <v>0</v>
      </c>
      <c r="KI81" s="11">
        <v>6716037.3799999999</v>
      </c>
      <c r="KJ81" s="11">
        <v>0</v>
      </c>
      <c r="KK81" s="11"/>
      <c r="KL81" s="11"/>
      <c r="KM81" s="11">
        <v>0</v>
      </c>
      <c r="KN81" s="11"/>
      <c r="KO81" s="11">
        <v>0</v>
      </c>
      <c r="KP81" s="11"/>
      <c r="KQ81" s="11"/>
      <c r="KR81" s="11"/>
      <c r="KS81" s="11"/>
      <c r="KT81" s="11"/>
      <c r="KU81" s="11"/>
      <c r="KV81" s="11"/>
      <c r="KW81" s="11">
        <v>0</v>
      </c>
      <c r="KX81" s="11">
        <v>1377383.94</v>
      </c>
      <c r="KY81" s="11"/>
      <c r="KZ81" s="11"/>
      <c r="LA81" s="11">
        <v>488000</v>
      </c>
      <c r="LB81" s="11"/>
      <c r="LC81" s="11"/>
      <c r="LD81" s="11"/>
      <c r="LE81" s="11"/>
      <c r="LF81" s="11">
        <v>258000</v>
      </c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>
        <v>150000</v>
      </c>
      <c r="ME81" s="11"/>
      <c r="MF81" s="11"/>
      <c r="MG81" s="11"/>
      <c r="MH81" s="11"/>
      <c r="MI81" s="11"/>
      <c r="MJ81" s="11">
        <v>287000</v>
      </c>
      <c r="MK81" s="11"/>
      <c r="ML81" s="11"/>
      <c r="MM81" s="11"/>
      <c r="MN81" s="11">
        <v>310000</v>
      </c>
      <c r="MO81" s="11">
        <v>500000</v>
      </c>
      <c r="MP81" s="11"/>
      <c r="MQ81" s="11">
        <v>0</v>
      </c>
      <c r="MR81" s="11"/>
      <c r="MS81" s="11"/>
      <c r="MT81" s="11"/>
      <c r="MU81" s="11"/>
      <c r="MV81" s="11"/>
      <c r="MW81" s="11"/>
      <c r="MX81" s="11"/>
      <c r="MY81" s="11"/>
      <c r="MZ81" s="11">
        <v>0</v>
      </c>
      <c r="NA81" s="11"/>
      <c r="NB81" s="11">
        <v>207700</v>
      </c>
      <c r="NC81" s="11"/>
      <c r="ND81" s="11"/>
      <c r="NE81" s="11"/>
      <c r="NF81" s="11"/>
      <c r="NG81" s="11"/>
      <c r="NH81" s="11">
        <v>6264800</v>
      </c>
      <c r="NI81" s="11"/>
      <c r="NJ81" s="11"/>
      <c r="NK81" s="11"/>
      <c r="NL81" s="11">
        <v>19399836</v>
      </c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>
        <v>0</v>
      </c>
      <c r="OI81" s="11"/>
      <c r="OJ81" s="11"/>
      <c r="OK81" s="11"/>
      <c r="OL81" s="11">
        <v>0</v>
      </c>
      <c r="OM81" s="11"/>
      <c r="ON81" s="11"/>
      <c r="OO81" s="11"/>
      <c r="OP81" s="11">
        <v>195200</v>
      </c>
      <c r="OQ81" s="11"/>
      <c r="OR81" s="11"/>
      <c r="OS81" s="11"/>
      <c r="OT81" s="11"/>
      <c r="OU81" s="11"/>
      <c r="OV81" s="11"/>
      <c r="OW81" s="11"/>
      <c r="OX81" s="11">
        <v>0</v>
      </c>
      <c r="OY81" s="11"/>
      <c r="OZ81" s="11"/>
      <c r="PA81" s="11">
        <v>0</v>
      </c>
      <c r="PB81" s="11"/>
      <c r="PC81" s="11"/>
      <c r="PD81" s="11"/>
      <c r="PE81" s="11">
        <v>277800</v>
      </c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>
        <v>172026.25</v>
      </c>
      <c r="PQ81" s="11"/>
      <c r="PR81" s="11"/>
      <c r="PS81" s="11"/>
      <c r="PT81" s="11"/>
      <c r="PU81" s="11"/>
      <c r="PV81" s="11"/>
      <c r="PW81" s="11"/>
      <c r="PX81" s="11"/>
      <c r="PY81" s="11">
        <v>0</v>
      </c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>
        <v>0</v>
      </c>
      <c r="QP81" s="11"/>
      <c r="QQ81" s="11"/>
      <c r="QR81" s="11"/>
      <c r="QS81" s="11"/>
      <c r="QT81" s="11"/>
      <c r="QU81" s="11">
        <v>475000</v>
      </c>
      <c r="QV81" s="11"/>
      <c r="QW81" s="11"/>
      <c r="QX81" s="11"/>
      <c r="QY81" s="11"/>
      <c r="QZ81" s="11"/>
      <c r="RA81" s="11"/>
      <c r="RB81" s="11"/>
      <c r="RC81" s="11"/>
      <c r="RD81" s="11"/>
      <c r="RE81" s="11">
        <v>330000</v>
      </c>
      <c r="RF81" s="11"/>
      <c r="RG81" s="11"/>
      <c r="RH81" s="11"/>
      <c r="RI81" s="11"/>
      <c r="RJ81" s="11"/>
      <c r="RK81" s="11"/>
      <c r="RL81" s="11">
        <v>0</v>
      </c>
      <c r="RM81" s="11"/>
      <c r="RN81" s="11"/>
      <c r="RO81" s="11">
        <v>676000</v>
      </c>
      <c r="RP81" s="11"/>
      <c r="RQ81" s="11"/>
      <c r="RR81" s="11">
        <v>598440</v>
      </c>
      <c r="RS81" s="11"/>
      <c r="RT81" s="11"/>
      <c r="RU81" s="11">
        <v>166800</v>
      </c>
      <c r="RV81" s="11"/>
      <c r="RW81" s="11"/>
      <c r="RX81" s="11">
        <v>30000</v>
      </c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>
        <v>0</v>
      </c>
      <c r="SQ81" s="11"/>
      <c r="SR81" s="11"/>
      <c r="SS81" s="11">
        <v>0</v>
      </c>
      <c r="ST81" s="11"/>
      <c r="SU81" s="11"/>
      <c r="SV81" s="11"/>
      <c r="SW81" s="11">
        <v>0</v>
      </c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>
        <v>0</v>
      </c>
      <c r="TK81" s="11"/>
      <c r="TL81" s="11"/>
      <c r="TM81" s="11"/>
      <c r="TN81" s="11"/>
      <c r="TO81" s="11"/>
      <c r="TP81" s="11"/>
      <c r="TQ81" s="11"/>
      <c r="TR81" s="11"/>
      <c r="TS81" s="11">
        <v>0</v>
      </c>
      <c r="TT81" s="11"/>
      <c r="TU81" s="11"/>
      <c r="TV81" s="11"/>
      <c r="TW81" s="11"/>
      <c r="TX81" s="11">
        <v>198000</v>
      </c>
      <c r="TY81" s="11">
        <v>267000</v>
      </c>
      <c r="TZ81" s="11"/>
      <c r="UA81" s="11"/>
      <c r="UB81" s="11">
        <v>984000</v>
      </c>
      <c r="UC81" s="11">
        <v>341000</v>
      </c>
      <c r="UD81" s="11"/>
      <c r="UE81" s="11">
        <v>0</v>
      </c>
      <c r="UF81" s="11">
        <v>86300</v>
      </c>
      <c r="UG81" s="11">
        <v>0</v>
      </c>
      <c r="UH81" s="11"/>
      <c r="UI81" s="11"/>
      <c r="UJ81" s="11">
        <v>0</v>
      </c>
      <c r="UK81" s="11"/>
      <c r="UL81" s="11"/>
      <c r="UM81" s="11"/>
      <c r="UN81" s="11"/>
      <c r="UO81" s="11">
        <v>1011600</v>
      </c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>
        <v>0</v>
      </c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>
        <v>273500</v>
      </c>
      <c r="WD81" s="11"/>
      <c r="WE81" s="11"/>
      <c r="WF81" s="11">
        <v>498000</v>
      </c>
      <c r="WG81" s="11">
        <v>0</v>
      </c>
      <c r="WH81" s="11">
        <v>0</v>
      </c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>
        <v>924783.85</v>
      </c>
      <c r="WV81" s="11"/>
      <c r="WW81" s="11"/>
      <c r="WX81" s="11"/>
      <c r="WY81" s="11"/>
      <c r="WZ81" s="11"/>
      <c r="XA81" s="11"/>
      <c r="XB81" s="11"/>
      <c r="XC81" s="11"/>
      <c r="XD81" s="11">
        <v>0</v>
      </c>
      <c r="XE81" s="11"/>
      <c r="XF81" s="11">
        <v>0</v>
      </c>
      <c r="XG81" s="11"/>
      <c r="XH81" s="11"/>
      <c r="XI81" s="11"/>
      <c r="XJ81" s="11"/>
      <c r="XK81" s="11">
        <v>942500</v>
      </c>
      <c r="XL81" s="11">
        <v>1555400</v>
      </c>
      <c r="XM81" s="11"/>
      <c r="XN81" s="11"/>
      <c r="XO81" s="11"/>
      <c r="XP81" s="11"/>
      <c r="XQ81" s="11">
        <v>0</v>
      </c>
      <c r="XR81" s="11"/>
      <c r="XS81" s="11">
        <v>99510</v>
      </c>
      <c r="XT81" s="11"/>
      <c r="XU81" s="11">
        <v>64200</v>
      </c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>
        <v>17200</v>
      </c>
      <c r="YN81" s="11"/>
      <c r="YO81" s="11"/>
      <c r="YP81" s="11"/>
      <c r="YQ81" s="11">
        <v>143500</v>
      </c>
      <c r="YR81" s="11"/>
      <c r="YS81" s="11"/>
      <c r="YT81" s="11"/>
      <c r="YU81" s="11">
        <v>98000</v>
      </c>
      <c r="YV81" s="11">
        <v>963000</v>
      </c>
      <c r="YW81" s="11">
        <v>80609</v>
      </c>
      <c r="YX81" s="11"/>
      <c r="YY81" s="11"/>
      <c r="YZ81" s="11"/>
      <c r="ZA81" s="11"/>
      <c r="ZB81" s="11"/>
      <c r="ZC81" s="11"/>
      <c r="ZD81" s="11">
        <v>0</v>
      </c>
      <c r="ZE81" s="11"/>
      <c r="ZF81" s="11"/>
      <c r="ZG81" s="11"/>
      <c r="ZH81" s="11">
        <v>0</v>
      </c>
      <c r="ZI81" s="11"/>
      <c r="ZJ81" s="11"/>
      <c r="ZK81" s="11"/>
      <c r="ZL81" s="11"/>
      <c r="ZM81" s="11"/>
      <c r="ZN81" s="11">
        <v>0</v>
      </c>
      <c r="ZO81" s="11">
        <v>955487.48</v>
      </c>
      <c r="ZP81" s="11"/>
      <c r="ZQ81" s="11"/>
      <c r="ZR81" s="11"/>
      <c r="ZS81" s="11"/>
      <c r="ZT81" s="11">
        <v>357000</v>
      </c>
      <c r="ZU81" s="11"/>
      <c r="ZV81" s="11">
        <v>0</v>
      </c>
      <c r="ZW81" s="11"/>
      <c r="ZX81" s="11"/>
      <c r="ZY81" s="11"/>
      <c r="ZZ81" s="11"/>
      <c r="AAA81" s="11"/>
      <c r="AAB81" s="11"/>
      <c r="AAC81" s="11"/>
      <c r="AAD81" s="11"/>
      <c r="AAE81" s="11"/>
      <c r="AAF81" s="11">
        <v>435000</v>
      </c>
      <c r="AAG81" s="11"/>
      <c r="AAH81" s="11">
        <v>-148000</v>
      </c>
      <c r="AAI81" s="11"/>
      <c r="AAJ81" s="11"/>
      <c r="AAK81" s="11"/>
      <c r="AAL81" s="11"/>
      <c r="AAM81" s="11"/>
      <c r="AAN81" s="11"/>
      <c r="AAO81" s="11"/>
      <c r="AAP81" s="11">
        <v>1540000</v>
      </c>
      <c r="AAQ81" s="11"/>
      <c r="AAR81" s="11"/>
      <c r="AAS81" s="11"/>
      <c r="AAT81" s="11"/>
      <c r="AAU81" s="11"/>
      <c r="AAV81" s="11"/>
      <c r="AAW81" s="11"/>
      <c r="AAX81" s="11"/>
      <c r="AAY81" s="11">
        <v>0</v>
      </c>
      <c r="AAZ81" s="11">
        <v>486000</v>
      </c>
      <c r="ABA81" s="11"/>
      <c r="ABB81" s="11"/>
      <c r="ABC81" s="11"/>
      <c r="ABD81" s="11">
        <v>406600</v>
      </c>
      <c r="ABE81" s="11">
        <v>0</v>
      </c>
      <c r="ABF81" s="11"/>
      <c r="ABG81" s="11"/>
      <c r="ABH81" s="11"/>
      <c r="ABI81" s="11"/>
      <c r="ABJ81" s="11"/>
      <c r="ABK81" s="11"/>
      <c r="ABL81" s="11"/>
      <c r="ABM81" s="11"/>
      <c r="ABN81" s="11">
        <v>498000</v>
      </c>
      <c r="ABO81" s="11">
        <v>0</v>
      </c>
      <c r="ABP81" s="11">
        <v>818927.85</v>
      </c>
      <c r="ABQ81" s="11"/>
      <c r="ABR81" s="11"/>
      <c r="ABS81" s="11">
        <v>371400</v>
      </c>
      <c r="ABT81" s="11"/>
      <c r="ABU81" s="11"/>
      <c r="ABV81" s="11"/>
      <c r="ABW81" s="11"/>
      <c r="ABX81" s="11"/>
      <c r="ABY81" s="11"/>
      <c r="ABZ81" s="11"/>
      <c r="ACA81" s="11">
        <v>0</v>
      </c>
      <c r="ACB81" s="11"/>
      <c r="ACC81" s="11"/>
      <c r="ACD81" s="11"/>
      <c r="ACE81" s="11">
        <v>647000</v>
      </c>
      <c r="ACF81" s="11"/>
      <c r="ACG81" s="11"/>
      <c r="ACH81" s="11"/>
      <c r="ACI81" s="11"/>
      <c r="ACJ81" s="11">
        <v>5493000</v>
      </c>
      <c r="ACK81" s="11">
        <v>1081500</v>
      </c>
      <c r="ACL81" s="11"/>
      <c r="ACM81" s="11">
        <v>5189800</v>
      </c>
      <c r="ACN81" s="11"/>
      <c r="ACO81" s="11"/>
      <c r="ACP81" s="11"/>
      <c r="ACQ81" s="11"/>
      <c r="ACR81" s="11">
        <v>0</v>
      </c>
      <c r="ACS81" s="11"/>
      <c r="ACT81" s="11"/>
      <c r="ACU81" s="11"/>
      <c r="ACV81" s="11"/>
      <c r="ACW81" s="11">
        <v>12206650</v>
      </c>
      <c r="ACX81" s="11">
        <v>645000</v>
      </c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>
        <v>0</v>
      </c>
      <c r="ADK81" s="11"/>
      <c r="ADL81" s="11"/>
      <c r="ADM81" s="11"/>
      <c r="ADN81" s="11"/>
      <c r="ADO81" s="11"/>
      <c r="ADP81" s="11"/>
      <c r="ADQ81" s="11"/>
      <c r="ADR81" s="11"/>
      <c r="ADS81" s="11">
        <v>0</v>
      </c>
      <c r="ADT81" s="11"/>
      <c r="ADU81" s="11"/>
      <c r="ADV81" s="11"/>
      <c r="ADW81" s="11">
        <v>147985</v>
      </c>
      <c r="ADX81" s="11"/>
      <c r="ADY81" s="11"/>
      <c r="ADZ81" s="11"/>
      <c r="AEA81" s="11"/>
      <c r="AEB81" s="11">
        <v>0</v>
      </c>
      <c r="AEC81" s="11"/>
      <c r="AED81" s="11"/>
      <c r="AEE81" s="11"/>
      <c r="AEF81" s="11"/>
      <c r="AEG81" s="11"/>
      <c r="AEH81" s="11">
        <v>0</v>
      </c>
      <c r="AEI81" s="11"/>
      <c r="AEJ81" s="11">
        <v>745299.18</v>
      </c>
      <c r="AEK81" s="11">
        <v>2257650</v>
      </c>
      <c r="AEL81" s="11"/>
      <c r="AEM81" s="11"/>
      <c r="AEN81" s="11"/>
      <c r="AEO81" s="11"/>
      <c r="AEP81" s="11"/>
      <c r="AEQ81" s="11"/>
      <c r="AER81" s="11"/>
      <c r="AES81" s="11"/>
      <c r="AET81" s="11">
        <v>0</v>
      </c>
      <c r="AEU81" s="11"/>
      <c r="AEV81" s="11">
        <v>549920</v>
      </c>
      <c r="AEW81" s="11"/>
      <c r="AEX81" s="11"/>
      <c r="AEY81" s="11">
        <v>149000</v>
      </c>
      <c r="AEZ81" s="11"/>
      <c r="AFA81" s="11"/>
      <c r="AFB81" s="11"/>
      <c r="AFC81" s="11"/>
      <c r="AFD81" s="11">
        <v>0</v>
      </c>
      <c r="AFE81" s="11"/>
      <c r="AFF81" s="11"/>
      <c r="AFG81" s="11"/>
      <c r="AFH81" s="11"/>
      <c r="AFI81" s="11"/>
      <c r="AFJ81" s="11"/>
      <c r="AFK81" s="11"/>
      <c r="AFL81" s="11"/>
      <c r="AFM81" s="11">
        <v>138650</v>
      </c>
      <c r="AFN81" s="11"/>
      <c r="AFO81" s="11"/>
      <c r="AFP81" s="11"/>
      <c r="AFQ81" s="11"/>
      <c r="AFR81" s="11">
        <v>600000</v>
      </c>
      <c r="AFS81" s="11"/>
      <c r="AFT81" s="11"/>
      <c r="AFU81" s="11"/>
      <c r="AFV81" s="11"/>
      <c r="AFW81" s="11"/>
      <c r="AFX81" s="11"/>
      <c r="AFY81" s="11"/>
      <c r="AFZ81" s="11">
        <v>289000</v>
      </c>
      <c r="AGA81" s="11"/>
      <c r="AGB81" s="11">
        <v>258500</v>
      </c>
      <c r="AGC81" s="11"/>
      <c r="AGD81" s="11">
        <v>0</v>
      </c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>
        <v>0</v>
      </c>
      <c r="AGP81" s="11"/>
      <c r="AGQ81" s="11"/>
      <c r="AGR81" s="11"/>
      <c r="AGS81" s="11"/>
      <c r="AGT81" s="11"/>
      <c r="AGU81" s="11"/>
      <c r="AGV81" s="11"/>
      <c r="AGW81" s="11"/>
      <c r="AGX81" s="11"/>
      <c r="AGY81" s="11">
        <v>467900</v>
      </c>
      <c r="AGZ81" s="11"/>
      <c r="AHA81" s="11"/>
      <c r="AHB81" s="11"/>
      <c r="AHC81" s="11"/>
      <c r="AHD81" s="11"/>
      <c r="AHE81" s="11"/>
      <c r="AHF81" s="11">
        <v>443704.26</v>
      </c>
      <c r="AHG81" s="11"/>
      <c r="AHH81" s="11"/>
      <c r="AHI81" s="11"/>
      <c r="AHJ81" s="11">
        <v>0</v>
      </c>
      <c r="AHK81" s="11"/>
      <c r="AHL81" s="11"/>
      <c r="AHM81" s="11"/>
      <c r="AHN81" s="11"/>
      <c r="AHO81" s="11"/>
      <c r="AHP81" s="11"/>
      <c r="AHQ81" s="11"/>
      <c r="AHR81" s="11"/>
      <c r="AHS81" s="11"/>
      <c r="AHT81" s="11">
        <v>89543301.190000013</v>
      </c>
      <c r="AHV81" s="269" t="s">
        <v>6278</v>
      </c>
      <c r="AHW81" s="269" t="s">
        <v>6103</v>
      </c>
      <c r="AHX81" s="269" t="s">
        <v>6104</v>
      </c>
    </row>
    <row r="82" spans="1:908" x14ac:dyDescent="0.7">
      <c r="A82" s="6" t="s">
        <v>6278</v>
      </c>
      <c r="B82" s="6" t="s">
        <v>6109</v>
      </c>
      <c r="C82" s="6" t="s">
        <v>6110</v>
      </c>
      <c r="D82" s="11"/>
      <c r="E82" s="11">
        <v>0</v>
      </c>
      <c r="F82" s="11"/>
      <c r="G82" s="11"/>
      <c r="H82" s="11"/>
      <c r="I82" s="11"/>
      <c r="J82" s="11"/>
      <c r="K82" s="11"/>
      <c r="L82" s="11"/>
      <c r="M82" s="11">
        <v>1372846.1</v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>
        <v>16612</v>
      </c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>
        <v>401930</v>
      </c>
      <c r="BP82" s="11"/>
      <c r="BQ82" s="11"/>
      <c r="BR82" s="11"/>
      <c r="BS82" s="11"/>
      <c r="BT82" s="11"/>
      <c r="BU82" s="11"/>
      <c r="BV82" s="11">
        <v>3456112.7</v>
      </c>
      <c r="BW82" s="11"/>
      <c r="BX82" s="11"/>
      <c r="BY82" s="11">
        <v>1770858.3</v>
      </c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>
        <v>445622.1</v>
      </c>
      <c r="CZ82" s="11"/>
      <c r="DA82" s="11"/>
      <c r="DB82" s="11"/>
      <c r="DC82" s="11">
        <v>559571.31999999995</v>
      </c>
      <c r="DD82" s="11">
        <v>116360</v>
      </c>
      <c r="DE82" s="11"/>
      <c r="DF82" s="11"/>
      <c r="DG82" s="11"/>
      <c r="DH82" s="11"/>
      <c r="DI82" s="11"/>
      <c r="DJ82" s="11"/>
      <c r="DK82" s="11"/>
      <c r="DL82" s="11"/>
      <c r="DM82" s="11"/>
      <c r="DN82" s="11">
        <v>1595031</v>
      </c>
      <c r="DO82" s="11"/>
      <c r="DP82" s="11"/>
      <c r="DQ82" s="11">
        <v>85591.66</v>
      </c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>
        <v>249000</v>
      </c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>
        <v>2051485.11</v>
      </c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>
        <v>1375994.4</v>
      </c>
      <c r="GU82" s="11"/>
      <c r="GV82" s="11"/>
      <c r="GW82" s="11"/>
      <c r="GX82" s="11"/>
      <c r="GY82" s="11"/>
      <c r="GZ82" s="11"/>
      <c r="HA82" s="11">
        <v>61490</v>
      </c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>
        <v>232764</v>
      </c>
      <c r="JC82" s="11">
        <v>149400</v>
      </c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>
        <v>1071630.98</v>
      </c>
      <c r="KC82" s="11"/>
      <c r="KD82" s="11"/>
      <c r="KE82" s="11"/>
      <c r="KF82" s="11"/>
      <c r="KG82" s="11"/>
      <c r="KH82" s="11"/>
      <c r="KI82" s="11"/>
      <c r="KJ82" s="11"/>
      <c r="KK82" s="11"/>
      <c r="KL82" s="11">
        <v>279590</v>
      </c>
      <c r="KM82" s="11">
        <v>161490</v>
      </c>
      <c r="KN82" s="11">
        <v>580</v>
      </c>
      <c r="KO82" s="11">
        <v>648321.5</v>
      </c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>
        <v>1867257.1</v>
      </c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>
        <v>911690</v>
      </c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>
        <v>44480</v>
      </c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>
        <v>543136.80000000005</v>
      </c>
      <c r="OX82" s="11">
        <v>42865</v>
      </c>
      <c r="OY82" s="11"/>
      <c r="OZ82" s="11"/>
      <c r="PA82" s="11"/>
      <c r="PB82" s="11"/>
      <c r="PC82" s="11"/>
      <c r="PD82" s="11"/>
      <c r="PE82" s="11">
        <v>16782.41</v>
      </c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>
        <v>122180</v>
      </c>
      <c r="RM82" s="11"/>
      <c r="RN82" s="11"/>
      <c r="RO82" s="11">
        <v>5140</v>
      </c>
      <c r="RP82" s="11"/>
      <c r="RQ82" s="11">
        <v>73104</v>
      </c>
      <c r="RR82" s="11">
        <v>331610</v>
      </c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>
        <v>1225094.6000000001</v>
      </c>
      <c r="TN82" s="11">
        <v>3750</v>
      </c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>
        <v>107372</v>
      </c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>
        <v>811650</v>
      </c>
      <c r="UR82" s="11"/>
      <c r="US82" s="11"/>
      <c r="UT82" s="11">
        <v>8651</v>
      </c>
      <c r="UU82" s="11">
        <v>160400</v>
      </c>
      <c r="UV82" s="11"/>
      <c r="UW82" s="11"/>
      <c r="UX82" s="11"/>
      <c r="UY82" s="11"/>
      <c r="UZ82" s="11"/>
      <c r="VA82" s="11"/>
      <c r="VB82" s="11"/>
      <c r="VC82" s="11"/>
      <c r="VD82" s="11">
        <v>4698</v>
      </c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>
        <v>62380</v>
      </c>
      <c r="VS82" s="11"/>
      <c r="VT82" s="11"/>
      <c r="VU82" s="11"/>
      <c r="VV82" s="11"/>
      <c r="VW82" s="11"/>
      <c r="VX82" s="11"/>
      <c r="VY82" s="11"/>
      <c r="VZ82" s="11">
        <v>62696.6</v>
      </c>
      <c r="WA82" s="11"/>
      <c r="WB82" s="11"/>
      <c r="WC82" s="11">
        <v>0</v>
      </c>
      <c r="WD82" s="11"/>
      <c r="WE82" s="11"/>
      <c r="WF82" s="11"/>
      <c r="WG82" s="11"/>
      <c r="WH82" s="11"/>
      <c r="WI82" s="11"/>
      <c r="WJ82" s="11"/>
      <c r="WK82" s="11"/>
      <c r="WL82" s="11">
        <v>63080</v>
      </c>
      <c r="WM82" s="11"/>
      <c r="WN82" s="11"/>
      <c r="WO82" s="11"/>
      <c r="WP82" s="11"/>
      <c r="WQ82" s="11"/>
      <c r="WR82" s="11"/>
      <c r="WS82" s="11">
        <v>157240</v>
      </c>
      <c r="WT82" s="11"/>
      <c r="WU82" s="11"/>
      <c r="WV82" s="11"/>
      <c r="WW82" s="11">
        <v>85630</v>
      </c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>
        <v>2058597.52</v>
      </c>
      <c r="XK82" s="11"/>
      <c r="XL82" s="11"/>
      <c r="XM82" s="11"/>
      <c r="XN82" s="11"/>
      <c r="XO82" s="11">
        <v>234451</v>
      </c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>
        <v>226067</v>
      </c>
      <c r="YL82" s="11"/>
      <c r="YM82" s="11"/>
      <c r="YN82" s="11"/>
      <c r="YO82" s="11">
        <v>1453435.21</v>
      </c>
      <c r="YP82" s="11"/>
      <c r="YQ82" s="11"/>
      <c r="YR82" s="11"/>
      <c r="YS82" s="11">
        <v>123000</v>
      </c>
      <c r="YT82" s="11"/>
      <c r="YU82" s="11"/>
      <c r="YV82" s="11"/>
      <c r="YW82" s="11"/>
      <c r="YX82" s="11">
        <v>146300</v>
      </c>
      <c r="YY82" s="11"/>
      <c r="YZ82" s="11"/>
      <c r="ZA82" s="11"/>
      <c r="ZB82" s="11"/>
      <c r="ZC82" s="11"/>
      <c r="ZD82" s="11"/>
      <c r="ZE82" s="11"/>
      <c r="ZF82" s="11">
        <v>73806</v>
      </c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>
        <v>44091.199999999997</v>
      </c>
      <c r="ZU82" s="11"/>
      <c r="ZV82" s="11"/>
      <c r="ZW82" s="11"/>
      <c r="ZX82" s="11">
        <v>2543941.15</v>
      </c>
      <c r="ZY82" s="11"/>
      <c r="ZZ82" s="11"/>
      <c r="AAA82" s="11"/>
      <c r="AAB82" s="11"/>
      <c r="AAC82" s="11"/>
      <c r="AAD82" s="11"/>
      <c r="AAE82" s="11">
        <v>495088</v>
      </c>
      <c r="AAF82" s="11"/>
      <c r="AAG82" s="11"/>
      <c r="AAH82" s="11"/>
      <c r="AAI82" s="11"/>
      <c r="AAJ82" s="11"/>
      <c r="AAK82" s="11"/>
      <c r="AAL82" s="11">
        <v>1752858.4</v>
      </c>
      <c r="AAM82" s="11"/>
      <c r="AAN82" s="11"/>
      <c r="AAO82" s="11"/>
      <c r="AAP82" s="11">
        <v>37920</v>
      </c>
      <c r="AAQ82" s="11"/>
      <c r="AAR82" s="11"/>
      <c r="AAS82" s="11"/>
      <c r="AAT82" s="11">
        <v>9600</v>
      </c>
      <c r="AAU82" s="11"/>
      <c r="AAV82" s="11"/>
      <c r="AAW82" s="11">
        <v>6285</v>
      </c>
      <c r="AAX82" s="11">
        <v>1194747.8</v>
      </c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>
        <v>131373</v>
      </c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>
        <v>7922648.5</v>
      </c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>
        <v>1559153.55</v>
      </c>
      <c r="AEZ82" s="11"/>
      <c r="AFA82" s="11"/>
      <c r="AFB82" s="11"/>
      <c r="AFC82" s="11"/>
      <c r="AFD82" s="11"/>
      <c r="AFE82" s="11"/>
      <c r="AFF82" s="11">
        <v>7737</v>
      </c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>
        <v>8297.2000000000007</v>
      </c>
      <c r="AGT82" s="11"/>
      <c r="AGU82" s="11"/>
      <c r="AGV82" s="11"/>
      <c r="AGW82" s="11"/>
      <c r="AGX82" s="11"/>
      <c r="AGY82" s="11">
        <v>13520</v>
      </c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>
        <v>42856086.210000001</v>
      </c>
      <c r="AHV82" s="269" t="s">
        <v>6278</v>
      </c>
      <c r="AHW82" s="269" t="s">
        <v>6105</v>
      </c>
      <c r="AHX82" s="269" t="s">
        <v>6106</v>
      </c>
    </row>
    <row r="83" spans="1:908" x14ac:dyDescent="0.7">
      <c r="A83" s="6" t="s">
        <v>6278</v>
      </c>
      <c r="B83" s="6" t="s">
        <v>6111</v>
      </c>
      <c r="C83" s="6" t="s">
        <v>6112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>
        <v>34560</v>
      </c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>
        <v>42126.76</v>
      </c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>
        <v>428570</v>
      </c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>
        <v>1215706.18</v>
      </c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>
        <v>0</v>
      </c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>
        <v>271895</v>
      </c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>
        <v>245286</v>
      </c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>
        <v>4250</v>
      </c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>
        <v>901730</v>
      </c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>
        <v>3144123.94</v>
      </c>
      <c r="AHV83" s="269" t="s">
        <v>6278</v>
      </c>
      <c r="AHW83" s="269" t="s">
        <v>6107</v>
      </c>
      <c r="AHX83" s="269" t="s">
        <v>6108</v>
      </c>
    </row>
    <row r="84" spans="1:908" x14ac:dyDescent="0.7">
      <c r="A84" s="6" t="s">
        <v>6278</v>
      </c>
      <c r="B84" s="6" t="s">
        <v>6113</v>
      </c>
      <c r="C84" s="6" t="s">
        <v>6114</v>
      </c>
      <c r="D84" s="11">
        <v>10530</v>
      </c>
      <c r="E84" s="11"/>
      <c r="F84" s="11"/>
      <c r="G84" s="11"/>
      <c r="H84" s="11"/>
      <c r="I84" s="11"/>
      <c r="J84" s="11"/>
      <c r="K84" s="11"/>
      <c r="L84" s="11"/>
      <c r="M84" s="11">
        <v>1316882.8</v>
      </c>
      <c r="N84" s="11">
        <v>205440</v>
      </c>
      <c r="O84" s="11">
        <v>201517.32</v>
      </c>
      <c r="P84" s="11"/>
      <c r="Q84" s="11">
        <v>63530</v>
      </c>
      <c r="R84" s="11"/>
      <c r="S84" s="11">
        <v>448690</v>
      </c>
      <c r="T84" s="11"/>
      <c r="U84" s="11"/>
      <c r="V84" s="11">
        <v>6997.8</v>
      </c>
      <c r="W84" s="11"/>
      <c r="X84" s="11">
        <v>76635</v>
      </c>
      <c r="Y84" s="11"/>
      <c r="Z84" s="11"/>
      <c r="AA84" s="11">
        <v>258286</v>
      </c>
      <c r="AB84" s="11">
        <v>3850</v>
      </c>
      <c r="AC84" s="11">
        <v>3850358.76</v>
      </c>
      <c r="AD84" s="11">
        <v>405370</v>
      </c>
      <c r="AE84" s="11">
        <v>523397.71</v>
      </c>
      <c r="AF84" s="11">
        <v>774985.9</v>
      </c>
      <c r="AG84" s="11">
        <v>96910</v>
      </c>
      <c r="AH84" s="11">
        <v>259269.3</v>
      </c>
      <c r="AI84" s="11"/>
      <c r="AJ84" s="11"/>
      <c r="AK84" s="11"/>
      <c r="AL84" s="11"/>
      <c r="AM84" s="11"/>
      <c r="AN84" s="11"/>
      <c r="AO84" s="11"/>
      <c r="AP84" s="11"/>
      <c r="AQ84" s="11">
        <v>91041.08</v>
      </c>
      <c r="AR84" s="11">
        <v>32250</v>
      </c>
      <c r="AS84" s="11">
        <v>128300</v>
      </c>
      <c r="AT84" s="11"/>
      <c r="AU84" s="11">
        <v>44500</v>
      </c>
      <c r="AV84" s="11"/>
      <c r="AW84" s="11"/>
      <c r="AX84" s="11">
        <v>116051.6</v>
      </c>
      <c r="AY84" s="11">
        <v>122425</v>
      </c>
      <c r="AZ84" s="11">
        <v>0</v>
      </c>
      <c r="BA84" s="11">
        <v>29630</v>
      </c>
      <c r="BB84" s="11"/>
      <c r="BC84" s="11">
        <v>26328.38</v>
      </c>
      <c r="BD84" s="11">
        <v>21362</v>
      </c>
      <c r="BE84" s="11">
        <v>16125</v>
      </c>
      <c r="BF84" s="11">
        <v>21450</v>
      </c>
      <c r="BG84" s="11">
        <v>4826</v>
      </c>
      <c r="BH84" s="11"/>
      <c r="BI84" s="11">
        <v>18580</v>
      </c>
      <c r="BJ84" s="11"/>
      <c r="BK84" s="11">
        <v>157760</v>
      </c>
      <c r="BL84" s="11">
        <v>48675</v>
      </c>
      <c r="BM84" s="11">
        <v>11668.9</v>
      </c>
      <c r="BN84" s="11">
        <v>2400</v>
      </c>
      <c r="BO84" s="11">
        <v>422749.9</v>
      </c>
      <c r="BP84" s="11"/>
      <c r="BQ84" s="11">
        <v>20069.34</v>
      </c>
      <c r="BR84" s="11"/>
      <c r="BS84" s="11">
        <v>48175</v>
      </c>
      <c r="BT84" s="11">
        <v>85775</v>
      </c>
      <c r="BU84" s="11">
        <v>270280</v>
      </c>
      <c r="BV84" s="11">
        <v>119475</v>
      </c>
      <c r="BW84" s="11">
        <v>46473.35</v>
      </c>
      <c r="BX84" s="11">
        <v>62250</v>
      </c>
      <c r="BY84" s="11">
        <v>93944</v>
      </c>
      <c r="BZ84" s="11"/>
      <c r="CA84" s="11">
        <v>1650635.74</v>
      </c>
      <c r="CB84" s="11">
        <v>2969982.4</v>
      </c>
      <c r="CC84" s="11">
        <v>1058472.92</v>
      </c>
      <c r="CD84" s="11">
        <v>168525.24</v>
      </c>
      <c r="CE84" s="11">
        <v>632073.22</v>
      </c>
      <c r="CF84" s="11">
        <v>81075</v>
      </c>
      <c r="CG84" s="11">
        <v>22280.75</v>
      </c>
      <c r="CH84" s="11">
        <v>73090</v>
      </c>
      <c r="CI84" s="11">
        <v>57565</v>
      </c>
      <c r="CJ84" s="11">
        <v>34055</v>
      </c>
      <c r="CK84" s="11">
        <v>148963.1</v>
      </c>
      <c r="CL84" s="11">
        <v>102900</v>
      </c>
      <c r="CM84" s="11">
        <v>41478</v>
      </c>
      <c r="CN84" s="11">
        <v>138540</v>
      </c>
      <c r="CO84" s="11">
        <v>28700</v>
      </c>
      <c r="CP84" s="11">
        <v>100410</v>
      </c>
      <c r="CQ84" s="11">
        <v>122980</v>
      </c>
      <c r="CR84" s="11">
        <v>110860</v>
      </c>
      <c r="CS84" s="11">
        <v>30500</v>
      </c>
      <c r="CT84" s="11">
        <v>24079.85</v>
      </c>
      <c r="CU84" s="11"/>
      <c r="CV84" s="11">
        <v>115083</v>
      </c>
      <c r="CW84" s="11"/>
      <c r="CX84" s="11"/>
      <c r="CY84" s="11">
        <v>114192.13</v>
      </c>
      <c r="CZ84" s="11">
        <v>23750</v>
      </c>
      <c r="DA84" s="11">
        <v>87350</v>
      </c>
      <c r="DB84" s="11">
        <v>361383.2</v>
      </c>
      <c r="DC84" s="11">
        <v>1031824.5</v>
      </c>
      <c r="DD84" s="11">
        <v>907352.46</v>
      </c>
      <c r="DE84" s="11">
        <v>289960</v>
      </c>
      <c r="DF84" s="11">
        <v>108900.96</v>
      </c>
      <c r="DG84" s="11">
        <v>95350</v>
      </c>
      <c r="DH84" s="11">
        <v>622655.5</v>
      </c>
      <c r="DI84" s="11">
        <v>1664494.1</v>
      </c>
      <c r="DJ84" s="11">
        <v>94150</v>
      </c>
      <c r="DK84" s="11">
        <v>2005847.44</v>
      </c>
      <c r="DL84" s="11"/>
      <c r="DM84" s="11">
        <v>19221</v>
      </c>
      <c r="DN84" s="11">
        <v>2153128</v>
      </c>
      <c r="DO84" s="11"/>
      <c r="DP84" s="11">
        <v>40020</v>
      </c>
      <c r="DQ84" s="11">
        <v>522588.58</v>
      </c>
      <c r="DR84" s="11">
        <v>118976</v>
      </c>
      <c r="DS84" s="11">
        <v>291307.3</v>
      </c>
      <c r="DT84" s="11">
        <v>2700</v>
      </c>
      <c r="DU84" s="11">
        <v>2298640</v>
      </c>
      <c r="DV84" s="11"/>
      <c r="DW84" s="11"/>
      <c r="DX84" s="11">
        <v>2135715.9</v>
      </c>
      <c r="DY84" s="11">
        <v>885841.4</v>
      </c>
      <c r="DZ84" s="11"/>
      <c r="EA84" s="11">
        <v>110111</v>
      </c>
      <c r="EB84" s="11">
        <v>206219.5</v>
      </c>
      <c r="EC84" s="11">
        <v>118500</v>
      </c>
      <c r="ED84" s="11">
        <v>120500</v>
      </c>
      <c r="EE84" s="11">
        <v>151599.28</v>
      </c>
      <c r="EF84" s="11">
        <v>577972.09</v>
      </c>
      <c r="EG84" s="11">
        <v>314011.89</v>
      </c>
      <c r="EH84" s="11">
        <v>73110</v>
      </c>
      <c r="EI84" s="11">
        <v>410225</v>
      </c>
      <c r="EJ84" s="11">
        <v>144878.44</v>
      </c>
      <c r="EK84" s="11">
        <v>493563.45</v>
      </c>
      <c r="EL84" s="11">
        <v>32556</v>
      </c>
      <c r="EM84" s="11">
        <v>69707</v>
      </c>
      <c r="EN84" s="11">
        <v>3450</v>
      </c>
      <c r="EO84" s="11">
        <v>1273079.75</v>
      </c>
      <c r="EP84" s="11">
        <v>122250</v>
      </c>
      <c r="EQ84" s="11">
        <v>287118.3</v>
      </c>
      <c r="ER84" s="11">
        <v>174210</v>
      </c>
      <c r="ES84" s="11">
        <v>74000</v>
      </c>
      <c r="ET84" s="11">
        <v>324846</v>
      </c>
      <c r="EU84" s="11">
        <v>160803.85999999999</v>
      </c>
      <c r="EV84" s="11">
        <v>952058.3</v>
      </c>
      <c r="EW84" s="11">
        <v>3322505.17</v>
      </c>
      <c r="EX84" s="11"/>
      <c r="EY84" s="11">
        <v>18930</v>
      </c>
      <c r="EZ84" s="11">
        <v>394413.35</v>
      </c>
      <c r="FA84" s="11">
        <v>734335</v>
      </c>
      <c r="FB84" s="11">
        <v>2243846.52</v>
      </c>
      <c r="FC84" s="11">
        <v>261155.6</v>
      </c>
      <c r="FD84" s="11">
        <v>1456373.97</v>
      </c>
      <c r="FE84" s="11">
        <v>110000</v>
      </c>
      <c r="FF84" s="11"/>
      <c r="FG84" s="11">
        <v>70900</v>
      </c>
      <c r="FH84" s="11">
        <v>61551.5</v>
      </c>
      <c r="FI84" s="11"/>
      <c r="FJ84" s="11">
        <v>82420</v>
      </c>
      <c r="FK84" s="11"/>
      <c r="FL84" s="11"/>
      <c r="FM84" s="11">
        <v>1635406.54</v>
      </c>
      <c r="FN84" s="11">
        <v>76875</v>
      </c>
      <c r="FO84" s="11"/>
      <c r="FP84" s="11"/>
      <c r="FQ84" s="11">
        <v>3250</v>
      </c>
      <c r="FR84" s="11"/>
      <c r="FS84" s="11"/>
      <c r="FT84" s="11">
        <v>280959</v>
      </c>
      <c r="FU84" s="11"/>
      <c r="FV84" s="11"/>
      <c r="FW84" s="11">
        <v>182477.78</v>
      </c>
      <c r="FX84" s="11"/>
      <c r="FY84" s="11"/>
      <c r="FZ84" s="11"/>
      <c r="GA84" s="11">
        <v>232000</v>
      </c>
      <c r="GB84" s="11">
        <v>75055</v>
      </c>
      <c r="GC84" s="11">
        <v>46530</v>
      </c>
      <c r="GD84" s="11">
        <v>8182.8</v>
      </c>
      <c r="GE84" s="11">
        <v>47520</v>
      </c>
      <c r="GF84" s="11">
        <v>72020</v>
      </c>
      <c r="GG84" s="11">
        <v>19690</v>
      </c>
      <c r="GH84" s="11">
        <v>45851.8</v>
      </c>
      <c r="GI84" s="11">
        <v>161073</v>
      </c>
      <c r="GJ84" s="11"/>
      <c r="GK84" s="11"/>
      <c r="GL84" s="11">
        <v>100400</v>
      </c>
      <c r="GM84" s="11">
        <v>41960</v>
      </c>
      <c r="GN84" s="11">
        <v>47945</v>
      </c>
      <c r="GO84" s="11">
        <v>52800</v>
      </c>
      <c r="GP84" s="11">
        <v>57290</v>
      </c>
      <c r="GQ84" s="11">
        <v>375470.79</v>
      </c>
      <c r="GR84" s="11">
        <v>59400</v>
      </c>
      <c r="GS84" s="11">
        <v>5650</v>
      </c>
      <c r="GT84" s="11">
        <v>283972.96999999997</v>
      </c>
      <c r="GU84" s="11">
        <v>8550</v>
      </c>
      <c r="GV84" s="11">
        <v>657662.76</v>
      </c>
      <c r="GW84" s="11">
        <v>750954.72</v>
      </c>
      <c r="GX84" s="11">
        <v>134298</v>
      </c>
      <c r="GY84" s="11">
        <v>9096291.4900000002</v>
      </c>
      <c r="GZ84" s="11">
        <v>1001069.54</v>
      </c>
      <c r="HA84" s="11"/>
      <c r="HB84" s="11"/>
      <c r="HC84" s="11">
        <v>17397841.57</v>
      </c>
      <c r="HD84" s="11">
        <v>97251.4</v>
      </c>
      <c r="HE84" s="11"/>
      <c r="HF84" s="11">
        <v>82231.600000000006</v>
      </c>
      <c r="HG84" s="11">
        <v>129095</v>
      </c>
      <c r="HH84" s="11">
        <v>440961.7</v>
      </c>
      <c r="HI84" s="11">
        <v>0</v>
      </c>
      <c r="HJ84" s="11">
        <v>737893.8</v>
      </c>
      <c r="HK84" s="11">
        <v>12549967.99</v>
      </c>
      <c r="HL84" s="11">
        <v>3289204.8</v>
      </c>
      <c r="HM84" s="11"/>
      <c r="HN84" s="11">
        <v>194404.89</v>
      </c>
      <c r="HO84" s="11">
        <v>767583</v>
      </c>
      <c r="HP84" s="11"/>
      <c r="HQ84" s="11">
        <v>1501592.7</v>
      </c>
      <c r="HR84" s="11"/>
      <c r="HS84" s="11">
        <v>550429.38</v>
      </c>
      <c r="HT84" s="11">
        <v>63910</v>
      </c>
      <c r="HU84" s="11"/>
      <c r="HV84" s="11"/>
      <c r="HW84" s="11"/>
      <c r="HX84" s="11"/>
      <c r="HY84" s="11"/>
      <c r="HZ84" s="11"/>
      <c r="IA84" s="11"/>
      <c r="IB84" s="11"/>
      <c r="IC84" s="11"/>
      <c r="ID84" s="11">
        <v>37803.1</v>
      </c>
      <c r="IE84" s="11"/>
      <c r="IF84" s="11"/>
      <c r="IG84" s="11"/>
      <c r="IH84" s="11"/>
      <c r="II84" s="11"/>
      <c r="IJ84" s="11"/>
      <c r="IK84" s="11"/>
      <c r="IL84" s="11">
        <v>382431.15</v>
      </c>
      <c r="IM84" s="11">
        <v>865200</v>
      </c>
      <c r="IN84" s="11">
        <v>2688588.61</v>
      </c>
      <c r="IO84" s="11"/>
      <c r="IP84" s="11"/>
      <c r="IQ84" s="11"/>
      <c r="IR84" s="11"/>
      <c r="IS84" s="11">
        <v>0</v>
      </c>
      <c r="IT84" s="11">
        <v>187274.93</v>
      </c>
      <c r="IU84" s="11"/>
      <c r="IV84" s="11">
        <v>96750</v>
      </c>
      <c r="IW84" s="11"/>
      <c r="IX84" s="11"/>
      <c r="IY84" s="11"/>
      <c r="IZ84" s="11"/>
      <c r="JA84" s="11"/>
      <c r="JB84" s="11">
        <v>921670.46</v>
      </c>
      <c r="JC84" s="11">
        <v>509530</v>
      </c>
      <c r="JD84" s="11">
        <v>94642.5</v>
      </c>
      <c r="JE84" s="11"/>
      <c r="JF84" s="11">
        <v>523939.4</v>
      </c>
      <c r="JG84" s="11"/>
      <c r="JH84" s="11">
        <v>149100</v>
      </c>
      <c r="JI84" s="11"/>
      <c r="JJ84" s="11"/>
      <c r="JK84" s="11">
        <v>59870</v>
      </c>
      <c r="JL84" s="11">
        <v>255389.65</v>
      </c>
      <c r="JM84" s="11">
        <v>76000</v>
      </c>
      <c r="JN84" s="11">
        <v>83175</v>
      </c>
      <c r="JO84" s="11">
        <v>221125</v>
      </c>
      <c r="JP84" s="11">
        <v>61250</v>
      </c>
      <c r="JQ84" s="11">
        <v>305059.36</v>
      </c>
      <c r="JR84" s="11">
        <v>37370</v>
      </c>
      <c r="JS84" s="11">
        <v>317790</v>
      </c>
      <c r="JT84" s="11"/>
      <c r="JU84" s="11"/>
      <c r="JV84" s="11">
        <v>591579.4</v>
      </c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>
        <v>7297291.9000000004</v>
      </c>
      <c r="KJ84" s="11">
        <v>4188</v>
      </c>
      <c r="KK84" s="11"/>
      <c r="KL84" s="11">
        <v>47674</v>
      </c>
      <c r="KM84" s="11">
        <v>0</v>
      </c>
      <c r="KN84" s="11"/>
      <c r="KO84" s="11"/>
      <c r="KP84" s="11">
        <v>73750</v>
      </c>
      <c r="KQ84" s="11">
        <v>41241.35</v>
      </c>
      <c r="KR84" s="11"/>
      <c r="KS84" s="11">
        <v>84000</v>
      </c>
      <c r="KT84" s="11">
        <v>57050</v>
      </c>
      <c r="KU84" s="11">
        <v>124271.8</v>
      </c>
      <c r="KV84" s="11">
        <v>71850</v>
      </c>
      <c r="KW84" s="11">
        <v>97500</v>
      </c>
      <c r="KX84" s="11">
        <v>5399320.8499999996</v>
      </c>
      <c r="KY84" s="11">
        <v>97900</v>
      </c>
      <c r="KZ84" s="11"/>
      <c r="LA84" s="11"/>
      <c r="LB84" s="11">
        <v>260900</v>
      </c>
      <c r="LC84" s="11">
        <v>159700</v>
      </c>
      <c r="LD84" s="11">
        <v>69000</v>
      </c>
      <c r="LE84" s="11">
        <v>184200</v>
      </c>
      <c r="LF84" s="11">
        <v>152250</v>
      </c>
      <c r="LG84" s="11">
        <v>25660</v>
      </c>
      <c r="LH84" s="11"/>
      <c r="LI84" s="11"/>
      <c r="LJ84" s="11">
        <v>55776.3</v>
      </c>
      <c r="LK84" s="11"/>
      <c r="LL84" s="11"/>
      <c r="LM84" s="11"/>
      <c r="LN84" s="11">
        <v>1155732.6599999999</v>
      </c>
      <c r="LO84" s="11"/>
      <c r="LP84" s="11"/>
      <c r="LQ84" s="11">
        <v>43870</v>
      </c>
      <c r="LR84" s="11"/>
      <c r="LS84" s="11">
        <v>2228502.13</v>
      </c>
      <c r="LT84" s="11"/>
      <c r="LU84" s="11"/>
      <c r="LV84" s="11">
        <v>45000</v>
      </c>
      <c r="LW84" s="11">
        <v>8942784.4800000004</v>
      </c>
      <c r="LX84" s="11">
        <v>2386820.31</v>
      </c>
      <c r="LY84" s="11">
        <v>1746473.74</v>
      </c>
      <c r="LZ84" s="11"/>
      <c r="MA84" s="11"/>
      <c r="MB84" s="11">
        <v>828104.02</v>
      </c>
      <c r="MC84" s="11">
        <v>-421023.2</v>
      </c>
      <c r="MD84" s="11"/>
      <c r="ME84" s="11">
        <v>165215</v>
      </c>
      <c r="MF84" s="11">
        <v>5157918.5199999996</v>
      </c>
      <c r="MG84" s="11">
        <v>40040</v>
      </c>
      <c r="MH84" s="11">
        <v>948875.45</v>
      </c>
      <c r="MI84" s="11">
        <v>144900</v>
      </c>
      <c r="MJ84" s="11">
        <v>1307432.03</v>
      </c>
      <c r="MK84" s="11"/>
      <c r="ML84" s="11">
        <v>70309.600000000006</v>
      </c>
      <c r="MM84" s="11">
        <v>38700</v>
      </c>
      <c r="MN84" s="11">
        <v>69930</v>
      </c>
      <c r="MO84" s="11"/>
      <c r="MP84" s="11">
        <v>131525</v>
      </c>
      <c r="MQ84" s="11">
        <v>84500</v>
      </c>
      <c r="MR84" s="11">
        <v>865448.52</v>
      </c>
      <c r="MS84" s="11">
        <v>2037566.74</v>
      </c>
      <c r="MT84" s="11"/>
      <c r="MU84" s="11">
        <v>27680</v>
      </c>
      <c r="MV84" s="11"/>
      <c r="MW84" s="11"/>
      <c r="MX84" s="11"/>
      <c r="MY84" s="11"/>
      <c r="MZ84" s="11">
        <v>1857407.54</v>
      </c>
      <c r="NA84" s="11">
        <v>234100</v>
      </c>
      <c r="NB84" s="11">
        <v>121561.74</v>
      </c>
      <c r="NC84" s="11">
        <v>0</v>
      </c>
      <c r="ND84" s="11"/>
      <c r="NE84" s="11">
        <v>1738492.5</v>
      </c>
      <c r="NF84" s="11">
        <v>3224724</v>
      </c>
      <c r="NG84" s="11">
        <v>470738.37</v>
      </c>
      <c r="NH84" s="11">
        <v>353955.58</v>
      </c>
      <c r="NI84" s="11"/>
      <c r="NJ84" s="11">
        <v>119550</v>
      </c>
      <c r="NK84" s="11">
        <v>1011448.6</v>
      </c>
      <c r="NL84" s="11">
        <v>89365.6</v>
      </c>
      <c r="NM84" s="11">
        <v>140298.69</v>
      </c>
      <c r="NN84" s="11">
        <v>1996744.4</v>
      </c>
      <c r="NO84" s="11">
        <v>1757155.67</v>
      </c>
      <c r="NP84" s="11">
        <v>1762845.83</v>
      </c>
      <c r="NQ84" s="11"/>
      <c r="NR84" s="11"/>
      <c r="NS84" s="11"/>
      <c r="NT84" s="11"/>
      <c r="NU84" s="11"/>
      <c r="NV84" s="11"/>
      <c r="NW84" s="11"/>
      <c r="NX84" s="11">
        <v>1578426.36</v>
      </c>
      <c r="NY84" s="11">
        <v>6161773.2699999996</v>
      </c>
      <c r="NZ84" s="11">
        <v>688071.22</v>
      </c>
      <c r="OA84" s="11"/>
      <c r="OB84" s="11">
        <v>250810</v>
      </c>
      <c r="OC84" s="11"/>
      <c r="OD84" s="11"/>
      <c r="OE84" s="11">
        <v>52450.44</v>
      </c>
      <c r="OF84" s="11">
        <v>325511.87</v>
      </c>
      <c r="OG84" s="11">
        <v>546559.74</v>
      </c>
      <c r="OH84" s="11">
        <v>227995.48</v>
      </c>
      <c r="OI84" s="11"/>
      <c r="OJ84" s="11">
        <v>473275.78</v>
      </c>
      <c r="OK84" s="11"/>
      <c r="OL84" s="11"/>
      <c r="OM84" s="11"/>
      <c r="ON84" s="11">
        <v>1394767.9</v>
      </c>
      <c r="OO84" s="11">
        <v>287665.57</v>
      </c>
      <c r="OP84" s="11">
        <v>5672731.7300000004</v>
      </c>
      <c r="OQ84" s="11"/>
      <c r="OR84" s="11"/>
      <c r="OS84" s="11"/>
      <c r="OT84" s="11">
        <v>4240</v>
      </c>
      <c r="OU84" s="11">
        <v>64600</v>
      </c>
      <c r="OV84" s="11"/>
      <c r="OW84" s="11">
        <v>10500</v>
      </c>
      <c r="OX84" s="11">
        <v>195458</v>
      </c>
      <c r="OY84" s="11">
        <v>228060</v>
      </c>
      <c r="OZ84" s="11"/>
      <c r="PA84" s="11"/>
      <c r="PB84" s="11">
        <v>657770.84</v>
      </c>
      <c r="PC84" s="11">
        <v>1306957.81</v>
      </c>
      <c r="PD84" s="11">
        <v>35250</v>
      </c>
      <c r="PE84" s="11">
        <v>134000</v>
      </c>
      <c r="PF84" s="11">
        <v>381447.65</v>
      </c>
      <c r="PG84" s="11">
        <v>1164597.3400000001</v>
      </c>
      <c r="PH84" s="11">
        <v>326069.09000000003</v>
      </c>
      <c r="PI84" s="11">
        <v>244800</v>
      </c>
      <c r="PJ84" s="11">
        <v>2364785.69</v>
      </c>
      <c r="PK84" s="11">
        <v>148882.99</v>
      </c>
      <c r="PL84" s="11">
        <v>77000</v>
      </c>
      <c r="PM84" s="11">
        <v>81000</v>
      </c>
      <c r="PN84" s="11">
        <v>564735.6</v>
      </c>
      <c r="PO84" s="11">
        <v>1081649.8</v>
      </c>
      <c r="PP84" s="11">
        <v>1942238.61</v>
      </c>
      <c r="PQ84" s="11">
        <v>46000</v>
      </c>
      <c r="PR84" s="11">
        <v>150377.81</v>
      </c>
      <c r="PS84" s="11">
        <v>118570</v>
      </c>
      <c r="PT84" s="11">
        <v>143100</v>
      </c>
      <c r="PU84" s="11">
        <v>461137.66</v>
      </c>
      <c r="PV84" s="11">
        <v>3403960.58</v>
      </c>
      <c r="PW84" s="11">
        <v>2142396.7999999998</v>
      </c>
      <c r="PX84" s="11">
        <v>600333.29</v>
      </c>
      <c r="PY84" s="11">
        <v>1383919</v>
      </c>
      <c r="PZ84" s="11"/>
      <c r="QA84" s="11">
        <v>1018941.88</v>
      </c>
      <c r="QB84" s="11">
        <v>118428.05</v>
      </c>
      <c r="QC84" s="11">
        <v>6057862.4299999997</v>
      </c>
      <c r="QD84" s="11">
        <v>50000</v>
      </c>
      <c r="QE84" s="11">
        <v>2017281</v>
      </c>
      <c r="QF84" s="11">
        <v>194625</v>
      </c>
      <c r="QG84" s="11">
        <v>116536.2</v>
      </c>
      <c r="QH84" s="11">
        <v>2785997.36</v>
      </c>
      <c r="QI84" s="11">
        <v>147300</v>
      </c>
      <c r="QJ84" s="11">
        <v>441774.34</v>
      </c>
      <c r="QK84" s="11">
        <v>131450</v>
      </c>
      <c r="QL84" s="11">
        <v>46561.4</v>
      </c>
      <c r="QM84" s="11">
        <v>171250</v>
      </c>
      <c r="QN84" s="11"/>
      <c r="QO84" s="11">
        <v>370220</v>
      </c>
      <c r="QP84" s="11">
        <v>0</v>
      </c>
      <c r="QQ84" s="11">
        <v>73359.98</v>
      </c>
      <c r="QR84" s="11"/>
      <c r="QS84" s="11">
        <v>0</v>
      </c>
      <c r="QT84" s="11">
        <v>232069.86</v>
      </c>
      <c r="QU84" s="11">
        <v>20177940.84</v>
      </c>
      <c r="QV84" s="11"/>
      <c r="QW84" s="11"/>
      <c r="QX84" s="11"/>
      <c r="QY84" s="11"/>
      <c r="QZ84" s="11">
        <v>420849.8</v>
      </c>
      <c r="RA84" s="11"/>
      <c r="RB84" s="11"/>
      <c r="RC84" s="11"/>
      <c r="RD84" s="11">
        <v>1182637.83</v>
      </c>
      <c r="RE84" s="11">
        <v>5000</v>
      </c>
      <c r="RF84" s="11">
        <v>0</v>
      </c>
      <c r="RG84" s="11">
        <v>42000</v>
      </c>
      <c r="RH84" s="11">
        <v>28718170.329999998</v>
      </c>
      <c r="RI84" s="11">
        <v>522500</v>
      </c>
      <c r="RJ84" s="11">
        <v>910715.14</v>
      </c>
      <c r="RK84" s="11">
        <v>177010.75</v>
      </c>
      <c r="RL84" s="11">
        <v>374778.59</v>
      </c>
      <c r="RM84" s="11">
        <v>4406527.5199999996</v>
      </c>
      <c r="RN84" s="11">
        <v>5357422.8</v>
      </c>
      <c r="RO84" s="11">
        <v>254034</v>
      </c>
      <c r="RP84" s="11">
        <v>429065</v>
      </c>
      <c r="RQ84" s="11">
        <v>392052</v>
      </c>
      <c r="RR84" s="11">
        <v>58496.6</v>
      </c>
      <c r="RS84" s="11">
        <v>157307.48000000001</v>
      </c>
      <c r="RT84" s="11">
        <v>763949.17</v>
      </c>
      <c r="RU84" s="11">
        <v>955874</v>
      </c>
      <c r="RV84" s="11">
        <v>1376063.18</v>
      </c>
      <c r="RW84" s="11">
        <v>117920</v>
      </c>
      <c r="RX84" s="11">
        <v>505810</v>
      </c>
      <c r="RY84" s="11">
        <v>91000</v>
      </c>
      <c r="RZ84" s="11"/>
      <c r="SA84" s="11">
        <v>45875</v>
      </c>
      <c r="SB84" s="11">
        <v>65775</v>
      </c>
      <c r="SC84" s="11">
        <v>7500</v>
      </c>
      <c r="SD84" s="11">
        <v>52500</v>
      </c>
      <c r="SE84" s="11">
        <v>98800</v>
      </c>
      <c r="SF84" s="11">
        <v>232000</v>
      </c>
      <c r="SG84" s="11">
        <v>1548883</v>
      </c>
      <c r="SH84" s="11">
        <v>158000</v>
      </c>
      <c r="SI84" s="11">
        <v>435695</v>
      </c>
      <c r="SJ84" s="11">
        <v>230078</v>
      </c>
      <c r="SK84" s="11">
        <v>61000</v>
      </c>
      <c r="SL84" s="11">
        <v>653000</v>
      </c>
      <c r="SM84" s="11">
        <v>87010.5</v>
      </c>
      <c r="SN84" s="11">
        <v>659097.92000000004</v>
      </c>
      <c r="SO84" s="11">
        <v>3100</v>
      </c>
      <c r="SP84" s="11">
        <v>49500</v>
      </c>
      <c r="SQ84" s="11">
        <v>158997</v>
      </c>
      <c r="SR84" s="11">
        <v>110500</v>
      </c>
      <c r="SS84" s="11"/>
      <c r="ST84" s="11">
        <v>18000</v>
      </c>
      <c r="SU84" s="11">
        <v>68000</v>
      </c>
      <c r="SV84" s="11">
        <v>255424.08</v>
      </c>
      <c r="SW84" s="11">
        <v>1800</v>
      </c>
      <c r="SX84" s="11">
        <v>1069254</v>
      </c>
      <c r="SY84" s="11">
        <v>184000</v>
      </c>
      <c r="SZ84" s="11">
        <v>0</v>
      </c>
      <c r="TA84" s="11">
        <v>64100</v>
      </c>
      <c r="TB84" s="11">
        <v>62375</v>
      </c>
      <c r="TC84" s="11">
        <v>244030</v>
      </c>
      <c r="TD84" s="11">
        <v>0</v>
      </c>
      <c r="TE84" s="11">
        <v>156690</v>
      </c>
      <c r="TF84" s="11"/>
      <c r="TG84" s="11">
        <v>18744.8</v>
      </c>
      <c r="TH84" s="11">
        <v>32000</v>
      </c>
      <c r="TI84" s="11">
        <v>48000</v>
      </c>
      <c r="TJ84" s="11">
        <v>1401364.13</v>
      </c>
      <c r="TK84" s="11">
        <v>173500</v>
      </c>
      <c r="TL84" s="11">
        <v>265770</v>
      </c>
      <c r="TM84" s="11">
        <v>378957.5</v>
      </c>
      <c r="TN84" s="11">
        <v>1150686</v>
      </c>
      <c r="TO84" s="11">
        <v>48000</v>
      </c>
      <c r="TP84" s="11">
        <v>40525</v>
      </c>
      <c r="TQ84" s="11">
        <v>3375430.66</v>
      </c>
      <c r="TR84" s="11">
        <v>103580</v>
      </c>
      <c r="TS84" s="11">
        <v>861860</v>
      </c>
      <c r="TT84" s="11">
        <v>587000</v>
      </c>
      <c r="TU84" s="11">
        <v>27600</v>
      </c>
      <c r="TV84" s="11">
        <v>92960</v>
      </c>
      <c r="TW84" s="11">
        <v>88844</v>
      </c>
      <c r="TX84" s="11">
        <v>238550</v>
      </c>
      <c r="TY84" s="11">
        <v>189806</v>
      </c>
      <c r="TZ84" s="11">
        <v>65400</v>
      </c>
      <c r="UA84" s="11">
        <v>4200</v>
      </c>
      <c r="UB84" s="11">
        <v>1712894.35</v>
      </c>
      <c r="UC84" s="11">
        <v>456600</v>
      </c>
      <c r="UD84" s="11">
        <v>63600</v>
      </c>
      <c r="UE84" s="11">
        <v>247715</v>
      </c>
      <c r="UF84" s="11">
        <v>1151771.3</v>
      </c>
      <c r="UG84" s="11">
        <v>18940</v>
      </c>
      <c r="UH84" s="11">
        <v>110830</v>
      </c>
      <c r="UI84" s="11">
        <v>164000</v>
      </c>
      <c r="UJ84" s="11">
        <v>0</v>
      </c>
      <c r="UK84" s="11">
        <v>72265.850000000006</v>
      </c>
      <c r="UL84" s="11">
        <v>399000</v>
      </c>
      <c r="UM84" s="11">
        <v>241611.2</v>
      </c>
      <c r="UN84" s="11">
        <v>710994.73</v>
      </c>
      <c r="UO84" s="11">
        <v>149900</v>
      </c>
      <c r="UP84" s="11">
        <v>60380</v>
      </c>
      <c r="UQ84" s="11">
        <v>1067450.8600000001</v>
      </c>
      <c r="UR84" s="11">
        <v>169529</v>
      </c>
      <c r="US84" s="11">
        <v>424760</v>
      </c>
      <c r="UT84" s="11">
        <v>252303.6</v>
      </c>
      <c r="UU84" s="11">
        <v>5640</v>
      </c>
      <c r="UV84" s="11">
        <v>150175</v>
      </c>
      <c r="UW84" s="11">
        <v>920838.2</v>
      </c>
      <c r="UX84" s="11">
        <v>44000</v>
      </c>
      <c r="UY84" s="11">
        <v>266905</v>
      </c>
      <c r="UZ84" s="11">
        <v>1800</v>
      </c>
      <c r="VA84" s="11">
        <v>160000</v>
      </c>
      <c r="VB84" s="11">
        <v>570300</v>
      </c>
      <c r="VC84" s="11">
        <v>203300</v>
      </c>
      <c r="VD84" s="11">
        <v>65000</v>
      </c>
      <c r="VE84" s="11">
        <v>0</v>
      </c>
      <c r="VF84" s="11">
        <v>137200</v>
      </c>
      <c r="VG84" s="11">
        <v>36680</v>
      </c>
      <c r="VH84" s="11">
        <v>85830</v>
      </c>
      <c r="VI84" s="11">
        <v>2386357.79</v>
      </c>
      <c r="VJ84" s="11">
        <v>24000</v>
      </c>
      <c r="VK84" s="11">
        <v>114580</v>
      </c>
      <c r="VL84" s="11">
        <v>5161.68</v>
      </c>
      <c r="VM84" s="11">
        <v>1619282.17</v>
      </c>
      <c r="VN84" s="11">
        <v>161660</v>
      </c>
      <c r="VO84" s="11">
        <v>35000</v>
      </c>
      <c r="VP84" s="11">
        <v>430800</v>
      </c>
      <c r="VQ84" s="11">
        <v>685156.69</v>
      </c>
      <c r="VR84" s="11">
        <v>456619.55</v>
      </c>
      <c r="VS84" s="11">
        <v>248651.2</v>
      </c>
      <c r="VT84" s="11">
        <v>16150</v>
      </c>
      <c r="VU84" s="11">
        <v>213592</v>
      </c>
      <c r="VV84" s="11">
        <v>800765.31</v>
      </c>
      <c r="VW84" s="11"/>
      <c r="VX84" s="11">
        <v>1073795.76</v>
      </c>
      <c r="VY84" s="11">
        <v>627723.6</v>
      </c>
      <c r="VZ84" s="11">
        <v>122200</v>
      </c>
      <c r="WA84" s="11">
        <v>172000</v>
      </c>
      <c r="WB84" s="11">
        <v>954941.58</v>
      </c>
      <c r="WC84" s="11">
        <v>78150</v>
      </c>
      <c r="WD84" s="11">
        <v>192250</v>
      </c>
      <c r="WE84" s="11">
        <v>677005.76</v>
      </c>
      <c r="WF84" s="11">
        <v>112525</v>
      </c>
      <c r="WG84" s="11">
        <v>176925</v>
      </c>
      <c r="WH84" s="11">
        <v>582681.5</v>
      </c>
      <c r="WI84" s="11">
        <v>150745</v>
      </c>
      <c r="WJ84" s="11">
        <v>219920</v>
      </c>
      <c r="WK84" s="11">
        <v>19275</v>
      </c>
      <c r="WL84" s="11">
        <v>1167504.8700000001</v>
      </c>
      <c r="WM84" s="11">
        <v>1066554.83</v>
      </c>
      <c r="WN84" s="11">
        <v>331754.8</v>
      </c>
      <c r="WO84" s="11">
        <v>425301.55</v>
      </c>
      <c r="WP84" s="11"/>
      <c r="WQ84" s="11">
        <v>0</v>
      </c>
      <c r="WR84" s="11">
        <v>192108.01</v>
      </c>
      <c r="WS84" s="11">
        <v>1176560.3600000001</v>
      </c>
      <c r="WT84" s="11">
        <v>23025</v>
      </c>
      <c r="WU84" s="11">
        <v>806440.56</v>
      </c>
      <c r="WV84" s="11">
        <v>6859063.54</v>
      </c>
      <c r="WW84" s="11">
        <v>463973.5</v>
      </c>
      <c r="WX84" s="11">
        <v>259050</v>
      </c>
      <c r="WY84" s="11">
        <v>-38051.82</v>
      </c>
      <c r="WZ84" s="11"/>
      <c r="XA84" s="11">
        <v>130085</v>
      </c>
      <c r="XB84" s="11">
        <v>184816.47</v>
      </c>
      <c r="XC84" s="11">
        <v>109490</v>
      </c>
      <c r="XD84" s="11">
        <v>6919735.9500000002</v>
      </c>
      <c r="XE84" s="11">
        <v>160600</v>
      </c>
      <c r="XF84" s="11">
        <v>13500</v>
      </c>
      <c r="XG84" s="11">
        <v>441510.02</v>
      </c>
      <c r="XH84" s="11">
        <v>30700</v>
      </c>
      <c r="XI84" s="11">
        <v>2848044.1</v>
      </c>
      <c r="XJ84" s="11">
        <v>381031</v>
      </c>
      <c r="XK84" s="11">
        <v>328400</v>
      </c>
      <c r="XL84" s="11">
        <v>951868.84</v>
      </c>
      <c r="XM84" s="11">
        <v>307800</v>
      </c>
      <c r="XN84" s="11">
        <v>15500</v>
      </c>
      <c r="XO84" s="11">
        <v>1749348.2</v>
      </c>
      <c r="XP84" s="11">
        <v>0</v>
      </c>
      <c r="XQ84" s="11">
        <v>142300</v>
      </c>
      <c r="XR84" s="11">
        <v>122377</v>
      </c>
      <c r="XS84" s="11">
        <v>415004</v>
      </c>
      <c r="XT84" s="11">
        <v>46250</v>
      </c>
      <c r="XU84" s="11">
        <v>485198.7</v>
      </c>
      <c r="XV84" s="11">
        <v>104980</v>
      </c>
      <c r="XW84" s="11">
        <v>54300</v>
      </c>
      <c r="XX84" s="11">
        <v>53279</v>
      </c>
      <c r="XY84" s="11">
        <v>33760</v>
      </c>
      <c r="XZ84" s="11">
        <v>136900</v>
      </c>
      <c r="YA84" s="11">
        <v>55875</v>
      </c>
      <c r="YB84" s="11">
        <v>25200</v>
      </c>
      <c r="YC84" s="11">
        <v>108050</v>
      </c>
      <c r="YD84" s="11">
        <v>68400</v>
      </c>
      <c r="YE84" s="11">
        <v>68790</v>
      </c>
      <c r="YF84" s="11"/>
      <c r="YG84" s="11">
        <v>238700</v>
      </c>
      <c r="YH84" s="11">
        <v>375420</v>
      </c>
      <c r="YI84" s="11">
        <v>78325</v>
      </c>
      <c r="YJ84" s="11">
        <v>2049030</v>
      </c>
      <c r="YK84" s="11">
        <v>60000</v>
      </c>
      <c r="YL84" s="11">
        <v>316600</v>
      </c>
      <c r="YM84" s="11">
        <v>187493.34</v>
      </c>
      <c r="YN84" s="11">
        <v>367141</v>
      </c>
      <c r="YO84" s="11">
        <v>722300</v>
      </c>
      <c r="YP84" s="11">
        <v>133031.20000000001</v>
      </c>
      <c r="YQ84" s="11">
        <v>199090</v>
      </c>
      <c r="YR84" s="11">
        <v>154750</v>
      </c>
      <c r="YS84" s="11">
        <v>62000</v>
      </c>
      <c r="YT84" s="11">
        <v>199910</v>
      </c>
      <c r="YU84" s="11">
        <v>482915.9</v>
      </c>
      <c r="YV84" s="11">
        <v>117176</v>
      </c>
      <c r="YW84" s="11">
        <v>1199841.44</v>
      </c>
      <c r="YX84" s="11">
        <v>113064.4</v>
      </c>
      <c r="YY84" s="11"/>
      <c r="YZ84" s="11"/>
      <c r="ZA84" s="11"/>
      <c r="ZB84" s="11">
        <v>38200</v>
      </c>
      <c r="ZC84" s="11">
        <v>77516.800000000003</v>
      </c>
      <c r="ZD84" s="11"/>
      <c r="ZE84" s="11">
        <v>124919.8</v>
      </c>
      <c r="ZF84" s="11"/>
      <c r="ZG84" s="11">
        <v>166000</v>
      </c>
      <c r="ZH84" s="11">
        <v>142000</v>
      </c>
      <c r="ZI84" s="11"/>
      <c r="ZJ84" s="11">
        <v>155935</v>
      </c>
      <c r="ZK84" s="11">
        <v>100550</v>
      </c>
      <c r="ZL84" s="11"/>
      <c r="ZM84" s="11"/>
      <c r="ZN84" s="11">
        <v>71000</v>
      </c>
      <c r="ZO84" s="11">
        <v>1306426.3400000001</v>
      </c>
      <c r="ZP84" s="11">
        <v>571300</v>
      </c>
      <c r="ZQ84" s="11">
        <v>641059.76</v>
      </c>
      <c r="ZR84" s="11">
        <v>184635.6</v>
      </c>
      <c r="ZS84" s="11">
        <v>115045</v>
      </c>
      <c r="ZT84" s="11">
        <v>503975</v>
      </c>
      <c r="ZU84" s="11">
        <v>220425</v>
      </c>
      <c r="ZV84" s="11">
        <v>316679.2</v>
      </c>
      <c r="ZW84" s="11">
        <v>36600</v>
      </c>
      <c r="ZX84" s="11">
        <v>0</v>
      </c>
      <c r="ZY84" s="11">
        <v>214325</v>
      </c>
      <c r="ZZ84" s="11">
        <v>273800</v>
      </c>
      <c r="AAA84" s="11">
        <v>157245.23000000001</v>
      </c>
      <c r="AAB84" s="11">
        <v>197122.1</v>
      </c>
      <c r="AAC84" s="11">
        <v>123372.1</v>
      </c>
      <c r="AAD84" s="11">
        <v>642</v>
      </c>
      <c r="AAE84" s="11">
        <v>480418</v>
      </c>
      <c r="AAF84" s="11">
        <v>50250</v>
      </c>
      <c r="AAG84" s="11">
        <v>78690</v>
      </c>
      <c r="AAH84" s="11">
        <v>87780.39</v>
      </c>
      <c r="AAI84" s="11">
        <v>187128.8</v>
      </c>
      <c r="AAJ84" s="11">
        <v>280998</v>
      </c>
      <c r="AAK84" s="11">
        <v>223720</v>
      </c>
      <c r="AAL84" s="11">
        <v>83450</v>
      </c>
      <c r="AAM84" s="11">
        <v>3000</v>
      </c>
      <c r="AAN84" s="11"/>
      <c r="AAO84" s="11">
        <v>66610</v>
      </c>
      <c r="AAP84" s="11">
        <v>1329121.69</v>
      </c>
      <c r="AAQ84" s="11">
        <v>5599456.5599999996</v>
      </c>
      <c r="AAR84" s="11">
        <v>215000</v>
      </c>
      <c r="AAS84" s="11"/>
      <c r="AAT84" s="11">
        <v>105000</v>
      </c>
      <c r="AAU84" s="11">
        <v>150700</v>
      </c>
      <c r="AAV84" s="11">
        <v>252750</v>
      </c>
      <c r="AAW84" s="11">
        <v>301000</v>
      </c>
      <c r="AAX84" s="11">
        <v>2216725</v>
      </c>
      <c r="AAY84" s="11">
        <v>477969.5</v>
      </c>
      <c r="AAZ84" s="11"/>
      <c r="ABA84" s="11">
        <v>1793620.9</v>
      </c>
      <c r="ABB84" s="11"/>
      <c r="ABC84" s="11">
        <v>63950</v>
      </c>
      <c r="ABD84" s="11">
        <v>60520</v>
      </c>
      <c r="ABE84" s="11">
        <v>109250</v>
      </c>
      <c r="ABF84" s="11">
        <v>799579.13</v>
      </c>
      <c r="ABG84" s="11">
        <v>110300</v>
      </c>
      <c r="ABH84" s="11">
        <v>289250</v>
      </c>
      <c r="ABI84" s="11">
        <v>1510140.65</v>
      </c>
      <c r="ABJ84" s="11">
        <v>1007092</v>
      </c>
      <c r="ABK84" s="11">
        <v>365550</v>
      </c>
      <c r="ABL84" s="11">
        <v>1098560.77</v>
      </c>
      <c r="ABM84" s="11">
        <v>2832706.25</v>
      </c>
      <c r="ABN84" s="11"/>
      <c r="ABO84" s="11">
        <v>108295</v>
      </c>
      <c r="ABP84" s="11">
        <v>17386496.260000002</v>
      </c>
      <c r="ABQ84" s="11">
        <v>4330300.5</v>
      </c>
      <c r="ABR84" s="11">
        <v>181800</v>
      </c>
      <c r="ABS84" s="11">
        <v>196950</v>
      </c>
      <c r="ABT84" s="11"/>
      <c r="ABU84" s="11">
        <v>202840</v>
      </c>
      <c r="ABV84" s="11">
        <v>44100</v>
      </c>
      <c r="ABW84" s="11">
        <v>113610</v>
      </c>
      <c r="ABX84" s="11"/>
      <c r="ABY84" s="11"/>
      <c r="ABZ84" s="11"/>
      <c r="ACA84" s="11"/>
      <c r="ACB84" s="11">
        <v>155081.60000000001</v>
      </c>
      <c r="ACC84" s="11">
        <v>881421.71</v>
      </c>
      <c r="ACD84" s="11">
        <v>685975</v>
      </c>
      <c r="ACE84" s="11">
        <v>287603.40000000002</v>
      </c>
      <c r="ACF84" s="11">
        <v>25719</v>
      </c>
      <c r="ACG84" s="11">
        <v>58880</v>
      </c>
      <c r="ACH84" s="11">
        <v>123762.62</v>
      </c>
      <c r="ACI84" s="11"/>
      <c r="ACJ84" s="11"/>
      <c r="ACK84" s="11"/>
      <c r="ACL84" s="11">
        <v>2111594.29</v>
      </c>
      <c r="ACM84" s="11">
        <v>3272532.4</v>
      </c>
      <c r="ACN84" s="11">
        <v>661505.32999999996</v>
      </c>
      <c r="ACO84" s="11"/>
      <c r="ACP84" s="11">
        <v>35000</v>
      </c>
      <c r="ACQ84" s="11"/>
      <c r="ACR84" s="11">
        <v>2502585.06</v>
      </c>
      <c r="ACS84" s="11">
        <v>140500</v>
      </c>
      <c r="ACT84" s="11">
        <v>3519958.1</v>
      </c>
      <c r="ACU84" s="11">
        <v>1233540.42</v>
      </c>
      <c r="ACV84" s="11"/>
      <c r="ACW84" s="11"/>
      <c r="ACX84" s="11">
        <v>598630.84</v>
      </c>
      <c r="ACY84" s="11">
        <v>148600.20000000001</v>
      </c>
      <c r="ACZ84" s="11">
        <v>0</v>
      </c>
      <c r="ADA84" s="11">
        <v>1020866.1</v>
      </c>
      <c r="ADB84" s="11">
        <v>98510</v>
      </c>
      <c r="ADC84" s="11">
        <v>22950</v>
      </c>
      <c r="ADD84" s="11">
        <v>303797.5</v>
      </c>
      <c r="ADE84" s="11">
        <v>225800</v>
      </c>
      <c r="ADF84" s="11">
        <v>68520</v>
      </c>
      <c r="ADG84" s="11">
        <v>1954663.13</v>
      </c>
      <c r="ADH84" s="11">
        <v>423464.31</v>
      </c>
      <c r="ADI84" s="11"/>
      <c r="ADJ84" s="11">
        <v>21521</v>
      </c>
      <c r="ADK84" s="11"/>
      <c r="ADL84" s="11"/>
      <c r="ADM84" s="11">
        <v>0</v>
      </c>
      <c r="ADN84" s="11">
        <v>181885</v>
      </c>
      <c r="ADO84" s="11">
        <v>275500</v>
      </c>
      <c r="ADP84" s="11">
        <v>2324364</v>
      </c>
      <c r="ADQ84" s="11">
        <v>1329059.3500000001</v>
      </c>
      <c r="ADR84" s="11"/>
      <c r="ADS84" s="11">
        <v>220847.59</v>
      </c>
      <c r="ADT84" s="11">
        <v>959983.94</v>
      </c>
      <c r="ADU84" s="11"/>
      <c r="ADV84" s="11"/>
      <c r="ADW84" s="11">
        <v>77440</v>
      </c>
      <c r="ADX84" s="11"/>
      <c r="ADY84" s="11"/>
      <c r="ADZ84" s="11">
        <v>4868220.58</v>
      </c>
      <c r="AEA84" s="11">
        <v>332376.88</v>
      </c>
      <c r="AEB84" s="11">
        <v>5524848.75</v>
      </c>
      <c r="AEC84" s="11">
        <v>196380</v>
      </c>
      <c r="AED84" s="11"/>
      <c r="AEE84" s="11">
        <v>411905</v>
      </c>
      <c r="AEF84" s="11">
        <v>418447.15</v>
      </c>
      <c r="AEG84" s="11">
        <v>161150</v>
      </c>
      <c r="AEH84" s="11">
        <v>388000</v>
      </c>
      <c r="AEI84" s="11">
        <v>45520</v>
      </c>
      <c r="AEJ84" s="11">
        <v>3287414.18</v>
      </c>
      <c r="AEK84" s="11">
        <v>1812405.32</v>
      </c>
      <c r="AEL84" s="11">
        <v>1033763.08</v>
      </c>
      <c r="AEM84" s="11">
        <v>212940</v>
      </c>
      <c r="AEN84" s="11">
        <v>89760</v>
      </c>
      <c r="AEO84" s="11">
        <v>437777.23</v>
      </c>
      <c r="AEP84" s="11">
        <v>797289.28</v>
      </c>
      <c r="AEQ84" s="11">
        <v>9688385.3499999996</v>
      </c>
      <c r="AER84" s="11">
        <v>25680</v>
      </c>
      <c r="AES84" s="11"/>
      <c r="AET84" s="11">
        <v>263166.09999999998</v>
      </c>
      <c r="AEU84" s="11">
        <v>450100</v>
      </c>
      <c r="AEV84" s="11">
        <v>94550</v>
      </c>
      <c r="AEW84" s="11">
        <v>1945327.7</v>
      </c>
      <c r="AEX84" s="11">
        <v>179775</v>
      </c>
      <c r="AEY84" s="11">
        <v>736285.59</v>
      </c>
      <c r="AEZ84" s="11">
        <v>81080</v>
      </c>
      <c r="AFA84" s="11">
        <v>771580</v>
      </c>
      <c r="AFB84" s="11">
        <v>224470.39999999999</v>
      </c>
      <c r="AFC84" s="11">
        <v>86783.6</v>
      </c>
      <c r="AFD84" s="11">
        <v>306092.94</v>
      </c>
      <c r="AFE84" s="11"/>
      <c r="AFF84" s="11">
        <v>0</v>
      </c>
      <c r="AFG84" s="11">
        <v>153990</v>
      </c>
      <c r="AFH84" s="11"/>
      <c r="AFI84" s="11">
        <v>34500</v>
      </c>
      <c r="AFJ84" s="11"/>
      <c r="AFK84" s="11">
        <v>58000</v>
      </c>
      <c r="AFL84" s="11">
        <v>-25400</v>
      </c>
      <c r="AFM84" s="11">
        <v>256180</v>
      </c>
      <c r="AFN84" s="11"/>
      <c r="AFO84" s="11"/>
      <c r="AFP84" s="11"/>
      <c r="AFQ84" s="11">
        <v>882130.4</v>
      </c>
      <c r="AFR84" s="11">
        <v>1181252.21</v>
      </c>
      <c r="AFS84" s="11">
        <v>3749262.8</v>
      </c>
      <c r="AFT84" s="11">
        <v>718116.04</v>
      </c>
      <c r="AFU84" s="11">
        <v>59030</v>
      </c>
      <c r="AFV84" s="11">
        <v>97575</v>
      </c>
      <c r="AFW84" s="11"/>
      <c r="AFX84" s="11">
        <v>173580</v>
      </c>
      <c r="AFY84" s="11">
        <v>67850</v>
      </c>
      <c r="AFZ84" s="11">
        <v>473386.05</v>
      </c>
      <c r="AGA84" s="11">
        <v>6202771.8099999996</v>
      </c>
      <c r="AGB84" s="11">
        <v>47840</v>
      </c>
      <c r="AGC84" s="11">
        <v>2296085.02</v>
      </c>
      <c r="AGD84" s="11">
        <v>64420</v>
      </c>
      <c r="AGE84" s="11"/>
      <c r="AGF84" s="11">
        <v>182315</v>
      </c>
      <c r="AGG84" s="11">
        <v>103350</v>
      </c>
      <c r="AGH84" s="11">
        <v>47280</v>
      </c>
      <c r="AGI84" s="11">
        <v>97000</v>
      </c>
      <c r="AGJ84" s="11">
        <v>109950</v>
      </c>
      <c r="AGK84" s="11">
        <v>65330</v>
      </c>
      <c r="AGL84" s="11">
        <v>89770</v>
      </c>
      <c r="AGM84" s="11">
        <v>55330</v>
      </c>
      <c r="AGN84" s="11">
        <v>530488.23</v>
      </c>
      <c r="AGO84" s="11">
        <v>219493.05</v>
      </c>
      <c r="AGP84" s="11">
        <v>1822900</v>
      </c>
      <c r="AGQ84" s="11">
        <v>170886.1</v>
      </c>
      <c r="AGR84" s="11">
        <v>729863.03</v>
      </c>
      <c r="AGS84" s="11">
        <v>734892.66</v>
      </c>
      <c r="AGT84" s="11">
        <v>35815</v>
      </c>
      <c r="AGU84" s="11">
        <v>327735.15999999997</v>
      </c>
      <c r="AGV84" s="11"/>
      <c r="AGW84" s="11"/>
      <c r="AGX84" s="11">
        <v>780827.37</v>
      </c>
      <c r="AGY84" s="11">
        <v>147250</v>
      </c>
      <c r="AGZ84" s="11">
        <v>371674.26</v>
      </c>
      <c r="AHA84" s="11"/>
      <c r="AHB84" s="11">
        <v>0</v>
      </c>
      <c r="AHC84" s="11"/>
      <c r="AHD84" s="11">
        <v>110050</v>
      </c>
      <c r="AHE84" s="11">
        <v>238610</v>
      </c>
      <c r="AHF84" s="11"/>
      <c r="AHG84" s="11">
        <v>115</v>
      </c>
      <c r="AHH84" s="11">
        <v>114758.98</v>
      </c>
      <c r="AHI84" s="11">
        <v>68680</v>
      </c>
      <c r="AHJ84" s="11">
        <v>0</v>
      </c>
      <c r="AHK84" s="11">
        <v>92532.01</v>
      </c>
      <c r="AHL84" s="11">
        <v>35500</v>
      </c>
      <c r="AHM84" s="11">
        <v>1502323.83</v>
      </c>
      <c r="AHN84" s="11">
        <v>7350</v>
      </c>
      <c r="AHO84" s="11"/>
      <c r="AHP84" s="11">
        <v>88891.59</v>
      </c>
      <c r="AHQ84" s="11">
        <v>335223.03999999998</v>
      </c>
      <c r="AHR84" s="11">
        <v>80950</v>
      </c>
      <c r="AHS84" s="11">
        <v>119200</v>
      </c>
      <c r="AHT84" s="11">
        <v>498656355.57000023</v>
      </c>
      <c r="AHV84" s="269" t="s">
        <v>6278</v>
      </c>
      <c r="AHW84" s="269" t="s">
        <v>6109</v>
      </c>
      <c r="AHX84" s="269" t="s">
        <v>6110</v>
      </c>
    </row>
    <row r="85" spans="1:908" x14ac:dyDescent="0.7">
      <c r="A85" s="6" t="s">
        <v>6278</v>
      </c>
      <c r="B85" s="6" t="s">
        <v>6115</v>
      </c>
      <c r="C85" s="6" t="s">
        <v>6116</v>
      </c>
      <c r="D85" s="11">
        <v>23390</v>
      </c>
      <c r="E85" s="11">
        <v>94196.57</v>
      </c>
      <c r="F85" s="11">
        <v>635854</v>
      </c>
      <c r="G85" s="11">
        <v>76268.14</v>
      </c>
      <c r="H85" s="11">
        <v>468142.8</v>
      </c>
      <c r="I85" s="11">
        <v>40994.620000000003</v>
      </c>
      <c r="J85" s="11">
        <v>236221.88</v>
      </c>
      <c r="K85" s="11">
        <v>102886.9</v>
      </c>
      <c r="L85" s="11">
        <v>116867.9</v>
      </c>
      <c r="M85" s="11">
        <v>509541.96</v>
      </c>
      <c r="N85" s="11">
        <v>253623.4</v>
      </c>
      <c r="O85" s="11">
        <v>205010.57</v>
      </c>
      <c r="P85" s="11">
        <v>256491.81</v>
      </c>
      <c r="Q85" s="11">
        <v>193154.51</v>
      </c>
      <c r="R85" s="11">
        <v>151161.29999999999</v>
      </c>
      <c r="S85" s="11">
        <v>161806.70000000001</v>
      </c>
      <c r="T85" s="11">
        <v>96246.58</v>
      </c>
      <c r="U85" s="11">
        <v>38510</v>
      </c>
      <c r="V85" s="11"/>
      <c r="W85" s="11">
        <v>131638.21</v>
      </c>
      <c r="X85" s="11">
        <v>25429.75</v>
      </c>
      <c r="Y85" s="11">
        <v>39633.1</v>
      </c>
      <c r="Z85" s="11">
        <v>358600.63</v>
      </c>
      <c r="AA85" s="11">
        <v>266406.96000000002</v>
      </c>
      <c r="AB85" s="11">
        <v>255344.97</v>
      </c>
      <c r="AC85" s="11">
        <v>2249654.39</v>
      </c>
      <c r="AD85" s="11">
        <v>217799.08</v>
      </c>
      <c r="AE85" s="11">
        <v>306851.3</v>
      </c>
      <c r="AF85" s="11">
        <v>302680.98</v>
      </c>
      <c r="AG85" s="11">
        <v>63445.59</v>
      </c>
      <c r="AH85" s="11">
        <v>136259.29999999999</v>
      </c>
      <c r="AI85" s="11">
        <v>476131.53</v>
      </c>
      <c r="AJ85" s="11">
        <v>67204</v>
      </c>
      <c r="AK85" s="11">
        <v>27070.79</v>
      </c>
      <c r="AL85" s="11">
        <v>422070.4</v>
      </c>
      <c r="AM85" s="11">
        <v>104955.68</v>
      </c>
      <c r="AN85" s="11">
        <v>32684.27</v>
      </c>
      <c r="AO85" s="11">
        <v>205118.07999999999</v>
      </c>
      <c r="AP85" s="11">
        <v>457267.57</v>
      </c>
      <c r="AQ85" s="11">
        <v>100181.12</v>
      </c>
      <c r="AR85" s="11">
        <v>244167.69</v>
      </c>
      <c r="AS85" s="11">
        <v>235358.89</v>
      </c>
      <c r="AT85" s="11"/>
      <c r="AU85" s="11">
        <v>14563.15</v>
      </c>
      <c r="AV85" s="11">
        <v>36954</v>
      </c>
      <c r="AW85" s="11">
        <v>209144.31</v>
      </c>
      <c r="AX85" s="11">
        <v>117707.28</v>
      </c>
      <c r="AY85" s="11">
        <v>84850</v>
      </c>
      <c r="AZ85" s="11">
        <v>81410.25</v>
      </c>
      <c r="BA85" s="11">
        <v>114193</v>
      </c>
      <c r="BB85" s="11">
        <v>57124.58</v>
      </c>
      <c r="BC85" s="11">
        <v>39318.82</v>
      </c>
      <c r="BD85" s="11">
        <v>22137.61</v>
      </c>
      <c r="BE85" s="11"/>
      <c r="BF85" s="11">
        <v>291602.21000000002</v>
      </c>
      <c r="BG85" s="11"/>
      <c r="BH85" s="11">
        <v>11063.15</v>
      </c>
      <c r="BI85" s="11">
        <v>61330</v>
      </c>
      <c r="BJ85" s="11">
        <v>182974.48</v>
      </c>
      <c r="BK85" s="11">
        <v>147548.9</v>
      </c>
      <c r="BL85" s="11">
        <v>39340.68</v>
      </c>
      <c r="BM85" s="11">
        <v>279644.17</v>
      </c>
      <c r="BN85" s="11">
        <v>125109.6</v>
      </c>
      <c r="BO85" s="11">
        <v>49152.83</v>
      </c>
      <c r="BP85" s="11">
        <v>2084</v>
      </c>
      <c r="BQ85" s="11">
        <v>33384.99</v>
      </c>
      <c r="BR85" s="11"/>
      <c r="BS85" s="11">
        <v>46867</v>
      </c>
      <c r="BT85" s="11">
        <v>81082.22</v>
      </c>
      <c r="BU85" s="11">
        <v>118773.92</v>
      </c>
      <c r="BV85" s="11">
        <v>155826.03</v>
      </c>
      <c r="BW85" s="11">
        <v>117591.69</v>
      </c>
      <c r="BX85" s="11">
        <v>75082.899999999994</v>
      </c>
      <c r="BY85" s="11">
        <v>15829.8</v>
      </c>
      <c r="BZ85" s="11">
        <v>402208.95</v>
      </c>
      <c r="CA85" s="11">
        <v>232681.18</v>
      </c>
      <c r="CB85" s="11">
        <v>377592</v>
      </c>
      <c r="CC85" s="11">
        <v>194277.83</v>
      </c>
      <c r="CD85" s="11">
        <v>89389.64</v>
      </c>
      <c r="CE85" s="11">
        <v>202445.8</v>
      </c>
      <c r="CF85" s="11">
        <v>131158.20000000001</v>
      </c>
      <c r="CG85" s="11">
        <v>16540</v>
      </c>
      <c r="CH85" s="11">
        <v>136926.85999999999</v>
      </c>
      <c r="CI85" s="11">
        <v>404893.34</v>
      </c>
      <c r="CJ85" s="11">
        <v>92606.37</v>
      </c>
      <c r="CK85" s="11">
        <v>104602.9</v>
      </c>
      <c r="CL85" s="11">
        <v>214000.18</v>
      </c>
      <c r="CM85" s="11">
        <v>82019.55</v>
      </c>
      <c r="CN85" s="11">
        <v>82872.800000000003</v>
      </c>
      <c r="CO85" s="11">
        <v>3197.16</v>
      </c>
      <c r="CP85" s="11">
        <v>57529</v>
      </c>
      <c r="CQ85" s="11">
        <v>80813.45</v>
      </c>
      <c r="CR85" s="11">
        <v>113506.44</v>
      </c>
      <c r="CS85" s="11">
        <v>33036</v>
      </c>
      <c r="CT85" s="11">
        <v>25294.35</v>
      </c>
      <c r="CU85" s="11">
        <v>43281.8</v>
      </c>
      <c r="CV85" s="11">
        <v>90947.39</v>
      </c>
      <c r="CW85" s="11">
        <v>439968.45</v>
      </c>
      <c r="CX85" s="11">
        <v>96833.3</v>
      </c>
      <c r="CY85" s="11">
        <v>83738</v>
      </c>
      <c r="CZ85" s="11">
        <v>39350</v>
      </c>
      <c r="DA85" s="11">
        <v>66613.649999999994</v>
      </c>
      <c r="DB85" s="11">
        <v>432916.15</v>
      </c>
      <c r="DC85" s="11">
        <v>615709.76</v>
      </c>
      <c r="DD85" s="11">
        <v>216718.03</v>
      </c>
      <c r="DE85" s="11">
        <v>300245.64</v>
      </c>
      <c r="DF85" s="11">
        <v>80092.63</v>
      </c>
      <c r="DG85" s="11">
        <v>153949.45000000001</v>
      </c>
      <c r="DH85" s="11">
        <v>233364.4</v>
      </c>
      <c r="DI85" s="11">
        <v>52830.3</v>
      </c>
      <c r="DJ85" s="11">
        <v>73249.62</v>
      </c>
      <c r="DK85" s="11">
        <v>292929.15999999997</v>
      </c>
      <c r="DL85" s="11">
        <v>100679.34</v>
      </c>
      <c r="DM85" s="11">
        <v>64222.2</v>
      </c>
      <c r="DN85" s="11">
        <v>72227.850000000006</v>
      </c>
      <c r="DO85" s="11">
        <v>15144.24</v>
      </c>
      <c r="DP85" s="11">
        <v>52657.97</v>
      </c>
      <c r="DQ85" s="11">
        <v>668405</v>
      </c>
      <c r="DR85" s="11">
        <v>427273.12</v>
      </c>
      <c r="DS85" s="11">
        <v>89699.23</v>
      </c>
      <c r="DT85" s="11"/>
      <c r="DU85" s="11">
        <v>157102</v>
      </c>
      <c r="DV85" s="11">
        <v>186651.68</v>
      </c>
      <c r="DW85" s="11">
        <v>276481.64</v>
      </c>
      <c r="DX85" s="11">
        <v>60327</v>
      </c>
      <c r="DY85" s="11">
        <v>494139.34</v>
      </c>
      <c r="DZ85" s="11">
        <v>170651</v>
      </c>
      <c r="EA85" s="11">
        <v>12700</v>
      </c>
      <c r="EB85" s="11">
        <v>164391.04000000001</v>
      </c>
      <c r="EC85" s="11">
        <v>156144.51999999999</v>
      </c>
      <c r="ED85" s="11">
        <v>270721.8</v>
      </c>
      <c r="EE85" s="11">
        <v>15890</v>
      </c>
      <c r="EF85" s="11">
        <v>11865</v>
      </c>
      <c r="EG85" s="11">
        <v>108280</v>
      </c>
      <c r="EH85" s="11">
        <v>274908.34999999998</v>
      </c>
      <c r="EI85" s="11">
        <v>527938.99</v>
      </c>
      <c r="EJ85" s="11">
        <v>148688.29999999999</v>
      </c>
      <c r="EK85" s="11">
        <v>34310</v>
      </c>
      <c r="EL85" s="11">
        <v>57761</v>
      </c>
      <c r="EM85" s="11">
        <v>196044.81</v>
      </c>
      <c r="EN85" s="11"/>
      <c r="EO85" s="11">
        <v>289408.36</v>
      </c>
      <c r="EP85" s="11">
        <v>278048.7</v>
      </c>
      <c r="EQ85" s="11">
        <v>181483.01</v>
      </c>
      <c r="ER85" s="11">
        <v>177448.52</v>
      </c>
      <c r="ES85" s="11">
        <v>250049.46</v>
      </c>
      <c r="ET85" s="11">
        <v>448304.05</v>
      </c>
      <c r="EU85" s="11">
        <v>350410.6</v>
      </c>
      <c r="EV85" s="11">
        <v>228926.96</v>
      </c>
      <c r="EW85" s="11">
        <v>787671.01</v>
      </c>
      <c r="EX85" s="11">
        <v>67493.7</v>
      </c>
      <c r="EY85" s="11">
        <v>105314.5</v>
      </c>
      <c r="EZ85" s="11">
        <v>1002469.01</v>
      </c>
      <c r="FA85" s="11">
        <v>114000</v>
      </c>
      <c r="FB85" s="11">
        <v>72205.58</v>
      </c>
      <c r="FC85" s="11">
        <v>222981.4</v>
      </c>
      <c r="FD85" s="11">
        <v>32472.22</v>
      </c>
      <c r="FE85" s="11">
        <v>77739.92</v>
      </c>
      <c r="FF85" s="11">
        <v>38819</v>
      </c>
      <c r="FG85" s="11">
        <v>48380.57</v>
      </c>
      <c r="FH85" s="11">
        <v>28112</v>
      </c>
      <c r="FI85" s="11"/>
      <c r="FJ85" s="11">
        <v>66140</v>
      </c>
      <c r="FK85" s="11">
        <v>45472.88</v>
      </c>
      <c r="FL85" s="11">
        <v>89929.31</v>
      </c>
      <c r="FM85" s="11">
        <v>1078150.1299999999</v>
      </c>
      <c r="FN85" s="11">
        <v>193210.92</v>
      </c>
      <c r="FO85" s="11">
        <v>64493.2</v>
      </c>
      <c r="FP85" s="11">
        <v>35096.800000000003</v>
      </c>
      <c r="FQ85" s="11">
        <v>8749.99</v>
      </c>
      <c r="FR85" s="11">
        <v>303247.3</v>
      </c>
      <c r="FS85" s="11">
        <v>26149</v>
      </c>
      <c r="FT85" s="11">
        <v>169887.57</v>
      </c>
      <c r="FU85" s="11">
        <v>100868.24</v>
      </c>
      <c r="FV85" s="11">
        <v>78409.100000000006</v>
      </c>
      <c r="FW85" s="11">
        <v>196838.5</v>
      </c>
      <c r="FX85" s="11">
        <v>207019</v>
      </c>
      <c r="FY85" s="11">
        <v>260233.06</v>
      </c>
      <c r="FZ85" s="11">
        <v>94339.66</v>
      </c>
      <c r="GA85" s="11">
        <v>472330.2</v>
      </c>
      <c r="GB85" s="11">
        <v>137669.4</v>
      </c>
      <c r="GC85" s="11">
        <v>166179.60999999999</v>
      </c>
      <c r="GD85" s="11">
        <v>144849.5</v>
      </c>
      <c r="GE85" s="11">
        <v>13000</v>
      </c>
      <c r="GF85" s="11">
        <v>236701.7</v>
      </c>
      <c r="GG85" s="11">
        <v>290345.99</v>
      </c>
      <c r="GH85" s="11">
        <v>122361.98</v>
      </c>
      <c r="GI85" s="11">
        <v>69773.95</v>
      </c>
      <c r="GJ85" s="11">
        <v>7845.81</v>
      </c>
      <c r="GK85" s="11">
        <v>38730.25</v>
      </c>
      <c r="GL85" s="11">
        <v>323113</v>
      </c>
      <c r="GM85" s="11">
        <v>30921</v>
      </c>
      <c r="GN85" s="11">
        <v>42953.85</v>
      </c>
      <c r="GO85" s="11">
        <v>28442</v>
      </c>
      <c r="GP85" s="11">
        <v>70993.95</v>
      </c>
      <c r="GQ85" s="11">
        <v>443389.36</v>
      </c>
      <c r="GR85" s="11">
        <v>280804.89</v>
      </c>
      <c r="GS85" s="11">
        <v>69587.600000000006</v>
      </c>
      <c r="GT85" s="11">
        <v>140545.66</v>
      </c>
      <c r="GU85" s="11">
        <v>84418.12</v>
      </c>
      <c r="GV85" s="11">
        <v>135362.07</v>
      </c>
      <c r="GW85" s="11">
        <v>191666.36</v>
      </c>
      <c r="GX85" s="11">
        <v>41898.04</v>
      </c>
      <c r="GY85" s="11">
        <v>321765.65000000002</v>
      </c>
      <c r="GZ85" s="11">
        <v>157118.66</v>
      </c>
      <c r="HA85" s="11">
        <v>25690</v>
      </c>
      <c r="HB85" s="11">
        <v>169434.56</v>
      </c>
      <c r="HC85" s="11">
        <v>507077.05</v>
      </c>
      <c r="HD85" s="11">
        <v>2844074.85</v>
      </c>
      <c r="HE85" s="11">
        <v>381294.66</v>
      </c>
      <c r="HF85" s="11">
        <v>186154.1</v>
      </c>
      <c r="HG85" s="11">
        <v>167805.02</v>
      </c>
      <c r="HH85" s="11">
        <v>646395.34</v>
      </c>
      <c r="HI85" s="11">
        <v>51000</v>
      </c>
      <c r="HJ85" s="11">
        <v>1191059.93</v>
      </c>
      <c r="HK85" s="11">
        <v>126750</v>
      </c>
      <c r="HL85" s="11">
        <v>335938.02</v>
      </c>
      <c r="HM85" s="11">
        <v>236791.92</v>
      </c>
      <c r="HN85" s="11">
        <v>167446.89000000001</v>
      </c>
      <c r="HO85" s="11">
        <v>159230.89000000001</v>
      </c>
      <c r="HP85" s="11">
        <v>34457.57</v>
      </c>
      <c r="HQ85" s="11">
        <v>151972</v>
      </c>
      <c r="HR85" s="11">
        <v>267635.45500000002</v>
      </c>
      <c r="HS85" s="11">
        <v>116952.04</v>
      </c>
      <c r="HT85" s="11">
        <v>59231.68</v>
      </c>
      <c r="HU85" s="11">
        <v>341474.28</v>
      </c>
      <c r="HV85" s="11">
        <v>137902.39999999999</v>
      </c>
      <c r="HW85" s="11">
        <v>84903.12</v>
      </c>
      <c r="HX85" s="11">
        <v>123191.5</v>
      </c>
      <c r="HY85" s="11">
        <v>201518.25</v>
      </c>
      <c r="HZ85" s="11">
        <v>333891.09999999998</v>
      </c>
      <c r="IA85" s="11">
        <v>145906.37</v>
      </c>
      <c r="IB85" s="11">
        <v>184274</v>
      </c>
      <c r="IC85" s="11">
        <v>121707</v>
      </c>
      <c r="ID85" s="11">
        <v>784789.08</v>
      </c>
      <c r="IE85" s="11">
        <v>27170.36</v>
      </c>
      <c r="IF85" s="11">
        <v>106845.12</v>
      </c>
      <c r="IG85" s="11">
        <v>35865</v>
      </c>
      <c r="IH85" s="11">
        <v>28303</v>
      </c>
      <c r="II85" s="11">
        <v>9801.9</v>
      </c>
      <c r="IJ85" s="11"/>
      <c r="IK85" s="11">
        <v>163744.92000000001</v>
      </c>
      <c r="IL85" s="11">
        <v>265916.34000000003</v>
      </c>
      <c r="IM85" s="11">
        <v>305413.5</v>
      </c>
      <c r="IN85" s="11">
        <v>375425.76</v>
      </c>
      <c r="IO85" s="11">
        <v>29470</v>
      </c>
      <c r="IP85" s="11">
        <v>122081.25</v>
      </c>
      <c r="IQ85" s="11">
        <v>149209.34</v>
      </c>
      <c r="IR85" s="11">
        <v>159823.56</v>
      </c>
      <c r="IS85" s="11">
        <v>142728.63</v>
      </c>
      <c r="IT85" s="11">
        <v>735909.2</v>
      </c>
      <c r="IU85" s="11">
        <v>215746.5</v>
      </c>
      <c r="IV85" s="11">
        <v>100091</v>
      </c>
      <c r="IW85" s="11">
        <v>70637</v>
      </c>
      <c r="IX85" s="11">
        <v>173533.52</v>
      </c>
      <c r="IY85" s="11">
        <v>136609.07999999999</v>
      </c>
      <c r="IZ85" s="11">
        <v>46627.9</v>
      </c>
      <c r="JA85" s="11">
        <v>18940</v>
      </c>
      <c r="JB85" s="11">
        <v>99428.03</v>
      </c>
      <c r="JC85" s="11">
        <v>31987.75</v>
      </c>
      <c r="JD85" s="11">
        <v>77815.100000000006</v>
      </c>
      <c r="JE85" s="11">
        <v>251858.3</v>
      </c>
      <c r="JF85" s="11"/>
      <c r="JG85" s="11">
        <v>79576</v>
      </c>
      <c r="JH85" s="11">
        <v>125702.72</v>
      </c>
      <c r="JI85" s="11">
        <v>89498</v>
      </c>
      <c r="JJ85" s="11">
        <v>217263.99</v>
      </c>
      <c r="JK85" s="11">
        <v>271801.73</v>
      </c>
      <c r="JL85" s="11">
        <v>191115.38</v>
      </c>
      <c r="JM85" s="11">
        <v>64636</v>
      </c>
      <c r="JN85" s="11">
        <v>246271.73</v>
      </c>
      <c r="JO85" s="11">
        <v>182143.62</v>
      </c>
      <c r="JP85" s="11">
        <v>41878</v>
      </c>
      <c r="JQ85" s="11">
        <v>98584.03</v>
      </c>
      <c r="JR85" s="11">
        <v>72320</v>
      </c>
      <c r="JS85" s="11">
        <v>28080</v>
      </c>
      <c r="JT85" s="11"/>
      <c r="JU85" s="11">
        <v>55186.35</v>
      </c>
      <c r="JV85" s="11">
        <v>8720</v>
      </c>
      <c r="JW85" s="11">
        <v>129353.76</v>
      </c>
      <c r="JX85" s="11"/>
      <c r="JY85" s="11">
        <v>277266.75</v>
      </c>
      <c r="JZ85" s="11">
        <v>228897.95</v>
      </c>
      <c r="KA85" s="11">
        <v>36948.239999999998</v>
      </c>
      <c r="KB85" s="11">
        <v>246492.66</v>
      </c>
      <c r="KC85" s="11">
        <v>12280</v>
      </c>
      <c r="KD85" s="11">
        <v>213202.37</v>
      </c>
      <c r="KE85" s="11">
        <v>78134.62</v>
      </c>
      <c r="KF85" s="11">
        <v>22713.3</v>
      </c>
      <c r="KG85" s="11">
        <v>284128.01</v>
      </c>
      <c r="KH85" s="11">
        <v>124434.69</v>
      </c>
      <c r="KI85" s="11">
        <v>374762.83</v>
      </c>
      <c r="KJ85" s="11">
        <v>300488.84000000003</v>
      </c>
      <c r="KK85" s="11">
        <v>17973.05</v>
      </c>
      <c r="KL85" s="11">
        <v>835606.17</v>
      </c>
      <c r="KM85" s="11">
        <v>2889</v>
      </c>
      <c r="KN85" s="11">
        <v>386352.89</v>
      </c>
      <c r="KO85" s="11">
        <v>934498.4</v>
      </c>
      <c r="KP85" s="11">
        <v>261019.08</v>
      </c>
      <c r="KQ85" s="11">
        <v>128491.34</v>
      </c>
      <c r="KR85" s="11">
        <v>427781</v>
      </c>
      <c r="KS85" s="11">
        <v>162880</v>
      </c>
      <c r="KT85" s="11">
        <v>3520</v>
      </c>
      <c r="KU85" s="11">
        <v>181299.64</v>
      </c>
      <c r="KV85" s="11">
        <v>103221.8</v>
      </c>
      <c r="KW85" s="11">
        <v>175736.62</v>
      </c>
      <c r="KX85" s="11">
        <v>1211351.68</v>
      </c>
      <c r="KY85" s="11">
        <v>190350.8</v>
      </c>
      <c r="KZ85" s="11">
        <v>262262.77</v>
      </c>
      <c r="LA85" s="11"/>
      <c r="LB85" s="11">
        <v>43639.199999999997</v>
      </c>
      <c r="LC85" s="11">
        <v>668420.75</v>
      </c>
      <c r="LD85" s="11">
        <v>529643.41</v>
      </c>
      <c r="LE85" s="11">
        <v>79681.3</v>
      </c>
      <c r="LF85" s="11">
        <v>190370.42</v>
      </c>
      <c r="LG85" s="11">
        <v>147467.70000000001</v>
      </c>
      <c r="LH85" s="11"/>
      <c r="LI85" s="11">
        <v>6944</v>
      </c>
      <c r="LJ85" s="11">
        <v>13903</v>
      </c>
      <c r="LK85" s="11">
        <v>478976.42</v>
      </c>
      <c r="LL85" s="11">
        <v>947676.42</v>
      </c>
      <c r="LM85" s="11">
        <v>286535.96999999997</v>
      </c>
      <c r="LN85" s="11">
        <v>336823.41</v>
      </c>
      <c r="LO85" s="11">
        <v>289866.59999999998</v>
      </c>
      <c r="LP85" s="11">
        <v>162204.1</v>
      </c>
      <c r="LQ85" s="11">
        <v>163825.07999999999</v>
      </c>
      <c r="LR85" s="11">
        <v>121355</v>
      </c>
      <c r="LS85" s="11">
        <v>157241.68</v>
      </c>
      <c r="LT85" s="11">
        <v>32432.400000000001</v>
      </c>
      <c r="LU85" s="11">
        <v>38132.01</v>
      </c>
      <c r="LV85" s="11">
        <v>273587.5</v>
      </c>
      <c r="LW85" s="11">
        <v>110145.68</v>
      </c>
      <c r="LX85" s="11">
        <v>473121.55</v>
      </c>
      <c r="LY85" s="11">
        <v>75870</v>
      </c>
      <c r="LZ85" s="11">
        <v>373730.75</v>
      </c>
      <c r="MA85" s="11">
        <v>222721.42</v>
      </c>
      <c r="MB85" s="11">
        <v>45406.6</v>
      </c>
      <c r="MC85" s="11">
        <v>209569.54</v>
      </c>
      <c r="MD85" s="11">
        <v>120894.52</v>
      </c>
      <c r="ME85" s="11">
        <v>174545.08</v>
      </c>
      <c r="MF85" s="11">
        <v>264952.74</v>
      </c>
      <c r="MG85" s="11">
        <v>27884.66</v>
      </c>
      <c r="MH85" s="11">
        <v>111800.86</v>
      </c>
      <c r="MI85" s="11">
        <v>213288.95</v>
      </c>
      <c r="MJ85" s="11">
        <v>55698.04</v>
      </c>
      <c r="MK85" s="11">
        <v>78010.95</v>
      </c>
      <c r="ML85" s="11">
        <v>133262</v>
      </c>
      <c r="MM85" s="11">
        <v>133201.44</v>
      </c>
      <c r="MN85" s="11">
        <v>163551.13</v>
      </c>
      <c r="MO85" s="11">
        <v>106349.94</v>
      </c>
      <c r="MP85" s="11">
        <v>148933.17000000001</v>
      </c>
      <c r="MQ85" s="11">
        <v>128130.8</v>
      </c>
      <c r="MR85" s="11">
        <v>51231.46</v>
      </c>
      <c r="MS85" s="11">
        <v>144588.25</v>
      </c>
      <c r="MT85" s="11"/>
      <c r="MU85" s="11">
        <v>312269.65000000002</v>
      </c>
      <c r="MV85" s="11">
        <v>82743.039999999994</v>
      </c>
      <c r="MW85" s="11">
        <v>226158</v>
      </c>
      <c r="MX85" s="11">
        <v>204688.98</v>
      </c>
      <c r="MY85" s="11">
        <v>51838</v>
      </c>
      <c r="MZ85" s="11">
        <v>263773.40000000002</v>
      </c>
      <c r="NA85" s="11">
        <v>231700.44</v>
      </c>
      <c r="NB85" s="11">
        <v>150522.9</v>
      </c>
      <c r="NC85" s="11">
        <v>107061.02</v>
      </c>
      <c r="ND85" s="11">
        <v>21466</v>
      </c>
      <c r="NE85" s="11">
        <v>142500.79999999999</v>
      </c>
      <c r="NF85" s="11">
        <v>378875</v>
      </c>
      <c r="NG85" s="11">
        <v>208404.16</v>
      </c>
      <c r="NH85" s="11">
        <v>488816.02</v>
      </c>
      <c r="NI85" s="11">
        <v>129613.94</v>
      </c>
      <c r="NJ85" s="11">
        <v>234584.2</v>
      </c>
      <c r="NK85" s="11">
        <v>926302.77</v>
      </c>
      <c r="NL85" s="11">
        <v>474741.56</v>
      </c>
      <c r="NM85" s="11">
        <v>52177.45</v>
      </c>
      <c r="NN85" s="11">
        <v>27551.35</v>
      </c>
      <c r="NO85" s="11">
        <v>181057.2</v>
      </c>
      <c r="NP85" s="11">
        <v>152826.87</v>
      </c>
      <c r="NQ85" s="11">
        <v>89770</v>
      </c>
      <c r="NR85" s="11">
        <v>1788</v>
      </c>
      <c r="NS85" s="11">
        <v>98708.800000000003</v>
      </c>
      <c r="NT85" s="11">
        <v>27672.71</v>
      </c>
      <c r="NU85" s="11">
        <v>75823.98</v>
      </c>
      <c r="NV85" s="11">
        <v>950</v>
      </c>
      <c r="NW85" s="11">
        <v>10159.33</v>
      </c>
      <c r="NX85" s="11">
        <v>19210</v>
      </c>
      <c r="NY85" s="11">
        <v>166915</v>
      </c>
      <c r="NZ85" s="11">
        <v>270372.55</v>
      </c>
      <c r="OA85" s="11">
        <v>128358.39999999999</v>
      </c>
      <c r="OB85" s="11">
        <v>137615.20000000001</v>
      </c>
      <c r="OC85" s="11">
        <v>46750</v>
      </c>
      <c r="OD85" s="11">
        <v>224373.43</v>
      </c>
      <c r="OE85" s="11">
        <v>191315.73</v>
      </c>
      <c r="OF85" s="11">
        <v>268637.15000000002</v>
      </c>
      <c r="OG85" s="11">
        <v>125399.83</v>
      </c>
      <c r="OH85" s="11">
        <v>237563.35</v>
      </c>
      <c r="OI85" s="11">
        <v>107872.78</v>
      </c>
      <c r="OJ85" s="11">
        <v>300169.03999999998</v>
      </c>
      <c r="OK85" s="11">
        <v>97875</v>
      </c>
      <c r="OL85" s="11">
        <v>37263</v>
      </c>
      <c r="OM85" s="11">
        <v>200830.65</v>
      </c>
      <c r="ON85" s="11">
        <v>62700.4</v>
      </c>
      <c r="OO85" s="11">
        <v>297596.90999999997</v>
      </c>
      <c r="OP85" s="11">
        <v>807145.4</v>
      </c>
      <c r="OQ85" s="11">
        <v>106870</v>
      </c>
      <c r="OR85" s="11">
        <v>97795.85</v>
      </c>
      <c r="OS85" s="11">
        <v>102697</v>
      </c>
      <c r="OT85" s="11">
        <v>1770</v>
      </c>
      <c r="OU85" s="11">
        <v>154247.4</v>
      </c>
      <c r="OV85" s="11">
        <v>24274.71</v>
      </c>
      <c r="OW85" s="11">
        <v>98078.68</v>
      </c>
      <c r="OX85" s="11">
        <v>80482.710000000006</v>
      </c>
      <c r="OY85" s="11">
        <v>108736.96000000001</v>
      </c>
      <c r="OZ85" s="11">
        <v>71341.399999999994</v>
      </c>
      <c r="PA85" s="11">
        <v>145116.21</v>
      </c>
      <c r="PB85" s="11">
        <v>47766</v>
      </c>
      <c r="PC85" s="11">
        <v>254836.15</v>
      </c>
      <c r="PD85" s="11">
        <v>129691.5</v>
      </c>
      <c r="PE85" s="11">
        <v>47640</v>
      </c>
      <c r="PF85" s="11">
        <v>42331.82</v>
      </c>
      <c r="PG85" s="11"/>
      <c r="PH85" s="11">
        <v>27824.54</v>
      </c>
      <c r="PI85" s="11">
        <v>82781</v>
      </c>
      <c r="PJ85" s="11">
        <v>107046.68</v>
      </c>
      <c r="PK85" s="11">
        <v>144080.23000000001</v>
      </c>
      <c r="PL85" s="11">
        <v>245956</v>
      </c>
      <c r="PM85" s="11">
        <v>40179</v>
      </c>
      <c r="PN85" s="11">
        <v>157471.97</v>
      </c>
      <c r="PO85" s="11">
        <v>90599.8</v>
      </c>
      <c r="PP85" s="11">
        <v>371446.84</v>
      </c>
      <c r="PQ85" s="11">
        <v>111211</v>
      </c>
      <c r="PR85" s="11">
        <v>104717</v>
      </c>
      <c r="PS85" s="11">
        <v>111059.89</v>
      </c>
      <c r="PT85" s="11">
        <v>213485.3</v>
      </c>
      <c r="PU85" s="11">
        <v>91305</v>
      </c>
      <c r="PV85" s="11">
        <v>464735.99</v>
      </c>
      <c r="PW85" s="11">
        <v>243122</v>
      </c>
      <c r="PX85" s="11">
        <v>121687</v>
      </c>
      <c r="PY85" s="11">
        <v>758328.36</v>
      </c>
      <c r="PZ85" s="11">
        <v>615622.40000000002</v>
      </c>
      <c r="QA85" s="11">
        <v>572620.55000000005</v>
      </c>
      <c r="QB85" s="11">
        <v>30779</v>
      </c>
      <c r="QC85" s="11">
        <v>110167</v>
      </c>
      <c r="QD85" s="11">
        <v>118977</v>
      </c>
      <c r="QE85" s="11">
        <v>334671.40000000002</v>
      </c>
      <c r="QF85" s="11">
        <v>193839.2</v>
      </c>
      <c r="QG85" s="11">
        <v>153617.60999999999</v>
      </c>
      <c r="QH85" s="11">
        <v>339631.51</v>
      </c>
      <c r="QI85" s="11">
        <v>470310.96</v>
      </c>
      <c r="QJ85" s="11">
        <v>327038.8</v>
      </c>
      <c r="QK85" s="11">
        <v>389174.98</v>
      </c>
      <c r="QL85" s="11">
        <v>268006.68</v>
      </c>
      <c r="QM85" s="11">
        <v>498911.23</v>
      </c>
      <c r="QN85" s="11">
        <v>154403.22</v>
      </c>
      <c r="QO85" s="11">
        <v>207871</v>
      </c>
      <c r="QP85" s="11">
        <v>83101.88</v>
      </c>
      <c r="QQ85" s="11">
        <v>72359</v>
      </c>
      <c r="QR85" s="11">
        <v>267964.45</v>
      </c>
      <c r="QS85" s="11">
        <v>10700</v>
      </c>
      <c r="QT85" s="11">
        <v>301015.48</v>
      </c>
      <c r="QU85" s="11">
        <v>570055.81000000006</v>
      </c>
      <c r="QV85" s="11">
        <v>339970.85</v>
      </c>
      <c r="QW85" s="11">
        <v>883928.52</v>
      </c>
      <c r="QX85" s="11">
        <v>113660</v>
      </c>
      <c r="QY85" s="11">
        <v>346784.75</v>
      </c>
      <c r="QZ85" s="11">
        <v>611351.64</v>
      </c>
      <c r="RA85" s="11">
        <v>186421.65</v>
      </c>
      <c r="RB85" s="11">
        <v>158831.39000000001</v>
      </c>
      <c r="RC85" s="11">
        <v>253085.66</v>
      </c>
      <c r="RD85" s="11">
        <v>297237.09000000003</v>
      </c>
      <c r="RE85" s="11">
        <v>381913.56</v>
      </c>
      <c r="RF85" s="11">
        <v>11400</v>
      </c>
      <c r="RG85" s="11">
        <v>116610.5</v>
      </c>
      <c r="RH85" s="11">
        <v>354286.29</v>
      </c>
      <c r="RI85" s="11">
        <v>1410651</v>
      </c>
      <c r="RJ85" s="11">
        <v>152778.56</v>
      </c>
      <c r="RK85" s="11">
        <v>577830.56000000006</v>
      </c>
      <c r="RL85" s="11">
        <v>519710.49</v>
      </c>
      <c r="RM85" s="11">
        <v>464279.76</v>
      </c>
      <c r="RN85" s="11">
        <v>1464050.5</v>
      </c>
      <c r="RO85" s="11">
        <v>104150.8</v>
      </c>
      <c r="RP85" s="11">
        <v>36954.6</v>
      </c>
      <c r="RQ85" s="11">
        <v>242590.84</v>
      </c>
      <c r="RR85" s="11">
        <v>200234.33</v>
      </c>
      <c r="RS85" s="11">
        <v>651423.41</v>
      </c>
      <c r="RT85" s="11">
        <v>87165.93</v>
      </c>
      <c r="RU85" s="11">
        <v>419717.44</v>
      </c>
      <c r="RV85" s="11">
        <v>102405.5</v>
      </c>
      <c r="RW85" s="11">
        <v>179478.52</v>
      </c>
      <c r="RX85" s="11">
        <v>321002.59999999998</v>
      </c>
      <c r="RY85" s="11">
        <v>125779.4</v>
      </c>
      <c r="RZ85" s="11">
        <v>163770</v>
      </c>
      <c r="SA85" s="11">
        <v>89498</v>
      </c>
      <c r="SB85" s="11">
        <v>4125619.76</v>
      </c>
      <c r="SC85" s="11">
        <v>69278.600000000006</v>
      </c>
      <c r="SD85" s="11">
        <v>119019.47</v>
      </c>
      <c r="SE85" s="11">
        <v>45470</v>
      </c>
      <c r="SF85" s="11">
        <v>86259.4</v>
      </c>
      <c r="SG85" s="11">
        <v>279296.12</v>
      </c>
      <c r="SH85" s="11">
        <v>279924.27</v>
      </c>
      <c r="SI85" s="11">
        <v>114503.05</v>
      </c>
      <c r="SJ85" s="11">
        <v>495155.11</v>
      </c>
      <c r="SK85" s="11">
        <v>32596.6</v>
      </c>
      <c r="SL85" s="11">
        <v>882036.24</v>
      </c>
      <c r="SM85" s="11">
        <v>171850.09</v>
      </c>
      <c r="SN85" s="11">
        <v>586395.53</v>
      </c>
      <c r="SO85" s="11">
        <v>44408.6</v>
      </c>
      <c r="SP85" s="11">
        <v>71152.2</v>
      </c>
      <c r="SQ85" s="11">
        <v>319405.90000000002</v>
      </c>
      <c r="SR85" s="11">
        <v>95721</v>
      </c>
      <c r="SS85" s="11">
        <v>266870</v>
      </c>
      <c r="ST85" s="11">
        <v>22928.36</v>
      </c>
      <c r="SU85" s="11">
        <v>137400</v>
      </c>
      <c r="SV85" s="11">
        <v>414233.14</v>
      </c>
      <c r="SW85" s="11">
        <v>63945.5</v>
      </c>
      <c r="SX85" s="11">
        <v>184317.72</v>
      </c>
      <c r="SY85" s="11">
        <v>95461.5</v>
      </c>
      <c r="SZ85" s="11">
        <v>99199.74</v>
      </c>
      <c r="TA85" s="11">
        <v>63955</v>
      </c>
      <c r="TB85" s="11">
        <v>143595.75</v>
      </c>
      <c r="TC85" s="11">
        <v>267840.44</v>
      </c>
      <c r="TD85" s="11">
        <v>288622</v>
      </c>
      <c r="TE85" s="11">
        <v>87100.05</v>
      </c>
      <c r="TF85" s="11">
        <v>174268.5</v>
      </c>
      <c r="TG85" s="11">
        <v>392342</v>
      </c>
      <c r="TH85" s="11">
        <v>281799.09000000003</v>
      </c>
      <c r="TI85" s="11">
        <v>153350.5</v>
      </c>
      <c r="TJ85" s="11">
        <v>938452.37</v>
      </c>
      <c r="TK85" s="11">
        <v>34432.699999999997</v>
      </c>
      <c r="TL85" s="11">
        <v>235603.6</v>
      </c>
      <c r="TM85" s="11">
        <v>76224</v>
      </c>
      <c r="TN85" s="11">
        <v>52700</v>
      </c>
      <c r="TO85" s="11">
        <v>44580</v>
      </c>
      <c r="TP85" s="11">
        <v>189324.62</v>
      </c>
      <c r="TQ85" s="11">
        <v>2005705.95</v>
      </c>
      <c r="TR85" s="11">
        <v>129140.9</v>
      </c>
      <c r="TS85" s="11">
        <v>151178</v>
      </c>
      <c r="TT85" s="11">
        <v>787722</v>
      </c>
      <c r="TU85" s="11">
        <v>32651</v>
      </c>
      <c r="TV85" s="11">
        <v>203565.25</v>
      </c>
      <c r="TW85" s="11">
        <v>75231</v>
      </c>
      <c r="TX85" s="11">
        <v>42040</v>
      </c>
      <c r="TY85" s="11">
        <v>27312</v>
      </c>
      <c r="TZ85" s="11">
        <v>506221</v>
      </c>
      <c r="UA85" s="11">
        <v>86577</v>
      </c>
      <c r="UB85" s="11">
        <v>150241</v>
      </c>
      <c r="UC85" s="11">
        <v>97937</v>
      </c>
      <c r="UD85" s="11">
        <v>182032</v>
      </c>
      <c r="UE85" s="11">
        <v>128580</v>
      </c>
      <c r="UF85" s="11">
        <v>921494.48</v>
      </c>
      <c r="UG85" s="11">
        <v>77094</v>
      </c>
      <c r="UH85" s="11">
        <v>330445.99</v>
      </c>
      <c r="UI85" s="11">
        <v>103576</v>
      </c>
      <c r="UJ85" s="11">
        <v>56800</v>
      </c>
      <c r="UK85" s="11">
        <v>755379.22</v>
      </c>
      <c r="UL85" s="11">
        <v>682423.97</v>
      </c>
      <c r="UM85" s="11">
        <v>146516.15</v>
      </c>
      <c r="UN85" s="11">
        <v>1309612.42</v>
      </c>
      <c r="UO85" s="11">
        <v>67593.5</v>
      </c>
      <c r="UP85" s="11">
        <v>171267.31</v>
      </c>
      <c r="UQ85" s="11">
        <v>614800.18000000005</v>
      </c>
      <c r="UR85" s="11">
        <v>168723.32</v>
      </c>
      <c r="US85" s="11">
        <v>198144.04</v>
      </c>
      <c r="UT85" s="11">
        <v>685619.6</v>
      </c>
      <c r="UU85" s="11">
        <v>3800</v>
      </c>
      <c r="UV85" s="11">
        <v>183748.1</v>
      </c>
      <c r="UW85" s="11">
        <v>322963.8</v>
      </c>
      <c r="UX85" s="11">
        <v>235269</v>
      </c>
      <c r="UY85" s="11">
        <v>227446.66</v>
      </c>
      <c r="UZ85" s="11">
        <v>110269.34</v>
      </c>
      <c r="VA85" s="11">
        <v>191677.66</v>
      </c>
      <c r="VB85" s="11">
        <v>404489.32</v>
      </c>
      <c r="VC85" s="11">
        <v>328880.8</v>
      </c>
      <c r="VD85" s="11">
        <v>163030.51999999999</v>
      </c>
      <c r="VE85" s="11">
        <v>283207</v>
      </c>
      <c r="VF85" s="11">
        <v>181863.78</v>
      </c>
      <c r="VG85" s="11">
        <v>89732</v>
      </c>
      <c r="VH85" s="11">
        <v>68882</v>
      </c>
      <c r="VI85" s="11">
        <v>258079</v>
      </c>
      <c r="VJ85" s="11">
        <v>168105</v>
      </c>
      <c r="VK85" s="11">
        <v>31550</v>
      </c>
      <c r="VL85" s="11">
        <v>76281.55</v>
      </c>
      <c r="VM85" s="11">
        <v>753166.85</v>
      </c>
      <c r="VN85" s="11">
        <v>326612.8</v>
      </c>
      <c r="VO85" s="11">
        <v>198726.6</v>
      </c>
      <c r="VP85" s="11">
        <v>337970.04</v>
      </c>
      <c r="VQ85" s="11">
        <v>248567.67</v>
      </c>
      <c r="VR85" s="11">
        <v>342833.34</v>
      </c>
      <c r="VS85" s="11">
        <v>246735.12</v>
      </c>
      <c r="VT85" s="11">
        <v>74901</v>
      </c>
      <c r="VU85" s="11">
        <v>239660.05</v>
      </c>
      <c r="VV85" s="11">
        <v>804112.65</v>
      </c>
      <c r="VW85" s="11">
        <v>341318.95</v>
      </c>
      <c r="VX85" s="11">
        <v>609133.78</v>
      </c>
      <c r="VY85" s="11">
        <v>280114.84000000003</v>
      </c>
      <c r="VZ85" s="11">
        <v>108594.5</v>
      </c>
      <c r="WA85" s="11">
        <v>153025.68</v>
      </c>
      <c r="WB85" s="11">
        <v>151290</v>
      </c>
      <c r="WC85" s="11">
        <v>294202.75</v>
      </c>
      <c r="WD85" s="11">
        <v>163023.04000000001</v>
      </c>
      <c r="WE85" s="11">
        <v>65594.73</v>
      </c>
      <c r="WF85" s="11">
        <v>202230</v>
      </c>
      <c r="WG85" s="11">
        <v>152326.72</v>
      </c>
      <c r="WH85" s="11">
        <v>864457.52</v>
      </c>
      <c r="WI85" s="11">
        <v>139623.79999999999</v>
      </c>
      <c r="WJ85" s="11">
        <v>164217.54</v>
      </c>
      <c r="WK85" s="11">
        <v>264989.59999999998</v>
      </c>
      <c r="WL85" s="11">
        <v>242190.42</v>
      </c>
      <c r="WM85" s="11">
        <v>302992.02</v>
      </c>
      <c r="WN85" s="11">
        <v>163912.68</v>
      </c>
      <c r="WO85" s="11">
        <v>404478.94</v>
      </c>
      <c r="WP85" s="11">
        <v>262839.94</v>
      </c>
      <c r="WQ85" s="11">
        <v>107316.69</v>
      </c>
      <c r="WR85" s="11">
        <v>112240.27</v>
      </c>
      <c r="WS85" s="11">
        <v>166447.79</v>
      </c>
      <c r="WT85" s="11">
        <v>60060.76</v>
      </c>
      <c r="WU85" s="11">
        <v>294837.13</v>
      </c>
      <c r="WV85" s="11">
        <v>116104</v>
      </c>
      <c r="WW85" s="11">
        <v>218327.94</v>
      </c>
      <c r="WX85" s="11">
        <v>154896.4</v>
      </c>
      <c r="WY85" s="11">
        <v>282015.67</v>
      </c>
      <c r="WZ85" s="11">
        <v>375728.86</v>
      </c>
      <c r="XA85" s="11">
        <v>543117.77</v>
      </c>
      <c r="XB85" s="11">
        <v>125610.7</v>
      </c>
      <c r="XC85" s="11">
        <v>238232.72</v>
      </c>
      <c r="XD85" s="11">
        <v>1203530.58</v>
      </c>
      <c r="XE85" s="11">
        <v>52262.34</v>
      </c>
      <c r="XF85" s="11">
        <v>1790</v>
      </c>
      <c r="XG85" s="11">
        <v>210887.12</v>
      </c>
      <c r="XH85" s="11">
        <v>290974.25</v>
      </c>
      <c r="XI85" s="11">
        <v>312312.7</v>
      </c>
      <c r="XJ85" s="11">
        <v>245272.64</v>
      </c>
      <c r="XK85" s="11">
        <v>148899.32</v>
      </c>
      <c r="XL85" s="11">
        <v>403212.13</v>
      </c>
      <c r="XM85" s="11">
        <v>231400.9</v>
      </c>
      <c r="XN85" s="11">
        <v>64303.199999999997</v>
      </c>
      <c r="XO85" s="11">
        <v>542954.81000000006</v>
      </c>
      <c r="XP85" s="11">
        <v>201694.6</v>
      </c>
      <c r="XQ85" s="11">
        <v>248641.34</v>
      </c>
      <c r="XR85" s="11">
        <v>421949.2</v>
      </c>
      <c r="XS85" s="11">
        <v>226460.67</v>
      </c>
      <c r="XT85" s="11">
        <v>139682.1</v>
      </c>
      <c r="XU85" s="11">
        <v>130450.95</v>
      </c>
      <c r="XV85" s="11">
        <v>25057.200000000001</v>
      </c>
      <c r="XW85" s="11">
        <v>77871.38</v>
      </c>
      <c r="XX85" s="11">
        <v>74899.100000000006</v>
      </c>
      <c r="XY85" s="11">
        <v>29023.75</v>
      </c>
      <c r="XZ85" s="11">
        <v>292928.3</v>
      </c>
      <c r="YA85" s="11">
        <v>106024.57</v>
      </c>
      <c r="YB85" s="11">
        <v>36511.800000000003</v>
      </c>
      <c r="YC85" s="11">
        <v>55895.63</v>
      </c>
      <c r="YD85" s="11">
        <v>126189.1</v>
      </c>
      <c r="YE85" s="11">
        <v>251106.83</v>
      </c>
      <c r="YF85" s="11">
        <v>2280</v>
      </c>
      <c r="YG85" s="11">
        <v>241429.18</v>
      </c>
      <c r="YH85" s="11">
        <v>380968.58</v>
      </c>
      <c r="YI85" s="11">
        <v>241723.16</v>
      </c>
      <c r="YJ85" s="11">
        <v>634890.42000000004</v>
      </c>
      <c r="YK85" s="11">
        <v>187593.12</v>
      </c>
      <c r="YL85" s="11">
        <v>289421.40000000002</v>
      </c>
      <c r="YM85" s="11">
        <v>162656.9</v>
      </c>
      <c r="YN85" s="11">
        <v>1013068.4</v>
      </c>
      <c r="YO85" s="11">
        <v>558545.31000000006</v>
      </c>
      <c r="YP85" s="11">
        <v>175732.5</v>
      </c>
      <c r="YQ85" s="11">
        <v>192092.6</v>
      </c>
      <c r="YR85" s="11">
        <v>247033.44</v>
      </c>
      <c r="YS85" s="11">
        <v>267276.58</v>
      </c>
      <c r="YT85" s="11">
        <v>172803.27</v>
      </c>
      <c r="YU85" s="11">
        <v>176303.39</v>
      </c>
      <c r="YV85" s="11">
        <v>251404.79999999999</v>
      </c>
      <c r="YW85" s="11">
        <v>663945.68999999994</v>
      </c>
      <c r="YX85" s="11">
        <v>254195</v>
      </c>
      <c r="YY85" s="11">
        <v>161744.07999999999</v>
      </c>
      <c r="YZ85" s="11">
        <v>134550.21</v>
      </c>
      <c r="ZA85" s="11">
        <v>103574.05</v>
      </c>
      <c r="ZB85" s="11">
        <v>157024</v>
      </c>
      <c r="ZC85" s="11">
        <v>133832.79</v>
      </c>
      <c r="ZD85" s="11">
        <v>3210</v>
      </c>
      <c r="ZE85" s="11">
        <v>92621</v>
      </c>
      <c r="ZF85" s="11">
        <v>42366.52</v>
      </c>
      <c r="ZG85" s="11">
        <v>30797.54</v>
      </c>
      <c r="ZH85" s="11">
        <v>195508.4</v>
      </c>
      <c r="ZI85" s="11">
        <v>10340</v>
      </c>
      <c r="ZJ85" s="11">
        <v>57090</v>
      </c>
      <c r="ZK85" s="11">
        <v>111133.44</v>
      </c>
      <c r="ZL85" s="11">
        <v>500342.34</v>
      </c>
      <c r="ZM85" s="11"/>
      <c r="ZN85" s="11">
        <v>55870</v>
      </c>
      <c r="ZO85" s="11">
        <v>0</v>
      </c>
      <c r="ZP85" s="11">
        <v>747589.52</v>
      </c>
      <c r="ZQ85" s="11">
        <v>149438.31</v>
      </c>
      <c r="ZR85" s="11">
        <v>175410.33</v>
      </c>
      <c r="ZS85" s="11">
        <v>15602</v>
      </c>
      <c r="ZT85" s="11">
        <v>399244.72</v>
      </c>
      <c r="ZU85" s="11">
        <v>180680.37</v>
      </c>
      <c r="ZV85" s="11">
        <v>254072.08</v>
      </c>
      <c r="ZW85" s="11">
        <v>44506.2</v>
      </c>
      <c r="ZX85" s="11">
        <v>83593.070000000007</v>
      </c>
      <c r="ZY85" s="11">
        <v>153627.07999999999</v>
      </c>
      <c r="ZZ85" s="11">
        <v>320386.58</v>
      </c>
      <c r="AAA85" s="11">
        <v>113400</v>
      </c>
      <c r="AAB85" s="11">
        <v>50959.6</v>
      </c>
      <c r="AAC85" s="11">
        <v>37390</v>
      </c>
      <c r="AAD85" s="11"/>
      <c r="AAE85" s="11">
        <v>288860.44</v>
      </c>
      <c r="AAF85" s="11">
        <v>138510</v>
      </c>
      <c r="AAG85" s="11">
        <v>118899.46</v>
      </c>
      <c r="AAH85" s="11">
        <v>99433.9</v>
      </c>
      <c r="AAI85" s="11">
        <v>228952.54</v>
      </c>
      <c r="AAJ85" s="11">
        <v>164430.34</v>
      </c>
      <c r="AAK85" s="11">
        <v>219748.36</v>
      </c>
      <c r="AAL85" s="11">
        <v>126892.14</v>
      </c>
      <c r="AAM85" s="11">
        <v>146460</v>
      </c>
      <c r="AAN85" s="11">
        <v>315667.8</v>
      </c>
      <c r="AAO85" s="11">
        <v>157246.26</v>
      </c>
      <c r="AAP85" s="11">
        <v>1685655.75</v>
      </c>
      <c r="AAQ85" s="11">
        <v>446315.24</v>
      </c>
      <c r="AAR85" s="11">
        <v>87770</v>
      </c>
      <c r="AAS85" s="11">
        <v>148553.60000000001</v>
      </c>
      <c r="AAT85" s="11">
        <v>421722.68</v>
      </c>
      <c r="AAU85" s="11">
        <v>62613</v>
      </c>
      <c r="AAV85" s="11">
        <v>174696</v>
      </c>
      <c r="AAW85" s="11">
        <v>464658.86</v>
      </c>
      <c r="AAX85" s="11">
        <v>218289.44</v>
      </c>
      <c r="AAY85" s="11">
        <v>268029.37</v>
      </c>
      <c r="AAZ85" s="11">
        <v>307452.78000000003</v>
      </c>
      <c r="ABA85" s="11">
        <v>345441.64</v>
      </c>
      <c r="ABB85" s="11">
        <v>682007.03</v>
      </c>
      <c r="ABC85" s="11">
        <v>1240</v>
      </c>
      <c r="ABD85" s="11">
        <v>195854.83</v>
      </c>
      <c r="ABE85" s="11">
        <v>147857</v>
      </c>
      <c r="ABF85" s="11">
        <v>216379.8</v>
      </c>
      <c r="ABG85" s="11">
        <v>186326.15</v>
      </c>
      <c r="ABH85" s="11">
        <v>149203.82999999999</v>
      </c>
      <c r="ABI85" s="11">
        <v>144090</v>
      </c>
      <c r="ABJ85" s="11">
        <v>691541.45</v>
      </c>
      <c r="ABK85" s="11">
        <v>392270.98</v>
      </c>
      <c r="ABL85" s="11">
        <v>220614.39999999999</v>
      </c>
      <c r="ABM85" s="11">
        <v>306343.27</v>
      </c>
      <c r="ABN85" s="11">
        <v>11950</v>
      </c>
      <c r="ABO85" s="11">
        <v>56239</v>
      </c>
      <c r="ABP85" s="11">
        <v>590952.6</v>
      </c>
      <c r="ABQ85" s="11">
        <v>63582.5</v>
      </c>
      <c r="ABR85" s="11">
        <v>207081.77</v>
      </c>
      <c r="ABS85" s="11">
        <v>67327.490000000005</v>
      </c>
      <c r="ABT85" s="11">
        <v>234224.3</v>
      </c>
      <c r="ABU85" s="11">
        <v>137434.79999999999</v>
      </c>
      <c r="ABV85" s="11">
        <v>86191.79</v>
      </c>
      <c r="ABW85" s="11">
        <v>423216.78</v>
      </c>
      <c r="ABX85" s="11">
        <v>1260</v>
      </c>
      <c r="ABY85" s="11">
        <v>723853.93</v>
      </c>
      <c r="ABZ85" s="11">
        <v>12051.27</v>
      </c>
      <c r="ACA85" s="11">
        <v>451410</v>
      </c>
      <c r="ACB85" s="11">
        <v>9790</v>
      </c>
      <c r="ACC85" s="11">
        <v>37924</v>
      </c>
      <c r="ACD85" s="11">
        <v>1199411.1499999999</v>
      </c>
      <c r="ACE85" s="11">
        <v>57403.18</v>
      </c>
      <c r="ACF85" s="11">
        <v>190746.21</v>
      </c>
      <c r="ACG85" s="11">
        <v>190962.28</v>
      </c>
      <c r="ACH85" s="11">
        <v>410325.36</v>
      </c>
      <c r="ACI85" s="11">
        <v>404307.5</v>
      </c>
      <c r="ACJ85" s="11"/>
      <c r="ACK85" s="11">
        <v>823.9</v>
      </c>
      <c r="ACL85" s="11">
        <v>115576.5</v>
      </c>
      <c r="ACM85" s="11">
        <v>51960.68</v>
      </c>
      <c r="ACN85" s="11">
        <v>130172</v>
      </c>
      <c r="ACO85" s="11">
        <v>584900.25</v>
      </c>
      <c r="ACP85" s="11">
        <v>705793.52</v>
      </c>
      <c r="ACQ85" s="11">
        <v>675720.43</v>
      </c>
      <c r="ACR85" s="11">
        <v>633103.05000000005</v>
      </c>
      <c r="ACS85" s="11">
        <v>400814.16</v>
      </c>
      <c r="ACT85" s="11">
        <v>565604.05000000005</v>
      </c>
      <c r="ACU85" s="11">
        <v>512571</v>
      </c>
      <c r="ACV85" s="11">
        <v>427219.89</v>
      </c>
      <c r="ACW85" s="11">
        <v>225001</v>
      </c>
      <c r="ACX85" s="11">
        <v>39537.4</v>
      </c>
      <c r="ACY85" s="11">
        <v>152858.54999999999</v>
      </c>
      <c r="ACZ85" s="11">
        <v>60859.75</v>
      </c>
      <c r="ADA85" s="11">
        <v>206277.54</v>
      </c>
      <c r="ADB85" s="11">
        <v>129745</v>
      </c>
      <c r="ADC85" s="11">
        <v>103657.47</v>
      </c>
      <c r="ADD85" s="11">
        <v>104585.52</v>
      </c>
      <c r="ADE85" s="11">
        <v>85240.8</v>
      </c>
      <c r="ADF85" s="11">
        <v>196459.12</v>
      </c>
      <c r="ADG85" s="11">
        <v>327063.63</v>
      </c>
      <c r="ADH85" s="11">
        <v>197117.39</v>
      </c>
      <c r="ADI85" s="11">
        <v>409522.17</v>
      </c>
      <c r="ADJ85" s="11">
        <v>91269.21</v>
      </c>
      <c r="ADK85" s="11">
        <v>359061.31</v>
      </c>
      <c r="ADL85" s="11">
        <v>23600</v>
      </c>
      <c r="ADM85" s="11">
        <v>89363.1</v>
      </c>
      <c r="ADN85" s="11">
        <v>190696.9</v>
      </c>
      <c r="ADO85" s="11">
        <v>188993.48</v>
      </c>
      <c r="ADP85" s="11">
        <v>2350998.12</v>
      </c>
      <c r="ADQ85" s="11">
        <v>438478.57</v>
      </c>
      <c r="ADR85" s="11">
        <v>477830</v>
      </c>
      <c r="ADS85" s="11">
        <v>81818</v>
      </c>
      <c r="ADT85" s="11">
        <v>756192.77</v>
      </c>
      <c r="ADU85" s="11">
        <v>104667.97</v>
      </c>
      <c r="ADV85" s="11">
        <v>319880.52</v>
      </c>
      <c r="ADW85" s="11">
        <v>124607.1</v>
      </c>
      <c r="ADX85" s="11">
        <v>47027</v>
      </c>
      <c r="ADY85" s="11">
        <v>170347.4</v>
      </c>
      <c r="ADZ85" s="11">
        <v>6325719.7400000002</v>
      </c>
      <c r="AEA85" s="11">
        <v>688642.52</v>
      </c>
      <c r="AEB85" s="11">
        <v>857567.55</v>
      </c>
      <c r="AEC85" s="11">
        <v>149626.29</v>
      </c>
      <c r="AED85" s="11">
        <v>108326.69</v>
      </c>
      <c r="AEE85" s="11">
        <v>284778.51</v>
      </c>
      <c r="AEF85" s="11">
        <v>96350.46</v>
      </c>
      <c r="AEG85" s="11">
        <v>94205.4</v>
      </c>
      <c r="AEH85" s="11">
        <v>127821.02</v>
      </c>
      <c r="AEI85" s="11">
        <v>31401.599999999999</v>
      </c>
      <c r="AEJ85" s="11">
        <v>885673.45</v>
      </c>
      <c r="AEK85" s="11">
        <v>286019.82</v>
      </c>
      <c r="AEL85" s="11">
        <v>51086.05</v>
      </c>
      <c r="AEM85" s="11">
        <v>125341.78</v>
      </c>
      <c r="AEN85" s="11">
        <v>99387.4</v>
      </c>
      <c r="AEO85" s="11">
        <v>298148.86</v>
      </c>
      <c r="AEP85" s="11">
        <v>29825</v>
      </c>
      <c r="AEQ85" s="11">
        <v>281594.17</v>
      </c>
      <c r="AER85" s="11">
        <v>54479.199999999997</v>
      </c>
      <c r="AES85" s="11">
        <v>783699.16</v>
      </c>
      <c r="AET85" s="11"/>
      <c r="AEU85" s="11">
        <v>669465</v>
      </c>
      <c r="AEV85" s="11">
        <v>170018.19</v>
      </c>
      <c r="AEW85" s="11">
        <v>459519.59</v>
      </c>
      <c r="AEX85" s="11">
        <v>362441.76</v>
      </c>
      <c r="AEY85" s="11">
        <v>235834.64</v>
      </c>
      <c r="AEZ85" s="11">
        <v>235286.09</v>
      </c>
      <c r="AFA85" s="11">
        <v>153595.5</v>
      </c>
      <c r="AFB85" s="11">
        <v>86677.37</v>
      </c>
      <c r="AFC85" s="11">
        <v>6300</v>
      </c>
      <c r="AFD85" s="11">
        <v>41495.4</v>
      </c>
      <c r="AFE85" s="11">
        <v>136584.04999999999</v>
      </c>
      <c r="AFF85" s="11">
        <v>338053.84</v>
      </c>
      <c r="AFG85" s="11">
        <v>559800</v>
      </c>
      <c r="AFH85" s="11">
        <v>677230.2</v>
      </c>
      <c r="AFI85" s="11">
        <v>273673.32</v>
      </c>
      <c r="AFJ85" s="11">
        <v>360011.75</v>
      </c>
      <c r="AFK85" s="11">
        <v>183255.36</v>
      </c>
      <c r="AFL85" s="11">
        <v>262210.44</v>
      </c>
      <c r="AFM85" s="11">
        <v>117266.05</v>
      </c>
      <c r="AFN85" s="11">
        <v>88690.04</v>
      </c>
      <c r="AFO85" s="11">
        <v>33940</v>
      </c>
      <c r="AFP85" s="11">
        <v>98029.2</v>
      </c>
      <c r="AFQ85" s="11">
        <v>1213414.92</v>
      </c>
      <c r="AFR85" s="11">
        <v>242204.7</v>
      </c>
      <c r="AFS85" s="11">
        <v>470633</v>
      </c>
      <c r="AFT85" s="11">
        <v>53076.4</v>
      </c>
      <c r="AFU85" s="11">
        <v>324198.61</v>
      </c>
      <c r="AFV85" s="11">
        <v>189435.93</v>
      </c>
      <c r="AFW85" s="11">
        <v>58190</v>
      </c>
      <c r="AFX85" s="11">
        <v>153126.26</v>
      </c>
      <c r="AFY85" s="11">
        <v>110784.04</v>
      </c>
      <c r="AFZ85" s="11">
        <v>141498.63</v>
      </c>
      <c r="AGA85" s="11">
        <v>124608.8</v>
      </c>
      <c r="AGB85" s="11">
        <v>61666.75</v>
      </c>
      <c r="AGC85" s="11">
        <v>229240</v>
      </c>
      <c r="AGD85" s="11">
        <v>224252.68</v>
      </c>
      <c r="AGE85" s="11">
        <v>342131.04</v>
      </c>
      <c r="AGF85" s="11">
        <v>367186.7</v>
      </c>
      <c r="AGG85" s="11">
        <v>176436</v>
      </c>
      <c r="AGH85" s="11">
        <v>107335.53</v>
      </c>
      <c r="AGI85" s="11">
        <v>109375.76</v>
      </c>
      <c r="AGJ85" s="11">
        <v>24178</v>
      </c>
      <c r="AGK85" s="11">
        <v>300821.23</v>
      </c>
      <c r="AGL85" s="11">
        <v>195675</v>
      </c>
      <c r="AGM85" s="11">
        <v>29700</v>
      </c>
      <c r="AGN85" s="11">
        <v>257706.72</v>
      </c>
      <c r="AGO85" s="11">
        <v>108461.42</v>
      </c>
      <c r="AGP85" s="11">
        <v>34173.1</v>
      </c>
      <c r="AGQ85" s="11">
        <v>0</v>
      </c>
      <c r="AGR85" s="11">
        <v>245799.5</v>
      </c>
      <c r="AGS85" s="11">
        <v>41104.620000000003</v>
      </c>
      <c r="AGT85" s="11">
        <v>32648.76</v>
      </c>
      <c r="AGU85" s="11">
        <v>22776</v>
      </c>
      <c r="AGV85" s="11"/>
      <c r="AGW85" s="11"/>
      <c r="AGX85" s="11">
        <v>237061.31</v>
      </c>
      <c r="AGY85" s="11">
        <v>236216.57</v>
      </c>
      <c r="AGZ85" s="11">
        <v>170919</v>
      </c>
      <c r="AHA85" s="11">
        <v>30592.400000000001</v>
      </c>
      <c r="AHB85" s="11">
        <v>197697</v>
      </c>
      <c r="AHC85" s="11">
        <v>128519.02</v>
      </c>
      <c r="AHD85" s="11">
        <v>21906.87</v>
      </c>
      <c r="AHE85" s="11">
        <v>279759.53000000003</v>
      </c>
      <c r="AHF85" s="11">
        <v>98608.13</v>
      </c>
      <c r="AHG85" s="11">
        <v>116687.25</v>
      </c>
      <c r="AHH85" s="11">
        <v>201666.93</v>
      </c>
      <c r="AHI85" s="11">
        <v>145814.81</v>
      </c>
      <c r="AHJ85" s="11">
        <v>97135.6</v>
      </c>
      <c r="AHK85" s="11">
        <v>73181.55</v>
      </c>
      <c r="AHL85" s="11">
        <v>139634.92000000001</v>
      </c>
      <c r="AHM85" s="11">
        <v>1392044.53</v>
      </c>
      <c r="AHN85" s="11">
        <v>164465.64000000001</v>
      </c>
      <c r="AHO85" s="11">
        <v>137547.57999999999</v>
      </c>
      <c r="AHP85" s="11">
        <v>141978.37</v>
      </c>
      <c r="AHQ85" s="11">
        <v>638118.48</v>
      </c>
      <c r="AHR85" s="11">
        <v>30494.7</v>
      </c>
      <c r="AHS85" s="11">
        <v>138404.4</v>
      </c>
      <c r="AHT85" s="11">
        <v>211364902.69500023</v>
      </c>
      <c r="AHV85" s="269" t="s">
        <v>6278</v>
      </c>
      <c r="AHW85" s="269" t="s">
        <v>6111</v>
      </c>
      <c r="AHX85" s="269" t="s">
        <v>6112</v>
      </c>
    </row>
    <row r="86" spans="1:908" x14ac:dyDescent="0.7">
      <c r="A86" s="6" t="s">
        <v>6278</v>
      </c>
      <c r="B86" s="6" t="s">
        <v>6117</v>
      </c>
      <c r="C86" s="6" t="s">
        <v>6118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>
        <v>62260</v>
      </c>
      <c r="AA86" s="11"/>
      <c r="AB86" s="11"/>
      <c r="AC86" s="11"/>
      <c r="AD86" s="11"/>
      <c r="AE86" s="11">
        <v>96970.26</v>
      </c>
      <c r="AF86" s="11">
        <v>3500</v>
      </c>
      <c r="AG86" s="11"/>
      <c r="AH86" s="11"/>
      <c r="AI86" s="11"/>
      <c r="AJ86" s="11"/>
      <c r="AK86" s="11"/>
      <c r="AL86" s="11"/>
      <c r="AM86" s="11"/>
      <c r="AN86" s="11"/>
      <c r="AO86" s="11">
        <v>12840</v>
      </c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>
        <v>0</v>
      </c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>
        <v>24000</v>
      </c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>
        <v>3450</v>
      </c>
      <c r="DX86" s="11"/>
      <c r="DY86" s="11"/>
      <c r="DZ86" s="11">
        <v>9655</v>
      </c>
      <c r="EA86" s="11"/>
      <c r="EB86" s="11"/>
      <c r="EC86" s="11">
        <v>9600</v>
      </c>
      <c r="ED86" s="11"/>
      <c r="EE86" s="11">
        <v>95720</v>
      </c>
      <c r="EF86" s="11"/>
      <c r="EG86" s="11"/>
      <c r="EH86" s="11"/>
      <c r="EI86" s="11"/>
      <c r="EJ86" s="11"/>
      <c r="EK86" s="11"/>
      <c r="EL86" s="11">
        <v>15480</v>
      </c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>
        <v>148020</v>
      </c>
      <c r="EX86" s="11"/>
      <c r="EY86" s="11"/>
      <c r="EZ86" s="11"/>
      <c r="FA86" s="11"/>
      <c r="FB86" s="11"/>
      <c r="FC86" s="11"/>
      <c r="FD86" s="11"/>
      <c r="FE86" s="11">
        <v>0</v>
      </c>
      <c r="FF86" s="11"/>
      <c r="FG86" s="11">
        <v>2550</v>
      </c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>
        <v>0</v>
      </c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>
        <v>0</v>
      </c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>
        <v>4000</v>
      </c>
      <c r="IC86" s="11"/>
      <c r="ID86" s="11"/>
      <c r="IE86" s="11"/>
      <c r="IF86" s="11"/>
      <c r="IG86" s="11"/>
      <c r="IH86" s="11"/>
      <c r="II86" s="11"/>
      <c r="IJ86" s="11"/>
      <c r="IK86" s="11"/>
      <c r="IL86" s="11">
        <v>8000</v>
      </c>
      <c r="IM86" s="11">
        <v>19125</v>
      </c>
      <c r="IN86" s="11"/>
      <c r="IO86" s="11"/>
      <c r="IP86" s="11">
        <v>27700</v>
      </c>
      <c r="IQ86" s="11"/>
      <c r="IR86" s="11"/>
      <c r="IS86" s="11"/>
      <c r="IT86" s="11"/>
      <c r="IU86" s="11"/>
      <c r="IV86" s="11"/>
      <c r="IW86" s="11"/>
      <c r="IX86" s="11"/>
      <c r="IY86" s="11">
        <v>30260</v>
      </c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>
        <v>197522</v>
      </c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>
        <v>3680</v>
      </c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>
        <v>0</v>
      </c>
      <c r="LW86" s="11"/>
      <c r="LX86" s="11"/>
      <c r="LY86" s="11"/>
      <c r="LZ86" s="11"/>
      <c r="MA86" s="11">
        <v>1290</v>
      </c>
      <c r="MB86" s="11"/>
      <c r="MC86" s="11"/>
      <c r="MD86" s="11"/>
      <c r="ME86" s="11"/>
      <c r="MF86" s="11"/>
      <c r="MG86" s="11"/>
      <c r="MH86" s="11">
        <v>95040</v>
      </c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>
        <v>52680</v>
      </c>
      <c r="OC86" s="11"/>
      <c r="OD86" s="11"/>
      <c r="OE86" s="11"/>
      <c r="OF86" s="11"/>
      <c r="OG86" s="11">
        <v>2360</v>
      </c>
      <c r="OH86" s="11"/>
      <c r="OI86" s="11"/>
      <c r="OJ86" s="11">
        <v>1307.9000000000001</v>
      </c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>
        <v>20850</v>
      </c>
      <c r="PK86" s="11"/>
      <c r="PL86" s="11"/>
      <c r="PM86" s="11"/>
      <c r="PN86" s="11">
        <v>10500</v>
      </c>
      <c r="PO86" s="11"/>
      <c r="PP86" s="11"/>
      <c r="PQ86" s="11"/>
      <c r="PR86" s="11"/>
      <c r="PS86" s="11"/>
      <c r="PT86" s="11">
        <v>29000</v>
      </c>
      <c r="PU86" s="11"/>
      <c r="PV86" s="11"/>
      <c r="PW86" s="11"/>
      <c r="PX86" s="11"/>
      <c r="PY86" s="11">
        <v>36915</v>
      </c>
      <c r="PZ86" s="11"/>
      <c r="QA86" s="11"/>
      <c r="QB86" s="11"/>
      <c r="QC86" s="11"/>
      <c r="QD86" s="11"/>
      <c r="QE86" s="11"/>
      <c r="QF86" s="11"/>
      <c r="QG86" s="11"/>
      <c r="QH86" s="11">
        <v>8400</v>
      </c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>
        <v>28134</v>
      </c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>
        <v>18000</v>
      </c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>
        <v>0</v>
      </c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>
        <v>32190</v>
      </c>
      <c r="UA86" s="11"/>
      <c r="UB86" s="11"/>
      <c r="UC86" s="11">
        <v>48500</v>
      </c>
      <c r="UD86" s="11">
        <v>0</v>
      </c>
      <c r="UE86" s="11"/>
      <c r="UF86" s="11"/>
      <c r="UG86" s="11"/>
      <c r="UH86" s="11"/>
      <c r="UI86" s="11">
        <v>42810</v>
      </c>
      <c r="UJ86" s="11"/>
      <c r="UK86" s="11">
        <v>0</v>
      </c>
      <c r="UL86" s="11"/>
      <c r="UM86" s="11"/>
      <c r="UN86" s="11"/>
      <c r="UO86" s="11"/>
      <c r="UP86" s="11"/>
      <c r="UQ86" s="11"/>
      <c r="UR86" s="11"/>
      <c r="US86" s="11"/>
      <c r="UT86" s="11">
        <v>3700</v>
      </c>
      <c r="UU86" s="11">
        <v>8000</v>
      </c>
      <c r="UV86" s="11"/>
      <c r="UW86" s="11"/>
      <c r="UX86" s="11"/>
      <c r="UY86" s="11"/>
      <c r="UZ86" s="11"/>
      <c r="VA86" s="11"/>
      <c r="VB86" s="11"/>
      <c r="VC86" s="11">
        <v>17605</v>
      </c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>
        <v>16500</v>
      </c>
      <c r="VO86" s="11">
        <v>7490</v>
      </c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>
        <v>1391890.86</v>
      </c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>
        <v>76962</v>
      </c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>
        <v>56250</v>
      </c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>
        <v>0</v>
      </c>
      <c r="ZE86" s="11">
        <v>5315</v>
      </c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>
        <v>23400</v>
      </c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>
        <v>2231937.7999999998</v>
      </c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>
        <v>10160</v>
      </c>
      <c r="ABE86" s="11"/>
      <c r="ABF86" s="11"/>
      <c r="ABG86" s="11"/>
      <c r="ABH86" s="11"/>
      <c r="ABI86" s="11"/>
      <c r="ABJ86" s="11">
        <v>700</v>
      </c>
      <c r="ABK86" s="11"/>
      <c r="ABL86" s="11"/>
      <c r="ABM86" s="11"/>
      <c r="ABN86" s="11"/>
      <c r="ABO86" s="11"/>
      <c r="ABP86" s="11">
        <v>180000</v>
      </c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>
        <v>0</v>
      </c>
      <c r="ACO86" s="11"/>
      <c r="ACP86" s="11"/>
      <c r="ACQ86" s="11"/>
      <c r="ACR86" s="11"/>
      <c r="ACS86" s="11"/>
      <c r="ACT86" s="11">
        <v>1</v>
      </c>
      <c r="ACU86" s="11"/>
      <c r="ACV86" s="11"/>
      <c r="ACW86" s="11">
        <v>424320</v>
      </c>
      <c r="ACX86" s="11"/>
      <c r="ACY86" s="11"/>
      <c r="ACZ86" s="11"/>
      <c r="ADA86" s="11"/>
      <c r="ADB86" s="11">
        <v>320231.59999999998</v>
      </c>
      <c r="ADC86" s="11"/>
      <c r="ADD86" s="11"/>
      <c r="ADE86" s="11"/>
      <c r="ADF86" s="11"/>
      <c r="ADG86" s="11">
        <v>11100</v>
      </c>
      <c r="ADH86" s="11"/>
      <c r="ADI86" s="11">
        <v>21309</v>
      </c>
      <c r="ADJ86" s="11">
        <v>1800</v>
      </c>
      <c r="ADK86" s="11"/>
      <c r="ADL86" s="11">
        <v>0</v>
      </c>
      <c r="ADM86" s="11"/>
      <c r="ADN86" s="11"/>
      <c r="ADO86" s="11"/>
      <c r="ADP86" s="11">
        <v>880311.4</v>
      </c>
      <c r="ADQ86" s="11"/>
      <c r="ADR86" s="11"/>
      <c r="ADS86" s="11">
        <v>57780</v>
      </c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>
        <v>0</v>
      </c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>
        <v>6620</v>
      </c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>
        <v>4320</v>
      </c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>
        <v>6960012.8200000003</v>
      </c>
      <c r="AHV86" s="269" t="s">
        <v>6278</v>
      </c>
      <c r="AHW86" s="269" t="s">
        <v>6113</v>
      </c>
      <c r="AHX86" s="269" t="s">
        <v>6114</v>
      </c>
    </row>
    <row r="87" spans="1:908" x14ac:dyDescent="0.7">
      <c r="A87" s="6" t="s">
        <v>6278</v>
      </c>
      <c r="B87" s="6" t="s">
        <v>6119</v>
      </c>
      <c r="C87" s="6" t="s">
        <v>6120</v>
      </c>
      <c r="D87" s="11"/>
      <c r="E87" s="11">
        <v>37465</v>
      </c>
      <c r="F87" s="11"/>
      <c r="G87" s="11">
        <v>26655</v>
      </c>
      <c r="H87" s="11"/>
      <c r="I87" s="11"/>
      <c r="J87" s="11">
        <v>498195</v>
      </c>
      <c r="K87" s="11">
        <v>47630</v>
      </c>
      <c r="L87" s="11"/>
      <c r="M87" s="11"/>
      <c r="N87" s="11"/>
      <c r="O87" s="11">
        <v>71735</v>
      </c>
      <c r="P87" s="11"/>
      <c r="Q87" s="11"/>
      <c r="R87" s="11"/>
      <c r="S87" s="11">
        <v>1870050</v>
      </c>
      <c r="T87" s="11">
        <v>0</v>
      </c>
      <c r="U87" s="11"/>
      <c r="V87" s="11"/>
      <c r="W87" s="11">
        <v>4722885</v>
      </c>
      <c r="X87" s="11"/>
      <c r="Y87" s="11"/>
      <c r="Z87" s="11"/>
      <c r="AA87" s="11"/>
      <c r="AB87" s="11"/>
      <c r="AC87" s="11">
        <v>4571100</v>
      </c>
      <c r="AD87" s="11"/>
      <c r="AE87" s="11">
        <v>68277.509999999995</v>
      </c>
      <c r="AF87" s="11">
        <v>9282070</v>
      </c>
      <c r="AG87" s="11"/>
      <c r="AH87" s="11"/>
      <c r="AI87" s="11"/>
      <c r="AJ87" s="11"/>
      <c r="AK87" s="11"/>
      <c r="AL87" s="11"/>
      <c r="AM87" s="11">
        <v>37220</v>
      </c>
      <c r="AN87" s="11"/>
      <c r="AO87" s="11"/>
      <c r="AP87" s="11">
        <v>9200</v>
      </c>
      <c r="AQ87" s="11"/>
      <c r="AR87" s="11"/>
      <c r="AS87" s="11"/>
      <c r="AT87" s="11"/>
      <c r="AU87" s="11"/>
      <c r="AV87" s="11">
        <v>500</v>
      </c>
      <c r="AW87" s="11">
        <v>4710</v>
      </c>
      <c r="AX87" s="11">
        <v>115294.39999999999</v>
      </c>
      <c r="AY87" s="11"/>
      <c r="AZ87" s="11"/>
      <c r="BA87" s="11"/>
      <c r="BB87" s="11">
        <v>330</v>
      </c>
      <c r="BC87" s="11"/>
      <c r="BD87" s="11"/>
      <c r="BE87" s="11"/>
      <c r="BF87" s="11">
        <v>5341829.55</v>
      </c>
      <c r="BG87" s="11"/>
      <c r="BH87" s="11">
        <v>148821</v>
      </c>
      <c r="BI87" s="11">
        <v>406120</v>
      </c>
      <c r="BJ87" s="11"/>
      <c r="BK87" s="11"/>
      <c r="BL87" s="11">
        <v>80000</v>
      </c>
      <c r="BM87" s="11"/>
      <c r="BN87" s="11">
        <v>311804</v>
      </c>
      <c r="BO87" s="11"/>
      <c r="BP87" s="11">
        <v>0</v>
      </c>
      <c r="BQ87" s="11"/>
      <c r="BR87" s="11"/>
      <c r="BS87" s="11">
        <v>1318881</v>
      </c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>
        <v>2500</v>
      </c>
      <c r="CG87" s="11">
        <v>6900</v>
      </c>
      <c r="CH87" s="11">
        <v>1550</v>
      </c>
      <c r="CI87" s="11">
        <v>1417602</v>
      </c>
      <c r="CJ87" s="11"/>
      <c r="CK87" s="11">
        <v>2150</v>
      </c>
      <c r="CL87" s="11"/>
      <c r="CM87" s="11">
        <v>0</v>
      </c>
      <c r="CN87" s="11"/>
      <c r="CO87" s="11"/>
      <c r="CP87" s="11">
        <v>1700</v>
      </c>
      <c r="CQ87" s="11">
        <v>450</v>
      </c>
      <c r="CR87" s="11">
        <v>2800</v>
      </c>
      <c r="CS87" s="11">
        <v>900</v>
      </c>
      <c r="CT87" s="11"/>
      <c r="CU87" s="11">
        <v>0</v>
      </c>
      <c r="CV87" s="11"/>
      <c r="CW87" s="11"/>
      <c r="CX87" s="11"/>
      <c r="CY87" s="11">
        <v>6000</v>
      </c>
      <c r="CZ87" s="11"/>
      <c r="DA87" s="11">
        <v>1000</v>
      </c>
      <c r="DB87" s="11">
        <v>658500</v>
      </c>
      <c r="DC87" s="11">
        <v>354635.5</v>
      </c>
      <c r="DD87" s="11"/>
      <c r="DE87" s="11">
        <v>1400</v>
      </c>
      <c r="DF87" s="11"/>
      <c r="DG87" s="11"/>
      <c r="DH87" s="11">
        <v>69835</v>
      </c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>
        <v>5332500</v>
      </c>
      <c r="DT87" s="11">
        <v>372021.5</v>
      </c>
      <c r="DU87" s="11">
        <v>100930</v>
      </c>
      <c r="DV87" s="11">
        <v>82500</v>
      </c>
      <c r="DW87" s="11">
        <v>1259075</v>
      </c>
      <c r="DX87" s="11">
        <v>175906</v>
      </c>
      <c r="DY87" s="11">
        <v>330097.08</v>
      </c>
      <c r="DZ87" s="11"/>
      <c r="EA87" s="11"/>
      <c r="EB87" s="11"/>
      <c r="EC87" s="11">
        <v>32000</v>
      </c>
      <c r="ED87" s="11">
        <v>2627500</v>
      </c>
      <c r="EE87" s="11">
        <v>3000</v>
      </c>
      <c r="EF87" s="11">
        <v>437000</v>
      </c>
      <c r="EG87" s="11"/>
      <c r="EH87" s="11"/>
      <c r="EI87" s="11">
        <v>87570</v>
      </c>
      <c r="EJ87" s="11"/>
      <c r="EK87" s="11">
        <v>1969280</v>
      </c>
      <c r="EL87" s="11"/>
      <c r="EM87" s="11"/>
      <c r="EN87" s="11"/>
      <c r="EO87" s="11"/>
      <c r="EP87" s="11"/>
      <c r="EQ87" s="11"/>
      <c r="ER87" s="11"/>
      <c r="ES87" s="11"/>
      <c r="ET87" s="11"/>
      <c r="EU87" s="11">
        <v>3140700</v>
      </c>
      <c r="EV87" s="11"/>
      <c r="EW87" s="11">
        <v>8278514.2000000002</v>
      </c>
      <c r="EX87" s="11">
        <v>210000</v>
      </c>
      <c r="EY87" s="11">
        <v>41600</v>
      </c>
      <c r="EZ87" s="11">
        <v>41600</v>
      </c>
      <c r="FA87" s="11"/>
      <c r="FB87" s="11">
        <v>26125</v>
      </c>
      <c r="FC87" s="11">
        <v>208000</v>
      </c>
      <c r="FD87" s="11"/>
      <c r="FE87" s="11"/>
      <c r="FF87" s="11"/>
      <c r="FG87" s="11"/>
      <c r="FH87" s="11">
        <v>35000</v>
      </c>
      <c r="FI87" s="11"/>
      <c r="FJ87" s="11">
        <v>0</v>
      </c>
      <c r="FK87" s="11">
        <v>0</v>
      </c>
      <c r="FL87" s="11"/>
      <c r="FM87" s="11">
        <v>0</v>
      </c>
      <c r="FN87" s="11"/>
      <c r="FO87" s="11">
        <v>120000</v>
      </c>
      <c r="FP87" s="11">
        <v>30000</v>
      </c>
      <c r="FQ87" s="11"/>
      <c r="FR87" s="11"/>
      <c r="FS87" s="11"/>
      <c r="FT87" s="11">
        <v>105000</v>
      </c>
      <c r="FU87" s="11"/>
      <c r="FV87" s="11"/>
      <c r="FW87" s="11"/>
      <c r="FX87" s="11"/>
      <c r="FY87" s="11">
        <v>0</v>
      </c>
      <c r="FZ87" s="11">
        <v>10600</v>
      </c>
      <c r="GA87" s="11">
        <v>2281381.5299999998</v>
      </c>
      <c r="GB87" s="11">
        <v>120000</v>
      </c>
      <c r="GC87" s="11">
        <v>341666.55</v>
      </c>
      <c r="GD87" s="11">
        <v>123386.2</v>
      </c>
      <c r="GE87" s="11"/>
      <c r="GF87" s="11"/>
      <c r="GG87" s="11">
        <v>0</v>
      </c>
      <c r="GH87" s="11">
        <v>0</v>
      </c>
      <c r="GI87" s="11">
        <v>39000</v>
      </c>
      <c r="GJ87" s="11"/>
      <c r="GK87" s="11"/>
      <c r="GL87" s="11">
        <v>90000</v>
      </c>
      <c r="GM87" s="11"/>
      <c r="GN87" s="11">
        <v>32000</v>
      </c>
      <c r="GO87" s="11">
        <v>27000</v>
      </c>
      <c r="GP87" s="11"/>
      <c r="GQ87" s="11">
        <v>2607070</v>
      </c>
      <c r="GR87" s="11">
        <v>41500</v>
      </c>
      <c r="GS87" s="11"/>
      <c r="GT87" s="11"/>
      <c r="GU87" s="11">
        <v>1400</v>
      </c>
      <c r="GV87" s="11"/>
      <c r="GW87" s="11"/>
      <c r="GX87" s="11"/>
      <c r="GY87" s="11"/>
      <c r="GZ87" s="11">
        <v>112000</v>
      </c>
      <c r="HA87" s="11"/>
      <c r="HB87" s="11"/>
      <c r="HC87" s="11"/>
      <c r="HD87" s="11"/>
      <c r="HE87" s="11"/>
      <c r="HF87" s="11"/>
      <c r="HG87" s="11"/>
      <c r="HH87" s="11">
        <v>92310</v>
      </c>
      <c r="HI87" s="11"/>
      <c r="HJ87" s="11">
        <v>189295.41</v>
      </c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>
        <v>42652.34</v>
      </c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>
        <v>2819860</v>
      </c>
      <c r="IN87" s="11">
        <v>140500</v>
      </c>
      <c r="IO87" s="11">
        <v>106970</v>
      </c>
      <c r="IP87" s="11">
        <v>25223.64</v>
      </c>
      <c r="IQ87" s="11"/>
      <c r="IR87" s="11">
        <v>198525</v>
      </c>
      <c r="IS87" s="11"/>
      <c r="IT87" s="11">
        <v>400400</v>
      </c>
      <c r="IU87" s="11">
        <v>15000</v>
      </c>
      <c r="IV87" s="11">
        <v>138415.20000000001</v>
      </c>
      <c r="IW87" s="11">
        <v>0</v>
      </c>
      <c r="IX87" s="11">
        <v>112283.4</v>
      </c>
      <c r="IY87" s="11"/>
      <c r="IZ87" s="11"/>
      <c r="JA87" s="11">
        <v>34625</v>
      </c>
      <c r="JB87" s="11">
        <v>19175</v>
      </c>
      <c r="JC87" s="11"/>
      <c r="JD87" s="11"/>
      <c r="JE87" s="11"/>
      <c r="JF87" s="11"/>
      <c r="JG87" s="11">
        <v>274590</v>
      </c>
      <c r="JH87" s="11"/>
      <c r="JI87" s="11">
        <v>36638</v>
      </c>
      <c r="JJ87" s="11"/>
      <c r="JK87" s="11">
        <v>17890</v>
      </c>
      <c r="JL87" s="11">
        <v>86670</v>
      </c>
      <c r="JM87" s="11"/>
      <c r="JN87" s="11"/>
      <c r="JO87" s="11">
        <v>940500</v>
      </c>
      <c r="JP87" s="11"/>
      <c r="JQ87" s="11"/>
      <c r="JR87" s="11"/>
      <c r="JS87" s="11">
        <v>816200</v>
      </c>
      <c r="JT87" s="11"/>
      <c r="JU87" s="11">
        <v>-33886</v>
      </c>
      <c r="JV87" s="11"/>
      <c r="JW87" s="11"/>
      <c r="JX87" s="11"/>
      <c r="JY87" s="11">
        <v>3226250.55</v>
      </c>
      <c r="JZ87" s="11">
        <v>92250</v>
      </c>
      <c r="KA87" s="11">
        <v>5082.5</v>
      </c>
      <c r="KB87" s="11"/>
      <c r="KC87" s="11">
        <v>5168.1000000000004</v>
      </c>
      <c r="KD87" s="11"/>
      <c r="KE87" s="11">
        <v>35000</v>
      </c>
      <c r="KF87" s="11"/>
      <c r="KG87" s="11">
        <v>82620.05</v>
      </c>
      <c r="KH87" s="11">
        <v>105000</v>
      </c>
      <c r="KI87" s="11"/>
      <c r="KJ87" s="11"/>
      <c r="KK87" s="11"/>
      <c r="KL87" s="11">
        <v>160721.21</v>
      </c>
      <c r="KM87" s="11">
        <v>108296.5</v>
      </c>
      <c r="KN87" s="11"/>
      <c r="KO87" s="11"/>
      <c r="KP87" s="11"/>
      <c r="KQ87" s="11"/>
      <c r="KR87" s="11">
        <v>18960810</v>
      </c>
      <c r="KS87" s="11"/>
      <c r="KT87" s="11">
        <v>42195</v>
      </c>
      <c r="KU87" s="11"/>
      <c r="KV87" s="11"/>
      <c r="KW87" s="11">
        <v>20000</v>
      </c>
      <c r="KX87" s="11"/>
      <c r="KY87" s="11"/>
      <c r="KZ87" s="11">
        <v>224800</v>
      </c>
      <c r="LA87" s="11">
        <v>1326986.67</v>
      </c>
      <c r="LB87" s="11"/>
      <c r="LC87" s="11">
        <v>4151094</v>
      </c>
      <c r="LD87" s="11">
        <v>4480506</v>
      </c>
      <c r="LE87" s="11"/>
      <c r="LF87" s="11"/>
      <c r="LG87" s="11">
        <v>413622</v>
      </c>
      <c r="LH87" s="11"/>
      <c r="LI87" s="11"/>
      <c r="LJ87" s="11"/>
      <c r="LK87" s="11"/>
      <c r="LL87" s="11">
        <v>726967.49</v>
      </c>
      <c r="LM87" s="11"/>
      <c r="LN87" s="11"/>
      <c r="LO87" s="11"/>
      <c r="LP87" s="11"/>
      <c r="LQ87" s="11"/>
      <c r="LR87" s="11"/>
      <c r="LS87" s="11">
        <v>34228.75</v>
      </c>
      <c r="LT87" s="11"/>
      <c r="LU87" s="11"/>
      <c r="LV87" s="11">
        <v>35384213.960000001</v>
      </c>
      <c r="LW87" s="11">
        <v>276960</v>
      </c>
      <c r="LX87" s="11">
        <v>28260</v>
      </c>
      <c r="LY87" s="11"/>
      <c r="LZ87" s="11">
        <v>312785</v>
      </c>
      <c r="MA87" s="11"/>
      <c r="MB87" s="11"/>
      <c r="MC87" s="11"/>
      <c r="MD87" s="11"/>
      <c r="ME87" s="11">
        <v>836780</v>
      </c>
      <c r="MF87" s="11"/>
      <c r="MG87" s="11"/>
      <c r="MH87" s="11">
        <v>74961</v>
      </c>
      <c r="MI87" s="11"/>
      <c r="MJ87" s="11"/>
      <c r="MK87" s="11"/>
      <c r="ML87" s="11">
        <v>15542.6</v>
      </c>
      <c r="MM87" s="11"/>
      <c r="MN87" s="11"/>
      <c r="MO87" s="11"/>
      <c r="MP87" s="11"/>
      <c r="MQ87" s="11"/>
      <c r="MR87" s="11"/>
      <c r="MS87" s="11"/>
      <c r="MT87" s="11"/>
      <c r="MU87" s="11"/>
      <c r="MV87" s="11">
        <v>311520</v>
      </c>
      <c r="MW87" s="11"/>
      <c r="MX87" s="11">
        <v>128800</v>
      </c>
      <c r="MY87" s="11">
        <v>1014568</v>
      </c>
      <c r="MZ87" s="11">
        <v>294995</v>
      </c>
      <c r="NA87" s="11"/>
      <c r="NB87" s="11"/>
      <c r="NC87" s="11"/>
      <c r="ND87" s="11"/>
      <c r="NE87" s="11"/>
      <c r="NF87" s="11"/>
      <c r="NG87" s="11"/>
      <c r="NH87" s="11">
        <v>114720</v>
      </c>
      <c r="NI87" s="11"/>
      <c r="NJ87" s="11"/>
      <c r="NK87" s="11">
        <v>24735</v>
      </c>
      <c r="NL87" s="11"/>
      <c r="NM87" s="11"/>
      <c r="NN87" s="11"/>
      <c r="NO87" s="11"/>
      <c r="NP87" s="11"/>
      <c r="NQ87" s="11">
        <v>235078.9</v>
      </c>
      <c r="NR87" s="11"/>
      <c r="NS87" s="11"/>
      <c r="NT87" s="11">
        <v>4680</v>
      </c>
      <c r="NU87" s="11">
        <v>1380</v>
      </c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>
        <v>3600</v>
      </c>
      <c r="OG87" s="11"/>
      <c r="OH87" s="11">
        <v>6327831.5999999996</v>
      </c>
      <c r="OI87" s="11">
        <v>246425.5</v>
      </c>
      <c r="OJ87" s="11"/>
      <c r="OK87" s="11"/>
      <c r="OL87" s="11"/>
      <c r="OM87" s="11"/>
      <c r="ON87" s="11">
        <v>79115.570000000007</v>
      </c>
      <c r="OO87" s="11">
        <v>214000</v>
      </c>
      <c r="OP87" s="11">
        <v>22715748.050000001</v>
      </c>
      <c r="OQ87" s="11"/>
      <c r="OR87" s="11">
        <v>20860.04</v>
      </c>
      <c r="OS87" s="11">
        <v>2645</v>
      </c>
      <c r="OT87" s="11"/>
      <c r="OU87" s="11"/>
      <c r="OV87" s="11"/>
      <c r="OW87" s="11"/>
      <c r="OX87" s="11"/>
      <c r="OY87" s="11">
        <v>5200</v>
      </c>
      <c r="OZ87" s="11"/>
      <c r="PA87" s="11">
        <v>70230.81</v>
      </c>
      <c r="PB87" s="11"/>
      <c r="PC87" s="11">
        <v>19176391.199999999</v>
      </c>
      <c r="PD87" s="11">
        <v>123000</v>
      </c>
      <c r="PE87" s="11">
        <v>312280</v>
      </c>
      <c r="PF87" s="11"/>
      <c r="PG87" s="11">
        <v>0</v>
      </c>
      <c r="PH87" s="11">
        <v>8435000</v>
      </c>
      <c r="PI87" s="11">
        <v>0</v>
      </c>
      <c r="PJ87" s="11"/>
      <c r="PK87" s="11">
        <v>637314</v>
      </c>
      <c r="PL87" s="11">
        <v>164000</v>
      </c>
      <c r="PM87" s="11">
        <v>742848</v>
      </c>
      <c r="PN87" s="11">
        <v>1300000</v>
      </c>
      <c r="PO87" s="11">
        <v>41315</v>
      </c>
      <c r="PP87" s="11"/>
      <c r="PQ87" s="11"/>
      <c r="PR87" s="11"/>
      <c r="PS87" s="11">
        <v>-40000</v>
      </c>
      <c r="PT87" s="11"/>
      <c r="PU87" s="11"/>
      <c r="PV87" s="11">
        <v>319702.83</v>
      </c>
      <c r="PW87" s="11"/>
      <c r="PX87" s="11"/>
      <c r="PY87" s="11">
        <v>7571350.0099999998</v>
      </c>
      <c r="PZ87" s="11"/>
      <c r="QA87" s="11"/>
      <c r="QB87" s="11"/>
      <c r="QC87" s="11">
        <v>0</v>
      </c>
      <c r="QD87" s="11"/>
      <c r="QE87" s="11">
        <v>371400</v>
      </c>
      <c r="QF87" s="11">
        <v>4455</v>
      </c>
      <c r="QG87" s="11"/>
      <c r="QH87" s="11">
        <v>1040</v>
      </c>
      <c r="QI87" s="11"/>
      <c r="QJ87" s="11">
        <v>1421224.9</v>
      </c>
      <c r="QK87" s="11"/>
      <c r="QL87" s="11"/>
      <c r="QM87" s="11"/>
      <c r="QN87" s="11"/>
      <c r="QO87" s="11">
        <v>709231.63</v>
      </c>
      <c r="QP87" s="11">
        <v>915704.41</v>
      </c>
      <c r="QQ87" s="11">
        <v>7821.1</v>
      </c>
      <c r="QR87" s="11">
        <v>41702.720000000001</v>
      </c>
      <c r="QS87" s="11"/>
      <c r="QT87" s="11"/>
      <c r="QU87" s="11"/>
      <c r="QV87" s="11"/>
      <c r="QW87" s="11">
        <v>532244.74</v>
      </c>
      <c r="QX87" s="11"/>
      <c r="QY87" s="11"/>
      <c r="QZ87" s="11">
        <v>857889.18</v>
      </c>
      <c r="RA87" s="11"/>
      <c r="RB87" s="11">
        <v>467579.9</v>
      </c>
      <c r="RC87" s="11">
        <v>0</v>
      </c>
      <c r="RD87" s="11">
        <v>27779.8</v>
      </c>
      <c r="RE87" s="11">
        <v>280135.3</v>
      </c>
      <c r="RF87" s="11">
        <v>6750</v>
      </c>
      <c r="RG87" s="11">
        <v>36904.300000000003</v>
      </c>
      <c r="RH87" s="11"/>
      <c r="RI87" s="11">
        <v>228895</v>
      </c>
      <c r="RJ87" s="11">
        <v>4266000</v>
      </c>
      <c r="RK87" s="11"/>
      <c r="RL87" s="11">
        <v>182780.65</v>
      </c>
      <c r="RM87" s="11">
        <v>58320</v>
      </c>
      <c r="RN87" s="11"/>
      <c r="RO87" s="11">
        <v>31095</v>
      </c>
      <c r="RP87" s="11">
        <v>293100</v>
      </c>
      <c r="RQ87" s="11">
        <v>1415750</v>
      </c>
      <c r="RR87" s="11"/>
      <c r="RS87" s="11"/>
      <c r="RT87" s="11"/>
      <c r="RU87" s="11"/>
      <c r="RV87" s="11">
        <v>97705</v>
      </c>
      <c r="RW87" s="11">
        <v>204129.5</v>
      </c>
      <c r="RX87" s="11"/>
      <c r="RY87" s="11"/>
      <c r="RZ87" s="11">
        <v>67997.7</v>
      </c>
      <c r="SA87" s="11">
        <v>80113.350000000006</v>
      </c>
      <c r="SB87" s="11">
        <v>183725</v>
      </c>
      <c r="SC87" s="11"/>
      <c r="SD87" s="11"/>
      <c r="SE87" s="11"/>
      <c r="SF87" s="11"/>
      <c r="SG87" s="11"/>
      <c r="SH87" s="11"/>
      <c r="SI87" s="11">
        <v>1183074.5</v>
      </c>
      <c r="SJ87" s="11">
        <v>103555.78</v>
      </c>
      <c r="SK87" s="11"/>
      <c r="SL87" s="11"/>
      <c r="SM87" s="11"/>
      <c r="SN87" s="11">
        <v>1183385</v>
      </c>
      <c r="SO87" s="11"/>
      <c r="SP87" s="11"/>
      <c r="SQ87" s="11"/>
      <c r="SR87" s="11"/>
      <c r="SS87" s="11"/>
      <c r="ST87" s="11"/>
      <c r="SU87" s="11"/>
      <c r="SV87" s="11">
        <v>1215600</v>
      </c>
      <c r="SW87" s="11"/>
      <c r="SX87" s="11"/>
      <c r="SY87" s="11"/>
      <c r="SZ87" s="11"/>
      <c r="TA87" s="11"/>
      <c r="TB87" s="11"/>
      <c r="TC87" s="11">
        <v>10193040</v>
      </c>
      <c r="TD87" s="11"/>
      <c r="TE87" s="11"/>
      <c r="TF87" s="11"/>
      <c r="TG87" s="11"/>
      <c r="TH87" s="11"/>
      <c r="TI87" s="11"/>
      <c r="TJ87" s="11">
        <v>9072767.9700000007</v>
      </c>
      <c r="TK87" s="11"/>
      <c r="TL87" s="11"/>
      <c r="TM87" s="11"/>
      <c r="TN87" s="11"/>
      <c r="TO87" s="11"/>
      <c r="TP87" s="11"/>
      <c r="TQ87" s="11">
        <v>270301.63</v>
      </c>
      <c r="TR87" s="11">
        <v>142660.5</v>
      </c>
      <c r="TS87" s="11"/>
      <c r="TT87" s="11"/>
      <c r="TU87" s="11"/>
      <c r="TV87" s="11"/>
      <c r="TW87" s="11"/>
      <c r="TX87" s="11"/>
      <c r="TY87" s="11"/>
      <c r="TZ87" s="11">
        <v>2816140</v>
      </c>
      <c r="UA87" s="11"/>
      <c r="UB87" s="11">
        <v>178200</v>
      </c>
      <c r="UC87" s="11"/>
      <c r="UD87" s="11"/>
      <c r="UE87" s="11"/>
      <c r="UF87" s="11">
        <v>720000</v>
      </c>
      <c r="UG87" s="11"/>
      <c r="UH87" s="11"/>
      <c r="UI87" s="11"/>
      <c r="UJ87" s="11"/>
      <c r="UK87" s="11">
        <v>276961</v>
      </c>
      <c r="UL87" s="11"/>
      <c r="UM87" s="11"/>
      <c r="UN87" s="11"/>
      <c r="UO87" s="11"/>
      <c r="UP87" s="11"/>
      <c r="UQ87" s="11">
        <v>9283812.1899999995</v>
      </c>
      <c r="UR87" s="11"/>
      <c r="US87" s="11"/>
      <c r="UT87" s="11">
        <v>6852950</v>
      </c>
      <c r="UU87" s="11"/>
      <c r="UV87" s="11"/>
      <c r="UW87" s="11">
        <v>3019900</v>
      </c>
      <c r="UX87" s="11"/>
      <c r="UY87" s="11"/>
      <c r="UZ87" s="11"/>
      <c r="VA87" s="11"/>
      <c r="VB87" s="11">
        <v>1126035</v>
      </c>
      <c r="VC87" s="11"/>
      <c r="VD87" s="11">
        <v>2347150</v>
      </c>
      <c r="VE87" s="11"/>
      <c r="VF87" s="11"/>
      <c r="VG87" s="11"/>
      <c r="VH87" s="11"/>
      <c r="VI87" s="11">
        <v>1854554.13</v>
      </c>
      <c r="VJ87" s="11"/>
      <c r="VK87" s="11"/>
      <c r="VL87" s="11">
        <v>23000</v>
      </c>
      <c r="VM87" s="11"/>
      <c r="VN87" s="11"/>
      <c r="VO87" s="11"/>
      <c r="VP87" s="11">
        <v>0</v>
      </c>
      <c r="VQ87" s="11">
        <v>1438870.5</v>
      </c>
      <c r="VR87" s="11">
        <v>145200</v>
      </c>
      <c r="VS87" s="11">
        <v>1177360</v>
      </c>
      <c r="VT87" s="11">
        <v>0</v>
      </c>
      <c r="VU87" s="11"/>
      <c r="VV87" s="11">
        <v>6152420</v>
      </c>
      <c r="VW87" s="11"/>
      <c r="VX87" s="11">
        <v>0</v>
      </c>
      <c r="VY87" s="11"/>
      <c r="VZ87" s="11"/>
      <c r="WA87" s="11">
        <v>542.05999999999995</v>
      </c>
      <c r="WB87" s="11"/>
      <c r="WC87" s="11">
        <v>33860</v>
      </c>
      <c r="WD87" s="11"/>
      <c r="WE87" s="11"/>
      <c r="WF87" s="11"/>
      <c r="WG87" s="11"/>
      <c r="WH87" s="11"/>
      <c r="WI87" s="11">
        <v>211800</v>
      </c>
      <c r="WJ87" s="11">
        <v>0</v>
      </c>
      <c r="WK87" s="11"/>
      <c r="WL87" s="11"/>
      <c r="WM87" s="11">
        <v>5036350</v>
      </c>
      <c r="WN87" s="11"/>
      <c r="WO87" s="11">
        <v>2632995</v>
      </c>
      <c r="WP87" s="11"/>
      <c r="WQ87" s="11"/>
      <c r="WR87" s="11"/>
      <c r="WS87" s="11"/>
      <c r="WT87" s="11"/>
      <c r="WU87" s="11">
        <v>0</v>
      </c>
      <c r="WV87" s="11">
        <v>14344800</v>
      </c>
      <c r="WW87" s="11"/>
      <c r="WX87" s="11"/>
      <c r="WY87" s="11"/>
      <c r="WZ87" s="11"/>
      <c r="XA87" s="11"/>
      <c r="XB87" s="11"/>
      <c r="XC87" s="11"/>
      <c r="XD87" s="11">
        <v>777000</v>
      </c>
      <c r="XE87" s="11"/>
      <c r="XF87" s="11"/>
      <c r="XG87" s="11"/>
      <c r="XH87" s="11"/>
      <c r="XI87" s="11">
        <v>4529980</v>
      </c>
      <c r="XJ87" s="11"/>
      <c r="XK87" s="11">
        <v>141586.9</v>
      </c>
      <c r="XL87" s="11">
        <v>8295000</v>
      </c>
      <c r="XM87" s="11">
        <v>24400</v>
      </c>
      <c r="XN87" s="11">
        <v>0</v>
      </c>
      <c r="XO87" s="11">
        <v>6620725</v>
      </c>
      <c r="XP87" s="11"/>
      <c r="XQ87" s="11"/>
      <c r="XR87" s="11">
        <v>1534400</v>
      </c>
      <c r="XS87" s="11">
        <v>3229150</v>
      </c>
      <c r="XT87" s="11">
        <v>21036.2</v>
      </c>
      <c r="XU87" s="11"/>
      <c r="XV87" s="11"/>
      <c r="XW87" s="11"/>
      <c r="XX87" s="11"/>
      <c r="XY87" s="11"/>
      <c r="XZ87" s="11">
        <v>4400</v>
      </c>
      <c r="YA87" s="11"/>
      <c r="YB87" s="11"/>
      <c r="YC87" s="11"/>
      <c r="YD87" s="11"/>
      <c r="YE87" s="11">
        <v>56817</v>
      </c>
      <c r="YF87" s="11"/>
      <c r="YG87" s="11"/>
      <c r="YH87" s="11">
        <v>1017084</v>
      </c>
      <c r="YI87" s="11"/>
      <c r="YJ87" s="11">
        <v>3951762.53</v>
      </c>
      <c r="YK87" s="11"/>
      <c r="YL87" s="11"/>
      <c r="YM87" s="11"/>
      <c r="YN87" s="11">
        <v>2771400</v>
      </c>
      <c r="YO87" s="11">
        <v>1654800</v>
      </c>
      <c r="YP87" s="11"/>
      <c r="YQ87" s="11"/>
      <c r="YR87" s="11"/>
      <c r="YS87" s="11"/>
      <c r="YT87" s="11"/>
      <c r="YU87" s="11"/>
      <c r="YV87" s="11"/>
      <c r="YW87" s="11">
        <v>106500</v>
      </c>
      <c r="YX87" s="11">
        <v>141167</v>
      </c>
      <c r="YY87" s="11">
        <v>21023.599999999999</v>
      </c>
      <c r="YZ87" s="11"/>
      <c r="ZA87" s="11">
        <v>92000</v>
      </c>
      <c r="ZB87" s="11"/>
      <c r="ZC87" s="11">
        <v>0</v>
      </c>
      <c r="ZD87" s="11">
        <v>6476690</v>
      </c>
      <c r="ZE87" s="11">
        <v>351390</v>
      </c>
      <c r="ZF87" s="11">
        <v>1442720</v>
      </c>
      <c r="ZG87" s="11">
        <v>895620</v>
      </c>
      <c r="ZH87" s="11"/>
      <c r="ZI87" s="11">
        <v>16649.2</v>
      </c>
      <c r="ZJ87" s="11"/>
      <c r="ZK87" s="11"/>
      <c r="ZL87" s="11">
        <v>5761850</v>
      </c>
      <c r="ZM87" s="11">
        <v>2975533</v>
      </c>
      <c r="ZN87" s="11"/>
      <c r="ZO87" s="11">
        <v>36700</v>
      </c>
      <c r="ZP87" s="11"/>
      <c r="ZQ87" s="11">
        <v>1500000</v>
      </c>
      <c r="ZR87" s="11"/>
      <c r="ZS87" s="11"/>
      <c r="ZT87" s="11"/>
      <c r="ZU87" s="11">
        <v>4169220</v>
      </c>
      <c r="ZV87" s="11">
        <v>4235490</v>
      </c>
      <c r="ZW87" s="11"/>
      <c r="ZX87" s="11"/>
      <c r="ZY87" s="11"/>
      <c r="ZZ87" s="11">
        <v>11359000</v>
      </c>
      <c r="AAA87" s="11"/>
      <c r="AAB87" s="11"/>
      <c r="AAC87" s="11"/>
      <c r="AAD87" s="11"/>
      <c r="AAE87" s="11"/>
      <c r="AAF87" s="11"/>
      <c r="AAG87" s="11"/>
      <c r="AAH87" s="11">
        <v>221520</v>
      </c>
      <c r="AAI87" s="11">
        <v>7018815</v>
      </c>
      <c r="AAJ87" s="11"/>
      <c r="AAK87" s="11">
        <v>1097395</v>
      </c>
      <c r="AAL87" s="11">
        <v>42800</v>
      </c>
      <c r="AAM87" s="11"/>
      <c r="AAN87" s="11">
        <v>1450400</v>
      </c>
      <c r="AAO87" s="11"/>
      <c r="AAP87" s="11">
        <v>2655873.1</v>
      </c>
      <c r="AAQ87" s="11">
        <v>2800</v>
      </c>
      <c r="AAR87" s="11"/>
      <c r="AAS87" s="11">
        <v>1755281.52</v>
      </c>
      <c r="AAT87" s="11">
        <v>17324630</v>
      </c>
      <c r="AAU87" s="11"/>
      <c r="AAV87" s="11"/>
      <c r="AAW87" s="11"/>
      <c r="AAX87" s="11">
        <v>2339010</v>
      </c>
      <c r="AAY87" s="11"/>
      <c r="AAZ87" s="11"/>
      <c r="ABA87" s="11">
        <v>6965646.5</v>
      </c>
      <c r="ABB87" s="11"/>
      <c r="ABC87" s="11"/>
      <c r="ABD87" s="11"/>
      <c r="ABE87" s="11"/>
      <c r="ABF87" s="11"/>
      <c r="ABG87" s="11"/>
      <c r="ABH87" s="11"/>
      <c r="ABI87" s="11">
        <v>3852500</v>
      </c>
      <c r="ABJ87" s="11">
        <v>6800790</v>
      </c>
      <c r="ABK87" s="11">
        <v>79115</v>
      </c>
      <c r="ABL87" s="11">
        <v>83813.100000000006</v>
      </c>
      <c r="ABM87" s="11"/>
      <c r="ABN87" s="11"/>
      <c r="ABO87" s="11"/>
      <c r="ABP87" s="11">
        <v>431800</v>
      </c>
      <c r="ABQ87" s="11"/>
      <c r="ABR87" s="11"/>
      <c r="ABS87" s="11"/>
      <c r="ABT87" s="11"/>
      <c r="ABU87" s="11"/>
      <c r="ABV87" s="11"/>
      <c r="ABW87" s="11"/>
      <c r="ABX87" s="11"/>
      <c r="ABY87" s="11">
        <v>0</v>
      </c>
      <c r="ABZ87" s="11"/>
      <c r="ACA87" s="11"/>
      <c r="ACB87" s="11"/>
      <c r="ACC87" s="11"/>
      <c r="ACD87" s="11"/>
      <c r="ACE87" s="11">
        <v>324512.90000000002</v>
      </c>
      <c r="ACF87" s="11"/>
      <c r="ACG87" s="11"/>
      <c r="ACH87" s="11"/>
      <c r="ACI87" s="11">
        <v>36704.85</v>
      </c>
      <c r="ACJ87" s="11"/>
      <c r="ACK87" s="11">
        <v>7250</v>
      </c>
      <c r="ACL87" s="11"/>
      <c r="ACM87" s="11"/>
      <c r="ACN87" s="11">
        <v>145396.95000000001</v>
      </c>
      <c r="ACO87" s="11"/>
      <c r="ACP87" s="11"/>
      <c r="ACQ87" s="11"/>
      <c r="ACR87" s="11"/>
      <c r="ACS87" s="11"/>
      <c r="ACT87" s="11"/>
      <c r="ACU87" s="11"/>
      <c r="ACV87" s="11">
        <v>0</v>
      </c>
      <c r="ACW87" s="11"/>
      <c r="ACX87" s="11"/>
      <c r="ACY87" s="11">
        <v>115902</v>
      </c>
      <c r="ACZ87" s="11"/>
      <c r="ADA87" s="11"/>
      <c r="ADB87" s="11">
        <v>102976.8</v>
      </c>
      <c r="ADC87" s="11">
        <v>40713.800000000003</v>
      </c>
      <c r="ADD87" s="11">
        <v>630000</v>
      </c>
      <c r="ADE87" s="11"/>
      <c r="ADF87" s="11"/>
      <c r="ADG87" s="11">
        <v>1275180</v>
      </c>
      <c r="ADH87" s="11">
        <v>700560</v>
      </c>
      <c r="ADI87" s="11"/>
      <c r="ADJ87" s="11">
        <v>80514.289999999994</v>
      </c>
      <c r="ADK87" s="11"/>
      <c r="ADL87" s="11"/>
      <c r="ADM87" s="11"/>
      <c r="ADN87" s="11">
        <v>146986.97</v>
      </c>
      <c r="ADO87" s="11">
        <v>14766</v>
      </c>
      <c r="ADP87" s="11"/>
      <c r="ADQ87" s="11"/>
      <c r="ADR87" s="11">
        <v>22500</v>
      </c>
      <c r="ADS87" s="11"/>
      <c r="ADT87" s="11"/>
      <c r="ADU87" s="11"/>
      <c r="ADV87" s="11"/>
      <c r="ADW87" s="11"/>
      <c r="ADX87" s="11"/>
      <c r="ADY87" s="11"/>
      <c r="ADZ87" s="11">
        <v>333700</v>
      </c>
      <c r="AEA87" s="11"/>
      <c r="AEB87" s="11"/>
      <c r="AEC87" s="11"/>
      <c r="AED87" s="11"/>
      <c r="AEE87" s="11"/>
      <c r="AEF87" s="11"/>
      <c r="AEG87" s="11"/>
      <c r="AEH87" s="11">
        <v>278960.76</v>
      </c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>
        <v>1034914.05</v>
      </c>
      <c r="AET87" s="11">
        <v>274703.34999999998</v>
      </c>
      <c r="AEU87" s="11"/>
      <c r="AEV87" s="11"/>
      <c r="AEW87" s="11"/>
      <c r="AEX87" s="11">
        <v>70636.7</v>
      </c>
      <c r="AEY87" s="11">
        <v>17801.5</v>
      </c>
      <c r="AEZ87" s="11"/>
      <c r="AFA87" s="11"/>
      <c r="AFB87" s="11"/>
      <c r="AFC87" s="11">
        <v>17505.2</v>
      </c>
      <c r="AFD87" s="11">
        <v>887416.38</v>
      </c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>
        <v>165315</v>
      </c>
      <c r="AFR87" s="11">
        <v>2197700</v>
      </c>
      <c r="AFS87" s="11"/>
      <c r="AFT87" s="11"/>
      <c r="AFU87" s="11">
        <v>13645</v>
      </c>
      <c r="AFV87" s="11"/>
      <c r="AFW87" s="11">
        <v>22163.98</v>
      </c>
      <c r="AFX87" s="11"/>
      <c r="AFY87" s="11"/>
      <c r="AFZ87" s="11"/>
      <c r="AGA87" s="11"/>
      <c r="AGB87" s="11"/>
      <c r="AGC87" s="11">
        <v>2322649.2000000002</v>
      </c>
      <c r="AGD87" s="11"/>
      <c r="AGE87" s="11"/>
      <c r="AGF87" s="11"/>
      <c r="AGG87" s="11">
        <v>2753240</v>
      </c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>
        <v>592000</v>
      </c>
      <c r="AGW87" s="11"/>
      <c r="AGX87" s="11"/>
      <c r="AGY87" s="11"/>
      <c r="AGZ87" s="11">
        <v>21111.77</v>
      </c>
      <c r="AHA87" s="11"/>
      <c r="AHB87" s="11"/>
      <c r="AHC87" s="11">
        <v>1119450</v>
      </c>
      <c r="AHD87" s="11"/>
      <c r="AHE87" s="11"/>
      <c r="AHF87" s="11"/>
      <c r="AHG87" s="11">
        <v>51633.8</v>
      </c>
      <c r="AHH87" s="11"/>
      <c r="AHI87" s="11"/>
      <c r="AHJ87" s="11"/>
      <c r="AHK87" s="11">
        <v>19358.439999999999</v>
      </c>
      <c r="AHL87" s="11"/>
      <c r="AHM87" s="11"/>
      <c r="AHN87" s="11">
        <v>60000</v>
      </c>
      <c r="AHO87" s="11"/>
      <c r="AHP87" s="11">
        <v>22386.29</v>
      </c>
      <c r="AHQ87" s="11">
        <v>194280.7</v>
      </c>
      <c r="AHR87" s="11">
        <v>79855</v>
      </c>
      <c r="AHS87" s="11">
        <v>143283</v>
      </c>
      <c r="AHT87" s="11">
        <v>449075608.67000002</v>
      </c>
      <c r="AHV87" s="269" t="s">
        <v>6278</v>
      </c>
      <c r="AHW87" s="269" t="s">
        <v>6115</v>
      </c>
      <c r="AHX87" s="269" t="s">
        <v>6116</v>
      </c>
    </row>
    <row r="88" spans="1:908" x14ac:dyDescent="0.7">
      <c r="A88" s="6" t="s">
        <v>6278</v>
      </c>
      <c r="B88" s="6" t="s">
        <v>6121</v>
      </c>
      <c r="C88" s="6" t="s">
        <v>6122</v>
      </c>
      <c r="D88" s="11">
        <v>76000</v>
      </c>
      <c r="E88" s="11">
        <v>761340</v>
      </c>
      <c r="F88" s="11">
        <v>2737090</v>
      </c>
      <c r="G88" s="11">
        <v>147620</v>
      </c>
      <c r="H88" s="11">
        <v>294125</v>
      </c>
      <c r="I88" s="11">
        <v>187685</v>
      </c>
      <c r="J88" s="11">
        <v>5400</v>
      </c>
      <c r="K88" s="11">
        <v>365458</v>
      </c>
      <c r="L88" s="11">
        <v>265240</v>
      </c>
      <c r="M88" s="11">
        <v>173725</v>
      </c>
      <c r="N88" s="11">
        <v>234840</v>
      </c>
      <c r="O88" s="11">
        <v>589784</v>
      </c>
      <c r="P88" s="11">
        <v>35200</v>
      </c>
      <c r="Q88" s="11">
        <v>2487995</v>
      </c>
      <c r="R88" s="11">
        <v>133483.39000000001</v>
      </c>
      <c r="S88" s="11">
        <v>2957442</v>
      </c>
      <c r="T88" s="11">
        <v>181945</v>
      </c>
      <c r="U88" s="11">
        <v>128470</v>
      </c>
      <c r="V88" s="11"/>
      <c r="W88" s="11">
        <v>675315</v>
      </c>
      <c r="X88" s="11">
        <v>1147494.26</v>
      </c>
      <c r="Y88" s="11">
        <v>443590</v>
      </c>
      <c r="Z88" s="11">
        <v>567917.4</v>
      </c>
      <c r="AA88" s="11">
        <v>2137208.59</v>
      </c>
      <c r="AB88" s="11">
        <v>211921</v>
      </c>
      <c r="AC88" s="11">
        <v>6609480</v>
      </c>
      <c r="AD88" s="11">
        <v>1031378</v>
      </c>
      <c r="AE88" s="11">
        <v>5843887.8499999996</v>
      </c>
      <c r="AF88" s="11">
        <v>6605530.5899999999</v>
      </c>
      <c r="AG88" s="11">
        <v>1082936.3999999999</v>
      </c>
      <c r="AH88" s="11">
        <v>2046490</v>
      </c>
      <c r="AI88" s="11">
        <v>9141922.6199999992</v>
      </c>
      <c r="AJ88" s="11">
        <v>259510</v>
      </c>
      <c r="AK88" s="11">
        <v>583335</v>
      </c>
      <c r="AL88" s="11">
        <v>899901.6</v>
      </c>
      <c r="AM88" s="11">
        <v>837760</v>
      </c>
      <c r="AN88" s="11">
        <v>176223.84</v>
      </c>
      <c r="AO88" s="11">
        <v>850104.93</v>
      </c>
      <c r="AP88" s="11">
        <v>2226457.2000000002</v>
      </c>
      <c r="AQ88" s="11">
        <v>1197915.7</v>
      </c>
      <c r="AR88" s="11">
        <v>1034519.39</v>
      </c>
      <c r="AS88" s="11">
        <v>1842223.7</v>
      </c>
      <c r="AT88" s="11"/>
      <c r="AU88" s="11">
        <v>56433</v>
      </c>
      <c r="AV88" s="11">
        <v>108195</v>
      </c>
      <c r="AW88" s="11">
        <v>0</v>
      </c>
      <c r="AX88" s="11">
        <v>257790</v>
      </c>
      <c r="AY88" s="11">
        <v>383315</v>
      </c>
      <c r="AZ88" s="11">
        <v>531630</v>
      </c>
      <c r="BA88" s="11">
        <v>274085</v>
      </c>
      <c r="BB88" s="11">
        <v>3100</v>
      </c>
      <c r="BC88" s="11">
        <v>118919</v>
      </c>
      <c r="BD88" s="11">
        <v>66840</v>
      </c>
      <c r="BE88" s="11">
        <v>271310</v>
      </c>
      <c r="BF88" s="11">
        <v>658169</v>
      </c>
      <c r="BG88" s="11">
        <v>76755</v>
      </c>
      <c r="BH88" s="11">
        <v>78174</v>
      </c>
      <c r="BI88" s="11">
        <v>448115</v>
      </c>
      <c r="BJ88" s="11">
        <v>920680</v>
      </c>
      <c r="BK88" s="11">
        <v>463851</v>
      </c>
      <c r="BL88" s="11">
        <v>153239.1</v>
      </c>
      <c r="BM88" s="11">
        <v>279235</v>
      </c>
      <c r="BN88" s="11">
        <v>335345</v>
      </c>
      <c r="BO88" s="11">
        <v>131266.4</v>
      </c>
      <c r="BP88" s="11">
        <v>197335</v>
      </c>
      <c r="BQ88" s="11">
        <v>8190</v>
      </c>
      <c r="BR88" s="11"/>
      <c r="BS88" s="11">
        <v>190219</v>
      </c>
      <c r="BT88" s="11">
        <v>122183</v>
      </c>
      <c r="BU88" s="11">
        <v>325204</v>
      </c>
      <c r="BV88" s="11">
        <v>279126</v>
      </c>
      <c r="BW88" s="11">
        <v>122690</v>
      </c>
      <c r="BX88" s="11">
        <v>38960</v>
      </c>
      <c r="BY88" s="11">
        <v>447230</v>
      </c>
      <c r="BZ88" s="11">
        <v>2893148.91</v>
      </c>
      <c r="CA88" s="11">
        <v>674256</v>
      </c>
      <c r="CB88" s="11">
        <v>661275</v>
      </c>
      <c r="CC88" s="11">
        <v>1047256.2</v>
      </c>
      <c r="CD88" s="11">
        <v>220295</v>
      </c>
      <c r="CE88" s="11">
        <v>202760</v>
      </c>
      <c r="CF88" s="11">
        <v>93390</v>
      </c>
      <c r="CG88" s="11">
        <v>284772</v>
      </c>
      <c r="CH88" s="11">
        <v>267667.01</v>
      </c>
      <c r="CI88" s="11">
        <v>818050</v>
      </c>
      <c r="CJ88" s="11">
        <v>185945</v>
      </c>
      <c r="CK88" s="11">
        <v>164135</v>
      </c>
      <c r="CL88" s="11">
        <v>290708.34999999998</v>
      </c>
      <c r="CM88" s="11">
        <v>30110</v>
      </c>
      <c r="CN88" s="11">
        <v>274390</v>
      </c>
      <c r="CO88" s="11">
        <v>112138.45</v>
      </c>
      <c r="CP88" s="11">
        <v>200695</v>
      </c>
      <c r="CQ88" s="11">
        <v>443096.46</v>
      </c>
      <c r="CR88" s="11">
        <v>445465.95</v>
      </c>
      <c r="CS88" s="11">
        <v>106750</v>
      </c>
      <c r="CT88" s="11">
        <v>1003395</v>
      </c>
      <c r="CU88" s="11">
        <v>238082</v>
      </c>
      <c r="CV88" s="11">
        <v>262049</v>
      </c>
      <c r="CW88" s="11">
        <v>2303668.4</v>
      </c>
      <c r="CX88" s="11">
        <v>133980.9</v>
      </c>
      <c r="CY88" s="11">
        <v>235910</v>
      </c>
      <c r="CZ88" s="11">
        <v>901294.84</v>
      </c>
      <c r="DA88" s="11">
        <v>311842</v>
      </c>
      <c r="DB88" s="11">
        <v>1465543.2</v>
      </c>
      <c r="DC88" s="11">
        <v>1534961</v>
      </c>
      <c r="DD88" s="11">
        <v>732966.5</v>
      </c>
      <c r="DE88" s="11">
        <v>417505</v>
      </c>
      <c r="DF88" s="11">
        <v>236450.5</v>
      </c>
      <c r="DG88" s="11">
        <v>105885</v>
      </c>
      <c r="DH88" s="11">
        <v>390462.5</v>
      </c>
      <c r="DI88" s="11">
        <v>1959803.9</v>
      </c>
      <c r="DJ88" s="11">
        <v>333228.5</v>
      </c>
      <c r="DK88" s="11">
        <v>2032957</v>
      </c>
      <c r="DL88" s="11">
        <v>123490</v>
      </c>
      <c r="DM88" s="11">
        <v>404205</v>
      </c>
      <c r="DN88" s="11">
        <v>302287.59999999998</v>
      </c>
      <c r="DO88" s="11">
        <v>1328120</v>
      </c>
      <c r="DP88" s="11">
        <v>22760</v>
      </c>
      <c r="DQ88" s="11">
        <v>956362.69</v>
      </c>
      <c r="DR88" s="11">
        <v>223205</v>
      </c>
      <c r="DS88" s="11">
        <v>790039</v>
      </c>
      <c r="DT88" s="11">
        <v>4618659</v>
      </c>
      <c r="DU88" s="11">
        <v>1588281.75</v>
      </c>
      <c r="DV88" s="11">
        <v>2090012.6</v>
      </c>
      <c r="DW88" s="11">
        <v>7168890.0099999998</v>
      </c>
      <c r="DX88" s="11">
        <v>1480538.6</v>
      </c>
      <c r="DY88" s="11">
        <v>1486682.84</v>
      </c>
      <c r="DZ88" s="11">
        <v>2040597.3</v>
      </c>
      <c r="EA88" s="11">
        <v>438244.2</v>
      </c>
      <c r="EB88" s="11">
        <v>269535.01</v>
      </c>
      <c r="EC88" s="11">
        <v>988707.5</v>
      </c>
      <c r="ED88" s="11">
        <v>156507.41</v>
      </c>
      <c r="EE88" s="11">
        <v>3479522.5</v>
      </c>
      <c r="EF88" s="11">
        <v>421942</v>
      </c>
      <c r="EG88" s="11">
        <v>339201.8</v>
      </c>
      <c r="EH88" s="11">
        <v>521377</v>
      </c>
      <c r="EI88" s="11">
        <v>1211842.5</v>
      </c>
      <c r="EJ88" s="11">
        <v>1558599</v>
      </c>
      <c r="EK88" s="11">
        <v>715929</v>
      </c>
      <c r="EL88" s="11">
        <v>392576.5</v>
      </c>
      <c r="EM88" s="11">
        <v>376417</v>
      </c>
      <c r="EN88" s="11">
        <v>1006087</v>
      </c>
      <c r="EO88" s="11">
        <v>539890.4</v>
      </c>
      <c r="EP88" s="11">
        <v>1499283.77</v>
      </c>
      <c r="EQ88" s="11">
        <v>255265</v>
      </c>
      <c r="ER88" s="11">
        <v>12295</v>
      </c>
      <c r="ES88" s="11">
        <v>224577</v>
      </c>
      <c r="ET88" s="11">
        <v>2518630.7999999998</v>
      </c>
      <c r="EU88" s="11">
        <v>1024380.9</v>
      </c>
      <c r="EV88" s="11">
        <v>276585.2</v>
      </c>
      <c r="EW88" s="11">
        <v>1137659.1499999999</v>
      </c>
      <c r="EX88" s="11">
        <v>134450</v>
      </c>
      <c r="EY88" s="11">
        <v>363881.6</v>
      </c>
      <c r="EZ88" s="11">
        <v>1017960</v>
      </c>
      <c r="FA88" s="11">
        <v>642377.80000000005</v>
      </c>
      <c r="FB88" s="11">
        <v>1589518.2</v>
      </c>
      <c r="FC88" s="11">
        <v>1847618.6</v>
      </c>
      <c r="FD88" s="11">
        <v>252575</v>
      </c>
      <c r="FE88" s="11">
        <v>313747</v>
      </c>
      <c r="FF88" s="11">
        <v>526070</v>
      </c>
      <c r="FG88" s="11">
        <v>309918.65000000002</v>
      </c>
      <c r="FH88" s="11">
        <v>366398.68</v>
      </c>
      <c r="FI88" s="11">
        <v>1750949</v>
      </c>
      <c r="FJ88" s="11">
        <v>50936</v>
      </c>
      <c r="FK88" s="11">
        <v>49771.5</v>
      </c>
      <c r="FL88" s="11">
        <v>34570</v>
      </c>
      <c r="FM88" s="11">
        <v>589404.9</v>
      </c>
      <c r="FN88" s="11">
        <v>119238</v>
      </c>
      <c r="FO88" s="11">
        <v>94854.86</v>
      </c>
      <c r="FP88" s="11">
        <v>41620</v>
      </c>
      <c r="FQ88" s="11"/>
      <c r="FR88" s="11">
        <v>304769</v>
      </c>
      <c r="FS88" s="11">
        <v>1252226.06</v>
      </c>
      <c r="FT88" s="11">
        <v>456355.9</v>
      </c>
      <c r="FU88" s="11">
        <v>562475</v>
      </c>
      <c r="FV88" s="11">
        <v>110894.65</v>
      </c>
      <c r="FW88" s="11">
        <v>8868569</v>
      </c>
      <c r="FX88" s="11">
        <v>3611086.95</v>
      </c>
      <c r="FY88" s="11">
        <v>1939623.9</v>
      </c>
      <c r="FZ88" s="11">
        <v>292567.86</v>
      </c>
      <c r="GA88" s="11">
        <v>4713512.45</v>
      </c>
      <c r="GB88" s="11">
        <v>263720</v>
      </c>
      <c r="GC88" s="11">
        <v>569877.4</v>
      </c>
      <c r="GD88" s="11">
        <v>515142</v>
      </c>
      <c r="GE88" s="11">
        <v>66730</v>
      </c>
      <c r="GF88" s="11">
        <v>140178.25</v>
      </c>
      <c r="GG88" s="11">
        <v>264715.5</v>
      </c>
      <c r="GH88" s="11">
        <v>574267</v>
      </c>
      <c r="GI88" s="11">
        <v>262645.8</v>
      </c>
      <c r="GJ88" s="11">
        <v>0</v>
      </c>
      <c r="GK88" s="11">
        <v>1280195.83</v>
      </c>
      <c r="GL88" s="11">
        <v>812272.7</v>
      </c>
      <c r="GM88" s="11">
        <v>144092</v>
      </c>
      <c r="GN88" s="11">
        <v>59563.9</v>
      </c>
      <c r="GO88" s="11">
        <v>252368.65</v>
      </c>
      <c r="GP88" s="11">
        <v>87046.8</v>
      </c>
      <c r="GQ88" s="11">
        <v>2753312</v>
      </c>
      <c r="GR88" s="11">
        <v>288312.56</v>
      </c>
      <c r="GS88" s="11">
        <v>277785</v>
      </c>
      <c r="GT88" s="11">
        <v>106355</v>
      </c>
      <c r="GU88" s="11">
        <v>274965.90999999997</v>
      </c>
      <c r="GV88" s="11">
        <v>114390.62</v>
      </c>
      <c r="GW88" s="11">
        <v>355931.81</v>
      </c>
      <c r="GX88" s="11">
        <v>187820</v>
      </c>
      <c r="GY88" s="11">
        <v>22240597.850000001</v>
      </c>
      <c r="GZ88" s="11">
        <v>528425</v>
      </c>
      <c r="HA88" s="11">
        <v>1017029.8</v>
      </c>
      <c r="HB88" s="11">
        <v>196081</v>
      </c>
      <c r="HC88" s="11">
        <v>9955132</v>
      </c>
      <c r="HD88" s="11">
        <v>0</v>
      </c>
      <c r="HE88" s="11">
        <v>11417051.199999999</v>
      </c>
      <c r="HF88" s="11">
        <v>691053</v>
      </c>
      <c r="HG88" s="11">
        <v>693125</v>
      </c>
      <c r="HH88" s="11">
        <v>827865.87</v>
      </c>
      <c r="HI88" s="11">
        <v>847001.8</v>
      </c>
      <c r="HJ88" s="11">
        <v>546489.52</v>
      </c>
      <c r="HK88" s="11">
        <v>1097487.56</v>
      </c>
      <c r="HL88" s="11">
        <v>2746596.5</v>
      </c>
      <c r="HM88" s="11">
        <v>1231909</v>
      </c>
      <c r="HN88" s="11">
        <v>988405</v>
      </c>
      <c r="HO88" s="11">
        <v>379694.5</v>
      </c>
      <c r="HP88" s="11">
        <v>258035</v>
      </c>
      <c r="HQ88" s="11">
        <v>4272725.25</v>
      </c>
      <c r="HR88" s="11">
        <v>897513.05</v>
      </c>
      <c r="HS88" s="11">
        <v>637071.5</v>
      </c>
      <c r="HT88" s="11">
        <v>4059771.5</v>
      </c>
      <c r="HU88" s="11">
        <v>1644310.9</v>
      </c>
      <c r="HV88" s="11">
        <v>654856.93999999994</v>
      </c>
      <c r="HW88" s="11">
        <v>868927</v>
      </c>
      <c r="HX88" s="11">
        <v>2937733.2</v>
      </c>
      <c r="HY88" s="11">
        <v>550559.96</v>
      </c>
      <c r="HZ88" s="11">
        <v>314771.33</v>
      </c>
      <c r="IA88" s="11">
        <v>1187721</v>
      </c>
      <c r="IB88" s="11">
        <v>1103643</v>
      </c>
      <c r="IC88" s="11">
        <v>80463.899999999994</v>
      </c>
      <c r="ID88" s="11">
        <v>1078125.3500000001</v>
      </c>
      <c r="IE88" s="11">
        <v>751459.75</v>
      </c>
      <c r="IF88" s="11">
        <v>1718598</v>
      </c>
      <c r="IG88" s="11">
        <v>624077.31000000006</v>
      </c>
      <c r="IH88" s="11">
        <v>202060</v>
      </c>
      <c r="II88" s="11">
        <v>0</v>
      </c>
      <c r="IJ88" s="11">
        <v>9581.7000000000007</v>
      </c>
      <c r="IK88" s="11">
        <v>300</v>
      </c>
      <c r="IL88" s="11">
        <v>654864.11</v>
      </c>
      <c r="IM88" s="11">
        <v>314318</v>
      </c>
      <c r="IN88" s="11">
        <v>220210.4</v>
      </c>
      <c r="IO88" s="11">
        <v>188565</v>
      </c>
      <c r="IP88" s="11">
        <v>171088.78</v>
      </c>
      <c r="IQ88" s="11">
        <v>355499</v>
      </c>
      <c r="IR88" s="11">
        <v>482462.88</v>
      </c>
      <c r="IS88" s="11">
        <v>303830</v>
      </c>
      <c r="IT88" s="11"/>
      <c r="IU88" s="11">
        <v>513574</v>
      </c>
      <c r="IV88" s="11">
        <v>85755</v>
      </c>
      <c r="IW88" s="11">
        <v>463940.75</v>
      </c>
      <c r="IX88" s="11">
        <v>1598643.3</v>
      </c>
      <c r="IY88" s="11">
        <v>44120.5</v>
      </c>
      <c r="IZ88" s="11">
        <v>473475</v>
      </c>
      <c r="JA88" s="11">
        <v>24580</v>
      </c>
      <c r="JB88" s="11">
        <v>165085</v>
      </c>
      <c r="JC88" s="11">
        <v>278779</v>
      </c>
      <c r="JD88" s="11">
        <v>53554</v>
      </c>
      <c r="JE88" s="11">
        <v>1510321</v>
      </c>
      <c r="JF88" s="11">
        <v>1040</v>
      </c>
      <c r="JG88" s="11">
        <v>5093729</v>
      </c>
      <c r="JH88" s="11">
        <v>167653</v>
      </c>
      <c r="JI88" s="11">
        <v>342693</v>
      </c>
      <c r="JJ88" s="11">
        <v>4935</v>
      </c>
      <c r="JK88" s="11">
        <v>94581.83</v>
      </c>
      <c r="JL88" s="11">
        <v>2254563.4300000002</v>
      </c>
      <c r="JM88" s="11">
        <v>94962</v>
      </c>
      <c r="JN88" s="11">
        <v>360303.6</v>
      </c>
      <c r="JO88" s="11">
        <v>3005682.5</v>
      </c>
      <c r="JP88" s="11">
        <v>1946925.6</v>
      </c>
      <c r="JQ88" s="11">
        <v>246692.93</v>
      </c>
      <c r="JR88" s="11">
        <v>713280.7</v>
      </c>
      <c r="JS88" s="11">
        <v>1967647.22</v>
      </c>
      <c r="JT88" s="11">
        <v>37185</v>
      </c>
      <c r="JU88" s="11">
        <v>170785.4</v>
      </c>
      <c r="JV88" s="11">
        <v>49885</v>
      </c>
      <c r="JW88" s="11">
        <v>218588.25</v>
      </c>
      <c r="JX88" s="11"/>
      <c r="JY88" s="11">
        <v>748939.5</v>
      </c>
      <c r="JZ88" s="11">
        <v>413012.5</v>
      </c>
      <c r="KA88" s="11">
        <v>263655</v>
      </c>
      <c r="KB88" s="11">
        <v>938913.56</v>
      </c>
      <c r="KC88" s="11">
        <v>0</v>
      </c>
      <c r="KD88" s="11">
        <v>459823.12</v>
      </c>
      <c r="KE88" s="11">
        <v>14995</v>
      </c>
      <c r="KF88" s="11">
        <v>800</v>
      </c>
      <c r="KG88" s="11">
        <v>21697</v>
      </c>
      <c r="KH88" s="11">
        <v>29625</v>
      </c>
      <c r="KI88" s="11">
        <v>6499015</v>
      </c>
      <c r="KJ88" s="11">
        <v>1102094.5</v>
      </c>
      <c r="KK88" s="11">
        <v>86086.85</v>
      </c>
      <c r="KL88" s="11">
        <v>398467.57</v>
      </c>
      <c r="KM88" s="11">
        <v>44575</v>
      </c>
      <c r="KN88" s="11">
        <v>3000</v>
      </c>
      <c r="KO88" s="11">
        <v>2871798.21</v>
      </c>
      <c r="KP88" s="11">
        <v>158551</v>
      </c>
      <c r="KQ88" s="11">
        <v>198982.76</v>
      </c>
      <c r="KR88" s="11">
        <v>4284296.5999999996</v>
      </c>
      <c r="KS88" s="11">
        <v>160326.75</v>
      </c>
      <c r="KT88" s="11">
        <v>1030819.5</v>
      </c>
      <c r="KU88" s="11">
        <v>1521890.51</v>
      </c>
      <c r="KV88" s="11">
        <v>583963.5</v>
      </c>
      <c r="KW88" s="11">
        <v>3290636</v>
      </c>
      <c r="KX88" s="11">
        <v>2064515.1</v>
      </c>
      <c r="KY88" s="11">
        <v>358524.8</v>
      </c>
      <c r="KZ88" s="11">
        <v>1779911</v>
      </c>
      <c r="LA88" s="11">
        <v>836653</v>
      </c>
      <c r="LB88" s="11">
        <v>230241.3</v>
      </c>
      <c r="LC88" s="11">
        <v>29859.23</v>
      </c>
      <c r="LD88" s="11">
        <v>416849</v>
      </c>
      <c r="LE88" s="11">
        <v>1403099.6</v>
      </c>
      <c r="LF88" s="11">
        <v>1325588.25</v>
      </c>
      <c r="LG88" s="11">
        <v>163760</v>
      </c>
      <c r="LH88" s="11">
        <v>20472297</v>
      </c>
      <c r="LI88" s="11">
        <v>1481450</v>
      </c>
      <c r="LJ88" s="11">
        <v>1014610.5</v>
      </c>
      <c r="LK88" s="11">
        <v>1122230</v>
      </c>
      <c r="LL88" s="11">
        <v>688367.67</v>
      </c>
      <c r="LM88" s="11">
        <v>1233375.56</v>
      </c>
      <c r="LN88" s="11">
        <v>3606</v>
      </c>
      <c r="LO88" s="11">
        <v>409865</v>
      </c>
      <c r="LP88" s="11">
        <v>-12708</v>
      </c>
      <c r="LQ88" s="11">
        <v>2750334</v>
      </c>
      <c r="LR88" s="11">
        <v>112321.7</v>
      </c>
      <c r="LS88" s="11">
        <v>1306064.7</v>
      </c>
      <c r="LT88" s="11">
        <v>88000</v>
      </c>
      <c r="LU88" s="11">
        <v>73992</v>
      </c>
      <c r="LV88" s="11">
        <v>1592912.5</v>
      </c>
      <c r="LW88" s="11">
        <v>3827238.9</v>
      </c>
      <c r="LX88" s="11">
        <v>1531661.5</v>
      </c>
      <c r="LY88" s="11">
        <v>88800</v>
      </c>
      <c r="LZ88" s="11">
        <v>122386.6</v>
      </c>
      <c r="MA88" s="11">
        <v>245235</v>
      </c>
      <c r="MB88" s="11">
        <v>287593.8</v>
      </c>
      <c r="MC88" s="11">
        <v>468733.01</v>
      </c>
      <c r="MD88" s="11">
        <v>108656.2</v>
      </c>
      <c r="ME88" s="11">
        <v>236764.5</v>
      </c>
      <c r="MF88" s="11">
        <v>1561815</v>
      </c>
      <c r="MG88" s="11">
        <v>370569.3</v>
      </c>
      <c r="MH88" s="11">
        <v>6970481</v>
      </c>
      <c r="MI88" s="11">
        <v>79683</v>
      </c>
      <c r="MJ88" s="11">
        <v>729505.5</v>
      </c>
      <c r="MK88" s="11">
        <v>25250</v>
      </c>
      <c r="ML88" s="11">
        <v>1289718.6000000001</v>
      </c>
      <c r="MM88" s="11">
        <v>1365405</v>
      </c>
      <c r="MN88" s="11">
        <v>241807</v>
      </c>
      <c r="MO88" s="11">
        <v>190520.4</v>
      </c>
      <c r="MP88" s="11">
        <v>545101.4</v>
      </c>
      <c r="MQ88" s="11">
        <v>270661.5</v>
      </c>
      <c r="MR88" s="11">
        <v>814087</v>
      </c>
      <c r="MS88" s="11">
        <v>446271</v>
      </c>
      <c r="MT88" s="11">
        <v>945885</v>
      </c>
      <c r="MU88" s="11">
        <v>267115</v>
      </c>
      <c r="MV88" s="11">
        <v>374038.5</v>
      </c>
      <c r="MW88" s="11">
        <v>1044639.9</v>
      </c>
      <c r="MX88" s="11">
        <v>1745795.3</v>
      </c>
      <c r="MY88" s="11">
        <v>273274</v>
      </c>
      <c r="MZ88" s="11">
        <v>3439225.73</v>
      </c>
      <c r="NA88" s="11">
        <v>5146031.68</v>
      </c>
      <c r="NB88" s="11">
        <v>242194.85</v>
      </c>
      <c r="NC88" s="11">
        <v>507795.6</v>
      </c>
      <c r="ND88" s="11">
        <v>10440</v>
      </c>
      <c r="NE88" s="11">
        <v>6126720</v>
      </c>
      <c r="NF88" s="11">
        <v>290682.5</v>
      </c>
      <c r="NG88" s="11">
        <v>102800</v>
      </c>
      <c r="NH88" s="11">
        <v>2802145</v>
      </c>
      <c r="NI88" s="11">
        <v>220430</v>
      </c>
      <c r="NJ88" s="11">
        <v>1798067.19</v>
      </c>
      <c r="NK88" s="11">
        <v>1886310.9</v>
      </c>
      <c r="NL88" s="11">
        <v>4025327.35</v>
      </c>
      <c r="NM88" s="11">
        <v>3194</v>
      </c>
      <c r="NN88" s="11">
        <v>193505</v>
      </c>
      <c r="NO88" s="11">
        <v>316107.59999999998</v>
      </c>
      <c r="NP88" s="11">
        <v>1662990</v>
      </c>
      <c r="NQ88" s="11">
        <v>768245</v>
      </c>
      <c r="NR88" s="11">
        <v>3090</v>
      </c>
      <c r="NS88" s="11">
        <v>698969.79</v>
      </c>
      <c r="NT88" s="11">
        <v>627250.30000000005</v>
      </c>
      <c r="NU88" s="11">
        <v>84795</v>
      </c>
      <c r="NV88" s="11">
        <v>102758.6</v>
      </c>
      <c r="NW88" s="11">
        <v>30606</v>
      </c>
      <c r="NX88" s="11">
        <v>1608540</v>
      </c>
      <c r="NY88" s="11">
        <v>1955370</v>
      </c>
      <c r="NZ88" s="11">
        <v>22497.25</v>
      </c>
      <c r="OA88" s="11">
        <v>85525.5</v>
      </c>
      <c r="OB88" s="11">
        <v>6500</v>
      </c>
      <c r="OC88" s="11">
        <v>253407.5</v>
      </c>
      <c r="OD88" s="11">
        <v>271068.28000000003</v>
      </c>
      <c r="OE88" s="11">
        <v>0</v>
      </c>
      <c r="OF88" s="11">
        <v>3309051.14</v>
      </c>
      <c r="OG88" s="11">
        <v>297291.05</v>
      </c>
      <c r="OH88" s="11">
        <v>1364916.65</v>
      </c>
      <c r="OI88" s="11">
        <v>249365</v>
      </c>
      <c r="OJ88" s="11">
        <v>70940</v>
      </c>
      <c r="OK88" s="11">
        <v>1339473.05</v>
      </c>
      <c r="OL88" s="11">
        <v>974156</v>
      </c>
      <c r="OM88" s="11"/>
      <c r="ON88" s="11">
        <v>460190</v>
      </c>
      <c r="OO88" s="11">
        <v>5324418.7300000004</v>
      </c>
      <c r="OP88" s="11">
        <v>2662250.4</v>
      </c>
      <c r="OQ88" s="11">
        <v>692926.3</v>
      </c>
      <c r="OR88" s="11">
        <v>933525</v>
      </c>
      <c r="OS88" s="11">
        <v>2373942.6</v>
      </c>
      <c r="OT88" s="11">
        <v>635575</v>
      </c>
      <c r="OU88" s="11">
        <v>526759.22</v>
      </c>
      <c r="OV88" s="11">
        <v>142197</v>
      </c>
      <c r="OW88" s="11">
        <v>855052</v>
      </c>
      <c r="OX88" s="11">
        <v>185983.9</v>
      </c>
      <c r="OY88" s="11">
        <v>546847.94999999995</v>
      </c>
      <c r="OZ88" s="11">
        <v>192145.1</v>
      </c>
      <c r="PA88" s="11">
        <v>35811</v>
      </c>
      <c r="PB88" s="11">
        <v>106521.1</v>
      </c>
      <c r="PC88" s="11">
        <v>1736098.5</v>
      </c>
      <c r="PD88" s="11">
        <v>293996.05</v>
      </c>
      <c r="PE88" s="11">
        <v>1009913.5</v>
      </c>
      <c r="PF88" s="11">
        <v>280159</v>
      </c>
      <c r="PG88" s="11">
        <v>652643.65</v>
      </c>
      <c r="PH88" s="11">
        <v>785172.45</v>
      </c>
      <c r="PI88" s="11">
        <v>52954.400000000001</v>
      </c>
      <c r="PJ88" s="11">
        <v>467660.05</v>
      </c>
      <c r="PK88" s="11">
        <v>115306.5</v>
      </c>
      <c r="PL88" s="11">
        <v>528328</v>
      </c>
      <c r="PM88" s="11">
        <v>311672</v>
      </c>
      <c r="PN88" s="11">
        <v>1934766</v>
      </c>
      <c r="PO88" s="11">
        <v>543605</v>
      </c>
      <c r="PP88" s="11">
        <v>7581828</v>
      </c>
      <c r="PQ88" s="11">
        <v>2120138.7000000002</v>
      </c>
      <c r="PR88" s="11">
        <v>150050</v>
      </c>
      <c r="PS88" s="11">
        <v>27270</v>
      </c>
      <c r="PT88" s="11">
        <v>39905</v>
      </c>
      <c r="PU88" s="11">
        <v>1649148</v>
      </c>
      <c r="PV88" s="11">
        <v>2709544.6</v>
      </c>
      <c r="PW88" s="11"/>
      <c r="PX88" s="11">
        <v>1279241.8</v>
      </c>
      <c r="PY88" s="11">
        <v>7875869.0499999998</v>
      </c>
      <c r="PZ88" s="11">
        <v>1345962.55</v>
      </c>
      <c r="QA88" s="11">
        <v>349410</v>
      </c>
      <c r="QB88" s="11">
        <v>29860.400000000001</v>
      </c>
      <c r="QC88" s="11">
        <v>2052788.3</v>
      </c>
      <c r="QD88" s="11">
        <v>219209.46</v>
      </c>
      <c r="QE88" s="11">
        <v>515036.35</v>
      </c>
      <c r="QF88" s="11">
        <v>297176.33</v>
      </c>
      <c r="QG88" s="11">
        <v>105727.23</v>
      </c>
      <c r="QH88" s="11">
        <v>193227.5</v>
      </c>
      <c r="QI88" s="11"/>
      <c r="QJ88" s="11">
        <v>33595</v>
      </c>
      <c r="QK88" s="11"/>
      <c r="QL88" s="11">
        <v>670075.19999999995</v>
      </c>
      <c r="QM88" s="11">
        <v>1028812</v>
      </c>
      <c r="QN88" s="11">
        <v>2399779</v>
      </c>
      <c r="QO88" s="11">
        <v>191199.8</v>
      </c>
      <c r="QP88" s="11">
        <v>272453.3</v>
      </c>
      <c r="QQ88" s="11">
        <v>21410</v>
      </c>
      <c r="QR88" s="11">
        <v>35630</v>
      </c>
      <c r="QS88" s="11">
        <v>156417.63</v>
      </c>
      <c r="QT88" s="11">
        <v>4530</v>
      </c>
      <c r="QU88" s="11">
        <v>4161560.2</v>
      </c>
      <c r="QV88" s="11">
        <v>182099.35</v>
      </c>
      <c r="QW88" s="11">
        <v>192387.59</v>
      </c>
      <c r="QX88" s="11">
        <v>161595</v>
      </c>
      <c r="QY88" s="11">
        <v>73030</v>
      </c>
      <c r="QZ88" s="11">
        <v>2117996.2999999998</v>
      </c>
      <c r="RA88" s="11">
        <v>408777.9</v>
      </c>
      <c r="RB88" s="11">
        <v>715242.6</v>
      </c>
      <c r="RC88" s="11">
        <v>309963</v>
      </c>
      <c r="RD88" s="11">
        <v>352742.65</v>
      </c>
      <c r="RE88" s="11">
        <v>56390</v>
      </c>
      <c r="RF88" s="11">
        <v>24107.5</v>
      </c>
      <c r="RG88" s="11">
        <v>29690</v>
      </c>
      <c r="RH88" s="11">
        <v>744065</v>
      </c>
      <c r="RI88" s="11">
        <v>2121150.4</v>
      </c>
      <c r="RJ88" s="11">
        <v>172070</v>
      </c>
      <c r="RK88" s="11">
        <v>293877.13</v>
      </c>
      <c r="RL88" s="11">
        <v>1119650</v>
      </c>
      <c r="RM88" s="11">
        <v>1595861.86</v>
      </c>
      <c r="RN88" s="11">
        <v>0</v>
      </c>
      <c r="RO88" s="11">
        <v>1142950</v>
      </c>
      <c r="RP88" s="11">
        <v>688282.5</v>
      </c>
      <c r="RQ88" s="11">
        <v>1248351.5</v>
      </c>
      <c r="RR88" s="11">
        <v>3349641.45</v>
      </c>
      <c r="RS88" s="11">
        <v>713464.07</v>
      </c>
      <c r="RT88" s="11">
        <v>515399</v>
      </c>
      <c r="RU88" s="11">
        <v>442460</v>
      </c>
      <c r="RV88" s="11">
        <v>2857239</v>
      </c>
      <c r="RW88" s="11">
        <v>605326</v>
      </c>
      <c r="RX88" s="11">
        <v>772973.85</v>
      </c>
      <c r="RY88" s="11">
        <v>123366.7</v>
      </c>
      <c r="RZ88" s="11">
        <v>244730</v>
      </c>
      <c r="SA88" s="11">
        <v>847469.9</v>
      </c>
      <c r="SB88" s="11">
        <v>2324128.92</v>
      </c>
      <c r="SC88" s="11">
        <v>56420</v>
      </c>
      <c r="SD88" s="11">
        <v>459373.2</v>
      </c>
      <c r="SE88" s="11">
        <v>1092640</v>
      </c>
      <c r="SF88" s="11">
        <v>129280</v>
      </c>
      <c r="SG88" s="11">
        <v>249524.79</v>
      </c>
      <c r="SH88" s="11">
        <v>657516.69999999995</v>
      </c>
      <c r="SI88" s="11">
        <v>2815622.76</v>
      </c>
      <c r="SJ88" s="11">
        <v>625622</v>
      </c>
      <c r="SK88" s="11">
        <v>51875</v>
      </c>
      <c r="SL88" s="11">
        <v>1717302</v>
      </c>
      <c r="SM88" s="11">
        <v>73980</v>
      </c>
      <c r="SN88" s="11">
        <v>4558106.4000000004</v>
      </c>
      <c r="SO88" s="11">
        <v>532695</v>
      </c>
      <c r="SP88" s="11">
        <v>289016</v>
      </c>
      <c r="SQ88" s="11">
        <v>592850.4</v>
      </c>
      <c r="SR88" s="11">
        <v>223071.5</v>
      </c>
      <c r="SS88" s="11">
        <v>289811</v>
      </c>
      <c r="ST88" s="11">
        <v>2279469.0499999998</v>
      </c>
      <c r="SU88" s="11">
        <v>229774</v>
      </c>
      <c r="SV88" s="11">
        <v>6392004</v>
      </c>
      <c r="SW88" s="11">
        <v>132848</v>
      </c>
      <c r="SX88" s="11">
        <v>52627.05</v>
      </c>
      <c r="SY88" s="11">
        <v>187123.55</v>
      </c>
      <c r="SZ88" s="11">
        <v>32795</v>
      </c>
      <c r="TA88" s="11">
        <v>36380</v>
      </c>
      <c r="TB88" s="11">
        <v>99420.14</v>
      </c>
      <c r="TC88" s="11">
        <v>1551630</v>
      </c>
      <c r="TD88" s="11">
        <v>424083.5</v>
      </c>
      <c r="TE88" s="11">
        <v>39817.300000000003</v>
      </c>
      <c r="TF88" s="11">
        <v>63711.5</v>
      </c>
      <c r="TG88" s="11">
        <v>2467163</v>
      </c>
      <c r="TH88" s="11">
        <v>9605</v>
      </c>
      <c r="TI88" s="11">
        <v>48113.599999999999</v>
      </c>
      <c r="TJ88" s="11">
        <v>15678561</v>
      </c>
      <c r="TK88" s="11">
        <v>97713.8</v>
      </c>
      <c r="TL88" s="11">
        <v>366679.5</v>
      </c>
      <c r="TM88" s="11">
        <v>858440.8</v>
      </c>
      <c r="TN88" s="11">
        <v>811015</v>
      </c>
      <c r="TO88" s="11">
        <v>604250</v>
      </c>
      <c r="TP88" s="11">
        <v>858560.36</v>
      </c>
      <c r="TQ88" s="11">
        <v>2465815.88</v>
      </c>
      <c r="TR88" s="11">
        <v>125060</v>
      </c>
      <c r="TS88" s="11">
        <v>826528.5</v>
      </c>
      <c r="TT88" s="11">
        <v>618297</v>
      </c>
      <c r="TU88" s="11">
        <v>534373</v>
      </c>
      <c r="TV88" s="11">
        <v>248830</v>
      </c>
      <c r="TW88" s="11">
        <v>539426</v>
      </c>
      <c r="TX88" s="11">
        <v>277530</v>
      </c>
      <c r="TY88" s="11">
        <v>184265</v>
      </c>
      <c r="TZ88" s="11">
        <v>3424865</v>
      </c>
      <c r="UA88" s="11">
        <v>148609.1</v>
      </c>
      <c r="UB88" s="11">
        <v>4176665.2</v>
      </c>
      <c r="UC88" s="11">
        <v>2098382.7000000002</v>
      </c>
      <c r="UD88" s="11">
        <v>826416</v>
      </c>
      <c r="UE88" s="11">
        <v>48587.5</v>
      </c>
      <c r="UF88" s="11">
        <v>10463790</v>
      </c>
      <c r="UG88" s="11">
        <v>387511.21</v>
      </c>
      <c r="UH88" s="11">
        <v>631190</v>
      </c>
      <c r="UI88" s="11">
        <v>763401.52</v>
      </c>
      <c r="UJ88" s="11">
        <v>299081</v>
      </c>
      <c r="UK88" s="11">
        <v>5311582.87</v>
      </c>
      <c r="UL88" s="11">
        <v>464333.25</v>
      </c>
      <c r="UM88" s="11">
        <v>587895.9</v>
      </c>
      <c r="UN88" s="11">
        <v>3543260</v>
      </c>
      <c r="UO88" s="11">
        <v>474223.5</v>
      </c>
      <c r="UP88" s="11">
        <v>1826882.5</v>
      </c>
      <c r="UQ88" s="11">
        <v>13509665.1</v>
      </c>
      <c r="UR88" s="11">
        <v>794945.8</v>
      </c>
      <c r="US88" s="11">
        <v>1379653</v>
      </c>
      <c r="UT88" s="11">
        <v>4195682.6399999997</v>
      </c>
      <c r="UU88" s="11">
        <v>46395</v>
      </c>
      <c r="UV88" s="11">
        <v>2263383.2999999998</v>
      </c>
      <c r="UW88" s="11">
        <v>1888215</v>
      </c>
      <c r="UX88" s="11">
        <v>1042524.27</v>
      </c>
      <c r="UY88" s="11">
        <v>868062.55</v>
      </c>
      <c r="UZ88" s="11">
        <v>3161675</v>
      </c>
      <c r="VA88" s="11">
        <v>577897</v>
      </c>
      <c r="VB88" s="11">
        <v>2898424.1</v>
      </c>
      <c r="VC88" s="11">
        <v>426330</v>
      </c>
      <c r="VD88" s="11">
        <v>1738374</v>
      </c>
      <c r="VE88" s="11">
        <v>971341.6</v>
      </c>
      <c r="VF88" s="11">
        <v>1171052</v>
      </c>
      <c r="VG88" s="11">
        <v>144355</v>
      </c>
      <c r="VH88" s="11">
        <v>476389.5</v>
      </c>
      <c r="VI88" s="11">
        <v>2086163</v>
      </c>
      <c r="VJ88" s="11">
        <v>822295</v>
      </c>
      <c r="VK88" s="11">
        <v>341131</v>
      </c>
      <c r="VL88" s="11">
        <v>84595</v>
      </c>
      <c r="VM88" s="11">
        <v>8055046</v>
      </c>
      <c r="VN88" s="11">
        <v>96262</v>
      </c>
      <c r="VO88" s="11">
        <v>819915.49</v>
      </c>
      <c r="VP88" s="11">
        <v>47895</v>
      </c>
      <c r="VQ88" s="11">
        <v>855321.76</v>
      </c>
      <c r="VR88" s="11">
        <v>616415</v>
      </c>
      <c r="VS88" s="11">
        <v>3720</v>
      </c>
      <c r="VT88" s="11">
        <v>102629</v>
      </c>
      <c r="VU88" s="11">
        <v>1200</v>
      </c>
      <c r="VV88" s="11">
        <v>1552580</v>
      </c>
      <c r="VW88" s="11">
        <v>150805</v>
      </c>
      <c r="VX88" s="11">
        <v>383262.45</v>
      </c>
      <c r="VY88" s="11">
        <v>871827.68</v>
      </c>
      <c r="VZ88" s="11">
        <v>101523</v>
      </c>
      <c r="WA88" s="11">
        <v>69753</v>
      </c>
      <c r="WB88" s="11"/>
      <c r="WC88" s="11">
        <v>221235</v>
      </c>
      <c r="WD88" s="11">
        <v>42015</v>
      </c>
      <c r="WE88" s="11">
        <v>325131.89</v>
      </c>
      <c r="WF88" s="11">
        <v>0</v>
      </c>
      <c r="WG88" s="11">
        <v>661502</v>
      </c>
      <c r="WH88" s="11">
        <v>2117134</v>
      </c>
      <c r="WI88" s="11">
        <v>208892</v>
      </c>
      <c r="WJ88" s="11">
        <v>709256</v>
      </c>
      <c r="WK88" s="11">
        <v>397142</v>
      </c>
      <c r="WL88" s="11">
        <v>0</v>
      </c>
      <c r="WM88" s="11">
        <v>1315373</v>
      </c>
      <c r="WN88" s="11">
        <v>1429260.91</v>
      </c>
      <c r="WO88" s="11">
        <v>1894561</v>
      </c>
      <c r="WP88" s="11">
        <v>1724152.1</v>
      </c>
      <c r="WQ88" s="11">
        <v>341295</v>
      </c>
      <c r="WR88" s="11">
        <v>900</v>
      </c>
      <c r="WS88" s="11">
        <v>3068516</v>
      </c>
      <c r="WT88" s="11">
        <v>128580</v>
      </c>
      <c r="WU88" s="11">
        <v>707111.45</v>
      </c>
      <c r="WV88" s="11">
        <v>1740649</v>
      </c>
      <c r="WW88" s="11">
        <v>1657247</v>
      </c>
      <c r="WX88" s="11">
        <v>313904</v>
      </c>
      <c r="WY88" s="11">
        <v>218741.26</v>
      </c>
      <c r="WZ88" s="11">
        <v>245458</v>
      </c>
      <c r="XA88" s="11">
        <v>43526.53</v>
      </c>
      <c r="XB88" s="11">
        <v>55932</v>
      </c>
      <c r="XC88" s="11">
        <v>190314</v>
      </c>
      <c r="XD88" s="11">
        <v>2374761</v>
      </c>
      <c r="XE88" s="11">
        <v>359030</v>
      </c>
      <c r="XF88" s="11">
        <v>29910</v>
      </c>
      <c r="XG88" s="11">
        <v>14942</v>
      </c>
      <c r="XH88" s="11">
        <v>176151</v>
      </c>
      <c r="XI88" s="11">
        <v>16858051.199999999</v>
      </c>
      <c r="XJ88" s="11">
        <v>232985</v>
      </c>
      <c r="XK88" s="11">
        <v>213820.5</v>
      </c>
      <c r="XL88" s="11">
        <v>10226376.949999999</v>
      </c>
      <c r="XM88" s="11">
        <v>435732</v>
      </c>
      <c r="XN88" s="11">
        <v>299775</v>
      </c>
      <c r="XO88" s="11">
        <v>365803</v>
      </c>
      <c r="XP88" s="11">
        <v>91087.5</v>
      </c>
      <c r="XQ88" s="11">
        <v>79745</v>
      </c>
      <c r="XR88" s="11">
        <v>660327.5</v>
      </c>
      <c r="XS88" s="11">
        <v>370830</v>
      </c>
      <c r="XT88" s="11">
        <v>189865</v>
      </c>
      <c r="XU88" s="11">
        <v>69337.5</v>
      </c>
      <c r="XV88" s="11">
        <v>115803.5</v>
      </c>
      <c r="XW88" s="11">
        <v>45860</v>
      </c>
      <c r="XX88" s="11">
        <v>168322</v>
      </c>
      <c r="XY88" s="11">
        <v>83965</v>
      </c>
      <c r="XZ88" s="11">
        <v>172340</v>
      </c>
      <c r="YA88" s="11">
        <v>41524</v>
      </c>
      <c r="YB88" s="11">
        <v>24620</v>
      </c>
      <c r="YC88" s="11">
        <v>39255</v>
      </c>
      <c r="YD88" s="11">
        <v>71137.98</v>
      </c>
      <c r="YE88" s="11">
        <v>82625</v>
      </c>
      <c r="YF88" s="11">
        <v>0</v>
      </c>
      <c r="YG88" s="11">
        <v>134406</v>
      </c>
      <c r="YH88" s="11">
        <v>674675</v>
      </c>
      <c r="YI88" s="11">
        <v>118640</v>
      </c>
      <c r="YJ88" s="11">
        <v>4291843.46</v>
      </c>
      <c r="YK88" s="11">
        <v>0</v>
      </c>
      <c r="YL88" s="11">
        <v>976769</v>
      </c>
      <c r="YM88" s="11">
        <v>18058</v>
      </c>
      <c r="YN88" s="11">
        <v>238450</v>
      </c>
      <c r="YO88" s="11">
        <v>1590441</v>
      </c>
      <c r="YP88" s="11">
        <v>39404</v>
      </c>
      <c r="YQ88" s="11">
        <v>296130</v>
      </c>
      <c r="YR88" s="11">
        <v>838520</v>
      </c>
      <c r="YS88" s="11">
        <v>135271</v>
      </c>
      <c r="YT88" s="11">
        <v>88595</v>
      </c>
      <c r="YU88" s="11">
        <v>268070</v>
      </c>
      <c r="YV88" s="11">
        <v>0</v>
      </c>
      <c r="YW88" s="11">
        <v>628653</v>
      </c>
      <c r="YX88" s="11">
        <v>161185</v>
      </c>
      <c r="YY88" s="11">
        <v>579783.06999999995</v>
      </c>
      <c r="YZ88" s="11">
        <v>113795</v>
      </c>
      <c r="ZA88" s="11">
        <v>300935.7</v>
      </c>
      <c r="ZB88" s="11">
        <v>2422.5</v>
      </c>
      <c r="ZC88" s="11">
        <v>115182</v>
      </c>
      <c r="ZD88" s="11">
        <v>210990</v>
      </c>
      <c r="ZE88" s="11">
        <v>64640</v>
      </c>
      <c r="ZF88" s="11">
        <v>145516.20000000001</v>
      </c>
      <c r="ZG88" s="11">
        <v>160293.20000000001</v>
      </c>
      <c r="ZH88" s="11">
        <v>114362.2</v>
      </c>
      <c r="ZI88" s="11">
        <v>113385</v>
      </c>
      <c r="ZJ88" s="11">
        <v>154032</v>
      </c>
      <c r="ZK88" s="11">
        <v>173850.52</v>
      </c>
      <c r="ZL88" s="11">
        <v>1191975</v>
      </c>
      <c r="ZM88" s="11">
        <v>3948060</v>
      </c>
      <c r="ZN88" s="11">
        <v>142680</v>
      </c>
      <c r="ZO88" s="11">
        <v>1735356.2</v>
      </c>
      <c r="ZP88" s="11">
        <v>1550805</v>
      </c>
      <c r="ZQ88" s="11">
        <v>1031910</v>
      </c>
      <c r="ZR88" s="11">
        <v>449177.4</v>
      </c>
      <c r="ZS88" s="11">
        <v>21810</v>
      </c>
      <c r="ZT88" s="11">
        <v>693624.35</v>
      </c>
      <c r="ZU88" s="11">
        <v>256473</v>
      </c>
      <c r="ZV88" s="11">
        <v>6553389.5</v>
      </c>
      <c r="ZW88" s="11">
        <v>374135</v>
      </c>
      <c r="ZX88" s="11">
        <v>63025.15</v>
      </c>
      <c r="ZY88" s="11">
        <v>156883.4</v>
      </c>
      <c r="ZZ88" s="11">
        <v>225590</v>
      </c>
      <c r="AAA88" s="11">
        <v>1843370</v>
      </c>
      <c r="AAB88" s="11">
        <v>507329</v>
      </c>
      <c r="AAC88" s="11">
        <v>267610</v>
      </c>
      <c r="AAD88" s="11">
        <v>15232.6</v>
      </c>
      <c r="AAE88" s="11">
        <v>454477.8</v>
      </c>
      <c r="AAF88" s="11">
        <v>122089.92</v>
      </c>
      <c r="AAG88" s="11">
        <v>211682.4</v>
      </c>
      <c r="AAH88" s="11">
        <v>63974</v>
      </c>
      <c r="AAI88" s="11">
        <v>2028570.5</v>
      </c>
      <c r="AAJ88" s="11">
        <v>296501</v>
      </c>
      <c r="AAK88" s="11">
        <v>198670</v>
      </c>
      <c r="AAL88" s="11">
        <v>84120</v>
      </c>
      <c r="AAM88" s="11">
        <v>34686.9</v>
      </c>
      <c r="AAN88" s="11">
        <v>722732</v>
      </c>
      <c r="AAO88" s="11">
        <v>69967</v>
      </c>
      <c r="AAP88" s="11">
        <v>2159660</v>
      </c>
      <c r="AAQ88" s="11">
        <v>94481.4</v>
      </c>
      <c r="AAR88" s="11">
        <v>503493.65</v>
      </c>
      <c r="AAS88" s="11">
        <v>298619</v>
      </c>
      <c r="AAT88" s="11">
        <v>296726.5</v>
      </c>
      <c r="AAU88" s="11">
        <v>192190</v>
      </c>
      <c r="AAV88" s="11">
        <v>134555</v>
      </c>
      <c r="AAW88" s="11">
        <v>18379.8</v>
      </c>
      <c r="AAX88" s="11">
        <v>1493580.95</v>
      </c>
      <c r="AAY88" s="11">
        <v>139955</v>
      </c>
      <c r="AAZ88" s="11">
        <v>269443.3</v>
      </c>
      <c r="ABA88" s="11">
        <v>2807555</v>
      </c>
      <c r="ABB88" s="11">
        <v>431931.65</v>
      </c>
      <c r="ABC88" s="11">
        <v>15575.65</v>
      </c>
      <c r="ABD88" s="11">
        <v>240035</v>
      </c>
      <c r="ABE88" s="11">
        <v>284745.7</v>
      </c>
      <c r="ABF88" s="11">
        <v>125906.2</v>
      </c>
      <c r="ABG88" s="11">
        <v>91355</v>
      </c>
      <c r="ABH88" s="11">
        <v>372234.7</v>
      </c>
      <c r="ABI88" s="11">
        <v>1896747</v>
      </c>
      <c r="ABJ88" s="11">
        <v>1678391.3</v>
      </c>
      <c r="ABK88" s="11">
        <v>221020</v>
      </c>
      <c r="ABL88" s="11">
        <v>0</v>
      </c>
      <c r="ABM88" s="11">
        <v>28500</v>
      </c>
      <c r="ABN88" s="11">
        <v>474249</v>
      </c>
      <c r="ABO88" s="11">
        <v>152607.5</v>
      </c>
      <c r="ABP88" s="11">
        <v>3495055.44</v>
      </c>
      <c r="ABQ88" s="11">
        <v>207924</v>
      </c>
      <c r="ABR88" s="11">
        <v>50370.1</v>
      </c>
      <c r="ABS88" s="11">
        <v>141290.25</v>
      </c>
      <c r="ABT88" s="11">
        <v>335894.96</v>
      </c>
      <c r="ABU88" s="11">
        <v>2313230.29</v>
      </c>
      <c r="ABV88" s="11">
        <v>63610</v>
      </c>
      <c r="ABW88" s="11">
        <v>1313516.2</v>
      </c>
      <c r="ABX88" s="11">
        <v>660792</v>
      </c>
      <c r="ABY88" s="11">
        <v>86556.95</v>
      </c>
      <c r="ABZ88" s="11">
        <v>-33823.769999999997</v>
      </c>
      <c r="ACA88" s="11">
        <v>359094.69</v>
      </c>
      <c r="ACB88" s="11">
        <v>296862.86</v>
      </c>
      <c r="ACC88" s="11">
        <v>114538.91</v>
      </c>
      <c r="ACD88" s="11">
        <v>2968003.32</v>
      </c>
      <c r="ACE88" s="11">
        <v>-461481.2</v>
      </c>
      <c r="ACF88" s="11">
        <v>754673.29</v>
      </c>
      <c r="ACG88" s="11">
        <v>346757.9</v>
      </c>
      <c r="ACH88" s="11">
        <v>819596.56</v>
      </c>
      <c r="ACI88" s="11">
        <v>378856.15</v>
      </c>
      <c r="ACJ88" s="11">
        <v>624256</v>
      </c>
      <c r="ACK88" s="11">
        <v>38654</v>
      </c>
      <c r="ACL88" s="11">
        <v>437759.18</v>
      </c>
      <c r="ACM88" s="11">
        <v>387176</v>
      </c>
      <c r="ACN88" s="11">
        <v>205430</v>
      </c>
      <c r="ACO88" s="11">
        <v>260190</v>
      </c>
      <c r="ACP88" s="11"/>
      <c r="ACQ88" s="11">
        <v>1761274.05</v>
      </c>
      <c r="ACR88" s="11">
        <v>1284220</v>
      </c>
      <c r="ACS88" s="11">
        <v>96544</v>
      </c>
      <c r="ACT88" s="11">
        <v>689118</v>
      </c>
      <c r="ACU88" s="11">
        <v>124210</v>
      </c>
      <c r="ACV88" s="11"/>
      <c r="ACW88" s="11">
        <v>512270</v>
      </c>
      <c r="ACX88" s="11"/>
      <c r="ACY88" s="11">
        <v>125581.81</v>
      </c>
      <c r="ACZ88" s="11">
        <v>177597.5</v>
      </c>
      <c r="ADA88" s="11">
        <v>556564</v>
      </c>
      <c r="ADB88" s="11">
        <v>866763.7</v>
      </c>
      <c r="ADC88" s="11">
        <v>3710</v>
      </c>
      <c r="ADD88" s="11">
        <v>28980.05</v>
      </c>
      <c r="ADE88" s="11"/>
      <c r="ADF88" s="11"/>
      <c r="ADG88" s="11">
        <v>1551585</v>
      </c>
      <c r="ADH88" s="11">
        <v>1317997.6000000001</v>
      </c>
      <c r="ADI88" s="11">
        <v>-101594.8</v>
      </c>
      <c r="ADJ88" s="11">
        <v>2630953.25</v>
      </c>
      <c r="ADK88" s="11"/>
      <c r="ADL88" s="11">
        <v>398404.41</v>
      </c>
      <c r="ADM88" s="11">
        <v>2919081.28</v>
      </c>
      <c r="ADN88" s="11">
        <v>483827.5</v>
      </c>
      <c r="ADO88" s="11">
        <v>3207937.87</v>
      </c>
      <c r="ADP88" s="11"/>
      <c r="ADQ88" s="11"/>
      <c r="ADR88" s="11">
        <v>2977687.65</v>
      </c>
      <c r="ADS88" s="11">
        <v>726983.61</v>
      </c>
      <c r="ADT88" s="11">
        <v>4596317.8</v>
      </c>
      <c r="ADU88" s="11"/>
      <c r="ADV88" s="11">
        <v>1003957.02</v>
      </c>
      <c r="ADW88" s="11">
        <v>24257.97</v>
      </c>
      <c r="ADX88" s="11"/>
      <c r="ADY88" s="11">
        <v>560616.9</v>
      </c>
      <c r="ADZ88" s="11">
        <v>4368700</v>
      </c>
      <c r="AEA88" s="11">
        <v>1903174.8</v>
      </c>
      <c r="AEB88" s="11">
        <v>1299764.23</v>
      </c>
      <c r="AEC88" s="11">
        <v>815438.16</v>
      </c>
      <c r="AED88" s="11">
        <v>76999</v>
      </c>
      <c r="AEE88" s="11">
        <v>2752321.72</v>
      </c>
      <c r="AEF88" s="11">
        <v>944933</v>
      </c>
      <c r="AEG88" s="11">
        <v>2192078.4</v>
      </c>
      <c r="AEH88" s="11">
        <v>103859.05</v>
      </c>
      <c r="AEI88" s="11">
        <v>524204</v>
      </c>
      <c r="AEJ88" s="11">
        <v>1295267.3999999999</v>
      </c>
      <c r="AEK88" s="11">
        <v>132604.46</v>
      </c>
      <c r="AEL88" s="11">
        <v>288275</v>
      </c>
      <c r="AEM88" s="11">
        <v>5151576.4000000004</v>
      </c>
      <c r="AEN88" s="11">
        <v>645049.19999999995</v>
      </c>
      <c r="AEO88" s="11">
        <v>526662.1</v>
      </c>
      <c r="AEP88" s="11">
        <v>519160</v>
      </c>
      <c r="AEQ88" s="11">
        <v>304852</v>
      </c>
      <c r="AER88" s="11">
        <v>45257</v>
      </c>
      <c r="AES88" s="11">
        <v>95630</v>
      </c>
      <c r="AET88" s="11">
        <v>1815352.25</v>
      </c>
      <c r="AEU88" s="11">
        <v>526335.1</v>
      </c>
      <c r="AEV88" s="11">
        <v>1488211.77</v>
      </c>
      <c r="AEW88" s="11">
        <v>2649850</v>
      </c>
      <c r="AEX88" s="11">
        <v>1200460</v>
      </c>
      <c r="AEY88" s="11">
        <v>3534503</v>
      </c>
      <c r="AEZ88" s="11">
        <v>133266</v>
      </c>
      <c r="AFA88" s="11">
        <v>4352727.5</v>
      </c>
      <c r="AFB88" s="11">
        <v>2957165</v>
      </c>
      <c r="AFC88" s="11">
        <v>451456.3</v>
      </c>
      <c r="AFD88" s="11">
        <v>464880</v>
      </c>
      <c r="AFE88" s="11">
        <v>223403</v>
      </c>
      <c r="AFF88" s="11">
        <v>0</v>
      </c>
      <c r="AFG88" s="11"/>
      <c r="AFH88" s="11">
        <v>233203.25</v>
      </c>
      <c r="AFI88" s="11">
        <v>121377.5</v>
      </c>
      <c r="AFJ88" s="11">
        <v>103975.81</v>
      </c>
      <c r="AFK88" s="11">
        <v>184087.5</v>
      </c>
      <c r="AFL88" s="11">
        <v>702086</v>
      </c>
      <c r="AFM88" s="11">
        <v>1062170.98</v>
      </c>
      <c r="AFN88" s="11">
        <v>187673.75</v>
      </c>
      <c r="AFO88" s="11">
        <v>480814.91</v>
      </c>
      <c r="AFP88" s="11">
        <v>122363.56</v>
      </c>
      <c r="AFQ88" s="11">
        <v>4012631.2</v>
      </c>
      <c r="AFR88" s="11">
        <v>596806.89</v>
      </c>
      <c r="AFS88" s="11">
        <v>207866</v>
      </c>
      <c r="AFT88" s="11">
        <v>331945</v>
      </c>
      <c r="AFU88" s="11">
        <v>692347.79</v>
      </c>
      <c r="AFV88" s="11">
        <v>193410.6</v>
      </c>
      <c r="AFW88" s="11">
        <v>88145</v>
      </c>
      <c r="AFX88" s="11">
        <v>1352041</v>
      </c>
      <c r="AFY88" s="11">
        <v>340676.9</v>
      </c>
      <c r="AFZ88" s="11"/>
      <c r="AGA88" s="11">
        <v>732296.8</v>
      </c>
      <c r="AGB88" s="11">
        <v>401441</v>
      </c>
      <c r="AGC88" s="11">
        <v>783710</v>
      </c>
      <c r="AGD88" s="11">
        <v>170030</v>
      </c>
      <c r="AGE88" s="11">
        <v>1119232.46</v>
      </c>
      <c r="AGF88" s="11">
        <v>161896.4</v>
      </c>
      <c r="AGG88" s="11">
        <v>654496.9</v>
      </c>
      <c r="AGH88" s="11">
        <v>676831.13</v>
      </c>
      <c r="AGI88" s="11">
        <v>473866.6</v>
      </c>
      <c r="AGJ88" s="11">
        <v>1018435.32</v>
      </c>
      <c r="AGK88" s="11">
        <v>737331</v>
      </c>
      <c r="AGL88" s="11">
        <v>498057.67</v>
      </c>
      <c r="AGM88" s="11">
        <v>348020</v>
      </c>
      <c r="AGN88" s="11">
        <v>409814.98</v>
      </c>
      <c r="AGO88" s="11">
        <v>1061608.7</v>
      </c>
      <c r="AGP88" s="11">
        <v>114935</v>
      </c>
      <c r="AGQ88" s="11">
        <v>123063</v>
      </c>
      <c r="AGR88" s="11">
        <v>115361.5</v>
      </c>
      <c r="AGS88" s="11">
        <v>185712</v>
      </c>
      <c r="AGT88" s="11">
        <v>35726.800000000003</v>
      </c>
      <c r="AGU88" s="11">
        <v>116928.4</v>
      </c>
      <c r="AGV88" s="11">
        <v>570676</v>
      </c>
      <c r="AGW88" s="11">
        <v>2863488</v>
      </c>
      <c r="AGX88" s="11">
        <v>1474504.74</v>
      </c>
      <c r="AGY88" s="11">
        <v>453585</v>
      </c>
      <c r="AGZ88" s="11">
        <v>119434</v>
      </c>
      <c r="AHA88" s="11">
        <v>38201</v>
      </c>
      <c r="AHB88" s="11">
        <v>353847</v>
      </c>
      <c r="AHC88" s="11">
        <v>178078.9</v>
      </c>
      <c r="AHD88" s="11"/>
      <c r="AHE88" s="11">
        <v>1810164.32</v>
      </c>
      <c r="AHF88" s="11">
        <v>1504846.35</v>
      </c>
      <c r="AHG88" s="11">
        <v>1363848.07</v>
      </c>
      <c r="AHH88" s="11">
        <v>683408.52</v>
      </c>
      <c r="AHI88" s="11">
        <v>141237.82999999999</v>
      </c>
      <c r="AHJ88" s="11">
        <v>124994.53</v>
      </c>
      <c r="AHK88" s="11">
        <v>0</v>
      </c>
      <c r="AHL88" s="11">
        <v>621810.28</v>
      </c>
      <c r="AHM88" s="11">
        <v>8718059</v>
      </c>
      <c r="AHN88" s="11">
        <v>19930</v>
      </c>
      <c r="AHO88" s="11">
        <v>331312.40000000002</v>
      </c>
      <c r="AHP88" s="11">
        <v>150415</v>
      </c>
      <c r="AHQ88" s="11">
        <v>19250</v>
      </c>
      <c r="AHR88" s="11">
        <v>357575.39</v>
      </c>
      <c r="AHS88" s="11">
        <v>1729093</v>
      </c>
      <c r="AHT88" s="11">
        <v>887087698.53000021</v>
      </c>
      <c r="AHV88" s="269" t="s">
        <v>6278</v>
      </c>
      <c r="AHW88" s="269" t="s">
        <v>6117</v>
      </c>
      <c r="AHX88" s="269" t="s">
        <v>6118</v>
      </c>
    </row>
    <row r="89" spans="1:908" x14ac:dyDescent="0.7">
      <c r="A89" s="6" t="s">
        <v>6278</v>
      </c>
      <c r="B89" s="6" t="s">
        <v>6123</v>
      </c>
      <c r="C89" s="6" t="s">
        <v>6124</v>
      </c>
      <c r="D89" s="11"/>
      <c r="E89" s="11">
        <v>264600</v>
      </c>
      <c r="F89" s="11">
        <v>274900</v>
      </c>
      <c r="G89" s="11">
        <v>17600</v>
      </c>
      <c r="H89" s="11">
        <v>1418010</v>
      </c>
      <c r="I89" s="11">
        <v>48200</v>
      </c>
      <c r="J89" s="11"/>
      <c r="K89" s="11">
        <v>38800</v>
      </c>
      <c r="L89" s="11">
        <v>256200</v>
      </c>
      <c r="M89" s="11"/>
      <c r="N89" s="11"/>
      <c r="O89" s="11">
        <v>460200</v>
      </c>
      <c r="P89" s="11">
        <v>102150</v>
      </c>
      <c r="Q89" s="11"/>
      <c r="R89" s="11"/>
      <c r="S89" s="11"/>
      <c r="T89" s="11">
        <v>0</v>
      </c>
      <c r="U89" s="11"/>
      <c r="V89" s="11"/>
      <c r="W89" s="11">
        <v>2656620</v>
      </c>
      <c r="X89" s="11">
        <v>108900</v>
      </c>
      <c r="Y89" s="11">
        <v>15410</v>
      </c>
      <c r="Z89" s="11"/>
      <c r="AA89" s="11">
        <v>163000</v>
      </c>
      <c r="AB89" s="11">
        <v>261800</v>
      </c>
      <c r="AC89" s="11">
        <v>3288910</v>
      </c>
      <c r="AD89" s="11">
        <v>326910</v>
      </c>
      <c r="AE89" s="11">
        <v>45591.51</v>
      </c>
      <c r="AF89" s="11">
        <v>12641269.99</v>
      </c>
      <c r="AG89" s="11">
        <v>50650</v>
      </c>
      <c r="AH89" s="11">
        <v>1083350</v>
      </c>
      <c r="AI89" s="11">
        <v>596200</v>
      </c>
      <c r="AJ89" s="11">
        <v>644470</v>
      </c>
      <c r="AK89" s="11">
        <v>427600</v>
      </c>
      <c r="AL89" s="11"/>
      <c r="AM89" s="11">
        <v>87550</v>
      </c>
      <c r="AN89" s="11"/>
      <c r="AO89" s="11">
        <v>1298740</v>
      </c>
      <c r="AP89" s="11">
        <v>528740</v>
      </c>
      <c r="AQ89" s="11">
        <v>4800</v>
      </c>
      <c r="AR89" s="11">
        <v>297260</v>
      </c>
      <c r="AS89" s="11">
        <v>39000</v>
      </c>
      <c r="AT89" s="11"/>
      <c r="AU89" s="11">
        <v>40260</v>
      </c>
      <c r="AV89" s="11">
        <v>79640</v>
      </c>
      <c r="AW89" s="11">
        <v>0</v>
      </c>
      <c r="AX89" s="11">
        <v>265480</v>
      </c>
      <c r="AY89" s="11">
        <v>1582995</v>
      </c>
      <c r="AZ89" s="11">
        <v>14680</v>
      </c>
      <c r="BA89" s="11">
        <v>0</v>
      </c>
      <c r="BB89" s="11">
        <v>25360</v>
      </c>
      <c r="BC89" s="11">
        <v>47160</v>
      </c>
      <c r="BD89" s="11">
        <v>17800</v>
      </c>
      <c r="BE89" s="11">
        <v>106720</v>
      </c>
      <c r="BF89" s="11">
        <v>979379.99</v>
      </c>
      <c r="BG89" s="11">
        <v>20000</v>
      </c>
      <c r="BH89" s="11">
        <v>30000</v>
      </c>
      <c r="BI89" s="11">
        <v>4069899</v>
      </c>
      <c r="BJ89" s="11"/>
      <c r="BK89" s="11">
        <v>678499</v>
      </c>
      <c r="BL89" s="11">
        <v>90206</v>
      </c>
      <c r="BM89" s="11">
        <v>348600</v>
      </c>
      <c r="BN89" s="11">
        <v>466340</v>
      </c>
      <c r="BO89" s="11">
        <v>0</v>
      </c>
      <c r="BP89" s="11">
        <v>421010</v>
      </c>
      <c r="BQ89" s="11">
        <v>497330</v>
      </c>
      <c r="BR89" s="11"/>
      <c r="BS89" s="11">
        <v>35000</v>
      </c>
      <c r="BT89" s="11"/>
      <c r="BU89" s="11"/>
      <c r="BV89" s="11"/>
      <c r="BW89" s="11"/>
      <c r="BX89" s="11"/>
      <c r="BY89" s="11"/>
      <c r="BZ89" s="11">
        <v>151125</v>
      </c>
      <c r="CA89" s="11">
        <v>32000</v>
      </c>
      <c r="CB89" s="11">
        <v>65750</v>
      </c>
      <c r="CC89" s="11">
        <v>1394602</v>
      </c>
      <c r="CD89" s="11">
        <v>399400</v>
      </c>
      <c r="CE89" s="11">
        <v>111000</v>
      </c>
      <c r="CF89" s="11"/>
      <c r="CG89" s="11">
        <v>774935</v>
      </c>
      <c r="CH89" s="11">
        <v>44500</v>
      </c>
      <c r="CI89" s="11">
        <v>4156530</v>
      </c>
      <c r="CJ89" s="11">
        <v>105000</v>
      </c>
      <c r="CK89" s="11">
        <v>82000</v>
      </c>
      <c r="CL89" s="11">
        <v>82000</v>
      </c>
      <c r="CM89" s="11">
        <v>0</v>
      </c>
      <c r="CN89" s="11">
        <v>49900</v>
      </c>
      <c r="CO89" s="11">
        <v>105000</v>
      </c>
      <c r="CP89" s="11">
        <v>144768.6</v>
      </c>
      <c r="CQ89" s="11">
        <v>82000</v>
      </c>
      <c r="CR89" s="11">
        <v>41000</v>
      </c>
      <c r="CS89" s="11">
        <v>35000</v>
      </c>
      <c r="CT89" s="11">
        <v>3786250</v>
      </c>
      <c r="CU89" s="11">
        <v>128854</v>
      </c>
      <c r="CV89" s="11">
        <v>0</v>
      </c>
      <c r="CW89" s="11">
        <v>607679</v>
      </c>
      <c r="CX89" s="11">
        <v>29424</v>
      </c>
      <c r="CY89" s="11">
        <v>1709213</v>
      </c>
      <c r="CZ89" s="11">
        <v>440772</v>
      </c>
      <c r="DA89" s="11">
        <v>636736</v>
      </c>
      <c r="DB89" s="11">
        <v>2103120</v>
      </c>
      <c r="DC89" s="11">
        <v>1160000</v>
      </c>
      <c r="DD89" s="11"/>
      <c r="DE89" s="11"/>
      <c r="DF89" s="11">
        <v>0</v>
      </c>
      <c r="DG89" s="11">
        <v>35250</v>
      </c>
      <c r="DH89" s="11">
        <v>172050</v>
      </c>
      <c r="DI89" s="11">
        <v>279440</v>
      </c>
      <c r="DJ89" s="11"/>
      <c r="DK89" s="11">
        <v>1387622.3</v>
      </c>
      <c r="DL89" s="11"/>
      <c r="DM89" s="11"/>
      <c r="DN89" s="11"/>
      <c r="DO89" s="11"/>
      <c r="DP89" s="11"/>
      <c r="DQ89" s="11"/>
      <c r="DR89" s="11"/>
      <c r="DS89" s="11">
        <v>1768000</v>
      </c>
      <c r="DT89" s="11">
        <v>4400</v>
      </c>
      <c r="DU89" s="11">
        <v>358185</v>
      </c>
      <c r="DV89" s="11">
        <v>3859030</v>
      </c>
      <c r="DW89" s="11">
        <v>3941600</v>
      </c>
      <c r="DX89" s="11">
        <v>562403</v>
      </c>
      <c r="DY89" s="11">
        <v>4787490.71</v>
      </c>
      <c r="DZ89" s="11">
        <v>812911</v>
      </c>
      <c r="EA89" s="11">
        <v>13870</v>
      </c>
      <c r="EB89" s="11">
        <v>834505</v>
      </c>
      <c r="EC89" s="11">
        <v>379155</v>
      </c>
      <c r="ED89" s="11">
        <v>788280</v>
      </c>
      <c r="EE89" s="11">
        <v>1174615</v>
      </c>
      <c r="EF89" s="11">
        <v>281130</v>
      </c>
      <c r="EG89" s="11">
        <v>148400</v>
      </c>
      <c r="EH89" s="11">
        <v>320245</v>
      </c>
      <c r="EI89" s="11">
        <v>1176085</v>
      </c>
      <c r="EJ89" s="11">
        <v>678265.1</v>
      </c>
      <c r="EK89" s="11">
        <v>767445</v>
      </c>
      <c r="EL89" s="11">
        <v>163010</v>
      </c>
      <c r="EM89" s="11">
        <v>438050.07</v>
      </c>
      <c r="EN89" s="11"/>
      <c r="EO89" s="11"/>
      <c r="EP89" s="11"/>
      <c r="EQ89" s="11"/>
      <c r="ER89" s="11"/>
      <c r="ES89" s="11"/>
      <c r="ET89" s="11"/>
      <c r="EU89" s="11"/>
      <c r="EV89" s="11"/>
      <c r="EW89" s="11">
        <v>842475.1</v>
      </c>
      <c r="EX89" s="11"/>
      <c r="EY89" s="11">
        <v>130430</v>
      </c>
      <c r="EZ89" s="11"/>
      <c r="FA89" s="11">
        <v>45710</v>
      </c>
      <c r="FB89" s="11">
        <v>562985</v>
      </c>
      <c r="FC89" s="11">
        <v>415620</v>
      </c>
      <c r="FD89" s="11">
        <v>65450</v>
      </c>
      <c r="FE89" s="11">
        <v>137055</v>
      </c>
      <c r="FF89" s="11">
        <v>65020</v>
      </c>
      <c r="FG89" s="11">
        <v>33970</v>
      </c>
      <c r="FH89" s="11">
        <v>106270</v>
      </c>
      <c r="FI89" s="11">
        <v>4007700</v>
      </c>
      <c r="FJ89" s="11">
        <v>190690</v>
      </c>
      <c r="FK89" s="11">
        <v>23700</v>
      </c>
      <c r="FL89" s="11">
        <v>340010</v>
      </c>
      <c r="FM89" s="11">
        <v>2619553.0099999998</v>
      </c>
      <c r="FN89" s="11">
        <v>894370</v>
      </c>
      <c r="FO89" s="11">
        <v>956790</v>
      </c>
      <c r="FP89" s="11">
        <v>38770</v>
      </c>
      <c r="FQ89" s="11">
        <v>2440150</v>
      </c>
      <c r="FR89" s="11"/>
      <c r="FS89" s="11"/>
      <c r="FT89" s="11"/>
      <c r="FU89" s="11"/>
      <c r="FV89" s="11">
        <v>39138</v>
      </c>
      <c r="FW89" s="11"/>
      <c r="FX89" s="11"/>
      <c r="FY89" s="11">
        <v>8750</v>
      </c>
      <c r="FZ89" s="11"/>
      <c r="GA89" s="11">
        <v>133068</v>
      </c>
      <c r="GB89" s="11">
        <v>45500</v>
      </c>
      <c r="GC89" s="11"/>
      <c r="GD89" s="11"/>
      <c r="GE89" s="11"/>
      <c r="GF89" s="11">
        <v>103478</v>
      </c>
      <c r="GG89" s="11">
        <v>314899.5</v>
      </c>
      <c r="GH89" s="11">
        <v>1272739</v>
      </c>
      <c r="GI89" s="11">
        <v>739053</v>
      </c>
      <c r="GJ89" s="11">
        <v>38090</v>
      </c>
      <c r="GK89" s="11">
        <v>900493</v>
      </c>
      <c r="GL89" s="11">
        <v>952339</v>
      </c>
      <c r="GM89" s="11">
        <v>220998.65</v>
      </c>
      <c r="GN89" s="11">
        <v>199450</v>
      </c>
      <c r="GO89" s="11">
        <v>325326.15000000002</v>
      </c>
      <c r="GP89" s="11">
        <v>297888.25</v>
      </c>
      <c r="GQ89" s="11">
        <v>3238025</v>
      </c>
      <c r="GR89" s="11">
        <v>657489</v>
      </c>
      <c r="GS89" s="11">
        <v>0</v>
      </c>
      <c r="GT89" s="11"/>
      <c r="GU89" s="11">
        <v>271585</v>
      </c>
      <c r="GV89" s="11"/>
      <c r="GW89" s="11">
        <v>544050.89</v>
      </c>
      <c r="GX89" s="11"/>
      <c r="GY89" s="11">
        <v>4300966.8</v>
      </c>
      <c r="GZ89" s="11">
        <v>388140</v>
      </c>
      <c r="HA89" s="11"/>
      <c r="HB89" s="11"/>
      <c r="HC89" s="11">
        <v>1112217.5</v>
      </c>
      <c r="HD89" s="11">
        <v>950677.37</v>
      </c>
      <c r="HE89" s="11">
        <v>54400</v>
      </c>
      <c r="HF89" s="11">
        <v>346490</v>
      </c>
      <c r="HG89" s="11">
        <v>34200</v>
      </c>
      <c r="HH89" s="11">
        <v>1194960</v>
      </c>
      <c r="HI89" s="11">
        <v>1510720.4</v>
      </c>
      <c r="HJ89" s="11"/>
      <c r="HK89" s="11">
        <v>6209412</v>
      </c>
      <c r="HL89" s="11">
        <v>1915583</v>
      </c>
      <c r="HM89" s="11">
        <v>3265300</v>
      </c>
      <c r="HN89" s="11">
        <v>767140.65</v>
      </c>
      <c r="HO89" s="11">
        <v>190450</v>
      </c>
      <c r="HP89" s="11">
        <v>363016.25</v>
      </c>
      <c r="HQ89" s="11">
        <v>439970</v>
      </c>
      <c r="HR89" s="11">
        <v>364800</v>
      </c>
      <c r="HS89" s="11">
        <v>106800</v>
      </c>
      <c r="HT89" s="11">
        <v>2020300</v>
      </c>
      <c r="HU89" s="11">
        <v>84000</v>
      </c>
      <c r="HV89" s="11"/>
      <c r="HW89" s="11">
        <v>750875</v>
      </c>
      <c r="HX89" s="11">
        <v>111300</v>
      </c>
      <c r="HY89" s="11"/>
      <c r="HZ89" s="11"/>
      <c r="IA89" s="11">
        <v>393625</v>
      </c>
      <c r="IB89" s="11">
        <v>236790</v>
      </c>
      <c r="IC89" s="11"/>
      <c r="ID89" s="11">
        <v>857258.5</v>
      </c>
      <c r="IE89" s="11">
        <v>370240</v>
      </c>
      <c r="IF89" s="11">
        <v>37160</v>
      </c>
      <c r="IG89" s="11"/>
      <c r="IH89" s="11">
        <v>24000</v>
      </c>
      <c r="II89" s="11"/>
      <c r="IJ89" s="11"/>
      <c r="IK89" s="11">
        <v>0</v>
      </c>
      <c r="IL89" s="11"/>
      <c r="IM89" s="11">
        <v>1347724</v>
      </c>
      <c r="IN89" s="11"/>
      <c r="IO89" s="11">
        <v>321060</v>
      </c>
      <c r="IP89" s="11"/>
      <c r="IQ89" s="11">
        <v>203330</v>
      </c>
      <c r="IR89" s="11">
        <v>648078.86</v>
      </c>
      <c r="IS89" s="11">
        <v>118840</v>
      </c>
      <c r="IT89" s="11">
        <v>7997598</v>
      </c>
      <c r="IU89" s="11">
        <v>521766</v>
      </c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>
        <v>1309636.5</v>
      </c>
      <c r="JH89" s="11">
        <v>272895</v>
      </c>
      <c r="JI89" s="11">
        <v>280150</v>
      </c>
      <c r="JJ89" s="11"/>
      <c r="JK89" s="11">
        <v>95579</v>
      </c>
      <c r="JL89" s="11">
        <v>2271076</v>
      </c>
      <c r="JM89" s="11">
        <v>47300</v>
      </c>
      <c r="JN89" s="11">
        <v>230666</v>
      </c>
      <c r="JO89" s="11">
        <v>590155</v>
      </c>
      <c r="JP89" s="11">
        <v>1622912</v>
      </c>
      <c r="JQ89" s="11">
        <v>114125.99</v>
      </c>
      <c r="JR89" s="11"/>
      <c r="JS89" s="11">
        <v>704900</v>
      </c>
      <c r="JT89" s="11">
        <v>18300</v>
      </c>
      <c r="JU89" s="11"/>
      <c r="JV89" s="11"/>
      <c r="JW89" s="11"/>
      <c r="JX89" s="11"/>
      <c r="JY89" s="11">
        <v>615305</v>
      </c>
      <c r="JZ89" s="11">
        <v>1313800</v>
      </c>
      <c r="KA89" s="11"/>
      <c r="KB89" s="11"/>
      <c r="KC89" s="11">
        <v>0</v>
      </c>
      <c r="KD89" s="11"/>
      <c r="KE89" s="11"/>
      <c r="KF89" s="11"/>
      <c r="KG89" s="11"/>
      <c r="KH89" s="11"/>
      <c r="KI89" s="11"/>
      <c r="KJ89" s="11">
        <v>812665</v>
      </c>
      <c r="KK89" s="11">
        <v>0</v>
      </c>
      <c r="KL89" s="11">
        <v>147000</v>
      </c>
      <c r="KM89" s="11"/>
      <c r="KN89" s="11">
        <v>0</v>
      </c>
      <c r="KO89" s="11">
        <v>571270</v>
      </c>
      <c r="KP89" s="11">
        <v>68950</v>
      </c>
      <c r="KQ89" s="11"/>
      <c r="KR89" s="11">
        <v>4047200</v>
      </c>
      <c r="KS89" s="11">
        <v>406185</v>
      </c>
      <c r="KT89" s="11">
        <v>499647.25</v>
      </c>
      <c r="KU89" s="11">
        <v>2189719.77</v>
      </c>
      <c r="KV89" s="11">
        <v>7880898.8200000003</v>
      </c>
      <c r="KW89" s="11">
        <v>2351750</v>
      </c>
      <c r="KX89" s="11">
        <v>713500</v>
      </c>
      <c r="KY89" s="11"/>
      <c r="KZ89" s="11">
        <v>3784413</v>
      </c>
      <c r="LA89" s="11">
        <v>114100</v>
      </c>
      <c r="LB89" s="11"/>
      <c r="LC89" s="11"/>
      <c r="LD89" s="11"/>
      <c r="LE89" s="11"/>
      <c r="LF89" s="11">
        <v>303000</v>
      </c>
      <c r="LG89" s="11"/>
      <c r="LH89" s="11">
        <v>8737978</v>
      </c>
      <c r="LI89" s="11">
        <v>1810038</v>
      </c>
      <c r="LJ89" s="11"/>
      <c r="LK89" s="11">
        <v>464700</v>
      </c>
      <c r="LL89" s="11">
        <v>82248.83</v>
      </c>
      <c r="LM89" s="11">
        <v>293634</v>
      </c>
      <c r="LN89" s="11">
        <v>88701</v>
      </c>
      <c r="LO89" s="11">
        <v>124450</v>
      </c>
      <c r="LP89" s="11">
        <v>279055.03000000003</v>
      </c>
      <c r="LQ89" s="11">
        <v>1319963</v>
      </c>
      <c r="LR89" s="11">
        <v>90289</v>
      </c>
      <c r="LS89" s="11">
        <v>563850</v>
      </c>
      <c r="LT89" s="11"/>
      <c r="LU89" s="11">
        <v>92637.55</v>
      </c>
      <c r="LV89" s="11">
        <v>0</v>
      </c>
      <c r="LW89" s="11">
        <v>2704100</v>
      </c>
      <c r="LX89" s="11">
        <v>10185670</v>
      </c>
      <c r="LY89" s="11">
        <v>783148</v>
      </c>
      <c r="LZ89" s="11"/>
      <c r="MA89" s="11">
        <v>242200</v>
      </c>
      <c r="MB89" s="11">
        <v>69000</v>
      </c>
      <c r="MC89" s="11"/>
      <c r="MD89" s="11">
        <v>40000</v>
      </c>
      <c r="ME89" s="11">
        <v>45000</v>
      </c>
      <c r="MF89" s="11"/>
      <c r="MG89" s="11"/>
      <c r="MH89" s="11">
        <v>8062800</v>
      </c>
      <c r="MI89" s="11"/>
      <c r="MJ89" s="11"/>
      <c r="MK89" s="11">
        <v>56994.8</v>
      </c>
      <c r="ML89" s="11">
        <v>507636.8</v>
      </c>
      <c r="MM89" s="11">
        <v>889873.6</v>
      </c>
      <c r="MN89" s="11">
        <v>24530</v>
      </c>
      <c r="MO89" s="11"/>
      <c r="MP89" s="11">
        <v>236396</v>
      </c>
      <c r="MQ89" s="11">
        <v>0</v>
      </c>
      <c r="MR89" s="11">
        <v>182105</v>
      </c>
      <c r="MS89" s="11"/>
      <c r="MT89" s="11">
        <v>1860100</v>
      </c>
      <c r="MU89" s="11">
        <v>88408</v>
      </c>
      <c r="MV89" s="11">
        <v>193692</v>
      </c>
      <c r="MW89" s="11">
        <v>406250</v>
      </c>
      <c r="MX89" s="11"/>
      <c r="MY89" s="11">
        <v>227700</v>
      </c>
      <c r="MZ89" s="11">
        <v>523640</v>
      </c>
      <c r="NA89" s="11">
        <v>2023245</v>
      </c>
      <c r="NB89" s="11">
        <v>76931.399999999994</v>
      </c>
      <c r="NC89" s="11">
        <v>264195</v>
      </c>
      <c r="ND89" s="11">
        <v>17650</v>
      </c>
      <c r="NE89" s="11"/>
      <c r="NF89" s="11">
        <v>166465</v>
      </c>
      <c r="NG89" s="11">
        <v>124500</v>
      </c>
      <c r="NH89" s="11">
        <v>3932891.64</v>
      </c>
      <c r="NI89" s="11">
        <v>42720</v>
      </c>
      <c r="NJ89" s="11">
        <v>627570</v>
      </c>
      <c r="NK89" s="11">
        <v>1803700</v>
      </c>
      <c r="NL89" s="11">
        <v>966290</v>
      </c>
      <c r="NM89" s="11"/>
      <c r="NN89" s="11"/>
      <c r="NO89" s="11"/>
      <c r="NP89" s="11">
        <v>124000</v>
      </c>
      <c r="NQ89" s="11">
        <v>3370440</v>
      </c>
      <c r="NR89" s="11"/>
      <c r="NS89" s="11"/>
      <c r="NT89" s="11"/>
      <c r="NU89" s="11"/>
      <c r="NV89" s="11"/>
      <c r="NW89" s="11"/>
      <c r="NX89" s="11">
        <v>156500</v>
      </c>
      <c r="NY89" s="11">
        <v>957970</v>
      </c>
      <c r="NZ89" s="11">
        <v>529710</v>
      </c>
      <c r="OA89" s="11">
        <v>100000</v>
      </c>
      <c r="OB89" s="11">
        <v>69000</v>
      </c>
      <c r="OC89" s="11"/>
      <c r="OD89" s="11">
        <v>186855</v>
      </c>
      <c r="OE89" s="11">
        <v>1999075</v>
      </c>
      <c r="OF89" s="11">
        <v>9789807.0999999996</v>
      </c>
      <c r="OG89" s="11">
        <v>314190</v>
      </c>
      <c r="OH89" s="11">
        <v>8502486.5</v>
      </c>
      <c r="OI89" s="11">
        <v>2536337</v>
      </c>
      <c r="OJ89" s="11">
        <v>24216.6</v>
      </c>
      <c r="OK89" s="11">
        <v>619941.30000000005</v>
      </c>
      <c r="OL89" s="11"/>
      <c r="OM89" s="11"/>
      <c r="ON89" s="11">
        <v>426000</v>
      </c>
      <c r="OO89" s="11">
        <v>307100</v>
      </c>
      <c r="OP89" s="11">
        <v>620770</v>
      </c>
      <c r="OQ89" s="11">
        <v>807511</v>
      </c>
      <c r="OR89" s="11">
        <v>156000</v>
      </c>
      <c r="OS89" s="11">
        <v>677423</v>
      </c>
      <c r="OT89" s="11"/>
      <c r="OU89" s="11">
        <v>98278.5</v>
      </c>
      <c r="OV89" s="11">
        <v>16300</v>
      </c>
      <c r="OW89" s="11"/>
      <c r="OX89" s="11">
        <v>267129.5</v>
      </c>
      <c r="OY89" s="11">
        <v>139920</v>
      </c>
      <c r="OZ89" s="11">
        <v>56776.5</v>
      </c>
      <c r="PA89" s="11"/>
      <c r="PB89" s="11">
        <v>127350</v>
      </c>
      <c r="PC89" s="11">
        <v>14169078.75</v>
      </c>
      <c r="PD89" s="11"/>
      <c r="PE89" s="11">
        <v>125480</v>
      </c>
      <c r="PF89" s="11">
        <v>135000</v>
      </c>
      <c r="PG89" s="11"/>
      <c r="PH89" s="11"/>
      <c r="PI89" s="11"/>
      <c r="PJ89" s="11">
        <v>136000</v>
      </c>
      <c r="PK89" s="11"/>
      <c r="PL89" s="11"/>
      <c r="PM89" s="11"/>
      <c r="PN89" s="11">
        <v>42600</v>
      </c>
      <c r="PO89" s="11"/>
      <c r="PP89" s="11">
        <v>953960</v>
      </c>
      <c r="PQ89" s="11"/>
      <c r="PR89" s="11"/>
      <c r="PS89" s="11"/>
      <c r="PT89" s="11">
        <v>75000</v>
      </c>
      <c r="PU89" s="11">
        <v>110600</v>
      </c>
      <c r="PV89" s="11"/>
      <c r="PW89" s="11"/>
      <c r="PX89" s="11"/>
      <c r="PY89" s="11">
        <v>22133852.5</v>
      </c>
      <c r="PZ89" s="11"/>
      <c r="QA89" s="11"/>
      <c r="QB89" s="11"/>
      <c r="QC89" s="11"/>
      <c r="QD89" s="11"/>
      <c r="QE89" s="11">
        <v>193900</v>
      </c>
      <c r="QF89" s="11">
        <v>83200</v>
      </c>
      <c r="QG89" s="11"/>
      <c r="QH89" s="11"/>
      <c r="QI89" s="11"/>
      <c r="QJ89" s="11"/>
      <c r="QK89" s="11"/>
      <c r="QL89" s="11"/>
      <c r="QM89" s="11"/>
      <c r="QN89" s="11">
        <v>357705</v>
      </c>
      <c r="QO89" s="11">
        <v>5341450</v>
      </c>
      <c r="QP89" s="11"/>
      <c r="QQ89" s="11"/>
      <c r="QR89" s="11"/>
      <c r="QS89" s="11"/>
      <c r="QT89" s="11"/>
      <c r="QU89" s="11">
        <v>20407655</v>
      </c>
      <c r="QV89" s="11"/>
      <c r="QW89" s="11">
        <v>83375</v>
      </c>
      <c r="QX89" s="11"/>
      <c r="QY89" s="11"/>
      <c r="QZ89" s="11">
        <v>1238990</v>
      </c>
      <c r="RA89" s="11"/>
      <c r="RB89" s="11">
        <v>15750</v>
      </c>
      <c r="RC89" s="11"/>
      <c r="RD89" s="11"/>
      <c r="RE89" s="11">
        <v>15600</v>
      </c>
      <c r="RF89" s="11"/>
      <c r="RG89" s="11">
        <v>300000</v>
      </c>
      <c r="RH89" s="11"/>
      <c r="RI89" s="11">
        <v>967500</v>
      </c>
      <c r="RJ89" s="11">
        <v>2182500</v>
      </c>
      <c r="RK89" s="11">
        <v>2975350</v>
      </c>
      <c r="RL89" s="11">
        <v>2696475</v>
      </c>
      <c r="RM89" s="11">
        <v>0</v>
      </c>
      <c r="RN89" s="11"/>
      <c r="RO89" s="11">
        <v>1769046</v>
      </c>
      <c r="RP89" s="11">
        <v>1391870</v>
      </c>
      <c r="RQ89" s="11">
        <v>221590</v>
      </c>
      <c r="RR89" s="11">
        <v>2061600</v>
      </c>
      <c r="RS89" s="11">
        <v>0</v>
      </c>
      <c r="RT89" s="11">
        <v>837500</v>
      </c>
      <c r="RU89" s="11">
        <v>2940100</v>
      </c>
      <c r="RV89" s="11">
        <v>93800</v>
      </c>
      <c r="RW89" s="11">
        <v>0</v>
      </c>
      <c r="RX89" s="11">
        <v>1696700</v>
      </c>
      <c r="RY89" s="11">
        <v>0</v>
      </c>
      <c r="RZ89" s="11">
        <v>849900</v>
      </c>
      <c r="SA89" s="11">
        <v>1650</v>
      </c>
      <c r="SB89" s="11"/>
      <c r="SC89" s="11"/>
      <c r="SD89" s="11">
        <v>438600</v>
      </c>
      <c r="SE89" s="11">
        <v>313420</v>
      </c>
      <c r="SF89" s="11">
        <v>227500</v>
      </c>
      <c r="SG89" s="11">
        <v>148815</v>
      </c>
      <c r="SH89" s="11">
        <v>339980</v>
      </c>
      <c r="SI89" s="11">
        <v>1519593</v>
      </c>
      <c r="SJ89" s="11"/>
      <c r="SK89" s="11">
        <v>0</v>
      </c>
      <c r="SL89" s="11">
        <v>2382580.67</v>
      </c>
      <c r="SM89" s="11">
        <v>0</v>
      </c>
      <c r="SN89" s="11">
        <v>24000</v>
      </c>
      <c r="SO89" s="11">
        <v>626100</v>
      </c>
      <c r="SP89" s="11">
        <v>578984</v>
      </c>
      <c r="SQ89" s="11">
        <v>907334</v>
      </c>
      <c r="SR89" s="11">
        <v>107750</v>
      </c>
      <c r="SS89" s="11">
        <v>301025</v>
      </c>
      <c r="ST89" s="11">
        <v>556108.18000000005</v>
      </c>
      <c r="SU89" s="11">
        <v>125185</v>
      </c>
      <c r="SV89" s="11">
        <v>33581767</v>
      </c>
      <c r="SW89" s="11"/>
      <c r="SX89" s="11">
        <v>499800</v>
      </c>
      <c r="SY89" s="11"/>
      <c r="SZ89" s="11"/>
      <c r="TA89" s="11"/>
      <c r="TB89" s="11"/>
      <c r="TC89" s="11">
        <v>622625</v>
      </c>
      <c r="TD89" s="11"/>
      <c r="TE89" s="11"/>
      <c r="TF89" s="11"/>
      <c r="TG89" s="11"/>
      <c r="TH89" s="11"/>
      <c r="TI89" s="11"/>
      <c r="TJ89" s="11">
        <v>4798916.66</v>
      </c>
      <c r="TK89" s="11"/>
      <c r="TL89" s="11"/>
      <c r="TM89" s="11"/>
      <c r="TN89" s="11"/>
      <c r="TO89" s="11"/>
      <c r="TP89" s="11"/>
      <c r="TQ89" s="11">
        <v>2841700.37</v>
      </c>
      <c r="TR89" s="11"/>
      <c r="TS89" s="11"/>
      <c r="TT89" s="11"/>
      <c r="TU89" s="11">
        <v>17310</v>
      </c>
      <c r="TV89" s="11"/>
      <c r="TW89" s="11"/>
      <c r="TX89" s="11">
        <v>21310</v>
      </c>
      <c r="TY89" s="11"/>
      <c r="TZ89" s="11">
        <v>575520</v>
      </c>
      <c r="UA89" s="11"/>
      <c r="UB89" s="11">
        <v>3723350</v>
      </c>
      <c r="UC89" s="11">
        <v>463580</v>
      </c>
      <c r="UD89" s="11">
        <v>156700</v>
      </c>
      <c r="UE89" s="11">
        <v>11800</v>
      </c>
      <c r="UF89" s="11">
        <v>7279860</v>
      </c>
      <c r="UG89" s="11"/>
      <c r="UH89" s="11">
        <v>4970</v>
      </c>
      <c r="UI89" s="11"/>
      <c r="UJ89" s="11"/>
      <c r="UK89" s="11">
        <v>3367885.61</v>
      </c>
      <c r="UL89" s="11">
        <v>669520</v>
      </c>
      <c r="UM89" s="11">
        <v>0</v>
      </c>
      <c r="UN89" s="11">
        <v>723335</v>
      </c>
      <c r="UO89" s="11">
        <v>105400</v>
      </c>
      <c r="UP89" s="11">
        <v>364407.06</v>
      </c>
      <c r="UQ89" s="11">
        <v>1639364</v>
      </c>
      <c r="UR89" s="11"/>
      <c r="US89" s="11"/>
      <c r="UT89" s="11">
        <v>2199075</v>
      </c>
      <c r="UU89" s="11"/>
      <c r="UV89" s="11"/>
      <c r="UW89" s="11">
        <v>3156765</v>
      </c>
      <c r="UX89" s="11"/>
      <c r="UY89" s="11"/>
      <c r="UZ89" s="11"/>
      <c r="VA89" s="11"/>
      <c r="VB89" s="11">
        <v>2670250</v>
      </c>
      <c r="VC89" s="11">
        <v>15000</v>
      </c>
      <c r="VD89" s="11">
        <v>0</v>
      </c>
      <c r="VE89" s="11"/>
      <c r="VF89" s="11"/>
      <c r="VG89" s="11"/>
      <c r="VH89" s="11"/>
      <c r="VI89" s="11">
        <v>1258126</v>
      </c>
      <c r="VJ89" s="11"/>
      <c r="VK89" s="11"/>
      <c r="VL89" s="11"/>
      <c r="VM89" s="11">
        <v>10427703.5</v>
      </c>
      <c r="VN89" s="11">
        <v>152000</v>
      </c>
      <c r="VO89" s="11"/>
      <c r="VP89" s="11"/>
      <c r="VQ89" s="11">
        <v>115000</v>
      </c>
      <c r="VR89" s="11"/>
      <c r="VS89" s="11">
        <v>71000</v>
      </c>
      <c r="VT89" s="11"/>
      <c r="VU89" s="11"/>
      <c r="VV89" s="11">
        <v>1045200</v>
      </c>
      <c r="VW89" s="11"/>
      <c r="VX89" s="11">
        <v>510500</v>
      </c>
      <c r="VY89" s="11"/>
      <c r="VZ89" s="11"/>
      <c r="WA89" s="11"/>
      <c r="WB89" s="11"/>
      <c r="WC89" s="11">
        <v>157750</v>
      </c>
      <c r="WD89" s="11">
        <v>33500</v>
      </c>
      <c r="WE89" s="11"/>
      <c r="WF89" s="11">
        <v>83891</v>
      </c>
      <c r="WG89" s="11">
        <v>211000</v>
      </c>
      <c r="WH89" s="11">
        <v>367000</v>
      </c>
      <c r="WI89" s="11"/>
      <c r="WJ89" s="11">
        <v>90000</v>
      </c>
      <c r="WK89" s="11">
        <v>134000</v>
      </c>
      <c r="WL89" s="11">
        <v>61750</v>
      </c>
      <c r="WM89" s="11">
        <v>291200</v>
      </c>
      <c r="WN89" s="11">
        <v>128750</v>
      </c>
      <c r="WO89" s="11">
        <v>1255600</v>
      </c>
      <c r="WP89" s="11">
        <v>1866085</v>
      </c>
      <c r="WQ89" s="11">
        <v>61750</v>
      </c>
      <c r="WR89" s="11">
        <v>67000</v>
      </c>
      <c r="WS89" s="11">
        <v>61750</v>
      </c>
      <c r="WT89" s="11">
        <v>0</v>
      </c>
      <c r="WU89" s="11">
        <v>278400</v>
      </c>
      <c r="WV89" s="11"/>
      <c r="WW89" s="11">
        <v>262776</v>
      </c>
      <c r="WX89" s="11">
        <v>87002</v>
      </c>
      <c r="WY89" s="11">
        <v>87990.47</v>
      </c>
      <c r="WZ89" s="11"/>
      <c r="XA89" s="11">
        <v>29986.54</v>
      </c>
      <c r="XB89" s="11"/>
      <c r="XC89" s="11">
        <v>310500</v>
      </c>
      <c r="XD89" s="11">
        <v>3369900</v>
      </c>
      <c r="XE89" s="11">
        <v>275885</v>
      </c>
      <c r="XF89" s="11">
        <v>99600</v>
      </c>
      <c r="XG89" s="11"/>
      <c r="XH89" s="11">
        <v>37000</v>
      </c>
      <c r="XI89" s="11">
        <v>11987360</v>
      </c>
      <c r="XJ89" s="11">
        <v>1104375.5</v>
      </c>
      <c r="XK89" s="11"/>
      <c r="XL89" s="11">
        <v>8904713</v>
      </c>
      <c r="XM89" s="11"/>
      <c r="XN89" s="11">
        <v>50500</v>
      </c>
      <c r="XO89" s="11">
        <v>0</v>
      </c>
      <c r="XP89" s="11"/>
      <c r="XQ89" s="11">
        <v>48000</v>
      </c>
      <c r="XR89" s="11">
        <v>101000</v>
      </c>
      <c r="XS89" s="11"/>
      <c r="XT89" s="11">
        <v>156000</v>
      </c>
      <c r="XU89" s="11">
        <v>176000</v>
      </c>
      <c r="XV89" s="11">
        <v>219760</v>
      </c>
      <c r="XW89" s="11">
        <v>44500</v>
      </c>
      <c r="XX89" s="11">
        <v>256130</v>
      </c>
      <c r="XY89" s="11">
        <v>22000</v>
      </c>
      <c r="XZ89" s="11">
        <v>88000</v>
      </c>
      <c r="YA89" s="11">
        <v>44500</v>
      </c>
      <c r="YB89" s="11">
        <v>44500</v>
      </c>
      <c r="YC89" s="11">
        <v>44500</v>
      </c>
      <c r="YD89" s="11">
        <v>110794.39</v>
      </c>
      <c r="YE89" s="11">
        <v>22000</v>
      </c>
      <c r="YF89" s="11"/>
      <c r="YG89" s="11"/>
      <c r="YH89" s="11"/>
      <c r="YI89" s="11"/>
      <c r="YJ89" s="11">
        <v>641050</v>
      </c>
      <c r="YK89" s="11">
        <v>51750</v>
      </c>
      <c r="YL89" s="11">
        <v>3596350</v>
      </c>
      <c r="YM89" s="11">
        <v>20005</v>
      </c>
      <c r="YN89" s="11">
        <v>608050</v>
      </c>
      <c r="YO89" s="11">
        <v>0</v>
      </c>
      <c r="YP89" s="11">
        <v>228426</v>
      </c>
      <c r="YQ89" s="11"/>
      <c r="YR89" s="11">
        <v>46450</v>
      </c>
      <c r="YS89" s="11">
        <v>14600</v>
      </c>
      <c r="YT89" s="11"/>
      <c r="YU89" s="11"/>
      <c r="YV89" s="11"/>
      <c r="YW89" s="11">
        <v>2804960</v>
      </c>
      <c r="YX89" s="11"/>
      <c r="YY89" s="11">
        <v>95000</v>
      </c>
      <c r="YZ89" s="11"/>
      <c r="ZA89" s="11"/>
      <c r="ZB89" s="11"/>
      <c r="ZC89" s="11">
        <v>64000</v>
      </c>
      <c r="ZD89" s="11"/>
      <c r="ZE89" s="11"/>
      <c r="ZF89" s="11"/>
      <c r="ZG89" s="11"/>
      <c r="ZH89" s="11"/>
      <c r="ZI89" s="11"/>
      <c r="ZJ89" s="11"/>
      <c r="ZK89" s="11"/>
      <c r="ZL89" s="11">
        <v>1154425</v>
      </c>
      <c r="ZM89" s="11">
        <v>3258652.36</v>
      </c>
      <c r="ZN89" s="11"/>
      <c r="ZO89" s="11"/>
      <c r="ZP89" s="11"/>
      <c r="ZQ89" s="11"/>
      <c r="ZR89" s="11"/>
      <c r="ZS89" s="11"/>
      <c r="ZT89" s="11"/>
      <c r="ZU89" s="11">
        <v>102280</v>
      </c>
      <c r="ZV89" s="11"/>
      <c r="ZW89" s="11"/>
      <c r="ZX89" s="11">
        <v>116500</v>
      </c>
      <c r="ZY89" s="11"/>
      <c r="ZZ89" s="11"/>
      <c r="AAA89" s="11"/>
      <c r="AAB89" s="11"/>
      <c r="AAC89" s="11"/>
      <c r="AAD89" s="11">
        <v>0</v>
      </c>
      <c r="AAE89" s="11"/>
      <c r="AAF89" s="11"/>
      <c r="AAG89" s="11"/>
      <c r="AAH89" s="11"/>
      <c r="AAI89" s="11">
        <v>3179750</v>
      </c>
      <c r="AAJ89" s="11"/>
      <c r="AAK89" s="11"/>
      <c r="AAL89" s="11"/>
      <c r="AAM89" s="11"/>
      <c r="AAN89" s="11"/>
      <c r="AAO89" s="11"/>
      <c r="AAP89" s="11">
        <v>5218452</v>
      </c>
      <c r="AAQ89" s="11">
        <v>147000</v>
      </c>
      <c r="AAR89" s="11"/>
      <c r="AAS89" s="11"/>
      <c r="AAT89" s="11"/>
      <c r="AAU89" s="11"/>
      <c r="AAV89" s="11"/>
      <c r="AAW89" s="11"/>
      <c r="AAX89" s="11">
        <v>1936899.49</v>
      </c>
      <c r="AAY89" s="11"/>
      <c r="AAZ89" s="11"/>
      <c r="ABA89" s="11"/>
      <c r="ABB89" s="11">
        <v>1530</v>
      </c>
      <c r="ABC89" s="11"/>
      <c r="ABD89" s="11"/>
      <c r="ABE89" s="11"/>
      <c r="ABF89" s="11"/>
      <c r="ABG89" s="11"/>
      <c r="ABH89" s="11"/>
      <c r="ABI89" s="11">
        <v>3175190</v>
      </c>
      <c r="ABJ89" s="11">
        <v>4268860</v>
      </c>
      <c r="ABK89" s="11"/>
      <c r="ABL89" s="11">
        <v>155500</v>
      </c>
      <c r="ABM89" s="11"/>
      <c r="ABN89" s="11"/>
      <c r="ABO89" s="11"/>
      <c r="ABP89" s="11">
        <v>4340020</v>
      </c>
      <c r="ABQ89" s="11"/>
      <c r="ABR89" s="11"/>
      <c r="ABS89" s="11"/>
      <c r="ABT89" s="11"/>
      <c r="ABU89" s="11"/>
      <c r="ABV89" s="11"/>
      <c r="ABW89" s="11"/>
      <c r="ABX89" s="11"/>
      <c r="ABY89" s="11">
        <v>179810</v>
      </c>
      <c r="ABZ89" s="11"/>
      <c r="ACA89" s="11"/>
      <c r="ACB89" s="11">
        <v>28000</v>
      </c>
      <c r="ACC89" s="11"/>
      <c r="ACD89" s="11">
        <v>7181626.7199999997</v>
      </c>
      <c r="ACE89" s="11"/>
      <c r="ACF89" s="11"/>
      <c r="ACG89" s="11">
        <v>6600</v>
      </c>
      <c r="ACH89" s="11"/>
      <c r="ACI89" s="11"/>
      <c r="ACJ89" s="11">
        <v>4032810</v>
      </c>
      <c r="ACK89" s="11"/>
      <c r="ACL89" s="11"/>
      <c r="ACM89" s="11"/>
      <c r="ACN89" s="11"/>
      <c r="ACO89" s="11"/>
      <c r="ACP89" s="11">
        <v>86000</v>
      </c>
      <c r="ACQ89" s="11">
        <v>0</v>
      </c>
      <c r="ACR89" s="11"/>
      <c r="ACS89" s="11"/>
      <c r="ACT89" s="11">
        <v>0</v>
      </c>
      <c r="ACU89" s="11"/>
      <c r="ACV89" s="11"/>
      <c r="ACW89" s="11"/>
      <c r="ACX89" s="11">
        <v>41500</v>
      </c>
      <c r="ACY89" s="11"/>
      <c r="ACZ89" s="11"/>
      <c r="ADA89" s="11">
        <v>881640</v>
      </c>
      <c r="ADB89" s="11"/>
      <c r="ADC89" s="11"/>
      <c r="ADD89" s="11"/>
      <c r="ADE89" s="11"/>
      <c r="ADF89" s="11"/>
      <c r="ADG89" s="11">
        <v>57660</v>
      </c>
      <c r="ADH89" s="11">
        <v>0</v>
      </c>
      <c r="ADI89" s="11"/>
      <c r="ADJ89" s="11"/>
      <c r="ADK89" s="11"/>
      <c r="ADL89" s="11"/>
      <c r="ADM89" s="11"/>
      <c r="ADN89" s="11"/>
      <c r="ADO89" s="11"/>
      <c r="ADP89" s="11">
        <v>16713480</v>
      </c>
      <c r="ADQ89" s="11"/>
      <c r="ADR89" s="11">
        <v>56260</v>
      </c>
      <c r="ADS89" s="11"/>
      <c r="ADT89" s="11">
        <v>4971820</v>
      </c>
      <c r="ADU89" s="11"/>
      <c r="ADV89" s="11"/>
      <c r="ADW89" s="11"/>
      <c r="ADX89" s="11"/>
      <c r="ADY89" s="11"/>
      <c r="ADZ89" s="11">
        <v>15506400</v>
      </c>
      <c r="AEA89" s="11">
        <v>2230890.7999999998</v>
      </c>
      <c r="AEB89" s="11">
        <v>1787680</v>
      </c>
      <c r="AEC89" s="11">
        <v>462900</v>
      </c>
      <c r="AED89" s="11">
        <v>166555</v>
      </c>
      <c r="AEE89" s="11">
        <v>3373499.77</v>
      </c>
      <c r="AEF89" s="11"/>
      <c r="AEG89" s="11"/>
      <c r="AEH89" s="11"/>
      <c r="AEI89" s="11">
        <v>404575.5</v>
      </c>
      <c r="AEJ89" s="11">
        <v>832000</v>
      </c>
      <c r="AEK89" s="11">
        <v>37480</v>
      </c>
      <c r="AEL89" s="11"/>
      <c r="AEM89" s="11">
        <v>1261500</v>
      </c>
      <c r="AEN89" s="11"/>
      <c r="AEO89" s="11"/>
      <c r="AEP89" s="11"/>
      <c r="AEQ89" s="11"/>
      <c r="AER89" s="11"/>
      <c r="AES89" s="11"/>
      <c r="AET89" s="11">
        <v>4722530</v>
      </c>
      <c r="AEU89" s="11"/>
      <c r="AEV89" s="11"/>
      <c r="AEW89" s="11"/>
      <c r="AEX89" s="11"/>
      <c r="AEY89" s="11"/>
      <c r="AEZ89" s="11"/>
      <c r="AFA89" s="11"/>
      <c r="AFB89" s="11"/>
      <c r="AFC89" s="11"/>
      <c r="AFD89" s="11">
        <v>1652300</v>
      </c>
      <c r="AFE89" s="11"/>
      <c r="AFF89" s="11"/>
      <c r="AFG89" s="11"/>
      <c r="AFH89" s="11">
        <v>30850</v>
      </c>
      <c r="AFI89" s="11"/>
      <c r="AFJ89" s="11"/>
      <c r="AFK89" s="11"/>
      <c r="AFL89" s="11"/>
      <c r="AFM89" s="11"/>
      <c r="AFN89" s="11">
        <v>0</v>
      </c>
      <c r="AFO89" s="11"/>
      <c r="AFP89" s="11"/>
      <c r="AFQ89" s="11">
        <v>2052801</v>
      </c>
      <c r="AFR89" s="11"/>
      <c r="AFS89" s="11"/>
      <c r="AFT89" s="11">
        <v>32000</v>
      </c>
      <c r="AFU89" s="11">
        <v>32000</v>
      </c>
      <c r="AFV89" s="11">
        <v>2740</v>
      </c>
      <c r="AFW89" s="11">
        <v>25000</v>
      </c>
      <c r="AFX89" s="11"/>
      <c r="AFY89" s="11"/>
      <c r="AFZ89" s="11">
        <v>50000</v>
      </c>
      <c r="AGA89" s="11">
        <v>142230</v>
      </c>
      <c r="AGB89" s="11">
        <v>118804</v>
      </c>
      <c r="AGC89" s="11">
        <v>414000</v>
      </c>
      <c r="AGD89" s="11"/>
      <c r="AGE89" s="11"/>
      <c r="AGF89" s="11"/>
      <c r="AGG89" s="11">
        <v>51500</v>
      </c>
      <c r="AGH89" s="11">
        <v>0</v>
      </c>
      <c r="AGI89" s="11"/>
      <c r="AGJ89" s="11"/>
      <c r="AGK89" s="11"/>
      <c r="AGL89" s="11"/>
      <c r="AGM89" s="11"/>
      <c r="AGN89" s="11">
        <v>0</v>
      </c>
      <c r="AGO89" s="11"/>
      <c r="AGP89" s="11"/>
      <c r="AGQ89" s="11"/>
      <c r="AGR89" s="11"/>
      <c r="AGS89" s="11"/>
      <c r="AGT89" s="11"/>
      <c r="AGU89" s="11"/>
      <c r="AGV89" s="11"/>
      <c r="AGW89" s="11">
        <v>5189180.1500000004</v>
      </c>
      <c r="AGX89" s="11">
        <v>44558</v>
      </c>
      <c r="AGY89" s="11">
        <v>0</v>
      </c>
      <c r="AGZ89" s="11">
        <v>433354.21</v>
      </c>
      <c r="AHA89" s="11">
        <v>60000</v>
      </c>
      <c r="AHB89" s="11"/>
      <c r="AHC89" s="11">
        <v>94000</v>
      </c>
      <c r="AHD89" s="11">
        <v>12000</v>
      </c>
      <c r="AHE89" s="11">
        <v>171000</v>
      </c>
      <c r="AHF89" s="11">
        <v>171000</v>
      </c>
      <c r="AHG89" s="11">
        <v>29000</v>
      </c>
      <c r="AHH89" s="11">
        <v>800</v>
      </c>
      <c r="AHI89" s="11">
        <v>62000</v>
      </c>
      <c r="AHJ89" s="11">
        <v>20000</v>
      </c>
      <c r="AHK89" s="11"/>
      <c r="AHL89" s="11">
        <v>48000</v>
      </c>
      <c r="AHM89" s="11">
        <v>5587950</v>
      </c>
      <c r="AHN89" s="11">
        <v>0</v>
      </c>
      <c r="AHO89" s="11">
        <v>284850</v>
      </c>
      <c r="AHP89" s="11">
        <v>118800</v>
      </c>
      <c r="AHQ89" s="11">
        <v>0</v>
      </c>
      <c r="AHR89" s="11">
        <v>84000</v>
      </c>
      <c r="AHS89" s="11">
        <v>416900</v>
      </c>
      <c r="AHT89" s="11">
        <v>591419913.33000016</v>
      </c>
      <c r="AHV89" s="269" t="s">
        <v>6278</v>
      </c>
      <c r="AHW89" s="269" t="s">
        <v>6119</v>
      </c>
      <c r="AHX89" s="269" t="s">
        <v>6120</v>
      </c>
    </row>
    <row r="90" spans="1:908" x14ac:dyDescent="0.7">
      <c r="A90" s="6" t="s">
        <v>6278</v>
      </c>
      <c r="B90" s="6" t="s">
        <v>6125</v>
      </c>
      <c r="C90" s="6" t="s">
        <v>6126</v>
      </c>
      <c r="D90" s="11"/>
      <c r="E90" s="11"/>
      <c r="F90" s="11"/>
      <c r="G90" s="11">
        <v>10499.83</v>
      </c>
      <c r="H90" s="11">
        <v>57844.04</v>
      </c>
      <c r="I90" s="11"/>
      <c r="J90" s="11"/>
      <c r="K90" s="11"/>
      <c r="L90" s="11">
        <v>3738.5</v>
      </c>
      <c r="M90" s="11"/>
      <c r="N90" s="11">
        <v>57996</v>
      </c>
      <c r="O90" s="11">
        <v>64375.92</v>
      </c>
      <c r="P90" s="11"/>
      <c r="Q90" s="11">
        <v>746133.13</v>
      </c>
      <c r="R90" s="11">
        <v>44463.59</v>
      </c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>
        <v>447600</v>
      </c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>
        <v>7162.7</v>
      </c>
      <c r="AY90" s="11"/>
      <c r="AZ90" s="11"/>
      <c r="BA90" s="11"/>
      <c r="BB90" s="11"/>
      <c r="BC90" s="11">
        <v>63110</v>
      </c>
      <c r="BD90" s="11">
        <v>63991.519999999997</v>
      </c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>
        <v>18890</v>
      </c>
      <c r="CV90" s="11">
        <v>6990</v>
      </c>
      <c r="CW90" s="11"/>
      <c r="CX90" s="11">
        <v>28300</v>
      </c>
      <c r="CY90" s="11">
        <v>34400</v>
      </c>
      <c r="CZ90" s="11">
        <v>29960</v>
      </c>
      <c r="DA90" s="11">
        <v>57260</v>
      </c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>
        <v>272145</v>
      </c>
      <c r="DW90" s="11"/>
      <c r="DX90" s="11"/>
      <c r="DY90" s="11"/>
      <c r="DZ90" s="11"/>
      <c r="EA90" s="11">
        <v>22550</v>
      </c>
      <c r="EB90" s="11"/>
      <c r="EC90" s="11"/>
      <c r="ED90" s="11">
        <v>0</v>
      </c>
      <c r="EE90" s="11"/>
      <c r="EF90" s="11">
        <v>480540</v>
      </c>
      <c r="EG90" s="11">
        <v>4500</v>
      </c>
      <c r="EH90" s="11">
        <v>59280</v>
      </c>
      <c r="EI90" s="11"/>
      <c r="EJ90" s="11">
        <v>135480</v>
      </c>
      <c r="EK90" s="11"/>
      <c r="EL90" s="11">
        <v>19420</v>
      </c>
      <c r="EM90" s="11"/>
      <c r="EN90" s="11">
        <v>800</v>
      </c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>
        <v>510892.5</v>
      </c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>
        <v>13412</v>
      </c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>
        <v>14500</v>
      </c>
      <c r="JL90" s="11"/>
      <c r="JM90" s="11"/>
      <c r="JN90" s="11"/>
      <c r="JO90" s="11"/>
      <c r="JP90" s="11"/>
      <c r="JQ90" s="11">
        <v>1214477.1000000001</v>
      </c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>
        <v>376280</v>
      </c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>
        <v>2288910</v>
      </c>
      <c r="LY90" s="11"/>
      <c r="LZ90" s="11">
        <v>0</v>
      </c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>
        <v>2717315</v>
      </c>
      <c r="MV90" s="11"/>
      <c r="MW90" s="11"/>
      <c r="MX90" s="11"/>
      <c r="MY90" s="11"/>
      <c r="MZ90" s="11"/>
      <c r="NA90" s="11"/>
      <c r="NB90" s="11"/>
      <c r="NC90" s="11">
        <v>58877</v>
      </c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>
        <v>202583.25</v>
      </c>
      <c r="NY90" s="11"/>
      <c r="NZ90" s="11"/>
      <c r="OA90" s="11"/>
      <c r="OB90" s="11"/>
      <c r="OC90" s="11"/>
      <c r="OD90" s="11"/>
      <c r="OE90" s="11"/>
      <c r="OF90" s="11"/>
      <c r="OG90" s="11"/>
      <c r="OH90" s="11">
        <v>177060</v>
      </c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>
        <v>5600</v>
      </c>
      <c r="PN90" s="11"/>
      <c r="PO90" s="11"/>
      <c r="PP90" s="11">
        <v>356754.95</v>
      </c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>
        <v>6420</v>
      </c>
      <c r="QB90" s="11"/>
      <c r="QC90" s="11"/>
      <c r="QD90" s="11"/>
      <c r="QE90" s="11"/>
      <c r="QF90" s="11"/>
      <c r="QG90" s="11"/>
      <c r="QH90" s="11"/>
      <c r="QI90" s="11">
        <v>3357956</v>
      </c>
      <c r="QJ90" s="11"/>
      <c r="QK90" s="11">
        <v>18500</v>
      </c>
      <c r="QL90" s="11"/>
      <c r="QM90" s="11"/>
      <c r="QN90" s="11">
        <v>1113160</v>
      </c>
      <c r="QO90" s="11"/>
      <c r="QP90" s="11"/>
      <c r="QQ90" s="11"/>
      <c r="QR90" s="11"/>
      <c r="QS90" s="11"/>
      <c r="QT90" s="11"/>
      <c r="QU90" s="11"/>
      <c r="QV90" s="11"/>
      <c r="QW90" s="11">
        <v>41690</v>
      </c>
      <c r="QX90" s="11"/>
      <c r="QY90" s="11"/>
      <c r="QZ90" s="11">
        <v>33550</v>
      </c>
      <c r="RA90" s="11"/>
      <c r="RB90" s="11"/>
      <c r="RC90" s="11">
        <v>383150</v>
      </c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>
        <v>1120</v>
      </c>
      <c r="RR90" s="11"/>
      <c r="RS90" s="11"/>
      <c r="RT90" s="11"/>
      <c r="RU90" s="11"/>
      <c r="RV90" s="11"/>
      <c r="RW90" s="11"/>
      <c r="RX90" s="11"/>
      <c r="RY90" s="11">
        <v>1200</v>
      </c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>
        <v>194250</v>
      </c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>
        <v>530</v>
      </c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>
        <v>187980</v>
      </c>
      <c r="UU90" s="11"/>
      <c r="UV90" s="11">
        <v>360</v>
      </c>
      <c r="UW90" s="11"/>
      <c r="UX90" s="11">
        <v>8580</v>
      </c>
      <c r="UY90" s="11"/>
      <c r="UZ90" s="11"/>
      <c r="VA90" s="11"/>
      <c r="VB90" s="11"/>
      <c r="VC90" s="11">
        <v>114849.9</v>
      </c>
      <c r="VD90" s="11">
        <v>24640</v>
      </c>
      <c r="VE90" s="11">
        <v>225910</v>
      </c>
      <c r="VF90" s="11"/>
      <c r="VG90" s="11">
        <v>24780</v>
      </c>
      <c r="VH90" s="11">
        <v>79810.42</v>
      </c>
      <c r="VI90" s="11">
        <v>62000</v>
      </c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>
        <v>1031460</v>
      </c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>
        <v>0</v>
      </c>
      <c r="WR90" s="11"/>
      <c r="WS90" s="11"/>
      <c r="WT90" s="11"/>
      <c r="WU90" s="11"/>
      <c r="WV90" s="11">
        <v>272743.21999999997</v>
      </c>
      <c r="WW90" s="11"/>
      <c r="WX90" s="11"/>
      <c r="WY90" s="11">
        <v>12410</v>
      </c>
      <c r="WZ90" s="11"/>
      <c r="XA90" s="11"/>
      <c r="XB90" s="11"/>
      <c r="XC90" s="11">
        <v>13710</v>
      </c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>
        <v>122719</v>
      </c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>
        <v>1588461</v>
      </c>
      <c r="ZA90" s="11">
        <v>6210</v>
      </c>
      <c r="ZB90" s="11">
        <v>1067715</v>
      </c>
      <c r="ZC90" s="11"/>
      <c r="ZD90" s="11"/>
      <c r="ZE90" s="11"/>
      <c r="ZF90" s="11"/>
      <c r="ZG90" s="11">
        <v>0</v>
      </c>
      <c r="ZH90" s="11"/>
      <c r="ZI90" s="11"/>
      <c r="ZJ90" s="11"/>
      <c r="ZK90" s="11"/>
      <c r="ZL90" s="11"/>
      <c r="ZM90" s="11">
        <v>639450</v>
      </c>
      <c r="ZN90" s="11">
        <v>37669.410000000003</v>
      </c>
      <c r="ZO90" s="11">
        <v>544914.73</v>
      </c>
      <c r="ZP90" s="11">
        <v>436997.72</v>
      </c>
      <c r="ZQ90" s="11">
        <v>1487331.03</v>
      </c>
      <c r="ZR90" s="11"/>
      <c r="ZS90" s="11"/>
      <c r="ZT90" s="11">
        <v>6052250.6100000003</v>
      </c>
      <c r="ZU90" s="11"/>
      <c r="ZV90" s="11">
        <v>1899292.9</v>
      </c>
      <c r="ZW90" s="11"/>
      <c r="ZX90" s="11">
        <v>16100</v>
      </c>
      <c r="ZY90" s="11">
        <v>869693.59</v>
      </c>
      <c r="ZZ90" s="11">
        <v>157918.47</v>
      </c>
      <c r="AAA90" s="11"/>
      <c r="AAB90" s="11">
        <v>247601.29</v>
      </c>
      <c r="AAC90" s="11">
        <v>510711.1</v>
      </c>
      <c r="AAD90" s="11">
        <v>1411732.49</v>
      </c>
      <c r="AAE90" s="11"/>
      <c r="AAF90" s="11">
        <v>410185.66</v>
      </c>
      <c r="AAG90" s="11"/>
      <c r="AAH90" s="11"/>
      <c r="AAI90" s="11"/>
      <c r="AAJ90" s="11"/>
      <c r="AAK90" s="11">
        <v>24691</v>
      </c>
      <c r="AAL90" s="11"/>
      <c r="AAM90" s="11"/>
      <c r="AAN90" s="11">
        <v>36750</v>
      </c>
      <c r="AAO90" s="11"/>
      <c r="AAP90" s="11">
        <v>37800</v>
      </c>
      <c r="AAQ90" s="11">
        <v>483766.33</v>
      </c>
      <c r="AAR90" s="11">
        <v>504149.01</v>
      </c>
      <c r="AAS90" s="11">
        <v>283424.99</v>
      </c>
      <c r="AAT90" s="11">
        <v>834678.15</v>
      </c>
      <c r="AAU90" s="11">
        <v>510902.22</v>
      </c>
      <c r="AAV90" s="11">
        <v>286622.06</v>
      </c>
      <c r="AAW90" s="11">
        <v>84720.74</v>
      </c>
      <c r="AAX90" s="11">
        <v>746246.26</v>
      </c>
      <c r="AAY90" s="11">
        <v>541597.74</v>
      </c>
      <c r="AAZ90" s="11">
        <v>455245.66</v>
      </c>
      <c r="ABA90" s="11">
        <v>2084179.21</v>
      </c>
      <c r="ABB90" s="11">
        <v>714870.34</v>
      </c>
      <c r="ABC90" s="11">
        <v>619503.15</v>
      </c>
      <c r="ABD90" s="11">
        <v>626750.4</v>
      </c>
      <c r="ABE90" s="11">
        <v>358882.04</v>
      </c>
      <c r="ABF90" s="11">
        <v>413286.39</v>
      </c>
      <c r="ABG90" s="11">
        <v>99587.93</v>
      </c>
      <c r="ABH90" s="11">
        <v>93269.16</v>
      </c>
      <c r="ABI90" s="11">
        <v>1002209.55</v>
      </c>
      <c r="ABJ90" s="11">
        <v>228320.23</v>
      </c>
      <c r="ABK90" s="11">
        <v>1247374.33</v>
      </c>
      <c r="ABL90" s="11">
        <v>1034747.44</v>
      </c>
      <c r="ABM90" s="11">
        <v>173375.46</v>
      </c>
      <c r="ABN90" s="11">
        <v>216182.83</v>
      </c>
      <c r="ABO90" s="11">
        <v>65876.41</v>
      </c>
      <c r="ABP90" s="11">
        <v>2981390</v>
      </c>
      <c r="ABQ90" s="11"/>
      <c r="ABR90" s="11"/>
      <c r="ABS90" s="11"/>
      <c r="ABT90" s="11"/>
      <c r="ABU90" s="11"/>
      <c r="ABV90" s="11"/>
      <c r="ABW90" s="11"/>
      <c r="ABX90" s="11"/>
      <c r="ABY90" s="11">
        <v>0</v>
      </c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>
        <v>14570</v>
      </c>
      <c r="ACM90" s="11"/>
      <c r="ACN90" s="11">
        <v>21050</v>
      </c>
      <c r="ACO90" s="11"/>
      <c r="ACP90" s="11"/>
      <c r="ACQ90" s="11">
        <v>31240</v>
      </c>
      <c r="ACR90" s="11"/>
      <c r="ACS90" s="11">
        <v>9800</v>
      </c>
      <c r="ACT90" s="11"/>
      <c r="ACU90" s="11"/>
      <c r="ACV90" s="11"/>
      <c r="ACW90" s="11"/>
      <c r="ACX90" s="11"/>
      <c r="ACY90" s="11"/>
      <c r="ACZ90" s="11"/>
      <c r="ADA90" s="11">
        <v>143877</v>
      </c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>
        <v>156649.4</v>
      </c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>
        <v>1060530</v>
      </c>
      <c r="AFE90" s="11">
        <v>761130</v>
      </c>
      <c r="AFF90" s="11"/>
      <c r="AFG90" s="11"/>
      <c r="AFH90" s="11"/>
      <c r="AFI90" s="11"/>
      <c r="AFJ90" s="11">
        <v>1800</v>
      </c>
      <c r="AFK90" s="11"/>
      <c r="AFL90" s="11"/>
      <c r="AFM90" s="11"/>
      <c r="AFN90" s="11"/>
      <c r="AFO90" s="11"/>
      <c r="AFP90" s="11"/>
      <c r="AFQ90" s="11"/>
      <c r="AFR90" s="11">
        <v>84110</v>
      </c>
      <c r="AFS90" s="11"/>
      <c r="AFT90" s="11"/>
      <c r="AFU90" s="11"/>
      <c r="AFV90" s="11"/>
      <c r="AFW90" s="11"/>
      <c r="AFX90" s="11"/>
      <c r="AFY90" s="11"/>
      <c r="AFZ90" s="11"/>
      <c r="AGA90" s="11"/>
      <c r="AGB90" s="11">
        <v>44549.71</v>
      </c>
      <c r="AGC90" s="11"/>
      <c r="AGD90" s="11"/>
      <c r="AGE90" s="11"/>
      <c r="AGF90" s="11"/>
      <c r="AGG90" s="11"/>
      <c r="AGH90" s="11">
        <v>6400</v>
      </c>
      <c r="AGI90" s="11"/>
      <c r="AGJ90" s="11"/>
      <c r="AGK90" s="11"/>
      <c r="AGL90" s="11"/>
      <c r="AGM90" s="11"/>
      <c r="AGN90" s="11"/>
      <c r="AGO90" s="11"/>
      <c r="AGP90" s="11"/>
      <c r="AGQ90" s="11">
        <v>9260</v>
      </c>
      <c r="AGR90" s="11"/>
      <c r="AGS90" s="11">
        <v>137600</v>
      </c>
      <c r="AGT90" s="11">
        <v>5720</v>
      </c>
      <c r="AGU90" s="11">
        <v>5620</v>
      </c>
      <c r="AGV90" s="11">
        <v>2654880</v>
      </c>
      <c r="AGW90" s="11">
        <v>640</v>
      </c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>
        <v>5340</v>
      </c>
      <c r="AHJ90" s="11"/>
      <c r="AHK90" s="11"/>
      <c r="AHL90" s="11">
        <v>46591.16</v>
      </c>
      <c r="AHM90" s="11"/>
      <c r="AHN90" s="11"/>
      <c r="AHO90" s="11"/>
      <c r="AHP90" s="11"/>
      <c r="AHQ90" s="11"/>
      <c r="AHR90" s="11"/>
      <c r="AHS90" s="11"/>
      <c r="AHT90" s="11">
        <v>57383561.869999968</v>
      </c>
      <c r="AHV90" s="269" t="s">
        <v>6278</v>
      </c>
      <c r="AHW90" s="269" t="s">
        <v>6121</v>
      </c>
      <c r="AHX90" s="269" t="s">
        <v>6122</v>
      </c>
    </row>
    <row r="91" spans="1:908" x14ac:dyDescent="0.7">
      <c r="A91" s="6" t="s">
        <v>6278</v>
      </c>
      <c r="B91" s="6" t="s">
        <v>6127</v>
      </c>
      <c r="C91" s="6" t="s">
        <v>6128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>
        <v>44548.33</v>
      </c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>
        <v>248719</v>
      </c>
      <c r="AC91" s="11"/>
      <c r="AD91" s="11"/>
      <c r="AE91" s="11">
        <v>661478.5</v>
      </c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>
        <v>205090</v>
      </c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>
        <v>34680</v>
      </c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>
        <v>53440</v>
      </c>
      <c r="OI91" s="11"/>
      <c r="OJ91" s="11"/>
      <c r="OK91" s="11">
        <v>0</v>
      </c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>
        <v>1956197.05</v>
      </c>
      <c r="PV91" s="11"/>
      <c r="PW91" s="11"/>
      <c r="PX91" s="11"/>
      <c r="PY91" s="11"/>
      <c r="PZ91" s="11"/>
      <c r="QA91" s="11"/>
      <c r="QB91" s="11"/>
      <c r="QC91" s="11"/>
      <c r="QD91" s="11"/>
      <c r="QE91" s="11">
        <v>13407337.310000001</v>
      </c>
      <c r="QF91" s="11"/>
      <c r="QG91" s="11"/>
      <c r="QH91" s="11"/>
      <c r="QI91" s="11">
        <v>65725</v>
      </c>
      <c r="QJ91" s="11"/>
      <c r="QK91" s="11"/>
      <c r="QL91" s="11"/>
      <c r="QM91" s="11"/>
      <c r="QN91" s="11"/>
      <c r="QO91" s="11"/>
      <c r="QP91" s="11"/>
      <c r="QQ91" s="11"/>
      <c r="QR91" s="11">
        <v>900</v>
      </c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>
        <v>0</v>
      </c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>
        <v>19063</v>
      </c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>
        <v>66947.100000000006</v>
      </c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>
        <v>57679.199999999997</v>
      </c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>
        <v>38952.32</v>
      </c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>
        <v>0</v>
      </c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>
        <v>0</v>
      </c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>
        <v>72562</v>
      </c>
      <c r="AGU91" s="11"/>
      <c r="AGV91" s="11"/>
      <c r="AGW91" s="11"/>
      <c r="AGX91" s="11"/>
      <c r="AGY91" s="11"/>
      <c r="AGZ91" s="11"/>
      <c r="AHA91" s="11">
        <v>20753.849999999999</v>
      </c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>
        <v>16954072.660000004</v>
      </c>
      <c r="AHV91" s="269" t="s">
        <v>6278</v>
      </c>
      <c r="AHW91" s="269" t="s">
        <v>6123</v>
      </c>
      <c r="AHX91" s="269" t="s">
        <v>6124</v>
      </c>
    </row>
    <row r="92" spans="1:908" x14ac:dyDescent="0.7">
      <c r="A92" s="6" t="s">
        <v>6278</v>
      </c>
      <c r="B92" s="6" t="s">
        <v>6129</v>
      </c>
      <c r="C92" s="6" t="s">
        <v>6130</v>
      </c>
      <c r="D92" s="11">
        <v>140350</v>
      </c>
      <c r="E92" s="11">
        <v>1610450</v>
      </c>
      <c r="F92" s="11">
        <v>8301471.6699999999</v>
      </c>
      <c r="G92" s="11">
        <v>1400750</v>
      </c>
      <c r="H92" s="11">
        <v>799550</v>
      </c>
      <c r="I92" s="11">
        <v>271800</v>
      </c>
      <c r="J92" s="11">
        <v>352200</v>
      </c>
      <c r="K92" s="11">
        <v>34100</v>
      </c>
      <c r="L92" s="11">
        <v>2384350</v>
      </c>
      <c r="M92" s="11">
        <v>1128300</v>
      </c>
      <c r="N92" s="11">
        <v>699900</v>
      </c>
      <c r="O92" s="11">
        <v>4814350</v>
      </c>
      <c r="P92" s="11">
        <v>608400</v>
      </c>
      <c r="Q92" s="11">
        <v>2362296</v>
      </c>
      <c r="R92" s="11">
        <v>437150</v>
      </c>
      <c r="S92" s="11">
        <v>5547000</v>
      </c>
      <c r="T92" s="11">
        <v>379500</v>
      </c>
      <c r="U92" s="11">
        <v>1111650</v>
      </c>
      <c r="V92" s="11">
        <v>5844713</v>
      </c>
      <c r="W92" s="11">
        <v>1321299</v>
      </c>
      <c r="X92" s="11">
        <v>1407909</v>
      </c>
      <c r="Y92" s="11">
        <v>2437267</v>
      </c>
      <c r="Z92" s="11">
        <v>3935437.33</v>
      </c>
      <c r="AA92" s="11">
        <v>8192093</v>
      </c>
      <c r="AB92" s="11">
        <v>5239305.1900000004</v>
      </c>
      <c r="AC92" s="11">
        <v>1157427</v>
      </c>
      <c r="AD92" s="11">
        <v>7545551</v>
      </c>
      <c r="AE92" s="11">
        <v>15302527</v>
      </c>
      <c r="AF92" s="11">
        <v>969446</v>
      </c>
      <c r="AG92" s="11">
        <v>9874351</v>
      </c>
      <c r="AH92" s="11">
        <v>1491300</v>
      </c>
      <c r="AI92" s="11">
        <v>11024746</v>
      </c>
      <c r="AJ92" s="11">
        <v>193751.48</v>
      </c>
      <c r="AK92" s="11">
        <v>6393416.1100000003</v>
      </c>
      <c r="AL92" s="11">
        <v>809927</v>
      </c>
      <c r="AM92" s="11">
        <v>4310766</v>
      </c>
      <c r="AN92" s="11">
        <v>283279</v>
      </c>
      <c r="AO92" s="11">
        <v>803353</v>
      </c>
      <c r="AP92" s="11">
        <v>2003247</v>
      </c>
      <c r="AQ92" s="11">
        <v>2946211</v>
      </c>
      <c r="AR92" s="11">
        <v>7920266</v>
      </c>
      <c r="AS92" s="11">
        <v>2216079</v>
      </c>
      <c r="AT92" s="11">
        <v>2124316.2000000002</v>
      </c>
      <c r="AU92" s="11">
        <v>63800</v>
      </c>
      <c r="AV92" s="11">
        <v>212900</v>
      </c>
      <c r="AW92" s="11">
        <v>137345</v>
      </c>
      <c r="AX92" s="11">
        <v>825900</v>
      </c>
      <c r="AY92" s="11">
        <v>4270900</v>
      </c>
      <c r="AZ92" s="11">
        <v>37800</v>
      </c>
      <c r="BA92" s="11">
        <v>61300</v>
      </c>
      <c r="BB92" s="11">
        <v>12200</v>
      </c>
      <c r="BC92" s="11">
        <v>81454</v>
      </c>
      <c r="BD92" s="11">
        <v>180000</v>
      </c>
      <c r="BE92" s="11">
        <v>467600</v>
      </c>
      <c r="BF92" s="11">
        <v>26210</v>
      </c>
      <c r="BG92" s="11">
        <v>132201.5</v>
      </c>
      <c r="BH92" s="11">
        <v>545900</v>
      </c>
      <c r="BI92" s="11">
        <v>7280</v>
      </c>
      <c r="BJ92" s="11">
        <v>33690</v>
      </c>
      <c r="BK92" s="11">
        <v>1496480</v>
      </c>
      <c r="BL92" s="11">
        <v>157409</v>
      </c>
      <c r="BM92" s="11">
        <v>6272900</v>
      </c>
      <c r="BN92" s="11">
        <v>1549573</v>
      </c>
      <c r="BO92" s="11">
        <v>794824</v>
      </c>
      <c r="BP92" s="11">
        <v>9206</v>
      </c>
      <c r="BQ92" s="11">
        <v>975055</v>
      </c>
      <c r="BR92" s="11">
        <v>199282</v>
      </c>
      <c r="BS92" s="11">
        <v>308080</v>
      </c>
      <c r="BT92" s="11">
        <v>766000</v>
      </c>
      <c r="BU92" s="11">
        <v>1213072.5</v>
      </c>
      <c r="BV92" s="11">
        <v>1174761.5</v>
      </c>
      <c r="BW92" s="11">
        <v>281920</v>
      </c>
      <c r="BX92" s="11">
        <v>430600</v>
      </c>
      <c r="BY92" s="11">
        <v>192420</v>
      </c>
      <c r="BZ92" s="11">
        <v>585192</v>
      </c>
      <c r="CA92" s="11">
        <v>2390340.08</v>
      </c>
      <c r="CB92" s="11">
        <v>252099.1</v>
      </c>
      <c r="CC92" s="11">
        <v>457670.5</v>
      </c>
      <c r="CD92" s="11">
        <v>1563572.25</v>
      </c>
      <c r="CE92" s="11">
        <v>1919117.25</v>
      </c>
      <c r="CF92" s="11">
        <v>1629230.02</v>
      </c>
      <c r="CG92" s="11">
        <v>136091.51999999999</v>
      </c>
      <c r="CH92" s="11">
        <v>922607</v>
      </c>
      <c r="CI92" s="11">
        <v>639832.13</v>
      </c>
      <c r="CJ92" s="11">
        <v>670022.13</v>
      </c>
      <c r="CK92" s="11">
        <v>875044.74</v>
      </c>
      <c r="CL92" s="11">
        <v>2192197.79</v>
      </c>
      <c r="CM92" s="11">
        <v>883080.5</v>
      </c>
      <c r="CN92" s="11">
        <v>1077482</v>
      </c>
      <c r="CO92" s="11">
        <v>258167.5</v>
      </c>
      <c r="CP92" s="11">
        <v>1263312.1299999999</v>
      </c>
      <c r="CQ92" s="11">
        <v>787502.5</v>
      </c>
      <c r="CR92" s="11">
        <v>1555223</v>
      </c>
      <c r="CS92" s="11">
        <v>961904.25</v>
      </c>
      <c r="CT92" s="11">
        <v>136979</v>
      </c>
      <c r="CU92" s="11">
        <v>866123</v>
      </c>
      <c r="CV92" s="11">
        <v>1529603.1</v>
      </c>
      <c r="CW92" s="11">
        <v>4734558.95</v>
      </c>
      <c r="CX92" s="11">
        <v>472477.35</v>
      </c>
      <c r="CY92" s="11">
        <v>4461743.75</v>
      </c>
      <c r="CZ92" s="11">
        <v>420219.85</v>
      </c>
      <c r="DA92" s="11">
        <v>571708.4</v>
      </c>
      <c r="DB92" s="11">
        <v>137490.31</v>
      </c>
      <c r="DC92" s="11">
        <v>1647578.09</v>
      </c>
      <c r="DD92" s="11">
        <v>19590</v>
      </c>
      <c r="DE92" s="11">
        <v>1281910.72</v>
      </c>
      <c r="DF92" s="11">
        <v>17055.5</v>
      </c>
      <c r="DG92" s="11">
        <v>3682937.39</v>
      </c>
      <c r="DH92" s="11">
        <v>2087143.25</v>
      </c>
      <c r="DI92" s="11">
        <v>700153.05</v>
      </c>
      <c r="DJ92" s="11">
        <v>9918.75</v>
      </c>
      <c r="DK92" s="11"/>
      <c r="DL92" s="11">
        <v>6847</v>
      </c>
      <c r="DM92" s="11">
        <v>0</v>
      </c>
      <c r="DN92" s="11">
        <v>0</v>
      </c>
      <c r="DO92" s="11">
        <v>0</v>
      </c>
      <c r="DP92" s="11">
        <v>435</v>
      </c>
      <c r="DQ92" s="11">
        <v>0</v>
      </c>
      <c r="DR92" s="11">
        <v>0</v>
      </c>
      <c r="DS92" s="11">
        <v>12877</v>
      </c>
      <c r="DT92" s="11">
        <v>312579</v>
      </c>
      <c r="DU92" s="11">
        <v>231847.5</v>
      </c>
      <c r="DV92" s="11">
        <v>2131310.75</v>
      </c>
      <c r="DW92" s="11">
        <v>1488933.68</v>
      </c>
      <c r="DX92" s="11">
        <v>408143</v>
      </c>
      <c r="DY92" s="11">
        <v>371256.95</v>
      </c>
      <c r="DZ92" s="11">
        <v>89431.12</v>
      </c>
      <c r="EA92" s="11">
        <v>446763.75</v>
      </c>
      <c r="EB92" s="11">
        <v>64614.25</v>
      </c>
      <c r="EC92" s="11">
        <v>409340.3</v>
      </c>
      <c r="ED92" s="11">
        <v>1275924.8899999999</v>
      </c>
      <c r="EE92" s="11">
        <v>53696</v>
      </c>
      <c r="EF92" s="11">
        <v>0</v>
      </c>
      <c r="EG92" s="11">
        <v>545039.1</v>
      </c>
      <c r="EH92" s="11">
        <v>973786.25</v>
      </c>
      <c r="EI92" s="11">
        <v>1261938.02</v>
      </c>
      <c r="EJ92" s="11">
        <v>593960.9</v>
      </c>
      <c r="EK92" s="11">
        <v>438662.5</v>
      </c>
      <c r="EL92" s="11">
        <v>123653.8</v>
      </c>
      <c r="EM92" s="11">
        <v>3356089.47</v>
      </c>
      <c r="EN92" s="11">
        <v>38006</v>
      </c>
      <c r="EO92" s="11">
        <v>5225595.62</v>
      </c>
      <c r="EP92" s="11">
        <v>6017120</v>
      </c>
      <c r="EQ92" s="11">
        <v>2089287.43</v>
      </c>
      <c r="ER92" s="11">
        <v>1345342.37</v>
      </c>
      <c r="ES92" s="11">
        <v>1069613.5</v>
      </c>
      <c r="ET92" s="11">
        <v>8371663.8700000001</v>
      </c>
      <c r="EU92" s="11">
        <v>9748357.75</v>
      </c>
      <c r="EV92" s="11">
        <v>4110754</v>
      </c>
      <c r="EW92" s="11">
        <v>619749</v>
      </c>
      <c r="EX92" s="11">
        <v>1549</v>
      </c>
      <c r="EY92" s="11">
        <v>2121700.67</v>
      </c>
      <c r="EZ92" s="11">
        <v>2547807</v>
      </c>
      <c r="FA92" s="11">
        <v>2543992.7999999998</v>
      </c>
      <c r="FB92" s="11">
        <v>3398826.04</v>
      </c>
      <c r="FC92" s="11">
        <v>5509581.6299999999</v>
      </c>
      <c r="FD92" s="11">
        <v>1602333.8</v>
      </c>
      <c r="FE92" s="11">
        <v>1177389</v>
      </c>
      <c r="FF92" s="11">
        <v>1520942.33</v>
      </c>
      <c r="FG92" s="11">
        <v>1336856.43</v>
      </c>
      <c r="FH92" s="11">
        <v>1343105.52</v>
      </c>
      <c r="FI92" s="11">
        <v>24606.75</v>
      </c>
      <c r="FJ92" s="11">
        <v>2172</v>
      </c>
      <c r="FK92" s="11">
        <v>27751.25</v>
      </c>
      <c r="FL92" s="11">
        <v>11521.15</v>
      </c>
      <c r="FM92" s="11">
        <v>767619.25</v>
      </c>
      <c r="FN92" s="11">
        <v>550340.25</v>
      </c>
      <c r="FO92" s="11">
        <v>59433.25</v>
      </c>
      <c r="FP92" s="11">
        <v>926445</v>
      </c>
      <c r="FQ92" s="11">
        <v>0</v>
      </c>
      <c r="FR92" s="11">
        <v>51143.5</v>
      </c>
      <c r="FS92" s="11">
        <v>167119.5</v>
      </c>
      <c r="FT92" s="11">
        <v>6255</v>
      </c>
      <c r="FU92" s="11">
        <v>199167</v>
      </c>
      <c r="FV92" s="11">
        <v>77236.75</v>
      </c>
      <c r="FW92" s="11">
        <v>990059.79</v>
      </c>
      <c r="FX92" s="11">
        <v>4200632.9000000004</v>
      </c>
      <c r="FY92" s="11">
        <v>382076.5</v>
      </c>
      <c r="FZ92" s="11">
        <v>597502.67000000004</v>
      </c>
      <c r="GA92" s="11">
        <v>168573.51</v>
      </c>
      <c r="GB92" s="11">
        <v>536443.5</v>
      </c>
      <c r="GC92" s="11">
        <v>320148.25</v>
      </c>
      <c r="GD92" s="11">
        <v>283174.38</v>
      </c>
      <c r="GE92" s="11">
        <v>2720</v>
      </c>
      <c r="GF92" s="11">
        <v>111611.5</v>
      </c>
      <c r="GG92" s="11">
        <v>543046.75</v>
      </c>
      <c r="GH92" s="11">
        <v>3172394.6</v>
      </c>
      <c r="GI92" s="11">
        <v>814150.1</v>
      </c>
      <c r="GJ92" s="11">
        <v>2649007.59</v>
      </c>
      <c r="GK92" s="11">
        <v>1195661</v>
      </c>
      <c r="GL92" s="11">
        <v>867921.05</v>
      </c>
      <c r="GM92" s="11">
        <v>387690.5</v>
      </c>
      <c r="GN92" s="11">
        <v>480676.25</v>
      </c>
      <c r="GO92" s="11">
        <v>353141.5</v>
      </c>
      <c r="GP92" s="11">
        <v>369194.75</v>
      </c>
      <c r="GQ92" s="11"/>
      <c r="GR92" s="11">
        <v>750</v>
      </c>
      <c r="GS92" s="11">
        <v>0</v>
      </c>
      <c r="GT92" s="11">
        <v>19315</v>
      </c>
      <c r="GU92" s="11">
        <v>532.75</v>
      </c>
      <c r="GV92" s="11">
        <v>600</v>
      </c>
      <c r="GW92" s="11">
        <v>7656</v>
      </c>
      <c r="GX92" s="11">
        <v>3012</v>
      </c>
      <c r="GY92" s="11">
        <v>195649.7</v>
      </c>
      <c r="GZ92" s="11">
        <v>2331668.15</v>
      </c>
      <c r="HA92" s="11">
        <v>5651614.5300000003</v>
      </c>
      <c r="HB92" s="11">
        <v>3342306.79</v>
      </c>
      <c r="HC92" s="11">
        <v>518430.5</v>
      </c>
      <c r="HD92" s="11">
        <v>10590475.050000001</v>
      </c>
      <c r="HE92" s="11">
        <v>6996048.75</v>
      </c>
      <c r="HF92" s="11">
        <v>21373891.07</v>
      </c>
      <c r="HG92" s="11">
        <v>6524603.9500000002</v>
      </c>
      <c r="HH92" s="11">
        <v>2798426.14</v>
      </c>
      <c r="HI92" s="11">
        <v>20715698.879999999</v>
      </c>
      <c r="HJ92" s="11"/>
      <c r="HK92" s="11">
        <v>2748857</v>
      </c>
      <c r="HL92" s="11">
        <v>19030864.75</v>
      </c>
      <c r="HM92" s="11">
        <v>35148658.450000003</v>
      </c>
      <c r="HN92" s="11">
        <v>11994616</v>
      </c>
      <c r="HO92" s="11">
        <v>6388733.0300000003</v>
      </c>
      <c r="HP92" s="11">
        <v>8422766</v>
      </c>
      <c r="HQ92" s="11">
        <v>175446.5</v>
      </c>
      <c r="HR92" s="11">
        <v>13431696.300000001</v>
      </c>
      <c r="HS92" s="11">
        <v>178302.25</v>
      </c>
      <c r="HT92" s="11">
        <v>97180.75</v>
      </c>
      <c r="HU92" s="11">
        <v>879332</v>
      </c>
      <c r="HV92" s="11">
        <v>3189110.38</v>
      </c>
      <c r="HW92" s="11">
        <v>873246.5</v>
      </c>
      <c r="HX92" s="11">
        <v>346688</v>
      </c>
      <c r="HY92" s="11">
        <v>2066436.5</v>
      </c>
      <c r="HZ92" s="11">
        <v>951496.25</v>
      </c>
      <c r="IA92" s="11">
        <v>1347366.75</v>
      </c>
      <c r="IB92" s="11">
        <v>485921</v>
      </c>
      <c r="IC92" s="11">
        <v>79029</v>
      </c>
      <c r="ID92" s="11">
        <v>300331.5</v>
      </c>
      <c r="IE92" s="11">
        <v>845901.75</v>
      </c>
      <c r="IF92" s="11">
        <v>499839.75</v>
      </c>
      <c r="IG92" s="11">
        <v>70663.25</v>
      </c>
      <c r="IH92" s="11">
        <v>270707</v>
      </c>
      <c r="II92" s="11">
        <v>144208.5</v>
      </c>
      <c r="IJ92" s="11">
        <v>7452486.5</v>
      </c>
      <c r="IK92" s="11">
        <v>5724275.2000000002</v>
      </c>
      <c r="IL92" s="11">
        <v>28054166</v>
      </c>
      <c r="IM92" s="11">
        <v>4949257.25</v>
      </c>
      <c r="IN92" s="11">
        <v>9541848.6600000001</v>
      </c>
      <c r="IO92" s="11">
        <v>1755920.25</v>
      </c>
      <c r="IP92" s="11">
        <v>987511.75</v>
      </c>
      <c r="IQ92" s="11">
        <v>1048548.5</v>
      </c>
      <c r="IR92" s="11">
        <v>842634.94</v>
      </c>
      <c r="IS92" s="11">
        <v>7143645.5</v>
      </c>
      <c r="IT92" s="11">
        <v>1207476</v>
      </c>
      <c r="IU92" s="11">
        <v>3650915.2</v>
      </c>
      <c r="IV92" s="11">
        <v>2413507</v>
      </c>
      <c r="IW92" s="11">
        <v>11407987.26</v>
      </c>
      <c r="IX92" s="11">
        <v>8927163.0999999996</v>
      </c>
      <c r="IY92" s="11">
        <v>4955024.75</v>
      </c>
      <c r="IZ92" s="11">
        <v>7885019</v>
      </c>
      <c r="JA92" s="11">
        <v>1732979</v>
      </c>
      <c r="JB92" s="11">
        <v>3333681</v>
      </c>
      <c r="JC92" s="11">
        <v>7949887.4000000004</v>
      </c>
      <c r="JD92" s="11">
        <v>13019380.09</v>
      </c>
      <c r="JE92" s="11">
        <v>6346635.4100000001</v>
      </c>
      <c r="JF92" s="11">
        <v>1400</v>
      </c>
      <c r="JG92" s="11">
        <v>1846225.15</v>
      </c>
      <c r="JH92" s="11">
        <v>2834655.5</v>
      </c>
      <c r="JI92" s="11">
        <v>287630</v>
      </c>
      <c r="JJ92" s="11">
        <v>0</v>
      </c>
      <c r="JK92" s="11">
        <v>141752.1</v>
      </c>
      <c r="JL92" s="11">
        <v>69217.41</v>
      </c>
      <c r="JM92" s="11">
        <v>131099.09</v>
      </c>
      <c r="JN92" s="11">
        <v>372684.41</v>
      </c>
      <c r="JO92" s="11">
        <v>1452967.49</v>
      </c>
      <c r="JP92" s="11">
        <v>505356.95</v>
      </c>
      <c r="JQ92" s="11">
        <v>2368610.04</v>
      </c>
      <c r="JR92" s="11">
        <v>23854.75</v>
      </c>
      <c r="JS92" s="11"/>
      <c r="JT92" s="11">
        <v>347714</v>
      </c>
      <c r="JU92" s="11">
        <v>859637.68</v>
      </c>
      <c r="JV92" s="11"/>
      <c r="JW92" s="11">
        <v>2999051.5</v>
      </c>
      <c r="JX92" s="11">
        <v>664000</v>
      </c>
      <c r="JY92" s="11">
        <v>2055858</v>
      </c>
      <c r="JZ92" s="11"/>
      <c r="KA92" s="11">
        <v>182329.75</v>
      </c>
      <c r="KB92" s="11"/>
      <c r="KC92" s="11">
        <v>2336497.25</v>
      </c>
      <c r="KD92" s="11">
        <v>2161041.75</v>
      </c>
      <c r="KE92" s="11">
        <v>782932.5</v>
      </c>
      <c r="KF92" s="11">
        <v>514140</v>
      </c>
      <c r="KG92" s="11"/>
      <c r="KH92" s="11">
        <v>1142772.5</v>
      </c>
      <c r="KI92" s="11"/>
      <c r="KJ92" s="11">
        <v>4494057</v>
      </c>
      <c r="KK92" s="11">
        <v>5314564</v>
      </c>
      <c r="KL92" s="11">
        <v>7273957.5</v>
      </c>
      <c r="KM92" s="11">
        <v>588628</v>
      </c>
      <c r="KN92" s="11">
        <v>1237413.75</v>
      </c>
      <c r="KO92" s="11">
        <v>569041</v>
      </c>
      <c r="KP92" s="11">
        <v>19668</v>
      </c>
      <c r="KQ92" s="11">
        <v>891607</v>
      </c>
      <c r="KR92" s="11">
        <v>424986.18</v>
      </c>
      <c r="KS92" s="11">
        <v>1359078.42</v>
      </c>
      <c r="KT92" s="11">
        <v>5441924.2400000002</v>
      </c>
      <c r="KU92" s="11">
        <v>5389907.4900000002</v>
      </c>
      <c r="KV92" s="11">
        <v>534246.1</v>
      </c>
      <c r="KW92" s="11">
        <v>4179941.83</v>
      </c>
      <c r="KX92" s="11">
        <v>200</v>
      </c>
      <c r="KY92" s="11">
        <v>1771805.38</v>
      </c>
      <c r="KZ92" s="11"/>
      <c r="LA92" s="11">
        <v>141305</v>
      </c>
      <c r="LB92" s="11">
        <v>414800</v>
      </c>
      <c r="LC92" s="11"/>
      <c r="LD92" s="11">
        <v>1604825.01</v>
      </c>
      <c r="LE92" s="11">
        <v>292341.67</v>
      </c>
      <c r="LF92" s="11"/>
      <c r="LG92" s="11"/>
      <c r="LH92" s="11">
        <v>1973332.5</v>
      </c>
      <c r="LI92" s="11">
        <v>7004580.3200000003</v>
      </c>
      <c r="LJ92" s="11">
        <v>4810188.91</v>
      </c>
      <c r="LK92" s="11">
        <v>11109421.9</v>
      </c>
      <c r="LL92" s="11">
        <v>8243692.6600000001</v>
      </c>
      <c r="LM92" s="11">
        <v>12193944.42</v>
      </c>
      <c r="LN92" s="11">
        <v>3483596.87</v>
      </c>
      <c r="LO92" s="11">
        <v>7256975.0899999999</v>
      </c>
      <c r="LP92" s="11">
        <v>681810.81</v>
      </c>
      <c r="LQ92" s="11">
        <v>12064814.15</v>
      </c>
      <c r="LR92" s="11">
        <v>1925381.45</v>
      </c>
      <c r="LS92" s="11"/>
      <c r="LT92" s="11"/>
      <c r="LU92" s="11"/>
      <c r="LV92" s="11">
        <v>92090.91</v>
      </c>
      <c r="LW92" s="11">
        <v>3222043.45</v>
      </c>
      <c r="LX92" s="11">
        <v>3298896.39</v>
      </c>
      <c r="LY92" s="11">
        <v>4491943</v>
      </c>
      <c r="LZ92" s="11">
        <v>4968851</v>
      </c>
      <c r="MA92" s="11">
        <v>4317516</v>
      </c>
      <c r="MB92" s="11">
        <v>8571748.25</v>
      </c>
      <c r="MC92" s="11">
        <v>6209272</v>
      </c>
      <c r="MD92" s="11">
        <v>5898351</v>
      </c>
      <c r="ME92" s="11">
        <v>4039145.5</v>
      </c>
      <c r="MF92" s="11">
        <v>11442201.189999999</v>
      </c>
      <c r="MG92" s="11">
        <v>3545884</v>
      </c>
      <c r="MH92" s="11">
        <v>37091</v>
      </c>
      <c r="MI92" s="11">
        <v>2413776</v>
      </c>
      <c r="MJ92" s="11">
        <v>1743829</v>
      </c>
      <c r="MK92" s="11">
        <v>1042113</v>
      </c>
      <c r="ML92" s="11">
        <v>1173991</v>
      </c>
      <c r="MM92" s="11">
        <v>4514009</v>
      </c>
      <c r="MN92" s="11">
        <v>2008179</v>
      </c>
      <c r="MO92" s="11">
        <v>1169290</v>
      </c>
      <c r="MP92" s="11">
        <v>1933589</v>
      </c>
      <c r="MQ92" s="11">
        <v>1514408</v>
      </c>
      <c r="MR92" s="11">
        <v>2369149.4</v>
      </c>
      <c r="MS92" s="11">
        <v>1123996</v>
      </c>
      <c r="MT92" s="11">
        <v>592280.75</v>
      </c>
      <c r="MU92" s="11">
        <v>3474769.01</v>
      </c>
      <c r="MV92" s="11">
        <v>5392139</v>
      </c>
      <c r="MW92" s="11">
        <v>2977276.25</v>
      </c>
      <c r="MX92" s="11">
        <v>4972926.75</v>
      </c>
      <c r="MY92" s="11">
        <v>1317841.75</v>
      </c>
      <c r="MZ92" s="11">
        <v>15545437.85</v>
      </c>
      <c r="NA92" s="11">
        <v>3723254.25</v>
      </c>
      <c r="NB92" s="11">
        <v>2561217.5499999998</v>
      </c>
      <c r="NC92" s="11">
        <v>1521999.75</v>
      </c>
      <c r="ND92" s="11">
        <v>1746344.5</v>
      </c>
      <c r="NE92" s="11">
        <v>345709.8</v>
      </c>
      <c r="NF92" s="11">
        <v>5829216.2000000002</v>
      </c>
      <c r="NG92" s="11">
        <v>2366698.75</v>
      </c>
      <c r="NH92" s="11">
        <v>2649106.9300000002</v>
      </c>
      <c r="NI92" s="11">
        <v>5575981.25</v>
      </c>
      <c r="NJ92" s="11">
        <v>969682</v>
      </c>
      <c r="NK92" s="11">
        <v>3456960.25</v>
      </c>
      <c r="NL92" s="11">
        <v>576933</v>
      </c>
      <c r="NM92" s="11">
        <v>0</v>
      </c>
      <c r="NN92" s="11">
        <v>970404.8</v>
      </c>
      <c r="NO92" s="11">
        <v>0</v>
      </c>
      <c r="NP92" s="11">
        <v>642255.5</v>
      </c>
      <c r="NQ92" s="11">
        <v>0</v>
      </c>
      <c r="NR92" s="11">
        <v>102931</v>
      </c>
      <c r="NS92" s="11">
        <v>1025426.25</v>
      </c>
      <c r="NT92" s="11">
        <v>283131.13</v>
      </c>
      <c r="NU92" s="11">
        <v>41961</v>
      </c>
      <c r="NV92" s="11">
        <v>16583</v>
      </c>
      <c r="NW92" s="11">
        <v>0</v>
      </c>
      <c r="NX92" s="11">
        <v>699354</v>
      </c>
      <c r="NY92" s="11">
        <v>2278428.17</v>
      </c>
      <c r="NZ92" s="11">
        <v>2877432.69</v>
      </c>
      <c r="OA92" s="11">
        <v>3090227</v>
      </c>
      <c r="OB92" s="11">
        <v>9131045.4000000004</v>
      </c>
      <c r="OC92" s="11">
        <v>6563387</v>
      </c>
      <c r="OD92" s="11">
        <v>4327237.45</v>
      </c>
      <c r="OE92" s="11">
        <v>0</v>
      </c>
      <c r="OF92" s="11"/>
      <c r="OG92" s="11">
        <v>1305513.94</v>
      </c>
      <c r="OH92" s="11">
        <v>1646571.82</v>
      </c>
      <c r="OI92" s="11">
        <v>6233760.7800000003</v>
      </c>
      <c r="OJ92" s="11">
        <v>2541980.39</v>
      </c>
      <c r="OK92" s="11">
        <v>9308183.9600000009</v>
      </c>
      <c r="OL92" s="11">
        <v>11000000</v>
      </c>
      <c r="OM92" s="11">
        <v>2034742.94</v>
      </c>
      <c r="ON92" s="11">
        <v>188729</v>
      </c>
      <c r="OO92" s="11">
        <v>790873.5</v>
      </c>
      <c r="OP92" s="11">
        <v>4280501.95</v>
      </c>
      <c r="OQ92" s="11">
        <v>2160</v>
      </c>
      <c r="OR92" s="11">
        <v>3642382</v>
      </c>
      <c r="OS92" s="11">
        <v>19543673.449999999</v>
      </c>
      <c r="OT92" s="11">
        <v>75542.5</v>
      </c>
      <c r="OU92" s="11">
        <v>565895.69999999995</v>
      </c>
      <c r="OV92" s="11">
        <v>492126</v>
      </c>
      <c r="OW92" s="11">
        <v>380938.5</v>
      </c>
      <c r="OX92" s="11">
        <v>616270</v>
      </c>
      <c r="OY92" s="11">
        <v>259024</v>
      </c>
      <c r="OZ92" s="11">
        <v>301436.5</v>
      </c>
      <c r="PA92" s="11"/>
      <c r="PB92" s="11">
        <v>1181214.5</v>
      </c>
      <c r="PC92" s="11"/>
      <c r="PD92" s="11">
        <v>93092.86</v>
      </c>
      <c r="PE92" s="11">
        <v>36588.699999999997</v>
      </c>
      <c r="PF92" s="11">
        <v>8749.39</v>
      </c>
      <c r="PG92" s="11">
        <v>72317.039999999994</v>
      </c>
      <c r="PH92" s="11"/>
      <c r="PI92" s="11">
        <v>207319.28</v>
      </c>
      <c r="PJ92" s="11">
        <v>154025.44</v>
      </c>
      <c r="PK92" s="11">
        <v>1673455.11</v>
      </c>
      <c r="PL92" s="11">
        <v>17052.349999999999</v>
      </c>
      <c r="PM92" s="11">
        <v>1139890.4099999999</v>
      </c>
      <c r="PN92" s="11">
        <v>1537059.68</v>
      </c>
      <c r="PO92" s="11">
        <v>54900</v>
      </c>
      <c r="PP92" s="11">
        <v>1869882.68</v>
      </c>
      <c r="PQ92" s="11">
        <v>110445.72</v>
      </c>
      <c r="PR92" s="11">
        <v>2446705.96</v>
      </c>
      <c r="PS92" s="11"/>
      <c r="PT92" s="11">
        <v>211758.53</v>
      </c>
      <c r="PU92" s="11"/>
      <c r="PV92" s="11">
        <v>126777</v>
      </c>
      <c r="PW92" s="11"/>
      <c r="PX92" s="11">
        <v>50850</v>
      </c>
      <c r="PY92" s="11"/>
      <c r="PZ92" s="11"/>
      <c r="QA92" s="11">
        <v>519468</v>
      </c>
      <c r="QB92" s="11">
        <v>5000</v>
      </c>
      <c r="QC92" s="11">
        <v>0</v>
      </c>
      <c r="QD92" s="11"/>
      <c r="QE92" s="11"/>
      <c r="QF92" s="11"/>
      <c r="QG92" s="11"/>
      <c r="QH92" s="11">
        <v>0</v>
      </c>
      <c r="QI92" s="11"/>
      <c r="QJ92" s="11">
        <v>0</v>
      </c>
      <c r="QK92" s="11"/>
      <c r="QL92" s="11"/>
      <c r="QM92" s="11">
        <v>6400</v>
      </c>
      <c r="QN92" s="11"/>
      <c r="QO92" s="11">
        <v>2191354</v>
      </c>
      <c r="QP92" s="11"/>
      <c r="QQ92" s="11"/>
      <c r="QR92" s="11"/>
      <c r="QS92" s="11"/>
      <c r="QT92" s="11">
        <v>1327346.48</v>
      </c>
      <c r="QU92" s="11">
        <v>435682.63</v>
      </c>
      <c r="QV92" s="11">
        <v>1467994.5</v>
      </c>
      <c r="QW92" s="11">
        <v>11203469.439999999</v>
      </c>
      <c r="QX92" s="11">
        <v>2211712</v>
      </c>
      <c r="QY92" s="11">
        <v>1803695</v>
      </c>
      <c r="QZ92" s="11">
        <v>1201436.6000000001</v>
      </c>
      <c r="RA92" s="11">
        <v>3920887.75</v>
      </c>
      <c r="RB92" s="11">
        <v>1986621.96</v>
      </c>
      <c r="RC92" s="11">
        <v>12671</v>
      </c>
      <c r="RD92" s="11">
        <v>4851993.25</v>
      </c>
      <c r="RE92" s="11">
        <v>1157537.2</v>
      </c>
      <c r="RF92" s="11">
        <v>311391</v>
      </c>
      <c r="RG92" s="11">
        <v>1053141.8899999999</v>
      </c>
      <c r="RH92" s="11"/>
      <c r="RI92" s="11">
        <v>913456</v>
      </c>
      <c r="RJ92" s="11">
        <v>3185515</v>
      </c>
      <c r="RK92" s="11">
        <v>2084980</v>
      </c>
      <c r="RL92" s="11">
        <v>2781683</v>
      </c>
      <c r="RM92" s="11">
        <v>2042868</v>
      </c>
      <c r="RN92" s="11"/>
      <c r="RO92" s="11">
        <v>1404725</v>
      </c>
      <c r="RP92" s="11">
        <v>1193850</v>
      </c>
      <c r="RQ92" s="11">
        <v>874356</v>
      </c>
      <c r="RR92" s="11">
        <v>4339933</v>
      </c>
      <c r="RS92" s="11">
        <v>89800</v>
      </c>
      <c r="RT92" s="11">
        <v>1509210</v>
      </c>
      <c r="RU92" s="11">
        <v>2817728</v>
      </c>
      <c r="RV92" s="11">
        <v>3261220</v>
      </c>
      <c r="RW92" s="11">
        <v>24495</v>
      </c>
      <c r="RX92" s="11">
        <v>1248100</v>
      </c>
      <c r="RY92" s="11">
        <v>116725</v>
      </c>
      <c r="RZ92" s="11">
        <v>1597909.85</v>
      </c>
      <c r="SA92" s="11">
        <v>1493848</v>
      </c>
      <c r="SB92" s="11">
        <v>255570</v>
      </c>
      <c r="SC92" s="11"/>
      <c r="SD92" s="11">
        <v>780066.35</v>
      </c>
      <c r="SE92" s="11">
        <v>1394983</v>
      </c>
      <c r="SF92" s="11">
        <v>283516</v>
      </c>
      <c r="SG92" s="11">
        <v>1229527.3999999999</v>
      </c>
      <c r="SH92" s="11">
        <v>693310.66</v>
      </c>
      <c r="SI92" s="11">
        <v>2263154</v>
      </c>
      <c r="SJ92" s="11">
        <v>284137</v>
      </c>
      <c r="SK92" s="11">
        <v>0</v>
      </c>
      <c r="SL92" s="11">
        <v>1780110.5</v>
      </c>
      <c r="SM92" s="11">
        <v>516913.67</v>
      </c>
      <c r="SN92" s="11">
        <v>1125091.52</v>
      </c>
      <c r="SO92" s="11">
        <v>1438336.58</v>
      </c>
      <c r="SP92" s="11">
        <v>1502619.03</v>
      </c>
      <c r="SQ92" s="11">
        <v>350415.5</v>
      </c>
      <c r="SR92" s="11">
        <v>681187.46</v>
      </c>
      <c r="SS92" s="11">
        <v>119250.5</v>
      </c>
      <c r="ST92" s="11">
        <v>671817.25</v>
      </c>
      <c r="SU92" s="11">
        <v>756202.25</v>
      </c>
      <c r="SV92" s="11"/>
      <c r="SW92" s="11">
        <v>0</v>
      </c>
      <c r="SX92" s="11">
        <v>0</v>
      </c>
      <c r="SY92" s="11">
        <v>0</v>
      </c>
      <c r="SZ92" s="11">
        <v>0</v>
      </c>
      <c r="TA92" s="11">
        <v>0</v>
      </c>
      <c r="TB92" s="11"/>
      <c r="TC92" s="11">
        <v>0</v>
      </c>
      <c r="TD92" s="11">
        <v>0</v>
      </c>
      <c r="TE92" s="11">
        <v>0</v>
      </c>
      <c r="TF92" s="11">
        <v>0</v>
      </c>
      <c r="TG92" s="11">
        <v>0</v>
      </c>
      <c r="TH92" s="11">
        <v>0</v>
      </c>
      <c r="TI92" s="11">
        <v>0</v>
      </c>
      <c r="TJ92" s="11">
        <v>0</v>
      </c>
      <c r="TK92" s="11"/>
      <c r="TL92" s="11"/>
      <c r="TM92" s="11"/>
      <c r="TN92" s="11"/>
      <c r="TO92" s="11"/>
      <c r="TP92" s="11">
        <v>0</v>
      </c>
      <c r="TQ92" s="11">
        <v>0</v>
      </c>
      <c r="TR92" s="11">
        <v>50832</v>
      </c>
      <c r="TS92" s="11"/>
      <c r="TT92" s="11">
        <v>0</v>
      </c>
      <c r="TU92" s="11">
        <v>7261.68</v>
      </c>
      <c r="TV92" s="11">
        <v>32734</v>
      </c>
      <c r="TW92" s="11"/>
      <c r="TX92" s="11"/>
      <c r="TY92" s="11"/>
      <c r="TZ92" s="11">
        <v>698593.25</v>
      </c>
      <c r="UA92" s="11"/>
      <c r="UB92" s="11">
        <v>367660.38</v>
      </c>
      <c r="UC92" s="11">
        <v>0</v>
      </c>
      <c r="UD92" s="11">
        <v>0</v>
      </c>
      <c r="UE92" s="11">
        <v>223804.25</v>
      </c>
      <c r="UF92" s="11">
        <v>543152.5</v>
      </c>
      <c r="UG92" s="11">
        <v>326288.5</v>
      </c>
      <c r="UH92" s="11">
        <v>0</v>
      </c>
      <c r="UI92" s="11">
        <v>1220092</v>
      </c>
      <c r="UJ92" s="11"/>
      <c r="UK92" s="11">
        <v>0</v>
      </c>
      <c r="UL92" s="11">
        <v>295429.90000000002</v>
      </c>
      <c r="UM92" s="11"/>
      <c r="UN92" s="11">
        <v>1214000.7</v>
      </c>
      <c r="UO92" s="11">
        <v>658762.09</v>
      </c>
      <c r="UP92" s="11">
        <v>814090.84</v>
      </c>
      <c r="UQ92" s="11"/>
      <c r="UR92" s="11">
        <v>2241306</v>
      </c>
      <c r="US92" s="11">
        <v>2002878</v>
      </c>
      <c r="UT92" s="11">
        <v>2006350</v>
      </c>
      <c r="UU92" s="11">
        <v>6550</v>
      </c>
      <c r="UV92" s="11">
        <v>596500</v>
      </c>
      <c r="UW92" s="11">
        <v>5003124</v>
      </c>
      <c r="UX92" s="11">
        <v>544442.5</v>
      </c>
      <c r="UY92" s="11">
        <v>76298</v>
      </c>
      <c r="UZ92" s="11">
        <v>2374955</v>
      </c>
      <c r="VA92" s="11">
        <v>2013140.18</v>
      </c>
      <c r="VB92" s="11">
        <v>1873810</v>
      </c>
      <c r="VC92" s="11">
        <v>1060288.55</v>
      </c>
      <c r="VD92" s="11">
        <v>2568060</v>
      </c>
      <c r="VE92" s="11">
        <v>2535338.6</v>
      </c>
      <c r="VF92" s="11">
        <v>1242077</v>
      </c>
      <c r="VG92" s="11">
        <v>913097.6</v>
      </c>
      <c r="VH92" s="11">
        <v>744855</v>
      </c>
      <c r="VI92" s="11">
        <v>3149150</v>
      </c>
      <c r="VJ92" s="11">
        <v>1721790</v>
      </c>
      <c r="VK92" s="11">
        <v>826370</v>
      </c>
      <c r="VL92" s="11">
        <v>657013.54</v>
      </c>
      <c r="VM92" s="11">
        <v>1296825.3</v>
      </c>
      <c r="VN92" s="11">
        <v>313090.94</v>
      </c>
      <c r="VO92" s="11">
        <v>371760.05</v>
      </c>
      <c r="VP92" s="11">
        <v>8945894.3900000006</v>
      </c>
      <c r="VQ92" s="11">
        <v>99882.74</v>
      </c>
      <c r="VR92" s="11">
        <v>5520025.8399999999</v>
      </c>
      <c r="VS92" s="11">
        <v>382455.16</v>
      </c>
      <c r="VT92" s="11">
        <v>59109.08</v>
      </c>
      <c r="VU92" s="11">
        <v>3743310.55</v>
      </c>
      <c r="VV92" s="11">
        <v>99358.75</v>
      </c>
      <c r="VW92" s="11">
        <v>942551.51</v>
      </c>
      <c r="VX92" s="11">
        <v>605822.62</v>
      </c>
      <c r="VY92" s="11">
        <v>1086807.6499999999</v>
      </c>
      <c r="VZ92" s="11">
        <v>211129.73</v>
      </c>
      <c r="WA92" s="11">
        <v>2239255.2599999998</v>
      </c>
      <c r="WB92" s="11"/>
      <c r="WC92" s="11">
        <v>1320127</v>
      </c>
      <c r="WD92" s="11">
        <v>1498759.7</v>
      </c>
      <c r="WE92" s="11">
        <v>0</v>
      </c>
      <c r="WF92" s="11">
        <v>0</v>
      </c>
      <c r="WG92" s="11">
        <v>744346.2</v>
      </c>
      <c r="WH92" s="11">
        <v>1685858.6</v>
      </c>
      <c r="WI92" s="11">
        <v>647081.1</v>
      </c>
      <c r="WJ92" s="11">
        <v>482098</v>
      </c>
      <c r="WK92" s="11">
        <v>10432923.1</v>
      </c>
      <c r="WL92" s="11">
        <v>1098311.7</v>
      </c>
      <c r="WM92" s="11">
        <v>400</v>
      </c>
      <c r="WN92" s="11">
        <v>1070678.6000000001</v>
      </c>
      <c r="WO92" s="11">
        <v>3656514.5</v>
      </c>
      <c r="WP92" s="11">
        <v>1019548.1</v>
      </c>
      <c r="WQ92" s="11">
        <v>942407.8</v>
      </c>
      <c r="WR92" s="11">
        <v>0</v>
      </c>
      <c r="WS92" s="11">
        <v>2042942.61</v>
      </c>
      <c r="WT92" s="11">
        <v>183934</v>
      </c>
      <c r="WU92" s="11">
        <v>505397.2</v>
      </c>
      <c r="WV92" s="11">
        <v>124164</v>
      </c>
      <c r="WW92" s="11">
        <v>6622555.4000000004</v>
      </c>
      <c r="WX92" s="11">
        <v>1750069.6</v>
      </c>
      <c r="WY92" s="11"/>
      <c r="WZ92" s="11">
        <v>0</v>
      </c>
      <c r="XA92" s="11">
        <v>273050</v>
      </c>
      <c r="XB92" s="11">
        <v>0</v>
      </c>
      <c r="XC92" s="11">
        <v>888366.3</v>
      </c>
      <c r="XD92" s="11">
        <v>125390</v>
      </c>
      <c r="XE92" s="11">
        <v>2577880.6</v>
      </c>
      <c r="XF92" s="11">
        <v>7480</v>
      </c>
      <c r="XG92" s="11"/>
      <c r="XH92" s="11">
        <v>133747</v>
      </c>
      <c r="XI92" s="11">
        <v>958195.22</v>
      </c>
      <c r="XJ92" s="11">
        <v>6086555.5</v>
      </c>
      <c r="XK92" s="11">
        <v>8090393.5</v>
      </c>
      <c r="XL92" s="11">
        <v>4112990.15</v>
      </c>
      <c r="XM92" s="11">
        <v>5125624.07</v>
      </c>
      <c r="XN92" s="11">
        <v>3783042.35</v>
      </c>
      <c r="XO92" s="11">
        <v>10753722.949999999</v>
      </c>
      <c r="XP92" s="11">
        <v>7502719.8499999996</v>
      </c>
      <c r="XQ92" s="11">
        <v>3486408.75</v>
      </c>
      <c r="XR92" s="11">
        <v>10590557.630000001</v>
      </c>
      <c r="XS92" s="11">
        <v>9027212.5</v>
      </c>
      <c r="XT92" s="11">
        <v>2426429.54</v>
      </c>
      <c r="XU92" s="11">
        <v>3166562</v>
      </c>
      <c r="XV92" s="11">
        <v>4088617.43</v>
      </c>
      <c r="XW92" s="11">
        <v>3719422.38</v>
      </c>
      <c r="XX92" s="11">
        <v>3517881</v>
      </c>
      <c r="XY92" s="11">
        <v>1529160.5</v>
      </c>
      <c r="XZ92" s="11">
        <v>2333188.04</v>
      </c>
      <c r="YA92" s="11">
        <v>2340354.63</v>
      </c>
      <c r="YB92" s="11">
        <v>1135366.6499999999</v>
      </c>
      <c r="YC92" s="11">
        <v>2344767.62</v>
      </c>
      <c r="YD92" s="11">
        <v>2517277.25</v>
      </c>
      <c r="YE92" s="11">
        <v>6111373.6299999999</v>
      </c>
      <c r="YF92" s="11">
        <v>2678906</v>
      </c>
      <c r="YG92" s="11">
        <v>1133678.5</v>
      </c>
      <c r="YH92" s="11">
        <v>1409857.01</v>
      </c>
      <c r="YI92" s="11">
        <v>487296.65</v>
      </c>
      <c r="YJ92" s="11">
        <v>4638218.38</v>
      </c>
      <c r="YK92" s="11">
        <v>82602.259999999995</v>
      </c>
      <c r="YL92" s="11">
        <v>1314144.5</v>
      </c>
      <c r="YM92" s="11">
        <v>245184.75</v>
      </c>
      <c r="YN92" s="11">
        <v>755446.77</v>
      </c>
      <c r="YO92" s="11">
        <v>2264688.0099999998</v>
      </c>
      <c r="YP92" s="11">
        <v>821775.8</v>
      </c>
      <c r="YQ92" s="11">
        <v>561452</v>
      </c>
      <c r="YR92" s="11">
        <v>1014709.25</v>
      </c>
      <c r="YS92" s="11">
        <v>101872</v>
      </c>
      <c r="YT92" s="11">
        <v>177356</v>
      </c>
      <c r="YU92" s="11">
        <v>913613</v>
      </c>
      <c r="YV92" s="11">
        <v>462748.98</v>
      </c>
      <c r="YW92" s="11">
        <v>180450</v>
      </c>
      <c r="YX92" s="11">
        <v>552810</v>
      </c>
      <c r="YY92" s="11">
        <v>341490</v>
      </c>
      <c r="YZ92" s="11">
        <v>523420</v>
      </c>
      <c r="ZA92" s="11">
        <v>979990</v>
      </c>
      <c r="ZB92" s="11">
        <v>207350</v>
      </c>
      <c r="ZC92" s="11">
        <v>69200</v>
      </c>
      <c r="ZD92" s="11"/>
      <c r="ZE92" s="11"/>
      <c r="ZF92" s="11"/>
      <c r="ZG92" s="11"/>
      <c r="ZH92" s="11"/>
      <c r="ZI92" s="11"/>
      <c r="ZJ92" s="11"/>
      <c r="ZK92" s="11"/>
      <c r="ZL92" s="11"/>
      <c r="ZM92" s="11">
        <v>0</v>
      </c>
      <c r="ZN92" s="11">
        <v>266666.67</v>
      </c>
      <c r="ZO92" s="11"/>
      <c r="ZP92" s="11">
        <v>0</v>
      </c>
      <c r="ZQ92" s="11">
        <v>0</v>
      </c>
      <c r="ZR92" s="11">
        <v>0</v>
      </c>
      <c r="ZS92" s="11">
        <v>0</v>
      </c>
      <c r="ZT92" s="11">
        <v>0</v>
      </c>
      <c r="ZU92" s="11">
        <v>0</v>
      </c>
      <c r="ZV92" s="11"/>
      <c r="ZW92" s="11"/>
      <c r="ZX92" s="11">
        <v>59038.5</v>
      </c>
      <c r="ZY92" s="11">
        <v>0</v>
      </c>
      <c r="ZZ92" s="11">
        <v>0</v>
      </c>
      <c r="AAA92" s="11"/>
      <c r="AAB92" s="11">
        <v>0</v>
      </c>
      <c r="AAC92" s="11">
        <v>0</v>
      </c>
      <c r="AAD92" s="11">
        <v>0</v>
      </c>
      <c r="AAE92" s="11">
        <v>0</v>
      </c>
      <c r="AAF92" s="11">
        <v>0</v>
      </c>
      <c r="AAG92" s="11"/>
      <c r="AAH92" s="11">
        <v>0</v>
      </c>
      <c r="AAI92" s="11">
        <v>27384.75</v>
      </c>
      <c r="AAJ92" s="11">
        <v>357290</v>
      </c>
      <c r="AAK92" s="11">
        <v>611.75</v>
      </c>
      <c r="AAL92" s="11">
        <v>257000</v>
      </c>
      <c r="AAM92" s="11">
        <v>477321</v>
      </c>
      <c r="AAN92" s="11">
        <v>120789</v>
      </c>
      <c r="AAO92" s="11">
        <v>313470</v>
      </c>
      <c r="AAP92" s="11"/>
      <c r="AAQ92" s="11"/>
      <c r="AAR92" s="11">
        <v>467560</v>
      </c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>
        <v>0</v>
      </c>
      <c r="ABJ92" s="11"/>
      <c r="ABK92" s="11"/>
      <c r="ABL92" s="11"/>
      <c r="ABM92" s="11"/>
      <c r="ABN92" s="11"/>
      <c r="ABO92" s="11">
        <v>6520</v>
      </c>
      <c r="ABP92" s="11">
        <v>0</v>
      </c>
      <c r="ABQ92" s="11">
        <v>0</v>
      </c>
      <c r="ABR92" s="11">
        <v>0</v>
      </c>
      <c r="ABS92" s="11">
        <v>0</v>
      </c>
      <c r="ABT92" s="11">
        <v>18920</v>
      </c>
      <c r="ABU92" s="11">
        <v>0</v>
      </c>
      <c r="ABV92" s="11">
        <v>0</v>
      </c>
      <c r="ABW92" s="11">
        <v>17380</v>
      </c>
      <c r="ABX92" s="11"/>
      <c r="ABY92" s="11"/>
      <c r="ABZ92" s="11"/>
      <c r="ACA92" s="11">
        <v>15000</v>
      </c>
      <c r="ACB92" s="11">
        <v>35300</v>
      </c>
      <c r="ACC92" s="11">
        <v>222</v>
      </c>
      <c r="ACD92" s="11">
        <v>1476609.25</v>
      </c>
      <c r="ACE92" s="11"/>
      <c r="ACF92" s="11">
        <v>0</v>
      </c>
      <c r="ACG92" s="11">
        <v>9500</v>
      </c>
      <c r="ACH92" s="11"/>
      <c r="ACI92" s="11">
        <v>1405200</v>
      </c>
      <c r="ACJ92" s="11"/>
      <c r="ACK92" s="11"/>
      <c r="ACL92" s="11"/>
      <c r="ACM92" s="11"/>
      <c r="ACN92" s="11"/>
      <c r="ACO92" s="11"/>
      <c r="ACP92" s="11"/>
      <c r="ACQ92" s="11"/>
      <c r="ACR92" s="11">
        <v>1885552.04</v>
      </c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>
        <v>16080</v>
      </c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>
        <v>3024402.55</v>
      </c>
      <c r="ADW92" s="11"/>
      <c r="ADX92" s="11"/>
      <c r="ADY92" s="11"/>
      <c r="ADZ92" s="11">
        <v>59408.33</v>
      </c>
      <c r="AEA92" s="11"/>
      <c r="AEB92" s="11">
        <v>286381.84999999998</v>
      </c>
      <c r="AEC92" s="11">
        <v>305917.78000000003</v>
      </c>
      <c r="AED92" s="11"/>
      <c r="AEE92" s="11">
        <v>4319.18</v>
      </c>
      <c r="AEF92" s="11">
        <v>32500</v>
      </c>
      <c r="AEG92" s="11"/>
      <c r="AEH92" s="11">
        <v>161260.9</v>
      </c>
      <c r="AEI92" s="11">
        <v>808646.64</v>
      </c>
      <c r="AEJ92" s="11">
        <v>514630.98</v>
      </c>
      <c r="AEK92" s="11">
        <v>576226.72</v>
      </c>
      <c r="AEL92" s="11">
        <v>0</v>
      </c>
      <c r="AEM92" s="11">
        <v>298038.09999999998</v>
      </c>
      <c r="AEN92" s="11">
        <v>40559.4</v>
      </c>
      <c r="AEO92" s="11"/>
      <c r="AEP92" s="11">
        <v>0</v>
      </c>
      <c r="AEQ92" s="11">
        <v>28938</v>
      </c>
      <c r="AER92" s="11"/>
      <c r="AES92" s="11">
        <v>107059.23</v>
      </c>
      <c r="AET92" s="11">
        <v>237700</v>
      </c>
      <c r="AEU92" s="11">
        <v>2329530</v>
      </c>
      <c r="AEV92" s="11">
        <v>1796930</v>
      </c>
      <c r="AEW92" s="11">
        <v>3250120</v>
      </c>
      <c r="AEX92" s="11">
        <v>1025710</v>
      </c>
      <c r="AEY92" s="11">
        <v>3018450</v>
      </c>
      <c r="AEZ92" s="11">
        <v>1763188</v>
      </c>
      <c r="AFA92" s="11">
        <v>1265120</v>
      </c>
      <c r="AFB92" s="11">
        <v>597990</v>
      </c>
      <c r="AFC92" s="11">
        <v>699840</v>
      </c>
      <c r="AFD92" s="11">
        <v>487525.22</v>
      </c>
      <c r="AFE92" s="11">
        <v>111388.5</v>
      </c>
      <c r="AFF92" s="11">
        <v>932194.2</v>
      </c>
      <c r="AFG92" s="11">
        <v>375149.94</v>
      </c>
      <c r="AFH92" s="11">
        <v>2268818.2000000002</v>
      </c>
      <c r="AFI92" s="11">
        <v>83712.820000000007</v>
      </c>
      <c r="AFJ92" s="11">
        <v>306618.78000000003</v>
      </c>
      <c r="AFK92" s="11">
        <v>657697.19999999995</v>
      </c>
      <c r="AFL92" s="11">
        <v>430915</v>
      </c>
      <c r="AFM92" s="11">
        <v>3289648.35</v>
      </c>
      <c r="AFN92" s="11">
        <v>74873.11</v>
      </c>
      <c r="AFO92" s="11">
        <v>525538.86</v>
      </c>
      <c r="AFP92" s="11">
        <v>1180812.45</v>
      </c>
      <c r="AFQ92" s="11">
        <v>319567.05</v>
      </c>
      <c r="AFR92" s="11">
        <v>11574268</v>
      </c>
      <c r="AFS92" s="11">
        <v>3874256.1</v>
      </c>
      <c r="AFT92" s="11">
        <v>6067055.5</v>
      </c>
      <c r="AFU92" s="11">
        <v>5710234.54</v>
      </c>
      <c r="AFV92" s="11">
        <v>764011.3</v>
      </c>
      <c r="AFW92" s="11">
        <v>892429.5</v>
      </c>
      <c r="AFX92" s="11">
        <v>6178066.4699999997</v>
      </c>
      <c r="AFY92" s="11">
        <v>1486793</v>
      </c>
      <c r="AFZ92" s="11">
        <v>735453.5</v>
      </c>
      <c r="AGA92" s="11">
        <v>5357640.66</v>
      </c>
      <c r="AGB92" s="11">
        <v>1078881.8999999999</v>
      </c>
      <c r="AGC92" s="11">
        <v>6800</v>
      </c>
      <c r="AGD92" s="11">
        <v>371111.93</v>
      </c>
      <c r="AGE92" s="11">
        <v>1184403</v>
      </c>
      <c r="AGF92" s="11">
        <v>461200</v>
      </c>
      <c r="AGG92" s="11">
        <v>4063850</v>
      </c>
      <c r="AGH92" s="11">
        <v>626150</v>
      </c>
      <c r="AGI92" s="11">
        <v>238800</v>
      </c>
      <c r="AGJ92" s="11">
        <v>260450</v>
      </c>
      <c r="AGK92" s="11">
        <v>924650</v>
      </c>
      <c r="AGL92" s="11">
        <v>203000</v>
      </c>
      <c r="AGM92" s="11">
        <v>2477700</v>
      </c>
      <c r="AGN92" s="11">
        <v>0</v>
      </c>
      <c r="AGO92" s="11">
        <v>249843</v>
      </c>
      <c r="AGP92" s="11">
        <v>18728</v>
      </c>
      <c r="AGQ92" s="11">
        <v>1145059</v>
      </c>
      <c r="AGR92" s="11">
        <v>7785</v>
      </c>
      <c r="AGS92" s="11">
        <v>1237280</v>
      </c>
      <c r="AGT92" s="11">
        <v>1208777</v>
      </c>
      <c r="AGU92" s="11">
        <v>128677</v>
      </c>
      <c r="AGV92" s="11">
        <v>7930.6</v>
      </c>
      <c r="AGW92" s="11">
        <v>1174068.3899999999</v>
      </c>
      <c r="AGX92" s="11">
        <v>569796</v>
      </c>
      <c r="AGY92" s="11">
        <v>819486</v>
      </c>
      <c r="AGZ92" s="11">
        <v>1461818</v>
      </c>
      <c r="AHA92" s="11">
        <v>441330.75</v>
      </c>
      <c r="AHB92" s="11">
        <v>847362.58</v>
      </c>
      <c r="AHC92" s="11">
        <v>1055946.05</v>
      </c>
      <c r="AHD92" s="11">
        <v>136798.5</v>
      </c>
      <c r="AHE92" s="11">
        <v>1538815.25</v>
      </c>
      <c r="AHF92" s="11">
        <v>622061</v>
      </c>
      <c r="AHG92" s="11">
        <v>229284.75</v>
      </c>
      <c r="AHH92" s="11">
        <v>699751.17</v>
      </c>
      <c r="AHI92" s="11">
        <v>302084.5</v>
      </c>
      <c r="AHJ92" s="11">
        <v>819056.67</v>
      </c>
      <c r="AHK92" s="11">
        <v>328460.25</v>
      </c>
      <c r="AHL92" s="11">
        <v>204471.72</v>
      </c>
      <c r="AHM92" s="11">
        <v>364134.05</v>
      </c>
      <c r="AHN92" s="11">
        <v>743465.5</v>
      </c>
      <c r="AHO92" s="11">
        <v>1186286</v>
      </c>
      <c r="AHP92" s="11">
        <v>1001993</v>
      </c>
      <c r="AHQ92" s="11">
        <v>4872006.8</v>
      </c>
      <c r="AHR92" s="11">
        <v>995611.2</v>
      </c>
      <c r="AHS92" s="11">
        <v>1865105.45</v>
      </c>
      <c r="AHT92" s="11">
        <v>1462743786.1999998</v>
      </c>
      <c r="AHV92" s="269" t="s">
        <v>6278</v>
      </c>
      <c r="AHW92" s="269" t="s">
        <v>6125</v>
      </c>
      <c r="AHX92" s="269" t="s">
        <v>6126</v>
      </c>
    </row>
    <row r="93" spans="1:908" x14ac:dyDescent="0.7">
      <c r="A93" s="6" t="s">
        <v>6278</v>
      </c>
      <c r="B93" s="6" t="s">
        <v>6131</v>
      </c>
      <c r="C93" s="6" t="s">
        <v>6132</v>
      </c>
      <c r="D93" s="11"/>
      <c r="E93" s="11">
        <v>131275</v>
      </c>
      <c r="F93" s="11"/>
      <c r="G93" s="11"/>
      <c r="H93" s="11"/>
      <c r="I93" s="11"/>
      <c r="J93" s="11">
        <v>2846.25</v>
      </c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>
        <v>23760</v>
      </c>
      <c r="AE93" s="11">
        <v>50770</v>
      </c>
      <c r="AF93" s="11">
        <v>13500</v>
      </c>
      <c r="AG93" s="11"/>
      <c r="AH93" s="11"/>
      <c r="AI93" s="11"/>
      <c r="AJ93" s="11">
        <v>85227</v>
      </c>
      <c r="AK93" s="11">
        <v>18640.25</v>
      </c>
      <c r="AL93" s="11"/>
      <c r="AM93" s="11">
        <v>512986</v>
      </c>
      <c r="AN93" s="11"/>
      <c r="AO93" s="11">
        <v>7585</v>
      </c>
      <c r="AP93" s="11"/>
      <c r="AQ93" s="11">
        <v>118590</v>
      </c>
      <c r="AR93" s="11"/>
      <c r="AS93" s="11"/>
      <c r="AT93" s="11">
        <v>74654.25</v>
      </c>
      <c r="AU93" s="11"/>
      <c r="AV93" s="11"/>
      <c r="AW93" s="11"/>
      <c r="AX93" s="11">
        <v>419</v>
      </c>
      <c r="AY93" s="11"/>
      <c r="AZ93" s="11"/>
      <c r="BA93" s="11"/>
      <c r="BB93" s="11"/>
      <c r="BC93" s="11"/>
      <c r="BD93" s="11"/>
      <c r="BE93" s="11"/>
      <c r="BF93" s="11"/>
      <c r="BG93" s="11"/>
      <c r="BH93" s="11">
        <v>133717.75</v>
      </c>
      <c r="BI93" s="11"/>
      <c r="BJ93" s="11"/>
      <c r="BK93" s="11"/>
      <c r="BL93" s="11"/>
      <c r="BM93" s="11"/>
      <c r="BN93" s="11"/>
      <c r="BO93" s="11"/>
      <c r="BP93" s="11"/>
      <c r="BQ93" s="11"/>
      <c r="BR93" s="11">
        <v>861095</v>
      </c>
      <c r="BS93" s="11"/>
      <c r="BT93" s="11">
        <v>94183.75</v>
      </c>
      <c r="BU93" s="11">
        <v>58758</v>
      </c>
      <c r="BV93" s="11">
        <v>8820</v>
      </c>
      <c r="BW93" s="11">
        <v>31895</v>
      </c>
      <c r="BX93" s="11">
        <v>11676.5</v>
      </c>
      <c r="BY93" s="11">
        <v>156698</v>
      </c>
      <c r="BZ93" s="11">
        <v>69103.5</v>
      </c>
      <c r="CA93" s="11"/>
      <c r="CB93" s="11"/>
      <c r="CC93" s="11">
        <v>2300</v>
      </c>
      <c r="CD93" s="11"/>
      <c r="CE93" s="11">
        <v>0</v>
      </c>
      <c r="CF93" s="11"/>
      <c r="CG93" s="11"/>
      <c r="CH93" s="11"/>
      <c r="CI93" s="11">
        <v>4515.25</v>
      </c>
      <c r="CJ93" s="11"/>
      <c r="CK93" s="11"/>
      <c r="CL93" s="11"/>
      <c r="CM93" s="11"/>
      <c r="CN93" s="11">
        <v>0</v>
      </c>
      <c r="CO93" s="11"/>
      <c r="CP93" s="11"/>
      <c r="CQ93" s="11"/>
      <c r="CR93" s="11"/>
      <c r="CS93" s="11"/>
      <c r="CT93" s="11"/>
      <c r="CU93" s="11"/>
      <c r="CV93" s="11">
        <v>142000</v>
      </c>
      <c r="CW93" s="11"/>
      <c r="CX93" s="11">
        <v>1600</v>
      </c>
      <c r="CY93" s="11">
        <v>1582.5</v>
      </c>
      <c r="CZ93" s="11">
        <v>4278</v>
      </c>
      <c r="DA93" s="11">
        <v>111756</v>
      </c>
      <c r="DB93" s="11"/>
      <c r="DC93" s="11"/>
      <c r="DD93" s="11"/>
      <c r="DE93" s="11"/>
      <c r="DF93" s="11">
        <v>700</v>
      </c>
      <c r="DG93" s="11"/>
      <c r="DH93" s="11"/>
      <c r="DI93" s="11">
        <v>9793.5</v>
      </c>
      <c r="DJ93" s="11"/>
      <c r="DK93" s="11"/>
      <c r="DL93" s="11"/>
      <c r="DM93" s="11"/>
      <c r="DN93" s="11"/>
      <c r="DO93" s="11">
        <v>5242</v>
      </c>
      <c r="DP93" s="11"/>
      <c r="DQ93" s="11">
        <v>208570.5</v>
      </c>
      <c r="DR93" s="11"/>
      <c r="DS93" s="11">
        <v>30879</v>
      </c>
      <c r="DT93" s="11">
        <v>137788</v>
      </c>
      <c r="DU93" s="11"/>
      <c r="DV93" s="11">
        <v>38488.25</v>
      </c>
      <c r="DW93" s="11"/>
      <c r="DX93" s="11"/>
      <c r="DY93" s="11">
        <v>44504.75</v>
      </c>
      <c r="DZ93" s="11">
        <v>2204516.0499999998</v>
      </c>
      <c r="EA93" s="11"/>
      <c r="EB93" s="11">
        <v>19970.650000000001</v>
      </c>
      <c r="EC93" s="11">
        <v>631487</v>
      </c>
      <c r="ED93" s="11">
        <v>39379</v>
      </c>
      <c r="EE93" s="11">
        <v>0</v>
      </c>
      <c r="EF93" s="11"/>
      <c r="EG93" s="11"/>
      <c r="EH93" s="11">
        <v>5537.5</v>
      </c>
      <c r="EI93" s="11"/>
      <c r="EJ93" s="11">
        <v>548612.94999999995</v>
      </c>
      <c r="EK93" s="11"/>
      <c r="EL93" s="11">
        <v>1086996.22</v>
      </c>
      <c r="EM93" s="11"/>
      <c r="EN93" s="11">
        <v>0</v>
      </c>
      <c r="EO93" s="11">
        <v>1080</v>
      </c>
      <c r="EP93" s="11">
        <v>321668.5</v>
      </c>
      <c r="EQ93" s="11">
        <v>60200</v>
      </c>
      <c r="ER93" s="11"/>
      <c r="ES93" s="11"/>
      <c r="ET93" s="11">
        <v>1125754</v>
      </c>
      <c r="EU93" s="11">
        <v>0</v>
      </c>
      <c r="EV93" s="11">
        <v>24705.5</v>
      </c>
      <c r="EW93" s="11"/>
      <c r="EX93" s="11"/>
      <c r="EY93" s="11"/>
      <c r="EZ93" s="11"/>
      <c r="FA93" s="11"/>
      <c r="FB93" s="11"/>
      <c r="FC93" s="11">
        <v>1512.5</v>
      </c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>
        <v>1310549</v>
      </c>
      <c r="FX93" s="11"/>
      <c r="FY93" s="11"/>
      <c r="FZ93" s="11">
        <v>23410.75</v>
      </c>
      <c r="GA93" s="11"/>
      <c r="GB93" s="11"/>
      <c r="GC93" s="11"/>
      <c r="GD93" s="11"/>
      <c r="GE93" s="11"/>
      <c r="GF93" s="11"/>
      <c r="GG93" s="11"/>
      <c r="GH93" s="11">
        <v>363</v>
      </c>
      <c r="GI93" s="11"/>
      <c r="GJ93" s="11">
        <v>264</v>
      </c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>
        <v>1167.5</v>
      </c>
      <c r="GX93" s="11"/>
      <c r="GY93" s="11"/>
      <c r="GZ93" s="11">
        <v>6912.5</v>
      </c>
      <c r="HA93" s="11"/>
      <c r="HB93" s="11">
        <v>4673</v>
      </c>
      <c r="HC93" s="11"/>
      <c r="HD93" s="11"/>
      <c r="HE93" s="11"/>
      <c r="HF93" s="11">
        <v>3028.5</v>
      </c>
      <c r="HG93" s="11"/>
      <c r="HH93" s="11"/>
      <c r="HI93" s="11"/>
      <c r="HJ93" s="11"/>
      <c r="HK93" s="11">
        <v>1767953.75</v>
      </c>
      <c r="HL93" s="11">
        <v>3290893.5</v>
      </c>
      <c r="HM93" s="11"/>
      <c r="HN93" s="11">
        <v>0</v>
      </c>
      <c r="HO93" s="11"/>
      <c r="HP93" s="11"/>
      <c r="HQ93" s="11"/>
      <c r="HR93" s="11">
        <v>188069.75</v>
      </c>
      <c r="HS93" s="11"/>
      <c r="HT93" s="11"/>
      <c r="HU93" s="11">
        <v>83951.83</v>
      </c>
      <c r="HV93" s="11"/>
      <c r="HW93" s="11"/>
      <c r="HX93" s="11"/>
      <c r="HY93" s="11"/>
      <c r="HZ93" s="11"/>
      <c r="IA93" s="11">
        <v>133220</v>
      </c>
      <c r="IB93" s="11"/>
      <c r="IC93" s="11"/>
      <c r="ID93" s="11"/>
      <c r="IE93" s="11"/>
      <c r="IF93" s="11">
        <v>0</v>
      </c>
      <c r="IG93" s="11"/>
      <c r="IH93" s="11"/>
      <c r="II93" s="11">
        <v>17623</v>
      </c>
      <c r="IJ93" s="11"/>
      <c r="IK93" s="11"/>
      <c r="IL93" s="11">
        <v>0</v>
      </c>
      <c r="IM93" s="11">
        <v>6441</v>
      </c>
      <c r="IN93" s="11"/>
      <c r="IO93" s="11"/>
      <c r="IP93" s="11"/>
      <c r="IQ93" s="11">
        <v>14412</v>
      </c>
      <c r="IR93" s="11">
        <v>0</v>
      </c>
      <c r="IS93" s="11"/>
      <c r="IT93" s="11"/>
      <c r="IU93" s="11">
        <v>409152.75</v>
      </c>
      <c r="IV93" s="11"/>
      <c r="IW93" s="11"/>
      <c r="IX93" s="11"/>
      <c r="IY93" s="11"/>
      <c r="IZ93" s="11"/>
      <c r="JA93" s="11"/>
      <c r="JB93" s="11"/>
      <c r="JC93" s="11"/>
      <c r="JD93" s="11">
        <v>5775881.5</v>
      </c>
      <c r="JE93" s="11">
        <v>5324.5</v>
      </c>
      <c r="JF93" s="11"/>
      <c r="JG93" s="11">
        <v>145147.70000000001</v>
      </c>
      <c r="JH93" s="11"/>
      <c r="JI93" s="11">
        <v>1944</v>
      </c>
      <c r="JJ93" s="11"/>
      <c r="JK93" s="11">
        <v>61639.5</v>
      </c>
      <c r="JL93" s="11">
        <v>27769.599999999999</v>
      </c>
      <c r="JM93" s="11">
        <v>33033</v>
      </c>
      <c r="JN93" s="11">
        <v>2547888.75</v>
      </c>
      <c r="JO93" s="11">
        <v>2342834.0299999998</v>
      </c>
      <c r="JP93" s="11">
        <v>1264899.44</v>
      </c>
      <c r="JQ93" s="11">
        <v>745394.22</v>
      </c>
      <c r="JR93" s="11">
        <v>1734356.3</v>
      </c>
      <c r="JS93" s="11"/>
      <c r="JT93" s="11"/>
      <c r="JU93" s="11"/>
      <c r="JV93" s="11">
        <v>252</v>
      </c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>
        <v>22703</v>
      </c>
      <c r="KJ93" s="11">
        <v>0</v>
      </c>
      <c r="KK93" s="11"/>
      <c r="KL93" s="11"/>
      <c r="KM93" s="11"/>
      <c r="KN93" s="11">
        <v>23788</v>
      </c>
      <c r="KO93" s="11"/>
      <c r="KP93" s="11">
        <v>158639</v>
      </c>
      <c r="KQ93" s="11"/>
      <c r="KR93" s="11"/>
      <c r="KS93" s="11">
        <v>1217167.25</v>
      </c>
      <c r="KT93" s="11">
        <v>4188.75</v>
      </c>
      <c r="KU93" s="11">
        <v>191096.7</v>
      </c>
      <c r="KV93" s="11">
        <v>28880</v>
      </c>
      <c r="KW93" s="11">
        <v>133721.22</v>
      </c>
      <c r="KX93" s="11">
        <v>169983.5</v>
      </c>
      <c r="KY93" s="11"/>
      <c r="KZ93" s="11"/>
      <c r="LA93" s="11"/>
      <c r="LB93" s="11"/>
      <c r="LC93" s="11">
        <v>45450</v>
      </c>
      <c r="LD93" s="11"/>
      <c r="LE93" s="11"/>
      <c r="LF93" s="11"/>
      <c r="LG93" s="11"/>
      <c r="LH93" s="11"/>
      <c r="LI93" s="11"/>
      <c r="LJ93" s="11"/>
      <c r="LK93" s="11">
        <v>240</v>
      </c>
      <c r="LL93" s="11">
        <v>30812.79</v>
      </c>
      <c r="LM93" s="11"/>
      <c r="LN93" s="11"/>
      <c r="LO93" s="11"/>
      <c r="LP93" s="11"/>
      <c r="LQ93" s="11"/>
      <c r="LR93" s="11"/>
      <c r="LS93" s="11"/>
      <c r="LT93" s="11"/>
      <c r="LU93" s="11">
        <v>270076.25</v>
      </c>
      <c r="LV93" s="11">
        <v>5947413.0800000001</v>
      </c>
      <c r="LW93" s="11">
        <v>378138.5</v>
      </c>
      <c r="LX93" s="11">
        <v>85368</v>
      </c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>
        <v>27913</v>
      </c>
      <c r="MN93" s="11"/>
      <c r="MO93" s="11"/>
      <c r="MP93" s="11">
        <v>56176</v>
      </c>
      <c r="MQ93" s="11">
        <v>480</v>
      </c>
      <c r="MR93" s="11">
        <v>118144.5</v>
      </c>
      <c r="MS93" s="11">
        <v>9629</v>
      </c>
      <c r="MT93" s="11">
        <v>178075.25</v>
      </c>
      <c r="MU93" s="11"/>
      <c r="MV93" s="11">
        <v>3116347.6</v>
      </c>
      <c r="MW93" s="11"/>
      <c r="MX93" s="11"/>
      <c r="MY93" s="11">
        <v>44282.6</v>
      </c>
      <c r="MZ93" s="11"/>
      <c r="NA93" s="11"/>
      <c r="NB93" s="11">
        <v>10377.5</v>
      </c>
      <c r="NC93" s="11"/>
      <c r="ND93" s="11">
        <v>15780.75</v>
      </c>
      <c r="NE93" s="11"/>
      <c r="NF93" s="11">
        <v>1939.5</v>
      </c>
      <c r="NG93" s="11"/>
      <c r="NH93" s="11"/>
      <c r="NI93" s="11"/>
      <c r="NJ93" s="11">
        <v>23273</v>
      </c>
      <c r="NK93" s="11"/>
      <c r="NL93" s="11">
        <v>18495.5</v>
      </c>
      <c r="NM93" s="11"/>
      <c r="NN93" s="11">
        <v>8958.44</v>
      </c>
      <c r="NO93" s="11">
        <v>0</v>
      </c>
      <c r="NP93" s="11"/>
      <c r="NQ93" s="11"/>
      <c r="NR93" s="11"/>
      <c r="NS93" s="11"/>
      <c r="NT93" s="11"/>
      <c r="NU93" s="11"/>
      <c r="NV93" s="11"/>
      <c r="NW93" s="11"/>
      <c r="NX93" s="11">
        <v>804102</v>
      </c>
      <c r="NY93" s="11">
        <v>395756</v>
      </c>
      <c r="NZ93" s="11">
        <v>0</v>
      </c>
      <c r="OA93" s="11">
        <v>0</v>
      </c>
      <c r="OB93" s="11">
        <v>3180017.75</v>
      </c>
      <c r="OC93" s="11">
        <v>0</v>
      </c>
      <c r="OD93" s="11"/>
      <c r="OE93" s="11"/>
      <c r="OF93" s="11"/>
      <c r="OG93" s="11"/>
      <c r="OH93" s="11">
        <v>2210506.1800000002</v>
      </c>
      <c r="OI93" s="11"/>
      <c r="OJ93" s="11">
        <v>386056.85</v>
      </c>
      <c r="OK93" s="11"/>
      <c r="OL93" s="11"/>
      <c r="OM93" s="11"/>
      <c r="ON93" s="11">
        <v>20311588.5</v>
      </c>
      <c r="OO93" s="11"/>
      <c r="OP93" s="11">
        <v>1398032</v>
      </c>
      <c r="OQ93" s="11"/>
      <c r="OR93" s="11"/>
      <c r="OS93" s="11"/>
      <c r="OT93" s="11">
        <v>0</v>
      </c>
      <c r="OU93" s="11"/>
      <c r="OV93" s="11">
        <v>30717.8</v>
      </c>
      <c r="OW93" s="11"/>
      <c r="OX93" s="11"/>
      <c r="OY93" s="11"/>
      <c r="OZ93" s="11"/>
      <c r="PA93" s="11"/>
      <c r="PB93" s="11">
        <v>86753.5</v>
      </c>
      <c r="PC93" s="11">
        <v>661255.69999999995</v>
      </c>
      <c r="PD93" s="11"/>
      <c r="PE93" s="11"/>
      <c r="PF93" s="11">
        <v>12800</v>
      </c>
      <c r="PG93" s="11">
        <v>3120</v>
      </c>
      <c r="PH93" s="11"/>
      <c r="PI93" s="11"/>
      <c r="PJ93" s="11"/>
      <c r="PK93" s="11"/>
      <c r="PL93" s="11">
        <v>0</v>
      </c>
      <c r="PM93" s="11">
        <v>47420</v>
      </c>
      <c r="PN93" s="11">
        <v>388544.48</v>
      </c>
      <c r="PO93" s="11"/>
      <c r="PP93" s="11"/>
      <c r="PQ93" s="11">
        <v>41099.75</v>
      </c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>
        <v>115765</v>
      </c>
      <c r="QM93" s="11"/>
      <c r="QN93" s="11"/>
      <c r="QO93" s="11"/>
      <c r="QP93" s="11"/>
      <c r="QQ93" s="11"/>
      <c r="QR93" s="11"/>
      <c r="QS93" s="11"/>
      <c r="QT93" s="11"/>
      <c r="QU93" s="11"/>
      <c r="QV93" s="11">
        <v>34211</v>
      </c>
      <c r="QW93" s="11"/>
      <c r="QX93" s="11">
        <v>51374</v>
      </c>
      <c r="QY93" s="11">
        <v>420940</v>
      </c>
      <c r="QZ93" s="11">
        <v>39499</v>
      </c>
      <c r="RA93" s="11">
        <v>216700</v>
      </c>
      <c r="RB93" s="11">
        <v>130558</v>
      </c>
      <c r="RC93" s="11">
        <v>0</v>
      </c>
      <c r="RD93" s="11">
        <v>290881.40000000002</v>
      </c>
      <c r="RE93" s="11">
        <v>2042433.2</v>
      </c>
      <c r="RF93" s="11">
        <v>20219</v>
      </c>
      <c r="RG93" s="11">
        <v>11087</v>
      </c>
      <c r="RH93" s="11"/>
      <c r="RI93" s="11">
        <v>32757</v>
      </c>
      <c r="RJ93" s="11"/>
      <c r="RK93" s="11"/>
      <c r="RL93" s="11">
        <v>2643</v>
      </c>
      <c r="RM93" s="11"/>
      <c r="RN93" s="11"/>
      <c r="RO93" s="11">
        <v>3946</v>
      </c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>
        <v>191137</v>
      </c>
      <c r="SC93" s="11"/>
      <c r="SD93" s="11">
        <v>24980</v>
      </c>
      <c r="SE93" s="11"/>
      <c r="SF93" s="11"/>
      <c r="SG93" s="11"/>
      <c r="SH93" s="11"/>
      <c r="SI93" s="11"/>
      <c r="SJ93" s="11"/>
      <c r="SK93" s="11"/>
      <c r="SL93" s="11">
        <v>7300</v>
      </c>
      <c r="SM93" s="11">
        <v>39899</v>
      </c>
      <c r="SN93" s="11">
        <v>3050</v>
      </c>
      <c r="SO93" s="11"/>
      <c r="SP93" s="11">
        <v>162779</v>
      </c>
      <c r="SQ93" s="11">
        <v>69178.25</v>
      </c>
      <c r="SR93" s="11">
        <v>19953.990000000002</v>
      </c>
      <c r="SS93" s="11"/>
      <c r="ST93" s="11">
        <v>42079.5</v>
      </c>
      <c r="SU93" s="11"/>
      <c r="SV93" s="11"/>
      <c r="SW93" s="11"/>
      <c r="SX93" s="11"/>
      <c r="SY93" s="11"/>
      <c r="SZ93" s="11"/>
      <c r="TA93" s="11">
        <v>0</v>
      </c>
      <c r="TB93" s="11"/>
      <c r="TC93" s="11"/>
      <c r="TD93" s="11"/>
      <c r="TE93" s="11"/>
      <c r="TF93" s="11"/>
      <c r="TG93" s="11">
        <v>0</v>
      </c>
      <c r="TH93" s="11"/>
      <c r="TI93" s="11"/>
      <c r="TJ93" s="11">
        <v>0</v>
      </c>
      <c r="TK93" s="11"/>
      <c r="TL93" s="11"/>
      <c r="TM93" s="11">
        <v>58766</v>
      </c>
      <c r="TN93" s="11">
        <v>80</v>
      </c>
      <c r="TO93" s="11"/>
      <c r="TP93" s="11"/>
      <c r="TQ93" s="11"/>
      <c r="TR93" s="11"/>
      <c r="TS93" s="11">
        <v>198600</v>
      </c>
      <c r="TT93" s="11"/>
      <c r="TU93" s="11"/>
      <c r="TV93" s="11">
        <v>32687.43</v>
      </c>
      <c r="TW93" s="11"/>
      <c r="TX93" s="11"/>
      <c r="TY93" s="11">
        <v>0</v>
      </c>
      <c r="TZ93" s="11"/>
      <c r="UA93" s="11"/>
      <c r="UB93" s="11"/>
      <c r="UC93" s="11">
        <v>5842</v>
      </c>
      <c r="UD93" s="11"/>
      <c r="UE93" s="11"/>
      <c r="UF93" s="11"/>
      <c r="UG93" s="11"/>
      <c r="UH93" s="11"/>
      <c r="UI93" s="11">
        <v>171548</v>
      </c>
      <c r="UJ93" s="11">
        <v>1046617</v>
      </c>
      <c r="UK93" s="11"/>
      <c r="UL93" s="11"/>
      <c r="UM93" s="11">
        <v>50382</v>
      </c>
      <c r="UN93" s="11"/>
      <c r="UO93" s="11"/>
      <c r="UP93" s="11">
        <v>311727</v>
      </c>
      <c r="UQ93" s="11"/>
      <c r="UR93" s="11">
        <v>17484.5</v>
      </c>
      <c r="US93" s="11"/>
      <c r="UT93" s="11"/>
      <c r="UU93" s="11"/>
      <c r="UV93" s="11">
        <v>45830</v>
      </c>
      <c r="UW93" s="11"/>
      <c r="UX93" s="11">
        <v>0</v>
      </c>
      <c r="UY93" s="11"/>
      <c r="UZ93" s="11">
        <v>430</v>
      </c>
      <c r="VA93" s="11">
        <v>29904</v>
      </c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>
        <v>10238</v>
      </c>
      <c r="VN93" s="11"/>
      <c r="VO93" s="11">
        <v>314057.8</v>
      </c>
      <c r="VP93" s="11">
        <v>285706.39</v>
      </c>
      <c r="VQ93" s="11">
        <v>94017.5</v>
      </c>
      <c r="VR93" s="11">
        <v>27358</v>
      </c>
      <c r="VS93" s="11">
        <v>0</v>
      </c>
      <c r="VT93" s="11">
        <v>37148.25</v>
      </c>
      <c r="VU93" s="11">
        <v>0</v>
      </c>
      <c r="VV93" s="11">
        <v>31461</v>
      </c>
      <c r="VW93" s="11">
        <v>843102.79</v>
      </c>
      <c r="VX93" s="11">
        <v>21665</v>
      </c>
      <c r="VY93" s="11">
        <v>1052098</v>
      </c>
      <c r="VZ93" s="11">
        <v>0</v>
      </c>
      <c r="WA93" s="11">
        <v>169939.04</v>
      </c>
      <c r="WB93" s="11"/>
      <c r="WC93" s="11">
        <v>7504.5</v>
      </c>
      <c r="WD93" s="11"/>
      <c r="WE93" s="11"/>
      <c r="WF93" s="11"/>
      <c r="WG93" s="11"/>
      <c r="WH93" s="11"/>
      <c r="WI93" s="11">
        <v>1701</v>
      </c>
      <c r="WJ93" s="11">
        <v>16466</v>
      </c>
      <c r="WK93" s="11"/>
      <c r="WL93" s="11"/>
      <c r="WM93" s="11"/>
      <c r="WN93" s="11"/>
      <c r="WO93" s="11"/>
      <c r="WP93" s="11">
        <v>0</v>
      </c>
      <c r="WQ93" s="11">
        <v>32943.14</v>
      </c>
      <c r="WR93" s="11"/>
      <c r="WS93" s="11"/>
      <c r="WT93" s="11"/>
      <c r="WU93" s="11"/>
      <c r="WV93" s="11">
        <v>9544515</v>
      </c>
      <c r="WW93" s="11"/>
      <c r="WX93" s="11"/>
      <c r="WY93" s="11"/>
      <c r="WZ93" s="11"/>
      <c r="XA93" s="11">
        <v>71836.600000000006</v>
      </c>
      <c r="XB93" s="11"/>
      <c r="XC93" s="11"/>
      <c r="XD93" s="11"/>
      <c r="XE93" s="11">
        <v>9554</v>
      </c>
      <c r="XF93" s="11"/>
      <c r="XG93" s="11"/>
      <c r="XH93" s="11">
        <v>28788</v>
      </c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>
        <v>258618</v>
      </c>
      <c r="YB93" s="11"/>
      <c r="YC93" s="11"/>
      <c r="YD93" s="11"/>
      <c r="YE93" s="11"/>
      <c r="YF93" s="11"/>
      <c r="YG93" s="11">
        <v>0</v>
      </c>
      <c r="YH93" s="11">
        <v>0</v>
      </c>
      <c r="YI93" s="11">
        <v>0</v>
      </c>
      <c r="YJ93" s="11">
        <v>5400</v>
      </c>
      <c r="YK93" s="11">
        <v>0</v>
      </c>
      <c r="YL93" s="11">
        <v>225208.55</v>
      </c>
      <c r="YM93" s="11"/>
      <c r="YN93" s="11"/>
      <c r="YO93" s="11">
        <v>0</v>
      </c>
      <c r="YP93" s="11"/>
      <c r="YQ93" s="11">
        <v>0</v>
      </c>
      <c r="YR93" s="11"/>
      <c r="YS93" s="11"/>
      <c r="YT93" s="11"/>
      <c r="YU93" s="11"/>
      <c r="YV93" s="11">
        <v>0</v>
      </c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>
        <v>0</v>
      </c>
      <c r="ZN93" s="11"/>
      <c r="ZO93" s="11"/>
      <c r="ZP93" s="11"/>
      <c r="ZQ93" s="11"/>
      <c r="ZR93" s="11"/>
      <c r="ZS93" s="11">
        <v>5960</v>
      </c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>
        <v>0</v>
      </c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>
        <v>685742.75</v>
      </c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>
        <v>31436</v>
      </c>
      <c r="ABG93" s="11"/>
      <c r="ABH93" s="11"/>
      <c r="ABI93" s="11">
        <v>0</v>
      </c>
      <c r="ABJ93" s="11"/>
      <c r="ABK93" s="11"/>
      <c r="ABL93" s="11"/>
      <c r="ABM93" s="11"/>
      <c r="ABN93" s="11"/>
      <c r="ABO93" s="11"/>
      <c r="ABP93" s="11"/>
      <c r="ABQ93" s="11"/>
      <c r="ABR93" s="11"/>
      <c r="ABS93" s="11">
        <v>120000</v>
      </c>
      <c r="ABT93" s="11"/>
      <c r="ABU93" s="11"/>
      <c r="ABV93" s="11"/>
      <c r="ABW93" s="11"/>
      <c r="ABX93" s="11"/>
      <c r="ABY93" s="11">
        <v>358251.5</v>
      </c>
      <c r="ABZ93" s="11"/>
      <c r="ACA93" s="11"/>
      <c r="ACB93" s="11"/>
      <c r="ACC93" s="11"/>
      <c r="ACD93" s="11"/>
      <c r="ACE93" s="11"/>
      <c r="ACF93" s="11">
        <v>3150</v>
      </c>
      <c r="ACG93" s="11"/>
      <c r="ACH93" s="11"/>
      <c r="ACI93" s="11"/>
      <c r="ACJ93" s="11"/>
      <c r="ACK93" s="11"/>
      <c r="ACL93" s="11"/>
      <c r="ACM93" s="11"/>
      <c r="ACN93" s="11">
        <v>30115</v>
      </c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>
        <v>6312</v>
      </c>
      <c r="AED93" s="11"/>
      <c r="AEE93" s="11"/>
      <c r="AEF93" s="11"/>
      <c r="AEG93" s="11">
        <v>117307</v>
      </c>
      <c r="AEH93" s="11"/>
      <c r="AEI93" s="11"/>
      <c r="AEJ93" s="11">
        <v>2580</v>
      </c>
      <c r="AEK93" s="11"/>
      <c r="AEL93" s="11"/>
      <c r="AEM93" s="11"/>
      <c r="AEN93" s="11">
        <v>452000</v>
      </c>
      <c r="AEO93" s="11"/>
      <c r="AEP93" s="11"/>
      <c r="AEQ93" s="11"/>
      <c r="AER93" s="11"/>
      <c r="AES93" s="11"/>
      <c r="AET93" s="11">
        <v>4576</v>
      </c>
      <c r="AEU93" s="11"/>
      <c r="AEV93" s="11"/>
      <c r="AEW93" s="11"/>
      <c r="AEX93" s="11"/>
      <c r="AEY93" s="11"/>
      <c r="AEZ93" s="11"/>
      <c r="AFA93" s="11"/>
      <c r="AFB93" s="11"/>
      <c r="AFC93" s="11"/>
      <c r="AFD93" s="11">
        <v>0</v>
      </c>
      <c r="AFE93" s="11">
        <v>24006</v>
      </c>
      <c r="AFF93" s="11"/>
      <c r="AFG93" s="11">
        <v>203590.35</v>
      </c>
      <c r="AFH93" s="11"/>
      <c r="AFI93" s="11"/>
      <c r="AFJ93" s="11">
        <v>8625.5</v>
      </c>
      <c r="AFK93" s="11"/>
      <c r="AFL93" s="11"/>
      <c r="AFM93" s="11"/>
      <c r="AFN93" s="11"/>
      <c r="AFO93" s="11"/>
      <c r="AFP93" s="11"/>
      <c r="AFQ93" s="11">
        <v>4100</v>
      </c>
      <c r="AFR93" s="11"/>
      <c r="AFS93" s="11"/>
      <c r="AFT93" s="11"/>
      <c r="AFU93" s="11"/>
      <c r="AFV93" s="11"/>
      <c r="AFW93" s="11">
        <v>2831</v>
      </c>
      <c r="AFX93" s="11"/>
      <c r="AFY93" s="11"/>
      <c r="AFZ93" s="11"/>
      <c r="AGA93" s="11">
        <v>7100</v>
      </c>
      <c r="AGB93" s="11"/>
      <c r="AGC93" s="11"/>
      <c r="AGD93" s="11">
        <v>151676.79</v>
      </c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>
        <v>47850</v>
      </c>
      <c r="AGU93" s="11"/>
      <c r="AGV93" s="11"/>
      <c r="AGW93" s="11"/>
      <c r="AGX93" s="11"/>
      <c r="AGY93" s="11"/>
      <c r="AGZ93" s="11"/>
      <c r="AHA93" s="11">
        <v>85694</v>
      </c>
      <c r="AHB93" s="11">
        <v>39131</v>
      </c>
      <c r="AHC93" s="11"/>
      <c r="AHD93" s="11"/>
      <c r="AHE93" s="11"/>
      <c r="AHF93" s="11">
        <v>0</v>
      </c>
      <c r="AHG93" s="11"/>
      <c r="AHH93" s="11"/>
      <c r="AHI93" s="11"/>
      <c r="AHJ93" s="11"/>
      <c r="AHK93" s="11"/>
      <c r="AHL93" s="11"/>
      <c r="AHM93" s="11"/>
      <c r="AHN93" s="11">
        <v>188792</v>
      </c>
      <c r="AHO93" s="11"/>
      <c r="AHP93" s="11">
        <v>650</v>
      </c>
      <c r="AHQ93" s="11"/>
      <c r="AHR93" s="11"/>
      <c r="AHS93" s="11"/>
      <c r="AHT93" s="11">
        <v>95139449.150000021</v>
      </c>
      <c r="AHV93" s="269" t="s">
        <v>6278</v>
      </c>
      <c r="AHW93" s="269" t="s">
        <v>6127</v>
      </c>
      <c r="AHX93" s="269" t="s">
        <v>6128</v>
      </c>
    </row>
    <row r="94" spans="1:908" x14ac:dyDescent="0.7">
      <c r="A94" s="6" t="s">
        <v>6278</v>
      </c>
      <c r="B94" s="6" t="s">
        <v>6133</v>
      </c>
      <c r="C94" s="6" t="s">
        <v>6134</v>
      </c>
      <c r="D94" s="11">
        <v>2750</v>
      </c>
      <c r="E94" s="11">
        <v>1350</v>
      </c>
      <c r="F94" s="11">
        <v>1400</v>
      </c>
      <c r="G94" s="11"/>
      <c r="H94" s="11">
        <v>145859.5</v>
      </c>
      <c r="I94" s="11">
        <v>0</v>
      </c>
      <c r="J94" s="11">
        <v>1760</v>
      </c>
      <c r="K94" s="11">
        <v>12262</v>
      </c>
      <c r="L94" s="11">
        <v>1245</v>
      </c>
      <c r="M94" s="11">
        <v>2020</v>
      </c>
      <c r="N94" s="11"/>
      <c r="O94" s="11">
        <v>36422</v>
      </c>
      <c r="P94" s="11">
        <v>6301</v>
      </c>
      <c r="Q94" s="11">
        <v>50035</v>
      </c>
      <c r="R94" s="11">
        <v>3200</v>
      </c>
      <c r="S94" s="11">
        <v>412468</v>
      </c>
      <c r="T94" s="11">
        <v>0</v>
      </c>
      <c r="U94" s="11"/>
      <c r="V94" s="11">
        <v>2510309</v>
      </c>
      <c r="W94" s="11">
        <v>726119</v>
      </c>
      <c r="X94" s="11"/>
      <c r="Y94" s="11">
        <v>204360</v>
      </c>
      <c r="Z94" s="11"/>
      <c r="AA94" s="11"/>
      <c r="AB94" s="11">
        <v>3659</v>
      </c>
      <c r="AC94" s="11">
        <v>960547.25</v>
      </c>
      <c r="AD94" s="11">
        <v>283293.33</v>
      </c>
      <c r="AE94" s="11">
        <v>362389</v>
      </c>
      <c r="AF94" s="11"/>
      <c r="AG94" s="11">
        <v>166776.5</v>
      </c>
      <c r="AH94" s="11"/>
      <c r="AI94" s="11"/>
      <c r="AJ94" s="11">
        <v>177928.08</v>
      </c>
      <c r="AK94" s="11">
        <v>261369.66</v>
      </c>
      <c r="AL94" s="11">
        <v>320935.46999999997</v>
      </c>
      <c r="AM94" s="11">
        <v>1854592</v>
      </c>
      <c r="AN94" s="11"/>
      <c r="AO94" s="11">
        <v>562224</v>
      </c>
      <c r="AP94" s="11">
        <v>3467405</v>
      </c>
      <c r="AQ94" s="11"/>
      <c r="AR94" s="11"/>
      <c r="AS94" s="11">
        <v>120000</v>
      </c>
      <c r="AT94" s="11">
        <v>1711.5</v>
      </c>
      <c r="AU94" s="11"/>
      <c r="AV94" s="11"/>
      <c r="AW94" s="11"/>
      <c r="AX94" s="11">
        <v>66485</v>
      </c>
      <c r="AY94" s="11"/>
      <c r="AZ94" s="11"/>
      <c r="BA94" s="11">
        <v>3137</v>
      </c>
      <c r="BB94" s="11">
        <v>2133.5</v>
      </c>
      <c r="BC94" s="11"/>
      <c r="BD94" s="11"/>
      <c r="BE94" s="11"/>
      <c r="BF94" s="11"/>
      <c r="BG94" s="11"/>
      <c r="BH94" s="11"/>
      <c r="BI94" s="11">
        <v>65449.25</v>
      </c>
      <c r="BJ94" s="11">
        <v>260</v>
      </c>
      <c r="BK94" s="11">
        <v>1438</v>
      </c>
      <c r="BL94" s="11">
        <v>0</v>
      </c>
      <c r="BM94" s="11">
        <v>4565</v>
      </c>
      <c r="BN94" s="11">
        <v>260</v>
      </c>
      <c r="BO94" s="11">
        <v>650</v>
      </c>
      <c r="BP94" s="11"/>
      <c r="BQ94" s="11"/>
      <c r="BR94" s="11">
        <v>85902</v>
      </c>
      <c r="BS94" s="11"/>
      <c r="BT94" s="11">
        <v>372364.25</v>
      </c>
      <c r="BU94" s="11">
        <v>471271.25</v>
      </c>
      <c r="BV94" s="11">
        <v>38457.5</v>
      </c>
      <c r="BW94" s="11">
        <v>107253.75</v>
      </c>
      <c r="BX94" s="11">
        <v>28540</v>
      </c>
      <c r="BY94" s="11">
        <v>60627.25</v>
      </c>
      <c r="BZ94" s="11">
        <v>8000</v>
      </c>
      <c r="CA94" s="11"/>
      <c r="CB94" s="11"/>
      <c r="CC94" s="11"/>
      <c r="CD94" s="11"/>
      <c r="CE94" s="11">
        <v>0</v>
      </c>
      <c r="CF94" s="11">
        <v>3000</v>
      </c>
      <c r="CG94" s="11">
        <v>57964</v>
      </c>
      <c r="CH94" s="11">
        <v>28225.25</v>
      </c>
      <c r="CI94" s="11">
        <v>49983</v>
      </c>
      <c r="CJ94" s="11">
        <v>900</v>
      </c>
      <c r="CK94" s="11">
        <v>0</v>
      </c>
      <c r="CL94" s="11">
        <v>29995</v>
      </c>
      <c r="CM94" s="11">
        <v>56603</v>
      </c>
      <c r="CN94" s="11">
        <v>3116</v>
      </c>
      <c r="CO94" s="11">
        <v>151</v>
      </c>
      <c r="CP94" s="11">
        <v>8790</v>
      </c>
      <c r="CQ94" s="11">
        <v>3140</v>
      </c>
      <c r="CR94" s="11">
        <v>4249</v>
      </c>
      <c r="CS94" s="11">
        <v>1937.5</v>
      </c>
      <c r="CT94" s="11">
        <v>2379667.9900000002</v>
      </c>
      <c r="CU94" s="11">
        <v>98976</v>
      </c>
      <c r="CV94" s="11">
        <v>494165.75</v>
      </c>
      <c r="CW94" s="11">
        <v>273619.5</v>
      </c>
      <c r="CX94" s="11">
        <v>58513.25</v>
      </c>
      <c r="CY94" s="11">
        <v>161797.75</v>
      </c>
      <c r="CZ94" s="11">
        <v>460818</v>
      </c>
      <c r="DA94" s="11">
        <v>125275.25</v>
      </c>
      <c r="DB94" s="11">
        <v>61000</v>
      </c>
      <c r="DC94" s="11">
        <v>1349859</v>
      </c>
      <c r="DD94" s="11">
        <v>1011</v>
      </c>
      <c r="DE94" s="11">
        <v>100</v>
      </c>
      <c r="DF94" s="11">
        <v>0</v>
      </c>
      <c r="DG94" s="11"/>
      <c r="DH94" s="11">
        <v>720591</v>
      </c>
      <c r="DI94" s="11">
        <v>4618</v>
      </c>
      <c r="DJ94" s="11">
        <v>598</v>
      </c>
      <c r="DK94" s="11">
        <v>111130.25</v>
      </c>
      <c r="DL94" s="11">
        <v>23886.5</v>
      </c>
      <c r="DM94" s="11">
        <v>44493.25</v>
      </c>
      <c r="DN94" s="11">
        <v>14283</v>
      </c>
      <c r="DO94" s="11">
        <v>1690</v>
      </c>
      <c r="DP94" s="11">
        <v>5317.95</v>
      </c>
      <c r="DQ94" s="11">
        <v>969976.53</v>
      </c>
      <c r="DR94" s="11">
        <v>7942</v>
      </c>
      <c r="DS94" s="11">
        <v>12543</v>
      </c>
      <c r="DT94" s="11">
        <v>76611</v>
      </c>
      <c r="DU94" s="11">
        <v>57527.5</v>
      </c>
      <c r="DV94" s="11">
        <v>118896.75</v>
      </c>
      <c r="DW94" s="11">
        <v>400</v>
      </c>
      <c r="DX94" s="11">
        <v>1328</v>
      </c>
      <c r="DY94" s="11">
        <v>2827</v>
      </c>
      <c r="DZ94" s="11">
        <v>1027030.75</v>
      </c>
      <c r="EA94" s="11">
        <v>400</v>
      </c>
      <c r="EB94" s="11">
        <v>7537</v>
      </c>
      <c r="EC94" s="11"/>
      <c r="ED94" s="11">
        <v>33110.5</v>
      </c>
      <c r="EE94" s="11">
        <v>0</v>
      </c>
      <c r="EF94" s="11"/>
      <c r="EG94" s="11"/>
      <c r="EH94" s="11">
        <v>3400</v>
      </c>
      <c r="EI94" s="11"/>
      <c r="EJ94" s="11"/>
      <c r="EK94" s="11"/>
      <c r="EL94" s="11">
        <v>336536</v>
      </c>
      <c r="EM94" s="11"/>
      <c r="EN94" s="11"/>
      <c r="EO94" s="11">
        <v>16334</v>
      </c>
      <c r="EP94" s="11">
        <v>245509</v>
      </c>
      <c r="EQ94" s="11">
        <v>479.5</v>
      </c>
      <c r="ER94" s="11"/>
      <c r="ES94" s="11"/>
      <c r="ET94" s="11">
        <v>2697387.5</v>
      </c>
      <c r="EU94" s="11">
        <v>42057.5</v>
      </c>
      <c r="EV94" s="11">
        <v>31124</v>
      </c>
      <c r="EW94" s="11">
        <v>2010</v>
      </c>
      <c r="EX94" s="11">
        <v>280</v>
      </c>
      <c r="EY94" s="11"/>
      <c r="EZ94" s="11">
        <v>690</v>
      </c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>
        <v>0</v>
      </c>
      <c r="FM94" s="11"/>
      <c r="FN94" s="11"/>
      <c r="FO94" s="11"/>
      <c r="FP94" s="11"/>
      <c r="FQ94" s="11">
        <v>89175.4</v>
      </c>
      <c r="FR94" s="11">
        <v>174022</v>
      </c>
      <c r="FS94" s="11">
        <v>247597</v>
      </c>
      <c r="FT94" s="11">
        <v>83088</v>
      </c>
      <c r="FU94" s="11">
        <v>108038.75</v>
      </c>
      <c r="FV94" s="11">
        <v>34201.5</v>
      </c>
      <c r="FW94" s="11"/>
      <c r="FX94" s="11">
        <v>487482</v>
      </c>
      <c r="FY94" s="11">
        <v>338276</v>
      </c>
      <c r="FZ94" s="11">
        <v>749213.64</v>
      </c>
      <c r="GA94" s="11">
        <v>72388</v>
      </c>
      <c r="GB94" s="11">
        <v>232945</v>
      </c>
      <c r="GC94" s="11">
        <v>47008</v>
      </c>
      <c r="GD94" s="11">
        <v>12378</v>
      </c>
      <c r="GE94" s="11">
        <v>380700</v>
      </c>
      <c r="GF94" s="11"/>
      <c r="GG94" s="11">
        <v>0</v>
      </c>
      <c r="GH94" s="11"/>
      <c r="GI94" s="11">
        <v>200</v>
      </c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>
        <v>1095</v>
      </c>
      <c r="GU94" s="11"/>
      <c r="GV94" s="11"/>
      <c r="GW94" s="11">
        <v>60784.25</v>
      </c>
      <c r="GX94" s="11"/>
      <c r="GY94" s="11">
        <v>1026934.5</v>
      </c>
      <c r="GZ94" s="11">
        <v>21470.25</v>
      </c>
      <c r="HA94" s="11">
        <v>808967</v>
      </c>
      <c r="HB94" s="11">
        <v>3783110.25</v>
      </c>
      <c r="HC94" s="11">
        <v>1915221.25</v>
      </c>
      <c r="HD94" s="11">
        <v>280160.15000000002</v>
      </c>
      <c r="HE94" s="11">
        <v>1970129.55</v>
      </c>
      <c r="HF94" s="11">
        <v>3467881.32</v>
      </c>
      <c r="HG94" s="11">
        <v>1500111.25</v>
      </c>
      <c r="HH94" s="11">
        <v>1200000</v>
      </c>
      <c r="HI94" s="11">
        <v>290215.25</v>
      </c>
      <c r="HJ94" s="11"/>
      <c r="HK94" s="11"/>
      <c r="HL94" s="11">
        <v>3803903.25</v>
      </c>
      <c r="HM94" s="11"/>
      <c r="HN94" s="11">
        <v>175721.7</v>
      </c>
      <c r="HO94" s="11">
        <v>274073.95</v>
      </c>
      <c r="HP94" s="11">
        <v>7231</v>
      </c>
      <c r="HQ94" s="11">
        <v>1845.9</v>
      </c>
      <c r="HR94" s="11">
        <v>8046385.4500000002</v>
      </c>
      <c r="HS94" s="11">
        <v>0</v>
      </c>
      <c r="HT94" s="11">
        <v>2813.25</v>
      </c>
      <c r="HU94" s="11">
        <v>2948238.65</v>
      </c>
      <c r="HV94" s="11"/>
      <c r="HW94" s="11"/>
      <c r="HX94" s="11">
        <v>3124052.3</v>
      </c>
      <c r="HY94" s="11"/>
      <c r="HZ94" s="11"/>
      <c r="IA94" s="11">
        <v>487755.5</v>
      </c>
      <c r="IB94" s="11">
        <v>34845.25</v>
      </c>
      <c r="IC94" s="11"/>
      <c r="ID94" s="11">
        <v>1583668.5</v>
      </c>
      <c r="IE94" s="11">
        <v>149794</v>
      </c>
      <c r="IF94" s="11"/>
      <c r="IG94" s="11"/>
      <c r="IH94" s="11">
        <v>77277</v>
      </c>
      <c r="II94" s="11">
        <v>396268.07</v>
      </c>
      <c r="IJ94" s="11">
        <v>0</v>
      </c>
      <c r="IK94" s="11">
        <v>77473.5</v>
      </c>
      <c r="IL94" s="11">
        <v>1141896.75</v>
      </c>
      <c r="IM94" s="11">
        <v>16595388.5</v>
      </c>
      <c r="IN94" s="11">
        <v>11998775.75</v>
      </c>
      <c r="IO94" s="11">
        <v>16902.5</v>
      </c>
      <c r="IP94" s="11">
        <v>902531</v>
      </c>
      <c r="IQ94" s="11">
        <v>248445</v>
      </c>
      <c r="IR94" s="11">
        <v>4989006.58</v>
      </c>
      <c r="IS94" s="11">
        <v>105892.5</v>
      </c>
      <c r="IT94" s="11">
        <v>59062.5</v>
      </c>
      <c r="IU94" s="11">
        <v>1828</v>
      </c>
      <c r="IV94" s="11"/>
      <c r="IW94" s="11">
        <v>4061</v>
      </c>
      <c r="IX94" s="11">
        <v>10543</v>
      </c>
      <c r="IY94" s="11"/>
      <c r="IZ94" s="11">
        <v>368.75</v>
      </c>
      <c r="JA94" s="11">
        <v>1570.5</v>
      </c>
      <c r="JB94" s="11">
        <v>20849</v>
      </c>
      <c r="JC94" s="11">
        <v>438.75</v>
      </c>
      <c r="JD94" s="11"/>
      <c r="JE94" s="11">
        <v>6268.75</v>
      </c>
      <c r="JF94" s="11">
        <v>73000</v>
      </c>
      <c r="JG94" s="11">
        <v>3235.93</v>
      </c>
      <c r="JH94" s="11"/>
      <c r="JI94" s="11">
        <v>50</v>
      </c>
      <c r="JJ94" s="11"/>
      <c r="JK94" s="11">
        <v>9540</v>
      </c>
      <c r="JL94" s="11">
        <v>37061.93</v>
      </c>
      <c r="JM94" s="11">
        <v>23389</v>
      </c>
      <c r="JN94" s="11">
        <v>502690.59</v>
      </c>
      <c r="JO94" s="11"/>
      <c r="JP94" s="11">
        <v>123527</v>
      </c>
      <c r="JQ94" s="11"/>
      <c r="JR94" s="11"/>
      <c r="JS94" s="11">
        <v>0</v>
      </c>
      <c r="JT94" s="11"/>
      <c r="JU94" s="11">
        <v>6382</v>
      </c>
      <c r="JV94" s="11"/>
      <c r="JW94" s="11"/>
      <c r="JX94" s="11"/>
      <c r="JY94" s="11">
        <v>42012</v>
      </c>
      <c r="JZ94" s="11"/>
      <c r="KA94" s="11"/>
      <c r="KB94" s="11"/>
      <c r="KC94" s="11">
        <v>0</v>
      </c>
      <c r="KD94" s="11"/>
      <c r="KE94" s="11"/>
      <c r="KF94" s="11"/>
      <c r="KG94" s="11"/>
      <c r="KH94" s="11"/>
      <c r="KI94" s="11">
        <v>736812.75</v>
      </c>
      <c r="KJ94" s="11">
        <v>249300</v>
      </c>
      <c r="KK94" s="11">
        <v>392953</v>
      </c>
      <c r="KL94" s="11"/>
      <c r="KM94" s="11">
        <v>14663</v>
      </c>
      <c r="KN94" s="11">
        <v>151069</v>
      </c>
      <c r="KO94" s="11">
        <v>359320</v>
      </c>
      <c r="KP94" s="11"/>
      <c r="KQ94" s="11"/>
      <c r="KR94" s="11">
        <v>4785.5</v>
      </c>
      <c r="KS94" s="11">
        <v>428099</v>
      </c>
      <c r="KT94" s="11">
        <v>275111.5</v>
      </c>
      <c r="KU94" s="11">
        <v>14400</v>
      </c>
      <c r="KV94" s="11">
        <v>127205.25</v>
      </c>
      <c r="KW94" s="11">
        <v>225487.6</v>
      </c>
      <c r="KX94" s="11">
        <v>585283.25</v>
      </c>
      <c r="KY94" s="11"/>
      <c r="KZ94" s="11">
        <v>20700</v>
      </c>
      <c r="LA94" s="11"/>
      <c r="LB94" s="11"/>
      <c r="LC94" s="11"/>
      <c r="LD94" s="11"/>
      <c r="LE94" s="11"/>
      <c r="LF94" s="11"/>
      <c r="LG94" s="11"/>
      <c r="LH94" s="11">
        <v>2278035.2999999998</v>
      </c>
      <c r="LI94" s="11"/>
      <c r="LJ94" s="11">
        <v>87315.26</v>
      </c>
      <c r="LK94" s="11">
        <v>2516.75</v>
      </c>
      <c r="LL94" s="11">
        <v>51491</v>
      </c>
      <c r="LM94" s="11"/>
      <c r="LN94" s="11"/>
      <c r="LO94" s="11"/>
      <c r="LP94" s="11"/>
      <c r="LQ94" s="11">
        <v>2845</v>
      </c>
      <c r="LR94" s="11"/>
      <c r="LS94" s="11"/>
      <c r="LT94" s="11"/>
      <c r="LU94" s="11"/>
      <c r="LV94" s="11"/>
      <c r="LW94" s="11">
        <v>190</v>
      </c>
      <c r="LX94" s="11">
        <v>4000</v>
      </c>
      <c r="LY94" s="11"/>
      <c r="LZ94" s="11">
        <v>129600</v>
      </c>
      <c r="MA94" s="11"/>
      <c r="MB94" s="11"/>
      <c r="MC94" s="11">
        <v>27850</v>
      </c>
      <c r="MD94" s="11"/>
      <c r="ME94" s="11"/>
      <c r="MF94" s="11">
        <v>842314</v>
      </c>
      <c r="MG94" s="11">
        <v>0</v>
      </c>
      <c r="MH94" s="11"/>
      <c r="MI94" s="11">
        <v>221863.25</v>
      </c>
      <c r="MJ94" s="11"/>
      <c r="MK94" s="11">
        <v>64215.4</v>
      </c>
      <c r="ML94" s="11"/>
      <c r="MM94" s="11">
        <v>96966.75</v>
      </c>
      <c r="MN94" s="11"/>
      <c r="MO94" s="11">
        <v>87575.5</v>
      </c>
      <c r="MP94" s="11">
        <v>79619</v>
      </c>
      <c r="MQ94" s="11">
        <v>138944.5</v>
      </c>
      <c r="MR94" s="11"/>
      <c r="MS94" s="11">
        <v>124027</v>
      </c>
      <c r="MT94" s="11">
        <v>223716.25</v>
      </c>
      <c r="MU94" s="11">
        <v>18295.63</v>
      </c>
      <c r="MV94" s="11">
        <v>2099912.25</v>
      </c>
      <c r="MW94" s="11"/>
      <c r="MX94" s="11"/>
      <c r="MY94" s="11">
        <v>192486.47</v>
      </c>
      <c r="MZ94" s="11"/>
      <c r="NA94" s="11"/>
      <c r="NB94" s="11">
        <v>755202.25</v>
      </c>
      <c r="NC94" s="11"/>
      <c r="ND94" s="11"/>
      <c r="NE94" s="11">
        <v>211226.25</v>
      </c>
      <c r="NF94" s="11">
        <v>1164735.6499999999</v>
      </c>
      <c r="NG94" s="11">
        <v>31545.5</v>
      </c>
      <c r="NH94" s="11">
        <v>1875072.75</v>
      </c>
      <c r="NI94" s="11">
        <v>309222.25</v>
      </c>
      <c r="NJ94" s="11">
        <v>119092.25</v>
      </c>
      <c r="NK94" s="11">
        <v>225976.5</v>
      </c>
      <c r="NL94" s="11">
        <v>598481</v>
      </c>
      <c r="NM94" s="11">
        <v>5000</v>
      </c>
      <c r="NN94" s="11">
        <v>195348</v>
      </c>
      <c r="NO94" s="11">
        <v>31328</v>
      </c>
      <c r="NP94" s="11">
        <v>3700</v>
      </c>
      <c r="NQ94" s="11"/>
      <c r="NR94" s="11"/>
      <c r="NS94" s="11"/>
      <c r="NT94" s="11"/>
      <c r="NU94" s="11"/>
      <c r="NV94" s="11"/>
      <c r="NW94" s="11"/>
      <c r="NX94" s="11">
        <v>238552.25</v>
      </c>
      <c r="NY94" s="11">
        <v>456179.25</v>
      </c>
      <c r="NZ94" s="11">
        <v>1659</v>
      </c>
      <c r="OA94" s="11"/>
      <c r="OB94" s="11">
        <v>110835.68</v>
      </c>
      <c r="OC94" s="11"/>
      <c r="OD94" s="11">
        <v>25639</v>
      </c>
      <c r="OE94" s="11"/>
      <c r="OF94" s="11"/>
      <c r="OG94" s="11"/>
      <c r="OH94" s="11">
        <v>12196.8</v>
      </c>
      <c r="OI94" s="11"/>
      <c r="OJ94" s="11"/>
      <c r="OK94" s="11">
        <v>645481.55000000005</v>
      </c>
      <c r="OL94" s="11"/>
      <c r="OM94" s="11"/>
      <c r="ON94" s="11">
        <v>6825315.5199999996</v>
      </c>
      <c r="OO94" s="11"/>
      <c r="OP94" s="11">
        <v>302338.23</v>
      </c>
      <c r="OQ94" s="11">
        <v>350366.75</v>
      </c>
      <c r="OR94" s="11">
        <v>1246558.75</v>
      </c>
      <c r="OS94" s="11">
        <v>2061225.6</v>
      </c>
      <c r="OT94" s="11">
        <v>242588</v>
      </c>
      <c r="OU94" s="11"/>
      <c r="OV94" s="11">
        <v>54804.25</v>
      </c>
      <c r="OW94" s="11">
        <v>102692</v>
      </c>
      <c r="OX94" s="11">
        <v>461116</v>
      </c>
      <c r="OY94" s="11">
        <v>4594</v>
      </c>
      <c r="OZ94" s="11"/>
      <c r="PA94" s="11"/>
      <c r="PB94" s="11">
        <v>7408</v>
      </c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>
        <v>1480</v>
      </c>
      <c r="PO94" s="11"/>
      <c r="PP94" s="11"/>
      <c r="PQ94" s="11"/>
      <c r="PR94" s="11"/>
      <c r="PS94" s="11"/>
      <c r="PT94" s="11"/>
      <c r="PU94" s="11">
        <v>1469481.6</v>
      </c>
      <c r="PV94" s="11"/>
      <c r="PW94" s="11"/>
      <c r="PX94" s="11"/>
      <c r="PY94" s="11"/>
      <c r="PZ94" s="11"/>
      <c r="QA94" s="11"/>
      <c r="QB94" s="11"/>
      <c r="QC94" s="11">
        <v>0</v>
      </c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>
        <v>904583</v>
      </c>
      <c r="QV94" s="11">
        <v>35452</v>
      </c>
      <c r="QW94" s="11"/>
      <c r="QX94" s="11">
        <v>216632</v>
      </c>
      <c r="QY94" s="11"/>
      <c r="QZ94" s="11"/>
      <c r="RA94" s="11"/>
      <c r="RB94" s="11">
        <v>23320</v>
      </c>
      <c r="RC94" s="11">
        <v>0</v>
      </c>
      <c r="RD94" s="11">
        <v>219627.5</v>
      </c>
      <c r="RE94" s="11"/>
      <c r="RF94" s="11">
        <v>30413</v>
      </c>
      <c r="RG94" s="11"/>
      <c r="RH94" s="11"/>
      <c r="RI94" s="11">
        <v>3366</v>
      </c>
      <c r="RJ94" s="11">
        <v>1351</v>
      </c>
      <c r="RK94" s="11">
        <v>270</v>
      </c>
      <c r="RL94" s="11">
        <v>3981</v>
      </c>
      <c r="RM94" s="11">
        <v>3203</v>
      </c>
      <c r="RN94" s="11">
        <v>0</v>
      </c>
      <c r="RO94" s="11">
        <v>2875</v>
      </c>
      <c r="RP94" s="11">
        <v>3836</v>
      </c>
      <c r="RQ94" s="11">
        <v>2761</v>
      </c>
      <c r="RR94" s="11">
        <v>3020</v>
      </c>
      <c r="RS94" s="11">
        <v>2164</v>
      </c>
      <c r="RT94" s="11">
        <v>2156</v>
      </c>
      <c r="RU94" s="11">
        <v>1819</v>
      </c>
      <c r="RV94" s="11">
        <v>2618</v>
      </c>
      <c r="RW94" s="11">
        <v>7796</v>
      </c>
      <c r="RX94" s="11">
        <v>1035</v>
      </c>
      <c r="RY94" s="11"/>
      <c r="RZ94" s="11">
        <v>5277</v>
      </c>
      <c r="SA94" s="11"/>
      <c r="SB94" s="11"/>
      <c r="SC94" s="11"/>
      <c r="SD94" s="11">
        <v>130644</v>
      </c>
      <c r="SE94" s="11">
        <v>367068.5</v>
      </c>
      <c r="SF94" s="11">
        <v>41463</v>
      </c>
      <c r="SG94" s="11">
        <v>240</v>
      </c>
      <c r="SH94" s="11">
        <v>120</v>
      </c>
      <c r="SI94" s="11">
        <v>349599</v>
      </c>
      <c r="SJ94" s="11"/>
      <c r="SK94" s="11">
        <v>0</v>
      </c>
      <c r="SL94" s="11">
        <v>6552</v>
      </c>
      <c r="SM94" s="11">
        <v>157330.5</v>
      </c>
      <c r="SN94" s="11"/>
      <c r="SO94" s="11"/>
      <c r="SP94" s="11"/>
      <c r="SQ94" s="11"/>
      <c r="SR94" s="11"/>
      <c r="SS94" s="11"/>
      <c r="ST94" s="11">
        <v>156533.5</v>
      </c>
      <c r="SU94" s="11"/>
      <c r="SV94" s="11"/>
      <c r="SW94" s="11"/>
      <c r="SX94" s="11"/>
      <c r="SY94" s="11"/>
      <c r="SZ94" s="11"/>
      <c r="TA94" s="11">
        <v>420</v>
      </c>
      <c r="TB94" s="11"/>
      <c r="TC94" s="11"/>
      <c r="TD94" s="11"/>
      <c r="TE94" s="11"/>
      <c r="TF94" s="11"/>
      <c r="TG94" s="11">
        <v>0</v>
      </c>
      <c r="TH94" s="11"/>
      <c r="TI94" s="11"/>
      <c r="TJ94" s="11">
        <v>121726</v>
      </c>
      <c r="TK94" s="11"/>
      <c r="TL94" s="11"/>
      <c r="TM94" s="11"/>
      <c r="TN94" s="11"/>
      <c r="TO94" s="11"/>
      <c r="TP94" s="11"/>
      <c r="TQ94" s="11">
        <v>0</v>
      </c>
      <c r="TR94" s="11"/>
      <c r="TS94" s="11"/>
      <c r="TT94" s="11">
        <v>0</v>
      </c>
      <c r="TU94" s="11">
        <v>700</v>
      </c>
      <c r="TV94" s="11">
        <v>2134</v>
      </c>
      <c r="TW94" s="11">
        <v>1323</v>
      </c>
      <c r="TX94" s="11">
        <v>0</v>
      </c>
      <c r="TY94" s="11">
        <v>0</v>
      </c>
      <c r="TZ94" s="11"/>
      <c r="UA94" s="11">
        <v>0</v>
      </c>
      <c r="UB94" s="11">
        <v>750</v>
      </c>
      <c r="UC94" s="11"/>
      <c r="UD94" s="11"/>
      <c r="UE94" s="11"/>
      <c r="UF94" s="11"/>
      <c r="UG94" s="11"/>
      <c r="UH94" s="11"/>
      <c r="UI94" s="11">
        <v>14686</v>
      </c>
      <c r="UJ94" s="11">
        <v>17200</v>
      </c>
      <c r="UK94" s="11"/>
      <c r="UL94" s="11"/>
      <c r="UM94" s="11"/>
      <c r="UN94" s="11"/>
      <c r="UO94" s="11"/>
      <c r="UP94" s="11">
        <v>360</v>
      </c>
      <c r="UQ94" s="11">
        <v>0</v>
      </c>
      <c r="UR94" s="11">
        <v>14515.5</v>
      </c>
      <c r="US94" s="11"/>
      <c r="UT94" s="11">
        <v>179498</v>
      </c>
      <c r="UU94" s="11"/>
      <c r="UV94" s="11">
        <v>314767</v>
      </c>
      <c r="UW94" s="11">
        <v>87265.5</v>
      </c>
      <c r="UX94" s="11">
        <v>29794</v>
      </c>
      <c r="UY94" s="11">
        <v>6408.5</v>
      </c>
      <c r="UZ94" s="11">
        <v>41276</v>
      </c>
      <c r="VA94" s="11">
        <v>94363.5</v>
      </c>
      <c r="VB94" s="11">
        <v>16350</v>
      </c>
      <c r="VC94" s="11">
        <v>0</v>
      </c>
      <c r="VD94" s="11">
        <v>35543</v>
      </c>
      <c r="VE94" s="11">
        <v>12702.25</v>
      </c>
      <c r="VF94" s="11">
        <v>47461</v>
      </c>
      <c r="VG94" s="11">
        <v>12516.75</v>
      </c>
      <c r="VH94" s="11">
        <v>8454</v>
      </c>
      <c r="VI94" s="11">
        <v>125402</v>
      </c>
      <c r="VJ94" s="11">
        <v>22614</v>
      </c>
      <c r="VK94" s="11">
        <v>31324.5</v>
      </c>
      <c r="VL94" s="11"/>
      <c r="VM94" s="11"/>
      <c r="VN94" s="11"/>
      <c r="VO94" s="11">
        <v>3123150.75</v>
      </c>
      <c r="VP94" s="11">
        <v>982985.85</v>
      </c>
      <c r="VQ94" s="11"/>
      <c r="VR94" s="11"/>
      <c r="VS94" s="11">
        <v>0</v>
      </c>
      <c r="VT94" s="11">
        <v>17810</v>
      </c>
      <c r="VU94" s="11"/>
      <c r="VV94" s="11">
        <v>0</v>
      </c>
      <c r="VW94" s="11"/>
      <c r="VX94" s="11">
        <v>3050</v>
      </c>
      <c r="VY94" s="11">
        <v>7650</v>
      </c>
      <c r="VZ94" s="11"/>
      <c r="WA94" s="11">
        <v>16150.5</v>
      </c>
      <c r="WB94" s="11"/>
      <c r="WC94" s="11">
        <v>5700</v>
      </c>
      <c r="WD94" s="11">
        <v>132148</v>
      </c>
      <c r="WE94" s="11">
        <v>774089.75</v>
      </c>
      <c r="WF94" s="11"/>
      <c r="WG94" s="11">
        <v>57070</v>
      </c>
      <c r="WH94" s="11">
        <v>702268.8</v>
      </c>
      <c r="WI94" s="11">
        <v>108696.5</v>
      </c>
      <c r="WJ94" s="11">
        <v>8400</v>
      </c>
      <c r="WK94" s="11">
        <v>81890</v>
      </c>
      <c r="WL94" s="11"/>
      <c r="WM94" s="11"/>
      <c r="WN94" s="11"/>
      <c r="WO94" s="11">
        <v>1598757.6</v>
      </c>
      <c r="WP94" s="11"/>
      <c r="WQ94" s="11"/>
      <c r="WR94" s="11">
        <v>1426050</v>
      </c>
      <c r="WS94" s="11"/>
      <c r="WT94" s="11">
        <v>31610</v>
      </c>
      <c r="WU94" s="11"/>
      <c r="WV94" s="11"/>
      <c r="WW94" s="11"/>
      <c r="WX94" s="11">
        <v>149261.4</v>
      </c>
      <c r="WY94" s="11"/>
      <c r="WZ94" s="11"/>
      <c r="XA94" s="11"/>
      <c r="XB94" s="11"/>
      <c r="XC94" s="11"/>
      <c r="XD94" s="11">
        <v>52116.7</v>
      </c>
      <c r="XE94" s="11">
        <v>239666.4</v>
      </c>
      <c r="XF94" s="11"/>
      <c r="XG94" s="11"/>
      <c r="XH94" s="11"/>
      <c r="XI94" s="11"/>
      <c r="XJ94" s="11"/>
      <c r="XK94" s="11"/>
      <c r="XL94" s="11"/>
      <c r="XM94" s="11"/>
      <c r="XN94" s="11"/>
      <c r="XO94" s="11">
        <v>0</v>
      </c>
      <c r="XP94" s="11">
        <v>0</v>
      </c>
      <c r="XQ94" s="11"/>
      <c r="XR94" s="11"/>
      <c r="XS94" s="11"/>
      <c r="XT94" s="11"/>
      <c r="XU94" s="11">
        <v>330</v>
      </c>
      <c r="XV94" s="11"/>
      <c r="XW94" s="11"/>
      <c r="XX94" s="11"/>
      <c r="XY94" s="11"/>
      <c r="XZ94" s="11">
        <v>525</v>
      </c>
      <c r="YA94" s="11"/>
      <c r="YB94" s="11"/>
      <c r="YC94" s="11"/>
      <c r="YD94" s="11"/>
      <c r="YE94" s="11"/>
      <c r="YF94" s="11">
        <v>99412.25</v>
      </c>
      <c r="YG94" s="11">
        <v>200</v>
      </c>
      <c r="YH94" s="11">
        <v>14383</v>
      </c>
      <c r="YI94" s="11">
        <v>3686.25</v>
      </c>
      <c r="YJ94" s="11">
        <v>24759</v>
      </c>
      <c r="YK94" s="11"/>
      <c r="YL94" s="11">
        <v>1660.5</v>
      </c>
      <c r="YM94" s="11"/>
      <c r="YN94" s="11">
        <v>6440</v>
      </c>
      <c r="YO94" s="11">
        <v>967</v>
      </c>
      <c r="YP94" s="11">
        <v>1021.5</v>
      </c>
      <c r="YQ94" s="11"/>
      <c r="YR94" s="11"/>
      <c r="YS94" s="11"/>
      <c r="YT94" s="11">
        <v>744</v>
      </c>
      <c r="YU94" s="11">
        <v>1161.5</v>
      </c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>
        <v>42224</v>
      </c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>
        <v>25400</v>
      </c>
      <c r="AAQ94" s="11">
        <v>1866</v>
      </c>
      <c r="AAR94" s="11"/>
      <c r="AAS94" s="11">
        <v>106711</v>
      </c>
      <c r="AAT94" s="11"/>
      <c r="AAU94" s="11"/>
      <c r="AAV94" s="11"/>
      <c r="AAW94" s="11">
        <v>0</v>
      </c>
      <c r="AAX94" s="11">
        <v>210065.5</v>
      </c>
      <c r="AAY94" s="11"/>
      <c r="AAZ94" s="11"/>
      <c r="ABA94" s="11"/>
      <c r="ABB94" s="11">
        <v>3988238</v>
      </c>
      <c r="ABC94" s="11"/>
      <c r="ABD94" s="11"/>
      <c r="ABE94" s="11">
        <v>1200</v>
      </c>
      <c r="ABF94" s="11"/>
      <c r="ABG94" s="11">
        <v>217591</v>
      </c>
      <c r="ABH94" s="11"/>
      <c r="ABI94" s="11"/>
      <c r="ABJ94" s="11">
        <v>12780</v>
      </c>
      <c r="ABK94" s="11"/>
      <c r="ABL94" s="11"/>
      <c r="ABM94" s="11"/>
      <c r="ABN94" s="11">
        <v>2210</v>
      </c>
      <c r="ABO94" s="11">
        <v>331386.5</v>
      </c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>
        <v>700</v>
      </c>
      <c r="ACH94" s="11"/>
      <c r="ACI94" s="11"/>
      <c r="ACJ94" s="11">
        <v>62186.27</v>
      </c>
      <c r="ACK94" s="11">
        <v>33964.129999999997</v>
      </c>
      <c r="ACL94" s="11">
        <v>12300</v>
      </c>
      <c r="ACM94" s="11">
        <v>9240</v>
      </c>
      <c r="ACN94" s="11"/>
      <c r="ACO94" s="11"/>
      <c r="ACP94" s="11"/>
      <c r="ACQ94" s="11">
        <v>7000</v>
      </c>
      <c r="ACR94" s="11"/>
      <c r="ACS94" s="11">
        <v>1540</v>
      </c>
      <c r="ACT94" s="11">
        <v>1353</v>
      </c>
      <c r="ACU94" s="11"/>
      <c r="ACV94" s="11"/>
      <c r="ACW94" s="11"/>
      <c r="ACX94" s="11">
        <v>200</v>
      </c>
      <c r="ACY94" s="11">
        <v>500000</v>
      </c>
      <c r="ACZ94" s="11">
        <v>0</v>
      </c>
      <c r="ADA94" s="11"/>
      <c r="ADB94" s="11">
        <v>59227.25</v>
      </c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>
        <v>3883</v>
      </c>
      <c r="AEA94" s="11"/>
      <c r="AEB94" s="11">
        <v>261845</v>
      </c>
      <c r="AEC94" s="11">
        <v>6158.5</v>
      </c>
      <c r="AED94" s="11"/>
      <c r="AEE94" s="11"/>
      <c r="AEF94" s="11"/>
      <c r="AEG94" s="11">
        <v>2320</v>
      </c>
      <c r="AEH94" s="11"/>
      <c r="AEI94" s="11">
        <v>570</v>
      </c>
      <c r="AEJ94" s="11">
        <v>136238</v>
      </c>
      <c r="AEK94" s="11">
        <v>11750</v>
      </c>
      <c r="AEL94" s="11">
        <v>3079</v>
      </c>
      <c r="AEM94" s="11">
        <v>0</v>
      </c>
      <c r="AEN94" s="11">
        <v>4750</v>
      </c>
      <c r="AEO94" s="11"/>
      <c r="AEP94" s="11"/>
      <c r="AEQ94" s="11"/>
      <c r="AER94" s="11"/>
      <c r="AES94" s="11"/>
      <c r="AET94" s="11"/>
      <c r="AEU94" s="11">
        <v>54963.5</v>
      </c>
      <c r="AEV94" s="11">
        <v>8560</v>
      </c>
      <c r="AEW94" s="11">
        <v>57841.5</v>
      </c>
      <c r="AEX94" s="11">
        <v>24682</v>
      </c>
      <c r="AEY94" s="11">
        <v>797775.75</v>
      </c>
      <c r="AEZ94" s="11">
        <v>95819</v>
      </c>
      <c r="AFA94" s="11">
        <v>72256.25</v>
      </c>
      <c r="AFB94" s="11">
        <v>8721</v>
      </c>
      <c r="AFC94" s="11">
        <v>1969.5</v>
      </c>
      <c r="AFD94" s="11"/>
      <c r="AFE94" s="11">
        <v>55826</v>
      </c>
      <c r="AFF94" s="11"/>
      <c r="AFG94" s="11"/>
      <c r="AFH94" s="11"/>
      <c r="AFI94" s="11">
        <v>17950</v>
      </c>
      <c r="AFJ94" s="11"/>
      <c r="AFK94" s="11"/>
      <c r="AFL94" s="11"/>
      <c r="AFM94" s="11"/>
      <c r="AFN94" s="11"/>
      <c r="AFO94" s="11"/>
      <c r="AFP94" s="11"/>
      <c r="AFQ94" s="11"/>
      <c r="AFR94" s="11">
        <v>2750</v>
      </c>
      <c r="AFS94" s="11">
        <v>28227.25</v>
      </c>
      <c r="AFT94" s="11">
        <v>3137.5</v>
      </c>
      <c r="AFU94" s="11">
        <v>610</v>
      </c>
      <c r="AFV94" s="11">
        <v>963</v>
      </c>
      <c r="AFW94" s="11"/>
      <c r="AFX94" s="11">
        <v>18539</v>
      </c>
      <c r="AFY94" s="11"/>
      <c r="AFZ94" s="11">
        <v>140</v>
      </c>
      <c r="AGA94" s="11">
        <v>16057</v>
      </c>
      <c r="AGB94" s="11">
        <v>700</v>
      </c>
      <c r="AGC94" s="11"/>
      <c r="AGD94" s="11">
        <v>253947.83</v>
      </c>
      <c r="AGE94" s="11"/>
      <c r="AGF94" s="11"/>
      <c r="AGG94" s="11"/>
      <c r="AGH94" s="11">
        <v>0</v>
      </c>
      <c r="AGI94" s="11"/>
      <c r="AGJ94" s="11">
        <v>0</v>
      </c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>
        <v>11046</v>
      </c>
      <c r="AGV94" s="11">
        <v>131100</v>
      </c>
      <c r="AGW94" s="11">
        <v>219075</v>
      </c>
      <c r="AGX94" s="11">
        <v>179207.6</v>
      </c>
      <c r="AGY94" s="11">
        <v>1839</v>
      </c>
      <c r="AGZ94" s="11">
        <v>24458.639999999999</v>
      </c>
      <c r="AHA94" s="11">
        <v>490788.75</v>
      </c>
      <c r="AHB94" s="11">
        <v>20009</v>
      </c>
      <c r="AHC94" s="11">
        <v>994723.29</v>
      </c>
      <c r="AHD94" s="11">
        <v>230</v>
      </c>
      <c r="AHE94" s="11">
        <v>672541.82</v>
      </c>
      <c r="AHF94" s="11">
        <v>47502</v>
      </c>
      <c r="AHG94" s="11">
        <v>147358</v>
      </c>
      <c r="AHH94" s="11">
        <v>129388</v>
      </c>
      <c r="AHI94" s="11">
        <v>470</v>
      </c>
      <c r="AHJ94" s="11">
        <v>67955</v>
      </c>
      <c r="AHK94" s="11">
        <v>5184</v>
      </c>
      <c r="AHL94" s="11">
        <v>151752.63</v>
      </c>
      <c r="AHM94" s="11"/>
      <c r="AHN94" s="11">
        <v>591263.1</v>
      </c>
      <c r="AHO94" s="11"/>
      <c r="AHP94" s="11"/>
      <c r="AHQ94" s="11"/>
      <c r="AHR94" s="11"/>
      <c r="AHS94" s="11"/>
      <c r="AHT94" s="11">
        <v>159378934.22</v>
      </c>
      <c r="AHV94" s="269" t="s">
        <v>6278</v>
      </c>
      <c r="AHW94" s="269" t="s">
        <v>6129</v>
      </c>
      <c r="AHX94" s="269" t="s">
        <v>6130</v>
      </c>
    </row>
    <row r="95" spans="1:908" x14ac:dyDescent="0.7">
      <c r="A95" s="6" t="s">
        <v>6278</v>
      </c>
      <c r="B95" s="6" t="s">
        <v>6135</v>
      </c>
      <c r="C95" s="6" t="s">
        <v>6136</v>
      </c>
      <c r="D95" s="11">
        <v>0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>
        <v>2158999.0099999998</v>
      </c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>
        <v>4378696.43</v>
      </c>
      <c r="CU95" s="11"/>
      <c r="CV95" s="11"/>
      <c r="CW95" s="11"/>
      <c r="CX95" s="11"/>
      <c r="CY95" s="11"/>
      <c r="CZ95" s="11"/>
      <c r="DA95" s="11"/>
      <c r="DB95" s="11">
        <v>10725603.5</v>
      </c>
      <c r="DC95" s="11">
        <v>3280283</v>
      </c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>
        <v>782429.15</v>
      </c>
      <c r="EF95" s="11">
        <v>666392.28</v>
      </c>
      <c r="EG95" s="11"/>
      <c r="EH95" s="11"/>
      <c r="EI95" s="11">
        <v>12250</v>
      </c>
      <c r="EJ95" s="11"/>
      <c r="EK95" s="11"/>
      <c r="EL95" s="11"/>
      <c r="EM95" s="11"/>
      <c r="EN95" s="11">
        <v>2105963.62</v>
      </c>
      <c r="EO95" s="11"/>
      <c r="EP95" s="11"/>
      <c r="EQ95" s="11"/>
      <c r="ER95" s="11"/>
      <c r="ES95" s="11"/>
      <c r="ET95" s="11"/>
      <c r="EU95" s="11"/>
      <c r="EV95" s="11"/>
      <c r="EW95" s="11">
        <v>0</v>
      </c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>
        <v>1335729.8899999999</v>
      </c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>
        <v>516767.8</v>
      </c>
      <c r="GR95" s="11"/>
      <c r="GS95" s="11"/>
      <c r="GT95" s="11"/>
      <c r="GU95" s="11"/>
      <c r="GV95" s="11"/>
      <c r="GW95" s="11"/>
      <c r="GX95" s="11"/>
      <c r="GY95" s="11">
        <v>1171460.22</v>
      </c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>
        <v>1465319.25</v>
      </c>
      <c r="HT95" s="11">
        <v>5643547.7599999998</v>
      </c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>
        <v>159752</v>
      </c>
      <c r="IK95" s="11"/>
      <c r="IL95" s="11"/>
      <c r="IM95" s="11"/>
      <c r="IN95" s="11"/>
      <c r="IO95" s="11"/>
      <c r="IP95" s="11"/>
      <c r="IQ95" s="11"/>
      <c r="IR95" s="11"/>
      <c r="IS95" s="11"/>
      <c r="IT95" s="11">
        <v>8406274.9499999993</v>
      </c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>
        <v>34891.25</v>
      </c>
      <c r="JG95" s="11">
        <v>1227184.25</v>
      </c>
      <c r="JH95" s="11"/>
      <c r="JI95" s="11"/>
      <c r="JJ95" s="11"/>
      <c r="JK95" s="11"/>
      <c r="JL95" s="11">
        <v>48485024.710000001</v>
      </c>
      <c r="JM95" s="11"/>
      <c r="JN95" s="11"/>
      <c r="JO95" s="11"/>
      <c r="JP95" s="11"/>
      <c r="JQ95" s="11"/>
      <c r="JR95" s="11"/>
      <c r="JS95" s="11">
        <v>7754487.8600000003</v>
      </c>
      <c r="JT95" s="11">
        <v>3104087.8</v>
      </c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>
        <v>15982119.529999999</v>
      </c>
      <c r="KS95" s="11"/>
      <c r="KT95" s="11"/>
      <c r="KU95" s="11">
        <v>2927344.75</v>
      </c>
      <c r="KV95" s="11"/>
      <c r="KW95" s="11"/>
      <c r="KX95" s="11">
        <v>11180364.5</v>
      </c>
      <c r="KY95" s="11"/>
      <c r="KZ95" s="11">
        <v>9732208.3399999999</v>
      </c>
      <c r="LA95" s="11"/>
      <c r="LB95" s="11"/>
      <c r="LC95" s="11"/>
      <c r="LD95" s="11"/>
      <c r="LE95" s="11"/>
      <c r="LF95" s="11"/>
      <c r="LG95" s="11"/>
      <c r="LH95" s="11"/>
      <c r="LI95" s="11">
        <v>1022883.28</v>
      </c>
      <c r="LJ95" s="11">
        <v>10296790.029999999</v>
      </c>
      <c r="LK95" s="11">
        <v>2168330.25</v>
      </c>
      <c r="LL95" s="11"/>
      <c r="LM95" s="11"/>
      <c r="LN95" s="11"/>
      <c r="LO95" s="11"/>
      <c r="LP95" s="11"/>
      <c r="LQ95" s="11"/>
      <c r="LR95" s="11"/>
      <c r="LS95" s="11">
        <v>2941972</v>
      </c>
      <c r="LT95" s="11"/>
      <c r="LU95" s="11"/>
      <c r="LV95" s="11">
        <v>11854732.220000001</v>
      </c>
      <c r="LW95" s="11">
        <v>1283361.5</v>
      </c>
      <c r="LX95" s="11">
        <v>8150820.5499999998</v>
      </c>
      <c r="LY95" s="11">
        <v>1828832.18</v>
      </c>
      <c r="LZ95" s="11"/>
      <c r="MA95" s="11"/>
      <c r="MB95" s="11"/>
      <c r="MC95" s="11"/>
      <c r="MD95" s="11"/>
      <c r="ME95" s="11"/>
      <c r="MF95" s="11">
        <v>5531332.4000000004</v>
      </c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>
        <v>2664897.25</v>
      </c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>
        <v>2707294.62</v>
      </c>
      <c r="NF95" s="11"/>
      <c r="NG95" s="11"/>
      <c r="NH95" s="11"/>
      <c r="NI95" s="11"/>
      <c r="NJ95" s="11"/>
      <c r="NK95" s="11">
        <v>15136493.369999999</v>
      </c>
      <c r="NL95" s="11">
        <v>1154439.5</v>
      </c>
      <c r="NM95" s="11"/>
      <c r="NN95" s="11"/>
      <c r="NO95" s="11"/>
      <c r="NP95" s="11"/>
      <c r="NQ95" s="11">
        <v>0</v>
      </c>
      <c r="NR95" s="11"/>
      <c r="NS95" s="11"/>
      <c r="NT95" s="11"/>
      <c r="NU95" s="11"/>
      <c r="NV95" s="11"/>
      <c r="NW95" s="11"/>
      <c r="NX95" s="11">
        <v>19594201.43</v>
      </c>
      <c r="NY95" s="11"/>
      <c r="NZ95" s="11"/>
      <c r="OA95" s="11"/>
      <c r="OB95" s="11"/>
      <c r="OC95" s="11"/>
      <c r="OD95" s="11"/>
      <c r="OE95" s="11">
        <v>1600</v>
      </c>
      <c r="OF95" s="11"/>
      <c r="OG95" s="11"/>
      <c r="OH95" s="11"/>
      <c r="OI95" s="11"/>
      <c r="OJ95" s="11"/>
      <c r="OK95" s="11"/>
      <c r="OL95" s="11"/>
      <c r="OM95" s="11"/>
      <c r="ON95" s="11">
        <v>3494679.35</v>
      </c>
      <c r="OO95" s="11">
        <v>958198.03</v>
      </c>
      <c r="OP95" s="11">
        <v>4101789.61</v>
      </c>
      <c r="OQ95" s="11"/>
      <c r="OR95" s="11"/>
      <c r="OS95" s="11"/>
      <c r="OT95" s="11">
        <v>5261678.08</v>
      </c>
      <c r="OU95" s="11"/>
      <c r="OV95" s="11"/>
      <c r="OW95" s="11"/>
      <c r="OX95" s="11"/>
      <c r="OY95" s="11"/>
      <c r="OZ95" s="11"/>
      <c r="PA95" s="11"/>
      <c r="PB95" s="11"/>
      <c r="PC95" s="11">
        <v>12505782.91</v>
      </c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>
        <v>11094471.560000001</v>
      </c>
      <c r="PV95" s="11"/>
      <c r="PW95" s="11"/>
      <c r="PX95" s="11"/>
      <c r="PY95" s="11">
        <v>2693534.5</v>
      </c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>
        <v>950001.38</v>
      </c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>
        <v>511190.2</v>
      </c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>
        <v>0</v>
      </c>
      <c r="UC95" s="11"/>
      <c r="UD95" s="11"/>
      <c r="UE95" s="11"/>
      <c r="UF95" s="11">
        <v>199994.5</v>
      </c>
      <c r="UG95" s="11"/>
      <c r="UH95" s="11"/>
      <c r="UI95" s="11"/>
      <c r="UJ95" s="11"/>
      <c r="UK95" s="11">
        <v>0</v>
      </c>
      <c r="UL95" s="11"/>
      <c r="UM95" s="11"/>
      <c r="UN95" s="11"/>
      <c r="UO95" s="11"/>
      <c r="UP95" s="11"/>
      <c r="UQ95" s="11">
        <v>0</v>
      </c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>
        <v>2616994.75</v>
      </c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>
        <v>1359261.29</v>
      </c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>
        <v>2933590.38</v>
      </c>
      <c r="WW95" s="11"/>
      <c r="WX95" s="11"/>
      <c r="WY95" s="11"/>
      <c r="WZ95" s="11"/>
      <c r="XA95" s="11"/>
      <c r="XB95" s="11"/>
      <c r="XC95" s="11"/>
      <c r="XD95" s="11">
        <v>2968609.4</v>
      </c>
      <c r="XE95" s="11"/>
      <c r="XF95" s="11"/>
      <c r="XG95" s="11"/>
      <c r="XH95" s="11"/>
      <c r="XI95" s="11">
        <v>0</v>
      </c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>
        <v>0</v>
      </c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>
        <v>2868638.65</v>
      </c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>
        <v>3366596.75</v>
      </c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>
        <v>3341290.02</v>
      </c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>
        <v>11683.16</v>
      </c>
      <c r="ACK95" s="11"/>
      <c r="ACL95" s="11"/>
      <c r="ACM95" s="11"/>
      <c r="ACN95" s="11"/>
      <c r="ACO95" s="11"/>
      <c r="ACP95" s="11"/>
      <c r="ACQ95" s="11">
        <v>0</v>
      </c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>
        <v>427110</v>
      </c>
      <c r="ADI95" s="11"/>
      <c r="ADJ95" s="11"/>
      <c r="ADK95" s="11"/>
      <c r="ADL95" s="11"/>
      <c r="ADM95" s="11"/>
      <c r="ADN95" s="11"/>
      <c r="ADO95" s="11"/>
      <c r="ADP95" s="11">
        <v>1189104.25</v>
      </c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>
        <v>0</v>
      </c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>
        <v>4125155.54</v>
      </c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>
        <v>542042.21</v>
      </c>
      <c r="AFF95" s="11"/>
      <c r="AFG95" s="11"/>
      <c r="AFH95" s="11"/>
      <c r="AFI95" s="11"/>
      <c r="AFJ95" s="11"/>
      <c r="AFK95" s="11"/>
      <c r="AFL95" s="11">
        <v>80810.880000000005</v>
      </c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>
        <v>0</v>
      </c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>
        <v>386440.57</v>
      </c>
      <c r="AGO95" s="11">
        <v>514147</v>
      </c>
      <c r="AGP95" s="11"/>
      <c r="AGQ95" s="11"/>
      <c r="AGR95" s="11"/>
      <c r="AGS95" s="11"/>
      <c r="AGT95" s="11"/>
      <c r="AGU95" s="11"/>
      <c r="AGV95" s="11">
        <v>0</v>
      </c>
      <c r="AGW95" s="11">
        <v>37659868.649999999</v>
      </c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>
        <v>478656.75</v>
      </c>
      <c r="AHN95" s="11"/>
      <c r="AHO95" s="11"/>
      <c r="AHP95" s="11"/>
      <c r="AHQ95" s="11"/>
      <c r="AHR95" s="11"/>
      <c r="AHS95" s="11"/>
      <c r="AHT95" s="11">
        <v>336216482.79999995</v>
      </c>
      <c r="AHV95" s="269" t="s">
        <v>6278</v>
      </c>
      <c r="AHW95" s="269" t="s">
        <v>6131</v>
      </c>
      <c r="AHX95" s="269" t="s">
        <v>6132</v>
      </c>
    </row>
    <row r="96" spans="1:908" x14ac:dyDescent="0.7">
      <c r="A96" s="6" t="s">
        <v>6278</v>
      </c>
      <c r="B96" s="6" t="s">
        <v>6137</v>
      </c>
      <c r="C96" s="6" t="s">
        <v>6138</v>
      </c>
      <c r="D96" s="11"/>
      <c r="E96" s="11">
        <v>20141.099999999999</v>
      </c>
      <c r="F96" s="11">
        <v>11807.9</v>
      </c>
      <c r="G96" s="11">
        <v>2400</v>
      </c>
      <c r="H96" s="11">
        <v>11545.1</v>
      </c>
      <c r="I96" s="11">
        <v>5450</v>
      </c>
      <c r="J96" s="11">
        <v>8650</v>
      </c>
      <c r="K96" s="11">
        <v>14766.5</v>
      </c>
      <c r="L96" s="11">
        <v>72858</v>
      </c>
      <c r="M96" s="11">
        <v>45775.6</v>
      </c>
      <c r="N96" s="11">
        <v>90873.98</v>
      </c>
      <c r="O96" s="11">
        <v>40768.199999999997</v>
      </c>
      <c r="P96" s="11">
        <v>11580.1</v>
      </c>
      <c r="Q96" s="11">
        <v>13536.3</v>
      </c>
      <c r="R96" s="11">
        <v>0</v>
      </c>
      <c r="S96" s="11">
        <v>0</v>
      </c>
      <c r="T96" s="11">
        <v>5427.4</v>
      </c>
      <c r="U96" s="11">
        <v>0</v>
      </c>
      <c r="V96" s="11"/>
      <c r="W96" s="11">
        <v>77728.2</v>
      </c>
      <c r="X96" s="11"/>
      <c r="Y96" s="11">
        <v>1107000</v>
      </c>
      <c r="Z96" s="11">
        <v>22744.240000000002</v>
      </c>
      <c r="AA96" s="11"/>
      <c r="AB96" s="11"/>
      <c r="AC96" s="11"/>
      <c r="AD96" s="11">
        <v>1229813.83</v>
      </c>
      <c r="AE96" s="11"/>
      <c r="AF96" s="11"/>
      <c r="AG96" s="11">
        <v>688376.86</v>
      </c>
      <c r="AH96" s="11">
        <v>0</v>
      </c>
      <c r="AI96" s="11">
        <v>1342848.06</v>
      </c>
      <c r="AJ96" s="11">
        <v>4504.38</v>
      </c>
      <c r="AK96" s="11"/>
      <c r="AL96" s="11"/>
      <c r="AM96" s="11"/>
      <c r="AN96" s="11"/>
      <c r="AO96" s="11"/>
      <c r="AP96" s="11">
        <v>306459.7</v>
      </c>
      <c r="AQ96" s="11">
        <v>0</v>
      </c>
      <c r="AR96" s="11"/>
      <c r="AS96" s="11"/>
      <c r="AT96" s="11"/>
      <c r="AU96" s="11">
        <v>878</v>
      </c>
      <c r="AV96" s="11"/>
      <c r="AW96" s="11"/>
      <c r="AX96" s="11">
        <v>117468.15</v>
      </c>
      <c r="AY96" s="11">
        <v>0</v>
      </c>
      <c r="AZ96" s="11"/>
      <c r="BA96" s="11">
        <v>0</v>
      </c>
      <c r="BB96" s="11"/>
      <c r="BC96" s="11"/>
      <c r="BD96" s="11"/>
      <c r="BE96" s="11">
        <v>700</v>
      </c>
      <c r="BF96" s="11">
        <v>29604.09</v>
      </c>
      <c r="BG96" s="11"/>
      <c r="BH96" s="11"/>
      <c r="BI96" s="11">
        <v>24709.5</v>
      </c>
      <c r="BJ96" s="11"/>
      <c r="BK96" s="11">
        <v>350</v>
      </c>
      <c r="BL96" s="11">
        <v>250</v>
      </c>
      <c r="BM96" s="11">
        <v>26296.05</v>
      </c>
      <c r="BN96" s="11">
        <v>1601.74</v>
      </c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>
        <v>0</v>
      </c>
      <c r="CC96" s="11"/>
      <c r="CD96" s="11">
        <v>20913</v>
      </c>
      <c r="CE96" s="11"/>
      <c r="CF96" s="11"/>
      <c r="CG96" s="11">
        <v>1653.5</v>
      </c>
      <c r="CH96" s="11"/>
      <c r="CI96" s="11">
        <v>24931.38</v>
      </c>
      <c r="CJ96" s="11"/>
      <c r="CK96" s="11">
        <v>0</v>
      </c>
      <c r="CL96" s="11">
        <v>37269.4</v>
      </c>
      <c r="CM96" s="11"/>
      <c r="CN96" s="11">
        <v>10866</v>
      </c>
      <c r="CO96" s="11"/>
      <c r="CP96" s="11">
        <v>11323.82</v>
      </c>
      <c r="CQ96" s="11">
        <v>810</v>
      </c>
      <c r="CR96" s="11">
        <v>6707.52</v>
      </c>
      <c r="CS96" s="11"/>
      <c r="CT96" s="11">
        <v>8846</v>
      </c>
      <c r="CU96" s="11">
        <v>6363.5</v>
      </c>
      <c r="CV96" s="11">
        <v>21202.5</v>
      </c>
      <c r="CW96" s="11">
        <v>24836</v>
      </c>
      <c r="CX96" s="11"/>
      <c r="CY96" s="11">
        <v>368024.5</v>
      </c>
      <c r="CZ96" s="11">
        <v>141419.75</v>
      </c>
      <c r="DA96" s="11">
        <v>59368</v>
      </c>
      <c r="DB96" s="11">
        <v>1080</v>
      </c>
      <c r="DC96" s="11">
        <v>703424.67</v>
      </c>
      <c r="DD96" s="11"/>
      <c r="DE96" s="11"/>
      <c r="DF96" s="11">
        <v>65020</v>
      </c>
      <c r="DG96" s="11"/>
      <c r="DH96" s="11">
        <v>45643.5</v>
      </c>
      <c r="DI96" s="11">
        <v>23827</v>
      </c>
      <c r="DJ96" s="11"/>
      <c r="DK96" s="11"/>
      <c r="DL96" s="11">
        <v>40637.699999999997</v>
      </c>
      <c r="DM96" s="11">
        <v>16150.4</v>
      </c>
      <c r="DN96" s="11">
        <v>9548.2000000000007</v>
      </c>
      <c r="DO96" s="11">
        <v>17450</v>
      </c>
      <c r="DP96" s="11">
        <v>19399.8</v>
      </c>
      <c r="DQ96" s="11">
        <v>49268.1</v>
      </c>
      <c r="DR96" s="11">
        <v>0</v>
      </c>
      <c r="DS96" s="11">
        <v>1097</v>
      </c>
      <c r="DT96" s="11"/>
      <c r="DU96" s="11"/>
      <c r="DV96" s="11">
        <v>91864.59</v>
      </c>
      <c r="DW96" s="11"/>
      <c r="DX96" s="11"/>
      <c r="DY96" s="11">
        <v>28794</v>
      </c>
      <c r="DZ96" s="11">
        <v>1093153.49</v>
      </c>
      <c r="EA96" s="11"/>
      <c r="EB96" s="11"/>
      <c r="EC96" s="11"/>
      <c r="ED96" s="11"/>
      <c r="EE96" s="11"/>
      <c r="EF96" s="11"/>
      <c r="EG96" s="11">
        <v>14346.59</v>
      </c>
      <c r="EH96" s="11"/>
      <c r="EI96" s="11">
        <v>10008.19</v>
      </c>
      <c r="EJ96" s="11">
        <v>133756.5</v>
      </c>
      <c r="EK96" s="11"/>
      <c r="EL96" s="11"/>
      <c r="EM96" s="11">
        <v>37747.129999999997</v>
      </c>
      <c r="EN96" s="11">
        <v>8172.5</v>
      </c>
      <c r="EO96" s="11"/>
      <c r="EP96" s="11"/>
      <c r="EQ96" s="11">
        <v>385.5</v>
      </c>
      <c r="ER96" s="11"/>
      <c r="ES96" s="11"/>
      <c r="ET96" s="11">
        <v>66331.5</v>
      </c>
      <c r="EU96" s="11"/>
      <c r="EV96" s="11"/>
      <c r="EW96" s="11"/>
      <c r="EX96" s="11">
        <v>12092</v>
      </c>
      <c r="EY96" s="11">
        <v>1032</v>
      </c>
      <c r="EZ96" s="11">
        <v>31053</v>
      </c>
      <c r="FA96" s="11">
        <v>47306.75</v>
      </c>
      <c r="FB96" s="11">
        <v>138419.5</v>
      </c>
      <c r="FC96" s="11">
        <v>8470.25</v>
      </c>
      <c r="FD96" s="11">
        <v>5549</v>
      </c>
      <c r="FE96" s="11">
        <v>43865.5</v>
      </c>
      <c r="FF96" s="11">
        <v>2497</v>
      </c>
      <c r="FG96" s="11">
        <v>39812.370000000003</v>
      </c>
      <c r="FH96" s="11">
        <v>14701.5</v>
      </c>
      <c r="FI96" s="11">
        <v>0</v>
      </c>
      <c r="FJ96" s="11">
        <v>954773.24</v>
      </c>
      <c r="FK96" s="11"/>
      <c r="FL96" s="11"/>
      <c r="FM96" s="11"/>
      <c r="FN96" s="11">
        <v>65703</v>
      </c>
      <c r="FO96" s="11"/>
      <c r="FP96" s="11"/>
      <c r="FQ96" s="11"/>
      <c r="FR96" s="11">
        <v>24010.2</v>
      </c>
      <c r="FS96" s="11">
        <v>2250</v>
      </c>
      <c r="FT96" s="11"/>
      <c r="FU96" s="11">
        <v>1040</v>
      </c>
      <c r="FV96" s="11"/>
      <c r="FW96" s="11"/>
      <c r="FX96" s="11">
        <v>2960</v>
      </c>
      <c r="FY96" s="11">
        <v>41241.86</v>
      </c>
      <c r="FZ96" s="11"/>
      <c r="GA96" s="11">
        <v>67354</v>
      </c>
      <c r="GB96" s="11">
        <v>47802.36</v>
      </c>
      <c r="GC96" s="11">
        <v>8345.49</v>
      </c>
      <c r="GD96" s="11"/>
      <c r="GE96" s="11">
        <v>390</v>
      </c>
      <c r="GF96" s="11"/>
      <c r="GG96" s="11">
        <v>559</v>
      </c>
      <c r="GH96" s="11"/>
      <c r="GI96" s="11"/>
      <c r="GJ96" s="11"/>
      <c r="GK96" s="11">
        <v>2602</v>
      </c>
      <c r="GL96" s="11">
        <v>650</v>
      </c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>
        <v>10469.68</v>
      </c>
      <c r="GZ96" s="11"/>
      <c r="HA96" s="11">
        <v>18239</v>
      </c>
      <c r="HB96" s="11"/>
      <c r="HC96" s="11"/>
      <c r="HD96" s="11">
        <v>389821.65</v>
      </c>
      <c r="HE96" s="11">
        <v>166904.20000000001</v>
      </c>
      <c r="HF96" s="11">
        <v>720910.45</v>
      </c>
      <c r="HG96" s="11">
        <v>261127.89</v>
      </c>
      <c r="HH96" s="11"/>
      <c r="HI96" s="11">
        <v>286308.90000000002</v>
      </c>
      <c r="HJ96" s="11"/>
      <c r="HK96" s="11"/>
      <c r="HL96" s="11">
        <v>644947.15</v>
      </c>
      <c r="HM96" s="11"/>
      <c r="HN96" s="11">
        <v>22704.58</v>
      </c>
      <c r="HO96" s="11"/>
      <c r="HP96" s="11">
        <v>99546</v>
      </c>
      <c r="HQ96" s="11">
        <v>1580</v>
      </c>
      <c r="HR96" s="11">
        <v>194121.62</v>
      </c>
      <c r="HS96" s="11">
        <v>120</v>
      </c>
      <c r="HT96" s="11"/>
      <c r="HU96" s="11"/>
      <c r="HV96" s="11"/>
      <c r="HW96" s="11">
        <v>145748.35</v>
      </c>
      <c r="HX96" s="11"/>
      <c r="HY96" s="11"/>
      <c r="HZ96" s="11">
        <v>45941.5</v>
      </c>
      <c r="IA96" s="11"/>
      <c r="IB96" s="11">
        <v>126934.15</v>
      </c>
      <c r="IC96" s="11"/>
      <c r="ID96" s="11">
        <v>193716.25</v>
      </c>
      <c r="IE96" s="11"/>
      <c r="IF96" s="11">
        <v>486369.7</v>
      </c>
      <c r="IG96" s="11"/>
      <c r="IH96" s="11"/>
      <c r="II96" s="11"/>
      <c r="IJ96" s="11"/>
      <c r="IK96" s="11">
        <v>0</v>
      </c>
      <c r="IL96" s="11">
        <v>87097.59</v>
      </c>
      <c r="IM96" s="11">
        <v>152157.76999999999</v>
      </c>
      <c r="IN96" s="11"/>
      <c r="IO96" s="11">
        <v>0</v>
      </c>
      <c r="IP96" s="11"/>
      <c r="IQ96" s="11"/>
      <c r="IR96" s="11">
        <v>5902.5</v>
      </c>
      <c r="IS96" s="11">
        <v>9239.6</v>
      </c>
      <c r="IT96" s="11"/>
      <c r="IU96" s="11">
        <v>1058</v>
      </c>
      <c r="IV96" s="11"/>
      <c r="IW96" s="11"/>
      <c r="IX96" s="11">
        <v>182416.51</v>
      </c>
      <c r="IY96" s="11">
        <v>2278.7399999999998</v>
      </c>
      <c r="IZ96" s="11">
        <v>15416.01</v>
      </c>
      <c r="JA96" s="11"/>
      <c r="JB96" s="11">
        <v>15476</v>
      </c>
      <c r="JC96" s="11">
        <v>9289.07</v>
      </c>
      <c r="JD96" s="11">
        <v>335747.19</v>
      </c>
      <c r="JE96" s="11">
        <v>91048.82</v>
      </c>
      <c r="JF96" s="11"/>
      <c r="JG96" s="11">
        <v>1210</v>
      </c>
      <c r="JH96" s="11">
        <v>16187.73</v>
      </c>
      <c r="JI96" s="11">
        <v>890</v>
      </c>
      <c r="JJ96" s="11"/>
      <c r="JK96" s="11">
        <v>0</v>
      </c>
      <c r="JL96" s="11">
        <v>157802.44</v>
      </c>
      <c r="JM96" s="11">
        <v>51515.57</v>
      </c>
      <c r="JN96" s="11"/>
      <c r="JO96" s="11">
        <v>34288</v>
      </c>
      <c r="JP96" s="11">
        <v>58107</v>
      </c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>
        <v>148360.19</v>
      </c>
      <c r="KK96" s="11">
        <v>177196.74</v>
      </c>
      <c r="KL96" s="11">
        <v>627654.1</v>
      </c>
      <c r="KM96" s="11">
        <v>21248.83</v>
      </c>
      <c r="KN96" s="11">
        <v>31568.78</v>
      </c>
      <c r="KO96" s="11">
        <v>61583.96</v>
      </c>
      <c r="KP96" s="11">
        <v>66020.320000000007</v>
      </c>
      <c r="KQ96" s="11">
        <v>33455.51</v>
      </c>
      <c r="KR96" s="11">
        <v>1343806.99</v>
      </c>
      <c r="KS96" s="11">
        <v>26761.03</v>
      </c>
      <c r="KT96" s="11">
        <v>731944.75</v>
      </c>
      <c r="KU96" s="11">
        <v>58873.74</v>
      </c>
      <c r="KV96" s="11">
        <v>822748.45</v>
      </c>
      <c r="KW96" s="11">
        <v>164309.97</v>
      </c>
      <c r="KX96" s="11"/>
      <c r="KY96" s="11"/>
      <c r="KZ96" s="11"/>
      <c r="LA96" s="11">
        <v>49259.4</v>
      </c>
      <c r="LB96" s="11"/>
      <c r="LC96" s="11">
        <v>292591.75</v>
      </c>
      <c r="LD96" s="11"/>
      <c r="LE96" s="11"/>
      <c r="LF96" s="11"/>
      <c r="LG96" s="11"/>
      <c r="LH96" s="11">
        <v>23049.82</v>
      </c>
      <c r="LI96" s="11">
        <v>31998.6</v>
      </c>
      <c r="LJ96" s="11"/>
      <c r="LK96" s="11">
        <v>70094.89</v>
      </c>
      <c r="LL96" s="11">
        <v>220311.5</v>
      </c>
      <c r="LM96" s="11">
        <v>555283.59</v>
      </c>
      <c r="LN96" s="11">
        <v>200194</v>
      </c>
      <c r="LO96" s="11">
        <v>427652.6</v>
      </c>
      <c r="LP96" s="11">
        <v>412176</v>
      </c>
      <c r="LQ96" s="11">
        <v>2394.5500000000002</v>
      </c>
      <c r="LR96" s="11">
        <v>58717</v>
      </c>
      <c r="LS96" s="11">
        <v>56352.21</v>
      </c>
      <c r="LT96" s="11"/>
      <c r="LU96" s="11"/>
      <c r="LV96" s="11"/>
      <c r="LW96" s="11">
        <v>544048.24</v>
      </c>
      <c r="LX96" s="11"/>
      <c r="LY96" s="11">
        <v>32213</v>
      </c>
      <c r="LZ96" s="11">
        <v>0</v>
      </c>
      <c r="MA96" s="11"/>
      <c r="MB96" s="11">
        <v>3794</v>
      </c>
      <c r="MC96" s="11"/>
      <c r="MD96" s="11">
        <v>18628.099999999999</v>
      </c>
      <c r="ME96" s="11">
        <v>14098.8</v>
      </c>
      <c r="MF96" s="11">
        <v>62088.72</v>
      </c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>
        <v>206826.04</v>
      </c>
      <c r="MU96" s="11">
        <v>1667563.57</v>
      </c>
      <c r="MV96" s="11">
        <v>81041</v>
      </c>
      <c r="MW96" s="11"/>
      <c r="MX96" s="11"/>
      <c r="MY96" s="11">
        <v>644197</v>
      </c>
      <c r="MZ96" s="11">
        <v>343654.1</v>
      </c>
      <c r="NA96" s="11">
        <v>79418.75</v>
      </c>
      <c r="NB96" s="11">
        <v>113826</v>
      </c>
      <c r="NC96" s="11">
        <v>24610</v>
      </c>
      <c r="ND96" s="11"/>
      <c r="NE96" s="11"/>
      <c r="NF96" s="11">
        <v>196338.9</v>
      </c>
      <c r="NG96" s="11">
        <v>329367.40000000002</v>
      </c>
      <c r="NH96" s="11">
        <v>9432</v>
      </c>
      <c r="NI96" s="11">
        <v>277970</v>
      </c>
      <c r="NJ96" s="11">
        <v>113681.8</v>
      </c>
      <c r="NK96" s="11">
        <v>139181.6</v>
      </c>
      <c r="NL96" s="11">
        <v>110</v>
      </c>
      <c r="NM96" s="11"/>
      <c r="NN96" s="11">
        <v>239168.33</v>
      </c>
      <c r="NO96" s="11">
        <v>0</v>
      </c>
      <c r="NP96" s="11">
        <v>11783.6</v>
      </c>
      <c r="NQ96" s="11">
        <v>0</v>
      </c>
      <c r="NR96" s="11">
        <v>99268.15</v>
      </c>
      <c r="NS96" s="11">
        <v>241088.43</v>
      </c>
      <c r="NT96" s="11">
        <v>179295.5</v>
      </c>
      <c r="NU96" s="11">
        <v>3258</v>
      </c>
      <c r="NV96" s="11">
        <v>647.5</v>
      </c>
      <c r="NW96" s="11"/>
      <c r="NX96" s="11"/>
      <c r="NY96" s="11"/>
      <c r="NZ96" s="11">
        <v>78609.17</v>
      </c>
      <c r="OA96" s="11">
        <v>21661.5</v>
      </c>
      <c r="OB96" s="11">
        <v>31288.75</v>
      </c>
      <c r="OC96" s="11">
        <v>517127.95</v>
      </c>
      <c r="OD96" s="11">
        <v>125</v>
      </c>
      <c r="OE96" s="11">
        <v>0</v>
      </c>
      <c r="OF96" s="11"/>
      <c r="OG96" s="11">
        <v>34725.199999999997</v>
      </c>
      <c r="OH96" s="11">
        <v>11767.5</v>
      </c>
      <c r="OI96" s="11">
        <v>939150.5</v>
      </c>
      <c r="OJ96" s="11">
        <v>70659.3</v>
      </c>
      <c r="OK96" s="11">
        <v>135010.35</v>
      </c>
      <c r="OL96" s="11"/>
      <c r="OM96" s="11"/>
      <c r="ON96" s="11">
        <v>77764.28</v>
      </c>
      <c r="OO96" s="11">
        <v>3044</v>
      </c>
      <c r="OP96" s="11">
        <v>867609.56</v>
      </c>
      <c r="OQ96" s="11">
        <v>0</v>
      </c>
      <c r="OR96" s="11">
        <v>45486.720000000001</v>
      </c>
      <c r="OS96" s="11"/>
      <c r="OT96" s="11">
        <v>1640</v>
      </c>
      <c r="OU96" s="11"/>
      <c r="OV96" s="11">
        <v>0</v>
      </c>
      <c r="OW96" s="11"/>
      <c r="OX96" s="11">
        <v>191625</v>
      </c>
      <c r="OY96" s="11">
        <v>0</v>
      </c>
      <c r="OZ96" s="11"/>
      <c r="PA96" s="11"/>
      <c r="PB96" s="11">
        <v>1300</v>
      </c>
      <c r="PC96" s="11">
        <v>13328</v>
      </c>
      <c r="PD96" s="11">
        <v>46142</v>
      </c>
      <c r="PE96" s="11"/>
      <c r="PF96" s="11">
        <v>18757.490000000002</v>
      </c>
      <c r="PG96" s="11"/>
      <c r="PH96" s="11">
        <v>4730</v>
      </c>
      <c r="PI96" s="11"/>
      <c r="PJ96" s="11"/>
      <c r="PK96" s="11"/>
      <c r="PL96" s="11"/>
      <c r="PM96" s="11">
        <v>10872.34</v>
      </c>
      <c r="PN96" s="11"/>
      <c r="PO96" s="11"/>
      <c r="PP96" s="11">
        <v>0</v>
      </c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>
        <v>20659</v>
      </c>
      <c r="QX96" s="11">
        <v>2270.5</v>
      </c>
      <c r="QY96" s="11"/>
      <c r="QZ96" s="11">
        <v>5000</v>
      </c>
      <c r="RA96" s="11">
        <v>3650</v>
      </c>
      <c r="RB96" s="11">
        <v>17386</v>
      </c>
      <c r="RC96" s="11"/>
      <c r="RD96" s="11">
        <v>56049.5</v>
      </c>
      <c r="RE96" s="11"/>
      <c r="RF96" s="11"/>
      <c r="RG96" s="11"/>
      <c r="RH96" s="11"/>
      <c r="RI96" s="11">
        <v>2972</v>
      </c>
      <c r="RJ96" s="11">
        <v>19728.2</v>
      </c>
      <c r="RK96" s="11">
        <v>66235.839999999997</v>
      </c>
      <c r="RL96" s="11"/>
      <c r="RM96" s="11"/>
      <c r="RN96" s="11"/>
      <c r="RO96" s="11"/>
      <c r="RP96" s="11">
        <v>18867.7</v>
      </c>
      <c r="RQ96" s="11">
        <v>21786.7</v>
      </c>
      <c r="RR96" s="11"/>
      <c r="RS96" s="11">
        <v>2972</v>
      </c>
      <c r="RT96" s="11"/>
      <c r="RU96" s="11"/>
      <c r="RV96" s="11"/>
      <c r="RW96" s="11">
        <v>16977</v>
      </c>
      <c r="RX96" s="11">
        <v>700</v>
      </c>
      <c r="RY96" s="11"/>
      <c r="RZ96" s="11"/>
      <c r="SA96" s="11"/>
      <c r="SB96" s="11"/>
      <c r="SC96" s="11"/>
      <c r="SD96" s="11">
        <v>101914.69</v>
      </c>
      <c r="SE96" s="11">
        <v>299609.46000000002</v>
      </c>
      <c r="SF96" s="11">
        <v>1150</v>
      </c>
      <c r="SG96" s="11">
        <v>29297</v>
      </c>
      <c r="SH96" s="11"/>
      <c r="SI96" s="11">
        <v>34047.800000000003</v>
      </c>
      <c r="SJ96" s="11"/>
      <c r="SK96" s="11"/>
      <c r="SL96" s="11">
        <v>240089.92</v>
      </c>
      <c r="SM96" s="11"/>
      <c r="SN96" s="11"/>
      <c r="SO96" s="11">
        <v>78559.64</v>
      </c>
      <c r="SP96" s="11">
        <v>4025</v>
      </c>
      <c r="SQ96" s="11"/>
      <c r="SR96" s="11">
        <v>68613.179999999993</v>
      </c>
      <c r="SS96" s="11"/>
      <c r="ST96" s="11">
        <v>130005.05</v>
      </c>
      <c r="SU96" s="11">
        <v>368737.17</v>
      </c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>
        <v>0</v>
      </c>
      <c r="TL96" s="11">
        <v>750</v>
      </c>
      <c r="TM96" s="11">
        <v>300</v>
      </c>
      <c r="TN96" s="11"/>
      <c r="TO96" s="11">
        <v>0</v>
      </c>
      <c r="TP96" s="11"/>
      <c r="TQ96" s="11"/>
      <c r="TR96" s="11"/>
      <c r="TS96" s="11"/>
      <c r="TT96" s="11"/>
      <c r="TU96" s="11">
        <v>9619.9</v>
      </c>
      <c r="TV96" s="11"/>
      <c r="TW96" s="11">
        <v>18394.599999999999</v>
      </c>
      <c r="TX96" s="11"/>
      <c r="TY96" s="11"/>
      <c r="TZ96" s="11"/>
      <c r="UA96" s="11"/>
      <c r="UB96" s="11"/>
      <c r="UC96" s="11">
        <v>129965.96</v>
      </c>
      <c r="UD96" s="11">
        <v>14886.34</v>
      </c>
      <c r="UE96" s="11">
        <v>114856.32000000001</v>
      </c>
      <c r="UF96" s="11"/>
      <c r="UG96" s="11"/>
      <c r="UH96" s="11"/>
      <c r="UI96" s="11"/>
      <c r="UJ96" s="11"/>
      <c r="UK96" s="11"/>
      <c r="UL96" s="11"/>
      <c r="UM96" s="11"/>
      <c r="UN96" s="11"/>
      <c r="UO96" s="11">
        <v>178810.72</v>
      </c>
      <c r="UP96" s="11"/>
      <c r="UQ96" s="11"/>
      <c r="UR96" s="11">
        <v>69253.22</v>
      </c>
      <c r="US96" s="11"/>
      <c r="UT96" s="11">
        <v>55259.46</v>
      </c>
      <c r="UU96" s="11"/>
      <c r="UV96" s="11"/>
      <c r="UW96" s="11">
        <v>74605.81</v>
      </c>
      <c r="UX96" s="11">
        <v>168</v>
      </c>
      <c r="UY96" s="11"/>
      <c r="UZ96" s="11">
        <v>64309.14</v>
      </c>
      <c r="VA96" s="11"/>
      <c r="VB96" s="11">
        <v>14776.38</v>
      </c>
      <c r="VC96" s="11">
        <v>120942.18</v>
      </c>
      <c r="VD96" s="11">
        <v>0</v>
      </c>
      <c r="VE96" s="11"/>
      <c r="VF96" s="11">
        <v>9882.4699999999993</v>
      </c>
      <c r="VG96" s="11"/>
      <c r="VH96" s="11"/>
      <c r="VI96" s="11"/>
      <c r="VJ96" s="11"/>
      <c r="VK96" s="11"/>
      <c r="VL96" s="11"/>
      <c r="VM96" s="11">
        <v>3080</v>
      </c>
      <c r="VN96" s="11"/>
      <c r="VO96" s="11">
        <v>13236</v>
      </c>
      <c r="VP96" s="11"/>
      <c r="VQ96" s="11"/>
      <c r="VR96" s="11">
        <v>23959.78</v>
      </c>
      <c r="VS96" s="11">
        <v>12960.8</v>
      </c>
      <c r="VT96" s="11"/>
      <c r="VU96" s="11">
        <v>5897.6</v>
      </c>
      <c r="VV96" s="11"/>
      <c r="VW96" s="11"/>
      <c r="VX96" s="11">
        <v>11302.4</v>
      </c>
      <c r="VY96" s="11"/>
      <c r="VZ96" s="11"/>
      <c r="WA96" s="11"/>
      <c r="WB96" s="11"/>
      <c r="WC96" s="11">
        <v>0</v>
      </c>
      <c r="WD96" s="11">
        <v>913</v>
      </c>
      <c r="WE96" s="11"/>
      <c r="WF96" s="11"/>
      <c r="WG96" s="11"/>
      <c r="WH96" s="11"/>
      <c r="WI96" s="11">
        <v>2700</v>
      </c>
      <c r="WJ96" s="11"/>
      <c r="WK96" s="11"/>
      <c r="WL96" s="11"/>
      <c r="WM96" s="11"/>
      <c r="WN96" s="11"/>
      <c r="WO96" s="11"/>
      <c r="WP96" s="11"/>
      <c r="WQ96" s="11"/>
      <c r="WR96" s="11"/>
      <c r="WS96" s="11">
        <v>53062</v>
      </c>
      <c r="WT96" s="11">
        <v>190</v>
      </c>
      <c r="WU96" s="11"/>
      <c r="WV96" s="11">
        <v>10527</v>
      </c>
      <c r="WW96" s="11"/>
      <c r="WX96" s="11"/>
      <c r="WY96" s="11"/>
      <c r="WZ96" s="11"/>
      <c r="XA96" s="11"/>
      <c r="XB96" s="11"/>
      <c r="XC96" s="11"/>
      <c r="XD96" s="11">
        <v>2590</v>
      </c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>
        <v>2480</v>
      </c>
      <c r="AAJ96" s="11"/>
      <c r="AAK96" s="11"/>
      <c r="AAL96" s="11"/>
      <c r="AAM96" s="11"/>
      <c r="AAN96" s="11"/>
      <c r="AAO96" s="11">
        <v>9447.6200000000008</v>
      </c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>
        <v>0</v>
      </c>
      <c r="ACD96" s="11">
        <v>287237.53999999998</v>
      </c>
      <c r="ACE96" s="11">
        <v>127874.98</v>
      </c>
      <c r="ACF96" s="11">
        <v>0</v>
      </c>
      <c r="ACG96" s="11">
        <v>160710.75</v>
      </c>
      <c r="ACH96" s="11"/>
      <c r="ACI96" s="11">
        <v>204297.73</v>
      </c>
      <c r="ACJ96" s="11"/>
      <c r="ACK96" s="11"/>
      <c r="ACL96" s="11">
        <v>52416.85</v>
      </c>
      <c r="ACM96" s="11">
        <v>0</v>
      </c>
      <c r="ACN96" s="11"/>
      <c r="ACO96" s="11"/>
      <c r="ACP96" s="11"/>
      <c r="ACQ96" s="11">
        <v>17427.88</v>
      </c>
      <c r="ACR96" s="11"/>
      <c r="ACS96" s="11">
        <v>44830.97</v>
      </c>
      <c r="ACT96" s="11"/>
      <c r="ACU96" s="11"/>
      <c r="ACV96" s="11"/>
      <c r="ACW96" s="11"/>
      <c r="ACX96" s="11">
        <v>179867.85</v>
      </c>
      <c r="ACY96" s="11">
        <v>340</v>
      </c>
      <c r="ACZ96" s="11">
        <v>0</v>
      </c>
      <c r="ADA96" s="11"/>
      <c r="ADB96" s="11">
        <v>74535.350000000006</v>
      </c>
      <c r="ADC96" s="11"/>
      <c r="ADD96" s="11"/>
      <c r="ADE96" s="11"/>
      <c r="ADF96" s="11"/>
      <c r="ADG96" s="11">
        <v>52790.58</v>
      </c>
      <c r="ADH96" s="11"/>
      <c r="ADI96" s="11"/>
      <c r="ADJ96" s="11"/>
      <c r="ADK96" s="11"/>
      <c r="ADL96" s="11"/>
      <c r="ADM96" s="11"/>
      <c r="ADN96" s="11"/>
      <c r="ADO96" s="11"/>
      <c r="ADP96" s="11">
        <v>2272455.48</v>
      </c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>
        <v>907</v>
      </c>
      <c r="AEB96" s="11">
        <v>80577</v>
      </c>
      <c r="AEC96" s="11">
        <v>14734.5</v>
      </c>
      <c r="AED96" s="11"/>
      <c r="AEE96" s="11"/>
      <c r="AEF96" s="11">
        <v>26461.75</v>
      </c>
      <c r="AEG96" s="11">
        <v>97525</v>
      </c>
      <c r="AEH96" s="11">
        <v>36780</v>
      </c>
      <c r="AEI96" s="11">
        <v>76579.25</v>
      </c>
      <c r="AEJ96" s="11">
        <v>1732675.24</v>
      </c>
      <c r="AEK96" s="11">
        <v>17296</v>
      </c>
      <c r="AEL96" s="11">
        <v>51461.5</v>
      </c>
      <c r="AEM96" s="11">
        <v>179786.1</v>
      </c>
      <c r="AEN96" s="11"/>
      <c r="AEO96" s="11"/>
      <c r="AEP96" s="11">
        <v>20152</v>
      </c>
      <c r="AEQ96" s="11"/>
      <c r="AER96" s="11"/>
      <c r="AES96" s="11"/>
      <c r="AET96" s="11"/>
      <c r="AEU96" s="11">
        <v>86135.3</v>
      </c>
      <c r="AEV96" s="11">
        <v>9386.7999999999993</v>
      </c>
      <c r="AEW96" s="11">
        <v>101743.1</v>
      </c>
      <c r="AEX96" s="11">
        <v>172837.2</v>
      </c>
      <c r="AEY96" s="11">
        <v>58409.7</v>
      </c>
      <c r="AEZ96" s="11"/>
      <c r="AFA96" s="11">
        <v>28622.1</v>
      </c>
      <c r="AFB96" s="11">
        <v>6480.8</v>
      </c>
      <c r="AFC96" s="11">
        <v>13077.8</v>
      </c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>
        <v>11035</v>
      </c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>
        <v>718</v>
      </c>
      <c r="AGO96" s="11"/>
      <c r="AGP96" s="11"/>
      <c r="AGQ96" s="11"/>
      <c r="AGR96" s="11"/>
      <c r="AGS96" s="11"/>
      <c r="AGT96" s="11"/>
      <c r="AGU96" s="11"/>
      <c r="AGV96" s="11">
        <v>0</v>
      </c>
      <c r="AGW96" s="11">
        <v>7780.99</v>
      </c>
      <c r="AGX96" s="11"/>
      <c r="AGY96" s="11">
        <v>28171.5</v>
      </c>
      <c r="AGZ96" s="11">
        <v>12114.8</v>
      </c>
      <c r="AHA96" s="11">
        <v>28805.200000000001</v>
      </c>
      <c r="AHB96" s="11"/>
      <c r="AHC96" s="11">
        <v>4799.2</v>
      </c>
      <c r="AHD96" s="11"/>
      <c r="AHE96" s="11">
        <v>38092.300000000003</v>
      </c>
      <c r="AHF96" s="11">
        <v>206962.6</v>
      </c>
      <c r="AHG96" s="11">
        <v>16173</v>
      </c>
      <c r="AHH96" s="11">
        <v>14299</v>
      </c>
      <c r="AHI96" s="11">
        <v>22033.7</v>
      </c>
      <c r="AHJ96" s="11">
        <v>4159</v>
      </c>
      <c r="AHK96" s="11">
        <v>1354</v>
      </c>
      <c r="AHL96" s="11">
        <v>66984.5</v>
      </c>
      <c r="AHM96" s="11"/>
      <c r="AHN96" s="11"/>
      <c r="AHO96" s="11">
        <v>1194</v>
      </c>
      <c r="AHP96" s="11"/>
      <c r="AHQ96" s="11">
        <v>68386</v>
      </c>
      <c r="AHR96" s="11">
        <v>950</v>
      </c>
      <c r="AHS96" s="11">
        <v>100</v>
      </c>
      <c r="AHT96" s="11">
        <v>40141263.190000005</v>
      </c>
      <c r="AHV96" s="269" t="s">
        <v>6278</v>
      </c>
      <c r="AHW96" s="269" t="s">
        <v>6133</v>
      </c>
      <c r="AHX96" s="269" t="s">
        <v>6134</v>
      </c>
    </row>
    <row r="97" spans="1:908" x14ac:dyDescent="0.7">
      <c r="A97" s="6" t="s">
        <v>6278</v>
      </c>
      <c r="B97" s="6" t="s">
        <v>6139</v>
      </c>
      <c r="C97" s="6" t="s">
        <v>6140</v>
      </c>
      <c r="D97" s="11"/>
      <c r="E97" s="11"/>
      <c r="F97" s="11"/>
      <c r="G97" s="11"/>
      <c r="H97" s="11"/>
      <c r="I97" s="11"/>
      <c r="J97" s="11">
        <v>3482</v>
      </c>
      <c r="K97" s="11"/>
      <c r="L97" s="11">
        <v>9845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>
        <v>105095.71</v>
      </c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>
        <v>2115</v>
      </c>
      <c r="CB97" s="11">
        <v>1075</v>
      </c>
      <c r="CC97" s="11"/>
      <c r="CD97" s="11"/>
      <c r="CE97" s="11"/>
      <c r="CF97" s="11"/>
      <c r="CG97" s="11">
        <v>1620</v>
      </c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>
        <v>600</v>
      </c>
      <c r="CS97" s="11"/>
      <c r="CT97" s="11">
        <v>192464.01</v>
      </c>
      <c r="CU97" s="11"/>
      <c r="CV97" s="11">
        <v>4191.5</v>
      </c>
      <c r="CW97" s="11">
        <v>1367</v>
      </c>
      <c r="CX97" s="11"/>
      <c r="CY97" s="11">
        <v>197847.01</v>
      </c>
      <c r="CZ97" s="11">
        <v>7212.5</v>
      </c>
      <c r="DA97" s="11">
        <v>1600</v>
      </c>
      <c r="DB97" s="11"/>
      <c r="DC97" s="11">
        <v>8000</v>
      </c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>
        <v>3354</v>
      </c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>
        <v>78700</v>
      </c>
      <c r="HD97" s="11"/>
      <c r="HE97" s="11">
        <v>32973.29</v>
      </c>
      <c r="HF97" s="11">
        <v>464905.25</v>
      </c>
      <c r="HG97" s="11"/>
      <c r="HH97" s="11"/>
      <c r="HI97" s="11">
        <v>24170</v>
      </c>
      <c r="HJ97" s="11"/>
      <c r="HK97" s="11"/>
      <c r="HL97" s="11"/>
      <c r="HM97" s="11">
        <v>1150</v>
      </c>
      <c r="HN97" s="11"/>
      <c r="HO97" s="11"/>
      <c r="HP97" s="11"/>
      <c r="HQ97" s="11">
        <v>18817.25</v>
      </c>
      <c r="HR97" s="11">
        <v>268510.43</v>
      </c>
      <c r="HS97" s="11">
        <v>7695</v>
      </c>
      <c r="HT97" s="11">
        <v>14171</v>
      </c>
      <c r="HU97" s="11"/>
      <c r="HV97" s="11"/>
      <c r="HW97" s="11"/>
      <c r="HX97" s="11"/>
      <c r="HY97" s="11"/>
      <c r="HZ97" s="11">
        <v>320</v>
      </c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>
        <v>60865.31</v>
      </c>
      <c r="IN97" s="11"/>
      <c r="IO97" s="11"/>
      <c r="IP97" s="11"/>
      <c r="IQ97" s="11"/>
      <c r="IR97" s="11">
        <v>1357.5</v>
      </c>
      <c r="IS97" s="11"/>
      <c r="IT97" s="11"/>
      <c r="IU97" s="11">
        <v>2300</v>
      </c>
      <c r="IV97" s="11"/>
      <c r="IW97" s="11"/>
      <c r="IX97" s="11"/>
      <c r="IY97" s="11"/>
      <c r="IZ97" s="11"/>
      <c r="JA97" s="11"/>
      <c r="JB97" s="11"/>
      <c r="JC97" s="11"/>
      <c r="JD97" s="11">
        <v>18544.939999999999</v>
      </c>
      <c r="JE97" s="11"/>
      <c r="JF97" s="11"/>
      <c r="JG97" s="11"/>
      <c r="JH97" s="11"/>
      <c r="JI97" s="11"/>
      <c r="JJ97" s="11"/>
      <c r="JK97" s="11"/>
      <c r="JL97" s="11">
        <v>2800</v>
      </c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>
        <v>62002</v>
      </c>
      <c r="KN97" s="11"/>
      <c r="KO97" s="11">
        <v>0</v>
      </c>
      <c r="KP97" s="11"/>
      <c r="KQ97" s="11"/>
      <c r="KR97" s="11"/>
      <c r="KS97" s="11">
        <v>2410.0700000000002</v>
      </c>
      <c r="KT97" s="11">
        <v>12725.6</v>
      </c>
      <c r="KU97" s="11">
        <v>61019.040000000001</v>
      </c>
      <c r="KV97" s="11">
        <v>0</v>
      </c>
      <c r="KW97" s="11">
        <v>4489</v>
      </c>
      <c r="KX97" s="11">
        <v>0</v>
      </c>
      <c r="KY97" s="11"/>
      <c r="KZ97" s="11"/>
      <c r="LA97" s="11">
        <v>1650</v>
      </c>
      <c r="LB97" s="11"/>
      <c r="LC97" s="11"/>
      <c r="LD97" s="11"/>
      <c r="LE97" s="11"/>
      <c r="LF97" s="11"/>
      <c r="LG97" s="11"/>
      <c r="LH97" s="11">
        <v>136134.97</v>
      </c>
      <c r="LI97" s="11"/>
      <c r="LJ97" s="11"/>
      <c r="LK97" s="11">
        <v>147976.65</v>
      </c>
      <c r="LL97" s="11"/>
      <c r="LM97" s="11"/>
      <c r="LN97" s="11"/>
      <c r="LO97" s="11"/>
      <c r="LP97" s="11"/>
      <c r="LQ97" s="11">
        <v>3590</v>
      </c>
      <c r="LR97" s="11"/>
      <c r="LS97" s="11"/>
      <c r="LT97" s="11"/>
      <c r="LU97" s="11"/>
      <c r="LV97" s="11"/>
      <c r="LW97" s="11">
        <v>6479</v>
      </c>
      <c r="LX97" s="11">
        <v>20045</v>
      </c>
      <c r="LY97" s="11">
        <v>33280</v>
      </c>
      <c r="LZ97" s="11"/>
      <c r="MA97" s="11"/>
      <c r="MB97" s="11"/>
      <c r="MC97" s="11"/>
      <c r="MD97" s="11"/>
      <c r="ME97" s="11"/>
      <c r="MF97" s="11">
        <v>2850</v>
      </c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>
        <v>191833.5</v>
      </c>
      <c r="MU97" s="11">
        <v>31477.5</v>
      </c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>
        <v>3932</v>
      </c>
      <c r="NG97" s="11">
        <v>3315</v>
      </c>
      <c r="NH97" s="11"/>
      <c r="NI97" s="11"/>
      <c r="NJ97" s="11"/>
      <c r="NK97" s="11"/>
      <c r="NL97" s="11">
        <v>2404.8000000000002</v>
      </c>
      <c r="NM97" s="11"/>
      <c r="NN97" s="11"/>
      <c r="NO97" s="11">
        <v>0</v>
      </c>
      <c r="NP97" s="11"/>
      <c r="NQ97" s="11">
        <v>0</v>
      </c>
      <c r="NR97" s="11">
        <v>140</v>
      </c>
      <c r="NS97" s="11">
        <v>12525</v>
      </c>
      <c r="NT97" s="11"/>
      <c r="NU97" s="11">
        <v>676</v>
      </c>
      <c r="NV97" s="11"/>
      <c r="NW97" s="11"/>
      <c r="NX97" s="11"/>
      <c r="NY97" s="11"/>
      <c r="NZ97" s="11"/>
      <c r="OA97" s="11">
        <v>420</v>
      </c>
      <c r="OB97" s="11"/>
      <c r="OC97" s="11"/>
      <c r="OD97" s="11">
        <v>9465.5</v>
      </c>
      <c r="OE97" s="11"/>
      <c r="OF97" s="11"/>
      <c r="OG97" s="11"/>
      <c r="OH97" s="11">
        <v>329.7</v>
      </c>
      <c r="OI97" s="11"/>
      <c r="OJ97" s="11"/>
      <c r="OK97" s="11">
        <v>168240.34</v>
      </c>
      <c r="OL97" s="11"/>
      <c r="OM97" s="11"/>
      <c r="ON97" s="11">
        <v>1720</v>
      </c>
      <c r="OO97" s="11">
        <v>0</v>
      </c>
      <c r="OP97" s="11">
        <v>152499.92000000001</v>
      </c>
      <c r="OQ97" s="11">
        <v>1231</v>
      </c>
      <c r="OR97" s="11"/>
      <c r="OS97" s="11"/>
      <c r="OT97" s="11">
        <v>110034</v>
      </c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>
        <v>0</v>
      </c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>
        <v>11876.9</v>
      </c>
      <c r="RE97" s="11"/>
      <c r="RF97" s="11"/>
      <c r="RG97" s="11"/>
      <c r="RH97" s="11"/>
      <c r="RI97" s="11"/>
      <c r="RJ97" s="11"/>
      <c r="RK97" s="11">
        <v>350</v>
      </c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>
        <v>460</v>
      </c>
      <c r="SE97" s="11">
        <v>76494.25</v>
      </c>
      <c r="SF97" s="11">
        <v>7994.8</v>
      </c>
      <c r="SG97" s="11"/>
      <c r="SH97" s="11"/>
      <c r="SI97" s="11">
        <v>10700</v>
      </c>
      <c r="SJ97" s="11"/>
      <c r="SK97" s="11"/>
      <c r="SL97" s="11">
        <v>107829.84</v>
      </c>
      <c r="SM97" s="11"/>
      <c r="SN97" s="11"/>
      <c r="SO97" s="11"/>
      <c r="SP97" s="11"/>
      <c r="SQ97" s="11"/>
      <c r="SR97" s="11"/>
      <c r="SS97" s="11"/>
      <c r="ST97" s="11">
        <v>4050</v>
      </c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>
        <v>154827</v>
      </c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>
        <v>4725</v>
      </c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>
        <v>830</v>
      </c>
      <c r="VQ97" s="11"/>
      <c r="VR97" s="11"/>
      <c r="VS97" s="11"/>
      <c r="VT97" s="11"/>
      <c r="VU97" s="11"/>
      <c r="VV97" s="11">
        <v>14295</v>
      </c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>
        <v>16469.939999999999</v>
      </c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>
        <v>0</v>
      </c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>
        <v>0</v>
      </c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>
        <v>219804.31</v>
      </c>
      <c r="AET97" s="11">
        <v>300</v>
      </c>
      <c r="AEU97" s="11">
        <v>750</v>
      </c>
      <c r="AEV97" s="11"/>
      <c r="AEW97" s="11"/>
      <c r="AEX97" s="11"/>
      <c r="AEY97" s="11">
        <v>700</v>
      </c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>
        <v>17536</v>
      </c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>
        <v>31319.33</v>
      </c>
      <c r="AGW97" s="11">
        <v>45992.2</v>
      </c>
      <c r="AGX97" s="11"/>
      <c r="AGY97" s="11"/>
      <c r="AGZ97" s="11"/>
      <c r="AHA97" s="11"/>
      <c r="AHB97" s="11"/>
      <c r="AHC97" s="11"/>
      <c r="AHD97" s="11"/>
      <c r="AHE97" s="11"/>
      <c r="AHF97" s="11">
        <v>350</v>
      </c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>
        <v>3449698.86</v>
      </c>
      <c r="AHV97" s="269" t="s">
        <v>6278</v>
      </c>
      <c r="AHW97" s="269" t="s">
        <v>6135</v>
      </c>
      <c r="AHX97" s="269" t="s">
        <v>6136</v>
      </c>
    </row>
    <row r="98" spans="1:908" x14ac:dyDescent="0.7">
      <c r="A98" s="6" t="s">
        <v>6278</v>
      </c>
      <c r="B98" s="6" t="s">
        <v>6141</v>
      </c>
      <c r="C98" s="6" t="s">
        <v>6142</v>
      </c>
      <c r="D98" s="11">
        <v>33240</v>
      </c>
      <c r="E98" s="11">
        <v>20350</v>
      </c>
      <c r="F98" s="11">
        <v>10350</v>
      </c>
      <c r="G98" s="11">
        <v>250</v>
      </c>
      <c r="H98" s="11">
        <v>59821</v>
      </c>
      <c r="I98" s="11">
        <v>32100</v>
      </c>
      <c r="J98" s="11">
        <v>546803</v>
      </c>
      <c r="K98" s="11">
        <v>23830</v>
      </c>
      <c r="L98" s="11">
        <v>111667.5</v>
      </c>
      <c r="M98" s="11">
        <v>19150</v>
      </c>
      <c r="N98" s="11">
        <v>77350</v>
      </c>
      <c r="O98" s="11">
        <v>1500</v>
      </c>
      <c r="P98" s="11">
        <v>95930</v>
      </c>
      <c r="Q98" s="11">
        <v>4800</v>
      </c>
      <c r="R98" s="11"/>
      <c r="S98" s="11">
        <v>13750</v>
      </c>
      <c r="T98" s="11">
        <v>3350</v>
      </c>
      <c r="U98" s="11">
        <v>9990.25</v>
      </c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>
        <v>200</v>
      </c>
      <c r="AV98" s="11"/>
      <c r="AW98" s="11"/>
      <c r="AX98" s="11">
        <v>56181.5</v>
      </c>
      <c r="AY98" s="11">
        <v>5400</v>
      </c>
      <c r="AZ98" s="11">
        <v>0</v>
      </c>
      <c r="BA98" s="11">
        <v>1400</v>
      </c>
      <c r="BB98" s="11"/>
      <c r="BC98" s="11">
        <v>200</v>
      </c>
      <c r="BD98" s="11"/>
      <c r="BE98" s="11">
        <v>13427</v>
      </c>
      <c r="BF98" s="11">
        <v>3000</v>
      </c>
      <c r="BG98" s="11">
        <v>600</v>
      </c>
      <c r="BH98" s="11">
        <v>3630</v>
      </c>
      <c r="BI98" s="11">
        <v>394</v>
      </c>
      <c r="BJ98" s="11"/>
      <c r="BK98" s="11"/>
      <c r="BL98" s="11">
        <v>1730</v>
      </c>
      <c r="BM98" s="11">
        <v>250</v>
      </c>
      <c r="BN98" s="11"/>
      <c r="BO98" s="11"/>
      <c r="BP98" s="11"/>
      <c r="BQ98" s="11"/>
      <c r="BR98" s="11"/>
      <c r="BS98" s="11">
        <v>460</v>
      </c>
      <c r="BT98" s="11">
        <v>740</v>
      </c>
      <c r="BU98" s="11"/>
      <c r="BV98" s="11">
        <v>1740</v>
      </c>
      <c r="BW98" s="11"/>
      <c r="BX98" s="11"/>
      <c r="BY98" s="11">
        <v>0</v>
      </c>
      <c r="BZ98" s="11">
        <v>405250</v>
      </c>
      <c r="CA98" s="11">
        <v>71813</v>
      </c>
      <c r="CB98" s="11">
        <v>8736</v>
      </c>
      <c r="CC98" s="11">
        <v>172431.5</v>
      </c>
      <c r="CD98" s="11">
        <v>52742.25</v>
      </c>
      <c r="CE98" s="11">
        <v>212279</v>
      </c>
      <c r="CF98" s="11">
        <v>461187.76</v>
      </c>
      <c r="CG98" s="11"/>
      <c r="CH98" s="11">
        <v>1500</v>
      </c>
      <c r="CI98" s="11"/>
      <c r="CJ98" s="11"/>
      <c r="CK98" s="11">
        <v>0</v>
      </c>
      <c r="CL98" s="11"/>
      <c r="CM98" s="11">
        <v>0</v>
      </c>
      <c r="CN98" s="11">
        <v>636</v>
      </c>
      <c r="CO98" s="11"/>
      <c r="CP98" s="11"/>
      <c r="CQ98" s="11"/>
      <c r="CR98" s="11"/>
      <c r="CS98" s="11">
        <v>50</v>
      </c>
      <c r="CT98" s="11">
        <v>17579.5</v>
      </c>
      <c r="CU98" s="11"/>
      <c r="CV98" s="11"/>
      <c r="CW98" s="11">
        <v>0</v>
      </c>
      <c r="CX98" s="11"/>
      <c r="CY98" s="11">
        <v>16003</v>
      </c>
      <c r="CZ98" s="11">
        <v>8727</v>
      </c>
      <c r="DA98" s="11">
        <v>47960</v>
      </c>
      <c r="DB98" s="11">
        <v>24536.85</v>
      </c>
      <c r="DC98" s="11">
        <v>151109.5</v>
      </c>
      <c r="DD98" s="11"/>
      <c r="DE98" s="11">
        <v>1820</v>
      </c>
      <c r="DF98" s="11">
        <v>22369</v>
      </c>
      <c r="DG98" s="11">
        <v>327404.5</v>
      </c>
      <c r="DH98" s="11">
        <v>83045</v>
      </c>
      <c r="DI98" s="11">
        <v>222345.88</v>
      </c>
      <c r="DJ98" s="11">
        <v>6054</v>
      </c>
      <c r="DK98" s="11"/>
      <c r="DL98" s="11">
        <v>2876</v>
      </c>
      <c r="DM98" s="11">
        <v>1050</v>
      </c>
      <c r="DN98" s="11"/>
      <c r="DO98" s="11"/>
      <c r="DP98" s="11"/>
      <c r="DQ98" s="11"/>
      <c r="DR98" s="11">
        <v>700</v>
      </c>
      <c r="DS98" s="11">
        <v>172</v>
      </c>
      <c r="DT98" s="11"/>
      <c r="DU98" s="11"/>
      <c r="DV98" s="11">
        <v>3650</v>
      </c>
      <c r="DW98" s="11"/>
      <c r="DX98" s="11">
        <v>0</v>
      </c>
      <c r="DY98" s="11"/>
      <c r="DZ98" s="11"/>
      <c r="EA98" s="11"/>
      <c r="EB98" s="11">
        <v>3317.5</v>
      </c>
      <c r="EC98" s="11">
        <v>1164</v>
      </c>
      <c r="ED98" s="11"/>
      <c r="EE98" s="11"/>
      <c r="EF98" s="11"/>
      <c r="EG98" s="11">
        <v>0</v>
      </c>
      <c r="EH98" s="11">
        <v>204</v>
      </c>
      <c r="EI98" s="11"/>
      <c r="EJ98" s="11">
        <v>3840.5</v>
      </c>
      <c r="EK98" s="11"/>
      <c r="EL98" s="11"/>
      <c r="EM98" s="11">
        <v>11417.64</v>
      </c>
      <c r="EN98" s="11">
        <v>77358</v>
      </c>
      <c r="EO98" s="11"/>
      <c r="EP98" s="11"/>
      <c r="EQ98" s="11"/>
      <c r="ER98" s="11"/>
      <c r="ES98" s="11">
        <v>217598.25</v>
      </c>
      <c r="ET98" s="11"/>
      <c r="EU98" s="11"/>
      <c r="EV98" s="11"/>
      <c r="EW98" s="11"/>
      <c r="EX98" s="11"/>
      <c r="EY98" s="11"/>
      <c r="EZ98" s="11">
        <v>3040</v>
      </c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>
        <v>1400</v>
      </c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>
        <v>290</v>
      </c>
      <c r="GU98" s="11"/>
      <c r="GV98" s="11"/>
      <c r="GW98" s="11"/>
      <c r="GX98" s="11"/>
      <c r="GY98" s="11"/>
      <c r="GZ98" s="11"/>
      <c r="HA98" s="11">
        <v>4597.5</v>
      </c>
      <c r="HB98" s="11"/>
      <c r="HC98" s="11">
        <v>2100</v>
      </c>
      <c r="HD98" s="11">
        <v>917.66</v>
      </c>
      <c r="HE98" s="11">
        <v>5797</v>
      </c>
      <c r="HF98" s="11">
        <v>136570.45000000001</v>
      </c>
      <c r="HG98" s="11">
        <v>36787</v>
      </c>
      <c r="HH98" s="11"/>
      <c r="HI98" s="11">
        <v>90</v>
      </c>
      <c r="HJ98" s="11"/>
      <c r="HK98" s="11"/>
      <c r="HL98" s="11">
        <v>5940.5</v>
      </c>
      <c r="HM98" s="11">
        <v>1745</v>
      </c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>
        <v>1501.5</v>
      </c>
      <c r="IM98" s="11"/>
      <c r="IN98" s="11"/>
      <c r="IO98" s="11"/>
      <c r="IP98" s="11"/>
      <c r="IQ98" s="11"/>
      <c r="IR98" s="11"/>
      <c r="IS98" s="11">
        <v>1210</v>
      </c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>
        <v>11933.5</v>
      </c>
      <c r="JI98" s="11"/>
      <c r="JJ98" s="11"/>
      <c r="JK98" s="11"/>
      <c r="JL98" s="11">
        <v>1846</v>
      </c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>
        <v>7849</v>
      </c>
      <c r="KK98" s="11"/>
      <c r="KL98" s="11">
        <v>43677</v>
      </c>
      <c r="KM98" s="11"/>
      <c r="KN98" s="11">
        <v>0</v>
      </c>
      <c r="KO98" s="11">
        <v>0</v>
      </c>
      <c r="KP98" s="11"/>
      <c r="KQ98" s="11">
        <v>30558</v>
      </c>
      <c r="KR98" s="11">
        <v>700</v>
      </c>
      <c r="KS98" s="11">
        <v>1680</v>
      </c>
      <c r="KT98" s="11">
        <v>4450</v>
      </c>
      <c r="KU98" s="11">
        <v>700</v>
      </c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>
        <v>6280</v>
      </c>
      <c r="LL98" s="11">
        <v>280205.45</v>
      </c>
      <c r="LM98" s="11"/>
      <c r="LN98" s="11"/>
      <c r="LO98" s="11">
        <v>1376</v>
      </c>
      <c r="LP98" s="11"/>
      <c r="LQ98" s="11">
        <v>15930</v>
      </c>
      <c r="LR98" s="11"/>
      <c r="LS98" s="11"/>
      <c r="LT98" s="11"/>
      <c r="LU98" s="11"/>
      <c r="LV98" s="11"/>
      <c r="LW98" s="11"/>
      <c r="LX98" s="11">
        <v>1060</v>
      </c>
      <c r="LY98" s="11"/>
      <c r="LZ98" s="11"/>
      <c r="MA98" s="11"/>
      <c r="MB98" s="11"/>
      <c r="MC98" s="11"/>
      <c r="MD98" s="11"/>
      <c r="ME98" s="11"/>
      <c r="MF98" s="11">
        <v>508</v>
      </c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>
        <v>7890</v>
      </c>
      <c r="MU98" s="11"/>
      <c r="MV98" s="11">
        <v>5097.5</v>
      </c>
      <c r="MW98" s="11"/>
      <c r="MX98" s="11"/>
      <c r="MY98" s="11"/>
      <c r="MZ98" s="11"/>
      <c r="NA98" s="11"/>
      <c r="NB98" s="11">
        <v>1000</v>
      </c>
      <c r="NC98" s="11"/>
      <c r="ND98" s="11"/>
      <c r="NE98" s="11"/>
      <c r="NF98" s="11"/>
      <c r="NG98" s="11"/>
      <c r="NH98" s="11">
        <v>800</v>
      </c>
      <c r="NI98" s="11">
        <v>5741.25</v>
      </c>
      <c r="NJ98" s="11"/>
      <c r="NK98" s="11">
        <v>5740</v>
      </c>
      <c r="NL98" s="11"/>
      <c r="NM98" s="11"/>
      <c r="NN98" s="11"/>
      <c r="NO98" s="11">
        <v>0</v>
      </c>
      <c r="NP98" s="11"/>
      <c r="NQ98" s="11">
        <v>0</v>
      </c>
      <c r="NR98" s="11">
        <v>140190.5</v>
      </c>
      <c r="NS98" s="11">
        <v>9025</v>
      </c>
      <c r="NT98" s="11">
        <v>51009.2</v>
      </c>
      <c r="NU98" s="11">
        <v>5632.25</v>
      </c>
      <c r="NV98" s="11">
        <v>140</v>
      </c>
      <c r="NW98" s="11"/>
      <c r="NX98" s="11"/>
      <c r="NY98" s="11"/>
      <c r="NZ98" s="11">
        <v>138485</v>
      </c>
      <c r="OA98" s="11"/>
      <c r="OB98" s="11"/>
      <c r="OC98" s="11"/>
      <c r="OD98" s="11"/>
      <c r="OE98" s="11"/>
      <c r="OF98" s="11"/>
      <c r="OG98" s="11">
        <v>3048.05</v>
      </c>
      <c r="OH98" s="11"/>
      <c r="OI98" s="11">
        <v>3316</v>
      </c>
      <c r="OJ98" s="11">
        <v>5465.5</v>
      </c>
      <c r="OK98" s="11"/>
      <c r="OL98" s="11"/>
      <c r="OM98" s="11"/>
      <c r="ON98" s="11"/>
      <c r="OO98" s="11"/>
      <c r="OP98" s="11">
        <v>12107</v>
      </c>
      <c r="OQ98" s="11">
        <v>1467</v>
      </c>
      <c r="OR98" s="11"/>
      <c r="OS98" s="11"/>
      <c r="OT98" s="11"/>
      <c r="OU98" s="11"/>
      <c r="OV98" s="11">
        <v>1329</v>
      </c>
      <c r="OW98" s="11"/>
      <c r="OX98" s="11"/>
      <c r="OY98" s="11">
        <v>3323</v>
      </c>
      <c r="OZ98" s="11"/>
      <c r="PA98" s="11"/>
      <c r="PB98" s="11">
        <v>220</v>
      </c>
      <c r="PC98" s="11"/>
      <c r="PD98" s="11"/>
      <c r="PE98" s="11"/>
      <c r="PF98" s="11"/>
      <c r="PG98" s="11"/>
      <c r="PH98" s="11"/>
      <c r="PI98" s="11"/>
      <c r="PJ98" s="11"/>
      <c r="PK98" s="11"/>
      <c r="PL98" s="11">
        <v>1194</v>
      </c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>
        <v>2094.75</v>
      </c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>
        <v>213</v>
      </c>
      <c r="SC98" s="11"/>
      <c r="SD98" s="11">
        <v>14188</v>
      </c>
      <c r="SE98" s="11">
        <v>34074</v>
      </c>
      <c r="SF98" s="11"/>
      <c r="SG98" s="11"/>
      <c r="SH98" s="11"/>
      <c r="SI98" s="11">
        <v>9296.7999999999993</v>
      </c>
      <c r="SJ98" s="11">
        <v>1650</v>
      </c>
      <c r="SK98" s="11"/>
      <c r="SL98" s="11">
        <v>53653</v>
      </c>
      <c r="SM98" s="11"/>
      <c r="SN98" s="11"/>
      <c r="SO98" s="11"/>
      <c r="SP98" s="11"/>
      <c r="SQ98" s="11"/>
      <c r="SR98" s="11">
        <v>13729</v>
      </c>
      <c r="SS98" s="11"/>
      <c r="ST98" s="11"/>
      <c r="SU98" s="11">
        <v>19143</v>
      </c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>
        <v>900</v>
      </c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>
        <v>20500.5</v>
      </c>
      <c r="UC98" s="11">
        <v>27043.3</v>
      </c>
      <c r="UD98" s="11">
        <v>11107</v>
      </c>
      <c r="UE98" s="11">
        <v>34617</v>
      </c>
      <c r="UF98" s="11">
        <v>9663</v>
      </c>
      <c r="UG98" s="11">
        <v>4502</v>
      </c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>
        <v>2100</v>
      </c>
      <c r="UU98" s="11"/>
      <c r="UV98" s="11"/>
      <c r="UW98" s="11"/>
      <c r="UX98" s="11">
        <v>2262</v>
      </c>
      <c r="UY98" s="11"/>
      <c r="UZ98" s="11"/>
      <c r="VA98" s="11"/>
      <c r="VB98" s="11"/>
      <c r="VC98" s="11">
        <v>4652.75</v>
      </c>
      <c r="VD98" s="11"/>
      <c r="VE98" s="11"/>
      <c r="VF98" s="11"/>
      <c r="VG98" s="11"/>
      <c r="VH98" s="11"/>
      <c r="VI98" s="11"/>
      <c r="VJ98" s="11"/>
      <c r="VK98" s="11"/>
      <c r="VL98" s="11"/>
      <c r="VM98" s="11">
        <v>1342.5</v>
      </c>
      <c r="VN98" s="11"/>
      <c r="VO98" s="11">
        <v>9550</v>
      </c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>
        <v>840</v>
      </c>
      <c r="WN98" s="11"/>
      <c r="WO98" s="11"/>
      <c r="WP98" s="11"/>
      <c r="WQ98" s="11"/>
      <c r="WR98" s="11"/>
      <c r="WS98" s="11">
        <v>3358</v>
      </c>
      <c r="WT98" s="11"/>
      <c r="WU98" s="11"/>
      <c r="WV98" s="11"/>
      <c r="WW98" s="11"/>
      <c r="WX98" s="11"/>
      <c r="WY98" s="11">
        <v>13335.75</v>
      </c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>
        <v>6606</v>
      </c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>
        <v>700</v>
      </c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>
        <v>2320</v>
      </c>
      <c r="AAK98" s="11"/>
      <c r="AAL98" s="11"/>
      <c r="AAM98" s="11"/>
      <c r="AAN98" s="11"/>
      <c r="AAO98" s="11">
        <v>659</v>
      </c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>
        <v>0</v>
      </c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>
        <v>17614</v>
      </c>
      <c r="AED98" s="11"/>
      <c r="AEE98" s="11"/>
      <c r="AEF98" s="11"/>
      <c r="AEG98" s="11"/>
      <c r="AEH98" s="11"/>
      <c r="AEI98" s="11">
        <v>10208</v>
      </c>
      <c r="AEJ98" s="11"/>
      <c r="AEK98" s="11">
        <v>1532.4</v>
      </c>
      <c r="AEL98" s="11"/>
      <c r="AEM98" s="11"/>
      <c r="AEN98" s="11"/>
      <c r="AEO98" s="11"/>
      <c r="AEP98" s="11">
        <v>1660</v>
      </c>
      <c r="AEQ98" s="11"/>
      <c r="AER98" s="11"/>
      <c r="AES98" s="11"/>
      <c r="AET98" s="11"/>
      <c r="AEU98" s="11"/>
      <c r="AEV98" s="11">
        <v>10</v>
      </c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>
        <v>1635</v>
      </c>
      <c r="AFK98" s="11"/>
      <c r="AFL98" s="11"/>
      <c r="AFM98" s="11">
        <v>6475</v>
      </c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>
        <v>0</v>
      </c>
      <c r="AGO98" s="11">
        <v>582.5</v>
      </c>
      <c r="AGP98" s="11"/>
      <c r="AGQ98" s="11"/>
      <c r="AGR98" s="11"/>
      <c r="AGS98" s="11"/>
      <c r="AGT98" s="11"/>
      <c r="AGU98" s="11"/>
      <c r="AGV98" s="11">
        <v>4614</v>
      </c>
      <c r="AGW98" s="11">
        <v>1999</v>
      </c>
      <c r="AGX98" s="11"/>
      <c r="AGY98" s="11"/>
      <c r="AGZ98" s="11"/>
      <c r="AHA98" s="11"/>
      <c r="AHB98" s="11"/>
      <c r="AHC98" s="11"/>
      <c r="AHD98" s="11"/>
      <c r="AHE98" s="11"/>
      <c r="AHF98" s="11">
        <v>18737</v>
      </c>
      <c r="AHG98" s="11"/>
      <c r="AHH98" s="11">
        <v>150</v>
      </c>
      <c r="AHI98" s="11"/>
      <c r="AHJ98" s="11"/>
      <c r="AHK98" s="11"/>
      <c r="AHL98" s="11"/>
      <c r="AHM98" s="11"/>
      <c r="AHN98" s="11"/>
      <c r="AHO98" s="11"/>
      <c r="AHP98" s="11">
        <v>0</v>
      </c>
      <c r="AHQ98" s="11"/>
      <c r="AHR98" s="11"/>
      <c r="AHS98" s="11"/>
      <c r="AHT98" s="11">
        <v>5174788.9400000004</v>
      </c>
      <c r="AHV98" s="269" t="s">
        <v>6278</v>
      </c>
      <c r="AHW98" s="269" t="s">
        <v>6137</v>
      </c>
      <c r="AHX98" s="269" t="s">
        <v>6138</v>
      </c>
    </row>
    <row r="99" spans="1:908" x14ac:dyDescent="0.7">
      <c r="A99" s="6" t="s">
        <v>6278</v>
      </c>
      <c r="B99" s="6" t="s">
        <v>6489</v>
      </c>
      <c r="C99" s="6" t="s">
        <v>6032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>
        <v>108392.47</v>
      </c>
      <c r="BC99" s="11">
        <v>128305.28</v>
      </c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>
        <v>2817509.11</v>
      </c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>
        <v>7016.55</v>
      </c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>
        <v>3529958.78</v>
      </c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>
        <v>2541702.2000000002</v>
      </c>
      <c r="FJ99" s="11"/>
      <c r="FK99" s="11"/>
      <c r="FL99" s="11">
        <v>349394.88</v>
      </c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>
        <v>1500</v>
      </c>
      <c r="FX99" s="11">
        <v>13957.38</v>
      </c>
      <c r="FY99" s="11"/>
      <c r="FZ99" s="11"/>
      <c r="GA99" s="11"/>
      <c r="GB99" s="11"/>
      <c r="GC99" s="11">
        <v>177141.06</v>
      </c>
      <c r="GD99" s="11"/>
      <c r="GE99" s="11"/>
      <c r="GF99" s="11"/>
      <c r="GG99" s="11"/>
      <c r="GH99" s="11">
        <v>650000</v>
      </c>
      <c r="GI99" s="11"/>
      <c r="GJ99" s="11">
        <v>15437.96</v>
      </c>
      <c r="GK99" s="11"/>
      <c r="GL99" s="11"/>
      <c r="GM99" s="11"/>
      <c r="GN99" s="11"/>
      <c r="GO99" s="11"/>
      <c r="GP99" s="11"/>
      <c r="GQ99" s="11">
        <v>1502882.81</v>
      </c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>
        <v>3700919.81</v>
      </c>
      <c r="HD99" s="11"/>
      <c r="HE99" s="11"/>
      <c r="HF99" s="11"/>
      <c r="HG99" s="11"/>
      <c r="HH99" s="11"/>
      <c r="HI99" s="11"/>
      <c r="HJ99" s="11">
        <v>784170.53</v>
      </c>
      <c r="HK99" s="11">
        <v>2216841.38</v>
      </c>
      <c r="HL99" s="11"/>
      <c r="HM99" s="11"/>
      <c r="HN99" s="11"/>
      <c r="HO99" s="11"/>
      <c r="HP99" s="11"/>
      <c r="HQ99" s="11"/>
      <c r="HR99" s="11"/>
      <c r="HS99" s="11"/>
      <c r="HT99" s="11">
        <v>2342870.62</v>
      </c>
      <c r="HU99" s="11"/>
      <c r="HV99" s="11"/>
      <c r="HW99" s="11"/>
      <c r="HX99" s="11"/>
      <c r="HY99" s="11"/>
      <c r="HZ99" s="11"/>
      <c r="IA99" s="11"/>
      <c r="IB99" s="11"/>
      <c r="IC99" s="11"/>
      <c r="ID99" s="11">
        <v>1802</v>
      </c>
      <c r="IE99" s="11"/>
      <c r="IF99" s="11"/>
      <c r="IG99" s="11"/>
      <c r="IH99" s="11"/>
      <c r="II99" s="11">
        <v>0</v>
      </c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>
        <v>1309450.8</v>
      </c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>
        <v>819937.86</v>
      </c>
      <c r="KN99" s="11"/>
      <c r="KO99" s="11"/>
      <c r="KP99" s="11"/>
      <c r="KQ99" s="11">
        <v>207651.07</v>
      </c>
      <c r="KR99" s="11"/>
      <c r="KS99" s="11"/>
      <c r="KT99" s="11"/>
      <c r="KU99" s="11"/>
      <c r="KV99" s="11"/>
      <c r="KW99" s="11"/>
      <c r="KX99" s="11">
        <v>3035933.41</v>
      </c>
      <c r="KY99" s="11"/>
      <c r="KZ99" s="11"/>
      <c r="LA99" s="11"/>
      <c r="LB99" s="11"/>
      <c r="LC99" s="11">
        <v>0</v>
      </c>
      <c r="LD99" s="11"/>
      <c r="LE99" s="11"/>
      <c r="LF99" s="11"/>
      <c r="LG99" s="11"/>
      <c r="LH99" s="11"/>
      <c r="LI99" s="11"/>
      <c r="LJ99" s="11">
        <v>3207.86</v>
      </c>
      <c r="LK99" s="11"/>
      <c r="LL99" s="11"/>
      <c r="LM99" s="11"/>
      <c r="LN99" s="11"/>
      <c r="LO99" s="11"/>
      <c r="LP99" s="11"/>
      <c r="LQ99" s="11">
        <v>926339.18</v>
      </c>
      <c r="LR99" s="11"/>
      <c r="LS99" s="11"/>
      <c r="LT99" s="11"/>
      <c r="LU99" s="11"/>
      <c r="LV99" s="11"/>
      <c r="LW99" s="11"/>
      <c r="LX99" s="11">
        <v>189364.32</v>
      </c>
      <c r="LY99" s="11"/>
      <c r="LZ99" s="11"/>
      <c r="MA99" s="11"/>
      <c r="MB99" s="11"/>
      <c r="MC99" s="11">
        <v>368155.31</v>
      </c>
      <c r="MD99" s="11"/>
      <c r="ME99" s="11"/>
      <c r="MF99" s="11"/>
      <c r="MG99" s="11">
        <v>319132.21999999997</v>
      </c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>
        <v>252429.87</v>
      </c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>
        <v>0</v>
      </c>
      <c r="NV99" s="11">
        <v>187838.22</v>
      </c>
      <c r="NW99" s="11"/>
      <c r="NX99" s="11">
        <v>3742698.26</v>
      </c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>
        <v>2169799.0299999998</v>
      </c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>
        <v>187002.4</v>
      </c>
      <c r="PW99" s="11">
        <v>12393.82</v>
      </c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>
        <v>0</v>
      </c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>
        <v>1385468.08</v>
      </c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>
        <v>4167276.63</v>
      </c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>
        <v>4378.46</v>
      </c>
      <c r="WB99" s="11">
        <v>0</v>
      </c>
      <c r="WC99" s="11"/>
      <c r="WD99" s="11"/>
      <c r="WE99" s="11">
        <v>274200</v>
      </c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>
        <v>1713006.7</v>
      </c>
      <c r="WW99" s="11"/>
      <c r="WX99" s="11"/>
      <c r="WY99" s="11"/>
      <c r="WZ99" s="11"/>
      <c r="XA99" s="11">
        <v>189069.42</v>
      </c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>
        <v>2050411.4</v>
      </c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>
        <v>74579</v>
      </c>
      <c r="YG99" s="11"/>
      <c r="YH99" s="11"/>
      <c r="YI99" s="11"/>
      <c r="YJ99" s="11">
        <v>1046550.93</v>
      </c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>
        <v>323561.25</v>
      </c>
      <c r="ZB99" s="11"/>
      <c r="ZC99" s="11"/>
      <c r="ZD99" s="11">
        <v>639.86</v>
      </c>
      <c r="ZE99" s="11"/>
      <c r="ZF99" s="11"/>
      <c r="ZG99" s="11"/>
      <c r="ZH99" s="11"/>
      <c r="ZI99" s="11"/>
      <c r="ZJ99" s="11"/>
      <c r="ZK99" s="11"/>
      <c r="ZL99" s="11"/>
      <c r="ZM99" s="11">
        <v>0</v>
      </c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>
        <v>1622582.01</v>
      </c>
      <c r="AAJ99" s="11"/>
      <c r="AAK99" s="11">
        <v>483276.28</v>
      </c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>
        <v>1231.57</v>
      </c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>
        <v>11587.46</v>
      </c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>
        <v>-1052.24</v>
      </c>
      <c r="ACF99" s="11"/>
      <c r="ACG99" s="11"/>
      <c r="ACH99" s="11"/>
      <c r="ACI99" s="11"/>
      <c r="ACJ99" s="11"/>
      <c r="ACK99" s="11">
        <v>188171.16</v>
      </c>
      <c r="ACL99" s="11"/>
      <c r="ACM99" s="11"/>
      <c r="ACN99" s="11"/>
      <c r="ACO99" s="11">
        <v>735514.53</v>
      </c>
      <c r="ACP99" s="11">
        <v>399495.78</v>
      </c>
      <c r="ACQ99" s="11">
        <v>1233497.22</v>
      </c>
      <c r="ACR99" s="11">
        <v>128401.3</v>
      </c>
      <c r="ACS99" s="11"/>
      <c r="ACT99" s="11">
        <v>293861.3</v>
      </c>
      <c r="ACU99" s="11"/>
      <c r="ACV99" s="11">
        <v>14066.06</v>
      </c>
      <c r="ACW99" s="11"/>
      <c r="ACX99" s="11"/>
      <c r="ACY99" s="11"/>
      <c r="ACZ99" s="11">
        <v>0</v>
      </c>
      <c r="ADA99" s="11"/>
      <c r="ADB99" s="11">
        <v>172407.01</v>
      </c>
      <c r="ADC99" s="11"/>
      <c r="ADD99" s="11">
        <v>210098.13</v>
      </c>
      <c r="ADE99" s="11"/>
      <c r="ADF99" s="11">
        <v>212000</v>
      </c>
      <c r="ADG99" s="11"/>
      <c r="ADH99" s="11">
        <v>953942.71</v>
      </c>
      <c r="ADI99" s="11"/>
      <c r="ADJ99" s="11">
        <v>87000</v>
      </c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>
        <v>0</v>
      </c>
      <c r="ADW99" s="11"/>
      <c r="ADX99" s="11"/>
      <c r="ADY99" s="11"/>
      <c r="ADZ99" s="11"/>
      <c r="AEA99" s="11">
        <v>71400.77</v>
      </c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>
        <v>205106.19</v>
      </c>
      <c r="AEY99" s="11">
        <v>0</v>
      </c>
      <c r="AEZ99" s="11"/>
      <c r="AFA99" s="11"/>
      <c r="AFB99" s="11">
        <v>333397.45</v>
      </c>
      <c r="AFC99" s="11"/>
      <c r="AFD99" s="11">
        <v>2495607.0699999998</v>
      </c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>
        <v>7722941.29</v>
      </c>
      <c r="AGW99" s="11">
        <v>0</v>
      </c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>
        <v>63424811.230000004</v>
      </c>
      <c r="AHV99" s="269" t="s">
        <v>6278</v>
      </c>
      <c r="AHW99" s="269" t="s">
        <v>6139</v>
      </c>
      <c r="AHX99" s="269" t="s">
        <v>6140</v>
      </c>
    </row>
    <row r="100" spans="1:908" x14ac:dyDescent="0.7">
      <c r="A100" s="6" t="s">
        <v>6278</v>
      </c>
      <c r="B100" s="6" t="s">
        <v>6143</v>
      </c>
      <c r="C100" s="6" t="s">
        <v>6144</v>
      </c>
      <c r="D100" s="11">
        <v>0</v>
      </c>
      <c r="E100" s="11">
        <v>21000</v>
      </c>
      <c r="F100" s="11">
        <v>2021665.75</v>
      </c>
      <c r="G100" s="11">
        <v>276720.25</v>
      </c>
      <c r="H100" s="11">
        <v>4663615</v>
      </c>
      <c r="I100" s="11">
        <v>1646020</v>
      </c>
      <c r="J100" s="11">
        <v>13461055.869999999</v>
      </c>
      <c r="K100" s="11">
        <v>0</v>
      </c>
      <c r="L100" s="11">
        <v>302750</v>
      </c>
      <c r="M100" s="11"/>
      <c r="N100" s="11">
        <v>0</v>
      </c>
      <c r="O100" s="11">
        <v>24113.08</v>
      </c>
      <c r="P100" s="11">
        <v>1404105</v>
      </c>
      <c r="Q100" s="11">
        <v>813566.5</v>
      </c>
      <c r="R100" s="11">
        <v>198595.85</v>
      </c>
      <c r="S100" s="11">
        <v>622892.5</v>
      </c>
      <c r="T100" s="11"/>
      <c r="U100" s="11">
        <v>511199</v>
      </c>
      <c r="V100" s="11">
        <v>10282062.5</v>
      </c>
      <c r="W100" s="11">
        <v>2989062.5</v>
      </c>
      <c r="X100" s="11">
        <v>326434.5</v>
      </c>
      <c r="Y100" s="11">
        <v>487407</v>
      </c>
      <c r="Z100" s="11">
        <v>499833.31</v>
      </c>
      <c r="AA100" s="11">
        <v>907647.18</v>
      </c>
      <c r="AB100" s="11">
        <v>1130487.23</v>
      </c>
      <c r="AC100" s="11">
        <v>19500</v>
      </c>
      <c r="AD100" s="11">
        <v>2217295</v>
      </c>
      <c r="AE100" s="11">
        <v>1447939.5</v>
      </c>
      <c r="AF100" s="11">
        <v>3495955.75</v>
      </c>
      <c r="AG100" s="11">
        <v>2178031.13</v>
      </c>
      <c r="AH100" s="11">
        <v>3106812.5</v>
      </c>
      <c r="AI100" s="11">
        <v>4951792.6100000003</v>
      </c>
      <c r="AJ100" s="11">
        <v>1154359.5</v>
      </c>
      <c r="AK100" s="11">
        <v>694750</v>
      </c>
      <c r="AL100" s="11">
        <v>435862.5</v>
      </c>
      <c r="AM100" s="11">
        <v>0</v>
      </c>
      <c r="AN100" s="11">
        <v>1279827.5</v>
      </c>
      <c r="AO100" s="11">
        <v>861517</v>
      </c>
      <c r="AP100" s="11">
        <v>568610.53</v>
      </c>
      <c r="AQ100" s="11">
        <v>603028</v>
      </c>
      <c r="AR100" s="11">
        <v>202093</v>
      </c>
      <c r="AS100" s="11">
        <v>333010</v>
      </c>
      <c r="AT100" s="11">
        <v>0</v>
      </c>
      <c r="AU100" s="11">
        <v>2757278.67</v>
      </c>
      <c r="AV100" s="11">
        <v>1944410.5</v>
      </c>
      <c r="AW100" s="11">
        <v>352668</v>
      </c>
      <c r="AX100" s="11">
        <v>6334020</v>
      </c>
      <c r="AY100" s="11">
        <v>5587141.8300000001</v>
      </c>
      <c r="AZ100" s="11">
        <v>582691</v>
      </c>
      <c r="BA100" s="11">
        <v>2985039</v>
      </c>
      <c r="BB100" s="11">
        <v>1536915.88</v>
      </c>
      <c r="BC100" s="11">
        <v>5893105</v>
      </c>
      <c r="BD100" s="11">
        <v>61000</v>
      </c>
      <c r="BE100" s="11">
        <v>3645335.5</v>
      </c>
      <c r="BF100" s="11">
        <v>7777395</v>
      </c>
      <c r="BG100" s="11">
        <v>1088050</v>
      </c>
      <c r="BH100" s="11">
        <v>1849945</v>
      </c>
      <c r="BI100" s="11">
        <v>0</v>
      </c>
      <c r="BJ100" s="11">
        <v>0</v>
      </c>
      <c r="BK100" s="11">
        <v>250683</v>
      </c>
      <c r="BL100" s="11"/>
      <c r="BM100" s="11"/>
      <c r="BN100" s="11"/>
      <c r="BO100" s="11">
        <v>173306</v>
      </c>
      <c r="BP100" s="11"/>
      <c r="BQ100" s="11"/>
      <c r="BR100" s="11">
        <v>0</v>
      </c>
      <c r="BS100" s="11">
        <v>33612.5</v>
      </c>
      <c r="BT100" s="11"/>
      <c r="BU100" s="11"/>
      <c r="BV100" s="11"/>
      <c r="BW100" s="11"/>
      <c r="BX100" s="11"/>
      <c r="BY100" s="11"/>
      <c r="BZ100" s="11">
        <v>0</v>
      </c>
      <c r="CA100" s="11"/>
      <c r="CB100" s="11"/>
      <c r="CC100" s="11"/>
      <c r="CD100" s="11"/>
      <c r="CE100" s="11"/>
      <c r="CF100" s="11"/>
      <c r="CG100" s="11">
        <v>0</v>
      </c>
      <c r="CH100" s="11">
        <v>766514</v>
      </c>
      <c r="CI100" s="11">
        <v>1248983</v>
      </c>
      <c r="CJ100" s="11">
        <v>556529</v>
      </c>
      <c r="CK100" s="11">
        <v>531405</v>
      </c>
      <c r="CL100" s="11">
        <v>158500</v>
      </c>
      <c r="CM100" s="11">
        <v>148500</v>
      </c>
      <c r="CN100" s="11">
        <v>2872250</v>
      </c>
      <c r="CO100" s="11">
        <v>1500</v>
      </c>
      <c r="CP100" s="11">
        <v>843600</v>
      </c>
      <c r="CQ100" s="11">
        <v>840</v>
      </c>
      <c r="CR100" s="11">
        <v>45880</v>
      </c>
      <c r="CS100" s="11">
        <v>266608</v>
      </c>
      <c r="CT100" s="11">
        <v>33514</v>
      </c>
      <c r="CU100" s="11"/>
      <c r="CV100" s="11"/>
      <c r="CW100" s="11"/>
      <c r="CX100" s="11"/>
      <c r="CY100" s="11"/>
      <c r="CZ100" s="11"/>
      <c r="DA100" s="11"/>
      <c r="DB100" s="11">
        <v>0</v>
      </c>
      <c r="DC100" s="11">
        <v>781917.24</v>
      </c>
      <c r="DD100" s="11">
        <v>0</v>
      </c>
      <c r="DE100" s="11"/>
      <c r="DF100" s="11"/>
      <c r="DG100" s="11"/>
      <c r="DH100" s="11">
        <v>0</v>
      </c>
      <c r="DI100" s="11"/>
      <c r="DJ100" s="11"/>
      <c r="DK100" s="11">
        <v>0</v>
      </c>
      <c r="DL100" s="11"/>
      <c r="DM100" s="11"/>
      <c r="DN100" s="11"/>
      <c r="DO100" s="11"/>
      <c r="DP100" s="11"/>
      <c r="DQ100" s="11"/>
      <c r="DR100" s="11"/>
      <c r="DS100" s="11"/>
      <c r="DT100" s="11">
        <v>127.73</v>
      </c>
      <c r="DU100" s="11">
        <v>0</v>
      </c>
      <c r="DV100" s="11"/>
      <c r="DW100" s="11"/>
      <c r="DX100" s="11"/>
      <c r="DY100" s="11"/>
      <c r="DZ100" s="11"/>
      <c r="EA100" s="11"/>
      <c r="EB100" s="11"/>
      <c r="EC100" s="11"/>
      <c r="ED100" s="11"/>
      <c r="EE100" s="11">
        <v>323435</v>
      </c>
      <c r="EF100" s="11">
        <v>0</v>
      </c>
      <c r="EG100" s="11"/>
      <c r="EH100" s="11"/>
      <c r="EI100" s="11"/>
      <c r="EJ100" s="11"/>
      <c r="EK100" s="11"/>
      <c r="EL100" s="11"/>
      <c r="EM100" s="11"/>
      <c r="EN100" s="11">
        <v>4640</v>
      </c>
      <c r="EO100" s="11"/>
      <c r="EP100" s="11"/>
      <c r="EQ100" s="11">
        <v>-817306</v>
      </c>
      <c r="ER100" s="11">
        <v>107500</v>
      </c>
      <c r="ES100" s="11"/>
      <c r="ET100" s="11"/>
      <c r="EU100" s="11"/>
      <c r="EV100" s="11"/>
      <c r="EW100" s="11"/>
      <c r="EX100" s="11">
        <v>434466.69</v>
      </c>
      <c r="EY100" s="11">
        <v>947987</v>
      </c>
      <c r="EZ100" s="11">
        <v>10573952</v>
      </c>
      <c r="FA100" s="11">
        <v>11226210</v>
      </c>
      <c r="FB100" s="11">
        <v>2519740</v>
      </c>
      <c r="FC100" s="11"/>
      <c r="FD100" s="11"/>
      <c r="FE100" s="11">
        <v>7174341.2000000002</v>
      </c>
      <c r="FF100" s="11"/>
      <c r="FG100" s="11">
        <v>68870</v>
      </c>
      <c r="FH100" s="11">
        <v>23230.080000000002</v>
      </c>
      <c r="FI100" s="11">
        <v>5214</v>
      </c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>
        <v>1198632.5</v>
      </c>
      <c r="GB100" s="11"/>
      <c r="GC100" s="11"/>
      <c r="GD100" s="11"/>
      <c r="GE100" s="11">
        <v>300779.90000000002</v>
      </c>
      <c r="GF100" s="11"/>
      <c r="GG100" s="11"/>
      <c r="GH100" s="11"/>
      <c r="GI100" s="11"/>
      <c r="GJ100" s="11"/>
      <c r="GK100" s="11">
        <v>0</v>
      </c>
      <c r="GL100" s="11"/>
      <c r="GM100" s="11"/>
      <c r="GN100" s="11">
        <v>1667375</v>
      </c>
      <c r="GO100" s="11"/>
      <c r="GP100" s="11"/>
      <c r="GQ100" s="11">
        <v>5800</v>
      </c>
      <c r="GR100" s="11"/>
      <c r="GS100" s="11"/>
      <c r="GT100" s="11"/>
      <c r="GU100" s="11"/>
      <c r="GV100" s="11">
        <v>0</v>
      </c>
      <c r="GW100" s="11"/>
      <c r="GX100" s="11"/>
      <c r="GY100" s="11"/>
      <c r="GZ100" s="11"/>
      <c r="HA100" s="11"/>
      <c r="HB100" s="11"/>
      <c r="HC100" s="11">
        <v>0</v>
      </c>
      <c r="HD100" s="11"/>
      <c r="HE100" s="11"/>
      <c r="HF100" s="11"/>
      <c r="HG100" s="11">
        <v>430000</v>
      </c>
      <c r="HH100" s="11"/>
      <c r="HI100" s="11">
        <v>201200</v>
      </c>
      <c r="HJ100" s="11"/>
      <c r="HK100" s="11"/>
      <c r="HL100" s="11"/>
      <c r="HM100" s="11"/>
      <c r="HN100" s="11"/>
      <c r="HO100" s="11"/>
      <c r="HP100" s="11"/>
      <c r="HQ100" s="11"/>
      <c r="HR100" s="11"/>
      <c r="HS100" s="11">
        <v>0</v>
      </c>
      <c r="HT100" s="11">
        <v>0</v>
      </c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>
        <v>1500000</v>
      </c>
      <c r="IK100" s="11"/>
      <c r="IL100" s="11"/>
      <c r="IM100" s="11"/>
      <c r="IN100" s="11"/>
      <c r="IO100" s="11">
        <v>133000</v>
      </c>
      <c r="IP100" s="11">
        <v>1084500</v>
      </c>
      <c r="IQ100" s="11"/>
      <c r="IR100" s="11"/>
      <c r="IS100" s="11"/>
      <c r="IT100" s="11">
        <v>0</v>
      </c>
      <c r="IU100" s="11">
        <v>0</v>
      </c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>
        <v>77876</v>
      </c>
      <c r="JG100" s="11">
        <v>368224.21</v>
      </c>
      <c r="JH100" s="11"/>
      <c r="JI100" s="11"/>
      <c r="JJ100" s="11"/>
      <c r="JK100" s="11"/>
      <c r="JL100" s="11">
        <v>780</v>
      </c>
      <c r="JM100" s="11"/>
      <c r="JN100" s="11">
        <v>0</v>
      </c>
      <c r="JO100" s="11"/>
      <c r="JP100" s="11"/>
      <c r="JQ100" s="11"/>
      <c r="JR100" s="11"/>
      <c r="JS100" s="11">
        <v>0</v>
      </c>
      <c r="JT100" s="11">
        <v>0</v>
      </c>
      <c r="JU100" s="11"/>
      <c r="JV100" s="11"/>
      <c r="JW100" s="11">
        <v>8293937.5</v>
      </c>
      <c r="JX100" s="11">
        <v>111420</v>
      </c>
      <c r="JY100" s="11">
        <v>15981377.5</v>
      </c>
      <c r="JZ100" s="11"/>
      <c r="KA100" s="11"/>
      <c r="KB100" s="11"/>
      <c r="KC100" s="11"/>
      <c r="KD100" s="11"/>
      <c r="KE100" s="11">
        <v>662680</v>
      </c>
      <c r="KF100" s="11">
        <v>95150</v>
      </c>
      <c r="KG100" s="11">
        <v>140736</v>
      </c>
      <c r="KH100" s="11"/>
      <c r="KI100" s="11"/>
      <c r="KJ100" s="11"/>
      <c r="KK100" s="11"/>
      <c r="KL100" s="11">
        <v>0</v>
      </c>
      <c r="KM100" s="11"/>
      <c r="KN100" s="11"/>
      <c r="KO100" s="11">
        <v>0</v>
      </c>
      <c r="KP100" s="11">
        <v>0</v>
      </c>
      <c r="KQ100" s="11">
        <v>0</v>
      </c>
      <c r="KR100" s="11">
        <v>0</v>
      </c>
      <c r="KS100" s="11">
        <v>0</v>
      </c>
      <c r="KT100" s="11"/>
      <c r="KU100" s="11"/>
      <c r="KV100" s="11">
        <v>0</v>
      </c>
      <c r="KW100" s="11"/>
      <c r="KX100" s="11">
        <v>0</v>
      </c>
      <c r="KY100" s="11"/>
      <c r="KZ100" s="11">
        <v>1100</v>
      </c>
      <c r="LA100" s="11"/>
      <c r="LB100" s="11"/>
      <c r="LC100" s="11"/>
      <c r="LD100" s="11"/>
      <c r="LE100" s="11"/>
      <c r="LF100" s="11">
        <v>4500</v>
      </c>
      <c r="LG100" s="11"/>
      <c r="LH100" s="11">
        <v>0</v>
      </c>
      <c r="LI100" s="11">
        <v>0</v>
      </c>
      <c r="LJ100" s="11">
        <v>0</v>
      </c>
      <c r="LK100" s="11">
        <v>0</v>
      </c>
      <c r="LL100" s="11"/>
      <c r="LM100" s="11"/>
      <c r="LN100" s="11"/>
      <c r="LO100" s="11"/>
      <c r="LP100" s="11"/>
      <c r="LQ100" s="11"/>
      <c r="LR100" s="11"/>
      <c r="LS100" s="11">
        <v>0</v>
      </c>
      <c r="LT100" s="11"/>
      <c r="LU100" s="11"/>
      <c r="LV100" s="11">
        <v>0</v>
      </c>
      <c r="LW100" s="11">
        <v>0</v>
      </c>
      <c r="LX100" s="11">
        <v>0</v>
      </c>
      <c r="LY100" s="11">
        <v>0</v>
      </c>
      <c r="LZ100" s="11"/>
      <c r="MA100" s="11"/>
      <c r="MB100" s="11"/>
      <c r="MC100" s="11"/>
      <c r="MD100" s="11"/>
      <c r="ME100" s="11"/>
      <c r="MF100" s="11"/>
      <c r="MG100" s="11"/>
      <c r="MH100" s="11"/>
      <c r="MI100" s="11">
        <v>-176000</v>
      </c>
      <c r="MJ100" s="11">
        <v>653516.5</v>
      </c>
      <c r="MK100" s="11">
        <v>2524750</v>
      </c>
      <c r="ML100" s="11">
        <v>136046</v>
      </c>
      <c r="MM100" s="11"/>
      <c r="MN100" s="11"/>
      <c r="MO100" s="11">
        <v>0</v>
      </c>
      <c r="MP100" s="11">
        <v>1836645</v>
      </c>
      <c r="MQ100" s="11">
        <v>834400</v>
      </c>
      <c r="MR100" s="11">
        <v>42127.5</v>
      </c>
      <c r="MS100" s="11"/>
      <c r="MT100" s="11">
        <v>0</v>
      </c>
      <c r="MU100" s="11"/>
      <c r="MV100" s="11"/>
      <c r="MW100" s="11"/>
      <c r="MX100" s="11"/>
      <c r="MY100" s="11"/>
      <c r="MZ100" s="11">
        <v>830886</v>
      </c>
      <c r="NA100" s="11">
        <v>0</v>
      </c>
      <c r="NB100" s="11">
        <v>11163.52</v>
      </c>
      <c r="NC100" s="11"/>
      <c r="ND100" s="11">
        <v>75000</v>
      </c>
      <c r="NE100" s="11">
        <v>0</v>
      </c>
      <c r="NF100" s="11"/>
      <c r="NG100" s="11"/>
      <c r="NH100" s="11">
        <v>637717.77</v>
      </c>
      <c r="NI100" s="11"/>
      <c r="NJ100" s="11"/>
      <c r="NK100" s="11"/>
      <c r="NL100" s="11"/>
      <c r="NM100" s="11">
        <v>0</v>
      </c>
      <c r="NN100" s="11"/>
      <c r="NO100" s="11"/>
      <c r="NP100" s="11"/>
      <c r="NQ100" s="11">
        <v>2218812.5</v>
      </c>
      <c r="NR100" s="11"/>
      <c r="NS100" s="11"/>
      <c r="NT100" s="11"/>
      <c r="NU100" s="11"/>
      <c r="NV100" s="11">
        <v>0</v>
      </c>
      <c r="NW100" s="11"/>
      <c r="NX100" s="11">
        <v>0</v>
      </c>
      <c r="NY100" s="11">
        <v>1237.5</v>
      </c>
      <c r="NZ100" s="11"/>
      <c r="OA100" s="11">
        <v>0</v>
      </c>
      <c r="OB100" s="11"/>
      <c r="OC100" s="11"/>
      <c r="OD100" s="11"/>
      <c r="OE100" s="11"/>
      <c r="OF100" s="11">
        <v>45401</v>
      </c>
      <c r="OG100" s="11"/>
      <c r="OH100" s="11">
        <v>26725365</v>
      </c>
      <c r="OI100" s="11"/>
      <c r="OJ100" s="11"/>
      <c r="OK100" s="11"/>
      <c r="OL100" s="11"/>
      <c r="OM100" s="11"/>
      <c r="ON100" s="11">
        <v>0</v>
      </c>
      <c r="OO100" s="11"/>
      <c r="OP100" s="11">
        <v>1599000</v>
      </c>
      <c r="OQ100" s="11">
        <v>0</v>
      </c>
      <c r="OR100" s="11"/>
      <c r="OS100" s="11"/>
      <c r="OT100" s="11">
        <v>0</v>
      </c>
      <c r="OU100" s="11"/>
      <c r="OV100" s="11"/>
      <c r="OW100" s="11"/>
      <c r="OX100" s="11"/>
      <c r="OY100" s="11">
        <v>0</v>
      </c>
      <c r="OZ100" s="11"/>
      <c r="PA100" s="11"/>
      <c r="PB100" s="11"/>
      <c r="PC100" s="11">
        <v>0</v>
      </c>
      <c r="PD100" s="11"/>
      <c r="PE100" s="11"/>
      <c r="PF100" s="11">
        <v>280500</v>
      </c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>
        <v>0</v>
      </c>
      <c r="PV100" s="11">
        <v>-2500</v>
      </c>
      <c r="PW100" s="11"/>
      <c r="PX100" s="11"/>
      <c r="PY100" s="11"/>
      <c r="PZ100" s="11"/>
      <c r="QA100" s="11"/>
      <c r="QB100" s="11">
        <v>394000</v>
      </c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>
        <v>1590307.29</v>
      </c>
      <c r="QO100" s="11">
        <v>0</v>
      </c>
      <c r="QP100" s="11"/>
      <c r="QQ100" s="11"/>
      <c r="QR100" s="11"/>
      <c r="QS100" s="11"/>
      <c r="QT100" s="11"/>
      <c r="QU100" s="11"/>
      <c r="QV100" s="11"/>
      <c r="QW100" s="11"/>
      <c r="QX100" s="11"/>
      <c r="QY100" s="11">
        <v>206750</v>
      </c>
      <c r="QZ100" s="11">
        <v>1008000</v>
      </c>
      <c r="RA100" s="11"/>
      <c r="RB100" s="11"/>
      <c r="RC100" s="11"/>
      <c r="RD100" s="11"/>
      <c r="RE100" s="11">
        <v>229000</v>
      </c>
      <c r="RF100" s="11"/>
      <c r="RG100" s="11"/>
      <c r="RH100" s="11">
        <v>0</v>
      </c>
      <c r="RI100" s="11">
        <v>13564860.75</v>
      </c>
      <c r="RJ100" s="11">
        <v>389941</v>
      </c>
      <c r="RK100" s="11">
        <v>5611336.6600000001</v>
      </c>
      <c r="RL100" s="11">
        <v>148000</v>
      </c>
      <c r="RM100" s="11">
        <v>2159156.64</v>
      </c>
      <c r="RN100" s="11"/>
      <c r="RO100" s="11">
        <v>288000</v>
      </c>
      <c r="RP100" s="11">
        <v>2145987</v>
      </c>
      <c r="RQ100" s="11"/>
      <c r="RR100" s="11"/>
      <c r="RS100" s="11">
        <v>245500</v>
      </c>
      <c r="RT100" s="11">
        <v>2441089.5</v>
      </c>
      <c r="RU100" s="11"/>
      <c r="RV100" s="11">
        <v>424924.5</v>
      </c>
      <c r="RW100" s="11">
        <v>284650</v>
      </c>
      <c r="RX100" s="11">
        <v>2146055</v>
      </c>
      <c r="RY100" s="11">
        <v>1752750</v>
      </c>
      <c r="RZ100" s="11">
        <v>1800838.5</v>
      </c>
      <c r="SA100" s="11">
        <v>433500</v>
      </c>
      <c r="SB100" s="11">
        <v>10298968.630000001</v>
      </c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>
        <v>17240</v>
      </c>
      <c r="SO100" s="11"/>
      <c r="SP100" s="11"/>
      <c r="SQ100" s="11"/>
      <c r="SR100" s="11"/>
      <c r="SS100" s="11"/>
      <c r="ST100" s="11">
        <v>35987.39</v>
      </c>
      <c r="SU100" s="11"/>
      <c r="SV100" s="11">
        <v>0</v>
      </c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>
        <v>444521.31</v>
      </c>
      <c r="TK100" s="11"/>
      <c r="TL100" s="11"/>
      <c r="TM100" s="11"/>
      <c r="TN100" s="11"/>
      <c r="TO100" s="11"/>
      <c r="TP100" s="11"/>
      <c r="TQ100" s="11">
        <v>958374</v>
      </c>
      <c r="TR100" s="11"/>
      <c r="TS100" s="11"/>
      <c r="TT100" s="11"/>
      <c r="TU100" s="11"/>
      <c r="TV100" s="11"/>
      <c r="TW100" s="11"/>
      <c r="TX100" s="11"/>
      <c r="TY100" s="11"/>
      <c r="TZ100" s="11">
        <v>3000</v>
      </c>
      <c r="UA100" s="11"/>
      <c r="UB100" s="11">
        <v>0</v>
      </c>
      <c r="UC100" s="11">
        <v>7558085</v>
      </c>
      <c r="UD100" s="11"/>
      <c r="UE100" s="11"/>
      <c r="UF100" s="11"/>
      <c r="UG100" s="11"/>
      <c r="UH100" s="11">
        <v>172930</v>
      </c>
      <c r="UI100" s="11"/>
      <c r="UJ100" s="11"/>
      <c r="UK100" s="11">
        <v>0</v>
      </c>
      <c r="UL100" s="11"/>
      <c r="UM100" s="11"/>
      <c r="UN100" s="11"/>
      <c r="UO100" s="11"/>
      <c r="UP100" s="11"/>
      <c r="UQ100" s="11">
        <v>0</v>
      </c>
      <c r="UR100" s="11"/>
      <c r="US100" s="11"/>
      <c r="UT100" s="11">
        <v>4400</v>
      </c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>
        <v>0</v>
      </c>
      <c r="VN100" s="11"/>
      <c r="VO100" s="11"/>
      <c r="VP100" s="11"/>
      <c r="VQ100" s="11"/>
      <c r="VR100" s="11"/>
      <c r="VS100" s="11"/>
      <c r="VT100" s="11"/>
      <c r="VU100" s="11"/>
      <c r="VV100" s="11">
        <v>670500</v>
      </c>
      <c r="VW100" s="11"/>
      <c r="VX100" s="11"/>
      <c r="VY100" s="11"/>
      <c r="VZ100" s="11"/>
      <c r="WA100" s="11">
        <v>30650</v>
      </c>
      <c r="WB100" s="11">
        <v>412109</v>
      </c>
      <c r="WC100" s="11">
        <v>0</v>
      </c>
      <c r="WD100" s="11">
        <v>207000</v>
      </c>
      <c r="WE100" s="11"/>
      <c r="WF100" s="11"/>
      <c r="WG100" s="11"/>
      <c r="WH100" s="11">
        <v>449952</v>
      </c>
      <c r="WI100" s="11"/>
      <c r="WJ100" s="11"/>
      <c r="WK100" s="11"/>
      <c r="WL100" s="11">
        <v>0</v>
      </c>
      <c r="WM100" s="11"/>
      <c r="WN100" s="11"/>
      <c r="WO100" s="11"/>
      <c r="WP100" s="11"/>
      <c r="WQ100" s="11">
        <v>0</v>
      </c>
      <c r="WR100" s="11"/>
      <c r="WS100" s="11"/>
      <c r="WT100" s="11"/>
      <c r="WU100" s="11"/>
      <c r="WV100" s="11">
        <v>10000</v>
      </c>
      <c r="WW100" s="11"/>
      <c r="WX100" s="11"/>
      <c r="WY100" s="11">
        <v>306180</v>
      </c>
      <c r="WZ100" s="11"/>
      <c r="XA100" s="11"/>
      <c r="XB100" s="11"/>
      <c r="XC100" s="11"/>
      <c r="XD100" s="11">
        <v>0</v>
      </c>
      <c r="XE100" s="11"/>
      <c r="XF100" s="11">
        <v>0</v>
      </c>
      <c r="XG100" s="11">
        <v>73500</v>
      </c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>
        <v>0</v>
      </c>
      <c r="YG100" s="11"/>
      <c r="YH100" s="11"/>
      <c r="YI100" s="11"/>
      <c r="YJ100" s="11">
        <v>0</v>
      </c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>
        <v>11979</v>
      </c>
      <c r="YX100" s="11"/>
      <c r="YY100" s="11"/>
      <c r="YZ100" s="11"/>
      <c r="ZA100" s="11">
        <v>2910160</v>
      </c>
      <c r="ZB100" s="11"/>
      <c r="ZC100" s="11"/>
      <c r="ZD100" s="11">
        <v>0</v>
      </c>
      <c r="ZE100" s="11"/>
      <c r="ZF100" s="11"/>
      <c r="ZG100" s="11"/>
      <c r="ZH100" s="11">
        <v>10000</v>
      </c>
      <c r="ZI100" s="11"/>
      <c r="ZJ100" s="11"/>
      <c r="ZK100" s="11"/>
      <c r="ZL100" s="11"/>
      <c r="ZM100" s="11">
        <v>0</v>
      </c>
      <c r="ZN100" s="11"/>
      <c r="ZO100" s="11"/>
      <c r="ZP100" s="11">
        <v>0</v>
      </c>
      <c r="ZQ100" s="11"/>
      <c r="ZR100" s="11"/>
      <c r="ZS100" s="11">
        <v>1905500</v>
      </c>
      <c r="ZT100" s="11"/>
      <c r="ZU100" s="11"/>
      <c r="ZV100" s="11">
        <v>473467.75</v>
      </c>
      <c r="ZW100" s="11"/>
      <c r="ZX100" s="11">
        <v>116000</v>
      </c>
      <c r="ZY100" s="11">
        <v>128000</v>
      </c>
      <c r="ZZ100" s="11">
        <v>183500</v>
      </c>
      <c r="AAA100" s="11"/>
      <c r="AAB100" s="11"/>
      <c r="AAC100" s="11">
        <v>153500</v>
      </c>
      <c r="AAD100" s="11">
        <v>95000</v>
      </c>
      <c r="AAE100" s="11">
        <v>120000</v>
      </c>
      <c r="AAF100" s="11">
        <v>104000</v>
      </c>
      <c r="AAG100" s="11"/>
      <c r="AAH100" s="11"/>
      <c r="AAI100" s="11">
        <v>0</v>
      </c>
      <c r="AAJ100" s="11"/>
      <c r="AAK100" s="11">
        <v>655000</v>
      </c>
      <c r="AAL100" s="11"/>
      <c r="AAM100" s="11">
        <v>304180</v>
      </c>
      <c r="AAN100" s="11"/>
      <c r="AAO100" s="11"/>
      <c r="AAP100" s="11"/>
      <c r="AAQ100" s="11"/>
      <c r="AAR100" s="11">
        <v>965764.23</v>
      </c>
      <c r="AAS100" s="11"/>
      <c r="AAT100" s="11"/>
      <c r="AAU100" s="11"/>
      <c r="AAV100" s="11"/>
      <c r="AAW100" s="11"/>
      <c r="AAX100" s="11">
        <v>77213</v>
      </c>
      <c r="AAY100" s="11">
        <v>625500</v>
      </c>
      <c r="AAZ100" s="11">
        <v>65570</v>
      </c>
      <c r="ABA100" s="11"/>
      <c r="ABB100" s="11"/>
      <c r="ABC100" s="11">
        <v>1167811.99</v>
      </c>
      <c r="ABD100" s="11"/>
      <c r="ABE100" s="11"/>
      <c r="ABF100" s="11"/>
      <c r="ABG100" s="11">
        <v>190993</v>
      </c>
      <c r="ABH100" s="11">
        <v>460436</v>
      </c>
      <c r="ABI100" s="11"/>
      <c r="ABJ100" s="11"/>
      <c r="ABK100" s="11"/>
      <c r="ABL100" s="11">
        <v>407600</v>
      </c>
      <c r="ABM100" s="11">
        <v>181950</v>
      </c>
      <c r="ABN100" s="11"/>
      <c r="ABO100" s="11"/>
      <c r="ABP100" s="11"/>
      <c r="ABQ100" s="11">
        <v>904500</v>
      </c>
      <c r="ABR100" s="11"/>
      <c r="ABS100" s="11"/>
      <c r="ABT100" s="11">
        <v>9000</v>
      </c>
      <c r="ABU100" s="11"/>
      <c r="ABV100" s="11"/>
      <c r="ABW100" s="11"/>
      <c r="ABX100" s="11">
        <v>104000</v>
      </c>
      <c r="ABY100" s="11"/>
      <c r="ABZ100" s="11"/>
      <c r="ACA100" s="11"/>
      <c r="ACB100" s="11"/>
      <c r="ACC100" s="11"/>
      <c r="ACD100" s="11">
        <v>2749</v>
      </c>
      <c r="ACE100" s="11"/>
      <c r="ACF100" s="11"/>
      <c r="ACG100" s="11"/>
      <c r="ACH100" s="11"/>
      <c r="ACI100" s="11"/>
      <c r="ACJ100" s="11">
        <v>1792562.7</v>
      </c>
      <c r="ACK100" s="11"/>
      <c r="ACL100" s="11"/>
      <c r="ACM100" s="11">
        <v>251000</v>
      </c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>
        <v>10566230</v>
      </c>
      <c r="ACY100" s="11"/>
      <c r="ACZ100" s="11"/>
      <c r="ADA100" s="11"/>
      <c r="ADB100" s="11"/>
      <c r="ADC100" s="11"/>
      <c r="ADD100" s="11"/>
      <c r="ADE100" s="11"/>
      <c r="ADF100" s="11"/>
      <c r="ADG100" s="11">
        <v>0</v>
      </c>
      <c r="ADH100" s="11">
        <v>520</v>
      </c>
      <c r="ADI100" s="11"/>
      <c r="ADJ100" s="11"/>
      <c r="ADK100" s="11"/>
      <c r="ADL100" s="11"/>
      <c r="ADM100" s="11"/>
      <c r="ADN100" s="11">
        <v>93800</v>
      </c>
      <c r="ADO100" s="11"/>
      <c r="ADP100" s="11"/>
      <c r="ADQ100" s="11"/>
      <c r="ADR100" s="11"/>
      <c r="ADS100" s="11">
        <v>0</v>
      </c>
      <c r="ADT100" s="11">
        <v>16212866.25</v>
      </c>
      <c r="ADU100" s="11">
        <v>525000</v>
      </c>
      <c r="ADV100" s="11">
        <v>476854.04</v>
      </c>
      <c r="ADW100" s="11"/>
      <c r="ADX100" s="11"/>
      <c r="ADY100" s="11"/>
      <c r="ADZ100" s="11">
        <v>0</v>
      </c>
      <c r="AEA100" s="11">
        <v>105400</v>
      </c>
      <c r="AEB100" s="11">
        <v>2150690</v>
      </c>
      <c r="AEC100" s="11">
        <v>1897000</v>
      </c>
      <c r="AED100" s="11">
        <v>248000</v>
      </c>
      <c r="AEE100" s="11"/>
      <c r="AEF100" s="11"/>
      <c r="AEG100" s="11">
        <v>307028.5</v>
      </c>
      <c r="AEH100" s="11"/>
      <c r="AEI100" s="11">
        <v>10000</v>
      </c>
      <c r="AEJ100" s="11"/>
      <c r="AEK100" s="11"/>
      <c r="AEL100" s="11">
        <v>3551560</v>
      </c>
      <c r="AEM100" s="11"/>
      <c r="AEN100" s="11">
        <v>843150</v>
      </c>
      <c r="AEO100" s="11"/>
      <c r="AEP100" s="11"/>
      <c r="AEQ100" s="11"/>
      <c r="AER100" s="11"/>
      <c r="AES100" s="11"/>
      <c r="AET100" s="11">
        <v>0</v>
      </c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>
        <v>901723.13</v>
      </c>
      <c r="AFE100" s="11">
        <v>502354.81</v>
      </c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>
        <v>9444750</v>
      </c>
      <c r="AFV100" s="11"/>
      <c r="AFW100" s="11"/>
      <c r="AFX100" s="11"/>
      <c r="AFY100" s="11">
        <v>2547750</v>
      </c>
      <c r="AFZ100" s="11"/>
      <c r="AGA100" s="11"/>
      <c r="AGB100" s="11"/>
      <c r="AGC100" s="11">
        <v>300</v>
      </c>
      <c r="AGD100" s="11"/>
      <c r="AGE100" s="11"/>
      <c r="AGF100" s="11">
        <v>0</v>
      </c>
      <c r="AGG100" s="11"/>
      <c r="AGH100" s="11"/>
      <c r="AGI100" s="11"/>
      <c r="AGJ100" s="11"/>
      <c r="AGK100" s="11">
        <v>0</v>
      </c>
      <c r="AGL100" s="11"/>
      <c r="AGM100" s="11">
        <v>0</v>
      </c>
      <c r="AGN100" s="11">
        <v>-16200</v>
      </c>
      <c r="AGO100" s="11"/>
      <c r="AGP100" s="11"/>
      <c r="AGQ100" s="11"/>
      <c r="AGR100" s="11"/>
      <c r="AGS100" s="11"/>
      <c r="AGT100" s="11"/>
      <c r="AGU100" s="11"/>
      <c r="AGV100" s="11">
        <v>0</v>
      </c>
      <c r="AGW100" s="11">
        <v>0</v>
      </c>
      <c r="AGX100" s="11">
        <v>435750</v>
      </c>
      <c r="AGY100" s="11"/>
      <c r="AGZ100" s="11"/>
      <c r="AHA100" s="11"/>
      <c r="AHB100" s="11"/>
      <c r="AHC100" s="11">
        <v>524140</v>
      </c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>
        <v>4152120.52</v>
      </c>
      <c r="AHN100" s="11">
        <v>150548</v>
      </c>
      <c r="AHO100" s="11"/>
      <c r="AHP100" s="11"/>
      <c r="AHQ100" s="11"/>
      <c r="AHR100" s="11"/>
      <c r="AHS100" s="11"/>
      <c r="AHT100" s="11">
        <v>349301615.34999996</v>
      </c>
      <c r="AHV100" s="269" t="s">
        <v>6278</v>
      </c>
      <c r="AHW100" s="269" t="s">
        <v>6141</v>
      </c>
      <c r="AHX100" s="269" t="s">
        <v>6142</v>
      </c>
    </row>
    <row r="101" spans="1:908" x14ac:dyDescent="0.7">
      <c r="A101" s="6" t="s">
        <v>6278</v>
      </c>
      <c r="B101" s="6" t="s">
        <v>6145</v>
      </c>
      <c r="C101" s="6" t="s">
        <v>6146</v>
      </c>
      <c r="D101" s="11">
        <v>0</v>
      </c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>
        <v>0</v>
      </c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>
        <v>0</v>
      </c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>
        <v>0</v>
      </c>
      <c r="DL101" s="11"/>
      <c r="DM101" s="11"/>
      <c r="DN101" s="11"/>
      <c r="DO101" s="11"/>
      <c r="DP101" s="11"/>
      <c r="DQ101" s="11"/>
      <c r="DR101" s="11"/>
      <c r="DS101" s="11"/>
      <c r="DT101" s="11">
        <v>11386.39</v>
      </c>
      <c r="DU101" s="11">
        <v>0</v>
      </c>
      <c r="DV101" s="11"/>
      <c r="DW101" s="11">
        <v>219915.59</v>
      </c>
      <c r="DX101" s="11">
        <v>0</v>
      </c>
      <c r="DY101" s="11">
        <v>0</v>
      </c>
      <c r="DZ101" s="11">
        <v>0</v>
      </c>
      <c r="EA101" s="11">
        <v>0</v>
      </c>
      <c r="EB101" s="11">
        <v>0</v>
      </c>
      <c r="EC101" s="11">
        <v>0.01</v>
      </c>
      <c r="ED101" s="11">
        <v>0</v>
      </c>
      <c r="EE101" s="11">
        <v>0</v>
      </c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>
        <v>21289.55</v>
      </c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>
        <v>0</v>
      </c>
      <c r="HD101" s="11"/>
      <c r="HE101" s="11"/>
      <c r="HF101" s="11"/>
      <c r="HG101" s="11"/>
      <c r="HH101" s="11"/>
      <c r="HI101" s="11"/>
      <c r="HJ101" s="11">
        <v>27561.99</v>
      </c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>
        <v>0</v>
      </c>
      <c r="JG101" s="11"/>
      <c r="JH101" s="11"/>
      <c r="JI101" s="11"/>
      <c r="JJ101" s="11"/>
      <c r="JK101" s="11"/>
      <c r="JL101" s="11">
        <v>0</v>
      </c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>
        <v>801991.83</v>
      </c>
      <c r="LY101" s="11">
        <v>143943.38</v>
      </c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>
        <v>0</v>
      </c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>
        <v>37184.629999999997</v>
      </c>
      <c r="NR101" s="11"/>
      <c r="NS101" s="11"/>
      <c r="NT101" s="11"/>
      <c r="NU101" s="11"/>
      <c r="NV101" s="11"/>
      <c r="NW101" s="11"/>
      <c r="NX101" s="11">
        <v>0</v>
      </c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>
        <v>0</v>
      </c>
      <c r="OR101" s="11">
        <v>0</v>
      </c>
      <c r="OS101" s="11">
        <v>0</v>
      </c>
      <c r="OT101" s="11">
        <v>20429.16</v>
      </c>
      <c r="OU101" s="11"/>
      <c r="OV101" s="11"/>
      <c r="OW101" s="11"/>
      <c r="OX101" s="11"/>
      <c r="OY101" s="11"/>
      <c r="OZ101" s="11"/>
      <c r="PA101" s="11"/>
      <c r="PB101" s="11"/>
      <c r="PC101" s="11">
        <v>189425.47</v>
      </c>
      <c r="PD101" s="11"/>
      <c r="PE101" s="11"/>
      <c r="PF101" s="11"/>
      <c r="PG101" s="11"/>
      <c r="PH101" s="11">
        <v>0</v>
      </c>
      <c r="PI101" s="11"/>
      <c r="PJ101" s="11">
        <v>0</v>
      </c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>
        <v>44935.43</v>
      </c>
      <c r="PV101" s="11">
        <v>150279.82</v>
      </c>
      <c r="PW101" s="11">
        <v>45749.31</v>
      </c>
      <c r="PX101" s="11">
        <v>0</v>
      </c>
      <c r="PY101" s="11">
        <v>474772.88</v>
      </c>
      <c r="PZ101" s="11">
        <v>0</v>
      </c>
      <c r="QA101" s="11">
        <v>0</v>
      </c>
      <c r="QB101" s="11">
        <v>46140.98</v>
      </c>
      <c r="QC101" s="11">
        <v>115189.56</v>
      </c>
      <c r="QD101" s="11">
        <v>21836.2</v>
      </c>
      <c r="QE101" s="11">
        <v>98673.69</v>
      </c>
      <c r="QF101" s="11">
        <v>0</v>
      </c>
      <c r="QG101" s="11"/>
      <c r="QH101" s="11">
        <v>54805.07</v>
      </c>
      <c r="QI101" s="11">
        <v>37266.03</v>
      </c>
      <c r="QJ101" s="11">
        <v>71449.63</v>
      </c>
      <c r="QK101" s="11">
        <v>37406.31</v>
      </c>
      <c r="QL101" s="11">
        <v>0</v>
      </c>
      <c r="QM101" s="11">
        <v>8908.9699999999993</v>
      </c>
      <c r="QN101" s="11">
        <v>214741.73</v>
      </c>
      <c r="QO101" s="11">
        <v>3089.77</v>
      </c>
      <c r="QP101" s="11">
        <v>0</v>
      </c>
      <c r="QQ101" s="11">
        <v>11515.52</v>
      </c>
      <c r="QR101" s="11">
        <v>0</v>
      </c>
      <c r="QS101" s="11">
        <v>1349.42</v>
      </c>
      <c r="QT101" s="11">
        <v>5408.63</v>
      </c>
      <c r="QU101" s="11">
        <v>380466.88</v>
      </c>
      <c r="QV101" s="11"/>
      <c r="QW101" s="11"/>
      <c r="QX101" s="11"/>
      <c r="QY101" s="11"/>
      <c r="QZ101" s="11">
        <v>76215.710000000006</v>
      </c>
      <c r="RA101" s="11"/>
      <c r="RB101" s="11"/>
      <c r="RC101" s="11">
        <v>17340</v>
      </c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>
        <v>0</v>
      </c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>
        <v>10366.77</v>
      </c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>
        <v>11213.03</v>
      </c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>
        <v>14971.77</v>
      </c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>
        <v>0</v>
      </c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>
        <v>1494.4</v>
      </c>
      <c r="ABZ101" s="11"/>
      <c r="ACA101" s="11"/>
      <c r="ACB101" s="11"/>
      <c r="ACC101" s="11"/>
      <c r="ACD101" s="11"/>
      <c r="ACE101" s="11">
        <v>372.63</v>
      </c>
      <c r="ACF101" s="11"/>
      <c r="ACG101" s="11"/>
      <c r="ACH101" s="11"/>
      <c r="ACI101" s="11"/>
      <c r="ACJ101" s="11">
        <v>1372.55</v>
      </c>
      <c r="ACK101" s="11"/>
      <c r="ACL101" s="11"/>
      <c r="ACM101" s="11"/>
      <c r="ACN101" s="11">
        <v>1423.27</v>
      </c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>
        <v>0</v>
      </c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>
        <v>10522.22</v>
      </c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>
        <v>0</v>
      </c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>
        <v>0</v>
      </c>
      <c r="AGO101" s="11"/>
      <c r="AGP101" s="11"/>
      <c r="AGQ101" s="11"/>
      <c r="AGR101" s="11"/>
      <c r="AGS101" s="11"/>
      <c r="AGT101" s="11"/>
      <c r="AGU101" s="11"/>
      <c r="AGV101" s="11">
        <v>0</v>
      </c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>
        <v>3442406.1799999988</v>
      </c>
      <c r="AHV101" s="269" t="s">
        <v>6278</v>
      </c>
      <c r="AHW101" s="269" t="s">
        <v>6143</v>
      </c>
      <c r="AHX101" s="269" t="s">
        <v>6144</v>
      </c>
    </row>
    <row r="102" spans="1:908" x14ac:dyDescent="0.7">
      <c r="A102" s="6" t="s">
        <v>6278</v>
      </c>
      <c r="B102" s="6" t="s">
        <v>6147</v>
      </c>
      <c r="C102" s="6" t="s">
        <v>6148</v>
      </c>
      <c r="D102" s="11">
        <v>0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>
        <v>0</v>
      </c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>
        <v>0</v>
      </c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>
        <v>0</v>
      </c>
      <c r="BJ102" s="11">
        <v>0</v>
      </c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>
        <v>0</v>
      </c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>
        <v>0</v>
      </c>
      <c r="CU102" s="11"/>
      <c r="CV102" s="11"/>
      <c r="CW102" s="11"/>
      <c r="CX102" s="11"/>
      <c r="CY102" s="11"/>
      <c r="CZ102" s="11"/>
      <c r="DA102" s="11"/>
      <c r="DB102" s="11">
        <v>0</v>
      </c>
      <c r="DC102" s="11">
        <v>0</v>
      </c>
      <c r="DD102" s="11"/>
      <c r="DE102" s="11"/>
      <c r="DF102" s="11"/>
      <c r="DG102" s="11"/>
      <c r="DH102" s="11"/>
      <c r="DI102" s="11"/>
      <c r="DJ102" s="11"/>
      <c r="DK102" s="11">
        <v>0</v>
      </c>
      <c r="DL102" s="11"/>
      <c r="DM102" s="11"/>
      <c r="DN102" s="11"/>
      <c r="DO102" s="11"/>
      <c r="DP102" s="11"/>
      <c r="DQ102" s="11"/>
      <c r="DR102" s="11"/>
      <c r="DS102" s="11"/>
      <c r="DT102" s="11">
        <v>148476.41</v>
      </c>
      <c r="DU102" s="11"/>
      <c r="DV102" s="11"/>
      <c r="DW102" s="11"/>
      <c r="DX102" s="11"/>
      <c r="DY102" s="11"/>
      <c r="DZ102" s="11"/>
      <c r="EA102" s="11">
        <v>47851</v>
      </c>
      <c r="EB102" s="11"/>
      <c r="EC102" s="11"/>
      <c r="ED102" s="11"/>
      <c r="EE102" s="11">
        <v>0</v>
      </c>
      <c r="EF102" s="11">
        <v>0</v>
      </c>
      <c r="EG102" s="11"/>
      <c r="EH102" s="11"/>
      <c r="EI102" s="11"/>
      <c r="EJ102" s="11"/>
      <c r="EK102" s="11"/>
      <c r="EL102" s="11"/>
      <c r="EM102" s="11"/>
      <c r="EN102" s="11">
        <v>0</v>
      </c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>
        <v>129610.5</v>
      </c>
      <c r="FX102" s="11"/>
      <c r="FY102" s="11"/>
      <c r="FZ102" s="11"/>
      <c r="GA102" s="11"/>
      <c r="GB102" s="11"/>
      <c r="GC102" s="11"/>
      <c r="GD102" s="11"/>
      <c r="GE102" s="11">
        <v>0</v>
      </c>
      <c r="GF102" s="11"/>
      <c r="GG102" s="11"/>
      <c r="GH102" s="11"/>
      <c r="GI102" s="11"/>
      <c r="GJ102" s="11"/>
      <c r="GK102" s="11">
        <v>16000</v>
      </c>
      <c r="GL102" s="11"/>
      <c r="GM102" s="11"/>
      <c r="GN102" s="11"/>
      <c r="GO102" s="11"/>
      <c r="GP102" s="11">
        <v>1201.8399999999999</v>
      </c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>
        <v>-7605.6</v>
      </c>
      <c r="HK102" s="11">
        <v>0</v>
      </c>
      <c r="HL102" s="11"/>
      <c r="HM102" s="11"/>
      <c r="HN102" s="11">
        <v>0</v>
      </c>
      <c r="HO102" s="11"/>
      <c r="HP102" s="11"/>
      <c r="HQ102" s="11"/>
      <c r="HR102" s="11"/>
      <c r="HS102" s="11">
        <v>0</v>
      </c>
      <c r="HT102" s="11">
        <v>0</v>
      </c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>
        <v>0</v>
      </c>
      <c r="IK102" s="11"/>
      <c r="IL102" s="11"/>
      <c r="IM102" s="11"/>
      <c r="IN102" s="11"/>
      <c r="IO102" s="11"/>
      <c r="IP102" s="11"/>
      <c r="IQ102" s="11"/>
      <c r="IR102" s="11"/>
      <c r="IS102" s="11"/>
      <c r="IT102" s="11">
        <v>0</v>
      </c>
      <c r="IU102" s="11">
        <v>0</v>
      </c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>
        <v>0</v>
      </c>
      <c r="JG102" s="11">
        <v>0</v>
      </c>
      <c r="JH102" s="11"/>
      <c r="JI102" s="11"/>
      <c r="JJ102" s="11"/>
      <c r="JK102" s="11"/>
      <c r="JL102" s="11">
        <v>0</v>
      </c>
      <c r="JM102" s="11"/>
      <c r="JN102" s="11"/>
      <c r="JO102" s="11"/>
      <c r="JP102" s="11"/>
      <c r="JQ102" s="11"/>
      <c r="JR102" s="11"/>
      <c r="JS102" s="11">
        <v>0</v>
      </c>
      <c r="JT102" s="11">
        <v>0</v>
      </c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>
        <v>0</v>
      </c>
      <c r="KS102" s="11"/>
      <c r="KT102" s="11"/>
      <c r="KU102" s="11"/>
      <c r="KV102" s="11"/>
      <c r="KW102" s="11"/>
      <c r="KX102" s="11">
        <v>0</v>
      </c>
      <c r="KY102" s="11"/>
      <c r="KZ102" s="11"/>
      <c r="LA102" s="11"/>
      <c r="LB102" s="11"/>
      <c r="LC102" s="11"/>
      <c r="LD102" s="11"/>
      <c r="LE102" s="11"/>
      <c r="LF102" s="11"/>
      <c r="LG102" s="11"/>
      <c r="LH102" s="11">
        <v>0</v>
      </c>
      <c r="LI102" s="11">
        <v>0</v>
      </c>
      <c r="LJ102" s="11">
        <v>0</v>
      </c>
      <c r="LK102" s="11">
        <v>0</v>
      </c>
      <c r="LL102" s="11"/>
      <c r="LM102" s="11"/>
      <c r="LN102" s="11"/>
      <c r="LO102" s="11"/>
      <c r="LP102" s="11"/>
      <c r="LQ102" s="11"/>
      <c r="LR102" s="11"/>
      <c r="LS102" s="11">
        <v>0</v>
      </c>
      <c r="LT102" s="11"/>
      <c r="LU102" s="11"/>
      <c r="LV102" s="11">
        <v>0</v>
      </c>
      <c r="LW102" s="11">
        <v>0</v>
      </c>
      <c r="LX102" s="11"/>
      <c r="LY102" s="11">
        <v>0</v>
      </c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>
        <v>0</v>
      </c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>
        <v>0</v>
      </c>
      <c r="NI102" s="11"/>
      <c r="NJ102" s="11"/>
      <c r="NK102" s="11"/>
      <c r="NL102" s="11"/>
      <c r="NM102" s="11"/>
      <c r="NN102" s="11"/>
      <c r="NO102" s="11"/>
      <c r="NP102" s="11"/>
      <c r="NQ102" s="11">
        <v>0</v>
      </c>
      <c r="NR102" s="11"/>
      <c r="NS102" s="11"/>
      <c r="NT102" s="11"/>
      <c r="NU102" s="11"/>
      <c r="NV102" s="11"/>
      <c r="NW102" s="11"/>
      <c r="NX102" s="11">
        <v>0</v>
      </c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>
        <v>0</v>
      </c>
      <c r="OO102" s="11"/>
      <c r="OP102" s="11"/>
      <c r="OQ102" s="11"/>
      <c r="OR102" s="11">
        <v>0</v>
      </c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>
        <v>6193</v>
      </c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>
        <v>1331134.77</v>
      </c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>
        <v>4756</v>
      </c>
      <c r="QP102" s="11"/>
      <c r="QQ102" s="11"/>
      <c r="QR102" s="11"/>
      <c r="QS102" s="11"/>
      <c r="QT102" s="11"/>
      <c r="QU102" s="11">
        <v>0</v>
      </c>
      <c r="QV102" s="11"/>
      <c r="QW102" s="11"/>
      <c r="QX102" s="11"/>
      <c r="QY102" s="11"/>
      <c r="QZ102" s="11"/>
      <c r="RA102" s="11"/>
      <c r="RB102" s="11">
        <v>75849</v>
      </c>
      <c r="RC102" s="11">
        <v>264976</v>
      </c>
      <c r="RD102" s="11"/>
      <c r="RE102" s="11">
        <v>48558</v>
      </c>
      <c r="RF102" s="11"/>
      <c r="RG102" s="11"/>
      <c r="RH102" s="11">
        <v>0</v>
      </c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>
        <v>900</v>
      </c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>
        <v>0</v>
      </c>
      <c r="SW102" s="11"/>
      <c r="SX102" s="11"/>
      <c r="SY102" s="11">
        <v>0</v>
      </c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>
        <v>0</v>
      </c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>
        <v>0</v>
      </c>
      <c r="UL102" s="11"/>
      <c r="UM102" s="11"/>
      <c r="UN102" s="11"/>
      <c r="UO102" s="11"/>
      <c r="UP102" s="11"/>
      <c r="UQ102" s="11">
        <v>0</v>
      </c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>
        <v>0</v>
      </c>
      <c r="VN102" s="11"/>
      <c r="VO102" s="11"/>
      <c r="VP102" s="11"/>
      <c r="VQ102" s="11"/>
      <c r="VR102" s="11"/>
      <c r="VS102" s="11"/>
      <c r="VT102" s="11"/>
      <c r="VU102" s="11"/>
      <c r="VV102" s="11">
        <v>0</v>
      </c>
      <c r="VW102" s="11"/>
      <c r="VX102" s="11"/>
      <c r="VY102" s="11"/>
      <c r="VZ102" s="11"/>
      <c r="WA102" s="11"/>
      <c r="WB102" s="11">
        <v>0</v>
      </c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>
        <v>0</v>
      </c>
      <c r="WR102" s="11"/>
      <c r="WS102" s="11"/>
      <c r="WT102" s="11"/>
      <c r="WU102" s="11"/>
      <c r="WV102" s="11">
        <v>0</v>
      </c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>
        <v>0</v>
      </c>
      <c r="YG102" s="11"/>
      <c r="YH102" s="11"/>
      <c r="YI102" s="11"/>
      <c r="YJ102" s="11">
        <v>0</v>
      </c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>
        <v>0</v>
      </c>
      <c r="YX102" s="11"/>
      <c r="YY102" s="11"/>
      <c r="YZ102" s="11"/>
      <c r="ZA102" s="11"/>
      <c r="ZB102" s="11"/>
      <c r="ZC102" s="11"/>
      <c r="ZD102" s="11">
        <v>0</v>
      </c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>
        <v>0</v>
      </c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>
        <v>84469</v>
      </c>
      <c r="AAT102" s="11"/>
      <c r="AAU102" s="11"/>
      <c r="AAV102" s="11">
        <v>63399.5</v>
      </c>
      <c r="AAW102" s="11"/>
      <c r="AAX102" s="11"/>
      <c r="AAY102" s="11"/>
      <c r="AAZ102" s="11"/>
      <c r="ABA102" s="11">
        <v>54919</v>
      </c>
      <c r="ABB102" s="11"/>
      <c r="ABC102" s="11"/>
      <c r="ABD102" s="11"/>
      <c r="ABE102" s="11"/>
      <c r="ABF102" s="11"/>
      <c r="ABG102" s="11"/>
      <c r="ABH102" s="11">
        <v>3000</v>
      </c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>
        <v>75878</v>
      </c>
      <c r="ABZ102" s="11"/>
      <c r="ACA102" s="11"/>
      <c r="ACB102" s="11"/>
      <c r="ACC102" s="11"/>
      <c r="ACD102" s="11"/>
      <c r="ACE102" s="11">
        <v>23420</v>
      </c>
      <c r="ACF102" s="11"/>
      <c r="ACG102" s="11"/>
      <c r="ACH102" s="11"/>
      <c r="ACI102" s="11"/>
      <c r="ACJ102" s="11">
        <v>857315</v>
      </c>
      <c r="ACK102" s="11"/>
      <c r="ACL102" s="11"/>
      <c r="ACM102" s="11"/>
      <c r="ACN102" s="11"/>
      <c r="ACO102" s="11"/>
      <c r="ACP102" s="11"/>
      <c r="ACQ102" s="11">
        <v>0</v>
      </c>
      <c r="ACR102" s="11">
        <v>0</v>
      </c>
      <c r="ACS102" s="11"/>
      <c r="ACT102" s="11"/>
      <c r="ACU102" s="11"/>
      <c r="ACV102" s="11"/>
      <c r="ACW102" s="11"/>
      <c r="ACX102" s="11">
        <v>0</v>
      </c>
      <c r="ACY102" s="11"/>
      <c r="ACZ102" s="11"/>
      <c r="ADA102" s="11"/>
      <c r="ADB102" s="11"/>
      <c r="ADC102" s="11"/>
      <c r="ADD102" s="11"/>
      <c r="ADE102" s="11"/>
      <c r="ADF102" s="11"/>
      <c r="ADG102" s="11">
        <v>0</v>
      </c>
      <c r="ADH102" s="11">
        <v>0</v>
      </c>
      <c r="ADI102" s="11"/>
      <c r="ADJ102" s="11"/>
      <c r="ADK102" s="11"/>
      <c r="ADL102" s="11"/>
      <c r="ADM102" s="11"/>
      <c r="ADN102" s="11"/>
      <c r="ADO102" s="11"/>
      <c r="ADP102" s="11">
        <v>0</v>
      </c>
      <c r="ADQ102" s="11"/>
      <c r="ADR102" s="11"/>
      <c r="ADS102" s="11"/>
      <c r="ADT102" s="11">
        <v>0</v>
      </c>
      <c r="ADU102" s="11"/>
      <c r="ADV102" s="11"/>
      <c r="ADW102" s="11"/>
      <c r="ADX102" s="11"/>
      <c r="ADY102" s="11"/>
      <c r="ADZ102" s="11">
        <v>0</v>
      </c>
      <c r="AEA102" s="11">
        <v>33780</v>
      </c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>
        <v>0</v>
      </c>
      <c r="AEU102" s="11"/>
      <c r="AEV102" s="11"/>
      <c r="AEW102" s="11"/>
      <c r="AEX102" s="11"/>
      <c r="AEY102" s="11"/>
      <c r="AEZ102" s="11">
        <v>0</v>
      </c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>
        <v>0</v>
      </c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>
        <v>0</v>
      </c>
      <c r="AGO102" s="11"/>
      <c r="AGP102" s="11"/>
      <c r="AGQ102" s="11"/>
      <c r="AGR102" s="11"/>
      <c r="AGS102" s="11"/>
      <c r="AGT102" s="11"/>
      <c r="AGU102" s="11"/>
      <c r="AGV102" s="11">
        <v>0</v>
      </c>
      <c r="AGW102" s="11">
        <v>0</v>
      </c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>
        <v>0</v>
      </c>
      <c r="AHN102" s="11"/>
      <c r="AHO102" s="11"/>
      <c r="AHP102" s="11"/>
      <c r="AHQ102" s="11"/>
      <c r="AHR102" s="11"/>
      <c r="AHS102" s="11"/>
      <c r="AHT102" s="11">
        <v>3264081.42</v>
      </c>
      <c r="AHV102" s="269" t="s">
        <v>6278</v>
      </c>
      <c r="AHW102" s="269" t="s">
        <v>6145</v>
      </c>
      <c r="AHX102" s="269" t="s">
        <v>6146</v>
      </c>
    </row>
    <row r="103" spans="1:908" x14ac:dyDescent="0.7">
      <c r="A103" s="6" t="s">
        <v>6278</v>
      </c>
      <c r="B103" s="6" t="s">
        <v>6149</v>
      </c>
      <c r="C103" s="6" t="s">
        <v>6150</v>
      </c>
      <c r="D103" s="11">
        <v>0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>
        <v>52176.41</v>
      </c>
      <c r="W103" s="11">
        <v>0</v>
      </c>
      <c r="X103" s="11"/>
      <c r="Y103" s="11"/>
      <c r="Z103" s="11"/>
      <c r="AA103" s="11"/>
      <c r="AB103" s="11"/>
      <c r="AC103" s="11">
        <v>0</v>
      </c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>
        <v>44.44</v>
      </c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>
        <v>0</v>
      </c>
      <c r="BJ103" s="11">
        <v>0</v>
      </c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>
        <v>0</v>
      </c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>
        <v>0</v>
      </c>
      <c r="CU103" s="11"/>
      <c r="CV103" s="11"/>
      <c r="CW103" s="11"/>
      <c r="CX103" s="11"/>
      <c r="CY103" s="11"/>
      <c r="CZ103" s="11"/>
      <c r="DA103" s="11"/>
      <c r="DB103" s="11">
        <v>0</v>
      </c>
      <c r="DC103" s="11">
        <v>0</v>
      </c>
      <c r="DD103" s="11"/>
      <c r="DE103" s="11"/>
      <c r="DF103" s="11"/>
      <c r="DG103" s="11"/>
      <c r="DH103" s="11"/>
      <c r="DI103" s="11"/>
      <c r="DJ103" s="11"/>
      <c r="DK103" s="11">
        <v>0</v>
      </c>
      <c r="DL103" s="11"/>
      <c r="DM103" s="11"/>
      <c r="DN103" s="11"/>
      <c r="DO103" s="11"/>
      <c r="DP103" s="11"/>
      <c r="DQ103" s="11"/>
      <c r="DR103" s="11"/>
      <c r="DS103" s="11"/>
      <c r="DT103" s="11">
        <v>0</v>
      </c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>
        <v>0</v>
      </c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>
        <v>526165.11</v>
      </c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>
        <v>0</v>
      </c>
      <c r="HD103" s="11"/>
      <c r="HE103" s="11"/>
      <c r="HF103" s="11"/>
      <c r="HG103" s="11"/>
      <c r="HH103" s="11"/>
      <c r="HI103" s="11"/>
      <c r="HJ103" s="11">
        <v>17809.810000000001</v>
      </c>
      <c r="HK103" s="11"/>
      <c r="HL103" s="11"/>
      <c r="HM103" s="11"/>
      <c r="HN103" s="11"/>
      <c r="HO103" s="11"/>
      <c r="HP103" s="11"/>
      <c r="HQ103" s="11"/>
      <c r="HR103" s="11"/>
      <c r="HS103" s="11">
        <v>-3.8999999999999998E-3</v>
      </c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>
        <v>0</v>
      </c>
      <c r="JG103" s="11">
        <v>175360.84</v>
      </c>
      <c r="JH103" s="11"/>
      <c r="JI103" s="11"/>
      <c r="JJ103" s="11"/>
      <c r="JK103" s="11"/>
      <c r="JL103" s="11">
        <v>0</v>
      </c>
      <c r="JM103" s="11"/>
      <c r="JN103" s="11"/>
      <c r="JO103" s="11"/>
      <c r="JP103" s="11"/>
      <c r="JQ103" s="11"/>
      <c r="JR103" s="11"/>
      <c r="JS103" s="11">
        <v>0</v>
      </c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>
        <v>0</v>
      </c>
      <c r="LJ103" s="11">
        <v>0</v>
      </c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>
        <v>0</v>
      </c>
      <c r="LW103" s="11">
        <v>0</v>
      </c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>
        <v>0</v>
      </c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>
        <v>0</v>
      </c>
      <c r="NI103" s="11"/>
      <c r="NJ103" s="11"/>
      <c r="NK103" s="11"/>
      <c r="NL103" s="11"/>
      <c r="NM103" s="11"/>
      <c r="NN103" s="11"/>
      <c r="NO103" s="11"/>
      <c r="NP103" s="11"/>
      <c r="NQ103" s="11">
        <v>168581.4</v>
      </c>
      <c r="NR103" s="11"/>
      <c r="NS103" s="11"/>
      <c r="NT103" s="11"/>
      <c r="NU103" s="11"/>
      <c r="NV103" s="11"/>
      <c r="NW103" s="11"/>
      <c r="NX103" s="11">
        <v>0</v>
      </c>
      <c r="NY103" s="11"/>
      <c r="NZ103" s="11"/>
      <c r="OA103" s="11"/>
      <c r="OB103" s="11"/>
      <c r="OC103" s="11"/>
      <c r="OD103" s="11"/>
      <c r="OE103" s="11"/>
      <c r="OF103" s="11"/>
      <c r="OG103" s="11"/>
      <c r="OH103" s="11">
        <v>0</v>
      </c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>
        <v>769643.83</v>
      </c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>
        <v>165709.72</v>
      </c>
      <c r="PV103" s="11">
        <v>2547.6999999999998</v>
      </c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>
        <v>66008.240000000005</v>
      </c>
      <c r="QP103" s="11"/>
      <c r="QQ103" s="11"/>
      <c r="QR103" s="11"/>
      <c r="QS103" s="11">
        <v>14185.23</v>
      </c>
      <c r="QT103" s="11"/>
      <c r="QU103" s="11">
        <v>146881.99</v>
      </c>
      <c r="QV103" s="11"/>
      <c r="QW103" s="11"/>
      <c r="QX103" s="11"/>
      <c r="QY103" s="11"/>
      <c r="QZ103" s="11"/>
      <c r="RA103" s="11"/>
      <c r="RB103" s="11"/>
      <c r="RC103" s="11">
        <v>72949.53</v>
      </c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>
        <v>968213.49</v>
      </c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>
        <v>0</v>
      </c>
      <c r="UC103" s="11"/>
      <c r="UD103" s="11"/>
      <c r="UE103" s="11"/>
      <c r="UF103" s="11"/>
      <c r="UG103" s="11"/>
      <c r="UH103" s="11"/>
      <c r="UI103" s="11"/>
      <c r="UJ103" s="11"/>
      <c r="UK103" s="11">
        <v>0</v>
      </c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>
        <v>0</v>
      </c>
      <c r="VN103" s="11"/>
      <c r="VO103" s="11"/>
      <c r="VP103" s="11"/>
      <c r="VQ103" s="11"/>
      <c r="VR103" s="11">
        <v>51572.07</v>
      </c>
      <c r="VS103" s="11"/>
      <c r="VT103" s="11"/>
      <c r="VU103" s="11"/>
      <c r="VV103" s="11">
        <v>0</v>
      </c>
      <c r="VW103" s="11"/>
      <c r="VX103" s="11"/>
      <c r="VY103" s="11"/>
      <c r="VZ103" s="11"/>
      <c r="WA103" s="11"/>
      <c r="WB103" s="11">
        <v>1432207.83</v>
      </c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>
        <v>0</v>
      </c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>
        <v>0</v>
      </c>
      <c r="YX103" s="11"/>
      <c r="YY103" s="11"/>
      <c r="YZ103" s="11"/>
      <c r="ZA103" s="11"/>
      <c r="ZB103" s="11"/>
      <c r="ZC103" s="11"/>
      <c r="ZD103" s="11"/>
      <c r="ZE103" s="11"/>
      <c r="ZF103" s="11">
        <v>44483.86</v>
      </c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>
        <v>113537.92</v>
      </c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>
        <v>0</v>
      </c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>
        <v>47200.25</v>
      </c>
      <c r="ABZ103" s="11"/>
      <c r="ACA103" s="11"/>
      <c r="ACB103" s="11"/>
      <c r="ACC103" s="11"/>
      <c r="ACD103" s="11"/>
      <c r="ACE103" s="11">
        <v>15255.05</v>
      </c>
      <c r="ACF103" s="11"/>
      <c r="ACG103" s="11"/>
      <c r="ACH103" s="11"/>
      <c r="ACI103" s="11"/>
      <c r="ACJ103" s="11">
        <v>28416.07</v>
      </c>
      <c r="ACK103" s="11"/>
      <c r="ACL103" s="11"/>
      <c r="ACM103" s="11"/>
      <c r="ACN103" s="11">
        <v>32525.39</v>
      </c>
      <c r="ACO103" s="11"/>
      <c r="ACP103" s="11">
        <v>55676.71</v>
      </c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>
        <v>732866.46</v>
      </c>
      <c r="ADQ103" s="11"/>
      <c r="ADR103" s="11"/>
      <c r="ADS103" s="11"/>
      <c r="ADT103" s="11">
        <v>0</v>
      </c>
      <c r="ADU103" s="11"/>
      <c r="ADV103" s="11"/>
      <c r="ADW103" s="11"/>
      <c r="ADX103" s="11"/>
      <c r="ADY103" s="11"/>
      <c r="ADZ103" s="11">
        <v>0</v>
      </c>
      <c r="AEA103" s="11">
        <v>180358.82</v>
      </c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>
        <v>0</v>
      </c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>
        <v>0</v>
      </c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>
        <v>0</v>
      </c>
      <c r="AGO103" s="11"/>
      <c r="AGP103" s="11"/>
      <c r="AGQ103" s="11"/>
      <c r="AGR103" s="11"/>
      <c r="AGS103" s="11"/>
      <c r="AGT103" s="11"/>
      <c r="AGU103" s="11"/>
      <c r="AGV103" s="11">
        <v>0</v>
      </c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>
        <v>5880378.1661</v>
      </c>
      <c r="AHV103" s="269" t="s">
        <v>6278</v>
      </c>
      <c r="AHW103" s="269" t="s">
        <v>6147</v>
      </c>
      <c r="AHX103" s="269" t="s">
        <v>6148</v>
      </c>
    </row>
    <row r="104" spans="1:908" x14ac:dyDescent="0.7">
      <c r="A104" s="6" t="s">
        <v>6278</v>
      </c>
      <c r="B104" s="6" t="s">
        <v>6490</v>
      </c>
      <c r="C104" s="6" t="s">
        <v>6491</v>
      </c>
      <c r="D104" s="11"/>
      <c r="E104" s="11">
        <v>10796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>
        <v>887362.99</v>
      </c>
      <c r="AE104" s="11"/>
      <c r="AF104" s="11">
        <v>1162403</v>
      </c>
      <c r="AG104" s="11"/>
      <c r="AH104" s="11">
        <v>2212869.7400000002</v>
      </c>
      <c r="AI104" s="11"/>
      <c r="AJ104" s="11"/>
      <c r="AK104" s="11"/>
      <c r="AL104" s="11"/>
      <c r="AM104" s="11"/>
      <c r="AN104" s="11">
        <v>432</v>
      </c>
      <c r="AO104" s="11"/>
      <c r="AP104" s="11">
        <v>97.8</v>
      </c>
      <c r="AQ104" s="11"/>
      <c r="AR104" s="11"/>
      <c r="AS104" s="11"/>
      <c r="AT104" s="11"/>
      <c r="AU104" s="11"/>
      <c r="AV104" s="11"/>
      <c r="AW104" s="11"/>
      <c r="AX104" s="11"/>
      <c r="AY104" s="11"/>
      <c r="AZ104" s="11">
        <v>40000</v>
      </c>
      <c r="BA104" s="11"/>
      <c r="BB104" s="11"/>
      <c r="BC104" s="11"/>
      <c r="BD104" s="11"/>
      <c r="BE104" s="11"/>
      <c r="BF104" s="11"/>
      <c r="BG104" s="11"/>
      <c r="BH104" s="11"/>
      <c r="BI104" s="11">
        <v>37280</v>
      </c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>
        <v>0</v>
      </c>
      <c r="CH104" s="11"/>
      <c r="CI104" s="11"/>
      <c r="CJ104" s="11"/>
      <c r="CK104" s="11"/>
      <c r="CL104" s="11"/>
      <c r="CM104" s="11"/>
      <c r="CN104" s="11">
        <v>61800</v>
      </c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>
        <v>0</v>
      </c>
      <c r="DN104" s="11"/>
      <c r="DO104" s="11"/>
      <c r="DP104" s="11"/>
      <c r="DQ104" s="11"/>
      <c r="DR104" s="11">
        <v>135360.5</v>
      </c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>
        <v>30755</v>
      </c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>
        <v>0</v>
      </c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>
        <v>315136</v>
      </c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>
        <v>408766.71</v>
      </c>
      <c r="GF104" s="11"/>
      <c r="GG104" s="11"/>
      <c r="GH104" s="11"/>
      <c r="GI104" s="11"/>
      <c r="GJ104" s="11"/>
      <c r="GK104" s="11">
        <v>18480</v>
      </c>
      <c r="GL104" s="11"/>
      <c r="GM104" s="11">
        <v>0</v>
      </c>
      <c r="GN104" s="11">
        <v>0</v>
      </c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>
        <v>0</v>
      </c>
      <c r="IG104" s="11"/>
      <c r="IH104" s="11"/>
      <c r="II104" s="11"/>
      <c r="IJ104" s="11"/>
      <c r="IK104" s="11">
        <v>0</v>
      </c>
      <c r="IL104" s="11"/>
      <c r="IM104" s="11"/>
      <c r="IN104" s="11"/>
      <c r="IO104" s="11">
        <v>86000</v>
      </c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>
        <v>48430</v>
      </c>
      <c r="JI104" s="11"/>
      <c r="JJ104" s="11"/>
      <c r="JK104" s="11"/>
      <c r="JL104" s="11">
        <v>132967.5</v>
      </c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>
        <v>396702.5</v>
      </c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>
        <v>333955</v>
      </c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>
        <v>44554</v>
      </c>
      <c r="MQ104" s="11">
        <v>3000</v>
      </c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>
        <v>5380677</v>
      </c>
      <c r="NF104" s="11"/>
      <c r="NG104" s="11"/>
      <c r="NH104" s="11">
        <v>630</v>
      </c>
      <c r="NI104" s="11"/>
      <c r="NJ104" s="11"/>
      <c r="NK104" s="11"/>
      <c r="NL104" s="11"/>
      <c r="NM104" s="11"/>
      <c r="NN104" s="11"/>
      <c r="NO104" s="11"/>
      <c r="NP104" s="11"/>
      <c r="NQ104" s="11">
        <v>47562</v>
      </c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>
        <v>263894</v>
      </c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>
        <v>26160</v>
      </c>
      <c r="OS104" s="11"/>
      <c r="OT104" s="11">
        <v>24482</v>
      </c>
      <c r="OU104" s="11">
        <v>7460.6</v>
      </c>
      <c r="OV104" s="11"/>
      <c r="OW104" s="11"/>
      <c r="OX104" s="11"/>
      <c r="OY104" s="11"/>
      <c r="OZ104" s="11">
        <v>0</v>
      </c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>
        <v>0</v>
      </c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>
        <v>0</v>
      </c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>
        <v>19885</v>
      </c>
      <c r="SC104" s="11"/>
      <c r="SD104" s="11"/>
      <c r="SE104" s="11"/>
      <c r="SF104" s="11"/>
      <c r="SG104" s="11">
        <v>286531.23</v>
      </c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>
        <v>37320</v>
      </c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>
        <v>2050</v>
      </c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>
        <v>87741</v>
      </c>
      <c r="WD104" s="11"/>
      <c r="WE104" s="11"/>
      <c r="WF104" s="11"/>
      <c r="WG104" s="11"/>
      <c r="WH104" s="11"/>
      <c r="WI104" s="11"/>
      <c r="WJ104" s="11">
        <v>12156</v>
      </c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>
        <v>0</v>
      </c>
      <c r="XI104" s="11"/>
      <c r="XJ104" s="11"/>
      <c r="XK104" s="11"/>
      <c r="XL104" s="11"/>
      <c r="XM104" s="11"/>
      <c r="XN104" s="11"/>
      <c r="XO104" s="11"/>
      <c r="XP104" s="11">
        <v>0</v>
      </c>
      <c r="XQ104" s="11"/>
      <c r="XR104" s="11"/>
      <c r="XS104" s="11"/>
      <c r="XT104" s="11"/>
      <c r="XU104" s="11"/>
      <c r="XV104" s="11">
        <v>0</v>
      </c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>
        <v>0</v>
      </c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>
        <v>-539300</v>
      </c>
      <c r="ABG104" s="11"/>
      <c r="ABH104" s="11"/>
      <c r="ABI104" s="11"/>
      <c r="ABJ104" s="11">
        <v>11520</v>
      </c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>
        <v>65063</v>
      </c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>
        <v>0</v>
      </c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>
        <v>5000</v>
      </c>
      <c r="AEH104" s="11"/>
      <c r="AEI104" s="11"/>
      <c r="AEJ104" s="11"/>
      <c r="AEK104" s="11">
        <v>698506.07</v>
      </c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>
        <v>0</v>
      </c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>
        <v>443028.69</v>
      </c>
      <c r="AFW104" s="11"/>
      <c r="AFX104" s="11"/>
      <c r="AFY104" s="11"/>
      <c r="AFZ104" s="11"/>
      <c r="AGA104" s="11"/>
      <c r="AGB104" s="11"/>
      <c r="AGC104" s="11">
        <v>0</v>
      </c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>
        <v>163350</v>
      </c>
      <c r="AGV104" s="11">
        <v>9287.5</v>
      </c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>
        <v>13420152.83</v>
      </c>
      <c r="AHV104" s="269" t="s">
        <v>6278</v>
      </c>
      <c r="AHW104" s="269" t="s">
        <v>6149</v>
      </c>
      <c r="AHX104" s="269" t="s">
        <v>6150</v>
      </c>
    </row>
    <row r="105" spans="1:908" x14ac:dyDescent="0.7">
      <c r="A105" s="6" t="s">
        <v>6278</v>
      </c>
      <c r="B105" s="6" t="s">
        <v>6492</v>
      </c>
      <c r="C105" s="6" t="s">
        <v>6158</v>
      </c>
      <c r="D105" s="11"/>
      <c r="E105" s="11">
        <v>183976</v>
      </c>
      <c r="F105" s="11"/>
      <c r="G105" s="11"/>
      <c r="H105" s="11">
        <v>388930</v>
      </c>
      <c r="I105" s="11"/>
      <c r="J105" s="11"/>
      <c r="K105" s="11"/>
      <c r="L105" s="11"/>
      <c r="M105" s="11"/>
      <c r="N105" s="11"/>
      <c r="O105" s="11"/>
      <c r="P105" s="11">
        <v>14800</v>
      </c>
      <c r="Q105" s="11"/>
      <c r="R105" s="11">
        <v>59839</v>
      </c>
      <c r="S105" s="11"/>
      <c r="T105" s="11"/>
      <c r="U105" s="11"/>
      <c r="V105" s="11"/>
      <c r="W105" s="11">
        <v>351683</v>
      </c>
      <c r="X105" s="11"/>
      <c r="Y105" s="11"/>
      <c r="Z105" s="11">
        <v>157199</v>
      </c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>
        <v>149165.67000000001</v>
      </c>
      <c r="AL105" s="11"/>
      <c r="AM105" s="11"/>
      <c r="AN105" s="11"/>
      <c r="AO105" s="11"/>
      <c r="AP105" s="11"/>
      <c r="AQ105" s="11"/>
      <c r="AR105" s="11"/>
      <c r="AS105" s="11"/>
      <c r="AT105" s="11">
        <v>1874107</v>
      </c>
      <c r="AU105" s="11"/>
      <c r="AV105" s="11"/>
      <c r="AW105" s="11"/>
      <c r="AX105" s="11">
        <v>33705</v>
      </c>
      <c r="AY105" s="11"/>
      <c r="AZ105" s="11"/>
      <c r="BA105" s="11"/>
      <c r="BB105" s="11">
        <v>8000</v>
      </c>
      <c r="BC105" s="11"/>
      <c r="BD105" s="11"/>
      <c r="BE105" s="11"/>
      <c r="BF105" s="11"/>
      <c r="BG105" s="11">
        <v>9000</v>
      </c>
      <c r="BH105" s="11"/>
      <c r="BI105" s="11"/>
      <c r="BJ105" s="11"/>
      <c r="BK105" s="11"/>
      <c r="BL105" s="11"/>
      <c r="BM105" s="11"/>
      <c r="BN105" s="11"/>
      <c r="BO105" s="11">
        <v>142771.25</v>
      </c>
      <c r="BP105" s="11"/>
      <c r="BQ105" s="11"/>
      <c r="BR105" s="11"/>
      <c r="BS105" s="11"/>
      <c r="BT105" s="11"/>
      <c r="BU105" s="11"/>
      <c r="BV105" s="11"/>
      <c r="BW105" s="11"/>
      <c r="BX105" s="11"/>
      <c r="BY105" s="11">
        <v>104302</v>
      </c>
      <c r="BZ105" s="11"/>
      <c r="CA105" s="11"/>
      <c r="CB105" s="11"/>
      <c r="CC105" s="11"/>
      <c r="CD105" s="11">
        <v>0</v>
      </c>
      <c r="CE105" s="11"/>
      <c r="CF105" s="11"/>
      <c r="CG105" s="11">
        <v>1119066.06</v>
      </c>
      <c r="CH105" s="11">
        <v>166230.5</v>
      </c>
      <c r="CI105" s="11">
        <v>508932.5</v>
      </c>
      <c r="CJ105" s="11">
        <v>268610</v>
      </c>
      <c r="CK105" s="11">
        <v>30240</v>
      </c>
      <c r="CL105" s="11"/>
      <c r="CM105" s="11"/>
      <c r="CN105" s="11">
        <v>237075</v>
      </c>
      <c r="CO105" s="11"/>
      <c r="CP105" s="11"/>
      <c r="CQ105" s="11">
        <v>162939.5</v>
      </c>
      <c r="CR105" s="11">
        <v>48180</v>
      </c>
      <c r="CS105" s="11">
        <v>58785</v>
      </c>
      <c r="CT105" s="11">
        <v>97950</v>
      </c>
      <c r="CU105" s="11"/>
      <c r="CV105" s="11"/>
      <c r="CW105" s="11">
        <v>465694.5</v>
      </c>
      <c r="CX105" s="11"/>
      <c r="CY105" s="11"/>
      <c r="CZ105" s="11">
        <v>88200</v>
      </c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>
        <v>277634</v>
      </c>
      <c r="DN105" s="11"/>
      <c r="DO105" s="11"/>
      <c r="DP105" s="11"/>
      <c r="DQ105" s="11">
        <v>680194.34</v>
      </c>
      <c r="DR105" s="11"/>
      <c r="DS105" s="11">
        <v>211874</v>
      </c>
      <c r="DT105" s="11"/>
      <c r="DU105" s="11"/>
      <c r="DV105" s="11">
        <v>105285</v>
      </c>
      <c r="DW105" s="11"/>
      <c r="DX105" s="11"/>
      <c r="DY105" s="11"/>
      <c r="DZ105" s="11"/>
      <c r="EA105" s="11"/>
      <c r="EB105" s="11"/>
      <c r="EC105" s="11"/>
      <c r="ED105" s="11"/>
      <c r="EE105" s="11">
        <v>649510</v>
      </c>
      <c r="EF105" s="11"/>
      <c r="EG105" s="11"/>
      <c r="EH105" s="11"/>
      <c r="EI105" s="11">
        <v>88211</v>
      </c>
      <c r="EJ105" s="11">
        <v>167647.66</v>
      </c>
      <c r="EK105" s="11"/>
      <c r="EL105" s="11"/>
      <c r="EM105" s="11">
        <v>30000</v>
      </c>
      <c r="EN105" s="11"/>
      <c r="EO105" s="11"/>
      <c r="EP105" s="11"/>
      <c r="EQ105" s="11"/>
      <c r="ER105" s="11"/>
      <c r="ES105" s="11"/>
      <c r="ET105" s="11">
        <v>249226</v>
      </c>
      <c r="EU105" s="11"/>
      <c r="EV105" s="11">
        <v>0</v>
      </c>
      <c r="EW105" s="11"/>
      <c r="EX105" s="11"/>
      <c r="EY105" s="11"/>
      <c r="EZ105" s="11"/>
      <c r="FA105" s="11"/>
      <c r="FB105" s="11"/>
      <c r="FC105" s="11"/>
      <c r="FD105" s="11">
        <v>203660</v>
      </c>
      <c r="FE105" s="11">
        <v>70136</v>
      </c>
      <c r="FF105" s="11"/>
      <c r="FG105" s="11"/>
      <c r="FH105" s="11"/>
      <c r="FI105" s="11"/>
      <c r="FJ105" s="11"/>
      <c r="FK105" s="11"/>
      <c r="FL105" s="11">
        <v>12600</v>
      </c>
      <c r="FM105" s="11"/>
      <c r="FN105" s="11"/>
      <c r="FO105" s="11"/>
      <c r="FP105" s="11"/>
      <c r="FQ105" s="11"/>
      <c r="FR105" s="11"/>
      <c r="FS105" s="11"/>
      <c r="FT105" s="11"/>
      <c r="FU105" s="11"/>
      <c r="FV105" s="11">
        <v>140740</v>
      </c>
      <c r="FW105" s="11"/>
      <c r="FX105" s="11">
        <v>310451</v>
      </c>
      <c r="FY105" s="11">
        <v>255527.67</v>
      </c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>
        <v>8000</v>
      </c>
      <c r="GT105" s="11"/>
      <c r="GU105" s="11"/>
      <c r="GV105" s="11"/>
      <c r="GW105" s="11">
        <v>183199</v>
      </c>
      <c r="GX105" s="11"/>
      <c r="GY105" s="11"/>
      <c r="GZ105" s="11"/>
      <c r="HA105" s="11"/>
      <c r="HB105" s="11"/>
      <c r="HC105" s="11"/>
      <c r="HD105" s="11"/>
      <c r="HE105" s="11"/>
      <c r="HF105" s="11"/>
      <c r="HG105" s="11">
        <v>68040</v>
      </c>
      <c r="HH105" s="11"/>
      <c r="HI105" s="11">
        <v>87100</v>
      </c>
      <c r="HJ105" s="11">
        <v>2829814</v>
      </c>
      <c r="HK105" s="11"/>
      <c r="HL105" s="11"/>
      <c r="HM105" s="11"/>
      <c r="HN105" s="11">
        <v>320000</v>
      </c>
      <c r="HO105" s="11"/>
      <c r="HP105" s="11"/>
      <c r="HQ105" s="11"/>
      <c r="HR105" s="11"/>
      <c r="HS105" s="11"/>
      <c r="HT105" s="11"/>
      <c r="HU105" s="11">
        <v>24179</v>
      </c>
      <c r="HV105" s="11"/>
      <c r="HW105" s="11"/>
      <c r="HX105" s="11">
        <v>64775</v>
      </c>
      <c r="HY105" s="11">
        <v>301304</v>
      </c>
      <c r="HZ105" s="11">
        <v>41435</v>
      </c>
      <c r="IA105" s="11"/>
      <c r="IB105" s="11"/>
      <c r="IC105" s="11"/>
      <c r="ID105" s="11"/>
      <c r="IE105" s="11"/>
      <c r="IF105" s="11">
        <v>458295</v>
      </c>
      <c r="IG105" s="11"/>
      <c r="IH105" s="11">
        <v>96287</v>
      </c>
      <c r="II105" s="11"/>
      <c r="IJ105" s="11"/>
      <c r="IK105" s="11"/>
      <c r="IL105" s="11"/>
      <c r="IM105" s="11"/>
      <c r="IN105" s="11"/>
      <c r="IO105" s="11"/>
      <c r="IP105" s="11"/>
      <c r="IQ105" s="11"/>
      <c r="IR105" s="11">
        <v>0</v>
      </c>
      <c r="IS105" s="11"/>
      <c r="IT105" s="11"/>
      <c r="IU105" s="11">
        <v>0</v>
      </c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>
        <v>869705</v>
      </c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>
        <v>112350</v>
      </c>
      <c r="KC105" s="11"/>
      <c r="KD105" s="11"/>
      <c r="KE105" s="11">
        <v>89820</v>
      </c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>
        <v>1781580</v>
      </c>
      <c r="KS105" s="11"/>
      <c r="KT105" s="11"/>
      <c r="KU105" s="11">
        <v>510495</v>
      </c>
      <c r="KV105" s="11"/>
      <c r="KW105" s="11">
        <v>223680</v>
      </c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>
        <v>0</v>
      </c>
      <c r="LS105" s="11"/>
      <c r="LT105" s="11"/>
      <c r="LU105" s="11"/>
      <c r="LV105" s="11"/>
      <c r="LW105" s="11">
        <v>421665</v>
      </c>
      <c r="LX105" s="11"/>
      <c r="LY105" s="11">
        <v>0</v>
      </c>
      <c r="LZ105" s="11">
        <v>146553</v>
      </c>
      <c r="MA105" s="11">
        <v>223478</v>
      </c>
      <c r="MB105" s="11">
        <v>70645</v>
      </c>
      <c r="MC105" s="11"/>
      <c r="MD105" s="11"/>
      <c r="ME105" s="11">
        <v>203925</v>
      </c>
      <c r="MF105" s="11"/>
      <c r="MG105" s="11"/>
      <c r="MH105" s="11"/>
      <c r="MI105" s="11">
        <v>162860</v>
      </c>
      <c r="MJ105" s="11"/>
      <c r="MK105" s="11"/>
      <c r="ML105" s="11"/>
      <c r="MM105" s="11"/>
      <c r="MN105" s="11"/>
      <c r="MO105" s="11"/>
      <c r="MP105" s="11">
        <v>0</v>
      </c>
      <c r="MQ105" s="11"/>
      <c r="MR105" s="11">
        <v>6400</v>
      </c>
      <c r="MS105" s="11"/>
      <c r="MT105" s="11"/>
      <c r="MU105" s="11"/>
      <c r="MV105" s="11"/>
      <c r="MW105" s="11">
        <v>582740</v>
      </c>
      <c r="MX105" s="11">
        <v>458913.07</v>
      </c>
      <c r="MY105" s="11"/>
      <c r="MZ105" s="11">
        <v>429602</v>
      </c>
      <c r="NA105" s="11"/>
      <c r="NB105" s="11">
        <v>102200</v>
      </c>
      <c r="NC105" s="11"/>
      <c r="ND105" s="11"/>
      <c r="NE105" s="11"/>
      <c r="NF105" s="11"/>
      <c r="NG105" s="11"/>
      <c r="NH105" s="11"/>
      <c r="NI105" s="11"/>
      <c r="NJ105" s="11">
        <v>223588</v>
      </c>
      <c r="NK105" s="11"/>
      <c r="NL105" s="11"/>
      <c r="NM105" s="11"/>
      <c r="NN105" s="11"/>
      <c r="NO105" s="11"/>
      <c r="NP105" s="11"/>
      <c r="NQ105" s="11">
        <v>535100</v>
      </c>
      <c r="NR105" s="11"/>
      <c r="NS105" s="11"/>
      <c r="NT105" s="11"/>
      <c r="NU105" s="11">
        <v>0</v>
      </c>
      <c r="NV105" s="11"/>
      <c r="NW105" s="11"/>
      <c r="NX105" s="11"/>
      <c r="NY105" s="11"/>
      <c r="NZ105" s="11">
        <v>104275</v>
      </c>
      <c r="OA105" s="11">
        <v>0</v>
      </c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>
        <v>930297</v>
      </c>
      <c r="OQ105" s="11"/>
      <c r="OR105" s="11">
        <v>152048</v>
      </c>
      <c r="OS105" s="11">
        <v>100000</v>
      </c>
      <c r="OT105" s="11"/>
      <c r="OU105" s="11"/>
      <c r="OV105" s="11"/>
      <c r="OW105" s="11"/>
      <c r="OX105" s="11"/>
      <c r="OY105" s="11"/>
      <c r="OZ105" s="11"/>
      <c r="PA105" s="11"/>
      <c r="PB105" s="11"/>
      <c r="PC105" s="11">
        <v>0</v>
      </c>
      <c r="PD105" s="11"/>
      <c r="PE105" s="11"/>
      <c r="PF105" s="11"/>
      <c r="PG105" s="11"/>
      <c r="PH105" s="11"/>
      <c r="PI105" s="11"/>
      <c r="PJ105" s="11"/>
      <c r="PK105" s="11">
        <v>169268</v>
      </c>
      <c r="PL105" s="11"/>
      <c r="PM105" s="11"/>
      <c r="PN105" s="11"/>
      <c r="PO105" s="11"/>
      <c r="PP105" s="11"/>
      <c r="PQ105" s="11"/>
      <c r="PR105" s="11"/>
      <c r="PS105" s="11"/>
      <c r="PT105" s="11">
        <v>507407</v>
      </c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>
        <v>0</v>
      </c>
      <c r="QO105" s="11"/>
      <c r="QP105" s="11"/>
      <c r="QQ105" s="11"/>
      <c r="QR105" s="11"/>
      <c r="QS105" s="11">
        <v>94938</v>
      </c>
      <c r="QT105" s="11"/>
      <c r="QU105" s="11"/>
      <c r="QV105" s="11">
        <v>0</v>
      </c>
      <c r="QW105" s="11"/>
      <c r="QX105" s="11">
        <v>124110</v>
      </c>
      <c r="QY105" s="11">
        <v>314020</v>
      </c>
      <c r="QZ105" s="11"/>
      <c r="RA105" s="11">
        <v>293300</v>
      </c>
      <c r="RB105" s="11"/>
      <c r="RC105" s="11"/>
      <c r="RD105" s="11"/>
      <c r="RE105" s="11">
        <v>162375</v>
      </c>
      <c r="RF105" s="11">
        <v>311015</v>
      </c>
      <c r="RG105" s="11"/>
      <c r="RH105" s="11">
        <v>11000000</v>
      </c>
      <c r="RI105" s="11">
        <v>637528</v>
      </c>
      <c r="RJ105" s="11"/>
      <c r="RK105" s="11"/>
      <c r="RL105" s="11">
        <v>341655</v>
      </c>
      <c r="RM105" s="11">
        <v>291170</v>
      </c>
      <c r="RN105" s="11"/>
      <c r="RO105" s="11">
        <v>64446</v>
      </c>
      <c r="RP105" s="11"/>
      <c r="RQ105" s="11">
        <v>0</v>
      </c>
      <c r="RR105" s="11">
        <v>604150</v>
      </c>
      <c r="RS105" s="11"/>
      <c r="RT105" s="11"/>
      <c r="RU105" s="11"/>
      <c r="RV105" s="11"/>
      <c r="RW105" s="11">
        <v>99015</v>
      </c>
      <c r="RX105" s="11"/>
      <c r="RY105" s="11">
        <v>88620</v>
      </c>
      <c r="RZ105" s="11"/>
      <c r="SA105" s="11">
        <v>87227</v>
      </c>
      <c r="SB105" s="11">
        <v>63666.91</v>
      </c>
      <c r="SC105" s="11">
        <v>0</v>
      </c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>
        <v>1327023.6299999999</v>
      </c>
      <c r="SO105" s="11"/>
      <c r="SP105" s="11"/>
      <c r="SQ105" s="11"/>
      <c r="SR105" s="11"/>
      <c r="SS105" s="11"/>
      <c r="ST105" s="11"/>
      <c r="SU105" s="11"/>
      <c r="SV105" s="11"/>
      <c r="SW105" s="11">
        <v>119201</v>
      </c>
      <c r="SX105" s="11">
        <v>396105</v>
      </c>
      <c r="SY105" s="11">
        <v>305342</v>
      </c>
      <c r="SZ105" s="11">
        <v>198240</v>
      </c>
      <c r="TA105" s="11"/>
      <c r="TB105" s="11"/>
      <c r="TC105" s="11">
        <v>535750</v>
      </c>
      <c r="TD105" s="11">
        <v>214515</v>
      </c>
      <c r="TE105" s="11"/>
      <c r="TF105" s="11">
        <v>87318</v>
      </c>
      <c r="TG105" s="11">
        <v>301378</v>
      </c>
      <c r="TH105" s="11"/>
      <c r="TI105" s="11">
        <v>58800</v>
      </c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>
        <v>19800</v>
      </c>
      <c r="TW105" s="11"/>
      <c r="TX105" s="11">
        <v>77075</v>
      </c>
      <c r="TY105" s="11"/>
      <c r="TZ105" s="11"/>
      <c r="UA105" s="11"/>
      <c r="UB105" s="11">
        <v>1300000</v>
      </c>
      <c r="UC105" s="11">
        <v>400260</v>
      </c>
      <c r="UD105" s="11"/>
      <c r="UE105" s="11">
        <v>48860</v>
      </c>
      <c r="UF105" s="11"/>
      <c r="UG105" s="11"/>
      <c r="UH105" s="11"/>
      <c r="UI105" s="11"/>
      <c r="UJ105" s="11"/>
      <c r="UK105" s="11"/>
      <c r="UL105" s="11"/>
      <c r="UM105" s="11">
        <v>85136</v>
      </c>
      <c r="UN105" s="11">
        <v>85675</v>
      </c>
      <c r="UO105" s="11"/>
      <c r="UP105" s="11"/>
      <c r="UQ105" s="11">
        <v>1529260</v>
      </c>
      <c r="UR105" s="11"/>
      <c r="US105" s="11"/>
      <c r="UT105" s="11">
        <v>584421.64</v>
      </c>
      <c r="UU105" s="11"/>
      <c r="UV105" s="11"/>
      <c r="UW105" s="11"/>
      <c r="UX105" s="11"/>
      <c r="UY105" s="11"/>
      <c r="UZ105" s="11">
        <v>186309</v>
      </c>
      <c r="VA105" s="11"/>
      <c r="VB105" s="11"/>
      <c r="VC105" s="11">
        <v>140240</v>
      </c>
      <c r="VD105" s="11">
        <v>296320</v>
      </c>
      <c r="VE105" s="11">
        <v>95980</v>
      </c>
      <c r="VF105" s="11"/>
      <c r="VG105" s="11"/>
      <c r="VH105" s="11"/>
      <c r="VI105" s="11"/>
      <c r="VJ105" s="11"/>
      <c r="VK105" s="11"/>
      <c r="VL105" s="11"/>
      <c r="VM105" s="11"/>
      <c r="VN105" s="11">
        <v>26576</v>
      </c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>
        <v>232420.67</v>
      </c>
      <c r="WD105" s="11"/>
      <c r="WE105" s="11"/>
      <c r="WF105" s="11">
        <v>72030</v>
      </c>
      <c r="WG105" s="11"/>
      <c r="WH105" s="11">
        <v>30670</v>
      </c>
      <c r="WI105" s="11">
        <v>265808</v>
      </c>
      <c r="WJ105" s="11">
        <v>22443.5</v>
      </c>
      <c r="WK105" s="11">
        <v>119280</v>
      </c>
      <c r="WL105" s="11">
        <v>21473</v>
      </c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>
        <v>35640</v>
      </c>
      <c r="XD105" s="11"/>
      <c r="XE105" s="11">
        <v>87030</v>
      </c>
      <c r="XF105" s="11"/>
      <c r="XG105" s="11">
        <v>64470</v>
      </c>
      <c r="XH105" s="11"/>
      <c r="XI105" s="11">
        <v>278940</v>
      </c>
      <c r="XJ105" s="11">
        <v>313428.71000000002</v>
      </c>
      <c r="XK105" s="11"/>
      <c r="XL105" s="11">
        <v>847197.5</v>
      </c>
      <c r="XM105" s="11">
        <v>23023</v>
      </c>
      <c r="XN105" s="11">
        <v>105105</v>
      </c>
      <c r="XO105" s="11"/>
      <c r="XP105" s="11">
        <v>100500</v>
      </c>
      <c r="XQ105" s="11"/>
      <c r="XR105" s="11"/>
      <c r="XS105" s="11">
        <v>105600</v>
      </c>
      <c r="XT105" s="11"/>
      <c r="XU105" s="11"/>
      <c r="XV105" s="11"/>
      <c r="XW105" s="11"/>
      <c r="XX105" s="11"/>
      <c r="XY105" s="11"/>
      <c r="XZ105" s="11">
        <v>18600</v>
      </c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>
        <v>206345</v>
      </c>
      <c r="YL105" s="11"/>
      <c r="YM105" s="11"/>
      <c r="YN105" s="11"/>
      <c r="YO105" s="11"/>
      <c r="YP105" s="11">
        <v>274850</v>
      </c>
      <c r="YQ105" s="11"/>
      <c r="YR105" s="11"/>
      <c r="YS105" s="11"/>
      <c r="YT105" s="11"/>
      <c r="YU105" s="11"/>
      <c r="YV105" s="11"/>
      <c r="YW105" s="11"/>
      <c r="YX105" s="11">
        <v>179269</v>
      </c>
      <c r="YY105" s="11"/>
      <c r="YZ105" s="11"/>
      <c r="ZA105" s="11">
        <v>203110</v>
      </c>
      <c r="ZB105" s="11"/>
      <c r="ZC105" s="11"/>
      <c r="ZD105" s="11"/>
      <c r="ZE105" s="11">
        <v>94500</v>
      </c>
      <c r="ZF105" s="11"/>
      <c r="ZG105" s="11"/>
      <c r="ZH105" s="11"/>
      <c r="ZI105" s="11"/>
      <c r="ZJ105" s="11"/>
      <c r="ZK105" s="11"/>
      <c r="ZL105" s="11">
        <v>101250</v>
      </c>
      <c r="ZM105" s="11">
        <v>3360000</v>
      </c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>
        <v>0</v>
      </c>
      <c r="AAG105" s="11"/>
      <c r="AAH105" s="11"/>
      <c r="AAI105" s="11"/>
      <c r="AAJ105" s="11">
        <v>206340</v>
      </c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>
        <v>131850.78</v>
      </c>
      <c r="ABR105" s="11"/>
      <c r="ABS105" s="11"/>
      <c r="ABT105" s="11">
        <v>163310</v>
      </c>
      <c r="ABU105" s="11"/>
      <c r="ABV105" s="11">
        <v>54180</v>
      </c>
      <c r="ABW105" s="11">
        <v>200900</v>
      </c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>
        <v>774799.96</v>
      </c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>
        <v>6300</v>
      </c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>
        <v>0</v>
      </c>
      <c r="ADW105" s="11"/>
      <c r="ADX105" s="11"/>
      <c r="ADY105" s="11"/>
      <c r="ADZ105" s="11"/>
      <c r="AEA105" s="11"/>
      <c r="AEB105" s="11">
        <v>1835228.5</v>
      </c>
      <c r="AEC105" s="11"/>
      <c r="AED105" s="11"/>
      <c r="AEE105" s="11"/>
      <c r="AEF105" s="11"/>
      <c r="AEG105" s="11">
        <v>104904.68</v>
      </c>
      <c r="AEH105" s="11"/>
      <c r="AEI105" s="11"/>
      <c r="AEJ105" s="11"/>
      <c r="AEK105" s="11"/>
      <c r="AEL105" s="11"/>
      <c r="AEM105" s="11"/>
      <c r="AEN105" s="11">
        <v>248420</v>
      </c>
      <c r="AEO105" s="11"/>
      <c r="AEP105" s="11">
        <v>200174</v>
      </c>
      <c r="AEQ105" s="11"/>
      <c r="AER105" s="11"/>
      <c r="AES105" s="11"/>
      <c r="AET105" s="11"/>
      <c r="AEU105" s="11"/>
      <c r="AEV105" s="11">
        <v>334903</v>
      </c>
      <c r="AEW105" s="11"/>
      <c r="AEX105" s="11">
        <v>237890</v>
      </c>
      <c r="AEY105" s="11">
        <v>604000</v>
      </c>
      <c r="AEZ105" s="11"/>
      <c r="AFA105" s="11">
        <v>101900</v>
      </c>
      <c r="AFB105" s="11"/>
      <c r="AFC105" s="11">
        <v>288183</v>
      </c>
      <c r="AFD105" s="11"/>
      <c r="AFE105" s="11"/>
      <c r="AFF105" s="11"/>
      <c r="AFG105" s="11">
        <v>27759.01</v>
      </c>
      <c r="AFH105" s="11"/>
      <c r="AFI105" s="11">
        <v>253700</v>
      </c>
      <c r="AFJ105" s="11"/>
      <c r="AFK105" s="11"/>
      <c r="AFL105" s="11"/>
      <c r="AFM105" s="11"/>
      <c r="AFN105" s="11"/>
      <c r="AFO105" s="11"/>
      <c r="AFP105" s="11"/>
      <c r="AFQ105" s="11">
        <v>1123997</v>
      </c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>
        <v>59280</v>
      </c>
      <c r="AGE105" s="11"/>
      <c r="AGF105" s="11">
        <v>112960</v>
      </c>
      <c r="AGG105" s="11">
        <v>0</v>
      </c>
      <c r="AGH105" s="11">
        <v>92460</v>
      </c>
      <c r="AGI105" s="11"/>
      <c r="AGJ105" s="11">
        <v>20160</v>
      </c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>
        <v>0</v>
      </c>
      <c r="AGW105" s="11">
        <v>930434</v>
      </c>
      <c r="AGX105" s="11"/>
      <c r="AGY105" s="11"/>
      <c r="AGZ105" s="11"/>
      <c r="AHA105" s="11"/>
      <c r="AHB105" s="11"/>
      <c r="AHC105" s="11">
        <v>179987</v>
      </c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>
        <v>24750</v>
      </c>
      <c r="AHP105" s="11">
        <v>62346</v>
      </c>
      <c r="AHQ105" s="11"/>
      <c r="AHR105" s="11"/>
      <c r="AHS105" s="11">
        <v>181167.5</v>
      </c>
      <c r="AHT105" s="11">
        <v>62505188.710000001</v>
      </c>
      <c r="AHV105" s="269" t="s">
        <v>6278</v>
      </c>
      <c r="AHW105" s="269" t="s">
        <v>6151</v>
      </c>
      <c r="AHX105" s="269" t="s">
        <v>6152</v>
      </c>
    </row>
    <row r="106" spans="1:908" x14ac:dyDescent="0.7">
      <c r="A106" s="6" t="s">
        <v>6278</v>
      </c>
      <c r="B106" s="6" t="s">
        <v>6493</v>
      </c>
      <c r="C106" s="6" t="s">
        <v>6160</v>
      </c>
      <c r="D106" s="11"/>
      <c r="E106" s="11"/>
      <c r="F106" s="11"/>
      <c r="G106" s="11"/>
      <c r="H106" s="11">
        <v>9980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>
        <v>37111</v>
      </c>
      <c r="S106" s="11"/>
      <c r="T106" s="11"/>
      <c r="U106" s="11"/>
      <c r="V106" s="11"/>
      <c r="W106" s="11">
        <v>53781</v>
      </c>
      <c r="X106" s="11"/>
      <c r="Y106" s="11"/>
      <c r="Z106" s="11">
        <v>49075</v>
      </c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>
        <v>1057483</v>
      </c>
      <c r="AU106" s="11"/>
      <c r="AV106" s="11"/>
      <c r="AW106" s="11"/>
      <c r="AX106" s="11">
        <v>34425</v>
      </c>
      <c r="AY106" s="11"/>
      <c r="AZ106" s="11"/>
      <c r="BA106" s="11"/>
      <c r="BB106" s="11">
        <v>96090</v>
      </c>
      <c r="BC106" s="11"/>
      <c r="BD106" s="11"/>
      <c r="BE106" s="11"/>
      <c r="BF106" s="11"/>
      <c r="BG106" s="11"/>
      <c r="BH106" s="11"/>
      <c r="BI106" s="11"/>
      <c r="BJ106" s="11"/>
      <c r="BK106" s="11">
        <v>295781.38</v>
      </c>
      <c r="BL106" s="11"/>
      <c r="BM106" s="11"/>
      <c r="BN106" s="11">
        <v>276048.5</v>
      </c>
      <c r="BO106" s="11">
        <v>41350</v>
      </c>
      <c r="BP106" s="11"/>
      <c r="BQ106" s="11"/>
      <c r="BR106" s="11"/>
      <c r="BS106" s="11"/>
      <c r="BT106" s="11"/>
      <c r="BU106" s="11"/>
      <c r="BV106" s="11"/>
      <c r="BW106" s="11"/>
      <c r="BX106" s="11"/>
      <c r="BY106" s="11">
        <v>38548.5</v>
      </c>
      <c r="BZ106" s="11"/>
      <c r="CA106" s="11"/>
      <c r="CB106" s="11"/>
      <c r="CC106" s="11"/>
      <c r="CD106" s="11">
        <v>0</v>
      </c>
      <c r="CE106" s="11"/>
      <c r="CF106" s="11"/>
      <c r="CG106" s="11">
        <v>330000</v>
      </c>
      <c r="CH106" s="11">
        <v>80039.759999999995</v>
      </c>
      <c r="CI106" s="11">
        <v>54970</v>
      </c>
      <c r="CJ106" s="11">
        <v>58560</v>
      </c>
      <c r="CK106" s="11">
        <v>20160</v>
      </c>
      <c r="CL106" s="11"/>
      <c r="CM106" s="11"/>
      <c r="CN106" s="11">
        <v>84950</v>
      </c>
      <c r="CO106" s="11"/>
      <c r="CP106" s="11"/>
      <c r="CQ106" s="11"/>
      <c r="CR106" s="11">
        <v>20790</v>
      </c>
      <c r="CS106" s="11">
        <v>51119</v>
      </c>
      <c r="CT106" s="11"/>
      <c r="CU106" s="11"/>
      <c r="CV106" s="11"/>
      <c r="CW106" s="11">
        <v>52890</v>
      </c>
      <c r="CX106" s="11"/>
      <c r="CY106" s="11"/>
      <c r="CZ106" s="11">
        <v>36567</v>
      </c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>
        <v>109750</v>
      </c>
      <c r="DN106" s="11"/>
      <c r="DO106" s="11"/>
      <c r="DP106" s="11"/>
      <c r="DQ106" s="11">
        <v>110520</v>
      </c>
      <c r="DR106" s="11"/>
      <c r="DS106" s="11">
        <v>102248</v>
      </c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>
        <v>164210</v>
      </c>
      <c r="EF106" s="11"/>
      <c r="EG106" s="11"/>
      <c r="EH106" s="11"/>
      <c r="EI106" s="11"/>
      <c r="EJ106" s="11">
        <v>127057.5</v>
      </c>
      <c r="EK106" s="11"/>
      <c r="EL106" s="11"/>
      <c r="EM106" s="11"/>
      <c r="EN106" s="11"/>
      <c r="EO106" s="11"/>
      <c r="EP106" s="11"/>
      <c r="EQ106" s="11"/>
      <c r="ER106" s="11"/>
      <c r="ES106" s="11"/>
      <c r="ET106" s="11">
        <v>77060</v>
      </c>
      <c r="EU106" s="11"/>
      <c r="EV106" s="11"/>
      <c r="EW106" s="11"/>
      <c r="EX106" s="11"/>
      <c r="EY106" s="11"/>
      <c r="EZ106" s="11"/>
      <c r="FA106" s="11"/>
      <c r="FB106" s="11"/>
      <c r="FC106" s="11"/>
      <c r="FD106" s="11">
        <v>41895</v>
      </c>
      <c r="FE106" s="11">
        <v>28200</v>
      </c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>
        <v>6930</v>
      </c>
      <c r="FW106" s="11"/>
      <c r="FX106" s="11">
        <v>154405</v>
      </c>
      <c r="FY106" s="11">
        <v>21900</v>
      </c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>
        <v>7800</v>
      </c>
      <c r="GT106" s="11"/>
      <c r="GU106" s="11"/>
      <c r="GV106" s="11"/>
      <c r="GW106" s="11">
        <v>50160</v>
      </c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>
        <v>22628</v>
      </c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>
        <v>48147</v>
      </c>
      <c r="HV106" s="11"/>
      <c r="HW106" s="11"/>
      <c r="HX106" s="11">
        <v>129456.5</v>
      </c>
      <c r="HY106" s="11">
        <v>43458</v>
      </c>
      <c r="HZ106" s="11">
        <v>96165</v>
      </c>
      <c r="IA106" s="11"/>
      <c r="IB106" s="11"/>
      <c r="IC106" s="11"/>
      <c r="ID106" s="11"/>
      <c r="IE106" s="11"/>
      <c r="IF106" s="11">
        <v>64472</v>
      </c>
      <c r="IG106" s="11"/>
      <c r="IH106" s="11">
        <v>21840</v>
      </c>
      <c r="II106" s="11"/>
      <c r="IJ106" s="11"/>
      <c r="IK106" s="11"/>
      <c r="IL106" s="11"/>
      <c r="IM106" s="11"/>
      <c r="IN106" s="11"/>
      <c r="IO106" s="11"/>
      <c r="IP106" s="11"/>
      <c r="IQ106" s="11"/>
      <c r="IR106" s="11">
        <v>0</v>
      </c>
      <c r="IS106" s="11"/>
      <c r="IT106" s="11"/>
      <c r="IU106" s="11">
        <v>0</v>
      </c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>
        <v>82596</v>
      </c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>
        <v>116140</v>
      </c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>
        <v>198750</v>
      </c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>
        <v>0</v>
      </c>
      <c r="LS106" s="11"/>
      <c r="LT106" s="11"/>
      <c r="LU106" s="11"/>
      <c r="LV106" s="11"/>
      <c r="LW106" s="11">
        <v>471238</v>
      </c>
      <c r="LX106" s="11"/>
      <c r="LY106" s="11">
        <v>0</v>
      </c>
      <c r="LZ106" s="11">
        <v>138402</v>
      </c>
      <c r="MA106" s="11">
        <v>42870</v>
      </c>
      <c r="MB106" s="11">
        <v>94074</v>
      </c>
      <c r="MC106" s="11"/>
      <c r="MD106" s="11">
        <v>136599</v>
      </c>
      <c r="ME106" s="11"/>
      <c r="MF106" s="11"/>
      <c r="MG106" s="11"/>
      <c r="MH106" s="11"/>
      <c r="MI106" s="11">
        <v>6600</v>
      </c>
      <c r="MJ106" s="11"/>
      <c r="MK106" s="11"/>
      <c r="ML106" s="11"/>
      <c r="MM106" s="11"/>
      <c r="MN106" s="11"/>
      <c r="MO106" s="11"/>
      <c r="MP106" s="11">
        <v>0</v>
      </c>
      <c r="MQ106" s="11"/>
      <c r="MR106" s="11">
        <v>6720</v>
      </c>
      <c r="MS106" s="11"/>
      <c r="MT106" s="11"/>
      <c r="MU106" s="11"/>
      <c r="MV106" s="11"/>
      <c r="MW106" s="11"/>
      <c r="MX106" s="11"/>
      <c r="MY106" s="11"/>
      <c r="MZ106" s="11">
        <v>148316</v>
      </c>
      <c r="NA106" s="11"/>
      <c r="NB106" s="11">
        <v>212560</v>
      </c>
      <c r="NC106" s="11"/>
      <c r="ND106" s="11"/>
      <c r="NE106" s="11"/>
      <c r="NF106" s="11"/>
      <c r="NG106" s="11"/>
      <c r="NH106" s="11"/>
      <c r="NI106" s="11"/>
      <c r="NJ106" s="11">
        <v>120129.5</v>
      </c>
      <c r="NK106" s="11"/>
      <c r="NL106" s="11"/>
      <c r="NM106" s="11"/>
      <c r="NN106" s="11"/>
      <c r="NO106" s="11"/>
      <c r="NP106" s="11"/>
      <c r="NQ106" s="11">
        <v>219100</v>
      </c>
      <c r="NR106" s="11"/>
      <c r="NS106" s="11"/>
      <c r="NT106" s="11"/>
      <c r="NU106" s="11"/>
      <c r="NV106" s="11"/>
      <c r="NW106" s="11"/>
      <c r="NX106" s="11"/>
      <c r="NY106" s="11"/>
      <c r="NZ106" s="11">
        <v>20715</v>
      </c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>
        <v>7558</v>
      </c>
      <c r="OS106" s="11">
        <v>80000</v>
      </c>
      <c r="OT106" s="11"/>
      <c r="OU106" s="11"/>
      <c r="OV106" s="11"/>
      <c r="OW106" s="11"/>
      <c r="OX106" s="11"/>
      <c r="OY106" s="11"/>
      <c r="OZ106" s="11"/>
      <c r="PA106" s="11"/>
      <c r="PB106" s="11"/>
      <c r="PC106" s="11">
        <v>0</v>
      </c>
      <c r="PD106" s="11"/>
      <c r="PE106" s="11"/>
      <c r="PF106" s="11"/>
      <c r="PG106" s="11"/>
      <c r="PH106" s="11"/>
      <c r="PI106" s="11"/>
      <c r="PJ106" s="11"/>
      <c r="PK106" s="11">
        <v>111975</v>
      </c>
      <c r="PL106" s="11"/>
      <c r="PM106" s="11"/>
      <c r="PN106" s="11"/>
      <c r="PO106" s="11"/>
      <c r="PP106" s="11"/>
      <c r="PQ106" s="11"/>
      <c r="PR106" s="11"/>
      <c r="PS106" s="11"/>
      <c r="PT106" s="11">
        <v>53730</v>
      </c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>
        <v>0</v>
      </c>
      <c r="QO106" s="11"/>
      <c r="QP106" s="11">
        <v>3900</v>
      </c>
      <c r="QQ106" s="11"/>
      <c r="QR106" s="11"/>
      <c r="QS106" s="11">
        <v>87372</v>
      </c>
      <c r="QT106" s="11"/>
      <c r="QU106" s="11"/>
      <c r="QV106" s="11"/>
      <c r="QW106" s="11"/>
      <c r="QX106" s="11">
        <v>31080</v>
      </c>
      <c r="QY106" s="11"/>
      <c r="QZ106" s="11"/>
      <c r="RA106" s="11"/>
      <c r="RB106" s="11"/>
      <c r="RC106" s="11"/>
      <c r="RD106" s="11"/>
      <c r="RE106" s="11">
        <v>78540</v>
      </c>
      <c r="RF106" s="11">
        <v>109700</v>
      </c>
      <c r="RG106" s="11"/>
      <c r="RH106" s="11">
        <v>4140000</v>
      </c>
      <c r="RI106" s="11"/>
      <c r="RJ106" s="11"/>
      <c r="RK106" s="11"/>
      <c r="RL106" s="11">
        <v>67820</v>
      </c>
      <c r="RM106" s="11">
        <v>109189</v>
      </c>
      <c r="RN106" s="11"/>
      <c r="RO106" s="11">
        <v>77091</v>
      </c>
      <c r="RP106" s="11"/>
      <c r="RQ106" s="11">
        <v>0</v>
      </c>
      <c r="RR106" s="11">
        <v>164113</v>
      </c>
      <c r="RS106" s="11"/>
      <c r="RT106" s="11"/>
      <c r="RU106" s="11"/>
      <c r="RV106" s="11"/>
      <c r="RW106" s="11">
        <v>98154</v>
      </c>
      <c r="RX106" s="11"/>
      <c r="RY106" s="11"/>
      <c r="RZ106" s="11"/>
      <c r="SA106" s="11">
        <v>12266</v>
      </c>
      <c r="SB106" s="11">
        <v>24890</v>
      </c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>
        <v>394765.5</v>
      </c>
      <c r="SO106" s="11"/>
      <c r="SP106" s="11"/>
      <c r="SQ106" s="11"/>
      <c r="SR106" s="11"/>
      <c r="SS106" s="11"/>
      <c r="ST106" s="11"/>
      <c r="SU106" s="11"/>
      <c r="SV106" s="11"/>
      <c r="SW106" s="11">
        <v>52925</v>
      </c>
      <c r="SX106" s="11">
        <v>33875</v>
      </c>
      <c r="SY106" s="11">
        <v>25310</v>
      </c>
      <c r="SZ106" s="11"/>
      <c r="TA106" s="11"/>
      <c r="TB106" s="11"/>
      <c r="TC106" s="11"/>
      <c r="TD106" s="11"/>
      <c r="TE106" s="11">
        <v>4225</v>
      </c>
      <c r="TF106" s="11">
        <v>291630</v>
      </c>
      <c r="TG106" s="11">
        <v>40400</v>
      </c>
      <c r="TH106" s="11"/>
      <c r="TI106" s="11">
        <v>138945</v>
      </c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>
        <v>13200</v>
      </c>
      <c r="TW106" s="11"/>
      <c r="TX106" s="11">
        <v>18900</v>
      </c>
      <c r="TY106" s="11"/>
      <c r="TZ106" s="11"/>
      <c r="UA106" s="11"/>
      <c r="UB106" s="11">
        <v>500000</v>
      </c>
      <c r="UC106" s="11">
        <v>9400</v>
      </c>
      <c r="UD106" s="11"/>
      <c r="UE106" s="11">
        <v>291340</v>
      </c>
      <c r="UF106" s="11"/>
      <c r="UG106" s="11"/>
      <c r="UH106" s="11"/>
      <c r="UI106" s="11"/>
      <c r="UJ106" s="11"/>
      <c r="UK106" s="11"/>
      <c r="UL106" s="11"/>
      <c r="UM106" s="11">
        <v>12786</v>
      </c>
      <c r="UN106" s="11">
        <v>7000</v>
      </c>
      <c r="UO106" s="11"/>
      <c r="UP106" s="11"/>
      <c r="UQ106" s="11"/>
      <c r="UR106" s="11"/>
      <c r="US106" s="11"/>
      <c r="UT106" s="11">
        <v>43015</v>
      </c>
      <c r="UU106" s="11"/>
      <c r="UV106" s="11"/>
      <c r="UW106" s="11"/>
      <c r="UX106" s="11"/>
      <c r="UY106" s="11"/>
      <c r="UZ106" s="11">
        <v>91590.62</v>
      </c>
      <c r="VA106" s="11"/>
      <c r="VB106" s="11"/>
      <c r="VC106" s="11">
        <v>21158</v>
      </c>
      <c r="VD106" s="11">
        <v>161700</v>
      </c>
      <c r="VE106" s="11"/>
      <c r="VF106" s="11"/>
      <c r="VG106" s="11"/>
      <c r="VH106" s="11"/>
      <c r="VI106" s="11"/>
      <c r="VJ106" s="11"/>
      <c r="VK106" s="11"/>
      <c r="VL106" s="11"/>
      <c r="VM106" s="11"/>
      <c r="VN106" s="11">
        <v>77936</v>
      </c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>
        <v>229935</v>
      </c>
      <c r="WD106" s="11"/>
      <c r="WE106" s="11"/>
      <c r="WF106" s="11"/>
      <c r="WG106" s="11"/>
      <c r="WH106" s="11">
        <v>43260</v>
      </c>
      <c r="WI106" s="11">
        <v>41919</v>
      </c>
      <c r="WJ106" s="11">
        <v>48276</v>
      </c>
      <c r="WK106" s="11">
        <v>44940</v>
      </c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>
        <v>-20745</v>
      </c>
      <c r="WZ106" s="11"/>
      <c r="XA106" s="11"/>
      <c r="XB106" s="11"/>
      <c r="XC106" s="11">
        <v>29270</v>
      </c>
      <c r="XD106" s="11"/>
      <c r="XE106" s="11">
        <v>30940</v>
      </c>
      <c r="XF106" s="11"/>
      <c r="XG106" s="11"/>
      <c r="XH106" s="11"/>
      <c r="XI106" s="11">
        <v>19965</v>
      </c>
      <c r="XJ106" s="11"/>
      <c r="XK106" s="11"/>
      <c r="XL106" s="11"/>
      <c r="XM106" s="11">
        <v>1200</v>
      </c>
      <c r="XN106" s="11">
        <v>73470</v>
      </c>
      <c r="XO106" s="11"/>
      <c r="XP106" s="11">
        <v>7220</v>
      </c>
      <c r="XQ106" s="11"/>
      <c r="XR106" s="11"/>
      <c r="XS106" s="11">
        <v>0</v>
      </c>
      <c r="XT106" s="11"/>
      <c r="XU106" s="11"/>
      <c r="XV106" s="11"/>
      <c r="XW106" s="11"/>
      <c r="XX106" s="11"/>
      <c r="XY106" s="11"/>
      <c r="XZ106" s="11">
        <v>600</v>
      </c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>
        <v>74468</v>
      </c>
      <c r="YL106" s="11"/>
      <c r="YM106" s="11"/>
      <c r="YN106" s="11"/>
      <c r="YO106" s="11"/>
      <c r="YP106" s="11">
        <v>384600</v>
      </c>
      <c r="YQ106" s="11"/>
      <c r="YR106" s="11"/>
      <c r="YS106" s="11"/>
      <c r="YT106" s="11"/>
      <c r="YU106" s="11"/>
      <c r="YV106" s="11"/>
      <c r="YW106" s="11"/>
      <c r="YX106" s="11">
        <v>20877</v>
      </c>
      <c r="YY106" s="11"/>
      <c r="YZ106" s="11"/>
      <c r="ZA106" s="11"/>
      <c r="ZB106" s="11"/>
      <c r="ZC106" s="11"/>
      <c r="ZD106" s="11"/>
      <c r="ZE106" s="11">
        <v>143347</v>
      </c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>
        <v>0</v>
      </c>
      <c r="AAG106" s="11"/>
      <c r="AAH106" s="11"/>
      <c r="AAI106" s="11"/>
      <c r="AAJ106" s="11">
        <v>75520</v>
      </c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>
        <v>0</v>
      </c>
      <c r="ABO106" s="11"/>
      <c r="ABP106" s="11"/>
      <c r="ABQ106" s="11">
        <v>176297.5</v>
      </c>
      <c r="ABR106" s="11"/>
      <c r="ABS106" s="11"/>
      <c r="ABT106" s="11">
        <v>108410</v>
      </c>
      <c r="ABU106" s="11"/>
      <c r="ABV106" s="11">
        <v>48930</v>
      </c>
      <c r="ABW106" s="11">
        <v>27190</v>
      </c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>
        <v>51722.25</v>
      </c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>
        <v>555227</v>
      </c>
      <c r="AEC106" s="11"/>
      <c r="AED106" s="11"/>
      <c r="AEE106" s="11"/>
      <c r="AEF106" s="11"/>
      <c r="AEG106" s="11">
        <v>33700</v>
      </c>
      <c r="AEH106" s="11"/>
      <c r="AEI106" s="11"/>
      <c r="AEJ106" s="11"/>
      <c r="AEK106" s="11"/>
      <c r="AEL106" s="11"/>
      <c r="AEM106" s="11"/>
      <c r="AEN106" s="11"/>
      <c r="AEO106" s="11">
        <v>38164</v>
      </c>
      <c r="AEP106" s="11">
        <v>107336</v>
      </c>
      <c r="AEQ106" s="11"/>
      <c r="AER106" s="11"/>
      <c r="AES106" s="11"/>
      <c r="AET106" s="11"/>
      <c r="AEU106" s="11"/>
      <c r="AEV106" s="11">
        <v>445391</v>
      </c>
      <c r="AEW106" s="11"/>
      <c r="AEX106" s="11">
        <v>140520</v>
      </c>
      <c r="AEY106" s="11">
        <v>255000</v>
      </c>
      <c r="AEZ106" s="11">
        <v>302770</v>
      </c>
      <c r="AFA106" s="11">
        <v>23940</v>
      </c>
      <c r="AFB106" s="11"/>
      <c r="AFC106" s="11">
        <v>168073</v>
      </c>
      <c r="AFD106" s="11"/>
      <c r="AFE106" s="11"/>
      <c r="AFF106" s="11"/>
      <c r="AFG106" s="11">
        <v>413197.77</v>
      </c>
      <c r="AFH106" s="11"/>
      <c r="AFI106" s="11">
        <v>109344</v>
      </c>
      <c r="AFJ106" s="11"/>
      <c r="AFK106" s="11"/>
      <c r="AFL106" s="11"/>
      <c r="AFM106" s="11"/>
      <c r="AFN106" s="11"/>
      <c r="AFO106" s="11"/>
      <c r="AFP106" s="11"/>
      <c r="AFQ106" s="11">
        <v>256933</v>
      </c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>
        <v>23400</v>
      </c>
      <c r="AGE106" s="11"/>
      <c r="AGF106" s="11">
        <v>97440</v>
      </c>
      <c r="AGG106" s="11">
        <v>0</v>
      </c>
      <c r="AGH106" s="11">
        <v>51450</v>
      </c>
      <c r="AGI106" s="11"/>
      <c r="AGJ106" s="11">
        <v>102500</v>
      </c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>
        <v>0</v>
      </c>
      <c r="AGW106" s="11">
        <v>566950</v>
      </c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>
        <v>37908.75</v>
      </c>
      <c r="AHP106" s="11">
        <v>177878</v>
      </c>
      <c r="AHQ106" s="11"/>
      <c r="AHR106" s="11"/>
      <c r="AHS106" s="11">
        <v>51099</v>
      </c>
      <c r="AHT106" s="11">
        <v>19330143.029999997</v>
      </c>
      <c r="AHV106" s="269" t="s">
        <v>6278</v>
      </c>
      <c r="AHW106" s="269" t="s">
        <v>6153</v>
      </c>
      <c r="AHX106" s="269" t="s">
        <v>6154</v>
      </c>
    </row>
    <row r="107" spans="1:908" x14ac:dyDescent="0.7">
      <c r="A107" s="6" t="s">
        <v>6278</v>
      </c>
      <c r="B107" s="6" t="s">
        <v>6494</v>
      </c>
      <c r="C107" s="6" t="s">
        <v>6162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>
        <v>54000</v>
      </c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>
        <v>1914810</v>
      </c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>
        <v>81990</v>
      </c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>
        <v>13550</v>
      </c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>
        <v>414720</v>
      </c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>
        <v>859650</v>
      </c>
      <c r="HK107" s="11"/>
      <c r="HL107" s="11"/>
      <c r="HM107" s="11"/>
      <c r="HN107" s="11">
        <v>318000</v>
      </c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>
        <v>0</v>
      </c>
      <c r="IS107" s="11"/>
      <c r="IT107" s="11"/>
      <c r="IU107" s="11">
        <v>0</v>
      </c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>
        <v>8544</v>
      </c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>
        <v>510606</v>
      </c>
      <c r="OA107" s="11">
        <v>0</v>
      </c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>
        <v>0</v>
      </c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>
        <v>0</v>
      </c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>
        <v>0</v>
      </c>
      <c r="SC107" s="11">
        <v>0</v>
      </c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>
        <v>158680</v>
      </c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>
        <v>893220</v>
      </c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>
        <v>0</v>
      </c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>
        <v>0</v>
      </c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>
        <v>302178.49</v>
      </c>
      <c r="AFH107" s="11"/>
      <c r="AFI107" s="11">
        <v>0</v>
      </c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>
        <v>0</v>
      </c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>
        <v>5529948.4900000002</v>
      </c>
      <c r="AHV107" s="269" t="s">
        <v>6278</v>
      </c>
      <c r="AHW107" s="269" t="s">
        <v>6155</v>
      </c>
      <c r="AHX107" s="269" t="s">
        <v>6156</v>
      </c>
    </row>
    <row r="108" spans="1:908" x14ac:dyDescent="0.7">
      <c r="A108" s="6" t="s">
        <v>6278</v>
      </c>
      <c r="B108" s="6" t="s">
        <v>6495</v>
      </c>
      <c r="C108" s="6" t="s">
        <v>6164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>
        <v>3306.9</v>
      </c>
      <c r="AL108" s="11"/>
      <c r="AM108" s="11"/>
      <c r="AN108" s="11"/>
      <c r="AO108" s="11"/>
      <c r="AP108" s="11"/>
      <c r="AQ108" s="11"/>
      <c r="AR108" s="11"/>
      <c r="AS108" s="11">
        <v>2264</v>
      </c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>
        <v>397350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>
        <v>299130</v>
      </c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>
        <v>212360</v>
      </c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>
        <v>90000</v>
      </c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>
        <v>0</v>
      </c>
      <c r="IS108" s="11"/>
      <c r="IT108" s="11"/>
      <c r="IU108" s="11">
        <v>0</v>
      </c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>
        <v>3221</v>
      </c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>
        <v>0</v>
      </c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>
        <v>0</v>
      </c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>
        <v>0</v>
      </c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>
        <v>0</v>
      </c>
      <c r="SC108" s="11">
        <v>0</v>
      </c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>
        <v>281140</v>
      </c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>
        <v>0</v>
      </c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>
        <v>161878.92000000001</v>
      </c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>
        <v>0</v>
      </c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>
        <v>1450650.8199999998</v>
      </c>
      <c r="AHV108" s="269" t="s">
        <v>6278</v>
      </c>
      <c r="AHW108" s="269" t="s">
        <v>6157</v>
      </c>
      <c r="AHX108" s="269" t="s">
        <v>6158</v>
      </c>
    </row>
    <row r="109" spans="1:908" x14ac:dyDescent="0.7">
      <c r="A109" s="6" t="s">
        <v>6278</v>
      </c>
      <c r="B109" s="6" t="s">
        <v>6496</v>
      </c>
      <c r="C109" s="6" t="s">
        <v>6166</v>
      </c>
      <c r="D109" s="11">
        <v>1870000</v>
      </c>
      <c r="E109" s="11">
        <v>160000</v>
      </c>
      <c r="F109" s="11"/>
      <c r="G109" s="11"/>
      <c r="H109" s="11"/>
      <c r="I109" s="11"/>
      <c r="J109" s="11"/>
      <c r="K109" s="11">
        <v>0</v>
      </c>
      <c r="L109" s="11">
        <v>175000</v>
      </c>
      <c r="M109" s="11"/>
      <c r="N109" s="11"/>
      <c r="O109" s="11">
        <v>80000</v>
      </c>
      <c r="P109" s="11"/>
      <c r="Q109" s="11"/>
      <c r="R109" s="11">
        <v>90000</v>
      </c>
      <c r="S109" s="11">
        <v>185000</v>
      </c>
      <c r="T109" s="11">
        <v>125000</v>
      </c>
      <c r="U109" s="11"/>
      <c r="V109" s="11"/>
      <c r="W109" s="11">
        <v>450000</v>
      </c>
      <c r="X109" s="11"/>
      <c r="Y109" s="11">
        <v>180000</v>
      </c>
      <c r="Z109" s="11"/>
      <c r="AA109" s="11">
        <v>134000</v>
      </c>
      <c r="AB109" s="11"/>
      <c r="AC109" s="11">
        <v>340000</v>
      </c>
      <c r="AD109" s="11"/>
      <c r="AE109" s="11">
        <v>0</v>
      </c>
      <c r="AF109" s="11">
        <v>430000</v>
      </c>
      <c r="AG109" s="11"/>
      <c r="AH109" s="11"/>
      <c r="AI109" s="11">
        <v>265000</v>
      </c>
      <c r="AJ109" s="11"/>
      <c r="AK109" s="11">
        <v>90000</v>
      </c>
      <c r="AL109" s="11">
        <v>135000</v>
      </c>
      <c r="AM109" s="11"/>
      <c r="AN109" s="11">
        <v>65000</v>
      </c>
      <c r="AO109" s="11"/>
      <c r="AP109" s="11"/>
      <c r="AQ109" s="11">
        <v>105000</v>
      </c>
      <c r="AR109" s="11"/>
      <c r="AS109" s="11">
        <v>75000</v>
      </c>
      <c r="AT109" s="11">
        <v>765000</v>
      </c>
      <c r="AU109" s="11">
        <v>85000</v>
      </c>
      <c r="AV109" s="11">
        <v>45000</v>
      </c>
      <c r="AW109" s="11">
        <v>0</v>
      </c>
      <c r="AX109" s="11">
        <v>85000</v>
      </c>
      <c r="AY109" s="11">
        <v>155000</v>
      </c>
      <c r="AZ109" s="11">
        <v>85000</v>
      </c>
      <c r="BA109" s="11">
        <v>55000</v>
      </c>
      <c r="BB109" s="11">
        <v>50000</v>
      </c>
      <c r="BC109" s="11">
        <v>70000</v>
      </c>
      <c r="BD109" s="11">
        <v>65000</v>
      </c>
      <c r="BE109" s="11">
        <v>130000</v>
      </c>
      <c r="BF109" s="11">
        <v>275000</v>
      </c>
      <c r="BG109" s="11">
        <v>10000</v>
      </c>
      <c r="BH109" s="11">
        <v>4600</v>
      </c>
      <c r="BI109" s="11"/>
      <c r="BJ109" s="11">
        <v>515000</v>
      </c>
      <c r="BK109" s="11">
        <v>115000</v>
      </c>
      <c r="BL109" s="11"/>
      <c r="BM109" s="11"/>
      <c r="BN109" s="11">
        <v>130000</v>
      </c>
      <c r="BO109" s="11"/>
      <c r="BP109" s="11">
        <v>50000</v>
      </c>
      <c r="BQ109" s="11">
        <v>0</v>
      </c>
      <c r="BR109" s="11"/>
      <c r="BS109" s="11">
        <v>130000</v>
      </c>
      <c r="BT109" s="11"/>
      <c r="BU109" s="11">
        <v>85000</v>
      </c>
      <c r="BV109" s="11"/>
      <c r="BW109" s="11"/>
      <c r="BX109" s="11">
        <v>80000</v>
      </c>
      <c r="BY109" s="11"/>
      <c r="BZ109" s="11">
        <v>435000</v>
      </c>
      <c r="CA109" s="11">
        <v>100000</v>
      </c>
      <c r="CB109" s="11">
        <v>140000</v>
      </c>
      <c r="CC109" s="11"/>
      <c r="CD109" s="11">
        <v>95000</v>
      </c>
      <c r="CE109" s="11">
        <v>80000</v>
      </c>
      <c r="CF109" s="11">
        <v>75000</v>
      </c>
      <c r="CG109" s="11">
        <v>1815000</v>
      </c>
      <c r="CH109" s="11">
        <v>105000</v>
      </c>
      <c r="CI109" s="11">
        <v>305000</v>
      </c>
      <c r="CJ109" s="11">
        <v>70000</v>
      </c>
      <c r="CK109" s="11">
        <v>90000</v>
      </c>
      <c r="CL109" s="11">
        <v>90000</v>
      </c>
      <c r="CM109" s="11">
        <v>90000</v>
      </c>
      <c r="CN109" s="11">
        <v>195000</v>
      </c>
      <c r="CO109" s="11">
        <v>50000</v>
      </c>
      <c r="CP109" s="11">
        <v>120000</v>
      </c>
      <c r="CQ109" s="11">
        <v>60000</v>
      </c>
      <c r="CR109" s="11">
        <v>100000</v>
      </c>
      <c r="CS109" s="11">
        <v>85000</v>
      </c>
      <c r="CT109" s="11"/>
      <c r="CU109" s="11">
        <v>90000</v>
      </c>
      <c r="CV109" s="11">
        <v>105000</v>
      </c>
      <c r="CW109" s="11">
        <v>160000</v>
      </c>
      <c r="CX109" s="11">
        <v>80000</v>
      </c>
      <c r="CY109" s="11">
        <v>110000</v>
      </c>
      <c r="CZ109" s="11">
        <v>45000</v>
      </c>
      <c r="DA109" s="11"/>
      <c r="DB109" s="11">
        <v>590000</v>
      </c>
      <c r="DC109" s="11">
        <v>500000</v>
      </c>
      <c r="DD109" s="11">
        <v>100000</v>
      </c>
      <c r="DE109" s="11"/>
      <c r="DF109" s="11">
        <v>120000</v>
      </c>
      <c r="DG109" s="11">
        <v>160000</v>
      </c>
      <c r="DH109" s="11"/>
      <c r="DI109" s="11"/>
      <c r="DJ109" s="11">
        <v>80000</v>
      </c>
      <c r="DK109" s="11">
        <v>1930000</v>
      </c>
      <c r="DL109" s="11">
        <v>65000</v>
      </c>
      <c r="DM109" s="11">
        <v>140000</v>
      </c>
      <c r="DN109" s="11">
        <v>145000</v>
      </c>
      <c r="DO109" s="11">
        <v>170000</v>
      </c>
      <c r="DP109" s="11">
        <v>105000</v>
      </c>
      <c r="DQ109" s="11">
        <v>690000</v>
      </c>
      <c r="DR109" s="11">
        <v>110000</v>
      </c>
      <c r="DS109" s="11">
        <v>265000</v>
      </c>
      <c r="DT109" s="11"/>
      <c r="DU109" s="11">
        <v>105000</v>
      </c>
      <c r="DV109" s="11"/>
      <c r="DW109" s="11">
        <v>325000</v>
      </c>
      <c r="DX109" s="11">
        <v>80000</v>
      </c>
      <c r="DY109" s="11"/>
      <c r="DZ109" s="11"/>
      <c r="EA109" s="11">
        <v>65000</v>
      </c>
      <c r="EB109" s="11"/>
      <c r="EC109" s="11"/>
      <c r="ED109" s="11"/>
      <c r="EE109" s="11">
        <v>280000</v>
      </c>
      <c r="EF109" s="11">
        <v>340000</v>
      </c>
      <c r="EG109" s="11">
        <v>105000</v>
      </c>
      <c r="EH109" s="11">
        <v>135000</v>
      </c>
      <c r="EI109" s="11">
        <v>130000</v>
      </c>
      <c r="EJ109" s="11">
        <v>210000</v>
      </c>
      <c r="EK109" s="11">
        <v>210000</v>
      </c>
      <c r="EL109" s="11">
        <v>65000</v>
      </c>
      <c r="EM109" s="11">
        <v>125000</v>
      </c>
      <c r="EN109" s="11">
        <v>1000000</v>
      </c>
      <c r="EO109" s="11">
        <v>130000</v>
      </c>
      <c r="EP109" s="11">
        <v>100000</v>
      </c>
      <c r="EQ109" s="11">
        <v>110000</v>
      </c>
      <c r="ER109" s="11">
        <v>70000</v>
      </c>
      <c r="ES109" s="11">
        <v>50000</v>
      </c>
      <c r="ET109" s="11">
        <v>200000</v>
      </c>
      <c r="EU109" s="11">
        <v>145000</v>
      </c>
      <c r="EV109" s="11"/>
      <c r="EW109" s="11"/>
      <c r="EX109" s="11">
        <v>50000</v>
      </c>
      <c r="EY109" s="11">
        <v>60000</v>
      </c>
      <c r="EZ109" s="11">
        <v>135000</v>
      </c>
      <c r="FA109" s="11"/>
      <c r="FB109" s="11"/>
      <c r="FC109" s="11">
        <v>105000</v>
      </c>
      <c r="FD109" s="11">
        <v>60000</v>
      </c>
      <c r="FE109" s="11">
        <v>55000</v>
      </c>
      <c r="FF109" s="11">
        <v>85000</v>
      </c>
      <c r="FG109" s="11">
        <v>75000</v>
      </c>
      <c r="FH109" s="11">
        <v>70000</v>
      </c>
      <c r="FI109" s="11"/>
      <c r="FJ109" s="11">
        <v>70000</v>
      </c>
      <c r="FK109" s="11">
        <v>65000</v>
      </c>
      <c r="FL109" s="11"/>
      <c r="FM109" s="11"/>
      <c r="FN109" s="11"/>
      <c r="FO109" s="11">
        <v>45000</v>
      </c>
      <c r="FP109" s="11"/>
      <c r="FQ109" s="11"/>
      <c r="FR109" s="11"/>
      <c r="FS109" s="11"/>
      <c r="FT109" s="11"/>
      <c r="FU109" s="11">
        <v>165000</v>
      </c>
      <c r="FV109" s="11">
        <v>115000</v>
      </c>
      <c r="FW109" s="11">
        <v>195000</v>
      </c>
      <c r="FX109" s="11">
        <v>115000</v>
      </c>
      <c r="FY109" s="11">
        <v>160000</v>
      </c>
      <c r="FZ109" s="11">
        <v>115000</v>
      </c>
      <c r="GA109" s="11"/>
      <c r="GB109" s="11">
        <v>20000</v>
      </c>
      <c r="GC109" s="11">
        <v>0</v>
      </c>
      <c r="GD109" s="11"/>
      <c r="GE109" s="11"/>
      <c r="GF109" s="11"/>
      <c r="GG109" s="11"/>
      <c r="GH109" s="11"/>
      <c r="GI109" s="11"/>
      <c r="GJ109" s="11">
        <v>60000</v>
      </c>
      <c r="GK109" s="11">
        <v>90000</v>
      </c>
      <c r="GL109" s="11"/>
      <c r="GM109" s="11"/>
      <c r="GN109" s="11"/>
      <c r="GO109" s="11"/>
      <c r="GP109" s="11"/>
      <c r="GQ109" s="11">
        <v>445000</v>
      </c>
      <c r="GR109" s="11">
        <v>145000</v>
      </c>
      <c r="GS109" s="11"/>
      <c r="GT109" s="11">
        <v>175000</v>
      </c>
      <c r="GU109" s="11">
        <v>55000</v>
      </c>
      <c r="GV109" s="11">
        <v>120000</v>
      </c>
      <c r="GW109" s="11"/>
      <c r="GX109" s="11">
        <v>80000</v>
      </c>
      <c r="GY109" s="11">
        <v>375000</v>
      </c>
      <c r="GZ109" s="11">
        <v>95000</v>
      </c>
      <c r="HA109" s="11">
        <v>125000</v>
      </c>
      <c r="HB109" s="11">
        <v>115000</v>
      </c>
      <c r="HC109" s="11"/>
      <c r="HD109" s="11"/>
      <c r="HE109" s="11">
        <v>575000</v>
      </c>
      <c r="HF109" s="11">
        <v>655000</v>
      </c>
      <c r="HG109" s="11">
        <v>120000</v>
      </c>
      <c r="HH109" s="11"/>
      <c r="HI109" s="11">
        <v>55000</v>
      </c>
      <c r="HJ109" s="11"/>
      <c r="HK109" s="11">
        <v>730000</v>
      </c>
      <c r="HL109" s="11"/>
      <c r="HM109" s="11">
        <v>220000</v>
      </c>
      <c r="HN109" s="11">
        <v>135000</v>
      </c>
      <c r="HO109" s="11">
        <v>65000</v>
      </c>
      <c r="HP109" s="11">
        <v>65000</v>
      </c>
      <c r="HQ109" s="11">
        <v>85000</v>
      </c>
      <c r="HR109" s="11"/>
      <c r="HS109" s="11"/>
      <c r="HT109" s="11">
        <v>275000</v>
      </c>
      <c r="HU109" s="11">
        <v>70000</v>
      </c>
      <c r="HV109" s="11">
        <v>35000</v>
      </c>
      <c r="HW109" s="11">
        <v>80000</v>
      </c>
      <c r="HX109" s="11"/>
      <c r="HY109" s="11"/>
      <c r="HZ109" s="11">
        <v>50000</v>
      </c>
      <c r="IA109" s="11">
        <v>40000</v>
      </c>
      <c r="IB109" s="11"/>
      <c r="IC109" s="11"/>
      <c r="ID109" s="11"/>
      <c r="IE109" s="11">
        <v>40000</v>
      </c>
      <c r="IF109" s="11">
        <v>35000</v>
      </c>
      <c r="IG109" s="11">
        <v>50000</v>
      </c>
      <c r="IH109" s="11">
        <v>35000</v>
      </c>
      <c r="II109" s="11"/>
      <c r="IJ109" s="11"/>
      <c r="IK109" s="11">
        <v>0</v>
      </c>
      <c r="IL109" s="11">
        <v>0</v>
      </c>
      <c r="IM109" s="11"/>
      <c r="IN109" s="11"/>
      <c r="IO109" s="11">
        <v>65000</v>
      </c>
      <c r="IP109" s="11">
        <v>0</v>
      </c>
      <c r="IQ109" s="11"/>
      <c r="IR109" s="11">
        <v>60000</v>
      </c>
      <c r="IS109" s="11"/>
      <c r="IT109" s="11"/>
      <c r="IU109" s="11">
        <v>0</v>
      </c>
      <c r="IV109" s="11">
        <v>180000</v>
      </c>
      <c r="IW109" s="11">
        <v>90000</v>
      </c>
      <c r="IX109" s="11">
        <v>285000</v>
      </c>
      <c r="IY109" s="11">
        <v>55000</v>
      </c>
      <c r="IZ109" s="11">
        <v>75000</v>
      </c>
      <c r="JA109" s="11">
        <v>45000</v>
      </c>
      <c r="JB109" s="11">
        <v>35000</v>
      </c>
      <c r="JC109" s="11">
        <v>85000</v>
      </c>
      <c r="JD109" s="11">
        <v>105000</v>
      </c>
      <c r="JE109" s="11">
        <v>45000</v>
      </c>
      <c r="JF109" s="11"/>
      <c r="JG109" s="11"/>
      <c r="JH109" s="11">
        <v>55000</v>
      </c>
      <c r="JI109" s="11"/>
      <c r="JJ109" s="11">
        <v>0</v>
      </c>
      <c r="JK109" s="11">
        <v>0</v>
      </c>
      <c r="JL109" s="11">
        <v>330000</v>
      </c>
      <c r="JM109" s="11">
        <v>35000</v>
      </c>
      <c r="JN109" s="11">
        <v>30000</v>
      </c>
      <c r="JO109" s="11">
        <v>100000</v>
      </c>
      <c r="JP109" s="11">
        <v>55000</v>
      </c>
      <c r="JQ109" s="11">
        <v>130000</v>
      </c>
      <c r="JR109" s="11">
        <v>45000</v>
      </c>
      <c r="JS109" s="11">
        <v>140000</v>
      </c>
      <c r="JT109" s="11">
        <v>295000</v>
      </c>
      <c r="JU109" s="11"/>
      <c r="JV109" s="11">
        <v>75000</v>
      </c>
      <c r="JW109" s="11">
        <v>100000</v>
      </c>
      <c r="JX109" s="11"/>
      <c r="JY109" s="11">
        <v>190000</v>
      </c>
      <c r="JZ109" s="11">
        <v>880000</v>
      </c>
      <c r="KA109" s="11">
        <v>105000</v>
      </c>
      <c r="KB109" s="11">
        <v>110000</v>
      </c>
      <c r="KC109" s="11">
        <v>120000</v>
      </c>
      <c r="KD109" s="11">
        <v>70000</v>
      </c>
      <c r="KE109" s="11">
        <v>60000</v>
      </c>
      <c r="KF109" s="11">
        <v>55000</v>
      </c>
      <c r="KG109" s="11">
        <v>40000</v>
      </c>
      <c r="KH109" s="11"/>
      <c r="KI109" s="11">
        <v>955000</v>
      </c>
      <c r="KJ109" s="11"/>
      <c r="KK109" s="11"/>
      <c r="KL109" s="11"/>
      <c r="KM109" s="11"/>
      <c r="KN109" s="11"/>
      <c r="KO109" s="11">
        <v>375000</v>
      </c>
      <c r="KP109" s="11"/>
      <c r="KQ109" s="11"/>
      <c r="KR109" s="11">
        <v>465000</v>
      </c>
      <c r="KS109" s="11"/>
      <c r="KT109" s="11">
        <v>85000</v>
      </c>
      <c r="KU109" s="11"/>
      <c r="KV109" s="11"/>
      <c r="KW109" s="11">
        <v>90000</v>
      </c>
      <c r="KX109" s="11"/>
      <c r="KY109" s="11">
        <v>120000</v>
      </c>
      <c r="KZ109" s="11"/>
      <c r="LA109" s="11">
        <v>95000</v>
      </c>
      <c r="LB109" s="11">
        <v>50000</v>
      </c>
      <c r="LC109" s="11"/>
      <c r="LD109" s="11"/>
      <c r="LE109" s="11"/>
      <c r="LF109" s="11">
        <v>55000</v>
      </c>
      <c r="LG109" s="11">
        <v>90000</v>
      </c>
      <c r="LH109" s="11">
        <v>1330000</v>
      </c>
      <c r="LI109" s="11"/>
      <c r="LJ109" s="11"/>
      <c r="LK109" s="11"/>
      <c r="LL109" s="11">
        <v>281500</v>
      </c>
      <c r="LM109" s="11"/>
      <c r="LN109" s="11"/>
      <c r="LO109" s="11">
        <v>200000</v>
      </c>
      <c r="LP109" s="11">
        <v>0</v>
      </c>
      <c r="LQ109" s="11">
        <v>205000</v>
      </c>
      <c r="LR109" s="11">
        <v>90000</v>
      </c>
      <c r="LS109" s="11">
        <v>460000</v>
      </c>
      <c r="LT109" s="11">
        <v>100000</v>
      </c>
      <c r="LU109" s="11">
        <v>0</v>
      </c>
      <c r="LV109" s="11"/>
      <c r="LW109" s="11">
        <v>520000</v>
      </c>
      <c r="LX109" s="11">
        <v>750000</v>
      </c>
      <c r="LY109" s="11">
        <v>0</v>
      </c>
      <c r="LZ109" s="11">
        <v>115000</v>
      </c>
      <c r="MA109" s="11">
        <v>135000</v>
      </c>
      <c r="MB109" s="11"/>
      <c r="MC109" s="11">
        <v>125000</v>
      </c>
      <c r="MD109" s="11"/>
      <c r="ME109" s="11">
        <v>95000</v>
      </c>
      <c r="MF109" s="11"/>
      <c r="MG109" s="11">
        <v>95000</v>
      </c>
      <c r="MH109" s="11"/>
      <c r="MI109" s="11">
        <v>160000</v>
      </c>
      <c r="MJ109" s="11"/>
      <c r="MK109" s="11"/>
      <c r="ML109" s="11"/>
      <c r="MM109" s="11">
        <v>115000</v>
      </c>
      <c r="MN109" s="11"/>
      <c r="MO109" s="11">
        <v>75000</v>
      </c>
      <c r="MP109" s="11">
        <v>60000</v>
      </c>
      <c r="MQ109" s="11">
        <v>70000</v>
      </c>
      <c r="MR109" s="11">
        <v>60000</v>
      </c>
      <c r="MS109" s="11">
        <v>55000</v>
      </c>
      <c r="MT109" s="11"/>
      <c r="MU109" s="11">
        <v>85000</v>
      </c>
      <c r="MV109" s="11">
        <v>100000</v>
      </c>
      <c r="MW109" s="11">
        <v>73500</v>
      </c>
      <c r="MX109" s="11">
        <v>100000</v>
      </c>
      <c r="MY109" s="11">
        <v>60000</v>
      </c>
      <c r="MZ109" s="11">
        <v>140000</v>
      </c>
      <c r="NA109" s="11">
        <v>170000</v>
      </c>
      <c r="NB109" s="11">
        <v>85000</v>
      </c>
      <c r="NC109" s="11">
        <v>35000</v>
      </c>
      <c r="ND109" s="11">
        <v>45000</v>
      </c>
      <c r="NE109" s="11">
        <v>1150000</v>
      </c>
      <c r="NF109" s="11"/>
      <c r="NG109" s="11">
        <v>30000</v>
      </c>
      <c r="NH109" s="11"/>
      <c r="NI109" s="11"/>
      <c r="NJ109" s="11">
        <v>105000</v>
      </c>
      <c r="NK109" s="11">
        <v>145000</v>
      </c>
      <c r="NL109" s="11">
        <v>190000</v>
      </c>
      <c r="NM109" s="11"/>
      <c r="NN109" s="11">
        <v>95000</v>
      </c>
      <c r="NO109" s="11"/>
      <c r="NP109" s="11">
        <v>65000</v>
      </c>
      <c r="NQ109" s="11">
        <v>270000</v>
      </c>
      <c r="NR109" s="11"/>
      <c r="NS109" s="11"/>
      <c r="NT109" s="11">
        <v>70000</v>
      </c>
      <c r="NU109" s="11">
        <v>0</v>
      </c>
      <c r="NV109" s="11"/>
      <c r="NW109" s="11"/>
      <c r="NX109" s="11">
        <v>734000</v>
      </c>
      <c r="NY109" s="11"/>
      <c r="NZ109" s="11">
        <v>150000</v>
      </c>
      <c r="OA109" s="11">
        <v>0</v>
      </c>
      <c r="OB109" s="11">
        <v>35000</v>
      </c>
      <c r="OC109" s="11">
        <v>75000</v>
      </c>
      <c r="OD109" s="11">
        <v>50000</v>
      </c>
      <c r="OE109" s="11"/>
      <c r="OF109" s="11"/>
      <c r="OG109" s="11">
        <v>100000</v>
      </c>
      <c r="OH109" s="11"/>
      <c r="OI109" s="11">
        <v>85000</v>
      </c>
      <c r="OJ109" s="11">
        <v>105000</v>
      </c>
      <c r="OK109" s="11"/>
      <c r="OL109" s="11"/>
      <c r="OM109" s="11">
        <v>50000</v>
      </c>
      <c r="ON109" s="11"/>
      <c r="OO109" s="11">
        <v>430000</v>
      </c>
      <c r="OP109" s="11">
        <v>1070000</v>
      </c>
      <c r="OQ109" s="11">
        <v>105000</v>
      </c>
      <c r="OR109" s="11">
        <v>315000</v>
      </c>
      <c r="OS109" s="11">
        <v>40000</v>
      </c>
      <c r="OT109" s="11">
        <v>394416.67</v>
      </c>
      <c r="OU109" s="11">
        <v>60000</v>
      </c>
      <c r="OV109" s="11">
        <v>95000</v>
      </c>
      <c r="OW109" s="11">
        <v>100000</v>
      </c>
      <c r="OX109" s="11">
        <v>85000</v>
      </c>
      <c r="OY109" s="11">
        <v>285000</v>
      </c>
      <c r="OZ109" s="11">
        <v>55000</v>
      </c>
      <c r="PA109" s="11">
        <v>80000</v>
      </c>
      <c r="PB109" s="11">
        <v>55000</v>
      </c>
      <c r="PC109" s="11">
        <v>760000</v>
      </c>
      <c r="PD109" s="11"/>
      <c r="PE109" s="11">
        <v>165000</v>
      </c>
      <c r="PF109" s="11"/>
      <c r="PG109" s="11"/>
      <c r="PH109" s="11"/>
      <c r="PI109" s="11">
        <v>90000</v>
      </c>
      <c r="PJ109" s="11">
        <v>30000</v>
      </c>
      <c r="PK109" s="11">
        <v>85000</v>
      </c>
      <c r="PL109" s="11"/>
      <c r="PM109" s="11">
        <v>75000</v>
      </c>
      <c r="PN109" s="11">
        <v>165000</v>
      </c>
      <c r="PO109" s="11">
        <v>50000</v>
      </c>
      <c r="PP109" s="11"/>
      <c r="PQ109" s="11">
        <v>75000</v>
      </c>
      <c r="PR109" s="11"/>
      <c r="PS109" s="11">
        <v>-25000</v>
      </c>
      <c r="PT109" s="11"/>
      <c r="PU109" s="11">
        <v>2675000</v>
      </c>
      <c r="PV109" s="11"/>
      <c r="PW109" s="11"/>
      <c r="PX109" s="11"/>
      <c r="PY109" s="11"/>
      <c r="PZ109" s="11">
        <v>130000</v>
      </c>
      <c r="QA109" s="11">
        <v>295000</v>
      </c>
      <c r="QB109" s="11"/>
      <c r="QC109" s="11">
        <v>220000</v>
      </c>
      <c r="QD109" s="11"/>
      <c r="QE109" s="11"/>
      <c r="QF109" s="11"/>
      <c r="QG109" s="11">
        <v>55000</v>
      </c>
      <c r="QH109" s="11"/>
      <c r="QI109" s="11"/>
      <c r="QJ109" s="11">
        <v>165000</v>
      </c>
      <c r="QK109" s="11"/>
      <c r="QL109" s="11"/>
      <c r="QM109" s="11"/>
      <c r="QN109" s="11">
        <v>145000</v>
      </c>
      <c r="QO109" s="11">
        <v>310000</v>
      </c>
      <c r="QP109" s="11">
        <v>55000</v>
      </c>
      <c r="QQ109" s="11"/>
      <c r="QR109" s="11"/>
      <c r="QS109" s="11">
        <v>30000</v>
      </c>
      <c r="QT109" s="11">
        <v>55000</v>
      </c>
      <c r="QU109" s="11">
        <v>1150000</v>
      </c>
      <c r="QV109" s="11"/>
      <c r="QW109" s="11">
        <v>155000</v>
      </c>
      <c r="QX109" s="11">
        <v>120000</v>
      </c>
      <c r="QY109" s="11">
        <v>80000</v>
      </c>
      <c r="QZ109" s="11">
        <v>225000</v>
      </c>
      <c r="RA109" s="11">
        <v>0</v>
      </c>
      <c r="RB109" s="11">
        <v>175000</v>
      </c>
      <c r="RC109" s="11">
        <v>315000</v>
      </c>
      <c r="RD109" s="11">
        <v>80000</v>
      </c>
      <c r="RE109" s="11">
        <v>35000</v>
      </c>
      <c r="RF109" s="11">
        <v>55000</v>
      </c>
      <c r="RG109" s="11">
        <v>35000</v>
      </c>
      <c r="RH109" s="11"/>
      <c r="RI109" s="11">
        <v>185000</v>
      </c>
      <c r="RJ109" s="11">
        <v>0</v>
      </c>
      <c r="RK109" s="11">
        <v>110000</v>
      </c>
      <c r="RL109" s="11">
        <v>145000</v>
      </c>
      <c r="RM109" s="11">
        <v>90000</v>
      </c>
      <c r="RN109" s="11"/>
      <c r="RO109" s="11">
        <v>55000</v>
      </c>
      <c r="RP109" s="11">
        <v>65000</v>
      </c>
      <c r="RQ109" s="11">
        <v>240000</v>
      </c>
      <c r="RR109" s="11">
        <v>105000</v>
      </c>
      <c r="RS109" s="11">
        <v>30000</v>
      </c>
      <c r="RT109" s="11">
        <v>5000</v>
      </c>
      <c r="RU109" s="11">
        <v>100000</v>
      </c>
      <c r="RV109" s="11">
        <v>75000</v>
      </c>
      <c r="RW109" s="11"/>
      <c r="RX109" s="11">
        <v>65000</v>
      </c>
      <c r="RY109" s="11">
        <v>25000</v>
      </c>
      <c r="RZ109" s="11">
        <v>35000</v>
      </c>
      <c r="SA109" s="11">
        <v>40000</v>
      </c>
      <c r="SB109" s="11">
        <v>0</v>
      </c>
      <c r="SC109" s="11"/>
      <c r="SD109" s="11"/>
      <c r="SE109" s="11"/>
      <c r="SF109" s="11">
        <v>55000</v>
      </c>
      <c r="SG109" s="11">
        <v>25000</v>
      </c>
      <c r="SH109" s="11">
        <v>65000</v>
      </c>
      <c r="SI109" s="11">
        <v>125000</v>
      </c>
      <c r="SJ109" s="11">
        <v>70000</v>
      </c>
      <c r="SK109" s="11">
        <v>115000</v>
      </c>
      <c r="SL109" s="11">
        <v>185000</v>
      </c>
      <c r="SM109" s="11">
        <v>60000</v>
      </c>
      <c r="SN109" s="11"/>
      <c r="SO109" s="11">
        <v>0</v>
      </c>
      <c r="SP109" s="11">
        <v>110000</v>
      </c>
      <c r="SQ109" s="11">
        <v>0</v>
      </c>
      <c r="SR109" s="11">
        <v>50000</v>
      </c>
      <c r="SS109" s="11"/>
      <c r="ST109" s="11"/>
      <c r="SU109" s="11"/>
      <c r="SV109" s="11"/>
      <c r="SW109" s="11"/>
      <c r="SX109" s="11">
        <v>235000</v>
      </c>
      <c r="SY109" s="11">
        <v>95000</v>
      </c>
      <c r="SZ109" s="11">
        <v>55000</v>
      </c>
      <c r="TA109" s="11">
        <v>40000</v>
      </c>
      <c r="TB109" s="11">
        <v>80000</v>
      </c>
      <c r="TC109" s="11">
        <v>145000</v>
      </c>
      <c r="TD109" s="11"/>
      <c r="TE109" s="11">
        <v>45000</v>
      </c>
      <c r="TF109" s="11">
        <v>100000</v>
      </c>
      <c r="TG109" s="11">
        <v>170000</v>
      </c>
      <c r="TH109" s="11">
        <v>60000</v>
      </c>
      <c r="TI109" s="11"/>
      <c r="TJ109" s="11">
        <v>925000</v>
      </c>
      <c r="TK109" s="11">
        <v>95000</v>
      </c>
      <c r="TL109" s="11">
        <v>0</v>
      </c>
      <c r="TM109" s="11">
        <v>150000</v>
      </c>
      <c r="TN109" s="11"/>
      <c r="TO109" s="11">
        <v>80000</v>
      </c>
      <c r="TP109" s="11">
        <v>40000</v>
      </c>
      <c r="TQ109" s="11">
        <v>280000</v>
      </c>
      <c r="TR109" s="11">
        <v>70000</v>
      </c>
      <c r="TS109" s="11">
        <v>130000</v>
      </c>
      <c r="TT109" s="11">
        <v>140000</v>
      </c>
      <c r="TU109" s="11">
        <v>85000</v>
      </c>
      <c r="TV109" s="11">
        <v>60000</v>
      </c>
      <c r="TW109" s="11">
        <v>50000</v>
      </c>
      <c r="TX109" s="11">
        <v>80000</v>
      </c>
      <c r="TY109" s="11">
        <v>50000</v>
      </c>
      <c r="TZ109" s="11">
        <v>280000</v>
      </c>
      <c r="UA109" s="11">
        <v>55000</v>
      </c>
      <c r="UB109" s="11">
        <v>540000</v>
      </c>
      <c r="UC109" s="11"/>
      <c r="UD109" s="11"/>
      <c r="UE109" s="11">
        <v>90000</v>
      </c>
      <c r="UF109" s="11"/>
      <c r="UG109" s="11">
        <v>55000</v>
      </c>
      <c r="UH109" s="11">
        <v>55000</v>
      </c>
      <c r="UI109" s="11">
        <v>75000</v>
      </c>
      <c r="UJ109" s="11">
        <v>80000</v>
      </c>
      <c r="UK109" s="11">
        <v>1309920</v>
      </c>
      <c r="UL109" s="11">
        <v>130000</v>
      </c>
      <c r="UM109" s="11">
        <v>80000</v>
      </c>
      <c r="UN109" s="11">
        <v>75000</v>
      </c>
      <c r="UO109" s="11">
        <v>130000</v>
      </c>
      <c r="UP109" s="11"/>
      <c r="UQ109" s="11"/>
      <c r="UR109" s="11">
        <v>70000</v>
      </c>
      <c r="US109" s="11">
        <v>95000</v>
      </c>
      <c r="UT109" s="11">
        <v>395000</v>
      </c>
      <c r="UU109" s="11">
        <v>25000</v>
      </c>
      <c r="UV109" s="11"/>
      <c r="UW109" s="11">
        <v>230000</v>
      </c>
      <c r="UX109" s="11"/>
      <c r="UY109" s="11">
        <v>130000</v>
      </c>
      <c r="UZ109" s="11">
        <v>70000</v>
      </c>
      <c r="VA109" s="11"/>
      <c r="VB109" s="11"/>
      <c r="VC109" s="11">
        <v>45000</v>
      </c>
      <c r="VD109" s="11"/>
      <c r="VE109" s="11">
        <v>50000</v>
      </c>
      <c r="VF109" s="11"/>
      <c r="VG109" s="11">
        <v>70000</v>
      </c>
      <c r="VH109" s="11">
        <v>40000</v>
      </c>
      <c r="VI109" s="11"/>
      <c r="VJ109" s="11"/>
      <c r="VK109" s="11">
        <v>60000</v>
      </c>
      <c r="VL109" s="11">
        <v>30000</v>
      </c>
      <c r="VM109" s="11"/>
      <c r="VN109" s="11">
        <v>65000</v>
      </c>
      <c r="VO109" s="11">
        <v>65000</v>
      </c>
      <c r="VP109" s="11"/>
      <c r="VQ109" s="11"/>
      <c r="VR109" s="11">
        <v>155000</v>
      </c>
      <c r="VS109" s="11">
        <v>115000</v>
      </c>
      <c r="VT109" s="11"/>
      <c r="VU109" s="11"/>
      <c r="VV109" s="11">
        <v>305000</v>
      </c>
      <c r="VW109" s="11"/>
      <c r="VX109" s="11">
        <v>450000</v>
      </c>
      <c r="VY109" s="11"/>
      <c r="VZ109" s="11"/>
      <c r="WA109" s="11">
        <v>55000</v>
      </c>
      <c r="WB109" s="11"/>
      <c r="WC109" s="11">
        <v>165000</v>
      </c>
      <c r="WD109" s="11">
        <v>120000</v>
      </c>
      <c r="WE109" s="11"/>
      <c r="WF109" s="11">
        <v>50000</v>
      </c>
      <c r="WG109" s="11">
        <v>85000</v>
      </c>
      <c r="WH109" s="11">
        <v>265000</v>
      </c>
      <c r="WI109" s="11">
        <v>245000</v>
      </c>
      <c r="WJ109" s="11">
        <v>130000</v>
      </c>
      <c r="WK109" s="11">
        <v>130000</v>
      </c>
      <c r="WL109" s="11">
        <v>70000</v>
      </c>
      <c r="WM109" s="11">
        <v>150000</v>
      </c>
      <c r="WN109" s="11"/>
      <c r="WO109" s="11">
        <v>190000</v>
      </c>
      <c r="WP109" s="11">
        <v>335000</v>
      </c>
      <c r="WQ109" s="11"/>
      <c r="WR109" s="11">
        <v>195000</v>
      </c>
      <c r="WS109" s="11">
        <v>255000</v>
      </c>
      <c r="WT109" s="11">
        <v>100000</v>
      </c>
      <c r="WU109" s="11">
        <v>285000</v>
      </c>
      <c r="WV109" s="11">
        <v>400000</v>
      </c>
      <c r="WW109" s="11"/>
      <c r="WX109" s="11"/>
      <c r="WY109" s="11">
        <v>85000</v>
      </c>
      <c r="WZ109" s="11"/>
      <c r="XA109" s="11">
        <v>60000</v>
      </c>
      <c r="XB109" s="11">
        <v>70000</v>
      </c>
      <c r="XC109" s="11">
        <v>105000</v>
      </c>
      <c r="XD109" s="11">
        <v>0</v>
      </c>
      <c r="XE109" s="11">
        <v>45000</v>
      </c>
      <c r="XF109" s="11">
        <v>30000</v>
      </c>
      <c r="XG109" s="11">
        <v>40000</v>
      </c>
      <c r="XH109" s="11">
        <v>40000</v>
      </c>
      <c r="XI109" s="11">
        <v>1490000</v>
      </c>
      <c r="XJ109" s="11">
        <v>175000</v>
      </c>
      <c r="XK109" s="11">
        <v>150000</v>
      </c>
      <c r="XL109" s="11">
        <v>455000</v>
      </c>
      <c r="XM109" s="11">
        <v>405000</v>
      </c>
      <c r="XN109" s="11">
        <v>70000</v>
      </c>
      <c r="XO109" s="11">
        <v>148000</v>
      </c>
      <c r="XP109" s="11">
        <v>125000</v>
      </c>
      <c r="XQ109" s="11">
        <v>85000</v>
      </c>
      <c r="XR109" s="11">
        <v>180000</v>
      </c>
      <c r="XS109" s="11">
        <v>130000</v>
      </c>
      <c r="XT109" s="11">
        <v>110000</v>
      </c>
      <c r="XU109" s="11">
        <v>250000</v>
      </c>
      <c r="XV109" s="11">
        <v>95000</v>
      </c>
      <c r="XW109" s="11">
        <v>75000</v>
      </c>
      <c r="XX109" s="11">
        <v>45000</v>
      </c>
      <c r="XY109" s="11">
        <v>50000</v>
      </c>
      <c r="XZ109" s="11">
        <v>120000</v>
      </c>
      <c r="YA109" s="11">
        <v>60000</v>
      </c>
      <c r="YB109" s="11">
        <v>50000</v>
      </c>
      <c r="YC109" s="11"/>
      <c r="YD109" s="11">
        <v>50000</v>
      </c>
      <c r="YE109" s="11">
        <v>100000</v>
      </c>
      <c r="YF109" s="11"/>
      <c r="YG109" s="11">
        <v>85000</v>
      </c>
      <c r="YH109" s="11">
        <v>140000</v>
      </c>
      <c r="YI109" s="11"/>
      <c r="YJ109" s="11">
        <v>285000</v>
      </c>
      <c r="YK109" s="11">
        <v>145000</v>
      </c>
      <c r="YL109" s="11">
        <v>290000</v>
      </c>
      <c r="YM109" s="11">
        <v>75000</v>
      </c>
      <c r="YN109" s="11">
        <v>185000</v>
      </c>
      <c r="YO109" s="11">
        <v>185000</v>
      </c>
      <c r="YP109" s="11">
        <v>120000</v>
      </c>
      <c r="YQ109" s="11">
        <v>50000</v>
      </c>
      <c r="YR109" s="11">
        <v>110000</v>
      </c>
      <c r="YS109" s="11">
        <v>115000</v>
      </c>
      <c r="YT109" s="11"/>
      <c r="YU109" s="11">
        <v>95000</v>
      </c>
      <c r="YV109" s="11">
        <v>100000</v>
      </c>
      <c r="YW109" s="11">
        <v>410000</v>
      </c>
      <c r="YX109" s="11">
        <v>300000</v>
      </c>
      <c r="YY109" s="11">
        <v>190000</v>
      </c>
      <c r="YZ109" s="11">
        <v>75000</v>
      </c>
      <c r="ZA109" s="11">
        <v>210000</v>
      </c>
      <c r="ZB109" s="11">
        <v>110000</v>
      </c>
      <c r="ZC109" s="11">
        <v>30000</v>
      </c>
      <c r="ZD109" s="11">
        <v>460000</v>
      </c>
      <c r="ZE109" s="11">
        <v>75000</v>
      </c>
      <c r="ZF109" s="11">
        <v>55000</v>
      </c>
      <c r="ZG109" s="11">
        <v>90000</v>
      </c>
      <c r="ZH109" s="11">
        <v>45000</v>
      </c>
      <c r="ZI109" s="11">
        <v>90000</v>
      </c>
      <c r="ZJ109" s="11">
        <v>50000</v>
      </c>
      <c r="ZK109" s="11">
        <v>60000</v>
      </c>
      <c r="ZL109" s="11">
        <v>225000</v>
      </c>
      <c r="ZM109" s="11"/>
      <c r="ZN109" s="11"/>
      <c r="ZO109" s="11">
        <v>195000</v>
      </c>
      <c r="ZP109" s="11">
        <v>390000</v>
      </c>
      <c r="ZQ109" s="11">
        <v>180000</v>
      </c>
      <c r="ZR109" s="11"/>
      <c r="ZS109" s="11">
        <v>120000</v>
      </c>
      <c r="ZT109" s="11"/>
      <c r="ZU109" s="11"/>
      <c r="ZV109" s="11">
        <v>280000</v>
      </c>
      <c r="ZW109" s="11">
        <v>95000</v>
      </c>
      <c r="ZX109" s="11">
        <v>80000</v>
      </c>
      <c r="ZY109" s="11">
        <v>70000</v>
      </c>
      <c r="ZZ109" s="11"/>
      <c r="AAA109" s="11"/>
      <c r="AAB109" s="11">
        <v>60000</v>
      </c>
      <c r="AAC109" s="11">
        <v>80000</v>
      </c>
      <c r="AAD109" s="11"/>
      <c r="AAE109" s="11"/>
      <c r="AAF109" s="11"/>
      <c r="AAG109" s="11">
        <v>20000</v>
      </c>
      <c r="AAH109" s="11"/>
      <c r="AAI109" s="11"/>
      <c r="AAJ109" s="11">
        <v>80000</v>
      </c>
      <c r="AAK109" s="11">
        <v>115000</v>
      </c>
      <c r="AAL109" s="11"/>
      <c r="AAM109" s="11"/>
      <c r="AAN109" s="11">
        <v>100000</v>
      </c>
      <c r="AAO109" s="11"/>
      <c r="AAP109" s="11"/>
      <c r="AAQ109" s="11">
        <v>110000</v>
      </c>
      <c r="AAR109" s="11">
        <v>55000</v>
      </c>
      <c r="AAS109" s="11"/>
      <c r="AAT109" s="11"/>
      <c r="AAU109" s="11">
        <v>75000</v>
      </c>
      <c r="AAV109" s="11">
        <v>115000</v>
      </c>
      <c r="AAW109" s="11">
        <v>180000</v>
      </c>
      <c r="AAX109" s="11"/>
      <c r="AAY109" s="11"/>
      <c r="AAZ109" s="11"/>
      <c r="ABA109" s="11">
        <v>610000</v>
      </c>
      <c r="ABB109" s="11"/>
      <c r="ABC109" s="11">
        <v>40000</v>
      </c>
      <c r="ABD109" s="11">
        <v>80000</v>
      </c>
      <c r="ABE109" s="11">
        <v>80000</v>
      </c>
      <c r="ABF109" s="11">
        <v>120000</v>
      </c>
      <c r="ABG109" s="11">
        <v>105000</v>
      </c>
      <c r="ABH109" s="11"/>
      <c r="ABI109" s="11">
        <v>490000</v>
      </c>
      <c r="ABJ109" s="11">
        <v>420000</v>
      </c>
      <c r="ABK109" s="11">
        <v>90000</v>
      </c>
      <c r="ABL109" s="11"/>
      <c r="ABM109" s="11">
        <v>65000</v>
      </c>
      <c r="ABN109" s="11"/>
      <c r="ABO109" s="11"/>
      <c r="ABP109" s="11"/>
      <c r="ABQ109" s="11">
        <v>85000</v>
      </c>
      <c r="ABR109" s="11">
        <v>75000</v>
      </c>
      <c r="ABS109" s="11">
        <v>110000</v>
      </c>
      <c r="ABT109" s="11">
        <v>80000</v>
      </c>
      <c r="ABU109" s="11">
        <v>85000</v>
      </c>
      <c r="ABV109" s="11">
        <v>75000</v>
      </c>
      <c r="ABW109" s="11">
        <v>80000</v>
      </c>
      <c r="ABX109" s="11">
        <v>50000</v>
      </c>
      <c r="ABY109" s="11">
        <v>0</v>
      </c>
      <c r="ABZ109" s="11"/>
      <c r="ACA109" s="11"/>
      <c r="ACB109" s="11">
        <v>45000</v>
      </c>
      <c r="ACC109" s="11">
        <v>45000</v>
      </c>
      <c r="ACD109" s="11"/>
      <c r="ACE109" s="11"/>
      <c r="ACF109" s="11">
        <v>65000</v>
      </c>
      <c r="ACG109" s="11">
        <v>35000</v>
      </c>
      <c r="ACH109" s="11"/>
      <c r="ACI109" s="11">
        <v>40000</v>
      </c>
      <c r="ACJ109" s="11"/>
      <c r="ACK109" s="11"/>
      <c r="ACL109" s="11"/>
      <c r="ACM109" s="11"/>
      <c r="ACN109" s="11"/>
      <c r="ACO109" s="11"/>
      <c r="ACP109" s="11">
        <v>140000</v>
      </c>
      <c r="ACQ109" s="11"/>
      <c r="ACR109" s="11"/>
      <c r="ACS109" s="11"/>
      <c r="ACT109" s="11"/>
      <c r="ACU109" s="11">
        <v>110000</v>
      </c>
      <c r="ACV109" s="11"/>
      <c r="ACW109" s="11">
        <v>565000</v>
      </c>
      <c r="ACX109" s="11">
        <v>85000</v>
      </c>
      <c r="ACY109" s="11">
        <v>90000</v>
      </c>
      <c r="ACZ109" s="11"/>
      <c r="ADA109" s="11"/>
      <c r="ADB109" s="11">
        <v>45000</v>
      </c>
      <c r="ADC109" s="11"/>
      <c r="ADD109" s="11">
        <v>45000</v>
      </c>
      <c r="ADE109" s="11">
        <v>80000</v>
      </c>
      <c r="ADF109" s="11">
        <v>55000</v>
      </c>
      <c r="ADG109" s="11">
        <v>185000</v>
      </c>
      <c r="ADH109" s="11"/>
      <c r="ADI109" s="11"/>
      <c r="ADJ109" s="11"/>
      <c r="ADK109" s="11"/>
      <c r="ADL109" s="11">
        <v>20000</v>
      </c>
      <c r="ADM109" s="11">
        <v>55000</v>
      </c>
      <c r="ADN109" s="11">
        <v>40000</v>
      </c>
      <c r="ADO109" s="11">
        <v>100000</v>
      </c>
      <c r="ADP109" s="11">
        <v>0</v>
      </c>
      <c r="ADQ109" s="11"/>
      <c r="ADR109" s="11">
        <v>10000</v>
      </c>
      <c r="ADS109" s="11"/>
      <c r="ADT109" s="11"/>
      <c r="ADU109" s="11"/>
      <c r="ADV109" s="11">
        <v>0</v>
      </c>
      <c r="ADW109" s="11">
        <v>95000</v>
      </c>
      <c r="ADX109" s="11">
        <v>25000</v>
      </c>
      <c r="ADY109" s="11"/>
      <c r="ADZ109" s="11"/>
      <c r="AEA109" s="11">
        <v>255000</v>
      </c>
      <c r="AEB109" s="11">
        <v>215000</v>
      </c>
      <c r="AEC109" s="11">
        <v>70000</v>
      </c>
      <c r="AED109" s="11">
        <v>45000</v>
      </c>
      <c r="AEE109" s="11"/>
      <c r="AEF109" s="11">
        <v>80000</v>
      </c>
      <c r="AEG109" s="11">
        <v>90000</v>
      </c>
      <c r="AEH109" s="11"/>
      <c r="AEI109" s="11">
        <v>30000</v>
      </c>
      <c r="AEJ109" s="11"/>
      <c r="AEK109" s="11">
        <v>100000</v>
      </c>
      <c r="AEL109" s="11">
        <v>60000</v>
      </c>
      <c r="AEM109" s="11"/>
      <c r="AEN109" s="11">
        <v>90000</v>
      </c>
      <c r="AEO109" s="11">
        <v>105000</v>
      </c>
      <c r="AEP109" s="11">
        <v>80000</v>
      </c>
      <c r="AEQ109" s="11">
        <v>37000</v>
      </c>
      <c r="AER109" s="11">
        <v>45000</v>
      </c>
      <c r="AES109" s="11"/>
      <c r="AET109" s="11"/>
      <c r="AEU109" s="11">
        <v>175000</v>
      </c>
      <c r="AEV109" s="11">
        <v>215000</v>
      </c>
      <c r="AEW109" s="11">
        <v>70000</v>
      </c>
      <c r="AEX109" s="11"/>
      <c r="AEY109" s="11">
        <v>255000</v>
      </c>
      <c r="AEZ109" s="11">
        <v>75000</v>
      </c>
      <c r="AFA109" s="11">
        <v>100000</v>
      </c>
      <c r="AFB109" s="11">
        <v>130000</v>
      </c>
      <c r="AFC109" s="11">
        <v>85000</v>
      </c>
      <c r="AFD109" s="11"/>
      <c r="AFE109" s="11"/>
      <c r="AFF109" s="11">
        <v>150000</v>
      </c>
      <c r="AFG109" s="11">
        <v>100000</v>
      </c>
      <c r="AFH109" s="11"/>
      <c r="AFI109" s="11">
        <v>145000</v>
      </c>
      <c r="AFJ109" s="11">
        <v>70000</v>
      </c>
      <c r="AFK109" s="11">
        <v>130000</v>
      </c>
      <c r="AFL109" s="11">
        <v>130000</v>
      </c>
      <c r="AFM109" s="11"/>
      <c r="AFN109" s="11">
        <v>90000</v>
      </c>
      <c r="AFO109" s="11">
        <v>125000</v>
      </c>
      <c r="AFP109" s="11">
        <v>115000</v>
      </c>
      <c r="AFQ109" s="11">
        <v>550000</v>
      </c>
      <c r="AFR109" s="11">
        <v>125000</v>
      </c>
      <c r="AFS109" s="11">
        <v>95000</v>
      </c>
      <c r="AFT109" s="11">
        <v>120000</v>
      </c>
      <c r="AFU109" s="11">
        <v>155000</v>
      </c>
      <c r="AFV109" s="11">
        <v>110000</v>
      </c>
      <c r="AFW109" s="11">
        <v>130000</v>
      </c>
      <c r="AFX109" s="11">
        <v>135000</v>
      </c>
      <c r="AFY109" s="11">
        <v>145000</v>
      </c>
      <c r="AFZ109" s="11">
        <v>60000</v>
      </c>
      <c r="AGA109" s="11">
        <v>475000</v>
      </c>
      <c r="AGB109" s="11">
        <v>105000</v>
      </c>
      <c r="AGC109" s="11">
        <v>730000</v>
      </c>
      <c r="AGD109" s="11">
        <v>80000</v>
      </c>
      <c r="AGE109" s="11">
        <v>70000</v>
      </c>
      <c r="AGF109" s="11">
        <v>70000</v>
      </c>
      <c r="AGG109" s="11">
        <v>0</v>
      </c>
      <c r="AGH109" s="11">
        <v>105000</v>
      </c>
      <c r="AGI109" s="11">
        <v>50000</v>
      </c>
      <c r="AGJ109" s="11">
        <v>110000</v>
      </c>
      <c r="AGK109" s="11"/>
      <c r="AGL109" s="11">
        <v>170950</v>
      </c>
      <c r="AGM109" s="11"/>
      <c r="AGN109" s="11">
        <v>1065000</v>
      </c>
      <c r="AGO109" s="11"/>
      <c r="AGP109" s="11">
        <v>165000</v>
      </c>
      <c r="AGQ109" s="11">
        <v>105000</v>
      </c>
      <c r="AGR109" s="11">
        <v>180000</v>
      </c>
      <c r="AGS109" s="11">
        <v>145000</v>
      </c>
      <c r="AGT109" s="11">
        <v>140000</v>
      </c>
      <c r="AGU109" s="11">
        <v>75000</v>
      </c>
      <c r="AGV109" s="11"/>
      <c r="AGW109" s="11"/>
      <c r="AGX109" s="11">
        <v>105000</v>
      </c>
      <c r="AGY109" s="11">
        <v>275000</v>
      </c>
      <c r="AGZ109" s="11">
        <v>320000</v>
      </c>
      <c r="AHA109" s="11">
        <v>175000</v>
      </c>
      <c r="AHB109" s="11">
        <v>140000</v>
      </c>
      <c r="AHC109" s="11">
        <v>155000</v>
      </c>
      <c r="AHD109" s="11">
        <v>45000</v>
      </c>
      <c r="AHE109" s="11">
        <v>130000</v>
      </c>
      <c r="AHF109" s="11"/>
      <c r="AHG109" s="11"/>
      <c r="AHH109" s="11">
        <v>110000</v>
      </c>
      <c r="AHI109" s="11">
        <v>90000</v>
      </c>
      <c r="AHJ109" s="11">
        <v>90000</v>
      </c>
      <c r="AHK109" s="11">
        <v>115000</v>
      </c>
      <c r="AHL109" s="11">
        <v>65000</v>
      </c>
      <c r="AHM109" s="11">
        <v>490000</v>
      </c>
      <c r="AHN109" s="11"/>
      <c r="AHO109" s="11">
        <v>65000</v>
      </c>
      <c r="AHP109" s="11">
        <v>85000</v>
      </c>
      <c r="AHQ109" s="11">
        <v>275000</v>
      </c>
      <c r="AHR109" s="11">
        <v>80000</v>
      </c>
      <c r="AHS109" s="11">
        <v>95000</v>
      </c>
      <c r="AHT109" s="11">
        <v>98482886.670000002</v>
      </c>
      <c r="AHV109" s="269" t="s">
        <v>6278</v>
      </c>
      <c r="AHW109" s="269" t="s">
        <v>6159</v>
      </c>
      <c r="AHX109" s="269" t="s">
        <v>6160</v>
      </c>
    </row>
    <row r="110" spans="1:908" x14ac:dyDescent="0.7">
      <c r="A110" s="6" t="s">
        <v>6278</v>
      </c>
      <c r="B110" s="6" t="s">
        <v>6497</v>
      </c>
      <c r="C110" s="6" t="s">
        <v>6168</v>
      </c>
      <c r="D110" s="11">
        <v>24426990</v>
      </c>
      <c r="E110" s="11">
        <v>1088035</v>
      </c>
      <c r="F110" s="11"/>
      <c r="G110" s="11">
        <v>390000</v>
      </c>
      <c r="H110" s="11">
        <v>2183780</v>
      </c>
      <c r="I110" s="11">
        <v>955012.5</v>
      </c>
      <c r="J110" s="11"/>
      <c r="K110" s="11">
        <v>1285000</v>
      </c>
      <c r="L110" s="11">
        <v>1389020</v>
      </c>
      <c r="M110" s="11">
        <v>520415</v>
      </c>
      <c r="N110" s="11">
        <v>565000</v>
      </c>
      <c r="O110" s="11">
        <v>437410</v>
      </c>
      <c r="P110" s="11">
        <v>697315</v>
      </c>
      <c r="Q110" s="11">
        <v>633950</v>
      </c>
      <c r="R110" s="11">
        <v>432930</v>
      </c>
      <c r="S110" s="11">
        <v>1200000</v>
      </c>
      <c r="T110" s="11">
        <v>468701.5</v>
      </c>
      <c r="U110" s="11"/>
      <c r="V110" s="11">
        <v>30157333.5</v>
      </c>
      <c r="W110" s="11">
        <v>3814820.19</v>
      </c>
      <c r="X110" s="11">
        <v>845706</v>
      </c>
      <c r="Y110" s="11">
        <v>2500000</v>
      </c>
      <c r="Z110" s="11">
        <v>800693</v>
      </c>
      <c r="AA110" s="11">
        <v>917463.25</v>
      </c>
      <c r="AB110" s="11">
        <v>587956.75</v>
      </c>
      <c r="AC110" s="11">
        <v>4533295</v>
      </c>
      <c r="AD110" s="11">
        <v>2084199.36</v>
      </c>
      <c r="AE110" s="11">
        <v>0</v>
      </c>
      <c r="AF110" s="11">
        <v>3275565</v>
      </c>
      <c r="AG110" s="11"/>
      <c r="AH110" s="11">
        <v>4117166.39</v>
      </c>
      <c r="AI110" s="11">
        <v>2291337.5</v>
      </c>
      <c r="AJ110" s="11">
        <v>732815</v>
      </c>
      <c r="AK110" s="11">
        <v>618172</v>
      </c>
      <c r="AL110" s="11">
        <v>1500000</v>
      </c>
      <c r="AM110" s="11"/>
      <c r="AN110" s="11">
        <v>545390.75</v>
      </c>
      <c r="AO110" s="11"/>
      <c r="AP110" s="11">
        <v>563380</v>
      </c>
      <c r="AQ110" s="11">
        <v>348968.76</v>
      </c>
      <c r="AR110" s="11">
        <v>320000</v>
      </c>
      <c r="AS110" s="11">
        <v>405296.25</v>
      </c>
      <c r="AT110" s="11">
        <v>8093159.2400000002</v>
      </c>
      <c r="AU110" s="11">
        <v>471510</v>
      </c>
      <c r="AV110" s="11">
        <v>362610</v>
      </c>
      <c r="AW110" s="11">
        <v>577000</v>
      </c>
      <c r="AX110" s="11">
        <v>607130</v>
      </c>
      <c r="AY110" s="11">
        <v>671422.5</v>
      </c>
      <c r="AZ110" s="11">
        <v>411200</v>
      </c>
      <c r="BA110" s="11">
        <v>316740</v>
      </c>
      <c r="BB110" s="11">
        <v>260460</v>
      </c>
      <c r="BC110" s="11">
        <v>267135</v>
      </c>
      <c r="BD110" s="11">
        <v>432780</v>
      </c>
      <c r="BE110" s="11">
        <v>429808</v>
      </c>
      <c r="BF110" s="11">
        <v>1644200</v>
      </c>
      <c r="BG110" s="11">
        <v>320670</v>
      </c>
      <c r="BH110" s="11">
        <v>0</v>
      </c>
      <c r="BI110" s="11">
        <v>2619070.5</v>
      </c>
      <c r="BJ110" s="11">
        <v>3930063</v>
      </c>
      <c r="BK110" s="11">
        <v>744083.25</v>
      </c>
      <c r="BL110" s="11"/>
      <c r="BM110" s="11">
        <v>568103.5</v>
      </c>
      <c r="BN110" s="11">
        <v>675000</v>
      </c>
      <c r="BO110" s="11"/>
      <c r="BP110" s="11"/>
      <c r="BQ110" s="11">
        <v>0</v>
      </c>
      <c r="BR110" s="11"/>
      <c r="BS110" s="11">
        <v>661567.5</v>
      </c>
      <c r="BT110" s="11"/>
      <c r="BU110" s="11">
        <v>455400</v>
      </c>
      <c r="BV110" s="11"/>
      <c r="BW110" s="11"/>
      <c r="BX110" s="11">
        <v>372490</v>
      </c>
      <c r="BY110" s="11">
        <v>336010</v>
      </c>
      <c r="BZ110" s="11">
        <v>3292500</v>
      </c>
      <c r="CA110" s="11">
        <v>456455</v>
      </c>
      <c r="CB110" s="11">
        <v>897674.25</v>
      </c>
      <c r="CC110" s="11">
        <v>2000000</v>
      </c>
      <c r="CD110" s="11">
        <v>558102.76</v>
      </c>
      <c r="CE110" s="11">
        <v>480795</v>
      </c>
      <c r="CF110" s="11">
        <v>450000</v>
      </c>
      <c r="CG110" s="11">
        <v>18438000</v>
      </c>
      <c r="CH110" s="11">
        <v>396840</v>
      </c>
      <c r="CI110" s="11">
        <v>2977793</v>
      </c>
      <c r="CJ110" s="11">
        <v>848990</v>
      </c>
      <c r="CK110" s="11">
        <v>811952.5</v>
      </c>
      <c r="CL110" s="11">
        <v>825000</v>
      </c>
      <c r="CM110" s="11">
        <v>648901.25</v>
      </c>
      <c r="CN110" s="11">
        <v>1412853</v>
      </c>
      <c r="CO110" s="11">
        <v>349890</v>
      </c>
      <c r="CP110" s="11">
        <v>333973.75</v>
      </c>
      <c r="CQ110" s="11">
        <v>469349</v>
      </c>
      <c r="CR110" s="11">
        <v>589402.5</v>
      </c>
      <c r="CS110" s="11">
        <v>367935</v>
      </c>
      <c r="CT110" s="11">
        <v>6700000</v>
      </c>
      <c r="CU110" s="11">
        <v>193085</v>
      </c>
      <c r="CV110" s="11">
        <v>266880</v>
      </c>
      <c r="CW110" s="11">
        <v>731455</v>
      </c>
      <c r="CX110" s="11">
        <v>698046.37</v>
      </c>
      <c r="CY110" s="11">
        <v>693652.5</v>
      </c>
      <c r="CZ110" s="11">
        <v>335375</v>
      </c>
      <c r="DA110" s="11">
        <v>472000</v>
      </c>
      <c r="DB110" s="11">
        <v>6184379</v>
      </c>
      <c r="DC110" s="11">
        <v>6697591</v>
      </c>
      <c r="DD110" s="11">
        <v>757693.25</v>
      </c>
      <c r="DE110" s="11">
        <v>490000</v>
      </c>
      <c r="DF110" s="11"/>
      <c r="DG110" s="11">
        <v>1896130</v>
      </c>
      <c r="DH110" s="11"/>
      <c r="DI110" s="11">
        <v>633050.25</v>
      </c>
      <c r="DJ110" s="11">
        <v>594543.88</v>
      </c>
      <c r="DK110" s="11">
        <v>19355202.75</v>
      </c>
      <c r="DL110" s="11">
        <v>642990</v>
      </c>
      <c r="DM110" s="11">
        <v>646000</v>
      </c>
      <c r="DN110" s="11">
        <v>448000</v>
      </c>
      <c r="DO110" s="11">
        <v>46810</v>
      </c>
      <c r="DP110" s="11">
        <v>470000</v>
      </c>
      <c r="DQ110" s="11">
        <v>1306840</v>
      </c>
      <c r="DR110" s="11">
        <v>471775</v>
      </c>
      <c r="DS110" s="11">
        <v>1886000</v>
      </c>
      <c r="DT110" s="11"/>
      <c r="DU110" s="11">
        <v>1085535</v>
      </c>
      <c r="DV110" s="11">
        <v>3295000</v>
      </c>
      <c r="DW110" s="11">
        <v>3565000</v>
      </c>
      <c r="DX110" s="11">
        <v>1385316</v>
      </c>
      <c r="DY110" s="11"/>
      <c r="DZ110" s="11">
        <v>1500000</v>
      </c>
      <c r="EA110" s="11">
        <v>413693.75</v>
      </c>
      <c r="EB110" s="11">
        <v>792010</v>
      </c>
      <c r="EC110" s="11">
        <v>750000</v>
      </c>
      <c r="ED110" s="11">
        <v>0</v>
      </c>
      <c r="EE110" s="11">
        <v>3887217</v>
      </c>
      <c r="EF110" s="11">
        <v>3139620</v>
      </c>
      <c r="EG110" s="11">
        <v>1031180</v>
      </c>
      <c r="EH110" s="11">
        <v>448555</v>
      </c>
      <c r="EI110" s="11">
        <v>521322.5</v>
      </c>
      <c r="EJ110" s="11">
        <v>903318.5</v>
      </c>
      <c r="EK110" s="11">
        <v>1293980</v>
      </c>
      <c r="EL110" s="11">
        <v>334720</v>
      </c>
      <c r="EM110" s="11">
        <v>136780</v>
      </c>
      <c r="EN110" s="11">
        <v>7719224</v>
      </c>
      <c r="EO110" s="11">
        <v>593310</v>
      </c>
      <c r="EP110" s="11">
        <v>479445</v>
      </c>
      <c r="EQ110" s="11">
        <v>792847.5</v>
      </c>
      <c r="ER110" s="11">
        <v>398550</v>
      </c>
      <c r="ES110" s="11">
        <v>508150</v>
      </c>
      <c r="ET110" s="11">
        <v>995875</v>
      </c>
      <c r="EU110" s="11">
        <v>1132633.75</v>
      </c>
      <c r="EV110" s="11">
        <v>577472.5</v>
      </c>
      <c r="EW110" s="11">
        <v>8830000</v>
      </c>
      <c r="EX110" s="11">
        <v>256100</v>
      </c>
      <c r="EY110" s="11">
        <v>387045</v>
      </c>
      <c r="EZ110" s="11">
        <v>603450</v>
      </c>
      <c r="FA110" s="11">
        <v>1663517.5</v>
      </c>
      <c r="FB110" s="11"/>
      <c r="FC110" s="11">
        <v>1044110</v>
      </c>
      <c r="FD110" s="11">
        <v>606595</v>
      </c>
      <c r="FE110" s="11">
        <v>230045</v>
      </c>
      <c r="FF110" s="11">
        <v>428135</v>
      </c>
      <c r="FG110" s="11">
        <v>553080</v>
      </c>
      <c r="FH110" s="11">
        <v>528045.56000000006</v>
      </c>
      <c r="FI110" s="11"/>
      <c r="FJ110" s="11">
        <v>427000</v>
      </c>
      <c r="FK110" s="11">
        <v>228240</v>
      </c>
      <c r="FL110" s="11">
        <v>1029880</v>
      </c>
      <c r="FM110" s="11"/>
      <c r="FN110" s="11"/>
      <c r="FO110" s="11"/>
      <c r="FP110" s="11"/>
      <c r="FQ110" s="11"/>
      <c r="FR110" s="11">
        <v>348000</v>
      </c>
      <c r="FS110" s="11"/>
      <c r="FT110" s="11"/>
      <c r="FU110" s="11"/>
      <c r="FV110" s="11">
        <v>656740</v>
      </c>
      <c r="FW110" s="11">
        <v>2164148.75</v>
      </c>
      <c r="FX110" s="11">
        <v>900000</v>
      </c>
      <c r="FY110" s="11">
        <v>583470</v>
      </c>
      <c r="FZ110" s="11">
        <v>405297.5</v>
      </c>
      <c r="GA110" s="11">
        <v>2008250</v>
      </c>
      <c r="GB110" s="11">
        <v>590720</v>
      </c>
      <c r="GC110" s="11">
        <v>0</v>
      </c>
      <c r="GD110" s="11">
        <v>402420</v>
      </c>
      <c r="GE110" s="11"/>
      <c r="GF110" s="11"/>
      <c r="GG110" s="11"/>
      <c r="GH110" s="11"/>
      <c r="GI110" s="11"/>
      <c r="GJ110" s="11">
        <v>525000</v>
      </c>
      <c r="GK110" s="11">
        <v>682603.5</v>
      </c>
      <c r="GL110" s="11"/>
      <c r="GM110" s="11">
        <v>345566.14</v>
      </c>
      <c r="GN110" s="11">
        <v>406000</v>
      </c>
      <c r="GO110" s="11"/>
      <c r="GP110" s="11"/>
      <c r="GQ110" s="11">
        <v>3084850</v>
      </c>
      <c r="GR110" s="11">
        <v>1002018</v>
      </c>
      <c r="GS110" s="11">
        <v>332943.75</v>
      </c>
      <c r="GT110" s="11">
        <v>1081000</v>
      </c>
      <c r="GU110" s="11">
        <v>230300</v>
      </c>
      <c r="GV110" s="11">
        <v>850000</v>
      </c>
      <c r="GW110" s="11">
        <v>871900</v>
      </c>
      <c r="GX110" s="11">
        <v>400000</v>
      </c>
      <c r="GY110" s="11">
        <v>4021850</v>
      </c>
      <c r="GZ110" s="11">
        <v>66123</v>
      </c>
      <c r="HA110" s="11">
        <v>378842.5</v>
      </c>
      <c r="HB110" s="11">
        <v>700000</v>
      </c>
      <c r="HC110" s="11"/>
      <c r="HD110" s="11"/>
      <c r="HE110" s="11">
        <v>1678440</v>
      </c>
      <c r="HF110" s="11">
        <v>-337992.5</v>
      </c>
      <c r="HG110" s="11">
        <v>644844</v>
      </c>
      <c r="HH110" s="11">
        <v>2080000</v>
      </c>
      <c r="HI110" s="11">
        <v>648136</v>
      </c>
      <c r="HJ110" s="11">
        <v>1095875</v>
      </c>
      <c r="HK110" s="11">
        <v>6300000</v>
      </c>
      <c r="HL110" s="11"/>
      <c r="HM110" s="11">
        <v>2210000</v>
      </c>
      <c r="HN110" s="11">
        <v>1230000</v>
      </c>
      <c r="HO110" s="11">
        <v>484500</v>
      </c>
      <c r="HP110" s="11">
        <v>779311</v>
      </c>
      <c r="HQ110" s="11">
        <v>1596000</v>
      </c>
      <c r="HR110" s="11">
        <v>1000000</v>
      </c>
      <c r="HS110" s="11">
        <v>11215000</v>
      </c>
      <c r="HT110" s="11">
        <v>2173030</v>
      </c>
      <c r="HU110" s="11">
        <v>381035</v>
      </c>
      <c r="HV110" s="11">
        <v>427906.5</v>
      </c>
      <c r="HW110" s="11">
        <v>405450</v>
      </c>
      <c r="HX110" s="11">
        <v>221562.5</v>
      </c>
      <c r="HY110" s="11">
        <v>1480319.73</v>
      </c>
      <c r="HZ110" s="11">
        <v>457102.5</v>
      </c>
      <c r="IA110" s="11">
        <v>499942.5</v>
      </c>
      <c r="IB110" s="11">
        <v>546791.87</v>
      </c>
      <c r="IC110" s="11">
        <v>395733.8</v>
      </c>
      <c r="ID110" s="11">
        <v>817999</v>
      </c>
      <c r="IE110" s="11">
        <v>251805</v>
      </c>
      <c r="IF110" s="11">
        <v>679722.92</v>
      </c>
      <c r="IG110" s="11">
        <v>373330</v>
      </c>
      <c r="IH110" s="11">
        <v>335902.08</v>
      </c>
      <c r="II110" s="11"/>
      <c r="IJ110" s="11">
        <v>2250000</v>
      </c>
      <c r="IK110" s="11"/>
      <c r="IL110" s="11">
        <v>0</v>
      </c>
      <c r="IM110" s="11">
        <v>2005112.5</v>
      </c>
      <c r="IN110" s="11"/>
      <c r="IO110" s="11">
        <v>557000</v>
      </c>
      <c r="IP110" s="11"/>
      <c r="IQ110" s="11"/>
      <c r="IR110" s="11">
        <v>0</v>
      </c>
      <c r="IS110" s="11"/>
      <c r="IT110" s="11">
        <v>0</v>
      </c>
      <c r="IU110" s="11">
        <v>0</v>
      </c>
      <c r="IV110" s="11">
        <v>157360</v>
      </c>
      <c r="IW110" s="11">
        <v>850000</v>
      </c>
      <c r="IX110" s="11">
        <v>15843321.24</v>
      </c>
      <c r="IY110" s="11">
        <v>84850.5</v>
      </c>
      <c r="IZ110" s="11">
        <v>436000</v>
      </c>
      <c r="JA110" s="11">
        <v>374990</v>
      </c>
      <c r="JB110" s="11">
        <v>550000</v>
      </c>
      <c r="JC110" s="11">
        <v>548331</v>
      </c>
      <c r="JD110" s="11">
        <v>953840</v>
      </c>
      <c r="JE110" s="11">
        <v>750000</v>
      </c>
      <c r="JF110" s="11">
        <v>2510887</v>
      </c>
      <c r="JG110" s="11"/>
      <c r="JH110" s="11">
        <v>392095</v>
      </c>
      <c r="JI110" s="11"/>
      <c r="JJ110" s="11">
        <v>0</v>
      </c>
      <c r="JK110" s="11">
        <v>0</v>
      </c>
      <c r="JL110" s="11">
        <v>4282605</v>
      </c>
      <c r="JM110" s="11">
        <v>608355</v>
      </c>
      <c r="JN110" s="11">
        <v>682245</v>
      </c>
      <c r="JO110" s="11">
        <v>841180</v>
      </c>
      <c r="JP110" s="11">
        <v>464900</v>
      </c>
      <c r="JQ110" s="11">
        <v>458261.5</v>
      </c>
      <c r="JR110" s="11">
        <v>270966</v>
      </c>
      <c r="JS110" s="11">
        <v>7332271.25</v>
      </c>
      <c r="JT110" s="11">
        <v>2400000</v>
      </c>
      <c r="JU110" s="11">
        <v>718522.5</v>
      </c>
      <c r="JV110" s="11"/>
      <c r="JW110" s="11">
        <v>834265</v>
      </c>
      <c r="JX110" s="11"/>
      <c r="JY110" s="11">
        <v>2000000</v>
      </c>
      <c r="JZ110" s="11">
        <v>1535468.75</v>
      </c>
      <c r="KA110" s="11">
        <v>609055</v>
      </c>
      <c r="KB110" s="11">
        <v>810345</v>
      </c>
      <c r="KC110" s="11">
        <v>635470</v>
      </c>
      <c r="KD110" s="11">
        <v>760740</v>
      </c>
      <c r="KE110" s="11">
        <v>426190</v>
      </c>
      <c r="KF110" s="11">
        <v>260517.5</v>
      </c>
      <c r="KG110" s="11">
        <v>617655</v>
      </c>
      <c r="KH110" s="11"/>
      <c r="KI110" s="11">
        <v>23500000</v>
      </c>
      <c r="KJ110" s="11"/>
      <c r="KK110" s="11"/>
      <c r="KL110" s="11"/>
      <c r="KM110" s="11"/>
      <c r="KN110" s="11"/>
      <c r="KO110" s="11">
        <v>3468300</v>
      </c>
      <c r="KP110" s="11"/>
      <c r="KQ110" s="11"/>
      <c r="KR110" s="11">
        <v>4357316.95</v>
      </c>
      <c r="KS110" s="11">
        <v>601372.25</v>
      </c>
      <c r="KT110" s="11">
        <v>781737</v>
      </c>
      <c r="KU110" s="11">
        <v>222200</v>
      </c>
      <c r="KV110" s="11"/>
      <c r="KW110" s="11">
        <v>770044</v>
      </c>
      <c r="KX110" s="11">
        <v>9533120.5</v>
      </c>
      <c r="KY110" s="11">
        <v>1127094</v>
      </c>
      <c r="KZ110" s="11">
        <v>7333635.1699999999</v>
      </c>
      <c r="LA110" s="11">
        <v>530900</v>
      </c>
      <c r="LB110" s="11">
        <v>697685</v>
      </c>
      <c r="LC110" s="11">
        <v>2000000</v>
      </c>
      <c r="LD110" s="11">
        <v>1045000</v>
      </c>
      <c r="LE110" s="11">
        <v>660000</v>
      </c>
      <c r="LF110" s="11">
        <v>638972.5</v>
      </c>
      <c r="LG110" s="11">
        <v>1100000</v>
      </c>
      <c r="LH110" s="11">
        <v>13620000</v>
      </c>
      <c r="LI110" s="11"/>
      <c r="LJ110" s="11">
        <v>2397863.5</v>
      </c>
      <c r="LK110" s="11">
        <v>3585000</v>
      </c>
      <c r="LL110" s="11">
        <v>2619430</v>
      </c>
      <c r="LM110" s="11">
        <v>667785</v>
      </c>
      <c r="LN110" s="11"/>
      <c r="LO110" s="11">
        <v>1242178.72</v>
      </c>
      <c r="LP110" s="11">
        <v>-78675</v>
      </c>
      <c r="LQ110" s="11">
        <v>1143508</v>
      </c>
      <c r="LR110" s="11">
        <v>598000</v>
      </c>
      <c r="LS110" s="11">
        <v>3710755</v>
      </c>
      <c r="LT110" s="11">
        <v>650000</v>
      </c>
      <c r="LU110" s="11">
        <v>-4250</v>
      </c>
      <c r="LV110" s="11">
        <v>8434142.9399999995</v>
      </c>
      <c r="LW110" s="11">
        <v>5750000</v>
      </c>
      <c r="LX110" s="11">
        <v>10800000</v>
      </c>
      <c r="LY110" s="11">
        <v>94800</v>
      </c>
      <c r="LZ110" s="11">
        <v>880000</v>
      </c>
      <c r="MA110" s="11">
        <v>2512700</v>
      </c>
      <c r="MB110" s="11">
        <v>1315000</v>
      </c>
      <c r="MC110" s="11">
        <v>550000</v>
      </c>
      <c r="MD110" s="11">
        <v>1189860</v>
      </c>
      <c r="ME110" s="11">
        <v>933920</v>
      </c>
      <c r="MF110" s="11"/>
      <c r="MG110" s="11">
        <v>789410</v>
      </c>
      <c r="MH110" s="11"/>
      <c r="MI110" s="11">
        <v>910000</v>
      </c>
      <c r="MJ110" s="11">
        <v>404920.5</v>
      </c>
      <c r="MK110" s="11">
        <v>487845.26</v>
      </c>
      <c r="ML110" s="11">
        <v>543000</v>
      </c>
      <c r="MM110" s="11">
        <v>1075000</v>
      </c>
      <c r="MN110" s="11">
        <v>735000</v>
      </c>
      <c r="MO110" s="11">
        <v>538349.25</v>
      </c>
      <c r="MP110" s="11">
        <v>1397171.75</v>
      </c>
      <c r="MQ110" s="11">
        <v>805000</v>
      </c>
      <c r="MR110" s="11">
        <v>786933</v>
      </c>
      <c r="MS110" s="11">
        <v>539948</v>
      </c>
      <c r="MT110" s="11">
        <v>12500000</v>
      </c>
      <c r="MU110" s="11">
        <v>1000000</v>
      </c>
      <c r="MV110" s="11">
        <v>1415845</v>
      </c>
      <c r="MW110" s="11">
        <v>2000000</v>
      </c>
      <c r="MX110" s="11"/>
      <c r="MY110" s="11">
        <v>734942</v>
      </c>
      <c r="MZ110" s="11">
        <v>2393357</v>
      </c>
      <c r="NA110" s="11">
        <v>2286721</v>
      </c>
      <c r="NB110" s="11">
        <v>1234357</v>
      </c>
      <c r="NC110" s="11">
        <v>548308</v>
      </c>
      <c r="ND110" s="11">
        <v>220104</v>
      </c>
      <c r="NE110" s="11">
        <v>13500000</v>
      </c>
      <c r="NF110" s="11">
        <v>3000000</v>
      </c>
      <c r="NG110" s="11">
        <v>745809.38</v>
      </c>
      <c r="NH110" s="11">
        <v>10000000</v>
      </c>
      <c r="NI110" s="11">
        <v>720000</v>
      </c>
      <c r="NJ110" s="11">
        <v>1848499.7</v>
      </c>
      <c r="NK110" s="11">
        <v>3356525</v>
      </c>
      <c r="NL110" s="11">
        <v>4727645.7</v>
      </c>
      <c r="NM110" s="11">
        <v>603026</v>
      </c>
      <c r="NN110" s="11">
        <v>1105244.1299999999</v>
      </c>
      <c r="NO110" s="11">
        <v>1080671.05</v>
      </c>
      <c r="NP110" s="11">
        <v>853680.99</v>
      </c>
      <c r="NQ110" s="11">
        <v>4986500</v>
      </c>
      <c r="NR110" s="11">
        <v>150000</v>
      </c>
      <c r="NS110" s="11"/>
      <c r="NT110" s="11">
        <v>706630</v>
      </c>
      <c r="NU110" s="11">
        <v>605217.62</v>
      </c>
      <c r="NV110" s="11">
        <v>160000</v>
      </c>
      <c r="NW110" s="11">
        <v>500000</v>
      </c>
      <c r="NX110" s="11">
        <v>6500000</v>
      </c>
      <c r="NY110" s="11"/>
      <c r="NZ110" s="11">
        <v>968080.98</v>
      </c>
      <c r="OA110" s="11">
        <v>0</v>
      </c>
      <c r="OB110" s="11">
        <v>455565</v>
      </c>
      <c r="OC110" s="11">
        <v>355005</v>
      </c>
      <c r="OD110" s="11">
        <v>475285</v>
      </c>
      <c r="OE110" s="11">
        <v>10000000</v>
      </c>
      <c r="OF110" s="11"/>
      <c r="OG110" s="11">
        <v>600000</v>
      </c>
      <c r="OH110" s="11"/>
      <c r="OI110" s="11">
        <v>798026</v>
      </c>
      <c r="OJ110" s="11">
        <v>800000</v>
      </c>
      <c r="OK110" s="11">
        <v>1398246</v>
      </c>
      <c r="OL110" s="11">
        <v>467467.5</v>
      </c>
      <c r="OM110" s="11">
        <v>1055564</v>
      </c>
      <c r="ON110" s="11">
        <v>10713054.91</v>
      </c>
      <c r="OO110" s="11">
        <v>2372923.4</v>
      </c>
      <c r="OP110" s="11">
        <v>3800000</v>
      </c>
      <c r="OQ110" s="11">
        <v>1743000</v>
      </c>
      <c r="OR110" s="11">
        <v>1900000</v>
      </c>
      <c r="OS110" s="11">
        <v>900000</v>
      </c>
      <c r="OT110" s="11">
        <v>8095991.6600000001</v>
      </c>
      <c r="OU110" s="11">
        <v>537000</v>
      </c>
      <c r="OV110" s="11">
        <v>523725</v>
      </c>
      <c r="OW110" s="11">
        <v>1188270</v>
      </c>
      <c r="OX110" s="11">
        <v>934940</v>
      </c>
      <c r="OY110" s="11">
        <v>4252477.5</v>
      </c>
      <c r="OZ110" s="11">
        <v>542310</v>
      </c>
      <c r="PA110" s="11">
        <v>772628</v>
      </c>
      <c r="PB110" s="11">
        <v>650000</v>
      </c>
      <c r="PC110" s="11">
        <v>2024300</v>
      </c>
      <c r="PD110" s="11"/>
      <c r="PE110" s="11">
        <v>20000</v>
      </c>
      <c r="PF110" s="11">
        <v>407863</v>
      </c>
      <c r="PG110" s="11"/>
      <c r="PH110" s="11"/>
      <c r="PI110" s="11"/>
      <c r="PJ110" s="11">
        <v>673720</v>
      </c>
      <c r="PK110" s="11">
        <v>1152370</v>
      </c>
      <c r="PL110" s="11"/>
      <c r="PM110" s="11">
        <v>1490170</v>
      </c>
      <c r="PN110" s="11"/>
      <c r="PO110" s="11">
        <v>500000</v>
      </c>
      <c r="PP110" s="11"/>
      <c r="PQ110" s="11">
        <v>1059075</v>
      </c>
      <c r="PR110" s="11"/>
      <c r="PS110" s="11"/>
      <c r="PT110" s="11">
        <v>50200</v>
      </c>
      <c r="PU110" s="11">
        <v>27386512</v>
      </c>
      <c r="PV110" s="11"/>
      <c r="PW110" s="11"/>
      <c r="PX110" s="11"/>
      <c r="PY110" s="11"/>
      <c r="PZ110" s="11">
        <v>1198094.43</v>
      </c>
      <c r="QA110" s="11">
        <v>2596655</v>
      </c>
      <c r="QB110" s="11"/>
      <c r="QC110" s="11">
        <v>2559577</v>
      </c>
      <c r="QD110" s="11"/>
      <c r="QE110" s="11"/>
      <c r="QF110" s="11"/>
      <c r="QG110" s="11">
        <v>758864</v>
      </c>
      <c r="QH110" s="11"/>
      <c r="QI110" s="11"/>
      <c r="QJ110" s="11">
        <v>1731983</v>
      </c>
      <c r="QK110" s="11"/>
      <c r="QL110" s="11"/>
      <c r="QM110" s="11"/>
      <c r="QN110" s="11">
        <v>4244284.75</v>
      </c>
      <c r="QO110" s="11">
        <v>2150000</v>
      </c>
      <c r="QP110" s="11">
        <v>847240</v>
      </c>
      <c r="QQ110" s="11"/>
      <c r="QR110" s="11"/>
      <c r="QS110" s="11">
        <v>386047.5</v>
      </c>
      <c r="QT110" s="11"/>
      <c r="QU110" s="11">
        <v>13306676.75</v>
      </c>
      <c r="QV110" s="11">
        <v>650820</v>
      </c>
      <c r="QW110" s="11">
        <v>2000000</v>
      </c>
      <c r="QX110" s="11">
        <v>713250</v>
      </c>
      <c r="QY110" s="11">
        <v>880000</v>
      </c>
      <c r="QZ110" s="11">
        <v>2500000</v>
      </c>
      <c r="RA110" s="11">
        <v>1220929.5</v>
      </c>
      <c r="RB110" s="11">
        <v>1957309</v>
      </c>
      <c r="RC110" s="11">
        <v>2107328.75</v>
      </c>
      <c r="RD110" s="11">
        <v>922395</v>
      </c>
      <c r="RE110" s="11">
        <v>489568.75</v>
      </c>
      <c r="RF110" s="11">
        <v>527120</v>
      </c>
      <c r="RG110" s="11">
        <v>481705</v>
      </c>
      <c r="RH110" s="11">
        <v>2285750</v>
      </c>
      <c r="RI110" s="11">
        <v>3080450</v>
      </c>
      <c r="RJ110" s="11">
        <v>552250</v>
      </c>
      <c r="RK110" s="11">
        <v>748980</v>
      </c>
      <c r="RL110" s="11">
        <v>612513.75</v>
      </c>
      <c r="RM110" s="11">
        <v>978783.72</v>
      </c>
      <c r="RN110" s="11">
        <v>0</v>
      </c>
      <c r="RO110" s="11">
        <v>631755</v>
      </c>
      <c r="RP110" s="11">
        <v>869205</v>
      </c>
      <c r="RQ110" s="11">
        <v>2554130</v>
      </c>
      <c r="RR110" s="11">
        <v>4196325</v>
      </c>
      <c r="RS110" s="11">
        <v>422540</v>
      </c>
      <c r="RT110" s="11">
        <v>669250</v>
      </c>
      <c r="RU110" s="11">
        <v>242275</v>
      </c>
      <c r="RV110" s="11">
        <v>460345</v>
      </c>
      <c r="RW110" s="11">
        <v>573819</v>
      </c>
      <c r="RX110" s="11">
        <v>488010</v>
      </c>
      <c r="RY110" s="11">
        <v>727295</v>
      </c>
      <c r="RZ110" s="11">
        <v>145724</v>
      </c>
      <c r="SA110" s="11">
        <v>829025</v>
      </c>
      <c r="SB110" s="11">
        <v>0</v>
      </c>
      <c r="SC110" s="11">
        <v>779624</v>
      </c>
      <c r="SD110" s="11">
        <v>1279770</v>
      </c>
      <c r="SE110" s="11">
        <v>510000</v>
      </c>
      <c r="SF110" s="11">
        <v>721535</v>
      </c>
      <c r="SG110" s="11">
        <v>794380</v>
      </c>
      <c r="SH110" s="11">
        <v>1312095</v>
      </c>
      <c r="SI110" s="11">
        <v>1499750</v>
      </c>
      <c r="SJ110" s="11">
        <v>767845</v>
      </c>
      <c r="SK110" s="11">
        <v>800000</v>
      </c>
      <c r="SL110" s="11">
        <v>2734488</v>
      </c>
      <c r="SM110" s="11">
        <v>478002.5</v>
      </c>
      <c r="SN110" s="11">
        <v>5034366.87</v>
      </c>
      <c r="SO110" s="11">
        <v>966651.25</v>
      </c>
      <c r="SP110" s="11">
        <v>2225112.5</v>
      </c>
      <c r="SQ110" s="11">
        <v>2308190</v>
      </c>
      <c r="SR110" s="11">
        <v>671768</v>
      </c>
      <c r="SS110" s="11">
        <v>1006077.45</v>
      </c>
      <c r="ST110" s="11">
        <v>1304059</v>
      </c>
      <c r="SU110" s="11">
        <v>605000</v>
      </c>
      <c r="SV110" s="11">
        <v>7909309.3799999999</v>
      </c>
      <c r="SW110" s="11">
        <v>808462.5</v>
      </c>
      <c r="SX110" s="11">
        <v>369657.5</v>
      </c>
      <c r="SY110" s="11">
        <v>1308098.75</v>
      </c>
      <c r="SZ110" s="11">
        <v>355400</v>
      </c>
      <c r="TA110" s="11">
        <v>479695</v>
      </c>
      <c r="TB110" s="11">
        <v>645840</v>
      </c>
      <c r="TC110" s="11">
        <v>1819844</v>
      </c>
      <c r="TD110" s="11">
        <v>695507.5</v>
      </c>
      <c r="TE110" s="11">
        <v>644117</v>
      </c>
      <c r="TF110" s="11">
        <v>1081022.5</v>
      </c>
      <c r="TG110" s="11">
        <v>778995</v>
      </c>
      <c r="TH110" s="11">
        <v>1132267.5</v>
      </c>
      <c r="TI110" s="11">
        <v>501420</v>
      </c>
      <c r="TJ110" s="11">
        <v>19171533.649999999</v>
      </c>
      <c r="TK110" s="11">
        <v>589700</v>
      </c>
      <c r="TL110" s="11">
        <v>0</v>
      </c>
      <c r="TM110" s="11">
        <v>779760</v>
      </c>
      <c r="TN110" s="11">
        <v>1381650</v>
      </c>
      <c r="TO110" s="11">
        <v>787227.5</v>
      </c>
      <c r="TP110" s="11">
        <v>337795</v>
      </c>
      <c r="TQ110" s="11">
        <v>3214182.5</v>
      </c>
      <c r="TR110" s="11">
        <v>562218.75</v>
      </c>
      <c r="TS110" s="11">
        <v>1306560</v>
      </c>
      <c r="TT110" s="11">
        <v>1146110</v>
      </c>
      <c r="TU110" s="11">
        <v>631270</v>
      </c>
      <c r="TV110" s="11">
        <v>507612</v>
      </c>
      <c r="TW110" s="11">
        <v>629472</v>
      </c>
      <c r="TX110" s="11">
        <v>583750</v>
      </c>
      <c r="TY110" s="11">
        <v>575958.5</v>
      </c>
      <c r="TZ110" s="11">
        <v>4539707.5</v>
      </c>
      <c r="UA110" s="11">
        <v>583042.5</v>
      </c>
      <c r="UB110" s="11">
        <v>6200000</v>
      </c>
      <c r="UC110" s="11">
        <v>2289187.5</v>
      </c>
      <c r="UD110" s="11">
        <v>753500</v>
      </c>
      <c r="UE110" s="11">
        <v>550000</v>
      </c>
      <c r="UF110" s="11">
        <v>1585000</v>
      </c>
      <c r="UG110" s="11">
        <v>207495</v>
      </c>
      <c r="UH110" s="11">
        <v>650000</v>
      </c>
      <c r="UI110" s="11">
        <v>623417</v>
      </c>
      <c r="UJ110" s="11">
        <v>1218403</v>
      </c>
      <c r="UK110" s="11">
        <v>5421007.5</v>
      </c>
      <c r="UL110" s="11">
        <v>1243360</v>
      </c>
      <c r="UM110" s="11">
        <v>903354</v>
      </c>
      <c r="UN110" s="11">
        <v>1575031</v>
      </c>
      <c r="UO110" s="11">
        <v>1159695</v>
      </c>
      <c r="UP110" s="11">
        <v>683045</v>
      </c>
      <c r="UQ110" s="11">
        <v>18000000</v>
      </c>
      <c r="UR110" s="11">
        <v>576235</v>
      </c>
      <c r="US110" s="11">
        <v>1040315</v>
      </c>
      <c r="UT110" s="11">
        <v>4248687</v>
      </c>
      <c r="UU110" s="11">
        <v>173070</v>
      </c>
      <c r="UV110" s="11">
        <v>700615</v>
      </c>
      <c r="UW110" s="11">
        <v>2272000</v>
      </c>
      <c r="UX110" s="11">
        <v>491565</v>
      </c>
      <c r="UY110" s="11">
        <v>633125</v>
      </c>
      <c r="UZ110" s="11">
        <v>762997.5</v>
      </c>
      <c r="VA110" s="11">
        <v>1044985.5</v>
      </c>
      <c r="VB110" s="11">
        <v>1999446</v>
      </c>
      <c r="VC110" s="11">
        <v>835000</v>
      </c>
      <c r="VD110" s="11">
        <v>1780386.5</v>
      </c>
      <c r="VE110" s="11">
        <v>644270</v>
      </c>
      <c r="VF110" s="11">
        <v>477443</v>
      </c>
      <c r="VG110" s="11">
        <v>507600</v>
      </c>
      <c r="VH110" s="11">
        <v>572357.5</v>
      </c>
      <c r="VI110" s="11">
        <v>2915037.5</v>
      </c>
      <c r="VJ110" s="11">
        <v>460929</v>
      </c>
      <c r="VK110" s="11">
        <v>342230</v>
      </c>
      <c r="VL110" s="11">
        <v>420732</v>
      </c>
      <c r="VM110" s="11">
        <v>3128060</v>
      </c>
      <c r="VN110" s="11">
        <v>800280</v>
      </c>
      <c r="VO110" s="11">
        <v>765000</v>
      </c>
      <c r="VP110" s="11">
        <v>229995</v>
      </c>
      <c r="VQ110" s="11">
        <v>1897098.75</v>
      </c>
      <c r="VR110" s="11">
        <v>1500000</v>
      </c>
      <c r="VS110" s="11">
        <v>1024325</v>
      </c>
      <c r="VT110" s="11">
        <v>559165</v>
      </c>
      <c r="VU110" s="11">
        <v>705105</v>
      </c>
      <c r="VV110" s="11">
        <v>2000000</v>
      </c>
      <c r="VW110" s="11"/>
      <c r="VX110" s="11">
        <v>1810535</v>
      </c>
      <c r="VY110" s="11">
        <v>820650</v>
      </c>
      <c r="VZ110" s="11">
        <v>562180</v>
      </c>
      <c r="WA110" s="11">
        <v>458812.5</v>
      </c>
      <c r="WB110" s="11">
        <v>43000000</v>
      </c>
      <c r="WC110" s="11">
        <v>1544463.29</v>
      </c>
      <c r="WD110" s="11">
        <v>1040966.25</v>
      </c>
      <c r="WE110" s="11">
        <v>570418.75</v>
      </c>
      <c r="WF110" s="11">
        <v>538359</v>
      </c>
      <c r="WG110" s="11">
        <v>1151982.5</v>
      </c>
      <c r="WH110" s="11">
        <v>1965400</v>
      </c>
      <c r="WI110" s="11">
        <v>2178860</v>
      </c>
      <c r="WJ110" s="11">
        <v>742210</v>
      </c>
      <c r="WK110" s="11">
        <v>1562520.11</v>
      </c>
      <c r="WL110" s="11">
        <v>861435</v>
      </c>
      <c r="WM110" s="11">
        <v>3987830.5</v>
      </c>
      <c r="WN110" s="11">
        <v>1063434</v>
      </c>
      <c r="WO110" s="11">
        <v>2051939.24</v>
      </c>
      <c r="WP110" s="11">
        <v>3081750</v>
      </c>
      <c r="WQ110" s="11">
        <v>1097660</v>
      </c>
      <c r="WR110" s="11">
        <v>1345971.25</v>
      </c>
      <c r="WS110" s="11">
        <v>1394120</v>
      </c>
      <c r="WT110" s="11">
        <v>525873.75</v>
      </c>
      <c r="WU110" s="11">
        <v>1733961.5</v>
      </c>
      <c r="WV110" s="11">
        <v>5208140.4000000004</v>
      </c>
      <c r="WW110" s="11">
        <v>978795</v>
      </c>
      <c r="WX110" s="11">
        <v>733996</v>
      </c>
      <c r="WY110" s="11">
        <v>492148</v>
      </c>
      <c r="WZ110" s="11">
        <v>944060</v>
      </c>
      <c r="XA110" s="11">
        <v>637550.4</v>
      </c>
      <c r="XB110" s="11">
        <v>682192</v>
      </c>
      <c r="XC110" s="11">
        <v>558405</v>
      </c>
      <c r="XD110" s="11">
        <v>0</v>
      </c>
      <c r="XE110" s="11">
        <v>373857.5</v>
      </c>
      <c r="XF110" s="11"/>
      <c r="XG110" s="11">
        <v>360000</v>
      </c>
      <c r="XH110" s="11">
        <v>663336.25</v>
      </c>
      <c r="XI110" s="11">
        <v>21151894.75</v>
      </c>
      <c r="XJ110" s="11">
        <v>1840195</v>
      </c>
      <c r="XK110" s="11">
        <v>1281285</v>
      </c>
      <c r="XL110" s="11">
        <v>6951022.5</v>
      </c>
      <c r="XM110" s="11">
        <v>884182.5</v>
      </c>
      <c r="XN110" s="11">
        <v>1992202.5</v>
      </c>
      <c r="XO110" s="11">
        <v>2968957</v>
      </c>
      <c r="XP110" s="11">
        <v>1198547.5</v>
      </c>
      <c r="XQ110" s="11">
        <v>1869950</v>
      </c>
      <c r="XR110" s="11">
        <v>3307254.57</v>
      </c>
      <c r="XS110" s="11">
        <v>2439641.25</v>
      </c>
      <c r="XT110" s="11">
        <v>766738.5</v>
      </c>
      <c r="XU110" s="11">
        <v>1032502.5</v>
      </c>
      <c r="XV110" s="11">
        <v>1342475</v>
      </c>
      <c r="XW110" s="11">
        <v>1110079.75</v>
      </c>
      <c r="XX110" s="11">
        <v>821515</v>
      </c>
      <c r="XY110" s="11">
        <v>739620.75</v>
      </c>
      <c r="XZ110" s="11">
        <v>1129580</v>
      </c>
      <c r="YA110" s="11">
        <v>1008735</v>
      </c>
      <c r="YB110" s="11">
        <v>821360</v>
      </c>
      <c r="YC110" s="11">
        <v>797278.75</v>
      </c>
      <c r="YD110" s="11">
        <v>637132</v>
      </c>
      <c r="YE110" s="11">
        <v>868578</v>
      </c>
      <c r="YF110" s="11">
        <v>20655049.890000001</v>
      </c>
      <c r="YG110" s="11">
        <v>1117685</v>
      </c>
      <c r="YH110" s="11">
        <v>2312770</v>
      </c>
      <c r="YI110" s="11">
        <v>671145</v>
      </c>
      <c r="YJ110" s="11">
        <v>4666939.2699999996</v>
      </c>
      <c r="YK110" s="11">
        <v>1093183.75</v>
      </c>
      <c r="YL110" s="11">
        <v>3620000</v>
      </c>
      <c r="YM110" s="11">
        <v>531469</v>
      </c>
      <c r="YN110" s="11">
        <v>5705627.5</v>
      </c>
      <c r="YO110" s="11">
        <v>3452192</v>
      </c>
      <c r="YP110" s="11">
        <v>1745098.75</v>
      </c>
      <c r="YQ110" s="11">
        <v>864655</v>
      </c>
      <c r="YR110" s="11">
        <v>704871</v>
      </c>
      <c r="YS110" s="11">
        <v>770070</v>
      </c>
      <c r="YT110" s="11">
        <v>421120</v>
      </c>
      <c r="YU110" s="11">
        <v>728408.32</v>
      </c>
      <c r="YV110" s="11">
        <v>507067.5</v>
      </c>
      <c r="YW110" s="11">
        <v>5461043</v>
      </c>
      <c r="YX110" s="11">
        <v>1137102</v>
      </c>
      <c r="YY110" s="11">
        <v>773159</v>
      </c>
      <c r="YZ110" s="11">
        <v>642700</v>
      </c>
      <c r="ZA110" s="11">
        <v>1065887.5</v>
      </c>
      <c r="ZB110" s="11">
        <v>595835</v>
      </c>
      <c r="ZC110" s="11">
        <v>769100</v>
      </c>
      <c r="ZD110" s="11">
        <v>8497120</v>
      </c>
      <c r="ZE110" s="11">
        <v>413195</v>
      </c>
      <c r="ZF110" s="11">
        <v>177360</v>
      </c>
      <c r="ZG110" s="11">
        <v>836850</v>
      </c>
      <c r="ZH110" s="11">
        <v>426240</v>
      </c>
      <c r="ZI110" s="11">
        <v>804028.5</v>
      </c>
      <c r="ZJ110" s="11">
        <v>555395</v>
      </c>
      <c r="ZK110" s="11">
        <v>521500</v>
      </c>
      <c r="ZL110" s="11">
        <v>2453315</v>
      </c>
      <c r="ZM110" s="11">
        <v>23340000</v>
      </c>
      <c r="ZN110" s="11">
        <v>160000</v>
      </c>
      <c r="ZO110" s="11">
        <v>2535999</v>
      </c>
      <c r="ZP110" s="11">
        <v>4000000</v>
      </c>
      <c r="ZQ110" s="11">
        <v>2378000</v>
      </c>
      <c r="ZR110" s="11"/>
      <c r="ZS110" s="11">
        <v>1279000</v>
      </c>
      <c r="ZT110" s="11">
        <v>2110648</v>
      </c>
      <c r="ZU110" s="11">
        <v>157236</v>
      </c>
      <c r="ZV110" s="11">
        <v>651960</v>
      </c>
      <c r="ZW110" s="11"/>
      <c r="ZX110" s="11">
        <v>0</v>
      </c>
      <c r="ZY110" s="11">
        <v>240211.5</v>
      </c>
      <c r="ZZ110" s="11">
        <v>192600</v>
      </c>
      <c r="AAA110" s="11">
        <v>75000</v>
      </c>
      <c r="AAB110" s="11">
        <v>380789</v>
      </c>
      <c r="AAC110" s="11">
        <v>249275.56</v>
      </c>
      <c r="AAD110" s="11">
        <v>857796</v>
      </c>
      <c r="AAE110" s="11">
        <v>97793.4</v>
      </c>
      <c r="AAF110" s="11">
        <v>132296</v>
      </c>
      <c r="AAG110" s="11">
        <v>190300</v>
      </c>
      <c r="AAH110" s="11">
        <v>205906</v>
      </c>
      <c r="AAI110" s="11">
        <v>6449026.21</v>
      </c>
      <c r="AAJ110" s="11">
        <v>613595</v>
      </c>
      <c r="AAK110" s="11">
        <v>1092359</v>
      </c>
      <c r="AAL110" s="11">
        <v>736110</v>
      </c>
      <c r="AAM110" s="11"/>
      <c r="AAN110" s="11">
        <v>1240780</v>
      </c>
      <c r="AAO110" s="11"/>
      <c r="AAP110" s="11">
        <v>27355600</v>
      </c>
      <c r="AAQ110" s="11">
        <v>1699198</v>
      </c>
      <c r="AAR110" s="11">
        <v>628000</v>
      </c>
      <c r="AAS110" s="11">
        <v>1420000</v>
      </c>
      <c r="AAT110" s="11">
        <v>1977986</v>
      </c>
      <c r="AAU110" s="11">
        <v>1265000</v>
      </c>
      <c r="AAV110" s="11">
        <v>699900</v>
      </c>
      <c r="AAW110" s="11">
        <v>1200000</v>
      </c>
      <c r="AAX110" s="11">
        <v>3786311</v>
      </c>
      <c r="AAY110" s="11">
        <v>1037117.5</v>
      </c>
      <c r="AAZ110" s="11">
        <v>1005147.14</v>
      </c>
      <c r="ABA110" s="11">
        <v>4742793</v>
      </c>
      <c r="ABB110" s="11">
        <v>2807912.5</v>
      </c>
      <c r="ABC110" s="11">
        <v>410674</v>
      </c>
      <c r="ABD110" s="11">
        <v>1210000</v>
      </c>
      <c r="ABE110" s="11">
        <v>581056</v>
      </c>
      <c r="ABF110" s="11">
        <v>776419.5</v>
      </c>
      <c r="ABG110" s="11">
        <v>1357269</v>
      </c>
      <c r="ABH110" s="11">
        <v>691517</v>
      </c>
      <c r="ABI110" s="11">
        <v>7477605</v>
      </c>
      <c r="ABJ110" s="11">
        <v>4193756.5</v>
      </c>
      <c r="ABK110" s="11">
        <v>933187</v>
      </c>
      <c r="ABL110" s="11">
        <v>526500</v>
      </c>
      <c r="ABM110" s="11">
        <v>651886</v>
      </c>
      <c r="ABN110" s="11">
        <v>471498</v>
      </c>
      <c r="ABO110" s="11">
        <v>450000</v>
      </c>
      <c r="ABP110" s="11">
        <v>4848450</v>
      </c>
      <c r="ABQ110" s="11">
        <v>971464</v>
      </c>
      <c r="ABR110" s="11">
        <v>0</v>
      </c>
      <c r="ABS110" s="11">
        <v>933000</v>
      </c>
      <c r="ABT110" s="11">
        <v>1002982.5</v>
      </c>
      <c r="ABU110" s="11">
        <v>649541</v>
      </c>
      <c r="ABV110" s="11">
        <v>591321</v>
      </c>
      <c r="ABW110" s="11">
        <v>815479.79</v>
      </c>
      <c r="ABX110" s="11">
        <v>402690</v>
      </c>
      <c r="ABY110" s="11"/>
      <c r="ABZ110" s="11"/>
      <c r="ACA110" s="11">
        <v>0</v>
      </c>
      <c r="ACB110" s="11">
        <v>598938.75</v>
      </c>
      <c r="ACC110" s="11">
        <v>625586.25</v>
      </c>
      <c r="ACD110" s="11"/>
      <c r="ACE110" s="11"/>
      <c r="ACF110" s="11">
        <v>535000</v>
      </c>
      <c r="ACG110" s="11">
        <v>553207.5</v>
      </c>
      <c r="ACH110" s="11"/>
      <c r="ACI110" s="11">
        <v>500000</v>
      </c>
      <c r="ACJ110" s="11">
        <v>50212337.439999998</v>
      </c>
      <c r="ACK110" s="11">
        <v>658645</v>
      </c>
      <c r="ACL110" s="11"/>
      <c r="ACM110" s="11">
        <v>1673396</v>
      </c>
      <c r="ACN110" s="11"/>
      <c r="ACO110" s="11"/>
      <c r="ACP110" s="11"/>
      <c r="ACQ110" s="11">
        <v>6000000</v>
      </c>
      <c r="ACR110" s="11">
        <v>9164350</v>
      </c>
      <c r="ACS110" s="11"/>
      <c r="ACT110" s="11"/>
      <c r="ACU110" s="11">
        <v>1595082</v>
      </c>
      <c r="ACV110" s="11"/>
      <c r="ACW110" s="11">
        <v>5541938.75</v>
      </c>
      <c r="ACX110" s="11">
        <v>993291</v>
      </c>
      <c r="ACY110" s="11">
        <v>1101895</v>
      </c>
      <c r="ACZ110" s="11"/>
      <c r="ADA110" s="11"/>
      <c r="ADB110" s="11">
        <v>686340</v>
      </c>
      <c r="ADC110" s="11"/>
      <c r="ADD110" s="11">
        <v>603993</v>
      </c>
      <c r="ADE110" s="11">
        <v>567870</v>
      </c>
      <c r="ADF110" s="11">
        <v>700000</v>
      </c>
      <c r="ADG110" s="11">
        <v>4167368.75</v>
      </c>
      <c r="ADH110" s="11">
        <v>2700000</v>
      </c>
      <c r="ADI110" s="11">
        <v>195400</v>
      </c>
      <c r="ADJ110" s="11"/>
      <c r="ADK110" s="11"/>
      <c r="ADL110" s="11">
        <v>280570</v>
      </c>
      <c r="ADM110" s="11">
        <v>663000</v>
      </c>
      <c r="ADN110" s="11">
        <v>900000</v>
      </c>
      <c r="ADO110" s="11"/>
      <c r="ADP110" s="11">
        <v>35094704.700000003</v>
      </c>
      <c r="ADQ110" s="11"/>
      <c r="ADR110" s="11"/>
      <c r="ADS110" s="11"/>
      <c r="ADT110" s="11">
        <v>3000000</v>
      </c>
      <c r="ADU110" s="11">
        <v>488070</v>
      </c>
      <c r="ADV110" s="11">
        <v>0</v>
      </c>
      <c r="ADW110" s="11">
        <v>1218432.5</v>
      </c>
      <c r="ADX110" s="11">
        <v>617860</v>
      </c>
      <c r="ADY110" s="11">
        <v>1016190</v>
      </c>
      <c r="ADZ110" s="11"/>
      <c r="AEA110" s="11">
        <v>4870733.75</v>
      </c>
      <c r="AEB110" s="11">
        <v>2705411.42</v>
      </c>
      <c r="AEC110" s="11">
        <v>663051</v>
      </c>
      <c r="AED110" s="11">
        <v>1552073.75</v>
      </c>
      <c r="AEE110" s="11"/>
      <c r="AEF110" s="11">
        <v>222780</v>
      </c>
      <c r="AEG110" s="11"/>
      <c r="AEH110" s="11">
        <v>0</v>
      </c>
      <c r="AEI110" s="11">
        <v>828952.5</v>
      </c>
      <c r="AEJ110" s="11">
        <v>1000000</v>
      </c>
      <c r="AEK110" s="11">
        <v>1400000</v>
      </c>
      <c r="AEL110" s="11">
        <v>829300</v>
      </c>
      <c r="AEM110" s="11">
        <v>765356.25</v>
      </c>
      <c r="AEN110" s="11">
        <v>1742472.5</v>
      </c>
      <c r="AEO110" s="11">
        <v>1142556.5</v>
      </c>
      <c r="AEP110" s="11">
        <v>735000</v>
      </c>
      <c r="AEQ110" s="11">
        <v>1943391.07</v>
      </c>
      <c r="AER110" s="11">
        <v>516200</v>
      </c>
      <c r="AES110" s="11"/>
      <c r="AET110" s="11">
        <v>11044438</v>
      </c>
      <c r="AEU110" s="11">
        <v>1187920</v>
      </c>
      <c r="AEV110" s="11">
        <v>914415</v>
      </c>
      <c r="AEW110" s="11">
        <v>1069938.3999999999</v>
      </c>
      <c r="AEX110" s="11">
        <v>774565</v>
      </c>
      <c r="AEY110" s="11">
        <v>1545000</v>
      </c>
      <c r="AEZ110" s="11">
        <v>645667.5</v>
      </c>
      <c r="AFA110" s="11">
        <v>813120</v>
      </c>
      <c r="AFB110" s="11">
        <v>618826</v>
      </c>
      <c r="AFC110" s="11">
        <v>373932.5</v>
      </c>
      <c r="AFD110" s="11">
        <v>4840000</v>
      </c>
      <c r="AFE110" s="11">
        <v>3062400</v>
      </c>
      <c r="AFF110" s="11">
        <v>768580</v>
      </c>
      <c r="AFG110" s="11">
        <v>753474</v>
      </c>
      <c r="AFH110" s="11">
        <v>1387810</v>
      </c>
      <c r="AFI110" s="11">
        <v>2378075</v>
      </c>
      <c r="AFJ110" s="11">
        <v>1433890</v>
      </c>
      <c r="AFK110" s="11">
        <v>560765</v>
      </c>
      <c r="AFL110" s="11">
        <v>1006530</v>
      </c>
      <c r="AFM110" s="11">
        <v>1172200</v>
      </c>
      <c r="AFN110" s="11">
        <v>670000</v>
      </c>
      <c r="AFO110" s="11">
        <v>910000</v>
      </c>
      <c r="AFP110" s="11">
        <v>588080</v>
      </c>
      <c r="AFQ110" s="11">
        <v>5657233</v>
      </c>
      <c r="AFR110" s="11">
        <v>1256500</v>
      </c>
      <c r="AFS110" s="11">
        <v>482300</v>
      </c>
      <c r="AFT110" s="11">
        <v>598812.5</v>
      </c>
      <c r="AFU110" s="11">
        <v>785400</v>
      </c>
      <c r="AFV110" s="11">
        <v>699545</v>
      </c>
      <c r="AFW110" s="11">
        <v>511310</v>
      </c>
      <c r="AFX110" s="11">
        <v>1080000</v>
      </c>
      <c r="AFY110" s="11">
        <v>2044700</v>
      </c>
      <c r="AFZ110" s="11">
        <v>354590</v>
      </c>
      <c r="AGA110" s="11">
        <v>1421300</v>
      </c>
      <c r="AGB110" s="11">
        <v>368520</v>
      </c>
      <c r="AGC110" s="11">
        <v>8000000</v>
      </c>
      <c r="AGD110" s="11">
        <v>379327.5</v>
      </c>
      <c r="AGE110" s="11">
        <v>250000</v>
      </c>
      <c r="AGF110" s="11">
        <v>396915.5</v>
      </c>
      <c r="AGG110" s="11">
        <v>1083010</v>
      </c>
      <c r="AGH110" s="11">
        <v>591654</v>
      </c>
      <c r="AGI110" s="11">
        <v>345000</v>
      </c>
      <c r="AGJ110" s="11">
        <v>606548</v>
      </c>
      <c r="AGK110" s="11">
        <v>400000</v>
      </c>
      <c r="AGL110" s="11">
        <v>328153</v>
      </c>
      <c r="AGM110" s="11">
        <v>475098</v>
      </c>
      <c r="AGN110" s="11">
        <v>7104291.6600000001</v>
      </c>
      <c r="AGO110" s="11">
        <v>1719100</v>
      </c>
      <c r="AGP110" s="11">
        <v>1910500</v>
      </c>
      <c r="AGQ110" s="11">
        <v>786565.5</v>
      </c>
      <c r="AGR110" s="11">
        <v>2258243.75</v>
      </c>
      <c r="AGS110" s="11">
        <v>1016270</v>
      </c>
      <c r="AGT110" s="11">
        <v>887500</v>
      </c>
      <c r="AGU110" s="11">
        <v>872662</v>
      </c>
      <c r="AGV110" s="11">
        <v>16575186.5</v>
      </c>
      <c r="AGW110" s="11">
        <v>7360387.5</v>
      </c>
      <c r="AGX110" s="11">
        <v>482674</v>
      </c>
      <c r="AGY110" s="11">
        <v>1227997.08</v>
      </c>
      <c r="AGZ110" s="11">
        <v>2028711.72</v>
      </c>
      <c r="AHA110" s="11">
        <v>1186852.6599999999</v>
      </c>
      <c r="AHB110" s="11">
        <v>1100000</v>
      </c>
      <c r="AHC110" s="11">
        <v>1185000</v>
      </c>
      <c r="AHD110" s="11">
        <v>428145</v>
      </c>
      <c r="AHE110" s="11">
        <v>796951.6</v>
      </c>
      <c r="AHF110" s="11">
        <v>1140000</v>
      </c>
      <c r="AHG110" s="11">
        <v>938705</v>
      </c>
      <c r="AHH110" s="11">
        <v>694826</v>
      </c>
      <c r="AHI110" s="11">
        <v>685938.1</v>
      </c>
      <c r="AHJ110" s="11">
        <v>411478</v>
      </c>
      <c r="AHK110" s="11">
        <v>425816</v>
      </c>
      <c r="AHL110" s="11">
        <v>495668</v>
      </c>
      <c r="AHM110" s="11">
        <v>4733193.5</v>
      </c>
      <c r="AHN110" s="11">
        <v>325360</v>
      </c>
      <c r="AHO110" s="11">
        <v>449130</v>
      </c>
      <c r="AHP110" s="11">
        <v>370000</v>
      </c>
      <c r="AHQ110" s="11">
        <v>1661755</v>
      </c>
      <c r="AHR110" s="11">
        <v>416940</v>
      </c>
      <c r="AHS110" s="11">
        <v>425090</v>
      </c>
      <c r="AHT110" s="11">
        <v>1540193668.5400002</v>
      </c>
      <c r="AHV110" s="269" t="s">
        <v>6278</v>
      </c>
      <c r="AHW110" s="269" t="s">
        <v>6161</v>
      </c>
      <c r="AHX110" s="269" t="s">
        <v>6162</v>
      </c>
    </row>
    <row r="111" spans="1:908" x14ac:dyDescent="0.7">
      <c r="A111" s="6" t="s">
        <v>6278</v>
      </c>
      <c r="B111" s="6" t="s">
        <v>6498</v>
      </c>
      <c r="C111" s="6" t="s">
        <v>6170</v>
      </c>
      <c r="D111" s="11">
        <v>1855640</v>
      </c>
      <c r="E111" s="11">
        <v>157872.5</v>
      </c>
      <c r="F111" s="11"/>
      <c r="G111" s="11">
        <v>80000</v>
      </c>
      <c r="H111" s="11">
        <v>204800</v>
      </c>
      <c r="I111" s="11">
        <v>83317.5</v>
      </c>
      <c r="J111" s="11"/>
      <c r="K111" s="11">
        <v>350000</v>
      </c>
      <c r="L111" s="11">
        <v>82725</v>
      </c>
      <c r="M111" s="11">
        <v>103274</v>
      </c>
      <c r="N111" s="11">
        <v>70000</v>
      </c>
      <c r="O111" s="11">
        <v>75080</v>
      </c>
      <c r="P111" s="11">
        <v>102327.5</v>
      </c>
      <c r="Q111" s="11">
        <v>63480</v>
      </c>
      <c r="R111" s="11">
        <v>34515</v>
      </c>
      <c r="S111" s="11"/>
      <c r="T111" s="11">
        <v>50560</v>
      </c>
      <c r="U111" s="11"/>
      <c r="V111" s="11">
        <v>1380000</v>
      </c>
      <c r="W111" s="11">
        <v>304281.15999999997</v>
      </c>
      <c r="X111" s="11">
        <v>76231</v>
      </c>
      <c r="Y111" s="11">
        <v>26000</v>
      </c>
      <c r="Z111" s="11">
        <v>140535</v>
      </c>
      <c r="AA111" s="11">
        <v>105946.25</v>
      </c>
      <c r="AB111" s="11">
        <v>65735</v>
      </c>
      <c r="AC111" s="11">
        <v>322711.25</v>
      </c>
      <c r="AD111" s="11">
        <v>86760</v>
      </c>
      <c r="AE111" s="11">
        <v>0</v>
      </c>
      <c r="AF111" s="11">
        <v>212715</v>
      </c>
      <c r="AG111" s="11"/>
      <c r="AH111" s="11">
        <v>347062.13</v>
      </c>
      <c r="AI111" s="11">
        <v>76825</v>
      </c>
      <c r="AJ111" s="11">
        <v>147145</v>
      </c>
      <c r="AK111" s="11">
        <v>26700</v>
      </c>
      <c r="AL111" s="11"/>
      <c r="AM111" s="11"/>
      <c r="AN111" s="11">
        <v>78219.259999999995</v>
      </c>
      <c r="AO111" s="11"/>
      <c r="AP111" s="11">
        <v>38135</v>
      </c>
      <c r="AQ111" s="11">
        <v>49093.15</v>
      </c>
      <c r="AR111" s="11">
        <v>20000</v>
      </c>
      <c r="AS111" s="11">
        <v>79984.75</v>
      </c>
      <c r="AT111" s="11">
        <v>1278675</v>
      </c>
      <c r="AU111" s="11">
        <v>29960</v>
      </c>
      <c r="AV111" s="11">
        <v>70050</v>
      </c>
      <c r="AW111" s="11">
        <v>30255</v>
      </c>
      <c r="AX111" s="11">
        <v>108420</v>
      </c>
      <c r="AY111" s="11">
        <v>247370</v>
      </c>
      <c r="AZ111" s="11">
        <v>24900</v>
      </c>
      <c r="BA111" s="11">
        <v>27140</v>
      </c>
      <c r="BB111" s="11">
        <v>22740</v>
      </c>
      <c r="BC111" s="11">
        <v>51440</v>
      </c>
      <c r="BD111" s="11"/>
      <c r="BE111" s="11">
        <v>13000</v>
      </c>
      <c r="BF111" s="11">
        <v>48236.5</v>
      </c>
      <c r="BG111" s="11">
        <v>42946.25</v>
      </c>
      <c r="BH111" s="11"/>
      <c r="BI111" s="11"/>
      <c r="BJ111" s="11">
        <v>770717.5</v>
      </c>
      <c r="BK111" s="11">
        <v>45613.75</v>
      </c>
      <c r="BL111" s="11"/>
      <c r="BM111" s="11">
        <v>13510</v>
      </c>
      <c r="BN111" s="11">
        <v>50000</v>
      </c>
      <c r="BO111" s="11"/>
      <c r="BP111" s="11"/>
      <c r="BQ111" s="11">
        <v>0</v>
      </c>
      <c r="BR111" s="11"/>
      <c r="BS111" s="11">
        <v>16970</v>
      </c>
      <c r="BT111" s="11"/>
      <c r="BU111" s="11">
        <v>31320</v>
      </c>
      <c r="BV111" s="11"/>
      <c r="BW111" s="11"/>
      <c r="BX111" s="11"/>
      <c r="BY111" s="11">
        <v>6000</v>
      </c>
      <c r="BZ111" s="11">
        <v>300000</v>
      </c>
      <c r="CA111" s="11">
        <v>120065</v>
      </c>
      <c r="CB111" s="11">
        <v>27472.5</v>
      </c>
      <c r="CC111" s="11">
        <v>290000</v>
      </c>
      <c r="CD111" s="11">
        <v>66550</v>
      </c>
      <c r="CE111" s="11">
        <v>72085</v>
      </c>
      <c r="CF111" s="11">
        <v>100000</v>
      </c>
      <c r="CG111" s="11">
        <v>1070000</v>
      </c>
      <c r="CH111" s="11">
        <v>5490</v>
      </c>
      <c r="CI111" s="11">
        <v>143570</v>
      </c>
      <c r="CJ111" s="11"/>
      <c r="CK111" s="11">
        <v>6210</v>
      </c>
      <c r="CL111" s="11">
        <v>25000</v>
      </c>
      <c r="CM111" s="11"/>
      <c r="CN111" s="11">
        <v>41780</v>
      </c>
      <c r="CO111" s="11"/>
      <c r="CP111" s="11">
        <v>40000</v>
      </c>
      <c r="CQ111" s="11">
        <v>9360</v>
      </c>
      <c r="CR111" s="11">
        <v>38760</v>
      </c>
      <c r="CS111" s="11">
        <v>36510</v>
      </c>
      <c r="CT111" s="11">
        <v>500000</v>
      </c>
      <c r="CU111" s="11"/>
      <c r="CV111" s="11">
        <v>26400</v>
      </c>
      <c r="CW111" s="11">
        <v>101400</v>
      </c>
      <c r="CX111" s="11">
        <v>12700</v>
      </c>
      <c r="CY111" s="11">
        <v>46020</v>
      </c>
      <c r="CZ111" s="11">
        <v>22420</v>
      </c>
      <c r="DA111" s="11">
        <v>40000</v>
      </c>
      <c r="DB111" s="11">
        <v>495022</v>
      </c>
      <c r="DC111" s="11">
        <v>925467</v>
      </c>
      <c r="DD111" s="11">
        <v>51095</v>
      </c>
      <c r="DE111" s="11">
        <v>60000</v>
      </c>
      <c r="DF111" s="11"/>
      <c r="DG111" s="11">
        <v>67139</v>
      </c>
      <c r="DH111" s="11"/>
      <c r="DI111" s="11">
        <v>29897.86</v>
      </c>
      <c r="DJ111" s="11">
        <v>36966.75</v>
      </c>
      <c r="DK111" s="11">
        <v>1617705</v>
      </c>
      <c r="DL111" s="11">
        <v>88207</v>
      </c>
      <c r="DM111" s="11">
        <v>176000</v>
      </c>
      <c r="DN111" s="11">
        <v>32000</v>
      </c>
      <c r="DO111" s="11">
        <v>980</v>
      </c>
      <c r="DP111" s="11">
        <v>40000</v>
      </c>
      <c r="DQ111" s="11">
        <v>67605</v>
      </c>
      <c r="DR111" s="11">
        <v>144592.5</v>
      </c>
      <c r="DS111" s="11">
        <v>300000</v>
      </c>
      <c r="DT111" s="11"/>
      <c r="DU111" s="11">
        <v>148817</v>
      </c>
      <c r="DV111" s="11">
        <v>270000</v>
      </c>
      <c r="DW111" s="11">
        <v>50000</v>
      </c>
      <c r="DX111" s="11">
        <v>142663</v>
      </c>
      <c r="DY111" s="11"/>
      <c r="DZ111" s="11">
        <v>130000</v>
      </c>
      <c r="EA111" s="11">
        <v>63350</v>
      </c>
      <c r="EB111" s="11">
        <v>93500</v>
      </c>
      <c r="EC111" s="11">
        <v>0</v>
      </c>
      <c r="ED111" s="11">
        <v>0</v>
      </c>
      <c r="EE111" s="11">
        <v>432557.5</v>
      </c>
      <c r="EF111" s="11">
        <v>330280</v>
      </c>
      <c r="EG111" s="11">
        <v>45500</v>
      </c>
      <c r="EH111" s="11">
        <v>131310</v>
      </c>
      <c r="EI111" s="11">
        <v>28920</v>
      </c>
      <c r="EJ111" s="11">
        <v>157400</v>
      </c>
      <c r="EK111" s="11">
        <v>182135</v>
      </c>
      <c r="EL111" s="11"/>
      <c r="EM111" s="11">
        <v>5000</v>
      </c>
      <c r="EN111" s="11">
        <v>1847736</v>
      </c>
      <c r="EO111" s="11">
        <v>97615</v>
      </c>
      <c r="EP111" s="11">
        <v>243260</v>
      </c>
      <c r="EQ111" s="11">
        <v>222377.5</v>
      </c>
      <c r="ER111" s="11">
        <v>54980</v>
      </c>
      <c r="ES111" s="11">
        <v>50050</v>
      </c>
      <c r="ET111" s="11">
        <v>92740</v>
      </c>
      <c r="EU111" s="11">
        <v>69895</v>
      </c>
      <c r="EV111" s="11">
        <v>88390</v>
      </c>
      <c r="EW111" s="11">
        <v>760000</v>
      </c>
      <c r="EX111" s="11">
        <v>32900</v>
      </c>
      <c r="EY111" s="11">
        <v>63637.5</v>
      </c>
      <c r="EZ111" s="11">
        <v>10080</v>
      </c>
      <c r="FA111" s="11">
        <v>82200</v>
      </c>
      <c r="FB111" s="11"/>
      <c r="FC111" s="11">
        <v>42450</v>
      </c>
      <c r="FD111" s="11">
        <v>125245</v>
      </c>
      <c r="FE111" s="11">
        <v>32500</v>
      </c>
      <c r="FF111" s="11">
        <v>22330</v>
      </c>
      <c r="FG111" s="11">
        <v>42500</v>
      </c>
      <c r="FH111" s="11">
        <v>77340.42</v>
      </c>
      <c r="FI111" s="11"/>
      <c r="FJ111" s="11"/>
      <c r="FK111" s="11">
        <v>186870</v>
      </c>
      <c r="FL111" s="11">
        <v>118660</v>
      </c>
      <c r="FM111" s="11"/>
      <c r="FN111" s="11"/>
      <c r="FO111" s="11"/>
      <c r="FP111" s="11"/>
      <c r="FQ111" s="11"/>
      <c r="FR111" s="11">
        <v>44000</v>
      </c>
      <c r="FS111" s="11"/>
      <c r="FT111" s="11"/>
      <c r="FU111" s="11"/>
      <c r="FV111" s="11">
        <v>45000</v>
      </c>
      <c r="FW111" s="11">
        <v>267975</v>
      </c>
      <c r="FX111" s="11">
        <v>200000</v>
      </c>
      <c r="FY111" s="11">
        <v>32490</v>
      </c>
      <c r="FZ111" s="11">
        <v>102310</v>
      </c>
      <c r="GA111" s="11">
        <v>219390</v>
      </c>
      <c r="GB111" s="11">
        <v>92897.5</v>
      </c>
      <c r="GC111" s="11"/>
      <c r="GD111" s="11">
        <v>50140</v>
      </c>
      <c r="GE111" s="11"/>
      <c r="GF111" s="11"/>
      <c r="GG111" s="11"/>
      <c r="GH111" s="11"/>
      <c r="GI111" s="11"/>
      <c r="GJ111" s="11">
        <v>35000</v>
      </c>
      <c r="GK111" s="11">
        <v>69861</v>
      </c>
      <c r="GL111" s="11"/>
      <c r="GM111" s="11">
        <v>40430</v>
      </c>
      <c r="GN111" s="11">
        <v>63000</v>
      </c>
      <c r="GO111" s="11"/>
      <c r="GP111" s="11"/>
      <c r="GQ111" s="11">
        <v>657405</v>
      </c>
      <c r="GR111" s="11">
        <v>15960</v>
      </c>
      <c r="GS111" s="11">
        <v>16691.25</v>
      </c>
      <c r="GT111" s="11">
        <v>40000</v>
      </c>
      <c r="GU111" s="11">
        <v>25000</v>
      </c>
      <c r="GV111" s="11">
        <v>25000</v>
      </c>
      <c r="GW111" s="11">
        <v>87520</v>
      </c>
      <c r="GX111" s="11">
        <v>50000</v>
      </c>
      <c r="GY111" s="11">
        <v>137520</v>
      </c>
      <c r="GZ111" s="11"/>
      <c r="HA111" s="11">
        <v>64425</v>
      </c>
      <c r="HB111" s="11">
        <v>90000</v>
      </c>
      <c r="HC111" s="11"/>
      <c r="HD111" s="11"/>
      <c r="HE111" s="11"/>
      <c r="HF111" s="11">
        <v>180000</v>
      </c>
      <c r="HG111" s="11">
        <v>111808</v>
      </c>
      <c r="HH111" s="11">
        <v>65000</v>
      </c>
      <c r="HI111" s="11">
        <v>92228</v>
      </c>
      <c r="HJ111" s="11"/>
      <c r="HK111" s="11">
        <v>2700000</v>
      </c>
      <c r="HL111" s="11"/>
      <c r="HM111" s="11">
        <v>0</v>
      </c>
      <c r="HN111" s="11"/>
      <c r="HO111" s="11">
        <v>420000</v>
      </c>
      <c r="HP111" s="11"/>
      <c r="HQ111" s="11">
        <v>30000</v>
      </c>
      <c r="HR111" s="11">
        <v>37300</v>
      </c>
      <c r="HS111" s="11">
        <v>615000</v>
      </c>
      <c r="HT111" s="11">
        <v>243315</v>
      </c>
      <c r="HU111" s="11">
        <v>72300</v>
      </c>
      <c r="HV111" s="11">
        <v>55000</v>
      </c>
      <c r="HW111" s="11">
        <v>42100</v>
      </c>
      <c r="HX111" s="11">
        <v>9738</v>
      </c>
      <c r="HY111" s="11">
        <v>190753.6</v>
      </c>
      <c r="HZ111" s="11">
        <v>10650</v>
      </c>
      <c r="IA111" s="11">
        <v>27880</v>
      </c>
      <c r="IB111" s="11">
        <v>80021.25</v>
      </c>
      <c r="IC111" s="11">
        <v>15460</v>
      </c>
      <c r="ID111" s="11">
        <v>222211.8</v>
      </c>
      <c r="IE111" s="11">
        <v>27828.5</v>
      </c>
      <c r="IF111" s="11">
        <v>12760</v>
      </c>
      <c r="IG111" s="11">
        <v>53040</v>
      </c>
      <c r="IH111" s="11">
        <v>1890</v>
      </c>
      <c r="II111" s="11"/>
      <c r="IJ111" s="11">
        <v>250000</v>
      </c>
      <c r="IK111" s="11"/>
      <c r="IL111" s="11">
        <v>0</v>
      </c>
      <c r="IM111" s="11">
        <v>265668.75</v>
      </c>
      <c r="IN111" s="11"/>
      <c r="IO111" s="11">
        <v>63450</v>
      </c>
      <c r="IP111" s="11"/>
      <c r="IQ111" s="11"/>
      <c r="IR111" s="11">
        <v>0</v>
      </c>
      <c r="IS111" s="11"/>
      <c r="IT111" s="11"/>
      <c r="IU111" s="11">
        <v>0</v>
      </c>
      <c r="IV111" s="11">
        <v>47000</v>
      </c>
      <c r="IW111" s="11">
        <v>75000</v>
      </c>
      <c r="IX111" s="11">
        <v>1350000</v>
      </c>
      <c r="IY111" s="11">
        <v>936880</v>
      </c>
      <c r="IZ111" s="11">
        <v>15000</v>
      </c>
      <c r="JA111" s="11">
        <v>27840</v>
      </c>
      <c r="JB111" s="11">
        <v>93000</v>
      </c>
      <c r="JC111" s="11">
        <v>37485</v>
      </c>
      <c r="JD111" s="11">
        <v>90000</v>
      </c>
      <c r="JE111" s="11"/>
      <c r="JF111" s="11">
        <v>202830</v>
      </c>
      <c r="JG111" s="11"/>
      <c r="JH111" s="11"/>
      <c r="JI111" s="11"/>
      <c r="JJ111" s="11"/>
      <c r="JK111" s="11"/>
      <c r="JL111" s="11">
        <v>850170</v>
      </c>
      <c r="JM111" s="11"/>
      <c r="JN111" s="11"/>
      <c r="JO111" s="11"/>
      <c r="JP111" s="11"/>
      <c r="JQ111" s="11"/>
      <c r="JR111" s="11"/>
      <c r="JS111" s="11">
        <v>369000</v>
      </c>
      <c r="JT111" s="11">
        <v>170000</v>
      </c>
      <c r="JU111" s="11">
        <v>31200</v>
      </c>
      <c r="JV111" s="11"/>
      <c r="JW111" s="11">
        <v>10800</v>
      </c>
      <c r="JX111" s="11"/>
      <c r="JY111" s="11">
        <v>100000</v>
      </c>
      <c r="JZ111" s="11">
        <v>51420</v>
      </c>
      <c r="KA111" s="11">
        <v>66590</v>
      </c>
      <c r="KB111" s="11"/>
      <c r="KC111" s="11">
        <v>47150</v>
      </c>
      <c r="KD111" s="11"/>
      <c r="KE111" s="11">
        <v>23120</v>
      </c>
      <c r="KF111" s="11"/>
      <c r="KG111" s="11">
        <v>23400</v>
      </c>
      <c r="KH111" s="11"/>
      <c r="KI111" s="11"/>
      <c r="KJ111" s="11"/>
      <c r="KK111" s="11"/>
      <c r="KL111" s="11"/>
      <c r="KM111" s="11"/>
      <c r="KN111" s="11"/>
      <c r="KO111" s="11">
        <v>332500</v>
      </c>
      <c r="KP111" s="11"/>
      <c r="KQ111" s="11"/>
      <c r="KR111" s="11">
        <v>830577.45</v>
      </c>
      <c r="KS111" s="11">
        <v>67290</v>
      </c>
      <c r="KT111" s="11">
        <v>235617</v>
      </c>
      <c r="KU111" s="11">
        <v>108565</v>
      </c>
      <c r="KV111" s="11"/>
      <c r="KW111" s="11">
        <v>174240</v>
      </c>
      <c r="KX111" s="11">
        <v>1104681</v>
      </c>
      <c r="KY111" s="11">
        <v>171445</v>
      </c>
      <c r="KZ111" s="11"/>
      <c r="LA111" s="11">
        <v>13880</v>
      </c>
      <c r="LB111" s="11">
        <v>7500</v>
      </c>
      <c r="LC111" s="11"/>
      <c r="LD111" s="11"/>
      <c r="LE111" s="11"/>
      <c r="LF111" s="11">
        <v>120068</v>
      </c>
      <c r="LG111" s="11">
        <v>65207</v>
      </c>
      <c r="LH111" s="11">
        <v>1000000</v>
      </c>
      <c r="LI111" s="11"/>
      <c r="LJ111" s="11">
        <v>787900.5</v>
      </c>
      <c r="LK111" s="11">
        <v>200000</v>
      </c>
      <c r="LL111" s="11">
        <v>64390</v>
      </c>
      <c r="LM111" s="11"/>
      <c r="LN111" s="11"/>
      <c r="LO111" s="11">
        <v>184375</v>
      </c>
      <c r="LP111" s="11">
        <v>-23262.5</v>
      </c>
      <c r="LQ111" s="11">
        <v>85704</v>
      </c>
      <c r="LR111" s="11">
        <v>70000</v>
      </c>
      <c r="LS111" s="11">
        <v>441315</v>
      </c>
      <c r="LT111" s="11">
        <v>50000</v>
      </c>
      <c r="LU111" s="11">
        <v>15780</v>
      </c>
      <c r="LV111" s="11"/>
      <c r="LW111" s="11">
        <v>1600000</v>
      </c>
      <c r="LX111" s="11">
        <v>200000</v>
      </c>
      <c r="LY111" s="11">
        <v>0</v>
      </c>
      <c r="LZ111" s="11">
        <v>133000</v>
      </c>
      <c r="MA111" s="11">
        <v>123000</v>
      </c>
      <c r="MB111" s="11">
        <v>150000</v>
      </c>
      <c r="MC111" s="11">
        <v>240000</v>
      </c>
      <c r="MD111" s="11">
        <v>89500</v>
      </c>
      <c r="ME111" s="11">
        <v>52140</v>
      </c>
      <c r="MF111" s="11"/>
      <c r="MG111" s="11">
        <v>183700</v>
      </c>
      <c r="MH111" s="11"/>
      <c r="MI111" s="11">
        <v>130000</v>
      </c>
      <c r="MJ111" s="11"/>
      <c r="MK111" s="11">
        <v>0</v>
      </c>
      <c r="ML111" s="11"/>
      <c r="MM111" s="11">
        <v>35000</v>
      </c>
      <c r="MN111" s="11">
        <v>80000</v>
      </c>
      <c r="MO111" s="11">
        <v>6630</v>
      </c>
      <c r="MP111" s="11">
        <v>261992.25</v>
      </c>
      <c r="MQ111" s="11">
        <v>53000</v>
      </c>
      <c r="MR111" s="11">
        <v>39312</v>
      </c>
      <c r="MS111" s="11">
        <v>12177.5</v>
      </c>
      <c r="MT111" s="11"/>
      <c r="MU111" s="11">
        <v>30360</v>
      </c>
      <c r="MV111" s="11"/>
      <c r="MW111" s="11"/>
      <c r="MX111" s="11"/>
      <c r="MY111" s="11"/>
      <c r="MZ111" s="11">
        <v>95828</v>
      </c>
      <c r="NA111" s="11"/>
      <c r="NB111" s="11">
        <v>132000</v>
      </c>
      <c r="NC111" s="11"/>
      <c r="ND111" s="11">
        <v>1040</v>
      </c>
      <c r="NE111" s="11">
        <v>4000000</v>
      </c>
      <c r="NF111" s="11"/>
      <c r="NG111" s="11">
        <v>61020</v>
      </c>
      <c r="NH111" s="11"/>
      <c r="NI111" s="11">
        <v>50000</v>
      </c>
      <c r="NJ111" s="11">
        <v>400000</v>
      </c>
      <c r="NK111" s="11">
        <v>400000</v>
      </c>
      <c r="NL111" s="11">
        <v>119580</v>
      </c>
      <c r="NM111" s="11">
        <v>6170</v>
      </c>
      <c r="NN111" s="11"/>
      <c r="NO111" s="11">
        <v>25020</v>
      </c>
      <c r="NP111" s="11">
        <v>150617.56</v>
      </c>
      <c r="NQ111" s="11">
        <v>558800</v>
      </c>
      <c r="NR111" s="11">
        <v>250000</v>
      </c>
      <c r="NS111" s="11"/>
      <c r="NT111" s="11">
        <v>13248</v>
      </c>
      <c r="NU111" s="11">
        <v>35000</v>
      </c>
      <c r="NV111" s="11">
        <v>49000</v>
      </c>
      <c r="NW111" s="11">
        <v>6000</v>
      </c>
      <c r="NX111" s="11">
        <v>1390000</v>
      </c>
      <c r="NY111" s="11"/>
      <c r="NZ111" s="11">
        <v>566791.14</v>
      </c>
      <c r="OA111" s="11">
        <v>0</v>
      </c>
      <c r="OB111" s="11">
        <v>46240</v>
      </c>
      <c r="OC111" s="11">
        <v>665450</v>
      </c>
      <c r="OD111" s="11"/>
      <c r="OE111" s="11"/>
      <c r="OF111" s="11"/>
      <c r="OG111" s="11">
        <v>35000</v>
      </c>
      <c r="OH111" s="11"/>
      <c r="OI111" s="11">
        <v>14500</v>
      </c>
      <c r="OJ111" s="11"/>
      <c r="OK111" s="11">
        <v>252907.5</v>
      </c>
      <c r="OL111" s="11">
        <v>15860</v>
      </c>
      <c r="OM111" s="11">
        <v>64040</v>
      </c>
      <c r="ON111" s="11">
        <v>1038513.98</v>
      </c>
      <c r="OO111" s="11">
        <v>310000</v>
      </c>
      <c r="OP111" s="11">
        <v>260000</v>
      </c>
      <c r="OQ111" s="11">
        <v>62000</v>
      </c>
      <c r="OR111" s="11">
        <v>100000</v>
      </c>
      <c r="OS111" s="11"/>
      <c r="OT111" s="11">
        <v>946950</v>
      </c>
      <c r="OU111" s="11">
        <v>180630</v>
      </c>
      <c r="OV111" s="11">
        <v>115155</v>
      </c>
      <c r="OW111" s="11">
        <v>195170</v>
      </c>
      <c r="OX111" s="11">
        <v>86610</v>
      </c>
      <c r="OY111" s="11">
        <v>143520</v>
      </c>
      <c r="OZ111" s="11">
        <v>192770</v>
      </c>
      <c r="PA111" s="11">
        <v>282531</v>
      </c>
      <c r="PB111" s="11">
        <v>5000</v>
      </c>
      <c r="PC111" s="11">
        <v>1870075</v>
      </c>
      <c r="PD111" s="11"/>
      <c r="PE111" s="11"/>
      <c r="PF111" s="11">
        <v>53235</v>
      </c>
      <c r="PG111" s="11"/>
      <c r="PH111" s="11"/>
      <c r="PI111" s="11"/>
      <c r="PJ111" s="11">
        <v>117180</v>
      </c>
      <c r="PK111" s="11">
        <v>280693.75</v>
      </c>
      <c r="PL111" s="11"/>
      <c r="PM111" s="11">
        <v>156875</v>
      </c>
      <c r="PN111" s="11"/>
      <c r="PO111" s="11">
        <v>67600</v>
      </c>
      <c r="PP111" s="11"/>
      <c r="PQ111" s="11">
        <v>99515</v>
      </c>
      <c r="PR111" s="11"/>
      <c r="PS111" s="11"/>
      <c r="PT111" s="11">
        <v>31910</v>
      </c>
      <c r="PU111" s="11">
        <v>3366402</v>
      </c>
      <c r="PV111" s="11"/>
      <c r="PW111" s="11">
        <v>25000</v>
      </c>
      <c r="PX111" s="11"/>
      <c r="PY111" s="11"/>
      <c r="PZ111" s="11">
        <v>33630</v>
      </c>
      <c r="QA111" s="11">
        <v>322371</v>
      </c>
      <c r="QB111" s="11"/>
      <c r="QC111" s="11">
        <v>55068</v>
      </c>
      <c r="QD111" s="11"/>
      <c r="QE111" s="11"/>
      <c r="QF111" s="11"/>
      <c r="QG111" s="11">
        <v>326001</v>
      </c>
      <c r="QH111" s="11"/>
      <c r="QI111" s="11"/>
      <c r="QJ111" s="11">
        <v>48969</v>
      </c>
      <c r="QK111" s="11"/>
      <c r="QL111" s="11"/>
      <c r="QM111" s="11"/>
      <c r="QN111" s="11">
        <v>457402.9</v>
      </c>
      <c r="QO111" s="11">
        <v>75000</v>
      </c>
      <c r="QP111" s="11">
        <v>94185</v>
      </c>
      <c r="QQ111" s="11"/>
      <c r="QR111" s="11"/>
      <c r="QS111" s="11">
        <v>37800</v>
      </c>
      <c r="QT111" s="11"/>
      <c r="QU111" s="11">
        <v>918365</v>
      </c>
      <c r="QV111" s="11">
        <v>26500</v>
      </c>
      <c r="QW111" s="11"/>
      <c r="QX111" s="11"/>
      <c r="QY111" s="11">
        <v>14920</v>
      </c>
      <c r="QZ111" s="11">
        <v>180000</v>
      </c>
      <c r="RA111" s="11"/>
      <c r="RB111" s="11">
        <v>370000</v>
      </c>
      <c r="RC111" s="11"/>
      <c r="RD111" s="11"/>
      <c r="RE111" s="11">
        <v>134165</v>
      </c>
      <c r="RF111" s="11"/>
      <c r="RG111" s="11">
        <v>20020</v>
      </c>
      <c r="RH111" s="11">
        <v>1343115</v>
      </c>
      <c r="RI111" s="11"/>
      <c r="RJ111" s="11">
        <v>41050</v>
      </c>
      <c r="RK111" s="11">
        <v>43950</v>
      </c>
      <c r="RL111" s="11">
        <v>496773.75</v>
      </c>
      <c r="RM111" s="11">
        <v>57202.2</v>
      </c>
      <c r="RN111" s="11">
        <v>0</v>
      </c>
      <c r="RO111" s="11">
        <v>22640</v>
      </c>
      <c r="RP111" s="11">
        <v>14890</v>
      </c>
      <c r="RQ111" s="11">
        <v>247590</v>
      </c>
      <c r="RR111" s="11"/>
      <c r="RS111" s="11">
        <v>44760</v>
      </c>
      <c r="RT111" s="11"/>
      <c r="RU111" s="11">
        <v>400000</v>
      </c>
      <c r="RV111" s="11">
        <v>12600</v>
      </c>
      <c r="RW111" s="11">
        <v>16160</v>
      </c>
      <c r="RX111" s="11"/>
      <c r="RY111" s="11"/>
      <c r="RZ111" s="11">
        <v>10440</v>
      </c>
      <c r="SA111" s="11"/>
      <c r="SB111" s="11">
        <v>0</v>
      </c>
      <c r="SC111" s="11">
        <v>82780</v>
      </c>
      <c r="SD111" s="11">
        <v>162173.75</v>
      </c>
      <c r="SE111" s="11">
        <v>70000</v>
      </c>
      <c r="SF111" s="11">
        <v>23320</v>
      </c>
      <c r="SG111" s="11">
        <v>33540</v>
      </c>
      <c r="SH111" s="11">
        <v>80600</v>
      </c>
      <c r="SI111" s="11">
        <v>10000</v>
      </c>
      <c r="SJ111" s="11">
        <v>67260</v>
      </c>
      <c r="SK111" s="11">
        <v>200000</v>
      </c>
      <c r="SL111" s="11">
        <v>38840</v>
      </c>
      <c r="SM111" s="11"/>
      <c r="SN111" s="11">
        <v>517707.5</v>
      </c>
      <c r="SO111" s="11">
        <v>82700</v>
      </c>
      <c r="SP111" s="11">
        <v>353775</v>
      </c>
      <c r="SQ111" s="11">
        <v>80271</v>
      </c>
      <c r="SR111" s="11">
        <v>112155</v>
      </c>
      <c r="SS111" s="11">
        <v>60161.25</v>
      </c>
      <c r="ST111" s="11">
        <v>77370</v>
      </c>
      <c r="SU111" s="11">
        <v>85000</v>
      </c>
      <c r="SV111" s="11">
        <v>707632.5</v>
      </c>
      <c r="SW111" s="11">
        <v>76267.5</v>
      </c>
      <c r="SX111" s="11">
        <v>137460</v>
      </c>
      <c r="SY111" s="11">
        <v>39780</v>
      </c>
      <c r="SZ111" s="11"/>
      <c r="TA111" s="11">
        <v>4920</v>
      </c>
      <c r="TB111" s="11"/>
      <c r="TC111" s="11">
        <v>57045</v>
      </c>
      <c r="TD111" s="11">
        <v>86960</v>
      </c>
      <c r="TE111" s="11">
        <v>18420</v>
      </c>
      <c r="TF111" s="11">
        <v>252015</v>
      </c>
      <c r="TG111" s="11">
        <v>41830</v>
      </c>
      <c r="TH111" s="11"/>
      <c r="TI111" s="11">
        <v>67515</v>
      </c>
      <c r="TJ111" s="11">
        <v>1238402</v>
      </c>
      <c r="TK111" s="11">
        <v>104565</v>
      </c>
      <c r="TL111" s="11">
        <v>0</v>
      </c>
      <c r="TM111" s="11">
        <v>229492.5</v>
      </c>
      <c r="TN111" s="11"/>
      <c r="TO111" s="11">
        <v>0</v>
      </c>
      <c r="TP111" s="11">
        <v>28730</v>
      </c>
      <c r="TQ111" s="11">
        <v>274815</v>
      </c>
      <c r="TR111" s="11">
        <v>93720</v>
      </c>
      <c r="TS111" s="11">
        <v>202445</v>
      </c>
      <c r="TT111" s="11">
        <v>24720</v>
      </c>
      <c r="TU111" s="11">
        <v>14960</v>
      </c>
      <c r="TV111" s="11">
        <v>39022.5</v>
      </c>
      <c r="TW111" s="11">
        <v>30120</v>
      </c>
      <c r="TX111" s="11">
        <v>46110</v>
      </c>
      <c r="TY111" s="11">
        <v>71677.5</v>
      </c>
      <c r="TZ111" s="11">
        <v>342210</v>
      </c>
      <c r="UA111" s="11">
        <v>25320</v>
      </c>
      <c r="UB111" s="11">
        <v>2100000</v>
      </c>
      <c r="UC111" s="11">
        <v>114330</v>
      </c>
      <c r="UD111" s="11">
        <v>30000</v>
      </c>
      <c r="UE111" s="11">
        <v>30000</v>
      </c>
      <c r="UF111" s="11">
        <v>100000</v>
      </c>
      <c r="UG111" s="11">
        <v>38640</v>
      </c>
      <c r="UH111" s="11">
        <v>90000</v>
      </c>
      <c r="UI111" s="11">
        <v>109320</v>
      </c>
      <c r="UJ111" s="11">
        <v>147346</v>
      </c>
      <c r="UK111" s="11">
        <v>611495</v>
      </c>
      <c r="UL111" s="11">
        <v>217275</v>
      </c>
      <c r="UM111" s="11">
        <v>119510</v>
      </c>
      <c r="UN111" s="11">
        <v>224410</v>
      </c>
      <c r="UO111" s="11">
        <v>99120</v>
      </c>
      <c r="UP111" s="11">
        <v>55440</v>
      </c>
      <c r="UQ111" s="11">
        <v>3000000</v>
      </c>
      <c r="UR111" s="11">
        <v>70765</v>
      </c>
      <c r="US111" s="11">
        <v>58620</v>
      </c>
      <c r="UT111" s="11">
        <v>418030</v>
      </c>
      <c r="UU111" s="11">
        <v>18680</v>
      </c>
      <c r="UV111" s="11">
        <v>71210</v>
      </c>
      <c r="UW111" s="11">
        <v>385000</v>
      </c>
      <c r="UX111" s="11">
        <v>94730</v>
      </c>
      <c r="UY111" s="11">
        <v>67240</v>
      </c>
      <c r="UZ111" s="11">
        <v>26700</v>
      </c>
      <c r="VA111" s="11">
        <v>0</v>
      </c>
      <c r="VB111" s="11">
        <v>295375</v>
      </c>
      <c r="VC111" s="11">
        <v>104850</v>
      </c>
      <c r="VD111" s="11">
        <v>248900</v>
      </c>
      <c r="VE111" s="11">
        <v>16720</v>
      </c>
      <c r="VF111" s="11">
        <v>64570</v>
      </c>
      <c r="VG111" s="11">
        <v>77778</v>
      </c>
      <c r="VH111" s="11">
        <v>128982.5</v>
      </c>
      <c r="VI111" s="11">
        <v>119205</v>
      </c>
      <c r="VJ111" s="11">
        <v>90182</v>
      </c>
      <c r="VK111" s="11">
        <v>44925</v>
      </c>
      <c r="VL111" s="11">
        <v>0</v>
      </c>
      <c r="VM111" s="11">
        <v>273250</v>
      </c>
      <c r="VN111" s="11"/>
      <c r="VO111" s="11">
        <v>100000</v>
      </c>
      <c r="VP111" s="11"/>
      <c r="VQ111" s="11">
        <v>53300</v>
      </c>
      <c r="VR111" s="11">
        <v>100000</v>
      </c>
      <c r="VS111" s="11">
        <v>85000</v>
      </c>
      <c r="VT111" s="11">
        <v>9200</v>
      </c>
      <c r="VU111" s="11">
        <v>146052</v>
      </c>
      <c r="VV111" s="11">
        <v>150000</v>
      </c>
      <c r="VW111" s="11"/>
      <c r="VX111" s="11">
        <v>200680</v>
      </c>
      <c r="VY111" s="11"/>
      <c r="VZ111" s="11">
        <v>158290</v>
      </c>
      <c r="WA111" s="11">
        <v>103395</v>
      </c>
      <c r="WB111" s="11">
        <v>19400000</v>
      </c>
      <c r="WC111" s="11">
        <v>44677.5</v>
      </c>
      <c r="WD111" s="11">
        <v>151385</v>
      </c>
      <c r="WE111" s="11">
        <v>254095</v>
      </c>
      <c r="WF111" s="11">
        <v>25760</v>
      </c>
      <c r="WG111" s="11">
        <v>125126.25</v>
      </c>
      <c r="WH111" s="11">
        <v>225540</v>
      </c>
      <c r="WI111" s="11"/>
      <c r="WJ111" s="11">
        <v>155325</v>
      </c>
      <c r="WK111" s="11">
        <v>66462.5</v>
      </c>
      <c r="WL111" s="11">
        <v>8000</v>
      </c>
      <c r="WM111" s="11">
        <v>462494</v>
      </c>
      <c r="WN111" s="11">
        <v>96203</v>
      </c>
      <c r="WO111" s="11"/>
      <c r="WP111" s="11">
        <v>388836</v>
      </c>
      <c r="WQ111" s="11"/>
      <c r="WR111" s="11"/>
      <c r="WS111" s="11">
        <v>160000</v>
      </c>
      <c r="WT111" s="11">
        <v>39570</v>
      </c>
      <c r="WU111" s="11">
        <v>151338.75</v>
      </c>
      <c r="WV111" s="11"/>
      <c r="WW111" s="11"/>
      <c r="WX111" s="11">
        <v>85519</v>
      </c>
      <c r="WY111" s="11">
        <v>108624</v>
      </c>
      <c r="WZ111" s="11"/>
      <c r="XA111" s="11">
        <v>41352.1</v>
      </c>
      <c r="XB111" s="11">
        <v>79652</v>
      </c>
      <c r="XC111" s="11"/>
      <c r="XD111" s="11"/>
      <c r="XE111" s="11">
        <v>92345</v>
      </c>
      <c r="XF111" s="11"/>
      <c r="XG111" s="11"/>
      <c r="XH111" s="11"/>
      <c r="XI111" s="11">
        <v>1704250</v>
      </c>
      <c r="XJ111" s="11">
        <v>138100</v>
      </c>
      <c r="XK111" s="11">
        <v>171562.5</v>
      </c>
      <c r="XL111" s="11">
        <v>614370</v>
      </c>
      <c r="XM111" s="11">
        <v>31350</v>
      </c>
      <c r="XN111" s="11">
        <v>184540</v>
      </c>
      <c r="XO111" s="11">
        <v>102902</v>
      </c>
      <c r="XP111" s="11">
        <v>162695</v>
      </c>
      <c r="XQ111" s="11">
        <v>172000</v>
      </c>
      <c r="XR111" s="11">
        <v>192760</v>
      </c>
      <c r="XS111" s="11">
        <v>173540</v>
      </c>
      <c r="XT111" s="11">
        <v>162785</v>
      </c>
      <c r="XU111" s="11">
        <v>94785</v>
      </c>
      <c r="XV111" s="11">
        <v>147860</v>
      </c>
      <c r="XW111" s="11">
        <v>32670</v>
      </c>
      <c r="XX111" s="11">
        <v>27720</v>
      </c>
      <c r="XY111" s="11">
        <v>123420.65</v>
      </c>
      <c r="XZ111" s="11">
        <v>99505</v>
      </c>
      <c r="YA111" s="11">
        <v>109835</v>
      </c>
      <c r="YB111" s="11">
        <v>83411</v>
      </c>
      <c r="YC111" s="11">
        <v>18590</v>
      </c>
      <c r="YD111" s="11">
        <v>58650</v>
      </c>
      <c r="YE111" s="11"/>
      <c r="YF111" s="11">
        <v>1192232.6100000001</v>
      </c>
      <c r="YG111" s="11">
        <v>15180</v>
      </c>
      <c r="YH111" s="11">
        <v>141930</v>
      </c>
      <c r="YI111" s="11">
        <v>55800</v>
      </c>
      <c r="YJ111" s="11">
        <v>472539.5</v>
      </c>
      <c r="YK111" s="11">
        <v>92580</v>
      </c>
      <c r="YL111" s="11">
        <v>500000</v>
      </c>
      <c r="YM111" s="11">
        <v>103268</v>
      </c>
      <c r="YN111" s="11">
        <v>536507.5</v>
      </c>
      <c r="YO111" s="11">
        <v>41270</v>
      </c>
      <c r="YP111" s="11">
        <v>62670</v>
      </c>
      <c r="YQ111" s="11">
        <v>176030</v>
      </c>
      <c r="YR111" s="11">
        <v>110530</v>
      </c>
      <c r="YS111" s="11">
        <v>147845</v>
      </c>
      <c r="YT111" s="11">
        <v>78589</v>
      </c>
      <c r="YU111" s="11">
        <v>58940</v>
      </c>
      <c r="YV111" s="11">
        <v>141685.5</v>
      </c>
      <c r="YW111" s="11">
        <v>550530</v>
      </c>
      <c r="YX111" s="11">
        <v>34780</v>
      </c>
      <c r="YY111" s="11"/>
      <c r="YZ111" s="11">
        <v>18140</v>
      </c>
      <c r="ZA111" s="11">
        <v>34670</v>
      </c>
      <c r="ZB111" s="11">
        <v>8020</v>
      </c>
      <c r="ZC111" s="11">
        <v>27240</v>
      </c>
      <c r="ZD111" s="11"/>
      <c r="ZE111" s="11">
        <v>12885</v>
      </c>
      <c r="ZF111" s="11"/>
      <c r="ZG111" s="11">
        <v>60920</v>
      </c>
      <c r="ZH111" s="11">
        <v>40160</v>
      </c>
      <c r="ZI111" s="11">
        <v>145017.5</v>
      </c>
      <c r="ZJ111" s="11">
        <v>33510</v>
      </c>
      <c r="ZK111" s="11">
        <v>62330</v>
      </c>
      <c r="ZL111" s="11">
        <v>87740</v>
      </c>
      <c r="ZM111" s="11"/>
      <c r="ZN111" s="11">
        <v>9000</v>
      </c>
      <c r="ZO111" s="11">
        <v>221563</v>
      </c>
      <c r="ZP111" s="11">
        <v>972160</v>
      </c>
      <c r="ZQ111" s="11">
        <v>102000</v>
      </c>
      <c r="ZR111" s="11"/>
      <c r="ZS111" s="11"/>
      <c r="ZT111" s="11">
        <v>92125</v>
      </c>
      <c r="ZU111" s="11">
        <v>53265</v>
      </c>
      <c r="ZV111" s="11">
        <v>105637.5</v>
      </c>
      <c r="ZW111" s="11"/>
      <c r="ZX111" s="11">
        <v>0</v>
      </c>
      <c r="ZY111" s="11">
        <v>21520</v>
      </c>
      <c r="ZZ111" s="11">
        <v>29100</v>
      </c>
      <c r="AAA111" s="11"/>
      <c r="AAB111" s="11">
        <v>27397</v>
      </c>
      <c r="AAC111" s="11">
        <v>51438.75</v>
      </c>
      <c r="AAD111" s="11">
        <v>17100</v>
      </c>
      <c r="AAE111" s="11">
        <v>18421</v>
      </c>
      <c r="AAF111" s="11">
        <v>8623</v>
      </c>
      <c r="AAG111" s="11">
        <v>8650</v>
      </c>
      <c r="AAH111" s="11">
        <v>12708</v>
      </c>
      <c r="AAI111" s="11"/>
      <c r="AAJ111" s="11">
        <v>57769</v>
      </c>
      <c r="AAK111" s="11">
        <v>68558</v>
      </c>
      <c r="AAL111" s="11">
        <v>53560</v>
      </c>
      <c r="AAM111" s="11"/>
      <c r="AAN111" s="11">
        <v>67740</v>
      </c>
      <c r="AAO111" s="11"/>
      <c r="AAP111" s="11">
        <v>1295127.5</v>
      </c>
      <c r="AAQ111" s="11">
        <v>135856</v>
      </c>
      <c r="AAR111" s="11">
        <v>188000</v>
      </c>
      <c r="AAS111" s="11">
        <v>190000</v>
      </c>
      <c r="AAT111" s="11">
        <v>253165</v>
      </c>
      <c r="AAU111" s="11">
        <v>150000</v>
      </c>
      <c r="AAV111" s="11">
        <v>285000</v>
      </c>
      <c r="AAW111" s="11">
        <v>150000</v>
      </c>
      <c r="AAX111" s="11">
        <v>227560</v>
      </c>
      <c r="AAY111" s="11">
        <v>350234</v>
      </c>
      <c r="AAZ111" s="11">
        <v>196126.25</v>
      </c>
      <c r="ABA111" s="11">
        <v>382446.5</v>
      </c>
      <c r="ABB111" s="11">
        <v>429714.5</v>
      </c>
      <c r="ABC111" s="11">
        <v>94620</v>
      </c>
      <c r="ABD111" s="11">
        <v>150000</v>
      </c>
      <c r="ABE111" s="11">
        <v>82240</v>
      </c>
      <c r="ABF111" s="11">
        <v>66340</v>
      </c>
      <c r="ABG111" s="11">
        <v>448544</v>
      </c>
      <c r="ABH111" s="11">
        <v>74850</v>
      </c>
      <c r="ABI111" s="11">
        <v>444446</v>
      </c>
      <c r="ABJ111" s="11">
        <v>319000</v>
      </c>
      <c r="ABK111" s="11">
        <v>81360</v>
      </c>
      <c r="ABL111" s="11">
        <v>108300</v>
      </c>
      <c r="ABM111" s="11">
        <v>55755</v>
      </c>
      <c r="ABN111" s="11">
        <v>77315</v>
      </c>
      <c r="ABO111" s="11">
        <v>30000</v>
      </c>
      <c r="ABP111" s="11">
        <v>0</v>
      </c>
      <c r="ABQ111" s="11"/>
      <c r="ABR111" s="11">
        <v>0</v>
      </c>
      <c r="ABS111" s="11">
        <v>40000</v>
      </c>
      <c r="ABT111" s="11">
        <v>78980</v>
      </c>
      <c r="ABU111" s="11">
        <v>16410</v>
      </c>
      <c r="ABV111" s="11"/>
      <c r="ABW111" s="11"/>
      <c r="ABX111" s="11"/>
      <c r="ABY111" s="11"/>
      <c r="ABZ111" s="11"/>
      <c r="ACA111" s="11">
        <v>0</v>
      </c>
      <c r="ACB111" s="11">
        <v>93007.5</v>
      </c>
      <c r="ACC111" s="11"/>
      <c r="ACD111" s="11"/>
      <c r="ACE111" s="11"/>
      <c r="ACF111" s="11">
        <v>40000</v>
      </c>
      <c r="ACG111" s="11">
        <v>93658.75</v>
      </c>
      <c r="ACH111" s="11"/>
      <c r="ACI111" s="11">
        <v>41485</v>
      </c>
      <c r="ACJ111" s="11">
        <v>12627869.98</v>
      </c>
      <c r="ACK111" s="11">
        <v>40903</v>
      </c>
      <c r="ACL111" s="11"/>
      <c r="ACM111" s="11"/>
      <c r="ACN111" s="11"/>
      <c r="ACO111" s="11"/>
      <c r="ACP111" s="11"/>
      <c r="ACQ111" s="11"/>
      <c r="ACR111" s="11">
        <v>482750</v>
      </c>
      <c r="ACS111" s="11"/>
      <c r="ACT111" s="11"/>
      <c r="ACU111" s="11"/>
      <c r="ACV111" s="11"/>
      <c r="ACW111" s="11">
        <v>462451.88</v>
      </c>
      <c r="ACX111" s="11"/>
      <c r="ACY111" s="11">
        <v>131370</v>
      </c>
      <c r="ACZ111" s="11"/>
      <c r="ADA111" s="11"/>
      <c r="ADB111" s="11">
        <v>30360</v>
      </c>
      <c r="ADC111" s="11"/>
      <c r="ADD111" s="11">
        <v>94260</v>
      </c>
      <c r="ADE111" s="11">
        <v>0</v>
      </c>
      <c r="ADF111" s="11">
        <v>80000</v>
      </c>
      <c r="ADG111" s="11"/>
      <c r="ADH111" s="11"/>
      <c r="ADI111" s="11"/>
      <c r="ADJ111" s="11"/>
      <c r="ADK111" s="11"/>
      <c r="ADL111" s="11"/>
      <c r="ADM111" s="11">
        <v>200000</v>
      </c>
      <c r="ADN111" s="11"/>
      <c r="ADO111" s="11"/>
      <c r="ADP111" s="11">
        <v>11632614</v>
      </c>
      <c r="ADQ111" s="11"/>
      <c r="ADR111" s="11"/>
      <c r="ADS111" s="11"/>
      <c r="ADT111" s="11"/>
      <c r="ADU111" s="11">
        <v>2880</v>
      </c>
      <c r="ADV111" s="11">
        <v>0</v>
      </c>
      <c r="ADW111" s="11">
        <v>0</v>
      </c>
      <c r="ADX111" s="11">
        <v>9100</v>
      </c>
      <c r="ADY111" s="11"/>
      <c r="ADZ111" s="11"/>
      <c r="AEA111" s="11">
        <v>469059</v>
      </c>
      <c r="AEB111" s="11">
        <v>372379.44</v>
      </c>
      <c r="AEC111" s="11">
        <v>100100.5</v>
      </c>
      <c r="AED111" s="11">
        <v>131735</v>
      </c>
      <c r="AEE111" s="11"/>
      <c r="AEF111" s="11">
        <v>0</v>
      </c>
      <c r="AEG111" s="11"/>
      <c r="AEH111" s="11">
        <v>0</v>
      </c>
      <c r="AEI111" s="11">
        <v>81322.5</v>
      </c>
      <c r="AEJ111" s="11">
        <v>200000</v>
      </c>
      <c r="AEK111" s="11"/>
      <c r="AEL111" s="11">
        <v>55000</v>
      </c>
      <c r="AEM111" s="11">
        <v>75140</v>
      </c>
      <c r="AEN111" s="11">
        <v>10000</v>
      </c>
      <c r="AEO111" s="11">
        <v>286155</v>
      </c>
      <c r="AEP111" s="11">
        <v>75000</v>
      </c>
      <c r="AEQ111" s="11">
        <v>138468.75</v>
      </c>
      <c r="AER111" s="11">
        <v>88704</v>
      </c>
      <c r="AES111" s="11"/>
      <c r="AET111" s="11">
        <v>602767</v>
      </c>
      <c r="AEU111" s="11">
        <v>72800</v>
      </c>
      <c r="AEV111" s="11">
        <v>99770</v>
      </c>
      <c r="AEW111" s="11">
        <v>111420</v>
      </c>
      <c r="AEX111" s="11">
        <v>108910</v>
      </c>
      <c r="AEY111" s="11">
        <v>170000</v>
      </c>
      <c r="AEZ111" s="11">
        <v>70420</v>
      </c>
      <c r="AFA111" s="11">
        <v>50000</v>
      </c>
      <c r="AFB111" s="11">
        <v>120945</v>
      </c>
      <c r="AFC111" s="11">
        <v>46560</v>
      </c>
      <c r="AFD111" s="11">
        <v>300000</v>
      </c>
      <c r="AFE111" s="11">
        <v>247000</v>
      </c>
      <c r="AFF111" s="11">
        <v>16800</v>
      </c>
      <c r="AFG111" s="11">
        <v>81520</v>
      </c>
      <c r="AFH111" s="11">
        <v>197220</v>
      </c>
      <c r="AFI111" s="11">
        <v>416860</v>
      </c>
      <c r="AFJ111" s="11">
        <v>75800</v>
      </c>
      <c r="AFK111" s="11">
        <v>33600</v>
      </c>
      <c r="AFL111" s="11">
        <v>86000</v>
      </c>
      <c r="AFM111" s="11">
        <v>157200</v>
      </c>
      <c r="AFN111" s="11">
        <v>110000</v>
      </c>
      <c r="AFO111" s="11">
        <v>150000</v>
      </c>
      <c r="AFP111" s="11">
        <v>191340</v>
      </c>
      <c r="AFQ111" s="11">
        <v>2018852</v>
      </c>
      <c r="AFR111" s="11">
        <v>126357.5</v>
      </c>
      <c r="AFS111" s="11">
        <v>110040</v>
      </c>
      <c r="AFT111" s="11">
        <v>29020</v>
      </c>
      <c r="AFU111" s="11">
        <v>66360</v>
      </c>
      <c r="AFV111" s="11">
        <v>141000</v>
      </c>
      <c r="AFW111" s="11">
        <v>35440</v>
      </c>
      <c r="AFX111" s="11">
        <v>170000</v>
      </c>
      <c r="AFY111" s="11">
        <v>154070</v>
      </c>
      <c r="AFZ111" s="11">
        <v>34500</v>
      </c>
      <c r="AGA111" s="11">
        <v>70080</v>
      </c>
      <c r="AGB111" s="11">
        <v>49180</v>
      </c>
      <c r="AGC111" s="11">
        <v>875000</v>
      </c>
      <c r="AGD111" s="11">
        <v>12275</v>
      </c>
      <c r="AGE111" s="11">
        <v>45500</v>
      </c>
      <c r="AGF111" s="11">
        <v>50914</v>
      </c>
      <c r="AGG111" s="11">
        <v>134482.5</v>
      </c>
      <c r="AGH111" s="11">
        <v>72764</v>
      </c>
      <c r="AGI111" s="11">
        <v>40000</v>
      </c>
      <c r="AGJ111" s="11">
        <v>87166</v>
      </c>
      <c r="AGK111" s="11"/>
      <c r="AGL111" s="11">
        <v>35700</v>
      </c>
      <c r="AGM111" s="11"/>
      <c r="AGN111" s="11">
        <v>1038098.75</v>
      </c>
      <c r="AGO111" s="11">
        <v>188900</v>
      </c>
      <c r="AGP111" s="11">
        <v>59510</v>
      </c>
      <c r="AGQ111" s="11">
        <v>136392.5</v>
      </c>
      <c r="AGR111" s="11">
        <v>333247.5</v>
      </c>
      <c r="AGS111" s="11">
        <v>52640</v>
      </c>
      <c r="AGT111" s="11">
        <v>144000</v>
      </c>
      <c r="AGU111" s="11">
        <v>149475</v>
      </c>
      <c r="AGV111" s="11">
        <v>1492579.25</v>
      </c>
      <c r="AGW111" s="11">
        <v>399068.5</v>
      </c>
      <c r="AGX111" s="11">
        <v>8424</v>
      </c>
      <c r="AGY111" s="11">
        <v>163438.85999999999</v>
      </c>
      <c r="AGZ111" s="11">
        <v>136591.35999999999</v>
      </c>
      <c r="AHA111" s="11">
        <v>160197.47</v>
      </c>
      <c r="AHB111" s="11">
        <v>5000</v>
      </c>
      <c r="AHC111" s="11">
        <v>20000</v>
      </c>
      <c r="AHD111" s="11">
        <v>4320</v>
      </c>
      <c r="AHE111" s="11">
        <v>136476</v>
      </c>
      <c r="AHF111" s="11">
        <v>18000</v>
      </c>
      <c r="AHG111" s="11">
        <v>12445</v>
      </c>
      <c r="AHH111" s="11">
        <v>58320</v>
      </c>
      <c r="AHI111" s="11">
        <v>41535</v>
      </c>
      <c r="AHJ111" s="11">
        <v>80028</v>
      </c>
      <c r="AHK111" s="11"/>
      <c r="AHL111" s="11">
        <v>169768</v>
      </c>
      <c r="AHM111" s="11">
        <v>135195</v>
      </c>
      <c r="AHN111" s="11">
        <v>32470</v>
      </c>
      <c r="AHO111" s="11">
        <v>47460</v>
      </c>
      <c r="AHP111" s="11">
        <v>70000</v>
      </c>
      <c r="AHQ111" s="11">
        <v>89000</v>
      </c>
      <c r="AHR111" s="11">
        <v>11025</v>
      </c>
      <c r="AHS111" s="11">
        <v>65105</v>
      </c>
      <c r="AHT111" s="11">
        <v>170401807.46000001</v>
      </c>
      <c r="AHV111" s="269" t="s">
        <v>6278</v>
      </c>
      <c r="AHW111" s="269" t="s">
        <v>6163</v>
      </c>
      <c r="AHX111" s="269" t="s">
        <v>6164</v>
      </c>
    </row>
    <row r="112" spans="1:908" x14ac:dyDescent="0.7">
      <c r="A112" s="6" t="s">
        <v>6278</v>
      </c>
      <c r="B112" s="6" t="s">
        <v>6499</v>
      </c>
      <c r="C112" s="6" t="s">
        <v>6172</v>
      </c>
      <c r="D112" s="11"/>
      <c r="E112" s="11">
        <v>13000</v>
      </c>
      <c r="F112" s="11"/>
      <c r="G112" s="11"/>
      <c r="H112" s="11">
        <v>27500</v>
      </c>
      <c r="I112" s="11"/>
      <c r="J112" s="11"/>
      <c r="K112" s="11"/>
      <c r="L112" s="11"/>
      <c r="M112" s="11"/>
      <c r="N112" s="11"/>
      <c r="O112" s="11"/>
      <c r="P112" s="11"/>
      <c r="Q112" s="11">
        <v>11000</v>
      </c>
      <c r="R112" s="11">
        <v>4000</v>
      </c>
      <c r="S112" s="11"/>
      <c r="T112" s="11"/>
      <c r="U112" s="11"/>
      <c r="V112" s="11"/>
      <c r="W112" s="11">
        <v>30000</v>
      </c>
      <c r="X112" s="11"/>
      <c r="Y112" s="11">
        <v>24000</v>
      </c>
      <c r="Z112" s="11"/>
      <c r="AA112" s="11"/>
      <c r="AB112" s="11">
        <v>34774</v>
      </c>
      <c r="AC112" s="11"/>
      <c r="AD112" s="11"/>
      <c r="AE112" s="11"/>
      <c r="AF112" s="11"/>
      <c r="AG112" s="11"/>
      <c r="AH112" s="11"/>
      <c r="AI112" s="11"/>
      <c r="AJ112" s="11"/>
      <c r="AK112" s="11"/>
      <c r="AL112" s="11">
        <v>14000</v>
      </c>
      <c r="AM112" s="11"/>
      <c r="AN112" s="11">
        <v>4000</v>
      </c>
      <c r="AO112" s="11"/>
      <c r="AP112" s="11">
        <v>1000</v>
      </c>
      <c r="AQ112" s="11"/>
      <c r="AR112" s="11"/>
      <c r="AS112" s="11">
        <v>12000</v>
      </c>
      <c r="AT112" s="11">
        <v>148000</v>
      </c>
      <c r="AU112" s="11"/>
      <c r="AV112" s="11">
        <v>1000</v>
      </c>
      <c r="AW112" s="11"/>
      <c r="AX112" s="11">
        <v>0</v>
      </c>
      <c r="AY112" s="11">
        <v>35000</v>
      </c>
      <c r="AZ112" s="11">
        <v>10500</v>
      </c>
      <c r="BA112" s="11">
        <v>2500</v>
      </c>
      <c r="BB112" s="11"/>
      <c r="BC112" s="11"/>
      <c r="BD112" s="11">
        <v>4000</v>
      </c>
      <c r="BE112" s="11">
        <v>1000</v>
      </c>
      <c r="BF112" s="11"/>
      <c r="BG112" s="11"/>
      <c r="BH112" s="11"/>
      <c r="BI112" s="11"/>
      <c r="BJ112" s="11">
        <v>23000</v>
      </c>
      <c r="BK112" s="11"/>
      <c r="BL112" s="11"/>
      <c r="BM112" s="11"/>
      <c r="BN112" s="11">
        <v>4500</v>
      </c>
      <c r="BO112" s="11"/>
      <c r="BP112" s="11"/>
      <c r="BQ112" s="11"/>
      <c r="BR112" s="11"/>
      <c r="BS112" s="11"/>
      <c r="BT112" s="11"/>
      <c r="BU112" s="11">
        <v>8440</v>
      </c>
      <c r="BV112" s="11"/>
      <c r="BW112" s="11"/>
      <c r="BX112" s="11"/>
      <c r="BY112" s="11"/>
      <c r="BZ112" s="11"/>
      <c r="CA112" s="11">
        <v>1500</v>
      </c>
      <c r="CB112" s="11"/>
      <c r="CC112" s="11"/>
      <c r="CD112" s="11">
        <v>1500</v>
      </c>
      <c r="CE112" s="11">
        <v>104532.26</v>
      </c>
      <c r="CF112" s="11"/>
      <c r="CG112" s="11">
        <v>50000</v>
      </c>
      <c r="CH112" s="11">
        <v>1500</v>
      </c>
      <c r="CI112" s="11">
        <v>18000</v>
      </c>
      <c r="CJ112" s="11">
        <v>1000</v>
      </c>
      <c r="CK112" s="11">
        <v>6500</v>
      </c>
      <c r="CL112" s="11">
        <v>3000</v>
      </c>
      <c r="CM112" s="11">
        <v>4000</v>
      </c>
      <c r="CN112" s="11">
        <v>7500</v>
      </c>
      <c r="CO112" s="11">
        <v>1500</v>
      </c>
      <c r="CP112" s="11">
        <v>1500</v>
      </c>
      <c r="CQ112" s="11">
        <v>2000</v>
      </c>
      <c r="CR112" s="11"/>
      <c r="CS112" s="11">
        <v>2500</v>
      </c>
      <c r="CT112" s="11"/>
      <c r="CU112" s="11"/>
      <c r="CV112" s="11"/>
      <c r="CW112" s="11"/>
      <c r="CX112" s="11">
        <v>339000</v>
      </c>
      <c r="CY112" s="11"/>
      <c r="CZ112" s="11"/>
      <c r="DA112" s="11"/>
      <c r="DB112" s="11"/>
      <c r="DC112" s="11"/>
      <c r="DD112" s="11">
        <v>10500</v>
      </c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>
        <v>8500</v>
      </c>
      <c r="DR112" s="11">
        <v>3000</v>
      </c>
      <c r="DS112" s="11">
        <v>8500</v>
      </c>
      <c r="DT112" s="11"/>
      <c r="DU112" s="11">
        <v>0</v>
      </c>
      <c r="DV112" s="11"/>
      <c r="DW112" s="11"/>
      <c r="DX112" s="11"/>
      <c r="DY112" s="11"/>
      <c r="DZ112" s="11"/>
      <c r="EA112" s="11">
        <v>4000</v>
      </c>
      <c r="EB112" s="11"/>
      <c r="EC112" s="11"/>
      <c r="ED112" s="11"/>
      <c r="EE112" s="11">
        <v>11000</v>
      </c>
      <c r="EF112" s="11"/>
      <c r="EG112" s="11">
        <v>19500</v>
      </c>
      <c r="EH112" s="11">
        <v>1500</v>
      </c>
      <c r="EI112" s="11">
        <v>191661.28</v>
      </c>
      <c r="EJ112" s="11"/>
      <c r="EK112" s="11">
        <v>0</v>
      </c>
      <c r="EL112" s="11">
        <v>2500</v>
      </c>
      <c r="EM112" s="11"/>
      <c r="EN112" s="11"/>
      <c r="EO112" s="11"/>
      <c r="EP112" s="11"/>
      <c r="EQ112" s="11">
        <v>10000</v>
      </c>
      <c r="ER112" s="11">
        <v>7000</v>
      </c>
      <c r="ES112" s="11"/>
      <c r="ET112" s="11">
        <v>134000</v>
      </c>
      <c r="EU112" s="11">
        <v>15000</v>
      </c>
      <c r="EV112" s="11"/>
      <c r="EW112" s="11"/>
      <c r="EX112" s="11">
        <v>1000</v>
      </c>
      <c r="EY112" s="11"/>
      <c r="EZ112" s="11">
        <v>3000</v>
      </c>
      <c r="FA112" s="11"/>
      <c r="FB112" s="11"/>
      <c r="FC112" s="11">
        <v>10694</v>
      </c>
      <c r="FD112" s="11">
        <v>9000</v>
      </c>
      <c r="FE112" s="11">
        <v>0</v>
      </c>
      <c r="FF112" s="11"/>
      <c r="FG112" s="11">
        <v>8500</v>
      </c>
      <c r="FH112" s="11">
        <v>7000</v>
      </c>
      <c r="FI112" s="11"/>
      <c r="FJ112" s="11">
        <v>1500</v>
      </c>
      <c r="FK112" s="11"/>
      <c r="FL112" s="11"/>
      <c r="FM112" s="11"/>
      <c r="FN112" s="11"/>
      <c r="FO112" s="11">
        <v>5500</v>
      </c>
      <c r="FP112" s="11"/>
      <c r="FQ112" s="11"/>
      <c r="FR112" s="11"/>
      <c r="FS112" s="11"/>
      <c r="FT112" s="11"/>
      <c r="FU112" s="11"/>
      <c r="FV112" s="11">
        <v>5000</v>
      </c>
      <c r="FW112" s="11"/>
      <c r="FX112" s="11">
        <v>3000</v>
      </c>
      <c r="FY112" s="11">
        <v>16500</v>
      </c>
      <c r="FZ112" s="11">
        <v>4500</v>
      </c>
      <c r="GA112" s="11"/>
      <c r="GB112" s="11">
        <v>143400</v>
      </c>
      <c r="GC112" s="11"/>
      <c r="GD112" s="11"/>
      <c r="GE112" s="11"/>
      <c r="GF112" s="11"/>
      <c r="GG112" s="11"/>
      <c r="GH112" s="11"/>
      <c r="GI112" s="11"/>
      <c r="GJ112" s="11">
        <v>4000</v>
      </c>
      <c r="GK112" s="11">
        <v>136000</v>
      </c>
      <c r="GL112" s="11"/>
      <c r="GM112" s="11">
        <v>3000</v>
      </c>
      <c r="GN112" s="11">
        <v>1500</v>
      </c>
      <c r="GO112" s="11">
        <v>1500</v>
      </c>
      <c r="GP112" s="11"/>
      <c r="GQ112" s="11">
        <v>12500</v>
      </c>
      <c r="GR112" s="11">
        <v>16500</v>
      </c>
      <c r="GS112" s="11"/>
      <c r="GT112" s="11">
        <v>17000</v>
      </c>
      <c r="GU112" s="11"/>
      <c r="GV112" s="11">
        <v>12500</v>
      </c>
      <c r="GW112" s="11"/>
      <c r="GX112" s="11">
        <v>3000</v>
      </c>
      <c r="GY112" s="11">
        <v>12854.23</v>
      </c>
      <c r="GZ112" s="11"/>
      <c r="HA112" s="11"/>
      <c r="HB112" s="11"/>
      <c r="HC112" s="11"/>
      <c r="HD112" s="11"/>
      <c r="HE112" s="11">
        <v>41986</v>
      </c>
      <c r="HF112" s="11">
        <v>96127</v>
      </c>
      <c r="HG112" s="11">
        <v>15000</v>
      </c>
      <c r="HH112" s="11">
        <v>1282500</v>
      </c>
      <c r="HI112" s="11">
        <v>2000</v>
      </c>
      <c r="HJ112" s="11">
        <v>633502.99</v>
      </c>
      <c r="HK112" s="11"/>
      <c r="HL112" s="11"/>
      <c r="HM112" s="11">
        <v>7500</v>
      </c>
      <c r="HN112" s="11">
        <v>1000</v>
      </c>
      <c r="HO112" s="11">
        <v>1000</v>
      </c>
      <c r="HP112" s="11"/>
      <c r="HQ112" s="11">
        <v>4000</v>
      </c>
      <c r="HR112" s="11"/>
      <c r="HS112" s="11"/>
      <c r="HT112" s="11"/>
      <c r="HU112" s="11">
        <v>2500</v>
      </c>
      <c r="HV112" s="11"/>
      <c r="HW112" s="11">
        <v>5000</v>
      </c>
      <c r="HX112" s="11"/>
      <c r="HY112" s="11"/>
      <c r="HZ112" s="11">
        <v>12000</v>
      </c>
      <c r="IA112" s="11"/>
      <c r="IB112" s="11"/>
      <c r="IC112" s="11"/>
      <c r="ID112" s="11"/>
      <c r="IE112" s="11"/>
      <c r="IF112" s="11">
        <v>3000</v>
      </c>
      <c r="IG112" s="11">
        <v>19500</v>
      </c>
      <c r="IH112" s="11"/>
      <c r="II112" s="11"/>
      <c r="IJ112" s="11"/>
      <c r="IK112" s="11">
        <v>0</v>
      </c>
      <c r="IL112" s="11"/>
      <c r="IM112" s="11">
        <v>47650</v>
      </c>
      <c r="IN112" s="11"/>
      <c r="IO112" s="11"/>
      <c r="IP112" s="11"/>
      <c r="IQ112" s="11"/>
      <c r="IR112" s="11">
        <v>0</v>
      </c>
      <c r="IS112" s="11">
        <v>1500</v>
      </c>
      <c r="IT112" s="11"/>
      <c r="IU112" s="11">
        <v>0</v>
      </c>
      <c r="IV112" s="11"/>
      <c r="IW112" s="11">
        <v>2000</v>
      </c>
      <c r="IX112" s="11"/>
      <c r="IY112" s="11"/>
      <c r="IZ112" s="11"/>
      <c r="JA112" s="11">
        <v>0</v>
      </c>
      <c r="JB112" s="11">
        <v>2000</v>
      </c>
      <c r="JC112" s="11"/>
      <c r="JD112" s="11"/>
      <c r="JE112" s="11"/>
      <c r="JF112" s="11"/>
      <c r="JG112" s="11"/>
      <c r="JH112" s="11"/>
      <c r="JI112" s="11"/>
      <c r="JJ112" s="11"/>
      <c r="JK112" s="11"/>
      <c r="JL112" s="11">
        <v>32403</v>
      </c>
      <c r="JM112" s="11">
        <v>2000</v>
      </c>
      <c r="JN112" s="11"/>
      <c r="JO112" s="11"/>
      <c r="JP112" s="11"/>
      <c r="JQ112" s="11"/>
      <c r="JR112" s="11"/>
      <c r="JS112" s="11"/>
      <c r="JT112" s="11"/>
      <c r="JU112" s="11"/>
      <c r="JV112" s="11">
        <v>7000</v>
      </c>
      <c r="JW112" s="11"/>
      <c r="JX112" s="11"/>
      <c r="JY112" s="11"/>
      <c r="JZ112" s="11"/>
      <c r="KA112" s="11"/>
      <c r="KB112" s="11">
        <v>7000</v>
      </c>
      <c r="KC112" s="11">
        <v>142000</v>
      </c>
      <c r="KD112" s="11">
        <v>11000</v>
      </c>
      <c r="KE112" s="11">
        <v>3000</v>
      </c>
      <c r="KF112" s="11"/>
      <c r="KG112" s="11"/>
      <c r="KH112" s="11"/>
      <c r="KI112" s="11">
        <v>200000</v>
      </c>
      <c r="KJ112" s="11"/>
      <c r="KK112" s="11"/>
      <c r="KL112" s="11"/>
      <c r="KM112" s="11"/>
      <c r="KN112" s="11"/>
      <c r="KO112" s="11">
        <v>29500</v>
      </c>
      <c r="KP112" s="11"/>
      <c r="KQ112" s="11"/>
      <c r="KR112" s="11">
        <v>7000</v>
      </c>
      <c r="KS112" s="11"/>
      <c r="KT112" s="11">
        <v>7500</v>
      </c>
      <c r="KU112" s="11"/>
      <c r="KV112" s="11">
        <v>98505</v>
      </c>
      <c r="KW112" s="11"/>
      <c r="KX112" s="11"/>
      <c r="KY112" s="11">
        <v>15500</v>
      </c>
      <c r="KZ112" s="11"/>
      <c r="LA112" s="11">
        <v>17000</v>
      </c>
      <c r="LB112" s="11">
        <v>9500</v>
      </c>
      <c r="LC112" s="11"/>
      <c r="LD112" s="11"/>
      <c r="LE112" s="11"/>
      <c r="LF112" s="11">
        <v>1500</v>
      </c>
      <c r="LG112" s="11"/>
      <c r="LH112" s="11"/>
      <c r="LI112" s="11"/>
      <c r="LJ112" s="11"/>
      <c r="LK112" s="11"/>
      <c r="LL112" s="11"/>
      <c r="LM112" s="11"/>
      <c r="LN112" s="11">
        <v>4000</v>
      </c>
      <c r="LO112" s="11"/>
      <c r="LP112" s="11">
        <v>-12500</v>
      </c>
      <c r="LQ112" s="11">
        <v>8500</v>
      </c>
      <c r="LR112" s="11"/>
      <c r="LS112" s="11"/>
      <c r="LT112" s="11"/>
      <c r="LU112" s="11">
        <v>0</v>
      </c>
      <c r="LV112" s="11"/>
      <c r="LW112" s="11"/>
      <c r="LX112" s="11"/>
      <c r="LY112" s="11">
        <v>0</v>
      </c>
      <c r="LZ112" s="11"/>
      <c r="MA112" s="11">
        <v>38500</v>
      </c>
      <c r="MB112" s="11"/>
      <c r="MC112" s="11">
        <v>5500</v>
      </c>
      <c r="MD112" s="11"/>
      <c r="ME112" s="11">
        <v>17000</v>
      </c>
      <c r="MF112" s="11"/>
      <c r="MG112" s="11"/>
      <c r="MH112" s="11">
        <v>0</v>
      </c>
      <c r="MI112" s="11">
        <v>2500</v>
      </c>
      <c r="MJ112" s="11"/>
      <c r="MK112" s="11"/>
      <c r="ML112" s="11"/>
      <c r="MM112" s="11"/>
      <c r="MN112" s="11"/>
      <c r="MO112" s="11"/>
      <c r="MP112" s="11">
        <v>2000</v>
      </c>
      <c r="MQ112" s="11"/>
      <c r="MR112" s="11"/>
      <c r="MS112" s="11"/>
      <c r="MT112" s="11"/>
      <c r="MU112" s="11">
        <v>90000</v>
      </c>
      <c r="MV112" s="11"/>
      <c r="MW112" s="11">
        <v>143767</v>
      </c>
      <c r="MX112" s="11"/>
      <c r="MY112" s="11">
        <v>3000</v>
      </c>
      <c r="MZ112" s="11">
        <v>73515.75</v>
      </c>
      <c r="NA112" s="11"/>
      <c r="NB112" s="11">
        <v>23333.34</v>
      </c>
      <c r="NC112" s="11"/>
      <c r="ND112" s="11">
        <v>1000</v>
      </c>
      <c r="NE112" s="11"/>
      <c r="NF112" s="11"/>
      <c r="NG112" s="11">
        <v>6000</v>
      </c>
      <c r="NH112" s="11"/>
      <c r="NI112" s="11"/>
      <c r="NJ112" s="11"/>
      <c r="NK112" s="11">
        <v>40000</v>
      </c>
      <c r="NL112" s="11">
        <v>36000</v>
      </c>
      <c r="NM112" s="11"/>
      <c r="NN112" s="11"/>
      <c r="NO112" s="11">
        <v>0</v>
      </c>
      <c r="NP112" s="11"/>
      <c r="NQ112" s="11"/>
      <c r="NR112" s="11"/>
      <c r="NS112" s="11"/>
      <c r="NT112" s="11"/>
      <c r="NU112" s="11"/>
      <c r="NV112" s="11"/>
      <c r="NW112" s="11"/>
      <c r="NX112" s="11"/>
      <c r="NY112" s="11">
        <v>6100119</v>
      </c>
      <c r="NZ112" s="11"/>
      <c r="OA112" s="11"/>
      <c r="OB112" s="11"/>
      <c r="OC112" s="11">
        <v>5500</v>
      </c>
      <c r="OD112" s="11"/>
      <c r="OE112" s="11"/>
      <c r="OF112" s="11"/>
      <c r="OG112" s="11">
        <v>3000</v>
      </c>
      <c r="OH112" s="11"/>
      <c r="OI112" s="11"/>
      <c r="OJ112" s="11">
        <v>2000</v>
      </c>
      <c r="OK112" s="11"/>
      <c r="OL112" s="11"/>
      <c r="OM112" s="11">
        <v>6726</v>
      </c>
      <c r="ON112" s="11"/>
      <c r="OO112" s="11">
        <v>16000</v>
      </c>
      <c r="OP112" s="11"/>
      <c r="OQ112" s="11">
        <v>14000</v>
      </c>
      <c r="OR112" s="11"/>
      <c r="OS112" s="11"/>
      <c r="OT112" s="11">
        <v>80391.67</v>
      </c>
      <c r="OU112" s="11"/>
      <c r="OV112" s="11">
        <v>41000</v>
      </c>
      <c r="OW112" s="11"/>
      <c r="OX112" s="11"/>
      <c r="OY112" s="11">
        <v>0</v>
      </c>
      <c r="OZ112" s="11"/>
      <c r="PA112" s="11">
        <v>45000</v>
      </c>
      <c r="PB112" s="11"/>
      <c r="PC112" s="11"/>
      <c r="PD112" s="11"/>
      <c r="PE112" s="11">
        <v>7500</v>
      </c>
      <c r="PF112" s="11"/>
      <c r="PG112" s="11"/>
      <c r="PH112" s="11"/>
      <c r="PI112" s="11"/>
      <c r="PJ112" s="11">
        <v>6000</v>
      </c>
      <c r="PK112" s="11">
        <v>33500</v>
      </c>
      <c r="PL112" s="11"/>
      <c r="PM112" s="11"/>
      <c r="PN112" s="11">
        <v>622000</v>
      </c>
      <c r="PO112" s="11">
        <v>5000</v>
      </c>
      <c r="PP112" s="11"/>
      <c r="PQ112" s="11">
        <v>32000</v>
      </c>
      <c r="PR112" s="11"/>
      <c r="PS112" s="11"/>
      <c r="PT112" s="11"/>
      <c r="PU112" s="11"/>
      <c r="PV112" s="11"/>
      <c r="PW112" s="11">
        <v>10000</v>
      </c>
      <c r="PX112" s="11"/>
      <c r="PY112" s="11"/>
      <c r="PZ112" s="11">
        <v>0</v>
      </c>
      <c r="QA112" s="11">
        <v>1000</v>
      </c>
      <c r="QB112" s="11"/>
      <c r="QC112" s="11"/>
      <c r="QD112" s="11"/>
      <c r="QE112" s="11"/>
      <c r="QF112" s="11"/>
      <c r="QG112" s="11"/>
      <c r="QH112" s="11"/>
      <c r="QI112" s="11"/>
      <c r="QJ112" s="11">
        <v>5500</v>
      </c>
      <c r="QK112" s="11"/>
      <c r="QL112" s="11"/>
      <c r="QM112" s="11"/>
      <c r="QN112" s="11">
        <v>44000</v>
      </c>
      <c r="QO112" s="11"/>
      <c r="QP112" s="11"/>
      <c r="QQ112" s="11"/>
      <c r="QR112" s="11"/>
      <c r="QS112" s="11"/>
      <c r="QT112" s="11"/>
      <c r="QU112" s="11"/>
      <c r="QV112" s="11">
        <v>10000</v>
      </c>
      <c r="QW112" s="11">
        <v>30000</v>
      </c>
      <c r="QX112" s="11">
        <v>405000</v>
      </c>
      <c r="QY112" s="11"/>
      <c r="QZ112" s="11">
        <v>29000</v>
      </c>
      <c r="RA112" s="11">
        <v>1017431</v>
      </c>
      <c r="RB112" s="11">
        <v>424000</v>
      </c>
      <c r="RC112" s="11">
        <v>46500</v>
      </c>
      <c r="RD112" s="11">
        <v>393095.35</v>
      </c>
      <c r="RE112" s="11">
        <v>11500</v>
      </c>
      <c r="RF112" s="11">
        <v>167500</v>
      </c>
      <c r="RG112" s="11">
        <v>326000</v>
      </c>
      <c r="RH112" s="11"/>
      <c r="RI112" s="11">
        <v>36000</v>
      </c>
      <c r="RJ112" s="11">
        <v>266133.33</v>
      </c>
      <c r="RK112" s="11"/>
      <c r="RL112" s="11">
        <v>162333.32999999999</v>
      </c>
      <c r="RM112" s="11">
        <v>5000</v>
      </c>
      <c r="RN112" s="11"/>
      <c r="RO112" s="11">
        <v>6000</v>
      </c>
      <c r="RP112" s="11">
        <v>14500</v>
      </c>
      <c r="RQ112" s="11">
        <v>41000</v>
      </c>
      <c r="RR112" s="11">
        <v>29000</v>
      </c>
      <c r="RS112" s="11">
        <v>3000</v>
      </c>
      <c r="RT112" s="11"/>
      <c r="RU112" s="11"/>
      <c r="RV112" s="11">
        <v>21000</v>
      </c>
      <c r="RW112" s="11">
        <v>15500</v>
      </c>
      <c r="RX112" s="11">
        <v>9500</v>
      </c>
      <c r="RY112" s="11">
        <v>6000</v>
      </c>
      <c r="RZ112" s="11">
        <v>5000</v>
      </c>
      <c r="SA112" s="11">
        <v>18000</v>
      </c>
      <c r="SB112" s="11">
        <v>0</v>
      </c>
      <c r="SC112" s="11">
        <v>8000</v>
      </c>
      <c r="SD112" s="11"/>
      <c r="SE112" s="11"/>
      <c r="SF112" s="11">
        <v>6000</v>
      </c>
      <c r="SG112" s="11">
        <v>7000</v>
      </c>
      <c r="SH112" s="11">
        <v>18500</v>
      </c>
      <c r="SI112" s="11">
        <v>32500</v>
      </c>
      <c r="SJ112" s="11">
        <v>11000</v>
      </c>
      <c r="SK112" s="11">
        <v>18000</v>
      </c>
      <c r="SL112" s="11"/>
      <c r="SM112" s="11">
        <v>57000</v>
      </c>
      <c r="SN112" s="11"/>
      <c r="SO112" s="11">
        <v>3000</v>
      </c>
      <c r="SP112" s="11">
        <v>14000</v>
      </c>
      <c r="SQ112" s="11">
        <v>0</v>
      </c>
      <c r="SR112" s="11">
        <v>6000</v>
      </c>
      <c r="SS112" s="11"/>
      <c r="ST112" s="11"/>
      <c r="SU112" s="11"/>
      <c r="SV112" s="11"/>
      <c r="SW112" s="11"/>
      <c r="SX112" s="11">
        <v>146500</v>
      </c>
      <c r="SY112" s="11">
        <v>21500</v>
      </c>
      <c r="SZ112" s="11">
        <v>12000</v>
      </c>
      <c r="TA112" s="11"/>
      <c r="TB112" s="11">
        <v>4500</v>
      </c>
      <c r="TC112" s="11">
        <v>4000</v>
      </c>
      <c r="TD112" s="11"/>
      <c r="TE112" s="11"/>
      <c r="TF112" s="11">
        <v>14000</v>
      </c>
      <c r="TG112" s="11">
        <v>8500</v>
      </c>
      <c r="TH112" s="11">
        <v>13500</v>
      </c>
      <c r="TI112" s="11">
        <v>6000</v>
      </c>
      <c r="TJ112" s="11"/>
      <c r="TK112" s="11"/>
      <c r="TL112" s="11">
        <v>0</v>
      </c>
      <c r="TM112" s="11"/>
      <c r="TN112" s="11"/>
      <c r="TO112" s="11">
        <v>0</v>
      </c>
      <c r="TP112" s="11"/>
      <c r="TQ112" s="11"/>
      <c r="TR112" s="11">
        <v>10500</v>
      </c>
      <c r="TS112" s="11">
        <v>16500</v>
      </c>
      <c r="TT112" s="11"/>
      <c r="TU112" s="11"/>
      <c r="TV112" s="11">
        <v>3000</v>
      </c>
      <c r="TW112" s="11"/>
      <c r="TX112" s="11">
        <v>7500</v>
      </c>
      <c r="TY112" s="11">
        <v>4000</v>
      </c>
      <c r="TZ112" s="11">
        <v>30166</v>
      </c>
      <c r="UA112" s="11"/>
      <c r="UB112" s="11">
        <v>90000</v>
      </c>
      <c r="UC112" s="11"/>
      <c r="UD112" s="11"/>
      <c r="UE112" s="11">
        <v>16000</v>
      </c>
      <c r="UF112" s="11"/>
      <c r="UG112" s="11"/>
      <c r="UH112" s="11"/>
      <c r="UI112" s="11">
        <v>0</v>
      </c>
      <c r="UJ112" s="11"/>
      <c r="UK112" s="11">
        <v>5677.42</v>
      </c>
      <c r="UL112" s="11"/>
      <c r="UM112" s="11"/>
      <c r="UN112" s="11"/>
      <c r="UO112" s="11"/>
      <c r="UP112" s="11"/>
      <c r="UQ112" s="11">
        <v>257194</v>
      </c>
      <c r="UR112" s="11"/>
      <c r="US112" s="11"/>
      <c r="UT112" s="11">
        <v>9000</v>
      </c>
      <c r="UU112" s="11"/>
      <c r="UV112" s="11"/>
      <c r="UW112" s="11">
        <v>30500</v>
      </c>
      <c r="UX112" s="11"/>
      <c r="UY112" s="11"/>
      <c r="UZ112" s="11">
        <v>6000</v>
      </c>
      <c r="VA112" s="11"/>
      <c r="VB112" s="11"/>
      <c r="VC112" s="11">
        <v>0</v>
      </c>
      <c r="VD112" s="11">
        <v>29000</v>
      </c>
      <c r="VE112" s="11"/>
      <c r="VF112" s="11"/>
      <c r="VG112" s="11">
        <v>6500</v>
      </c>
      <c r="VH112" s="11">
        <v>1000</v>
      </c>
      <c r="VI112" s="11"/>
      <c r="VJ112" s="11"/>
      <c r="VK112" s="11">
        <v>7500</v>
      </c>
      <c r="VL112" s="11"/>
      <c r="VM112" s="11"/>
      <c r="VN112" s="11"/>
      <c r="VO112" s="11">
        <v>11000</v>
      </c>
      <c r="VP112" s="11">
        <v>74400</v>
      </c>
      <c r="VQ112" s="11"/>
      <c r="VR112" s="11">
        <v>14500</v>
      </c>
      <c r="VS112" s="11">
        <v>26000</v>
      </c>
      <c r="VT112" s="11"/>
      <c r="VU112" s="11"/>
      <c r="VV112" s="11">
        <v>34500</v>
      </c>
      <c r="VW112" s="11"/>
      <c r="VX112" s="11">
        <v>382500</v>
      </c>
      <c r="VY112" s="11">
        <v>14500</v>
      </c>
      <c r="VZ112" s="11"/>
      <c r="WA112" s="11">
        <v>7000</v>
      </c>
      <c r="WB112" s="11"/>
      <c r="WC112" s="11">
        <v>47000</v>
      </c>
      <c r="WD112" s="11"/>
      <c r="WE112" s="11"/>
      <c r="WF112" s="11"/>
      <c r="WG112" s="11">
        <v>10500</v>
      </c>
      <c r="WH112" s="11">
        <v>33000</v>
      </c>
      <c r="WI112" s="11">
        <v>28500</v>
      </c>
      <c r="WJ112" s="11">
        <v>15500</v>
      </c>
      <c r="WK112" s="11">
        <v>693000</v>
      </c>
      <c r="WL112" s="11">
        <v>6500</v>
      </c>
      <c r="WM112" s="11"/>
      <c r="WN112" s="11">
        <v>10000</v>
      </c>
      <c r="WO112" s="11">
        <v>15500</v>
      </c>
      <c r="WP112" s="11">
        <v>46000</v>
      </c>
      <c r="WQ112" s="11"/>
      <c r="WR112" s="11">
        <v>10500</v>
      </c>
      <c r="WS112" s="11">
        <v>20000</v>
      </c>
      <c r="WT112" s="11">
        <v>89500</v>
      </c>
      <c r="WU112" s="11">
        <v>0</v>
      </c>
      <c r="WV112" s="11"/>
      <c r="WW112" s="11">
        <v>11500</v>
      </c>
      <c r="WX112" s="11"/>
      <c r="WY112" s="11"/>
      <c r="WZ112" s="11"/>
      <c r="XA112" s="11">
        <v>2000</v>
      </c>
      <c r="XB112" s="11">
        <v>9000</v>
      </c>
      <c r="XC112" s="11">
        <v>30000</v>
      </c>
      <c r="XD112" s="11">
        <v>0</v>
      </c>
      <c r="XE112" s="11">
        <v>2500</v>
      </c>
      <c r="XF112" s="11"/>
      <c r="XG112" s="11">
        <v>7000</v>
      </c>
      <c r="XH112" s="11">
        <v>7500</v>
      </c>
      <c r="XI112" s="11"/>
      <c r="XJ112" s="11">
        <v>21000</v>
      </c>
      <c r="XK112" s="11">
        <v>4000</v>
      </c>
      <c r="XL112" s="11">
        <v>1000</v>
      </c>
      <c r="XM112" s="11">
        <v>44000</v>
      </c>
      <c r="XN112" s="11"/>
      <c r="XO112" s="11">
        <v>49500</v>
      </c>
      <c r="XP112" s="11">
        <v>5500</v>
      </c>
      <c r="XQ112" s="11">
        <v>8500</v>
      </c>
      <c r="XR112" s="11">
        <v>40500</v>
      </c>
      <c r="XS112" s="11"/>
      <c r="XT112" s="11"/>
      <c r="XU112" s="11">
        <v>3000</v>
      </c>
      <c r="XV112" s="11">
        <v>17500</v>
      </c>
      <c r="XW112" s="11"/>
      <c r="XX112" s="11">
        <v>43149</v>
      </c>
      <c r="XY112" s="11">
        <v>7500</v>
      </c>
      <c r="XZ112" s="11">
        <v>7000</v>
      </c>
      <c r="YA112" s="11">
        <v>11000</v>
      </c>
      <c r="YB112" s="11">
        <v>12000</v>
      </c>
      <c r="YC112" s="11"/>
      <c r="YD112" s="11"/>
      <c r="YE112" s="11"/>
      <c r="YF112" s="11"/>
      <c r="YG112" s="11"/>
      <c r="YH112" s="11">
        <v>10000</v>
      </c>
      <c r="YI112" s="11"/>
      <c r="YJ112" s="11">
        <v>31000</v>
      </c>
      <c r="YK112" s="11">
        <v>3096</v>
      </c>
      <c r="YL112" s="11">
        <v>14000</v>
      </c>
      <c r="YM112" s="11">
        <v>0</v>
      </c>
      <c r="YN112" s="11">
        <v>50800</v>
      </c>
      <c r="YO112" s="11">
        <v>13000</v>
      </c>
      <c r="YP112" s="11">
        <v>48000</v>
      </c>
      <c r="YQ112" s="11">
        <v>4500</v>
      </c>
      <c r="YR112" s="11"/>
      <c r="YS112" s="11">
        <v>5000</v>
      </c>
      <c r="YT112" s="11"/>
      <c r="YU112" s="11">
        <v>11000</v>
      </c>
      <c r="YV112" s="11">
        <v>7000</v>
      </c>
      <c r="YW112" s="11">
        <v>60000</v>
      </c>
      <c r="YX112" s="11">
        <v>1000</v>
      </c>
      <c r="YY112" s="11">
        <v>11500</v>
      </c>
      <c r="YZ112" s="11">
        <v>2000</v>
      </c>
      <c r="ZA112" s="11"/>
      <c r="ZB112" s="11"/>
      <c r="ZC112" s="11"/>
      <c r="ZD112" s="11">
        <v>25000</v>
      </c>
      <c r="ZE112" s="11"/>
      <c r="ZF112" s="11">
        <v>1000</v>
      </c>
      <c r="ZG112" s="11">
        <v>2500</v>
      </c>
      <c r="ZH112" s="11"/>
      <c r="ZI112" s="11"/>
      <c r="ZJ112" s="11"/>
      <c r="ZK112" s="11"/>
      <c r="ZL112" s="11">
        <v>10000</v>
      </c>
      <c r="ZM112" s="11"/>
      <c r="ZN112" s="11"/>
      <c r="ZO112" s="11">
        <v>0</v>
      </c>
      <c r="ZP112" s="11">
        <v>1383500</v>
      </c>
      <c r="ZQ112" s="11">
        <v>19000</v>
      </c>
      <c r="ZR112" s="11"/>
      <c r="ZS112" s="11">
        <v>10500</v>
      </c>
      <c r="ZT112" s="11"/>
      <c r="ZU112" s="11">
        <v>16500</v>
      </c>
      <c r="ZV112" s="11">
        <v>27000</v>
      </c>
      <c r="ZW112" s="11"/>
      <c r="ZX112" s="11"/>
      <c r="ZY112" s="11"/>
      <c r="ZZ112" s="11"/>
      <c r="AAA112" s="11"/>
      <c r="AAB112" s="11">
        <v>5000</v>
      </c>
      <c r="AAC112" s="11">
        <v>2000</v>
      </c>
      <c r="AAD112" s="11"/>
      <c r="AAE112" s="11"/>
      <c r="AAF112" s="11">
        <v>4500</v>
      </c>
      <c r="AAG112" s="11">
        <v>7500</v>
      </c>
      <c r="AAH112" s="11">
        <v>15000</v>
      </c>
      <c r="AAI112" s="11"/>
      <c r="AAJ112" s="11">
        <v>4000</v>
      </c>
      <c r="AAK112" s="11">
        <v>4000</v>
      </c>
      <c r="AAL112" s="11"/>
      <c r="AAM112" s="11"/>
      <c r="AAN112" s="11">
        <v>6000</v>
      </c>
      <c r="AAO112" s="11"/>
      <c r="AAP112" s="11"/>
      <c r="AAQ112" s="11"/>
      <c r="AAR112" s="11">
        <v>8000</v>
      </c>
      <c r="AAS112" s="11">
        <v>0</v>
      </c>
      <c r="AAT112" s="11"/>
      <c r="AAU112" s="11"/>
      <c r="AAV112" s="11"/>
      <c r="AAW112" s="11"/>
      <c r="AAX112" s="11">
        <v>32000</v>
      </c>
      <c r="AAY112" s="11">
        <v>6000</v>
      </c>
      <c r="AAZ112" s="11"/>
      <c r="ABA112" s="11">
        <v>53209</v>
      </c>
      <c r="ABB112" s="11"/>
      <c r="ABC112" s="11"/>
      <c r="ABD112" s="11">
        <v>5000</v>
      </c>
      <c r="ABE112" s="11">
        <v>7500</v>
      </c>
      <c r="ABF112" s="11">
        <v>1755500</v>
      </c>
      <c r="ABG112" s="11">
        <v>12000</v>
      </c>
      <c r="ABH112" s="11"/>
      <c r="ABI112" s="11">
        <v>71854</v>
      </c>
      <c r="ABJ112" s="11"/>
      <c r="ABK112" s="11">
        <v>6500</v>
      </c>
      <c r="ABL112" s="11">
        <v>1500</v>
      </c>
      <c r="ABM112" s="11">
        <v>2500</v>
      </c>
      <c r="ABN112" s="11"/>
      <c r="ABO112" s="11"/>
      <c r="ABP112" s="11"/>
      <c r="ABQ112" s="11">
        <v>2000</v>
      </c>
      <c r="ABR112" s="11">
        <v>269000</v>
      </c>
      <c r="ABS112" s="11"/>
      <c r="ABT112" s="11"/>
      <c r="ABU112" s="11">
        <v>96000</v>
      </c>
      <c r="ABV112" s="11">
        <v>9000</v>
      </c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>
        <v>9000</v>
      </c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>
        <v>75000</v>
      </c>
      <c r="ACR112" s="11"/>
      <c r="ACS112" s="11"/>
      <c r="ACT112" s="11"/>
      <c r="ACU112" s="11"/>
      <c r="ACV112" s="11"/>
      <c r="ACW112" s="11"/>
      <c r="ACX112" s="11">
        <v>8000</v>
      </c>
      <c r="ACY112" s="11">
        <v>11000</v>
      </c>
      <c r="ACZ112" s="11"/>
      <c r="ADA112" s="11"/>
      <c r="ADB112" s="11">
        <v>5000</v>
      </c>
      <c r="ADC112" s="11"/>
      <c r="ADD112" s="11">
        <v>12500</v>
      </c>
      <c r="ADE112" s="11"/>
      <c r="ADF112" s="11">
        <v>9000</v>
      </c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>
        <v>19000</v>
      </c>
      <c r="ADU112" s="11">
        <v>0</v>
      </c>
      <c r="ADV112" s="11">
        <v>8000</v>
      </c>
      <c r="ADW112" s="11">
        <v>5500</v>
      </c>
      <c r="ADX112" s="11"/>
      <c r="ADY112" s="11"/>
      <c r="ADZ112" s="11"/>
      <c r="AEA112" s="11"/>
      <c r="AEB112" s="11">
        <v>21000</v>
      </c>
      <c r="AEC112" s="11">
        <v>9000</v>
      </c>
      <c r="AED112" s="11">
        <v>11500</v>
      </c>
      <c r="AEE112" s="11"/>
      <c r="AEF112" s="11"/>
      <c r="AEG112" s="11">
        <v>3000</v>
      </c>
      <c r="AEH112" s="11"/>
      <c r="AEI112" s="11"/>
      <c r="AEJ112" s="11">
        <v>81200</v>
      </c>
      <c r="AEK112" s="11"/>
      <c r="AEL112" s="11">
        <v>6000</v>
      </c>
      <c r="AEM112" s="11"/>
      <c r="AEN112" s="11">
        <v>28000</v>
      </c>
      <c r="AEO112" s="11">
        <v>52100</v>
      </c>
      <c r="AEP112" s="11">
        <v>6000</v>
      </c>
      <c r="AEQ112" s="11">
        <v>63550</v>
      </c>
      <c r="AER112" s="11"/>
      <c r="AES112" s="11"/>
      <c r="AET112" s="11">
        <v>65500</v>
      </c>
      <c r="AEU112" s="11">
        <v>61500</v>
      </c>
      <c r="AEV112" s="11">
        <v>32500</v>
      </c>
      <c r="AEW112" s="11">
        <v>4000</v>
      </c>
      <c r="AEX112" s="11"/>
      <c r="AEY112" s="11">
        <v>552000</v>
      </c>
      <c r="AEZ112" s="11">
        <v>5500</v>
      </c>
      <c r="AFA112" s="11">
        <v>1000</v>
      </c>
      <c r="AFB112" s="11">
        <v>4000</v>
      </c>
      <c r="AFC112" s="11">
        <v>3000</v>
      </c>
      <c r="AFD112" s="11">
        <v>460500</v>
      </c>
      <c r="AFE112" s="11"/>
      <c r="AFF112" s="11">
        <v>13500</v>
      </c>
      <c r="AFG112" s="11">
        <v>1000</v>
      </c>
      <c r="AFH112" s="11"/>
      <c r="AFI112" s="11">
        <v>518500</v>
      </c>
      <c r="AFJ112" s="11">
        <v>23400</v>
      </c>
      <c r="AFK112" s="11"/>
      <c r="AFL112" s="11"/>
      <c r="AFM112" s="11"/>
      <c r="AFN112" s="11"/>
      <c r="AFO112" s="11"/>
      <c r="AFP112" s="11"/>
      <c r="AFQ112" s="11">
        <v>9000</v>
      </c>
      <c r="AFR112" s="11">
        <v>328600</v>
      </c>
      <c r="AFS112" s="11"/>
      <c r="AFT112" s="11"/>
      <c r="AFU112" s="11">
        <v>3000</v>
      </c>
      <c r="AFV112" s="11">
        <v>1000</v>
      </c>
      <c r="AFW112" s="11">
        <v>0</v>
      </c>
      <c r="AFX112" s="11">
        <v>2500</v>
      </c>
      <c r="AFY112" s="11"/>
      <c r="AFZ112" s="11"/>
      <c r="AGA112" s="11"/>
      <c r="AGB112" s="11">
        <v>1500</v>
      </c>
      <c r="AGC112" s="11">
        <v>83500</v>
      </c>
      <c r="AGD112" s="11"/>
      <c r="AGE112" s="11">
        <v>12516</v>
      </c>
      <c r="AGF112" s="11">
        <v>6000</v>
      </c>
      <c r="AGG112" s="11">
        <v>3000</v>
      </c>
      <c r="AGH112" s="11">
        <v>11500</v>
      </c>
      <c r="AGI112" s="11">
        <v>1000</v>
      </c>
      <c r="AGJ112" s="11">
        <v>25500</v>
      </c>
      <c r="AGK112" s="11"/>
      <c r="AGL112" s="11"/>
      <c r="AGM112" s="11"/>
      <c r="AGN112" s="11">
        <v>21500</v>
      </c>
      <c r="AGO112" s="11">
        <v>1000</v>
      </c>
      <c r="AGP112" s="11"/>
      <c r="AGQ112" s="11">
        <v>2000</v>
      </c>
      <c r="AGR112" s="11"/>
      <c r="AGS112" s="11"/>
      <c r="AGT112" s="11"/>
      <c r="AGU112" s="11"/>
      <c r="AGV112" s="11">
        <v>80000</v>
      </c>
      <c r="AGW112" s="11">
        <v>90024.87</v>
      </c>
      <c r="AGX112" s="11">
        <v>28000</v>
      </c>
      <c r="AGY112" s="11">
        <v>1000</v>
      </c>
      <c r="AGZ112" s="11">
        <v>76000</v>
      </c>
      <c r="AHA112" s="11">
        <v>42500</v>
      </c>
      <c r="AHB112" s="11">
        <v>20000</v>
      </c>
      <c r="AHC112" s="11">
        <v>13000</v>
      </c>
      <c r="AHD112" s="11">
        <v>1500</v>
      </c>
      <c r="AHE112" s="11"/>
      <c r="AHF112" s="11"/>
      <c r="AHG112" s="11"/>
      <c r="AHH112" s="11"/>
      <c r="AHI112" s="11"/>
      <c r="AHJ112" s="11">
        <v>337500</v>
      </c>
      <c r="AHK112" s="11"/>
      <c r="AHL112" s="11">
        <v>2000</v>
      </c>
      <c r="AHM112" s="11"/>
      <c r="AHN112" s="11"/>
      <c r="AHO112" s="11"/>
      <c r="AHP112" s="11">
        <v>9000</v>
      </c>
      <c r="AHQ112" s="11"/>
      <c r="AHR112" s="11"/>
      <c r="AHS112" s="11">
        <v>13000</v>
      </c>
      <c r="AHT112" s="11">
        <v>26099311.82</v>
      </c>
      <c r="AHV112" s="269" t="s">
        <v>6278</v>
      </c>
      <c r="AHW112" s="269" t="s">
        <v>6165</v>
      </c>
      <c r="AHX112" s="269" t="s">
        <v>6166</v>
      </c>
    </row>
    <row r="113" spans="1:908" x14ac:dyDescent="0.7">
      <c r="A113" s="6" t="s">
        <v>6278</v>
      </c>
      <c r="B113" s="6" t="s">
        <v>6500</v>
      </c>
      <c r="C113" s="6" t="s">
        <v>6174</v>
      </c>
      <c r="D113" s="11">
        <v>18130000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>
        <v>12000000</v>
      </c>
      <c r="W113" s="11"/>
      <c r="X113" s="11"/>
      <c r="Y113" s="11">
        <v>2520000</v>
      </c>
      <c r="Z113" s="11"/>
      <c r="AA113" s="11">
        <v>10230.030000000001</v>
      </c>
      <c r="AB113" s="11"/>
      <c r="AC113" s="11"/>
      <c r="AD113" s="11"/>
      <c r="AE113" s="11"/>
      <c r="AF113" s="11">
        <v>2039905.48</v>
      </c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>
        <v>3300000</v>
      </c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>
        <v>38955913.109999999</v>
      </c>
      <c r="BJ113" s="11">
        <v>7009247</v>
      </c>
      <c r="BK113" s="11"/>
      <c r="BL113" s="11"/>
      <c r="BM113" s="11"/>
      <c r="BN113" s="11"/>
      <c r="BO113" s="11"/>
      <c r="BP113" s="11"/>
      <c r="BQ113" s="11"/>
      <c r="BR113" s="11">
        <v>12085944.640000001</v>
      </c>
      <c r="BS113" s="11"/>
      <c r="BT113" s="11"/>
      <c r="BU113" s="11"/>
      <c r="BV113" s="11"/>
      <c r="BW113" s="11"/>
      <c r="BX113" s="11"/>
      <c r="BY113" s="11"/>
      <c r="BZ113" s="11">
        <v>1793671</v>
      </c>
      <c r="CA113" s="11"/>
      <c r="CB113" s="11"/>
      <c r="CC113" s="11"/>
      <c r="CD113" s="11"/>
      <c r="CE113" s="11"/>
      <c r="CF113" s="11">
        <v>1680</v>
      </c>
      <c r="CG113" s="11">
        <v>7630000</v>
      </c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>
        <v>13605783</v>
      </c>
      <c r="CU113" s="11"/>
      <c r="CV113" s="11"/>
      <c r="CW113" s="11"/>
      <c r="CX113" s="11"/>
      <c r="CY113" s="11"/>
      <c r="CZ113" s="11"/>
      <c r="DA113" s="11"/>
      <c r="DB113" s="11">
        <v>6200000</v>
      </c>
      <c r="DC113" s="11"/>
      <c r="DD113" s="11"/>
      <c r="DE113" s="11"/>
      <c r="DF113" s="11"/>
      <c r="DG113" s="11"/>
      <c r="DH113" s="11"/>
      <c r="DI113" s="11"/>
      <c r="DJ113" s="11"/>
      <c r="DK113" s="11">
        <v>23562638.170000002</v>
      </c>
      <c r="DL113" s="11"/>
      <c r="DM113" s="11">
        <v>750000</v>
      </c>
      <c r="DN113" s="11">
        <v>653284.68999999994</v>
      </c>
      <c r="DO113" s="11"/>
      <c r="DP113" s="11">
        <v>1853924.95</v>
      </c>
      <c r="DQ113" s="11"/>
      <c r="DR113" s="11">
        <v>429677.53</v>
      </c>
      <c r="DS113" s="11">
        <v>828923.9</v>
      </c>
      <c r="DT113" s="11"/>
      <c r="DU113" s="11"/>
      <c r="DV113" s="11"/>
      <c r="DW113" s="11"/>
      <c r="DX113" s="11">
        <v>214697</v>
      </c>
      <c r="DY113" s="11"/>
      <c r="DZ113" s="11">
        <v>2345400</v>
      </c>
      <c r="EA113" s="11"/>
      <c r="EB113" s="11">
        <v>40000</v>
      </c>
      <c r="EC113" s="11"/>
      <c r="ED113" s="11"/>
      <c r="EE113" s="11">
        <v>13988435.48</v>
      </c>
      <c r="EF113" s="11">
        <v>4574931.3</v>
      </c>
      <c r="EG113" s="11"/>
      <c r="EH113" s="11"/>
      <c r="EI113" s="11"/>
      <c r="EJ113" s="11"/>
      <c r="EK113" s="11"/>
      <c r="EL113" s="11"/>
      <c r="EM113" s="11"/>
      <c r="EN113" s="11">
        <v>3900000</v>
      </c>
      <c r="EO113" s="11"/>
      <c r="EP113" s="11"/>
      <c r="EQ113" s="11"/>
      <c r="ER113" s="11"/>
      <c r="ES113" s="11"/>
      <c r="ET113" s="11"/>
      <c r="EU113" s="11"/>
      <c r="EV113" s="11"/>
      <c r="EW113" s="11">
        <v>4271296</v>
      </c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>
        <v>2410000</v>
      </c>
      <c r="FJ113" s="11"/>
      <c r="FK113" s="11"/>
      <c r="FL113" s="11"/>
      <c r="FM113" s="11"/>
      <c r="FN113" s="11"/>
      <c r="FO113" s="11"/>
      <c r="FP113" s="11"/>
      <c r="FQ113" s="11">
        <v>11788180</v>
      </c>
      <c r="FR113" s="11"/>
      <c r="FS113" s="11"/>
      <c r="FT113" s="11"/>
      <c r="FU113" s="11"/>
      <c r="FV113" s="11"/>
      <c r="FW113" s="11">
        <v>36610.550000000003</v>
      </c>
      <c r="FX113" s="11"/>
      <c r="FY113" s="11"/>
      <c r="FZ113" s="11"/>
      <c r="GA113" s="11"/>
      <c r="GB113" s="11"/>
      <c r="GC113" s="11"/>
      <c r="GD113" s="11"/>
      <c r="GE113" s="11">
        <v>7580700</v>
      </c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>
        <v>1714740</v>
      </c>
      <c r="GR113" s="11">
        <v>46800</v>
      </c>
      <c r="GS113" s="11"/>
      <c r="GT113" s="11"/>
      <c r="GU113" s="11"/>
      <c r="GV113" s="11">
        <v>249800</v>
      </c>
      <c r="GW113" s="11"/>
      <c r="GX113" s="11"/>
      <c r="GY113" s="11">
        <v>4310000</v>
      </c>
      <c r="GZ113" s="11"/>
      <c r="HA113" s="11"/>
      <c r="HB113" s="11"/>
      <c r="HC113" s="11">
        <v>10747500</v>
      </c>
      <c r="HD113" s="11">
        <v>3279106.94</v>
      </c>
      <c r="HE113" s="11">
        <v>4193180.6</v>
      </c>
      <c r="HF113" s="11"/>
      <c r="HG113" s="11"/>
      <c r="HH113" s="11">
        <v>1182345</v>
      </c>
      <c r="HI113" s="11"/>
      <c r="HJ113" s="11">
        <v>127881</v>
      </c>
      <c r="HK113" s="11">
        <v>22785866.960000001</v>
      </c>
      <c r="HL113" s="11"/>
      <c r="HM113" s="11"/>
      <c r="HN113" s="11"/>
      <c r="HO113" s="11"/>
      <c r="HP113" s="11"/>
      <c r="HQ113" s="11"/>
      <c r="HR113" s="11"/>
      <c r="HS113" s="11">
        <v>5096000</v>
      </c>
      <c r="HT113" s="11">
        <v>24916000</v>
      </c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>
        <v>1000000</v>
      </c>
      <c r="IK113" s="11"/>
      <c r="IL113" s="11"/>
      <c r="IM113" s="11"/>
      <c r="IN113" s="11"/>
      <c r="IO113" s="11"/>
      <c r="IP113" s="11"/>
      <c r="IQ113" s="11"/>
      <c r="IR113" s="11"/>
      <c r="IS113" s="11"/>
      <c r="IT113" s="11">
        <v>6121475</v>
      </c>
      <c r="IU113" s="11">
        <v>29700000</v>
      </c>
      <c r="IV113" s="11">
        <v>280000</v>
      </c>
      <c r="IW113" s="11"/>
      <c r="IX113" s="11">
        <v>212576</v>
      </c>
      <c r="IY113" s="11"/>
      <c r="IZ113" s="11"/>
      <c r="JA113" s="11"/>
      <c r="JB113" s="11"/>
      <c r="JC113" s="11"/>
      <c r="JD113" s="11"/>
      <c r="JE113" s="11"/>
      <c r="JF113" s="11">
        <v>1500000</v>
      </c>
      <c r="JG113" s="11">
        <v>2098701.35</v>
      </c>
      <c r="JH113" s="11"/>
      <c r="JI113" s="11"/>
      <c r="JJ113" s="11"/>
      <c r="JK113" s="11"/>
      <c r="JL113" s="11">
        <v>3137485</v>
      </c>
      <c r="JM113" s="11"/>
      <c r="JN113" s="11"/>
      <c r="JO113" s="11"/>
      <c r="JP113" s="11"/>
      <c r="JQ113" s="11"/>
      <c r="JR113" s="11"/>
      <c r="JS113" s="11">
        <v>11000000</v>
      </c>
      <c r="JT113" s="11">
        <v>2250080</v>
      </c>
      <c r="JU113" s="11"/>
      <c r="JV113" s="11">
        <v>78000</v>
      </c>
      <c r="JW113" s="11">
        <v>50751</v>
      </c>
      <c r="JX113" s="11">
        <v>30900</v>
      </c>
      <c r="JY113" s="11"/>
      <c r="JZ113" s="11"/>
      <c r="KA113" s="11">
        <v>98500</v>
      </c>
      <c r="KB113" s="11">
        <v>181200</v>
      </c>
      <c r="KC113" s="11">
        <v>45500</v>
      </c>
      <c r="KD113" s="11">
        <v>263700</v>
      </c>
      <c r="KE113" s="11">
        <v>24800</v>
      </c>
      <c r="KF113" s="11"/>
      <c r="KG113" s="11"/>
      <c r="KH113" s="11"/>
      <c r="KI113" s="11"/>
      <c r="KJ113" s="11"/>
      <c r="KK113" s="11"/>
      <c r="KL113" s="11"/>
      <c r="KM113" s="11"/>
      <c r="KN113" s="11"/>
      <c r="KO113" s="11">
        <v>600000</v>
      </c>
      <c r="KP113" s="11"/>
      <c r="KQ113" s="11"/>
      <c r="KR113" s="11">
        <v>2227732</v>
      </c>
      <c r="KS113" s="11">
        <v>79100</v>
      </c>
      <c r="KT113" s="11">
        <v>72900</v>
      </c>
      <c r="KU113" s="11"/>
      <c r="KV113" s="11">
        <v>95408</v>
      </c>
      <c r="KW113" s="11"/>
      <c r="KX113" s="11">
        <v>2115800</v>
      </c>
      <c r="KY113" s="11">
        <v>428435</v>
      </c>
      <c r="KZ113" s="11">
        <v>5143500</v>
      </c>
      <c r="LA113" s="11"/>
      <c r="LB113" s="11">
        <v>0</v>
      </c>
      <c r="LC113" s="11"/>
      <c r="LD113" s="11"/>
      <c r="LE113" s="11"/>
      <c r="LF113" s="11"/>
      <c r="LG113" s="11"/>
      <c r="LH113" s="11">
        <v>15200000</v>
      </c>
      <c r="LI113" s="11">
        <v>19588665.640000001</v>
      </c>
      <c r="LJ113" s="11">
        <v>5023284</v>
      </c>
      <c r="LK113" s="11">
        <v>20700000</v>
      </c>
      <c r="LL113" s="11"/>
      <c r="LM113" s="11"/>
      <c r="LN113" s="11"/>
      <c r="LO113" s="11"/>
      <c r="LP113" s="11"/>
      <c r="LQ113" s="11"/>
      <c r="LR113" s="11"/>
      <c r="LS113" s="11">
        <v>2078333.33</v>
      </c>
      <c r="LT113" s="11"/>
      <c r="LU113" s="11"/>
      <c r="LV113" s="11">
        <v>5924775.5899999999</v>
      </c>
      <c r="LW113" s="11">
        <v>14757192.869999999</v>
      </c>
      <c r="LX113" s="11">
        <v>9467807</v>
      </c>
      <c r="LY113" s="11">
        <v>2014350</v>
      </c>
      <c r="LZ113" s="11"/>
      <c r="MA113" s="11"/>
      <c r="MB113" s="11">
        <v>20400</v>
      </c>
      <c r="MC113" s="11"/>
      <c r="MD113" s="11"/>
      <c r="ME113" s="11"/>
      <c r="MF113" s="11"/>
      <c r="MG113" s="11"/>
      <c r="MH113" s="11">
        <v>0</v>
      </c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>
        <v>8754222.9000000004</v>
      </c>
      <c r="MU113" s="11"/>
      <c r="MV113" s="11">
        <v>361140</v>
      </c>
      <c r="MW113" s="11"/>
      <c r="MX113" s="11"/>
      <c r="MY113" s="11"/>
      <c r="MZ113" s="11">
        <v>527514</v>
      </c>
      <c r="NA113" s="11"/>
      <c r="NB113" s="11"/>
      <c r="NC113" s="11"/>
      <c r="ND113" s="11"/>
      <c r="NE113" s="11">
        <v>56833112</v>
      </c>
      <c r="NF113" s="11">
        <v>4216140.17</v>
      </c>
      <c r="NG113" s="11"/>
      <c r="NH113" s="11">
        <v>2600000</v>
      </c>
      <c r="NI113" s="11"/>
      <c r="NJ113" s="11">
        <v>2542913.9300000002</v>
      </c>
      <c r="NK113" s="11">
        <v>1050000</v>
      </c>
      <c r="NL113" s="11"/>
      <c r="NM113" s="11"/>
      <c r="NN113" s="11"/>
      <c r="NO113" s="11"/>
      <c r="NP113" s="11"/>
      <c r="NQ113" s="11">
        <v>2712361</v>
      </c>
      <c r="NR113" s="11"/>
      <c r="NS113" s="11"/>
      <c r="NT113" s="11"/>
      <c r="NU113" s="11"/>
      <c r="NV113" s="11"/>
      <c r="NW113" s="11"/>
      <c r="NX113" s="11">
        <v>35087677.75</v>
      </c>
      <c r="NY113" s="11">
        <v>0</v>
      </c>
      <c r="NZ113" s="11"/>
      <c r="OA113" s="11"/>
      <c r="OB113" s="11"/>
      <c r="OC113" s="11"/>
      <c r="OD113" s="11"/>
      <c r="OE113" s="11">
        <v>6000000</v>
      </c>
      <c r="OF113" s="11"/>
      <c r="OG113" s="11"/>
      <c r="OH113" s="11">
        <v>5467185.3099999996</v>
      </c>
      <c r="OI113" s="11"/>
      <c r="OJ113" s="11">
        <v>765000</v>
      </c>
      <c r="OK113" s="11">
        <v>3567000</v>
      </c>
      <c r="OL113" s="11">
        <v>1571030.92</v>
      </c>
      <c r="OM113" s="11">
        <v>40331.06</v>
      </c>
      <c r="ON113" s="11">
        <v>990808.55</v>
      </c>
      <c r="OO113" s="11"/>
      <c r="OP113" s="11">
        <v>6086325.79</v>
      </c>
      <c r="OQ113" s="11"/>
      <c r="OR113" s="11"/>
      <c r="OS113" s="11"/>
      <c r="OT113" s="11">
        <v>2291666.67</v>
      </c>
      <c r="OU113" s="11"/>
      <c r="OV113" s="11"/>
      <c r="OW113" s="11"/>
      <c r="OX113" s="11"/>
      <c r="OY113" s="11"/>
      <c r="OZ113" s="11"/>
      <c r="PA113" s="11"/>
      <c r="PB113" s="11"/>
      <c r="PC113" s="11">
        <v>15027908.4</v>
      </c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>
        <v>4597711</v>
      </c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>
        <v>7000000</v>
      </c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>
        <v>2000000</v>
      </c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>
        <v>310696.90999999997</v>
      </c>
      <c r="SO113" s="11">
        <v>53500</v>
      </c>
      <c r="SP113" s="11">
        <v>58600</v>
      </c>
      <c r="SQ113" s="11"/>
      <c r="SR113" s="11">
        <v>40300</v>
      </c>
      <c r="SS113" s="11">
        <v>46500</v>
      </c>
      <c r="ST113" s="11">
        <v>89100</v>
      </c>
      <c r="SU113" s="11"/>
      <c r="SV113" s="11">
        <v>2654233</v>
      </c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>
        <v>2881280</v>
      </c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>
        <v>8848187.9399999995</v>
      </c>
      <c r="UC113" s="11">
        <v>300000</v>
      </c>
      <c r="UD113" s="11"/>
      <c r="UE113" s="11"/>
      <c r="UF113" s="11"/>
      <c r="UG113" s="11"/>
      <c r="UH113" s="11"/>
      <c r="UI113" s="11"/>
      <c r="UJ113" s="11"/>
      <c r="UK113" s="11">
        <v>3610701.5</v>
      </c>
      <c r="UL113" s="11"/>
      <c r="UM113" s="11"/>
      <c r="UN113" s="11"/>
      <c r="UO113" s="11"/>
      <c r="UP113" s="11"/>
      <c r="UQ113" s="11">
        <v>13406780</v>
      </c>
      <c r="UR113" s="11"/>
      <c r="US113" s="11"/>
      <c r="UT113" s="11"/>
      <c r="UU113" s="11"/>
      <c r="UV113" s="11"/>
      <c r="UW113" s="11">
        <v>120000</v>
      </c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>
        <v>133880</v>
      </c>
      <c r="VJ113" s="11"/>
      <c r="VK113" s="11"/>
      <c r="VL113" s="11"/>
      <c r="VM113" s="11">
        <v>3574923</v>
      </c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>
        <v>0</v>
      </c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>
        <v>11552850</v>
      </c>
      <c r="XE113" s="11"/>
      <c r="XF113" s="11"/>
      <c r="XG113" s="11"/>
      <c r="XH113" s="11"/>
      <c r="XI113" s="11">
        <v>5822140</v>
      </c>
      <c r="XJ113" s="11"/>
      <c r="XK113" s="11"/>
      <c r="XL113" s="11">
        <v>5836727.9800000004</v>
      </c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>
        <v>11100000</v>
      </c>
      <c r="YG113" s="11"/>
      <c r="YH113" s="11"/>
      <c r="YI113" s="11"/>
      <c r="YJ113" s="11"/>
      <c r="YK113" s="11"/>
      <c r="YL113" s="11"/>
      <c r="YM113" s="11">
        <v>-12700</v>
      </c>
      <c r="YN113" s="11"/>
      <c r="YO113" s="11"/>
      <c r="YP113" s="11">
        <v>405480</v>
      </c>
      <c r="YQ113" s="11"/>
      <c r="YR113" s="11"/>
      <c r="YS113" s="11"/>
      <c r="YT113" s="11"/>
      <c r="YU113" s="11"/>
      <c r="YV113" s="11"/>
      <c r="YW113" s="11">
        <v>8938980</v>
      </c>
      <c r="YX113" s="11">
        <v>144000</v>
      </c>
      <c r="YY113" s="11"/>
      <c r="YZ113" s="11"/>
      <c r="ZA113" s="11"/>
      <c r="ZB113" s="11">
        <v>16560</v>
      </c>
      <c r="ZC113" s="11"/>
      <c r="ZD113" s="11">
        <v>7720628.3300000001</v>
      </c>
      <c r="ZE113" s="11">
        <v>50200</v>
      </c>
      <c r="ZF113" s="11">
        <v>40800</v>
      </c>
      <c r="ZG113" s="11">
        <v>41400</v>
      </c>
      <c r="ZH113" s="11">
        <v>20800</v>
      </c>
      <c r="ZI113" s="11"/>
      <c r="ZJ113" s="11"/>
      <c r="ZK113" s="11">
        <v>15000</v>
      </c>
      <c r="ZL113" s="11">
        <v>30300</v>
      </c>
      <c r="ZM113" s="11">
        <v>5200000</v>
      </c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>
        <v>2637313</v>
      </c>
      <c r="AAJ113" s="11"/>
      <c r="AAK113" s="11"/>
      <c r="AAL113" s="11"/>
      <c r="AAM113" s="11"/>
      <c r="AAN113" s="11"/>
      <c r="AAO113" s="11"/>
      <c r="AAP113" s="11">
        <v>27900000</v>
      </c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>
        <v>27029662.530000001</v>
      </c>
      <c r="ABQ113" s="11"/>
      <c r="ABR113" s="11"/>
      <c r="ABS113" s="11"/>
      <c r="ABT113" s="11"/>
      <c r="ABU113" s="11"/>
      <c r="ABV113" s="11"/>
      <c r="ABW113" s="11"/>
      <c r="ABX113" s="11"/>
      <c r="ABY113" s="11">
        <v>0</v>
      </c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>
        <v>3568000</v>
      </c>
      <c r="ACS113" s="11"/>
      <c r="ACT113" s="11"/>
      <c r="ACU113" s="11"/>
      <c r="ACV113" s="11"/>
      <c r="ACW113" s="11">
        <v>1471500</v>
      </c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>
        <v>1597425</v>
      </c>
      <c r="ADH113" s="11">
        <v>5047402</v>
      </c>
      <c r="ADI113" s="11"/>
      <c r="ADJ113" s="11"/>
      <c r="ADK113" s="11"/>
      <c r="ADL113" s="11"/>
      <c r="ADM113" s="11"/>
      <c r="ADN113" s="11"/>
      <c r="ADO113" s="11"/>
      <c r="ADP113" s="11">
        <v>7747463</v>
      </c>
      <c r="ADQ113" s="11"/>
      <c r="ADR113" s="11"/>
      <c r="ADS113" s="11"/>
      <c r="ADT113" s="11">
        <v>1800000</v>
      </c>
      <c r="ADU113" s="11"/>
      <c r="ADV113" s="11"/>
      <c r="ADW113" s="11"/>
      <c r="ADX113" s="11"/>
      <c r="ADY113" s="11"/>
      <c r="ADZ113" s="11">
        <v>46244064.149999999</v>
      </c>
      <c r="AEA113" s="11">
        <v>3770980.96</v>
      </c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>
        <v>7534208</v>
      </c>
      <c r="AEU113" s="11">
        <v>304500</v>
      </c>
      <c r="AEV113" s="11"/>
      <c r="AEW113" s="11"/>
      <c r="AEX113" s="11"/>
      <c r="AEY113" s="11"/>
      <c r="AEZ113" s="11"/>
      <c r="AFA113" s="11">
        <v>810000</v>
      </c>
      <c r="AFB113" s="11"/>
      <c r="AFC113" s="11"/>
      <c r="AFD113" s="11">
        <v>1331600</v>
      </c>
      <c r="AFE113" s="11">
        <v>4530000</v>
      </c>
      <c r="AFF113" s="11"/>
      <c r="AFG113" s="11"/>
      <c r="AFH113" s="11"/>
      <c r="AFI113" s="11">
        <v>0</v>
      </c>
      <c r="AFJ113" s="11"/>
      <c r="AFK113" s="11"/>
      <c r="AFL113" s="11"/>
      <c r="AFM113" s="11"/>
      <c r="AFN113" s="11"/>
      <c r="AFO113" s="11"/>
      <c r="AFP113" s="11"/>
      <c r="AFQ113" s="11">
        <v>10594851</v>
      </c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>
        <v>2300000</v>
      </c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>
        <v>8021784.0099999998</v>
      </c>
      <c r="AGO113" s="11">
        <v>739797.38</v>
      </c>
      <c r="AGP113" s="11"/>
      <c r="AGQ113" s="11"/>
      <c r="AGR113" s="11"/>
      <c r="AGS113" s="11"/>
      <c r="AGT113" s="11"/>
      <c r="AGU113" s="11"/>
      <c r="AGV113" s="11">
        <v>40237489.579999998</v>
      </c>
      <c r="AGW113" s="11">
        <v>8048793</v>
      </c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>
        <v>41206753</v>
      </c>
      <c r="AHN113" s="11"/>
      <c r="AHO113" s="11"/>
      <c r="AHP113" s="11"/>
      <c r="AHQ113" s="11"/>
      <c r="AHR113" s="11"/>
      <c r="AHS113" s="11"/>
      <c r="AHT113" s="11">
        <v>964387130.8299998</v>
      </c>
      <c r="AHV113" s="269" t="s">
        <v>6278</v>
      </c>
      <c r="AHW113" s="269" t="s">
        <v>6167</v>
      </c>
      <c r="AHX113" s="269" t="s">
        <v>6168</v>
      </c>
    </row>
    <row r="114" spans="1:908" x14ac:dyDescent="0.7">
      <c r="A114" s="6" t="s">
        <v>6278</v>
      </c>
      <c r="B114" s="6" t="s">
        <v>6501</v>
      </c>
      <c r="C114" s="6" t="s">
        <v>6176</v>
      </c>
      <c r="D114" s="11"/>
      <c r="E114" s="11">
        <v>743100</v>
      </c>
      <c r="F114" s="11">
        <v>333949</v>
      </c>
      <c r="G114" s="11"/>
      <c r="H114" s="11">
        <v>56800</v>
      </c>
      <c r="I114" s="11">
        <v>709700</v>
      </c>
      <c r="J114" s="11">
        <v>0</v>
      </c>
      <c r="K114" s="11">
        <v>2060000</v>
      </c>
      <c r="L114" s="11">
        <v>873700</v>
      </c>
      <c r="M114" s="11">
        <v>1478000</v>
      </c>
      <c r="N114" s="11">
        <v>867200</v>
      </c>
      <c r="O114" s="11">
        <v>572000</v>
      </c>
      <c r="P114" s="11">
        <v>994500</v>
      </c>
      <c r="Q114" s="11">
        <v>571700</v>
      </c>
      <c r="R114" s="11">
        <v>595900</v>
      </c>
      <c r="S114" s="11">
        <v>1737370</v>
      </c>
      <c r="T114" s="11">
        <v>650100</v>
      </c>
      <c r="U114" s="11">
        <v>369100</v>
      </c>
      <c r="V114" s="11"/>
      <c r="W114" s="11">
        <v>4889188</v>
      </c>
      <c r="X114" s="11">
        <v>5172800</v>
      </c>
      <c r="Y114" s="11">
        <v>4218200</v>
      </c>
      <c r="Z114" s="11">
        <v>926240</v>
      </c>
      <c r="AA114" s="11">
        <v>2131400</v>
      </c>
      <c r="AB114" s="11"/>
      <c r="AC114" s="11"/>
      <c r="AD114" s="11">
        <v>6045500</v>
      </c>
      <c r="AE114" s="11">
        <v>938000</v>
      </c>
      <c r="AF114" s="11">
        <v>7685300</v>
      </c>
      <c r="AG114" s="11">
        <v>4318040</v>
      </c>
      <c r="AH114" s="11">
        <v>2762900</v>
      </c>
      <c r="AI114" s="11">
        <v>908000</v>
      </c>
      <c r="AJ114" s="11"/>
      <c r="AK114" s="11">
        <v>114000</v>
      </c>
      <c r="AL114" s="11">
        <v>1944100</v>
      </c>
      <c r="AM114" s="11"/>
      <c r="AN114" s="11">
        <v>0</v>
      </c>
      <c r="AO114" s="11"/>
      <c r="AP114" s="11"/>
      <c r="AQ114" s="11">
        <v>2352100</v>
      </c>
      <c r="AR114" s="11">
        <v>1499362.31</v>
      </c>
      <c r="AS114" s="11">
        <v>2041991.25</v>
      </c>
      <c r="AT114" s="11"/>
      <c r="AU114" s="11">
        <v>993200</v>
      </c>
      <c r="AV114" s="11">
        <v>1367800</v>
      </c>
      <c r="AW114" s="11">
        <v>1057600</v>
      </c>
      <c r="AX114" s="11">
        <v>3398900</v>
      </c>
      <c r="AY114" s="11">
        <v>3293500</v>
      </c>
      <c r="AZ114" s="11">
        <v>793300</v>
      </c>
      <c r="BA114" s="11">
        <v>1087000</v>
      </c>
      <c r="BB114" s="11">
        <v>1218900</v>
      </c>
      <c r="BC114" s="11">
        <v>633800</v>
      </c>
      <c r="BD114" s="11">
        <v>1332100</v>
      </c>
      <c r="BE114" s="11">
        <v>1605400</v>
      </c>
      <c r="BF114" s="11">
        <v>6077100</v>
      </c>
      <c r="BG114" s="11">
        <v>79400</v>
      </c>
      <c r="BH114" s="11">
        <v>17770</v>
      </c>
      <c r="BI114" s="11"/>
      <c r="BJ114" s="11"/>
      <c r="BK114" s="11">
        <v>663900</v>
      </c>
      <c r="BL114" s="11">
        <v>1194000</v>
      </c>
      <c r="BM114" s="11">
        <v>485468</v>
      </c>
      <c r="BN114" s="11">
        <v>539800</v>
      </c>
      <c r="BO114" s="11">
        <v>706200</v>
      </c>
      <c r="BP114" s="11">
        <v>133571</v>
      </c>
      <c r="BQ114" s="11">
        <v>467</v>
      </c>
      <c r="BR114" s="11"/>
      <c r="BS114" s="11">
        <v>2100500</v>
      </c>
      <c r="BT114" s="11">
        <v>758200</v>
      </c>
      <c r="BU114" s="11">
        <v>1291400</v>
      </c>
      <c r="BV114" s="11">
        <v>649200</v>
      </c>
      <c r="BW114" s="11">
        <v>566100</v>
      </c>
      <c r="BX114" s="11">
        <v>1803000</v>
      </c>
      <c r="BY114" s="11">
        <v>1217400</v>
      </c>
      <c r="BZ114" s="11">
        <v>1276521</v>
      </c>
      <c r="CA114" s="11">
        <v>1971500</v>
      </c>
      <c r="CB114" s="11">
        <v>1126000</v>
      </c>
      <c r="CC114" s="11">
        <v>5622900</v>
      </c>
      <c r="CD114" s="11">
        <v>4684023</v>
      </c>
      <c r="CE114" s="11">
        <v>4032500</v>
      </c>
      <c r="CF114" s="11">
        <v>3259600</v>
      </c>
      <c r="CG114" s="11"/>
      <c r="CH114" s="11">
        <v>61900</v>
      </c>
      <c r="CI114" s="11">
        <v>1408100</v>
      </c>
      <c r="CJ114" s="11">
        <v>523500</v>
      </c>
      <c r="CK114" s="11">
        <v>86500</v>
      </c>
      <c r="CL114" s="11">
        <v>559100</v>
      </c>
      <c r="CM114" s="11">
        <v>503500</v>
      </c>
      <c r="CN114" s="11">
        <v>115200</v>
      </c>
      <c r="CO114" s="11">
        <v>640714</v>
      </c>
      <c r="CP114" s="11">
        <v>140302</v>
      </c>
      <c r="CQ114" s="11">
        <v>421800</v>
      </c>
      <c r="CR114" s="11">
        <v>618700</v>
      </c>
      <c r="CS114" s="11">
        <v>432600</v>
      </c>
      <c r="CT114" s="11"/>
      <c r="CU114" s="11">
        <v>1566800</v>
      </c>
      <c r="CV114" s="11">
        <v>12720</v>
      </c>
      <c r="CW114" s="11">
        <v>2713100</v>
      </c>
      <c r="CX114" s="11">
        <v>4244900</v>
      </c>
      <c r="CY114" s="11">
        <v>818500</v>
      </c>
      <c r="CZ114" s="11">
        <v>1102900</v>
      </c>
      <c r="DA114" s="11">
        <v>282700</v>
      </c>
      <c r="DB114" s="11"/>
      <c r="DC114" s="11"/>
      <c r="DD114" s="11">
        <v>142100</v>
      </c>
      <c r="DE114" s="11">
        <v>1146019.76</v>
      </c>
      <c r="DF114" s="11">
        <v>1532900</v>
      </c>
      <c r="DG114" s="11"/>
      <c r="DH114" s="11">
        <v>2314900</v>
      </c>
      <c r="DI114" s="11"/>
      <c r="DJ114" s="11">
        <v>356300</v>
      </c>
      <c r="DK114" s="11"/>
      <c r="DL114" s="11">
        <v>602800</v>
      </c>
      <c r="DM114" s="11">
        <v>788800</v>
      </c>
      <c r="DN114" s="11">
        <v>598400</v>
      </c>
      <c r="DO114" s="11">
        <v>3271100</v>
      </c>
      <c r="DP114" s="11">
        <v>0</v>
      </c>
      <c r="DQ114" s="11">
        <v>1096600</v>
      </c>
      <c r="DR114" s="11">
        <v>593500</v>
      </c>
      <c r="DS114" s="11">
        <v>1650000</v>
      </c>
      <c r="DT114" s="11"/>
      <c r="DU114" s="11">
        <v>2734400</v>
      </c>
      <c r="DV114" s="11">
        <v>1576500</v>
      </c>
      <c r="DW114" s="11">
        <v>6000000</v>
      </c>
      <c r="DX114" s="11">
        <v>637900</v>
      </c>
      <c r="DY114" s="11"/>
      <c r="DZ114" s="11">
        <v>778800</v>
      </c>
      <c r="EA114" s="11">
        <v>2031400</v>
      </c>
      <c r="EB114" s="11"/>
      <c r="EC114" s="11"/>
      <c r="ED114" s="11">
        <v>1511700</v>
      </c>
      <c r="EE114" s="11"/>
      <c r="EF114" s="11"/>
      <c r="EG114" s="11">
        <v>3939880</v>
      </c>
      <c r="EH114" s="11">
        <v>670500</v>
      </c>
      <c r="EI114" s="11">
        <v>1718541.94</v>
      </c>
      <c r="EJ114" s="11">
        <v>2800000</v>
      </c>
      <c r="EK114" s="11">
        <v>991100</v>
      </c>
      <c r="EL114" s="11">
        <v>314400</v>
      </c>
      <c r="EM114" s="11">
        <v>475600</v>
      </c>
      <c r="EN114" s="11"/>
      <c r="EO114" s="11">
        <v>549000</v>
      </c>
      <c r="EP114" s="11">
        <v>2188672</v>
      </c>
      <c r="EQ114" s="11">
        <v>545400</v>
      </c>
      <c r="ER114" s="11">
        <v>502300</v>
      </c>
      <c r="ES114" s="11">
        <v>523300</v>
      </c>
      <c r="ET114" s="11">
        <v>766300</v>
      </c>
      <c r="EU114" s="11">
        <v>699800</v>
      </c>
      <c r="EV114" s="11">
        <v>615400</v>
      </c>
      <c r="EW114" s="11"/>
      <c r="EX114" s="11">
        <v>1489456.02</v>
      </c>
      <c r="EY114" s="11">
        <v>486200</v>
      </c>
      <c r="EZ114" s="11">
        <v>744100</v>
      </c>
      <c r="FA114" s="11">
        <v>2790200</v>
      </c>
      <c r="FB114" s="11">
        <v>939100</v>
      </c>
      <c r="FC114" s="11">
        <v>3243821.43</v>
      </c>
      <c r="FD114" s="11">
        <v>1234200</v>
      </c>
      <c r="FE114" s="11">
        <v>280410.75</v>
      </c>
      <c r="FF114" s="11">
        <v>486200</v>
      </c>
      <c r="FG114" s="11">
        <v>1799300</v>
      </c>
      <c r="FH114" s="11">
        <v>1118790.07</v>
      </c>
      <c r="FI114" s="11"/>
      <c r="FJ114" s="11">
        <v>378000</v>
      </c>
      <c r="FK114" s="11">
        <v>298600</v>
      </c>
      <c r="FL114" s="11"/>
      <c r="FM114" s="11"/>
      <c r="FN114" s="11">
        <v>557000</v>
      </c>
      <c r="FO114" s="11">
        <v>300000</v>
      </c>
      <c r="FP114" s="11"/>
      <c r="FQ114" s="11"/>
      <c r="FR114" s="11">
        <v>1025400</v>
      </c>
      <c r="FS114" s="11">
        <v>3931000</v>
      </c>
      <c r="FT114" s="11">
        <v>3088400</v>
      </c>
      <c r="FU114" s="11">
        <v>4011780</v>
      </c>
      <c r="FV114" s="11">
        <v>1207000</v>
      </c>
      <c r="FW114" s="11">
        <v>7722000</v>
      </c>
      <c r="FX114" s="11">
        <v>2487500</v>
      </c>
      <c r="FY114" s="11">
        <v>3896100</v>
      </c>
      <c r="FZ114" s="11">
        <v>3818500</v>
      </c>
      <c r="GA114" s="11">
        <v>2606500</v>
      </c>
      <c r="GB114" s="11">
        <v>1835600</v>
      </c>
      <c r="GC114" s="11"/>
      <c r="GD114" s="11">
        <v>2016300</v>
      </c>
      <c r="GE114" s="11"/>
      <c r="GF114" s="11">
        <v>432800</v>
      </c>
      <c r="GG114" s="11"/>
      <c r="GH114" s="11">
        <v>0</v>
      </c>
      <c r="GI114" s="11">
        <v>617400</v>
      </c>
      <c r="GJ114" s="11">
        <v>1269600</v>
      </c>
      <c r="GK114" s="11">
        <v>401660</v>
      </c>
      <c r="GL114" s="11">
        <v>0</v>
      </c>
      <c r="GM114" s="11">
        <v>506900</v>
      </c>
      <c r="GN114" s="11">
        <v>198100</v>
      </c>
      <c r="GO114" s="11">
        <v>222100</v>
      </c>
      <c r="GP114" s="11">
        <v>215700</v>
      </c>
      <c r="GQ114" s="11"/>
      <c r="GR114" s="11">
        <v>477500</v>
      </c>
      <c r="GS114" s="11">
        <v>0</v>
      </c>
      <c r="GT114" s="11">
        <v>707300</v>
      </c>
      <c r="GU114" s="11">
        <v>226300</v>
      </c>
      <c r="GV114" s="11">
        <v>555000</v>
      </c>
      <c r="GW114" s="11">
        <v>599500</v>
      </c>
      <c r="GX114" s="11">
        <v>1322100</v>
      </c>
      <c r="GY114" s="11"/>
      <c r="GZ114" s="11">
        <v>1043600</v>
      </c>
      <c r="HA114" s="11">
        <v>381800</v>
      </c>
      <c r="HB114" s="11">
        <v>2499200</v>
      </c>
      <c r="HC114" s="11"/>
      <c r="HD114" s="11">
        <v>4430308.33</v>
      </c>
      <c r="HE114" s="11">
        <v>2093400</v>
      </c>
      <c r="HF114" s="11">
        <v>9000000</v>
      </c>
      <c r="HG114" s="11">
        <v>1543600</v>
      </c>
      <c r="HH114" s="11">
        <v>2682800</v>
      </c>
      <c r="HI114" s="11">
        <v>621800</v>
      </c>
      <c r="HJ114" s="11">
        <v>1369368</v>
      </c>
      <c r="HK114" s="11"/>
      <c r="HL114" s="11">
        <v>1665400</v>
      </c>
      <c r="HM114" s="11">
        <v>4823825</v>
      </c>
      <c r="HN114" s="11">
        <v>714000</v>
      </c>
      <c r="HO114" s="11">
        <v>624600</v>
      </c>
      <c r="HP114" s="11">
        <v>1740000</v>
      </c>
      <c r="HQ114" s="11">
        <v>5615670</v>
      </c>
      <c r="HR114" s="11">
        <v>800998</v>
      </c>
      <c r="HS114" s="11"/>
      <c r="HT114" s="11"/>
      <c r="HU114" s="11">
        <v>4321100</v>
      </c>
      <c r="HV114" s="11">
        <v>733200</v>
      </c>
      <c r="HW114" s="11">
        <v>609500</v>
      </c>
      <c r="HX114" s="11">
        <v>1740000</v>
      </c>
      <c r="HY114" s="11">
        <v>2235000</v>
      </c>
      <c r="HZ114" s="11">
        <v>1926000</v>
      </c>
      <c r="IA114" s="11">
        <v>660800</v>
      </c>
      <c r="IB114" s="11">
        <v>1005000</v>
      </c>
      <c r="IC114" s="11">
        <v>3225200</v>
      </c>
      <c r="ID114" s="11">
        <v>667200</v>
      </c>
      <c r="IE114" s="11">
        <v>600700</v>
      </c>
      <c r="IF114" s="11">
        <v>894800</v>
      </c>
      <c r="IG114" s="11">
        <v>591400</v>
      </c>
      <c r="IH114" s="11">
        <v>810000</v>
      </c>
      <c r="II114" s="11"/>
      <c r="IJ114" s="11"/>
      <c r="IK114" s="11">
        <v>0</v>
      </c>
      <c r="IL114" s="11">
        <v>3457000</v>
      </c>
      <c r="IM114" s="11">
        <v>6783726</v>
      </c>
      <c r="IN114" s="11">
        <v>1106240.3700000001</v>
      </c>
      <c r="IO114" s="11">
        <v>888500</v>
      </c>
      <c r="IP114" s="11">
        <v>2089264.45</v>
      </c>
      <c r="IQ114" s="11">
        <v>1401100</v>
      </c>
      <c r="IR114" s="11">
        <v>0</v>
      </c>
      <c r="IS114" s="11">
        <v>1244600</v>
      </c>
      <c r="IT114" s="11"/>
      <c r="IU114" s="11"/>
      <c r="IV114" s="11">
        <v>2824257</v>
      </c>
      <c r="IW114" s="11">
        <v>550000</v>
      </c>
      <c r="IX114" s="11">
        <v>3163227</v>
      </c>
      <c r="IY114" s="11">
        <v>249200</v>
      </c>
      <c r="IZ114" s="11">
        <v>1124500</v>
      </c>
      <c r="JA114" s="11">
        <v>373000</v>
      </c>
      <c r="JB114" s="11">
        <v>788800</v>
      </c>
      <c r="JC114" s="11">
        <v>450000</v>
      </c>
      <c r="JD114" s="11">
        <v>3880700</v>
      </c>
      <c r="JE114" s="11">
        <v>598800</v>
      </c>
      <c r="JF114" s="11"/>
      <c r="JG114" s="11"/>
      <c r="JH114" s="11">
        <v>3912900</v>
      </c>
      <c r="JI114" s="11">
        <v>3415400</v>
      </c>
      <c r="JJ114" s="11">
        <v>2075700</v>
      </c>
      <c r="JK114" s="11">
        <v>2954400</v>
      </c>
      <c r="JL114" s="11"/>
      <c r="JM114" s="11">
        <v>968489</v>
      </c>
      <c r="JN114" s="11">
        <v>975600</v>
      </c>
      <c r="JO114" s="11">
        <v>1221200</v>
      </c>
      <c r="JP114" s="11">
        <v>1266000</v>
      </c>
      <c r="JQ114" s="11">
        <v>2550844.6</v>
      </c>
      <c r="JR114" s="11">
        <v>660400</v>
      </c>
      <c r="JS114" s="11"/>
      <c r="JT114" s="11"/>
      <c r="JU114" s="11"/>
      <c r="JV114" s="11">
        <v>863300</v>
      </c>
      <c r="JW114" s="11">
        <v>478300</v>
      </c>
      <c r="JX114" s="11">
        <v>260000</v>
      </c>
      <c r="JY114" s="11">
        <v>2100000</v>
      </c>
      <c r="JZ114" s="11">
        <v>3320300</v>
      </c>
      <c r="KA114" s="11">
        <v>832451</v>
      </c>
      <c r="KB114" s="11">
        <v>1659500</v>
      </c>
      <c r="KC114" s="11">
        <v>449500</v>
      </c>
      <c r="KD114" s="11">
        <v>1354300</v>
      </c>
      <c r="KE114" s="11">
        <v>350508</v>
      </c>
      <c r="KF114" s="11">
        <v>284400</v>
      </c>
      <c r="KG114" s="11">
        <v>0</v>
      </c>
      <c r="KH114" s="11"/>
      <c r="KI114" s="11"/>
      <c r="KJ114" s="11"/>
      <c r="KK114" s="11">
        <v>1069600</v>
      </c>
      <c r="KL114" s="11">
        <v>1718500</v>
      </c>
      <c r="KM114" s="11">
        <v>1722000</v>
      </c>
      <c r="KN114" s="11">
        <v>0</v>
      </c>
      <c r="KO114" s="11">
        <v>3000000</v>
      </c>
      <c r="KP114" s="11">
        <v>477500</v>
      </c>
      <c r="KQ114" s="11">
        <v>992600</v>
      </c>
      <c r="KR114" s="11"/>
      <c r="KS114" s="11">
        <v>411400</v>
      </c>
      <c r="KT114" s="11">
        <v>561000</v>
      </c>
      <c r="KU114" s="11">
        <v>2705000</v>
      </c>
      <c r="KV114" s="11">
        <v>490800</v>
      </c>
      <c r="KW114" s="11">
        <v>1100980</v>
      </c>
      <c r="KX114" s="11"/>
      <c r="KY114" s="11">
        <v>1976100</v>
      </c>
      <c r="KZ114" s="11"/>
      <c r="LA114" s="11">
        <v>530733</v>
      </c>
      <c r="LB114" s="11">
        <v>377800</v>
      </c>
      <c r="LC114" s="11">
        <v>1756600</v>
      </c>
      <c r="LD114" s="11">
        <v>1602460</v>
      </c>
      <c r="LE114" s="11">
        <v>1350000</v>
      </c>
      <c r="LF114" s="11">
        <v>510600</v>
      </c>
      <c r="LG114" s="11">
        <v>455000</v>
      </c>
      <c r="LH114" s="11"/>
      <c r="LI114" s="11"/>
      <c r="LJ114" s="11"/>
      <c r="LK114" s="11"/>
      <c r="LL114" s="11">
        <v>1953600</v>
      </c>
      <c r="LM114" s="11">
        <v>1818800</v>
      </c>
      <c r="LN114" s="11">
        <v>-270400</v>
      </c>
      <c r="LO114" s="11"/>
      <c r="LP114" s="11">
        <v>-323600</v>
      </c>
      <c r="LQ114" s="11">
        <v>2452300</v>
      </c>
      <c r="LR114" s="11">
        <v>370000</v>
      </c>
      <c r="LS114" s="11"/>
      <c r="LT114" s="11">
        <v>610700</v>
      </c>
      <c r="LU114" s="11">
        <v>0</v>
      </c>
      <c r="LV114" s="11"/>
      <c r="LW114" s="11"/>
      <c r="LX114" s="11"/>
      <c r="LY114" s="11"/>
      <c r="LZ114" s="11">
        <v>945000</v>
      </c>
      <c r="MA114" s="11">
        <v>982400</v>
      </c>
      <c r="MB114" s="11">
        <v>733600</v>
      </c>
      <c r="MC114" s="11">
        <v>645900</v>
      </c>
      <c r="MD114" s="11">
        <v>689700</v>
      </c>
      <c r="ME114" s="11">
        <v>2068500</v>
      </c>
      <c r="MF114" s="11">
        <v>2649500</v>
      </c>
      <c r="MG114" s="11">
        <v>1490900</v>
      </c>
      <c r="MH114" s="11"/>
      <c r="MI114" s="11">
        <v>1039955</v>
      </c>
      <c r="MJ114" s="11">
        <v>671400</v>
      </c>
      <c r="MK114" s="11">
        <v>1121400</v>
      </c>
      <c r="ML114" s="11">
        <v>326800</v>
      </c>
      <c r="MM114" s="11">
        <v>631400</v>
      </c>
      <c r="MN114" s="11">
        <v>303000</v>
      </c>
      <c r="MO114" s="11">
        <v>1240400</v>
      </c>
      <c r="MP114" s="11">
        <v>2252700</v>
      </c>
      <c r="MQ114" s="11">
        <v>438500</v>
      </c>
      <c r="MR114" s="11">
        <v>2870000</v>
      </c>
      <c r="MS114" s="11">
        <v>350900</v>
      </c>
      <c r="MT114" s="11"/>
      <c r="MU114" s="11">
        <v>3065400</v>
      </c>
      <c r="MV114" s="11">
        <v>948600</v>
      </c>
      <c r="MW114" s="11">
        <v>1413400</v>
      </c>
      <c r="MX114" s="11">
        <v>1897300</v>
      </c>
      <c r="MY114" s="11">
        <v>594100</v>
      </c>
      <c r="MZ114" s="11">
        <v>5983900</v>
      </c>
      <c r="NA114" s="11">
        <v>6715400</v>
      </c>
      <c r="NB114" s="11">
        <v>425675.04</v>
      </c>
      <c r="NC114" s="11">
        <v>1806900</v>
      </c>
      <c r="ND114" s="11">
        <v>589800</v>
      </c>
      <c r="NE114" s="11"/>
      <c r="NF114" s="11">
        <v>4407646.25</v>
      </c>
      <c r="NG114" s="11">
        <v>954700</v>
      </c>
      <c r="NH114" s="11"/>
      <c r="NI114" s="11">
        <v>3297700</v>
      </c>
      <c r="NJ114" s="11">
        <v>2545711</v>
      </c>
      <c r="NK114" s="11">
        <v>1565000</v>
      </c>
      <c r="NL114" s="11">
        <v>4076500</v>
      </c>
      <c r="NM114" s="11">
        <v>220000</v>
      </c>
      <c r="NN114" s="11">
        <v>881100</v>
      </c>
      <c r="NO114" s="11">
        <v>1886700</v>
      </c>
      <c r="NP114" s="11">
        <v>864351</v>
      </c>
      <c r="NQ114" s="11"/>
      <c r="NR114" s="11">
        <v>1319100</v>
      </c>
      <c r="NS114" s="11">
        <v>1220500</v>
      </c>
      <c r="NT114" s="11">
        <v>858000</v>
      </c>
      <c r="NU114" s="11">
        <v>673608</v>
      </c>
      <c r="NV114" s="11">
        <v>744752</v>
      </c>
      <c r="NW114" s="11">
        <v>1059600</v>
      </c>
      <c r="NX114" s="11"/>
      <c r="NY114" s="11">
        <v>2185341</v>
      </c>
      <c r="NZ114" s="11">
        <v>1045445</v>
      </c>
      <c r="OA114" s="11">
        <v>765492</v>
      </c>
      <c r="OB114" s="11">
        <v>775200</v>
      </c>
      <c r="OC114" s="11">
        <v>683000</v>
      </c>
      <c r="OD114" s="11">
        <v>387006</v>
      </c>
      <c r="OE114" s="11"/>
      <c r="OF114" s="11">
        <v>12694908</v>
      </c>
      <c r="OG114" s="11">
        <v>1114900</v>
      </c>
      <c r="OH114" s="11"/>
      <c r="OI114" s="11">
        <v>2665459</v>
      </c>
      <c r="OJ114" s="11">
        <v>1125000</v>
      </c>
      <c r="OK114" s="11"/>
      <c r="OL114" s="11">
        <v>1128000</v>
      </c>
      <c r="OM114" s="11">
        <v>748183.56</v>
      </c>
      <c r="ON114" s="11"/>
      <c r="OO114" s="11">
        <v>7936180</v>
      </c>
      <c r="OP114" s="11">
        <v>8577500</v>
      </c>
      <c r="OQ114" s="11">
        <v>2768300</v>
      </c>
      <c r="OR114" s="11">
        <v>2340000</v>
      </c>
      <c r="OS114" s="11">
        <v>1500000</v>
      </c>
      <c r="OT114" s="11"/>
      <c r="OU114" s="11">
        <v>3860165</v>
      </c>
      <c r="OV114" s="11">
        <v>2759200</v>
      </c>
      <c r="OW114" s="11">
        <v>1899000</v>
      </c>
      <c r="OX114" s="11">
        <v>3568800</v>
      </c>
      <c r="OY114" s="11">
        <v>6711000</v>
      </c>
      <c r="OZ114" s="11">
        <v>2082500</v>
      </c>
      <c r="PA114" s="11">
        <v>1920326</v>
      </c>
      <c r="PB114" s="11"/>
      <c r="PC114" s="11"/>
      <c r="PD114" s="11"/>
      <c r="PE114" s="11">
        <v>1152400</v>
      </c>
      <c r="PF114" s="11">
        <v>570200</v>
      </c>
      <c r="PG114" s="11">
        <v>1124400</v>
      </c>
      <c r="PH114" s="11">
        <v>1149300</v>
      </c>
      <c r="PI114" s="11">
        <v>792100</v>
      </c>
      <c r="PJ114" s="11">
        <v>752700</v>
      </c>
      <c r="PK114" s="11">
        <v>124600</v>
      </c>
      <c r="PL114" s="11">
        <v>1327300</v>
      </c>
      <c r="PM114" s="11">
        <v>593900</v>
      </c>
      <c r="PN114" s="11">
        <v>855400</v>
      </c>
      <c r="PO114" s="11">
        <v>427400</v>
      </c>
      <c r="PP114" s="11">
        <v>1569500</v>
      </c>
      <c r="PQ114" s="11">
        <v>346000</v>
      </c>
      <c r="PR114" s="11">
        <v>228600</v>
      </c>
      <c r="PS114" s="11">
        <v>632100</v>
      </c>
      <c r="PT114" s="11"/>
      <c r="PU114" s="11"/>
      <c r="PV114" s="11"/>
      <c r="PW114" s="11"/>
      <c r="PX114" s="11"/>
      <c r="PY114" s="11"/>
      <c r="PZ114" s="11">
        <v>806300</v>
      </c>
      <c r="QA114" s="11">
        <v>197600</v>
      </c>
      <c r="QB114" s="11"/>
      <c r="QC114" s="11">
        <v>334100</v>
      </c>
      <c r="QD114" s="11"/>
      <c r="QE114" s="11"/>
      <c r="QF114" s="11"/>
      <c r="QG114" s="11">
        <v>450000</v>
      </c>
      <c r="QH114" s="11"/>
      <c r="QI114" s="11"/>
      <c r="QJ114" s="11">
        <v>1233000</v>
      </c>
      <c r="QK114" s="11">
        <v>720000</v>
      </c>
      <c r="QL114" s="11">
        <v>1465588</v>
      </c>
      <c r="QM114" s="11"/>
      <c r="QN114" s="11">
        <v>2354000</v>
      </c>
      <c r="QO114" s="11"/>
      <c r="QP114" s="11">
        <v>444200</v>
      </c>
      <c r="QQ114" s="11"/>
      <c r="QR114" s="11"/>
      <c r="QS114" s="11">
        <v>256300</v>
      </c>
      <c r="QT114" s="11"/>
      <c r="QU114" s="11"/>
      <c r="QV114" s="11">
        <v>737000</v>
      </c>
      <c r="QW114" s="11">
        <v>2700000</v>
      </c>
      <c r="QX114" s="11">
        <v>520300</v>
      </c>
      <c r="QY114" s="11">
        <v>1500000</v>
      </c>
      <c r="QZ114" s="11">
        <v>1029400</v>
      </c>
      <c r="RA114" s="11">
        <v>473650</v>
      </c>
      <c r="RB114" s="11">
        <v>1903400</v>
      </c>
      <c r="RC114" s="11"/>
      <c r="RD114" s="11">
        <v>979200</v>
      </c>
      <c r="RE114" s="11">
        <v>501500</v>
      </c>
      <c r="RF114" s="11">
        <v>326500</v>
      </c>
      <c r="RG114" s="11">
        <v>884650</v>
      </c>
      <c r="RH114" s="11"/>
      <c r="RI114" s="11">
        <v>2109500</v>
      </c>
      <c r="RJ114" s="11">
        <v>477100</v>
      </c>
      <c r="RK114" s="11">
        <v>719700</v>
      </c>
      <c r="RL114" s="11">
        <v>584100</v>
      </c>
      <c r="RM114" s="11">
        <v>1394600</v>
      </c>
      <c r="RN114" s="11"/>
      <c r="RO114" s="11">
        <v>554900</v>
      </c>
      <c r="RP114" s="11">
        <v>710500</v>
      </c>
      <c r="RQ114" s="11">
        <v>1380000</v>
      </c>
      <c r="RR114" s="11">
        <v>1337100</v>
      </c>
      <c r="RS114" s="11">
        <v>1129100</v>
      </c>
      <c r="RT114" s="11">
        <v>428300</v>
      </c>
      <c r="RU114" s="11">
        <v>4120000</v>
      </c>
      <c r="RV114" s="11">
        <v>832600</v>
      </c>
      <c r="RW114" s="11">
        <v>466700</v>
      </c>
      <c r="RX114" s="11">
        <v>1360000</v>
      </c>
      <c r="RY114" s="11">
        <v>313500</v>
      </c>
      <c r="RZ114" s="11">
        <v>252400</v>
      </c>
      <c r="SA114" s="11">
        <v>336700</v>
      </c>
      <c r="SB114" s="11"/>
      <c r="SC114" s="11">
        <v>140200</v>
      </c>
      <c r="SD114" s="11">
        <v>338200</v>
      </c>
      <c r="SE114" s="11">
        <v>406700</v>
      </c>
      <c r="SF114" s="11">
        <v>96100</v>
      </c>
      <c r="SG114" s="11">
        <v>637600</v>
      </c>
      <c r="SH114" s="11">
        <v>601200</v>
      </c>
      <c r="SI114" s="11">
        <v>1423000</v>
      </c>
      <c r="SJ114" s="11">
        <v>416800</v>
      </c>
      <c r="SK114" s="11">
        <v>504000</v>
      </c>
      <c r="SL114" s="11">
        <v>1072800</v>
      </c>
      <c r="SM114" s="11">
        <v>240700</v>
      </c>
      <c r="SN114" s="11">
        <v>5009800</v>
      </c>
      <c r="SO114" s="11">
        <v>309100</v>
      </c>
      <c r="SP114" s="11">
        <v>64000</v>
      </c>
      <c r="SQ114" s="11">
        <v>1811388.7</v>
      </c>
      <c r="SR114" s="11">
        <v>95300</v>
      </c>
      <c r="SS114" s="11">
        <v>144300</v>
      </c>
      <c r="ST114" s="11"/>
      <c r="SU114" s="11">
        <v>1743600</v>
      </c>
      <c r="SV114" s="11"/>
      <c r="SW114" s="11">
        <v>1163200</v>
      </c>
      <c r="SX114" s="11">
        <v>2969000</v>
      </c>
      <c r="SY114" s="11">
        <v>2079050</v>
      </c>
      <c r="SZ114" s="11">
        <v>2039600</v>
      </c>
      <c r="TA114" s="11">
        <v>1637500</v>
      </c>
      <c r="TB114" s="11">
        <v>416100</v>
      </c>
      <c r="TC114" s="11">
        <v>6497517</v>
      </c>
      <c r="TD114" s="11">
        <v>1699400</v>
      </c>
      <c r="TE114" s="11">
        <v>2034900</v>
      </c>
      <c r="TF114" s="11">
        <v>2948100</v>
      </c>
      <c r="TG114" s="11">
        <v>7065700</v>
      </c>
      <c r="TH114" s="11">
        <v>759290</v>
      </c>
      <c r="TI114" s="11">
        <v>965700</v>
      </c>
      <c r="TJ114" s="11"/>
      <c r="TK114" s="11">
        <v>1569400</v>
      </c>
      <c r="TL114" s="11">
        <v>1393700</v>
      </c>
      <c r="TM114" s="11">
        <v>908988</v>
      </c>
      <c r="TN114" s="11">
        <v>5023252</v>
      </c>
      <c r="TO114" s="11">
        <v>671200</v>
      </c>
      <c r="TP114" s="11">
        <v>2102500</v>
      </c>
      <c r="TQ114" s="11">
        <v>1239000</v>
      </c>
      <c r="TR114" s="11">
        <v>270000</v>
      </c>
      <c r="TS114" s="11">
        <v>721600</v>
      </c>
      <c r="TT114" s="11">
        <v>1473500</v>
      </c>
      <c r="TU114" s="11">
        <v>1329400</v>
      </c>
      <c r="TV114" s="11">
        <v>970400</v>
      </c>
      <c r="TW114" s="11">
        <v>1956550</v>
      </c>
      <c r="TX114" s="11">
        <v>1552168</v>
      </c>
      <c r="TY114" s="11">
        <v>406100</v>
      </c>
      <c r="TZ114" s="11">
        <v>4654800</v>
      </c>
      <c r="UA114" s="11">
        <v>1479316</v>
      </c>
      <c r="UB114" s="11"/>
      <c r="UC114" s="11"/>
      <c r="UD114" s="11">
        <v>2092000</v>
      </c>
      <c r="UE114" s="11">
        <v>4098400</v>
      </c>
      <c r="UF114" s="11">
        <v>100000</v>
      </c>
      <c r="UG114" s="11">
        <v>236100</v>
      </c>
      <c r="UH114" s="11">
        <v>1130000</v>
      </c>
      <c r="UI114" s="11">
        <v>577700</v>
      </c>
      <c r="UJ114" s="11">
        <v>507000</v>
      </c>
      <c r="UK114" s="11"/>
      <c r="UL114" s="11">
        <v>1494700</v>
      </c>
      <c r="UM114" s="11">
        <v>638200</v>
      </c>
      <c r="UN114" s="11">
        <v>1100000</v>
      </c>
      <c r="UO114" s="11">
        <v>1747500</v>
      </c>
      <c r="UP114" s="11">
        <v>1089900</v>
      </c>
      <c r="UQ114" s="11"/>
      <c r="UR114" s="11">
        <v>465900</v>
      </c>
      <c r="US114" s="11">
        <v>2615100</v>
      </c>
      <c r="UT114" s="11">
        <v>5285000</v>
      </c>
      <c r="UU114" s="11">
        <v>154400</v>
      </c>
      <c r="UV114" s="11">
        <v>1540590</v>
      </c>
      <c r="UW114" s="11">
        <v>1267400</v>
      </c>
      <c r="UX114" s="11">
        <v>767800</v>
      </c>
      <c r="UY114" s="11">
        <v>80000</v>
      </c>
      <c r="UZ114" s="11">
        <v>1877600</v>
      </c>
      <c r="VA114" s="11">
        <v>999320</v>
      </c>
      <c r="VB114" s="11">
        <v>7248364</v>
      </c>
      <c r="VC114" s="11">
        <v>956700</v>
      </c>
      <c r="VD114" s="11">
        <v>3060600</v>
      </c>
      <c r="VE114" s="11">
        <v>404900</v>
      </c>
      <c r="VF114" s="11">
        <v>466700</v>
      </c>
      <c r="VG114" s="11">
        <v>1040700</v>
      </c>
      <c r="VH114" s="11">
        <v>847426</v>
      </c>
      <c r="VI114" s="11">
        <v>4408700</v>
      </c>
      <c r="VJ114" s="11">
        <v>313900</v>
      </c>
      <c r="VK114" s="11">
        <v>929100</v>
      </c>
      <c r="VL114" s="11"/>
      <c r="VM114" s="11"/>
      <c r="VN114" s="11">
        <v>407000</v>
      </c>
      <c r="VO114" s="11">
        <v>1312000</v>
      </c>
      <c r="VP114" s="11"/>
      <c r="VQ114" s="11">
        <v>4625200</v>
      </c>
      <c r="VR114" s="11"/>
      <c r="VS114" s="11">
        <v>1000300</v>
      </c>
      <c r="VT114" s="11"/>
      <c r="VU114" s="11"/>
      <c r="VV114" s="11">
        <v>6046800</v>
      </c>
      <c r="VW114" s="11"/>
      <c r="VX114" s="11">
        <v>2423900</v>
      </c>
      <c r="VY114" s="11">
        <v>349700</v>
      </c>
      <c r="VZ114" s="11"/>
      <c r="WA114" s="11"/>
      <c r="WB114" s="11"/>
      <c r="WC114" s="11">
        <v>1075500</v>
      </c>
      <c r="WD114" s="11">
        <v>2161800</v>
      </c>
      <c r="WE114" s="11">
        <v>4293150.0199999996</v>
      </c>
      <c r="WF114" s="11">
        <v>387600</v>
      </c>
      <c r="WG114" s="11"/>
      <c r="WH114" s="11">
        <v>5379927</v>
      </c>
      <c r="WI114" s="11">
        <v>1562000</v>
      </c>
      <c r="WJ114" s="11">
        <v>2781400</v>
      </c>
      <c r="WK114" s="11">
        <v>2869200</v>
      </c>
      <c r="WL114" s="11">
        <v>1313900</v>
      </c>
      <c r="WM114" s="11">
        <v>5283400</v>
      </c>
      <c r="WN114" s="11">
        <v>1020300</v>
      </c>
      <c r="WO114" s="11">
        <v>1072440</v>
      </c>
      <c r="WP114" s="11">
        <v>6454300</v>
      </c>
      <c r="WQ114" s="11">
        <v>1984200</v>
      </c>
      <c r="WR114" s="11">
        <v>2223700</v>
      </c>
      <c r="WS114" s="11">
        <v>5691000</v>
      </c>
      <c r="WT114" s="11">
        <v>3064900</v>
      </c>
      <c r="WU114" s="11">
        <v>9539700</v>
      </c>
      <c r="WV114" s="11"/>
      <c r="WW114" s="11">
        <v>3602200</v>
      </c>
      <c r="WX114" s="11">
        <v>2194600</v>
      </c>
      <c r="WY114" s="11">
        <v>1128000</v>
      </c>
      <c r="WZ114" s="11"/>
      <c r="XA114" s="11">
        <v>95000</v>
      </c>
      <c r="XB114" s="11">
        <v>124000</v>
      </c>
      <c r="XC114" s="11">
        <v>3552200</v>
      </c>
      <c r="XD114" s="11"/>
      <c r="XE114" s="11">
        <v>96200</v>
      </c>
      <c r="XF114" s="11"/>
      <c r="XG114" s="11">
        <v>541300</v>
      </c>
      <c r="XH114" s="11">
        <v>69300</v>
      </c>
      <c r="XI114" s="11"/>
      <c r="XJ114" s="11">
        <v>3312800</v>
      </c>
      <c r="XK114" s="11">
        <v>2980700</v>
      </c>
      <c r="XL114" s="11"/>
      <c r="XM114" s="11">
        <v>3391300</v>
      </c>
      <c r="XN114" s="11">
        <v>3071300</v>
      </c>
      <c r="XO114" s="11">
        <v>4662200</v>
      </c>
      <c r="XP114" s="11">
        <v>2598200</v>
      </c>
      <c r="XQ114" s="11">
        <v>2650900</v>
      </c>
      <c r="XR114" s="11">
        <v>4701900</v>
      </c>
      <c r="XS114" s="11">
        <v>3619200</v>
      </c>
      <c r="XT114" s="11">
        <v>1951600</v>
      </c>
      <c r="XU114" s="11">
        <v>2146400</v>
      </c>
      <c r="XV114" s="11">
        <v>2385300</v>
      </c>
      <c r="XW114" s="11">
        <v>2334900</v>
      </c>
      <c r="XX114" s="11">
        <v>1802100</v>
      </c>
      <c r="XY114" s="11">
        <v>1373100</v>
      </c>
      <c r="XZ114" s="11">
        <v>1699600</v>
      </c>
      <c r="YA114" s="11">
        <v>1980400</v>
      </c>
      <c r="YB114" s="11">
        <v>2097900</v>
      </c>
      <c r="YC114" s="11">
        <v>2296000</v>
      </c>
      <c r="YD114" s="11">
        <v>1831500</v>
      </c>
      <c r="YE114" s="11">
        <v>2176300</v>
      </c>
      <c r="YF114" s="11"/>
      <c r="YG114" s="11"/>
      <c r="YH114" s="11">
        <v>5018000</v>
      </c>
      <c r="YI114" s="11">
        <v>553800</v>
      </c>
      <c r="YJ114" s="11"/>
      <c r="YK114" s="11">
        <v>1060000</v>
      </c>
      <c r="YL114" s="11">
        <v>693200</v>
      </c>
      <c r="YM114" s="11">
        <v>12700</v>
      </c>
      <c r="YN114" s="11">
        <v>9168477</v>
      </c>
      <c r="YO114" s="11">
        <v>902000</v>
      </c>
      <c r="YP114" s="11">
        <v>3445800</v>
      </c>
      <c r="YQ114" s="11">
        <v>1137310</v>
      </c>
      <c r="YR114" s="11"/>
      <c r="YS114" s="11">
        <v>143500</v>
      </c>
      <c r="YT114" s="11">
        <v>292200</v>
      </c>
      <c r="YU114" s="11">
        <v>37600</v>
      </c>
      <c r="YV114" s="11">
        <v>217800</v>
      </c>
      <c r="YW114" s="11"/>
      <c r="YX114" s="11">
        <v>77800</v>
      </c>
      <c r="YY114" s="11">
        <v>2254880</v>
      </c>
      <c r="YZ114" s="11">
        <v>1073400</v>
      </c>
      <c r="ZA114" s="11">
        <v>0</v>
      </c>
      <c r="ZB114" s="11">
        <v>1589344</v>
      </c>
      <c r="ZC114" s="11">
        <v>563100</v>
      </c>
      <c r="ZD114" s="11"/>
      <c r="ZE114" s="11">
        <v>339200</v>
      </c>
      <c r="ZF114" s="11">
        <v>1138800</v>
      </c>
      <c r="ZG114" s="11">
        <v>668200</v>
      </c>
      <c r="ZH114" s="11">
        <v>71300</v>
      </c>
      <c r="ZI114" s="11">
        <v>936000</v>
      </c>
      <c r="ZJ114" s="11">
        <v>803300</v>
      </c>
      <c r="ZK114" s="11">
        <v>261530</v>
      </c>
      <c r="ZL114" s="11">
        <v>203200</v>
      </c>
      <c r="ZM114" s="11"/>
      <c r="ZN114" s="11">
        <v>378500</v>
      </c>
      <c r="ZO114" s="11">
        <v>2485100</v>
      </c>
      <c r="ZP114" s="11">
        <v>4383100</v>
      </c>
      <c r="ZQ114" s="11">
        <v>2994400</v>
      </c>
      <c r="ZR114" s="11">
        <v>1284900</v>
      </c>
      <c r="ZS114" s="11">
        <v>305600</v>
      </c>
      <c r="ZT114" s="11">
        <v>0</v>
      </c>
      <c r="ZU114" s="11">
        <v>1686200</v>
      </c>
      <c r="ZV114" s="11">
        <v>2529200</v>
      </c>
      <c r="ZW114" s="11">
        <v>398500</v>
      </c>
      <c r="ZX114" s="11">
        <v>415700</v>
      </c>
      <c r="ZY114" s="11">
        <v>561200</v>
      </c>
      <c r="ZZ114" s="11">
        <v>524500</v>
      </c>
      <c r="AAA114" s="11"/>
      <c r="AAB114" s="11">
        <v>506300</v>
      </c>
      <c r="AAC114" s="11">
        <v>621100</v>
      </c>
      <c r="AAD114" s="11">
        <v>458500</v>
      </c>
      <c r="AAE114" s="11">
        <v>1050000</v>
      </c>
      <c r="AAF114" s="11">
        <v>303100</v>
      </c>
      <c r="AAG114" s="11">
        <v>444400</v>
      </c>
      <c r="AAH114" s="11">
        <v>230300</v>
      </c>
      <c r="AAI114" s="11"/>
      <c r="AAJ114" s="11">
        <v>597000</v>
      </c>
      <c r="AAK114" s="11">
        <v>495300</v>
      </c>
      <c r="AAL114" s="11">
        <v>463700</v>
      </c>
      <c r="AAM114" s="11"/>
      <c r="AAN114" s="11">
        <v>688200</v>
      </c>
      <c r="AAO114" s="11">
        <v>387400</v>
      </c>
      <c r="AAP114" s="11"/>
      <c r="AAQ114" s="11">
        <v>631700</v>
      </c>
      <c r="AAR114" s="11">
        <v>128000</v>
      </c>
      <c r="AAS114" s="11">
        <v>980600</v>
      </c>
      <c r="AAT114" s="11">
        <v>1411300</v>
      </c>
      <c r="AAU114" s="11">
        <v>968000</v>
      </c>
      <c r="AAV114" s="11">
        <v>1000650</v>
      </c>
      <c r="AAW114" s="11">
        <v>434950</v>
      </c>
      <c r="AAX114" s="11">
        <v>1272300</v>
      </c>
      <c r="AAY114" s="11">
        <v>176000</v>
      </c>
      <c r="AAZ114" s="11">
        <v>992200</v>
      </c>
      <c r="ABA114" s="11">
        <v>2648600</v>
      </c>
      <c r="ABB114" s="11">
        <v>1213600</v>
      </c>
      <c r="ABC114" s="11">
        <v>1375300</v>
      </c>
      <c r="ABD114" s="11">
        <v>642900</v>
      </c>
      <c r="ABE114" s="11">
        <v>2447400</v>
      </c>
      <c r="ABF114" s="11">
        <v>117000</v>
      </c>
      <c r="ABG114" s="11">
        <v>576500</v>
      </c>
      <c r="ABH114" s="11">
        <v>316300</v>
      </c>
      <c r="ABI114" s="11">
        <v>375600</v>
      </c>
      <c r="ABJ114" s="11">
        <v>4059500</v>
      </c>
      <c r="ABK114" s="11">
        <v>328700</v>
      </c>
      <c r="ABL114" s="11">
        <v>87900</v>
      </c>
      <c r="ABM114" s="11">
        <v>498600</v>
      </c>
      <c r="ABN114" s="11">
        <v>296300</v>
      </c>
      <c r="ABO114" s="11">
        <v>1300300</v>
      </c>
      <c r="ABP114" s="11"/>
      <c r="ABQ114" s="11">
        <v>1667100</v>
      </c>
      <c r="ABR114" s="11">
        <v>2320000</v>
      </c>
      <c r="ABS114" s="11">
        <v>2100000</v>
      </c>
      <c r="ABT114" s="11">
        <v>1500000</v>
      </c>
      <c r="ABU114" s="11">
        <v>640100</v>
      </c>
      <c r="ABV114" s="11">
        <v>2700989</v>
      </c>
      <c r="ABW114" s="11">
        <v>1825100</v>
      </c>
      <c r="ABX114" s="11">
        <v>1793394</v>
      </c>
      <c r="ABY114" s="11"/>
      <c r="ABZ114" s="11"/>
      <c r="ACA114" s="11">
        <v>0</v>
      </c>
      <c r="ACB114" s="11">
        <v>1932300</v>
      </c>
      <c r="ACC114" s="11">
        <v>425300</v>
      </c>
      <c r="ACD114" s="11"/>
      <c r="ACE114" s="11"/>
      <c r="ACF114" s="11">
        <v>1288200</v>
      </c>
      <c r="ACG114" s="11">
        <v>472600</v>
      </c>
      <c r="ACH114" s="11"/>
      <c r="ACI114" s="11">
        <v>334100</v>
      </c>
      <c r="ACJ114" s="11"/>
      <c r="ACK114" s="11">
        <v>1869222</v>
      </c>
      <c r="ACL114" s="11"/>
      <c r="ACM114" s="11">
        <v>2516900</v>
      </c>
      <c r="ACN114" s="11"/>
      <c r="ACO114" s="11">
        <v>8414300</v>
      </c>
      <c r="ACP114" s="11"/>
      <c r="ACQ114" s="11"/>
      <c r="ACR114" s="11"/>
      <c r="ACS114" s="11">
        <v>607300</v>
      </c>
      <c r="ACT114" s="11"/>
      <c r="ACU114" s="11">
        <v>2459400</v>
      </c>
      <c r="ACV114" s="11"/>
      <c r="ACW114" s="11"/>
      <c r="ACX114" s="11">
        <v>965000</v>
      </c>
      <c r="ACY114" s="11">
        <v>1267200</v>
      </c>
      <c r="ACZ114" s="11"/>
      <c r="ADA114" s="11">
        <v>923850</v>
      </c>
      <c r="ADB114" s="11">
        <v>1218900</v>
      </c>
      <c r="ADC114" s="11"/>
      <c r="ADD114" s="11">
        <v>660700</v>
      </c>
      <c r="ADE114" s="11"/>
      <c r="ADF114" s="11"/>
      <c r="ADG114" s="11"/>
      <c r="ADH114" s="11">
        <v>1400100</v>
      </c>
      <c r="ADI114" s="11">
        <v>1510100</v>
      </c>
      <c r="ADJ114" s="11">
        <v>2068900</v>
      </c>
      <c r="ADK114" s="11">
        <v>2174300</v>
      </c>
      <c r="ADL114" s="11">
        <v>574000</v>
      </c>
      <c r="ADM114" s="11">
        <v>942100</v>
      </c>
      <c r="ADN114" s="11">
        <v>2069300</v>
      </c>
      <c r="ADO114" s="11">
        <v>2879300</v>
      </c>
      <c r="ADP114" s="11"/>
      <c r="ADQ114" s="11">
        <v>6811493</v>
      </c>
      <c r="ADR114" s="11">
        <v>3500000</v>
      </c>
      <c r="ADS114" s="11"/>
      <c r="ADT114" s="11"/>
      <c r="ADU114" s="11"/>
      <c r="ADV114" s="11">
        <v>1438800</v>
      </c>
      <c r="ADW114" s="11">
        <v>414300</v>
      </c>
      <c r="ADX114" s="11">
        <v>2041000</v>
      </c>
      <c r="ADY114" s="11">
        <v>0</v>
      </c>
      <c r="ADZ114" s="11"/>
      <c r="AEA114" s="11">
        <v>30307820</v>
      </c>
      <c r="AEB114" s="11">
        <v>2682900</v>
      </c>
      <c r="AEC114" s="11">
        <v>1474700</v>
      </c>
      <c r="AED114" s="11">
        <v>728700</v>
      </c>
      <c r="AEE114" s="11"/>
      <c r="AEF114" s="11">
        <v>1505200</v>
      </c>
      <c r="AEG114" s="11">
        <v>122500</v>
      </c>
      <c r="AEH114" s="11"/>
      <c r="AEI114" s="11">
        <v>742900</v>
      </c>
      <c r="AEJ114" s="11">
        <v>434700</v>
      </c>
      <c r="AEK114" s="11">
        <v>2515500</v>
      </c>
      <c r="AEL114" s="11">
        <v>1482900</v>
      </c>
      <c r="AEM114" s="11"/>
      <c r="AEN114" s="11">
        <v>1649400</v>
      </c>
      <c r="AEO114" s="11">
        <v>856200</v>
      </c>
      <c r="AEP114" s="11">
        <v>1525800</v>
      </c>
      <c r="AEQ114" s="11">
        <v>1593500</v>
      </c>
      <c r="AER114" s="11"/>
      <c r="AES114" s="11">
        <v>834400</v>
      </c>
      <c r="AET114" s="11"/>
      <c r="AEU114" s="11">
        <v>2416400</v>
      </c>
      <c r="AEV114" s="11">
        <v>2300260</v>
      </c>
      <c r="AEW114" s="11">
        <v>2790700</v>
      </c>
      <c r="AEX114" s="11">
        <v>375300</v>
      </c>
      <c r="AEY114" s="11">
        <v>3011000</v>
      </c>
      <c r="AEZ114" s="11">
        <v>1425000</v>
      </c>
      <c r="AFA114" s="11">
        <v>2829600</v>
      </c>
      <c r="AFB114" s="11">
        <v>1362000</v>
      </c>
      <c r="AFC114" s="11">
        <v>838800</v>
      </c>
      <c r="AFD114" s="11">
        <v>20672400</v>
      </c>
      <c r="AFE114" s="11">
        <v>1920000</v>
      </c>
      <c r="AFF114" s="11">
        <v>2992300</v>
      </c>
      <c r="AFG114" s="11">
        <v>2000200</v>
      </c>
      <c r="AFH114" s="11">
        <v>3584400</v>
      </c>
      <c r="AFI114" s="11">
        <v>1505400</v>
      </c>
      <c r="AFJ114" s="11">
        <v>5482325</v>
      </c>
      <c r="AFK114" s="11">
        <v>1093300</v>
      </c>
      <c r="AFL114" s="11">
        <v>712300</v>
      </c>
      <c r="AFM114" s="11">
        <v>1061700</v>
      </c>
      <c r="AFN114" s="11">
        <v>4977098</v>
      </c>
      <c r="AFO114" s="11">
        <v>1864600</v>
      </c>
      <c r="AFP114" s="11">
        <v>1130000</v>
      </c>
      <c r="AFQ114" s="11">
        <v>3634700</v>
      </c>
      <c r="AFR114" s="11">
        <v>1935900</v>
      </c>
      <c r="AFS114" s="11">
        <v>5487800</v>
      </c>
      <c r="AFT114" s="11">
        <v>1339200</v>
      </c>
      <c r="AFU114" s="11">
        <v>1770665</v>
      </c>
      <c r="AFV114" s="11">
        <v>1909900</v>
      </c>
      <c r="AFW114" s="11">
        <v>1717300</v>
      </c>
      <c r="AFX114" s="11">
        <v>1656300</v>
      </c>
      <c r="AFY114" s="11">
        <v>2750100</v>
      </c>
      <c r="AFZ114" s="11">
        <v>1788269</v>
      </c>
      <c r="AGA114" s="11">
        <v>2082800</v>
      </c>
      <c r="AGB114" s="11">
        <v>883400</v>
      </c>
      <c r="AGC114" s="11"/>
      <c r="AGD114" s="11">
        <v>2886200</v>
      </c>
      <c r="AGE114" s="11">
        <v>1584100</v>
      </c>
      <c r="AGF114" s="11">
        <v>1407000</v>
      </c>
      <c r="AGG114" s="11">
        <v>2133900</v>
      </c>
      <c r="AGH114" s="11">
        <v>2600000</v>
      </c>
      <c r="AGI114" s="11">
        <v>1935300</v>
      </c>
      <c r="AGJ114" s="11">
        <v>525900</v>
      </c>
      <c r="AGK114" s="11">
        <v>1134300</v>
      </c>
      <c r="AGL114" s="11">
        <v>1521200</v>
      </c>
      <c r="AGM114" s="11">
        <v>1753000</v>
      </c>
      <c r="AGN114" s="11">
        <v>16500000</v>
      </c>
      <c r="AGO114" s="11">
        <v>1985300</v>
      </c>
      <c r="AGP114" s="11">
        <v>4020000</v>
      </c>
      <c r="AGQ114" s="11">
        <v>1694200</v>
      </c>
      <c r="AGR114" s="11">
        <v>5019900</v>
      </c>
      <c r="AGS114" s="11">
        <v>6245900</v>
      </c>
      <c r="AGT114" s="11">
        <v>2826900</v>
      </c>
      <c r="AGU114" s="11">
        <v>2608000</v>
      </c>
      <c r="AGV114" s="11"/>
      <c r="AGW114" s="11"/>
      <c r="AGX114" s="11">
        <v>807800</v>
      </c>
      <c r="AGY114" s="11">
        <v>1986100</v>
      </c>
      <c r="AGZ114" s="11">
        <v>2701900</v>
      </c>
      <c r="AHA114" s="11">
        <v>1375200</v>
      </c>
      <c r="AHB114" s="11">
        <v>1500000</v>
      </c>
      <c r="AHC114" s="11">
        <v>725800</v>
      </c>
      <c r="AHD114" s="11">
        <v>510200</v>
      </c>
      <c r="AHE114" s="11">
        <v>1395400</v>
      </c>
      <c r="AHF114" s="11">
        <v>2747100</v>
      </c>
      <c r="AHG114" s="11">
        <v>1380400</v>
      </c>
      <c r="AHH114" s="11">
        <v>659600</v>
      </c>
      <c r="AHI114" s="11">
        <v>1650000</v>
      </c>
      <c r="AHJ114" s="11">
        <v>667600</v>
      </c>
      <c r="AHK114" s="11">
        <v>622100</v>
      </c>
      <c r="AHL114" s="11">
        <v>544300</v>
      </c>
      <c r="AHM114" s="11"/>
      <c r="AHN114" s="11">
        <v>473200</v>
      </c>
      <c r="AHO114" s="11">
        <v>619900</v>
      </c>
      <c r="AHP114" s="11">
        <v>551200</v>
      </c>
      <c r="AHQ114" s="11">
        <v>1116900</v>
      </c>
      <c r="AHR114" s="11">
        <v>683800</v>
      </c>
      <c r="AHS114" s="11">
        <v>1310200</v>
      </c>
      <c r="AHT114" s="11">
        <v>1227165932.8500001</v>
      </c>
      <c r="AHV114" s="269" t="s">
        <v>6278</v>
      </c>
      <c r="AHW114" s="269" t="s">
        <v>6169</v>
      </c>
      <c r="AHX114" s="269" t="s">
        <v>6170</v>
      </c>
    </row>
    <row r="115" spans="1:908" x14ac:dyDescent="0.7">
      <c r="A115" s="6" t="s">
        <v>6278</v>
      </c>
      <c r="B115" s="6" t="s">
        <v>6502</v>
      </c>
      <c r="C115" s="6" t="s">
        <v>6178</v>
      </c>
      <c r="D115" s="11">
        <v>74250</v>
      </c>
      <c r="E115" s="11"/>
      <c r="F115" s="11"/>
      <c r="G115" s="11">
        <v>0</v>
      </c>
      <c r="H115" s="11"/>
      <c r="I115" s="11"/>
      <c r="J115" s="11"/>
      <c r="K115" s="11"/>
      <c r="L115" s="11"/>
      <c r="M115" s="11">
        <v>6375</v>
      </c>
      <c r="N115" s="11">
        <v>1404755</v>
      </c>
      <c r="O115" s="11"/>
      <c r="P115" s="11"/>
      <c r="Q115" s="11"/>
      <c r="R115" s="11"/>
      <c r="S115" s="11"/>
      <c r="T115" s="11"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>
        <v>715410</v>
      </c>
      <c r="AM115" s="11"/>
      <c r="AN115" s="11"/>
      <c r="AO115" s="11">
        <v>8550</v>
      </c>
      <c r="AP115" s="11"/>
      <c r="AQ115" s="11"/>
      <c r="AR115" s="11"/>
      <c r="AS115" s="11"/>
      <c r="AT115" s="11"/>
      <c r="AU115" s="11"/>
      <c r="AV115" s="11"/>
      <c r="AW115" s="11"/>
      <c r="AX115" s="11"/>
      <c r="AY115" s="11">
        <v>108680</v>
      </c>
      <c r="AZ115" s="11">
        <v>0</v>
      </c>
      <c r="BA115" s="11">
        <v>44880</v>
      </c>
      <c r="BB115" s="11">
        <v>37200</v>
      </c>
      <c r="BC115" s="11"/>
      <c r="BD115" s="11"/>
      <c r="BE115" s="11"/>
      <c r="BF115" s="11"/>
      <c r="BG115" s="11">
        <v>5000</v>
      </c>
      <c r="BH115" s="11">
        <v>5100</v>
      </c>
      <c r="BI115" s="11">
        <v>973875</v>
      </c>
      <c r="BJ115" s="11"/>
      <c r="BK115" s="11"/>
      <c r="BL115" s="11"/>
      <c r="BM115" s="11"/>
      <c r="BN115" s="11"/>
      <c r="BO115" s="11"/>
      <c r="BP115" s="11"/>
      <c r="BQ115" s="11"/>
      <c r="BR115" s="11"/>
      <c r="BS115" s="11">
        <v>10000</v>
      </c>
      <c r="BT115" s="11"/>
      <c r="BU115" s="11"/>
      <c r="BV115" s="11">
        <v>90750</v>
      </c>
      <c r="BW115" s="11"/>
      <c r="BX115" s="11">
        <v>0</v>
      </c>
      <c r="BY115" s="11"/>
      <c r="BZ115" s="11"/>
      <c r="CA115" s="11"/>
      <c r="CB115" s="11"/>
      <c r="CC115" s="11">
        <v>0</v>
      </c>
      <c r="CD115" s="11"/>
      <c r="CE115" s="11">
        <v>0</v>
      </c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>
        <v>5000</v>
      </c>
      <c r="CY115" s="11">
        <v>15000</v>
      </c>
      <c r="CZ115" s="11">
        <v>10000</v>
      </c>
      <c r="DA115" s="11"/>
      <c r="DB115" s="11"/>
      <c r="DC115" s="11"/>
      <c r="DD115" s="11"/>
      <c r="DE115" s="11"/>
      <c r="DF115" s="11">
        <v>30000</v>
      </c>
      <c r="DG115" s="11"/>
      <c r="DH115" s="11"/>
      <c r="DI115" s="11"/>
      <c r="DJ115" s="11">
        <v>0</v>
      </c>
      <c r="DK115" s="11"/>
      <c r="DL115" s="11"/>
      <c r="DM115" s="11">
        <v>236100</v>
      </c>
      <c r="DN115" s="11"/>
      <c r="DO115" s="11">
        <v>30000</v>
      </c>
      <c r="DP115" s="11">
        <v>10000</v>
      </c>
      <c r="DQ115" s="11"/>
      <c r="DR115" s="11">
        <v>5000</v>
      </c>
      <c r="DS115" s="11">
        <v>85000</v>
      </c>
      <c r="DT115" s="11">
        <v>182462.74</v>
      </c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>
        <v>413525</v>
      </c>
      <c r="EJ115" s="11"/>
      <c r="EK115" s="11">
        <v>0</v>
      </c>
      <c r="EL115" s="11"/>
      <c r="EM115" s="11">
        <v>332000</v>
      </c>
      <c r="EN115" s="11"/>
      <c r="EO115" s="11"/>
      <c r="EP115" s="11"/>
      <c r="EQ115" s="11"/>
      <c r="ER115" s="11"/>
      <c r="ES115" s="11"/>
      <c r="ET115" s="11">
        <v>36200</v>
      </c>
      <c r="EU115" s="11"/>
      <c r="EV115" s="11"/>
      <c r="EW115" s="11"/>
      <c r="EX115" s="11">
        <v>10000</v>
      </c>
      <c r="EY115" s="11">
        <v>5000</v>
      </c>
      <c r="EZ115" s="11"/>
      <c r="FA115" s="11"/>
      <c r="FB115" s="11"/>
      <c r="FC115" s="11"/>
      <c r="FD115" s="11">
        <v>5000</v>
      </c>
      <c r="FE115" s="11">
        <v>94780</v>
      </c>
      <c r="FF115" s="11">
        <v>8000</v>
      </c>
      <c r="FG115" s="11">
        <v>219309</v>
      </c>
      <c r="FH115" s="11">
        <v>5000</v>
      </c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>
        <v>6300</v>
      </c>
      <c r="FZ115" s="11"/>
      <c r="GA115" s="11"/>
      <c r="GB115" s="11">
        <v>11680</v>
      </c>
      <c r="GC115" s="11">
        <v>33890</v>
      </c>
      <c r="GD115" s="11"/>
      <c r="GE115" s="11"/>
      <c r="GF115" s="11"/>
      <c r="GG115" s="11"/>
      <c r="GH115" s="11"/>
      <c r="GI115" s="11"/>
      <c r="GJ115" s="11">
        <v>59000</v>
      </c>
      <c r="GK115" s="11">
        <v>23750</v>
      </c>
      <c r="GL115" s="11"/>
      <c r="GM115" s="11"/>
      <c r="GN115" s="11"/>
      <c r="GO115" s="11">
        <v>5100</v>
      </c>
      <c r="GP115" s="11"/>
      <c r="GQ115" s="11"/>
      <c r="GR115" s="11"/>
      <c r="GS115" s="11"/>
      <c r="GT115" s="11">
        <v>131840</v>
      </c>
      <c r="GU115" s="11">
        <v>77875</v>
      </c>
      <c r="GV115" s="11"/>
      <c r="GW115" s="11"/>
      <c r="GX115" s="11"/>
      <c r="GY115" s="11"/>
      <c r="GZ115" s="11"/>
      <c r="HA115" s="11">
        <v>480110</v>
      </c>
      <c r="HB115" s="11"/>
      <c r="HC115" s="11"/>
      <c r="HD115" s="11">
        <v>4085848.5</v>
      </c>
      <c r="HE115" s="11"/>
      <c r="HF115" s="11">
        <v>3633156.57</v>
      </c>
      <c r="HG115" s="11">
        <v>15000</v>
      </c>
      <c r="HH115" s="11"/>
      <c r="HI115" s="11"/>
      <c r="HJ115" s="11"/>
      <c r="HK115" s="11"/>
      <c r="HL115" s="11"/>
      <c r="HM115" s="11"/>
      <c r="HN115" s="11"/>
      <c r="HO115" s="11">
        <v>12880</v>
      </c>
      <c r="HP115" s="11"/>
      <c r="HQ115" s="11">
        <v>5000</v>
      </c>
      <c r="HR115" s="11"/>
      <c r="HS115" s="11"/>
      <c r="HT115" s="11">
        <v>2250</v>
      </c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>
        <v>63240</v>
      </c>
      <c r="IJ115" s="11"/>
      <c r="IK115" s="11"/>
      <c r="IL115" s="11">
        <v>0</v>
      </c>
      <c r="IM115" s="11"/>
      <c r="IN115" s="11"/>
      <c r="IO115" s="11"/>
      <c r="IP115" s="11"/>
      <c r="IQ115" s="11"/>
      <c r="IR115" s="11"/>
      <c r="IS115" s="11"/>
      <c r="IT115" s="11"/>
      <c r="IU115" s="11"/>
      <c r="IV115" s="11">
        <v>280000</v>
      </c>
      <c r="IW115" s="11">
        <v>60000</v>
      </c>
      <c r="IX115" s="11"/>
      <c r="IY115" s="11"/>
      <c r="IZ115" s="11"/>
      <c r="JA115" s="11"/>
      <c r="JB115" s="11"/>
      <c r="JC115" s="11"/>
      <c r="JD115" s="11">
        <v>78980</v>
      </c>
      <c r="JE115" s="11"/>
      <c r="JF115" s="11"/>
      <c r="JG115" s="11"/>
      <c r="JH115" s="11"/>
      <c r="JI115" s="11"/>
      <c r="JJ115" s="11"/>
      <c r="JK115" s="11">
        <v>29700</v>
      </c>
      <c r="JL115" s="11"/>
      <c r="JM115" s="11"/>
      <c r="JN115" s="11"/>
      <c r="JO115" s="11"/>
      <c r="JP115" s="11"/>
      <c r="JQ115" s="11"/>
      <c r="JR115" s="11"/>
      <c r="JS115" s="11">
        <v>132487.5</v>
      </c>
      <c r="JT115" s="11"/>
      <c r="JU115" s="11"/>
      <c r="JV115" s="11"/>
      <c r="JW115" s="11"/>
      <c r="JX115" s="11"/>
      <c r="JY115" s="11">
        <v>11480</v>
      </c>
      <c r="JZ115" s="11"/>
      <c r="KA115" s="11"/>
      <c r="KB115" s="11"/>
      <c r="KC115" s="11"/>
      <c r="KD115" s="11"/>
      <c r="KE115" s="11"/>
      <c r="KF115" s="11"/>
      <c r="KG115" s="11">
        <v>5000</v>
      </c>
      <c r="KH115" s="11"/>
      <c r="KI115" s="11">
        <v>2334035</v>
      </c>
      <c r="KJ115" s="11"/>
      <c r="KK115" s="11"/>
      <c r="KL115" s="11"/>
      <c r="KM115" s="11"/>
      <c r="KN115" s="11"/>
      <c r="KO115" s="11">
        <v>0</v>
      </c>
      <c r="KP115" s="11"/>
      <c r="KQ115" s="11"/>
      <c r="KR115" s="11">
        <v>7606000</v>
      </c>
      <c r="KS115" s="11"/>
      <c r="KT115" s="11"/>
      <c r="KU115" s="11"/>
      <c r="KV115" s="11"/>
      <c r="KW115" s="11">
        <v>31200</v>
      </c>
      <c r="KX115" s="11"/>
      <c r="KY115" s="11"/>
      <c r="KZ115" s="11">
        <v>0</v>
      </c>
      <c r="LA115" s="11">
        <v>78580</v>
      </c>
      <c r="LB115" s="11">
        <v>45000</v>
      </c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>
        <v>1338500</v>
      </c>
      <c r="LP115" s="11">
        <v>-8080</v>
      </c>
      <c r="LQ115" s="11"/>
      <c r="LR115" s="11">
        <v>35000</v>
      </c>
      <c r="LS115" s="11"/>
      <c r="LT115" s="11"/>
      <c r="LU115" s="11"/>
      <c r="LV115" s="11"/>
      <c r="LW115" s="11"/>
      <c r="LX115" s="11"/>
      <c r="LY115" s="11">
        <v>0</v>
      </c>
      <c r="LZ115" s="11"/>
      <c r="MA115" s="11"/>
      <c r="MB115" s="11">
        <v>4292900</v>
      </c>
      <c r="MC115" s="11"/>
      <c r="MD115" s="11"/>
      <c r="ME115" s="11"/>
      <c r="MF115" s="11"/>
      <c r="MG115" s="11"/>
      <c r="MH115" s="11">
        <v>0</v>
      </c>
      <c r="MI115" s="11">
        <v>61000</v>
      </c>
      <c r="MJ115" s="11">
        <v>53400</v>
      </c>
      <c r="MK115" s="11"/>
      <c r="ML115" s="11"/>
      <c r="MM115" s="11"/>
      <c r="MN115" s="11"/>
      <c r="MO115" s="11"/>
      <c r="MP115" s="11">
        <v>0</v>
      </c>
      <c r="MQ115" s="11">
        <v>26000</v>
      </c>
      <c r="MR115" s="11"/>
      <c r="MS115" s="11"/>
      <c r="MT115" s="11"/>
      <c r="MU115" s="11"/>
      <c r="MV115" s="11"/>
      <c r="MW115" s="11"/>
      <c r="MX115" s="11">
        <v>1650000</v>
      </c>
      <c r="MY115" s="11"/>
      <c r="MZ115" s="11">
        <v>486000</v>
      </c>
      <c r="NA115" s="11"/>
      <c r="NB115" s="11">
        <v>937448</v>
      </c>
      <c r="NC115" s="11"/>
      <c r="ND115" s="11">
        <v>39320</v>
      </c>
      <c r="NE115" s="11"/>
      <c r="NF115" s="11"/>
      <c r="NG115" s="11"/>
      <c r="NH115" s="11"/>
      <c r="NI115" s="11"/>
      <c r="NJ115" s="11"/>
      <c r="NK115" s="11"/>
      <c r="NL115" s="11">
        <v>19950</v>
      </c>
      <c r="NM115" s="11"/>
      <c r="NN115" s="11"/>
      <c r="NO115" s="11"/>
      <c r="NP115" s="11"/>
      <c r="NQ115" s="11">
        <v>290300</v>
      </c>
      <c r="NR115" s="11"/>
      <c r="NS115" s="11"/>
      <c r="NT115" s="11"/>
      <c r="NU115" s="11">
        <v>300</v>
      </c>
      <c r="NV115" s="11">
        <v>316820.5</v>
      </c>
      <c r="NW115" s="11"/>
      <c r="NX115" s="11">
        <v>1380000</v>
      </c>
      <c r="NY115" s="11">
        <v>7245089.9199999999</v>
      </c>
      <c r="NZ115" s="11">
        <v>167567.5</v>
      </c>
      <c r="OA115" s="11"/>
      <c r="OB115" s="11"/>
      <c r="OC115" s="11"/>
      <c r="OD115" s="11"/>
      <c r="OE115" s="11"/>
      <c r="OF115" s="11"/>
      <c r="OG115" s="11"/>
      <c r="OH115" s="11">
        <v>22840</v>
      </c>
      <c r="OI115" s="11"/>
      <c r="OJ115" s="11"/>
      <c r="OK115" s="11"/>
      <c r="OL115" s="11"/>
      <c r="OM115" s="11">
        <v>162800</v>
      </c>
      <c r="ON115" s="11">
        <v>1072680</v>
      </c>
      <c r="OO115" s="11">
        <v>7000</v>
      </c>
      <c r="OP115" s="11">
        <v>550000</v>
      </c>
      <c r="OQ115" s="11"/>
      <c r="OR115" s="11"/>
      <c r="OS115" s="11"/>
      <c r="OT115" s="11">
        <v>21600</v>
      </c>
      <c r="OU115" s="11"/>
      <c r="OV115" s="11"/>
      <c r="OW115" s="11"/>
      <c r="OX115" s="11">
        <v>184100</v>
      </c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>
        <v>3416375</v>
      </c>
      <c r="PV115" s="11"/>
      <c r="PW115" s="11"/>
      <c r="PX115" s="11"/>
      <c r="PY115" s="11"/>
      <c r="PZ115" s="11">
        <v>15000</v>
      </c>
      <c r="QA115" s="11">
        <v>65000</v>
      </c>
      <c r="QB115" s="11"/>
      <c r="QC115" s="11"/>
      <c r="QD115" s="11"/>
      <c r="QE115" s="11"/>
      <c r="QF115" s="11"/>
      <c r="QG115" s="11">
        <v>20000</v>
      </c>
      <c r="QH115" s="11"/>
      <c r="QI115" s="11"/>
      <c r="QJ115" s="11">
        <v>50000</v>
      </c>
      <c r="QK115" s="11"/>
      <c r="QL115" s="11"/>
      <c r="QM115" s="11"/>
      <c r="QN115" s="11">
        <v>100000</v>
      </c>
      <c r="QO115" s="11">
        <v>65000</v>
      </c>
      <c r="QP115" s="11">
        <v>15000</v>
      </c>
      <c r="QQ115" s="11"/>
      <c r="QR115" s="11"/>
      <c r="QS115" s="11">
        <v>15000</v>
      </c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>
        <v>1214823.92</v>
      </c>
      <c r="RE115" s="11"/>
      <c r="RF115" s="11"/>
      <c r="RG115" s="11"/>
      <c r="RH115" s="11"/>
      <c r="RI115" s="11">
        <v>20160</v>
      </c>
      <c r="RJ115" s="11"/>
      <c r="RK115" s="11"/>
      <c r="RL115" s="11"/>
      <c r="RM115" s="11"/>
      <c r="RN115" s="11"/>
      <c r="RO115" s="11">
        <v>30250</v>
      </c>
      <c r="RP115" s="11">
        <v>6000</v>
      </c>
      <c r="RQ115" s="11"/>
      <c r="RR115" s="11"/>
      <c r="RS115" s="11"/>
      <c r="RT115" s="11">
        <v>5000</v>
      </c>
      <c r="RU115" s="11"/>
      <c r="RV115" s="11"/>
      <c r="RW115" s="11"/>
      <c r="RX115" s="11">
        <v>32980</v>
      </c>
      <c r="RY115" s="11"/>
      <c r="RZ115" s="11"/>
      <c r="SA115" s="11">
        <v>55370</v>
      </c>
      <c r="SB115" s="11"/>
      <c r="SC115" s="11">
        <v>20000</v>
      </c>
      <c r="SD115" s="11"/>
      <c r="SE115" s="11"/>
      <c r="SF115" s="11"/>
      <c r="SG115" s="11"/>
      <c r="SH115" s="11">
        <v>350000</v>
      </c>
      <c r="SI115" s="11"/>
      <c r="SJ115" s="11">
        <v>0</v>
      </c>
      <c r="SK115" s="11"/>
      <c r="SL115" s="11"/>
      <c r="SM115" s="11"/>
      <c r="SN115" s="11"/>
      <c r="SO115" s="11"/>
      <c r="SP115" s="11">
        <v>6300</v>
      </c>
      <c r="SQ115" s="11">
        <v>0</v>
      </c>
      <c r="SR115" s="11">
        <v>5000</v>
      </c>
      <c r="SS115" s="11"/>
      <c r="ST115" s="11"/>
      <c r="SU115" s="11"/>
      <c r="SV115" s="11"/>
      <c r="SW115" s="11">
        <v>7900</v>
      </c>
      <c r="SX115" s="11"/>
      <c r="SY115" s="11"/>
      <c r="SZ115" s="11">
        <v>1000</v>
      </c>
      <c r="TA115" s="11">
        <v>11240</v>
      </c>
      <c r="TB115" s="11"/>
      <c r="TC115" s="11">
        <v>167056</v>
      </c>
      <c r="TD115" s="11"/>
      <c r="TE115" s="11">
        <v>62120</v>
      </c>
      <c r="TF115" s="11">
        <v>5000</v>
      </c>
      <c r="TG115" s="11"/>
      <c r="TH115" s="11">
        <v>38220</v>
      </c>
      <c r="TI115" s="11">
        <v>30770</v>
      </c>
      <c r="TJ115" s="11">
        <v>90000</v>
      </c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>
        <v>2813685</v>
      </c>
      <c r="UG115" s="11"/>
      <c r="UH115" s="11"/>
      <c r="UI115" s="11">
        <v>3159825</v>
      </c>
      <c r="UJ115" s="11"/>
      <c r="UK115" s="11"/>
      <c r="UL115" s="11"/>
      <c r="UM115" s="11"/>
      <c r="UN115" s="11"/>
      <c r="UO115" s="11"/>
      <c r="UP115" s="11">
        <v>693500</v>
      </c>
      <c r="UQ115" s="11">
        <v>240000</v>
      </c>
      <c r="UR115" s="11"/>
      <c r="US115" s="11"/>
      <c r="UT115" s="11"/>
      <c r="UU115" s="11"/>
      <c r="UV115" s="11"/>
      <c r="UW115" s="11">
        <v>35000</v>
      </c>
      <c r="UX115" s="11"/>
      <c r="UY115" s="11"/>
      <c r="UZ115" s="11"/>
      <c r="VA115" s="11"/>
      <c r="VB115" s="11"/>
      <c r="VC115" s="11"/>
      <c r="VD115" s="11"/>
      <c r="VE115" s="11">
        <v>501000</v>
      </c>
      <c r="VF115" s="11">
        <v>274020</v>
      </c>
      <c r="VG115" s="11"/>
      <c r="VH115" s="11">
        <v>864500</v>
      </c>
      <c r="VI115" s="11"/>
      <c r="VJ115" s="11">
        <v>5000</v>
      </c>
      <c r="VK115" s="11"/>
      <c r="VL115" s="11"/>
      <c r="VM115" s="11"/>
      <c r="VN115" s="11"/>
      <c r="VO115" s="11"/>
      <c r="VP115" s="11">
        <v>6100</v>
      </c>
      <c r="VQ115" s="11"/>
      <c r="VR115" s="11">
        <v>119000</v>
      </c>
      <c r="VS115" s="11"/>
      <c r="VT115" s="11"/>
      <c r="VU115" s="11">
        <v>1800</v>
      </c>
      <c r="VV115" s="11">
        <v>400000</v>
      </c>
      <c r="VW115" s="11">
        <v>650000</v>
      </c>
      <c r="VX115" s="11"/>
      <c r="VY115" s="11">
        <v>84910</v>
      </c>
      <c r="VZ115" s="11"/>
      <c r="WA115" s="11"/>
      <c r="WB115" s="11"/>
      <c r="WC115" s="11"/>
      <c r="WD115" s="11"/>
      <c r="WE115" s="11"/>
      <c r="WF115" s="11"/>
      <c r="WG115" s="11">
        <v>4800</v>
      </c>
      <c r="WH115" s="11">
        <v>15000</v>
      </c>
      <c r="WI115" s="11">
        <v>25000</v>
      </c>
      <c r="WJ115" s="11"/>
      <c r="WK115" s="11"/>
      <c r="WL115" s="11"/>
      <c r="WM115" s="11"/>
      <c r="WN115" s="11"/>
      <c r="WO115" s="11">
        <v>5000</v>
      </c>
      <c r="WP115" s="11"/>
      <c r="WQ115" s="11">
        <v>321427</v>
      </c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>
        <v>63000</v>
      </c>
      <c r="XC115" s="11">
        <v>5000</v>
      </c>
      <c r="XD115" s="11">
        <v>0</v>
      </c>
      <c r="XE115" s="11">
        <v>46440</v>
      </c>
      <c r="XF115" s="11">
        <v>8400</v>
      </c>
      <c r="XG115" s="11"/>
      <c r="XH115" s="11"/>
      <c r="XI115" s="11"/>
      <c r="XJ115" s="11">
        <v>86670</v>
      </c>
      <c r="XK115" s="11"/>
      <c r="XL115" s="11">
        <v>40000</v>
      </c>
      <c r="XM115" s="11">
        <v>149860</v>
      </c>
      <c r="XN115" s="11">
        <v>228526.5</v>
      </c>
      <c r="XO115" s="11"/>
      <c r="XP115" s="11"/>
      <c r="XQ115" s="11"/>
      <c r="XR115" s="11">
        <v>99150</v>
      </c>
      <c r="XS115" s="11"/>
      <c r="XT115" s="11"/>
      <c r="XU115" s="11">
        <v>4700</v>
      </c>
      <c r="XV115" s="11">
        <v>36580</v>
      </c>
      <c r="XW115" s="11">
        <v>76485</v>
      </c>
      <c r="XX115" s="11">
        <v>26340</v>
      </c>
      <c r="XY115" s="11"/>
      <c r="XZ115" s="11"/>
      <c r="YA115" s="11"/>
      <c r="YB115" s="11">
        <v>0</v>
      </c>
      <c r="YC115" s="11"/>
      <c r="YD115" s="11"/>
      <c r="YE115" s="11">
        <v>15120</v>
      </c>
      <c r="YF115" s="11"/>
      <c r="YG115" s="11"/>
      <c r="YH115" s="11"/>
      <c r="YI115" s="11"/>
      <c r="YJ115" s="11">
        <v>130000</v>
      </c>
      <c r="YK115" s="11">
        <v>10000</v>
      </c>
      <c r="YL115" s="11">
        <v>443291</v>
      </c>
      <c r="YM115" s="11"/>
      <c r="YN115" s="11"/>
      <c r="YO115" s="11"/>
      <c r="YP115" s="11"/>
      <c r="YQ115" s="11"/>
      <c r="YR115" s="11">
        <v>6000</v>
      </c>
      <c r="YS115" s="11"/>
      <c r="YT115" s="11"/>
      <c r="YU115" s="11">
        <v>14700</v>
      </c>
      <c r="YV115" s="11"/>
      <c r="YW115" s="11"/>
      <c r="YX115" s="11"/>
      <c r="YY115" s="11"/>
      <c r="YZ115" s="11">
        <v>12200</v>
      </c>
      <c r="ZA115" s="11">
        <v>120540</v>
      </c>
      <c r="ZB115" s="11"/>
      <c r="ZC115" s="11">
        <v>5631</v>
      </c>
      <c r="ZD115" s="11">
        <v>600000</v>
      </c>
      <c r="ZE115" s="11"/>
      <c r="ZF115" s="11"/>
      <c r="ZG115" s="11"/>
      <c r="ZH115" s="11">
        <v>0</v>
      </c>
      <c r="ZI115" s="11">
        <v>54260</v>
      </c>
      <c r="ZJ115" s="11"/>
      <c r="ZK115" s="11"/>
      <c r="ZL115" s="11"/>
      <c r="ZM115" s="11"/>
      <c r="ZN115" s="11"/>
      <c r="ZO115" s="11"/>
      <c r="ZP115" s="11">
        <v>350000</v>
      </c>
      <c r="ZQ115" s="11"/>
      <c r="ZR115" s="11">
        <v>0</v>
      </c>
      <c r="ZS115" s="11"/>
      <c r="ZT115" s="11">
        <v>0</v>
      </c>
      <c r="ZU115" s="11"/>
      <c r="ZV115" s="11"/>
      <c r="ZW115" s="11"/>
      <c r="ZX115" s="11"/>
      <c r="ZY115" s="11"/>
      <c r="ZZ115" s="11">
        <v>25540</v>
      </c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>
        <v>63480</v>
      </c>
      <c r="AAK115" s="11"/>
      <c r="AAL115" s="11">
        <v>243300</v>
      </c>
      <c r="AAM115" s="11"/>
      <c r="AAN115" s="11">
        <v>368800</v>
      </c>
      <c r="AAO115" s="11"/>
      <c r="AAP115" s="11"/>
      <c r="AAQ115" s="11"/>
      <c r="AAR115" s="11">
        <v>40000</v>
      </c>
      <c r="AAS115" s="11">
        <v>1824329</v>
      </c>
      <c r="AAT115" s="11"/>
      <c r="AAU115" s="11"/>
      <c r="AAV115" s="11">
        <v>237690</v>
      </c>
      <c r="AAW115" s="11">
        <v>230000</v>
      </c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>
        <v>66000</v>
      </c>
      <c r="ABR115" s="11"/>
      <c r="ABS115" s="11">
        <v>119160</v>
      </c>
      <c r="ABT115" s="11"/>
      <c r="ABU115" s="11"/>
      <c r="ABV115" s="11"/>
      <c r="ABW115" s="11">
        <v>15300</v>
      </c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>
        <v>33000</v>
      </c>
      <c r="ACJ115" s="11"/>
      <c r="ACK115" s="11">
        <v>85000</v>
      </c>
      <c r="ACL115" s="11"/>
      <c r="ACM115" s="11"/>
      <c r="ACN115" s="11"/>
      <c r="ACO115" s="11"/>
      <c r="ACP115" s="11"/>
      <c r="ACQ115" s="11">
        <v>400000</v>
      </c>
      <c r="ACR115" s="11"/>
      <c r="ACS115" s="11"/>
      <c r="ACT115" s="11"/>
      <c r="ACU115" s="11"/>
      <c r="ACV115" s="11"/>
      <c r="ACW115" s="11"/>
      <c r="ACX115" s="11">
        <v>10000</v>
      </c>
      <c r="ACY115" s="11"/>
      <c r="ACZ115" s="11">
        <v>970000</v>
      </c>
      <c r="ADA115" s="11"/>
      <c r="ADB115" s="11"/>
      <c r="ADC115" s="11"/>
      <c r="ADD115" s="11"/>
      <c r="ADE115" s="11">
        <v>30720</v>
      </c>
      <c r="ADF115" s="11">
        <v>30000</v>
      </c>
      <c r="ADG115" s="11"/>
      <c r="ADH115" s="11">
        <v>330000</v>
      </c>
      <c r="ADI115" s="11"/>
      <c r="ADJ115" s="11"/>
      <c r="ADK115" s="11"/>
      <c r="ADL115" s="11"/>
      <c r="ADM115" s="11">
        <v>1250</v>
      </c>
      <c r="ADN115" s="11"/>
      <c r="ADO115" s="11"/>
      <c r="ADP115" s="11"/>
      <c r="ADQ115" s="11"/>
      <c r="ADR115" s="11">
        <v>4746812.75</v>
      </c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>
        <v>12000</v>
      </c>
      <c r="AEC115" s="11">
        <v>5000</v>
      </c>
      <c r="AED115" s="11">
        <v>10000</v>
      </c>
      <c r="AEE115" s="11"/>
      <c r="AEF115" s="11"/>
      <c r="AEG115" s="11"/>
      <c r="AEH115" s="11"/>
      <c r="AEI115" s="11">
        <v>16000</v>
      </c>
      <c r="AEJ115" s="11"/>
      <c r="AEK115" s="11">
        <v>95000</v>
      </c>
      <c r="AEL115" s="11"/>
      <c r="AEM115" s="11"/>
      <c r="AEN115" s="11">
        <v>5000</v>
      </c>
      <c r="AEO115" s="11"/>
      <c r="AEP115" s="11">
        <v>5000</v>
      </c>
      <c r="AEQ115" s="11">
        <v>40000</v>
      </c>
      <c r="AER115" s="11"/>
      <c r="AES115" s="11">
        <v>290000</v>
      </c>
      <c r="AET115" s="11">
        <v>357734</v>
      </c>
      <c r="AEU115" s="11"/>
      <c r="AEV115" s="11">
        <v>42960</v>
      </c>
      <c r="AEW115" s="11"/>
      <c r="AEX115" s="11"/>
      <c r="AEY115" s="11">
        <v>55000</v>
      </c>
      <c r="AEZ115" s="11"/>
      <c r="AFA115" s="11">
        <v>79470</v>
      </c>
      <c r="AFB115" s="11"/>
      <c r="AFC115" s="11">
        <v>387000</v>
      </c>
      <c r="AFD115" s="11">
        <v>1881000</v>
      </c>
      <c r="AFE115" s="11"/>
      <c r="AFF115" s="11">
        <v>500000</v>
      </c>
      <c r="AFG115" s="11">
        <v>403000</v>
      </c>
      <c r="AFH115" s="11">
        <v>687000</v>
      </c>
      <c r="AFI115" s="11">
        <v>307000</v>
      </c>
      <c r="AFJ115" s="11">
        <v>494000</v>
      </c>
      <c r="AFK115" s="11">
        <v>206000</v>
      </c>
      <c r="AFL115" s="11">
        <v>836000</v>
      </c>
      <c r="AFM115" s="11">
        <v>0</v>
      </c>
      <c r="AFN115" s="11">
        <v>407177</v>
      </c>
      <c r="AFO115" s="11">
        <v>440000</v>
      </c>
      <c r="AFP115" s="11">
        <v>196000</v>
      </c>
      <c r="AFQ115" s="11">
        <v>6515620</v>
      </c>
      <c r="AFR115" s="11">
        <v>359000</v>
      </c>
      <c r="AFS115" s="11">
        <v>478000</v>
      </c>
      <c r="AFT115" s="11">
        <v>250000</v>
      </c>
      <c r="AFU115" s="11">
        <v>267500</v>
      </c>
      <c r="AFV115" s="11">
        <v>541000</v>
      </c>
      <c r="AFW115" s="11">
        <v>284000</v>
      </c>
      <c r="AFX115" s="11">
        <v>302000</v>
      </c>
      <c r="AFY115" s="11">
        <v>293000</v>
      </c>
      <c r="AFZ115" s="11">
        <v>325500</v>
      </c>
      <c r="AGA115" s="11">
        <v>478000</v>
      </c>
      <c r="AGB115" s="11">
        <v>436879.95</v>
      </c>
      <c r="AGC115" s="11">
        <v>25000</v>
      </c>
      <c r="AGD115" s="11">
        <v>5000</v>
      </c>
      <c r="AGE115" s="11"/>
      <c r="AGF115" s="11">
        <v>10000</v>
      </c>
      <c r="AGG115" s="11">
        <v>0</v>
      </c>
      <c r="AGH115" s="11">
        <v>162840</v>
      </c>
      <c r="AGI115" s="11"/>
      <c r="AGJ115" s="11"/>
      <c r="AGK115" s="11">
        <v>29190</v>
      </c>
      <c r="AGL115" s="11">
        <v>8760</v>
      </c>
      <c r="AGM115" s="11"/>
      <c r="AGN115" s="11">
        <v>17768416.629999999</v>
      </c>
      <c r="AGO115" s="11"/>
      <c r="AGP115" s="11"/>
      <c r="AGQ115" s="11"/>
      <c r="AGR115" s="11"/>
      <c r="AGS115" s="11">
        <v>1530000</v>
      </c>
      <c r="AGT115" s="11"/>
      <c r="AGU115" s="11"/>
      <c r="AGV115" s="11">
        <v>1800</v>
      </c>
      <c r="AGW115" s="11"/>
      <c r="AGX115" s="11"/>
      <c r="AGY115" s="11">
        <v>451000</v>
      </c>
      <c r="AGZ115" s="11">
        <v>676000</v>
      </c>
      <c r="AHA115" s="11">
        <v>709410</v>
      </c>
      <c r="AHB115" s="11">
        <v>260000</v>
      </c>
      <c r="AHC115" s="11"/>
      <c r="AHD115" s="11"/>
      <c r="AHE115" s="11"/>
      <c r="AHF115" s="11"/>
      <c r="AHG115" s="11"/>
      <c r="AHH115" s="11">
        <v>22400</v>
      </c>
      <c r="AHI115" s="11"/>
      <c r="AHJ115" s="11"/>
      <c r="AHK115" s="11"/>
      <c r="AHL115" s="11"/>
      <c r="AHM115" s="11"/>
      <c r="AHN115" s="11"/>
      <c r="AHO115" s="11">
        <v>23400</v>
      </c>
      <c r="AHP115" s="11">
        <v>61932</v>
      </c>
      <c r="AHQ115" s="11"/>
      <c r="AHR115" s="11">
        <v>110486</v>
      </c>
      <c r="AHS115" s="11">
        <v>15120</v>
      </c>
      <c r="AHT115" s="11">
        <v>113716122.98</v>
      </c>
      <c r="AHV115" s="269" t="s">
        <v>6278</v>
      </c>
      <c r="AHW115" s="269" t="s">
        <v>6171</v>
      </c>
      <c r="AHX115" s="269" t="s">
        <v>6172</v>
      </c>
    </row>
    <row r="116" spans="1:908" x14ac:dyDescent="0.7">
      <c r="A116" s="6" t="s">
        <v>6278</v>
      </c>
      <c r="B116" s="6" t="s">
        <v>6503</v>
      </c>
      <c r="C116" s="6" t="s">
        <v>6032</v>
      </c>
      <c r="D116" s="11">
        <v>54354.31</v>
      </c>
      <c r="E116" s="11">
        <v>370778.21</v>
      </c>
      <c r="F116" s="11">
        <v>500878.72</v>
      </c>
      <c r="G116" s="11">
        <v>219930.16</v>
      </c>
      <c r="H116" s="11">
        <v>1505000</v>
      </c>
      <c r="I116" s="11">
        <v>361075.28</v>
      </c>
      <c r="J116" s="11">
        <v>29284</v>
      </c>
      <c r="K116" s="11">
        <v>428626.83</v>
      </c>
      <c r="L116" s="11">
        <v>28230.78</v>
      </c>
      <c r="M116" s="11">
        <v>247230.84</v>
      </c>
      <c r="N116" s="11">
        <v>21802.75</v>
      </c>
      <c r="O116" s="11">
        <v>224876.9</v>
      </c>
      <c r="P116" s="11">
        <v>186098.12</v>
      </c>
      <c r="Q116" s="11">
        <v>253612.28</v>
      </c>
      <c r="R116" s="11">
        <v>192764.03</v>
      </c>
      <c r="S116" s="11">
        <v>527562.16</v>
      </c>
      <c r="T116" s="11">
        <v>39688</v>
      </c>
      <c r="U116" s="11">
        <v>151152.84</v>
      </c>
      <c r="V116" s="11">
        <v>5328357.96</v>
      </c>
      <c r="W116" s="11">
        <v>1226587.68</v>
      </c>
      <c r="X116" s="11"/>
      <c r="Y116" s="11">
        <v>443154.38</v>
      </c>
      <c r="Z116" s="11">
        <v>195527.19</v>
      </c>
      <c r="AA116" s="11">
        <v>304429.53999999998</v>
      </c>
      <c r="AB116" s="11">
        <v>460035.13</v>
      </c>
      <c r="AC116" s="11">
        <v>1705414.88</v>
      </c>
      <c r="AD116" s="11">
        <v>401560.09</v>
      </c>
      <c r="AE116" s="11"/>
      <c r="AF116" s="11">
        <v>1657856.34</v>
      </c>
      <c r="AG116" s="11">
        <v>5208.5600000000004</v>
      </c>
      <c r="AH116" s="11">
        <v>1217133.1299999999</v>
      </c>
      <c r="AI116" s="11">
        <v>415321.48</v>
      </c>
      <c r="AJ116" s="11">
        <v>273323.07</v>
      </c>
      <c r="AK116" s="11">
        <v>17025.88</v>
      </c>
      <c r="AL116" s="11">
        <v>13435.3</v>
      </c>
      <c r="AM116" s="11">
        <v>305914.87</v>
      </c>
      <c r="AN116" s="11">
        <v>116026.15</v>
      </c>
      <c r="AO116" s="11">
        <v>239148.69</v>
      </c>
      <c r="AP116" s="11">
        <v>499946.89</v>
      </c>
      <c r="AQ116" s="11">
        <v>139882.95000000001</v>
      </c>
      <c r="AR116" s="11">
        <v>209830.06</v>
      </c>
      <c r="AS116" s="11">
        <v>770153.65</v>
      </c>
      <c r="AT116" s="11">
        <v>7684.86</v>
      </c>
      <c r="AU116" s="11">
        <v>121222.09</v>
      </c>
      <c r="AV116" s="11">
        <v>195310.92</v>
      </c>
      <c r="AW116" s="11">
        <v>29697.8</v>
      </c>
      <c r="AX116" s="11">
        <v>286959.27</v>
      </c>
      <c r="AY116" s="11">
        <v>319.93</v>
      </c>
      <c r="AZ116" s="11">
        <v>316643.07</v>
      </c>
      <c r="BA116" s="11">
        <v>302316.18</v>
      </c>
      <c r="BB116" s="11"/>
      <c r="BC116" s="11"/>
      <c r="BD116" s="11">
        <v>8638.06</v>
      </c>
      <c r="BE116" s="11">
        <v>113179.25</v>
      </c>
      <c r="BF116" s="11">
        <v>558611.14</v>
      </c>
      <c r="BG116" s="11">
        <v>106973.52</v>
      </c>
      <c r="BH116" s="11">
        <v>6561.13</v>
      </c>
      <c r="BI116" s="11">
        <v>53348.7</v>
      </c>
      <c r="BJ116" s="11"/>
      <c r="BK116" s="11">
        <v>207265.35</v>
      </c>
      <c r="BL116" s="11">
        <v>7811.9</v>
      </c>
      <c r="BM116" s="11">
        <v>337762.93</v>
      </c>
      <c r="BN116" s="11">
        <v>235698.09</v>
      </c>
      <c r="BO116" s="11">
        <v>0</v>
      </c>
      <c r="BP116" s="11">
        <v>631.29999999999995</v>
      </c>
      <c r="BQ116" s="11">
        <v>6041.47</v>
      </c>
      <c r="BR116" s="11"/>
      <c r="BS116" s="11"/>
      <c r="BT116" s="11">
        <v>595401.14</v>
      </c>
      <c r="BU116" s="11">
        <v>340902.29</v>
      </c>
      <c r="BV116" s="11">
        <v>15135.49</v>
      </c>
      <c r="BW116" s="11">
        <v>27874.98</v>
      </c>
      <c r="BX116" s="11">
        <v>370197.02</v>
      </c>
      <c r="BY116" s="11">
        <v>312876.49</v>
      </c>
      <c r="BZ116" s="11">
        <v>18477.740000000002</v>
      </c>
      <c r="CA116" s="11">
        <v>102304.99</v>
      </c>
      <c r="CB116" s="11">
        <v>317067.68</v>
      </c>
      <c r="CC116" s="11">
        <v>219627.06</v>
      </c>
      <c r="CD116" s="11">
        <v>2964.28</v>
      </c>
      <c r="CE116" s="11">
        <v>164169.46</v>
      </c>
      <c r="CF116" s="11">
        <v>268263.82</v>
      </c>
      <c r="CG116" s="11">
        <v>19951025.57</v>
      </c>
      <c r="CH116" s="11">
        <v>300029.81</v>
      </c>
      <c r="CI116" s="11">
        <v>1120164.08</v>
      </c>
      <c r="CJ116" s="11">
        <v>196405.76000000001</v>
      </c>
      <c r="CK116" s="11">
        <v>253307.23</v>
      </c>
      <c r="CL116" s="11">
        <v>586858.01</v>
      </c>
      <c r="CM116" s="11">
        <v>191196.45</v>
      </c>
      <c r="CN116" s="11">
        <v>527175.77</v>
      </c>
      <c r="CO116" s="11">
        <v>148719.16</v>
      </c>
      <c r="CP116" s="11">
        <v>220833.93</v>
      </c>
      <c r="CQ116" s="11">
        <v>201632.91</v>
      </c>
      <c r="CR116" s="11">
        <v>259835.51999999999</v>
      </c>
      <c r="CS116" s="11">
        <v>196857.8</v>
      </c>
      <c r="CT116" s="11">
        <v>2172013.91</v>
      </c>
      <c r="CU116" s="11">
        <v>190470.07</v>
      </c>
      <c r="CV116" s="11">
        <v>184490.02</v>
      </c>
      <c r="CW116" s="11">
        <v>54022.68</v>
      </c>
      <c r="CX116" s="11">
        <v>114254.04</v>
      </c>
      <c r="CY116" s="11">
        <v>32723.81</v>
      </c>
      <c r="CZ116" s="11">
        <v>189683.67</v>
      </c>
      <c r="DA116" s="11">
        <v>190131.32</v>
      </c>
      <c r="DB116" s="11">
        <v>1588721.06</v>
      </c>
      <c r="DC116" s="11">
        <v>3525056.04</v>
      </c>
      <c r="DD116" s="11">
        <v>13159.25</v>
      </c>
      <c r="DE116" s="11">
        <v>10989.89</v>
      </c>
      <c r="DF116" s="11">
        <v>2308.3200000000002</v>
      </c>
      <c r="DG116" s="11">
        <v>275335.90000000002</v>
      </c>
      <c r="DH116" s="11">
        <v>401610.65</v>
      </c>
      <c r="DI116" s="11">
        <v>13082.78</v>
      </c>
      <c r="DJ116" s="11">
        <v>0</v>
      </c>
      <c r="DK116" s="11">
        <v>7410922.5499999998</v>
      </c>
      <c r="DL116" s="11">
        <v>9584</v>
      </c>
      <c r="DM116" s="11">
        <v>434702.9</v>
      </c>
      <c r="DN116" s="11">
        <v>378328.55</v>
      </c>
      <c r="DO116" s="11">
        <v>424909.87</v>
      </c>
      <c r="DP116" s="11">
        <v>394387.8</v>
      </c>
      <c r="DQ116" s="11">
        <v>535728.82999999996</v>
      </c>
      <c r="DR116" s="11">
        <v>340951.15</v>
      </c>
      <c r="DS116" s="11">
        <v>669570.66</v>
      </c>
      <c r="DT116" s="11">
        <v>115017.58</v>
      </c>
      <c r="DU116" s="11"/>
      <c r="DV116" s="11">
        <v>856612.49</v>
      </c>
      <c r="DW116" s="11">
        <v>1660729.66</v>
      </c>
      <c r="DX116" s="11">
        <v>13348.27</v>
      </c>
      <c r="DY116" s="11">
        <v>1191456.32</v>
      </c>
      <c r="DZ116" s="11">
        <v>25675.71</v>
      </c>
      <c r="EA116" s="11">
        <v>0</v>
      </c>
      <c r="EB116" s="11">
        <v>287093.40000000002</v>
      </c>
      <c r="EC116" s="11">
        <v>17120</v>
      </c>
      <c r="ED116" s="11">
        <v>375606.98</v>
      </c>
      <c r="EE116" s="11">
        <v>1271654.1000000001</v>
      </c>
      <c r="EF116" s="11">
        <v>1454624.93</v>
      </c>
      <c r="EG116" s="11">
        <v>0</v>
      </c>
      <c r="EH116" s="11">
        <v>1284.01</v>
      </c>
      <c r="EI116" s="11">
        <v>31470.91</v>
      </c>
      <c r="EJ116" s="11">
        <v>7458.97</v>
      </c>
      <c r="EK116" s="11">
        <v>464058.24</v>
      </c>
      <c r="EL116" s="11">
        <v>185100.65</v>
      </c>
      <c r="EM116" s="11">
        <v>370589.22</v>
      </c>
      <c r="EN116" s="11"/>
      <c r="EO116" s="11">
        <v>912747.39</v>
      </c>
      <c r="EP116" s="11">
        <v>1226356.29</v>
      </c>
      <c r="EQ116" s="11">
        <v>816795.28</v>
      </c>
      <c r="ER116" s="11">
        <v>1050750.58</v>
      </c>
      <c r="ES116" s="11">
        <v>291194.68</v>
      </c>
      <c r="ET116" s="11">
        <v>1471276.27</v>
      </c>
      <c r="EU116" s="11">
        <v>742079.3</v>
      </c>
      <c r="EV116" s="11">
        <v>864459.79</v>
      </c>
      <c r="EW116" s="11"/>
      <c r="EX116" s="11">
        <v>136376.44</v>
      </c>
      <c r="EY116" s="11">
        <v>572918.02</v>
      </c>
      <c r="EZ116" s="11">
        <v>344908.31</v>
      </c>
      <c r="FA116" s="11">
        <v>86223.99</v>
      </c>
      <c r="FB116" s="11">
        <v>840166.69</v>
      </c>
      <c r="FC116" s="11">
        <v>320119.40000000002</v>
      </c>
      <c r="FD116" s="11">
        <v>0</v>
      </c>
      <c r="FE116" s="11">
        <v>303867.40000000002</v>
      </c>
      <c r="FF116" s="11">
        <v>0</v>
      </c>
      <c r="FG116" s="11">
        <v>395652.8</v>
      </c>
      <c r="FH116" s="11">
        <v>188163.33</v>
      </c>
      <c r="FI116" s="11"/>
      <c r="FJ116" s="11">
        <v>2247</v>
      </c>
      <c r="FK116" s="11">
        <v>241328.5</v>
      </c>
      <c r="FL116" s="11"/>
      <c r="FM116" s="11"/>
      <c r="FN116" s="11">
        <v>5079.3100000000004</v>
      </c>
      <c r="FO116" s="11">
        <v>0</v>
      </c>
      <c r="FP116" s="11">
        <v>0</v>
      </c>
      <c r="FQ116" s="11">
        <v>128613.73</v>
      </c>
      <c r="FR116" s="11">
        <v>214109.91</v>
      </c>
      <c r="FS116" s="11">
        <v>853770.25</v>
      </c>
      <c r="FT116" s="11">
        <v>346615.22</v>
      </c>
      <c r="FU116" s="11">
        <v>1129192.1200000001</v>
      </c>
      <c r="FV116" s="11">
        <v>268339.11</v>
      </c>
      <c r="FW116" s="11">
        <v>1562157.52</v>
      </c>
      <c r="FX116" s="11"/>
      <c r="FY116" s="11">
        <v>399186.97</v>
      </c>
      <c r="FZ116" s="11">
        <v>241506.28</v>
      </c>
      <c r="GA116" s="11">
        <v>623684.88</v>
      </c>
      <c r="GB116" s="11">
        <v>542781.48</v>
      </c>
      <c r="GC116" s="11"/>
      <c r="GD116" s="11">
        <v>211490.38</v>
      </c>
      <c r="GE116" s="11">
        <v>87471.26</v>
      </c>
      <c r="GF116" s="11">
        <v>239606.3</v>
      </c>
      <c r="GG116" s="11"/>
      <c r="GH116" s="11"/>
      <c r="GI116" s="11">
        <v>300797.12</v>
      </c>
      <c r="GJ116" s="11"/>
      <c r="GK116" s="11">
        <v>6625.66</v>
      </c>
      <c r="GL116" s="11">
        <v>525423.80000000005</v>
      </c>
      <c r="GM116" s="11">
        <v>193887.3</v>
      </c>
      <c r="GN116" s="11">
        <v>106722.68</v>
      </c>
      <c r="GO116" s="11">
        <v>93978.8</v>
      </c>
      <c r="GP116" s="11">
        <v>5778</v>
      </c>
      <c r="GQ116" s="11"/>
      <c r="GR116" s="11">
        <v>375000</v>
      </c>
      <c r="GS116" s="11">
        <v>231700</v>
      </c>
      <c r="GT116" s="11">
        <v>628871.28</v>
      </c>
      <c r="GU116" s="11">
        <v>105374.94</v>
      </c>
      <c r="GV116" s="11">
        <v>491236.16</v>
      </c>
      <c r="GW116" s="11">
        <v>1016084.72</v>
      </c>
      <c r="GX116" s="11">
        <v>268984.21999999997</v>
      </c>
      <c r="GY116" s="11">
        <v>1722933.15</v>
      </c>
      <c r="GZ116" s="11"/>
      <c r="HA116" s="11">
        <v>407405.28</v>
      </c>
      <c r="HB116" s="11">
        <v>277578.01</v>
      </c>
      <c r="HC116" s="11">
        <v>173946.18</v>
      </c>
      <c r="HD116" s="11">
        <v>690968.5</v>
      </c>
      <c r="HE116" s="11">
        <v>1000000</v>
      </c>
      <c r="HF116" s="11">
        <v>64298.69</v>
      </c>
      <c r="HG116" s="11">
        <v>632553.07999999996</v>
      </c>
      <c r="HH116" s="11">
        <v>433011.97</v>
      </c>
      <c r="HI116" s="11">
        <v>200883.47</v>
      </c>
      <c r="HJ116" s="11">
        <v>226957.36</v>
      </c>
      <c r="HK116" s="11"/>
      <c r="HL116" s="11">
        <v>38520</v>
      </c>
      <c r="HM116" s="11">
        <v>916920.54</v>
      </c>
      <c r="HN116" s="11">
        <v>280000</v>
      </c>
      <c r="HO116" s="11">
        <v>439426.32</v>
      </c>
      <c r="HP116" s="11">
        <v>209619.52</v>
      </c>
      <c r="HQ116" s="11">
        <v>4295.91</v>
      </c>
      <c r="HR116" s="11">
        <v>242573.99</v>
      </c>
      <c r="HS116" s="11">
        <v>3008130.84</v>
      </c>
      <c r="HT116" s="11">
        <v>102440.45</v>
      </c>
      <c r="HU116" s="11">
        <v>9784</v>
      </c>
      <c r="HV116" s="11">
        <v>2889</v>
      </c>
      <c r="HW116" s="11">
        <v>11461.31</v>
      </c>
      <c r="HX116" s="11">
        <v>167612.93</v>
      </c>
      <c r="HY116" s="11">
        <v>835964.3</v>
      </c>
      <c r="HZ116" s="11">
        <v>6362.99</v>
      </c>
      <c r="IA116" s="11">
        <v>241748.1</v>
      </c>
      <c r="IB116" s="11">
        <v>213385.21</v>
      </c>
      <c r="IC116" s="11">
        <v>224123.05</v>
      </c>
      <c r="ID116" s="11">
        <v>467246.12</v>
      </c>
      <c r="IE116" s="11">
        <v>235018.4</v>
      </c>
      <c r="IF116" s="11">
        <v>301510.11</v>
      </c>
      <c r="IG116" s="11">
        <v>204449.91</v>
      </c>
      <c r="IH116" s="11">
        <v>172391.3</v>
      </c>
      <c r="II116" s="11"/>
      <c r="IJ116" s="11">
        <v>950000</v>
      </c>
      <c r="IK116" s="11">
        <v>2699.99</v>
      </c>
      <c r="IL116" s="11">
        <v>10258.86</v>
      </c>
      <c r="IM116" s="11">
        <v>852857.21</v>
      </c>
      <c r="IN116" s="11">
        <v>357217.03</v>
      </c>
      <c r="IO116" s="11">
        <v>9376.52</v>
      </c>
      <c r="IP116" s="11">
        <v>57207.49</v>
      </c>
      <c r="IQ116" s="11">
        <v>188427.37</v>
      </c>
      <c r="IR116" s="11">
        <v>546462.79</v>
      </c>
      <c r="IS116" s="11">
        <v>0</v>
      </c>
      <c r="IT116" s="11">
        <v>4124163.51</v>
      </c>
      <c r="IU116" s="11">
        <v>0</v>
      </c>
      <c r="IV116" s="11">
        <v>-101.65</v>
      </c>
      <c r="IW116" s="11">
        <v>1214.45</v>
      </c>
      <c r="IX116" s="11">
        <v>485299.19</v>
      </c>
      <c r="IY116" s="11"/>
      <c r="IZ116" s="11">
        <v>450610.97</v>
      </c>
      <c r="JA116" s="11">
        <v>117888.92</v>
      </c>
      <c r="JB116" s="11">
        <v>148473.41</v>
      </c>
      <c r="JC116" s="11">
        <v>321881.40000000002</v>
      </c>
      <c r="JD116" s="11">
        <v>333308.08</v>
      </c>
      <c r="JE116" s="11">
        <v>191896.04</v>
      </c>
      <c r="JF116" s="11">
        <v>82058.84</v>
      </c>
      <c r="JG116" s="11">
        <v>787101.75</v>
      </c>
      <c r="JH116" s="11">
        <v>480954.17</v>
      </c>
      <c r="JI116" s="11">
        <v>20073.2</v>
      </c>
      <c r="JJ116" s="11">
        <v>8907.83</v>
      </c>
      <c r="JK116" s="11">
        <v>135585.17000000001</v>
      </c>
      <c r="JL116" s="11">
        <v>90622.58</v>
      </c>
      <c r="JM116" s="11">
        <v>389080.34</v>
      </c>
      <c r="JN116" s="11">
        <v>183820.51</v>
      </c>
      <c r="JO116" s="11">
        <v>1410534.53</v>
      </c>
      <c r="JP116" s="11">
        <v>237322.37</v>
      </c>
      <c r="JQ116" s="11">
        <v>1583267.19</v>
      </c>
      <c r="JR116" s="11">
        <v>393683.99</v>
      </c>
      <c r="JS116" s="11">
        <v>3147395.94</v>
      </c>
      <c r="JT116" s="11"/>
      <c r="JU116" s="11">
        <v>230668</v>
      </c>
      <c r="JV116" s="11">
        <v>244858.3</v>
      </c>
      <c r="JW116" s="11">
        <v>295851.61</v>
      </c>
      <c r="JX116" s="11">
        <v>100321.19</v>
      </c>
      <c r="JY116" s="11">
        <v>819100.37</v>
      </c>
      <c r="JZ116" s="11">
        <v>1083033.5</v>
      </c>
      <c r="KA116" s="11">
        <v>490804.38</v>
      </c>
      <c r="KB116" s="11">
        <v>298512.27</v>
      </c>
      <c r="KC116" s="11">
        <v>0</v>
      </c>
      <c r="KD116" s="11">
        <v>295850.88</v>
      </c>
      <c r="KE116" s="11">
        <v>2675</v>
      </c>
      <c r="KF116" s="11">
        <v>84857.34</v>
      </c>
      <c r="KG116" s="11"/>
      <c r="KH116" s="11">
        <v>5445.23</v>
      </c>
      <c r="KI116" s="11"/>
      <c r="KJ116" s="11"/>
      <c r="KK116" s="11">
        <v>89880</v>
      </c>
      <c r="KL116" s="11"/>
      <c r="KM116" s="11"/>
      <c r="KN116" s="11"/>
      <c r="KO116" s="11">
        <v>1271396.43</v>
      </c>
      <c r="KP116" s="11"/>
      <c r="KQ116" s="11"/>
      <c r="KR116" s="11">
        <v>7404021.5099999998</v>
      </c>
      <c r="KS116" s="11">
        <v>290210.49</v>
      </c>
      <c r="KT116" s="11">
        <v>326791.87</v>
      </c>
      <c r="KU116" s="11">
        <v>1058497.1000000001</v>
      </c>
      <c r="KV116" s="11">
        <v>336918.97</v>
      </c>
      <c r="KW116" s="11">
        <v>914667.28</v>
      </c>
      <c r="KX116" s="11"/>
      <c r="KY116" s="11">
        <v>394257.5</v>
      </c>
      <c r="KZ116" s="11">
        <v>2600830.62</v>
      </c>
      <c r="LA116" s="11">
        <v>140360.68</v>
      </c>
      <c r="LB116" s="11">
        <v>196894.95</v>
      </c>
      <c r="LC116" s="11">
        <v>112494.12</v>
      </c>
      <c r="LD116" s="11">
        <v>987481.39</v>
      </c>
      <c r="LE116" s="11">
        <v>223452</v>
      </c>
      <c r="LF116" s="11">
        <v>282241.01</v>
      </c>
      <c r="LG116" s="11">
        <v>658208.03</v>
      </c>
      <c r="LH116" s="11">
        <v>8432107.7300000004</v>
      </c>
      <c r="LI116" s="11">
        <v>-19691.5</v>
      </c>
      <c r="LJ116" s="11"/>
      <c r="LK116" s="11">
        <v>127681.04</v>
      </c>
      <c r="LL116" s="11">
        <v>219524.04</v>
      </c>
      <c r="LM116" s="11">
        <v>177718.77</v>
      </c>
      <c r="LN116" s="11">
        <v>484035.3</v>
      </c>
      <c r="LO116" s="11">
        <v>282425.63</v>
      </c>
      <c r="LP116" s="11">
        <v>13093.39</v>
      </c>
      <c r="LQ116" s="11"/>
      <c r="LR116" s="11">
        <v>12618.02</v>
      </c>
      <c r="LS116" s="11">
        <v>2951505.73</v>
      </c>
      <c r="LT116" s="11">
        <v>480000</v>
      </c>
      <c r="LU116" s="11">
        <v>8999.94</v>
      </c>
      <c r="LV116" s="11">
        <v>618984.37</v>
      </c>
      <c r="LW116" s="11">
        <v>14709.29</v>
      </c>
      <c r="LX116" s="11"/>
      <c r="LY116" s="11">
        <v>1382099.4</v>
      </c>
      <c r="LZ116" s="11">
        <v>628593.93999999994</v>
      </c>
      <c r="MA116" s="11">
        <v>560108.55000000005</v>
      </c>
      <c r="MB116" s="11">
        <v>392959.85</v>
      </c>
      <c r="MC116" s="11">
        <v>382605.6</v>
      </c>
      <c r="MD116" s="11">
        <v>354440.45</v>
      </c>
      <c r="ME116" s="11">
        <v>347587.46</v>
      </c>
      <c r="MF116" s="11">
        <v>812951.98</v>
      </c>
      <c r="MG116" s="11"/>
      <c r="MH116" s="11"/>
      <c r="MI116" s="11">
        <v>282487.78000000003</v>
      </c>
      <c r="MJ116" s="11">
        <v>0</v>
      </c>
      <c r="MK116" s="11">
        <v>188577.23</v>
      </c>
      <c r="ML116" s="11">
        <v>10140.49</v>
      </c>
      <c r="MM116" s="11">
        <v>4569.9399999999996</v>
      </c>
      <c r="MN116" s="11">
        <v>130000</v>
      </c>
      <c r="MO116" s="11">
        <v>195757.47</v>
      </c>
      <c r="MP116" s="11">
        <v>304163.32</v>
      </c>
      <c r="MQ116" s="11">
        <v>224067.4</v>
      </c>
      <c r="MR116" s="11">
        <v>243783.93</v>
      </c>
      <c r="MS116" s="11">
        <v>194514.16</v>
      </c>
      <c r="MT116" s="11">
        <v>5495289.5700000003</v>
      </c>
      <c r="MU116" s="11"/>
      <c r="MV116" s="11"/>
      <c r="MW116" s="11"/>
      <c r="MX116" s="11"/>
      <c r="MY116" s="11"/>
      <c r="MZ116" s="11">
        <v>983263.56</v>
      </c>
      <c r="NA116" s="11"/>
      <c r="NB116" s="11">
        <v>586777.07999999996</v>
      </c>
      <c r="NC116" s="11">
        <v>26244.9</v>
      </c>
      <c r="ND116" s="11"/>
      <c r="NE116" s="11">
        <v>5956988.7699999996</v>
      </c>
      <c r="NF116" s="11">
        <v>61960.86</v>
      </c>
      <c r="NG116" s="11">
        <v>13699.75</v>
      </c>
      <c r="NH116" s="11">
        <v>2100000</v>
      </c>
      <c r="NI116" s="11">
        <v>213283.29</v>
      </c>
      <c r="NJ116" s="11">
        <v>583850.31000000006</v>
      </c>
      <c r="NK116" s="11">
        <v>1875794.12</v>
      </c>
      <c r="NL116" s="11">
        <v>1163363.21</v>
      </c>
      <c r="NM116" s="11">
        <v>128305.97</v>
      </c>
      <c r="NN116" s="11">
        <v>344594.08</v>
      </c>
      <c r="NO116" s="11">
        <v>154365.82</v>
      </c>
      <c r="NP116" s="11">
        <v>18256.77</v>
      </c>
      <c r="NQ116" s="11">
        <v>1726507.59</v>
      </c>
      <c r="NR116" s="11">
        <v>150000</v>
      </c>
      <c r="NS116" s="11">
        <v>165825.1</v>
      </c>
      <c r="NT116" s="11">
        <v>420549.08</v>
      </c>
      <c r="NU116" s="11">
        <v>184018.52</v>
      </c>
      <c r="NV116" s="11"/>
      <c r="NW116" s="11">
        <v>113147.47</v>
      </c>
      <c r="NX116" s="11">
        <v>119352.79</v>
      </c>
      <c r="NY116" s="11">
        <v>1340667.6100000001</v>
      </c>
      <c r="NZ116" s="11">
        <v>22329.9</v>
      </c>
      <c r="OA116" s="11">
        <v>102486.93</v>
      </c>
      <c r="OB116" s="11">
        <v>236771.67</v>
      </c>
      <c r="OC116" s="11">
        <v>416926.11</v>
      </c>
      <c r="OD116" s="11">
        <v>210624.79</v>
      </c>
      <c r="OE116" s="11">
        <v>0</v>
      </c>
      <c r="OF116" s="11"/>
      <c r="OG116" s="11">
        <v>539545.03</v>
      </c>
      <c r="OH116" s="11">
        <v>1116937.5900000001</v>
      </c>
      <c r="OI116" s="11">
        <v>282697.12</v>
      </c>
      <c r="OJ116" s="11">
        <v>324775.15999999997</v>
      </c>
      <c r="OK116" s="11"/>
      <c r="OL116" s="11">
        <v>163091.41</v>
      </c>
      <c r="OM116" s="11">
        <v>130000</v>
      </c>
      <c r="ON116" s="11">
        <v>7304772.2000000002</v>
      </c>
      <c r="OO116" s="11">
        <v>844728.38</v>
      </c>
      <c r="OP116" s="11">
        <v>1239786.1200000001</v>
      </c>
      <c r="OQ116" s="11">
        <v>8399.98</v>
      </c>
      <c r="OR116" s="11">
        <v>429282.38</v>
      </c>
      <c r="OS116" s="11">
        <v>196510.92</v>
      </c>
      <c r="OT116" s="11"/>
      <c r="OU116" s="11">
        <v>204642.04</v>
      </c>
      <c r="OV116" s="11">
        <v>236560.9</v>
      </c>
      <c r="OW116" s="11">
        <v>457550.59</v>
      </c>
      <c r="OX116" s="11">
        <v>916476.86</v>
      </c>
      <c r="OY116" s="11">
        <v>2236791.86</v>
      </c>
      <c r="OZ116" s="11">
        <v>314191.49</v>
      </c>
      <c r="PA116" s="11">
        <v>6540.88</v>
      </c>
      <c r="PB116" s="11">
        <v>1309</v>
      </c>
      <c r="PC116" s="11">
        <v>3476103.95</v>
      </c>
      <c r="PD116" s="11"/>
      <c r="PE116" s="11"/>
      <c r="PF116" s="11">
        <v>114221.61</v>
      </c>
      <c r="PG116" s="11">
        <v>355567.81</v>
      </c>
      <c r="PH116" s="11"/>
      <c r="PI116" s="11">
        <v>236077.94</v>
      </c>
      <c r="PJ116" s="11">
        <v>197414.62</v>
      </c>
      <c r="PK116" s="11">
        <v>259186.01</v>
      </c>
      <c r="PL116" s="11">
        <v>17182.37</v>
      </c>
      <c r="PM116" s="11">
        <v>373201.33</v>
      </c>
      <c r="PN116" s="11">
        <v>478975.42</v>
      </c>
      <c r="PO116" s="11">
        <v>165592.35</v>
      </c>
      <c r="PP116" s="11">
        <v>3410.44</v>
      </c>
      <c r="PQ116" s="11">
        <v>12851.4</v>
      </c>
      <c r="PR116" s="11">
        <v>124697.39</v>
      </c>
      <c r="PS116" s="11">
        <v>3907.47</v>
      </c>
      <c r="PT116" s="11">
        <v>147261.60999999999</v>
      </c>
      <c r="PU116" s="11">
        <v>7480109.6900000004</v>
      </c>
      <c r="PV116" s="11">
        <v>880444.83</v>
      </c>
      <c r="PW116" s="11"/>
      <c r="PX116" s="11">
        <v>336339.27</v>
      </c>
      <c r="PY116" s="11"/>
      <c r="PZ116" s="11">
        <v>449045.3</v>
      </c>
      <c r="QA116" s="11">
        <v>459512.26</v>
      </c>
      <c r="QB116" s="11"/>
      <c r="QC116" s="11">
        <v>679992.88</v>
      </c>
      <c r="QD116" s="11">
        <v>0</v>
      </c>
      <c r="QE116" s="11"/>
      <c r="QF116" s="11">
        <v>25550.21</v>
      </c>
      <c r="QG116" s="11">
        <v>220000</v>
      </c>
      <c r="QH116" s="11"/>
      <c r="QI116" s="11">
        <v>529829.84</v>
      </c>
      <c r="QJ116" s="11">
        <v>299609.69</v>
      </c>
      <c r="QK116" s="11">
        <v>177881.08</v>
      </c>
      <c r="QL116" s="11">
        <v>454681.31</v>
      </c>
      <c r="QM116" s="11">
        <v>292923.84000000003</v>
      </c>
      <c r="QN116" s="11">
        <v>740427.97</v>
      </c>
      <c r="QO116" s="11">
        <v>913936.44</v>
      </c>
      <c r="QP116" s="11">
        <v>40604.04</v>
      </c>
      <c r="QQ116" s="11"/>
      <c r="QR116" s="11">
        <v>92066.92</v>
      </c>
      <c r="QS116" s="11">
        <v>65594.8</v>
      </c>
      <c r="QT116" s="11">
        <v>96852.53</v>
      </c>
      <c r="QU116" s="11">
        <v>422698.66</v>
      </c>
      <c r="QV116" s="11">
        <v>430064.54</v>
      </c>
      <c r="QW116" s="11">
        <v>492700</v>
      </c>
      <c r="QX116" s="11">
        <v>331810.39</v>
      </c>
      <c r="QY116" s="11">
        <v>318891.23</v>
      </c>
      <c r="QZ116" s="11">
        <v>122906.55</v>
      </c>
      <c r="RA116" s="11">
        <v>6337.04</v>
      </c>
      <c r="RB116" s="11">
        <v>506495.8</v>
      </c>
      <c r="RC116" s="11">
        <v>631639.98</v>
      </c>
      <c r="RD116" s="11">
        <v>292781.49</v>
      </c>
      <c r="RE116" s="11">
        <v>686930.3</v>
      </c>
      <c r="RF116" s="11">
        <v>146893.6</v>
      </c>
      <c r="RG116" s="11">
        <v>130845.75999999999</v>
      </c>
      <c r="RH116" s="11">
        <v>62274</v>
      </c>
      <c r="RI116" s="11">
        <v>0</v>
      </c>
      <c r="RJ116" s="11">
        <v>192673.79</v>
      </c>
      <c r="RK116" s="11">
        <v>240652.57</v>
      </c>
      <c r="RL116" s="11">
        <v>426157.59</v>
      </c>
      <c r="RM116" s="11">
        <v>335873.6</v>
      </c>
      <c r="RN116" s="11">
        <v>923693.52</v>
      </c>
      <c r="RO116" s="11">
        <v>258277.68</v>
      </c>
      <c r="RP116" s="11">
        <v>759057.57</v>
      </c>
      <c r="RQ116" s="11">
        <v>1494492.95</v>
      </c>
      <c r="RR116" s="11">
        <v>773129.2</v>
      </c>
      <c r="RS116" s="11">
        <v>177246</v>
      </c>
      <c r="RT116" s="11">
        <v>169566.59</v>
      </c>
      <c r="RU116" s="11">
        <v>234303.62</v>
      </c>
      <c r="RV116" s="11">
        <v>457619.98</v>
      </c>
      <c r="RW116" s="11">
        <v>195001.36</v>
      </c>
      <c r="RX116" s="11">
        <v>196719.34</v>
      </c>
      <c r="RY116" s="11">
        <v>126600.44</v>
      </c>
      <c r="RZ116" s="11">
        <v>0</v>
      </c>
      <c r="SA116" s="11">
        <v>114071.73</v>
      </c>
      <c r="SB116" s="11">
        <v>5796097.1500000004</v>
      </c>
      <c r="SC116" s="11">
        <v>0</v>
      </c>
      <c r="SD116" s="11">
        <v>261626.74</v>
      </c>
      <c r="SE116" s="11">
        <v>163544.07999999999</v>
      </c>
      <c r="SF116" s="11">
        <v>166717.41</v>
      </c>
      <c r="SG116" s="11"/>
      <c r="SH116" s="11">
        <v>26001.69</v>
      </c>
      <c r="SI116" s="11">
        <v>546914.79</v>
      </c>
      <c r="SJ116" s="11">
        <v>208469.64</v>
      </c>
      <c r="SK116" s="11">
        <v>220855.83</v>
      </c>
      <c r="SL116" s="11">
        <v>720187.86</v>
      </c>
      <c r="SM116" s="11">
        <v>92341.13</v>
      </c>
      <c r="SN116" s="11">
        <v>2551705.7799999998</v>
      </c>
      <c r="SO116" s="11">
        <v>293653.43</v>
      </c>
      <c r="SP116" s="11">
        <v>372512.23</v>
      </c>
      <c r="SQ116" s="11">
        <v>458466.85</v>
      </c>
      <c r="SR116" s="11">
        <v>261601.78</v>
      </c>
      <c r="SS116" s="11">
        <v>243473.73</v>
      </c>
      <c r="ST116" s="11">
        <v>232990.26</v>
      </c>
      <c r="SU116" s="11">
        <v>115702.34</v>
      </c>
      <c r="SV116" s="11">
        <v>2346000</v>
      </c>
      <c r="SW116" s="11">
        <v>175559.94</v>
      </c>
      <c r="SX116" s="11">
        <v>354229.99</v>
      </c>
      <c r="SY116" s="11">
        <v>348937.55</v>
      </c>
      <c r="SZ116" s="11">
        <v>104869.67</v>
      </c>
      <c r="TA116" s="11">
        <v>105756.93</v>
      </c>
      <c r="TB116" s="11">
        <v>204800</v>
      </c>
      <c r="TC116" s="11">
        <v>1140107.7</v>
      </c>
      <c r="TD116" s="11">
        <v>343487.09</v>
      </c>
      <c r="TE116" s="11">
        <v>175968.6</v>
      </c>
      <c r="TF116" s="11">
        <v>285613.46000000002</v>
      </c>
      <c r="TG116" s="11">
        <v>213397.24</v>
      </c>
      <c r="TH116" s="11">
        <v>263315.36</v>
      </c>
      <c r="TI116" s="11">
        <v>123378.39</v>
      </c>
      <c r="TJ116" s="11">
        <v>10022827.140000001</v>
      </c>
      <c r="TK116" s="11">
        <v>303123.34000000003</v>
      </c>
      <c r="TL116" s="11">
        <v>201562.04</v>
      </c>
      <c r="TM116" s="11">
        <v>928393.41</v>
      </c>
      <c r="TN116" s="11">
        <v>470870.32</v>
      </c>
      <c r="TO116" s="11">
        <v>322679.89</v>
      </c>
      <c r="TP116" s="11">
        <v>118352.55</v>
      </c>
      <c r="TQ116" s="11">
        <v>1062960.83</v>
      </c>
      <c r="TR116" s="11">
        <v>195223</v>
      </c>
      <c r="TS116" s="11">
        <v>581938.47</v>
      </c>
      <c r="TT116" s="11">
        <v>827241.98</v>
      </c>
      <c r="TU116" s="11">
        <v>203037.86</v>
      </c>
      <c r="TV116" s="11">
        <v>161561.42000000001</v>
      </c>
      <c r="TW116" s="11">
        <v>225420.38</v>
      </c>
      <c r="TX116" s="11">
        <v>204691.71</v>
      </c>
      <c r="TY116" s="11">
        <v>222270.86</v>
      </c>
      <c r="TZ116" s="11"/>
      <c r="UA116" s="11">
        <v>421974.5</v>
      </c>
      <c r="UB116" s="11">
        <v>1776597.84</v>
      </c>
      <c r="UC116" s="11">
        <v>622760.26</v>
      </c>
      <c r="UD116" s="11">
        <v>341526.34</v>
      </c>
      <c r="UE116" s="11">
        <v>255565.36</v>
      </c>
      <c r="UF116" s="11">
        <v>2842745.8</v>
      </c>
      <c r="UG116" s="11">
        <v>141084.45000000001</v>
      </c>
      <c r="UH116" s="11">
        <v>58769.760000000002</v>
      </c>
      <c r="UI116" s="11">
        <v>189318.42</v>
      </c>
      <c r="UJ116" s="11">
        <v>176283.62</v>
      </c>
      <c r="UK116" s="11">
        <v>4214401.9800000004</v>
      </c>
      <c r="UL116" s="11">
        <v>544993.77</v>
      </c>
      <c r="UM116" s="11">
        <v>335586.92</v>
      </c>
      <c r="UN116" s="11">
        <v>778306.37</v>
      </c>
      <c r="UO116" s="11">
        <v>552448.13</v>
      </c>
      <c r="UP116" s="11">
        <v>303859.52</v>
      </c>
      <c r="UQ116" s="11">
        <v>7896516.4100000001</v>
      </c>
      <c r="UR116" s="11">
        <v>371878.14</v>
      </c>
      <c r="US116" s="11">
        <v>316512.02</v>
      </c>
      <c r="UT116" s="11">
        <v>3224170.64</v>
      </c>
      <c r="UU116" s="11">
        <v>226515.63</v>
      </c>
      <c r="UV116" s="11">
        <v>317511.99</v>
      </c>
      <c r="UW116" s="11">
        <v>1589265.37</v>
      </c>
      <c r="UX116" s="11">
        <v>229077.12</v>
      </c>
      <c r="UY116" s="11">
        <v>378421.12</v>
      </c>
      <c r="UZ116" s="11">
        <v>467355.87</v>
      </c>
      <c r="VA116" s="11">
        <v>188290.67</v>
      </c>
      <c r="VB116" s="11">
        <v>1318616.67</v>
      </c>
      <c r="VC116" s="11">
        <v>292802.71999999997</v>
      </c>
      <c r="VD116" s="11">
        <v>755213.3</v>
      </c>
      <c r="VE116" s="11">
        <v>434936.44</v>
      </c>
      <c r="VF116" s="11">
        <v>7090.58</v>
      </c>
      <c r="VG116" s="11">
        <v>340169.71</v>
      </c>
      <c r="VH116" s="11">
        <v>379734.48</v>
      </c>
      <c r="VI116" s="11">
        <v>908723.06</v>
      </c>
      <c r="VJ116" s="11">
        <v>165803.28</v>
      </c>
      <c r="VK116" s="11">
        <v>420857.5</v>
      </c>
      <c r="VL116" s="11"/>
      <c r="VM116" s="11"/>
      <c r="VN116" s="11">
        <v>0</v>
      </c>
      <c r="VO116" s="11">
        <v>294630.63</v>
      </c>
      <c r="VP116" s="11">
        <v>390630.88</v>
      </c>
      <c r="VQ116" s="11">
        <v>521697.04</v>
      </c>
      <c r="VR116" s="11">
        <v>595304.49</v>
      </c>
      <c r="VS116" s="11">
        <v>457592.09</v>
      </c>
      <c r="VT116" s="11">
        <v>262344.02</v>
      </c>
      <c r="VU116" s="11">
        <v>311695.7</v>
      </c>
      <c r="VV116" s="11">
        <v>1498512.04</v>
      </c>
      <c r="VW116" s="11">
        <v>288821.7</v>
      </c>
      <c r="VX116" s="11">
        <v>783492.8</v>
      </c>
      <c r="VY116" s="11">
        <v>560209.39</v>
      </c>
      <c r="VZ116" s="11">
        <v>225362.94</v>
      </c>
      <c r="WA116" s="11">
        <v>471506.74</v>
      </c>
      <c r="WB116" s="11">
        <v>1293571.77</v>
      </c>
      <c r="WC116" s="11">
        <v>29650.31</v>
      </c>
      <c r="WD116" s="11">
        <v>404438.22</v>
      </c>
      <c r="WE116" s="11"/>
      <c r="WF116" s="11">
        <v>203455.37</v>
      </c>
      <c r="WG116" s="11">
        <v>7337.78</v>
      </c>
      <c r="WH116" s="11">
        <v>614875.66</v>
      </c>
      <c r="WI116" s="11">
        <v>817438.65</v>
      </c>
      <c r="WJ116" s="11">
        <v>360199.59</v>
      </c>
      <c r="WK116" s="11">
        <v>575649.12</v>
      </c>
      <c r="WL116" s="11">
        <v>513275.74</v>
      </c>
      <c r="WM116" s="11">
        <v>1603851.69</v>
      </c>
      <c r="WN116" s="11">
        <v>425237.48</v>
      </c>
      <c r="WO116" s="11">
        <v>992486.57</v>
      </c>
      <c r="WP116" s="11">
        <v>1075319.1399999999</v>
      </c>
      <c r="WQ116" s="11">
        <v>281384.27</v>
      </c>
      <c r="WR116" s="11">
        <v>116614.29</v>
      </c>
      <c r="WS116" s="11">
        <v>440667.99</v>
      </c>
      <c r="WT116" s="11">
        <v>5470.15</v>
      </c>
      <c r="WU116" s="11">
        <v>821986.21</v>
      </c>
      <c r="WV116" s="11">
        <v>540738.4</v>
      </c>
      <c r="WW116" s="11">
        <v>312576.64000000001</v>
      </c>
      <c r="WX116" s="11">
        <v>217256.25</v>
      </c>
      <c r="WY116" s="11">
        <v>241042.54</v>
      </c>
      <c r="WZ116" s="11">
        <v>455061.44</v>
      </c>
      <c r="XA116" s="11"/>
      <c r="XB116" s="11">
        <v>3948.3</v>
      </c>
      <c r="XC116" s="11"/>
      <c r="XD116" s="11">
        <v>2433926.91</v>
      </c>
      <c r="XE116" s="11">
        <v>2720.43</v>
      </c>
      <c r="XF116" s="11">
        <v>118595.01</v>
      </c>
      <c r="XG116" s="11">
        <v>150943.45000000001</v>
      </c>
      <c r="XH116" s="11">
        <v>225763.63</v>
      </c>
      <c r="XI116" s="11">
        <v>4599629.54</v>
      </c>
      <c r="XJ116" s="11">
        <v>19007.169999999998</v>
      </c>
      <c r="XK116" s="11">
        <v>434453.32</v>
      </c>
      <c r="XL116" s="11"/>
      <c r="XM116" s="11">
        <v>306745.3</v>
      </c>
      <c r="XN116" s="11">
        <v>589837.87</v>
      </c>
      <c r="XO116" s="11">
        <v>784797.87</v>
      </c>
      <c r="XP116" s="11">
        <v>361379.62</v>
      </c>
      <c r="XQ116" s="11">
        <v>0</v>
      </c>
      <c r="XR116" s="11">
        <v>707278.65</v>
      </c>
      <c r="XS116" s="11">
        <v>591124.56999999995</v>
      </c>
      <c r="XT116" s="11">
        <v>225057.78</v>
      </c>
      <c r="XU116" s="11">
        <v>317736.62</v>
      </c>
      <c r="XV116" s="11">
        <v>262861.34999999998</v>
      </c>
      <c r="XW116" s="11">
        <v>195231.07</v>
      </c>
      <c r="XX116" s="11">
        <v>409472.25</v>
      </c>
      <c r="XY116" s="11">
        <v>134138.99</v>
      </c>
      <c r="XZ116" s="11">
        <v>254324.17</v>
      </c>
      <c r="YA116" s="11">
        <v>159500.96</v>
      </c>
      <c r="YB116" s="11">
        <v>141877.28</v>
      </c>
      <c r="YC116" s="11">
        <v>176481.52</v>
      </c>
      <c r="YD116" s="11"/>
      <c r="YE116" s="11">
        <v>188209.98</v>
      </c>
      <c r="YF116" s="11"/>
      <c r="YG116" s="11">
        <v>525013.37</v>
      </c>
      <c r="YH116" s="11">
        <v>594308.07999999996</v>
      </c>
      <c r="YI116" s="11">
        <v>29759.42</v>
      </c>
      <c r="YJ116" s="11">
        <v>131642.10999999999</v>
      </c>
      <c r="YK116" s="11">
        <v>17780.740000000002</v>
      </c>
      <c r="YL116" s="11">
        <v>9096.66</v>
      </c>
      <c r="YM116" s="11">
        <v>273233.31</v>
      </c>
      <c r="YN116" s="11">
        <v>169489.71</v>
      </c>
      <c r="YO116" s="11">
        <v>70834</v>
      </c>
      <c r="YP116" s="11">
        <v>448869.67</v>
      </c>
      <c r="YQ116" s="11">
        <v>335964.58</v>
      </c>
      <c r="YR116" s="11">
        <v>7651.57</v>
      </c>
      <c r="YS116" s="11">
        <v>278221.17</v>
      </c>
      <c r="YT116" s="11">
        <v>183363.54</v>
      </c>
      <c r="YU116" s="11">
        <v>192547.96</v>
      </c>
      <c r="YV116" s="11">
        <v>23821.41</v>
      </c>
      <c r="YW116" s="11">
        <v>2524129.7599999998</v>
      </c>
      <c r="YX116" s="11">
        <v>742867.15</v>
      </c>
      <c r="YY116" s="11">
        <v>224620.88</v>
      </c>
      <c r="YZ116" s="11">
        <v>178531.43</v>
      </c>
      <c r="ZA116" s="11"/>
      <c r="ZB116" s="11">
        <v>125814.32</v>
      </c>
      <c r="ZC116" s="11">
        <v>191149.49</v>
      </c>
      <c r="ZD116" s="11"/>
      <c r="ZE116" s="11">
        <v>160152.24</v>
      </c>
      <c r="ZF116" s="11">
        <v>340497.56</v>
      </c>
      <c r="ZG116" s="11">
        <v>249383.86</v>
      </c>
      <c r="ZH116" s="11">
        <v>196367.67</v>
      </c>
      <c r="ZI116" s="11">
        <v>4508.46</v>
      </c>
      <c r="ZJ116" s="11">
        <v>279534.77</v>
      </c>
      <c r="ZK116" s="11">
        <v>148264.59</v>
      </c>
      <c r="ZL116" s="11">
        <v>1053237.8999999999</v>
      </c>
      <c r="ZM116" s="11">
        <v>30549.57</v>
      </c>
      <c r="ZN116" s="11">
        <v>24612.82</v>
      </c>
      <c r="ZO116" s="11">
        <v>367776.22</v>
      </c>
      <c r="ZP116" s="11">
        <v>1183411.19</v>
      </c>
      <c r="ZQ116" s="11">
        <v>764302.83</v>
      </c>
      <c r="ZR116" s="11">
        <v>155746.18</v>
      </c>
      <c r="ZS116" s="11">
        <v>727537.07</v>
      </c>
      <c r="ZT116" s="11">
        <v>698406.6</v>
      </c>
      <c r="ZU116" s="11">
        <v>507520.53</v>
      </c>
      <c r="ZV116" s="11">
        <v>795634.67</v>
      </c>
      <c r="ZW116" s="11">
        <v>147001.85</v>
      </c>
      <c r="ZX116" s="11">
        <v>343567.4</v>
      </c>
      <c r="ZY116" s="11">
        <v>143529.68</v>
      </c>
      <c r="ZZ116" s="11">
        <v>396289.91</v>
      </c>
      <c r="AAA116" s="11">
        <v>437393.12</v>
      </c>
      <c r="AAB116" s="11">
        <v>224936.03</v>
      </c>
      <c r="AAC116" s="11">
        <v>241480.66</v>
      </c>
      <c r="AAD116" s="11">
        <v>320887.15999999997</v>
      </c>
      <c r="AAE116" s="11">
        <v>17558.53</v>
      </c>
      <c r="AAF116" s="11">
        <v>101035.29</v>
      </c>
      <c r="AAG116" s="11">
        <v>142146.01</v>
      </c>
      <c r="AAH116" s="11">
        <v>128251.18</v>
      </c>
      <c r="AAI116" s="11"/>
      <c r="AAJ116" s="11">
        <v>782631.79</v>
      </c>
      <c r="AAK116" s="11"/>
      <c r="AAL116" s="11">
        <v>259603.6</v>
      </c>
      <c r="AAM116" s="11">
        <v>516277.77</v>
      </c>
      <c r="AAN116" s="11">
        <v>1080554.3400000001</v>
      </c>
      <c r="AAO116" s="11">
        <v>682523.86</v>
      </c>
      <c r="AAP116" s="11">
        <v>7370754.6699999999</v>
      </c>
      <c r="AAQ116" s="11">
        <v>482028.94</v>
      </c>
      <c r="AAR116" s="11">
        <v>274930.38</v>
      </c>
      <c r="AAS116" s="11">
        <v>928750.97</v>
      </c>
      <c r="AAT116" s="11">
        <v>536515.76</v>
      </c>
      <c r="AAU116" s="11">
        <v>212329.44</v>
      </c>
      <c r="AAV116" s="11">
        <v>293563.11</v>
      </c>
      <c r="AAW116" s="11">
        <v>361659.82</v>
      </c>
      <c r="AAX116" s="11">
        <v>1080169.45</v>
      </c>
      <c r="AAY116" s="11">
        <v>264351.74</v>
      </c>
      <c r="AAZ116" s="11">
        <v>437158.51</v>
      </c>
      <c r="ABA116" s="11">
        <v>1671645.23</v>
      </c>
      <c r="ABB116" s="11">
        <v>784430.44</v>
      </c>
      <c r="ABC116" s="11">
        <v>487871.62</v>
      </c>
      <c r="ABD116" s="11">
        <v>284114.8</v>
      </c>
      <c r="ABE116" s="11">
        <v>661138.62</v>
      </c>
      <c r="ABF116" s="11">
        <v>0</v>
      </c>
      <c r="ABG116" s="11">
        <v>1977.22</v>
      </c>
      <c r="ABH116" s="11">
        <v>190549.03</v>
      </c>
      <c r="ABI116" s="11">
        <v>1764687.35</v>
      </c>
      <c r="ABJ116" s="11">
        <v>1196775.1200000001</v>
      </c>
      <c r="ABK116" s="11">
        <v>8268.9699999999993</v>
      </c>
      <c r="ABL116" s="11">
        <v>148144.84</v>
      </c>
      <c r="ABM116" s="11">
        <v>310683.2</v>
      </c>
      <c r="ABN116" s="11">
        <v>133944.44</v>
      </c>
      <c r="ABO116" s="11">
        <v>130644.04</v>
      </c>
      <c r="ABP116" s="11">
        <v>96072.22</v>
      </c>
      <c r="ABQ116" s="11">
        <v>539287.89</v>
      </c>
      <c r="ABR116" s="11">
        <v>2500</v>
      </c>
      <c r="ABS116" s="11">
        <v>73017.87</v>
      </c>
      <c r="ABT116" s="11">
        <v>320388.90000000002</v>
      </c>
      <c r="ABU116" s="11">
        <v>188872.88</v>
      </c>
      <c r="ABV116" s="11">
        <v>13920</v>
      </c>
      <c r="ABW116" s="11">
        <v>218463.76</v>
      </c>
      <c r="ABX116" s="11">
        <v>63614.54</v>
      </c>
      <c r="ABY116" s="11">
        <v>26617.45</v>
      </c>
      <c r="ABZ116" s="11"/>
      <c r="ACA116" s="11"/>
      <c r="ACB116" s="11">
        <v>152186.10999999999</v>
      </c>
      <c r="ACC116" s="11">
        <v>0</v>
      </c>
      <c r="ACD116" s="11">
        <v>47240.21</v>
      </c>
      <c r="ACE116" s="11"/>
      <c r="ACF116" s="11">
        <v>163118.44</v>
      </c>
      <c r="ACG116" s="11">
        <v>464926.97</v>
      </c>
      <c r="ACH116" s="11">
        <v>34595.82</v>
      </c>
      <c r="ACI116" s="11">
        <v>-150563.60999999999</v>
      </c>
      <c r="ACJ116" s="11">
        <v>9752165.2699999996</v>
      </c>
      <c r="ACK116" s="11"/>
      <c r="ACL116" s="11">
        <v>174578.24</v>
      </c>
      <c r="ACM116" s="11">
        <v>335397.61</v>
      </c>
      <c r="ACN116" s="11">
        <v>300274.45</v>
      </c>
      <c r="ACO116" s="11"/>
      <c r="ACP116" s="11"/>
      <c r="ACQ116" s="11"/>
      <c r="ACR116" s="11"/>
      <c r="ACS116" s="11"/>
      <c r="ACT116" s="11"/>
      <c r="ACU116" s="11">
        <v>1030584</v>
      </c>
      <c r="ACV116" s="11"/>
      <c r="ACW116" s="11">
        <v>1181701.1200000001</v>
      </c>
      <c r="ACX116" s="11">
        <v>248625.21</v>
      </c>
      <c r="ACY116" s="11">
        <v>212344</v>
      </c>
      <c r="ACZ116" s="11"/>
      <c r="ADA116" s="11">
        <v>415746</v>
      </c>
      <c r="ADB116" s="11"/>
      <c r="ADC116" s="11"/>
      <c r="ADD116" s="11"/>
      <c r="ADE116" s="11">
        <v>106453.75999999999</v>
      </c>
      <c r="ADF116" s="11"/>
      <c r="ADG116" s="11">
        <v>254000</v>
      </c>
      <c r="ADH116" s="11"/>
      <c r="ADI116" s="11">
        <v>195895.56</v>
      </c>
      <c r="ADJ116" s="11"/>
      <c r="ADK116" s="11"/>
      <c r="ADL116" s="11">
        <v>82000</v>
      </c>
      <c r="ADM116" s="11">
        <v>172311.42</v>
      </c>
      <c r="ADN116" s="11"/>
      <c r="ADO116" s="11">
        <v>0</v>
      </c>
      <c r="ADP116" s="11">
        <v>3690675.99</v>
      </c>
      <c r="ADQ116" s="11">
        <v>668765.37</v>
      </c>
      <c r="ADR116" s="11">
        <v>576650</v>
      </c>
      <c r="ADS116" s="11"/>
      <c r="ADT116" s="11">
        <v>735</v>
      </c>
      <c r="ADU116" s="11">
        <v>121601.48</v>
      </c>
      <c r="ADV116" s="11">
        <v>0</v>
      </c>
      <c r="ADW116" s="11">
        <v>364372.25</v>
      </c>
      <c r="ADX116" s="11">
        <v>165228.69</v>
      </c>
      <c r="ADY116" s="11">
        <v>138690.29</v>
      </c>
      <c r="ADZ116" s="11"/>
      <c r="AEA116" s="11"/>
      <c r="AEB116" s="11">
        <v>1768365.89</v>
      </c>
      <c r="AEC116" s="11">
        <v>218031.23</v>
      </c>
      <c r="AED116" s="11">
        <v>325994.08</v>
      </c>
      <c r="AEE116" s="11">
        <v>0</v>
      </c>
      <c r="AEF116" s="11">
        <v>273293.59999999998</v>
      </c>
      <c r="AEG116" s="11">
        <v>313105.08</v>
      </c>
      <c r="AEH116" s="11"/>
      <c r="AEI116" s="11">
        <v>187951.53</v>
      </c>
      <c r="AEJ116" s="11">
        <v>371729.63</v>
      </c>
      <c r="AEK116" s="11">
        <v>360749.8</v>
      </c>
      <c r="AEL116" s="11">
        <v>159826.32</v>
      </c>
      <c r="AEM116" s="11">
        <v>0</v>
      </c>
      <c r="AEN116" s="11">
        <v>378339.55</v>
      </c>
      <c r="AEO116" s="11">
        <v>355485.24</v>
      </c>
      <c r="AEP116" s="11">
        <v>177929</v>
      </c>
      <c r="AEQ116" s="11">
        <v>479359.6</v>
      </c>
      <c r="AER116" s="11">
        <v>1352.52</v>
      </c>
      <c r="AES116" s="11">
        <v>1037381.05</v>
      </c>
      <c r="AET116" s="11">
        <v>47159.81</v>
      </c>
      <c r="AEU116" s="11">
        <v>496646.52</v>
      </c>
      <c r="AEV116" s="11">
        <v>271240.40999999997</v>
      </c>
      <c r="AEW116" s="11">
        <v>357473.47</v>
      </c>
      <c r="AEX116" s="11"/>
      <c r="AEY116" s="11">
        <v>623662.5</v>
      </c>
      <c r="AEZ116" s="11">
        <v>154884.76999999999</v>
      </c>
      <c r="AFA116" s="11">
        <v>243397</v>
      </c>
      <c r="AFB116" s="11"/>
      <c r="AFC116" s="11">
        <v>254406.22</v>
      </c>
      <c r="AFD116" s="11"/>
      <c r="AFE116" s="11">
        <v>0</v>
      </c>
      <c r="AFF116" s="11">
        <v>330100</v>
      </c>
      <c r="AFG116" s="11">
        <v>252490.71</v>
      </c>
      <c r="AFH116" s="11">
        <v>32431.7</v>
      </c>
      <c r="AFI116" s="11">
        <v>367565.4</v>
      </c>
      <c r="AFJ116" s="11">
        <v>287016.98</v>
      </c>
      <c r="AFK116" s="11">
        <v>216325.54</v>
      </c>
      <c r="AFL116" s="11">
        <v>137696.88</v>
      </c>
      <c r="AFM116" s="11">
        <v>534616.92000000004</v>
      </c>
      <c r="AFN116" s="11">
        <v>321130.75</v>
      </c>
      <c r="AFO116" s="11">
        <v>294169.99</v>
      </c>
      <c r="AFP116" s="11">
        <v>303280.21000000002</v>
      </c>
      <c r="AFQ116" s="11">
        <v>859645.13</v>
      </c>
      <c r="AFR116" s="11">
        <v>493146.31</v>
      </c>
      <c r="AFS116" s="11">
        <v>283864.59999999998</v>
      </c>
      <c r="AFT116" s="11">
        <v>212671.42</v>
      </c>
      <c r="AFU116" s="11">
        <v>266724.12</v>
      </c>
      <c r="AFV116" s="11">
        <v>408634.65</v>
      </c>
      <c r="AFW116" s="11">
        <v>322979.86</v>
      </c>
      <c r="AFX116" s="11">
        <v>321189.64</v>
      </c>
      <c r="AFY116" s="11">
        <v>619718.64</v>
      </c>
      <c r="AFZ116" s="11">
        <v>504709.1</v>
      </c>
      <c r="AGA116" s="11">
        <v>345226.51</v>
      </c>
      <c r="AGB116" s="11">
        <v>312679.2</v>
      </c>
      <c r="AGC116" s="11">
        <v>2910000</v>
      </c>
      <c r="AGD116" s="11">
        <v>176129.63</v>
      </c>
      <c r="AGE116" s="11">
        <v>150000</v>
      </c>
      <c r="AGF116" s="11">
        <v>176365.57</v>
      </c>
      <c r="AGG116" s="11">
        <v>374360.55</v>
      </c>
      <c r="AGH116" s="11">
        <v>226265.93</v>
      </c>
      <c r="AGI116" s="11">
        <v>8733.65</v>
      </c>
      <c r="AGJ116" s="11">
        <v>171941.47</v>
      </c>
      <c r="AGK116" s="11">
        <v>25848.95</v>
      </c>
      <c r="AGL116" s="11">
        <v>170932.55</v>
      </c>
      <c r="AGM116" s="11">
        <v>197873.47</v>
      </c>
      <c r="AGN116" s="11">
        <v>3721078.35</v>
      </c>
      <c r="AGO116" s="11">
        <v>583040.49</v>
      </c>
      <c r="AGP116" s="11">
        <v>319660.59000000003</v>
      </c>
      <c r="AGQ116" s="11">
        <v>330030.01</v>
      </c>
      <c r="AGR116" s="11">
        <v>0</v>
      </c>
      <c r="AGS116" s="11">
        <v>419799.46</v>
      </c>
      <c r="AGT116" s="11">
        <v>171242.92</v>
      </c>
      <c r="AGU116" s="11">
        <v>193364.07</v>
      </c>
      <c r="AGV116" s="11"/>
      <c r="AGW116" s="11">
        <v>2932891.62</v>
      </c>
      <c r="AGX116" s="11">
        <v>159722.69</v>
      </c>
      <c r="AGY116" s="11">
        <v>315434.63</v>
      </c>
      <c r="AGZ116" s="11">
        <v>682652.67</v>
      </c>
      <c r="AHA116" s="11">
        <v>407932.79</v>
      </c>
      <c r="AHB116" s="11">
        <v>377424.75</v>
      </c>
      <c r="AHC116" s="11">
        <v>333892.27</v>
      </c>
      <c r="AHD116" s="11">
        <v>135041.98000000001</v>
      </c>
      <c r="AHE116" s="11">
        <v>357360.49</v>
      </c>
      <c r="AHF116" s="11">
        <v>334853.03999999998</v>
      </c>
      <c r="AHG116" s="11">
        <v>19071.439999999999</v>
      </c>
      <c r="AHH116" s="11">
        <v>204677.68</v>
      </c>
      <c r="AHI116" s="11">
        <v>171608.92</v>
      </c>
      <c r="AHJ116" s="11">
        <v>174978.5</v>
      </c>
      <c r="AHK116" s="11">
        <v>201638.76</v>
      </c>
      <c r="AHL116" s="11">
        <v>269296.21999999997</v>
      </c>
      <c r="AHM116" s="11">
        <v>3022706.31</v>
      </c>
      <c r="AHN116" s="11">
        <v>159710.63</v>
      </c>
      <c r="AHO116" s="11">
        <v>171863.01</v>
      </c>
      <c r="AHP116" s="11">
        <v>151165.54</v>
      </c>
      <c r="AHQ116" s="11">
        <v>394425.56</v>
      </c>
      <c r="AHR116" s="11">
        <v>170179.87</v>
      </c>
      <c r="AHS116" s="11">
        <v>219910.19</v>
      </c>
      <c r="AHT116" s="11">
        <v>452212310.57000035</v>
      </c>
      <c r="AHV116" s="269" t="s">
        <v>6278</v>
      </c>
      <c r="AHW116" s="269" t="s">
        <v>6173</v>
      </c>
      <c r="AHX116" s="269" t="s">
        <v>6174</v>
      </c>
    </row>
    <row r="117" spans="1:908" x14ac:dyDescent="0.7">
      <c r="A117" s="6" t="s">
        <v>6278</v>
      </c>
      <c r="B117" s="6" t="s">
        <v>6504</v>
      </c>
      <c r="C117" s="6" t="s">
        <v>6505</v>
      </c>
      <c r="D117" s="11"/>
      <c r="E117" s="11"/>
      <c r="F117" s="11"/>
      <c r="G117" s="11"/>
      <c r="H117" s="11"/>
      <c r="I117" s="11"/>
      <c r="J117" s="11"/>
      <c r="K117" s="11"/>
      <c r="L117" s="11">
        <v>87550</v>
      </c>
      <c r="M117" s="11"/>
      <c r="N117" s="11"/>
      <c r="O117" s="11">
        <v>491310</v>
      </c>
      <c r="P117" s="11"/>
      <c r="Q117" s="11"/>
      <c r="R117" s="11"/>
      <c r="S117" s="11"/>
      <c r="T117" s="11"/>
      <c r="U117" s="11"/>
      <c r="V117" s="11"/>
      <c r="W117" s="11"/>
      <c r="X117" s="11">
        <v>8650</v>
      </c>
      <c r="Y117" s="11"/>
      <c r="Z117" s="11"/>
      <c r="AA117" s="11"/>
      <c r="AB117" s="11">
        <v>54368</v>
      </c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>
        <v>0</v>
      </c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>
        <v>1147846.3999999999</v>
      </c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>
        <v>14420</v>
      </c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>
        <v>514770</v>
      </c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>
        <v>14062</v>
      </c>
      <c r="EH117" s="11"/>
      <c r="EI117" s="11">
        <v>143691.28</v>
      </c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>
        <v>151920</v>
      </c>
      <c r="FC117" s="11"/>
      <c r="FD117" s="11"/>
      <c r="FE117" s="11"/>
      <c r="FF117" s="11">
        <v>82853</v>
      </c>
      <c r="FG117" s="11"/>
      <c r="FH117" s="11"/>
      <c r="FI117" s="11"/>
      <c r="FJ117" s="11"/>
      <c r="FK117" s="11"/>
      <c r="FL117" s="11"/>
      <c r="FM117" s="11"/>
      <c r="FN117" s="11"/>
      <c r="FO117" s="11">
        <v>11000</v>
      </c>
      <c r="FP117" s="11"/>
      <c r="FQ117" s="11"/>
      <c r="FR117" s="11"/>
      <c r="FS117" s="11">
        <v>262059</v>
      </c>
      <c r="FT117" s="11"/>
      <c r="FU117" s="11"/>
      <c r="FV117" s="11"/>
      <c r="FW117" s="11">
        <v>36500</v>
      </c>
      <c r="FX117" s="11"/>
      <c r="FY117" s="11">
        <v>73720</v>
      </c>
      <c r="FZ117" s="11">
        <v>799775.73</v>
      </c>
      <c r="GA117" s="11">
        <v>13500</v>
      </c>
      <c r="GB117" s="11">
        <v>85238</v>
      </c>
      <c r="GC117" s="11"/>
      <c r="GD117" s="11">
        <v>183970</v>
      </c>
      <c r="GE117" s="11"/>
      <c r="GF117" s="11">
        <v>279844</v>
      </c>
      <c r="GG117" s="11"/>
      <c r="GH117" s="11"/>
      <c r="GI117" s="11"/>
      <c r="GJ117" s="11"/>
      <c r="GK117" s="11"/>
      <c r="GL117" s="11"/>
      <c r="GM117" s="11">
        <v>0</v>
      </c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>
        <v>155049.65</v>
      </c>
      <c r="HR117" s="11">
        <v>254132.56</v>
      </c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>
        <v>0</v>
      </c>
      <c r="IL117" s="11"/>
      <c r="IM117" s="11"/>
      <c r="IN117" s="11"/>
      <c r="IO117" s="11"/>
      <c r="IP117" s="11">
        <v>125575.56</v>
      </c>
      <c r="IQ117" s="11"/>
      <c r="IR117" s="11">
        <v>141284</v>
      </c>
      <c r="IS117" s="11"/>
      <c r="IT117" s="11"/>
      <c r="IU117" s="11">
        <v>49576</v>
      </c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>
        <v>2514708.59</v>
      </c>
      <c r="JR117" s="11"/>
      <c r="JS117" s="11"/>
      <c r="JT117" s="11"/>
      <c r="JU117" s="11"/>
      <c r="JV117" s="11"/>
      <c r="JW117" s="11">
        <v>98594</v>
      </c>
      <c r="JX117" s="11">
        <v>0</v>
      </c>
      <c r="JY117" s="11">
        <v>16500</v>
      </c>
      <c r="JZ117" s="11"/>
      <c r="KA117" s="11">
        <v>169311.6</v>
      </c>
      <c r="KB117" s="11"/>
      <c r="KC117" s="11"/>
      <c r="KD117" s="11"/>
      <c r="KE117" s="11"/>
      <c r="KF117" s="11"/>
      <c r="KG117" s="11"/>
      <c r="KH117" s="11">
        <v>3360</v>
      </c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>
        <v>53610</v>
      </c>
      <c r="KW117" s="11"/>
      <c r="KX117" s="11"/>
      <c r="KY117" s="11">
        <v>95200</v>
      </c>
      <c r="KZ117" s="11"/>
      <c r="LA117" s="11"/>
      <c r="LB117" s="11"/>
      <c r="LC117" s="11"/>
      <c r="LD117" s="11"/>
      <c r="LE117" s="11"/>
      <c r="LF117" s="11">
        <v>60495</v>
      </c>
      <c r="LG117" s="11"/>
      <c r="LH117" s="11"/>
      <c r="LI117" s="11">
        <v>4800</v>
      </c>
      <c r="LJ117" s="11"/>
      <c r="LK117" s="11"/>
      <c r="LL117" s="11"/>
      <c r="LM117" s="11"/>
      <c r="LN117" s="11"/>
      <c r="LO117" s="11"/>
      <c r="LP117" s="11"/>
      <c r="LQ117" s="11"/>
      <c r="LR117" s="11"/>
      <c r="LS117" s="11">
        <v>1825</v>
      </c>
      <c r="LT117" s="11"/>
      <c r="LU117" s="11"/>
      <c r="LV117" s="11">
        <v>19567104.809999999</v>
      </c>
      <c r="LW117" s="11"/>
      <c r="LX117" s="11"/>
      <c r="LY117" s="11"/>
      <c r="LZ117" s="11"/>
      <c r="MA117" s="11">
        <v>119500</v>
      </c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>
        <v>58284.4</v>
      </c>
      <c r="MR117" s="11">
        <v>84566</v>
      </c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>
        <v>2100</v>
      </c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>
        <v>63710.5</v>
      </c>
      <c r="NT117" s="11"/>
      <c r="NU117" s="11">
        <v>31905</v>
      </c>
      <c r="NV117" s="11"/>
      <c r="NW117" s="11">
        <v>3400</v>
      </c>
      <c r="NX117" s="11">
        <v>6800</v>
      </c>
      <c r="NY117" s="11">
        <v>13685.1</v>
      </c>
      <c r="NZ117" s="11"/>
      <c r="OA117" s="11">
        <v>12600</v>
      </c>
      <c r="OB117" s="11">
        <v>81722</v>
      </c>
      <c r="OC117" s="11"/>
      <c r="OD117" s="11">
        <v>37500</v>
      </c>
      <c r="OE117" s="11"/>
      <c r="OF117" s="11"/>
      <c r="OG117" s="11"/>
      <c r="OH117" s="11"/>
      <c r="OI117" s="11"/>
      <c r="OJ117" s="11"/>
      <c r="OK117" s="11">
        <v>34775</v>
      </c>
      <c r="OL117" s="11">
        <v>4800</v>
      </c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>
        <v>52000</v>
      </c>
      <c r="OZ117" s="11"/>
      <c r="PA117" s="11"/>
      <c r="PB117" s="11"/>
      <c r="PC117" s="11">
        <v>2889523.02</v>
      </c>
      <c r="PD117" s="11"/>
      <c r="PE117" s="11"/>
      <c r="PF117" s="11">
        <v>3152</v>
      </c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>
        <v>39400</v>
      </c>
      <c r="QS117" s="11"/>
      <c r="QT117" s="11"/>
      <c r="QU117" s="11">
        <v>410780</v>
      </c>
      <c r="QV117" s="11"/>
      <c r="QW117" s="11"/>
      <c r="QX117" s="11"/>
      <c r="QY117" s="11"/>
      <c r="QZ117" s="11"/>
      <c r="RA117" s="11">
        <v>28000</v>
      </c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>
        <v>7880</v>
      </c>
      <c r="RT117" s="11"/>
      <c r="RU117" s="11"/>
      <c r="RV117" s="11"/>
      <c r="RW117" s="11"/>
      <c r="RX117" s="11"/>
      <c r="RY117" s="11">
        <v>21080</v>
      </c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>
        <v>46180</v>
      </c>
      <c r="SQ117" s="11"/>
      <c r="SR117" s="11"/>
      <c r="SS117" s="11"/>
      <c r="ST117" s="11">
        <v>1015012.5</v>
      </c>
      <c r="SU117" s="11">
        <v>52050</v>
      </c>
      <c r="SV117" s="11"/>
      <c r="SW117" s="11">
        <v>25500</v>
      </c>
      <c r="SX117" s="11">
        <v>78900</v>
      </c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>
        <v>0</v>
      </c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>
        <v>20490</v>
      </c>
      <c r="UJ117" s="11"/>
      <c r="UK117" s="11"/>
      <c r="UL117" s="11"/>
      <c r="UM117" s="11"/>
      <c r="UN117" s="11"/>
      <c r="UO117" s="11"/>
      <c r="UP117" s="11"/>
      <c r="UQ117" s="11">
        <v>153250</v>
      </c>
      <c r="UR117" s="11"/>
      <c r="US117" s="11"/>
      <c r="UT117" s="11"/>
      <c r="UU117" s="11"/>
      <c r="UV117" s="11"/>
      <c r="UW117" s="11"/>
      <c r="UX117" s="11">
        <v>25435</v>
      </c>
      <c r="UY117" s="11"/>
      <c r="UZ117" s="11"/>
      <c r="VA117" s="11"/>
      <c r="VB117" s="11"/>
      <c r="VC117" s="11">
        <v>25720</v>
      </c>
      <c r="VD117" s="11"/>
      <c r="VE117" s="11"/>
      <c r="VF117" s="11"/>
      <c r="VG117" s="11">
        <v>17000</v>
      </c>
      <c r="VH117" s="11"/>
      <c r="VI117" s="11"/>
      <c r="VJ117" s="11"/>
      <c r="VK117" s="11">
        <v>300000</v>
      </c>
      <c r="VL117" s="11"/>
      <c r="VM117" s="11"/>
      <c r="VN117" s="11"/>
      <c r="VO117" s="11"/>
      <c r="VP117" s="11"/>
      <c r="VQ117" s="11"/>
      <c r="VR117" s="11">
        <v>5300</v>
      </c>
      <c r="VS117" s="11"/>
      <c r="VT117" s="11"/>
      <c r="VU117" s="11">
        <v>390650</v>
      </c>
      <c r="VV117" s="11"/>
      <c r="VW117" s="11"/>
      <c r="VX117" s="11">
        <v>302500</v>
      </c>
      <c r="VY117" s="11"/>
      <c r="VZ117" s="11"/>
      <c r="WA117" s="11"/>
      <c r="WB117" s="11"/>
      <c r="WC117" s="11">
        <v>226224</v>
      </c>
      <c r="WD117" s="11"/>
      <c r="WE117" s="11"/>
      <c r="WF117" s="11"/>
      <c r="WG117" s="11"/>
      <c r="WH117" s="11"/>
      <c r="WI117" s="11">
        <v>413235.8</v>
      </c>
      <c r="WJ117" s="11"/>
      <c r="WK117" s="11"/>
      <c r="WL117" s="11"/>
      <c r="WM117" s="11"/>
      <c r="WN117" s="11">
        <v>128100</v>
      </c>
      <c r="WO117" s="11"/>
      <c r="WP117" s="11">
        <v>149818</v>
      </c>
      <c r="WQ117" s="11"/>
      <c r="WR117" s="11"/>
      <c r="WS117" s="11"/>
      <c r="WT117" s="11"/>
      <c r="WU117" s="11">
        <v>0</v>
      </c>
      <c r="WV117" s="11"/>
      <c r="WW117" s="11"/>
      <c r="WX117" s="11">
        <v>276520</v>
      </c>
      <c r="WY117" s="11">
        <v>11975.2</v>
      </c>
      <c r="WZ117" s="11"/>
      <c r="XA117" s="11"/>
      <c r="XB117" s="11"/>
      <c r="XC117" s="11"/>
      <c r="XD117" s="11"/>
      <c r="XE117" s="11"/>
      <c r="XF117" s="11">
        <v>386480</v>
      </c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>
        <v>20000</v>
      </c>
      <c r="YY117" s="11"/>
      <c r="YZ117" s="11">
        <v>72480</v>
      </c>
      <c r="ZA117" s="11"/>
      <c r="ZB117" s="11"/>
      <c r="ZC117" s="11">
        <v>35600</v>
      </c>
      <c r="ZD117" s="11">
        <v>159743</v>
      </c>
      <c r="ZE117" s="11"/>
      <c r="ZF117" s="11"/>
      <c r="ZG117" s="11"/>
      <c r="ZH117" s="11">
        <v>104350</v>
      </c>
      <c r="ZI117" s="11"/>
      <c r="ZJ117" s="11"/>
      <c r="ZK117" s="11"/>
      <c r="ZL117" s="11"/>
      <c r="ZM117" s="11"/>
      <c r="ZN117" s="11">
        <v>54350</v>
      </c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>
        <v>20400</v>
      </c>
      <c r="AAD117" s="11"/>
      <c r="AAE117" s="11"/>
      <c r="AAF117" s="11"/>
      <c r="AAG117" s="11">
        <v>25200</v>
      </c>
      <c r="AAH117" s="11"/>
      <c r="AAI117" s="11"/>
      <c r="AAJ117" s="11">
        <v>112544</v>
      </c>
      <c r="AAK117" s="11"/>
      <c r="AAL117" s="11"/>
      <c r="AAM117" s="11">
        <v>106890</v>
      </c>
      <c r="AAN117" s="11"/>
      <c r="AAO117" s="11"/>
      <c r="AAP117" s="11"/>
      <c r="AAQ117" s="11">
        <v>64490</v>
      </c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>
        <v>137090</v>
      </c>
      <c r="ABE117" s="11"/>
      <c r="ABF117" s="11"/>
      <c r="ABG117" s="11"/>
      <c r="ABH117" s="11"/>
      <c r="ABI117" s="11"/>
      <c r="ABJ117" s="11">
        <v>12720</v>
      </c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>
        <v>40700</v>
      </c>
      <c r="ACE117" s="11"/>
      <c r="ACF117" s="11"/>
      <c r="ACG117" s="11"/>
      <c r="ACH117" s="11"/>
      <c r="ACI117" s="11">
        <v>113886</v>
      </c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>
        <v>12000</v>
      </c>
      <c r="ADE117" s="11"/>
      <c r="ADF117" s="11"/>
      <c r="ADG117" s="11"/>
      <c r="ADH117" s="11"/>
      <c r="ADI117" s="11"/>
      <c r="ADJ117" s="11"/>
      <c r="ADK117" s="11"/>
      <c r="ADL117" s="11"/>
      <c r="ADM117" s="11">
        <v>13945</v>
      </c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>
        <v>29532</v>
      </c>
      <c r="AEM117" s="11"/>
      <c r="AEN117" s="11">
        <v>24000</v>
      </c>
      <c r="AEO117" s="11"/>
      <c r="AEP117" s="11">
        <v>2300</v>
      </c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>
        <v>18350</v>
      </c>
      <c r="AFI117" s="11">
        <v>3900</v>
      </c>
      <c r="AFJ117" s="11"/>
      <c r="AFK117" s="11">
        <v>142250</v>
      </c>
      <c r="AFL117" s="11"/>
      <c r="AFM117" s="11">
        <v>35370</v>
      </c>
      <c r="AFN117" s="11"/>
      <c r="AFO117" s="11"/>
      <c r="AFP117" s="11">
        <v>59128</v>
      </c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>
        <v>250090</v>
      </c>
      <c r="AGE117" s="11"/>
      <c r="AGF117" s="11">
        <v>31670</v>
      </c>
      <c r="AGG117" s="11">
        <v>13500</v>
      </c>
      <c r="AGH117" s="11">
        <v>4250</v>
      </c>
      <c r="AGI117" s="11"/>
      <c r="AGJ117" s="11"/>
      <c r="AGK117" s="11">
        <v>4580</v>
      </c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>
        <v>16781</v>
      </c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>
        <v>37567766.700000003</v>
      </c>
      <c r="AHV117" s="269" t="s">
        <v>6278</v>
      </c>
      <c r="AHW117" s="269" t="s">
        <v>6175</v>
      </c>
      <c r="AHX117" s="269" t="s">
        <v>6176</v>
      </c>
    </row>
    <row r="118" spans="1:908" x14ac:dyDescent="0.7">
      <c r="A118" s="6" t="s">
        <v>6278</v>
      </c>
      <c r="B118" s="6" t="s">
        <v>6506</v>
      </c>
      <c r="C118" s="6" t="s">
        <v>6507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>
        <v>0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>
        <v>124000</v>
      </c>
      <c r="BH118" s="11"/>
      <c r="BI118" s="11">
        <v>262143.5</v>
      </c>
      <c r="BJ118" s="11"/>
      <c r="BK118" s="11"/>
      <c r="BL118" s="11"/>
      <c r="BM118" s="11"/>
      <c r="BN118" s="11">
        <v>118360</v>
      </c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>
        <v>1300</v>
      </c>
      <c r="CD118" s="11"/>
      <c r="CE118" s="11"/>
      <c r="CF118" s="11">
        <v>147880</v>
      </c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>
        <v>120000</v>
      </c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>
        <v>169330</v>
      </c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>
        <v>298989</v>
      </c>
      <c r="FT118" s="11"/>
      <c r="FU118" s="11"/>
      <c r="FV118" s="11"/>
      <c r="FW118" s="11"/>
      <c r="FX118" s="11"/>
      <c r="FY118" s="11"/>
      <c r="FZ118" s="11"/>
      <c r="GA118" s="11"/>
      <c r="GB118" s="11">
        <v>73161.179999999993</v>
      </c>
      <c r="GC118" s="11"/>
      <c r="GD118" s="11"/>
      <c r="GE118" s="11">
        <v>116781.41</v>
      </c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>
        <v>1800</v>
      </c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>
        <v>225420</v>
      </c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>
        <v>0</v>
      </c>
      <c r="IJ118" s="11"/>
      <c r="IK118" s="11">
        <v>0</v>
      </c>
      <c r="IL118" s="11"/>
      <c r="IM118" s="11"/>
      <c r="IN118" s="11"/>
      <c r="IO118" s="11">
        <v>0</v>
      </c>
      <c r="IP118" s="11"/>
      <c r="IQ118" s="11"/>
      <c r="IR118" s="11">
        <v>12000</v>
      </c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>
        <v>47310</v>
      </c>
      <c r="JH118" s="11">
        <v>34838.5</v>
      </c>
      <c r="JI118" s="11"/>
      <c r="JJ118" s="11"/>
      <c r="JK118" s="11"/>
      <c r="JL118" s="11">
        <v>18730</v>
      </c>
      <c r="JM118" s="11"/>
      <c r="JN118" s="11"/>
      <c r="JO118" s="11"/>
      <c r="JP118" s="11"/>
      <c r="JQ118" s="11">
        <v>248735</v>
      </c>
      <c r="JR118" s="11"/>
      <c r="JS118" s="11"/>
      <c r="JT118" s="11"/>
      <c r="JU118" s="11">
        <v>153500</v>
      </c>
      <c r="JV118" s="11"/>
      <c r="JW118" s="11"/>
      <c r="JX118" s="11"/>
      <c r="JY118" s="11"/>
      <c r="JZ118" s="11"/>
      <c r="KA118" s="11"/>
      <c r="KB118" s="11"/>
      <c r="KC118" s="11">
        <v>0</v>
      </c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>
        <v>15705</v>
      </c>
      <c r="KX118" s="11"/>
      <c r="KY118" s="11"/>
      <c r="KZ118" s="11">
        <v>286240.65000000002</v>
      </c>
      <c r="LA118" s="11"/>
      <c r="LB118" s="11"/>
      <c r="LC118" s="11"/>
      <c r="LD118" s="11"/>
      <c r="LE118" s="11"/>
      <c r="LF118" s="11">
        <v>1900</v>
      </c>
      <c r="LG118" s="11">
        <v>35820</v>
      </c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>
        <v>52540.639999999999</v>
      </c>
      <c r="LS118" s="11"/>
      <c r="LT118" s="11"/>
      <c r="LU118" s="11"/>
      <c r="LV118" s="11"/>
      <c r="LW118" s="11"/>
      <c r="LX118" s="11">
        <v>0</v>
      </c>
      <c r="LY118" s="11">
        <v>3025</v>
      </c>
      <c r="LZ118" s="11"/>
      <c r="MA118" s="11"/>
      <c r="MB118" s="11"/>
      <c r="MC118" s="11"/>
      <c r="MD118" s="11"/>
      <c r="ME118" s="11"/>
      <c r="MF118" s="11"/>
      <c r="MG118" s="11"/>
      <c r="MH118" s="11">
        <v>33300</v>
      </c>
      <c r="MI118" s="11">
        <v>90000</v>
      </c>
      <c r="MJ118" s="11">
        <v>39560</v>
      </c>
      <c r="MK118" s="11"/>
      <c r="ML118" s="11"/>
      <c r="MM118" s="11"/>
      <c r="MN118" s="11"/>
      <c r="MO118" s="11"/>
      <c r="MP118" s="11"/>
      <c r="MQ118" s="11">
        <v>6500</v>
      </c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>
        <v>28690</v>
      </c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>
        <v>18876</v>
      </c>
      <c r="NU118" s="11"/>
      <c r="NV118" s="11"/>
      <c r="NW118" s="11"/>
      <c r="NX118" s="11">
        <v>15500</v>
      </c>
      <c r="NY118" s="11"/>
      <c r="NZ118" s="11">
        <v>540</v>
      </c>
      <c r="OA118" s="11"/>
      <c r="OB118" s="11"/>
      <c r="OC118" s="11"/>
      <c r="OD118" s="11">
        <v>22500</v>
      </c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>
        <v>2162</v>
      </c>
      <c r="PC118" s="11"/>
      <c r="PD118" s="11"/>
      <c r="PE118" s="11"/>
      <c r="PF118" s="11">
        <v>512600.79</v>
      </c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>
        <v>6970</v>
      </c>
      <c r="PW118" s="11"/>
      <c r="PX118" s="11"/>
      <c r="PY118" s="11"/>
      <c r="PZ118" s="11"/>
      <c r="QA118" s="11"/>
      <c r="QB118" s="11">
        <v>719561</v>
      </c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>
        <v>350935</v>
      </c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>
        <v>118915</v>
      </c>
      <c r="TK118" s="11">
        <v>6515</v>
      </c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>
        <v>62000</v>
      </c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>
        <v>0</v>
      </c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>
        <v>46000</v>
      </c>
      <c r="VP118" s="11"/>
      <c r="VQ118" s="11"/>
      <c r="VR118" s="11"/>
      <c r="VS118" s="11"/>
      <c r="VT118" s="11"/>
      <c r="VU118" s="11"/>
      <c r="VV118" s="11"/>
      <c r="VW118" s="11"/>
      <c r="VX118" s="11">
        <v>167620</v>
      </c>
      <c r="VY118" s="11"/>
      <c r="VZ118" s="11"/>
      <c r="WA118" s="11"/>
      <c r="WB118" s="11"/>
      <c r="WC118" s="11">
        <v>138937.62</v>
      </c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>
        <v>107</v>
      </c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>
        <v>29900</v>
      </c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>
        <v>488690</v>
      </c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>
        <v>101700</v>
      </c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>
        <v>108500</v>
      </c>
      <c r="AAG118" s="11">
        <v>43050</v>
      </c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>
        <v>3210</v>
      </c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>
        <v>7150</v>
      </c>
      <c r="ACK118" s="11"/>
      <c r="ACL118" s="11"/>
      <c r="ACM118" s="11"/>
      <c r="ACN118" s="11"/>
      <c r="ACO118" s="11">
        <v>37000</v>
      </c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>
        <v>30000</v>
      </c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>
        <v>79700</v>
      </c>
      <c r="AED118" s="11"/>
      <c r="AEE118" s="11">
        <v>127341</v>
      </c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>
        <v>890</v>
      </c>
      <c r="AEQ118" s="11"/>
      <c r="AER118" s="11"/>
      <c r="AES118" s="11">
        <v>89531.25</v>
      </c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>
        <v>37258</v>
      </c>
      <c r="AFF118" s="11"/>
      <c r="AFG118" s="11"/>
      <c r="AFH118" s="11">
        <v>1035</v>
      </c>
      <c r="AFI118" s="11"/>
      <c r="AFJ118" s="11"/>
      <c r="AFK118" s="11"/>
      <c r="AFL118" s="11"/>
      <c r="AFM118" s="11"/>
      <c r="AFN118" s="11"/>
      <c r="AFO118" s="11">
        <v>-389789</v>
      </c>
      <c r="AFP118" s="11"/>
      <c r="AFQ118" s="11"/>
      <c r="AFR118" s="11"/>
      <c r="AFS118" s="11"/>
      <c r="AFT118" s="11"/>
      <c r="AFU118" s="11">
        <v>14112</v>
      </c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>
        <v>5798</v>
      </c>
      <c r="AGG118" s="11"/>
      <c r="AGH118" s="11">
        <v>62365</v>
      </c>
      <c r="AGI118" s="11"/>
      <c r="AGJ118" s="11"/>
      <c r="AGK118" s="11"/>
      <c r="AGL118" s="11"/>
      <c r="AGM118" s="11"/>
      <c r="AGN118" s="11">
        <v>0</v>
      </c>
      <c r="AGO118" s="11"/>
      <c r="AGP118" s="11"/>
      <c r="AGQ118" s="11"/>
      <c r="AGR118" s="11"/>
      <c r="AGS118" s="11"/>
      <c r="AGT118" s="11"/>
      <c r="AGU118" s="11">
        <v>168330</v>
      </c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>
        <v>300</v>
      </c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>
        <v>6003370.54</v>
      </c>
      <c r="AHV118" s="269" t="s">
        <v>6278</v>
      </c>
      <c r="AHW118" s="269" t="s">
        <v>6177</v>
      </c>
      <c r="AHX118" s="269" t="s">
        <v>6178</v>
      </c>
    </row>
    <row r="119" spans="1:908" x14ac:dyDescent="0.7">
      <c r="A119" s="6" t="s">
        <v>6278</v>
      </c>
      <c r="B119" s="6" t="s">
        <v>6151</v>
      </c>
      <c r="C119" s="6" t="s">
        <v>6152</v>
      </c>
      <c r="D119" s="11"/>
      <c r="E119" s="11"/>
      <c r="F119" s="11"/>
      <c r="G119" s="11"/>
      <c r="H119" s="11">
        <v>25121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>
        <v>8007</v>
      </c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>
        <v>2000000</v>
      </c>
      <c r="JL119" s="11"/>
      <c r="JM119" s="11"/>
      <c r="JN119" s="11"/>
      <c r="JO119" s="11"/>
      <c r="JP119" s="11"/>
      <c r="JQ119" s="11">
        <v>50</v>
      </c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>
        <v>42391</v>
      </c>
      <c r="LT119" s="11"/>
      <c r="LU119" s="11"/>
      <c r="LV119" s="11"/>
      <c r="LW119" s="11"/>
      <c r="LX119" s="11"/>
      <c r="LY119" s="11">
        <v>31732</v>
      </c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>
        <v>10267</v>
      </c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>
        <v>1504779</v>
      </c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>
        <v>40860</v>
      </c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>
        <v>93739.31</v>
      </c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>
        <v>217727.14</v>
      </c>
      <c r="UC119" s="11"/>
      <c r="UD119" s="11"/>
      <c r="UE119" s="11"/>
      <c r="UF119" s="11">
        <v>420475.2</v>
      </c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>
        <v>10783</v>
      </c>
      <c r="US119" s="11"/>
      <c r="UT119" s="11"/>
      <c r="UU119" s="11"/>
      <c r="UV119" s="11"/>
      <c r="UW119" s="11"/>
      <c r="UX119" s="11">
        <v>7500</v>
      </c>
      <c r="UY119" s="11"/>
      <c r="UZ119" s="11"/>
      <c r="VA119" s="11">
        <v>159645.45000000001</v>
      </c>
      <c r="VB119" s="11">
        <v>16211</v>
      </c>
      <c r="VC119" s="11">
        <v>21878</v>
      </c>
      <c r="VD119" s="11">
        <v>19300</v>
      </c>
      <c r="VE119" s="11"/>
      <c r="VF119" s="11">
        <v>129615.56</v>
      </c>
      <c r="VG119" s="11"/>
      <c r="VH119" s="11"/>
      <c r="VI119" s="11"/>
      <c r="VJ119" s="11">
        <v>738</v>
      </c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>
        <v>1500000</v>
      </c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>
        <v>0</v>
      </c>
      <c r="WR119" s="11"/>
      <c r="WS119" s="11"/>
      <c r="WT119" s="11"/>
      <c r="WU119" s="11"/>
      <c r="WV119" s="11"/>
      <c r="WW119" s="11">
        <v>12386</v>
      </c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>
        <v>0</v>
      </c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>
        <v>7140</v>
      </c>
      <c r="ABP119" s="11">
        <v>15000</v>
      </c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>
        <v>216785.56</v>
      </c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>
        <v>257006</v>
      </c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>
        <v>17500</v>
      </c>
      <c r="AGP119" s="11"/>
      <c r="AGQ119" s="11"/>
      <c r="AGR119" s="11"/>
      <c r="AGS119" s="11"/>
      <c r="AGT119" s="11"/>
      <c r="AGU119" s="11"/>
      <c r="AGV119" s="11">
        <v>108498.75</v>
      </c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>
        <v>6895135.9699999997</v>
      </c>
      <c r="AHV119" s="269" t="s">
        <v>6278</v>
      </c>
      <c r="AHW119" s="269" t="s">
        <v>6179</v>
      </c>
      <c r="AHX119" s="269" t="s">
        <v>6032</v>
      </c>
    </row>
    <row r="120" spans="1:908" x14ac:dyDescent="0.7">
      <c r="A120" s="6" t="s">
        <v>6278</v>
      </c>
      <c r="B120" s="6" t="s">
        <v>6153</v>
      </c>
      <c r="C120" s="6" t="s">
        <v>6154</v>
      </c>
      <c r="D120" s="11">
        <v>0</v>
      </c>
      <c r="E120" s="11"/>
      <c r="F120" s="11"/>
      <c r="G120" s="11">
        <v>500</v>
      </c>
      <c r="H120" s="11">
        <v>62300</v>
      </c>
      <c r="I120" s="11"/>
      <c r="J120" s="11"/>
      <c r="K120" s="11"/>
      <c r="L120" s="11"/>
      <c r="M120" s="11"/>
      <c r="N120" s="11"/>
      <c r="O120" s="11">
        <v>81.25</v>
      </c>
      <c r="P120" s="11"/>
      <c r="Q120" s="11"/>
      <c r="R120" s="11"/>
      <c r="S120" s="11"/>
      <c r="T120" s="11">
        <v>87705</v>
      </c>
      <c r="U120" s="11"/>
      <c r="V120" s="11"/>
      <c r="W120" s="11"/>
      <c r="X120" s="11"/>
      <c r="Y120" s="11"/>
      <c r="Z120" s="11">
        <v>455105.51</v>
      </c>
      <c r="AA120" s="11"/>
      <c r="AB120" s="11">
        <v>11280</v>
      </c>
      <c r="AC120" s="11"/>
      <c r="AD120" s="11"/>
      <c r="AE120" s="11">
        <v>1621.34</v>
      </c>
      <c r="AF120" s="11"/>
      <c r="AG120" s="11"/>
      <c r="AH120" s="11"/>
      <c r="AI120" s="11">
        <v>822330.49</v>
      </c>
      <c r="AJ120" s="11"/>
      <c r="AK120" s="11"/>
      <c r="AL120" s="11"/>
      <c r="AM120" s="11"/>
      <c r="AN120" s="11"/>
      <c r="AO120" s="11">
        <v>378299.3</v>
      </c>
      <c r="AP120" s="11"/>
      <c r="AQ120" s="11"/>
      <c r="AR120" s="11"/>
      <c r="AS120" s="11"/>
      <c r="AT120" s="11"/>
      <c r="AU120" s="11">
        <v>159008</v>
      </c>
      <c r="AV120" s="11"/>
      <c r="AW120" s="11"/>
      <c r="AX120" s="11"/>
      <c r="AY120" s="11"/>
      <c r="AZ120" s="11"/>
      <c r="BA120" s="11"/>
      <c r="BB120" s="11"/>
      <c r="BC120" s="11">
        <v>331284.65000000002</v>
      </c>
      <c r="BD120" s="11"/>
      <c r="BE120" s="11"/>
      <c r="BF120" s="11">
        <v>574166</v>
      </c>
      <c r="BG120" s="11"/>
      <c r="BH120" s="11"/>
      <c r="BI120" s="11">
        <v>90170</v>
      </c>
      <c r="BJ120" s="11">
        <v>1407759.93</v>
      </c>
      <c r="BK120" s="11"/>
      <c r="BL120" s="11">
        <v>199287.78</v>
      </c>
      <c r="BM120" s="11"/>
      <c r="BN120" s="11"/>
      <c r="BO120" s="11"/>
      <c r="BP120" s="11"/>
      <c r="BQ120" s="11">
        <v>0</v>
      </c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>
        <v>2331754</v>
      </c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>
        <v>42100</v>
      </c>
      <c r="CZ120" s="11">
        <v>9300</v>
      </c>
      <c r="DA120" s="11"/>
      <c r="DB120" s="11"/>
      <c r="DC120" s="11">
        <v>1026628.78</v>
      </c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>
        <v>506</v>
      </c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>
        <v>3470</v>
      </c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>
        <v>900</v>
      </c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>
        <v>37790</v>
      </c>
      <c r="FF120" s="11"/>
      <c r="FG120" s="11"/>
      <c r="FH120" s="11">
        <v>242649</v>
      </c>
      <c r="FI120" s="11"/>
      <c r="FJ120" s="11"/>
      <c r="FK120" s="11">
        <v>105488.55</v>
      </c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>
        <v>0</v>
      </c>
      <c r="FY120" s="11"/>
      <c r="FZ120" s="11"/>
      <c r="GA120" s="11"/>
      <c r="GB120" s="11"/>
      <c r="GC120" s="11"/>
      <c r="GD120" s="11"/>
      <c r="GE120" s="11"/>
      <c r="GF120" s="11"/>
      <c r="GG120" s="11">
        <v>203933.38</v>
      </c>
      <c r="GH120" s="11"/>
      <c r="GI120" s="11"/>
      <c r="GJ120" s="11"/>
      <c r="GK120" s="11"/>
      <c r="GL120" s="11"/>
      <c r="GM120" s="11">
        <v>0</v>
      </c>
      <c r="GN120" s="11">
        <v>0</v>
      </c>
      <c r="GO120" s="11"/>
      <c r="GP120" s="11"/>
      <c r="GQ120" s="11"/>
      <c r="GR120" s="11"/>
      <c r="GS120" s="11"/>
      <c r="GT120" s="11">
        <v>0</v>
      </c>
      <c r="GU120" s="11">
        <v>120000</v>
      </c>
      <c r="GV120" s="11"/>
      <c r="GW120" s="11"/>
      <c r="GX120" s="11"/>
      <c r="GY120" s="11"/>
      <c r="GZ120" s="11"/>
      <c r="HA120" s="11"/>
      <c r="HB120" s="11"/>
      <c r="HC120" s="11">
        <v>14143096</v>
      </c>
      <c r="HD120" s="11">
        <v>8117</v>
      </c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>
        <v>195000</v>
      </c>
      <c r="HX120" s="11">
        <v>3000</v>
      </c>
      <c r="HY120" s="11"/>
      <c r="HZ120" s="11"/>
      <c r="IA120" s="11"/>
      <c r="IB120" s="11"/>
      <c r="IC120" s="11"/>
      <c r="ID120" s="11"/>
      <c r="IE120" s="11">
        <v>4579</v>
      </c>
      <c r="IF120" s="11">
        <v>4826</v>
      </c>
      <c r="IG120" s="11"/>
      <c r="IH120" s="11">
        <v>4253</v>
      </c>
      <c r="II120" s="11">
        <v>0</v>
      </c>
      <c r="IJ120" s="11"/>
      <c r="IK120" s="11"/>
      <c r="IL120" s="11"/>
      <c r="IM120" s="11"/>
      <c r="IN120" s="11"/>
      <c r="IO120" s="11"/>
      <c r="IP120" s="11"/>
      <c r="IQ120" s="11"/>
      <c r="IR120" s="11">
        <v>21327.759999999998</v>
      </c>
      <c r="IS120" s="11"/>
      <c r="IT120" s="11"/>
      <c r="IU120" s="11"/>
      <c r="IV120" s="11"/>
      <c r="IW120" s="11"/>
      <c r="IX120" s="11">
        <v>36324.36</v>
      </c>
      <c r="IY120" s="11"/>
      <c r="IZ120" s="11">
        <v>214060</v>
      </c>
      <c r="JA120" s="11"/>
      <c r="JB120" s="11"/>
      <c r="JC120" s="11"/>
      <c r="JD120" s="11"/>
      <c r="JE120" s="11"/>
      <c r="JF120" s="11"/>
      <c r="JG120" s="11"/>
      <c r="JH120" s="11"/>
      <c r="JI120" s="11">
        <v>47900.3</v>
      </c>
      <c r="JJ120" s="11"/>
      <c r="JK120" s="11">
        <v>4750</v>
      </c>
      <c r="JL120" s="11"/>
      <c r="JM120" s="11"/>
      <c r="JN120" s="11"/>
      <c r="JO120" s="11">
        <v>50130.06</v>
      </c>
      <c r="JP120" s="11"/>
      <c r="JQ120" s="11"/>
      <c r="JR120" s="11"/>
      <c r="JS120" s="11"/>
      <c r="JT120" s="11"/>
      <c r="JU120" s="11"/>
      <c r="JV120" s="11"/>
      <c r="JW120" s="11"/>
      <c r="JX120" s="11"/>
      <c r="JY120" s="11">
        <v>18297.78</v>
      </c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>
        <v>7030</v>
      </c>
      <c r="KX120" s="11"/>
      <c r="KY120" s="11"/>
      <c r="KZ120" s="11">
        <v>0</v>
      </c>
      <c r="LA120" s="11"/>
      <c r="LB120" s="11">
        <v>131560</v>
      </c>
      <c r="LC120" s="11"/>
      <c r="LD120" s="11"/>
      <c r="LE120" s="11"/>
      <c r="LF120" s="11"/>
      <c r="LG120" s="11"/>
      <c r="LH120" s="11">
        <v>15000</v>
      </c>
      <c r="LI120" s="11"/>
      <c r="LJ120" s="11"/>
      <c r="LK120" s="11"/>
      <c r="LL120" s="11">
        <v>3370.5</v>
      </c>
      <c r="LM120" s="11"/>
      <c r="LN120" s="11"/>
      <c r="LO120" s="11"/>
      <c r="LP120" s="11"/>
      <c r="LQ120" s="11"/>
      <c r="LR120" s="11"/>
      <c r="LS120" s="11">
        <v>7523</v>
      </c>
      <c r="LT120" s="11"/>
      <c r="LU120" s="11"/>
      <c r="LV120" s="11"/>
      <c r="LW120" s="11"/>
      <c r="LX120" s="11"/>
      <c r="LY120" s="11">
        <v>1581502.32</v>
      </c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>
        <v>11556</v>
      </c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>
        <v>953268</v>
      </c>
      <c r="MW120" s="11"/>
      <c r="MX120" s="11"/>
      <c r="MY120" s="11"/>
      <c r="MZ120" s="11">
        <v>32614.92</v>
      </c>
      <c r="NA120" s="11"/>
      <c r="NB120" s="11"/>
      <c r="NC120" s="11">
        <v>131449.23000000001</v>
      </c>
      <c r="ND120" s="11"/>
      <c r="NE120" s="11"/>
      <c r="NF120" s="11"/>
      <c r="NG120" s="11"/>
      <c r="NH120" s="11"/>
      <c r="NI120" s="11"/>
      <c r="NJ120" s="11">
        <v>58497</v>
      </c>
      <c r="NK120" s="11"/>
      <c r="NL120" s="11">
        <v>27041</v>
      </c>
      <c r="NM120" s="11"/>
      <c r="NN120" s="11">
        <v>7066</v>
      </c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>
        <v>207500</v>
      </c>
      <c r="OA120" s="11">
        <v>126358.2</v>
      </c>
      <c r="OB120" s="11">
        <v>0</v>
      </c>
      <c r="OC120" s="11"/>
      <c r="OD120" s="11">
        <v>30909.5</v>
      </c>
      <c r="OE120" s="11"/>
      <c r="OF120" s="11"/>
      <c r="OG120" s="11"/>
      <c r="OH120" s="11"/>
      <c r="OI120" s="11"/>
      <c r="OJ120" s="11">
        <v>0</v>
      </c>
      <c r="OK120" s="11"/>
      <c r="OL120" s="11">
        <v>34000</v>
      </c>
      <c r="OM120" s="11"/>
      <c r="ON120" s="11"/>
      <c r="OO120" s="11"/>
      <c r="OP120" s="11"/>
      <c r="OQ120" s="11"/>
      <c r="OR120" s="11"/>
      <c r="OS120" s="11">
        <v>173176</v>
      </c>
      <c r="OT120" s="11"/>
      <c r="OU120" s="11"/>
      <c r="OV120" s="11"/>
      <c r="OW120" s="11"/>
      <c r="OX120" s="11"/>
      <c r="OY120" s="11"/>
      <c r="OZ120" s="11"/>
      <c r="PA120" s="11"/>
      <c r="PB120" s="11"/>
      <c r="PC120" s="11">
        <v>27586.74</v>
      </c>
      <c r="PD120" s="11">
        <v>115901</v>
      </c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>
        <v>20000</v>
      </c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>
        <v>49308</v>
      </c>
      <c r="QY120" s="11"/>
      <c r="QZ120" s="11"/>
      <c r="RA120" s="11"/>
      <c r="RB120" s="11"/>
      <c r="RC120" s="11"/>
      <c r="RD120" s="11">
        <v>119187.19</v>
      </c>
      <c r="RE120" s="11"/>
      <c r="RF120" s="11"/>
      <c r="RG120" s="11"/>
      <c r="RH120" s="11"/>
      <c r="RI120" s="11">
        <v>1034057.5</v>
      </c>
      <c r="RJ120" s="11"/>
      <c r="RK120" s="11">
        <v>1665857.55</v>
      </c>
      <c r="RL120" s="11">
        <v>53781.5</v>
      </c>
      <c r="RM120" s="11">
        <v>9240</v>
      </c>
      <c r="RN120" s="11"/>
      <c r="RO120" s="11"/>
      <c r="RP120" s="11"/>
      <c r="RQ120" s="11">
        <v>2550</v>
      </c>
      <c r="RR120" s="11"/>
      <c r="RS120" s="11"/>
      <c r="RT120" s="11"/>
      <c r="RU120" s="11"/>
      <c r="RV120" s="11"/>
      <c r="RW120" s="11"/>
      <c r="RX120" s="11">
        <v>6000</v>
      </c>
      <c r="RY120" s="11">
        <v>282222.09999999998</v>
      </c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>
        <v>142918.39999999999</v>
      </c>
      <c r="SM120" s="11"/>
      <c r="SN120" s="11">
        <v>31375</v>
      </c>
      <c r="SO120" s="11"/>
      <c r="SP120" s="11">
        <v>13.3</v>
      </c>
      <c r="SQ120" s="11">
        <v>1883811.71</v>
      </c>
      <c r="SR120" s="11"/>
      <c r="SS120" s="11"/>
      <c r="ST120" s="11"/>
      <c r="SU120" s="11"/>
      <c r="SV120" s="11"/>
      <c r="SW120" s="11">
        <v>0</v>
      </c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>
        <v>82566.5</v>
      </c>
      <c r="TO120" s="11"/>
      <c r="TP120" s="11"/>
      <c r="TQ120" s="11"/>
      <c r="TR120" s="11"/>
      <c r="TS120" s="11">
        <v>26599.919999999998</v>
      </c>
      <c r="TT120" s="11"/>
      <c r="TU120" s="11">
        <v>601600</v>
      </c>
      <c r="TV120" s="11">
        <v>12000</v>
      </c>
      <c r="TW120" s="11"/>
      <c r="TX120" s="11"/>
      <c r="TY120" s="11">
        <v>1490</v>
      </c>
      <c r="TZ120" s="11"/>
      <c r="UA120" s="11"/>
      <c r="UB120" s="11"/>
      <c r="UC120" s="11">
        <v>14576</v>
      </c>
      <c r="UD120" s="11">
        <v>0</v>
      </c>
      <c r="UE120" s="11"/>
      <c r="UF120" s="11">
        <v>211427</v>
      </c>
      <c r="UG120" s="11"/>
      <c r="UH120" s="11"/>
      <c r="UI120" s="11">
        <v>865437.5</v>
      </c>
      <c r="UJ120" s="11">
        <v>37290</v>
      </c>
      <c r="UK120" s="11"/>
      <c r="UL120" s="11"/>
      <c r="UM120" s="11">
        <v>0</v>
      </c>
      <c r="UN120" s="11"/>
      <c r="UO120" s="11"/>
      <c r="UP120" s="11"/>
      <c r="UQ120" s="11"/>
      <c r="UR120" s="11"/>
      <c r="US120" s="11"/>
      <c r="UT120" s="11">
        <v>63399.75</v>
      </c>
      <c r="UU120" s="11"/>
      <c r="UV120" s="11"/>
      <c r="UW120" s="11"/>
      <c r="UX120" s="11"/>
      <c r="UY120" s="11"/>
      <c r="UZ120" s="11"/>
      <c r="VA120" s="11">
        <v>66650.350000000006</v>
      </c>
      <c r="VB120" s="11"/>
      <c r="VC120" s="11"/>
      <c r="VD120" s="11"/>
      <c r="VE120" s="11">
        <v>0</v>
      </c>
      <c r="VF120" s="11">
        <v>7325</v>
      </c>
      <c r="VG120" s="11"/>
      <c r="VH120" s="11"/>
      <c r="VI120" s="11">
        <v>26175</v>
      </c>
      <c r="VJ120" s="11"/>
      <c r="VK120" s="11"/>
      <c r="VL120" s="11"/>
      <c r="VM120" s="11"/>
      <c r="VN120" s="11"/>
      <c r="VO120" s="11"/>
      <c r="VP120" s="11">
        <v>34319.839999999997</v>
      </c>
      <c r="VQ120" s="11"/>
      <c r="VR120" s="11"/>
      <c r="VS120" s="11"/>
      <c r="VT120" s="11"/>
      <c r="VU120" s="11">
        <v>0</v>
      </c>
      <c r="VV120" s="11"/>
      <c r="VW120" s="11"/>
      <c r="VX120" s="11">
        <v>1043788.92</v>
      </c>
      <c r="VY120" s="11">
        <v>171230.28</v>
      </c>
      <c r="VZ120" s="11"/>
      <c r="WA120" s="11"/>
      <c r="WB120" s="11">
        <v>32025</v>
      </c>
      <c r="WC120" s="11"/>
      <c r="WD120" s="11"/>
      <c r="WE120" s="11"/>
      <c r="WF120" s="11"/>
      <c r="WG120" s="11"/>
      <c r="WH120" s="11">
        <v>2316938.0499999998</v>
      </c>
      <c r="WI120" s="11">
        <v>1374071.55</v>
      </c>
      <c r="WJ120" s="11"/>
      <c r="WK120" s="11">
        <v>12255.17</v>
      </c>
      <c r="WL120" s="11"/>
      <c r="WM120" s="11"/>
      <c r="WN120" s="11"/>
      <c r="WO120" s="11"/>
      <c r="WP120" s="11">
        <v>184022.08</v>
      </c>
      <c r="WQ120" s="11">
        <v>0</v>
      </c>
      <c r="WR120" s="11">
        <v>13146</v>
      </c>
      <c r="WS120" s="11"/>
      <c r="WT120" s="11"/>
      <c r="WU120" s="11">
        <v>24841</v>
      </c>
      <c r="WV120" s="11"/>
      <c r="WW120" s="11">
        <v>214650</v>
      </c>
      <c r="WX120" s="11"/>
      <c r="WY120" s="11">
        <v>107572.5</v>
      </c>
      <c r="WZ120" s="11"/>
      <c r="XA120" s="11"/>
      <c r="XB120" s="11"/>
      <c r="XC120" s="11">
        <v>407556.43</v>
      </c>
      <c r="XD120" s="11">
        <v>5245042.37</v>
      </c>
      <c r="XE120" s="11"/>
      <c r="XF120" s="11"/>
      <c r="XG120" s="11"/>
      <c r="XH120" s="11"/>
      <c r="XI120" s="11">
        <v>2060</v>
      </c>
      <c r="XJ120" s="11"/>
      <c r="XK120" s="11"/>
      <c r="XL120" s="11"/>
      <c r="XM120" s="11"/>
      <c r="XN120" s="11">
        <v>13619</v>
      </c>
      <c r="XO120" s="11">
        <v>21216</v>
      </c>
      <c r="XP120" s="11"/>
      <c r="XQ120" s="11">
        <v>175567</v>
      </c>
      <c r="XR120" s="11">
        <v>24806</v>
      </c>
      <c r="XS120" s="11">
        <v>0</v>
      </c>
      <c r="XT120" s="11"/>
      <c r="XU120" s="11">
        <v>7256</v>
      </c>
      <c r="XV120" s="11">
        <v>8612</v>
      </c>
      <c r="XW120" s="11">
        <v>9819</v>
      </c>
      <c r="XX120" s="11">
        <v>0</v>
      </c>
      <c r="XY120" s="11">
        <v>0</v>
      </c>
      <c r="XZ120" s="11">
        <v>8587</v>
      </c>
      <c r="YA120" s="11">
        <v>0</v>
      </c>
      <c r="YB120" s="11"/>
      <c r="YC120" s="11"/>
      <c r="YD120" s="11"/>
      <c r="YE120" s="11">
        <v>0</v>
      </c>
      <c r="YF120" s="11"/>
      <c r="YG120" s="11"/>
      <c r="YH120" s="11"/>
      <c r="YI120" s="11"/>
      <c r="YJ120" s="11"/>
      <c r="YK120" s="11"/>
      <c r="YL120" s="11">
        <v>283663.89</v>
      </c>
      <c r="YM120" s="11"/>
      <c r="YN120" s="11"/>
      <c r="YO120" s="11"/>
      <c r="YP120" s="11"/>
      <c r="YQ120" s="11"/>
      <c r="YR120" s="11"/>
      <c r="YS120" s="11"/>
      <c r="YT120" s="11"/>
      <c r="YU120" s="11">
        <v>50575</v>
      </c>
      <c r="YV120" s="11"/>
      <c r="YW120" s="11">
        <v>758725.56</v>
      </c>
      <c r="YX120" s="11"/>
      <c r="YY120" s="11"/>
      <c r="YZ120" s="11"/>
      <c r="ZA120" s="11"/>
      <c r="ZB120" s="11"/>
      <c r="ZC120" s="11"/>
      <c r="ZD120" s="11">
        <v>880000</v>
      </c>
      <c r="ZE120" s="11"/>
      <c r="ZF120" s="11">
        <v>395349</v>
      </c>
      <c r="ZG120" s="11"/>
      <c r="ZH120" s="11"/>
      <c r="ZI120" s="11"/>
      <c r="ZJ120" s="11"/>
      <c r="ZK120" s="11">
        <v>2241.34</v>
      </c>
      <c r="ZL120" s="11"/>
      <c r="ZM120" s="11">
        <v>0</v>
      </c>
      <c r="ZN120" s="11"/>
      <c r="ZO120" s="11"/>
      <c r="ZP120" s="11"/>
      <c r="ZQ120" s="11"/>
      <c r="ZR120" s="11"/>
      <c r="ZS120" s="11">
        <v>76400</v>
      </c>
      <c r="ZT120" s="11"/>
      <c r="ZU120" s="11"/>
      <c r="ZV120" s="11">
        <v>22776</v>
      </c>
      <c r="ZW120" s="11"/>
      <c r="ZX120" s="11"/>
      <c r="ZY120" s="11">
        <v>206856.44</v>
      </c>
      <c r="ZZ120" s="11">
        <v>104500</v>
      </c>
      <c r="AAA120" s="11"/>
      <c r="AAB120" s="11">
        <v>489852.64</v>
      </c>
      <c r="AAC120" s="11">
        <v>22416</v>
      </c>
      <c r="AAD120" s="11"/>
      <c r="AAE120" s="11"/>
      <c r="AAF120" s="11">
        <v>5810</v>
      </c>
      <c r="AAG120" s="11"/>
      <c r="AAH120" s="11">
        <v>269460</v>
      </c>
      <c r="AAI120" s="11">
        <v>0</v>
      </c>
      <c r="AAJ120" s="11">
        <v>2375.46</v>
      </c>
      <c r="AAK120" s="11"/>
      <c r="AAL120" s="11"/>
      <c r="AAM120" s="11">
        <v>642834.59</v>
      </c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>
        <v>14829</v>
      </c>
      <c r="ABA120" s="11"/>
      <c r="ABB120" s="11"/>
      <c r="ABC120" s="11"/>
      <c r="ABD120" s="11"/>
      <c r="ABE120" s="11"/>
      <c r="ABF120" s="11">
        <v>539300</v>
      </c>
      <c r="ABG120" s="11"/>
      <c r="ABH120" s="11">
        <v>26380</v>
      </c>
      <c r="ABI120" s="11"/>
      <c r="ABJ120" s="11"/>
      <c r="ABK120" s="11"/>
      <c r="ABL120" s="11"/>
      <c r="ABM120" s="11"/>
      <c r="ABN120" s="11"/>
      <c r="ABO120" s="11"/>
      <c r="ABP120" s="11">
        <v>5752945.4400000004</v>
      </c>
      <c r="ABQ120" s="11"/>
      <c r="ABR120" s="11"/>
      <c r="ABS120" s="11">
        <v>9896</v>
      </c>
      <c r="ABT120" s="11">
        <v>10988</v>
      </c>
      <c r="ABU120" s="11"/>
      <c r="ABV120" s="11"/>
      <c r="ABW120" s="11">
        <v>20802</v>
      </c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>
        <v>494264</v>
      </c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>
        <v>39893</v>
      </c>
      <c r="ADK120" s="11"/>
      <c r="ADL120" s="11">
        <v>98400</v>
      </c>
      <c r="ADM120" s="11"/>
      <c r="ADN120" s="11"/>
      <c r="ADO120" s="11"/>
      <c r="ADP120" s="11"/>
      <c r="ADQ120" s="11"/>
      <c r="ADR120" s="11"/>
      <c r="ADS120" s="11">
        <v>14400</v>
      </c>
      <c r="ADT120" s="11"/>
      <c r="ADU120" s="11"/>
      <c r="ADV120" s="11"/>
      <c r="ADW120" s="11"/>
      <c r="ADX120" s="11"/>
      <c r="ADY120" s="11"/>
      <c r="ADZ120" s="11"/>
      <c r="AEA120" s="11">
        <v>8538</v>
      </c>
      <c r="AEB120" s="11"/>
      <c r="AEC120" s="11">
        <v>431291.04</v>
      </c>
      <c r="AED120" s="11"/>
      <c r="AEE120" s="11"/>
      <c r="AEF120" s="11">
        <v>642842.73</v>
      </c>
      <c r="AEG120" s="11"/>
      <c r="AEH120" s="11">
        <v>54974.400000000001</v>
      </c>
      <c r="AEI120" s="11"/>
      <c r="AEJ120" s="11"/>
      <c r="AEK120" s="11"/>
      <c r="AEL120" s="11"/>
      <c r="AEM120" s="11">
        <v>365809.91999999998</v>
      </c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>
        <v>37778.800000000003</v>
      </c>
      <c r="AFC120" s="11">
        <v>0</v>
      </c>
      <c r="AFD120" s="11">
        <v>94469</v>
      </c>
      <c r="AFE120" s="11">
        <v>14743.53</v>
      </c>
      <c r="AFF120" s="11"/>
      <c r="AFG120" s="11"/>
      <c r="AFH120" s="11"/>
      <c r="AFI120" s="11">
        <v>0</v>
      </c>
      <c r="AFJ120" s="11">
        <v>756147.54</v>
      </c>
      <c r="AFK120" s="11">
        <v>509632</v>
      </c>
      <c r="AFL120" s="11"/>
      <c r="AFM120" s="11"/>
      <c r="AFN120" s="11"/>
      <c r="AFO120" s="11">
        <v>58424.35</v>
      </c>
      <c r="AFP120" s="11"/>
      <c r="AFQ120" s="11">
        <v>49951</v>
      </c>
      <c r="AFR120" s="11"/>
      <c r="AFS120" s="11">
        <v>836450.5</v>
      </c>
      <c r="AFT120" s="11">
        <v>0</v>
      </c>
      <c r="AFU120" s="11">
        <v>15700</v>
      </c>
      <c r="AFV120" s="11"/>
      <c r="AFW120" s="11"/>
      <c r="AFX120" s="11">
        <v>285391</v>
      </c>
      <c r="AFY120" s="11">
        <v>701.03</v>
      </c>
      <c r="AFZ120" s="11">
        <v>3878</v>
      </c>
      <c r="AGA120" s="11"/>
      <c r="AGB120" s="11">
        <v>6004</v>
      </c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>
        <v>642245.93000000005</v>
      </c>
      <c r="AGO120" s="11"/>
      <c r="AGP120" s="11"/>
      <c r="AGQ120" s="11"/>
      <c r="AGR120" s="11"/>
      <c r="AGS120" s="11"/>
      <c r="AGT120" s="11"/>
      <c r="AGU120" s="11">
        <v>22000</v>
      </c>
      <c r="AGV120" s="11">
        <v>370260</v>
      </c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>
        <v>11667.4</v>
      </c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>
        <v>62368683.620000012</v>
      </c>
      <c r="AHV120" s="269" t="s">
        <v>6278</v>
      </c>
      <c r="AHW120" s="269" t="s">
        <v>6180</v>
      </c>
      <c r="AHX120" s="269" t="s">
        <v>6181</v>
      </c>
    </row>
    <row r="121" spans="1:908" x14ac:dyDescent="0.7">
      <c r="A121" s="6" t="s">
        <v>6278</v>
      </c>
      <c r="B121" s="6" t="s">
        <v>6155</v>
      </c>
      <c r="C121" s="6" t="s">
        <v>6156</v>
      </c>
      <c r="D121" s="11"/>
      <c r="E121" s="11">
        <v>680128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>
        <v>3930</v>
      </c>
      <c r="R121" s="11"/>
      <c r="S121" s="11"/>
      <c r="T121" s="11">
        <v>0</v>
      </c>
      <c r="U121" s="11"/>
      <c r="V121" s="11"/>
      <c r="W121" s="11">
        <v>38536</v>
      </c>
      <c r="X121" s="11"/>
      <c r="Y121" s="11"/>
      <c r="Z121" s="11"/>
      <c r="AA121" s="11">
        <v>278000</v>
      </c>
      <c r="AB121" s="11"/>
      <c r="AC121" s="11"/>
      <c r="AD121" s="11"/>
      <c r="AE121" s="11"/>
      <c r="AF121" s="11"/>
      <c r="AG121" s="11"/>
      <c r="AH121" s="11"/>
      <c r="AI121" s="11"/>
      <c r="AJ121" s="11">
        <v>562318</v>
      </c>
      <c r="AK121" s="11">
        <v>22470</v>
      </c>
      <c r="AL121" s="11">
        <v>9880</v>
      </c>
      <c r="AM121" s="11"/>
      <c r="AN121" s="11"/>
      <c r="AO121" s="11">
        <v>351</v>
      </c>
      <c r="AP121" s="11"/>
      <c r="AQ121" s="11">
        <v>219807.02</v>
      </c>
      <c r="AR121" s="11">
        <v>0</v>
      </c>
      <c r="AS121" s="11">
        <v>230698</v>
      </c>
      <c r="AT121" s="11"/>
      <c r="AU121" s="11"/>
      <c r="AV121" s="11"/>
      <c r="AW121" s="11"/>
      <c r="AX121" s="11">
        <v>32640</v>
      </c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>
        <v>5000</v>
      </c>
      <c r="BL121" s="11">
        <v>0</v>
      </c>
      <c r="BM121" s="11"/>
      <c r="BN121" s="11">
        <v>618690.75</v>
      </c>
      <c r="BO121" s="11">
        <v>27047.5</v>
      </c>
      <c r="BP121" s="11">
        <v>80759</v>
      </c>
      <c r="BQ121" s="11"/>
      <c r="BR121" s="11"/>
      <c r="BS121" s="11"/>
      <c r="BT121" s="11">
        <v>159512</v>
      </c>
      <c r="BU121" s="11">
        <v>130530.5</v>
      </c>
      <c r="BV121" s="11">
        <v>175672</v>
      </c>
      <c r="BW121" s="11">
        <v>23530</v>
      </c>
      <c r="BX121" s="11">
        <v>244118</v>
      </c>
      <c r="BY121" s="11">
        <v>289175.25</v>
      </c>
      <c r="BZ121" s="11">
        <v>1095035.3600000001</v>
      </c>
      <c r="CA121" s="11"/>
      <c r="CB121" s="11">
        <v>3705232.83</v>
      </c>
      <c r="CC121" s="11">
        <v>13125</v>
      </c>
      <c r="CD121" s="11"/>
      <c r="CE121" s="11">
        <v>94445.69</v>
      </c>
      <c r="CF121" s="11">
        <v>90955.5</v>
      </c>
      <c r="CG121" s="11"/>
      <c r="CH121" s="11">
        <v>45957.5</v>
      </c>
      <c r="CI121" s="11">
        <v>232854</v>
      </c>
      <c r="CJ121" s="11">
        <v>175600</v>
      </c>
      <c r="CK121" s="11">
        <v>123916.22</v>
      </c>
      <c r="CL121" s="11"/>
      <c r="CM121" s="11">
        <v>7070</v>
      </c>
      <c r="CN121" s="11"/>
      <c r="CO121" s="11">
        <v>1628</v>
      </c>
      <c r="CP121" s="11">
        <v>40860</v>
      </c>
      <c r="CQ121" s="11">
        <v>63670</v>
      </c>
      <c r="CR121" s="11">
        <v>154234.5</v>
      </c>
      <c r="CS121" s="11">
        <v>27461</v>
      </c>
      <c r="CT121" s="11"/>
      <c r="CU121" s="11"/>
      <c r="CV121" s="11"/>
      <c r="CW121" s="11">
        <v>871000</v>
      </c>
      <c r="CX121" s="11">
        <v>7432</v>
      </c>
      <c r="CY121" s="11">
        <v>946486</v>
      </c>
      <c r="CZ121" s="11">
        <v>335250</v>
      </c>
      <c r="DA121" s="11"/>
      <c r="DB121" s="11"/>
      <c r="DC121" s="11">
        <v>8500</v>
      </c>
      <c r="DD121" s="11"/>
      <c r="DE121" s="11"/>
      <c r="DF121" s="11"/>
      <c r="DG121" s="11"/>
      <c r="DH121" s="11"/>
      <c r="DI121" s="11"/>
      <c r="DJ121" s="11">
        <v>109092</v>
      </c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>
        <v>391609.64</v>
      </c>
      <c r="DW121" s="11"/>
      <c r="DX121" s="11"/>
      <c r="DY121" s="11">
        <v>123370.44</v>
      </c>
      <c r="DZ121" s="11"/>
      <c r="EA121" s="11">
        <v>87000</v>
      </c>
      <c r="EB121" s="11"/>
      <c r="EC121" s="11"/>
      <c r="ED121" s="11"/>
      <c r="EE121" s="11"/>
      <c r="EF121" s="11"/>
      <c r="EG121" s="11"/>
      <c r="EH121" s="11"/>
      <c r="EI121" s="11">
        <v>336703.76</v>
      </c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>
        <v>0</v>
      </c>
      <c r="EZ121" s="11"/>
      <c r="FA121" s="11"/>
      <c r="FB121" s="11"/>
      <c r="FC121" s="11"/>
      <c r="FD121" s="11"/>
      <c r="FE121" s="11">
        <v>76600</v>
      </c>
      <c r="FF121" s="11"/>
      <c r="FG121" s="11"/>
      <c r="FH121" s="11"/>
      <c r="FI121" s="11"/>
      <c r="FJ121" s="11"/>
      <c r="FK121" s="11"/>
      <c r="FL121" s="11">
        <v>203951</v>
      </c>
      <c r="FM121" s="11"/>
      <c r="FN121" s="11"/>
      <c r="FO121" s="11"/>
      <c r="FP121" s="11">
        <v>0</v>
      </c>
      <c r="FQ121" s="11"/>
      <c r="FR121" s="11">
        <v>0</v>
      </c>
      <c r="FS121" s="11"/>
      <c r="FT121" s="11"/>
      <c r="FU121" s="11"/>
      <c r="FV121" s="11"/>
      <c r="FW121" s="11"/>
      <c r="FX121" s="11"/>
      <c r="FY121" s="11"/>
      <c r="FZ121" s="11">
        <v>10000</v>
      </c>
      <c r="GA121" s="11"/>
      <c r="GB121" s="11">
        <v>1071375</v>
      </c>
      <c r="GC121" s="11"/>
      <c r="GD121" s="11"/>
      <c r="GE121" s="11">
        <v>43700</v>
      </c>
      <c r="GF121" s="11"/>
      <c r="GG121" s="11">
        <v>412600</v>
      </c>
      <c r="GH121" s="11"/>
      <c r="GI121" s="11"/>
      <c r="GJ121" s="11"/>
      <c r="GK121" s="11"/>
      <c r="GL121" s="11">
        <v>411650</v>
      </c>
      <c r="GM121" s="11"/>
      <c r="GN121" s="11"/>
      <c r="GO121" s="11">
        <v>78240</v>
      </c>
      <c r="GP121" s="11">
        <v>65000</v>
      </c>
      <c r="GQ121" s="11"/>
      <c r="GR121" s="11"/>
      <c r="GS121" s="11"/>
      <c r="GT121" s="11"/>
      <c r="GU121" s="11">
        <v>92730</v>
      </c>
      <c r="GV121" s="11"/>
      <c r="GW121" s="11"/>
      <c r="GX121" s="11"/>
      <c r="GY121" s="11"/>
      <c r="GZ121" s="11"/>
      <c r="HA121" s="11"/>
      <c r="HB121" s="11"/>
      <c r="HC121" s="11"/>
      <c r="HD121" s="11">
        <v>528742.5</v>
      </c>
      <c r="HE121" s="11">
        <v>448450</v>
      </c>
      <c r="HF121" s="11"/>
      <c r="HG121" s="11"/>
      <c r="HH121" s="11"/>
      <c r="HI121" s="11"/>
      <c r="HJ121" s="11"/>
      <c r="HK121" s="11"/>
      <c r="HL121" s="11"/>
      <c r="HM121" s="11"/>
      <c r="HN121" s="11"/>
      <c r="HO121" s="11">
        <v>183000</v>
      </c>
      <c r="HP121" s="11"/>
      <c r="HQ121" s="11">
        <v>4724.53</v>
      </c>
      <c r="HR121" s="11"/>
      <c r="HS121" s="11"/>
      <c r="HT121" s="11"/>
      <c r="HU121" s="11"/>
      <c r="HV121" s="11"/>
      <c r="HW121" s="11"/>
      <c r="HX121" s="11"/>
      <c r="HY121" s="11"/>
      <c r="HZ121" s="11"/>
      <c r="IA121" s="11">
        <v>24</v>
      </c>
      <c r="IB121" s="11"/>
      <c r="IC121" s="11"/>
      <c r="ID121" s="11">
        <v>15000</v>
      </c>
      <c r="IE121" s="11"/>
      <c r="IF121" s="11"/>
      <c r="IG121" s="11">
        <v>-9514.5</v>
      </c>
      <c r="IH121" s="11"/>
      <c r="II121" s="11"/>
      <c r="IJ121" s="11"/>
      <c r="IK121" s="11"/>
      <c r="IL121" s="11"/>
      <c r="IM121" s="11">
        <v>0</v>
      </c>
      <c r="IN121" s="11"/>
      <c r="IO121" s="11"/>
      <c r="IP121" s="11">
        <v>96600</v>
      </c>
      <c r="IQ121" s="11"/>
      <c r="IR121" s="11">
        <v>355179.9</v>
      </c>
      <c r="IS121" s="11"/>
      <c r="IT121" s="11"/>
      <c r="IU121" s="11">
        <v>0</v>
      </c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>
        <v>150869</v>
      </c>
      <c r="JH121" s="11"/>
      <c r="JI121" s="11"/>
      <c r="JJ121" s="11"/>
      <c r="JK121" s="11"/>
      <c r="JL121" s="11"/>
      <c r="JM121" s="11"/>
      <c r="JN121" s="11"/>
      <c r="JO121" s="11"/>
      <c r="JP121" s="11">
        <v>834</v>
      </c>
      <c r="JQ121" s="11"/>
      <c r="JR121" s="11"/>
      <c r="JS121" s="11">
        <v>55440</v>
      </c>
      <c r="JT121" s="11"/>
      <c r="JU121" s="11">
        <v>0</v>
      </c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>
        <v>953892</v>
      </c>
      <c r="KK121" s="11"/>
      <c r="KL121" s="11"/>
      <c r="KM121" s="11">
        <v>169500</v>
      </c>
      <c r="KN121" s="11">
        <v>0</v>
      </c>
      <c r="KO121" s="11"/>
      <c r="KP121" s="11"/>
      <c r="KQ121" s="11"/>
      <c r="KR121" s="11"/>
      <c r="KS121" s="11">
        <v>0</v>
      </c>
      <c r="KT121" s="11"/>
      <c r="KU121" s="11"/>
      <c r="KV121" s="11"/>
      <c r="KW121" s="11"/>
      <c r="KX121" s="11"/>
      <c r="KY121" s="11"/>
      <c r="KZ121" s="11"/>
      <c r="LA121" s="11">
        <v>335500</v>
      </c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>
        <v>77750</v>
      </c>
      <c r="LM121" s="11"/>
      <c r="LN121" s="11"/>
      <c r="LO121" s="11"/>
      <c r="LP121" s="11"/>
      <c r="LQ121" s="11"/>
      <c r="LR121" s="11"/>
      <c r="LS121" s="11"/>
      <c r="LT121" s="11"/>
      <c r="LU121" s="11">
        <v>0</v>
      </c>
      <c r="LV121" s="11"/>
      <c r="LW121" s="11"/>
      <c r="LX121" s="11">
        <v>0</v>
      </c>
      <c r="LY121" s="11">
        <v>0</v>
      </c>
      <c r="LZ121" s="11"/>
      <c r="MA121" s="11"/>
      <c r="MB121" s="11"/>
      <c r="MC121" s="11"/>
      <c r="MD121" s="11"/>
      <c r="ME121" s="11"/>
      <c r="MF121" s="11"/>
      <c r="MG121" s="11">
        <v>8884</v>
      </c>
      <c r="MH121" s="11"/>
      <c r="MI121" s="11"/>
      <c r="MJ121" s="11"/>
      <c r="MK121" s="11">
        <v>0</v>
      </c>
      <c r="ML121" s="11"/>
      <c r="MM121" s="11"/>
      <c r="MN121" s="11"/>
      <c r="MO121" s="11"/>
      <c r="MP121" s="11"/>
      <c r="MQ121" s="11"/>
      <c r="MR121" s="11">
        <v>58691</v>
      </c>
      <c r="MS121" s="11"/>
      <c r="MT121" s="11"/>
      <c r="MU121" s="11"/>
      <c r="MV121" s="11"/>
      <c r="MW121" s="11"/>
      <c r="MX121" s="11">
        <v>4359.93</v>
      </c>
      <c r="MY121" s="11"/>
      <c r="MZ121" s="11"/>
      <c r="NA121" s="11"/>
      <c r="NB121" s="11"/>
      <c r="NC121" s="11">
        <v>18000</v>
      </c>
      <c r="ND121" s="11"/>
      <c r="NE121" s="11"/>
      <c r="NF121" s="11"/>
      <c r="NG121" s="11"/>
      <c r="NH121" s="11"/>
      <c r="NI121" s="11">
        <v>824875</v>
      </c>
      <c r="NJ121" s="11"/>
      <c r="NK121" s="11">
        <v>204800</v>
      </c>
      <c r="NL121" s="11">
        <v>5309250</v>
      </c>
      <c r="NM121" s="11"/>
      <c r="NN121" s="11">
        <v>1826445.32</v>
      </c>
      <c r="NO121" s="11">
        <v>112719</v>
      </c>
      <c r="NP121" s="11"/>
      <c r="NQ121" s="11"/>
      <c r="NR121" s="11"/>
      <c r="NS121" s="11">
        <v>129000</v>
      </c>
      <c r="NT121" s="11"/>
      <c r="NU121" s="11">
        <v>0</v>
      </c>
      <c r="NV121" s="11"/>
      <c r="NW121" s="11">
        <v>0</v>
      </c>
      <c r="NX121" s="11"/>
      <c r="NY121" s="11"/>
      <c r="NZ121" s="11"/>
      <c r="OA121" s="11">
        <v>54156.4</v>
      </c>
      <c r="OB121" s="11">
        <v>0</v>
      </c>
      <c r="OC121" s="11">
        <v>0</v>
      </c>
      <c r="OD121" s="11">
        <v>210</v>
      </c>
      <c r="OE121" s="11"/>
      <c r="OF121" s="11"/>
      <c r="OG121" s="11"/>
      <c r="OH121" s="11">
        <v>600487</v>
      </c>
      <c r="OI121" s="11">
        <v>1200047.72</v>
      </c>
      <c r="OJ121" s="11"/>
      <c r="OK121" s="11"/>
      <c r="OL121" s="11">
        <v>115700.09</v>
      </c>
      <c r="OM121" s="11"/>
      <c r="ON121" s="11"/>
      <c r="OO121" s="11"/>
      <c r="OP121" s="11"/>
      <c r="OQ121" s="11"/>
      <c r="OR121" s="11"/>
      <c r="OS121" s="11"/>
      <c r="OT121" s="11"/>
      <c r="OU121" s="11"/>
      <c r="OV121" s="11">
        <v>8980</v>
      </c>
      <c r="OW121" s="11">
        <v>49775</v>
      </c>
      <c r="OX121" s="11"/>
      <c r="OY121" s="11"/>
      <c r="OZ121" s="11">
        <v>999</v>
      </c>
      <c r="PA121" s="11"/>
      <c r="PB121" s="11"/>
      <c r="PC121" s="11">
        <v>0</v>
      </c>
      <c r="PD121" s="11"/>
      <c r="PE121" s="11">
        <v>1138500</v>
      </c>
      <c r="PF121" s="11">
        <v>10140</v>
      </c>
      <c r="PG121" s="11"/>
      <c r="PH121" s="11"/>
      <c r="PI121" s="11"/>
      <c r="PJ121" s="11">
        <v>227000</v>
      </c>
      <c r="PK121" s="11">
        <v>642359.5</v>
      </c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>
        <v>853318.2</v>
      </c>
      <c r="PW121" s="11"/>
      <c r="PX121" s="11"/>
      <c r="PY121" s="11"/>
      <c r="PZ121" s="11"/>
      <c r="QA121" s="11"/>
      <c r="QB121" s="11"/>
      <c r="QC121" s="11">
        <v>4030500</v>
      </c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>
        <v>0</v>
      </c>
      <c r="QO121" s="11"/>
      <c r="QP121" s="11"/>
      <c r="QQ121" s="11"/>
      <c r="QR121" s="11"/>
      <c r="QS121" s="11"/>
      <c r="QT121" s="11">
        <v>164800</v>
      </c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>
        <v>223386</v>
      </c>
      <c r="RN121" s="11"/>
      <c r="RO121" s="11"/>
      <c r="RP121" s="11"/>
      <c r="RQ121" s="11">
        <v>1363410</v>
      </c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>
        <v>0</v>
      </c>
      <c r="SE121" s="11">
        <v>8832425</v>
      </c>
      <c r="SF121" s="11"/>
      <c r="SG121" s="11"/>
      <c r="SH121" s="11">
        <v>12810550</v>
      </c>
      <c r="SI121" s="11">
        <v>822000</v>
      </c>
      <c r="SJ121" s="11">
        <v>570500</v>
      </c>
      <c r="SK121" s="11"/>
      <c r="SL121" s="11">
        <v>801800</v>
      </c>
      <c r="SM121" s="11"/>
      <c r="SN121" s="11"/>
      <c r="SO121" s="11">
        <v>6000</v>
      </c>
      <c r="SP121" s="11"/>
      <c r="SQ121" s="11">
        <v>21171.75</v>
      </c>
      <c r="SR121" s="11"/>
      <c r="SS121" s="11"/>
      <c r="ST121" s="11">
        <v>283522.67</v>
      </c>
      <c r="SU121" s="11"/>
      <c r="SV121" s="11"/>
      <c r="SW121" s="11"/>
      <c r="SX121" s="11">
        <v>3183600</v>
      </c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>
        <v>1396125</v>
      </c>
      <c r="TL121" s="11"/>
      <c r="TM121" s="11">
        <v>2902904</v>
      </c>
      <c r="TN121" s="11">
        <v>0</v>
      </c>
      <c r="TO121" s="11">
        <v>887149</v>
      </c>
      <c r="TP121" s="11"/>
      <c r="TQ121" s="11">
        <v>1709896</v>
      </c>
      <c r="TR121" s="11">
        <v>578500</v>
      </c>
      <c r="TS121" s="11">
        <v>566840</v>
      </c>
      <c r="TT121" s="11">
        <v>313016.67</v>
      </c>
      <c r="TU121" s="11">
        <v>1000</v>
      </c>
      <c r="TV121" s="11">
        <v>214375</v>
      </c>
      <c r="TW121" s="11">
        <v>743200</v>
      </c>
      <c r="TX121" s="11">
        <v>2959875</v>
      </c>
      <c r="TY121" s="11">
        <v>38500</v>
      </c>
      <c r="TZ121" s="11"/>
      <c r="UA121" s="11">
        <v>645500</v>
      </c>
      <c r="UB121" s="11"/>
      <c r="UC121" s="11"/>
      <c r="UD121" s="11">
        <v>26398.5</v>
      </c>
      <c r="UE121" s="11"/>
      <c r="UF121" s="11">
        <v>10208926</v>
      </c>
      <c r="UG121" s="11">
        <v>5030606.6100000003</v>
      </c>
      <c r="UH121" s="11"/>
      <c r="UI121" s="11">
        <v>10756</v>
      </c>
      <c r="UJ121" s="11">
        <v>1206033.26</v>
      </c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>
        <v>0</v>
      </c>
      <c r="UY121" s="11"/>
      <c r="UZ121" s="11"/>
      <c r="VA121" s="11"/>
      <c r="VB121" s="11"/>
      <c r="VC121" s="11">
        <v>3192900</v>
      </c>
      <c r="VD121" s="11"/>
      <c r="VE121" s="11"/>
      <c r="VF121" s="11"/>
      <c r="VG121" s="11"/>
      <c r="VH121" s="11">
        <v>178040.6</v>
      </c>
      <c r="VI121" s="11"/>
      <c r="VJ121" s="11">
        <v>57500</v>
      </c>
      <c r="VK121" s="11"/>
      <c r="VL121" s="11">
        <v>3127</v>
      </c>
      <c r="VM121" s="11"/>
      <c r="VN121" s="11"/>
      <c r="VO121" s="11">
        <v>225857.25</v>
      </c>
      <c r="VP121" s="11">
        <v>1641340</v>
      </c>
      <c r="VQ121" s="11"/>
      <c r="VR121" s="11">
        <v>187449.15</v>
      </c>
      <c r="VS121" s="11">
        <v>411000</v>
      </c>
      <c r="VT121" s="11"/>
      <c r="VU121" s="11">
        <v>0</v>
      </c>
      <c r="VV121" s="11"/>
      <c r="VW121" s="11">
        <v>0</v>
      </c>
      <c r="VX121" s="11">
        <v>218188.4</v>
      </c>
      <c r="VY121" s="11">
        <v>882843.15</v>
      </c>
      <c r="VZ121" s="11">
        <v>0</v>
      </c>
      <c r="WA121" s="11"/>
      <c r="WB121" s="11"/>
      <c r="WC121" s="11"/>
      <c r="WD121" s="11">
        <v>15298</v>
      </c>
      <c r="WE121" s="11">
        <v>6720</v>
      </c>
      <c r="WF121" s="11"/>
      <c r="WG121" s="11">
        <v>10000</v>
      </c>
      <c r="WH121" s="11"/>
      <c r="WI121" s="11"/>
      <c r="WJ121" s="11">
        <v>444083.33</v>
      </c>
      <c r="WK121" s="11">
        <v>94450</v>
      </c>
      <c r="WL121" s="11">
        <v>314625</v>
      </c>
      <c r="WM121" s="11">
        <v>65870</v>
      </c>
      <c r="WN121" s="11">
        <v>1577200</v>
      </c>
      <c r="WO121" s="11"/>
      <c r="WP121" s="11"/>
      <c r="WQ121" s="11"/>
      <c r="WR121" s="11"/>
      <c r="WS121" s="11">
        <v>25658</v>
      </c>
      <c r="WT121" s="11">
        <v>43901</v>
      </c>
      <c r="WU121" s="11">
        <v>87690</v>
      </c>
      <c r="WV121" s="11">
        <v>1488851.61</v>
      </c>
      <c r="WW121" s="11"/>
      <c r="WX121" s="11">
        <v>4000</v>
      </c>
      <c r="WY121" s="11"/>
      <c r="WZ121" s="11">
        <v>2418200</v>
      </c>
      <c r="XA121" s="11"/>
      <c r="XB121" s="11"/>
      <c r="XC121" s="11">
        <v>156000</v>
      </c>
      <c r="XD121" s="11"/>
      <c r="XE121" s="11"/>
      <c r="XF121" s="11">
        <v>138821</v>
      </c>
      <c r="XG121" s="11">
        <v>644</v>
      </c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>
        <v>43165</v>
      </c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>
        <v>249040.55</v>
      </c>
      <c r="YM121" s="11"/>
      <c r="YN121" s="11">
        <v>19</v>
      </c>
      <c r="YO121" s="11"/>
      <c r="YP121" s="11"/>
      <c r="YQ121" s="11">
        <v>18480</v>
      </c>
      <c r="YR121" s="11">
        <v>354769</v>
      </c>
      <c r="YS121" s="11"/>
      <c r="YT121" s="11"/>
      <c r="YU121" s="11"/>
      <c r="YV121" s="11">
        <v>338500</v>
      </c>
      <c r="YW121" s="11">
        <v>183514</v>
      </c>
      <c r="YX121" s="11">
        <v>995000</v>
      </c>
      <c r="YY121" s="11">
        <v>183950</v>
      </c>
      <c r="YZ121" s="11">
        <v>40750</v>
      </c>
      <c r="ZA121" s="11"/>
      <c r="ZB121" s="11">
        <v>106950</v>
      </c>
      <c r="ZC121" s="11">
        <v>2395000</v>
      </c>
      <c r="ZD121" s="11">
        <v>48703.19</v>
      </c>
      <c r="ZE121" s="11"/>
      <c r="ZF121" s="11"/>
      <c r="ZG121" s="11"/>
      <c r="ZH121" s="11"/>
      <c r="ZI121" s="11"/>
      <c r="ZJ121" s="11">
        <v>202575.17</v>
      </c>
      <c r="ZK121" s="11">
        <v>142660</v>
      </c>
      <c r="ZL121" s="11"/>
      <c r="ZM121" s="11">
        <v>178139</v>
      </c>
      <c r="ZN121" s="11">
        <v>123500</v>
      </c>
      <c r="ZO121" s="11">
        <v>0</v>
      </c>
      <c r="ZP121" s="11"/>
      <c r="ZQ121" s="11">
        <v>742000</v>
      </c>
      <c r="ZR121" s="11"/>
      <c r="ZS121" s="11"/>
      <c r="ZT121" s="11">
        <v>2379422</v>
      </c>
      <c r="ZU121" s="11">
        <v>326500</v>
      </c>
      <c r="ZV121" s="11"/>
      <c r="ZW121" s="11"/>
      <c r="ZX121" s="11"/>
      <c r="ZY121" s="11"/>
      <c r="ZZ121" s="11"/>
      <c r="AAA121" s="11"/>
      <c r="AAB121" s="11">
        <v>111000</v>
      </c>
      <c r="AAC121" s="11"/>
      <c r="AAD121" s="11"/>
      <c r="AAE121" s="11"/>
      <c r="AAF121" s="11"/>
      <c r="AAG121" s="11">
        <v>79000</v>
      </c>
      <c r="AAH121" s="11">
        <v>76000</v>
      </c>
      <c r="AAI121" s="11"/>
      <c r="AAJ121" s="11">
        <v>520000</v>
      </c>
      <c r="AAK121" s="11"/>
      <c r="AAL121" s="11"/>
      <c r="AAM121" s="11"/>
      <c r="AAN121" s="11"/>
      <c r="AAO121" s="11">
        <v>578000</v>
      </c>
      <c r="AAP121" s="11">
        <v>6695838</v>
      </c>
      <c r="AAQ121" s="11">
        <v>23990</v>
      </c>
      <c r="AAR121" s="11">
        <v>24200</v>
      </c>
      <c r="AAS121" s="11">
        <v>757793.62</v>
      </c>
      <c r="AAT121" s="11">
        <v>286000</v>
      </c>
      <c r="AAU121" s="11"/>
      <c r="AAV121" s="11"/>
      <c r="AAW121" s="11">
        <v>775250</v>
      </c>
      <c r="AAX121" s="11">
        <v>72592</v>
      </c>
      <c r="AAY121" s="11">
        <v>37780</v>
      </c>
      <c r="AAZ121" s="11">
        <v>54325</v>
      </c>
      <c r="ABA121" s="11"/>
      <c r="ABB121" s="11">
        <v>0</v>
      </c>
      <c r="ABC121" s="11"/>
      <c r="ABD121" s="11">
        <v>1294800</v>
      </c>
      <c r="ABE121" s="11"/>
      <c r="ABF121" s="11">
        <v>1088579</v>
      </c>
      <c r="ABG121" s="11"/>
      <c r="ABH121" s="11"/>
      <c r="ABI121" s="11"/>
      <c r="ABJ121" s="11"/>
      <c r="ABK121" s="11">
        <v>291500</v>
      </c>
      <c r="ABL121" s="11">
        <v>39740</v>
      </c>
      <c r="ABM121" s="11"/>
      <c r="ABN121" s="11">
        <v>0</v>
      </c>
      <c r="ABO121" s="11"/>
      <c r="ABP121" s="11"/>
      <c r="ABQ121" s="11"/>
      <c r="ABR121" s="11"/>
      <c r="ABS121" s="11">
        <v>455918</v>
      </c>
      <c r="ABT121" s="11">
        <v>10000</v>
      </c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>
        <v>83635.66</v>
      </c>
      <c r="ACE121" s="11"/>
      <c r="ACF121" s="11"/>
      <c r="ACG121" s="11">
        <v>3575</v>
      </c>
      <c r="ACH121" s="11"/>
      <c r="ACI121" s="11"/>
      <c r="ACJ121" s="11">
        <v>8430278.6600000001</v>
      </c>
      <c r="ACK121" s="11"/>
      <c r="ACL121" s="11">
        <v>12258.55</v>
      </c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>
        <v>37500</v>
      </c>
      <c r="ADK121" s="11"/>
      <c r="ADL121" s="11">
        <v>44110</v>
      </c>
      <c r="ADM121" s="11"/>
      <c r="ADN121" s="11"/>
      <c r="ADO121" s="11">
        <v>1705500</v>
      </c>
      <c r="ADP121" s="11">
        <v>0</v>
      </c>
      <c r="ADQ121" s="11"/>
      <c r="ADR121" s="11"/>
      <c r="ADS121" s="11"/>
      <c r="ADT121" s="11"/>
      <c r="ADU121" s="11"/>
      <c r="ADV121" s="11">
        <v>0</v>
      </c>
      <c r="ADW121" s="11"/>
      <c r="ADX121" s="11"/>
      <c r="ADY121" s="11">
        <v>167406</v>
      </c>
      <c r="ADZ121" s="11">
        <v>0</v>
      </c>
      <c r="AEA121" s="11">
        <v>0</v>
      </c>
      <c r="AEB121" s="11"/>
      <c r="AEC121" s="11">
        <v>312180</v>
      </c>
      <c r="AED121" s="11"/>
      <c r="AEE121" s="11"/>
      <c r="AEF121" s="11">
        <v>31100</v>
      </c>
      <c r="AEG121" s="11"/>
      <c r="AEH121" s="11"/>
      <c r="AEI121" s="11"/>
      <c r="AEJ121" s="11"/>
      <c r="AEK121" s="11"/>
      <c r="AEL121" s="11"/>
      <c r="AEM121" s="11">
        <v>887206</v>
      </c>
      <c r="AEN121" s="11"/>
      <c r="AEO121" s="11">
        <v>105880</v>
      </c>
      <c r="AEP121" s="11">
        <v>1000</v>
      </c>
      <c r="AEQ121" s="11">
        <v>1489713.51</v>
      </c>
      <c r="AER121" s="11"/>
      <c r="AES121" s="11"/>
      <c r="AET121" s="11">
        <v>0</v>
      </c>
      <c r="AEU121" s="11"/>
      <c r="AEV121" s="11">
        <v>4063597.42</v>
      </c>
      <c r="AEW121" s="11"/>
      <c r="AEX121" s="11"/>
      <c r="AEY121" s="11">
        <v>160939.67000000001</v>
      </c>
      <c r="AEZ121" s="11"/>
      <c r="AFA121" s="11">
        <v>6794</v>
      </c>
      <c r="AFB121" s="11"/>
      <c r="AFC121" s="11"/>
      <c r="AFD121" s="11">
        <v>14659</v>
      </c>
      <c r="AFE121" s="11">
        <v>865000</v>
      </c>
      <c r="AFF121" s="11">
        <v>1043915</v>
      </c>
      <c r="AFG121" s="11">
        <v>706454.5</v>
      </c>
      <c r="AFH121" s="11">
        <v>698517.5</v>
      </c>
      <c r="AFI121" s="11">
        <v>605385</v>
      </c>
      <c r="AFJ121" s="11">
        <v>602319</v>
      </c>
      <c r="AFK121" s="11">
        <v>322325</v>
      </c>
      <c r="AFL121" s="11">
        <v>36500</v>
      </c>
      <c r="AFM121" s="11">
        <v>277010</v>
      </c>
      <c r="AFN121" s="11">
        <v>1578539.3</v>
      </c>
      <c r="AFO121" s="11">
        <v>634789.5</v>
      </c>
      <c r="AFP121" s="11">
        <v>5592687.5</v>
      </c>
      <c r="AFQ121" s="11"/>
      <c r="AFR121" s="11">
        <v>620974.27</v>
      </c>
      <c r="AFS121" s="11"/>
      <c r="AFT121" s="11"/>
      <c r="AFU121" s="11"/>
      <c r="AFV121" s="11"/>
      <c r="AFW121" s="11"/>
      <c r="AFX121" s="11"/>
      <c r="AFY121" s="11"/>
      <c r="AFZ121" s="11">
        <v>13000</v>
      </c>
      <c r="AGA121" s="11">
        <v>19370</v>
      </c>
      <c r="AGB121" s="11"/>
      <c r="AGC121" s="11"/>
      <c r="AGD121" s="11"/>
      <c r="AGE121" s="11"/>
      <c r="AGF121" s="11"/>
      <c r="AGG121" s="11">
        <v>449700</v>
      </c>
      <c r="AGH121" s="11"/>
      <c r="AGI121" s="11"/>
      <c r="AGJ121" s="11"/>
      <c r="AGK121" s="11">
        <v>2488175</v>
      </c>
      <c r="AGL121" s="11"/>
      <c r="AGM121" s="11">
        <v>68800</v>
      </c>
      <c r="AGN121" s="11">
        <v>173900</v>
      </c>
      <c r="AGO121" s="11"/>
      <c r="AGP121" s="11"/>
      <c r="AGQ121" s="11"/>
      <c r="AGR121" s="11">
        <v>21914</v>
      </c>
      <c r="AGS121" s="11"/>
      <c r="AGT121" s="11"/>
      <c r="AGU121" s="11"/>
      <c r="AGV121" s="11"/>
      <c r="AGW121" s="11">
        <v>119484</v>
      </c>
      <c r="AGX121" s="11"/>
      <c r="AGY121" s="11">
        <v>933279</v>
      </c>
      <c r="AGZ121" s="11">
        <v>7164809.5</v>
      </c>
      <c r="AHA121" s="11">
        <v>0</v>
      </c>
      <c r="AHB121" s="11"/>
      <c r="AHC121" s="11"/>
      <c r="AHD121" s="11">
        <v>116280</v>
      </c>
      <c r="AHE121" s="11"/>
      <c r="AHF121" s="11">
        <v>3222944</v>
      </c>
      <c r="AHG121" s="11">
        <v>11172.94</v>
      </c>
      <c r="AHH121" s="11"/>
      <c r="AHI121" s="11">
        <v>276000</v>
      </c>
      <c r="AHJ121" s="11">
        <v>219091</v>
      </c>
      <c r="AHK121" s="11"/>
      <c r="AHL121" s="11">
        <v>652169</v>
      </c>
      <c r="AHM121" s="11"/>
      <c r="AHN121" s="11"/>
      <c r="AHO121" s="11"/>
      <c r="AHP121" s="11">
        <v>249829.88</v>
      </c>
      <c r="AHQ121" s="11"/>
      <c r="AHR121" s="11"/>
      <c r="AHS121" s="11"/>
      <c r="AHT121" s="11">
        <v>178261951.89000002</v>
      </c>
      <c r="AHV121" s="269" t="s">
        <v>6278</v>
      </c>
      <c r="AHW121" s="269" t="s">
        <v>6182</v>
      </c>
      <c r="AHX121" s="269" t="s">
        <v>6183</v>
      </c>
    </row>
    <row r="122" spans="1:908" x14ac:dyDescent="0.7">
      <c r="A122" s="6" t="s">
        <v>6278</v>
      </c>
      <c r="B122" s="6" t="s">
        <v>6182</v>
      </c>
      <c r="C122" s="6" t="s">
        <v>6183</v>
      </c>
      <c r="D122" s="11">
        <v>84748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>
        <v>0</v>
      </c>
      <c r="P122" s="11">
        <v>0</v>
      </c>
      <c r="Q122" s="11"/>
      <c r="R122" s="11"/>
      <c r="S122" s="11"/>
      <c r="T122" s="11">
        <v>108760</v>
      </c>
      <c r="U122" s="11"/>
      <c r="V122" s="11"/>
      <c r="W122" s="11"/>
      <c r="X122" s="11"/>
      <c r="Y122" s="11"/>
      <c r="Z122" s="11"/>
      <c r="AA122" s="11">
        <v>3656</v>
      </c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>
        <v>16500</v>
      </c>
      <c r="AM122" s="11"/>
      <c r="AN122" s="11"/>
      <c r="AO122" s="11"/>
      <c r="AP122" s="11"/>
      <c r="AQ122" s="11"/>
      <c r="AR122" s="11"/>
      <c r="AS122" s="11"/>
      <c r="AT122" s="11">
        <v>19000</v>
      </c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>
        <v>2589.5</v>
      </c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>
        <v>18020.95</v>
      </c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>
        <v>38500</v>
      </c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>
        <v>438333.57</v>
      </c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>
        <v>0</v>
      </c>
      <c r="FV122" s="11"/>
      <c r="FW122" s="11">
        <v>175585</v>
      </c>
      <c r="FX122" s="11"/>
      <c r="FY122" s="11"/>
      <c r="FZ122" s="11"/>
      <c r="GA122" s="11"/>
      <c r="GB122" s="11"/>
      <c r="GC122" s="11">
        <v>20255</v>
      </c>
      <c r="GD122" s="11">
        <v>6823.34</v>
      </c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>
        <v>137100</v>
      </c>
      <c r="IU122" s="11"/>
      <c r="IV122" s="11"/>
      <c r="IW122" s="11"/>
      <c r="IX122" s="11"/>
      <c r="IY122" s="11">
        <v>1800</v>
      </c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>
        <v>719500</v>
      </c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>
        <v>67090</v>
      </c>
      <c r="LG122" s="11"/>
      <c r="LH122" s="11">
        <v>3562260</v>
      </c>
      <c r="LI122" s="11"/>
      <c r="LJ122" s="11"/>
      <c r="LK122" s="11"/>
      <c r="LL122" s="11"/>
      <c r="LM122" s="11">
        <v>4170</v>
      </c>
      <c r="LN122" s="11"/>
      <c r="LO122" s="11">
        <v>206431.45</v>
      </c>
      <c r="LP122" s="11">
        <v>249080</v>
      </c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>
        <v>1225000</v>
      </c>
      <c r="MI122" s="11"/>
      <c r="MJ122" s="11">
        <v>336500</v>
      </c>
      <c r="MK122" s="11"/>
      <c r="ML122" s="11">
        <v>403000</v>
      </c>
      <c r="MM122" s="11">
        <v>1437000</v>
      </c>
      <c r="MN122" s="11">
        <v>1654500</v>
      </c>
      <c r="MO122" s="11"/>
      <c r="MP122" s="11"/>
      <c r="MQ122" s="11"/>
      <c r="MR122" s="11"/>
      <c r="MS122" s="11"/>
      <c r="MT122" s="11"/>
      <c r="MU122" s="11"/>
      <c r="MV122" s="11"/>
      <c r="MW122" s="11"/>
      <c r="MX122" s="11">
        <v>49000</v>
      </c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>
        <v>1600</v>
      </c>
      <c r="OE122" s="11"/>
      <c r="OF122" s="11">
        <v>30000</v>
      </c>
      <c r="OG122" s="11"/>
      <c r="OH122" s="11"/>
      <c r="OI122" s="11"/>
      <c r="OJ122" s="11"/>
      <c r="OK122" s="11"/>
      <c r="OL122" s="11"/>
      <c r="OM122" s="11"/>
      <c r="ON122" s="11"/>
      <c r="OO122" s="11"/>
      <c r="OP122" s="11">
        <v>5835500</v>
      </c>
      <c r="OQ122" s="11"/>
      <c r="OR122" s="11"/>
      <c r="OS122" s="11"/>
      <c r="OT122" s="11"/>
      <c r="OU122" s="11">
        <v>136000</v>
      </c>
      <c r="OV122" s="11"/>
      <c r="OW122" s="11">
        <v>1352836.38</v>
      </c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>
        <v>33163.42</v>
      </c>
      <c r="RB122" s="11"/>
      <c r="RC122" s="11">
        <v>4837</v>
      </c>
      <c r="RD122" s="11">
        <v>0</v>
      </c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>
        <v>34665.9</v>
      </c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>
        <v>44300</v>
      </c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>
        <v>58200</v>
      </c>
      <c r="TK122" s="11"/>
      <c r="TL122" s="11"/>
      <c r="TM122" s="11"/>
      <c r="TN122" s="11"/>
      <c r="TO122" s="11"/>
      <c r="TP122" s="11"/>
      <c r="TQ122" s="11">
        <v>540</v>
      </c>
      <c r="TR122" s="11"/>
      <c r="TS122" s="11"/>
      <c r="TT122" s="11"/>
      <c r="TU122" s="11"/>
      <c r="TV122" s="11"/>
      <c r="TW122" s="11"/>
      <c r="TX122" s="11">
        <v>17500</v>
      </c>
      <c r="TY122" s="11"/>
      <c r="TZ122" s="11"/>
      <c r="UA122" s="11"/>
      <c r="UB122" s="11"/>
      <c r="UC122" s="11"/>
      <c r="UD122" s="11"/>
      <c r="UE122" s="11"/>
      <c r="UF122" s="11">
        <v>103052.87</v>
      </c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>
        <v>20500</v>
      </c>
      <c r="WD122" s="11"/>
      <c r="WE122" s="11"/>
      <c r="WF122" s="11"/>
      <c r="WG122" s="11"/>
      <c r="WH122" s="11"/>
      <c r="WI122" s="11">
        <v>600</v>
      </c>
      <c r="WJ122" s="11"/>
      <c r="WK122" s="11"/>
      <c r="WL122" s="11"/>
      <c r="WM122" s="11"/>
      <c r="WN122" s="11"/>
      <c r="WO122" s="11"/>
      <c r="WP122" s="11">
        <v>33500</v>
      </c>
      <c r="WQ122" s="11">
        <v>2000</v>
      </c>
      <c r="WR122" s="11"/>
      <c r="WS122" s="11"/>
      <c r="WT122" s="11"/>
      <c r="WU122" s="11"/>
      <c r="WV122" s="11"/>
      <c r="WW122" s="11"/>
      <c r="WX122" s="11"/>
      <c r="WY122" s="11"/>
      <c r="WZ122" s="11">
        <v>131900</v>
      </c>
      <c r="XA122" s="11"/>
      <c r="XB122" s="11"/>
      <c r="XC122" s="11"/>
      <c r="XD122" s="11"/>
      <c r="XE122" s="11">
        <v>17500</v>
      </c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>
        <v>277054.94</v>
      </c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>
        <v>26504.35</v>
      </c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>
        <v>3000</v>
      </c>
      <c r="ACI122" s="11"/>
      <c r="ACJ122" s="11">
        <v>1307475.3700000001</v>
      </c>
      <c r="ACK122" s="11"/>
      <c r="ACL122" s="11"/>
      <c r="ACM122" s="11"/>
      <c r="ACN122" s="11"/>
      <c r="ACO122" s="11">
        <v>14226.5</v>
      </c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>
        <v>4656</v>
      </c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>
        <v>969</v>
      </c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>
        <v>2114</v>
      </c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>
        <v>6008.41</v>
      </c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>
        <v>20485406.950000003</v>
      </c>
      <c r="AHV122" s="269" t="s">
        <v>6279</v>
      </c>
      <c r="AHW122" s="269" t="s">
        <v>6184</v>
      </c>
      <c r="AHX122" s="269" t="s">
        <v>6185</v>
      </c>
    </row>
    <row r="123" spans="1:908" x14ac:dyDescent="0.7">
      <c r="A123" s="6" t="s">
        <v>6279</v>
      </c>
      <c r="B123" s="6" t="s">
        <v>6184</v>
      </c>
      <c r="C123" s="6" t="s">
        <v>6185</v>
      </c>
      <c r="D123" s="11">
        <v>685500</v>
      </c>
      <c r="E123" s="11">
        <v>2828</v>
      </c>
      <c r="F123" s="11">
        <v>0</v>
      </c>
      <c r="G123" s="11">
        <v>1723</v>
      </c>
      <c r="H123" s="11">
        <v>122500</v>
      </c>
      <c r="I123" s="11">
        <v>0</v>
      </c>
      <c r="J123" s="11">
        <v>2219986.38</v>
      </c>
      <c r="K123" s="11">
        <v>0</v>
      </c>
      <c r="L123" s="11">
        <v>59931.35</v>
      </c>
      <c r="M123" s="11">
        <v>0</v>
      </c>
      <c r="N123" s="11">
        <v>9512</v>
      </c>
      <c r="O123" s="11">
        <v>50226</v>
      </c>
      <c r="P123" s="11">
        <v>0</v>
      </c>
      <c r="Q123" s="11">
        <v>294105.7</v>
      </c>
      <c r="R123" s="11">
        <v>1828</v>
      </c>
      <c r="S123" s="11">
        <v>8500</v>
      </c>
      <c r="T123" s="11">
        <v>24999.200000000001</v>
      </c>
      <c r="U123" s="11">
        <v>58679.5</v>
      </c>
      <c r="V123" s="11">
        <v>29110856.640000001</v>
      </c>
      <c r="W123" s="11">
        <v>243859.33</v>
      </c>
      <c r="X123" s="11">
        <v>1562947.12</v>
      </c>
      <c r="Y123" s="11"/>
      <c r="Z123" s="11">
        <v>2971716.35</v>
      </c>
      <c r="AA123" s="11">
        <v>125954.35</v>
      </c>
      <c r="AB123" s="11">
        <v>2313070.17</v>
      </c>
      <c r="AC123" s="11">
        <v>3381439.85</v>
      </c>
      <c r="AD123" s="11">
        <v>1000</v>
      </c>
      <c r="AE123" s="11">
        <v>638981.18000000005</v>
      </c>
      <c r="AF123" s="11">
        <v>310281.64</v>
      </c>
      <c r="AG123" s="11">
        <v>3624169.61</v>
      </c>
      <c r="AH123" s="11">
        <v>2083643.49</v>
      </c>
      <c r="AI123" s="11">
        <v>878097.22</v>
      </c>
      <c r="AJ123" s="11">
        <v>144420.47</v>
      </c>
      <c r="AK123" s="11">
        <v>239743.58</v>
      </c>
      <c r="AL123" s="11">
        <v>101778.55</v>
      </c>
      <c r="AM123" s="11">
        <v>1269347.3500000001</v>
      </c>
      <c r="AN123" s="11">
        <v>50696.91</v>
      </c>
      <c r="AO123" s="11">
        <v>1314522.32</v>
      </c>
      <c r="AP123" s="11">
        <v>122376.89</v>
      </c>
      <c r="AQ123" s="11">
        <v>203816.22</v>
      </c>
      <c r="AR123" s="11">
        <v>2025914.39</v>
      </c>
      <c r="AS123" s="11">
        <v>73533.78</v>
      </c>
      <c r="AT123" s="11">
        <v>1416</v>
      </c>
      <c r="AU123" s="11">
        <v>11882</v>
      </c>
      <c r="AV123" s="11">
        <v>13478</v>
      </c>
      <c r="AW123" s="11">
        <v>14824.35</v>
      </c>
      <c r="AX123" s="11">
        <v>222279</v>
      </c>
      <c r="AY123" s="11">
        <v>33886</v>
      </c>
      <c r="AZ123" s="11">
        <v>150</v>
      </c>
      <c r="BA123" s="11">
        <v>0</v>
      </c>
      <c r="BB123" s="11">
        <v>2070</v>
      </c>
      <c r="BC123" s="11"/>
      <c r="BD123" s="11"/>
      <c r="BE123" s="11"/>
      <c r="BF123" s="11"/>
      <c r="BG123" s="11"/>
      <c r="BH123" s="11">
        <v>1040</v>
      </c>
      <c r="BI123" s="11">
        <v>61393</v>
      </c>
      <c r="BJ123" s="11"/>
      <c r="BK123" s="11">
        <v>0</v>
      </c>
      <c r="BL123" s="11">
        <v>21034</v>
      </c>
      <c r="BM123" s="11">
        <v>12000</v>
      </c>
      <c r="BN123" s="11">
        <v>3169.73</v>
      </c>
      <c r="BO123" s="11">
        <v>0</v>
      </c>
      <c r="BP123" s="11"/>
      <c r="BQ123" s="11"/>
      <c r="BR123" s="11"/>
      <c r="BS123" s="11">
        <v>4000</v>
      </c>
      <c r="BT123" s="11">
        <v>49894</v>
      </c>
      <c r="BU123" s="11">
        <v>69939</v>
      </c>
      <c r="BV123" s="11">
        <v>42018</v>
      </c>
      <c r="BW123" s="11">
        <v>18179</v>
      </c>
      <c r="BX123" s="11">
        <v>4200</v>
      </c>
      <c r="BY123" s="11">
        <v>15231</v>
      </c>
      <c r="BZ123" s="11">
        <v>0</v>
      </c>
      <c r="CA123" s="11"/>
      <c r="CB123" s="11">
        <v>16922</v>
      </c>
      <c r="CC123" s="11">
        <v>0</v>
      </c>
      <c r="CD123" s="11"/>
      <c r="CE123" s="11">
        <v>6178</v>
      </c>
      <c r="CF123" s="11">
        <v>40368.97</v>
      </c>
      <c r="CG123" s="11">
        <v>122000</v>
      </c>
      <c r="CH123" s="11">
        <v>163132</v>
      </c>
      <c r="CI123" s="11">
        <v>0</v>
      </c>
      <c r="CJ123" s="11">
        <v>46764</v>
      </c>
      <c r="CK123" s="11">
        <v>28727.119999999999</v>
      </c>
      <c r="CL123" s="11">
        <v>30088</v>
      </c>
      <c r="CM123" s="11">
        <v>6113</v>
      </c>
      <c r="CN123" s="11">
        <v>500</v>
      </c>
      <c r="CO123" s="11">
        <v>13293</v>
      </c>
      <c r="CP123" s="11">
        <v>0</v>
      </c>
      <c r="CQ123" s="11"/>
      <c r="CR123" s="11">
        <v>1403857</v>
      </c>
      <c r="CS123" s="11">
        <v>77001.36</v>
      </c>
      <c r="CT123" s="11">
        <v>0</v>
      </c>
      <c r="CU123" s="11">
        <v>0</v>
      </c>
      <c r="CV123" s="11">
        <v>748725.43</v>
      </c>
      <c r="CW123" s="11">
        <v>59182</v>
      </c>
      <c r="CX123" s="11">
        <v>5326.89</v>
      </c>
      <c r="CY123" s="11">
        <v>812730.9</v>
      </c>
      <c r="CZ123" s="11">
        <v>0</v>
      </c>
      <c r="DA123" s="11">
        <v>216715.5</v>
      </c>
      <c r="DB123" s="11">
        <v>161768.54</v>
      </c>
      <c r="DC123" s="11">
        <v>14917740.74</v>
      </c>
      <c r="DD123" s="11">
        <v>36146</v>
      </c>
      <c r="DE123" s="11">
        <v>7882.21</v>
      </c>
      <c r="DF123" s="11">
        <v>423201</v>
      </c>
      <c r="DG123" s="11">
        <v>1100133.6000000001</v>
      </c>
      <c r="DH123" s="11">
        <v>1039175</v>
      </c>
      <c r="DI123" s="11">
        <v>61096</v>
      </c>
      <c r="DJ123" s="11">
        <v>1162.77</v>
      </c>
      <c r="DK123" s="11">
        <v>2433419.15</v>
      </c>
      <c r="DL123" s="11">
        <v>196223.32</v>
      </c>
      <c r="DM123" s="11">
        <v>190940.59</v>
      </c>
      <c r="DN123" s="11">
        <v>122759</v>
      </c>
      <c r="DO123" s="11">
        <v>102137.45</v>
      </c>
      <c r="DP123" s="11">
        <v>261844.35</v>
      </c>
      <c r="DQ123" s="11">
        <v>809882.24</v>
      </c>
      <c r="DR123" s="11">
        <v>379291</v>
      </c>
      <c r="DS123" s="11">
        <v>442095.19</v>
      </c>
      <c r="DT123" s="11">
        <v>0</v>
      </c>
      <c r="DU123" s="11">
        <v>84875</v>
      </c>
      <c r="DV123" s="11">
        <v>0</v>
      </c>
      <c r="DW123" s="11">
        <v>260698.98</v>
      </c>
      <c r="DX123" s="11">
        <v>36263.96</v>
      </c>
      <c r="DY123" s="11">
        <v>471555.5</v>
      </c>
      <c r="DZ123" s="11">
        <v>0</v>
      </c>
      <c r="EA123" s="11">
        <v>70969.5</v>
      </c>
      <c r="EB123" s="11">
        <v>28274</v>
      </c>
      <c r="EC123" s="11">
        <v>53693.4</v>
      </c>
      <c r="ED123" s="11">
        <v>17893</v>
      </c>
      <c r="EE123" s="11">
        <v>3189.5</v>
      </c>
      <c r="EF123" s="11">
        <v>0</v>
      </c>
      <c r="EG123" s="11">
        <v>76178</v>
      </c>
      <c r="EH123" s="11">
        <v>28177.73</v>
      </c>
      <c r="EI123" s="11">
        <v>56127.96</v>
      </c>
      <c r="EJ123" s="11">
        <v>246132.2</v>
      </c>
      <c r="EK123" s="11">
        <v>28000</v>
      </c>
      <c r="EL123" s="11">
        <v>12794.75</v>
      </c>
      <c r="EM123" s="11">
        <v>80414.2</v>
      </c>
      <c r="EN123" s="11">
        <v>108156.01</v>
      </c>
      <c r="EO123" s="11"/>
      <c r="EP123" s="11"/>
      <c r="EQ123" s="11"/>
      <c r="ER123" s="11"/>
      <c r="ES123" s="11"/>
      <c r="ET123" s="11"/>
      <c r="EU123" s="11"/>
      <c r="EV123" s="11"/>
      <c r="EW123" s="11">
        <v>37941.760000000002</v>
      </c>
      <c r="EX123" s="11">
        <v>155670.67000000001</v>
      </c>
      <c r="EY123" s="11">
        <v>170469.77</v>
      </c>
      <c r="EZ123" s="11">
        <v>72462</v>
      </c>
      <c r="FA123" s="11">
        <v>11996</v>
      </c>
      <c r="FB123" s="11">
        <v>2917</v>
      </c>
      <c r="FC123" s="11">
        <v>626812.85</v>
      </c>
      <c r="FD123" s="11">
        <v>218101.33</v>
      </c>
      <c r="FE123" s="11">
        <v>677779.59</v>
      </c>
      <c r="FF123" s="11">
        <v>155674.51999999999</v>
      </c>
      <c r="FG123" s="11">
        <v>199050</v>
      </c>
      <c r="FH123" s="11">
        <v>401739.5</v>
      </c>
      <c r="FI123" s="11">
        <v>432224.36</v>
      </c>
      <c r="FJ123" s="11">
        <v>148336</v>
      </c>
      <c r="FK123" s="11"/>
      <c r="FL123" s="11">
        <v>21226.75</v>
      </c>
      <c r="FM123" s="11">
        <v>64238.04</v>
      </c>
      <c r="FN123" s="11">
        <v>0</v>
      </c>
      <c r="FO123" s="11">
        <v>3772</v>
      </c>
      <c r="FP123" s="11"/>
      <c r="FQ123" s="11">
        <v>0</v>
      </c>
      <c r="FR123" s="11">
        <v>47179</v>
      </c>
      <c r="FS123" s="11">
        <v>22285</v>
      </c>
      <c r="FT123" s="11">
        <v>33476</v>
      </c>
      <c r="FU123" s="11">
        <v>14197</v>
      </c>
      <c r="FV123" s="11">
        <v>95479.66</v>
      </c>
      <c r="FW123" s="11">
        <v>19003</v>
      </c>
      <c r="FX123" s="11">
        <v>263509</v>
      </c>
      <c r="FY123" s="11">
        <v>17379.5</v>
      </c>
      <c r="FZ123" s="11">
        <v>61040</v>
      </c>
      <c r="GA123" s="11">
        <v>47838.32</v>
      </c>
      <c r="GB123" s="11">
        <v>163034.9</v>
      </c>
      <c r="GC123" s="11">
        <v>44103</v>
      </c>
      <c r="GD123" s="11"/>
      <c r="GE123" s="11">
        <v>29906</v>
      </c>
      <c r="GF123" s="11">
        <v>71830.95</v>
      </c>
      <c r="GG123" s="11">
        <v>311888.40999999997</v>
      </c>
      <c r="GH123" s="11">
        <v>198574.5</v>
      </c>
      <c r="GI123" s="11">
        <v>76784.5</v>
      </c>
      <c r="GJ123" s="11">
        <v>139233</v>
      </c>
      <c r="GK123" s="11">
        <v>1034</v>
      </c>
      <c r="GL123" s="11">
        <v>0</v>
      </c>
      <c r="GM123" s="11">
        <v>98406.25</v>
      </c>
      <c r="GN123" s="11"/>
      <c r="GO123" s="11"/>
      <c r="GP123" s="11"/>
      <c r="GQ123" s="11">
        <v>28276</v>
      </c>
      <c r="GR123" s="11"/>
      <c r="GS123" s="11"/>
      <c r="GT123" s="11">
        <v>286</v>
      </c>
      <c r="GU123" s="11"/>
      <c r="GV123" s="11"/>
      <c r="GW123" s="11"/>
      <c r="GX123" s="11"/>
      <c r="GY123" s="11">
        <v>535884.57999999996</v>
      </c>
      <c r="GZ123" s="11"/>
      <c r="HA123" s="11">
        <v>4519335.9400000004</v>
      </c>
      <c r="HB123" s="11">
        <v>1010231</v>
      </c>
      <c r="HC123" s="11">
        <v>6847492.4299999997</v>
      </c>
      <c r="HD123" s="11">
        <v>3972298.96</v>
      </c>
      <c r="HE123" s="11">
        <v>4870421.5</v>
      </c>
      <c r="HF123" s="11">
        <v>4235322.16</v>
      </c>
      <c r="HG123" s="11">
        <v>5119973.5599999996</v>
      </c>
      <c r="HH123" s="11">
        <v>1191692.8999999999</v>
      </c>
      <c r="HI123" s="11">
        <v>1493725.99</v>
      </c>
      <c r="HJ123" s="11"/>
      <c r="HK123" s="11">
        <v>0</v>
      </c>
      <c r="HL123" s="11">
        <v>10447553.25</v>
      </c>
      <c r="HM123" s="11">
        <v>4822672.53</v>
      </c>
      <c r="HN123" s="11">
        <v>10574062.93</v>
      </c>
      <c r="HO123" s="11">
        <v>560778.80000000005</v>
      </c>
      <c r="HP123" s="11">
        <v>1301548.8799999999</v>
      </c>
      <c r="HQ123" s="11">
        <v>3791074.54</v>
      </c>
      <c r="HR123" s="11">
        <v>5367017.5</v>
      </c>
      <c r="HS123" s="11">
        <v>494675.86</v>
      </c>
      <c r="HT123" s="11">
        <v>281743.06</v>
      </c>
      <c r="HU123" s="11">
        <v>313553.5</v>
      </c>
      <c r="HV123" s="11">
        <v>50381</v>
      </c>
      <c r="HW123" s="11">
        <v>1294006.55</v>
      </c>
      <c r="HX123" s="11"/>
      <c r="HY123" s="11">
        <v>276742</v>
      </c>
      <c r="HZ123" s="11">
        <v>377382.5</v>
      </c>
      <c r="IA123" s="11">
        <v>372023.5</v>
      </c>
      <c r="IB123" s="11">
        <v>249195</v>
      </c>
      <c r="IC123" s="11">
        <v>938134.25</v>
      </c>
      <c r="ID123" s="11">
        <v>492036.5</v>
      </c>
      <c r="IE123" s="11"/>
      <c r="IF123" s="11">
        <v>8968.1</v>
      </c>
      <c r="IG123" s="11"/>
      <c r="IH123" s="11"/>
      <c r="II123" s="11">
        <v>2169320.25</v>
      </c>
      <c r="IJ123" s="11">
        <v>154490.75</v>
      </c>
      <c r="IK123" s="11">
        <v>718330.23</v>
      </c>
      <c r="IL123" s="11">
        <v>0</v>
      </c>
      <c r="IM123" s="11">
        <v>162345.22</v>
      </c>
      <c r="IN123" s="11">
        <v>201508</v>
      </c>
      <c r="IO123" s="11">
        <v>39332.5</v>
      </c>
      <c r="IP123" s="11">
        <v>42243</v>
      </c>
      <c r="IQ123" s="11">
        <v>52089.2</v>
      </c>
      <c r="IR123" s="11">
        <v>65846</v>
      </c>
      <c r="IS123" s="11">
        <v>1063747.1000000001</v>
      </c>
      <c r="IT123" s="11"/>
      <c r="IU123" s="11">
        <v>1828</v>
      </c>
      <c r="IV123" s="11">
        <v>949734.48</v>
      </c>
      <c r="IW123" s="11">
        <v>2199238.25</v>
      </c>
      <c r="IX123" s="11">
        <v>1970235.2</v>
      </c>
      <c r="IY123" s="11">
        <v>-2600.5</v>
      </c>
      <c r="IZ123" s="11">
        <v>164617.60999999999</v>
      </c>
      <c r="JA123" s="11">
        <v>33514.15</v>
      </c>
      <c r="JB123" s="11">
        <v>54069</v>
      </c>
      <c r="JC123" s="11">
        <v>31023.96</v>
      </c>
      <c r="JD123" s="11">
        <v>2222290.59</v>
      </c>
      <c r="JE123" s="11">
        <v>8215</v>
      </c>
      <c r="JF123" s="11">
        <v>106975</v>
      </c>
      <c r="JG123" s="11">
        <v>0</v>
      </c>
      <c r="JH123" s="11">
        <v>214474.27</v>
      </c>
      <c r="JI123" s="11">
        <v>165150</v>
      </c>
      <c r="JJ123" s="11">
        <v>17252</v>
      </c>
      <c r="JK123" s="11">
        <v>52462</v>
      </c>
      <c r="JL123" s="11">
        <v>266531.15999999997</v>
      </c>
      <c r="JM123" s="11"/>
      <c r="JN123" s="11">
        <v>2901</v>
      </c>
      <c r="JO123" s="11">
        <v>1208</v>
      </c>
      <c r="JP123" s="11">
        <v>105061</v>
      </c>
      <c r="JQ123" s="11"/>
      <c r="JR123" s="11"/>
      <c r="JS123" s="11"/>
      <c r="JT123" s="11"/>
      <c r="JU123" s="11"/>
      <c r="JV123" s="11">
        <v>0</v>
      </c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>
        <v>3081329.34</v>
      </c>
      <c r="KJ123" s="11">
        <v>1961319.88</v>
      </c>
      <c r="KK123" s="11">
        <v>1714752.69</v>
      </c>
      <c r="KL123" s="11">
        <v>2389585.96</v>
      </c>
      <c r="KM123" s="11">
        <v>2002368.87</v>
      </c>
      <c r="KN123" s="11">
        <v>6138627.5999999996</v>
      </c>
      <c r="KO123" s="11">
        <v>2210847.19</v>
      </c>
      <c r="KP123" s="11">
        <v>1157962</v>
      </c>
      <c r="KQ123" s="11">
        <v>70112</v>
      </c>
      <c r="KR123" s="11">
        <v>0</v>
      </c>
      <c r="KS123" s="11">
        <v>828150.6</v>
      </c>
      <c r="KT123" s="11">
        <v>1319796.27</v>
      </c>
      <c r="KU123" s="11">
        <v>565611.04</v>
      </c>
      <c r="KV123" s="11">
        <v>6080686.5599999996</v>
      </c>
      <c r="KW123" s="11">
        <v>2655253.9300000002</v>
      </c>
      <c r="KX123" s="11">
        <v>70041.600000000006</v>
      </c>
      <c r="KY123" s="11">
        <v>405552</v>
      </c>
      <c r="KZ123" s="11">
        <v>262192.96999999997</v>
      </c>
      <c r="LA123" s="11">
        <v>1180982</v>
      </c>
      <c r="LB123" s="11">
        <v>298818.75</v>
      </c>
      <c r="LC123" s="11">
        <v>196752.25</v>
      </c>
      <c r="LD123" s="11">
        <v>200217</v>
      </c>
      <c r="LE123" s="11">
        <v>15880</v>
      </c>
      <c r="LF123" s="11">
        <v>553060.39</v>
      </c>
      <c r="LG123" s="11">
        <v>82764.740000000005</v>
      </c>
      <c r="LH123" s="11">
        <v>2988439.79</v>
      </c>
      <c r="LI123" s="11">
        <v>332698.25</v>
      </c>
      <c r="LJ123" s="11">
        <v>10000</v>
      </c>
      <c r="LK123" s="11">
        <v>0</v>
      </c>
      <c r="LL123" s="11">
        <v>-511977</v>
      </c>
      <c r="LM123" s="11">
        <v>1467861.38</v>
      </c>
      <c r="LN123" s="11">
        <v>237515</v>
      </c>
      <c r="LO123" s="11">
        <v>630949.42000000004</v>
      </c>
      <c r="LP123" s="11">
        <v>-18791</v>
      </c>
      <c r="LQ123" s="11">
        <v>966148.57</v>
      </c>
      <c r="LR123" s="11">
        <v>912419.05</v>
      </c>
      <c r="LS123" s="11">
        <v>2105800</v>
      </c>
      <c r="LT123" s="11"/>
      <c r="LU123" s="11"/>
      <c r="LV123" s="11">
        <v>10423996.83</v>
      </c>
      <c r="LW123" s="11">
        <v>0</v>
      </c>
      <c r="LX123" s="11">
        <v>1021920</v>
      </c>
      <c r="LY123" s="11">
        <v>1322008.19</v>
      </c>
      <c r="LZ123" s="11">
        <v>0</v>
      </c>
      <c r="MA123" s="11">
        <v>384238</v>
      </c>
      <c r="MB123" s="11">
        <v>442825.03</v>
      </c>
      <c r="MC123" s="11">
        <v>259111.59</v>
      </c>
      <c r="MD123" s="11">
        <v>82852</v>
      </c>
      <c r="ME123" s="11">
        <v>601879.88</v>
      </c>
      <c r="MF123" s="11">
        <v>10776</v>
      </c>
      <c r="MG123" s="11">
        <v>0</v>
      </c>
      <c r="MH123" s="11"/>
      <c r="MI123" s="11">
        <v>969500</v>
      </c>
      <c r="MJ123" s="11"/>
      <c r="MK123" s="11"/>
      <c r="ML123" s="11"/>
      <c r="MM123" s="11"/>
      <c r="MN123" s="11"/>
      <c r="MO123" s="11">
        <v>369850</v>
      </c>
      <c r="MP123" s="11">
        <v>1260500</v>
      </c>
      <c r="MQ123" s="11">
        <v>624500</v>
      </c>
      <c r="MR123" s="11"/>
      <c r="MS123" s="11">
        <v>897000</v>
      </c>
      <c r="MT123" s="11">
        <v>0</v>
      </c>
      <c r="MU123" s="11">
        <v>594459</v>
      </c>
      <c r="MV123" s="11">
        <v>2253399.42</v>
      </c>
      <c r="MW123" s="11">
        <v>557424</v>
      </c>
      <c r="MX123" s="11">
        <v>9102152.1500000004</v>
      </c>
      <c r="MY123" s="11">
        <v>1116686.2</v>
      </c>
      <c r="MZ123" s="11">
        <v>2672527.38</v>
      </c>
      <c r="NA123" s="11">
        <v>1063139.75</v>
      </c>
      <c r="NB123" s="11">
        <v>1832789.47</v>
      </c>
      <c r="NC123" s="11">
        <v>199242.61</v>
      </c>
      <c r="ND123" s="11">
        <v>222619</v>
      </c>
      <c r="NE123" s="11">
        <v>0</v>
      </c>
      <c r="NF123" s="11">
        <v>11025302.5</v>
      </c>
      <c r="NG123" s="11">
        <v>1867318.24</v>
      </c>
      <c r="NH123" s="11">
        <v>36424664.539999999</v>
      </c>
      <c r="NI123" s="11">
        <v>3190787</v>
      </c>
      <c r="NJ123" s="11">
        <v>2528609.4300000002</v>
      </c>
      <c r="NK123" s="11">
        <v>3431155.05</v>
      </c>
      <c r="NL123" s="11">
        <v>39757679.299999997</v>
      </c>
      <c r="NM123" s="11">
        <v>549360</v>
      </c>
      <c r="NN123" s="11">
        <v>13942880.34</v>
      </c>
      <c r="NO123" s="11">
        <v>1340200.21</v>
      </c>
      <c r="NP123" s="11">
        <v>431860.38</v>
      </c>
      <c r="NQ123" s="11">
        <v>928398.62</v>
      </c>
      <c r="NR123" s="11">
        <v>2399176.65</v>
      </c>
      <c r="NS123" s="11">
        <v>3142100.61</v>
      </c>
      <c r="NT123" s="11">
        <v>2154797</v>
      </c>
      <c r="NU123" s="11">
        <v>1509681.55</v>
      </c>
      <c r="NV123" s="11">
        <v>72994.5</v>
      </c>
      <c r="NW123" s="11">
        <v>333760.09999999998</v>
      </c>
      <c r="NX123" s="11">
        <v>1065840</v>
      </c>
      <c r="NY123" s="11">
        <v>4024440.5</v>
      </c>
      <c r="NZ123" s="11">
        <v>242597</v>
      </c>
      <c r="OA123" s="11">
        <v>229486.58</v>
      </c>
      <c r="OB123" s="11">
        <v>5073</v>
      </c>
      <c r="OC123" s="11">
        <v>424405</v>
      </c>
      <c r="OD123" s="11">
        <v>923191</v>
      </c>
      <c r="OE123" s="11">
        <v>6028112.5499999998</v>
      </c>
      <c r="OF123" s="11">
        <v>2435767.4</v>
      </c>
      <c r="OG123" s="11">
        <v>402664.43</v>
      </c>
      <c r="OH123" s="11">
        <v>5072502.07</v>
      </c>
      <c r="OI123" s="11">
        <v>1097629.73</v>
      </c>
      <c r="OJ123" s="11">
        <v>2375491.4300000002</v>
      </c>
      <c r="OK123" s="11">
        <v>2886493.9</v>
      </c>
      <c r="OL123" s="11">
        <v>762645.83</v>
      </c>
      <c r="OM123" s="11"/>
      <c r="ON123" s="11">
        <v>8201335.25</v>
      </c>
      <c r="OO123" s="11">
        <v>2184916.15</v>
      </c>
      <c r="OP123" s="11">
        <v>2870971.04</v>
      </c>
      <c r="OQ123" s="11">
        <v>2371479.2599999998</v>
      </c>
      <c r="OR123" s="11">
        <v>4198831.8099999996</v>
      </c>
      <c r="OS123" s="11"/>
      <c r="OT123" s="11">
        <v>0</v>
      </c>
      <c r="OU123" s="11">
        <v>4138316.69</v>
      </c>
      <c r="OV123" s="11">
        <v>2469761.94</v>
      </c>
      <c r="OW123" s="11">
        <v>823992.12</v>
      </c>
      <c r="OX123" s="11">
        <v>1263535.3600000001</v>
      </c>
      <c r="OY123" s="11">
        <v>3828025.12</v>
      </c>
      <c r="OZ123" s="11">
        <v>105462.88</v>
      </c>
      <c r="PA123" s="11">
        <v>706376.2</v>
      </c>
      <c r="PB123" s="11"/>
      <c r="PC123" s="11">
        <v>0</v>
      </c>
      <c r="PD123" s="11"/>
      <c r="PE123" s="11"/>
      <c r="PF123" s="11">
        <v>10654</v>
      </c>
      <c r="PG123" s="11">
        <v>500</v>
      </c>
      <c r="PH123" s="11">
        <v>50073.25</v>
      </c>
      <c r="PI123" s="11"/>
      <c r="PJ123" s="11">
        <v>11444</v>
      </c>
      <c r="PK123" s="11"/>
      <c r="PL123" s="11">
        <v>19824.419999999998</v>
      </c>
      <c r="PM123" s="11">
        <v>64668.5</v>
      </c>
      <c r="PN123" s="11"/>
      <c r="PO123" s="11">
        <v>39287</v>
      </c>
      <c r="PP123" s="11">
        <v>0</v>
      </c>
      <c r="PQ123" s="11"/>
      <c r="PR123" s="11"/>
      <c r="PS123" s="11"/>
      <c r="PT123" s="11"/>
      <c r="PU123" s="11">
        <v>0</v>
      </c>
      <c r="PV123" s="11">
        <v>-189076.5</v>
      </c>
      <c r="PW123" s="11"/>
      <c r="PX123" s="11">
        <v>30618.5</v>
      </c>
      <c r="PY123" s="11"/>
      <c r="PZ123" s="11"/>
      <c r="QA123" s="11">
        <v>-7400</v>
      </c>
      <c r="QB123" s="11"/>
      <c r="QC123" s="11">
        <v>90488.25</v>
      </c>
      <c r="QD123" s="11"/>
      <c r="QE123" s="11">
        <v>2151.5</v>
      </c>
      <c r="QF123" s="11">
        <v>15337</v>
      </c>
      <c r="QG123" s="11">
        <v>3603</v>
      </c>
      <c r="QH123" s="11">
        <v>13082</v>
      </c>
      <c r="QI123" s="11">
        <v>54434</v>
      </c>
      <c r="QJ123" s="11"/>
      <c r="QK123" s="11">
        <v>3656</v>
      </c>
      <c r="QL123" s="11"/>
      <c r="QM123" s="11">
        <v>5277</v>
      </c>
      <c r="QN123" s="11">
        <v>12796</v>
      </c>
      <c r="QO123" s="11">
        <v>2488</v>
      </c>
      <c r="QP123" s="11">
        <v>206</v>
      </c>
      <c r="QQ123" s="11">
        <v>11938</v>
      </c>
      <c r="QR123" s="11"/>
      <c r="QS123" s="11">
        <v>24137</v>
      </c>
      <c r="QT123" s="11"/>
      <c r="QU123" s="11">
        <v>21852.52</v>
      </c>
      <c r="QV123" s="11">
        <v>1654</v>
      </c>
      <c r="QW123" s="11"/>
      <c r="QX123" s="11">
        <v>5001</v>
      </c>
      <c r="QY123" s="11"/>
      <c r="QZ123" s="11">
        <v>3656</v>
      </c>
      <c r="RA123" s="11"/>
      <c r="RB123" s="11">
        <v>59136</v>
      </c>
      <c r="RC123" s="11">
        <v>21135</v>
      </c>
      <c r="RD123" s="11">
        <v>4256</v>
      </c>
      <c r="RE123" s="11">
        <v>13577</v>
      </c>
      <c r="RF123" s="11"/>
      <c r="RG123" s="11"/>
      <c r="RH123" s="11">
        <v>36622</v>
      </c>
      <c r="RI123" s="11">
        <v>70450</v>
      </c>
      <c r="RJ123" s="11"/>
      <c r="RK123" s="11">
        <v>47207</v>
      </c>
      <c r="RL123" s="11">
        <v>0</v>
      </c>
      <c r="RM123" s="11">
        <v>9977.5</v>
      </c>
      <c r="RN123" s="11">
        <v>34022</v>
      </c>
      <c r="RO123" s="11">
        <v>27640</v>
      </c>
      <c r="RP123" s="11">
        <v>0</v>
      </c>
      <c r="RQ123" s="11">
        <v>25765</v>
      </c>
      <c r="RR123" s="11">
        <v>35435</v>
      </c>
      <c r="RS123" s="11">
        <v>20315</v>
      </c>
      <c r="RT123" s="11">
        <v>11299</v>
      </c>
      <c r="RU123" s="11"/>
      <c r="RV123" s="11">
        <v>0</v>
      </c>
      <c r="RW123" s="11"/>
      <c r="RX123" s="11">
        <v>11268</v>
      </c>
      <c r="RY123" s="11"/>
      <c r="RZ123" s="11"/>
      <c r="SA123" s="11"/>
      <c r="SB123" s="11">
        <v>513114.25</v>
      </c>
      <c r="SC123" s="11"/>
      <c r="SD123" s="11">
        <v>3086.51</v>
      </c>
      <c r="SE123" s="11">
        <v>0</v>
      </c>
      <c r="SF123" s="11">
        <v>40500.050000000003</v>
      </c>
      <c r="SG123" s="11">
        <v>1821</v>
      </c>
      <c r="SH123" s="11">
        <v>79419.11</v>
      </c>
      <c r="SI123" s="11">
        <v>907227.68</v>
      </c>
      <c r="SJ123" s="11">
        <v>31939.13</v>
      </c>
      <c r="SK123" s="11">
        <v>0</v>
      </c>
      <c r="SL123" s="11">
        <v>35178.410000000003</v>
      </c>
      <c r="SM123" s="11">
        <v>14431</v>
      </c>
      <c r="SN123" s="11">
        <v>319438.03000000003</v>
      </c>
      <c r="SO123" s="11">
        <v>99873.68</v>
      </c>
      <c r="SP123" s="11">
        <v>18642.5</v>
      </c>
      <c r="SQ123" s="11">
        <v>62620.04</v>
      </c>
      <c r="SR123" s="11">
        <v>81386.92</v>
      </c>
      <c r="SS123" s="11">
        <v>40521.29</v>
      </c>
      <c r="ST123" s="11">
        <v>112332.07</v>
      </c>
      <c r="SU123" s="11">
        <v>57025.79</v>
      </c>
      <c r="SV123" s="11">
        <v>657957.49</v>
      </c>
      <c r="SW123" s="11">
        <v>30314.15</v>
      </c>
      <c r="SX123" s="11">
        <v>586648</v>
      </c>
      <c r="SY123" s="11">
        <v>156861.23000000001</v>
      </c>
      <c r="SZ123" s="11">
        <v>2589.79</v>
      </c>
      <c r="TA123" s="11">
        <v>144952.78</v>
      </c>
      <c r="TB123" s="11"/>
      <c r="TC123" s="11">
        <v>14310</v>
      </c>
      <c r="TD123" s="11">
        <v>10454.02</v>
      </c>
      <c r="TE123" s="11">
        <v>52846</v>
      </c>
      <c r="TF123" s="11">
        <v>26658.33</v>
      </c>
      <c r="TG123" s="11">
        <v>149253.45000000001</v>
      </c>
      <c r="TH123" s="11">
        <v>59191.18</v>
      </c>
      <c r="TI123" s="11">
        <v>33908.67</v>
      </c>
      <c r="TJ123" s="11">
        <v>182226.84</v>
      </c>
      <c r="TK123" s="11">
        <v>33293.99</v>
      </c>
      <c r="TL123" s="11"/>
      <c r="TM123" s="11">
        <v>51082.84</v>
      </c>
      <c r="TN123" s="11">
        <v>52841.74</v>
      </c>
      <c r="TO123" s="11">
        <v>21730.6</v>
      </c>
      <c r="TP123" s="11">
        <v>11204.48</v>
      </c>
      <c r="TQ123" s="11">
        <v>102114</v>
      </c>
      <c r="TR123" s="11">
        <v>21280.86</v>
      </c>
      <c r="TS123" s="11">
        <v>23223</v>
      </c>
      <c r="TT123" s="11">
        <v>184733.36</v>
      </c>
      <c r="TU123" s="11">
        <v>8633</v>
      </c>
      <c r="TV123" s="11">
        <v>20350.490000000002</v>
      </c>
      <c r="TW123" s="11">
        <v>11314.05</v>
      </c>
      <c r="TX123" s="11">
        <v>18714.939999999999</v>
      </c>
      <c r="TY123" s="11">
        <v>26287.82</v>
      </c>
      <c r="TZ123" s="11">
        <v>239887.98</v>
      </c>
      <c r="UA123" s="11">
        <v>3657.22</v>
      </c>
      <c r="UB123" s="11">
        <v>104459.71</v>
      </c>
      <c r="UC123" s="11">
        <v>178865.76</v>
      </c>
      <c r="UD123" s="11">
        <v>0</v>
      </c>
      <c r="UE123" s="11">
        <v>202761.60000000001</v>
      </c>
      <c r="UF123" s="11">
        <v>107434.94</v>
      </c>
      <c r="UG123" s="11"/>
      <c r="UH123" s="11"/>
      <c r="UI123" s="11"/>
      <c r="UJ123" s="11"/>
      <c r="UK123" s="11">
        <v>80760.92</v>
      </c>
      <c r="UL123" s="11">
        <v>61087.040000000001</v>
      </c>
      <c r="UM123" s="11">
        <v>17213.669999999998</v>
      </c>
      <c r="UN123" s="11">
        <v>16370</v>
      </c>
      <c r="UO123" s="11">
        <v>18948.650000000001</v>
      </c>
      <c r="UP123" s="11">
        <v>45711.21</v>
      </c>
      <c r="UQ123" s="11">
        <v>680</v>
      </c>
      <c r="UR123" s="11">
        <v>20261</v>
      </c>
      <c r="US123" s="11"/>
      <c r="UT123" s="11">
        <v>106117.14</v>
      </c>
      <c r="UU123" s="11">
        <v>1485</v>
      </c>
      <c r="UV123" s="11"/>
      <c r="UW123" s="11">
        <v>72805.14</v>
      </c>
      <c r="UX123" s="11">
        <v>4191</v>
      </c>
      <c r="UY123" s="11"/>
      <c r="UZ123" s="11">
        <v>17470.349999999999</v>
      </c>
      <c r="VA123" s="11">
        <v>36560</v>
      </c>
      <c r="VB123" s="11">
        <v>79755.41</v>
      </c>
      <c r="VC123" s="11">
        <v>0</v>
      </c>
      <c r="VD123" s="11">
        <v>70870.97</v>
      </c>
      <c r="VE123" s="11"/>
      <c r="VF123" s="11">
        <v>6474.17</v>
      </c>
      <c r="VG123" s="11">
        <v>24198.11</v>
      </c>
      <c r="VH123" s="11">
        <v>2008</v>
      </c>
      <c r="VI123" s="11">
        <v>41547.589999999997</v>
      </c>
      <c r="VJ123" s="11"/>
      <c r="VK123" s="11">
        <v>12814.77</v>
      </c>
      <c r="VL123" s="11"/>
      <c r="VM123" s="11">
        <v>0</v>
      </c>
      <c r="VN123" s="11">
        <v>17065</v>
      </c>
      <c r="VO123" s="11">
        <v>0</v>
      </c>
      <c r="VP123" s="11">
        <v>41757</v>
      </c>
      <c r="VQ123" s="11"/>
      <c r="VR123" s="11">
        <v>275696</v>
      </c>
      <c r="VS123" s="11">
        <v>18701.7</v>
      </c>
      <c r="VT123" s="11">
        <v>23434</v>
      </c>
      <c r="VU123" s="11">
        <v>23044.5</v>
      </c>
      <c r="VV123" s="11"/>
      <c r="VW123" s="11">
        <v>13400.25</v>
      </c>
      <c r="VX123" s="11">
        <v>69100</v>
      </c>
      <c r="VY123" s="11">
        <v>62790</v>
      </c>
      <c r="VZ123" s="11">
        <v>10372</v>
      </c>
      <c r="WA123" s="11">
        <v>10716</v>
      </c>
      <c r="WB123" s="11"/>
      <c r="WC123" s="11">
        <v>891862.2</v>
      </c>
      <c r="WD123" s="11">
        <v>1176852</v>
      </c>
      <c r="WE123" s="11"/>
      <c r="WF123" s="11"/>
      <c r="WG123" s="11">
        <v>51175</v>
      </c>
      <c r="WH123" s="11">
        <v>321754.44</v>
      </c>
      <c r="WI123" s="11">
        <v>68481.06</v>
      </c>
      <c r="WJ123" s="11">
        <v>31863.5</v>
      </c>
      <c r="WK123" s="11">
        <v>60904</v>
      </c>
      <c r="WL123" s="11">
        <v>87481.38</v>
      </c>
      <c r="WM123" s="11">
        <v>82252.259999999995</v>
      </c>
      <c r="WN123" s="11"/>
      <c r="WO123" s="11">
        <v>646211.64</v>
      </c>
      <c r="WP123" s="11">
        <v>46242</v>
      </c>
      <c r="WQ123" s="11"/>
      <c r="WR123" s="11"/>
      <c r="WS123" s="11">
        <v>65077</v>
      </c>
      <c r="WT123" s="11">
        <v>133827.32999999999</v>
      </c>
      <c r="WU123" s="11">
        <v>242809.09</v>
      </c>
      <c r="WV123" s="11">
        <v>39976.35</v>
      </c>
      <c r="WW123" s="11">
        <v>22633.66</v>
      </c>
      <c r="WX123" s="11">
        <v>2115</v>
      </c>
      <c r="WY123" s="11">
        <v>-22150</v>
      </c>
      <c r="WZ123" s="11">
        <v>138514.34</v>
      </c>
      <c r="XA123" s="11"/>
      <c r="XB123" s="11"/>
      <c r="XC123" s="11">
        <v>0</v>
      </c>
      <c r="XD123" s="11">
        <v>109259.18</v>
      </c>
      <c r="XE123" s="11">
        <v>154131</v>
      </c>
      <c r="XF123" s="11"/>
      <c r="XG123" s="11"/>
      <c r="XH123" s="11">
        <v>8476.09</v>
      </c>
      <c r="XI123" s="11">
        <v>1585440.25</v>
      </c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>
        <v>0</v>
      </c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>
        <v>189931.9</v>
      </c>
      <c r="YX123" s="11">
        <v>22872</v>
      </c>
      <c r="YY123" s="11">
        <v>17545</v>
      </c>
      <c r="YZ123" s="11"/>
      <c r="ZA123" s="11">
        <v>84464.5</v>
      </c>
      <c r="ZB123" s="11">
        <v>13176</v>
      </c>
      <c r="ZC123" s="11"/>
      <c r="ZD123" s="11">
        <v>37873.51</v>
      </c>
      <c r="ZE123" s="11"/>
      <c r="ZF123" s="11"/>
      <c r="ZG123" s="11"/>
      <c r="ZH123" s="11"/>
      <c r="ZI123" s="11"/>
      <c r="ZJ123" s="11"/>
      <c r="ZK123" s="11"/>
      <c r="ZL123" s="11"/>
      <c r="ZM123" s="11">
        <v>895319.03</v>
      </c>
      <c r="ZN123" s="11"/>
      <c r="ZO123" s="11">
        <v>33818</v>
      </c>
      <c r="ZP123" s="11">
        <v>0</v>
      </c>
      <c r="ZQ123" s="11"/>
      <c r="ZR123" s="11"/>
      <c r="ZS123" s="11"/>
      <c r="ZT123" s="11"/>
      <c r="ZU123" s="11">
        <v>2040</v>
      </c>
      <c r="ZV123" s="11">
        <v>3286</v>
      </c>
      <c r="ZW123" s="11"/>
      <c r="ZX123" s="11"/>
      <c r="ZY123" s="11"/>
      <c r="ZZ123" s="11">
        <v>3950.91</v>
      </c>
      <c r="AAA123" s="11"/>
      <c r="AAB123" s="11"/>
      <c r="AAC123" s="11"/>
      <c r="AAD123" s="11"/>
      <c r="AAE123" s="11">
        <v>2558</v>
      </c>
      <c r="AAF123" s="11"/>
      <c r="AAG123" s="11">
        <v>11882</v>
      </c>
      <c r="AAH123" s="11"/>
      <c r="AAI123" s="11"/>
      <c r="AAJ123" s="11"/>
      <c r="AAK123" s="11"/>
      <c r="AAL123" s="11"/>
      <c r="AAM123" s="11"/>
      <c r="AAN123" s="11"/>
      <c r="AAO123" s="11">
        <v>1569</v>
      </c>
      <c r="AAP123" s="11">
        <v>1200</v>
      </c>
      <c r="AAQ123" s="11">
        <v>61100</v>
      </c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>
        <v>148090</v>
      </c>
      <c r="ABB123" s="11">
        <v>5500</v>
      </c>
      <c r="ABC123" s="11"/>
      <c r="ABD123" s="11"/>
      <c r="ABE123" s="11"/>
      <c r="ABF123" s="11">
        <v>9920</v>
      </c>
      <c r="ABG123" s="11"/>
      <c r="ABH123" s="11"/>
      <c r="ABI123" s="11">
        <v>1086</v>
      </c>
      <c r="ABJ123" s="11">
        <v>13710</v>
      </c>
      <c r="ABK123" s="11">
        <v>500</v>
      </c>
      <c r="ABL123" s="11"/>
      <c r="ABM123" s="11"/>
      <c r="ABN123" s="11">
        <v>1000</v>
      </c>
      <c r="ABO123" s="11"/>
      <c r="ABP123" s="11">
        <v>0</v>
      </c>
      <c r="ABQ123" s="11">
        <v>1302922.74</v>
      </c>
      <c r="ABR123" s="11">
        <v>484023.5</v>
      </c>
      <c r="ABS123" s="11">
        <v>1305635.3999999999</v>
      </c>
      <c r="ABT123" s="11">
        <v>991295.2</v>
      </c>
      <c r="ABU123" s="11">
        <v>256852</v>
      </c>
      <c r="ABV123" s="11">
        <v>407651.64</v>
      </c>
      <c r="ABW123" s="11">
        <v>565704.07999999996</v>
      </c>
      <c r="ABX123" s="11"/>
      <c r="ABY123" s="11">
        <v>1158678</v>
      </c>
      <c r="ABZ123" s="11">
        <v>6522516.2300000004</v>
      </c>
      <c r="ACA123" s="11">
        <v>3935703.93</v>
      </c>
      <c r="ACB123" s="11">
        <v>1241877.8400000001</v>
      </c>
      <c r="ACC123" s="11">
        <v>2893762.25</v>
      </c>
      <c r="ACD123" s="11">
        <v>3033257.3</v>
      </c>
      <c r="ACE123" s="11">
        <v>1011133.26</v>
      </c>
      <c r="ACF123" s="11">
        <v>600161.43000000005</v>
      </c>
      <c r="ACG123" s="11">
        <v>857622.83</v>
      </c>
      <c r="ACH123" s="11">
        <v>3198485.93</v>
      </c>
      <c r="ACI123" s="11">
        <v>3383940</v>
      </c>
      <c r="ACJ123" s="11">
        <v>1283478.51</v>
      </c>
      <c r="ACK123" s="11">
        <v>0</v>
      </c>
      <c r="ACL123" s="11">
        <v>123908</v>
      </c>
      <c r="ACM123" s="11">
        <v>288578.89</v>
      </c>
      <c r="ACN123" s="11">
        <v>175470.75</v>
      </c>
      <c r="ACO123" s="11"/>
      <c r="ACP123" s="11"/>
      <c r="ACQ123" s="11">
        <v>5762775.75</v>
      </c>
      <c r="ACR123" s="11">
        <v>0</v>
      </c>
      <c r="ACS123" s="11">
        <v>295595</v>
      </c>
      <c r="ACT123" s="11">
        <v>1949052.42</v>
      </c>
      <c r="ACU123" s="11">
        <v>52997</v>
      </c>
      <c r="ACV123" s="11">
        <v>3452</v>
      </c>
      <c r="ACW123" s="11">
        <v>376211.33</v>
      </c>
      <c r="ACX123" s="11">
        <v>893605.5</v>
      </c>
      <c r="ACY123" s="11">
        <v>157722.5</v>
      </c>
      <c r="ACZ123" s="11">
        <v>826814.19</v>
      </c>
      <c r="ADA123" s="11">
        <v>232084.23</v>
      </c>
      <c r="ADB123" s="11">
        <v>8508</v>
      </c>
      <c r="ADC123" s="11"/>
      <c r="ADD123" s="11"/>
      <c r="ADE123" s="11"/>
      <c r="ADF123" s="11"/>
      <c r="ADG123" s="11"/>
      <c r="ADH123" s="11">
        <v>7064364.1900000004</v>
      </c>
      <c r="ADI123" s="11"/>
      <c r="ADJ123" s="11">
        <v>432230</v>
      </c>
      <c r="ADK123" s="11"/>
      <c r="ADL123" s="11">
        <v>178000</v>
      </c>
      <c r="ADM123" s="11">
        <v>933900</v>
      </c>
      <c r="ADN123" s="11"/>
      <c r="ADO123" s="11"/>
      <c r="ADP123" s="11">
        <v>14411972.029999999</v>
      </c>
      <c r="ADQ123" s="11">
        <v>3471907.99</v>
      </c>
      <c r="ADR123" s="11">
        <v>2499386</v>
      </c>
      <c r="ADS123" s="11">
        <v>276382</v>
      </c>
      <c r="ADT123" s="11">
        <v>0</v>
      </c>
      <c r="ADU123" s="11">
        <v>219340.76</v>
      </c>
      <c r="ADV123" s="11">
        <v>955797.1</v>
      </c>
      <c r="ADW123" s="11">
        <v>573571</v>
      </c>
      <c r="ADX123" s="11">
        <v>42659.75</v>
      </c>
      <c r="ADY123" s="11">
        <v>262522</v>
      </c>
      <c r="ADZ123" s="11">
        <v>1138490.31</v>
      </c>
      <c r="AEA123" s="11">
        <v>0</v>
      </c>
      <c r="AEB123" s="11">
        <v>956992</v>
      </c>
      <c r="AEC123" s="11">
        <v>1227290.3799999999</v>
      </c>
      <c r="AED123" s="11">
        <v>0</v>
      </c>
      <c r="AEE123" s="11">
        <v>0</v>
      </c>
      <c r="AEF123" s="11">
        <v>289603.28000000003</v>
      </c>
      <c r="AEG123" s="11">
        <v>1182011.53</v>
      </c>
      <c r="AEH123" s="11">
        <v>2419.7199999999998</v>
      </c>
      <c r="AEI123" s="11">
        <v>798366.49</v>
      </c>
      <c r="AEJ123" s="11">
        <v>65254.5</v>
      </c>
      <c r="AEK123" s="11">
        <v>0</v>
      </c>
      <c r="AEL123" s="11">
        <v>446004.06</v>
      </c>
      <c r="AEM123" s="11">
        <v>632519.1</v>
      </c>
      <c r="AEN123" s="11">
        <v>902330.05</v>
      </c>
      <c r="AEO123" s="11">
        <v>864878.62</v>
      </c>
      <c r="AEP123" s="11">
        <v>575115.75</v>
      </c>
      <c r="AEQ123" s="11">
        <v>1212095.6200000001</v>
      </c>
      <c r="AER123" s="11">
        <v>660700.15</v>
      </c>
      <c r="AES123" s="11">
        <v>1037933.5</v>
      </c>
      <c r="AET123" s="11">
        <v>59915.71</v>
      </c>
      <c r="AEU123" s="11">
        <v>2093264.84</v>
      </c>
      <c r="AEV123" s="11">
        <v>414164.5</v>
      </c>
      <c r="AEW123" s="11">
        <v>11467.7</v>
      </c>
      <c r="AEX123" s="11">
        <v>412957.71</v>
      </c>
      <c r="AEY123" s="11">
        <v>0</v>
      </c>
      <c r="AEZ123" s="11">
        <v>238614.39999999999</v>
      </c>
      <c r="AFA123" s="11">
        <v>50138</v>
      </c>
      <c r="AFB123" s="11">
        <v>380763.4</v>
      </c>
      <c r="AFC123" s="11">
        <v>7820</v>
      </c>
      <c r="AFD123" s="11">
        <v>218709</v>
      </c>
      <c r="AFE123" s="11">
        <v>11996</v>
      </c>
      <c r="AFF123" s="11">
        <v>66322</v>
      </c>
      <c r="AFG123" s="11">
        <v>5356</v>
      </c>
      <c r="AFH123" s="11"/>
      <c r="AFI123" s="11"/>
      <c r="AFJ123" s="11">
        <v>0</v>
      </c>
      <c r="AFK123" s="11"/>
      <c r="AFL123" s="11">
        <v>1328</v>
      </c>
      <c r="AFM123" s="11"/>
      <c r="AFN123" s="11"/>
      <c r="AFO123" s="11"/>
      <c r="AFP123" s="11">
        <v>24524</v>
      </c>
      <c r="AFQ123" s="11">
        <v>0</v>
      </c>
      <c r="AFR123" s="11">
        <v>0</v>
      </c>
      <c r="AFS123" s="11">
        <v>163892</v>
      </c>
      <c r="AFT123" s="11">
        <v>0</v>
      </c>
      <c r="AFU123" s="11"/>
      <c r="AFV123" s="11"/>
      <c r="AFW123" s="11"/>
      <c r="AFX123" s="11">
        <v>221588</v>
      </c>
      <c r="AFY123" s="11"/>
      <c r="AFZ123" s="11"/>
      <c r="AGA123" s="11">
        <v>114881</v>
      </c>
      <c r="AGB123" s="11"/>
      <c r="AGC123" s="11">
        <v>0</v>
      </c>
      <c r="AGD123" s="11"/>
      <c r="AGE123" s="11"/>
      <c r="AGF123" s="11"/>
      <c r="AGG123" s="11"/>
      <c r="AGH123" s="11"/>
      <c r="AGI123" s="11"/>
      <c r="AGJ123" s="11"/>
      <c r="AGK123" s="11"/>
      <c r="AGL123" s="11">
        <v>1649.75</v>
      </c>
      <c r="AGM123" s="11"/>
      <c r="AGN123" s="11">
        <v>1632599.66</v>
      </c>
      <c r="AGO123" s="11">
        <v>300933</v>
      </c>
      <c r="AGP123" s="11"/>
      <c r="AGQ123" s="11"/>
      <c r="AGR123" s="11"/>
      <c r="AGS123" s="11"/>
      <c r="AGT123" s="11"/>
      <c r="AGU123" s="11"/>
      <c r="AGV123" s="11">
        <v>0</v>
      </c>
      <c r="AGW123" s="11">
        <v>0</v>
      </c>
      <c r="AGX123" s="11">
        <v>58894</v>
      </c>
      <c r="AGY123" s="11">
        <v>51378.03</v>
      </c>
      <c r="AGZ123" s="11">
        <v>374393.68</v>
      </c>
      <c r="AHA123" s="11">
        <v>379647</v>
      </c>
      <c r="AHB123" s="11"/>
      <c r="AHC123" s="11">
        <v>192204.3</v>
      </c>
      <c r="AHD123" s="11">
        <v>7884</v>
      </c>
      <c r="AHE123" s="11">
        <v>22646.5</v>
      </c>
      <c r="AHF123" s="11">
        <v>4246128</v>
      </c>
      <c r="AHG123" s="11">
        <v>174943.09</v>
      </c>
      <c r="AHH123" s="11">
        <v>10231</v>
      </c>
      <c r="AHI123" s="11">
        <v>1033205.83</v>
      </c>
      <c r="AHJ123" s="11">
        <v>408815.95</v>
      </c>
      <c r="AHK123" s="11">
        <v>1717258.67</v>
      </c>
      <c r="AHL123" s="11">
        <v>493654.09</v>
      </c>
      <c r="AHM123" s="11">
        <v>0</v>
      </c>
      <c r="AHN123" s="11">
        <v>15559</v>
      </c>
      <c r="AHO123" s="11">
        <v>12889.86</v>
      </c>
      <c r="AHP123" s="11">
        <v>53004</v>
      </c>
      <c r="AHQ123" s="11">
        <v>1068492.83</v>
      </c>
      <c r="AHR123" s="11">
        <v>65235.05</v>
      </c>
      <c r="AHS123" s="11">
        <v>62896</v>
      </c>
      <c r="AHT123" s="11">
        <v>569600005.27999985</v>
      </c>
      <c r="AHV123" s="269" t="s">
        <v>6278</v>
      </c>
      <c r="AHW123" s="269" t="s">
        <v>6186</v>
      </c>
      <c r="AHX123" s="269" t="s">
        <v>6187</v>
      </c>
    </row>
    <row r="124" spans="1:908" x14ac:dyDescent="0.7">
      <c r="A124" s="6" t="s">
        <v>6278</v>
      </c>
      <c r="B124" s="6" t="s">
        <v>6186</v>
      </c>
      <c r="C124" s="6" t="s">
        <v>6187</v>
      </c>
      <c r="D124" s="11"/>
      <c r="E124" s="11">
        <v>807.31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>
        <v>0</v>
      </c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>
        <v>0.01</v>
      </c>
      <c r="BK124" s="11"/>
      <c r="BL124" s="11"/>
      <c r="BM124" s="11"/>
      <c r="BN124" s="11"/>
      <c r="BO124" s="11"/>
      <c r="BP124" s="11"/>
      <c r="BQ124" s="11"/>
      <c r="BR124" s="11">
        <v>1600</v>
      </c>
      <c r="BS124" s="11"/>
      <c r="BT124" s="11"/>
      <c r="BU124" s="11"/>
      <c r="BV124" s="11"/>
      <c r="BW124" s="11">
        <v>225.09</v>
      </c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>
        <v>450030.82</v>
      </c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>
        <v>0</v>
      </c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>
        <v>25200</v>
      </c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>
        <v>2950</v>
      </c>
      <c r="KS124" s="11"/>
      <c r="KT124" s="11"/>
      <c r="KU124" s="11"/>
      <c r="KV124" s="11"/>
      <c r="KW124" s="11"/>
      <c r="KX124" s="11"/>
      <c r="KY124" s="11"/>
      <c r="KZ124" s="11">
        <v>825.7</v>
      </c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>
        <v>0</v>
      </c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>
        <v>0</v>
      </c>
      <c r="NI124" s="11"/>
      <c r="NJ124" s="11"/>
      <c r="NK124" s="11"/>
      <c r="NL124" s="11"/>
      <c r="NM124" s="11"/>
      <c r="NN124" s="11"/>
      <c r="NO124" s="11"/>
      <c r="NP124" s="11"/>
      <c r="NQ124" s="11">
        <v>1976.96</v>
      </c>
      <c r="NR124" s="11"/>
      <c r="NS124" s="11"/>
      <c r="NT124" s="11"/>
      <c r="NU124" s="11"/>
      <c r="NV124" s="11"/>
      <c r="NW124" s="11"/>
      <c r="NX124" s="11"/>
      <c r="NY124" s="11">
        <v>0</v>
      </c>
      <c r="NZ124" s="11"/>
      <c r="OA124" s="11"/>
      <c r="OB124" s="11"/>
      <c r="OC124" s="11"/>
      <c r="OD124" s="11"/>
      <c r="OE124" s="11">
        <v>66390</v>
      </c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>
        <v>473474.76</v>
      </c>
      <c r="RI124" s="11"/>
      <c r="RJ124" s="11"/>
      <c r="RK124" s="11"/>
      <c r="RL124" s="11"/>
      <c r="RM124" s="11"/>
      <c r="RN124" s="11"/>
      <c r="RO124" s="11"/>
      <c r="RP124" s="11">
        <v>1387.39</v>
      </c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>
        <v>201000</v>
      </c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>
        <v>0</v>
      </c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>
        <v>0</v>
      </c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>
        <v>0</v>
      </c>
      <c r="ZI124" s="11"/>
      <c r="ZJ124" s="11"/>
      <c r="ZK124" s="11"/>
      <c r="ZL124" s="11">
        <v>0</v>
      </c>
      <c r="ZM124" s="11"/>
      <c r="ZN124" s="11"/>
      <c r="ZO124" s="11"/>
      <c r="ZP124" s="11"/>
      <c r="ZQ124" s="11"/>
      <c r="ZR124" s="11"/>
      <c r="ZS124" s="11">
        <v>6.36</v>
      </c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>
        <v>21304221</v>
      </c>
      <c r="AAQ124" s="11">
        <v>46991.72</v>
      </c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>
        <v>37821.67</v>
      </c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>
        <v>1630</v>
      </c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>
        <v>14823</v>
      </c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>
        <v>22631361.789999999</v>
      </c>
      <c r="AHV124" s="269" t="s">
        <v>6278</v>
      </c>
      <c r="AHW124" s="269" t="s">
        <v>6188</v>
      </c>
      <c r="AHX124" s="269" t="s">
        <v>6189</v>
      </c>
    </row>
    <row r="125" spans="1:908" x14ac:dyDescent="0.7">
      <c r="A125" s="6" t="s">
        <v>6278</v>
      </c>
      <c r="B125" s="6" t="s">
        <v>6188</v>
      </c>
      <c r="C125" s="6" t="s">
        <v>6189</v>
      </c>
      <c r="D125" s="11"/>
      <c r="E125" s="11"/>
      <c r="F125" s="11"/>
      <c r="G125" s="11"/>
      <c r="H125" s="11"/>
      <c r="I125" s="11">
        <v>86675</v>
      </c>
      <c r="J125" s="11"/>
      <c r="K125" s="11"/>
      <c r="L125" s="11"/>
      <c r="M125" s="11">
        <v>24580</v>
      </c>
      <c r="N125" s="11"/>
      <c r="O125" s="11">
        <v>0</v>
      </c>
      <c r="P125" s="11">
        <v>128745</v>
      </c>
      <c r="Q125" s="11">
        <v>121200</v>
      </c>
      <c r="R125" s="11">
        <v>15000</v>
      </c>
      <c r="S125" s="11"/>
      <c r="T125" s="11"/>
      <c r="U125" s="11"/>
      <c r="V125" s="11"/>
      <c r="W125" s="11">
        <v>413125.96</v>
      </c>
      <c r="X125" s="11">
        <v>97330</v>
      </c>
      <c r="Y125" s="11"/>
      <c r="Z125" s="11">
        <v>237107.03</v>
      </c>
      <c r="AA125" s="11"/>
      <c r="AB125" s="11"/>
      <c r="AC125" s="11"/>
      <c r="AD125" s="11"/>
      <c r="AE125" s="11"/>
      <c r="AF125" s="11"/>
      <c r="AG125" s="11">
        <v>67</v>
      </c>
      <c r="AH125" s="11">
        <v>1509250</v>
      </c>
      <c r="AI125" s="11"/>
      <c r="AJ125" s="11"/>
      <c r="AK125" s="11"/>
      <c r="AL125" s="11">
        <v>213994</v>
      </c>
      <c r="AM125" s="11"/>
      <c r="AN125" s="11"/>
      <c r="AO125" s="11">
        <v>55000</v>
      </c>
      <c r="AP125" s="11">
        <v>65047.02</v>
      </c>
      <c r="AQ125" s="11"/>
      <c r="AR125" s="11">
        <v>36131.769999999997</v>
      </c>
      <c r="AS125" s="11">
        <v>4000</v>
      </c>
      <c r="AT125" s="11">
        <v>13181315.33</v>
      </c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>
        <v>328050</v>
      </c>
      <c r="BJ125" s="11">
        <v>270530.88</v>
      </c>
      <c r="BK125" s="11"/>
      <c r="BL125" s="11"/>
      <c r="BM125" s="11"/>
      <c r="BN125" s="11"/>
      <c r="BO125" s="11"/>
      <c r="BP125" s="11"/>
      <c r="BQ125" s="11"/>
      <c r="BR125" s="11"/>
      <c r="BS125" s="11">
        <v>157423</v>
      </c>
      <c r="BT125" s="11">
        <v>4650</v>
      </c>
      <c r="BU125" s="11">
        <v>89800</v>
      </c>
      <c r="BV125" s="11"/>
      <c r="BW125" s="11">
        <v>46000</v>
      </c>
      <c r="BX125" s="11">
        <v>9990</v>
      </c>
      <c r="BY125" s="11">
        <v>44688</v>
      </c>
      <c r="BZ125" s="11"/>
      <c r="CA125" s="11"/>
      <c r="CB125" s="11"/>
      <c r="CC125" s="11"/>
      <c r="CD125" s="11"/>
      <c r="CE125" s="11"/>
      <c r="CF125" s="11">
        <v>207190</v>
      </c>
      <c r="CG125" s="11"/>
      <c r="CH125" s="11"/>
      <c r="CI125" s="11"/>
      <c r="CJ125" s="11">
        <v>79610</v>
      </c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>
        <v>80025</v>
      </c>
      <c r="CV125" s="11"/>
      <c r="CW125" s="11">
        <v>6450</v>
      </c>
      <c r="CX125" s="11"/>
      <c r="CY125" s="11"/>
      <c r="CZ125" s="11"/>
      <c r="DA125" s="11"/>
      <c r="DB125" s="11"/>
      <c r="DC125" s="11"/>
      <c r="DD125" s="11"/>
      <c r="DE125" s="11">
        <v>1205900</v>
      </c>
      <c r="DF125" s="11">
        <v>732090</v>
      </c>
      <c r="DG125" s="11">
        <v>302787</v>
      </c>
      <c r="DH125" s="11">
        <v>199140</v>
      </c>
      <c r="DI125" s="11"/>
      <c r="DJ125" s="11">
        <v>10000</v>
      </c>
      <c r="DK125" s="11"/>
      <c r="DL125" s="11">
        <v>128572</v>
      </c>
      <c r="DM125" s="11">
        <v>45355</v>
      </c>
      <c r="DN125" s="11">
        <v>217250</v>
      </c>
      <c r="DO125" s="11"/>
      <c r="DP125" s="11">
        <v>169704.46</v>
      </c>
      <c r="DQ125" s="11"/>
      <c r="DR125" s="11"/>
      <c r="DS125" s="11">
        <v>312830</v>
      </c>
      <c r="DT125" s="11"/>
      <c r="DU125" s="11"/>
      <c r="DV125" s="11">
        <v>770949.9</v>
      </c>
      <c r="DW125" s="11">
        <v>40600</v>
      </c>
      <c r="DX125" s="11"/>
      <c r="DY125" s="11"/>
      <c r="DZ125" s="11">
        <v>391600</v>
      </c>
      <c r="EA125" s="11">
        <v>294310</v>
      </c>
      <c r="EB125" s="11">
        <v>207180</v>
      </c>
      <c r="EC125" s="11"/>
      <c r="ED125" s="11"/>
      <c r="EE125" s="11">
        <v>100000</v>
      </c>
      <c r="EF125" s="11"/>
      <c r="EG125" s="11"/>
      <c r="EH125" s="11">
        <v>141522</v>
      </c>
      <c r="EI125" s="11"/>
      <c r="EJ125" s="11">
        <v>211010.63</v>
      </c>
      <c r="EK125" s="11">
        <v>107000</v>
      </c>
      <c r="EL125" s="11">
        <v>70398</v>
      </c>
      <c r="EM125" s="11">
        <v>79122</v>
      </c>
      <c r="EN125" s="11"/>
      <c r="EO125" s="11"/>
      <c r="EP125" s="11"/>
      <c r="EQ125" s="11"/>
      <c r="ER125" s="11"/>
      <c r="ES125" s="11"/>
      <c r="ET125" s="11">
        <v>373250</v>
      </c>
      <c r="EU125" s="11"/>
      <c r="EV125" s="11"/>
      <c r="EW125" s="11"/>
      <c r="EX125" s="11">
        <v>396720</v>
      </c>
      <c r="EY125" s="11">
        <v>482427</v>
      </c>
      <c r="EZ125" s="11">
        <v>311457</v>
      </c>
      <c r="FA125" s="11">
        <v>88400</v>
      </c>
      <c r="FB125" s="11">
        <v>371500</v>
      </c>
      <c r="FC125" s="11">
        <v>8800</v>
      </c>
      <c r="FD125" s="11">
        <v>24000</v>
      </c>
      <c r="FE125" s="11">
        <v>344290</v>
      </c>
      <c r="FF125" s="11"/>
      <c r="FG125" s="11">
        <v>245260</v>
      </c>
      <c r="FH125" s="11">
        <v>27050</v>
      </c>
      <c r="FI125" s="11"/>
      <c r="FJ125" s="11">
        <v>0</v>
      </c>
      <c r="FK125" s="11"/>
      <c r="FL125" s="11">
        <v>27452.25</v>
      </c>
      <c r="FM125" s="11">
        <v>198206.9</v>
      </c>
      <c r="FN125" s="11">
        <v>20209</v>
      </c>
      <c r="FO125" s="11">
        <v>0</v>
      </c>
      <c r="FP125" s="11"/>
      <c r="FQ125" s="11">
        <v>749892</v>
      </c>
      <c r="FR125" s="11"/>
      <c r="FS125" s="11">
        <v>24100</v>
      </c>
      <c r="FT125" s="11"/>
      <c r="FU125" s="11"/>
      <c r="FV125" s="11">
        <v>466200</v>
      </c>
      <c r="FW125" s="11"/>
      <c r="FX125" s="11"/>
      <c r="FY125" s="11"/>
      <c r="FZ125" s="11"/>
      <c r="GA125" s="11"/>
      <c r="GB125" s="11">
        <v>44640</v>
      </c>
      <c r="GC125" s="11">
        <v>122715</v>
      </c>
      <c r="GD125" s="11">
        <v>222170</v>
      </c>
      <c r="GE125" s="11"/>
      <c r="GF125" s="11">
        <v>115705</v>
      </c>
      <c r="GG125" s="11"/>
      <c r="GH125" s="11">
        <v>1489815</v>
      </c>
      <c r="GI125" s="11">
        <v>143454.70000000001</v>
      </c>
      <c r="GJ125" s="11"/>
      <c r="GK125" s="11">
        <v>98702.89</v>
      </c>
      <c r="GL125" s="11">
        <v>80179.820000000007</v>
      </c>
      <c r="GM125" s="11">
        <v>276500</v>
      </c>
      <c r="GN125" s="11">
        <v>27600</v>
      </c>
      <c r="GO125" s="11"/>
      <c r="GP125" s="11"/>
      <c r="GQ125" s="11"/>
      <c r="GR125" s="11"/>
      <c r="GS125" s="11"/>
      <c r="GT125" s="11">
        <v>99000</v>
      </c>
      <c r="GU125" s="11"/>
      <c r="GV125" s="11"/>
      <c r="GW125" s="11">
        <v>289881.40000000002</v>
      </c>
      <c r="GX125" s="11"/>
      <c r="GY125" s="11"/>
      <c r="GZ125" s="11"/>
      <c r="HA125" s="11">
        <v>0</v>
      </c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>
        <v>3245.08</v>
      </c>
      <c r="HM125" s="11"/>
      <c r="HN125" s="11">
        <v>709789</v>
      </c>
      <c r="HO125" s="11"/>
      <c r="HP125" s="11">
        <v>69225</v>
      </c>
      <c r="HQ125" s="11"/>
      <c r="HR125" s="11"/>
      <c r="HS125" s="11">
        <v>5359192</v>
      </c>
      <c r="HT125" s="11"/>
      <c r="HU125" s="11"/>
      <c r="HV125" s="11"/>
      <c r="HW125" s="11">
        <v>88910</v>
      </c>
      <c r="HX125" s="11"/>
      <c r="HY125" s="11">
        <v>84690</v>
      </c>
      <c r="HZ125" s="11"/>
      <c r="IA125" s="11"/>
      <c r="IB125" s="11"/>
      <c r="IC125" s="11"/>
      <c r="ID125" s="11">
        <v>737500</v>
      </c>
      <c r="IE125" s="11"/>
      <c r="IF125" s="11"/>
      <c r="IG125" s="11"/>
      <c r="IH125" s="11"/>
      <c r="II125" s="11"/>
      <c r="IJ125" s="11">
        <v>22840</v>
      </c>
      <c r="IK125" s="11">
        <v>185340</v>
      </c>
      <c r="IL125" s="11">
        <v>99900</v>
      </c>
      <c r="IM125" s="11">
        <v>1426.14</v>
      </c>
      <c r="IN125" s="11"/>
      <c r="IO125" s="11">
        <v>88071.7</v>
      </c>
      <c r="IP125" s="11">
        <v>218009.15</v>
      </c>
      <c r="IQ125" s="11"/>
      <c r="IR125" s="11"/>
      <c r="IS125" s="11">
        <v>203391</v>
      </c>
      <c r="IT125" s="11">
        <v>2063064.75</v>
      </c>
      <c r="IU125" s="11">
        <v>1680.68</v>
      </c>
      <c r="IV125" s="11">
        <v>3639910</v>
      </c>
      <c r="IW125" s="11"/>
      <c r="IX125" s="11">
        <v>100000</v>
      </c>
      <c r="IY125" s="11">
        <v>9100</v>
      </c>
      <c r="IZ125" s="11">
        <v>455792.38</v>
      </c>
      <c r="JA125" s="11">
        <v>205642.93</v>
      </c>
      <c r="JB125" s="11">
        <v>49775</v>
      </c>
      <c r="JC125" s="11"/>
      <c r="JD125" s="11"/>
      <c r="JE125" s="11">
        <v>149300</v>
      </c>
      <c r="JF125" s="11"/>
      <c r="JG125" s="11"/>
      <c r="JH125" s="11">
        <v>200129.73</v>
      </c>
      <c r="JI125" s="11"/>
      <c r="JJ125" s="11"/>
      <c r="JK125" s="11"/>
      <c r="JL125" s="11"/>
      <c r="JM125" s="11"/>
      <c r="JN125" s="11">
        <v>596929</v>
      </c>
      <c r="JO125" s="11"/>
      <c r="JP125" s="11">
        <v>18282.86</v>
      </c>
      <c r="JQ125" s="11"/>
      <c r="JR125" s="11">
        <v>188030</v>
      </c>
      <c r="JS125" s="11"/>
      <c r="JT125" s="11"/>
      <c r="JU125" s="11"/>
      <c r="JV125" s="11">
        <v>0</v>
      </c>
      <c r="JW125" s="11"/>
      <c r="JX125" s="11"/>
      <c r="JY125" s="11"/>
      <c r="JZ125" s="11"/>
      <c r="KA125" s="11">
        <v>50140</v>
      </c>
      <c r="KB125" s="11"/>
      <c r="KC125" s="11"/>
      <c r="KD125" s="11"/>
      <c r="KE125" s="11"/>
      <c r="KF125" s="11">
        <v>152825</v>
      </c>
      <c r="KG125" s="11"/>
      <c r="KH125" s="11">
        <v>16150</v>
      </c>
      <c r="KI125" s="11"/>
      <c r="KJ125" s="11"/>
      <c r="KK125" s="11"/>
      <c r="KL125" s="11"/>
      <c r="KM125" s="11">
        <v>102000</v>
      </c>
      <c r="KN125" s="11"/>
      <c r="KO125" s="11">
        <v>0</v>
      </c>
      <c r="KP125" s="11">
        <v>14200</v>
      </c>
      <c r="KQ125" s="11"/>
      <c r="KR125" s="11"/>
      <c r="KS125" s="11">
        <v>283218</v>
      </c>
      <c r="KT125" s="11"/>
      <c r="KU125" s="11">
        <v>190452</v>
      </c>
      <c r="KV125" s="11"/>
      <c r="KW125" s="11"/>
      <c r="KX125" s="11"/>
      <c r="KY125" s="11">
        <v>508500</v>
      </c>
      <c r="KZ125" s="11"/>
      <c r="LA125" s="11"/>
      <c r="LB125" s="11">
        <v>109365</v>
      </c>
      <c r="LC125" s="11"/>
      <c r="LD125" s="11"/>
      <c r="LE125" s="11">
        <v>21400</v>
      </c>
      <c r="LF125" s="11">
        <v>462525</v>
      </c>
      <c r="LG125" s="11">
        <v>25000</v>
      </c>
      <c r="LH125" s="11">
        <v>0</v>
      </c>
      <c r="LI125" s="11"/>
      <c r="LJ125" s="11"/>
      <c r="LK125" s="11">
        <v>555400</v>
      </c>
      <c r="LL125" s="11"/>
      <c r="LM125" s="11"/>
      <c r="LN125" s="11"/>
      <c r="LO125" s="11">
        <v>126000</v>
      </c>
      <c r="LP125" s="11">
        <v>36910.959999999999</v>
      </c>
      <c r="LQ125" s="11"/>
      <c r="LR125" s="11"/>
      <c r="LS125" s="11"/>
      <c r="LT125" s="11"/>
      <c r="LU125" s="11"/>
      <c r="LV125" s="11"/>
      <c r="LW125" s="11"/>
      <c r="LX125" s="11">
        <v>330210</v>
      </c>
      <c r="LY125" s="11">
        <v>70609.850000000006</v>
      </c>
      <c r="LZ125" s="11"/>
      <c r="MA125" s="11"/>
      <c r="MB125" s="11"/>
      <c r="MC125" s="11"/>
      <c r="MD125" s="11"/>
      <c r="ME125" s="11">
        <v>13635</v>
      </c>
      <c r="MF125" s="11">
        <v>300023.09999999998</v>
      </c>
      <c r="MG125" s="11">
        <v>112892.61</v>
      </c>
      <c r="MH125" s="11">
        <v>18000</v>
      </c>
      <c r="MI125" s="11"/>
      <c r="MJ125" s="11">
        <v>40300</v>
      </c>
      <c r="MK125" s="11"/>
      <c r="ML125" s="11">
        <v>100000</v>
      </c>
      <c r="MM125" s="11"/>
      <c r="MN125" s="11"/>
      <c r="MO125" s="11">
        <v>85500</v>
      </c>
      <c r="MP125" s="11">
        <v>2301320</v>
      </c>
      <c r="MQ125" s="11">
        <v>102500</v>
      </c>
      <c r="MR125" s="11"/>
      <c r="MS125" s="11"/>
      <c r="MT125" s="11"/>
      <c r="MU125" s="11"/>
      <c r="MV125" s="11">
        <v>81000</v>
      </c>
      <c r="MW125" s="11"/>
      <c r="MX125" s="11"/>
      <c r="MY125" s="11"/>
      <c r="MZ125" s="11">
        <v>581152</v>
      </c>
      <c r="NA125" s="11">
        <v>439490</v>
      </c>
      <c r="NB125" s="11"/>
      <c r="NC125" s="11">
        <v>304410</v>
      </c>
      <c r="ND125" s="11">
        <v>5482</v>
      </c>
      <c r="NE125" s="11">
        <v>1656000</v>
      </c>
      <c r="NF125" s="11"/>
      <c r="NG125" s="11">
        <v>151700</v>
      </c>
      <c r="NH125" s="11"/>
      <c r="NI125" s="11"/>
      <c r="NJ125" s="11">
        <v>0</v>
      </c>
      <c r="NK125" s="11">
        <v>108150.2</v>
      </c>
      <c r="NL125" s="11"/>
      <c r="NM125" s="11"/>
      <c r="NN125" s="11"/>
      <c r="NO125" s="11">
        <v>27035</v>
      </c>
      <c r="NP125" s="11"/>
      <c r="NQ125" s="11">
        <v>280542</v>
      </c>
      <c r="NR125" s="11"/>
      <c r="NS125" s="11"/>
      <c r="NT125" s="11">
        <v>32376</v>
      </c>
      <c r="NU125" s="11">
        <v>91815</v>
      </c>
      <c r="NV125" s="11"/>
      <c r="NW125" s="11"/>
      <c r="NX125" s="11">
        <v>25250037.190000001</v>
      </c>
      <c r="NY125" s="11"/>
      <c r="NZ125" s="11"/>
      <c r="OA125" s="11"/>
      <c r="OB125" s="11">
        <v>64000</v>
      </c>
      <c r="OC125" s="11"/>
      <c r="OD125" s="11"/>
      <c r="OE125" s="11"/>
      <c r="OF125" s="11"/>
      <c r="OG125" s="11"/>
      <c r="OH125" s="11">
        <v>63700</v>
      </c>
      <c r="OI125" s="11"/>
      <c r="OJ125" s="11"/>
      <c r="OK125" s="11">
        <v>233400</v>
      </c>
      <c r="OL125" s="11"/>
      <c r="OM125" s="11"/>
      <c r="ON125" s="11"/>
      <c r="OO125" s="11"/>
      <c r="OP125" s="11">
        <v>488576</v>
      </c>
      <c r="OQ125" s="11">
        <v>3630644.27</v>
      </c>
      <c r="OR125" s="11">
        <v>93553.64</v>
      </c>
      <c r="OS125" s="11"/>
      <c r="OT125" s="11">
        <v>1323466.81</v>
      </c>
      <c r="OU125" s="11"/>
      <c r="OV125" s="11">
        <v>99600</v>
      </c>
      <c r="OW125" s="11">
        <v>272610</v>
      </c>
      <c r="OX125" s="11"/>
      <c r="OY125" s="11">
        <v>1382429.69</v>
      </c>
      <c r="OZ125" s="11">
        <v>147835</v>
      </c>
      <c r="PA125" s="11">
        <v>110300</v>
      </c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>
        <v>34900</v>
      </c>
      <c r="PP125" s="11"/>
      <c r="PQ125" s="11">
        <v>6000</v>
      </c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>
        <v>287880</v>
      </c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>
        <v>57000</v>
      </c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>
        <v>404094</v>
      </c>
      <c r="RA125" s="11"/>
      <c r="RB125" s="11"/>
      <c r="RC125" s="11"/>
      <c r="RD125" s="11"/>
      <c r="RE125" s="11"/>
      <c r="RF125" s="11"/>
      <c r="RG125" s="11"/>
      <c r="RH125" s="11"/>
      <c r="RI125" s="11">
        <v>106422.3</v>
      </c>
      <c r="RJ125" s="11"/>
      <c r="RK125" s="11"/>
      <c r="RL125" s="11"/>
      <c r="RM125" s="11"/>
      <c r="RN125" s="11"/>
      <c r="RO125" s="11">
        <v>95200</v>
      </c>
      <c r="RP125" s="11">
        <v>241200</v>
      </c>
      <c r="RQ125" s="11"/>
      <c r="RR125" s="11">
        <v>71950</v>
      </c>
      <c r="RS125" s="11">
        <v>81448</v>
      </c>
      <c r="RT125" s="11"/>
      <c r="RU125" s="11"/>
      <c r="RV125" s="11"/>
      <c r="RW125" s="11"/>
      <c r="RX125" s="11"/>
      <c r="RY125" s="11"/>
      <c r="RZ125" s="11"/>
      <c r="SA125" s="11"/>
      <c r="SB125" s="11"/>
      <c r="SC125" s="11">
        <v>352470</v>
      </c>
      <c r="SD125" s="11">
        <v>274800</v>
      </c>
      <c r="SE125" s="11">
        <v>180695</v>
      </c>
      <c r="SF125" s="11">
        <v>134300</v>
      </c>
      <c r="SG125" s="11">
        <v>787120.91</v>
      </c>
      <c r="SH125" s="11">
        <v>168200</v>
      </c>
      <c r="SI125" s="11">
        <v>76125</v>
      </c>
      <c r="SJ125" s="11">
        <v>198525</v>
      </c>
      <c r="SK125" s="11">
        <v>89750</v>
      </c>
      <c r="SL125" s="11">
        <v>33170</v>
      </c>
      <c r="SM125" s="11">
        <v>80700</v>
      </c>
      <c r="SN125" s="11">
        <v>94400</v>
      </c>
      <c r="SO125" s="11">
        <v>66870</v>
      </c>
      <c r="SP125" s="11">
        <v>735868</v>
      </c>
      <c r="SQ125" s="11"/>
      <c r="SR125" s="11">
        <v>470191</v>
      </c>
      <c r="SS125" s="11">
        <v>217800</v>
      </c>
      <c r="ST125" s="11">
        <v>1051848</v>
      </c>
      <c r="SU125" s="11"/>
      <c r="SV125" s="11"/>
      <c r="SW125" s="11">
        <v>191325</v>
      </c>
      <c r="SX125" s="11">
        <v>55132.15</v>
      </c>
      <c r="SY125" s="11">
        <v>62449</v>
      </c>
      <c r="SZ125" s="11">
        <v>92650</v>
      </c>
      <c r="TA125" s="11">
        <v>113136</v>
      </c>
      <c r="TB125" s="11"/>
      <c r="TC125" s="11"/>
      <c r="TD125" s="11"/>
      <c r="TE125" s="11">
        <v>215000</v>
      </c>
      <c r="TF125" s="11">
        <v>253138</v>
      </c>
      <c r="TG125" s="11">
        <v>493306.36</v>
      </c>
      <c r="TH125" s="11">
        <v>275831.21000000002</v>
      </c>
      <c r="TI125" s="11">
        <v>7406.64</v>
      </c>
      <c r="TJ125" s="11"/>
      <c r="TK125" s="11">
        <v>22992.59</v>
      </c>
      <c r="TL125" s="11"/>
      <c r="TM125" s="11">
        <v>534070</v>
      </c>
      <c r="TN125" s="11">
        <v>377470.13</v>
      </c>
      <c r="TO125" s="11">
        <v>0</v>
      </c>
      <c r="TP125" s="11">
        <v>25956</v>
      </c>
      <c r="TQ125" s="11">
        <v>1610034.41</v>
      </c>
      <c r="TR125" s="11">
        <v>160182.70000000001</v>
      </c>
      <c r="TS125" s="11">
        <v>372995</v>
      </c>
      <c r="TT125" s="11">
        <v>124900</v>
      </c>
      <c r="TU125" s="11">
        <v>236150</v>
      </c>
      <c r="TV125" s="11">
        <v>52650</v>
      </c>
      <c r="TW125" s="11"/>
      <c r="TX125" s="11">
        <v>162490</v>
      </c>
      <c r="TY125" s="11">
        <v>134000</v>
      </c>
      <c r="TZ125" s="11">
        <v>1656434.65</v>
      </c>
      <c r="UA125" s="11">
        <v>25200</v>
      </c>
      <c r="UB125" s="11"/>
      <c r="UC125" s="11">
        <v>1001681.32</v>
      </c>
      <c r="UD125" s="11">
        <v>358848</v>
      </c>
      <c r="UE125" s="11">
        <v>1034680</v>
      </c>
      <c r="UF125" s="11">
        <v>863650</v>
      </c>
      <c r="UG125" s="11"/>
      <c r="UH125" s="11">
        <v>184085</v>
      </c>
      <c r="UI125" s="11">
        <v>1544</v>
      </c>
      <c r="UJ125" s="11"/>
      <c r="UK125" s="11">
        <v>755750</v>
      </c>
      <c r="UL125" s="11">
        <v>939494</v>
      </c>
      <c r="UM125" s="11">
        <v>100970</v>
      </c>
      <c r="UN125" s="11">
        <v>75300</v>
      </c>
      <c r="UO125" s="11">
        <v>23100</v>
      </c>
      <c r="UP125" s="11">
        <v>488568.5</v>
      </c>
      <c r="UQ125" s="11">
        <v>1025655.78</v>
      </c>
      <c r="UR125" s="11">
        <v>173248.79</v>
      </c>
      <c r="US125" s="11"/>
      <c r="UT125" s="11">
        <v>159692.48000000001</v>
      </c>
      <c r="UU125" s="11"/>
      <c r="UV125" s="11">
        <v>118979.84</v>
      </c>
      <c r="UW125" s="11">
        <v>2039420</v>
      </c>
      <c r="UX125" s="11">
        <v>172398.55</v>
      </c>
      <c r="UY125" s="11">
        <v>28000</v>
      </c>
      <c r="UZ125" s="11">
        <v>496798</v>
      </c>
      <c r="VA125" s="11">
        <v>312662</v>
      </c>
      <c r="VB125" s="11">
        <v>145125</v>
      </c>
      <c r="VC125" s="11">
        <v>1132080</v>
      </c>
      <c r="VD125" s="11"/>
      <c r="VE125" s="11"/>
      <c r="VF125" s="11">
        <v>336500</v>
      </c>
      <c r="VG125" s="11">
        <v>183960</v>
      </c>
      <c r="VH125" s="11">
        <v>1540000</v>
      </c>
      <c r="VI125" s="11">
        <v>550500</v>
      </c>
      <c r="VJ125" s="11"/>
      <c r="VK125" s="11"/>
      <c r="VL125" s="11">
        <v>426156.56</v>
      </c>
      <c r="VM125" s="11">
        <v>737878</v>
      </c>
      <c r="VN125" s="11">
        <v>886664.68</v>
      </c>
      <c r="VO125" s="11">
        <v>589525</v>
      </c>
      <c r="VP125" s="11"/>
      <c r="VQ125" s="11"/>
      <c r="VR125" s="11">
        <v>649993</v>
      </c>
      <c r="VS125" s="11"/>
      <c r="VT125" s="11"/>
      <c r="VU125" s="11"/>
      <c r="VV125" s="11">
        <v>783672.22</v>
      </c>
      <c r="VW125" s="11"/>
      <c r="VX125" s="11"/>
      <c r="VY125" s="11">
        <v>1372464.88</v>
      </c>
      <c r="VZ125" s="11"/>
      <c r="WA125" s="11"/>
      <c r="WB125" s="11"/>
      <c r="WC125" s="11"/>
      <c r="WD125" s="11"/>
      <c r="WE125" s="11"/>
      <c r="WF125" s="11"/>
      <c r="WG125" s="11"/>
      <c r="WH125" s="11">
        <v>573783</v>
      </c>
      <c r="WI125" s="11">
        <v>457279.26</v>
      </c>
      <c r="WJ125" s="11">
        <v>135300</v>
      </c>
      <c r="WK125" s="11"/>
      <c r="WL125" s="11"/>
      <c r="WM125" s="11">
        <v>1249727</v>
      </c>
      <c r="WN125" s="11">
        <v>27800</v>
      </c>
      <c r="WO125" s="11">
        <v>1450100.6</v>
      </c>
      <c r="WP125" s="11">
        <v>243750</v>
      </c>
      <c r="WQ125" s="11"/>
      <c r="WR125" s="11">
        <v>241639</v>
      </c>
      <c r="WS125" s="11"/>
      <c r="WT125" s="11">
        <v>291373</v>
      </c>
      <c r="WU125" s="11">
        <v>150000</v>
      </c>
      <c r="WV125" s="11">
        <v>1592450.74</v>
      </c>
      <c r="WW125" s="11"/>
      <c r="WX125" s="11">
        <v>1711400</v>
      </c>
      <c r="WY125" s="11"/>
      <c r="WZ125" s="11">
        <v>157400</v>
      </c>
      <c r="XA125" s="11"/>
      <c r="XB125" s="11"/>
      <c r="XC125" s="11"/>
      <c r="XD125" s="11">
        <v>150000</v>
      </c>
      <c r="XE125" s="11">
        <v>459530</v>
      </c>
      <c r="XF125" s="11"/>
      <c r="XG125" s="11"/>
      <c r="XH125" s="11"/>
      <c r="XI125" s="11"/>
      <c r="XJ125" s="11">
        <v>260017.49</v>
      </c>
      <c r="XK125" s="11"/>
      <c r="XL125" s="11"/>
      <c r="XM125" s="11">
        <v>181844.49</v>
      </c>
      <c r="XN125" s="11">
        <v>1502.31</v>
      </c>
      <c r="XO125" s="11">
        <v>865896.95</v>
      </c>
      <c r="XP125" s="11">
        <v>20733.54</v>
      </c>
      <c r="XQ125" s="11">
        <v>111860</v>
      </c>
      <c r="XR125" s="11">
        <v>169000</v>
      </c>
      <c r="XS125" s="11">
        <v>250950</v>
      </c>
      <c r="XT125" s="11">
        <v>10000</v>
      </c>
      <c r="XU125" s="11">
        <v>5826.79</v>
      </c>
      <c r="XV125" s="11"/>
      <c r="XW125" s="11">
        <v>503200</v>
      </c>
      <c r="XX125" s="11"/>
      <c r="XY125" s="11"/>
      <c r="XZ125" s="11">
        <v>177582.45</v>
      </c>
      <c r="YA125" s="11">
        <v>287327.35999999999</v>
      </c>
      <c r="YB125" s="11">
        <v>27197.57</v>
      </c>
      <c r="YC125" s="11">
        <v>49050</v>
      </c>
      <c r="YD125" s="11"/>
      <c r="YE125" s="11"/>
      <c r="YF125" s="11"/>
      <c r="YG125" s="11">
        <v>213156</v>
      </c>
      <c r="YH125" s="11"/>
      <c r="YI125" s="11">
        <v>44800</v>
      </c>
      <c r="YJ125" s="11"/>
      <c r="YK125" s="11"/>
      <c r="YL125" s="11"/>
      <c r="YM125" s="11"/>
      <c r="YN125" s="11">
        <v>267000</v>
      </c>
      <c r="YO125" s="11">
        <v>433420</v>
      </c>
      <c r="YP125" s="11">
        <v>1253793</v>
      </c>
      <c r="YQ125" s="11">
        <v>413376</v>
      </c>
      <c r="YR125" s="11">
        <v>1020911</v>
      </c>
      <c r="YS125" s="11">
        <v>180200</v>
      </c>
      <c r="YT125" s="11">
        <v>234156.78</v>
      </c>
      <c r="YU125" s="11">
        <v>298330</v>
      </c>
      <c r="YV125" s="11"/>
      <c r="YW125" s="11">
        <v>581800</v>
      </c>
      <c r="YX125" s="11">
        <v>90000</v>
      </c>
      <c r="YY125" s="11">
        <v>173992</v>
      </c>
      <c r="YZ125" s="11"/>
      <c r="ZA125" s="11">
        <v>466480</v>
      </c>
      <c r="ZB125" s="11">
        <v>462630</v>
      </c>
      <c r="ZC125" s="11"/>
      <c r="ZD125" s="11"/>
      <c r="ZE125" s="11"/>
      <c r="ZF125" s="11"/>
      <c r="ZG125" s="11"/>
      <c r="ZH125" s="11">
        <v>393625</v>
      </c>
      <c r="ZI125" s="11"/>
      <c r="ZJ125" s="11">
        <v>1100</v>
      </c>
      <c r="ZK125" s="11"/>
      <c r="ZL125" s="11"/>
      <c r="ZM125" s="11">
        <v>483392</v>
      </c>
      <c r="ZN125" s="11"/>
      <c r="ZO125" s="11"/>
      <c r="ZP125" s="11">
        <v>73943</v>
      </c>
      <c r="ZQ125" s="11">
        <v>180000</v>
      </c>
      <c r="ZR125" s="11"/>
      <c r="ZS125" s="11"/>
      <c r="ZT125" s="11"/>
      <c r="ZU125" s="11">
        <v>61420</v>
      </c>
      <c r="ZV125" s="11">
        <v>233500</v>
      </c>
      <c r="ZW125" s="11"/>
      <c r="ZX125" s="11">
        <v>212453.79</v>
      </c>
      <c r="ZY125" s="11"/>
      <c r="ZZ125" s="11"/>
      <c r="AAA125" s="11"/>
      <c r="AAB125" s="11"/>
      <c r="AAC125" s="11"/>
      <c r="AAD125" s="11"/>
      <c r="AAE125" s="11"/>
      <c r="AAF125" s="11"/>
      <c r="AAG125" s="11">
        <v>88600</v>
      </c>
      <c r="AAH125" s="11"/>
      <c r="AAI125" s="11"/>
      <c r="AAJ125" s="11"/>
      <c r="AAK125" s="11"/>
      <c r="AAL125" s="11"/>
      <c r="AAM125" s="11">
        <v>95520</v>
      </c>
      <c r="AAN125" s="11">
        <v>1091312</v>
      </c>
      <c r="AAO125" s="11">
        <v>79000</v>
      </c>
      <c r="AAP125" s="11"/>
      <c r="AAQ125" s="11">
        <v>330895</v>
      </c>
      <c r="AAR125" s="11">
        <v>242743</v>
      </c>
      <c r="AAS125" s="11"/>
      <c r="AAT125" s="11">
        <v>579802.54</v>
      </c>
      <c r="AAU125" s="11"/>
      <c r="AAV125" s="11">
        <v>130400</v>
      </c>
      <c r="AAW125" s="11"/>
      <c r="AAX125" s="11"/>
      <c r="AAY125" s="11">
        <v>63500</v>
      </c>
      <c r="AAZ125" s="11">
        <v>165460</v>
      </c>
      <c r="ABA125" s="11"/>
      <c r="ABB125" s="11">
        <v>16431.599999999999</v>
      </c>
      <c r="ABC125" s="11">
        <v>60000</v>
      </c>
      <c r="ABD125" s="11">
        <v>156130</v>
      </c>
      <c r="ABE125" s="11">
        <v>55000</v>
      </c>
      <c r="ABF125" s="11">
        <v>382000</v>
      </c>
      <c r="ABG125" s="11">
        <v>219200</v>
      </c>
      <c r="ABH125" s="11">
        <v>177500</v>
      </c>
      <c r="ABI125" s="11"/>
      <c r="ABJ125" s="11"/>
      <c r="ABK125" s="11"/>
      <c r="ABL125" s="11"/>
      <c r="ABM125" s="11"/>
      <c r="ABN125" s="11">
        <v>114202.84</v>
      </c>
      <c r="ABO125" s="11"/>
      <c r="ABP125" s="11">
        <v>287882.23999999999</v>
      </c>
      <c r="ABQ125" s="11"/>
      <c r="ABR125" s="11"/>
      <c r="ABS125" s="11">
        <v>0</v>
      </c>
      <c r="ABT125" s="11"/>
      <c r="ABU125" s="11"/>
      <c r="ABV125" s="11">
        <v>347325</v>
      </c>
      <c r="ABW125" s="11"/>
      <c r="ABX125" s="11"/>
      <c r="ABY125" s="11"/>
      <c r="ABZ125" s="11">
        <v>215550</v>
      </c>
      <c r="ACA125" s="11"/>
      <c r="ACB125" s="11">
        <v>67740</v>
      </c>
      <c r="ACC125" s="11">
        <v>137000</v>
      </c>
      <c r="ACD125" s="11">
        <v>99100</v>
      </c>
      <c r="ACE125" s="11"/>
      <c r="ACF125" s="11">
        <v>127728</v>
      </c>
      <c r="ACG125" s="11">
        <v>48600</v>
      </c>
      <c r="ACH125" s="11">
        <v>55200</v>
      </c>
      <c r="ACI125" s="11">
        <v>217624</v>
      </c>
      <c r="ACJ125" s="11"/>
      <c r="ACK125" s="11"/>
      <c r="ACL125" s="11">
        <v>204868</v>
      </c>
      <c r="ACM125" s="11"/>
      <c r="ACN125" s="11">
        <v>156199</v>
      </c>
      <c r="ACO125" s="11"/>
      <c r="ACP125" s="11"/>
      <c r="ACQ125" s="11">
        <v>7292947.0999999996</v>
      </c>
      <c r="ACR125" s="11"/>
      <c r="ACS125" s="11">
        <v>197190</v>
      </c>
      <c r="ACT125" s="11"/>
      <c r="ACU125" s="11"/>
      <c r="ACV125" s="11"/>
      <c r="ACW125" s="11"/>
      <c r="ACX125" s="11">
        <v>63615</v>
      </c>
      <c r="ACY125" s="11">
        <v>587715</v>
      </c>
      <c r="ACZ125" s="11"/>
      <c r="ADA125" s="11">
        <v>0</v>
      </c>
      <c r="ADB125" s="11"/>
      <c r="ADC125" s="11"/>
      <c r="ADD125" s="11"/>
      <c r="ADE125" s="11"/>
      <c r="ADF125" s="11"/>
      <c r="ADG125" s="11"/>
      <c r="ADH125" s="11">
        <v>170655</v>
      </c>
      <c r="ADI125" s="11">
        <v>293766</v>
      </c>
      <c r="ADJ125" s="11"/>
      <c r="ADK125" s="11"/>
      <c r="ADL125" s="11"/>
      <c r="ADM125" s="11"/>
      <c r="ADN125" s="11"/>
      <c r="ADO125" s="11">
        <v>296140</v>
      </c>
      <c r="ADP125" s="11"/>
      <c r="ADQ125" s="11"/>
      <c r="ADR125" s="11">
        <v>982101.02</v>
      </c>
      <c r="ADS125" s="11"/>
      <c r="ADT125" s="11"/>
      <c r="ADU125" s="11"/>
      <c r="ADV125" s="11"/>
      <c r="ADW125" s="11"/>
      <c r="ADX125" s="11"/>
      <c r="ADY125" s="11">
        <v>50000</v>
      </c>
      <c r="ADZ125" s="11"/>
      <c r="AEA125" s="11">
        <v>431664.7</v>
      </c>
      <c r="AEB125" s="11">
        <v>1129845.46</v>
      </c>
      <c r="AEC125" s="11">
        <v>868002.5</v>
      </c>
      <c r="AED125" s="11">
        <v>234119.2</v>
      </c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>
        <v>930470</v>
      </c>
      <c r="AEO125" s="11"/>
      <c r="AEP125" s="11"/>
      <c r="AEQ125" s="11">
        <v>48000</v>
      </c>
      <c r="AER125" s="11"/>
      <c r="AES125" s="11">
        <v>849757.25</v>
      </c>
      <c r="AET125" s="11"/>
      <c r="AEU125" s="11"/>
      <c r="AEV125" s="11">
        <v>19800</v>
      </c>
      <c r="AEW125" s="11"/>
      <c r="AEX125" s="11">
        <v>0</v>
      </c>
      <c r="AEY125" s="11">
        <v>213744</v>
      </c>
      <c r="AEZ125" s="11"/>
      <c r="AFA125" s="11">
        <v>267626</v>
      </c>
      <c r="AFB125" s="11"/>
      <c r="AFC125" s="11">
        <v>22600</v>
      </c>
      <c r="AFD125" s="11"/>
      <c r="AFE125" s="11">
        <v>140156.74</v>
      </c>
      <c r="AFF125" s="11"/>
      <c r="AFG125" s="11"/>
      <c r="AFH125" s="11"/>
      <c r="AFI125" s="11"/>
      <c r="AFJ125" s="11">
        <v>304000.2</v>
      </c>
      <c r="AFK125" s="11">
        <v>22100</v>
      </c>
      <c r="AFL125" s="11"/>
      <c r="AFM125" s="11"/>
      <c r="AFN125" s="11"/>
      <c r="AFO125" s="11">
        <v>0</v>
      </c>
      <c r="AFP125" s="11">
        <v>35825</v>
      </c>
      <c r="AFQ125" s="11"/>
      <c r="AFR125" s="11"/>
      <c r="AFS125" s="11"/>
      <c r="AFT125" s="11">
        <v>97800</v>
      </c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>
        <v>105280</v>
      </c>
      <c r="AGI125" s="11"/>
      <c r="AGJ125" s="11"/>
      <c r="AGK125" s="11"/>
      <c r="AGL125" s="11"/>
      <c r="AGM125" s="11"/>
      <c r="AGN125" s="11"/>
      <c r="AGO125" s="11"/>
      <c r="AGP125" s="11">
        <v>4660</v>
      </c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>
        <v>165000</v>
      </c>
      <c r="AHA125" s="11">
        <v>221800</v>
      </c>
      <c r="AHB125" s="11"/>
      <c r="AHC125" s="11">
        <v>40616</v>
      </c>
      <c r="AHD125" s="11">
        <v>14960</v>
      </c>
      <c r="AHE125" s="11"/>
      <c r="AHF125" s="11"/>
      <c r="AHG125" s="11"/>
      <c r="AHH125" s="11"/>
      <c r="AHI125" s="11"/>
      <c r="AHJ125" s="11">
        <v>118270</v>
      </c>
      <c r="AHK125" s="11"/>
      <c r="AHL125" s="11"/>
      <c r="AHM125" s="11"/>
      <c r="AHN125" s="11">
        <v>0</v>
      </c>
      <c r="AHO125" s="11">
        <v>90695</v>
      </c>
      <c r="AHP125" s="11"/>
      <c r="AHQ125" s="11"/>
      <c r="AHR125" s="11"/>
      <c r="AHS125" s="11">
        <v>115409</v>
      </c>
      <c r="AHT125" s="11">
        <v>164386137.81999999</v>
      </c>
      <c r="AHV125" s="269" t="s">
        <v>6278</v>
      </c>
      <c r="AHW125" s="269" t="s">
        <v>6190</v>
      </c>
      <c r="AHX125" s="269" t="s">
        <v>6191</v>
      </c>
    </row>
    <row r="126" spans="1:908" x14ac:dyDescent="0.7">
      <c r="A126" s="6" t="s">
        <v>6278</v>
      </c>
      <c r="B126" s="6" t="s">
        <v>6190</v>
      </c>
      <c r="C126" s="6" t="s">
        <v>6191</v>
      </c>
      <c r="D126" s="11">
        <v>16070</v>
      </c>
      <c r="E126" s="11"/>
      <c r="F126" s="11"/>
      <c r="G126" s="11"/>
      <c r="H126" s="11"/>
      <c r="I126" s="11"/>
      <c r="J126" s="11"/>
      <c r="K126" s="11"/>
      <c r="L126" s="11"/>
      <c r="M126" s="11">
        <v>302568</v>
      </c>
      <c r="N126" s="11"/>
      <c r="O126" s="11"/>
      <c r="P126" s="11"/>
      <c r="Q126" s="11">
        <v>160173.20000000001</v>
      </c>
      <c r="R126" s="11">
        <v>8680</v>
      </c>
      <c r="S126" s="11"/>
      <c r="T126" s="11">
        <v>8160</v>
      </c>
      <c r="U126" s="11"/>
      <c r="V126" s="11">
        <v>2172513</v>
      </c>
      <c r="W126" s="11">
        <v>592364.1</v>
      </c>
      <c r="X126" s="11"/>
      <c r="Y126" s="11"/>
      <c r="Z126" s="11"/>
      <c r="AA126" s="11"/>
      <c r="AB126" s="11"/>
      <c r="AC126" s="11"/>
      <c r="AD126" s="11">
        <v>705796.45</v>
      </c>
      <c r="AE126" s="11">
        <v>309496.55</v>
      </c>
      <c r="AF126" s="11">
        <v>56500</v>
      </c>
      <c r="AG126" s="11">
        <v>88281</v>
      </c>
      <c r="AH126" s="11">
        <v>74586.2</v>
      </c>
      <c r="AI126" s="11"/>
      <c r="AJ126" s="11"/>
      <c r="AK126" s="11"/>
      <c r="AL126" s="11">
        <v>182720</v>
      </c>
      <c r="AM126" s="11">
        <v>8143.88</v>
      </c>
      <c r="AN126" s="11">
        <v>194392.5</v>
      </c>
      <c r="AO126" s="11">
        <v>97244.2</v>
      </c>
      <c r="AP126" s="11">
        <v>2541</v>
      </c>
      <c r="AQ126" s="11"/>
      <c r="AR126" s="11">
        <v>331276.42</v>
      </c>
      <c r="AS126" s="11"/>
      <c r="AT126" s="11">
        <v>1935527.8</v>
      </c>
      <c r="AU126" s="11"/>
      <c r="AV126" s="11">
        <v>675375.24</v>
      </c>
      <c r="AW126" s="11"/>
      <c r="AX126" s="11"/>
      <c r="AY126" s="11"/>
      <c r="AZ126" s="11"/>
      <c r="BA126" s="11">
        <v>0</v>
      </c>
      <c r="BB126" s="11"/>
      <c r="BC126" s="11"/>
      <c r="BD126" s="11"/>
      <c r="BE126" s="11"/>
      <c r="BF126" s="11"/>
      <c r="BG126" s="11"/>
      <c r="BH126" s="11"/>
      <c r="BI126" s="11">
        <v>242900</v>
      </c>
      <c r="BJ126" s="11">
        <v>3962959.64</v>
      </c>
      <c r="BK126" s="11"/>
      <c r="BL126" s="11">
        <v>181150</v>
      </c>
      <c r="BM126" s="11"/>
      <c r="BN126" s="11"/>
      <c r="BO126" s="11"/>
      <c r="BP126" s="11"/>
      <c r="BQ126" s="11">
        <v>3861</v>
      </c>
      <c r="BR126" s="11">
        <v>12323</v>
      </c>
      <c r="BS126" s="11">
        <v>270170.59999999998</v>
      </c>
      <c r="BT126" s="11">
        <v>53072.6</v>
      </c>
      <c r="BU126" s="11">
        <v>21000</v>
      </c>
      <c r="BV126" s="11"/>
      <c r="BW126" s="11">
        <v>172866</v>
      </c>
      <c r="BX126" s="11">
        <v>46537.7</v>
      </c>
      <c r="BY126" s="11">
        <v>23968.7</v>
      </c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>
        <v>266265</v>
      </c>
      <c r="DI126" s="11"/>
      <c r="DJ126" s="11">
        <v>87648</v>
      </c>
      <c r="DK126" s="11">
        <v>9291508.9600000009</v>
      </c>
      <c r="DL126" s="11"/>
      <c r="DM126" s="11"/>
      <c r="DN126" s="11">
        <v>991967.6</v>
      </c>
      <c r="DO126" s="11">
        <v>440711.67</v>
      </c>
      <c r="DP126" s="11"/>
      <c r="DQ126" s="11">
        <v>2117814.84</v>
      </c>
      <c r="DR126" s="11">
        <v>255019</v>
      </c>
      <c r="DS126" s="11">
        <v>358543.77</v>
      </c>
      <c r="DT126" s="11">
        <v>76551</v>
      </c>
      <c r="DU126" s="11"/>
      <c r="DV126" s="11">
        <v>9283228.1699999999</v>
      </c>
      <c r="DW126" s="11">
        <v>231633</v>
      </c>
      <c r="DX126" s="11"/>
      <c r="DY126" s="11"/>
      <c r="DZ126" s="11">
        <v>31187</v>
      </c>
      <c r="EA126" s="11">
        <v>364000</v>
      </c>
      <c r="EB126" s="11">
        <v>85741.89</v>
      </c>
      <c r="EC126" s="11"/>
      <c r="ED126" s="11"/>
      <c r="EE126" s="11"/>
      <c r="EF126" s="11">
        <v>918200.29</v>
      </c>
      <c r="EG126" s="11"/>
      <c r="EH126" s="11"/>
      <c r="EI126" s="11"/>
      <c r="EJ126" s="11">
        <v>312425</v>
      </c>
      <c r="EK126" s="11">
        <v>667167</v>
      </c>
      <c r="EL126" s="11">
        <v>1135318</v>
      </c>
      <c r="EM126" s="11">
        <v>307616</v>
      </c>
      <c r="EN126" s="11">
        <v>252772</v>
      </c>
      <c r="EO126" s="11"/>
      <c r="EP126" s="11">
        <v>95000</v>
      </c>
      <c r="EQ126" s="11"/>
      <c r="ER126" s="11">
        <v>47042.2</v>
      </c>
      <c r="ES126" s="11"/>
      <c r="ET126" s="11">
        <v>132831</v>
      </c>
      <c r="EU126" s="11">
        <v>268371.14</v>
      </c>
      <c r="EV126" s="11"/>
      <c r="EW126" s="11">
        <v>3155786.8</v>
      </c>
      <c r="EX126" s="11"/>
      <c r="EY126" s="11"/>
      <c r="EZ126" s="11"/>
      <c r="FA126" s="11"/>
      <c r="FB126" s="11"/>
      <c r="FC126" s="11"/>
      <c r="FD126" s="11">
        <v>32500</v>
      </c>
      <c r="FE126" s="11">
        <v>667974</v>
      </c>
      <c r="FF126" s="11">
        <v>118096.43</v>
      </c>
      <c r="FG126" s="11"/>
      <c r="FH126" s="11">
        <v>430465</v>
      </c>
      <c r="FI126" s="11"/>
      <c r="FJ126" s="11"/>
      <c r="FK126" s="11"/>
      <c r="FL126" s="11">
        <v>269990</v>
      </c>
      <c r="FM126" s="11">
        <v>302526.65999999997</v>
      </c>
      <c r="FN126" s="11"/>
      <c r="FO126" s="11">
        <v>758560.24</v>
      </c>
      <c r="FP126" s="11">
        <v>16358</v>
      </c>
      <c r="FQ126" s="11"/>
      <c r="FR126" s="11">
        <v>100000</v>
      </c>
      <c r="FS126" s="11"/>
      <c r="FT126" s="11"/>
      <c r="FU126" s="11"/>
      <c r="FV126" s="11">
        <v>23126</v>
      </c>
      <c r="FW126" s="11">
        <v>12000</v>
      </c>
      <c r="FX126" s="11">
        <v>476050</v>
      </c>
      <c r="FY126" s="11"/>
      <c r="FZ126" s="11">
        <v>68499</v>
      </c>
      <c r="GA126" s="11"/>
      <c r="GB126" s="11">
        <v>476615</v>
      </c>
      <c r="GC126" s="11">
        <v>123335</v>
      </c>
      <c r="GD126" s="11">
        <v>456114.8</v>
      </c>
      <c r="GE126" s="11">
        <v>2101833.04</v>
      </c>
      <c r="GF126" s="11">
        <v>15600</v>
      </c>
      <c r="GG126" s="11">
        <v>22500</v>
      </c>
      <c r="GH126" s="11">
        <v>384540</v>
      </c>
      <c r="GI126" s="11">
        <v>94525</v>
      </c>
      <c r="GJ126" s="11"/>
      <c r="GK126" s="11">
        <v>12605.81</v>
      </c>
      <c r="GL126" s="11">
        <v>180214</v>
      </c>
      <c r="GM126" s="11"/>
      <c r="GN126" s="11"/>
      <c r="GO126" s="11"/>
      <c r="GP126" s="11">
        <v>440318.73</v>
      </c>
      <c r="GQ126" s="11">
        <v>30280.3</v>
      </c>
      <c r="GR126" s="11"/>
      <c r="GS126" s="11"/>
      <c r="GT126" s="11"/>
      <c r="GU126" s="11"/>
      <c r="GV126" s="11"/>
      <c r="GW126" s="11"/>
      <c r="GX126" s="11"/>
      <c r="GY126" s="11"/>
      <c r="GZ126" s="11"/>
      <c r="HA126" s="11">
        <v>322732.15999999997</v>
      </c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>
        <v>0</v>
      </c>
      <c r="HM126" s="11"/>
      <c r="HN126" s="11"/>
      <c r="HO126" s="11">
        <v>478761.8</v>
      </c>
      <c r="HP126" s="11">
        <v>530994.1</v>
      </c>
      <c r="HQ126" s="11"/>
      <c r="HR126" s="11"/>
      <c r="HS126" s="11">
        <v>193028.7</v>
      </c>
      <c r="HT126" s="11"/>
      <c r="HU126" s="11"/>
      <c r="HV126" s="11"/>
      <c r="HW126" s="11">
        <v>0</v>
      </c>
      <c r="HX126" s="11"/>
      <c r="HY126" s="11"/>
      <c r="HZ126" s="11"/>
      <c r="IA126" s="11"/>
      <c r="IB126" s="11">
        <v>565373</v>
      </c>
      <c r="IC126" s="11"/>
      <c r="ID126" s="11"/>
      <c r="IE126" s="11"/>
      <c r="IF126" s="11"/>
      <c r="IG126" s="11">
        <v>5100</v>
      </c>
      <c r="IH126" s="11"/>
      <c r="II126" s="11"/>
      <c r="IJ126" s="11">
        <v>776160.7</v>
      </c>
      <c r="IK126" s="11">
        <v>900</v>
      </c>
      <c r="IL126" s="11">
        <v>550628.17000000004</v>
      </c>
      <c r="IM126" s="11">
        <v>1309030.47</v>
      </c>
      <c r="IN126" s="11">
        <v>410636.82</v>
      </c>
      <c r="IO126" s="11"/>
      <c r="IP126" s="11">
        <v>537460.98</v>
      </c>
      <c r="IQ126" s="11">
        <v>348920</v>
      </c>
      <c r="IR126" s="11">
        <v>180140</v>
      </c>
      <c r="IS126" s="11"/>
      <c r="IT126" s="11">
        <v>4223850</v>
      </c>
      <c r="IU126" s="11">
        <v>160000</v>
      </c>
      <c r="IV126" s="11"/>
      <c r="IW126" s="11"/>
      <c r="IX126" s="11">
        <v>613471.04</v>
      </c>
      <c r="IY126" s="11"/>
      <c r="IZ126" s="11"/>
      <c r="JA126" s="11">
        <v>148409</v>
      </c>
      <c r="JB126" s="11">
        <v>23938</v>
      </c>
      <c r="JC126" s="11"/>
      <c r="JD126" s="11">
        <v>663189</v>
      </c>
      <c r="JE126" s="11"/>
      <c r="JF126" s="11"/>
      <c r="JG126" s="11">
        <v>228500.4</v>
      </c>
      <c r="JH126" s="11">
        <v>201599</v>
      </c>
      <c r="JI126" s="11"/>
      <c r="JJ126" s="11"/>
      <c r="JK126" s="11">
        <v>60051.199999999997</v>
      </c>
      <c r="JL126" s="11"/>
      <c r="JM126" s="11">
        <v>6800</v>
      </c>
      <c r="JN126" s="11">
        <v>416226</v>
      </c>
      <c r="JO126" s="11">
        <v>1487398.64</v>
      </c>
      <c r="JP126" s="11">
        <v>296287.46000000002</v>
      </c>
      <c r="JQ126" s="11"/>
      <c r="JR126" s="11">
        <v>35055.800000000003</v>
      </c>
      <c r="JS126" s="11"/>
      <c r="JT126" s="11"/>
      <c r="JU126" s="11"/>
      <c r="JV126" s="11"/>
      <c r="JW126" s="11"/>
      <c r="JX126" s="11"/>
      <c r="JY126" s="11">
        <v>436129.06</v>
      </c>
      <c r="JZ126" s="11"/>
      <c r="KA126" s="11"/>
      <c r="KB126" s="11"/>
      <c r="KC126" s="11"/>
      <c r="KD126" s="11"/>
      <c r="KE126" s="11">
        <v>53100</v>
      </c>
      <c r="KF126" s="11">
        <v>3012.5</v>
      </c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>
        <v>248775</v>
      </c>
      <c r="KS126" s="11"/>
      <c r="KT126" s="11"/>
      <c r="KU126" s="11"/>
      <c r="KV126" s="11"/>
      <c r="KW126" s="11">
        <v>72300</v>
      </c>
      <c r="KX126" s="11"/>
      <c r="KY126" s="11">
        <v>0</v>
      </c>
      <c r="KZ126" s="11">
        <v>197818.5</v>
      </c>
      <c r="LA126" s="11"/>
      <c r="LB126" s="11">
        <v>81000</v>
      </c>
      <c r="LC126" s="11"/>
      <c r="LD126" s="11"/>
      <c r="LE126" s="11"/>
      <c r="LF126" s="11"/>
      <c r="LG126" s="11"/>
      <c r="LH126" s="11">
        <v>0</v>
      </c>
      <c r="LI126" s="11"/>
      <c r="LJ126" s="11"/>
      <c r="LK126" s="11"/>
      <c r="LL126" s="11">
        <v>224500</v>
      </c>
      <c r="LM126" s="11">
        <v>34500</v>
      </c>
      <c r="LN126" s="11"/>
      <c r="LO126" s="11">
        <v>21223.3</v>
      </c>
      <c r="LP126" s="11">
        <v>-23540</v>
      </c>
      <c r="LQ126" s="11">
        <v>0</v>
      </c>
      <c r="LR126" s="11"/>
      <c r="LS126" s="11"/>
      <c r="LT126" s="11"/>
      <c r="LU126" s="11">
        <v>339300</v>
      </c>
      <c r="LV126" s="11"/>
      <c r="LW126" s="11">
        <v>0</v>
      </c>
      <c r="LX126" s="11">
        <v>3385971.59</v>
      </c>
      <c r="LY126" s="11">
        <v>887782</v>
      </c>
      <c r="LZ126" s="11"/>
      <c r="MA126" s="11"/>
      <c r="MB126" s="11">
        <v>236314</v>
      </c>
      <c r="MC126" s="11"/>
      <c r="MD126" s="11"/>
      <c r="ME126" s="11">
        <v>311222.56</v>
      </c>
      <c r="MF126" s="11">
        <v>418972.2</v>
      </c>
      <c r="MG126" s="11"/>
      <c r="MH126" s="11"/>
      <c r="MI126" s="11"/>
      <c r="MJ126" s="11">
        <v>165000</v>
      </c>
      <c r="MK126" s="11"/>
      <c r="ML126" s="11"/>
      <c r="MM126" s="11"/>
      <c r="MN126" s="11"/>
      <c r="MO126" s="11"/>
      <c r="MP126" s="11">
        <v>6600</v>
      </c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>
        <v>247950.02</v>
      </c>
      <c r="NE126" s="11">
        <v>1588760</v>
      </c>
      <c r="NF126" s="11"/>
      <c r="NG126" s="11"/>
      <c r="NH126" s="11"/>
      <c r="NI126" s="11"/>
      <c r="NJ126" s="11"/>
      <c r="NK126" s="11"/>
      <c r="NL126" s="11"/>
      <c r="NM126" s="11"/>
      <c r="NN126" s="11">
        <v>122331.79</v>
      </c>
      <c r="NO126" s="11"/>
      <c r="NP126" s="11"/>
      <c r="NQ126" s="11"/>
      <c r="NR126" s="11"/>
      <c r="NS126" s="11"/>
      <c r="NT126" s="11"/>
      <c r="NU126" s="11"/>
      <c r="NV126" s="11"/>
      <c r="NW126" s="11">
        <v>83820</v>
      </c>
      <c r="NX126" s="11">
        <v>510725.11</v>
      </c>
      <c r="NY126" s="11">
        <v>381718</v>
      </c>
      <c r="NZ126" s="11"/>
      <c r="OA126" s="11"/>
      <c r="OB126" s="11">
        <v>88417.22</v>
      </c>
      <c r="OC126" s="11"/>
      <c r="OD126" s="11"/>
      <c r="OE126" s="11"/>
      <c r="OF126" s="11"/>
      <c r="OG126" s="11"/>
      <c r="OH126" s="11"/>
      <c r="OI126" s="11"/>
      <c r="OJ126" s="11"/>
      <c r="OK126" s="11"/>
      <c r="OL126" s="11">
        <v>100000</v>
      </c>
      <c r="OM126" s="11"/>
      <c r="ON126" s="11"/>
      <c r="OO126" s="11"/>
      <c r="OP126" s="11"/>
      <c r="OQ126" s="11">
        <v>1195561</v>
      </c>
      <c r="OR126" s="11"/>
      <c r="OS126" s="11"/>
      <c r="OT126" s="11">
        <v>1619549.93</v>
      </c>
      <c r="OU126" s="11"/>
      <c r="OV126" s="11">
        <v>68111.399999999994</v>
      </c>
      <c r="OW126" s="11">
        <v>169355</v>
      </c>
      <c r="OX126" s="11">
        <v>914810.48</v>
      </c>
      <c r="OY126" s="11"/>
      <c r="OZ126" s="11"/>
      <c r="PA126" s="11">
        <v>208605</v>
      </c>
      <c r="PB126" s="11">
        <v>1897545.33</v>
      </c>
      <c r="PC126" s="11">
        <v>57819.4</v>
      </c>
      <c r="PD126" s="11"/>
      <c r="PE126" s="11"/>
      <c r="PF126" s="11">
        <v>0</v>
      </c>
      <c r="PG126" s="11"/>
      <c r="PH126" s="11">
        <v>654410</v>
      </c>
      <c r="PI126" s="11"/>
      <c r="PJ126" s="11">
        <v>310374</v>
      </c>
      <c r="PK126" s="11"/>
      <c r="PL126" s="11">
        <v>111644</v>
      </c>
      <c r="PM126" s="11">
        <v>165194</v>
      </c>
      <c r="PN126" s="11"/>
      <c r="PO126" s="11">
        <v>10800</v>
      </c>
      <c r="PP126" s="11">
        <v>0</v>
      </c>
      <c r="PQ126" s="11">
        <v>171040</v>
      </c>
      <c r="PR126" s="11">
        <v>0</v>
      </c>
      <c r="PS126" s="11"/>
      <c r="PT126" s="11"/>
      <c r="PU126" s="11"/>
      <c r="PV126" s="11"/>
      <c r="PW126" s="11"/>
      <c r="PX126" s="11"/>
      <c r="PY126" s="11"/>
      <c r="PZ126" s="11"/>
      <c r="QA126" s="11">
        <v>13400</v>
      </c>
      <c r="QB126" s="11"/>
      <c r="QC126" s="11">
        <v>0</v>
      </c>
      <c r="QD126" s="11"/>
      <c r="QE126" s="11">
        <v>524472.35</v>
      </c>
      <c r="QF126" s="11"/>
      <c r="QG126" s="11">
        <v>349200</v>
      </c>
      <c r="QH126" s="11"/>
      <c r="QI126" s="11"/>
      <c r="QJ126" s="11"/>
      <c r="QK126" s="11"/>
      <c r="QL126" s="11"/>
      <c r="QM126" s="11"/>
      <c r="QN126" s="11"/>
      <c r="QO126" s="11">
        <v>13395</v>
      </c>
      <c r="QP126" s="11"/>
      <c r="QQ126" s="11">
        <v>259661.83</v>
      </c>
      <c r="QR126" s="11"/>
      <c r="QS126" s="11"/>
      <c r="QT126" s="11">
        <v>300845</v>
      </c>
      <c r="QU126" s="11"/>
      <c r="QV126" s="11"/>
      <c r="QW126" s="11"/>
      <c r="QX126" s="11"/>
      <c r="QY126" s="11"/>
      <c r="QZ126" s="11">
        <v>45000</v>
      </c>
      <c r="RA126" s="11"/>
      <c r="RB126" s="11">
        <v>146170</v>
      </c>
      <c r="RC126" s="11"/>
      <c r="RD126" s="11">
        <v>19300</v>
      </c>
      <c r="RE126" s="11"/>
      <c r="RF126" s="11">
        <v>217681.63</v>
      </c>
      <c r="RG126" s="11">
        <v>49386</v>
      </c>
      <c r="RH126" s="11">
        <v>1831795.8</v>
      </c>
      <c r="RI126" s="11">
        <v>619211</v>
      </c>
      <c r="RJ126" s="11">
        <v>101285</v>
      </c>
      <c r="RK126" s="11">
        <v>233550</v>
      </c>
      <c r="RL126" s="11">
        <v>495640</v>
      </c>
      <c r="RM126" s="11"/>
      <c r="RN126" s="11">
        <v>90000</v>
      </c>
      <c r="RO126" s="11">
        <v>24175</v>
      </c>
      <c r="RP126" s="11">
        <v>432513</v>
      </c>
      <c r="RQ126" s="11">
        <v>131805</v>
      </c>
      <c r="RR126" s="11">
        <v>271079</v>
      </c>
      <c r="RS126" s="11">
        <v>6550</v>
      </c>
      <c r="RT126" s="11">
        <v>14500</v>
      </c>
      <c r="RU126" s="11">
        <v>153933</v>
      </c>
      <c r="RV126" s="11"/>
      <c r="RW126" s="11">
        <v>66973</v>
      </c>
      <c r="RX126" s="11"/>
      <c r="RY126" s="11">
        <v>20250</v>
      </c>
      <c r="RZ126" s="11"/>
      <c r="SA126" s="11">
        <v>164600</v>
      </c>
      <c r="SB126" s="11"/>
      <c r="SC126" s="11"/>
      <c r="SD126" s="11">
        <v>101230</v>
      </c>
      <c r="SE126" s="11"/>
      <c r="SF126" s="11"/>
      <c r="SG126" s="11">
        <v>497750</v>
      </c>
      <c r="SH126" s="11">
        <v>526250</v>
      </c>
      <c r="SI126" s="11">
        <v>899100</v>
      </c>
      <c r="SJ126" s="11"/>
      <c r="SK126" s="11"/>
      <c r="SL126" s="11">
        <v>51000</v>
      </c>
      <c r="SM126" s="11"/>
      <c r="SN126" s="11"/>
      <c r="SO126" s="11">
        <v>501165.2</v>
      </c>
      <c r="SP126" s="11">
        <v>81875</v>
      </c>
      <c r="SQ126" s="11">
        <v>1505522.97</v>
      </c>
      <c r="SR126" s="11"/>
      <c r="SS126" s="11">
        <v>439541.06</v>
      </c>
      <c r="ST126" s="11">
        <v>167325</v>
      </c>
      <c r="SU126" s="11"/>
      <c r="SV126" s="11">
        <v>385240</v>
      </c>
      <c r="SW126" s="11">
        <v>0</v>
      </c>
      <c r="SX126" s="11">
        <v>110989.61</v>
      </c>
      <c r="SY126" s="11">
        <v>412880.34</v>
      </c>
      <c r="SZ126" s="11"/>
      <c r="TA126" s="11"/>
      <c r="TB126" s="11"/>
      <c r="TC126" s="11">
        <v>169370</v>
      </c>
      <c r="TD126" s="11"/>
      <c r="TE126" s="11">
        <v>542000</v>
      </c>
      <c r="TF126" s="11"/>
      <c r="TG126" s="11"/>
      <c r="TH126" s="11">
        <v>302908</v>
      </c>
      <c r="TI126" s="11"/>
      <c r="TJ126" s="11"/>
      <c r="TK126" s="11">
        <v>54800</v>
      </c>
      <c r="TL126" s="11">
        <v>222150</v>
      </c>
      <c r="TM126" s="11">
        <v>99900</v>
      </c>
      <c r="TN126" s="11"/>
      <c r="TO126" s="11">
        <v>86735.61</v>
      </c>
      <c r="TP126" s="11"/>
      <c r="TQ126" s="11">
        <v>568864.28</v>
      </c>
      <c r="TR126" s="11"/>
      <c r="TS126" s="11">
        <v>56302</v>
      </c>
      <c r="TT126" s="11"/>
      <c r="TU126" s="11"/>
      <c r="TV126" s="11"/>
      <c r="TW126" s="11"/>
      <c r="TX126" s="11">
        <v>45550</v>
      </c>
      <c r="TY126" s="11"/>
      <c r="TZ126" s="11">
        <v>49500</v>
      </c>
      <c r="UA126" s="11"/>
      <c r="UB126" s="11">
        <v>370500</v>
      </c>
      <c r="UC126" s="11">
        <v>100000</v>
      </c>
      <c r="UD126" s="11"/>
      <c r="UE126" s="11"/>
      <c r="UF126" s="11"/>
      <c r="UG126" s="11"/>
      <c r="UH126" s="11">
        <v>223000</v>
      </c>
      <c r="UI126" s="11"/>
      <c r="UJ126" s="11"/>
      <c r="UK126" s="11">
        <v>400500</v>
      </c>
      <c r="UL126" s="11">
        <v>39800</v>
      </c>
      <c r="UM126" s="11"/>
      <c r="UN126" s="11"/>
      <c r="UO126" s="11">
        <v>9000</v>
      </c>
      <c r="UP126" s="11">
        <v>420829.9</v>
      </c>
      <c r="UQ126" s="11">
        <v>14335868.51</v>
      </c>
      <c r="UR126" s="11"/>
      <c r="US126" s="11"/>
      <c r="UT126" s="11">
        <v>754830</v>
      </c>
      <c r="UU126" s="11"/>
      <c r="UV126" s="11">
        <v>108802.2</v>
      </c>
      <c r="UW126" s="11">
        <v>1502335.1</v>
      </c>
      <c r="UX126" s="11">
        <v>19467</v>
      </c>
      <c r="UY126" s="11"/>
      <c r="UZ126" s="11">
        <v>352936.92</v>
      </c>
      <c r="VA126" s="11">
        <v>324440</v>
      </c>
      <c r="VB126" s="11">
        <v>180580</v>
      </c>
      <c r="VC126" s="11"/>
      <c r="VD126" s="11">
        <v>166934.59</v>
      </c>
      <c r="VE126" s="11"/>
      <c r="VF126" s="11">
        <v>824832.98</v>
      </c>
      <c r="VG126" s="11">
        <v>198706</v>
      </c>
      <c r="VH126" s="11">
        <v>312499.34999999998</v>
      </c>
      <c r="VI126" s="11">
        <v>771537</v>
      </c>
      <c r="VJ126" s="11">
        <v>366263.56</v>
      </c>
      <c r="VK126" s="11">
        <v>27120</v>
      </c>
      <c r="VL126" s="11">
        <v>1291493.94</v>
      </c>
      <c r="VM126" s="11">
        <v>840978.75</v>
      </c>
      <c r="VN126" s="11">
        <v>72547</v>
      </c>
      <c r="VO126" s="11"/>
      <c r="VP126" s="11">
        <v>626152.81999999995</v>
      </c>
      <c r="VQ126" s="11"/>
      <c r="VR126" s="11">
        <v>787336.84</v>
      </c>
      <c r="VS126" s="11">
        <v>725461.65</v>
      </c>
      <c r="VT126" s="11">
        <v>29570</v>
      </c>
      <c r="VU126" s="11">
        <v>75690</v>
      </c>
      <c r="VV126" s="11"/>
      <c r="VW126" s="11">
        <v>954400</v>
      </c>
      <c r="VX126" s="11"/>
      <c r="VY126" s="11">
        <v>34420</v>
      </c>
      <c r="VZ126" s="11"/>
      <c r="WA126" s="11"/>
      <c r="WB126" s="11"/>
      <c r="WC126" s="11">
        <v>326500</v>
      </c>
      <c r="WD126" s="11">
        <v>767010.05</v>
      </c>
      <c r="WE126" s="11"/>
      <c r="WF126" s="11"/>
      <c r="WG126" s="11">
        <v>288200</v>
      </c>
      <c r="WH126" s="11"/>
      <c r="WI126" s="11">
        <v>693656.1</v>
      </c>
      <c r="WJ126" s="11">
        <v>218060</v>
      </c>
      <c r="WK126" s="11">
        <v>300250</v>
      </c>
      <c r="WL126" s="11">
        <v>36400</v>
      </c>
      <c r="WM126" s="11">
        <v>527025</v>
      </c>
      <c r="WN126" s="11">
        <v>185975</v>
      </c>
      <c r="WO126" s="11">
        <v>165000</v>
      </c>
      <c r="WP126" s="11">
        <v>1616010.2</v>
      </c>
      <c r="WQ126" s="11">
        <v>460555</v>
      </c>
      <c r="WR126" s="11"/>
      <c r="WS126" s="11">
        <v>141650</v>
      </c>
      <c r="WT126" s="11">
        <v>113900</v>
      </c>
      <c r="WU126" s="11"/>
      <c r="WV126" s="11">
        <v>635200</v>
      </c>
      <c r="WW126" s="11"/>
      <c r="WX126" s="11">
        <v>427291.1</v>
      </c>
      <c r="WY126" s="11"/>
      <c r="WZ126" s="11">
        <v>242239.23</v>
      </c>
      <c r="XA126" s="11"/>
      <c r="XB126" s="11"/>
      <c r="XC126" s="11">
        <v>947600</v>
      </c>
      <c r="XD126" s="11"/>
      <c r="XE126" s="11">
        <v>770990.05</v>
      </c>
      <c r="XF126" s="11"/>
      <c r="XG126" s="11">
        <v>9500</v>
      </c>
      <c r="XH126" s="11">
        <v>33125</v>
      </c>
      <c r="XI126" s="11">
        <v>143617</v>
      </c>
      <c r="XJ126" s="11">
        <v>829662.6</v>
      </c>
      <c r="XK126" s="11">
        <v>212503</v>
      </c>
      <c r="XL126" s="11">
        <v>1200641</v>
      </c>
      <c r="XM126" s="11">
        <v>414485</v>
      </c>
      <c r="XN126" s="11">
        <v>146215</v>
      </c>
      <c r="XO126" s="11">
        <v>296240</v>
      </c>
      <c r="XP126" s="11">
        <v>562866</v>
      </c>
      <c r="XQ126" s="11">
        <v>532836</v>
      </c>
      <c r="XR126" s="11">
        <v>167405</v>
      </c>
      <c r="XS126" s="11">
        <v>1637672.74</v>
      </c>
      <c r="XT126" s="11">
        <v>641604</v>
      </c>
      <c r="XU126" s="11">
        <v>59669</v>
      </c>
      <c r="XV126" s="11">
        <v>163373</v>
      </c>
      <c r="XW126" s="11">
        <v>336160</v>
      </c>
      <c r="XX126" s="11">
        <v>325164</v>
      </c>
      <c r="XY126" s="11">
        <v>367888</v>
      </c>
      <c r="XZ126" s="11">
        <v>210555</v>
      </c>
      <c r="YA126" s="11">
        <v>333679</v>
      </c>
      <c r="YB126" s="11">
        <v>351438.59</v>
      </c>
      <c r="YC126" s="11">
        <v>276342</v>
      </c>
      <c r="YD126" s="11">
        <v>917837.04</v>
      </c>
      <c r="YE126" s="11">
        <v>387339</v>
      </c>
      <c r="YF126" s="11">
        <v>2151842</v>
      </c>
      <c r="YG126" s="11"/>
      <c r="YH126" s="11"/>
      <c r="YI126" s="11">
        <v>100000</v>
      </c>
      <c r="YJ126" s="11">
        <v>355776</v>
      </c>
      <c r="YK126" s="11"/>
      <c r="YL126" s="11"/>
      <c r="YM126" s="11"/>
      <c r="YN126" s="11">
        <v>138650</v>
      </c>
      <c r="YO126" s="11">
        <v>94650</v>
      </c>
      <c r="YP126" s="11">
        <v>149285</v>
      </c>
      <c r="YQ126" s="11">
        <v>154511</v>
      </c>
      <c r="YR126" s="11">
        <v>162075</v>
      </c>
      <c r="YS126" s="11">
        <v>20250</v>
      </c>
      <c r="YT126" s="11">
        <v>353315.24</v>
      </c>
      <c r="YU126" s="11"/>
      <c r="YV126" s="11">
        <v>107525</v>
      </c>
      <c r="YW126" s="11"/>
      <c r="YX126" s="11">
        <v>327455</v>
      </c>
      <c r="YY126" s="11"/>
      <c r="YZ126" s="11"/>
      <c r="ZA126" s="11">
        <v>70400</v>
      </c>
      <c r="ZB126" s="11"/>
      <c r="ZC126" s="11"/>
      <c r="ZD126" s="11"/>
      <c r="ZE126" s="11"/>
      <c r="ZF126" s="11"/>
      <c r="ZG126" s="11">
        <v>22500</v>
      </c>
      <c r="ZH126" s="11"/>
      <c r="ZI126" s="11"/>
      <c r="ZJ126" s="11">
        <v>15040</v>
      </c>
      <c r="ZK126" s="11"/>
      <c r="ZL126" s="11"/>
      <c r="ZM126" s="11">
        <v>557505</v>
      </c>
      <c r="ZN126" s="11">
        <v>79250</v>
      </c>
      <c r="ZO126" s="11">
        <v>107310</v>
      </c>
      <c r="ZP126" s="11">
        <v>124320</v>
      </c>
      <c r="ZQ126" s="11">
        <v>1028049.92</v>
      </c>
      <c r="ZR126" s="11"/>
      <c r="ZS126" s="11">
        <v>260115</v>
      </c>
      <c r="ZT126" s="11">
        <v>85410</v>
      </c>
      <c r="ZU126" s="11">
        <v>1236497</v>
      </c>
      <c r="ZV126" s="11">
        <v>2444109.62</v>
      </c>
      <c r="ZW126" s="11"/>
      <c r="ZX126" s="11">
        <v>666393.80000000005</v>
      </c>
      <c r="ZY126" s="11"/>
      <c r="ZZ126" s="11"/>
      <c r="AAA126" s="11">
        <v>91347.62</v>
      </c>
      <c r="AAB126" s="11"/>
      <c r="AAC126" s="11"/>
      <c r="AAD126" s="11"/>
      <c r="AAE126" s="11">
        <v>81000</v>
      </c>
      <c r="AAF126" s="11"/>
      <c r="AAG126" s="11">
        <v>202890</v>
      </c>
      <c r="AAH126" s="11"/>
      <c r="AAI126" s="11"/>
      <c r="AAJ126" s="11"/>
      <c r="AAK126" s="11"/>
      <c r="AAL126" s="11"/>
      <c r="AAM126" s="11"/>
      <c r="AAN126" s="11"/>
      <c r="AAO126" s="11"/>
      <c r="AAP126" s="11">
        <v>1180250</v>
      </c>
      <c r="AAQ126" s="11"/>
      <c r="AAR126" s="11"/>
      <c r="AAS126" s="11">
        <v>100000</v>
      </c>
      <c r="AAT126" s="11"/>
      <c r="AAU126" s="11"/>
      <c r="AAV126" s="11"/>
      <c r="AAW126" s="11"/>
      <c r="AAX126" s="11"/>
      <c r="AAY126" s="11">
        <v>232634.23</v>
      </c>
      <c r="AAZ126" s="11"/>
      <c r="ABA126" s="11"/>
      <c r="ABB126" s="11"/>
      <c r="ABC126" s="11"/>
      <c r="ABD126" s="11">
        <v>22116.49</v>
      </c>
      <c r="ABE126" s="11"/>
      <c r="ABF126" s="11"/>
      <c r="ABG126" s="11"/>
      <c r="ABH126" s="11"/>
      <c r="ABI126" s="11">
        <v>0</v>
      </c>
      <c r="ABJ126" s="11"/>
      <c r="ABK126" s="11"/>
      <c r="ABL126" s="11"/>
      <c r="ABM126" s="11"/>
      <c r="ABN126" s="11">
        <v>30100</v>
      </c>
      <c r="ABO126" s="11"/>
      <c r="ABP126" s="11">
        <v>165000</v>
      </c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>
        <v>126800</v>
      </c>
      <c r="ACB126" s="11"/>
      <c r="ACC126" s="11"/>
      <c r="ACD126" s="11"/>
      <c r="ACE126" s="11"/>
      <c r="ACF126" s="11"/>
      <c r="ACG126" s="11"/>
      <c r="ACH126" s="11">
        <v>131500</v>
      </c>
      <c r="ACI126" s="11">
        <v>104001</v>
      </c>
      <c r="ACJ126" s="11">
        <v>2669625.41</v>
      </c>
      <c r="ACK126" s="11">
        <v>31139</v>
      </c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>
        <v>630000</v>
      </c>
      <c r="ACX126" s="11"/>
      <c r="ACY126" s="11"/>
      <c r="ACZ126" s="11"/>
      <c r="ADA126" s="11"/>
      <c r="ADB126" s="11"/>
      <c r="ADC126" s="11">
        <v>100000</v>
      </c>
      <c r="ADD126" s="11">
        <v>450000</v>
      </c>
      <c r="ADE126" s="11">
        <v>126600</v>
      </c>
      <c r="ADF126" s="11"/>
      <c r="ADG126" s="11"/>
      <c r="ADH126" s="11">
        <v>350000</v>
      </c>
      <c r="ADI126" s="11"/>
      <c r="ADJ126" s="11">
        <v>277261.40000000002</v>
      </c>
      <c r="ADK126" s="11"/>
      <c r="ADL126" s="11">
        <v>4032351.71</v>
      </c>
      <c r="ADM126" s="11">
        <v>883140.18</v>
      </c>
      <c r="ADN126" s="11">
        <v>40859</v>
      </c>
      <c r="ADO126" s="11">
        <v>316885</v>
      </c>
      <c r="ADP126" s="11">
        <v>896909.7</v>
      </c>
      <c r="ADQ126" s="11">
        <v>786218.01</v>
      </c>
      <c r="ADR126" s="11">
        <v>1344925.79</v>
      </c>
      <c r="ADS126" s="11">
        <v>487213.01</v>
      </c>
      <c r="ADT126" s="11">
        <v>893854</v>
      </c>
      <c r="ADU126" s="11"/>
      <c r="ADV126" s="11">
        <v>151227</v>
      </c>
      <c r="ADW126" s="11"/>
      <c r="ADX126" s="11"/>
      <c r="ADY126" s="11"/>
      <c r="ADZ126" s="11"/>
      <c r="AEA126" s="11"/>
      <c r="AEB126" s="11"/>
      <c r="AEC126" s="11">
        <v>152500</v>
      </c>
      <c r="AED126" s="11">
        <v>481346</v>
      </c>
      <c r="AEE126" s="11"/>
      <c r="AEF126" s="11">
        <v>497465.65</v>
      </c>
      <c r="AEG126" s="11"/>
      <c r="AEH126" s="11">
        <v>639469.81000000006</v>
      </c>
      <c r="AEI126" s="11"/>
      <c r="AEJ126" s="11"/>
      <c r="AEK126" s="11"/>
      <c r="AEL126" s="11">
        <v>227634.21</v>
      </c>
      <c r="AEM126" s="11">
        <v>174043.9</v>
      </c>
      <c r="AEN126" s="11"/>
      <c r="AEO126" s="11"/>
      <c r="AEP126" s="11"/>
      <c r="AEQ126" s="11"/>
      <c r="AER126" s="11"/>
      <c r="AES126" s="11"/>
      <c r="AET126" s="11">
        <v>0</v>
      </c>
      <c r="AEU126" s="11">
        <v>1967833.11</v>
      </c>
      <c r="AEV126" s="11">
        <v>188300</v>
      </c>
      <c r="AEW126" s="11">
        <v>391860</v>
      </c>
      <c r="AEX126" s="11">
        <v>326129.81</v>
      </c>
      <c r="AEY126" s="11">
        <v>141647.46</v>
      </c>
      <c r="AEZ126" s="11">
        <v>300000</v>
      </c>
      <c r="AFA126" s="11">
        <v>89072.4</v>
      </c>
      <c r="AFB126" s="11">
        <v>311536.02</v>
      </c>
      <c r="AFC126" s="11">
        <v>379680</v>
      </c>
      <c r="AFD126" s="11"/>
      <c r="AFE126" s="11">
        <v>467855.79</v>
      </c>
      <c r="AFF126" s="11"/>
      <c r="AFG126" s="11">
        <v>298296.53000000003</v>
      </c>
      <c r="AFH126" s="11"/>
      <c r="AFI126" s="11"/>
      <c r="AFJ126" s="11">
        <v>123396.23</v>
      </c>
      <c r="AFK126" s="11"/>
      <c r="AFL126" s="11"/>
      <c r="AFM126" s="11"/>
      <c r="AFN126" s="11">
        <v>1078319.5</v>
      </c>
      <c r="AFO126" s="11">
        <v>316055</v>
      </c>
      <c r="AFP126" s="11">
        <v>3085196.65</v>
      </c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>
        <v>289887.84999999998</v>
      </c>
      <c r="AGF126" s="11"/>
      <c r="AGG126" s="11"/>
      <c r="AGH126" s="11"/>
      <c r="AGI126" s="11">
        <v>163556</v>
      </c>
      <c r="AGJ126" s="11">
        <v>500000</v>
      </c>
      <c r="AGK126" s="11">
        <v>179189.28</v>
      </c>
      <c r="AGL126" s="11"/>
      <c r="AGM126" s="11">
        <v>57655.61</v>
      </c>
      <c r="AGN126" s="11">
        <v>0.08</v>
      </c>
      <c r="AGO126" s="11"/>
      <c r="AGP126" s="11">
        <v>2794550</v>
      </c>
      <c r="AGQ126" s="11">
        <v>38650.370000000003</v>
      </c>
      <c r="AGR126" s="11"/>
      <c r="AGS126" s="11"/>
      <c r="AGT126" s="11"/>
      <c r="AGU126" s="11"/>
      <c r="AGV126" s="11">
        <v>1196182.25</v>
      </c>
      <c r="AGW126" s="11">
        <v>402287</v>
      </c>
      <c r="AGX126" s="11">
        <v>421815.76</v>
      </c>
      <c r="AGY126" s="11"/>
      <c r="AGZ126" s="11"/>
      <c r="AHA126" s="11"/>
      <c r="AHB126" s="11"/>
      <c r="AHC126" s="11"/>
      <c r="AHD126" s="11">
        <v>21840</v>
      </c>
      <c r="AHE126" s="11"/>
      <c r="AHF126" s="11"/>
      <c r="AHG126" s="11"/>
      <c r="AHH126" s="11"/>
      <c r="AHI126" s="11"/>
      <c r="AHJ126" s="11"/>
      <c r="AHK126" s="11">
        <v>37904.35</v>
      </c>
      <c r="AHL126" s="11">
        <v>170506.81</v>
      </c>
      <c r="AHM126" s="11"/>
      <c r="AHN126" s="11"/>
      <c r="AHO126" s="11">
        <v>288756.08</v>
      </c>
      <c r="AHP126" s="11"/>
      <c r="AHQ126" s="11">
        <v>78500</v>
      </c>
      <c r="AHR126" s="11">
        <v>54380.02</v>
      </c>
      <c r="AHS126" s="11">
        <v>38363.300000000003</v>
      </c>
      <c r="AHT126" s="11">
        <v>191519589.40000013</v>
      </c>
      <c r="AHV126" s="269" t="s">
        <v>6278</v>
      </c>
      <c r="AHW126" s="269" t="s">
        <v>6192</v>
      </c>
      <c r="AHX126" s="269" t="s">
        <v>6193</v>
      </c>
    </row>
    <row r="127" spans="1:908" x14ac:dyDescent="0.7">
      <c r="A127" s="6" t="s">
        <v>6278</v>
      </c>
      <c r="B127" s="6" t="s">
        <v>6192</v>
      </c>
      <c r="C127" s="6" t="s">
        <v>6193</v>
      </c>
      <c r="D127" s="11">
        <v>3601086.03</v>
      </c>
      <c r="E127" s="11">
        <v>177902.97</v>
      </c>
      <c r="F127" s="11"/>
      <c r="G127" s="11"/>
      <c r="H127" s="11">
        <v>2357872.9900000002</v>
      </c>
      <c r="I127" s="11">
        <v>51926.64</v>
      </c>
      <c r="J127" s="11">
        <v>72509004.730000004</v>
      </c>
      <c r="K127" s="11">
        <v>2020457.09</v>
      </c>
      <c r="L127" s="11">
        <v>479958.35</v>
      </c>
      <c r="M127" s="11">
        <v>44195.76</v>
      </c>
      <c r="N127" s="11"/>
      <c r="O127" s="11">
        <v>19476.740000000002</v>
      </c>
      <c r="P127" s="11">
        <v>26068956.920000002</v>
      </c>
      <c r="Q127" s="11">
        <v>73771.08</v>
      </c>
      <c r="R127" s="11">
        <v>4167.33</v>
      </c>
      <c r="S127" s="11">
        <v>198474.22</v>
      </c>
      <c r="T127" s="11"/>
      <c r="U127" s="11"/>
      <c r="V127" s="11"/>
      <c r="W127" s="11">
        <v>25600.61</v>
      </c>
      <c r="X127" s="11">
        <v>124611.12</v>
      </c>
      <c r="Y127" s="11"/>
      <c r="Z127" s="11">
        <v>383270.72</v>
      </c>
      <c r="AA127" s="11"/>
      <c r="AB127" s="11">
        <v>914</v>
      </c>
      <c r="AC127" s="11">
        <v>84323.37</v>
      </c>
      <c r="AD127" s="11">
        <v>276326.62</v>
      </c>
      <c r="AE127" s="11">
        <v>1246219.2</v>
      </c>
      <c r="AF127" s="11">
        <v>1008037.88</v>
      </c>
      <c r="AG127" s="11">
        <v>65726.69</v>
      </c>
      <c r="AH127" s="11">
        <v>323124.77</v>
      </c>
      <c r="AI127" s="11"/>
      <c r="AJ127" s="11"/>
      <c r="AK127" s="11"/>
      <c r="AL127" s="11"/>
      <c r="AM127" s="11"/>
      <c r="AN127" s="11">
        <v>30267064.59</v>
      </c>
      <c r="AO127" s="11">
        <v>732756.18</v>
      </c>
      <c r="AP127" s="11"/>
      <c r="AQ127" s="11"/>
      <c r="AR127" s="11"/>
      <c r="AS127" s="11"/>
      <c r="AT127" s="11"/>
      <c r="AU127" s="11">
        <v>11222.63</v>
      </c>
      <c r="AV127" s="11"/>
      <c r="AW127" s="11"/>
      <c r="AX127" s="11">
        <v>168461.6</v>
      </c>
      <c r="AY127" s="11"/>
      <c r="AZ127" s="11">
        <v>135197.29999999999</v>
      </c>
      <c r="BA127" s="11">
        <v>37309.74</v>
      </c>
      <c r="BB127" s="11">
        <v>6000.64</v>
      </c>
      <c r="BC127" s="11"/>
      <c r="BD127" s="11"/>
      <c r="BE127" s="11"/>
      <c r="BF127" s="11">
        <v>1154938.45</v>
      </c>
      <c r="BG127" s="11">
        <v>19973.12</v>
      </c>
      <c r="BH127" s="11"/>
      <c r="BI127" s="11">
        <v>0</v>
      </c>
      <c r="BJ127" s="11">
        <v>1656351.89</v>
      </c>
      <c r="BK127" s="11">
        <v>4676.29</v>
      </c>
      <c r="BL127" s="11"/>
      <c r="BM127" s="11">
        <v>49415.9</v>
      </c>
      <c r="BN127" s="11">
        <v>154918.99</v>
      </c>
      <c r="BO127" s="11">
        <v>1572.42</v>
      </c>
      <c r="BP127" s="11"/>
      <c r="BQ127" s="11"/>
      <c r="BR127" s="11">
        <v>0</v>
      </c>
      <c r="BS127" s="11">
        <v>27856.37</v>
      </c>
      <c r="BT127" s="11">
        <v>5444.61</v>
      </c>
      <c r="BU127" s="11"/>
      <c r="BV127" s="11"/>
      <c r="BW127" s="11">
        <v>122744.19</v>
      </c>
      <c r="BX127" s="11">
        <v>4552.55</v>
      </c>
      <c r="BY127" s="11">
        <v>0</v>
      </c>
      <c r="BZ127" s="11">
        <v>3854035.72</v>
      </c>
      <c r="CA127" s="11"/>
      <c r="CB127" s="11"/>
      <c r="CC127" s="11"/>
      <c r="CD127" s="11"/>
      <c r="CE127" s="11"/>
      <c r="CF127" s="11"/>
      <c r="CG127" s="11">
        <v>62390.2</v>
      </c>
      <c r="CH127" s="11">
        <v>20069.310000000001</v>
      </c>
      <c r="CI127" s="11">
        <v>118860.08</v>
      </c>
      <c r="CJ127" s="11">
        <v>70791.97</v>
      </c>
      <c r="CK127" s="11">
        <v>110456.36</v>
      </c>
      <c r="CL127" s="11">
        <v>392103.1</v>
      </c>
      <c r="CM127" s="11">
        <v>195350.47</v>
      </c>
      <c r="CN127" s="11">
        <v>0</v>
      </c>
      <c r="CO127" s="11">
        <v>1579.22</v>
      </c>
      <c r="CP127" s="11">
        <v>86421.72</v>
      </c>
      <c r="CQ127" s="11">
        <v>2816.64</v>
      </c>
      <c r="CR127" s="11">
        <v>0</v>
      </c>
      <c r="CS127" s="11">
        <v>57342.05</v>
      </c>
      <c r="CT127" s="11">
        <v>103778.99</v>
      </c>
      <c r="CU127" s="11"/>
      <c r="CV127" s="11">
        <v>31270.36</v>
      </c>
      <c r="CW127" s="11">
        <v>273294.15999999997</v>
      </c>
      <c r="CX127" s="11">
        <v>70775.95</v>
      </c>
      <c r="CY127" s="11">
        <v>120405.04</v>
      </c>
      <c r="CZ127" s="11">
        <v>26184.69</v>
      </c>
      <c r="DA127" s="11">
        <v>119961.83</v>
      </c>
      <c r="DB127" s="11">
        <v>366746.43</v>
      </c>
      <c r="DC127" s="11">
        <v>4495663.3899999997</v>
      </c>
      <c r="DD127" s="11"/>
      <c r="DE127" s="11"/>
      <c r="DF127" s="11">
        <v>182650</v>
      </c>
      <c r="DG127" s="11">
        <v>1833114.06</v>
      </c>
      <c r="DH127" s="11">
        <v>11337450.83</v>
      </c>
      <c r="DI127" s="11">
        <v>4961435.24</v>
      </c>
      <c r="DJ127" s="11">
        <v>2224345.4500000002</v>
      </c>
      <c r="DK127" s="11">
        <v>36985.69</v>
      </c>
      <c r="DL127" s="11">
        <v>28193.65</v>
      </c>
      <c r="DM127" s="11">
        <v>91667.53</v>
      </c>
      <c r="DN127" s="11">
        <v>77066.679999999993</v>
      </c>
      <c r="DO127" s="11">
        <v>54606.54</v>
      </c>
      <c r="DP127" s="11">
        <v>14734.76</v>
      </c>
      <c r="DQ127" s="11"/>
      <c r="DR127" s="11">
        <v>12496.81</v>
      </c>
      <c r="DS127" s="11">
        <v>18325.89</v>
      </c>
      <c r="DT127" s="11"/>
      <c r="DU127" s="11"/>
      <c r="DV127" s="11">
        <v>4822.04</v>
      </c>
      <c r="DW127" s="11"/>
      <c r="DX127" s="11">
        <v>426504.07</v>
      </c>
      <c r="DY127" s="11"/>
      <c r="DZ127" s="11"/>
      <c r="EA127" s="11">
        <v>29365.88</v>
      </c>
      <c r="EB127" s="11"/>
      <c r="EC127" s="11">
        <v>947514.55</v>
      </c>
      <c r="ED127" s="11">
        <v>40369.58</v>
      </c>
      <c r="EE127" s="11">
        <v>1572.41</v>
      </c>
      <c r="EF127" s="11">
        <v>20478.150000000001</v>
      </c>
      <c r="EG127" s="11">
        <v>119910.97</v>
      </c>
      <c r="EH127" s="11"/>
      <c r="EI127" s="11">
        <v>1824.95</v>
      </c>
      <c r="EJ127" s="11"/>
      <c r="EK127" s="11">
        <v>152167.04000000001</v>
      </c>
      <c r="EL127" s="11">
        <v>152000.32999999999</v>
      </c>
      <c r="EM127" s="11">
        <v>172633.48</v>
      </c>
      <c r="EN127" s="11"/>
      <c r="EO127" s="11">
        <v>25000</v>
      </c>
      <c r="EP127" s="11"/>
      <c r="EQ127" s="11">
        <v>287940.57</v>
      </c>
      <c r="ER127" s="11">
        <v>12573.28</v>
      </c>
      <c r="ES127" s="11">
        <v>509812.41</v>
      </c>
      <c r="ET127" s="11">
        <v>18292.259999999998</v>
      </c>
      <c r="EU127" s="11">
        <v>34421.53</v>
      </c>
      <c r="EV127" s="11">
        <v>57111.68</v>
      </c>
      <c r="EW127" s="11">
        <v>118326.21</v>
      </c>
      <c r="EX127" s="11">
        <v>19890.57</v>
      </c>
      <c r="EY127" s="11">
        <v>2358.61</v>
      </c>
      <c r="EZ127" s="11">
        <v>36362.33</v>
      </c>
      <c r="FA127" s="11">
        <v>57359.51</v>
      </c>
      <c r="FB127" s="11">
        <v>116538.34</v>
      </c>
      <c r="FC127" s="11">
        <v>45870.31</v>
      </c>
      <c r="FD127" s="11">
        <v>16044.72</v>
      </c>
      <c r="FE127" s="11">
        <v>5568.15</v>
      </c>
      <c r="FF127" s="11">
        <v>68065.37</v>
      </c>
      <c r="FG127" s="11"/>
      <c r="FH127" s="11">
        <v>1980.11</v>
      </c>
      <c r="FI127" s="11"/>
      <c r="FJ127" s="11"/>
      <c r="FK127" s="11"/>
      <c r="FL127" s="11"/>
      <c r="FM127" s="11"/>
      <c r="FN127" s="11"/>
      <c r="FO127" s="11"/>
      <c r="FP127" s="11"/>
      <c r="FQ127" s="11">
        <v>36384.9</v>
      </c>
      <c r="FR127" s="11">
        <v>166301.38</v>
      </c>
      <c r="FS127" s="11">
        <v>220337.72</v>
      </c>
      <c r="FT127" s="11">
        <v>21153.71</v>
      </c>
      <c r="FU127" s="11"/>
      <c r="FV127" s="11">
        <v>34853.199999999997</v>
      </c>
      <c r="FW127" s="11">
        <v>11698.38</v>
      </c>
      <c r="FX127" s="11">
        <v>59831.71</v>
      </c>
      <c r="FY127" s="11">
        <v>70852.34</v>
      </c>
      <c r="FZ127" s="11"/>
      <c r="GA127" s="11">
        <v>12490.24</v>
      </c>
      <c r="GB127" s="11">
        <v>75283.27</v>
      </c>
      <c r="GC127" s="11">
        <v>1613.51</v>
      </c>
      <c r="GD127" s="11"/>
      <c r="GE127" s="11">
        <v>96617.44</v>
      </c>
      <c r="GF127" s="11">
        <v>9766.84</v>
      </c>
      <c r="GG127" s="11">
        <v>31750.74</v>
      </c>
      <c r="GH127" s="11"/>
      <c r="GI127" s="11">
        <v>24557.94</v>
      </c>
      <c r="GJ127" s="11">
        <v>3193.44</v>
      </c>
      <c r="GK127" s="11">
        <v>62259.46</v>
      </c>
      <c r="GL127" s="11"/>
      <c r="GM127" s="11"/>
      <c r="GN127" s="11"/>
      <c r="GO127" s="11">
        <v>1250.6300000000001</v>
      </c>
      <c r="GP127" s="11"/>
      <c r="GQ127" s="11"/>
      <c r="GR127" s="11"/>
      <c r="GS127" s="11"/>
      <c r="GT127" s="11"/>
      <c r="GU127" s="11">
        <v>314.48</v>
      </c>
      <c r="GV127" s="11"/>
      <c r="GW127" s="11"/>
      <c r="GX127" s="11"/>
      <c r="GY127" s="11"/>
      <c r="GZ127" s="11">
        <v>13857.64</v>
      </c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>
        <v>29761.17</v>
      </c>
      <c r="HR127" s="11"/>
      <c r="HS127" s="11">
        <v>145281.09</v>
      </c>
      <c r="HT127" s="11"/>
      <c r="HU127" s="11"/>
      <c r="HV127" s="11"/>
      <c r="HW127" s="11">
        <v>10292.4</v>
      </c>
      <c r="HX127" s="11"/>
      <c r="HY127" s="11"/>
      <c r="HZ127" s="11">
        <v>22328.21</v>
      </c>
      <c r="IA127" s="11"/>
      <c r="IB127" s="11"/>
      <c r="IC127" s="11"/>
      <c r="ID127" s="11"/>
      <c r="IE127" s="11">
        <v>1048.27</v>
      </c>
      <c r="IF127" s="11"/>
      <c r="IG127" s="11"/>
      <c r="IH127" s="11">
        <v>4626.67</v>
      </c>
      <c r="II127" s="11"/>
      <c r="IJ127" s="11">
        <v>189736.54</v>
      </c>
      <c r="IK127" s="11">
        <v>62217.05</v>
      </c>
      <c r="IL127" s="11">
        <v>36455.54</v>
      </c>
      <c r="IM127" s="11"/>
      <c r="IN127" s="11"/>
      <c r="IO127" s="11">
        <v>11297.96</v>
      </c>
      <c r="IP127" s="11"/>
      <c r="IQ127" s="11">
        <v>4506.78</v>
      </c>
      <c r="IR127" s="11">
        <v>98056.94</v>
      </c>
      <c r="IS127" s="11"/>
      <c r="IT127" s="11">
        <v>41149.629999999997</v>
      </c>
      <c r="IU127" s="11">
        <v>1155842.52</v>
      </c>
      <c r="IV127" s="11"/>
      <c r="IW127" s="11"/>
      <c r="IX127" s="11"/>
      <c r="IY127" s="11"/>
      <c r="IZ127" s="11"/>
      <c r="JA127" s="11"/>
      <c r="JB127" s="11">
        <v>3428.21</v>
      </c>
      <c r="JC127" s="11"/>
      <c r="JD127" s="11">
        <v>162847.93</v>
      </c>
      <c r="JE127" s="11"/>
      <c r="JF127" s="11">
        <v>0</v>
      </c>
      <c r="JG127" s="11">
        <v>26426.560000000001</v>
      </c>
      <c r="JH127" s="11">
        <v>280699.55</v>
      </c>
      <c r="JI127" s="11"/>
      <c r="JJ127" s="11">
        <v>935.22</v>
      </c>
      <c r="JK127" s="11">
        <v>187548.96</v>
      </c>
      <c r="JL127" s="11">
        <v>4193.09</v>
      </c>
      <c r="JM127" s="11"/>
      <c r="JN127" s="11"/>
      <c r="JO127" s="11"/>
      <c r="JP127" s="11"/>
      <c r="JQ127" s="11"/>
      <c r="JR127" s="11"/>
      <c r="JS127" s="11">
        <v>326916</v>
      </c>
      <c r="JT127" s="11"/>
      <c r="JU127" s="11"/>
      <c r="JV127" s="11">
        <v>466774.01</v>
      </c>
      <c r="JW127" s="11"/>
      <c r="JX127" s="11"/>
      <c r="JY127" s="11"/>
      <c r="JZ127" s="11"/>
      <c r="KA127" s="11">
        <v>30656.38</v>
      </c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>
        <v>338018.21</v>
      </c>
      <c r="KM127" s="11"/>
      <c r="KN127" s="11"/>
      <c r="KO127" s="11"/>
      <c r="KP127" s="11">
        <v>90199.75</v>
      </c>
      <c r="KQ127" s="11"/>
      <c r="KR127" s="11">
        <v>385412</v>
      </c>
      <c r="KS127" s="11"/>
      <c r="KT127" s="11"/>
      <c r="KU127" s="11"/>
      <c r="KV127" s="11"/>
      <c r="KW127" s="11"/>
      <c r="KX127" s="11"/>
      <c r="KY127" s="11"/>
      <c r="KZ127" s="11">
        <v>115801.84</v>
      </c>
      <c r="LA127" s="11"/>
      <c r="LB127" s="11">
        <v>33222.83</v>
      </c>
      <c r="LC127" s="11"/>
      <c r="LD127" s="11"/>
      <c r="LE127" s="11"/>
      <c r="LF127" s="11">
        <v>13179.64</v>
      </c>
      <c r="LG127" s="11">
        <v>336133.96</v>
      </c>
      <c r="LH127" s="11">
        <v>0</v>
      </c>
      <c r="LI127" s="11"/>
      <c r="LJ127" s="11"/>
      <c r="LK127" s="11">
        <v>175613.91</v>
      </c>
      <c r="LL127" s="11"/>
      <c r="LM127" s="11"/>
      <c r="LN127" s="11"/>
      <c r="LO127" s="11"/>
      <c r="LP127" s="11"/>
      <c r="LQ127" s="11"/>
      <c r="LR127" s="11"/>
      <c r="LS127" s="11">
        <v>35863.089999999997</v>
      </c>
      <c r="LT127" s="11"/>
      <c r="LU127" s="11"/>
      <c r="LV127" s="11">
        <v>101105.9</v>
      </c>
      <c r="LW127" s="11">
        <v>0</v>
      </c>
      <c r="LX127" s="11">
        <v>538731.65</v>
      </c>
      <c r="LY127" s="11">
        <v>0</v>
      </c>
      <c r="LZ127" s="11"/>
      <c r="MA127" s="11">
        <v>175683.33</v>
      </c>
      <c r="MB127" s="11"/>
      <c r="MC127" s="11"/>
      <c r="MD127" s="11">
        <v>5765.3</v>
      </c>
      <c r="ME127" s="11"/>
      <c r="MF127" s="11">
        <v>5260.45</v>
      </c>
      <c r="MG127" s="11"/>
      <c r="MH127" s="11">
        <v>74098.92</v>
      </c>
      <c r="MI127" s="11">
        <v>57866.7</v>
      </c>
      <c r="MJ127" s="11">
        <v>10538.34</v>
      </c>
      <c r="MK127" s="11">
        <v>9731</v>
      </c>
      <c r="ML127" s="11"/>
      <c r="MM127" s="11">
        <v>101374.45</v>
      </c>
      <c r="MN127" s="11">
        <v>14335.41</v>
      </c>
      <c r="MO127" s="11">
        <v>0</v>
      </c>
      <c r="MP127" s="11">
        <v>46537.21</v>
      </c>
      <c r="MQ127" s="11">
        <v>166826.95000000001</v>
      </c>
      <c r="MR127" s="11"/>
      <c r="MS127" s="11"/>
      <c r="MT127" s="11">
        <v>322802.90000000002</v>
      </c>
      <c r="MU127" s="11">
        <v>76534.61</v>
      </c>
      <c r="MV127" s="11">
        <v>31479.66</v>
      </c>
      <c r="MW127" s="11"/>
      <c r="MX127" s="11"/>
      <c r="MY127" s="11"/>
      <c r="MZ127" s="11">
        <v>31938.9</v>
      </c>
      <c r="NA127" s="11"/>
      <c r="NB127" s="11">
        <v>396310.9</v>
      </c>
      <c r="NC127" s="11">
        <v>67282.62</v>
      </c>
      <c r="ND127" s="11"/>
      <c r="NE127" s="11">
        <v>168832.97</v>
      </c>
      <c r="NF127" s="11">
        <v>647184.55000000005</v>
      </c>
      <c r="NG127" s="11"/>
      <c r="NH127" s="11">
        <v>760021.84</v>
      </c>
      <c r="NI127" s="11">
        <v>62536.57</v>
      </c>
      <c r="NJ127" s="11">
        <v>26524</v>
      </c>
      <c r="NK127" s="11">
        <v>206146.29</v>
      </c>
      <c r="NL127" s="11">
        <v>784935.83</v>
      </c>
      <c r="NM127" s="11"/>
      <c r="NN127" s="11">
        <v>21377.15</v>
      </c>
      <c r="NO127" s="11">
        <v>789525.02</v>
      </c>
      <c r="NP127" s="11"/>
      <c r="NQ127" s="11">
        <v>306866.53999999998</v>
      </c>
      <c r="NR127" s="11">
        <v>0</v>
      </c>
      <c r="NS127" s="11">
        <v>38967.449999999997</v>
      </c>
      <c r="NT127" s="11">
        <v>582838.26</v>
      </c>
      <c r="NU127" s="11">
        <v>100467.71</v>
      </c>
      <c r="NV127" s="11">
        <v>72042.710000000006</v>
      </c>
      <c r="NW127" s="11"/>
      <c r="NX127" s="11">
        <v>5975.15</v>
      </c>
      <c r="NY127" s="11">
        <v>41026.769999999997</v>
      </c>
      <c r="NZ127" s="11"/>
      <c r="OA127" s="11"/>
      <c r="OB127" s="11"/>
      <c r="OC127" s="11"/>
      <c r="OD127" s="11"/>
      <c r="OE127" s="11"/>
      <c r="OF127" s="11">
        <v>86338.91</v>
      </c>
      <c r="OG127" s="11">
        <v>177433.86</v>
      </c>
      <c r="OH127" s="11">
        <v>604811.87</v>
      </c>
      <c r="OI127" s="11">
        <v>33757.61</v>
      </c>
      <c r="OJ127" s="11">
        <v>47818</v>
      </c>
      <c r="OK127" s="11"/>
      <c r="OL127" s="11">
        <v>21600.92</v>
      </c>
      <c r="OM127" s="11"/>
      <c r="ON127" s="11">
        <v>167490.53</v>
      </c>
      <c r="OO127" s="11">
        <v>1149033.8500000001</v>
      </c>
      <c r="OP127" s="11">
        <v>602148.06000000006</v>
      </c>
      <c r="OQ127" s="11">
        <v>643340.56000000006</v>
      </c>
      <c r="OR127" s="11">
        <v>9480.84</v>
      </c>
      <c r="OS127" s="11"/>
      <c r="OT127" s="11">
        <v>79750.44</v>
      </c>
      <c r="OU127" s="11"/>
      <c r="OV127" s="11"/>
      <c r="OW127" s="11"/>
      <c r="OX127" s="11"/>
      <c r="OY127" s="11">
        <v>2460658.96</v>
      </c>
      <c r="OZ127" s="11"/>
      <c r="PA127" s="11"/>
      <c r="PB127" s="11"/>
      <c r="PC127" s="11">
        <v>265195.87</v>
      </c>
      <c r="PD127" s="11"/>
      <c r="PE127" s="11"/>
      <c r="PF127" s="11"/>
      <c r="PG127" s="11"/>
      <c r="PH127" s="11"/>
      <c r="PI127" s="11"/>
      <c r="PJ127" s="11"/>
      <c r="PK127" s="11"/>
      <c r="PL127" s="11">
        <v>3633.81</v>
      </c>
      <c r="PM127" s="11">
        <v>49756.15</v>
      </c>
      <c r="PN127" s="11"/>
      <c r="PO127" s="11"/>
      <c r="PP127" s="11">
        <v>15428.85</v>
      </c>
      <c r="PQ127" s="11"/>
      <c r="PR127" s="11"/>
      <c r="PS127" s="11"/>
      <c r="PT127" s="11"/>
      <c r="PU127" s="11"/>
      <c r="PV127" s="11">
        <v>3117.4</v>
      </c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>
        <v>9284.23</v>
      </c>
      <c r="QM127" s="11"/>
      <c r="QN127" s="11"/>
      <c r="QO127" s="11">
        <v>65219.96</v>
      </c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>
        <v>53365.94</v>
      </c>
      <c r="RJ127" s="11"/>
      <c r="RK127" s="11"/>
      <c r="RL127" s="11"/>
      <c r="RM127" s="11"/>
      <c r="RN127" s="11"/>
      <c r="RO127" s="11"/>
      <c r="RP127" s="11">
        <v>369209.13</v>
      </c>
      <c r="RQ127" s="11"/>
      <c r="RR127" s="11"/>
      <c r="RS127" s="11">
        <v>149023.6</v>
      </c>
      <c r="RT127" s="11"/>
      <c r="RU127" s="11"/>
      <c r="RV127" s="11">
        <v>0</v>
      </c>
      <c r="RW127" s="11"/>
      <c r="RX127" s="11"/>
      <c r="RY127" s="11"/>
      <c r="RZ127" s="11"/>
      <c r="SA127" s="11">
        <v>19781.189999999999</v>
      </c>
      <c r="SB127" s="11">
        <v>7681847.7999999998</v>
      </c>
      <c r="SC127" s="11"/>
      <c r="SD127" s="11">
        <v>80269.39</v>
      </c>
      <c r="SE127" s="11"/>
      <c r="SF127" s="11"/>
      <c r="SG127" s="11">
        <v>16348.48</v>
      </c>
      <c r="SH127" s="11">
        <v>77950.83</v>
      </c>
      <c r="SI127" s="11"/>
      <c r="SJ127" s="11">
        <v>86092.36</v>
      </c>
      <c r="SK127" s="11"/>
      <c r="SL127" s="11"/>
      <c r="SM127" s="11"/>
      <c r="SN127" s="11">
        <v>57589.62</v>
      </c>
      <c r="SO127" s="11">
        <v>29515.82</v>
      </c>
      <c r="SP127" s="11">
        <v>0</v>
      </c>
      <c r="SQ127" s="11">
        <v>4299.18</v>
      </c>
      <c r="SR127" s="11">
        <v>540101.93000000005</v>
      </c>
      <c r="SS127" s="11">
        <v>10377.9</v>
      </c>
      <c r="ST127" s="11">
        <v>28309.8</v>
      </c>
      <c r="SU127" s="11">
        <v>52073.59</v>
      </c>
      <c r="SV127" s="11">
        <v>261427.93</v>
      </c>
      <c r="SW127" s="11">
        <v>20126.830000000002</v>
      </c>
      <c r="SX127" s="11"/>
      <c r="SY127" s="11">
        <v>836326.23</v>
      </c>
      <c r="SZ127" s="11"/>
      <c r="TA127" s="11">
        <v>25315.78</v>
      </c>
      <c r="TB127" s="11"/>
      <c r="TC127" s="11"/>
      <c r="TD127" s="11">
        <v>32110.36</v>
      </c>
      <c r="TE127" s="11">
        <v>7526.34</v>
      </c>
      <c r="TF127" s="11">
        <v>5262.87</v>
      </c>
      <c r="TG127" s="11">
        <v>51747.5</v>
      </c>
      <c r="TH127" s="11">
        <v>41528.33</v>
      </c>
      <c r="TI127" s="11">
        <v>1099.2</v>
      </c>
      <c r="TJ127" s="11">
        <v>155668.09</v>
      </c>
      <c r="TK127" s="11">
        <v>40072.129999999997</v>
      </c>
      <c r="TL127" s="11"/>
      <c r="TM127" s="11">
        <v>14547.71</v>
      </c>
      <c r="TN127" s="11">
        <v>331787.53000000003</v>
      </c>
      <c r="TO127" s="11">
        <v>12712.8</v>
      </c>
      <c r="TP127" s="11">
        <v>519.74</v>
      </c>
      <c r="TQ127" s="11">
        <v>15843.96</v>
      </c>
      <c r="TR127" s="11">
        <v>17783.419999999998</v>
      </c>
      <c r="TS127" s="11">
        <v>44392.32</v>
      </c>
      <c r="TT127" s="11">
        <v>0</v>
      </c>
      <c r="TU127" s="11"/>
      <c r="TV127" s="11">
        <v>503.96</v>
      </c>
      <c r="TW127" s="11"/>
      <c r="TX127" s="11">
        <v>0</v>
      </c>
      <c r="TY127" s="11"/>
      <c r="TZ127" s="11">
        <v>136434.48000000001</v>
      </c>
      <c r="UA127" s="11">
        <v>32446.63</v>
      </c>
      <c r="UB127" s="11">
        <v>880586.82</v>
      </c>
      <c r="UC127" s="11">
        <v>158329.03</v>
      </c>
      <c r="UD127" s="11">
        <v>46336.2</v>
      </c>
      <c r="UE127" s="11">
        <v>64637.31</v>
      </c>
      <c r="UF127" s="11">
        <v>493984.86</v>
      </c>
      <c r="UG127" s="11"/>
      <c r="UH127" s="11"/>
      <c r="UI127" s="11"/>
      <c r="UJ127" s="11"/>
      <c r="UK127" s="11">
        <v>105346.95</v>
      </c>
      <c r="UL127" s="11">
        <v>12792.65</v>
      </c>
      <c r="UM127" s="11">
        <v>11058.83</v>
      </c>
      <c r="UN127" s="11">
        <v>21932.37</v>
      </c>
      <c r="UO127" s="11">
        <v>2334.25</v>
      </c>
      <c r="UP127" s="11">
        <v>7794.99</v>
      </c>
      <c r="UQ127" s="11">
        <v>1242913.7</v>
      </c>
      <c r="UR127" s="11">
        <v>7191.68</v>
      </c>
      <c r="US127" s="11"/>
      <c r="UT127" s="11">
        <v>68774.03</v>
      </c>
      <c r="UU127" s="11"/>
      <c r="UV127" s="11">
        <v>11117.07</v>
      </c>
      <c r="UW127" s="11">
        <v>10025.33</v>
      </c>
      <c r="UX127" s="11"/>
      <c r="UY127" s="11"/>
      <c r="UZ127" s="11">
        <v>13718.19</v>
      </c>
      <c r="VA127" s="11"/>
      <c r="VB127" s="11">
        <v>18523.580000000002</v>
      </c>
      <c r="VC127" s="11"/>
      <c r="VD127" s="11">
        <v>29803.89</v>
      </c>
      <c r="VE127" s="11"/>
      <c r="VF127" s="11">
        <v>286658.75</v>
      </c>
      <c r="VG127" s="11"/>
      <c r="VH127" s="11"/>
      <c r="VI127" s="11">
        <v>12365.44</v>
      </c>
      <c r="VJ127" s="11"/>
      <c r="VK127" s="11"/>
      <c r="VL127" s="11"/>
      <c r="VM127" s="11">
        <v>7903.21</v>
      </c>
      <c r="VN127" s="11">
        <v>14786.8</v>
      </c>
      <c r="VO127" s="11">
        <v>17532.13</v>
      </c>
      <c r="VP127" s="11"/>
      <c r="VQ127" s="11"/>
      <c r="VR127" s="11"/>
      <c r="VS127" s="11"/>
      <c r="VT127" s="11"/>
      <c r="VU127" s="11"/>
      <c r="VV127" s="11">
        <v>4862.6000000000004</v>
      </c>
      <c r="VW127" s="11"/>
      <c r="VX127" s="11"/>
      <c r="VY127" s="11"/>
      <c r="VZ127" s="11"/>
      <c r="WA127" s="11"/>
      <c r="WB127" s="11"/>
      <c r="WC127" s="11">
        <v>60057.47</v>
      </c>
      <c r="WD127" s="11"/>
      <c r="WE127" s="11"/>
      <c r="WF127" s="11"/>
      <c r="WG127" s="11"/>
      <c r="WH127" s="11"/>
      <c r="WI127" s="11">
        <v>20615.939999999999</v>
      </c>
      <c r="WJ127" s="11">
        <v>42966.67</v>
      </c>
      <c r="WK127" s="11"/>
      <c r="WL127" s="11">
        <v>6672.33</v>
      </c>
      <c r="WM127" s="11"/>
      <c r="WN127" s="11">
        <v>38759.78</v>
      </c>
      <c r="WO127" s="11">
        <v>103417.94</v>
      </c>
      <c r="WP127" s="11"/>
      <c r="WQ127" s="11"/>
      <c r="WR127" s="11"/>
      <c r="WS127" s="11"/>
      <c r="WT127" s="11"/>
      <c r="WU127" s="11"/>
      <c r="WV127" s="11">
        <v>251037.18</v>
      </c>
      <c r="WW127" s="11"/>
      <c r="WX127" s="11"/>
      <c r="WY127" s="11"/>
      <c r="WZ127" s="11"/>
      <c r="XA127" s="11"/>
      <c r="XB127" s="11"/>
      <c r="XC127" s="11">
        <v>64188.65</v>
      </c>
      <c r="XD127" s="11"/>
      <c r="XE127" s="11"/>
      <c r="XF127" s="11"/>
      <c r="XG127" s="11"/>
      <c r="XH127" s="11"/>
      <c r="XI127" s="11"/>
      <c r="XJ127" s="11">
        <v>17809.900000000001</v>
      </c>
      <c r="XK127" s="11"/>
      <c r="XL127" s="11">
        <v>5070.67</v>
      </c>
      <c r="XM127" s="11">
        <v>16903.95</v>
      </c>
      <c r="XN127" s="11">
        <v>310.60000000000002</v>
      </c>
      <c r="XO127" s="11"/>
      <c r="XP127" s="11">
        <v>24741.54</v>
      </c>
      <c r="XQ127" s="11">
        <v>3113.75</v>
      </c>
      <c r="XR127" s="11">
        <v>5798.49</v>
      </c>
      <c r="XS127" s="11"/>
      <c r="XT127" s="11"/>
      <c r="XU127" s="11"/>
      <c r="XV127" s="11"/>
      <c r="XW127" s="11">
        <v>8184.2</v>
      </c>
      <c r="XX127" s="11">
        <v>1696.74</v>
      </c>
      <c r="XY127" s="11"/>
      <c r="XZ127" s="11">
        <v>6208.33</v>
      </c>
      <c r="YA127" s="11"/>
      <c r="YB127" s="11"/>
      <c r="YC127" s="11"/>
      <c r="YD127" s="11"/>
      <c r="YE127" s="11"/>
      <c r="YF127" s="11">
        <v>182142.84</v>
      </c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>
        <v>0</v>
      </c>
      <c r="YX127" s="11">
        <v>10106.9</v>
      </c>
      <c r="YY127" s="11"/>
      <c r="YZ127" s="11"/>
      <c r="ZA127" s="11">
        <v>234397.83</v>
      </c>
      <c r="ZB127" s="11"/>
      <c r="ZC127" s="11">
        <v>3109.8</v>
      </c>
      <c r="ZD127" s="11"/>
      <c r="ZE127" s="11"/>
      <c r="ZF127" s="11">
        <v>157.24</v>
      </c>
      <c r="ZG127" s="11"/>
      <c r="ZH127" s="11"/>
      <c r="ZI127" s="11"/>
      <c r="ZJ127" s="11"/>
      <c r="ZK127" s="11"/>
      <c r="ZL127" s="11"/>
      <c r="ZM127" s="11"/>
      <c r="ZN127" s="11">
        <v>311.74</v>
      </c>
      <c r="ZO127" s="11"/>
      <c r="ZP127" s="11">
        <v>14937.89</v>
      </c>
      <c r="ZQ127" s="11">
        <v>9848.59</v>
      </c>
      <c r="ZR127" s="11"/>
      <c r="ZS127" s="11"/>
      <c r="ZT127" s="11"/>
      <c r="ZU127" s="11">
        <v>63682.96</v>
      </c>
      <c r="ZV127" s="11">
        <v>12222.27</v>
      </c>
      <c r="ZW127" s="11"/>
      <c r="ZX127" s="11"/>
      <c r="ZY127" s="11"/>
      <c r="ZZ127" s="11">
        <v>5260.04</v>
      </c>
      <c r="AAA127" s="11"/>
      <c r="AAB127" s="11">
        <v>0</v>
      </c>
      <c r="AAC127" s="11"/>
      <c r="AAD127" s="11"/>
      <c r="AAE127" s="11"/>
      <c r="AAF127" s="11"/>
      <c r="AAG127" s="11"/>
      <c r="AAH127" s="11"/>
      <c r="AAI127" s="11">
        <v>0</v>
      </c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>
        <v>17642.77</v>
      </c>
      <c r="AAW127" s="11"/>
      <c r="AAX127" s="11"/>
      <c r="AAY127" s="11">
        <v>0</v>
      </c>
      <c r="AAZ127" s="11"/>
      <c r="ABA127" s="11">
        <v>112800.69</v>
      </c>
      <c r="ABB127" s="11">
        <v>121166.13</v>
      </c>
      <c r="ABC127" s="11">
        <v>12393.39</v>
      </c>
      <c r="ABD127" s="11">
        <v>0</v>
      </c>
      <c r="ABE127" s="11"/>
      <c r="ABF127" s="11">
        <v>19875</v>
      </c>
      <c r="ABG127" s="11"/>
      <c r="ABH127" s="11"/>
      <c r="ABI127" s="11"/>
      <c r="ABJ127" s="11"/>
      <c r="ABK127" s="11">
        <v>0</v>
      </c>
      <c r="ABL127" s="11"/>
      <c r="ABM127" s="11"/>
      <c r="ABN127" s="11"/>
      <c r="ABO127" s="11"/>
      <c r="ABP127" s="11">
        <v>442483.06</v>
      </c>
      <c r="ABQ127" s="11"/>
      <c r="ABR127" s="11"/>
      <c r="ABS127" s="11">
        <v>31110.95</v>
      </c>
      <c r="ABT127" s="11">
        <v>64326.55</v>
      </c>
      <c r="ABU127" s="11">
        <v>3579.74</v>
      </c>
      <c r="ABV127" s="11"/>
      <c r="ABW127" s="11"/>
      <c r="ABX127" s="11"/>
      <c r="ABY127" s="11"/>
      <c r="ABZ127" s="11">
        <v>134641.15</v>
      </c>
      <c r="ACA127" s="11"/>
      <c r="ACB127" s="11"/>
      <c r="ACC127" s="11">
        <v>38655.71</v>
      </c>
      <c r="ACD127" s="11"/>
      <c r="ACE127" s="11"/>
      <c r="ACF127" s="11"/>
      <c r="ACG127" s="11">
        <v>2060.7600000000002</v>
      </c>
      <c r="ACH127" s="11"/>
      <c r="ACI127" s="11">
        <v>8439.5</v>
      </c>
      <c r="ACJ127" s="11"/>
      <c r="ACK127" s="11"/>
      <c r="ACL127" s="11"/>
      <c r="ACM127" s="11"/>
      <c r="ACN127" s="11"/>
      <c r="ACO127" s="11"/>
      <c r="ACP127" s="11"/>
      <c r="ACQ127" s="11">
        <v>19373.689999999999</v>
      </c>
      <c r="ACR127" s="11"/>
      <c r="ACS127" s="11"/>
      <c r="ACT127" s="11">
        <v>20345.009999999998</v>
      </c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>
        <v>397809.06</v>
      </c>
      <c r="ADN127" s="11"/>
      <c r="ADO127" s="11"/>
      <c r="ADP127" s="11"/>
      <c r="ADQ127" s="11">
        <v>37803.15</v>
      </c>
      <c r="ADR127" s="11">
        <v>444187.11</v>
      </c>
      <c r="ADS127" s="11"/>
      <c r="ADT127" s="11">
        <v>358134.27</v>
      </c>
      <c r="ADU127" s="11">
        <v>0</v>
      </c>
      <c r="ADV127" s="11"/>
      <c r="ADW127" s="11"/>
      <c r="ADX127" s="11"/>
      <c r="ADY127" s="11"/>
      <c r="ADZ127" s="11"/>
      <c r="AEA127" s="11"/>
      <c r="AEB127" s="11">
        <v>46580.11</v>
      </c>
      <c r="AEC127" s="11">
        <v>9438.2000000000007</v>
      </c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>
        <v>9999.2999999999993</v>
      </c>
      <c r="AEN127" s="11">
        <v>28274.43</v>
      </c>
      <c r="AEO127" s="11"/>
      <c r="AEP127" s="11"/>
      <c r="AEQ127" s="11"/>
      <c r="AER127" s="11"/>
      <c r="AES127" s="11"/>
      <c r="AET127" s="11"/>
      <c r="AEU127" s="11"/>
      <c r="AEV127" s="11">
        <v>0</v>
      </c>
      <c r="AEW127" s="11">
        <v>14042.35</v>
      </c>
      <c r="AEX127" s="11"/>
      <c r="AEY127" s="11">
        <v>377514.58</v>
      </c>
      <c r="AEZ127" s="11"/>
      <c r="AFA127" s="11"/>
      <c r="AFB127" s="11"/>
      <c r="AFC127" s="11"/>
      <c r="AFD127" s="11"/>
      <c r="AFE127" s="11"/>
      <c r="AFF127" s="11"/>
      <c r="AFG127" s="11">
        <v>217400.67</v>
      </c>
      <c r="AFH127" s="11">
        <v>57897.68</v>
      </c>
      <c r="AFI127" s="11"/>
      <c r="AFJ127" s="11">
        <v>88570.46</v>
      </c>
      <c r="AFK127" s="11">
        <v>45874.8</v>
      </c>
      <c r="AFL127" s="11"/>
      <c r="AFM127" s="11"/>
      <c r="AFN127" s="11"/>
      <c r="AFO127" s="11">
        <v>619.54</v>
      </c>
      <c r="AFP127" s="11"/>
      <c r="AFQ127" s="11"/>
      <c r="AFR127" s="11"/>
      <c r="AFS127" s="11"/>
      <c r="AFT127" s="11">
        <v>12900.96</v>
      </c>
      <c r="AFU127" s="11">
        <v>5188.95</v>
      </c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>
        <v>1572.41</v>
      </c>
      <c r="AGH127" s="11"/>
      <c r="AGI127" s="11"/>
      <c r="AGJ127" s="11"/>
      <c r="AGK127" s="11"/>
      <c r="AGL127" s="11"/>
      <c r="AGM127" s="11"/>
      <c r="AGN127" s="11"/>
      <c r="AGO127" s="11">
        <v>418181.29</v>
      </c>
      <c r="AGP127" s="11"/>
      <c r="AGQ127" s="11"/>
      <c r="AGR127" s="11"/>
      <c r="AGS127" s="11"/>
      <c r="AGT127" s="11"/>
      <c r="AGU127" s="11"/>
      <c r="AGV127" s="11">
        <v>858225.5</v>
      </c>
      <c r="AGW127" s="11">
        <v>25387.83</v>
      </c>
      <c r="AGX127" s="11"/>
      <c r="AGY127" s="11"/>
      <c r="AGZ127" s="11">
        <v>36020.980000000003</v>
      </c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>
        <v>2970.21</v>
      </c>
      <c r="AHL127" s="11">
        <v>1445.93</v>
      </c>
      <c r="AHM127" s="11"/>
      <c r="AHN127" s="11"/>
      <c r="AHO127" s="11"/>
      <c r="AHP127" s="11"/>
      <c r="AHQ127" s="11"/>
      <c r="AHR127" s="11">
        <v>10379.89</v>
      </c>
      <c r="AHS127" s="11"/>
      <c r="AHT127" s="11">
        <v>220449226.43000036</v>
      </c>
      <c r="AHV127" s="269" t="s">
        <v>6278</v>
      </c>
      <c r="AHW127" s="269" t="s">
        <v>6194</v>
      </c>
      <c r="AHX127" s="269" t="s">
        <v>6195</v>
      </c>
    </row>
    <row r="128" spans="1:908" x14ac:dyDescent="0.7">
      <c r="A128" s="6" t="s">
        <v>6278</v>
      </c>
      <c r="B128" s="6" t="s">
        <v>6194</v>
      </c>
      <c r="C128" s="6" t="s">
        <v>6195</v>
      </c>
      <c r="D128" s="11"/>
      <c r="E128" s="11"/>
      <c r="F128" s="11"/>
      <c r="G128" s="11"/>
      <c r="H128" s="11">
        <v>0</v>
      </c>
      <c r="I128" s="11">
        <v>7947.06</v>
      </c>
      <c r="J128" s="11">
        <v>193462.66</v>
      </c>
      <c r="K128" s="11"/>
      <c r="L128" s="11"/>
      <c r="M128" s="11"/>
      <c r="N128" s="11">
        <v>262000</v>
      </c>
      <c r="O128" s="11">
        <v>116.52</v>
      </c>
      <c r="P128" s="11">
        <v>34851.699999999997</v>
      </c>
      <c r="Q128" s="11"/>
      <c r="R128" s="11">
        <v>58.88</v>
      </c>
      <c r="S128" s="11"/>
      <c r="T128" s="11"/>
      <c r="U128" s="11"/>
      <c r="V128" s="11"/>
      <c r="W128" s="11"/>
      <c r="X128" s="11">
        <v>521.66999999999996</v>
      </c>
      <c r="Y128" s="11"/>
      <c r="Z128" s="11"/>
      <c r="AA128" s="11"/>
      <c r="AB128" s="11"/>
      <c r="AC128" s="11"/>
      <c r="AD128" s="11">
        <v>4000</v>
      </c>
      <c r="AE128" s="11">
        <v>2776.28</v>
      </c>
      <c r="AF128" s="11">
        <v>11346.97</v>
      </c>
      <c r="AG128" s="11">
        <v>1448</v>
      </c>
      <c r="AH128" s="11">
        <v>4214.5600000000004</v>
      </c>
      <c r="AI128" s="11"/>
      <c r="AJ128" s="11">
        <v>587.19000000000005</v>
      </c>
      <c r="AK128" s="11"/>
      <c r="AL128" s="11"/>
      <c r="AM128" s="11">
        <v>5907.27</v>
      </c>
      <c r="AN128" s="11">
        <v>62277.32</v>
      </c>
      <c r="AO128" s="11"/>
      <c r="AP128" s="11"/>
      <c r="AQ128" s="11">
        <v>300</v>
      </c>
      <c r="AR128" s="11"/>
      <c r="AS128" s="11"/>
      <c r="AT128" s="11"/>
      <c r="AU128" s="11">
        <v>0</v>
      </c>
      <c r="AV128" s="11">
        <v>241.42</v>
      </c>
      <c r="AW128" s="11">
        <v>2000</v>
      </c>
      <c r="AX128" s="11"/>
      <c r="AY128" s="11"/>
      <c r="AZ128" s="11"/>
      <c r="BA128" s="11"/>
      <c r="BB128" s="11"/>
      <c r="BC128" s="11"/>
      <c r="BD128" s="11"/>
      <c r="BE128" s="11">
        <v>348.73</v>
      </c>
      <c r="BF128" s="11"/>
      <c r="BG128" s="11">
        <v>80.739999999999995</v>
      </c>
      <c r="BH128" s="11"/>
      <c r="BI128" s="11"/>
      <c r="BJ128" s="11"/>
      <c r="BK128" s="11">
        <v>21.66</v>
      </c>
      <c r="BL128" s="11"/>
      <c r="BM128" s="11">
        <v>303.56</v>
      </c>
      <c r="BN128" s="11"/>
      <c r="BO128" s="11"/>
      <c r="BP128" s="11">
        <v>1800</v>
      </c>
      <c r="BQ128" s="11"/>
      <c r="BR128" s="11"/>
      <c r="BS128" s="11">
        <v>3024.78</v>
      </c>
      <c r="BT128" s="11"/>
      <c r="BU128" s="11"/>
      <c r="BV128" s="11"/>
      <c r="BW128" s="11"/>
      <c r="BX128" s="11">
        <v>2.56</v>
      </c>
      <c r="BY128" s="11"/>
      <c r="BZ128" s="11"/>
      <c r="CA128" s="11"/>
      <c r="CB128" s="11">
        <v>1796.79</v>
      </c>
      <c r="CC128" s="11">
        <v>2469.41</v>
      </c>
      <c r="CD128" s="11"/>
      <c r="CE128" s="11">
        <v>2403.34</v>
      </c>
      <c r="CF128" s="11">
        <v>2662.13</v>
      </c>
      <c r="CG128" s="11"/>
      <c r="CH128" s="11"/>
      <c r="CI128" s="11"/>
      <c r="CJ128" s="11"/>
      <c r="CK128" s="11"/>
      <c r="CL128" s="11">
        <v>439.59</v>
      </c>
      <c r="CM128" s="11">
        <v>175.7</v>
      </c>
      <c r="CN128" s="11">
        <v>9.8699999999999992</v>
      </c>
      <c r="CO128" s="11"/>
      <c r="CP128" s="11">
        <v>32.36</v>
      </c>
      <c r="CQ128" s="11"/>
      <c r="CR128" s="11">
        <v>3.81</v>
      </c>
      <c r="CS128" s="11"/>
      <c r="CT128" s="11"/>
      <c r="CU128" s="11"/>
      <c r="CV128" s="11">
        <v>151.52000000000001</v>
      </c>
      <c r="CW128" s="11">
        <v>164.91</v>
      </c>
      <c r="CX128" s="11"/>
      <c r="CY128" s="11">
        <v>182.85</v>
      </c>
      <c r="CZ128" s="11">
        <v>324.27</v>
      </c>
      <c r="DA128" s="11">
        <v>123.03</v>
      </c>
      <c r="DB128" s="11"/>
      <c r="DC128" s="11">
        <v>76554.61</v>
      </c>
      <c r="DD128" s="11">
        <v>5471.09</v>
      </c>
      <c r="DE128" s="11"/>
      <c r="DF128" s="11">
        <v>258087.5</v>
      </c>
      <c r="DG128" s="11">
        <v>716660.75</v>
      </c>
      <c r="DH128" s="11">
        <v>14603.35</v>
      </c>
      <c r="DI128" s="11">
        <v>377000</v>
      </c>
      <c r="DJ128" s="11">
        <v>722792</v>
      </c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>
        <v>164.68</v>
      </c>
      <c r="DV128" s="11">
        <v>489636.25</v>
      </c>
      <c r="DW128" s="11">
        <v>472.43</v>
      </c>
      <c r="DX128" s="11"/>
      <c r="DY128" s="11"/>
      <c r="DZ128" s="11">
        <v>2219.91</v>
      </c>
      <c r="EA128" s="11">
        <v>35.85</v>
      </c>
      <c r="EB128" s="11">
        <v>650.41999999999996</v>
      </c>
      <c r="EC128" s="11"/>
      <c r="ED128" s="11"/>
      <c r="EE128" s="11"/>
      <c r="EF128" s="11"/>
      <c r="EG128" s="11">
        <v>3818.58</v>
      </c>
      <c r="EH128" s="11"/>
      <c r="EI128" s="11">
        <v>221.57</v>
      </c>
      <c r="EJ128" s="11">
        <v>57962.68</v>
      </c>
      <c r="EK128" s="11">
        <v>3880.82</v>
      </c>
      <c r="EL128" s="11">
        <v>3300.78</v>
      </c>
      <c r="EM128" s="11">
        <v>203558.43</v>
      </c>
      <c r="EN128" s="11"/>
      <c r="EO128" s="11"/>
      <c r="EP128" s="11"/>
      <c r="EQ128" s="11">
        <v>26543.18</v>
      </c>
      <c r="ER128" s="11"/>
      <c r="ES128" s="11">
        <v>8855.35</v>
      </c>
      <c r="ET128" s="11">
        <v>11.61</v>
      </c>
      <c r="EU128" s="11">
        <v>117.25</v>
      </c>
      <c r="EV128" s="11"/>
      <c r="EW128" s="11"/>
      <c r="EX128" s="11">
        <v>2352.9699999999998</v>
      </c>
      <c r="EY128" s="11">
        <v>21.87</v>
      </c>
      <c r="EZ128" s="11">
        <v>237.6</v>
      </c>
      <c r="FA128" s="11">
        <v>89.64</v>
      </c>
      <c r="FB128" s="11">
        <v>217.42</v>
      </c>
      <c r="FC128" s="11"/>
      <c r="FD128" s="11">
        <v>1814.1</v>
      </c>
      <c r="FE128" s="11"/>
      <c r="FF128" s="11">
        <v>401.85</v>
      </c>
      <c r="FG128" s="11">
        <v>17.98</v>
      </c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>
        <v>17719.45</v>
      </c>
      <c r="FT128" s="11"/>
      <c r="FU128" s="11"/>
      <c r="FV128" s="11"/>
      <c r="FW128" s="11"/>
      <c r="FX128" s="11">
        <v>9534.4</v>
      </c>
      <c r="FY128" s="11">
        <v>17885.259999999998</v>
      </c>
      <c r="FZ128" s="11"/>
      <c r="GA128" s="11"/>
      <c r="GB128" s="11"/>
      <c r="GC128" s="11"/>
      <c r="GD128" s="11">
        <v>109.12</v>
      </c>
      <c r="GE128" s="11"/>
      <c r="GF128" s="11">
        <v>92.36</v>
      </c>
      <c r="GG128" s="11"/>
      <c r="GH128" s="11">
        <v>41000</v>
      </c>
      <c r="GI128" s="11">
        <v>1771.26</v>
      </c>
      <c r="GJ128" s="11"/>
      <c r="GK128" s="11"/>
      <c r="GL128" s="11">
        <v>166898</v>
      </c>
      <c r="GM128" s="11"/>
      <c r="GN128" s="11"/>
      <c r="GO128" s="11">
        <v>1000</v>
      </c>
      <c r="GP128" s="11"/>
      <c r="GQ128" s="11"/>
      <c r="GR128" s="11"/>
      <c r="GS128" s="11"/>
      <c r="GT128" s="11">
        <v>59.94</v>
      </c>
      <c r="GU128" s="11"/>
      <c r="GV128" s="11">
        <v>0</v>
      </c>
      <c r="GW128" s="11">
        <v>50.71</v>
      </c>
      <c r="GX128" s="11"/>
      <c r="GY128" s="11"/>
      <c r="GZ128" s="11"/>
      <c r="HA128" s="11">
        <v>147.41</v>
      </c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>
        <v>198.83</v>
      </c>
      <c r="HO128" s="11">
        <v>10000</v>
      </c>
      <c r="HP128" s="11">
        <v>274.86</v>
      </c>
      <c r="HQ128" s="11">
        <v>236.52</v>
      </c>
      <c r="HR128" s="11"/>
      <c r="HS128" s="11"/>
      <c r="HT128" s="11"/>
      <c r="HU128" s="11">
        <v>252000</v>
      </c>
      <c r="HV128" s="11"/>
      <c r="HW128" s="11"/>
      <c r="HX128" s="11">
        <v>183.53</v>
      </c>
      <c r="HY128" s="11">
        <v>145123.70000000001</v>
      </c>
      <c r="HZ128" s="11">
        <v>919.03</v>
      </c>
      <c r="IA128" s="11">
        <v>61.8</v>
      </c>
      <c r="IB128" s="11">
        <v>2625.6</v>
      </c>
      <c r="IC128" s="11">
        <v>233.46</v>
      </c>
      <c r="ID128" s="11">
        <v>848.73</v>
      </c>
      <c r="IE128" s="11">
        <v>44000</v>
      </c>
      <c r="IF128" s="11">
        <v>52.37</v>
      </c>
      <c r="IG128" s="11">
        <v>20525.72</v>
      </c>
      <c r="IH128" s="11"/>
      <c r="II128" s="11"/>
      <c r="IJ128" s="11"/>
      <c r="IK128" s="11">
        <v>75.540000000000006</v>
      </c>
      <c r="IL128" s="11"/>
      <c r="IM128" s="11"/>
      <c r="IN128" s="11"/>
      <c r="IO128" s="11">
        <v>12.17</v>
      </c>
      <c r="IP128" s="11"/>
      <c r="IQ128" s="11"/>
      <c r="IR128" s="11"/>
      <c r="IS128" s="11"/>
      <c r="IT128" s="11"/>
      <c r="IU128" s="11"/>
      <c r="IV128" s="11">
        <v>3.34</v>
      </c>
      <c r="IW128" s="11">
        <v>0</v>
      </c>
      <c r="IX128" s="11">
        <v>306.55</v>
      </c>
      <c r="IY128" s="11"/>
      <c r="IZ128" s="11"/>
      <c r="JA128" s="11"/>
      <c r="JB128" s="11">
        <v>6.27</v>
      </c>
      <c r="JC128" s="11"/>
      <c r="JD128" s="11"/>
      <c r="JE128" s="11"/>
      <c r="JF128" s="11">
        <v>0</v>
      </c>
      <c r="JG128" s="11">
        <v>1749688.18</v>
      </c>
      <c r="JH128" s="11"/>
      <c r="JI128" s="11"/>
      <c r="JJ128" s="11">
        <v>349.77</v>
      </c>
      <c r="JK128" s="11">
        <v>271.76</v>
      </c>
      <c r="JL128" s="11"/>
      <c r="JM128" s="11"/>
      <c r="JN128" s="11">
        <v>11424.32</v>
      </c>
      <c r="JO128" s="11"/>
      <c r="JP128" s="11">
        <v>75.59</v>
      </c>
      <c r="JQ128" s="11"/>
      <c r="JR128" s="11"/>
      <c r="JS128" s="11"/>
      <c r="JT128" s="11"/>
      <c r="JU128" s="11"/>
      <c r="JV128" s="11"/>
      <c r="JW128" s="11"/>
      <c r="JX128" s="11"/>
      <c r="JY128" s="11">
        <v>958.51</v>
      </c>
      <c r="JZ128" s="11">
        <v>6834.3</v>
      </c>
      <c r="KA128" s="11"/>
      <c r="KB128" s="11"/>
      <c r="KC128" s="11"/>
      <c r="KD128" s="11"/>
      <c r="KE128" s="11"/>
      <c r="KF128" s="11"/>
      <c r="KG128" s="11"/>
      <c r="KH128" s="11"/>
      <c r="KI128" s="11"/>
      <c r="KJ128" s="11">
        <v>8014.93</v>
      </c>
      <c r="KK128" s="11"/>
      <c r="KL128" s="11">
        <v>1416</v>
      </c>
      <c r="KM128" s="11"/>
      <c r="KN128" s="11">
        <v>16311.77</v>
      </c>
      <c r="KO128" s="11"/>
      <c r="KP128" s="11"/>
      <c r="KQ128" s="11"/>
      <c r="KR128" s="11"/>
      <c r="KS128" s="11"/>
      <c r="KT128" s="11"/>
      <c r="KU128" s="11"/>
      <c r="KV128" s="11"/>
      <c r="KW128" s="11">
        <v>131419.29</v>
      </c>
      <c r="KX128" s="11"/>
      <c r="KY128" s="11">
        <v>1983.48</v>
      </c>
      <c r="KZ128" s="11"/>
      <c r="LA128" s="11"/>
      <c r="LB128" s="11"/>
      <c r="LC128" s="11"/>
      <c r="LD128" s="11"/>
      <c r="LE128" s="11"/>
      <c r="LF128" s="11">
        <v>2039.11</v>
      </c>
      <c r="LG128" s="11">
        <v>17327.27</v>
      </c>
      <c r="LH128" s="11">
        <v>17839927.199999999</v>
      </c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>
        <v>0</v>
      </c>
      <c r="LV128" s="11"/>
      <c r="LW128" s="11"/>
      <c r="LX128" s="11"/>
      <c r="LY128" s="11"/>
      <c r="LZ128" s="11"/>
      <c r="MA128" s="11"/>
      <c r="MB128" s="11"/>
      <c r="MC128" s="11"/>
      <c r="MD128" s="11"/>
      <c r="ME128" s="11">
        <v>76.010000000000005</v>
      </c>
      <c r="MF128" s="11"/>
      <c r="MG128" s="11">
        <v>305.45999999999998</v>
      </c>
      <c r="MH128" s="11"/>
      <c r="MI128" s="11">
        <v>1610.86</v>
      </c>
      <c r="MJ128" s="11"/>
      <c r="MK128" s="11"/>
      <c r="ML128" s="11"/>
      <c r="MM128" s="11"/>
      <c r="MN128" s="11">
        <v>40.69</v>
      </c>
      <c r="MO128" s="11">
        <v>163.62</v>
      </c>
      <c r="MP128" s="11">
        <v>69.5</v>
      </c>
      <c r="MQ128" s="11">
        <v>462.5</v>
      </c>
      <c r="MR128" s="11">
        <v>1700.38</v>
      </c>
      <c r="MS128" s="11"/>
      <c r="MT128" s="11"/>
      <c r="MU128" s="11"/>
      <c r="MV128" s="11">
        <v>101.87</v>
      </c>
      <c r="MW128" s="11"/>
      <c r="MX128" s="11"/>
      <c r="MY128" s="11"/>
      <c r="MZ128" s="11">
        <v>42.57</v>
      </c>
      <c r="NA128" s="11"/>
      <c r="NB128" s="11">
        <v>0</v>
      </c>
      <c r="NC128" s="11">
        <v>0</v>
      </c>
      <c r="ND128" s="11">
        <v>0</v>
      </c>
      <c r="NE128" s="11"/>
      <c r="NF128" s="11">
        <v>5.43</v>
      </c>
      <c r="NG128" s="11"/>
      <c r="NH128" s="11"/>
      <c r="NI128" s="11">
        <v>399.46</v>
      </c>
      <c r="NJ128" s="11"/>
      <c r="NK128" s="11">
        <v>707.28</v>
      </c>
      <c r="NL128" s="11">
        <v>1834.24</v>
      </c>
      <c r="NM128" s="11"/>
      <c r="NN128" s="11">
        <v>40.53</v>
      </c>
      <c r="NO128" s="11"/>
      <c r="NP128" s="11"/>
      <c r="NQ128" s="11"/>
      <c r="NR128" s="11"/>
      <c r="NS128" s="11"/>
      <c r="NT128" s="11">
        <v>1840.07</v>
      </c>
      <c r="NU128" s="11"/>
      <c r="NV128" s="11"/>
      <c r="NW128" s="11">
        <v>17071.759999999998</v>
      </c>
      <c r="NX128" s="11"/>
      <c r="NY128" s="11">
        <v>4500</v>
      </c>
      <c r="NZ128" s="11"/>
      <c r="OA128" s="11"/>
      <c r="OB128" s="11"/>
      <c r="OC128" s="11"/>
      <c r="OD128" s="11"/>
      <c r="OE128" s="11"/>
      <c r="OF128" s="11">
        <v>0</v>
      </c>
      <c r="OG128" s="11"/>
      <c r="OH128" s="11">
        <v>35620.15</v>
      </c>
      <c r="OI128" s="11"/>
      <c r="OJ128" s="11"/>
      <c r="OK128" s="11"/>
      <c r="OL128" s="11"/>
      <c r="OM128" s="11"/>
      <c r="ON128" s="11"/>
      <c r="OO128" s="11"/>
      <c r="OP128" s="11">
        <v>2316.06</v>
      </c>
      <c r="OQ128" s="11"/>
      <c r="OR128" s="11"/>
      <c r="OS128" s="11"/>
      <c r="OT128" s="11"/>
      <c r="OU128" s="11"/>
      <c r="OV128" s="11"/>
      <c r="OW128" s="11">
        <v>0</v>
      </c>
      <c r="OX128" s="11"/>
      <c r="OY128" s="11"/>
      <c r="OZ128" s="11"/>
      <c r="PA128" s="11">
        <v>8000</v>
      </c>
      <c r="PB128" s="11"/>
      <c r="PC128" s="11"/>
      <c r="PD128" s="11"/>
      <c r="PE128" s="11"/>
      <c r="PF128" s="11"/>
      <c r="PG128" s="11"/>
      <c r="PH128" s="11"/>
      <c r="PI128" s="11"/>
      <c r="PJ128" s="11">
        <v>42400</v>
      </c>
      <c r="PK128" s="11">
        <v>7088.51</v>
      </c>
      <c r="PL128" s="11">
        <v>3.37</v>
      </c>
      <c r="PM128" s="11"/>
      <c r="PN128" s="11"/>
      <c r="PO128" s="11"/>
      <c r="PP128" s="11">
        <v>20000</v>
      </c>
      <c r="PQ128" s="11"/>
      <c r="PR128" s="11"/>
      <c r="PS128" s="11"/>
      <c r="PT128" s="11"/>
      <c r="PU128" s="11"/>
      <c r="PV128" s="11"/>
      <c r="PW128" s="11"/>
      <c r="PX128" s="11"/>
      <c r="PY128" s="11"/>
      <c r="PZ128" s="11">
        <v>929.36</v>
      </c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>
        <v>74.97</v>
      </c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>
        <v>350</v>
      </c>
      <c r="RA128" s="11">
        <v>320</v>
      </c>
      <c r="RB128" s="11"/>
      <c r="RC128" s="11"/>
      <c r="RD128" s="11"/>
      <c r="RE128" s="11">
        <v>30</v>
      </c>
      <c r="RF128" s="11"/>
      <c r="RG128" s="11"/>
      <c r="RH128" s="11"/>
      <c r="RI128" s="11">
        <v>1386.52</v>
      </c>
      <c r="RJ128" s="11"/>
      <c r="RK128" s="11"/>
      <c r="RL128" s="11"/>
      <c r="RM128" s="11"/>
      <c r="RN128" s="11"/>
      <c r="RO128" s="11">
        <v>281767.64</v>
      </c>
      <c r="RP128" s="11"/>
      <c r="RQ128" s="11"/>
      <c r="RR128" s="11"/>
      <c r="RS128" s="11">
        <v>2005.53</v>
      </c>
      <c r="RT128" s="11"/>
      <c r="RU128" s="11"/>
      <c r="RV128" s="11"/>
      <c r="RW128" s="11">
        <v>12323.53</v>
      </c>
      <c r="RX128" s="11"/>
      <c r="RY128" s="11"/>
      <c r="RZ128" s="11">
        <v>0</v>
      </c>
      <c r="SA128" s="11"/>
      <c r="SB128" s="11"/>
      <c r="SC128" s="11"/>
      <c r="SD128" s="11"/>
      <c r="SE128" s="11"/>
      <c r="SF128" s="11"/>
      <c r="SG128" s="11"/>
      <c r="SH128" s="11"/>
      <c r="SI128" s="11">
        <v>0</v>
      </c>
      <c r="SJ128" s="11"/>
      <c r="SK128" s="11">
        <v>0</v>
      </c>
      <c r="SL128" s="11">
        <v>319.26</v>
      </c>
      <c r="SM128" s="11"/>
      <c r="SN128" s="11"/>
      <c r="SO128" s="11">
        <v>236.16</v>
      </c>
      <c r="SP128" s="11">
        <v>39.729999999999997</v>
      </c>
      <c r="SQ128" s="11">
        <v>492910.35</v>
      </c>
      <c r="SR128" s="11">
        <v>3000</v>
      </c>
      <c r="SS128" s="11">
        <v>369.25</v>
      </c>
      <c r="ST128" s="11">
        <v>13896.23</v>
      </c>
      <c r="SU128" s="11">
        <v>200</v>
      </c>
      <c r="SV128" s="11"/>
      <c r="SW128" s="11">
        <v>90.06</v>
      </c>
      <c r="SX128" s="11"/>
      <c r="SY128" s="11"/>
      <c r="SZ128" s="11">
        <v>28.08</v>
      </c>
      <c r="TA128" s="11"/>
      <c r="TB128" s="11"/>
      <c r="TC128" s="11"/>
      <c r="TD128" s="11"/>
      <c r="TE128" s="11"/>
      <c r="TF128" s="11">
        <v>12.67</v>
      </c>
      <c r="TG128" s="11"/>
      <c r="TH128" s="11"/>
      <c r="TI128" s="11"/>
      <c r="TJ128" s="11"/>
      <c r="TK128" s="11">
        <v>1407.42</v>
      </c>
      <c r="TL128" s="11"/>
      <c r="TM128" s="11">
        <v>290.98</v>
      </c>
      <c r="TN128" s="11">
        <v>1062.9000000000001</v>
      </c>
      <c r="TO128" s="11">
        <v>219.09</v>
      </c>
      <c r="TP128" s="11">
        <v>373.82</v>
      </c>
      <c r="TQ128" s="11"/>
      <c r="TR128" s="11">
        <v>825.36</v>
      </c>
      <c r="TS128" s="11"/>
      <c r="TT128" s="11">
        <v>4.3099999999999996</v>
      </c>
      <c r="TU128" s="11">
        <v>282.97000000000003</v>
      </c>
      <c r="TV128" s="11">
        <v>13.49</v>
      </c>
      <c r="TW128" s="11"/>
      <c r="TX128" s="11">
        <v>76.86</v>
      </c>
      <c r="TY128" s="11">
        <v>77.42</v>
      </c>
      <c r="TZ128" s="11"/>
      <c r="UA128" s="11">
        <v>1213.1199999999999</v>
      </c>
      <c r="UB128" s="11"/>
      <c r="UC128" s="11">
        <v>442.68</v>
      </c>
      <c r="UD128" s="11"/>
      <c r="UE128" s="11">
        <v>151.22</v>
      </c>
      <c r="UF128" s="11">
        <v>4950</v>
      </c>
      <c r="UG128" s="11">
        <v>21928.28</v>
      </c>
      <c r="UH128" s="11"/>
      <c r="UI128" s="11"/>
      <c r="UJ128" s="11"/>
      <c r="UK128" s="11"/>
      <c r="UL128" s="11">
        <v>29629.98</v>
      </c>
      <c r="UM128" s="11">
        <v>12.43</v>
      </c>
      <c r="UN128" s="11">
        <v>56.73</v>
      </c>
      <c r="UO128" s="11">
        <v>2.68</v>
      </c>
      <c r="UP128" s="11">
        <v>51.09</v>
      </c>
      <c r="UQ128" s="11"/>
      <c r="UR128" s="11">
        <v>8.48</v>
      </c>
      <c r="US128" s="11"/>
      <c r="UT128" s="11">
        <v>2000.37</v>
      </c>
      <c r="UU128" s="11"/>
      <c r="UV128" s="11"/>
      <c r="UW128" s="11"/>
      <c r="UX128" s="11"/>
      <c r="UY128" s="11"/>
      <c r="UZ128" s="11"/>
      <c r="VA128" s="11"/>
      <c r="VB128" s="11">
        <v>84.11</v>
      </c>
      <c r="VC128" s="11"/>
      <c r="VD128" s="11">
        <v>90.2</v>
      </c>
      <c r="VE128" s="11"/>
      <c r="VF128" s="11">
        <v>368.53</v>
      </c>
      <c r="VG128" s="11"/>
      <c r="VH128" s="11"/>
      <c r="VI128" s="11"/>
      <c r="VJ128" s="11"/>
      <c r="VK128" s="11"/>
      <c r="VL128" s="11"/>
      <c r="VM128" s="11"/>
      <c r="VN128" s="11">
        <v>0</v>
      </c>
      <c r="VO128" s="11">
        <v>98801.39</v>
      </c>
      <c r="VP128" s="11"/>
      <c r="VQ128" s="11"/>
      <c r="VR128" s="11"/>
      <c r="VS128" s="11"/>
      <c r="VT128" s="11"/>
      <c r="VU128" s="11"/>
      <c r="VV128" s="11"/>
      <c r="VW128" s="11">
        <v>0.89</v>
      </c>
      <c r="VX128" s="11"/>
      <c r="VY128" s="11"/>
      <c r="VZ128" s="11">
        <v>5.96</v>
      </c>
      <c r="WA128" s="11"/>
      <c r="WB128" s="11"/>
      <c r="WC128" s="11"/>
      <c r="WD128" s="11">
        <v>233.21</v>
      </c>
      <c r="WE128" s="11"/>
      <c r="WF128" s="11">
        <v>194.24</v>
      </c>
      <c r="WG128" s="11"/>
      <c r="WH128" s="11">
        <v>240.32</v>
      </c>
      <c r="WI128" s="11"/>
      <c r="WJ128" s="11"/>
      <c r="WK128" s="11"/>
      <c r="WL128" s="11">
        <v>48342.74</v>
      </c>
      <c r="WM128" s="11"/>
      <c r="WN128" s="11">
        <v>310.8</v>
      </c>
      <c r="WO128" s="11"/>
      <c r="WP128" s="11"/>
      <c r="WQ128" s="11"/>
      <c r="WR128" s="11"/>
      <c r="WS128" s="11">
        <v>79.97</v>
      </c>
      <c r="WT128" s="11">
        <v>1400.63</v>
      </c>
      <c r="WU128" s="11"/>
      <c r="WV128" s="11"/>
      <c r="WW128" s="11">
        <v>24894.84</v>
      </c>
      <c r="WX128" s="11">
        <v>4.26</v>
      </c>
      <c r="WY128" s="11"/>
      <c r="WZ128" s="11"/>
      <c r="XA128" s="11"/>
      <c r="XB128" s="11"/>
      <c r="XC128" s="11"/>
      <c r="XD128" s="11">
        <v>807.92</v>
      </c>
      <c r="XE128" s="11"/>
      <c r="XF128" s="11">
        <v>570</v>
      </c>
      <c r="XG128" s="11"/>
      <c r="XH128" s="11"/>
      <c r="XI128" s="11"/>
      <c r="XJ128" s="11">
        <v>17.86</v>
      </c>
      <c r="XK128" s="11"/>
      <c r="XL128" s="11"/>
      <c r="XM128" s="11">
        <v>262.35000000000002</v>
      </c>
      <c r="XN128" s="11">
        <v>6.89</v>
      </c>
      <c r="XO128" s="11">
        <v>38.57</v>
      </c>
      <c r="XP128" s="11">
        <v>29.07</v>
      </c>
      <c r="XQ128" s="11">
        <v>29.79</v>
      </c>
      <c r="XR128" s="11">
        <v>12.96</v>
      </c>
      <c r="XS128" s="11">
        <v>44.99</v>
      </c>
      <c r="XT128" s="11">
        <v>8.07</v>
      </c>
      <c r="XU128" s="11">
        <v>35.11</v>
      </c>
      <c r="XV128" s="11">
        <v>34.82</v>
      </c>
      <c r="XW128" s="11">
        <v>13.55</v>
      </c>
      <c r="XX128" s="11">
        <v>9.8800000000000008</v>
      </c>
      <c r="XY128" s="11">
        <v>2.1800000000000002</v>
      </c>
      <c r="XZ128" s="11">
        <v>6.88</v>
      </c>
      <c r="YA128" s="11">
        <v>4.82</v>
      </c>
      <c r="YB128" s="11">
        <v>24.91</v>
      </c>
      <c r="YC128" s="11">
        <v>5.0999999999999996</v>
      </c>
      <c r="YD128" s="11">
        <v>1.27</v>
      </c>
      <c r="YE128" s="11">
        <v>3.59</v>
      </c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>
        <v>291.57</v>
      </c>
      <c r="YS128" s="11">
        <v>5.2</v>
      </c>
      <c r="YT128" s="11"/>
      <c r="YU128" s="11"/>
      <c r="YV128" s="11">
        <v>87.61</v>
      </c>
      <c r="YW128" s="11"/>
      <c r="YX128" s="11">
        <v>396.81</v>
      </c>
      <c r="YY128" s="11"/>
      <c r="YZ128" s="11"/>
      <c r="ZA128" s="11"/>
      <c r="ZB128" s="11">
        <v>250</v>
      </c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>
        <v>30.96</v>
      </c>
      <c r="ZR128" s="11"/>
      <c r="ZS128" s="11"/>
      <c r="ZT128" s="11"/>
      <c r="ZU128" s="11">
        <v>350.17</v>
      </c>
      <c r="ZV128" s="11">
        <v>36.880000000000003</v>
      </c>
      <c r="ZW128" s="11">
        <v>0</v>
      </c>
      <c r="ZX128" s="11">
        <v>65.56</v>
      </c>
      <c r="ZY128" s="11"/>
      <c r="ZZ128" s="11"/>
      <c r="AAA128" s="11"/>
      <c r="AAB128" s="11">
        <v>150</v>
      </c>
      <c r="AAC128" s="11"/>
      <c r="AAD128" s="11">
        <v>2.08</v>
      </c>
      <c r="AAE128" s="11"/>
      <c r="AAF128" s="11"/>
      <c r="AAG128" s="11"/>
      <c r="AAH128" s="11"/>
      <c r="AAI128" s="11"/>
      <c r="AAJ128" s="11"/>
      <c r="AAK128" s="11">
        <v>7900</v>
      </c>
      <c r="AAL128" s="11"/>
      <c r="AAM128" s="11">
        <v>400</v>
      </c>
      <c r="AAN128" s="11">
        <v>0</v>
      </c>
      <c r="AAO128" s="11"/>
      <c r="AAP128" s="11"/>
      <c r="AAQ128" s="11">
        <v>74146.070000000007</v>
      </c>
      <c r="AAR128" s="11"/>
      <c r="AAS128" s="11">
        <v>13750</v>
      </c>
      <c r="AAT128" s="11"/>
      <c r="AAU128" s="11"/>
      <c r="AAV128" s="11">
        <v>0</v>
      </c>
      <c r="AAW128" s="11"/>
      <c r="AAX128" s="11">
        <v>40586.339999999997</v>
      </c>
      <c r="AAY128" s="11">
        <v>1.28</v>
      </c>
      <c r="AAZ128" s="11">
        <v>30.88</v>
      </c>
      <c r="ABA128" s="11"/>
      <c r="ABB128" s="11"/>
      <c r="ABC128" s="11">
        <v>115.76</v>
      </c>
      <c r="ABD128" s="11">
        <v>1694.44</v>
      </c>
      <c r="ABE128" s="11">
        <v>55655.44</v>
      </c>
      <c r="ABF128" s="11"/>
      <c r="ABG128" s="11"/>
      <c r="ABH128" s="11">
        <v>29481.17</v>
      </c>
      <c r="ABI128" s="11"/>
      <c r="ABJ128" s="11"/>
      <c r="ABK128" s="11">
        <v>5649.82</v>
      </c>
      <c r="ABL128" s="11">
        <v>0</v>
      </c>
      <c r="ABM128" s="11"/>
      <c r="ABN128" s="11">
        <v>0</v>
      </c>
      <c r="ABO128" s="11">
        <v>30.29</v>
      </c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>
        <v>0</v>
      </c>
      <c r="ACC128" s="11">
        <v>224.06</v>
      </c>
      <c r="ACD128" s="11"/>
      <c r="ACE128" s="11"/>
      <c r="ACF128" s="11"/>
      <c r="ACG128" s="11"/>
      <c r="ACH128" s="11">
        <v>377.04</v>
      </c>
      <c r="ACI128" s="11">
        <v>377.19</v>
      </c>
      <c r="ACJ128" s="11"/>
      <c r="ACK128" s="11"/>
      <c r="ACL128" s="11"/>
      <c r="ACM128" s="11"/>
      <c r="ACN128" s="11">
        <v>315738.09000000003</v>
      </c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>
        <v>5300</v>
      </c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>
        <v>137.1</v>
      </c>
      <c r="ADR128" s="11">
        <v>526.33000000000004</v>
      </c>
      <c r="ADS128" s="11"/>
      <c r="ADT128" s="11"/>
      <c r="ADU128" s="11"/>
      <c r="ADV128" s="11"/>
      <c r="ADW128" s="11">
        <v>2091.46</v>
      </c>
      <c r="ADX128" s="11"/>
      <c r="ADY128" s="11"/>
      <c r="ADZ128" s="11"/>
      <c r="AEA128" s="11"/>
      <c r="AEB128" s="11"/>
      <c r="AEC128" s="11">
        <v>120376.96000000001</v>
      </c>
      <c r="AED128" s="11"/>
      <c r="AEE128" s="11">
        <v>1550</v>
      </c>
      <c r="AEF128" s="11"/>
      <c r="AEG128" s="11"/>
      <c r="AEH128" s="11"/>
      <c r="AEI128" s="11"/>
      <c r="AEJ128" s="11">
        <v>3000</v>
      </c>
      <c r="AEK128" s="11">
        <v>9000</v>
      </c>
      <c r="AEL128" s="11">
        <v>43.7</v>
      </c>
      <c r="AEM128" s="11"/>
      <c r="AEN128" s="11">
        <v>11.51</v>
      </c>
      <c r="AEO128" s="11">
        <v>597.28</v>
      </c>
      <c r="AEP128" s="11">
        <v>0</v>
      </c>
      <c r="AEQ128" s="11"/>
      <c r="AER128" s="11"/>
      <c r="AES128" s="11">
        <v>51000</v>
      </c>
      <c r="AET128" s="11"/>
      <c r="AEU128" s="11">
        <v>58.26</v>
      </c>
      <c r="AEV128" s="11">
        <v>28.08</v>
      </c>
      <c r="AEW128" s="11"/>
      <c r="AEX128" s="11"/>
      <c r="AEY128" s="11">
        <v>161.9</v>
      </c>
      <c r="AEZ128" s="11"/>
      <c r="AFA128" s="11">
        <v>5.26</v>
      </c>
      <c r="AFB128" s="11">
        <v>220.43</v>
      </c>
      <c r="AFC128" s="11">
        <v>9.4499999999999993</v>
      </c>
      <c r="AFD128" s="11"/>
      <c r="AFE128" s="11"/>
      <c r="AFF128" s="11">
        <v>21.02</v>
      </c>
      <c r="AFG128" s="11"/>
      <c r="AFH128" s="11"/>
      <c r="AFI128" s="11"/>
      <c r="AFJ128" s="11"/>
      <c r="AFK128" s="11"/>
      <c r="AFL128" s="11"/>
      <c r="AFM128" s="11"/>
      <c r="AFN128" s="11">
        <v>467.88</v>
      </c>
      <c r="AFO128" s="11"/>
      <c r="AFP128" s="11"/>
      <c r="AFQ128" s="11"/>
      <c r="AFR128" s="11"/>
      <c r="AFS128" s="11"/>
      <c r="AFT128" s="11">
        <v>27.75</v>
      </c>
      <c r="AFU128" s="11">
        <v>0.1</v>
      </c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>
        <v>14.42</v>
      </c>
      <c r="AGH128" s="11">
        <v>5.93</v>
      </c>
      <c r="AGI128" s="11">
        <v>252.6</v>
      </c>
      <c r="AGJ128" s="11"/>
      <c r="AGK128" s="11">
        <v>6.74</v>
      </c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>
        <v>301.16000000000003</v>
      </c>
      <c r="AGZ128" s="11">
        <v>10250</v>
      </c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>
        <v>0</v>
      </c>
      <c r="AHK128" s="11"/>
      <c r="AHL128" s="11"/>
      <c r="AHM128" s="11"/>
      <c r="AHN128" s="11"/>
      <c r="AHO128" s="11">
        <v>0.1</v>
      </c>
      <c r="AHP128" s="11"/>
      <c r="AHQ128" s="11"/>
      <c r="AHR128" s="11">
        <v>3675.21</v>
      </c>
      <c r="AHS128" s="11"/>
      <c r="AHT128" s="11">
        <v>26066108.390000019</v>
      </c>
      <c r="AHV128" s="269" t="s">
        <v>6278</v>
      </c>
      <c r="AHW128" s="269" t="s">
        <v>6196</v>
      </c>
      <c r="AHX128" s="269" t="s">
        <v>6197</v>
      </c>
    </row>
    <row r="129" spans="1:908" x14ac:dyDescent="0.7">
      <c r="A129" s="6" t="s">
        <v>6278</v>
      </c>
      <c r="B129" s="6" t="s">
        <v>6196</v>
      </c>
      <c r="C129" s="6" t="s">
        <v>6197</v>
      </c>
      <c r="D129" s="11">
        <v>3356484.68</v>
      </c>
      <c r="E129" s="11"/>
      <c r="F129" s="11"/>
      <c r="G129" s="11">
        <v>52714.3</v>
      </c>
      <c r="H129" s="11">
        <v>627</v>
      </c>
      <c r="I129" s="11">
        <v>600</v>
      </c>
      <c r="J129" s="11">
        <v>11448957.08</v>
      </c>
      <c r="K129" s="11"/>
      <c r="L129" s="11">
        <v>171611</v>
      </c>
      <c r="M129" s="11"/>
      <c r="N129" s="11"/>
      <c r="O129" s="11">
        <v>0</v>
      </c>
      <c r="P129" s="11">
        <v>0</v>
      </c>
      <c r="Q129" s="11"/>
      <c r="R129" s="11"/>
      <c r="S129" s="11"/>
      <c r="T129" s="11"/>
      <c r="U129" s="11">
        <v>0</v>
      </c>
      <c r="V129" s="11">
        <v>65275639.859999999</v>
      </c>
      <c r="W129" s="11">
        <v>109840</v>
      </c>
      <c r="X129" s="11">
        <v>7049.33</v>
      </c>
      <c r="Y129" s="11">
        <v>1179231.07</v>
      </c>
      <c r="Z129" s="11">
        <v>281002.5</v>
      </c>
      <c r="AA129" s="11"/>
      <c r="AB129" s="11">
        <v>235601.9</v>
      </c>
      <c r="AC129" s="11">
        <v>0</v>
      </c>
      <c r="AD129" s="11">
        <v>246197.2</v>
      </c>
      <c r="AE129" s="11">
        <v>71706.11</v>
      </c>
      <c r="AF129" s="11">
        <v>2103</v>
      </c>
      <c r="AG129" s="11">
        <v>164574.5</v>
      </c>
      <c r="AH129" s="11">
        <v>8280143.21</v>
      </c>
      <c r="AI129" s="11">
        <v>57185.05</v>
      </c>
      <c r="AJ129" s="11">
        <v>227185</v>
      </c>
      <c r="AK129" s="11"/>
      <c r="AL129" s="11">
        <v>413990</v>
      </c>
      <c r="AM129" s="11">
        <v>256270.5</v>
      </c>
      <c r="AN129" s="11"/>
      <c r="AO129" s="11">
        <v>35670</v>
      </c>
      <c r="AP129" s="11">
        <v>320883.45</v>
      </c>
      <c r="AQ129" s="11">
        <v>7350</v>
      </c>
      <c r="AR129" s="11">
        <v>1446345.65</v>
      </c>
      <c r="AS129" s="11">
        <v>0</v>
      </c>
      <c r="AT129" s="11">
        <v>27000</v>
      </c>
      <c r="AU129" s="11">
        <v>32025</v>
      </c>
      <c r="AV129" s="11">
        <v>212523.47</v>
      </c>
      <c r="AW129" s="11">
        <v>87072.75</v>
      </c>
      <c r="AX129" s="11"/>
      <c r="AY129" s="11"/>
      <c r="AZ129" s="11">
        <v>512050</v>
      </c>
      <c r="BA129" s="11">
        <v>3750</v>
      </c>
      <c r="BB129" s="11"/>
      <c r="BC129" s="11"/>
      <c r="BD129" s="11"/>
      <c r="BE129" s="11">
        <v>1600</v>
      </c>
      <c r="BF129" s="11">
        <v>252415.09</v>
      </c>
      <c r="BG129" s="11">
        <v>10140</v>
      </c>
      <c r="BH129" s="11">
        <v>1293720</v>
      </c>
      <c r="BI129" s="11">
        <v>1241826.44</v>
      </c>
      <c r="BJ129" s="11">
        <v>485392.95</v>
      </c>
      <c r="BK129" s="11">
        <v>177700</v>
      </c>
      <c r="BL129" s="11">
        <v>10000</v>
      </c>
      <c r="BM129" s="11">
        <v>13443</v>
      </c>
      <c r="BN129" s="11">
        <v>24997</v>
      </c>
      <c r="BO129" s="11">
        <v>3104159</v>
      </c>
      <c r="BP129" s="11"/>
      <c r="BQ129" s="11"/>
      <c r="BR129" s="11">
        <v>20065278.800000001</v>
      </c>
      <c r="BS129" s="11">
        <v>3523300</v>
      </c>
      <c r="BT129" s="11">
        <v>2013294.12</v>
      </c>
      <c r="BU129" s="11">
        <v>1743932</v>
      </c>
      <c r="BV129" s="11">
        <v>13996</v>
      </c>
      <c r="BW129" s="11">
        <v>2000753</v>
      </c>
      <c r="BX129" s="11">
        <v>1860000</v>
      </c>
      <c r="BY129" s="11">
        <v>2000000</v>
      </c>
      <c r="BZ129" s="11">
        <v>0</v>
      </c>
      <c r="CA129" s="11"/>
      <c r="CB129" s="11"/>
      <c r="CC129" s="11"/>
      <c r="CD129" s="11"/>
      <c r="CE129" s="11">
        <v>0</v>
      </c>
      <c r="CF129" s="11"/>
      <c r="CG129" s="11">
        <v>1582312.41</v>
      </c>
      <c r="CH129" s="11">
        <v>491891.31</v>
      </c>
      <c r="CI129" s="11">
        <v>709851.08</v>
      </c>
      <c r="CJ129" s="11">
        <v>89831.8</v>
      </c>
      <c r="CK129" s="11">
        <v>9631.7900000000009</v>
      </c>
      <c r="CL129" s="11">
        <v>240214</v>
      </c>
      <c r="CM129" s="11">
        <v>215750</v>
      </c>
      <c r="CN129" s="11"/>
      <c r="CO129" s="11">
        <v>12400</v>
      </c>
      <c r="CP129" s="11">
        <v>86921</v>
      </c>
      <c r="CQ129" s="11">
        <v>21964.07</v>
      </c>
      <c r="CR129" s="11"/>
      <c r="CS129" s="11">
        <v>410876.77</v>
      </c>
      <c r="CT129" s="11">
        <v>908396.88</v>
      </c>
      <c r="CU129" s="11"/>
      <c r="CV129" s="11">
        <v>120000</v>
      </c>
      <c r="CW129" s="11">
        <v>224683.15</v>
      </c>
      <c r="CX129" s="11">
        <v>1500000</v>
      </c>
      <c r="CY129" s="11">
        <v>24750</v>
      </c>
      <c r="CZ129" s="11"/>
      <c r="DA129" s="11">
        <v>0</v>
      </c>
      <c r="DB129" s="11">
        <v>1909964.28</v>
      </c>
      <c r="DC129" s="11">
        <v>1367578</v>
      </c>
      <c r="DD129" s="11">
        <v>424876.25</v>
      </c>
      <c r="DE129" s="11">
        <v>68221</v>
      </c>
      <c r="DF129" s="11">
        <v>5733.36</v>
      </c>
      <c r="DG129" s="11">
        <v>121000</v>
      </c>
      <c r="DH129" s="11"/>
      <c r="DI129" s="11">
        <v>0</v>
      </c>
      <c r="DJ129" s="11">
        <v>29450</v>
      </c>
      <c r="DK129" s="11">
        <v>35303318.119999997</v>
      </c>
      <c r="DL129" s="11">
        <v>0</v>
      </c>
      <c r="DM129" s="11">
        <v>0</v>
      </c>
      <c r="DN129" s="11">
        <v>171215.16</v>
      </c>
      <c r="DO129" s="11">
        <v>103737.8</v>
      </c>
      <c r="DP129" s="11"/>
      <c r="DQ129" s="11">
        <v>253671.48</v>
      </c>
      <c r="DR129" s="11"/>
      <c r="DS129" s="11">
        <v>127161.51</v>
      </c>
      <c r="DT129" s="11">
        <v>18525357.350000001</v>
      </c>
      <c r="DU129" s="11">
        <v>0</v>
      </c>
      <c r="DV129" s="11">
        <v>86455.69</v>
      </c>
      <c r="DW129" s="11">
        <v>149333</v>
      </c>
      <c r="DX129" s="11">
        <v>158660</v>
      </c>
      <c r="DY129" s="11"/>
      <c r="DZ129" s="11">
        <v>74889</v>
      </c>
      <c r="EA129" s="11">
        <v>28050</v>
      </c>
      <c r="EB129" s="11">
        <v>762628.75</v>
      </c>
      <c r="EC129" s="11">
        <v>19600</v>
      </c>
      <c r="ED129" s="11">
        <v>505360.8</v>
      </c>
      <c r="EE129" s="11">
        <v>474113</v>
      </c>
      <c r="EF129" s="11">
        <v>287642.48</v>
      </c>
      <c r="EG129" s="11">
        <v>0</v>
      </c>
      <c r="EH129" s="11">
        <v>67720</v>
      </c>
      <c r="EI129" s="11">
        <v>171400</v>
      </c>
      <c r="EJ129" s="11">
        <v>0</v>
      </c>
      <c r="EK129" s="11">
        <v>33650</v>
      </c>
      <c r="EL129" s="11">
        <v>1100</v>
      </c>
      <c r="EM129" s="11">
        <v>106753.2</v>
      </c>
      <c r="EN129" s="11">
        <v>35491174.909999996</v>
      </c>
      <c r="EO129" s="11"/>
      <c r="EP129" s="11">
        <v>5000000</v>
      </c>
      <c r="EQ129" s="11">
        <v>0</v>
      </c>
      <c r="ER129" s="11"/>
      <c r="ES129" s="11">
        <v>3348.87</v>
      </c>
      <c r="ET129" s="11"/>
      <c r="EU129" s="11"/>
      <c r="EV129" s="11">
        <v>1142474.5</v>
      </c>
      <c r="EW129" s="11">
        <v>3839939.53</v>
      </c>
      <c r="EX129" s="11">
        <v>0</v>
      </c>
      <c r="EY129" s="11">
        <v>36000</v>
      </c>
      <c r="EZ129" s="11">
        <v>0</v>
      </c>
      <c r="FA129" s="11">
        <v>191062</v>
      </c>
      <c r="FB129" s="11">
        <v>189885.28</v>
      </c>
      <c r="FC129" s="11">
        <v>311052.5</v>
      </c>
      <c r="FD129" s="11">
        <v>0</v>
      </c>
      <c r="FE129" s="11">
        <v>220456.46</v>
      </c>
      <c r="FF129" s="11">
        <v>171173</v>
      </c>
      <c r="FG129" s="11">
        <v>0</v>
      </c>
      <c r="FH129" s="11">
        <v>3187</v>
      </c>
      <c r="FI129" s="11">
        <v>10040008.68</v>
      </c>
      <c r="FJ129" s="11">
        <v>110000</v>
      </c>
      <c r="FK129" s="11"/>
      <c r="FL129" s="11"/>
      <c r="FM129" s="11">
        <v>2863</v>
      </c>
      <c r="FN129" s="11"/>
      <c r="FO129" s="11"/>
      <c r="FP129" s="11">
        <v>10000</v>
      </c>
      <c r="FQ129" s="11">
        <v>8350586.1100000003</v>
      </c>
      <c r="FR129" s="11">
        <v>898</v>
      </c>
      <c r="FS129" s="11">
        <v>305730.2</v>
      </c>
      <c r="FT129" s="11">
        <v>700</v>
      </c>
      <c r="FU129" s="11">
        <v>93428.15</v>
      </c>
      <c r="FV129" s="11">
        <v>971433.7</v>
      </c>
      <c r="FW129" s="11">
        <v>35523</v>
      </c>
      <c r="FX129" s="11">
        <v>80000</v>
      </c>
      <c r="FY129" s="11">
        <v>214880</v>
      </c>
      <c r="FZ129" s="11">
        <v>51586</v>
      </c>
      <c r="GA129" s="11">
        <v>20000</v>
      </c>
      <c r="GB129" s="11">
        <v>0</v>
      </c>
      <c r="GC129" s="11">
        <v>99169.42</v>
      </c>
      <c r="GD129" s="11">
        <v>28033</v>
      </c>
      <c r="GE129" s="11">
        <v>16601739.289999999</v>
      </c>
      <c r="GF129" s="11">
        <v>55000</v>
      </c>
      <c r="GG129" s="11">
        <v>50554.63</v>
      </c>
      <c r="GH129" s="11">
        <v>8558890.6999999993</v>
      </c>
      <c r="GI129" s="11">
        <v>203458.48</v>
      </c>
      <c r="GJ129" s="11">
        <v>82027.7</v>
      </c>
      <c r="GK129" s="11">
        <v>76598.44</v>
      </c>
      <c r="GL129" s="11">
        <v>53675.67</v>
      </c>
      <c r="GM129" s="11">
        <v>19300</v>
      </c>
      <c r="GN129" s="11">
        <v>0</v>
      </c>
      <c r="GO129" s="11">
        <v>10000</v>
      </c>
      <c r="GP129" s="11">
        <v>120000</v>
      </c>
      <c r="GQ129" s="11">
        <v>340409.76</v>
      </c>
      <c r="GR129" s="11">
        <v>107471</v>
      </c>
      <c r="GS129" s="11">
        <v>0</v>
      </c>
      <c r="GT129" s="11">
        <v>77344</v>
      </c>
      <c r="GU129" s="11">
        <v>24870</v>
      </c>
      <c r="GV129" s="11">
        <v>0</v>
      </c>
      <c r="GW129" s="11">
        <v>33675</v>
      </c>
      <c r="GX129" s="11">
        <v>198642.67</v>
      </c>
      <c r="GY129" s="11">
        <v>21300</v>
      </c>
      <c r="GZ129" s="11">
        <v>18006.53</v>
      </c>
      <c r="HA129" s="11">
        <v>2570056.35</v>
      </c>
      <c r="HB129" s="11">
        <v>24808</v>
      </c>
      <c r="HC129" s="11">
        <v>2388934.2999999998</v>
      </c>
      <c r="HD129" s="11">
        <v>1599947.08</v>
      </c>
      <c r="HE129" s="11">
        <v>12530403.449999999</v>
      </c>
      <c r="HF129" s="11">
        <v>1124939.1499999999</v>
      </c>
      <c r="HG129" s="11">
        <v>25500</v>
      </c>
      <c r="HH129" s="11">
        <v>311936.5</v>
      </c>
      <c r="HI129" s="11">
        <v>0</v>
      </c>
      <c r="HJ129" s="11"/>
      <c r="HK129" s="11">
        <v>1736473.91</v>
      </c>
      <c r="HL129" s="11">
        <v>0</v>
      </c>
      <c r="HM129" s="11">
        <v>2927949</v>
      </c>
      <c r="HN129" s="11"/>
      <c r="HO129" s="11">
        <v>4619.67</v>
      </c>
      <c r="HP129" s="11">
        <v>3660.69</v>
      </c>
      <c r="HQ129" s="11">
        <v>61.11</v>
      </c>
      <c r="HR129" s="11">
        <v>23249.41</v>
      </c>
      <c r="HS129" s="11">
        <v>3534859.53</v>
      </c>
      <c r="HT129" s="11">
        <v>101782.43</v>
      </c>
      <c r="HU129" s="11"/>
      <c r="HV129" s="11">
        <v>0</v>
      </c>
      <c r="HW129" s="11">
        <v>0</v>
      </c>
      <c r="HX129" s="11"/>
      <c r="HY129" s="11">
        <v>7496.6</v>
      </c>
      <c r="HZ129" s="11">
        <v>209618</v>
      </c>
      <c r="IA129" s="11"/>
      <c r="IB129" s="11"/>
      <c r="IC129" s="11">
        <v>0</v>
      </c>
      <c r="ID129" s="11">
        <v>0</v>
      </c>
      <c r="IE129" s="11">
        <v>239590</v>
      </c>
      <c r="IF129" s="11"/>
      <c r="IG129" s="11"/>
      <c r="IH129" s="11"/>
      <c r="II129" s="11">
        <v>254206.57</v>
      </c>
      <c r="IJ129" s="11">
        <v>1713901.76</v>
      </c>
      <c r="IK129" s="11">
        <v>175227.65</v>
      </c>
      <c r="IL129" s="11">
        <v>187.55</v>
      </c>
      <c r="IM129" s="11">
        <v>0</v>
      </c>
      <c r="IN129" s="11">
        <v>219208.02</v>
      </c>
      <c r="IO129" s="11"/>
      <c r="IP129" s="11">
        <v>101460</v>
      </c>
      <c r="IQ129" s="11">
        <v>420000</v>
      </c>
      <c r="IR129" s="11"/>
      <c r="IS129" s="11">
        <v>2800</v>
      </c>
      <c r="IT129" s="11">
        <v>626577.5</v>
      </c>
      <c r="IU129" s="11">
        <v>26024005.52</v>
      </c>
      <c r="IV129" s="11">
        <v>0</v>
      </c>
      <c r="IW129" s="11">
        <v>5288139</v>
      </c>
      <c r="IX129" s="11">
        <v>0</v>
      </c>
      <c r="IY129" s="11"/>
      <c r="IZ129" s="11"/>
      <c r="JA129" s="11">
        <v>0</v>
      </c>
      <c r="JB129" s="11">
        <v>2653947</v>
      </c>
      <c r="JC129" s="11">
        <v>16900</v>
      </c>
      <c r="JD129" s="11">
        <v>381625.09</v>
      </c>
      <c r="JE129" s="11">
        <v>0</v>
      </c>
      <c r="JF129" s="11">
        <v>871788.82</v>
      </c>
      <c r="JG129" s="11">
        <v>349944.18</v>
      </c>
      <c r="JH129" s="11">
        <v>3539.21</v>
      </c>
      <c r="JI129" s="11">
        <v>0</v>
      </c>
      <c r="JJ129" s="11"/>
      <c r="JK129" s="11">
        <v>445.36</v>
      </c>
      <c r="JL129" s="11">
        <v>3238885.22</v>
      </c>
      <c r="JM129" s="11">
        <v>3710580.51</v>
      </c>
      <c r="JN129" s="11">
        <v>13200</v>
      </c>
      <c r="JO129" s="11">
        <v>500387.2</v>
      </c>
      <c r="JP129" s="11">
        <v>1599</v>
      </c>
      <c r="JQ129" s="11">
        <v>12250</v>
      </c>
      <c r="JR129" s="11">
        <v>0</v>
      </c>
      <c r="JS129" s="11">
        <v>322000</v>
      </c>
      <c r="JT129" s="11">
        <v>0</v>
      </c>
      <c r="JU129" s="11">
        <v>29500</v>
      </c>
      <c r="JV129" s="11"/>
      <c r="JW129" s="11">
        <v>360450</v>
      </c>
      <c r="JX129" s="11">
        <v>300</v>
      </c>
      <c r="JY129" s="11">
        <v>0</v>
      </c>
      <c r="JZ129" s="11"/>
      <c r="KA129" s="11">
        <v>0</v>
      </c>
      <c r="KB129" s="11"/>
      <c r="KC129" s="11">
        <v>3687302.48</v>
      </c>
      <c r="KD129" s="11">
        <v>956.76</v>
      </c>
      <c r="KE129" s="11">
        <v>433559</v>
      </c>
      <c r="KF129" s="11">
        <v>0</v>
      </c>
      <c r="KG129" s="11">
        <v>0</v>
      </c>
      <c r="KH129" s="11">
        <v>62170.73</v>
      </c>
      <c r="KI129" s="11">
        <v>21794108.399999999</v>
      </c>
      <c r="KJ129" s="11">
        <v>0</v>
      </c>
      <c r="KK129" s="11">
        <v>1300.05</v>
      </c>
      <c r="KL129" s="11">
        <v>-51400</v>
      </c>
      <c r="KM129" s="11">
        <v>0</v>
      </c>
      <c r="KN129" s="11"/>
      <c r="KO129" s="11">
        <v>15000</v>
      </c>
      <c r="KP129" s="11">
        <v>0</v>
      </c>
      <c r="KQ129" s="11"/>
      <c r="KR129" s="11">
        <v>60000</v>
      </c>
      <c r="KS129" s="11"/>
      <c r="KT129" s="11">
        <v>11399.65</v>
      </c>
      <c r="KU129" s="11">
        <v>569143</v>
      </c>
      <c r="KV129" s="11">
        <v>312065</v>
      </c>
      <c r="KW129" s="11">
        <v>190500</v>
      </c>
      <c r="KX129" s="11"/>
      <c r="KY129" s="11">
        <v>300130.8</v>
      </c>
      <c r="KZ129" s="11">
        <v>16839378.620000001</v>
      </c>
      <c r="LA129" s="11"/>
      <c r="LB129" s="11">
        <v>0</v>
      </c>
      <c r="LC129" s="11"/>
      <c r="LD129" s="11"/>
      <c r="LE129" s="11"/>
      <c r="LF129" s="11">
        <v>0</v>
      </c>
      <c r="LG129" s="11">
        <v>110821.97</v>
      </c>
      <c r="LH129" s="11">
        <v>9468060</v>
      </c>
      <c r="LI129" s="11">
        <v>450</v>
      </c>
      <c r="LJ129" s="11">
        <v>60578.62</v>
      </c>
      <c r="LK129" s="11">
        <v>800</v>
      </c>
      <c r="LL129" s="11"/>
      <c r="LM129" s="11">
        <v>219068.46</v>
      </c>
      <c r="LN129" s="11"/>
      <c r="LO129" s="11">
        <v>160160</v>
      </c>
      <c r="LP129" s="11"/>
      <c r="LQ129" s="11"/>
      <c r="LR129" s="11">
        <v>10000</v>
      </c>
      <c r="LS129" s="11">
        <v>118500</v>
      </c>
      <c r="LT129" s="11"/>
      <c r="LU129" s="11"/>
      <c r="LV129" s="11">
        <v>3976594.06</v>
      </c>
      <c r="LW129" s="11">
        <v>230653</v>
      </c>
      <c r="LX129" s="11">
        <v>2985094</v>
      </c>
      <c r="LY129" s="11"/>
      <c r="LZ129" s="11"/>
      <c r="MA129" s="11">
        <v>3641597.59</v>
      </c>
      <c r="MB129" s="11">
        <v>2748947.65</v>
      </c>
      <c r="MC129" s="11"/>
      <c r="MD129" s="11">
        <v>0</v>
      </c>
      <c r="ME129" s="11">
        <v>52659.75</v>
      </c>
      <c r="MF129" s="11"/>
      <c r="MG129" s="11"/>
      <c r="MH129" s="11">
        <v>62201820.369999997</v>
      </c>
      <c r="MI129" s="11">
        <v>154700</v>
      </c>
      <c r="MJ129" s="11">
        <v>6749</v>
      </c>
      <c r="MK129" s="11">
        <v>0</v>
      </c>
      <c r="ML129" s="11">
        <v>0</v>
      </c>
      <c r="MM129" s="11">
        <v>7500</v>
      </c>
      <c r="MN129" s="11"/>
      <c r="MO129" s="11">
        <v>30629.39</v>
      </c>
      <c r="MP129" s="11">
        <v>148185</v>
      </c>
      <c r="MQ129" s="11">
        <v>0</v>
      </c>
      <c r="MR129" s="11">
        <v>41250</v>
      </c>
      <c r="MS129" s="11">
        <v>10526.87</v>
      </c>
      <c r="MT129" s="11">
        <v>79796295.469999999</v>
      </c>
      <c r="MU129" s="11"/>
      <c r="MV129" s="11"/>
      <c r="MW129" s="11"/>
      <c r="MX129" s="11">
        <v>762212</v>
      </c>
      <c r="MY129" s="11">
        <v>80948.210000000006</v>
      </c>
      <c r="MZ129" s="11">
        <v>520638.07</v>
      </c>
      <c r="NA129" s="11">
        <v>38119.99</v>
      </c>
      <c r="NB129" s="11">
        <v>203302.43</v>
      </c>
      <c r="NC129" s="11"/>
      <c r="ND129" s="11">
        <v>250972</v>
      </c>
      <c r="NE129" s="11">
        <v>21084659.73</v>
      </c>
      <c r="NF129" s="11">
        <v>0</v>
      </c>
      <c r="NG129" s="11">
        <v>0</v>
      </c>
      <c r="NH129" s="11">
        <v>0</v>
      </c>
      <c r="NI129" s="11">
        <v>20000</v>
      </c>
      <c r="NJ129" s="11"/>
      <c r="NK129" s="11">
        <v>16906.39</v>
      </c>
      <c r="NL129" s="11">
        <v>0</v>
      </c>
      <c r="NM129" s="11"/>
      <c r="NN129" s="11"/>
      <c r="NO129" s="11">
        <v>20000</v>
      </c>
      <c r="NP129" s="11"/>
      <c r="NQ129" s="11">
        <v>115300</v>
      </c>
      <c r="NR129" s="11"/>
      <c r="NS129" s="11"/>
      <c r="NT129" s="11">
        <v>26336.09</v>
      </c>
      <c r="NU129" s="11">
        <v>65530.55</v>
      </c>
      <c r="NV129" s="11"/>
      <c r="NW129" s="11">
        <v>1500000</v>
      </c>
      <c r="NX129" s="11">
        <v>15000</v>
      </c>
      <c r="NY129" s="11">
        <v>4616734.68</v>
      </c>
      <c r="NZ129" s="11">
        <v>278372</v>
      </c>
      <c r="OA129" s="11">
        <v>370300</v>
      </c>
      <c r="OB129" s="11">
        <v>0</v>
      </c>
      <c r="OC129" s="11">
        <v>860301.39</v>
      </c>
      <c r="OD129" s="11">
        <v>0</v>
      </c>
      <c r="OE129" s="11">
        <v>1709576.81</v>
      </c>
      <c r="OF129" s="11">
        <v>582264.80000000005</v>
      </c>
      <c r="OG129" s="11">
        <v>167062.82999999999</v>
      </c>
      <c r="OH129" s="11">
        <v>140000</v>
      </c>
      <c r="OI129" s="11"/>
      <c r="OJ129" s="11">
        <v>127312.63</v>
      </c>
      <c r="OK129" s="11">
        <v>1007656.1</v>
      </c>
      <c r="OL129" s="11">
        <v>85132.5</v>
      </c>
      <c r="OM129" s="11"/>
      <c r="ON129" s="11">
        <v>1924.75</v>
      </c>
      <c r="OO129" s="11"/>
      <c r="OP129" s="11">
        <v>20000</v>
      </c>
      <c r="OQ129" s="11">
        <v>160000</v>
      </c>
      <c r="OR129" s="11"/>
      <c r="OS129" s="11"/>
      <c r="OT129" s="11">
        <v>852706.34</v>
      </c>
      <c r="OU129" s="11">
        <v>325113.59000000003</v>
      </c>
      <c r="OV129" s="11">
        <v>449336.18</v>
      </c>
      <c r="OW129" s="11">
        <v>172250.5</v>
      </c>
      <c r="OX129" s="11">
        <v>61029.51</v>
      </c>
      <c r="OY129" s="11">
        <v>2198173.52</v>
      </c>
      <c r="OZ129" s="11">
        <v>2270715.39</v>
      </c>
      <c r="PA129" s="11">
        <v>123680</v>
      </c>
      <c r="PB129" s="11">
        <v>300962.86</v>
      </c>
      <c r="PC129" s="11">
        <v>5342445.6399999997</v>
      </c>
      <c r="PD129" s="11"/>
      <c r="PE129" s="11"/>
      <c r="PF129" s="11">
        <v>415.41</v>
      </c>
      <c r="PG129" s="11"/>
      <c r="PH129" s="11">
        <v>112400</v>
      </c>
      <c r="PI129" s="11"/>
      <c r="PJ129" s="11"/>
      <c r="PK129" s="11">
        <v>105292.6</v>
      </c>
      <c r="PL129" s="11"/>
      <c r="PM129" s="11"/>
      <c r="PN129" s="11">
        <v>212293</v>
      </c>
      <c r="PO129" s="11">
        <v>521145.68</v>
      </c>
      <c r="PP129" s="11">
        <v>230500</v>
      </c>
      <c r="PQ129" s="11">
        <v>2000000</v>
      </c>
      <c r="PR129" s="11"/>
      <c r="PS129" s="11">
        <v>1039</v>
      </c>
      <c r="PT129" s="11"/>
      <c r="PU129" s="11">
        <v>7325075.9299999997</v>
      </c>
      <c r="PV129" s="11"/>
      <c r="PW129" s="11"/>
      <c r="PX129" s="11"/>
      <c r="PY129" s="11">
        <v>142446</v>
      </c>
      <c r="PZ129" s="11">
        <v>50074.44</v>
      </c>
      <c r="QA129" s="11">
        <v>97299.75</v>
      </c>
      <c r="QB129" s="11">
        <v>101533.44</v>
      </c>
      <c r="QC129" s="11"/>
      <c r="QD129" s="11">
        <v>619625</v>
      </c>
      <c r="QE129" s="11"/>
      <c r="QF129" s="11">
        <v>1559.68</v>
      </c>
      <c r="QG129" s="11"/>
      <c r="QH129" s="11">
        <v>703960.3</v>
      </c>
      <c r="QI129" s="11"/>
      <c r="QJ129" s="11"/>
      <c r="QK129" s="11">
        <v>41000</v>
      </c>
      <c r="QL129" s="11">
        <v>0</v>
      </c>
      <c r="QM129" s="11"/>
      <c r="QN129" s="11"/>
      <c r="QO129" s="11">
        <v>937281.86</v>
      </c>
      <c r="QP129" s="11">
        <v>9810</v>
      </c>
      <c r="QQ129" s="11"/>
      <c r="QR129" s="11"/>
      <c r="QS129" s="11"/>
      <c r="QT129" s="11"/>
      <c r="QU129" s="11">
        <v>2127861.85</v>
      </c>
      <c r="QV129" s="11">
        <v>130945</v>
      </c>
      <c r="QW129" s="11">
        <v>0</v>
      </c>
      <c r="QX129" s="11">
        <v>72076</v>
      </c>
      <c r="QY129" s="11"/>
      <c r="QZ129" s="11"/>
      <c r="RA129" s="11">
        <v>0</v>
      </c>
      <c r="RB129" s="11"/>
      <c r="RC129" s="11"/>
      <c r="RD129" s="11">
        <v>155944</v>
      </c>
      <c r="RE129" s="11">
        <v>0</v>
      </c>
      <c r="RF129" s="11">
        <v>316</v>
      </c>
      <c r="RG129" s="11">
        <v>0</v>
      </c>
      <c r="RH129" s="11">
        <v>15298686.189999999</v>
      </c>
      <c r="RI129" s="11"/>
      <c r="RJ129" s="11">
        <v>0</v>
      </c>
      <c r="RK129" s="11">
        <v>177945</v>
      </c>
      <c r="RL129" s="11">
        <v>32315</v>
      </c>
      <c r="RM129" s="11"/>
      <c r="RN129" s="11"/>
      <c r="RO129" s="11">
        <v>10699.68</v>
      </c>
      <c r="RP129" s="11">
        <v>0</v>
      </c>
      <c r="RQ129" s="11">
        <v>28058.58</v>
      </c>
      <c r="RR129" s="11">
        <v>3261.38</v>
      </c>
      <c r="RS129" s="11"/>
      <c r="RT129" s="11">
        <v>0</v>
      </c>
      <c r="RU129" s="11"/>
      <c r="RV129" s="11"/>
      <c r="RW129" s="11"/>
      <c r="RX129" s="11"/>
      <c r="RY129" s="11">
        <v>0</v>
      </c>
      <c r="RZ129" s="11">
        <v>0</v>
      </c>
      <c r="SA129" s="11">
        <v>0</v>
      </c>
      <c r="SB129" s="11">
        <v>413973.66</v>
      </c>
      <c r="SC129" s="11">
        <v>2400</v>
      </c>
      <c r="SD129" s="11"/>
      <c r="SE129" s="11">
        <v>84500</v>
      </c>
      <c r="SF129" s="11">
        <v>0</v>
      </c>
      <c r="SG129" s="11">
        <v>0</v>
      </c>
      <c r="SH129" s="11">
        <v>117400</v>
      </c>
      <c r="SI129" s="11">
        <v>0</v>
      </c>
      <c r="SJ129" s="11"/>
      <c r="SK129" s="11"/>
      <c r="SL129" s="11">
        <v>204836.35</v>
      </c>
      <c r="SM129" s="11"/>
      <c r="SN129" s="11">
        <v>36743</v>
      </c>
      <c r="SO129" s="11">
        <v>0</v>
      </c>
      <c r="SP129" s="11">
        <v>0</v>
      </c>
      <c r="SQ129" s="11">
        <v>25000</v>
      </c>
      <c r="SR129" s="11"/>
      <c r="SS129" s="11">
        <v>-4817</v>
      </c>
      <c r="ST129" s="11">
        <v>74582</v>
      </c>
      <c r="SU129" s="11"/>
      <c r="SV129" s="11">
        <v>49051</v>
      </c>
      <c r="SW129" s="11">
        <v>22500</v>
      </c>
      <c r="SX129" s="11">
        <v>0</v>
      </c>
      <c r="SY129" s="11">
        <v>167962.25</v>
      </c>
      <c r="SZ129" s="11"/>
      <c r="TA129" s="11"/>
      <c r="TB129" s="11"/>
      <c r="TC129" s="11">
        <v>0</v>
      </c>
      <c r="TD129" s="11"/>
      <c r="TE129" s="11">
        <v>10000</v>
      </c>
      <c r="TF129" s="11"/>
      <c r="TG129" s="11"/>
      <c r="TH129" s="11"/>
      <c r="TI129" s="11">
        <v>12500</v>
      </c>
      <c r="TJ129" s="11">
        <v>3123305.6</v>
      </c>
      <c r="TK129" s="11">
        <v>0</v>
      </c>
      <c r="TL129" s="11"/>
      <c r="TM129" s="11"/>
      <c r="TN129" s="11"/>
      <c r="TO129" s="11">
        <v>0</v>
      </c>
      <c r="TP129" s="11"/>
      <c r="TQ129" s="11">
        <v>2770.12</v>
      </c>
      <c r="TR129" s="11">
        <v>14000</v>
      </c>
      <c r="TS129" s="11">
        <v>571.07000000000005</v>
      </c>
      <c r="TT129" s="11"/>
      <c r="TU129" s="11"/>
      <c r="TV129" s="11"/>
      <c r="TW129" s="11"/>
      <c r="TX129" s="11"/>
      <c r="TY129" s="11"/>
      <c r="TZ129" s="11">
        <v>0</v>
      </c>
      <c r="UA129" s="11">
        <v>2400</v>
      </c>
      <c r="UB129" s="11">
        <v>0</v>
      </c>
      <c r="UC129" s="11"/>
      <c r="UD129" s="11"/>
      <c r="UE129" s="11">
        <v>0</v>
      </c>
      <c r="UF129" s="11">
        <v>18655</v>
      </c>
      <c r="UG129" s="11">
        <v>0</v>
      </c>
      <c r="UH129" s="11">
        <v>0</v>
      </c>
      <c r="UI129" s="11"/>
      <c r="UJ129" s="11">
        <v>225000</v>
      </c>
      <c r="UK129" s="11"/>
      <c r="UL129" s="11">
        <v>291784</v>
      </c>
      <c r="UM129" s="11">
        <v>14445</v>
      </c>
      <c r="UN129" s="11">
        <v>0</v>
      </c>
      <c r="UO129" s="11">
        <v>19282</v>
      </c>
      <c r="UP129" s="11">
        <v>282605.09999999998</v>
      </c>
      <c r="UQ129" s="11">
        <v>26774038.25</v>
      </c>
      <c r="UR129" s="11">
        <v>0</v>
      </c>
      <c r="US129" s="11">
        <v>0</v>
      </c>
      <c r="UT129" s="11">
        <v>26495</v>
      </c>
      <c r="UU129" s="11">
        <v>0</v>
      </c>
      <c r="UV129" s="11">
        <v>9067</v>
      </c>
      <c r="UW129" s="11">
        <v>233700.46</v>
      </c>
      <c r="UX129" s="11">
        <v>56000</v>
      </c>
      <c r="UY129" s="11">
        <v>0</v>
      </c>
      <c r="UZ129" s="11">
        <v>0</v>
      </c>
      <c r="VA129" s="11">
        <v>431270.6</v>
      </c>
      <c r="VB129" s="11">
        <v>0</v>
      </c>
      <c r="VC129" s="11">
        <v>34850</v>
      </c>
      <c r="VD129" s="11">
        <v>37441.94</v>
      </c>
      <c r="VE129" s="11">
        <v>106718</v>
      </c>
      <c r="VF129" s="11">
        <v>0</v>
      </c>
      <c r="VG129" s="11">
        <v>100679.17</v>
      </c>
      <c r="VH129" s="11">
        <v>0</v>
      </c>
      <c r="VI129" s="11">
        <v>6535.57</v>
      </c>
      <c r="VJ129" s="11">
        <v>0</v>
      </c>
      <c r="VK129" s="11">
        <v>18100</v>
      </c>
      <c r="VL129" s="11">
        <v>906451</v>
      </c>
      <c r="VM129" s="11">
        <v>77589.710000000006</v>
      </c>
      <c r="VN129" s="11">
        <v>0</v>
      </c>
      <c r="VO129" s="11">
        <v>2940</v>
      </c>
      <c r="VP129" s="11">
        <v>280890</v>
      </c>
      <c r="VQ129" s="11">
        <v>8000</v>
      </c>
      <c r="VR129" s="11">
        <v>8239199.8200000003</v>
      </c>
      <c r="VS129" s="11">
        <v>173154.78</v>
      </c>
      <c r="VT129" s="11">
        <v>1146220</v>
      </c>
      <c r="VU129" s="11">
        <v>623120</v>
      </c>
      <c r="VV129" s="11">
        <v>400000</v>
      </c>
      <c r="VW129" s="11">
        <v>0</v>
      </c>
      <c r="VX129" s="11">
        <v>863720</v>
      </c>
      <c r="VY129" s="11">
        <v>3.99</v>
      </c>
      <c r="VZ129" s="11"/>
      <c r="WA129" s="11"/>
      <c r="WB129" s="11">
        <v>1684218.43</v>
      </c>
      <c r="WC129" s="11">
        <v>14826.81</v>
      </c>
      <c r="WD129" s="11">
        <v>1817994.75</v>
      </c>
      <c r="WE129" s="11">
        <v>0</v>
      </c>
      <c r="WF129" s="11"/>
      <c r="WG129" s="11">
        <v>329898</v>
      </c>
      <c r="WH129" s="11"/>
      <c r="WI129" s="11">
        <v>50953.84</v>
      </c>
      <c r="WJ129" s="11">
        <v>36020</v>
      </c>
      <c r="WK129" s="11">
        <v>515438.83</v>
      </c>
      <c r="WL129" s="11">
        <v>331422.40999999997</v>
      </c>
      <c r="WM129" s="11">
        <v>435030.65</v>
      </c>
      <c r="WN129" s="11">
        <v>24513.59</v>
      </c>
      <c r="WO129" s="11">
        <v>1774216.8</v>
      </c>
      <c r="WP129" s="11">
        <v>-5925</v>
      </c>
      <c r="WQ129" s="11">
        <v>0</v>
      </c>
      <c r="WR129" s="11">
        <v>4500</v>
      </c>
      <c r="WS129" s="11">
        <v>196828</v>
      </c>
      <c r="WT129" s="11">
        <v>157650</v>
      </c>
      <c r="WU129" s="11">
        <v>519961.5</v>
      </c>
      <c r="WV129" s="11">
        <v>15723836.630000001</v>
      </c>
      <c r="WW129" s="11">
        <v>125470</v>
      </c>
      <c r="WX129" s="11">
        <v>2000</v>
      </c>
      <c r="WY129" s="11">
        <v>26296.61</v>
      </c>
      <c r="WZ129" s="11">
        <v>165634.5</v>
      </c>
      <c r="XA129" s="11"/>
      <c r="XB129" s="11">
        <v>44800</v>
      </c>
      <c r="XC129" s="11">
        <v>16750</v>
      </c>
      <c r="XD129" s="11">
        <v>37500</v>
      </c>
      <c r="XE129" s="11">
        <v>97757.28</v>
      </c>
      <c r="XF129" s="11">
        <v>0</v>
      </c>
      <c r="XG129" s="11"/>
      <c r="XH129" s="11">
        <v>0</v>
      </c>
      <c r="XI129" s="11">
        <v>3191766.6</v>
      </c>
      <c r="XJ129" s="11">
        <v>20705</v>
      </c>
      <c r="XK129" s="11">
        <v>184110</v>
      </c>
      <c r="XL129" s="11">
        <v>1220988.52</v>
      </c>
      <c r="XM129" s="11">
        <v>485955</v>
      </c>
      <c r="XN129" s="11">
        <v>0</v>
      </c>
      <c r="XO129" s="11">
        <v>0</v>
      </c>
      <c r="XP129" s="11">
        <v>5200</v>
      </c>
      <c r="XQ129" s="11">
        <v>0</v>
      </c>
      <c r="XR129" s="11">
        <v>109172.72</v>
      </c>
      <c r="XS129" s="11">
        <v>598411.81000000006</v>
      </c>
      <c r="XT129" s="11">
        <v>0</v>
      </c>
      <c r="XU129" s="11">
        <v>2043.05</v>
      </c>
      <c r="XV129" s="11">
        <v>654375</v>
      </c>
      <c r="XW129" s="11">
        <v>429483.3</v>
      </c>
      <c r="XX129" s="11">
        <v>0</v>
      </c>
      <c r="XY129" s="11">
        <v>89255.75</v>
      </c>
      <c r="XZ129" s="11">
        <v>67480</v>
      </c>
      <c r="YA129" s="11">
        <v>0</v>
      </c>
      <c r="YB129" s="11">
        <v>0</v>
      </c>
      <c r="YC129" s="11">
        <v>39000</v>
      </c>
      <c r="YD129" s="11">
        <v>854010.27</v>
      </c>
      <c r="YE129" s="11">
        <v>0</v>
      </c>
      <c r="YF129" s="11">
        <v>6985407.6299999999</v>
      </c>
      <c r="YG129" s="11">
        <v>33650</v>
      </c>
      <c r="YH129" s="11"/>
      <c r="YI129" s="11">
        <v>31079.75</v>
      </c>
      <c r="YJ129" s="11">
        <v>2844477.85</v>
      </c>
      <c r="YK129" s="11">
        <v>142405</v>
      </c>
      <c r="YL129" s="11"/>
      <c r="YM129" s="11"/>
      <c r="YN129" s="11">
        <v>477512.4</v>
      </c>
      <c r="YO129" s="11">
        <v>0</v>
      </c>
      <c r="YP129" s="11"/>
      <c r="YQ129" s="11">
        <v>304066.75</v>
      </c>
      <c r="YR129" s="11">
        <v>59285.5</v>
      </c>
      <c r="YS129" s="11"/>
      <c r="YT129" s="11">
        <v>0</v>
      </c>
      <c r="YU129" s="11">
        <v>329921.38</v>
      </c>
      <c r="YV129" s="11">
        <v>226625</v>
      </c>
      <c r="YW129" s="11">
        <v>2916432.63</v>
      </c>
      <c r="YX129" s="11">
        <v>0</v>
      </c>
      <c r="YY129" s="11"/>
      <c r="YZ129" s="11">
        <v>0</v>
      </c>
      <c r="ZA129" s="11">
        <v>2134278</v>
      </c>
      <c r="ZB129" s="11">
        <v>306</v>
      </c>
      <c r="ZC129" s="11"/>
      <c r="ZD129" s="11">
        <v>344000</v>
      </c>
      <c r="ZE129" s="11"/>
      <c r="ZF129" s="11">
        <v>650</v>
      </c>
      <c r="ZG129" s="11"/>
      <c r="ZH129" s="11"/>
      <c r="ZI129" s="11"/>
      <c r="ZJ129" s="11">
        <v>7000</v>
      </c>
      <c r="ZK129" s="11"/>
      <c r="ZL129" s="11"/>
      <c r="ZM129" s="11">
        <v>600199.22</v>
      </c>
      <c r="ZN129" s="11"/>
      <c r="ZO129" s="11"/>
      <c r="ZP129" s="11">
        <v>4000</v>
      </c>
      <c r="ZQ129" s="11">
        <v>140750</v>
      </c>
      <c r="ZR129" s="11">
        <v>126000</v>
      </c>
      <c r="ZS129" s="11"/>
      <c r="ZT129" s="11">
        <v>295850</v>
      </c>
      <c r="ZU129" s="11">
        <v>452744.67</v>
      </c>
      <c r="ZV129" s="11">
        <v>186661</v>
      </c>
      <c r="ZW129" s="11">
        <v>72130.55</v>
      </c>
      <c r="ZX129" s="11">
        <v>121812.76</v>
      </c>
      <c r="ZY129" s="11">
        <v>129084.4</v>
      </c>
      <c r="ZZ129" s="11">
        <v>2040</v>
      </c>
      <c r="AAA129" s="11">
        <v>36105.800000000003</v>
      </c>
      <c r="AAB129" s="11"/>
      <c r="AAC129" s="11">
        <v>0</v>
      </c>
      <c r="AAD129" s="11"/>
      <c r="AAE129" s="11">
        <v>44450</v>
      </c>
      <c r="AAF129" s="11">
        <v>5700</v>
      </c>
      <c r="AAG129" s="11">
        <v>134973</v>
      </c>
      <c r="AAH129" s="11">
        <v>73950</v>
      </c>
      <c r="AAI129" s="11">
        <v>2783115.97</v>
      </c>
      <c r="AAJ129" s="11"/>
      <c r="AAK129" s="11">
        <v>1800</v>
      </c>
      <c r="AAL129" s="11">
        <v>340504</v>
      </c>
      <c r="AAM129" s="11">
        <v>23836</v>
      </c>
      <c r="AAN129" s="11">
        <v>729000</v>
      </c>
      <c r="AAO129" s="11">
        <v>148388</v>
      </c>
      <c r="AAP129" s="11">
        <v>40730509.189999998</v>
      </c>
      <c r="AAQ129" s="11">
        <v>103000</v>
      </c>
      <c r="AAR129" s="11">
        <v>263832.5</v>
      </c>
      <c r="AAS129" s="11">
        <v>195183</v>
      </c>
      <c r="AAT129" s="11">
        <v>0</v>
      </c>
      <c r="AAU129" s="11">
        <v>67900</v>
      </c>
      <c r="AAV129" s="11">
        <v>0</v>
      </c>
      <c r="AAW129" s="11">
        <v>0</v>
      </c>
      <c r="AAX129" s="11">
        <v>1470500.5</v>
      </c>
      <c r="AAY129" s="11">
        <v>86908</v>
      </c>
      <c r="AAZ129" s="11">
        <v>85900.09</v>
      </c>
      <c r="ABA129" s="11">
        <v>211600</v>
      </c>
      <c r="ABB129" s="11">
        <v>0</v>
      </c>
      <c r="ABC129" s="11">
        <v>389020.5</v>
      </c>
      <c r="ABD129" s="11">
        <v>26400</v>
      </c>
      <c r="ABE129" s="11"/>
      <c r="ABF129" s="11">
        <v>35863.39</v>
      </c>
      <c r="ABG129" s="11"/>
      <c r="ABH129" s="11">
        <v>551065.03</v>
      </c>
      <c r="ABI129" s="11">
        <v>1911721</v>
      </c>
      <c r="ABJ129" s="11">
        <v>349329.46</v>
      </c>
      <c r="ABK129" s="11">
        <v>386650</v>
      </c>
      <c r="ABL129" s="11">
        <v>406170.37</v>
      </c>
      <c r="ABM129" s="11">
        <v>0</v>
      </c>
      <c r="ABN129" s="11">
        <v>14000</v>
      </c>
      <c r="ABO129" s="11">
        <v>8545</v>
      </c>
      <c r="ABP129" s="11">
        <v>368023</v>
      </c>
      <c r="ABQ129" s="11">
        <v>0</v>
      </c>
      <c r="ABR129" s="11">
        <v>2550</v>
      </c>
      <c r="ABS129" s="11">
        <v>1823566.64</v>
      </c>
      <c r="ABT129" s="11">
        <v>180587</v>
      </c>
      <c r="ABU129" s="11">
        <v>89.64</v>
      </c>
      <c r="ABV129" s="11">
        <v>261419</v>
      </c>
      <c r="ABW129" s="11">
        <v>118215</v>
      </c>
      <c r="ABX129" s="11"/>
      <c r="ABY129" s="11">
        <v>507632.86</v>
      </c>
      <c r="ABZ129" s="11">
        <v>0</v>
      </c>
      <c r="ACA129" s="11">
        <v>0</v>
      </c>
      <c r="ACB129" s="11"/>
      <c r="ACC129" s="11">
        <v>123520</v>
      </c>
      <c r="ACD129" s="11">
        <v>215992</v>
      </c>
      <c r="ACE129" s="11">
        <v>7000</v>
      </c>
      <c r="ACF129" s="11">
        <v>0</v>
      </c>
      <c r="ACG129" s="11">
        <v>40079</v>
      </c>
      <c r="ACH129" s="11">
        <v>15000</v>
      </c>
      <c r="ACI129" s="11">
        <v>0</v>
      </c>
      <c r="ACJ129" s="11">
        <v>30722630.690000001</v>
      </c>
      <c r="ACK129" s="11">
        <v>180157</v>
      </c>
      <c r="ACL129" s="11"/>
      <c r="ACM129" s="11"/>
      <c r="ACN129" s="11">
        <v>24448.22</v>
      </c>
      <c r="ACO129" s="11">
        <v>0</v>
      </c>
      <c r="ACP129" s="11">
        <v>118957.25</v>
      </c>
      <c r="ACQ129" s="11">
        <v>0</v>
      </c>
      <c r="ACR129" s="11">
        <v>13430</v>
      </c>
      <c r="ACS129" s="11">
        <v>60060</v>
      </c>
      <c r="ACT129" s="11">
        <v>2153097.44</v>
      </c>
      <c r="ACU129" s="11"/>
      <c r="ACV129" s="11"/>
      <c r="ACW129" s="11">
        <v>0</v>
      </c>
      <c r="ACX129" s="11">
        <v>18910</v>
      </c>
      <c r="ACY129" s="11">
        <v>15075</v>
      </c>
      <c r="ACZ129" s="11">
        <v>0</v>
      </c>
      <c r="ADA129" s="11">
        <v>159370</v>
      </c>
      <c r="ADB129" s="11">
        <v>0</v>
      </c>
      <c r="ADC129" s="11">
        <v>1779863</v>
      </c>
      <c r="ADD129" s="11"/>
      <c r="ADE129" s="11">
        <v>439087.35999999999</v>
      </c>
      <c r="ADF129" s="11">
        <v>44322.1</v>
      </c>
      <c r="ADG129" s="11"/>
      <c r="ADH129" s="11">
        <v>687164.21</v>
      </c>
      <c r="ADI129" s="11">
        <v>14392.89</v>
      </c>
      <c r="ADJ129" s="11">
        <v>0</v>
      </c>
      <c r="ADK129" s="11"/>
      <c r="ADL129" s="11">
        <v>415463</v>
      </c>
      <c r="ADM129" s="11"/>
      <c r="ADN129" s="11">
        <v>0</v>
      </c>
      <c r="ADO129" s="11">
        <v>313170.65999999997</v>
      </c>
      <c r="ADP129" s="11">
        <v>311500</v>
      </c>
      <c r="ADQ129" s="11">
        <v>443197</v>
      </c>
      <c r="ADR129" s="11">
        <v>4381</v>
      </c>
      <c r="ADS129" s="11"/>
      <c r="ADT129" s="11">
        <v>804062.6</v>
      </c>
      <c r="ADU129" s="11">
        <v>0</v>
      </c>
      <c r="ADV129" s="11">
        <v>148096.79999999999</v>
      </c>
      <c r="ADW129" s="11">
        <v>963640.22</v>
      </c>
      <c r="ADX129" s="11">
        <v>23725.74</v>
      </c>
      <c r="ADY129" s="11">
        <v>48950</v>
      </c>
      <c r="ADZ129" s="11">
        <v>169818</v>
      </c>
      <c r="AEA129" s="11">
        <v>278548.46000000002</v>
      </c>
      <c r="AEB129" s="11">
        <v>0</v>
      </c>
      <c r="AEC129" s="11">
        <v>343927.36</v>
      </c>
      <c r="AED129" s="11">
        <v>646927.37</v>
      </c>
      <c r="AEE129" s="11">
        <v>0</v>
      </c>
      <c r="AEF129" s="11">
        <v>26065.05</v>
      </c>
      <c r="AEG129" s="11">
        <v>0</v>
      </c>
      <c r="AEH129" s="11">
        <v>40000</v>
      </c>
      <c r="AEI129" s="11"/>
      <c r="AEJ129" s="11">
        <v>550260.38</v>
      </c>
      <c r="AEK129" s="11">
        <v>0</v>
      </c>
      <c r="AEL129" s="11">
        <v>53273</v>
      </c>
      <c r="AEM129" s="11">
        <v>0</v>
      </c>
      <c r="AEN129" s="11">
        <v>17626</v>
      </c>
      <c r="AEO129" s="11"/>
      <c r="AEP129" s="11">
        <v>38500</v>
      </c>
      <c r="AEQ129" s="11"/>
      <c r="AER129" s="11">
        <v>283830.38</v>
      </c>
      <c r="AES129" s="11">
        <v>116555.17</v>
      </c>
      <c r="AET129" s="11">
        <v>28312903</v>
      </c>
      <c r="AEU129" s="11">
        <v>391720</v>
      </c>
      <c r="AEV129" s="11">
        <v>78729.070000000007</v>
      </c>
      <c r="AEW129" s="11">
        <v>22950</v>
      </c>
      <c r="AEX129" s="11"/>
      <c r="AEY129" s="11">
        <v>350966.3</v>
      </c>
      <c r="AEZ129" s="11">
        <v>24.45</v>
      </c>
      <c r="AFA129" s="11">
        <v>364886.58</v>
      </c>
      <c r="AFB129" s="11">
        <v>19977</v>
      </c>
      <c r="AFC129" s="11"/>
      <c r="AFD129" s="11">
        <v>6385910.8899999997</v>
      </c>
      <c r="AFE129" s="11">
        <v>446364.85</v>
      </c>
      <c r="AFF129" s="11">
        <v>0</v>
      </c>
      <c r="AFG129" s="11">
        <v>262103.72</v>
      </c>
      <c r="AFH129" s="11"/>
      <c r="AFI129" s="11">
        <v>3263671.74</v>
      </c>
      <c r="AFJ129" s="11">
        <v>0</v>
      </c>
      <c r="AFK129" s="11"/>
      <c r="AFL129" s="11">
        <v>-2175</v>
      </c>
      <c r="AFM129" s="11"/>
      <c r="AFN129" s="11">
        <v>148785</v>
      </c>
      <c r="AFO129" s="11">
        <v>343891.69</v>
      </c>
      <c r="AFP129" s="11">
        <v>77500</v>
      </c>
      <c r="AFQ129" s="11">
        <v>995156.36</v>
      </c>
      <c r="AFR129" s="11">
        <v>1847379.5</v>
      </c>
      <c r="AFS129" s="11"/>
      <c r="AFT129" s="11">
        <v>473296.62</v>
      </c>
      <c r="AFU129" s="11">
        <v>0</v>
      </c>
      <c r="AFV129" s="11">
        <v>26790.74</v>
      </c>
      <c r="AFW129" s="11">
        <v>21725</v>
      </c>
      <c r="AFX129" s="11">
        <v>0</v>
      </c>
      <c r="AFY129" s="11">
        <v>5606.83</v>
      </c>
      <c r="AFZ129" s="11"/>
      <c r="AGA129" s="11">
        <v>1881074.9</v>
      </c>
      <c r="AGB129" s="11">
        <v>4653</v>
      </c>
      <c r="AGC129" s="11">
        <v>942442.32</v>
      </c>
      <c r="AGD129" s="11">
        <v>7500</v>
      </c>
      <c r="AGE129" s="11">
        <v>431637.94</v>
      </c>
      <c r="AGF129" s="11"/>
      <c r="AGG129" s="11">
        <v>0</v>
      </c>
      <c r="AGH129" s="11"/>
      <c r="AGI129" s="11">
        <v>63725</v>
      </c>
      <c r="AGJ129" s="11">
        <v>97490</v>
      </c>
      <c r="AGK129" s="11">
        <v>172469.51</v>
      </c>
      <c r="AGL129" s="11">
        <v>39165.54</v>
      </c>
      <c r="AGM129" s="11">
        <v>528361.43000000005</v>
      </c>
      <c r="AGN129" s="11">
        <v>693694.88</v>
      </c>
      <c r="AGO129" s="11">
        <v>1263090.1100000001</v>
      </c>
      <c r="AGP129" s="11">
        <v>5269</v>
      </c>
      <c r="AGQ129" s="11">
        <v>27579.9</v>
      </c>
      <c r="AGR129" s="11">
        <v>0</v>
      </c>
      <c r="AGS129" s="11">
        <v>7219.26</v>
      </c>
      <c r="AGT129" s="11"/>
      <c r="AGU129" s="11"/>
      <c r="AGV129" s="11">
        <v>1333638.5</v>
      </c>
      <c r="AGW129" s="11">
        <v>1971416.67</v>
      </c>
      <c r="AGX129" s="11">
        <v>0</v>
      </c>
      <c r="AGY129" s="11">
        <v>102599.06</v>
      </c>
      <c r="AGZ129" s="11">
        <v>52900</v>
      </c>
      <c r="AHA129" s="11">
        <v>327858</v>
      </c>
      <c r="AHB129" s="11">
        <v>161204</v>
      </c>
      <c r="AHC129" s="11">
        <v>0</v>
      </c>
      <c r="AHD129" s="11"/>
      <c r="AHE129" s="11">
        <v>84366</v>
      </c>
      <c r="AHF129" s="11">
        <v>0</v>
      </c>
      <c r="AHG129" s="11">
        <v>18982.2</v>
      </c>
      <c r="AHH129" s="11">
        <v>14000</v>
      </c>
      <c r="AHI129" s="11">
        <v>286382.40999999997</v>
      </c>
      <c r="AHJ129" s="11">
        <v>0</v>
      </c>
      <c r="AHK129" s="11">
        <v>730563.73</v>
      </c>
      <c r="AHL129" s="11">
        <v>1101427.47</v>
      </c>
      <c r="AHM129" s="11">
        <v>1270235.07</v>
      </c>
      <c r="AHN129" s="11">
        <v>54.7</v>
      </c>
      <c r="AHO129" s="11">
        <v>0</v>
      </c>
      <c r="AHP129" s="11">
        <v>83065</v>
      </c>
      <c r="AHQ129" s="11">
        <v>0</v>
      </c>
      <c r="AHR129" s="11">
        <v>3949.76</v>
      </c>
      <c r="AHS129" s="11">
        <v>0</v>
      </c>
      <c r="AHT129" s="11">
        <v>913388850.53000021</v>
      </c>
      <c r="AHV129" s="269" t="s">
        <v>6278</v>
      </c>
      <c r="AHW129" s="269" t="s">
        <v>6198</v>
      </c>
      <c r="AHX129" s="269" t="s">
        <v>6199</v>
      </c>
    </row>
    <row r="130" spans="1:908" x14ac:dyDescent="0.7">
      <c r="A130" s="6" t="s">
        <v>6278</v>
      </c>
      <c r="B130" s="6" t="s">
        <v>6198</v>
      </c>
      <c r="C130" s="6" t="s">
        <v>6199</v>
      </c>
      <c r="D130" s="11"/>
      <c r="E130" s="11">
        <v>399752</v>
      </c>
      <c r="F130" s="11"/>
      <c r="G130" s="11"/>
      <c r="H130" s="11">
        <v>5357.5</v>
      </c>
      <c r="I130" s="11">
        <v>28542</v>
      </c>
      <c r="J130" s="11"/>
      <c r="K130" s="11">
        <v>112058</v>
      </c>
      <c r="L130" s="11">
        <v>61720</v>
      </c>
      <c r="M130" s="11">
        <v>28204.94</v>
      </c>
      <c r="N130" s="11"/>
      <c r="O130" s="11">
        <v>19200</v>
      </c>
      <c r="P130" s="11"/>
      <c r="Q130" s="11"/>
      <c r="R130" s="11"/>
      <c r="S130" s="11"/>
      <c r="T130" s="11"/>
      <c r="U130" s="11">
        <v>15657</v>
      </c>
      <c r="V130" s="11">
        <v>2838018</v>
      </c>
      <c r="W130" s="11"/>
      <c r="X130" s="11"/>
      <c r="Y130" s="11">
        <v>512967</v>
      </c>
      <c r="Z130" s="11"/>
      <c r="AA130" s="11">
        <v>34045</v>
      </c>
      <c r="AB130" s="11">
        <v>6760</v>
      </c>
      <c r="AC130" s="11"/>
      <c r="AD130" s="11">
        <v>45006</v>
      </c>
      <c r="AE130" s="11">
        <v>29700</v>
      </c>
      <c r="AF130" s="11"/>
      <c r="AG130" s="11"/>
      <c r="AH130" s="11">
        <v>710674</v>
      </c>
      <c r="AI130" s="11">
        <v>234224</v>
      </c>
      <c r="AJ130" s="11">
        <v>4000</v>
      </c>
      <c r="AK130" s="11">
        <v>36900</v>
      </c>
      <c r="AL130" s="11"/>
      <c r="AM130" s="11"/>
      <c r="AN130" s="11"/>
      <c r="AO130" s="11">
        <v>120985.72</v>
      </c>
      <c r="AP130" s="11">
        <v>284786</v>
      </c>
      <c r="AQ130" s="11"/>
      <c r="AR130" s="11">
        <v>46585</v>
      </c>
      <c r="AS130" s="11">
        <v>4404</v>
      </c>
      <c r="AT130" s="11">
        <v>453946.91</v>
      </c>
      <c r="AU130" s="11">
        <v>10995</v>
      </c>
      <c r="AV130" s="11">
        <v>39991</v>
      </c>
      <c r="AW130" s="11">
        <v>187807.22</v>
      </c>
      <c r="AX130" s="11">
        <v>7010</v>
      </c>
      <c r="AY130" s="11">
        <v>99344</v>
      </c>
      <c r="AZ130" s="11"/>
      <c r="BA130" s="11"/>
      <c r="BB130" s="11">
        <v>6153</v>
      </c>
      <c r="BC130" s="11">
        <v>127373</v>
      </c>
      <c r="BD130" s="11"/>
      <c r="BE130" s="11">
        <v>41475</v>
      </c>
      <c r="BF130" s="11">
        <v>8000</v>
      </c>
      <c r="BG130" s="11">
        <v>12075</v>
      </c>
      <c r="BH130" s="11"/>
      <c r="BI130" s="11"/>
      <c r="BJ130" s="11">
        <v>432107</v>
      </c>
      <c r="BK130" s="11">
        <v>76350</v>
      </c>
      <c r="BL130" s="11"/>
      <c r="BM130" s="11">
        <v>15800</v>
      </c>
      <c r="BN130" s="11">
        <v>131324</v>
      </c>
      <c r="BO130" s="11">
        <v>44500</v>
      </c>
      <c r="BP130" s="11"/>
      <c r="BQ130" s="11">
        <v>400</v>
      </c>
      <c r="BR130" s="11">
        <v>66595</v>
      </c>
      <c r="BS130" s="11">
        <v>2191</v>
      </c>
      <c r="BT130" s="11">
        <v>19300</v>
      </c>
      <c r="BU130" s="11"/>
      <c r="BV130" s="11">
        <v>20044</v>
      </c>
      <c r="BW130" s="11">
        <v>8847</v>
      </c>
      <c r="BX130" s="11">
        <v>8018</v>
      </c>
      <c r="BY130" s="11"/>
      <c r="BZ130" s="11">
        <v>632219.14</v>
      </c>
      <c r="CA130" s="11">
        <v>86215.28</v>
      </c>
      <c r="CB130" s="11">
        <v>6000</v>
      </c>
      <c r="CC130" s="11"/>
      <c r="CD130" s="11"/>
      <c r="CE130" s="11"/>
      <c r="CF130" s="11">
        <v>67502</v>
      </c>
      <c r="CG130" s="11">
        <v>731766</v>
      </c>
      <c r="CH130" s="11"/>
      <c r="CI130" s="11"/>
      <c r="CJ130" s="11"/>
      <c r="CK130" s="11"/>
      <c r="CL130" s="11"/>
      <c r="CM130" s="11"/>
      <c r="CN130" s="11">
        <v>5000</v>
      </c>
      <c r="CO130" s="11"/>
      <c r="CP130" s="11"/>
      <c r="CQ130" s="11"/>
      <c r="CR130" s="11"/>
      <c r="CS130" s="11"/>
      <c r="CT130" s="11"/>
      <c r="CU130" s="11"/>
      <c r="CV130" s="11">
        <v>0</v>
      </c>
      <c r="CW130" s="11">
        <v>225297</v>
      </c>
      <c r="CX130" s="11">
        <v>11660</v>
      </c>
      <c r="CY130" s="11">
        <v>2000</v>
      </c>
      <c r="CZ130" s="11"/>
      <c r="DA130" s="11">
        <v>30467</v>
      </c>
      <c r="DB130" s="11"/>
      <c r="DC130" s="11">
        <v>17136</v>
      </c>
      <c r="DD130" s="11"/>
      <c r="DE130" s="11"/>
      <c r="DF130" s="11"/>
      <c r="DG130" s="11"/>
      <c r="DH130" s="11"/>
      <c r="DI130" s="11"/>
      <c r="DJ130" s="11"/>
      <c r="DK130" s="11"/>
      <c r="DL130" s="11"/>
      <c r="DM130" s="11">
        <v>29500</v>
      </c>
      <c r="DN130" s="11"/>
      <c r="DO130" s="11"/>
      <c r="DP130" s="11"/>
      <c r="DQ130" s="11"/>
      <c r="DR130" s="11"/>
      <c r="DS130" s="11"/>
      <c r="DT130" s="11">
        <v>46000</v>
      </c>
      <c r="DU130" s="11"/>
      <c r="DV130" s="11"/>
      <c r="DW130" s="11">
        <v>37095</v>
      </c>
      <c r="DX130" s="11"/>
      <c r="DY130" s="11"/>
      <c r="DZ130" s="11">
        <v>13878</v>
      </c>
      <c r="EA130" s="11">
        <v>22595</v>
      </c>
      <c r="EB130" s="11">
        <v>32500</v>
      </c>
      <c r="EC130" s="11"/>
      <c r="ED130" s="11"/>
      <c r="EE130" s="11"/>
      <c r="EF130" s="11">
        <v>13400</v>
      </c>
      <c r="EG130" s="11"/>
      <c r="EH130" s="11"/>
      <c r="EI130" s="11">
        <v>500</v>
      </c>
      <c r="EJ130" s="11"/>
      <c r="EK130" s="11">
        <v>6061</v>
      </c>
      <c r="EL130" s="11"/>
      <c r="EM130" s="11"/>
      <c r="EN130" s="11"/>
      <c r="EO130" s="11"/>
      <c r="EP130" s="11"/>
      <c r="EQ130" s="11"/>
      <c r="ER130" s="11"/>
      <c r="ES130" s="11">
        <v>124612</v>
      </c>
      <c r="ET130" s="11">
        <v>111400</v>
      </c>
      <c r="EU130" s="11"/>
      <c r="EV130" s="11">
        <v>66973.75</v>
      </c>
      <c r="EW130" s="11">
        <v>134650</v>
      </c>
      <c r="EX130" s="11"/>
      <c r="EY130" s="11"/>
      <c r="EZ130" s="11"/>
      <c r="FA130" s="11"/>
      <c r="FB130" s="11"/>
      <c r="FC130" s="11"/>
      <c r="FD130" s="11"/>
      <c r="FE130" s="11"/>
      <c r="FF130" s="11">
        <v>36010</v>
      </c>
      <c r="FG130" s="11">
        <v>47431</v>
      </c>
      <c r="FH130" s="11"/>
      <c r="FI130" s="11"/>
      <c r="FJ130" s="11">
        <v>96172</v>
      </c>
      <c r="FK130" s="11">
        <v>30856</v>
      </c>
      <c r="FL130" s="11">
        <v>473334</v>
      </c>
      <c r="FM130" s="11">
        <v>31940</v>
      </c>
      <c r="FN130" s="11">
        <v>0</v>
      </c>
      <c r="FO130" s="11">
        <v>69310.25</v>
      </c>
      <c r="FP130" s="11">
        <v>2500</v>
      </c>
      <c r="FQ130" s="11"/>
      <c r="FR130" s="11">
        <v>72393</v>
      </c>
      <c r="FS130" s="11">
        <v>59919</v>
      </c>
      <c r="FT130" s="11">
        <v>600</v>
      </c>
      <c r="FU130" s="11">
        <v>370980</v>
      </c>
      <c r="FV130" s="11">
        <v>72387</v>
      </c>
      <c r="FW130" s="11">
        <v>489083</v>
      </c>
      <c r="FX130" s="11">
        <v>53240</v>
      </c>
      <c r="FY130" s="11">
        <v>65634</v>
      </c>
      <c r="FZ130" s="11">
        <v>64354</v>
      </c>
      <c r="GA130" s="11"/>
      <c r="GB130" s="11">
        <v>133183</v>
      </c>
      <c r="GC130" s="11"/>
      <c r="GD130" s="11">
        <v>44984</v>
      </c>
      <c r="GE130" s="11">
        <v>51703.75</v>
      </c>
      <c r="GF130" s="11"/>
      <c r="GG130" s="11"/>
      <c r="GH130" s="11">
        <v>-45101</v>
      </c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>
        <v>177399</v>
      </c>
      <c r="HA130" s="11">
        <v>31030.7</v>
      </c>
      <c r="HB130" s="11">
        <v>3980</v>
      </c>
      <c r="HC130" s="11">
        <v>241369</v>
      </c>
      <c r="HD130" s="11">
        <v>4675</v>
      </c>
      <c r="HE130" s="11"/>
      <c r="HF130" s="11">
        <v>191460.17</v>
      </c>
      <c r="HG130" s="11">
        <v>83048</v>
      </c>
      <c r="HH130" s="11">
        <v>6160</v>
      </c>
      <c r="HI130" s="11"/>
      <c r="HJ130" s="11"/>
      <c r="HK130" s="11">
        <v>23674</v>
      </c>
      <c r="HL130" s="11"/>
      <c r="HM130" s="11"/>
      <c r="HN130" s="11"/>
      <c r="HO130" s="11"/>
      <c r="HP130" s="11"/>
      <c r="HQ130" s="11"/>
      <c r="HR130" s="11"/>
      <c r="HS130" s="11"/>
      <c r="HT130" s="11"/>
      <c r="HU130" s="11">
        <v>427162</v>
      </c>
      <c r="HV130" s="11">
        <v>7602</v>
      </c>
      <c r="HW130" s="11"/>
      <c r="HX130" s="11"/>
      <c r="HY130" s="11"/>
      <c r="HZ130" s="11"/>
      <c r="IA130" s="11">
        <v>51439</v>
      </c>
      <c r="IB130" s="11"/>
      <c r="IC130" s="11"/>
      <c r="ID130" s="11"/>
      <c r="IE130" s="11"/>
      <c r="IF130" s="11">
        <v>48660</v>
      </c>
      <c r="IG130" s="11"/>
      <c r="IH130" s="11"/>
      <c r="II130" s="11"/>
      <c r="IJ130" s="11">
        <v>0</v>
      </c>
      <c r="IK130" s="11">
        <v>83193</v>
      </c>
      <c r="IL130" s="11">
        <v>9100</v>
      </c>
      <c r="IM130" s="11">
        <v>17281</v>
      </c>
      <c r="IN130" s="11">
        <v>59950</v>
      </c>
      <c r="IO130" s="11">
        <v>172292</v>
      </c>
      <c r="IP130" s="11">
        <v>17450</v>
      </c>
      <c r="IQ130" s="11">
        <v>29200</v>
      </c>
      <c r="IR130" s="11">
        <v>119420</v>
      </c>
      <c r="IS130" s="11">
        <v>2235</v>
      </c>
      <c r="IT130" s="11">
        <v>1129957</v>
      </c>
      <c r="IU130" s="11">
        <v>58988</v>
      </c>
      <c r="IV130" s="11"/>
      <c r="IW130" s="11">
        <v>619969</v>
      </c>
      <c r="IX130" s="11"/>
      <c r="IY130" s="11">
        <v>17000</v>
      </c>
      <c r="IZ130" s="11">
        <v>64241</v>
      </c>
      <c r="JA130" s="11"/>
      <c r="JB130" s="11"/>
      <c r="JC130" s="11"/>
      <c r="JD130" s="11">
        <v>9782</v>
      </c>
      <c r="JE130" s="11">
        <v>177328</v>
      </c>
      <c r="JF130" s="11"/>
      <c r="JG130" s="11"/>
      <c r="JH130" s="11">
        <v>5623</v>
      </c>
      <c r="JI130" s="11"/>
      <c r="JJ130" s="11"/>
      <c r="JK130" s="11"/>
      <c r="JL130" s="11">
        <v>176439.75</v>
      </c>
      <c r="JM130" s="11"/>
      <c r="JN130" s="11"/>
      <c r="JO130" s="11"/>
      <c r="JP130" s="11"/>
      <c r="JQ130" s="11"/>
      <c r="JR130" s="11"/>
      <c r="JS130" s="11"/>
      <c r="JT130" s="11"/>
      <c r="JU130" s="11"/>
      <c r="JV130" s="11">
        <v>14959.6</v>
      </c>
      <c r="JW130" s="11">
        <v>96724</v>
      </c>
      <c r="JX130" s="11">
        <v>0</v>
      </c>
      <c r="JY130" s="11">
        <v>536478</v>
      </c>
      <c r="JZ130" s="11"/>
      <c r="KA130" s="11"/>
      <c r="KB130" s="11">
        <v>0</v>
      </c>
      <c r="KC130" s="11">
        <v>24147</v>
      </c>
      <c r="KD130" s="11"/>
      <c r="KE130" s="11">
        <v>383684.57</v>
      </c>
      <c r="KF130" s="11">
        <v>6745</v>
      </c>
      <c r="KG130" s="11">
        <v>11480</v>
      </c>
      <c r="KH130" s="11">
        <v>172824</v>
      </c>
      <c r="KI130" s="11"/>
      <c r="KJ130" s="11"/>
      <c r="KK130" s="11"/>
      <c r="KL130" s="11"/>
      <c r="KM130" s="11"/>
      <c r="KN130" s="11"/>
      <c r="KO130" s="11"/>
      <c r="KP130" s="11"/>
      <c r="KQ130" s="11"/>
      <c r="KR130" s="11">
        <v>61753</v>
      </c>
      <c r="KS130" s="11">
        <v>49301</v>
      </c>
      <c r="KT130" s="11">
        <v>46143</v>
      </c>
      <c r="KU130" s="11"/>
      <c r="KV130" s="11">
        <v>201228.25</v>
      </c>
      <c r="KW130" s="11">
        <v>0</v>
      </c>
      <c r="KX130" s="11">
        <v>176457</v>
      </c>
      <c r="KY130" s="11">
        <v>1825</v>
      </c>
      <c r="KZ130" s="11">
        <v>5000</v>
      </c>
      <c r="LA130" s="11"/>
      <c r="LB130" s="11"/>
      <c r="LC130" s="11"/>
      <c r="LD130" s="11"/>
      <c r="LE130" s="11"/>
      <c r="LF130" s="11"/>
      <c r="LG130" s="11"/>
      <c r="LH130" s="11"/>
      <c r="LI130" s="11">
        <v>94856</v>
      </c>
      <c r="LJ130" s="11">
        <v>182668.47</v>
      </c>
      <c r="LK130" s="11">
        <v>234542.25</v>
      </c>
      <c r="LL130" s="11"/>
      <c r="LM130" s="11"/>
      <c r="LN130" s="11"/>
      <c r="LO130" s="11"/>
      <c r="LP130" s="11"/>
      <c r="LQ130" s="11"/>
      <c r="LR130" s="11">
        <v>4450</v>
      </c>
      <c r="LS130" s="11"/>
      <c r="LT130" s="11"/>
      <c r="LU130" s="11"/>
      <c r="LV130" s="11">
        <v>1910762.25</v>
      </c>
      <c r="LW130" s="11">
        <v>386000</v>
      </c>
      <c r="LX130" s="11"/>
      <c r="LY130" s="11">
        <v>88753</v>
      </c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>
        <v>134524.25</v>
      </c>
      <c r="MS130" s="11">
        <v>43012</v>
      </c>
      <c r="MT130" s="11">
        <v>233163</v>
      </c>
      <c r="MU130" s="11"/>
      <c r="MV130" s="11"/>
      <c r="MW130" s="11">
        <v>249553</v>
      </c>
      <c r="MX130" s="11"/>
      <c r="MY130" s="11"/>
      <c r="MZ130" s="11">
        <v>20104</v>
      </c>
      <c r="NA130" s="11"/>
      <c r="NB130" s="11">
        <v>35473</v>
      </c>
      <c r="NC130" s="11"/>
      <c r="ND130" s="11"/>
      <c r="NE130" s="11"/>
      <c r="NF130" s="11"/>
      <c r="NG130" s="11"/>
      <c r="NH130" s="11"/>
      <c r="NI130" s="11">
        <v>31466</v>
      </c>
      <c r="NJ130" s="11"/>
      <c r="NK130" s="11">
        <v>17807</v>
      </c>
      <c r="NL130" s="11"/>
      <c r="NM130" s="11"/>
      <c r="NN130" s="11"/>
      <c r="NO130" s="11"/>
      <c r="NP130" s="11"/>
      <c r="NQ130" s="11">
        <v>162914.9</v>
      </c>
      <c r="NR130" s="11">
        <v>29088</v>
      </c>
      <c r="NS130" s="11">
        <v>3502</v>
      </c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>
        <v>499884.5</v>
      </c>
      <c r="OF130" s="11">
        <v>326086.43</v>
      </c>
      <c r="OG130" s="11"/>
      <c r="OH130" s="11">
        <v>873706.05</v>
      </c>
      <c r="OI130" s="11">
        <v>68416</v>
      </c>
      <c r="OJ130" s="11"/>
      <c r="OK130" s="11">
        <v>459993.84</v>
      </c>
      <c r="OL130" s="11"/>
      <c r="OM130" s="11"/>
      <c r="ON130" s="11"/>
      <c r="OO130" s="11"/>
      <c r="OP130" s="11">
        <v>413504</v>
      </c>
      <c r="OQ130" s="11"/>
      <c r="OR130" s="11"/>
      <c r="OS130" s="11"/>
      <c r="OT130" s="11">
        <v>13000</v>
      </c>
      <c r="OU130" s="11"/>
      <c r="OV130" s="11"/>
      <c r="OW130" s="11">
        <v>36858</v>
      </c>
      <c r="OX130" s="11">
        <v>70635</v>
      </c>
      <c r="OY130" s="11"/>
      <c r="OZ130" s="11"/>
      <c r="PA130" s="11">
        <v>91956</v>
      </c>
      <c r="PB130" s="11"/>
      <c r="PC130" s="11">
        <v>365459</v>
      </c>
      <c r="PD130" s="11"/>
      <c r="PE130" s="11">
        <v>27050</v>
      </c>
      <c r="PF130" s="11"/>
      <c r="PG130" s="11">
        <v>0</v>
      </c>
      <c r="PH130" s="11">
        <v>138717</v>
      </c>
      <c r="PI130" s="11"/>
      <c r="PJ130" s="11">
        <v>12000</v>
      </c>
      <c r="PK130" s="11"/>
      <c r="PL130" s="11">
        <v>117003</v>
      </c>
      <c r="PM130" s="11">
        <v>31300</v>
      </c>
      <c r="PN130" s="11"/>
      <c r="PO130" s="11"/>
      <c r="PP130" s="11">
        <v>98714</v>
      </c>
      <c r="PQ130" s="11"/>
      <c r="PR130" s="11"/>
      <c r="PS130" s="11">
        <v>11500</v>
      </c>
      <c r="PT130" s="11"/>
      <c r="PU130" s="11"/>
      <c r="PV130" s="11">
        <v>43471</v>
      </c>
      <c r="PW130" s="11"/>
      <c r="PX130" s="11"/>
      <c r="PY130" s="11"/>
      <c r="PZ130" s="11">
        <v>58047</v>
      </c>
      <c r="QA130" s="11">
        <v>1250688</v>
      </c>
      <c r="QB130" s="11"/>
      <c r="QC130" s="11"/>
      <c r="QD130" s="11">
        <v>137161</v>
      </c>
      <c r="QE130" s="11">
        <v>6000</v>
      </c>
      <c r="QF130" s="11">
        <v>213936</v>
      </c>
      <c r="QG130" s="11">
        <v>81222</v>
      </c>
      <c r="QH130" s="11">
        <v>152746</v>
      </c>
      <c r="QI130" s="11">
        <v>213818</v>
      </c>
      <c r="QJ130" s="11"/>
      <c r="QK130" s="11">
        <v>19000</v>
      </c>
      <c r="QL130" s="11">
        <v>5439</v>
      </c>
      <c r="QM130" s="11"/>
      <c r="QN130" s="11">
        <v>587734.52</v>
      </c>
      <c r="QO130" s="11"/>
      <c r="QP130" s="11">
        <v>4785</v>
      </c>
      <c r="QQ130" s="11"/>
      <c r="QR130" s="11">
        <v>24178</v>
      </c>
      <c r="QS130" s="11"/>
      <c r="QT130" s="11"/>
      <c r="QU130" s="11">
        <v>747670</v>
      </c>
      <c r="QV130" s="11">
        <v>35803</v>
      </c>
      <c r="QW130" s="11">
        <v>18000</v>
      </c>
      <c r="QX130" s="11"/>
      <c r="QY130" s="11"/>
      <c r="QZ130" s="11">
        <v>241919</v>
      </c>
      <c r="RA130" s="11">
        <v>8100</v>
      </c>
      <c r="RB130" s="11"/>
      <c r="RC130" s="11">
        <v>31338</v>
      </c>
      <c r="RD130" s="11"/>
      <c r="RE130" s="11"/>
      <c r="RF130" s="11"/>
      <c r="RG130" s="11"/>
      <c r="RH130" s="11">
        <v>327395.25</v>
      </c>
      <c r="RI130" s="11">
        <v>85056</v>
      </c>
      <c r="RJ130" s="11">
        <v>57670</v>
      </c>
      <c r="RK130" s="11"/>
      <c r="RL130" s="11"/>
      <c r="RM130" s="11">
        <v>406793</v>
      </c>
      <c r="RN130" s="11">
        <v>561832</v>
      </c>
      <c r="RO130" s="11">
        <v>545571</v>
      </c>
      <c r="RP130" s="11"/>
      <c r="RQ130" s="11">
        <v>478693</v>
      </c>
      <c r="RR130" s="11">
        <v>107450</v>
      </c>
      <c r="RS130" s="11">
        <v>733398</v>
      </c>
      <c r="RT130" s="11">
        <v>1000</v>
      </c>
      <c r="RU130" s="11">
        <v>112268</v>
      </c>
      <c r="RV130" s="11"/>
      <c r="RW130" s="11">
        <v>447180</v>
      </c>
      <c r="RX130" s="11">
        <v>24500</v>
      </c>
      <c r="RY130" s="11">
        <v>139985</v>
      </c>
      <c r="RZ130" s="11">
        <v>86461</v>
      </c>
      <c r="SA130" s="11">
        <v>333828</v>
      </c>
      <c r="SB130" s="11">
        <v>50000</v>
      </c>
      <c r="SC130" s="11"/>
      <c r="SD130" s="11"/>
      <c r="SE130" s="11"/>
      <c r="SF130" s="11"/>
      <c r="SG130" s="11"/>
      <c r="SH130" s="11"/>
      <c r="SI130" s="11"/>
      <c r="SJ130" s="11"/>
      <c r="SK130" s="11">
        <v>32200</v>
      </c>
      <c r="SL130" s="11"/>
      <c r="SM130" s="11"/>
      <c r="SN130" s="11">
        <v>85340</v>
      </c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>
        <v>4000</v>
      </c>
      <c r="TK130" s="11"/>
      <c r="TL130" s="11"/>
      <c r="TM130" s="11"/>
      <c r="TN130" s="11"/>
      <c r="TO130" s="11"/>
      <c r="TP130" s="11"/>
      <c r="TQ130" s="11"/>
      <c r="TR130" s="11"/>
      <c r="TS130" s="11"/>
      <c r="TT130" s="11">
        <v>73191</v>
      </c>
      <c r="TU130" s="11"/>
      <c r="TV130" s="11"/>
      <c r="TW130" s="11">
        <v>19000</v>
      </c>
      <c r="TX130" s="11"/>
      <c r="TY130" s="11"/>
      <c r="TZ130" s="11"/>
      <c r="UA130" s="11"/>
      <c r="UB130" s="11"/>
      <c r="UC130" s="11"/>
      <c r="UD130" s="11"/>
      <c r="UE130" s="11"/>
      <c r="UF130" s="11">
        <v>212875</v>
      </c>
      <c r="UG130" s="11"/>
      <c r="UH130" s="11"/>
      <c r="UI130" s="11">
        <v>6400</v>
      </c>
      <c r="UJ130" s="11"/>
      <c r="UK130" s="11"/>
      <c r="UL130" s="11"/>
      <c r="UM130" s="11"/>
      <c r="UN130" s="11"/>
      <c r="UO130" s="11"/>
      <c r="UP130" s="11"/>
      <c r="UQ130" s="11"/>
      <c r="UR130" s="11">
        <v>8580</v>
      </c>
      <c r="US130" s="11"/>
      <c r="UT130" s="11"/>
      <c r="UU130" s="11"/>
      <c r="UV130" s="11">
        <v>14235</v>
      </c>
      <c r="UW130" s="11">
        <v>36374</v>
      </c>
      <c r="UX130" s="11">
        <v>12000</v>
      </c>
      <c r="UY130" s="11"/>
      <c r="UZ130" s="11">
        <v>47950</v>
      </c>
      <c r="VA130" s="11"/>
      <c r="VB130" s="11"/>
      <c r="VC130" s="11">
        <v>58870</v>
      </c>
      <c r="VD130" s="11"/>
      <c r="VE130" s="11"/>
      <c r="VF130" s="11">
        <v>22767</v>
      </c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>
        <v>929</v>
      </c>
      <c r="VT130" s="11"/>
      <c r="VU130" s="11">
        <v>303578.5</v>
      </c>
      <c r="VV130" s="11">
        <v>19656</v>
      </c>
      <c r="VW130" s="11">
        <v>16500</v>
      </c>
      <c r="VX130" s="11"/>
      <c r="VY130" s="11">
        <v>275281.76</v>
      </c>
      <c r="VZ130" s="11"/>
      <c r="WA130" s="11">
        <v>30920</v>
      </c>
      <c r="WB130" s="11"/>
      <c r="WC130" s="11">
        <v>1108897</v>
      </c>
      <c r="WD130" s="11">
        <v>193022.87</v>
      </c>
      <c r="WE130" s="11">
        <v>306129.36</v>
      </c>
      <c r="WF130" s="11"/>
      <c r="WG130" s="11">
        <v>69743</v>
      </c>
      <c r="WH130" s="11">
        <v>0</v>
      </c>
      <c r="WI130" s="11">
        <v>6000</v>
      </c>
      <c r="WJ130" s="11">
        <v>39381</v>
      </c>
      <c r="WK130" s="11"/>
      <c r="WL130" s="11"/>
      <c r="WM130" s="11">
        <v>28498</v>
      </c>
      <c r="WN130" s="11"/>
      <c r="WO130" s="11">
        <v>977967</v>
      </c>
      <c r="WP130" s="11">
        <v>28718</v>
      </c>
      <c r="WQ130" s="11">
        <v>5000</v>
      </c>
      <c r="WR130" s="11">
        <v>24200</v>
      </c>
      <c r="WS130" s="11"/>
      <c r="WT130" s="11">
        <v>166207.24</v>
      </c>
      <c r="WU130" s="11">
        <v>416928</v>
      </c>
      <c r="WV130" s="11">
        <v>216500</v>
      </c>
      <c r="WW130" s="11"/>
      <c r="WX130" s="11">
        <v>0</v>
      </c>
      <c r="WY130" s="11"/>
      <c r="WZ130" s="11">
        <v>209800</v>
      </c>
      <c r="XA130" s="11">
        <v>1413</v>
      </c>
      <c r="XB130" s="11"/>
      <c r="XC130" s="11">
        <v>22474</v>
      </c>
      <c r="XD130" s="11">
        <v>744016</v>
      </c>
      <c r="XE130" s="11">
        <v>834360.78</v>
      </c>
      <c r="XF130" s="11"/>
      <c r="XG130" s="11"/>
      <c r="XH130" s="11">
        <v>5000</v>
      </c>
      <c r="XI130" s="11">
        <v>262845.25</v>
      </c>
      <c r="XJ130" s="11"/>
      <c r="XK130" s="11">
        <v>53470</v>
      </c>
      <c r="XL130" s="11"/>
      <c r="XM130" s="11">
        <v>44000</v>
      </c>
      <c r="XN130" s="11">
        <v>304839</v>
      </c>
      <c r="XO130" s="11">
        <v>60015</v>
      </c>
      <c r="XP130" s="11">
        <v>43442</v>
      </c>
      <c r="XQ130" s="11"/>
      <c r="XR130" s="11">
        <v>3200</v>
      </c>
      <c r="XS130" s="11">
        <v>425869</v>
      </c>
      <c r="XT130" s="11">
        <v>69992</v>
      </c>
      <c r="XU130" s="11">
        <v>51159</v>
      </c>
      <c r="XV130" s="11">
        <v>96411</v>
      </c>
      <c r="XW130" s="11"/>
      <c r="XX130" s="11">
        <v>30395</v>
      </c>
      <c r="XY130" s="11">
        <v>14861</v>
      </c>
      <c r="XZ130" s="11">
        <v>900</v>
      </c>
      <c r="YA130" s="11"/>
      <c r="YB130" s="11">
        <v>79331</v>
      </c>
      <c r="YC130" s="11"/>
      <c r="YD130" s="11">
        <v>135282</v>
      </c>
      <c r="YE130" s="11">
        <v>4000</v>
      </c>
      <c r="YF130" s="11"/>
      <c r="YG130" s="11"/>
      <c r="YH130" s="11"/>
      <c r="YI130" s="11"/>
      <c r="YJ130" s="11">
        <v>2464</v>
      </c>
      <c r="YK130" s="11"/>
      <c r="YL130" s="11"/>
      <c r="YM130" s="11">
        <v>44830</v>
      </c>
      <c r="YN130" s="11"/>
      <c r="YO130" s="11"/>
      <c r="YP130" s="11"/>
      <c r="YQ130" s="11"/>
      <c r="YR130" s="11"/>
      <c r="YS130" s="11"/>
      <c r="YT130" s="11"/>
      <c r="YU130" s="11"/>
      <c r="YV130" s="11"/>
      <c r="YW130" s="11">
        <v>125491</v>
      </c>
      <c r="YX130" s="11">
        <v>122500</v>
      </c>
      <c r="YY130" s="11"/>
      <c r="YZ130" s="11"/>
      <c r="ZA130" s="11"/>
      <c r="ZB130" s="11"/>
      <c r="ZC130" s="11"/>
      <c r="ZD130" s="11"/>
      <c r="ZE130" s="11">
        <v>2200</v>
      </c>
      <c r="ZF130" s="11">
        <v>109602.5</v>
      </c>
      <c r="ZG130" s="11">
        <v>128885</v>
      </c>
      <c r="ZH130" s="11">
        <v>42347</v>
      </c>
      <c r="ZI130" s="11">
        <v>15185</v>
      </c>
      <c r="ZJ130" s="11">
        <v>60873</v>
      </c>
      <c r="ZK130" s="11">
        <v>152994</v>
      </c>
      <c r="ZL130" s="11"/>
      <c r="ZM130" s="11">
        <v>20483.5</v>
      </c>
      <c r="ZN130" s="11">
        <v>134636</v>
      </c>
      <c r="ZO130" s="11">
        <v>0</v>
      </c>
      <c r="ZP130" s="11">
        <v>208163</v>
      </c>
      <c r="ZQ130" s="11">
        <v>42144.5</v>
      </c>
      <c r="ZR130" s="11">
        <v>17565</v>
      </c>
      <c r="ZS130" s="11">
        <v>126561</v>
      </c>
      <c r="ZT130" s="11"/>
      <c r="ZU130" s="11">
        <v>443518</v>
      </c>
      <c r="ZV130" s="11">
        <v>228620</v>
      </c>
      <c r="ZW130" s="11">
        <v>43409.48</v>
      </c>
      <c r="ZX130" s="11">
        <v>66539</v>
      </c>
      <c r="ZY130" s="11">
        <v>73961</v>
      </c>
      <c r="ZZ130" s="11"/>
      <c r="AAA130" s="11">
        <v>86407.69</v>
      </c>
      <c r="AAB130" s="11">
        <v>272448.27</v>
      </c>
      <c r="AAC130" s="11"/>
      <c r="AAD130" s="11"/>
      <c r="AAE130" s="11">
        <v>107371</v>
      </c>
      <c r="AAF130" s="11">
        <v>17400</v>
      </c>
      <c r="AAG130" s="11">
        <v>33697</v>
      </c>
      <c r="AAH130" s="11">
        <v>52713</v>
      </c>
      <c r="AAI130" s="11">
        <v>442500</v>
      </c>
      <c r="AAJ130" s="11">
        <v>161107</v>
      </c>
      <c r="AAK130" s="11">
        <v>20704</v>
      </c>
      <c r="AAL130" s="11"/>
      <c r="AAM130" s="11">
        <v>19527</v>
      </c>
      <c r="AAN130" s="11">
        <v>85249</v>
      </c>
      <c r="AAO130" s="11"/>
      <c r="AAP130" s="11">
        <v>2119911.56</v>
      </c>
      <c r="AAQ130" s="11"/>
      <c r="AAR130" s="11"/>
      <c r="AAS130" s="11">
        <v>142425</v>
      </c>
      <c r="AAT130" s="11"/>
      <c r="AAU130" s="11"/>
      <c r="AAV130" s="11"/>
      <c r="AAW130" s="11"/>
      <c r="AAX130" s="11">
        <v>675288.35</v>
      </c>
      <c r="AAY130" s="11"/>
      <c r="AAZ130" s="11"/>
      <c r="ABA130" s="11"/>
      <c r="ABB130" s="11"/>
      <c r="ABC130" s="11"/>
      <c r="ABD130" s="11"/>
      <c r="ABE130" s="11">
        <v>45760.7</v>
      </c>
      <c r="ABF130" s="11"/>
      <c r="ABG130" s="11"/>
      <c r="ABH130" s="11"/>
      <c r="ABI130" s="11">
        <v>181456</v>
      </c>
      <c r="ABJ130" s="11"/>
      <c r="ABK130" s="11"/>
      <c r="ABL130" s="11"/>
      <c r="ABM130" s="11"/>
      <c r="ABN130" s="11"/>
      <c r="ABO130" s="11"/>
      <c r="ABP130" s="11">
        <v>458380</v>
      </c>
      <c r="ABQ130" s="11"/>
      <c r="ABR130" s="11"/>
      <c r="ABS130" s="11">
        <v>28000</v>
      </c>
      <c r="ABT130" s="11">
        <v>350</v>
      </c>
      <c r="ABU130" s="11">
        <v>32983</v>
      </c>
      <c r="ABV130" s="11"/>
      <c r="ABW130" s="11">
        <v>16056</v>
      </c>
      <c r="ABX130" s="11"/>
      <c r="ABY130" s="11">
        <v>536063.25</v>
      </c>
      <c r="ABZ130" s="11"/>
      <c r="ACA130" s="11"/>
      <c r="ACB130" s="11"/>
      <c r="ACC130" s="11">
        <v>49597</v>
      </c>
      <c r="ACD130" s="11">
        <v>334482</v>
      </c>
      <c r="ACE130" s="11">
        <v>76489</v>
      </c>
      <c r="ACF130" s="11"/>
      <c r="ACG130" s="11"/>
      <c r="ACH130" s="11">
        <v>30725.119999999999</v>
      </c>
      <c r="ACI130" s="11">
        <v>9275.39</v>
      </c>
      <c r="ACJ130" s="11">
        <v>483838</v>
      </c>
      <c r="ACK130" s="11"/>
      <c r="ACL130" s="11"/>
      <c r="ACM130" s="11"/>
      <c r="ACN130" s="11"/>
      <c r="ACO130" s="11"/>
      <c r="ACP130" s="11"/>
      <c r="ACQ130" s="11">
        <v>58765.75</v>
      </c>
      <c r="ACR130" s="11"/>
      <c r="ACS130" s="11"/>
      <c r="ACT130" s="11">
        <v>404987</v>
      </c>
      <c r="ACU130" s="11"/>
      <c r="ACV130" s="11">
        <v>242236</v>
      </c>
      <c r="ACW130" s="11"/>
      <c r="ACX130" s="11"/>
      <c r="ACY130" s="11"/>
      <c r="ACZ130" s="11"/>
      <c r="ADA130" s="11"/>
      <c r="ADB130" s="11">
        <v>445186</v>
      </c>
      <c r="ADC130" s="11">
        <v>149639</v>
      </c>
      <c r="ADD130" s="11"/>
      <c r="ADE130" s="11"/>
      <c r="ADF130" s="11"/>
      <c r="ADG130" s="11"/>
      <c r="ADH130" s="11">
        <v>138934.5</v>
      </c>
      <c r="ADI130" s="11">
        <v>153</v>
      </c>
      <c r="ADJ130" s="11">
        <v>76192.53</v>
      </c>
      <c r="ADK130" s="11">
        <v>101826.21</v>
      </c>
      <c r="ADL130" s="11">
        <v>71319</v>
      </c>
      <c r="ADM130" s="11">
        <v>358692.88</v>
      </c>
      <c r="ADN130" s="11">
        <v>81081</v>
      </c>
      <c r="ADO130" s="11">
        <v>90230</v>
      </c>
      <c r="ADP130" s="11">
        <v>2599483</v>
      </c>
      <c r="ADQ130" s="11">
        <v>484231</v>
      </c>
      <c r="ADR130" s="11"/>
      <c r="ADS130" s="11">
        <v>683048.32</v>
      </c>
      <c r="ADT130" s="11">
        <v>340915</v>
      </c>
      <c r="ADU130" s="11"/>
      <c r="ADV130" s="11">
        <v>38145</v>
      </c>
      <c r="ADW130" s="11">
        <v>48500</v>
      </c>
      <c r="ADX130" s="11">
        <v>4828.8999999999996</v>
      </c>
      <c r="ADY130" s="11"/>
      <c r="ADZ130" s="11">
        <v>884850</v>
      </c>
      <c r="AEA130" s="11"/>
      <c r="AEB130" s="11">
        <v>58759</v>
      </c>
      <c r="AEC130" s="11"/>
      <c r="AED130" s="11"/>
      <c r="AEE130" s="11"/>
      <c r="AEF130" s="11"/>
      <c r="AEG130" s="11"/>
      <c r="AEH130" s="11"/>
      <c r="AEI130" s="11">
        <v>42176</v>
      </c>
      <c r="AEJ130" s="11">
        <v>15179</v>
      </c>
      <c r="AEK130" s="11">
        <v>1000</v>
      </c>
      <c r="AEL130" s="11"/>
      <c r="AEM130" s="11"/>
      <c r="AEN130" s="11"/>
      <c r="AEO130" s="11"/>
      <c r="AEP130" s="11"/>
      <c r="AEQ130" s="11">
        <v>50873</v>
      </c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>
        <v>208965</v>
      </c>
      <c r="AFE130" s="11">
        <v>13056</v>
      </c>
      <c r="AFF130" s="11">
        <v>129896</v>
      </c>
      <c r="AFG130" s="11"/>
      <c r="AFH130" s="11">
        <v>2495</v>
      </c>
      <c r="AFI130" s="11"/>
      <c r="AFJ130" s="11">
        <v>24613</v>
      </c>
      <c r="AFK130" s="11"/>
      <c r="AFL130" s="11">
        <v>364</v>
      </c>
      <c r="AFM130" s="11">
        <v>40261</v>
      </c>
      <c r="AFN130" s="11"/>
      <c r="AFO130" s="11"/>
      <c r="AFP130" s="11">
        <v>26747</v>
      </c>
      <c r="AFQ130" s="11"/>
      <c r="AFR130" s="11">
        <v>853588</v>
      </c>
      <c r="AFS130" s="11"/>
      <c r="AFT130" s="11"/>
      <c r="AFU130" s="11">
        <v>9098</v>
      </c>
      <c r="AFV130" s="11"/>
      <c r="AFW130" s="11">
        <v>0</v>
      </c>
      <c r="AFX130" s="11"/>
      <c r="AFY130" s="11"/>
      <c r="AFZ130" s="11">
        <v>66322</v>
      </c>
      <c r="AGA130" s="11"/>
      <c r="AGB130" s="11"/>
      <c r="AGC130" s="11"/>
      <c r="AGD130" s="11">
        <v>23847</v>
      </c>
      <c r="AGE130" s="11"/>
      <c r="AGF130" s="11">
        <v>107602</v>
      </c>
      <c r="AGG130" s="11"/>
      <c r="AGH130" s="11">
        <v>140478.5</v>
      </c>
      <c r="AGI130" s="11"/>
      <c r="AGJ130" s="11"/>
      <c r="AGK130" s="11">
        <v>0</v>
      </c>
      <c r="AGL130" s="11"/>
      <c r="AGM130" s="11"/>
      <c r="AGN130" s="11">
        <v>30000</v>
      </c>
      <c r="AGO130" s="11">
        <v>81000</v>
      </c>
      <c r="AGP130" s="11">
        <v>129340</v>
      </c>
      <c r="AGQ130" s="11"/>
      <c r="AGR130" s="11">
        <v>84617.09</v>
      </c>
      <c r="AGS130" s="11"/>
      <c r="AGT130" s="11"/>
      <c r="AGU130" s="11"/>
      <c r="AGV130" s="11"/>
      <c r="AGW130" s="11">
        <v>327000</v>
      </c>
      <c r="AGX130" s="11"/>
      <c r="AGY130" s="11">
        <v>84988</v>
      </c>
      <c r="AGZ130" s="11"/>
      <c r="AHA130" s="11"/>
      <c r="AHB130" s="11">
        <v>146650</v>
      </c>
      <c r="AHC130" s="11">
        <v>280300</v>
      </c>
      <c r="AHD130" s="11">
        <v>1000</v>
      </c>
      <c r="AHE130" s="11"/>
      <c r="AHF130" s="11"/>
      <c r="AHG130" s="11">
        <v>68742</v>
      </c>
      <c r="AHH130" s="11">
        <v>130400</v>
      </c>
      <c r="AHI130" s="11">
        <v>39160</v>
      </c>
      <c r="AHJ130" s="11"/>
      <c r="AHK130" s="11"/>
      <c r="AHL130" s="11"/>
      <c r="AHM130" s="11">
        <v>65000</v>
      </c>
      <c r="AHN130" s="11">
        <v>10000</v>
      </c>
      <c r="AHO130" s="11">
        <v>600</v>
      </c>
      <c r="AHP130" s="11"/>
      <c r="AHQ130" s="11">
        <v>155917</v>
      </c>
      <c r="AHR130" s="11">
        <v>86033</v>
      </c>
      <c r="AHS130" s="11">
        <v>161419</v>
      </c>
      <c r="AHT130" s="11">
        <v>61927766.960000001</v>
      </c>
      <c r="AHV130" s="269" t="s">
        <v>6278</v>
      </c>
      <c r="AHW130" s="269" t="s">
        <v>6200</v>
      </c>
      <c r="AHX130" s="269" t="s">
        <v>6201</v>
      </c>
    </row>
    <row r="131" spans="1:908" x14ac:dyDescent="0.7">
      <c r="A131" s="6" t="s">
        <v>6278</v>
      </c>
      <c r="B131" s="6" t="s">
        <v>6200</v>
      </c>
      <c r="C131" s="6" t="s">
        <v>6201</v>
      </c>
      <c r="D131" s="11">
        <v>969077.97</v>
      </c>
      <c r="E131" s="11">
        <v>92179.05</v>
      </c>
      <c r="F131" s="11">
        <v>23086.32</v>
      </c>
      <c r="G131" s="11">
        <v>54787.34</v>
      </c>
      <c r="H131" s="11">
        <v>378520.01</v>
      </c>
      <c r="I131" s="11">
        <v>86832.8</v>
      </c>
      <c r="J131" s="11">
        <v>37854.06</v>
      </c>
      <c r="K131" s="11">
        <v>72998.11</v>
      </c>
      <c r="L131" s="11">
        <v>105030.76</v>
      </c>
      <c r="M131" s="11">
        <v>40650.19</v>
      </c>
      <c r="N131" s="11">
        <v>5464.9</v>
      </c>
      <c r="O131" s="11">
        <v>56040.57</v>
      </c>
      <c r="P131" s="11">
        <v>121489.65</v>
      </c>
      <c r="Q131" s="11">
        <v>17879.12</v>
      </c>
      <c r="R131" s="11">
        <v>39701.51</v>
      </c>
      <c r="S131" s="11">
        <v>115123.34</v>
      </c>
      <c r="T131" s="11">
        <v>132290.57</v>
      </c>
      <c r="U131" s="11">
        <v>46652.79</v>
      </c>
      <c r="V131" s="11"/>
      <c r="W131" s="11">
        <v>173790.92</v>
      </c>
      <c r="X131" s="11">
        <v>0</v>
      </c>
      <c r="Y131" s="11">
        <v>56436.63</v>
      </c>
      <c r="Z131" s="11">
        <v>83132.72</v>
      </c>
      <c r="AA131" s="11">
        <v>73784.820000000007</v>
      </c>
      <c r="AB131" s="11">
        <v>48877.15</v>
      </c>
      <c r="AC131" s="11">
        <v>333589.87</v>
      </c>
      <c r="AD131" s="11">
        <v>85458.240000000005</v>
      </c>
      <c r="AE131" s="11">
        <v>69051.42</v>
      </c>
      <c r="AF131" s="11">
        <v>310516.98</v>
      </c>
      <c r="AG131" s="11">
        <v>67230.36</v>
      </c>
      <c r="AH131" s="11">
        <v>476221.86</v>
      </c>
      <c r="AI131" s="11">
        <v>214439.98</v>
      </c>
      <c r="AJ131" s="11">
        <v>99757.04</v>
      </c>
      <c r="AK131" s="11">
        <v>24397.78</v>
      </c>
      <c r="AL131" s="11">
        <v>105468.45</v>
      </c>
      <c r="AM131" s="11">
        <v>58464.09</v>
      </c>
      <c r="AN131" s="11">
        <v>154623.54</v>
      </c>
      <c r="AO131" s="11">
        <v>82293.69</v>
      </c>
      <c r="AP131" s="11">
        <v>24046.7</v>
      </c>
      <c r="AQ131" s="11">
        <v>85416.29</v>
      </c>
      <c r="AR131" s="11">
        <v>88067.9</v>
      </c>
      <c r="AS131" s="11">
        <v>35524.769999999997</v>
      </c>
      <c r="AT131" s="11"/>
      <c r="AU131" s="11">
        <v>11142.71</v>
      </c>
      <c r="AV131" s="11">
        <v>8836.15</v>
      </c>
      <c r="AW131" s="11">
        <v>52054.3</v>
      </c>
      <c r="AX131" s="11">
        <v>47460.31</v>
      </c>
      <c r="AY131" s="11">
        <v>58277.97</v>
      </c>
      <c r="AZ131" s="11">
        <v>33070.230000000003</v>
      </c>
      <c r="BA131" s="11">
        <v>47628.800000000003</v>
      </c>
      <c r="BB131" s="11">
        <v>14383.33</v>
      </c>
      <c r="BC131" s="11">
        <v>25728.61</v>
      </c>
      <c r="BD131" s="11">
        <v>34865.61</v>
      </c>
      <c r="BE131" s="11">
        <v>74746.36</v>
      </c>
      <c r="BF131" s="11">
        <v>152947.85</v>
      </c>
      <c r="BG131" s="11">
        <v>16970.21</v>
      </c>
      <c r="BH131" s="11">
        <v>36797.339999999997</v>
      </c>
      <c r="BI131" s="11">
        <v>752814.19</v>
      </c>
      <c r="BJ131" s="11">
        <v>172220.614</v>
      </c>
      <c r="BK131" s="11">
        <v>84248.22</v>
      </c>
      <c r="BL131" s="11">
        <v>49901.16</v>
      </c>
      <c r="BM131" s="11">
        <v>107252.38</v>
      </c>
      <c r="BN131" s="11">
        <v>79348.850000000006</v>
      </c>
      <c r="BO131" s="11">
        <v>40216.769999999997</v>
      </c>
      <c r="BP131" s="11">
        <v>7681.64</v>
      </c>
      <c r="BQ131" s="11">
        <v>38707.019999999997</v>
      </c>
      <c r="BR131" s="11">
        <v>970142.45</v>
      </c>
      <c r="BS131" s="11">
        <v>148322.85</v>
      </c>
      <c r="BT131" s="11">
        <v>90431.21</v>
      </c>
      <c r="BU131" s="11">
        <v>167998.16</v>
      </c>
      <c r="BV131" s="11">
        <v>133723.76</v>
      </c>
      <c r="BW131" s="11">
        <v>80224.649999999994</v>
      </c>
      <c r="BX131" s="11">
        <v>51896.91</v>
      </c>
      <c r="BY131" s="11">
        <v>0</v>
      </c>
      <c r="BZ131" s="11">
        <v>128317.41</v>
      </c>
      <c r="CA131" s="11">
        <v>22038.18</v>
      </c>
      <c r="CB131" s="11">
        <v>0</v>
      </c>
      <c r="CC131" s="11">
        <v>31706.86</v>
      </c>
      <c r="CD131" s="11">
        <v>3859.37</v>
      </c>
      <c r="CE131" s="11">
        <v>0</v>
      </c>
      <c r="CF131" s="11">
        <v>0</v>
      </c>
      <c r="CG131" s="11">
        <v>6540.76</v>
      </c>
      <c r="CH131" s="11">
        <v>55942.8</v>
      </c>
      <c r="CI131" s="11">
        <v>155538.12</v>
      </c>
      <c r="CJ131" s="11">
        <v>75260.7</v>
      </c>
      <c r="CK131" s="11">
        <v>83954.69</v>
      </c>
      <c r="CL131" s="11">
        <v>45371.94</v>
      </c>
      <c r="CM131" s="11">
        <v>40144.58</v>
      </c>
      <c r="CN131" s="11">
        <v>102788.5</v>
      </c>
      <c r="CO131" s="11">
        <v>32986.300000000003</v>
      </c>
      <c r="CP131" s="11">
        <v>109018.38</v>
      </c>
      <c r="CQ131" s="11">
        <v>24005.48</v>
      </c>
      <c r="CR131" s="11">
        <v>53593.5</v>
      </c>
      <c r="CS131" s="11">
        <v>51337.42</v>
      </c>
      <c r="CT131" s="11">
        <v>100632.56</v>
      </c>
      <c r="CU131" s="11">
        <v>22253.15</v>
      </c>
      <c r="CV131" s="11">
        <v>77037.679999999993</v>
      </c>
      <c r="CW131" s="11">
        <v>30312.9</v>
      </c>
      <c r="CX131" s="11">
        <v>10768.22</v>
      </c>
      <c r="CY131" s="11">
        <v>48838.49</v>
      </c>
      <c r="CZ131" s="11">
        <v>32719.86</v>
      </c>
      <c r="DA131" s="11">
        <v>53916.58</v>
      </c>
      <c r="DB131" s="11">
        <v>493213.27</v>
      </c>
      <c r="DC131" s="11">
        <v>548343.68000000005</v>
      </c>
      <c r="DD131" s="11">
        <v>64071.07</v>
      </c>
      <c r="DE131" s="11">
        <v>53500.99</v>
      </c>
      <c r="DF131" s="11">
        <v>205590.93</v>
      </c>
      <c r="DG131" s="11">
        <v>55046.01</v>
      </c>
      <c r="DH131" s="11">
        <v>57260.22</v>
      </c>
      <c r="DI131" s="11">
        <v>24739.42</v>
      </c>
      <c r="DJ131" s="11">
        <v>36216.730000000003</v>
      </c>
      <c r="DK131" s="11">
        <v>11949.48</v>
      </c>
      <c r="DL131" s="11">
        <v>48407.34</v>
      </c>
      <c r="DM131" s="11">
        <v>76616.73</v>
      </c>
      <c r="DN131" s="11">
        <v>39105.85</v>
      </c>
      <c r="DO131" s="11">
        <v>147695.64000000001</v>
      </c>
      <c r="DP131" s="11">
        <v>67141.279999999999</v>
      </c>
      <c r="DQ131" s="11">
        <v>63277.37</v>
      </c>
      <c r="DR131" s="11">
        <v>31028.16</v>
      </c>
      <c r="DS131" s="11">
        <v>141070.42000000001</v>
      </c>
      <c r="DT131" s="11"/>
      <c r="DU131" s="11">
        <v>167761.39000000001</v>
      </c>
      <c r="DV131" s="11">
        <v>282103.33</v>
      </c>
      <c r="DW131" s="11"/>
      <c r="DX131" s="11">
        <v>77864.88</v>
      </c>
      <c r="DY131" s="11">
        <v>127693.15</v>
      </c>
      <c r="DZ131" s="11">
        <v>96180.95</v>
      </c>
      <c r="EA131" s="11">
        <v>31597.78</v>
      </c>
      <c r="EB131" s="11">
        <v>49123.02</v>
      </c>
      <c r="EC131" s="11">
        <v>29900.87</v>
      </c>
      <c r="ED131" s="11">
        <v>119922.28</v>
      </c>
      <c r="EE131" s="11">
        <v>63638.720000000001</v>
      </c>
      <c r="EF131" s="11">
        <v>282049.37</v>
      </c>
      <c r="EG131" s="11">
        <v>40782.050000000003</v>
      </c>
      <c r="EH131" s="11">
        <v>90164.55</v>
      </c>
      <c r="EI131" s="11">
        <v>65359.75</v>
      </c>
      <c r="EJ131" s="11">
        <v>84406.71</v>
      </c>
      <c r="EK131" s="11">
        <v>64030.19</v>
      </c>
      <c r="EL131" s="11">
        <v>42635.71</v>
      </c>
      <c r="EM131" s="11">
        <v>34404.120000000003</v>
      </c>
      <c r="EN131" s="11">
        <v>15533.11</v>
      </c>
      <c r="EO131" s="11">
        <v>111550.79</v>
      </c>
      <c r="EP131" s="11">
        <v>41281.11</v>
      </c>
      <c r="EQ131" s="11">
        <v>55638.31</v>
      </c>
      <c r="ER131" s="11">
        <v>39520.82</v>
      </c>
      <c r="ES131" s="11">
        <v>12988.65</v>
      </c>
      <c r="ET131" s="11">
        <v>89732.65</v>
      </c>
      <c r="EU131" s="11">
        <v>141825.57</v>
      </c>
      <c r="EV131" s="11">
        <v>300948.08</v>
      </c>
      <c r="EW131" s="11">
        <v>303270.8</v>
      </c>
      <c r="EX131" s="11">
        <v>10139.25</v>
      </c>
      <c r="EY131" s="11">
        <v>46056.11</v>
      </c>
      <c r="EZ131" s="11">
        <v>165244.24</v>
      </c>
      <c r="FA131" s="11">
        <v>85328.960000000006</v>
      </c>
      <c r="FB131" s="11">
        <v>94890.98</v>
      </c>
      <c r="FC131" s="11">
        <v>93335</v>
      </c>
      <c r="FD131" s="11">
        <v>63621.09</v>
      </c>
      <c r="FE131" s="11">
        <v>46250.73</v>
      </c>
      <c r="FF131" s="11">
        <v>57875.49</v>
      </c>
      <c r="FG131" s="11">
        <v>37509.660000000003</v>
      </c>
      <c r="FH131" s="11">
        <v>64542.04</v>
      </c>
      <c r="FI131" s="11">
        <v>12974.31</v>
      </c>
      <c r="FJ131" s="11">
        <v>16491.009999999998</v>
      </c>
      <c r="FK131" s="11">
        <v>17678.419999999998</v>
      </c>
      <c r="FL131" s="11"/>
      <c r="FM131" s="11">
        <v>22614.01</v>
      </c>
      <c r="FN131" s="11">
        <v>53708.76</v>
      </c>
      <c r="FO131" s="11">
        <v>12144.44</v>
      </c>
      <c r="FP131" s="11">
        <v>10303.51</v>
      </c>
      <c r="FQ131" s="11">
        <v>152642.91</v>
      </c>
      <c r="FR131" s="11">
        <v>54749.74</v>
      </c>
      <c r="FS131" s="11">
        <v>46228.78</v>
      </c>
      <c r="FT131" s="11">
        <v>73362.13</v>
      </c>
      <c r="FU131" s="11">
        <v>99173.51</v>
      </c>
      <c r="FV131" s="11">
        <v>45665.45</v>
      </c>
      <c r="FW131" s="11">
        <v>56195.17</v>
      </c>
      <c r="FX131" s="11">
        <v>74477.490000000005</v>
      </c>
      <c r="FY131" s="11">
        <v>97778.7</v>
      </c>
      <c r="FZ131" s="11">
        <v>136352.15</v>
      </c>
      <c r="GA131" s="11">
        <v>117717.88</v>
      </c>
      <c r="GB131" s="11">
        <v>63882.6</v>
      </c>
      <c r="GC131" s="11">
        <v>74831.929999999993</v>
      </c>
      <c r="GD131" s="11">
        <v>39665.93</v>
      </c>
      <c r="GE131" s="11">
        <v>34515.69</v>
      </c>
      <c r="GF131" s="11">
        <v>49038.66</v>
      </c>
      <c r="GG131" s="11">
        <v>28346.959999999999</v>
      </c>
      <c r="GH131" s="11">
        <v>105251.83</v>
      </c>
      <c r="GI131" s="11">
        <v>96644.47</v>
      </c>
      <c r="GJ131" s="11">
        <v>57520.78</v>
      </c>
      <c r="GK131" s="11">
        <v>32453.07</v>
      </c>
      <c r="GL131" s="11">
        <v>54192.52</v>
      </c>
      <c r="GM131" s="11">
        <v>34442.22</v>
      </c>
      <c r="GN131" s="11">
        <v>17447</v>
      </c>
      <c r="GO131" s="11">
        <v>14034.6</v>
      </c>
      <c r="GP131" s="11">
        <v>18641.810000000001</v>
      </c>
      <c r="GQ131" s="11">
        <v>180707.74</v>
      </c>
      <c r="GR131" s="11">
        <v>78835.16</v>
      </c>
      <c r="GS131" s="11">
        <v>35256.589999999997</v>
      </c>
      <c r="GT131" s="11">
        <v>155626.68</v>
      </c>
      <c r="GU131" s="11">
        <v>4835.08</v>
      </c>
      <c r="GV131" s="11">
        <v>48213.97</v>
      </c>
      <c r="GW131" s="11">
        <v>36223.94</v>
      </c>
      <c r="GX131" s="11">
        <v>6449.26</v>
      </c>
      <c r="GY131" s="11">
        <v>363683.71</v>
      </c>
      <c r="GZ131" s="11">
        <v>14085.73</v>
      </c>
      <c r="HA131" s="11">
        <v>44678.05</v>
      </c>
      <c r="HB131" s="11">
        <v>42387.48</v>
      </c>
      <c r="HC131" s="11">
        <v>1151648.23</v>
      </c>
      <c r="HD131" s="11">
        <v>895071.8</v>
      </c>
      <c r="HE131" s="11">
        <v>180668.43</v>
      </c>
      <c r="HF131" s="11">
        <v>225946.93</v>
      </c>
      <c r="HG131" s="11">
        <v>122805.71</v>
      </c>
      <c r="HH131" s="11">
        <v>147090.54</v>
      </c>
      <c r="HI131" s="11">
        <v>38099.33</v>
      </c>
      <c r="HJ131" s="11"/>
      <c r="HK131" s="11">
        <v>481235.81</v>
      </c>
      <c r="HL131" s="11">
        <v>54654</v>
      </c>
      <c r="HM131" s="11">
        <v>240927.08</v>
      </c>
      <c r="HN131" s="11">
        <v>97366.57</v>
      </c>
      <c r="HO131" s="11">
        <v>27727.16</v>
      </c>
      <c r="HP131" s="11">
        <v>36491.71</v>
      </c>
      <c r="HQ131" s="11">
        <v>44467.68</v>
      </c>
      <c r="HR131" s="11">
        <v>44794.89</v>
      </c>
      <c r="HS131" s="11">
        <v>62006.57</v>
      </c>
      <c r="HT131" s="11">
        <v>55605.14</v>
      </c>
      <c r="HU131" s="11">
        <v>0</v>
      </c>
      <c r="HV131" s="11">
        <v>8457.9500000000007</v>
      </c>
      <c r="HW131" s="11">
        <v>29170.09</v>
      </c>
      <c r="HX131" s="11">
        <v>55027.07</v>
      </c>
      <c r="HY131" s="11">
        <v>176553.23</v>
      </c>
      <c r="HZ131" s="11">
        <v>26048.13</v>
      </c>
      <c r="IA131" s="11">
        <v>19256.09</v>
      </c>
      <c r="IB131" s="11">
        <v>19595.05</v>
      </c>
      <c r="IC131" s="11">
        <v>18959.580000000002</v>
      </c>
      <c r="ID131" s="11">
        <v>53511.72</v>
      </c>
      <c r="IE131" s="11">
        <v>7119.6</v>
      </c>
      <c r="IF131" s="11">
        <v>134348.19</v>
      </c>
      <c r="IG131" s="11">
        <v>20583.900000000001</v>
      </c>
      <c r="IH131" s="11">
        <v>13108.14</v>
      </c>
      <c r="II131" s="11">
        <v>166831.84</v>
      </c>
      <c r="IJ131" s="11">
        <v>3016.53</v>
      </c>
      <c r="IK131" s="11">
        <v>0</v>
      </c>
      <c r="IL131" s="11">
        <v>54613.82</v>
      </c>
      <c r="IM131" s="11">
        <v>155168.07</v>
      </c>
      <c r="IN131" s="11">
        <v>32887.43</v>
      </c>
      <c r="IO131" s="11">
        <v>33923</v>
      </c>
      <c r="IP131" s="11">
        <v>13902.64</v>
      </c>
      <c r="IQ131" s="11">
        <v>29875.3</v>
      </c>
      <c r="IR131" s="11">
        <v>0</v>
      </c>
      <c r="IS131" s="11">
        <v>28634.09</v>
      </c>
      <c r="IT131" s="11">
        <v>432117.45</v>
      </c>
      <c r="IU131" s="11">
        <v>22737.27</v>
      </c>
      <c r="IV131" s="11">
        <v>97697.97</v>
      </c>
      <c r="IW131" s="11">
        <v>38388.61</v>
      </c>
      <c r="IX131" s="11">
        <v>167348.48000000001</v>
      </c>
      <c r="IY131" s="11">
        <v>16077.3</v>
      </c>
      <c r="IZ131" s="11">
        <v>15454.3</v>
      </c>
      <c r="JA131" s="11">
        <v>24372.71</v>
      </c>
      <c r="JB131" s="11">
        <v>36203.5</v>
      </c>
      <c r="JC131" s="11">
        <v>16982.48</v>
      </c>
      <c r="JD131" s="11">
        <v>0</v>
      </c>
      <c r="JE131" s="11">
        <v>27054.34</v>
      </c>
      <c r="JF131" s="11">
        <v>53144.51</v>
      </c>
      <c r="JG131" s="11"/>
      <c r="JH131" s="11">
        <v>25230.43</v>
      </c>
      <c r="JI131" s="11">
        <v>25319.13</v>
      </c>
      <c r="JJ131" s="11">
        <v>25761.94</v>
      </c>
      <c r="JK131" s="11">
        <v>21016.53</v>
      </c>
      <c r="JL131" s="11">
        <v>252868.83</v>
      </c>
      <c r="JM131" s="11">
        <v>29748.92</v>
      </c>
      <c r="JN131" s="11">
        <v>27219.11</v>
      </c>
      <c r="JO131" s="11">
        <v>104645.83</v>
      </c>
      <c r="JP131" s="11">
        <v>31248.04</v>
      </c>
      <c r="JQ131" s="11">
        <v>99579.19</v>
      </c>
      <c r="JR131" s="11">
        <v>19966.22</v>
      </c>
      <c r="JS131" s="11">
        <v>0</v>
      </c>
      <c r="JT131" s="11">
        <v>0</v>
      </c>
      <c r="JU131" s="11">
        <v>53637.66</v>
      </c>
      <c r="JV131" s="11">
        <v>15632.13</v>
      </c>
      <c r="JW131" s="11">
        <v>0</v>
      </c>
      <c r="JX131" s="11">
        <v>4627.07</v>
      </c>
      <c r="JY131" s="11">
        <v>0</v>
      </c>
      <c r="JZ131" s="11">
        <v>81006.070000000007</v>
      </c>
      <c r="KA131" s="11">
        <v>0</v>
      </c>
      <c r="KB131" s="11">
        <v>42206.81</v>
      </c>
      <c r="KC131" s="11">
        <v>0</v>
      </c>
      <c r="KD131" s="11">
        <v>77973.259999999995</v>
      </c>
      <c r="KE131" s="11">
        <v>35426.92</v>
      </c>
      <c r="KF131" s="11">
        <v>12931.29</v>
      </c>
      <c r="KG131" s="11">
        <v>0</v>
      </c>
      <c r="KH131" s="11">
        <v>34612.22</v>
      </c>
      <c r="KI131" s="11"/>
      <c r="KJ131" s="11">
        <v>411718.75</v>
      </c>
      <c r="KK131" s="11">
        <v>79271.399999999994</v>
      </c>
      <c r="KL131" s="11">
        <v>-10217.049999999999</v>
      </c>
      <c r="KM131" s="11">
        <v>52723.74</v>
      </c>
      <c r="KN131" s="11">
        <v>58580.84</v>
      </c>
      <c r="KO131" s="11">
        <v>114945.04</v>
      </c>
      <c r="KP131" s="11">
        <v>39423.21</v>
      </c>
      <c r="KQ131" s="11">
        <v>26742.75</v>
      </c>
      <c r="KR131" s="11">
        <v>162297.01999999999</v>
      </c>
      <c r="KS131" s="11">
        <v>15734.61</v>
      </c>
      <c r="KT131" s="11">
        <v>89272.8</v>
      </c>
      <c r="KU131" s="11">
        <v>0</v>
      </c>
      <c r="KV131" s="11">
        <v>28660.91</v>
      </c>
      <c r="KW131" s="11">
        <v>48343.78</v>
      </c>
      <c r="KX131" s="11">
        <v>275180.09999999998</v>
      </c>
      <c r="KY131" s="11">
        <v>74460.55</v>
      </c>
      <c r="KZ131" s="11">
        <v>174142.68</v>
      </c>
      <c r="LA131" s="11">
        <v>62898.77</v>
      </c>
      <c r="LB131" s="11">
        <v>31773.01</v>
      </c>
      <c r="LC131" s="11">
        <v>67303.539999999994</v>
      </c>
      <c r="LD131" s="11">
        <v>124759.27</v>
      </c>
      <c r="LE131" s="11">
        <v>92478.87</v>
      </c>
      <c r="LF131" s="11">
        <v>23001.3</v>
      </c>
      <c r="LG131" s="11">
        <v>31029.67</v>
      </c>
      <c r="LH131" s="11">
        <v>128106.5</v>
      </c>
      <c r="LI131" s="11">
        <v>6588.14</v>
      </c>
      <c r="LJ131" s="11">
        <v>24948.45</v>
      </c>
      <c r="LK131" s="11">
        <v>198542.68</v>
      </c>
      <c r="LL131" s="11">
        <v>51869.83</v>
      </c>
      <c r="LM131" s="11">
        <v>26825.62</v>
      </c>
      <c r="LN131" s="11">
        <v>17838.91</v>
      </c>
      <c r="LO131" s="11">
        <v>36056.36</v>
      </c>
      <c r="LP131" s="11">
        <v>37699.67</v>
      </c>
      <c r="LQ131" s="11">
        <v>51901.36</v>
      </c>
      <c r="LR131" s="11">
        <v>3942.72</v>
      </c>
      <c r="LS131" s="11">
        <v>245092.94</v>
      </c>
      <c r="LT131" s="11">
        <v>13235.52</v>
      </c>
      <c r="LU131" s="11">
        <v>23436.78</v>
      </c>
      <c r="LV131" s="11">
        <v>495746.81</v>
      </c>
      <c r="LW131" s="11">
        <v>378532.32</v>
      </c>
      <c r="LX131" s="11"/>
      <c r="LY131" s="11"/>
      <c r="LZ131" s="11">
        <v>102845.24</v>
      </c>
      <c r="MA131" s="11">
        <v>179458.74</v>
      </c>
      <c r="MB131" s="11">
        <v>80298.880000000005</v>
      </c>
      <c r="MC131" s="11">
        <v>30326.13</v>
      </c>
      <c r="MD131" s="11">
        <v>122871.56</v>
      </c>
      <c r="ME131" s="11">
        <v>104371.25</v>
      </c>
      <c r="MF131" s="11">
        <v>205801.17</v>
      </c>
      <c r="MG131" s="11">
        <v>42604.88</v>
      </c>
      <c r="MH131" s="11">
        <v>952381.69</v>
      </c>
      <c r="MI131" s="11">
        <v>46118.79</v>
      </c>
      <c r="MJ131" s="11">
        <v>9777.0499999999993</v>
      </c>
      <c r="MK131" s="11">
        <v>29999.11</v>
      </c>
      <c r="ML131" s="11">
        <v>11763.88</v>
      </c>
      <c r="MM131" s="11">
        <v>24831.59</v>
      </c>
      <c r="MN131" s="11">
        <v>26696.77</v>
      </c>
      <c r="MO131" s="11">
        <v>28285.31</v>
      </c>
      <c r="MP131" s="11">
        <v>49060.98</v>
      </c>
      <c r="MQ131" s="11">
        <v>21363.119999999999</v>
      </c>
      <c r="MR131" s="11">
        <v>27700.98</v>
      </c>
      <c r="MS131" s="11">
        <v>23092.3</v>
      </c>
      <c r="MT131" s="11">
        <v>16893.599999999999</v>
      </c>
      <c r="MU131" s="11">
        <v>36735.629999999997</v>
      </c>
      <c r="MV131" s="11">
        <v>63759.72</v>
      </c>
      <c r="MW131" s="11">
        <v>62771.27</v>
      </c>
      <c r="MX131" s="11">
        <v>43173.48</v>
      </c>
      <c r="MY131" s="11">
        <v>53397.84</v>
      </c>
      <c r="MZ131" s="11">
        <v>0</v>
      </c>
      <c r="NA131" s="11">
        <v>0</v>
      </c>
      <c r="NB131" s="11">
        <v>37071.129999999997</v>
      </c>
      <c r="NC131" s="11">
        <v>14891.48</v>
      </c>
      <c r="ND131" s="11">
        <v>17520.98</v>
      </c>
      <c r="NE131" s="11">
        <v>125825.53</v>
      </c>
      <c r="NF131" s="11">
        <v>0</v>
      </c>
      <c r="NG131" s="11">
        <v>18850.63</v>
      </c>
      <c r="NH131" s="11">
        <v>456504.11</v>
      </c>
      <c r="NI131" s="11">
        <v>52343.37</v>
      </c>
      <c r="NJ131" s="11">
        <v>65024.74</v>
      </c>
      <c r="NK131" s="11">
        <v>176366.25</v>
      </c>
      <c r="NL131" s="11">
        <v>121715.27</v>
      </c>
      <c r="NM131" s="11">
        <v>15079.56</v>
      </c>
      <c r="NN131" s="11">
        <v>64442.9</v>
      </c>
      <c r="NO131" s="11">
        <v>0</v>
      </c>
      <c r="NP131" s="11">
        <v>36275.03</v>
      </c>
      <c r="NQ131" s="11"/>
      <c r="NR131" s="11">
        <v>19744.919999999998</v>
      </c>
      <c r="NS131" s="11">
        <v>21875.01</v>
      </c>
      <c r="NT131" s="11">
        <v>30841.38</v>
      </c>
      <c r="NU131" s="11">
        <v>21096.02</v>
      </c>
      <c r="NV131" s="11">
        <v>1969.43</v>
      </c>
      <c r="NW131" s="11">
        <v>20682.900000000001</v>
      </c>
      <c r="NX131" s="11">
        <v>177999.62</v>
      </c>
      <c r="NY131" s="11">
        <v>467605.92</v>
      </c>
      <c r="NZ131" s="11">
        <v>36988.639999999999</v>
      </c>
      <c r="OA131" s="11">
        <v>54292.4</v>
      </c>
      <c r="OB131" s="11">
        <v>18350.439999999999</v>
      </c>
      <c r="OC131" s="11">
        <v>0</v>
      </c>
      <c r="OD131" s="11">
        <v>27951.93</v>
      </c>
      <c r="OE131" s="11">
        <v>22274.26</v>
      </c>
      <c r="OF131" s="11">
        <v>212878.31</v>
      </c>
      <c r="OG131" s="11">
        <v>0</v>
      </c>
      <c r="OH131" s="11">
        <v>151349.94</v>
      </c>
      <c r="OI131" s="11">
        <v>53695.01</v>
      </c>
      <c r="OJ131" s="11">
        <v>63643.29</v>
      </c>
      <c r="OK131" s="11">
        <v>178561.73</v>
      </c>
      <c r="OL131" s="11">
        <v>29343.46</v>
      </c>
      <c r="OM131" s="11">
        <v>56360.22</v>
      </c>
      <c r="ON131" s="11">
        <v>63528.6</v>
      </c>
      <c r="OO131" s="11">
        <v>116273.77</v>
      </c>
      <c r="OP131" s="11">
        <v>253281.01</v>
      </c>
      <c r="OQ131" s="11">
        <v>91654.01</v>
      </c>
      <c r="OR131" s="11">
        <v>122249.16</v>
      </c>
      <c r="OS131" s="11">
        <v>54326.05</v>
      </c>
      <c r="OT131" s="11"/>
      <c r="OU131" s="11">
        <v>27185.91</v>
      </c>
      <c r="OV131" s="11">
        <v>21330.66</v>
      </c>
      <c r="OW131" s="11">
        <v>46808.959999999999</v>
      </c>
      <c r="OX131" s="11">
        <v>37686.160000000003</v>
      </c>
      <c r="OY131" s="11">
        <v>197709.71</v>
      </c>
      <c r="OZ131" s="11">
        <v>17960.02</v>
      </c>
      <c r="PA131" s="11">
        <v>64473.45</v>
      </c>
      <c r="PB131" s="11">
        <v>27985.27</v>
      </c>
      <c r="PC131" s="11"/>
      <c r="PD131" s="11">
        <v>26994.02</v>
      </c>
      <c r="PE131" s="11">
        <v>46916.32</v>
      </c>
      <c r="PF131" s="11">
        <v>26345.07</v>
      </c>
      <c r="PG131" s="11">
        <v>44412.46</v>
      </c>
      <c r="PH131" s="11">
        <v>202416.48</v>
      </c>
      <c r="PI131" s="11">
        <v>29215.67</v>
      </c>
      <c r="PJ131" s="11">
        <v>53240.91</v>
      </c>
      <c r="PK131" s="11">
        <v>49499.94</v>
      </c>
      <c r="PL131" s="11">
        <v>37982.660000000003</v>
      </c>
      <c r="PM131" s="11">
        <v>111089.27</v>
      </c>
      <c r="PN131" s="11">
        <v>85194.35</v>
      </c>
      <c r="PO131" s="11">
        <v>35095.35</v>
      </c>
      <c r="PP131" s="11">
        <v>242373.98</v>
      </c>
      <c r="PQ131" s="11">
        <v>30016.33</v>
      </c>
      <c r="PR131" s="11">
        <v>15516.09</v>
      </c>
      <c r="PS131" s="11">
        <v>26439.91</v>
      </c>
      <c r="PT131" s="11">
        <v>16472.169999999998</v>
      </c>
      <c r="PU131" s="11"/>
      <c r="PV131" s="11"/>
      <c r="PW131" s="11">
        <v>0</v>
      </c>
      <c r="PX131" s="11">
        <v>61449.47</v>
      </c>
      <c r="PY131" s="11"/>
      <c r="PZ131" s="11">
        <v>32108.16</v>
      </c>
      <c r="QA131" s="11">
        <v>65109</v>
      </c>
      <c r="QB131" s="11"/>
      <c r="QC131" s="11"/>
      <c r="QD131" s="11"/>
      <c r="QE131" s="11"/>
      <c r="QF131" s="11">
        <v>34718.39</v>
      </c>
      <c r="QG131" s="11">
        <v>25741.84</v>
      </c>
      <c r="QH131" s="11"/>
      <c r="QI131" s="11"/>
      <c r="QJ131" s="11"/>
      <c r="QK131" s="11"/>
      <c r="QL131" s="11">
        <v>11513.83</v>
      </c>
      <c r="QM131" s="11"/>
      <c r="QN131" s="11">
        <v>61.6</v>
      </c>
      <c r="QO131" s="11"/>
      <c r="QP131" s="11">
        <v>13222.11</v>
      </c>
      <c r="QQ131" s="11"/>
      <c r="QR131" s="11">
        <v>3249.34</v>
      </c>
      <c r="QS131" s="11"/>
      <c r="QT131" s="11"/>
      <c r="QU131" s="11"/>
      <c r="QV131" s="11">
        <v>43035.29</v>
      </c>
      <c r="QW131" s="11">
        <v>230155.26</v>
      </c>
      <c r="QX131" s="11">
        <v>93870.64</v>
      </c>
      <c r="QY131" s="11">
        <v>94511.46</v>
      </c>
      <c r="QZ131" s="11">
        <v>0</v>
      </c>
      <c r="RA131" s="11">
        <v>70985.17</v>
      </c>
      <c r="RB131" s="11">
        <v>107291.63</v>
      </c>
      <c r="RC131" s="11"/>
      <c r="RD131" s="11">
        <v>85661.57</v>
      </c>
      <c r="RE131" s="11">
        <v>42117.64</v>
      </c>
      <c r="RF131" s="11">
        <v>43579.360000000001</v>
      </c>
      <c r="RG131" s="11">
        <v>13487.19</v>
      </c>
      <c r="RH131" s="11">
        <v>936871.65</v>
      </c>
      <c r="RI131" s="11">
        <v>98498.37</v>
      </c>
      <c r="RJ131" s="11">
        <v>41687.589999999997</v>
      </c>
      <c r="RK131" s="11">
        <v>47099.77</v>
      </c>
      <c r="RL131" s="11">
        <v>272271.27</v>
      </c>
      <c r="RM131" s="11">
        <v>63855.37</v>
      </c>
      <c r="RN131" s="11">
        <v>128989.73</v>
      </c>
      <c r="RO131" s="11">
        <v>39503.160000000003</v>
      </c>
      <c r="RP131" s="11">
        <v>45565.63</v>
      </c>
      <c r="RQ131" s="11">
        <v>107486.69</v>
      </c>
      <c r="RR131" s="11">
        <v>106067.45</v>
      </c>
      <c r="RS131" s="11">
        <v>10693.48</v>
      </c>
      <c r="RT131" s="11">
        <v>23047.62</v>
      </c>
      <c r="RU131" s="11">
        <v>29969.9</v>
      </c>
      <c r="RV131" s="11">
        <v>8247.1299999999992</v>
      </c>
      <c r="RW131" s="11">
        <v>35264.089999999997</v>
      </c>
      <c r="RX131" s="11">
        <v>45469.77</v>
      </c>
      <c r="RY131" s="11">
        <v>10166.33</v>
      </c>
      <c r="RZ131" s="11">
        <v>12893.75</v>
      </c>
      <c r="SA131" s="11">
        <v>17275.68</v>
      </c>
      <c r="SB131" s="11">
        <v>981224.51</v>
      </c>
      <c r="SC131" s="11">
        <v>42380.97</v>
      </c>
      <c r="SD131" s="11">
        <v>57770.41</v>
      </c>
      <c r="SE131" s="11">
        <v>37144.69</v>
      </c>
      <c r="SF131" s="11">
        <v>38278.6</v>
      </c>
      <c r="SG131" s="11">
        <v>34450.639999999999</v>
      </c>
      <c r="SH131" s="11">
        <v>68744.69</v>
      </c>
      <c r="SI131" s="11">
        <v>66259.88</v>
      </c>
      <c r="SJ131" s="11">
        <v>45534.93</v>
      </c>
      <c r="SK131" s="11">
        <v>41381.730000000003</v>
      </c>
      <c r="SL131" s="11">
        <v>95957.56</v>
      </c>
      <c r="SM131" s="11">
        <v>6399.84</v>
      </c>
      <c r="SN131" s="11">
        <v>356137.52</v>
      </c>
      <c r="SO131" s="11">
        <v>57248.13</v>
      </c>
      <c r="SP131" s="11">
        <v>34287.17</v>
      </c>
      <c r="SQ131" s="11">
        <v>99922.21</v>
      </c>
      <c r="SR131" s="11">
        <v>50502.58</v>
      </c>
      <c r="SS131" s="11">
        <v>46957.84</v>
      </c>
      <c r="ST131" s="11">
        <v>43394.8</v>
      </c>
      <c r="SU131" s="11">
        <v>18890.560000000001</v>
      </c>
      <c r="SV131" s="11">
        <v>328647.62</v>
      </c>
      <c r="SW131" s="11">
        <v>40395.5</v>
      </c>
      <c r="SX131" s="11">
        <v>59761.4</v>
      </c>
      <c r="SY131" s="11">
        <v>17605.03</v>
      </c>
      <c r="SZ131" s="11">
        <v>39799.01</v>
      </c>
      <c r="TA131" s="11">
        <v>41679.449999999997</v>
      </c>
      <c r="TB131" s="11">
        <v>25742.36</v>
      </c>
      <c r="TC131" s="11">
        <v>98072.89</v>
      </c>
      <c r="TD131" s="11">
        <v>68472.509999999995</v>
      </c>
      <c r="TE131" s="11">
        <v>30912.39</v>
      </c>
      <c r="TF131" s="11">
        <v>42396.56</v>
      </c>
      <c r="TG131" s="11">
        <v>62398.1</v>
      </c>
      <c r="TH131" s="11">
        <v>36678.49</v>
      </c>
      <c r="TI131" s="11">
        <v>15978.54</v>
      </c>
      <c r="TJ131" s="11">
        <v>480371.98</v>
      </c>
      <c r="TK131" s="11">
        <v>47038.33</v>
      </c>
      <c r="TL131" s="11">
        <v>22417.26</v>
      </c>
      <c r="TM131" s="11">
        <v>77536.149999999994</v>
      </c>
      <c r="TN131" s="11">
        <v>39373.230000000003</v>
      </c>
      <c r="TO131" s="11">
        <v>38787.29</v>
      </c>
      <c r="TP131" s="11">
        <v>15425.25</v>
      </c>
      <c r="TQ131" s="11">
        <v>274643.40999999997</v>
      </c>
      <c r="TR131" s="11">
        <v>72926.899999999994</v>
      </c>
      <c r="TS131" s="11">
        <v>108401.98</v>
      </c>
      <c r="TT131" s="11">
        <v>96214.54</v>
      </c>
      <c r="TU131" s="11">
        <v>117336.26</v>
      </c>
      <c r="TV131" s="11">
        <v>3703.05</v>
      </c>
      <c r="TW131" s="11">
        <v>49381.32</v>
      </c>
      <c r="TX131" s="11">
        <v>31370.23</v>
      </c>
      <c r="TY131" s="11">
        <v>28897.439999999999</v>
      </c>
      <c r="TZ131" s="11">
        <v>487012.57</v>
      </c>
      <c r="UA131" s="11">
        <v>24148.11</v>
      </c>
      <c r="UB131" s="11">
        <v>791481.6</v>
      </c>
      <c r="UC131" s="11">
        <v>77520.72</v>
      </c>
      <c r="UD131" s="11">
        <v>71016.639999999999</v>
      </c>
      <c r="UE131" s="11">
        <v>59996</v>
      </c>
      <c r="UF131" s="11">
        <v>569062.31000000006</v>
      </c>
      <c r="UG131" s="11">
        <v>19461.38</v>
      </c>
      <c r="UH131" s="11">
        <v>26694.35</v>
      </c>
      <c r="UI131" s="11">
        <v>69560.899999999994</v>
      </c>
      <c r="UJ131" s="11">
        <v>59917.37</v>
      </c>
      <c r="UK131" s="11">
        <v>291845.55</v>
      </c>
      <c r="UL131" s="11">
        <v>102007</v>
      </c>
      <c r="UM131" s="11">
        <v>49894.6</v>
      </c>
      <c r="UN131" s="11">
        <v>420.56</v>
      </c>
      <c r="UO131" s="11">
        <v>63744.79</v>
      </c>
      <c r="UP131" s="11">
        <v>73732.78</v>
      </c>
      <c r="UQ131" s="11">
        <v>1879516.36</v>
      </c>
      <c r="UR131" s="11">
        <v>62819.75</v>
      </c>
      <c r="US131" s="11">
        <v>64568.2</v>
      </c>
      <c r="UT131" s="11">
        <v>303714.46999999997</v>
      </c>
      <c r="UU131" s="11">
        <v>23496.77</v>
      </c>
      <c r="UV131" s="11">
        <v>38397.58</v>
      </c>
      <c r="UW131" s="11">
        <v>146318.31</v>
      </c>
      <c r="UX131" s="11">
        <v>34247.85</v>
      </c>
      <c r="UY131" s="11">
        <v>17678.189999999999</v>
      </c>
      <c r="UZ131" s="11">
        <v>48390.71</v>
      </c>
      <c r="VA131" s="11">
        <v>57452.91</v>
      </c>
      <c r="VB131" s="11">
        <v>124247.21</v>
      </c>
      <c r="VC131" s="11">
        <v>46029.02</v>
      </c>
      <c r="VD131" s="11">
        <v>103937.64</v>
      </c>
      <c r="VE131" s="11">
        <v>18051.259999999998</v>
      </c>
      <c r="VF131" s="11">
        <v>40673.550000000003</v>
      </c>
      <c r="VG131" s="11">
        <v>22806.81</v>
      </c>
      <c r="VH131" s="11">
        <v>23172.01</v>
      </c>
      <c r="VI131" s="11">
        <v>187720.88</v>
      </c>
      <c r="VJ131" s="11">
        <v>29363.58</v>
      </c>
      <c r="VK131" s="11">
        <v>28334.42</v>
      </c>
      <c r="VL131" s="11">
        <v>8570.74</v>
      </c>
      <c r="VM131" s="11">
        <v>79670.11</v>
      </c>
      <c r="VN131" s="11">
        <v>15256.84</v>
      </c>
      <c r="VO131" s="11">
        <v>105207.86</v>
      </c>
      <c r="VP131" s="11">
        <v>113461.8</v>
      </c>
      <c r="VQ131" s="11">
        <v>68452.28</v>
      </c>
      <c r="VR131" s="11"/>
      <c r="VS131" s="11">
        <v>76021.149999999994</v>
      </c>
      <c r="VT131" s="11">
        <v>94860.54</v>
      </c>
      <c r="VU131" s="11">
        <v>56609.52</v>
      </c>
      <c r="VV131" s="11">
        <v>108236.94</v>
      </c>
      <c r="VW131" s="11">
        <v>20969.32</v>
      </c>
      <c r="VX131" s="11">
        <v>355754.69</v>
      </c>
      <c r="VY131" s="11">
        <v>42698.42</v>
      </c>
      <c r="VZ131" s="11">
        <v>23307.94</v>
      </c>
      <c r="WA131" s="11">
        <v>11152.73</v>
      </c>
      <c r="WB131" s="11"/>
      <c r="WC131" s="11">
        <v>154979.60999999999</v>
      </c>
      <c r="WD131" s="11">
        <v>29726.5</v>
      </c>
      <c r="WE131" s="11">
        <v>52883.92</v>
      </c>
      <c r="WF131" s="11">
        <v>31383.4</v>
      </c>
      <c r="WG131" s="11">
        <v>39137.089999999997</v>
      </c>
      <c r="WH131" s="11">
        <v>130467.91</v>
      </c>
      <c r="WI131" s="11">
        <v>91573.19</v>
      </c>
      <c r="WJ131" s="11">
        <v>46929.35</v>
      </c>
      <c r="WK131" s="11">
        <v>255004.69</v>
      </c>
      <c r="WL131" s="11">
        <v>40596.370000000003</v>
      </c>
      <c r="WM131" s="11">
        <v>164283.51999999999</v>
      </c>
      <c r="WN131" s="11">
        <v>63981.79</v>
      </c>
      <c r="WO131" s="11">
        <v>44219.14</v>
      </c>
      <c r="WP131" s="11">
        <v>223675.75</v>
      </c>
      <c r="WQ131" s="11">
        <v>39492.93</v>
      </c>
      <c r="WR131" s="11">
        <v>53351.86</v>
      </c>
      <c r="WS131" s="11">
        <v>59791.56</v>
      </c>
      <c r="WT131" s="11">
        <v>46966.35</v>
      </c>
      <c r="WU131" s="11">
        <v>121413.33</v>
      </c>
      <c r="WV131" s="11">
        <v>119257.94</v>
      </c>
      <c r="WW131" s="11">
        <v>39044.620000000003</v>
      </c>
      <c r="WX131" s="11">
        <v>16588.7</v>
      </c>
      <c r="WY131" s="11">
        <v>20524.48</v>
      </c>
      <c r="WZ131" s="11">
        <v>28692.29</v>
      </c>
      <c r="XA131" s="11">
        <v>8494.59</v>
      </c>
      <c r="XB131" s="11">
        <v>16139.44</v>
      </c>
      <c r="XC131" s="11">
        <v>13879.48</v>
      </c>
      <c r="XD131" s="11">
        <v>147545.16</v>
      </c>
      <c r="XE131" s="11">
        <v>23799.13</v>
      </c>
      <c r="XF131" s="11">
        <v>36522.18</v>
      </c>
      <c r="XG131" s="11">
        <v>9759.1</v>
      </c>
      <c r="XH131" s="11">
        <v>194227.79</v>
      </c>
      <c r="XI131" s="11">
        <v>82675.649999999994</v>
      </c>
      <c r="XJ131" s="11">
        <v>41975.78</v>
      </c>
      <c r="XK131" s="11">
        <v>110314.81</v>
      </c>
      <c r="XL131" s="11">
        <v>465247.23</v>
      </c>
      <c r="XM131" s="11">
        <v>51031</v>
      </c>
      <c r="XN131" s="11">
        <v>72475.509999999995</v>
      </c>
      <c r="XO131" s="11">
        <v>41553.410000000003</v>
      </c>
      <c r="XP131" s="11">
        <v>54458.89</v>
      </c>
      <c r="XQ131" s="11">
        <v>41726.379999999997</v>
      </c>
      <c r="XR131" s="11">
        <v>187173.95</v>
      </c>
      <c r="XS131" s="11">
        <v>241408.48</v>
      </c>
      <c r="XT131" s="11">
        <v>40251.019999999997</v>
      </c>
      <c r="XU131" s="11">
        <v>67615.67</v>
      </c>
      <c r="XV131" s="11">
        <v>33618.370000000003</v>
      </c>
      <c r="XW131" s="11">
        <v>30643.3</v>
      </c>
      <c r="XX131" s="11">
        <v>8049.41</v>
      </c>
      <c r="XY131" s="11">
        <v>23382.15</v>
      </c>
      <c r="XZ131" s="11">
        <v>40829.89</v>
      </c>
      <c r="YA131" s="11">
        <v>26524.78</v>
      </c>
      <c r="YB131" s="11">
        <v>56906.98</v>
      </c>
      <c r="YC131" s="11">
        <v>31307.82</v>
      </c>
      <c r="YD131" s="11">
        <v>48453.3</v>
      </c>
      <c r="YE131" s="11">
        <v>20790.04</v>
      </c>
      <c r="YF131" s="11">
        <v>17383.939999999999</v>
      </c>
      <c r="YG131" s="11">
        <v>41465.78</v>
      </c>
      <c r="YH131" s="11">
        <v>83216.570000000007</v>
      </c>
      <c r="YI131" s="11">
        <v>48409.71</v>
      </c>
      <c r="YJ131" s="11">
        <v>141447.39000000001</v>
      </c>
      <c r="YK131" s="11">
        <v>12278.57</v>
      </c>
      <c r="YL131" s="11">
        <v>144718.93</v>
      </c>
      <c r="YM131" s="11">
        <v>39802.730000000003</v>
      </c>
      <c r="YN131" s="11">
        <v>270238.8</v>
      </c>
      <c r="YO131" s="11">
        <v>140506.63</v>
      </c>
      <c r="YP131" s="11">
        <v>44713.97</v>
      </c>
      <c r="YQ131" s="11">
        <v>46363.61</v>
      </c>
      <c r="YR131" s="11">
        <v>30755.77</v>
      </c>
      <c r="YS131" s="11">
        <v>33292.04</v>
      </c>
      <c r="YT131" s="11">
        <v>20777.98</v>
      </c>
      <c r="YU131" s="11">
        <v>19105.349999999999</v>
      </c>
      <c r="YV131" s="11">
        <v>73258.259999999995</v>
      </c>
      <c r="YW131" s="11">
        <v>205032.91</v>
      </c>
      <c r="YX131" s="11">
        <v>63806.05</v>
      </c>
      <c r="YY131" s="11">
        <v>21949.77</v>
      </c>
      <c r="YZ131" s="11">
        <v>29668.42</v>
      </c>
      <c r="ZA131" s="11">
        <v>47673.27</v>
      </c>
      <c r="ZB131" s="11">
        <v>34216.35</v>
      </c>
      <c r="ZC131" s="11">
        <v>20520.91</v>
      </c>
      <c r="ZD131" s="11">
        <v>891.55</v>
      </c>
      <c r="ZE131" s="11">
        <v>27898.54</v>
      </c>
      <c r="ZF131" s="11"/>
      <c r="ZG131" s="11">
        <v>66230.070000000007</v>
      </c>
      <c r="ZH131" s="11">
        <v>42744.47</v>
      </c>
      <c r="ZI131" s="11">
        <v>18972.71</v>
      </c>
      <c r="ZJ131" s="11">
        <v>37405.129999999997</v>
      </c>
      <c r="ZK131" s="11">
        <v>12531.66</v>
      </c>
      <c r="ZL131" s="11">
        <v>106461.69</v>
      </c>
      <c r="ZM131" s="11">
        <v>819843.3</v>
      </c>
      <c r="ZN131" s="11">
        <v>47789.05</v>
      </c>
      <c r="ZO131" s="11">
        <v>41929.96</v>
      </c>
      <c r="ZP131" s="11">
        <v>237193.11</v>
      </c>
      <c r="ZQ131" s="11">
        <v>139744.29999999999</v>
      </c>
      <c r="ZR131" s="11">
        <v>40933.46</v>
      </c>
      <c r="ZS131" s="11">
        <v>39855.42</v>
      </c>
      <c r="ZT131" s="11">
        <v>54236.42</v>
      </c>
      <c r="ZU131" s="11">
        <v>104969.36</v>
      </c>
      <c r="ZV131" s="11">
        <v>120189.46</v>
      </c>
      <c r="ZW131" s="11">
        <v>11808.14</v>
      </c>
      <c r="ZX131" s="11">
        <v>38973.96</v>
      </c>
      <c r="ZY131" s="11">
        <v>25369.41</v>
      </c>
      <c r="ZZ131" s="11">
        <v>11408.59</v>
      </c>
      <c r="AAA131" s="11">
        <v>43212.959999999999</v>
      </c>
      <c r="AAB131" s="11">
        <v>18041.349999999999</v>
      </c>
      <c r="AAC131" s="11">
        <v>35893.4</v>
      </c>
      <c r="AAD131" s="11">
        <v>19298.09</v>
      </c>
      <c r="AAE131" s="11">
        <v>25756.11</v>
      </c>
      <c r="AAF131" s="11">
        <v>18760.580000000002</v>
      </c>
      <c r="AAG131" s="11">
        <v>27830.51</v>
      </c>
      <c r="AAH131" s="11">
        <v>18678.57</v>
      </c>
      <c r="AAI131" s="11"/>
      <c r="AAJ131" s="11">
        <v>41799.78</v>
      </c>
      <c r="AAK131" s="11">
        <v>70151.23</v>
      </c>
      <c r="AAL131" s="11">
        <v>42845.69</v>
      </c>
      <c r="AAM131" s="11">
        <v>39215.120000000003</v>
      </c>
      <c r="AAN131" s="11">
        <v>76884.84</v>
      </c>
      <c r="AAO131" s="11">
        <v>12104.89</v>
      </c>
      <c r="AAP131" s="11">
        <v>420799.39</v>
      </c>
      <c r="AAQ131" s="11">
        <v>41027.32</v>
      </c>
      <c r="AAR131" s="11">
        <v>57166.18</v>
      </c>
      <c r="AAS131" s="11">
        <v>92280.53</v>
      </c>
      <c r="AAT131" s="11">
        <v>109059.37</v>
      </c>
      <c r="AAU131" s="11">
        <v>25082.13</v>
      </c>
      <c r="AAV131" s="11">
        <v>84798.19</v>
      </c>
      <c r="AAW131" s="11">
        <v>64085.01</v>
      </c>
      <c r="AAX131" s="11">
        <v>59452.04</v>
      </c>
      <c r="AAY131" s="11">
        <v>55344.18</v>
      </c>
      <c r="AAZ131" s="11">
        <v>187158.48</v>
      </c>
      <c r="ABA131" s="11">
        <v>314320.53000000003</v>
      </c>
      <c r="ABB131" s="11">
        <v>166532.59</v>
      </c>
      <c r="ABC131" s="11">
        <v>18671.27</v>
      </c>
      <c r="ABD131" s="11">
        <v>36814.86</v>
      </c>
      <c r="ABE131" s="11">
        <v>25435.98</v>
      </c>
      <c r="ABF131" s="11">
        <v>7301.51</v>
      </c>
      <c r="ABG131" s="11">
        <v>34113.339999999997</v>
      </c>
      <c r="ABH131" s="11">
        <v>16816.060000000001</v>
      </c>
      <c r="ABI131" s="11">
        <v>458760.26</v>
      </c>
      <c r="ABJ131" s="11">
        <v>178298.89</v>
      </c>
      <c r="ABK131" s="11">
        <v>32403.66</v>
      </c>
      <c r="ABL131" s="11">
        <v>15284.37</v>
      </c>
      <c r="ABM131" s="11">
        <v>13848.84</v>
      </c>
      <c r="ABN131" s="11">
        <v>45102.41</v>
      </c>
      <c r="ABO131" s="11">
        <v>11845.19</v>
      </c>
      <c r="ABP131" s="11">
        <v>280747.51</v>
      </c>
      <c r="ABQ131" s="11">
        <v>53825.29</v>
      </c>
      <c r="ABR131" s="11">
        <v>33892.120000000003</v>
      </c>
      <c r="ABS131" s="11">
        <v>42009.06</v>
      </c>
      <c r="ABT131" s="11">
        <v>18022.55</v>
      </c>
      <c r="ABU131" s="11">
        <v>29502.21</v>
      </c>
      <c r="ABV131" s="11">
        <v>18148.900000000001</v>
      </c>
      <c r="ABW131" s="11">
        <v>57964.15</v>
      </c>
      <c r="ABX131" s="11">
        <v>12256.45</v>
      </c>
      <c r="ABY131" s="11"/>
      <c r="ABZ131" s="11">
        <v>0</v>
      </c>
      <c r="ACA131" s="11">
        <v>0</v>
      </c>
      <c r="ACB131" s="11">
        <v>0</v>
      </c>
      <c r="ACC131" s="11">
        <v>58902.52</v>
      </c>
      <c r="ACD131" s="11">
        <v>175687.86</v>
      </c>
      <c r="ACE131" s="11"/>
      <c r="ACF131" s="11">
        <v>50562.13</v>
      </c>
      <c r="ACG131" s="11">
        <v>27305.08</v>
      </c>
      <c r="ACH131" s="11">
        <v>10905.29</v>
      </c>
      <c r="ACI131" s="11">
        <v>81423.03</v>
      </c>
      <c r="ACJ131" s="11"/>
      <c r="ACK131" s="11">
        <v>41715.31</v>
      </c>
      <c r="ACL131" s="11">
        <v>64688.59</v>
      </c>
      <c r="ACM131" s="11">
        <v>60852.17</v>
      </c>
      <c r="ACN131" s="11"/>
      <c r="ACO131" s="11">
        <v>38776.57</v>
      </c>
      <c r="ACP131" s="11"/>
      <c r="ACQ131" s="11">
        <v>0</v>
      </c>
      <c r="ACR131" s="11">
        <v>280910.53000000003</v>
      </c>
      <c r="ACS131" s="11">
        <v>31243.24</v>
      </c>
      <c r="ACT131" s="11">
        <v>54497.03</v>
      </c>
      <c r="ACU131" s="11">
        <v>95109.42</v>
      </c>
      <c r="ACV131" s="11">
        <v>71853.53</v>
      </c>
      <c r="ACW131" s="11">
        <v>240775.77</v>
      </c>
      <c r="ACX131" s="11">
        <v>0</v>
      </c>
      <c r="ACY131" s="11">
        <v>39172.54</v>
      </c>
      <c r="ACZ131" s="11">
        <v>33547.089999999997</v>
      </c>
      <c r="ADA131" s="11">
        <v>41059.410000000003</v>
      </c>
      <c r="ADB131" s="11">
        <v>15206.21</v>
      </c>
      <c r="ADC131" s="11">
        <v>32096.57</v>
      </c>
      <c r="ADD131" s="11">
        <v>15350.79</v>
      </c>
      <c r="ADE131" s="11">
        <v>29875.19</v>
      </c>
      <c r="ADF131" s="11">
        <v>22867.62</v>
      </c>
      <c r="ADG131" s="11">
        <v>137393.82999999999</v>
      </c>
      <c r="ADH131" s="11">
        <v>95791.14</v>
      </c>
      <c r="ADI131" s="11">
        <v>53342.83</v>
      </c>
      <c r="ADJ131" s="11">
        <v>2360.2600000000002</v>
      </c>
      <c r="ADK131" s="11">
        <v>37052.9</v>
      </c>
      <c r="ADL131" s="11">
        <v>1895.93</v>
      </c>
      <c r="ADM131" s="11">
        <v>25152.17</v>
      </c>
      <c r="ADN131" s="11">
        <v>20170.22</v>
      </c>
      <c r="ADO131" s="11">
        <v>58615.54</v>
      </c>
      <c r="ADP131" s="11"/>
      <c r="ADQ131" s="11">
        <v>73802.679999999993</v>
      </c>
      <c r="ADR131" s="11">
        <v>198443.12</v>
      </c>
      <c r="ADS131" s="11">
        <v>128806.35</v>
      </c>
      <c r="ADT131" s="11">
        <v>237639.14</v>
      </c>
      <c r="ADU131" s="11">
        <v>0</v>
      </c>
      <c r="ADV131" s="11">
        <v>0</v>
      </c>
      <c r="ADW131" s="11">
        <v>50121.01</v>
      </c>
      <c r="ADX131" s="11">
        <v>22645.54</v>
      </c>
      <c r="ADY131" s="11">
        <v>24184.54</v>
      </c>
      <c r="ADZ131" s="11">
        <v>321212.87</v>
      </c>
      <c r="AEA131" s="11"/>
      <c r="AEB131" s="11">
        <v>166334.28</v>
      </c>
      <c r="AEC131" s="11">
        <v>27340.54</v>
      </c>
      <c r="AED131" s="11">
        <v>114934.68</v>
      </c>
      <c r="AEE131" s="11">
        <v>68076.87</v>
      </c>
      <c r="AEF131" s="11">
        <v>79767.17</v>
      </c>
      <c r="AEG131" s="11">
        <v>32851.760000000002</v>
      </c>
      <c r="AEH131" s="11">
        <v>53037.33</v>
      </c>
      <c r="AEI131" s="11">
        <v>30949.67</v>
      </c>
      <c r="AEJ131" s="11">
        <v>54241.5</v>
      </c>
      <c r="AEK131" s="11">
        <v>127530.33</v>
      </c>
      <c r="AEL131" s="11">
        <v>21297.599999999999</v>
      </c>
      <c r="AEM131" s="11">
        <v>48288.21</v>
      </c>
      <c r="AEN131" s="11">
        <v>49332.480000000003</v>
      </c>
      <c r="AEO131" s="11">
        <v>106972.45</v>
      </c>
      <c r="AEP131" s="11">
        <v>46476.26</v>
      </c>
      <c r="AEQ131" s="11">
        <v>118544.65</v>
      </c>
      <c r="AER131" s="11">
        <v>30542.36</v>
      </c>
      <c r="AES131" s="11">
        <v>74163.399999999994</v>
      </c>
      <c r="AET131" s="11">
        <v>26968.400000000001</v>
      </c>
      <c r="AEU131" s="11">
        <v>82929.23</v>
      </c>
      <c r="AEV131" s="11">
        <v>61658.98</v>
      </c>
      <c r="AEW131" s="11">
        <v>55455.040000000001</v>
      </c>
      <c r="AEX131" s="11">
        <v>27721.65</v>
      </c>
      <c r="AEY131" s="11">
        <v>149715.45000000001</v>
      </c>
      <c r="AEZ131" s="11">
        <v>35250.28</v>
      </c>
      <c r="AFA131" s="11">
        <v>44759.7</v>
      </c>
      <c r="AFB131" s="11">
        <v>24049.53</v>
      </c>
      <c r="AFC131" s="11">
        <v>6183.31</v>
      </c>
      <c r="AFD131" s="11">
        <v>35709.65</v>
      </c>
      <c r="AFE131" s="11">
        <v>64493.96</v>
      </c>
      <c r="AFF131" s="11">
        <v>86620.61</v>
      </c>
      <c r="AFG131" s="11">
        <v>0</v>
      </c>
      <c r="AFH131" s="11">
        <v>109822.26</v>
      </c>
      <c r="AFI131" s="11">
        <v>78417.56</v>
      </c>
      <c r="AFJ131" s="11">
        <v>44191.93</v>
      </c>
      <c r="AFK131" s="11">
        <v>0</v>
      </c>
      <c r="AFL131" s="11">
        <v>73068.160000000003</v>
      </c>
      <c r="AFM131" s="11">
        <v>60649.47</v>
      </c>
      <c r="AFN131" s="11">
        <v>20120.61</v>
      </c>
      <c r="AFO131" s="11">
        <v>21527.84</v>
      </c>
      <c r="AFP131" s="11">
        <v>43176.63</v>
      </c>
      <c r="AFQ131" s="11">
        <v>235306.1</v>
      </c>
      <c r="AFR131" s="11">
        <v>93999.79</v>
      </c>
      <c r="AFS131" s="11">
        <v>66101.539999999994</v>
      </c>
      <c r="AFT131" s="11">
        <v>96433.62</v>
      </c>
      <c r="AFU131" s="11">
        <v>32526.95</v>
      </c>
      <c r="AFV131" s="11">
        <v>48470.3</v>
      </c>
      <c r="AFW131" s="11">
        <v>19556.84</v>
      </c>
      <c r="AFX131" s="11">
        <v>40020.1</v>
      </c>
      <c r="AFY131" s="11">
        <v>63679.72</v>
      </c>
      <c r="AFZ131" s="11">
        <v>12911.44</v>
      </c>
      <c r="AGA131" s="11">
        <v>69909.460000000006</v>
      </c>
      <c r="AGB131" s="11">
        <v>21719.27</v>
      </c>
      <c r="AGC131" s="11">
        <v>648698.16</v>
      </c>
      <c r="AGD131" s="11">
        <v>16781.22</v>
      </c>
      <c r="AGE131" s="11">
        <v>33864.449999999997</v>
      </c>
      <c r="AGF131" s="11">
        <v>22854.92</v>
      </c>
      <c r="AGG131" s="11">
        <v>67861.460000000006</v>
      </c>
      <c r="AGH131" s="11">
        <v>63781.41</v>
      </c>
      <c r="AGI131" s="11">
        <v>23448.639999999999</v>
      </c>
      <c r="AGJ131" s="11">
        <v>22252.39</v>
      </c>
      <c r="AGK131" s="11">
        <v>215.55</v>
      </c>
      <c r="AGL131" s="11">
        <v>34553.230000000003</v>
      </c>
      <c r="AGM131" s="11">
        <v>10526.08</v>
      </c>
      <c r="AGN131" s="11">
        <v>110263.75</v>
      </c>
      <c r="AGO131" s="11">
        <v>144642.29999999999</v>
      </c>
      <c r="AGP131" s="11">
        <v>50466.02</v>
      </c>
      <c r="AGQ131" s="11">
        <v>31373.68</v>
      </c>
      <c r="AGR131" s="11">
        <v>84733.04</v>
      </c>
      <c r="AGS131" s="11">
        <v>100232.7</v>
      </c>
      <c r="AGT131" s="11">
        <v>27895.45</v>
      </c>
      <c r="AGU131" s="11">
        <v>35561.18</v>
      </c>
      <c r="AGV131" s="11">
        <v>18793.09</v>
      </c>
      <c r="AGW131" s="11">
        <v>14760.29</v>
      </c>
      <c r="AGX131" s="11">
        <v>47841.82</v>
      </c>
      <c r="AGY131" s="11">
        <v>119544.85</v>
      </c>
      <c r="AGZ131" s="11">
        <v>131101.85999999999</v>
      </c>
      <c r="AHA131" s="11">
        <v>39601.9</v>
      </c>
      <c r="AHB131" s="11">
        <v>47920.4</v>
      </c>
      <c r="AHC131" s="11">
        <v>52652.19</v>
      </c>
      <c r="AHD131" s="11">
        <v>0</v>
      </c>
      <c r="AHE131" s="11">
        <v>48363.24</v>
      </c>
      <c r="AHF131" s="11">
        <v>16.760000000000002</v>
      </c>
      <c r="AHG131" s="11">
        <v>33012.43</v>
      </c>
      <c r="AHH131" s="11">
        <v>16091.55</v>
      </c>
      <c r="AHI131" s="11">
        <v>43627</v>
      </c>
      <c r="AHJ131" s="11">
        <v>37092.629999999997</v>
      </c>
      <c r="AHK131" s="11">
        <v>65306.41</v>
      </c>
      <c r="AHL131" s="11">
        <v>26181.54</v>
      </c>
      <c r="AHM131" s="11">
        <v>0</v>
      </c>
      <c r="AHN131" s="11">
        <v>15458.93</v>
      </c>
      <c r="AHO131" s="11">
        <v>32293.07</v>
      </c>
      <c r="AHP131" s="11">
        <v>44529.75</v>
      </c>
      <c r="AHQ131" s="11">
        <v>51514.36</v>
      </c>
      <c r="AHR131" s="11">
        <v>22179.85</v>
      </c>
      <c r="AHS131" s="11">
        <v>8044.88</v>
      </c>
      <c r="AHT131" s="11">
        <v>72364942.203999951</v>
      </c>
      <c r="AHV131" s="269" t="s">
        <v>6278</v>
      </c>
      <c r="AHW131" s="269" t="s">
        <v>6202</v>
      </c>
      <c r="AHX131" s="269" t="s">
        <v>6203</v>
      </c>
    </row>
    <row r="132" spans="1:908" x14ac:dyDescent="0.7">
      <c r="A132" s="6" t="s">
        <v>6278</v>
      </c>
      <c r="B132" s="6" t="s">
        <v>6202</v>
      </c>
      <c r="C132" s="6" t="s">
        <v>6203</v>
      </c>
      <c r="D132" s="11">
        <v>0</v>
      </c>
      <c r="E132" s="11">
        <v>4693</v>
      </c>
      <c r="F132" s="11"/>
      <c r="G132" s="11">
        <v>0</v>
      </c>
      <c r="H132" s="11"/>
      <c r="I132" s="11">
        <v>10521</v>
      </c>
      <c r="J132" s="11">
        <v>0</v>
      </c>
      <c r="K132" s="11">
        <v>0</v>
      </c>
      <c r="L132" s="11"/>
      <c r="M132" s="11">
        <v>0</v>
      </c>
      <c r="N132" s="11">
        <v>0</v>
      </c>
      <c r="O132" s="11">
        <v>0</v>
      </c>
      <c r="P132" s="11">
        <v>5064</v>
      </c>
      <c r="Q132" s="11">
        <v>0</v>
      </c>
      <c r="R132" s="11">
        <v>0</v>
      </c>
      <c r="S132" s="11">
        <v>5486</v>
      </c>
      <c r="T132" s="11">
        <v>0</v>
      </c>
      <c r="U132" s="11">
        <v>0</v>
      </c>
      <c r="V132" s="11"/>
      <c r="W132" s="11">
        <v>0</v>
      </c>
      <c r="X132" s="11">
        <v>0</v>
      </c>
      <c r="Y132" s="11">
        <v>54972</v>
      </c>
      <c r="Z132" s="11"/>
      <c r="AA132" s="11">
        <v>3990</v>
      </c>
      <c r="AB132" s="11">
        <v>649.79999999999995</v>
      </c>
      <c r="AC132" s="11">
        <v>0</v>
      </c>
      <c r="AD132" s="11">
        <v>24829.3</v>
      </c>
      <c r="AE132" s="11"/>
      <c r="AF132" s="11">
        <v>18805.099999999999</v>
      </c>
      <c r="AG132" s="11">
        <v>21144.799999999999</v>
      </c>
      <c r="AH132" s="11"/>
      <c r="AI132" s="11"/>
      <c r="AJ132" s="11">
        <v>86147.77</v>
      </c>
      <c r="AK132" s="11">
        <v>0</v>
      </c>
      <c r="AL132" s="11"/>
      <c r="AM132" s="11"/>
      <c r="AN132" s="11"/>
      <c r="AO132" s="11">
        <v>4431.8</v>
      </c>
      <c r="AP132" s="11"/>
      <c r="AQ132" s="11">
        <v>0</v>
      </c>
      <c r="AR132" s="11"/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/>
      <c r="AZ132" s="11">
        <v>0</v>
      </c>
      <c r="BA132" s="11">
        <v>0</v>
      </c>
      <c r="BB132" s="11"/>
      <c r="BC132" s="11">
        <v>0</v>
      </c>
      <c r="BD132" s="11">
        <v>0</v>
      </c>
      <c r="BE132" s="11">
        <v>0</v>
      </c>
      <c r="BF132" s="11">
        <v>17019</v>
      </c>
      <c r="BG132" s="11">
        <v>1730</v>
      </c>
      <c r="BH132" s="11"/>
      <c r="BI132" s="11">
        <v>0</v>
      </c>
      <c r="BJ132" s="11">
        <v>0</v>
      </c>
      <c r="BK132" s="11">
        <v>0</v>
      </c>
      <c r="BL132" s="11">
        <v>0</v>
      </c>
      <c r="BM132" s="11">
        <v>14239</v>
      </c>
      <c r="BN132" s="11">
        <v>0</v>
      </c>
      <c r="BO132" s="11">
        <v>718</v>
      </c>
      <c r="BP132" s="11">
        <v>0</v>
      </c>
      <c r="BQ132" s="11"/>
      <c r="BR132" s="11"/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/>
      <c r="BY132" s="11">
        <v>0</v>
      </c>
      <c r="BZ132" s="11"/>
      <c r="CA132" s="11"/>
      <c r="CB132" s="11">
        <v>0</v>
      </c>
      <c r="CC132" s="11"/>
      <c r="CD132" s="11"/>
      <c r="CE132" s="11">
        <v>0</v>
      </c>
      <c r="CF132" s="11"/>
      <c r="CG132" s="11"/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0</v>
      </c>
      <c r="CN132" s="11">
        <v>0</v>
      </c>
      <c r="CO132" s="11">
        <v>0</v>
      </c>
      <c r="CP132" s="11">
        <v>0</v>
      </c>
      <c r="CQ132" s="11">
        <v>9264</v>
      </c>
      <c r="CR132" s="11">
        <v>0</v>
      </c>
      <c r="CS132" s="11">
        <v>0</v>
      </c>
      <c r="CT132" s="11"/>
      <c r="CU132" s="11">
        <v>0</v>
      </c>
      <c r="CV132" s="11">
        <v>0</v>
      </c>
      <c r="CW132" s="11">
        <v>0</v>
      </c>
      <c r="CX132" s="11"/>
      <c r="CY132" s="11">
        <v>4819</v>
      </c>
      <c r="CZ132" s="11">
        <v>0</v>
      </c>
      <c r="DA132" s="11">
        <v>2976</v>
      </c>
      <c r="DB132" s="11">
        <v>0</v>
      </c>
      <c r="DC132" s="11">
        <v>0</v>
      </c>
      <c r="DD132" s="11">
        <v>0</v>
      </c>
      <c r="DE132" s="11">
        <v>0</v>
      </c>
      <c r="DF132" s="11"/>
      <c r="DG132" s="11">
        <v>0</v>
      </c>
      <c r="DH132" s="11"/>
      <c r="DI132" s="11"/>
      <c r="DJ132" s="11">
        <v>0</v>
      </c>
      <c r="DK132" s="11">
        <v>0</v>
      </c>
      <c r="DL132" s="11">
        <v>0</v>
      </c>
      <c r="DM132" s="11">
        <v>0</v>
      </c>
      <c r="DN132" s="11"/>
      <c r="DO132" s="11"/>
      <c r="DP132" s="11">
        <v>0</v>
      </c>
      <c r="DQ132" s="11"/>
      <c r="DR132" s="11">
        <v>4337</v>
      </c>
      <c r="DS132" s="11">
        <v>9821</v>
      </c>
      <c r="DT132" s="11"/>
      <c r="DU132" s="11">
        <v>0</v>
      </c>
      <c r="DV132" s="11"/>
      <c r="DW132" s="11">
        <v>0</v>
      </c>
      <c r="DX132" s="11"/>
      <c r="DY132" s="11"/>
      <c r="DZ132" s="11"/>
      <c r="EA132" s="11">
        <v>0</v>
      </c>
      <c r="EB132" s="11"/>
      <c r="EC132" s="11"/>
      <c r="ED132" s="11">
        <v>0</v>
      </c>
      <c r="EE132" s="11">
        <v>0</v>
      </c>
      <c r="EF132" s="11">
        <v>0</v>
      </c>
      <c r="EG132" s="11">
        <v>23455.200000000001</v>
      </c>
      <c r="EH132" s="11">
        <v>0</v>
      </c>
      <c r="EI132" s="11">
        <v>50178.6</v>
      </c>
      <c r="EJ132" s="11">
        <v>0</v>
      </c>
      <c r="EK132" s="11">
        <v>0</v>
      </c>
      <c r="EL132" s="11">
        <v>0</v>
      </c>
      <c r="EM132" s="11">
        <v>0</v>
      </c>
      <c r="EN132" s="11">
        <v>0</v>
      </c>
      <c r="EO132" s="11"/>
      <c r="EP132" s="11"/>
      <c r="EQ132" s="11">
        <v>0</v>
      </c>
      <c r="ER132" s="11">
        <v>2701</v>
      </c>
      <c r="ES132" s="11"/>
      <c r="ET132" s="11">
        <v>0</v>
      </c>
      <c r="EU132" s="11">
        <v>0</v>
      </c>
      <c r="EV132" s="11">
        <v>0</v>
      </c>
      <c r="EW132" s="11"/>
      <c r="EX132" s="11">
        <v>0</v>
      </c>
      <c r="EY132" s="11"/>
      <c r="EZ132" s="11">
        <v>0</v>
      </c>
      <c r="FA132" s="11">
        <v>0</v>
      </c>
      <c r="FB132" s="11">
        <v>0</v>
      </c>
      <c r="FC132" s="11">
        <v>223726.98</v>
      </c>
      <c r="FD132" s="11">
        <v>622</v>
      </c>
      <c r="FE132" s="11"/>
      <c r="FF132" s="11"/>
      <c r="FG132" s="11">
        <v>0</v>
      </c>
      <c r="FH132" s="11">
        <v>0</v>
      </c>
      <c r="FI132" s="11"/>
      <c r="FJ132" s="11"/>
      <c r="FK132" s="11">
        <v>0</v>
      </c>
      <c r="FL132" s="11"/>
      <c r="FM132" s="11"/>
      <c r="FN132" s="11"/>
      <c r="FO132" s="11">
        <v>5306</v>
      </c>
      <c r="FP132" s="11">
        <v>2647</v>
      </c>
      <c r="FQ132" s="11"/>
      <c r="FR132" s="11"/>
      <c r="FS132" s="11">
        <v>0</v>
      </c>
      <c r="FT132" s="11">
        <v>710</v>
      </c>
      <c r="FU132" s="11">
        <v>0</v>
      </c>
      <c r="FV132" s="11">
        <v>8018.15</v>
      </c>
      <c r="FW132" s="11">
        <v>12900</v>
      </c>
      <c r="FX132" s="11"/>
      <c r="FY132" s="11">
        <v>812.4</v>
      </c>
      <c r="FZ132" s="11">
        <v>19230.900000000001</v>
      </c>
      <c r="GA132" s="11">
        <v>0.6</v>
      </c>
      <c r="GB132" s="11"/>
      <c r="GC132" s="11"/>
      <c r="GD132" s="11">
        <v>4131.8</v>
      </c>
      <c r="GE132" s="11">
        <v>46989.68</v>
      </c>
      <c r="GF132" s="11"/>
      <c r="GG132" s="11">
        <v>0</v>
      </c>
      <c r="GH132" s="11">
        <v>0</v>
      </c>
      <c r="GI132" s="11"/>
      <c r="GJ132" s="11">
        <v>11478.6</v>
      </c>
      <c r="GK132" s="11">
        <v>0</v>
      </c>
      <c r="GL132" s="11">
        <v>0</v>
      </c>
      <c r="GM132" s="11">
        <v>0</v>
      </c>
      <c r="GN132" s="11">
        <v>63</v>
      </c>
      <c r="GO132" s="11">
        <v>0</v>
      </c>
      <c r="GP132" s="11">
        <v>0</v>
      </c>
      <c r="GQ132" s="11">
        <v>0</v>
      </c>
      <c r="GR132" s="11"/>
      <c r="GS132" s="11">
        <v>0</v>
      </c>
      <c r="GT132" s="11">
        <v>0</v>
      </c>
      <c r="GU132" s="11">
        <v>0</v>
      </c>
      <c r="GV132" s="11">
        <v>0</v>
      </c>
      <c r="GW132" s="11">
        <v>0</v>
      </c>
      <c r="GX132" s="11">
        <v>0</v>
      </c>
      <c r="GY132" s="11"/>
      <c r="GZ132" s="11">
        <v>0</v>
      </c>
      <c r="HA132" s="11">
        <v>0</v>
      </c>
      <c r="HB132" s="11">
        <v>6334</v>
      </c>
      <c r="HC132" s="11">
        <v>0</v>
      </c>
      <c r="HD132" s="11">
        <v>142485</v>
      </c>
      <c r="HE132" s="11">
        <v>0</v>
      </c>
      <c r="HF132" s="11">
        <v>5600</v>
      </c>
      <c r="HG132" s="11">
        <v>0</v>
      </c>
      <c r="HH132" s="11"/>
      <c r="HI132" s="11">
        <v>0</v>
      </c>
      <c r="HJ132" s="11">
        <v>0</v>
      </c>
      <c r="HK132" s="11"/>
      <c r="HL132" s="11">
        <v>0</v>
      </c>
      <c r="HM132" s="11">
        <v>0</v>
      </c>
      <c r="HN132" s="11"/>
      <c r="HO132" s="11">
        <v>0</v>
      </c>
      <c r="HP132" s="11">
        <v>22921.97</v>
      </c>
      <c r="HQ132" s="11"/>
      <c r="HR132" s="11"/>
      <c r="HS132" s="11">
        <v>0</v>
      </c>
      <c r="HT132" s="11">
        <v>0</v>
      </c>
      <c r="HU132" s="11">
        <v>0</v>
      </c>
      <c r="HV132" s="11">
        <v>2625</v>
      </c>
      <c r="HW132" s="11">
        <v>0</v>
      </c>
      <c r="HX132" s="11">
        <v>0</v>
      </c>
      <c r="HY132" s="11">
        <v>0</v>
      </c>
      <c r="HZ132" s="11">
        <v>0</v>
      </c>
      <c r="IA132" s="11">
        <v>0</v>
      </c>
      <c r="IB132" s="11">
        <v>0</v>
      </c>
      <c r="IC132" s="11">
        <v>0</v>
      </c>
      <c r="ID132" s="11">
        <v>0</v>
      </c>
      <c r="IE132" s="11">
        <v>0</v>
      </c>
      <c r="IF132" s="11">
        <v>0</v>
      </c>
      <c r="IG132" s="11">
        <v>55479.03</v>
      </c>
      <c r="IH132" s="11">
        <v>1242</v>
      </c>
      <c r="II132" s="11"/>
      <c r="IJ132" s="11"/>
      <c r="IK132" s="11"/>
      <c r="IL132" s="11"/>
      <c r="IM132" s="11">
        <v>0</v>
      </c>
      <c r="IN132" s="11"/>
      <c r="IO132" s="11">
        <v>0</v>
      </c>
      <c r="IP132" s="11"/>
      <c r="IQ132" s="11">
        <v>5721</v>
      </c>
      <c r="IR132" s="11"/>
      <c r="IS132" s="11">
        <v>0</v>
      </c>
      <c r="IT132" s="11"/>
      <c r="IU132" s="11"/>
      <c r="IV132" s="11">
        <v>0</v>
      </c>
      <c r="IW132" s="11">
        <v>0</v>
      </c>
      <c r="IX132" s="11">
        <v>0</v>
      </c>
      <c r="IY132" s="11">
        <v>7069.8</v>
      </c>
      <c r="IZ132" s="11">
        <v>0</v>
      </c>
      <c r="JA132" s="11">
        <v>0</v>
      </c>
      <c r="JB132" s="11"/>
      <c r="JC132" s="11"/>
      <c r="JD132" s="11">
        <v>0</v>
      </c>
      <c r="JE132" s="11">
        <v>0</v>
      </c>
      <c r="JF132" s="11">
        <v>0</v>
      </c>
      <c r="JG132" s="11"/>
      <c r="JH132" s="11">
        <v>0</v>
      </c>
      <c r="JI132" s="11">
        <v>0</v>
      </c>
      <c r="JJ132" s="11">
        <v>20877.849999999999</v>
      </c>
      <c r="JK132" s="11"/>
      <c r="JL132" s="11">
        <v>0</v>
      </c>
      <c r="JM132" s="11">
        <v>0</v>
      </c>
      <c r="JN132" s="11">
        <v>0</v>
      </c>
      <c r="JO132" s="11"/>
      <c r="JP132" s="11">
        <v>0</v>
      </c>
      <c r="JQ132" s="11"/>
      <c r="JR132" s="11">
        <v>0</v>
      </c>
      <c r="JS132" s="11"/>
      <c r="JT132" s="11">
        <v>0</v>
      </c>
      <c r="JU132" s="11">
        <v>0</v>
      </c>
      <c r="JV132" s="11">
        <v>8619</v>
      </c>
      <c r="JW132" s="11">
        <v>0</v>
      </c>
      <c r="JX132" s="11">
        <v>0</v>
      </c>
      <c r="JY132" s="11">
        <v>0</v>
      </c>
      <c r="JZ132" s="11">
        <v>0</v>
      </c>
      <c r="KA132" s="11">
        <v>0</v>
      </c>
      <c r="KB132" s="11">
        <v>0</v>
      </c>
      <c r="KC132" s="11">
        <v>0</v>
      </c>
      <c r="KD132" s="11"/>
      <c r="KE132" s="11"/>
      <c r="KF132" s="11">
        <v>4384</v>
      </c>
      <c r="KG132" s="11"/>
      <c r="KH132" s="11"/>
      <c r="KI132" s="11"/>
      <c r="KJ132" s="11">
        <v>34113.49</v>
      </c>
      <c r="KK132" s="11">
        <v>0</v>
      </c>
      <c r="KL132" s="11">
        <v>9505.2000000000007</v>
      </c>
      <c r="KM132" s="11">
        <v>0</v>
      </c>
      <c r="KN132" s="11"/>
      <c r="KO132" s="11">
        <v>10827</v>
      </c>
      <c r="KP132" s="11">
        <v>3665</v>
      </c>
      <c r="KQ132" s="11"/>
      <c r="KR132" s="11"/>
      <c r="KS132" s="11">
        <v>0</v>
      </c>
      <c r="KT132" s="11"/>
      <c r="KU132" s="11"/>
      <c r="KV132" s="11"/>
      <c r="KW132" s="11"/>
      <c r="KX132" s="11">
        <v>0</v>
      </c>
      <c r="KY132" s="11"/>
      <c r="KZ132" s="11">
        <v>0</v>
      </c>
      <c r="LA132" s="11">
        <v>132.75</v>
      </c>
      <c r="LB132" s="11">
        <v>0</v>
      </c>
      <c r="LC132" s="11"/>
      <c r="LD132" s="11"/>
      <c r="LE132" s="11"/>
      <c r="LF132" s="11"/>
      <c r="LG132" s="11"/>
      <c r="LH132" s="11"/>
      <c r="LI132" s="11">
        <v>0</v>
      </c>
      <c r="LJ132" s="11">
        <v>0</v>
      </c>
      <c r="LK132" s="11"/>
      <c r="LL132" s="11">
        <v>0</v>
      </c>
      <c r="LM132" s="11"/>
      <c r="LN132" s="11"/>
      <c r="LO132" s="11"/>
      <c r="LP132" s="11">
        <v>0</v>
      </c>
      <c r="LQ132" s="11">
        <v>0</v>
      </c>
      <c r="LR132" s="11"/>
      <c r="LS132" s="11"/>
      <c r="LT132" s="11"/>
      <c r="LU132" s="11"/>
      <c r="LV132" s="11"/>
      <c r="LW132" s="11">
        <v>0</v>
      </c>
      <c r="LX132" s="11"/>
      <c r="LY132" s="11">
        <v>166.34</v>
      </c>
      <c r="LZ132" s="11">
        <v>58560</v>
      </c>
      <c r="MA132" s="11">
        <v>0</v>
      </c>
      <c r="MB132" s="11">
        <v>0</v>
      </c>
      <c r="MC132" s="11">
        <v>0</v>
      </c>
      <c r="MD132" s="11">
        <v>0</v>
      </c>
      <c r="ME132" s="11"/>
      <c r="MF132" s="11">
        <v>0</v>
      </c>
      <c r="MG132" s="11">
        <v>0</v>
      </c>
      <c r="MH132" s="11">
        <v>0</v>
      </c>
      <c r="MI132" s="11">
        <v>0</v>
      </c>
      <c r="MJ132" s="11"/>
      <c r="MK132" s="11"/>
      <c r="ML132" s="11"/>
      <c r="MM132" s="11">
        <v>0</v>
      </c>
      <c r="MN132" s="11">
        <v>0</v>
      </c>
      <c r="MO132" s="11">
        <v>0</v>
      </c>
      <c r="MP132" s="11">
        <v>0</v>
      </c>
      <c r="MQ132" s="11">
        <v>0</v>
      </c>
      <c r="MR132" s="11"/>
      <c r="MS132" s="11"/>
      <c r="MT132" s="11"/>
      <c r="MU132" s="11">
        <v>0</v>
      </c>
      <c r="MV132" s="11"/>
      <c r="MW132" s="11"/>
      <c r="MX132" s="11">
        <v>1800</v>
      </c>
      <c r="MY132" s="11">
        <v>0</v>
      </c>
      <c r="MZ132" s="11">
        <v>0</v>
      </c>
      <c r="NA132" s="11"/>
      <c r="NB132" s="11"/>
      <c r="NC132" s="11">
        <v>1497.4</v>
      </c>
      <c r="ND132" s="11">
        <v>0</v>
      </c>
      <c r="NE132" s="11">
        <v>0</v>
      </c>
      <c r="NF132" s="11">
        <v>0</v>
      </c>
      <c r="NG132" s="11"/>
      <c r="NH132" s="11">
        <v>0</v>
      </c>
      <c r="NI132" s="11"/>
      <c r="NJ132" s="11">
        <v>0</v>
      </c>
      <c r="NK132" s="11"/>
      <c r="NL132" s="11">
        <v>0</v>
      </c>
      <c r="NM132" s="11">
        <v>0</v>
      </c>
      <c r="NN132" s="11"/>
      <c r="NO132" s="11">
        <v>5039</v>
      </c>
      <c r="NP132" s="11">
        <v>40639</v>
      </c>
      <c r="NQ132" s="11">
        <v>0</v>
      </c>
      <c r="NR132" s="11"/>
      <c r="NS132" s="11">
        <v>0</v>
      </c>
      <c r="NT132" s="11">
        <v>0</v>
      </c>
      <c r="NU132" s="11"/>
      <c r="NV132" s="11">
        <v>5346</v>
      </c>
      <c r="NW132" s="11"/>
      <c r="NX132" s="11">
        <v>106062</v>
      </c>
      <c r="NY132" s="11">
        <v>0</v>
      </c>
      <c r="NZ132" s="11">
        <v>25000</v>
      </c>
      <c r="OA132" s="11"/>
      <c r="OB132" s="11">
        <v>0</v>
      </c>
      <c r="OC132" s="11">
        <v>0</v>
      </c>
      <c r="OD132" s="11"/>
      <c r="OE132" s="11">
        <v>9556.5499999999993</v>
      </c>
      <c r="OF132" s="11">
        <v>13462.1</v>
      </c>
      <c r="OG132" s="11">
        <v>0</v>
      </c>
      <c r="OH132" s="11">
        <v>0</v>
      </c>
      <c r="OI132" s="11"/>
      <c r="OJ132" s="11"/>
      <c r="OK132" s="11">
        <v>2839</v>
      </c>
      <c r="OL132" s="11"/>
      <c r="OM132" s="11">
        <v>0</v>
      </c>
      <c r="ON132" s="11">
        <v>0</v>
      </c>
      <c r="OO132" s="11">
        <v>0</v>
      </c>
      <c r="OP132" s="11">
        <v>3131</v>
      </c>
      <c r="OQ132" s="11">
        <v>0</v>
      </c>
      <c r="OR132" s="11">
        <v>0</v>
      </c>
      <c r="OS132" s="11">
        <v>0</v>
      </c>
      <c r="OT132" s="11">
        <v>0.89</v>
      </c>
      <c r="OU132" s="11"/>
      <c r="OV132" s="11">
        <v>0</v>
      </c>
      <c r="OW132" s="11">
        <v>0</v>
      </c>
      <c r="OX132" s="11">
        <v>0</v>
      </c>
      <c r="OY132" s="11">
        <v>0</v>
      </c>
      <c r="OZ132" s="11">
        <v>0</v>
      </c>
      <c r="PA132" s="11">
        <v>0</v>
      </c>
      <c r="PB132" s="11">
        <v>1037</v>
      </c>
      <c r="PC132" s="11">
        <v>0</v>
      </c>
      <c r="PD132" s="11">
        <v>12754</v>
      </c>
      <c r="PE132" s="11">
        <v>8210</v>
      </c>
      <c r="PF132" s="11">
        <v>1993</v>
      </c>
      <c r="PG132" s="11"/>
      <c r="PH132" s="11">
        <v>13231</v>
      </c>
      <c r="PI132" s="11">
        <v>2631</v>
      </c>
      <c r="PJ132" s="11"/>
      <c r="PK132" s="11"/>
      <c r="PL132" s="11">
        <v>6351</v>
      </c>
      <c r="PM132" s="11">
        <v>10175</v>
      </c>
      <c r="PN132" s="11"/>
      <c r="PO132" s="11"/>
      <c r="PP132" s="11"/>
      <c r="PQ132" s="11">
        <v>7180</v>
      </c>
      <c r="PR132" s="11">
        <v>4242</v>
      </c>
      <c r="PS132" s="11">
        <v>5249</v>
      </c>
      <c r="PT132" s="11"/>
      <c r="PU132" s="11"/>
      <c r="PV132" s="11"/>
      <c r="PW132" s="11">
        <v>26814.44</v>
      </c>
      <c r="PX132" s="11">
        <v>0</v>
      </c>
      <c r="PY132" s="11"/>
      <c r="PZ132" s="11">
        <v>0</v>
      </c>
      <c r="QA132" s="11">
        <v>0</v>
      </c>
      <c r="QB132" s="11"/>
      <c r="QC132" s="11"/>
      <c r="QD132" s="11">
        <v>0</v>
      </c>
      <c r="QE132" s="11">
        <v>0</v>
      </c>
      <c r="QF132" s="11"/>
      <c r="QG132" s="11"/>
      <c r="QH132" s="11">
        <v>0</v>
      </c>
      <c r="QI132" s="11">
        <v>0</v>
      </c>
      <c r="QJ132" s="11"/>
      <c r="QK132" s="11"/>
      <c r="QL132" s="11"/>
      <c r="QM132" s="11">
        <v>0</v>
      </c>
      <c r="QN132" s="11"/>
      <c r="QO132" s="11">
        <v>0</v>
      </c>
      <c r="QP132" s="11">
        <v>0</v>
      </c>
      <c r="QQ132" s="11"/>
      <c r="QR132" s="11">
        <v>0</v>
      </c>
      <c r="QS132" s="11">
        <v>0</v>
      </c>
      <c r="QT132" s="11"/>
      <c r="QU132" s="11"/>
      <c r="QV132" s="11"/>
      <c r="QW132" s="11">
        <v>0</v>
      </c>
      <c r="QX132" s="11"/>
      <c r="QY132" s="11"/>
      <c r="QZ132" s="11"/>
      <c r="RA132" s="11">
        <v>0</v>
      </c>
      <c r="RB132" s="11"/>
      <c r="RC132" s="11">
        <v>6327</v>
      </c>
      <c r="RD132" s="11">
        <v>0</v>
      </c>
      <c r="RE132" s="11">
        <v>800</v>
      </c>
      <c r="RF132" s="11"/>
      <c r="RG132" s="11"/>
      <c r="RH132" s="11">
        <v>0</v>
      </c>
      <c r="RI132" s="11">
        <v>0</v>
      </c>
      <c r="RJ132" s="11">
        <v>29831</v>
      </c>
      <c r="RK132" s="11">
        <v>0</v>
      </c>
      <c r="RL132" s="11">
        <v>18999.8</v>
      </c>
      <c r="RM132" s="11">
        <v>459</v>
      </c>
      <c r="RN132" s="11">
        <v>15105</v>
      </c>
      <c r="RO132" s="11">
        <v>0</v>
      </c>
      <c r="RP132" s="11">
        <v>0</v>
      </c>
      <c r="RQ132" s="11">
        <v>899</v>
      </c>
      <c r="RR132" s="11">
        <v>0</v>
      </c>
      <c r="RS132" s="11">
        <v>0</v>
      </c>
      <c r="RT132" s="11">
        <v>0</v>
      </c>
      <c r="RU132" s="11">
        <v>0</v>
      </c>
      <c r="RV132" s="11">
        <v>8601.36</v>
      </c>
      <c r="RW132" s="11">
        <v>8119</v>
      </c>
      <c r="RX132" s="11">
        <v>0</v>
      </c>
      <c r="RY132" s="11">
        <v>0</v>
      </c>
      <c r="RZ132" s="11">
        <v>2392.6</v>
      </c>
      <c r="SA132" s="11">
        <v>0</v>
      </c>
      <c r="SB132" s="11">
        <v>0</v>
      </c>
      <c r="SC132" s="11">
        <v>3000</v>
      </c>
      <c r="SD132" s="11">
        <v>0</v>
      </c>
      <c r="SE132" s="11">
        <v>19056.8</v>
      </c>
      <c r="SF132" s="11"/>
      <c r="SG132" s="11"/>
      <c r="SH132" s="11">
        <v>0</v>
      </c>
      <c r="SI132" s="11">
        <v>0</v>
      </c>
      <c r="SJ132" s="11">
        <v>0</v>
      </c>
      <c r="SK132" s="11"/>
      <c r="SL132" s="11">
        <v>0</v>
      </c>
      <c r="SM132" s="11">
        <v>0</v>
      </c>
      <c r="SN132" s="11">
        <v>0</v>
      </c>
      <c r="SO132" s="11"/>
      <c r="SP132" s="11">
        <v>0</v>
      </c>
      <c r="SQ132" s="11">
        <v>18370.599999999999</v>
      </c>
      <c r="SR132" s="11">
        <v>0</v>
      </c>
      <c r="SS132" s="11">
        <v>4817</v>
      </c>
      <c r="ST132" s="11"/>
      <c r="SU132" s="11"/>
      <c r="SV132" s="11">
        <v>0</v>
      </c>
      <c r="SW132" s="11">
        <v>1701</v>
      </c>
      <c r="SX132" s="11"/>
      <c r="SY132" s="11"/>
      <c r="SZ132" s="11">
        <v>0</v>
      </c>
      <c r="TA132" s="11">
        <v>0</v>
      </c>
      <c r="TB132" s="11"/>
      <c r="TC132" s="11">
        <v>5875</v>
      </c>
      <c r="TD132" s="11">
        <v>0</v>
      </c>
      <c r="TE132" s="11">
        <v>0</v>
      </c>
      <c r="TF132" s="11">
        <v>0.25</v>
      </c>
      <c r="TG132" s="11">
        <v>0</v>
      </c>
      <c r="TH132" s="11"/>
      <c r="TI132" s="11">
        <v>270</v>
      </c>
      <c r="TJ132" s="11"/>
      <c r="TK132" s="11"/>
      <c r="TL132" s="11">
        <v>0</v>
      </c>
      <c r="TM132" s="11">
        <v>0</v>
      </c>
      <c r="TN132" s="11"/>
      <c r="TO132" s="11"/>
      <c r="TP132" s="11"/>
      <c r="TQ132" s="11"/>
      <c r="TR132" s="11">
        <v>0</v>
      </c>
      <c r="TS132" s="11"/>
      <c r="TT132" s="11"/>
      <c r="TU132" s="11"/>
      <c r="TV132" s="11"/>
      <c r="TW132" s="11">
        <v>0</v>
      </c>
      <c r="TX132" s="11">
        <v>0</v>
      </c>
      <c r="TY132" s="11">
        <v>0</v>
      </c>
      <c r="TZ132" s="11"/>
      <c r="UA132" s="11">
        <v>0</v>
      </c>
      <c r="UB132" s="11"/>
      <c r="UC132" s="11">
        <v>0</v>
      </c>
      <c r="UD132" s="11"/>
      <c r="UE132" s="11">
        <v>0</v>
      </c>
      <c r="UF132" s="11">
        <v>0</v>
      </c>
      <c r="UG132" s="11"/>
      <c r="UH132" s="11"/>
      <c r="UI132" s="11">
        <v>0</v>
      </c>
      <c r="UJ132" s="11">
        <v>0</v>
      </c>
      <c r="UK132" s="11">
        <v>0</v>
      </c>
      <c r="UL132" s="11">
        <v>0</v>
      </c>
      <c r="UM132" s="11">
        <v>0</v>
      </c>
      <c r="UN132" s="11"/>
      <c r="UO132" s="11"/>
      <c r="UP132" s="11">
        <v>0</v>
      </c>
      <c r="UQ132" s="11">
        <v>0</v>
      </c>
      <c r="UR132" s="11">
        <v>0</v>
      </c>
      <c r="US132" s="11"/>
      <c r="UT132" s="11"/>
      <c r="UU132" s="11">
        <v>0</v>
      </c>
      <c r="UV132" s="11"/>
      <c r="UW132" s="11">
        <v>0</v>
      </c>
      <c r="UX132" s="11"/>
      <c r="UY132" s="11"/>
      <c r="UZ132" s="11">
        <v>0</v>
      </c>
      <c r="VA132" s="11">
        <v>72094.070000000007</v>
      </c>
      <c r="VB132" s="11"/>
      <c r="VC132" s="11">
        <v>3999</v>
      </c>
      <c r="VD132" s="11"/>
      <c r="VE132" s="11"/>
      <c r="VF132" s="11">
        <v>0</v>
      </c>
      <c r="VG132" s="11"/>
      <c r="VH132" s="11"/>
      <c r="VI132" s="11">
        <v>0</v>
      </c>
      <c r="VJ132" s="11">
        <v>2530</v>
      </c>
      <c r="VK132" s="11">
        <v>0</v>
      </c>
      <c r="VL132" s="11"/>
      <c r="VM132" s="11"/>
      <c r="VN132" s="11">
        <v>2065</v>
      </c>
      <c r="VO132" s="11">
        <v>3134.67</v>
      </c>
      <c r="VP132" s="11">
        <v>0</v>
      </c>
      <c r="VQ132" s="11"/>
      <c r="VR132" s="11"/>
      <c r="VS132" s="11"/>
      <c r="VT132" s="11">
        <v>0</v>
      </c>
      <c r="VU132" s="11"/>
      <c r="VV132" s="11"/>
      <c r="VW132" s="11"/>
      <c r="VX132" s="11">
        <v>31671.94</v>
      </c>
      <c r="VY132" s="11"/>
      <c r="VZ132" s="11">
        <v>0</v>
      </c>
      <c r="WA132" s="11">
        <v>30</v>
      </c>
      <c r="WB132" s="11">
        <v>0</v>
      </c>
      <c r="WC132" s="11">
        <v>0</v>
      </c>
      <c r="WD132" s="11"/>
      <c r="WE132" s="11"/>
      <c r="WF132" s="11">
        <v>0</v>
      </c>
      <c r="WG132" s="11">
        <v>0</v>
      </c>
      <c r="WH132" s="11">
        <v>0</v>
      </c>
      <c r="WI132" s="11">
        <v>0</v>
      </c>
      <c r="WJ132" s="11">
        <v>0</v>
      </c>
      <c r="WK132" s="11">
        <v>0</v>
      </c>
      <c r="WL132" s="11">
        <v>0</v>
      </c>
      <c r="WM132" s="11">
        <v>0</v>
      </c>
      <c r="WN132" s="11"/>
      <c r="WO132" s="11"/>
      <c r="WP132" s="11">
        <v>0</v>
      </c>
      <c r="WQ132" s="11"/>
      <c r="WR132" s="11"/>
      <c r="WS132" s="11">
        <v>0</v>
      </c>
      <c r="WT132" s="11">
        <v>0</v>
      </c>
      <c r="WU132" s="11"/>
      <c r="WV132" s="11">
        <v>0</v>
      </c>
      <c r="WW132" s="11">
        <v>0</v>
      </c>
      <c r="WX132" s="11">
        <v>0</v>
      </c>
      <c r="WY132" s="11">
        <v>0</v>
      </c>
      <c r="WZ132" s="11"/>
      <c r="XA132" s="11"/>
      <c r="XB132" s="11"/>
      <c r="XC132" s="11">
        <v>7660</v>
      </c>
      <c r="XD132" s="11">
        <v>0</v>
      </c>
      <c r="XE132" s="11">
        <v>6530</v>
      </c>
      <c r="XF132" s="11">
        <v>0</v>
      </c>
      <c r="XG132" s="11"/>
      <c r="XH132" s="11">
        <v>176</v>
      </c>
      <c r="XI132" s="11"/>
      <c r="XJ132" s="11">
        <v>13936</v>
      </c>
      <c r="XK132" s="11">
        <v>1394.4</v>
      </c>
      <c r="XL132" s="11"/>
      <c r="XM132" s="11">
        <v>0</v>
      </c>
      <c r="XN132" s="11">
        <v>0</v>
      </c>
      <c r="XO132" s="11">
        <v>22686</v>
      </c>
      <c r="XP132" s="11">
        <v>0</v>
      </c>
      <c r="XQ132" s="11">
        <v>6190</v>
      </c>
      <c r="XR132" s="11">
        <v>0</v>
      </c>
      <c r="XS132" s="11">
        <v>0</v>
      </c>
      <c r="XT132" s="11"/>
      <c r="XU132" s="11">
        <v>0</v>
      </c>
      <c r="XV132" s="11">
        <v>0</v>
      </c>
      <c r="XW132" s="11">
        <v>0</v>
      </c>
      <c r="XX132" s="11">
        <v>0</v>
      </c>
      <c r="XY132" s="11">
        <v>0</v>
      </c>
      <c r="XZ132" s="11">
        <v>0</v>
      </c>
      <c r="YA132" s="11">
        <v>0</v>
      </c>
      <c r="YB132" s="11">
        <v>0</v>
      </c>
      <c r="YC132" s="11">
        <v>0</v>
      </c>
      <c r="YD132" s="11"/>
      <c r="YE132" s="11">
        <v>0</v>
      </c>
      <c r="YF132" s="11">
        <v>0</v>
      </c>
      <c r="YG132" s="11">
        <v>3831</v>
      </c>
      <c r="YH132" s="11">
        <v>5335</v>
      </c>
      <c r="YI132" s="11">
        <v>0</v>
      </c>
      <c r="YJ132" s="11">
        <v>0</v>
      </c>
      <c r="YK132" s="11">
        <v>5137</v>
      </c>
      <c r="YL132" s="11">
        <v>0</v>
      </c>
      <c r="YM132" s="11">
        <v>2484</v>
      </c>
      <c r="YN132" s="11">
        <v>0</v>
      </c>
      <c r="YO132" s="11">
        <v>0</v>
      </c>
      <c r="YP132" s="11"/>
      <c r="YQ132" s="11">
        <v>0</v>
      </c>
      <c r="YR132" s="11"/>
      <c r="YS132" s="11">
        <v>50388</v>
      </c>
      <c r="YT132" s="11">
        <v>0</v>
      </c>
      <c r="YU132" s="11">
        <v>0</v>
      </c>
      <c r="YV132" s="11">
        <v>0</v>
      </c>
      <c r="YW132" s="11"/>
      <c r="YX132" s="11">
        <v>0</v>
      </c>
      <c r="YY132" s="11">
        <v>0</v>
      </c>
      <c r="YZ132" s="11">
        <v>0</v>
      </c>
      <c r="ZA132" s="11">
        <v>0</v>
      </c>
      <c r="ZB132" s="11">
        <v>0</v>
      </c>
      <c r="ZC132" s="11"/>
      <c r="ZD132" s="11">
        <v>0</v>
      </c>
      <c r="ZE132" s="11">
        <v>5401</v>
      </c>
      <c r="ZF132" s="11">
        <v>10557.6</v>
      </c>
      <c r="ZG132" s="11">
        <v>0</v>
      </c>
      <c r="ZH132" s="11">
        <v>0</v>
      </c>
      <c r="ZI132" s="11">
        <v>0</v>
      </c>
      <c r="ZJ132" s="11"/>
      <c r="ZK132" s="11">
        <v>0</v>
      </c>
      <c r="ZL132" s="11"/>
      <c r="ZM132" s="11"/>
      <c r="ZN132" s="11">
        <v>0</v>
      </c>
      <c r="ZO132" s="11">
        <v>8001</v>
      </c>
      <c r="ZP132" s="11"/>
      <c r="ZQ132" s="11"/>
      <c r="ZR132" s="11"/>
      <c r="ZS132" s="11">
        <v>0</v>
      </c>
      <c r="ZT132" s="11"/>
      <c r="ZU132" s="11">
        <v>0</v>
      </c>
      <c r="ZV132" s="11"/>
      <c r="ZW132" s="11">
        <v>0</v>
      </c>
      <c r="ZX132" s="11"/>
      <c r="ZY132" s="11"/>
      <c r="ZZ132" s="11"/>
      <c r="AAA132" s="11"/>
      <c r="AAB132" s="11"/>
      <c r="AAC132" s="11"/>
      <c r="AAD132" s="11">
        <v>0</v>
      </c>
      <c r="AAE132" s="11"/>
      <c r="AAF132" s="11">
        <v>0</v>
      </c>
      <c r="AAG132" s="11">
        <v>0</v>
      </c>
      <c r="AAH132" s="11"/>
      <c r="AAI132" s="11"/>
      <c r="AAJ132" s="11">
        <v>0</v>
      </c>
      <c r="AAK132" s="11">
        <v>0</v>
      </c>
      <c r="AAL132" s="11">
        <v>0</v>
      </c>
      <c r="AAM132" s="11">
        <v>0</v>
      </c>
      <c r="AAN132" s="11">
        <v>0</v>
      </c>
      <c r="AAO132" s="11"/>
      <c r="AAP132" s="11"/>
      <c r="AAQ132" s="11">
        <v>0</v>
      </c>
      <c r="AAR132" s="11">
        <v>0</v>
      </c>
      <c r="AAS132" s="11"/>
      <c r="AAT132" s="11">
        <v>0</v>
      </c>
      <c r="AAU132" s="11">
        <v>0</v>
      </c>
      <c r="AAV132" s="11">
        <v>0</v>
      </c>
      <c r="AAW132" s="11">
        <v>0</v>
      </c>
      <c r="AAX132" s="11">
        <v>0</v>
      </c>
      <c r="AAY132" s="11">
        <v>0</v>
      </c>
      <c r="AAZ132" s="11"/>
      <c r="ABA132" s="11">
        <v>0</v>
      </c>
      <c r="ABB132" s="11">
        <v>0</v>
      </c>
      <c r="ABC132" s="11">
        <v>62630</v>
      </c>
      <c r="ABD132" s="11">
        <v>0</v>
      </c>
      <c r="ABE132" s="11">
        <v>0</v>
      </c>
      <c r="ABF132" s="11">
        <v>55044.5</v>
      </c>
      <c r="ABG132" s="11">
        <v>2030</v>
      </c>
      <c r="ABH132" s="11">
        <v>0</v>
      </c>
      <c r="ABI132" s="11">
        <v>0</v>
      </c>
      <c r="ABJ132" s="11">
        <v>0</v>
      </c>
      <c r="ABK132" s="11">
        <v>0</v>
      </c>
      <c r="ABL132" s="11"/>
      <c r="ABM132" s="11"/>
      <c r="ABN132" s="11">
        <v>0</v>
      </c>
      <c r="ABO132" s="11">
        <v>0</v>
      </c>
      <c r="ABP132" s="11">
        <v>0</v>
      </c>
      <c r="ABQ132" s="11"/>
      <c r="ABR132" s="11"/>
      <c r="ABS132" s="11">
        <v>15221</v>
      </c>
      <c r="ABT132" s="11">
        <v>7678</v>
      </c>
      <c r="ABU132" s="11">
        <v>3071</v>
      </c>
      <c r="ABV132" s="11">
        <v>0</v>
      </c>
      <c r="ABW132" s="11">
        <v>610</v>
      </c>
      <c r="ABX132" s="11"/>
      <c r="ABY132" s="11">
        <v>15028</v>
      </c>
      <c r="ABZ132" s="11">
        <v>-16198</v>
      </c>
      <c r="ACA132" s="11"/>
      <c r="ACB132" s="11">
        <v>0</v>
      </c>
      <c r="ACC132" s="11">
        <v>0</v>
      </c>
      <c r="ACD132" s="11">
        <v>7814</v>
      </c>
      <c r="ACE132" s="11">
        <v>75330</v>
      </c>
      <c r="ACF132" s="11"/>
      <c r="ACG132" s="11">
        <v>2872</v>
      </c>
      <c r="ACH132" s="11">
        <v>0</v>
      </c>
      <c r="ACI132" s="11">
        <v>0</v>
      </c>
      <c r="ACJ132" s="11">
        <v>0</v>
      </c>
      <c r="ACK132" s="11">
        <v>0</v>
      </c>
      <c r="ACL132" s="11">
        <v>0</v>
      </c>
      <c r="ACM132" s="11">
        <v>0</v>
      </c>
      <c r="ACN132" s="11">
        <v>0</v>
      </c>
      <c r="ACO132" s="11">
        <v>0</v>
      </c>
      <c r="ACP132" s="11"/>
      <c r="ACQ132" s="11">
        <v>0</v>
      </c>
      <c r="ACR132" s="11">
        <v>0</v>
      </c>
      <c r="ACS132" s="11">
        <v>0</v>
      </c>
      <c r="ACT132" s="11">
        <v>0</v>
      </c>
      <c r="ACU132" s="11">
        <v>0</v>
      </c>
      <c r="ACV132" s="11"/>
      <c r="ACW132" s="11">
        <v>3931</v>
      </c>
      <c r="ACX132" s="11"/>
      <c r="ACY132" s="11">
        <v>600</v>
      </c>
      <c r="ACZ132" s="11"/>
      <c r="ADA132" s="11">
        <v>0</v>
      </c>
      <c r="ADB132" s="11"/>
      <c r="ADC132" s="11"/>
      <c r="ADD132" s="11">
        <v>0</v>
      </c>
      <c r="ADE132" s="11">
        <v>0</v>
      </c>
      <c r="ADF132" s="11">
        <v>0</v>
      </c>
      <c r="ADG132" s="11">
        <v>0</v>
      </c>
      <c r="ADH132" s="11">
        <v>0</v>
      </c>
      <c r="ADI132" s="11"/>
      <c r="ADJ132" s="11"/>
      <c r="ADK132" s="11">
        <v>95010.72</v>
      </c>
      <c r="ADL132" s="11">
        <v>0</v>
      </c>
      <c r="ADM132" s="11">
        <v>0</v>
      </c>
      <c r="ADN132" s="11"/>
      <c r="ADO132" s="11">
        <v>0</v>
      </c>
      <c r="ADP132" s="11">
        <v>0</v>
      </c>
      <c r="ADQ132" s="11">
        <v>0</v>
      </c>
      <c r="ADR132" s="11">
        <v>0</v>
      </c>
      <c r="ADS132" s="11">
        <v>682.6</v>
      </c>
      <c r="ADT132" s="11">
        <v>0</v>
      </c>
      <c r="ADU132" s="11">
        <v>0</v>
      </c>
      <c r="ADV132" s="11">
        <v>0</v>
      </c>
      <c r="ADW132" s="11"/>
      <c r="ADX132" s="11">
        <v>0</v>
      </c>
      <c r="ADY132" s="11"/>
      <c r="ADZ132" s="11">
        <v>0</v>
      </c>
      <c r="AEA132" s="11">
        <v>23512.3</v>
      </c>
      <c r="AEB132" s="11"/>
      <c r="AEC132" s="11"/>
      <c r="AED132" s="11">
        <v>26496</v>
      </c>
      <c r="AEE132" s="11">
        <v>0</v>
      </c>
      <c r="AEF132" s="11"/>
      <c r="AEG132" s="11">
        <v>6674</v>
      </c>
      <c r="AEH132" s="11"/>
      <c r="AEI132" s="11"/>
      <c r="AEJ132" s="11"/>
      <c r="AEK132" s="11"/>
      <c r="AEL132" s="11">
        <v>2763</v>
      </c>
      <c r="AEM132" s="11">
        <v>0</v>
      </c>
      <c r="AEN132" s="11">
        <v>0</v>
      </c>
      <c r="AEO132" s="11">
        <v>0</v>
      </c>
      <c r="AEP132" s="11">
        <v>4801</v>
      </c>
      <c r="AEQ132" s="11">
        <v>6243</v>
      </c>
      <c r="AER132" s="11"/>
      <c r="AES132" s="11">
        <v>6770.8</v>
      </c>
      <c r="AET132" s="11"/>
      <c r="AEU132" s="11">
        <v>0</v>
      </c>
      <c r="AEV132" s="11">
        <v>0</v>
      </c>
      <c r="AEW132" s="11"/>
      <c r="AEX132" s="11">
        <v>0</v>
      </c>
      <c r="AEY132" s="11">
        <v>0</v>
      </c>
      <c r="AEZ132" s="11"/>
      <c r="AFA132" s="11">
        <v>0</v>
      </c>
      <c r="AFB132" s="11">
        <v>0</v>
      </c>
      <c r="AFC132" s="11">
        <v>0</v>
      </c>
      <c r="AFD132" s="11"/>
      <c r="AFE132" s="11"/>
      <c r="AFF132" s="11">
        <v>14055.8</v>
      </c>
      <c r="AFG132" s="11">
        <v>138799.81</v>
      </c>
      <c r="AFH132" s="11">
        <v>20175</v>
      </c>
      <c r="AFI132" s="11">
        <v>264882</v>
      </c>
      <c r="AFJ132" s="11">
        <v>21245</v>
      </c>
      <c r="AFK132" s="11">
        <v>0</v>
      </c>
      <c r="AFL132" s="11"/>
      <c r="AFM132" s="11"/>
      <c r="AFN132" s="11">
        <v>12727</v>
      </c>
      <c r="AFO132" s="11">
        <v>10121</v>
      </c>
      <c r="AFP132" s="11">
        <v>15376</v>
      </c>
      <c r="AFQ132" s="11">
        <v>0</v>
      </c>
      <c r="AFR132" s="11">
        <v>0</v>
      </c>
      <c r="AFS132" s="11">
        <v>0</v>
      </c>
      <c r="AFT132" s="11">
        <v>0</v>
      </c>
      <c r="AFU132" s="11">
        <v>47856</v>
      </c>
      <c r="AFV132" s="11">
        <v>7403</v>
      </c>
      <c r="AFW132" s="11">
        <v>3667</v>
      </c>
      <c r="AFX132" s="11">
        <v>5292</v>
      </c>
      <c r="AFY132" s="11">
        <v>0</v>
      </c>
      <c r="AFZ132" s="11">
        <v>200</v>
      </c>
      <c r="AGA132" s="11">
        <v>0</v>
      </c>
      <c r="AGB132" s="11">
        <v>6946</v>
      </c>
      <c r="AGC132" s="11"/>
      <c r="AGD132" s="11">
        <v>0</v>
      </c>
      <c r="AGE132" s="11"/>
      <c r="AGF132" s="11"/>
      <c r="AGG132" s="11">
        <v>0</v>
      </c>
      <c r="AGH132" s="11">
        <v>0</v>
      </c>
      <c r="AGI132" s="11"/>
      <c r="AGJ132" s="11">
        <v>6090</v>
      </c>
      <c r="AGK132" s="11"/>
      <c r="AGL132" s="11">
        <v>2579.5</v>
      </c>
      <c r="AGM132" s="11">
        <v>0</v>
      </c>
      <c r="AGN132" s="11">
        <v>0</v>
      </c>
      <c r="AGO132" s="11"/>
      <c r="AGP132" s="11">
        <v>0</v>
      </c>
      <c r="AGQ132" s="11">
        <v>0</v>
      </c>
      <c r="AGR132" s="11"/>
      <c r="AGS132" s="11"/>
      <c r="AGT132" s="11"/>
      <c r="AGU132" s="11">
        <v>10100</v>
      </c>
      <c r="AGV132" s="11">
        <v>106995</v>
      </c>
      <c r="AGW132" s="11"/>
      <c r="AGX132" s="11">
        <v>0</v>
      </c>
      <c r="AGY132" s="11">
        <v>0</v>
      </c>
      <c r="AGZ132" s="11"/>
      <c r="AHA132" s="11">
        <v>4421</v>
      </c>
      <c r="AHB132" s="11">
        <v>0</v>
      </c>
      <c r="AHC132" s="11">
        <v>0</v>
      </c>
      <c r="AHD132" s="11"/>
      <c r="AHE132" s="11">
        <v>0</v>
      </c>
      <c r="AHF132" s="11">
        <v>0</v>
      </c>
      <c r="AHG132" s="11"/>
      <c r="AHH132" s="11">
        <v>0</v>
      </c>
      <c r="AHI132" s="11">
        <v>0</v>
      </c>
      <c r="AHJ132" s="11">
        <v>2214</v>
      </c>
      <c r="AHK132" s="11"/>
      <c r="AHL132" s="11">
        <v>0</v>
      </c>
      <c r="AHM132" s="11"/>
      <c r="AHN132" s="11">
        <v>0</v>
      </c>
      <c r="AHO132" s="11">
        <v>0</v>
      </c>
      <c r="AHP132" s="11">
        <v>0</v>
      </c>
      <c r="AHQ132" s="11">
        <v>0</v>
      </c>
      <c r="AHR132" s="11">
        <v>0</v>
      </c>
      <c r="AHS132" s="11">
        <v>0</v>
      </c>
      <c r="AHT132" s="11">
        <v>2952814.41</v>
      </c>
      <c r="AHV132" s="269" t="s">
        <v>6278</v>
      </c>
      <c r="AHW132" s="269" t="s">
        <v>6204</v>
      </c>
      <c r="AHX132" s="269" t="s">
        <v>6205</v>
      </c>
    </row>
    <row r="133" spans="1:908" x14ac:dyDescent="0.7">
      <c r="A133" s="6" t="s">
        <v>6278</v>
      </c>
      <c r="B133" s="6" t="s">
        <v>6204</v>
      </c>
      <c r="C133" s="6" t="s">
        <v>6205</v>
      </c>
      <c r="D133" s="11">
        <v>0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>
        <v>0</v>
      </c>
      <c r="P133" s="11"/>
      <c r="Q133" s="11"/>
      <c r="R133" s="11"/>
      <c r="S133" s="11"/>
      <c r="T133" s="11"/>
      <c r="U133" s="11"/>
      <c r="V133" s="11">
        <v>0</v>
      </c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>
        <v>0</v>
      </c>
      <c r="AU133" s="11"/>
      <c r="AV133" s="11"/>
      <c r="AW133" s="11"/>
      <c r="AX133" s="11"/>
      <c r="AY133" s="11"/>
      <c r="AZ133" s="11"/>
      <c r="BA133" s="11">
        <v>0</v>
      </c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>
        <v>0</v>
      </c>
      <c r="BS133" s="11">
        <v>0</v>
      </c>
      <c r="BT133" s="11"/>
      <c r="BU133" s="11">
        <v>300</v>
      </c>
      <c r="BV133" s="11"/>
      <c r="BW133" s="11">
        <v>0</v>
      </c>
      <c r="BX133" s="11"/>
      <c r="BY133" s="11">
        <v>0</v>
      </c>
      <c r="BZ133" s="11"/>
      <c r="CA133" s="11"/>
      <c r="CB133" s="11">
        <v>0</v>
      </c>
      <c r="CC133" s="11">
        <v>0</v>
      </c>
      <c r="CD133" s="11">
        <v>0</v>
      </c>
      <c r="CE133" s="11">
        <v>0</v>
      </c>
      <c r="CF133" s="11"/>
      <c r="CG133" s="11"/>
      <c r="CH133" s="11"/>
      <c r="CI133" s="11"/>
      <c r="CJ133" s="11"/>
      <c r="CK133" s="11"/>
      <c r="CL133" s="11">
        <v>0</v>
      </c>
      <c r="CM133" s="11"/>
      <c r="CN133" s="11"/>
      <c r="CO133" s="11"/>
      <c r="CP133" s="11"/>
      <c r="CQ133" s="11"/>
      <c r="CR133" s="11"/>
      <c r="CS133" s="11"/>
      <c r="CT133" s="11">
        <v>0</v>
      </c>
      <c r="CU133" s="11"/>
      <c r="CV133" s="11"/>
      <c r="CW133" s="11"/>
      <c r="CX133" s="11"/>
      <c r="CY133" s="11"/>
      <c r="CZ133" s="11"/>
      <c r="DA133" s="11"/>
      <c r="DB133" s="11"/>
      <c r="DC133" s="11">
        <v>0</v>
      </c>
      <c r="DD133" s="11">
        <v>0</v>
      </c>
      <c r="DE133" s="11"/>
      <c r="DF133" s="11"/>
      <c r="DG133" s="11">
        <v>0</v>
      </c>
      <c r="DH133" s="11">
        <v>1350</v>
      </c>
      <c r="DI133" s="11"/>
      <c r="DJ133" s="11">
        <v>0</v>
      </c>
      <c r="DK133" s="11">
        <v>0</v>
      </c>
      <c r="DL133" s="11">
        <v>0</v>
      </c>
      <c r="DM133" s="11">
        <v>0</v>
      </c>
      <c r="DN133" s="11"/>
      <c r="DO133" s="11">
        <v>1050</v>
      </c>
      <c r="DP133" s="11">
        <v>0</v>
      </c>
      <c r="DQ133" s="11">
        <v>0</v>
      </c>
      <c r="DR133" s="11">
        <v>1650</v>
      </c>
      <c r="DS133" s="11">
        <v>900</v>
      </c>
      <c r="DT133" s="11"/>
      <c r="DU133" s="11"/>
      <c r="DV133" s="11"/>
      <c r="DW133" s="11">
        <v>0</v>
      </c>
      <c r="DX133" s="11"/>
      <c r="DY133" s="11"/>
      <c r="DZ133" s="11"/>
      <c r="EA133" s="11"/>
      <c r="EB133" s="11"/>
      <c r="EC133" s="11"/>
      <c r="ED133" s="11"/>
      <c r="EE133" s="11">
        <v>0</v>
      </c>
      <c r="EF133" s="11">
        <v>0</v>
      </c>
      <c r="EG133" s="11"/>
      <c r="EH133" s="11"/>
      <c r="EI133" s="11"/>
      <c r="EJ133" s="11"/>
      <c r="EK133" s="11">
        <v>0</v>
      </c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>
        <v>0</v>
      </c>
      <c r="FA133" s="11">
        <v>0</v>
      </c>
      <c r="FB133" s="11">
        <v>0</v>
      </c>
      <c r="FC133" s="11"/>
      <c r="FD133" s="11">
        <v>0</v>
      </c>
      <c r="FE133" s="11"/>
      <c r="FF133" s="11"/>
      <c r="FG133" s="11"/>
      <c r="FH133" s="11">
        <v>0</v>
      </c>
      <c r="FI133" s="11">
        <v>5214</v>
      </c>
      <c r="FJ133" s="11">
        <v>0</v>
      </c>
      <c r="FK133" s="11"/>
      <c r="FL133" s="11"/>
      <c r="FM133" s="11"/>
      <c r="FN133" s="11"/>
      <c r="FO133" s="11"/>
      <c r="FP133" s="11"/>
      <c r="FQ133" s="11">
        <v>0</v>
      </c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>
        <v>0</v>
      </c>
      <c r="GG133" s="11"/>
      <c r="GH133" s="11">
        <v>1351</v>
      </c>
      <c r="GI133" s="11"/>
      <c r="GJ133" s="11"/>
      <c r="GK133" s="11"/>
      <c r="GL133" s="11"/>
      <c r="GM133" s="11">
        <v>0</v>
      </c>
      <c r="GN133" s="11">
        <v>0</v>
      </c>
      <c r="GO133" s="11"/>
      <c r="GP133" s="11">
        <v>0</v>
      </c>
      <c r="GQ133" s="11"/>
      <c r="GR133" s="11"/>
      <c r="GS133" s="11"/>
      <c r="GT133" s="11"/>
      <c r="GU133" s="11"/>
      <c r="GV133" s="11">
        <v>0</v>
      </c>
      <c r="GW133" s="11"/>
      <c r="GX133" s="11"/>
      <c r="GY133" s="11">
        <v>0</v>
      </c>
      <c r="GZ133" s="11"/>
      <c r="HA133" s="11"/>
      <c r="HB133" s="11"/>
      <c r="HC133" s="11">
        <v>0</v>
      </c>
      <c r="HD133" s="11"/>
      <c r="HE133" s="11"/>
      <c r="HF133" s="11"/>
      <c r="HG133" s="11"/>
      <c r="HH133" s="11"/>
      <c r="HI133" s="11"/>
      <c r="HJ133" s="11">
        <v>38786</v>
      </c>
      <c r="HK133" s="11">
        <v>0</v>
      </c>
      <c r="HL133" s="11">
        <v>0</v>
      </c>
      <c r="HM133" s="11">
        <v>750</v>
      </c>
      <c r="HN133" s="11">
        <v>300</v>
      </c>
      <c r="HO133" s="11">
        <v>438</v>
      </c>
      <c r="HP133" s="11">
        <v>0</v>
      </c>
      <c r="HQ133" s="11">
        <v>150</v>
      </c>
      <c r="HR133" s="11">
        <v>3000</v>
      </c>
      <c r="HS133" s="11">
        <v>0</v>
      </c>
      <c r="HT133" s="11">
        <v>0</v>
      </c>
      <c r="HU133" s="11"/>
      <c r="HV133" s="11"/>
      <c r="HW133" s="11">
        <v>0</v>
      </c>
      <c r="HX133" s="11"/>
      <c r="HY133" s="11"/>
      <c r="HZ133" s="11">
        <v>0</v>
      </c>
      <c r="IA133" s="11"/>
      <c r="IB133" s="11"/>
      <c r="IC133" s="11"/>
      <c r="ID133" s="11">
        <v>0</v>
      </c>
      <c r="IE133" s="11"/>
      <c r="IF133" s="11"/>
      <c r="IG133" s="11"/>
      <c r="IH133" s="11"/>
      <c r="II133" s="11"/>
      <c r="IJ133" s="11">
        <v>0</v>
      </c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>
        <v>64809</v>
      </c>
      <c r="IV133" s="11">
        <v>-37830</v>
      </c>
      <c r="IW133" s="11">
        <v>0</v>
      </c>
      <c r="IX133" s="11">
        <v>0</v>
      </c>
      <c r="IY133" s="11">
        <v>2550</v>
      </c>
      <c r="IZ133" s="11">
        <v>0</v>
      </c>
      <c r="JA133" s="11">
        <v>0</v>
      </c>
      <c r="JB133" s="11">
        <v>0</v>
      </c>
      <c r="JC133" s="11"/>
      <c r="JD133" s="11">
        <v>0</v>
      </c>
      <c r="JE133" s="11">
        <v>0</v>
      </c>
      <c r="JF133" s="11">
        <v>5476</v>
      </c>
      <c r="JG133" s="11"/>
      <c r="JH133" s="11"/>
      <c r="JI133" s="11"/>
      <c r="JJ133" s="11"/>
      <c r="JK133" s="11"/>
      <c r="JL133" s="11">
        <v>0</v>
      </c>
      <c r="JM133" s="11"/>
      <c r="JN133" s="11"/>
      <c r="JO133" s="11"/>
      <c r="JP133" s="11"/>
      <c r="JQ133" s="11"/>
      <c r="JR133" s="11"/>
      <c r="JS133" s="11"/>
      <c r="JT133" s="11">
        <v>0</v>
      </c>
      <c r="JU133" s="11">
        <v>0</v>
      </c>
      <c r="JV133" s="11">
        <v>0</v>
      </c>
      <c r="JW133" s="11"/>
      <c r="JX133" s="11">
        <v>0</v>
      </c>
      <c r="JY133" s="11">
        <v>0</v>
      </c>
      <c r="JZ133" s="11"/>
      <c r="KA133" s="11">
        <v>0</v>
      </c>
      <c r="KB133" s="11"/>
      <c r="KC133" s="11">
        <v>0</v>
      </c>
      <c r="KD133" s="11"/>
      <c r="KE133" s="11">
        <v>750</v>
      </c>
      <c r="KF133" s="11">
        <v>0</v>
      </c>
      <c r="KG133" s="11"/>
      <c r="KH133" s="11">
        <v>150</v>
      </c>
      <c r="KI133" s="11"/>
      <c r="KJ133" s="11"/>
      <c r="KK133" s="11">
        <v>0</v>
      </c>
      <c r="KL133" s="11"/>
      <c r="KM133" s="11"/>
      <c r="KN133" s="11"/>
      <c r="KO133" s="11"/>
      <c r="KP133" s="11"/>
      <c r="KQ133" s="11"/>
      <c r="KR133" s="11">
        <v>0</v>
      </c>
      <c r="KS133" s="11"/>
      <c r="KT133" s="11"/>
      <c r="KU133" s="11"/>
      <c r="KV133" s="11"/>
      <c r="KW133" s="11"/>
      <c r="KX133" s="11">
        <v>0</v>
      </c>
      <c r="KY133" s="11"/>
      <c r="KZ133" s="11"/>
      <c r="LA133" s="11"/>
      <c r="LB133" s="11"/>
      <c r="LC133" s="11"/>
      <c r="LD133" s="11"/>
      <c r="LE133" s="11"/>
      <c r="LF133" s="11"/>
      <c r="LG133" s="11"/>
      <c r="LH133" s="11">
        <v>0</v>
      </c>
      <c r="LI133" s="11">
        <v>0</v>
      </c>
      <c r="LJ133" s="11">
        <v>0</v>
      </c>
      <c r="LK133" s="11"/>
      <c r="LL133" s="11">
        <v>0</v>
      </c>
      <c r="LM133" s="11"/>
      <c r="LN133" s="11"/>
      <c r="LO133" s="11"/>
      <c r="LP133" s="11"/>
      <c r="LQ133" s="11">
        <v>0</v>
      </c>
      <c r="LR133" s="11"/>
      <c r="LS133" s="11">
        <v>5582</v>
      </c>
      <c r="LT133" s="11"/>
      <c r="LU133" s="11"/>
      <c r="LV133" s="11"/>
      <c r="LW133" s="11">
        <v>0</v>
      </c>
      <c r="LX133" s="11"/>
      <c r="LY133" s="11"/>
      <c r="LZ133" s="11">
        <v>0</v>
      </c>
      <c r="MA133" s="11">
        <v>0</v>
      </c>
      <c r="MB133" s="11">
        <v>0</v>
      </c>
      <c r="MC133" s="11"/>
      <c r="MD133" s="11">
        <v>0</v>
      </c>
      <c r="ME133" s="11">
        <v>0</v>
      </c>
      <c r="MF133" s="11"/>
      <c r="MG133" s="11">
        <v>600</v>
      </c>
      <c r="MH133" s="11">
        <v>47165</v>
      </c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>
        <v>0</v>
      </c>
      <c r="MX133" s="11"/>
      <c r="MY133" s="11">
        <v>3210</v>
      </c>
      <c r="MZ133" s="11"/>
      <c r="NA133" s="11"/>
      <c r="NB133" s="11"/>
      <c r="NC133" s="11"/>
      <c r="ND133" s="11">
        <v>0</v>
      </c>
      <c r="NE133" s="11">
        <v>0</v>
      </c>
      <c r="NF133" s="11">
        <v>0</v>
      </c>
      <c r="NG133" s="11"/>
      <c r="NH133" s="11"/>
      <c r="NI133" s="11">
        <v>0</v>
      </c>
      <c r="NJ133" s="11">
        <v>0</v>
      </c>
      <c r="NK133" s="11">
        <v>0</v>
      </c>
      <c r="NL133" s="11">
        <v>0</v>
      </c>
      <c r="NM133" s="11"/>
      <c r="NN133" s="11"/>
      <c r="NO133" s="11">
        <v>0</v>
      </c>
      <c r="NP133" s="11">
        <v>0</v>
      </c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>
        <v>0</v>
      </c>
      <c r="OC133" s="11">
        <v>0</v>
      </c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>
        <v>0</v>
      </c>
      <c r="OO133" s="11"/>
      <c r="OP133" s="11">
        <v>0</v>
      </c>
      <c r="OQ133" s="11">
        <v>0</v>
      </c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>
        <v>0</v>
      </c>
      <c r="PV133" s="11"/>
      <c r="PW133" s="11"/>
      <c r="PX133" s="11">
        <v>0</v>
      </c>
      <c r="PY133" s="11">
        <v>0</v>
      </c>
      <c r="PZ133" s="11">
        <v>0</v>
      </c>
      <c r="QA133" s="11">
        <v>94264</v>
      </c>
      <c r="QB133" s="11">
        <v>0</v>
      </c>
      <c r="QC133" s="11"/>
      <c r="QD133" s="11"/>
      <c r="QE133" s="11">
        <v>0</v>
      </c>
      <c r="QF133" s="11">
        <v>300</v>
      </c>
      <c r="QG133" s="11"/>
      <c r="QH133" s="11"/>
      <c r="QI133" s="11">
        <v>3900</v>
      </c>
      <c r="QJ133" s="11">
        <v>0</v>
      </c>
      <c r="QK133" s="11">
        <v>9840</v>
      </c>
      <c r="QL133" s="11"/>
      <c r="QM133" s="11">
        <v>0</v>
      </c>
      <c r="QN133" s="11"/>
      <c r="QO133" s="11">
        <v>0</v>
      </c>
      <c r="QP133" s="11">
        <v>450</v>
      </c>
      <c r="QQ133" s="11"/>
      <c r="QR133" s="11">
        <v>438</v>
      </c>
      <c r="QS133" s="11">
        <v>0</v>
      </c>
      <c r="QT133" s="11"/>
      <c r="QU133" s="11">
        <v>90839</v>
      </c>
      <c r="QV133" s="11"/>
      <c r="QW133" s="11">
        <v>0</v>
      </c>
      <c r="QX133" s="11"/>
      <c r="QY133" s="11"/>
      <c r="QZ133" s="11"/>
      <c r="RA133" s="11">
        <v>0</v>
      </c>
      <c r="RB133" s="11"/>
      <c r="RC133" s="11"/>
      <c r="RD133" s="11">
        <v>0</v>
      </c>
      <c r="RE133" s="11">
        <v>0</v>
      </c>
      <c r="RF133" s="11"/>
      <c r="RG133" s="11">
        <v>0</v>
      </c>
      <c r="RH133" s="11"/>
      <c r="RI133" s="11"/>
      <c r="RJ133" s="11">
        <v>0</v>
      </c>
      <c r="RK133" s="11"/>
      <c r="RL133" s="11">
        <v>0</v>
      </c>
      <c r="RM133" s="11"/>
      <c r="RN133" s="11"/>
      <c r="RO133" s="11"/>
      <c r="RP133" s="11">
        <v>0</v>
      </c>
      <c r="RQ133" s="11">
        <v>0</v>
      </c>
      <c r="RR133" s="11"/>
      <c r="RS133" s="11"/>
      <c r="RT133" s="11"/>
      <c r="RU133" s="11">
        <v>0</v>
      </c>
      <c r="RV133" s="11"/>
      <c r="RW133" s="11">
        <v>0</v>
      </c>
      <c r="RX133" s="11">
        <v>0</v>
      </c>
      <c r="RY133" s="11"/>
      <c r="RZ133" s="11"/>
      <c r="SA133" s="11"/>
      <c r="SB133" s="11">
        <v>1104</v>
      </c>
      <c r="SC133" s="11"/>
      <c r="SD133" s="11"/>
      <c r="SE133" s="11"/>
      <c r="SF133" s="11"/>
      <c r="SG133" s="11"/>
      <c r="SH133" s="11"/>
      <c r="SI133" s="11"/>
      <c r="SJ133" s="11"/>
      <c r="SK133" s="11"/>
      <c r="SL133" s="11">
        <v>394</v>
      </c>
      <c r="SM133" s="11"/>
      <c r="SN133" s="11">
        <v>0</v>
      </c>
      <c r="SO133" s="11"/>
      <c r="SP133" s="11"/>
      <c r="SQ133" s="11"/>
      <c r="SR133" s="11"/>
      <c r="SS133" s="11"/>
      <c r="ST133" s="11"/>
      <c r="SU133" s="11"/>
      <c r="SV133" s="11">
        <v>0</v>
      </c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>
        <v>0</v>
      </c>
      <c r="TN133" s="11"/>
      <c r="TO133" s="11"/>
      <c r="TP133" s="11">
        <v>0</v>
      </c>
      <c r="TQ133" s="11">
        <v>4500</v>
      </c>
      <c r="TR133" s="11"/>
      <c r="TS133" s="11"/>
      <c r="TT133" s="11"/>
      <c r="TU133" s="11"/>
      <c r="TV133" s="11"/>
      <c r="TW133" s="11"/>
      <c r="TX133" s="11"/>
      <c r="TY133" s="11"/>
      <c r="TZ133" s="11">
        <v>0</v>
      </c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>
        <v>0</v>
      </c>
      <c r="VQ133" s="11"/>
      <c r="VR133" s="11"/>
      <c r="VS133" s="11">
        <v>0</v>
      </c>
      <c r="VT133" s="11"/>
      <c r="VU133" s="11"/>
      <c r="VV133" s="11">
        <v>0</v>
      </c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>
        <v>0</v>
      </c>
      <c r="WK133" s="11"/>
      <c r="WL133" s="11"/>
      <c r="WM133" s="11">
        <v>0</v>
      </c>
      <c r="WN133" s="11"/>
      <c r="WO133" s="11"/>
      <c r="WP133" s="11"/>
      <c r="WQ133" s="11"/>
      <c r="WR133" s="11"/>
      <c r="WS133" s="11"/>
      <c r="WT133" s="11">
        <v>0</v>
      </c>
      <c r="WU133" s="11"/>
      <c r="WV133" s="11">
        <v>0</v>
      </c>
      <c r="WW133" s="11">
        <v>0</v>
      </c>
      <c r="WX133" s="11">
        <v>600</v>
      </c>
      <c r="WY133" s="11">
        <v>0</v>
      </c>
      <c r="WZ133" s="11"/>
      <c r="XA133" s="11"/>
      <c r="XB133" s="11"/>
      <c r="XC133" s="11"/>
      <c r="XD133" s="11">
        <v>0</v>
      </c>
      <c r="XE133" s="11">
        <v>0</v>
      </c>
      <c r="XF133" s="11"/>
      <c r="XG133" s="11"/>
      <c r="XH133" s="11">
        <v>263</v>
      </c>
      <c r="XI133" s="11">
        <v>0</v>
      </c>
      <c r="XJ133" s="11">
        <v>0</v>
      </c>
      <c r="XK133" s="11"/>
      <c r="XL133" s="11"/>
      <c r="XM133" s="11"/>
      <c r="XN133" s="11"/>
      <c r="XO133" s="11">
        <v>0</v>
      </c>
      <c r="XP133" s="11">
        <v>0</v>
      </c>
      <c r="XQ133" s="11">
        <v>0</v>
      </c>
      <c r="XR133" s="11"/>
      <c r="XS133" s="11">
        <v>0</v>
      </c>
      <c r="XT133" s="11"/>
      <c r="XU133" s="11"/>
      <c r="XV133" s="11"/>
      <c r="XW133" s="11"/>
      <c r="XX133" s="11"/>
      <c r="XY133" s="11"/>
      <c r="XZ133" s="11">
        <v>0</v>
      </c>
      <c r="YA133" s="11">
        <v>0</v>
      </c>
      <c r="YB133" s="11"/>
      <c r="YC133" s="11"/>
      <c r="YD133" s="11"/>
      <c r="YE133" s="11"/>
      <c r="YF133" s="11"/>
      <c r="YG133" s="11">
        <v>0</v>
      </c>
      <c r="YH133" s="11">
        <v>0</v>
      </c>
      <c r="YI133" s="11">
        <v>0</v>
      </c>
      <c r="YJ133" s="11">
        <v>0</v>
      </c>
      <c r="YK133" s="11">
        <v>0</v>
      </c>
      <c r="YL133" s="11">
        <v>0</v>
      </c>
      <c r="YM133" s="11">
        <v>0</v>
      </c>
      <c r="YN133" s="11">
        <v>0</v>
      </c>
      <c r="YO133" s="11">
        <v>0</v>
      </c>
      <c r="YP133" s="11">
        <v>0</v>
      </c>
      <c r="YQ133" s="11">
        <v>0</v>
      </c>
      <c r="YR133" s="11">
        <v>0</v>
      </c>
      <c r="YS133" s="11">
        <v>0</v>
      </c>
      <c r="YT133" s="11">
        <v>0</v>
      </c>
      <c r="YU133" s="11">
        <v>0</v>
      </c>
      <c r="YV133" s="11">
        <v>0</v>
      </c>
      <c r="YW133" s="11"/>
      <c r="YX133" s="11">
        <v>0</v>
      </c>
      <c r="YY133" s="11">
        <v>0</v>
      </c>
      <c r="YZ133" s="11">
        <v>0</v>
      </c>
      <c r="ZA133" s="11">
        <v>0</v>
      </c>
      <c r="ZB133" s="11">
        <v>0</v>
      </c>
      <c r="ZC133" s="11">
        <v>450</v>
      </c>
      <c r="ZD133" s="11">
        <v>0</v>
      </c>
      <c r="ZE133" s="11"/>
      <c r="ZF133" s="11"/>
      <c r="ZG133" s="11"/>
      <c r="ZH133" s="11"/>
      <c r="ZI133" s="11"/>
      <c r="ZJ133" s="11"/>
      <c r="ZK133" s="11">
        <v>0</v>
      </c>
      <c r="ZL133" s="11"/>
      <c r="ZM133" s="11">
        <v>0</v>
      </c>
      <c r="ZN133" s="11">
        <v>0</v>
      </c>
      <c r="ZO133" s="11">
        <v>0</v>
      </c>
      <c r="ZP133" s="11"/>
      <c r="ZQ133" s="11"/>
      <c r="ZR133" s="11"/>
      <c r="ZS133" s="11"/>
      <c r="ZT133" s="11"/>
      <c r="ZU133" s="11"/>
      <c r="ZV133" s="11">
        <v>0</v>
      </c>
      <c r="ZW133" s="11"/>
      <c r="ZX133" s="11">
        <v>0</v>
      </c>
      <c r="ZY133" s="11"/>
      <c r="ZZ133" s="11"/>
      <c r="AAA133" s="11"/>
      <c r="AAB133" s="11"/>
      <c r="AAC133" s="11"/>
      <c r="AAD133" s="11">
        <v>0</v>
      </c>
      <c r="AAE133" s="11"/>
      <c r="AAF133" s="11">
        <v>0</v>
      </c>
      <c r="AAG133" s="11"/>
      <c r="AAH133" s="11"/>
      <c r="AAI133" s="11"/>
      <c r="AAJ133" s="11">
        <v>0</v>
      </c>
      <c r="AAK133" s="11">
        <v>0</v>
      </c>
      <c r="AAL133" s="11">
        <v>0</v>
      </c>
      <c r="AAM133" s="11">
        <v>300</v>
      </c>
      <c r="AAN133" s="11">
        <v>300</v>
      </c>
      <c r="AAO133" s="11"/>
      <c r="AAP133" s="11"/>
      <c r="AAQ133" s="11"/>
      <c r="AAR133" s="11"/>
      <c r="AAS133" s="11"/>
      <c r="AAT133" s="11">
        <v>0</v>
      </c>
      <c r="AAU133" s="11">
        <v>0</v>
      </c>
      <c r="AAV133" s="11"/>
      <c r="AAW133" s="11"/>
      <c r="AAX133" s="11">
        <v>0</v>
      </c>
      <c r="AAY133" s="11"/>
      <c r="AAZ133" s="11"/>
      <c r="ABA133" s="11">
        <v>1800</v>
      </c>
      <c r="ABB133" s="11"/>
      <c r="ABC133" s="11"/>
      <c r="ABD133" s="11"/>
      <c r="ABE133" s="11"/>
      <c r="ABF133" s="11"/>
      <c r="ABG133" s="11"/>
      <c r="ABH133" s="11"/>
      <c r="ABI133" s="11">
        <v>0</v>
      </c>
      <c r="ABJ133" s="11">
        <v>0</v>
      </c>
      <c r="ABK133" s="11"/>
      <c r="ABL133" s="11"/>
      <c r="ABM133" s="11"/>
      <c r="ABN133" s="11"/>
      <c r="ABO133" s="11"/>
      <c r="ABP133" s="11">
        <v>0</v>
      </c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>
        <v>-3000</v>
      </c>
      <c r="ACA133" s="11"/>
      <c r="ACB133" s="11">
        <v>450</v>
      </c>
      <c r="ACC133" s="11">
        <v>0</v>
      </c>
      <c r="ACD133" s="11">
        <v>0</v>
      </c>
      <c r="ACE133" s="11">
        <v>0</v>
      </c>
      <c r="ACF133" s="11">
        <v>0</v>
      </c>
      <c r="ACG133" s="11">
        <v>600</v>
      </c>
      <c r="ACH133" s="11"/>
      <c r="ACI133" s="11">
        <v>0</v>
      </c>
      <c r="ACJ133" s="11">
        <v>10121</v>
      </c>
      <c r="ACK133" s="11">
        <v>0</v>
      </c>
      <c r="ACL133" s="11">
        <v>0</v>
      </c>
      <c r="ACM133" s="11">
        <v>0</v>
      </c>
      <c r="ACN133" s="11"/>
      <c r="ACO133" s="11">
        <v>0</v>
      </c>
      <c r="ACP133" s="11"/>
      <c r="ACQ133" s="11">
        <v>0</v>
      </c>
      <c r="ACR133" s="11">
        <v>0</v>
      </c>
      <c r="ACS133" s="11"/>
      <c r="ACT133" s="11"/>
      <c r="ACU133" s="11">
        <v>0</v>
      </c>
      <c r="ACV133" s="11"/>
      <c r="ACW133" s="11">
        <v>0</v>
      </c>
      <c r="ACX133" s="11">
        <v>0</v>
      </c>
      <c r="ACY133" s="11">
        <v>600</v>
      </c>
      <c r="ACZ133" s="11"/>
      <c r="ADA133" s="11">
        <v>0</v>
      </c>
      <c r="ADB133" s="11">
        <v>0</v>
      </c>
      <c r="ADC133" s="11">
        <v>0</v>
      </c>
      <c r="ADD133" s="11">
        <v>0</v>
      </c>
      <c r="ADE133" s="11"/>
      <c r="ADF133" s="11">
        <v>0</v>
      </c>
      <c r="ADG133" s="11">
        <v>0</v>
      </c>
      <c r="ADH133" s="11"/>
      <c r="ADI133" s="11">
        <v>0</v>
      </c>
      <c r="ADJ133" s="11"/>
      <c r="ADK133" s="11">
        <v>150</v>
      </c>
      <c r="ADL133" s="11">
        <v>0</v>
      </c>
      <c r="ADM133" s="11"/>
      <c r="ADN133" s="11"/>
      <c r="ADO133" s="11">
        <v>0</v>
      </c>
      <c r="ADP133" s="11"/>
      <c r="ADQ133" s="11">
        <v>0</v>
      </c>
      <c r="ADR133" s="11"/>
      <c r="ADS133" s="11"/>
      <c r="ADT133" s="11">
        <v>0</v>
      </c>
      <c r="ADU133" s="11">
        <v>0</v>
      </c>
      <c r="ADV133" s="11"/>
      <c r="ADW133" s="11"/>
      <c r="ADX133" s="11"/>
      <c r="ADY133" s="11"/>
      <c r="ADZ133" s="11"/>
      <c r="AEA133" s="11"/>
      <c r="AEB133" s="11">
        <v>0</v>
      </c>
      <c r="AEC133" s="11"/>
      <c r="AED133" s="11"/>
      <c r="AEE133" s="11"/>
      <c r="AEF133" s="11"/>
      <c r="AEG133" s="11">
        <v>0</v>
      </c>
      <c r="AEH133" s="11"/>
      <c r="AEI133" s="11"/>
      <c r="AEJ133" s="11"/>
      <c r="AEK133" s="11"/>
      <c r="AEL133" s="11"/>
      <c r="AEM133" s="11"/>
      <c r="AEN133" s="11">
        <v>0</v>
      </c>
      <c r="AEO133" s="11">
        <v>0</v>
      </c>
      <c r="AEP133" s="11"/>
      <c r="AEQ133" s="11"/>
      <c r="AER133" s="11"/>
      <c r="AES133" s="11"/>
      <c r="AET133" s="11"/>
      <c r="AEU133" s="11"/>
      <c r="AEV133" s="11">
        <v>0</v>
      </c>
      <c r="AEW133" s="11"/>
      <c r="AEX133" s="11">
        <v>0</v>
      </c>
      <c r="AEY133" s="11">
        <v>4750</v>
      </c>
      <c r="AEZ133" s="11">
        <v>0</v>
      </c>
      <c r="AFA133" s="11">
        <v>580</v>
      </c>
      <c r="AFB133" s="11"/>
      <c r="AFC133" s="11">
        <v>0</v>
      </c>
      <c r="AFD133" s="11"/>
      <c r="AFE133" s="11">
        <v>0</v>
      </c>
      <c r="AFF133" s="11">
        <v>0</v>
      </c>
      <c r="AFG133" s="11"/>
      <c r="AFH133" s="11"/>
      <c r="AFI133" s="11">
        <v>1125</v>
      </c>
      <c r="AFJ133" s="11">
        <v>0</v>
      </c>
      <c r="AFK133" s="11"/>
      <c r="AFL133" s="11"/>
      <c r="AFM133" s="11"/>
      <c r="AFN133" s="11"/>
      <c r="AFO133" s="11"/>
      <c r="AFP133" s="11">
        <v>0</v>
      </c>
      <c r="AFQ133" s="11"/>
      <c r="AFR133" s="11"/>
      <c r="AFS133" s="11">
        <v>0</v>
      </c>
      <c r="AFT133" s="11"/>
      <c r="AFU133" s="11">
        <v>0</v>
      </c>
      <c r="AFV133" s="11"/>
      <c r="AFW133" s="11">
        <v>0</v>
      </c>
      <c r="AFX133" s="11"/>
      <c r="AFY133" s="11">
        <v>0</v>
      </c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>
        <v>16200</v>
      </c>
      <c r="AGO133" s="11"/>
      <c r="AGP133" s="11">
        <v>0</v>
      </c>
      <c r="AGQ133" s="11">
        <v>0</v>
      </c>
      <c r="AGR133" s="11">
        <v>0</v>
      </c>
      <c r="AGS133" s="11"/>
      <c r="AGT133" s="11">
        <v>0</v>
      </c>
      <c r="AGU133" s="11">
        <v>0</v>
      </c>
      <c r="AGV133" s="11">
        <v>0</v>
      </c>
      <c r="AGW133" s="11"/>
      <c r="AGX133" s="11">
        <v>0</v>
      </c>
      <c r="AGY133" s="11">
        <v>0</v>
      </c>
      <c r="AGZ133" s="11">
        <v>0</v>
      </c>
      <c r="AHA133" s="11">
        <v>0</v>
      </c>
      <c r="AHB133" s="11"/>
      <c r="AHC133" s="11">
        <v>0</v>
      </c>
      <c r="AHD133" s="11">
        <v>0</v>
      </c>
      <c r="AHE133" s="11">
        <v>0</v>
      </c>
      <c r="AHF133" s="11">
        <v>0</v>
      </c>
      <c r="AHG133" s="11">
        <v>300</v>
      </c>
      <c r="AHH133" s="11">
        <v>0</v>
      </c>
      <c r="AHI133" s="11">
        <v>450</v>
      </c>
      <c r="AHJ133" s="11">
        <v>300</v>
      </c>
      <c r="AHK133" s="11"/>
      <c r="AHL133" s="11">
        <v>0</v>
      </c>
      <c r="AHM133" s="11">
        <v>-450</v>
      </c>
      <c r="AHN133" s="11"/>
      <c r="AHO133" s="11"/>
      <c r="AHP133" s="11"/>
      <c r="AHQ133" s="11"/>
      <c r="AHR133" s="11"/>
      <c r="AHS133" s="11"/>
      <c r="AHT133" s="11">
        <v>389619</v>
      </c>
      <c r="AHV133" s="269" t="s">
        <v>6278</v>
      </c>
      <c r="AHW133" s="269" t="s">
        <v>6206</v>
      </c>
      <c r="AHX133" s="269" t="s">
        <v>6207</v>
      </c>
    </row>
    <row r="134" spans="1:908" x14ac:dyDescent="0.7">
      <c r="A134" s="6" t="s">
        <v>6278</v>
      </c>
      <c r="B134" s="6" t="s">
        <v>6206</v>
      </c>
      <c r="C134" s="6" t="s">
        <v>6207</v>
      </c>
      <c r="D134" s="11">
        <v>0</v>
      </c>
      <c r="E134" s="11">
        <v>10796</v>
      </c>
      <c r="F134" s="11">
        <v>91798</v>
      </c>
      <c r="G134" s="11">
        <v>7481</v>
      </c>
      <c r="H134" s="11">
        <v>25121</v>
      </c>
      <c r="I134" s="11">
        <v>14114</v>
      </c>
      <c r="J134" s="11">
        <v>23340</v>
      </c>
      <c r="K134" s="11">
        <v>21343</v>
      </c>
      <c r="L134" s="11">
        <v>0</v>
      </c>
      <c r="M134" s="11">
        <v>0</v>
      </c>
      <c r="N134" s="11">
        <v>0</v>
      </c>
      <c r="O134" s="11">
        <v>0</v>
      </c>
      <c r="P134" s="11">
        <v>11186</v>
      </c>
      <c r="Q134" s="11">
        <v>13777</v>
      </c>
      <c r="R134" s="11">
        <v>8097</v>
      </c>
      <c r="S134" s="11">
        <v>10280</v>
      </c>
      <c r="T134" s="11">
        <v>11406</v>
      </c>
      <c r="U134" s="11">
        <v>0</v>
      </c>
      <c r="V134" s="11">
        <v>0</v>
      </c>
      <c r="W134" s="11">
        <v>34480</v>
      </c>
      <c r="X134" s="11">
        <v>0</v>
      </c>
      <c r="Y134" s="11">
        <v>0</v>
      </c>
      <c r="Z134" s="11">
        <v>64723</v>
      </c>
      <c r="AA134" s="11">
        <v>8352</v>
      </c>
      <c r="AB134" s="11">
        <v>3220</v>
      </c>
      <c r="AC134" s="11">
        <v>0</v>
      </c>
      <c r="AD134" s="11">
        <v>10682</v>
      </c>
      <c r="AE134" s="11"/>
      <c r="AF134" s="11">
        <v>15828</v>
      </c>
      <c r="AG134" s="11">
        <v>6851</v>
      </c>
      <c r="AH134" s="11">
        <v>0</v>
      </c>
      <c r="AI134" s="11">
        <v>13086</v>
      </c>
      <c r="AJ134" s="11">
        <v>11743</v>
      </c>
      <c r="AK134" s="11">
        <v>0</v>
      </c>
      <c r="AL134" s="11"/>
      <c r="AM134" s="11">
        <v>10830</v>
      </c>
      <c r="AN134" s="11"/>
      <c r="AO134" s="11">
        <v>0</v>
      </c>
      <c r="AP134" s="11">
        <v>0</v>
      </c>
      <c r="AQ134" s="11">
        <v>0</v>
      </c>
      <c r="AR134" s="11">
        <v>0</v>
      </c>
      <c r="AS134" s="11">
        <v>6416</v>
      </c>
      <c r="AT134" s="11">
        <v>0</v>
      </c>
      <c r="AU134" s="11">
        <v>0</v>
      </c>
      <c r="AV134" s="11">
        <v>0</v>
      </c>
      <c r="AW134" s="11">
        <v>0</v>
      </c>
      <c r="AX134" s="11">
        <v>7957</v>
      </c>
      <c r="AY134" s="11">
        <v>11884</v>
      </c>
      <c r="AZ134" s="11">
        <v>0</v>
      </c>
      <c r="BA134" s="11">
        <v>5591</v>
      </c>
      <c r="BB134" s="11">
        <v>3406</v>
      </c>
      <c r="BC134" s="11">
        <v>26709</v>
      </c>
      <c r="BD134" s="11">
        <v>2912</v>
      </c>
      <c r="BE134" s="11">
        <v>3744</v>
      </c>
      <c r="BF134" s="11">
        <v>94600</v>
      </c>
      <c r="BG134" s="11">
        <v>3061</v>
      </c>
      <c r="BH134" s="11">
        <v>0</v>
      </c>
      <c r="BI134" s="11">
        <v>0</v>
      </c>
      <c r="BJ134" s="11">
        <v>23392</v>
      </c>
      <c r="BK134" s="11">
        <v>7372</v>
      </c>
      <c r="BL134" s="11">
        <v>0</v>
      </c>
      <c r="BM134" s="11">
        <v>11989.69</v>
      </c>
      <c r="BN134" s="11">
        <v>12927.75</v>
      </c>
      <c r="BO134" s="11">
        <v>3541</v>
      </c>
      <c r="BP134" s="11">
        <v>0</v>
      </c>
      <c r="BQ134" s="11">
        <v>822</v>
      </c>
      <c r="BR134" s="11">
        <v>0</v>
      </c>
      <c r="BS134" s="11">
        <v>6602</v>
      </c>
      <c r="BT134" s="11">
        <v>0</v>
      </c>
      <c r="BU134" s="11">
        <v>9628</v>
      </c>
      <c r="BV134" s="11">
        <v>0</v>
      </c>
      <c r="BW134" s="11">
        <v>0</v>
      </c>
      <c r="BX134" s="11"/>
      <c r="BY134" s="11">
        <v>0</v>
      </c>
      <c r="BZ134" s="11"/>
      <c r="CA134" s="11"/>
      <c r="CB134" s="11">
        <v>0</v>
      </c>
      <c r="CC134" s="11">
        <v>0</v>
      </c>
      <c r="CD134" s="11">
        <v>0</v>
      </c>
      <c r="CE134" s="11">
        <v>0</v>
      </c>
      <c r="CF134" s="11"/>
      <c r="CG134" s="11"/>
      <c r="CH134" s="11">
        <v>0</v>
      </c>
      <c r="CI134" s="11">
        <v>0</v>
      </c>
      <c r="CJ134" s="11">
        <v>0</v>
      </c>
      <c r="CK134" s="11">
        <v>0</v>
      </c>
      <c r="CL134" s="11">
        <v>0</v>
      </c>
      <c r="CM134" s="11">
        <v>0</v>
      </c>
      <c r="CN134" s="11">
        <v>0</v>
      </c>
      <c r="CO134" s="11">
        <v>0</v>
      </c>
      <c r="CP134" s="11">
        <v>8174</v>
      </c>
      <c r="CQ134" s="11">
        <v>0</v>
      </c>
      <c r="CR134" s="11">
        <v>0</v>
      </c>
      <c r="CS134" s="11">
        <v>0</v>
      </c>
      <c r="CT134" s="11">
        <v>0</v>
      </c>
      <c r="CU134" s="11">
        <v>0</v>
      </c>
      <c r="CV134" s="11">
        <v>0</v>
      </c>
      <c r="CW134" s="11">
        <v>750</v>
      </c>
      <c r="CX134" s="11"/>
      <c r="CY134" s="11">
        <v>9492</v>
      </c>
      <c r="CZ134" s="11">
        <v>0</v>
      </c>
      <c r="DA134" s="11">
        <v>0</v>
      </c>
      <c r="DB134" s="11">
        <v>0</v>
      </c>
      <c r="DC134" s="11">
        <v>0</v>
      </c>
      <c r="DD134" s="11"/>
      <c r="DE134" s="11">
        <v>0</v>
      </c>
      <c r="DF134" s="11"/>
      <c r="DG134" s="11">
        <v>0</v>
      </c>
      <c r="DH134" s="11">
        <v>16554</v>
      </c>
      <c r="DI134" s="11"/>
      <c r="DJ134" s="11">
        <v>0</v>
      </c>
      <c r="DK134" s="11">
        <v>0</v>
      </c>
      <c r="DL134" s="11">
        <v>0</v>
      </c>
      <c r="DM134" s="11">
        <v>0</v>
      </c>
      <c r="DN134" s="11"/>
      <c r="DO134" s="11">
        <v>8325</v>
      </c>
      <c r="DP134" s="11">
        <v>0</v>
      </c>
      <c r="DQ134" s="11">
        <v>0</v>
      </c>
      <c r="DR134" s="11">
        <v>6925</v>
      </c>
      <c r="DS134" s="11">
        <v>13586</v>
      </c>
      <c r="DT134" s="11"/>
      <c r="DU134" s="11">
        <v>9815</v>
      </c>
      <c r="DV134" s="11"/>
      <c r="DW134" s="11">
        <v>0</v>
      </c>
      <c r="DX134" s="11"/>
      <c r="DY134" s="11"/>
      <c r="DZ134" s="11">
        <v>12541</v>
      </c>
      <c r="EA134" s="11">
        <v>0</v>
      </c>
      <c r="EB134" s="11"/>
      <c r="EC134" s="11"/>
      <c r="ED134" s="11">
        <v>0</v>
      </c>
      <c r="EE134" s="11">
        <v>23542</v>
      </c>
      <c r="EF134" s="11">
        <v>0</v>
      </c>
      <c r="EG134" s="11">
        <v>0</v>
      </c>
      <c r="EH134" s="11">
        <v>1557</v>
      </c>
      <c r="EI134" s="11">
        <v>594.5</v>
      </c>
      <c r="EJ134" s="11">
        <v>0</v>
      </c>
      <c r="EK134" s="11">
        <v>0</v>
      </c>
      <c r="EL134" s="11">
        <v>0</v>
      </c>
      <c r="EM134" s="11">
        <v>0</v>
      </c>
      <c r="EN134" s="11">
        <v>0</v>
      </c>
      <c r="EO134" s="11">
        <v>0</v>
      </c>
      <c r="EP134" s="11"/>
      <c r="EQ134" s="11"/>
      <c r="ER134" s="11">
        <v>0</v>
      </c>
      <c r="ES134" s="11">
        <v>0</v>
      </c>
      <c r="ET134" s="11">
        <v>9656</v>
      </c>
      <c r="EU134" s="11">
        <v>0</v>
      </c>
      <c r="EV134" s="11">
        <v>6390</v>
      </c>
      <c r="EW134" s="11">
        <v>0</v>
      </c>
      <c r="EX134" s="11">
        <v>0</v>
      </c>
      <c r="EY134" s="11"/>
      <c r="EZ134" s="11"/>
      <c r="FA134" s="11">
        <v>0</v>
      </c>
      <c r="FB134" s="11"/>
      <c r="FC134" s="11">
        <v>7329</v>
      </c>
      <c r="FD134" s="11">
        <v>0</v>
      </c>
      <c r="FE134" s="11"/>
      <c r="FF134" s="11"/>
      <c r="FG134" s="11">
        <v>0</v>
      </c>
      <c r="FH134" s="11">
        <v>0</v>
      </c>
      <c r="FI134" s="11">
        <v>32630</v>
      </c>
      <c r="FJ134" s="11">
        <v>2760</v>
      </c>
      <c r="FK134" s="11">
        <v>0</v>
      </c>
      <c r="FL134" s="11">
        <v>0</v>
      </c>
      <c r="FM134" s="11">
        <v>0</v>
      </c>
      <c r="FN134" s="11">
        <v>7006</v>
      </c>
      <c r="FO134" s="11">
        <v>0</v>
      </c>
      <c r="FP134" s="11">
        <v>1716</v>
      </c>
      <c r="FQ134" s="11"/>
      <c r="FR134" s="11">
        <v>8677</v>
      </c>
      <c r="FS134" s="11">
        <v>7958</v>
      </c>
      <c r="FT134" s="11">
        <v>6737</v>
      </c>
      <c r="FU134" s="11">
        <v>15373</v>
      </c>
      <c r="FV134" s="11">
        <v>6283</v>
      </c>
      <c r="FW134" s="11">
        <v>17833</v>
      </c>
      <c r="FX134" s="11">
        <v>0</v>
      </c>
      <c r="FY134" s="11">
        <v>7542</v>
      </c>
      <c r="FZ134" s="11">
        <v>7640</v>
      </c>
      <c r="GA134" s="11">
        <v>14077</v>
      </c>
      <c r="GB134" s="11">
        <v>8836</v>
      </c>
      <c r="GC134" s="11">
        <v>185</v>
      </c>
      <c r="GD134" s="11">
        <v>4601</v>
      </c>
      <c r="GE134" s="11">
        <v>0</v>
      </c>
      <c r="GF134" s="11">
        <v>0</v>
      </c>
      <c r="GG134" s="11">
        <v>0</v>
      </c>
      <c r="GH134" s="11">
        <v>30987</v>
      </c>
      <c r="GI134" s="11">
        <v>0</v>
      </c>
      <c r="GJ134" s="11">
        <v>8442</v>
      </c>
      <c r="GK134" s="11">
        <v>0</v>
      </c>
      <c r="GL134" s="11">
        <v>0</v>
      </c>
      <c r="GM134" s="11">
        <v>5478</v>
      </c>
      <c r="GN134" s="11">
        <v>2244</v>
      </c>
      <c r="GO134" s="11">
        <v>0</v>
      </c>
      <c r="GP134" s="11">
        <v>0</v>
      </c>
      <c r="GQ134" s="11">
        <v>0</v>
      </c>
      <c r="GR134" s="11"/>
      <c r="GS134" s="11">
        <v>0</v>
      </c>
      <c r="GT134" s="11">
        <v>0</v>
      </c>
      <c r="GU134" s="11">
        <v>0</v>
      </c>
      <c r="GV134" s="11">
        <v>0</v>
      </c>
      <c r="GW134" s="11">
        <v>0</v>
      </c>
      <c r="GX134" s="11">
        <v>0</v>
      </c>
      <c r="GY134" s="11"/>
      <c r="GZ134" s="11"/>
      <c r="HA134" s="11">
        <v>0</v>
      </c>
      <c r="HB134" s="11">
        <v>6699</v>
      </c>
      <c r="HC134" s="11">
        <v>0</v>
      </c>
      <c r="HD134" s="11">
        <v>69389</v>
      </c>
      <c r="HE134" s="11">
        <v>0</v>
      </c>
      <c r="HF134" s="11">
        <v>1224</v>
      </c>
      <c r="HG134" s="11">
        <v>10826</v>
      </c>
      <c r="HH134" s="11">
        <v>19279</v>
      </c>
      <c r="HI134" s="11">
        <v>0</v>
      </c>
      <c r="HJ134" s="11">
        <v>-38786</v>
      </c>
      <c r="HK134" s="11">
        <v>0</v>
      </c>
      <c r="HL134" s="11">
        <v>0</v>
      </c>
      <c r="HM134" s="11">
        <v>11688</v>
      </c>
      <c r="HN134" s="11">
        <v>7157</v>
      </c>
      <c r="HO134" s="11">
        <v>6073</v>
      </c>
      <c r="HP134" s="11">
        <v>4862</v>
      </c>
      <c r="HQ134" s="11">
        <v>8703</v>
      </c>
      <c r="HR134" s="11">
        <v>7261</v>
      </c>
      <c r="HS134" s="11">
        <v>0</v>
      </c>
      <c r="HT134" s="11">
        <v>0</v>
      </c>
      <c r="HU134" s="11">
        <v>5011.37</v>
      </c>
      <c r="HV134" s="11">
        <v>1281</v>
      </c>
      <c r="HW134" s="11">
        <v>5687</v>
      </c>
      <c r="HX134" s="11">
        <v>2824</v>
      </c>
      <c r="HY134" s="11">
        <v>32955</v>
      </c>
      <c r="HZ134" s="11">
        <v>5324</v>
      </c>
      <c r="IA134" s="11">
        <v>970</v>
      </c>
      <c r="IB134" s="11">
        <v>0</v>
      </c>
      <c r="IC134" s="11">
        <v>0</v>
      </c>
      <c r="ID134" s="11">
        <v>9358</v>
      </c>
      <c r="IE134" s="11">
        <v>4579</v>
      </c>
      <c r="IF134" s="11">
        <v>6721</v>
      </c>
      <c r="IG134" s="11">
        <v>-9881.1</v>
      </c>
      <c r="IH134" s="11">
        <v>3155</v>
      </c>
      <c r="II134" s="11"/>
      <c r="IJ134" s="11">
        <v>0</v>
      </c>
      <c r="IK134" s="11">
        <v>8131</v>
      </c>
      <c r="IL134" s="11"/>
      <c r="IM134" s="11">
        <v>0</v>
      </c>
      <c r="IN134" s="11"/>
      <c r="IO134" s="11">
        <v>8273</v>
      </c>
      <c r="IP134" s="11"/>
      <c r="IQ134" s="11">
        <v>5387</v>
      </c>
      <c r="IR134" s="11">
        <v>5405</v>
      </c>
      <c r="IS134" s="11">
        <v>0</v>
      </c>
      <c r="IT134" s="11"/>
      <c r="IU134" s="11">
        <v>733206.95</v>
      </c>
      <c r="IV134" s="11">
        <v>9148</v>
      </c>
      <c r="IW134" s="11">
        <v>7105</v>
      </c>
      <c r="IX134" s="11">
        <v>6118</v>
      </c>
      <c r="IY134" s="11">
        <v>1646.6</v>
      </c>
      <c r="IZ134" s="11">
        <v>1896</v>
      </c>
      <c r="JA134" s="11">
        <v>3718</v>
      </c>
      <c r="JB134" s="11">
        <v>4540</v>
      </c>
      <c r="JC134" s="11">
        <v>0</v>
      </c>
      <c r="JD134" s="11">
        <v>0</v>
      </c>
      <c r="JE134" s="11">
        <v>0</v>
      </c>
      <c r="JF134" s="11">
        <v>25373</v>
      </c>
      <c r="JG134" s="11">
        <v>20713</v>
      </c>
      <c r="JH134" s="11">
        <v>0</v>
      </c>
      <c r="JI134" s="11">
        <v>1721</v>
      </c>
      <c r="JJ134" s="11">
        <v>3496</v>
      </c>
      <c r="JK134" s="11">
        <v>0</v>
      </c>
      <c r="JL134" s="11">
        <v>0</v>
      </c>
      <c r="JM134" s="11">
        <v>0</v>
      </c>
      <c r="JN134" s="11">
        <v>18993</v>
      </c>
      <c r="JO134" s="11"/>
      <c r="JP134" s="11">
        <v>1699</v>
      </c>
      <c r="JQ134" s="11"/>
      <c r="JR134" s="11">
        <v>0</v>
      </c>
      <c r="JS134" s="11"/>
      <c r="JT134" s="11">
        <v>34984</v>
      </c>
      <c r="JU134" s="11">
        <v>5685</v>
      </c>
      <c r="JV134" s="11">
        <v>29203</v>
      </c>
      <c r="JW134" s="11">
        <v>11117</v>
      </c>
      <c r="JX134" s="11">
        <v>3428</v>
      </c>
      <c r="JY134" s="11">
        <v>0</v>
      </c>
      <c r="JZ134" s="11">
        <v>0</v>
      </c>
      <c r="KA134" s="11">
        <v>0</v>
      </c>
      <c r="KB134" s="11">
        <v>0</v>
      </c>
      <c r="KC134" s="11">
        <v>0</v>
      </c>
      <c r="KD134" s="11">
        <v>0</v>
      </c>
      <c r="KE134" s="11">
        <v>4382</v>
      </c>
      <c r="KF134" s="11">
        <v>0</v>
      </c>
      <c r="KG134" s="11"/>
      <c r="KH134" s="11">
        <v>1105</v>
      </c>
      <c r="KI134" s="11"/>
      <c r="KJ134" s="11">
        <v>11759.065000000001</v>
      </c>
      <c r="KK134" s="11">
        <v>8039</v>
      </c>
      <c r="KL134" s="11">
        <v>11838</v>
      </c>
      <c r="KM134" s="11">
        <v>10709</v>
      </c>
      <c r="KN134" s="11">
        <v>8048</v>
      </c>
      <c r="KO134" s="11">
        <v>18868</v>
      </c>
      <c r="KP134" s="11">
        <v>4997</v>
      </c>
      <c r="KQ134" s="11"/>
      <c r="KR134" s="11">
        <v>0</v>
      </c>
      <c r="KS134" s="11">
        <v>0</v>
      </c>
      <c r="KT134" s="11">
        <v>0</v>
      </c>
      <c r="KU134" s="11">
        <v>0</v>
      </c>
      <c r="KV134" s="11"/>
      <c r="KW134" s="11">
        <v>0</v>
      </c>
      <c r="KX134" s="11">
        <v>0</v>
      </c>
      <c r="KY134" s="11">
        <v>0</v>
      </c>
      <c r="KZ134" s="11">
        <v>0</v>
      </c>
      <c r="LA134" s="11">
        <v>3127</v>
      </c>
      <c r="LB134" s="11">
        <v>0</v>
      </c>
      <c r="LC134" s="11"/>
      <c r="LD134" s="11"/>
      <c r="LE134" s="11"/>
      <c r="LF134" s="11"/>
      <c r="LG134" s="11"/>
      <c r="LH134" s="11"/>
      <c r="LI134" s="11">
        <v>29133</v>
      </c>
      <c r="LJ134" s="11">
        <v>0</v>
      </c>
      <c r="LK134" s="11"/>
      <c r="LL134" s="11">
        <v>14940</v>
      </c>
      <c r="LM134" s="11">
        <v>8299</v>
      </c>
      <c r="LN134" s="11">
        <v>3695</v>
      </c>
      <c r="LO134" s="11"/>
      <c r="LP134" s="11">
        <v>0</v>
      </c>
      <c r="LQ134" s="11">
        <v>10350</v>
      </c>
      <c r="LR134" s="11"/>
      <c r="LS134" s="11">
        <v>36809</v>
      </c>
      <c r="LT134" s="11"/>
      <c r="LU134" s="11">
        <v>0</v>
      </c>
      <c r="LV134" s="11">
        <v>0</v>
      </c>
      <c r="LW134" s="11">
        <v>6842</v>
      </c>
      <c r="LX134" s="11"/>
      <c r="LY134" s="11">
        <v>31732</v>
      </c>
      <c r="LZ134" s="11">
        <v>16743</v>
      </c>
      <c r="MA134" s="11">
        <v>16404</v>
      </c>
      <c r="MB134" s="11">
        <v>0</v>
      </c>
      <c r="MC134" s="11">
        <v>11947</v>
      </c>
      <c r="MD134" s="11">
        <v>15546</v>
      </c>
      <c r="ME134" s="11">
        <v>0</v>
      </c>
      <c r="MF134" s="11">
        <v>32279</v>
      </c>
      <c r="MG134" s="11">
        <v>8734</v>
      </c>
      <c r="MH134" s="11">
        <v>255712</v>
      </c>
      <c r="MI134" s="11">
        <v>12451</v>
      </c>
      <c r="MJ134" s="11">
        <v>-8131</v>
      </c>
      <c r="MK134" s="11">
        <v>5625</v>
      </c>
      <c r="ML134" s="11">
        <v>0</v>
      </c>
      <c r="MM134" s="11">
        <v>0</v>
      </c>
      <c r="MN134" s="11">
        <v>9168</v>
      </c>
      <c r="MO134" s="11">
        <v>0</v>
      </c>
      <c r="MP134" s="11">
        <v>0</v>
      </c>
      <c r="MQ134" s="11">
        <v>0</v>
      </c>
      <c r="MR134" s="11"/>
      <c r="MS134" s="11">
        <v>5612</v>
      </c>
      <c r="MT134" s="11"/>
      <c r="MU134" s="11">
        <v>0</v>
      </c>
      <c r="MV134" s="11">
        <v>6174</v>
      </c>
      <c r="MW134" s="11"/>
      <c r="MX134" s="11">
        <v>0</v>
      </c>
      <c r="MY134" s="11">
        <v>0</v>
      </c>
      <c r="MZ134" s="11">
        <v>3367</v>
      </c>
      <c r="NA134" s="11"/>
      <c r="NB134" s="11">
        <v>0</v>
      </c>
      <c r="NC134" s="11">
        <v>1913.6</v>
      </c>
      <c r="ND134" s="11">
        <v>0</v>
      </c>
      <c r="NE134" s="11">
        <v>199906</v>
      </c>
      <c r="NF134" s="11">
        <v>0</v>
      </c>
      <c r="NG134" s="11">
        <v>0</v>
      </c>
      <c r="NH134" s="11"/>
      <c r="NI134" s="11">
        <v>4910</v>
      </c>
      <c r="NJ134" s="11">
        <v>3174</v>
      </c>
      <c r="NK134" s="11">
        <v>0</v>
      </c>
      <c r="NL134" s="11">
        <v>27041</v>
      </c>
      <c r="NM134" s="11">
        <v>2319</v>
      </c>
      <c r="NN134" s="11">
        <v>7066</v>
      </c>
      <c r="NO134" s="11">
        <v>6648</v>
      </c>
      <c r="NP134" s="11">
        <v>5406</v>
      </c>
      <c r="NQ134" s="11">
        <v>0</v>
      </c>
      <c r="NR134" s="11"/>
      <c r="NS134" s="11">
        <v>0</v>
      </c>
      <c r="NT134" s="11">
        <v>0</v>
      </c>
      <c r="NU134" s="11">
        <v>15952</v>
      </c>
      <c r="NV134" s="11"/>
      <c r="NW134" s="11">
        <v>0</v>
      </c>
      <c r="NX134" s="11"/>
      <c r="NY134" s="11"/>
      <c r="NZ134" s="11">
        <v>0</v>
      </c>
      <c r="OA134" s="11"/>
      <c r="OB134" s="11">
        <v>0</v>
      </c>
      <c r="OC134" s="11">
        <v>0</v>
      </c>
      <c r="OD134" s="11"/>
      <c r="OE134" s="11"/>
      <c r="OF134" s="11">
        <v>20076</v>
      </c>
      <c r="OG134" s="11">
        <v>7921</v>
      </c>
      <c r="OH134" s="11">
        <v>15034.98</v>
      </c>
      <c r="OI134" s="11"/>
      <c r="OJ134" s="11">
        <v>11074</v>
      </c>
      <c r="OK134" s="11">
        <v>0</v>
      </c>
      <c r="OL134" s="11">
        <v>4751</v>
      </c>
      <c r="OM134" s="11">
        <v>0</v>
      </c>
      <c r="ON134" s="11">
        <v>0</v>
      </c>
      <c r="OO134" s="11">
        <v>750</v>
      </c>
      <c r="OP134" s="11">
        <v>24654</v>
      </c>
      <c r="OQ134" s="11">
        <v>0</v>
      </c>
      <c r="OR134" s="11">
        <v>11011</v>
      </c>
      <c r="OS134" s="11">
        <v>8160</v>
      </c>
      <c r="OT134" s="11">
        <v>115043</v>
      </c>
      <c r="OU134" s="11">
        <v>0</v>
      </c>
      <c r="OV134" s="11">
        <v>9149</v>
      </c>
      <c r="OW134" s="11">
        <v>0</v>
      </c>
      <c r="OX134" s="11">
        <v>0</v>
      </c>
      <c r="OY134" s="11">
        <v>0</v>
      </c>
      <c r="OZ134" s="11">
        <v>6390</v>
      </c>
      <c r="PA134" s="11">
        <v>0</v>
      </c>
      <c r="PB134" s="11">
        <v>6056</v>
      </c>
      <c r="PC134" s="11">
        <v>0</v>
      </c>
      <c r="PD134" s="11">
        <v>6153</v>
      </c>
      <c r="PE134" s="11">
        <v>13547</v>
      </c>
      <c r="PF134" s="11">
        <v>1962</v>
      </c>
      <c r="PG134" s="11">
        <v>9162</v>
      </c>
      <c r="PH134" s="11">
        <v>20881</v>
      </c>
      <c r="PI134" s="11">
        <v>6812</v>
      </c>
      <c r="PJ134" s="11">
        <v>7892</v>
      </c>
      <c r="PK134" s="11">
        <v>12920.4</v>
      </c>
      <c r="PL134" s="11">
        <v>8355</v>
      </c>
      <c r="PM134" s="11">
        <v>6826</v>
      </c>
      <c r="PN134" s="11">
        <v>41627</v>
      </c>
      <c r="PO134" s="11">
        <v>0</v>
      </c>
      <c r="PP134" s="11">
        <v>29943</v>
      </c>
      <c r="PQ134" s="11">
        <v>6716</v>
      </c>
      <c r="PR134" s="11">
        <v>2974</v>
      </c>
      <c r="PS134" s="11">
        <v>-6765.7</v>
      </c>
      <c r="PT134" s="11">
        <v>2842</v>
      </c>
      <c r="PU134" s="11">
        <v>0</v>
      </c>
      <c r="PV134" s="11">
        <v>41702</v>
      </c>
      <c r="PW134" s="11">
        <v>18740</v>
      </c>
      <c r="PX134" s="11"/>
      <c r="PY134" s="11">
        <v>157529</v>
      </c>
      <c r="PZ134" s="11">
        <v>0</v>
      </c>
      <c r="QA134" s="11">
        <v>2369</v>
      </c>
      <c r="QB134" s="11">
        <v>9004</v>
      </c>
      <c r="QC134" s="11"/>
      <c r="QD134" s="11">
        <v>0</v>
      </c>
      <c r="QE134" s="11">
        <v>0</v>
      </c>
      <c r="QF134" s="11">
        <v>8068</v>
      </c>
      <c r="QG134" s="11">
        <v>0</v>
      </c>
      <c r="QH134" s="11">
        <v>0</v>
      </c>
      <c r="QI134" s="11"/>
      <c r="QJ134" s="11"/>
      <c r="QK134" s="11"/>
      <c r="QL134" s="11">
        <v>0</v>
      </c>
      <c r="QM134" s="11">
        <v>0</v>
      </c>
      <c r="QN134" s="11"/>
      <c r="QO134" s="11">
        <v>0</v>
      </c>
      <c r="QP134" s="11">
        <v>0</v>
      </c>
      <c r="QQ134" s="11"/>
      <c r="QR134" s="11"/>
      <c r="QS134" s="11">
        <v>1827</v>
      </c>
      <c r="QT134" s="11"/>
      <c r="QU134" s="11">
        <v>0</v>
      </c>
      <c r="QV134" s="11">
        <v>6749</v>
      </c>
      <c r="QW134" s="11">
        <v>0</v>
      </c>
      <c r="QX134" s="11">
        <v>9992</v>
      </c>
      <c r="QY134" s="11">
        <v>3137</v>
      </c>
      <c r="QZ134" s="11"/>
      <c r="RA134" s="11">
        <v>0</v>
      </c>
      <c r="RB134" s="11"/>
      <c r="RC134" s="11">
        <v>40851</v>
      </c>
      <c r="RD134" s="11">
        <v>0</v>
      </c>
      <c r="RE134" s="11">
        <v>0</v>
      </c>
      <c r="RF134" s="11"/>
      <c r="RG134" s="11">
        <v>0</v>
      </c>
      <c r="RH134" s="11"/>
      <c r="RI134" s="11">
        <v>0</v>
      </c>
      <c r="RJ134" s="11">
        <v>4122</v>
      </c>
      <c r="RK134" s="11">
        <v>0</v>
      </c>
      <c r="RL134" s="11">
        <v>84130.37</v>
      </c>
      <c r="RM134" s="11">
        <v>10806</v>
      </c>
      <c r="RN134" s="11">
        <v>14405</v>
      </c>
      <c r="RO134" s="11">
        <v>8839.64</v>
      </c>
      <c r="RP134" s="11">
        <v>0</v>
      </c>
      <c r="RQ134" s="11"/>
      <c r="RR134" s="11"/>
      <c r="RS134" s="11">
        <v>0</v>
      </c>
      <c r="RT134" s="11">
        <v>0</v>
      </c>
      <c r="RU134" s="11">
        <v>5438</v>
      </c>
      <c r="RV134" s="11"/>
      <c r="RW134" s="11">
        <v>0</v>
      </c>
      <c r="RX134" s="11">
        <v>0</v>
      </c>
      <c r="RY134" s="11">
        <v>2383</v>
      </c>
      <c r="RZ134" s="11">
        <v>43319.040000000001</v>
      </c>
      <c r="SA134" s="11">
        <v>4790</v>
      </c>
      <c r="SB134" s="11">
        <v>-2458</v>
      </c>
      <c r="SC134" s="11">
        <v>9101</v>
      </c>
      <c r="SD134" s="11">
        <v>6332</v>
      </c>
      <c r="SE134" s="11">
        <v>2607.6</v>
      </c>
      <c r="SF134" s="11">
        <v>5410</v>
      </c>
      <c r="SG134" s="11">
        <v>8183</v>
      </c>
      <c r="SH134" s="11">
        <v>7306</v>
      </c>
      <c r="SI134" s="11">
        <v>66770</v>
      </c>
      <c r="SJ134" s="11">
        <v>0</v>
      </c>
      <c r="SK134" s="11">
        <v>11513</v>
      </c>
      <c r="SL134" s="11">
        <v>13635</v>
      </c>
      <c r="SM134" s="11">
        <v>0</v>
      </c>
      <c r="SN134" s="11">
        <v>0</v>
      </c>
      <c r="SO134" s="11">
        <v>8768</v>
      </c>
      <c r="SP134" s="11">
        <v>9514</v>
      </c>
      <c r="SQ134" s="11">
        <v>4819</v>
      </c>
      <c r="SR134" s="11">
        <v>0</v>
      </c>
      <c r="SS134" s="11">
        <v>7549</v>
      </c>
      <c r="ST134" s="11">
        <v>6570</v>
      </c>
      <c r="SU134" s="11">
        <v>4850</v>
      </c>
      <c r="SV134" s="11">
        <v>0</v>
      </c>
      <c r="SW134" s="11">
        <v>5337</v>
      </c>
      <c r="SX134" s="11">
        <v>29366</v>
      </c>
      <c r="SY134" s="11">
        <v>6967</v>
      </c>
      <c r="SZ134" s="11">
        <v>3794</v>
      </c>
      <c r="TA134" s="11">
        <v>0</v>
      </c>
      <c r="TB134" s="11">
        <v>0</v>
      </c>
      <c r="TC134" s="11">
        <v>23545</v>
      </c>
      <c r="TD134" s="11">
        <v>0</v>
      </c>
      <c r="TE134" s="11">
        <v>6753</v>
      </c>
      <c r="TF134" s="11">
        <v>8831</v>
      </c>
      <c r="TG134" s="11">
        <v>11137</v>
      </c>
      <c r="TH134" s="11">
        <v>7348</v>
      </c>
      <c r="TI134" s="11">
        <v>0</v>
      </c>
      <c r="TJ134" s="11"/>
      <c r="TK134" s="11">
        <v>0</v>
      </c>
      <c r="TL134" s="11">
        <v>0</v>
      </c>
      <c r="TM134" s="11">
        <v>0</v>
      </c>
      <c r="TN134" s="11">
        <v>13594</v>
      </c>
      <c r="TO134" s="11">
        <v>0</v>
      </c>
      <c r="TP134" s="11">
        <v>0</v>
      </c>
      <c r="TQ134" s="11">
        <v>13001</v>
      </c>
      <c r="TR134" s="11">
        <v>10357</v>
      </c>
      <c r="TS134" s="11">
        <v>21294</v>
      </c>
      <c r="TT134" s="11">
        <v>15558</v>
      </c>
      <c r="TU134" s="11">
        <v>0</v>
      </c>
      <c r="TV134" s="11">
        <v>5378</v>
      </c>
      <c r="TW134" s="11">
        <v>0</v>
      </c>
      <c r="TX134" s="11">
        <v>0</v>
      </c>
      <c r="TY134" s="11">
        <v>0</v>
      </c>
      <c r="TZ134" s="11">
        <v>0</v>
      </c>
      <c r="UA134" s="11"/>
      <c r="UB134" s="11">
        <v>165</v>
      </c>
      <c r="UC134" s="11">
        <v>12583</v>
      </c>
      <c r="UD134" s="11">
        <v>5945</v>
      </c>
      <c r="UE134" s="11">
        <v>6479</v>
      </c>
      <c r="UF134" s="11">
        <v>86959</v>
      </c>
      <c r="UG134" s="11">
        <v>9357</v>
      </c>
      <c r="UH134" s="11">
        <v>0</v>
      </c>
      <c r="UI134" s="11">
        <v>11410</v>
      </c>
      <c r="UJ134" s="11">
        <v>0</v>
      </c>
      <c r="UK134" s="11">
        <v>0</v>
      </c>
      <c r="UL134" s="11">
        <v>11506</v>
      </c>
      <c r="UM134" s="11">
        <v>8119</v>
      </c>
      <c r="UN134" s="11">
        <v>51021.18</v>
      </c>
      <c r="UO134" s="11">
        <v>0</v>
      </c>
      <c r="UP134" s="11">
        <v>25391.45</v>
      </c>
      <c r="UQ134" s="11"/>
      <c r="UR134" s="11">
        <v>11284</v>
      </c>
      <c r="US134" s="11">
        <v>0</v>
      </c>
      <c r="UT134" s="11">
        <v>35130</v>
      </c>
      <c r="UU134" s="11">
        <v>0</v>
      </c>
      <c r="UV134" s="11">
        <v>9339</v>
      </c>
      <c r="UW134" s="11">
        <v>4914</v>
      </c>
      <c r="UX134" s="11">
        <v>0</v>
      </c>
      <c r="UY134" s="11">
        <v>0</v>
      </c>
      <c r="UZ134" s="11">
        <v>0</v>
      </c>
      <c r="VA134" s="11">
        <v>4253</v>
      </c>
      <c r="VB134" s="11">
        <v>16211</v>
      </c>
      <c r="VC134" s="11">
        <v>12029</v>
      </c>
      <c r="VD134" s="11">
        <v>19300</v>
      </c>
      <c r="VE134" s="11">
        <v>6021</v>
      </c>
      <c r="VF134" s="11">
        <v>7325</v>
      </c>
      <c r="VG134" s="11">
        <v>63</v>
      </c>
      <c r="VH134" s="11">
        <v>0</v>
      </c>
      <c r="VI134" s="11">
        <v>26175</v>
      </c>
      <c r="VJ134" s="11">
        <v>5562</v>
      </c>
      <c r="VK134" s="11">
        <v>0</v>
      </c>
      <c r="VL134" s="11">
        <v>3006.5</v>
      </c>
      <c r="VM134" s="11">
        <v>0</v>
      </c>
      <c r="VN134" s="11"/>
      <c r="VO134" s="11">
        <v>7595</v>
      </c>
      <c r="VP134" s="11">
        <v>20900</v>
      </c>
      <c r="VQ134" s="11"/>
      <c r="VR134" s="11"/>
      <c r="VS134" s="11"/>
      <c r="VT134" s="11">
        <v>23327.3</v>
      </c>
      <c r="VU134" s="11">
        <v>6297</v>
      </c>
      <c r="VV134" s="11"/>
      <c r="VW134" s="11">
        <v>18618.3</v>
      </c>
      <c r="VX134" s="11">
        <v>12248</v>
      </c>
      <c r="VY134" s="11"/>
      <c r="VZ134" s="11">
        <v>0</v>
      </c>
      <c r="WA134" s="11">
        <v>0</v>
      </c>
      <c r="WB134" s="11">
        <v>0</v>
      </c>
      <c r="WC134" s="11">
        <v>17204</v>
      </c>
      <c r="WD134" s="11">
        <v>10748</v>
      </c>
      <c r="WE134" s="11">
        <v>0</v>
      </c>
      <c r="WF134" s="11">
        <v>9158</v>
      </c>
      <c r="WG134" s="11">
        <v>10948</v>
      </c>
      <c r="WH134" s="11">
        <v>15927</v>
      </c>
      <c r="WI134" s="11">
        <v>19788</v>
      </c>
      <c r="WJ134" s="11">
        <v>12156</v>
      </c>
      <c r="WK134" s="11">
        <v>12183</v>
      </c>
      <c r="WL134" s="11">
        <v>11753</v>
      </c>
      <c r="WM134" s="11">
        <v>25444</v>
      </c>
      <c r="WN134" s="11">
        <v>0</v>
      </c>
      <c r="WO134" s="11">
        <v>21814</v>
      </c>
      <c r="WP134" s="11">
        <v>32284</v>
      </c>
      <c r="WQ134" s="11">
        <v>12714</v>
      </c>
      <c r="WR134" s="11">
        <v>13150</v>
      </c>
      <c r="WS134" s="11">
        <v>15458</v>
      </c>
      <c r="WT134" s="11">
        <v>8255</v>
      </c>
      <c r="WU134" s="11">
        <v>24151</v>
      </c>
      <c r="WV134" s="11">
        <v>0</v>
      </c>
      <c r="WW134" s="11">
        <v>12386</v>
      </c>
      <c r="WX134" s="11">
        <v>0</v>
      </c>
      <c r="WY134" s="11">
        <v>12338</v>
      </c>
      <c r="WZ134" s="11">
        <v>0</v>
      </c>
      <c r="XA134" s="11">
        <v>0</v>
      </c>
      <c r="XB134" s="11">
        <v>8523</v>
      </c>
      <c r="XC134" s="11">
        <v>7964</v>
      </c>
      <c r="XD134" s="11">
        <v>0</v>
      </c>
      <c r="XE134" s="11">
        <v>6183</v>
      </c>
      <c r="XF134" s="11">
        <v>0</v>
      </c>
      <c r="XG134" s="11">
        <v>0</v>
      </c>
      <c r="XH134" s="11">
        <v>0</v>
      </c>
      <c r="XI134" s="11"/>
      <c r="XJ134" s="11">
        <v>3165</v>
      </c>
      <c r="XK134" s="11">
        <v>12922</v>
      </c>
      <c r="XL134" s="11">
        <v>0</v>
      </c>
      <c r="XM134" s="11">
        <v>0</v>
      </c>
      <c r="XN134" s="11">
        <v>15122</v>
      </c>
      <c r="XO134" s="11">
        <v>21216</v>
      </c>
      <c r="XP134" s="11">
        <v>0</v>
      </c>
      <c r="XQ134" s="11">
        <v>10283</v>
      </c>
      <c r="XR134" s="11">
        <v>24806</v>
      </c>
      <c r="XS134" s="11">
        <v>0</v>
      </c>
      <c r="XT134" s="11"/>
      <c r="XU134" s="11">
        <v>9140</v>
      </c>
      <c r="XV134" s="11">
        <v>8612</v>
      </c>
      <c r="XW134" s="11">
        <v>9819</v>
      </c>
      <c r="XX134" s="11"/>
      <c r="XY134" s="11">
        <v>0</v>
      </c>
      <c r="XZ134" s="11">
        <v>6901</v>
      </c>
      <c r="YA134" s="11">
        <v>0</v>
      </c>
      <c r="YB134" s="11">
        <v>0</v>
      </c>
      <c r="YC134" s="11">
        <v>0</v>
      </c>
      <c r="YD134" s="11"/>
      <c r="YE134" s="11">
        <v>0</v>
      </c>
      <c r="YF134" s="11">
        <v>204646</v>
      </c>
      <c r="YG134" s="11">
        <v>9980</v>
      </c>
      <c r="YH134" s="11">
        <v>13486</v>
      </c>
      <c r="YI134" s="11">
        <v>0</v>
      </c>
      <c r="YJ134" s="11">
        <v>0</v>
      </c>
      <c r="YK134" s="11">
        <v>2454</v>
      </c>
      <c r="YL134" s="11">
        <v>23756</v>
      </c>
      <c r="YM134" s="11">
        <v>8084</v>
      </c>
      <c r="YN134" s="11">
        <v>3262</v>
      </c>
      <c r="YO134" s="11">
        <v>0</v>
      </c>
      <c r="YP134" s="11">
        <v>0</v>
      </c>
      <c r="YQ134" s="11">
        <v>11238</v>
      </c>
      <c r="YR134" s="11">
        <v>0</v>
      </c>
      <c r="YS134" s="11">
        <v>0</v>
      </c>
      <c r="YT134" s="11">
        <v>0</v>
      </c>
      <c r="YU134" s="11">
        <v>6920</v>
      </c>
      <c r="YV134" s="11">
        <v>0</v>
      </c>
      <c r="YW134" s="11">
        <v>44987</v>
      </c>
      <c r="YX134" s="11">
        <v>0</v>
      </c>
      <c r="YY134" s="11"/>
      <c r="YZ134" s="11">
        <v>0</v>
      </c>
      <c r="ZA134" s="11">
        <v>0</v>
      </c>
      <c r="ZB134" s="11"/>
      <c r="ZC134" s="11">
        <v>4795</v>
      </c>
      <c r="ZD134" s="11">
        <v>0</v>
      </c>
      <c r="ZE134" s="11"/>
      <c r="ZF134" s="11">
        <v>9621</v>
      </c>
      <c r="ZG134" s="11">
        <v>0</v>
      </c>
      <c r="ZH134" s="11">
        <v>6003</v>
      </c>
      <c r="ZI134" s="11">
        <v>4366</v>
      </c>
      <c r="ZJ134" s="11">
        <v>0</v>
      </c>
      <c r="ZK134" s="11">
        <v>3538</v>
      </c>
      <c r="ZL134" s="11"/>
      <c r="ZM134" s="11">
        <v>0</v>
      </c>
      <c r="ZN134" s="11">
        <v>6204</v>
      </c>
      <c r="ZO134" s="11">
        <v>10865</v>
      </c>
      <c r="ZP134" s="11">
        <v>33624</v>
      </c>
      <c r="ZQ134" s="11">
        <v>22310</v>
      </c>
      <c r="ZR134" s="11"/>
      <c r="ZS134" s="11">
        <v>15756.65</v>
      </c>
      <c r="ZT134" s="11"/>
      <c r="ZU134" s="11">
        <v>14071</v>
      </c>
      <c r="ZV134" s="11">
        <v>22776</v>
      </c>
      <c r="ZW134" s="11">
        <v>7437</v>
      </c>
      <c r="ZX134" s="11">
        <v>0</v>
      </c>
      <c r="ZY134" s="11">
        <v>5704</v>
      </c>
      <c r="ZZ134" s="11">
        <v>6757</v>
      </c>
      <c r="AAA134" s="11">
        <v>7038.92</v>
      </c>
      <c r="AAB134" s="11">
        <v>9517</v>
      </c>
      <c r="AAC134" s="11">
        <v>5878</v>
      </c>
      <c r="AAD134" s="11">
        <v>0</v>
      </c>
      <c r="AAE134" s="11">
        <v>0</v>
      </c>
      <c r="AAF134" s="11">
        <v>5810</v>
      </c>
      <c r="AAG134" s="11">
        <v>23835</v>
      </c>
      <c r="AAH134" s="11">
        <v>0</v>
      </c>
      <c r="AAI134" s="11"/>
      <c r="AAJ134" s="11">
        <v>0</v>
      </c>
      <c r="AAK134" s="11">
        <v>0</v>
      </c>
      <c r="AAL134" s="11">
        <v>0</v>
      </c>
      <c r="AAM134" s="11">
        <v>1259</v>
      </c>
      <c r="AAN134" s="11">
        <v>6697</v>
      </c>
      <c r="AAO134" s="11">
        <v>6521</v>
      </c>
      <c r="AAP134" s="11">
        <v>159489</v>
      </c>
      <c r="AAQ134" s="11">
        <v>0</v>
      </c>
      <c r="AAR134" s="11">
        <v>27922</v>
      </c>
      <c r="AAS134" s="11">
        <v>13800</v>
      </c>
      <c r="AAT134" s="11">
        <v>14642</v>
      </c>
      <c r="AAU134" s="11">
        <v>8205</v>
      </c>
      <c r="AAV134" s="11">
        <v>0</v>
      </c>
      <c r="AAW134" s="11">
        <v>0</v>
      </c>
      <c r="AAX134" s="11">
        <v>0</v>
      </c>
      <c r="AAY134" s="11">
        <v>5097</v>
      </c>
      <c r="AAZ134" s="11">
        <v>11766</v>
      </c>
      <c r="ABA134" s="11">
        <v>43669</v>
      </c>
      <c r="ABB134" s="11">
        <v>0</v>
      </c>
      <c r="ABC134" s="11">
        <v>6392</v>
      </c>
      <c r="ABD134" s="11">
        <v>0</v>
      </c>
      <c r="ABE134" s="11">
        <v>0</v>
      </c>
      <c r="ABF134" s="11">
        <v>13494.6</v>
      </c>
      <c r="ABG134" s="11">
        <v>10572</v>
      </c>
      <c r="ABH134" s="11">
        <v>7158</v>
      </c>
      <c r="ABI134" s="11">
        <v>0</v>
      </c>
      <c r="ABJ134" s="11">
        <v>0</v>
      </c>
      <c r="ABK134" s="11">
        <v>0</v>
      </c>
      <c r="ABL134" s="11">
        <v>4702</v>
      </c>
      <c r="ABM134" s="11">
        <v>4186</v>
      </c>
      <c r="ABN134" s="11">
        <v>0</v>
      </c>
      <c r="ABO134" s="11"/>
      <c r="ABP134" s="11">
        <v>0</v>
      </c>
      <c r="ABQ134" s="11">
        <v>0</v>
      </c>
      <c r="ABR134" s="11"/>
      <c r="ABS134" s="11">
        <v>9896</v>
      </c>
      <c r="ABT134" s="11">
        <v>10939</v>
      </c>
      <c r="ABU134" s="11">
        <v>0</v>
      </c>
      <c r="ABV134" s="11">
        <v>0</v>
      </c>
      <c r="ABW134" s="11">
        <v>6402</v>
      </c>
      <c r="ABX134" s="11">
        <v>0</v>
      </c>
      <c r="ABY134" s="11">
        <v>15028</v>
      </c>
      <c r="ABZ134" s="11">
        <v>0</v>
      </c>
      <c r="ACA134" s="11"/>
      <c r="ACB134" s="11">
        <v>3928</v>
      </c>
      <c r="ACC134" s="11">
        <v>0</v>
      </c>
      <c r="ACD134" s="11">
        <v>0</v>
      </c>
      <c r="ACE134" s="11">
        <v>-92943</v>
      </c>
      <c r="ACF134" s="11">
        <v>0</v>
      </c>
      <c r="ACG134" s="11">
        <v>683</v>
      </c>
      <c r="ACH134" s="11">
        <v>0</v>
      </c>
      <c r="ACI134" s="11">
        <v>0</v>
      </c>
      <c r="ACJ134" s="11">
        <v>99400</v>
      </c>
      <c r="ACK134" s="11">
        <v>6578</v>
      </c>
      <c r="ACL134" s="11">
        <v>0</v>
      </c>
      <c r="ACM134" s="11">
        <v>0</v>
      </c>
      <c r="ACN134" s="11">
        <v>35640</v>
      </c>
      <c r="ACO134" s="11">
        <v>6865</v>
      </c>
      <c r="ACP134" s="11"/>
      <c r="ACQ134" s="11">
        <v>0</v>
      </c>
      <c r="ACR134" s="11">
        <v>0</v>
      </c>
      <c r="ACS134" s="11">
        <v>0</v>
      </c>
      <c r="ACT134" s="11">
        <v>950</v>
      </c>
      <c r="ACU134" s="11">
        <v>0</v>
      </c>
      <c r="ACV134" s="11">
        <v>4886</v>
      </c>
      <c r="ACW134" s="11">
        <v>25440</v>
      </c>
      <c r="ACX134" s="11">
        <v>0</v>
      </c>
      <c r="ACY134" s="11">
        <v>17582</v>
      </c>
      <c r="ACZ134" s="11"/>
      <c r="ADA134" s="11">
        <v>22661</v>
      </c>
      <c r="ADB134" s="11">
        <v>0</v>
      </c>
      <c r="ADC134" s="11">
        <v>0</v>
      </c>
      <c r="ADD134" s="11">
        <v>0</v>
      </c>
      <c r="ADE134" s="11">
        <v>0</v>
      </c>
      <c r="ADF134" s="11">
        <v>0</v>
      </c>
      <c r="ADG134" s="11">
        <v>0</v>
      </c>
      <c r="ADH134" s="11">
        <v>0</v>
      </c>
      <c r="ADI134" s="11">
        <v>0</v>
      </c>
      <c r="ADJ134" s="11"/>
      <c r="ADK134" s="11">
        <v>0</v>
      </c>
      <c r="ADL134" s="11">
        <v>0</v>
      </c>
      <c r="ADM134" s="11"/>
      <c r="ADN134" s="11">
        <v>2548</v>
      </c>
      <c r="ADO134" s="11">
        <v>0</v>
      </c>
      <c r="ADP134" s="11"/>
      <c r="ADQ134" s="11">
        <v>0</v>
      </c>
      <c r="ADR134" s="11">
        <v>0</v>
      </c>
      <c r="ADS134" s="11">
        <v>13129</v>
      </c>
      <c r="ADT134" s="11">
        <v>0</v>
      </c>
      <c r="ADU134" s="11">
        <v>0</v>
      </c>
      <c r="ADV134" s="11">
        <v>0</v>
      </c>
      <c r="ADW134" s="11">
        <v>0</v>
      </c>
      <c r="ADX134" s="11">
        <v>3378</v>
      </c>
      <c r="ADY134" s="11">
        <v>6818</v>
      </c>
      <c r="ADZ134" s="11">
        <v>176215.49</v>
      </c>
      <c r="AEA134" s="11">
        <v>48455</v>
      </c>
      <c r="AEB134" s="11">
        <v>15337</v>
      </c>
      <c r="AEC134" s="11"/>
      <c r="AED134" s="11">
        <v>4201</v>
      </c>
      <c r="AEE134" s="11">
        <v>30087.919999999998</v>
      </c>
      <c r="AEF134" s="11">
        <v>10596.4</v>
      </c>
      <c r="AEG134" s="11">
        <v>12809</v>
      </c>
      <c r="AEH134" s="11">
        <v>0</v>
      </c>
      <c r="AEI134" s="11">
        <v>0</v>
      </c>
      <c r="AEJ134" s="11"/>
      <c r="AEK134" s="11"/>
      <c r="AEL134" s="11">
        <v>6151</v>
      </c>
      <c r="AEM134" s="11">
        <v>0</v>
      </c>
      <c r="AEN134" s="11">
        <v>0</v>
      </c>
      <c r="AEO134" s="11">
        <v>0</v>
      </c>
      <c r="AEP134" s="11">
        <v>6771</v>
      </c>
      <c r="AEQ134" s="11">
        <v>0</v>
      </c>
      <c r="AER134" s="11">
        <v>2171</v>
      </c>
      <c r="AES134" s="11">
        <v>10383</v>
      </c>
      <c r="AET134" s="11">
        <v>0</v>
      </c>
      <c r="AEU134" s="11">
        <v>0</v>
      </c>
      <c r="AEV134" s="11">
        <v>0</v>
      </c>
      <c r="AEW134" s="11"/>
      <c r="AEX134" s="11">
        <v>3788</v>
      </c>
      <c r="AEY134" s="11">
        <v>626722.5</v>
      </c>
      <c r="AEZ134" s="11">
        <v>0</v>
      </c>
      <c r="AFA134" s="11">
        <v>6214</v>
      </c>
      <c r="AFB134" s="11">
        <v>0</v>
      </c>
      <c r="AFC134" s="11">
        <v>0</v>
      </c>
      <c r="AFD134" s="11">
        <v>32530</v>
      </c>
      <c r="AFE134" s="11">
        <v>0</v>
      </c>
      <c r="AFF134" s="11">
        <v>4781</v>
      </c>
      <c r="AFG134" s="11">
        <v>5799</v>
      </c>
      <c r="AFH134" s="11">
        <v>12439</v>
      </c>
      <c r="AFI134" s="11">
        <v>3856</v>
      </c>
      <c r="AFJ134" s="11">
        <v>4610</v>
      </c>
      <c r="AFK134" s="11">
        <v>0</v>
      </c>
      <c r="AFL134" s="11">
        <v>-2798</v>
      </c>
      <c r="AFM134" s="11">
        <v>19585</v>
      </c>
      <c r="AFN134" s="11">
        <v>6201</v>
      </c>
      <c r="AFO134" s="11">
        <v>3762</v>
      </c>
      <c r="AFP134" s="11">
        <v>4733</v>
      </c>
      <c r="AFQ134" s="11">
        <v>43125</v>
      </c>
      <c r="AFR134" s="11">
        <v>0</v>
      </c>
      <c r="AFS134" s="11">
        <v>0</v>
      </c>
      <c r="AFT134" s="11">
        <v>0</v>
      </c>
      <c r="AFU134" s="11">
        <v>12105</v>
      </c>
      <c r="AFV134" s="11">
        <v>6968</v>
      </c>
      <c r="AFW134" s="11">
        <v>3667</v>
      </c>
      <c r="AFX134" s="11">
        <v>6981</v>
      </c>
      <c r="AFY134" s="11">
        <v>0</v>
      </c>
      <c r="AFZ134" s="11">
        <v>3878</v>
      </c>
      <c r="AGA134" s="11">
        <v>0</v>
      </c>
      <c r="AGB134" s="11">
        <v>6004</v>
      </c>
      <c r="AGC134" s="11"/>
      <c r="AGD134" s="11">
        <v>11833</v>
      </c>
      <c r="AGE134" s="11">
        <v>8208</v>
      </c>
      <c r="AGF134" s="11">
        <v>6521</v>
      </c>
      <c r="AGG134" s="11">
        <v>0</v>
      </c>
      <c r="AGH134" s="11">
        <v>7077</v>
      </c>
      <c r="AGI134" s="11">
        <v>0</v>
      </c>
      <c r="AGJ134" s="11">
        <v>6184</v>
      </c>
      <c r="AGK134" s="11">
        <v>0</v>
      </c>
      <c r="AGL134" s="11">
        <v>0</v>
      </c>
      <c r="AGM134" s="11">
        <v>0</v>
      </c>
      <c r="AGN134" s="11">
        <v>0</v>
      </c>
      <c r="AGO134" s="11"/>
      <c r="AGP134" s="11">
        <v>0</v>
      </c>
      <c r="AGQ134" s="11">
        <v>0</v>
      </c>
      <c r="AGR134" s="11">
        <v>0</v>
      </c>
      <c r="AGS134" s="11">
        <v>0</v>
      </c>
      <c r="AGT134" s="11">
        <v>0</v>
      </c>
      <c r="AGU134" s="11">
        <v>0</v>
      </c>
      <c r="AGV134" s="11">
        <v>3927</v>
      </c>
      <c r="AGW134" s="11">
        <v>202</v>
      </c>
      <c r="AGX134" s="11">
        <v>0</v>
      </c>
      <c r="AGY134" s="11">
        <v>0</v>
      </c>
      <c r="AGZ134" s="11">
        <v>0</v>
      </c>
      <c r="AHA134" s="11">
        <v>0</v>
      </c>
      <c r="AHB134" s="11">
        <v>0</v>
      </c>
      <c r="AHC134" s="11">
        <v>0</v>
      </c>
      <c r="AHD134" s="11">
        <v>0</v>
      </c>
      <c r="AHE134" s="11">
        <v>0</v>
      </c>
      <c r="AHF134" s="11">
        <v>0</v>
      </c>
      <c r="AHG134" s="11">
        <v>4902</v>
      </c>
      <c r="AHH134" s="11">
        <v>6257</v>
      </c>
      <c r="AHI134" s="11">
        <v>5978</v>
      </c>
      <c r="AHJ134" s="11">
        <v>5691</v>
      </c>
      <c r="AHK134" s="11"/>
      <c r="AHL134" s="11">
        <v>0</v>
      </c>
      <c r="AHM134" s="11">
        <v>0</v>
      </c>
      <c r="AHN134" s="11">
        <v>0</v>
      </c>
      <c r="AHO134" s="11">
        <v>0</v>
      </c>
      <c r="AHP134" s="11">
        <v>5391</v>
      </c>
      <c r="AHQ134" s="11">
        <v>13026</v>
      </c>
      <c r="AHR134" s="11">
        <v>2557</v>
      </c>
      <c r="AHS134" s="11">
        <v>2259</v>
      </c>
      <c r="AHT134" s="11">
        <v>7519444.9649999999</v>
      </c>
      <c r="AHV134" s="269" t="s">
        <v>6280</v>
      </c>
      <c r="AHW134" s="269" t="s">
        <v>6208</v>
      </c>
      <c r="AHX134" s="269" t="s">
        <v>6209</v>
      </c>
    </row>
    <row r="135" spans="1:908" x14ac:dyDescent="0.7">
      <c r="A135" s="6" t="s">
        <v>6280</v>
      </c>
      <c r="B135" s="6" t="s">
        <v>6208</v>
      </c>
      <c r="C135" s="6" t="s">
        <v>6209</v>
      </c>
      <c r="D135" s="11"/>
      <c r="E135" s="11"/>
      <c r="F135" s="11">
        <v>0</v>
      </c>
      <c r="G135" s="11"/>
      <c r="H135" s="11"/>
      <c r="I135" s="11">
        <v>0</v>
      </c>
      <c r="J135" s="11"/>
      <c r="K135" s="11">
        <v>6385113.9500000002</v>
      </c>
      <c r="L135" s="11"/>
      <c r="M135" s="11"/>
      <c r="N135" s="11"/>
      <c r="O135" s="11"/>
      <c r="P135" s="11">
        <v>13515586.51</v>
      </c>
      <c r="Q135" s="11"/>
      <c r="R135" s="11"/>
      <c r="S135" s="11"/>
      <c r="T135" s="11"/>
      <c r="U135" s="11"/>
      <c r="V135" s="11">
        <v>307102.23</v>
      </c>
      <c r="W135" s="11"/>
      <c r="X135" s="11">
        <v>1283469.5</v>
      </c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>
        <v>0</v>
      </c>
      <c r="AU135" s="11"/>
      <c r="AV135" s="11"/>
      <c r="AW135" s="11">
        <v>17640</v>
      </c>
      <c r="AX135" s="11"/>
      <c r="AY135" s="11"/>
      <c r="AZ135" s="11"/>
      <c r="BA135" s="11">
        <v>0</v>
      </c>
      <c r="BB135" s="11">
        <v>0</v>
      </c>
      <c r="BC135" s="11"/>
      <c r="BD135" s="11"/>
      <c r="BE135" s="11">
        <v>1461079.24</v>
      </c>
      <c r="BF135" s="11">
        <v>3779004.22</v>
      </c>
      <c r="BG135" s="11"/>
      <c r="BH135" s="11">
        <v>1838200</v>
      </c>
      <c r="BI135" s="11">
        <v>23597492.449999999</v>
      </c>
      <c r="BJ135" s="11">
        <v>0</v>
      </c>
      <c r="BK135" s="11">
        <v>0.76</v>
      </c>
      <c r="BL135" s="11"/>
      <c r="BM135" s="11"/>
      <c r="BN135" s="11"/>
      <c r="BO135" s="11">
        <v>709159.76</v>
      </c>
      <c r="BP135" s="11"/>
      <c r="BQ135" s="11"/>
      <c r="BR135" s="11">
        <v>511242.27</v>
      </c>
      <c r="BS135" s="11">
        <v>3060694.26</v>
      </c>
      <c r="BT135" s="11">
        <v>1709150</v>
      </c>
      <c r="BU135" s="11">
        <v>60000</v>
      </c>
      <c r="BV135" s="11"/>
      <c r="BW135" s="11"/>
      <c r="BX135" s="11">
        <v>473647.2</v>
      </c>
      <c r="BY135" s="11">
        <v>738815</v>
      </c>
      <c r="BZ135" s="11"/>
      <c r="CA135" s="11"/>
      <c r="CB135" s="11"/>
      <c r="CC135" s="11"/>
      <c r="CD135" s="11"/>
      <c r="CE135" s="11"/>
      <c r="CF135" s="11">
        <v>1908410.37</v>
      </c>
      <c r="CG135" s="11"/>
      <c r="CH135" s="11"/>
      <c r="CI135" s="11"/>
      <c r="CJ135" s="11"/>
      <c r="CK135" s="11"/>
      <c r="CL135" s="11">
        <v>0</v>
      </c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>
        <v>0</v>
      </c>
      <c r="CY135" s="11"/>
      <c r="CZ135" s="11"/>
      <c r="DA135" s="11"/>
      <c r="DB135" s="11">
        <v>7499688.7599999998</v>
      </c>
      <c r="DC135" s="11">
        <v>4414809.75</v>
      </c>
      <c r="DD135" s="11"/>
      <c r="DE135" s="11"/>
      <c r="DF135" s="11"/>
      <c r="DG135" s="11"/>
      <c r="DH135" s="11"/>
      <c r="DI135" s="11"/>
      <c r="DJ135" s="11">
        <v>52694.63</v>
      </c>
      <c r="DK135" s="11">
        <v>37859853.57</v>
      </c>
      <c r="DL135" s="11"/>
      <c r="DM135" s="11">
        <v>471017.81</v>
      </c>
      <c r="DN135" s="11">
        <v>2478</v>
      </c>
      <c r="DO135" s="11"/>
      <c r="DP135" s="11"/>
      <c r="DQ135" s="11"/>
      <c r="DR135" s="11"/>
      <c r="DS135" s="11"/>
      <c r="DT135" s="11"/>
      <c r="DU135" s="11">
        <v>175000</v>
      </c>
      <c r="DV135" s="11">
        <v>4404081</v>
      </c>
      <c r="DW135" s="11"/>
      <c r="DX135" s="11"/>
      <c r="DY135" s="11">
        <v>0</v>
      </c>
      <c r="DZ135" s="11">
        <v>231550</v>
      </c>
      <c r="EA135" s="11"/>
      <c r="EB135" s="11"/>
      <c r="EC135" s="11"/>
      <c r="ED135" s="11"/>
      <c r="EE135" s="11"/>
      <c r="EF135" s="11"/>
      <c r="EG135" s="11">
        <v>197200</v>
      </c>
      <c r="EH135" s="11"/>
      <c r="EI135" s="11"/>
      <c r="EJ135" s="11"/>
      <c r="EK135" s="11"/>
      <c r="EL135" s="11">
        <v>341710.66</v>
      </c>
      <c r="EM135" s="11"/>
      <c r="EN135" s="11">
        <v>292826.75</v>
      </c>
      <c r="EO135" s="11">
        <v>797859.26</v>
      </c>
      <c r="EP135" s="11">
        <v>180000</v>
      </c>
      <c r="EQ135" s="11"/>
      <c r="ER135" s="11"/>
      <c r="ES135" s="11">
        <v>25610.62</v>
      </c>
      <c r="ET135" s="11"/>
      <c r="EU135" s="11"/>
      <c r="EV135" s="11"/>
      <c r="EW135" s="11">
        <v>516134.99</v>
      </c>
      <c r="EX135" s="11"/>
      <c r="EY135" s="11">
        <v>0</v>
      </c>
      <c r="EZ135" s="11"/>
      <c r="FA135" s="11"/>
      <c r="FB135" s="11"/>
      <c r="FC135" s="11"/>
      <c r="FD135" s="11"/>
      <c r="FE135" s="11">
        <v>0</v>
      </c>
      <c r="FF135" s="11">
        <v>906751.89</v>
      </c>
      <c r="FG135" s="11"/>
      <c r="FH135" s="11"/>
      <c r="FI135" s="11"/>
      <c r="FJ135" s="11"/>
      <c r="FK135" s="11"/>
      <c r="FL135" s="11"/>
      <c r="FM135" s="11"/>
      <c r="FN135" s="11"/>
      <c r="FO135" s="11">
        <v>192997.54</v>
      </c>
      <c r="FP135" s="11"/>
      <c r="FQ135" s="11">
        <v>64463971.979999997</v>
      </c>
      <c r="FR135" s="11"/>
      <c r="FS135" s="11"/>
      <c r="FT135" s="11"/>
      <c r="FU135" s="11"/>
      <c r="FV135" s="11"/>
      <c r="FW135" s="11"/>
      <c r="FX135" s="11"/>
      <c r="FY135" s="11"/>
      <c r="FZ135" s="11"/>
      <c r="GA135" s="11">
        <v>188251.2</v>
      </c>
      <c r="GB135" s="11"/>
      <c r="GC135" s="11"/>
      <c r="GD135" s="11"/>
      <c r="GE135" s="11">
        <v>17690081.5</v>
      </c>
      <c r="GF135" s="11">
        <v>195500</v>
      </c>
      <c r="GG135" s="11"/>
      <c r="GH135" s="11">
        <v>881893.87</v>
      </c>
      <c r="GI135" s="11">
        <v>3126525.68</v>
      </c>
      <c r="GJ135" s="11">
        <v>646679.97</v>
      </c>
      <c r="GK135" s="11"/>
      <c r="GL135" s="11"/>
      <c r="GM135" s="11">
        <v>141528</v>
      </c>
      <c r="GN135" s="11"/>
      <c r="GO135" s="11"/>
      <c r="GP135" s="11">
        <v>383343.91</v>
      </c>
      <c r="GQ135" s="11">
        <v>6250000</v>
      </c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>
        <v>6239095.54</v>
      </c>
      <c r="HD135" s="11">
        <v>913680.2</v>
      </c>
      <c r="HE135" s="11">
        <v>2866270.68</v>
      </c>
      <c r="HF135" s="11">
        <v>1755899.66</v>
      </c>
      <c r="HG135" s="11">
        <v>0</v>
      </c>
      <c r="HH135" s="11"/>
      <c r="HI135" s="11">
        <v>2984708.4</v>
      </c>
      <c r="HJ135" s="11"/>
      <c r="HK135" s="11">
        <v>74673934.219999999</v>
      </c>
      <c r="HL135" s="11"/>
      <c r="HM135" s="11">
        <v>60500</v>
      </c>
      <c r="HN135" s="11">
        <v>579830.04</v>
      </c>
      <c r="HO135" s="11">
        <v>3189101.89</v>
      </c>
      <c r="HP135" s="11">
        <v>13120692.439999999</v>
      </c>
      <c r="HQ135" s="11">
        <v>7536519.3700000001</v>
      </c>
      <c r="HR135" s="11">
        <v>680111.18</v>
      </c>
      <c r="HS135" s="11">
        <v>16146876.98</v>
      </c>
      <c r="HT135" s="11"/>
      <c r="HU135" s="11"/>
      <c r="HV135" s="11"/>
      <c r="HW135" s="11">
        <v>121882.51</v>
      </c>
      <c r="HX135" s="11"/>
      <c r="HY135" s="11">
        <v>62958.16</v>
      </c>
      <c r="HZ135" s="11"/>
      <c r="IA135" s="11"/>
      <c r="IB135" s="11"/>
      <c r="IC135" s="11"/>
      <c r="ID135" s="11">
        <v>148525.25</v>
      </c>
      <c r="IE135" s="11"/>
      <c r="IF135" s="11"/>
      <c r="IG135" s="11">
        <v>147000</v>
      </c>
      <c r="IH135" s="11"/>
      <c r="II135" s="11">
        <v>57536968.560000002</v>
      </c>
      <c r="IJ135" s="11"/>
      <c r="IK135" s="11">
        <v>0</v>
      </c>
      <c r="IL135" s="11">
        <v>3232840.16</v>
      </c>
      <c r="IM135" s="11">
        <v>954263.54</v>
      </c>
      <c r="IN135" s="11">
        <v>5138230.0999999996</v>
      </c>
      <c r="IO135" s="11"/>
      <c r="IP135" s="11"/>
      <c r="IQ135" s="11">
        <v>540990.91</v>
      </c>
      <c r="IR135" s="11">
        <v>207949.89</v>
      </c>
      <c r="IS135" s="11">
        <v>209086.12</v>
      </c>
      <c r="IT135" s="11">
        <v>9369184.8699999992</v>
      </c>
      <c r="IU135" s="11">
        <v>865679.54</v>
      </c>
      <c r="IV135" s="11"/>
      <c r="IW135" s="11"/>
      <c r="IX135" s="11"/>
      <c r="IY135" s="11">
        <v>449014.25</v>
      </c>
      <c r="IZ135" s="11"/>
      <c r="JA135" s="11"/>
      <c r="JB135" s="11"/>
      <c r="JC135" s="11">
        <v>0</v>
      </c>
      <c r="JD135" s="11">
        <v>0.02</v>
      </c>
      <c r="JE135" s="11"/>
      <c r="JF135" s="11">
        <v>596008.84</v>
      </c>
      <c r="JG135" s="11">
        <v>4487314.63</v>
      </c>
      <c r="JH135" s="11"/>
      <c r="JI135" s="11"/>
      <c r="JJ135" s="11"/>
      <c r="JK135" s="11">
        <v>102700</v>
      </c>
      <c r="JL135" s="11"/>
      <c r="JM135" s="11"/>
      <c r="JN135" s="11"/>
      <c r="JO135" s="11"/>
      <c r="JP135" s="11"/>
      <c r="JQ135" s="11"/>
      <c r="JR135" s="11"/>
      <c r="JS135" s="11">
        <v>8839109.9499999993</v>
      </c>
      <c r="JT135" s="11"/>
      <c r="JU135" s="11"/>
      <c r="JV135" s="11"/>
      <c r="JW135" s="11">
        <v>2201054.61</v>
      </c>
      <c r="JX135" s="11">
        <v>279432.95</v>
      </c>
      <c r="JY135" s="11"/>
      <c r="JZ135" s="11">
        <v>23500</v>
      </c>
      <c r="KA135" s="11"/>
      <c r="KB135" s="11"/>
      <c r="KC135" s="11"/>
      <c r="KD135" s="11"/>
      <c r="KE135" s="11"/>
      <c r="KF135" s="11">
        <v>139093.88</v>
      </c>
      <c r="KG135" s="11"/>
      <c r="KH135" s="11"/>
      <c r="KI135" s="11">
        <v>1194632.3600000001</v>
      </c>
      <c r="KJ135" s="11"/>
      <c r="KK135" s="11">
        <v>23365643.52</v>
      </c>
      <c r="KL135" s="11">
        <v>8972517.9900000002</v>
      </c>
      <c r="KM135" s="11">
        <v>0</v>
      </c>
      <c r="KN135" s="11">
        <v>1179417.05</v>
      </c>
      <c r="KO135" s="11">
        <v>1208583.1299999999</v>
      </c>
      <c r="KP135" s="11">
        <v>134282.53</v>
      </c>
      <c r="KQ135" s="11">
        <v>123000</v>
      </c>
      <c r="KR135" s="11">
        <v>429965.37</v>
      </c>
      <c r="KS135" s="11">
        <v>349387.39</v>
      </c>
      <c r="KT135" s="11"/>
      <c r="KU135" s="11"/>
      <c r="KV135" s="11"/>
      <c r="KW135" s="11">
        <v>880393.22</v>
      </c>
      <c r="KX135" s="11">
        <v>0</v>
      </c>
      <c r="KY135" s="11">
        <v>1846318.78</v>
      </c>
      <c r="KZ135" s="11">
        <v>19658236.809999999</v>
      </c>
      <c r="LA135" s="11"/>
      <c r="LB135" s="11">
        <v>3188666.68</v>
      </c>
      <c r="LC135" s="11"/>
      <c r="LD135" s="11"/>
      <c r="LE135" s="11">
        <v>187500</v>
      </c>
      <c r="LF135" s="11"/>
      <c r="LG135" s="11">
        <v>4567215.3899999997</v>
      </c>
      <c r="LH135" s="11">
        <v>680000</v>
      </c>
      <c r="LI135" s="11"/>
      <c r="LJ135" s="11">
        <v>7951786.6500000004</v>
      </c>
      <c r="LK135" s="11"/>
      <c r="LL135" s="11"/>
      <c r="LM135" s="11"/>
      <c r="LN135" s="11"/>
      <c r="LO135" s="11">
        <v>11834890.699999999</v>
      </c>
      <c r="LP135" s="11">
        <v>29243.99</v>
      </c>
      <c r="LQ135" s="11">
        <v>118180</v>
      </c>
      <c r="LR135" s="11">
        <v>192000</v>
      </c>
      <c r="LS135" s="11">
        <v>10353851.85</v>
      </c>
      <c r="LT135" s="11">
        <v>4165000</v>
      </c>
      <c r="LU135" s="11"/>
      <c r="LV135" s="11"/>
      <c r="LW135" s="11"/>
      <c r="LX135" s="11">
        <v>12729357.4</v>
      </c>
      <c r="LY135" s="11">
        <v>184705.61</v>
      </c>
      <c r="LZ135" s="11"/>
      <c r="MA135" s="11">
        <v>1324882</v>
      </c>
      <c r="MB135" s="11"/>
      <c r="MC135" s="11">
        <v>3564034.77</v>
      </c>
      <c r="MD135" s="11"/>
      <c r="ME135" s="11"/>
      <c r="MF135" s="11">
        <v>2084243.99</v>
      </c>
      <c r="MG135" s="11"/>
      <c r="MH135" s="11">
        <v>0</v>
      </c>
      <c r="MI135" s="11"/>
      <c r="MJ135" s="11"/>
      <c r="MK135" s="11"/>
      <c r="ML135" s="11"/>
      <c r="MM135" s="11"/>
      <c r="MN135" s="11"/>
      <c r="MO135" s="11">
        <v>32580.75</v>
      </c>
      <c r="MP135" s="11"/>
      <c r="MQ135" s="11"/>
      <c r="MR135" s="11"/>
      <c r="MS135" s="11"/>
      <c r="MT135" s="11">
        <v>203700</v>
      </c>
      <c r="MU135" s="11"/>
      <c r="MV135" s="11"/>
      <c r="MW135" s="11">
        <v>0</v>
      </c>
      <c r="MX135" s="11">
        <v>1285512.8999999999</v>
      </c>
      <c r="MY135" s="11">
        <v>58730.25</v>
      </c>
      <c r="MZ135" s="11"/>
      <c r="NA135" s="11"/>
      <c r="NB135" s="11">
        <v>2022350.23</v>
      </c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>
        <v>1253900</v>
      </c>
      <c r="NO135" s="11"/>
      <c r="NP135" s="11">
        <v>85618.19</v>
      </c>
      <c r="NQ135" s="11">
        <v>591429.01</v>
      </c>
      <c r="NR135" s="11"/>
      <c r="NS135" s="11">
        <v>682909.01</v>
      </c>
      <c r="NT135" s="11"/>
      <c r="NU135" s="11"/>
      <c r="NV135" s="11"/>
      <c r="NW135" s="11">
        <v>0</v>
      </c>
      <c r="NX135" s="11"/>
      <c r="NY135" s="11"/>
      <c r="NZ135" s="11">
        <v>1978910.04</v>
      </c>
      <c r="OA135" s="11"/>
      <c r="OB135" s="11">
        <v>154200</v>
      </c>
      <c r="OC135" s="11"/>
      <c r="OD135" s="11"/>
      <c r="OE135" s="11"/>
      <c r="OF135" s="11"/>
      <c r="OG135" s="11">
        <v>9583057.0700000003</v>
      </c>
      <c r="OH135" s="11">
        <v>9124687.2799999993</v>
      </c>
      <c r="OI135" s="11">
        <v>24000</v>
      </c>
      <c r="OJ135" s="11"/>
      <c r="OK135" s="11">
        <v>3366657</v>
      </c>
      <c r="OL135" s="11"/>
      <c r="OM135" s="11"/>
      <c r="ON135" s="11">
        <v>0</v>
      </c>
      <c r="OO135" s="11">
        <v>383038.54</v>
      </c>
      <c r="OP135" s="11">
        <v>44550874.799999997</v>
      </c>
      <c r="OQ135" s="11"/>
      <c r="OR135" s="11">
        <v>70000</v>
      </c>
      <c r="OS135" s="11"/>
      <c r="OT135" s="11"/>
      <c r="OU135" s="11"/>
      <c r="OV135" s="11"/>
      <c r="OW135" s="11"/>
      <c r="OX135" s="11"/>
      <c r="OY135" s="11">
        <v>742992.18</v>
      </c>
      <c r="OZ135" s="11"/>
      <c r="PA135" s="11"/>
      <c r="PB135" s="11">
        <v>993229.11</v>
      </c>
      <c r="PC135" s="11"/>
      <c r="PD135" s="11"/>
      <c r="PE135" s="11"/>
      <c r="PF135" s="11"/>
      <c r="PG135" s="11"/>
      <c r="PH135" s="11">
        <v>1058280</v>
      </c>
      <c r="PI135" s="11">
        <v>607312</v>
      </c>
      <c r="PJ135" s="11"/>
      <c r="PK135" s="11"/>
      <c r="PL135" s="11"/>
      <c r="PM135" s="11"/>
      <c r="PN135" s="11"/>
      <c r="PO135" s="11"/>
      <c r="PP135" s="11">
        <v>0</v>
      </c>
      <c r="PQ135" s="11"/>
      <c r="PR135" s="11"/>
      <c r="PS135" s="11">
        <v>465570.29</v>
      </c>
      <c r="PT135" s="11"/>
      <c r="PU135" s="11">
        <v>56526931.520000003</v>
      </c>
      <c r="PV135" s="11">
        <v>13202253.41</v>
      </c>
      <c r="PW135" s="11">
        <v>56800</v>
      </c>
      <c r="PX135" s="11">
        <v>1894115.77</v>
      </c>
      <c r="PY135" s="11">
        <v>2942700</v>
      </c>
      <c r="PZ135" s="11"/>
      <c r="QA135" s="11">
        <v>1246262.75</v>
      </c>
      <c r="QB135" s="11"/>
      <c r="QC135" s="11">
        <v>6236868.3200000003</v>
      </c>
      <c r="QD135" s="11"/>
      <c r="QE135" s="11">
        <v>373549.3</v>
      </c>
      <c r="QF135" s="11">
        <v>2812966.19</v>
      </c>
      <c r="QG135" s="11"/>
      <c r="QH135" s="11"/>
      <c r="QI135" s="11"/>
      <c r="QJ135" s="11">
        <v>2525696.66</v>
      </c>
      <c r="QK135" s="11">
        <v>1046600</v>
      </c>
      <c r="QL135" s="11">
        <v>0</v>
      </c>
      <c r="QM135" s="11"/>
      <c r="QN135" s="11"/>
      <c r="QO135" s="11">
        <v>1452443.75</v>
      </c>
      <c r="QP135" s="11">
        <v>5870</v>
      </c>
      <c r="QQ135" s="11"/>
      <c r="QR135" s="11"/>
      <c r="QS135" s="11">
        <v>687415.29</v>
      </c>
      <c r="QT135" s="11">
        <v>30000</v>
      </c>
      <c r="QU135" s="11"/>
      <c r="QV135" s="11"/>
      <c r="QW135" s="11"/>
      <c r="QX135" s="11"/>
      <c r="QY135" s="11"/>
      <c r="QZ135" s="11"/>
      <c r="RA135" s="11"/>
      <c r="RB135" s="11"/>
      <c r="RC135" s="11"/>
      <c r="RD135" s="11">
        <v>1884290</v>
      </c>
      <c r="RE135" s="11"/>
      <c r="RF135" s="11">
        <v>120000</v>
      </c>
      <c r="RG135" s="11"/>
      <c r="RH135" s="11"/>
      <c r="RI135" s="11"/>
      <c r="RJ135" s="11"/>
      <c r="RK135" s="11"/>
      <c r="RL135" s="11">
        <v>360</v>
      </c>
      <c r="RM135" s="11"/>
      <c r="RN135" s="11"/>
      <c r="RO135" s="11"/>
      <c r="RP135" s="11">
        <v>713760.94</v>
      </c>
      <c r="RQ135" s="11"/>
      <c r="RR135" s="11"/>
      <c r="RS135" s="11">
        <v>6333239.29</v>
      </c>
      <c r="RT135" s="11">
        <v>33164.83</v>
      </c>
      <c r="RU135" s="11"/>
      <c r="RV135" s="11"/>
      <c r="RW135" s="11"/>
      <c r="RX135" s="11"/>
      <c r="RY135" s="11">
        <v>0</v>
      </c>
      <c r="RZ135" s="11"/>
      <c r="SA135" s="11"/>
      <c r="SB135" s="11">
        <v>15216557.49</v>
      </c>
      <c r="SC135" s="11"/>
      <c r="SD135" s="11"/>
      <c r="SE135" s="11"/>
      <c r="SF135" s="11">
        <v>147328.76</v>
      </c>
      <c r="SG135" s="11">
        <v>640280.81000000006</v>
      </c>
      <c r="SH135" s="11">
        <v>0</v>
      </c>
      <c r="SI135" s="11"/>
      <c r="SJ135" s="11"/>
      <c r="SK135" s="11"/>
      <c r="SL135" s="11"/>
      <c r="SM135" s="11"/>
      <c r="SN135" s="11">
        <v>172753.69</v>
      </c>
      <c r="SO135" s="11">
        <v>76360</v>
      </c>
      <c r="SP135" s="11">
        <v>115419.62</v>
      </c>
      <c r="SQ135" s="11">
        <v>6131644.6200000001</v>
      </c>
      <c r="SR135" s="11"/>
      <c r="SS135" s="11">
        <v>850700</v>
      </c>
      <c r="ST135" s="11">
        <v>2697249.2</v>
      </c>
      <c r="SU135" s="11">
        <v>248347.77</v>
      </c>
      <c r="SV135" s="11"/>
      <c r="SW135" s="11">
        <v>344760</v>
      </c>
      <c r="SX135" s="11">
        <v>940683.33</v>
      </c>
      <c r="SY135" s="11"/>
      <c r="SZ135" s="11"/>
      <c r="TA135" s="11"/>
      <c r="TB135" s="11"/>
      <c r="TC135" s="11"/>
      <c r="TD135" s="11">
        <v>10000</v>
      </c>
      <c r="TE135" s="11"/>
      <c r="TF135" s="11"/>
      <c r="TG135" s="11"/>
      <c r="TH135" s="11"/>
      <c r="TI135" s="11"/>
      <c r="TJ135" s="11"/>
      <c r="TK135" s="11"/>
      <c r="TL135" s="11"/>
      <c r="TM135" s="11"/>
      <c r="TN135" s="11">
        <v>0</v>
      </c>
      <c r="TO135" s="11"/>
      <c r="TP135" s="11"/>
      <c r="TQ135" s="11">
        <v>0</v>
      </c>
      <c r="TR135" s="11"/>
      <c r="TS135" s="11"/>
      <c r="TT135" s="11">
        <v>0</v>
      </c>
      <c r="TU135" s="11"/>
      <c r="TV135" s="11"/>
      <c r="TW135" s="11"/>
      <c r="TX135" s="11">
        <v>0</v>
      </c>
      <c r="TY135" s="11"/>
      <c r="TZ135" s="11"/>
      <c r="UA135" s="11"/>
      <c r="UB135" s="11">
        <v>0</v>
      </c>
      <c r="UC135" s="11">
        <v>1198942.43</v>
      </c>
      <c r="UD135" s="11">
        <v>0</v>
      </c>
      <c r="UE135" s="11"/>
      <c r="UF135" s="11">
        <v>2068843.3</v>
      </c>
      <c r="UG135" s="11">
        <v>329750.02</v>
      </c>
      <c r="UH135" s="11"/>
      <c r="UI135" s="11">
        <v>96239.98</v>
      </c>
      <c r="UJ135" s="11"/>
      <c r="UK135" s="11"/>
      <c r="UL135" s="11"/>
      <c r="UM135" s="11"/>
      <c r="UN135" s="11"/>
      <c r="UO135" s="11">
        <v>0</v>
      </c>
      <c r="UP135" s="11"/>
      <c r="UQ135" s="11">
        <v>11344726.720000001</v>
      </c>
      <c r="UR135" s="11">
        <v>1157920.06</v>
      </c>
      <c r="US135" s="11">
        <v>0</v>
      </c>
      <c r="UT135" s="11"/>
      <c r="UU135" s="11"/>
      <c r="UV135" s="11"/>
      <c r="UW135" s="11">
        <v>2990536.18</v>
      </c>
      <c r="UX135" s="11">
        <v>0</v>
      </c>
      <c r="UY135" s="11"/>
      <c r="UZ135" s="11">
        <v>1284917.8600000001</v>
      </c>
      <c r="VA135" s="11"/>
      <c r="VB135" s="11">
        <v>10471696.810000001</v>
      </c>
      <c r="VC135" s="11">
        <v>1910906.77</v>
      </c>
      <c r="VD135" s="11">
        <v>9237621.8699999992</v>
      </c>
      <c r="VE135" s="11">
        <v>780415.48</v>
      </c>
      <c r="VF135" s="11"/>
      <c r="VG135" s="11">
        <v>805928.47</v>
      </c>
      <c r="VH135" s="11">
        <v>432417.5</v>
      </c>
      <c r="VI135" s="11">
        <v>2010560</v>
      </c>
      <c r="VJ135" s="11"/>
      <c r="VK135" s="11"/>
      <c r="VL135" s="11"/>
      <c r="VM135" s="11"/>
      <c r="VN135" s="11"/>
      <c r="VO135" s="11">
        <v>10221258.619999999</v>
      </c>
      <c r="VP135" s="11"/>
      <c r="VQ135" s="11">
        <v>469566.32</v>
      </c>
      <c r="VR135" s="11"/>
      <c r="VS135" s="11"/>
      <c r="VT135" s="11"/>
      <c r="VU135" s="11"/>
      <c r="VV135" s="11">
        <v>7698987</v>
      </c>
      <c r="VW135" s="11">
        <v>1800</v>
      </c>
      <c r="VX135" s="11"/>
      <c r="VY135" s="11">
        <v>3447342.02</v>
      </c>
      <c r="VZ135" s="11">
        <v>0</v>
      </c>
      <c r="WA135" s="11">
        <v>7602.86</v>
      </c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>
        <v>20219.919999999998</v>
      </c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>
        <v>-3680</v>
      </c>
      <c r="XA135" s="11"/>
      <c r="XB135" s="11"/>
      <c r="XC135" s="11">
        <v>0</v>
      </c>
      <c r="XD135" s="11">
        <v>2870125.97</v>
      </c>
      <c r="XE135" s="11"/>
      <c r="XF135" s="11">
        <v>0</v>
      </c>
      <c r="XG135" s="11"/>
      <c r="XH135" s="11">
        <v>805979.52</v>
      </c>
      <c r="XI135" s="11">
        <v>0</v>
      </c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>
        <v>810146.5</v>
      </c>
      <c r="YG135" s="11"/>
      <c r="YH135" s="11"/>
      <c r="YI135" s="11"/>
      <c r="YJ135" s="11">
        <v>15592711.83</v>
      </c>
      <c r="YK135" s="11"/>
      <c r="YL135" s="11">
        <v>23259</v>
      </c>
      <c r="YM135" s="11"/>
      <c r="YN135" s="11"/>
      <c r="YO135" s="11"/>
      <c r="YP135" s="11"/>
      <c r="YQ135" s="11">
        <v>0</v>
      </c>
      <c r="YR135" s="11">
        <v>120844.4</v>
      </c>
      <c r="YS135" s="11"/>
      <c r="YT135" s="11"/>
      <c r="YU135" s="11"/>
      <c r="YV135" s="11"/>
      <c r="YW135" s="11">
        <v>3010876.84</v>
      </c>
      <c r="YX135" s="11"/>
      <c r="YY135" s="11">
        <v>225963.44</v>
      </c>
      <c r="YZ135" s="11"/>
      <c r="ZA135" s="11">
        <v>75000</v>
      </c>
      <c r="ZB135" s="11"/>
      <c r="ZC135" s="11"/>
      <c r="ZD135" s="11">
        <v>13025226.07</v>
      </c>
      <c r="ZE135" s="11">
        <v>60000</v>
      </c>
      <c r="ZF135" s="11">
        <v>1595068.34</v>
      </c>
      <c r="ZG135" s="11">
        <v>3304031.65</v>
      </c>
      <c r="ZH135" s="11">
        <v>668100</v>
      </c>
      <c r="ZI135" s="11">
        <v>1129998.51</v>
      </c>
      <c r="ZJ135" s="11">
        <v>9106421.1799999997</v>
      </c>
      <c r="ZK135" s="11">
        <v>4323029.43</v>
      </c>
      <c r="ZL135" s="11">
        <v>7480355.6299999999</v>
      </c>
      <c r="ZM135" s="11">
        <v>7000</v>
      </c>
      <c r="ZN135" s="11"/>
      <c r="ZO135" s="11"/>
      <c r="ZP135" s="11"/>
      <c r="ZQ135" s="11"/>
      <c r="ZR135" s="11"/>
      <c r="ZS135" s="11"/>
      <c r="ZT135" s="11">
        <v>845241</v>
      </c>
      <c r="ZU135" s="11">
        <v>4669199.58</v>
      </c>
      <c r="ZV135" s="11">
        <v>1928100</v>
      </c>
      <c r="ZW135" s="11"/>
      <c r="ZX135" s="11"/>
      <c r="ZY135" s="11"/>
      <c r="ZZ135" s="11"/>
      <c r="AAA135" s="11"/>
      <c r="AAB135" s="11"/>
      <c r="AAC135" s="11">
        <v>88950</v>
      </c>
      <c r="AAD135" s="11"/>
      <c r="AAE135" s="11"/>
      <c r="AAF135" s="11"/>
      <c r="AAG135" s="11">
        <v>122050</v>
      </c>
      <c r="AAH135" s="11">
        <v>1008522.1</v>
      </c>
      <c r="AAI135" s="11">
        <v>10249844.48</v>
      </c>
      <c r="AAJ135" s="11"/>
      <c r="AAK135" s="11"/>
      <c r="AAL135" s="11"/>
      <c r="AAM135" s="11"/>
      <c r="AAN135" s="11"/>
      <c r="AAO135" s="11"/>
      <c r="AAP135" s="11">
        <v>4000</v>
      </c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>
        <v>0</v>
      </c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>
        <v>6707153.8099999996</v>
      </c>
      <c r="ABR135" s="11">
        <v>60000</v>
      </c>
      <c r="ABS135" s="11">
        <v>2724340.75</v>
      </c>
      <c r="ABT135" s="11">
        <v>18464608.449999999</v>
      </c>
      <c r="ABU135" s="11"/>
      <c r="ABV135" s="11"/>
      <c r="ABW135" s="11">
        <v>860518.75</v>
      </c>
      <c r="ABX135" s="11"/>
      <c r="ABY135" s="11"/>
      <c r="ABZ135" s="11"/>
      <c r="ACA135" s="11"/>
      <c r="ACB135" s="11">
        <v>497586.85</v>
      </c>
      <c r="ACC135" s="11">
        <v>617067.49</v>
      </c>
      <c r="ACD135" s="11"/>
      <c r="ACE135" s="11"/>
      <c r="ACF135" s="11"/>
      <c r="ACG135" s="11"/>
      <c r="ACH135" s="11">
        <v>463676.17</v>
      </c>
      <c r="ACI135" s="11">
        <v>483679</v>
      </c>
      <c r="ACJ135" s="11"/>
      <c r="ACK135" s="11">
        <v>32068</v>
      </c>
      <c r="ACL135" s="11"/>
      <c r="ACM135" s="11"/>
      <c r="ACN135" s="11"/>
      <c r="ACO135" s="11">
        <v>-2992500</v>
      </c>
      <c r="ACP135" s="11"/>
      <c r="ACQ135" s="11"/>
      <c r="ACR135" s="11">
        <v>1790110.37</v>
      </c>
      <c r="ACS135" s="11">
        <v>955377.51</v>
      </c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>
        <v>6551194.0300000003</v>
      </c>
      <c r="ADH135" s="11">
        <v>3513063.01</v>
      </c>
      <c r="ADI135" s="11"/>
      <c r="ADJ135" s="11">
        <v>274617.03999999998</v>
      </c>
      <c r="ADK135" s="11">
        <v>1113574.6499999999</v>
      </c>
      <c r="ADL135" s="11"/>
      <c r="ADM135" s="11">
        <v>5002680.6900000004</v>
      </c>
      <c r="ADN135" s="11">
        <v>2606712.52</v>
      </c>
      <c r="ADO135" s="11">
        <v>3134677.71</v>
      </c>
      <c r="ADP135" s="11">
        <v>0</v>
      </c>
      <c r="ADQ135" s="11"/>
      <c r="ADR135" s="11">
        <v>21811.599999999999</v>
      </c>
      <c r="ADS135" s="11"/>
      <c r="ADT135" s="11">
        <v>2905034.88</v>
      </c>
      <c r="ADU135" s="11"/>
      <c r="ADV135" s="11"/>
      <c r="ADW135" s="11">
        <v>0</v>
      </c>
      <c r="ADX135" s="11"/>
      <c r="ADY135" s="11"/>
      <c r="ADZ135" s="11">
        <v>5444741.2000000002</v>
      </c>
      <c r="AEA135" s="11">
        <v>-1294883.26</v>
      </c>
      <c r="AEB135" s="11"/>
      <c r="AEC135" s="11"/>
      <c r="AED135" s="11"/>
      <c r="AEE135" s="11"/>
      <c r="AEF135" s="11">
        <v>1500000</v>
      </c>
      <c r="AEG135" s="11">
        <v>0</v>
      </c>
      <c r="AEH135" s="11"/>
      <c r="AEI135" s="11">
        <v>403606.56</v>
      </c>
      <c r="AEJ135" s="11"/>
      <c r="AEK135" s="11">
        <v>6855198.9900000002</v>
      </c>
      <c r="AEL135" s="11">
        <v>3759342.63</v>
      </c>
      <c r="AEM135" s="11"/>
      <c r="AEN135" s="11">
        <v>6341115.5499999998</v>
      </c>
      <c r="AEO135" s="11">
        <v>1983368.9</v>
      </c>
      <c r="AEP135" s="11"/>
      <c r="AEQ135" s="11">
        <v>2157981.33</v>
      </c>
      <c r="AER135" s="11">
        <v>1125798.08</v>
      </c>
      <c r="AES135" s="11">
        <v>6857656.9299999997</v>
      </c>
      <c r="AET135" s="11"/>
      <c r="AEU135" s="11"/>
      <c r="AEV135" s="11"/>
      <c r="AEW135" s="11"/>
      <c r="AEX135" s="11"/>
      <c r="AEY135" s="11"/>
      <c r="AEZ135" s="11"/>
      <c r="AFA135" s="11">
        <v>18636.91</v>
      </c>
      <c r="AFB135" s="11"/>
      <c r="AFC135" s="11"/>
      <c r="AFD135" s="11">
        <v>176523288.96000001</v>
      </c>
      <c r="AFE135" s="11"/>
      <c r="AFF135" s="11">
        <v>5000</v>
      </c>
      <c r="AFG135" s="11"/>
      <c r="AFH135" s="11"/>
      <c r="AFI135" s="11"/>
      <c r="AFJ135" s="11"/>
      <c r="AFK135" s="11"/>
      <c r="AFL135" s="11">
        <v>148072.57999999999</v>
      </c>
      <c r="AFM135" s="11"/>
      <c r="AFN135" s="11">
        <v>0</v>
      </c>
      <c r="AFO135" s="11"/>
      <c r="AFP135" s="11">
        <v>1105177.72</v>
      </c>
      <c r="AFQ135" s="11">
        <v>1617616.95</v>
      </c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>
        <v>682536.19</v>
      </c>
      <c r="AGM135" s="11">
        <v>679721.19</v>
      </c>
      <c r="AGN135" s="11">
        <v>1887289.27</v>
      </c>
      <c r="AGO135" s="11">
        <v>4352247.0599999996</v>
      </c>
      <c r="AGP135" s="11"/>
      <c r="AGQ135" s="11"/>
      <c r="AGR135" s="11">
        <v>8296705.5</v>
      </c>
      <c r="AGS135" s="11">
        <v>1479000</v>
      </c>
      <c r="AGT135" s="11">
        <v>6066387.7000000002</v>
      </c>
      <c r="AGU135" s="11">
        <v>5033495.12</v>
      </c>
      <c r="AGV135" s="11"/>
      <c r="AGW135" s="11">
        <v>5614133.2999999998</v>
      </c>
      <c r="AGX135" s="11"/>
      <c r="AGY135" s="11"/>
      <c r="AGZ135" s="11"/>
      <c r="AHA135" s="11"/>
      <c r="AHB135" s="11">
        <v>5730050</v>
      </c>
      <c r="AHC135" s="11"/>
      <c r="AHD135" s="11"/>
      <c r="AHE135" s="11"/>
      <c r="AHF135" s="11"/>
      <c r="AHG135" s="11"/>
      <c r="AHH135" s="11"/>
      <c r="AHI135" s="11">
        <v>720000</v>
      </c>
      <c r="AHJ135" s="11">
        <v>0</v>
      </c>
      <c r="AHK135" s="11">
        <v>395896.65</v>
      </c>
      <c r="AHL135" s="11">
        <v>40035.94</v>
      </c>
      <c r="AHM135" s="11"/>
      <c r="AHN135" s="11">
        <v>6400</v>
      </c>
      <c r="AHO135" s="11">
        <v>2435497.11</v>
      </c>
      <c r="AHP135" s="11"/>
      <c r="AHQ135" s="11"/>
      <c r="AHR135" s="11"/>
      <c r="AHS135" s="11"/>
      <c r="AHT135" s="11">
        <v>1234713441.5399997</v>
      </c>
      <c r="AHV135" s="269" t="s">
        <v>6280</v>
      </c>
      <c r="AHW135" s="269" t="s">
        <v>6210</v>
      </c>
      <c r="AHX135" s="269" t="s">
        <v>6211</v>
      </c>
    </row>
    <row r="136" spans="1:908" x14ac:dyDescent="0.7">
      <c r="A136" s="6" t="s">
        <v>6280</v>
      </c>
      <c r="B136" s="6" t="s">
        <v>6210</v>
      </c>
      <c r="C136" s="6" t="s">
        <v>6211</v>
      </c>
      <c r="D136" s="11">
        <v>2082443.44</v>
      </c>
      <c r="E136" s="11">
        <v>283724</v>
      </c>
      <c r="F136" s="11">
        <v>0</v>
      </c>
      <c r="G136" s="11"/>
      <c r="H136" s="11">
        <v>2103104.46</v>
      </c>
      <c r="I136" s="11">
        <v>0</v>
      </c>
      <c r="J136" s="11"/>
      <c r="K136" s="11"/>
      <c r="L136" s="11">
        <v>1916887.47</v>
      </c>
      <c r="M136" s="11">
        <v>951969.18</v>
      </c>
      <c r="N136" s="11">
        <v>0</v>
      </c>
      <c r="O136" s="11">
        <v>0</v>
      </c>
      <c r="P136" s="11">
        <v>0</v>
      </c>
      <c r="Q136" s="11"/>
      <c r="R136" s="11">
        <v>0</v>
      </c>
      <c r="S136" s="11"/>
      <c r="T136" s="11"/>
      <c r="U136" s="11">
        <v>62524.35</v>
      </c>
      <c r="V136" s="11"/>
      <c r="W136" s="11">
        <v>1165375.03</v>
      </c>
      <c r="X136" s="11">
        <v>296466.03999999998</v>
      </c>
      <c r="Y136" s="11">
        <v>367289.08</v>
      </c>
      <c r="Z136" s="11">
        <v>509345.85</v>
      </c>
      <c r="AA136" s="11">
        <v>1143752.03</v>
      </c>
      <c r="AB136" s="11">
        <v>543902.02</v>
      </c>
      <c r="AC136" s="11">
        <v>3036879.69</v>
      </c>
      <c r="AD136" s="11">
        <v>2053994.77</v>
      </c>
      <c r="AE136" s="11">
        <v>1142028.5</v>
      </c>
      <c r="AF136" s="11">
        <v>2665273.5699999998</v>
      </c>
      <c r="AG136" s="11">
        <v>693851.81</v>
      </c>
      <c r="AH136" s="11">
        <v>2476552.96</v>
      </c>
      <c r="AI136" s="11">
        <v>49503.46</v>
      </c>
      <c r="AJ136" s="11">
        <v>2349254.0499999998</v>
      </c>
      <c r="AK136" s="11">
        <v>49982.76</v>
      </c>
      <c r="AL136" s="11">
        <v>637991.18000000005</v>
      </c>
      <c r="AM136" s="11">
        <v>579524.11</v>
      </c>
      <c r="AN136" s="11">
        <v>514555.5</v>
      </c>
      <c r="AO136" s="11">
        <v>810665.34</v>
      </c>
      <c r="AP136" s="11">
        <v>619839</v>
      </c>
      <c r="AQ136" s="11">
        <v>113958.2</v>
      </c>
      <c r="AR136" s="11">
        <v>500000</v>
      </c>
      <c r="AS136" s="11">
        <v>142088.68</v>
      </c>
      <c r="AT136" s="11"/>
      <c r="AU136" s="11">
        <v>100869.46</v>
      </c>
      <c r="AV136" s="11">
        <v>118895.76</v>
      </c>
      <c r="AW136" s="11">
        <v>19126.16</v>
      </c>
      <c r="AX136" s="11"/>
      <c r="AY136" s="11">
        <v>1360474.93</v>
      </c>
      <c r="AZ136" s="11">
        <v>174947.67</v>
      </c>
      <c r="BA136" s="11">
        <v>393175.42</v>
      </c>
      <c r="BB136" s="11">
        <v>159518.15</v>
      </c>
      <c r="BC136" s="11">
        <v>78332.7</v>
      </c>
      <c r="BD136" s="11">
        <v>188644.14</v>
      </c>
      <c r="BE136" s="11">
        <v>123817.84</v>
      </c>
      <c r="BF136" s="11">
        <v>3454383.38</v>
      </c>
      <c r="BG136" s="11">
        <v>419401.93</v>
      </c>
      <c r="BH136" s="11">
        <v>319463.83</v>
      </c>
      <c r="BI136" s="11">
        <v>582127.22</v>
      </c>
      <c r="BJ136" s="11">
        <v>3220965.84</v>
      </c>
      <c r="BK136" s="11">
        <v>38452.01</v>
      </c>
      <c r="BL136" s="11">
        <v>0</v>
      </c>
      <c r="BM136" s="11">
        <v>262547.26</v>
      </c>
      <c r="BN136" s="11">
        <v>382231.82</v>
      </c>
      <c r="BO136" s="11">
        <v>245750.03</v>
      </c>
      <c r="BP136" s="11">
        <v>549331.75</v>
      </c>
      <c r="BQ136" s="11">
        <v>524914.77</v>
      </c>
      <c r="BR136" s="11">
        <v>2001533.88</v>
      </c>
      <c r="BS136" s="11">
        <v>1079488.52</v>
      </c>
      <c r="BT136" s="11">
        <v>608602.4</v>
      </c>
      <c r="BU136" s="11">
        <v>867285.65</v>
      </c>
      <c r="BV136" s="11">
        <v>762056.74</v>
      </c>
      <c r="BW136" s="11">
        <v>697870.42</v>
      </c>
      <c r="BX136" s="11">
        <v>210381.32</v>
      </c>
      <c r="BY136" s="11">
        <v>0</v>
      </c>
      <c r="BZ136" s="11">
        <v>805784.83</v>
      </c>
      <c r="CA136" s="11">
        <v>59239.519999999997</v>
      </c>
      <c r="CB136" s="11">
        <v>157321.97</v>
      </c>
      <c r="CC136" s="11">
        <v>14579.95</v>
      </c>
      <c r="CD136" s="11">
        <v>21351.27</v>
      </c>
      <c r="CE136" s="11">
        <v>331194.78999999998</v>
      </c>
      <c r="CF136" s="11">
        <v>186952.98</v>
      </c>
      <c r="CG136" s="11">
        <v>4450586.63</v>
      </c>
      <c r="CH136" s="11">
        <v>916200</v>
      </c>
      <c r="CI136" s="11">
        <v>296957.83</v>
      </c>
      <c r="CJ136" s="11">
        <v>360000</v>
      </c>
      <c r="CK136" s="11">
        <v>1088078.98</v>
      </c>
      <c r="CL136" s="11">
        <v>960000</v>
      </c>
      <c r="CM136" s="11">
        <v>618036</v>
      </c>
      <c r="CN136" s="11">
        <v>1495112.71</v>
      </c>
      <c r="CO136" s="11">
        <v>82081.67</v>
      </c>
      <c r="CP136" s="11">
        <v>1336676</v>
      </c>
      <c r="CQ136" s="11">
        <v>182918.79</v>
      </c>
      <c r="CR136" s="11">
        <v>852137.7</v>
      </c>
      <c r="CS136" s="11">
        <v>809696.53</v>
      </c>
      <c r="CT136" s="11">
        <v>3115486.16</v>
      </c>
      <c r="CU136" s="11">
        <v>281496.08</v>
      </c>
      <c r="CV136" s="11">
        <v>696249.49</v>
      </c>
      <c r="CW136" s="11">
        <v>1210580.3700000001</v>
      </c>
      <c r="CX136" s="11">
        <v>476678.03</v>
      </c>
      <c r="CY136" s="11">
        <v>669788.48</v>
      </c>
      <c r="CZ136" s="11">
        <v>176694.39999999999</v>
      </c>
      <c r="DA136" s="11">
        <v>24129.24</v>
      </c>
      <c r="DB136" s="11">
        <v>987199.21</v>
      </c>
      <c r="DC136" s="11">
        <v>431545.36</v>
      </c>
      <c r="DD136" s="11">
        <v>242.16</v>
      </c>
      <c r="DE136" s="11">
        <v>1564527.35</v>
      </c>
      <c r="DF136" s="11">
        <v>1490187.56</v>
      </c>
      <c r="DG136" s="11">
        <v>4709587.93</v>
      </c>
      <c r="DH136" s="11">
        <v>1019616.84</v>
      </c>
      <c r="DI136" s="11">
        <v>365863.65</v>
      </c>
      <c r="DJ136" s="11">
        <v>454797.66</v>
      </c>
      <c r="DK136" s="11">
        <v>5193358.47</v>
      </c>
      <c r="DL136" s="11">
        <v>750000</v>
      </c>
      <c r="DM136" s="11">
        <v>2375991.98</v>
      </c>
      <c r="DN136" s="11">
        <v>927276.51</v>
      </c>
      <c r="DO136" s="11">
        <v>2088199.82</v>
      </c>
      <c r="DP136" s="11">
        <v>962906.95</v>
      </c>
      <c r="DQ136" s="11">
        <v>2141678.1</v>
      </c>
      <c r="DR136" s="11">
        <v>711733.81</v>
      </c>
      <c r="DS136" s="11">
        <v>2328919.88</v>
      </c>
      <c r="DT136" s="11">
        <v>717714.87</v>
      </c>
      <c r="DU136" s="11">
        <v>1024429.76</v>
      </c>
      <c r="DV136" s="11">
        <v>2689285.68</v>
      </c>
      <c r="DW136" s="11">
        <v>1984779.2</v>
      </c>
      <c r="DX136" s="11">
        <v>847075.26</v>
      </c>
      <c r="DY136" s="11"/>
      <c r="DZ136" s="11">
        <v>725420.17</v>
      </c>
      <c r="EA136" s="11">
        <v>151257.32</v>
      </c>
      <c r="EB136" s="11">
        <v>1057053.6499999999</v>
      </c>
      <c r="EC136" s="11">
        <v>579544.41</v>
      </c>
      <c r="ED136" s="11">
        <v>635.47</v>
      </c>
      <c r="EE136" s="11">
        <v>2595629.7799999998</v>
      </c>
      <c r="EF136" s="11">
        <v>979261.98</v>
      </c>
      <c r="EG136" s="11">
        <v>1650000</v>
      </c>
      <c r="EH136" s="11">
        <v>1067117.82</v>
      </c>
      <c r="EI136" s="11">
        <v>1993913.3</v>
      </c>
      <c r="EJ136" s="11">
        <v>1547099.2</v>
      </c>
      <c r="EK136" s="11">
        <v>762997.54</v>
      </c>
      <c r="EL136" s="11">
        <v>287482.36</v>
      </c>
      <c r="EM136" s="11">
        <v>439681.7</v>
      </c>
      <c r="EN136" s="11">
        <v>921386.53</v>
      </c>
      <c r="EO136" s="11">
        <v>966503.53</v>
      </c>
      <c r="EP136" s="11">
        <v>605478.06999999995</v>
      </c>
      <c r="EQ136" s="11">
        <v>157617.04999999999</v>
      </c>
      <c r="ER136" s="11">
        <v>259341.76</v>
      </c>
      <c r="ES136" s="11">
        <v>798641.92</v>
      </c>
      <c r="ET136" s="11">
        <v>1670540.22</v>
      </c>
      <c r="EU136" s="11">
        <v>994026.07</v>
      </c>
      <c r="EV136" s="11">
        <v>450000</v>
      </c>
      <c r="EW136" s="11">
        <v>8025813.8300000001</v>
      </c>
      <c r="EX136" s="11"/>
      <c r="EY136" s="11">
        <v>1576246.81</v>
      </c>
      <c r="EZ136" s="11">
        <v>1272235.5900000001</v>
      </c>
      <c r="FA136" s="11"/>
      <c r="FB136" s="11"/>
      <c r="FC136" s="11">
        <v>30135.15</v>
      </c>
      <c r="FD136" s="11">
        <v>380409.39</v>
      </c>
      <c r="FE136" s="11">
        <v>189699.27</v>
      </c>
      <c r="FF136" s="11">
        <v>983031.22</v>
      </c>
      <c r="FG136" s="11">
        <v>340688.01</v>
      </c>
      <c r="FH136" s="11">
        <v>226731.96</v>
      </c>
      <c r="FI136" s="11">
        <v>238992.5</v>
      </c>
      <c r="FJ136" s="11">
        <v>458785.93</v>
      </c>
      <c r="FK136" s="11">
        <v>0</v>
      </c>
      <c r="FL136" s="11">
        <v>0</v>
      </c>
      <c r="FM136" s="11">
        <v>1185982.76</v>
      </c>
      <c r="FN136" s="11">
        <v>903159.14</v>
      </c>
      <c r="FO136" s="11">
        <v>540391.71</v>
      </c>
      <c r="FP136" s="11">
        <v>249712.34</v>
      </c>
      <c r="FQ136" s="11">
        <v>11134440.92</v>
      </c>
      <c r="FR136" s="11">
        <v>454455.75</v>
      </c>
      <c r="FS136" s="11">
        <v>1153050.55</v>
      </c>
      <c r="FT136" s="11">
        <v>1131173.8899999999</v>
      </c>
      <c r="FU136" s="11">
        <v>1313153.76</v>
      </c>
      <c r="FV136" s="11">
        <v>497889.6</v>
      </c>
      <c r="FW136" s="11">
        <v>2788381.17</v>
      </c>
      <c r="FX136" s="11">
        <v>406315.87</v>
      </c>
      <c r="FY136" s="11">
        <v>2210089.23</v>
      </c>
      <c r="FZ136" s="11">
        <v>2570097.91</v>
      </c>
      <c r="GA136" s="11">
        <v>544945.34</v>
      </c>
      <c r="GB136" s="11">
        <v>502659.69</v>
      </c>
      <c r="GC136" s="11">
        <v>551881.72</v>
      </c>
      <c r="GD136" s="11">
        <v>1071930.1499999999</v>
      </c>
      <c r="GE136" s="11">
        <v>2449231.52</v>
      </c>
      <c r="GF136" s="11">
        <v>62220.74</v>
      </c>
      <c r="GG136" s="11">
        <v>1195845.76</v>
      </c>
      <c r="GH136" s="11">
        <v>174335.19</v>
      </c>
      <c r="GI136" s="11">
        <v>1685072.73</v>
      </c>
      <c r="GJ136" s="11">
        <v>1191162.22</v>
      </c>
      <c r="GK136" s="11">
        <v>1158170.6599999999</v>
      </c>
      <c r="GL136" s="11">
        <v>631056.18999999994</v>
      </c>
      <c r="GM136" s="11">
        <v>1634018.32</v>
      </c>
      <c r="GN136" s="11">
        <v>1511951.95</v>
      </c>
      <c r="GO136" s="11">
        <v>871125.33</v>
      </c>
      <c r="GP136" s="11">
        <v>926165.88</v>
      </c>
      <c r="GQ136" s="11">
        <v>321745.42</v>
      </c>
      <c r="GR136" s="11">
        <v>0</v>
      </c>
      <c r="GS136" s="11">
        <v>964520.95</v>
      </c>
      <c r="GT136" s="11">
        <v>1160087.06</v>
      </c>
      <c r="GU136" s="11">
        <v>51469.56</v>
      </c>
      <c r="GV136" s="11">
        <v>1404437.43</v>
      </c>
      <c r="GW136" s="11">
        <v>3384627.99</v>
      </c>
      <c r="GX136" s="11">
        <v>120000</v>
      </c>
      <c r="GY136" s="11"/>
      <c r="GZ136" s="11"/>
      <c r="HA136" s="11"/>
      <c r="HB136" s="11"/>
      <c r="HC136" s="11"/>
      <c r="HD136" s="11"/>
      <c r="HE136" s="11">
        <v>1908068.95</v>
      </c>
      <c r="HF136" s="11">
        <v>-59212.28</v>
      </c>
      <c r="HG136" s="11">
        <v>2760335.14</v>
      </c>
      <c r="HH136" s="11">
        <v>31881.1</v>
      </c>
      <c r="HI136" s="11">
        <v>143680</v>
      </c>
      <c r="HJ136" s="11"/>
      <c r="HK136" s="11">
        <v>3390162.26</v>
      </c>
      <c r="HL136" s="11">
        <v>950798.25</v>
      </c>
      <c r="HM136" s="11"/>
      <c r="HN136" s="11">
        <v>2454.39</v>
      </c>
      <c r="HO136" s="11">
        <v>90002.6</v>
      </c>
      <c r="HP136" s="11"/>
      <c r="HQ136" s="11">
        <v>1828137.7</v>
      </c>
      <c r="HR136" s="11">
        <v>80728.84</v>
      </c>
      <c r="HS136" s="11">
        <v>1828673.36</v>
      </c>
      <c r="HT136" s="11">
        <v>526446.31000000006</v>
      </c>
      <c r="HU136" s="11">
        <v>156852.17000000001</v>
      </c>
      <c r="HV136" s="11">
        <v>137035.09</v>
      </c>
      <c r="HW136" s="11">
        <v>1110787.82</v>
      </c>
      <c r="HX136" s="11"/>
      <c r="HY136" s="11">
        <v>994751.87</v>
      </c>
      <c r="HZ136" s="11"/>
      <c r="IA136" s="11">
        <v>128989.6</v>
      </c>
      <c r="IB136" s="11">
        <v>776164.9</v>
      </c>
      <c r="IC136" s="11">
        <v>480925.83</v>
      </c>
      <c r="ID136" s="11">
        <v>1426018.17</v>
      </c>
      <c r="IE136" s="11">
        <v>294969.87</v>
      </c>
      <c r="IF136" s="11">
        <v>510102.01</v>
      </c>
      <c r="IG136" s="11">
        <v>491409.59</v>
      </c>
      <c r="IH136" s="11">
        <v>53811.1</v>
      </c>
      <c r="II136" s="11">
        <v>0</v>
      </c>
      <c r="IJ136" s="11">
        <v>1000669.92</v>
      </c>
      <c r="IK136" s="11">
        <v>941483</v>
      </c>
      <c r="IL136" s="11">
        <v>1050214.49</v>
      </c>
      <c r="IM136" s="11"/>
      <c r="IN136" s="11">
        <v>442724.02</v>
      </c>
      <c r="IO136" s="11">
        <v>493431.45</v>
      </c>
      <c r="IP136" s="11">
        <v>688414.89</v>
      </c>
      <c r="IQ136" s="11">
        <v>292433.28000000003</v>
      </c>
      <c r="IR136" s="11">
        <v>83080.28</v>
      </c>
      <c r="IS136" s="11">
        <v>258167.93</v>
      </c>
      <c r="IT136" s="11">
        <v>3000000</v>
      </c>
      <c r="IU136" s="11"/>
      <c r="IV136" s="11">
        <v>136672.59</v>
      </c>
      <c r="IW136" s="11">
        <v>540842.76</v>
      </c>
      <c r="IX136" s="11">
        <v>366219.7</v>
      </c>
      <c r="IY136" s="11">
        <v>-486205.82</v>
      </c>
      <c r="IZ136" s="11">
        <v>385572.23</v>
      </c>
      <c r="JA136" s="11">
        <v>62407.74</v>
      </c>
      <c r="JB136" s="11">
        <v>123642.74</v>
      </c>
      <c r="JC136" s="11">
        <v>1825122.86</v>
      </c>
      <c r="JD136" s="11">
        <v>879744.03</v>
      </c>
      <c r="JE136" s="11">
        <v>36823.79</v>
      </c>
      <c r="JF136" s="11">
        <v>294823.90000000002</v>
      </c>
      <c r="JG136" s="11">
        <v>333768.99</v>
      </c>
      <c r="JH136" s="11">
        <v>118493.64</v>
      </c>
      <c r="JI136" s="11"/>
      <c r="JJ136" s="11">
        <v>316022.40000000002</v>
      </c>
      <c r="JK136" s="11">
        <v>227010.28</v>
      </c>
      <c r="JL136" s="11">
        <v>1061441.6200000001</v>
      </c>
      <c r="JM136" s="11">
        <v>344114.62</v>
      </c>
      <c r="JN136" s="11">
        <v>398606.59</v>
      </c>
      <c r="JO136" s="11">
        <v>1433637.26</v>
      </c>
      <c r="JP136" s="11">
        <v>491171.47</v>
      </c>
      <c r="JQ136" s="11">
        <v>755032.46</v>
      </c>
      <c r="JR136" s="11">
        <v>337121.32</v>
      </c>
      <c r="JS136" s="11">
        <v>7823269.9699999997</v>
      </c>
      <c r="JT136" s="11"/>
      <c r="JU136" s="11">
        <v>1373199.48</v>
      </c>
      <c r="JV136" s="11">
        <v>0</v>
      </c>
      <c r="JW136" s="11">
        <v>1483938.71</v>
      </c>
      <c r="JX136" s="11">
        <v>93942.27</v>
      </c>
      <c r="JY136" s="11">
        <v>223691.19</v>
      </c>
      <c r="JZ136" s="11">
        <v>1374586.46</v>
      </c>
      <c r="KA136" s="11">
        <v>1252161.1299999999</v>
      </c>
      <c r="KB136" s="11">
        <v>1889245.96</v>
      </c>
      <c r="KC136" s="11">
        <v>1710241.83</v>
      </c>
      <c r="KD136" s="11">
        <v>1996174.67</v>
      </c>
      <c r="KE136" s="11">
        <v>812385.87</v>
      </c>
      <c r="KF136" s="11">
        <v>157721.31</v>
      </c>
      <c r="KG136" s="11">
        <v>558868.59</v>
      </c>
      <c r="KH136" s="11">
        <v>1794520.35</v>
      </c>
      <c r="KI136" s="11">
        <v>0</v>
      </c>
      <c r="KJ136" s="11">
        <v>375007.82</v>
      </c>
      <c r="KK136" s="11"/>
      <c r="KL136" s="11">
        <v>880388.88</v>
      </c>
      <c r="KM136" s="11">
        <v>250935.56</v>
      </c>
      <c r="KN136" s="11">
        <v>968114.02</v>
      </c>
      <c r="KO136" s="11">
        <v>2202035.7400000002</v>
      </c>
      <c r="KP136" s="11">
        <v>46369.34</v>
      </c>
      <c r="KQ136" s="11"/>
      <c r="KR136" s="11">
        <v>1058866.92</v>
      </c>
      <c r="KS136" s="11">
        <v>599890.82999999996</v>
      </c>
      <c r="KT136" s="11">
        <v>0</v>
      </c>
      <c r="KU136" s="11">
        <v>1390044.2</v>
      </c>
      <c r="KV136" s="11">
        <v>133246.93</v>
      </c>
      <c r="KW136" s="11">
        <v>619642.87</v>
      </c>
      <c r="KX136" s="11">
        <v>1143108.05</v>
      </c>
      <c r="KY136" s="11">
        <v>481094.09</v>
      </c>
      <c r="KZ136" s="11">
        <v>1239700.1299999999</v>
      </c>
      <c r="LA136" s="11">
        <v>0</v>
      </c>
      <c r="LB136" s="11">
        <v>34252.620000000003</v>
      </c>
      <c r="LC136" s="11"/>
      <c r="LD136" s="11">
        <v>315365.96999999997</v>
      </c>
      <c r="LE136" s="11">
        <v>750963.41</v>
      </c>
      <c r="LF136" s="11">
        <v>1156209.6100000001</v>
      </c>
      <c r="LG136" s="11">
        <v>1194357.1399999999</v>
      </c>
      <c r="LH136" s="11">
        <v>658147.38</v>
      </c>
      <c r="LI136" s="11">
        <v>2988696.6</v>
      </c>
      <c r="LJ136" s="11">
        <v>4145300.31</v>
      </c>
      <c r="LK136" s="11">
        <v>0</v>
      </c>
      <c r="LL136" s="11">
        <v>-25301.599999999999</v>
      </c>
      <c r="LM136" s="11">
        <v>404210.31</v>
      </c>
      <c r="LN136" s="11"/>
      <c r="LO136" s="11">
        <v>813262.23</v>
      </c>
      <c r="LP136" s="11">
        <v>81486.87</v>
      </c>
      <c r="LQ136" s="11">
        <v>671045.66</v>
      </c>
      <c r="LR136" s="11">
        <v>922182.06</v>
      </c>
      <c r="LS136" s="11">
        <v>1130389.04</v>
      </c>
      <c r="LT136" s="11">
        <v>227331.37</v>
      </c>
      <c r="LU136" s="11">
        <v>1426525.8</v>
      </c>
      <c r="LV136" s="11">
        <v>1170482.6000000001</v>
      </c>
      <c r="LW136" s="11"/>
      <c r="LX136" s="11">
        <v>2987490.84</v>
      </c>
      <c r="LY136" s="11"/>
      <c r="LZ136" s="11">
        <v>691357.28</v>
      </c>
      <c r="MA136" s="11">
        <v>0</v>
      </c>
      <c r="MB136" s="11">
        <v>271476.93</v>
      </c>
      <c r="MC136" s="11">
        <v>72107.320000000007</v>
      </c>
      <c r="MD136" s="11">
        <v>522527.97</v>
      </c>
      <c r="ME136" s="11">
        <v>238499.91</v>
      </c>
      <c r="MF136" s="11">
        <v>0</v>
      </c>
      <c r="MG136" s="11"/>
      <c r="MH136" s="11">
        <v>8229591.21</v>
      </c>
      <c r="MI136" s="11">
        <v>214947.56</v>
      </c>
      <c r="MJ136" s="11">
        <v>93090.11</v>
      </c>
      <c r="MK136" s="11">
        <v>-21239.88</v>
      </c>
      <c r="ML136" s="11">
        <v>0</v>
      </c>
      <c r="MM136" s="11">
        <v>1158230.33</v>
      </c>
      <c r="MN136" s="11">
        <v>1004921.99</v>
      </c>
      <c r="MO136" s="11">
        <v>343749.99</v>
      </c>
      <c r="MP136" s="11">
        <v>367977.11</v>
      </c>
      <c r="MQ136" s="11">
        <v>384247.02</v>
      </c>
      <c r="MR136" s="11">
        <v>669059.17000000004</v>
      </c>
      <c r="MS136" s="11">
        <v>466594.71</v>
      </c>
      <c r="MT136" s="11">
        <v>1610167.25</v>
      </c>
      <c r="MU136" s="11">
        <v>86492.86</v>
      </c>
      <c r="MV136" s="11">
        <v>980227.17</v>
      </c>
      <c r="MW136" s="11">
        <v>442316</v>
      </c>
      <c r="MX136" s="11">
        <v>1200000</v>
      </c>
      <c r="MY136" s="11">
        <v>326804.71999999997</v>
      </c>
      <c r="MZ136" s="11">
        <v>53673.7</v>
      </c>
      <c r="NA136" s="11">
        <v>210659.86</v>
      </c>
      <c r="NB136" s="11">
        <v>4199265.18</v>
      </c>
      <c r="NC136" s="11">
        <v>288831.40000000002</v>
      </c>
      <c r="ND136" s="11">
        <v>259960.44</v>
      </c>
      <c r="NE136" s="11">
        <v>427670.33</v>
      </c>
      <c r="NF136" s="11">
        <v>817325.8</v>
      </c>
      <c r="NG136" s="11">
        <v>151340.60999999999</v>
      </c>
      <c r="NH136" s="11">
        <v>2317647.75</v>
      </c>
      <c r="NI136" s="11">
        <v>788393.75</v>
      </c>
      <c r="NJ136" s="11">
        <v>724106.97</v>
      </c>
      <c r="NK136" s="11">
        <v>0</v>
      </c>
      <c r="NL136" s="11">
        <v>2980974.85</v>
      </c>
      <c r="NM136" s="11"/>
      <c r="NN136" s="11">
        <v>1289355.0900000001</v>
      </c>
      <c r="NO136" s="11">
        <v>1420916.82</v>
      </c>
      <c r="NP136" s="11">
        <v>404614.99</v>
      </c>
      <c r="NQ136" s="11">
        <v>0</v>
      </c>
      <c r="NR136" s="11">
        <v>803745.52</v>
      </c>
      <c r="NS136" s="11">
        <v>789695.64</v>
      </c>
      <c r="NT136" s="11">
        <v>142774.29</v>
      </c>
      <c r="NU136" s="11">
        <v>199613.14</v>
      </c>
      <c r="NV136" s="11">
        <v>66831.55</v>
      </c>
      <c r="NW136" s="11">
        <v>492700.43</v>
      </c>
      <c r="NX136" s="11">
        <v>1134206.44</v>
      </c>
      <c r="NY136" s="11"/>
      <c r="NZ136" s="11"/>
      <c r="OA136" s="11">
        <v>1009252.98</v>
      </c>
      <c r="OB136" s="11">
        <v>132375.21</v>
      </c>
      <c r="OC136" s="11">
        <v>1740398.8</v>
      </c>
      <c r="OD136" s="11">
        <v>350224.1</v>
      </c>
      <c r="OE136" s="11">
        <v>4346000.43</v>
      </c>
      <c r="OF136" s="11"/>
      <c r="OG136" s="11">
        <v>1915035.12</v>
      </c>
      <c r="OH136" s="11">
        <v>3193492.45</v>
      </c>
      <c r="OI136" s="11">
        <v>302758.21000000002</v>
      </c>
      <c r="OJ136" s="11">
        <v>1055933.04</v>
      </c>
      <c r="OK136" s="11">
        <v>222511.72</v>
      </c>
      <c r="OL136" s="11">
        <v>806144.67</v>
      </c>
      <c r="OM136" s="11">
        <v>72393.88</v>
      </c>
      <c r="ON136" s="11">
        <v>0</v>
      </c>
      <c r="OO136" s="11">
        <v>0</v>
      </c>
      <c r="OP136" s="11">
        <v>5664016.04</v>
      </c>
      <c r="OQ136" s="11">
        <v>2000596.24</v>
      </c>
      <c r="OR136" s="11">
        <v>768706.32</v>
      </c>
      <c r="OS136" s="11">
        <v>287980.21999999997</v>
      </c>
      <c r="OT136" s="11">
        <v>2094904.48</v>
      </c>
      <c r="OU136" s="11">
        <v>567190.14</v>
      </c>
      <c r="OV136" s="11">
        <v>2776803.91</v>
      </c>
      <c r="OW136" s="11">
        <v>205680.61</v>
      </c>
      <c r="OX136" s="11">
        <v>936320.86</v>
      </c>
      <c r="OY136" s="11">
        <v>1680054.05</v>
      </c>
      <c r="OZ136" s="11">
        <v>150527.96</v>
      </c>
      <c r="PA136" s="11">
        <v>370109.07</v>
      </c>
      <c r="PB136" s="11">
        <v>223785.01</v>
      </c>
      <c r="PC136" s="11">
        <v>1584260.96</v>
      </c>
      <c r="PD136" s="11"/>
      <c r="PE136" s="11">
        <v>1814715.31</v>
      </c>
      <c r="PF136" s="11">
        <v>398687.72</v>
      </c>
      <c r="PG136" s="11">
        <v>474815.5</v>
      </c>
      <c r="PH136" s="11">
        <v>3543826.66</v>
      </c>
      <c r="PI136" s="11">
        <v>770933.3</v>
      </c>
      <c r="PJ136" s="11">
        <v>448983.51</v>
      </c>
      <c r="PK136" s="11"/>
      <c r="PL136" s="11">
        <v>135071.25</v>
      </c>
      <c r="PM136" s="11">
        <v>0</v>
      </c>
      <c r="PN136" s="11">
        <v>0</v>
      </c>
      <c r="PO136" s="11">
        <v>260197.43</v>
      </c>
      <c r="PP136" s="11">
        <v>768074.15</v>
      </c>
      <c r="PQ136" s="11">
        <v>563581.76</v>
      </c>
      <c r="PR136" s="11">
        <v>0</v>
      </c>
      <c r="PS136" s="11">
        <v>430090.71</v>
      </c>
      <c r="PT136" s="11">
        <v>192213.87</v>
      </c>
      <c r="PU136" s="11">
        <v>4377067.58</v>
      </c>
      <c r="PV136" s="11">
        <v>132174.21</v>
      </c>
      <c r="PW136" s="11">
        <v>0</v>
      </c>
      <c r="PX136" s="11">
        <v>0</v>
      </c>
      <c r="PY136" s="11">
        <v>3269279.62</v>
      </c>
      <c r="PZ136" s="11">
        <v>675509.41</v>
      </c>
      <c r="QA136" s="11">
        <v>673916.89</v>
      </c>
      <c r="QB136" s="11">
        <v>0</v>
      </c>
      <c r="QC136" s="11">
        <v>779926.28</v>
      </c>
      <c r="QD136" s="11">
        <v>0</v>
      </c>
      <c r="QE136" s="11">
        <v>448754.69</v>
      </c>
      <c r="QF136" s="11">
        <v>708115.47</v>
      </c>
      <c r="QG136" s="11"/>
      <c r="QH136" s="11">
        <v>1017816.27</v>
      </c>
      <c r="QI136" s="11"/>
      <c r="QJ136" s="11">
        <v>329889.42</v>
      </c>
      <c r="QK136" s="11">
        <v>453758.79</v>
      </c>
      <c r="QL136" s="11">
        <v>0</v>
      </c>
      <c r="QM136" s="11">
        <v>90440.28</v>
      </c>
      <c r="QN136" s="11">
        <v>1728786.41</v>
      </c>
      <c r="QO136" s="11">
        <v>1034377.21</v>
      </c>
      <c r="QP136" s="11">
        <v>22615.06</v>
      </c>
      <c r="QQ136" s="11">
        <v>216392.76</v>
      </c>
      <c r="QR136" s="11">
        <v>391343.62</v>
      </c>
      <c r="QS136" s="11">
        <v>38510.269999999997</v>
      </c>
      <c r="QT136" s="11">
        <v>8776.91</v>
      </c>
      <c r="QU136" s="11"/>
      <c r="QV136" s="11">
        <v>1042977.66</v>
      </c>
      <c r="QW136" s="11">
        <v>499999.1</v>
      </c>
      <c r="QX136" s="11">
        <v>2126735.04</v>
      </c>
      <c r="QY136" s="11">
        <v>1252377.4099999999</v>
      </c>
      <c r="QZ136" s="11">
        <v>669693.56999999995</v>
      </c>
      <c r="RA136" s="11">
        <v>1132408.47</v>
      </c>
      <c r="RB136" s="11">
        <v>1493160</v>
      </c>
      <c r="RC136" s="11">
        <v>1700000</v>
      </c>
      <c r="RD136" s="11"/>
      <c r="RE136" s="11">
        <v>1097635.44</v>
      </c>
      <c r="RF136" s="11">
        <v>744104.62</v>
      </c>
      <c r="RG136" s="11">
        <v>87468.31</v>
      </c>
      <c r="RH136" s="11">
        <v>506667.22</v>
      </c>
      <c r="RI136" s="11">
        <v>1305602.67</v>
      </c>
      <c r="RJ136" s="11">
        <v>823473.67</v>
      </c>
      <c r="RK136" s="11">
        <v>3490053.69</v>
      </c>
      <c r="RL136" s="11">
        <v>0</v>
      </c>
      <c r="RM136" s="11">
        <v>0</v>
      </c>
      <c r="RN136" s="11"/>
      <c r="RO136" s="11">
        <v>1220810.5</v>
      </c>
      <c r="RP136" s="11">
        <v>1189161.71</v>
      </c>
      <c r="RQ136" s="11">
        <v>962555.15</v>
      </c>
      <c r="RR136" s="11">
        <v>818968.95</v>
      </c>
      <c r="RS136" s="11">
        <v>132774.95000000001</v>
      </c>
      <c r="RT136" s="11">
        <v>157935.70000000001</v>
      </c>
      <c r="RU136" s="11"/>
      <c r="RV136" s="11">
        <v>162011.70000000001</v>
      </c>
      <c r="RW136" s="11">
        <v>256430.52</v>
      </c>
      <c r="RX136" s="11">
        <v>420498.86</v>
      </c>
      <c r="RY136" s="11">
        <v>219639.42</v>
      </c>
      <c r="RZ136" s="11">
        <v>682995.17</v>
      </c>
      <c r="SA136" s="11">
        <v>168301.95</v>
      </c>
      <c r="SB136" s="11">
        <v>11266536.83</v>
      </c>
      <c r="SC136" s="11">
        <v>43851.59</v>
      </c>
      <c r="SD136" s="11">
        <v>1452549.93</v>
      </c>
      <c r="SE136" s="11">
        <v>271156.09000000003</v>
      </c>
      <c r="SF136" s="11"/>
      <c r="SG136" s="11">
        <v>571639.16</v>
      </c>
      <c r="SH136" s="11">
        <v>913025.28</v>
      </c>
      <c r="SI136" s="11">
        <v>874640.78</v>
      </c>
      <c r="SJ136" s="11">
        <v>755029.44</v>
      </c>
      <c r="SK136" s="11">
        <v>384368.93</v>
      </c>
      <c r="SL136" s="11">
        <v>1719180.56</v>
      </c>
      <c r="SM136" s="11">
        <v>0</v>
      </c>
      <c r="SN136" s="11">
        <v>1071347.96</v>
      </c>
      <c r="SO136" s="11">
        <v>717424.41</v>
      </c>
      <c r="SP136" s="11">
        <v>447154.06</v>
      </c>
      <c r="SQ136" s="11">
        <v>1449201.59</v>
      </c>
      <c r="SR136" s="11">
        <v>405687.67</v>
      </c>
      <c r="SS136" s="11">
        <v>283211.59000000003</v>
      </c>
      <c r="ST136" s="11">
        <v>389455.87</v>
      </c>
      <c r="SU136" s="11">
        <v>67265.649999999994</v>
      </c>
      <c r="SV136" s="11">
        <v>1759443.43</v>
      </c>
      <c r="SW136" s="11">
        <v>122990.48</v>
      </c>
      <c r="SX136" s="11">
        <v>1339831.21</v>
      </c>
      <c r="SY136" s="11">
        <v>594189.56999999995</v>
      </c>
      <c r="SZ136" s="11">
        <v>541674.67000000004</v>
      </c>
      <c r="TA136" s="11">
        <v>153962.65</v>
      </c>
      <c r="TB136" s="11">
        <v>111125.58</v>
      </c>
      <c r="TC136" s="11">
        <v>596324.68000000005</v>
      </c>
      <c r="TD136" s="11">
        <v>432340.16</v>
      </c>
      <c r="TE136" s="11">
        <v>397838.34</v>
      </c>
      <c r="TF136" s="11">
        <v>359793.54</v>
      </c>
      <c r="TG136" s="11">
        <v>1487918.98</v>
      </c>
      <c r="TH136" s="11">
        <v>234086.3</v>
      </c>
      <c r="TI136" s="11">
        <v>501263.47</v>
      </c>
      <c r="TJ136" s="11">
        <v>0</v>
      </c>
      <c r="TK136" s="11">
        <v>72031.72</v>
      </c>
      <c r="TL136" s="11">
        <v>644512.51</v>
      </c>
      <c r="TM136" s="11">
        <v>573468.47</v>
      </c>
      <c r="TN136" s="11">
        <v>1063902.79</v>
      </c>
      <c r="TO136" s="11">
        <v>0</v>
      </c>
      <c r="TP136" s="11">
        <v>492274.09</v>
      </c>
      <c r="TQ136" s="11">
        <v>2503206.1800000002</v>
      </c>
      <c r="TR136" s="11">
        <v>613828.39</v>
      </c>
      <c r="TS136" s="11">
        <v>1235880.07</v>
      </c>
      <c r="TT136" s="11">
        <v>995718.42</v>
      </c>
      <c r="TU136" s="11">
        <v>518309.83</v>
      </c>
      <c r="TV136" s="11">
        <v>87251.95</v>
      </c>
      <c r="TW136" s="11">
        <v>148414.47</v>
      </c>
      <c r="TX136" s="11">
        <v>526304.61</v>
      </c>
      <c r="TY136" s="11">
        <v>340226.32</v>
      </c>
      <c r="TZ136" s="11">
        <v>3386697.45</v>
      </c>
      <c r="UA136" s="11">
        <v>865965.12</v>
      </c>
      <c r="UB136" s="11">
        <v>433549.01</v>
      </c>
      <c r="UC136" s="11">
        <v>2034822.99</v>
      </c>
      <c r="UD136" s="11"/>
      <c r="UE136" s="11">
        <v>299850.23</v>
      </c>
      <c r="UF136" s="11">
        <v>2182339.7599999998</v>
      </c>
      <c r="UG136" s="11">
        <v>780478.41</v>
      </c>
      <c r="UH136" s="11">
        <v>62772.19</v>
      </c>
      <c r="UI136" s="11">
        <v>596034.57999999996</v>
      </c>
      <c r="UJ136" s="11">
        <v>44819.26</v>
      </c>
      <c r="UK136" s="11">
        <v>390404.82</v>
      </c>
      <c r="UL136" s="11">
        <v>400365.83</v>
      </c>
      <c r="UM136" s="11">
        <v>740068.75</v>
      </c>
      <c r="UN136" s="11">
        <v>1386989.59</v>
      </c>
      <c r="UO136" s="11">
        <v>1415617.36</v>
      </c>
      <c r="UP136" s="11">
        <v>501866.52</v>
      </c>
      <c r="UQ136" s="11">
        <v>4804607.24</v>
      </c>
      <c r="UR136" s="11">
        <v>1379596.02</v>
      </c>
      <c r="US136" s="11">
        <v>1086264.05</v>
      </c>
      <c r="UT136" s="11">
        <v>8063795.3200000003</v>
      </c>
      <c r="UU136" s="11"/>
      <c r="UV136" s="11">
        <v>1008313.08</v>
      </c>
      <c r="UW136" s="11">
        <v>3520735.36</v>
      </c>
      <c r="UX136" s="11">
        <v>658744.38</v>
      </c>
      <c r="UY136" s="11"/>
      <c r="UZ136" s="11">
        <v>1543826.54</v>
      </c>
      <c r="VA136" s="11">
        <v>0</v>
      </c>
      <c r="VB136" s="11">
        <v>2391507.9</v>
      </c>
      <c r="VC136" s="11"/>
      <c r="VD136" s="11">
        <v>3274909.52</v>
      </c>
      <c r="VE136" s="11">
        <v>1796601.67</v>
      </c>
      <c r="VF136" s="11">
        <v>416296.36</v>
      </c>
      <c r="VG136" s="11">
        <v>829526.01</v>
      </c>
      <c r="VH136" s="11">
        <v>354817.03</v>
      </c>
      <c r="VI136" s="11">
        <v>7635530.79</v>
      </c>
      <c r="VJ136" s="11"/>
      <c r="VK136" s="11">
        <v>1008911.26</v>
      </c>
      <c r="VL136" s="11">
        <v>291702.40000000002</v>
      </c>
      <c r="VM136" s="11">
        <v>2763012.48</v>
      </c>
      <c r="VN136" s="11">
        <v>0</v>
      </c>
      <c r="VO136" s="11">
        <v>547408.03</v>
      </c>
      <c r="VP136" s="11">
        <v>756586.48</v>
      </c>
      <c r="VQ136" s="11">
        <v>1032763.35</v>
      </c>
      <c r="VR136" s="11">
        <v>165022.29999999999</v>
      </c>
      <c r="VS136" s="11">
        <v>1574874</v>
      </c>
      <c r="VT136" s="11">
        <v>0</v>
      </c>
      <c r="VU136" s="11">
        <v>0</v>
      </c>
      <c r="VV136" s="11">
        <v>1327679.93</v>
      </c>
      <c r="VW136" s="11">
        <v>354085.86</v>
      </c>
      <c r="VX136" s="11">
        <v>271746.3</v>
      </c>
      <c r="VY136" s="11">
        <v>990000</v>
      </c>
      <c r="VZ136" s="11">
        <v>746779.32</v>
      </c>
      <c r="WA136" s="11">
        <v>116828.45</v>
      </c>
      <c r="WB136" s="11"/>
      <c r="WC136" s="11">
        <v>0</v>
      </c>
      <c r="WD136" s="11">
        <v>2198182.59</v>
      </c>
      <c r="WE136" s="11">
        <v>-84930.26</v>
      </c>
      <c r="WF136" s="11"/>
      <c r="WG136" s="11">
        <v>800125.78</v>
      </c>
      <c r="WH136" s="11">
        <v>2511645.7200000002</v>
      </c>
      <c r="WI136" s="11">
        <v>1735933.83</v>
      </c>
      <c r="WJ136" s="11">
        <v>708443.7</v>
      </c>
      <c r="WK136" s="11">
        <v>4441866.47</v>
      </c>
      <c r="WL136" s="11">
        <v>379112.71</v>
      </c>
      <c r="WM136" s="11">
        <v>2456104.64</v>
      </c>
      <c r="WN136" s="11">
        <v>547849.19999999995</v>
      </c>
      <c r="WO136" s="11">
        <v>1403415.54</v>
      </c>
      <c r="WP136" s="11">
        <v>526878.44999999995</v>
      </c>
      <c r="WQ136" s="11">
        <v>846157.87</v>
      </c>
      <c r="WR136" s="11">
        <v>1321377.6299999999</v>
      </c>
      <c r="WS136" s="11">
        <v>0</v>
      </c>
      <c r="WT136" s="11">
        <v>714271.07</v>
      </c>
      <c r="WU136" s="11">
        <v>703774.54</v>
      </c>
      <c r="WV136" s="11">
        <v>1766714.44</v>
      </c>
      <c r="WW136" s="11"/>
      <c r="WX136" s="11">
        <v>314057.17</v>
      </c>
      <c r="WY136" s="11">
        <v>184.39</v>
      </c>
      <c r="WZ136" s="11">
        <v>157389.43</v>
      </c>
      <c r="XA136" s="11">
        <v>0</v>
      </c>
      <c r="XB136" s="11"/>
      <c r="XC136" s="11">
        <v>0</v>
      </c>
      <c r="XD136" s="11">
        <v>-359832.01</v>
      </c>
      <c r="XE136" s="11">
        <v>234593.38</v>
      </c>
      <c r="XF136" s="11">
        <v>636461.16</v>
      </c>
      <c r="XG136" s="11"/>
      <c r="XH136" s="11">
        <v>89956.91</v>
      </c>
      <c r="XI136" s="11"/>
      <c r="XJ136" s="11">
        <v>848374.29</v>
      </c>
      <c r="XK136" s="11">
        <v>2401270.87</v>
      </c>
      <c r="XL136" s="11">
        <v>1318226.73</v>
      </c>
      <c r="XM136" s="11">
        <v>509902.66</v>
      </c>
      <c r="XN136" s="11">
        <v>1189450.6499999999</v>
      </c>
      <c r="XO136" s="11">
        <v>1524720.78</v>
      </c>
      <c r="XP136" s="11">
        <v>1551227.33</v>
      </c>
      <c r="XQ136" s="11">
        <v>174957.26</v>
      </c>
      <c r="XR136" s="11">
        <v>1243687.06</v>
      </c>
      <c r="XS136" s="11">
        <v>913623.34</v>
      </c>
      <c r="XT136" s="11">
        <v>443129.75</v>
      </c>
      <c r="XU136" s="11">
        <v>48846.16</v>
      </c>
      <c r="XV136" s="11">
        <v>925904.15</v>
      </c>
      <c r="XW136" s="11">
        <v>775501.6</v>
      </c>
      <c r="XX136" s="11">
        <v>132333.62</v>
      </c>
      <c r="XY136" s="11">
        <v>343043.21</v>
      </c>
      <c r="XZ136" s="11">
        <v>629295.16</v>
      </c>
      <c r="YA136" s="11">
        <v>698388.56</v>
      </c>
      <c r="YB136" s="11">
        <v>98675.3</v>
      </c>
      <c r="YC136" s="11">
        <v>60037.120000000003</v>
      </c>
      <c r="YD136" s="11">
        <v>77018.87</v>
      </c>
      <c r="YE136" s="11">
        <v>384430.41</v>
      </c>
      <c r="YF136" s="11">
        <v>4915485.87</v>
      </c>
      <c r="YG136" s="11">
        <v>2032585.29</v>
      </c>
      <c r="YH136" s="11">
        <v>513820.74</v>
      </c>
      <c r="YI136" s="11">
        <v>559034.43000000005</v>
      </c>
      <c r="YJ136" s="11">
        <v>1178748.42</v>
      </c>
      <c r="YK136" s="11">
        <v>0</v>
      </c>
      <c r="YL136" s="11">
        <v>1391904.76</v>
      </c>
      <c r="YM136" s="11">
        <v>-1721793.26</v>
      </c>
      <c r="YN136" s="11">
        <v>1938799.85</v>
      </c>
      <c r="YO136" s="11">
        <v>669704</v>
      </c>
      <c r="YP136" s="11">
        <v>209711.45</v>
      </c>
      <c r="YQ136" s="11">
        <v>29218.65</v>
      </c>
      <c r="YR136" s="11">
        <v>286672.01</v>
      </c>
      <c r="YS136" s="11">
        <v>1465708.68</v>
      </c>
      <c r="YT136" s="11">
        <v>1371747.09</v>
      </c>
      <c r="YU136" s="11">
        <v>1079219.9099999999</v>
      </c>
      <c r="YV136" s="11">
        <v>416503.32</v>
      </c>
      <c r="YW136" s="11">
        <v>1121795.1000000001</v>
      </c>
      <c r="YX136" s="11">
        <v>1168415.6599999999</v>
      </c>
      <c r="YY136" s="11">
        <v>688451.11</v>
      </c>
      <c r="YZ136" s="11">
        <v>0</v>
      </c>
      <c r="ZA136" s="11">
        <v>680426.25</v>
      </c>
      <c r="ZB136" s="11">
        <v>1548191.39</v>
      </c>
      <c r="ZC136" s="11">
        <v>504979.65</v>
      </c>
      <c r="ZD136" s="11">
        <v>796952.03</v>
      </c>
      <c r="ZE136" s="11">
        <v>821676.47</v>
      </c>
      <c r="ZF136" s="11">
        <v>417058.57</v>
      </c>
      <c r="ZG136" s="11">
        <v>15650.41</v>
      </c>
      <c r="ZH136" s="11">
        <v>703098.89</v>
      </c>
      <c r="ZI136" s="11">
        <v>948378.99</v>
      </c>
      <c r="ZJ136" s="11">
        <v>465457.39</v>
      </c>
      <c r="ZK136" s="11">
        <v>145531.68</v>
      </c>
      <c r="ZL136" s="11">
        <v>326134.08</v>
      </c>
      <c r="ZM136" s="11">
        <v>9321990.9700000007</v>
      </c>
      <c r="ZN136" s="11">
        <v>2449273.46</v>
      </c>
      <c r="ZO136" s="11">
        <v>3084253.82</v>
      </c>
      <c r="ZP136" s="11"/>
      <c r="ZQ136" s="11">
        <v>4130517.76</v>
      </c>
      <c r="ZR136" s="11">
        <v>545271.1</v>
      </c>
      <c r="ZS136" s="11">
        <v>9461857.9900000002</v>
      </c>
      <c r="ZT136" s="11"/>
      <c r="ZU136" s="11">
        <v>3308933.26</v>
      </c>
      <c r="ZV136" s="11">
        <v>3694776.94</v>
      </c>
      <c r="ZW136" s="11">
        <v>514032.15</v>
      </c>
      <c r="ZX136" s="11">
        <v>4128093.18</v>
      </c>
      <c r="ZY136" s="11">
        <v>461918.44</v>
      </c>
      <c r="ZZ136" s="11">
        <v>4991458.95</v>
      </c>
      <c r="AAA136" s="11">
        <v>1237491.51</v>
      </c>
      <c r="AAB136" s="11">
        <v>5478633.0800000001</v>
      </c>
      <c r="AAC136" s="11">
        <v>15962.19</v>
      </c>
      <c r="AAD136" s="11">
        <v>1561986.29</v>
      </c>
      <c r="AAE136" s="11">
        <v>4170970.17</v>
      </c>
      <c r="AAF136" s="11">
        <v>2312197.91</v>
      </c>
      <c r="AAG136" s="11">
        <v>1242137.21</v>
      </c>
      <c r="AAH136" s="11">
        <v>600531.28</v>
      </c>
      <c r="AAI136" s="11">
        <v>1802382.16</v>
      </c>
      <c r="AAJ136" s="11">
        <v>187206.94</v>
      </c>
      <c r="AAK136" s="11">
        <v>474904.53</v>
      </c>
      <c r="AAL136" s="11">
        <v>17521.97</v>
      </c>
      <c r="AAM136" s="11">
        <v>1122877.68</v>
      </c>
      <c r="AAN136" s="11">
        <v>107373.66</v>
      </c>
      <c r="AAO136" s="11">
        <v>479070.54</v>
      </c>
      <c r="AAP136" s="11"/>
      <c r="AAQ136" s="11">
        <v>460285.86</v>
      </c>
      <c r="AAR136" s="11">
        <v>668743.14</v>
      </c>
      <c r="AAS136" s="11">
        <v>849746.35</v>
      </c>
      <c r="AAT136" s="11">
        <v>722868.81</v>
      </c>
      <c r="AAU136" s="11">
        <v>496650.6</v>
      </c>
      <c r="AAV136" s="11">
        <v>513735.05</v>
      </c>
      <c r="AAW136" s="11">
        <v>826253.56</v>
      </c>
      <c r="AAX136" s="11">
        <v>323210.12</v>
      </c>
      <c r="AAY136" s="11">
        <v>240305.71</v>
      </c>
      <c r="AAZ136" s="11"/>
      <c r="ABA136" s="11">
        <v>490756.47</v>
      </c>
      <c r="ABB136" s="11">
        <v>2309230.0099999998</v>
      </c>
      <c r="ABC136" s="11">
        <v>741686.75</v>
      </c>
      <c r="ABD136" s="11">
        <v>276604.08</v>
      </c>
      <c r="ABE136" s="11">
        <v>98317.48</v>
      </c>
      <c r="ABF136" s="11">
        <v>0</v>
      </c>
      <c r="ABG136" s="11">
        <v>1751559.7</v>
      </c>
      <c r="ABH136" s="11">
        <v>422230.66</v>
      </c>
      <c r="ABI136" s="11">
        <v>2735198.12</v>
      </c>
      <c r="ABJ136" s="11">
        <v>1630036.96</v>
      </c>
      <c r="ABK136" s="11">
        <v>0</v>
      </c>
      <c r="ABL136" s="11">
        <v>0</v>
      </c>
      <c r="ABM136" s="11">
        <v>833924.37</v>
      </c>
      <c r="ABN136" s="11">
        <v>136761.97</v>
      </c>
      <c r="ABO136" s="11">
        <v>0</v>
      </c>
      <c r="ABP136" s="11"/>
      <c r="ABQ136" s="11">
        <v>1290684.6200000001</v>
      </c>
      <c r="ABR136" s="11">
        <v>99583.22</v>
      </c>
      <c r="ABS136" s="11">
        <v>170706.84</v>
      </c>
      <c r="ABT136" s="11"/>
      <c r="ABU136" s="11"/>
      <c r="ABV136" s="11">
        <v>57618.77</v>
      </c>
      <c r="ABW136" s="11">
        <v>0</v>
      </c>
      <c r="ABX136" s="11"/>
      <c r="ABY136" s="11">
        <v>1691324.6</v>
      </c>
      <c r="ABZ136" s="11"/>
      <c r="ACA136" s="11">
        <v>751658.05</v>
      </c>
      <c r="ACB136" s="11"/>
      <c r="ACC136" s="11">
        <v>35436.03</v>
      </c>
      <c r="ACD136" s="11">
        <v>1351065.07</v>
      </c>
      <c r="ACE136" s="11">
        <v>0</v>
      </c>
      <c r="ACF136" s="11">
        <v>378566.57</v>
      </c>
      <c r="ACG136" s="11">
        <v>516931.6</v>
      </c>
      <c r="ACH136" s="11">
        <v>816594.01</v>
      </c>
      <c r="ACI136" s="11">
        <v>254163.14</v>
      </c>
      <c r="ACJ136" s="11">
        <v>6485287.7400000002</v>
      </c>
      <c r="ACK136" s="11">
        <v>102189.3</v>
      </c>
      <c r="ACL136" s="11">
        <v>811479.29</v>
      </c>
      <c r="ACM136" s="11">
        <v>269573.36</v>
      </c>
      <c r="ACN136" s="11">
        <v>62167.31</v>
      </c>
      <c r="ACO136" s="11">
        <v>-732373.38</v>
      </c>
      <c r="ACP136" s="11"/>
      <c r="ACQ136" s="11"/>
      <c r="ACR136" s="11"/>
      <c r="ACS136" s="11">
        <v>292044.34000000003</v>
      </c>
      <c r="ACT136" s="11">
        <v>275571.09000000003</v>
      </c>
      <c r="ACU136" s="11">
        <v>854416.69</v>
      </c>
      <c r="ACV136" s="11">
        <v>995950.53</v>
      </c>
      <c r="ACW136" s="11">
        <v>379760.04</v>
      </c>
      <c r="ACX136" s="11">
        <v>117569.31</v>
      </c>
      <c r="ACY136" s="11">
        <v>550305.78</v>
      </c>
      <c r="ACZ136" s="11">
        <v>53175.69</v>
      </c>
      <c r="ADA136" s="11">
        <v>32643.09</v>
      </c>
      <c r="ADB136" s="11">
        <v>78535.91</v>
      </c>
      <c r="ADC136" s="11"/>
      <c r="ADD136" s="11">
        <v>273573.33</v>
      </c>
      <c r="ADE136" s="11"/>
      <c r="ADF136" s="11">
        <v>442734.93</v>
      </c>
      <c r="ADG136" s="11"/>
      <c r="ADH136" s="11">
        <v>171000</v>
      </c>
      <c r="ADI136" s="11">
        <v>454661.17</v>
      </c>
      <c r="ADJ136" s="11">
        <v>420569.75</v>
      </c>
      <c r="ADK136" s="11">
        <v>1008430.25</v>
      </c>
      <c r="ADL136" s="11">
        <v>15243.15</v>
      </c>
      <c r="ADM136" s="11">
        <v>861087.95</v>
      </c>
      <c r="ADN136" s="11">
        <v>287647.42</v>
      </c>
      <c r="ADO136" s="11">
        <v>63422.33</v>
      </c>
      <c r="ADP136" s="11">
        <v>68753.429999999993</v>
      </c>
      <c r="ADQ136" s="11">
        <v>501972.42</v>
      </c>
      <c r="ADR136" s="11"/>
      <c r="ADS136" s="11"/>
      <c r="ADT136" s="11">
        <v>0</v>
      </c>
      <c r="ADU136" s="11">
        <v>268301.23</v>
      </c>
      <c r="ADV136" s="11">
        <v>522007.34</v>
      </c>
      <c r="ADW136" s="11"/>
      <c r="ADX136" s="11">
        <v>459244.98</v>
      </c>
      <c r="ADY136" s="11"/>
      <c r="ADZ136" s="11"/>
      <c r="AEA136" s="11">
        <v>2375477.33</v>
      </c>
      <c r="AEB136" s="11">
        <v>1460692.97</v>
      </c>
      <c r="AEC136" s="11">
        <v>86284.45</v>
      </c>
      <c r="AED136" s="11">
        <v>2887825.41</v>
      </c>
      <c r="AEE136" s="11">
        <v>1007059.45</v>
      </c>
      <c r="AEF136" s="11">
        <v>483672.01</v>
      </c>
      <c r="AEG136" s="11">
        <v>71107.22</v>
      </c>
      <c r="AEH136" s="11">
        <v>236243.25</v>
      </c>
      <c r="AEI136" s="11">
        <v>328856.81</v>
      </c>
      <c r="AEJ136" s="11">
        <v>35902</v>
      </c>
      <c r="AEK136" s="11">
        <v>655046.55000000005</v>
      </c>
      <c r="AEL136" s="11"/>
      <c r="AEM136" s="11"/>
      <c r="AEN136" s="11">
        <v>694253.11</v>
      </c>
      <c r="AEO136" s="11">
        <v>1918932.91</v>
      </c>
      <c r="AEP136" s="11">
        <v>262418.94</v>
      </c>
      <c r="AEQ136" s="11"/>
      <c r="AER136" s="11"/>
      <c r="AES136" s="11">
        <v>1449861.61</v>
      </c>
      <c r="AET136" s="11">
        <v>1253105.29</v>
      </c>
      <c r="AEU136" s="11">
        <v>1180293.46</v>
      </c>
      <c r="AEV136" s="11">
        <v>0</v>
      </c>
      <c r="AEW136" s="11"/>
      <c r="AEX136" s="11">
        <v>1197537.57</v>
      </c>
      <c r="AEY136" s="11">
        <v>7643155.8799999999</v>
      </c>
      <c r="AEZ136" s="11">
        <v>760286.52</v>
      </c>
      <c r="AFA136" s="11">
        <v>81932.62</v>
      </c>
      <c r="AFB136" s="11">
        <v>2729741.56</v>
      </c>
      <c r="AFC136" s="11">
        <v>174321.35</v>
      </c>
      <c r="AFD136" s="11">
        <v>1010556.42</v>
      </c>
      <c r="AFE136" s="11">
        <v>243222.79</v>
      </c>
      <c r="AFF136" s="11">
        <v>310949.98</v>
      </c>
      <c r="AFG136" s="11">
        <v>924468.73</v>
      </c>
      <c r="AFH136" s="11">
        <v>888723.89</v>
      </c>
      <c r="AFI136" s="11">
        <v>2077628.01</v>
      </c>
      <c r="AFJ136" s="11">
        <v>257383.19</v>
      </c>
      <c r="AFK136" s="11">
        <v>964790.48</v>
      </c>
      <c r="AFL136" s="11">
        <v>5663439.46</v>
      </c>
      <c r="AFM136" s="11">
        <v>138498.26999999999</v>
      </c>
      <c r="AFN136" s="11">
        <v>578149.05000000005</v>
      </c>
      <c r="AFO136" s="11">
        <v>798703.13</v>
      </c>
      <c r="AFP136" s="11">
        <v>842513.8</v>
      </c>
      <c r="AFQ136" s="11">
        <v>191853.43</v>
      </c>
      <c r="AFR136" s="11">
        <v>899946.74</v>
      </c>
      <c r="AFS136" s="11">
        <v>674658.49</v>
      </c>
      <c r="AFT136" s="11">
        <v>267960.36</v>
      </c>
      <c r="AFU136" s="11">
        <v>1165215.5</v>
      </c>
      <c r="AFV136" s="11">
        <v>130287.13</v>
      </c>
      <c r="AFW136" s="11">
        <v>166155.49</v>
      </c>
      <c r="AFX136" s="11">
        <v>1043094.93</v>
      </c>
      <c r="AFY136" s="11">
        <v>1236738.03</v>
      </c>
      <c r="AFZ136" s="11">
        <v>621479.29</v>
      </c>
      <c r="AGA136" s="11">
        <v>840042.45</v>
      </c>
      <c r="AGB136" s="11">
        <v>162767.29999999999</v>
      </c>
      <c r="AGC136" s="11">
        <v>2262598.5299999998</v>
      </c>
      <c r="AGD136" s="11">
        <v>6076.22</v>
      </c>
      <c r="AGE136" s="11">
        <v>186984.66</v>
      </c>
      <c r="AGF136" s="11">
        <v>310427.58</v>
      </c>
      <c r="AGG136" s="11">
        <v>2240849.34</v>
      </c>
      <c r="AGH136" s="11">
        <v>1032560.52</v>
      </c>
      <c r="AGI136" s="11">
        <v>138630.94</v>
      </c>
      <c r="AGJ136" s="11">
        <v>2272676.96</v>
      </c>
      <c r="AGK136" s="11">
        <v>164145.26</v>
      </c>
      <c r="AGL136" s="11">
        <v>232975.4</v>
      </c>
      <c r="AGM136" s="11">
        <v>163267.09</v>
      </c>
      <c r="AGN136" s="11">
        <v>1847049.55</v>
      </c>
      <c r="AGO136" s="11">
        <v>598152.11</v>
      </c>
      <c r="AGP136" s="11">
        <v>1274995.55</v>
      </c>
      <c r="AGQ136" s="11">
        <v>40031.760000000002</v>
      </c>
      <c r="AGR136" s="11">
        <v>1949073.55</v>
      </c>
      <c r="AGS136" s="11">
        <v>445075.54</v>
      </c>
      <c r="AGT136" s="11">
        <v>345915.3</v>
      </c>
      <c r="AGU136" s="11">
        <v>340343.13</v>
      </c>
      <c r="AGV136" s="11">
        <v>2208855.6800000002</v>
      </c>
      <c r="AGW136" s="11">
        <v>3594077.63</v>
      </c>
      <c r="AGX136" s="11">
        <v>1166259.1599999999</v>
      </c>
      <c r="AGY136" s="11">
        <v>1499979.91</v>
      </c>
      <c r="AGZ136" s="11">
        <v>436116.27</v>
      </c>
      <c r="AHA136" s="11">
        <v>0</v>
      </c>
      <c r="AHB136" s="11">
        <v>1334403.69</v>
      </c>
      <c r="AHC136" s="11">
        <v>1124041.19</v>
      </c>
      <c r="AHD136" s="11">
        <v>103385.31</v>
      </c>
      <c r="AHE136" s="11">
        <v>649117.18000000005</v>
      </c>
      <c r="AHF136" s="11">
        <v>643106.42000000004</v>
      </c>
      <c r="AHG136" s="11">
        <v>224934.99</v>
      </c>
      <c r="AHH136" s="11">
        <v>176706.66</v>
      </c>
      <c r="AHI136" s="11">
        <v>637482.18999999994</v>
      </c>
      <c r="AHJ136" s="11">
        <v>587923.27</v>
      </c>
      <c r="AHK136" s="11"/>
      <c r="AHL136" s="11">
        <v>151198.95000000001</v>
      </c>
      <c r="AHM136" s="11">
        <v>401692.95</v>
      </c>
      <c r="AHN136" s="11">
        <v>885635.2</v>
      </c>
      <c r="AHO136" s="11">
        <v>1140565.02</v>
      </c>
      <c r="AHP136" s="11">
        <v>91535.67</v>
      </c>
      <c r="AHQ136" s="11">
        <v>1123154.7</v>
      </c>
      <c r="AHR136" s="11">
        <v>479188.07</v>
      </c>
      <c r="AHS136" s="11">
        <v>14241.84</v>
      </c>
      <c r="AHT136" s="11">
        <v>776028742.26999974</v>
      </c>
      <c r="AHV136" s="269" t="s">
        <v>6280</v>
      </c>
      <c r="AHW136" s="269" t="s">
        <v>6212</v>
      </c>
      <c r="AHX136" s="269" t="s">
        <v>6213</v>
      </c>
    </row>
    <row r="137" spans="1:908" x14ac:dyDescent="0.7">
      <c r="A137" s="6" t="s">
        <v>6280</v>
      </c>
      <c r="B137" s="6" t="s">
        <v>6212</v>
      </c>
      <c r="C137" s="6" t="s">
        <v>6213</v>
      </c>
      <c r="D137" s="11"/>
      <c r="E137" s="11">
        <v>3529046.95</v>
      </c>
      <c r="F137" s="11"/>
      <c r="G137" s="11"/>
      <c r="H137" s="11">
        <v>3008841.58</v>
      </c>
      <c r="I137" s="11"/>
      <c r="J137" s="11"/>
      <c r="K137" s="11"/>
      <c r="L137" s="11">
        <v>2711595.75</v>
      </c>
      <c r="M137" s="11">
        <v>1240633.75</v>
      </c>
      <c r="N137" s="11">
        <v>0</v>
      </c>
      <c r="O137" s="11">
        <v>480529.2</v>
      </c>
      <c r="P137" s="11"/>
      <c r="Q137" s="11"/>
      <c r="R137" s="11"/>
      <c r="S137" s="11"/>
      <c r="T137" s="11"/>
      <c r="U137" s="11">
        <v>921165</v>
      </c>
      <c r="V137" s="11">
        <v>1342500</v>
      </c>
      <c r="W137" s="11">
        <v>2262343.25</v>
      </c>
      <c r="X137" s="11">
        <v>1895042</v>
      </c>
      <c r="Y137" s="11">
        <v>11793668</v>
      </c>
      <c r="Z137" s="11">
        <v>0</v>
      </c>
      <c r="AA137" s="11">
        <v>2679200</v>
      </c>
      <c r="AB137" s="11">
        <v>23285</v>
      </c>
      <c r="AC137" s="11">
        <v>4997149</v>
      </c>
      <c r="AD137" s="11">
        <v>1436379</v>
      </c>
      <c r="AE137" s="11">
        <v>1266532.47</v>
      </c>
      <c r="AF137" s="11">
        <v>2300000</v>
      </c>
      <c r="AG137" s="11">
        <v>1230000</v>
      </c>
      <c r="AH137" s="11">
        <v>1500000</v>
      </c>
      <c r="AI137" s="11">
        <v>483840</v>
      </c>
      <c r="AJ137" s="11">
        <v>1330000</v>
      </c>
      <c r="AK137" s="11">
        <v>40000</v>
      </c>
      <c r="AL137" s="11">
        <v>2865255.35</v>
      </c>
      <c r="AM137" s="11">
        <v>1401990</v>
      </c>
      <c r="AN137" s="11">
        <v>798671</v>
      </c>
      <c r="AO137" s="11">
        <v>1244397.3</v>
      </c>
      <c r="AP137" s="11">
        <v>180000</v>
      </c>
      <c r="AQ137" s="11">
        <v>32502.5</v>
      </c>
      <c r="AR137" s="11">
        <v>1128028.1499999999</v>
      </c>
      <c r="AS137" s="11">
        <v>759600</v>
      </c>
      <c r="AT137" s="11">
        <v>0</v>
      </c>
      <c r="AU137" s="11">
        <v>3182808.25</v>
      </c>
      <c r="AV137" s="11"/>
      <c r="AW137" s="11">
        <v>575645.74</v>
      </c>
      <c r="AX137" s="11"/>
      <c r="AY137" s="11">
        <v>0</v>
      </c>
      <c r="AZ137" s="11">
        <v>842100</v>
      </c>
      <c r="BA137" s="11"/>
      <c r="BB137" s="11">
        <v>0</v>
      </c>
      <c r="BC137" s="11"/>
      <c r="BD137" s="11"/>
      <c r="BE137" s="11">
        <v>852959.6</v>
      </c>
      <c r="BF137" s="11">
        <v>3449460</v>
      </c>
      <c r="BG137" s="11">
        <v>0</v>
      </c>
      <c r="BH137" s="11">
        <v>2499499.94</v>
      </c>
      <c r="BI137" s="11">
        <v>170000</v>
      </c>
      <c r="BJ137" s="11"/>
      <c r="BK137" s="11"/>
      <c r="BL137" s="11">
        <v>400000</v>
      </c>
      <c r="BM137" s="11">
        <v>112487</v>
      </c>
      <c r="BN137" s="11"/>
      <c r="BO137" s="11">
        <v>997500</v>
      </c>
      <c r="BP137" s="11"/>
      <c r="BQ137" s="11">
        <v>825000</v>
      </c>
      <c r="BR137" s="11">
        <v>3300000</v>
      </c>
      <c r="BS137" s="11">
        <v>2655000</v>
      </c>
      <c r="BT137" s="11"/>
      <c r="BU137" s="11">
        <v>1305000</v>
      </c>
      <c r="BV137" s="11">
        <v>1215000</v>
      </c>
      <c r="BW137" s="11">
        <v>1750000</v>
      </c>
      <c r="BX137" s="11">
        <v>531300</v>
      </c>
      <c r="BY137" s="11"/>
      <c r="BZ137" s="11">
        <v>1254000</v>
      </c>
      <c r="CA137" s="11">
        <v>752416.88</v>
      </c>
      <c r="CB137" s="11">
        <v>1356142.97</v>
      </c>
      <c r="CC137" s="11">
        <v>1156710</v>
      </c>
      <c r="CD137" s="11">
        <v>1000000</v>
      </c>
      <c r="CE137" s="11">
        <v>1000000</v>
      </c>
      <c r="CF137" s="11">
        <v>0</v>
      </c>
      <c r="CG137" s="11"/>
      <c r="CH137" s="11">
        <v>934665</v>
      </c>
      <c r="CI137" s="11">
        <v>2248487</v>
      </c>
      <c r="CJ137" s="11">
        <v>205160</v>
      </c>
      <c r="CK137" s="11">
        <v>1819670</v>
      </c>
      <c r="CL137" s="11">
        <v>1642257.5</v>
      </c>
      <c r="CM137" s="11">
        <v>1393710</v>
      </c>
      <c r="CN137" s="11">
        <v>2985602.5</v>
      </c>
      <c r="CO137" s="11">
        <v>708880</v>
      </c>
      <c r="CP137" s="11">
        <v>2140290</v>
      </c>
      <c r="CQ137" s="11">
        <v>1020412.5</v>
      </c>
      <c r="CR137" s="11">
        <v>1791302.5</v>
      </c>
      <c r="CS137" s="11">
        <v>1163259</v>
      </c>
      <c r="CT137" s="11">
        <v>3387098.2</v>
      </c>
      <c r="CU137" s="11">
        <v>3616697.33</v>
      </c>
      <c r="CV137" s="11">
        <v>545900</v>
      </c>
      <c r="CW137" s="11">
        <v>1996437.5</v>
      </c>
      <c r="CX137" s="11">
        <v>2796972</v>
      </c>
      <c r="CY137" s="11">
        <v>3539190</v>
      </c>
      <c r="CZ137" s="11"/>
      <c r="DA137" s="11"/>
      <c r="DB137" s="11">
        <v>2205000</v>
      </c>
      <c r="DC137" s="11">
        <v>10305000</v>
      </c>
      <c r="DD137" s="11">
        <v>1575000</v>
      </c>
      <c r="DE137" s="11">
        <v>2792000</v>
      </c>
      <c r="DF137" s="11">
        <v>588955.85</v>
      </c>
      <c r="DG137" s="11">
        <v>250259</v>
      </c>
      <c r="DH137" s="11"/>
      <c r="DI137" s="11">
        <v>1062000</v>
      </c>
      <c r="DJ137" s="11">
        <v>567080</v>
      </c>
      <c r="DK137" s="11">
        <v>2685000</v>
      </c>
      <c r="DL137" s="11">
        <v>937500</v>
      </c>
      <c r="DM137" s="11">
        <v>1590000</v>
      </c>
      <c r="DN137" s="11">
        <v>650000</v>
      </c>
      <c r="DO137" s="11">
        <v>1507500</v>
      </c>
      <c r="DP137" s="11"/>
      <c r="DQ137" s="11">
        <v>0</v>
      </c>
      <c r="DR137" s="11">
        <v>1464500</v>
      </c>
      <c r="DS137" s="11">
        <v>2076750</v>
      </c>
      <c r="DT137" s="11"/>
      <c r="DU137" s="11"/>
      <c r="DV137" s="11"/>
      <c r="DW137" s="11">
        <v>0</v>
      </c>
      <c r="DX137" s="11">
        <v>15000</v>
      </c>
      <c r="DY137" s="11">
        <v>0</v>
      </c>
      <c r="DZ137" s="11"/>
      <c r="EA137" s="11"/>
      <c r="EB137" s="11"/>
      <c r="EC137" s="11"/>
      <c r="ED137" s="11"/>
      <c r="EE137" s="11">
        <v>333000</v>
      </c>
      <c r="EF137" s="11">
        <v>2970000</v>
      </c>
      <c r="EG137" s="11">
        <v>1305000</v>
      </c>
      <c r="EH137" s="11">
        <v>952500</v>
      </c>
      <c r="EI137" s="11">
        <v>1875000</v>
      </c>
      <c r="EJ137" s="11"/>
      <c r="EK137" s="11">
        <v>0</v>
      </c>
      <c r="EL137" s="11"/>
      <c r="EM137" s="11">
        <v>634500</v>
      </c>
      <c r="EN137" s="11"/>
      <c r="EO137" s="11"/>
      <c r="EP137" s="11"/>
      <c r="EQ137" s="11"/>
      <c r="ER137" s="11"/>
      <c r="ES137" s="11">
        <v>420000</v>
      </c>
      <c r="ET137" s="11">
        <v>1170000</v>
      </c>
      <c r="EU137" s="11"/>
      <c r="EV137" s="11"/>
      <c r="EW137" s="11">
        <v>787050</v>
      </c>
      <c r="EX137" s="11"/>
      <c r="EY137" s="11">
        <v>0</v>
      </c>
      <c r="EZ137" s="11">
        <v>1500000</v>
      </c>
      <c r="FA137" s="11">
        <v>2550000</v>
      </c>
      <c r="FB137" s="11">
        <v>967500</v>
      </c>
      <c r="FC137" s="11">
        <v>0</v>
      </c>
      <c r="FD137" s="11"/>
      <c r="FE137" s="11"/>
      <c r="FF137" s="11"/>
      <c r="FG137" s="11">
        <v>900000</v>
      </c>
      <c r="FH137" s="11">
        <v>150000</v>
      </c>
      <c r="FI137" s="11">
        <v>58517</v>
      </c>
      <c r="FJ137" s="11">
        <v>800000</v>
      </c>
      <c r="FK137" s="11">
        <v>459000</v>
      </c>
      <c r="FL137" s="11">
        <v>1414675.3</v>
      </c>
      <c r="FM137" s="11">
        <v>2209106.36</v>
      </c>
      <c r="FN137" s="11"/>
      <c r="FO137" s="11">
        <v>1080000</v>
      </c>
      <c r="FP137" s="11"/>
      <c r="FQ137" s="11">
        <v>10000000</v>
      </c>
      <c r="FR137" s="11">
        <v>850496.35</v>
      </c>
      <c r="FS137" s="11">
        <v>1278000</v>
      </c>
      <c r="FT137" s="11">
        <v>990000</v>
      </c>
      <c r="FU137" s="11">
        <v>1312895</v>
      </c>
      <c r="FV137" s="11">
        <v>465000</v>
      </c>
      <c r="FW137" s="11">
        <v>3187939.2</v>
      </c>
      <c r="FX137" s="11">
        <v>1597800</v>
      </c>
      <c r="FY137" s="11">
        <v>0</v>
      </c>
      <c r="FZ137" s="11">
        <v>1452684</v>
      </c>
      <c r="GA137" s="11">
        <v>3407116.13</v>
      </c>
      <c r="GB137" s="11"/>
      <c r="GC137" s="11">
        <v>0</v>
      </c>
      <c r="GD137" s="11">
        <v>1217946</v>
      </c>
      <c r="GE137" s="11"/>
      <c r="GF137" s="11">
        <v>500</v>
      </c>
      <c r="GG137" s="11">
        <v>1351500</v>
      </c>
      <c r="GH137" s="11"/>
      <c r="GI137" s="11">
        <v>330000</v>
      </c>
      <c r="GJ137" s="11">
        <v>3463353</v>
      </c>
      <c r="GK137" s="11"/>
      <c r="GL137" s="11"/>
      <c r="GM137" s="11"/>
      <c r="GN137" s="11"/>
      <c r="GO137" s="11"/>
      <c r="GP137" s="11"/>
      <c r="GQ137" s="11">
        <v>1087500</v>
      </c>
      <c r="GR137" s="11">
        <v>1215000</v>
      </c>
      <c r="GS137" s="11">
        <v>645000</v>
      </c>
      <c r="GT137" s="11">
        <v>2685000</v>
      </c>
      <c r="GU137" s="11">
        <v>615000</v>
      </c>
      <c r="GV137" s="11"/>
      <c r="GW137" s="11"/>
      <c r="GX137" s="11">
        <v>480000</v>
      </c>
      <c r="GY137" s="11"/>
      <c r="GZ137" s="11"/>
      <c r="HA137" s="11"/>
      <c r="HB137" s="11">
        <v>1122000</v>
      </c>
      <c r="HC137" s="11"/>
      <c r="HD137" s="11"/>
      <c r="HE137" s="11"/>
      <c r="HF137" s="11"/>
      <c r="HG137" s="11">
        <v>2846250</v>
      </c>
      <c r="HH137" s="11"/>
      <c r="HI137" s="11">
        <v>180000</v>
      </c>
      <c r="HJ137" s="11"/>
      <c r="HK137" s="11">
        <v>4345000</v>
      </c>
      <c r="HL137" s="11"/>
      <c r="HM137" s="11"/>
      <c r="HN137" s="11">
        <v>600000</v>
      </c>
      <c r="HO137" s="11">
        <v>547687.73</v>
      </c>
      <c r="HP137" s="11"/>
      <c r="HQ137" s="11"/>
      <c r="HR137" s="11"/>
      <c r="HS137" s="11"/>
      <c r="HT137" s="11"/>
      <c r="HU137" s="11">
        <v>1860000</v>
      </c>
      <c r="HV137" s="11"/>
      <c r="HW137" s="11">
        <v>2518608</v>
      </c>
      <c r="HX137" s="11">
        <v>2398439.91</v>
      </c>
      <c r="HY137" s="11"/>
      <c r="HZ137" s="11"/>
      <c r="IA137" s="11">
        <v>0</v>
      </c>
      <c r="IB137" s="11"/>
      <c r="IC137" s="11"/>
      <c r="ID137" s="11">
        <v>56300</v>
      </c>
      <c r="IE137" s="11">
        <v>930000</v>
      </c>
      <c r="IF137" s="11">
        <v>0</v>
      </c>
      <c r="IG137" s="11"/>
      <c r="IH137" s="11">
        <v>400000</v>
      </c>
      <c r="II137" s="11">
        <v>0</v>
      </c>
      <c r="IJ137" s="11">
        <v>2528182.2000000002</v>
      </c>
      <c r="IK137" s="11">
        <v>2993148</v>
      </c>
      <c r="IL137" s="11">
        <v>36575.29</v>
      </c>
      <c r="IM137" s="11"/>
      <c r="IN137" s="11">
        <v>47132.45</v>
      </c>
      <c r="IO137" s="11"/>
      <c r="IP137" s="11">
        <v>20058</v>
      </c>
      <c r="IQ137" s="11">
        <v>643580.30000000005</v>
      </c>
      <c r="IR137" s="11">
        <v>254039.21</v>
      </c>
      <c r="IS137" s="11">
        <v>945000</v>
      </c>
      <c r="IT137" s="11"/>
      <c r="IU137" s="11">
        <v>552000</v>
      </c>
      <c r="IV137" s="11"/>
      <c r="IW137" s="11">
        <v>691493.92</v>
      </c>
      <c r="IX137" s="11">
        <v>392000</v>
      </c>
      <c r="IY137" s="11"/>
      <c r="IZ137" s="11">
        <v>412189.17</v>
      </c>
      <c r="JA137" s="11">
        <v>365440</v>
      </c>
      <c r="JB137" s="11">
        <v>351000</v>
      </c>
      <c r="JC137" s="11">
        <v>0</v>
      </c>
      <c r="JD137" s="11"/>
      <c r="JE137" s="11">
        <v>255208</v>
      </c>
      <c r="JF137" s="11"/>
      <c r="JG137" s="11">
        <v>1271497.06</v>
      </c>
      <c r="JH137" s="11">
        <v>101812.88</v>
      </c>
      <c r="JI137" s="11"/>
      <c r="JJ137" s="11"/>
      <c r="JK137" s="11">
        <v>3235.47</v>
      </c>
      <c r="JL137" s="11">
        <v>1130250</v>
      </c>
      <c r="JM137" s="11">
        <v>1410000</v>
      </c>
      <c r="JN137" s="11"/>
      <c r="JO137" s="11">
        <v>0</v>
      </c>
      <c r="JP137" s="11">
        <v>610500</v>
      </c>
      <c r="JQ137" s="11">
        <v>5192500</v>
      </c>
      <c r="JR137" s="11"/>
      <c r="JS137" s="11">
        <v>2025000</v>
      </c>
      <c r="JT137" s="11"/>
      <c r="JU137" s="11"/>
      <c r="JV137" s="11"/>
      <c r="JW137" s="11">
        <v>0</v>
      </c>
      <c r="JX137" s="11"/>
      <c r="JY137" s="11">
        <v>2280000</v>
      </c>
      <c r="JZ137" s="11">
        <v>821349.3</v>
      </c>
      <c r="KA137" s="11">
        <v>1050000</v>
      </c>
      <c r="KB137" s="11"/>
      <c r="KC137" s="11">
        <v>45000</v>
      </c>
      <c r="KD137" s="11"/>
      <c r="KE137" s="11">
        <v>225000</v>
      </c>
      <c r="KF137" s="11"/>
      <c r="KG137" s="11">
        <v>0</v>
      </c>
      <c r="KH137" s="11">
        <v>445000</v>
      </c>
      <c r="KI137" s="11">
        <v>0</v>
      </c>
      <c r="KJ137" s="11"/>
      <c r="KK137" s="11">
        <v>2542500</v>
      </c>
      <c r="KL137" s="11"/>
      <c r="KM137" s="11"/>
      <c r="KN137" s="11">
        <v>1700000</v>
      </c>
      <c r="KO137" s="11">
        <v>3210000</v>
      </c>
      <c r="KP137" s="11">
        <v>0</v>
      </c>
      <c r="KQ137" s="11">
        <v>1082900</v>
      </c>
      <c r="KR137" s="11">
        <v>88790</v>
      </c>
      <c r="KS137" s="11"/>
      <c r="KT137" s="11">
        <v>825000</v>
      </c>
      <c r="KU137" s="11"/>
      <c r="KV137" s="11">
        <v>1762220</v>
      </c>
      <c r="KW137" s="11">
        <v>592500</v>
      </c>
      <c r="KX137" s="11">
        <v>2332894.5299999998</v>
      </c>
      <c r="KY137" s="11">
        <v>628367.5</v>
      </c>
      <c r="KZ137" s="11">
        <v>425000</v>
      </c>
      <c r="LA137" s="11">
        <v>452213.13</v>
      </c>
      <c r="LB137" s="11"/>
      <c r="LC137" s="11"/>
      <c r="LD137" s="11"/>
      <c r="LE137" s="11">
        <v>2161800</v>
      </c>
      <c r="LF137" s="11"/>
      <c r="LG137" s="11"/>
      <c r="LH137" s="11">
        <v>0</v>
      </c>
      <c r="LI137" s="11"/>
      <c r="LJ137" s="11">
        <v>2017500</v>
      </c>
      <c r="LK137" s="11">
        <v>980000</v>
      </c>
      <c r="LL137" s="11">
        <v>58326</v>
      </c>
      <c r="LM137" s="11">
        <v>720000</v>
      </c>
      <c r="LN137" s="11"/>
      <c r="LO137" s="11">
        <v>1417500</v>
      </c>
      <c r="LP137" s="11">
        <v>-154500</v>
      </c>
      <c r="LQ137" s="11">
        <v>592020</v>
      </c>
      <c r="LR137" s="11">
        <v>690000</v>
      </c>
      <c r="LS137" s="11"/>
      <c r="LT137" s="11"/>
      <c r="LU137" s="11">
        <v>0</v>
      </c>
      <c r="LV137" s="11">
        <v>2981950.03</v>
      </c>
      <c r="LW137" s="11">
        <v>1728000</v>
      </c>
      <c r="LX137" s="11"/>
      <c r="LY137" s="11">
        <v>9176036</v>
      </c>
      <c r="LZ137" s="11">
        <v>324434.71999999997</v>
      </c>
      <c r="MA137" s="11"/>
      <c r="MB137" s="11">
        <v>1367325.22</v>
      </c>
      <c r="MC137" s="11">
        <v>694341</v>
      </c>
      <c r="MD137" s="11">
        <v>939454</v>
      </c>
      <c r="ME137" s="11">
        <v>2517167</v>
      </c>
      <c r="MF137" s="11">
        <v>1114256.6000000001</v>
      </c>
      <c r="MG137" s="11"/>
      <c r="MH137" s="11">
        <v>4590000</v>
      </c>
      <c r="MI137" s="11">
        <v>375000</v>
      </c>
      <c r="MJ137" s="11"/>
      <c r="MK137" s="11"/>
      <c r="ML137" s="11">
        <v>0</v>
      </c>
      <c r="MM137" s="11">
        <v>315000</v>
      </c>
      <c r="MN137" s="11"/>
      <c r="MO137" s="11"/>
      <c r="MP137" s="11">
        <v>1220000</v>
      </c>
      <c r="MQ137" s="11"/>
      <c r="MR137" s="11">
        <v>577500</v>
      </c>
      <c r="MS137" s="11"/>
      <c r="MT137" s="11">
        <v>1665000</v>
      </c>
      <c r="MU137" s="11">
        <v>2970000</v>
      </c>
      <c r="MV137" s="11">
        <v>1275000</v>
      </c>
      <c r="MW137" s="11">
        <v>0</v>
      </c>
      <c r="MX137" s="11"/>
      <c r="MY137" s="11">
        <v>2150000</v>
      </c>
      <c r="MZ137" s="11">
        <v>1825500</v>
      </c>
      <c r="NA137" s="11">
        <v>1557500</v>
      </c>
      <c r="NB137" s="11">
        <v>1104968</v>
      </c>
      <c r="NC137" s="11">
        <v>150000</v>
      </c>
      <c r="ND137" s="11">
        <v>780000</v>
      </c>
      <c r="NE137" s="11"/>
      <c r="NF137" s="11">
        <v>1571309.5</v>
      </c>
      <c r="NG137" s="11">
        <v>2240934</v>
      </c>
      <c r="NH137" s="11"/>
      <c r="NI137" s="11">
        <v>1335690</v>
      </c>
      <c r="NJ137" s="11">
        <v>1650000</v>
      </c>
      <c r="NK137" s="11">
        <v>691911</v>
      </c>
      <c r="NL137" s="11"/>
      <c r="NM137" s="11"/>
      <c r="NN137" s="11"/>
      <c r="NO137" s="11"/>
      <c r="NP137" s="11">
        <v>200000</v>
      </c>
      <c r="NQ137" s="11">
        <v>119445.5</v>
      </c>
      <c r="NR137" s="11">
        <v>429000</v>
      </c>
      <c r="NS137" s="11">
        <v>0</v>
      </c>
      <c r="NT137" s="11">
        <v>904500</v>
      </c>
      <c r="NU137" s="11">
        <v>399000</v>
      </c>
      <c r="NV137" s="11">
        <v>330000</v>
      </c>
      <c r="NW137" s="11">
        <v>0</v>
      </c>
      <c r="NX137" s="11">
        <v>1190064</v>
      </c>
      <c r="NY137" s="11">
        <v>3375000</v>
      </c>
      <c r="NZ137" s="11"/>
      <c r="OA137" s="11">
        <v>772500</v>
      </c>
      <c r="OB137" s="11"/>
      <c r="OC137" s="11">
        <v>968643.55</v>
      </c>
      <c r="OD137" s="11">
        <v>375000</v>
      </c>
      <c r="OE137" s="11">
        <v>2630000</v>
      </c>
      <c r="OF137" s="11"/>
      <c r="OG137" s="11">
        <v>1705000</v>
      </c>
      <c r="OH137" s="11">
        <v>3450000</v>
      </c>
      <c r="OI137" s="11">
        <v>921900</v>
      </c>
      <c r="OJ137" s="11">
        <v>0</v>
      </c>
      <c r="OK137" s="11">
        <v>1200000</v>
      </c>
      <c r="OL137" s="11">
        <v>918960</v>
      </c>
      <c r="OM137" s="11"/>
      <c r="ON137" s="11">
        <v>25283752.469999999</v>
      </c>
      <c r="OO137" s="11"/>
      <c r="OP137" s="11">
        <v>692508</v>
      </c>
      <c r="OQ137" s="11">
        <v>1680000</v>
      </c>
      <c r="OR137" s="11"/>
      <c r="OS137" s="11">
        <v>1129216</v>
      </c>
      <c r="OT137" s="11">
        <v>9614747</v>
      </c>
      <c r="OU137" s="11">
        <v>4284127.7699999996</v>
      </c>
      <c r="OV137" s="11">
        <v>6837927.9000000004</v>
      </c>
      <c r="OW137" s="11">
        <v>600944.75</v>
      </c>
      <c r="OX137" s="11">
        <v>0</v>
      </c>
      <c r="OY137" s="11">
        <v>4042882.34</v>
      </c>
      <c r="OZ137" s="11">
        <v>1267871.3999999999</v>
      </c>
      <c r="PA137" s="11">
        <v>1264893</v>
      </c>
      <c r="PB137" s="11">
        <v>1502951</v>
      </c>
      <c r="PC137" s="11">
        <v>4158000</v>
      </c>
      <c r="PD137" s="11"/>
      <c r="PE137" s="11"/>
      <c r="PF137" s="11"/>
      <c r="PG137" s="11"/>
      <c r="PH137" s="11">
        <v>612000</v>
      </c>
      <c r="PI137" s="11">
        <v>198000</v>
      </c>
      <c r="PJ137" s="11">
        <v>396000</v>
      </c>
      <c r="PK137" s="11"/>
      <c r="PL137" s="11">
        <v>126000</v>
      </c>
      <c r="PM137" s="11"/>
      <c r="PN137" s="11"/>
      <c r="PO137" s="11">
        <v>396322</v>
      </c>
      <c r="PP137" s="11">
        <v>0</v>
      </c>
      <c r="PQ137" s="11"/>
      <c r="PR137" s="11">
        <v>80000</v>
      </c>
      <c r="PS137" s="11">
        <v>512715</v>
      </c>
      <c r="PT137" s="11">
        <v>29623.49</v>
      </c>
      <c r="PU137" s="11">
        <v>1691834.81</v>
      </c>
      <c r="PV137" s="11"/>
      <c r="PW137" s="11"/>
      <c r="PX137" s="11">
        <v>3915000</v>
      </c>
      <c r="PY137" s="11">
        <v>3355000</v>
      </c>
      <c r="PZ137" s="11">
        <v>1539000</v>
      </c>
      <c r="QA137" s="11">
        <v>4272000</v>
      </c>
      <c r="QB137" s="11"/>
      <c r="QC137" s="11">
        <v>1023459.5</v>
      </c>
      <c r="QD137" s="11"/>
      <c r="QE137" s="11">
        <v>1549500</v>
      </c>
      <c r="QF137" s="11"/>
      <c r="QG137" s="11">
        <v>597000</v>
      </c>
      <c r="QH137" s="11"/>
      <c r="QI137" s="11">
        <v>0</v>
      </c>
      <c r="QJ137" s="11">
        <v>1306500</v>
      </c>
      <c r="QK137" s="11">
        <v>1296000</v>
      </c>
      <c r="QL137" s="11"/>
      <c r="QM137" s="11">
        <v>706500</v>
      </c>
      <c r="QN137" s="11">
        <v>95500</v>
      </c>
      <c r="QO137" s="11">
        <v>1476000</v>
      </c>
      <c r="QP137" s="11">
        <v>0</v>
      </c>
      <c r="QQ137" s="11">
        <v>1182000</v>
      </c>
      <c r="QR137" s="11">
        <v>867000</v>
      </c>
      <c r="QS137" s="11">
        <v>475500</v>
      </c>
      <c r="QT137" s="11">
        <v>711000</v>
      </c>
      <c r="QU137" s="11">
        <v>2856000</v>
      </c>
      <c r="QV137" s="11">
        <v>864480</v>
      </c>
      <c r="QW137" s="11">
        <v>800000</v>
      </c>
      <c r="QX137" s="11">
        <v>1470000</v>
      </c>
      <c r="QY137" s="11">
        <v>0</v>
      </c>
      <c r="QZ137" s="11">
        <v>1785000</v>
      </c>
      <c r="RA137" s="11">
        <v>864300</v>
      </c>
      <c r="RB137" s="11">
        <v>2800000</v>
      </c>
      <c r="RC137" s="11">
        <v>1890000</v>
      </c>
      <c r="RD137" s="11">
        <v>2640681.63</v>
      </c>
      <c r="RE137" s="11">
        <v>803680.2</v>
      </c>
      <c r="RF137" s="11">
        <v>840000</v>
      </c>
      <c r="RG137" s="11">
        <v>667800</v>
      </c>
      <c r="RH137" s="11">
        <v>480000</v>
      </c>
      <c r="RI137" s="11">
        <v>0</v>
      </c>
      <c r="RJ137" s="11"/>
      <c r="RK137" s="11">
        <v>2050000</v>
      </c>
      <c r="RL137" s="11"/>
      <c r="RM137" s="11">
        <v>0</v>
      </c>
      <c r="RN137" s="11"/>
      <c r="RO137" s="11">
        <v>1515000</v>
      </c>
      <c r="RP137" s="11">
        <v>975000</v>
      </c>
      <c r="RQ137" s="11">
        <v>4050000</v>
      </c>
      <c r="RR137" s="11">
        <v>0</v>
      </c>
      <c r="RS137" s="11">
        <v>780000</v>
      </c>
      <c r="RT137" s="11">
        <v>955500</v>
      </c>
      <c r="RU137" s="11">
        <v>1072500</v>
      </c>
      <c r="RV137" s="11">
        <v>344250</v>
      </c>
      <c r="RW137" s="11">
        <v>1080000</v>
      </c>
      <c r="RX137" s="11">
        <v>891000</v>
      </c>
      <c r="RY137" s="11">
        <v>810000</v>
      </c>
      <c r="RZ137" s="11">
        <v>1220640</v>
      </c>
      <c r="SA137" s="11">
        <v>762500</v>
      </c>
      <c r="SB137" s="11">
        <v>3720085.01</v>
      </c>
      <c r="SC137" s="11"/>
      <c r="SD137" s="11">
        <v>2072500</v>
      </c>
      <c r="SE137" s="11"/>
      <c r="SF137" s="11"/>
      <c r="SG137" s="11">
        <v>0</v>
      </c>
      <c r="SH137" s="11">
        <v>1530000</v>
      </c>
      <c r="SI137" s="11"/>
      <c r="SJ137" s="11">
        <v>1690000</v>
      </c>
      <c r="SK137" s="11">
        <v>2360000</v>
      </c>
      <c r="SL137" s="11">
        <v>1830000</v>
      </c>
      <c r="SM137" s="11"/>
      <c r="SN137" s="11">
        <v>0</v>
      </c>
      <c r="SO137" s="11"/>
      <c r="SP137" s="11"/>
      <c r="SQ137" s="11">
        <v>1121400</v>
      </c>
      <c r="SR137" s="11">
        <v>570000</v>
      </c>
      <c r="SS137" s="11"/>
      <c r="ST137" s="11"/>
      <c r="SU137" s="11">
        <v>327500</v>
      </c>
      <c r="SV137" s="11">
        <v>1199973.68</v>
      </c>
      <c r="SW137" s="11">
        <v>104040</v>
      </c>
      <c r="SX137" s="11">
        <v>99654.399999999994</v>
      </c>
      <c r="SY137" s="11">
        <v>3111001.3</v>
      </c>
      <c r="SZ137" s="11">
        <v>176380</v>
      </c>
      <c r="TA137" s="11">
        <v>1177600</v>
      </c>
      <c r="TB137" s="11"/>
      <c r="TC137" s="11">
        <v>0</v>
      </c>
      <c r="TD137" s="11">
        <v>898575</v>
      </c>
      <c r="TE137" s="11">
        <v>1444132</v>
      </c>
      <c r="TF137" s="11">
        <v>1302963</v>
      </c>
      <c r="TG137" s="11">
        <v>570830</v>
      </c>
      <c r="TH137" s="11"/>
      <c r="TI137" s="11">
        <v>848706.75</v>
      </c>
      <c r="TJ137" s="11">
        <v>0</v>
      </c>
      <c r="TK137" s="11">
        <v>579698</v>
      </c>
      <c r="TL137" s="11">
        <v>2781358.5</v>
      </c>
      <c r="TM137" s="11">
        <v>2527834.7599999998</v>
      </c>
      <c r="TN137" s="11">
        <v>2535616.25</v>
      </c>
      <c r="TO137" s="11">
        <v>4911282.5999999996</v>
      </c>
      <c r="TP137" s="11">
        <v>0</v>
      </c>
      <c r="TQ137" s="11">
        <v>4553653</v>
      </c>
      <c r="TR137" s="11"/>
      <c r="TS137" s="11">
        <v>2635050.2999999998</v>
      </c>
      <c r="TT137" s="11">
        <v>294115</v>
      </c>
      <c r="TU137" s="11"/>
      <c r="TV137" s="11"/>
      <c r="TW137" s="11">
        <v>0</v>
      </c>
      <c r="TX137" s="11">
        <v>1260783</v>
      </c>
      <c r="TY137" s="11"/>
      <c r="TZ137" s="11"/>
      <c r="UA137" s="11">
        <v>1133188</v>
      </c>
      <c r="UB137" s="11"/>
      <c r="UC137" s="11"/>
      <c r="UD137" s="11">
        <v>534000</v>
      </c>
      <c r="UE137" s="11">
        <v>805840</v>
      </c>
      <c r="UF137" s="11"/>
      <c r="UG137" s="11">
        <v>552160</v>
      </c>
      <c r="UH137" s="11">
        <v>0</v>
      </c>
      <c r="UI137" s="11"/>
      <c r="UJ137" s="11">
        <v>1113522</v>
      </c>
      <c r="UK137" s="11">
        <v>445250</v>
      </c>
      <c r="UL137" s="11">
        <v>1254661</v>
      </c>
      <c r="UM137" s="11">
        <v>2547918</v>
      </c>
      <c r="UN137" s="11">
        <v>1149655</v>
      </c>
      <c r="UO137" s="11">
        <v>1155669.8500000001</v>
      </c>
      <c r="UP137" s="11">
        <v>907337.12</v>
      </c>
      <c r="UQ137" s="11"/>
      <c r="UR137" s="11"/>
      <c r="US137" s="11"/>
      <c r="UT137" s="11"/>
      <c r="UU137" s="11">
        <v>0</v>
      </c>
      <c r="UV137" s="11"/>
      <c r="UW137" s="11">
        <v>1635720</v>
      </c>
      <c r="UX137" s="11"/>
      <c r="UY137" s="11"/>
      <c r="UZ137" s="11"/>
      <c r="VA137" s="11">
        <v>1557970</v>
      </c>
      <c r="VB137" s="11"/>
      <c r="VC137" s="11">
        <v>2821537</v>
      </c>
      <c r="VD137" s="11">
        <v>1240008</v>
      </c>
      <c r="VE137" s="11"/>
      <c r="VF137" s="11"/>
      <c r="VG137" s="11"/>
      <c r="VH137" s="11"/>
      <c r="VI137" s="11">
        <v>442050.79</v>
      </c>
      <c r="VJ137" s="11"/>
      <c r="VK137" s="11">
        <v>261336</v>
      </c>
      <c r="VL137" s="11">
        <v>667456.5</v>
      </c>
      <c r="VM137" s="11">
        <v>4037454</v>
      </c>
      <c r="VN137" s="11"/>
      <c r="VO137" s="11">
        <v>1446540</v>
      </c>
      <c r="VP137" s="11"/>
      <c r="VQ137" s="11">
        <v>2799668.6</v>
      </c>
      <c r="VR137" s="11">
        <v>2351638</v>
      </c>
      <c r="VS137" s="11">
        <v>2985791.22</v>
      </c>
      <c r="VT137" s="11">
        <v>2707422.3</v>
      </c>
      <c r="VU137" s="11"/>
      <c r="VV137" s="11">
        <v>4509723</v>
      </c>
      <c r="VW137" s="11">
        <v>830780</v>
      </c>
      <c r="VX137" s="11">
        <v>3944042</v>
      </c>
      <c r="VY137" s="11">
        <v>389825.1</v>
      </c>
      <c r="VZ137" s="11">
        <v>1727685.8</v>
      </c>
      <c r="WA137" s="11">
        <v>158758</v>
      </c>
      <c r="WB137" s="11"/>
      <c r="WC137" s="11"/>
      <c r="WD137" s="11">
        <v>2236369.59</v>
      </c>
      <c r="WE137" s="11">
        <v>4959527.92</v>
      </c>
      <c r="WF137" s="11"/>
      <c r="WG137" s="11">
        <v>1719818</v>
      </c>
      <c r="WH137" s="11"/>
      <c r="WI137" s="11">
        <v>5514950</v>
      </c>
      <c r="WJ137" s="11">
        <v>2497150.75</v>
      </c>
      <c r="WK137" s="11">
        <v>3056210</v>
      </c>
      <c r="WL137" s="11">
        <v>1135840.6599999999</v>
      </c>
      <c r="WM137" s="11">
        <v>2573827.4900000002</v>
      </c>
      <c r="WN137" s="11">
        <v>1330521</v>
      </c>
      <c r="WO137" s="11">
        <v>3388828.87</v>
      </c>
      <c r="WP137" s="11"/>
      <c r="WQ137" s="11">
        <v>2614719</v>
      </c>
      <c r="WR137" s="11"/>
      <c r="WS137" s="11">
        <v>0</v>
      </c>
      <c r="WT137" s="11">
        <v>1959094.25</v>
      </c>
      <c r="WU137" s="11">
        <v>0</v>
      </c>
      <c r="WV137" s="11">
        <v>5353749.38</v>
      </c>
      <c r="WW137" s="11">
        <v>4588743.84</v>
      </c>
      <c r="WX137" s="11">
        <v>897194.74</v>
      </c>
      <c r="WY137" s="11">
        <v>0</v>
      </c>
      <c r="WZ137" s="11">
        <v>3478462.73</v>
      </c>
      <c r="XA137" s="11"/>
      <c r="XB137" s="11"/>
      <c r="XC137" s="11">
        <v>1899733.59</v>
      </c>
      <c r="XD137" s="11">
        <v>4861274.2300000004</v>
      </c>
      <c r="XE137" s="11">
        <v>198029</v>
      </c>
      <c r="XF137" s="11"/>
      <c r="XG137" s="11"/>
      <c r="XH137" s="11">
        <v>951390</v>
      </c>
      <c r="XI137" s="11"/>
      <c r="XJ137" s="11"/>
      <c r="XK137" s="11">
        <v>0</v>
      </c>
      <c r="XL137" s="11">
        <v>2769900</v>
      </c>
      <c r="XM137" s="11">
        <v>3530338.75</v>
      </c>
      <c r="XN137" s="11"/>
      <c r="XO137" s="11">
        <v>1540212</v>
      </c>
      <c r="XP137" s="11">
        <v>0</v>
      </c>
      <c r="XQ137" s="11">
        <v>1096780</v>
      </c>
      <c r="XR137" s="11">
        <v>0</v>
      </c>
      <c r="XS137" s="11">
        <v>925757.16</v>
      </c>
      <c r="XT137" s="11">
        <v>0</v>
      </c>
      <c r="XU137" s="11">
        <v>309190</v>
      </c>
      <c r="XV137" s="11"/>
      <c r="XW137" s="11">
        <v>0</v>
      </c>
      <c r="XX137" s="11">
        <v>0</v>
      </c>
      <c r="XY137" s="11">
        <v>407986</v>
      </c>
      <c r="XZ137" s="11">
        <v>0</v>
      </c>
      <c r="YA137" s="11">
        <v>0</v>
      </c>
      <c r="YB137" s="11">
        <v>661880.64</v>
      </c>
      <c r="YC137" s="11"/>
      <c r="YD137" s="11">
        <v>704310</v>
      </c>
      <c r="YE137" s="11"/>
      <c r="YF137" s="11">
        <v>3170000</v>
      </c>
      <c r="YG137" s="11">
        <v>2948448</v>
      </c>
      <c r="YH137" s="11">
        <v>5379522</v>
      </c>
      <c r="YI137" s="11">
        <v>74486.83</v>
      </c>
      <c r="YJ137" s="11">
        <v>4640076.24</v>
      </c>
      <c r="YK137" s="11">
        <v>968140</v>
      </c>
      <c r="YL137" s="11">
        <v>3745752</v>
      </c>
      <c r="YM137" s="11">
        <v>2931400</v>
      </c>
      <c r="YN137" s="11">
        <v>2100000</v>
      </c>
      <c r="YO137" s="11">
        <v>2251978.9</v>
      </c>
      <c r="YP137" s="11"/>
      <c r="YQ137" s="11"/>
      <c r="YR137" s="11">
        <v>807314</v>
      </c>
      <c r="YS137" s="11">
        <v>965856</v>
      </c>
      <c r="YT137" s="11">
        <v>9812</v>
      </c>
      <c r="YU137" s="11">
        <v>1896922</v>
      </c>
      <c r="YV137" s="11">
        <v>792236.2</v>
      </c>
      <c r="YW137" s="11">
        <v>0</v>
      </c>
      <c r="YX137" s="11">
        <v>0</v>
      </c>
      <c r="YY137" s="11">
        <v>2215000</v>
      </c>
      <c r="YZ137" s="11">
        <v>378000</v>
      </c>
      <c r="ZA137" s="11">
        <v>1306480</v>
      </c>
      <c r="ZB137" s="11">
        <v>1521000</v>
      </c>
      <c r="ZC137" s="11"/>
      <c r="ZD137" s="11"/>
      <c r="ZE137" s="11"/>
      <c r="ZF137" s="11"/>
      <c r="ZG137" s="11"/>
      <c r="ZH137" s="11"/>
      <c r="ZI137" s="11"/>
      <c r="ZJ137" s="11">
        <v>1524351</v>
      </c>
      <c r="ZK137" s="11"/>
      <c r="ZL137" s="11">
        <v>0</v>
      </c>
      <c r="ZM137" s="11">
        <v>7249157.4400000004</v>
      </c>
      <c r="ZN137" s="11">
        <v>657105.75</v>
      </c>
      <c r="ZO137" s="11">
        <v>0.1</v>
      </c>
      <c r="ZP137" s="11">
        <v>5356245.96</v>
      </c>
      <c r="ZQ137" s="11">
        <v>2846580.51</v>
      </c>
      <c r="ZR137" s="11">
        <v>1087323.94</v>
      </c>
      <c r="ZS137" s="11">
        <v>1338922.51</v>
      </c>
      <c r="ZT137" s="11">
        <v>11422160.41</v>
      </c>
      <c r="ZU137" s="11">
        <v>4922595.91</v>
      </c>
      <c r="ZV137" s="11">
        <v>1195679.4099999999</v>
      </c>
      <c r="ZW137" s="11">
        <v>4256482.74</v>
      </c>
      <c r="ZX137" s="11">
        <v>2960189.8</v>
      </c>
      <c r="ZY137" s="11">
        <v>1287490.67</v>
      </c>
      <c r="ZZ137" s="11">
        <v>2350635.73</v>
      </c>
      <c r="AAA137" s="11">
        <v>36193.25</v>
      </c>
      <c r="AAB137" s="11">
        <v>1946769.32</v>
      </c>
      <c r="AAC137" s="11">
        <v>1448461.77</v>
      </c>
      <c r="AAD137" s="11">
        <v>1722554.58</v>
      </c>
      <c r="AAE137" s="11">
        <v>2590566.9500000002</v>
      </c>
      <c r="AAF137" s="11">
        <v>3295649.11</v>
      </c>
      <c r="AAG137" s="11">
        <v>899250.44</v>
      </c>
      <c r="AAH137" s="11">
        <v>659946.47</v>
      </c>
      <c r="AAI137" s="11">
        <v>5700000</v>
      </c>
      <c r="AAJ137" s="11">
        <v>2171743.2000000002</v>
      </c>
      <c r="AAK137" s="11">
        <v>1142162.93</v>
      </c>
      <c r="AAL137" s="11">
        <v>868029</v>
      </c>
      <c r="AAM137" s="11">
        <v>1023131</v>
      </c>
      <c r="AAN137" s="11">
        <v>1470145</v>
      </c>
      <c r="AAO137" s="11">
        <v>978150.6</v>
      </c>
      <c r="AAP137" s="11"/>
      <c r="AAQ137" s="11">
        <v>5550775.4299999997</v>
      </c>
      <c r="AAR137" s="11">
        <v>591534</v>
      </c>
      <c r="AAS137" s="11">
        <v>0.01</v>
      </c>
      <c r="AAT137" s="11">
        <v>1573259.8</v>
      </c>
      <c r="AAU137" s="11"/>
      <c r="AAV137" s="11">
        <v>0</v>
      </c>
      <c r="AAW137" s="11">
        <v>4063651.8</v>
      </c>
      <c r="AAX137" s="11">
        <v>2446471</v>
      </c>
      <c r="AAY137" s="11">
        <v>0</v>
      </c>
      <c r="AAZ137" s="11">
        <v>3538668</v>
      </c>
      <c r="ABA137" s="11">
        <v>3539924</v>
      </c>
      <c r="ABB137" s="11">
        <v>0</v>
      </c>
      <c r="ABC137" s="11"/>
      <c r="ABD137" s="11">
        <v>1739333.79</v>
      </c>
      <c r="ABE137" s="11">
        <v>1633374.65</v>
      </c>
      <c r="ABF137" s="11">
        <v>0</v>
      </c>
      <c r="ABG137" s="11">
        <v>1557462</v>
      </c>
      <c r="ABH137" s="11">
        <v>1762094</v>
      </c>
      <c r="ABI137" s="11">
        <v>1633372.3</v>
      </c>
      <c r="ABJ137" s="11">
        <v>7491042.1100000003</v>
      </c>
      <c r="ABK137" s="11">
        <v>0</v>
      </c>
      <c r="ABL137" s="11">
        <v>234475</v>
      </c>
      <c r="ABM137" s="11">
        <v>1428117</v>
      </c>
      <c r="ABN137" s="11">
        <v>1457410.15</v>
      </c>
      <c r="ABO137" s="11">
        <v>1417193.64</v>
      </c>
      <c r="ABP137" s="11"/>
      <c r="ABQ137" s="11"/>
      <c r="ABR137" s="11"/>
      <c r="ABS137" s="11"/>
      <c r="ABT137" s="11">
        <v>643245.88</v>
      </c>
      <c r="ABU137" s="11"/>
      <c r="ABV137" s="11"/>
      <c r="ABW137" s="11"/>
      <c r="ABX137" s="11"/>
      <c r="ABY137" s="11">
        <v>2940000</v>
      </c>
      <c r="ABZ137" s="11">
        <v>110000</v>
      </c>
      <c r="ACA137" s="11">
        <v>51000</v>
      </c>
      <c r="ACB137" s="11"/>
      <c r="ACC137" s="11">
        <v>382500</v>
      </c>
      <c r="ACD137" s="11">
        <v>60000</v>
      </c>
      <c r="ACE137" s="11"/>
      <c r="ACF137" s="11"/>
      <c r="ACG137" s="11">
        <v>322500</v>
      </c>
      <c r="ACH137" s="11"/>
      <c r="ACI137" s="11">
        <v>2452500</v>
      </c>
      <c r="ACJ137" s="11">
        <v>1930000</v>
      </c>
      <c r="ACK137" s="11"/>
      <c r="ACL137" s="11">
        <v>640000</v>
      </c>
      <c r="ACM137" s="11">
        <v>841643.15</v>
      </c>
      <c r="ACN137" s="11">
        <v>558268</v>
      </c>
      <c r="ACO137" s="11"/>
      <c r="ACP137" s="11"/>
      <c r="ACQ137" s="11"/>
      <c r="ACR137" s="11"/>
      <c r="ACS137" s="11">
        <v>1065000</v>
      </c>
      <c r="ACT137" s="11">
        <v>1947000</v>
      </c>
      <c r="ACU137" s="11">
        <v>1691250</v>
      </c>
      <c r="ACV137" s="11">
        <v>64440</v>
      </c>
      <c r="ACW137" s="11"/>
      <c r="ACX137" s="11"/>
      <c r="ACY137" s="11">
        <v>1095000</v>
      </c>
      <c r="ACZ137" s="11">
        <v>461151.75</v>
      </c>
      <c r="ADA137" s="11">
        <v>0</v>
      </c>
      <c r="ADB137" s="11"/>
      <c r="ADC137" s="11">
        <v>0</v>
      </c>
      <c r="ADD137" s="11">
        <v>1125000</v>
      </c>
      <c r="ADE137" s="11"/>
      <c r="ADF137" s="11">
        <v>1012000</v>
      </c>
      <c r="ADG137" s="11">
        <v>832500</v>
      </c>
      <c r="ADH137" s="11"/>
      <c r="ADI137" s="11"/>
      <c r="ADJ137" s="11">
        <v>595416.66</v>
      </c>
      <c r="ADK137" s="11">
        <v>1845000</v>
      </c>
      <c r="ADL137" s="11"/>
      <c r="ADM137" s="11">
        <v>465000</v>
      </c>
      <c r="ADN137" s="11"/>
      <c r="ADO137" s="11"/>
      <c r="ADP137" s="11"/>
      <c r="ADQ137" s="11"/>
      <c r="ADR137" s="11"/>
      <c r="ADS137" s="11"/>
      <c r="ADT137" s="11"/>
      <c r="ADU137" s="11">
        <v>200000</v>
      </c>
      <c r="ADV137" s="11">
        <v>85515</v>
      </c>
      <c r="ADW137" s="11"/>
      <c r="ADX137" s="11"/>
      <c r="ADY137" s="11"/>
      <c r="ADZ137" s="11"/>
      <c r="AEA137" s="11">
        <v>3040000</v>
      </c>
      <c r="AEB137" s="11"/>
      <c r="AEC137" s="11">
        <v>165000</v>
      </c>
      <c r="AED137" s="11"/>
      <c r="AEE137" s="11">
        <v>623370.27</v>
      </c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>
        <v>0</v>
      </c>
      <c r="AEV137" s="11">
        <v>249000</v>
      </c>
      <c r="AEW137" s="11"/>
      <c r="AEX137" s="11"/>
      <c r="AEY137" s="11">
        <v>4043770</v>
      </c>
      <c r="AEZ137" s="11">
        <v>0</v>
      </c>
      <c r="AFA137" s="11"/>
      <c r="AFB137" s="11">
        <v>0</v>
      </c>
      <c r="AFC137" s="11">
        <v>726000</v>
      </c>
      <c r="AFD137" s="11"/>
      <c r="AFE137" s="11"/>
      <c r="AFF137" s="11"/>
      <c r="AFG137" s="11"/>
      <c r="AFH137" s="11"/>
      <c r="AFI137" s="11"/>
      <c r="AFJ137" s="11"/>
      <c r="AFK137" s="11"/>
      <c r="AFL137" s="11">
        <v>3003000</v>
      </c>
      <c r="AFM137" s="11"/>
      <c r="AFN137" s="11"/>
      <c r="AFO137" s="11"/>
      <c r="AFP137" s="11"/>
      <c r="AFQ137" s="11">
        <v>2355000</v>
      </c>
      <c r="AFR137" s="11"/>
      <c r="AFS137" s="11"/>
      <c r="AFT137" s="11"/>
      <c r="AFU137" s="11">
        <v>544260</v>
      </c>
      <c r="AFV137" s="11">
        <v>199500</v>
      </c>
      <c r="AFW137" s="11">
        <v>1656000</v>
      </c>
      <c r="AFX137" s="11">
        <v>1447500</v>
      </c>
      <c r="AFY137" s="11"/>
      <c r="AFZ137" s="11">
        <v>780000</v>
      </c>
      <c r="AGA137" s="11">
        <v>938250</v>
      </c>
      <c r="AGB137" s="11">
        <v>780000</v>
      </c>
      <c r="AGC137" s="11">
        <v>2448000</v>
      </c>
      <c r="AGD137" s="11">
        <v>459000</v>
      </c>
      <c r="AGE137" s="11">
        <v>0</v>
      </c>
      <c r="AGF137" s="11">
        <v>1122000</v>
      </c>
      <c r="AGG137" s="11">
        <v>1080000</v>
      </c>
      <c r="AGH137" s="11">
        <v>1320000</v>
      </c>
      <c r="AGI137" s="11">
        <v>306000</v>
      </c>
      <c r="AGJ137" s="11"/>
      <c r="AGK137" s="11"/>
      <c r="AGL137" s="11">
        <v>324000</v>
      </c>
      <c r="AGM137" s="11">
        <v>99210</v>
      </c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>
        <v>4802800</v>
      </c>
      <c r="AGX137" s="11"/>
      <c r="AGY137" s="11"/>
      <c r="AGZ137" s="11">
        <v>2388117.59</v>
      </c>
      <c r="AHA137" s="11">
        <v>900000</v>
      </c>
      <c r="AHB137" s="11">
        <v>1185000</v>
      </c>
      <c r="AHC137" s="11"/>
      <c r="AHD137" s="11"/>
      <c r="AHE137" s="11"/>
      <c r="AHF137" s="11">
        <v>1324218.94</v>
      </c>
      <c r="AHG137" s="11"/>
      <c r="AHH137" s="11"/>
      <c r="AHI137" s="11">
        <v>813336</v>
      </c>
      <c r="AHJ137" s="11">
        <v>0</v>
      </c>
      <c r="AHK137" s="11"/>
      <c r="AHL137" s="11">
        <v>322500</v>
      </c>
      <c r="AHM137" s="11">
        <v>3472913.77</v>
      </c>
      <c r="AHN137" s="11"/>
      <c r="AHO137" s="11">
        <v>3295049.55</v>
      </c>
      <c r="AHP137" s="11">
        <v>1034300</v>
      </c>
      <c r="AHQ137" s="11">
        <v>961718.7</v>
      </c>
      <c r="AHR137" s="11">
        <v>1373680</v>
      </c>
      <c r="AHS137" s="11"/>
      <c r="AHT137" s="11">
        <v>864961559.30999994</v>
      </c>
      <c r="AHV137" s="269" t="s">
        <v>6280</v>
      </c>
      <c r="AHW137" s="269" t="s">
        <v>6214</v>
      </c>
      <c r="AHX137" s="269" t="s">
        <v>6215</v>
      </c>
    </row>
    <row r="138" spans="1:908" x14ac:dyDescent="0.7">
      <c r="A138" s="6" t="s">
        <v>6280</v>
      </c>
      <c r="B138" s="6" t="s">
        <v>6214</v>
      </c>
      <c r="C138" s="6" t="s">
        <v>6215</v>
      </c>
      <c r="D138" s="11">
        <v>0</v>
      </c>
      <c r="E138" s="11">
        <v>350</v>
      </c>
      <c r="F138" s="11"/>
      <c r="G138" s="11"/>
      <c r="H138" s="11">
        <v>3682336.51</v>
      </c>
      <c r="I138" s="11"/>
      <c r="J138" s="11"/>
      <c r="K138" s="11"/>
      <c r="L138" s="11">
        <v>1021793.31</v>
      </c>
      <c r="M138" s="11">
        <v>2456341.69</v>
      </c>
      <c r="N138" s="11"/>
      <c r="O138" s="11">
        <v>1971.47</v>
      </c>
      <c r="P138" s="11"/>
      <c r="Q138" s="11"/>
      <c r="R138" s="11"/>
      <c r="S138" s="11"/>
      <c r="T138" s="11"/>
      <c r="U138" s="11">
        <v>593592.96</v>
      </c>
      <c r="V138" s="11"/>
      <c r="W138" s="11">
        <v>771064</v>
      </c>
      <c r="X138" s="11">
        <v>944300</v>
      </c>
      <c r="Y138" s="11"/>
      <c r="Z138" s="11"/>
      <c r="AA138" s="11">
        <v>520800</v>
      </c>
      <c r="AB138" s="11"/>
      <c r="AC138" s="11">
        <v>464825</v>
      </c>
      <c r="AD138" s="11">
        <v>1050033.1299999999</v>
      </c>
      <c r="AE138" s="11">
        <v>844630</v>
      </c>
      <c r="AF138" s="11">
        <v>1806840</v>
      </c>
      <c r="AG138" s="11">
        <v>487816</v>
      </c>
      <c r="AH138" s="11">
        <v>2891640</v>
      </c>
      <c r="AI138" s="11">
        <v>2121849.65</v>
      </c>
      <c r="AJ138" s="11">
        <v>1325443.82</v>
      </c>
      <c r="AK138" s="11">
        <v>55206</v>
      </c>
      <c r="AL138" s="11">
        <v>613974.14</v>
      </c>
      <c r="AM138" s="11">
        <v>72000</v>
      </c>
      <c r="AN138" s="11"/>
      <c r="AO138" s="11">
        <v>813916.59</v>
      </c>
      <c r="AP138" s="11">
        <v>239690</v>
      </c>
      <c r="AQ138" s="11">
        <v>171200</v>
      </c>
      <c r="AR138" s="11"/>
      <c r="AS138" s="11">
        <v>1876104.63</v>
      </c>
      <c r="AT138" s="11"/>
      <c r="AU138" s="11"/>
      <c r="AV138" s="11"/>
      <c r="AW138" s="11"/>
      <c r="AX138" s="11"/>
      <c r="AY138" s="11">
        <v>1000000</v>
      </c>
      <c r="AZ138" s="11">
        <v>1296210</v>
      </c>
      <c r="BA138" s="11"/>
      <c r="BB138" s="11">
        <v>0</v>
      </c>
      <c r="BC138" s="11"/>
      <c r="BD138" s="11"/>
      <c r="BE138" s="11"/>
      <c r="BF138" s="11"/>
      <c r="BG138" s="11">
        <v>12783.1</v>
      </c>
      <c r="BH138" s="11">
        <v>804262.49</v>
      </c>
      <c r="BI138" s="11">
        <v>2387423.15</v>
      </c>
      <c r="BJ138" s="11">
        <v>1504374.6</v>
      </c>
      <c r="BK138" s="11">
        <v>110536</v>
      </c>
      <c r="BL138" s="11">
        <v>962365.5</v>
      </c>
      <c r="BM138" s="11"/>
      <c r="BN138" s="11">
        <v>7646460.0099999998</v>
      </c>
      <c r="BO138" s="11"/>
      <c r="BP138" s="11">
        <v>122850</v>
      </c>
      <c r="BQ138" s="11"/>
      <c r="BR138" s="11"/>
      <c r="BS138" s="11">
        <v>565347.75</v>
      </c>
      <c r="BT138" s="11">
        <v>0</v>
      </c>
      <c r="BU138" s="11"/>
      <c r="BV138" s="11">
        <v>441907.81</v>
      </c>
      <c r="BW138" s="11">
        <v>588528.01</v>
      </c>
      <c r="BX138" s="11"/>
      <c r="BY138" s="11"/>
      <c r="BZ138" s="11"/>
      <c r="CA138" s="11">
        <v>265317.81</v>
      </c>
      <c r="CB138" s="11"/>
      <c r="CC138" s="11">
        <v>715336</v>
      </c>
      <c r="CD138" s="11"/>
      <c r="CE138" s="11">
        <v>246589.53</v>
      </c>
      <c r="CF138" s="11">
        <v>918880</v>
      </c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>
        <v>3300</v>
      </c>
      <c r="CS138" s="11">
        <v>26800</v>
      </c>
      <c r="CT138" s="11"/>
      <c r="CU138" s="11"/>
      <c r="CV138" s="11">
        <v>49628.66</v>
      </c>
      <c r="CW138" s="11">
        <v>1057340.28</v>
      </c>
      <c r="CX138" s="11">
        <v>484566.66</v>
      </c>
      <c r="CY138" s="11">
        <v>7150</v>
      </c>
      <c r="CZ138" s="11"/>
      <c r="DA138" s="11"/>
      <c r="DB138" s="11"/>
      <c r="DC138" s="11"/>
      <c r="DD138" s="11">
        <v>2910194.09</v>
      </c>
      <c r="DE138" s="11">
        <v>24482.5</v>
      </c>
      <c r="DF138" s="11"/>
      <c r="DG138" s="11"/>
      <c r="DH138" s="11">
        <v>1934514.8</v>
      </c>
      <c r="DI138" s="11">
        <v>443420</v>
      </c>
      <c r="DJ138" s="11">
        <v>11832.66</v>
      </c>
      <c r="DK138" s="11"/>
      <c r="DL138" s="11"/>
      <c r="DM138" s="11"/>
      <c r="DN138" s="11">
        <v>698500</v>
      </c>
      <c r="DO138" s="11">
        <v>424540.46</v>
      </c>
      <c r="DP138" s="11"/>
      <c r="DQ138" s="11">
        <v>1417830</v>
      </c>
      <c r="DR138" s="11"/>
      <c r="DS138" s="11">
        <v>4371129.3</v>
      </c>
      <c r="DT138" s="11"/>
      <c r="DU138" s="11">
        <v>198594.82</v>
      </c>
      <c r="DV138" s="11"/>
      <c r="DW138" s="11"/>
      <c r="DX138" s="11"/>
      <c r="DY138" s="11">
        <v>0</v>
      </c>
      <c r="DZ138" s="11">
        <v>355269.02</v>
      </c>
      <c r="EA138" s="11"/>
      <c r="EB138" s="11"/>
      <c r="EC138" s="11">
        <v>1255690</v>
      </c>
      <c r="ED138" s="11"/>
      <c r="EE138" s="11">
        <v>610195.21</v>
      </c>
      <c r="EF138" s="11">
        <v>665618.15</v>
      </c>
      <c r="EG138" s="11"/>
      <c r="EH138" s="11">
        <v>4304795.6100000003</v>
      </c>
      <c r="EI138" s="11">
        <v>1659821.27</v>
      </c>
      <c r="EJ138" s="11">
        <v>238519.5</v>
      </c>
      <c r="EK138" s="11"/>
      <c r="EL138" s="11">
        <v>165337.5</v>
      </c>
      <c r="EM138" s="11"/>
      <c r="EN138" s="11"/>
      <c r="EO138" s="11"/>
      <c r="EP138" s="11"/>
      <c r="EQ138" s="11">
        <v>2025883.03</v>
      </c>
      <c r="ER138" s="11">
        <v>248520</v>
      </c>
      <c r="ES138" s="11"/>
      <c r="ET138" s="11">
        <v>927143.53</v>
      </c>
      <c r="EU138" s="11">
        <v>1970839.54</v>
      </c>
      <c r="EV138" s="11"/>
      <c r="EW138" s="11">
        <v>150938</v>
      </c>
      <c r="EX138" s="11"/>
      <c r="EY138" s="11">
        <v>0</v>
      </c>
      <c r="EZ138" s="11"/>
      <c r="FA138" s="11"/>
      <c r="FB138" s="11">
        <v>180000</v>
      </c>
      <c r="FC138" s="11">
        <v>1051285.48</v>
      </c>
      <c r="FD138" s="11"/>
      <c r="FE138" s="11">
        <v>809750</v>
      </c>
      <c r="FF138" s="11"/>
      <c r="FG138" s="11"/>
      <c r="FH138" s="11">
        <v>0</v>
      </c>
      <c r="FI138" s="11">
        <v>801450</v>
      </c>
      <c r="FJ138" s="11">
        <v>0</v>
      </c>
      <c r="FK138" s="11"/>
      <c r="FL138" s="11"/>
      <c r="FM138" s="11"/>
      <c r="FN138" s="11">
        <v>0</v>
      </c>
      <c r="FO138" s="11">
        <v>721167.7</v>
      </c>
      <c r="FP138" s="11">
        <v>370111</v>
      </c>
      <c r="FQ138" s="11"/>
      <c r="FR138" s="11">
        <v>886578.95</v>
      </c>
      <c r="FS138" s="11">
        <v>5185786.78</v>
      </c>
      <c r="FT138" s="11">
        <v>16750</v>
      </c>
      <c r="FU138" s="11">
        <v>1377.82</v>
      </c>
      <c r="FV138" s="11">
        <v>1787784</v>
      </c>
      <c r="FW138" s="11"/>
      <c r="FX138" s="11">
        <v>2160000</v>
      </c>
      <c r="FY138" s="11">
        <v>503735</v>
      </c>
      <c r="FZ138" s="11"/>
      <c r="GA138" s="11">
        <v>2816679.56</v>
      </c>
      <c r="GB138" s="11">
        <v>6025005.0099999998</v>
      </c>
      <c r="GC138" s="11">
        <v>5203948.47</v>
      </c>
      <c r="GD138" s="11">
        <v>15332.62</v>
      </c>
      <c r="GE138" s="11">
        <v>2098368.7000000002</v>
      </c>
      <c r="GF138" s="11">
        <v>1714534.76</v>
      </c>
      <c r="GG138" s="11">
        <v>515845.24</v>
      </c>
      <c r="GH138" s="11">
        <v>123725.45</v>
      </c>
      <c r="GI138" s="11">
        <v>166964</v>
      </c>
      <c r="GJ138" s="11">
        <v>780000</v>
      </c>
      <c r="GK138" s="11">
        <v>926212.91</v>
      </c>
      <c r="GL138" s="11">
        <v>823802.58</v>
      </c>
      <c r="GM138" s="11"/>
      <c r="GN138" s="11">
        <v>742795.7</v>
      </c>
      <c r="GO138" s="11">
        <v>1033613.45</v>
      </c>
      <c r="GP138" s="11">
        <v>398098.43</v>
      </c>
      <c r="GQ138" s="11"/>
      <c r="GR138" s="11"/>
      <c r="GS138" s="11"/>
      <c r="GT138" s="11">
        <v>1460719.42</v>
      </c>
      <c r="GU138" s="11"/>
      <c r="GV138" s="11"/>
      <c r="GW138" s="11"/>
      <c r="GX138" s="11">
        <v>72000</v>
      </c>
      <c r="GY138" s="11">
        <v>234905</v>
      </c>
      <c r="GZ138" s="11"/>
      <c r="HA138" s="11"/>
      <c r="HB138" s="11"/>
      <c r="HC138" s="11"/>
      <c r="HD138" s="11"/>
      <c r="HE138" s="11"/>
      <c r="HF138" s="11"/>
      <c r="HG138" s="11"/>
      <c r="HH138" s="11"/>
      <c r="HI138" s="11">
        <v>1554819.02</v>
      </c>
      <c r="HJ138" s="11"/>
      <c r="HK138" s="11"/>
      <c r="HL138" s="11"/>
      <c r="HM138" s="11"/>
      <c r="HN138" s="11">
        <v>1190.8399999999999</v>
      </c>
      <c r="HO138" s="11">
        <v>2135418.92</v>
      </c>
      <c r="HP138" s="11"/>
      <c r="HQ138" s="11"/>
      <c r="HR138" s="11"/>
      <c r="HS138" s="11"/>
      <c r="HT138" s="11">
        <v>701807.76</v>
      </c>
      <c r="HU138" s="11"/>
      <c r="HV138" s="11"/>
      <c r="HW138" s="11"/>
      <c r="HX138" s="11"/>
      <c r="HY138" s="11"/>
      <c r="HZ138" s="11"/>
      <c r="IA138" s="11">
        <v>596115.6</v>
      </c>
      <c r="IB138" s="11"/>
      <c r="IC138" s="11">
        <v>783594.25</v>
      </c>
      <c r="ID138" s="11"/>
      <c r="IE138" s="11">
        <v>384228.52</v>
      </c>
      <c r="IF138" s="11">
        <v>1240000</v>
      </c>
      <c r="IG138" s="11"/>
      <c r="IH138" s="11"/>
      <c r="II138" s="11">
        <v>0</v>
      </c>
      <c r="IJ138" s="11">
        <v>0</v>
      </c>
      <c r="IK138" s="11"/>
      <c r="IL138" s="11">
        <v>94958.7</v>
      </c>
      <c r="IM138" s="11">
        <v>0</v>
      </c>
      <c r="IN138" s="11">
        <v>263240</v>
      </c>
      <c r="IO138" s="11"/>
      <c r="IP138" s="11">
        <v>240897</v>
      </c>
      <c r="IQ138" s="11"/>
      <c r="IR138" s="11">
        <v>25420</v>
      </c>
      <c r="IS138" s="11">
        <v>35013.160000000003</v>
      </c>
      <c r="IT138" s="11">
        <v>242343.67999999999</v>
      </c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>
        <v>388635.12</v>
      </c>
      <c r="JI138" s="11"/>
      <c r="JJ138" s="11"/>
      <c r="JK138" s="11">
        <v>144932.31</v>
      </c>
      <c r="JL138" s="11">
        <v>14357697.24</v>
      </c>
      <c r="JM138" s="11">
        <v>21112</v>
      </c>
      <c r="JN138" s="11"/>
      <c r="JO138" s="11">
        <v>283957.02</v>
      </c>
      <c r="JP138" s="11"/>
      <c r="JQ138" s="11"/>
      <c r="JR138" s="11"/>
      <c r="JS138" s="11">
        <v>7871539.1299999999</v>
      </c>
      <c r="JT138" s="11"/>
      <c r="JU138" s="11">
        <v>0</v>
      </c>
      <c r="JV138" s="11">
        <v>7940</v>
      </c>
      <c r="JW138" s="11"/>
      <c r="JX138" s="11">
        <v>123650</v>
      </c>
      <c r="JY138" s="11"/>
      <c r="JZ138" s="11">
        <v>582118.81000000006</v>
      </c>
      <c r="KA138" s="11">
        <v>713320</v>
      </c>
      <c r="KB138" s="11">
        <v>149265.07</v>
      </c>
      <c r="KC138" s="11">
        <v>305072.75</v>
      </c>
      <c r="KD138" s="11">
        <v>1973043.5</v>
      </c>
      <c r="KE138" s="11">
        <v>131541</v>
      </c>
      <c r="KF138" s="11"/>
      <c r="KG138" s="11">
        <v>100010</v>
      </c>
      <c r="KH138" s="11">
        <v>2871703.8</v>
      </c>
      <c r="KI138" s="11">
        <v>2571917.0699999998</v>
      </c>
      <c r="KJ138" s="11"/>
      <c r="KK138" s="11"/>
      <c r="KL138" s="11"/>
      <c r="KM138" s="11">
        <v>432000</v>
      </c>
      <c r="KN138" s="11">
        <v>136437.43</v>
      </c>
      <c r="KO138" s="11"/>
      <c r="KP138" s="11"/>
      <c r="KQ138" s="11">
        <v>1699199.58</v>
      </c>
      <c r="KR138" s="11"/>
      <c r="KS138" s="11"/>
      <c r="KT138" s="11"/>
      <c r="KU138" s="11"/>
      <c r="KV138" s="11"/>
      <c r="KW138" s="11">
        <v>1168992</v>
      </c>
      <c r="KX138" s="11"/>
      <c r="KY138" s="11">
        <v>163050</v>
      </c>
      <c r="KZ138" s="11">
        <v>4696003.76</v>
      </c>
      <c r="LA138" s="11">
        <v>1896253</v>
      </c>
      <c r="LB138" s="11">
        <v>1311100</v>
      </c>
      <c r="LC138" s="11">
        <v>2107178.02</v>
      </c>
      <c r="LD138" s="11"/>
      <c r="LE138" s="11">
        <v>241660</v>
      </c>
      <c r="LF138" s="11"/>
      <c r="LG138" s="11">
        <v>601330</v>
      </c>
      <c r="LH138" s="11">
        <v>918889.2</v>
      </c>
      <c r="LI138" s="11"/>
      <c r="LJ138" s="11"/>
      <c r="LK138" s="11">
        <v>242011</v>
      </c>
      <c r="LL138" s="11">
        <v>28700</v>
      </c>
      <c r="LM138" s="11"/>
      <c r="LN138" s="11"/>
      <c r="LO138" s="11">
        <v>855290</v>
      </c>
      <c r="LP138" s="11"/>
      <c r="LQ138" s="11">
        <v>4030169.17</v>
      </c>
      <c r="LR138" s="11">
        <v>1190360.3</v>
      </c>
      <c r="LS138" s="11"/>
      <c r="LT138" s="11"/>
      <c r="LU138" s="11">
        <v>604840.74</v>
      </c>
      <c r="LV138" s="11"/>
      <c r="LW138" s="11">
        <v>21515755.739999998</v>
      </c>
      <c r="LX138" s="11"/>
      <c r="LY138" s="11">
        <v>0</v>
      </c>
      <c r="LZ138" s="11">
        <v>623983</v>
      </c>
      <c r="MA138" s="11"/>
      <c r="MB138" s="11">
        <v>709347.64</v>
      </c>
      <c r="MC138" s="11">
        <v>418028.58</v>
      </c>
      <c r="MD138" s="11">
        <v>370504.46</v>
      </c>
      <c r="ME138" s="11">
        <v>2009193</v>
      </c>
      <c r="MF138" s="11">
        <v>1192494</v>
      </c>
      <c r="MG138" s="11">
        <v>859461.59</v>
      </c>
      <c r="MH138" s="11">
        <v>2206483.7200000002</v>
      </c>
      <c r="MI138" s="11">
        <v>695679.5</v>
      </c>
      <c r="MJ138" s="11"/>
      <c r="MK138" s="11">
        <v>366097</v>
      </c>
      <c r="ML138" s="11"/>
      <c r="MM138" s="11">
        <v>1397242</v>
      </c>
      <c r="MN138" s="11">
        <v>20540</v>
      </c>
      <c r="MO138" s="11"/>
      <c r="MP138" s="11"/>
      <c r="MQ138" s="11">
        <v>0</v>
      </c>
      <c r="MR138" s="11">
        <v>1458272.12</v>
      </c>
      <c r="MS138" s="11"/>
      <c r="MT138" s="11"/>
      <c r="MU138" s="11">
        <v>499480.75</v>
      </c>
      <c r="MV138" s="11">
        <v>902182.5</v>
      </c>
      <c r="MW138" s="11"/>
      <c r="MX138" s="11"/>
      <c r="MY138" s="11"/>
      <c r="MZ138" s="11">
        <v>676109.81</v>
      </c>
      <c r="NA138" s="11">
        <v>940990.52</v>
      </c>
      <c r="NB138" s="11">
        <v>2502512.5499999998</v>
      </c>
      <c r="NC138" s="11"/>
      <c r="ND138" s="11">
        <v>2304901.6</v>
      </c>
      <c r="NE138" s="11"/>
      <c r="NF138" s="11"/>
      <c r="NG138" s="11"/>
      <c r="NH138" s="11"/>
      <c r="NI138" s="11">
        <v>528132.02</v>
      </c>
      <c r="NJ138" s="11">
        <v>4579678</v>
      </c>
      <c r="NK138" s="11">
        <v>1000928.35</v>
      </c>
      <c r="NL138" s="11">
        <v>50</v>
      </c>
      <c r="NM138" s="11"/>
      <c r="NN138" s="11"/>
      <c r="NO138" s="11"/>
      <c r="NP138" s="11"/>
      <c r="NQ138" s="11">
        <v>1892645</v>
      </c>
      <c r="NR138" s="11"/>
      <c r="NS138" s="11"/>
      <c r="NT138" s="11">
        <v>331789.5</v>
      </c>
      <c r="NU138" s="11">
        <v>897898</v>
      </c>
      <c r="NV138" s="11">
        <v>774540</v>
      </c>
      <c r="NW138" s="11"/>
      <c r="NX138" s="11"/>
      <c r="NY138" s="11">
        <v>6044539.5999999996</v>
      </c>
      <c r="NZ138" s="11">
        <v>0</v>
      </c>
      <c r="OA138" s="11">
        <v>0</v>
      </c>
      <c r="OB138" s="11"/>
      <c r="OC138" s="11"/>
      <c r="OD138" s="11"/>
      <c r="OE138" s="11"/>
      <c r="OF138" s="11"/>
      <c r="OG138" s="11">
        <v>308683.64</v>
      </c>
      <c r="OH138" s="11">
        <v>2311169.25</v>
      </c>
      <c r="OI138" s="11"/>
      <c r="OJ138" s="11"/>
      <c r="OK138" s="11">
        <v>593634.11</v>
      </c>
      <c r="OL138" s="11"/>
      <c r="OM138" s="11"/>
      <c r="ON138" s="11">
        <v>14931968.76</v>
      </c>
      <c r="OO138" s="11">
        <v>929185</v>
      </c>
      <c r="OP138" s="11">
        <v>9310873.4900000002</v>
      </c>
      <c r="OQ138" s="11">
        <v>3135411.47</v>
      </c>
      <c r="OR138" s="11"/>
      <c r="OS138" s="11"/>
      <c r="OT138" s="11">
        <v>4818320.2</v>
      </c>
      <c r="OU138" s="11">
        <v>684332.5</v>
      </c>
      <c r="OV138" s="11">
        <v>344141.79</v>
      </c>
      <c r="OW138" s="11"/>
      <c r="OX138" s="11"/>
      <c r="OY138" s="11">
        <v>1680040</v>
      </c>
      <c r="OZ138" s="11"/>
      <c r="PA138" s="11"/>
      <c r="PB138" s="11">
        <v>0</v>
      </c>
      <c r="PC138" s="11">
        <v>996915</v>
      </c>
      <c r="PD138" s="11"/>
      <c r="PE138" s="11"/>
      <c r="PF138" s="11"/>
      <c r="PG138" s="11">
        <v>310444</v>
      </c>
      <c r="PH138" s="11"/>
      <c r="PI138" s="11">
        <v>0</v>
      </c>
      <c r="PJ138" s="11">
        <v>295560.84000000003</v>
      </c>
      <c r="PK138" s="11">
        <v>137113.14000000001</v>
      </c>
      <c r="PL138" s="11"/>
      <c r="PM138" s="11"/>
      <c r="PN138" s="11"/>
      <c r="PO138" s="11"/>
      <c r="PP138" s="11">
        <v>0</v>
      </c>
      <c r="PQ138" s="11">
        <v>194416</v>
      </c>
      <c r="PR138" s="11"/>
      <c r="PS138" s="11">
        <v>408270.03</v>
      </c>
      <c r="PT138" s="11">
        <v>53151.25</v>
      </c>
      <c r="PU138" s="11"/>
      <c r="PV138" s="11">
        <v>547025.89</v>
      </c>
      <c r="PW138" s="11"/>
      <c r="PX138" s="11">
        <v>1933260</v>
      </c>
      <c r="PY138" s="11"/>
      <c r="PZ138" s="11">
        <v>19485</v>
      </c>
      <c r="QA138" s="11"/>
      <c r="QB138" s="11">
        <v>0</v>
      </c>
      <c r="QC138" s="11">
        <v>808101</v>
      </c>
      <c r="QD138" s="11"/>
      <c r="QE138" s="11"/>
      <c r="QF138" s="11"/>
      <c r="QG138" s="11">
        <v>735924.76</v>
      </c>
      <c r="QH138" s="11"/>
      <c r="QI138" s="11"/>
      <c r="QJ138" s="11"/>
      <c r="QK138" s="11"/>
      <c r="QL138" s="11">
        <v>364664.66</v>
      </c>
      <c r="QM138" s="11"/>
      <c r="QN138" s="11"/>
      <c r="QO138" s="11">
        <v>1527200</v>
      </c>
      <c r="QP138" s="11"/>
      <c r="QQ138" s="11"/>
      <c r="QR138" s="11">
        <v>18690</v>
      </c>
      <c r="QS138" s="11"/>
      <c r="QT138" s="11">
        <v>26468.74</v>
      </c>
      <c r="QU138" s="11"/>
      <c r="QV138" s="11"/>
      <c r="QW138" s="11"/>
      <c r="QX138" s="11"/>
      <c r="QY138" s="11"/>
      <c r="QZ138" s="11"/>
      <c r="RA138" s="11">
        <v>1034299</v>
      </c>
      <c r="RB138" s="11"/>
      <c r="RC138" s="11">
        <v>1500000</v>
      </c>
      <c r="RD138" s="11">
        <v>105604.88</v>
      </c>
      <c r="RE138" s="11"/>
      <c r="RF138" s="11">
        <v>156000</v>
      </c>
      <c r="RG138" s="11">
        <v>789155.54</v>
      </c>
      <c r="RH138" s="11">
        <v>10653.01</v>
      </c>
      <c r="RI138" s="11">
        <v>0</v>
      </c>
      <c r="RJ138" s="11"/>
      <c r="RK138" s="11">
        <v>1386677.9</v>
      </c>
      <c r="RL138" s="11">
        <v>0</v>
      </c>
      <c r="RM138" s="11">
        <v>0</v>
      </c>
      <c r="RN138" s="11"/>
      <c r="RO138" s="11">
        <v>786778.43</v>
      </c>
      <c r="RP138" s="11">
        <v>181438.78</v>
      </c>
      <c r="RQ138" s="11">
        <v>282000</v>
      </c>
      <c r="RR138" s="11">
        <v>367605</v>
      </c>
      <c r="RS138" s="11">
        <v>6060</v>
      </c>
      <c r="RT138" s="11">
        <v>584289.93999999994</v>
      </c>
      <c r="RU138" s="11">
        <v>1527123.21</v>
      </c>
      <c r="RV138" s="11">
        <v>261700</v>
      </c>
      <c r="RW138" s="11">
        <v>1204222.2</v>
      </c>
      <c r="RX138" s="11">
        <v>511092</v>
      </c>
      <c r="RY138" s="11">
        <v>266595.8</v>
      </c>
      <c r="RZ138" s="11"/>
      <c r="SA138" s="11">
        <v>295200</v>
      </c>
      <c r="SB138" s="11"/>
      <c r="SC138" s="11"/>
      <c r="SD138" s="11">
        <v>10690.25</v>
      </c>
      <c r="SE138" s="11"/>
      <c r="SF138" s="11"/>
      <c r="SG138" s="11"/>
      <c r="SH138" s="11">
        <v>60000</v>
      </c>
      <c r="SI138" s="11"/>
      <c r="SJ138" s="11">
        <v>694335.55</v>
      </c>
      <c r="SK138" s="11"/>
      <c r="SL138" s="11">
        <v>1897600.97</v>
      </c>
      <c r="SM138" s="11"/>
      <c r="SN138" s="11">
        <v>4121678.3</v>
      </c>
      <c r="SO138" s="11">
        <v>792800</v>
      </c>
      <c r="SP138" s="11"/>
      <c r="SQ138" s="11">
        <v>26144.32</v>
      </c>
      <c r="SR138" s="11">
        <v>677604</v>
      </c>
      <c r="SS138" s="11"/>
      <c r="ST138" s="11">
        <v>1517096.16</v>
      </c>
      <c r="SU138" s="11">
        <v>544450</v>
      </c>
      <c r="SV138" s="11">
        <v>0</v>
      </c>
      <c r="SW138" s="11"/>
      <c r="SX138" s="11">
        <v>22672.5</v>
      </c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>
        <v>91160.4</v>
      </c>
      <c r="TJ138" s="11">
        <v>0</v>
      </c>
      <c r="TK138" s="11"/>
      <c r="TL138" s="11">
        <v>268853.88</v>
      </c>
      <c r="TM138" s="11"/>
      <c r="TN138" s="11">
        <v>751813.1</v>
      </c>
      <c r="TO138" s="11"/>
      <c r="TP138" s="11">
        <v>28357.48</v>
      </c>
      <c r="TQ138" s="11"/>
      <c r="TR138" s="11">
        <v>1555400</v>
      </c>
      <c r="TS138" s="11"/>
      <c r="TT138" s="11"/>
      <c r="TU138" s="11">
        <v>1019631.5</v>
      </c>
      <c r="TV138" s="11">
        <v>1366261.21</v>
      </c>
      <c r="TW138" s="11"/>
      <c r="TX138" s="11">
        <v>2473100</v>
      </c>
      <c r="TY138" s="11">
        <v>248553</v>
      </c>
      <c r="TZ138" s="11">
        <v>467511.03</v>
      </c>
      <c r="UA138" s="11">
        <v>457835</v>
      </c>
      <c r="UB138" s="11">
        <v>1495365.1</v>
      </c>
      <c r="UC138" s="11">
        <v>91975.679999999993</v>
      </c>
      <c r="UD138" s="11">
        <v>420100</v>
      </c>
      <c r="UE138" s="11">
        <v>226793.8</v>
      </c>
      <c r="UF138" s="11">
        <v>561959.62</v>
      </c>
      <c r="UG138" s="11"/>
      <c r="UH138" s="11">
        <v>1339262.53</v>
      </c>
      <c r="UI138" s="11">
        <v>1798416.81</v>
      </c>
      <c r="UJ138" s="11">
        <v>774041.82</v>
      </c>
      <c r="UK138" s="11">
        <v>1635868.09</v>
      </c>
      <c r="UL138" s="11">
        <v>2458525.6800000002</v>
      </c>
      <c r="UM138" s="11">
        <v>1801968.58</v>
      </c>
      <c r="UN138" s="11">
        <v>129471.7</v>
      </c>
      <c r="UO138" s="11">
        <v>876838.1</v>
      </c>
      <c r="UP138" s="11">
        <v>2882992.79</v>
      </c>
      <c r="UQ138" s="11">
        <v>3641820</v>
      </c>
      <c r="UR138" s="11">
        <v>908790.24</v>
      </c>
      <c r="US138" s="11"/>
      <c r="UT138" s="11"/>
      <c r="UU138" s="11">
        <v>5260</v>
      </c>
      <c r="UV138" s="11">
        <v>26360</v>
      </c>
      <c r="UW138" s="11">
        <v>2032676.9</v>
      </c>
      <c r="UX138" s="11">
        <v>834342.87</v>
      </c>
      <c r="UY138" s="11"/>
      <c r="UZ138" s="11">
        <v>1551328.51</v>
      </c>
      <c r="VA138" s="11"/>
      <c r="VB138" s="11">
        <v>0</v>
      </c>
      <c r="VC138" s="11"/>
      <c r="VD138" s="11">
        <v>242490</v>
      </c>
      <c r="VE138" s="11">
        <v>4945705.71</v>
      </c>
      <c r="VF138" s="11">
        <v>806125</v>
      </c>
      <c r="VG138" s="11">
        <v>3295661.11</v>
      </c>
      <c r="VH138" s="11"/>
      <c r="VI138" s="11">
        <v>1489489.5</v>
      </c>
      <c r="VJ138" s="11"/>
      <c r="VK138" s="11">
        <v>786740</v>
      </c>
      <c r="VL138" s="11"/>
      <c r="VM138" s="11">
        <v>0</v>
      </c>
      <c r="VN138" s="11"/>
      <c r="VO138" s="11">
        <v>13600</v>
      </c>
      <c r="VP138" s="11">
        <v>3507768.5</v>
      </c>
      <c r="VQ138" s="11">
        <v>0</v>
      </c>
      <c r="VR138" s="11">
        <v>435079</v>
      </c>
      <c r="VS138" s="11">
        <v>466120</v>
      </c>
      <c r="VT138" s="11"/>
      <c r="VU138" s="11"/>
      <c r="VV138" s="11">
        <v>969782</v>
      </c>
      <c r="VW138" s="11"/>
      <c r="VX138" s="11"/>
      <c r="VY138" s="11">
        <v>1119600</v>
      </c>
      <c r="VZ138" s="11"/>
      <c r="WA138" s="11"/>
      <c r="WB138" s="11"/>
      <c r="WC138" s="11"/>
      <c r="WD138" s="11"/>
      <c r="WE138" s="11"/>
      <c r="WF138" s="11"/>
      <c r="WG138" s="11"/>
      <c r="WH138" s="11"/>
      <c r="WI138" s="11">
        <v>916025</v>
      </c>
      <c r="WJ138" s="11">
        <v>58560</v>
      </c>
      <c r="WK138" s="11"/>
      <c r="WL138" s="11">
        <v>425714</v>
      </c>
      <c r="WM138" s="11">
        <v>234850</v>
      </c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>
        <v>1153114.99</v>
      </c>
      <c r="XM138" s="11"/>
      <c r="XN138" s="11"/>
      <c r="XO138" s="11">
        <v>0</v>
      </c>
      <c r="XP138" s="11"/>
      <c r="XQ138" s="11">
        <v>121310</v>
      </c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>
        <v>152688</v>
      </c>
      <c r="YL138" s="11">
        <v>150000</v>
      </c>
      <c r="YM138" s="11"/>
      <c r="YN138" s="11"/>
      <c r="YO138" s="11"/>
      <c r="YP138" s="11"/>
      <c r="YQ138" s="11">
        <v>304147.12</v>
      </c>
      <c r="YR138" s="11">
        <v>881146.2</v>
      </c>
      <c r="YS138" s="11">
        <v>690570.43</v>
      </c>
      <c r="YT138" s="11"/>
      <c r="YU138" s="11">
        <v>699475</v>
      </c>
      <c r="YV138" s="11"/>
      <c r="YW138" s="11">
        <v>5081196.2</v>
      </c>
      <c r="YX138" s="11">
        <v>183000</v>
      </c>
      <c r="YY138" s="11">
        <v>420616.5</v>
      </c>
      <c r="YZ138" s="11"/>
      <c r="ZA138" s="11">
        <v>2392351.42</v>
      </c>
      <c r="ZB138" s="11"/>
      <c r="ZC138" s="11"/>
      <c r="ZD138" s="11">
        <v>2140434.98</v>
      </c>
      <c r="ZE138" s="11">
        <v>2703439.96</v>
      </c>
      <c r="ZF138" s="11"/>
      <c r="ZG138" s="11"/>
      <c r="ZH138" s="11">
        <v>163850</v>
      </c>
      <c r="ZI138" s="11">
        <v>1598640</v>
      </c>
      <c r="ZJ138" s="11">
        <v>378520</v>
      </c>
      <c r="ZK138" s="11"/>
      <c r="ZL138" s="11">
        <v>794616.07</v>
      </c>
      <c r="ZM138" s="11">
        <v>4715247.1900000004</v>
      </c>
      <c r="ZN138" s="11">
        <v>1971722.39</v>
      </c>
      <c r="ZO138" s="11">
        <v>2802223.07</v>
      </c>
      <c r="ZP138" s="11">
        <v>5091283.7</v>
      </c>
      <c r="ZQ138" s="11">
        <v>4784235.6900000004</v>
      </c>
      <c r="ZR138" s="11">
        <v>324014.84000000003</v>
      </c>
      <c r="ZS138" s="11">
        <v>1974482.71</v>
      </c>
      <c r="ZT138" s="11">
        <v>8926917.8100000005</v>
      </c>
      <c r="ZU138" s="11">
        <v>1167325.81</v>
      </c>
      <c r="ZV138" s="11">
        <v>1725602.15</v>
      </c>
      <c r="ZW138" s="11">
        <v>872537.85</v>
      </c>
      <c r="ZX138" s="11">
        <v>1941789.98</v>
      </c>
      <c r="ZY138" s="11">
        <v>108918.97</v>
      </c>
      <c r="ZZ138" s="11">
        <v>5915238.9299999997</v>
      </c>
      <c r="AAA138" s="11">
        <v>1564766.12</v>
      </c>
      <c r="AAB138" s="11">
        <v>982580</v>
      </c>
      <c r="AAC138" s="11">
        <v>1820450</v>
      </c>
      <c r="AAD138" s="11">
        <v>1091311.52</v>
      </c>
      <c r="AAE138" s="11">
        <v>1509952.99</v>
      </c>
      <c r="AAF138" s="11">
        <v>2144144.39</v>
      </c>
      <c r="AAG138" s="11">
        <v>536472.12</v>
      </c>
      <c r="AAH138" s="11">
        <v>2005481.42</v>
      </c>
      <c r="AAI138" s="11">
        <v>2000000</v>
      </c>
      <c r="AAJ138" s="11">
        <v>2380140</v>
      </c>
      <c r="AAK138" s="11">
        <v>0</v>
      </c>
      <c r="AAL138" s="11">
        <v>1032915.18</v>
      </c>
      <c r="AAM138" s="11">
        <v>36369.94</v>
      </c>
      <c r="AAN138" s="11">
        <v>34845</v>
      </c>
      <c r="AAO138" s="11">
        <v>24557.5</v>
      </c>
      <c r="AAP138" s="11"/>
      <c r="AAQ138" s="11"/>
      <c r="AAR138" s="11">
        <v>325250</v>
      </c>
      <c r="AAS138" s="11">
        <v>2159524.5499999998</v>
      </c>
      <c r="AAT138" s="11">
        <v>84780</v>
      </c>
      <c r="AAU138" s="11"/>
      <c r="AAV138" s="11">
        <v>0</v>
      </c>
      <c r="AAW138" s="11">
        <v>4869197.91</v>
      </c>
      <c r="AAX138" s="11">
        <v>765385.75</v>
      </c>
      <c r="AAY138" s="11">
        <v>440857.71</v>
      </c>
      <c r="AAZ138" s="11">
        <v>0</v>
      </c>
      <c r="ABA138" s="11">
        <v>4403717</v>
      </c>
      <c r="ABB138" s="11"/>
      <c r="ABC138" s="11"/>
      <c r="ABD138" s="11"/>
      <c r="ABE138" s="11">
        <v>92525</v>
      </c>
      <c r="ABF138" s="11">
        <v>255494.21</v>
      </c>
      <c r="ABG138" s="11">
        <v>363971.5</v>
      </c>
      <c r="ABH138" s="11">
        <v>0</v>
      </c>
      <c r="ABI138" s="11">
        <v>5280483.54</v>
      </c>
      <c r="ABJ138" s="11">
        <v>643565.32999999996</v>
      </c>
      <c r="ABK138" s="11"/>
      <c r="ABL138" s="11"/>
      <c r="ABM138" s="11"/>
      <c r="ABN138" s="11">
        <v>29888.62</v>
      </c>
      <c r="ABO138" s="11"/>
      <c r="ABP138" s="11"/>
      <c r="ABQ138" s="11"/>
      <c r="ABR138" s="11"/>
      <c r="ABS138" s="11"/>
      <c r="ABT138" s="11"/>
      <c r="ABU138" s="11"/>
      <c r="ABV138" s="11">
        <v>621744</v>
      </c>
      <c r="ABW138" s="11"/>
      <c r="ABX138" s="11"/>
      <c r="ABY138" s="11"/>
      <c r="ABZ138" s="11"/>
      <c r="ACA138" s="11"/>
      <c r="ACB138" s="11"/>
      <c r="ACC138" s="11"/>
      <c r="ACD138" s="11">
        <v>954112.88</v>
      </c>
      <c r="ACE138" s="11"/>
      <c r="ACF138" s="11"/>
      <c r="ACG138" s="11"/>
      <c r="ACH138" s="11">
        <v>299116</v>
      </c>
      <c r="ACI138" s="11"/>
      <c r="ACJ138" s="11">
        <v>4204728</v>
      </c>
      <c r="ACK138" s="11"/>
      <c r="ACL138" s="11">
        <v>929674.23</v>
      </c>
      <c r="ACM138" s="11">
        <v>1057262.2</v>
      </c>
      <c r="ACN138" s="11">
        <v>649930</v>
      </c>
      <c r="ACO138" s="11"/>
      <c r="ACP138" s="11"/>
      <c r="ACQ138" s="11"/>
      <c r="ACR138" s="11"/>
      <c r="ACS138" s="11">
        <v>186000</v>
      </c>
      <c r="ACT138" s="11">
        <v>2281240</v>
      </c>
      <c r="ACU138" s="11">
        <v>768468</v>
      </c>
      <c r="ACV138" s="11"/>
      <c r="ACW138" s="11"/>
      <c r="ACX138" s="11"/>
      <c r="ACY138" s="11">
        <v>55822.39</v>
      </c>
      <c r="ACZ138" s="11">
        <v>616775.25</v>
      </c>
      <c r="ADA138" s="11"/>
      <c r="ADB138" s="11">
        <v>32168</v>
      </c>
      <c r="ADC138" s="11">
        <v>0</v>
      </c>
      <c r="ADD138" s="11"/>
      <c r="ADE138" s="11"/>
      <c r="ADF138" s="11"/>
      <c r="ADG138" s="11">
        <v>97814.6</v>
      </c>
      <c r="ADH138" s="11">
        <v>388484.77</v>
      </c>
      <c r="ADI138" s="11">
        <v>718532.15</v>
      </c>
      <c r="ADJ138" s="11"/>
      <c r="ADK138" s="11"/>
      <c r="ADL138" s="11"/>
      <c r="ADM138" s="11">
        <v>184516.4</v>
      </c>
      <c r="ADN138" s="11"/>
      <c r="ADO138" s="11"/>
      <c r="ADP138" s="11">
        <v>7980346.7699999996</v>
      </c>
      <c r="ADQ138" s="11"/>
      <c r="ADR138" s="11">
        <v>0</v>
      </c>
      <c r="ADS138" s="11"/>
      <c r="ADT138" s="11"/>
      <c r="ADU138" s="11">
        <v>694028</v>
      </c>
      <c r="ADV138" s="11">
        <v>899970</v>
      </c>
      <c r="ADW138" s="11">
        <v>0</v>
      </c>
      <c r="ADX138" s="11">
        <v>0</v>
      </c>
      <c r="ADY138" s="11"/>
      <c r="ADZ138" s="11"/>
      <c r="AEA138" s="11">
        <v>3155684.67</v>
      </c>
      <c r="AEB138" s="11">
        <v>661677.30000000005</v>
      </c>
      <c r="AEC138" s="11">
        <v>5098482.87</v>
      </c>
      <c r="AED138" s="11"/>
      <c r="AEE138" s="11">
        <v>341552.25</v>
      </c>
      <c r="AEF138" s="11">
        <v>332496.36</v>
      </c>
      <c r="AEG138" s="11"/>
      <c r="AEH138" s="11"/>
      <c r="AEI138" s="11"/>
      <c r="AEJ138" s="11">
        <v>3843280.55</v>
      </c>
      <c r="AEK138" s="11"/>
      <c r="AEL138" s="11"/>
      <c r="AEM138" s="11">
        <v>2660673.52</v>
      </c>
      <c r="AEN138" s="11"/>
      <c r="AEO138" s="11"/>
      <c r="AEP138" s="11">
        <v>1809250.04</v>
      </c>
      <c r="AEQ138" s="11"/>
      <c r="AER138" s="11"/>
      <c r="AES138" s="11"/>
      <c r="AET138" s="11"/>
      <c r="AEU138" s="11">
        <v>726913.08</v>
      </c>
      <c r="AEV138" s="11">
        <v>338669.28</v>
      </c>
      <c r="AEW138" s="11">
        <v>3711335.95</v>
      </c>
      <c r="AEX138" s="11">
        <v>60000</v>
      </c>
      <c r="AEY138" s="11">
        <v>26653.24</v>
      </c>
      <c r="AEZ138" s="11"/>
      <c r="AFA138" s="11">
        <v>1683850</v>
      </c>
      <c r="AFB138" s="11"/>
      <c r="AFC138" s="11"/>
      <c r="AFD138" s="11">
        <v>700000</v>
      </c>
      <c r="AFE138" s="11">
        <v>442550</v>
      </c>
      <c r="AFF138" s="11"/>
      <c r="AFG138" s="11"/>
      <c r="AFH138" s="11"/>
      <c r="AFI138" s="11"/>
      <c r="AFJ138" s="11">
        <v>723712.55</v>
      </c>
      <c r="AFK138" s="11">
        <v>675000</v>
      </c>
      <c r="AFL138" s="11">
        <v>-294480</v>
      </c>
      <c r="AFM138" s="11"/>
      <c r="AFN138" s="11">
        <v>0</v>
      </c>
      <c r="AFO138" s="11">
        <v>2503293.12</v>
      </c>
      <c r="AFP138" s="11">
        <v>685026.17</v>
      </c>
      <c r="AFQ138" s="11"/>
      <c r="AFR138" s="11">
        <v>530382.07999999996</v>
      </c>
      <c r="AFS138" s="11">
        <v>214080</v>
      </c>
      <c r="AFT138" s="11">
        <v>33326.5</v>
      </c>
      <c r="AFU138" s="11"/>
      <c r="AFV138" s="11">
        <v>390823.15</v>
      </c>
      <c r="AFW138" s="11"/>
      <c r="AFX138" s="11">
        <v>552600</v>
      </c>
      <c r="AFY138" s="11">
        <v>0</v>
      </c>
      <c r="AFZ138" s="11">
        <v>206670.73</v>
      </c>
      <c r="AGA138" s="11">
        <v>569712.43999999994</v>
      </c>
      <c r="AGB138" s="11"/>
      <c r="AGC138" s="11">
        <v>7138364.1500000004</v>
      </c>
      <c r="AGD138" s="11">
        <v>1399165</v>
      </c>
      <c r="AGE138" s="11">
        <v>820334</v>
      </c>
      <c r="AGF138" s="11">
        <v>72496.37</v>
      </c>
      <c r="AGG138" s="11">
        <v>2063562.3</v>
      </c>
      <c r="AGH138" s="11">
        <v>715074.65</v>
      </c>
      <c r="AGI138" s="11">
        <v>1036466.37</v>
      </c>
      <c r="AGJ138" s="11">
        <v>3699576.75</v>
      </c>
      <c r="AGK138" s="11"/>
      <c r="AGL138" s="11">
        <v>1724980</v>
      </c>
      <c r="AGM138" s="11"/>
      <c r="AGN138" s="11">
        <v>1682415.67</v>
      </c>
      <c r="AGO138" s="11"/>
      <c r="AGP138" s="11">
        <v>3636285.48</v>
      </c>
      <c r="AGQ138" s="11"/>
      <c r="AGR138" s="11"/>
      <c r="AGS138" s="11">
        <v>411582.95</v>
      </c>
      <c r="AGT138" s="11">
        <v>96300.93</v>
      </c>
      <c r="AGU138" s="11"/>
      <c r="AGV138" s="11">
        <v>2418018.94</v>
      </c>
      <c r="AGW138" s="11">
        <v>4823690.55</v>
      </c>
      <c r="AGX138" s="11">
        <v>941478.85</v>
      </c>
      <c r="AGY138" s="11">
        <v>198700</v>
      </c>
      <c r="AGZ138" s="11">
        <v>1088740.54</v>
      </c>
      <c r="AHA138" s="11">
        <v>3112551.91</v>
      </c>
      <c r="AHB138" s="11">
        <v>1883607.97</v>
      </c>
      <c r="AHC138" s="11"/>
      <c r="AHD138" s="11">
        <v>538096.12</v>
      </c>
      <c r="AHE138" s="11">
        <v>4309476.8899999997</v>
      </c>
      <c r="AHF138" s="11">
        <v>3219843.88</v>
      </c>
      <c r="AHG138" s="11"/>
      <c r="AHH138" s="11">
        <v>3290534.18</v>
      </c>
      <c r="AHI138" s="11">
        <v>4481685.17</v>
      </c>
      <c r="AHJ138" s="11">
        <v>391199.42</v>
      </c>
      <c r="AHK138" s="11"/>
      <c r="AHL138" s="11">
        <v>1196199.8799999999</v>
      </c>
      <c r="AHM138" s="11">
        <v>874747.21</v>
      </c>
      <c r="AHN138" s="11"/>
      <c r="AHO138" s="11">
        <v>10500</v>
      </c>
      <c r="AHP138" s="11"/>
      <c r="AHQ138" s="11"/>
      <c r="AHR138" s="11"/>
      <c r="AHS138" s="11">
        <v>342680.64</v>
      </c>
      <c r="AHT138" s="11">
        <v>569440595.31999981</v>
      </c>
      <c r="AHV138" s="269" t="s">
        <v>6281</v>
      </c>
      <c r="AHW138" s="269" t="s">
        <v>6216</v>
      </c>
      <c r="AHX138" s="269" t="s">
        <v>6217</v>
      </c>
    </row>
    <row r="139" spans="1:908" x14ac:dyDescent="0.7">
      <c r="A139" s="6" t="s">
        <v>6281</v>
      </c>
      <c r="B139" s="6" t="s">
        <v>6216</v>
      </c>
      <c r="C139" s="6" t="s">
        <v>6217</v>
      </c>
      <c r="D139" s="11">
        <v>17606753.140000001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>
        <v>52051472.020000003</v>
      </c>
      <c r="W139" s="11"/>
      <c r="X139" s="11"/>
      <c r="Y139" s="11"/>
      <c r="Z139" s="11"/>
      <c r="AA139" s="11"/>
      <c r="AB139" s="11"/>
      <c r="AC139" s="11"/>
      <c r="AD139" s="11"/>
      <c r="AE139" s="11"/>
      <c r="AF139" s="11">
        <v>10476733.75</v>
      </c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>
        <v>7755009.0499999998</v>
      </c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>
        <v>13704931.279999999</v>
      </c>
      <c r="BJ139" s="11">
        <v>1393046.19</v>
      </c>
      <c r="BK139" s="11"/>
      <c r="BL139" s="11"/>
      <c r="BM139" s="11"/>
      <c r="BN139" s="11"/>
      <c r="BO139" s="11"/>
      <c r="BP139" s="11"/>
      <c r="BQ139" s="11"/>
      <c r="BR139" s="11">
        <v>4867046.25</v>
      </c>
      <c r="BS139" s="11"/>
      <c r="BT139" s="11"/>
      <c r="BU139" s="11"/>
      <c r="BV139" s="11"/>
      <c r="BW139" s="11"/>
      <c r="BX139" s="11"/>
      <c r="BY139" s="11"/>
      <c r="BZ139" s="11">
        <v>3818616.78</v>
      </c>
      <c r="CA139" s="11"/>
      <c r="CB139" s="11"/>
      <c r="CC139" s="11"/>
      <c r="CD139" s="11"/>
      <c r="CE139" s="11"/>
      <c r="CF139" s="11"/>
      <c r="CG139" s="11">
        <v>16770883.74</v>
      </c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>
        <v>38930270.950000003</v>
      </c>
      <c r="CU139" s="11"/>
      <c r="CV139" s="11"/>
      <c r="CW139" s="11"/>
      <c r="CX139" s="11"/>
      <c r="CY139" s="11"/>
      <c r="CZ139" s="11"/>
      <c r="DA139" s="11"/>
      <c r="DB139" s="11">
        <v>8782352.3499999996</v>
      </c>
      <c r="DC139" s="11">
        <v>14243902.449999999</v>
      </c>
      <c r="DD139" s="11"/>
      <c r="DE139" s="11"/>
      <c r="DF139" s="11"/>
      <c r="DG139" s="11"/>
      <c r="DH139" s="11"/>
      <c r="DI139" s="11"/>
      <c r="DJ139" s="11"/>
      <c r="DK139" s="11">
        <v>34721740.740000002</v>
      </c>
      <c r="DL139" s="11"/>
      <c r="DM139" s="11"/>
      <c r="DN139" s="11"/>
      <c r="DO139" s="11"/>
      <c r="DP139" s="11"/>
      <c r="DQ139" s="11"/>
      <c r="DR139" s="11"/>
      <c r="DS139" s="11"/>
      <c r="DT139" s="11">
        <v>24068690.829999998</v>
      </c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>
        <v>5732374.5499999998</v>
      </c>
      <c r="EF139" s="11">
        <v>7538791.7800000003</v>
      </c>
      <c r="EG139" s="11"/>
      <c r="EH139" s="11"/>
      <c r="EI139" s="11"/>
      <c r="EJ139" s="11"/>
      <c r="EK139" s="11"/>
      <c r="EL139" s="11"/>
      <c r="EM139" s="11"/>
      <c r="EN139" s="11">
        <v>45564249.619999997</v>
      </c>
      <c r="EO139" s="11"/>
      <c r="EP139" s="11"/>
      <c r="EQ139" s="11"/>
      <c r="ER139" s="11"/>
      <c r="ES139" s="11"/>
      <c r="ET139" s="11"/>
      <c r="EU139" s="11"/>
      <c r="EV139" s="11"/>
      <c r="EW139" s="11">
        <v>5183077.4800000004</v>
      </c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>
        <v>482.5</v>
      </c>
      <c r="FI139" s="11">
        <v>7015080.75</v>
      </c>
      <c r="FJ139" s="11"/>
      <c r="FK139" s="11"/>
      <c r="FL139" s="11"/>
      <c r="FM139" s="11"/>
      <c r="FN139" s="11"/>
      <c r="FO139" s="11"/>
      <c r="FP139" s="11"/>
      <c r="FQ139" s="11">
        <v>39247228.18</v>
      </c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>
        <v>7221865.4800000004</v>
      </c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>
        <v>18443933.41</v>
      </c>
      <c r="GR139" s="11"/>
      <c r="GS139" s="11"/>
      <c r="GT139" s="11"/>
      <c r="GU139" s="11"/>
      <c r="GV139" s="11"/>
      <c r="GW139" s="11"/>
      <c r="GX139" s="11"/>
      <c r="GY139" s="11">
        <v>9524387.2599999998</v>
      </c>
      <c r="GZ139" s="11"/>
      <c r="HA139" s="11"/>
      <c r="HB139" s="11"/>
      <c r="HC139" s="11">
        <v>36258413.890000001</v>
      </c>
      <c r="HD139" s="11"/>
      <c r="HE139" s="11"/>
      <c r="HF139" s="11"/>
      <c r="HG139" s="11"/>
      <c r="HH139" s="11"/>
      <c r="HI139" s="11"/>
      <c r="HJ139" s="11"/>
      <c r="HK139" s="11">
        <v>30857441.760000002</v>
      </c>
      <c r="HL139" s="11"/>
      <c r="HM139" s="11"/>
      <c r="HN139" s="11"/>
      <c r="HO139" s="11"/>
      <c r="HP139" s="11"/>
      <c r="HQ139" s="11"/>
      <c r="HR139" s="11"/>
      <c r="HS139" s="11">
        <v>12032714.18</v>
      </c>
      <c r="HT139" s="11">
        <v>472217.65</v>
      </c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>
        <v>52080430.43</v>
      </c>
      <c r="IJ139" s="11">
        <v>8712113.9299999997</v>
      </c>
      <c r="IK139" s="11"/>
      <c r="IL139" s="11"/>
      <c r="IM139" s="11"/>
      <c r="IN139" s="11"/>
      <c r="IO139" s="11"/>
      <c r="IP139" s="11"/>
      <c r="IQ139" s="11"/>
      <c r="IR139" s="11"/>
      <c r="IS139" s="11"/>
      <c r="IT139" s="11">
        <v>4246196.3499999996</v>
      </c>
      <c r="IU139" s="11">
        <v>130730364.29000001</v>
      </c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>
        <v>3164851.08</v>
      </c>
      <c r="JG139" s="11">
        <v>835658.79</v>
      </c>
      <c r="JH139" s="11"/>
      <c r="JI139" s="11"/>
      <c r="JJ139" s="11"/>
      <c r="JK139" s="11"/>
      <c r="JL139" s="11">
        <v>13961066.23</v>
      </c>
      <c r="JM139" s="11"/>
      <c r="JN139" s="11"/>
      <c r="JO139" s="11"/>
      <c r="JP139" s="11"/>
      <c r="JQ139" s="11"/>
      <c r="JR139" s="11"/>
      <c r="JS139" s="11">
        <v>36429155.509999998</v>
      </c>
      <c r="JT139" s="11">
        <v>29407142.129999999</v>
      </c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>
        <v>118433985.22</v>
      </c>
      <c r="KJ139" s="11"/>
      <c r="KK139" s="11"/>
      <c r="KL139" s="11"/>
      <c r="KM139" s="11"/>
      <c r="KN139" s="11"/>
      <c r="KO139" s="11"/>
      <c r="KP139" s="11"/>
      <c r="KQ139" s="11"/>
      <c r="KR139" s="11">
        <v>2414145.23</v>
      </c>
      <c r="KS139" s="11"/>
      <c r="KT139" s="11"/>
      <c r="KU139" s="11">
        <v>2625319.4700000002</v>
      </c>
      <c r="KV139" s="11"/>
      <c r="KW139" s="11"/>
      <c r="KX139" s="11">
        <v>11691553.24</v>
      </c>
      <c r="KY139" s="11"/>
      <c r="KZ139" s="11">
        <v>38327756.899999999</v>
      </c>
      <c r="LA139" s="11"/>
      <c r="LB139" s="11"/>
      <c r="LC139" s="11"/>
      <c r="LD139" s="11"/>
      <c r="LE139" s="11"/>
      <c r="LF139" s="11"/>
      <c r="LG139" s="11"/>
      <c r="LH139" s="11">
        <v>93900989.840000004</v>
      </c>
      <c r="LI139" s="11">
        <v>7392147.5599999996</v>
      </c>
      <c r="LJ139" s="11">
        <v>5269002.7699999996</v>
      </c>
      <c r="LK139" s="11">
        <v>33778049.270000003</v>
      </c>
      <c r="LL139" s="11"/>
      <c r="LM139" s="11"/>
      <c r="LN139" s="11"/>
      <c r="LO139" s="11"/>
      <c r="LP139" s="11"/>
      <c r="LQ139" s="11"/>
      <c r="LR139" s="11"/>
      <c r="LS139" s="11">
        <v>2406132.7599999998</v>
      </c>
      <c r="LT139" s="11"/>
      <c r="LU139" s="11"/>
      <c r="LV139" s="11">
        <v>85911608.629999995</v>
      </c>
      <c r="LW139" s="11">
        <v>3451317.01</v>
      </c>
      <c r="LX139" s="11">
        <v>37734271.649999999</v>
      </c>
      <c r="LY139" s="11">
        <v>150882.6</v>
      </c>
      <c r="LZ139" s="11"/>
      <c r="MA139" s="11"/>
      <c r="MB139" s="11"/>
      <c r="MC139" s="11"/>
      <c r="MD139" s="11"/>
      <c r="ME139" s="11"/>
      <c r="MF139" s="11">
        <v>1304101.5</v>
      </c>
      <c r="MG139" s="11"/>
      <c r="MH139" s="11">
        <v>14117602.9</v>
      </c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>
        <v>101795870.12</v>
      </c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>
        <v>238209294.34</v>
      </c>
      <c r="NF139" s="11"/>
      <c r="NG139" s="11"/>
      <c r="NH139" s="11"/>
      <c r="NI139" s="11"/>
      <c r="NJ139" s="11"/>
      <c r="NK139" s="11">
        <v>124910333.53</v>
      </c>
      <c r="NL139" s="11">
        <v>1816306.99</v>
      </c>
      <c r="NM139" s="11"/>
      <c r="NN139" s="11"/>
      <c r="NO139" s="11"/>
      <c r="NP139" s="11"/>
      <c r="NQ139" s="11">
        <v>16713648.57</v>
      </c>
      <c r="NR139" s="11"/>
      <c r="NS139" s="11"/>
      <c r="NT139" s="11"/>
      <c r="NU139" s="11"/>
      <c r="NV139" s="11"/>
      <c r="NW139" s="11"/>
      <c r="NX139" s="11">
        <v>67396263.030000001</v>
      </c>
      <c r="NY139" s="11">
        <v>42639957</v>
      </c>
      <c r="NZ139" s="11"/>
      <c r="OA139" s="11"/>
      <c r="OB139" s="11"/>
      <c r="OC139" s="11"/>
      <c r="OD139" s="11"/>
      <c r="OE139" s="11">
        <v>314632056.85000002</v>
      </c>
      <c r="OF139" s="11"/>
      <c r="OG139" s="11"/>
      <c r="OH139" s="11">
        <v>7328716.6600000001</v>
      </c>
      <c r="OI139" s="11"/>
      <c r="OJ139" s="11"/>
      <c r="OK139" s="11"/>
      <c r="OL139" s="11"/>
      <c r="OM139" s="11"/>
      <c r="ON139" s="11">
        <v>0</v>
      </c>
      <c r="OO139" s="11">
        <v>2769374.4</v>
      </c>
      <c r="OP139" s="11">
        <v>1216224.5</v>
      </c>
      <c r="OQ139" s="11"/>
      <c r="OR139" s="11"/>
      <c r="OS139" s="11"/>
      <c r="OT139" s="11">
        <v>10464154.890000001</v>
      </c>
      <c r="OU139" s="11"/>
      <c r="OV139" s="11"/>
      <c r="OW139" s="11"/>
      <c r="OX139" s="11"/>
      <c r="OY139" s="11"/>
      <c r="OZ139" s="11"/>
      <c r="PA139" s="11"/>
      <c r="PB139" s="11"/>
      <c r="PC139" s="11">
        <v>0</v>
      </c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>
        <v>77521064.120000005</v>
      </c>
      <c r="PV139" s="11"/>
      <c r="PW139" s="11"/>
      <c r="PX139" s="11"/>
      <c r="PY139" s="11">
        <v>47782667.950000003</v>
      </c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>
        <v>450</v>
      </c>
      <c r="QQ139" s="11"/>
      <c r="QR139" s="11"/>
      <c r="QS139" s="11"/>
      <c r="QT139" s="11"/>
      <c r="QU139" s="11">
        <v>7782079.4400000004</v>
      </c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>
        <v>50779026.780000001</v>
      </c>
      <c r="RI139" s="11">
        <v>171370.5</v>
      </c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>
        <v>9585660.3900000006</v>
      </c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>
        <v>4720512.4400000004</v>
      </c>
      <c r="SO139" s="11"/>
      <c r="SP139" s="11"/>
      <c r="SQ139" s="11"/>
      <c r="SR139" s="11"/>
      <c r="SS139" s="11"/>
      <c r="ST139" s="11"/>
      <c r="SU139" s="11"/>
      <c r="SV139" s="11">
        <v>12781036.77</v>
      </c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>
        <v>22699164.27</v>
      </c>
      <c r="TK139" s="11"/>
      <c r="TL139" s="11"/>
      <c r="TM139" s="11">
        <v>73200</v>
      </c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>
        <v>7239517.2300000004</v>
      </c>
      <c r="UA139" s="11"/>
      <c r="UB139" s="11">
        <v>7108417.1200000001</v>
      </c>
      <c r="UC139" s="11"/>
      <c r="UD139" s="11"/>
      <c r="UE139" s="11"/>
      <c r="UF139" s="11">
        <v>4724095.17</v>
      </c>
      <c r="UG139" s="11"/>
      <c r="UH139" s="11"/>
      <c r="UI139" s="11"/>
      <c r="UJ139" s="11"/>
      <c r="UK139" s="11">
        <v>6889175.3099999996</v>
      </c>
      <c r="UL139" s="11"/>
      <c r="UM139" s="11"/>
      <c r="UN139" s="11"/>
      <c r="UO139" s="11"/>
      <c r="UP139" s="11"/>
      <c r="UQ139" s="11">
        <v>69856013.120000005</v>
      </c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>
        <v>3181967.69</v>
      </c>
      <c r="VJ139" s="11"/>
      <c r="VK139" s="11"/>
      <c r="VL139" s="11"/>
      <c r="VM139" s="11">
        <v>27860799.210000001</v>
      </c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>
        <v>119653254.48999999</v>
      </c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>
        <v>0</v>
      </c>
      <c r="WW139" s="11"/>
      <c r="WX139" s="11"/>
      <c r="WY139" s="11"/>
      <c r="WZ139" s="11"/>
      <c r="XA139" s="11"/>
      <c r="XB139" s="11"/>
      <c r="XC139" s="11"/>
      <c r="XD139" s="11">
        <v>7703294.2999999998</v>
      </c>
      <c r="XE139" s="11"/>
      <c r="XF139" s="11"/>
      <c r="XG139" s="11"/>
      <c r="XH139" s="11"/>
      <c r="XI139" s="11">
        <v>49696009.649999999</v>
      </c>
      <c r="XJ139" s="11"/>
      <c r="XK139" s="11"/>
      <c r="XL139" s="11">
        <v>22343454.050000001</v>
      </c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>
        <v>104000388.61</v>
      </c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>
        <v>23124531.359999999</v>
      </c>
      <c r="YX139" s="11"/>
      <c r="YY139" s="11"/>
      <c r="YZ139" s="11"/>
      <c r="ZA139" s="11">
        <v>1389660</v>
      </c>
      <c r="ZB139" s="11"/>
      <c r="ZC139" s="11"/>
      <c r="ZD139" s="11">
        <v>9255127.6899999995</v>
      </c>
      <c r="ZE139" s="11"/>
      <c r="ZF139" s="11"/>
      <c r="ZG139" s="11"/>
      <c r="ZH139" s="11"/>
      <c r="ZI139" s="11"/>
      <c r="ZJ139" s="11"/>
      <c r="ZK139" s="11"/>
      <c r="ZL139" s="11"/>
      <c r="ZM139" s="11">
        <v>26885623.120000001</v>
      </c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>
        <v>18085661.640000001</v>
      </c>
      <c r="AAJ139" s="11"/>
      <c r="AAK139" s="11"/>
      <c r="AAL139" s="11"/>
      <c r="AAM139" s="11"/>
      <c r="AAN139" s="11"/>
      <c r="AAO139" s="11"/>
      <c r="AAP139" s="11">
        <v>117319225.09999999</v>
      </c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>
        <v>24807900.739999998</v>
      </c>
      <c r="ABB139" s="11"/>
      <c r="ABC139" s="11"/>
      <c r="ABD139" s="11"/>
      <c r="ABE139" s="11"/>
      <c r="ABF139" s="11"/>
      <c r="ABG139" s="11"/>
      <c r="ABH139" s="11"/>
      <c r="ABI139" s="11">
        <v>2171086.66</v>
      </c>
      <c r="ABJ139" s="11"/>
      <c r="ABK139" s="11"/>
      <c r="ABL139" s="11"/>
      <c r="ABM139" s="11"/>
      <c r="ABN139" s="11"/>
      <c r="ABO139" s="11"/>
      <c r="ABP139" s="11">
        <v>4684376.79</v>
      </c>
      <c r="ABQ139" s="11"/>
      <c r="ABR139" s="11"/>
      <c r="ABS139" s="11"/>
      <c r="ABT139" s="11"/>
      <c r="ABU139" s="11"/>
      <c r="ABV139" s="11"/>
      <c r="ABW139" s="11"/>
      <c r="ABX139" s="11"/>
      <c r="ABY139" s="11">
        <v>38160285.049999997</v>
      </c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>
        <v>52820293.590000004</v>
      </c>
      <c r="ACK139" s="11"/>
      <c r="ACL139" s="11"/>
      <c r="ACM139" s="11"/>
      <c r="ACN139" s="11"/>
      <c r="ACO139" s="11"/>
      <c r="ACP139" s="11"/>
      <c r="ACQ139" s="11">
        <v>29755054.969999999</v>
      </c>
      <c r="ACR139" s="11">
        <v>77354781.489999995</v>
      </c>
      <c r="ACS139" s="11"/>
      <c r="ACT139" s="11"/>
      <c r="ACU139" s="11"/>
      <c r="ACV139" s="11"/>
      <c r="ACW139" s="11">
        <v>4835429.4800000004</v>
      </c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>
        <v>1052663.95</v>
      </c>
      <c r="ADH139" s="11">
        <v>688493.56</v>
      </c>
      <c r="ADI139" s="11"/>
      <c r="ADJ139" s="11"/>
      <c r="ADK139" s="11"/>
      <c r="ADL139" s="11"/>
      <c r="ADM139" s="11"/>
      <c r="ADN139" s="11"/>
      <c r="ADO139" s="11"/>
      <c r="ADP139" s="11">
        <v>45642860.240000002</v>
      </c>
      <c r="ADQ139" s="11">
        <v>16947269.640000001</v>
      </c>
      <c r="ADR139" s="11"/>
      <c r="ADS139" s="11"/>
      <c r="ADT139" s="11">
        <v>4121727.84</v>
      </c>
      <c r="ADU139" s="11"/>
      <c r="ADV139" s="11">
        <v>82518.720000000001</v>
      </c>
      <c r="ADW139" s="11"/>
      <c r="ADX139" s="11"/>
      <c r="ADY139" s="11"/>
      <c r="ADZ139" s="11">
        <v>81469378.849999994</v>
      </c>
      <c r="AEA139" s="11">
        <v>13821886.689999999</v>
      </c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>
        <v>12192714.99</v>
      </c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>
        <v>4858326.32</v>
      </c>
      <c r="AFE139" s="11">
        <v>1884568.8</v>
      </c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>
        <v>2079938.67</v>
      </c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>
        <v>15356172.050000001</v>
      </c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>
        <v>2012801.89</v>
      </c>
      <c r="AGO139" s="11">
        <v>671105.43</v>
      </c>
      <c r="AGP139" s="11"/>
      <c r="AGQ139" s="11"/>
      <c r="AGR139" s="11"/>
      <c r="AGS139" s="11"/>
      <c r="AGT139" s="11"/>
      <c r="AGU139" s="11"/>
      <c r="AGV139" s="11">
        <v>42153082.619999997</v>
      </c>
      <c r="AGW139" s="11">
        <v>8140489.1799999997</v>
      </c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>
        <v>7841742.9500000002</v>
      </c>
      <c r="AHN139" s="11"/>
      <c r="AHO139" s="11"/>
      <c r="AHP139" s="11">
        <v>0</v>
      </c>
      <c r="AHQ139" s="11"/>
      <c r="AHR139" s="11"/>
      <c r="AHS139" s="11"/>
      <c r="AHT139" s="11">
        <v>3498471152.8599987</v>
      </c>
      <c r="AHV139" s="269" t="s">
        <v>6278</v>
      </c>
      <c r="AHW139" s="269" t="s">
        <v>6218</v>
      </c>
      <c r="AHX139" s="269" t="s">
        <v>6219</v>
      </c>
    </row>
    <row r="140" spans="1:908" x14ac:dyDescent="0.7">
      <c r="A140" s="6" t="s">
        <v>6278</v>
      </c>
      <c r="B140" s="6" t="s">
        <v>6218</v>
      </c>
      <c r="C140" s="6" t="s">
        <v>6219</v>
      </c>
      <c r="D140" s="11">
        <v>4682068.16</v>
      </c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>
        <v>34747.11</v>
      </c>
      <c r="AU140" s="11"/>
      <c r="AV140" s="11">
        <v>3600</v>
      </c>
      <c r="AW140" s="11"/>
      <c r="AX140" s="11">
        <v>4700</v>
      </c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>
        <v>1773.33</v>
      </c>
      <c r="BJ140" s="11">
        <v>471883.01</v>
      </c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>
        <v>495965.26</v>
      </c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>
        <v>2999931.29</v>
      </c>
      <c r="CU140" s="11"/>
      <c r="CV140" s="11"/>
      <c r="CW140" s="11"/>
      <c r="CX140" s="11"/>
      <c r="CY140" s="11"/>
      <c r="CZ140" s="11"/>
      <c r="DA140" s="11"/>
      <c r="DB140" s="11">
        <v>1844785.11</v>
      </c>
      <c r="DC140" s="11">
        <v>6653024.8099999996</v>
      </c>
      <c r="DD140" s="11"/>
      <c r="DE140" s="11"/>
      <c r="DF140" s="11"/>
      <c r="DG140" s="11"/>
      <c r="DH140" s="11"/>
      <c r="DI140" s="11"/>
      <c r="DJ140" s="11"/>
      <c r="DK140" s="11">
        <v>7019936.0800000001</v>
      </c>
      <c r="DL140" s="11"/>
      <c r="DM140" s="11"/>
      <c r="DN140" s="11"/>
      <c r="DO140" s="11"/>
      <c r="DP140" s="11"/>
      <c r="DQ140" s="11"/>
      <c r="DR140" s="11"/>
      <c r="DS140" s="11"/>
      <c r="DT140" s="11">
        <v>6453026.4400000004</v>
      </c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>
        <v>1995111.09</v>
      </c>
      <c r="EF140" s="11">
        <v>1572886.4</v>
      </c>
      <c r="EG140" s="11"/>
      <c r="EH140" s="11"/>
      <c r="EI140" s="11"/>
      <c r="EJ140" s="11"/>
      <c r="EK140" s="11"/>
      <c r="EL140" s="11"/>
      <c r="EM140" s="11"/>
      <c r="EN140" s="11">
        <v>1865191.98</v>
      </c>
      <c r="EO140" s="11"/>
      <c r="EP140" s="11"/>
      <c r="EQ140" s="11"/>
      <c r="ER140" s="11"/>
      <c r="ES140" s="11"/>
      <c r="ET140" s="11"/>
      <c r="EU140" s="11"/>
      <c r="EV140" s="11"/>
      <c r="EW140" s="11">
        <v>6920750.8099999996</v>
      </c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>
        <v>3501679.26</v>
      </c>
      <c r="FJ140" s="11"/>
      <c r="FK140" s="11"/>
      <c r="FL140" s="11"/>
      <c r="FM140" s="11"/>
      <c r="FN140" s="11"/>
      <c r="FO140" s="11"/>
      <c r="FP140" s="11"/>
      <c r="FQ140" s="11">
        <v>3459343.81</v>
      </c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>
        <v>6141100.5800000001</v>
      </c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>
        <v>6169197</v>
      </c>
      <c r="GR140" s="11"/>
      <c r="GS140" s="11"/>
      <c r="GT140" s="11"/>
      <c r="GU140" s="11"/>
      <c r="GV140" s="11"/>
      <c r="GW140" s="11"/>
      <c r="GX140" s="11"/>
      <c r="GY140" s="11">
        <v>4478521.66</v>
      </c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>
        <v>53240855.530000001</v>
      </c>
      <c r="HL140" s="11"/>
      <c r="HM140" s="11"/>
      <c r="HN140" s="11"/>
      <c r="HO140" s="11"/>
      <c r="HP140" s="11"/>
      <c r="HQ140" s="11"/>
      <c r="HR140" s="11"/>
      <c r="HS140" s="11">
        <v>23411432.120000001</v>
      </c>
      <c r="HT140" s="11">
        <v>5402015.6600000001</v>
      </c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>
        <v>16528463.859999999</v>
      </c>
      <c r="IJ140" s="11">
        <v>1378071.84</v>
      </c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>
        <v>2149595.83</v>
      </c>
      <c r="JG140" s="11">
        <v>997815.58</v>
      </c>
      <c r="JH140" s="11"/>
      <c r="JI140" s="11"/>
      <c r="JJ140" s="11"/>
      <c r="JK140" s="11"/>
      <c r="JL140" s="11">
        <v>10582542.15</v>
      </c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>
        <v>15073165.67</v>
      </c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>
        <v>2140199.25</v>
      </c>
      <c r="KV140" s="11"/>
      <c r="KW140" s="11"/>
      <c r="KX140" s="11">
        <v>4887021.25</v>
      </c>
      <c r="KY140" s="11"/>
      <c r="KZ140" s="11">
        <v>24631891.93</v>
      </c>
      <c r="LA140" s="11"/>
      <c r="LB140" s="11"/>
      <c r="LC140" s="11"/>
      <c r="LD140" s="11"/>
      <c r="LE140" s="11"/>
      <c r="LF140" s="11"/>
      <c r="LG140" s="11"/>
      <c r="LH140" s="11">
        <v>19413095.100000001</v>
      </c>
      <c r="LI140" s="11"/>
      <c r="LJ140" s="11">
        <v>3861868.52</v>
      </c>
      <c r="LK140" s="11"/>
      <c r="LL140" s="11"/>
      <c r="LM140" s="11"/>
      <c r="LN140" s="11"/>
      <c r="LO140" s="11"/>
      <c r="LP140" s="11"/>
      <c r="LQ140" s="11"/>
      <c r="LR140" s="11"/>
      <c r="LS140" s="11">
        <v>10506952.58</v>
      </c>
      <c r="LT140" s="11"/>
      <c r="LU140" s="11"/>
      <c r="LV140" s="11"/>
      <c r="LW140" s="11">
        <v>6831344.2300000004</v>
      </c>
      <c r="LX140" s="11">
        <v>14651715.880000001</v>
      </c>
      <c r="LY140" s="11">
        <v>1295389.8899999999</v>
      </c>
      <c r="LZ140" s="11"/>
      <c r="MA140" s="11"/>
      <c r="MB140" s="11"/>
      <c r="MC140" s="11"/>
      <c r="MD140" s="11"/>
      <c r="ME140" s="11"/>
      <c r="MF140" s="11">
        <v>195123.1</v>
      </c>
      <c r="MG140" s="11"/>
      <c r="MH140" s="11">
        <v>2688482.41</v>
      </c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>
        <v>42085364.850000001</v>
      </c>
      <c r="MU140" s="11"/>
      <c r="MV140" s="11"/>
      <c r="MW140" s="11"/>
      <c r="MX140" s="11"/>
      <c r="MY140" s="11">
        <v>549</v>
      </c>
      <c r="MZ140" s="11"/>
      <c r="NA140" s="11"/>
      <c r="NB140" s="11"/>
      <c r="NC140" s="11"/>
      <c r="ND140" s="11"/>
      <c r="NE140" s="11">
        <v>52570826.280000001</v>
      </c>
      <c r="NF140" s="11"/>
      <c r="NG140" s="11"/>
      <c r="NH140" s="11"/>
      <c r="NI140" s="11"/>
      <c r="NJ140" s="11"/>
      <c r="NK140" s="11">
        <v>18777443.550000001</v>
      </c>
      <c r="NL140" s="11">
        <v>6133680.8099999996</v>
      </c>
      <c r="NM140" s="11"/>
      <c r="NN140" s="11"/>
      <c r="NO140" s="11"/>
      <c r="NP140" s="11"/>
      <c r="NQ140" s="11">
        <v>3269505.51</v>
      </c>
      <c r="NR140" s="11"/>
      <c r="NS140" s="11"/>
      <c r="NT140" s="11"/>
      <c r="NU140" s="11"/>
      <c r="NV140" s="11"/>
      <c r="NW140" s="11"/>
      <c r="NX140" s="11">
        <v>17100780.16</v>
      </c>
      <c r="NY140" s="11">
        <v>10215014.460000001</v>
      </c>
      <c r="NZ140" s="11"/>
      <c r="OA140" s="11"/>
      <c r="OB140" s="11"/>
      <c r="OC140" s="11"/>
      <c r="OD140" s="11"/>
      <c r="OE140" s="11">
        <v>12741346.15</v>
      </c>
      <c r="OF140" s="11"/>
      <c r="OG140" s="11"/>
      <c r="OH140" s="11"/>
      <c r="OI140" s="11"/>
      <c r="OJ140" s="11"/>
      <c r="OK140" s="11">
        <v>3851</v>
      </c>
      <c r="OL140" s="11"/>
      <c r="OM140" s="11"/>
      <c r="ON140" s="11">
        <v>3268222.92</v>
      </c>
      <c r="OO140" s="11">
        <v>7166009.0700000003</v>
      </c>
      <c r="OP140" s="11">
        <v>8473510.8300000001</v>
      </c>
      <c r="OQ140" s="11"/>
      <c r="OR140" s="11"/>
      <c r="OS140" s="11"/>
      <c r="OT140" s="11">
        <v>4024393.68</v>
      </c>
      <c r="OU140" s="11"/>
      <c r="OV140" s="11"/>
      <c r="OW140" s="11"/>
      <c r="OX140" s="11"/>
      <c r="OY140" s="11"/>
      <c r="OZ140" s="11"/>
      <c r="PA140" s="11"/>
      <c r="PB140" s="11"/>
      <c r="PC140" s="11">
        <v>4325475.2300000004</v>
      </c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>
        <v>5837156.7000000002</v>
      </c>
      <c r="PV140" s="11">
        <v>747372</v>
      </c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>
        <v>21522509.579999998</v>
      </c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>
        <v>5336216.25</v>
      </c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>
        <v>2972013.74</v>
      </c>
      <c r="SO140" s="11"/>
      <c r="SP140" s="11"/>
      <c r="SQ140" s="11"/>
      <c r="SR140" s="11"/>
      <c r="SS140" s="11"/>
      <c r="ST140" s="11"/>
      <c r="SU140" s="11"/>
      <c r="SV140" s="11">
        <v>3367291.06</v>
      </c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>
        <v>6573714.8700000001</v>
      </c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>
        <v>3675058.72</v>
      </c>
      <c r="UA140" s="11"/>
      <c r="UB140" s="11">
        <v>1816042.46</v>
      </c>
      <c r="UC140" s="11"/>
      <c r="UD140" s="11"/>
      <c r="UE140" s="11"/>
      <c r="UF140" s="11">
        <v>2805542.96</v>
      </c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>
        <v>207738.87</v>
      </c>
      <c r="VJ140" s="11"/>
      <c r="VK140" s="11"/>
      <c r="VL140" s="11">
        <v>0</v>
      </c>
      <c r="VM140" s="11">
        <v>1088662.23</v>
      </c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>
        <v>730806.21</v>
      </c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>
        <v>2916787.84</v>
      </c>
      <c r="XJ140" s="11"/>
      <c r="XK140" s="11"/>
      <c r="XL140" s="11">
        <v>9485749.2699999996</v>
      </c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>
        <v>4610397.03</v>
      </c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>
        <v>881846.36</v>
      </c>
      <c r="YX140" s="11"/>
      <c r="YY140" s="11"/>
      <c r="YZ140" s="11"/>
      <c r="ZA140" s="11"/>
      <c r="ZB140" s="11">
        <v>105913.98</v>
      </c>
      <c r="ZC140" s="11"/>
      <c r="ZD140" s="11">
        <v>2269455.8199999998</v>
      </c>
      <c r="ZE140" s="11"/>
      <c r="ZF140" s="11"/>
      <c r="ZG140" s="11"/>
      <c r="ZH140" s="11"/>
      <c r="ZI140" s="11"/>
      <c r="ZJ140" s="11"/>
      <c r="ZK140" s="11"/>
      <c r="ZL140" s="11"/>
      <c r="ZM140" s="11">
        <v>0</v>
      </c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>
        <v>13642597.33</v>
      </c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>
        <v>2892703.84</v>
      </c>
      <c r="ABB140" s="11"/>
      <c r="ABC140" s="11"/>
      <c r="ABD140" s="11"/>
      <c r="ABE140" s="11"/>
      <c r="ABF140" s="11">
        <v>29236.6</v>
      </c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>
        <v>9423949.6799999997</v>
      </c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>
        <v>1761</v>
      </c>
      <c r="ADE140" s="11"/>
      <c r="ADF140" s="11"/>
      <c r="ADG140" s="11">
        <v>844977.45</v>
      </c>
      <c r="ADH140" s="11">
        <v>949479.4</v>
      </c>
      <c r="ADI140" s="11"/>
      <c r="ADJ140" s="11"/>
      <c r="ADK140" s="11"/>
      <c r="ADL140" s="11"/>
      <c r="ADM140" s="11"/>
      <c r="ADN140" s="11"/>
      <c r="ADO140" s="11"/>
      <c r="ADP140" s="11">
        <v>28797069.940000001</v>
      </c>
      <c r="ADQ140" s="11">
        <v>2449550.11</v>
      </c>
      <c r="ADR140" s="11"/>
      <c r="ADS140" s="11"/>
      <c r="ADT140" s="11">
        <v>2844245.15</v>
      </c>
      <c r="ADU140" s="11"/>
      <c r="ADV140" s="11"/>
      <c r="ADW140" s="11"/>
      <c r="ADX140" s="11"/>
      <c r="ADY140" s="11"/>
      <c r="ADZ140" s="11">
        <v>58269730.850000001</v>
      </c>
      <c r="AEA140" s="11">
        <v>7263006.7699999996</v>
      </c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>
        <v>1206493.33</v>
      </c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>
        <v>4555309.76</v>
      </c>
      <c r="AFE140" s="11">
        <v>4253965.3099999996</v>
      </c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>
        <v>6532042.79</v>
      </c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>
        <v>899185.43</v>
      </c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>
        <v>8599327.9399999995</v>
      </c>
      <c r="AGO140" s="11">
        <v>1555362.9</v>
      </c>
      <c r="AGP140" s="11"/>
      <c r="AGQ140" s="11"/>
      <c r="AGR140" s="11"/>
      <c r="AGS140" s="11"/>
      <c r="AGT140" s="11"/>
      <c r="AGU140" s="11"/>
      <c r="AGV140" s="11">
        <v>16271054.640000001</v>
      </c>
      <c r="AGW140" s="11">
        <v>1209215.8400000001</v>
      </c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>
        <v>726232781.08000028</v>
      </c>
      <c r="AHV140" s="269" t="s">
        <v>6278</v>
      </c>
      <c r="AHW140" s="269" t="s">
        <v>6220</v>
      </c>
      <c r="AHX140" s="269" t="s">
        <v>6221</v>
      </c>
    </row>
    <row r="141" spans="1:908" x14ac:dyDescent="0.7">
      <c r="A141" s="6" t="s">
        <v>6278</v>
      </c>
      <c r="B141" s="6" t="s">
        <v>6220</v>
      </c>
      <c r="C141" s="6" t="s">
        <v>6221</v>
      </c>
      <c r="D141" s="11">
        <v>15312.14</v>
      </c>
      <c r="E141" s="11">
        <v>1560</v>
      </c>
      <c r="F141" s="11">
        <v>144943.5</v>
      </c>
      <c r="G141" s="11">
        <v>390</v>
      </c>
      <c r="H141" s="11">
        <v>642</v>
      </c>
      <c r="I141" s="11">
        <v>2928</v>
      </c>
      <c r="J141" s="11"/>
      <c r="K141" s="11">
        <v>5028</v>
      </c>
      <c r="L141" s="11">
        <v>996</v>
      </c>
      <c r="M141" s="11">
        <v>11855</v>
      </c>
      <c r="N141" s="11">
        <v>3586</v>
      </c>
      <c r="O141" s="11">
        <v>5494</v>
      </c>
      <c r="P141" s="11">
        <v>6050</v>
      </c>
      <c r="Q141" s="11">
        <v>27463</v>
      </c>
      <c r="R141" s="11">
        <v>0</v>
      </c>
      <c r="S141" s="11"/>
      <c r="T141" s="11">
        <v>5062</v>
      </c>
      <c r="U141" s="11">
        <v>22689</v>
      </c>
      <c r="V141" s="11">
        <v>21620765.52</v>
      </c>
      <c r="W141" s="11">
        <v>6504</v>
      </c>
      <c r="X141" s="11">
        <v>50870</v>
      </c>
      <c r="Y141" s="11">
        <v>0</v>
      </c>
      <c r="Z141" s="11">
        <v>168099</v>
      </c>
      <c r="AA141" s="11">
        <v>3154</v>
      </c>
      <c r="AB141" s="11">
        <v>619595</v>
      </c>
      <c r="AC141" s="11">
        <v>224989</v>
      </c>
      <c r="AD141" s="11">
        <v>21781</v>
      </c>
      <c r="AE141" s="11">
        <v>16776</v>
      </c>
      <c r="AF141" s="11">
        <v>18011</v>
      </c>
      <c r="AG141" s="11">
        <v>18172</v>
      </c>
      <c r="AH141" s="11">
        <v>156602</v>
      </c>
      <c r="AI141" s="11">
        <v>181282</v>
      </c>
      <c r="AJ141" s="11">
        <v>33600</v>
      </c>
      <c r="AK141" s="11">
        <v>650</v>
      </c>
      <c r="AL141" s="11">
        <v>360</v>
      </c>
      <c r="AM141" s="11">
        <v>69084</v>
      </c>
      <c r="AN141" s="11">
        <v>780</v>
      </c>
      <c r="AO141" s="11"/>
      <c r="AP141" s="11">
        <v>51364</v>
      </c>
      <c r="AQ141" s="11">
        <v>2702</v>
      </c>
      <c r="AR141" s="11">
        <v>153502</v>
      </c>
      <c r="AS141" s="11">
        <v>30</v>
      </c>
      <c r="AT141" s="11">
        <v>240</v>
      </c>
      <c r="AU141" s="11">
        <v>1950</v>
      </c>
      <c r="AV141" s="11"/>
      <c r="AW141" s="11">
        <v>1408</v>
      </c>
      <c r="AX141" s="11">
        <v>31511</v>
      </c>
      <c r="AY141" s="11">
        <v>5465</v>
      </c>
      <c r="AZ141" s="11">
        <v>24272</v>
      </c>
      <c r="BA141" s="11"/>
      <c r="BB141" s="11"/>
      <c r="BC141" s="11"/>
      <c r="BD141" s="11"/>
      <c r="BE141" s="11"/>
      <c r="BF141" s="11">
        <v>212890.38</v>
      </c>
      <c r="BG141" s="11"/>
      <c r="BH141" s="11"/>
      <c r="BI141" s="11">
        <v>51277</v>
      </c>
      <c r="BJ141" s="11"/>
      <c r="BK141" s="11">
        <v>9977.51</v>
      </c>
      <c r="BL141" s="11">
        <v>2228</v>
      </c>
      <c r="BM141" s="11">
        <v>5086</v>
      </c>
      <c r="BN141" s="11">
        <v>112488</v>
      </c>
      <c r="BO141" s="11">
        <v>52909.5</v>
      </c>
      <c r="BP141" s="11"/>
      <c r="BQ141" s="11"/>
      <c r="BR141" s="11">
        <v>485</v>
      </c>
      <c r="BS141" s="11">
        <v>48044</v>
      </c>
      <c r="BT141" s="11">
        <v>3186</v>
      </c>
      <c r="BU141" s="11">
        <v>9047</v>
      </c>
      <c r="BV141" s="11">
        <v>4617</v>
      </c>
      <c r="BW141" s="11">
        <v>21403</v>
      </c>
      <c r="BX141" s="11">
        <v>15021.65</v>
      </c>
      <c r="BY141" s="11">
        <v>9493</v>
      </c>
      <c r="BZ141" s="11">
        <v>159088.68</v>
      </c>
      <c r="CA141" s="11">
        <v>0</v>
      </c>
      <c r="CB141" s="11"/>
      <c r="CC141" s="11"/>
      <c r="CD141" s="11"/>
      <c r="CE141" s="11">
        <v>1532</v>
      </c>
      <c r="CF141" s="11">
        <v>36791</v>
      </c>
      <c r="CG141" s="11">
        <v>8368</v>
      </c>
      <c r="CH141" s="11">
        <v>0</v>
      </c>
      <c r="CI141" s="11">
        <v>254</v>
      </c>
      <c r="CJ141" s="11">
        <v>240</v>
      </c>
      <c r="CK141" s="11">
        <v>650</v>
      </c>
      <c r="CL141" s="11">
        <v>0</v>
      </c>
      <c r="CM141" s="11"/>
      <c r="CN141" s="11">
        <v>296</v>
      </c>
      <c r="CO141" s="11"/>
      <c r="CP141" s="11"/>
      <c r="CQ141" s="11"/>
      <c r="CR141" s="11">
        <v>260</v>
      </c>
      <c r="CS141" s="11">
        <v>0</v>
      </c>
      <c r="CT141" s="11">
        <v>46195</v>
      </c>
      <c r="CU141" s="11">
        <v>15807.5</v>
      </c>
      <c r="CV141" s="11">
        <v>7346</v>
      </c>
      <c r="CW141" s="11">
        <v>41118</v>
      </c>
      <c r="CX141" s="11">
        <v>0</v>
      </c>
      <c r="CY141" s="11">
        <v>18053</v>
      </c>
      <c r="CZ141" s="11">
        <v>62038</v>
      </c>
      <c r="DA141" s="11">
        <v>50046</v>
      </c>
      <c r="DB141" s="11">
        <v>6055</v>
      </c>
      <c r="DC141" s="11">
        <v>10776472.460000001</v>
      </c>
      <c r="DD141" s="11">
        <v>6172</v>
      </c>
      <c r="DE141" s="11">
        <v>3488</v>
      </c>
      <c r="DF141" s="11">
        <v>51620</v>
      </c>
      <c r="DG141" s="11">
        <v>102400</v>
      </c>
      <c r="DH141" s="11">
        <v>82614</v>
      </c>
      <c r="DI141" s="11">
        <v>3705.5</v>
      </c>
      <c r="DJ141" s="11">
        <v>1448</v>
      </c>
      <c r="DK141" s="11">
        <v>370050.2</v>
      </c>
      <c r="DL141" s="11">
        <v>87102</v>
      </c>
      <c r="DM141" s="11">
        <v>127995</v>
      </c>
      <c r="DN141" s="11">
        <v>24542</v>
      </c>
      <c r="DO141" s="11">
        <v>43733</v>
      </c>
      <c r="DP141" s="11">
        <v>101083</v>
      </c>
      <c r="DQ141" s="11">
        <v>72471.5</v>
      </c>
      <c r="DR141" s="11">
        <v>40268.5</v>
      </c>
      <c r="DS141" s="11">
        <v>582728</v>
      </c>
      <c r="DT141" s="11">
        <v>458</v>
      </c>
      <c r="DU141" s="11">
        <v>288</v>
      </c>
      <c r="DV141" s="11">
        <v>13350</v>
      </c>
      <c r="DW141" s="11">
        <v>1702</v>
      </c>
      <c r="DX141" s="11"/>
      <c r="DY141" s="11"/>
      <c r="DZ141" s="11">
        <v>1530.5</v>
      </c>
      <c r="EA141" s="11">
        <v>260</v>
      </c>
      <c r="EB141" s="11">
        <v>103128</v>
      </c>
      <c r="EC141" s="11">
        <v>260</v>
      </c>
      <c r="ED141" s="11">
        <v>0</v>
      </c>
      <c r="EE141" s="11">
        <v>4576</v>
      </c>
      <c r="EF141" s="11">
        <v>16085</v>
      </c>
      <c r="EG141" s="11">
        <v>14882</v>
      </c>
      <c r="EH141" s="11">
        <v>7222</v>
      </c>
      <c r="EI141" s="11">
        <v>9854</v>
      </c>
      <c r="EJ141" s="11">
        <v>107776</v>
      </c>
      <c r="EK141" s="11">
        <v>25674</v>
      </c>
      <c r="EL141" s="11">
        <v>1520</v>
      </c>
      <c r="EM141" s="11">
        <v>6162</v>
      </c>
      <c r="EN141" s="11">
        <v>6923365.71</v>
      </c>
      <c r="EO141" s="11"/>
      <c r="EP141" s="11"/>
      <c r="EQ141" s="11"/>
      <c r="ER141" s="11"/>
      <c r="ES141" s="11">
        <v>120</v>
      </c>
      <c r="ET141" s="11"/>
      <c r="EU141" s="11"/>
      <c r="EV141" s="11"/>
      <c r="EW141" s="11">
        <v>47408.5</v>
      </c>
      <c r="EX141" s="11">
        <v>3632</v>
      </c>
      <c r="EY141" s="11">
        <v>0</v>
      </c>
      <c r="EZ141" s="11">
        <v>520</v>
      </c>
      <c r="FA141" s="11">
        <v>6702</v>
      </c>
      <c r="FB141" s="11">
        <v>16492</v>
      </c>
      <c r="FC141" s="11">
        <v>22266</v>
      </c>
      <c r="FD141" s="11">
        <v>3250</v>
      </c>
      <c r="FE141" s="11">
        <v>147468</v>
      </c>
      <c r="FF141" s="11">
        <v>0</v>
      </c>
      <c r="FG141" s="11">
        <v>1170</v>
      </c>
      <c r="FH141" s="11">
        <v>520</v>
      </c>
      <c r="FI141" s="11">
        <v>488</v>
      </c>
      <c r="FJ141" s="11">
        <v>130</v>
      </c>
      <c r="FK141" s="11">
        <v>652</v>
      </c>
      <c r="FL141" s="11">
        <v>4606</v>
      </c>
      <c r="FM141" s="11">
        <v>38514</v>
      </c>
      <c r="FN141" s="11">
        <v>10508</v>
      </c>
      <c r="FO141" s="11">
        <v>42</v>
      </c>
      <c r="FP141" s="11"/>
      <c r="FQ141" s="11">
        <v>85243</v>
      </c>
      <c r="FR141" s="11">
        <v>141725.84</v>
      </c>
      <c r="FS141" s="11">
        <v>18675</v>
      </c>
      <c r="FT141" s="11">
        <v>26248</v>
      </c>
      <c r="FU141" s="11">
        <v>54036.5</v>
      </c>
      <c r="FV141" s="11">
        <v>2684</v>
      </c>
      <c r="FW141" s="11">
        <v>3582</v>
      </c>
      <c r="FX141" s="11">
        <v>18947</v>
      </c>
      <c r="FY141" s="11">
        <v>3102</v>
      </c>
      <c r="FZ141" s="11">
        <v>18272</v>
      </c>
      <c r="GA141" s="11">
        <v>73358</v>
      </c>
      <c r="GB141" s="11">
        <v>29618</v>
      </c>
      <c r="GC141" s="11">
        <v>4886</v>
      </c>
      <c r="GD141" s="11"/>
      <c r="GE141" s="11">
        <v>146</v>
      </c>
      <c r="GF141" s="11">
        <v>0</v>
      </c>
      <c r="GG141" s="11">
        <v>2854</v>
      </c>
      <c r="GH141" s="11">
        <v>-31782</v>
      </c>
      <c r="GI141" s="11">
        <v>130</v>
      </c>
      <c r="GJ141" s="11">
        <v>1417</v>
      </c>
      <c r="GK141" s="11">
        <v>0</v>
      </c>
      <c r="GL141" s="11">
        <v>23039</v>
      </c>
      <c r="GM141" s="11">
        <v>140</v>
      </c>
      <c r="GN141" s="11"/>
      <c r="GO141" s="11"/>
      <c r="GP141" s="11"/>
      <c r="GQ141" s="11">
        <v>43240.75</v>
      </c>
      <c r="GR141" s="11"/>
      <c r="GS141" s="11"/>
      <c r="GT141" s="11">
        <v>42</v>
      </c>
      <c r="GU141" s="11"/>
      <c r="GV141" s="11">
        <v>545313</v>
      </c>
      <c r="GW141" s="11"/>
      <c r="GX141" s="11"/>
      <c r="GY141" s="11">
        <v>149215</v>
      </c>
      <c r="GZ141" s="11"/>
      <c r="HA141" s="11">
        <v>6860</v>
      </c>
      <c r="HB141" s="11">
        <v>125312.5</v>
      </c>
      <c r="HC141" s="11">
        <v>128036</v>
      </c>
      <c r="HD141" s="11">
        <v>2673950.5299999998</v>
      </c>
      <c r="HE141" s="11">
        <v>638874.23</v>
      </c>
      <c r="HF141" s="11">
        <v>117349</v>
      </c>
      <c r="HG141" s="11">
        <v>1157410</v>
      </c>
      <c r="HH141" s="11">
        <v>214622.5</v>
      </c>
      <c r="HI141" s="11">
        <v>3966</v>
      </c>
      <c r="HJ141" s="11"/>
      <c r="HK141" s="11">
        <v>55019</v>
      </c>
      <c r="HL141" s="11">
        <v>57878</v>
      </c>
      <c r="HM141" s="11">
        <v>673795</v>
      </c>
      <c r="HN141" s="11">
        <v>817031.02</v>
      </c>
      <c r="HO141" s="11">
        <v>203302</v>
      </c>
      <c r="HP141" s="11">
        <v>71938.5</v>
      </c>
      <c r="HQ141" s="11">
        <v>258376</v>
      </c>
      <c r="HR141" s="11">
        <v>50386</v>
      </c>
      <c r="HS141" s="11">
        <v>2859</v>
      </c>
      <c r="HT141" s="11">
        <v>2882</v>
      </c>
      <c r="HU141" s="11">
        <v>3958</v>
      </c>
      <c r="HV141" s="11">
        <v>37216</v>
      </c>
      <c r="HW141" s="11">
        <v>3455</v>
      </c>
      <c r="HX141" s="11"/>
      <c r="HY141" s="11">
        <v>450</v>
      </c>
      <c r="HZ141" s="11">
        <v>9242</v>
      </c>
      <c r="IA141" s="11">
        <v>9158</v>
      </c>
      <c r="IB141" s="11">
        <v>130</v>
      </c>
      <c r="IC141" s="11">
        <v>1054</v>
      </c>
      <c r="ID141" s="11">
        <v>4502</v>
      </c>
      <c r="IE141" s="11"/>
      <c r="IF141" s="11">
        <v>3116</v>
      </c>
      <c r="IG141" s="11"/>
      <c r="IH141" s="11"/>
      <c r="II141" s="11">
        <v>960552.75</v>
      </c>
      <c r="IJ141" s="11">
        <v>60259.5</v>
      </c>
      <c r="IK141" s="11">
        <v>6645</v>
      </c>
      <c r="IL141" s="11">
        <v>5216</v>
      </c>
      <c r="IM141" s="11">
        <v>2116</v>
      </c>
      <c r="IN141" s="11">
        <v>1364</v>
      </c>
      <c r="IO141" s="11">
        <v>260</v>
      </c>
      <c r="IP141" s="11">
        <v>13986.73</v>
      </c>
      <c r="IQ141" s="11">
        <v>39997.5</v>
      </c>
      <c r="IR141" s="11">
        <v>47038.74</v>
      </c>
      <c r="IS141" s="11">
        <v>59685</v>
      </c>
      <c r="IT141" s="11">
        <v>56050</v>
      </c>
      <c r="IU141" s="11">
        <v>2973.05</v>
      </c>
      <c r="IV141" s="11"/>
      <c r="IW141" s="11"/>
      <c r="IX141" s="11">
        <v>209518</v>
      </c>
      <c r="IY141" s="11">
        <v>3271</v>
      </c>
      <c r="IZ141" s="11">
        <v>5098</v>
      </c>
      <c r="JA141" s="11"/>
      <c r="JB141" s="11">
        <v>780</v>
      </c>
      <c r="JC141" s="11">
        <v>508</v>
      </c>
      <c r="JD141" s="11">
        <v>-37776</v>
      </c>
      <c r="JE141" s="11"/>
      <c r="JF141" s="11">
        <v>1391</v>
      </c>
      <c r="JG141" s="11">
        <v>16371</v>
      </c>
      <c r="JH141" s="11">
        <v>3966</v>
      </c>
      <c r="JI141" s="11"/>
      <c r="JJ141" s="11">
        <v>0</v>
      </c>
      <c r="JK141" s="11">
        <v>7718</v>
      </c>
      <c r="JL141" s="11">
        <v>525542.5</v>
      </c>
      <c r="JM141" s="11"/>
      <c r="JN141" s="11"/>
      <c r="JO141" s="11">
        <v>12041</v>
      </c>
      <c r="JP141" s="11">
        <v>13681</v>
      </c>
      <c r="JQ141" s="11">
        <v>0</v>
      </c>
      <c r="JR141" s="11"/>
      <c r="JS141" s="11">
        <v>0</v>
      </c>
      <c r="JT141" s="11">
        <v>0</v>
      </c>
      <c r="JU141" s="11">
        <v>600</v>
      </c>
      <c r="JV141" s="11"/>
      <c r="JW141" s="11">
        <v>0</v>
      </c>
      <c r="JX141" s="11">
        <v>1460</v>
      </c>
      <c r="JY141" s="11">
        <v>0</v>
      </c>
      <c r="JZ141" s="11">
        <v>3565</v>
      </c>
      <c r="KA141" s="11">
        <v>0</v>
      </c>
      <c r="KB141" s="11">
        <v>8730</v>
      </c>
      <c r="KC141" s="11">
        <v>1600</v>
      </c>
      <c r="KD141" s="11">
        <v>4930</v>
      </c>
      <c r="KE141" s="11">
        <v>0</v>
      </c>
      <c r="KF141" s="11">
        <v>0</v>
      </c>
      <c r="KG141" s="11">
        <v>0</v>
      </c>
      <c r="KH141" s="11">
        <v>12800</v>
      </c>
      <c r="KI141" s="11">
        <v>761523.5</v>
      </c>
      <c r="KJ141" s="11">
        <v>208837</v>
      </c>
      <c r="KK141" s="11">
        <v>34732</v>
      </c>
      <c r="KL141" s="11">
        <v>414480</v>
      </c>
      <c r="KM141" s="11">
        <v>24254</v>
      </c>
      <c r="KN141" s="11">
        <v>194417</v>
      </c>
      <c r="KO141" s="11">
        <v>37158</v>
      </c>
      <c r="KP141" s="11"/>
      <c r="KQ141" s="11">
        <v>14896</v>
      </c>
      <c r="KR141" s="11">
        <v>1695442</v>
      </c>
      <c r="KS141" s="11">
        <v>0</v>
      </c>
      <c r="KT141" s="11">
        <v>23414</v>
      </c>
      <c r="KU141" s="11">
        <v>60511</v>
      </c>
      <c r="KV141" s="11">
        <v>138351</v>
      </c>
      <c r="KW141" s="11">
        <v>28554</v>
      </c>
      <c r="KX141" s="11">
        <v>210</v>
      </c>
      <c r="KY141" s="11">
        <v>12984</v>
      </c>
      <c r="KZ141" s="11">
        <v>3815</v>
      </c>
      <c r="LA141" s="11">
        <v>67274</v>
      </c>
      <c r="LB141" s="11">
        <v>107848</v>
      </c>
      <c r="LC141" s="11">
        <v>123473</v>
      </c>
      <c r="LD141" s="11">
        <v>15149</v>
      </c>
      <c r="LE141" s="11">
        <v>30056</v>
      </c>
      <c r="LF141" s="11">
        <v>280362</v>
      </c>
      <c r="LG141" s="11">
        <v>166374</v>
      </c>
      <c r="LH141" s="11">
        <v>1807998.57</v>
      </c>
      <c r="LI141" s="11">
        <v>29354</v>
      </c>
      <c r="LJ141" s="11">
        <v>674342</v>
      </c>
      <c r="LK141" s="11">
        <v>148042.51999999999</v>
      </c>
      <c r="LL141" s="11">
        <v>-3473</v>
      </c>
      <c r="LM141" s="11">
        <v>336738</v>
      </c>
      <c r="LN141" s="11">
        <v>178355</v>
      </c>
      <c r="LO141" s="11">
        <v>234825.5</v>
      </c>
      <c r="LP141" s="11">
        <v>12430</v>
      </c>
      <c r="LQ141" s="11">
        <v>356866.3</v>
      </c>
      <c r="LR141" s="11">
        <v>4148</v>
      </c>
      <c r="LS141" s="11">
        <v>16389</v>
      </c>
      <c r="LT141" s="11"/>
      <c r="LU141" s="11"/>
      <c r="LV141" s="11">
        <v>17693235.859999999</v>
      </c>
      <c r="LW141" s="11">
        <v>223529.38</v>
      </c>
      <c r="LX141" s="11">
        <v>8425722.2200000007</v>
      </c>
      <c r="LY141" s="11">
        <v>127708.18</v>
      </c>
      <c r="LZ141" s="11">
        <v>0</v>
      </c>
      <c r="MA141" s="11">
        <v>7959.74</v>
      </c>
      <c r="MB141" s="11">
        <v>640</v>
      </c>
      <c r="MC141" s="11">
        <v>730</v>
      </c>
      <c r="MD141" s="11">
        <v>65669</v>
      </c>
      <c r="ME141" s="11">
        <v>35042</v>
      </c>
      <c r="MF141" s="11">
        <v>619496</v>
      </c>
      <c r="MG141" s="11"/>
      <c r="MH141" s="11">
        <v>5527</v>
      </c>
      <c r="MI141" s="11">
        <v>1103948.1000000001</v>
      </c>
      <c r="MJ141" s="11"/>
      <c r="MK141" s="11">
        <v>93866</v>
      </c>
      <c r="ML141" s="11">
        <v>52446</v>
      </c>
      <c r="MM141" s="11">
        <v>1681472</v>
      </c>
      <c r="MN141" s="11">
        <v>1041196</v>
      </c>
      <c r="MO141" s="11">
        <v>69733</v>
      </c>
      <c r="MP141" s="11">
        <v>231177</v>
      </c>
      <c r="MQ141" s="11">
        <v>48432</v>
      </c>
      <c r="MR141" s="11">
        <v>35857</v>
      </c>
      <c r="MS141" s="11">
        <v>98323</v>
      </c>
      <c r="MT141" s="11">
        <v>359325</v>
      </c>
      <c r="MU141" s="11">
        <v>761124</v>
      </c>
      <c r="MV141" s="11">
        <v>125534</v>
      </c>
      <c r="MW141" s="11">
        <v>1303</v>
      </c>
      <c r="MX141" s="11">
        <v>416264</v>
      </c>
      <c r="MY141" s="11">
        <v>334998</v>
      </c>
      <c r="MZ141" s="11">
        <v>2237782</v>
      </c>
      <c r="NA141" s="11">
        <v>5864</v>
      </c>
      <c r="NB141" s="11">
        <v>98872</v>
      </c>
      <c r="NC141" s="11">
        <v>32181</v>
      </c>
      <c r="ND141" s="11">
        <v>1282</v>
      </c>
      <c r="NE141" s="11">
        <v>1355740.38</v>
      </c>
      <c r="NF141" s="11">
        <v>2392145</v>
      </c>
      <c r="NG141" s="11">
        <v>546871.32999999996</v>
      </c>
      <c r="NH141" s="11">
        <v>412437</v>
      </c>
      <c r="NI141" s="11">
        <v>458405</v>
      </c>
      <c r="NJ141" s="11">
        <v>92934</v>
      </c>
      <c r="NK141" s="11">
        <v>106409.67</v>
      </c>
      <c r="NL141" s="11">
        <v>220028</v>
      </c>
      <c r="NM141" s="11">
        <v>4008</v>
      </c>
      <c r="NN141" s="11">
        <v>169826</v>
      </c>
      <c r="NO141" s="11">
        <v>646457</v>
      </c>
      <c r="NP141" s="11">
        <v>177899</v>
      </c>
      <c r="NQ141" s="11">
        <v>251784</v>
      </c>
      <c r="NR141" s="11">
        <v>162743</v>
      </c>
      <c r="NS141" s="11"/>
      <c r="NT141" s="11">
        <v>95875</v>
      </c>
      <c r="NU141" s="11">
        <v>7048</v>
      </c>
      <c r="NV141" s="11">
        <v>3602</v>
      </c>
      <c r="NW141" s="11">
        <v>8901</v>
      </c>
      <c r="NX141" s="11">
        <v>9022</v>
      </c>
      <c r="NY141" s="11">
        <v>10492611.109999999</v>
      </c>
      <c r="NZ141" s="11">
        <v>313414</v>
      </c>
      <c r="OA141" s="11">
        <v>4322</v>
      </c>
      <c r="OB141" s="11">
        <v>362327.55</v>
      </c>
      <c r="OC141" s="11">
        <v>3004</v>
      </c>
      <c r="OD141" s="11"/>
      <c r="OE141" s="11">
        <v>6772303.5999999996</v>
      </c>
      <c r="OF141" s="11">
        <v>13006</v>
      </c>
      <c r="OG141" s="11">
        <v>60969</v>
      </c>
      <c r="OH141" s="11">
        <v>113885.7</v>
      </c>
      <c r="OI141" s="11">
        <v>11856</v>
      </c>
      <c r="OJ141" s="11">
        <v>23026</v>
      </c>
      <c r="OK141" s="11">
        <v>750449.94</v>
      </c>
      <c r="OL141" s="11">
        <v>138849.60000000001</v>
      </c>
      <c r="OM141" s="11">
        <v>3191295.04</v>
      </c>
      <c r="ON141" s="11">
        <v>2991891.9</v>
      </c>
      <c r="OO141" s="11">
        <v>47590</v>
      </c>
      <c r="OP141" s="11">
        <v>10118297</v>
      </c>
      <c r="OQ141" s="11">
        <v>697044</v>
      </c>
      <c r="OR141" s="11">
        <v>604850</v>
      </c>
      <c r="OS141" s="11"/>
      <c r="OT141" s="11">
        <v>892427</v>
      </c>
      <c r="OU141" s="11">
        <v>90217</v>
      </c>
      <c r="OV141" s="11">
        <v>130662.8</v>
      </c>
      <c r="OW141" s="11">
        <v>485934.52</v>
      </c>
      <c r="OX141" s="11">
        <v>732191</v>
      </c>
      <c r="OY141" s="11">
        <v>3461952.99</v>
      </c>
      <c r="OZ141" s="11">
        <v>333141.45</v>
      </c>
      <c r="PA141" s="11">
        <v>102032</v>
      </c>
      <c r="PB141" s="11">
        <v>240</v>
      </c>
      <c r="PC141" s="11">
        <v>38063.800000000003</v>
      </c>
      <c r="PD141" s="11">
        <v>360</v>
      </c>
      <c r="PE141" s="11"/>
      <c r="PF141" s="11"/>
      <c r="PG141" s="11">
        <v>0</v>
      </c>
      <c r="PH141" s="11">
        <v>92949.61</v>
      </c>
      <c r="PI141" s="11">
        <v>1560</v>
      </c>
      <c r="PJ141" s="11"/>
      <c r="PK141" s="11"/>
      <c r="PL141" s="11">
        <v>240</v>
      </c>
      <c r="PM141" s="11">
        <v>13940</v>
      </c>
      <c r="PN141" s="11"/>
      <c r="PO141" s="11">
        <v>0</v>
      </c>
      <c r="PP141" s="11">
        <v>26</v>
      </c>
      <c r="PQ141" s="11"/>
      <c r="PR141" s="11"/>
      <c r="PS141" s="11"/>
      <c r="PT141" s="11"/>
      <c r="PU141" s="11">
        <v>30866</v>
      </c>
      <c r="PV141" s="11">
        <v>103512.5</v>
      </c>
      <c r="PW141" s="11"/>
      <c r="PX141" s="11">
        <v>390</v>
      </c>
      <c r="PY141" s="11"/>
      <c r="PZ141" s="11"/>
      <c r="QA141" s="11">
        <v>101234</v>
      </c>
      <c r="QB141" s="11"/>
      <c r="QC141" s="11">
        <v>0</v>
      </c>
      <c r="QD141" s="11">
        <v>1864</v>
      </c>
      <c r="QE141" s="11">
        <v>6778</v>
      </c>
      <c r="QF141" s="11">
        <v>130</v>
      </c>
      <c r="QG141" s="11"/>
      <c r="QH141" s="11">
        <v>1372</v>
      </c>
      <c r="QI141" s="11">
        <v>61262</v>
      </c>
      <c r="QJ141" s="11">
        <v>260</v>
      </c>
      <c r="QK141" s="11"/>
      <c r="QL141" s="11"/>
      <c r="QM141" s="11">
        <v>5296</v>
      </c>
      <c r="QN141" s="11"/>
      <c r="QO141" s="11">
        <v>0</v>
      </c>
      <c r="QP141" s="11"/>
      <c r="QQ141" s="11"/>
      <c r="QR141" s="11"/>
      <c r="QS141" s="11"/>
      <c r="QT141" s="11"/>
      <c r="QU141" s="11">
        <v>36978.81</v>
      </c>
      <c r="QV141" s="11">
        <v>360</v>
      </c>
      <c r="QW141" s="11"/>
      <c r="QX141" s="11">
        <v>0</v>
      </c>
      <c r="QY141" s="11"/>
      <c r="QZ141" s="11">
        <v>520</v>
      </c>
      <c r="RA141" s="11"/>
      <c r="RB141" s="11"/>
      <c r="RC141" s="11"/>
      <c r="RD141" s="11">
        <v>2100</v>
      </c>
      <c r="RE141" s="11"/>
      <c r="RF141" s="11"/>
      <c r="RG141" s="11"/>
      <c r="RH141" s="11">
        <v>0</v>
      </c>
      <c r="RI141" s="11">
        <v>9980</v>
      </c>
      <c r="RJ141" s="11">
        <v>702</v>
      </c>
      <c r="RK141" s="11"/>
      <c r="RL141" s="11"/>
      <c r="RM141" s="11">
        <v>1405</v>
      </c>
      <c r="RN141" s="11">
        <v>6634</v>
      </c>
      <c r="RO141" s="11">
        <v>0</v>
      </c>
      <c r="RP141" s="11">
        <v>7080</v>
      </c>
      <c r="RQ141" s="11">
        <v>1298</v>
      </c>
      <c r="RR141" s="11">
        <v>260</v>
      </c>
      <c r="RS141" s="11"/>
      <c r="RT141" s="11">
        <v>102</v>
      </c>
      <c r="RU141" s="11">
        <v>0</v>
      </c>
      <c r="RV141" s="11"/>
      <c r="RW141" s="11"/>
      <c r="RX141" s="11">
        <v>0</v>
      </c>
      <c r="RY141" s="11"/>
      <c r="RZ141" s="11"/>
      <c r="SA141" s="11"/>
      <c r="SB141" s="11">
        <v>232902</v>
      </c>
      <c r="SC141" s="11"/>
      <c r="SD141" s="11">
        <v>147931</v>
      </c>
      <c r="SE141" s="11">
        <v>35321</v>
      </c>
      <c r="SF141" s="11">
        <v>28033</v>
      </c>
      <c r="SG141" s="11">
        <v>187880</v>
      </c>
      <c r="SH141" s="11">
        <v>60097</v>
      </c>
      <c r="SI141" s="11">
        <v>101110</v>
      </c>
      <c r="SJ141" s="11">
        <v>7930</v>
      </c>
      <c r="SK141" s="11">
        <v>3600</v>
      </c>
      <c r="SL141" s="11">
        <v>17202</v>
      </c>
      <c r="SM141" s="11">
        <v>1450</v>
      </c>
      <c r="SN141" s="11">
        <v>1780</v>
      </c>
      <c r="SO141" s="11">
        <v>1390</v>
      </c>
      <c r="SP141" s="11">
        <v>260</v>
      </c>
      <c r="SQ141" s="11">
        <v>7832</v>
      </c>
      <c r="SR141" s="11"/>
      <c r="SS141" s="11">
        <v>390</v>
      </c>
      <c r="ST141" s="11">
        <v>24365</v>
      </c>
      <c r="SU141" s="11">
        <v>37102</v>
      </c>
      <c r="SV141" s="11">
        <v>63792</v>
      </c>
      <c r="SW141" s="11">
        <v>2360</v>
      </c>
      <c r="SX141" s="11">
        <v>32676</v>
      </c>
      <c r="SY141" s="11">
        <v>44972</v>
      </c>
      <c r="SZ141" s="11">
        <v>1190</v>
      </c>
      <c r="TA141" s="11">
        <v>18129</v>
      </c>
      <c r="TB141" s="11"/>
      <c r="TC141" s="11">
        <v>53716</v>
      </c>
      <c r="TD141" s="11"/>
      <c r="TE141" s="11">
        <v>9100</v>
      </c>
      <c r="TF141" s="11">
        <v>0</v>
      </c>
      <c r="TG141" s="11">
        <v>1300</v>
      </c>
      <c r="TH141" s="11">
        <v>1690</v>
      </c>
      <c r="TI141" s="11">
        <v>2860</v>
      </c>
      <c r="TJ141" s="11">
        <v>910</v>
      </c>
      <c r="TK141" s="11">
        <v>0</v>
      </c>
      <c r="TL141" s="11"/>
      <c r="TM141" s="11">
        <v>2900</v>
      </c>
      <c r="TN141" s="11">
        <v>15778</v>
      </c>
      <c r="TO141" s="11">
        <v>15110</v>
      </c>
      <c r="TP141" s="11">
        <v>130</v>
      </c>
      <c r="TQ141" s="11">
        <v>25593</v>
      </c>
      <c r="TR141" s="11">
        <v>2210</v>
      </c>
      <c r="TS141" s="11">
        <v>8800</v>
      </c>
      <c r="TT141" s="11">
        <v>0</v>
      </c>
      <c r="TU141" s="11"/>
      <c r="TV141" s="11">
        <v>650</v>
      </c>
      <c r="TW141" s="11">
        <v>1040</v>
      </c>
      <c r="TX141" s="11">
        <v>2726</v>
      </c>
      <c r="TY141" s="11">
        <v>0</v>
      </c>
      <c r="TZ141" s="11">
        <v>62419</v>
      </c>
      <c r="UA141" s="11">
        <v>120</v>
      </c>
      <c r="UB141" s="11">
        <v>12784</v>
      </c>
      <c r="UC141" s="11">
        <v>1602</v>
      </c>
      <c r="UD141" s="11">
        <v>30331.45</v>
      </c>
      <c r="UE141" s="11">
        <v>33370</v>
      </c>
      <c r="UF141" s="11">
        <v>858</v>
      </c>
      <c r="UG141" s="11"/>
      <c r="UH141" s="11"/>
      <c r="UI141" s="11"/>
      <c r="UJ141" s="11"/>
      <c r="UK141" s="11">
        <v>19247.84</v>
      </c>
      <c r="UL141" s="11">
        <v>25490</v>
      </c>
      <c r="UM141" s="11">
        <v>7570</v>
      </c>
      <c r="UN141" s="11">
        <v>6716</v>
      </c>
      <c r="UO141" s="11">
        <v>6741</v>
      </c>
      <c r="UP141" s="11">
        <v>91116</v>
      </c>
      <c r="UQ141" s="11">
        <v>576321</v>
      </c>
      <c r="UR141" s="11">
        <v>4580</v>
      </c>
      <c r="US141" s="11"/>
      <c r="UT141" s="11">
        <v>213477.94</v>
      </c>
      <c r="UU141" s="11">
        <v>240</v>
      </c>
      <c r="UV141" s="11"/>
      <c r="UW141" s="11">
        <v>144789</v>
      </c>
      <c r="UX141" s="11"/>
      <c r="UY141" s="11"/>
      <c r="UZ141" s="11">
        <v>720</v>
      </c>
      <c r="VA141" s="11">
        <v>1040</v>
      </c>
      <c r="VB141" s="11">
        <v>260</v>
      </c>
      <c r="VC141" s="11">
        <v>47785</v>
      </c>
      <c r="VD141" s="11">
        <v>260</v>
      </c>
      <c r="VE141" s="11"/>
      <c r="VF141" s="11"/>
      <c r="VG141" s="11">
        <v>2420</v>
      </c>
      <c r="VH141" s="11"/>
      <c r="VI141" s="11">
        <v>780</v>
      </c>
      <c r="VJ141" s="11">
        <v>4340</v>
      </c>
      <c r="VK141" s="11"/>
      <c r="VL141" s="11"/>
      <c r="VM141" s="11">
        <v>4622</v>
      </c>
      <c r="VN141" s="11">
        <v>12973</v>
      </c>
      <c r="VO141" s="11">
        <v>169</v>
      </c>
      <c r="VP141" s="11"/>
      <c r="VQ141" s="11">
        <v>1240</v>
      </c>
      <c r="VR141" s="11">
        <v>145508</v>
      </c>
      <c r="VS141" s="11"/>
      <c r="VT141" s="11">
        <v>3160</v>
      </c>
      <c r="VU141" s="11">
        <v>12507</v>
      </c>
      <c r="VV141" s="11"/>
      <c r="VW141" s="11"/>
      <c r="VX141" s="11">
        <v>85800</v>
      </c>
      <c r="VY141" s="11">
        <v>11642</v>
      </c>
      <c r="VZ141" s="11"/>
      <c r="WA141" s="11">
        <v>130</v>
      </c>
      <c r="WB141" s="11"/>
      <c r="WC141" s="11">
        <v>7152</v>
      </c>
      <c r="WD141" s="11">
        <v>3091</v>
      </c>
      <c r="WE141" s="11">
        <v>3137.49</v>
      </c>
      <c r="WF141" s="11">
        <v>0</v>
      </c>
      <c r="WG141" s="11">
        <v>734</v>
      </c>
      <c r="WH141" s="11">
        <v>1276</v>
      </c>
      <c r="WI141" s="11">
        <v>61647</v>
      </c>
      <c r="WJ141" s="11">
        <v>390</v>
      </c>
      <c r="WK141" s="11">
        <v>7010.85</v>
      </c>
      <c r="WL141" s="11">
        <v>0</v>
      </c>
      <c r="WM141" s="11">
        <v>286</v>
      </c>
      <c r="WN141" s="11"/>
      <c r="WO141" s="11">
        <v>19876</v>
      </c>
      <c r="WP141" s="11">
        <v>6412</v>
      </c>
      <c r="WQ141" s="11">
        <v>240</v>
      </c>
      <c r="WR141" s="11">
        <v>230</v>
      </c>
      <c r="WS141" s="11">
        <v>36191</v>
      </c>
      <c r="WT141" s="11">
        <v>3268</v>
      </c>
      <c r="WU141" s="11">
        <v>476</v>
      </c>
      <c r="WV141" s="11">
        <v>16538.5</v>
      </c>
      <c r="WW141" s="11">
        <v>9452</v>
      </c>
      <c r="WX141" s="11">
        <v>0</v>
      </c>
      <c r="WY141" s="11">
        <v>7281</v>
      </c>
      <c r="WZ141" s="11">
        <v>25592.25</v>
      </c>
      <c r="XA141" s="11"/>
      <c r="XB141" s="11">
        <v>4303.4399999999996</v>
      </c>
      <c r="XC141" s="11"/>
      <c r="XD141" s="11">
        <v>512215</v>
      </c>
      <c r="XE141" s="11">
        <v>1056</v>
      </c>
      <c r="XF141" s="11">
        <v>36268</v>
      </c>
      <c r="XG141" s="11"/>
      <c r="XH141" s="11">
        <v>8271</v>
      </c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>
        <v>74048</v>
      </c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>
        <v>318140</v>
      </c>
      <c r="YX141" s="11">
        <v>64053</v>
      </c>
      <c r="YY141" s="11">
        <v>910</v>
      </c>
      <c r="YZ141" s="11"/>
      <c r="ZA141" s="11">
        <v>95675</v>
      </c>
      <c r="ZB141" s="11">
        <v>5</v>
      </c>
      <c r="ZC141" s="11">
        <v>6900</v>
      </c>
      <c r="ZD141" s="11">
        <v>4334</v>
      </c>
      <c r="ZE141" s="11"/>
      <c r="ZF141" s="11"/>
      <c r="ZG141" s="11"/>
      <c r="ZH141" s="11"/>
      <c r="ZI141" s="11"/>
      <c r="ZJ141" s="11"/>
      <c r="ZK141" s="11"/>
      <c r="ZL141" s="11"/>
      <c r="ZM141" s="11">
        <v>449500.43</v>
      </c>
      <c r="ZN141" s="11"/>
      <c r="ZO141" s="11">
        <v>14582</v>
      </c>
      <c r="ZP141" s="11"/>
      <c r="ZQ141" s="11"/>
      <c r="ZR141" s="11"/>
      <c r="ZS141" s="11"/>
      <c r="ZT141" s="11"/>
      <c r="ZU141" s="11">
        <v>6466</v>
      </c>
      <c r="ZV141" s="11">
        <v>0</v>
      </c>
      <c r="ZW141" s="11"/>
      <c r="ZX141" s="11"/>
      <c r="ZY141" s="11"/>
      <c r="ZZ141" s="11"/>
      <c r="AAA141" s="11"/>
      <c r="AAB141" s="11"/>
      <c r="AAC141" s="11">
        <v>2340</v>
      </c>
      <c r="AAD141" s="11"/>
      <c r="AAE141" s="11">
        <v>600</v>
      </c>
      <c r="AAF141" s="11"/>
      <c r="AAG141" s="11">
        <v>1690</v>
      </c>
      <c r="AAH141" s="11"/>
      <c r="AAI141" s="11"/>
      <c r="AAJ141" s="11"/>
      <c r="AAK141" s="11"/>
      <c r="AAL141" s="11">
        <v>30490</v>
      </c>
      <c r="AAM141" s="11"/>
      <c r="AAN141" s="11">
        <v>0</v>
      </c>
      <c r="AAO141" s="11">
        <v>980</v>
      </c>
      <c r="AAP141" s="11">
        <v>172</v>
      </c>
      <c r="AAQ141" s="11"/>
      <c r="AAR141" s="11">
        <v>1500</v>
      </c>
      <c r="AAS141" s="11">
        <v>1100</v>
      </c>
      <c r="AAT141" s="11"/>
      <c r="AAU141" s="11">
        <v>0</v>
      </c>
      <c r="AAV141" s="11">
        <v>5400</v>
      </c>
      <c r="AAW141" s="11">
        <v>0</v>
      </c>
      <c r="AAX141" s="11">
        <v>6400</v>
      </c>
      <c r="AAY141" s="11"/>
      <c r="AAZ141" s="11"/>
      <c r="ABA141" s="11">
        <v>215555</v>
      </c>
      <c r="ABB141" s="11">
        <v>74600</v>
      </c>
      <c r="ABC141" s="11"/>
      <c r="ABD141" s="11">
        <v>16890</v>
      </c>
      <c r="ABE141" s="11">
        <v>4800</v>
      </c>
      <c r="ABF141" s="11">
        <v>4500</v>
      </c>
      <c r="ABG141" s="11"/>
      <c r="ABH141" s="11">
        <v>16000</v>
      </c>
      <c r="ABI141" s="11">
        <v>0</v>
      </c>
      <c r="ABJ141" s="11">
        <v>1950</v>
      </c>
      <c r="ABK141" s="11"/>
      <c r="ABL141" s="11">
        <v>9753.7000000000007</v>
      </c>
      <c r="ABM141" s="11">
        <v>0</v>
      </c>
      <c r="ABN141" s="11"/>
      <c r="ABO141" s="11"/>
      <c r="ABP141" s="11">
        <v>473550</v>
      </c>
      <c r="ABQ141" s="11">
        <v>140529</v>
      </c>
      <c r="ABR141" s="11">
        <v>8777.5</v>
      </c>
      <c r="ABS141" s="11">
        <v>34159</v>
      </c>
      <c r="ABT141" s="11">
        <v>32066</v>
      </c>
      <c r="ABU141" s="11">
        <v>177110</v>
      </c>
      <c r="ABV141" s="11">
        <v>19727</v>
      </c>
      <c r="ABW141" s="11">
        <v>9314</v>
      </c>
      <c r="ABX141" s="11"/>
      <c r="ABY141" s="11">
        <v>2086068.65</v>
      </c>
      <c r="ABZ141" s="11">
        <v>399542</v>
      </c>
      <c r="ACA141" s="11">
        <v>673670.4</v>
      </c>
      <c r="ACB141" s="11">
        <v>391538</v>
      </c>
      <c r="ACC141" s="11">
        <v>295410.5</v>
      </c>
      <c r="ACD141" s="11">
        <v>311805.5</v>
      </c>
      <c r="ACE141" s="11">
        <v>437247</v>
      </c>
      <c r="ACF141" s="11">
        <v>72034</v>
      </c>
      <c r="ACG141" s="11">
        <v>11068</v>
      </c>
      <c r="ACH141" s="11">
        <v>95289</v>
      </c>
      <c r="ACI141" s="11">
        <v>654804</v>
      </c>
      <c r="ACJ141" s="11">
        <v>3401688.56</v>
      </c>
      <c r="ACK141" s="11">
        <v>1080</v>
      </c>
      <c r="ACL141" s="11">
        <v>170</v>
      </c>
      <c r="ACM141" s="11">
        <v>856</v>
      </c>
      <c r="ACN141" s="11">
        <v>62979</v>
      </c>
      <c r="ACO141" s="11"/>
      <c r="ACP141" s="11"/>
      <c r="ACQ141" s="11">
        <v>0</v>
      </c>
      <c r="ACR141" s="11">
        <v>367359</v>
      </c>
      <c r="ACS141" s="11">
        <v>39275</v>
      </c>
      <c r="ACT141" s="11">
        <v>897853</v>
      </c>
      <c r="ACU141" s="11">
        <v>56272.52</v>
      </c>
      <c r="ACV141" s="11">
        <v>948</v>
      </c>
      <c r="ACW141" s="11">
        <v>498</v>
      </c>
      <c r="ACX141" s="11">
        <v>278453</v>
      </c>
      <c r="ACY141" s="11">
        <v>1690</v>
      </c>
      <c r="ACZ141" s="11"/>
      <c r="ADA141" s="11">
        <v>101684</v>
      </c>
      <c r="ADB141" s="11">
        <v>650</v>
      </c>
      <c r="ADC141" s="11"/>
      <c r="ADD141" s="11"/>
      <c r="ADE141" s="11"/>
      <c r="ADF141" s="11"/>
      <c r="ADG141" s="11">
        <v>1211624.21</v>
      </c>
      <c r="ADH141" s="11"/>
      <c r="ADI141" s="11">
        <v>278470</v>
      </c>
      <c r="ADJ141" s="11">
        <v>36389</v>
      </c>
      <c r="ADK141" s="11">
        <v>2567070</v>
      </c>
      <c r="ADL141" s="11">
        <v>1360406</v>
      </c>
      <c r="ADM141" s="11">
        <v>2489755</v>
      </c>
      <c r="ADN141" s="11">
        <v>328300</v>
      </c>
      <c r="ADO141" s="11">
        <v>894720</v>
      </c>
      <c r="ADP141" s="11">
        <v>6654835.8200000003</v>
      </c>
      <c r="ADQ141" s="11">
        <v>328901</v>
      </c>
      <c r="ADR141" s="11">
        <v>544187</v>
      </c>
      <c r="ADS141" s="11">
        <v>53994</v>
      </c>
      <c r="ADT141" s="11">
        <v>141446</v>
      </c>
      <c r="ADU141" s="11">
        <v>9337</v>
      </c>
      <c r="ADV141" s="11">
        <v>24409</v>
      </c>
      <c r="ADW141" s="11">
        <v>118612</v>
      </c>
      <c r="ADX141" s="11">
        <v>0</v>
      </c>
      <c r="ADY141" s="11">
        <v>101614</v>
      </c>
      <c r="ADZ141" s="11">
        <v>446028.61</v>
      </c>
      <c r="AEA141" s="11">
        <v>2614606.4</v>
      </c>
      <c r="AEB141" s="11">
        <v>96283</v>
      </c>
      <c r="AEC141" s="11">
        <v>431414</v>
      </c>
      <c r="AED141" s="11">
        <v>1589088</v>
      </c>
      <c r="AEE141" s="11">
        <v>930486</v>
      </c>
      <c r="AEF141" s="11">
        <v>1972</v>
      </c>
      <c r="AEG141" s="11">
        <v>58797</v>
      </c>
      <c r="AEH141" s="11">
        <v>126683.44</v>
      </c>
      <c r="AEI141" s="11">
        <v>505909.8</v>
      </c>
      <c r="AEJ141" s="11">
        <v>78900</v>
      </c>
      <c r="AEK141" s="11">
        <v>328565.99</v>
      </c>
      <c r="AEL141" s="11">
        <v>19460</v>
      </c>
      <c r="AEM141" s="11">
        <v>48180</v>
      </c>
      <c r="AEN141" s="11">
        <v>97726</v>
      </c>
      <c r="AEO141" s="11">
        <v>16955666.59</v>
      </c>
      <c r="AEP141" s="11">
        <v>5010</v>
      </c>
      <c r="AEQ141" s="11">
        <v>54185.5</v>
      </c>
      <c r="AER141" s="11">
        <v>320653.75</v>
      </c>
      <c r="AES141" s="11">
        <v>1076697</v>
      </c>
      <c r="AET141" s="11">
        <v>3204</v>
      </c>
      <c r="AEU141" s="11">
        <v>32944</v>
      </c>
      <c r="AEV141" s="11">
        <v>7972</v>
      </c>
      <c r="AEW141" s="11">
        <v>3712</v>
      </c>
      <c r="AEX141" s="11">
        <v>34367</v>
      </c>
      <c r="AEY141" s="11">
        <v>343204.97</v>
      </c>
      <c r="AEZ141" s="11">
        <v>2392</v>
      </c>
      <c r="AFA141" s="11">
        <v>105272.5</v>
      </c>
      <c r="AFB141" s="11">
        <v>24861</v>
      </c>
      <c r="AFC141" s="11">
        <v>3375</v>
      </c>
      <c r="AFD141" s="11">
        <v>41130</v>
      </c>
      <c r="AFE141" s="11">
        <v>1674</v>
      </c>
      <c r="AFF141" s="11">
        <v>9132</v>
      </c>
      <c r="AFG141" s="11"/>
      <c r="AFH141" s="11"/>
      <c r="AFI141" s="11">
        <v>37</v>
      </c>
      <c r="AFJ141" s="11">
        <v>0</v>
      </c>
      <c r="AFK141" s="11"/>
      <c r="AFL141" s="11">
        <v>-4136</v>
      </c>
      <c r="AFM141" s="11">
        <v>0</v>
      </c>
      <c r="AFN141" s="11"/>
      <c r="AFO141" s="11"/>
      <c r="AFP141" s="11">
        <v>3708</v>
      </c>
      <c r="AFQ141" s="11">
        <v>685893.58</v>
      </c>
      <c r="AFR141" s="11">
        <v>0</v>
      </c>
      <c r="AFS141" s="11">
        <v>23312</v>
      </c>
      <c r="AFT141" s="11">
        <v>0</v>
      </c>
      <c r="AFU141" s="11"/>
      <c r="AFV141" s="11"/>
      <c r="AFW141" s="11"/>
      <c r="AFX141" s="11">
        <v>31378</v>
      </c>
      <c r="AFY141" s="11"/>
      <c r="AFZ141" s="11"/>
      <c r="AGA141" s="11">
        <v>42718</v>
      </c>
      <c r="AGB141" s="11"/>
      <c r="AGC141" s="11">
        <v>36341</v>
      </c>
      <c r="AGD141" s="11"/>
      <c r="AGE141" s="11"/>
      <c r="AGF141" s="11"/>
      <c r="AGG141" s="11">
        <v>54600</v>
      </c>
      <c r="AGH141" s="11">
        <v>0</v>
      </c>
      <c r="AGI141" s="11"/>
      <c r="AGJ141" s="11">
        <v>2340</v>
      </c>
      <c r="AGK141" s="11"/>
      <c r="AGL141" s="11">
        <v>240</v>
      </c>
      <c r="AGM141" s="11">
        <v>8115</v>
      </c>
      <c r="AGN141" s="11">
        <v>475611</v>
      </c>
      <c r="AGO141" s="11">
        <v>225432.5</v>
      </c>
      <c r="AGP141" s="11"/>
      <c r="AGQ141" s="11"/>
      <c r="AGR141" s="11"/>
      <c r="AGS141" s="11"/>
      <c r="AGT141" s="11">
        <v>290</v>
      </c>
      <c r="AGU141" s="11"/>
      <c r="AGV141" s="11">
        <v>1155319</v>
      </c>
      <c r="AGW141" s="11">
        <v>33142</v>
      </c>
      <c r="AGX141" s="11">
        <v>8238</v>
      </c>
      <c r="AGY141" s="11">
        <v>166</v>
      </c>
      <c r="AGZ141" s="11">
        <v>1690</v>
      </c>
      <c r="AHA141" s="11">
        <v>12707</v>
      </c>
      <c r="AHB141" s="11">
        <v>25056</v>
      </c>
      <c r="AHC141" s="11">
        <v>40891</v>
      </c>
      <c r="AHD141" s="11"/>
      <c r="AHE141" s="11">
        <v>5260</v>
      </c>
      <c r="AHF141" s="11">
        <v>81521</v>
      </c>
      <c r="AHG141" s="11">
        <v>393257</v>
      </c>
      <c r="AHH141" s="11">
        <v>52012</v>
      </c>
      <c r="AHI141" s="11">
        <v>80016</v>
      </c>
      <c r="AHJ141" s="11">
        <v>1299</v>
      </c>
      <c r="AHK141" s="11">
        <v>134200</v>
      </c>
      <c r="AHL141" s="11">
        <v>7150</v>
      </c>
      <c r="AHM141" s="11">
        <v>4286</v>
      </c>
      <c r="AHN141" s="11"/>
      <c r="AHO141" s="11">
        <v>506</v>
      </c>
      <c r="AHP141" s="11">
        <v>0</v>
      </c>
      <c r="AHQ141" s="11">
        <v>297200.75</v>
      </c>
      <c r="AHR141" s="11">
        <v>260</v>
      </c>
      <c r="AHS141" s="11">
        <v>390</v>
      </c>
      <c r="AHT141" s="11">
        <v>214212602.4900001</v>
      </c>
      <c r="AHV141" s="269" t="s">
        <v>6278</v>
      </c>
      <c r="AHW141" s="269" t="s">
        <v>6222</v>
      </c>
      <c r="AHX141" s="269" t="s">
        <v>6223</v>
      </c>
    </row>
    <row r="142" spans="1:908" x14ac:dyDescent="0.7">
      <c r="A142" s="6" t="s">
        <v>6278</v>
      </c>
      <c r="B142" s="6" t="s">
        <v>6222</v>
      </c>
      <c r="C142" s="6" t="s">
        <v>6223</v>
      </c>
      <c r="D142" s="11">
        <v>34999.72</v>
      </c>
      <c r="E142" s="11">
        <v>4200</v>
      </c>
      <c r="F142" s="11">
        <v>112223</v>
      </c>
      <c r="G142" s="11">
        <v>1050</v>
      </c>
      <c r="H142" s="11">
        <v>1136</v>
      </c>
      <c r="I142" s="11">
        <v>8557</v>
      </c>
      <c r="J142" s="11"/>
      <c r="K142" s="11">
        <v>3262</v>
      </c>
      <c r="L142" s="11">
        <v>2184</v>
      </c>
      <c r="M142" s="11">
        <v>2671</v>
      </c>
      <c r="N142" s="11">
        <v>1134</v>
      </c>
      <c r="O142" s="11">
        <v>2257</v>
      </c>
      <c r="P142" s="11">
        <v>9268</v>
      </c>
      <c r="Q142" s="11">
        <v>11337</v>
      </c>
      <c r="R142" s="11">
        <v>0</v>
      </c>
      <c r="S142" s="11"/>
      <c r="T142" s="11">
        <v>12115</v>
      </c>
      <c r="U142" s="11">
        <v>9188</v>
      </c>
      <c r="V142" s="11"/>
      <c r="W142" s="11">
        <v>17496</v>
      </c>
      <c r="X142" s="11">
        <v>134514</v>
      </c>
      <c r="Y142" s="11">
        <v>31847</v>
      </c>
      <c r="Z142" s="11">
        <v>180288.93</v>
      </c>
      <c r="AA142" s="11">
        <v>13080</v>
      </c>
      <c r="AB142" s="11">
        <v>314005</v>
      </c>
      <c r="AC142" s="11">
        <v>830224</v>
      </c>
      <c r="AD142" s="11">
        <v>55472</v>
      </c>
      <c r="AE142" s="11">
        <v>41852</v>
      </c>
      <c r="AF142" s="11">
        <v>53278</v>
      </c>
      <c r="AG142" s="11">
        <v>41881</v>
      </c>
      <c r="AH142" s="11">
        <v>413639</v>
      </c>
      <c r="AI142" s="11">
        <v>469658</v>
      </c>
      <c r="AJ142" s="11">
        <v>92659</v>
      </c>
      <c r="AK142" s="11">
        <v>1750</v>
      </c>
      <c r="AL142" s="11">
        <v>22740</v>
      </c>
      <c r="AM142" s="11">
        <v>29765</v>
      </c>
      <c r="AN142" s="11">
        <v>2100</v>
      </c>
      <c r="AO142" s="11">
        <v>285476</v>
      </c>
      <c r="AP142" s="11">
        <v>130484</v>
      </c>
      <c r="AQ142" s="11">
        <v>6683</v>
      </c>
      <c r="AR142" s="11">
        <v>398580</v>
      </c>
      <c r="AS142" s="11"/>
      <c r="AT142" s="11">
        <v>720</v>
      </c>
      <c r="AU142" s="11">
        <v>5250</v>
      </c>
      <c r="AV142" s="11"/>
      <c r="AW142" s="11">
        <v>16299</v>
      </c>
      <c r="AX142" s="11"/>
      <c r="AY142" s="11">
        <v>360</v>
      </c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>
        <v>8382.4</v>
      </c>
      <c r="BL142" s="11"/>
      <c r="BM142" s="11">
        <v>0</v>
      </c>
      <c r="BN142" s="11"/>
      <c r="BO142" s="11">
        <v>0</v>
      </c>
      <c r="BP142" s="11"/>
      <c r="BQ142" s="11"/>
      <c r="BR142" s="11">
        <v>7931</v>
      </c>
      <c r="BS142" s="11"/>
      <c r="BT142" s="11"/>
      <c r="BU142" s="11">
        <v>350</v>
      </c>
      <c r="BV142" s="11">
        <v>700</v>
      </c>
      <c r="BW142" s="11">
        <v>564</v>
      </c>
      <c r="BX142" s="11">
        <v>700</v>
      </c>
      <c r="BY142" s="11">
        <v>15167</v>
      </c>
      <c r="BZ142" s="11">
        <v>30349.32</v>
      </c>
      <c r="CA142" s="11"/>
      <c r="CB142" s="11"/>
      <c r="CC142" s="11"/>
      <c r="CD142" s="11"/>
      <c r="CE142" s="11">
        <v>10</v>
      </c>
      <c r="CF142" s="11">
        <v>2487</v>
      </c>
      <c r="CG142" s="11">
        <v>20622</v>
      </c>
      <c r="CH142" s="11">
        <v>0</v>
      </c>
      <c r="CI142" s="11">
        <v>606</v>
      </c>
      <c r="CJ142" s="11">
        <v>720</v>
      </c>
      <c r="CK142" s="11">
        <v>1750</v>
      </c>
      <c r="CL142" s="11">
        <v>0</v>
      </c>
      <c r="CM142" s="11"/>
      <c r="CN142" s="11">
        <v>714</v>
      </c>
      <c r="CO142" s="11"/>
      <c r="CP142" s="11"/>
      <c r="CQ142" s="11"/>
      <c r="CR142" s="11">
        <v>700</v>
      </c>
      <c r="CS142" s="11">
        <v>0</v>
      </c>
      <c r="CT142" s="11">
        <v>123619</v>
      </c>
      <c r="CU142" s="11">
        <v>9837</v>
      </c>
      <c r="CV142" s="11">
        <v>209042</v>
      </c>
      <c r="CW142" s="11"/>
      <c r="CX142" s="11">
        <v>0</v>
      </c>
      <c r="CY142" s="11">
        <v>26368</v>
      </c>
      <c r="CZ142" s="11">
        <v>37818</v>
      </c>
      <c r="DA142" s="11">
        <v>34742</v>
      </c>
      <c r="DB142" s="11">
        <v>14140</v>
      </c>
      <c r="DC142" s="11">
        <v>276378</v>
      </c>
      <c r="DD142" s="11">
        <v>5786</v>
      </c>
      <c r="DE142" s="11">
        <v>9142</v>
      </c>
      <c r="DF142" s="11">
        <v>136318</v>
      </c>
      <c r="DG142" s="11">
        <v>65809</v>
      </c>
      <c r="DH142" s="11">
        <v>17125</v>
      </c>
      <c r="DI142" s="11">
        <v>1143980.6000000001</v>
      </c>
      <c r="DJ142" s="11">
        <v>4959</v>
      </c>
      <c r="DK142" s="11">
        <v>91488</v>
      </c>
      <c r="DL142" s="11">
        <v>68168</v>
      </c>
      <c r="DM142" s="11">
        <v>4928</v>
      </c>
      <c r="DN142" s="11">
        <v>45555</v>
      </c>
      <c r="DO142" s="11">
        <v>34535</v>
      </c>
      <c r="DP142" s="11">
        <v>0</v>
      </c>
      <c r="DQ142" s="11">
        <v>447302</v>
      </c>
      <c r="DR142" s="11">
        <v>6966</v>
      </c>
      <c r="DS142" s="11">
        <v>200564</v>
      </c>
      <c r="DT142" s="11">
        <v>1673</v>
      </c>
      <c r="DU142" s="11">
        <v>465</v>
      </c>
      <c r="DV142" s="11">
        <v>35661</v>
      </c>
      <c r="DW142" s="11">
        <v>7410</v>
      </c>
      <c r="DX142" s="11"/>
      <c r="DY142" s="11"/>
      <c r="DZ142" s="11">
        <v>2688</v>
      </c>
      <c r="EA142" s="11">
        <v>700</v>
      </c>
      <c r="EB142" s="11">
        <v>3500</v>
      </c>
      <c r="EC142" s="11">
        <v>3088</v>
      </c>
      <c r="ED142" s="11">
        <v>0</v>
      </c>
      <c r="EE142" s="11">
        <v>12142</v>
      </c>
      <c r="EF142" s="11">
        <v>354</v>
      </c>
      <c r="EG142" s="11">
        <v>2260</v>
      </c>
      <c r="EH142" s="11">
        <v>3438</v>
      </c>
      <c r="EI142" s="11">
        <v>28199</v>
      </c>
      <c r="EJ142" s="11">
        <v>37207</v>
      </c>
      <c r="EK142" s="11">
        <v>67976</v>
      </c>
      <c r="EL142" s="11">
        <v>2800</v>
      </c>
      <c r="EM142" s="11">
        <v>11521</v>
      </c>
      <c r="EN142" s="11">
        <v>485639.86</v>
      </c>
      <c r="EO142" s="11"/>
      <c r="EP142" s="11"/>
      <c r="EQ142" s="11"/>
      <c r="ER142" s="11"/>
      <c r="ES142" s="11"/>
      <c r="ET142" s="11"/>
      <c r="EU142" s="11"/>
      <c r="EV142" s="11"/>
      <c r="EW142" s="11">
        <v>32183</v>
      </c>
      <c r="EX142" s="11">
        <v>9198</v>
      </c>
      <c r="EY142" s="11">
        <v>0</v>
      </c>
      <c r="EZ142" s="11">
        <v>1400</v>
      </c>
      <c r="FA142" s="11">
        <v>17878</v>
      </c>
      <c r="FB142" s="11">
        <v>48715</v>
      </c>
      <c r="FC142" s="11">
        <v>5292</v>
      </c>
      <c r="FD142" s="11">
        <v>8750</v>
      </c>
      <c r="FE142" s="11">
        <v>48388.71</v>
      </c>
      <c r="FF142" s="11">
        <v>0</v>
      </c>
      <c r="FG142" s="11">
        <v>3150</v>
      </c>
      <c r="FH142" s="11">
        <v>1400</v>
      </c>
      <c r="FI142" s="11">
        <v>970</v>
      </c>
      <c r="FJ142" s="11">
        <v>350</v>
      </c>
      <c r="FK142" s="11">
        <v>2160</v>
      </c>
      <c r="FL142" s="11">
        <v>14474</v>
      </c>
      <c r="FM142" s="11">
        <v>1558</v>
      </c>
      <c r="FN142" s="11">
        <v>27512</v>
      </c>
      <c r="FO142" s="11">
        <v>107</v>
      </c>
      <c r="FP142" s="11"/>
      <c r="FQ142" s="11">
        <v>121932</v>
      </c>
      <c r="FR142" s="11"/>
      <c r="FS142" s="11">
        <v>9260</v>
      </c>
      <c r="FT142" s="11">
        <v>3150</v>
      </c>
      <c r="FU142" s="11">
        <v>30234</v>
      </c>
      <c r="FV142" s="11">
        <v>15719</v>
      </c>
      <c r="FW142" s="11">
        <v>49268</v>
      </c>
      <c r="FX142" s="11">
        <v>168</v>
      </c>
      <c r="FY142" s="11">
        <v>1806</v>
      </c>
      <c r="FZ142" s="11">
        <v>506</v>
      </c>
      <c r="GA142" s="11">
        <v>12775</v>
      </c>
      <c r="GB142" s="11">
        <v>1400</v>
      </c>
      <c r="GC142" s="11">
        <v>10505.23</v>
      </c>
      <c r="GD142" s="11"/>
      <c r="GE142" s="11">
        <v>0</v>
      </c>
      <c r="GF142" s="11">
        <v>0</v>
      </c>
      <c r="GG142" s="11"/>
      <c r="GH142" s="11">
        <v>44030.63</v>
      </c>
      <c r="GI142" s="11">
        <v>350</v>
      </c>
      <c r="GJ142" s="11">
        <v>20290</v>
      </c>
      <c r="GK142" s="11">
        <v>0</v>
      </c>
      <c r="GL142" s="11">
        <v>24043</v>
      </c>
      <c r="GM142" s="11">
        <v>700</v>
      </c>
      <c r="GN142" s="11"/>
      <c r="GO142" s="11"/>
      <c r="GP142" s="11"/>
      <c r="GQ142" s="11"/>
      <c r="GR142" s="11"/>
      <c r="GS142" s="11"/>
      <c r="GT142" s="11">
        <v>107</v>
      </c>
      <c r="GU142" s="11"/>
      <c r="GV142" s="11"/>
      <c r="GW142" s="11"/>
      <c r="GX142" s="11"/>
      <c r="GY142" s="11">
        <v>386593</v>
      </c>
      <c r="GZ142" s="11"/>
      <c r="HA142" s="11">
        <v>13614.5</v>
      </c>
      <c r="HB142" s="11">
        <v>333481.5</v>
      </c>
      <c r="HC142" s="11">
        <v>37108</v>
      </c>
      <c r="HD142" s="11"/>
      <c r="HE142" s="11">
        <v>75435</v>
      </c>
      <c r="HF142" s="11">
        <v>486443</v>
      </c>
      <c r="HG142" s="11">
        <v>2973874</v>
      </c>
      <c r="HH142" s="11">
        <v>264518</v>
      </c>
      <c r="HI142" s="11">
        <v>10435</v>
      </c>
      <c r="HJ142" s="11"/>
      <c r="HK142" s="11">
        <v>8182</v>
      </c>
      <c r="HL142" s="11">
        <v>20669</v>
      </c>
      <c r="HM142" s="11">
        <v>1323915</v>
      </c>
      <c r="HN142" s="11">
        <v>2631767</v>
      </c>
      <c r="HO142" s="11">
        <v>123963</v>
      </c>
      <c r="HP142" s="11">
        <v>149073.01</v>
      </c>
      <c r="HQ142" s="11">
        <v>1284182</v>
      </c>
      <c r="HR142" s="11">
        <v>766477.17</v>
      </c>
      <c r="HS142" s="11">
        <v>4701</v>
      </c>
      <c r="HT142" s="11">
        <v>7563</v>
      </c>
      <c r="HU142" s="11">
        <v>10251</v>
      </c>
      <c r="HV142" s="11">
        <v>25313</v>
      </c>
      <c r="HW142" s="11">
        <v>37494</v>
      </c>
      <c r="HX142" s="11"/>
      <c r="HY142" s="11">
        <v>44214</v>
      </c>
      <c r="HZ142" s="11">
        <v>23406</v>
      </c>
      <c r="IA142" s="11">
        <v>24476</v>
      </c>
      <c r="IB142" s="11">
        <v>350</v>
      </c>
      <c r="IC142" s="11">
        <v>2536</v>
      </c>
      <c r="ID142" s="11">
        <v>12050</v>
      </c>
      <c r="IE142" s="11"/>
      <c r="IF142" s="11">
        <v>8555</v>
      </c>
      <c r="IG142" s="11"/>
      <c r="IH142" s="11"/>
      <c r="II142" s="11"/>
      <c r="IJ142" s="11">
        <v>13346</v>
      </c>
      <c r="IK142" s="11">
        <v>6519</v>
      </c>
      <c r="IL142" s="11">
        <v>10450</v>
      </c>
      <c r="IM142" s="11">
        <v>55152</v>
      </c>
      <c r="IN142" s="11">
        <v>1338</v>
      </c>
      <c r="IO142" s="11">
        <v>700</v>
      </c>
      <c r="IP142" s="11">
        <v>12453</v>
      </c>
      <c r="IQ142" s="11">
        <v>4301</v>
      </c>
      <c r="IR142" s="11"/>
      <c r="IS142" s="11">
        <v>19016</v>
      </c>
      <c r="IT142" s="11">
        <v>148780</v>
      </c>
      <c r="IU142" s="11">
        <v>-1133</v>
      </c>
      <c r="IV142" s="11"/>
      <c r="IW142" s="11"/>
      <c r="IX142" s="11">
        <v>312923</v>
      </c>
      <c r="IY142" s="11">
        <v>250</v>
      </c>
      <c r="IZ142" s="11"/>
      <c r="JA142" s="11"/>
      <c r="JB142" s="11">
        <v>2100</v>
      </c>
      <c r="JC142" s="11">
        <v>677</v>
      </c>
      <c r="JD142" s="11">
        <v>-14880</v>
      </c>
      <c r="JE142" s="11"/>
      <c r="JF142" s="11">
        <v>4092</v>
      </c>
      <c r="JG142" s="11">
        <v>-1507</v>
      </c>
      <c r="JH142" s="11">
        <v>9842</v>
      </c>
      <c r="JI142" s="11"/>
      <c r="JJ142" s="11"/>
      <c r="JK142" s="11">
        <v>20504</v>
      </c>
      <c r="JL142" s="11">
        <v>586989.44999999995</v>
      </c>
      <c r="JM142" s="11"/>
      <c r="JN142" s="11"/>
      <c r="JO142" s="11">
        <v>4322</v>
      </c>
      <c r="JP142" s="11">
        <v>0</v>
      </c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>
        <v>1423909.54</v>
      </c>
      <c r="KK142" s="11">
        <v>46367</v>
      </c>
      <c r="KL142" s="11">
        <v>265043</v>
      </c>
      <c r="KM142" s="11">
        <v>64600</v>
      </c>
      <c r="KN142" s="11">
        <v>103826</v>
      </c>
      <c r="KO142" s="11">
        <v>146941</v>
      </c>
      <c r="KP142" s="11">
        <v>64385</v>
      </c>
      <c r="KQ142" s="11">
        <v>38861</v>
      </c>
      <c r="KR142" s="11">
        <v>138176</v>
      </c>
      <c r="KS142" s="11">
        <v>0</v>
      </c>
      <c r="KT142" s="11">
        <v>51201</v>
      </c>
      <c r="KU142" s="11">
        <v>172700</v>
      </c>
      <c r="KV142" s="11">
        <v>246704.47</v>
      </c>
      <c r="KW142" s="11">
        <v>123290</v>
      </c>
      <c r="KX142" s="11">
        <v>110054</v>
      </c>
      <c r="KY142" s="11">
        <v>32228</v>
      </c>
      <c r="KZ142" s="11">
        <v>7749</v>
      </c>
      <c r="LA142" s="11">
        <v>144065</v>
      </c>
      <c r="LB142" s="11">
        <v>14896</v>
      </c>
      <c r="LC142" s="11">
        <v>55620</v>
      </c>
      <c r="LD142" s="11">
        <v>21968</v>
      </c>
      <c r="LE142" s="11">
        <v>43200</v>
      </c>
      <c r="LF142" s="11">
        <v>153789</v>
      </c>
      <c r="LG142" s="11">
        <v>59822</v>
      </c>
      <c r="LH142" s="11">
        <v>1804480.66</v>
      </c>
      <c r="LI142" s="11">
        <v>78666</v>
      </c>
      <c r="LJ142" s="11">
        <v>198949</v>
      </c>
      <c r="LK142" s="11">
        <v>180675</v>
      </c>
      <c r="LL142" s="11">
        <v>-79249</v>
      </c>
      <c r="LM142" s="11">
        <v>112856</v>
      </c>
      <c r="LN142" s="11">
        <v>128739</v>
      </c>
      <c r="LO142" s="11">
        <v>317398.5</v>
      </c>
      <c r="LP142" s="11">
        <v>-23040</v>
      </c>
      <c r="LQ142" s="11">
        <v>10392.5</v>
      </c>
      <c r="LR142" s="11">
        <v>8768</v>
      </c>
      <c r="LS142" s="11">
        <v>41122</v>
      </c>
      <c r="LT142" s="11"/>
      <c r="LU142" s="11"/>
      <c r="LV142" s="11">
        <v>213195</v>
      </c>
      <c r="LW142" s="11"/>
      <c r="LX142" s="11"/>
      <c r="LY142" s="11">
        <v>392283.11</v>
      </c>
      <c r="LZ142" s="11">
        <v>0</v>
      </c>
      <c r="MA142" s="11">
        <v>167696</v>
      </c>
      <c r="MB142" s="11">
        <v>1628</v>
      </c>
      <c r="MC142" s="11">
        <v>1000</v>
      </c>
      <c r="MD142" s="11">
        <v>26779</v>
      </c>
      <c r="ME142" s="11">
        <v>68566</v>
      </c>
      <c r="MF142" s="11">
        <v>9075</v>
      </c>
      <c r="MG142" s="11"/>
      <c r="MH142" s="11">
        <v>10065</v>
      </c>
      <c r="MI142" s="11">
        <v>760547.29</v>
      </c>
      <c r="MJ142" s="11"/>
      <c r="MK142" s="11">
        <v>31437</v>
      </c>
      <c r="ML142" s="11">
        <v>16815</v>
      </c>
      <c r="MM142" s="11">
        <v>477925</v>
      </c>
      <c r="MN142" s="11">
        <v>585706</v>
      </c>
      <c r="MO142" s="11">
        <v>23270</v>
      </c>
      <c r="MP142" s="11">
        <v>74479</v>
      </c>
      <c r="MQ142" s="11">
        <v>15426</v>
      </c>
      <c r="MR142" s="11">
        <v>11591</v>
      </c>
      <c r="MS142" s="11">
        <v>32214</v>
      </c>
      <c r="MT142" s="11">
        <v>378683</v>
      </c>
      <c r="MU142" s="11">
        <v>327051.95</v>
      </c>
      <c r="MV142" s="11">
        <v>324681</v>
      </c>
      <c r="MW142" s="11">
        <v>3746</v>
      </c>
      <c r="MX142" s="11">
        <v>3424892.02</v>
      </c>
      <c r="MY142" s="11">
        <v>387289</v>
      </c>
      <c r="MZ142" s="11">
        <v>1289457</v>
      </c>
      <c r="NA142" s="11">
        <v>15456</v>
      </c>
      <c r="NB142" s="11">
        <v>276589</v>
      </c>
      <c r="NC142" s="11">
        <v>32398</v>
      </c>
      <c r="ND142" s="11">
        <v>3765</v>
      </c>
      <c r="NE142" s="11">
        <v>331981.05</v>
      </c>
      <c r="NF142" s="11">
        <v>106222</v>
      </c>
      <c r="NG142" s="11">
        <v>214357.5</v>
      </c>
      <c r="NH142" s="11">
        <v>789655</v>
      </c>
      <c r="NI142" s="11">
        <v>573752</v>
      </c>
      <c r="NJ142" s="11">
        <v>69645</v>
      </c>
      <c r="NK142" s="11">
        <v>224116.25</v>
      </c>
      <c r="NL142" s="11">
        <v>527595</v>
      </c>
      <c r="NM142" s="11">
        <v>114211</v>
      </c>
      <c r="NN142" s="11">
        <v>10939</v>
      </c>
      <c r="NO142" s="11">
        <v>811068.81</v>
      </c>
      <c r="NP142" s="11">
        <v>24715.5</v>
      </c>
      <c r="NQ142" s="11">
        <v>667538</v>
      </c>
      <c r="NR142" s="11">
        <v>156035</v>
      </c>
      <c r="NS142" s="11">
        <v>404003</v>
      </c>
      <c r="NT142" s="11">
        <v>104741</v>
      </c>
      <c r="NU142" s="11">
        <v>18312</v>
      </c>
      <c r="NV142" s="11"/>
      <c r="NW142" s="11">
        <v>6748</v>
      </c>
      <c r="NX142" s="11">
        <v>-56100</v>
      </c>
      <c r="NY142" s="11">
        <v>20481.52</v>
      </c>
      <c r="NZ142" s="11"/>
      <c r="OA142" s="11">
        <v>428</v>
      </c>
      <c r="OB142" s="11">
        <v>11784</v>
      </c>
      <c r="OC142" s="11">
        <v>7756</v>
      </c>
      <c r="OD142" s="11"/>
      <c r="OE142" s="11">
        <v>7505374.0199999996</v>
      </c>
      <c r="OF142" s="11">
        <v>39181</v>
      </c>
      <c r="OG142" s="11">
        <v>73344.2</v>
      </c>
      <c r="OH142" s="11">
        <v>1106740.55</v>
      </c>
      <c r="OI142" s="11">
        <v>30573</v>
      </c>
      <c r="OJ142" s="11">
        <v>48551</v>
      </c>
      <c r="OK142" s="11">
        <v>1689229</v>
      </c>
      <c r="OL142" s="11">
        <v>57555</v>
      </c>
      <c r="OM142" s="11">
        <v>0</v>
      </c>
      <c r="ON142" s="11">
        <v>118664.19</v>
      </c>
      <c r="OO142" s="11">
        <v>568576.12</v>
      </c>
      <c r="OP142" s="11">
        <v>2051908</v>
      </c>
      <c r="OQ142" s="11">
        <v>568852.19999999995</v>
      </c>
      <c r="OR142" s="11">
        <v>128616</v>
      </c>
      <c r="OS142" s="11"/>
      <c r="OT142" s="11">
        <v>1392506</v>
      </c>
      <c r="OU142" s="11">
        <v>104211.04</v>
      </c>
      <c r="OV142" s="11">
        <v>1154526</v>
      </c>
      <c r="OW142" s="11">
        <v>846582</v>
      </c>
      <c r="OX142" s="11">
        <v>1426286</v>
      </c>
      <c r="OY142" s="11">
        <v>4069186</v>
      </c>
      <c r="OZ142" s="11">
        <v>590419.24</v>
      </c>
      <c r="PA142" s="11">
        <v>134210</v>
      </c>
      <c r="PB142" s="11">
        <v>5040</v>
      </c>
      <c r="PC142" s="11">
        <v>14073</v>
      </c>
      <c r="PD142" s="11"/>
      <c r="PE142" s="11"/>
      <c r="PF142" s="11"/>
      <c r="PG142" s="11">
        <v>0</v>
      </c>
      <c r="PH142" s="11">
        <v>647</v>
      </c>
      <c r="PI142" s="11">
        <v>4200</v>
      </c>
      <c r="PJ142" s="11"/>
      <c r="PK142" s="11"/>
      <c r="PL142" s="11">
        <v>0</v>
      </c>
      <c r="PM142" s="11">
        <v>4900</v>
      </c>
      <c r="PN142" s="11"/>
      <c r="PO142" s="11">
        <v>0</v>
      </c>
      <c r="PP142" s="11">
        <v>728</v>
      </c>
      <c r="PQ142" s="11"/>
      <c r="PR142" s="11"/>
      <c r="PS142" s="11"/>
      <c r="PT142" s="11"/>
      <c r="PU142" s="11">
        <v>34108</v>
      </c>
      <c r="PV142" s="11"/>
      <c r="PW142" s="11">
        <v>4772</v>
      </c>
      <c r="PX142" s="11">
        <v>1050</v>
      </c>
      <c r="PY142" s="11"/>
      <c r="PZ142" s="11"/>
      <c r="QA142" s="11"/>
      <c r="QB142" s="11"/>
      <c r="QC142" s="11"/>
      <c r="QD142" s="11"/>
      <c r="QE142" s="11"/>
      <c r="QF142" s="11">
        <v>350</v>
      </c>
      <c r="QG142" s="11"/>
      <c r="QH142" s="11"/>
      <c r="QI142" s="11"/>
      <c r="QJ142" s="11">
        <v>700</v>
      </c>
      <c r="QK142" s="11"/>
      <c r="QL142" s="11"/>
      <c r="QM142" s="11"/>
      <c r="QN142" s="11"/>
      <c r="QO142" s="11">
        <v>0</v>
      </c>
      <c r="QP142" s="11">
        <v>350</v>
      </c>
      <c r="QQ142" s="11"/>
      <c r="QR142" s="11"/>
      <c r="QS142" s="11"/>
      <c r="QT142" s="11"/>
      <c r="QU142" s="11">
        <v>33007</v>
      </c>
      <c r="QV142" s="11"/>
      <c r="QW142" s="11"/>
      <c r="QX142" s="11"/>
      <c r="QY142" s="11"/>
      <c r="QZ142" s="11">
        <v>1400</v>
      </c>
      <c r="RA142" s="11"/>
      <c r="RB142" s="11">
        <v>1474</v>
      </c>
      <c r="RC142" s="11"/>
      <c r="RD142" s="11">
        <v>2193.5</v>
      </c>
      <c r="RE142" s="11"/>
      <c r="RF142" s="11"/>
      <c r="RG142" s="11"/>
      <c r="RH142" s="11">
        <v>0</v>
      </c>
      <c r="RI142" s="11">
        <v>27728</v>
      </c>
      <c r="RJ142" s="11">
        <v>2042</v>
      </c>
      <c r="RK142" s="11"/>
      <c r="RL142" s="11"/>
      <c r="RM142" s="11">
        <v>3713</v>
      </c>
      <c r="RN142" s="11">
        <v>13621</v>
      </c>
      <c r="RO142" s="11">
        <v>0</v>
      </c>
      <c r="RP142" s="11">
        <v>3912</v>
      </c>
      <c r="RQ142" s="11">
        <v>8308</v>
      </c>
      <c r="RR142" s="11">
        <v>700</v>
      </c>
      <c r="RS142" s="11"/>
      <c r="RT142" s="11">
        <v>47</v>
      </c>
      <c r="RU142" s="11">
        <v>0</v>
      </c>
      <c r="RV142" s="11"/>
      <c r="RW142" s="11"/>
      <c r="RX142" s="11">
        <v>0</v>
      </c>
      <c r="RY142" s="11"/>
      <c r="RZ142" s="11"/>
      <c r="SA142" s="11"/>
      <c r="SB142" s="11">
        <v>482862.47</v>
      </c>
      <c r="SC142" s="11"/>
      <c r="SD142" s="11">
        <v>11647.33</v>
      </c>
      <c r="SE142" s="11">
        <v>31057</v>
      </c>
      <c r="SF142" s="11">
        <v>5959</v>
      </c>
      <c r="SG142" s="11">
        <v>136445</v>
      </c>
      <c r="SH142" s="11">
        <v>36128</v>
      </c>
      <c r="SI142" s="11">
        <v>268254</v>
      </c>
      <c r="SJ142" s="11">
        <v>21350</v>
      </c>
      <c r="SK142" s="11">
        <v>3500</v>
      </c>
      <c r="SL142" s="11">
        <v>46307</v>
      </c>
      <c r="SM142" s="11">
        <v>590</v>
      </c>
      <c r="SN142" s="11">
        <v>3500</v>
      </c>
      <c r="SO142" s="11">
        <v>1970</v>
      </c>
      <c r="SP142" s="11">
        <v>700</v>
      </c>
      <c r="SQ142" s="11">
        <v>45004</v>
      </c>
      <c r="SR142" s="11"/>
      <c r="SS142" s="11">
        <v>1050</v>
      </c>
      <c r="ST142" s="11"/>
      <c r="SU142" s="11">
        <v>7000</v>
      </c>
      <c r="SV142" s="11">
        <v>21441</v>
      </c>
      <c r="SW142" s="11">
        <v>6440</v>
      </c>
      <c r="SX142" s="11">
        <v>36636</v>
      </c>
      <c r="SY142" s="11">
        <v>120778</v>
      </c>
      <c r="SZ142" s="11">
        <v>1710</v>
      </c>
      <c r="TA142" s="11">
        <v>5250</v>
      </c>
      <c r="TB142" s="11"/>
      <c r="TC142" s="11">
        <v>5250</v>
      </c>
      <c r="TD142" s="11"/>
      <c r="TE142" s="11">
        <v>24500</v>
      </c>
      <c r="TF142" s="11">
        <v>0</v>
      </c>
      <c r="TG142" s="11">
        <v>3500</v>
      </c>
      <c r="TH142" s="11">
        <v>4550</v>
      </c>
      <c r="TI142" s="11">
        <v>7700</v>
      </c>
      <c r="TJ142" s="11">
        <v>2450</v>
      </c>
      <c r="TK142" s="11">
        <v>0</v>
      </c>
      <c r="TL142" s="11"/>
      <c r="TM142" s="11">
        <v>7640</v>
      </c>
      <c r="TN142" s="11">
        <v>0</v>
      </c>
      <c r="TO142" s="11">
        <v>5435</v>
      </c>
      <c r="TP142" s="11">
        <v>350</v>
      </c>
      <c r="TQ142" s="11">
        <v>23185.56</v>
      </c>
      <c r="TR142" s="11">
        <v>6636</v>
      </c>
      <c r="TS142" s="11">
        <v>11891</v>
      </c>
      <c r="TT142" s="11">
        <v>0</v>
      </c>
      <c r="TU142" s="11"/>
      <c r="TV142" s="11">
        <v>1750</v>
      </c>
      <c r="TW142" s="11">
        <v>2800</v>
      </c>
      <c r="TX142" s="11">
        <v>7321</v>
      </c>
      <c r="TY142" s="11">
        <v>0</v>
      </c>
      <c r="TZ142" s="11">
        <v>4780</v>
      </c>
      <c r="UA142" s="11"/>
      <c r="UB142" s="11">
        <v>17579</v>
      </c>
      <c r="UC142" s="11">
        <v>4307</v>
      </c>
      <c r="UD142" s="11">
        <v>9882</v>
      </c>
      <c r="UE142" s="11">
        <v>16550</v>
      </c>
      <c r="UF142" s="11">
        <v>2221</v>
      </c>
      <c r="UG142" s="11"/>
      <c r="UH142" s="11"/>
      <c r="UI142" s="11"/>
      <c r="UJ142" s="11"/>
      <c r="UK142" s="11">
        <v>38874.800000000003</v>
      </c>
      <c r="UL142" s="11">
        <v>8157</v>
      </c>
      <c r="UM142" s="11">
        <v>17150</v>
      </c>
      <c r="UN142" s="11"/>
      <c r="UO142" s="11">
        <v>8657</v>
      </c>
      <c r="UP142" s="11">
        <v>53483</v>
      </c>
      <c r="UQ142" s="11">
        <v>182615</v>
      </c>
      <c r="UR142" s="11">
        <v>0</v>
      </c>
      <c r="US142" s="11"/>
      <c r="UT142" s="11">
        <v>92663</v>
      </c>
      <c r="UU142" s="11"/>
      <c r="UV142" s="11"/>
      <c r="UW142" s="11">
        <v>8018</v>
      </c>
      <c r="UX142" s="11"/>
      <c r="UY142" s="11"/>
      <c r="UZ142" s="11">
        <v>0</v>
      </c>
      <c r="VA142" s="11">
        <v>2800</v>
      </c>
      <c r="VB142" s="11">
        <v>700</v>
      </c>
      <c r="VC142" s="11">
        <v>46696</v>
      </c>
      <c r="VD142" s="11">
        <v>700</v>
      </c>
      <c r="VE142" s="11"/>
      <c r="VF142" s="11"/>
      <c r="VG142" s="11">
        <v>700</v>
      </c>
      <c r="VH142" s="11"/>
      <c r="VI142" s="11">
        <v>2100</v>
      </c>
      <c r="VJ142" s="11">
        <v>326</v>
      </c>
      <c r="VK142" s="11"/>
      <c r="VL142" s="11"/>
      <c r="VM142" s="11">
        <v>5914</v>
      </c>
      <c r="VN142" s="11"/>
      <c r="VO142" s="11">
        <v>378</v>
      </c>
      <c r="VP142" s="11"/>
      <c r="VQ142" s="11">
        <v>4483</v>
      </c>
      <c r="VR142" s="11">
        <v>21372</v>
      </c>
      <c r="VS142" s="11"/>
      <c r="VT142" s="11">
        <v>1400</v>
      </c>
      <c r="VU142" s="11">
        <v>34403</v>
      </c>
      <c r="VV142" s="11"/>
      <c r="VW142" s="11"/>
      <c r="VX142" s="11"/>
      <c r="VY142" s="11"/>
      <c r="VZ142" s="11"/>
      <c r="WA142" s="11">
        <v>350</v>
      </c>
      <c r="WB142" s="11"/>
      <c r="WC142" s="11">
        <v>4256</v>
      </c>
      <c r="WD142" s="11">
        <v>7612</v>
      </c>
      <c r="WE142" s="11"/>
      <c r="WF142" s="11">
        <v>0</v>
      </c>
      <c r="WG142" s="11">
        <v>1964</v>
      </c>
      <c r="WH142" s="11">
        <v>3227</v>
      </c>
      <c r="WI142" s="11">
        <v>878</v>
      </c>
      <c r="WJ142" s="11">
        <v>1050</v>
      </c>
      <c r="WK142" s="11">
        <v>564</v>
      </c>
      <c r="WL142" s="11">
        <v>983</v>
      </c>
      <c r="WM142" s="11">
        <v>554</v>
      </c>
      <c r="WN142" s="11"/>
      <c r="WO142" s="11">
        <v>37273</v>
      </c>
      <c r="WP142" s="11">
        <v>17257</v>
      </c>
      <c r="WQ142" s="11">
        <v>720</v>
      </c>
      <c r="WR142" s="11">
        <v>168</v>
      </c>
      <c r="WS142" s="11">
        <v>88694</v>
      </c>
      <c r="WT142" s="11">
        <v>8584</v>
      </c>
      <c r="WU142" s="11">
        <v>714</v>
      </c>
      <c r="WV142" s="11">
        <v>11038</v>
      </c>
      <c r="WW142" s="11">
        <v>4205</v>
      </c>
      <c r="WX142" s="11"/>
      <c r="WY142" s="11"/>
      <c r="WZ142" s="11">
        <v>69234</v>
      </c>
      <c r="XA142" s="11"/>
      <c r="XB142" s="11"/>
      <c r="XC142" s="11"/>
      <c r="XD142" s="11"/>
      <c r="XE142" s="11">
        <v>1026</v>
      </c>
      <c r="XF142" s="11"/>
      <c r="XG142" s="11"/>
      <c r="XH142" s="11">
        <v>17957</v>
      </c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>
        <v>456555</v>
      </c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>
        <v>8857</v>
      </c>
      <c r="YY142" s="11">
        <v>2450</v>
      </c>
      <c r="YZ142" s="11"/>
      <c r="ZA142" s="11">
        <v>100</v>
      </c>
      <c r="ZB142" s="11">
        <v>807</v>
      </c>
      <c r="ZC142" s="11"/>
      <c r="ZD142" s="11">
        <v>14039</v>
      </c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>
        <v>1400</v>
      </c>
      <c r="ZV142" s="11">
        <v>0</v>
      </c>
      <c r="ZW142" s="11"/>
      <c r="ZX142" s="11"/>
      <c r="ZY142" s="11"/>
      <c r="ZZ142" s="11"/>
      <c r="AAA142" s="11"/>
      <c r="AAB142" s="11"/>
      <c r="AAC142" s="11">
        <v>6300</v>
      </c>
      <c r="AAD142" s="11"/>
      <c r="AAE142" s="11"/>
      <c r="AAF142" s="11"/>
      <c r="AAG142" s="11">
        <v>4550</v>
      </c>
      <c r="AAH142" s="11"/>
      <c r="AAI142" s="11"/>
      <c r="AAJ142" s="11"/>
      <c r="AAK142" s="11"/>
      <c r="AAL142" s="11"/>
      <c r="AAM142" s="11"/>
      <c r="AAN142" s="11"/>
      <c r="AAO142" s="11">
        <v>700</v>
      </c>
      <c r="AAP142" s="11">
        <v>457</v>
      </c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>
        <v>0</v>
      </c>
      <c r="ABJ142" s="11">
        <v>5250</v>
      </c>
      <c r="ABK142" s="11"/>
      <c r="ABL142" s="11"/>
      <c r="ABM142" s="11"/>
      <c r="ABN142" s="11"/>
      <c r="ABO142" s="11"/>
      <c r="ABP142" s="11"/>
      <c r="ABQ142" s="11">
        <v>193022.6</v>
      </c>
      <c r="ABR142" s="11">
        <v>26083</v>
      </c>
      <c r="ABS142" s="11">
        <v>99690</v>
      </c>
      <c r="ABT142" s="11">
        <v>85834</v>
      </c>
      <c r="ABU142" s="11">
        <v>221234</v>
      </c>
      <c r="ABV142" s="11">
        <v>229309</v>
      </c>
      <c r="ABW142" s="11">
        <v>25064</v>
      </c>
      <c r="ABX142" s="11"/>
      <c r="ABY142" s="11">
        <v>4616601.16</v>
      </c>
      <c r="ABZ142" s="11">
        <v>1064516</v>
      </c>
      <c r="ACA142" s="11">
        <v>3871995.7</v>
      </c>
      <c r="ACB142" s="11">
        <v>169623</v>
      </c>
      <c r="ACC142" s="11">
        <v>1325836</v>
      </c>
      <c r="ACD142" s="11">
        <v>799178</v>
      </c>
      <c r="ACE142" s="11">
        <v>1331882.7</v>
      </c>
      <c r="ACF142" s="11">
        <v>192581</v>
      </c>
      <c r="ACG142" s="11">
        <v>29422</v>
      </c>
      <c r="ACH142" s="11">
        <v>256454</v>
      </c>
      <c r="ACI142" s="11">
        <v>1687685</v>
      </c>
      <c r="ACJ142" s="11">
        <v>465014</v>
      </c>
      <c r="ACK142" s="11">
        <v>3240</v>
      </c>
      <c r="ACL142" s="11">
        <v>5950</v>
      </c>
      <c r="ACM142" s="11">
        <v>2128</v>
      </c>
      <c r="ACN142" s="11">
        <v>0</v>
      </c>
      <c r="ACO142" s="11"/>
      <c r="ACP142" s="11"/>
      <c r="ACQ142" s="11"/>
      <c r="ACR142" s="11">
        <v>135455</v>
      </c>
      <c r="ACS142" s="11">
        <v>6296</v>
      </c>
      <c r="ACT142" s="11">
        <v>657331.56000000006</v>
      </c>
      <c r="ACU142" s="11">
        <v>60922</v>
      </c>
      <c r="ACV142" s="11"/>
      <c r="ACW142" s="11">
        <v>35701</v>
      </c>
      <c r="ACX142" s="11">
        <v>71863</v>
      </c>
      <c r="ACY142" s="11">
        <v>4550</v>
      </c>
      <c r="ACZ142" s="11"/>
      <c r="ADA142" s="11">
        <v>27070</v>
      </c>
      <c r="ADB142" s="11">
        <v>1750</v>
      </c>
      <c r="ADC142" s="11"/>
      <c r="ADD142" s="11"/>
      <c r="ADE142" s="11"/>
      <c r="ADF142" s="11"/>
      <c r="ADG142" s="11"/>
      <c r="ADH142" s="11"/>
      <c r="ADI142" s="11">
        <v>-9566</v>
      </c>
      <c r="ADJ142" s="11">
        <v>199939</v>
      </c>
      <c r="ADK142" s="11"/>
      <c r="ADL142" s="11"/>
      <c r="ADM142" s="11">
        <v>822877</v>
      </c>
      <c r="ADN142" s="11">
        <v>20228</v>
      </c>
      <c r="ADO142" s="11">
        <v>242042</v>
      </c>
      <c r="ADP142" s="11">
        <v>14301630</v>
      </c>
      <c r="ADQ142" s="11">
        <v>1333894</v>
      </c>
      <c r="ADR142" s="11">
        <v>2329062</v>
      </c>
      <c r="ADS142" s="11">
        <v>111208</v>
      </c>
      <c r="ADT142" s="11">
        <v>428906</v>
      </c>
      <c r="ADU142" s="11">
        <v>9890</v>
      </c>
      <c r="ADV142" s="11">
        <v>24801</v>
      </c>
      <c r="ADW142" s="11">
        <v>106588</v>
      </c>
      <c r="ADX142" s="11">
        <v>0</v>
      </c>
      <c r="ADY142" s="11">
        <v>185486</v>
      </c>
      <c r="ADZ142" s="11">
        <v>1712101</v>
      </c>
      <c r="AEA142" s="11">
        <v>779794.6</v>
      </c>
      <c r="AEB142" s="11">
        <v>55656</v>
      </c>
      <c r="AEC142" s="11">
        <v>104687.5</v>
      </c>
      <c r="AED142" s="11">
        <v>692305</v>
      </c>
      <c r="AEE142" s="11">
        <v>1739975.5</v>
      </c>
      <c r="AEF142" s="11">
        <v>269343</v>
      </c>
      <c r="AEG142" s="11">
        <v>233641</v>
      </c>
      <c r="AEH142" s="11">
        <v>56513.82</v>
      </c>
      <c r="AEI142" s="11">
        <v>166647.26999999999</v>
      </c>
      <c r="AEJ142" s="11">
        <v>200368</v>
      </c>
      <c r="AEK142" s="11">
        <v>139538</v>
      </c>
      <c r="AEL142" s="11">
        <v>7280</v>
      </c>
      <c r="AEM142" s="11">
        <v>442038</v>
      </c>
      <c r="AEN142" s="11">
        <v>67368</v>
      </c>
      <c r="AEO142" s="11"/>
      <c r="AEP142" s="11">
        <v>21048</v>
      </c>
      <c r="AEQ142" s="11">
        <v>2538370.25</v>
      </c>
      <c r="AER142" s="11">
        <v>609599</v>
      </c>
      <c r="AES142" s="11">
        <v>913308</v>
      </c>
      <c r="AET142" s="11">
        <v>7753</v>
      </c>
      <c r="AEU142" s="11">
        <v>87854</v>
      </c>
      <c r="AEV142" s="11">
        <v>21457</v>
      </c>
      <c r="AEW142" s="11">
        <v>9828</v>
      </c>
      <c r="AEX142" s="11">
        <v>66770</v>
      </c>
      <c r="AEY142" s="11">
        <v>163529.17000000001</v>
      </c>
      <c r="AEZ142" s="11">
        <v>3040</v>
      </c>
      <c r="AFA142" s="11">
        <v>36332</v>
      </c>
      <c r="AFB142" s="11">
        <v>25042</v>
      </c>
      <c r="AFC142" s="11">
        <v>8663</v>
      </c>
      <c r="AFD142" s="11">
        <v>17696</v>
      </c>
      <c r="AFE142" s="11">
        <v>3206</v>
      </c>
      <c r="AFF142" s="11">
        <v>25528</v>
      </c>
      <c r="AFG142" s="11"/>
      <c r="AFH142" s="11"/>
      <c r="AFI142" s="11">
        <v>257</v>
      </c>
      <c r="AFJ142" s="11">
        <v>0</v>
      </c>
      <c r="AFK142" s="11"/>
      <c r="AFL142" s="11">
        <v>-1440</v>
      </c>
      <c r="AFM142" s="11"/>
      <c r="AFN142" s="11"/>
      <c r="AFO142" s="11"/>
      <c r="AFP142" s="11">
        <v>10310</v>
      </c>
      <c r="AFQ142" s="11">
        <v>78290</v>
      </c>
      <c r="AFR142" s="11">
        <v>0</v>
      </c>
      <c r="AFS142" s="11">
        <v>62757</v>
      </c>
      <c r="AFT142" s="11">
        <v>0</v>
      </c>
      <c r="AFU142" s="11"/>
      <c r="AFV142" s="11"/>
      <c r="AFW142" s="11"/>
      <c r="AFX142" s="11">
        <v>84513</v>
      </c>
      <c r="AFY142" s="11"/>
      <c r="AFZ142" s="11"/>
      <c r="AGA142" s="11">
        <v>17606</v>
      </c>
      <c r="AGB142" s="11"/>
      <c r="AGC142" s="11">
        <v>94508</v>
      </c>
      <c r="AGD142" s="11"/>
      <c r="AGE142" s="11"/>
      <c r="AGF142" s="11">
        <v>13530</v>
      </c>
      <c r="AGG142" s="11"/>
      <c r="AGH142" s="11"/>
      <c r="AGI142" s="11"/>
      <c r="AGJ142" s="11"/>
      <c r="AGK142" s="11"/>
      <c r="AGL142" s="11"/>
      <c r="AGM142" s="11"/>
      <c r="AGN142" s="11">
        <v>18874</v>
      </c>
      <c r="AGO142" s="11">
        <v>11091</v>
      </c>
      <c r="AGP142" s="11"/>
      <c r="AGQ142" s="11"/>
      <c r="AGR142" s="11"/>
      <c r="AGS142" s="11"/>
      <c r="AGT142" s="11">
        <v>17</v>
      </c>
      <c r="AGU142" s="11"/>
      <c r="AGV142" s="11">
        <v>2078454</v>
      </c>
      <c r="AGW142" s="11">
        <v>37972</v>
      </c>
      <c r="AGX142" s="11"/>
      <c r="AGY142" s="11">
        <v>364</v>
      </c>
      <c r="AGZ142" s="11">
        <v>15246</v>
      </c>
      <c r="AHA142" s="11">
        <v>2814</v>
      </c>
      <c r="AHB142" s="11">
        <v>63644</v>
      </c>
      <c r="AHC142" s="11"/>
      <c r="AHD142" s="11"/>
      <c r="AHE142" s="11">
        <v>188950.8</v>
      </c>
      <c r="AHF142" s="11">
        <v>222620</v>
      </c>
      <c r="AHG142" s="11">
        <v>62443</v>
      </c>
      <c r="AHH142" s="11">
        <v>2375</v>
      </c>
      <c r="AHI142" s="11">
        <v>296</v>
      </c>
      <c r="AHJ142" s="11">
        <v>17</v>
      </c>
      <c r="AHK142" s="11">
        <v>0</v>
      </c>
      <c r="AHL142" s="11">
        <v>19250</v>
      </c>
      <c r="AHM142" s="11">
        <v>10977</v>
      </c>
      <c r="AHN142" s="11"/>
      <c r="AHO142" s="11">
        <v>1249</v>
      </c>
      <c r="AHP142" s="11">
        <v>0</v>
      </c>
      <c r="AHQ142" s="11">
        <v>746991.83</v>
      </c>
      <c r="AHR142" s="11">
        <v>700</v>
      </c>
      <c r="AHS142" s="11">
        <v>1050</v>
      </c>
      <c r="AHT142" s="11">
        <v>120841819.37999997</v>
      </c>
      <c r="AHV142" s="269" t="s">
        <v>6278</v>
      </c>
      <c r="AHW142" s="269" t="s">
        <v>6224</v>
      </c>
      <c r="AHX142" s="269" t="s">
        <v>6225</v>
      </c>
    </row>
    <row r="143" spans="1:908" x14ac:dyDescent="0.7">
      <c r="A143" s="6" t="s">
        <v>6278</v>
      </c>
      <c r="B143" s="6" t="s">
        <v>6224</v>
      </c>
      <c r="C143" s="6" t="s">
        <v>6225</v>
      </c>
      <c r="D143" s="11">
        <v>23930.41</v>
      </c>
      <c r="E143" s="11">
        <v>2472</v>
      </c>
      <c r="F143" s="11">
        <v>347956</v>
      </c>
      <c r="G143" s="11">
        <v>9438</v>
      </c>
      <c r="H143" s="11">
        <v>437830.29</v>
      </c>
      <c r="I143" s="11">
        <v>4489</v>
      </c>
      <c r="J143" s="11"/>
      <c r="K143" s="11">
        <v>8460</v>
      </c>
      <c r="L143" s="11">
        <v>1584</v>
      </c>
      <c r="M143" s="11">
        <v>57241</v>
      </c>
      <c r="N143" s="11">
        <v>3379</v>
      </c>
      <c r="O143" s="11">
        <v>21486.94</v>
      </c>
      <c r="P143" s="11">
        <v>9902</v>
      </c>
      <c r="Q143" s="11">
        <v>50877</v>
      </c>
      <c r="R143" s="11">
        <v>0</v>
      </c>
      <c r="S143" s="11"/>
      <c r="T143" s="11">
        <v>9596</v>
      </c>
      <c r="U143" s="11"/>
      <c r="V143" s="11"/>
      <c r="W143" s="11">
        <v>9896</v>
      </c>
      <c r="X143" s="11">
        <v>80594</v>
      </c>
      <c r="Y143" s="11">
        <v>31224</v>
      </c>
      <c r="Z143" s="11">
        <v>335483</v>
      </c>
      <c r="AA143" s="11">
        <v>4308</v>
      </c>
      <c r="AB143" s="11">
        <v>374153</v>
      </c>
      <c r="AC143" s="11">
        <v>234094</v>
      </c>
      <c r="AD143" s="11">
        <v>54075</v>
      </c>
      <c r="AE143" s="11">
        <v>26792</v>
      </c>
      <c r="AF143" s="11">
        <v>35243</v>
      </c>
      <c r="AG143" s="11">
        <v>25311</v>
      </c>
      <c r="AH143" s="11">
        <v>247881</v>
      </c>
      <c r="AI143" s="11">
        <v>287474</v>
      </c>
      <c r="AJ143" s="11">
        <v>56383</v>
      </c>
      <c r="AK143" s="11">
        <v>1030</v>
      </c>
      <c r="AL143" s="11">
        <v>7292</v>
      </c>
      <c r="AM143" s="11">
        <v>305243</v>
      </c>
      <c r="AN143" s="11">
        <v>1236</v>
      </c>
      <c r="AO143" s="11">
        <v>197649</v>
      </c>
      <c r="AP143" s="11">
        <v>80553</v>
      </c>
      <c r="AQ143" s="11">
        <v>4037</v>
      </c>
      <c r="AR143" s="11">
        <v>238690</v>
      </c>
      <c r="AS143" s="11">
        <v>44</v>
      </c>
      <c r="AT143" s="11">
        <v>824</v>
      </c>
      <c r="AU143" s="11">
        <v>4000</v>
      </c>
      <c r="AV143" s="11"/>
      <c r="AW143" s="11">
        <v>7449</v>
      </c>
      <c r="AX143" s="11"/>
      <c r="AY143" s="11"/>
      <c r="AZ143" s="11"/>
      <c r="BA143" s="11"/>
      <c r="BB143" s="11">
        <v>1030</v>
      </c>
      <c r="BC143" s="11"/>
      <c r="BD143" s="11"/>
      <c r="BE143" s="11">
        <v>412</v>
      </c>
      <c r="BF143" s="11"/>
      <c r="BG143" s="11"/>
      <c r="BH143" s="11"/>
      <c r="BI143" s="11"/>
      <c r="BJ143" s="11"/>
      <c r="BK143" s="11">
        <v>24754</v>
      </c>
      <c r="BL143" s="11">
        <v>486</v>
      </c>
      <c r="BM143" s="11">
        <v>43371</v>
      </c>
      <c r="BN143" s="11"/>
      <c r="BO143" s="11">
        <v>13751</v>
      </c>
      <c r="BP143" s="11"/>
      <c r="BQ143" s="11"/>
      <c r="BR143" s="11"/>
      <c r="BS143" s="11"/>
      <c r="BT143" s="11">
        <v>11991</v>
      </c>
      <c r="BU143" s="11">
        <v>12882</v>
      </c>
      <c r="BV143" s="11">
        <v>7893</v>
      </c>
      <c r="BW143" s="11">
        <v>6838</v>
      </c>
      <c r="BX143" s="11">
        <v>412</v>
      </c>
      <c r="BY143" s="11">
        <v>46452</v>
      </c>
      <c r="BZ143" s="11">
        <v>278261</v>
      </c>
      <c r="CA143" s="11"/>
      <c r="CB143" s="11"/>
      <c r="CC143" s="11"/>
      <c r="CD143" s="11"/>
      <c r="CE143" s="11">
        <v>2656</v>
      </c>
      <c r="CF143" s="11">
        <v>67100.58</v>
      </c>
      <c r="CG143" s="11">
        <v>15420</v>
      </c>
      <c r="CH143" s="11">
        <v>0</v>
      </c>
      <c r="CI143" s="11">
        <v>296</v>
      </c>
      <c r="CJ143" s="11">
        <v>412</v>
      </c>
      <c r="CK143" s="11">
        <v>1030</v>
      </c>
      <c r="CL143" s="11">
        <v>0</v>
      </c>
      <c r="CM143" s="11"/>
      <c r="CN143" s="11">
        <v>470</v>
      </c>
      <c r="CO143" s="11"/>
      <c r="CP143" s="11"/>
      <c r="CQ143" s="11"/>
      <c r="CR143" s="11">
        <v>412</v>
      </c>
      <c r="CS143" s="11">
        <v>0</v>
      </c>
      <c r="CT143" s="11">
        <v>72867</v>
      </c>
      <c r="CU143" s="11">
        <v>8253</v>
      </c>
      <c r="CV143" s="11">
        <v>34720</v>
      </c>
      <c r="CW143" s="11"/>
      <c r="CX143" s="11">
        <v>0</v>
      </c>
      <c r="CY143" s="11">
        <v>15888</v>
      </c>
      <c r="CZ143" s="11">
        <v>24054</v>
      </c>
      <c r="DA143" s="11">
        <v>19680</v>
      </c>
      <c r="DB143" s="11">
        <v>333306</v>
      </c>
      <c r="DC143" s="11">
        <v>19153052.440000001</v>
      </c>
      <c r="DD143" s="11">
        <v>7574</v>
      </c>
      <c r="DE143" s="11">
        <v>5530</v>
      </c>
      <c r="DF143" s="11">
        <v>5734</v>
      </c>
      <c r="DG143" s="11">
        <v>149176</v>
      </c>
      <c r="DH143" s="11">
        <v>1013374.56</v>
      </c>
      <c r="DI143" s="11">
        <v>40379</v>
      </c>
      <c r="DJ143" s="11">
        <v>55580</v>
      </c>
      <c r="DK143" s="11">
        <v>501894</v>
      </c>
      <c r="DL143" s="11">
        <v>265547</v>
      </c>
      <c r="DM143" s="11">
        <v>221309</v>
      </c>
      <c r="DN143" s="11">
        <v>100977</v>
      </c>
      <c r="DO143" s="11">
        <v>77608</v>
      </c>
      <c r="DP143" s="11">
        <v>123534</v>
      </c>
      <c r="DQ143" s="11">
        <v>583439</v>
      </c>
      <c r="DR143" s="11">
        <v>99743</v>
      </c>
      <c r="DS143" s="11">
        <v>990676</v>
      </c>
      <c r="DT143" s="11">
        <v>0</v>
      </c>
      <c r="DU143" s="11">
        <v>100147</v>
      </c>
      <c r="DV143" s="11">
        <v>121127</v>
      </c>
      <c r="DW143" s="11">
        <v>3762</v>
      </c>
      <c r="DX143" s="11"/>
      <c r="DY143" s="11"/>
      <c r="DZ143" s="11">
        <v>2428</v>
      </c>
      <c r="EA143" s="11">
        <v>412</v>
      </c>
      <c r="EB143" s="11">
        <v>2060</v>
      </c>
      <c r="EC143" s="11">
        <v>824</v>
      </c>
      <c r="ED143" s="11"/>
      <c r="EE143" s="11">
        <v>7250</v>
      </c>
      <c r="EF143" s="11">
        <v>38948</v>
      </c>
      <c r="EG143" s="11">
        <v>26881</v>
      </c>
      <c r="EH143" s="11">
        <v>12682</v>
      </c>
      <c r="EI143" s="11">
        <v>50557</v>
      </c>
      <c r="EJ143" s="11">
        <v>118366</v>
      </c>
      <c r="EK143" s="11">
        <v>39948</v>
      </c>
      <c r="EL143" s="11">
        <v>2472</v>
      </c>
      <c r="EM143" s="11">
        <v>6903</v>
      </c>
      <c r="EN143" s="11">
        <v>829775.65</v>
      </c>
      <c r="EO143" s="11"/>
      <c r="EP143" s="11"/>
      <c r="EQ143" s="11"/>
      <c r="ER143" s="11"/>
      <c r="ES143" s="11">
        <v>206</v>
      </c>
      <c r="ET143" s="11"/>
      <c r="EU143" s="11"/>
      <c r="EV143" s="11"/>
      <c r="EW143" s="11">
        <v>20023.8</v>
      </c>
      <c r="EX143" s="11">
        <v>5762</v>
      </c>
      <c r="EY143" s="11">
        <v>0</v>
      </c>
      <c r="EZ143" s="11">
        <v>824</v>
      </c>
      <c r="FA143" s="11">
        <v>10622</v>
      </c>
      <c r="FB143" s="11">
        <v>26009</v>
      </c>
      <c r="FC143" s="11">
        <v>37344</v>
      </c>
      <c r="FD143" s="11">
        <v>5150</v>
      </c>
      <c r="FE143" s="11">
        <v>80308.679999999993</v>
      </c>
      <c r="FF143" s="11">
        <v>0</v>
      </c>
      <c r="FG143" s="11">
        <v>1854</v>
      </c>
      <c r="FH143" s="11">
        <v>824</v>
      </c>
      <c r="FI143" s="11">
        <v>774</v>
      </c>
      <c r="FJ143" s="11">
        <v>206</v>
      </c>
      <c r="FK143" s="11"/>
      <c r="FL143" s="11">
        <v>64822</v>
      </c>
      <c r="FM143" s="11">
        <v>8898</v>
      </c>
      <c r="FN143" s="11">
        <v>66251</v>
      </c>
      <c r="FO143" s="11">
        <v>65</v>
      </c>
      <c r="FP143" s="11"/>
      <c r="FQ143" s="11">
        <v>178163.65</v>
      </c>
      <c r="FR143" s="11">
        <v>319539</v>
      </c>
      <c r="FS143" s="11">
        <v>31507</v>
      </c>
      <c r="FT143" s="11">
        <v>64251</v>
      </c>
      <c r="FU143" s="11">
        <v>78726</v>
      </c>
      <c r="FV143" s="11">
        <v>16586</v>
      </c>
      <c r="FW143" s="11"/>
      <c r="FX143" s="11">
        <v>32516</v>
      </c>
      <c r="FY143" s="11">
        <v>5230</v>
      </c>
      <c r="FZ143" s="11">
        <v>445.67</v>
      </c>
      <c r="GA143" s="11">
        <v>138293</v>
      </c>
      <c r="GB143" s="11">
        <v>50846</v>
      </c>
      <c r="GC143" s="11">
        <v>5562</v>
      </c>
      <c r="GD143" s="11"/>
      <c r="GE143" s="11">
        <v>0</v>
      </c>
      <c r="GF143" s="11">
        <v>0</v>
      </c>
      <c r="GG143" s="11">
        <v>4908</v>
      </c>
      <c r="GH143" s="11">
        <v>-17512</v>
      </c>
      <c r="GI143" s="11">
        <v>206</v>
      </c>
      <c r="GJ143" s="11">
        <v>32090</v>
      </c>
      <c r="GK143" s="11">
        <v>0</v>
      </c>
      <c r="GL143" s="11">
        <v>63425</v>
      </c>
      <c r="GM143" s="11">
        <v>206</v>
      </c>
      <c r="GN143" s="11"/>
      <c r="GO143" s="11"/>
      <c r="GP143" s="11"/>
      <c r="GQ143" s="11"/>
      <c r="GR143" s="11"/>
      <c r="GS143" s="11"/>
      <c r="GT143" s="11">
        <v>65</v>
      </c>
      <c r="GU143" s="11"/>
      <c r="GV143" s="11"/>
      <c r="GW143" s="11"/>
      <c r="GX143" s="11"/>
      <c r="GY143" s="11">
        <v>391788</v>
      </c>
      <c r="GZ143" s="11"/>
      <c r="HA143" s="11"/>
      <c r="HB143" s="11"/>
      <c r="HC143" s="11">
        <v>228569.48</v>
      </c>
      <c r="HD143" s="11"/>
      <c r="HE143" s="11">
        <v>169373</v>
      </c>
      <c r="HF143" s="11">
        <v>976872</v>
      </c>
      <c r="HG143" s="11">
        <v>1836734</v>
      </c>
      <c r="HH143" s="11">
        <v>2659493</v>
      </c>
      <c r="HI143" s="11">
        <v>6289</v>
      </c>
      <c r="HJ143" s="11"/>
      <c r="HK143" s="11">
        <v>561267.93000000005</v>
      </c>
      <c r="HL143" s="11">
        <v>192886</v>
      </c>
      <c r="HM143" s="11">
        <v>742982</v>
      </c>
      <c r="HN143" s="11">
        <v>1250230</v>
      </c>
      <c r="HO143" s="11">
        <v>144233</v>
      </c>
      <c r="HP143" s="11">
        <v>180679</v>
      </c>
      <c r="HQ143" s="11">
        <v>1077466</v>
      </c>
      <c r="HR143" s="11">
        <v>52518</v>
      </c>
      <c r="HS143" s="11">
        <v>102120</v>
      </c>
      <c r="HT143" s="11">
        <v>324561</v>
      </c>
      <c r="HU143" s="11">
        <v>6053</v>
      </c>
      <c r="HV143" s="11">
        <v>61927</v>
      </c>
      <c r="HW143" s="11">
        <v>63613</v>
      </c>
      <c r="HX143" s="11"/>
      <c r="HY143" s="11">
        <v>222449</v>
      </c>
      <c r="HZ143" s="11">
        <v>14336</v>
      </c>
      <c r="IA143" s="11">
        <v>14488</v>
      </c>
      <c r="IB143" s="11">
        <v>206</v>
      </c>
      <c r="IC143" s="11">
        <v>1644</v>
      </c>
      <c r="ID143" s="11">
        <v>7138</v>
      </c>
      <c r="IE143" s="11"/>
      <c r="IF143" s="11">
        <v>5153</v>
      </c>
      <c r="IG143" s="11"/>
      <c r="IH143" s="11">
        <v>74649</v>
      </c>
      <c r="II143" s="11"/>
      <c r="IJ143" s="11">
        <v>91357</v>
      </c>
      <c r="IK143" s="11">
        <v>56148</v>
      </c>
      <c r="IL143" s="11">
        <v>235481</v>
      </c>
      <c r="IM143" s="11"/>
      <c r="IN143" s="11"/>
      <c r="IO143" s="11">
        <v>412</v>
      </c>
      <c r="IP143" s="11">
        <v>6682</v>
      </c>
      <c r="IQ143" s="11">
        <v>39859</v>
      </c>
      <c r="IR143" s="11">
        <v>75000</v>
      </c>
      <c r="IS143" s="11">
        <v>152573</v>
      </c>
      <c r="IT143" s="11">
        <v>854662</v>
      </c>
      <c r="IU143" s="11">
        <v>596201</v>
      </c>
      <c r="IV143" s="11"/>
      <c r="IW143" s="11"/>
      <c r="IX143" s="11">
        <v>403263</v>
      </c>
      <c r="IY143" s="11">
        <v>1030</v>
      </c>
      <c r="IZ143" s="11"/>
      <c r="JA143" s="11"/>
      <c r="JB143" s="11">
        <v>1236</v>
      </c>
      <c r="JC143" s="11">
        <v>679</v>
      </c>
      <c r="JD143" s="11"/>
      <c r="JE143" s="11"/>
      <c r="JF143" s="11">
        <v>2512</v>
      </c>
      <c r="JG143" s="11">
        <v>0</v>
      </c>
      <c r="JH143" s="11">
        <v>6226</v>
      </c>
      <c r="JI143" s="11"/>
      <c r="JJ143" s="11"/>
      <c r="JK143" s="11">
        <v>19002</v>
      </c>
      <c r="JL143" s="11">
        <v>774462.51</v>
      </c>
      <c r="JM143" s="11"/>
      <c r="JN143" s="11">
        <v>1183</v>
      </c>
      <c r="JO143" s="11">
        <v>20649</v>
      </c>
      <c r="JP143" s="11">
        <v>23814</v>
      </c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>
        <v>1055181</v>
      </c>
      <c r="KK143" s="11">
        <v>35509</v>
      </c>
      <c r="KL143" s="11">
        <v>90286</v>
      </c>
      <c r="KM143" s="11">
        <v>38188</v>
      </c>
      <c r="KN143" s="11">
        <v>130598</v>
      </c>
      <c r="KO143" s="11">
        <v>58884</v>
      </c>
      <c r="KP143" s="11">
        <v>373919</v>
      </c>
      <c r="KQ143" s="11">
        <v>33031</v>
      </c>
      <c r="KR143" s="11">
        <v>96605</v>
      </c>
      <c r="KS143" s="11">
        <v>55356</v>
      </c>
      <c r="KT143" s="11">
        <v>48141</v>
      </c>
      <c r="KU143" s="11">
        <v>94357</v>
      </c>
      <c r="KV143" s="11">
        <v>664606</v>
      </c>
      <c r="KW143" s="11">
        <v>49042</v>
      </c>
      <c r="KX143" s="11">
        <v>29854</v>
      </c>
      <c r="KY143" s="11">
        <v>21308</v>
      </c>
      <c r="KZ143" s="11">
        <v>6045</v>
      </c>
      <c r="LA143" s="11">
        <v>59249</v>
      </c>
      <c r="LB143" s="11">
        <v>52214</v>
      </c>
      <c r="LC143" s="11">
        <v>150890</v>
      </c>
      <c r="LD143" s="11">
        <v>40154</v>
      </c>
      <c r="LE143" s="11">
        <v>16038</v>
      </c>
      <c r="LF143" s="11">
        <v>388477</v>
      </c>
      <c r="LG143" s="11">
        <v>84241</v>
      </c>
      <c r="LH143" s="11">
        <v>4272741.55</v>
      </c>
      <c r="LI143" s="11">
        <v>47696</v>
      </c>
      <c r="LJ143" s="11">
        <v>973982</v>
      </c>
      <c r="LK143" s="11">
        <v>107395</v>
      </c>
      <c r="LL143" s="11">
        <v>235502</v>
      </c>
      <c r="LM143" s="11">
        <v>1078491</v>
      </c>
      <c r="LN143" s="11">
        <v>26857</v>
      </c>
      <c r="LO143" s="11">
        <v>928209</v>
      </c>
      <c r="LP143" s="11">
        <v>37614</v>
      </c>
      <c r="LQ143" s="11">
        <v>528302</v>
      </c>
      <c r="LR143" s="11">
        <v>4568</v>
      </c>
      <c r="LS143" s="11">
        <v>25962</v>
      </c>
      <c r="LT143" s="11"/>
      <c r="LU143" s="11"/>
      <c r="LV143" s="11">
        <v>1422712.6</v>
      </c>
      <c r="LW143" s="11">
        <v>2831941.84</v>
      </c>
      <c r="LX143" s="11">
        <v>694534</v>
      </c>
      <c r="LY143" s="11">
        <v>95697.17</v>
      </c>
      <c r="LZ143" s="11">
        <v>515</v>
      </c>
      <c r="MA143" s="11">
        <v>96844</v>
      </c>
      <c r="MB143" s="11">
        <v>254648.5</v>
      </c>
      <c r="MC143" s="11"/>
      <c r="MD143" s="11">
        <v>108742</v>
      </c>
      <c r="ME143" s="11">
        <v>114366</v>
      </c>
      <c r="MF143" s="11">
        <v>121737</v>
      </c>
      <c r="MG143" s="11"/>
      <c r="MH143" s="11">
        <v>9020</v>
      </c>
      <c r="MI143" s="11">
        <v>189931</v>
      </c>
      <c r="MJ143" s="11"/>
      <c r="MK143" s="11">
        <v>17987</v>
      </c>
      <c r="ML143" s="11">
        <v>10359</v>
      </c>
      <c r="MM143" s="11">
        <v>292371</v>
      </c>
      <c r="MN143" s="11">
        <v>204041</v>
      </c>
      <c r="MO143" s="11">
        <v>13762</v>
      </c>
      <c r="MP143" s="11">
        <v>45769</v>
      </c>
      <c r="MQ143" s="11">
        <v>9390</v>
      </c>
      <c r="MR143" s="11">
        <v>7077</v>
      </c>
      <c r="MS143" s="11">
        <v>19418</v>
      </c>
      <c r="MT143" s="11">
        <v>597825</v>
      </c>
      <c r="MU143" s="11">
        <v>374629.95</v>
      </c>
      <c r="MV143" s="11">
        <v>195723</v>
      </c>
      <c r="MW143" s="11">
        <v>2241</v>
      </c>
      <c r="MX143" s="11">
        <v>657593</v>
      </c>
      <c r="MY143" s="11">
        <v>539657</v>
      </c>
      <c r="MZ143" s="11">
        <v>630961</v>
      </c>
      <c r="NA143" s="11">
        <v>9296</v>
      </c>
      <c r="NB143" s="11">
        <v>829684</v>
      </c>
      <c r="NC143" s="11">
        <v>183700.5</v>
      </c>
      <c r="ND143" s="11">
        <v>2023</v>
      </c>
      <c r="NE143" s="11">
        <v>9741615.4499999993</v>
      </c>
      <c r="NF143" s="11">
        <v>3415619.84</v>
      </c>
      <c r="NG143" s="11">
        <v>111402</v>
      </c>
      <c r="NH143" s="11">
        <v>5332235.47</v>
      </c>
      <c r="NI143" s="11">
        <v>1806886</v>
      </c>
      <c r="NJ143" s="11">
        <v>2066226</v>
      </c>
      <c r="NK143" s="11">
        <v>1360918</v>
      </c>
      <c r="NL143" s="11">
        <v>7065016.7800000003</v>
      </c>
      <c r="NM143" s="11">
        <v>135391</v>
      </c>
      <c r="NN143" s="11">
        <v>3502108.5</v>
      </c>
      <c r="NO143" s="11">
        <v>2610963.52</v>
      </c>
      <c r="NP143" s="11">
        <v>296991.09000000003</v>
      </c>
      <c r="NQ143" s="11">
        <v>5948988.6500000004</v>
      </c>
      <c r="NR143" s="11"/>
      <c r="NS143" s="11">
        <v>368539</v>
      </c>
      <c r="NT143" s="11"/>
      <c r="NU143" s="11">
        <v>11176</v>
      </c>
      <c r="NV143" s="11"/>
      <c r="NW143" s="11"/>
      <c r="NX143" s="11">
        <v>19370</v>
      </c>
      <c r="NY143" s="11">
        <v>277044</v>
      </c>
      <c r="NZ143" s="11"/>
      <c r="OA143" s="11">
        <v>19108</v>
      </c>
      <c r="OB143" s="11">
        <v>47181.07</v>
      </c>
      <c r="OC143" s="11">
        <v>4764</v>
      </c>
      <c r="OD143" s="11"/>
      <c r="OE143" s="11">
        <v>6555160.5999999996</v>
      </c>
      <c r="OF143" s="11">
        <v>1252083.2</v>
      </c>
      <c r="OG143" s="11">
        <v>254224.4</v>
      </c>
      <c r="OH143" s="11">
        <v>2356691.33</v>
      </c>
      <c r="OI143" s="11">
        <v>1062858.05</v>
      </c>
      <c r="OJ143" s="11">
        <v>873659.2</v>
      </c>
      <c r="OK143" s="11">
        <v>2202881.6</v>
      </c>
      <c r="OL143" s="11">
        <v>135516.53</v>
      </c>
      <c r="OM143" s="11">
        <v>0</v>
      </c>
      <c r="ON143" s="11">
        <v>5342395.16</v>
      </c>
      <c r="OO143" s="11">
        <v>1334627</v>
      </c>
      <c r="OP143" s="11">
        <v>6206243</v>
      </c>
      <c r="OQ143" s="11">
        <v>1143623</v>
      </c>
      <c r="OR143" s="11">
        <v>1441719</v>
      </c>
      <c r="OS143" s="11"/>
      <c r="OT143" s="11">
        <v>897674.3</v>
      </c>
      <c r="OU143" s="11"/>
      <c r="OV143" s="11">
        <v>690824</v>
      </c>
      <c r="OW143" s="11">
        <v>345445</v>
      </c>
      <c r="OX143" s="11">
        <v>121313</v>
      </c>
      <c r="OY143" s="11">
        <v>4728839</v>
      </c>
      <c r="OZ143" s="11">
        <v>376764.24</v>
      </c>
      <c r="PA143" s="11">
        <v>264549</v>
      </c>
      <c r="PB143" s="11"/>
      <c r="PC143" s="11">
        <v>94950</v>
      </c>
      <c r="PD143" s="11"/>
      <c r="PE143" s="11"/>
      <c r="PF143" s="11"/>
      <c r="PG143" s="11">
        <v>0</v>
      </c>
      <c r="PH143" s="11"/>
      <c r="PI143" s="11">
        <v>2472</v>
      </c>
      <c r="PJ143" s="11"/>
      <c r="PK143" s="11"/>
      <c r="PL143" s="11">
        <v>412</v>
      </c>
      <c r="PM143" s="11">
        <v>14888</v>
      </c>
      <c r="PN143" s="11"/>
      <c r="PO143" s="11">
        <v>0</v>
      </c>
      <c r="PP143" s="11">
        <v>15704</v>
      </c>
      <c r="PQ143" s="11"/>
      <c r="PR143" s="11"/>
      <c r="PS143" s="11"/>
      <c r="PT143" s="11"/>
      <c r="PU143" s="11"/>
      <c r="PV143" s="11"/>
      <c r="PW143" s="11">
        <v>2634</v>
      </c>
      <c r="PX143" s="11">
        <v>618</v>
      </c>
      <c r="PY143" s="11"/>
      <c r="PZ143" s="11"/>
      <c r="QA143" s="11"/>
      <c r="QB143" s="11"/>
      <c r="QC143" s="11"/>
      <c r="QD143" s="11"/>
      <c r="QE143" s="11"/>
      <c r="QF143" s="11">
        <v>206</v>
      </c>
      <c r="QG143" s="11"/>
      <c r="QH143" s="11"/>
      <c r="QI143" s="11"/>
      <c r="QJ143" s="11">
        <v>412</v>
      </c>
      <c r="QK143" s="11"/>
      <c r="QL143" s="11"/>
      <c r="QM143" s="11"/>
      <c r="QN143" s="11"/>
      <c r="QO143" s="11">
        <v>40573.96</v>
      </c>
      <c r="QP143" s="11">
        <v>2615</v>
      </c>
      <c r="QQ143" s="11"/>
      <c r="QR143" s="11"/>
      <c r="QS143" s="11"/>
      <c r="QT143" s="11"/>
      <c r="QU143" s="11">
        <v>19429</v>
      </c>
      <c r="QV143" s="11"/>
      <c r="QW143" s="11"/>
      <c r="QX143" s="11"/>
      <c r="QY143" s="11"/>
      <c r="QZ143" s="11">
        <v>824</v>
      </c>
      <c r="RA143" s="11"/>
      <c r="RB143" s="11">
        <v>1486</v>
      </c>
      <c r="RC143" s="11"/>
      <c r="RD143" s="11"/>
      <c r="RE143" s="11"/>
      <c r="RF143" s="11"/>
      <c r="RG143" s="11"/>
      <c r="RH143" s="11"/>
      <c r="RI143" s="11">
        <v>15862</v>
      </c>
      <c r="RJ143" s="11">
        <v>1214</v>
      </c>
      <c r="RK143" s="11"/>
      <c r="RL143" s="11"/>
      <c r="RM143" s="11">
        <v>2209</v>
      </c>
      <c r="RN143" s="11">
        <v>8847</v>
      </c>
      <c r="RO143" s="11">
        <v>0</v>
      </c>
      <c r="RP143" s="11">
        <v>24918</v>
      </c>
      <c r="RQ143" s="11">
        <v>1744</v>
      </c>
      <c r="RR143" s="11">
        <v>412</v>
      </c>
      <c r="RS143" s="11"/>
      <c r="RT143" s="11">
        <v>65</v>
      </c>
      <c r="RU143" s="11"/>
      <c r="RV143" s="11"/>
      <c r="RW143" s="11"/>
      <c r="RX143" s="11">
        <v>0</v>
      </c>
      <c r="RY143" s="11"/>
      <c r="RZ143" s="11"/>
      <c r="SA143" s="11"/>
      <c r="SB143" s="11">
        <v>471186</v>
      </c>
      <c r="SC143" s="11"/>
      <c r="SD143" s="11">
        <v>177397.4</v>
      </c>
      <c r="SE143" s="11">
        <v>119802</v>
      </c>
      <c r="SF143" s="11">
        <v>34230</v>
      </c>
      <c r="SG143" s="11">
        <v>55694</v>
      </c>
      <c r="SH143" s="11">
        <v>97286</v>
      </c>
      <c r="SI143" s="11">
        <v>212867</v>
      </c>
      <c r="SJ143" s="11">
        <v>12566</v>
      </c>
      <c r="SK143" s="11">
        <v>8450</v>
      </c>
      <c r="SL143" s="11">
        <v>90669</v>
      </c>
      <c r="SM143" s="11">
        <v>4136</v>
      </c>
      <c r="SN143" s="11">
        <v>2830</v>
      </c>
      <c r="SO143" s="11">
        <v>1442</v>
      </c>
      <c r="SP143" s="11">
        <v>412</v>
      </c>
      <c r="SQ143" s="11">
        <v>4475</v>
      </c>
      <c r="SR143" s="11"/>
      <c r="SS143" s="11">
        <v>618</v>
      </c>
      <c r="ST143" s="11">
        <v>41923</v>
      </c>
      <c r="SU143" s="11">
        <v>66976</v>
      </c>
      <c r="SV143" s="11">
        <v>121926</v>
      </c>
      <c r="SW143" s="11">
        <v>3791</v>
      </c>
      <c r="SX143" s="11">
        <v>132360</v>
      </c>
      <c r="SY143" s="11">
        <v>71229</v>
      </c>
      <c r="SZ143" s="11"/>
      <c r="TA143" s="11">
        <v>30868</v>
      </c>
      <c r="TB143" s="11"/>
      <c r="TC143" s="11">
        <v>92032</v>
      </c>
      <c r="TD143" s="11"/>
      <c r="TE143" s="11">
        <v>14420</v>
      </c>
      <c r="TF143" s="11">
        <v>0</v>
      </c>
      <c r="TG143" s="11">
        <v>2060</v>
      </c>
      <c r="TH143" s="11">
        <v>2678</v>
      </c>
      <c r="TI143" s="11">
        <v>4532</v>
      </c>
      <c r="TJ143" s="11">
        <v>1442</v>
      </c>
      <c r="TK143" s="11">
        <v>0</v>
      </c>
      <c r="TL143" s="11"/>
      <c r="TM143" s="11">
        <v>4532</v>
      </c>
      <c r="TN143" s="11">
        <v>26890</v>
      </c>
      <c r="TO143" s="11">
        <v>25951</v>
      </c>
      <c r="TP143" s="11">
        <v>206</v>
      </c>
      <c r="TQ143" s="11">
        <v>41654</v>
      </c>
      <c r="TR143" s="11">
        <v>3502</v>
      </c>
      <c r="TS143" s="11">
        <v>12855</v>
      </c>
      <c r="TT143" s="11">
        <v>0</v>
      </c>
      <c r="TU143" s="11"/>
      <c r="TV143" s="11">
        <v>1030</v>
      </c>
      <c r="TW143" s="11">
        <v>1648</v>
      </c>
      <c r="TX143" s="11">
        <v>4315</v>
      </c>
      <c r="TY143" s="11">
        <v>0</v>
      </c>
      <c r="TZ143" s="11">
        <v>107811</v>
      </c>
      <c r="UA143" s="11">
        <v>206</v>
      </c>
      <c r="UB143" s="11">
        <v>13477</v>
      </c>
      <c r="UC143" s="11">
        <v>2537</v>
      </c>
      <c r="UD143" s="11">
        <v>24514</v>
      </c>
      <c r="UE143" s="11">
        <v>71482</v>
      </c>
      <c r="UF143" s="11">
        <v>1359</v>
      </c>
      <c r="UG143" s="11"/>
      <c r="UH143" s="11"/>
      <c r="UI143" s="11"/>
      <c r="UJ143" s="11"/>
      <c r="UK143" s="11">
        <v>26368</v>
      </c>
      <c r="UL143" s="11">
        <v>70423</v>
      </c>
      <c r="UM143" s="11">
        <v>12154</v>
      </c>
      <c r="UN143" s="11">
        <v>16518</v>
      </c>
      <c r="UO143" s="11">
        <v>6296</v>
      </c>
      <c r="UP143" s="11">
        <v>31517</v>
      </c>
      <c r="UQ143" s="11">
        <v>562352</v>
      </c>
      <c r="UR143" s="11">
        <v>11394</v>
      </c>
      <c r="US143" s="11"/>
      <c r="UT143" s="11">
        <v>49234</v>
      </c>
      <c r="UU143" s="11">
        <v>412</v>
      </c>
      <c r="UV143" s="11"/>
      <c r="UW143" s="11">
        <v>3708</v>
      </c>
      <c r="UX143" s="11"/>
      <c r="UY143" s="11"/>
      <c r="UZ143" s="11">
        <v>1106</v>
      </c>
      <c r="VA143" s="11">
        <v>1648</v>
      </c>
      <c r="VB143" s="11">
        <v>412</v>
      </c>
      <c r="VC143" s="11">
        <v>20922</v>
      </c>
      <c r="VD143" s="11">
        <v>412</v>
      </c>
      <c r="VE143" s="11"/>
      <c r="VF143" s="11"/>
      <c r="VG143" s="11">
        <v>4120</v>
      </c>
      <c r="VH143" s="11"/>
      <c r="VI143" s="11">
        <v>1236</v>
      </c>
      <c r="VJ143" s="11">
        <v>1854</v>
      </c>
      <c r="VK143" s="11"/>
      <c r="VL143" s="11"/>
      <c r="VM143" s="11">
        <v>3792</v>
      </c>
      <c r="VN143" s="11"/>
      <c r="VO143" s="11">
        <v>264</v>
      </c>
      <c r="VP143" s="11"/>
      <c r="VQ143" s="11"/>
      <c r="VR143" s="11">
        <v>76175</v>
      </c>
      <c r="VS143" s="11">
        <v>25443</v>
      </c>
      <c r="VT143" s="11">
        <v>3731</v>
      </c>
      <c r="VU143" s="11">
        <v>34036</v>
      </c>
      <c r="VV143" s="11"/>
      <c r="VW143" s="11"/>
      <c r="VX143" s="11"/>
      <c r="VY143" s="11"/>
      <c r="VZ143" s="11"/>
      <c r="WA143" s="11">
        <v>206</v>
      </c>
      <c r="WB143" s="11"/>
      <c r="WC143" s="11"/>
      <c r="WD143" s="11">
        <v>6355</v>
      </c>
      <c r="WE143" s="11"/>
      <c r="WF143" s="11"/>
      <c r="WG143" s="11">
        <v>20166</v>
      </c>
      <c r="WH143" s="11">
        <v>2499</v>
      </c>
      <c r="WI143" s="11">
        <v>130572</v>
      </c>
      <c r="WJ143" s="11">
        <v>1245</v>
      </c>
      <c r="WK143" s="11">
        <v>70572</v>
      </c>
      <c r="WL143" s="11">
        <v>29262.77</v>
      </c>
      <c r="WM143" s="11">
        <v>0</v>
      </c>
      <c r="WN143" s="11"/>
      <c r="WO143" s="11">
        <v>112694</v>
      </c>
      <c r="WP143" s="11">
        <v>10159</v>
      </c>
      <c r="WQ143" s="11">
        <v>830</v>
      </c>
      <c r="WR143" s="11"/>
      <c r="WS143" s="11">
        <v>72047</v>
      </c>
      <c r="WT143" s="11">
        <v>10404</v>
      </c>
      <c r="WU143" s="11">
        <v>117</v>
      </c>
      <c r="WV143" s="11">
        <v>1199669</v>
      </c>
      <c r="WW143" s="11">
        <v>14948</v>
      </c>
      <c r="WX143" s="11"/>
      <c r="WY143" s="11"/>
      <c r="WZ143" s="11">
        <v>64039</v>
      </c>
      <c r="XA143" s="11"/>
      <c r="XB143" s="11"/>
      <c r="XC143" s="11">
        <v>14500</v>
      </c>
      <c r="XD143" s="11"/>
      <c r="XE143" s="11">
        <v>1834</v>
      </c>
      <c r="XF143" s="11"/>
      <c r="XG143" s="11"/>
      <c r="XH143" s="11">
        <v>14897</v>
      </c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>
        <v>206621</v>
      </c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>
        <v>23159</v>
      </c>
      <c r="YY143" s="11">
        <v>59517</v>
      </c>
      <c r="YZ143" s="11"/>
      <c r="ZA143" s="11">
        <v>235742.5</v>
      </c>
      <c r="ZB143" s="11">
        <v>20</v>
      </c>
      <c r="ZC143" s="11"/>
      <c r="ZD143" s="11">
        <v>6147</v>
      </c>
      <c r="ZE143" s="11"/>
      <c r="ZF143" s="11"/>
      <c r="ZG143" s="11"/>
      <c r="ZH143" s="11"/>
      <c r="ZI143" s="11"/>
      <c r="ZJ143" s="11"/>
      <c r="ZK143" s="11"/>
      <c r="ZL143" s="11"/>
      <c r="ZM143" s="11"/>
      <c r="ZN143" s="11">
        <v>6398</v>
      </c>
      <c r="ZO143" s="11"/>
      <c r="ZP143" s="11"/>
      <c r="ZQ143" s="11"/>
      <c r="ZR143" s="11"/>
      <c r="ZS143" s="11"/>
      <c r="ZT143" s="11"/>
      <c r="ZU143" s="11">
        <v>11034</v>
      </c>
      <c r="ZV143" s="11">
        <v>0</v>
      </c>
      <c r="ZW143" s="11"/>
      <c r="ZX143" s="11"/>
      <c r="ZY143" s="11"/>
      <c r="ZZ143" s="11"/>
      <c r="AAA143" s="11"/>
      <c r="AAB143" s="11"/>
      <c r="AAC143" s="11">
        <v>3708</v>
      </c>
      <c r="AAD143" s="11"/>
      <c r="AAE143" s="11">
        <v>1030</v>
      </c>
      <c r="AAF143" s="11"/>
      <c r="AAG143" s="11">
        <v>2678</v>
      </c>
      <c r="AAH143" s="11"/>
      <c r="AAI143" s="11"/>
      <c r="AAJ143" s="11"/>
      <c r="AAK143" s="11"/>
      <c r="AAL143" s="11"/>
      <c r="AAM143" s="11"/>
      <c r="AAN143" s="11"/>
      <c r="AAO143" s="11">
        <v>1648</v>
      </c>
      <c r="AAP143" s="11">
        <v>271</v>
      </c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>
        <v>0</v>
      </c>
      <c r="ABJ143" s="11">
        <v>3090</v>
      </c>
      <c r="ABK143" s="11"/>
      <c r="ABL143" s="11"/>
      <c r="ABM143" s="11"/>
      <c r="ABN143" s="11"/>
      <c r="ABO143" s="11"/>
      <c r="ABP143" s="11"/>
      <c r="ABQ143" s="11">
        <v>1403652.01</v>
      </c>
      <c r="ABR143" s="11"/>
      <c r="ABS143" s="11">
        <v>640230.30000000005</v>
      </c>
      <c r="ABT143" s="11">
        <v>354282</v>
      </c>
      <c r="ABU143" s="11">
        <v>388930</v>
      </c>
      <c r="ABV143" s="11">
        <v>184110</v>
      </c>
      <c r="ABW143" s="11">
        <v>259989</v>
      </c>
      <c r="ABX143" s="11"/>
      <c r="ABY143" s="11">
        <v>4247375.63</v>
      </c>
      <c r="ABZ143" s="11">
        <v>633114</v>
      </c>
      <c r="ACA143" s="11">
        <v>2288400.7000000002</v>
      </c>
      <c r="ACB143" s="11">
        <v>727033</v>
      </c>
      <c r="ACC143" s="11">
        <v>442198</v>
      </c>
      <c r="ACD143" s="11">
        <v>485550</v>
      </c>
      <c r="ACE143" s="11">
        <v>917134</v>
      </c>
      <c r="ACF143" s="11">
        <v>115180</v>
      </c>
      <c r="ACG143" s="11">
        <v>17304</v>
      </c>
      <c r="ACH143" s="11">
        <v>151040</v>
      </c>
      <c r="ACI143" s="11">
        <v>1043183</v>
      </c>
      <c r="ACJ143" s="11">
        <v>276768</v>
      </c>
      <c r="ACK143" s="11"/>
      <c r="ACL143" s="11"/>
      <c r="ACM143" s="11">
        <v>260962</v>
      </c>
      <c r="ACN143" s="11">
        <v>108118</v>
      </c>
      <c r="ACO143" s="11"/>
      <c r="ACP143" s="11"/>
      <c r="ACQ143" s="11"/>
      <c r="ACR143" s="11">
        <v>74984</v>
      </c>
      <c r="ACS143" s="11">
        <v>836</v>
      </c>
      <c r="ACT143" s="11">
        <v>15411</v>
      </c>
      <c r="ACU143" s="11">
        <v>74486</v>
      </c>
      <c r="ACV143" s="11"/>
      <c r="ACW143" s="11"/>
      <c r="ACX143" s="11"/>
      <c r="ACY143" s="11">
        <v>4944</v>
      </c>
      <c r="ACZ143" s="11"/>
      <c r="ADA143" s="11">
        <v>15530</v>
      </c>
      <c r="ADB143" s="11">
        <v>2884</v>
      </c>
      <c r="ADC143" s="11"/>
      <c r="ADD143" s="11"/>
      <c r="ADE143" s="11"/>
      <c r="ADF143" s="11"/>
      <c r="ADG143" s="11"/>
      <c r="ADH143" s="11"/>
      <c r="ADI143" s="11">
        <v>59694</v>
      </c>
      <c r="ADJ143" s="11">
        <v>61264</v>
      </c>
      <c r="ADK143" s="11"/>
      <c r="ADL143" s="11"/>
      <c r="ADM143" s="11">
        <v>490953</v>
      </c>
      <c r="ADN143" s="11"/>
      <c r="ADO143" s="11">
        <v>276162</v>
      </c>
      <c r="ADP143" s="11">
        <v>8339984</v>
      </c>
      <c r="ADQ143" s="11">
        <v>5598361</v>
      </c>
      <c r="ADR143" s="11">
        <v>4834030.5</v>
      </c>
      <c r="ADS143" s="11">
        <v>75124.25</v>
      </c>
      <c r="ADT143" s="11">
        <v>232166</v>
      </c>
      <c r="ADU143" s="11">
        <v>15648</v>
      </c>
      <c r="ADV143" s="11">
        <v>30313</v>
      </c>
      <c r="ADW143" s="11">
        <v>77746</v>
      </c>
      <c r="ADX143" s="11">
        <v>0</v>
      </c>
      <c r="ADY143" s="11">
        <v>337518</v>
      </c>
      <c r="ADZ143" s="11">
        <v>10233</v>
      </c>
      <c r="AEA143" s="11">
        <v>30644</v>
      </c>
      <c r="AEB143" s="11">
        <v>1022357</v>
      </c>
      <c r="AEC143" s="11">
        <v>419129.75</v>
      </c>
      <c r="AED143" s="11">
        <v>361476.62</v>
      </c>
      <c r="AEE143" s="11">
        <v>130923</v>
      </c>
      <c r="AEF143" s="11"/>
      <c r="AEG143" s="11"/>
      <c r="AEH143" s="11">
        <v>241552</v>
      </c>
      <c r="AEI143" s="11">
        <v>1147231</v>
      </c>
      <c r="AEJ143" s="11">
        <v>123434</v>
      </c>
      <c r="AEK143" s="11">
        <v>159352</v>
      </c>
      <c r="AEL143" s="11">
        <v>90373.34</v>
      </c>
      <c r="AEM143" s="11">
        <v>5387</v>
      </c>
      <c r="AEN143" s="11">
        <v>352344.96</v>
      </c>
      <c r="AEO143" s="11"/>
      <c r="AEP143" s="11">
        <v>302042</v>
      </c>
      <c r="AEQ143" s="11"/>
      <c r="AER143" s="11">
        <v>0</v>
      </c>
      <c r="AES143" s="11">
        <v>819989.63</v>
      </c>
      <c r="AET143" s="11">
        <v>4223</v>
      </c>
      <c r="AEU143" s="11">
        <v>52210</v>
      </c>
      <c r="AEV143" s="11">
        <v>12631</v>
      </c>
      <c r="AEW143" s="11">
        <v>5884</v>
      </c>
      <c r="AEX143" s="11">
        <v>40408</v>
      </c>
      <c r="AEY143" s="11">
        <v>88950.34</v>
      </c>
      <c r="AEZ143" s="11">
        <v>3296</v>
      </c>
      <c r="AFA143" s="11">
        <v>88703.3</v>
      </c>
      <c r="AFB143" s="11">
        <v>120784</v>
      </c>
      <c r="AFC143" s="11">
        <v>5351</v>
      </c>
      <c r="AFD143" s="11">
        <v>281892.08</v>
      </c>
      <c r="AFE143" s="11">
        <v>2704</v>
      </c>
      <c r="AFF143" s="11">
        <v>14948</v>
      </c>
      <c r="AFG143" s="11"/>
      <c r="AFH143" s="11"/>
      <c r="AFI143" s="11"/>
      <c r="AFJ143" s="11">
        <v>0</v>
      </c>
      <c r="AFK143" s="11"/>
      <c r="AFL143" s="11"/>
      <c r="AFM143" s="11"/>
      <c r="AFN143" s="11"/>
      <c r="AFO143" s="11"/>
      <c r="AFP143" s="11"/>
      <c r="AFQ143" s="11">
        <v>868583</v>
      </c>
      <c r="AFR143" s="11">
        <v>0</v>
      </c>
      <c r="AFS143" s="11">
        <v>798939</v>
      </c>
      <c r="AFT143" s="11">
        <v>0</v>
      </c>
      <c r="AFU143" s="11"/>
      <c r="AFV143" s="11"/>
      <c r="AFW143" s="11"/>
      <c r="AFX143" s="11">
        <v>50081</v>
      </c>
      <c r="AFY143" s="11"/>
      <c r="AFZ143" s="11"/>
      <c r="AGA143" s="11">
        <v>3051014.26</v>
      </c>
      <c r="AGB143" s="11"/>
      <c r="AGC143" s="11">
        <v>56362</v>
      </c>
      <c r="AGD143" s="11"/>
      <c r="AGE143" s="11"/>
      <c r="AGF143" s="11"/>
      <c r="AGG143" s="11"/>
      <c r="AGH143" s="11"/>
      <c r="AGI143" s="11"/>
      <c r="AGJ143" s="11"/>
      <c r="AGK143" s="11"/>
      <c r="AGL143" s="11">
        <v>412</v>
      </c>
      <c r="AGM143" s="11"/>
      <c r="AGN143" s="11">
        <v>822037</v>
      </c>
      <c r="AGO143" s="11">
        <v>73166</v>
      </c>
      <c r="AGP143" s="11"/>
      <c r="AGQ143" s="11"/>
      <c r="AGR143" s="11"/>
      <c r="AGS143" s="11"/>
      <c r="AGT143" s="11"/>
      <c r="AGU143" s="11"/>
      <c r="AGV143" s="11">
        <v>1928375</v>
      </c>
      <c r="AGW143" s="11">
        <v>801512</v>
      </c>
      <c r="AGX143" s="11">
        <v>10562</v>
      </c>
      <c r="AGY143" s="11">
        <v>264</v>
      </c>
      <c r="AGZ143" s="11">
        <v>394867.32</v>
      </c>
      <c r="AHA143" s="11">
        <v>694593</v>
      </c>
      <c r="AHB143" s="11">
        <v>39748</v>
      </c>
      <c r="AHC143" s="11">
        <v>89608</v>
      </c>
      <c r="AHD143" s="11">
        <v>0</v>
      </c>
      <c r="AHE143" s="11">
        <v>169295</v>
      </c>
      <c r="AHF143" s="11">
        <v>1158224.5</v>
      </c>
      <c r="AHG143" s="11">
        <v>103610</v>
      </c>
      <c r="AHH143" s="11">
        <v>96338.43</v>
      </c>
      <c r="AHI143" s="11">
        <v>656439</v>
      </c>
      <c r="AHJ143" s="11">
        <v>211707.5</v>
      </c>
      <c r="AHK143" s="11">
        <v>1329768</v>
      </c>
      <c r="AHL143" s="11">
        <v>503608.7</v>
      </c>
      <c r="AHM143" s="11">
        <v>6803</v>
      </c>
      <c r="AHN143" s="11"/>
      <c r="AHO143" s="11">
        <v>795</v>
      </c>
      <c r="AHP143" s="11">
        <v>0</v>
      </c>
      <c r="AHQ143" s="11">
        <v>450844.84</v>
      </c>
      <c r="AHR143" s="11">
        <v>412</v>
      </c>
      <c r="AHS143" s="11">
        <v>618</v>
      </c>
      <c r="AHT143" s="11">
        <v>211413838.27000004</v>
      </c>
      <c r="AHV143" s="269" t="s">
        <v>6278</v>
      </c>
      <c r="AHW143" s="269" t="s">
        <v>6226</v>
      </c>
      <c r="AHX143" s="269" t="s">
        <v>6227</v>
      </c>
    </row>
    <row r="144" spans="1:908" x14ac:dyDescent="0.7">
      <c r="A144" s="6" t="s">
        <v>6278</v>
      </c>
      <c r="B144" s="6" t="s">
        <v>6508</v>
      </c>
      <c r="C144" s="6" t="s">
        <v>6509</v>
      </c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>
        <v>42150</v>
      </c>
      <c r="AM144" s="11"/>
      <c r="AN144" s="11"/>
      <c r="AO144" s="11">
        <v>321380</v>
      </c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>
        <v>15500</v>
      </c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>
        <v>2056215.48</v>
      </c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>
        <v>29125</v>
      </c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>
        <v>319143.81</v>
      </c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>
        <v>37225</v>
      </c>
      <c r="GH144" s="11">
        <v>8000</v>
      </c>
      <c r="GI144" s="11"/>
      <c r="GJ144" s="11"/>
      <c r="GK144" s="11">
        <v>32294.57</v>
      </c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>
        <v>24750</v>
      </c>
      <c r="GX144" s="11"/>
      <c r="GY144" s="11"/>
      <c r="GZ144" s="11"/>
      <c r="HA144" s="11"/>
      <c r="HB144" s="11"/>
      <c r="HC144" s="11"/>
      <c r="HD144" s="11"/>
      <c r="HE144" s="11"/>
      <c r="HF144" s="11"/>
      <c r="HG144" s="11">
        <v>890451.43</v>
      </c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>
        <v>3900</v>
      </c>
      <c r="IE144" s="11"/>
      <c r="IF144" s="11"/>
      <c r="IG144" s="11"/>
      <c r="IH144" s="11"/>
      <c r="II144" s="11">
        <v>1503935.3</v>
      </c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>
        <v>149182.57</v>
      </c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>
        <v>706447.51</v>
      </c>
      <c r="JH144" s="11"/>
      <c r="JI144" s="11">
        <v>24878</v>
      </c>
      <c r="JJ144" s="11"/>
      <c r="JK144" s="11"/>
      <c r="JL144" s="11"/>
      <c r="JM144" s="11"/>
      <c r="JN144" s="11">
        <v>32977.5</v>
      </c>
      <c r="JO144" s="11"/>
      <c r="JP144" s="11"/>
      <c r="JQ144" s="11">
        <v>3050</v>
      </c>
      <c r="JR144" s="11"/>
      <c r="JS144" s="11"/>
      <c r="JT144" s="11"/>
      <c r="JU144" s="11"/>
      <c r="JV144" s="11"/>
      <c r="JW144" s="11"/>
      <c r="JX144" s="11"/>
      <c r="JY144" s="11">
        <v>186155</v>
      </c>
      <c r="JZ144" s="11">
        <v>29304</v>
      </c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>
        <v>30589</v>
      </c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>
        <v>179510.5</v>
      </c>
      <c r="LR144" s="11"/>
      <c r="LS144" s="11"/>
      <c r="LT144" s="11"/>
      <c r="LU144" s="11"/>
      <c r="LV144" s="11"/>
      <c r="LW144" s="11"/>
      <c r="LX144" s="11">
        <v>8535840</v>
      </c>
      <c r="LY144" s="11"/>
      <c r="LZ144" s="11">
        <v>751121</v>
      </c>
      <c r="MA144" s="11"/>
      <c r="MB144" s="11"/>
      <c r="MC144" s="11">
        <v>107662.15</v>
      </c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>
        <v>639409</v>
      </c>
      <c r="MZ144" s="11"/>
      <c r="NA144" s="11"/>
      <c r="NB144" s="11"/>
      <c r="NC144" s="11"/>
      <c r="ND144" s="11"/>
      <c r="NE144" s="11"/>
      <c r="NF144" s="11"/>
      <c r="NG144" s="11">
        <v>904578.67</v>
      </c>
      <c r="NH144" s="11"/>
      <c r="NI144" s="11"/>
      <c r="NJ144" s="11"/>
      <c r="NK144" s="11">
        <v>897009.37</v>
      </c>
      <c r="NL144" s="11">
        <v>744519.63</v>
      </c>
      <c r="NM144" s="11"/>
      <c r="NN144" s="11"/>
      <c r="NO144" s="11">
        <v>444998.95</v>
      </c>
      <c r="NP144" s="11"/>
      <c r="NQ144" s="11"/>
      <c r="NR144" s="11"/>
      <c r="NS144" s="11"/>
      <c r="NT144" s="11"/>
      <c r="NU144" s="11"/>
      <c r="NV144" s="11"/>
      <c r="NW144" s="11"/>
      <c r="NX144" s="11">
        <v>21774327</v>
      </c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>
        <v>154410.1</v>
      </c>
      <c r="OK144" s="11"/>
      <c r="OL144" s="11"/>
      <c r="OM144" s="11">
        <v>122494.7</v>
      </c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>
        <v>1126810.1399999999</v>
      </c>
      <c r="PF144" s="11"/>
      <c r="PG144" s="11"/>
      <c r="PH144" s="11"/>
      <c r="PI144" s="11">
        <v>340792</v>
      </c>
      <c r="PJ144" s="11">
        <v>315249</v>
      </c>
      <c r="PK144" s="11"/>
      <c r="PL144" s="11">
        <v>10545</v>
      </c>
      <c r="PM144" s="11">
        <v>313901.15999999997</v>
      </c>
      <c r="PN144" s="11"/>
      <c r="PO144" s="11"/>
      <c r="PP144" s="11"/>
      <c r="PQ144" s="11"/>
      <c r="PR144" s="11"/>
      <c r="PS144" s="11"/>
      <c r="PT144" s="11">
        <v>265258.5</v>
      </c>
      <c r="PU144" s="11"/>
      <c r="PV144" s="11">
        <v>-24157</v>
      </c>
      <c r="PW144" s="11"/>
      <c r="PX144" s="11"/>
      <c r="PY144" s="11">
        <v>509188.4</v>
      </c>
      <c r="PZ144" s="11"/>
      <c r="QA144" s="11">
        <v>24200</v>
      </c>
      <c r="QB144" s="11">
        <v>39900</v>
      </c>
      <c r="QC144" s="11"/>
      <c r="QD144" s="11"/>
      <c r="QE144" s="11"/>
      <c r="QF144" s="11"/>
      <c r="QG144" s="11"/>
      <c r="QH144" s="11"/>
      <c r="QI144" s="11">
        <v>92000</v>
      </c>
      <c r="QJ144" s="11"/>
      <c r="QK144" s="11">
        <v>100450</v>
      </c>
      <c r="QL144" s="11"/>
      <c r="QM144" s="11"/>
      <c r="QN144" s="11"/>
      <c r="QO144" s="11"/>
      <c r="QP144" s="11">
        <v>38836.25</v>
      </c>
      <c r="QQ144" s="11">
        <v>197801</v>
      </c>
      <c r="QR144" s="11">
        <v>0</v>
      </c>
      <c r="QS144" s="11">
        <v>245405.5</v>
      </c>
      <c r="QT144" s="11">
        <v>0</v>
      </c>
      <c r="QU144" s="11"/>
      <c r="QV144" s="11"/>
      <c r="QW144" s="11"/>
      <c r="QX144" s="11"/>
      <c r="QY144" s="11"/>
      <c r="QZ144" s="11"/>
      <c r="RA144" s="11"/>
      <c r="RB144" s="11"/>
      <c r="RC144" s="11">
        <v>164079.35</v>
      </c>
      <c r="RD144" s="11">
        <v>130731</v>
      </c>
      <c r="RE144" s="11"/>
      <c r="RF144" s="11"/>
      <c r="RG144" s="11"/>
      <c r="RH144" s="11">
        <v>2519003.7200000002</v>
      </c>
      <c r="RI144" s="11"/>
      <c r="RJ144" s="11"/>
      <c r="RK144" s="11"/>
      <c r="RL144" s="11"/>
      <c r="RM144" s="11">
        <v>1043403.03</v>
      </c>
      <c r="RN144" s="11"/>
      <c r="RO144" s="11"/>
      <c r="RP144" s="11"/>
      <c r="RQ144" s="11"/>
      <c r="RR144" s="11"/>
      <c r="RS144" s="11"/>
      <c r="RT144" s="11">
        <v>70740</v>
      </c>
      <c r="RU144" s="11">
        <v>165490</v>
      </c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>
        <v>4654708.1100000003</v>
      </c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>
        <v>13139860.529999999</v>
      </c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>
        <v>24000</v>
      </c>
      <c r="VP144" s="11">
        <v>19750</v>
      </c>
      <c r="VQ144" s="11"/>
      <c r="VR144" s="11">
        <v>1850</v>
      </c>
      <c r="VS144" s="11"/>
      <c r="VT144" s="11">
        <v>197710</v>
      </c>
      <c r="VU144" s="11">
        <v>103795</v>
      </c>
      <c r="VV144" s="11"/>
      <c r="VW144" s="11"/>
      <c r="VX144" s="11"/>
      <c r="VY144" s="11">
        <v>40000</v>
      </c>
      <c r="VZ144" s="11"/>
      <c r="WA144" s="11"/>
      <c r="WB144" s="11">
        <v>14499401.949999999</v>
      </c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>
        <v>-21400</v>
      </c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>
        <v>22470</v>
      </c>
      <c r="XC144" s="11"/>
      <c r="XD144" s="11"/>
      <c r="XE144" s="11"/>
      <c r="XF144" s="11">
        <v>259279</v>
      </c>
      <c r="XG144" s="11">
        <v>47454.5</v>
      </c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>
        <v>154545</v>
      </c>
      <c r="ZB144" s="11"/>
      <c r="ZC144" s="11"/>
      <c r="ZD144" s="11"/>
      <c r="ZE144" s="11">
        <v>0</v>
      </c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>
        <v>815419.3</v>
      </c>
      <c r="ZQ144" s="11"/>
      <c r="ZR144" s="11"/>
      <c r="ZS144" s="11"/>
      <c r="ZT144" s="11"/>
      <c r="ZU144" s="11"/>
      <c r="ZV144" s="11"/>
      <c r="ZW144" s="11"/>
      <c r="ZX144" s="11"/>
      <c r="ZY144" s="11">
        <v>438484</v>
      </c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>
        <v>3325087.17</v>
      </c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>
        <v>73157.25</v>
      </c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>
        <v>530777</v>
      </c>
      <c r="ABI144" s="11"/>
      <c r="ABJ144" s="11"/>
      <c r="ABK144" s="11"/>
      <c r="ABL144" s="11"/>
      <c r="ABM144" s="11"/>
      <c r="ABN144" s="11"/>
      <c r="ABO144" s="11">
        <v>221172</v>
      </c>
      <c r="ABP144" s="11"/>
      <c r="ABQ144" s="11"/>
      <c r="ABR144" s="11"/>
      <c r="ABS144" s="11"/>
      <c r="ABT144" s="11">
        <v>323803.67</v>
      </c>
      <c r="ABU144" s="11"/>
      <c r="ABV144" s="11"/>
      <c r="ABW144" s="11"/>
      <c r="ABX144" s="11"/>
      <c r="ABY144" s="11"/>
      <c r="ABZ144" s="11"/>
      <c r="ACA144" s="11">
        <v>1053337.06</v>
      </c>
      <c r="ACB144" s="11"/>
      <c r="ACC144" s="11"/>
      <c r="ACD144" s="11">
        <v>561450</v>
      </c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>
        <v>186683</v>
      </c>
      <c r="ACT144" s="11"/>
      <c r="ACU144" s="11"/>
      <c r="ACV144" s="11"/>
      <c r="ACW144" s="11"/>
      <c r="ACX144" s="11"/>
      <c r="ACY144" s="11"/>
      <c r="ACZ144" s="11"/>
      <c r="ADA144" s="11"/>
      <c r="ADB144" s="11">
        <v>162915</v>
      </c>
      <c r="ADC144" s="11">
        <v>89546</v>
      </c>
      <c r="ADD144" s="11"/>
      <c r="ADE144" s="11"/>
      <c r="ADF144" s="11"/>
      <c r="ADG144" s="11"/>
      <c r="ADH144" s="11"/>
      <c r="ADI144" s="11"/>
      <c r="ADJ144" s="11">
        <v>105575</v>
      </c>
      <c r="ADK144" s="11"/>
      <c r="ADL144" s="11">
        <v>82858</v>
      </c>
      <c r="ADM144" s="11"/>
      <c r="ADN144" s="11"/>
      <c r="ADO144" s="11"/>
      <c r="ADP144" s="11">
        <v>9035626.4100000001</v>
      </c>
      <c r="ADQ144" s="11"/>
      <c r="ADR144" s="11"/>
      <c r="ADS144" s="11">
        <v>30700</v>
      </c>
      <c r="ADT144" s="11"/>
      <c r="ADU144" s="11">
        <v>247934</v>
      </c>
      <c r="ADV144" s="11">
        <v>41490</v>
      </c>
      <c r="ADW144" s="11"/>
      <c r="ADX144" s="11"/>
      <c r="ADY144" s="11">
        <v>26875</v>
      </c>
      <c r="ADZ144" s="11"/>
      <c r="AEA144" s="11"/>
      <c r="AEB144" s="11"/>
      <c r="AEC144" s="11"/>
      <c r="AED144" s="11"/>
      <c r="AEE144" s="11"/>
      <c r="AEF144" s="11"/>
      <c r="AEG144" s="11"/>
      <c r="AEH144" s="11">
        <v>340197.97</v>
      </c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>
        <v>647573.69999999995</v>
      </c>
      <c r="AGE144" s="11"/>
      <c r="AGF144" s="11">
        <v>482516</v>
      </c>
      <c r="AGG144" s="11">
        <v>630367.80000000005</v>
      </c>
      <c r="AGH144" s="11">
        <v>339535.5</v>
      </c>
      <c r="AGI144" s="11"/>
      <c r="AGJ144" s="11">
        <v>148101.5</v>
      </c>
      <c r="AGK144" s="11">
        <v>199054</v>
      </c>
      <c r="AGL144" s="11">
        <v>551964.5</v>
      </c>
      <c r="AGM144" s="11">
        <v>311720</v>
      </c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>
        <v>79700</v>
      </c>
      <c r="AHH144" s="11"/>
      <c r="AHI144" s="11">
        <v>467665</v>
      </c>
      <c r="AHJ144" s="11"/>
      <c r="AHK144" s="11"/>
      <c r="AHL144" s="11"/>
      <c r="AHM144" s="11">
        <v>3146081.4</v>
      </c>
      <c r="AHN144" s="11"/>
      <c r="AHO144" s="11"/>
      <c r="AHP144" s="11"/>
      <c r="AHQ144" s="11"/>
      <c r="AHR144" s="11"/>
      <c r="AHS144" s="11"/>
      <c r="AHT144" s="11">
        <v>107232953.61</v>
      </c>
      <c r="AHV144" s="269" t="s">
        <v>6278</v>
      </c>
      <c r="AHW144" s="269" t="s">
        <v>6228</v>
      </c>
      <c r="AHX144" s="269" t="s">
        <v>6229</v>
      </c>
    </row>
    <row r="145" spans="1:908" x14ac:dyDescent="0.7">
      <c r="A145" s="6" t="s">
        <v>6278</v>
      </c>
      <c r="B145" s="6" t="s">
        <v>6510</v>
      </c>
      <c r="C145" s="6" t="s">
        <v>6511</v>
      </c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>
        <v>20000</v>
      </c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>
        <v>20000</v>
      </c>
      <c r="AHV145" s="269" t="s">
        <v>6278</v>
      </c>
      <c r="AHW145" s="269" t="s">
        <v>6230</v>
      </c>
      <c r="AHX145" s="269" t="s">
        <v>6231</v>
      </c>
    </row>
    <row r="146" spans="1:908" x14ac:dyDescent="0.7">
      <c r="A146" s="6" t="s">
        <v>6278</v>
      </c>
      <c r="B146" s="6" t="s">
        <v>6226</v>
      </c>
      <c r="C146" s="6" t="s">
        <v>6227</v>
      </c>
      <c r="D146" s="11"/>
      <c r="E146" s="11"/>
      <c r="F146" s="11"/>
      <c r="G146" s="11"/>
      <c r="H146" s="11"/>
      <c r="I146" s="11"/>
      <c r="J146" s="11">
        <v>1377000</v>
      </c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>
        <v>243000</v>
      </c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>
        <v>9966</v>
      </c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>
        <v>1798008.2</v>
      </c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>
        <v>49000</v>
      </c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>
        <v>14556</v>
      </c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>
        <v>20470791.789999999</v>
      </c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>
        <v>493500</v>
      </c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>
        <v>36909.25</v>
      </c>
      <c r="IE146" s="11"/>
      <c r="IF146" s="11"/>
      <c r="IG146" s="11"/>
      <c r="IH146" s="11"/>
      <c r="II146" s="11"/>
      <c r="IJ146" s="11"/>
      <c r="IK146" s="11"/>
      <c r="IL146" s="11"/>
      <c r="IM146" s="11"/>
      <c r="IN146" s="11">
        <v>20000</v>
      </c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>
        <v>17000</v>
      </c>
      <c r="LC146" s="11"/>
      <c r="LD146" s="11"/>
      <c r="LE146" s="11"/>
      <c r="LF146" s="11"/>
      <c r="LG146" s="11"/>
      <c r="LH146" s="11"/>
      <c r="LI146" s="11"/>
      <c r="LJ146" s="11">
        <v>11624.2</v>
      </c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>
        <v>110728</v>
      </c>
      <c r="MH146" s="11"/>
      <c r="MI146" s="11"/>
      <c r="MJ146" s="11"/>
      <c r="MK146" s="11"/>
      <c r="ML146" s="11"/>
      <c r="MM146" s="11"/>
      <c r="MN146" s="11"/>
      <c r="MO146" s="11"/>
      <c r="MP146" s="11"/>
      <c r="MQ146" s="11">
        <v>174344</v>
      </c>
      <c r="MR146" s="11"/>
      <c r="MS146" s="11">
        <v>676266</v>
      </c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>
        <v>2801085.33</v>
      </c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>
        <v>884000</v>
      </c>
      <c r="OF146" s="11"/>
      <c r="OG146" s="11">
        <v>33000</v>
      </c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>
        <v>675004</v>
      </c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>
        <v>658027.5</v>
      </c>
      <c r="PH146" s="11"/>
      <c r="PI146" s="11"/>
      <c r="PJ146" s="11"/>
      <c r="PK146" s="11"/>
      <c r="PL146" s="11"/>
      <c r="PM146" s="11"/>
      <c r="PN146" s="11"/>
      <c r="PO146" s="11"/>
      <c r="PP146" s="11"/>
      <c r="PQ146" s="11">
        <v>475014</v>
      </c>
      <c r="PR146" s="11"/>
      <c r="PS146" s="11"/>
      <c r="PT146" s="11"/>
      <c r="PU146" s="11"/>
      <c r="PV146" s="11"/>
      <c r="PW146" s="11"/>
      <c r="PX146" s="11"/>
      <c r="PY146" s="11"/>
      <c r="PZ146" s="11">
        <v>8000</v>
      </c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>
        <v>0</v>
      </c>
      <c r="QX146" s="11"/>
      <c r="QY146" s="11"/>
      <c r="QZ146" s="11"/>
      <c r="RA146" s="11"/>
      <c r="RB146" s="11">
        <v>80830</v>
      </c>
      <c r="RC146" s="11"/>
      <c r="RD146" s="11"/>
      <c r="RE146" s="11"/>
      <c r="RF146" s="11"/>
      <c r="RG146" s="11"/>
      <c r="RH146" s="11">
        <v>529000</v>
      </c>
      <c r="RI146" s="11"/>
      <c r="RJ146" s="11">
        <v>372000</v>
      </c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>
        <v>85527.5</v>
      </c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>
        <v>13000</v>
      </c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>
        <v>491864.39</v>
      </c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>
        <v>2811545.25</v>
      </c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>
        <v>186000</v>
      </c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>
        <v>14500</v>
      </c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>
        <v>2378912.2000000002</v>
      </c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>
        <v>225000</v>
      </c>
      <c r="ACS146" s="11"/>
      <c r="ACT146" s="11"/>
      <c r="ACU146" s="11"/>
      <c r="ACV146" s="11">
        <v>9500</v>
      </c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>
        <v>140000</v>
      </c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>
        <v>91300</v>
      </c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>
        <v>43400</v>
      </c>
      <c r="AGW146" s="11">
        <v>17096</v>
      </c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>
        <v>12450</v>
      </c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>
        <v>38538749.609999999</v>
      </c>
      <c r="AHV146" s="269" t="s">
        <v>6278</v>
      </c>
      <c r="AHW146" s="269" t="s">
        <v>6232</v>
      </c>
      <c r="AHX146" s="269" t="s">
        <v>6233</v>
      </c>
    </row>
    <row r="147" spans="1:908" x14ac:dyDescent="0.7">
      <c r="A147" s="6" t="s">
        <v>6278</v>
      </c>
      <c r="B147" s="6" t="s">
        <v>6228</v>
      </c>
      <c r="C147" s="6" t="s">
        <v>6229</v>
      </c>
      <c r="D147" s="11">
        <v>17982956.52</v>
      </c>
      <c r="E147" s="11">
        <v>442956</v>
      </c>
      <c r="F147" s="11">
        <v>771053.67</v>
      </c>
      <c r="G147" s="11">
        <v>148039</v>
      </c>
      <c r="H147" s="11">
        <v>472972.4</v>
      </c>
      <c r="I147" s="11">
        <v>471765.17</v>
      </c>
      <c r="J147" s="11">
        <v>754756.33</v>
      </c>
      <c r="K147" s="11">
        <v>595354</v>
      </c>
      <c r="L147" s="11">
        <v>226965</v>
      </c>
      <c r="M147" s="11">
        <v>122655</v>
      </c>
      <c r="N147" s="11">
        <v>20600</v>
      </c>
      <c r="O147" s="11">
        <v>357972.75</v>
      </c>
      <c r="P147" s="11">
        <v>66000</v>
      </c>
      <c r="Q147" s="11">
        <v>461869</v>
      </c>
      <c r="R147" s="11">
        <v>204166</v>
      </c>
      <c r="S147" s="11"/>
      <c r="T147" s="11">
        <v>507598</v>
      </c>
      <c r="U147" s="11">
        <v>197055.5</v>
      </c>
      <c r="V147" s="11">
        <v>9507707.5</v>
      </c>
      <c r="W147" s="11">
        <v>1986608</v>
      </c>
      <c r="X147" s="11">
        <v>293071.28000000003</v>
      </c>
      <c r="Y147" s="11">
        <v>118289</v>
      </c>
      <c r="Z147" s="11">
        <v>76398</v>
      </c>
      <c r="AA147" s="11">
        <v>499512.45</v>
      </c>
      <c r="AB147" s="11">
        <v>165923</v>
      </c>
      <c r="AC147" s="11">
        <v>578092.75</v>
      </c>
      <c r="AD147" s="11">
        <v>439327.81</v>
      </c>
      <c r="AE147" s="11">
        <v>484973.03</v>
      </c>
      <c r="AF147" s="11">
        <v>1114378</v>
      </c>
      <c r="AG147" s="11">
        <v>418151.9</v>
      </c>
      <c r="AH147" s="11">
        <v>580376.72</v>
      </c>
      <c r="AI147" s="11">
        <v>1288769.05</v>
      </c>
      <c r="AJ147" s="11">
        <v>301872.76</v>
      </c>
      <c r="AK147" s="11">
        <v>168702</v>
      </c>
      <c r="AL147" s="11">
        <v>204923</v>
      </c>
      <c r="AM147" s="11">
        <v>39910</v>
      </c>
      <c r="AN147" s="11">
        <v>396795</v>
      </c>
      <c r="AO147" s="11">
        <v>294087</v>
      </c>
      <c r="AP147" s="11">
        <v>321280.23</v>
      </c>
      <c r="AQ147" s="11">
        <v>363475</v>
      </c>
      <c r="AR147" s="11">
        <v>242100</v>
      </c>
      <c r="AS147" s="11">
        <v>101134.14</v>
      </c>
      <c r="AT147" s="11">
        <v>1204878.05</v>
      </c>
      <c r="AU147" s="11">
        <v>82970.63</v>
      </c>
      <c r="AV147" s="11">
        <v>111822.25</v>
      </c>
      <c r="AW147" s="11">
        <v>9145</v>
      </c>
      <c r="AX147" s="11">
        <v>250870</v>
      </c>
      <c r="AY147" s="11">
        <v>182298</v>
      </c>
      <c r="AZ147" s="11">
        <v>62388</v>
      </c>
      <c r="BA147" s="11">
        <v>26075</v>
      </c>
      <c r="BB147" s="11">
        <v>72921.5</v>
      </c>
      <c r="BC147" s="11">
        <v>97952.5</v>
      </c>
      <c r="BD147" s="11">
        <v>153555</v>
      </c>
      <c r="BE147" s="11">
        <v>0</v>
      </c>
      <c r="BF147" s="11">
        <v>62218.75</v>
      </c>
      <c r="BG147" s="11">
        <v>55945</v>
      </c>
      <c r="BH147" s="11">
        <v>408405</v>
      </c>
      <c r="BI147" s="11">
        <v>2270266.6</v>
      </c>
      <c r="BJ147" s="11">
        <v>707329</v>
      </c>
      <c r="BK147" s="11"/>
      <c r="BL147" s="11"/>
      <c r="BM147" s="11"/>
      <c r="BN147" s="11"/>
      <c r="BO147" s="11"/>
      <c r="BP147" s="11"/>
      <c r="BQ147" s="11">
        <v>0</v>
      </c>
      <c r="BR147" s="11">
        <v>5581160.25</v>
      </c>
      <c r="BS147" s="11">
        <v>153305</v>
      </c>
      <c r="BT147" s="11">
        <v>271864</v>
      </c>
      <c r="BU147" s="11">
        <v>278642</v>
      </c>
      <c r="BV147" s="11">
        <v>396366</v>
      </c>
      <c r="BW147" s="11">
        <v>88950</v>
      </c>
      <c r="BX147" s="11">
        <v>122543.5</v>
      </c>
      <c r="BY147" s="11">
        <v>236326.99</v>
      </c>
      <c r="BZ147" s="11"/>
      <c r="CA147" s="11">
        <v>76400</v>
      </c>
      <c r="CB147" s="11">
        <v>158929</v>
      </c>
      <c r="CC147" s="11">
        <v>261612.99</v>
      </c>
      <c r="CD147" s="11">
        <v>283253</v>
      </c>
      <c r="CE147" s="11">
        <v>170754</v>
      </c>
      <c r="CF147" s="11"/>
      <c r="CG147" s="11">
        <v>5252958</v>
      </c>
      <c r="CH147" s="11">
        <v>460860</v>
      </c>
      <c r="CI147" s="11">
        <v>1446275.45</v>
      </c>
      <c r="CJ147" s="11">
        <v>116353</v>
      </c>
      <c r="CK147" s="11">
        <v>755442</v>
      </c>
      <c r="CL147" s="11">
        <v>421469.7</v>
      </c>
      <c r="CM147" s="11">
        <v>373104.5</v>
      </c>
      <c r="CN147" s="11">
        <v>593462.9</v>
      </c>
      <c r="CO147" s="11">
        <v>267353.7</v>
      </c>
      <c r="CP147" s="11">
        <v>92447.49</v>
      </c>
      <c r="CQ147" s="11">
        <v>18700</v>
      </c>
      <c r="CR147" s="11">
        <v>215435</v>
      </c>
      <c r="CS147" s="11">
        <v>310078</v>
      </c>
      <c r="CT147" s="11"/>
      <c r="CU147" s="11">
        <v>146461</v>
      </c>
      <c r="CV147" s="11">
        <v>64768.5</v>
      </c>
      <c r="CW147" s="11">
        <v>425531.4</v>
      </c>
      <c r="CX147" s="11">
        <v>238497.06</v>
      </c>
      <c r="CY147" s="11">
        <v>185937</v>
      </c>
      <c r="CZ147" s="11">
        <v>64668.5</v>
      </c>
      <c r="DA147" s="11">
        <v>236805</v>
      </c>
      <c r="DB147" s="11">
        <v>1821714</v>
      </c>
      <c r="DC147" s="11">
        <v>2636259.73</v>
      </c>
      <c r="DD147" s="11">
        <v>223750</v>
      </c>
      <c r="DE147" s="11">
        <v>137341</v>
      </c>
      <c r="DF147" s="11">
        <v>0</v>
      </c>
      <c r="DG147" s="11">
        <v>112500</v>
      </c>
      <c r="DH147" s="11"/>
      <c r="DI147" s="11"/>
      <c r="DJ147" s="11"/>
      <c r="DK147" s="11">
        <v>8226829.9299999997</v>
      </c>
      <c r="DL147" s="11">
        <v>172650.75</v>
      </c>
      <c r="DM147" s="11">
        <v>1041382</v>
      </c>
      <c r="DN147" s="11">
        <v>822511</v>
      </c>
      <c r="DO147" s="11">
        <v>462021.75</v>
      </c>
      <c r="DP147" s="11">
        <v>343509.5</v>
      </c>
      <c r="DQ147" s="11">
        <v>406857.23</v>
      </c>
      <c r="DR147" s="11">
        <v>509677.14</v>
      </c>
      <c r="DS147" s="11">
        <v>1196262.22</v>
      </c>
      <c r="DT147" s="11">
        <v>2676267.7400000002</v>
      </c>
      <c r="DU147" s="11">
        <v>111515</v>
      </c>
      <c r="DV147" s="11"/>
      <c r="DW147" s="11">
        <v>85712.43</v>
      </c>
      <c r="DX147" s="11">
        <v>308735</v>
      </c>
      <c r="DY147" s="11">
        <v>4482054</v>
      </c>
      <c r="DZ147" s="11">
        <v>176173</v>
      </c>
      <c r="EA147" s="11">
        <v>137808</v>
      </c>
      <c r="EB147" s="11">
        <v>442910.5</v>
      </c>
      <c r="EC147" s="11">
        <v>317760</v>
      </c>
      <c r="ED147" s="11">
        <v>274163</v>
      </c>
      <c r="EE147" s="11">
        <v>1807793</v>
      </c>
      <c r="EF147" s="11">
        <v>1397135.63</v>
      </c>
      <c r="EG147" s="11">
        <v>242177</v>
      </c>
      <c r="EH147" s="11">
        <v>9396</v>
      </c>
      <c r="EI147" s="11">
        <v>467838.5</v>
      </c>
      <c r="EJ147" s="11">
        <v>269527</v>
      </c>
      <c r="EK147" s="11"/>
      <c r="EL147" s="11">
        <v>247722</v>
      </c>
      <c r="EM147" s="11">
        <v>5875</v>
      </c>
      <c r="EN147" s="11">
        <v>6455839.2999999998</v>
      </c>
      <c r="EO147" s="11">
        <v>588449.5</v>
      </c>
      <c r="EP147" s="11">
        <v>333520</v>
      </c>
      <c r="EQ147" s="11">
        <v>291477</v>
      </c>
      <c r="ER147" s="11">
        <v>172406</v>
      </c>
      <c r="ES147" s="11">
        <v>394240.5</v>
      </c>
      <c r="ET147" s="11">
        <v>596854.5</v>
      </c>
      <c r="EU147" s="11">
        <v>1770771.25</v>
      </c>
      <c r="EV147" s="11">
        <v>355278.65</v>
      </c>
      <c r="EW147" s="11">
        <v>3742766.95</v>
      </c>
      <c r="EX147" s="11">
        <v>119642.75</v>
      </c>
      <c r="EY147" s="11">
        <v>438780.95</v>
      </c>
      <c r="EZ147" s="11">
        <v>487169</v>
      </c>
      <c r="FA147" s="11">
        <v>110420</v>
      </c>
      <c r="FB147" s="11">
        <v>381672.78</v>
      </c>
      <c r="FC147" s="11">
        <v>226910</v>
      </c>
      <c r="FD147" s="11">
        <v>273877.45</v>
      </c>
      <c r="FE147" s="11">
        <v>24960</v>
      </c>
      <c r="FF147" s="11">
        <v>192229.18</v>
      </c>
      <c r="FG147" s="11">
        <v>52540</v>
      </c>
      <c r="FH147" s="11">
        <v>211388.5</v>
      </c>
      <c r="FI147" s="11">
        <v>2543299.92</v>
      </c>
      <c r="FJ147" s="11">
        <v>730640</v>
      </c>
      <c r="FK147" s="11">
        <v>205954</v>
      </c>
      <c r="FL147" s="11">
        <v>124563.5</v>
      </c>
      <c r="FM147" s="11">
        <v>786382</v>
      </c>
      <c r="FN147" s="11">
        <v>310885</v>
      </c>
      <c r="FO147" s="11"/>
      <c r="FP147" s="11">
        <v>140355</v>
      </c>
      <c r="FQ147" s="11">
        <v>14845050.800000001</v>
      </c>
      <c r="FR147" s="11">
        <v>24000</v>
      </c>
      <c r="FS147" s="11"/>
      <c r="FT147" s="11">
        <v>19090</v>
      </c>
      <c r="FU147" s="11"/>
      <c r="FV147" s="11">
        <v>516104</v>
      </c>
      <c r="FW147" s="11"/>
      <c r="FX147" s="11"/>
      <c r="FY147" s="11"/>
      <c r="FZ147" s="11">
        <v>97300</v>
      </c>
      <c r="GA147" s="11">
        <v>1339850.1499999999</v>
      </c>
      <c r="GB147" s="11">
        <v>950</v>
      </c>
      <c r="GC147" s="11"/>
      <c r="GD147" s="11">
        <v>302824</v>
      </c>
      <c r="GE147" s="11">
        <v>1021785.18</v>
      </c>
      <c r="GF147" s="11">
        <v>327367</v>
      </c>
      <c r="GG147" s="11"/>
      <c r="GH147" s="11">
        <v>328372.27</v>
      </c>
      <c r="GI147" s="11">
        <v>177341.25</v>
      </c>
      <c r="GJ147" s="11">
        <v>365942.3</v>
      </c>
      <c r="GK147" s="11"/>
      <c r="GL147" s="11">
        <v>216543</v>
      </c>
      <c r="GM147" s="11">
        <v>71822.8</v>
      </c>
      <c r="GN147" s="11">
        <v>30705</v>
      </c>
      <c r="GO147" s="11">
        <v>82520.5</v>
      </c>
      <c r="GP147" s="11">
        <v>77090</v>
      </c>
      <c r="GQ147" s="11">
        <v>3733958.5</v>
      </c>
      <c r="GR147" s="11">
        <v>229772.4</v>
      </c>
      <c r="GS147" s="11">
        <v>226550</v>
      </c>
      <c r="GT147" s="11">
        <v>271775</v>
      </c>
      <c r="GU147" s="11">
        <v>75898</v>
      </c>
      <c r="GV147" s="11">
        <v>255143.7</v>
      </c>
      <c r="GW147" s="11">
        <v>73513</v>
      </c>
      <c r="GX147" s="11">
        <v>110761.05</v>
      </c>
      <c r="GY147" s="11"/>
      <c r="GZ147" s="11"/>
      <c r="HA147" s="11">
        <v>22325</v>
      </c>
      <c r="HB147" s="11">
        <v>17003</v>
      </c>
      <c r="HC147" s="11">
        <v>5709055.5</v>
      </c>
      <c r="HD147" s="11"/>
      <c r="HE147" s="11"/>
      <c r="HF147" s="11"/>
      <c r="HG147" s="11"/>
      <c r="HH147" s="11"/>
      <c r="HI147" s="11">
        <v>102226</v>
      </c>
      <c r="HJ147" s="11"/>
      <c r="HK147" s="11">
        <v>7594633.1200000001</v>
      </c>
      <c r="HL147" s="11">
        <v>202321</v>
      </c>
      <c r="HM147" s="11">
        <v>1255127.0900000001</v>
      </c>
      <c r="HN147" s="11">
        <v>110876</v>
      </c>
      <c r="HO147" s="11">
        <v>84065.73</v>
      </c>
      <c r="HP147" s="11">
        <v>6750</v>
      </c>
      <c r="HQ147" s="11">
        <v>86070.56</v>
      </c>
      <c r="HR147" s="11">
        <v>263886</v>
      </c>
      <c r="HS147" s="11">
        <v>2594260</v>
      </c>
      <c r="HT147" s="11">
        <v>1337653.75</v>
      </c>
      <c r="HU147" s="11">
        <v>59950</v>
      </c>
      <c r="HV147" s="11">
        <v>10250</v>
      </c>
      <c r="HW147" s="11">
        <v>326778.5</v>
      </c>
      <c r="HX147" s="11">
        <v>518928.07</v>
      </c>
      <c r="HY147" s="11">
        <v>167018.79</v>
      </c>
      <c r="HZ147" s="11">
        <v>258085</v>
      </c>
      <c r="IA147" s="11">
        <v>224959</v>
      </c>
      <c r="IB147" s="11">
        <v>97158.2</v>
      </c>
      <c r="IC147" s="11">
        <v>179721.5</v>
      </c>
      <c r="ID147" s="11">
        <v>1019003.89</v>
      </c>
      <c r="IE147" s="11">
        <v>78591.199999999997</v>
      </c>
      <c r="IF147" s="11">
        <v>732778.42</v>
      </c>
      <c r="IG147" s="11">
        <v>122609.32</v>
      </c>
      <c r="IH147" s="11">
        <v>5050</v>
      </c>
      <c r="II147" s="11"/>
      <c r="IJ147" s="11">
        <v>1181376.22</v>
      </c>
      <c r="IK147" s="11">
        <v>135185</v>
      </c>
      <c r="IL147" s="11">
        <v>369561.5</v>
      </c>
      <c r="IM147" s="11">
        <v>619886.14</v>
      </c>
      <c r="IN147" s="11">
        <v>237912.05</v>
      </c>
      <c r="IO147" s="11">
        <v>88312</v>
      </c>
      <c r="IP147" s="11">
        <v>537100</v>
      </c>
      <c r="IQ147" s="11">
        <v>197715</v>
      </c>
      <c r="IR147" s="11">
        <v>74480</v>
      </c>
      <c r="IS147" s="11">
        <v>394413.45</v>
      </c>
      <c r="IT147" s="11">
        <v>8406912.5299999993</v>
      </c>
      <c r="IU147" s="11">
        <v>1330237.46</v>
      </c>
      <c r="IV147" s="11">
        <v>0</v>
      </c>
      <c r="IW147" s="11">
        <v>253575</v>
      </c>
      <c r="IX147" s="11">
        <v>78525</v>
      </c>
      <c r="IY147" s="11">
        <v>24000</v>
      </c>
      <c r="IZ147" s="11"/>
      <c r="JA147" s="11"/>
      <c r="JB147" s="11"/>
      <c r="JC147" s="11">
        <v>0</v>
      </c>
      <c r="JD147" s="11"/>
      <c r="JE147" s="11">
        <v>1750</v>
      </c>
      <c r="JF147" s="11">
        <v>2641641.4500000002</v>
      </c>
      <c r="JG147" s="11"/>
      <c r="JH147" s="11">
        <v>38465</v>
      </c>
      <c r="JI147" s="11"/>
      <c r="JJ147" s="11"/>
      <c r="JK147" s="11"/>
      <c r="JL147" s="11">
        <v>1350506</v>
      </c>
      <c r="JM147" s="11"/>
      <c r="JN147" s="11"/>
      <c r="JO147" s="11">
        <v>68785</v>
      </c>
      <c r="JP147" s="11"/>
      <c r="JQ147" s="11"/>
      <c r="JR147" s="11"/>
      <c r="JS147" s="11">
        <v>3666715.15</v>
      </c>
      <c r="JT147" s="11">
        <v>1805199.9</v>
      </c>
      <c r="JU147" s="11">
        <v>417631</v>
      </c>
      <c r="JV147" s="11"/>
      <c r="JW147" s="11">
        <v>228486</v>
      </c>
      <c r="JX147" s="11">
        <v>153400</v>
      </c>
      <c r="JY147" s="11"/>
      <c r="JZ147" s="11"/>
      <c r="KA147" s="11"/>
      <c r="KB147" s="11">
        <v>377390</v>
      </c>
      <c r="KC147" s="11"/>
      <c r="KD147" s="11">
        <v>356210</v>
      </c>
      <c r="KE147" s="11"/>
      <c r="KF147" s="11">
        <v>49800</v>
      </c>
      <c r="KG147" s="11">
        <v>225309</v>
      </c>
      <c r="KH147" s="11">
        <v>389450</v>
      </c>
      <c r="KI147" s="11">
        <v>5476771.9500000002</v>
      </c>
      <c r="KJ147" s="11">
        <v>434621</v>
      </c>
      <c r="KK147" s="11">
        <v>412690.5</v>
      </c>
      <c r="KL147" s="11">
        <v>389396.41</v>
      </c>
      <c r="KM147" s="11">
        <v>475277.6</v>
      </c>
      <c r="KN147" s="11">
        <v>823178.9</v>
      </c>
      <c r="KO147" s="11">
        <v>844582</v>
      </c>
      <c r="KP147" s="11">
        <v>88264.639999999999</v>
      </c>
      <c r="KQ147" s="11">
        <v>684142.1</v>
      </c>
      <c r="KR147" s="11">
        <v>3006438.01</v>
      </c>
      <c r="KS147" s="11">
        <v>72740</v>
      </c>
      <c r="KT147" s="11">
        <v>30839</v>
      </c>
      <c r="KU147" s="11"/>
      <c r="KV147" s="11">
        <v>241650</v>
      </c>
      <c r="KW147" s="11">
        <v>34200</v>
      </c>
      <c r="KX147" s="11">
        <v>10520797</v>
      </c>
      <c r="KY147" s="11">
        <v>417050</v>
      </c>
      <c r="KZ147" s="11">
        <v>6619140.5499999998</v>
      </c>
      <c r="LA147" s="11"/>
      <c r="LB147" s="11">
        <v>0</v>
      </c>
      <c r="LC147" s="11">
        <v>23900</v>
      </c>
      <c r="LD147" s="11">
        <v>264911.3</v>
      </c>
      <c r="LE147" s="11">
        <v>26075</v>
      </c>
      <c r="LF147" s="11">
        <v>520886</v>
      </c>
      <c r="LG147" s="11">
        <v>28986.41</v>
      </c>
      <c r="LH147" s="11">
        <v>5567483</v>
      </c>
      <c r="LI147" s="11">
        <v>464925.45</v>
      </c>
      <c r="LJ147" s="11">
        <v>1399784.5</v>
      </c>
      <c r="LK147" s="11">
        <v>1932890.07</v>
      </c>
      <c r="LL147" s="11">
        <v>559785.06000000006</v>
      </c>
      <c r="LM147" s="11"/>
      <c r="LN147" s="11">
        <v>195100</v>
      </c>
      <c r="LO147" s="11">
        <v>12733</v>
      </c>
      <c r="LP147" s="11">
        <v>588981</v>
      </c>
      <c r="LQ147" s="11"/>
      <c r="LR147" s="11">
        <v>350980</v>
      </c>
      <c r="LS147" s="11">
        <v>1350541.2</v>
      </c>
      <c r="LT147" s="11">
        <v>41237</v>
      </c>
      <c r="LU147" s="11">
        <v>48501.5</v>
      </c>
      <c r="LV147" s="11">
        <v>6390082</v>
      </c>
      <c r="LW147" s="11">
        <v>3996760.13</v>
      </c>
      <c r="LX147" s="11"/>
      <c r="LY147" s="11"/>
      <c r="LZ147" s="11">
        <v>13242</v>
      </c>
      <c r="MA147" s="11">
        <v>2022751.5</v>
      </c>
      <c r="MB147" s="11">
        <v>1124493.5</v>
      </c>
      <c r="MC147" s="11"/>
      <c r="MD147" s="11">
        <v>797668</v>
      </c>
      <c r="ME147" s="11">
        <v>2065355</v>
      </c>
      <c r="MF147" s="11">
        <v>1005135</v>
      </c>
      <c r="MG147" s="11">
        <v>599678.6</v>
      </c>
      <c r="MH147" s="11">
        <v>8634994.3599999994</v>
      </c>
      <c r="MI147" s="11"/>
      <c r="MJ147" s="11">
        <v>172365</v>
      </c>
      <c r="MK147" s="11">
        <v>381650</v>
      </c>
      <c r="ML147" s="11">
        <v>300605</v>
      </c>
      <c r="MM147" s="11">
        <v>460115</v>
      </c>
      <c r="MN147" s="11">
        <v>462544</v>
      </c>
      <c r="MO147" s="11">
        <v>111880</v>
      </c>
      <c r="MP147" s="11">
        <v>116050</v>
      </c>
      <c r="MQ147" s="11">
        <v>387100</v>
      </c>
      <c r="MR147" s="11"/>
      <c r="MS147" s="11">
        <v>134825</v>
      </c>
      <c r="MT147" s="11">
        <v>5011681.2</v>
      </c>
      <c r="MU147" s="11">
        <v>68290</v>
      </c>
      <c r="MV147" s="11">
        <v>312325</v>
      </c>
      <c r="MW147" s="11">
        <v>261831</v>
      </c>
      <c r="MX147" s="11"/>
      <c r="MY147" s="11">
        <v>0</v>
      </c>
      <c r="MZ147" s="11">
        <v>1523462.61</v>
      </c>
      <c r="NA147" s="11">
        <v>1248605</v>
      </c>
      <c r="NB147" s="11">
        <v>126126.6</v>
      </c>
      <c r="NC147" s="11">
        <v>11000</v>
      </c>
      <c r="ND147" s="11">
        <v>66486</v>
      </c>
      <c r="NE147" s="11">
        <v>12293848.32</v>
      </c>
      <c r="NF147" s="11">
        <v>1441953.03</v>
      </c>
      <c r="NG147" s="11">
        <v>0</v>
      </c>
      <c r="NH147" s="11">
        <v>3256206</v>
      </c>
      <c r="NI147" s="11">
        <v>139670</v>
      </c>
      <c r="NJ147" s="11">
        <v>666332.14</v>
      </c>
      <c r="NK147" s="11">
        <v>360580.14</v>
      </c>
      <c r="NL147" s="11">
        <v>179712.64000000001</v>
      </c>
      <c r="NM147" s="11">
        <v>39644.559999999998</v>
      </c>
      <c r="NN147" s="11">
        <v>258210</v>
      </c>
      <c r="NO147" s="11"/>
      <c r="NP147" s="11">
        <v>168200</v>
      </c>
      <c r="NQ147" s="11">
        <v>2676423</v>
      </c>
      <c r="NR147" s="11"/>
      <c r="NS147" s="11">
        <v>0</v>
      </c>
      <c r="NT147" s="11"/>
      <c r="NU147" s="11"/>
      <c r="NV147" s="11"/>
      <c r="NW147" s="11">
        <v>34217.5</v>
      </c>
      <c r="NX147" s="11"/>
      <c r="NY147" s="11">
        <v>2380521.2799999998</v>
      </c>
      <c r="NZ147" s="11"/>
      <c r="OA147" s="11">
        <v>97090</v>
      </c>
      <c r="OB147" s="11">
        <v>9700</v>
      </c>
      <c r="OC147" s="11">
        <v>0</v>
      </c>
      <c r="OD147" s="11">
        <v>138000</v>
      </c>
      <c r="OE147" s="11">
        <v>12664720.27</v>
      </c>
      <c r="OF147" s="11">
        <v>983506</v>
      </c>
      <c r="OG147" s="11">
        <v>1168222.58</v>
      </c>
      <c r="OH147" s="11">
        <v>2425923.5</v>
      </c>
      <c r="OI147" s="11">
        <v>707552</v>
      </c>
      <c r="OJ147" s="11">
        <v>2966885</v>
      </c>
      <c r="OK147" s="11"/>
      <c r="OL147" s="11">
        <v>721978.75</v>
      </c>
      <c r="OM147" s="11"/>
      <c r="ON147" s="11">
        <v>26466456</v>
      </c>
      <c r="OO147" s="11">
        <v>548793.43999999994</v>
      </c>
      <c r="OP147" s="11">
        <v>5948307</v>
      </c>
      <c r="OQ147" s="11">
        <v>42734</v>
      </c>
      <c r="OR147" s="11"/>
      <c r="OS147" s="11">
        <v>401361.77</v>
      </c>
      <c r="OT147" s="11">
        <v>1613416</v>
      </c>
      <c r="OU147" s="11"/>
      <c r="OV147" s="11">
        <v>381941.42</v>
      </c>
      <c r="OW147" s="11">
        <v>258589</v>
      </c>
      <c r="OX147" s="11">
        <v>399972</v>
      </c>
      <c r="OY147" s="11">
        <v>1707702</v>
      </c>
      <c r="OZ147" s="11">
        <v>344274.3</v>
      </c>
      <c r="PA147" s="11">
        <v>592367.65</v>
      </c>
      <c r="PB147" s="11"/>
      <c r="PC147" s="11">
        <v>4046052.64</v>
      </c>
      <c r="PD147" s="11">
        <v>292073.43</v>
      </c>
      <c r="PE147" s="11">
        <v>114181</v>
      </c>
      <c r="PF147" s="11">
        <v>57300.03</v>
      </c>
      <c r="PG147" s="11">
        <v>101847</v>
      </c>
      <c r="PH147" s="11">
        <v>1079298</v>
      </c>
      <c r="PI147" s="11"/>
      <c r="PJ147" s="11"/>
      <c r="PK147" s="11">
        <v>869385.85</v>
      </c>
      <c r="PL147" s="11">
        <v>173550</v>
      </c>
      <c r="PM147" s="11"/>
      <c r="PN147" s="11">
        <v>1054352.78</v>
      </c>
      <c r="PO147" s="11"/>
      <c r="PP147" s="11">
        <v>1054816.6100000001</v>
      </c>
      <c r="PQ147" s="11"/>
      <c r="PR147" s="11">
        <v>273075</v>
      </c>
      <c r="PS147" s="11">
        <v>165401</v>
      </c>
      <c r="PT147" s="11"/>
      <c r="PU147" s="11">
        <v>7990238.9800000004</v>
      </c>
      <c r="PV147" s="11"/>
      <c r="PW147" s="11"/>
      <c r="PX147" s="11">
        <v>377813</v>
      </c>
      <c r="PY147" s="11">
        <v>490440</v>
      </c>
      <c r="PZ147" s="11">
        <v>137729.5</v>
      </c>
      <c r="QA147" s="11"/>
      <c r="QB147" s="11"/>
      <c r="QC147" s="11">
        <v>367812.14</v>
      </c>
      <c r="QD147" s="11">
        <v>93800</v>
      </c>
      <c r="QE147" s="11">
        <v>78400</v>
      </c>
      <c r="QF147" s="11">
        <v>231229</v>
      </c>
      <c r="QG147" s="11">
        <v>1163375</v>
      </c>
      <c r="QH147" s="11">
        <v>67490</v>
      </c>
      <c r="QI147" s="11">
        <v>28392</v>
      </c>
      <c r="QJ147" s="11">
        <v>459750</v>
      </c>
      <c r="QK147" s="11"/>
      <c r="QL147" s="11">
        <v>37316.81</v>
      </c>
      <c r="QM147" s="11">
        <v>161433</v>
      </c>
      <c r="QN147" s="11">
        <v>1165556.06</v>
      </c>
      <c r="QO147" s="11">
        <v>1831120.46</v>
      </c>
      <c r="QP147" s="11"/>
      <c r="QQ147" s="11"/>
      <c r="QR147" s="11">
        <v>113665</v>
      </c>
      <c r="QS147" s="11"/>
      <c r="QT147" s="11"/>
      <c r="QU147" s="11">
        <v>2852577</v>
      </c>
      <c r="QV147" s="11">
        <v>275360</v>
      </c>
      <c r="QW147" s="11">
        <v>448242</v>
      </c>
      <c r="QX147" s="11">
        <v>324344</v>
      </c>
      <c r="QY147" s="11">
        <v>31500</v>
      </c>
      <c r="QZ147" s="11">
        <v>1132224</v>
      </c>
      <c r="RA147" s="11">
        <v>31750</v>
      </c>
      <c r="RB147" s="11">
        <v>793695.76</v>
      </c>
      <c r="RC147" s="11">
        <v>297307</v>
      </c>
      <c r="RD147" s="11">
        <v>346141.5</v>
      </c>
      <c r="RE147" s="11">
        <v>201223</v>
      </c>
      <c r="RF147" s="11">
        <v>244348</v>
      </c>
      <c r="RG147" s="11">
        <v>117250</v>
      </c>
      <c r="RH147" s="11">
        <v>1469687</v>
      </c>
      <c r="RI147" s="11">
        <v>757990</v>
      </c>
      <c r="RJ147" s="11">
        <v>354488</v>
      </c>
      <c r="RK147" s="11">
        <v>11390</v>
      </c>
      <c r="RL147" s="11">
        <v>363645</v>
      </c>
      <c r="RM147" s="11"/>
      <c r="RN147" s="11">
        <v>1679452.95</v>
      </c>
      <c r="RO147" s="11">
        <v>269410</v>
      </c>
      <c r="RP147" s="11">
        <v>601734</v>
      </c>
      <c r="RQ147" s="11">
        <v>1554395.35</v>
      </c>
      <c r="RR147" s="11">
        <v>2425921.7000000002</v>
      </c>
      <c r="RS147" s="11">
        <v>110334</v>
      </c>
      <c r="RT147" s="11">
        <v>15500</v>
      </c>
      <c r="RU147" s="11"/>
      <c r="RV147" s="11">
        <v>332954.5</v>
      </c>
      <c r="RW147" s="11">
        <v>252422</v>
      </c>
      <c r="RX147" s="11">
        <v>417258</v>
      </c>
      <c r="RY147" s="11">
        <v>201100</v>
      </c>
      <c r="RZ147" s="11">
        <v>122168</v>
      </c>
      <c r="SA147" s="11">
        <v>210915</v>
      </c>
      <c r="SB147" s="11">
        <v>3839576</v>
      </c>
      <c r="SC147" s="11">
        <v>366124</v>
      </c>
      <c r="SD147" s="11">
        <v>60400</v>
      </c>
      <c r="SE147" s="11"/>
      <c r="SF147" s="11"/>
      <c r="SG147" s="11"/>
      <c r="SH147" s="11"/>
      <c r="SI147" s="11">
        <v>40630</v>
      </c>
      <c r="SJ147" s="11">
        <v>143827</v>
      </c>
      <c r="SK147" s="11">
        <v>153424</v>
      </c>
      <c r="SL147" s="11">
        <v>390295</v>
      </c>
      <c r="SM147" s="11">
        <v>24950</v>
      </c>
      <c r="SN147" s="11">
        <v>2214162.2000000002</v>
      </c>
      <c r="SO147" s="11">
        <v>327412</v>
      </c>
      <c r="SP147" s="11">
        <v>284201.25</v>
      </c>
      <c r="SQ147" s="11">
        <v>374664</v>
      </c>
      <c r="SR147" s="11">
        <v>404605.61</v>
      </c>
      <c r="SS147" s="11">
        <v>277444.45</v>
      </c>
      <c r="ST147" s="11">
        <v>108900</v>
      </c>
      <c r="SU147" s="11">
        <v>139025</v>
      </c>
      <c r="SV147" s="11">
        <v>3923729</v>
      </c>
      <c r="SW147" s="11">
        <v>287695</v>
      </c>
      <c r="SX147" s="11">
        <v>313452</v>
      </c>
      <c r="SY147" s="11">
        <v>175325</v>
      </c>
      <c r="SZ147" s="11">
        <v>139265</v>
      </c>
      <c r="TA147" s="11">
        <v>95675</v>
      </c>
      <c r="TB147" s="11">
        <v>175345</v>
      </c>
      <c r="TC147" s="11">
        <v>529453</v>
      </c>
      <c r="TD147" s="11">
        <v>126970</v>
      </c>
      <c r="TE147" s="11">
        <v>352655.5</v>
      </c>
      <c r="TF147" s="11">
        <v>212950</v>
      </c>
      <c r="TG147" s="11">
        <v>499101.5</v>
      </c>
      <c r="TH147" s="11">
        <v>135600</v>
      </c>
      <c r="TI147" s="11">
        <v>124425</v>
      </c>
      <c r="TJ147" s="11"/>
      <c r="TK147" s="11">
        <v>102945</v>
      </c>
      <c r="TL147" s="11">
        <v>123208</v>
      </c>
      <c r="TM147" s="11">
        <v>371193</v>
      </c>
      <c r="TN147" s="11">
        <v>129645</v>
      </c>
      <c r="TO147" s="11">
        <v>115060</v>
      </c>
      <c r="TP147" s="11">
        <v>100548</v>
      </c>
      <c r="TQ147" s="11">
        <v>811860</v>
      </c>
      <c r="TR147" s="11">
        <v>215609</v>
      </c>
      <c r="TS147" s="11">
        <v>640661</v>
      </c>
      <c r="TT147" s="11">
        <v>531433</v>
      </c>
      <c r="TU147" s="11">
        <v>38755</v>
      </c>
      <c r="TV147" s="11">
        <v>52350</v>
      </c>
      <c r="TW147" s="11">
        <v>41400</v>
      </c>
      <c r="TX147" s="11">
        <v>248270</v>
      </c>
      <c r="TY147" s="11">
        <v>309501.5</v>
      </c>
      <c r="TZ147" s="11">
        <v>2851165</v>
      </c>
      <c r="UA147" s="11">
        <v>203323</v>
      </c>
      <c r="UB147" s="11">
        <v>3273000.19</v>
      </c>
      <c r="UC147" s="11">
        <v>602287.5</v>
      </c>
      <c r="UD147" s="11">
        <v>15450</v>
      </c>
      <c r="UE147" s="11">
        <v>84240</v>
      </c>
      <c r="UF147" s="11">
        <v>1617879.54</v>
      </c>
      <c r="UG147" s="11">
        <v>167331</v>
      </c>
      <c r="UH147" s="11">
        <v>51575</v>
      </c>
      <c r="UI147" s="11">
        <v>152795</v>
      </c>
      <c r="UJ147" s="11">
        <v>228292.85</v>
      </c>
      <c r="UK147" s="11">
        <v>2667930.46</v>
      </c>
      <c r="UL147" s="11">
        <v>99540</v>
      </c>
      <c r="UM147" s="11">
        <v>321844.15000000002</v>
      </c>
      <c r="UN147" s="11">
        <v>26215.200000000001</v>
      </c>
      <c r="UO147" s="11">
        <v>234826</v>
      </c>
      <c r="UP147" s="11">
        <v>128586</v>
      </c>
      <c r="UQ147" s="11"/>
      <c r="UR147" s="11">
        <v>548000</v>
      </c>
      <c r="US147" s="11"/>
      <c r="UT147" s="11">
        <v>1042741.87</v>
      </c>
      <c r="UU147" s="11"/>
      <c r="UV147" s="11">
        <v>65332</v>
      </c>
      <c r="UW147" s="11">
        <v>702617</v>
      </c>
      <c r="UX147" s="11">
        <v>70650</v>
      </c>
      <c r="UY147" s="11">
        <v>656714.9</v>
      </c>
      <c r="UZ147" s="11">
        <v>333805</v>
      </c>
      <c r="VA147" s="11">
        <v>296890</v>
      </c>
      <c r="VB147" s="11">
        <v>1218523</v>
      </c>
      <c r="VC147" s="11">
        <v>409358</v>
      </c>
      <c r="VD147" s="11">
        <v>375862.5</v>
      </c>
      <c r="VE147" s="11">
        <v>188971.55</v>
      </c>
      <c r="VF147" s="11">
        <v>99501</v>
      </c>
      <c r="VG147" s="11"/>
      <c r="VH147" s="11">
        <v>132495</v>
      </c>
      <c r="VI147" s="11">
        <v>1030078.6</v>
      </c>
      <c r="VJ147" s="11">
        <v>251855</v>
      </c>
      <c r="VK147" s="11">
        <v>231077</v>
      </c>
      <c r="VL147" s="11"/>
      <c r="VM147" s="11">
        <v>4981142.53</v>
      </c>
      <c r="VN147" s="11">
        <v>34942.5</v>
      </c>
      <c r="VO147" s="11">
        <v>172630</v>
      </c>
      <c r="VP147" s="11"/>
      <c r="VQ147" s="11">
        <v>187170</v>
      </c>
      <c r="VR147" s="11">
        <v>228956</v>
      </c>
      <c r="VS147" s="11">
        <v>290238.25</v>
      </c>
      <c r="VT147" s="11"/>
      <c r="VU147" s="11"/>
      <c r="VV147" s="11">
        <v>4702971.8</v>
      </c>
      <c r="VW147" s="11"/>
      <c r="VX147" s="11">
        <v>18237.599999999999</v>
      </c>
      <c r="VY147" s="11"/>
      <c r="VZ147" s="11"/>
      <c r="WA147" s="11"/>
      <c r="WB147" s="11"/>
      <c r="WC147" s="11">
        <v>378104.7</v>
      </c>
      <c r="WD147" s="11"/>
      <c r="WE147" s="11"/>
      <c r="WF147" s="11">
        <v>259111</v>
      </c>
      <c r="WG147" s="11">
        <v>309410.8</v>
      </c>
      <c r="WH147" s="11">
        <v>678047</v>
      </c>
      <c r="WI147" s="11">
        <v>398950</v>
      </c>
      <c r="WJ147" s="11">
        <v>103466</v>
      </c>
      <c r="WK147" s="11">
        <v>257414</v>
      </c>
      <c r="WL147" s="11">
        <v>105308</v>
      </c>
      <c r="WM147" s="11">
        <v>66364</v>
      </c>
      <c r="WN147" s="11"/>
      <c r="WO147" s="11">
        <v>525910.5</v>
      </c>
      <c r="WP147" s="11">
        <v>414347</v>
      </c>
      <c r="WQ147" s="11"/>
      <c r="WR147" s="11">
        <v>471604.88</v>
      </c>
      <c r="WS147" s="11">
        <v>467705</v>
      </c>
      <c r="WT147" s="11"/>
      <c r="WU147" s="11">
        <v>897430</v>
      </c>
      <c r="WV147" s="11">
        <v>2062823.4</v>
      </c>
      <c r="WW147" s="11"/>
      <c r="WX147" s="11">
        <v>37400</v>
      </c>
      <c r="WY147" s="11">
        <v>205656.1</v>
      </c>
      <c r="WZ147" s="11"/>
      <c r="XA147" s="11">
        <v>111590.55</v>
      </c>
      <c r="XB147" s="11"/>
      <c r="XC147" s="11">
        <v>335917</v>
      </c>
      <c r="XD147" s="11">
        <v>998238.05</v>
      </c>
      <c r="XE147" s="11">
        <v>19000</v>
      </c>
      <c r="XF147" s="11"/>
      <c r="XG147" s="11"/>
      <c r="XH147" s="11">
        <v>197706.31</v>
      </c>
      <c r="XI147" s="11">
        <v>3688224.56</v>
      </c>
      <c r="XJ147" s="11">
        <v>322883.65000000002</v>
      </c>
      <c r="XK147" s="11">
        <v>470847.5</v>
      </c>
      <c r="XL147" s="11">
        <v>1257090.6100000001</v>
      </c>
      <c r="XM147" s="11">
        <v>503332.78</v>
      </c>
      <c r="XN147" s="11">
        <v>249652</v>
      </c>
      <c r="XO147" s="11">
        <v>138544</v>
      </c>
      <c r="XP147" s="11">
        <v>331110</v>
      </c>
      <c r="XQ147" s="11">
        <v>90945</v>
      </c>
      <c r="XR147" s="11">
        <v>176799</v>
      </c>
      <c r="XS147" s="11">
        <v>493592.7</v>
      </c>
      <c r="XT147" s="11">
        <v>398113.25</v>
      </c>
      <c r="XU147" s="11">
        <v>150329</v>
      </c>
      <c r="XV147" s="11">
        <v>348290</v>
      </c>
      <c r="XW147" s="11">
        <v>13450</v>
      </c>
      <c r="XX147" s="11">
        <v>166189</v>
      </c>
      <c r="XY147" s="11">
        <v>143004</v>
      </c>
      <c r="XZ147" s="11">
        <v>136338.75</v>
      </c>
      <c r="YA147" s="11">
        <v>55820</v>
      </c>
      <c r="YB147" s="11">
        <v>171445</v>
      </c>
      <c r="YC147" s="11">
        <v>163095</v>
      </c>
      <c r="YD147" s="11">
        <v>349029.95</v>
      </c>
      <c r="YE147" s="11">
        <v>270705</v>
      </c>
      <c r="YF147" s="11">
        <v>5407248.6200000001</v>
      </c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>
        <v>423578.25</v>
      </c>
      <c r="YY147" s="11">
        <v>620312</v>
      </c>
      <c r="YZ147" s="11">
        <v>109822.5</v>
      </c>
      <c r="ZA147" s="11"/>
      <c r="ZB147" s="11">
        <v>181700</v>
      </c>
      <c r="ZC147" s="11">
        <v>132010</v>
      </c>
      <c r="ZD147" s="11">
        <v>4586632</v>
      </c>
      <c r="ZE147" s="11">
        <v>72748</v>
      </c>
      <c r="ZF147" s="11">
        <v>413995</v>
      </c>
      <c r="ZG147" s="11">
        <v>223935</v>
      </c>
      <c r="ZH147" s="11">
        <v>49650</v>
      </c>
      <c r="ZI147" s="11">
        <v>314190</v>
      </c>
      <c r="ZJ147" s="11">
        <v>93423</v>
      </c>
      <c r="ZK147" s="11">
        <v>190950</v>
      </c>
      <c r="ZL147" s="11">
        <v>103605</v>
      </c>
      <c r="ZM147" s="11">
        <v>4337354</v>
      </c>
      <c r="ZN147" s="11">
        <v>482798.5</v>
      </c>
      <c r="ZO147" s="11">
        <v>895754</v>
      </c>
      <c r="ZP147" s="11"/>
      <c r="ZQ147" s="11">
        <v>258434.5</v>
      </c>
      <c r="ZR147" s="11">
        <v>200098.2</v>
      </c>
      <c r="ZS147" s="11">
        <v>388926.95</v>
      </c>
      <c r="ZT147" s="11">
        <v>626765.55000000005</v>
      </c>
      <c r="ZU147" s="11"/>
      <c r="ZV147" s="11">
        <v>847776.45</v>
      </c>
      <c r="ZW147" s="11">
        <v>77665</v>
      </c>
      <c r="ZX147" s="11">
        <v>248397.5</v>
      </c>
      <c r="ZY147" s="11"/>
      <c r="ZZ147" s="11">
        <v>765536.7</v>
      </c>
      <c r="AAA147" s="11">
        <v>27500</v>
      </c>
      <c r="AAB147" s="11">
        <v>194118.45</v>
      </c>
      <c r="AAC147" s="11">
        <v>167188.62</v>
      </c>
      <c r="AAD147" s="11"/>
      <c r="AAE147" s="11">
        <v>260155</v>
      </c>
      <c r="AAF147" s="11">
        <v>435215.5</v>
      </c>
      <c r="AAG147" s="11"/>
      <c r="AAH147" s="11">
        <v>224475</v>
      </c>
      <c r="AAI147" s="11"/>
      <c r="AAJ147" s="11">
        <v>310967.3</v>
      </c>
      <c r="AAK147" s="11">
        <v>867980.25</v>
      </c>
      <c r="AAL147" s="11">
        <v>625446</v>
      </c>
      <c r="AAM147" s="11">
        <v>224479</v>
      </c>
      <c r="AAN147" s="11">
        <v>155388</v>
      </c>
      <c r="AAO147" s="11">
        <v>479195.75</v>
      </c>
      <c r="AAP147" s="11">
        <v>16558633.65</v>
      </c>
      <c r="AAQ147" s="11">
        <v>24330</v>
      </c>
      <c r="AAR147" s="11"/>
      <c r="AAS147" s="11"/>
      <c r="AAT147" s="11">
        <v>301331</v>
      </c>
      <c r="AAU147" s="11"/>
      <c r="AAV147" s="11">
        <v>383714</v>
      </c>
      <c r="AAW147" s="11">
        <v>1482628.2</v>
      </c>
      <c r="AAX147" s="11">
        <v>1084480</v>
      </c>
      <c r="AAY147" s="11">
        <v>554256.66</v>
      </c>
      <c r="AAZ147" s="11">
        <v>1473606</v>
      </c>
      <c r="ABA147" s="11">
        <v>3956272.5</v>
      </c>
      <c r="ABB147" s="11"/>
      <c r="ABC147" s="11"/>
      <c r="ABD147" s="11">
        <v>567262.4</v>
      </c>
      <c r="ABE147" s="11">
        <v>117064</v>
      </c>
      <c r="ABF147" s="11">
        <v>33200</v>
      </c>
      <c r="ABG147" s="11">
        <v>0</v>
      </c>
      <c r="ABH147" s="11"/>
      <c r="ABI147" s="11">
        <v>4195729.3499999996</v>
      </c>
      <c r="ABJ147" s="11">
        <v>2071325.13</v>
      </c>
      <c r="ABK147" s="11">
        <v>750960</v>
      </c>
      <c r="ABL147" s="11"/>
      <c r="ABM147" s="11">
        <v>303253</v>
      </c>
      <c r="ABN147" s="11">
        <v>309737.48</v>
      </c>
      <c r="ABO147" s="11"/>
      <c r="ABP147" s="11">
        <v>4681664</v>
      </c>
      <c r="ABQ147" s="11">
        <v>383006.2</v>
      </c>
      <c r="ABR147" s="11">
        <v>173950</v>
      </c>
      <c r="ABS147" s="11">
        <v>662228.5</v>
      </c>
      <c r="ABT147" s="11"/>
      <c r="ABU147" s="11">
        <v>348492</v>
      </c>
      <c r="ABV147" s="11">
        <v>213914</v>
      </c>
      <c r="ABW147" s="11">
        <v>268157</v>
      </c>
      <c r="ABX147" s="11">
        <v>49675</v>
      </c>
      <c r="ABY147" s="11">
        <v>407536.11</v>
      </c>
      <c r="ABZ147" s="11">
        <v>68775</v>
      </c>
      <c r="ACA147" s="11"/>
      <c r="ACB147" s="11">
        <v>499094.86</v>
      </c>
      <c r="ACC147" s="11">
        <v>212126</v>
      </c>
      <c r="ACD147" s="11">
        <v>20679</v>
      </c>
      <c r="ACE147" s="11">
        <v>53399</v>
      </c>
      <c r="ACF147" s="11">
        <v>410751.5</v>
      </c>
      <c r="ACG147" s="11">
        <v>566573</v>
      </c>
      <c r="ACH147" s="11">
        <v>1160618.3999999999</v>
      </c>
      <c r="ACI147" s="11">
        <v>176748</v>
      </c>
      <c r="ACJ147" s="11">
        <v>9584080.9000000004</v>
      </c>
      <c r="ACK147" s="11">
        <v>204370</v>
      </c>
      <c r="ACL147" s="11">
        <v>374037.83</v>
      </c>
      <c r="ACM147" s="11">
        <v>70454</v>
      </c>
      <c r="ACN147" s="11"/>
      <c r="ACO147" s="11">
        <v>343105</v>
      </c>
      <c r="ACP147" s="11">
        <v>586966</v>
      </c>
      <c r="ACQ147" s="11">
        <v>2630237</v>
      </c>
      <c r="ACR147" s="11">
        <v>2096193</v>
      </c>
      <c r="ACS147" s="11">
        <v>400663.12</v>
      </c>
      <c r="ACT147" s="11">
        <v>202706</v>
      </c>
      <c r="ACU147" s="11">
        <v>213241.5</v>
      </c>
      <c r="ACV147" s="11">
        <v>136577.35999999999</v>
      </c>
      <c r="ACW147" s="11">
        <v>7169591.7999999998</v>
      </c>
      <c r="ACX147" s="11">
        <v>135139</v>
      </c>
      <c r="ACY147" s="11">
        <v>208852.5</v>
      </c>
      <c r="ACZ147" s="11">
        <v>260204.75</v>
      </c>
      <c r="ADA147" s="11">
        <v>354446.5</v>
      </c>
      <c r="ADB147" s="11">
        <v>99500</v>
      </c>
      <c r="ADC147" s="11"/>
      <c r="ADD147" s="11">
        <v>546154</v>
      </c>
      <c r="ADE147" s="11">
        <v>206425</v>
      </c>
      <c r="ADF147" s="11">
        <v>577893.03</v>
      </c>
      <c r="ADG147" s="11">
        <v>848907</v>
      </c>
      <c r="ADH147" s="11">
        <v>1481351.72</v>
      </c>
      <c r="ADI147" s="11"/>
      <c r="ADJ147" s="11">
        <v>2500</v>
      </c>
      <c r="ADK147" s="11">
        <v>240986.5</v>
      </c>
      <c r="ADL147" s="11"/>
      <c r="ADM147" s="11">
        <v>28550</v>
      </c>
      <c r="ADN147" s="11">
        <v>164350</v>
      </c>
      <c r="ADO147" s="11"/>
      <c r="ADP147" s="11"/>
      <c r="ADQ147" s="11"/>
      <c r="ADR147" s="11">
        <v>977056.5</v>
      </c>
      <c r="ADS147" s="11">
        <v>0</v>
      </c>
      <c r="ADT147" s="11">
        <v>4261427.95</v>
      </c>
      <c r="ADU147" s="11"/>
      <c r="ADV147" s="11">
        <v>362968.99</v>
      </c>
      <c r="ADW147" s="11">
        <v>453588.45</v>
      </c>
      <c r="ADX147" s="11">
        <v>375847.5</v>
      </c>
      <c r="ADY147" s="11"/>
      <c r="ADZ147" s="11">
        <v>8021962.5</v>
      </c>
      <c r="AEA147" s="11">
        <v>15621162.66</v>
      </c>
      <c r="AEB147" s="11">
        <v>1562507.25</v>
      </c>
      <c r="AEC147" s="11">
        <v>356527.5</v>
      </c>
      <c r="AED147" s="11">
        <v>37945</v>
      </c>
      <c r="AEE147" s="11">
        <v>1086588.75</v>
      </c>
      <c r="AEF147" s="11">
        <v>481442.89</v>
      </c>
      <c r="AEG147" s="11">
        <v>542681.35</v>
      </c>
      <c r="AEH147" s="11"/>
      <c r="AEI147" s="11">
        <v>625641.63</v>
      </c>
      <c r="AEJ147" s="11">
        <v>401977.65</v>
      </c>
      <c r="AEK147" s="11">
        <v>577986</v>
      </c>
      <c r="AEL147" s="11">
        <v>410643.21</v>
      </c>
      <c r="AEM147" s="11">
        <v>461167.47</v>
      </c>
      <c r="AEN147" s="11">
        <v>430280.75</v>
      </c>
      <c r="AEO147" s="11">
        <v>491015.9</v>
      </c>
      <c r="AEP147" s="11">
        <v>111715</v>
      </c>
      <c r="AEQ147" s="11">
        <v>3630811</v>
      </c>
      <c r="AER147" s="11">
        <v>65629</v>
      </c>
      <c r="AES147" s="11">
        <v>1135392.29</v>
      </c>
      <c r="AET147" s="11">
        <v>3877139.86</v>
      </c>
      <c r="AEU147" s="11">
        <v>485525.5</v>
      </c>
      <c r="AEV147" s="11">
        <v>950330</v>
      </c>
      <c r="AEW147" s="11">
        <v>37280</v>
      </c>
      <c r="AEX147" s="11">
        <v>383989.15</v>
      </c>
      <c r="AEY147" s="11">
        <v>87840</v>
      </c>
      <c r="AEZ147" s="11">
        <v>331815.5</v>
      </c>
      <c r="AFA147" s="11">
        <v>180879</v>
      </c>
      <c r="AFB147" s="11">
        <v>297619.34999999998</v>
      </c>
      <c r="AFC147" s="11">
        <v>417566.25</v>
      </c>
      <c r="AFD147" s="11">
        <v>2660466.4500000002</v>
      </c>
      <c r="AFE147" s="11">
        <v>2828914.85</v>
      </c>
      <c r="AFF147" s="11"/>
      <c r="AFG147" s="11"/>
      <c r="AFH147" s="11"/>
      <c r="AFI147" s="11"/>
      <c r="AFJ147" s="11"/>
      <c r="AFK147" s="11"/>
      <c r="AFL147" s="11"/>
      <c r="AFM147" s="11"/>
      <c r="AFN147" s="11">
        <v>153250</v>
      </c>
      <c r="AFO147" s="11">
        <v>80965</v>
      </c>
      <c r="AFP147" s="11">
        <v>0</v>
      </c>
      <c r="AFQ147" s="11">
        <v>3714746</v>
      </c>
      <c r="AFR147" s="11">
        <v>90320</v>
      </c>
      <c r="AFS147" s="11">
        <v>95275</v>
      </c>
      <c r="AFT147" s="11"/>
      <c r="AFU147" s="11">
        <v>388334.28</v>
      </c>
      <c r="AFV147" s="11"/>
      <c r="AFW147" s="11">
        <v>1200</v>
      </c>
      <c r="AFX147" s="11"/>
      <c r="AFY147" s="11">
        <v>0</v>
      </c>
      <c r="AFZ147" s="11">
        <v>24485</v>
      </c>
      <c r="AGA147" s="11">
        <v>403449.8</v>
      </c>
      <c r="AGB147" s="11"/>
      <c r="AGC147" s="11">
        <v>3591760.2</v>
      </c>
      <c r="AGD147" s="11"/>
      <c r="AGE147" s="11"/>
      <c r="AGF147" s="11">
        <v>0</v>
      </c>
      <c r="AGG147" s="11"/>
      <c r="AGH147" s="11">
        <v>75475</v>
      </c>
      <c r="AGI147" s="11"/>
      <c r="AGJ147" s="11"/>
      <c r="AGK147" s="11"/>
      <c r="AGL147" s="11"/>
      <c r="AGM147" s="11">
        <v>17100</v>
      </c>
      <c r="AGN147" s="11">
        <v>3076702.49</v>
      </c>
      <c r="AGO147" s="11">
        <v>1430318.11</v>
      </c>
      <c r="AGP147" s="11">
        <v>196026.6</v>
      </c>
      <c r="AGQ147" s="11">
        <v>70250</v>
      </c>
      <c r="AGR147" s="11">
        <v>109887.95</v>
      </c>
      <c r="AGS147" s="11">
        <v>0</v>
      </c>
      <c r="AGT147" s="11">
        <v>44645</v>
      </c>
      <c r="AGU147" s="11">
        <v>553850.5</v>
      </c>
      <c r="AGV147" s="11">
        <v>4496286</v>
      </c>
      <c r="AGW147" s="11">
        <v>10480411.279999999</v>
      </c>
      <c r="AGX147" s="11">
        <v>400143.3</v>
      </c>
      <c r="AGY147" s="11">
        <v>966841.61</v>
      </c>
      <c r="AGZ147" s="11">
        <v>1341483.9099999999</v>
      </c>
      <c r="AHA147" s="11">
        <v>875201</v>
      </c>
      <c r="AHB147" s="11">
        <v>1088520.1499999999</v>
      </c>
      <c r="AHC147" s="11">
        <v>808708</v>
      </c>
      <c r="AHD147" s="11">
        <v>170425</v>
      </c>
      <c r="AHE147" s="11">
        <v>335031</v>
      </c>
      <c r="AHF147" s="11">
        <v>207664.5</v>
      </c>
      <c r="AHG147" s="11">
        <v>401500.32</v>
      </c>
      <c r="AHH147" s="11">
        <v>112123</v>
      </c>
      <c r="AHI147" s="11"/>
      <c r="AHJ147" s="11">
        <v>484615</v>
      </c>
      <c r="AHK147" s="11">
        <v>547258</v>
      </c>
      <c r="AHL147" s="11">
        <v>430721</v>
      </c>
      <c r="AHM147" s="11"/>
      <c r="AHN147" s="11">
        <v>356009</v>
      </c>
      <c r="AHO147" s="11">
        <v>588360</v>
      </c>
      <c r="AHP147" s="11">
        <v>164283.95000000001</v>
      </c>
      <c r="AHQ147" s="11">
        <v>1849856</v>
      </c>
      <c r="AHR147" s="11">
        <v>922568.75</v>
      </c>
      <c r="AHS147" s="11">
        <v>590696</v>
      </c>
      <c r="AHT147" s="11">
        <v>672167007.15999997</v>
      </c>
      <c r="AHV147" s="269" t="s">
        <v>6278</v>
      </c>
      <c r="AHW147" s="269" t="s">
        <v>6234</v>
      </c>
      <c r="AHX147" s="269" t="s">
        <v>6235</v>
      </c>
    </row>
    <row r="148" spans="1:908" x14ac:dyDescent="0.7">
      <c r="A148" s="6" t="s">
        <v>6278</v>
      </c>
      <c r="B148" s="6" t="s">
        <v>6230</v>
      </c>
      <c r="C148" s="6" t="s">
        <v>6231</v>
      </c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>
        <v>1900</v>
      </c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>
        <v>429463</v>
      </c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>
        <v>1025700</v>
      </c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>
        <v>7651078.0999999996</v>
      </c>
      <c r="EO148" s="11"/>
      <c r="EP148" s="11"/>
      <c r="EQ148" s="11"/>
      <c r="ER148" s="11"/>
      <c r="ES148" s="11"/>
      <c r="ET148" s="11"/>
      <c r="EU148" s="11"/>
      <c r="EV148" s="11"/>
      <c r="EW148" s="11">
        <v>0</v>
      </c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>
        <v>277227</v>
      </c>
      <c r="GZ148" s="11"/>
      <c r="HA148" s="11"/>
      <c r="HB148" s="11"/>
      <c r="HC148" s="11">
        <v>3118115</v>
      </c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>
        <v>300</v>
      </c>
      <c r="IC148" s="11"/>
      <c r="ID148" s="11"/>
      <c r="IE148" s="11"/>
      <c r="IF148" s="11"/>
      <c r="IG148" s="11"/>
      <c r="IH148" s="11"/>
      <c r="II148" s="11"/>
      <c r="IJ148" s="11">
        <v>1400000</v>
      </c>
      <c r="IK148" s="11"/>
      <c r="IL148" s="11"/>
      <c r="IM148" s="11"/>
      <c r="IN148" s="11"/>
      <c r="IO148" s="11"/>
      <c r="IP148" s="11"/>
      <c r="IQ148" s="11"/>
      <c r="IR148" s="11"/>
      <c r="IS148" s="11"/>
      <c r="IT148" s="11">
        <v>161000</v>
      </c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>
        <v>1169000</v>
      </c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>
        <v>5024</v>
      </c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>
        <v>8460000</v>
      </c>
      <c r="NI148" s="11"/>
      <c r="NJ148" s="11"/>
      <c r="NK148" s="11"/>
      <c r="NL148" s="11"/>
      <c r="NM148" s="11"/>
      <c r="NN148" s="11"/>
      <c r="NO148" s="11"/>
      <c r="NP148" s="11"/>
      <c r="NQ148" s="11">
        <v>347278</v>
      </c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>
        <v>454048</v>
      </c>
      <c r="OU148" s="11"/>
      <c r="OV148" s="11"/>
      <c r="OW148" s="11"/>
      <c r="OX148" s="11"/>
      <c r="OY148" s="11"/>
      <c r="OZ148" s="11"/>
      <c r="PA148" s="11"/>
      <c r="PB148" s="11"/>
      <c r="PC148" s="11">
        <v>20000</v>
      </c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>
        <v>539750</v>
      </c>
      <c r="QP148" s="11"/>
      <c r="QQ148" s="11"/>
      <c r="QR148" s="11"/>
      <c r="QS148" s="11"/>
      <c r="QT148" s="11"/>
      <c r="QU148" s="11">
        <v>844313</v>
      </c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>
        <v>50000</v>
      </c>
      <c r="RS148" s="11"/>
      <c r="RT148" s="11"/>
      <c r="RU148" s="11"/>
      <c r="RV148" s="11"/>
      <c r="RW148" s="11"/>
      <c r="RX148" s="11"/>
      <c r="RY148" s="11"/>
      <c r="RZ148" s="11"/>
      <c r="SA148" s="11"/>
      <c r="SB148" s="11">
        <v>297049</v>
      </c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>
        <v>4227764</v>
      </c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>
        <v>191250</v>
      </c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>
        <v>986722</v>
      </c>
      <c r="AAJ148" s="11"/>
      <c r="AAK148" s="11"/>
      <c r="AAL148" s="11"/>
      <c r="AAM148" s="11"/>
      <c r="AAN148" s="11"/>
      <c r="AAO148" s="11"/>
      <c r="AAP148" s="11">
        <v>8494409.1500000004</v>
      </c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>
        <v>14250</v>
      </c>
      <c r="ABQ148" s="11"/>
      <c r="ABR148" s="11"/>
      <c r="ABS148" s="11"/>
      <c r="ABT148" s="11"/>
      <c r="ABU148" s="11"/>
      <c r="ABV148" s="11"/>
      <c r="ABW148" s="11"/>
      <c r="ABX148" s="11"/>
      <c r="ABY148" s="11">
        <v>0</v>
      </c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>
        <v>103000</v>
      </c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>
        <v>481970</v>
      </c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>
        <v>256900</v>
      </c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>
        <v>770700</v>
      </c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>
        <v>41778210.25</v>
      </c>
      <c r="AHV148" s="269" t="s">
        <v>6278</v>
      </c>
      <c r="AHW148" s="269" t="s">
        <v>6236</v>
      </c>
      <c r="AHX148" s="269" t="s">
        <v>6237</v>
      </c>
    </row>
    <row r="149" spans="1:908" x14ac:dyDescent="0.7">
      <c r="A149" s="6" t="s">
        <v>6278</v>
      </c>
      <c r="B149" s="6" t="s">
        <v>6232</v>
      </c>
      <c r="C149" s="6" t="s">
        <v>6233</v>
      </c>
      <c r="D149" s="11"/>
      <c r="E149" s="11"/>
      <c r="F149" s="11"/>
      <c r="G149" s="11"/>
      <c r="H149" s="11">
        <v>425000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>
        <v>96116</v>
      </c>
      <c r="EQ149" s="11"/>
      <c r="ER149" s="11"/>
      <c r="ES149" s="11"/>
      <c r="ET149" s="11"/>
      <c r="EU149" s="11">
        <v>10000</v>
      </c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>
        <v>15000</v>
      </c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>
        <v>9600</v>
      </c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>
        <v>118000</v>
      </c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>
        <v>7050</v>
      </c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>
        <v>147736.9</v>
      </c>
      <c r="SP149" s="11">
        <v>903993.75</v>
      </c>
      <c r="SQ149" s="11"/>
      <c r="SR149" s="11"/>
      <c r="SS149" s="11">
        <v>366476.3</v>
      </c>
      <c r="ST149" s="11">
        <v>137410</v>
      </c>
      <c r="SU149" s="11">
        <v>77305.100000000006</v>
      </c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>
        <v>19945</v>
      </c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>
        <v>32950</v>
      </c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>
        <v>237500</v>
      </c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>
        <v>25000</v>
      </c>
      <c r="ACG149" s="11"/>
      <c r="ACH149" s="11"/>
      <c r="ACI149" s="11"/>
      <c r="ACJ149" s="11"/>
      <c r="ACK149" s="11"/>
      <c r="ACL149" s="11"/>
      <c r="ACM149" s="11"/>
      <c r="ACN149" s="11"/>
      <c r="ACO149" s="11">
        <v>30000</v>
      </c>
      <c r="ACP149" s="11"/>
      <c r="ACQ149" s="11"/>
      <c r="ACR149" s="11"/>
      <c r="ACS149" s="11"/>
      <c r="ACT149" s="11"/>
      <c r="ACU149" s="11"/>
      <c r="ACV149" s="11"/>
      <c r="ACW149" s="11">
        <v>1277500</v>
      </c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>
        <v>3936583.05</v>
      </c>
      <c r="AHV149" s="269" t="s">
        <v>6278</v>
      </c>
      <c r="AHW149" s="269" t="s">
        <v>6238</v>
      </c>
      <c r="AHX149" s="269" t="s">
        <v>6239</v>
      </c>
    </row>
    <row r="150" spans="1:908" x14ac:dyDescent="0.7">
      <c r="A150" s="6" t="s">
        <v>6278</v>
      </c>
      <c r="B150" s="6" t="s">
        <v>6512</v>
      </c>
      <c r="C150" s="6" t="s">
        <v>6513</v>
      </c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>
        <v>0</v>
      </c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>
        <v>0</v>
      </c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>
        <v>0</v>
      </c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>
        <v>0</v>
      </c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>
        <v>0</v>
      </c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>
        <v>2081</v>
      </c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>
        <v>1400</v>
      </c>
      <c r="JH150" s="11"/>
      <c r="JI150" s="11"/>
      <c r="JJ150" s="11"/>
      <c r="JK150" s="11"/>
      <c r="JL150" s="11">
        <v>0</v>
      </c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>
        <v>0</v>
      </c>
      <c r="KS150" s="11"/>
      <c r="KT150" s="11"/>
      <c r="KU150" s="11"/>
      <c r="KV150" s="11"/>
      <c r="KW150" s="11"/>
      <c r="KX150" s="11"/>
      <c r="KY150" s="11"/>
      <c r="KZ150" s="11">
        <v>0</v>
      </c>
      <c r="LA150" s="11"/>
      <c r="LB150" s="11"/>
      <c r="LC150" s="11"/>
      <c r="LD150" s="11"/>
      <c r="LE150" s="11"/>
      <c r="LF150" s="11"/>
      <c r="LG150" s="11"/>
      <c r="LH150" s="11"/>
      <c r="LI150" s="11">
        <v>0</v>
      </c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>
        <v>0</v>
      </c>
      <c r="LZ150" s="11"/>
      <c r="MA150" s="11"/>
      <c r="MB150" s="11"/>
      <c r="MC150" s="11"/>
      <c r="MD150" s="11"/>
      <c r="ME150" s="11"/>
      <c r="MF150" s="11"/>
      <c r="MG150" s="11"/>
      <c r="MH150" s="11">
        <v>0</v>
      </c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>
        <v>0</v>
      </c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>
        <v>0</v>
      </c>
      <c r="NY150" s="11"/>
      <c r="NZ150" s="11"/>
      <c r="OA150" s="11"/>
      <c r="OB150" s="11"/>
      <c r="OC150" s="11"/>
      <c r="OD150" s="11"/>
      <c r="OE150" s="11"/>
      <c r="OF150" s="11">
        <v>0</v>
      </c>
      <c r="OG150" s="11"/>
      <c r="OH150" s="11">
        <v>0</v>
      </c>
      <c r="OI150" s="11"/>
      <c r="OJ150" s="11"/>
      <c r="OK150" s="11"/>
      <c r="OL150" s="11"/>
      <c r="OM150" s="11"/>
      <c r="ON150" s="11">
        <v>0</v>
      </c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>
        <v>0</v>
      </c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>
        <v>0</v>
      </c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>
        <v>0</v>
      </c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>
        <v>0</v>
      </c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>
        <v>0</v>
      </c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>
        <v>2500</v>
      </c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>
        <v>0</v>
      </c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>
        <v>0</v>
      </c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>
        <v>0</v>
      </c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>
        <v>0</v>
      </c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>
        <v>142765</v>
      </c>
      <c r="AFE150" s="11">
        <v>1500</v>
      </c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>
        <v>11769</v>
      </c>
      <c r="AGO150" s="11"/>
      <c r="AGP150" s="11"/>
      <c r="AGQ150" s="11"/>
      <c r="AGR150" s="11"/>
      <c r="AGS150" s="11"/>
      <c r="AGT150" s="11"/>
      <c r="AGU150" s="11"/>
      <c r="AGV150" s="11">
        <v>0</v>
      </c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>
        <v>162015</v>
      </c>
    </row>
    <row r="151" spans="1:908" x14ac:dyDescent="0.7">
      <c r="A151" s="6" t="s">
        <v>6278</v>
      </c>
      <c r="B151" s="6" t="s">
        <v>6514</v>
      </c>
      <c r="C151" s="6" t="s">
        <v>6515</v>
      </c>
      <c r="D151" s="11">
        <v>178120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>
        <v>251059.5</v>
      </c>
      <c r="AF151" s="11"/>
      <c r="AG151" s="11"/>
      <c r="AH151" s="11"/>
      <c r="AI151" s="11"/>
      <c r="AJ151" s="11">
        <v>8000</v>
      </c>
      <c r="AK151" s="11"/>
      <c r="AL151" s="11"/>
      <c r="AM151" s="11"/>
      <c r="AN151" s="11"/>
      <c r="AO151" s="11"/>
      <c r="AP151" s="11">
        <v>20247</v>
      </c>
      <c r="AQ151" s="11">
        <v>138255.81</v>
      </c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>
        <v>1052761.25</v>
      </c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>
        <v>27439</v>
      </c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>
        <v>56512.75</v>
      </c>
      <c r="GI151" s="11">
        <v>251849</v>
      </c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>
        <v>11139.72</v>
      </c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>
        <v>30000</v>
      </c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>
        <v>101594.91</v>
      </c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>
        <v>520</v>
      </c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>
        <v>260001.6</v>
      </c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>
        <v>950617.51</v>
      </c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>
        <v>627401.89</v>
      </c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>
        <v>632776.88</v>
      </c>
      <c r="SC151" s="11"/>
      <c r="SD151" s="11"/>
      <c r="SE151" s="11"/>
      <c r="SF151" s="11"/>
      <c r="SG151" s="11"/>
      <c r="SH151" s="11"/>
      <c r="SI151" s="11">
        <v>19903.689999999999</v>
      </c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>
        <v>846530</v>
      </c>
      <c r="TN151" s="11"/>
      <c r="TO151" s="11"/>
      <c r="TP151" s="11"/>
      <c r="TQ151" s="11"/>
      <c r="TR151" s="11"/>
      <c r="TS151" s="11"/>
      <c r="TT151" s="11"/>
      <c r="TU151" s="11"/>
      <c r="TV151" s="11">
        <v>18000</v>
      </c>
      <c r="TW151" s="11"/>
      <c r="TX151" s="11"/>
      <c r="TY151" s="11"/>
      <c r="TZ151" s="11"/>
      <c r="UA151" s="11"/>
      <c r="UB151" s="11"/>
      <c r="UC151" s="11"/>
      <c r="UD151" s="11"/>
      <c r="UE151" s="11"/>
      <c r="UF151" s="11">
        <v>13559</v>
      </c>
      <c r="UG151" s="11"/>
      <c r="UH151" s="11"/>
      <c r="UI151" s="11">
        <v>4746</v>
      </c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>
        <v>6982</v>
      </c>
      <c r="VF151" s="11"/>
      <c r="VG151" s="11"/>
      <c r="VH151" s="11"/>
      <c r="VI151" s="11">
        <v>11582.5</v>
      </c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>
        <v>450</v>
      </c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>
        <v>327797.09999999998</v>
      </c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>
        <v>105503</v>
      </c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>
        <v>4005160</v>
      </c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>
        <v>402307</v>
      </c>
      <c r="ACQ151" s="11">
        <v>0</v>
      </c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>
        <v>394800</v>
      </c>
      <c r="ADH151" s="11"/>
      <c r="ADI151" s="11"/>
      <c r="ADJ151" s="11">
        <v>5211.8</v>
      </c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>
        <v>10760828.91</v>
      </c>
    </row>
    <row r="152" spans="1:908" x14ac:dyDescent="0.7">
      <c r="A152" s="6" t="s">
        <v>6278</v>
      </c>
      <c r="B152" s="6" t="s">
        <v>6516</v>
      </c>
      <c r="C152" s="6" t="s">
        <v>6517</v>
      </c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>
        <v>69873</v>
      </c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>
        <v>69873</v>
      </c>
    </row>
    <row r="153" spans="1:908" x14ac:dyDescent="0.7">
      <c r="A153" s="6" t="s">
        <v>6278</v>
      </c>
      <c r="B153" s="6" t="s">
        <v>6234</v>
      </c>
      <c r="C153" s="6" t="s">
        <v>6235</v>
      </c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>
        <v>1247939.5</v>
      </c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>
        <v>4138272.2</v>
      </c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>
        <v>1881072.3</v>
      </c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>
        <v>12000</v>
      </c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>
        <v>7279284</v>
      </c>
    </row>
    <row r="154" spans="1:908" x14ac:dyDescent="0.7">
      <c r="A154" s="6" t="s">
        <v>6278</v>
      </c>
      <c r="B154" s="6" t="s">
        <v>6238</v>
      </c>
      <c r="C154" s="6" t="s">
        <v>6239</v>
      </c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>
        <v>748557</v>
      </c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>
        <v>70000</v>
      </c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>
        <v>326700</v>
      </c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>
        <v>1145257</v>
      </c>
    </row>
    <row r="155" spans="1:908" x14ac:dyDescent="0.7">
      <c r="D155" s="11">
        <f>D156-D38</f>
        <v>0</v>
      </c>
      <c r="E155" s="11">
        <f t="shared" ref="E155:BP155" si="62">E156-E38</f>
        <v>0</v>
      </c>
      <c r="F155" s="11">
        <f t="shared" si="62"/>
        <v>0</v>
      </c>
      <c r="G155" s="11">
        <f t="shared" si="62"/>
        <v>0</v>
      </c>
      <c r="H155" s="11">
        <f t="shared" si="62"/>
        <v>0</v>
      </c>
      <c r="I155" s="11">
        <f t="shared" si="62"/>
        <v>0</v>
      </c>
      <c r="J155" s="11">
        <f t="shared" si="62"/>
        <v>0</v>
      </c>
      <c r="K155" s="11">
        <f t="shared" si="62"/>
        <v>0</v>
      </c>
      <c r="L155" s="11">
        <f t="shared" si="62"/>
        <v>0</v>
      </c>
      <c r="M155" s="11">
        <f t="shared" si="62"/>
        <v>0</v>
      </c>
      <c r="N155" s="11">
        <f t="shared" si="62"/>
        <v>0</v>
      </c>
      <c r="O155" s="11">
        <f t="shared" si="62"/>
        <v>0</v>
      </c>
      <c r="P155" s="11">
        <f t="shared" si="62"/>
        <v>0</v>
      </c>
      <c r="Q155" s="11">
        <f t="shared" si="62"/>
        <v>0</v>
      </c>
      <c r="R155" s="11">
        <f t="shared" si="62"/>
        <v>0</v>
      </c>
      <c r="S155" s="11">
        <f t="shared" si="62"/>
        <v>0</v>
      </c>
      <c r="T155" s="11">
        <f t="shared" si="62"/>
        <v>0</v>
      </c>
      <c r="U155" s="11">
        <f t="shared" si="62"/>
        <v>0</v>
      </c>
      <c r="V155" s="11">
        <f t="shared" si="62"/>
        <v>0</v>
      </c>
      <c r="W155" s="11">
        <f t="shared" si="62"/>
        <v>0</v>
      </c>
      <c r="X155" s="11">
        <f t="shared" si="62"/>
        <v>0</v>
      </c>
      <c r="Y155" s="11">
        <f t="shared" si="62"/>
        <v>0</v>
      </c>
      <c r="Z155" s="11">
        <f t="shared" si="62"/>
        <v>0</v>
      </c>
      <c r="AA155" s="11">
        <f t="shared" si="62"/>
        <v>0</v>
      </c>
      <c r="AB155" s="11">
        <f t="shared" si="62"/>
        <v>0</v>
      </c>
      <c r="AC155" s="11">
        <f t="shared" si="62"/>
        <v>0</v>
      </c>
      <c r="AD155" s="11">
        <f t="shared" si="62"/>
        <v>0</v>
      </c>
      <c r="AE155" s="11">
        <f t="shared" si="62"/>
        <v>0</v>
      </c>
      <c r="AF155" s="11">
        <f t="shared" si="62"/>
        <v>0</v>
      </c>
      <c r="AG155" s="11">
        <f t="shared" si="62"/>
        <v>0</v>
      </c>
      <c r="AH155" s="11">
        <f t="shared" si="62"/>
        <v>0</v>
      </c>
      <c r="AI155" s="11">
        <f t="shared" si="62"/>
        <v>0</v>
      </c>
      <c r="AJ155" s="11">
        <f t="shared" si="62"/>
        <v>0</v>
      </c>
      <c r="AK155" s="11">
        <f t="shared" si="62"/>
        <v>0</v>
      </c>
      <c r="AL155" s="11">
        <f t="shared" si="62"/>
        <v>0</v>
      </c>
      <c r="AM155" s="11">
        <f t="shared" si="62"/>
        <v>0</v>
      </c>
      <c r="AN155" s="11">
        <f t="shared" si="62"/>
        <v>0</v>
      </c>
      <c r="AO155" s="11">
        <f t="shared" si="62"/>
        <v>0</v>
      </c>
      <c r="AP155" s="11">
        <f t="shared" si="62"/>
        <v>0</v>
      </c>
      <c r="AQ155" s="11">
        <f t="shared" si="62"/>
        <v>0</v>
      </c>
      <c r="AR155" s="11">
        <f t="shared" si="62"/>
        <v>0</v>
      </c>
      <c r="AS155" s="11">
        <f t="shared" si="62"/>
        <v>0</v>
      </c>
      <c r="AT155" s="11">
        <f t="shared" si="62"/>
        <v>0</v>
      </c>
      <c r="AU155" s="11">
        <f t="shared" si="62"/>
        <v>0</v>
      </c>
      <c r="AV155" s="11">
        <f t="shared" si="62"/>
        <v>0</v>
      </c>
      <c r="AW155" s="11">
        <f t="shared" si="62"/>
        <v>0</v>
      </c>
      <c r="AX155" s="11">
        <f t="shared" si="62"/>
        <v>0</v>
      </c>
      <c r="AY155" s="11">
        <f t="shared" si="62"/>
        <v>0</v>
      </c>
      <c r="AZ155" s="11">
        <f t="shared" si="62"/>
        <v>0</v>
      </c>
      <c r="BA155" s="11">
        <f t="shared" si="62"/>
        <v>0</v>
      </c>
      <c r="BB155" s="11">
        <f t="shared" si="62"/>
        <v>0</v>
      </c>
      <c r="BC155" s="11">
        <f t="shared" si="62"/>
        <v>0</v>
      </c>
      <c r="BD155" s="11">
        <f t="shared" si="62"/>
        <v>0</v>
      </c>
      <c r="BE155" s="11">
        <f t="shared" si="62"/>
        <v>0</v>
      </c>
      <c r="BF155" s="11">
        <f t="shared" si="62"/>
        <v>0</v>
      </c>
      <c r="BG155" s="11">
        <f t="shared" si="62"/>
        <v>0</v>
      </c>
      <c r="BH155" s="11">
        <f t="shared" si="62"/>
        <v>0</v>
      </c>
      <c r="BI155" s="11">
        <f t="shared" si="62"/>
        <v>0</v>
      </c>
      <c r="BJ155" s="11">
        <f t="shared" si="62"/>
        <v>0</v>
      </c>
      <c r="BK155" s="11">
        <f t="shared" si="62"/>
        <v>0</v>
      </c>
      <c r="BL155" s="11">
        <f t="shared" si="62"/>
        <v>0</v>
      </c>
      <c r="BM155" s="11">
        <f t="shared" si="62"/>
        <v>0</v>
      </c>
      <c r="BN155" s="11">
        <f t="shared" si="62"/>
        <v>0</v>
      </c>
      <c r="BO155" s="11">
        <f t="shared" si="62"/>
        <v>0</v>
      </c>
      <c r="BP155" s="11">
        <f t="shared" si="62"/>
        <v>0</v>
      </c>
      <c r="BQ155" s="11">
        <f t="shared" ref="BQ155:EB155" si="63">BQ156-BQ38</f>
        <v>0</v>
      </c>
      <c r="BR155" s="11">
        <f t="shared" si="63"/>
        <v>0</v>
      </c>
      <c r="BS155" s="11">
        <f t="shared" si="63"/>
        <v>0</v>
      </c>
      <c r="BT155" s="11">
        <f t="shared" si="63"/>
        <v>0</v>
      </c>
      <c r="BU155" s="11">
        <f t="shared" si="63"/>
        <v>0</v>
      </c>
      <c r="BV155" s="11">
        <f t="shared" si="63"/>
        <v>0</v>
      </c>
      <c r="BW155" s="11">
        <f t="shared" si="63"/>
        <v>0</v>
      </c>
      <c r="BX155" s="11">
        <f t="shared" si="63"/>
        <v>0</v>
      </c>
      <c r="BY155" s="11">
        <f t="shared" si="63"/>
        <v>0</v>
      </c>
      <c r="BZ155" s="11">
        <f t="shared" si="63"/>
        <v>0</v>
      </c>
      <c r="CA155" s="11">
        <f t="shared" si="63"/>
        <v>0</v>
      </c>
      <c r="CB155" s="11">
        <f t="shared" si="63"/>
        <v>0</v>
      </c>
      <c r="CC155" s="11">
        <f t="shared" si="63"/>
        <v>0</v>
      </c>
      <c r="CD155" s="11">
        <f t="shared" si="63"/>
        <v>0</v>
      </c>
      <c r="CE155" s="11">
        <f t="shared" si="63"/>
        <v>0</v>
      </c>
      <c r="CF155" s="11">
        <f t="shared" si="63"/>
        <v>0</v>
      </c>
      <c r="CG155" s="11">
        <f t="shared" si="63"/>
        <v>0</v>
      </c>
      <c r="CH155" s="11">
        <f t="shared" si="63"/>
        <v>0</v>
      </c>
      <c r="CI155" s="11">
        <f t="shared" si="63"/>
        <v>0</v>
      </c>
      <c r="CJ155" s="11">
        <f t="shared" si="63"/>
        <v>0</v>
      </c>
      <c r="CK155" s="11">
        <f t="shared" si="63"/>
        <v>0</v>
      </c>
      <c r="CL155" s="11">
        <f t="shared" si="63"/>
        <v>0</v>
      </c>
      <c r="CM155" s="11">
        <f t="shared" si="63"/>
        <v>0</v>
      </c>
      <c r="CN155" s="11">
        <f t="shared" si="63"/>
        <v>0</v>
      </c>
      <c r="CO155" s="11">
        <f t="shared" si="63"/>
        <v>0</v>
      </c>
      <c r="CP155" s="11">
        <f t="shared" si="63"/>
        <v>0</v>
      </c>
      <c r="CQ155" s="11">
        <f t="shared" si="63"/>
        <v>0</v>
      </c>
      <c r="CR155" s="11">
        <f t="shared" si="63"/>
        <v>0</v>
      </c>
      <c r="CS155" s="11">
        <f t="shared" si="63"/>
        <v>0</v>
      </c>
      <c r="CT155" s="11">
        <f t="shared" si="63"/>
        <v>0</v>
      </c>
      <c r="CU155" s="11">
        <f t="shared" si="63"/>
        <v>0</v>
      </c>
      <c r="CV155" s="11">
        <f t="shared" si="63"/>
        <v>0</v>
      </c>
      <c r="CW155" s="11">
        <f t="shared" si="63"/>
        <v>0</v>
      </c>
      <c r="CX155" s="11">
        <f t="shared" si="63"/>
        <v>0</v>
      </c>
      <c r="CY155" s="11">
        <f t="shared" si="63"/>
        <v>0</v>
      </c>
      <c r="CZ155" s="11">
        <f t="shared" si="63"/>
        <v>0</v>
      </c>
      <c r="DA155" s="11">
        <f t="shared" si="63"/>
        <v>0</v>
      </c>
      <c r="DB155" s="11">
        <f t="shared" si="63"/>
        <v>0</v>
      </c>
      <c r="DC155" s="11">
        <f t="shared" si="63"/>
        <v>0</v>
      </c>
      <c r="DD155" s="11">
        <f t="shared" si="63"/>
        <v>0</v>
      </c>
      <c r="DE155" s="11">
        <f t="shared" si="63"/>
        <v>0</v>
      </c>
      <c r="DF155" s="11">
        <f t="shared" si="63"/>
        <v>0</v>
      </c>
      <c r="DG155" s="11">
        <f t="shared" si="63"/>
        <v>0</v>
      </c>
      <c r="DH155" s="11">
        <f t="shared" si="63"/>
        <v>0</v>
      </c>
      <c r="DI155" s="11">
        <f t="shared" si="63"/>
        <v>0</v>
      </c>
      <c r="DJ155" s="11">
        <f t="shared" si="63"/>
        <v>0</v>
      </c>
      <c r="DK155" s="11">
        <f t="shared" si="63"/>
        <v>0</v>
      </c>
      <c r="DL155" s="11">
        <f t="shared" si="63"/>
        <v>0</v>
      </c>
      <c r="DM155" s="11">
        <f t="shared" si="63"/>
        <v>0</v>
      </c>
      <c r="DN155" s="11">
        <f t="shared" si="63"/>
        <v>0</v>
      </c>
      <c r="DO155" s="11">
        <f t="shared" si="63"/>
        <v>0</v>
      </c>
      <c r="DP155" s="11">
        <f t="shared" si="63"/>
        <v>0</v>
      </c>
      <c r="DQ155" s="11">
        <f t="shared" si="63"/>
        <v>0</v>
      </c>
      <c r="DR155" s="11">
        <f t="shared" si="63"/>
        <v>0</v>
      </c>
      <c r="DS155" s="11">
        <f t="shared" si="63"/>
        <v>0</v>
      </c>
      <c r="DT155" s="11">
        <f t="shared" si="63"/>
        <v>0</v>
      </c>
      <c r="DU155" s="11">
        <f t="shared" si="63"/>
        <v>0</v>
      </c>
      <c r="DV155" s="11">
        <f t="shared" si="63"/>
        <v>0</v>
      </c>
      <c r="DW155" s="11">
        <f t="shared" si="63"/>
        <v>0</v>
      </c>
      <c r="DX155" s="11">
        <f t="shared" si="63"/>
        <v>0</v>
      </c>
      <c r="DY155" s="11">
        <f t="shared" si="63"/>
        <v>0</v>
      </c>
      <c r="DZ155" s="11">
        <f t="shared" si="63"/>
        <v>0</v>
      </c>
      <c r="EA155" s="11">
        <f t="shared" si="63"/>
        <v>0</v>
      </c>
      <c r="EB155" s="11">
        <f t="shared" si="63"/>
        <v>0</v>
      </c>
      <c r="EC155" s="11">
        <f t="shared" ref="EC155:GN155" si="64">EC156-EC38</f>
        <v>0</v>
      </c>
      <c r="ED155" s="11">
        <f t="shared" si="64"/>
        <v>0</v>
      </c>
      <c r="EE155" s="11">
        <f t="shared" si="64"/>
        <v>0</v>
      </c>
      <c r="EF155" s="11">
        <f t="shared" si="64"/>
        <v>0</v>
      </c>
      <c r="EG155" s="11">
        <f t="shared" si="64"/>
        <v>0</v>
      </c>
      <c r="EH155" s="11">
        <f t="shared" si="64"/>
        <v>0</v>
      </c>
      <c r="EI155" s="11">
        <f t="shared" si="64"/>
        <v>0</v>
      </c>
      <c r="EJ155" s="11">
        <f t="shared" si="64"/>
        <v>0</v>
      </c>
      <c r="EK155" s="11">
        <f t="shared" si="64"/>
        <v>0</v>
      </c>
      <c r="EL155" s="11">
        <f t="shared" si="64"/>
        <v>0</v>
      </c>
      <c r="EM155" s="11">
        <f t="shared" si="64"/>
        <v>0</v>
      </c>
      <c r="EN155" s="11">
        <f t="shared" si="64"/>
        <v>0</v>
      </c>
      <c r="EO155" s="11">
        <f t="shared" si="64"/>
        <v>0</v>
      </c>
      <c r="EP155" s="11">
        <f t="shared" si="64"/>
        <v>0</v>
      </c>
      <c r="EQ155" s="11">
        <f t="shared" si="64"/>
        <v>0</v>
      </c>
      <c r="ER155" s="11">
        <f t="shared" si="64"/>
        <v>0</v>
      </c>
      <c r="ES155" s="11">
        <f t="shared" si="64"/>
        <v>0</v>
      </c>
      <c r="ET155" s="11">
        <f t="shared" si="64"/>
        <v>0</v>
      </c>
      <c r="EU155" s="11">
        <f t="shared" si="64"/>
        <v>0</v>
      </c>
      <c r="EV155" s="11">
        <f t="shared" si="64"/>
        <v>0</v>
      </c>
      <c r="EW155" s="11">
        <f t="shared" si="64"/>
        <v>0</v>
      </c>
      <c r="EX155" s="11">
        <f t="shared" si="64"/>
        <v>0</v>
      </c>
      <c r="EY155" s="11">
        <f t="shared" si="64"/>
        <v>0</v>
      </c>
      <c r="EZ155" s="11">
        <f t="shared" si="64"/>
        <v>0</v>
      </c>
      <c r="FA155" s="11">
        <f t="shared" si="64"/>
        <v>0</v>
      </c>
      <c r="FB155" s="11">
        <f t="shared" si="64"/>
        <v>0</v>
      </c>
      <c r="FC155" s="11">
        <f t="shared" si="64"/>
        <v>0</v>
      </c>
      <c r="FD155" s="11">
        <f t="shared" si="64"/>
        <v>0</v>
      </c>
      <c r="FE155" s="11">
        <f t="shared" si="64"/>
        <v>0</v>
      </c>
      <c r="FF155" s="11">
        <f t="shared" si="64"/>
        <v>0</v>
      </c>
      <c r="FG155" s="11">
        <f t="shared" si="64"/>
        <v>0</v>
      </c>
      <c r="FH155" s="11">
        <f t="shared" si="64"/>
        <v>0</v>
      </c>
      <c r="FI155" s="11">
        <f t="shared" si="64"/>
        <v>0</v>
      </c>
      <c r="FJ155" s="11">
        <f t="shared" si="64"/>
        <v>0</v>
      </c>
      <c r="FK155" s="11">
        <f t="shared" si="64"/>
        <v>0</v>
      </c>
      <c r="FL155" s="11">
        <f t="shared" si="64"/>
        <v>0</v>
      </c>
      <c r="FM155" s="11">
        <f t="shared" si="64"/>
        <v>0</v>
      </c>
      <c r="FN155" s="11">
        <f t="shared" si="64"/>
        <v>0</v>
      </c>
      <c r="FO155" s="11">
        <f t="shared" si="64"/>
        <v>0</v>
      </c>
      <c r="FP155" s="11">
        <f t="shared" si="64"/>
        <v>0</v>
      </c>
      <c r="FQ155" s="11">
        <f t="shared" si="64"/>
        <v>0</v>
      </c>
      <c r="FR155" s="11">
        <f t="shared" si="64"/>
        <v>0</v>
      </c>
      <c r="FS155" s="11">
        <f t="shared" si="64"/>
        <v>0</v>
      </c>
      <c r="FT155" s="11">
        <f t="shared" si="64"/>
        <v>0</v>
      </c>
      <c r="FU155" s="11">
        <f t="shared" si="64"/>
        <v>0</v>
      </c>
      <c r="FV155" s="11">
        <f t="shared" si="64"/>
        <v>0</v>
      </c>
      <c r="FW155" s="11">
        <f t="shared" si="64"/>
        <v>0</v>
      </c>
      <c r="FX155" s="11">
        <f t="shared" si="64"/>
        <v>0</v>
      </c>
      <c r="FY155" s="11">
        <f t="shared" si="64"/>
        <v>0</v>
      </c>
      <c r="FZ155" s="11">
        <f t="shared" si="64"/>
        <v>0</v>
      </c>
      <c r="GA155" s="11">
        <f t="shared" si="64"/>
        <v>0</v>
      </c>
      <c r="GB155" s="11">
        <f t="shared" si="64"/>
        <v>0</v>
      </c>
      <c r="GC155" s="11">
        <f t="shared" si="64"/>
        <v>0</v>
      </c>
      <c r="GD155" s="11">
        <f t="shared" si="64"/>
        <v>0</v>
      </c>
      <c r="GE155" s="11">
        <f t="shared" si="64"/>
        <v>0</v>
      </c>
      <c r="GF155" s="11">
        <f t="shared" si="64"/>
        <v>0</v>
      </c>
      <c r="GG155" s="11">
        <f t="shared" si="64"/>
        <v>0</v>
      </c>
      <c r="GH155" s="11">
        <f t="shared" si="64"/>
        <v>0</v>
      </c>
      <c r="GI155" s="11">
        <f t="shared" si="64"/>
        <v>0</v>
      </c>
      <c r="GJ155" s="11">
        <f t="shared" si="64"/>
        <v>0</v>
      </c>
      <c r="GK155" s="11">
        <f t="shared" si="64"/>
        <v>0</v>
      </c>
      <c r="GL155" s="11">
        <f t="shared" si="64"/>
        <v>0</v>
      </c>
      <c r="GM155" s="11">
        <f t="shared" si="64"/>
        <v>0</v>
      </c>
      <c r="GN155" s="11">
        <f t="shared" si="64"/>
        <v>0</v>
      </c>
      <c r="GO155" s="11">
        <f t="shared" ref="GO155:IZ155" si="65">GO156-GO38</f>
        <v>0</v>
      </c>
      <c r="GP155" s="11">
        <f t="shared" si="65"/>
        <v>0</v>
      </c>
      <c r="GQ155" s="11">
        <f t="shared" si="65"/>
        <v>0</v>
      </c>
      <c r="GR155" s="11">
        <f t="shared" si="65"/>
        <v>0</v>
      </c>
      <c r="GS155" s="11">
        <f t="shared" si="65"/>
        <v>0</v>
      </c>
      <c r="GT155" s="11">
        <f t="shared" si="65"/>
        <v>0</v>
      </c>
      <c r="GU155" s="11">
        <f t="shared" si="65"/>
        <v>0</v>
      </c>
      <c r="GV155" s="11">
        <f t="shared" si="65"/>
        <v>0</v>
      </c>
      <c r="GW155" s="11">
        <f t="shared" si="65"/>
        <v>0</v>
      </c>
      <c r="GX155" s="11">
        <f t="shared" si="65"/>
        <v>0</v>
      </c>
      <c r="GY155" s="11">
        <f t="shared" si="65"/>
        <v>0</v>
      </c>
      <c r="GZ155" s="11">
        <f t="shared" si="65"/>
        <v>0</v>
      </c>
      <c r="HA155" s="11">
        <f t="shared" si="65"/>
        <v>0</v>
      </c>
      <c r="HB155" s="11">
        <f t="shared" si="65"/>
        <v>0</v>
      </c>
      <c r="HC155" s="11">
        <f t="shared" si="65"/>
        <v>0</v>
      </c>
      <c r="HD155" s="11">
        <f t="shared" si="65"/>
        <v>0</v>
      </c>
      <c r="HE155" s="11">
        <f t="shared" si="65"/>
        <v>0</v>
      </c>
      <c r="HF155" s="11">
        <f t="shared" si="65"/>
        <v>0</v>
      </c>
      <c r="HG155" s="11">
        <f t="shared" si="65"/>
        <v>0</v>
      </c>
      <c r="HH155" s="11">
        <f t="shared" si="65"/>
        <v>0</v>
      </c>
      <c r="HI155" s="11">
        <f t="shared" si="65"/>
        <v>0</v>
      </c>
      <c r="HJ155" s="11">
        <f t="shared" si="65"/>
        <v>0</v>
      </c>
      <c r="HK155" s="11">
        <f t="shared" si="65"/>
        <v>0</v>
      </c>
      <c r="HL155" s="11">
        <f t="shared" si="65"/>
        <v>0</v>
      </c>
      <c r="HM155" s="11">
        <f t="shared" si="65"/>
        <v>0</v>
      </c>
      <c r="HN155" s="11">
        <f t="shared" si="65"/>
        <v>0</v>
      </c>
      <c r="HO155" s="11">
        <f t="shared" si="65"/>
        <v>0</v>
      </c>
      <c r="HP155" s="11">
        <f t="shared" si="65"/>
        <v>0</v>
      </c>
      <c r="HQ155" s="11">
        <f t="shared" si="65"/>
        <v>0</v>
      </c>
      <c r="HR155" s="11">
        <f t="shared" si="65"/>
        <v>0</v>
      </c>
      <c r="HS155" s="11">
        <f t="shared" si="65"/>
        <v>0</v>
      </c>
      <c r="HT155" s="11">
        <f t="shared" si="65"/>
        <v>0</v>
      </c>
      <c r="HU155" s="11">
        <f t="shared" si="65"/>
        <v>0</v>
      </c>
      <c r="HV155" s="11">
        <f t="shared" si="65"/>
        <v>0</v>
      </c>
      <c r="HW155" s="11">
        <f t="shared" si="65"/>
        <v>0</v>
      </c>
      <c r="HX155" s="11">
        <f t="shared" si="65"/>
        <v>0</v>
      </c>
      <c r="HY155" s="11">
        <f t="shared" si="65"/>
        <v>0</v>
      </c>
      <c r="HZ155" s="11">
        <f t="shared" si="65"/>
        <v>0</v>
      </c>
      <c r="IA155" s="11">
        <f t="shared" si="65"/>
        <v>0</v>
      </c>
      <c r="IB155" s="11">
        <f t="shared" si="65"/>
        <v>0</v>
      </c>
      <c r="IC155" s="11">
        <f t="shared" si="65"/>
        <v>0</v>
      </c>
      <c r="ID155" s="11">
        <f t="shared" si="65"/>
        <v>0</v>
      </c>
      <c r="IE155" s="11">
        <f t="shared" si="65"/>
        <v>0</v>
      </c>
      <c r="IF155" s="11">
        <f t="shared" si="65"/>
        <v>0</v>
      </c>
      <c r="IG155" s="11">
        <f t="shared" si="65"/>
        <v>0</v>
      </c>
      <c r="IH155" s="11">
        <f t="shared" si="65"/>
        <v>0</v>
      </c>
      <c r="II155" s="11">
        <f t="shared" si="65"/>
        <v>0</v>
      </c>
      <c r="IJ155" s="11">
        <f t="shared" si="65"/>
        <v>0</v>
      </c>
      <c r="IK155" s="11">
        <f t="shared" si="65"/>
        <v>0</v>
      </c>
      <c r="IL155" s="11">
        <f t="shared" si="65"/>
        <v>0</v>
      </c>
      <c r="IM155" s="11">
        <f t="shared" si="65"/>
        <v>0</v>
      </c>
      <c r="IN155" s="11">
        <f t="shared" si="65"/>
        <v>0</v>
      </c>
      <c r="IO155" s="11">
        <f t="shared" si="65"/>
        <v>0</v>
      </c>
      <c r="IP155" s="11">
        <f t="shared" si="65"/>
        <v>0</v>
      </c>
      <c r="IQ155" s="11">
        <f t="shared" si="65"/>
        <v>0</v>
      </c>
      <c r="IR155" s="11">
        <f t="shared" si="65"/>
        <v>0</v>
      </c>
      <c r="IS155" s="11">
        <f t="shared" si="65"/>
        <v>0</v>
      </c>
      <c r="IT155" s="11">
        <f t="shared" si="65"/>
        <v>0</v>
      </c>
      <c r="IU155" s="11">
        <f t="shared" si="65"/>
        <v>0</v>
      </c>
      <c r="IV155" s="11">
        <f t="shared" si="65"/>
        <v>0</v>
      </c>
      <c r="IW155" s="11">
        <f t="shared" si="65"/>
        <v>0</v>
      </c>
      <c r="IX155" s="11">
        <f t="shared" si="65"/>
        <v>0</v>
      </c>
      <c r="IY155" s="11">
        <f t="shared" si="65"/>
        <v>0</v>
      </c>
      <c r="IZ155" s="11">
        <f t="shared" si="65"/>
        <v>0</v>
      </c>
      <c r="JA155" s="11">
        <f t="shared" ref="JA155:LL155" si="66">JA156-JA38</f>
        <v>0</v>
      </c>
      <c r="JB155" s="11">
        <f t="shared" si="66"/>
        <v>0</v>
      </c>
      <c r="JC155" s="11">
        <f t="shared" si="66"/>
        <v>0</v>
      </c>
      <c r="JD155" s="11">
        <f t="shared" si="66"/>
        <v>0</v>
      </c>
      <c r="JE155" s="11">
        <f t="shared" si="66"/>
        <v>0</v>
      </c>
      <c r="JF155" s="11">
        <f t="shared" si="66"/>
        <v>0</v>
      </c>
      <c r="JG155" s="11">
        <f t="shared" si="66"/>
        <v>0</v>
      </c>
      <c r="JH155" s="11">
        <f t="shared" si="66"/>
        <v>0</v>
      </c>
      <c r="JI155" s="11">
        <f t="shared" si="66"/>
        <v>0</v>
      </c>
      <c r="JJ155" s="11">
        <f t="shared" si="66"/>
        <v>0</v>
      </c>
      <c r="JK155" s="11">
        <f t="shared" si="66"/>
        <v>0</v>
      </c>
      <c r="JL155" s="11">
        <f t="shared" si="66"/>
        <v>0</v>
      </c>
      <c r="JM155" s="11">
        <f t="shared" si="66"/>
        <v>0</v>
      </c>
      <c r="JN155" s="11">
        <f t="shared" si="66"/>
        <v>0</v>
      </c>
      <c r="JO155" s="11">
        <f t="shared" si="66"/>
        <v>0</v>
      </c>
      <c r="JP155" s="11">
        <f t="shared" si="66"/>
        <v>0</v>
      </c>
      <c r="JQ155" s="11">
        <f t="shared" si="66"/>
        <v>0</v>
      </c>
      <c r="JR155" s="11">
        <f t="shared" si="66"/>
        <v>0</v>
      </c>
      <c r="JS155" s="11">
        <f t="shared" si="66"/>
        <v>0</v>
      </c>
      <c r="JT155" s="11">
        <f t="shared" si="66"/>
        <v>0</v>
      </c>
      <c r="JU155" s="11">
        <f t="shared" si="66"/>
        <v>0</v>
      </c>
      <c r="JV155" s="11">
        <f t="shared" si="66"/>
        <v>0</v>
      </c>
      <c r="JW155" s="11">
        <f t="shared" si="66"/>
        <v>0</v>
      </c>
      <c r="JX155" s="11">
        <f t="shared" si="66"/>
        <v>0</v>
      </c>
      <c r="JY155" s="11">
        <f t="shared" si="66"/>
        <v>0</v>
      </c>
      <c r="JZ155" s="11">
        <f t="shared" si="66"/>
        <v>0</v>
      </c>
      <c r="KA155" s="11">
        <f t="shared" si="66"/>
        <v>0</v>
      </c>
      <c r="KB155" s="11">
        <f t="shared" si="66"/>
        <v>0</v>
      </c>
      <c r="KC155" s="11">
        <f t="shared" si="66"/>
        <v>0</v>
      </c>
      <c r="KD155" s="11">
        <f t="shared" si="66"/>
        <v>0</v>
      </c>
      <c r="KE155" s="11">
        <f t="shared" si="66"/>
        <v>0</v>
      </c>
      <c r="KF155" s="11">
        <f t="shared" si="66"/>
        <v>0</v>
      </c>
      <c r="KG155" s="11">
        <f t="shared" si="66"/>
        <v>0</v>
      </c>
      <c r="KH155" s="11">
        <f t="shared" si="66"/>
        <v>0</v>
      </c>
      <c r="KI155" s="11">
        <f t="shared" si="66"/>
        <v>0</v>
      </c>
      <c r="KJ155" s="11">
        <f t="shared" si="66"/>
        <v>0</v>
      </c>
      <c r="KK155" s="11">
        <f t="shared" si="66"/>
        <v>0</v>
      </c>
      <c r="KL155" s="11">
        <f t="shared" si="66"/>
        <v>0</v>
      </c>
      <c r="KM155" s="11">
        <f t="shared" si="66"/>
        <v>0</v>
      </c>
      <c r="KN155" s="11">
        <f t="shared" si="66"/>
        <v>0</v>
      </c>
      <c r="KO155" s="11">
        <f t="shared" si="66"/>
        <v>0</v>
      </c>
      <c r="KP155" s="11">
        <f t="shared" si="66"/>
        <v>0</v>
      </c>
      <c r="KQ155" s="11">
        <f t="shared" si="66"/>
        <v>0</v>
      </c>
      <c r="KR155" s="11">
        <f t="shared" si="66"/>
        <v>0</v>
      </c>
      <c r="KS155" s="11">
        <f t="shared" si="66"/>
        <v>0</v>
      </c>
      <c r="KT155" s="11">
        <f t="shared" si="66"/>
        <v>0</v>
      </c>
      <c r="KU155" s="11">
        <f t="shared" si="66"/>
        <v>0</v>
      </c>
      <c r="KV155" s="11">
        <f t="shared" si="66"/>
        <v>0</v>
      </c>
      <c r="KW155" s="11">
        <f t="shared" si="66"/>
        <v>0</v>
      </c>
      <c r="KX155" s="11">
        <f t="shared" si="66"/>
        <v>0</v>
      </c>
      <c r="KY155" s="11">
        <f t="shared" si="66"/>
        <v>0</v>
      </c>
      <c r="KZ155" s="11">
        <f t="shared" si="66"/>
        <v>0</v>
      </c>
      <c r="LA155" s="11">
        <f t="shared" si="66"/>
        <v>0</v>
      </c>
      <c r="LB155" s="11">
        <f t="shared" si="66"/>
        <v>0</v>
      </c>
      <c r="LC155" s="11">
        <f t="shared" si="66"/>
        <v>0</v>
      </c>
      <c r="LD155" s="11">
        <f t="shared" si="66"/>
        <v>0</v>
      </c>
      <c r="LE155" s="11">
        <f t="shared" si="66"/>
        <v>0</v>
      </c>
      <c r="LF155" s="11">
        <f t="shared" si="66"/>
        <v>0</v>
      </c>
      <c r="LG155" s="11">
        <f t="shared" si="66"/>
        <v>0</v>
      </c>
      <c r="LH155" s="11">
        <f t="shared" si="66"/>
        <v>0</v>
      </c>
      <c r="LI155" s="11">
        <f t="shared" si="66"/>
        <v>0</v>
      </c>
      <c r="LJ155" s="11">
        <f t="shared" si="66"/>
        <v>0</v>
      </c>
      <c r="LK155" s="11">
        <f t="shared" si="66"/>
        <v>0</v>
      </c>
      <c r="LL155" s="11">
        <f t="shared" si="66"/>
        <v>0</v>
      </c>
      <c r="LM155" s="11">
        <f t="shared" ref="LM155:NX155" si="67">LM156-LM38</f>
        <v>0</v>
      </c>
      <c r="LN155" s="11">
        <f t="shared" si="67"/>
        <v>0</v>
      </c>
      <c r="LO155" s="11">
        <f t="shared" si="67"/>
        <v>0</v>
      </c>
      <c r="LP155" s="11">
        <f t="shared" si="67"/>
        <v>0</v>
      </c>
      <c r="LQ155" s="11">
        <f t="shared" si="67"/>
        <v>0</v>
      </c>
      <c r="LR155" s="11">
        <f t="shared" si="67"/>
        <v>0</v>
      </c>
      <c r="LS155" s="11">
        <f t="shared" si="67"/>
        <v>0</v>
      </c>
      <c r="LT155" s="11">
        <f t="shared" si="67"/>
        <v>0</v>
      </c>
      <c r="LU155" s="11">
        <f t="shared" si="67"/>
        <v>0</v>
      </c>
      <c r="LV155" s="11">
        <f t="shared" si="67"/>
        <v>0</v>
      </c>
      <c r="LW155" s="11">
        <f t="shared" si="67"/>
        <v>0</v>
      </c>
      <c r="LX155" s="11">
        <f t="shared" si="67"/>
        <v>0</v>
      </c>
      <c r="LY155" s="11">
        <f t="shared" si="67"/>
        <v>0</v>
      </c>
      <c r="LZ155" s="11">
        <f t="shared" si="67"/>
        <v>0</v>
      </c>
      <c r="MA155" s="11">
        <f t="shared" si="67"/>
        <v>0</v>
      </c>
      <c r="MB155" s="11">
        <f t="shared" si="67"/>
        <v>0</v>
      </c>
      <c r="MC155" s="11">
        <f t="shared" si="67"/>
        <v>0</v>
      </c>
      <c r="MD155" s="11">
        <f t="shared" si="67"/>
        <v>0</v>
      </c>
      <c r="ME155" s="11">
        <f t="shared" si="67"/>
        <v>0</v>
      </c>
      <c r="MF155" s="11">
        <f t="shared" si="67"/>
        <v>0</v>
      </c>
      <c r="MG155" s="11">
        <f t="shared" si="67"/>
        <v>0</v>
      </c>
      <c r="MH155" s="11">
        <f t="shared" si="67"/>
        <v>0</v>
      </c>
      <c r="MI155" s="11">
        <f t="shared" si="67"/>
        <v>0</v>
      </c>
      <c r="MJ155" s="11">
        <f t="shared" si="67"/>
        <v>0</v>
      </c>
      <c r="MK155" s="11">
        <f t="shared" si="67"/>
        <v>0</v>
      </c>
      <c r="ML155" s="11">
        <f t="shared" si="67"/>
        <v>0</v>
      </c>
      <c r="MM155" s="11">
        <f t="shared" si="67"/>
        <v>0</v>
      </c>
      <c r="MN155" s="11">
        <f t="shared" si="67"/>
        <v>0</v>
      </c>
      <c r="MO155" s="11">
        <f t="shared" si="67"/>
        <v>0</v>
      </c>
      <c r="MP155" s="11">
        <f t="shared" si="67"/>
        <v>0</v>
      </c>
      <c r="MQ155" s="11">
        <f t="shared" si="67"/>
        <v>0</v>
      </c>
      <c r="MR155" s="11">
        <f t="shared" si="67"/>
        <v>0</v>
      </c>
      <c r="MS155" s="11">
        <f t="shared" si="67"/>
        <v>0</v>
      </c>
      <c r="MT155" s="11">
        <f t="shared" si="67"/>
        <v>0</v>
      </c>
      <c r="MU155" s="11">
        <f t="shared" si="67"/>
        <v>0</v>
      </c>
      <c r="MV155" s="11">
        <f t="shared" si="67"/>
        <v>0</v>
      </c>
      <c r="MW155" s="11">
        <f t="shared" si="67"/>
        <v>0</v>
      </c>
      <c r="MX155" s="11">
        <f t="shared" si="67"/>
        <v>0</v>
      </c>
      <c r="MY155" s="11">
        <f t="shared" si="67"/>
        <v>0</v>
      </c>
      <c r="MZ155" s="11">
        <f t="shared" si="67"/>
        <v>0</v>
      </c>
      <c r="NA155" s="11">
        <f t="shared" si="67"/>
        <v>0</v>
      </c>
      <c r="NB155" s="11">
        <f t="shared" si="67"/>
        <v>0</v>
      </c>
      <c r="NC155" s="11">
        <f t="shared" si="67"/>
        <v>0</v>
      </c>
      <c r="ND155" s="11">
        <f t="shared" si="67"/>
        <v>0</v>
      </c>
      <c r="NE155" s="11">
        <f t="shared" si="67"/>
        <v>0</v>
      </c>
      <c r="NF155" s="11">
        <f t="shared" si="67"/>
        <v>0</v>
      </c>
      <c r="NG155" s="11">
        <f t="shared" si="67"/>
        <v>0</v>
      </c>
      <c r="NH155" s="11">
        <f t="shared" si="67"/>
        <v>0</v>
      </c>
      <c r="NI155" s="11">
        <f t="shared" si="67"/>
        <v>0</v>
      </c>
      <c r="NJ155" s="11">
        <f t="shared" si="67"/>
        <v>0</v>
      </c>
      <c r="NK155" s="11">
        <f t="shared" si="67"/>
        <v>0</v>
      </c>
      <c r="NL155" s="11">
        <f t="shared" si="67"/>
        <v>0</v>
      </c>
      <c r="NM155" s="11">
        <f t="shared" si="67"/>
        <v>0</v>
      </c>
      <c r="NN155" s="11">
        <f t="shared" si="67"/>
        <v>0</v>
      </c>
      <c r="NO155" s="11">
        <f t="shared" si="67"/>
        <v>0</v>
      </c>
      <c r="NP155" s="11">
        <f t="shared" si="67"/>
        <v>0</v>
      </c>
      <c r="NQ155" s="11">
        <f t="shared" si="67"/>
        <v>0</v>
      </c>
      <c r="NR155" s="11">
        <f t="shared" si="67"/>
        <v>0</v>
      </c>
      <c r="NS155" s="11">
        <f t="shared" si="67"/>
        <v>0</v>
      </c>
      <c r="NT155" s="11">
        <f t="shared" si="67"/>
        <v>0</v>
      </c>
      <c r="NU155" s="11">
        <f t="shared" si="67"/>
        <v>0</v>
      </c>
      <c r="NV155" s="11">
        <f t="shared" si="67"/>
        <v>0</v>
      </c>
      <c r="NW155" s="11">
        <f t="shared" si="67"/>
        <v>0</v>
      </c>
      <c r="NX155" s="11">
        <f t="shared" si="67"/>
        <v>0</v>
      </c>
      <c r="NY155" s="11">
        <f t="shared" ref="NY155:QJ155" si="68">NY156-NY38</f>
        <v>0</v>
      </c>
      <c r="NZ155" s="11">
        <f t="shared" si="68"/>
        <v>0</v>
      </c>
      <c r="OA155" s="11">
        <f t="shared" si="68"/>
        <v>0</v>
      </c>
      <c r="OB155" s="11">
        <f t="shared" si="68"/>
        <v>0</v>
      </c>
      <c r="OC155" s="11">
        <f t="shared" si="68"/>
        <v>0</v>
      </c>
      <c r="OD155" s="11">
        <f t="shared" si="68"/>
        <v>0</v>
      </c>
      <c r="OE155" s="11">
        <f t="shared" si="68"/>
        <v>0</v>
      </c>
      <c r="OF155" s="11">
        <f t="shared" si="68"/>
        <v>0</v>
      </c>
      <c r="OG155" s="11">
        <f t="shared" si="68"/>
        <v>0</v>
      </c>
      <c r="OH155" s="11">
        <f t="shared" si="68"/>
        <v>0</v>
      </c>
      <c r="OI155" s="11">
        <f t="shared" si="68"/>
        <v>0</v>
      </c>
      <c r="OJ155" s="11">
        <f t="shared" si="68"/>
        <v>0</v>
      </c>
      <c r="OK155" s="11">
        <f t="shared" si="68"/>
        <v>0</v>
      </c>
      <c r="OL155" s="11">
        <f t="shared" si="68"/>
        <v>0</v>
      </c>
      <c r="OM155" s="11">
        <f t="shared" si="68"/>
        <v>0</v>
      </c>
      <c r="ON155" s="11">
        <f t="shared" si="68"/>
        <v>0</v>
      </c>
      <c r="OO155" s="11">
        <f t="shared" si="68"/>
        <v>0</v>
      </c>
      <c r="OP155" s="11">
        <f t="shared" si="68"/>
        <v>0</v>
      </c>
      <c r="OQ155" s="11">
        <f t="shared" si="68"/>
        <v>0</v>
      </c>
      <c r="OR155" s="11">
        <f t="shared" si="68"/>
        <v>0</v>
      </c>
      <c r="OS155" s="11">
        <f t="shared" si="68"/>
        <v>0</v>
      </c>
      <c r="OT155" s="11">
        <f t="shared" si="68"/>
        <v>0</v>
      </c>
      <c r="OU155" s="11">
        <f t="shared" si="68"/>
        <v>0</v>
      </c>
      <c r="OV155" s="11">
        <f t="shared" si="68"/>
        <v>0</v>
      </c>
      <c r="OW155" s="11">
        <f t="shared" si="68"/>
        <v>0</v>
      </c>
      <c r="OX155" s="11">
        <f t="shared" si="68"/>
        <v>0</v>
      </c>
      <c r="OY155" s="11">
        <f t="shared" si="68"/>
        <v>0</v>
      </c>
      <c r="OZ155" s="11">
        <f t="shared" si="68"/>
        <v>0</v>
      </c>
      <c r="PA155" s="11">
        <f t="shared" si="68"/>
        <v>0</v>
      </c>
      <c r="PB155" s="11">
        <f t="shared" si="68"/>
        <v>0</v>
      </c>
      <c r="PC155" s="11">
        <f t="shared" si="68"/>
        <v>0</v>
      </c>
      <c r="PD155" s="11">
        <f t="shared" si="68"/>
        <v>0</v>
      </c>
      <c r="PE155" s="11">
        <f t="shared" si="68"/>
        <v>0</v>
      </c>
      <c r="PF155" s="11">
        <f t="shared" si="68"/>
        <v>0</v>
      </c>
      <c r="PG155" s="11">
        <f t="shared" si="68"/>
        <v>0</v>
      </c>
      <c r="PH155" s="11">
        <f t="shared" si="68"/>
        <v>0</v>
      </c>
      <c r="PI155" s="11">
        <f t="shared" si="68"/>
        <v>0</v>
      </c>
      <c r="PJ155" s="11">
        <f t="shared" si="68"/>
        <v>0</v>
      </c>
      <c r="PK155" s="11">
        <f t="shared" si="68"/>
        <v>0</v>
      </c>
      <c r="PL155" s="11">
        <f t="shared" si="68"/>
        <v>0</v>
      </c>
      <c r="PM155" s="11">
        <f t="shared" si="68"/>
        <v>0</v>
      </c>
      <c r="PN155" s="11">
        <f t="shared" si="68"/>
        <v>0</v>
      </c>
      <c r="PO155" s="11">
        <f t="shared" si="68"/>
        <v>0</v>
      </c>
      <c r="PP155" s="11">
        <f t="shared" si="68"/>
        <v>0</v>
      </c>
      <c r="PQ155" s="11">
        <f t="shared" si="68"/>
        <v>0</v>
      </c>
      <c r="PR155" s="11">
        <f t="shared" si="68"/>
        <v>0</v>
      </c>
      <c r="PS155" s="11">
        <f t="shared" si="68"/>
        <v>0</v>
      </c>
      <c r="PT155" s="11">
        <f t="shared" si="68"/>
        <v>0</v>
      </c>
      <c r="PU155" s="11">
        <f t="shared" si="68"/>
        <v>0</v>
      </c>
      <c r="PV155" s="11">
        <f t="shared" si="68"/>
        <v>0</v>
      </c>
      <c r="PW155" s="11">
        <f t="shared" si="68"/>
        <v>0</v>
      </c>
      <c r="PX155" s="11">
        <f t="shared" si="68"/>
        <v>0</v>
      </c>
      <c r="PY155" s="11">
        <f t="shared" si="68"/>
        <v>0</v>
      </c>
      <c r="PZ155" s="11">
        <f t="shared" si="68"/>
        <v>0</v>
      </c>
      <c r="QA155" s="11">
        <f t="shared" si="68"/>
        <v>0</v>
      </c>
      <c r="QB155" s="11">
        <f t="shared" si="68"/>
        <v>0</v>
      </c>
      <c r="QC155" s="11">
        <f t="shared" si="68"/>
        <v>0</v>
      </c>
      <c r="QD155" s="11">
        <f t="shared" si="68"/>
        <v>0</v>
      </c>
      <c r="QE155" s="11">
        <f t="shared" si="68"/>
        <v>0</v>
      </c>
      <c r="QF155" s="11">
        <f t="shared" si="68"/>
        <v>0</v>
      </c>
      <c r="QG155" s="11">
        <f t="shared" si="68"/>
        <v>0</v>
      </c>
      <c r="QH155" s="11">
        <f t="shared" si="68"/>
        <v>0</v>
      </c>
      <c r="QI155" s="11">
        <f t="shared" si="68"/>
        <v>0</v>
      </c>
      <c r="QJ155" s="11">
        <f t="shared" si="68"/>
        <v>0</v>
      </c>
      <c r="QK155" s="11">
        <f t="shared" ref="QK155:SV155" si="69">QK156-QK38</f>
        <v>0</v>
      </c>
      <c r="QL155" s="11">
        <f t="shared" si="69"/>
        <v>0</v>
      </c>
      <c r="QM155" s="11">
        <f t="shared" si="69"/>
        <v>0</v>
      </c>
      <c r="QN155" s="11">
        <f t="shared" si="69"/>
        <v>0</v>
      </c>
      <c r="QO155" s="11">
        <f t="shared" si="69"/>
        <v>0</v>
      </c>
      <c r="QP155" s="11">
        <f t="shared" si="69"/>
        <v>0</v>
      </c>
      <c r="QQ155" s="11">
        <f t="shared" si="69"/>
        <v>0</v>
      </c>
      <c r="QR155" s="11">
        <f t="shared" si="69"/>
        <v>0</v>
      </c>
      <c r="QS155" s="11">
        <f t="shared" si="69"/>
        <v>0</v>
      </c>
      <c r="QT155" s="11">
        <f t="shared" si="69"/>
        <v>0</v>
      </c>
      <c r="QU155" s="11">
        <f t="shared" si="69"/>
        <v>0</v>
      </c>
      <c r="QV155" s="11">
        <f t="shared" si="69"/>
        <v>0</v>
      </c>
      <c r="QW155" s="11">
        <f t="shared" si="69"/>
        <v>0</v>
      </c>
      <c r="QX155" s="11">
        <f t="shared" si="69"/>
        <v>0</v>
      </c>
      <c r="QY155" s="11">
        <f t="shared" si="69"/>
        <v>0</v>
      </c>
      <c r="QZ155" s="11">
        <f t="shared" si="69"/>
        <v>0</v>
      </c>
      <c r="RA155" s="11">
        <f t="shared" si="69"/>
        <v>0</v>
      </c>
      <c r="RB155" s="11">
        <f t="shared" si="69"/>
        <v>0</v>
      </c>
      <c r="RC155" s="11">
        <f t="shared" si="69"/>
        <v>0</v>
      </c>
      <c r="RD155" s="11">
        <f t="shared" si="69"/>
        <v>0</v>
      </c>
      <c r="RE155" s="11">
        <f t="shared" si="69"/>
        <v>0</v>
      </c>
      <c r="RF155" s="11">
        <f t="shared" si="69"/>
        <v>0</v>
      </c>
      <c r="RG155" s="11">
        <f t="shared" si="69"/>
        <v>0</v>
      </c>
      <c r="RH155" s="11">
        <f t="shared" si="69"/>
        <v>0</v>
      </c>
      <c r="RI155" s="11">
        <f t="shared" si="69"/>
        <v>0</v>
      </c>
      <c r="RJ155" s="11">
        <f t="shared" si="69"/>
        <v>0</v>
      </c>
      <c r="RK155" s="11">
        <f t="shared" si="69"/>
        <v>0</v>
      </c>
      <c r="RL155" s="11">
        <f t="shared" si="69"/>
        <v>0</v>
      </c>
      <c r="RM155" s="11">
        <f t="shared" si="69"/>
        <v>0</v>
      </c>
      <c r="RN155" s="11">
        <f t="shared" si="69"/>
        <v>0</v>
      </c>
      <c r="RO155" s="11">
        <f t="shared" si="69"/>
        <v>0</v>
      </c>
      <c r="RP155" s="11">
        <f t="shared" si="69"/>
        <v>0</v>
      </c>
      <c r="RQ155" s="11">
        <f t="shared" si="69"/>
        <v>0</v>
      </c>
      <c r="RR155" s="11">
        <f t="shared" si="69"/>
        <v>0</v>
      </c>
      <c r="RS155" s="11">
        <f t="shared" si="69"/>
        <v>0</v>
      </c>
      <c r="RT155" s="11">
        <f t="shared" si="69"/>
        <v>0</v>
      </c>
      <c r="RU155" s="11">
        <f t="shared" si="69"/>
        <v>0</v>
      </c>
      <c r="RV155" s="11">
        <f t="shared" si="69"/>
        <v>0</v>
      </c>
      <c r="RW155" s="11">
        <f t="shared" si="69"/>
        <v>0</v>
      </c>
      <c r="RX155" s="11">
        <f t="shared" si="69"/>
        <v>0</v>
      </c>
      <c r="RY155" s="11">
        <f t="shared" si="69"/>
        <v>0</v>
      </c>
      <c r="RZ155" s="11">
        <f t="shared" si="69"/>
        <v>0</v>
      </c>
      <c r="SA155" s="11">
        <f t="shared" si="69"/>
        <v>0</v>
      </c>
      <c r="SB155" s="11">
        <f t="shared" si="69"/>
        <v>0</v>
      </c>
      <c r="SC155" s="11">
        <f t="shared" si="69"/>
        <v>0</v>
      </c>
      <c r="SD155" s="11">
        <f t="shared" si="69"/>
        <v>0</v>
      </c>
      <c r="SE155" s="11">
        <f t="shared" si="69"/>
        <v>0</v>
      </c>
      <c r="SF155" s="11">
        <f t="shared" si="69"/>
        <v>0</v>
      </c>
      <c r="SG155" s="11">
        <f t="shared" si="69"/>
        <v>0</v>
      </c>
      <c r="SH155" s="11">
        <f t="shared" si="69"/>
        <v>0</v>
      </c>
      <c r="SI155" s="11">
        <f t="shared" si="69"/>
        <v>0</v>
      </c>
      <c r="SJ155" s="11">
        <f t="shared" si="69"/>
        <v>0</v>
      </c>
      <c r="SK155" s="11">
        <f t="shared" si="69"/>
        <v>0</v>
      </c>
      <c r="SL155" s="11">
        <f t="shared" si="69"/>
        <v>0</v>
      </c>
      <c r="SM155" s="11">
        <f t="shared" si="69"/>
        <v>0</v>
      </c>
      <c r="SN155" s="11">
        <f t="shared" si="69"/>
        <v>0</v>
      </c>
      <c r="SO155" s="11">
        <f t="shared" si="69"/>
        <v>0</v>
      </c>
      <c r="SP155" s="11">
        <f t="shared" si="69"/>
        <v>0</v>
      </c>
      <c r="SQ155" s="11">
        <f t="shared" si="69"/>
        <v>0</v>
      </c>
      <c r="SR155" s="11">
        <f t="shared" si="69"/>
        <v>0</v>
      </c>
      <c r="SS155" s="11">
        <f t="shared" si="69"/>
        <v>0</v>
      </c>
      <c r="ST155" s="11">
        <f t="shared" si="69"/>
        <v>0</v>
      </c>
      <c r="SU155" s="11">
        <f t="shared" si="69"/>
        <v>0</v>
      </c>
      <c r="SV155" s="11">
        <f t="shared" si="69"/>
        <v>0</v>
      </c>
      <c r="SW155" s="11">
        <f t="shared" ref="SW155:VH155" si="70">SW156-SW38</f>
        <v>0</v>
      </c>
      <c r="SX155" s="11">
        <f t="shared" si="70"/>
        <v>0</v>
      </c>
      <c r="SY155" s="11">
        <f t="shared" si="70"/>
        <v>0</v>
      </c>
      <c r="SZ155" s="11">
        <f t="shared" si="70"/>
        <v>0</v>
      </c>
      <c r="TA155" s="11">
        <f t="shared" si="70"/>
        <v>0</v>
      </c>
      <c r="TB155" s="11">
        <f t="shared" si="70"/>
        <v>0</v>
      </c>
      <c r="TC155" s="11">
        <f t="shared" si="70"/>
        <v>0</v>
      </c>
      <c r="TD155" s="11">
        <f t="shared" si="70"/>
        <v>0</v>
      </c>
      <c r="TE155" s="11">
        <f t="shared" si="70"/>
        <v>0</v>
      </c>
      <c r="TF155" s="11">
        <f t="shared" si="70"/>
        <v>0</v>
      </c>
      <c r="TG155" s="11">
        <f t="shared" si="70"/>
        <v>0</v>
      </c>
      <c r="TH155" s="11">
        <f t="shared" si="70"/>
        <v>0</v>
      </c>
      <c r="TI155" s="11">
        <f t="shared" si="70"/>
        <v>0</v>
      </c>
      <c r="TJ155" s="11">
        <f t="shared" si="70"/>
        <v>0</v>
      </c>
      <c r="TK155" s="11">
        <f t="shared" si="70"/>
        <v>0</v>
      </c>
      <c r="TL155" s="11">
        <f t="shared" si="70"/>
        <v>0</v>
      </c>
      <c r="TM155" s="11">
        <f t="shared" si="70"/>
        <v>0</v>
      </c>
      <c r="TN155" s="11">
        <f t="shared" si="70"/>
        <v>0</v>
      </c>
      <c r="TO155" s="11">
        <f t="shared" si="70"/>
        <v>0</v>
      </c>
      <c r="TP155" s="11">
        <f t="shared" si="70"/>
        <v>0</v>
      </c>
      <c r="TQ155" s="11">
        <f t="shared" si="70"/>
        <v>0</v>
      </c>
      <c r="TR155" s="11">
        <f t="shared" si="70"/>
        <v>0</v>
      </c>
      <c r="TS155" s="11">
        <f t="shared" si="70"/>
        <v>0</v>
      </c>
      <c r="TT155" s="11">
        <f t="shared" si="70"/>
        <v>0</v>
      </c>
      <c r="TU155" s="11">
        <f t="shared" si="70"/>
        <v>0</v>
      </c>
      <c r="TV155" s="11">
        <f t="shared" si="70"/>
        <v>0</v>
      </c>
      <c r="TW155" s="11">
        <f t="shared" si="70"/>
        <v>0</v>
      </c>
      <c r="TX155" s="11">
        <f t="shared" si="70"/>
        <v>0</v>
      </c>
      <c r="TY155" s="11">
        <f t="shared" si="70"/>
        <v>0</v>
      </c>
      <c r="TZ155" s="11">
        <f t="shared" si="70"/>
        <v>0</v>
      </c>
      <c r="UA155" s="11">
        <f t="shared" si="70"/>
        <v>0</v>
      </c>
      <c r="UB155" s="11">
        <f t="shared" si="70"/>
        <v>0</v>
      </c>
      <c r="UC155" s="11">
        <f t="shared" si="70"/>
        <v>0</v>
      </c>
      <c r="UD155" s="11">
        <f t="shared" si="70"/>
        <v>0</v>
      </c>
      <c r="UE155" s="11">
        <f t="shared" si="70"/>
        <v>0</v>
      </c>
      <c r="UF155" s="11">
        <f t="shared" si="70"/>
        <v>0</v>
      </c>
      <c r="UG155" s="11">
        <f t="shared" si="70"/>
        <v>0</v>
      </c>
      <c r="UH155" s="11">
        <f t="shared" si="70"/>
        <v>0</v>
      </c>
      <c r="UI155" s="11">
        <f t="shared" si="70"/>
        <v>0</v>
      </c>
      <c r="UJ155" s="11">
        <f t="shared" si="70"/>
        <v>0</v>
      </c>
      <c r="UK155" s="11">
        <f t="shared" si="70"/>
        <v>0</v>
      </c>
      <c r="UL155" s="11">
        <f t="shared" si="70"/>
        <v>0</v>
      </c>
      <c r="UM155" s="11">
        <f t="shared" si="70"/>
        <v>0</v>
      </c>
      <c r="UN155" s="11">
        <f t="shared" si="70"/>
        <v>0</v>
      </c>
      <c r="UO155" s="11">
        <f t="shared" si="70"/>
        <v>0</v>
      </c>
      <c r="UP155" s="11">
        <f t="shared" si="70"/>
        <v>0</v>
      </c>
      <c r="UQ155" s="11">
        <f t="shared" si="70"/>
        <v>0</v>
      </c>
      <c r="UR155" s="11">
        <f t="shared" si="70"/>
        <v>0</v>
      </c>
      <c r="US155" s="11">
        <f t="shared" si="70"/>
        <v>0</v>
      </c>
      <c r="UT155" s="11">
        <f t="shared" si="70"/>
        <v>0</v>
      </c>
      <c r="UU155" s="11">
        <f t="shared" si="70"/>
        <v>0</v>
      </c>
      <c r="UV155" s="11">
        <f t="shared" si="70"/>
        <v>0</v>
      </c>
      <c r="UW155" s="11">
        <f t="shared" si="70"/>
        <v>0</v>
      </c>
      <c r="UX155" s="11">
        <f t="shared" si="70"/>
        <v>0</v>
      </c>
      <c r="UY155" s="11">
        <f t="shared" si="70"/>
        <v>0</v>
      </c>
      <c r="UZ155" s="11">
        <f t="shared" si="70"/>
        <v>0</v>
      </c>
      <c r="VA155" s="11">
        <f t="shared" si="70"/>
        <v>0</v>
      </c>
      <c r="VB155" s="11">
        <f t="shared" si="70"/>
        <v>0</v>
      </c>
      <c r="VC155" s="11">
        <f t="shared" si="70"/>
        <v>0</v>
      </c>
      <c r="VD155" s="11">
        <f t="shared" si="70"/>
        <v>0</v>
      </c>
      <c r="VE155" s="11">
        <f t="shared" si="70"/>
        <v>0</v>
      </c>
      <c r="VF155" s="11">
        <f t="shared" si="70"/>
        <v>0</v>
      </c>
      <c r="VG155" s="11">
        <f t="shared" si="70"/>
        <v>0</v>
      </c>
      <c r="VH155" s="11">
        <f t="shared" si="70"/>
        <v>0</v>
      </c>
      <c r="VI155" s="11">
        <f t="shared" ref="VI155:XT155" si="71">VI156-VI38</f>
        <v>0</v>
      </c>
      <c r="VJ155" s="11">
        <f t="shared" si="71"/>
        <v>0</v>
      </c>
      <c r="VK155" s="11">
        <f t="shared" si="71"/>
        <v>0</v>
      </c>
      <c r="VL155" s="11">
        <f t="shared" si="71"/>
        <v>0</v>
      </c>
      <c r="VM155" s="11">
        <f t="shared" si="71"/>
        <v>0</v>
      </c>
      <c r="VN155" s="11">
        <f t="shared" si="71"/>
        <v>0</v>
      </c>
      <c r="VO155" s="11">
        <f t="shared" si="71"/>
        <v>0</v>
      </c>
      <c r="VP155" s="11">
        <f t="shared" si="71"/>
        <v>0</v>
      </c>
      <c r="VQ155" s="11">
        <f t="shared" si="71"/>
        <v>0</v>
      </c>
      <c r="VR155" s="11">
        <f t="shared" si="71"/>
        <v>0</v>
      </c>
      <c r="VS155" s="11">
        <f t="shared" si="71"/>
        <v>0</v>
      </c>
      <c r="VT155" s="11">
        <f t="shared" si="71"/>
        <v>0</v>
      </c>
      <c r="VU155" s="11">
        <f t="shared" si="71"/>
        <v>0</v>
      </c>
      <c r="VV155" s="11">
        <f t="shared" si="71"/>
        <v>0</v>
      </c>
      <c r="VW155" s="11">
        <f t="shared" si="71"/>
        <v>0</v>
      </c>
      <c r="VX155" s="11">
        <f t="shared" si="71"/>
        <v>0</v>
      </c>
      <c r="VY155" s="11">
        <f t="shared" si="71"/>
        <v>0</v>
      </c>
      <c r="VZ155" s="11">
        <f t="shared" si="71"/>
        <v>0</v>
      </c>
      <c r="WA155" s="11">
        <f t="shared" si="71"/>
        <v>0</v>
      </c>
      <c r="WB155" s="11">
        <f t="shared" si="71"/>
        <v>0</v>
      </c>
      <c r="WC155" s="11">
        <f t="shared" si="71"/>
        <v>0</v>
      </c>
      <c r="WD155" s="11">
        <f t="shared" si="71"/>
        <v>0</v>
      </c>
      <c r="WE155" s="11">
        <f t="shared" si="71"/>
        <v>0</v>
      </c>
      <c r="WF155" s="11">
        <f t="shared" si="71"/>
        <v>0</v>
      </c>
      <c r="WG155" s="11">
        <f t="shared" si="71"/>
        <v>0</v>
      </c>
      <c r="WH155" s="11">
        <f t="shared" si="71"/>
        <v>0</v>
      </c>
      <c r="WI155" s="11">
        <f t="shared" si="71"/>
        <v>0</v>
      </c>
      <c r="WJ155" s="11">
        <f t="shared" si="71"/>
        <v>0</v>
      </c>
      <c r="WK155" s="11">
        <f t="shared" si="71"/>
        <v>0</v>
      </c>
      <c r="WL155" s="11">
        <f t="shared" si="71"/>
        <v>0</v>
      </c>
      <c r="WM155" s="11">
        <f t="shared" si="71"/>
        <v>0</v>
      </c>
      <c r="WN155" s="11">
        <f t="shared" si="71"/>
        <v>0</v>
      </c>
      <c r="WO155" s="11">
        <f t="shared" si="71"/>
        <v>0</v>
      </c>
      <c r="WP155" s="11">
        <f t="shared" si="71"/>
        <v>0</v>
      </c>
      <c r="WQ155" s="11">
        <f t="shared" si="71"/>
        <v>0</v>
      </c>
      <c r="WR155" s="11">
        <f t="shared" si="71"/>
        <v>0</v>
      </c>
      <c r="WS155" s="11">
        <f t="shared" si="71"/>
        <v>0</v>
      </c>
      <c r="WT155" s="11">
        <f t="shared" si="71"/>
        <v>0</v>
      </c>
      <c r="WU155" s="11">
        <f t="shared" si="71"/>
        <v>0</v>
      </c>
      <c r="WV155" s="11">
        <f t="shared" si="71"/>
        <v>0</v>
      </c>
      <c r="WW155" s="11">
        <f t="shared" si="71"/>
        <v>0</v>
      </c>
      <c r="WX155" s="11">
        <f t="shared" si="71"/>
        <v>0</v>
      </c>
      <c r="WY155" s="11">
        <f t="shared" si="71"/>
        <v>0</v>
      </c>
      <c r="WZ155" s="11">
        <f t="shared" si="71"/>
        <v>0</v>
      </c>
      <c r="XA155" s="11">
        <f t="shared" si="71"/>
        <v>0</v>
      </c>
      <c r="XB155" s="11">
        <f t="shared" si="71"/>
        <v>0</v>
      </c>
      <c r="XC155" s="11">
        <f t="shared" si="71"/>
        <v>0</v>
      </c>
      <c r="XD155" s="11">
        <f t="shared" si="71"/>
        <v>0</v>
      </c>
      <c r="XE155" s="11">
        <f t="shared" si="71"/>
        <v>0</v>
      </c>
      <c r="XF155" s="11">
        <f t="shared" si="71"/>
        <v>0</v>
      </c>
      <c r="XG155" s="11">
        <f t="shared" si="71"/>
        <v>0</v>
      </c>
      <c r="XH155" s="11">
        <f t="shared" si="71"/>
        <v>0</v>
      </c>
      <c r="XI155" s="11">
        <f t="shared" si="71"/>
        <v>0</v>
      </c>
      <c r="XJ155" s="11">
        <f t="shared" si="71"/>
        <v>0</v>
      </c>
      <c r="XK155" s="11">
        <f t="shared" si="71"/>
        <v>0</v>
      </c>
      <c r="XL155" s="11">
        <f t="shared" si="71"/>
        <v>0</v>
      </c>
      <c r="XM155" s="11">
        <f t="shared" si="71"/>
        <v>0</v>
      </c>
      <c r="XN155" s="11">
        <f t="shared" si="71"/>
        <v>0</v>
      </c>
      <c r="XO155" s="11">
        <f t="shared" si="71"/>
        <v>0</v>
      </c>
      <c r="XP155" s="11">
        <f t="shared" si="71"/>
        <v>0</v>
      </c>
      <c r="XQ155" s="11">
        <f t="shared" si="71"/>
        <v>0</v>
      </c>
      <c r="XR155" s="11">
        <f t="shared" si="71"/>
        <v>0</v>
      </c>
      <c r="XS155" s="11">
        <f t="shared" si="71"/>
        <v>0</v>
      </c>
      <c r="XT155" s="11">
        <f t="shared" si="71"/>
        <v>0</v>
      </c>
      <c r="XU155" s="11">
        <f t="shared" ref="XU155:AAF155" si="72">XU156-XU38</f>
        <v>0</v>
      </c>
      <c r="XV155" s="11">
        <f t="shared" si="72"/>
        <v>0</v>
      </c>
      <c r="XW155" s="11">
        <f t="shared" si="72"/>
        <v>0</v>
      </c>
      <c r="XX155" s="11">
        <f t="shared" si="72"/>
        <v>0</v>
      </c>
      <c r="XY155" s="11">
        <f t="shared" si="72"/>
        <v>0</v>
      </c>
      <c r="XZ155" s="11">
        <f t="shared" si="72"/>
        <v>0</v>
      </c>
      <c r="YA155" s="11">
        <f t="shared" si="72"/>
        <v>0</v>
      </c>
      <c r="YB155" s="11">
        <f t="shared" si="72"/>
        <v>0</v>
      </c>
      <c r="YC155" s="11">
        <f t="shared" si="72"/>
        <v>0</v>
      </c>
      <c r="YD155" s="11">
        <f t="shared" si="72"/>
        <v>0</v>
      </c>
      <c r="YE155" s="11">
        <f t="shared" si="72"/>
        <v>0</v>
      </c>
      <c r="YF155" s="11">
        <f t="shared" si="72"/>
        <v>0</v>
      </c>
      <c r="YG155" s="11">
        <f t="shared" si="72"/>
        <v>0</v>
      </c>
      <c r="YH155" s="11">
        <f t="shared" si="72"/>
        <v>0</v>
      </c>
      <c r="YI155" s="11">
        <f t="shared" si="72"/>
        <v>0</v>
      </c>
      <c r="YJ155" s="11">
        <f t="shared" si="72"/>
        <v>0</v>
      </c>
      <c r="YK155" s="11">
        <f t="shared" si="72"/>
        <v>0</v>
      </c>
      <c r="YL155" s="11">
        <f t="shared" si="72"/>
        <v>0</v>
      </c>
      <c r="YM155" s="11">
        <f t="shared" si="72"/>
        <v>0</v>
      </c>
      <c r="YN155" s="11">
        <f t="shared" si="72"/>
        <v>0</v>
      </c>
      <c r="YO155" s="11">
        <f t="shared" si="72"/>
        <v>0</v>
      </c>
      <c r="YP155" s="11">
        <f t="shared" si="72"/>
        <v>0</v>
      </c>
      <c r="YQ155" s="11">
        <f t="shared" si="72"/>
        <v>0</v>
      </c>
      <c r="YR155" s="11">
        <f t="shared" si="72"/>
        <v>0</v>
      </c>
      <c r="YS155" s="11">
        <f t="shared" si="72"/>
        <v>0</v>
      </c>
      <c r="YT155" s="11">
        <f t="shared" si="72"/>
        <v>0</v>
      </c>
      <c r="YU155" s="11">
        <f t="shared" si="72"/>
        <v>0</v>
      </c>
      <c r="YV155" s="11">
        <f t="shared" si="72"/>
        <v>0</v>
      </c>
      <c r="YW155" s="11">
        <f t="shared" si="72"/>
        <v>0</v>
      </c>
      <c r="YX155" s="11">
        <f t="shared" si="72"/>
        <v>0</v>
      </c>
      <c r="YY155" s="11">
        <f t="shared" si="72"/>
        <v>0</v>
      </c>
      <c r="YZ155" s="11">
        <f t="shared" si="72"/>
        <v>0</v>
      </c>
      <c r="ZA155" s="11">
        <f t="shared" si="72"/>
        <v>0</v>
      </c>
      <c r="ZB155" s="11">
        <f t="shared" si="72"/>
        <v>0</v>
      </c>
      <c r="ZC155" s="11">
        <f t="shared" si="72"/>
        <v>0</v>
      </c>
      <c r="ZD155" s="11">
        <f t="shared" si="72"/>
        <v>0</v>
      </c>
      <c r="ZE155" s="11">
        <f t="shared" si="72"/>
        <v>0</v>
      </c>
      <c r="ZF155" s="11">
        <f t="shared" si="72"/>
        <v>0</v>
      </c>
      <c r="ZG155" s="11">
        <f t="shared" si="72"/>
        <v>0</v>
      </c>
      <c r="ZH155" s="11">
        <f t="shared" si="72"/>
        <v>0</v>
      </c>
      <c r="ZI155" s="11">
        <f t="shared" si="72"/>
        <v>0</v>
      </c>
      <c r="ZJ155" s="11">
        <f t="shared" si="72"/>
        <v>0</v>
      </c>
      <c r="ZK155" s="11">
        <f t="shared" si="72"/>
        <v>0</v>
      </c>
      <c r="ZL155" s="11">
        <f t="shared" si="72"/>
        <v>0</v>
      </c>
      <c r="ZM155" s="11">
        <f t="shared" si="72"/>
        <v>0</v>
      </c>
      <c r="ZN155" s="11">
        <f t="shared" si="72"/>
        <v>0</v>
      </c>
      <c r="ZO155" s="11">
        <f t="shared" si="72"/>
        <v>0</v>
      </c>
      <c r="ZP155" s="11">
        <f t="shared" si="72"/>
        <v>0</v>
      </c>
      <c r="ZQ155" s="11">
        <f t="shared" si="72"/>
        <v>0</v>
      </c>
      <c r="ZR155" s="11">
        <f t="shared" si="72"/>
        <v>0</v>
      </c>
      <c r="ZS155" s="11">
        <f t="shared" si="72"/>
        <v>0</v>
      </c>
      <c r="ZT155" s="11">
        <f t="shared" si="72"/>
        <v>0</v>
      </c>
      <c r="ZU155" s="11">
        <f t="shared" si="72"/>
        <v>0</v>
      </c>
      <c r="ZV155" s="11">
        <f t="shared" si="72"/>
        <v>0</v>
      </c>
      <c r="ZW155" s="11">
        <f t="shared" si="72"/>
        <v>0</v>
      </c>
      <c r="ZX155" s="11">
        <f t="shared" si="72"/>
        <v>0</v>
      </c>
      <c r="ZY155" s="11">
        <f t="shared" si="72"/>
        <v>0</v>
      </c>
      <c r="ZZ155" s="11">
        <f t="shared" si="72"/>
        <v>0</v>
      </c>
      <c r="AAA155" s="11">
        <f t="shared" si="72"/>
        <v>0</v>
      </c>
      <c r="AAB155" s="11">
        <f t="shared" si="72"/>
        <v>0</v>
      </c>
      <c r="AAC155" s="11">
        <f t="shared" si="72"/>
        <v>0</v>
      </c>
      <c r="AAD155" s="11">
        <f t="shared" si="72"/>
        <v>0</v>
      </c>
      <c r="AAE155" s="11">
        <f t="shared" si="72"/>
        <v>0</v>
      </c>
      <c r="AAF155" s="11">
        <f t="shared" si="72"/>
        <v>0</v>
      </c>
      <c r="AAG155" s="11">
        <f t="shared" ref="AAG155:ACR155" si="73">AAG156-AAG38</f>
        <v>0</v>
      </c>
      <c r="AAH155" s="11">
        <f t="shared" si="73"/>
        <v>0</v>
      </c>
      <c r="AAI155" s="11">
        <f t="shared" si="73"/>
        <v>0</v>
      </c>
      <c r="AAJ155" s="11">
        <f t="shared" si="73"/>
        <v>0</v>
      </c>
      <c r="AAK155" s="11">
        <f t="shared" si="73"/>
        <v>0</v>
      </c>
      <c r="AAL155" s="11">
        <f t="shared" si="73"/>
        <v>0</v>
      </c>
      <c r="AAM155" s="11">
        <f t="shared" si="73"/>
        <v>0</v>
      </c>
      <c r="AAN155" s="11">
        <f t="shared" si="73"/>
        <v>0</v>
      </c>
      <c r="AAO155" s="11">
        <f t="shared" si="73"/>
        <v>0</v>
      </c>
      <c r="AAP155" s="11">
        <f t="shared" si="73"/>
        <v>0</v>
      </c>
      <c r="AAQ155" s="11">
        <f t="shared" si="73"/>
        <v>0</v>
      </c>
      <c r="AAR155" s="11">
        <f t="shared" si="73"/>
        <v>0</v>
      </c>
      <c r="AAS155" s="11">
        <f t="shared" si="73"/>
        <v>0</v>
      </c>
      <c r="AAT155" s="11">
        <f t="shared" si="73"/>
        <v>0</v>
      </c>
      <c r="AAU155" s="11">
        <f t="shared" si="73"/>
        <v>0</v>
      </c>
      <c r="AAV155" s="11">
        <f t="shared" si="73"/>
        <v>0</v>
      </c>
      <c r="AAW155" s="11">
        <f t="shared" si="73"/>
        <v>0</v>
      </c>
      <c r="AAX155" s="11">
        <f t="shared" si="73"/>
        <v>0</v>
      </c>
      <c r="AAY155" s="11">
        <f t="shared" si="73"/>
        <v>0</v>
      </c>
      <c r="AAZ155" s="11">
        <f t="shared" si="73"/>
        <v>0</v>
      </c>
      <c r="ABA155" s="11">
        <f t="shared" si="73"/>
        <v>0</v>
      </c>
      <c r="ABB155" s="11">
        <f t="shared" si="73"/>
        <v>0</v>
      </c>
      <c r="ABC155" s="11">
        <f t="shared" si="73"/>
        <v>0</v>
      </c>
      <c r="ABD155" s="11">
        <f t="shared" si="73"/>
        <v>0</v>
      </c>
      <c r="ABE155" s="11">
        <f t="shared" si="73"/>
        <v>0</v>
      </c>
      <c r="ABF155" s="11">
        <f t="shared" si="73"/>
        <v>0</v>
      </c>
      <c r="ABG155" s="11">
        <f t="shared" si="73"/>
        <v>0</v>
      </c>
      <c r="ABH155" s="11">
        <f t="shared" si="73"/>
        <v>0</v>
      </c>
      <c r="ABI155" s="11">
        <f t="shared" si="73"/>
        <v>0</v>
      </c>
      <c r="ABJ155" s="11">
        <f t="shared" si="73"/>
        <v>0</v>
      </c>
      <c r="ABK155" s="11">
        <f t="shared" si="73"/>
        <v>0</v>
      </c>
      <c r="ABL155" s="11">
        <f t="shared" si="73"/>
        <v>0</v>
      </c>
      <c r="ABM155" s="11">
        <f t="shared" si="73"/>
        <v>0</v>
      </c>
      <c r="ABN155" s="11">
        <f t="shared" si="73"/>
        <v>0</v>
      </c>
      <c r="ABO155" s="11">
        <f t="shared" si="73"/>
        <v>0</v>
      </c>
      <c r="ABP155" s="11">
        <f t="shared" si="73"/>
        <v>0</v>
      </c>
      <c r="ABQ155" s="11">
        <f t="shared" si="73"/>
        <v>0</v>
      </c>
      <c r="ABR155" s="11">
        <f t="shared" si="73"/>
        <v>0</v>
      </c>
      <c r="ABS155" s="11">
        <f t="shared" si="73"/>
        <v>0</v>
      </c>
      <c r="ABT155" s="11">
        <f t="shared" si="73"/>
        <v>0</v>
      </c>
      <c r="ABU155" s="11">
        <f t="shared" si="73"/>
        <v>0</v>
      </c>
      <c r="ABV155" s="11">
        <f t="shared" si="73"/>
        <v>0</v>
      </c>
      <c r="ABW155" s="11">
        <f t="shared" si="73"/>
        <v>0</v>
      </c>
      <c r="ABX155" s="11">
        <f t="shared" si="73"/>
        <v>0</v>
      </c>
      <c r="ABY155" s="11">
        <f t="shared" si="73"/>
        <v>0</v>
      </c>
      <c r="ABZ155" s="11">
        <f t="shared" si="73"/>
        <v>0</v>
      </c>
      <c r="ACA155" s="11">
        <f t="shared" si="73"/>
        <v>0</v>
      </c>
      <c r="ACB155" s="11">
        <f t="shared" si="73"/>
        <v>0</v>
      </c>
      <c r="ACC155" s="11">
        <f t="shared" si="73"/>
        <v>0</v>
      </c>
      <c r="ACD155" s="11">
        <f t="shared" si="73"/>
        <v>0</v>
      </c>
      <c r="ACE155" s="11">
        <f t="shared" si="73"/>
        <v>0</v>
      </c>
      <c r="ACF155" s="11">
        <f t="shared" si="73"/>
        <v>0</v>
      </c>
      <c r="ACG155" s="11">
        <f t="shared" si="73"/>
        <v>0</v>
      </c>
      <c r="ACH155" s="11">
        <f t="shared" si="73"/>
        <v>0</v>
      </c>
      <c r="ACI155" s="11">
        <f t="shared" si="73"/>
        <v>0</v>
      </c>
      <c r="ACJ155" s="11">
        <f t="shared" si="73"/>
        <v>0</v>
      </c>
      <c r="ACK155" s="11">
        <f t="shared" si="73"/>
        <v>0</v>
      </c>
      <c r="ACL155" s="11">
        <f t="shared" si="73"/>
        <v>0</v>
      </c>
      <c r="ACM155" s="11">
        <f t="shared" si="73"/>
        <v>0</v>
      </c>
      <c r="ACN155" s="11">
        <f t="shared" si="73"/>
        <v>0</v>
      </c>
      <c r="ACO155" s="11">
        <f t="shared" si="73"/>
        <v>0</v>
      </c>
      <c r="ACP155" s="11">
        <f t="shared" si="73"/>
        <v>0</v>
      </c>
      <c r="ACQ155" s="11">
        <f t="shared" si="73"/>
        <v>0</v>
      </c>
      <c r="ACR155" s="11">
        <f t="shared" si="73"/>
        <v>0</v>
      </c>
      <c r="ACS155" s="11">
        <f t="shared" ref="ACS155:AFD155" si="74">ACS156-ACS38</f>
        <v>0</v>
      </c>
      <c r="ACT155" s="11">
        <f t="shared" si="74"/>
        <v>0</v>
      </c>
      <c r="ACU155" s="11">
        <f t="shared" si="74"/>
        <v>0</v>
      </c>
      <c r="ACV155" s="11">
        <f t="shared" si="74"/>
        <v>0</v>
      </c>
      <c r="ACW155" s="11">
        <f t="shared" si="74"/>
        <v>0</v>
      </c>
      <c r="ACX155" s="11">
        <f t="shared" si="74"/>
        <v>0</v>
      </c>
      <c r="ACY155" s="11">
        <f t="shared" si="74"/>
        <v>0</v>
      </c>
      <c r="ACZ155" s="11">
        <f t="shared" si="74"/>
        <v>0</v>
      </c>
      <c r="ADA155" s="11">
        <f t="shared" si="74"/>
        <v>0</v>
      </c>
      <c r="ADB155" s="11">
        <f t="shared" si="74"/>
        <v>0</v>
      </c>
      <c r="ADC155" s="11">
        <f t="shared" si="74"/>
        <v>0</v>
      </c>
      <c r="ADD155" s="11">
        <f t="shared" si="74"/>
        <v>0</v>
      </c>
      <c r="ADE155" s="11">
        <f t="shared" si="74"/>
        <v>0</v>
      </c>
      <c r="ADF155" s="11">
        <f t="shared" si="74"/>
        <v>0</v>
      </c>
      <c r="ADG155" s="11">
        <f t="shared" si="74"/>
        <v>0</v>
      </c>
      <c r="ADH155" s="11">
        <f t="shared" si="74"/>
        <v>0</v>
      </c>
      <c r="ADI155" s="11">
        <f t="shared" si="74"/>
        <v>0</v>
      </c>
      <c r="ADJ155" s="11">
        <f t="shared" si="74"/>
        <v>0</v>
      </c>
      <c r="ADK155" s="11">
        <f t="shared" si="74"/>
        <v>0</v>
      </c>
      <c r="ADL155" s="11">
        <f t="shared" si="74"/>
        <v>0</v>
      </c>
      <c r="ADM155" s="11">
        <f t="shared" si="74"/>
        <v>0</v>
      </c>
      <c r="ADN155" s="11">
        <f t="shared" si="74"/>
        <v>0</v>
      </c>
      <c r="ADO155" s="11">
        <f t="shared" si="74"/>
        <v>0</v>
      </c>
      <c r="ADP155" s="11">
        <f t="shared" si="74"/>
        <v>0</v>
      </c>
      <c r="ADQ155" s="11">
        <f t="shared" si="74"/>
        <v>0</v>
      </c>
      <c r="ADR155" s="11">
        <f t="shared" si="74"/>
        <v>0</v>
      </c>
      <c r="ADS155" s="11">
        <f t="shared" si="74"/>
        <v>0</v>
      </c>
      <c r="ADT155" s="11">
        <f t="shared" si="74"/>
        <v>0</v>
      </c>
      <c r="ADU155" s="11">
        <f t="shared" si="74"/>
        <v>0</v>
      </c>
      <c r="ADV155" s="11">
        <f t="shared" si="74"/>
        <v>0</v>
      </c>
      <c r="ADW155" s="11">
        <f t="shared" si="74"/>
        <v>0</v>
      </c>
      <c r="ADX155" s="11">
        <f t="shared" si="74"/>
        <v>0</v>
      </c>
      <c r="ADY155" s="11">
        <f t="shared" si="74"/>
        <v>0</v>
      </c>
      <c r="ADZ155" s="11">
        <f t="shared" si="74"/>
        <v>0</v>
      </c>
      <c r="AEA155" s="11">
        <f t="shared" si="74"/>
        <v>0</v>
      </c>
      <c r="AEB155" s="11">
        <f t="shared" si="74"/>
        <v>0</v>
      </c>
      <c r="AEC155" s="11">
        <f t="shared" si="74"/>
        <v>0</v>
      </c>
      <c r="AED155" s="11">
        <f t="shared" si="74"/>
        <v>0</v>
      </c>
      <c r="AEE155" s="11">
        <f t="shared" si="74"/>
        <v>0</v>
      </c>
      <c r="AEF155" s="11">
        <f t="shared" si="74"/>
        <v>0</v>
      </c>
      <c r="AEG155" s="11">
        <f t="shared" si="74"/>
        <v>0</v>
      </c>
      <c r="AEH155" s="11">
        <f t="shared" si="74"/>
        <v>0</v>
      </c>
      <c r="AEI155" s="11">
        <f t="shared" si="74"/>
        <v>0</v>
      </c>
      <c r="AEJ155" s="11">
        <f t="shared" si="74"/>
        <v>0</v>
      </c>
      <c r="AEK155" s="11">
        <f t="shared" si="74"/>
        <v>0</v>
      </c>
      <c r="AEL155" s="11">
        <f t="shared" si="74"/>
        <v>0</v>
      </c>
      <c r="AEM155" s="11">
        <f t="shared" si="74"/>
        <v>0</v>
      </c>
      <c r="AEN155" s="11">
        <f t="shared" si="74"/>
        <v>0</v>
      </c>
      <c r="AEO155" s="11">
        <f t="shared" si="74"/>
        <v>0</v>
      </c>
      <c r="AEP155" s="11">
        <f t="shared" si="74"/>
        <v>0</v>
      </c>
      <c r="AEQ155" s="11">
        <f t="shared" si="74"/>
        <v>0</v>
      </c>
      <c r="AER155" s="11">
        <f t="shared" si="74"/>
        <v>0</v>
      </c>
      <c r="AES155" s="11">
        <f t="shared" si="74"/>
        <v>0</v>
      </c>
      <c r="AET155" s="11">
        <f t="shared" si="74"/>
        <v>0</v>
      </c>
      <c r="AEU155" s="11">
        <f t="shared" si="74"/>
        <v>0</v>
      </c>
      <c r="AEV155" s="11">
        <f t="shared" si="74"/>
        <v>0</v>
      </c>
      <c r="AEW155" s="11">
        <f t="shared" si="74"/>
        <v>0</v>
      </c>
      <c r="AEX155" s="11">
        <f t="shared" si="74"/>
        <v>0</v>
      </c>
      <c r="AEY155" s="11">
        <f t="shared" si="74"/>
        <v>0</v>
      </c>
      <c r="AEZ155" s="11">
        <f t="shared" si="74"/>
        <v>0</v>
      </c>
      <c r="AFA155" s="11">
        <f t="shared" si="74"/>
        <v>0</v>
      </c>
      <c r="AFB155" s="11">
        <f t="shared" si="74"/>
        <v>0</v>
      </c>
      <c r="AFC155" s="11">
        <f t="shared" si="74"/>
        <v>0</v>
      </c>
      <c r="AFD155" s="11">
        <f t="shared" si="74"/>
        <v>0</v>
      </c>
      <c r="AFE155" s="11">
        <f t="shared" ref="AFE155:AHP155" si="75">AFE156-AFE38</f>
        <v>0</v>
      </c>
      <c r="AFF155" s="11">
        <f t="shared" si="75"/>
        <v>0</v>
      </c>
      <c r="AFG155" s="11">
        <f t="shared" si="75"/>
        <v>0</v>
      </c>
      <c r="AFH155" s="11">
        <f t="shared" si="75"/>
        <v>0</v>
      </c>
      <c r="AFI155" s="11">
        <f t="shared" si="75"/>
        <v>0</v>
      </c>
      <c r="AFJ155" s="11">
        <f t="shared" si="75"/>
        <v>0</v>
      </c>
      <c r="AFK155" s="11">
        <f t="shared" si="75"/>
        <v>0</v>
      </c>
      <c r="AFL155" s="11">
        <f t="shared" si="75"/>
        <v>0</v>
      </c>
      <c r="AFM155" s="11">
        <f t="shared" si="75"/>
        <v>0</v>
      </c>
      <c r="AFN155" s="11">
        <f t="shared" si="75"/>
        <v>0</v>
      </c>
      <c r="AFO155" s="11">
        <f t="shared" si="75"/>
        <v>0</v>
      </c>
      <c r="AFP155" s="11">
        <f t="shared" si="75"/>
        <v>0</v>
      </c>
      <c r="AFQ155" s="11">
        <f t="shared" si="75"/>
        <v>0</v>
      </c>
      <c r="AFR155" s="11">
        <f t="shared" si="75"/>
        <v>0</v>
      </c>
      <c r="AFS155" s="11">
        <f t="shared" si="75"/>
        <v>0</v>
      </c>
      <c r="AFT155" s="11">
        <f t="shared" si="75"/>
        <v>0</v>
      </c>
      <c r="AFU155" s="11">
        <f t="shared" si="75"/>
        <v>0</v>
      </c>
      <c r="AFV155" s="11">
        <f t="shared" si="75"/>
        <v>0</v>
      </c>
      <c r="AFW155" s="11">
        <f t="shared" si="75"/>
        <v>0</v>
      </c>
      <c r="AFX155" s="11">
        <f t="shared" si="75"/>
        <v>0</v>
      </c>
      <c r="AFY155" s="11">
        <f t="shared" si="75"/>
        <v>0</v>
      </c>
      <c r="AFZ155" s="11">
        <f t="shared" si="75"/>
        <v>0</v>
      </c>
      <c r="AGA155" s="11">
        <f t="shared" si="75"/>
        <v>0</v>
      </c>
      <c r="AGB155" s="11">
        <f t="shared" si="75"/>
        <v>0</v>
      </c>
      <c r="AGC155" s="11">
        <f t="shared" si="75"/>
        <v>0</v>
      </c>
      <c r="AGD155" s="11">
        <f t="shared" si="75"/>
        <v>0</v>
      </c>
      <c r="AGE155" s="11">
        <f t="shared" si="75"/>
        <v>0</v>
      </c>
      <c r="AGF155" s="11">
        <f t="shared" si="75"/>
        <v>0</v>
      </c>
      <c r="AGG155" s="11">
        <f t="shared" si="75"/>
        <v>0</v>
      </c>
      <c r="AGH155" s="11">
        <f t="shared" si="75"/>
        <v>0</v>
      </c>
      <c r="AGI155" s="11">
        <f t="shared" si="75"/>
        <v>0</v>
      </c>
      <c r="AGJ155" s="11">
        <f t="shared" si="75"/>
        <v>0</v>
      </c>
      <c r="AGK155" s="11">
        <f t="shared" si="75"/>
        <v>0</v>
      </c>
      <c r="AGL155" s="11">
        <f t="shared" si="75"/>
        <v>0</v>
      </c>
      <c r="AGM155" s="11">
        <f t="shared" si="75"/>
        <v>0</v>
      </c>
      <c r="AGN155" s="11">
        <f t="shared" si="75"/>
        <v>0</v>
      </c>
      <c r="AGO155" s="11">
        <f t="shared" si="75"/>
        <v>0</v>
      </c>
      <c r="AGP155" s="11">
        <f t="shared" si="75"/>
        <v>0</v>
      </c>
      <c r="AGQ155" s="11">
        <f t="shared" si="75"/>
        <v>0</v>
      </c>
      <c r="AGR155" s="11">
        <f t="shared" si="75"/>
        <v>0</v>
      </c>
      <c r="AGS155" s="11">
        <f t="shared" si="75"/>
        <v>0</v>
      </c>
      <c r="AGT155" s="11">
        <f t="shared" si="75"/>
        <v>0</v>
      </c>
      <c r="AGU155" s="11">
        <f t="shared" si="75"/>
        <v>0</v>
      </c>
      <c r="AGV155" s="11">
        <f t="shared" si="75"/>
        <v>0</v>
      </c>
      <c r="AGW155" s="11">
        <f t="shared" si="75"/>
        <v>0</v>
      </c>
      <c r="AGX155" s="11">
        <f t="shared" si="75"/>
        <v>0</v>
      </c>
      <c r="AGY155" s="11">
        <f t="shared" si="75"/>
        <v>0</v>
      </c>
      <c r="AGZ155" s="11">
        <f t="shared" si="75"/>
        <v>0</v>
      </c>
      <c r="AHA155" s="11">
        <f t="shared" si="75"/>
        <v>0</v>
      </c>
      <c r="AHB155" s="11">
        <f t="shared" si="75"/>
        <v>0</v>
      </c>
      <c r="AHC155" s="11">
        <f t="shared" si="75"/>
        <v>0</v>
      </c>
      <c r="AHD155" s="11">
        <f t="shared" si="75"/>
        <v>0</v>
      </c>
      <c r="AHE155" s="11">
        <f t="shared" si="75"/>
        <v>0</v>
      </c>
      <c r="AHF155" s="11">
        <f t="shared" si="75"/>
        <v>0</v>
      </c>
      <c r="AHG155" s="11">
        <f t="shared" si="75"/>
        <v>0</v>
      </c>
      <c r="AHH155" s="11">
        <f t="shared" si="75"/>
        <v>0</v>
      </c>
      <c r="AHI155" s="11">
        <f t="shared" si="75"/>
        <v>0</v>
      </c>
      <c r="AHJ155" s="11">
        <f t="shared" si="75"/>
        <v>0</v>
      </c>
      <c r="AHK155" s="11">
        <f t="shared" si="75"/>
        <v>0</v>
      </c>
      <c r="AHL155" s="11">
        <f t="shared" si="75"/>
        <v>0</v>
      </c>
      <c r="AHM155" s="11">
        <f t="shared" si="75"/>
        <v>0</v>
      </c>
      <c r="AHN155" s="11">
        <f t="shared" si="75"/>
        <v>0</v>
      </c>
      <c r="AHO155" s="11">
        <f t="shared" si="75"/>
        <v>0</v>
      </c>
      <c r="AHP155" s="11">
        <f t="shared" si="75"/>
        <v>0</v>
      </c>
      <c r="AHQ155" s="11">
        <f t="shared" ref="AHQ155:AHT155" si="76">AHQ156-AHQ38</f>
        <v>0</v>
      </c>
      <c r="AHR155" s="11">
        <f t="shared" si="76"/>
        <v>0</v>
      </c>
      <c r="AHS155" s="11">
        <f t="shared" si="76"/>
        <v>0</v>
      </c>
      <c r="AHT155" s="11">
        <f t="shared" si="76"/>
        <v>0</v>
      </c>
      <c r="AHU155" s="11">
        <f>SUM(D155:AHT155)</f>
        <v>0</v>
      </c>
    </row>
    <row r="156" spans="1:908" x14ac:dyDescent="0.7">
      <c r="B156" s="268" t="s">
        <v>653</v>
      </c>
      <c r="C156" s="269" t="s">
        <v>6241</v>
      </c>
      <c r="D156" s="11">
        <f>SUM(D61:D154)*-1</f>
        <v>-522623666.34000003</v>
      </c>
      <c r="E156" s="11">
        <f t="shared" ref="E156:BP156" si="77">SUM(E61:E154)*-1</f>
        <v>-28399225.93</v>
      </c>
      <c r="F156" s="11">
        <f t="shared" si="77"/>
        <v>-44041055.589999996</v>
      </c>
      <c r="G156" s="11">
        <f t="shared" si="77"/>
        <v>-7571775.0099999998</v>
      </c>
      <c r="H156" s="11">
        <f t="shared" si="77"/>
        <v>-52410899.479999997</v>
      </c>
      <c r="I156" s="11">
        <f t="shared" si="77"/>
        <v>-7958215.0699999994</v>
      </c>
      <c r="J156" s="11">
        <f t="shared" si="77"/>
        <v>-125222963.94999999</v>
      </c>
      <c r="K156" s="11">
        <f t="shared" si="77"/>
        <v>-20225522.140000001</v>
      </c>
      <c r="L156" s="11">
        <f t="shared" si="77"/>
        <v>-23818631.340000004</v>
      </c>
      <c r="M156" s="11">
        <f t="shared" si="77"/>
        <v>-22882639.110000007</v>
      </c>
      <c r="N156" s="11">
        <f t="shared" si="77"/>
        <v>-18285130.299999997</v>
      </c>
      <c r="O156" s="11">
        <f t="shared" si="77"/>
        <v>-19693085.939999994</v>
      </c>
      <c r="P156" s="11">
        <f t="shared" si="77"/>
        <v>-50981867.299999997</v>
      </c>
      <c r="Q156" s="11">
        <f t="shared" si="77"/>
        <v>-19798498.899999999</v>
      </c>
      <c r="R156" s="11">
        <f t="shared" si="77"/>
        <v>-6105801.9399999995</v>
      </c>
      <c r="S156" s="11">
        <f t="shared" si="77"/>
        <v>-51220447.010000005</v>
      </c>
      <c r="T156" s="11">
        <f t="shared" si="77"/>
        <v>-10656892.73</v>
      </c>
      <c r="U156" s="11">
        <f t="shared" si="77"/>
        <v>-7893081.2599999998</v>
      </c>
      <c r="V156" s="11">
        <f t="shared" si="77"/>
        <v>-388599688.76000005</v>
      </c>
      <c r="W156" s="11">
        <f t="shared" si="77"/>
        <v>-89633209.429999992</v>
      </c>
      <c r="X156" s="11">
        <f t="shared" si="77"/>
        <v>-23855408.010000002</v>
      </c>
      <c r="Y156" s="11">
        <f t="shared" si="77"/>
        <v>-35301311.149999991</v>
      </c>
      <c r="Z156" s="11">
        <f t="shared" si="77"/>
        <v>-35365036.989999995</v>
      </c>
      <c r="AA156" s="11">
        <f t="shared" si="77"/>
        <v>-40113572.630000003</v>
      </c>
      <c r="AB156" s="11">
        <f t="shared" si="77"/>
        <v>-25516437.609999999</v>
      </c>
      <c r="AC156" s="11">
        <f t="shared" si="77"/>
        <v>-184526341.63999996</v>
      </c>
      <c r="AD156" s="11">
        <f t="shared" si="77"/>
        <v>-47939697.280000009</v>
      </c>
      <c r="AE156" s="11">
        <f t="shared" si="77"/>
        <v>-49062869.030000009</v>
      </c>
      <c r="AF156" s="11">
        <f t="shared" si="77"/>
        <v>-200345652.07999998</v>
      </c>
      <c r="AG156" s="11">
        <f t="shared" si="77"/>
        <v>-47820563.57</v>
      </c>
      <c r="AH156" s="11">
        <f t="shared" si="77"/>
        <v>-75133284.080000013</v>
      </c>
      <c r="AI156" s="11">
        <f t="shared" si="77"/>
        <v>-94144108.809999987</v>
      </c>
      <c r="AJ156" s="11">
        <f t="shared" si="77"/>
        <v>-26294220.530000001</v>
      </c>
      <c r="AK156" s="11">
        <f t="shared" si="77"/>
        <v>-21205672.190000001</v>
      </c>
      <c r="AL156" s="11">
        <f t="shared" si="77"/>
        <v>-22478337.700000007</v>
      </c>
      <c r="AM156" s="11">
        <f t="shared" si="77"/>
        <v>-54935928.320000008</v>
      </c>
      <c r="AN156" s="11">
        <f t="shared" si="77"/>
        <v>-37866564.850000001</v>
      </c>
      <c r="AO156" s="11">
        <f t="shared" si="77"/>
        <v>-29902643.310000002</v>
      </c>
      <c r="AP156" s="11">
        <f t="shared" si="77"/>
        <v>-22997914.210000001</v>
      </c>
      <c r="AQ156" s="11">
        <f t="shared" si="77"/>
        <v>-18052295.169999994</v>
      </c>
      <c r="AR156" s="11">
        <f t="shared" si="77"/>
        <v>-34572250.589999996</v>
      </c>
      <c r="AS156" s="11">
        <f t="shared" si="77"/>
        <v>-20550463.719999999</v>
      </c>
      <c r="AT156" s="11">
        <f t="shared" si="77"/>
        <v>-126068970.35999998</v>
      </c>
      <c r="AU156" s="11">
        <f t="shared" si="77"/>
        <v>-9359954.5499999989</v>
      </c>
      <c r="AV156" s="11">
        <f t="shared" si="77"/>
        <v>-7566199.1699999999</v>
      </c>
      <c r="AW156" s="11">
        <f t="shared" si="77"/>
        <v>-9968137.9600000028</v>
      </c>
      <c r="AX156" s="11">
        <f t="shared" si="77"/>
        <v>-22853832.759999998</v>
      </c>
      <c r="AY156" s="11">
        <f t="shared" si="77"/>
        <v>-38672102.109999992</v>
      </c>
      <c r="AZ156" s="11">
        <f t="shared" si="77"/>
        <v>-7578207.5800000001</v>
      </c>
      <c r="BA156" s="11">
        <f t="shared" si="77"/>
        <v>-10954906.289999999</v>
      </c>
      <c r="BB156" s="11">
        <f t="shared" si="77"/>
        <v>-4563889.83</v>
      </c>
      <c r="BC156" s="11">
        <f t="shared" si="77"/>
        <v>-11499175.729999999</v>
      </c>
      <c r="BD156" s="11">
        <f t="shared" si="77"/>
        <v>-4634924.92</v>
      </c>
      <c r="BE156" s="11">
        <f t="shared" si="77"/>
        <v>-13447160.059999999</v>
      </c>
      <c r="BF156" s="11">
        <f t="shared" si="77"/>
        <v>-61471602.610000007</v>
      </c>
      <c r="BG156" s="11">
        <f t="shared" si="77"/>
        <v>-3048256.2000000007</v>
      </c>
      <c r="BH156" s="11">
        <f t="shared" si="77"/>
        <v>-14228365.59</v>
      </c>
      <c r="BI156" s="11">
        <f t="shared" si="77"/>
        <v>-192366721.20999998</v>
      </c>
      <c r="BJ156" s="11">
        <f t="shared" si="77"/>
        <v>-84958517.469999999</v>
      </c>
      <c r="BK156" s="11">
        <f t="shared" si="77"/>
        <v>-12996678.41</v>
      </c>
      <c r="BL156" s="11">
        <f t="shared" si="77"/>
        <v>-7004560.96</v>
      </c>
      <c r="BM156" s="11">
        <f t="shared" si="77"/>
        <v>-34759835.569999993</v>
      </c>
      <c r="BN156" s="11">
        <f t="shared" si="77"/>
        <v>-19366735.299999997</v>
      </c>
      <c r="BO156" s="11">
        <f t="shared" si="77"/>
        <v>-10354121.719999999</v>
      </c>
      <c r="BP156" s="11">
        <f t="shared" si="77"/>
        <v>-2118423.77</v>
      </c>
      <c r="BQ156" s="11">
        <f t="shared" ref="BQ156:EB156" si="78">SUM(BQ61:BQ154)*-1</f>
        <v>-4682169.0600000005</v>
      </c>
      <c r="BR156" s="11">
        <f t="shared" si="78"/>
        <v>-132501423.02</v>
      </c>
      <c r="BS156" s="11">
        <f t="shared" si="78"/>
        <v>-21389960.649999995</v>
      </c>
      <c r="BT156" s="11">
        <f t="shared" si="78"/>
        <v>-11510092.290000001</v>
      </c>
      <c r="BU156" s="11">
        <f t="shared" si="78"/>
        <v>-20497763.359999996</v>
      </c>
      <c r="BV156" s="11">
        <f t="shared" si="78"/>
        <v>-13965995.190000001</v>
      </c>
      <c r="BW156" s="11">
        <f t="shared" si="78"/>
        <v>-12328014.250000002</v>
      </c>
      <c r="BX156" s="11">
        <f t="shared" si="78"/>
        <v>-9861827.2999999989</v>
      </c>
      <c r="BY156" s="11">
        <f t="shared" si="78"/>
        <v>-11919581.309999999</v>
      </c>
      <c r="BZ156" s="11">
        <f t="shared" si="78"/>
        <v>-91683096.459999993</v>
      </c>
      <c r="CA156" s="11">
        <f t="shared" si="78"/>
        <v>-19699800.119999997</v>
      </c>
      <c r="CB156" s="11">
        <f t="shared" si="78"/>
        <v>-35167752.379999995</v>
      </c>
      <c r="CC156" s="11">
        <f t="shared" si="78"/>
        <v>-45683969.720000006</v>
      </c>
      <c r="CD156" s="11">
        <f t="shared" si="78"/>
        <v>-19678484.510000002</v>
      </c>
      <c r="CE156" s="11">
        <f t="shared" si="78"/>
        <v>-17830707.5</v>
      </c>
      <c r="CF156" s="11">
        <f t="shared" si="78"/>
        <v>-19499955.739999998</v>
      </c>
      <c r="CG156" s="11">
        <f t="shared" si="78"/>
        <v>-251979579.32999992</v>
      </c>
      <c r="CH156" s="11">
        <f t="shared" si="78"/>
        <v>-11451716.170000002</v>
      </c>
      <c r="CI156" s="11">
        <f t="shared" si="78"/>
        <v>-41933871.309999995</v>
      </c>
      <c r="CJ156" s="11">
        <f t="shared" si="78"/>
        <v>-8490307.8099999987</v>
      </c>
      <c r="CK156" s="11">
        <f t="shared" si="78"/>
        <v>-13626456.029999999</v>
      </c>
      <c r="CL156" s="11">
        <f t="shared" si="78"/>
        <v>-16654877.609999996</v>
      </c>
      <c r="CM156" s="11">
        <f t="shared" si="78"/>
        <v>-9993871.5700000003</v>
      </c>
      <c r="CN156" s="11">
        <f t="shared" si="78"/>
        <v>-21376197.209999997</v>
      </c>
      <c r="CO156" s="11">
        <f t="shared" si="78"/>
        <v>-4541131.22</v>
      </c>
      <c r="CP156" s="11">
        <f t="shared" si="78"/>
        <v>-15786415.090000002</v>
      </c>
      <c r="CQ156" s="11">
        <f t="shared" si="78"/>
        <v>-6555996.3600000013</v>
      </c>
      <c r="CR156" s="11">
        <f t="shared" si="78"/>
        <v>-14088080.41</v>
      </c>
      <c r="CS156" s="11">
        <f t="shared" si="78"/>
        <v>-7934308.080000001</v>
      </c>
      <c r="CT156" s="11">
        <f t="shared" si="78"/>
        <v>-179423957.36999995</v>
      </c>
      <c r="CU156" s="11">
        <f t="shared" si="78"/>
        <v>-11652360.98</v>
      </c>
      <c r="CV156" s="11">
        <f t="shared" si="78"/>
        <v>-11437714.769999998</v>
      </c>
      <c r="CW156" s="11">
        <f t="shared" si="78"/>
        <v>-32149919.619999997</v>
      </c>
      <c r="CX156" s="11">
        <f t="shared" si="78"/>
        <v>-15790082.74</v>
      </c>
      <c r="CY156" s="11">
        <f t="shared" si="78"/>
        <v>-20567711.170000002</v>
      </c>
      <c r="CZ156" s="11">
        <f t="shared" si="78"/>
        <v>-9734479.0199999977</v>
      </c>
      <c r="DA156" s="11">
        <f t="shared" si="78"/>
        <v>-11174268.029999999</v>
      </c>
      <c r="DB156" s="11">
        <f t="shared" si="78"/>
        <v>-158941870.36000004</v>
      </c>
      <c r="DC156" s="11">
        <f t="shared" si="78"/>
        <v>-230704603.57000002</v>
      </c>
      <c r="DD156" s="11">
        <f t="shared" si="78"/>
        <v>-25456504.040000003</v>
      </c>
      <c r="DE156" s="11">
        <f t="shared" si="78"/>
        <v>-20773248.880000003</v>
      </c>
      <c r="DF156" s="11">
        <f t="shared" si="78"/>
        <v>-16696375.360000001</v>
      </c>
      <c r="DG156" s="11">
        <f t="shared" si="78"/>
        <v>-27610284.829999998</v>
      </c>
      <c r="DH156" s="11">
        <f t="shared" si="78"/>
        <v>-47130786.700000003</v>
      </c>
      <c r="DI156" s="11">
        <f t="shared" si="78"/>
        <v>-31184721.490000002</v>
      </c>
      <c r="DJ156" s="11">
        <f t="shared" si="78"/>
        <v>-10137893.270000001</v>
      </c>
      <c r="DK156" s="11">
        <f t="shared" si="78"/>
        <v>-598704099.89000022</v>
      </c>
      <c r="DL156" s="11">
        <f t="shared" si="78"/>
        <v>-15203908.24</v>
      </c>
      <c r="DM156" s="11">
        <f t="shared" si="78"/>
        <v>-26352437.489999995</v>
      </c>
      <c r="DN156" s="11">
        <f t="shared" si="78"/>
        <v>-25691239.680000011</v>
      </c>
      <c r="DO156" s="11">
        <f t="shared" si="78"/>
        <v>-19029318.369999997</v>
      </c>
      <c r="DP156" s="11">
        <f t="shared" si="78"/>
        <v>-14882152.82</v>
      </c>
      <c r="DQ156" s="11">
        <f t="shared" si="78"/>
        <v>-53252839.879999995</v>
      </c>
      <c r="DR156" s="11">
        <f t="shared" si="78"/>
        <v>-14262946.299900003</v>
      </c>
      <c r="DS156" s="11">
        <f t="shared" si="78"/>
        <v>-50208212.049999997</v>
      </c>
      <c r="DT156" s="11">
        <f t="shared" si="78"/>
        <v>-211490973.30000001</v>
      </c>
      <c r="DU156" s="11">
        <f t="shared" si="78"/>
        <v>-27445118.860000003</v>
      </c>
      <c r="DV156" s="11">
        <f t="shared" si="78"/>
        <v>-61007997.090000004</v>
      </c>
      <c r="DW156" s="11">
        <f t="shared" si="78"/>
        <v>-69103858.940000013</v>
      </c>
      <c r="DX156" s="11">
        <f t="shared" si="78"/>
        <v>-23241303.280000001</v>
      </c>
      <c r="DY156" s="11">
        <f t="shared" si="78"/>
        <v>-36749631.089999996</v>
      </c>
      <c r="DZ156" s="11">
        <f t="shared" si="78"/>
        <v>-29112883.480000004</v>
      </c>
      <c r="EA156" s="11">
        <f t="shared" si="78"/>
        <v>-6865395.54</v>
      </c>
      <c r="EB156" s="11">
        <f t="shared" si="78"/>
        <v>-14141117.699999999</v>
      </c>
      <c r="EC156" s="11">
        <f t="shared" ref="EC156:GN156" si="79">SUM(EC61:EC154)*-1</f>
        <v>-13180855.35</v>
      </c>
      <c r="ED156" s="11">
        <f t="shared" si="79"/>
        <v>-35230949.249999993</v>
      </c>
      <c r="EE156" s="11">
        <f t="shared" si="79"/>
        <v>-93746970.269999981</v>
      </c>
      <c r="EF156" s="11">
        <f t="shared" si="79"/>
        <v>-73716049.299999982</v>
      </c>
      <c r="EG156" s="11">
        <f t="shared" si="79"/>
        <v>-13714139.59</v>
      </c>
      <c r="EH156" s="11">
        <f t="shared" si="79"/>
        <v>-22595362.080000002</v>
      </c>
      <c r="EI156" s="11">
        <f t="shared" si="79"/>
        <v>-31064690.670000009</v>
      </c>
      <c r="EJ156" s="11">
        <f t="shared" si="79"/>
        <v>-23029634.77</v>
      </c>
      <c r="EK156" s="11">
        <f t="shared" si="79"/>
        <v>-25728348.489999998</v>
      </c>
      <c r="EL156" s="11">
        <f t="shared" si="79"/>
        <v>-13326619.270000001</v>
      </c>
      <c r="EM156" s="11">
        <f t="shared" si="79"/>
        <v>-17651057.5</v>
      </c>
      <c r="EN156" s="11">
        <f t="shared" si="79"/>
        <v>-268427775.05000001</v>
      </c>
      <c r="EO156" s="11">
        <f t="shared" si="79"/>
        <v>-20416365.080000002</v>
      </c>
      <c r="EP156" s="11">
        <f t="shared" si="79"/>
        <v>-37302328.529999994</v>
      </c>
      <c r="EQ156" s="11">
        <f t="shared" si="79"/>
        <v>-16781602.98</v>
      </c>
      <c r="ER156" s="11">
        <f t="shared" si="79"/>
        <v>-15296757.499999998</v>
      </c>
      <c r="ES156" s="11">
        <f t="shared" si="79"/>
        <v>-10339507.639999997</v>
      </c>
      <c r="ET156" s="11">
        <f t="shared" si="79"/>
        <v>-46949832.660000004</v>
      </c>
      <c r="EU156" s="11">
        <f t="shared" si="79"/>
        <v>-41801859.049999997</v>
      </c>
      <c r="EV156" s="11">
        <f t="shared" si="79"/>
        <v>-23794698.639999997</v>
      </c>
      <c r="EW156" s="11">
        <f t="shared" si="79"/>
        <v>-214641799.09999996</v>
      </c>
      <c r="EX156" s="11">
        <f t="shared" si="79"/>
        <v>-7658319.870000001</v>
      </c>
      <c r="EY156" s="11">
        <f t="shared" si="79"/>
        <v>-14804157.879999995</v>
      </c>
      <c r="EZ156" s="11">
        <f t="shared" si="79"/>
        <v>-35349961.569999993</v>
      </c>
      <c r="FA156" s="11">
        <f t="shared" si="79"/>
        <v>-39281375.480000004</v>
      </c>
      <c r="FB156" s="11">
        <f t="shared" si="79"/>
        <v>-48803504.170000009</v>
      </c>
      <c r="FC156" s="11">
        <f t="shared" si="79"/>
        <v>-35666316.86999999</v>
      </c>
      <c r="FD156" s="11">
        <f t="shared" si="79"/>
        <v>-16680864.180000002</v>
      </c>
      <c r="FE156" s="11">
        <f t="shared" si="79"/>
        <v>-20241668.089999996</v>
      </c>
      <c r="FF156" s="11">
        <f t="shared" si="79"/>
        <v>-14020957.139999999</v>
      </c>
      <c r="FG156" s="11">
        <f t="shared" si="79"/>
        <v>-14624060.280000001</v>
      </c>
      <c r="FH156" s="11">
        <f t="shared" si="79"/>
        <v>-8958678.6500000022</v>
      </c>
      <c r="FI156" s="11">
        <f t="shared" si="79"/>
        <v>-95285298.080000013</v>
      </c>
      <c r="FJ156" s="11">
        <f t="shared" si="79"/>
        <v>-11476562.279999999</v>
      </c>
      <c r="FK156" s="11">
        <f t="shared" si="79"/>
        <v>-2784146.12</v>
      </c>
      <c r="FL156" s="11">
        <f t="shared" si="79"/>
        <v>-8801856.9000000004</v>
      </c>
      <c r="FM156" s="11">
        <f t="shared" si="79"/>
        <v>-24259778.529999997</v>
      </c>
      <c r="FN156" s="11">
        <f t="shared" si="79"/>
        <v>-13163097.360000001</v>
      </c>
      <c r="FO156" s="11">
        <f t="shared" si="79"/>
        <v>-9930445.6100000013</v>
      </c>
      <c r="FP156" s="11">
        <f t="shared" si="79"/>
        <v>-3904134.21</v>
      </c>
      <c r="FQ156" s="11">
        <f t="shared" si="79"/>
        <v>-472306531.36000013</v>
      </c>
      <c r="FR156" s="11">
        <f t="shared" si="79"/>
        <v>-15327423.85</v>
      </c>
      <c r="FS156" s="11">
        <f t="shared" si="79"/>
        <v>-32366975.09</v>
      </c>
      <c r="FT156" s="11">
        <f t="shared" si="79"/>
        <v>-32001915.25</v>
      </c>
      <c r="FU156" s="11">
        <f t="shared" si="79"/>
        <v>-23748040.090000004</v>
      </c>
      <c r="FV156" s="11">
        <f t="shared" si="79"/>
        <v>-15310742.219999997</v>
      </c>
      <c r="FW156" s="11">
        <f t="shared" si="79"/>
        <v>-69733068.090000004</v>
      </c>
      <c r="FX156" s="11">
        <f t="shared" si="79"/>
        <v>-41613040.429999992</v>
      </c>
      <c r="FY156" s="11">
        <f t="shared" si="79"/>
        <v>-26215634.709999997</v>
      </c>
      <c r="FZ156" s="11">
        <f t="shared" si="79"/>
        <v>-18154496.800000004</v>
      </c>
      <c r="GA156" s="11">
        <f t="shared" si="79"/>
        <v>-49413266.930000015</v>
      </c>
      <c r="GB156" s="11">
        <f t="shared" si="79"/>
        <v>-25521844.969999999</v>
      </c>
      <c r="GC156" s="11">
        <f t="shared" si="79"/>
        <v>-22573047.990000002</v>
      </c>
      <c r="GD156" s="11">
        <f t="shared" si="79"/>
        <v>-13102365.65</v>
      </c>
      <c r="GE156" s="11">
        <f t="shared" si="79"/>
        <v>-151716081.16000003</v>
      </c>
      <c r="GF156" s="11">
        <f t="shared" si="79"/>
        <v>-9459757.3100000005</v>
      </c>
      <c r="GG156" s="11">
        <f t="shared" si="79"/>
        <v>-9011475.2500000019</v>
      </c>
      <c r="GH156" s="11">
        <f t="shared" si="79"/>
        <v>-34296933.100000009</v>
      </c>
      <c r="GI156" s="11">
        <f t="shared" si="79"/>
        <v>-16441694.09</v>
      </c>
      <c r="GJ156" s="11">
        <f t="shared" si="79"/>
        <v>-13841905.970000001</v>
      </c>
      <c r="GK156" s="11">
        <f t="shared" si="79"/>
        <v>-12263684.930000003</v>
      </c>
      <c r="GL156" s="11">
        <f t="shared" si="79"/>
        <v>-25577291.820000004</v>
      </c>
      <c r="GM156" s="11">
        <f t="shared" si="79"/>
        <v>-7002071.8099999996</v>
      </c>
      <c r="GN156" s="11">
        <f t="shared" si="79"/>
        <v>-7893034.6600000001</v>
      </c>
      <c r="GO156" s="11">
        <f t="shared" ref="GO156:IZ156" si="80">SUM(GO61:GO154)*-1</f>
        <v>-5673618.2199999997</v>
      </c>
      <c r="GP156" s="11">
        <f t="shared" si="80"/>
        <v>-5356214.7399999993</v>
      </c>
      <c r="GQ156" s="11">
        <f t="shared" si="80"/>
        <v>-120181426.11</v>
      </c>
      <c r="GR156" s="11">
        <f t="shared" si="80"/>
        <v>-13531998.640000002</v>
      </c>
      <c r="GS156" s="11">
        <f t="shared" si="80"/>
        <v>-8090253.669999999</v>
      </c>
      <c r="GT156" s="11">
        <f t="shared" si="80"/>
        <v>-22036839.399999999</v>
      </c>
      <c r="GU156" s="11">
        <f t="shared" si="80"/>
        <v>-4965038.37</v>
      </c>
      <c r="GV156" s="11">
        <f t="shared" si="80"/>
        <v>-10138282.24</v>
      </c>
      <c r="GW156" s="11">
        <f t="shared" si="80"/>
        <v>-15755367.620000003</v>
      </c>
      <c r="GX156" s="11">
        <f t="shared" si="80"/>
        <v>-8725225.4700000007</v>
      </c>
      <c r="GY156" s="11">
        <f t="shared" si="80"/>
        <v>-131555159.02000003</v>
      </c>
      <c r="GZ156" s="11">
        <f t="shared" si="80"/>
        <v>-9972636.3500000015</v>
      </c>
      <c r="HA156" s="11">
        <f t="shared" si="80"/>
        <v>-29123805.520000003</v>
      </c>
      <c r="HB156" s="11">
        <f t="shared" si="80"/>
        <v>-21717747.48</v>
      </c>
      <c r="HC156" s="11">
        <f t="shared" si="80"/>
        <v>-450996862.55000013</v>
      </c>
      <c r="HD156" s="11">
        <f t="shared" si="80"/>
        <v>-178221431.54000005</v>
      </c>
      <c r="HE156" s="11">
        <f t="shared" si="80"/>
        <v>-74329390.230000019</v>
      </c>
      <c r="HF156" s="11">
        <f t="shared" si="80"/>
        <v>-92346581.439999998</v>
      </c>
      <c r="HG156" s="11">
        <f t="shared" si="80"/>
        <v>-44003638.369999997</v>
      </c>
      <c r="HH156" s="11">
        <f t="shared" si="80"/>
        <v>-43788438.009999998</v>
      </c>
      <c r="HI156" s="11">
        <f t="shared" si="80"/>
        <v>-34206956.719999991</v>
      </c>
      <c r="HJ156" s="11">
        <f t="shared" si="80"/>
        <v>-18067618.84</v>
      </c>
      <c r="HK156" s="11">
        <f t="shared" si="80"/>
        <v>-336134640.22999996</v>
      </c>
      <c r="HL156" s="11">
        <f t="shared" si="80"/>
        <v>-74746382.450000003</v>
      </c>
      <c r="HM156" s="11">
        <f t="shared" si="80"/>
        <v>-102499248.02000001</v>
      </c>
      <c r="HN156" s="11">
        <f t="shared" si="80"/>
        <v>-50611271.500000007</v>
      </c>
      <c r="HO156" s="11">
        <f t="shared" si="80"/>
        <v>-28088339.020000007</v>
      </c>
      <c r="HP156" s="11">
        <f t="shared" si="80"/>
        <v>-30830232.440000001</v>
      </c>
      <c r="HQ156" s="11">
        <f t="shared" si="80"/>
        <v>-46495237.780000009</v>
      </c>
      <c r="HR156" s="11">
        <f t="shared" si="80"/>
        <v>-39213004.225000001</v>
      </c>
      <c r="HS156" s="11">
        <f t="shared" si="80"/>
        <v>-204932491.45560002</v>
      </c>
      <c r="HT156" s="11">
        <f t="shared" si="80"/>
        <v>-134753411.59000003</v>
      </c>
      <c r="HU156" s="11">
        <f t="shared" si="80"/>
        <v>-33178068.359999999</v>
      </c>
      <c r="HV156" s="11">
        <f t="shared" si="80"/>
        <v>-13710302.539999999</v>
      </c>
      <c r="HW156" s="11">
        <f t="shared" si="80"/>
        <v>-16734021.950000003</v>
      </c>
      <c r="HX156" s="11">
        <f t="shared" si="80"/>
        <v>-18404040.090000004</v>
      </c>
      <c r="HY156" s="11">
        <f t="shared" si="80"/>
        <v>-32104472.970000003</v>
      </c>
      <c r="HZ156" s="11">
        <f t="shared" si="80"/>
        <v>-26341922.25</v>
      </c>
      <c r="IA156" s="11">
        <f t="shared" si="80"/>
        <v>-16626332.729999999</v>
      </c>
      <c r="IB156" s="11">
        <f t="shared" si="80"/>
        <v>-18437591.68</v>
      </c>
      <c r="IC156" s="11">
        <f t="shared" si="80"/>
        <v>-13268556.470000003</v>
      </c>
      <c r="ID156" s="11">
        <f t="shared" si="80"/>
        <v>-24271105.909999996</v>
      </c>
      <c r="IE156" s="11">
        <f t="shared" si="80"/>
        <v>-10857019.729999999</v>
      </c>
      <c r="IF156" s="11">
        <f t="shared" si="80"/>
        <v>-19253825.329999998</v>
      </c>
      <c r="IG156" s="11">
        <f t="shared" si="80"/>
        <v>-8098389.3499999996</v>
      </c>
      <c r="IH156" s="11">
        <f t="shared" si="80"/>
        <v>-7419206.8299999991</v>
      </c>
      <c r="II156" s="11">
        <f t="shared" si="80"/>
        <v>-229777729.03000003</v>
      </c>
      <c r="IJ156" s="11">
        <f t="shared" si="80"/>
        <v>-174908856.62999994</v>
      </c>
      <c r="IK156" s="11">
        <f t="shared" si="80"/>
        <v>-13024817.560000001</v>
      </c>
      <c r="IL156" s="11">
        <f t="shared" si="80"/>
        <v>-69937157.340000004</v>
      </c>
      <c r="IM156" s="11">
        <f t="shared" si="80"/>
        <v>-86063662.719999984</v>
      </c>
      <c r="IN156" s="11">
        <f t="shared" si="80"/>
        <v>-39935979.980000004</v>
      </c>
      <c r="IO156" s="11">
        <f t="shared" si="80"/>
        <v>-12146346.879999999</v>
      </c>
      <c r="IP156" s="11">
        <f t="shared" si="80"/>
        <v>-14556716.440000001</v>
      </c>
      <c r="IQ156" s="11">
        <f t="shared" si="80"/>
        <v>-13494260.529999999</v>
      </c>
      <c r="IR156" s="11">
        <f t="shared" si="80"/>
        <v>-18860988.800000004</v>
      </c>
      <c r="IS156" s="11">
        <f t="shared" si="80"/>
        <v>-16119547.719999997</v>
      </c>
      <c r="IT156" s="11">
        <f t="shared" si="80"/>
        <v>-402251338.12</v>
      </c>
      <c r="IU156" s="11">
        <f t="shared" si="80"/>
        <v>-322913991.81999999</v>
      </c>
      <c r="IV156" s="11">
        <f t="shared" si="80"/>
        <v>-17150376.869999997</v>
      </c>
      <c r="IW156" s="11">
        <f t="shared" si="80"/>
        <v>-35919796.979999997</v>
      </c>
      <c r="IX156" s="11">
        <f t="shared" si="80"/>
        <v>-48727486.369999997</v>
      </c>
      <c r="IY156" s="11">
        <f t="shared" si="80"/>
        <v>-7499124.419999999</v>
      </c>
      <c r="IZ156" s="11">
        <f t="shared" si="80"/>
        <v>-24634437.390000001</v>
      </c>
      <c r="JA156" s="11">
        <f t="shared" ref="JA156:LL156" si="81">SUM(JA61:JA154)*-1</f>
        <v>-6940937.1499999994</v>
      </c>
      <c r="JB156" s="11">
        <f t="shared" si="81"/>
        <v>-16999008.77</v>
      </c>
      <c r="JC156" s="11">
        <f t="shared" si="81"/>
        <v>-20316712.080000002</v>
      </c>
      <c r="JD156" s="11">
        <f t="shared" si="81"/>
        <v>-45722326.900000006</v>
      </c>
      <c r="JE156" s="11">
        <f t="shared" si="81"/>
        <v>-18093860.09</v>
      </c>
      <c r="JF156" s="11">
        <f t="shared" si="81"/>
        <v>-70041719.599999994</v>
      </c>
      <c r="JG156" s="11">
        <f t="shared" si="81"/>
        <v>-75864425.850000009</v>
      </c>
      <c r="JH156" s="11">
        <f t="shared" si="81"/>
        <v>-16032998.350000003</v>
      </c>
      <c r="JI156" s="11">
        <f t="shared" si="81"/>
        <v>-15185226.030000001</v>
      </c>
      <c r="JJ156" s="11">
        <f t="shared" si="81"/>
        <v>-12432003.5</v>
      </c>
      <c r="JK156" s="11">
        <f t="shared" si="81"/>
        <v>-10006827.99</v>
      </c>
      <c r="JL156" s="11">
        <f t="shared" si="81"/>
        <v>-186923112.45000002</v>
      </c>
      <c r="JM156" s="11">
        <f t="shared" si="81"/>
        <v>-15863857.359999998</v>
      </c>
      <c r="JN156" s="11">
        <f t="shared" si="81"/>
        <v>-28904091.420000002</v>
      </c>
      <c r="JO156" s="11">
        <f t="shared" si="81"/>
        <v>-37902992.900000006</v>
      </c>
      <c r="JP156" s="11">
        <f t="shared" si="81"/>
        <v>-25989756.830000002</v>
      </c>
      <c r="JQ156" s="11">
        <f t="shared" si="81"/>
        <v>-45803284.319999985</v>
      </c>
      <c r="JR156" s="11">
        <f t="shared" si="81"/>
        <v>-11044769.410000002</v>
      </c>
      <c r="JS156" s="11">
        <f t="shared" si="81"/>
        <v>-233526465.81</v>
      </c>
      <c r="JT156" s="11">
        <f t="shared" si="81"/>
        <v>-73503295.230000004</v>
      </c>
      <c r="JU156" s="11">
        <f t="shared" si="81"/>
        <v>-13997016.74</v>
      </c>
      <c r="JV156" s="11">
        <f t="shared" si="81"/>
        <v>-5569301.209999999</v>
      </c>
      <c r="JW156" s="11">
        <f t="shared" si="81"/>
        <v>-26859668.469999999</v>
      </c>
      <c r="JX156" s="11">
        <f t="shared" si="81"/>
        <v>-4367144.5</v>
      </c>
      <c r="JY156" s="11">
        <f t="shared" si="81"/>
        <v>-66580733.669999994</v>
      </c>
      <c r="JZ156" s="11">
        <f t="shared" si="81"/>
        <v>-24885602.000000004</v>
      </c>
      <c r="KA156" s="11">
        <f t="shared" si="81"/>
        <v>-14944242.060000002</v>
      </c>
      <c r="KB156" s="11">
        <f t="shared" si="81"/>
        <v>-21415946.950000003</v>
      </c>
      <c r="KC156" s="11">
        <f t="shared" si="81"/>
        <v>-12152389.290000001</v>
      </c>
      <c r="KD156" s="11">
        <f t="shared" si="81"/>
        <v>-16467880.460000001</v>
      </c>
      <c r="KE156" s="11">
        <f t="shared" si="81"/>
        <v>-6340367.580000001</v>
      </c>
      <c r="KF156" s="11">
        <f t="shared" si="81"/>
        <v>-4531850.1499999994</v>
      </c>
      <c r="KG156" s="11">
        <f t="shared" si="81"/>
        <v>-7760773.9099999992</v>
      </c>
      <c r="KH156" s="11">
        <f t="shared" si="81"/>
        <v>-11514214.379999999</v>
      </c>
      <c r="KI156" s="11">
        <f t="shared" si="81"/>
        <v>-497895527.36999989</v>
      </c>
      <c r="KJ156" s="11">
        <f t="shared" si="81"/>
        <v>-72177288.104999989</v>
      </c>
      <c r="KK156" s="11">
        <f t="shared" si="81"/>
        <v>-39767405.18</v>
      </c>
      <c r="KL156" s="11">
        <f t="shared" si="81"/>
        <v>-32609400.579999998</v>
      </c>
      <c r="KM156" s="11">
        <f t="shared" si="81"/>
        <v>-11895086.560000001</v>
      </c>
      <c r="KN156" s="11">
        <f t="shared" si="81"/>
        <v>-22940696.889999997</v>
      </c>
      <c r="KO156" s="11">
        <f t="shared" si="81"/>
        <v>-84583410.75999999</v>
      </c>
      <c r="KP156" s="11">
        <f t="shared" si="81"/>
        <v>-9417354.2600000016</v>
      </c>
      <c r="KQ156" s="11">
        <f t="shared" si="81"/>
        <v>-13836585.540000001</v>
      </c>
      <c r="KR156" s="11">
        <f t="shared" si="81"/>
        <v>-206498573.36999997</v>
      </c>
      <c r="KS156" s="11">
        <f t="shared" si="81"/>
        <v>-13967312.210000001</v>
      </c>
      <c r="KT156" s="11">
        <f t="shared" si="81"/>
        <v>-16466690.959999999</v>
      </c>
      <c r="KU156" s="11">
        <f t="shared" si="81"/>
        <v>-45960455.68</v>
      </c>
      <c r="KV156" s="11">
        <f t="shared" si="81"/>
        <v>-28089294.989999998</v>
      </c>
      <c r="KW156" s="11">
        <f t="shared" si="81"/>
        <v>-37682199.140000001</v>
      </c>
      <c r="KX156" s="11">
        <f t="shared" si="81"/>
        <v>-198692047.78</v>
      </c>
      <c r="KY156" s="11">
        <f t="shared" si="81"/>
        <v>-26984257.250000004</v>
      </c>
      <c r="KZ156" s="11">
        <f t="shared" si="81"/>
        <v>-284030607.40000004</v>
      </c>
      <c r="LA156" s="11">
        <f t="shared" si="81"/>
        <v>-19477601.559999999</v>
      </c>
      <c r="LB156" s="11">
        <f t="shared" si="81"/>
        <v>-14110276.76</v>
      </c>
      <c r="LC156" s="11">
        <f t="shared" si="81"/>
        <v>-34899003.360000007</v>
      </c>
      <c r="LD156" s="11">
        <f t="shared" si="81"/>
        <v>-27525345.25</v>
      </c>
      <c r="LE156" s="11">
        <f t="shared" si="81"/>
        <v>-18407751.43</v>
      </c>
      <c r="LF156" s="11">
        <f t="shared" si="81"/>
        <v>-14443534.810000001</v>
      </c>
      <c r="LG156" s="11">
        <f t="shared" si="81"/>
        <v>-23238169</v>
      </c>
      <c r="LH156" s="11">
        <f t="shared" si="81"/>
        <v>-750392514.83000016</v>
      </c>
      <c r="LI156" s="11">
        <f t="shared" si="81"/>
        <v>-110539453.05999999</v>
      </c>
      <c r="LJ156" s="11">
        <f t="shared" si="81"/>
        <v>-123272239.09000002</v>
      </c>
      <c r="LK156" s="11">
        <f t="shared" si="81"/>
        <v>-143750231.90000004</v>
      </c>
      <c r="LL156" s="11">
        <f t="shared" si="81"/>
        <v>-29558066.239999995</v>
      </c>
      <c r="LM156" s="11">
        <f t="shared" ref="LM156:NX156" si="82">SUM(LM61:LM154)*-1</f>
        <v>-29824027.43</v>
      </c>
      <c r="LN156" s="11">
        <f t="shared" si="82"/>
        <v>-12284222.66</v>
      </c>
      <c r="LO156" s="11">
        <f t="shared" si="82"/>
        <v>-40263076.649999999</v>
      </c>
      <c r="LP156" s="11">
        <f t="shared" si="82"/>
        <v>-6310272.8299999991</v>
      </c>
      <c r="LQ156" s="11">
        <f t="shared" si="82"/>
        <v>-40755374.109999992</v>
      </c>
      <c r="LR156" s="11">
        <f t="shared" si="82"/>
        <v>-10583334.609999999</v>
      </c>
      <c r="LS156" s="11">
        <f t="shared" si="82"/>
        <v>-70416643.129999995</v>
      </c>
      <c r="LT156" s="11">
        <f t="shared" si="82"/>
        <v>-12025509.539999999</v>
      </c>
      <c r="LU156" s="11">
        <f t="shared" si="82"/>
        <v>-12430012.24</v>
      </c>
      <c r="LV156" s="11">
        <f t="shared" si="82"/>
        <v>-310326753.98000002</v>
      </c>
      <c r="LW156" s="11">
        <f t="shared" si="82"/>
        <v>-124840512.34999999</v>
      </c>
      <c r="LX156" s="11">
        <f t="shared" si="82"/>
        <v>-341691811.84999996</v>
      </c>
      <c r="LY156" s="11">
        <f t="shared" si="82"/>
        <v>-79504450.75</v>
      </c>
      <c r="LZ156" s="11">
        <f t="shared" si="82"/>
        <v>-37241146.520000003</v>
      </c>
      <c r="MA156" s="11">
        <f t="shared" si="82"/>
        <v>-35130103.059999995</v>
      </c>
      <c r="MB156" s="11">
        <f t="shared" si="82"/>
        <v>-33882228.870000005</v>
      </c>
      <c r="MC156" s="11">
        <f t="shared" si="82"/>
        <v>-30832036.769999996</v>
      </c>
      <c r="MD156" s="11">
        <f t="shared" si="82"/>
        <v>-27296994.739999998</v>
      </c>
      <c r="ME156" s="11">
        <f t="shared" si="82"/>
        <v>-31956582.760000002</v>
      </c>
      <c r="MF156" s="11">
        <f t="shared" si="82"/>
        <v>-67663336.719999999</v>
      </c>
      <c r="MG156" s="11">
        <f t="shared" si="82"/>
        <v>-15691761.970000001</v>
      </c>
      <c r="MH156" s="11">
        <f t="shared" si="82"/>
        <v>-395728141.68000007</v>
      </c>
      <c r="MI156" s="11">
        <f t="shared" si="82"/>
        <v>-18911599.279999997</v>
      </c>
      <c r="MJ156" s="11">
        <f t="shared" si="82"/>
        <v>-11572381.16</v>
      </c>
      <c r="MK156" s="11">
        <f t="shared" si="82"/>
        <v>-10674144.799999999</v>
      </c>
      <c r="ML156" s="11">
        <f t="shared" si="82"/>
        <v>-9069737.3800000008</v>
      </c>
      <c r="MM156" s="11">
        <f t="shared" si="82"/>
        <v>-29312609.560000002</v>
      </c>
      <c r="MN156" s="11">
        <f t="shared" si="82"/>
        <v>-17265723.530000001</v>
      </c>
      <c r="MO156" s="11">
        <f t="shared" si="82"/>
        <v>-8780132.1600000001</v>
      </c>
      <c r="MP156" s="11">
        <f t="shared" si="82"/>
        <v>-35893911.43</v>
      </c>
      <c r="MQ156" s="11">
        <f t="shared" si="82"/>
        <v>-13453883.999999998</v>
      </c>
      <c r="MR156" s="11">
        <f t="shared" si="82"/>
        <v>-17921924.100000001</v>
      </c>
      <c r="MS156" s="11">
        <f t="shared" si="82"/>
        <v>-14572833.750000002</v>
      </c>
      <c r="MT156" s="11">
        <f t="shared" si="82"/>
        <v>-401174573.14000005</v>
      </c>
      <c r="MU156" s="11">
        <f t="shared" si="82"/>
        <v>-29812117.089999996</v>
      </c>
      <c r="MV156" s="11">
        <f t="shared" si="82"/>
        <v>-28395896.480000004</v>
      </c>
      <c r="MW156" s="11">
        <f t="shared" si="82"/>
        <v>-35967259.660000004</v>
      </c>
      <c r="MX156" s="11">
        <f t="shared" si="82"/>
        <v>-60476983.879999995</v>
      </c>
      <c r="MY156" s="11">
        <f t="shared" si="82"/>
        <v>-17784395.140000001</v>
      </c>
      <c r="MZ156" s="11">
        <f t="shared" si="82"/>
        <v>-70417447.190000013</v>
      </c>
      <c r="NA156" s="11">
        <f t="shared" si="82"/>
        <v>-57353810.160000011</v>
      </c>
      <c r="NB156" s="11">
        <f t="shared" si="82"/>
        <v>-39564512.349999987</v>
      </c>
      <c r="NC156" s="11">
        <f t="shared" si="82"/>
        <v>-13550135.17</v>
      </c>
      <c r="ND156" s="11">
        <f t="shared" si="82"/>
        <v>-9770332.8300000001</v>
      </c>
      <c r="NE156" s="11">
        <f t="shared" si="82"/>
        <v>-697812541.69000006</v>
      </c>
      <c r="NF156" s="11">
        <f t="shared" si="82"/>
        <v>-58420585.959999993</v>
      </c>
      <c r="NG156" s="11">
        <f t="shared" si="82"/>
        <v>-16769296.280000001</v>
      </c>
      <c r="NH156" s="11">
        <f t="shared" si="82"/>
        <v>-236899468.93000004</v>
      </c>
      <c r="NI156" s="11">
        <f t="shared" si="82"/>
        <v>-33299658.329999998</v>
      </c>
      <c r="NJ156" s="11">
        <f t="shared" si="82"/>
        <v>-38603203.019999996</v>
      </c>
      <c r="NK156" s="11">
        <f t="shared" si="82"/>
        <v>-227408967.56</v>
      </c>
      <c r="NL156" s="11">
        <f t="shared" si="82"/>
        <v>-138784887.98999995</v>
      </c>
      <c r="NM156" s="11">
        <f t="shared" si="82"/>
        <v>-3525076.8000000003</v>
      </c>
      <c r="NN156" s="11">
        <f t="shared" si="82"/>
        <v>-40797074.520000003</v>
      </c>
      <c r="NO156" s="11">
        <f t="shared" si="82"/>
        <v>-18389275.310000002</v>
      </c>
      <c r="NP156" s="11">
        <f t="shared" si="82"/>
        <v>-16593129.58</v>
      </c>
      <c r="NQ156" s="11">
        <f t="shared" si="82"/>
        <v>-114975755.00000001</v>
      </c>
      <c r="NR156" s="11">
        <f t="shared" si="82"/>
        <v>-11145256.619999999</v>
      </c>
      <c r="NS156" s="11">
        <f t="shared" si="82"/>
        <v>-13653975.719999999</v>
      </c>
      <c r="NT156" s="11">
        <f t="shared" si="82"/>
        <v>-9590289.0299999993</v>
      </c>
      <c r="NU156" s="11">
        <f t="shared" si="82"/>
        <v>-6659179.8699999992</v>
      </c>
      <c r="NV156" s="11">
        <f t="shared" si="82"/>
        <v>-3613433.11</v>
      </c>
      <c r="NW156" s="11">
        <f t="shared" si="82"/>
        <v>-5512377.1900000004</v>
      </c>
      <c r="NX156" s="11">
        <f t="shared" si="82"/>
        <v>-455624023.02000004</v>
      </c>
      <c r="NY156" s="11">
        <f t="shared" ref="NY156:QJ156" si="83">SUM(NY61:NY154)*-1</f>
        <v>-211127455.81999999</v>
      </c>
      <c r="NZ156" s="11">
        <f t="shared" si="83"/>
        <v>-21744038.440000001</v>
      </c>
      <c r="OA156" s="11">
        <f t="shared" si="83"/>
        <v>-10868849.210000001</v>
      </c>
      <c r="OB156" s="11">
        <f t="shared" si="83"/>
        <v>-20803303.960000005</v>
      </c>
      <c r="OC156" s="11">
        <f t="shared" si="83"/>
        <v>-25709844.030000001</v>
      </c>
      <c r="OD156" s="11">
        <f t="shared" si="83"/>
        <v>-15664278.069999998</v>
      </c>
      <c r="OE156" s="11">
        <f t="shared" si="83"/>
        <v>-448086455.84000003</v>
      </c>
      <c r="OF156" s="11">
        <f t="shared" si="83"/>
        <v>-110399070.68000001</v>
      </c>
      <c r="OG156" s="11">
        <f t="shared" si="83"/>
        <v>-30681839.939999998</v>
      </c>
      <c r="OH156" s="11">
        <f t="shared" si="83"/>
        <v>-157216175.46000001</v>
      </c>
      <c r="OI156" s="11">
        <f t="shared" si="83"/>
        <v>-27302700.340000004</v>
      </c>
      <c r="OJ156" s="11">
        <f t="shared" si="83"/>
        <v>-25572556.809999999</v>
      </c>
      <c r="OK156" s="11">
        <f t="shared" si="83"/>
        <v>-63001463.990000002</v>
      </c>
      <c r="OL156" s="11">
        <f t="shared" si="83"/>
        <v>-29514337.330000006</v>
      </c>
      <c r="OM156" s="11">
        <f t="shared" si="83"/>
        <v>-30731729.179999996</v>
      </c>
      <c r="ON156" s="11">
        <f t="shared" si="83"/>
        <v>-279863495.63999999</v>
      </c>
      <c r="OO156" s="11">
        <f t="shared" si="83"/>
        <v>-66196997.460000001</v>
      </c>
      <c r="OP156" s="11">
        <f t="shared" si="83"/>
        <v>-248953276.31</v>
      </c>
      <c r="OQ156" s="11">
        <f t="shared" si="83"/>
        <v>-40035831.869999997</v>
      </c>
      <c r="OR156" s="11">
        <f t="shared" si="83"/>
        <v>-35070241.229999997</v>
      </c>
      <c r="OS156" s="11">
        <f t="shared" si="83"/>
        <v>-39275918.300000004</v>
      </c>
      <c r="OT156" s="11">
        <f t="shared" si="83"/>
        <v>-115230158.40000002</v>
      </c>
      <c r="OU156" s="11">
        <f t="shared" si="83"/>
        <v>-22619800.969999999</v>
      </c>
      <c r="OV156" s="11">
        <f t="shared" si="83"/>
        <v>-22828583.350000005</v>
      </c>
      <c r="OW156" s="11">
        <f t="shared" si="83"/>
        <v>-18567961.539999999</v>
      </c>
      <c r="OX156" s="11">
        <f t="shared" si="83"/>
        <v>-24924853.400000002</v>
      </c>
      <c r="OY156" s="11">
        <f t="shared" si="83"/>
        <v>-83004384.299999997</v>
      </c>
      <c r="OZ156" s="11">
        <f t="shared" si="83"/>
        <v>-16348693.330000004</v>
      </c>
      <c r="PA156" s="11">
        <f t="shared" si="83"/>
        <v>-11544137.77</v>
      </c>
      <c r="PB156" s="11">
        <f t="shared" si="83"/>
        <v>-14748271.389999997</v>
      </c>
      <c r="PC156" s="11">
        <f t="shared" si="83"/>
        <v>-209953919.39000002</v>
      </c>
      <c r="PD156" s="11">
        <f t="shared" si="83"/>
        <v>-9104523.3399999999</v>
      </c>
      <c r="PE156" s="11">
        <f t="shared" si="83"/>
        <v>-48652735.959999993</v>
      </c>
      <c r="PF156" s="11">
        <f t="shared" si="83"/>
        <v>-8075985.6300000018</v>
      </c>
      <c r="PG156" s="11">
        <f t="shared" si="83"/>
        <v>-13571386.98</v>
      </c>
      <c r="PH156" s="11">
        <f t="shared" si="83"/>
        <v>-37139384.789999999</v>
      </c>
      <c r="PI156" s="11">
        <f t="shared" si="83"/>
        <v>-17432941.509999998</v>
      </c>
      <c r="PJ156" s="11">
        <f t="shared" si="83"/>
        <v>-17663897.929999996</v>
      </c>
      <c r="PK156" s="11">
        <f t="shared" si="83"/>
        <v>-21663840.650000006</v>
      </c>
      <c r="PL156" s="11">
        <f t="shared" si="83"/>
        <v>-20580914.160000004</v>
      </c>
      <c r="PM156" s="11">
        <f t="shared" si="83"/>
        <v>-12707421.98</v>
      </c>
      <c r="PN156" s="11">
        <f t="shared" si="83"/>
        <v>-39462120.339999996</v>
      </c>
      <c r="PO156" s="11">
        <f t="shared" si="83"/>
        <v>-10893611.789999999</v>
      </c>
      <c r="PP156" s="11">
        <f t="shared" si="83"/>
        <v>-58616084.68</v>
      </c>
      <c r="PQ156" s="11">
        <f t="shared" si="83"/>
        <v>-13033298.680000002</v>
      </c>
      <c r="PR156" s="11">
        <f t="shared" si="83"/>
        <v>-11511403.83</v>
      </c>
      <c r="PS156" s="11">
        <f t="shared" si="83"/>
        <v>-8655771.7499999981</v>
      </c>
      <c r="PT156" s="11">
        <f t="shared" si="83"/>
        <v>-9830609.7199999988</v>
      </c>
      <c r="PU156" s="11">
        <f t="shared" si="83"/>
        <v>-678870941.31000006</v>
      </c>
      <c r="PV156" s="11">
        <f t="shared" si="83"/>
        <v>-58932326.089999996</v>
      </c>
      <c r="PW156" s="11">
        <f t="shared" si="83"/>
        <v>-18157917.98</v>
      </c>
      <c r="PX156" s="11">
        <f t="shared" si="83"/>
        <v>-22840716.590000004</v>
      </c>
      <c r="PY156" s="11">
        <f t="shared" si="83"/>
        <v>-271259600.54000002</v>
      </c>
      <c r="PZ156" s="11">
        <f t="shared" si="83"/>
        <v>-43994979.55999998</v>
      </c>
      <c r="QA156" s="11">
        <f t="shared" si="83"/>
        <v>-75701115.329999998</v>
      </c>
      <c r="QB156" s="11">
        <f t="shared" si="83"/>
        <v>-15286590.620000001</v>
      </c>
      <c r="QC156" s="11">
        <f t="shared" si="83"/>
        <v>-60511411.630000003</v>
      </c>
      <c r="QD156" s="11">
        <f t="shared" si="83"/>
        <v>-8577501.9800000004</v>
      </c>
      <c r="QE156" s="11">
        <f t="shared" si="83"/>
        <v>-57821864.049999997</v>
      </c>
      <c r="QF156" s="11">
        <f t="shared" si="83"/>
        <v>-17883530.960000001</v>
      </c>
      <c r="QG156" s="11">
        <f t="shared" si="83"/>
        <v>-16213064.669999998</v>
      </c>
      <c r="QH156" s="11">
        <f t="shared" si="83"/>
        <v>-18778702.179999996</v>
      </c>
      <c r="QI156" s="11">
        <f t="shared" si="83"/>
        <v>-47248879.550000004</v>
      </c>
      <c r="QJ156" s="11">
        <f t="shared" si="83"/>
        <v>-24512603.360000007</v>
      </c>
      <c r="QK156" s="11">
        <f t="shared" ref="QK156:SV156" si="84">SUM(QK61:QK154)*-1</f>
        <v>-31268576.309999999</v>
      </c>
      <c r="QL156" s="11">
        <f t="shared" si="84"/>
        <v>-20660748.129999992</v>
      </c>
      <c r="QM156" s="11">
        <f t="shared" si="84"/>
        <v>-19721918.210000001</v>
      </c>
      <c r="QN156" s="11">
        <f t="shared" si="84"/>
        <v>-60963902.159999989</v>
      </c>
      <c r="QO156" s="11">
        <f t="shared" si="84"/>
        <v>-65981595.850000009</v>
      </c>
      <c r="QP156" s="11">
        <f t="shared" si="84"/>
        <v>-15916371.190000003</v>
      </c>
      <c r="QQ156" s="11">
        <f t="shared" si="84"/>
        <v>-5921247.8700000001</v>
      </c>
      <c r="QR156" s="11">
        <f t="shared" si="84"/>
        <v>-12339773.709999997</v>
      </c>
      <c r="QS156" s="11">
        <f t="shared" si="84"/>
        <v>-4502613.2899999991</v>
      </c>
      <c r="QT156" s="11">
        <f t="shared" si="84"/>
        <v>-11247612.65</v>
      </c>
      <c r="QU156" s="11">
        <f t="shared" si="84"/>
        <v>-361726720.40999997</v>
      </c>
      <c r="QV156" s="11">
        <f t="shared" si="84"/>
        <v>-14532880.029999997</v>
      </c>
      <c r="QW156" s="11">
        <f t="shared" si="84"/>
        <v>-48716521.029999994</v>
      </c>
      <c r="QX156" s="11">
        <f t="shared" si="84"/>
        <v>-17148106.039999999</v>
      </c>
      <c r="QY156" s="11">
        <f t="shared" si="84"/>
        <v>-18846054.220000003</v>
      </c>
      <c r="QZ156" s="11">
        <f t="shared" si="84"/>
        <v>-57788685.559999987</v>
      </c>
      <c r="RA156" s="11">
        <f t="shared" si="84"/>
        <v>-28878458.710000001</v>
      </c>
      <c r="RB156" s="11">
        <f t="shared" si="84"/>
        <v>-45804088.090000004</v>
      </c>
      <c r="RC156" s="11">
        <f t="shared" si="84"/>
        <v>-21207684.380000003</v>
      </c>
      <c r="RD156" s="11">
        <f t="shared" si="84"/>
        <v>-32388608.619999997</v>
      </c>
      <c r="RE156" s="11">
        <f t="shared" si="84"/>
        <v>-15675266.929999998</v>
      </c>
      <c r="RF156" s="11">
        <f t="shared" si="84"/>
        <v>-5174529.21</v>
      </c>
      <c r="RG156" s="11">
        <f t="shared" si="84"/>
        <v>-11907412.59</v>
      </c>
      <c r="RH156" s="11">
        <f t="shared" si="84"/>
        <v>-374352751.02999991</v>
      </c>
      <c r="RI156" s="11">
        <f t="shared" si="84"/>
        <v>-79532377.690000013</v>
      </c>
      <c r="RJ156" s="11">
        <f t="shared" si="84"/>
        <v>-29598848.289999999</v>
      </c>
      <c r="RK156" s="11">
        <f t="shared" si="84"/>
        <v>-31389196.34</v>
      </c>
      <c r="RL156" s="11">
        <f t="shared" si="84"/>
        <v>-34517020.469999999</v>
      </c>
      <c r="RM156" s="11">
        <f t="shared" si="84"/>
        <v>-57450339.309999995</v>
      </c>
      <c r="RN156" s="11">
        <f t="shared" si="84"/>
        <v>-38816367.390000001</v>
      </c>
      <c r="RO156" s="11">
        <f t="shared" si="84"/>
        <v>-25294843.590000004</v>
      </c>
      <c r="RP156" s="11">
        <f t="shared" si="84"/>
        <v>-18875156.190000001</v>
      </c>
      <c r="RQ156" s="11">
        <f t="shared" si="84"/>
        <v>-59303326.440000005</v>
      </c>
      <c r="RR156" s="11">
        <f t="shared" si="84"/>
        <v>-73654978.520000011</v>
      </c>
      <c r="RS156" s="11">
        <f t="shared" si="84"/>
        <v>-23494935.57</v>
      </c>
      <c r="RT156" s="11">
        <f t="shared" si="84"/>
        <v>-21963523.780000001</v>
      </c>
      <c r="RU156" s="11">
        <f t="shared" si="84"/>
        <v>-29440698.73</v>
      </c>
      <c r="RV156" s="11">
        <f t="shared" si="84"/>
        <v>-16805647.82</v>
      </c>
      <c r="RW156" s="11">
        <f t="shared" si="84"/>
        <v>-12736894.399999997</v>
      </c>
      <c r="RX156" s="11">
        <f t="shared" si="84"/>
        <v>-25780694.82</v>
      </c>
      <c r="RY156" s="11">
        <f t="shared" si="84"/>
        <v>-9395341.4600000009</v>
      </c>
      <c r="RZ156" s="11">
        <f t="shared" si="84"/>
        <v>-14346410.9</v>
      </c>
      <c r="SA156" s="11">
        <f t="shared" si="84"/>
        <v>-11305240.809999999</v>
      </c>
      <c r="SB156" s="11">
        <f t="shared" si="84"/>
        <v>-178281985.04999998</v>
      </c>
      <c r="SC156" s="11">
        <f t="shared" si="84"/>
        <v>-11440889.17</v>
      </c>
      <c r="SD156" s="11">
        <f t="shared" si="84"/>
        <v>-14004604.539999999</v>
      </c>
      <c r="SE156" s="11">
        <f t="shared" si="84"/>
        <v>-22214743.840000007</v>
      </c>
      <c r="SF156" s="11">
        <f t="shared" si="84"/>
        <v>-8473606.7300000004</v>
      </c>
      <c r="SG156" s="11">
        <f t="shared" si="84"/>
        <v>-22848917.16</v>
      </c>
      <c r="SH156" s="11">
        <f t="shared" si="84"/>
        <v>-36340463.25</v>
      </c>
      <c r="SI156" s="11">
        <f t="shared" si="84"/>
        <v>-27551436.980000004</v>
      </c>
      <c r="SJ156" s="11">
        <f t="shared" si="84"/>
        <v>-18892539.16</v>
      </c>
      <c r="SK156" s="11">
        <f t="shared" si="84"/>
        <v>-9395494.2199999988</v>
      </c>
      <c r="SL156" s="11">
        <f t="shared" si="84"/>
        <v>-71239336.050000012</v>
      </c>
      <c r="SM156" s="11">
        <f t="shared" si="84"/>
        <v>-8714598.6199999992</v>
      </c>
      <c r="SN156" s="11">
        <f t="shared" si="84"/>
        <v>-89812879.849999979</v>
      </c>
      <c r="SO156" s="11">
        <f t="shared" si="84"/>
        <v>-16145951.670000002</v>
      </c>
      <c r="SP156" s="11">
        <f t="shared" si="84"/>
        <v>-19215315.390000001</v>
      </c>
      <c r="SQ156" s="11">
        <f t="shared" si="84"/>
        <v>-43994196.07</v>
      </c>
      <c r="SR156" s="11">
        <f t="shared" si="84"/>
        <v>-12555499.279999997</v>
      </c>
      <c r="SS156" s="11">
        <f t="shared" si="84"/>
        <v>-9571534.8399999999</v>
      </c>
      <c r="ST156" s="11">
        <f t="shared" si="84"/>
        <v>-16086966.299999999</v>
      </c>
      <c r="SU156" s="11">
        <f t="shared" si="84"/>
        <v>-11766024.019999998</v>
      </c>
      <c r="SV156" s="11">
        <f t="shared" si="84"/>
        <v>-274909221.60000002</v>
      </c>
      <c r="SW156" s="11">
        <f t="shared" ref="SW156:VH156" si="85">SUM(SW61:SW154)*-1</f>
        <v>-8440200.9100000001</v>
      </c>
      <c r="SX156" s="11">
        <f t="shared" si="85"/>
        <v>-23077708.319999997</v>
      </c>
      <c r="SY156" s="11">
        <f t="shared" si="85"/>
        <v>-24844698.470000003</v>
      </c>
      <c r="SZ156" s="11">
        <f t="shared" si="85"/>
        <v>-6081395.0800000001</v>
      </c>
      <c r="TA156" s="11">
        <f t="shared" si="85"/>
        <v>-8397234.8200000003</v>
      </c>
      <c r="TB156" s="11">
        <f t="shared" si="85"/>
        <v>-8974469.7199999988</v>
      </c>
      <c r="TC156" s="11">
        <f t="shared" si="85"/>
        <v>-82622023.88000001</v>
      </c>
      <c r="TD156" s="11">
        <f t="shared" si="85"/>
        <v>-12889346.929999998</v>
      </c>
      <c r="TE156" s="11">
        <f t="shared" si="85"/>
        <v>-13695456.720000001</v>
      </c>
      <c r="TF156" s="11">
        <f t="shared" si="85"/>
        <v>-16383087.449999999</v>
      </c>
      <c r="TG156" s="11">
        <f t="shared" si="85"/>
        <v>-50626062.440000005</v>
      </c>
      <c r="TH156" s="11">
        <f t="shared" si="85"/>
        <v>-8593069.3000000007</v>
      </c>
      <c r="TI156" s="11">
        <f t="shared" si="85"/>
        <v>-8387656.8399999989</v>
      </c>
      <c r="TJ156" s="11">
        <f t="shared" si="85"/>
        <v>-371422508.02000004</v>
      </c>
      <c r="TK156" s="11">
        <f t="shared" si="85"/>
        <v>-14800072.060000001</v>
      </c>
      <c r="TL156" s="11">
        <f t="shared" si="85"/>
        <v>-21028152.860000003</v>
      </c>
      <c r="TM156" s="11">
        <f t="shared" si="85"/>
        <v>-36575502.770000003</v>
      </c>
      <c r="TN156" s="11">
        <f t="shared" si="85"/>
        <v>-34313121.419999994</v>
      </c>
      <c r="TO156" s="11">
        <f t="shared" si="85"/>
        <v>-13584855.979999999</v>
      </c>
      <c r="TP156" s="11">
        <f t="shared" si="85"/>
        <v>-8720262.9900000021</v>
      </c>
      <c r="TQ156" s="11">
        <f t="shared" si="85"/>
        <v>-79579450.030000001</v>
      </c>
      <c r="TR156" s="11">
        <f t="shared" si="85"/>
        <v>-11327139.73</v>
      </c>
      <c r="TS156" s="11">
        <f t="shared" si="85"/>
        <v>-28426838.170000002</v>
      </c>
      <c r="TT156" s="11">
        <f t="shared" si="85"/>
        <v>-34649855.920000002</v>
      </c>
      <c r="TU156" s="11">
        <f t="shared" si="85"/>
        <v>-8183544.1699999999</v>
      </c>
      <c r="TV156" s="11">
        <f t="shared" si="85"/>
        <v>-9524216.0399999991</v>
      </c>
      <c r="TW156" s="11">
        <f t="shared" si="85"/>
        <v>-14224010.840000004</v>
      </c>
      <c r="TX156" s="11">
        <f t="shared" si="85"/>
        <v>-19897267.649999999</v>
      </c>
      <c r="TY156" s="11">
        <f t="shared" si="85"/>
        <v>-5142844.99</v>
      </c>
      <c r="TZ156" s="11">
        <f t="shared" si="85"/>
        <v>-85563510.669999987</v>
      </c>
      <c r="UA156" s="11">
        <f t="shared" si="85"/>
        <v>-11730895.629999999</v>
      </c>
      <c r="UB156" s="11">
        <f t="shared" si="85"/>
        <v>-141073493.13999999</v>
      </c>
      <c r="UC156" s="11">
        <f t="shared" si="85"/>
        <v>-52083903.229999989</v>
      </c>
      <c r="UD156" s="11">
        <f t="shared" si="85"/>
        <v>-19335527.899999999</v>
      </c>
      <c r="UE156" s="11">
        <f t="shared" si="85"/>
        <v>-23632106.109999999</v>
      </c>
      <c r="UF156" s="11">
        <f t="shared" si="85"/>
        <v>-230942286.15000001</v>
      </c>
      <c r="UG156" s="11">
        <f t="shared" si="85"/>
        <v>-16676554.460000001</v>
      </c>
      <c r="UH156" s="11">
        <f t="shared" si="85"/>
        <v>-15757308.459999999</v>
      </c>
      <c r="UI156" s="11">
        <f t="shared" si="85"/>
        <v>-23447398.529999994</v>
      </c>
      <c r="UJ156" s="11">
        <f t="shared" si="85"/>
        <v>-14972058.279999999</v>
      </c>
      <c r="UK156" s="11">
        <f t="shared" si="85"/>
        <v>-113679345.48999999</v>
      </c>
      <c r="UL156" s="11">
        <f t="shared" si="85"/>
        <v>-45344247.829999991</v>
      </c>
      <c r="UM156" s="11">
        <f t="shared" si="85"/>
        <v>-24305943.410000004</v>
      </c>
      <c r="UN156" s="11">
        <f t="shared" si="85"/>
        <v>-53156506.290000007</v>
      </c>
      <c r="UO156" s="11">
        <f t="shared" si="85"/>
        <v>-25283731.5</v>
      </c>
      <c r="UP156" s="11">
        <f t="shared" si="85"/>
        <v>-27356941.739999995</v>
      </c>
      <c r="UQ156" s="11">
        <f t="shared" si="85"/>
        <v>-640175880.68000007</v>
      </c>
      <c r="UR156" s="11">
        <f t="shared" si="85"/>
        <v>-34093766.189999998</v>
      </c>
      <c r="US156" s="11">
        <f t="shared" si="85"/>
        <v>-28211499.619999997</v>
      </c>
      <c r="UT156" s="11">
        <f t="shared" si="85"/>
        <v>-112991858.65000001</v>
      </c>
      <c r="UU156" s="11">
        <f t="shared" si="85"/>
        <v>-3990174.87</v>
      </c>
      <c r="UV156" s="11">
        <f t="shared" si="85"/>
        <v>-23121956.509999994</v>
      </c>
      <c r="UW156" s="11">
        <f t="shared" si="85"/>
        <v>-69626133.38000001</v>
      </c>
      <c r="UX156" s="11">
        <f t="shared" si="85"/>
        <v>-12980050.58</v>
      </c>
      <c r="UY156" s="11">
        <f t="shared" si="85"/>
        <v>-18212530.73</v>
      </c>
      <c r="UZ156" s="11">
        <f t="shared" si="85"/>
        <v>-21246724.539999999</v>
      </c>
      <c r="VA156" s="11">
        <f t="shared" si="85"/>
        <v>-24005025.450000007</v>
      </c>
      <c r="VB156" s="11">
        <f t="shared" si="85"/>
        <v>-69083819.590000004</v>
      </c>
      <c r="VC156" s="11">
        <f t="shared" si="85"/>
        <v>-36661558.679999992</v>
      </c>
      <c r="VD156" s="11">
        <f t="shared" si="85"/>
        <v>-37118953.590000004</v>
      </c>
      <c r="VE156" s="11">
        <f t="shared" si="85"/>
        <v>-22794067.919999998</v>
      </c>
      <c r="VF156" s="11">
        <f t="shared" si="85"/>
        <v>-17400223.430000003</v>
      </c>
      <c r="VG156" s="11">
        <f t="shared" si="85"/>
        <v>-19377208.660000004</v>
      </c>
      <c r="VH156" s="11">
        <f t="shared" si="85"/>
        <v>-19528723.190000001</v>
      </c>
      <c r="VI156" s="11">
        <f t="shared" ref="VI156:XT156" si="86">SUM(VI61:VI154)*-1</f>
        <v>-83173050.310000017</v>
      </c>
      <c r="VJ156" s="11">
        <f t="shared" si="86"/>
        <v>-13953920.139999999</v>
      </c>
      <c r="VK156" s="11">
        <f t="shared" si="86"/>
        <v>-11841383.459999999</v>
      </c>
      <c r="VL156" s="11">
        <f t="shared" si="86"/>
        <v>-7231573.7599999998</v>
      </c>
      <c r="VM156" s="11">
        <f t="shared" si="86"/>
        <v>-368564468.83999997</v>
      </c>
      <c r="VN156" s="11">
        <f t="shared" si="86"/>
        <v>-20618211.130000003</v>
      </c>
      <c r="VO156" s="11">
        <f t="shared" si="86"/>
        <v>-32882909</v>
      </c>
      <c r="VP156" s="11">
        <f t="shared" si="86"/>
        <v>-34785285.450000003</v>
      </c>
      <c r="VQ156" s="11">
        <f t="shared" si="86"/>
        <v>-53012566.710000001</v>
      </c>
      <c r="VR156" s="11">
        <f t="shared" si="86"/>
        <v>-45353293.789999999</v>
      </c>
      <c r="VS156" s="11">
        <f t="shared" si="86"/>
        <v>-28133280.039999999</v>
      </c>
      <c r="VT156" s="11">
        <f t="shared" si="86"/>
        <v>-11397659.199999999</v>
      </c>
      <c r="VU156" s="11">
        <f t="shared" si="86"/>
        <v>-31627795.350000001</v>
      </c>
      <c r="VV156" s="11">
        <f t="shared" si="86"/>
        <v>-127556627.47</v>
      </c>
      <c r="VW156" s="11">
        <f t="shared" si="86"/>
        <v>-18253838.899999999</v>
      </c>
      <c r="VX156" s="11">
        <f t="shared" si="86"/>
        <v>-54028170.379999988</v>
      </c>
      <c r="VY156" s="11">
        <f t="shared" si="86"/>
        <v>-28464437.690000001</v>
      </c>
      <c r="VZ156" s="11">
        <f t="shared" si="86"/>
        <v>-8481908.4900000002</v>
      </c>
      <c r="WA156" s="11">
        <f t="shared" si="86"/>
        <v>-14284632.649999999</v>
      </c>
      <c r="WB156" s="11">
        <f t="shared" si="86"/>
        <v>-928664563.48000002</v>
      </c>
      <c r="WC156" s="11">
        <f t="shared" si="86"/>
        <v>-33055850.239999995</v>
      </c>
      <c r="WD156" s="11">
        <f t="shared" si="86"/>
        <v>-25139808.390000001</v>
      </c>
      <c r="WE156" s="11">
        <f t="shared" si="86"/>
        <v>-18276338.299999997</v>
      </c>
      <c r="WF156" s="11">
        <f t="shared" si="86"/>
        <v>-8303720.8200000012</v>
      </c>
      <c r="WG156" s="11">
        <f t="shared" si="86"/>
        <v>-23883445.720000003</v>
      </c>
      <c r="WH156" s="11">
        <f t="shared" si="86"/>
        <v>-60420097.469999999</v>
      </c>
      <c r="WI156" s="11">
        <f t="shared" si="86"/>
        <v>-34745975.760000005</v>
      </c>
      <c r="WJ156" s="11">
        <f t="shared" si="86"/>
        <v>-19253084.899999999</v>
      </c>
      <c r="WK156" s="11">
        <f t="shared" si="86"/>
        <v>-45804370.140000001</v>
      </c>
      <c r="WL156" s="11">
        <f t="shared" si="86"/>
        <v>-13464811.000000002</v>
      </c>
      <c r="WM156" s="11">
        <f t="shared" si="86"/>
        <v>-66997440.799999997</v>
      </c>
      <c r="WN156" s="11">
        <f t="shared" si="86"/>
        <v>-17343393.329999998</v>
      </c>
      <c r="WO156" s="11">
        <f t="shared" si="86"/>
        <v>-58201818.620000005</v>
      </c>
      <c r="WP156" s="11">
        <f t="shared" si="86"/>
        <v>-63151162.860000007</v>
      </c>
      <c r="WQ156" s="11">
        <f t="shared" si="86"/>
        <v>-16063318.069999998</v>
      </c>
      <c r="WR156" s="11">
        <f t="shared" si="86"/>
        <v>-12511631.049999999</v>
      </c>
      <c r="WS156" s="11">
        <f t="shared" si="86"/>
        <v>-34331778.579999998</v>
      </c>
      <c r="WT156" s="11">
        <f t="shared" si="86"/>
        <v>-9866163.6799999997</v>
      </c>
      <c r="WU156" s="11">
        <f t="shared" si="86"/>
        <v>-39335758.219999999</v>
      </c>
      <c r="WV156" s="11">
        <f t="shared" si="86"/>
        <v>-155034499.99000001</v>
      </c>
      <c r="WW156" s="11">
        <f t="shared" si="86"/>
        <v>-39237547.200000003</v>
      </c>
      <c r="WX156" s="11">
        <f t="shared" si="86"/>
        <v>-21030468.260000002</v>
      </c>
      <c r="WY156" s="11">
        <f t="shared" si="86"/>
        <v>-11894750.77</v>
      </c>
      <c r="WZ156" s="11">
        <f t="shared" si="86"/>
        <v>-22646376.870000001</v>
      </c>
      <c r="XA156" s="11">
        <f t="shared" si="86"/>
        <v>-16915268.949999996</v>
      </c>
      <c r="XB156" s="11">
        <f t="shared" si="86"/>
        <v>-7619935.7400000012</v>
      </c>
      <c r="XC156" s="11">
        <f t="shared" si="86"/>
        <v>-18981592.820000004</v>
      </c>
      <c r="XD156" s="11">
        <f t="shared" si="86"/>
        <v>-102297628.8</v>
      </c>
      <c r="XE156" s="11">
        <f t="shared" si="86"/>
        <v>-15982099.92</v>
      </c>
      <c r="XF156" s="11">
        <f t="shared" si="86"/>
        <v>-4526235.0199999996</v>
      </c>
      <c r="XG156" s="11">
        <f t="shared" si="86"/>
        <v>-5786861.3599999994</v>
      </c>
      <c r="XH156" s="11">
        <f t="shared" si="86"/>
        <v>-12828918.73</v>
      </c>
      <c r="XI156" s="11">
        <f t="shared" si="86"/>
        <v>-416436715.56999999</v>
      </c>
      <c r="XJ156" s="11">
        <f t="shared" si="86"/>
        <v>-40033130.25</v>
      </c>
      <c r="XK156" s="11">
        <f t="shared" si="86"/>
        <v>-27913883.740000002</v>
      </c>
      <c r="XL156" s="11">
        <f t="shared" si="86"/>
        <v>-166244612.74000004</v>
      </c>
      <c r="XM156" s="11">
        <f t="shared" si="86"/>
        <v>-28522058.470000003</v>
      </c>
      <c r="XN156" s="11">
        <f t="shared" si="86"/>
        <v>-17283491.41</v>
      </c>
      <c r="XO156" s="11">
        <f t="shared" si="86"/>
        <v>-81569155.450000003</v>
      </c>
      <c r="XP156" s="11">
        <f t="shared" si="86"/>
        <v>-27643019.409999996</v>
      </c>
      <c r="XQ156" s="11">
        <f t="shared" si="86"/>
        <v>-20000136.100000001</v>
      </c>
      <c r="XR156" s="11">
        <f t="shared" si="86"/>
        <v>-44275217.090000004</v>
      </c>
      <c r="XS156" s="11">
        <f t="shared" si="86"/>
        <v>-45257807.330000013</v>
      </c>
      <c r="XT156" s="11">
        <f t="shared" si="86"/>
        <v>-14374065.35</v>
      </c>
      <c r="XU156" s="11">
        <f t="shared" ref="XU156:AAF156" si="87">SUM(XU61:XU154)*-1</f>
        <v>-20717598.559999999</v>
      </c>
      <c r="XV156" s="11">
        <f t="shared" si="87"/>
        <v>-18486249.529999997</v>
      </c>
      <c r="XW156" s="11">
        <f t="shared" si="87"/>
        <v>-14159790.15</v>
      </c>
      <c r="XX156" s="11">
        <f t="shared" si="87"/>
        <v>-15366109.58</v>
      </c>
      <c r="XY156" s="11">
        <f t="shared" si="87"/>
        <v>-9219171.6500000022</v>
      </c>
      <c r="XZ156" s="11">
        <f t="shared" si="87"/>
        <v>-15176437.120000001</v>
      </c>
      <c r="YA156" s="11">
        <f t="shared" si="87"/>
        <v>-12995566.280000001</v>
      </c>
      <c r="YB156" s="11">
        <f t="shared" si="87"/>
        <v>-8132207.0599999996</v>
      </c>
      <c r="YC156" s="11">
        <f t="shared" si="87"/>
        <v>-9334202.4199999981</v>
      </c>
      <c r="YD156" s="11">
        <f t="shared" si="87"/>
        <v>-14828909.509999996</v>
      </c>
      <c r="YE156" s="11">
        <f t="shared" si="87"/>
        <v>-15388452.41</v>
      </c>
      <c r="YF156" s="11">
        <f t="shared" si="87"/>
        <v>-373066059.91999996</v>
      </c>
      <c r="YG156" s="11">
        <f t="shared" si="87"/>
        <v>-18519061.299999997</v>
      </c>
      <c r="YH156" s="11">
        <f t="shared" si="87"/>
        <v>-42498369.430000007</v>
      </c>
      <c r="YI156" s="11">
        <f t="shared" si="87"/>
        <v>-12469365.99</v>
      </c>
      <c r="YJ156" s="11">
        <f t="shared" si="87"/>
        <v>-129800325.61</v>
      </c>
      <c r="YK156" s="11">
        <f t="shared" si="87"/>
        <v>-13277165.309999999</v>
      </c>
      <c r="YL156" s="11">
        <f t="shared" si="87"/>
        <v>-47412878.349999987</v>
      </c>
      <c r="YM156" s="11">
        <f t="shared" si="87"/>
        <v>-8762814.3599999994</v>
      </c>
      <c r="YN156" s="11">
        <f t="shared" si="87"/>
        <v>-63115194.060000002</v>
      </c>
      <c r="YO156" s="11">
        <f t="shared" si="87"/>
        <v>-66172897.640000001</v>
      </c>
      <c r="YP156" s="11">
        <f t="shared" si="87"/>
        <v>-21613044.709999997</v>
      </c>
      <c r="YQ156" s="11">
        <f t="shared" si="87"/>
        <v>-17249334.249999996</v>
      </c>
      <c r="YR156" s="11">
        <f t="shared" si="87"/>
        <v>-22516208.679999996</v>
      </c>
      <c r="YS156" s="11">
        <f t="shared" si="87"/>
        <v>-12879357.089999998</v>
      </c>
      <c r="YT156" s="11">
        <f t="shared" si="87"/>
        <v>-11179570.999999998</v>
      </c>
      <c r="YU156" s="11">
        <f t="shared" si="87"/>
        <v>-25525640.060000002</v>
      </c>
      <c r="YV156" s="11">
        <f t="shared" si="87"/>
        <v>-10563959.809999999</v>
      </c>
      <c r="YW156" s="11">
        <f t="shared" si="87"/>
        <v>-174652921.18000001</v>
      </c>
      <c r="YX156" s="11">
        <f t="shared" si="87"/>
        <v>-17241260.140000001</v>
      </c>
      <c r="YY156" s="11">
        <f t="shared" si="87"/>
        <v>-13251765.039999999</v>
      </c>
      <c r="YZ156" s="11">
        <f t="shared" si="87"/>
        <v>-12504894.409999998</v>
      </c>
      <c r="ZA156" s="11">
        <f t="shared" si="87"/>
        <v>-22167195.43</v>
      </c>
      <c r="ZB156" s="11">
        <f t="shared" si="87"/>
        <v>-11416365.4</v>
      </c>
      <c r="ZC156" s="11">
        <f t="shared" si="87"/>
        <v>-10223131.610000001</v>
      </c>
      <c r="ZD156" s="11">
        <f t="shared" si="87"/>
        <v>-115631333.2</v>
      </c>
      <c r="ZE156" s="11">
        <f t="shared" si="87"/>
        <v>-8503872.6400000006</v>
      </c>
      <c r="ZF156" s="11">
        <f t="shared" si="87"/>
        <v>-15077202.489999998</v>
      </c>
      <c r="ZG156" s="11">
        <f t="shared" si="87"/>
        <v>-12170168.99</v>
      </c>
      <c r="ZH156" s="11">
        <f t="shared" si="87"/>
        <v>-8594906.5299999993</v>
      </c>
      <c r="ZI156" s="11">
        <f t="shared" si="87"/>
        <v>-10509024.469999999</v>
      </c>
      <c r="ZJ156" s="11">
        <f t="shared" si="87"/>
        <v>-19306493.289999999</v>
      </c>
      <c r="ZK156" s="11">
        <f t="shared" si="87"/>
        <v>-11605684.329999998</v>
      </c>
      <c r="ZL156" s="11">
        <f t="shared" si="87"/>
        <v>-81053477.999999985</v>
      </c>
      <c r="ZM156" s="11">
        <f t="shared" si="87"/>
        <v>-324719266.76000011</v>
      </c>
      <c r="ZN156" s="11">
        <f t="shared" si="87"/>
        <v>-12477722.43</v>
      </c>
      <c r="ZO156" s="11">
        <f t="shared" si="87"/>
        <v>-41527703.467000008</v>
      </c>
      <c r="ZP156" s="11">
        <f t="shared" si="87"/>
        <v>-80453031.450000003</v>
      </c>
      <c r="ZQ156" s="11">
        <f t="shared" si="87"/>
        <v>-63159257.609999999</v>
      </c>
      <c r="ZR156" s="11">
        <f t="shared" si="87"/>
        <v>-10212634.646999998</v>
      </c>
      <c r="ZS156" s="11">
        <f t="shared" si="87"/>
        <v>-28387783.280000001</v>
      </c>
      <c r="ZT156" s="11">
        <f t="shared" si="87"/>
        <v>-57127994.469999999</v>
      </c>
      <c r="ZU156" s="11">
        <f t="shared" si="87"/>
        <v>-38621886.320000008</v>
      </c>
      <c r="ZV156" s="11">
        <f t="shared" si="87"/>
        <v>-63569867.149999991</v>
      </c>
      <c r="ZW156" s="11">
        <f t="shared" si="87"/>
        <v>-11030754.130000001</v>
      </c>
      <c r="ZX156" s="11">
        <f t="shared" si="87"/>
        <v>-18879927.340000004</v>
      </c>
      <c r="ZY156" s="11">
        <f t="shared" si="87"/>
        <v>-16008963.780000001</v>
      </c>
      <c r="ZZ156" s="11">
        <f t="shared" si="87"/>
        <v>-43157626.229999997</v>
      </c>
      <c r="AAA156" s="11">
        <f t="shared" si="87"/>
        <v>-13729284.740000002</v>
      </c>
      <c r="AAB156" s="11">
        <f t="shared" si="87"/>
        <v>-20855140.179999996</v>
      </c>
      <c r="AAC156" s="11">
        <f t="shared" si="87"/>
        <v>-17045715.879999999</v>
      </c>
      <c r="AAD156" s="11">
        <f t="shared" si="87"/>
        <v>-10326548.369999999</v>
      </c>
      <c r="AAE156" s="11">
        <f t="shared" si="87"/>
        <v>-20863177.309999999</v>
      </c>
      <c r="AAF156" s="11">
        <f t="shared" si="87"/>
        <v>-14022489.010000002</v>
      </c>
      <c r="AAG156" s="11">
        <f t="shared" ref="AAG156:ACR156" si="88">SUM(AAG61:AAG154)*-1</f>
        <v>-7722350.7299999995</v>
      </c>
      <c r="AAH156" s="11">
        <f t="shared" si="88"/>
        <v>-12772471.77</v>
      </c>
      <c r="AAI156" s="11">
        <f t="shared" si="88"/>
        <v>-130423739.81999999</v>
      </c>
      <c r="AAJ156" s="11">
        <f t="shared" si="88"/>
        <v>-21903215.570000004</v>
      </c>
      <c r="AAK156" s="11">
        <f t="shared" si="88"/>
        <v>-20886348.300000001</v>
      </c>
      <c r="AAL156" s="11">
        <f t="shared" si="88"/>
        <v>-15582908.4</v>
      </c>
      <c r="AAM156" s="11">
        <f t="shared" si="88"/>
        <v>-6907021.54</v>
      </c>
      <c r="AAN156" s="11">
        <f t="shared" si="88"/>
        <v>-32108874.250000004</v>
      </c>
      <c r="AAO156" s="11">
        <f t="shared" si="88"/>
        <v>-9421731.4499999993</v>
      </c>
      <c r="AAP156" s="11">
        <f t="shared" si="88"/>
        <v>-943453172.36000001</v>
      </c>
      <c r="AAQ156" s="11">
        <f t="shared" si="88"/>
        <v>-37300982.749999993</v>
      </c>
      <c r="AAR156" s="11">
        <f t="shared" si="88"/>
        <v>-22386030.469999999</v>
      </c>
      <c r="AAS156" s="11">
        <f t="shared" si="88"/>
        <v>-46236938.329999998</v>
      </c>
      <c r="AAT156" s="11">
        <f t="shared" si="88"/>
        <v>-41899536.789999992</v>
      </c>
      <c r="AAU156" s="11">
        <f t="shared" si="88"/>
        <v>-12322665.18</v>
      </c>
      <c r="AAV156" s="11">
        <f t="shared" si="88"/>
        <v>-19225435.66</v>
      </c>
      <c r="AAW156" s="11">
        <f t="shared" si="88"/>
        <v>-31610489.239999998</v>
      </c>
      <c r="AAX156" s="11">
        <f t="shared" si="88"/>
        <v>-132142245.25000001</v>
      </c>
      <c r="AAY156" s="11">
        <f t="shared" si="88"/>
        <v>-22131322.630000003</v>
      </c>
      <c r="AAZ156" s="11">
        <f t="shared" si="88"/>
        <v>-33199644.630000006</v>
      </c>
      <c r="ABA156" s="11">
        <f t="shared" si="88"/>
        <v>-140912313.44</v>
      </c>
      <c r="ABB156" s="11">
        <f t="shared" si="88"/>
        <v>-51262462.480000004</v>
      </c>
      <c r="ABC156" s="11">
        <f t="shared" si="88"/>
        <v>-9560272.8099999987</v>
      </c>
      <c r="ABD156" s="11">
        <f t="shared" si="88"/>
        <v>-20505665.529999997</v>
      </c>
      <c r="ABE156" s="11">
        <f t="shared" si="88"/>
        <v>-18514429.539999995</v>
      </c>
      <c r="ABF156" s="11">
        <f t="shared" si="88"/>
        <v>-10838894.110000001</v>
      </c>
      <c r="ABG156" s="11">
        <f t="shared" si="88"/>
        <v>-16432539.58</v>
      </c>
      <c r="ABH156" s="11">
        <f t="shared" si="88"/>
        <v>-17044946.239999998</v>
      </c>
      <c r="ABI156" s="11">
        <f t="shared" si="88"/>
        <v>-135885234.63000003</v>
      </c>
      <c r="ABJ156" s="11">
        <f t="shared" si="88"/>
        <v>-102475953.56999999</v>
      </c>
      <c r="ABK156" s="11">
        <f t="shared" si="88"/>
        <v>-23757179.260000002</v>
      </c>
      <c r="ABL156" s="11">
        <f t="shared" si="88"/>
        <v>-10092107.329999996</v>
      </c>
      <c r="ABM156" s="11">
        <f t="shared" si="88"/>
        <v>-23918182.960000001</v>
      </c>
      <c r="ABN156" s="11">
        <f t="shared" si="88"/>
        <v>-7951400.0099999998</v>
      </c>
      <c r="ABO156" s="11">
        <f t="shared" si="88"/>
        <v>-12020607.589999998</v>
      </c>
      <c r="ABP156" s="11">
        <f t="shared" si="88"/>
        <v>-202176259.99000001</v>
      </c>
      <c r="ABQ156" s="11">
        <f t="shared" si="88"/>
        <v>-28289589.719999999</v>
      </c>
      <c r="ABR156" s="11">
        <f t="shared" si="88"/>
        <v>-22334408.580000006</v>
      </c>
      <c r="ABS156" s="11">
        <f t="shared" si="88"/>
        <v>-28163457.799999997</v>
      </c>
      <c r="ABT156" s="11">
        <f t="shared" si="88"/>
        <v>-39528645.150000006</v>
      </c>
      <c r="ABU156" s="11">
        <f t="shared" si="88"/>
        <v>-20199917.620000001</v>
      </c>
      <c r="ABV156" s="11">
        <f t="shared" si="88"/>
        <v>-13385080.92</v>
      </c>
      <c r="ABW156" s="11">
        <f t="shared" si="88"/>
        <v>-19174520.689999998</v>
      </c>
      <c r="ABX156" s="11">
        <f t="shared" si="88"/>
        <v>-3372564.0900000003</v>
      </c>
      <c r="ABY156" s="11">
        <f t="shared" si="88"/>
        <v>-330613931.08000004</v>
      </c>
      <c r="ABZ156" s="11">
        <f t="shared" si="88"/>
        <v>-17678156.810000002</v>
      </c>
      <c r="ACA156" s="11">
        <f t="shared" si="88"/>
        <v>-40840815.390000008</v>
      </c>
      <c r="ACB156" s="11">
        <f t="shared" si="88"/>
        <v>-13560064.35</v>
      </c>
      <c r="ACC156" s="11">
        <f t="shared" si="88"/>
        <v>-15616211.630000001</v>
      </c>
      <c r="ACD156" s="11">
        <f t="shared" si="88"/>
        <v>-133833175.20999996</v>
      </c>
      <c r="ACE156" s="11">
        <f t="shared" si="88"/>
        <v>-8840065.9600000009</v>
      </c>
      <c r="ACF156" s="11">
        <f t="shared" si="88"/>
        <v>-12237803.610000001</v>
      </c>
      <c r="ACG156" s="11">
        <f t="shared" si="88"/>
        <v>-14535935.75</v>
      </c>
      <c r="ACH156" s="11">
        <f t="shared" si="88"/>
        <v>-20690011.690000001</v>
      </c>
      <c r="ACI156" s="11">
        <f t="shared" si="88"/>
        <v>-19933436.82</v>
      </c>
      <c r="ACJ156" s="11">
        <f t="shared" si="88"/>
        <v>-473419768.50000006</v>
      </c>
      <c r="ACK156" s="11">
        <f t="shared" si="88"/>
        <v>-10683052.910000002</v>
      </c>
      <c r="ACL156" s="11">
        <f t="shared" si="88"/>
        <v>-29884507.029999994</v>
      </c>
      <c r="ACM156" s="11">
        <f t="shared" si="88"/>
        <v>-40357355.190000005</v>
      </c>
      <c r="ACN156" s="11">
        <f t="shared" si="88"/>
        <v>-12274086.729999999</v>
      </c>
      <c r="ACO156" s="11">
        <f t="shared" si="88"/>
        <v>-42673648.159999996</v>
      </c>
      <c r="ACP156" s="11">
        <f t="shared" si="88"/>
        <v>-19768271.760000002</v>
      </c>
      <c r="ACQ156" s="11">
        <f t="shared" si="88"/>
        <v>-118102354.73999999</v>
      </c>
      <c r="ACR156" s="11">
        <f t="shared" si="88"/>
        <v>-157036565.74000001</v>
      </c>
      <c r="ACS156" s="11">
        <f t="shared" ref="ACS156:AFD156" si="89">SUM(ACS61:ACS154)*-1</f>
        <v>-29488072.23</v>
      </c>
      <c r="ACT156" s="11">
        <f t="shared" si="89"/>
        <v>-59535443.040000007</v>
      </c>
      <c r="ACU156" s="11">
        <f t="shared" si="89"/>
        <v>-46759012.810000002</v>
      </c>
      <c r="ACV156" s="11">
        <f t="shared" si="89"/>
        <v>-35872870.910000011</v>
      </c>
      <c r="ACW156" s="11">
        <f t="shared" si="89"/>
        <v>-73423748.700000003</v>
      </c>
      <c r="ACX156" s="11">
        <f t="shared" si="89"/>
        <v>-30633337.68</v>
      </c>
      <c r="ACY156" s="11">
        <f t="shared" si="89"/>
        <v>-13754043.649999999</v>
      </c>
      <c r="ACZ156" s="11">
        <f t="shared" si="89"/>
        <v>-36187180.329999998</v>
      </c>
      <c r="ADA156" s="11">
        <f t="shared" si="89"/>
        <v>-20471052.16</v>
      </c>
      <c r="ADB156" s="11">
        <f t="shared" si="89"/>
        <v>-18122000.990000002</v>
      </c>
      <c r="ADC156" s="11">
        <f t="shared" si="89"/>
        <v>-12132159.840000002</v>
      </c>
      <c r="ADD156" s="11">
        <f t="shared" si="89"/>
        <v>-27620670.199999996</v>
      </c>
      <c r="ADE156" s="11">
        <f t="shared" si="89"/>
        <v>-14811297.42</v>
      </c>
      <c r="ADF156" s="11">
        <f t="shared" si="89"/>
        <v>-12121087.309999997</v>
      </c>
      <c r="ADG156" s="11">
        <f t="shared" si="89"/>
        <v>-76400335.089999989</v>
      </c>
      <c r="ADH156" s="11">
        <f t="shared" si="89"/>
        <v>-62301288.789999999</v>
      </c>
      <c r="ADI156" s="11">
        <f t="shared" si="89"/>
        <v>-4757800.3000000007</v>
      </c>
      <c r="ADJ156" s="11">
        <f t="shared" si="89"/>
        <v>-12697598.560000001</v>
      </c>
      <c r="ADK156" s="11">
        <f t="shared" si="89"/>
        <v>-29642057.209999993</v>
      </c>
      <c r="ADL156" s="11">
        <f t="shared" si="89"/>
        <v>-8928306.0899999999</v>
      </c>
      <c r="ADM156" s="11">
        <f t="shared" si="89"/>
        <v>-23901915.43</v>
      </c>
      <c r="ADN156" s="11">
        <f t="shared" si="89"/>
        <v>-27224726.489999998</v>
      </c>
      <c r="ADO156" s="11">
        <f t="shared" si="89"/>
        <v>-36761199.159999996</v>
      </c>
      <c r="ADP156" s="11">
        <f t="shared" si="89"/>
        <v>-500796235.06999993</v>
      </c>
      <c r="ADQ156" s="11">
        <f t="shared" si="89"/>
        <v>-62559040.969999999</v>
      </c>
      <c r="ADR156" s="11">
        <f t="shared" si="89"/>
        <v>-44875803.199999996</v>
      </c>
      <c r="ADS156" s="11">
        <f t="shared" si="89"/>
        <v>-14712955.149999999</v>
      </c>
      <c r="ADT156" s="11">
        <f t="shared" si="89"/>
        <v>-158823644.43999997</v>
      </c>
      <c r="ADU156" s="11">
        <f t="shared" si="89"/>
        <v>-7629773.9199999999</v>
      </c>
      <c r="ADV156" s="11">
        <f t="shared" si="89"/>
        <v>-21747424.119999997</v>
      </c>
      <c r="ADW156" s="11">
        <f t="shared" si="89"/>
        <v>-12426361.870000001</v>
      </c>
      <c r="ADX156" s="11">
        <f t="shared" si="89"/>
        <v>-6497129.3100000005</v>
      </c>
      <c r="ADY156" s="11">
        <f t="shared" si="89"/>
        <v>-7848009.9700000007</v>
      </c>
      <c r="ADZ156" s="11">
        <f t="shared" si="89"/>
        <v>-631632263.46000004</v>
      </c>
      <c r="AEA156" s="11">
        <f t="shared" si="89"/>
        <v>-209587195.54999998</v>
      </c>
      <c r="AEB156" s="11">
        <f t="shared" si="89"/>
        <v>-98692480.359999999</v>
      </c>
      <c r="AEC156" s="11">
        <f t="shared" si="89"/>
        <v>-38732322.829999991</v>
      </c>
      <c r="AED156" s="11">
        <f t="shared" si="89"/>
        <v>-16531200.189999999</v>
      </c>
      <c r="AEE156" s="11">
        <f t="shared" si="89"/>
        <v>-50945947.680000007</v>
      </c>
      <c r="AEF156" s="11">
        <f t="shared" si="89"/>
        <v>-37708241.829999991</v>
      </c>
      <c r="AEG156" s="11">
        <f t="shared" si="89"/>
        <v>-26320222.699999996</v>
      </c>
      <c r="AEH156" s="11">
        <f t="shared" si="89"/>
        <v>-14868852.130000005</v>
      </c>
      <c r="AEI156" s="11">
        <f t="shared" si="89"/>
        <v>-11939380.410000002</v>
      </c>
      <c r="AEJ156" s="11">
        <f t="shared" si="89"/>
        <v>-50016857.199999996</v>
      </c>
      <c r="AEK156" s="11">
        <f t="shared" si="89"/>
        <v>-59438615.909999989</v>
      </c>
      <c r="AEL156" s="11">
        <f t="shared" si="89"/>
        <v>-17697268.41</v>
      </c>
      <c r="AEM156" s="11">
        <f t="shared" si="89"/>
        <v>-34375809.590000004</v>
      </c>
      <c r="AEN156" s="11">
        <f t="shared" si="89"/>
        <v>-43848490.919999987</v>
      </c>
      <c r="AEO156" s="11">
        <f t="shared" si="89"/>
        <v>-43216746.029999994</v>
      </c>
      <c r="AEP156" s="11">
        <f t="shared" si="89"/>
        <v>-10385961.559999999</v>
      </c>
      <c r="AEQ156" s="11">
        <f t="shared" si="89"/>
        <v>-78687869.310000017</v>
      </c>
      <c r="AER156" s="11">
        <f t="shared" si="89"/>
        <v>-7830313.5500000007</v>
      </c>
      <c r="AES156" s="11">
        <f t="shared" si="89"/>
        <v>-59589947.279999986</v>
      </c>
      <c r="AET156" s="11">
        <f t="shared" si="89"/>
        <v>-264154777.90000007</v>
      </c>
      <c r="AEU156" s="11">
        <f t="shared" si="89"/>
        <v>-47383005.120000005</v>
      </c>
      <c r="AEV156" s="11">
        <f t="shared" si="89"/>
        <v>-29372099.34</v>
      </c>
      <c r="AEW156" s="11">
        <f t="shared" si="89"/>
        <v>-30611010.759999998</v>
      </c>
      <c r="AEX156" s="11">
        <f t="shared" si="89"/>
        <v>-19288505.549999993</v>
      </c>
      <c r="AEY156" s="11">
        <f t="shared" si="89"/>
        <v>-83760376.450000003</v>
      </c>
      <c r="AEZ156" s="11">
        <f t="shared" si="89"/>
        <v>-23847119.499999996</v>
      </c>
      <c r="AFA156" s="11">
        <f t="shared" si="89"/>
        <v>-35983851.719999991</v>
      </c>
      <c r="AFB156" s="11">
        <f t="shared" si="89"/>
        <v>-26746992.66</v>
      </c>
      <c r="AFC156" s="11">
        <f t="shared" si="89"/>
        <v>-15657440.99</v>
      </c>
      <c r="AFD156" s="11">
        <f t="shared" si="89"/>
        <v>-278789240.12</v>
      </c>
      <c r="AFE156" s="11">
        <f t="shared" ref="AFE156:AHP156" si="90">SUM(AFE61:AFE154)*-1</f>
        <v>-27449077.210000001</v>
      </c>
      <c r="AFF156" s="11">
        <f t="shared" si="90"/>
        <v>-23498283.199999999</v>
      </c>
      <c r="AFG156" s="11">
        <f t="shared" si="90"/>
        <v>-18662407.359999999</v>
      </c>
      <c r="AFH156" s="11">
        <f t="shared" si="90"/>
        <v>-25729175.140000001</v>
      </c>
      <c r="AFI156" s="11">
        <f t="shared" si="90"/>
        <v>-26058360.57</v>
      </c>
      <c r="AFJ156" s="11">
        <f t="shared" si="90"/>
        <v>-22128075.73</v>
      </c>
      <c r="AFK156" s="11">
        <f t="shared" si="90"/>
        <v>-15907048.68</v>
      </c>
      <c r="AFL156" s="11">
        <f t="shared" si="90"/>
        <v>-19749091.41</v>
      </c>
      <c r="AFM156" s="11">
        <f t="shared" si="90"/>
        <v>-28019924.130000003</v>
      </c>
      <c r="AFN156" s="11">
        <f t="shared" si="90"/>
        <v>-17110471.830000002</v>
      </c>
      <c r="AFO156" s="11">
        <f t="shared" si="90"/>
        <v>-13883710.580000002</v>
      </c>
      <c r="AFP156" s="11">
        <f t="shared" si="90"/>
        <v>-25188955.789999999</v>
      </c>
      <c r="AFQ156" s="11">
        <f t="shared" si="90"/>
        <v>-235051998.34999999</v>
      </c>
      <c r="AFR156" s="11">
        <f t="shared" si="90"/>
        <v>-46503288.360000007</v>
      </c>
      <c r="AFS156" s="11">
        <f t="shared" si="90"/>
        <v>-29751522.98</v>
      </c>
      <c r="AFT156" s="11">
        <f t="shared" si="90"/>
        <v>-17446326.740000002</v>
      </c>
      <c r="AFU156" s="11">
        <f t="shared" si="90"/>
        <v>-34023482.710000001</v>
      </c>
      <c r="AFV156" s="11">
        <f t="shared" si="90"/>
        <v>-14504716.220000004</v>
      </c>
      <c r="AFW156" s="11">
        <f t="shared" si="90"/>
        <v>-11984391.6</v>
      </c>
      <c r="AFX156" s="11">
        <f t="shared" si="90"/>
        <v>-29748590.490000002</v>
      </c>
      <c r="AFY156" s="11">
        <f t="shared" si="90"/>
        <v>-19764216.030000001</v>
      </c>
      <c r="AFZ156" s="11">
        <f t="shared" si="90"/>
        <v>-14042010.050000001</v>
      </c>
      <c r="AGA156" s="11">
        <f t="shared" si="90"/>
        <v>-47138345.189999998</v>
      </c>
      <c r="AGB156" s="11">
        <f t="shared" si="90"/>
        <v>-10373270.1</v>
      </c>
      <c r="AGC156" s="11">
        <f t="shared" si="90"/>
        <v>-77748668.090000004</v>
      </c>
      <c r="AGD156" s="11">
        <f t="shared" si="90"/>
        <v>-16513917.93</v>
      </c>
      <c r="AGE156" s="11">
        <f t="shared" si="90"/>
        <v>-22891566.340000004</v>
      </c>
      <c r="AGF156" s="11">
        <f t="shared" si="90"/>
        <v>-16410095.749999998</v>
      </c>
      <c r="AGG156" s="11">
        <f t="shared" si="90"/>
        <v>-41398532.189999983</v>
      </c>
      <c r="AGH156" s="11">
        <f t="shared" si="90"/>
        <v>-26243563.649999999</v>
      </c>
      <c r="AGI156" s="11">
        <f t="shared" si="90"/>
        <v>-7860803.4699999997</v>
      </c>
      <c r="AGJ156" s="11">
        <f t="shared" si="90"/>
        <v>-19022133.900000002</v>
      </c>
      <c r="AGK156" s="11">
        <f t="shared" si="90"/>
        <v>-14764351.33</v>
      </c>
      <c r="AGL156" s="11">
        <f t="shared" si="90"/>
        <v>-15386607.720000001</v>
      </c>
      <c r="AGM156" s="11">
        <f t="shared" si="90"/>
        <v>-16993578.469999999</v>
      </c>
      <c r="AGN156" s="11">
        <f t="shared" si="90"/>
        <v>-187720773.33000001</v>
      </c>
      <c r="AGO156" s="11">
        <f t="shared" si="90"/>
        <v>-33153789.539999992</v>
      </c>
      <c r="AGP156" s="11">
        <f t="shared" si="90"/>
        <v>-20266860.09</v>
      </c>
      <c r="AGQ156" s="11">
        <f t="shared" si="90"/>
        <v>-7313334.25</v>
      </c>
      <c r="AGR156" s="11">
        <f t="shared" si="90"/>
        <v>-24938420</v>
      </c>
      <c r="AGS156" s="11">
        <f t="shared" si="90"/>
        <v>-30667102.109999999</v>
      </c>
      <c r="AGT156" s="11">
        <f t="shared" si="90"/>
        <v>-14520815.040000001</v>
      </c>
      <c r="AGU156" s="11">
        <f t="shared" si="90"/>
        <v>-14892923.210000003</v>
      </c>
      <c r="AGV156" s="11">
        <f t="shared" si="90"/>
        <v>-429953999.44999999</v>
      </c>
      <c r="AGW156" s="11">
        <f t="shared" si="90"/>
        <v>-351388981.85000002</v>
      </c>
      <c r="AGX156" s="11">
        <f t="shared" si="90"/>
        <v>-21377605.290000007</v>
      </c>
      <c r="AGY156" s="11">
        <f t="shared" si="90"/>
        <v>-23326491.82</v>
      </c>
      <c r="AGZ156" s="11">
        <f t="shared" si="90"/>
        <v>-61579057.269999996</v>
      </c>
      <c r="AHA156" s="11">
        <f t="shared" si="90"/>
        <v>-14525241.430000002</v>
      </c>
      <c r="AHB156" s="11">
        <f t="shared" si="90"/>
        <v>-23009509.609999999</v>
      </c>
      <c r="AHC156" s="11">
        <f t="shared" si="90"/>
        <v>-18846759.010000002</v>
      </c>
      <c r="AHD156" s="11">
        <f t="shared" si="90"/>
        <v>-7799669.3999999994</v>
      </c>
      <c r="AHE156" s="11">
        <f t="shared" si="90"/>
        <v>-47705621.469999999</v>
      </c>
      <c r="AHF156" s="11">
        <f t="shared" si="90"/>
        <v>-36451204.480000004</v>
      </c>
      <c r="AHG156" s="11">
        <f t="shared" si="90"/>
        <v>-12578422.119999997</v>
      </c>
      <c r="AHH156" s="11">
        <f t="shared" si="90"/>
        <v>-20728821.360000003</v>
      </c>
      <c r="AHI156" s="11">
        <f t="shared" si="90"/>
        <v>-19327230.509999998</v>
      </c>
      <c r="AHJ156" s="11">
        <f t="shared" si="90"/>
        <v>-8698611.2699999996</v>
      </c>
      <c r="AHK156" s="11">
        <f t="shared" si="90"/>
        <v>-9509435.8999999985</v>
      </c>
      <c r="AHL156" s="11">
        <f t="shared" si="90"/>
        <v>-13182446.959999997</v>
      </c>
      <c r="AHM156" s="11">
        <f t="shared" si="90"/>
        <v>-149286744.11000001</v>
      </c>
      <c r="AHN156" s="11">
        <f t="shared" si="90"/>
        <v>-12199893.68</v>
      </c>
      <c r="AHO156" s="11">
        <f t="shared" si="90"/>
        <v>-18999391.799999997</v>
      </c>
      <c r="AHP156" s="11">
        <f t="shared" si="90"/>
        <v>-11667830.65</v>
      </c>
      <c r="AHQ156" s="11">
        <f t="shared" ref="AHQ156:AHT156" si="91">SUM(AHQ61:AHQ154)*-1</f>
        <v>-38722176.490000002</v>
      </c>
      <c r="AHR156" s="11">
        <f t="shared" si="91"/>
        <v>-9322426.6199999992</v>
      </c>
      <c r="AHS156" s="11">
        <f t="shared" si="91"/>
        <v>-20867875.560000002</v>
      </c>
      <c r="AHT156" s="11">
        <f t="shared" si="91"/>
        <v>-49738442932.009491</v>
      </c>
    </row>
    <row r="157" spans="1:908" x14ac:dyDescent="0.7">
      <c r="C157" s="269" t="s">
        <v>6518</v>
      </c>
      <c r="D157" s="11">
        <f>SUM(D57,D156)</f>
        <v>214110265.45999992</v>
      </c>
      <c r="E157" s="11">
        <f t="shared" ref="E157:BP157" si="92">SUM(E57,E156)</f>
        <v>4739600.0800000019</v>
      </c>
      <c r="F157" s="11">
        <f t="shared" si="92"/>
        <v>-16429791.129999995</v>
      </c>
      <c r="G157" s="11">
        <f t="shared" si="92"/>
        <v>-1237540.6799999997</v>
      </c>
      <c r="H157" s="11">
        <f t="shared" si="92"/>
        <v>8521257.450000003</v>
      </c>
      <c r="I157" s="11">
        <f t="shared" si="92"/>
        <v>18219545.630000003</v>
      </c>
      <c r="J157" s="11">
        <f t="shared" si="92"/>
        <v>295248652</v>
      </c>
      <c r="K157" s="11">
        <f t="shared" si="92"/>
        <v>82065670.50999999</v>
      </c>
      <c r="L157" s="11">
        <f t="shared" si="92"/>
        <v>4512892.2699999958</v>
      </c>
      <c r="M157" s="11">
        <f t="shared" si="92"/>
        <v>2253567.7899999954</v>
      </c>
      <c r="N157" s="11">
        <f t="shared" si="92"/>
        <v>-5851207.7299999986</v>
      </c>
      <c r="O157" s="11">
        <f t="shared" si="92"/>
        <v>-8443791.6299999915</v>
      </c>
      <c r="P157" s="11">
        <f t="shared" si="92"/>
        <v>113541941.3</v>
      </c>
      <c r="Q157" s="11">
        <f t="shared" si="92"/>
        <v>102831.03000000119</v>
      </c>
      <c r="R157" s="11">
        <f t="shared" si="92"/>
        <v>-2071666.0399999996</v>
      </c>
      <c r="S157" s="11">
        <f t="shared" si="92"/>
        <v>-14513065.910000004</v>
      </c>
      <c r="T157" s="11">
        <f t="shared" si="92"/>
        <v>19204935.710000001</v>
      </c>
      <c r="U157" s="11">
        <f t="shared" si="92"/>
        <v>424813.09000000078</v>
      </c>
      <c r="V157" s="11">
        <f t="shared" si="92"/>
        <v>644783707.31999993</v>
      </c>
      <c r="W157" s="11">
        <f t="shared" si="92"/>
        <v>-17847831.429999992</v>
      </c>
      <c r="X157" s="11">
        <f t="shared" si="92"/>
        <v>18616823.820000004</v>
      </c>
      <c r="Y157" s="11">
        <f t="shared" si="92"/>
        <v>88510704.909999996</v>
      </c>
      <c r="Z157" s="11">
        <f t="shared" si="92"/>
        <v>-9838039.5799999908</v>
      </c>
      <c r="AA157" s="11">
        <f t="shared" si="92"/>
        <v>13021498.660000004</v>
      </c>
      <c r="AB157" s="11">
        <f t="shared" si="92"/>
        <v>-2750498.2699999996</v>
      </c>
      <c r="AC157" s="11">
        <f t="shared" si="92"/>
        <v>-117040109.16999996</v>
      </c>
      <c r="AD157" s="11">
        <f t="shared" si="92"/>
        <v>2688971.799999997</v>
      </c>
      <c r="AE157" s="11">
        <f t="shared" si="92"/>
        <v>-19590492.920000006</v>
      </c>
      <c r="AF157" s="11">
        <f t="shared" si="92"/>
        <v>-92605269.899999991</v>
      </c>
      <c r="AG157" s="11">
        <f t="shared" si="92"/>
        <v>-1022378.8599999994</v>
      </c>
      <c r="AH157" s="11">
        <f t="shared" si="92"/>
        <v>38365226.649999976</v>
      </c>
      <c r="AI157" s="11">
        <f t="shared" si="92"/>
        <v>-62261729.349999979</v>
      </c>
      <c r="AJ157" s="11">
        <f t="shared" si="92"/>
        <v>7334893.6700000018</v>
      </c>
      <c r="AK157" s="11">
        <f t="shared" si="92"/>
        <v>2229251.3299999982</v>
      </c>
      <c r="AL157" s="11">
        <f t="shared" si="92"/>
        <v>54740611.149999991</v>
      </c>
      <c r="AM157" s="11">
        <f t="shared" si="92"/>
        <v>-40332687.770000011</v>
      </c>
      <c r="AN157" s="11">
        <f t="shared" si="92"/>
        <v>49702788.979999997</v>
      </c>
      <c r="AO157" s="11">
        <f t="shared" si="92"/>
        <v>4644861.6400000006</v>
      </c>
      <c r="AP157" s="11">
        <f t="shared" si="92"/>
        <v>-13572147.09</v>
      </c>
      <c r="AQ157" s="11">
        <f t="shared" si="92"/>
        <v>-8140326.2999999952</v>
      </c>
      <c r="AR157" s="11">
        <f t="shared" si="92"/>
        <v>-569429.25999999791</v>
      </c>
      <c r="AS157" s="11">
        <f t="shared" si="92"/>
        <v>-10816188.789999999</v>
      </c>
      <c r="AT157" s="11">
        <f t="shared" si="92"/>
        <v>74444685.99000001</v>
      </c>
      <c r="AU157" s="11">
        <f t="shared" si="92"/>
        <v>6653212.5800000019</v>
      </c>
      <c r="AV157" s="11">
        <f t="shared" si="92"/>
        <v>8437042.3499999996</v>
      </c>
      <c r="AW157" s="11">
        <f t="shared" si="92"/>
        <v>8806734.6099999975</v>
      </c>
      <c r="AX157" s="11">
        <f t="shared" si="92"/>
        <v>-7103531.5599999987</v>
      </c>
      <c r="AY157" s="11">
        <f t="shared" si="92"/>
        <v>-16748488.729999989</v>
      </c>
      <c r="AZ157" s="11">
        <f t="shared" si="92"/>
        <v>11648408.560000001</v>
      </c>
      <c r="BA157" s="11">
        <f t="shared" si="92"/>
        <v>7372482.9000000022</v>
      </c>
      <c r="BB157" s="11">
        <f t="shared" si="92"/>
        <v>9361183.1099999994</v>
      </c>
      <c r="BC157" s="11">
        <f t="shared" si="92"/>
        <v>6282910.5600000005</v>
      </c>
      <c r="BD157" s="11">
        <f t="shared" si="92"/>
        <v>18815570.210000001</v>
      </c>
      <c r="BE157" s="11">
        <f t="shared" si="92"/>
        <v>-5331371.6599999992</v>
      </c>
      <c r="BF157" s="11">
        <f t="shared" si="92"/>
        <v>-30380970.750000007</v>
      </c>
      <c r="BG157" s="11">
        <f t="shared" si="92"/>
        <v>3554756.57</v>
      </c>
      <c r="BH157" s="11">
        <f t="shared" si="92"/>
        <v>25467907.069999997</v>
      </c>
      <c r="BI157" s="11">
        <f t="shared" si="92"/>
        <v>150358813.43000007</v>
      </c>
      <c r="BJ157" s="11">
        <f t="shared" si="92"/>
        <v>46174585.359999999</v>
      </c>
      <c r="BK157" s="11">
        <f t="shared" si="92"/>
        <v>13390177.850000001</v>
      </c>
      <c r="BL157" s="11">
        <f t="shared" si="92"/>
        <v>8684586.6000000015</v>
      </c>
      <c r="BM157" s="11">
        <f t="shared" si="92"/>
        <v>-3289104.7699999921</v>
      </c>
      <c r="BN157" s="11">
        <f t="shared" si="92"/>
        <v>6377523.4400000051</v>
      </c>
      <c r="BO157" s="11">
        <f t="shared" si="92"/>
        <v>5595528.8700000029</v>
      </c>
      <c r="BP157" s="11">
        <f t="shared" si="92"/>
        <v>15902013.600000001</v>
      </c>
      <c r="BQ157" s="11">
        <f t="shared" ref="BQ157:EB157" si="93">SUM(BQ57,BQ156)</f>
        <v>12876665.74</v>
      </c>
      <c r="BR157" s="11">
        <f t="shared" si="93"/>
        <v>148260110.64999998</v>
      </c>
      <c r="BS157" s="11">
        <f t="shared" si="93"/>
        <v>2937921.2500000075</v>
      </c>
      <c r="BT157" s="11">
        <f t="shared" si="93"/>
        <v>4993999.8099999987</v>
      </c>
      <c r="BU157" s="11">
        <f t="shared" si="93"/>
        <v>22355871.710000005</v>
      </c>
      <c r="BV157" s="11">
        <f t="shared" si="93"/>
        <v>8279362.9799999967</v>
      </c>
      <c r="BW157" s="11">
        <f t="shared" si="93"/>
        <v>-3785215.6000000015</v>
      </c>
      <c r="BX157" s="11">
        <f t="shared" si="93"/>
        <v>8651535.1500000041</v>
      </c>
      <c r="BY157" s="11">
        <f t="shared" si="93"/>
        <v>1632119.2600000016</v>
      </c>
      <c r="BZ157" s="11">
        <f t="shared" si="93"/>
        <v>39586618.49000001</v>
      </c>
      <c r="CA157" s="11">
        <f t="shared" si="93"/>
        <v>-9766576.2499999963</v>
      </c>
      <c r="CB157" s="11">
        <f t="shared" si="93"/>
        <v>-29011978.669999994</v>
      </c>
      <c r="CC157" s="11">
        <f t="shared" si="93"/>
        <v>-7423551.0900000036</v>
      </c>
      <c r="CD157" s="11">
        <f t="shared" si="93"/>
        <v>-5580434.0100000016</v>
      </c>
      <c r="CE157" s="11">
        <f t="shared" si="93"/>
        <v>14396335.809999999</v>
      </c>
      <c r="CF157" s="11">
        <f t="shared" si="93"/>
        <v>-7164008.4599999972</v>
      </c>
      <c r="CG157" s="11">
        <f t="shared" si="93"/>
        <v>1320829435.8100002</v>
      </c>
      <c r="CH157" s="11">
        <f t="shared" si="93"/>
        <v>10818056.689999994</v>
      </c>
      <c r="CI157" s="11">
        <f t="shared" si="93"/>
        <v>17656426.760000013</v>
      </c>
      <c r="CJ157" s="11">
        <f t="shared" si="93"/>
        <v>6050949.3000000026</v>
      </c>
      <c r="CK157" s="11">
        <f t="shared" si="93"/>
        <v>26865196.390000001</v>
      </c>
      <c r="CL157" s="11">
        <f t="shared" si="93"/>
        <v>-5094511.2499999944</v>
      </c>
      <c r="CM157" s="11">
        <f t="shared" si="93"/>
        <v>19125782.479999997</v>
      </c>
      <c r="CN157" s="11">
        <f t="shared" si="93"/>
        <v>24687200.870000001</v>
      </c>
      <c r="CO157" s="11">
        <f t="shared" si="93"/>
        <v>12105483.640000001</v>
      </c>
      <c r="CP157" s="11">
        <f t="shared" si="93"/>
        <v>-2185247.1500000004</v>
      </c>
      <c r="CQ157" s="11">
        <f t="shared" si="93"/>
        <v>6347541.6699999981</v>
      </c>
      <c r="CR157" s="11">
        <f t="shared" si="93"/>
        <v>7840905.3799999952</v>
      </c>
      <c r="CS157" s="11">
        <f t="shared" si="93"/>
        <v>6054346.8899999997</v>
      </c>
      <c r="CT157" s="11">
        <f t="shared" si="93"/>
        <v>144799503.35000008</v>
      </c>
      <c r="CU157" s="11">
        <f t="shared" si="93"/>
        <v>27338352.560000006</v>
      </c>
      <c r="CV157" s="11">
        <f t="shared" si="93"/>
        <v>20119002.950000003</v>
      </c>
      <c r="CW157" s="11">
        <f t="shared" si="93"/>
        <v>-6318150.5599999949</v>
      </c>
      <c r="CX157" s="11">
        <f t="shared" si="93"/>
        <v>15480520.749999998</v>
      </c>
      <c r="CY157" s="11">
        <f t="shared" si="93"/>
        <v>11401361.539999999</v>
      </c>
      <c r="CZ157" s="11">
        <f t="shared" si="93"/>
        <v>-169640.69999999925</v>
      </c>
      <c r="DA157" s="11">
        <f t="shared" si="93"/>
        <v>3166771.5199999996</v>
      </c>
      <c r="DB157" s="11">
        <f t="shared" si="93"/>
        <v>87848332.449999958</v>
      </c>
      <c r="DC157" s="11">
        <f t="shared" si="93"/>
        <v>289484502.19000006</v>
      </c>
      <c r="DD157" s="11">
        <f t="shared" si="93"/>
        <v>2212163.6799999997</v>
      </c>
      <c r="DE157" s="11">
        <f t="shared" si="93"/>
        <v>28343031.769999996</v>
      </c>
      <c r="DF157" s="11">
        <f t="shared" si="93"/>
        <v>12407293.720000001</v>
      </c>
      <c r="DG157" s="11">
        <f t="shared" si="93"/>
        <v>76124127.660000011</v>
      </c>
      <c r="DH157" s="11">
        <f t="shared" si="93"/>
        <v>98413738.109999999</v>
      </c>
      <c r="DI157" s="11">
        <f t="shared" si="93"/>
        <v>-13902008.320000004</v>
      </c>
      <c r="DJ157" s="11">
        <f t="shared" si="93"/>
        <v>71224741.930000022</v>
      </c>
      <c r="DK157" s="11">
        <f t="shared" si="93"/>
        <v>456590996.82999992</v>
      </c>
      <c r="DL157" s="11">
        <f t="shared" si="93"/>
        <v>33321469.789999999</v>
      </c>
      <c r="DM157" s="11">
        <f t="shared" si="93"/>
        <v>31966910.520000003</v>
      </c>
      <c r="DN157" s="11">
        <f t="shared" si="93"/>
        <v>35134074.50999999</v>
      </c>
      <c r="DO157" s="11">
        <f t="shared" si="93"/>
        <v>27974744.899900004</v>
      </c>
      <c r="DP157" s="11">
        <f t="shared" si="93"/>
        <v>43172435.840000004</v>
      </c>
      <c r="DQ157" s="11">
        <f t="shared" si="93"/>
        <v>95832694.75</v>
      </c>
      <c r="DR157" s="11">
        <f t="shared" si="93"/>
        <v>46385622.320099995</v>
      </c>
      <c r="DS157" s="11">
        <f t="shared" si="93"/>
        <v>72809019.400000006</v>
      </c>
      <c r="DT157" s="11">
        <f t="shared" si="93"/>
        <v>73113901.530000031</v>
      </c>
      <c r="DU157" s="11">
        <f t="shared" si="93"/>
        <v>-1355936.2500000037</v>
      </c>
      <c r="DV157" s="11">
        <f t="shared" si="93"/>
        <v>35881389.890000015</v>
      </c>
      <c r="DW157" s="11">
        <f t="shared" si="93"/>
        <v>23452939.939999998</v>
      </c>
      <c r="DX157" s="11">
        <f t="shared" si="93"/>
        <v>12394461.840000004</v>
      </c>
      <c r="DY157" s="11">
        <f t="shared" si="93"/>
        <v>-7127249.929999996</v>
      </c>
      <c r="DZ157" s="11">
        <f t="shared" si="93"/>
        <v>37596786.569999993</v>
      </c>
      <c r="EA157" s="11">
        <f t="shared" si="93"/>
        <v>21586612.68</v>
      </c>
      <c r="EB157" s="11">
        <f t="shared" si="93"/>
        <v>15162174.879999999</v>
      </c>
      <c r="EC157" s="11">
        <f t="shared" ref="EC157:GN157" si="94">SUM(EC57,EC156)</f>
        <v>27564433.119999997</v>
      </c>
      <c r="ED157" s="11">
        <f t="shared" si="94"/>
        <v>-13281301.109999992</v>
      </c>
      <c r="EE157" s="11">
        <f t="shared" si="94"/>
        <v>273131969.69</v>
      </c>
      <c r="EF157" s="11">
        <f t="shared" si="94"/>
        <v>242904312.85999998</v>
      </c>
      <c r="EG157" s="11">
        <f t="shared" si="94"/>
        <v>36088746.940000013</v>
      </c>
      <c r="EH157" s="11">
        <f t="shared" si="94"/>
        <v>2490778.5999999978</v>
      </c>
      <c r="EI157" s="11">
        <f t="shared" si="94"/>
        <v>26739337.879999995</v>
      </c>
      <c r="EJ157" s="11">
        <f t="shared" si="94"/>
        <v>22976723.030000005</v>
      </c>
      <c r="EK157" s="11">
        <f t="shared" si="94"/>
        <v>35367148.159999996</v>
      </c>
      <c r="EL157" s="11">
        <f t="shared" si="94"/>
        <v>9869749.6300000008</v>
      </c>
      <c r="EM157" s="11">
        <f t="shared" si="94"/>
        <v>22843997.670000002</v>
      </c>
      <c r="EN157" s="11">
        <f t="shared" si="94"/>
        <v>35616958.159999967</v>
      </c>
      <c r="EO157" s="11">
        <f t="shared" si="94"/>
        <v>-1374880.3500000052</v>
      </c>
      <c r="EP157" s="11">
        <f t="shared" si="94"/>
        <v>-17856177.689999994</v>
      </c>
      <c r="EQ157" s="11">
        <f t="shared" si="94"/>
        <v>-860599.73000000045</v>
      </c>
      <c r="ER157" s="11">
        <f t="shared" si="94"/>
        <v>-3098387.8999999985</v>
      </c>
      <c r="ES157" s="11">
        <f t="shared" si="94"/>
        <v>13284658.810000002</v>
      </c>
      <c r="ET157" s="11">
        <f t="shared" si="94"/>
        <v>-10907948.850000001</v>
      </c>
      <c r="EU157" s="11">
        <f t="shared" si="94"/>
        <v>-1526442.2199999988</v>
      </c>
      <c r="EV157" s="11">
        <f t="shared" si="94"/>
        <v>-3566794.179999996</v>
      </c>
      <c r="EW157" s="11">
        <f t="shared" si="94"/>
        <v>51023906.340000033</v>
      </c>
      <c r="EX157" s="11">
        <f t="shared" si="94"/>
        <v>29188387.099999998</v>
      </c>
      <c r="EY157" s="11">
        <f t="shared" si="94"/>
        <v>33368657.900000006</v>
      </c>
      <c r="EZ157" s="11">
        <f t="shared" si="94"/>
        <v>-3383043.6399999969</v>
      </c>
      <c r="FA157" s="11">
        <f t="shared" si="94"/>
        <v>42189777.50999999</v>
      </c>
      <c r="FB157" s="11">
        <f t="shared" si="94"/>
        <v>4179054.4599999934</v>
      </c>
      <c r="FC157" s="11">
        <f t="shared" si="94"/>
        <v>31068381.170000009</v>
      </c>
      <c r="FD157" s="11">
        <f t="shared" si="94"/>
        <v>20323529.579999998</v>
      </c>
      <c r="FE157" s="11">
        <f t="shared" si="94"/>
        <v>11812250.810000006</v>
      </c>
      <c r="FF157" s="11">
        <f t="shared" si="94"/>
        <v>45866726.449999996</v>
      </c>
      <c r="FG157" s="11">
        <f t="shared" si="94"/>
        <v>17895153.079999998</v>
      </c>
      <c r="FH157" s="11">
        <f t="shared" si="94"/>
        <v>6966982.4599999972</v>
      </c>
      <c r="FI157" s="11">
        <f t="shared" si="94"/>
        <v>99724653.48999998</v>
      </c>
      <c r="FJ157" s="11">
        <f t="shared" si="94"/>
        <v>9415391.1599999983</v>
      </c>
      <c r="FK157" s="11">
        <f t="shared" si="94"/>
        <v>24168655.049999997</v>
      </c>
      <c r="FL157" s="11">
        <f t="shared" si="94"/>
        <v>24701133.530000001</v>
      </c>
      <c r="FM157" s="11">
        <f t="shared" si="94"/>
        <v>12755671.79000001</v>
      </c>
      <c r="FN157" s="11">
        <f t="shared" si="94"/>
        <v>29900329.390000001</v>
      </c>
      <c r="FO157" s="11">
        <f t="shared" si="94"/>
        <v>5814031.2100000009</v>
      </c>
      <c r="FP157" s="11">
        <f t="shared" si="94"/>
        <v>12729302.539999999</v>
      </c>
      <c r="FQ157" s="11">
        <f t="shared" si="94"/>
        <v>1007752395.7099998</v>
      </c>
      <c r="FR157" s="11">
        <f t="shared" si="94"/>
        <v>16279925.670000004</v>
      </c>
      <c r="FS157" s="11">
        <f t="shared" si="94"/>
        <v>43415298.640000001</v>
      </c>
      <c r="FT157" s="11">
        <f t="shared" si="94"/>
        <v>27707920.07</v>
      </c>
      <c r="FU157" s="11">
        <f t="shared" si="94"/>
        <v>83557120.340000004</v>
      </c>
      <c r="FV157" s="11">
        <f t="shared" si="94"/>
        <v>24161868.18</v>
      </c>
      <c r="FW157" s="11">
        <f t="shared" si="94"/>
        <v>28269706.640000001</v>
      </c>
      <c r="FX157" s="11">
        <f t="shared" si="94"/>
        <v>4059383.2800000086</v>
      </c>
      <c r="FY157" s="11">
        <f t="shared" si="94"/>
        <v>70040836.809999987</v>
      </c>
      <c r="FZ157" s="11">
        <f t="shared" si="94"/>
        <v>50869201.960000001</v>
      </c>
      <c r="GA157" s="11">
        <f t="shared" si="94"/>
        <v>57066711.249999993</v>
      </c>
      <c r="GB157" s="11">
        <f t="shared" si="94"/>
        <v>6623813.25</v>
      </c>
      <c r="GC157" s="11">
        <f t="shared" si="94"/>
        <v>32406849.589999996</v>
      </c>
      <c r="GD157" s="11">
        <f t="shared" si="94"/>
        <v>45617613.759999998</v>
      </c>
      <c r="GE157" s="11">
        <f t="shared" si="94"/>
        <v>129420396.11999995</v>
      </c>
      <c r="GF157" s="11">
        <f t="shared" si="94"/>
        <v>39811726.310000002</v>
      </c>
      <c r="GG157" s="11">
        <f t="shared" si="94"/>
        <v>41228589.869999997</v>
      </c>
      <c r="GH157" s="11">
        <f t="shared" si="94"/>
        <v>24366424.699999988</v>
      </c>
      <c r="GI157" s="11">
        <f t="shared" si="94"/>
        <v>37209233.109999999</v>
      </c>
      <c r="GJ157" s="11">
        <f t="shared" si="94"/>
        <v>40006696.400000013</v>
      </c>
      <c r="GK157" s="11">
        <f t="shared" si="94"/>
        <v>26066838.870000001</v>
      </c>
      <c r="GL157" s="11">
        <f t="shared" si="94"/>
        <v>54160479.819999993</v>
      </c>
      <c r="GM157" s="11">
        <f t="shared" si="94"/>
        <v>28285718.030000005</v>
      </c>
      <c r="GN157" s="11">
        <f t="shared" si="94"/>
        <v>13079954.09</v>
      </c>
      <c r="GO157" s="11">
        <f t="shared" ref="GO157:IZ157" si="95">SUM(GO57,GO156)</f>
        <v>16723596.16</v>
      </c>
      <c r="GP157" s="11">
        <f t="shared" si="95"/>
        <v>13026660.810000002</v>
      </c>
      <c r="GQ157" s="11">
        <f t="shared" si="95"/>
        <v>277761176.23999995</v>
      </c>
      <c r="GR157" s="11">
        <f t="shared" si="95"/>
        <v>98780549.909999996</v>
      </c>
      <c r="GS157" s="11">
        <f t="shared" si="95"/>
        <v>17042522.600000001</v>
      </c>
      <c r="GT157" s="11">
        <f t="shared" si="95"/>
        <v>37948226.360000007</v>
      </c>
      <c r="GU157" s="11">
        <f t="shared" si="95"/>
        <v>4993990.5500000017</v>
      </c>
      <c r="GV157" s="11">
        <f t="shared" si="95"/>
        <v>64073794.710000001</v>
      </c>
      <c r="GW157" s="11">
        <f t="shared" si="95"/>
        <v>17835886.350000001</v>
      </c>
      <c r="GX157" s="11">
        <f t="shared" si="95"/>
        <v>12743813.939999999</v>
      </c>
      <c r="GY157" s="11">
        <f t="shared" si="95"/>
        <v>44401228.409999982</v>
      </c>
      <c r="GZ157" s="11">
        <f t="shared" si="95"/>
        <v>11882244.439999998</v>
      </c>
      <c r="HA157" s="11">
        <f t="shared" si="95"/>
        <v>45892004.029999994</v>
      </c>
      <c r="HB157" s="11">
        <f t="shared" si="95"/>
        <v>32583955.189999994</v>
      </c>
      <c r="HC157" s="11">
        <f t="shared" si="95"/>
        <v>292319643.67999989</v>
      </c>
      <c r="HD157" s="11">
        <f t="shared" si="95"/>
        <v>112020644.01999995</v>
      </c>
      <c r="HE157" s="11">
        <f t="shared" si="95"/>
        <v>-2315836.9100000262</v>
      </c>
      <c r="HF157" s="11">
        <f t="shared" si="95"/>
        <v>138355064.91999999</v>
      </c>
      <c r="HG157" s="11">
        <f t="shared" si="95"/>
        <v>43485860.660000019</v>
      </c>
      <c r="HH157" s="11">
        <f t="shared" si="95"/>
        <v>178403632.49000001</v>
      </c>
      <c r="HI157" s="11">
        <f t="shared" si="95"/>
        <v>38538686.580000006</v>
      </c>
      <c r="HJ157" s="11">
        <f t="shared" si="95"/>
        <v>245357.35000000149</v>
      </c>
      <c r="HK157" s="11">
        <f t="shared" si="95"/>
        <v>342148108.09999996</v>
      </c>
      <c r="HL157" s="11">
        <f t="shared" si="95"/>
        <v>11935418.199999988</v>
      </c>
      <c r="HM157" s="11">
        <f t="shared" si="95"/>
        <v>42272207.909999996</v>
      </c>
      <c r="HN157" s="11">
        <f t="shared" si="95"/>
        <v>54667176.219999991</v>
      </c>
      <c r="HO157" s="11">
        <f t="shared" si="95"/>
        <v>12128284.02999999</v>
      </c>
      <c r="HP157" s="11">
        <f t="shared" si="95"/>
        <v>99563401.189999998</v>
      </c>
      <c r="HQ157" s="11">
        <f t="shared" si="95"/>
        <v>18021591.099999987</v>
      </c>
      <c r="HR157" s="11">
        <f t="shared" si="95"/>
        <v>16294443.779999994</v>
      </c>
      <c r="HS157" s="11">
        <f t="shared" si="95"/>
        <v>-14632953.100000024</v>
      </c>
      <c r="HT157" s="11">
        <f t="shared" si="95"/>
        <v>5036227.4099999964</v>
      </c>
      <c r="HU157" s="11">
        <f t="shared" si="95"/>
        <v>33380862.700000003</v>
      </c>
      <c r="HV157" s="11">
        <f t="shared" si="95"/>
        <v>101654230.53999999</v>
      </c>
      <c r="HW157" s="11">
        <f t="shared" si="95"/>
        <v>28767889</v>
      </c>
      <c r="HX157" s="11">
        <f t="shared" si="95"/>
        <v>6815461.4599999972</v>
      </c>
      <c r="HY157" s="11">
        <f t="shared" si="95"/>
        <v>180648834.29999998</v>
      </c>
      <c r="HZ157" s="11">
        <f t="shared" si="95"/>
        <v>8807948.3399999961</v>
      </c>
      <c r="IA157" s="11">
        <f t="shared" si="95"/>
        <v>46857713.280000001</v>
      </c>
      <c r="IB157" s="11">
        <f t="shared" si="95"/>
        <v>40311595.25</v>
      </c>
      <c r="IC157" s="11">
        <f t="shared" si="95"/>
        <v>46878329.920000002</v>
      </c>
      <c r="ID157" s="11">
        <f t="shared" si="95"/>
        <v>139304747.03</v>
      </c>
      <c r="IE157" s="11">
        <f t="shared" si="95"/>
        <v>12529885.620000003</v>
      </c>
      <c r="IF157" s="11">
        <f t="shared" si="95"/>
        <v>140608631.44</v>
      </c>
      <c r="IG157" s="11">
        <f t="shared" si="95"/>
        <v>7782150.0199999996</v>
      </c>
      <c r="IH157" s="11">
        <f t="shared" si="95"/>
        <v>3482998.5600000015</v>
      </c>
      <c r="II157" s="11">
        <f t="shared" si="95"/>
        <v>54520812.359999955</v>
      </c>
      <c r="IJ157" s="11">
        <f t="shared" si="95"/>
        <v>-58096761.799999937</v>
      </c>
      <c r="IK157" s="11">
        <f t="shared" si="95"/>
        <v>52398437.229999997</v>
      </c>
      <c r="IL157" s="11">
        <f t="shared" si="95"/>
        <v>24405485.629999995</v>
      </c>
      <c r="IM157" s="11">
        <f t="shared" si="95"/>
        <v>-30230424.329999991</v>
      </c>
      <c r="IN157" s="11">
        <f t="shared" si="95"/>
        <v>70910859.689999983</v>
      </c>
      <c r="IO157" s="11">
        <f t="shared" si="95"/>
        <v>8276033.5899999999</v>
      </c>
      <c r="IP157" s="11">
        <f t="shared" si="95"/>
        <v>-212119.71000000089</v>
      </c>
      <c r="IQ157" s="11">
        <f t="shared" si="95"/>
        <v>13298128.709999999</v>
      </c>
      <c r="IR157" s="11">
        <f t="shared" si="95"/>
        <v>21715804.629999995</v>
      </c>
      <c r="IS157" s="11">
        <f t="shared" si="95"/>
        <v>60943525.769999996</v>
      </c>
      <c r="IT157" s="11">
        <f t="shared" si="95"/>
        <v>-106797230.72000003</v>
      </c>
      <c r="IU157" s="11">
        <f t="shared" si="95"/>
        <v>-150239037.26999998</v>
      </c>
      <c r="IV157" s="11">
        <f t="shared" si="95"/>
        <v>157814033.06999999</v>
      </c>
      <c r="IW157" s="11">
        <f t="shared" si="95"/>
        <v>63615387.400000013</v>
      </c>
      <c r="IX157" s="11">
        <f t="shared" si="95"/>
        <v>37683622.490000002</v>
      </c>
      <c r="IY157" s="11">
        <f t="shared" si="95"/>
        <v>31302950.510000002</v>
      </c>
      <c r="IZ157" s="11">
        <f t="shared" si="95"/>
        <v>4863450.3999999985</v>
      </c>
      <c r="JA157" s="11">
        <f t="shared" ref="JA157:LL157" si="96">SUM(JA57,JA156)</f>
        <v>25316522.109999999</v>
      </c>
      <c r="JB157" s="11">
        <f t="shared" si="96"/>
        <v>10465734.870000001</v>
      </c>
      <c r="JC157" s="11">
        <f t="shared" si="96"/>
        <v>35365863.469999999</v>
      </c>
      <c r="JD157" s="11">
        <f t="shared" si="96"/>
        <v>53515050.489999995</v>
      </c>
      <c r="JE157" s="11">
        <f t="shared" si="96"/>
        <v>1895002.379999999</v>
      </c>
      <c r="JF157" s="11">
        <f t="shared" si="96"/>
        <v>95592232.219999999</v>
      </c>
      <c r="JG157" s="11">
        <f t="shared" si="96"/>
        <v>15099079.769999996</v>
      </c>
      <c r="JH157" s="11">
        <f t="shared" si="96"/>
        <v>6572273.2599999961</v>
      </c>
      <c r="JI157" s="11">
        <f t="shared" si="96"/>
        <v>-3553416.66</v>
      </c>
      <c r="JJ157" s="11">
        <f t="shared" si="96"/>
        <v>7813305.4900000021</v>
      </c>
      <c r="JK157" s="11">
        <f t="shared" si="96"/>
        <v>32617802.939999998</v>
      </c>
      <c r="JL157" s="11">
        <f t="shared" si="96"/>
        <v>84968986.390000015</v>
      </c>
      <c r="JM157" s="11">
        <f t="shared" si="96"/>
        <v>143903967</v>
      </c>
      <c r="JN157" s="11">
        <f t="shared" si="96"/>
        <v>86815325.400000006</v>
      </c>
      <c r="JO157" s="11">
        <f t="shared" si="96"/>
        <v>86212827.969999999</v>
      </c>
      <c r="JP157" s="11">
        <f t="shared" si="96"/>
        <v>9553713.2899999954</v>
      </c>
      <c r="JQ157" s="11">
        <f t="shared" si="96"/>
        <v>84081358.540000021</v>
      </c>
      <c r="JR157" s="11">
        <f t="shared" si="96"/>
        <v>25101048.949999996</v>
      </c>
      <c r="JS157" s="11">
        <f t="shared" si="96"/>
        <v>379753497.91000003</v>
      </c>
      <c r="JT157" s="11">
        <f t="shared" si="96"/>
        <v>436243528.56</v>
      </c>
      <c r="JU157" s="11">
        <f t="shared" si="96"/>
        <v>59232783.539999999</v>
      </c>
      <c r="JV157" s="11">
        <f t="shared" si="96"/>
        <v>9025697.370000001</v>
      </c>
      <c r="JW157" s="11">
        <f t="shared" si="96"/>
        <v>52818429.629999995</v>
      </c>
      <c r="JX157" s="11">
        <f t="shared" si="96"/>
        <v>8125952.9499999993</v>
      </c>
      <c r="JY157" s="11">
        <f t="shared" si="96"/>
        <v>15367220.220000006</v>
      </c>
      <c r="JZ157" s="11">
        <f t="shared" si="96"/>
        <v>44668319.120000005</v>
      </c>
      <c r="KA157" s="11">
        <f t="shared" si="96"/>
        <v>32293915.689999998</v>
      </c>
      <c r="KB157" s="11">
        <f t="shared" si="96"/>
        <v>10386694.799999997</v>
      </c>
      <c r="KC157" s="11">
        <f t="shared" si="96"/>
        <v>60083001.759999998</v>
      </c>
      <c r="KD157" s="11">
        <f t="shared" si="96"/>
        <v>41015202.899999999</v>
      </c>
      <c r="KE157" s="11">
        <f t="shared" si="96"/>
        <v>12463127.599999998</v>
      </c>
      <c r="KF157" s="11">
        <f t="shared" si="96"/>
        <v>14335645.59</v>
      </c>
      <c r="KG157" s="11">
        <f t="shared" si="96"/>
        <v>30129472.050000001</v>
      </c>
      <c r="KH157" s="11">
        <f t="shared" si="96"/>
        <v>-546814.38999999873</v>
      </c>
      <c r="KI157" s="11">
        <f t="shared" si="96"/>
        <v>780594473.70000005</v>
      </c>
      <c r="KJ157" s="11">
        <f t="shared" si="96"/>
        <v>-248971.60499998927</v>
      </c>
      <c r="KK157" s="11">
        <f t="shared" si="96"/>
        <v>53546342.160000004</v>
      </c>
      <c r="KL157" s="11">
        <f t="shared" si="96"/>
        <v>40537083.760000005</v>
      </c>
      <c r="KM157" s="11">
        <f t="shared" si="96"/>
        <v>130430685.62</v>
      </c>
      <c r="KN157" s="11">
        <f t="shared" si="96"/>
        <v>94540840.700000003</v>
      </c>
      <c r="KO157" s="11">
        <f t="shared" si="96"/>
        <v>3322148.6600000113</v>
      </c>
      <c r="KP157" s="11">
        <f t="shared" si="96"/>
        <v>83316087.169999987</v>
      </c>
      <c r="KQ157" s="11">
        <f t="shared" si="96"/>
        <v>62772333.289999999</v>
      </c>
      <c r="KR157" s="11">
        <f t="shared" si="96"/>
        <v>29633858.680000007</v>
      </c>
      <c r="KS157" s="11">
        <f t="shared" si="96"/>
        <v>59230084.619999997</v>
      </c>
      <c r="KT157" s="11">
        <f t="shared" si="96"/>
        <v>36771573.099999994</v>
      </c>
      <c r="KU157" s="11">
        <f t="shared" si="96"/>
        <v>71062249.719999969</v>
      </c>
      <c r="KV157" s="11">
        <f t="shared" si="96"/>
        <v>24063245.130000006</v>
      </c>
      <c r="KW157" s="11">
        <f t="shared" si="96"/>
        <v>95851640.479999989</v>
      </c>
      <c r="KX157" s="11">
        <f t="shared" si="96"/>
        <v>358561344.53999996</v>
      </c>
      <c r="KY157" s="11">
        <f t="shared" si="96"/>
        <v>170332842.56</v>
      </c>
      <c r="KZ157" s="11">
        <f t="shared" si="96"/>
        <v>528035418.75999981</v>
      </c>
      <c r="LA157" s="11">
        <f t="shared" si="96"/>
        <v>103297835.58999999</v>
      </c>
      <c r="LB157" s="11">
        <f t="shared" si="96"/>
        <v>62957765.830000006</v>
      </c>
      <c r="LC157" s="11">
        <f t="shared" si="96"/>
        <v>128967169.73999998</v>
      </c>
      <c r="LD157" s="11">
        <f t="shared" si="96"/>
        <v>150792597.10000002</v>
      </c>
      <c r="LE157" s="11">
        <f t="shared" si="96"/>
        <v>86913223.810000002</v>
      </c>
      <c r="LF157" s="11">
        <f t="shared" si="96"/>
        <v>103559684.16000001</v>
      </c>
      <c r="LG157" s="11">
        <f t="shared" si="96"/>
        <v>73316745.650000006</v>
      </c>
      <c r="LH157" s="11">
        <f t="shared" si="96"/>
        <v>313767102.03999996</v>
      </c>
      <c r="LI157" s="11">
        <f t="shared" si="96"/>
        <v>98213098.260000005</v>
      </c>
      <c r="LJ157" s="11">
        <f t="shared" si="96"/>
        <v>386156313.75999999</v>
      </c>
      <c r="LK157" s="11">
        <f t="shared" si="96"/>
        <v>165357048.80999994</v>
      </c>
      <c r="LL157" s="11">
        <f t="shared" si="96"/>
        <v>17242321.350000009</v>
      </c>
      <c r="LM157" s="11">
        <f t="shared" ref="LM157:NX157" si="97">SUM(LM57,LM156)</f>
        <v>25419671.590000004</v>
      </c>
      <c r="LN157" s="11">
        <f t="shared" si="97"/>
        <v>1409596.8399999999</v>
      </c>
      <c r="LO157" s="11">
        <f t="shared" si="97"/>
        <v>70640790.25</v>
      </c>
      <c r="LP157" s="11">
        <f t="shared" si="97"/>
        <v>12591115.73</v>
      </c>
      <c r="LQ157" s="11">
        <f t="shared" si="97"/>
        <v>31560789.570000015</v>
      </c>
      <c r="LR157" s="11">
        <f t="shared" si="97"/>
        <v>9795492.5600000024</v>
      </c>
      <c r="LS157" s="11">
        <f t="shared" si="97"/>
        <v>101923995.28999999</v>
      </c>
      <c r="LT157" s="11">
        <f t="shared" si="97"/>
        <v>49032159.81000001</v>
      </c>
      <c r="LU157" s="11">
        <f t="shared" si="97"/>
        <v>25748246.479999997</v>
      </c>
      <c r="LV157" s="11">
        <f t="shared" si="97"/>
        <v>1478622775.6600001</v>
      </c>
      <c r="LW157" s="11">
        <f t="shared" si="97"/>
        <v>480413924.70000005</v>
      </c>
      <c r="LX157" s="11">
        <f t="shared" si="97"/>
        <v>504088344.79000002</v>
      </c>
      <c r="LY157" s="11">
        <f t="shared" si="97"/>
        <v>201533639.30000001</v>
      </c>
      <c r="LZ157" s="11">
        <f t="shared" si="97"/>
        <v>12995387.259999998</v>
      </c>
      <c r="MA157" s="11">
        <f t="shared" si="97"/>
        <v>134457058.91</v>
      </c>
      <c r="MB157" s="11">
        <f t="shared" si="97"/>
        <v>52222658.140000001</v>
      </c>
      <c r="MC157" s="11">
        <f t="shared" si="97"/>
        <v>41735322.030000001</v>
      </c>
      <c r="MD157" s="11">
        <f t="shared" si="97"/>
        <v>93011877.830000013</v>
      </c>
      <c r="ME157" s="11">
        <f t="shared" si="97"/>
        <v>154895151.44999999</v>
      </c>
      <c r="MF157" s="11">
        <f t="shared" si="97"/>
        <v>27726906.370000005</v>
      </c>
      <c r="MG157" s="11">
        <f t="shared" si="97"/>
        <v>52792797.25</v>
      </c>
      <c r="MH157" s="11">
        <f t="shared" si="97"/>
        <v>238323179.62999988</v>
      </c>
      <c r="MI157" s="11">
        <f t="shared" si="97"/>
        <v>25555662.490000006</v>
      </c>
      <c r="MJ157" s="11">
        <f t="shared" si="97"/>
        <v>44636980.969999999</v>
      </c>
      <c r="MK157" s="11">
        <f t="shared" si="97"/>
        <v>23064515.090000004</v>
      </c>
      <c r="ML157" s="11">
        <f t="shared" si="97"/>
        <v>31026313.729999997</v>
      </c>
      <c r="MM157" s="11">
        <f t="shared" si="97"/>
        <v>50981068.88000001</v>
      </c>
      <c r="MN157" s="11">
        <f t="shared" si="97"/>
        <v>-5825062.6100000013</v>
      </c>
      <c r="MO157" s="11">
        <f t="shared" si="97"/>
        <v>17016574.879999999</v>
      </c>
      <c r="MP157" s="11">
        <f t="shared" si="97"/>
        <v>21528068.940000005</v>
      </c>
      <c r="MQ157" s="11">
        <f t="shared" si="97"/>
        <v>21892902.639999993</v>
      </c>
      <c r="MR157" s="11">
        <f t="shared" si="97"/>
        <v>9008410.8099999987</v>
      </c>
      <c r="MS157" s="11">
        <f t="shared" si="97"/>
        <v>31603295.899999999</v>
      </c>
      <c r="MT157" s="11">
        <f t="shared" si="97"/>
        <v>400231993.51000005</v>
      </c>
      <c r="MU157" s="11">
        <f t="shared" si="97"/>
        <v>11796440.660000004</v>
      </c>
      <c r="MV157" s="11">
        <f t="shared" si="97"/>
        <v>145948810.92000002</v>
      </c>
      <c r="MW157" s="11">
        <f t="shared" si="97"/>
        <v>63251961.859999992</v>
      </c>
      <c r="MX157" s="11">
        <f t="shared" si="97"/>
        <v>58271181.819999993</v>
      </c>
      <c r="MY157" s="11">
        <f t="shared" si="97"/>
        <v>56991438.510000005</v>
      </c>
      <c r="MZ157" s="11">
        <f t="shared" si="97"/>
        <v>197108097.70999998</v>
      </c>
      <c r="NA157" s="11">
        <f t="shared" si="97"/>
        <v>11779069.999999985</v>
      </c>
      <c r="NB157" s="11">
        <f t="shared" si="97"/>
        <v>92738799.099999994</v>
      </c>
      <c r="NC157" s="11">
        <f t="shared" si="97"/>
        <v>-1196074.1499999985</v>
      </c>
      <c r="ND157" s="11">
        <f t="shared" si="97"/>
        <v>32422511.960000001</v>
      </c>
      <c r="NE157" s="11">
        <f t="shared" si="97"/>
        <v>1052939439.3899999</v>
      </c>
      <c r="NF157" s="11">
        <f t="shared" si="97"/>
        <v>479521668.24000007</v>
      </c>
      <c r="NG157" s="11">
        <f t="shared" si="97"/>
        <v>38699427.700000003</v>
      </c>
      <c r="NH157" s="11">
        <f t="shared" si="97"/>
        <v>713650952.82999992</v>
      </c>
      <c r="NI157" s="11">
        <f t="shared" si="97"/>
        <v>5049817.9399999976</v>
      </c>
      <c r="NJ157" s="11">
        <f t="shared" si="97"/>
        <v>118317056.77</v>
      </c>
      <c r="NK157" s="11">
        <f t="shared" si="97"/>
        <v>260971225.23999995</v>
      </c>
      <c r="NL157" s="11">
        <f t="shared" si="97"/>
        <v>283414367.26000005</v>
      </c>
      <c r="NM157" s="11">
        <f t="shared" si="97"/>
        <v>34295495.880000003</v>
      </c>
      <c r="NN157" s="11">
        <f t="shared" si="97"/>
        <v>222162900.92999998</v>
      </c>
      <c r="NO157" s="11">
        <f t="shared" si="97"/>
        <v>115619407.67</v>
      </c>
      <c r="NP157" s="11">
        <f t="shared" si="97"/>
        <v>67651954.430000007</v>
      </c>
      <c r="NQ157" s="11">
        <f t="shared" si="97"/>
        <v>209040372.25</v>
      </c>
      <c r="NR157" s="11">
        <f t="shared" si="97"/>
        <v>27657543.860000007</v>
      </c>
      <c r="NS157" s="11">
        <f t="shared" si="97"/>
        <v>13225683.210000001</v>
      </c>
      <c r="NT157" s="11">
        <f t="shared" si="97"/>
        <v>36934816.909999996</v>
      </c>
      <c r="NU157" s="11">
        <f t="shared" si="97"/>
        <v>35786314.270000003</v>
      </c>
      <c r="NV157" s="11">
        <f t="shared" si="97"/>
        <v>12302974.220000001</v>
      </c>
      <c r="NW157" s="11">
        <f t="shared" si="97"/>
        <v>16149243.390000001</v>
      </c>
      <c r="NX157" s="11">
        <f t="shared" si="97"/>
        <v>212277958.25999993</v>
      </c>
      <c r="NY157" s="11">
        <f t="shared" ref="NY157:QJ157" si="98">SUM(NY57,NY156)</f>
        <v>270284640.85999995</v>
      </c>
      <c r="NZ157" s="11">
        <f t="shared" si="98"/>
        <v>64396292.330000013</v>
      </c>
      <c r="OA157" s="11">
        <f t="shared" si="98"/>
        <v>4484841.58</v>
      </c>
      <c r="OB157" s="11">
        <f t="shared" si="98"/>
        <v>29878336.319999989</v>
      </c>
      <c r="OC157" s="11">
        <f t="shared" si="98"/>
        <v>53346291.209999993</v>
      </c>
      <c r="OD157" s="11">
        <f t="shared" si="98"/>
        <v>2801524.7500000019</v>
      </c>
      <c r="OE157" s="11">
        <f t="shared" si="98"/>
        <v>859122936.89999998</v>
      </c>
      <c r="OF157" s="11">
        <f t="shared" si="98"/>
        <v>-50856052.420000009</v>
      </c>
      <c r="OG157" s="11">
        <f t="shared" si="98"/>
        <v>66240771.120000005</v>
      </c>
      <c r="OH157" s="11">
        <f t="shared" si="98"/>
        <v>37062020.879999995</v>
      </c>
      <c r="OI157" s="11">
        <f t="shared" si="98"/>
        <v>3335638.1699999981</v>
      </c>
      <c r="OJ157" s="11">
        <f t="shared" si="98"/>
        <v>117505844.19</v>
      </c>
      <c r="OK157" s="11">
        <f t="shared" si="98"/>
        <v>79209104.409999996</v>
      </c>
      <c r="OL157" s="11">
        <f t="shared" si="98"/>
        <v>2158232.3999999948</v>
      </c>
      <c r="OM157" s="11">
        <f t="shared" si="98"/>
        <v>114305697.50000001</v>
      </c>
      <c r="ON157" s="11">
        <f t="shared" si="98"/>
        <v>975909027.13</v>
      </c>
      <c r="OO157" s="11">
        <f t="shared" si="98"/>
        <v>188369888.90000001</v>
      </c>
      <c r="OP157" s="11">
        <f t="shared" si="98"/>
        <v>700523734.04999995</v>
      </c>
      <c r="OQ157" s="11">
        <f t="shared" si="98"/>
        <v>165559071.75</v>
      </c>
      <c r="OR157" s="11">
        <f t="shared" si="98"/>
        <v>18236418.390000008</v>
      </c>
      <c r="OS157" s="11">
        <f t="shared" si="98"/>
        <v>101891187</v>
      </c>
      <c r="OT157" s="11">
        <f t="shared" si="98"/>
        <v>597539482.68000007</v>
      </c>
      <c r="OU157" s="11">
        <f t="shared" si="98"/>
        <v>40218228.18</v>
      </c>
      <c r="OV157" s="11">
        <f t="shared" si="98"/>
        <v>95323968</v>
      </c>
      <c r="OW157" s="11">
        <f t="shared" si="98"/>
        <v>84810698.050000012</v>
      </c>
      <c r="OX157" s="11">
        <f t="shared" si="98"/>
        <v>64096026.049999997</v>
      </c>
      <c r="OY157" s="11">
        <f t="shared" si="98"/>
        <v>243026556.49000001</v>
      </c>
      <c r="OZ157" s="11">
        <f t="shared" si="98"/>
        <v>39957587.909999996</v>
      </c>
      <c r="PA157" s="11">
        <f t="shared" si="98"/>
        <v>55823566</v>
      </c>
      <c r="PB157" s="11">
        <f t="shared" si="98"/>
        <v>54067572.459999993</v>
      </c>
      <c r="PC157" s="11">
        <f t="shared" si="98"/>
        <v>170219486.91</v>
      </c>
      <c r="PD157" s="11">
        <f t="shared" si="98"/>
        <v>24392559.98</v>
      </c>
      <c r="PE157" s="11">
        <f t="shared" si="98"/>
        <v>13362671.070000008</v>
      </c>
      <c r="PF157" s="11">
        <f t="shared" si="98"/>
        <v>12023857.799999997</v>
      </c>
      <c r="PG157" s="11">
        <f t="shared" si="98"/>
        <v>41796509.539999992</v>
      </c>
      <c r="PH157" s="11">
        <f t="shared" si="98"/>
        <v>107365566.79000002</v>
      </c>
      <c r="PI157" s="11">
        <f t="shared" si="98"/>
        <v>12971358.800000001</v>
      </c>
      <c r="PJ157" s="11">
        <f t="shared" si="98"/>
        <v>12972246.880000003</v>
      </c>
      <c r="PK157" s="11">
        <f t="shared" si="98"/>
        <v>16400467.379999995</v>
      </c>
      <c r="PL157" s="11">
        <f t="shared" si="98"/>
        <v>10724039.349999994</v>
      </c>
      <c r="PM157" s="11">
        <f t="shared" si="98"/>
        <v>71735708.339999989</v>
      </c>
      <c r="PN157" s="11">
        <f t="shared" si="98"/>
        <v>48716609.220000006</v>
      </c>
      <c r="PO157" s="11">
        <f t="shared" si="98"/>
        <v>4130161.1199999992</v>
      </c>
      <c r="PP157" s="11">
        <f t="shared" si="98"/>
        <v>70293239.840000004</v>
      </c>
      <c r="PQ157" s="11">
        <f t="shared" si="98"/>
        <v>5564182.4299999978</v>
      </c>
      <c r="PR157" s="11">
        <f t="shared" si="98"/>
        <v>19716460.310000002</v>
      </c>
      <c r="PS157" s="11">
        <f t="shared" si="98"/>
        <v>7311506.790000001</v>
      </c>
      <c r="PT157" s="11">
        <f t="shared" si="98"/>
        <v>16985337.09</v>
      </c>
      <c r="PU157" s="11">
        <f t="shared" si="98"/>
        <v>-149362656.47000003</v>
      </c>
      <c r="PV157" s="11">
        <f t="shared" si="98"/>
        <v>4636511.1000000089</v>
      </c>
      <c r="PW157" s="11">
        <f t="shared" si="98"/>
        <v>-3175556.1900000013</v>
      </c>
      <c r="PX157" s="11">
        <f t="shared" si="98"/>
        <v>82514881.199999988</v>
      </c>
      <c r="PY157" s="11">
        <f t="shared" si="98"/>
        <v>87354970.639999986</v>
      </c>
      <c r="PZ157" s="11">
        <f t="shared" si="98"/>
        <v>1597735.7500000224</v>
      </c>
      <c r="QA157" s="11">
        <f t="shared" si="98"/>
        <v>-827516.51999999583</v>
      </c>
      <c r="QB157" s="11">
        <f t="shared" si="98"/>
        <v>23272725.559999999</v>
      </c>
      <c r="QC157" s="11">
        <f t="shared" si="98"/>
        <v>80273166.450000018</v>
      </c>
      <c r="QD157" s="11">
        <f t="shared" si="98"/>
        <v>4564257.6999999993</v>
      </c>
      <c r="QE157" s="11">
        <f t="shared" si="98"/>
        <v>156449895.71000004</v>
      </c>
      <c r="QF157" s="11">
        <f t="shared" si="98"/>
        <v>4457961.5599999987</v>
      </c>
      <c r="QG157" s="11">
        <f t="shared" si="98"/>
        <v>23554698.629999999</v>
      </c>
      <c r="QH157" s="11">
        <f t="shared" si="98"/>
        <v>59887720.850000009</v>
      </c>
      <c r="QI157" s="11">
        <f t="shared" si="98"/>
        <v>-28661588.090000004</v>
      </c>
      <c r="QJ157" s="11">
        <f t="shared" si="98"/>
        <v>46890029.979999997</v>
      </c>
      <c r="QK157" s="11">
        <f t="shared" ref="QK157:SV157" si="99">SUM(QK57,QK156)</f>
        <v>-4611555.3599999994</v>
      </c>
      <c r="QL157" s="11">
        <f t="shared" si="99"/>
        <v>-7486061.6099999901</v>
      </c>
      <c r="QM157" s="11">
        <f t="shared" si="99"/>
        <v>-14703064.740000002</v>
      </c>
      <c r="QN157" s="11">
        <f t="shared" si="99"/>
        <v>14300215.280000009</v>
      </c>
      <c r="QO157" s="11">
        <f t="shared" si="99"/>
        <v>70249764.859999999</v>
      </c>
      <c r="QP157" s="11">
        <f t="shared" si="99"/>
        <v>2552352.9399999958</v>
      </c>
      <c r="QQ157" s="11">
        <f t="shared" si="99"/>
        <v>5379712.8599999985</v>
      </c>
      <c r="QR157" s="11">
        <f t="shared" si="99"/>
        <v>-7526447.6299999971</v>
      </c>
      <c r="QS157" s="11">
        <f t="shared" si="99"/>
        <v>7118634.2300000023</v>
      </c>
      <c r="QT157" s="11">
        <f t="shared" si="99"/>
        <v>15280968.189999999</v>
      </c>
      <c r="QU157" s="11">
        <f t="shared" si="99"/>
        <v>91529593.270000041</v>
      </c>
      <c r="QV157" s="11">
        <f t="shared" si="99"/>
        <v>8421654.5100000016</v>
      </c>
      <c r="QW157" s="11">
        <f t="shared" si="99"/>
        <v>144010460.60999998</v>
      </c>
      <c r="QX157" s="11">
        <f t="shared" si="99"/>
        <v>32372399.869999997</v>
      </c>
      <c r="QY157" s="11">
        <f t="shared" si="99"/>
        <v>15467192.759999994</v>
      </c>
      <c r="QZ157" s="11">
        <f t="shared" si="99"/>
        <v>150134454.25</v>
      </c>
      <c r="RA157" s="11">
        <f t="shared" si="99"/>
        <v>11046221.93</v>
      </c>
      <c r="RB157" s="11">
        <f t="shared" si="99"/>
        <v>62944398.179999992</v>
      </c>
      <c r="RC157" s="11">
        <f t="shared" si="99"/>
        <v>120215655.40000001</v>
      </c>
      <c r="RD157" s="11">
        <f t="shared" si="99"/>
        <v>-3439871.3499999978</v>
      </c>
      <c r="RE157" s="11">
        <f t="shared" si="99"/>
        <v>4518555.2800000031</v>
      </c>
      <c r="RF157" s="11">
        <f t="shared" si="99"/>
        <v>64430812.809999995</v>
      </c>
      <c r="RG157" s="11">
        <f t="shared" si="99"/>
        <v>13815083.880000003</v>
      </c>
      <c r="RH157" s="11">
        <f t="shared" si="99"/>
        <v>875739759.37000012</v>
      </c>
      <c r="RI157" s="11">
        <f t="shared" si="99"/>
        <v>15755876.389999986</v>
      </c>
      <c r="RJ157" s="11">
        <f t="shared" si="99"/>
        <v>941414.08999999985</v>
      </c>
      <c r="RK157" s="11">
        <f t="shared" si="99"/>
        <v>64206697.679999992</v>
      </c>
      <c r="RL157" s="11">
        <f t="shared" si="99"/>
        <v>17324810.359999999</v>
      </c>
      <c r="RM157" s="11">
        <f t="shared" si="99"/>
        <v>8581696.9100000039</v>
      </c>
      <c r="RN157" s="11">
        <f t="shared" si="99"/>
        <v>706617.5</v>
      </c>
      <c r="RO157" s="11">
        <f t="shared" si="99"/>
        <v>51034507.749999985</v>
      </c>
      <c r="RP157" s="11">
        <f t="shared" si="99"/>
        <v>58100451.100000009</v>
      </c>
      <c r="RQ157" s="11">
        <f t="shared" si="99"/>
        <v>-19635318.850000009</v>
      </c>
      <c r="RR157" s="11">
        <f t="shared" si="99"/>
        <v>98797702.569999993</v>
      </c>
      <c r="RS157" s="11">
        <f t="shared" si="99"/>
        <v>7791715.0600000024</v>
      </c>
      <c r="RT157" s="11">
        <f t="shared" si="99"/>
        <v>3919752.1999999955</v>
      </c>
      <c r="RU157" s="11">
        <f t="shared" si="99"/>
        <v>12776721.489999998</v>
      </c>
      <c r="RV157" s="11">
        <f t="shared" si="99"/>
        <v>-348961.15000000037</v>
      </c>
      <c r="RW157" s="11">
        <f t="shared" si="99"/>
        <v>10602364.380000005</v>
      </c>
      <c r="RX157" s="11">
        <f t="shared" si="99"/>
        <v>14174304.659999996</v>
      </c>
      <c r="RY157" s="11">
        <f t="shared" si="99"/>
        <v>45754913.32</v>
      </c>
      <c r="RZ157" s="11">
        <f t="shared" si="99"/>
        <v>-979271.83999999985</v>
      </c>
      <c r="SA157" s="11">
        <f t="shared" si="99"/>
        <v>24213596.59</v>
      </c>
      <c r="SB157" s="11">
        <f t="shared" si="99"/>
        <v>30553871.770000011</v>
      </c>
      <c r="SC157" s="11">
        <f t="shared" si="99"/>
        <v>66236628.090000004</v>
      </c>
      <c r="SD157" s="11">
        <f t="shared" si="99"/>
        <v>28960580.420000002</v>
      </c>
      <c r="SE157" s="11">
        <f t="shared" si="99"/>
        <v>15033598.129999992</v>
      </c>
      <c r="SF157" s="11">
        <f t="shared" si="99"/>
        <v>8798860.7399999984</v>
      </c>
      <c r="SG157" s="11">
        <f t="shared" si="99"/>
        <v>5678903.9100000001</v>
      </c>
      <c r="SH157" s="11">
        <f t="shared" si="99"/>
        <v>9791418.9900000021</v>
      </c>
      <c r="SI157" s="11">
        <f t="shared" si="99"/>
        <v>13435116.349999994</v>
      </c>
      <c r="SJ157" s="11">
        <f t="shared" si="99"/>
        <v>27896052.539999995</v>
      </c>
      <c r="SK157" s="11">
        <f t="shared" si="99"/>
        <v>43495041.109999999</v>
      </c>
      <c r="SL157" s="11">
        <f t="shared" si="99"/>
        <v>-52199739.000000015</v>
      </c>
      <c r="SM157" s="11">
        <f t="shared" si="99"/>
        <v>-444152.88999999873</v>
      </c>
      <c r="SN157" s="11">
        <f t="shared" si="99"/>
        <v>88921318.640000001</v>
      </c>
      <c r="SO157" s="11">
        <f t="shared" si="99"/>
        <v>38473804.579999998</v>
      </c>
      <c r="SP157" s="11">
        <f t="shared" si="99"/>
        <v>17066675.780000001</v>
      </c>
      <c r="SQ157" s="11">
        <f t="shared" si="99"/>
        <v>13923602.630000003</v>
      </c>
      <c r="SR157" s="11">
        <f t="shared" si="99"/>
        <v>35184849.319999993</v>
      </c>
      <c r="SS157" s="11">
        <f t="shared" si="99"/>
        <v>35391181.090000004</v>
      </c>
      <c r="ST157" s="11">
        <f t="shared" si="99"/>
        <v>47384087.75</v>
      </c>
      <c r="SU157" s="11">
        <f t="shared" si="99"/>
        <v>9098684.5000000056</v>
      </c>
      <c r="SV157" s="11">
        <f t="shared" si="99"/>
        <v>-176300534.43000001</v>
      </c>
      <c r="SW157" s="11">
        <f t="shared" ref="SW157:VH157" si="100">SUM(SW57,SW156)</f>
        <v>28677192.019999992</v>
      </c>
      <c r="SX157" s="11">
        <f t="shared" si="100"/>
        <v>5273471.1100000069</v>
      </c>
      <c r="SY157" s="11">
        <f t="shared" si="100"/>
        <v>18591271.670000006</v>
      </c>
      <c r="SZ157" s="11">
        <f t="shared" si="100"/>
        <v>4246222.6199999992</v>
      </c>
      <c r="TA157" s="11">
        <f t="shared" si="100"/>
        <v>9456918.1699999981</v>
      </c>
      <c r="TB157" s="11">
        <f t="shared" si="100"/>
        <v>14408394.309999999</v>
      </c>
      <c r="TC157" s="11">
        <f t="shared" si="100"/>
        <v>-25901167.06000001</v>
      </c>
      <c r="TD157" s="11">
        <f t="shared" si="100"/>
        <v>997503.64000000246</v>
      </c>
      <c r="TE157" s="11">
        <f t="shared" si="100"/>
        <v>-1690129.7000000011</v>
      </c>
      <c r="TF157" s="11">
        <f t="shared" si="100"/>
        <v>12841318.390000001</v>
      </c>
      <c r="TG157" s="11">
        <f t="shared" si="100"/>
        <v>-11993648.570000008</v>
      </c>
      <c r="TH157" s="11">
        <f t="shared" si="100"/>
        <v>53904223.170000002</v>
      </c>
      <c r="TI157" s="11">
        <f t="shared" si="100"/>
        <v>8178306.5100000007</v>
      </c>
      <c r="TJ157" s="11">
        <f t="shared" si="100"/>
        <v>-155073423.74000007</v>
      </c>
      <c r="TK157" s="11">
        <f t="shared" si="100"/>
        <v>50865467.419999994</v>
      </c>
      <c r="TL157" s="11">
        <f t="shared" si="100"/>
        <v>24050085.399999995</v>
      </c>
      <c r="TM157" s="11">
        <f t="shared" si="100"/>
        <v>-3000701.8900000006</v>
      </c>
      <c r="TN157" s="11">
        <f t="shared" si="100"/>
        <v>1678177.340000011</v>
      </c>
      <c r="TO157" s="11">
        <f t="shared" si="100"/>
        <v>14983042.76</v>
      </c>
      <c r="TP157" s="11">
        <f t="shared" si="100"/>
        <v>10675429.849999998</v>
      </c>
      <c r="TQ157" s="11">
        <f t="shared" si="100"/>
        <v>15190310.920000002</v>
      </c>
      <c r="TR157" s="11">
        <f t="shared" si="100"/>
        <v>30475540.880000006</v>
      </c>
      <c r="TS157" s="11">
        <f t="shared" si="100"/>
        <v>-493267.96000000089</v>
      </c>
      <c r="TT157" s="11">
        <f t="shared" si="100"/>
        <v>4038550.3700000048</v>
      </c>
      <c r="TU157" s="11">
        <f t="shared" si="100"/>
        <v>33392851.399999999</v>
      </c>
      <c r="TV157" s="11">
        <f t="shared" si="100"/>
        <v>1114027.8600000013</v>
      </c>
      <c r="TW157" s="11">
        <f t="shared" si="100"/>
        <v>10565384.169999998</v>
      </c>
      <c r="TX157" s="11">
        <f t="shared" si="100"/>
        <v>6980617.120000001</v>
      </c>
      <c r="TY157" s="11">
        <f t="shared" si="100"/>
        <v>47187697.240000002</v>
      </c>
      <c r="TZ157" s="11">
        <f t="shared" si="100"/>
        <v>68080968.560000032</v>
      </c>
      <c r="UA157" s="11">
        <f t="shared" si="100"/>
        <v>31234349.129999992</v>
      </c>
      <c r="UB157" s="11">
        <f t="shared" si="100"/>
        <v>291080504.39000005</v>
      </c>
      <c r="UC157" s="11">
        <f t="shared" si="100"/>
        <v>-13949679.989999987</v>
      </c>
      <c r="UD157" s="11">
        <f t="shared" si="100"/>
        <v>-10263939.779999999</v>
      </c>
      <c r="UE157" s="11">
        <f t="shared" si="100"/>
        <v>-6865558.6799999997</v>
      </c>
      <c r="UF157" s="11">
        <f t="shared" si="100"/>
        <v>-200191360.81</v>
      </c>
      <c r="UG157" s="11">
        <f t="shared" si="100"/>
        <v>12348638.5</v>
      </c>
      <c r="UH157" s="11">
        <f t="shared" si="100"/>
        <v>-9124961.5499999989</v>
      </c>
      <c r="UI157" s="11">
        <f t="shared" si="100"/>
        <v>26989915.290000007</v>
      </c>
      <c r="UJ157" s="11">
        <f t="shared" si="100"/>
        <v>2691215.2100000028</v>
      </c>
      <c r="UK157" s="11">
        <f t="shared" si="100"/>
        <v>159575439.56</v>
      </c>
      <c r="UL157" s="11">
        <f t="shared" si="100"/>
        <v>11394705.95000001</v>
      </c>
      <c r="UM157" s="11">
        <f t="shared" si="100"/>
        <v>12786807.689999998</v>
      </c>
      <c r="UN157" s="11">
        <f t="shared" si="100"/>
        <v>-2270951.5</v>
      </c>
      <c r="UO157" s="11">
        <f t="shared" si="100"/>
        <v>26023844.780000001</v>
      </c>
      <c r="UP157" s="11">
        <f t="shared" si="100"/>
        <v>-815294.81999999657</v>
      </c>
      <c r="UQ157" s="11">
        <f t="shared" si="100"/>
        <v>586701886.98999977</v>
      </c>
      <c r="UR157" s="11">
        <f t="shared" si="100"/>
        <v>-203016.86999999732</v>
      </c>
      <c r="US157" s="11">
        <f t="shared" si="100"/>
        <v>39205.270000003278</v>
      </c>
      <c r="UT157" s="11">
        <f t="shared" si="100"/>
        <v>24767614.300000012</v>
      </c>
      <c r="UU157" s="11">
        <f t="shared" si="100"/>
        <v>35940119.900000006</v>
      </c>
      <c r="UV157" s="11">
        <f t="shared" si="100"/>
        <v>-8909896.2199999951</v>
      </c>
      <c r="UW157" s="11">
        <f t="shared" si="100"/>
        <v>-64504.610000014305</v>
      </c>
      <c r="UX157" s="11">
        <f t="shared" si="100"/>
        <v>3333980.8000000007</v>
      </c>
      <c r="UY157" s="11">
        <f t="shared" si="100"/>
        <v>-10131891.77</v>
      </c>
      <c r="UZ157" s="11">
        <f t="shared" si="100"/>
        <v>29557464.850000001</v>
      </c>
      <c r="VA157" s="11">
        <f t="shared" si="100"/>
        <v>15398901.620000001</v>
      </c>
      <c r="VB157" s="11">
        <f t="shared" si="100"/>
        <v>8224526.9299999923</v>
      </c>
      <c r="VC157" s="11">
        <f t="shared" si="100"/>
        <v>43044696.689999998</v>
      </c>
      <c r="VD157" s="11">
        <f t="shared" si="100"/>
        <v>49840505.629999995</v>
      </c>
      <c r="VE157" s="11">
        <f t="shared" si="100"/>
        <v>6565080.5199999996</v>
      </c>
      <c r="VF157" s="11">
        <f t="shared" si="100"/>
        <v>3618144.3599999957</v>
      </c>
      <c r="VG157" s="11">
        <f t="shared" si="100"/>
        <v>15610699.089999996</v>
      </c>
      <c r="VH157" s="11">
        <f t="shared" si="100"/>
        <v>6756225.4100000001</v>
      </c>
      <c r="VI157" s="11">
        <f t="shared" ref="VI157:XT157" si="101">SUM(VI57,VI156)</f>
        <v>1371275.5199999809</v>
      </c>
      <c r="VJ157" s="11">
        <f t="shared" si="101"/>
        <v>-8339982.0299999993</v>
      </c>
      <c r="VK157" s="11">
        <f t="shared" si="101"/>
        <v>16961788.079999998</v>
      </c>
      <c r="VL157" s="11">
        <f t="shared" si="101"/>
        <v>14426931.83</v>
      </c>
      <c r="VM157" s="11">
        <f t="shared" si="101"/>
        <v>25176656.49999994</v>
      </c>
      <c r="VN157" s="11">
        <f t="shared" si="101"/>
        <v>18676585.329999998</v>
      </c>
      <c r="VO157" s="11">
        <f t="shared" si="101"/>
        <v>35860337.299999997</v>
      </c>
      <c r="VP157" s="11">
        <f t="shared" si="101"/>
        <v>26620488.409999996</v>
      </c>
      <c r="VQ157" s="11">
        <f t="shared" si="101"/>
        <v>8882132.8399999961</v>
      </c>
      <c r="VR157" s="11">
        <f t="shared" si="101"/>
        <v>4150298.4299999997</v>
      </c>
      <c r="VS157" s="11">
        <f t="shared" si="101"/>
        <v>13516207.940000005</v>
      </c>
      <c r="VT157" s="11">
        <f t="shared" si="101"/>
        <v>11532650.52</v>
      </c>
      <c r="VU157" s="11">
        <f t="shared" si="101"/>
        <v>35861021.039999999</v>
      </c>
      <c r="VV157" s="11">
        <f t="shared" si="101"/>
        <v>49838555.969999999</v>
      </c>
      <c r="VW157" s="11">
        <f t="shared" si="101"/>
        <v>9870375.0400000028</v>
      </c>
      <c r="VX157" s="11">
        <f t="shared" si="101"/>
        <v>82387878.300000012</v>
      </c>
      <c r="VY157" s="11">
        <f t="shared" si="101"/>
        <v>25749717.400000002</v>
      </c>
      <c r="VZ157" s="11">
        <f t="shared" si="101"/>
        <v>55122814.869999997</v>
      </c>
      <c r="WA157" s="11">
        <f t="shared" si="101"/>
        <v>2632618.25</v>
      </c>
      <c r="WB157" s="11">
        <f t="shared" si="101"/>
        <v>2324665476.5799994</v>
      </c>
      <c r="WC157" s="11">
        <f t="shared" si="101"/>
        <v>37538587.13000001</v>
      </c>
      <c r="WD157" s="11">
        <f t="shared" si="101"/>
        <v>72873188.079999998</v>
      </c>
      <c r="WE157" s="11">
        <f t="shared" si="101"/>
        <v>80976241.290000007</v>
      </c>
      <c r="WF157" s="11">
        <f t="shared" si="101"/>
        <v>36338273.140000001</v>
      </c>
      <c r="WG157" s="11">
        <f t="shared" si="101"/>
        <v>9378492.3200000003</v>
      </c>
      <c r="WH157" s="11">
        <f t="shared" si="101"/>
        <v>17057243.650000006</v>
      </c>
      <c r="WI157" s="11">
        <f t="shared" si="101"/>
        <v>53828520.429999992</v>
      </c>
      <c r="WJ157" s="11">
        <f t="shared" si="101"/>
        <v>61926701.839999996</v>
      </c>
      <c r="WK157" s="11">
        <f t="shared" si="101"/>
        <v>42820106.670000017</v>
      </c>
      <c r="WL157" s="11">
        <f t="shared" si="101"/>
        <v>9231986.4000000004</v>
      </c>
      <c r="WM157" s="11">
        <f t="shared" si="101"/>
        <v>-18424124.349999994</v>
      </c>
      <c r="WN157" s="11">
        <f t="shared" si="101"/>
        <v>62680446.24000001</v>
      </c>
      <c r="WO157" s="11">
        <f t="shared" si="101"/>
        <v>17022894.349999994</v>
      </c>
      <c r="WP157" s="11">
        <f t="shared" si="101"/>
        <v>37030335.879999988</v>
      </c>
      <c r="WQ157" s="11">
        <f t="shared" si="101"/>
        <v>69948590.280000016</v>
      </c>
      <c r="WR157" s="11">
        <f t="shared" si="101"/>
        <v>36268559.110000007</v>
      </c>
      <c r="WS157" s="11">
        <f t="shared" si="101"/>
        <v>84921466.109999999</v>
      </c>
      <c r="WT157" s="11">
        <f t="shared" si="101"/>
        <v>21213536.93</v>
      </c>
      <c r="WU157" s="11">
        <f t="shared" si="101"/>
        <v>55253236.460000008</v>
      </c>
      <c r="WV157" s="11">
        <f t="shared" si="101"/>
        <v>43883798.150000006</v>
      </c>
      <c r="WW157" s="11">
        <f t="shared" si="101"/>
        <v>1567651.8100000024</v>
      </c>
      <c r="WX157" s="11">
        <f t="shared" si="101"/>
        <v>29242207.91</v>
      </c>
      <c r="WY157" s="11">
        <f t="shared" si="101"/>
        <v>14836696.110000003</v>
      </c>
      <c r="WZ157" s="11">
        <f t="shared" si="101"/>
        <v>34292480.319999993</v>
      </c>
      <c r="XA157" s="11">
        <f t="shared" si="101"/>
        <v>2975439.9400000051</v>
      </c>
      <c r="XB157" s="11">
        <f t="shared" si="101"/>
        <v>8375401.7399999993</v>
      </c>
      <c r="XC157" s="11">
        <f t="shared" si="101"/>
        <v>26413031.459999997</v>
      </c>
      <c r="XD157" s="11">
        <f t="shared" si="101"/>
        <v>176280967.47999996</v>
      </c>
      <c r="XE157" s="11">
        <f t="shared" si="101"/>
        <v>1159593.2249999996</v>
      </c>
      <c r="XF157" s="11">
        <f t="shared" si="101"/>
        <v>37620495.069999993</v>
      </c>
      <c r="XG157" s="11">
        <f t="shared" si="101"/>
        <v>19528281.990000002</v>
      </c>
      <c r="XH157" s="11">
        <f t="shared" si="101"/>
        <v>6329772.8399999999</v>
      </c>
      <c r="XI157" s="11">
        <f t="shared" si="101"/>
        <v>725259816.8499999</v>
      </c>
      <c r="XJ157" s="11">
        <f t="shared" si="101"/>
        <v>70131966.430000007</v>
      </c>
      <c r="XK157" s="11">
        <f t="shared" si="101"/>
        <v>123630482.88999999</v>
      </c>
      <c r="XL157" s="11">
        <f t="shared" si="101"/>
        <v>27259153.079999983</v>
      </c>
      <c r="XM157" s="11">
        <f t="shared" si="101"/>
        <v>52940043.849999994</v>
      </c>
      <c r="XN157" s="11">
        <f t="shared" si="101"/>
        <v>64708592.100000009</v>
      </c>
      <c r="XO157" s="11">
        <f t="shared" si="101"/>
        <v>105235017.92</v>
      </c>
      <c r="XP157" s="11">
        <f t="shared" si="101"/>
        <v>128177738.17000002</v>
      </c>
      <c r="XQ157" s="11">
        <f t="shared" si="101"/>
        <v>26393796.279999994</v>
      </c>
      <c r="XR157" s="11">
        <f t="shared" si="101"/>
        <v>121623722.08999997</v>
      </c>
      <c r="XS157" s="11">
        <f t="shared" si="101"/>
        <v>88631308.489999995</v>
      </c>
      <c r="XT157" s="11">
        <f t="shared" si="101"/>
        <v>34946762.289999999</v>
      </c>
      <c r="XU157" s="11">
        <f t="shared" ref="XU157:AAF157" si="102">SUM(XU57,XU156)</f>
        <v>38149516.299999997</v>
      </c>
      <c r="XV157" s="11">
        <f t="shared" si="102"/>
        <v>66666183.090000004</v>
      </c>
      <c r="XW157" s="11">
        <f t="shared" si="102"/>
        <v>80452953.429999977</v>
      </c>
      <c r="XX157" s="11">
        <f t="shared" si="102"/>
        <v>2490862.3500000034</v>
      </c>
      <c r="XY157" s="11">
        <f t="shared" si="102"/>
        <v>24554987.690000001</v>
      </c>
      <c r="XZ157" s="11">
        <f t="shared" si="102"/>
        <v>32534966.010000002</v>
      </c>
      <c r="YA157" s="11">
        <f t="shared" si="102"/>
        <v>22786335.829999998</v>
      </c>
      <c r="YB157" s="11">
        <f t="shared" si="102"/>
        <v>39016972.919999994</v>
      </c>
      <c r="YC157" s="11">
        <f t="shared" si="102"/>
        <v>44018783.879999995</v>
      </c>
      <c r="YD157" s="11">
        <f t="shared" si="102"/>
        <v>79815564.890000015</v>
      </c>
      <c r="YE157" s="11">
        <f t="shared" si="102"/>
        <v>54405523.839999989</v>
      </c>
      <c r="YF157" s="11">
        <f t="shared" si="102"/>
        <v>670793398.6500001</v>
      </c>
      <c r="YG157" s="11">
        <f t="shared" si="102"/>
        <v>110302725.85000001</v>
      </c>
      <c r="YH157" s="11">
        <f t="shared" si="102"/>
        <v>121001391.90000001</v>
      </c>
      <c r="YI157" s="11">
        <f t="shared" si="102"/>
        <v>99173792.24000001</v>
      </c>
      <c r="YJ157" s="11">
        <f t="shared" si="102"/>
        <v>286382091.91000003</v>
      </c>
      <c r="YK157" s="11">
        <f t="shared" si="102"/>
        <v>78362808.209999993</v>
      </c>
      <c r="YL157" s="11">
        <f t="shared" si="102"/>
        <v>107288219.34</v>
      </c>
      <c r="YM157" s="11">
        <f t="shared" si="102"/>
        <v>51212852.880000003</v>
      </c>
      <c r="YN157" s="11">
        <f t="shared" si="102"/>
        <v>39732501.559999987</v>
      </c>
      <c r="YO157" s="11">
        <f t="shared" si="102"/>
        <v>71578766.260000035</v>
      </c>
      <c r="YP157" s="11">
        <f t="shared" si="102"/>
        <v>59570831.040000007</v>
      </c>
      <c r="YQ157" s="11">
        <f t="shared" si="102"/>
        <v>75150433.590000004</v>
      </c>
      <c r="YR157" s="11">
        <f t="shared" si="102"/>
        <v>42918251.590000004</v>
      </c>
      <c r="YS157" s="11">
        <f t="shared" si="102"/>
        <v>53458528.030000001</v>
      </c>
      <c r="YT157" s="11">
        <f t="shared" si="102"/>
        <v>97916266.769999996</v>
      </c>
      <c r="YU157" s="11">
        <f t="shared" si="102"/>
        <v>111724817.29999998</v>
      </c>
      <c r="YV157" s="11">
        <f t="shared" si="102"/>
        <v>66366726.909999996</v>
      </c>
      <c r="YW157" s="11">
        <f t="shared" si="102"/>
        <v>40757626.079999983</v>
      </c>
      <c r="YX157" s="11">
        <f t="shared" si="102"/>
        <v>17577361.669999994</v>
      </c>
      <c r="YY157" s="11">
        <f t="shared" si="102"/>
        <v>30877388.350000001</v>
      </c>
      <c r="YZ157" s="11">
        <f t="shared" si="102"/>
        <v>29890840.720000006</v>
      </c>
      <c r="ZA157" s="11">
        <f t="shared" si="102"/>
        <v>-2189504.0500000007</v>
      </c>
      <c r="ZB157" s="11">
        <f t="shared" si="102"/>
        <v>13362090.220000001</v>
      </c>
      <c r="ZC157" s="11">
        <f t="shared" si="102"/>
        <v>22385249.379999995</v>
      </c>
      <c r="ZD157" s="11">
        <f t="shared" si="102"/>
        <v>196211663.18000007</v>
      </c>
      <c r="ZE157" s="11">
        <f t="shared" si="102"/>
        <v>23673879.120000001</v>
      </c>
      <c r="ZF157" s="11">
        <f t="shared" si="102"/>
        <v>60127657.88000001</v>
      </c>
      <c r="ZG157" s="11">
        <f t="shared" si="102"/>
        <v>26564861.399999999</v>
      </c>
      <c r="ZH157" s="11">
        <f t="shared" si="102"/>
        <v>48206704.980000004</v>
      </c>
      <c r="ZI157" s="11">
        <f t="shared" si="102"/>
        <v>25929874.289999999</v>
      </c>
      <c r="ZJ157" s="11">
        <f t="shared" si="102"/>
        <v>19288725.920000002</v>
      </c>
      <c r="ZK157" s="11">
        <f t="shared" si="102"/>
        <v>19406032.690000001</v>
      </c>
      <c r="ZL157" s="11">
        <f t="shared" si="102"/>
        <v>13928875.320000023</v>
      </c>
      <c r="ZM157" s="11">
        <f t="shared" si="102"/>
        <v>139816009.75999987</v>
      </c>
      <c r="ZN157" s="11">
        <f t="shared" si="102"/>
        <v>25628979.090000004</v>
      </c>
      <c r="ZO157" s="11">
        <f t="shared" si="102"/>
        <v>39857941.019999996</v>
      </c>
      <c r="ZP157" s="11">
        <f t="shared" si="102"/>
        <v>344123868.20000005</v>
      </c>
      <c r="ZQ157" s="11">
        <f t="shared" si="102"/>
        <v>108883311.38000001</v>
      </c>
      <c r="ZR157" s="11">
        <f t="shared" si="102"/>
        <v>59184100.200000003</v>
      </c>
      <c r="ZS157" s="11">
        <f t="shared" si="102"/>
        <v>29114979.18</v>
      </c>
      <c r="ZT157" s="11">
        <f t="shared" si="102"/>
        <v>138039192.63</v>
      </c>
      <c r="ZU157" s="11">
        <f t="shared" si="102"/>
        <v>336872240.43000001</v>
      </c>
      <c r="ZV157" s="11">
        <f t="shared" si="102"/>
        <v>3358333.0300000086</v>
      </c>
      <c r="ZW157" s="11">
        <f t="shared" si="102"/>
        <v>44144496.299999997</v>
      </c>
      <c r="ZX157" s="11">
        <f t="shared" si="102"/>
        <v>46128529.969999999</v>
      </c>
      <c r="ZY157" s="11">
        <f t="shared" si="102"/>
        <v>21025466.57</v>
      </c>
      <c r="ZZ157" s="11">
        <f t="shared" si="102"/>
        <v>75151701.420000017</v>
      </c>
      <c r="AAA157" s="11">
        <f t="shared" si="102"/>
        <v>16523034.16</v>
      </c>
      <c r="AAB157" s="11">
        <f t="shared" si="102"/>
        <v>32900088.980000008</v>
      </c>
      <c r="AAC157" s="11">
        <f t="shared" si="102"/>
        <v>47336371.980000004</v>
      </c>
      <c r="AAD157" s="11">
        <f t="shared" si="102"/>
        <v>37808404.659999996</v>
      </c>
      <c r="AAE157" s="11">
        <f t="shared" si="102"/>
        <v>66293855.010000005</v>
      </c>
      <c r="AAF157" s="11">
        <f t="shared" si="102"/>
        <v>68786101.109999999</v>
      </c>
      <c r="AAG157" s="11">
        <f t="shared" ref="AAG157:ACR157" si="103">SUM(AAG57,AAG156)</f>
        <v>19092451.279999997</v>
      </c>
      <c r="AAH157" s="11">
        <f t="shared" si="103"/>
        <v>22643348.09</v>
      </c>
      <c r="AAI157" s="11">
        <f t="shared" si="103"/>
        <v>46635623.200000048</v>
      </c>
      <c r="AAJ157" s="11">
        <f t="shared" si="103"/>
        <v>10026713.549999997</v>
      </c>
      <c r="AAK157" s="11">
        <f t="shared" si="103"/>
        <v>11725998.329999998</v>
      </c>
      <c r="AAL157" s="11">
        <f t="shared" si="103"/>
        <v>-4416266.8400000017</v>
      </c>
      <c r="AAM157" s="11">
        <f t="shared" si="103"/>
        <v>20552106.790000003</v>
      </c>
      <c r="AAN157" s="11">
        <f t="shared" si="103"/>
        <v>-7503178.2500000037</v>
      </c>
      <c r="AAO157" s="11">
        <f t="shared" si="103"/>
        <v>11563819.990000002</v>
      </c>
      <c r="AAP157" s="11">
        <f t="shared" si="103"/>
        <v>479075290.60000002</v>
      </c>
      <c r="AAQ157" s="11">
        <f t="shared" si="103"/>
        <v>-2255124.3899999931</v>
      </c>
      <c r="AAR157" s="11">
        <f t="shared" si="103"/>
        <v>37462149.299999997</v>
      </c>
      <c r="AAS157" s="11">
        <f t="shared" si="103"/>
        <v>164131231.39999998</v>
      </c>
      <c r="AAT157" s="11">
        <f t="shared" si="103"/>
        <v>22177759.650000006</v>
      </c>
      <c r="AAU157" s="11">
        <f t="shared" si="103"/>
        <v>78783835.889999986</v>
      </c>
      <c r="AAV157" s="11">
        <f t="shared" si="103"/>
        <v>19224573.149999995</v>
      </c>
      <c r="AAW157" s="11">
        <f t="shared" si="103"/>
        <v>71325337.11999999</v>
      </c>
      <c r="AAX157" s="11">
        <f t="shared" si="103"/>
        <v>11084028.849999979</v>
      </c>
      <c r="AAY157" s="11">
        <f t="shared" si="103"/>
        <v>17788924.289999992</v>
      </c>
      <c r="AAZ157" s="11">
        <f t="shared" si="103"/>
        <v>38040688.229999989</v>
      </c>
      <c r="ABA157" s="11">
        <f t="shared" si="103"/>
        <v>21555660.370000005</v>
      </c>
      <c r="ABB157" s="11">
        <f t="shared" si="103"/>
        <v>44924750.219999984</v>
      </c>
      <c r="ABC157" s="11">
        <f t="shared" si="103"/>
        <v>8196887.2600000016</v>
      </c>
      <c r="ABD157" s="11">
        <f t="shared" si="103"/>
        <v>3110751.0700000003</v>
      </c>
      <c r="ABE157" s="11">
        <f t="shared" si="103"/>
        <v>23477234.870000008</v>
      </c>
      <c r="ABF157" s="11">
        <f t="shared" si="103"/>
        <v>33632356.830000006</v>
      </c>
      <c r="ABG157" s="11">
        <f t="shared" si="103"/>
        <v>59157530.159999996</v>
      </c>
      <c r="ABH157" s="11">
        <f t="shared" si="103"/>
        <v>19566239.680000003</v>
      </c>
      <c r="ABI157" s="11">
        <f t="shared" si="103"/>
        <v>44036077.109999985</v>
      </c>
      <c r="ABJ157" s="11">
        <f t="shared" si="103"/>
        <v>37997201.810000002</v>
      </c>
      <c r="ABK157" s="11">
        <f t="shared" si="103"/>
        <v>34665223.530000001</v>
      </c>
      <c r="ABL157" s="11">
        <f t="shared" si="103"/>
        <v>24666609.550000004</v>
      </c>
      <c r="ABM157" s="11">
        <f t="shared" si="103"/>
        <v>4134189.9699999988</v>
      </c>
      <c r="ABN157" s="11">
        <f t="shared" si="103"/>
        <v>39898740.519999996</v>
      </c>
      <c r="ABO157" s="11">
        <f t="shared" si="103"/>
        <v>22429435.039999999</v>
      </c>
      <c r="ABP157" s="11">
        <f t="shared" si="103"/>
        <v>217081284.75999999</v>
      </c>
      <c r="ABQ157" s="11">
        <f t="shared" si="103"/>
        <v>68780774.310000002</v>
      </c>
      <c r="ABR157" s="11">
        <f t="shared" si="103"/>
        <v>28150948.069999985</v>
      </c>
      <c r="ABS157" s="11">
        <f t="shared" si="103"/>
        <v>137754409.46999997</v>
      </c>
      <c r="ABT157" s="11">
        <f t="shared" si="103"/>
        <v>89369621.429999992</v>
      </c>
      <c r="ABU157" s="11">
        <f t="shared" si="103"/>
        <v>98111028.209999993</v>
      </c>
      <c r="ABV157" s="11">
        <f t="shared" si="103"/>
        <v>13859811.840000002</v>
      </c>
      <c r="ABW157" s="11">
        <f t="shared" si="103"/>
        <v>39180050.209999993</v>
      </c>
      <c r="ABX157" s="11">
        <f t="shared" si="103"/>
        <v>40423655.849999994</v>
      </c>
      <c r="ABY157" s="11">
        <f t="shared" si="103"/>
        <v>-71345793.840000063</v>
      </c>
      <c r="ABZ157" s="11">
        <f t="shared" si="103"/>
        <v>29203083.36999999</v>
      </c>
      <c r="ACA157" s="11">
        <f t="shared" si="103"/>
        <v>42904691.490000002</v>
      </c>
      <c r="ACB157" s="11">
        <f t="shared" si="103"/>
        <v>21373766.859999999</v>
      </c>
      <c r="ACC157" s="11">
        <f t="shared" si="103"/>
        <v>11766968.549999999</v>
      </c>
      <c r="ACD157" s="11">
        <f t="shared" si="103"/>
        <v>-25327067.24999997</v>
      </c>
      <c r="ACE157" s="11">
        <f t="shared" si="103"/>
        <v>-1931431.2100000009</v>
      </c>
      <c r="ACF157" s="11">
        <f t="shared" si="103"/>
        <v>-252251.01999999955</v>
      </c>
      <c r="ACG157" s="11">
        <f t="shared" si="103"/>
        <v>13153719.889999997</v>
      </c>
      <c r="ACH157" s="11">
        <f t="shared" si="103"/>
        <v>21933112.279999997</v>
      </c>
      <c r="ACI157" s="11">
        <f t="shared" si="103"/>
        <v>11645893.539999999</v>
      </c>
      <c r="ACJ157" s="11">
        <f t="shared" si="103"/>
        <v>186683395.38999993</v>
      </c>
      <c r="ACK157" s="11">
        <f t="shared" si="103"/>
        <v>37620514.140000001</v>
      </c>
      <c r="ACL157" s="11">
        <f t="shared" si="103"/>
        <v>-7157919.6099999957</v>
      </c>
      <c r="ACM157" s="11">
        <f t="shared" si="103"/>
        <v>79450325.539999992</v>
      </c>
      <c r="ACN157" s="11">
        <f t="shared" si="103"/>
        <v>11533507.870000003</v>
      </c>
      <c r="ACO157" s="11">
        <f t="shared" si="103"/>
        <v>-5772966.7199999988</v>
      </c>
      <c r="ACP157" s="11">
        <f t="shared" si="103"/>
        <v>42596375.039999992</v>
      </c>
      <c r="ACQ157" s="11">
        <f t="shared" si="103"/>
        <v>255469742.66999996</v>
      </c>
      <c r="ACR157" s="11">
        <f t="shared" si="103"/>
        <v>223918572.62</v>
      </c>
      <c r="ACS157" s="11">
        <f t="shared" ref="ACS157:AFD157" si="104">SUM(ACS57,ACS156)</f>
        <v>11271642.669999998</v>
      </c>
      <c r="ACT157" s="11">
        <f t="shared" si="104"/>
        <v>9647194.1199999899</v>
      </c>
      <c r="ACU157" s="11">
        <f t="shared" si="104"/>
        <v>40623529.11999999</v>
      </c>
      <c r="ACV157" s="11">
        <f t="shared" si="104"/>
        <v>51992103.709999993</v>
      </c>
      <c r="ACW157" s="11">
        <f t="shared" si="104"/>
        <v>582136755.5999999</v>
      </c>
      <c r="ACX157" s="11">
        <f t="shared" si="104"/>
        <v>-10112763.789999999</v>
      </c>
      <c r="ACY157" s="11">
        <f t="shared" si="104"/>
        <v>42567726.130000003</v>
      </c>
      <c r="ACZ157" s="11">
        <f t="shared" si="104"/>
        <v>52492355.689999998</v>
      </c>
      <c r="ADA157" s="11">
        <f t="shared" si="104"/>
        <v>1261815.6799999997</v>
      </c>
      <c r="ADB157" s="11">
        <f t="shared" si="104"/>
        <v>2379294.3199999966</v>
      </c>
      <c r="ADC157" s="11">
        <f t="shared" si="104"/>
        <v>6218885.1099999975</v>
      </c>
      <c r="ADD157" s="11">
        <f t="shared" si="104"/>
        <v>-1452465.9199999981</v>
      </c>
      <c r="ADE157" s="11">
        <f t="shared" si="104"/>
        <v>18569407.43</v>
      </c>
      <c r="ADF157" s="11">
        <f t="shared" si="104"/>
        <v>60476714.480000012</v>
      </c>
      <c r="ADG157" s="11">
        <f t="shared" si="104"/>
        <v>-5879086.9099999815</v>
      </c>
      <c r="ADH157" s="11">
        <f t="shared" si="104"/>
        <v>15342144.360000007</v>
      </c>
      <c r="ADI157" s="11">
        <f t="shared" si="104"/>
        <v>25790885.609999999</v>
      </c>
      <c r="ADJ157" s="11">
        <f t="shared" si="104"/>
        <v>5902158.1500000004</v>
      </c>
      <c r="ADK157" s="11">
        <f t="shared" si="104"/>
        <v>-2305905.0399999917</v>
      </c>
      <c r="ADL157" s="11">
        <f t="shared" si="104"/>
        <v>8088734.5800000019</v>
      </c>
      <c r="ADM157" s="11">
        <f t="shared" si="104"/>
        <v>29101062.700000003</v>
      </c>
      <c r="ADN157" s="11">
        <f t="shared" si="104"/>
        <v>4472468.2100000046</v>
      </c>
      <c r="ADO157" s="11">
        <f t="shared" si="104"/>
        <v>6325663.2800000012</v>
      </c>
      <c r="ADP157" s="11">
        <f t="shared" si="104"/>
        <v>231224076.31000006</v>
      </c>
      <c r="ADQ157" s="11">
        <f t="shared" si="104"/>
        <v>116603617.23999998</v>
      </c>
      <c r="ADR157" s="11">
        <f t="shared" si="104"/>
        <v>53067099.45000001</v>
      </c>
      <c r="ADS157" s="11">
        <f t="shared" si="104"/>
        <v>37984538.250000007</v>
      </c>
      <c r="ADT157" s="11">
        <f t="shared" si="104"/>
        <v>-28645672.679999977</v>
      </c>
      <c r="ADU157" s="11">
        <f t="shared" si="104"/>
        <v>-3397024.54</v>
      </c>
      <c r="ADV157" s="11">
        <f t="shared" si="104"/>
        <v>-661416.3900000006</v>
      </c>
      <c r="ADW157" s="11">
        <f t="shared" si="104"/>
        <v>28054265.550000001</v>
      </c>
      <c r="ADX157" s="11">
        <f t="shared" si="104"/>
        <v>-2843991.1200000006</v>
      </c>
      <c r="ADY157" s="11">
        <f t="shared" si="104"/>
        <v>6720826.9299999997</v>
      </c>
      <c r="ADZ157" s="11">
        <f t="shared" si="104"/>
        <v>85574534.689999938</v>
      </c>
      <c r="AEA157" s="11">
        <f t="shared" si="104"/>
        <v>14836421.690000027</v>
      </c>
      <c r="AEB157" s="11">
        <f t="shared" si="104"/>
        <v>-48102850.670000002</v>
      </c>
      <c r="AEC157" s="11">
        <f t="shared" si="104"/>
        <v>16035741.460000008</v>
      </c>
      <c r="AED157" s="11">
        <f t="shared" si="104"/>
        <v>24148828.609999999</v>
      </c>
      <c r="AEE157" s="11">
        <f t="shared" si="104"/>
        <v>39811997.139999986</v>
      </c>
      <c r="AEF157" s="11">
        <f t="shared" si="104"/>
        <v>13937814.920000009</v>
      </c>
      <c r="AEG157" s="11">
        <f t="shared" si="104"/>
        <v>-12081590.789999995</v>
      </c>
      <c r="AEH157" s="11">
        <f t="shared" si="104"/>
        <v>2455567.8799999971</v>
      </c>
      <c r="AEI157" s="11">
        <f t="shared" si="104"/>
        <v>50254143.579999998</v>
      </c>
      <c r="AEJ157" s="11">
        <f t="shared" si="104"/>
        <v>-8674653.8299999908</v>
      </c>
      <c r="AEK157" s="11">
        <f t="shared" si="104"/>
        <v>92844018.109999985</v>
      </c>
      <c r="AEL157" s="11">
        <f t="shared" si="104"/>
        <v>13653834.720000003</v>
      </c>
      <c r="AEM157" s="11">
        <f t="shared" si="104"/>
        <v>-14684157.060000002</v>
      </c>
      <c r="AEN157" s="11">
        <f t="shared" si="104"/>
        <v>12858619.400000013</v>
      </c>
      <c r="AEO157" s="11">
        <f t="shared" si="104"/>
        <v>32433857.07</v>
      </c>
      <c r="AEP157" s="11">
        <f t="shared" si="104"/>
        <v>19219491.010000002</v>
      </c>
      <c r="AEQ157" s="11">
        <f t="shared" si="104"/>
        <v>-20155982.700000018</v>
      </c>
      <c r="AER157" s="11">
        <f t="shared" si="104"/>
        <v>5632646.1400000006</v>
      </c>
      <c r="AES157" s="11">
        <f t="shared" si="104"/>
        <v>-13252735.899999991</v>
      </c>
      <c r="AET157" s="11">
        <f t="shared" si="104"/>
        <v>395521289.40999985</v>
      </c>
      <c r="AEU157" s="11">
        <f t="shared" si="104"/>
        <v>49839692.859999985</v>
      </c>
      <c r="AEV157" s="11">
        <f t="shared" si="104"/>
        <v>96687449.840000004</v>
      </c>
      <c r="AEW157" s="11">
        <f t="shared" si="104"/>
        <v>8712382.2399999946</v>
      </c>
      <c r="AEX157" s="11">
        <f t="shared" si="104"/>
        <v>13292534.740000006</v>
      </c>
      <c r="AEY157" s="11">
        <f t="shared" si="104"/>
        <v>-19980538.729999997</v>
      </c>
      <c r="AEZ157" s="11">
        <f t="shared" si="104"/>
        <v>13300514.560000006</v>
      </c>
      <c r="AFA157" s="11">
        <f t="shared" si="104"/>
        <v>-272055.07999998331</v>
      </c>
      <c r="AFB157" s="11">
        <f t="shared" si="104"/>
        <v>-6008165.4900000021</v>
      </c>
      <c r="AFC157" s="11">
        <f t="shared" si="104"/>
        <v>2905821.6399999987</v>
      </c>
      <c r="AFD157" s="11">
        <f t="shared" si="104"/>
        <v>245024490.68000001</v>
      </c>
      <c r="AFE157" s="11">
        <f t="shared" ref="AFE157:AHP157" si="105">SUM(AFE57,AFE156)</f>
        <v>236929892.13</v>
      </c>
      <c r="AFF157" s="11">
        <f t="shared" si="105"/>
        <v>77954845.909999996</v>
      </c>
      <c r="AFG157" s="11">
        <f t="shared" si="105"/>
        <v>55247741.049999997</v>
      </c>
      <c r="AFH157" s="11">
        <f t="shared" si="105"/>
        <v>203363127.44999999</v>
      </c>
      <c r="AFI157" s="11">
        <f t="shared" si="105"/>
        <v>80545626.159999996</v>
      </c>
      <c r="AFJ157" s="11">
        <f t="shared" si="105"/>
        <v>28824772.239999998</v>
      </c>
      <c r="AFK157" s="11">
        <f t="shared" si="105"/>
        <v>29953523.229999997</v>
      </c>
      <c r="AFL157" s="11">
        <f t="shared" si="105"/>
        <v>46814289.359999999</v>
      </c>
      <c r="AFM157" s="11">
        <f t="shared" si="105"/>
        <v>41436716.659999989</v>
      </c>
      <c r="AFN157" s="11">
        <f t="shared" si="105"/>
        <v>31630603.939999994</v>
      </c>
      <c r="AFO157" s="11">
        <f t="shared" si="105"/>
        <v>49273309.659999996</v>
      </c>
      <c r="AFP157" s="11">
        <f t="shared" si="105"/>
        <v>37202355.81000001</v>
      </c>
      <c r="AFQ157" s="11">
        <f t="shared" si="105"/>
        <v>605161875.3599999</v>
      </c>
      <c r="AFR157" s="11">
        <f t="shared" si="105"/>
        <v>49677611.509999983</v>
      </c>
      <c r="AFS157" s="11">
        <f t="shared" si="105"/>
        <v>116327603.43000002</v>
      </c>
      <c r="AFT157" s="11">
        <f t="shared" si="105"/>
        <v>47842567.760000005</v>
      </c>
      <c r="AFU157" s="11">
        <f t="shared" si="105"/>
        <v>54389177.169999994</v>
      </c>
      <c r="AFV157" s="11">
        <f t="shared" si="105"/>
        <v>61808633.740000002</v>
      </c>
      <c r="AFW157" s="11">
        <f t="shared" si="105"/>
        <v>38936659.299999997</v>
      </c>
      <c r="AFX157" s="11">
        <f t="shared" si="105"/>
        <v>144801609.29000002</v>
      </c>
      <c r="AFY157" s="11">
        <f t="shared" si="105"/>
        <v>68359068.400000006</v>
      </c>
      <c r="AFZ157" s="11">
        <f t="shared" si="105"/>
        <v>31493346.500000004</v>
      </c>
      <c r="AGA157" s="11">
        <f t="shared" si="105"/>
        <v>190992571.79000002</v>
      </c>
      <c r="AGB157" s="11">
        <f t="shared" si="105"/>
        <v>53754722.849999994</v>
      </c>
      <c r="AGC157" s="11">
        <f t="shared" si="105"/>
        <v>454269480.94000006</v>
      </c>
      <c r="AGD157" s="11">
        <f t="shared" si="105"/>
        <v>105573834.25</v>
      </c>
      <c r="AGE157" s="11">
        <f t="shared" si="105"/>
        <v>23220647.639999993</v>
      </c>
      <c r="AGF157" s="11">
        <f t="shared" si="105"/>
        <v>59373178.370000005</v>
      </c>
      <c r="AGG157" s="11">
        <f t="shared" si="105"/>
        <v>91802919.000000015</v>
      </c>
      <c r="AGH157" s="11">
        <f t="shared" si="105"/>
        <v>29029824.870000005</v>
      </c>
      <c r="AGI157" s="11">
        <f t="shared" si="105"/>
        <v>39725396.340000004</v>
      </c>
      <c r="AGJ157" s="11">
        <f t="shared" si="105"/>
        <v>48147401.579999998</v>
      </c>
      <c r="AGK157" s="11">
        <f t="shared" si="105"/>
        <v>20965017.25</v>
      </c>
      <c r="AGL157" s="11">
        <f t="shared" si="105"/>
        <v>31198377.360000007</v>
      </c>
      <c r="AGM157" s="11">
        <f t="shared" si="105"/>
        <v>17401878.780000001</v>
      </c>
      <c r="AGN157" s="11">
        <f t="shared" si="105"/>
        <v>869300120.03999996</v>
      </c>
      <c r="AGO157" s="11">
        <f t="shared" si="105"/>
        <v>113378980.06999999</v>
      </c>
      <c r="AGP157" s="11">
        <f t="shared" si="105"/>
        <v>202691015.30000001</v>
      </c>
      <c r="AGQ157" s="11">
        <f t="shared" si="105"/>
        <v>53501078.210000008</v>
      </c>
      <c r="AGR157" s="11">
        <f t="shared" si="105"/>
        <v>179750643.04999998</v>
      </c>
      <c r="AGS157" s="11">
        <f t="shared" si="105"/>
        <v>108053064.97000001</v>
      </c>
      <c r="AGT157" s="11">
        <f t="shared" si="105"/>
        <v>17133096.100000001</v>
      </c>
      <c r="AGU157" s="11">
        <f t="shared" si="105"/>
        <v>65234190.350000001</v>
      </c>
      <c r="AGV157" s="11">
        <f t="shared" si="105"/>
        <v>402995985.72999996</v>
      </c>
      <c r="AGW157" s="11">
        <f t="shared" si="105"/>
        <v>390376518.63</v>
      </c>
      <c r="AGX157" s="11">
        <f t="shared" si="105"/>
        <v>11820413.529999994</v>
      </c>
      <c r="AGY157" s="11">
        <f t="shared" si="105"/>
        <v>268152908.75000006</v>
      </c>
      <c r="AGZ157" s="11">
        <f t="shared" si="105"/>
        <v>142587236.48000002</v>
      </c>
      <c r="AHA157" s="11">
        <f t="shared" si="105"/>
        <v>166070735.19999999</v>
      </c>
      <c r="AHB157" s="11">
        <f t="shared" si="105"/>
        <v>30848553.379999995</v>
      </c>
      <c r="AHC157" s="11">
        <f t="shared" si="105"/>
        <v>37565578.959999993</v>
      </c>
      <c r="AHD157" s="11">
        <f t="shared" si="105"/>
        <v>17398496.790000003</v>
      </c>
      <c r="AHE157" s="11">
        <f t="shared" si="105"/>
        <v>74399778.200000003</v>
      </c>
      <c r="AHF157" s="11">
        <f t="shared" si="105"/>
        <v>172918264.52999997</v>
      </c>
      <c r="AHG157" s="11">
        <f t="shared" si="105"/>
        <v>89266963.5</v>
      </c>
      <c r="AHH157" s="11">
        <f t="shared" si="105"/>
        <v>33364468.52</v>
      </c>
      <c r="AHI157" s="11">
        <f t="shared" si="105"/>
        <v>62888042.600000001</v>
      </c>
      <c r="AHJ157" s="11">
        <f t="shared" si="105"/>
        <v>39628519.88000001</v>
      </c>
      <c r="AHK157" s="11">
        <f t="shared" si="105"/>
        <v>53924765.710000001</v>
      </c>
      <c r="AHL157" s="11">
        <f t="shared" si="105"/>
        <v>20853555.120000001</v>
      </c>
      <c r="AHM157" s="11">
        <f t="shared" si="105"/>
        <v>-5823206.3799999952</v>
      </c>
      <c r="AHN157" s="11">
        <f t="shared" si="105"/>
        <v>48482910.410000004</v>
      </c>
      <c r="AHO157" s="11">
        <f t="shared" si="105"/>
        <v>31246123.869999997</v>
      </c>
      <c r="AHP157" s="11">
        <f t="shared" si="105"/>
        <v>21188778.890000001</v>
      </c>
      <c r="AHQ157" s="11">
        <f t="shared" ref="AHQ157:AHT157" si="106">SUM(AHQ57,AHQ156)</f>
        <v>-13647009.350000005</v>
      </c>
      <c r="AHR157" s="11">
        <f t="shared" si="106"/>
        <v>26105532.880000003</v>
      </c>
      <c r="AHS157" s="11">
        <f t="shared" si="106"/>
        <v>770729.82999999821</v>
      </c>
      <c r="AHT157" s="11">
        <f t="shared" si="106"/>
        <v>59864719679.62001</v>
      </c>
    </row>
    <row r="158" spans="1:908" x14ac:dyDescent="0.7">
      <c r="B158" s="268"/>
      <c r="C158" s="269"/>
      <c r="D158" s="269"/>
    </row>
    <row r="159" spans="1:908" ht="27" x14ac:dyDescent="0.75">
      <c r="B159" s="594" t="s">
        <v>6282</v>
      </c>
      <c r="C159" s="595" t="s">
        <v>6275</v>
      </c>
      <c r="D159" s="294">
        <f>SUMIF($A$61:$A$154,$A$135,D$61:D$154)*-1</f>
        <v>-2082443.44</v>
      </c>
      <c r="E159" s="294">
        <f t="shared" ref="E159:BP159" si="107">SUMIF($A$61:$A$154,$A$135,E$61:E$154)*-1</f>
        <v>-3813120.95</v>
      </c>
      <c r="F159" s="294">
        <f t="shared" si="107"/>
        <v>0</v>
      </c>
      <c r="G159" s="294">
        <f t="shared" si="107"/>
        <v>0</v>
      </c>
      <c r="H159" s="294">
        <f t="shared" si="107"/>
        <v>-8794282.5500000007</v>
      </c>
      <c r="I159" s="294">
        <f t="shared" si="107"/>
        <v>0</v>
      </c>
      <c r="J159" s="294">
        <f t="shared" si="107"/>
        <v>0</v>
      </c>
      <c r="K159" s="294">
        <f t="shared" si="107"/>
        <v>-6385113.9500000002</v>
      </c>
      <c r="L159" s="294">
        <f t="shared" si="107"/>
        <v>-5650276.5299999993</v>
      </c>
      <c r="M159" s="294">
        <f t="shared" si="107"/>
        <v>-4648944.62</v>
      </c>
      <c r="N159" s="294">
        <f t="shared" si="107"/>
        <v>0</v>
      </c>
      <c r="O159" s="294">
        <f t="shared" si="107"/>
        <v>-482500.67</v>
      </c>
      <c r="P159" s="294">
        <f t="shared" si="107"/>
        <v>-13515586.51</v>
      </c>
      <c r="Q159" s="294">
        <f t="shared" si="107"/>
        <v>0</v>
      </c>
      <c r="R159" s="294">
        <f t="shared" si="107"/>
        <v>0</v>
      </c>
      <c r="S159" s="294">
        <f t="shared" si="107"/>
        <v>0</v>
      </c>
      <c r="T159" s="294">
        <f t="shared" si="107"/>
        <v>0</v>
      </c>
      <c r="U159" s="294">
        <f t="shared" si="107"/>
        <v>-1577282.31</v>
      </c>
      <c r="V159" s="294">
        <f t="shared" si="107"/>
        <v>-1649602.23</v>
      </c>
      <c r="W159" s="294">
        <f t="shared" si="107"/>
        <v>-4198782.28</v>
      </c>
      <c r="X159" s="294">
        <f t="shared" si="107"/>
        <v>-4419277.54</v>
      </c>
      <c r="Y159" s="294">
        <f t="shared" si="107"/>
        <v>-12160957.08</v>
      </c>
      <c r="Z159" s="294">
        <f t="shared" si="107"/>
        <v>-509345.85</v>
      </c>
      <c r="AA159" s="294">
        <f t="shared" si="107"/>
        <v>-4343752.03</v>
      </c>
      <c r="AB159" s="294">
        <f t="shared" si="107"/>
        <v>-567187.02</v>
      </c>
      <c r="AC159" s="294">
        <f t="shared" si="107"/>
        <v>-8498853.6899999995</v>
      </c>
      <c r="AD159" s="294">
        <f t="shared" si="107"/>
        <v>-4540406.9000000004</v>
      </c>
      <c r="AE159" s="294">
        <f t="shared" si="107"/>
        <v>-3253190.9699999997</v>
      </c>
      <c r="AF159" s="294">
        <f t="shared" si="107"/>
        <v>-6772113.5700000003</v>
      </c>
      <c r="AG159" s="294">
        <f t="shared" si="107"/>
        <v>-2411667.81</v>
      </c>
      <c r="AH159" s="294">
        <f t="shared" si="107"/>
        <v>-6868192.96</v>
      </c>
      <c r="AI159" s="294">
        <f t="shared" si="107"/>
        <v>-2655193.11</v>
      </c>
      <c r="AJ159" s="294">
        <f t="shared" si="107"/>
        <v>-5004697.87</v>
      </c>
      <c r="AK159" s="294">
        <f t="shared" si="107"/>
        <v>-145188.76</v>
      </c>
      <c r="AL159" s="294">
        <f t="shared" si="107"/>
        <v>-4117220.6700000004</v>
      </c>
      <c r="AM159" s="294">
        <f t="shared" si="107"/>
        <v>-2053514.1099999999</v>
      </c>
      <c r="AN159" s="294">
        <f t="shared" si="107"/>
        <v>-1313226.5</v>
      </c>
      <c r="AO159" s="294">
        <f t="shared" si="107"/>
        <v>-2868979.23</v>
      </c>
      <c r="AP159" s="294">
        <f t="shared" si="107"/>
        <v>-1039529</v>
      </c>
      <c r="AQ159" s="294">
        <f t="shared" si="107"/>
        <v>-317660.7</v>
      </c>
      <c r="AR159" s="294">
        <f t="shared" si="107"/>
        <v>-1628028.15</v>
      </c>
      <c r="AS159" s="294">
        <f t="shared" si="107"/>
        <v>-2777793.3099999996</v>
      </c>
      <c r="AT159" s="294">
        <f t="shared" si="107"/>
        <v>0</v>
      </c>
      <c r="AU159" s="294">
        <f t="shared" si="107"/>
        <v>-3283677.71</v>
      </c>
      <c r="AV159" s="294">
        <f t="shared" si="107"/>
        <v>-118895.76</v>
      </c>
      <c r="AW159" s="294">
        <f t="shared" si="107"/>
        <v>-612411.9</v>
      </c>
      <c r="AX159" s="294">
        <f t="shared" si="107"/>
        <v>0</v>
      </c>
      <c r="AY159" s="294">
        <f t="shared" si="107"/>
        <v>-2360474.9299999997</v>
      </c>
      <c r="AZ159" s="294">
        <f t="shared" si="107"/>
        <v>-2313257.67</v>
      </c>
      <c r="BA159" s="294">
        <f t="shared" si="107"/>
        <v>-393175.42</v>
      </c>
      <c r="BB159" s="294">
        <f t="shared" si="107"/>
        <v>-159518.15</v>
      </c>
      <c r="BC159" s="294">
        <f t="shared" si="107"/>
        <v>-78332.7</v>
      </c>
      <c r="BD159" s="294">
        <f t="shared" si="107"/>
        <v>-188644.14</v>
      </c>
      <c r="BE159" s="294">
        <f t="shared" si="107"/>
        <v>-2437856.6800000002</v>
      </c>
      <c r="BF159" s="294">
        <f t="shared" si="107"/>
        <v>-10682847.6</v>
      </c>
      <c r="BG159" s="294">
        <f t="shared" si="107"/>
        <v>-432185.02999999997</v>
      </c>
      <c r="BH159" s="294">
        <f t="shared" si="107"/>
        <v>-5461426.2599999998</v>
      </c>
      <c r="BI159" s="294">
        <f t="shared" si="107"/>
        <v>-26737042.819999997</v>
      </c>
      <c r="BJ159" s="294">
        <f t="shared" si="107"/>
        <v>-4725340.4399999995</v>
      </c>
      <c r="BK159" s="294">
        <f t="shared" si="107"/>
        <v>-148988.77000000002</v>
      </c>
      <c r="BL159" s="294">
        <f t="shared" si="107"/>
        <v>-1362365.5</v>
      </c>
      <c r="BM159" s="294">
        <f t="shared" si="107"/>
        <v>-375034.26</v>
      </c>
      <c r="BN159" s="294">
        <f t="shared" si="107"/>
        <v>-8028691.8300000001</v>
      </c>
      <c r="BO159" s="294">
        <f t="shared" si="107"/>
        <v>-1952409.79</v>
      </c>
      <c r="BP159" s="294">
        <f t="shared" si="107"/>
        <v>-672181.75</v>
      </c>
      <c r="BQ159" s="294">
        <f t="shared" ref="BQ159:EB159" si="108">SUMIF($A$61:$A$154,$A$135,BQ$61:BQ$154)*-1</f>
        <v>-1349914.77</v>
      </c>
      <c r="BR159" s="294">
        <f t="shared" si="108"/>
        <v>-5812776.1500000004</v>
      </c>
      <c r="BS159" s="294">
        <f t="shared" si="108"/>
        <v>-7360530.5299999993</v>
      </c>
      <c r="BT159" s="294">
        <f t="shared" si="108"/>
        <v>-2317752.4</v>
      </c>
      <c r="BU159" s="294">
        <f t="shared" si="108"/>
        <v>-2232285.65</v>
      </c>
      <c r="BV159" s="294">
        <f t="shared" si="108"/>
        <v>-2418964.5499999998</v>
      </c>
      <c r="BW159" s="294">
        <f t="shared" si="108"/>
        <v>-3036398.4299999997</v>
      </c>
      <c r="BX159" s="294">
        <f t="shared" si="108"/>
        <v>-1215328.52</v>
      </c>
      <c r="BY159" s="294">
        <f t="shared" si="108"/>
        <v>-738815</v>
      </c>
      <c r="BZ159" s="294">
        <f t="shared" si="108"/>
        <v>-2059784.83</v>
      </c>
      <c r="CA159" s="294">
        <f t="shared" si="108"/>
        <v>-1076974.21</v>
      </c>
      <c r="CB159" s="294">
        <f t="shared" si="108"/>
        <v>-1513464.94</v>
      </c>
      <c r="CC159" s="294">
        <f t="shared" si="108"/>
        <v>-1886625.95</v>
      </c>
      <c r="CD159" s="294">
        <f t="shared" si="108"/>
        <v>-1021351.27</v>
      </c>
      <c r="CE159" s="294">
        <f t="shared" si="108"/>
        <v>-1577784.3200000001</v>
      </c>
      <c r="CF159" s="294">
        <f t="shared" si="108"/>
        <v>-3014243.35</v>
      </c>
      <c r="CG159" s="294">
        <f t="shared" si="108"/>
        <v>-4450586.63</v>
      </c>
      <c r="CH159" s="294">
        <f t="shared" si="108"/>
        <v>-1850865</v>
      </c>
      <c r="CI159" s="294">
        <f t="shared" si="108"/>
        <v>-2545444.83</v>
      </c>
      <c r="CJ159" s="294">
        <f t="shared" si="108"/>
        <v>-565160</v>
      </c>
      <c r="CK159" s="294">
        <f t="shared" si="108"/>
        <v>-2907748.98</v>
      </c>
      <c r="CL159" s="294">
        <f t="shared" si="108"/>
        <v>-2602257.5</v>
      </c>
      <c r="CM159" s="294">
        <f t="shared" si="108"/>
        <v>-2011746</v>
      </c>
      <c r="CN159" s="294">
        <f t="shared" si="108"/>
        <v>-4480715.21</v>
      </c>
      <c r="CO159" s="294">
        <f t="shared" si="108"/>
        <v>-790961.67</v>
      </c>
      <c r="CP159" s="294">
        <f t="shared" si="108"/>
        <v>-3476966</v>
      </c>
      <c r="CQ159" s="294">
        <f t="shared" si="108"/>
        <v>-1203331.29</v>
      </c>
      <c r="CR159" s="294">
        <f t="shared" si="108"/>
        <v>-2646740.2000000002</v>
      </c>
      <c r="CS159" s="294">
        <f t="shared" si="108"/>
        <v>-1999755.53</v>
      </c>
      <c r="CT159" s="294">
        <f t="shared" si="108"/>
        <v>-6502584.3600000003</v>
      </c>
      <c r="CU159" s="294">
        <f t="shared" si="108"/>
        <v>-3898193.41</v>
      </c>
      <c r="CV159" s="294">
        <f t="shared" si="108"/>
        <v>-1291778.1499999999</v>
      </c>
      <c r="CW159" s="294">
        <f t="shared" si="108"/>
        <v>-4264358.1500000004</v>
      </c>
      <c r="CX159" s="294">
        <f t="shared" si="108"/>
        <v>-3758216.6900000004</v>
      </c>
      <c r="CY159" s="294">
        <f t="shared" si="108"/>
        <v>-4216128.4800000004</v>
      </c>
      <c r="CZ159" s="294">
        <f t="shared" si="108"/>
        <v>-176694.39999999999</v>
      </c>
      <c r="DA159" s="294">
        <f t="shared" si="108"/>
        <v>-24129.24</v>
      </c>
      <c r="DB159" s="294">
        <f t="shared" si="108"/>
        <v>-10691887.969999999</v>
      </c>
      <c r="DC159" s="294">
        <f t="shared" si="108"/>
        <v>-15151355.109999999</v>
      </c>
      <c r="DD159" s="294">
        <f t="shared" si="108"/>
        <v>-4485436.25</v>
      </c>
      <c r="DE159" s="294">
        <f t="shared" si="108"/>
        <v>-4381009.8499999996</v>
      </c>
      <c r="DF159" s="294">
        <f t="shared" si="108"/>
        <v>-2079143.4100000001</v>
      </c>
      <c r="DG159" s="294">
        <f t="shared" si="108"/>
        <v>-4959846.93</v>
      </c>
      <c r="DH159" s="294">
        <f t="shared" si="108"/>
        <v>-2954131.64</v>
      </c>
      <c r="DI159" s="294">
        <f t="shared" si="108"/>
        <v>-1871283.65</v>
      </c>
      <c r="DJ159" s="294">
        <f t="shared" si="108"/>
        <v>-1086404.95</v>
      </c>
      <c r="DK159" s="294">
        <f t="shared" si="108"/>
        <v>-45738212.039999999</v>
      </c>
      <c r="DL159" s="294">
        <f t="shared" si="108"/>
        <v>-1687500</v>
      </c>
      <c r="DM159" s="294">
        <f t="shared" si="108"/>
        <v>-4437009.79</v>
      </c>
      <c r="DN159" s="294">
        <f t="shared" si="108"/>
        <v>-2278254.5099999998</v>
      </c>
      <c r="DO159" s="294">
        <f t="shared" si="108"/>
        <v>-4020240.2800000003</v>
      </c>
      <c r="DP159" s="294">
        <f t="shared" si="108"/>
        <v>-962906.95</v>
      </c>
      <c r="DQ159" s="294">
        <f t="shared" si="108"/>
        <v>-3559508.1</v>
      </c>
      <c r="DR159" s="294">
        <f t="shared" si="108"/>
        <v>-2176233.81</v>
      </c>
      <c r="DS159" s="294">
        <f t="shared" si="108"/>
        <v>-8776799.1799999997</v>
      </c>
      <c r="DT159" s="294">
        <f t="shared" si="108"/>
        <v>-717714.87</v>
      </c>
      <c r="DU159" s="294">
        <f t="shared" si="108"/>
        <v>-1398024.58</v>
      </c>
      <c r="DV159" s="294">
        <f t="shared" si="108"/>
        <v>-7093366.6799999997</v>
      </c>
      <c r="DW159" s="294">
        <f t="shared" si="108"/>
        <v>-1984779.2</v>
      </c>
      <c r="DX159" s="294">
        <f t="shared" si="108"/>
        <v>-862075.26</v>
      </c>
      <c r="DY159" s="294">
        <f t="shared" si="108"/>
        <v>0</v>
      </c>
      <c r="DZ159" s="294">
        <f t="shared" si="108"/>
        <v>-1312239.19</v>
      </c>
      <c r="EA159" s="294">
        <f t="shared" si="108"/>
        <v>-151257.32</v>
      </c>
      <c r="EB159" s="294">
        <f t="shared" si="108"/>
        <v>-1057053.6499999999</v>
      </c>
      <c r="EC159" s="294">
        <f t="shared" ref="EC159:GN159" si="109">SUMIF($A$61:$A$154,$A$135,EC$61:EC$154)*-1</f>
        <v>-1835234.4100000001</v>
      </c>
      <c r="ED159" s="294">
        <f t="shared" si="109"/>
        <v>-635.47</v>
      </c>
      <c r="EE159" s="294">
        <f t="shared" si="109"/>
        <v>-3538824.9899999998</v>
      </c>
      <c r="EF159" s="294">
        <f t="shared" si="109"/>
        <v>-4614880.13</v>
      </c>
      <c r="EG159" s="294">
        <f t="shared" si="109"/>
        <v>-3152200</v>
      </c>
      <c r="EH159" s="294">
        <f t="shared" si="109"/>
        <v>-6324413.4300000006</v>
      </c>
      <c r="EI159" s="294">
        <f t="shared" si="109"/>
        <v>-5528734.5700000003</v>
      </c>
      <c r="EJ159" s="294">
        <f t="shared" si="109"/>
        <v>-1785618.7</v>
      </c>
      <c r="EK159" s="294">
        <f t="shared" si="109"/>
        <v>-762997.54</v>
      </c>
      <c r="EL159" s="294">
        <f t="shared" si="109"/>
        <v>-794530.52</v>
      </c>
      <c r="EM159" s="294">
        <f t="shared" si="109"/>
        <v>-1074181.7</v>
      </c>
      <c r="EN159" s="294">
        <f t="shared" si="109"/>
        <v>-1214213.28</v>
      </c>
      <c r="EO159" s="294">
        <f t="shared" si="109"/>
        <v>-1764362.79</v>
      </c>
      <c r="EP159" s="294">
        <f t="shared" si="109"/>
        <v>-785478.07</v>
      </c>
      <c r="EQ159" s="294">
        <f t="shared" si="109"/>
        <v>-2183500.08</v>
      </c>
      <c r="ER159" s="294">
        <f t="shared" si="109"/>
        <v>-507861.76000000001</v>
      </c>
      <c r="ES159" s="294">
        <f t="shared" si="109"/>
        <v>-1244252.54</v>
      </c>
      <c r="ET159" s="294">
        <f t="shared" si="109"/>
        <v>-3767683.75</v>
      </c>
      <c r="EU159" s="294">
        <f t="shared" si="109"/>
        <v>-2964865.61</v>
      </c>
      <c r="EV159" s="294">
        <f t="shared" si="109"/>
        <v>-450000</v>
      </c>
      <c r="EW159" s="294">
        <f t="shared" si="109"/>
        <v>-9479936.8200000003</v>
      </c>
      <c r="EX159" s="294">
        <f t="shared" si="109"/>
        <v>0</v>
      </c>
      <c r="EY159" s="294">
        <f t="shared" si="109"/>
        <v>-1576246.81</v>
      </c>
      <c r="EZ159" s="294">
        <f t="shared" si="109"/>
        <v>-2772235.59</v>
      </c>
      <c r="FA159" s="294">
        <f t="shared" si="109"/>
        <v>-2550000</v>
      </c>
      <c r="FB159" s="294">
        <f t="shared" si="109"/>
        <v>-1147500</v>
      </c>
      <c r="FC159" s="294">
        <f t="shared" si="109"/>
        <v>-1081420.6299999999</v>
      </c>
      <c r="FD159" s="294">
        <f t="shared" si="109"/>
        <v>-380409.39</v>
      </c>
      <c r="FE159" s="294">
        <f t="shared" si="109"/>
        <v>-999449.27</v>
      </c>
      <c r="FF159" s="294">
        <f t="shared" si="109"/>
        <v>-1889783.1099999999</v>
      </c>
      <c r="FG159" s="294">
        <f t="shared" si="109"/>
        <v>-1240688.01</v>
      </c>
      <c r="FH159" s="294">
        <f t="shared" si="109"/>
        <v>-376731.95999999996</v>
      </c>
      <c r="FI159" s="294">
        <f t="shared" si="109"/>
        <v>-1098959.5</v>
      </c>
      <c r="FJ159" s="294">
        <f t="shared" si="109"/>
        <v>-1258785.93</v>
      </c>
      <c r="FK159" s="294">
        <f t="shared" si="109"/>
        <v>-459000</v>
      </c>
      <c r="FL159" s="294">
        <f t="shared" si="109"/>
        <v>-1414675.3</v>
      </c>
      <c r="FM159" s="294">
        <f t="shared" si="109"/>
        <v>-3395089.12</v>
      </c>
      <c r="FN159" s="294">
        <f t="shared" si="109"/>
        <v>-903159.14</v>
      </c>
      <c r="FO159" s="294">
        <f t="shared" si="109"/>
        <v>-2534556.9500000002</v>
      </c>
      <c r="FP159" s="294">
        <f t="shared" si="109"/>
        <v>-619823.34</v>
      </c>
      <c r="FQ159" s="294">
        <f t="shared" si="109"/>
        <v>-85598412.899999991</v>
      </c>
      <c r="FR159" s="294">
        <f t="shared" si="109"/>
        <v>-2191531.0499999998</v>
      </c>
      <c r="FS159" s="294">
        <f t="shared" si="109"/>
        <v>-7616837.3300000001</v>
      </c>
      <c r="FT159" s="294">
        <f t="shared" si="109"/>
        <v>-2137923.8899999997</v>
      </c>
      <c r="FU159" s="294">
        <f t="shared" si="109"/>
        <v>-2627426.5799999996</v>
      </c>
      <c r="FV159" s="294">
        <f t="shared" si="109"/>
        <v>-2750673.6</v>
      </c>
      <c r="FW159" s="294">
        <f t="shared" si="109"/>
        <v>-5976320.3700000001</v>
      </c>
      <c r="FX159" s="294">
        <f t="shared" si="109"/>
        <v>-4164115.87</v>
      </c>
      <c r="FY159" s="294">
        <f t="shared" si="109"/>
        <v>-2713824.23</v>
      </c>
      <c r="FZ159" s="294">
        <f t="shared" si="109"/>
        <v>-4022781.91</v>
      </c>
      <c r="GA159" s="294">
        <f t="shared" si="109"/>
        <v>-6956992.2300000004</v>
      </c>
      <c r="GB159" s="294">
        <f t="shared" si="109"/>
        <v>-6527664.7000000002</v>
      </c>
      <c r="GC159" s="294">
        <f t="shared" si="109"/>
        <v>-5755830.1899999995</v>
      </c>
      <c r="GD159" s="294">
        <f t="shared" si="109"/>
        <v>-2305208.77</v>
      </c>
      <c r="GE159" s="294">
        <f t="shared" si="109"/>
        <v>-22237681.719999999</v>
      </c>
      <c r="GF159" s="294">
        <f t="shared" si="109"/>
        <v>-1972755.5</v>
      </c>
      <c r="GG159" s="294">
        <f t="shared" si="109"/>
        <v>-3063191</v>
      </c>
      <c r="GH159" s="294">
        <f t="shared" si="109"/>
        <v>-1179954.51</v>
      </c>
      <c r="GI159" s="294">
        <f t="shared" si="109"/>
        <v>-5308562.41</v>
      </c>
      <c r="GJ159" s="294">
        <f t="shared" si="109"/>
        <v>-6081195.1899999995</v>
      </c>
      <c r="GK159" s="294">
        <f t="shared" si="109"/>
        <v>-2084383.5699999998</v>
      </c>
      <c r="GL159" s="294">
        <f t="shared" si="109"/>
        <v>-1454858.77</v>
      </c>
      <c r="GM159" s="294">
        <f t="shared" si="109"/>
        <v>-1775546.32</v>
      </c>
      <c r="GN159" s="294">
        <f t="shared" si="109"/>
        <v>-2254747.65</v>
      </c>
      <c r="GO159" s="294">
        <f t="shared" ref="GO159:IZ159" si="110">SUMIF($A$61:$A$154,$A$135,GO$61:GO$154)*-1</f>
        <v>-1904738.7799999998</v>
      </c>
      <c r="GP159" s="294">
        <f t="shared" si="110"/>
        <v>-1707608.22</v>
      </c>
      <c r="GQ159" s="294">
        <f t="shared" si="110"/>
        <v>-7659245.4199999999</v>
      </c>
      <c r="GR159" s="294">
        <f t="shared" si="110"/>
        <v>-1215000</v>
      </c>
      <c r="GS159" s="294">
        <f t="shared" si="110"/>
        <v>-1609520.95</v>
      </c>
      <c r="GT159" s="294">
        <f t="shared" si="110"/>
        <v>-5305806.4800000004</v>
      </c>
      <c r="GU159" s="294">
        <f t="shared" si="110"/>
        <v>-666469.56000000006</v>
      </c>
      <c r="GV159" s="294">
        <f t="shared" si="110"/>
        <v>-1404437.43</v>
      </c>
      <c r="GW159" s="294">
        <f t="shared" si="110"/>
        <v>-3384627.99</v>
      </c>
      <c r="GX159" s="294">
        <f t="shared" si="110"/>
        <v>-672000</v>
      </c>
      <c r="GY159" s="294">
        <f t="shared" si="110"/>
        <v>-234905</v>
      </c>
      <c r="GZ159" s="294">
        <f t="shared" si="110"/>
        <v>0</v>
      </c>
      <c r="HA159" s="294">
        <f t="shared" si="110"/>
        <v>0</v>
      </c>
      <c r="HB159" s="294">
        <f t="shared" si="110"/>
        <v>-1122000</v>
      </c>
      <c r="HC159" s="294">
        <f t="shared" si="110"/>
        <v>-6239095.54</v>
      </c>
      <c r="HD159" s="294">
        <f t="shared" si="110"/>
        <v>-913680.2</v>
      </c>
      <c r="HE159" s="294">
        <f t="shared" si="110"/>
        <v>-4774339.63</v>
      </c>
      <c r="HF159" s="294">
        <f t="shared" si="110"/>
        <v>-1696687.38</v>
      </c>
      <c r="HG159" s="294">
        <f t="shared" si="110"/>
        <v>-5606585.1400000006</v>
      </c>
      <c r="HH159" s="294">
        <f t="shared" si="110"/>
        <v>-31881.1</v>
      </c>
      <c r="HI159" s="294">
        <f t="shared" si="110"/>
        <v>-4863207.42</v>
      </c>
      <c r="HJ159" s="294">
        <f t="shared" si="110"/>
        <v>0</v>
      </c>
      <c r="HK159" s="294">
        <f t="shared" si="110"/>
        <v>-82409096.480000004</v>
      </c>
      <c r="HL159" s="294">
        <f t="shared" si="110"/>
        <v>-950798.25</v>
      </c>
      <c r="HM159" s="294">
        <f t="shared" si="110"/>
        <v>-60500</v>
      </c>
      <c r="HN159" s="294">
        <f t="shared" si="110"/>
        <v>-1183475.2700000003</v>
      </c>
      <c r="HO159" s="294">
        <f t="shared" si="110"/>
        <v>-5962211.1400000006</v>
      </c>
      <c r="HP159" s="294">
        <f t="shared" si="110"/>
        <v>-13120692.439999999</v>
      </c>
      <c r="HQ159" s="294">
        <f t="shared" si="110"/>
        <v>-9364657.0700000003</v>
      </c>
      <c r="HR159" s="294">
        <f t="shared" si="110"/>
        <v>-760840.02</v>
      </c>
      <c r="HS159" s="294">
        <f t="shared" si="110"/>
        <v>-17975550.34</v>
      </c>
      <c r="HT159" s="294">
        <f t="shared" si="110"/>
        <v>-1228254.07</v>
      </c>
      <c r="HU159" s="294">
        <f t="shared" si="110"/>
        <v>-2016852.17</v>
      </c>
      <c r="HV159" s="294">
        <f t="shared" si="110"/>
        <v>-137035.09</v>
      </c>
      <c r="HW159" s="294">
        <f t="shared" si="110"/>
        <v>-3751278.33</v>
      </c>
      <c r="HX159" s="294">
        <f t="shared" si="110"/>
        <v>-2398439.91</v>
      </c>
      <c r="HY159" s="294">
        <f t="shared" si="110"/>
        <v>-1057710.03</v>
      </c>
      <c r="HZ159" s="294">
        <f t="shared" si="110"/>
        <v>0</v>
      </c>
      <c r="IA159" s="294">
        <f t="shared" si="110"/>
        <v>-725105.2</v>
      </c>
      <c r="IB159" s="294">
        <f t="shared" si="110"/>
        <v>-776164.9</v>
      </c>
      <c r="IC159" s="294">
        <f t="shared" si="110"/>
        <v>-1264520.08</v>
      </c>
      <c r="ID159" s="294">
        <f t="shared" si="110"/>
        <v>-1630843.42</v>
      </c>
      <c r="IE159" s="294">
        <f t="shared" si="110"/>
        <v>-1609198.3900000001</v>
      </c>
      <c r="IF159" s="294">
        <f t="shared" si="110"/>
        <v>-1750102.01</v>
      </c>
      <c r="IG159" s="294">
        <f t="shared" si="110"/>
        <v>-638409.59000000008</v>
      </c>
      <c r="IH159" s="294">
        <f t="shared" si="110"/>
        <v>-453811.1</v>
      </c>
      <c r="II159" s="294">
        <f t="shared" si="110"/>
        <v>-57536968.560000002</v>
      </c>
      <c r="IJ159" s="294">
        <f t="shared" si="110"/>
        <v>-3528852.12</v>
      </c>
      <c r="IK159" s="294">
        <f t="shared" si="110"/>
        <v>-3934631</v>
      </c>
      <c r="IL159" s="294">
        <f t="shared" si="110"/>
        <v>-4414588.6400000006</v>
      </c>
      <c r="IM159" s="294">
        <f t="shared" si="110"/>
        <v>-954263.54</v>
      </c>
      <c r="IN159" s="294">
        <f t="shared" si="110"/>
        <v>-5891326.5699999994</v>
      </c>
      <c r="IO159" s="294">
        <f t="shared" si="110"/>
        <v>-493431.45</v>
      </c>
      <c r="IP159" s="294">
        <f t="shared" si="110"/>
        <v>-949369.89</v>
      </c>
      <c r="IQ159" s="294">
        <f t="shared" si="110"/>
        <v>-1477004.4900000002</v>
      </c>
      <c r="IR159" s="294">
        <f t="shared" si="110"/>
        <v>-570489.38</v>
      </c>
      <c r="IS159" s="294">
        <f t="shared" si="110"/>
        <v>-1447267.21</v>
      </c>
      <c r="IT159" s="294">
        <f t="shared" si="110"/>
        <v>-12611528.549999999</v>
      </c>
      <c r="IU159" s="294">
        <f t="shared" si="110"/>
        <v>-1417679.54</v>
      </c>
      <c r="IV159" s="294">
        <f t="shared" si="110"/>
        <v>-136672.59</v>
      </c>
      <c r="IW159" s="294">
        <f t="shared" si="110"/>
        <v>-1232336.6800000002</v>
      </c>
      <c r="IX159" s="294">
        <f t="shared" si="110"/>
        <v>-758219.7</v>
      </c>
      <c r="IY159" s="294">
        <f t="shared" si="110"/>
        <v>37191.570000000007</v>
      </c>
      <c r="IZ159" s="294">
        <f t="shared" si="110"/>
        <v>-797761.39999999991</v>
      </c>
      <c r="JA159" s="294">
        <f t="shared" ref="JA159:LL159" si="111">SUMIF($A$61:$A$154,$A$135,JA$61:JA$154)*-1</f>
        <v>-427847.74</v>
      </c>
      <c r="JB159" s="294">
        <f t="shared" si="111"/>
        <v>-474642.74</v>
      </c>
      <c r="JC159" s="294">
        <f t="shared" si="111"/>
        <v>-1825122.86</v>
      </c>
      <c r="JD159" s="294">
        <f t="shared" si="111"/>
        <v>-879744.05</v>
      </c>
      <c r="JE159" s="294">
        <f t="shared" si="111"/>
        <v>-292031.78999999998</v>
      </c>
      <c r="JF159" s="294">
        <f t="shared" si="111"/>
        <v>-890832.74</v>
      </c>
      <c r="JG159" s="294">
        <f t="shared" si="111"/>
        <v>-6092580.6799999997</v>
      </c>
      <c r="JH159" s="294">
        <f t="shared" si="111"/>
        <v>-608941.64</v>
      </c>
      <c r="JI159" s="294">
        <f t="shared" si="111"/>
        <v>0</v>
      </c>
      <c r="JJ159" s="294">
        <f t="shared" si="111"/>
        <v>-316022.40000000002</v>
      </c>
      <c r="JK159" s="294">
        <f t="shared" si="111"/>
        <v>-477878.06</v>
      </c>
      <c r="JL159" s="294">
        <f t="shared" si="111"/>
        <v>-16549388.859999999</v>
      </c>
      <c r="JM159" s="294">
        <f t="shared" si="111"/>
        <v>-1775226.62</v>
      </c>
      <c r="JN159" s="294">
        <f t="shared" si="111"/>
        <v>-398606.59</v>
      </c>
      <c r="JO159" s="294">
        <f t="shared" si="111"/>
        <v>-1717594.28</v>
      </c>
      <c r="JP159" s="294">
        <f t="shared" si="111"/>
        <v>-1101671.47</v>
      </c>
      <c r="JQ159" s="294">
        <f t="shared" si="111"/>
        <v>-5947532.46</v>
      </c>
      <c r="JR159" s="294">
        <f t="shared" si="111"/>
        <v>-337121.32</v>
      </c>
      <c r="JS159" s="294">
        <f t="shared" si="111"/>
        <v>-26558919.049999997</v>
      </c>
      <c r="JT159" s="294">
        <f t="shared" si="111"/>
        <v>0</v>
      </c>
      <c r="JU159" s="294">
        <f t="shared" si="111"/>
        <v>-1373199.48</v>
      </c>
      <c r="JV159" s="294">
        <f t="shared" si="111"/>
        <v>-7940</v>
      </c>
      <c r="JW159" s="294">
        <f t="shared" si="111"/>
        <v>-3684993.32</v>
      </c>
      <c r="JX159" s="294">
        <f t="shared" si="111"/>
        <v>-497025.22000000003</v>
      </c>
      <c r="JY159" s="294">
        <f t="shared" si="111"/>
        <v>-2503691.19</v>
      </c>
      <c r="JZ159" s="294">
        <f t="shared" si="111"/>
        <v>-2801554.57</v>
      </c>
      <c r="KA159" s="294">
        <f t="shared" si="111"/>
        <v>-3015481.13</v>
      </c>
      <c r="KB159" s="294">
        <f t="shared" si="111"/>
        <v>-2038511.03</v>
      </c>
      <c r="KC159" s="294">
        <f t="shared" si="111"/>
        <v>-2060314.58</v>
      </c>
      <c r="KD159" s="294">
        <f t="shared" si="111"/>
        <v>-3969218.17</v>
      </c>
      <c r="KE159" s="294">
        <f t="shared" si="111"/>
        <v>-1168926.8700000001</v>
      </c>
      <c r="KF159" s="294">
        <f t="shared" si="111"/>
        <v>-296815.19</v>
      </c>
      <c r="KG159" s="294">
        <f t="shared" si="111"/>
        <v>-658878.59</v>
      </c>
      <c r="KH159" s="294">
        <f t="shared" si="111"/>
        <v>-5111224.1500000004</v>
      </c>
      <c r="KI159" s="294">
        <f t="shared" si="111"/>
        <v>-3766549.4299999997</v>
      </c>
      <c r="KJ159" s="294">
        <f t="shared" si="111"/>
        <v>-375007.82</v>
      </c>
      <c r="KK159" s="294">
        <f t="shared" si="111"/>
        <v>-25908143.52</v>
      </c>
      <c r="KL159" s="294">
        <f t="shared" si="111"/>
        <v>-9852906.870000001</v>
      </c>
      <c r="KM159" s="294">
        <f t="shared" si="111"/>
        <v>-682935.56</v>
      </c>
      <c r="KN159" s="294">
        <f t="shared" si="111"/>
        <v>-3983968.5000000005</v>
      </c>
      <c r="KO159" s="294">
        <f t="shared" si="111"/>
        <v>-6620618.8700000001</v>
      </c>
      <c r="KP159" s="294">
        <f t="shared" si="111"/>
        <v>-180651.87</v>
      </c>
      <c r="KQ159" s="294">
        <f t="shared" si="111"/>
        <v>-2905099.58</v>
      </c>
      <c r="KR159" s="294">
        <f t="shared" si="111"/>
        <v>-1577622.29</v>
      </c>
      <c r="KS159" s="294">
        <f t="shared" si="111"/>
        <v>-949278.22</v>
      </c>
      <c r="KT159" s="294">
        <f t="shared" si="111"/>
        <v>-825000</v>
      </c>
      <c r="KU159" s="294">
        <f t="shared" si="111"/>
        <v>-1390044.2</v>
      </c>
      <c r="KV159" s="294">
        <f t="shared" si="111"/>
        <v>-1895466.93</v>
      </c>
      <c r="KW159" s="294">
        <f t="shared" si="111"/>
        <v>-3261528.09</v>
      </c>
      <c r="KX159" s="294">
        <f t="shared" si="111"/>
        <v>-3476002.58</v>
      </c>
      <c r="KY159" s="294">
        <f t="shared" si="111"/>
        <v>-3118830.37</v>
      </c>
      <c r="KZ159" s="294">
        <f t="shared" si="111"/>
        <v>-26018940.699999996</v>
      </c>
      <c r="LA159" s="294">
        <f t="shared" si="111"/>
        <v>-2348466.13</v>
      </c>
      <c r="LB159" s="294">
        <f t="shared" si="111"/>
        <v>-4534019.3000000007</v>
      </c>
      <c r="LC159" s="294">
        <f t="shared" si="111"/>
        <v>-2107178.02</v>
      </c>
      <c r="LD159" s="294">
        <f t="shared" si="111"/>
        <v>-315365.96999999997</v>
      </c>
      <c r="LE159" s="294">
        <f t="shared" si="111"/>
        <v>-3341923.41</v>
      </c>
      <c r="LF159" s="294">
        <f t="shared" si="111"/>
        <v>-1156209.6100000001</v>
      </c>
      <c r="LG159" s="294">
        <f t="shared" si="111"/>
        <v>-6362902.5299999993</v>
      </c>
      <c r="LH159" s="294">
        <f t="shared" si="111"/>
        <v>-2257036.58</v>
      </c>
      <c r="LI159" s="294">
        <f t="shared" si="111"/>
        <v>-2988696.6</v>
      </c>
      <c r="LJ159" s="294">
        <f t="shared" si="111"/>
        <v>-14114586.960000001</v>
      </c>
      <c r="LK159" s="294">
        <f t="shared" si="111"/>
        <v>-1222011</v>
      </c>
      <c r="LL159" s="294">
        <f t="shared" si="111"/>
        <v>-61724.4</v>
      </c>
      <c r="LM159" s="294">
        <f t="shared" ref="LM159:NX159" si="112">SUMIF($A$61:$A$154,$A$135,LM$61:LM$154)*-1</f>
        <v>-1124210.31</v>
      </c>
      <c r="LN159" s="294">
        <f t="shared" si="112"/>
        <v>0</v>
      </c>
      <c r="LO159" s="294">
        <f t="shared" si="112"/>
        <v>-14920942.93</v>
      </c>
      <c r="LP159" s="294">
        <f t="shared" si="112"/>
        <v>43769.14</v>
      </c>
      <c r="LQ159" s="294">
        <f t="shared" si="112"/>
        <v>-5411414.8300000001</v>
      </c>
      <c r="LR159" s="294">
        <f t="shared" si="112"/>
        <v>-2994542.3600000003</v>
      </c>
      <c r="LS159" s="294">
        <f t="shared" si="112"/>
        <v>-11484240.890000001</v>
      </c>
      <c r="LT159" s="294">
        <f t="shared" si="112"/>
        <v>-4392331.37</v>
      </c>
      <c r="LU159" s="294">
        <f t="shared" si="112"/>
        <v>-2031366.54</v>
      </c>
      <c r="LV159" s="294">
        <f t="shared" si="112"/>
        <v>-4152432.63</v>
      </c>
      <c r="LW159" s="294">
        <f t="shared" si="112"/>
        <v>-23243755.739999998</v>
      </c>
      <c r="LX159" s="294">
        <f t="shared" si="112"/>
        <v>-15716848.24</v>
      </c>
      <c r="LY159" s="294">
        <f t="shared" si="112"/>
        <v>-9360741.6099999994</v>
      </c>
      <c r="LZ159" s="294">
        <f t="shared" si="112"/>
        <v>-1639775</v>
      </c>
      <c r="MA159" s="294">
        <f t="shared" si="112"/>
        <v>-1324882</v>
      </c>
      <c r="MB159" s="294">
        <f t="shared" si="112"/>
        <v>-2348149.79</v>
      </c>
      <c r="MC159" s="294">
        <f t="shared" si="112"/>
        <v>-4748511.67</v>
      </c>
      <c r="MD159" s="294">
        <f t="shared" si="112"/>
        <v>-1832486.43</v>
      </c>
      <c r="ME159" s="294">
        <f t="shared" si="112"/>
        <v>-4764859.91</v>
      </c>
      <c r="MF159" s="294">
        <f t="shared" si="112"/>
        <v>-4390994.59</v>
      </c>
      <c r="MG159" s="294">
        <f t="shared" si="112"/>
        <v>-859461.59</v>
      </c>
      <c r="MH159" s="294">
        <f t="shared" si="112"/>
        <v>-15026074.930000002</v>
      </c>
      <c r="MI159" s="294">
        <f t="shared" si="112"/>
        <v>-1285627.06</v>
      </c>
      <c r="MJ159" s="294">
        <f t="shared" si="112"/>
        <v>-93090.11</v>
      </c>
      <c r="MK159" s="294">
        <f t="shared" si="112"/>
        <v>-344857.12</v>
      </c>
      <c r="ML159" s="294">
        <f t="shared" si="112"/>
        <v>0</v>
      </c>
      <c r="MM159" s="294">
        <f t="shared" si="112"/>
        <v>-2870472.33</v>
      </c>
      <c r="MN159" s="294">
        <f t="shared" si="112"/>
        <v>-1025461.99</v>
      </c>
      <c r="MO159" s="294">
        <f t="shared" si="112"/>
        <v>-376330.74</v>
      </c>
      <c r="MP159" s="294">
        <f t="shared" si="112"/>
        <v>-1587977.1099999999</v>
      </c>
      <c r="MQ159" s="294">
        <f t="shared" si="112"/>
        <v>-384247.02</v>
      </c>
      <c r="MR159" s="294">
        <f t="shared" si="112"/>
        <v>-2704831.29</v>
      </c>
      <c r="MS159" s="294">
        <f t="shared" si="112"/>
        <v>-466594.71</v>
      </c>
      <c r="MT159" s="294">
        <f t="shared" si="112"/>
        <v>-3478867.25</v>
      </c>
      <c r="MU159" s="294">
        <f t="shared" si="112"/>
        <v>-3555973.61</v>
      </c>
      <c r="MV159" s="294">
        <f t="shared" si="112"/>
        <v>-3157409.67</v>
      </c>
      <c r="MW159" s="294">
        <f t="shared" si="112"/>
        <v>-442316</v>
      </c>
      <c r="MX159" s="294">
        <f t="shared" si="112"/>
        <v>-2485512.9</v>
      </c>
      <c r="MY159" s="294">
        <f t="shared" si="112"/>
        <v>-2535534.9699999997</v>
      </c>
      <c r="MZ159" s="294">
        <f t="shared" si="112"/>
        <v>-2555283.5099999998</v>
      </c>
      <c r="NA159" s="294">
        <f t="shared" si="112"/>
        <v>-2709150.38</v>
      </c>
      <c r="NB159" s="294">
        <f t="shared" si="112"/>
        <v>-9829095.9600000009</v>
      </c>
      <c r="NC159" s="294">
        <f t="shared" si="112"/>
        <v>-438831.4</v>
      </c>
      <c r="ND159" s="294">
        <f t="shared" si="112"/>
        <v>-3344862.04</v>
      </c>
      <c r="NE159" s="294">
        <f t="shared" si="112"/>
        <v>-427670.33</v>
      </c>
      <c r="NF159" s="294">
        <f t="shared" si="112"/>
        <v>-2388635.2999999998</v>
      </c>
      <c r="NG159" s="294">
        <f t="shared" si="112"/>
        <v>-2392274.61</v>
      </c>
      <c r="NH159" s="294">
        <f t="shared" si="112"/>
        <v>-2317647.75</v>
      </c>
      <c r="NI159" s="294">
        <f t="shared" si="112"/>
        <v>-2652215.77</v>
      </c>
      <c r="NJ159" s="294">
        <f t="shared" si="112"/>
        <v>-6953784.9699999997</v>
      </c>
      <c r="NK159" s="294">
        <f t="shared" si="112"/>
        <v>-1692839.35</v>
      </c>
      <c r="NL159" s="294">
        <f t="shared" si="112"/>
        <v>-2981024.85</v>
      </c>
      <c r="NM159" s="294">
        <f t="shared" si="112"/>
        <v>0</v>
      </c>
      <c r="NN159" s="294">
        <f t="shared" si="112"/>
        <v>-2543255.09</v>
      </c>
      <c r="NO159" s="294">
        <f t="shared" si="112"/>
        <v>-1420916.82</v>
      </c>
      <c r="NP159" s="294">
        <f t="shared" si="112"/>
        <v>-690233.17999999993</v>
      </c>
      <c r="NQ159" s="294">
        <f t="shared" si="112"/>
        <v>-2603519.5099999998</v>
      </c>
      <c r="NR159" s="294">
        <f t="shared" si="112"/>
        <v>-1232745.52</v>
      </c>
      <c r="NS159" s="294">
        <f t="shared" si="112"/>
        <v>-1472604.65</v>
      </c>
      <c r="NT159" s="294">
        <f t="shared" si="112"/>
        <v>-1379063.79</v>
      </c>
      <c r="NU159" s="294">
        <f t="shared" si="112"/>
        <v>-1496511.1400000001</v>
      </c>
      <c r="NV159" s="294">
        <f t="shared" si="112"/>
        <v>-1171371.55</v>
      </c>
      <c r="NW159" s="294">
        <f t="shared" si="112"/>
        <v>-492700.43</v>
      </c>
      <c r="NX159" s="294">
        <f t="shared" si="112"/>
        <v>-2324270.44</v>
      </c>
      <c r="NY159" s="294">
        <f t="shared" ref="NY159:QJ159" si="113">SUMIF($A$61:$A$154,$A$135,NY$61:NY$154)*-1</f>
        <v>-9419539.5999999996</v>
      </c>
      <c r="NZ159" s="294">
        <f t="shared" si="113"/>
        <v>-1978910.04</v>
      </c>
      <c r="OA159" s="294">
        <f t="shared" si="113"/>
        <v>-1781752.98</v>
      </c>
      <c r="OB159" s="294">
        <f t="shared" si="113"/>
        <v>-286575.20999999996</v>
      </c>
      <c r="OC159" s="294">
        <f t="shared" si="113"/>
        <v>-2709042.35</v>
      </c>
      <c r="OD159" s="294">
        <f t="shared" si="113"/>
        <v>-725224.1</v>
      </c>
      <c r="OE159" s="294">
        <f t="shared" si="113"/>
        <v>-6976000.4299999997</v>
      </c>
      <c r="OF159" s="294">
        <f t="shared" si="113"/>
        <v>0</v>
      </c>
      <c r="OG159" s="294">
        <f t="shared" si="113"/>
        <v>-13511775.830000002</v>
      </c>
      <c r="OH159" s="294">
        <f t="shared" si="113"/>
        <v>-18079348.98</v>
      </c>
      <c r="OI159" s="294">
        <f t="shared" si="113"/>
        <v>-1248658.21</v>
      </c>
      <c r="OJ159" s="294">
        <f t="shared" si="113"/>
        <v>-1055933.04</v>
      </c>
      <c r="OK159" s="294">
        <f t="shared" si="113"/>
        <v>-5382802.830000001</v>
      </c>
      <c r="OL159" s="294">
        <f t="shared" si="113"/>
        <v>-1725104.67</v>
      </c>
      <c r="OM159" s="294">
        <f t="shared" si="113"/>
        <v>-72393.88</v>
      </c>
      <c r="ON159" s="294">
        <f t="shared" si="113"/>
        <v>-40215721.229999997</v>
      </c>
      <c r="OO159" s="294">
        <f t="shared" si="113"/>
        <v>-1312223.54</v>
      </c>
      <c r="OP159" s="294">
        <f t="shared" si="113"/>
        <v>-60218272.329999998</v>
      </c>
      <c r="OQ159" s="294">
        <f t="shared" si="113"/>
        <v>-6816007.7100000009</v>
      </c>
      <c r="OR159" s="294">
        <f t="shared" si="113"/>
        <v>-838706.32</v>
      </c>
      <c r="OS159" s="294">
        <f t="shared" si="113"/>
        <v>-1417196.22</v>
      </c>
      <c r="OT159" s="294">
        <f t="shared" si="113"/>
        <v>-16527971.68</v>
      </c>
      <c r="OU159" s="294">
        <f t="shared" si="113"/>
        <v>-5535650.4099999992</v>
      </c>
      <c r="OV159" s="294">
        <f t="shared" si="113"/>
        <v>-9958873.5999999996</v>
      </c>
      <c r="OW159" s="294">
        <f t="shared" si="113"/>
        <v>-806625.36</v>
      </c>
      <c r="OX159" s="294">
        <f t="shared" si="113"/>
        <v>-936320.86</v>
      </c>
      <c r="OY159" s="294">
        <f t="shared" si="113"/>
        <v>-8145968.5700000003</v>
      </c>
      <c r="OZ159" s="294">
        <f t="shared" si="113"/>
        <v>-1418399.3599999999</v>
      </c>
      <c r="PA159" s="294">
        <f t="shared" si="113"/>
        <v>-1635002.07</v>
      </c>
      <c r="PB159" s="294">
        <f t="shared" si="113"/>
        <v>-2719965.12</v>
      </c>
      <c r="PC159" s="294">
        <f t="shared" si="113"/>
        <v>-6739175.96</v>
      </c>
      <c r="PD159" s="294">
        <f t="shared" si="113"/>
        <v>0</v>
      </c>
      <c r="PE159" s="294">
        <f t="shared" si="113"/>
        <v>-1814715.31</v>
      </c>
      <c r="PF159" s="294">
        <f t="shared" si="113"/>
        <v>-398687.72</v>
      </c>
      <c r="PG159" s="294">
        <f t="shared" si="113"/>
        <v>-785259.5</v>
      </c>
      <c r="PH159" s="294">
        <f t="shared" si="113"/>
        <v>-5214106.66</v>
      </c>
      <c r="PI159" s="294">
        <f t="shared" si="113"/>
        <v>-1576245.3</v>
      </c>
      <c r="PJ159" s="294">
        <f t="shared" si="113"/>
        <v>-1140544.3500000001</v>
      </c>
      <c r="PK159" s="294">
        <f t="shared" si="113"/>
        <v>-137113.14000000001</v>
      </c>
      <c r="PL159" s="294">
        <f t="shared" si="113"/>
        <v>-261071.25</v>
      </c>
      <c r="PM159" s="294">
        <f t="shared" si="113"/>
        <v>0</v>
      </c>
      <c r="PN159" s="294">
        <f t="shared" si="113"/>
        <v>0</v>
      </c>
      <c r="PO159" s="294">
        <f t="shared" si="113"/>
        <v>-656519.42999999993</v>
      </c>
      <c r="PP159" s="294">
        <f t="shared" si="113"/>
        <v>-768074.15</v>
      </c>
      <c r="PQ159" s="294">
        <f t="shared" si="113"/>
        <v>-757997.76</v>
      </c>
      <c r="PR159" s="294">
        <f t="shared" si="113"/>
        <v>-80000</v>
      </c>
      <c r="PS159" s="294">
        <f t="shared" si="113"/>
        <v>-1816646.03</v>
      </c>
      <c r="PT159" s="294">
        <f t="shared" si="113"/>
        <v>-274988.61</v>
      </c>
      <c r="PU159" s="294">
        <f t="shared" si="113"/>
        <v>-62595833.910000004</v>
      </c>
      <c r="PV159" s="294">
        <f t="shared" si="113"/>
        <v>-13881453.510000002</v>
      </c>
      <c r="PW159" s="294">
        <f t="shared" si="113"/>
        <v>-56800</v>
      </c>
      <c r="PX159" s="294">
        <f t="shared" si="113"/>
        <v>-7742375.7699999996</v>
      </c>
      <c r="PY159" s="294">
        <f t="shared" si="113"/>
        <v>-9566979.620000001</v>
      </c>
      <c r="PZ159" s="294">
        <f t="shared" si="113"/>
        <v>-2233994.41</v>
      </c>
      <c r="QA159" s="294">
        <f t="shared" si="113"/>
        <v>-6192179.6400000006</v>
      </c>
      <c r="QB159" s="294">
        <f t="shared" si="113"/>
        <v>0</v>
      </c>
      <c r="QC159" s="294">
        <f t="shared" si="113"/>
        <v>-8848355.1000000015</v>
      </c>
      <c r="QD159" s="294">
        <f t="shared" si="113"/>
        <v>0</v>
      </c>
      <c r="QE159" s="294">
        <f t="shared" si="113"/>
        <v>-2371803.9900000002</v>
      </c>
      <c r="QF159" s="294">
        <f t="shared" si="113"/>
        <v>-3521081.66</v>
      </c>
      <c r="QG159" s="294">
        <f t="shared" si="113"/>
        <v>-1332924.76</v>
      </c>
      <c r="QH159" s="294">
        <f t="shared" si="113"/>
        <v>-1017816.27</v>
      </c>
      <c r="QI159" s="294">
        <f t="shared" si="113"/>
        <v>0</v>
      </c>
      <c r="QJ159" s="294">
        <f t="shared" si="113"/>
        <v>-4162086.08</v>
      </c>
      <c r="QK159" s="294">
        <f t="shared" ref="QK159:SV159" si="114">SUMIF($A$61:$A$154,$A$135,QK$61:QK$154)*-1</f>
        <v>-2796358.79</v>
      </c>
      <c r="QL159" s="294">
        <f t="shared" si="114"/>
        <v>-364664.66</v>
      </c>
      <c r="QM159" s="294">
        <f t="shared" si="114"/>
        <v>-796940.28</v>
      </c>
      <c r="QN159" s="294">
        <f t="shared" si="114"/>
        <v>-1824286.41</v>
      </c>
      <c r="QO159" s="294">
        <f t="shared" si="114"/>
        <v>-5490020.96</v>
      </c>
      <c r="QP159" s="294">
        <f t="shared" si="114"/>
        <v>-28485.06</v>
      </c>
      <c r="QQ159" s="294">
        <f t="shared" si="114"/>
        <v>-1398392.76</v>
      </c>
      <c r="QR159" s="294">
        <f t="shared" si="114"/>
        <v>-1277033.6200000001</v>
      </c>
      <c r="QS159" s="294">
        <f t="shared" si="114"/>
        <v>-1201425.56</v>
      </c>
      <c r="QT159" s="294">
        <f t="shared" si="114"/>
        <v>-776245.65</v>
      </c>
      <c r="QU159" s="294">
        <f t="shared" si="114"/>
        <v>-2856000</v>
      </c>
      <c r="QV159" s="294">
        <f t="shared" si="114"/>
        <v>-1907457.6600000001</v>
      </c>
      <c r="QW159" s="294">
        <f t="shared" si="114"/>
        <v>-1299999.1000000001</v>
      </c>
      <c r="QX159" s="294">
        <f t="shared" si="114"/>
        <v>-3596735.04</v>
      </c>
      <c r="QY159" s="294">
        <f t="shared" si="114"/>
        <v>-1252377.4099999999</v>
      </c>
      <c r="QZ159" s="294">
        <f t="shared" si="114"/>
        <v>-2454693.5699999998</v>
      </c>
      <c r="RA159" s="294">
        <f t="shared" si="114"/>
        <v>-3031007.4699999997</v>
      </c>
      <c r="RB159" s="294">
        <f t="shared" si="114"/>
        <v>-4293160</v>
      </c>
      <c r="RC159" s="294">
        <f t="shared" si="114"/>
        <v>-5090000</v>
      </c>
      <c r="RD159" s="294">
        <f t="shared" si="114"/>
        <v>-4630576.51</v>
      </c>
      <c r="RE159" s="294">
        <f t="shared" si="114"/>
        <v>-1901315.64</v>
      </c>
      <c r="RF159" s="294">
        <f t="shared" si="114"/>
        <v>-1860104.62</v>
      </c>
      <c r="RG159" s="294">
        <f t="shared" si="114"/>
        <v>-1544423.85</v>
      </c>
      <c r="RH159" s="294">
        <f t="shared" si="114"/>
        <v>-997320.23</v>
      </c>
      <c r="RI159" s="294">
        <f t="shared" si="114"/>
        <v>-1305602.67</v>
      </c>
      <c r="RJ159" s="294">
        <f t="shared" si="114"/>
        <v>-823473.67</v>
      </c>
      <c r="RK159" s="294">
        <f t="shared" si="114"/>
        <v>-6926731.5899999999</v>
      </c>
      <c r="RL159" s="294">
        <f t="shared" si="114"/>
        <v>-360</v>
      </c>
      <c r="RM159" s="294">
        <f t="shared" si="114"/>
        <v>0</v>
      </c>
      <c r="RN159" s="294">
        <f t="shared" si="114"/>
        <v>0</v>
      </c>
      <c r="RO159" s="294">
        <f t="shared" si="114"/>
        <v>-3522588.93</v>
      </c>
      <c r="RP159" s="294">
        <f t="shared" si="114"/>
        <v>-3059361.4299999997</v>
      </c>
      <c r="RQ159" s="294">
        <f t="shared" si="114"/>
        <v>-5294555.1500000004</v>
      </c>
      <c r="RR159" s="294">
        <f t="shared" si="114"/>
        <v>-1186573.95</v>
      </c>
      <c r="RS159" s="294">
        <f t="shared" si="114"/>
        <v>-7252074.2400000002</v>
      </c>
      <c r="RT159" s="294">
        <f t="shared" si="114"/>
        <v>-1730890.47</v>
      </c>
      <c r="RU159" s="294">
        <f t="shared" si="114"/>
        <v>-2599623.21</v>
      </c>
      <c r="RV159" s="294">
        <f t="shared" si="114"/>
        <v>-767961.7</v>
      </c>
      <c r="RW159" s="294">
        <f t="shared" si="114"/>
        <v>-2540652.7199999997</v>
      </c>
      <c r="RX159" s="294">
        <f t="shared" si="114"/>
        <v>-1822590.8599999999</v>
      </c>
      <c r="RY159" s="294">
        <f t="shared" si="114"/>
        <v>-1296235.22</v>
      </c>
      <c r="RZ159" s="294">
        <f t="shared" si="114"/>
        <v>-1903635.17</v>
      </c>
      <c r="SA159" s="294">
        <f t="shared" si="114"/>
        <v>-1226001.95</v>
      </c>
      <c r="SB159" s="294">
        <f t="shared" si="114"/>
        <v>-30203179.329999998</v>
      </c>
      <c r="SC159" s="294">
        <f t="shared" si="114"/>
        <v>-43851.59</v>
      </c>
      <c r="SD159" s="294">
        <f t="shared" si="114"/>
        <v>-3535740.1799999997</v>
      </c>
      <c r="SE159" s="294">
        <f t="shared" si="114"/>
        <v>-271156.09000000003</v>
      </c>
      <c r="SF159" s="294">
        <f t="shared" si="114"/>
        <v>-147328.76</v>
      </c>
      <c r="SG159" s="294">
        <f t="shared" si="114"/>
        <v>-1211919.9700000002</v>
      </c>
      <c r="SH159" s="294">
        <f t="shared" si="114"/>
        <v>-2503025.2800000003</v>
      </c>
      <c r="SI159" s="294">
        <f t="shared" si="114"/>
        <v>-874640.78</v>
      </c>
      <c r="SJ159" s="294">
        <f t="shared" si="114"/>
        <v>-3139364.99</v>
      </c>
      <c r="SK159" s="294">
        <f t="shared" si="114"/>
        <v>-2744368.93</v>
      </c>
      <c r="SL159" s="294">
        <f t="shared" si="114"/>
        <v>-5446781.5300000003</v>
      </c>
      <c r="SM159" s="294">
        <f t="shared" si="114"/>
        <v>0</v>
      </c>
      <c r="SN159" s="294">
        <f t="shared" si="114"/>
        <v>-5365779.9499999993</v>
      </c>
      <c r="SO159" s="294">
        <f t="shared" si="114"/>
        <v>-1586584.4100000001</v>
      </c>
      <c r="SP159" s="294">
        <f t="shared" si="114"/>
        <v>-562573.67999999993</v>
      </c>
      <c r="SQ159" s="294">
        <f t="shared" si="114"/>
        <v>-8728390.5300000012</v>
      </c>
      <c r="SR159" s="294">
        <f t="shared" si="114"/>
        <v>-1653291.67</v>
      </c>
      <c r="SS159" s="294">
        <f t="shared" si="114"/>
        <v>-1133911.5900000001</v>
      </c>
      <c r="ST159" s="294">
        <f t="shared" si="114"/>
        <v>-4603801.2300000004</v>
      </c>
      <c r="SU159" s="294">
        <f t="shared" si="114"/>
        <v>-1187563.42</v>
      </c>
      <c r="SV159" s="294">
        <f t="shared" si="114"/>
        <v>-2959417.11</v>
      </c>
      <c r="SW159" s="294">
        <f t="shared" ref="SW159:VH159" si="115">SUMIF($A$61:$A$154,$A$135,SW$61:SW$154)*-1</f>
        <v>-571790.48</v>
      </c>
      <c r="SX159" s="294">
        <f t="shared" si="115"/>
        <v>-2402841.44</v>
      </c>
      <c r="SY159" s="294">
        <f t="shared" si="115"/>
        <v>-3705190.8699999996</v>
      </c>
      <c r="SZ159" s="294">
        <f t="shared" si="115"/>
        <v>-718054.67</v>
      </c>
      <c r="TA159" s="294">
        <f t="shared" si="115"/>
        <v>-1331562.6499999999</v>
      </c>
      <c r="TB159" s="294">
        <f t="shared" si="115"/>
        <v>-111125.58</v>
      </c>
      <c r="TC159" s="294">
        <f t="shared" si="115"/>
        <v>-596324.68000000005</v>
      </c>
      <c r="TD159" s="294">
        <f t="shared" si="115"/>
        <v>-1340915.1599999999</v>
      </c>
      <c r="TE159" s="294">
        <f t="shared" si="115"/>
        <v>-1841970.34</v>
      </c>
      <c r="TF159" s="294">
        <f t="shared" si="115"/>
        <v>-1662756.54</v>
      </c>
      <c r="TG159" s="294">
        <f t="shared" si="115"/>
        <v>-2058748.98</v>
      </c>
      <c r="TH159" s="294">
        <f t="shared" si="115"/>
        <v>-234086.3</v>
      </c>
      <c r="TI159" s="294">
        <f t="shared" si="115"/>
        <v>-1441130.6199999999</v>
      </c>
      <c r="TJ159" s="294">
        <f t="shared" si="115"/>
        <v>0</v>
      </c>
      <c r="TK159" s="294">
        <f t="shared" si="115"/>
        <v>-651729.72</v>
      </c>
      <c r="TL159" s="294">
        <f t="shared" si="115"/>
        <v>-3694724.8899999997</v>
      </c>
      <c r="TM159" s="294">
        <f t="shared" si="115"/>
        <v>-3101303.2299999995</v>
      </c>
      <c r="TN159" s="294">
        <f t="shared" si="115"/>
        <v>-4351332.1399999997</v>
      </c>
      <c r="TO159" s="294">
        <f t="shared" si="115"/>
        <v>-4911282.5999999996</v>
      </c>
      <c r="TP159" s="294">
        <f t="shared" si="115"/>
        <v>-520631.57</v>
      </c>
      <c r="TQ159" s="294">
        <f t="shared" si="115"/>
        <v>-7056859.1799999997</v>
      </c>
      <c r="TR159" s="294">
        <f t="shared" si="115"/>
        <v>-2169228.39</v>
      </c>
      <c r="TS159" s="294">
        <f t="shared" si="115"/>
        <v>-3870930.37</v>
      </c>
      <c r="TT159" s="294">
        <f t="shared" si="115"/>
        <v>-1289833.42</v>
      </c>
      <c r="TU159" s="294">
        <f t="shared" si="115"/>
        <v>-1537941.33</v>
      </c>
      <c r="TV159" s="294">
        <f t="shared" si="115"/>
        <v>-1453513.16</v>
      </c>
      <c r="TW159" s="294">
        <f t="shared" si="115"/>
        <v>-148414.47</v>
      </c>
      <c r="TX159" s="294">
        <f t="shared" si="115"/>
        <v>-4260187.6099999994</v>
      </c>
      <c r="TY159" s="294">
        <f t="shared" si="115"/>
        <v>-588779.32000000007</v>
      </c>
      <c r="TZ159" s="294">
        <f t="shared" si="115"/>
        <v>-3854208.4800000004</v>
      </c>
      <c r="UA159" s="294">
        <f t="shared" si="115"/>
        <v>-2456988.12</v>
      </c>
      <c r="UB159" s="294">
        <f t="shared" si="115"/>
        <v>-1928914.11</v>
      </c>
      <c r="UC159" s="294">
        <f t="shared" si="115"/>
        <v>-3325741.1</v>
      </c>
      <c r="UD159" s="294">
        <f t="shared" si="115"/>
        <v>-954100</v>
      </c>
      <c r="UE159" s="294">
        <f t="shared" si="115"/>
        <v>-1332484.03</v>
      </c>
      <c r="UF159" s="294">
        <f t="shared" si="115"/>
        <v>-4813142.68</v>
      </c>
      <c r="UG159" s="294">
        <f t="shared" si="115"/>
        <v>-1662388.4300000002</v>
      </c>
      <c r="UH159" s="294">
        <f t="shared" si="115"/>
        <v>-1402034.72</v>
      </c>
      <c r="UI159" s="294">
        <f t="shared" si="115"/>
        <v>-2490691.37</v>
      </c>
      <c r="UJ159" s="294">
        <f t="shared" si="115"/>
        <v>-1932383.08</v>
      </c>
      <c r="UK159" s="294">
        <f t="shared" si="115"/>
        <v>-2471522.91</v>
      </c>
      <c r="UL159" s="294">
        <f t="shared" si="115"/>
        <v>-4113552.5100000002</v>
      </c>
      <c r="UM159" s="294">
        <f t="shared" si="115"/>
        <v>-5089955.33</v>
      </c>
      <c r="UN159" s="294">
        <f t="shared" si="115"/>
        <v>-2666116.29</v>
      </c>
      <c r="UO159" s="294">
        <f t="shared" si="115"/>
        <v>-3448125.31</v>
      </c>
      <c r="UP159" s="294">
        <f t="shared" si="115"/>
        <v>-4292196.43</v>
      </c>
      <c r="UQ159" s="294">
        <f t="shared" si="115"/>
        <v>-19791153.960000001</v>
      </c>
      <c r="UR159" s="294">
        <f t="shared" si="115"/>
        <v>-3446306.3200000003</v>
      </c>
      <c r="US159" s="294">
        <f t="shared" si="115"/>
        <v>-1086264.05</v>
      </c>
      <c r="UT159" s="294">
        <f t="shared" si="115"/>
        <v>-8063795.3200000003</v>
      </c>
      <c r="UU159" s="294">
        <f t="shared" si="115"/>
        <v>-5260</v>
      </c>
      <c r="UV159" s="294">
        <f t="shared" si="115"/>
        <v>-1034673.08</v>
      </c>
      <c r="UW159" s="294">
        <f t="shared" si="115"/>
        <v>-10179668.439999999</v>
      </c>
      <c r="UX159" s="294">
        <f t="shared" si="115"/>
        <v>-1493087.25</v>
      </c>
      <c r="UY159" s="294">
        <f t="shared" si="115"/>
        <v>0</v>
      </c>
      <c r="UZ159" s="294">
        <f t="shared" si="115"/>
        <v>-4380072.91</v>
      </c>
      <c r="VA159" s="294">
        <f t="shared" si="115"/>
        <v>-1557970</v>
      </c>
      <c r="VB159" s="294">
        <f t="shared" si="115"/>
        <v>-12863204.710000001</v>
      </c>
      <c r="VC159" s="294">
        <f t="shared" si="115"/>
        <v>-4732443.7699999996</v>
      </c>
      <c r="VD159" s="294">
        <f t="shared" si="115"/>
        <v>-13995029.389999999</v>
      </c>
      <c r="VE159" s="294">
        <f t="shared" si="115"/>
        <v>-7522722.8599999994</v>
      </c>
      <c r="VF159" s="294">
        <f t="shared" si="115"/>
        <v>-1222421.3599999999</v>
      </c>
      <c r="VG159" s="294">
        <f t="shared" si="115"/>
        <v>-4931115.59</v>
      </c>
      <c r="VH159" s="294">
        <f t="shared" si="115"/>
        <v>-787234.53</v>
      </c>
      <c r="VI159" s="294">
        <f t="shared" ref="VI159:XT159" si="116">SUMIF($A$61:$A$154,$A$135,VI$61:VI$154)*-1</f>
        <v>-11577631.079999998</v>
      </c>
      <c r="VJ159" s="294">
        <f t="shared" si="116"/>
        <v>0</v>
      </c>
      <c r="VK159" s="294">
        <f t="shared" si="116"/>
        <v>-2056987.26</v>
      </c>
      <c r="VL159" s="294">
        <f t="shared" si="116"/>
        <v>-959158.9</v>
      </c>
      <c r="VM159" s="294">
        <f t="shared" si="116"/>
        <v>-6800466.4800000004</v>
      </c>
      <c r="VN159" s="294">
        <f t="shared" si="116"/>
        <v>0</v>
      </c>
      <c r="VO159" s="294">
        <f t="shared" si="116"/>
        <v>-12228806.649999999</v>
      </c>
      <c r="VP159" s="294">
        <f t="shared" si="116"/>
        <v>-4264354.9800000004</v>
      </c>
      <c r="VQ159" s="294">
        <f t="shared" si="116"/>
        <v>-4301998.2699999996</v>
      </c>
      <c r="VR159" s="294">
        <f t="shared" si="116"/>
        <v>-2951739.3</v>
      </c>
      <c r="VS159" s="294">
        <f t="shared" si="116"/>
        <v>-5026785.2200000007</v>
      </c>
      <c r="VT159" s="294">
        <f t="shared" si="116"/>
        <v>-2707422.3</v>
      </c>
      <c r="VU159" s="294">
        <f t="shared" si="116"/>
        <v>0</v>
      </c>
      <c r="VV159" s="294">
        <f t="shared" si="116"/>
        <v>-14506171.93</v>
      </c>
      <c r="VW159" s="294">
        <f t="shared" si="116"/>
        <v>-1186665.8599999999</v>
      </c>
      <c r="VX159" s="294">
        <f t="shared" si="116"/>
        <v>-4215788.3</v>
      </c>
      <c r="VY159" s="294">
        <f t="shared" si="116"/>
        <v>-5946767.1199999992</v>
      </c>
      <c r="VZ159" s="294">
        <f t="shared" si="116"/>
        <v>-2474465.12</v>
      </c>
      <c r="WA159" s="294">
        <f t="shared" si="116"/>
        <v>-283189.31</v>
      </c>
      <c r="WB159" s="294">
        <f t="shared" si="116"/>
        <v>0</v>
      </c>
      <c r="WC159" s="294">
        <f t="shared" si="116"/>
        <v>0</v>
      </c>
      <c r="WD159" s="294">
        <f t="shared" si="116"/>
        <v>-4434552.18</v>
      </c>
      <c r="WE159" s="294">
        <f t="shared" si="116"/>
        <v>-4874597.66</v>
      </c>
      <c r="WF159" s="294">
        <f t="shared" si="116"/>
        <v>0</v>
      </c>
      <c r="WG159" s="294">
        <f t="shared" si="116"/>
        <v>-2519943.7800000003</v>
      </c>
      <c r="WH159" s="294">
        <f t="shared" si="116"/>
        <v>-2511645.7200000002</v>
      </c>
      <c r="WI159" s="294">
        <f t="shared" si="116"/>
        <v>-8166908.8300000001</v>
      </c>
      <c r="WJ159" s="294">
        <f t="shared" si="116"/>
        <v>-3264154.45</v>
      </c>
      <c r="WK159" s="294">
        <f t="shared" si="116"/>
        <v>-7498076.4699999997</v>
      </c>
      <c r="WL159" s="294">
        <f t="shared" si="116"/>
        <v>-1940667.3699999999</v>
      </c>
      <c r="WM159" s="294">
        <f t="shared" si="116"/>
        <v>-5264782.1300000008</v>
      </c>
      <c r="WN159" s="294">
        <f t="shared" si="116"/>
        <v>-1898590.12</v>
      </c>
      <c r="WO159" s="294">
        <f t="shared" si="116"/>
        <v>-4792244.41</v>
      </c>
      <c r="WP159" s="294">
        <f t="shared" si="116"/>
        <v>-526878.44999999995</v>
      </c>
      <c r="WQ159" s="294">
        <f t="shared" si="116"/>
        <v>-3460876.87</v>
      </c>
      <c r="WR159" s="294">
        <f t="shared" si="116"/>
        <v>-1321377.6299999999</v>
      </c>
      <c r="WS159" s="294">
        <f t="shared" si="116"/>
        <v>0</v>
      </c>
      <c r="WT159" s="294">
        <f t="shared" si="116"/>
        <v>-2673365.3199999998</v>
      </c>
      <c r="WU159" s="294">
        <f t="shared" si="116"/>
        <v>-703774.54</v>
      </c>
      <c r="WV159" s="294">
        <f t="shared" si="116"/>
        <v>-7120463.8200000003</v>
      </c>
      <c r="WW159" s="294">
        <f t="shared" si="116"/>
        <v>-4588743.84</v>
      </c>
      <c r="WX159" s="294">
        <f t="shared" si="116"/>
        <v>-1211251.9099999999</v>
      </c>
      <c r="WY159" s="294">
        <f t="shared" si="116"/>
        <v>-184.39</v>
      </c>
      <c r="WZ159" s="294">
        <f t="shared" si="116"/>
        <v>-3632172.16</v>
      </c>
      <c r="XA159" s="294">
        <f t="shared" si="116"/>
        <v>0</v>
      </c>
      <c r="XB159" s="294">
        <f t="shared" si="116"/>
        <v>0</v>
      </c>
      <c r="XC159" s="294">
        <f t="shared" si="116"/>
        <v>-1899733.59</v>
      </c>
      <c r="XD159" s="294">
        <f t="shared" si="116"/>
        <v>-7371568.1900000004</v>
      </c>
      <c r="XE159" s="294">
        <f t="shared" si="116"/>
        <v>-432622.38</v>
      </c>
      <c r="XF159" s="294">
        <f t="shared" si="116"/>
        <v>-636461.16</v>
      </c>
      <c r="XG159" s="294">
        <f t="shared" si="116"/>
        <v>0</v>
      </c>
      <c r="XH159" s="294">
        <f t="shared" si="116"/>
        <v>-1847326.4300000002</v>
      </c>
      <c r="XI159" s="294">
        <f t="shared" si="116"/>
        <v>0</v>
      </c>
      <c r="XJ159" s="294">
        <f t="shared" si="116"/>
        <v>-848374.29</v>
      </c>
      <c r="XK159" s="294">
        <f t="shared" si="116"/>
        <v>-2401270.87</v>
      </c>
      <c r="XL159" s="294">
        <f t="shared" si="116"/>
        <v>-5241241.72</v>
      </c>
      <c r="XM159" s="294">
        <f t="shared" si="116"/>
        <v>-4040241.41</v>
      </c>
      <c r="XN159" s="294">
        <f t="shared" si="116"/>
        <v>-1189450.6499999999</v>
      </c>
      <c r="XO159" s="294">
        <f t="shared" si="116"/>
        <v>-3064932.7800000003</v>
      </c>
      <c r="XP159" s="294">
        <f t="shared" si="116"/>
        <v>-1551227.33</v>
      </c>
      <c r="XQ159" s="294">
        <f t="shared" si="116"/>
        <v>-1393047.26</v>
      </c>
      <c r="XR159" s="294">
        <f t="shared" si="116"/>
        <v>-1243687.06</v>
      </c>
      <c r="XS159" s="294">
        <f t="shared" si="116"/>
        <v>-1839380.5</v>
      </c>
      <c r="XT159" s="294">
        <f t="shared" si="116"/>
        <v>-443129.75</v>
      </c>
      <c r="XU159" s="294">
        <f t="shared" ref="XU159:AAF159" si="117">SUMIF($A$61:$A$154,$A$135,XU$61:XU$154)*-1</f>
        <v>-358036.16000000003</v>
      </c>
      <c r="XV159" s="294">
        <f t="shared" si="117"/>
        <v>-925904.15</v>
      </c>
      <c r="XW159" s="294">
        <f t="shared" si="117"/>
        <v>-775501.6</v>
      </c>
      <c r="XX159" s="294">
        <f t="shared" si="117"/>
        <v>-132333.62</v>
      </c>
      <c r="XY159" s="294">
        <f t="shared" si="117"/>
        <v>-751029.21</v>
      </c>
      <c r="XZ159" s="294">
        <f t="shared" si="117"/>
        <v>-629295.16</v>
      </c>
      <c r="YA159" s="294">
        <f t="shared" si="117"/>
        <v>-698388.56</v>
      </c>
      <c r="YB159" s="294">
        <f t="shared" si="117"/>
        <v>-760555.94000000006</v>
      </c>
      <c r="YC159" s="294">
        <f t="shared" si="117"/>
        <v>-60037.120000000003</v>
      </c>
      <c r="YD159" s="294">
        <f t="shared" si="117"/>
        <v>-781328.87</v>
      </c>
      <c r="YE159" s="294">
        <f t="shared" si="117"/>
        <v>-384430.41</v>
      </c>
      <c r="YF159" s="294">
        <f t="shared" si="117"/>
        <v>-8895632.370000001</v>
      </c>
      <c r="YG159" s="294">
        <f t="shared" si="117"/>
        <v>-4981033.29</v>
      </c>
      <c r="YH159" s="294">
        <f t="shared" si="117"/>
        <v>-5893342.7400000002</v>
      </c>
      <c r="YI159" s="294">
        <f t="shared" si="117"/>
        <v>-633521.26</v>
      </c>
      <c r="YJ159" s="294">
        <f t="shared" si="117"/>
        <v>-21411536.490000002</v>
      </c>
      <c r="YK159" s="294">
        <f t="shared" si="117"/>
        <v>-1120828</v>
      </c>
      <c r="YL159" s="294">
        <f t="shared" si="117"/>
        <v>-5310915.76</v>
      </c>
      <c r="YM159" s="294">
        <f t="shared" si="117"/>
        <v>-1209606.74</v>
      </c>
      <c r="YN159" s="294">
        <f t="shared" si="117"/>
        <v>-4038799.85</v>
      </c>
      <c r="YO159" s="294">
        <f t="shared" si="117"/>
        <v>-2921682.9</v>
      </c>
      <c r="YP159" s="294">
        <f t="shared" si="117"/>
        <v>-209711.45</v>
      </c>
      <c r="YQ159" s="294">
        <f t="shared" si="117"/>
        <v>-333365.77</v>
      </c>
      <c r="YR159" s="294">
        <f t="shared" si="117"/>
        <v>-2095976.61</v>
      </c>
      <c r="YS159" s="294">
        <f t="shared" si="117"/>
        <v>-3122135.11</v>
      </c>
      <c r="YT159" s="294">
        <f t="shared" si="117"/>
        <v>-1381559.09</v>
      </c>
      <c r="YU159" s="294">
        <f t="shared" si="117"/>
        <v>-3675616.91</v>
      </c>
      <c r="YV159" s="294">
        <f t="shared" si="117"/>
        <v>-1208739.52</v>
      </c>
      <c r="YW159" s="294">
        <f t="shared" si="117"/>
        <v>-9213868.1400000006</v>
      </c>
      <c r="YX159" s="294">
        <f t="shared" si="117"/>
        <v>-1351415.66</v>
      </c>
      <c r="YY159" s="294">
        <f t="shared" si="117"/>
        <v>-3550031.05</v>
      </c>
      <c r="YZ159" s="294">
        <f t="shared" si="117"/>
        <v>-378000</v>
      </c>
      <c r="ZA159" s="294">
        <f t="shared" si="117"/>
        <v>-4454257.67</v>
      </c>
      <c r="ZB159" s="294">
        <f t="shared" si="117"/>
        <v>-3069191.3899999997</v>
      </c>
      <c r="ZC159" s="294">
        <f t="shared" si="117"/>
        <v>-504979.65</v>
      </c>
      <c r="ZD159" s="294">
        <f t="shared" si="117"/>
        <v>-15962613.08</v>
      </c>
      <c r="ZE159" s="294">
        <f t="shared" si="117"/>
        <v>-3585116.4299999997</v>
      </c>
      <c r="ZF159" s="294">
        <f t="shared" si="117"/>
        <v>-2012126.9100000001</v>
      </c>
      <c r="ZG159" s="294">
        <f t="shared" si="117"/>
        <v>-3319682.06</v>
      </c>
      <c r="ZH159" s="294">
        <f t="shared" si="117"/>
        <v>-1535048.8900000001</v>
      </c>
      <c r="ZI159" s="294">
        <f t="shared" si="117"/>
        <v>-3677017.5</v>
      </c>
      <c r="ZJ159" s="294">
        <f t="shared" si="117"/>
        <v>-11474749.57</v>
      </c>
      <c r="ZK159" s="294">
        <f t="shared" si="117"/>
        <v>-4468561.1099999994</v>
      </c>
      <c r="ZL159" s="294">
        <f t="shared" si="117"/>
        <v>-8601105.7799999993</v>
      </c>
      <c r="ZM159" s="294">
        <f t="shared" si="117"/>
        <v>-21293395.600000001</v>
      </c>
      <c r="ZN159" s="294">
        <f t="shared" si="117"/>
        <v>-5078101.5999999996</v>
      </c>
      <c r="ZO159" s="294">
        <f t="shared" si="117"/>
        <v>-5886476.9900000002</v>
      </c>
      <c r="ZP159" s="294">
        <f t="shared" si="117"/>
        <v>-10447529.66</v>
      </c>
      <c r="ZQ159" s="294">
        <f t="shared" si="117"/>
        <v>-11761333.960000001</v>
      </c>
      <c r="ZR159" s="294">
        <f t="shared" si="117"/>
        <v>-1956609.8800000001</v>
      </c>
      <c r="ZS159" s="294">
        <f t="shared" si="117"/>
        <v>-12775263.210000001</v>
      </c>
      <c r="ZT159" s="294">
        <f t="shared" si="117"/>
        <v>-21194319.219999999</v>
      </c>
      <c r="ZU159" s="294">
        <f t="shared" si="117"/>
        <v>-14068054.560000001</v>
      </c>
      <c r="ZV159" s="294">
        <f t="shared" si="117"/>
        <v>-8544158.5</v>
      </c>
      <c r="ZW159" s="294">
        <f t="shared" si="117"/>
        <v>-5643052.7400000002</v>
      </c>
      <c r="ZX159" s="294">
        <f t="shared" si="117"/>
        <v>-9030072.9600000009</v>
      </c>
      <c r="ZY159" s="294">
        <f t="shared" si="117"/>
        <v>-1858328.0799999998</v>
      </c>
      <c r="ZZ159" s="294">
        <f t="shared" si="117"/>
        <v>-13257333.609999999</v>
      </c>
      <c r="AAA159" s="294">
        <f t="shared" si="117"/>
        <v>-2838450.88</v>
      </c>
      <c r="AAB159" s="294">
        <f t="shared" si="117"/>
        <v>-8407982.4000000004</v>
      </c>
      <c r="AAC159" s="294">
        <f t="shared" si="117"/>
        <v>-3373823.96</v>
      </c>
      <c r="AAD159" s="294">
        <f t="shared" si="117"/>
        <v>-4375852.3900000006</v>
      </c>
      <c r="AAE159" s="294">
        <f t="shared" si="117"/>
        <v>-8271490.1100000003</v>
      </c>
      <c r="AAF159" s="294">
        <f t="shared" si="117"/>
        <v>-7751991.4100000001</v>
      </c>
      <c r="AAG159" s="294">
        <f t="shared" ref="AAG159:ACR159" si="118">SUMIF($A$61:$A$154,$A$135,AAG$61:AAG$154)*-1</f>
        <v>-2799909.77</v>
      </c>
      <c r="AAH159" s="294">
        <f t="shared" si="118"/>
        <v>-4274481.2699999996</v>
      </c>
      <c r="AAI159" s="294">
        <f t="shared" si="118"/>
        <v>-19752226.640000001</v>
      </c>
      <c r="AAJ159" s="294">
        <f t="shared" si="118"/>
        <v>-4739090.1400000006</v>
      </c>
      <c r="AAK159" s="294">
        <f t="shared" si="118"/>
        <v>-1617067.46</v>
      </c>
      <c r="AAL159" s="294">
        <f t="shared" si="118"/>
        <v>-1918466.15</v>
      </c>
      <c r="AAM159" s="294">
        <f t="shared" si="118"/>
        <v>-2182378.6199999996</v>
      </c>
      <c r="AAN159" s="294">
        <f t="shared" si="118"/>
        <v>-1612363.66</v>
      </c>
      <c r="AAO159" s="294">
        <f t="shared" si="118"/>
        <v>-1481778.64</v>
      </c>
      <c r="AAP159" s="294">
        <f t="shared" si="118"/>
        <v>-4000</v>
      </c>
      <c r="AAQ159" s="294">
        <f t="shared" si="118"/>
        <v>-6011061.29</v>
      </c>
      <c r="AAR159" s="294">
        <f t="shared" si="118"/>
        <v>-1585527.1400000001</v>
      </c>
      <c r="AAS159" s="294">
        <f t="shared" si="118"/>
        <v>-3009270.9099999997</v>
      </c>
      <c r="AAT159" s="294">
        <f t="shared" si="118"/>
        <v>-2380908.6100000003</v>
      </c>
      <c r="AAU159" s="294">
        <f t="shared" si="118"/>
        <v>-496650.6</v>
      </c>
      <c r="AAV159" s="294">
        <f t="shared" si="118"/>
        <v>-513735.05</v>
      </c>
      <c r="AAW159" s="294">
        <f t="shared" si="118"/>
        <v>-9759103.2699999996</v>
      </c>
      <c r="AAX159" s="294">
        <f t="shared" si="118"/>
        <v>-3535066.87</v>
      </c>
      <c r="AAY159" s="294">
        <f t="shared" si="118"/>
        <v>-681163.42</v>
      </c>
      <c r="AAZ159" s="294">
        <f t="shared" si="118"/>
        <v>-3538668</v>
      </c>
      <c r="ABA159" s="294">
        <f t="shared" si="118"/>
        <v>-8434397.4699999988</v>
      </c>
      <c r="ABB159" s="294">
        <f t="shared" si="118"/>
        <v>-2309230.0099999998</v>
      </c>
      <c r="ABC159" s="294">
        <f t="shared" si="118"/>
        <v>-741686.75</v>
      </c>
      <c r="ABD159" s="294">
        <f t="shared" si="118"/>
        <v>-2015937.87</v>
      </c>
      <c r="ABE159" s="294">
        <f t="shared" si="118"/>
        <v>-1824217.13</v>
      </c>
      <c r="ABF159" s="294">
        <f t="shared" si="118"/>
        <v>-255494.21</v>
      </c>
      <c r="ABG159" s="294">
        <f t="shared" si="118"/>
        <v>-3672993.2</v>
      </c>
      <c r="ABH159" s="294">
        <f t="shared" si="118"/>
        <v>-2184324.66</v>
      </c>
      <c r="ABI159" s="294">
        <f t="shared" si="118"/>
        <v>-9649053.9600000009</v>
      </c>
      <c r="ABJ159" s="294">
        <f t="shared" si="118"/>
        <v>-9764644.4000000004</v>
      </c>
      <c r="ABK159" s="294">
        <f t="shared" si="118"/>
        <v>0</v>
      </c>
      <c r="ABL159" s="294">
        <f t="shared" si="118"/>
        <v>-234475</v>
      </c>
      <c r="ABM159" s="294">
        <f t="shared" si="118"/>
        <v>-2262041.37</v>
      </c>
      <c r="ABN159" s="294">
        <f t="shared" si="118"/>
        <v>-1624060.74</v>
      </c>
      <c r="ABO159" s="294">
        <f t="shared" si="118"/>
        <v>-1417193.64</v>
      </c>
      <c r="ABP159" s="294">
        <f t="shared" si="118"/>
        <v>0</v>
      </c>
      <c r="ABQ159" s="294">
        <f t="shared" si="118"/>
        <v>-7997838.4299999997</v>
      </c>
      <c r="ABR159" s="294">
        <f t="shared" si="118"/>
        <v>-159583.22</v>
      </c>
      <c r="ABS159" s="294">
        <f t="shared" si="118"/>
        <v>-2895047.59</v>
      </c>
      <c r="ABT159" s="294">
        <f t="shared" si="118"/>
        <v>-19107854.329999998</v>
      </c>
      <c r="ABU159" s="294">
        <f t="shared" si="118"/>
        <v>0</v>
      </c>
      <c r="ABV159" s="294">
        <f t="shared" si="118"/>
        <v>-679362.77</v>
      </c>
      <c r="ABW159" s="294">
        <f t="shared" si="118"/>
        <v>-860518.75</v>
      </c>
      <c r="ABX159" s="294">
        <f t="shared" si="118"/>
        <v>0</v>
      </c>
      <c r="ABY159" s="294">
        <f t="shared" si="118"/>
        <v>-4631324.5999999996</v>
      </c>
      <c r="ABZ159" s="294">
        <f t="shared" si="118"/>
        <v>-110000</v>
      </c>
      <c r="ACA159" s="294">
        <f t="shared" si="118"/>
        <v>-802658.05</v>
      </c>
      <c r="ACB159" s="294">
        <f t="shared" si="118"/>
        <v>-497586.85</v>
      </c>
      <c r="ACC159" s="294">
        <f t="shared" si="118"/>
        <v>-1035003.52</v>
      </c>
      <c r="ACD159" s="294">
        <f t="shared" si="118"/>
        <v>-2365177.9500000002</v>
      </c>
      <c r="ACE159" s="294">
        <f t="shared" si="118"/>
        <v>0</v>
      </c>
      <c r="ACF159" s="294">
        <f t="shared" si="118"/>
        <v>-378566.57</v>
      </c>
      <c r="ACG159" s="294">
        <f t="shared" si="118"/>
        <v>-839431.6</v>
      </c>
      <c r="ACH159" s="294">
        <f t="shared" si="118"/>
        <v>-1579386.18</v>
      </c>
      <c r="ACI159" s="294">
        <f t="shared" si="118"/>
        <v>-3190342.14</v>
      </c>
      <c r="ACJ159" s="294">
        <f t="shared" si="118"/>
        <v>-12620015.74</v>
      </c>
      <c r="ACK159" s="294">
        <f t="shared" si="118"/>
        <v>-134257.29999999999</v>
      </c>
      <c r="ACL159" s="294">
        <f t="shared" si="118"/>
        <v>-2381153.52</v>
      </c>
      <c r="ACM159" s="294">
        <f t="shared" si="118"/>
        <v>-2168478.71</v>
      </c>
      <c r="ACN159" s="294">
        <f t="shared" si="118"/>
        <v>-1270365.31</v>
      </c>
      <c r="ACO159" s="294">
        <f t="shared" si="118"/>
        <v>3724873.38</v>
      </c>
      <c r="ACP159" s="294">
        <f t="shared" si="118"/>
        <v>0</v>
      </c>
      <c r="ACQ159" s="294">
        <f t="shared" si="118"/>
        <v>0</v>
      </c>
      <c r="ACR159" s="294">
        <f t="shared" si="118"/>
        <v>-1790110.37</v>
      </c>
      <c r="ACS159" s="294">
        <f t="shared" ref="ACS159:AFD159" si="119">SUMIF($A$61:$A$154,$A$135,ACS$61:ACS$154)*-1</f>
        <v>-2498421.85</v>
      </c>
      <c r="ACT159" s="294">
        <f t="shared" si="119"/>
        <v>-4503811.09</v>
      </c>
      <c r="ACU159" s="294">
        <f t="shared" si="119"/>
        <v>-3314134.69</v>
      </c>
      <c r="ACV159" s="294">
        <f t="shared" si="119"/>
        <v>-1060390.53</v>
      </c>
      <c r="ACW159" s="294">
        <f t="shared" si="119"/>
        <v>-379760.04</v>
      </c>
      <c r="ACX159" s="294">
        <f t="shared" si="119"/>
        <v>-117569.31</v>
      </c>
      <c r="ACY159" s="294">
        <f t="shared" si="119"/>
        <v>-1701128.17</v>
      </c>
      <c r="ACZ159" s="294">
        <f t="shared" si="119"/>
        <v>-1131102.69</v>
      </c>
      <c r="ADA159" s="294">
        <f t="shared" si="119"/>
        <v>-32643.09</v>
      </c>
      <c r="ADB159" s="294">
        <f t="shared" si="119"/>
        <v>-110703.91</v>
      </c>
      <c r="ADC159" s="294">
        <f t="shared" si="119"/>
        <v>0</v>
      </c>
      <c r="ADD159" s="294">
        <f t="shared" si="119"/>
        <v>-1398573.33</v>
      </c>
      <c r="ADE159" s="294">
        <f t="shared" si="119"/>
        <v>0</v>
      </c>
      <c r="ADF159" s="294">
        <f t="shared" si="119"/>
        <v>-1454734.93</v>
      </c>
      <c r="ADG159" s="294">
        <f t="shared" si="119"/>
        <v>-7481508.6299999999</v>
      </c>
      <c r="ADH159" s="294">
        <f t="shared" si="119"/>
        <v>-4072547.78</v>
      </c>
      <c r="ADI159" s="294">
        <f t="shared" si="119"/>
        <v>-1173193.32</v>
      </c>
      <c r="ADJ159" s="294">
        <f t="shared" si="119"/>
        <v>-1290603.4500000002</v>
      </c>
      <c r="ADK159" s="294">
        <f t="shared" si="119"/>
        <v>-3967004.9</v>
      </c>
      <c r="ADL159" s="294">
        <f t="shared" si="119"/>
        <v>-15243.15</v>
      </c>
      <c r="ADM159" s="294">
        <f t="shared" si="119"/>
        <v>-6513285.040000001</v>
      </c>
      <c r="ADN159" s="294">
        <f t="shared" si="119"/>
        <v>-2894359.94</v>
      </c>
      <c r="ADO159" s="294">
        <f t="shared" si="119"/>
        <v>-3198100.04</v>
      </c>
      <c r="ADP159" s="294">
        <f t="shared" si="119"/>
        <v>-8049100.1999999993</v>
      </c>
      <c r="ADQ159" s="294">
        <f t="shared" si="119"/>
        <v>-501972.42</v>
      </c>
      <c r="ADR159" s="294">
        <f t="shared" si="119"/>
        <v>-21811.599999999999</v>
      </c>
      <c r="ADS159" s="294">
        <f t="shared" si="119"/>
        <v>0</v>
      </c>
      <c r="ADT159" s="294">
        <f t="shared" si="119"/>
        <v>-2905034.88</v>
      </c>
      <c r="ADU159" s="294">
        <f t="shared" si="119"/>
        <v>-1162329.23</v>
      </c>
      <c r="ADV159" s="294">
        <f t="shared" si="119"/>
        <v>-1507492.34</v>
      </c>
      <c r="ADW159" s="294">
        <f t="shared" si="119"/>
        <v>0</v>
      </c>
      <c r="ADX159" s="294">
        <f t="shared" si="119"/>
        <v>-459244.98</v>
      </c>
      <c r="ADY159" s="294">
        <f t="shared" si="119"/>
        <v>0</v>
      </c>
      <c r="ADZ159" s="294">
        <f t="shared" si="119"/>
        <v>-5444741.2000000002</v>
      </c>
      <c r="AEA159" s="294">
        <f t="shared" si="119"/>
        <v>-7276278.7400000002</v>
      </c>
      <c r="AEB159" s="294">
        <f t="shared" si="119"/>
        <v>-2122370.27</v>
      </c>
      <c r="AEC159" s="294">
        <f t="shared" si="119"/>
        <v>-5349767.32</v>
      </c>
      <c r="AED159" s="294">
        <f t="shared" si="119"/>
        <v>-2887825.41</v>
      </c>
      <c r="AEE159" s="294">
        <f t="shared" si="119"/>
        <v>-1971981.97</v>
      </c>
      <c r="AEF159" s="294">
        <f t="shared" si="119"/>
        <v>-2316168.37</v>
      </c>
      <c r="AEG159" s="294">
        <f t="shared" si="119"/>
        <v>-71107.22</v>
      </c>
      <c r="AEH159" s="294">
        <f t="shared" si="119"/>
        <v>-236243.25</v>
      </c>
      <c r="AEI159" s="294">
        <f t="shared" si="119"/>
        <v>-732463.37</v>
      </c>
      <c r="AEJ159" s="294">
        <f t="shared" si="119"/>
        <v>-3879182.55</v>
      </c>
      <c r="AEK159" s="294">
        <f t="shared" si="119"/>
        <v>-7510245.54</v>
      </c>
      <c r="AEL159" s="294">
        <f t="shared" si="119"/>
        <v>-3759342.63</v>
      </c>
      <c r="AEM159" s="294">
        <f t="shared" si="119"/>
        <v>-2660673.52</v>
      </c>
      <c r="AEN159" s="294">
        <f t="shared" si="119"/>
        <v>-7035368.6600000001</v>
      </c>
      <c r="AEO159" s="294">
        <f t="shared" si="119"/>
        <v>-3902301.8099999996</v>
      </c>
      <c r="AEP159" s="294">
        <f t="shared" si="119"/>
        <v>-2071668.98</v>
      </c>
      <c r="AEQ159" s="294">
        <f t="shared" si="119"/>
        <v>-2157981.33</v>
      </c>
      <c r="AER159" s="294">
        <f t="shared" si="119"/>
        <v>-1125798.08</v>
      </c>
      <c r="AES159" s="294">
        <f t="shared" si="119"/>
        <v>-8307518.54</v>
      </c>
      <c r="AET159" s="294">
        <f t="shared" si="119"/>
        <v>-1253105.29</v>
      </c>
      <c r="AEU159" s="294">
        <f t="shared" si="119"/>
        <v>-1907206.54</v>
      </c>
      <c r="AEV159" s="294">
        <f t="shared" si="119"/>
        <v>-587669.28</v>
      </c>
      <c r="AEW159" s="294">
        <f t="shared" si="119"/>
        <v>-3711335.95</v>
      </c>
      <c r="AEX159" s="294">
        <f t="shared" si="119"/>
        <v>-1257537.57</v>
      </c>
      <c r="AEY159" s="294">
        <f t="shared" si="119"/>
        <v>-11713579.119999999</v>
      </c>
      <c r="AEZ159" s="294">
        <f t="shared" si="119"/>
        <v>-760286.52</v>
      </c>
      <c r="AFA159" s="294">
        <f t="shared" si="119"/>
        <v>-1784419.53</v>
      </c>
      <c r="AFB159" s="294">
        <f t="shared" si="119"/>
        <v>-2729741.56</v>
      </c>
      <c r="AFC159" s="294">
        <f t="shared" si="119"/>
        <v>-900321.35</v>
      </c>
      <c r="AFD159" s="294">
        <f t="shared" si="119"/>
        <v>-178233845.38</v>
      </c>
      <c r="AFE159" s="294">
        <f t="shared" ref="AFE159:AHP159" si="120">SUMIF($A$61:$A$154,$A$135,AFE$61:AFE$154)*-1</f>
        <v>-685772.79</v>
      </c>
      <c r="AFF159" s="294">
        <f t="shared" si="120"/>
        <v>-315949.98</v>
      </c>
      <c r="AFG159" s="294">
        <f t="shared" si="120"/>
        <v>-924468.73</v>
      </c>
      <c r="AFH159" s="294">
        <f t="shared" si="120"/>
        <v>-888723.89</v>
      </c>
      <c r="AFI159" s="294">
        <f t="shared" si="120"/>
        <v>-2077628.01</v>
      </c>
      <c r="AFJ159" s="294">
        <f t="shared" si="120"/>
        <v>-981095.74</v>
      </c>
      <c r="AFK159" s="294">
        <f t="shared" si="120"/>
        <v>-1639790.48</v>
      </c>
      <c r="AFL159" s="294">
        <f t="shared" si="120"/>
        <v>-8520032.0399999991</v>
      </c>
      <c r="AFM159" s="294">
        <f t="shared" si="120"/>
        <v>-138498.26999999999</v>
      </c>
      <c r="AFN159" s="294">
        <f t="shared" si="120"/>
        <v>-578149.05000000005</v>
      </c>
      <c r="AFO159" s="294">
        <f t="shared" si="120"/>
        <v>-3301996.25</v>
      </c>
      <c r="AFP159" s="294">
        <f t="shared" si="120"/>
        <v>-2632717.69</v>
      </c>
      <c r="AFQ159" s="294">
        <f t="shared" si="120"/>
        <v>-4164470.38</v>
      </c>
      <c r="AFR159" s="294">
        <f t="shared" si="120"/>
        <v>-1430328.8199999998</v>
      </c>
      <c r="AFS159" s="294">
        <f t="shared" si="120"/>
        <v>-888738.49</v>
      </c>
      <c r="AFT159" s="294">
        <f t="shared" si="120"/>
        <v>-301286.86</v>
      </c>
      <c r="AFU159" s="294">
        <f t="shared" si="120"/>
        <v>-1709475.5</v>
      </c>
      <c r="AFV159" s="294">
        <f t="shared" si="120"/>
        <v>-720610.28</v>
      </c>
      <c r="AFW159" s="294">
        <f t="shared" si="120"/>
        <v>-1822155.49</v>
      </c>
      <c r="AFX159" s="294">
        <f t="shared" si="120"/>
        <v>-3043194.93</v>
      </c>
      <c r="AFY159" s="294">
        <f t="shared" si="120"/>
        <v>-1236738.03</v>
      </c>
      <c r="AFZ159" s="294">
        <f t="shared" si="120"/>
        <v>-1608150.02</v>
      </c>
      <c r="AGA159" s="294">
        <f t="shared" si="120"/>
        <v>-2348004.8899999997</v>
      </c>
      <c r="AGB159" s="294">
        <f t="shared" si="120"/>
        <v>-942767.3</v>
      </c>
      <c r="AGC159" s="294">
        <f t="shared" si="120"/>
        <v>-11848962.68</v>
      </c>
      <c r="AGD159" s="294">
        <f t="shared" si="120"/>
        <v>-1864241.22</v>
      </c>
      <c r="AGE159" s="294">
        <f t="shared" si="120"/>
        <v>-1007318.66</v>
      </c>
      <c r="AGF159" s="294">
        <f t="shared" si="120"/>
        <v>-1504923.9500000002</v>
      </c>
      <c r="AGG159" s="294">
        <f t="shared" si="120"/>
        <v>-5384411.6399999997</v>
      </c>
      <c r="AGH159" s="294">
        <f t="shared" si="120"/>
        <v>-3067635.17</v>
      </c>
      <c r="AGI159" s="294">
        <f t="shared" si="120"/>
        <v>-1481097.31</v>
      </c>
      <c r="AGJ159" s="294">
        <f t="shared" si="120"/>
        <v>-5972253.71</v>
      </c>
      <c r="AGK159" s="294">
        <f t="shared" si="120"/>
        <v>-164145.26</v>
      </c>
      <c r="AGL159" s="294">
        <f t="shared" si="120"/>
        <v>-2964491.59</v>
      </c>
      <c r="AGM159" s="294">
        <f t="shared" si="120"/>
        <v>-942198.27999999991</v>
      </c>
      <c r="AGN159" s="294">
        <f t="shared" si="120"/>
        <v>-5416754.4900000002</v>
      </c>
      <c r="AGO159" s="294">
        <f t="shared" si="120"/>
        <v>-4950399.17</v>
      </c>
      <c r="AGP159" s="294">
        <f t="shared" si="120"/>
        <v>-4911281.03</v>
      </c>
      <c r="AGQ159" s="294">
        <f t="shared" si="120"/>
        <v>-40031.760000000002</v>
      </c>
      <c r="AGR159" s="294">
        <f t="shared" si="120"/>
        <v>-10245779.050000001</v>
      </c>
      <c r="AGS159" s="294">
        <f t="shared" si="120"/>
        <v>-2335658.4900000002</v>
      </c>
      <c r="AGT159" s="294">
        <f t="shared" si="120"/>
        <v>-6508603.9299999997</v>
      </c>
      <c r="AGU159" s="294">
        <f t="shared" si="120"/>
        <v>-5373838.25</v>
      </c>
      <c r="AGV159" s="294">
        <f t="shared" si="120"/>
        <v>-4626874.62</v>
      </c>
      <c r="AGW159" s="294">
        <f t="shared" si="120"/>
        <v>-18834701.48</v>
      </c>
      <c r="AGX159" s="294">
        <f t="shared" si="120"/>
        <v>-2107738.0099999998</v>
      </c>
      <c r="AGY159" s="294">
        <f t="shared" si="120"/>
        <v>-1698679.91</v>
      </c>
      <c r="AGZ159" s="294">
        <f t="shared" si="120"/>
        <v>-3912974.4</v>
      </c>
      <c r="AHA159" s="294">
        <f t="shared" si="120"/>
        <v>-4012551.91</v>
      </c>
      <c r="AHB159" s="294">
        <f t="shared" si="120"/>
        <v>-10133061.66</v>
      </c>
      <c r="AHC159" s="294">
        <f t="shared" si="120"/>
        <v>-1124041.19</v>
      </c>
      <c r="AHD159" s="294">
        <f t="shared" si="120"/>
        <v>-641481.42999999993</v>
      </c>
      <c r="AHE159" s="294">
        <f t="shared" si="120"/>
        <v>-4958594.0699999994</v>
      </c>
      <c r="AHF159" s="294">
        <f t="shared" si="120"/>
        <v>-5187169.24</v>
      </c>
      <c r="AHG159" s="294">
        <f t="shared" si="120"/>
        <v>-224934.99</v>
      </c>
      <c r="AHH159" s="294">
        <f t="shared" si="120"/>
        <v>-3467240.8400000003</v>
      </c>
      <c r="AHI159" s="294">
        <f t="shared" si="120"/>
        <v>-6652503.3599999994</v>
      </c>
      <c r="AHJ159" s="294">
        <f t="shared" si="120"/>
        <v>-979122.69</v>
      </c>
      <c r="AHK159" s="294">
        <f t="shared" si="120"/>
        <v>-395896.65</v>
      </c>
      <c r="AHL159" s="294">
        <f t="shared" si="120"/>
        <v>-1709934.77</v>
      </c>
      <c r="AHM159" s="294">
        <f t="shared" si="120"/>
        <v>-4749353.93</v>
      </c>
      <c r="AHN159" s="294">
        <f t="shared" si="120"/>
        <v>-892035.2</v>
      </c>
      <c r="AHO159" s="294">
        <f t="shared" si="120"/>
        <v>-6881611.6799999997</v>
      </c>
      <c r="AHP159" s="294">
        <f t="shared" si="120"/>
        <v>-1125835.67</v>
      </c>
      <c r="AHQ159" s="294">
        <f t="shared" ref="AHQ159:AHT159" si="121">SUMIF($A$61:$A$154,$A$135,AHQ$61:AHQ$154)*-1</f>
        <v>-2084873.4</v>
      </c>
      <c r="AHR159" s="294">
        <f t="shared" si="121"/>
        <v>-1852868.07</v>
      </c>
      <c r="AHS159" s="294">
        <f t="shared" si="121"/>
        <v>-356922.48000000004</v>
      </c>
      <c r="AHT159" s="294">
        <f t="shared" si="121"/>
        <v>-3445144338.4399991</v>
      </c>
    </row>
    <row r="160" spans="1:908" ht="27" x14ac:dyDescent="0.75">
      <c r="B160" s="594" t="s">
        <v>6283</v>
      </c>
      <c r="C160" s="595" t="s">
        <v>6274</v>
      </c>
      <c r="D160" s="294">
        <f>SUMIF($A$61:$A$154,$A$123,D$61:D$154)*-1</f>
        <v>-685500</v>
      </c>
      <c r="E160" s="294">
        <f t="shared" ref="E160:BP160" si="122">SUMIF($A$61:$A$154,$A$123,E$61:E$154)*-1</f>
        <v>-2828</v>
      </c>
      <c r="F160" s="294">
        <f t="shared" si="122"/>
        <v>0</v>
      </c>
      <c r="G160" s="294">
        <f t="shared" si="122"/>
        <v>-1723</v>
      </c>
      <c r="H160" s="294">
        <f t="shared" si="122"/>
        <v>-122500</v>
      </c>
      <c r="I160" s="294">
        <f t="shared" si="122"/>
        <v>0</v>
      </c>
      <c r="J160" s="294">
        <f t="shared" si="122"/>
        <v>-2219986.38</v>
      </c>
      <c r="K160" s="294">
        <f t="shared" si="122"/>
        <v>0</v>
      </c>
      <c r="L160" s="294">
        <f t="shared" si="122"/>
        <v>-59931.35</v>
      </c>
      <c r="M160" s="294">
        <f t="shared" si="122"/>
        <v>0</v>
      </c>
      <c r="N160" s="294">
        <f t="shared" si="122"/>
        <v>-9512</v>
      </c>
      <c r="O160" s="294">
        <f t="shared" si="122"/>
        <v>-50226</v>
      </c>
      <c r="P160" s="294">
        <f t="shared" si="122"/>
        <v>0</v>
      </c>
      <c r="Q160" s="294">
        <f t="shared" si="122"/>
        <v>-294105.7</v>
      </c>
      <c r="R160" s="294">
        <f t="shared" si="122"/>
        <v>-1828</v>
      </c>
      <c r="S160" s="294">
        <f t="shared" si="122"/>
        <v>-8500</v>
      </c>
      <c r="T160" s="294">
        <f t="shared" si="122"/>
        <v>-24999.200000000001</v>
      </c>
      <c r="U160" s="294">
        <f t="shared" si="122"/>
        <v>-58679.5</v>
      </c>
      <c r="V160" s="294">
        <f t="shared" si="122"/>
        <v>-29110856.640000001</v>
      </c>
      <c r="W160" s="294">
        <f t="shared" si="122"/>
        <v>-243859.33</v>
      </c>
      <c r="X160" s="294">
        <f t="shared" si="122"/>
        <v>-1562947.12</v>
      </c>
      <c r="Y160" s="294">
        <f t="shared" si="122"/>
        <v>0</v>
      </c>
      <c r="Z160" s="294">
        <f t="shared" si="122"/>
        <v>-2971716.35</v>
      </c>
      <c r="AA160" s="294">
        <f t="shared" si="122"/>
        <v>-125954.35</v>
      </c>
      <c r="AB160" s="294">
        <f t="shared" si="122"/>
        <v>-2313070.17</v>
      </c>
      <c r="AC160" s="294">
        <f t="shared" si="122"/>
        <v>-3381439.85</v>
      </c>
      <c r="AD160" s="294">
        <f t="shared" si="122"/>
        <v>-1000</v>
      </c>
      <c r="AE160" s="294">
        <f t="shared" si="122"/>
        <v>-638981.18000000005</v>
      </c>
      <c r="AF160" s="294">
        <f t="shared" si="122"/>
        <v>-310281.64</v>
      </c>
      <c r="AG160" s="294">
        <f t="shared" si="122"/>
        <v>-3624169.61</v>
      </c>
      <c r="AH160" s="294">
        <f t="shared" si="122"/>
        <v>-2083643.49</v>
      </c>
      <c r="AI160" s="294">
        <f t="shared" si="122"/>
        <v>-878097.22</v>
      </c>
      <c r="AJ160" s="294">
        <f t="shared" si="122"/>
        <v>-144420.47</v>
      </c>
      <c r="AK160" s="294">
        <f t="shared" si="122"/>
        <v>-239743.58</v>
      </c>
      <c r="AL160" s="294">
        <f t="shared" si="122"/>
        <v>-101778.55</v>
      </c>
      <c r="AM160" s="294">
        <f t="shared" si="122"/>
        <v>-1269347.3500000001</v>
      </c>
      <c r="AN160" s="294">
        <f t="shared" si="122"/>
        <v>-50696.91</v>
      </c>
      <c r="AO160" s="294">
        <f t="shared" si="122"/>
        <v>-1314522.32</v>
      </c>
      <c r="AP160" s="294">
        <f t="shared" si="122"/>
        <v>-122376.89</v>
      </c>
      <c r="AQ160" s="294">
        <f t="shared" si="122"/>
        <v>-203816.22</v>
      </c>
      <c r="AR160" s="294">
        <f t="shared" si="122"/>
        <v>-2025914.39</v>
      </c>
      <c r="AS160" s="294">
        <f t="shared" si="122"/>
        <v>-73533.78</v>
      </c>
      <c r="AT160" s="294">
        <f t="shared" si="122"/>
        <v>-1416</v>
      </c>
      <c r="AU160" s="294">
        <f t="shared" si="122"/>
        <v>-11882</v>
      </c>
      <c r="AV160" s="294">
        <f t="shared" si="122"/>
        <v>-13478</v>
      </c>
      <c r="AW160" s="294">
        <f t="shared" si="122"/>
        <v>-14824.35</v>
      </c>
      <c r="AX160" s="294">
        <f t="shared" si="122"/>
        <v>-222279</v>
      </c>
      <c r="AY160" s="294">
        <f t="shared" si="122"/>
        <v>-33886</v>
      </c>
      <c r="AZ160" s="294">
        <f t="shared" si="122"/>
        <v>-150</v>
      </c>
      <c r="BA160" s="294">
        <f t="shared" si="122"/>
        <v>0</v>
      </c>
      <c r="BB160" s="294">
        <f t="shared" si="122"/>
        <v>-2070</v>
      </c>
      <c r="BC160" s="294">
        <f t="shared" si="122"/>
        <v>0</v>
      </c>
      <c r="BD160" s="294">
        <f t="shared" si="122"/>
        <v>0</v>
      </c>
      <c r="BE160" s="294">
        <f t="shared" si="122"/>
        <v>0</v>
      </c>
      <c r="BF160" s="294">
        <f t="shared" si="122"/>
        <v>0</v>
      </c>
      <c r="BG160" s="294">
        <f t="shared" si="122"/>
        <v>0</v>
      </c>
      <c r="BH160" s="294">
        <f t="shared" si="122"/>
        <v>-1040</v>
      </c>
      <c r="BI160" s="294">
        <f t="shared" si="122"/>
        <v>-61393</v>
      </c>
      <c r="BJ160" s="294">
        <f t="shared" si="122"/>
        <v>0</v>
      </c>
      <c r="BK160" s="294">
        <f t="shared" si="122"/>
        <v>0</v>
      </c>
      <c r="BL160" s="294">
        <f t="shared" si="122"/>
        <v>-21034</v>
      </c>
      <c r="BM160" s="294">
        <f t="shared" si="122"/>
        <v>-12000</v>
      </c>
      <c r="BN160" s="294">
        <f t="shared" si="122"/>
        <v>-3169.73</v>
      </c>
      <c r="BO160" s="294">
        <f t="shared" si="122"/>
        <v>0</v>
      </c>
      <c r="BP160" s="294">
        <f t="shared" si="122"/>
        <v>0</v>
      </c>
      <c r="BQ160" s="294">
        <f t="shared" ref="BQ160:EB160" si="123">SUMIF($A$61:$A$154,$A$123,BQ$61:BQ$154)*-1</f>
        <v>0</v>
      </c>
      <c r="BR160" s="294">
        <f t="shared" si="123"/>
        <v>0</v>
      </c>
      <c r="BS160" s="294">
        <f t="shared" si="123"/>
        <v>-4000</v>
      </c>
      <c r="BT160" s="294">
        <f t="shared" si="123"/>
        <v>-49894</v>
      </c>
      <c r="BU160" s="294">
        <f t="shared" si="123"/>
        <v>-69939</v>
      </c>
      <c r="BV160" s="294">
        <f t="shared" si="123"/>
        <v>-42018</v>
      </c>
      <c r="BW160" s="294">
        <f t="shared" si="123"/>
        <v>-18179</v>
      </c>
      <c r="BX160" s="294">
        <f t="shared" si="123"/>
        <v>-4200</v>
      </c>
      <c r="BY160" s="294">
        <f t="shared" si="123"/>
        <v>-15231</v>
      </c>
      <c r="BZ160" s="294">
        <f t="shared" si="123"/>
        <v>0</v>
      </c>
      <c r="CA160" s="294">
        <f t="shared" si="123"/>
        <v>0</v>
      </c>
      <c r="CB160" s="294">
        <f t="shared" si="123"/>
        <v>-16922</v>
      </c>
      <c r="CC160" s="294">
        <f t="shared" si="123"/>
        <v>0</v>
      </c>
      <c r="CD160" s="294">
        <f t="shared" si="123"/>
        <v>0</v>
      </c>
      <c r="CE160" s="294">
        <f t="shared" si="123"/>
        <v>-6178</v>
      </c>
      <c r="CF160" s="294">
        <f t="shared" si="123"/>
        <v>-40368.97</v>
      </c>
      <c r="CG160" s="294">
        <f t="shared" si="123"/>
        <v>-122000</v>
      </c>
      <c r="CH160" s="294">
        <f t="shared" si="123"/>
        <v>-163132</v>
      </c>
      <c r="CI160" s="294">
        <f t="shared" si="123"/>
        <v>0</v>
      </c>
      <c r="CJ160" s="294">
        <f t="shared" si="123"/>
        <v>-46764</v>
      </c>
      <c r="CK160" s="294">
        <f t="shared" si="123"/>
        <v>-28727.119999999999</v>
      </c>
      <c r="CL160" s="294">
        <f t="shared" si="123"/>
        <v>-30088</v>
      </c>
      <c r="CM160" s="294">
        <f t="shared" si="123"/>
        <v>-6113</v>
      </c>
      <c r="CN160" s="294">
        <f t="shared" si="123"/>
        <v>-500</v>
      </c>
      <c r="CO160" s="294">
        <f t="shared" si="123"/>
        <v>-13293</v>
      </c>
      <c r="CP160" s="294">
        <f t="shared" si="123"/>
        <v>0</v>
      </c>
      <c r="CQ160" s="294">
        <f t="shared" si="123"/>
        <v>0</v>
      </c>
      <c r="CR160" s="294">
        <f t="shared" si="123"/>
        <v>-1403857</v>
      </c>
      <c r="CS160" s="294">
        <f t="shared" si="123"/>
        <v>-77001.36</v>
      </c>
      <c r="CT160" s="294">
        <f t="shared" si="123"/>
        <v>0</v>
      </c>
      <c r="CU160" s="294">
        <f t="shared" si="123"/>
        <v>0</v>
      </c>
      <c r="CV160" s="294">
        <f t="shared" si="123"/>
        <v>-748725.43</v>
      </c>
      <c r="CW160" s="294">
        <f t="shared" si="123"/>
        <v>-59182</v>
      </c>
      <c r="CX160" s="294">
        <f t="shared" si="123"/>
        <v>-5326.89</v>
      </c>
      <c r="CY160" s="294">
        <f t="shared" si="123"/>
        <v>-812730.9</v>
      </c>
      <c r="CZ160" s="294">
        <f t="shared" si="123"/>
        <v>0</v>
      </c>
      <c r="DA160" s="294">
        <f t="shared" si="123"/>
        <v>-216715.5</v>
      </c>
      <c r="DB160" s="294">
        <f t="shared" si="123"/>
        <v>-161768.54</v>
      </c>
      <c r="DC160" s="294">
        <f t="shared" si="123"/>
        <v>-14917740.74</v>
      </c>
      <c r="DD160" s="294">
        <f t="shared" si="123"/>
        <v>-36146</v>
      </c>
      <c r="DE160" s="294">
        <f t="shared" si="123"/>
        <v>-7882.21</v>
      </c>
      <c r="DF160" s="294">
        <f t="shared" si="123"/>
        <v>-423201</v>
      </c>
      <c r="DG160" s="294">
        <f t="shared" si="123"/>
        <v>-1100133.6000000001</v>
      </c>
      <c r="DH160" s="294">
        <f t="shared" si="123"/>
        <v>-1039175</v>
      </c>
      <c r="DI160" s="294">
        <f t="shared" si="123"/>
        <v>-61096</v>
      </c>
      <c r="DJ160" s="294">
        <f t="shared" si="123"/>
        <v>-1162.77</v>
      </c>
      <c r="DK160" s="294">
        <f t="shared" si="123"/>
        <v>-2433419.15</v>
      </c>
      <c r="DL160" s="294">
        <f t="shared" si="123"/>
        <v>-196223.32</v>
      </c>
      <c r="DM160" s="294">
        <f t="shared" si="123"/>
        <v>-190940.59</v>
      </c>
      <c r="DN160" s="294">
        <f t="shared" si="123"/>
        <v>-122759</v>
      </c>
      <c r="DO160" s="294">
        <f t="shared" si="123"/>
        <v>-102137.45</v>
      </c>
      <c r="DP160" s="294">
        <f t="shared" si="123"/>
        <v>-261844.35</v>
      </c>
      <c r="DQ160" s="294">
        <f t="shared" si="123"/>
        <v>-809882.24</v>
      </c>
      <c r="DR160" s="294">
        <f t="shared" si="123"/>
        <v>-379291</v>
      </c>
      <c r="DS160" s="294">
        <f t="shared" si="123"/>
        <v>-442095.19</v>
      </c>
      <c r="DT160" s="294">
        <f t="shared" si="123"/>
        <v>0</v>
      </c>
      <c r="DU160" s="294">
        <f t="shared" si="123"/>
        <v>-84875</v>
      </c>
      <c r="DV160" s="294">
        <f t="shared" si="123"/>
        <v>0</v>
      </c>
      <c r="DW160" s="294">
        <f t="shared" si="123"/>
        <v>-260698.98</v>
      </c>
      <c r="DX160" s="294">
        <f t="shared" si="123"/>
        <v>-36263.96</v>
      </c>
      <c r="DY160" s="294">
        <f t="shared" si="123"/>
        <v>-471555.5</v>
      </c>
      <c r="DZ160" s="294">
        <f t="shared" si="123"/>
        <v>0</v>
      </c>
      <c r="EA160" s="294">
        <f t="shared" si="123"/>
        <v>-70969.5</v>
      </c>
      <c r="EB160" s="294">
        <f t="shared" si="123"/>
        <v>-28274</v>
      </c>
      <c r="EC160" s="294">
        <f t="shared" ref="EC160:GN160" si="124">SUMIF($A$61:$A$154,$A$123,EC$61:EC$154)*-1</f>
        <v>-53693.4</v>
      </c>
      <c r="ED160" s="294">
        <f t="shared" si="124"/>
        <v>-17893</v>
      </c>
      <c r="EE160" s="294">
        <f t="shared" si="124"/>
        <v>-3189.5</v>
      </c>
      <c r="EF160" s="294">
        <f t="shared" si="124"/>
        <v>0</v>
      </c>
      <c r="EG160" s="294">
        <f t="shared" si="124"/>
        <v>-76178</v>
      </c>
      <c r="EH160" s="294">
        <f t="shared" si="124"/>
        <v>-28177.73</v>
      </c>
      <c r="EI160" s="294">
        <f t="shared" si="124"/>
        <v>-56127.96</v>
      </c>
      <c r="EJ160" s="294">
        <f t="shared" si="124"/>
        <v>-246132.2</v>
      </c>
      <c r="EK160" s="294">
        <f t="shared" si="124"/>
        <v>-28000</v>
      </c>
      <c r="EL160" s="294">
        <f t="shared" si="124"/>
        <v>-12794.75</v>
      </c>
      <c r="EM160" s="294">
        <f t="shared" si="124"/>
        <v>-80414.2</v>
      </c>
      <c r="EN160" s="294">
        <f t="shared" si="124"/>
        <v>-108156.01</v>
      </c>
      <c r="EO160" s="294">
        <f t="shared" si="124"/>
        <v>0</v>
      </c>
      <c r="EP160" s="294">
        <f t="shared" si="124"/>
        <v>0</v>
      </c>
      <c r="EQ160" s="294">
        <f t="shared" si="124"/>
        <v>0</v>
      </c>
      <c r="ER160" s="294">
        <f t="shared" si="124"/>
        <v>0</v>
      </c>
      <c r="ES160" s="294">
        <f t="shared" si="124"/>
        <v>0</v>
      </c>
      <c r="ET160" s="294">
        <f t="shared" si="124"/>
        <v>0</v>
      </c>
      <c r="EU160" s="294">
        <f t="shared" si="124"/>
        <v>0</v>
      </c>
      <c r="EV160" s="294">
        <f t="shared" si="124"/>
        <v>0</v>
      </c>
      <c r="EW160" s="294">
        <f t="shared" si="124"/>
        <v>-37941.760000000002</v>
      </c>
      <c r="EX160" s="294">
        <f t="shared" si="124"/>
        <v>-155670.67000000001</v>
      </c>
      <c r="EY160" s="294">
        <f t="shared" si="124"/>
        <v>-170469.77</v>
      </c>
      <c r="EZ160" s="294">
        <f t="shared" si="124"/>
        <v>-72462</v>
      </c>
      <c r="FA160" s="294">
        <f t="shared" si="124"/>
        <v>-11996</v>
      </c>
      <c r="FB160" s="294">
        <f t="shared" si="124"/>
        <v>-2917</v>
      </c>
      <c r="FC160" s="294">
        <f t="shared" si="124"/>
        <v>-626812.85</v>
      </c>
      <c r="FD160" s="294">
        <f t="shared" si="124"/>
        <v>-218101.33</v>
      </c>
      <c r="FE160" s="294">
        <f t="shared" si="124"/>
        <v>-677779.59</v>
      </c>
      <c r="FF160" s="294">
        <f t="shared" si="124"/>
        <v>-155674.51999999999</v>
      </c>
      <c r="FG160" s="294">
        <f t="shared" si="124"/>
        <v>-199050</v>
      </c>
      <c r="FH160" s="294">
        <f t="shared" si="124"/>
        <v>-401739.5</v>
      </c>
      <c r="FI160" s="294">
        <f t="shared" si="124"/>
        <v>-432224.36</v>
      </c>
      <c r="FJ160" s="294">
        <f t="shared" si="124"/>
        <v>-148336</v>
      </c>
      <c r="FK160" s="294">
        <f t="shared" si="124"/>
        <v>0</v>
      </c>
      <c r="FL160" s="294">
        <f t="shared" si="124"/>
        <v>-21226.75</v>
      </c>
      <c r="FM160" s="294">
        <f t="shared" si="124"/>
        <v>-64238.04</v>
      </c>
      <c r="FN160" s="294">
        <f t="shared" si="124"/>
        <v>0</v>
      </c>
      <c r="FO160" s="294">
        <f t="shared" si="124"/>
        <v>-3772</v>
      </c>
      <c r="FP160" s="294">
        <f t="shared" si="124"/>
        <v>0</v>
      </c>
      <c r="FQ160" s="294">
        <f t="shared" si="124"/>
        <v>0</v>
      </c>
      <c r="FR160" s="294">
        <f t="shared" si="124"/>
        <v>-47179</v>
      </c>
      <c r="FS160" s="294">
        <f t="shared" si="124"/>
        <v>-22285</v>
      </c>
      <c r="FT160" s="294">
        <f t="shared" si="124"/>
        <v>-33476</v>
      </c>
      <c r="FU160" s="294">
        <f t="shared" si="124"/>
        <v>-14197</v>
      </c>
      <c r="FV160" s="294">
        <f t="shared" si="124"/>
        <v>-95479.66</v>
      </c>
      <c r="FW160" s="294">
        <f t="shared" si="124"/>
        <v>-19003</v>
      </c>
      <c r="FX160" s="294">
        <f t="shared" si="124"/>
        <v>-263509</v>
      </c>
      <c r="FY160" s="294">
        <f t="shared" si="124"/>
        <v>-17379.5</v>
      </c>
      <c r="FZ160" s="294">
        <f t="shared" si="124"/>
        <v>-61040</v>
      </c>
      <c r="GA160" s="294">
        <f t="shared" si="124"/>
        <v>-47838.32</v>
      </c>
      <c r="GB160" s="294">
        <f t="shared" si="124"/>
        <v>-163034.9</v>
      </c>
      <c r="GC160" s="294">
        <f t="shared" si="124"/>
        <v>-44103</v>
      </c>
      <c r="GD160" s="294">
        <f t="shared" si="124"/>
        <v>0</v>
      </c>
      <c r="GE160" s="294">
        <f t="shared" si="124"/>
        <v>-29906</v>
      </c>
      <c r="GF160" s="294">
        <f t="shared" si="124"/>
        <v>-71830.95</v>
      </c>
      <c r="GG160" s="294">
        <f t="shared" si="124"/>
        <v>-311888.40999999997</v>
      </c>
      <c r="GH160" s="294">
        <f t="shared" si="124"/>
        <v>-198574.5</v>
      </c>
      <c r="GI160" s="294">
        <f t="shared" si="124"/>
        <v>-76784.5</v>
      </c>
      <c r="GJ160" s="294">
        <f t="shared" si="124"/>
        <v>-139233</v>
      </c>
      <c r="GK160" s="294">
        <f t="shared" si="124"/>
        <v>-1034</v>
      </c>
      <c r="GL160" s="294">
        <f t="shared" si="124"/>
        <v>0</v>
      </c>
      <c r="GM160" s="294">
        <f t="shared" si="124"/>
        <v>-98406.25</v>
      </c>
      <c r="GN160" s="294">
        <f t="shared" si="124"/>
        <v>0</v>
      </c>
      <c r="GO160" s="294">
        <f t="shared" ref="GO160:IZ160" si="125">SUMIF($A$61:$A$154,$A$123,GO$61:GO$154)*-1</f>
        <v>0</v>
      </c>
      <c r="GP160" s="294">
        <f t="shared" si="125"/>
        <v>0</v>
      </c>
      <c r="GQ160" s="294">
        <f t="shared" si="125"/>
        <v>-28276</v>
      </c>
      <c r="GR160" s="294">
        <f t="shared" si="125"/>
        <v>0</v>
      </c>
      <c r="GS160" s="294">
        <f t="shared" si="125"/>
        <v>0</v>
      </c>
      <c r="GT160" s="294">
        <f t="shared" si="125"/>
        <v>-286</v>
      </c>
      <c r="GU160" s="294">
        <f t="shared" si="125"/>
        <v>0</v>
      </c>
      <c r="GV160" s="294">
        <f t="shared" si="125"/>
        <v>0</v>
      </c>
      <c r="GW160" s="294">
        <f t="shared" si="125"/>
        <v>0</v>
      </c>
      <c r="GX160" s="294">
        <f t="shared" si="125"/>
        <v>0</v>
      </c>
      <c r="GY160" s="294">
        <f t="shared" si="125"/>
        <v>-535884.57999999996</v>
      </c>
      <c r="GZ160" s="294">
        <f t="shared" si="125"/>
        <v>0</v>
      </c>
      <c r="HA160" s="294">
        <f t="shared" si="125"/>
        <v>-4519335.9400000004</v>
      </c>
      <c r="HB160" s="294">
        <f t="shared" si="125"/>
        <v>-1010231</v>
      </c>
      <c r="HC160" s="294">
        <f t="shared" si="125"/>
        <v>-6847492.4299999997</v>
      </c>
      <c r="HD160" s="294">
        <f t="shared" si="125"/>
        <v>-3972298.96</v>
      </c>
      <c r="HE160" s="294">
        <f t="shared" si="125"/>
        <v>-4870421.5</v>
      </c>
      <c r="HF160" s="294">
        <f t="shared" si="125"/>
        <v>-4235322.16</v>
      </c>
      <c r="HG160" s="294">
        <f t="shared" si="125"/>
        <v>-5119973.5599999996</v>
      </c>
      <c r="HH160" s="294">
        <f t="shared" si="125"/>
        <v>-1191692.8999999999</v>
      </c>
      <c r="HI160" s="294">
        <f t="shared" si="125"/>
        <v>-1493725.99</v>
      </c>
      <c r="HJ160" s="294">
        <f t="shared" si="125"/>
        <v>0</v>
      </c>
      <c r="HK160" s="294">
        <f t="shared" si="125"/>
        <v>0</v>
      </c>
      <c r="HL160" s="294">
        <f t="shared" si="125"/>
        <v>-10447553.25</v>
      </c>
      <c r="HM160" s="294">
        <f t="shared" si="125"/>
        <v>-4822672.53</v>
      </c>
      <c r="HN160" s="294">
        <f t="shared" si="125"/>
        <v>-10574062.93</v>
      </c>
      <c r="HO160" s="294">
        <f t="shared" si="125"/>
        <v>-560778.80000000005</v>
      </c>
      <c r="HP160" s="294">
        <f t="shared" si="125"/>
        <v>-1301548.8799999999</v>
      </c>
      <c r="HQ160" s="294">
        <f t="shared" si="125"/>
        <v>-3791074.54</v>
      </c>
      <c r="HR160" s="294">
        <f t="shared" si="125"/>
        <v>-5367017.5</v>
      </c>
      <c r="HS160" s="294">
        <f t="shared" si="125"/>
        <v>-494675.86</v>
      </c>
      <c r="HT160" s="294">
        <f t="shared" si="125"/>
        <v>-281743.06</v>
      </c>
      <c r="HU160" s="294">
        <f t="shared" si="125"/>
        <v>-313553.5</v>
      </c>
      <c r="HV160" s="294">
        <f t="shared" si="125"/>
        <v>-50381</v>
      </c>
      <c r="HW160" s="294">
        <f t="shared" si="125"/>
        <v>-1294006.55</v>
      </c>
      <c r="HX160" s="294">
        <f t="shared" si="125"/>
        <v>0</v>
      </c>
      <c r="HY160" s="294">
        <f t="shared" si="125"/>
        <v>-276742</v>
      </c>
      <c r="HZ160" s="294">
        <f t="shared" si="125"/>
        <v>-377382.5</v>
      </c>
      <c r="IA160" s="294">
        <f t="shared" si="125"/>
        <v>-372023.5</v>
      </c>
      <c r="IB160" s="294">
        <f t="shared" si="125"/>
        <v>-249195</v>
      </c>
      <c r="IC160" s="294">
        <f t="shared" si="125"/>
        <v>-938134.25</v>
      </c>
      <c r="ID160" s="294">
        <f t="shared" si="125"/>
        <v>-492036.5</v>
      </c>
      <c r="IE160" s="294">
        <f t="shared" si="125"/>
        <v>0</v>
      </c>
      <c r="IF160" s="294">
        <f t="shared" si="125"/>
        <v>-8968.1</v>
      </c>
      <c r="IG160" s="294">
        <f t="shared" si="125"/>
        <v>0</v>
      </c>
      <c r="IH160" s="294">
        <f t="shared" si="125"/>
        <v>0</v>
      </c>
      <c r="II160" s="294">
        <f t="shared" si="125"/>
        <v>-2169320.25</v>
      </c>
      <c r="IJ160" s="294">
        <f t="shared" si="125"/>
        <v>-154490.75</v>
      </c>
      <c r="IK160" s="294">
        <f t="shared" si="125"/>
        <v>-718330.23</v>
      </c>
      <c r="IL160" s="294">
        <f t="shared" si="125"/>
        <v>0</v>
      </c>
      <c r="IM160" s="294">
        <f t="shared" si="125"/>
        <v>-162345.22</v>
      </c>
      <c r="IN160" s="294">
        <f t="shared" si="125"/>
        <v>-201508</v>
      </c>
      <c r="IO160" s="294">
        <f t="shared" si="125"/>
        <v>-39332.5</v>
      </c>
      <c r="IP160" s="294">
        <f t="shared" si="125"/>
        <v>-42243</v>
      </c>
      <c r="IQ160" s="294">
        <f t="shared" si="125"/>
        <v>-52089.2</v>
      </c>
      <c r="IR160" s="294">
        <f t="shared" si="125"/>
        <v>-65846</v>
      </c>
      <c r="IS160" s="294">
        <f t="shared" si="125"/>
        <v>-1063747.1000000001</v>
      </c>
      <c r="IT160" s="294">
        <f t="shared" si="125"/>
        <v>0</v>
      </c>
      <c r="IU160" s="294">
        <f t="shared" si="125"/>
        <v>-1828</v>
      </c>
      <c r="IV160" s="294">
        <f t="shared" si="125"/>
        <v>-949734.48</v>
      </c>
      <c r="IW160" s="294">
        <f t="shared" si="125"/>
        <v>-2199238.25</v>
      </c>
      <c r="IX160" s="294">
        <f t="shared" si="125"/>
        <v>-1970235.2</v>
      </c>
      <c r="IY160" s="294">
        <f t="shared" si="125"/>
        <v>2600.5</v>
      </c>
      <c r="IZ160" s="294">
        <f t="shared" si="125"/>
        <v>-164617.60999999999</v>
      </c>
      <c r="JA160" s="294">
        <f t="shared" ref="JA160:LL160" si="126">SUMIF($A$61:$A$154,$A$123,JA$61:JA$154)*-1</f>
        <v>-33514.15</v>
      </c>
      <c r="JB160" s="294">
        <f t="shared" si="126"/>
        <v>-54069</v>
      </c>
      <c r="JC160" s="294">
        <f t="shared" si="126"/>
        <v>-31023.96</v>
      </c>
      <c r="JD160" s="294">
        <f t="shared" si="126"/>
        <v>-2222290.59</v>
      </c>
      <c r="JE160" s="294">
        <f t="shared" si="126"/>
        <v>-8215</v>
      </c>
      <c r="JF160" s="294">
        <f t="shared" si="126"/>
        <v>-106975</v>
      </c>
      <c r="JG160" s="294">
        <f t="shared" si="126"/>
        <v>0</v>
      </c>
      <c r="JH160" s="294">
        <f t="shared" si="126"/>
        <v>-214474.27</v>
      </c>
      <c r="JI160" s="294">
        <f t="shared" si="126"/>
        <v>-165150</v>
      </c>
      <c r="JJ160" s="294">
        <f t="shared" si="126"/>
        <v>-17252</v>
      </c>
      <c r="JK160" s="294">
        <f t="shared" si="126"/>
        <v>-52462</v>
      </c>
      <c r="JL160" s="294">
        <f t="shared" si="126"/>
        <v>-266531.15999999997</v>
      </c>
      <c r="JM160" s="294">
        <f t="shared" si="126"/>
        <v>0</v>
      </c>
      <c r="JN160" s="294">
        <f t="shared" si="126"/>
        <v>-2901</v>
      </c>
      <c r="JO160" s="294">
        <f t="shared" si="126"/>
        <v>-1208</v>
      </c>
      <c r="JP160" s="294">
        <f t="shared" si="126"/>
        <v>-105061</v>
      </c>
      <c r="JQ160" s="294">
        <f t="shared" si="126"/>
        <v>0</v>
      </c>
      <c r="JR160" s="294">
        <f t="shared" si="126"/>
        <v>0</v>
      </c>
      <c r="JS160" s="294">
        <f t="shared" si="126"/>
        <v>0</v>
      </c>
      <c r="JT160" s="294">
        <f t="shared" si="126"/>
        <v>0</v>
      </c>
      <c r="JU160" s="294">
        <f t="shared" si="126"/>
        <v>0</v>
      </c>
      <c r="JV160" s="294">
        <f t="shared" si="126"/>
        <v>0</v>
      </c>
      <c r="JW160" s="294">
        <f t="shared" si="126"/>
        <v>0</v>
      </c>
      <c r="JX160" s="294">
        <f t="shared" si="126"/>
        <v>0</v>
      </c>
      <c r="JY160" s="294">
        <f t="shared" si="126"/>
        <v>0</v>
      </c>
      <c r="JZ160" s="294">
        <f t="shared" si="126"/>
        <v>0</v>
      </c>
      <c r="KA160" s="294">
        <f t="shared" si="126"/>
        <v>0</v>
      </c>
      <c r="KB160" s="294">
        <f t="shared" si="126"/>
        <v>0</v>
      </c>
      <c r="KC160" s="294">
        <f t="shared" si="126"/>
        <v>0</v>
      </c>
      <c r="KD160" s="294">
        <f t="shared" si="126"/>
        <v>0</v>
      </c>
      <c r="KE160" s="294">
        <f t="shared" si="126"/>
        <v>0</v>
      </c>
      <c r="KF160" s="294">
        <f t="shared" si="126"/>
        <v>0</v>
      </c>
      <c r="KG160" s="294">
        <f t="shared" si="126"/>
        <v>0</v>
      </c>
      <c r="KH160" s="294">
        <f t="shared" si="126"/>
        <v>0</v>
      </c>
      <c r="KI160" s="294">
        <f t="shared" si="126"/>
        <v>-3081329.34</v>
      </c>
      <c r="KJ160" s="294">
        <f t="shared" si="126"/>
        <v>-1961319.88</v>
      </c>
      <c r="KK160" s="294">
        <f t="shared" si="126"/>
        <v>-1714752.69</v>
      </c>
      <c r="KL160" s="294">
        <f t="shared" si="126"/>
        <v>-2389585.96</v>
      </c>
      <c r="KM160" s="294">
        <f t="shared" si="126"/>
        <v>-2002368.87</v>
      </c>
      <c r="KN160" s="294">
        <f t="shared" si="126"/>
        <v>-6138627.5999999996</v>
      </c>
      <c r="KO160" s="294">
        <f t="shared" si="126"/>
        <v>-2210847.19</v>
      </c>
      <c r="KP160" s="294">
        <f t="shared" si="126"/>
        <v>-1157962</v>
      </c>
      <c r="KQ160" s="294">
        <f t="shared" si="126"/>
        <v>-70112</v>
      </c>
      <c r="KR160" s="294">
        <f t="shared" si="126"/>
        <v>0</v>
      </c>
      <c r="KS160" s="294">
        <f t="shared" si="126"/>
        <v>-828150.6</v>
      </c>
      <c r="KT160" s="294">
        <f t="shared" si="126"/>
        <v>-1319796.27</v>
      </c>
      <c r="KU160" s="294">
        <f t="shared" si="126"/>
        <v>-565611.04</v>
      </c>
      <c r="KV160" s="294">
        <f t="shared" si="126"/>
        <v>-6080686.5599999996</v>
      </c>
      <c r="KW160" s="294">
        <f t="shared" si="126"/>
        <v>-2655253.9300000002</v>
      </c>
      <c r="KX160" s="294">
        <f t="shared" si="126"/>
        <v>-70041.600000000006</v>
      </c>
      <c r="KY160" s="294">
        <f t="shared" si="126"/>
        <v>-405552</v>
      </c>
      <c r="KZ160" s="294">
        <f t="shared" si="126"/>
        <v>-262192.96999999997</v>
      </c>
      <c r="LA160" s="294">
        <f t="shared" si="126"/>
        <v>-1180982</v>
      </c>
      <c r="LB160" s="294">
        <f t="shared" si="126"/>
        <v>-298818.75</v>
      </c>
      <c r="LC160" s="294">
        <f t="shared" si="126"/>
        <v>-196752.25</v>
      </c>
      <c r="LD160" s="294">
        <f t="shared" si="126"/>
        <v>-200217</v>
      </c>
      <c r="LE160" s="294">
        <f t="shared" si="126"/>
        <v>-15880</v>
      </c>
      <c r="LF160" s="294">
        <f t="shared" si="126"/>
        <v>-553060.39</v>
      </c>
      <c r="LG160" s="294">
        <f t="shared" si="126"/>
        <v>-82764.740000000005</v>
      </c>
      <c r="LH160" s="294">
        <f t="shared" si="126"/>
        <v>-2988439.79</v>
      </c>
      <c r="LI160" s="294">
        <f t="shared" si="126"/>
        <v>-332698.25</v>
      </c>
      <c r="LJ160" s="294">
        <f t="shared" si="126"/>
        <v>-10000</v>
      </c>
      <c r="LK160" s="294">
        <f t="shared" si="126"/>
        <v>0</v>
      </c>
      <c r="LL160" s="294">
        <f t="shared" si="126"/>
        <v>511977</v>
      </c>
      <c r="LM160" s="294">
        <f t="shared" ref="LM160:NX160" si="127">SUMIF($A$61:$A$154,$A$123,LM$61:LM$154)*-1</f>
        <v>-1467861.38</v>
      </c>
      <c r="LN160" s="294">
        <f t="shared" si="127"/>
        <v>-237515</v>
      </c>
      <c r="LO160" s="294">
        <f t="shared" si="127"/>
        <v>-630949.42000000004</v>
      </c>
      <c r="LP160" s="294">
        <f t="shared" si="127"/>
        <v>18791</v>
      </c>
      <c r="LQ160" s="294">
        <f t="shared" si="127"/>
        <v>-966148.57</v>
      </c>
      <c r="LR160" s="294">
        <f t="shared" si="127"/>
        <v>-912419.05</v>
      </c>
      <c r="LS160" s="294">
        <f t="shared" si="127"/>
        <v>-2105800</v>
      </c>
      <c r="LT160" s="294">
        <f t="shared" si="127"/>
        <v>0</v>
      </c>
      <c r="LU160" s="294">
        <f t="shared" si="127"/>
        <v>0</v>
      </c>
      <c r="LV160" s="294">
        <f t="shared" si="127"/>
        <v>-10423996.83</v>
      </c>
      <c r="LW160" s="294">
        <f t="shared" si="127"/>
        <v>0</v>
      </c>
      <c r="LX160" s="294">
        <f t="shared" si="127"/>
        <v>-1021920</v>
      </c>
      <c r="LY160" s="294">
        <f t="shared" si="127"/>
        <v>-1322008.19</v>
      </c>
      <c r="LZ160" s="294">
        <f t="shared" si="127"/>
        <v>0</v>
      </c>
      <c r="MA160" s="294">
        <f t="shared" si="127"/>
        <v>-384238</v>
      </c>
      <c r="MB160" s="294">
        <f t="shared" si="127"/>
        <v>-442825.03</v>
      </c>
      <c r="MC160" s="294">
        <f t="shared" si="127"/>
        <v>-259111.59</v>
      </c>
      <c r="MD160" s="294">
        <f t="shared" si="127"/>
        <v>-82852</v>
      </c>
      <c r="ME160" s="294">
        <f t="shared" si="127"/>
        <v>-601879.88</v>
      </c>
      <c r="MF160" s="294">
        <f t="shared" si="127"/>
        <v>-10776</v>
      </c>
      <c r="MG160" s="294">
        <f t="shared" si="127"/>
        <v>0</v>
      </c>
      <c r="MH160" s="294">
        <f t="shared" si="127"/>
        <v>0</v>
      </c>
      <c r="MI160" s="294">
        <f t="shared" si="127"/>
        <v>-969500</v>
      </c>
      <c r="MJ160" s="294">
        <f t="shared" si="127"/>
        <v>0</v>
      </c>
      <c r="MK160" s="294">
        <f t="shared" si="127"/>
        <v>0</v>
      </c>
      <c r="ML160" s="294">
        <f t="shared" si="127"/>
        <v>0</v>
      </c>
      <c r="MM160" s="294">
        <f t="shared" si="127"/>
        <v>0</v>
      </c>
      <c r="MN160" s="294">
        <f t="shared" si="127"/>
        <v>0</v>
      </c>
      <c r="MO160" s="294">
        <f t="shared" si="127"/>
        <v>-369850</v>
      </c>
      <c r="MP160" s="294">
        <f t="shared" si="127"/>
        <v>-1260500</v>
      </c>
      <c r="MQ160" s="294">
        <f t="shared" si="127"/>
        <v>-624500</v>
      </c>
      <c r="MR160" s="294">
        <f t="shared" si="127"/>
        <v>0</v>
      </c>
      <c r="MS160" s="294">
        <f t="shared" si="127"/>
        <v>-897000</v>
      </c>
      <c r="MT160" s="294">
        <f t="shared" si="127"/>
        <v>0</v>
      </c>
      <c r="MU160" s="294">
        <f t="shared" si="127"/>
        <v>-594459</v>
      </c>
      <c r="MV160" s="294">
        <f t="shared" si="127"/>
        <v>-2253399.42</v>
      </c>
      <c r="MW160" s="294">
        <f t="shared" si="127"/>
        <v>-557424</v>
      </c>
      <c r="MX160" s="294">
        <f t="shared" si="127"/>
        <v>-9102152.1500000004</v>
      </c>
      <c r="MY160" s="294">
        <f t="shared" si="127"/>
        <v>-1116686.2</v>
      </c>
      <c r="MZ160" s="294">
        <f t="shared" si="127"/>
        <v>-2672527.38</v>
      </c>
      <c r="NA160" s="294">
        <f t="shared" si="127"/>
        <v>-1063139.75</v>
      </c>
      <c r="NB160" s="294">
        <f t="shared" si="127"/>
        <v>-1832789.47</v>
      </c>
      <c r="NC160" s="294">
        <f t="shared" si="127"/>
        <v>-199242.61</v>
      </c>
      <c r="ND160" s="294">
        <f t="shared" si="127"/>
        <v>-222619</v>
      </c>
      <c r="NE160" s="294">
        <f t="shared" si="127"/>
        <v>0</v>
      </c>
      <c r="NF160" s="294">
        <f t="shared" si="127"/>
        <v>-11025302.5</v>
      </c>
      <c r="NG160" s="294">
        <f t="shared" si="127"/>
        <v>-1867318.24</v>
      </c>
      <c r="NH160" s="294">
        <f t="shared" si="127"/>
        <v>-36424664.539999999</v>
      </c>
      <c r="NI160" s="294">
        <f t="shared" si="127"/>
        <v>-3190787</v>
      </c>
      <c r="NJ160" s="294">
        <f t="shared" si="127"/>
        <v>-2528609.4300000002</v>
      </c>
      <c r="NK160" s="294">
        <f t="shared" si="127"/>
        <v>-3431155.05</v>
      </c>
      <c r="NL160" s="294">
        <f t="shared" si="127"/>
        <v>-39757679.299999997</v>
      </c>
      <c r="NM160" s="294">
        <f t="shared" si="127"/>
        <v>-549360</v>
      </c>
      <c r="NN160" s="294">
        <f t="shared" si="127"/>
        <v>-13942880.34</v>
      </c>
      <c r="NO160" s="294">
        <f t="shared" si="127"/>
        <v>-1340200.21</v>
      </c>
      <c r="NP160" s="294">
        <f t="shared" si="127"/>
        <v>-431860.38</v>
      </c>
      <c r="NQ160" s="294">
        <f t="shared" si="127"/>
        <v>-928398.62</v>
      </c>
      <c r="NR160" s="294">
        <f t="shared" si="127"/>
        <v>-2399176.65</v>
      </c>
      <c r="NS160" s="294">
        <f t="shared" si="127"/>
        <v>-3142100.61</v>
      </c>
      <c r="NT160" s="294">
        <f t="shared" si="127"/>
        <v>-2154797</v>
      </c>
      <c r="NU160" s="294">
        <f t="shared" si="127"/>
        <v>-1509681.55</v>
      </c>
      <c r="NV160" s="294">
        <f t="shared" si="127"/>
        <v>-72994.5</v>
      </c>
      <c r="NW160" s="294">
        <f t="shared" si="127"/>
        <v>-333760.09999999998</v>
      </c>
      <c r="NX160" s="294">
        <f t="shared" si="127"/>
        <v>-1065840</v>
      </c>
      <c r="NY160" s="294">
        <f t="shared" ref="NY160:QJ160" si="128">SUMIF($A$61:$A$154,$A$123,NY$61:NY$154)*-1</f>
        <v>-4024440.5</v>
      </c>
      <c r="NZ160" s="294">
        <f t="shared" si="128"/>
        <v>-242597</v>
      </c>
      <c r="OA160" s="294">
        <f t="shared" si="128"/>
        <v>-229486.58</v>
      </c>
      <c r="OB160" s="294">
        <f t="shared" si="128"/>
        <v>-5073</v>
      </c>
      <c r="OC160" s="294">
        <f t="shared" si="128"/>
        <v>-424405</v>
      </c>
      <c r="OD160" s="294">
        <f t="shared" si="128"/>
        <v>-923191</v>
      </c>
      <c r="OE160" s="294">
        <f t="shared" si="128"/>
        <v>-6028112.5499999998</v>
      </c>
      <c r="OF160" s="294">
        <f t="shared" si="128"/>
        <v>-2435767.4</v>
      </c>
      <c r="OG160" s="294">
        <f t="shared" si="128"/>
        <v>-402664.43</v>
      </c>
      <c r="OH160" s="294">
        <f t="shared" si="128"/>
        <v>-5072502.07</v>
      </c>
      <c r="OI160" s="294">
        <f t="shared" si="128"/>
        <v>-1097629.73</v>
      </c>
      <c r="OJ160" s="294">
        <f t="shared" si="128"/>
        <v>-2375491.4300000002</v>
      </c>
      <c r="OK160" s="294">
        <f t="shared" si="128"/>
        <v>-2886493.9</v>
      </c>
      <c r="OL160" s="294">
        <f t="shared" si="128"/>
        <v>-762645.83</v>
      </c>
      <c r="OM160" s="294">
        <f t="shared" si="128"/>
        <v>0</v>
      </c>
      <c r="ON160" s="294">
        <f t="shared" si="128"/>
        <v>-8201335.25</v>
      </c>
      <c r="OO160" s="294">
        <f t="shared" si="128"/>
        <v>-2184916.15</v>
      </c>
      <c r="OP160" s="294">
        <f t="shared" si="128"/>
        <v>-2870971.04</v>
      </c>
      <c r="OQ160" s="294">
        <f t="shared" si="128"/>
        <v>-2371479.2599999998</v>
      </c>
      <c r="OR160" s="294">
        <f t="shared" si="128"/>
        <v>-4198831.8099999996</v>
      </c>
      <c r="OS160" s="294">
        <f t="shared" si="128"/>
        <v>0</v>
      </c>
      <c r="OT160" s="294">
        <f t="shared" si="128"/>
        <v>0</v>
      </c>
      <c r="OU160" s="294">
        <f t="shared" si="128"/>
        <v>-4138316.69</v>
      </c>
      <c r="OV160" s="294">
        <f t="shared" si="128"/>
        <v>-2469761.94</v>
      </c>
      <c r="OW160" s="294">
        <f t="shared" si="128"/>
        <v>-823992.12</v>
      </c>
      <c r="OX160" s="294">
        <f t="shared" si="128"/>
        <v>-1263535.3600000001</v>
      </c>
      <c r="OY160" s="294">
        <f t="shared" si="128"/>
        <v>-3828025.12</v>
      </c>
      <c r="OZ160" s="294">
        <f t="shared" si="128"/>
        <v>-105462.88</v>
      </c>
      <c r="PA160" s="294">
        <f t="shared" si="128"/>
        <v>-706376.2</v>
      </c>
      <c r="PB160" s="294">
        <f t="shared" si="128"/>
        <v>0</v>
      </c>
      <c r="PC160" s="294">
        <f t="shared" si="128"/>
        <v>0</v>
      </c>
      <c r="PD160" s="294">
        <f t="shared" si="128"/>
        <v>0</v>
      </c>
      <c r="PE160" s="294">
        <f t="shared" si="128"/>
        <v>0</v>
      </c>
      <c r="PF160" s="294">
        <f t="shared" si="128"/>
        <v>-10654</v>
      </c>
      <c r="PG160" s="294">
        <f t="shared" si="128"/>
        <v>-500</v>
      </c>
      <c r="PH160" s="294">
        <f t="shared" si="128"/>
        <v>-50073.25</v>
      </c>
      <c r="PI160" s="294">
        <f t="shared" si="128"/>
        <v>0</v>
      </c>
      <c r="PJ160" s="294">
        <f t="shared" si="128"/>
        <v>-11444</v>
      </c>
      <c r="PK160" s="294">
        <f t="shared" si="128"/>
        <v>0</v>
      </c>
      <c r="PL160" s="294">
        <f t="shared" si="128"/>
        <v>-19824.419999999998</v>
      </c>
      <c r="PM160" s="294">
        <f t="shared" si="128"/>
        <v>-64668.5</v>
      </c>
      <c r="PN160" s="294">
        <f t="shared" si="128"/>
        <v>0</v>
      </c>
      <c r="PO160" s="294">
        <f t="shared" si="128"/>
        <v>-39287</v>
      </c>
      <c r="PP160" s="294">
        <f t="shared" si="128"/>
        <v>0</v>
      </c>
      <c r="PQ160" s="294">
        <f t="shared" si="128"/>
        <v>0</v>
      </c>
      <c r="PR160" s="294">
        <f t="shared" si="128"/>
        <v>0</v>
      </c>
      <c r="PS160" s="294">
        <f t="shared" si="128"/>
        <v>0</v>
      </c>
      <c r="PT160" s="294">
        <f t="shared" si="128"/>
        <v>0</v>
      </c>
      <c r="PU160" s="294">
        <f t="shared" si="128"/>
        <v>0</v>
      </c>
      <c r="PV160" s="294">
        <f t="shared" si="128"/>
        <v>189076.5</v>
      </c>
      <c r="PW160" s="294">
        <f t="shared" si="128"/>
        <v>0</v>
      </c>
      <c r="PX160" s="294">
        <f t="shared" si="128"/>
        <v>-30618.5</v>
      </c>
      <c r="PY160" s="294">
        <f t="shared" si="128"/>
        <v>0</v>
      </c>
      <c r="PZ160" s="294">
        <f t="shared" si="128"/>
        <v>0</v>
      </c>
      <c r="QA160" s="294">
        <f t="shared" si="128"/>
        <v>7400</v>
      </c>
      <c r="QB160" s="294">
        <f t="shared" si="128"/>
        <v>0</v>
      </c>
      <c r="QC160" s="294">
        <f t="shared" si="128"/>
        <v>-90488.25</v>
      </c>
      <c r="QD160" s="294">
        <f t="shared" si="128"/>
        <v>0</v>
      </c>
      <c r="QE160" s="294">
        <f t="shared" si="128"/>
        <v>-2151.5</v>
      </c>
      <c r="QF160" s="294">
        <f t="shared" si="128"/>
        <v>-15337</v>
      </c>
      <c r="QG160" s="294">
        <f t="shared" si="128"/>
        <v>-3603</v>
      </c>
      <c r="QH160" s="294">
        <f t="shared" si="128"/>
        <v>-13082</v>
      </c>
      <c r="QI160" s="294">
        <f t="shared" si="128"/>
        <v>-54434</v>
      </c>
      <c r="QJ160" s="294">
        <f t="shared" si="128"/>
        <v>0</v>
      </c>
      <c r="QK160" s="294">
        <f t="shared" ref="QK160:SV160" si="129">SUMIF($A$61:$A$154,$A$123,QK$61:QK$154)*-1</f>
        <v>-3656</v>
      </c>
      <c r="QL160" s="294">
        <f t="shared" si="129"/>
        <v>0</v>
      </c>
      <c r="QM160" s="294">
        <f t="shared" si="129"/>
        <v>-5277</v>
      </c>
      <c r="QN160" s="294">
        <f t="shared" si="129"/>
        <v>-12796</v>
      </c>
      <c r="QO160" s="294">
        <f t="shared" si="129"/>
        <v>-2488</v>
      </c>
      <c r="QP160" s="294">
        <f t="shared" si="129"/>
        <v>-206</v>
      </c>
      <c r="QQ160" s="294">
        <f t="shared" si="129"/>
        <v>-11938</v>
      </c>
      <c r="QR160" s="294">
        <f t="shared" si="129"/>
        <v>0</v>
      </c>
      <c r="QS160" s="294">
        <f t="shared" si="129"/>
        <v>-24137</v>
      </c>
      <c r="QT160" s="294">
        <f t="shared" si="129"/>
        <v>0</v>
      </c>
      <c r="QU160" s="294">
        <f t="shared" si="129"/>
        <v>-21852.52</v>
      </c>
      <c r="QV160" s="294">
        <f t="shared" si="129"/>
        <v>-1654</v>
      </c>
      <c r="QW160" s="294">
        <f t="shared" si="129"/>
        <v>0</v>
      </c>
      <c r="QX160" s="294">
        <f t="shared" si="129"/>
        <v>-5001</v>
      </c>
      <c r="QY160" s="294">
        <f t="shared" si="129"/>
        <v>0</v>
      </c>
      <c r="QZ160" s="294">
        <f t="shared" si="129"/>
        <v>-3656</v>
      </c>
      <c r="RA160" s="294">
        <f t="shared" si="129"/>
        <v>0</v>
      </c>
      <c r="RB160" s="294">
        <f t="shared" si="129"/>
        <v>-59136</v>
      </c>
      <c r="RC160" s="294">
        <f t="shared" si="129"/>
        <v>-21135</v>
      </c>
      <c r="RD160" s="294">
        <f t="shared" si="129"/>
        <v>-4256</v>
      </c>
      <c r="RE160" s="294">
        <f t="shared" si="129"/>
        <v>-13577</v>
      </c>
      <c r="RF160" s="294">
        <f t="shared" si="129"/>
        <v>0</v>
      </c>
      <c r="RG160" s="294">
        <f t="shared" si="129"/>
        <v>0</v>
      </c>
      <c r="RH160" s="294">
        <f t="shared" si="129"/>
        <v>-36622</v>
      </c>
      <c r="RI160" s="294">
        <f t="shared" si="129"/>
        <v>-70450</v>
      </c>
      <c r="RJ160" s="294">
        <f t="shared" si="129"/>
        <v>0</v>
      </c>
      <c r="RK160" s="294">
        <f t="shared" si="129"/>
        <v>-47207</v>
      </c>
      <c r="RL160" s="294">
        <f t="shared" si="129"/>
        <v>0</v>
      </c>
      <c r="RM160" s="294">
        <f t="shared" si="129"/>
        <v>-9977.5</v>
      </c>
      <c r="RN160" s="294">
        <f t="shared" si="129"/>
        <v>-34022</v>
      </c>
      <c r="RO160" s="294">
        <f t="shared" si="129"/>
        <v>-27640</v>
      </c>
      <c r="RP160" s="294">
        <f t="shared" si="129"/>
        <v>0</v>
      </c>
      <c r="RQ160" s="294">
        <f t="shared" si="129"/>
        <v>-25765</v>
      </c>
      <c r="RR160" s="294">
        <f t="shared" si="129"/>
        <v>-35435</v>
      </c>
      <c r="RS160" s="294">
        <f t="shared" si="129"/>
        <v>-20315</v>
      </c>
      <c r="RT160" s="294">
        <f t="shared" si="129"/>
        <v>-11299</v>
      </c>
      <c r="RU160" s="294">
        <f t="shared" si="129"/>
        <v>0</v>
      </c>
      <c r="RV160" s="294">
        <f t="shared" si="129"/>
        <v>0</v>
      </c>
      <c r="RW160" s="294">
        <f t="shared" si="129"/>
        <v>0</v>
      </c>
      <c r="RX160" s="294">
        <f t="shared" si="129"/>
        <v>-11268</v>
      </c>
      <c r="RY160" s="294">
        <f t="shared" si="129"/>
        <v>0</v>
      </c>
      <c r="RZ160" s="294">
        <f t="shared" si="129"/>
        <v>0</v>
      </c>
      <c r="SA160" s="294">
        <f t="shared" si="129"/>
        <v>0</v>
      </c>
      <c r="SB160" s="294">
        <f t="shared" si="129"/>
        <v>-513114.25</v>
      </c>
      <c r="SC160" s="294">
        <f t="shared" si="129"/>
        <v>0</v>
      </c>
      <c r="SD160" s="294">
        <f t="shared" si="129"/>
        <v>-3086.51</v>
      </c>
      <c r="SE160" s="294">
        <f t="shared" si="129"/>
        <v>0</v>
      </c>
      <c r="SF160" s="294">
        <f t="shared" si="129"/>
        <v>-40500.050000000003</v>
      </c>
      <c r="SG160" s="294">
        <f t="shared" si="129"/>
        <v>-1821</v>
      </c>
      <c r="SH160" s="294">
        <f t="shared" si="129"/>
        <v>-79419.11</v>
      </c>
      <c r="SI160" s="294">
        <f t="shared" si="129"/>
        <v>-907227.68</v>
      </c>
      <c r="SJ160" s="294">
        <f t="shared" si="129"/>
        <v>-31939.13</v>
      </c>
      <c r="SK160" s="294">
        <f t="shared" si="129"/>
        <v>0</v>
      </c>
      <c r="SL160" s="294">
        <f t="shared" si="129"/>
        <v>-35178.410000000003</v>
      </c>
      <c r="SM160" s="294">
        <f t="shared" si="129"/>
        <v>-14431</v>
      </c>
      <c r="SN160" s="294">
        <f t="shared" si="129"/>
        <v>-319438.03000000003</v>
      </c>
      <c r="SO160" s="294">
        <f t="shared" si="129"/>
        <v>-99873.68</v>
      </c>
      <c r="SP160" s="294">
        <f t="shared" si="129"/>
        <v>-18642.5</v>
      </c>
      <c r="SQ160" s="294">
        <f t="shared" si="129"/>
        <v>-62620.04</v>
      </c>
      <c r="SR160" s="294">
        <f t="shared" si="129"/>
        <v>-81386.92</v>
      </c>
      <c r="SS160" s="294">
        <f t="shared" si="129"/>
        <v>-40521.29</v>
      </c>
      <c r="ST160" s="294">
        <f t="shared" si="129"/>
        <v>-112332.07</v>
      </c>
      <c r="SU160" s="294">
        <f t="shared" si="129"/>
        <v>-57025.79</v>
      </c>
      <c r="SV160" s="294">
        <f t="shared" si="129"/>
        <v>-657957.49</v>
      </c>
      <c r="SW160" s="294">
        <f t="shared" ref="SW160:VH160" si="130">SUMIF($A$61:$A$154,$A$123,SW$61:SW$154)*-1</f>
        <v>-30314.15</v>
      </c>
      <c r="SX160" s="294">
        <f t="shared" si="130"/>
        <v>-586648</v>
      </c>
      <c r="SY160" s="294">
        <f t="shared" si="130"/>
        <v>-156861.23000000001</v>
      </c>
      <c r="SZ160" s="294">
        <f t="shared" si="130"/>
        <v>-2589.79</v>
      </c>
      <c r="TA160" s="294">
        <f t="shared" si="130"/>
        <v>-144952.78</v>
      </c>
      <c r="TB160" s="294">
        <f t="shared" si="130"/>
        <v>0</v>
      </c>
      <c r="TC160" s="294">
        <f t="shared" si="130"/>
        <v>-14310</v>
      </c>
      <c r="TD160" s="294">
        <f t="shared" si="130"/>
        <v>-10454.02</v>
      </c>
      <c r="TE160" s="294">
        <f t="shared" si="130"/>
        <v>-52846</v>
      </c>
      <c r="TF160" s="294">
        <f t="shared" si="130"/>
        <v>-26658.33</v>
      </c>
      <c r="TG160" s="294">
        <f t="shared" si="130"/>
        <v>-149253.45000000001</v>
      </c>
      <c r="TH160" s="294">
        <f t="shared" si="130"/>
        <v>-59191.18</v>
      </c>
      <c r="TI160" s="294">
        <f t="shared" si="130"/>
        <v>-33908.67</v>
      </c>
      <c r="TJ160" s="294">
        <f t="shared" si="130"/>
        <v>-182226.84</v>
      </c>
      <c r="TK160" s="294">
        <f t="shared" si="130"/>
        <v>-33293.99</v>
      </c>
      <c r="TL160" s="294">
        <f t="shared" si="130"/>
        <v>0</v>
      </c>
      <c r="TM160" s="294">
        <f t="shared" si="130"/>
        <v>-51082.84</v>
      </c>
      <c r="TN160" s="294">
        <f t="shared" si="130"/>
        <v>-52841.74</v>
      </c>
      <c r="TO160" s="294">
        <f t="shared" si="130"/>
        <v>-21730.6</v>
      </c>
      <c r="TP160" s="294">
        <f t="shared" si="130"/>
        <v>-11204.48</v>
      </c>
      <c r="TQ160" s="294">
        <f t="shared" si="130"/>
        <v>-102114</v>
      </c>
      <c r="TR160" s="294">
        <f t="shared" si="130"/>
        <v>-21280.86</v>
      </c>
      <c r="TS160" s="294">
        <f t="shared" si="130"/>
        <v>-23223</v>
      </c>
      <c r="TT160" s="294">
        <f t="shared" si="130"/>
        <v>-184733.36</v>
      </c>
      <c r="TU160" s="294">
        <f t="shared" si="130"/>
        <v>-8633</v>
      </c>
      <c r="TV160" s="294">
        <f t="shared" si="130"/>
        <v>-20350.490000000002</v>
      </c>
      <c r="TW160" s="294">
        <f t="shared" si="130"/>
        <v>-11314.05</v>
      </c>
      <c r="TX160" s="294">
        <f t="shared" si="130"/>
        <v>-18714.939999999999</v>
      </c>
      <c r="TY160" s="294">
        <f t="shared" si="130"/>
        <v>-26287.82</v>
      </c>
      <c r="TZ160" s="294">
        <f t="shared" si="130"/>
        <v>-239887.98</v>
      </c>
      <c r="UA160" s="294">
        <f t="shared" si="130"/>
        <v>-3657.22</v>
      </c>
      <c r="UB160" s="294">
        <f t="shared" si="130"/>
        <v>-104459.71</v>
      </c>
      <c r="UC160" s="294">
        <f t="shared" si="130"/>
        <v>-178865.76</v>
      </c>
      <c r="UD160" s="294">
        <f t="shared" si="130"/>
        <v>0</v>
      </c>
      <c r="UE160" s="294">
        <f t="shared" si="130"/>
        <v>-202761.60000000001</v>
      </c>
      <c r="UF160" s="294">
        <f t="shared" si="130"/>
        <v>-107434.94</v>
      </c>
      <c r="UG160" s="294">
        <f t="shared" si="130"/>
        <v>0</v>
      </c>
      <c r="UH160" s="294">
        <f t="shared" si="130"/>
        <v>0</v>
      </c>
      <c r="UI160" s="294">
        <f t="shared" si="130"/>
        <v>0</v>
      </c>
      <c r="UJ160" s="294">
        <f t="shared" si="130"/>
        <v>0</v>
      </c>
      <c r="UK160" s="294">
        <f t="shared" si="130"/>
        <v>-80760.92</v>
      </c>
      <c r="UL160" s="294">
        <f t="shared" si="130"/>
        <v>-61087.040000000001</v>
      </c>
      <c r="UM160" s="294">
        <f t="shared" si="130"/>
        <v>-17213.669999999998</v>
      </c>
      <c r="UN160" s="294">
        <f t="shared" si="130"/>
        <v>-16370</v>
      </c>
      <c r="UO160" s="294">
        <f t="shared" si="130"/>
        <v>-18948.650000000001</v>
      </c>
      <c r="UP160" s="294">
        <f t="shared" si="130"/>
        <v>-45711.21</v>
      </c>
      <c r="UQ160" s="294">
        <f t="shared" si="130"/>
        <v>-680</v>
      </c>
      <c r="UR160" s="294">
        <f t="shared" si="130"/>
        <v>-20261</v>
      </c>
      <c r="US160" s="294">
        <f t="shared" si="130"/>
        <v>0</v>
      </c>
      <c r="UT160" s="294">
        <f t="shared" si="130"/>
        <v>-106117.14</v>
      </c>
      <c r="UU160" s="294">
        <f t="shared" si="130"/>
        <v>-1485</v>
      </c>
      <c r="UV160" s="294">
        <f t="shared" si="130"/>
        <v>0</v>
      </c>
      <c r="UW160" s="294">
        <f t="shared" si="130"/>
        <v>-72805.14</v>
      </c>
      <c r="UX160" s="294">
        <f t="shared" si="130"/>
        <v>-4191</v>
      </c>
      <c r="UY160" s="294">
        <f t="shared" si="130"/>
        <v>0</v>
      </c>
      <c r="UZ160" s="294">
        <f t="shared" si="130"/>
        <v>-17470.349999999999</v>
      </c>
      <c r="VA160" s="294">
        <f t="shared" si="130"/>
        <v>-36560</v>
      </c>
      <c r="VB160" s="294">
        <f t="shared" si="130"/>
        <v>-79755.41</v>
      </c>
      <c r="VC160" s="294">
        <f t="shared" si="130"/>
        <v>0</v>
      </c>
      <c r="VD160" s="294">
        <f t="shared" si="130"/>
        <v>-70870.97</v>
      </c>
      <c r="VE160" s="294">
        <f t="shared" si="130"/>
        <v>0</v>
      </c>
      <c r="VF160" s="294">
        <f t="shared" si="130"/>
        <v>-6474.17</v>
      </c>
      <c r="VG160" s="294">
        <f t="shared" si="130"/>
        <v>-24198.11</v>
      </c>
      <c r="VH160" s="294">
        <f t="shared" si="130"/>
        <v>-2008</v>
      </c>
      <c r="VI160" s="294">
        <f t="shared" ref="VI160:XT160" si="131">SUMIF($A$61:$A$154,$A$123,VI$61:VI$154)*-1</f>
        <v>-41547.589999999997</v>
      </c>
      <c r="VJ160" s="294">
        <f t="shared" si="131"/>
        <v>0</v>
      </c>
      <c r="VK160" s="294">
        <f t="shared" si="131"/>
        <v>-12814.77</v>
      </c>
      <c r="VL160" s="294">
        <f t="shared" si="131"/>
        <v>0</v>
      </c>
      <c r="VM160" s="294">
        <f t="shared" si="131"/>
        <v>0</v>
      </c>
      <c r="VN160" s="294">
        <f t="shared" si="131"/>
        <v>-17065</v>
      </c>
      <c r="VO160" s="294">
        <f t="shared" si="131"/>
        <v>0</v>
      </c>
      <c r="VP160" s="294">
        <f t="shared" si="131"/>
        <v>-41757</v>
      </c>
      <c r="VQ160" s="294">
        <f t="shared" si="131"/>
        <v>0</v>
      </c>
      <c r="VR160" s="294">
        <f t="shared" si="131"/>
        <v>-275696</v>
      </c>
      <c r="VS160" s="294">
        <f t="shared" si="131"/>
        <v>-18701.7</v>
      </c>
      <c r="VT160" s="294">
        <f t="shared" si="131"/>
        <v>-23434</v>
      </c>
      <c r="VU160" s="294">
        <f t="shared" si="131"/>
        <v>-23044.5</v>
      </c>
      <c r="VV160" s="294">
        <f t="shared" si="131"/>
        <v>0</v>
      </c>
      <c r="VW160" s="294">
        <f t="shared" si="131"/>
        <v>-13400.25</v>
      </c>
      <c r="VX160" s="294">
        <f t="shared" si="131"/>
        <v>-69100</v>
      </c>
      <c r="VY160" s="294">
        <f t="shared" si="131"/>
        <v>-62790</v>
      </c>
      <c r="VZ160" s="294">
        <f t="shared" si="131"/>
        <v>-10372</v>
      </c>
      <c r="WA160" s="294">
        <f t="shared" si="131"/>
        <v>-10716</v>
      </c>
      <c r="WB160" s="294">
        <f t="shared" si="131"/>
        <v>0</v>
      </c>
      <c r="WC160" s="294">
        <f t="shared" si="131"/>
        <v>-891862.2</v>
      </c>
      <c r="WD160" s="294">
        <f t="shared" si="131"/>
        <v>-1176852</v>
      </c>
      <c r="WE160" s="294">
        <f t="shared" si="131"/>
        <v>0</v>
      </c>
      <c r="WF160" s="294">
        <f t="shared" si="131"/>
        <v>0</v>
      </c>
      <c r="WG160" s="294">
        <f t="shared" si="131"/>
        <v>-51175</v>
      </c>
      <c r="WH160" s="294">
        <f t="shared" si="131"/>
        <v>-321754.44</v>
      </c>
      <c r="WI160" s="294">
        <f t="shared" si="131"/>
        <v>-68481.06</v>
      </c>
      <c r="WJ160" s="294">
        <f t="shared" si="131"/>
        <v>-31863.5</v>
      </c>
      <c r="WK160" s="294">
        <f t="shared" si="131"/>
        <v>-60904</v>
      </c>
      <c r="WL160" s="294">
        <f t="shared" si="131"/>
        <v>-87481.38</v>
      </c>
      <c r="WM160" s="294">
        <f t="shared" si="131"/>
        <v>-82252.259999999995</v>
      </c>
      <c r="WN160" s="294">
        <f t="shared" si="131"/>
        <v>0</v>
      </c>
      <c r="WO160" s="294">
        <f t="shared" si="131"/>
        <v>-646211.64</v>
      </c>
      <c r="WP160" s="294">
        <f t="shared" si="131"/>
        <v>-46242</v>
      </c>
      <c r="WQ160" s="294">
        <f t="shared" si="131"/>
        <v>0</v>
      </c>
      <c r="WR160" s="294">
        <f t="shared" si="131"/>
        <v>0</v>
      </c>
      <c r="WS160" s="294">
        <f t="shared" si="131"/>
        <v>-65077</v>
      </c>
      <c r="WT160" s="294">
        <f t="shared" si="131"/>
        <v>-133827.32999999999</v>
      </c>
      <c r="WU160" s="294">
        <f t="shared" si="131"/>
        <v>-242809.09</v>
      </c>
      <c r="WV160" s="294">
        <f t="shared" si="131"/>
        <v>-39976.35</v>
      </c>
      <c r="WW160" s="294">
        <f t="shared" si="131"/>
        <v>-22633.66</v>
      </c>
      <c r="WX160" s="294">
        <f t="shared" si="131"/>
        <v>-2115</v>
      </c>
      <c r="WY160" s="294">
        <f t="shared" si="131"/>
        <v>22150</v>
      </c>
      <c r="WZ160" s="294">
        <f t="shared" si="131"/>
        <v>-138514.34</v>
      </c>
      <c r="XA160" s="294">
        <f t="shared" si="131"/>
        <v>0</v>
      </c>
      <c r="XB160" s="294">
        <f t="shared" si="131"/>
        <v>0</v>
      </c>
      <c r="XC160" s="294">
        <f t="shared" si="131"/>
        <v>0</v>
      </c>
      <c r="XD160" s="294">
        <f t="shared" si="131"/>
        <v>-109259.18</v>
      </c>
      <c r="XE160" s="294">
        <f t="shared" si="131"/>
        <v>-154131</v>
      </c>
      <c r="XF160" s="294">
        <f t="shared" si="131"/>
        <v>0</v>
      </c>
      <c r="XG160" s="294">
        <f t="shared" si="131"/>
        <v>0</v>
      </c>
      <c r="XH160" s="294">
        <f t="shared" si="131"/>
        <v>-8476.09</v>
      </c>
      <c r="XI160" s="294">
        <f t="shared" si="131"/>
        <v>-1585440.25</v>
      </c>
      <c r="XJ160" s="294">
        <f t="shared" si="131"/>
        <v>0</v>
      </c>
      <c r="XK160" s="294">
        <f t="shared" si="131"/>
        <v>0</v>
      </c>
      <c r="XL160" s="294">
        <f t="shared" si="131"/>
        <v>0</v>
      </c>
      <c r="XM160" s="294">
        <f t="shared" si="131"/>
        <v>0</v>
      </c>
      <c r="XN160" s="294">
        <f t="shared" si="131"/>
        <v>0</v>
      </c>
      <c r="XO160" s="294">
        <f t="shared" si="131"/>
        <v>0</v>
      </c>
      <c r="XP160" s="294">
        <f t="shared" si="131"/>
        <v>0</v>
      </c>
      <c r="XQ160" s="294">
        <f t="shared" si="131"/>
        <v>0</v>
      </c>
      <c r="XR160" s="294">
        <f t="shared" si="131"/>
        <v>0</v>
      </c>
      <c r="XS160" s="294">
        <f t="shared" si="131"/>
        <v>0</v>
      </c>
      <c r="XT160" s="294">
        <f t="shared" si="131"/>
        <v>0</v>
      </c>
      <c r="XU160" s="294">
        <f t="shared" ref="XU160:AAF160" si="132">SUMIF($A$61:$A$154,$A$123,XU$61:XU$154)*-1</f>
        <v>0</v>
      </c>
      <c r="XV160" s="294">
        <f t="shared" si="132"/>
        <v>0</v>
      </c>
      <c r="XW160" s="294">
        <f t="shared" si="132"/>
        <v>0</v>
      </c>
      <c r="XX160" s="294">
        <f t="shared" si="132"/>
        <v>0</v>
      </c>
      <c r="XY160" s="294">
        <f t="shared" si="132"/>
        <v>0</v>
      </c>
      <c r="XZ160" s="294">
        <f t="shared" si="132"/>
        <v>0</v>
      </c>
      <c r="YA160" s="294">
        <f t="shared" si="132"/>
        <v>0</v>
      </c>
      <c r="YB160" s="294">
        <f t="shared" si="132"/>
        <v>0</v>
      </c>
      <c r="YC160" s="294">
        <f t="shared" si="132"/>
        <v>0</v>
      </c>
      <c r="YD160" s="294">
        <f t="shared" si="132"/>
        <v>0</v>
      </c>
      <c r="YE160" s="294">
        <f t="shared" si="132"/>
        <v>0</v>
      </c>
      <c r="YF160" s="294">
        <f t="shared" si="132"/>
        <v>0</v>
      </c>
      <c r="YG160" s="294">
        <f t="shared" si="132"/>
        <v>0</v>
      </c>
      <c r="YH160" s="294">
        <f t="shared" si="132"/>
        <v>0</v>
      </c>
      <c r="YI160" s="294">
        <f t="shared" si="132"/>
        <v>0</v>
      </c>
      <c r="YJ160" s="294">
        <f t="shared" si="132"/>
        <v>0</v>
      </c>
      <c r="YK160" s="294">
        <f t="shared" si="132"/>
        <v>0</v>
      </c>
      <c r="YL160" s="294">
        <f t="shared" si="132"/>
        <v>0</v>
      </c>
      <c r="YM160" s="294">
        <f t="shared" si="132"/>
        <v>0</v>
      </c>
      <c r="YN160" s="294">
        <f t="shared" si="132"/>
        <v>0</v>
      </c>
      <c r="YO160" s="294">
        <f t="shared" si="132"/>
        <v>0</v>
      </c>
      <c r="YP160" s="294">
        <f t="shared" si="132"/>
        <v>0</v>
      </c>
      <c r="YQ160" s="294">
        <f t="shared" si="132"/>
        <v>0</v>
      </c>
      <c r="YR160" s="294">
        <f t="shared" si="132"/>
        <v>0</v>
      </c>
      <c r="YS160" s="294">
        <f t="shared" si="132"/>
        <v>0</v>
      </c>
      <c r="YT160" s="294">
        <f t="shared" si="132"/>
        <v>0</v>
      </c>
      <c r="YU160" s="294">
        <f t="shared" si="132"/>
        <v>0</v>
      </c>
      <c r="YV160" s="294">
        <f t="shared" si="132"/>
        <v>0</v>
      </c>
      <c r="YW160" s="294">
        <f t="shared" si="132"/>
        <v>-189931.9</v>
      </c>
      <c r="YX160" s="294">
        <f t="shared" si="132"/>
        <v>-22872</v>
      </c>
      <c r="YY160" s="294">
        <f t="shared" si="132"/>
        <v>-17545</v>
      </c>
      <c r="YZ160" s="294">
        <f t="shared" si="132"/>
        <v>0</v>
      </c>
      <c r="ZA160" s="294">
        <f t="shared" si="132"/>
        <v>-84464.5</v>
      </c>
      <c r="ZB160" s="294">
        <f t="shared" si="132"/>
        <v>-13176</v>
      </c>
      <c r="ZC160" s="294">
        <f t="shared" si="132"/>
        <v>0</v>
      </c>
      <c r="ZD160" s="294">
        <f t="shared" si="132"/>
        <v>-37873.51</v>
      </c>
      <c r="ZE160" s="294">
        <f t="shared" si="132"/>
        <v>0</v>
      </c>
      <c r="ZF160" s="294">
        <f t="shared" si="132"/>
        <v>0</v>
      </c>
      <c r="ZG160" s="294">
        <f t="shared" si="132"/>
        <v>0</v>
      </c>
      <c r="ZH160" s="294">
        <f t="shared" si="132"/>
        <v>0</v>
      </c>
      <c r="ZI160" s="294">
        <f t="shared" si="132"/>
        <v>0</v>
      </c>
      <c r="ZJ160" s="294">
        <f t="shared" si="132"/>
        <v>0</v>
      </c>
      <c r="ZK160" s="294">
        <f t="shared" si="132"/>
        <v>0</v>
      </c>
      <c r="ZL160" s="294">
        <f t="shared" si="132"/>
        <v>0</v>
      </c>
      <c r="ZM160" s="294">
        <f t="shared" si="132"/>
        <v>-895319.03</v>
      </c>
      <c r="ZN160" s="294">
        <f t="shared" si="132"/>
        <v>0</v>
      </c>
      <c r="ZO160" s="294">
        <f t="shared" si="132"/>
        <v>-33818</v>
      </c>
      <c r="ZP160" s="294">
        <f t="shared" si="132"/>
        <v>0</v>
      </c>
      <c r="ZQ160" s="294">
        <f t="shared" si="132"/>
        <v>0</v>
      </c>
      <c r="ZR160" s="294">
        <f t="shared" si="132"/>
        <v>0</v>
      </c>
      <c r="ZS160" s="294">
        <f t="shared" si="132"/>
        <v>0</v>
      </c>
      <c r="ZT160" s="294">
        <f t="shared" si="132"/>
        <v>0</v>
      </c>
      <c r="ZU160" s="294">
        <f t="shared" si="132"/>
        <v>-2040</v>
      </c>
      <c r="ZV160" s="294">
        <f t="shared" si="132"/>
        <v>-3286</v>
      </c>
      <c r="ZW160" s="294">
        <f t="shared" si="132"/>
        <v>0</v>
      </c>
      <c r="ZX160" s="294">
        <f t="shared" si="132"/>
        <v>0</v>
      </c>
      <c r="ZY160" s="294">
        <f t="shared" si="132"/>
        <v>0</v>
      </c>
      <c r="ZZ160" s="294">
        <f t="shared" si="132"/>
        <v>-3950.91</v>
      </c>
      <c r="AAA160" s="294">
        <f t="shared" si="132"/>
        <v>0</v>
      </c>
      <c r="AAB160" s="294">
        <f t="shared" si="132"/>
        <v>0</v>
      </c>
      <c r="AAC160" s="294">
        <f t="shared" si="132"/>
        <v>0</v>
      </c>
      <c r="AAD160" s="294">
        <f t="shared" si="132"/>
        <v>0</v>
      </c>
      <c r="AAE160" s="294">
        <f t="shared" si="132"/>
        <v>-2558</v>
      </c>
      <c r="AAF160" s="294">
        <f t="shared" si="132"/>
        <v>0</v>
      </c>
      <c r="AAG160" s="294">
        <f t="shared" ref="AAG160:ACR160" si="133">SUMIF($A$61:$A$154,$A$123,AAG$61:AAG$154)*-1</f>
        <v>-11882</v>
      </c>
      <c r="AAH160" s="294">
        <f t="shared" si="133"/>
        <v>0</v>
      </c>
      <c r="AAI160" s="294">
        <f t="shared" si="133"/>
        <v>0</v>
      </c>
      <c r="AAJ160" s="294">
        <f t="shared" si="133"/>
        <v>0</v>
      </c>
      <c r="AAK160" s="294">
        <f t="shared" si="133"/>
        <v>0</v>
      </c>
      <c r="AAL160" s="294">
        <f t="shared" si="133"/>
        <v>0</v>
      </c>
      <c r="AAM160" s="294">
        <f t="shared" si="133"/>
        <v>0</v>
      </c>
      <c r="AAN160" s="294">
        <f t="shared" si="133"/>
        <v>0</v>
      </c>
      <c r="AAO160" s="294">
        <f t="shared" si="133"/>
        <v>-1569</v>
      </c>
      <c r="AAP160" s="294">
        <f t="shared" si="133"/>
        <v>-1200</v>
      </c>
      <c r="AAQ160" s="294">
        <f t="shared" si="133"/>
        <v>-61100</v>
      </c>
      <c r="AAR160" s="294">
        <f t="shared" si="133"/>
        <v>0</v>
      </c>
      <c r="AAS160" s="294">
        <f t="shared" si="133"/>
        <v>0</v>
      </c>
      <c r="AAT160" s="294">
        <f t="shared" si="133"/>
        <v>0</v>
      </c>
      <c r="AAU160" s="294">
        <f t="shared" si="133"/>
        <v>0</v>
      </c>
      <c r="AAV160" s="294">
        <f t="shared" si="133"/>
        <v>0</v>
      </c>
      <c r="AAW160" s="294">
        <f t="shared" si="133"/>
        <v>0</v>
      </c>
      <c r="AAX160" s="294">
        <f t="shared" si="133"/>
        <v>0</v>
      </c>
      <c r="AAY160" s="294">
        <f t="shared" si="133"/>
        <v>0</v>
      </c>
      <c r="AAZ160" s="294">
        <f t="shared" si="133"/>
        <v>0</v>
      </c>
      <c r="ABA160" s="294">
        <f t="shared" si="133"/>
        <v>-148090</v>
      </c>
      <c r="ABB160" s="294">
        <f t="shared" si="133"/>
        <v>-5500</v>
      </c>
      <c r="ABC160" s="294">
        <f t="shared" si="133"/>
        <v>0</v>
      </c>
      <c r="ABD160" s="294">
        <f t="shared" si="133"/>
        <v>0</v>
      </c>
      <c r="ABE160" s="294">
        <f t="shared" si="133"/>
        <v>0</v>
      </c>
      <c r="ABF160" s="294">
        <f t="shared" si="133"/>
        <v>-9920</v>
      </c>
      <c r="ABG160" s="294">
        <f t="shared" si="133"/>
        <v>0</v>
      </c>
      <c r="ABH160" s="294">
        <f t="shared" si="133"/>
        <v>0</v>
      </c>
      <c r="ABI160" s="294">
        <f t="shared" si="133"/>
        <v>-1086</v>
      </c>
      <c r="ABJ160" s="294">
        <f t="shared" si="133"/>
        <v>-13710</v>
      </c>
      <c r="ABK160" s="294">
        <f t="shared" si="133"/>
        <v>-500</v>
      </c>
      <c r="ABL160" s="294">
        <f t="shared" si="133"/>
        <v>0</v>
      </c>
      <c r="ABM160" s="294">
        <f t="shared" si="133"/>
        <v>0</v>
      </c>
      <c r="ABN160" s="294">
        <f t="shared" si="133"/>
        <v>-1000</v>
      </c>
      <c r="ABO160" s="294">
        <f t="shared" si="133"/>
        <v>0</v>
      </c>
      <c r="ABP160" s="294">
        <f t="shared" si="133"/>
        <v>0</v>
      </c>
      <c r="ABQ160" s="294">
        <f t="shared" si="133"/>
        <v>-1302922.74</v>
      </c>
      <c r="ABR160" s="294">
        <f t="shared" si="133"/>
        <v>-484023.5</v>
      </c>
      <c r="ABS160" s="294">
        <f t="shared" si="133"/>
        <v>-1305635.3999999999</v>
      </c>
      <c r="ABT160" s="294">
        <f t="shared" si="133"/>
        <v>-991295.2</v>
      </c>
      <c r="ABU160" s="294">
        <f t="shared" si="133"/>
        <v>-256852</v>
      </c>
      <c r="ABV160" s="294">
        <f t="shared" si="133"/>
        <v>-407651.64</v>
      </c>
      <c r="ABW160" s="294">
        <f t="shared" si="133"/>
        <v>-565704.07999999996</v>
      </c>
      <c r="ABX160" s="294">
        <f t="shared" si="133"/>
        <v>0</v>
      </c>
      <c r="ABY160" s="294">
        <f t="shared" si="133"/>
        <v>-1158678</v>
      </c>
      <c r="ABZ160" s="294">
        <f t="shared" si="133"/>
        <v>-6522516.2300000004</v>
      </c>
      <c r="ACA160" s="294">
        <f t="shared" si="133"/>
        <v>-3935703.93</v>
      </c>
      <c r="ACB160" s="294">
        <f t="shared" si="133"/>
        <v>-1241877.8400000001</v>
      </c>
      <c r="ACC160" s="294">
        <f t="shared" si="133"/>
        <v>-2893762.25</v>
      </c>
      <c r="ACD160" s="294">
        <f t="shared" si="133"/>
        <v>-3033257.3</v>
      </c>
      <c r="ACE160" s="294">
        <f t="shared" si="133"/>
        <v>-1011133.26</v>
      </c>
      <c r="ACF160" s="294">
        <f t="shared" si="133"/>
        <v>-600161.43000000005</v>
      </c>
      <c r="ACG160" s="294">
        <f t="shared" si="133"/>
        <v>-857622.83</v>
      </c>
      <c r="ACH160" s="294">
        <f t="shared" si="133"/>
        <v>-3198485.93</v>
      </c>
      <c r="ACI160" s="294">
        <f t="shared" si="133"/>
        <v>-3383940</v>
      </c>
      <c r="ACJ160" s="294">
        <f t="shared" si="133"/>
        <v>-1283478.51</v>
      </c>
      <c r="ACK160" s="294">
        <f t="shared" si="133"/>
        <v>0</v>
      </c>
      <c r="ACL160" s="294">
        <f t="shared" si="133"/>
        <v>-123908</v>
      </c>
      <c r="ACM160" s="294">
        <f t="shared" si="133"/>
        <v>-288578.89</v>
      </c>
      <c r="ACN160" s="294">
        <f t="shared" si="133"/>
        <v>-175470.75</v>
      </c>
      <c r="ACO160" s="294">
        <f t="shared" si="133"/>
        <v>0</v>
      </c>
      <c r="ACP160" s="294">
        <f t="shared" si="133"/>
        <v>0</v>
      </c>
      <c r="ACQ160" s="294">
        <f t="shared" si="133"/>
        <v>-5762775.75</v>
      </c>
      <c r="ACR160" s="294">
        <f t="shared" si="133"/>
        <v>0</v>
      </c>
      <c r="ACS160" s="294">
        <f t="shared" ref="ACS160:AFD160" si="134">SUMIF($A$61:$A$154,$A$123,ACS$61:ACS$154)*-1</f>
        <v>-295595</v>
      </c>
      <c r="ACT160" s="294">
        <f t="shared" si="134"/>
        <v>-1949052.42</v>
      </c>
      <c r="ACU160" s="294">
        <f t="shared" si="134"/>
        <v>-52997</v>
      </c>
      <c r="ACV160" s="294">
        <f t="shared" si="134"/>
        <v>-3452</v>
      </c>
      <c r="ACW160" s="294">
        <f t="shared" si="134"/>
        <v>-376211.33</v>
      </c>
      <c r="ACX160" s="294">
        <f t="shared" si="134"/>
        <v>-893605.5</v>
      </c>
      <c r="ACY160" s="294">
        <f t="shared" si="134"/>
        <v>-157722.5</v>
      </c>
      <c r="ACZ160" s="294">
        <f t="shared" si="134"/>
        <v>-826814.19</v>
      </c>
      <c r="ADA160" s="294">
        <f t="shared" si="134"/>
        <v>-232084.23</v>
      </c>
      <c r="ADB160" s="294">
        <f t="shared" si="134"/>
        <v>-8508</v>
      </c>
      <c r="ADC160" s="294">
        <f t="shared" si="134"/>
        <v>0</v>
      </c>
      <c r="ADD160" s="294">
        <f t="shared" si="134"/>
        <v>0</v>
      </c>
      <c r="ADE160" s="294">
        <f t="shared" si="134"/>
        <v>0</v>
      </c>
      <c r="ADF160" s="294">
        <f t="shared" si="134"/>
        <v>0</v>
      </c>
      <c r="ADG160" s="294">
        <f t="shared" si="134"/>
        <v>0</v>
      </c>
      <c r="ADH160" s="294">
        <f t="shared" si="134"/>
        <v>-7064364.1900000004</v>
      </c>
      <c r="ADI160" s="294">
        <f t="shared" si="134"/>
        <v>0</v>
      </c>
      <c r="ADJ160" s="294">
        <f t="shared" si="134"/>
        <v>-432230</v>
      </c>
      <c r="ADK160" s="294">
        <f t="shared" si="134"/>
        <v>0</v>
      </c>
      <c r="ADL160" s="294">
        <f t="shared" si="134"/>
        <v>-178000</v>
      </c>
      <c r="ADM160" s="294">
        <f t="shared" si="134"/>
        <v>-933900</v>
      </c>
      <c r="ADN160" s="294">
        <f t="shared" si="134"/>
        <v>0</v>
      </c>
      <c r="ADO160" s="294">
        <f t="shared" si="134"/>
        <v>0</v>
      </c>
      <c r="ADP160" s="294">
        <f t="shared" si="134"/>
        <v>-14411972.029999999</v>
      </c>
      <c r="ADQ160" s="294">
        <f t="shared" si="134"/>
        <v>-3471907.99</v>
      </c>
      <c r="ADR160" s="294">
        <f t="shared" si="134"/>
        <v>-2499386</v>
      </c>
      <c r="ADS160" s="294">
        <f t="shared" si="134"/>
        <v>-276382</v>
      </c>
      <c r="ADT160" s="294">
        <f t="shared" si="134"/>
        <v>0</v>
      </c>
      <c r="ADU160" s="294">
        <f t="shared" si="134"/>
        <v>-219340.76</v>
      </c>
      <c r="ADV160" s="294">
        <f t="shared" si="134"/>
        <v>-955797.1</v>
      </c>
      <c r="ADW160" s="294">
        <f t="shared" si="134"/>
        <v>-573571</v>
      </c>
      <c r="ADX160" s="294">
        <f t="shared" si="134"/>
        <v>-42659.75</v>
      </c>
      <c r="ADY160" s="294">
        <f t="shared" si="134"/>
        <v>-262522</v>
      </c>
      <c r="ADZ160" s="294">
        <f t="shared" si="134"/>
        <v>-1138490.31</v>
      </c>
      <c r="AEA160" s="294">
        <f t="shared" si="134"/>
        <v>0</v>
      </c>
      <c r="AEB160" s="294">
        <f t="shared" si="134"/>
        <v>-956992</v>
      </c>
      <c r="AEC160" s="294">
        <f t="shared" si="134"/>
        <v>-1227290.3799999999</v>
      </c>
      <c r="AED160" s="294">
        <f t="shared" si="134"/>
        <v>0</v>
      </c>
      <c r="AEE160" s="294">
        <f t="shared" si="134"/>
        <v>0</v>
      </c>
      <c r="AEF160" s="294">
        <f t="shared" si="134"/>
        <v>-289603.28000000003</v>
      </c>
      <c r="AEG160" s="294">
        <f t="shared" si="134"/>
        <v>-1182011.53</v>
      </c>
      <c r="AEH160" s="294">
        <f t="shared" si="134"/>
        <v>-2419.7199999999998</v>
      </c>
      <c r="AEI160" s="294">
        <f t="shared" si="134"/>
        <v>-798366.49</v>
      </c>
      <c r="AEJ160" s="294">
        <f t="shared" si="134"/>
        <v>-65254.5</v>
      </c>
      <c r="AEK160" s="294">
        <f t="shared" si="134"/>
        <v>0</v>
      </c>
      <c r="AEL160" s="294">
        <f t="shared" si="134"/>
        <v>-446004.06</v>
      </c>
      <c r="AEM160" s="294">
        <f t="shared" si="134"/>
        <v>-632519.1</v>
      </c>
      <c r="AEN160" s="294">
        <f t="shared" si="134"/>
        <v>-902330.05</v>
      </c>
      <c r="AEO160" s="294">
        <f t="shared" si="134"/>
        <v>-864878.62</v>
      </c>
      <c r="AEP160" s="294">
        <f t="shared" si="134"/>
        <v>-575115.75</v>
      </c>
      <c r="AEQ160" s="294">
        <f t="shared" si="134"/>
        <v>-1212095.6200000001</v>
      </c>
      <c r="AER160" s="294">
        <f t="shared" si="134"/>
        <v>-660700.15</v>
      </c>
      <c r="AES160" s="294">
        <f t="shared" si="134"/>
        <v>-1037933.5</v>
      </c>
      <c r="AET160" s="294">
        <f t="shared" si="134"/>
        <v>-59915.71</v>
      </c>
      <c r="AEU160" s="294">
        <f t="shared" si="134"/>
        <v>-2093264.84</v>
      </c>
      <c r="AEV160" s="294">
        <f t="shared" si="134"/>
        <v>-414164.5</v>
      </c>
      <c r="AEW160" s="294">
        <f t="shared" si="134"/>
        <v>-11467.7</v>
      </c>
      <c r="AEX160" s="294">
        <f t="shared" si="134"/>
        <v>-412957.71</v>
      </c>
      <c r="AEY160" s="294">
        <f t="shared" si="134"/>
        <v>0</v>
      </c>
      <c r="AEZ160" s="294">
        <f t="shared" si="134"/>
        <v>-238614.39999999999</v>
      </c>
      <c r="AFA160" s="294">
        <f t="shared" si="134"/>
        <v>-50138</v>
      </c>
      <c r="AFB160" s="294">
        <f t="shared" si="134"/>
        <v>-380763.4</v>
      </c>
      <c r="AFC160" s="294">
        <f t="shared" si="134"/>
        <v>-7820</v>
      </c>
      <c r="AFD160" s="294">
        <f t="shared" si="134"/>
        <v>-218709</v>
      </c>
      <c r="AFE160" s="294">
        <f t="shared" ref="AFE160:AHP160" si="135">SUMIF($A$61:$A$154,$A$123,AFE$61:AFE$154)*-1</f>
        <v>-11996</v>
      </c>
      <c r="AFF160" s="294">
        <f t="shared" si="135"/>
        <v>-66322</v>
      </c>
      <c r="AFG160" s="294">
        <f t="shared" si="135"/>
        <v>-5356</v>
      </c>
      <c r="AFH160" s="294">
        <f t="shared" si="135"/>
        <v>0</v>
      </c>
      <c r="AFI160" s="294">
        <f t="shared" si="135"/>
        <v>0</v>
      </c>
      <c r="AFJ160" s="294">
        <f t="shared" si="135"/>
        <v>0</v>
      </c>
      <c r="AFK160" s="294">
        <f t="shared" si="135"/>
        <v>0</v>
      </c>
      <c r="AFL160" s="294">
        <f t="shared" si="135"/>
        <v>-1328</v>
      </c>
      <c r="AFM160" s="294">
        <f t="shared" si="135"/>
        <v>0</v>
      </c>
      <c r="AFN160" s="294">
        <f t="shared" si="135"/>
        <v>0</v>
      </c>
      <c r="AFO160" s="294">
        <f t="shared" si="135"/>
        <v>0</v>
      </c>
      <c r="AFP160" s="294">
        <f t="shared" si="135"/>
        <v>-24524</v>
      </c>
      <c r="AFQ160" s="294">
        <f t="shared" si="135"/>
        <v>0</v>
      </c>
      <c r="AFR160" s="294">
        <f t="shared" si="135"/>
        <v>0</v>
      </c>
      <c r="AFS160" s="294">
        <f t="shared" si="135"/>
        <v>-163892</v>
      </c>
      <c r="AFT160" s="294">
        <f t="shared" si="135"/>
        <v>0</v>
      </c>
      <c r="AFU160" s="294">
        <f t="shared" si="135"/>
        <v>0</v>
      </c>
      <c r="AFV160" s="294">
        <f t="shared" si="135"/>
        <v>0</v>
      </c>
      <c r="AFW160" s="294">
        <f t="shared" si="135"/>
        <v>0</v>
      </c>
      <c r="AFX160" s="294">
        <f t="shared" si="135"/>
        <v>-221588</v>
      </c>
      <c r="AFY160" s="294">
        <f t="shared" si="135"/>
        <v>0</v>
      </c>
      <c r="AFZ160" s="294">
        <f t="shared" si="135"/>
        <v>0</v>
      </c>
      <c r="AGA160" s="294">
        <f t="shared" si="135"/>
        <v>-114881</v>
      </c>
      <c r="AGB160" s="294">
        <f t="shared" si="135"/>
        <v>0</v>
      </c>
      <c r="AGC160" s="294">
        <f t="shared" si="135"/>
        <v>0</v>
      </c>
      <c r="AGD160" s="294">
        <f t="shared" si="135"/>
        <v>0</v>
      </c>
      <c r="AGE160" s="294">
        <f t="shared" si="135"/>
        <v>0</v>
      </c>
      <c r="AGF160" s="294">
        <f t="shared" si="135"/>
        <v>0</v>
      </c>
      <c r="AGG160" s="294">
        <f t="shared" si="135"/>
        <v>0</v>
      </c>
      <c r="AGH160" s="294">
        <f t="shared" si="135"/>
        <v>0</v>
      </c>
      <c r="AGI160" s="294">
        <f t="shared" si="135"/>
        <v>0</v>
      </c>
      <c r="AGJ160" s="294">
        <f t="shared" si="135"/>
        <v>0</v>
      </c>
      <c r="AGK160" s="294">
        <f t="shared" si="135"/>
        <v>0</v>
      </c>
      <c r="AGL160" s="294">
        <f t="shared" si="135"/>
        <v>-1649.75</v>
      </c>
      <c r="AGM160" s="294">
        <f t="shared" si="135"/>
        <v>0</v>
      </c>
      <c r="AGN160" s="294">
        <f t="shared" si="135"/>
        <v>-1632599.66</v>
      </c>
      <c r="AGO160" s="294">
        <f t="shared" si="135"/>
        <v>-300933</v>
      </c>
      <c r="AGP160" s="294">
        <f t="shared" si="135"/>
        <v>0</v>
      </c>
      <c r="AGQ160" s="294">
        <f t="shared" si="135"/>
        <v>0</v>
      </c>
      <c r="AGR160" s="294">
        <f t="shared" si="135"/>
        <v>0</v>
      </c>
      <c r="AGS160" s="294">
        <f t="shared" si="135"/>
        <v>0</v>
      </c>
      <c r="AGT160" s="294">
        <f t="shared" si="135"/>
        <v>0</v>
      </c>
      <c r="AGU160" s="294">
        <f t="shared" si="135"/>
        <v>0</v>
      </c>
      <c r="AGV160" s="294">
        <f t="shared" si="135"/>
        <v>0</v>
      </c>
      <c r="AGW160" s="294">
        <f t="shared" si="135"/>
        <v>0</v>
      </c>
      <c r="AGX160" s="294">
        <f t="shared" si="135"/>
        <v>-58894</v>
      </c>
      <c r="AGY160" s="294">
        <f t="shared" si="135"/>
        <v>-51378.03</v>
      </c>
      <c r="AGZ160" s="294">
        <f t="shared" si="135"/>
        <v>-374393.68</v>
      </c>
      <c r="AHA160" s="294">
        <f t="shared" si="135"/>
        <v>-379647</v>
      </c>
      <c r="AHB160" s="294">
        <f t="shared" si="135"/>
        <v>0</v>
      </c>
      <c r="AHC160" s="294">
        <f t="shared" si="135"/>
        <v>-192204.3</v>
      </c>
      <c r="AHD160" s="294">
        <f t="shared" si="135"/>
        <v>-7884</v>
      </c>
      <c r="AHE160" s="294">
        <f t="shared" si="135"/>
        <v>-22646.5</v>
      </c>
      <c r="AHF160" s="294">
        <f t="shared" si="135"/>
        <v>-4246128</v>
      </c>
      <c r="AHG160" s="294">
        <f t="shared" si="135"/>
        <v>-174943.09</v>
      </c>
      <c r="AHH160" s="294">
        <f t="shared" si="135"/>
        <v>-10231</v>
      </c>
      <c r="AHI160" s="294">
        <f t="shared" si="135"/>
        <v>-1033205.83</v>
      </c>
      <c r="AHJ160" s="294">
        <f t="shared" si="135"/>
        <v>-408815.95</v>
      </c>
      <c r="AHK160" s="294">
        <f t="shared" si="135"/>
        <v>-1717258.67</v>
      </c>
      <c r="AHL160" s="294">
        <f t="shared" si="135"/>
        <v>-493654.09</v>
      </c>
      <c r="AHM160" s="294">
        <f t="shared" si="135"/>
        <v>0</v>
      </c>
      <c r="AHN160" s="294">
        <f t="shared" si="135"/>
        <v>-15559</v>
      </c>
      <c r="AHO160" s="294">
        <f t="shared" si="135"/>
        <v>-12889.86</v>
      </c>
      <c r="AHP160" s="294">
        <f t="shared" si="135"/>
        <v>-53004</v>
      </c>
      <c r="AHQ160" s="294">
        <f t="shared" ref="AHQ160:AHT160" si="136">SUMIF($A$61:$A$154,$A$123,AHQ$61:AHQ$154)*-1</f>
        <v>-1068492.83</v>
      </c>
      <c r="AHR160" s="294">
        <f t="shared" si="136"/>
        <v>-65235.05</v>
      </c>
      <c r="AHS160" s="294">
        <f t="shared" si="136"/>
        <v>-62896</v>
      </c>
      <c r="AHT160" s="294">
        <f t="shared" si="136"/>
        <v>-569600005.27999985</v>
      </c>
    </row>
    <row r="161" spans="2:905" ht="27" x14ac:dyDescent="0.75">
      <c r="B161" s="594" t="s">
        <v>6284</v>
      </c>
      <c r="C161" s="595" t="s">
        <v>6276</v>
      </c>
      <c r="D161" s="294">
        <f>SUMIF($A$61:$A$154,$A$139,D$61:D$154)*-1</f>
        <v>-17606753.140000001</v>
      </c>
      <c r="E161" s="294">
        <f t="shared" ref="E161:BP161" si="137">SUMIF($A$61:$A$154,$A$139,E$61:E$154)*-1</f>
        <v>0</v>
      </c>
      <c r="F161" s="294">
        <f t="shared" si="137"/>
        <v>0</v>
      </c>
      <c r="G161" s="294">
        <f t="shared" si="137"/>
        <v>0</v>
      </c>
      <c r="H161" s="294">
        <f t="shared" si="137"/>
        <v>0</v>
      </c>
      <c r="I161" s="294">
        <f t="shared" si="137"/>
        <v>0</v>
      </c>
      <c r="J161" s="294">
        <f t="shared" si="137"/>
        <v>0</v>
      </c>
      <c r="K161" s="294">
        <f t="shared" si="137"/>
        <v>0</v>
      </c>
      <c r="L161" s="294">
        <f t="shared" si="137"/>
        <v>0</v>
      </c>
      <c r="M161" s="294">
        <f t="shared" si="137"/>
        <v>0</v>
      </c>
      <c r="N161" s="294">
        <f t="shared" si="137"/>
        <v>0</v>
      </c>
      <c r="O161" s="294">
        <f t="shared" si="137"/>
        <v>0</v>
      </c>
      <c r="P161" s="294">
        <f t="shared" si="137"/>
        <v>0</v>
      </c>
      <c r="Q161" s="294">
        <f t="shared" si="137"/>
        <v>0</v>
      </c>
      <c r="R161" s="294">
        <f t="shared" si="137"/>
        <v>0</v>
      </c>
      <c r="S161" s="294">
        <f t="shared" si="137"/>
        <v>0</v>
      </c>
      <c r="T161" s="294">
        <f t="shared" si="137"/>
        <v>0</v>
      </c>
      <c r="U161" s="294">
        <f t="shared" si="137"/>
        <v>0</v>
      </c>
      <c r="V161" s="294">
        <f t="shared" si="137"/>
        <v>-52051472.020000003</v>
      </c>
      <c r="W161" s="294">
        <f t="shared" si="137"/>
        <v>0</v>
      </c>
      <c r="X161" s="294">
        <f t="shared" si="137"/>
        <v>0</v>
      </c>
      <c r="Y161" s="294">
        <f t="shared" si="137"/>
        <v>0</v>
      </c>
      <c r="Z161" s="294">
        <f t="shared" si="137"/>
        <v>0</v>
      </c>
      <c r="AA161" s="294">
        <f t="shared" si="137"/>
        <v>0</v>
      </c>
      <c r="AB161" s="294">
        <f t="shared" si="137"/>
        <v>0</v>
      </c>
      <c r="AC161" s="294">
        <f t="shared" si="137"/>
        <v>0</v>
      </c>
      <c r="AD161" s="294">
        <f t="shared" si="137"/>
        <v>0</v>
      </c>
      <c r="AE161" s="294">
        <f t="shared" si="137"/>
        <v>0</v>
      </c>
      <c r="AF161" s="294">
        <f t="shared" si="137"/>
        <v>-10476733.75</v>
      </c>
      <c r="AG161" s="294">
        <f t="shared" si="137"/>
        <v>0</v>
      </c>
      <c r="AH161" s="294">
        <f t="shared" si="137"/>
        <v>0</v>
      </c>
      <c r="AI161" s="294">
        <f t="shared" si="137"/>
        <v>0</v>
      </c>
      <c r="AJ161" s="294">
        <f t="shared" si="137"/>
        <v>0</v>
      </c>
      <c r="AK161" s="294">
        <f t="shared" si="137"/>
        <v>0</v>
      </c>
      <c r="AL161" s="294">
        <f t="shared" si="137"/>
        <v>0</v>
      </c>
      <c r="AM161" s="294">
        <f t="shared" si="137"/>
        <v>0</v>
      </c>
      <c r="AN161" s="294">
        <f t="shared" si="137"/>
        <v>0</v>
      </c>
      <c r="AO161" s="294">
        <f t="shared" si="137"/>
        <v>0</v>
      </c>
      <c r="AP161" s="294">
        <f t="shared" si="137"/>
        <v>0</v>
      </c>
      <c r="AQ161" s="294">
        <f t="shared" si="137"/>
        <v>0</v>
      </c>
      <c r="AR161" s="294">
        <f t="shared" si="137"/>
        <v>0</v>
      </c>
      <c r="AS161" s="294">
        <f t="shared" si="137"/>
        <v>0</v>
      </c>
      <c r="AT161" s="294">
        <f t="shared" si="137"/>
        <v>-7755009.0499999998</v>
      </c>
      <c r="AU161" s="294">
        <f t="shared" si="137"/>
        <v>0</v>
      </c>
      <c r="AV161" s="294">
        <f t="shared" si="137"/>
        <v>0</v>
      </c>
      <c r="AW161" s="294">
        <f t="shared" si="137"/>
        <v>0</v>
      </c>
      <c r="AX161" s="294">
        <f t="shared" si="137"/>
        <v>0</v>
      </c>
      <c r="AY161" s="294">
        <f t="shared" si="137"/>
        <v>0</v>
      </c>
      <c r="AZ161" s="294">
        <f t="shared" si="137"/>
        <v>0</v>
      </c>
      <c r="BA161" s="294">
        <f t="shared" si="137"/>
        <v>0</v>
      </c>
      <c r="BB161" s="294">
        <f t="shared" si="137"/>
        <v>0</v>
      </c>
      <c r="BC161" s="294">
        <f t="shared" si="137"/>
        <v>0</v>
      </c>
      <c r="BD161" s="294">
        <f t="shared" si="137"/>
        <v>0</v>
      </c>
      <c r="BE161" s="294">
        <f t="shared" si="137"/>
        <v>0</v>
      </c>
      <c r="BF161" s="294">
        <f t="shared" si="137"/>
        <v>0</v>
      </c>
      <c r="BG161" s="294">
        <f t="shared" si="137"/>
        <v>0</v>
      </c>
      <c r="BH161" s="294">
        <f t="shared" si="137"/>
        <v>0</v>
      </c>
      <c r="BI161" s="294">
        <f t="shared" si="137"/>
        <v>-13704931.279999999</v>
      </c>
      <c r="BJ161" s="294">
        <f t="shared" si="137"/>
        <v>-1393046.19</v>
      </c>
      <c r="BK161" s="294">
        <f t="shared" si="137"/>
        <v>0</v>
      </c>
      <c r="BL161" s="294">
        <f t="shared" si="137"/>
        <v>0</v>
      </c>
      <c r="BM161" s="294">
        <f t="shared" si="137"/>
        <v>0</v>
      </c>
      <c r="BN161" s="294">
        <f t="shared" si="137"/>
        <v>0</v>
      </c>
      <c r="BO161" s="294">
        <f t="shared" si="137"/>
        <v>0</v>
      </c>
      <c r="BP161" s="294">
        <f t="shared" si="137"/>
        <v>0</v>
      </c>
      <c r="BQ161" s="294">
        <f t="shared" ref="BQ161:EB161" si="138">SUMIF($A$61:$A$154,$A$139,BQ$61:BQ$154)*-1</f>
        <v>0</v>
      </c>
      <c r="BR161" s="294">
        <f t="shared" si="138"/>
        <v>-4867046.25</v>
      </c>
      <c r="BS161" s="294">
        <f t="shared" si="138"/>
        <v>0</v>
      </c>
      <c r="BT161" s="294">
        <f t="shared" si="138"/>
        <v>0</v>
      </c>
      <c r="BU161" s="294">
        <f t="shared" si="138"/>
        <v>0</v>
      </c>
      <c r="BV161" s="294">
        <f t="shared" si="138"/>
        <v>0</v>
      </c>
      <c r="BW161" s="294">
        <f t="shared" si="138"/>
        <v>0</v>
      </c>
      <c r="BX161" s="294">
        <f t="shared" si="138"/>
        <v>0</v>
      </c>
      <c r="BY161" s="294">
        <f t="shared" si="138"/>
        <v>0</v>
      </c>
      <c r="BZ161" s="294">
        <f t="shared" si="138"/>
        <v>-3818616.78</v>
      </c>
      <c r="CA161" s="294">
        <f t="shared" si="138"/>
        <v>0</v>
      </c>
      <c r="CB161" s="294">
        <f t="shared" si="138"/>
        <v>0</v>
      </c>
      <c r="CC161" s="294">
        <f t="shared" si="138"/>
        <v>0</v>
      </c>
      <c r="CD161" s="294">
        <f t="shared" si="138"/>
        <v>0</v>
      </c>
      <c r="CE161" s="294">
        <f t="shared" si="138"/>
        <v>0</v>
      </c>
      <c r="CF161" s="294">
        <f t="shared" si="138"/>
        <v>0</v>
      </c>
      <c r="CG161" s="294">
        <f t="shared" si="138"/>
        <v>-16770883.74</v>
      </c>
      <c r="CH161" s="294">
        <f t="shared" si="138"/>
        <v>0</v>
      </c>
      <c r="CI161" s="294">
        <f t="shared" si="138"/>
        <v>0</v>
      </c>
      <c r="CJ161" s="294">
        <f t="shared" si="138"/>
        <v>0</v>
      </c>
      <c r="CK161" s="294">
        <f t="shared" si="138"/>
        <v>0</v>
      </c>
      <c r="CL161" s="294">
        <f t="shared" si="138"/>
        <v>0</v>
      </c>
      <c r="CM161" s="294">
        <f t="shared" si="138"/>
        <v>0</v>
      </c>
      <c r="CN161" s="294">
        <f t="shared" si="138"/>
        <v>0</v>
      </c>
      <c r="CO161" s="294">
        <f t="shared" si="138"/>
        <v>0</v>
      </c>
      <c r="CP161" s="294">
        <f t="shared" si="138"/>
        <v>0</v>
      </c>
      <c r="CQ161" s="294">
        <f t="shared" si="138"/>
        <v>0</v>
      </c>
      <c r="CR161" s="294">
        <f t="shared" si="138"/>
        <v>0</v>
      </c>
      <c r="CS161" s="294">
        <f t="shared" si="138"/>
        <v>0</v>
      </c>
      <c r="CT161" s="294">
        <f t="shared" si="138"/>
        <v>-38930270.950000003</v>
      </c>
      <c r="CU161" s="294">
        <f t="shared" si="138"/>
        <v>0</v>
      </c>
      <c r="CV161" s="294">
        <f t="shared" si="138"/>
        <v>0</v>
      </c>
      <c r="CW161" s="294">
        <f t="shared" si="138"/>
        <v>0</v>
      </c>
      <c r="CX161" s="294">
        <f t="shared" si="138"/>
        <v>0</v>
      </c>
      <c r="CY161" s="294">
        <f t="shared" si="138"/>
        <v>0</v>
      </c>
      <c r="CZ161" s="294">
        <f t="shared" si="138"/>
        <v>0</v>
      </c>
      <c r="DA161" s="294">
        <f t="shared" si="138"/>
        <v>0</v>
      </c>
      <c r="DB161" s="294">
        <f t="shared" si="138"/>
        <v>-8782352.3499999996</v>
      </c>
      <c r="DC161" s="294">
        <f t="shared" si="138"/>
        <v>-14243902.449999999</v>
      </c>
      <c r="DD161" s="294">
        <f t="shared" si="138"/>
        <v>0</v>
      </c>
      <c r="DE161" s="294">
        <f t="shared" si="138"/>
        <v>0</v>
      </c>
      <c r="DF161" s="294">
        <f t="shared" si="138"/>
        <v>0</v>
      </c>
      <c r="DG161" s="294">
        <f t="shared" si="138"/>
        <v>0</v>
      </c>
      <c r="DH161" s="294">
        <f t="shared" si="138"/>
        <v>0</v>
      </c>
      <c r="DI161" s="294">
        <f t="shared" si="138"/>
        <v>0</v>
      </c>
      <c r="DJ161" s="294">
        <f t="shared" si="138"/>
        <v>0</v>
      </c>
      <c r="DK161" s="294">
        <f t="shared" si="138"/>
        <v>-34721740.740000002</v>
      </c>
      <c r="DL161" s="294">
        <f t="shared" si="138"/>
        <v>0</v>
      </c>
      <c r="DM161" s="294">
        <f t="shared" si="138"/>
        <v>0</v>
      </c>
      <c r="DN161" s="294">
        <f t="shared" si="138"/>
        <v>0</v>
      </c>
      <c r="DO161" s="294">
        <f t="shared" si="138"/>
        <v>0</v>
      </c>
      <c r="DP161" s="294">
        <f t="shared" si="138"/>
        <v>0</v>
      </c>
      <c r="DQ161" s="294">
        <f t="shared" si="138"/>
        <v>0</v>
      </c>
      <c r="DR161" s="294">
        <f t="shared" si="138"/>
        <v>0</v>
      </c>
      <c r="DS161" s="294">
        <f t="shared" si="138"/>
        <v>0</v>
      </c>
      <c r="DT161" s="294">
        <f t="shared" si="138"/>
        <v>-24068690.829999998</v>
      </c>
      <c r="DU161" s="294">
        <f t="shared" si="138"/>
        <v>0</v>
      </c>
      <c r="DV161" s="294">
        <f t="shared" si="138"/>
        <v>0</v>
      </c>
      <c r="DW161" s="294">
        <f t="shared" si="138"/>
        <v>0</v>
      </c>
      <c r="DX161" s="294">
        <f t="shared" si="138"/>
        <v>0</v>
      </c>
      <c r="DY161" s="294">
        <f t="shared" si="138"/>
        <v>0</v>
      </c>
      <c r="DZ161" s="294">
        <f t="shared" si="138"/>
        <v>0</v>
      </c>
      <c r="EA161" s="294">
        <f t="shared" si="138"/>
        <v>0</v>
      </c>
      <c r="EB161" s="294">
        <f t="shared" si="138"/>
        <v>0</v>
      </c>
      <c r="EC161" s="294">
        <f t="shared" ref="EC161:GN161" si="139">SUMIF($A$61:$A$154,$A$139,EC$61:EC$154)*-1</f>
        <v>0</v>
      </c>
      <c r="ED161" s="294">
        <f t="shared" si="139"/>
        <v>0</v>
      </c>
      <c r="EE161" s="294">
        <f t="shared" si="139"/>
        <v>-5732374.5499999998</v>
      </c>
      <c r="EF161" s="294">
        <f t="shared" si="139"/>
        <v>-7538791.7800000003</v>
      </c>
      <c r="EG161" s="294">
        <f t="shared" si="139"/>
        <v>0</v>
      </c>
      <c r="EH161" s="294">
        <f t="shared" si="139"/>
        <v>0</v>
      </c>
      <c r="EI161" s="294">
        <f t="shared" si="139"/>
        <v>0</v>
      </c>
      <c r="EJ161" s="294">
        <f t="shared" si="139"/>
        <v>0</v>
      </c>
      <c r="EK161" s="294">
        <f t="shared" si="139"/>
        <v>0</v>
      </c>
      <c r="EL161" s="294">
        <f t="shared" si="139"/>
        <v>0</v>
      </c>
      <c r="EM161" s="294">
        <f t="shared" si="139"/>
        <v>0</v>
      </c>
      <c r="EN161" s="294">
        <f t="shared" si="139"/>
        <v>-45564249.619999997</v>
      </c>
      <c r="EO161" s="294">
        <f t="shared" si="139"/>
        <v>0</v>
      </c>
      <c r="EP161" s="294">
        <f t="shared" si="139"/>
        <v>0</v>
      </c>
      <c r="EQ161" s="294">
        <f t="shared" si="139"/>
        <v>0</v>
      </c>
      <c r="ER161" s="294">
        <f t="shared" si="139"/>
        <v>0</v>
      </c>
      <c r="ES161" s="294">
        <f t="shared" si="139"/>
        <v>0</v>
      </c>
      <c r="ET161" s="294">
        <f t="shared" si="139"/>
        <v>0</v>
      </c>
      <c r="EU161" s="294">
        <f t="shared" si="139"/>
        <v>0</v>
      </c>
      <c r="EV161" s="294">
        <f t="shared" si="139"/>
        <v>0</v>
      </c>
      <c r="EW161" s="294">
        <f t="shared" si="139"/>
        <v>-5183077.4800000004</v>
      </c>
      <c r="EX161" s="294">
        <f t="shared" si="139"/>
        <v>0</v>
      </c>
      <c r="EY161" s="294">
        <f t="shared" si="139"/>
        <v>0</v>
      </c>
      <c r="EZ161" s="294">
        <f t="shared" si="139"/>
        <v>0</v>
      </c>
      <c r="FA161" s="294">
        <f t="shared" si="139"/>
        <v>0</v>
      </c>
      <c r="FB161" s="294">
        <f t="shared" si="139"/>
        <v>0</v>
      </c>
      <c r="FC161" s="294">
        <f t="shared" si="139"/>
        <v>0</v>
      </c>
      <c r="FD161" s="294">
        <f t="shared" si="139"/>
        <v>0</v>
      </c>
      <c r="FE161" s="294">
        <f t="shared" si="139"/>
        <v>0</v>
      </c>
      <c r="FF161" s="294">
        <f t="shared" si="139"/>
        <v>0</v>
      </c>
      <c r="FG161" s="294">
        <f t="shared" si="139"/>
        <v>0</v>
      </c>
      <c r="FH161" s="294">
        <f t="shared" si="139"/>
        <v>-482.5</v>
      </c>
      <c r="FI161" s="294">
        <f t="shared" si="139"/>
        <v>-7015080.75</v>
      </c>
      <c r="FJ161" s="294">
        <f t="shared" si="139"/>
        <v>0</v>
      </c>
      <c r="FK161" s="294">
        <f t="shared" si="139"/>
        <v>0</v>
      </c>
      <c r="FL161" s="294">
        <f t="shared" si="139"/>
        <v>0</v>
      </c>
      <c r="FM161" s="294">
        <f t="shared" si="139"/>
        <v>0</v>
      </c>
      <c r="FN161" s="294">
        <f t="shared" si="139"/>
        <v>0</v>
      </c>
      <c r="FO161" s="294">
        <f t="shared" si="139"/>
        <v>0</v>
      </c>
      <c r="FP161" s="294">
        <f t="shared" si="139"/>
        <v>0</v>
      </c>
      <c r="FQ161" s="294">
        <f t="shared" si="139"/>
        <v>-39247228.18</v>
      </c>
      <c r="FR161" s="294">
        <f t="shared" si="139"/>
        <v>0</v>
      </c>
      <c r="FS161" s="294">
        <f t="shared" si="139"/>
        <v>0</v>
      </c>
      <c r="FT161" s="294">
        <f t="shared" si="139"/>
        <v>0</v>
      </c>
      <c r="FU161" s="294">
        <f t="shared" si="139"/>
        <v>0</v>
      </c>
      <c r="FV161" s="294">
        <f t="shared" si="139"/>
        <v>0</v>
      </c>
      <c r="FW161" s="294">
        <f t="shared" si="139"/>
        <v>0</v>
      </c>
      <c r="FX161" s="294">
        <f t="shared" si="139"/>
        <v>0</v>
      </c>
      <c r="FY161" s="294">
        <f t="shared" si="139"/>
        <v>0</v>
      </c>
      <c r="FZ161" s="294">
        <f t="shared" si="139"/>
        <v>0</v>
      </c>
      <c r="GA161" s="294">
        <f t="shared" si="139"/>
        <v>0</v>
      </c>
      <c r="GB161" s="294">
        <f t="shared" si="139"/>
        <v>0</v>
      </c>
      <c r="GC161" s="294">
        <f t="shared" si="139"/>
        <v>0</v>
      </c>
      <c r="GD161" s="294">
        <f t="shared" si="139"/>
        <v>0</v>
      </c>
      <c r="GE161" s="294">
        <f t="shared" si="139"/>
        <v>-7221865.4800000004</v>
      </c>
      <c r="GF161" s="294">
        <f t="shared" si="139"/>
        <v>0</v>
      </c>
      <c r="GG161" s="294">
        <f t="shared" si="139"/>
        <v>0</v>
      </c>
      <c r="GH161" s="294">
        <f t="shared" si="139"/>
        <v>0</v>
      </c>
      <c r="GI161" s="294">
        <f t="shared" si="139"/>
        <v>0</v>
      </c>
      <c r="GJ161" s="294">
        <f t="shared" si="139"/>
        <v>0</v>
      </c>
      <c r="GK161" s="294">
        <f t="shared" si="139"/>
        <v>0</v>
      </c>
      <c r="GL161" s="294">
        <f t="shared" si="139"/>
        <v>0</v>
      </c>
      <c r="GM161" s="294">
        <f t="shared" si="139"/>
        <v>0</v>
      </c>
      <c r="GN161" s="294">
        <f t="shared" si="139"/>
        <v>0</v>
      </c>
      <c r="GO161" s="294">
        <f t="shared" ref="GO161:IZ161" si="140">SUMIF($A$61:$A$154,$A$139,GO$61:GO$154)*-1</f>
        <v>0</v>
      </c>
      <c r="GP161" s="294">
        <f t="shared" si="140"/>
        <v>0</v>
      </c>
      <c r="GQ161" s="294">
        <f t="shared" si="140"/>
        <v>-18443933.41</v>
      </c>
      <c r="GR161" s="294">
        <f t="shared" si="140"/>
        <v>0</v>
      </c>
      <c r="GS161" s="294">
        <f t="shared" si="140"/>
        <v>0</v>
      </c>
      <c r="GT161" s="294">
        <f t="shared" si="140"/>
        <v>0</v>
      </c>
      <c r="GU161" s="294">
        <f t="shared" si="140"/>
        <v>0</v>
      </c>
      <c r="GV161" s="294">
        <f t="shared" si="140"/>
        <v>0</v>
      </c>
      <c r="GW161" s="294">
        <f t="shared" si="140"/>
        <v>0</v>
      </c>
      <c r="GX161" s="294">
        <f t="shared" si="140"/>
        <v>0</v>
      </c>
      <c r="GY161" s="294">
        <f t="shared" si="140"/>
        <v>-9524387.2599999998</v>
      </c>
      <c r="GZ161" s="294">
        <f t="shared" si="140"/>
        <v>0</v>
      </c>
      <c r="HA161" s="294">
        <f t="shared" si="140"/>
        <v>0</v>
      </c>
      <c r="HB161" s="294">
        <f t="shared" si="140"/>
        <v>0</v>
      </c>
      <c r="HC161" s="294">
        <f t="shared" si="140"/>
        <v>-36258413.890000001</v>
      </c>
      <c r="HD161" s="294">
        <f t="shared" si="140"/>
        <v>0</v>
      </c>
      <c r="HE161" s="294">
        <f t="shared" si="140"/>
        <v>0</v>
      </c>
      <c r="HF161" s="294">
        <f t="shared" si="140"/>
        <v>0</v>
      </c>
      <c r="HG161" s="294">
        <f t="shared" si="140"/>
        <v>0</v>
      </c>
      <c r="HH161" s="294">
        <f t="shared" si="140"/>
        <v>0</v>
      </c>
      <c r="HI161" s="294">
        <f t="shared" si="140"/>
        <v>0</v>
      </c>
      <c r="HJ161" s="294">
        <f t="shared" si="140"/>
        <v>0</v>
      </c>
      <c r="HK161" s="294">
        <f t="shared" si="140"/>
        <v>-30857441.760000002</v>
      </c>
      <c r="HL161" s="294">
        <f t="shared" si="140"/>
        <v>0</v>
      </c>
      <c r="HM161" s="294">
        <f t="shared" si="140"/>
        <v>0</v>
      </c>
      <c r="HN161" s="294">
        <f t="shared" si="140"/>
        <v>0</v>
      </c>
      <c r="HO161" s="294">
        <f t="shared" si="140"/>
        <v>0</v>
      </c>
      <c r="HP161" s="294">
        <f t="shared" si="140"/>
        <v>0</v>
      </c>
      <c r="HQ161" s="294">
        <f t="shared" si="140"/>
        <v>0</v>
      </c>
      <c r="HR161" s="294">
        <f t="shared" si="140"/>
        <v>0</v>
      </c>
      <c r="HS161" s="294">
        <f t="shared" si="140"/>
        <v>-12032714.18</v>
      </c>
      <c r="HT161" s="294">
        <f t="shared" si="140"/>
        <v>-472217.65</v>
      </c>
      <c r="HU161" s="294">
        <f t="shared" si="140"/>
        <v>0</v>
      </c>
      <c r="HV161" s="294">
        <f t="shared" si="140"/>
        <v>0</v>
      </c>
      <c r="HW161" s="294">
        <f t="shared" si="140"/>
        <v>0</v>
      </c>
      <c r="HX161" s="294">
        <f t="shared" si="140"/>
        <v>0</v>
      </c>
      <c r="HY161" s="294">
        <f t="shared" si="140"/>
        <v>0</v>
      </c>
      <c r="HZ161" s="294">
        <f t="shared" si="140"/>
        <v>0</v>
      </c>
      <c r="IA161" s="294">
        <f t="shared" si="140"/>
        <v>0</v>
      </c>
      <c r="IB161" s="294">
        <f t="shared" si="140"/>
        <v>0</v>
      </c>
      <c r="IC161" s="294">
        <f t="shared" si="140"/>
        <v>0</v>
      </c>
      <c r="ID161" s="294">
        <f t="shared" si="140"/>
        <v>0</v>
      </c>
      <c r="IE161" s="294">
        <f t="shared" si="140"/>
        <v>0</v>
      </c>
      <c r="IF161" s="294">
        <f t="shared" si="140"/>
        <v>0</v>
      </c>
      <c r="IG161" s="294">
        <f t="shared" si="140"/>
        <v>0</v>
      </c>
      <c r="IH161" s="294">
        <f t="shared" si="140"/>
        <v>0</v>
      </c>
      <c r="II161" s="294">
        <f t="shared" si="140"/>
        <v>-52080430.43</v>
      </c>
      <c r="IJ161" s="294">
        <f t="shared" si="140"/>
        <v>-8712113.9299999997</v>
      </c>
      <c r="IK161" s="294">
        <f t="shared" si="140"/>
        <v>0</v>
      </c>
      <c r="IL161" s="294">
        <f t="shared" si="140"/>
        <v>0</v>
      </c>
      <c r="IM161" s="294">
        <f t="shared" si="140"/>
        <v>0</v>
      </c>
      <c r="IN161" s="294">
        <f t="shared" si="140"/>
        <v>0</v>
      </c>
      <c r="IO161" s="294">
        <f t="shared" si="140"/>
        <v>0</v>
      </c>
      <c r="IP161" s="294">
        <f t="shared" si="140"/>
        <v>0</v>
      </c>
      <c r="IQ161" s="294">
        <f t="shared" si="140"/>
        <v>0</v>
      </c>
      <c r="IR161" s="294">
        <f t="shared" si="140"/>
        <v>0</v>
      </c>
      <c r="IS161" s="294">
        <f t="shared" si="140"/>
        <v>0</v>
      </c>
      <c r="IT161" s="294">
        <f t="shared" si="140"/>
        <v>-4246196.3499999996</v>
      </c>
      <c r="IU161" s="294">
        <f t="shared" si="140"/>
        <v>-130730364.29000001</v>
      </c>
      <c r="IV161" s="294">
        <f t="shared" si="140"/>
        <v>0</v>
      </c>
      <c r="IW161" s="294">
        <f t="shared" si="140"/>
        <v>0</v>
      </c>
      <c r="IX161" s="294">
        <f t="shared" si="140"/>
        <v>0</v>
      </c>
      <c r="IY161" s="294">
        <f t="shared" si="140"/>
        <v>0</v>
      </c>
      <c r="IZ161" s="294">
        <f t="shared" si="140"/>
        <v>0</v>
      </c>
      <c r="JA161" s="294">
        <f t="shared" ref="JA161:LL161" si="141">SUMIF($A$61:$A$154,$A$139,JA$61:JA$154)*-1</f>
        <v>0</v>
      </c>
      <c r="JB161" s="294">
        <f t="shared" si="141"/>
        <v>0</v>
      </c>
      <c r="JC161" s="294">
        <f t="shared" si="141"/>
        <v>0</v>
      </c>
      <c r="JD161" s="294">
        <f t="shared" si="141"/>
        <v>0</v>
      </c>
      <c r="JE161" s="294">
        <f t="shared" si="141"/>
        <v>0</v>
      </c>
      <c r="JF161" s="294">
        <f t="shared" si="141"/>
        <v>-3164851.08</v>
      </c>
      <c r="JG161" s="294">
        <f t="shared" si="141"/>
        <v>-835658.79</v>
      </c>
      <c r="JH161" s="294">
        <f t="shared" si="141"/>
        <v>0</v>
      </c>
      <c r="JI161" s="294">
        <f t="shared" si="141"/>
        <v>0</v>
      </c>
      <c r="JJ161" s="294">
        <f t="shared" si="141"/>
        <v>0</v>
      </c>
      <c r="JK161" s="294">
        <f t="shared" si="141"/>
        <v>0</v>
      </c>
      <c r="JL161" s="294">
        <f t="shared" si="141"/>
        <v>-13961066.23</v>
      </c>
      <c r="JM161" s="294">
        <f t="shared" si="141"/>
        <v>0</v>
      </c>
      <c r="JN161" s="294">
        <f t="shared" si="141"/>
        <v>0</v>
      </c>
      <c r="JO161" s="294">
        <f t="shared" si="141"/>
        <v>0</v>
      </c>
      <c r="JP161" s="294">
        <f t="shared" si="141"/>
        <v>0</v>
      </c>
      <c r="JQ161" s="294">
        <f t="shared" si="141"/>
        <v>0</v>
      </c>
      <c r="JR161" s="294">
        <f t="shared" si="141"/>
        <v>0</v>
      </c>
      <c r="JS161" s="294">
        <f t="shared" si="141"/>
        <v>-36429155.509999998</v>
      </c>
      <c r="JT161" s="294">
        <f t="shared" si="141"/>
        <v>-29407142.129999999</v>
      </c>
      <c r="JU161" s="294">
        <f t="shared" si="141"/>
        <v>0</v>
      </c>
      <c r="JV161" s="294">
        <f t="shared" si="141"/>
        <v>0</v>
      </c>
      <c r="JW161" s="294">
        <f t="shared" si="141"/>
        <v>0</v>
      </c>
      <c r="JX161" s="294">
        <f t="shared" si="141"/>
        <v>0</v>
      </c>
      <c r="JY161" s="294">
        <f t="shared" si="141"/>
        <v>0</v>
      </c>
      <c r="JZ161" s="294">
        <f t="shared" si="141"/>
        <v>0</v>
      </c>
      <c r="KA161" s="294">
        <f t="shared" si="141"/>
        <v>0</v>
      </c>
      <c r="KB161" s="294">
        <f t="shared" si="141"/>
        <v>0</v>
      </c>
      <c r="KC161" s="294">
        <f t="shared" si="141"/>
        <v>0</v>
      </c>
      <c r="KD161" s="294">
        <f t="shared" si="141"/>
        <v>0</v>
      </c>
      <c r="KE161" s="294">
        <f t="shared" si="141"/>
        <v>0</v>
      </c>
      <c r="KF161" s="294">
        <f t="shared" si="141"/>
        <v>0</v>
      </c>
      <c r="KG161" s="294">
        <f t="shared" si="141"/>
        <v>0</v>
      </c>
      <c r="KH161" s="294">
        <f t="shared" si="141"/>
        <v>0</v>
      </c>
      <c r="KI161" s="294">
        <f t="shared" si="141"/>
        <v>-118433985.22</v>
      </c>
      <c r="KJ161" s="294">
        <f t="shared" si="141"/>
        <v>0</v>
      </c>
      <c r="KK161" s="294">
        <f t="shared" si="141"/>
        <v>0</v>
      </c>
      <c r="KL161" s="294">
        <f t="shared" si="141"/>
        <v>0</v>
      </c>
      <c r="KM161" s="294">
        <f t="shared" si="141"/>
        <v>0</v>
      </c>
      <c r="KN161" s="294">
        <f t="shared" si="141"/>
        <v>0</v>
      </c>
      <c r="KO161" s="294">
        <f t="shared" si="141"/>
        <v>0</v>
      </c>
      <c r="KP161" s="294">
        <f t="shared" si="141"/>
        <v>0</v>
      </c>
      <c r="KQ161" s="294">
        <f t="shared" si="141"/>
        <v>0</v>
      </c>
      <c r="KR161" s="294">
        <f t="shared" si="141"/>
        <v>-2414145.23</v>
      </c>
      <c r="KS161" s="294">
        <f t="shared" si="141"/>
        <v>0</v>
      </c>
      <c r="KT161" s="294">
        <f t="shared" si="141"/>
        <v>0</v>
      </c>
      <c r="KU161" s="294">
        <f t="shared" si="141"/>
        <v>-2625319.4700000002</v>
      </c>
      <c r="KV161" s="294">
        <f t="shared" si="141"/>
        <v>0</v>
      </c>
      <c r="KW161" s="294">
        <f t="shared" si="141"/>
        <v>0</v>
      </c>
      <c r="KX161" s="294">
        <f t="shared" si="141"/>
        <v>-11691553.24</v>
      </c>
      <c r="KY161" s="294">
        <f t="shared" si="141"/>
        <v>0</v>
      </c>
      <c r="KZ161" s="294">
        <f t="shared" si="141"/>
        <v>-38327756.899999999</v>
      </c>
      <c r="LA161" s="294">
        <f t="shared" si="141"/>
        <v>0</v>
      </c>
      <c r="LB161" s="294">
        <f t="shared" si="141"/>
        <v>0</v>
      </c>
      <c r="LC161" s="294">
        <f t="shared" si="141"/>
        <v>0</v>
      </c>
      <c r="LD161" s="294">
        <f t="shared" si="141"/>
        <v>0</v>
      </c>
      <c r="LE161" s="294">
        <f t="shared" si="141"/>
        <v>0</v>
      </c>
      <c r="LF161" s="294">
        <f t="shared" si="141"/>
        <v>0</v>
      </c>
      <c r="LG161" s="294">
        <f t="shared" si="141"/>
        <v>0</v>
      </c>
      <c r="LH161" s="294">
        <f t="shared" si="141"/>
        <v>-93900989.840000004</v>
      </c>
      <c r="LI161" s="294">
        <f t="shared" si="141"/>
        <v>-7392147.5599999996</v>
      </c>
      <c r="LJ161" s="294">
        <f t="shared" si="141"/>
        <v>-5269002.7699999996</v>
      </c>
      <c r="LK161" s="294">
        <f t="shared" si="141"/>
        <v>-33778049.270000003</v>
      </c>
      <c r="LL161" s="294">
        <f t="shared" si="141"/>
        <v>0</v>
      </c>
      <c r="LM161" s="294">
        <f t="shared" ref="LM161:NX161" si="142">SUMIF($A$61:$A$154,$A$139,LM$61:LM$154)*-1</f>
        <v>0</v>
      </c>
      <c r="LN161" s="294">
        <f t="shared" si="142"/>
        <v>0</v>
      </c>
      <c r="LO161" s="294">
        <f t="shared" si="142"/>
        <v>0</v>
      </c>
      <c r="LP161" s="294">
        <f t="shared" si="142"/>
        <v>0</v>
      </c>
      <c r="LQ161" s="294">
        <f t="shared" si="142"/>
        <v>0</v>
      </c>
      <c r="LR161" s="294">
        <f t="shared" si="142"/>
        <v>0</v>
      </c>
      <c r="LS161" s="294">
        <f t="shared" si="142"/>
        <v>-2406132.7599999998</v>
      </c>
      <c r="LT161" s="294">
        <f t="shared" si="142"/>
        <v>0</v>
      </c>
      <c r="LU161" s="294">
        <f t="shared" si="142"/>
        <v>0</v>
      </c>
      <c r="LV161" s="294">
        <f t="shared" si="142"/>
        <v>-85911608.629999995</v>
      </c>
      <c r="LW161" s="294">
        <f t="shared" si="142"/>
        <v>-3451317.01</v>
      </c>
      <c r="LX161" s="294">
        <f t="shared" si="142"/>
        <v>-37734271.649999999</v>
      </c>
      <c r="LY161" s="294">
        <f t="shared" si="142"/>
        <v>-150882.6</v>
      </c>
      <c r="LZ161" s="294">
        <f t="shared" si="142"/>
        <v>0</v>
      </c>
      <c r="MA161" s="294">
        <f t="shared" si="142"/>
        <v>0</v>
      </c>
      <c r="MB161" s="294">
        <f t="shared" si="142"/>
        <v>0</v>
      </c>
      <c r="MC161" s="294">
        <f t="shared" si="142"/>
        <v>0</v>
      </c>
      <c r="MD161" s="294">
        <f t="shared" si="142"/>
        <v>0</v>
      </c>
      <c r="ME161" s="294">
        <f t="shared" si="142"/>
        <v>0</v>
      </c>
      <c r="MF161" s="294">
        <f t="shared" si="142"/>
        <v>-1304101.5</v>
      </c>
      <c r="MG161" s="294">
        <f t="shared" si="142"/>
        <v>0</v>
      </c>
      <c r="MH161" s="294">
        <f t="shared" si="142"/>
        <v>-14117602.9</v>
      </c>
      <c r="MI161" s="294">
        <f t="shared" si="142"/>
        <v>0</v>
      </c>
      <c r="MJ161" s="294">
        <f t="shared" si="142"/>
        <v>0</v>
      </c>
      <c r="MK161" s="294">
        <f t="shared" si="142"/>
        <v>0</v>
      </c>
      <c r="ML161" s="294">
        <f t="shared" si="142"/>
        <v>0</v>
      </c>
      <c r="MM161" s="294">
        <f t="shared" si="142"/>
        <v>0</v>
      </c>
      <c r="MN161" s="294">
        <f t="shared" si="142"/>
        <v>0</v>
      </c>
      <c r="MO161" s="294">
        <f t="shared" si="142"/>
        <v>0</v>
      </c>
      <c r="MP161" s="294">
        <f t="shared" si="142"/>
        <v>0</v>
      </c>
      <c r="MQ161" s="294">
        <f t="shared" si="142"/>
        <v>0</v>
      </c>
      <c r="MR161" s="294">
        <f t="shared" si="142"/>
        <v>0</v>
      </c>
      <c r="MS161" s="294">
        <f t="shared" si="142"/>
        <v>0</v>
      </c>
      <c r="MT161" s="294">
        <f t="shared" si="142"/>
        <v>-101795870.12</v>
      </c>
      <c r="MU161" s="294">
        <f t="shared" si="142"/>
        <v>0</v>
      </c>
      <c r="MV161" s="294">
        <f t="shared" si="142"/>
        <v>0</v>
      </c>
      <c r="MW161" s="294">
        <f t="shared" si="142"/>
        <v>0</v>
      </c>
      <c r="MX161" s="294">
        <f t="shared" si="142"/>
        <v>0</v>
      </c>
      <c r="MY161" s="294">
        <f t="shared" si="142"/>
        <v>0</v>
      </c>
      <c r="MZ161" s="294">
        <f t="shared" si="142"/>
        <v>0</v>
      </c>
      <c r="NA161" s="294">
        <f t="shared" si="142"/>
        <v>0</v>
      </c>
      <c r="NB161" s="294">
        <f t="shared" si="142"/>
        <v>0</v>
      </c>
      <c r="NC161" s="294">
        <f t="shared" si="142"/>
        <v>0</v>
      </c>
      <c r="ND161" s="294">
        <f t="shared" si="142"/>
        <v>0</v>
      </c>
      <c r="NE161" s="294">
        <f t="shared" si="142"/>
        <v>-238209294.34</v>
      </c>
      <c r="NF161" s="294">
        <f t="shared" si="142"/>
        <v>0</v>
      </c>
      <c r="NG161" s="294">
        <f t="shared" si="142"/>
        <v>0</v>
      </c>
      <c r="NH161" s="294">
        <f t="shared" si="142"/>
        <v>0</v>
      </c>
      <c r="NI161" s="294">
        <f t="shared" si="142"/>
        <v>0</v>
      </c>
      <c r="NJ161" s="294">
        <f t="shared" si="142"/>
        <v>0</v>
      </c>
      <c r="NK161" s="294">
        <f t="shared" si="142"/>
        <v>-124910333.53</v>
      </c>
      <c r="NL161" s="294">
        <f t="shared" si="142"/>
        <v>-1816306.99</v>
      </c>
      <c r="NM161" s="294">
        <f t="shared" si="142"/>
        <v>0</v>
      </c>
      <c r="NN161" s="294">
        <f t="shared" si="142"/>
        <v>0</v>
      </c>
      <c r="NO161" s="294">
        <f t="shared" si="142"/>
        <v>0</v>
      </c>
      <c r="NP161" s="294">
        <f t="shared" si="142"/>
        <v>0</v>
      </c>
      <c r="NQ161" s="294">
        <f t="shared" si="142"/>
        <v>-16713648.57</v>
      </c>
      <c r="NR161" s="294">
        <f t="shared" si="142"/>
        <v>0</v>
      </c>
      <c r="NS161" s="294">
        <f t="shared" si="142"/>
        <v>0</v>
      </c>
      <c r="NT161" s="294">
        <f t="shared" si="142"/>
        <v>0</v>
      </c>
      <c r="NU161" s="294">
        <f t="shared" si="142"/>
        <v>0</v>
      </c>
      <c r="NV161" s="294">
        <f t="shared" si="142"/>
        <v>0</v>
      </c>
      <c r="NW161" s="294">
        <f t="shared" si="142"/>
        <v>0</v>
      </c>
      <c r="NX161" s="294">
        <f t="shared" si="142"/>
        <v>-67396263.030000001</v>
      </c>
      <c r="NY161" s="294">
        <f t="shared" ref="NY161:QJ161" si="143">SUMIF($A$61:$A$154,$A$139,NY$61:NY$154)*-1</f>
        <v>-42639957</v>
      </c>
      <c r="NZ161" s="294">
        <f t="shared" si="143"/>
        <v>0</v>
      </c>
      <c r="OA161" s="294">
        <f t="shared" si="143"/>
        <v>0</v>
      </c>
      <c r="OB161" s="294">
        <f t="shared" si="143"/>
        <v>0</v>
      </c>
      <c r="OC161" s="294">
        <f t="shared" si="143"/>
        <v>0</v>
      </c>
      <c r="OD161" s="294">
        <f t="shared" si="143"/>
        <v>0</v>
      </c>
      <c r="OE161" s="294">
        <f t="shared" si="143"/>
        <v>-314632056.85000002</v>
      </c>
      <c r="OF161" s="294">
        <f t="shared" si="143"/>
        <v>0</v>
      </c>
      <c r="OG161" s="294">
        <f t="shared" si="143"/>
        <v>0</v>
      </c>
      <c r="OH161" s="294">
        <f t="shared" si="143"/>
        <v>-7328716.6600000001</v>
      </c>
      <c r="OI161" s="294">
        <f t="shared" si="143"/>
        <v>0</v>
      </c>
      <c r="OJ161" s="294">
        <f t="shared" si="143"/>
        <v>0</v>
      </c>
      <c r="OK161" s="294">
        <f t="shared" si="143"/>
        <v>0</v>
      </c>
      <c r="OL161" s="294">
        <f t="shared" si="143"/>
        <v>0</v>
      </c>
      <c r="OM161" s="294">
        <f t="shared" si="143"/>
        <v>0</v>
      </c>
      <c r="ON161" s="294">
        <f t="shared" si="143"/>
        <v>0</v>
      </c>
      <c r="OO161" s="294">
        <f t="shared" si="143"/>
        <v>-2769374.4</v>
      </c>
      <c r="OP161" s="294">
        <f t="shared" si="143"/>
        <v>-1216224.5</v>
      </c>
      <c r="OQ161" s="294">
        <f t="shared" si="143"/>
        <v>0</v>
      </c>
      <c r="OR161" s="294">
        <f t="shared" si="143"/>
        <v>0</v>
      </c>
      <c r="OS161" s="294">
        <f t="shared" si="143"/>
        <v>0</v>
      </c>
      <c r="OT161" s="294">
        <f t="shared" si="143"/>
        <v>-10464154.890000001</v>
      </c>
      <c r="OU161" s="294">
        <f t="shared" si="143"/>
        <v>0</v>
      </c>
      <c r="OV161" s="294">
        <f t="shared" si="143"/>
        <v>0</v>
      </c>
      <c r="OW161" s="294">
        <f t="shared" si="143"/>
        <v>0</v>
      </c>
      <c r="OX161" s="294">
        <f t="shared" si="143"/>
        <v>0</v>
      </c>
      <c r="OY161" s="294">
        <f t="shared" si="143"/>
        <v>0</v>
      </c>
      <c r="OZ161" s="294">
        <f t="shared" si="143"/>
        <v>0</v>
      </c>
      <c r="PA161" s="294">
        <f t="shared" si="143"/>
        <v>0</v>
      </c>
      <c r="PB161" s="294">
        <f t="shared" si="143"/>
        <v>0</v>
      </c>
      <c r="PC161" s="294">
        <f t="shared" si="143"/>
        <v>0</v>
      </c>
      <c r="PD161" s="294">
        <f t="shared" si="143"/>
        <v>0</v>
      </c>
      <c r="PE161" s="294">
        <f t="shared" si="143"/>
        <v>0</v>
      </c>
      <c r="PF161" s="294">
        <f t="shared" si="143"/>
        <v>0</v>
      </c>
      <c r="PG161" s="294">
        <f t="shared" si="143"/>
        <v>0</v>
      </c>
      <c r="PH161" s="294">
        <f t="shared" si="143"/>
        <v>0</v>
      </c>
      <c r="PI161" s="294">
        <f t="shared" si="143"/>
        <v>0</v>
      </c>
      <c r="PJ161" s="294">
        <f t="shared" si="143"/>
        <v>0</v>
      </c>
      <c r="PK161" s="294">
        <f t="shared" si="143"/>
        <v>0</v>
      </c>
      <c r="PL161" s="294">
        <f t="shared" si="143"/>
        <v>0</v>
      </c>
      <c r="PM161" s="294">
        <f t="shared" si="143"/>
        <v>0</v>
      </c>
      <c r="PN161" s="294">
        <f t="shared" si="143"/>
        <v>0</v>
      </c>
      <c r="PO161" s="294">
        <f t="shared" si="143"/>
        <v>0</v>
      </c>
      <c r="PP161" s="294">
        <f t="shared" si="143"/>
        <v>0</v>
      </c>
      <c r="PQ161" s="294">
        <f t="shared" si="143"/>
        <v>0</v>
      </c>
      <c r="PR161" s="294">
        <f t="shared" si="143"/>
        <v>0</v>
      </c>
      <c r="PS161" s="294">
        <f t="shared" si="143"/>
        <v>0</v>
      </c>
      <c r="PT161" s="294">
        <f t="shared" si="143"/>
        <v>0</v>
      </c>
      <c r="PU161" s="294">
        <f t="shared" si="143"/>
        <v>-77521064.120000005</v>
      </c>
      <c r="PV161" s="294">
        <f t="shared" si="143"/>
        <v>0</v>
      </c>
      <c r="PW161" s="294">
        <f t="shared" si="143"/>
        <v>0</v>
      </c>
      <c r="PX161" s="294">
        <f t="shared" si="143"/>
        <v>0</v>
      </c>
      <c r="PY161" s="294">
        <f t="shared" si="143"/>
        <v>-47782667.950000003</v>
      </c>
      <c r="PZ161" s="294">
        <f t="shared" si="143"/>
        <v>0</v>
      </c>
      <c r="QA161" s="294">
        <f t="shared" si="143"/>
        <v>0</v>
      </c>
      <c r="QB161" s="294">
        <f t="shared" si="143"/>
        <v>0</v>
      </c>
      <c r="QC161" s="294">
        <f t="shared" si="143"/>
        <v>0</v>
      </c>
      <c r="QD161" s="294">
        <f t="shared" si="143"/>
        <v>0</v>
      </c>
      <c r="QE161" s="294">
        <f t="shared" si="143"/>
        <v>0</v>
      </c>
      <c r="QF161" s="294">
        <f t="shared" si="143"/>
        <v>0</v>
      </c>
      <c r="QG161" s="294">
        <f t="shared" si="143"/>
        <v>0</v>
      </c>
      <c r="QH161" s="294">
        <f t="shared" si="143"/>
        <v>0</v>
      </c>
      <c r="QI161" s="294">
        <f t="shared" si="143"/>
        <v>0</v>
      </c>
      <c r="QJ161" s="294">
        <f t="shared" si="143"/>
        <v>0</v>
      </c>
      <c r="QK161" s="294">
        <f t="shared" ref="QK161:SV161" si="144">SUMIF($A$61:$A$154,$A$139,QK$61:QK$154)*-1</f>
        <v>0</v>
      </c>
      <c r="QL161" s="294">
        <f t="shared" si="144"/>
        <v>0</v>
      </c>
      <c r="QM161" s="294">
        <f t="shared" si="144"/>
        <v>0</v>
      </c>
      <c r="QN161" s="294">
        <f t="shared" si="144"/>
        <v>0</v>
      </c>
      <c r="QO161" s="294">
        <f t="shared" si="144"/>
        <v>0</v>
      </c>
      <c r="QP161" s="294">
        <f t="shared" si="144"/>
        <v>-450</v>
      </c>
      <c r="QQ161" s="294">
        <f t="shared" si="144"/>
        <v>0</v>
      </c>
      <c r="QR161" s="294">
        <f t="shared" si="144"/>
        <v>0</v>
      </c>
      <c r="QS161" s="294">
        <f t="shared" si="144"/>
        <v>0</v>
      </c>
      <c r="QT161" s="294">
        <f t="shared" si="144"/>
        <v>0</v>
      </c>
      <c r="QU161" s="294">
        <f t="shared" si="144"/>
        <v>-7782079.4400000004</v>
      </c>
      <c r="QV161" s="294">
        <f t="shared" si="144"/>
        <v>0</v>
      </c>
      <c r="QW161" s="294">
        <f t="shared" si="144"/>
        <v>0</v>
      </c>
      <c r="QX161" s="294">
        <f t="shared" si="144"/>
        <v>0</v>
      </c>
      <c r="QY161" s="294">
        <f t="shared" si="144"/>
        <v>0</v>
      </c>
      <c r="QZ161" s="294">
        <f t="shared" si="144"/>
        <v>0</v>
      </c>
      <c r="RA161" s="294">
        <f t="shared" si="144"/>
        <v>0</v>
      </c>
      <c r="RB161" s="294">
        <f t="shared" si="144"/>
        <v>0</v>
      </c>
      <c r="RC161" s="294">
        <f t="shared" si="144"/>
        <v>0</v>
      </c>
      <c r="RD161" s="294">
        <f t="shared" si="144"/>
        <v>0</v>
      </c>
      <c r="RE161" s="294">
        <f t="shared" si="144"/>
        <v>0</v>
      </c>
      <c r="RF161" s="294">
        <f t="shared" si="144"/>
        <v>0</v>
      </c>
      <c r="RG161" s="294">
        <f t="shared" si="144"/>
        <v>0</v>
      </c>
      <c r="RH161" s="294">
        <f t="shared" si="144"/>
        <v>-50779026.780000001</v>
      </c>
      <c r="RI161" s="294">
        <f t="shared" si="144"/>
        <v>-171370.5</v>
      </c>
      <c r="RJ161" s="294">
        <f t="shared" si="144"/>
        <v>0</v>
      </c>
      <c r="RK161" s="294">
        <f t="shared" si="144"/>
        <v>0</v>
      </c>
      <c r="RL161" s="294">
        <f t="shared" si="144"/>
        <v>0</v>
      </c>
      <c r="RM161" s="294">
        <f t="shared" si="144"/>
        <v>0</v>
      </c>
      <c r="RN161" s="294">
        <f t="shared" si="144"/>
        <v>0</v>
      </c>
      <c r="RO161" s="294">
        <f t="shared" si="144"/>
        <v>0</v>
      </c>
      <c r="RP161" s="294">
        <f t="shared" si="144"/>
        <v>0</v>
      </c>
      <c r="RQ161" s="294">
        <f t="shared" si="144"/>
        <v>0</v>
      </c>
      <c r="RR161" s="294">
        <f t="shared" si="144"/>
        <v>0</v>
      </c>
      <c r="RS161" s="294">
        <f t="shared" si="144"/>
        <v>0</v>
      </c>
      <c r="RT161" s="294">
        <f t="shared" si="144"/>
        <v>0</v>
      </c>
      <c r="RU161" s="294">
        <f t="shared" si="144"/>
        <v>0</v>
      </c>
      <c r="RV161" s="294">
        <f t="shared" si="144"/>
        <v>0</v>
      </c>
      <c r="RW161" s="294">
        <f t="shared" si="144"/>
        <v>0</v>
      </c>
      <c r="RX161" s="294">
        <f t="shared" si="144"/>
        <v>0</v>
      </c>
      <c r="RY161" s="294">
        <f t="shared" si="144"/>
        <v>0</v>
      </c>
      <c r="RZ161" s="294">
        <f t="shared" si="144"/>
        <v>0</v>
      </c>
      <c r="SA161" s="294">
        <f t="shared" si="144"/>
        <v>0</v>
      </c>
      <c r="SB161" s="294">
        <f t="shared" si="144"/>
        <v>-9585660.3900000006</v>
      </c>
      <c r="SC161" s="294">
        <f t="shared" si="144"/>
        <v>0</v>
      </c>
      <c r="SD161" s="294">
        <f t="shared" si="144"/>
        <v>0</v>
      </c>
      <c r="SE161" s="294">
        <f t="shared" si="144"/>
        <v>0</v>
      </c>
      <c r="SF161" s="294">
        <f t="shared" si="144"/>
        <v>0</v>
      </c>
      <c r="SG161" s="294">
        <f t="shared" si="144"/>
        <v>0</v>
      </c>
      <c r="SH161" s="294">
        <f t="shared" si="144"/>
        <v>0</v>
      </c>
      <c r="SI161" s="294">
        <f t="shared" si="144"/>
        <v>0</v>
      </c>
      <c r="SJ161" s="294">
        <f t="shared" si="144"/>
        <v>0</v>
      </c>
      <c r="SK161" s="294">
        <f t="shared" si="144"/>
        <v>0</v>
      </c>
      <c r="SL161" s="294">
        <f t="shared" si="144"/>
        <v>0</v>
      </c>
      <c r="SM161" s="294">
        <f t="shared" si="144"/>
        <v>0</v>
      </c>
      <c r="SN161" s="294">
        <f t="shared" si="144"/>
        <v>-4720512.4400000004</v>
      </c>
      <c r="SO161" s="294">
        <f t="shared" si="144"/>
        <v>0</v>
      </c>
      <c r="SP161" s="294">
        <f t="shared" si="144"/>
        <v>0</v>
      </c>
      <c r="SQ161" s="294">
        <f t="shared" si="144"/>
        <v>0</v>
      </c>
      <c r="SR161" s="294">
        <f t="shared" si="144"/>
        <v>0</v>
      </c>
      <c r="SS161" s="294">
        <f t="shared" si="144"/>
        <v>0</v>
      </c>
      <c r="ST161" s="294">
        <f t="shared" si="144"/>
        <v>0</v>
      </c>
      <c r="SU161" s="294">
        <f t="shared" si="144"/>
        <v>0</v>
      </c>
      <c r="SV161" s="294">
        <f t="shared" si="144"/>
        <v>-12781036.77</v>
      </c>
      <c r="SW161" s="294">
        <f t="shared" ref="SW161:VH161" si="145">SUMIF($A$61:$A$154,$A$139,SW$61:SW$154)*-1</f>
        <v>0</v>
      </c>
      <c r="SX161" s="294">
        <f t="shared" si="145"/>
        <v>0</v>
      </c>
      <c r="SY161" s="294">
        <f t="shared" si="145"/>
        <v>0</v>
      </c>
      <c r="SZ161" s="294">
        <f t="shared" si="145"/>
        <v>0</v>
      </c>
      <c r="TA161" s="294">
        <f t="shared" si="145"/>
        <v>0</v>
      </c>
      <c r="TB161" s="294">
        <f t="shared" si="145"/>
        <v>0</v>
      </c>
      <c r="TC161" s="294">
        <f t="shared" si="145"/>
        <v>0</v>
      </c>
      <c r="TD161" s="294">
        <f t="shared" si="145"/>
        <v>0</v>
      </c>
      <c r="TE161" s="294">
        <f t="shared" si="145"/>
        <v>0</v>
      </c>
      <c r="TF161" s="294">
        <f t="shared" si="145"/>
        <v>0</v>
      </c>
      <c r="TG161" s="294">
        <f t="shared" si="145"/>
        <v>0</v>
      </c>
      <c r="TH161" s="294">
        <f t="shared" si="145"/>
        <v>0</v>
      </c>
      <c r="TI161" s="294">
        <f t="shared" si="145"/>
        <v>0</v>
      </c>
      <c r="TJ161" s="294">
        <f t="shared" si="145"/>
        <v>-22699164.27</v>
      </c>
      <c r="TK161" s="294">
        <f t="shared" si="145"/>
        <v>0</v>
      </c>
      <c r="TL161" s="294">
        <f t="shared" si="145"/>
        <v>0</v>
      </c>
      <c r="TM161" s="294">
        <f t="shared" si="145"/>
        <v>-73200</v>
      </c>
      <c r="TN161" s="294">
        <f t="shared" si="145"/>
        <v>0</v>
      </c>
      <c r="TO161" s="294">
        <f t="shared" si="145"/>
        <v>0</v>
      </c>
      <c r="TP161" s="294">
        <f t="shared" si="145"/>
        <v>0</v>
      </c>
      <c r="TQ161" s="294">
        <f t="shared" si="145"/>
        <v>0</v>
      </c>
      <c r="TR161" s="294">
        <f t="shared" si="145"/>
        <v>0</v>
      </c>
      <c r="TS161" s="294">
        <f t="shared" si="145"/>
        <v>0</v>
      </c>
      <c r="TT161" s="294">
        <f t="shared" si="145"/>
        <v>0</v>
      </c>
      <c r="TU161" s="294">
        <f t="shared" si="145"/>
        <v>0</v>
      </c>
      <c r="TV161" s="294">
        <f t="shared" si="145"/>
        <v>0</v>
      </c>
      <c r="TW161" s="294">
        <f t="shared" si="145"/>
        <v>0</v>
      </c>
      <c r="TX161" s="294">
        <f t="shared" si="145"/>
        <v>0</v>
      </c>
      <c r="TY161" s="294">
        <f t="shared" si="145"/>
        <v>0</v>
      </c>
      <c r="TZ161" s="294">
        <f t="shared" si="145"/>
        <v>-7239517.2300000004</v>
      </c>
      <c r="UA161" s="294">
        <f t="shared" si="145"/>
        <v>0</v>
      </c>
      <c r="UB161" s="294">
        <f t="shared" si="145"/>
        <v>-7108417.1200000001</v>
      </c>
      <c r="UC161" s="294">
        <f t="shared" si="145"/>
        <v>0</v>
      </c>
      <c r="UD161" s="294">
        <f t="shared" si="145"/>
        <v>0</v>
      </c>
      <c r="UE161" s="294">
        <f t="shared" si="145"/>
        <v>0</v>
      </c>
      <c r="UF161" s="294">
        <f t="shared" si="145"/>
        <v>-4724095.17</v>
      </c>
      <c r="UG161" s="294">
        <f t="shared" si="145"/>
        <v>0</v>
      </c>
      <c r="UH161" s="294">
        <f t="shared" si="145"/>
        <v>0</v>
      </c>
      <c r="UI161" s="294">
        <f t="shared" si="145"/>
        <v>0</v>
      </c>
      <c r="UJ161" s="294">
        <f t="shared" si="145"/>
        <v>0</v>
      </c>
      <c r="UK161" s="294">
        <f t="shared" si="145"/>
        <v>-6889175.3099999996</v>
      </c>
      <c r="UL161" s="294">
        <f t="shared" si="145"/>
        <v>0</v>
      </c>
      <c r="UM161" s="294">
        <f t="shared" si="145"/>
        <v>0</v>
      </c>
      <c r="UN161" s="294">
        <f t="shared" si="145"/>
        <v>0</v>
      </c>
      <c r="UO161" s="294">
        <f t="shared" si="145"/>
        <v>0</v>
      </c>
      <c r="UP161" s="294">
        <f t="shared" si="145"/>
        <v>0</v>
      </c>
      <c r="UQ161" s="294">
        <f t="shared" si="145"/>
        <v>-69856013.120000005</v>
      </c>
      <c r="UR161" s="294">
        <f t="shared" si="145"/>
        <v>0</v>
      </c>
      <c r="US161" s="294">
        <f t="shared" si="145"/>
        <v>0</v>
      </c>
      <c r="UT161" s="294">
        <f t="shared" si="145"/>
        <v>0</v>
      </c>
      <c r="UU161" s="294">
        <f t="shared" si="145"/>
        <v>0</v>
      </c>
      <c r="UV161" s="294">
        <f t="shared" si="145"/>
        <v>0</v>
      </c>
      <c r="UW161" s="294">
        <f t="shared" si="145"/>
        <v>0</v>
      </c>
      <c r="UX161" s="294">
        <f t="shared" si="145"/>
        <v>0</v>
      </c>
      <c r="UY161" s="294">
        <f t="shared" si="145"/>
        <v>0</v>
      </c>
      <c r="UZ161" s="294">
        <f t="shared" si="145"/>
        <v>0</v>
      </c>
      <c r="VA161" s="294">
        <f t="shared" si="145"/>
        <v>0</v>
      </c>
      <c r="VB161" s="294">
        <f t="shared" si="145"/>
        <v>0</v>
      </c>
      <c r="VC161" s="294">
        <f t="shared" si="145"/>
        <v>0</v>
      </c>
      <c r="VD161" s="294">
        <f t="shared" si="145"/>
        <v>0</v>
      </c>
      <c r="VE161" s="294">
        <f t="shared" si="145"/>
        <v>0</v>
      </c>
      <c r="VF161" s="294">
        <f t="shared" si="145"/>
        <v>0</v>
      </c>
      <c r="VG161" s="294">
        <f t="shared" si="145"/>
        <v>0</v>
      </c>
      <c r="VH161" s="294">
        <f t="shared" si="145"/>
        <v>0</v>
      </c>
      <c r="VI161" s="294">
        <f t="shared" ref="VI161:XT161" si="146">SUMIF($A$61:$A$154,$A$139,VI$61:VI$154)*-1</f>
        <v>-3181967.69</v>
      </c>
      <c r="VJ161" s="294">
        <f t="shared" si="146"/>
        <v>0</v>
      </c>
      <c r="VK161" s="294">
        <f t="shared" si="146"/>
        <v>0</v>
      </c>
      <c r="VL161" s="294">
        <f t="shared" si="146"/>
        <v>0</v>
      </c>
      <c r="VM161" s="294">
        <f t="shared" si="146"/>
        <v>-27860799.210000001</v>
      </c>
      <c r="VN161" s="294">
        <f t="shared" si="146"/>
        <v>0</v>
      </c>
      <c r="VO161" s="294">
        <f t="shared" si="146"/>
        <v>0</v>
      </c>
      <c r="VP161" s="294">
        <f t="shared" si="146"/>
        <v>0</v>
      </c>
      <c r="VQ161" s="294">
        <f t="shared" si="146"/>
        <v>0</v>
      </c>
      <c r="VR161" s="294">
        <f t="shared" si="146"/>
        <v>0</v>
      </c>
      <c r="VS161" s="294">
        <f t="shared" si="146"/>
        <v>0</v>
      </c>
      <c r="VT161" s="294">
        <f t="shared" si="146"/>
        <v>0</v>
      </c>
      <c r="VU161" s="294">
        <f t="shared" si="146"/>
        <v>0</v>
      </c>
      <c r="VV161" s="294">
        <f t="shared" si="146"/>
        <v>0</v>
      </c>
      <c r="VW161" s="294">
        <f t="shared" si="146"/>
        <v>0</v>
      </c>
      <c r="VX161" s="294">
        <f t="shared" si="146"/>
        <v>0</v>
      </c>
      <c r="VY161" s="294">
        <f t="shared" si="146"/>
        <v>0</v>
      </c>
      <c r="VZ161" s="294">
        <f t="shared" si="146"/>
        <v>0</v>
      </c>
      <c r="WA161" s="294">
        <f t="shared" si="146"/>
        <v>0</v>
      </c>
      <c r="WB161" s="294">
        <f t="shared" si="146"/>
        <v>-119653254.48999999</v>
      </c>
      <c r="WC161" s="294">
        <f t="shared" si="146"/>
        <v>0</v>
      </c>
      <c r="WD161" s="294">
        <f t="shared" si="146"/>
        <v>0</v>
      </c>
      <c r="WE161" s="294">
        <f t="shared" si="146"/>
        <v>0</v>
      </c>
      <c r="WF161" s="294">
        <f t="shared" si="146"/>
        <v>0</v>
      </c>
      <c r="WG161" s="294">
        <f t="shared" si="146"/>
        <v>0</v>
      </c>
      <c r="WH161" s="294">
        <f t="shared" si="146"/>
        <v>0</v>
      </c>
      <c r="WI161" s="294">
        <f t="shared" si="146"/>
        <v>0</v>
      </c>
      <c r="WJ161" s="294">
        <f t="shared" si="146"/>
        <v>0</v>
      </c>
      <c r="WK161" s="294">
        <f t="shared" si="146"/>
        <v>0</v>
      </c>
      <c r="WL161" s="294">
        <f t="shared" si="146"/>
        <v>0</v>
      </c>
      <c r="WM161" s="294">
        <f t="shared" si="146"/>
        <v>0</v>
      </c>
      <c r="WN161" s="294">
        <f t="shared" si="146"/>
        <v>0</v>
      </c>
      <c r="WO161" s="294">
        <f t="shared" si="146"/>
        <v>0</v>
      </c>
      <c r="WP161" s="294">
        <f t="shared" si="146"/>
        <v>0</v>
      </c>
      <c r="WQ161" s="294">
        <f t="shared" si="146"/>
        <v>0</v>
      </c>
      <c r="WR161" s="294">
        <f t="shared" si="146"/>
        <v>0</v>
      </c>
      <c r="WS161" s="294">
        <f t="shared" si="146"/>
        <v>0</v>
      </c>
      <c r="WT161" s="294">
        <f t="shared" si="146"/>
        <v>0</v>
      </c>
      <c r="WU161" s="294">
        <f t="shared" si="146"/>
        <v>0</v>
      </c>
      <c r="WV161" s="294">
        <f t="shared" si="146"/>
        <v>0</v>
      </c>
      <c r="WW161" s="294">
        <f t="shared" si="146"/>
        <v>0</v>
      </c>
      <c r="WX161" s="294">
        <f t="shared" si="146"/>
        <v>0</v>
      </c>
      <c r="WY161" s="294">
        <f t="shared" si="146"/>
        <v>0</v>
      </c>
      <c r="WZ161" s="294">
        <f t="shared" si="146"/>
        <v>0</v>
      </c>
      <c r="XA161" s="294">
        <f t="shared" si="146"/>
        <v>0</v>
      </c>
      <c r="XB161" s="294">
        <f t="shared" si="146"/>
        <v>0</v>
      </c>
      <c r="XC161" s="294">
        <f t="shared" si="146"/>
        <v>0</v>
      </c>
      <c r="XD161" s="294">
        <f t="shared" si="146"/>
        <v>-7703294.2999999998</v>
      </c>
      <c r="XE161" s="294">
        <f t="shared" si="146"/>
        <v>0</v>
      </c>
      <c r="XF161" s="294">
        <f t="shared" si="146"/>
        <v>0</v>
      </c>
      <c r="XG161" s="294">
        <f t="shared" si="146"/>
        <v>0</v>
      </c>
      <c r="XH161" s="294">
        <f t="shared" si="146"/>
        <v>0</v>
      </c>
      <c r="XI161" s="294">
        <f t="shared" si="146"/>
        <v>-49696009.649999999</v>
      </c>
      <c r="XJ161" s="294">
        <f t="shared" si="146"/>
        <v>0</v>
      </c>
      <c r="XK161" s="294">
        <f t="shared" si="146"/>
        <v>0</v>
      </c>
      <c r="XL161" s="294">
        <f t="shared" si="146"/>
        <v>-22343454.050000001</v>
      </c>
      <c r="XM161" s="294">
        <f t="shared" si="146"/>
        <v>0</v>
      </c>
      <c r="XN161" s="294">
        <f t="shared" si="146"/>
        <v>0</v>
      </c>
      <c r="XO161" s="294">
        <f t="shared" si="146"/>
        <v>0</v>
      </c>
      <c r="XP161" s="294">
        <f t="shared" si="146"/>
        <v>0</v>
      </c>
      <c r="XQ161" s="294">
        <f t="shared" si="146"/>
        <v>0</v>
      </c>
      <c r="XR161" s="294">
        <f t="shared" si="146"/>
        <v>0</v>
      </c>
      <c r="XS161" s="294">
        <f t="shared" si="146"/>
        <v>0</v>
      </c>
      <c r="XT161" s="294">
        <f t="shared" si="146"/>
        <v>0</v>
      </c>
      <c r="XU161" s="294">
        <f t="shared" ref="XU161:AAF161" si="147">SUMIF($A$61:$A$154,$A$139,XU$61:XU$154)*-1</f>
        <v>0</v>
      </c>
      <c r="XV161" s="294">
        <f t="shared" si="147"/>
        <v>0</v>
      </c>
      <c r="XW161" s="294">
        <f t="shared" si="147"/>
        <v>0</v>
      </c>
      <c r="XX161" s="294">
        <f t="shared" si="147"/>
        <v>0</v>
      </c>
      <c r="XY161" s="294">
        <f t="shared" si="147"/>
        <v>0</v>
      </c>
      <c r="XZ161" s="294">
        <f t="shared" si="147"/>
        <v>0</v>
      </c>
      <c r="YA161" s="294">
        <f t="shared" si="147"/>
        <v>0</v>
      </c>
      <c r="YB161" s="294">
        <f t="shared" si="147"/>
        <v>0</v>
      </c>
      <c r="YC161" s="294">
        <f t="shared" si="147"/>
        <v>0</v>
      </c>
      <c r="YD161" s="294">
        <f t="shared" si="147"/>
        <v>0</v>
      </c>
      <c r="YE161" s="294">
        <f t="shared" si="147"/>
        <v>0</v>
      </c>
      <c r="YF161" s="294">
        <f t="shared" si="147"/>
        <v>-104000388.61</v>
      </c>
      <c r="YG161" s="294">
        <f t="shared" si="147"/>
        <v>0</v>
      </c>
      <c r="YH161" s="294">
        <f t="shared" si="147"/>
        <v>0</v>
      </c>
      <c r="YI161" s="294">
        <f t="shared" si="147"/>
        <v>0</v>
      </c>
      <c r="YJ161" s="294">
        <f t="shared" si="147"/>
        <v>0</v>
      </c>
      <c r="YK161" s="294">
        <f t="shared" si="147"/>
        <v>0</v>
      </c>
      <c r="YL161" s="294">
        <f t="shared" si="147"/>
        <v>0</v>
      </c>
      <c r="YM161" s="294">
        <f t="shared" si="147"/>
        <v>0</v>
      </c>
      <c r="YN161" s="294">
        <f t="shared" si="147"/>
        <v>0</v>
      </c>
      <c r="YO161" s="294">
        <f t="shared" si="147"/>
        <v>0</v>
      </c>
      <c r="YP161" s="294">
        <f t="shared" si="147"/>
        <v>0</v>
      </c>
      <c r="YQ161" s="294">
        <f t="shared" si="147"/>
        <v>0</v>
      </c>
      <c r="YR161" s="294">
        <f t="shared" si="147"/>
        <v>0</v>
      </c>
      <c r="YS161" s="294">
        <f t="shared" si="147"/>
        <v>0</v>
      </c>
      <c r="YT161" s="294">
        <f t="shared" si="147"/>
        <v>0</v>
      </c>
      <c r="YU161" s="294">
        <f t="shared" si="147"/>
        <v>0</v>
      </c>
      <c r="YV161" s="294">
        <f t="shared" si="147"/>
        <v>0</v>
      </c>
      <c r="YW161" s="294">
        <f t="shared" si="147"/>
        <v>-23124531.359999999</v>
      </c>
      <c r="YX161" s="294">
        <f t="shared" si="147"/>
        <v>0</v>
      </c>
      <c r="YY161" s="294">
        <f t="shared" si="147"/>
        <v>0</v>
      </c>
      <c r="YZ161" s="294">
        <f t="shared" si="147"/>
        <v>0</v>
      </c>
      <c r="ZA161" s="294">
        <f t="shared" si="147"/>
        <v>-1389660</v>
      </c>
      <c r="ZB161" s="294">
        <f t="shared" si="147"/>
        <v>0</v>
      </c>
      <c r="ZC161" s="294">
        <f t="shared" si="147"/>
        <v>0</v>
      </c>
      <c r="ZD161" s="294">
        <f t="shared" si="147"/>
        <v>-9255127.6899999995</v>
      </c>
      <c r="ZE161" s="294">
        <f t="shared" si="147"/>
        <v>0</v>
      </c>
      <c r="ZF161" s="294">
        <f t="shared" si="147"/>
        <v>0</v>
      </c>
      <c r="ZG161" s="294">
        <f t="shared" si="147"/>
        <v>0</v>
      </c>
      <c r="ZH161" s="294">
        <f t="shared" si="147"/>
        <v>0</v>
      </c>
      <c r="ZI161" s="294">
        <f t="shared" si="147"/>
        <v>0</v>
      </c>
      <c r="ZJ161" s="294">
        <f t="shared" si="147"/>
        <v>0</v>
      </c>
      <c r="ZK161" s="294">
        <f t="shared" si="147"/>
        <v>0</v>
      </c>
      <c r="ZL161" s="294">
        <f t="shared" si="147"/>
        <v>0</v>
      </c>
      <c r="ZM161" s="294">
        <f t="shared" si="147"/>
        <v>-26885623.120000001</v>
      </c>
      <c r="ZN161" s="294">
        <f t="shared" si="147"/>
        <v>0</v>
      </c>
      <c r="ZO161" s="294">
        <f t="shared" si="147"/>
        <v>0</v>
      </c>
      <c r="ZP161" s="294">
        <f t="shared" si="147"/>
        <v>0</v>
      </c>
      <c r="ZQ161" s="294">
        <f t="shared" si="147"/>
        <v>0</v>
      </c>
      <c r="ZR161" s="294">
        <f t="shared" si="147"/>
        <v>0</v>
      </c>
      <c r="ZS161" s="294">
        <f t="shared" si="147"/>
        <v>0</v>
      </c>
      <c r="ZT161" s="294">
        <f t="shared" si="147"/>
        <v>0</v>
      </c>
      <c r="ZU161" s="294">
        <f t="shared" si="147"/>
        <v>0</v>
      </c>
      <c r="ZV161" s="294">
        <f t="shared" si="147"/>
        <v>0</v>
      </c>
      <c r="ZW161" s="294">
        <f t="shared" si="147"/>
        <v>0</v>
      </c>
      <c r="ZX161" s="294">
        <f t="shared" si="147"/>
        <v>0</v>
      </c>
      <c r="ZY161" s="294">
        <f t="shared" si="147"/>
        <v>0</v>
      </c>
      <c r="ZZ161" s="294">
        <f t="shared" si="147"/>
        <v>0</v>
      </c>
      <c r="AAA161" s="294">
        <f t="shared" si="147"/>
        <v>0</v>
      </c>
      <c r="AAB161" s="294">
        <f t="shared" si="147"/>
        <v>0</v>
      </c>
      <c r="AAC161" s="294">
        <f t="shared" si="147"/>
        <v>0</v>
      </c>
      <c r="AAD161" s="294">
        <f t="shared" si="147"/>
        <v>0</v>
      </c>
      <c r="AAE161" s="294">
        <f t="shared" si="147"/>
        <v>0</v>
      </c>
      <c r="AAF161" s="294">
        <f t="shared" si="147"/>
        <v>0</v>
      </c>
      <c r="AAG161" s="294">
        <f t="shared" ref="AAG161:ACR161" si="148">SUMIF($A$61:$A$154,$A$139,AAG$61:AAG$154)*-1</f>
        <v>0</v>
      </c>
      <c r="AAH161" s="294">
        <f t="shared" si="148"/>
        <v>0</v>
      </c>
      <c r="AAI161" s="294">
        <f t="shared" si="148"/>
        <v>-18085661.640000001</v>
      </c>
      <c r="AAJ161" s="294">
        <f t="shared" si="148"/>
        <v>0</v>
      </c>
      <c r="AAK161" s="294">
        <f t="shared" si="148"/>
        <v>0</v>
      </c>
      <c r="AAL161" s="294">
        <f t="shared" si="148"/>
        <v>0</v>
      </c>
      <c r="AAM161" s="294">
        <f t="shared" si="148"/>
        <v>0</v>
      </c>
      <c r="AAN161" s="294">
        <f t="shared" si="148"/>
        <v>0</v>
      </c>
      <c r="AAO161" s="294">
        <f t="shared" si="148"/>
        <v>0</v>
      </c>
      <c r="AAP161" s="294">
        <f t="shared" si="148"/>
        <v>-117319225.09999999</v>
      </c>
      <c r="AAQ161" s="294">
        <f t="shared" si="148"/>
        <v>0</v>
      </c>
      <c r="AAR161" s="294">
        <f t="shared" si="148"/>
        <v>0</v>
      </c>
      <c r="AAS161" s="294">
        <f t="shared" si="148"/>
        <v>0</v>
      </c>
      <c r="AAT161" s="294">
        <f t="shared" si="148"/>
        <v>0</v>
      </c>
      <c r="AAU161" s="294">
        <f t="shared" si="148"/>
        <v>0</v>
      </c>
      <c r="AAV161" s="294">
        <f t="shared" si="148"/>
        <v>0</v>
      </c>
      <c r="AAW161" s="294">
        <f t="shared" si="148"/>
        <v>0</v>
      </c>
      <c r="AAX161" s="294">
        <f t="shared" si="148"/>
        <v>0</v>
      </c>
      <c r="AAY161" s="294">
        <f t="shared" si="148"/>
        <v>0</v>
      </c>
      <c r="AAZ161" s="294">
        <f t="shared" si="148"/>
        <v>0</v>
      </c>
      <c r="ABA161" s="294">
        <f t="shared" si="148"/>
        <v>-24807900.739999998</v>
      </c>
      <c r="ABB161" s="294">
        <f t="shared" si="148"/>
        <v>0</v>
      </c>
      <c r="ABC161" s="294">
        <f t="shared" si="148"/>
        <v>0</v>
      </c>
      <c r="ABD161" s="294">
        <f t="shared" si="148"/>
        <v>0</v>
      </c>
      <c r="ABE161" s="294">
        <f t="shared" si="148"/>
        <v>0</v>
      </c>
      <c r="ABF161" s="294">
        <f t="shared" si="148"/>
        <v>0</v>
      </c>
      <c r="ABG161" s="294">
        <f t="shared" si="148"/>
        <v>0</v>
      </c>
      <c r="ABH161" s="294">
        <f t="shared" si="148"/>
        <v>0</v>
      </c>
      <c r="ABI161" s="294">
        <f t="shared" si="148"/>
        <v>-2171086.66</v>
      </c>
      <c r="ABJ161" s="294">
        <f t="shared" si="148"/>
        <v>0</v>
      </c>
      <c r="ABK161" s="294">
        <f t="shared" si="148"/>
        <v>0</v>
      </c>
      <c r="ABL161" s="294">
        <f t="shared" si="148"/>
        <v>0</v>
      </c>
      <c r="ABM161" s="294">
        <f t="shared" si="148"/>
        <v>0</v>
      </c>
      <c r="ABN161" s="294">
        <f t="shared" si="148"/>
        <v>0</v>
      </c>
      <c r="ABO161" s="294">
        <f t="shared" si="148"/>
        <v>0</v>
      </c>
      <c r="ABP161" s="294">
        <f t="shared" si="148"/>
        <v>-4684376.79</v>
      </c>
      <c r="ABQ161" s="294">
        <f t="shared" si="148"/>
        <v>0</v>
      </c>
      <c r="ABR161" s="294">
        <f t="shared" si="148"/>
        <v>0</v>
      </c>
      <c r="ABS161" s="294">
        <f t="shared" si="148"/>
        <v>0</v>
      </c>
      <c r="ABT161" s="294">
        <f t="shared" si="148"/>
        <v>0</v>
      </c>
      <c r="ABU161" s="294">
        <f t="shared" si="148"/>
        <v>0</v>
      </c>
      <c r="ABV161" s="294">
        <f t="shared" si="148"/>
        <v>0</v>
      </c>
      <c r="ABW161" s="294">
        <f t="shared" si="148"/>
        <v>0</v>
      </c>
      <c r="ABX161" s="294">
        <f t="shared" si="148"/>
        <v>0</v>
      </c>
      <c r="ABY161" s="294">
        <f t="shared" si="148"/>
        <v>-38160285.049999997</v>
      </c>
      <c r="ABZ161" s="294">
        <f t="shared" si="148"/>
        <v>0</v>
      </c>
      <c r="ACA161" s="294">
        <f t="shared" si="148"/>
        <v>0</v>
      </c>
      <c r="ACB161" s="294">
        <f t="shared" si="148"/>
        <v>0</v>
      </c>
      <c r="ACC161" s="294">
        <f t="shared" si="148"/>
        <v>0</v>
      </c>
      <c r="ACD161" s="294">
        <f t="shared" si="148"/>
        <v>0</v>
      </c>
      <c r="ACE161" s="294">
        <f t="shared" si="148"/>
        <v>0</v>
      </c>
      <c r="ACF161" s="294">
        <f t="shared" si="148"/>
        <v>0</v>
      </c>
      <c r="ACG161" s="294">
        <f t="shared" si="148"/>
        <v>0</v>
      </c>
      <c r="ACH161" s="294">
        <f t="shared" si="148"/>
        <v>0</v>
      </c>
      <c r="ACI161" s="294">
        <f t="shared" si="148"/>
        <v>0</v>
      </c>
      <c r="ACJ161" s="294">
        <f t="shared" si="148"/>
        <v>-52820293.590000004</v>
      </c>
      <c r="ACK161" s="294">
        <f t="shared" si="148"/>
        <v>0</v>
      </c>
      <c r="ACL161" s="294">
        <f t="shared" si="148"/>
        <v>0</v>
      </c>
      <c r="ACM161" s="294">
        <f t="shared" si="148"/>
        <v>0</v>
      </c>
      <c r="ACN161" s="294">
        <f t="shared" si="148"/>
        <v>0</v>
      </c>
      <c r="ACO161" s="294">
        <f t="shared" si="148"/>
        <v>0</v>
      </c>
      <c r="ACP161" s="294">
        <f t="shared" si="148"/>
        <v>0</v>
      </c>
      <c r="ACQ161" s="294">
        <f t="shared" si="148"/>
        <v>-29755054.969999999</v>
      </c>
      <c r="ACR161" s="294">
        <f t="shared" si="148"/>
        <v>-77354781.489999995</v>
      </c>
      <c r="ACS161" s="294">
        <f t="shared" ref="ACS161:AFD161" si="149">SUMIF($A$61:$A$154,$A$139,ACS$61:ACS$154)*-1</f>
        <v>0</v>
      </c>
      <c r="ACT161" s="294">
        <f t="shared" si="149"/>
        <v>0</v>
      </c>
      <c r="ACU161" s="294">
        <f t="shared" si="149"/>
        <v>0</v>
      </c>
      <c r="ACV161" s="294">
        <f t="shared" si="149"/>
        <v>0</v>
      </c>
      <c r="ACW161" s="294">
        <f t="shared" si="149"/>
        <v>-4835429.4800000004</v>
      </c>
      <c r="ACX161" s="294">
        <f t="shared" si="149"/>
        <v>0</v>
      </c>
      <c r="ACY161" s="294">
        <f t="shared" si="149"/>
        <v>0</v>
      </c>
      <c r="ACZ161" s="294">
        <f t="shared" si="149"/>
        <v>0</v>
      </c>
      <c r="ADA161" s="294">
        <f t="shared" si="149"/>
        <v>0</v>
      </c>
      <c r="ADB161" s="294">
        <f t="shared" si="149"/>
        <v>0</v>
      </c>
      <c r="ADC161" s="294">
        <f t="shared" si="149"/>
        <v>0</v>
      </c>
      <c r="ADD161" s="294">
        <f t="shared" si="149"/>
        <v>0</v>
      </c>
      <c r="ADE161" s="294">
        <f t="shared" si="149"/>
        <v>0</v>
      </c>
      <c r="ADF161" s="294">
        <f t="shared" si="149"/>
        <v>0</v>
      </c>
      <c r="ADG161" s="294">
        <f t="shared" si="149"/>
        <v>-1052663.95</v>
      </c>
      <c r="ADH161" s="294">
        <f t="shared" si="149"/>
        <v>-688493.56</v>
      </c>
      <c r="ADI161" s="294">
        <f t="shared" si="149"/>
        <v>0</v>
      </c>
      <c r="ADJ161" s="294">
        <f t="shared" si="149"/>
        <v>0</v>
      </c>
      <c r="ADK161" s="294">
        <f t="shared" si="149"/>
        <v>0</v>
      </c>
      <c r="ADL161" s="294">
        <f t="shared" si="149"/>
        <v>0</v>
      </c>
      <c r="ADM161" s="294">
        <f t="shared" si="149"/>
        <v>0</v>
      </c>
      <c r="ADN161" s="294">
        <f t="shared" si="149"/>
        <v>0</v>
      </c>
      <c r="ADO161" s="294">
        <f t="shared" si="149"/>
        <v>0</v>
      </c>
      <c r="ADP161" s="294">
        <f t="shared" si="149"/>
        <v>-45642860.240000002</v>
      </c>
      <c r="ADQ161" s="294">
        <f t="shared" si="149"/>
        <v>-16947269.640000001</v>
      </c>
      <c r="ADR161" s="294">
        <f t="shared" si="149"/>
        <v>0</v>
      </c>
      <c r="ADS161" s="294">
        <f t="shared" si="149"/>
        <v>0</v>
      </c>
      <c r="ADT161" s="294">
        <f t="shared" si="149"/>
        <v>-4121727.84</v>
      </c>
      <c r="ADU161" s="294">
        <f t="shared" si="149"/>
        <v>0</v>
      </c>
      <c r="ADV161" s="294">
        <f t="shared" si="149"/>
        <v>-82518.720000000001</v>
      </c>
      <c r="ADW161" s="294">
        <f t="shared" si="149"/>
        <v>0</v>
      </c>
      <c r="ADX161" s="294">
        <f t="shared" si="149"/>
        <v>0</v>
      </c>
      <c r="ADY161" s="294">
        <f t="shared" si="149"/>
        <v>0</v>
      </c>
      <c r="ADZ161" s="294">
        <f t="shared" si="149"/>
        <v>-81469378.849999994</v>
      </c>
      <c r="AEA161" s="294">
        <f t="shared" si="149"/>
        <v>-13821886.689999999</v>
      </c>
      <c r="AEB161" s="294">
        <f t="shared" si="149"/>
        <v>0</v>
      </c>
      <c r="AEC161" s="294">
        <f t="shared" si="149"/>
        <v>0</v>
      </c>
      <c r="AED161" s="294">
        <f t="shared" si="149"/>
        <v>0</v>
      </c>
      <c r="AEE161" s="294">
        <f t="shared" si="149"/>
        <v>0</v>
      </c>
      <c r="AEF161" s="294">
        <f t="shared" si="149"/>
        <v>0</v>
      </c>
      <c r="AEG161" s="294">
        <f t="shared" si="149"/>
        <v>0</v>
      </c>
      <c r="AEH161" s="294">
        <f t="shared" si="149"/>
        <v>0</v>
      </c>
      <c r="AEI161" s="294">
        <f t="shared" si="149"/>
        <v>0</v>
      </c>
      <c r="AEJ161" s="294">
        <f t="shared" si="149"/>
        <v>0</v>
      </c>
      <c r="AEK161" s="294">
        <f t="shared" si="149"/>
        <v>0</v>
      </c>
      <c r="AEL161" s="294">
        <f t="shared" si="149"/>
        <v>0</v>
      </c>
      <c r="AEM161" s="294">
        <f t="shared" si="149"/>
        <v>0</v>
      </c>
      <c r="AEN161" s="294">
        <f t="shared" si="149"/>
        <v>0</v>
      </c>
      <c r="AEO161" s="294">
        <f t="shared" si="149"/>
        <v>0</v>
      </c>
      <c r="AEP161" s="294">
        <f t="shared" si="149"/>
        <v>0</v>
      </c>
      <c r="AEQ161" s="294">
        <f t="shared" si="149"/>
        <v>0</v>
      </c>
      <c r="AER161" s="294">
        <f t="shared" si="149"/>
        <v>0</v>
      </c>
      <c r="AES161" s="294">
        <f t="shared" si="149"/>
        <v>0</v>
      </c>
      <c r="AET161" s="294">
        <f t="shared" si="149"/>
        <v>-12192714.99</v>
      </c>
      <c r="AEU161" s="294">
        <f t="shared" si="149"/>
        <v>0</v>
      </c>
      <c r="AEV161" s="294">
        <f t="shared" si="149"/>
        <v>0</v>
      </c>
      <c r="AEW161" s="294">
        <f t="shared" si="149"/>
        <v>0</v>
      </c>
      <c r="AEX161" s="294">
        <f t="shared" si="149"/>
        <v>0</v>
      </c>
      <c r="AEY161" s="294">
        <f t="shared" si="149"/>
        <v>0</v>
      </c>
      <c r="AEZ161" s="294">
        <f t="shared" si="149"/>
        <v>0</v>
      </c>
      <c r="AFA161" s="294">
        <f t="shared" si="149"/>
        <v>0</v>
      </c>
      <c r="AFB161" s="294">
        <f t="shared" si="149"/>
        <v>0</v>
      </c>
      <c r="AFC161" s="294">
        <f t="shared" si="149"/>
        <v>0</v>
      </c>
      <c r="AFD161" s="294">
        <f t="shared" si="149"/>
        <v>-4858326.32</v>
      </c>
      <c r="AFE161" s="294">
        <f t="shared" ref="AFE161:AHP161" si="150">SUMIF($A$61:$A$154,$A$139,AFE$61:AFE$154)*-1</f>
        <v>-1884568.8</v>
      </c>
      <c r="AFF161" s="294">
        <f t="shared" si="150"/>
        <v>0</v>
      </c>
      <c r="AFG161" s="294">
        <f t="shared" si="150"/>
        <v>0</v>
      </c>
      <c r="AFH161" s="294">
        <f t="shared" si="150"/>
        <v>0</v>
      </c>
      <c r="AFI161" s="294">
        <f t="shared" si="150"/>
        <v>0</v>
      </c>
      <c r="AFJ161" s="294">
        <f t="shared" si="150"/>
        <v>0</v>
      </c>
      <c r="AFK161" s="294">
        <f t="shared" si="150"/>
        <v>0</v>
      </c>
      <c r="AFL161" s="294">
        <f t="shared" si="150"/>
        <v>0</v>
      </c>
      <c r="AFM161" s="294">
        <f t="shared" si="150"/>
        <v>0</v>
      </c>
      <c r="AFN161" s="294">
        <f t="shared" si="150"/>
        <v>0</v>
      </c>
      <c r="AFO161" s="294">
        <f t="shared" si="150"/>
        <v>0</v>
      </c>
      <c r="AFP161" s="294">
        <f t="shared" si="150"/>
        <v>0</v>
      </c>
      <c r="AFQ161" s="294">
        <f t="shared" si="150"/>
        <v>-2079938.67</v>
      </c>
      <c r="AFR161" s="294">
        <f t="shared" si="150"/>
        <v>0</v>
      </c>
      <c r="AFS161" s="294">
        <f t="shared" si="150"/>
        <v>0</v>
      </c>
      <c r="AFT161" s="294">
        <f t="shared" si="150"/>
        <v>0</v>
      </c>
      <c r="AFU161" s="294">
        <f t="shared" si="150"/>
        <v>0</v>
      </c>
      <c r="AFV161" s="294">
        <f t="shared" si="150"/>
        <v>0</v>
      </c>
      <c r="AFW161" s="294">
        <f t="shared" si="150"/>
        <v>0</v>
      </c>
      <c r="AFX161" s="294">
        <f t="shared" si="150"/>
        <v>0</v>
      </c>
      <c r="AFY161" s="294">
        <f t="shared" si="150"/>
        <v>0</v>
      </c>
      <c r="AFZ161" s="294">
        <f t="shared" si="150"/>
        <v>0</v>
      </c>
      <c r="AGA161" s="294">
        <f t="shared" si="150"/>
        <v>0</v>
      </c>
      <c r="AGB161" s="294">
        <f t="shared" si="150"/>
        <v>0</v>
      </c>
      <c r="AGC161" s="294">
        <f t="shared" si="150"/>
        <v>-15356172.050000001</v>
      </c>
      <c r="AGD161" s="294">
        <f t="shared" si="150"/>
        <v>0</v>
      </c>
      <c r="AGE161" s="294">
        <f t="shared" si="150"/>
        <v>0</v>
      </c>
      <c r="AGF161" s="294">
        <f t="shared" si="150"/>
        <v>0</v>
      </c>
      <c r="AGG161" s="294">
        <f t="shared" si="150"/>
        <v>0</v>
      </c>
      <c r="AGH161" s="294">
        <f t="shared" si="150"/>
        <v>0</v>
      </c>
      <c r="AGI161" s="294">
        <f t="shared" si="150"/>
        <v>0</v>
      </c>
      <c r="AGJ161" s="294">
        <f t="shared" si="150"/>
        <v>0</v>
      </c>
      <c r="AGK161" s="294">
        <f t="shared" si="150"/>
        <v>0</v>
      </c>
      <c r="AGL161" s="294">
        <f t="shared" si="150"/>
        <v>0</v>
      </c>
      <c r="AGM161" s="294">
        <f t="shared" si="150"/>
        <v>0</v>
      </c>
      <c r="AGN161" s="294">
        <f t="shared" si="150"/>
        <v>-2012801.89</v>
      </c>
      <c r="AGO161" s="294">
        <f t="shared" si="150"/>
        <v>-671105.43</v>
      </c>
      <c r="AGP161" s="294">
        <f t="shared" si="150"/>
        <v>0</v>
      </c>
      <c r="AGQ161" s="294">
        <f t="shared" si="150"/>
        <v>0</v>
      </c>
      <c r="AGR161" s="294">
        <f t="shared" si="150"/>
        <v>0</v>
      </c>
      <c r="AGS161" s="294">
        <f t="shared" si="150"/>
        <v>0</v>
      </c>
      <c r="AGT161" s="294">
        <f t="shared" si="150"/>
        <v>0</v>
      </c>
      <c r="AGU161" s="294">
        <f t="shared" si="150"/>
        <v>0</v>
      </c>
      <c r="AGV161" s="294">
        <f t="shared" si="150"/>
        <v>-42153082.619999997</v>
      </c>
      <c r="AGW161" s="294">
        <f t="shared" si="150"/>
        <v>-8140489.1799999997</v>
      </c>
      <c r="AGX161" s="294">
        <f t="shared" si="150"/>
        <v>0</v>
      </c>
      <c r="AGY161" s="294">
        <f t="shared" si="150"/>
        <v>0</v>
      </c>
      <c r="AGZ161" s="294">
        <f t="shared" si="150"/>
        <v>0</v>
      </c>
      <c r="AHA161" s="294">
        <f t="shared" si="150"/>
        <v>0</v>
      </c>
      <c r="AHB161" s="294">
        <f t="shared" si="150"/>
        <v>0</v>
      </c>
      <c r="AHC161" s="294">
        <f t="shared" si="150"/>
        <v>0</v>
      </c>
      <c r="AHD161" s="294">
        <f t="shared" si="150"/>
        <v>0</v>
      </c>
      <c r="AHE161" s="294">
        <f t="shared" si="150"/>
        <v>0</v>
      </c>
      <c r="AHF161" s="294">
        <f t="shared" si="150"/>
        <v>0</v>
      </c>
      <c r="AHG161" s="294">
        <f t="shared" si="150"/>
        <v>0</v>
      </c>
      <c r="AHH161" s="294">
        <f t="shared" si="150"/>
        <v>0</v>
      </c>
      <c r="AHI161" s="294">
        <f t="shared" si="150"/>
        <v>0</v>
      </c>
      <c r="AHJ161" s="294">
        <f t="shared" si="150"/>
        <v>0</v>
      </c>
      <c r="AHK161" s="294">
        <f t="shared" si="150"/>
        <v>0</v>
      </c>
      <c r="AHL161" s="294">
        <f t="shared" si="150"/>
        <v>0</v>
      </c>
      <c r="AHM161" s="294">
        <f t="shared" si="150"/>
        <v>-7841742.9500000002</v>
      </c>
      <c r="AHN161" s="294">
        <f t="shared" si="150"/>
        <v>0</v>
      </c>
      <c r="AHO161" s="294">
        <f t="shared" si="150"/>
        <v>0</v>
      </c>
      <c r="AHP161" s="294">
        <f t="shared" si="150"/>
        <v>0</v>
      </c>
      <c r="AHQ161" s="294">
        <f t="shared" ref="AHQ161:AHT161" si="151">SUMIF($A$61:$A$154,$A$139,AHQ$61:AHQ$154)*-1</f>
        <v>0</v>
      </c>
      <c r="AHR161" s="294">
        <f t="shared" si="151"/>
        <v>0</v>
      </c>
      <c r="AHS161" s="294">
        <f t="shared" si="151"/>
        <v>0</v>
      </c>
      <c r="AHT161" s="294">
        <f t="shared" si="151"/>
        <v>-3498471152.8599987</v>
      </c>
    </row>
    <row r="162" spans="2:905" ht="27" x14ac:dyDescent="0.75">
      <c r="B162" s="594" t="s">
        <v>6285</v>
      </c>
      <c r="C162" s="595" t="s">
        <v>6277</v>
      </c>
      <c r="D162" s="294">
        <f>SUMIF($A$61:$A$154,$A$75,D$61:D$154)*-1</f>
        <v>-502248969.76000005</v>
      </c>
      <c r="E162" s="294">
        <f t="shared" ref="E162:BP162" si="152">SUMIF($A$61:$A$154,$A$75,E$61:E$154)*-1</f>
        <v>-24583276.98</v>
      </c>
      <c r="F162" s="294">
        <f t="shared" si="152"/>
        <v>-44041055.589999996</v>
      </c>
      <c r="G162" s="294">
        <f t="shared" si="152"/>
        <v>-7570052.0099999998</v>
      </c>
      <c r="H162" s="294">
        <f t="shared" si="152"/>
        <v>-43494116.93</v>
      </c>
      <c r="I162" s="294">
        <f t="shared" si="152"/>
        <v>-7958215.0699999994</v>
      </c>
      <c r="J162" s="294">
        <f t="shared" si="152"/>
        <v>-123002977.56999999</v>
      </c>
      <c r="K162" s="294">
        <f t="shared" si="152"/>
        <v>-13840408.189999999</v>
      </c>
      <c r="L162" s="294">
        <f t="shared" si="152"/>
        <v>-18108423.460000005</v>
      </c>
      <c r="M162" s="294">
        <f t="shared" si="152"/>
        <v>-18233694.490000006</v>
      </c>
      <c r="N162" s="294">
        <f t="shared" si="152"/>
        <v>-18275618.299999997</v>
      </c>
      <c r="O162" s="294">
        <f t="shared" si="152"/>
        <v>-19160359.269999996</v>
      </c>
      <c r="P162" s="294">
        <f t="shared" si="152"/>
        <v>-37466280.789999999</v>
      </c>
      <c r="Q162" s="294">
        <f t="shared" si="152"/>
        <v>-19504393.199999999</v>
      </c>
      <c r="R162" s="294">
        <f t="shared" si="152"/>
        <v>-6103973.9399999995</v>
      </c>
      <c r="S162" s="294">
        <f t="shared" si="152"/>
        <v>-51211947.010000005</v>
      </c>
      <c r="T162" s="294">
        <f t="shared" si="152"/>
        <v>-10631893.530000001</v>
      </c>
      <c r="U162" s="294">
        <f t="shared" si="152"/>
        <v>-6257119.4500000002</v>
      </c>
      <c r="V162" s="294">
        <f t="shared" si="152"/>
        <v>-305787757.87</v>
      </c>
      <c r="W162" s="294">
        <f t="shared" si="152"/>
        <v>-85190567.819999993</v>
      </c>
      <c r="X162" s="294">
        <f t="shared" si="152"/>
        <v>-17873183.350000001</v>
      </c>
      <c r="Y162" s="294">
        <f t="shared" si="152"/>
        <v>-23140354.069999997</v>
      </c>
      <c r="Z162" s="294">
        <f t="shared" si="152"/>
        <v>-31883974.789999992</v>
      </c>
      <c r="AA162" s="294">
        <f t="shared" si="152"/>
        <v>-35643866.25</v>
      </c>
      <c r="AB162" s="294">
        <f t="shared" si="152"/>
        <v>-22636180.419999998</v>
      </c>
      <c r="AC162" s="294">
        <f t="shared" si="152"/>
        <v>-172646048.09999996</v>
      </c>
      <c r="AD162" s="294">
        <f t="shared" si="152"/>
        <v>-43398290.380000003</v>
      </c>
      <c r="AE162" s="294">
        <f t="shared" si="152"/>
        <v>-45170696.88000001</v>
      </c>
      <c r="AF162" s="294">
        <f t="shared" si="152"/>
        <v>-182786523.12</v>
      </c>
      <c r="AG162" s="294">
        <f t="shared" si="152"/>
        <v>-41784726.149999999</v>
      </c>
      <c r="AH162" s="294">
        <f t="shared" si="152"/>
        <v>-66181447.63000001</v>
      </c>
      <c r="AI162" s="294">
        <f t="shared" si="152"/>
        <v>-90610818.479999989</v>
      </c>
      <c r="AJ162" s="294">
        <f t="shared" si="152"/>
        <v>-21145102.190000001</v>
      </c>
      <c r="AK162" s="294">
        <f t="shared" si="152"/>
        <v>-20820739.850000001</v>
      </c>
      <c r="AL162" s="294">
        <f t="shared" si="152"/>
        <v>-18259338.480000004</v>
      </c>
      <c r="AM162" s="294">
        <f t="shared" si="152"/>
        <v>-51613066.860000007</v>
      </c>
      <c r="AN162" s="294">
        <f t="shared" si="152"/>
        <v>-36502641.439999998</v>
      </c>
      <c r="AO162" s="294">
        <f t="shared" si="152"/>
        <v>-25719141.760000002</v>
      </c>
      <c r="AP162" s="294">
        <f t="shared" si="152"/>
        <v>-21836008.32</v>
      </c>
      <c r="AQ162" s="294">
        <f t="shared" si="152"/>
        <v>-17530818.249999996</v>
      </c>
      <c r="AR162" s="294">
        <f t="shared" si="152"/>
        <v>-30918308.049999997</v>
      </c>
      <c r="AS162" s="294">
        <f t="shared" si="152"/>
        <v>-17699136.629999999</v>
      </c>
      <c r="AT162" s="294">
        <f t="shared" si="152"/>
        <v>-118312545.30999999</v>
      </c>
      <c r="AU162" s="294">
        <f t="shared" si="152"/>
        <v>-6064394.8399999989</v>
      </c>
      <c r="AV162" s="294">
        <f t="shared" si="152"/>
        <v>-7433825.4100000001</v>
      </c>
      <c r="AW162" s="294">
        <f t="shared" si="152"/>
        <v>-9340901.7100000028</v>
      </c>
      <c r="AX162" s="294">
        <f t="shared" si="152"/>
        <v>-22631553.759999998</v>
      </c>
      <c r="AY162" s="294">
        <f t="shared" si="152"/>
        <v>-36277741.179999992</v>
      </c>
      <c r="AZ162" s="294">
        <f t="shared" si="152"/>
        <v>-5264799.91</v>
      </c>
      <c r="BA162" s="294">
        <f t="shared" si="152"/>
        <v>-10561730.869999999</v>
      </c>
      <c r="BB162" s="294">
        <f t="shared" si="152"/>
        <v>-4402301.68</v>
      </c>
      <c r="BC162" s="294">
        <f t="shared" si="152"/>
        <v>-11420843.029999999</v>
      </c>
      <c r="BD162" s="294">
        <f t="shared" si="152"/>
        <v>-4446280.78</v>
      </c>
      <c r="BE162" s="294">
        <f t="shared" si="152"/>
        <v>-11009303.379999999</v>
      </c>
      <c r="BF162" s="294">
        <f t="shared" si="152"/>
        <v>-50788755.010000005</v>
      </c>
      <c r="BG162" s="294">
        <f t="shared" si="152"/>
        <v>-2616071.1700000004</v>
      </c>
      <c r="BH162" s="294">
        <f t="shared" si="152"/>
        <v>-8765899.3300000001</v>
      </c>
      <c r="BI162" s="294">
        <f t="shared" si="152"/>
        <v>-151863354.10999998</v>
      </c>
      <c r="BJ162" s="294">
        <f t="shared" si="152"/>
        <v>-78840130.840000004</v>
      </c>
      <c r="BK162" s="294">
        <f t="shared" si="152"/>
        <v>-12847689.640000001</v>
      </c>
      <c r="BL162" s="294">
        <f t="shared" si="152"/>
        <v>-5621161.46</v>
      </c>
      <c r="BM162" s="294">
        <f t="shared" si="152"/>
        <v>-34372801.309999995</v>
      </c>
      <c r="BN162" s="294">
        <f t="shared" si="152"/>
        <v>-11334873.739999998</v>
      </c>
      <c r="BO162" s="294">
        <f t="shared" si="152"/>
        <v>-8401711.9299999997</v>
      </c>
      <c r="BP162" s="294">
        <f t="shared" si="152"/>
        <v>-1446242.02</v>
      </c>
      <c r="BQ162" s="294">
        <f t="shared" ref="BQ162:EB162" si="153">SUMIF($A$61:$A$154,$A$75,BQ$61:BQ$154)*-1</f>
        <v>-3332254.2900000005</v>
      </c>
      <c r="BR162" s="294">
        <f t="shared" si="153"/>
        <v>-121821600.62</v>
      </c>
      <c r="BS162" s="294">
        <f t="shared" si="153"/>
        <v>-14025430.119999997</v>
      </c>
      <c r="BT162" s="294">
        <f t="shared" si="153"/>
        <v>-9142445.8900000006</v>
      </c>
      <c r="BU162" s="294">
        <f t="shared" si="153"/>
        <v>-18195538.709999997</v>
      </c>
      <c r="BV162" s="294">
        <f t="shared" si="153"/>
        <v>-11505012.640000001</v>
      </c>
      <c r="BW162" s="294">
        <f t="shared" si="153"/>
        <v>-9273436.8200000022</v>
      </c>
      <c r="BX162" s="294">
        <f t="shared" si="153"/>
        <v>-8642298.7799999993</v>
      </c>
      <c r="BY162" s="294">
        <f t="shared" si="153"/>
        <v>-11165535.309999999</v>
      </c>
      <c r="BZ162" s="294">
        <f t="shared" si="153"/>
        <v>-85804694.849999994</v>
      </c>
      <c r="CA162" s="294">
        <f t="shared" si="153"/>
        <v>-18622825.91</v>
      </c>
      <c r="CB162" s="294">
        <f t="shared" si="153"/>
        <v>-33637365.439999998</v>
      </c>
      <c r="CC162" s="294">
        <f t="shared" si="153"/>
        <v>-43797343.770000003</v>
      </c>
      <c r="CD162" s="294">
        <f t="shared" si="153"/>
        <v>-18657133.240000002</v>
      </c>
      <c r="CE162" s="294">
        <f t="shared" si="153"/>
        <v>-16246745.179999998</v>
      </c>
      <c r="CF162" s="294">
        <f t="shared" si="153"/>
        <v>-16445343.42</v>
      </c>
      <c r="CG162" s="294">
        <f t="shared" si="153"/>
        <v>-230636108.95999992</v>
      </c>
      <c r="CH162" s="294">
        <f t="shared" si="153"/>
        <v>-9437719.1700000018</v>
      </c>
      <c r="CI162" s="294">
        <f t="shared" si="153"/>
        <v>-39388426.479999997</v>
      </c>
      <c r="CJ162" s="294">
        <f t="shared" si="153"/>
        <v>-7878383.8099999996</v>
      </c>
      <c r="CK162" s="294">
        <f t="shared" si="153"/>
        <v>-10689979.93</v>
      </c>
      <c r="CL162" s="294">
        <f t="shared" si="153"/>
        <v>-14022532.109999996</v>
      </c>
      <c r="CM162" s="294">
        <f t="shared" si="153"/>
        <v>-7976012.5700000003</v>
      </c>
      <c r="CN162" s="294">
        <f t="shared" si="153"/>
        <v>-16894981.999999996</v>
      </c>
      <c r="CO162" s="294">
        <f t="shared" si="153"/>
        <v>-3736876.5500000003</v>
      </c>
      <c r="CP162" s="294">
        <f t="shared" si="153"/>
        <v>-12309449.090000002</v>
      </c>
      <c r="CQ162" s="294">
        <f t="shared" si="153"/>
        <v>-5352665.0700000012</v>
      </c>
      <c r="CR162" s="294">
        <f t="shared" si="153"/>
        <v>-10037483.210000001</v>
      </c>
      <c r="CS162" s="294">
        <f t="shared" si="153"/>
        <v>-5857551.1899999995</v>
      </c>
      <c r="CT162" s="294">
        <f t="shared" si="153"/>
        <v>-133991102.06</v>
      </c>
      <c r="CU162" s="294">
        <f t="shared" si="153"/>
        <v>-7754167.5700000003</v>
      </c>
      <c r="CV162" s="294">
        <f t="shared" si="153"/>
        <v>-9397211.1899999976</v>
      </c>
      <c r="CW162" s="294">
        <f t="shared" si="153"/>
        <v>-27826379.469999995</v>
      </c>
      <c r="CX162" s="294">
        <f t="shared" si="153"/>
        <v>-12026539.16</v>
      </c>
      <c r="CY162" s="294">
        <f t="shared" si="153"/>
        <v>-15538851.789999999</v>
      </c>
      <c r="CZ162" s="294">
        <f t="shared" si="153"/>
        <v>-9557784.6199999973</v>
      </c>
      <c r="DA162" s="294">
        <f t="shared" si="153"/>
        <v>-10933423.289999999</v>
      </c>
      <c r="DB162" s="294">
        <f t="shared" si="153"/>
        <v>-139305861.50000003</v>
      </c>
      <c r="DC162" s="294">
        <f t="shared" si="153"/>
        <v>-186391605.27000001</v>
      </c>
      <c r="DD162" s="294">
        <f t="shared" si="153"/>
        <v>-20934921.790000003</v>
      </c>
      <c r="DE162" s="294">
        <f t="shared" si="153"/>
        <v>-16384356.820000002</v>
      </c>
      <c r="DF162" s="294">
        <f t="shared" si="153"/>
        <v>-14194030.950000001</v>
      </c>
      <c r="DG162" s="294">
        <f t="shared" si="153"/>
        <v>-21550304.299999997</v>
      </c>
      <c r="DH162" s="294">
        <f t="shared" si="153"/>
        <v>-43137480.060000002</v>
      </c>
      <c r="DI162" s="294">
        <f t="shared" si="153"/>
        <v>-29252341.840000004</v>
      </c>
      <c r="DJ162" s="294">
        <f t="shared" si="153"/>
        <v>-9050325.5500000007</v>
      </c>
      <c r="DK162" s="294">
        <f t="shared" si="153"/>
        <v>-515810727.9600001</v>
      </c>
      <c r="DL162" s="294">
        <f t="shared" si="153"/>
        <v>-13320184.92</v>
      </c>
      <c r="DM162" s="294">
        <f t="shared" si="153"/>
        <v>-21724487.109999996</v>
      </c>
      <c r="DN162" s="294">
        <f t="shared" si="153"/>
        <v>-23290226.170000009</v>
      </c>
      <c r="DO162" s="294">
        <f t="shared" si="153"/>
        <v>-14906940.639999999</v>
      </c>
      <c r="DP162" s="294">
        <f t="shared" si="153"/>
        <v>-13657401.520000001</v>
      </c>
      <c r="DQ162" s="294">
        <f t="shared" si="153"/>
        <v>-48883449.539999984</v>
      </c>
      <c r="DR162" s="294">
        <f t="shared" si="153"/>
        <v>-11707421.489900002</v>
      </c>
      <c r="DS162" s="294">
        <f t="shared" si="153"/>
        <v>-40989317.68</v>
      </c>
      <c r="DT162" s="294">
        <f t="shared" si="153"/>
        <v>-186704567.59999999</v>
      </c>
      <c r="DU162" s="294">
        <f t="shared" si="153"/>
        <v>-25962219.280000001</v>
      </c>
      <c r="DV162" s="294">
        <f t="shared" si="153"/>
        <v>-53914630.410000004</v>
      </c>
      <c r="DW162" s="294">
        <f t="shared" si="153"/>
        <v>-66858380.760000005</v>
      </c>
      <c r="DX162" s="294">
        <f t="shared" si="153"/>
        <v>-22342964.059999999</v>
      </c>
      <c r="DY162" s="294">
        <f t="shared" si="153"/>
        <v>-36278075.589999996</v>
      </c>
      <c r="DZ162" s="294">
        <f t="shared" si="153"/>
        <v>-27800644.290000003</v>
      </c>
      <c r="EA162" s="294">
        <f t="shared" si="153"/>
        <v>-6643168.7199999997</v>
      </c>
      <c r="EB162" s="294">
        <f t="shared" si="153"/>
        <v>-13055790.049999999</v>
      </c>
      <c r="EC162" s="294">
        <f t="shared" ref="EC162:GN162" si="154">SUMIF($A$61:$A$154,$A$75,EC$61:EC$154)*-1</f>
        <v>-11291927.539999999</v>
      </c>
      <c r="ED162" s="294">
        <f t="shared" si="154"/>
        <v>-35212420.779999994</v>
      </c>
      <c r="EE162" s="294">
        <f t="shared" si="154"/>
        <v>-84472581.229999989</v>
      </c>
      <c r="EF162" s="294">
        <f t="shared" si="154"/>
        <v>-61562377.389999993</v>
      </c>
      <c r="EG162" s="294">
        <f t="shared" si="154"/>
        <v>-10485761.59</v>
      </c>
      <c r="EH162" s="294">
        <f t="shared" si="154"/>
        <v>-16242770.920000002</v>
      </c>
      <c r="EI162" s="294">
        <f t="shared" si="154"/>
        <v>-25479828.140000008</v>
      </c>
      <c r="EJ162" s="294">
        <f t="shared" si="154"/>
        <v>-20997883.870000001</v>
      </c>
      <c r="EK162" s="294">
        <f t="shared" si="154"/>
        <v>-24937350.949999999</v>
      </c>
      <c r="EL162" s="294">
        <f t="shared" si="154"/>
        <v>-12519294.000000002</v>
      </c>
      <c r="EM162" s="294">
        <f t="shared" si="154"/>
        <v>-16496461.6</v>
      </c>
      <c r="EN162" s="294">
        <f t="shared" si="154"/>
        <v>-221541156.14000002</v>
      </c>
      <c r="EO162" s="294">
        <f t="shared" si="154"/>
        <v>-18652002.289999999</v>
      </c>
      <c r="EP162" s="294">
        <f t="shared" si="154"/>
        <v>-36516850.459999993</v>
      </c>
      <c r="EQ162" s="294">
        <f t="shared" si="154"/>
        <v>-14598102.9</v>
      </c>
      <c r="ER162" s="294">
        <f t="shared" si="154"/>
        <v>-14788895.739999998</v>
      </c>
      <c r="ES162" s="294">
        <f t="shared" si="154"/>
        <v>-9095255.0999999978</v>
      </c>
      <c r="ET162" s="294">
        <f t="shared" si="154"/>
        <v>-43182148.910000004</v>
      </c>
      <c r="EU162" s="294">
        <f t="shared" si="154"/>
        <v>-38836993.439999998</v>
      </c>
      <c r="EV162" s="294">
        <f t="shared" si="154"/>
        <v>-23344698.639999997</v>
      </c>
      <c r="EW162" s="294">
        <f t="shared" si="154"/>
        <v>-199940843.03999996</v>
      </c>
      <c r="EX162" s="294">
        <f t="shared" si="154"/>
        <v>-7502649.2000000011</v>
      </c>
      <c r="EY162" s="294">
        <f t="shared" si="154"/>
        <v>-13057441.299999995</v>
      </c>
      <c r="EZ162" s="294">
        <f t="shared" si="154"/>
        <v>-32505263.979999997</v>
      </c>
      <c r="FA162" s="294">
        <f t="shared" si="154"/>
        <v>-36719379.480000004</v>
      </c>
      <c r="FB162" s="294">
        <f t="shared" si="154"/>
        <v>-47653087.170000009</v>
      </c>
      <c r="FC162" s="294">
        <f t="shared" si="154"/>
        <v>-33958083.389999993</v>
      </c>
      <c r="FD162" s="294">
        <f t="shared" si="154"/>
        <v>-16082353.460000001</v>
      </c>
      <c r="FE162" s="294">
        <f t="shared" si="154"/>
        <v>-18564439.229999997</v>
      </c>
      <c r="FF162" s="294">
        <f t="shared" si="154"/>
        <v>-11975499.509999998</v>
      </c>
      <c r="FG162" s="294">
        <f t="shared" si="154"/>
        <v>-13184322.270000001</v>
      </c>
      <c r="FH162" s="294">
        <f t="shared" si="154"/>
        <v>-8179724.6900000013</v>
      </c>
      <c r="FI162" s="294">
        <f t="shared" si="154"/>
        <v>-86739033.470000029</v>
      </c>
      <c r="FJ162" s="294">
        <f t="shared" si="154"/>
        <v>-10069440.35</v>
      </c>
      <c r="FK162" s="294">
        <f t="shared" si="154"/>
        <v>-2325146.12</v>
      </c>
      <c r="FL162" s="294">
        <f t="shared" si="154"/>
        <v>-7365954.8499999996</v>
      </c>
      <c r="FM162" s="294">
        <f t="shared" si="154"/>
        <v>-20800451.369999997</v>
      </c>
      <c r="FN162" s="294">
        <f t="shared" si="154"/>
        <v>-12259938.220000001</v>
      </c>
      <c r="FO162" s="294">
        <f t="shared" si="154"/>
        <v>-7392116.6600000011</v>
      </c>
      <c r="FP162" s="294">
        <f t="shared" si="154"/>
        <v>-3284310.87</v>
      </c>
      <c r="FQ162" s="294">
        <f t="shared" si="154"/>
        <v>-347460890.28000009</v>
      </c>
      <c r="FR162" s="294">
        <f t="shared" si="154"/>
        <v>-13088713.800000001</v>
      </c>
      <c r="FS162" s="294">
        <f t="shared" si="154"/>
        <v>-24727852.759999998</v>
      </c>
      <c r="FT162" s="294">
        <f t="shared" si="154"/>
        <v>-29830515.359999999</v>
      </c>
      <c r="FU162" s="294">
        <f t="shared" si="154"/>
        <v>-21106416.510000002</v>
      </c>
      <c r="FV162" s="294">
        <f t="shared" si="154"/>
        <v>-12464588.959999997</v>
      </c>
      <c r="FW162" s="294">
        <f t="shared" si="154"/>
        <v>-63737744.720000006</v>
      </c>
      <c r="FX162" s="294">
        <f t="shared" si="154"/>
        <v>-37185415.559999995</v>
      </c>
      <c r="FY162" s="294">
        <f t="shared" si="154"/>
        <v>-23484430.979999997</v>
      </c>
      <c r="FZ162" s="294">
        <f t="shared" si="154"/>
        <v>-14070674.890000001</v>
      </c>
      <c r="GA162" s="294">
        <f t="shared" si="154"/>
        <v>-42408436.380000003</v>
      </c>
      <c r="GB162" s="294">
        <f t="shared" si="154"/>
        <v>-18831145.370000001</v>
      </c>
      <c r="GC162" s="294">
        <f t="shared" si="154"/>
        <v>-16773114.800000003</v>
      </c>
      <c r="GD162" s="294">
        <f t="shared" si="154"/>
        <v>-10797156.880000001</v>
      </c>
      <c r="GE162" s="294">
        <f t="shared" si="154"/>
        <v>-122226627.96000002</v>
      </c>
      <c r="GF162" s="294">
        <f t="shared" si="154"/>
        <v>-7415170.8600000003</v>
      </c>
      <c r="GG162" s="294">
        <f t="shared" si="154"/>
        <v>-5636395.8400000008</v>
      </c>
      <c r="GH162" s="294">
        <f t="shared" si="154"/>
        <v>-32918404.09</v>
      </c>
      <c r="GI162" s="294">
        <f t="shared" si="154"/>
        <v>-11056347.18</v>
      </c>
      <c r="GJ162" s="294">
        <f t="shared" si="154"/>
        <v>-7621477.7800000003</v>
      </c>
      <c r="GK162" s="294">
        <f t="shared" si="154"/>
        <v>-10178267.360000003</v>
      </c>
      <c r="GL162" s="294">
        <f t="shared" si="154"/>
        <v>-24122433.050000004</v>
      </c>
      <c r="GM162" s="294">
        <f t="shared" si="154"/>
        <v>-5128119.2399999993</v>
      </c>
      <c r="GN162" s="294">
        <f t="shared" si="154"/>
        <v>-5638287.0099999998</v>
      </c>
      <c r="GO162" s="294">
        <f t="shared" ref="GO162:IZ162" si="155">SUMIF($A$61:$A$154,$A$75,GO$61:GO$154)*-1</f>
        <v>-3768879.4399999995</v>
      </c>
      <c r="GP162" s="294">
        <f t="shared" si="155"/>
        <v>-3648606.5199999996</v>
      </c>
      <c r="GQ162" s="294">
        <f t="shared" si="155"/>
        <v>-94049971.280000001</v>
      </c>
      <c r="GR162" s="294">
        <f t="shared" si="155"/>
        <v>-12316998.640000002</v>
      </c>
      <c r="GS162" s="294">
        <f t="shared" si="155"/>
        <v>-6480732.7199999988</v>
      </c>
      <c r="GT162" s="294">
        <f t="shared" si="155"/>
        <v>-16730746.92</v>
      </c>
      <c r="GU162" s="294">
        <f t="shared" si="155"/>
        <v>-4298568.8100000005</v>
      </c>
      <c r="GV162" s="294">
        <f t="shared" si="155"/>
        <v>-8733844.8099999987</v>
      </c>
      <c r="GW162" s="294">
        <f t="shared" si="155"/>
        <v>-12370739.630000003</v>
      </c>
      <c r="GX162" s="294">
        <f t="shared" si="155"/>
        <v>-8053225.4699999997</v>
      </c>
      <c r="GY162" s="294">
        <f t="shared" si="155"/>
        <v>-121259982.18000002</v>
      </c>
      <c r="GZ162" s="294">
        <f t="shared" si="155"/>
        <v>-9972636.3500000015</v>
      </c>
      <c r="HA162" s="294">
        <f t="shared" si="155"/>
        <v>-24604469.580000002</v>
      </c>
      <c r="HB162" s="294">
        <f t="shared" si="155"/>
        <v>-19585516.48</v>
      </c>
      <c r="HC162" s="294">
        <f t="shared" si="155"/>
        <v>-401651860.69000012</v>
      </c>
      <c r="HD162" s="294">
        <f t="shared" si="155"/>
        <v>-173335452.38000005</v>
      </c>
      <c r="HE162" s="294">
        <f t="shared" si="155"/>
        <v>-64684629.099999994</v>
      </c>
      <c r="HF162" s="294">
        <f t="shared" si="155"/>
        <v>-86414571.900000006</v>
      </c>
      <c r="HG162" s="294">
        <f t="shared" si="155"/>
        <v>-33277079.669999998</v>
      </c>
      <c r="HH162" s="294">
        <f t="shared" si="155"/>
        <v>-42564864.009999998</v>
      </c>
      <c r="HI162" s="294">
        <f t="shared" si="155"/>
        <v>-27850023.309999995</v>
      </c>
      <c r="HJ162" s="294">
        <f t="shared" si="155"/>
        <v>-18067618.84</v>
      </c>
      <c r="HK162" s="294">
        <f t="shared" si="155"/>
        <v>-222868101.99000001</v>
      </c>
      <c r="HL162" s="294">
        <f t="shared" si="155"/>
        <v>-63348030.949999996</v>
      </c>
      <c r="HM162" s="294">
        <f t="shared" si="155"/>
        <v>-97616075.49000001</v>
      </c>
      <c r="HN162" s="294">
        <f t="shared" si="155"/>
        <v>-38853733.299999997</v>
      </c>
      <c r="HO162" s="294">
        <f t="shared" si="155"/>
        <v>-21565349.080000002</v>
      </c>
      <c r="HP162" s="294">
        <f t="shared" si="155"/>
        <v>-16407991.119999999</v>
      </c>
      <c r="HQ162" s="294">
        <f t="shared" si="155"/>
        <v>-33339506.169999998</v>
      </c>
      <c r="HR162" s="294">
        <f t="shared" si="155"/>
        <v>-33085146.705000002</v>
      </c>
      <c r="HS162" s="294">
        <f t="shared" si="155"/>
        <v>-174429551.0756</v>
      </c>
      <c r="HT162" s="294">
        <f t="shared" si="155"/>
        <v>-132771196.81000002</v>
      </c>
      <c r="HU162" s="294">
        <f t="shared" si="155"/>
        <v>-30847662.689999998</v>
      </c>
      <c r="HV162" s="294">
        <f t="shared" si="155"/>
        <v>-13522886.449999999</v>
      </c>
      <c r="HW162" s="294">
        <f t="shared" si="155"/>
        <v>-11688737.070000002</v>
      </c>
      <c r="HX162" s="294">
        <f t="shared" si="155"/>
        <v>-16005600.180000002</v>
      </c>
      <c r="HY162" s="294">
        <f t="shared" si="155"/>
        <v>-30770020.940000001</v>
      </c>
      <c r="HZ162" s="294">
        <f t="shared" si="155"/>
        <v>-25964539.75</v>
      </c>
      <c r="IA162" s="294">
        <f t="shared" si="155"/>
        <v>-15529204.029999999</v>
      </c>
      <c r="IB162" s="294">
        <f t="shared" si="155"/>
        <v>-17412231.780000001</v>
      </c>
      <c r="IC162" s="294">
        <f t="shared" si="155"/>
        <v>-11065902.140000002</v>
      </c>
      <c r="ID162" s="294">
        <f t="shared" si="155"/>
        <v>-22148225.989999998</v>
      </c>
      <c r="IE162" s="294">
        <f t="shared" si="155"/>
        <v>-9247821.3399999999</v>
      </c>
      <c r="IF162" s="294">
        <f t="shared" si="155"/>
        <v>-17494755.219999999</v>
      </c>
      <c r="IG162" s="294">
        <f t="shared" si="155"/>
        <v>-7459979.7599999998</v>
      </c>
      <c r="IH162" s="294">
        <f t="shared" si="155"/>
        <v>-6965395.7299999995</v>
      </c>
      <c r="II162" s="294">
        <f t="shared" si="155"/>
        <v>-117991009.79000001</v>
      </c>
      <c r="IJ162" s="294">
        <f t="shared" si="155"/>
        <v>-162513399.82999995</v>
      </c>
      <c r="IK162" s="294">
        <f t="shared" si="155"/>
        <v>-8371856.3300000001</v>
      </c>
      <c r="IL162" s="294">
        <f t="shared" si="155"/>
        <v>-65522568.700000003</v>
      </c>
      <c r="IM162" s="294">
        <f t="shared" si="155"/>
        <v>-84947053.959999979</v>
      </c>
      <c r="IN162" s="294">
        <f t="shared" si="155"/>
        <v>-33843145.409999996</v>
      </c>
      <c r="IO162" s="294">
        <f t="shared" si="155"/>
        <v>-11613582.93</v>
      </c>
      <c r="IP162" s="294">
        <f t="shared" si="155"/>
        <v>-13565103.550000001</v>
      </c>
      <c r="IQ162" s="294">
        <f t="shared" si="155"/>
        <v>-11965166.84</v>
      </c>
      <c r="IR162" s="294">
        <f t="shared" si="155"/>
        <v>-18224653.420000002</v>
      </c>
      <c r="IS162" s="294">
        <f t="shared" si="155"/>
        <v>-13608533.409999998</v>
      </c>
      <c r="IT162" s="294">
        <f t="shared" si="155"/>
        <v>-385393613.21999997</v>
      </c>
      <c r="IU162" s="294">
        <f t="shared" si="155"/>
        <v>-190764119.99000001</v>
      </c>
      <c r="IV162" s="294">
        <f t="shared" si="155"/>
        <v>-16063969.800000001</v>
      </c>
      <c r="IW162" s="294">
        <f t="shared" si="155"/>
        <v>-32488222.050000001</v>
      </c>
      <c r="IX162" s="294">
        <f t="shared" si="155"/>
        <v>-45999031.469999991</v>
      </c>
      <c r="IY162" s="294">
        <f t="shared" si="155"/>
        <v>-7538916.4899999993</v>
      </c>
      <c r="IZ162" s="294">
        <f t="shared" si="155"/>
        <v>-23672058.379999999</v>
      </c>
      <c r="JA162" s="294">
        <f t="shared" ref="JA162:LL162" si="156">SUMIF($A$61:$A$154,$A$75,JA$61:JA$154)*-1</f>
        <v>-6479575.2599999988</v>
      </c>
      <c r="JB162" s="294">
        <f t="shared" si="156"/>
        <v>-16470297.029999999</v>
      </c>
      <c r="JC162" s="294">
        <f t="shared" si="156"/>
        <v>-18460565.260000002</v>
      </c>
      <c r="JD162" s="294">
        <f t="shared" si="156"/>
        <v>-42620292.259999998</v>
      </c>
      <c r="JE162" s="294">
        <f t="shared" si="156"/>
        <v>-17793613.300000001</v>
      </c>
      <c r="JF162" s="294">
        <f t="shared" si="156"/>
        <v>-65879060.779999994</v>
      </c>
      <c r="JG162" s="294">
        <f t="shared" si="156"/>
        <v>-68936186.38000001</v>
      </c>
      <c r="JH162" s="294">
        <f t="shared" si="156"/>
        <v>-15209582.440000003</v>
      </c>
      <c r="JI162" s="294">
        <f t="shared" si="156"/>
        <v>-15020076.030000001</v>
      </c>
      <c r="JJ162" s="294">
        <f t="shared" si="156"/>
        <v>-12098729.1</v>
      </c>
      <c r="JK162" s="294">
        <f t="shared" si="156"/>
        <v>-9476487.9299999997</v>
      </c>
      <c r="JL162" s="294">
        <f t="shared" si="156"/>
        <v>-156146126.20000002</v>
      </c>
      <c r="JM162" s="294">
        <f t="shared" si="156"/>
        <v>-14088630.739999998</v>
      </c>
      <c r="JN162" s="294">
        <f t="shared" si="156"/>
        <v>-28502583.830000002</v>
      </c>
      <c r="JO162" s="294">
        <f t="shared" si="156"/>
        <v>-36184190.620000005</v>
      </c>
      <c r="JP162" s="294">
        <f t="shared" si="156"/>
        <v>-24783024.360000003</v>
      </c>
      <c r="JQ162" s="294">
        <f t="shared" si="156"/>
        <v>-39855751.859999985</v>
      </c>
      <c r="JR162" s="294">
        <f t="shared" si="156"/>
        <v>-10707648.090000002</v>
      </c>
      <c r="JS162" s="294">
        <f t="shared" si="156"/>
        <v>-170538391.25000003</v>
      </c>
      <c r="JT162" s="294">
        <f t="shared" si="156"/>
        <v>-44096153.099999994</v>
      </c>
      <c r="JU162" s="294">
        <f t="shared" si="156"/>
        <v>-12623817.26</v>
      </c>
      <c r="JV162" s="294">
        <f t="shared" si="156"/>
        <v>-5561361.209999999</v>
      </c>
      <c r="JW162" s="294">
        <f t="shared" si="156"/>
        <v>-23174675.149999999</v>
      </c>
      <c r="JX162" s="294">
        <f t="shared" si="156"/>
        <v>-3870119.28</v>
      </c>
      <c r="JY162" s="294">
        <f t="shared" si="156"/>
        <v>-64077042.479999997</v>
      </c>
      <c r="JZ162" s="294">
        <f t="shared" si="156"/>
        <v>-22084047.430000003</v>
      </c>
      <c r="KA162" s="294">
        <f t="shared" si="156"/>
        <v>-11928760.930000002</v>
      </c>
      <c r="KB162" s="294">
        <f t="shared" si="156"/>
        <v>-19377435.920000002</v>
      </c>
      <c r="KC162" s="294">
        <f t="shared" si="156"/>
        <v>-10092074.710000001</v>
      </c>
      <c r="KD162" s="294">
        <f t="shared" si="156"/>
        <v>-12498662.290000001</v>
      </c>
      <c r="KE162" s="294">
        <f t="shared" si="156"/>
        <v>-5171440.7100000009</v>
      </c>
      <c r="KF162" s="294">
        <f t="shared" si="156"/>
        <v>-4235034.959999999</v>
      </c>
      <c r="KG162" s="294">
        <f t="shared" si="156"/>
        <v>-7101895.3199999994</v>
      </c>
      <c r="KH162" s="294">
        <f t="shared" si="156"/>
        <v>-6402990.2300000004</v>
      </c>
      <c r="KI162" s="294">
        <f t="shared" si="156"/>
        <v>-372613663.37999994</v>
      </c>
      <c r="KJ162" s="294">
        <f t="shared" si="156"/>
        <v>-69840960.405000001</v>
      </c>
      <c r="KK162" s="294">
        <f t="shared" si="156"/>
        <v>-12144508.970000001</v>
      </c>
      <c r="KL162" s="294">
        <f t="shared" si="156"/>
        <v>-20366907.75</v>
      </c>
      <c r="KM162" s="294">
        <f t="shared" si="156"/>
        <v>-9209782.129999999</v>
      </c>
      <c r="KN162" s="294">
        <f t="shared" si="156"/>
        <v>-12818100.789999999</v>
      </c>
      <c r="KO162" s="294">
        <f t="shared" si="156"/>
        <v>-75751944.700000003</v>
      </c>
      <c r="KP162" s="294">
        <f t="shared" si="156"/>
        <v>-8078740.3900000006</v>
      </c>
      <c r="KQ162" s="294">
        <f t="shared" si="156"/>
        <v>-10861373.960000001</v>
      </c>
      <c r="KR162" s="294">
        <f t="shared" si="156"/>
        <v>-202506805.84999999</v>
      </c>
      <c r="KS162" s="294">
        <f t="shared" si="156"/>
        <v>-12189883.390000001</v>
      </c>
      <c r="KT162" s="294">
        <f t="shared" si="156"/>
        <v>-14321894.689999999</v>
      </c>
      <c r="KU162" s="294">
        <f t="shared" si="156"/>
        <v>-41379480.969999999</v>
      </c>
      <c r="KV162" s="294">
        <f t="shared" si="156"/>
        <v>-20113141.5</v>
      </c>
      <c r="KW162" s="294">
        <f t="shared" si="156"/>
        <v>-31765417.120000005</v>
      </c>
      <c r="KX162" s="294">
        <f t="shared" si="156"/>
        <v>-183454450.35999998</v>
      </c>
      <c r="KY162" s="294">
        <f t="shared" si="156"/>
        <v>-23459874.880000003</v>
      </c>
      <c r="KZ162" s="294">
        <f t="shared" si="156"/>
        <v>-219421716.83000004</v>
      </c>
      <c r="LA162" s="294">
        <f t="shared" si="156"/>
        <v>-15948153.429999998</v>
      </c>
      <c r="LB162" s="294">
        <f t="shared" si="156"/>
        <v>-9277438.7100000009</v>
      </c>
      <c r="LC162" s="294">
        <f t="shared" si="156"/>
        <v>-32595073.090000004</v>
      </c>
      <c r="LD162" s="294">
        <f t="shared" si="156"/>
        <v>-27009762.280000001</v>
      </c>
      <c r="LE162" s="294">
        <f t="shared" si="156"/>
        <v>-15049948.019999998</v>
      </c>
      <c r="LF162" s="294">
        <f t="shared" si="156"/>
        <v>-12734264.810000001</v>
      </c>
      <c r="LG162" s="294">
        <f t="shared" si="156"/>
        <v>-16792501.729999997</v>
      </c>
      <c r="LH162" s="294">
        <f t="shared" si="156"/>
        <v>-651246048.62000012</v>
      </c>
      <c r="LI162" s="294">
        <f t="shared" si="156"/>
        <v>-99825910.649999991</v>
      </c>
      <c r="LJ162" s="294">
        <f t="shared" si="156"/>
        <v>-103878649.36000001</v>
      </c>
      <c r="LK162" s="294">
        <f t="shared" si="156"/>
        <v>-108750171.63000001</v>
      </c>
      <c r="LL162" s="294">
        <f t="shared" si="156"/>
        <v>-30008318.839999996</v>
      </c>
      <c r="LM162" s="294">
        <f t="shared" ref="LM162:NX162" si="157">SUMIF($A$61:$A$154,$A$75,LM$61:LM$154)*-1</f>
        <v>-27231955.740000002</v>
      </c>
      <c r="LN162" s="294">
        <f t="shared" si="157"/>
        <v>-12046707.66</v>
      </c>
      <c r="LO162" s="294">
        <f t="shared" si="157"/>
        <v>-24711184.300000001</v>
      </c>
      <c r="LP162" s="294">
        <f t="shared" si="157"/>
        <v>-6372832.9699999988</v>
      </c>
      <c r="LQ162" s="294">
        <f t="shared" si="157"/>
        <v>-34377810.710000001</v>
      </c>
      <c r="LR162" s="294">
        <f t="shared" si="157"/>
        <v>-6676373.1999999993</v>
      </c>
      <c r="LS162" s="294">
        <f t="shared" si="157"/>
        <v>-54420469.479999997</v>
      </c>
      <c r="LT162" s="294">
        <f t="shared" si="157"/>
        <v>-7633178.1699999999</v>
      </c>
      <c r="LU162" s="294">
        <f t="shared" si="157"/>
        <v>-10398645.699999999</v>
      </c>
      <c r="LV162" s="294">
        <f t="shared" si="157"/>
        <v>-209838715.89000002</v>
      </c>
      <c r="LW162" s="294">
        <f t="shared" si="157"/>
        <v>-98145439.599999994</v>
      </c>
      <c r="LX162" s="294">
        <f t="shared" si="157"/>
        <v>-287218771.96000004</v>
      </c>
      <c r="LY162" s="294">
        <f t="shared" si="157"/>
        <v>-68670818.350000009</v>
      </c>
      <c r="LZ162" s="294">
        <f t="shared" si="157"/>
        <v>-35601371.520000003</v>
      </c>
      <c r="MA162" s="294">
        <f t="shared" si="157"/>
        <v>-33420983.059999995</v>
      </c>
      <c r="MB162" s="294">
        <f t="shared" si="157"/>
        <v>-31091254.050000001</v>
      </c>
      <c r="MC162" s="294">
        <f t="shared" si="157"/>
        <v>-25824413.509999998</v>
      </c>
      <c r="MD162" s="294">
        <f t="shared" si="157"/>
        <v>-25381656.309999999</v>
      </c>
      <c r="ME162" s="294">
        <f t="shared" si="157"/>
        <v>-26589842.970000003</v>
      </c>
      <c r="MF162" s="294">
        <f t="shared" si="157"/>
        <v>-61957464.630000003</v>
      </c>
      <c r="MG162" s="294">
        <f t="shared" si="157"/>
        <v>-14832300.380000001</v>
      </c>
      <c r="MH162" s="294">
        <f t="shared" si="157"/>
        <v>-366584463.85000008</v>
      </c>
      <c r="MI162" s="294">
        <f t="shared" si="157"/>
        <v>-16656472.219999995</v>
      </c>
      <c r="MJ162" s="294">
        <f t="shared" si="157"/>
        <v>-11479291.050000001</v>
      </c>
      <c r="MK162" s="294">
        <f t="shared" si="157"/>
        <v>-10329287.68</v>
      </c>
      <c r="ML162" s="294">
        <f t="shared" si="157"/>
        <v>-9069737.3800000008</v>
      </c>
      <c r="MM162" s="294">
        <f t="shared" si="157"/>
        <v>-26442137.23</v>
      </c>
      <c r="MN162" s="294">
        <f t="shared" si="157"/>
        <v>-16240261.539999999</v>
      </c>
      <c r="MO162" s="294">
        <f t="shared" si="157"/>
        <v>-8033951.4199999999</v>
      </c>
      <c r="MP162" s="294">
        <f t="shared" si="157"/>
        <v>-33045434.320000004</v>
      </c>
      <c r="MQ162" s="294">
        <f t="shared" si="157"/>
        <v>-12445136.979999999</v>
      </c>
      <c r="MR162" s="294">
        <f t="shared" si="157"/>
        <v>-15217092.810000001</v>
      </c>
      <c r="MS162" s="294">
        <f t="shared" si="157"/>
        <v>-13209239.040000001</v>
      </c>
      <c r="MT162" s="294">
        <f t="shared" si="157"/>
        <v>-295899835.76999998</v>
      </c>
      <c r="MU162" s="294">
        <f t="shared" si="157"/>
        <v>-25661684.479999997</v>
      </c>
      <c r="MV162" s="294">
        <f t="shared" si="157"/>
        <v>-22985087.390000001</v>
      </c>
      <c r="MW162" s="294">
        <f t="shared" si="157"/>
        <v>-34967519.660000004</v>
      </c>
      <c r="MX162" s="294">
        <f t="shared" si="157"/>
        <v>-48889318.829999998</v>
      </c>
      <c r="MY162" s="294">
        <f t="shared" si="157"/>
        <v>-14132173.970000001</v>
      </c>
      <c r="MZ162" s="294">
        <f t="shared" si="157"/>
        <v>-65189636.299999997</v>
      </c>
      <c r="NA162" s="294">
        <f t="shared" si="157"/>
        <v>-53581520.030000009</v>
      </c>
      <c r="NB162" s="294">
        <f t="shared" si="157"/>
        <v>-27902626.919999994</v>
      </c>
      <c r="NC162" s="294">
        <f t="shared" si="157"/>
        <v>-12912061.16</v>
      </c>
      <c r="ND162" s="294">
        <f t="shared" si="157"/>
        <v>-6202851.79</v>
      </c>
      <c r="NE162" s="294">
        <f t="shared" si="157"/>
        <v>-459175577.01999998</v>
      </c>
      <c r="NF162" s="294">
        <f t="shared" si="157"/>
        <v>-45006648.159999996</v>
      </c>
      <c r="NG162" s="294">
        <f t="shared" si="157"/>
        <v>-12509703.430000002</v>
      </c>
      <c r="NH162" s="294">
        <f t="shared" si="157"/>
        <v>-198157156.64000005</v>
      </c>
      <c r="NI162" s="294">
        <f t="shared" si="157"/>
        <v>-27456655.559999999</v>
      </c>
      <c r="NJ162" s="294">
        <f t="shared" si="157"/>
        <v>-29120808.619999997</v>
      </c>
      <c r="NK162" s="294">
        <f t="shared" si="157"/>
        <v>-97374639.630000025</v>
      </c>
      <c r="NL162" s="294">
        <f t="shared" si="157"/>
        <v>-94229876.849999979</v>
      </c>
      <c r="NM162" s="294">
        <f t="shared" si="157"/>
        <v>-2975716.8000000003</v>
      </c>
      <c r="NN162" s="294">
        <f t="shared" si="157"/>
        <v>-24310939.089999996</v>
      </c>
      <c r="NO162" s="294">
        <f t="shared" si="157"/>
        <v>-15628158.279999999</v>
      </c>
      <c r="NP162" s="294">
        <f t="shared" si="157"/>
        <v>-15471036.02</v>
      </c>
      <c r="NQ162" s="294">
        <f t="shared" si="157"/>
        <v>-94730188.300000012</v>
      </c>
      <c r="NR162" s="294">
        <f t="shared" si="157"/>
        <v>-7513334.4500000002</v>
      </c>
      <c r="NS162" s="294">
        <f t="shared" si="157"/>
        <v>-9039270.459999999</v>
      </c>
      <c r="NT162" s="294">
        <f t="shared" si="157"/>
        <v>-6056428.2399999993</v>
      </c>
      <c r="NU162" s="294">
        <f t="shared" si="157"/>
        <v>-3652987.1799999997</v>
      </c>
      <c r="NV162" s="294">
        <f t="shared" si="157"/>
        <v>-2369067.06</v>
      </c>
      <c r="NW162" s="294">
        <f t="shared" si="157"/>
        <v>-4685916.66</v>
      </c>
      <c r="NX162" s="294">
        <f t="shared" si="157"/>
        <v>-384837649.55000001</v>
      </c>
      <c r="NY162" s="294">
        <f t="shared" ref="NY162:QJ162" si="158">SUMIF($A$61:$A$154,$A$75,NY$61:NY$154)*-1</f>
        <v>-155043518.71999997</v>
      </c>
      <c r="NZ162" s="294">
        <f t="shared" si="158"/>
        <v>-19522531.400000002</v>
      </c>
      <c r="OA162" s="294">
        <f t="shared" si="158"/>
        <v>-8857609.6500000004</v>
      </c>
      <c r="OB162" s="294">
        <f t="shared" si="158"/>
        <v>-20511655.750000004</v>
      </c>
      <c r="OC162" s="294">
        <f t="shared" si="158"/>
        <v>-22576396.68</v>
      </c>
      <c r="OD162" s="294">
        <f t="shared" si="158"/>
        <v>-14015862.969999999</v>
      </c>
      <c r="OE162" s="294">
        <f t="shared" si="158"/>
        <v>-120450286.00999998</v>
      </c>
      <c r="OF162" s="294">
        <f t="shared" si="158"/>
        <v>-107963303.28</v>
      </c>
      <c r="OG162" s="294">
        <f t="shared" si="158"/>
        <v>-16767399.68</v>
      </c>
      <c r="OH162" s="294">
        <f t="shared" si="158"/>
        <v>-126735607.75000001</v>
      </c>
      <c r="OI162" s="294">
        <f t="shared" si="158"/>
        <v>-24956412.400000002</v>
      </c>
      <c r="OJ162" s="294">
        <f t="shared" si="158"/>
        <v>-22141132.34</v>
      </c>
      <c r="OK162" s="294">
        <f t="shared" si="158"/>
        <v>-54732167.260000005</v>
      </c>
      <c r="OL162" s="294">
        <f t="shared" si="158"/>
        <v>-27026586.830000006</v>
      </c>
      <c r="OM162" s="294">
        <f t="shared" si="158"/>
        <v>-30659335.299999997</v>
      </c>
      <c r="ON162" s="294">
        <f t="shared" si="158"/>
        <v>-231446439.16</v>
      </c>
      <c r="OO162" s="294">
        <f t="shared" si="158"/>
        <v>-59930483.370000005</v>
      </c>
      <c r="OP162" s="294">
        <f t="shared" si="158"/>
        <v>-184647808.44000003</v>
      </c>
      <c r="OQ162" s="294">
        <f t="shared" si="158"/>
        <v>-30848344.899999999</v>
      </c>
      <c r="OR162" s="294">
        <f t="shared" si="158"/>
        <v>-30032703.099999998</v>
      </c>
      <c r="OS162" s="294">
        <f t="shared" si="158"/>
        <v>-37858722.080000006</v>
      </c>
      <c r="OT162" s="294">
        <f t="shared" si="158"/>
        <v>-88238031.830000013</v>
      </c>
      <c r="OU162" s="294">
        <f t="shared" si="158"/>
        <v>-12945833.869999997</v>
      </c>
      <c r="OV162" s="294">
        <f t="shared" si="158"/>
        <v>-10399947.810000001</v>
      </c>
      <c r="OW162" s="294">
        <f t="shared" si="158"/>
        <v>-16937344.059999999</v>
      </c>
      <c r="OX162" s="294">
        <f t="shared" si="158"/>
        <v>-22724997.180000003</v>
      </c>
      <c r="OY162" s="294">
        <f t="shared" si="158"/>
        <v>-71030390.610000014</v>
      </c>
      <c r="OZ162" s="294">
        <f t="shared" si="158"/>
        <v>-14824831.090000002</v>
      </c>
      <c r="PA162" s="294">
        <f t="shared" si="158"/>
        <v>-9202759.5</v>
      </c>
      <c r="PB162" s="294">
        <f t="shared" si="158"/>
        <v>-12028306.269999998</v>
      </c>
      <c r="PC162" s="294">
        <f t="shared" si="158"/>
        <v>-203214743.43000001</v>
      </c>
      <c r="PD162" s="294">
        <f t="shared" si="158"/>
        <v>-9104523.3399999999</v>
      </c>
      <c r="PE162" s="294">
        <f t="shared" si="158"/>
        <v>-46838020.649999991</v>
      </c>
      <c r="PF162" s="294">
        <f t="shared" si="158"/>
        <v>-7666643.910000002</v>
      </c>
      <c r="PG162" s="294">
        <f t="shared" si="158"/>
        <v>-12785627.48</v>
      </c>
      <c r="PH162" s="294">
        <f t="shared" si="158"/>
        <v>-31875204.879999999</v>
      </c>
      <c r="PI162" s="294">
        <f t="shared" si="158"/>
        <v>-15856696.209999999</v>
      </c>
      <c r="PJ162" s="294">
        <f t="shared" si="158"/>
        <v>-16511909.579999998</v>
      </c>
      <c r="PK162" s="294">
        <f t="shared" si="158"/>
        <v>-21526727.510000005</v>
      </c>
      <c r="PL162" s="294">
        <f t="shared" si="158"/>
        <v>-20300018.490000002</v>
      </c>
      <c r="PM162" s="294">
        <f t="shared" si="158"/>
        <v>-12642753.48</v>
      </c>
      <c r="PN162" s="294">
        <f t="shared" si="158"/>
        <v>-39462120.339999996</v>
      </c>
      <c r="PO162" s="294">
        <f t="shared" si="158"/>
        <v>-10197805.359999999</v>
      </c>
      <c r="PP162" s="294">
        <f t="shared" si="158"/>
        <v>-57848010.530000001</v>
      </c>
      <c r="PQ162" s="294">
        <f t="shared" si="158"/>
        <v>-12275300.920000002</v>
      </c>
      <c r="PR162" s="294">
        <f t="shared" si="158"/>
        <v>-11431403.83</v>
      </c>
      <c r="PS162" s="294">
        <f t="shared" si="158"/>
        <v>-6839125.7199999988</v>
      </c>
      <c r="PT162" s="294">
        <f t="shared" si="158"/>
        <v>-9555621.1099999994</v>
      </c>
      <c r="PU162" s="294">
        <f t="shared" si="158"/>
        <v>-538754043.27999997</v>
      </c>
      <c r="PV162" s="294">
        <f t="shared" si="158"/>
        <v>-45239949.079999998</v>
      </c>
      <c r="PW162" s="294">
        <f t="shared" si="158"/>
        <v>-18101117.98</v>
      </c>
      <c r="PX162" s="294">
        <f t="shared" si="158"/>
        <v>-15067722.320000002</v>
      </c>
      <c r="PY162" s="294">
        <f t="shared" si="158"/>
        <v>-213909952.97000003</v>
      </c>
      <c r="PZ162" s="294">
        <f t="shared" si="158"/>
        <v>-41760985.149999984</v>
      </c>
      <c r="QA162" s="294">
        <f t="shared" si="158"/>
        <v>-69516335.689999998</v>
      </c>
      <c r="QB162" s="294">
        <f t="shared" si="158"/>
        <v>-15286590.620000001</v>
      </c>
      <c r="QC162" s="294">
        <f t="shared" si="158"/>
        <v>-51572568.280000001</v>
      </c>
      <c r="QD162" s="294">
        <f t="shared" si="158"/>
        <v>-8577501.9800000004</v>
      </c>
      <c r="QE162" s="294">
        <f t="shared" si="158"/>
        <v>-55447908.560000002</v>
      </c>
      <c r="QF162" s="294">
        <f t="shared" si="158"/>
        <v>-14347112.300000001</v>
      </c>
      <c r="QG162" s="294">
        <f t="shared" si="158"/>
        <v>-14876536.909999998</v>
      </c>
      <c r="QH162" s="294">
        <f t="shared" si="158"/>
        <v>-17747803.909999996</v>
      </c>
      <c r="QI162" s="294">
        <f t="shared" si="158"/>
        <v>-47194445.550000004</v>
      </c>
      <c r="QJ162" s="294">
        <f t="shared" si="158"/>
        <v>-20350517.280000005</v>
      </c>
      <c r="QK162" s="294">
        <f t="shared" ref="QK162:SV162" si="159">SUMIF($A$61:$A$154,$A$75,QK$61:QK$154)*-1</f>
        <v>-28468561.52</v>
      </c>
      <c r="QL162" s="294">
        <f t="shared" si="159"/>
        <v>-20296083.469999991</v>
      </c>
      <c r="QM162" s="294">
        <f t="shared" si="159"/>
        <v>-18919700.93</v>
      </c>
      <c r="QN162" s="294">
        <f t="shared" si="159"/>
        <v>-59126819.749999993</v>
      </c>
      <c r="QO162" s="294">
        <f t="shared" si="159"/>
        <v>-60489086.890000008</v>
      </c>
      <c r="QP162" s="294">
        <f t="shared" si="159"/>
        <v>-15887230.130000003</v>
      </c>
      <c r="QQ162" s="294">
        <f t="shared" si="159"/>
        <v>-4510917.1100000003</v>
      </c>
      <c r="QR162" s="294">
        <f t="shared" si="159"/>
        <v>-11062740.089999998</v>
      </c>
      <c r="QS162" s="294">
        <f t="shared" si="159"/>
        <v>-3277050.7299999995</v>
      </c>
      <c r="QT162" s="294">
        <f t="shared" si="159"/>
        <v>-10471367</v>
      </c>
      <c r="QU162" s="294">
        <f t="shared" si="159"/>
        <v>-351066788.44999999</v>
      </c>
      <c r="QV162" s="294">
        <f t="shared" si="159"/>
        <v>-12623768.369999997</v>
      </c>
      <c r="QW162" s="294">
        <f t="shared" si="159"/>
        <v>-47416521.929999992</v>
      </c>
      <c r="QX162" s="294">
        <f t="shared" si="159"/>
        <v>-13546370</v>
      </c>
      <c r="QY162" s="294">
        <f t="shared" si="159"/>
        <v>-17593676.810000002</v>
      </c>
      <c r="QZ162" s="294">
        <f t="shared" si="159"/>
        <v>-55330335.989999987</v>
      </c>
      <c r="RA162" s="294">
        <f t="shared" si="159"/>
        <v>-25847451.240000002</v>
      </c>
      <c r="RB162" s="294">
        <f t="shared" si="159"/>
        <v>-41451792.090000004</v>
      </c>
      <c r="RC162" s="294">
        <f t="shared" si="159"/>
        <v>-16096549.379999999</v>
      </c>
      <c r="RD162" s="294">
        <f t="shared" si="159"/>
        <v>-27753776.109999999</v>
      </c>
      <c r="RE162" s="294">
        <f t="shared" si="159"/>
        <v>-13760374.289999999</v>
      </c>
      <c r="RF162" s="294">
        <f t="shared" si="159"/>
        <v>-3314424.59</v>
      </c>
      <c r="RG162" s="294">
        <f t="shared" si="159"/>
        <v>-10362988.739999998</v>
      </c>
      <c r="RH162" s="294">
        <f t="shared" si="159"/>
        <v>-322539782.01999992</v>
      </c>
      <c r="RI162" s="294">
        <f t="shared" si="159"/>
        <v>-77984954.520000011</v>
      </c>
      <c r="RJ162" s="294">
        <f t="shared" si="159"/>
        <v>-28775374.619999997</v>
      </c>
      <c r="RK162" s="294">
        <f t="shared" si="159"/>
        <v>-24415257.75</v>
      </c>
      <c r="RL162" s="294">
        <f t="shared" si="159"/>
        <v>-34516660.469999999</v>
      </c>
      <c r="RM162" s="294">
        <f t="shared" si="159"/>
        <v>-57440361.809999995</v>
      </c>
      <c r="RN162" s="294">
        <f t="shared" si="159"/>
        <v>-38782345.390000001</v>
      </c>
      <c r="RO162" s="294">
        <f t="shared" si="159"/>
        <v>-21744614.660000004</v>
      </c>
      <c r="RP162" s="294">
        <f t="shared" si="159"/>
        <v>-15815794.760000002</v>
      </c>
      <c r="RQ162" s="294">
        <f t="shared" si="159"/>
        <v>-53983006.290000007</v>
      </c>
      <c r="RR162" s="294">
        <f t="shared" si="159"/>
        <v>-72432969.570000008</v>
      </c>
      <c r="RS162" s="294">
        <f t="shared" si="159"/>
        <v>-16222546.33</v>
      </c>
      <c r="RT162" s="294">
        <f t="shared" si="159"/>
        <v>-20221334.310000002</v>
      </c>
      <c r="RU162" s="294">
        <f t="shared" si="159"/>
        <v>-26841075.52</v>
      </c>
      <c r="RV162" s="294">
        <f t="shared" si="159"/>
        <v>-16037686.120000001</v>
      </c>
      <c r="RW162" s="294">
        <f t="shared" si="159"/>
        <v>-10196241.679999998</v>
      </c>
      <c r="RX162" s="294">
        <f t="shared" si="159"/>
        <v>-23946835.960000001</v>
      </c>
      <c r="RY162" s="294">
        <f t="shared" si="159"/>
        <v>-8099106.2399999993</v>
      </c>
      <c r="RZ162" s="294">
        <f t="shared" si="159"/>
        <v>-12442775.73</v>
      </c>
      <c r="SA162" s="294">
        <f t="shared" si="159"/>
        <v>-10079238.859999999</v>
      </c>
      <c r="SB162" s="294">
        <f t="shared" si="159"/>
        <v>-137980031.07999998</v>
      </c>
      <c r="SC162" s="294">
        <f t="shared" si="159"/>
        <v>-11397037.58</v>
      </c>
      <c r="SD162" s="294">
        <f t="shared" si="159"/>
        <v>-10465777.85</v>
      </c>
      <c r="SE162" s="294">
        <f t="shared" si="159"/>
        <v>-21943587.750000007</v>
      </c>
      <c r="SF162" s="294">
        <f t="shared" si="159"/>
        <v>-8285777.9199999999</v>
      </c>
      <c r="SG162" s="294">
        <f t="shared" si="159"/>
        <v>-21635176.190000001</v>
      </c>
      <c r="SH162" s="294">
        <f t="shared" si="159"/>
        <v>-33758018.859999999</v>
      </c>
      <c r="SI162" s="294">
        <f t="shared" si="159"/>
        <v>-25769568.520000003</v>
      </c>
      <c r="SJ162" s="294">
        <f t="shared" si="159"/>
        <v>-15721235.039999997</v>
      </c>
      <c r="SK162" s="294">
        <f t="shared" si="159"/>
        <v>-6651125.29</v>
      </c>
      <c r="SL162" s="294">
        <f t="shared" si="159"/>
        <v>-65757376.110000014</v>
      </c>
      <c r="SM162" s="294">
        <f t="shared" si="159"/>
        <v>-8700167.6199999992</v>
      </c>
      <c r="SN162" s="294">
        <f t="shared" si="159"/>
        <v>-79407149.429999992</v>
      </c>
      <c r="SO162" s="294">
        <f t="shared" si="159"/>
        <v>-14459493.580000002</v>
      </c>
      <c r="SP162" s="294">
        <f t="shared" si="159"/>
        <v>-18634099.210000001</v>
      </c>
      <c r="SQ162" s="294">
        <f t="shared" si="159"/>
        <v>-35203185.5</v>
      </c>
      <c r="SR162" s="294">
        <f t="shared" si="159"/>
        <v>-10820820.689999998</v>
      </c>
      <c r="SS162" s="294">
        <f t="shared" si="159"/>
        <v>-8397101.9600000009</v>
      </c>
      <c r="ST162" s="294">
        <f t="shared" si="159"/>
        <v>-11370833</v>
      </c>
      <c r="SU162" s="294">
        <f t="shared" si="159"/>
        <v>-10521434.809999999</v>
      </c>
      <c r="SV162" s="294">
        <f t="shared" si="159"/>
        <v>-258510810.22999999</v>
      </c>
      <c r="SW162" s="294">
        <f t="shared" ref="SW162:VH162" si="160">SUMIF($A$61:$A$154,$A$75,SW$61:SW$154)*-1</f>
        <v>-7838096.2799999993</v>
      </c>
      <c r="SX162" s="294">
        <f t="shared" si="160"/>
        <v>-20088218.879999999</v>
      </c>
      <c r="SY162" s="294">
        <f t="shared" si="160"/>
        <v>-20982646.370000001</v>
      </c>
      <c r="SZ162" s="294">
        <f t="shared" si="160"/>
        <v>-5360750.62</v>
      </c>
      <c r="TA162" s="294">
        <f t="shared" si="160"/>
        <v>-6920719.3900000006</v>
      </c>
      <c r="TB162" s="294">
        <f t="shared" si="160"/>
        <v>-8863344.1399999987</v>
      </c>
      <c r="TC162" s="294">
        <f t="shared" si="160"/>
        <v>-82011389.200000003</v>
      </c>
      <c r="TD162" s="294">
        <f t="shared" si="160"/>
        <v>-11537977.749999998</v>
      </c>
      <c r="TE162" s="294">
        <f t="shared" si="160"/>
        <v>-11800640.380000001</v>
      </c>
      <c r="TF162" s="294">
        <f t="shared" si="160"/>
        <v>-14693672.58</v>
      </c>
      <c r="TG162" s="294">
        <f t="shared" si="160"/>
        <v>-48418060.010000005</v>
      </c>
      <c r="TH162" s="294">
        <f t="shared" si="160"/>
        <v>-8299791.8200000003</v>
      </c>
      <c r="TI162" s="294">
        <f t="shared" si="160"/>
        <v>-6912617.5499999989</v>
      </c>
      <c r="TJ162" s="294">
        <f t="shared" si="160"/>
        <v>-348541116.91000009</v>
      </c>
      <c r="TK162" s="294">
        <f t="shared" si="160"/>
        <v>-14115048.35</v>
      </c>
      <c r="TL162" s="294">
        <f t="shared" si="160"/>
        <v>-17333427.970000003</v>
      </c>
      <c r="TM162" s="294">
        <f t="shared" si="160"/>
        <v>-33349916.700000007</v>
      </c>
      <c r="TN162" s="294">
        <f t="shared" si="160"/>
        <v>-29908947.539999999</v>
      </c>
      <c r="TO162" s="294">
        <f t="shared" si="160"/>
        <v>-8651842.7799999993</v>
      </c>
      <c r="TP162" s="294">
        <f t="shared" si="160"/>
        <v>-8188426.9400000013</v>
      </c>
      <c r="TQ162" s="294">
        <f t="shared" si="160"/>
        <v>-72420476.849999994</v>
      </c>
      <c r="TR162" s="294">
        <f t="shared" si="160"/>
        <v>-9136630.4800000004</v>
      </c>
      <c r="TS162" s="294">
        <f t="shared" si="160"/>
        <v>-24532684.800000001</v>
      </c>
      <c r="TT162" s="294">
        <f t="shared" si="160"/>
        <v>-33175289.140000004</v>
      </c>
      <c r="TU162" s="294">
        <f t="shared" si="160"/>
        <v>-6636969.8399999999</v>
      </c>
      <c r="TV162" s="294">
        <f t="shared" si="160"/>
        <v>-8050352.3899999997</v>
      </c>
      <c r="TW162" s="294">
        <f t="shared" si="160"/>
        <v>-14064282.320000002</v>
      </c>
      <c r="TX162" s="294">
        <f t="shared" si="160"/>
        <v>-15618365.100000001</v>
      </c>
      <c r="TY162" s="294">
        <f t="shared" si="160"/>
        <v>-4527777.8499999996</v>
      </c>
      <c r="TZ162" s="294">
        <f t="shared" si="160"/>
        <v>-74229896.979999974</v>
      </c>
      <c r="UA162" s="294">
        <f t="shared" si="160"/>
        <v>-9270250.2899999991</v>
      </c>
      <c r="UB162" s="294">
        <f t="shared" si="160"/>
        <v>-131931702.19999997</v>
      </c>
      <c r="UC162" s="294">
        <f t="shared" si="160"/>
        <v>-48579296.36999999</v>
      </c>
      <c r="UD162" s="294">
        <f t="shared" si="160"/>
        <v>-18381427.899999999</v>
      </c>
      <c r="UE162" s="294">
        <f t="shared" si="160"/>
        <v>-22096860.479999997</v>
      </c>
      <c r="UF162" s="294">
        <f t="shared" si="160"/>
        <v>-221297613.36000001</v>
      </c>
      <c r="UG162" s="294">
        <f t="shared" si="160"/>
        <v>-15014166.030000001</v>
      </c>
      <c r="UH162" s="294">
        <f t="shared" si="160"/>
        <v>-14355273.74</v>
      </c>
      <c r="UI162" s="294">
        <f t="shared" si="160"/>
        <v>-20956707.159999996</v>
      </c>
      <c r="UJ162" s="294">
        <f t="shared" si="160"/>
        <v>-13039675.199999999</v>
      </c>
      <c r="UK162" s="294">
        <f t="shared" si="160"/>
        <v>-104237886.34999999</v>
      </c>
      <c r="UL162" s="294">
        <f t="shared" si="160"/>
        <v>-41169608.279999994</v>
      </c>
      <c r="UM162" s="294">
        <f t="shared" si="160"/>
        <v>-19198774.41</v>
      </c>
      <c r="UN162" s="294">
        <f t="shared" si="160"/>
        <v>-50474020</v>
      </c>
      <c r="UO162" s="294">
        <f t="shared" si="160"/>
        <v>-21816657.539999999</v>
      </c>
      <c r="UP162" s="294">
        <f t="shared" si="160"/>
        <v>-23019034.099999994</v>
      </c>
      <c r="UQ162" s="294">
        <f t="shared" si="160"/>
        <v>-550528033.60000002</v>
      </c>
      <c r="UR162" s="294">
        <f t="shared" si="160"/>
        <v>-30627198.870000001</v>
      </c>
      <c r="US162" s="294">
        <f t="shared" si="160"/>
        <v>-27125235.569999997</v>
      </c>
      <c r="UT162" s="294">
        <f t="shared" si="160"/>
        <v>-104821946.19</v>
      </c>
      <c r="UU162" s="294">
        <f t="shared" si="160"/>
        <v>-3983429.87</v>
      </c>
      <c r="UV162" s="294">
        <f t="shared" si="160"/>
        <v>-22087283.429999996</v>
      </c>
      <c r="UW162" s="294">
        <f t="shared" si="160"/>
        <v>-59373659.800000004</v>
      </c>
      <c r="UX162" s="294">
        <f t="shared" si="160"/>
        <v>-11482772.33</v>
      </c>
      <c r="UY162" s="294">
        <f t="shared" si="160"/>
        <v>-18212530.73</v>
      </c>
      <c r="UZ162" s="294">
        <f t="shared" si="160"/>
        <v>-16849181.280000001</v>
      </c>
      <c r="VA162" s="294">
        <f t="shared" si="160"/>
        <v>-22410495.450000007</v>
      </c>
      <c r="VB162" s="294">
        <f t="shared" si="160"/>
        <v>-56140859.469999999</v>
      </c>
      <c r="VC162" s="294">
        <f t="shared" si="160"/>
        <v>-31929114.909999996</v>
      </c>
      <c r="VD162" s="294">
        <f t="shared" si="160"/>
        <v>-23053053.230000004</v>
      </c>
      <c r="VE162" s="294">
        <f t="shared" si="160"/>
        <v>-15271345.059999999</v>
      </c>
      <c r="VF162" s="294">
        <f t="shared" si="160"/>
        <v>-16171327.900000004</v>
      </c>
      <c r="VG162" s="294">
        <f t="shared" si="160"/>
        <v>-14421894.960000003</v>
      </c>
      <c r="VH162" s="294">
        <f t="shared" si="160"/>
        <v>-18739480.66</v>
      </c>
      <c r="VI162" s="294">
        <f t="shared" ref="VI162:XT162" si="161">SUMIF($A$61:$A$154,$A$75,VI$61:VI$154)*-1</f>
        <v>-68371903.950000003</v>
      </c>
      <c r="VJ162" s="294">
        <f t="shared" si="161"/>
        <v>-13953920.139999999</v>
      </c>
      <c r="VK162" s="294">
        <f t="shared" si="161"/>
        <v>-9771581.4299999997</v>
      </c>
      <c r="VL162" s="294">
        <f t="shared" si="161"/>
        <v>-6272414.8599999994</v>
      </c>
      <c r="VM162" s="294">
        <f t="shared" si="161"/>
        <v>-333903203.14999998</v>
      </c>
      <c r="VN162" s="294">
        <f t="shared" si="161"/>
        <v>-20601146.130000003</v>
      </c>
      <c r="VO162" s="294">
        <f t="shared" si="161"/>
        <v>-20654102.350000001</v>
      </c>
      <c r="VP162" s="294">
        <f t="shared" si="161"/>
        <v>-30479173.470000003</v>
      </c>
      <c r="VQ162" s="294">
        <f t="shared" si="161"/>
        <v>-48710568.439999998</v>
      </c>
      <c r="VR162" s="294">
        <f t="shared" si="161"/>
        <v>-42125858.490000002</v>
      </c>
      <c r="VS162" s="294">
        <f t="shared" si="161"/>
        <v>-23087793.120000001</v>
      </c>
      <c r="VT162" s="294">
        <f t="shared" si="161"/>
        <v>-8666802.9000000004</v>
      </c>
      <c r="VU162" s="294">
        <f t="shared" si="161"/>
        <v>-31604750.850000001</v>
      </c>
      <c r="VV162" s="294">
        <f t="shared" si="161"/>
        <v>-113050455.53999999</v>
      </c>
      <c r="VW162" s="294">
        <f t="shared" si="161"/>
        <v>-17053772.789999999</v>
      </c>
      <c r="VX162" s="294">
        <f t="shared" si="161"/>
        <v>-49743282.079999991</v>
      </c>
      <c r="VY162" s="294">
        <f t="shared" si="161"/>
        <v>-22454880.57</v>
      </c>
      <c r="VZ162" s="294">
        <f t="shared" si="161"/>
        <v>-5997071.3700000001</v>
      </c>
      <c r="WA162" s="294">
        <f t="shared" si="161"/>
        <v>-13990727.34</v>
      </c>
      <c r="WB162" s="294">
        <f t="shared" si="161"/>
        <v>-809011308.99000001</v>
      </c>
      <c r="WC162" s="294">
        <f t="shared" si="161"/>
        <v>-32163988.039999995</v>
      </c>
      <c r="WD162" s="294">
        <f t="shared" si="161"/>
        <v>-19528404.210000001</v>
      </c>
      <c r="WE162" s="294">
        <f t="shared" si="161"/>
        <v>-13401740.639999999</v>
      </c>
      <c r="WF162" s="294">
        <f t="shared" si="161"/>
        <v>-8303720.8200000012</v>
      </c>
      <c r="WG162" s="294">
        <f t="shared" si="161"/>
        <v>-21312326.940000001</v>
      </c>
      <c r="WH162" s="294">
        <f t="shared" si="161"/>
        <v>-57586697.310000002</v>
      </c>
      <c r="WI162" s="294">
        <f t="shared" si="161"/>
        <v>-26510585.870000008</v>
      </c>
      <c r="WJ162" s="294">
        <f t="shared" si="161"/>
        <v>-15957066.949999999</v>
      </c>
      <c r="WK162" s="294">
        <f t="shared" si="161"/>
        <v>-38245389.670000002</v>
      </c>
      <c r="WL162" s="294">
        <f t="shared" si="161"/>
        <v>-11436662.25</v>
      </c>
      <c r="WM162" s="294">
        <f t="shared" si="161"/>
        <v>-61650406.409999996</v>
      </c>
      <c r="WN162" s="294">
        <f t="shared" si="161"/>
        <v>-15444803.209999999</v>
      </c>
      <c r="WO162" s="294">
        <f t="shared" si="161"/>
        <v>-52763362.570000008</v>
      </c>
      <c r="WP162" s="294">
        <f t="shared" si="161"/>
        <v>-62578042.410000004</v>
      </c>
      <c r="WQ162" s="294">
        <f t="shared" si="161"/>
        <v>-12602441.199999999</v>
      </c>
      <c r="WR162" s="294">
        <f t="shared" si="161"/>
        <v>-11190253.42</v>
      </c>
      <c r="WS162" s="294">
        <f t="shared" si="161"/>
        <v>-34266701.579999998</v>
      </c>
      <c r="WT162" s="294">
        <f t="shared" si="161"/>
        <v>-7058971.0300000003</v>
      </c>
      <c r="WU162" s="294">
        <f t="shared" si="161"/>
        <v>-38389174.589999996</v>
      </c>
      <c r="WV162" s="294">
        <f t="shared" si="161"/>
        <v>-147874059.82000002</v>
      </c>
      <c r="WW162" s="294">
        <f t="shared" si="161"/>
        <v>-34626169.700000003</v>
      </c>
      <c r="WX162" s="294">
        <f t="shared" si="161"/>
        <v>-19817101.350000001</v>
      </c>
      <c r="WY162" s="294">
        <f t="shared" si="161"/>
        <v>-11916716.379999999</v>
      </c>
      <c r="WZ162" s="294">
        <f t="shared" si="161"/>
        <v>-18875690.370000001</v>
      </c>
      <c r="XA162" s="294">
        <f t="shared" si="161"/>
        <v>-16915268.949999996</v>
      </c>
      <c r="XB162" s="294">
        <f t="shared" si="161"/>
        <v>-7619935.7400000012</v>
      </c>
      <c r="XC162" s="294">
        <f t="shared" si="161"/>
        <v>-17081859.230000004</v>
      </c>
      <c r="XD162" s="294">
        <f t="shared" si="161"/>
        <v>-87113507.129999995</v>
      </c>
      <c r="XE162" s="294">
        <f t="shared" si="161"/>
        <v>-15395346.539999999</v>
      </c>
      <c r="XF162" s="294">
        <f t="shared" si="161"/>
        <v>-3889773.86</v>
      </c>
      <c r="XG162" s="294">
        <f t="shared" si="161"/>
        <v>-5786861.3599999994</v>
      </c>
      <c r="XH162" s="294">
        <f t="shared" si="161"/>
        <v>-10973116.210000001</v>
      </c>
      <c r="XI162" s="294">
        <f t="shared" si="161"/>
        <v>-365155265.67000002</v>
      </c>
      <c r="XJ162" s="294">
        <f t="shared" si="161"/>
        <v>-39184755.960000001</v>
      </c>
      <c r="XK162" s="294">
        <f t="shared" si="161"/>
        <v>-25512612.870000001</v>
      </c>
      <c r="XL162" s="294">
        <f t="shared" si="161"/>
        <v>-138659916.97000003</v>
      </c>
      <c r="XM162" s="294">
        <f t="shared" si="161"/>
        <v>-24481817.060000002</v>
      </c>
      <c r="XN162" s="294">
        <f t="shared" si="161"/>
        <v>-16094040.76</v>
      </c>
      <c r="XO162" s="294">
        <f t="shared" si="161"/>
        <v>-78504222.670000002</v>
      </c>
      <c r="XP162" s="294">
        <f t="shared" si="161"/>
        <v>-26091792.079999998</v>
      </c>
      <c r="XQ162" s="294">
        <f t="shared" si="161"/>
        <v>-18607088.84</v>
      </c>
      <c r="XR162" s="294">
        <f t="shared" si="161"/>
        <v>-43031530.030000001</v>
      </c>
      <c r="XS162" s="294">
        <f t="shared" si="161"/>
        <v>-43418426.830000013</v>
      </c>
      <c r="XT162" s="294">
        <f t="shared" si="161"/>
        <v>-13930935.6</v>
      </c>
      <c r="XU162" s="294">
        <f t="shared" ref="XU162:AAF162" si="162">SUMIF($A$61:$A$154,$A$75,XU$61:XU$154)*-1</f>
        <v>-20359562.399999999</v>
      </c>
      <c r="XV162" s="294">
        <f t="shared" si="162"/>
        <v>-17560345.379999999</v>
      </c>
      <c r="XW162" s="294">
        <f t="shared" si="162"/>
        <v>-13384288.550000001</v>
      </c>
      <c r="XX162" s="294">
        <f t="shared" si="162"/>
        <v>-15233775.960000001</v>
      </c>
      <c r="XY162" s="294">
        <f t="shared" si="162"/>
        <v>-8468142.4400000013</v>
      </c>
      <c r="XZ162" s="294">
        <f t="shared" si="162"/>
        <v>-14547141.960000001</v>
      </c>
      <c r="YA162" s="294">
        <f t="shared" si="162"/>
        <v>-12297177.720000001</v>
      </c>
      <c r="YB162" s="294">
        <f t="shared" si="162"/>
        <v>-7371651.1200000001</v>
      </c>
      <c r="YC162" s="294">
        <f t="shared" si="162"/>
        <v>-9274165.2999999989</v>
      </c>
      <c r="YD162" s="294">
        <f t="shared" si="162"/>
        <v>-14047580.639999997</v>
      </c>
      <c r="YE162" s="294">
        <f t="shared" si="162"/>
        <v>-15004022</v>
      </c>
      <c r="YF162" s="294">
        <f t="shared" si="162"/>
        <v>-260170038.94</v>
      </c>
      <c r="YG162" s="294">
        <f t="shared" si="162"/>
        <v>-13538028.009999998</v>
      </c>
      <c r="YH162" s="294">
        <f t="shared" si="162"/>
        <v>-36605026.690000005</v>
      </c>
      <c r="YI162" s="294">
        <f t="shared" si="162"/>
        <v>-11835844.73</v>
      </c>
      <c r="YJ162" s="294">
        <f t="shared" si="162"/>
        <v>-108388789.12</v>
      </c>
      <c r="YK162" s="294">
        <f t="shared" si="162"/>
        <v>-12156337.309999999</v>
      </c>
      <c r="YL162" s="294">
        <f t="shared" si="162"/>
        <v>-42101962.589999989</v>
      </c>
      <c r="YM162" s="294">
        <f t="shared" si="162"/>
        <v>-7553207.6200000001</v>
      </c>
      <c r="YN162" s="294">
        <f t="shared" si="162"/>
        <v>-59076394.210000001</v>
      </c>
      <c r="YO162" s="294">
        <f t="shared" si="162"/>
        <v>-63251214.740000002</v>
      </c>
      <c r="YP162" s="294">
        <f t="shared" si="162"/>
        <v>-21403333.259999998</v>
      </c>
      <c r="YQ162" s="294">
        <f t="shared" si="162"/>
        <v>-16915968.479999997</v>
      </c>
      <c r="YR162" s="294">
        <f t="shared" si="162"/>
        <v>-20420232.069999997</v>
      </c>
      <c r="YS162" s="294">
        <f t="shared" si="162"/>
        <v>-9757221.9799999986</v>
      </c>
      <c r="YT162" s="294">
        <f t="shared" si="162"/>
        <v>-9798011.9099999983</v>
      </c>
      <c r="YU162" s="294">
        <f t="shared" si="162"/>
        <v>-21850023.150000002</v>
      </c>
      <c r="YV162" s="294">
        <f t="shared" si="162"/>
        <v>-9355220.2899999991</v>
      </c>
      <c r="YW162" s="294">
        <f t="shared" si="162"/>
        <v>-142124589.78</v>
      </c>
      <c r="YX162" s="294">
        <f t="shared" si="162"/>
        <v>-15866972.48</v>
      </c>
      <c r="YY162" s="294">
        <f t="shared" si="162"/>
        <v>-9684188.9900000002</v>
      </c>
      <c r="YZ162" s="294">
        <f t="shared" si="162"/>
        <v>-12126894.409999998</v>
      </c>
      <c r="ZA162" s="294">
        <f t="shared" si="162"/>
        <v>-16238813.26</v>
      </c>
      <c r="ZB162" s="294">
        <f t="shared" si="162"/>
        <v>-8333998.0100000007</v>
      </c>
      <c r="ZC162" s="294">
        <f t="shared" si="162"/>
        <v>-9718151.9600000009</v>
      </c>
      <c r="ZD162" s="294">
        <f t="shared" si="162"/>
        <v>-90375718.919999987</v>
      </c>
      <c r="ZE162" s="294">
        <f t="shared" si="162"/>
        <v>-4918756.21</v>
      </c>
      <c r="ZF162" s="294">
        <f t="shared" si="162"/>
        <v>-13065075.579999998</v>
      </c>
      <c r="ZG162" s="294">
        <f t="shared" si="162"/>
        <v>-8850486.9299999997</v>
      </c>
      <c r="ZH162" s="294">
        <f t="shared" si="162"/>
        <v>-7059857.6399999997</v>
      </c>
      <c r="ZI162" s="294">
        <f t="shared" si="162"/>
        <v>-6832006.9699999997</v>
      </c>
      <c r="ZJ162" s="294">
        <f t="shared" si="162"/>
        <v>-7831743.7199999997</v>
      </c>
      <c r="ZK162" s="294">
        <f t="shared" si="162"/>
        <v>-7137123.2199999997</v>
      </c>
      <c r="ZL162" s="294">
        <f t="shared" si="162"/>
        <v>-72452372.219999999</v>
      </c>
      <c r="ZM162" s="294">
        <f t="shared" si="162"/>
        <v>-275644929.01000011</v>
      </c>
      <c r="ZN162" s="294">
        <f t="shared" si="162"/>
        <v>-7399620.8300000001</v>
      </c>
      <c r="ZO162" s="294">
        <f t="shared" si="162"/>
        <v>-35607408.477000006</v>
      </c>
      <c r="ZP162" s="294">
        <f t="shared" si="162"/>
        <v>-70005501.790000007</v>
      </c>
      <c r="ZQ162" s="294">
        <f t="shared" si="162"/>
        <v>-51397923.650000006</v>
      </c>
      <c r="ZR162" s="294">
        <f t="shared" si="162"/>
        <v>-8256024.767</v>
      </c>
      <c r="ZS162" s="294">
        <f t="shared" si="162"/>
        <v>-15612520.07</v>
      </c>
      <c r="ZT162" s="294">
        <f t="shared" si="162"/>
        <v>-35933675.25</v>
      </c>
      <c r="ZU162" s="294">
        <f t="shared" si="162"/>
        <v>-24551791.760000005</v>
      </c>
      <c r="ZV162" s="294">
        <f t="shared" si="162"/>
        <v>-55022422.649999999</v>
      </c>
      <c r="ZW162" s="294">
        <f t="shared" si="162"/>
        <v>-5387701.3899999997</v>
      </c>
      <c r="ZX162" s="294">
        <f t="shared" si="162"/>
        <v>-9849854.3800000027</v>
      </c>
      <c r="ZY162" s="294">
        <f t="shared" si="162"/>
        <v>-14150635.700000001</v>
      </c>
      <c r="ZZ162" s="294">
        <f t="shared" si="162"/>
        <v>-29896341.709999997</v>
      </c>
      <c r="AAA162" s="294">
        <f t="shared" si="162"/>
        <v>-10890833.860000001</v>
      </c>
      <c r="AAB162" s="294">
        <f t="shared" si="162"/>
        <v>-12447157.779999996</v>
      </c>
      <c r="AAC162" s="294">
        <f t="shared" si="162"/>
        <v>-13671891.92</v>
      </c>
      <c r="AAD162" s="294">
        <f t="shared" si="162"/>
        <v>-5950695.9799999995</v>
      </c>
      <c r="AAE162" s="294">
        <f t="shared" si="162"/>
        <v>-12589129.199999999</v>
      </c>
      <c r="AAF162" s="294">
        <f t="shared" si="162"/>
        <v>-6270497.6000000006</v>
      </c>
      <c r="AAG162" s="294">
        <f t="shared" ref="AAG162:ACR162" si="163">SUMIF($A$61:$A$154,$A$75,AAG$61:AAG$154)*-1</f>
        <v>-4910558.96</v>
      </c>
      <c r="AAH162" s="294">
        <f t="shared" si="163"/>
        <v>-8497990.5</v>
      </c>
      <c r="AAI162" s="294">
        <f t="shared" si="163"/>
        <v>-92585851.539999992</v>
      </c>
      <c r="AAJ162" s="294">
        <f t="shared" si="163"/>
        <v>-17164125.430000003</v>
      </c>
      <c r="AAK162" s="294">
        <f t="shared" si="163"/>
        <v>-19269280.84</v>
      </c>
      <c r="AAL162" s="294">
        <f t="shared" si="163"/>
        <v>-13664442.25</v>
      </c>
      <c r="AAM162" s="294">
        <f t="shared" si="163"/>
        <v>-4724642.92</v>
      </c>
      <c r="AAN162" s="294">
        <f t="shared" si="163"/>
        <v>-30496510.590000004</v>
      </c>
      <c r="AAO162" s="294">
        <f t="shared" si="163"/>
        <v>-7938383.8099999996</v>
      </c>
      <c r="AAP162" s="294">
        <f t="shared" si="163"/>
        <v>-826128747.25999999</v>
      </c>
      <c r="AAQ162" s="294">
        <f t="shared" si="163"/>
        <v>-31228821.459999993</v>
      </c>
      <c r="AAR162" s="294">
        <f t="shared" si="163"/>
        <v>-20800503.329999998</v>
      </c>
      <c r="AAS162" s="294">
        <f t="shared" si="163"/>
        <v>-43227667.420000002</v>
      </c>
      <c r="AAT162" s="294">
        <f t="shared" si="163"/>
        <v>-39518628.179999992</v>
      </c>
      <c r="AAU162" s="294">
        <f t="shared" si="163"/>
        <v>-11826014.58</v>
      </c>
      <c r="AAV162" s="294">
        <f t="shared" si="163"/>
        <v>-18711700.609999999</v>
      </c>
      <c r="AAW162" s="294">
        <f t="shared" si="163"/>
        <v>-21851385.969999999</v>
      </c>
      <c r="AAX162" s="294">
        <f t="shared" si="163"/>
        <v>-128607178.38000001</v>
      </c>
      <c r="AAY162" s="294">
        <f t="shared" si="163"/>
        <v>-21450159.210000001</v>
      </c>
      <c r="AAZ162" s="294">
        <f t="shared" si="163"/>
        <v>-29660976.630000006</v>
      </c>
      <c r="ABA162" s="294">
        <f t="shared" si="163"/>
        <v>-107521925.23</v>
      </c>
      <c r="ABB162" s="294">
        <f t="shared" si="163"/>
        <v>-48947732.470000006</v>
      </c>
      <c r="ABC162" s="294">
        <f t="shared" si="163"/>
        <v>-8818586.0599999987</v>
      </c>
      <c r="ABD162" s="294">
        <f t="shared" si="163"/>
        <v>-18489727.66</v>
      </c>
      <c r="ABE162" s="294">
        <f t="shared" si="163"/>
        <v>-16690212.409999996</v>
      </c>
      <c r="ABF162" s="294">
        <f t="shared" si="163"/>
        <v>-10573479.9</v>
      </c>
      <c r="ABG162" s="294">
        <f t="shared" si="163"/>
        <v>-12759546.380000001</v>
      </c>
      <c r="ABH162" s="294">
        <f t="shared" si="163"/>
        <v>-14860621.579999998</v>
      </c>
      <c r="ABI162" s="294">
        <f t="shared" si="163"/>
        <v>-124064008.01000001</v>
      </c>
      <c r="ABJ162" s="294">
        <f t="shared" si="163"/>
        <v>-92697599.170000002</v>
      </c>
      <c r="ABK162" s="294">
        <f t="shared" si="163"/>
        <v>-23756679.260000002</v>
      </c>
      <c r="ABL162" s="294">
        <f t="shared" si="163"/>
        <v>-9857632.3299999963</v>
      </c>
      <c r="ABM162" s="294">
        <f t="shared" si="163"/>
        <v>-21656141.59</v>
      </c>
      <c r="ABN162" s="294">
        <f t="shared" si="163"/>
        <v>-6326339.2699999996</v>
      </c>
      <c r="ABO162" s="294">
        <f t="shared" si="163"/>
        <v>-10603413.949999997</v>
      </c>
      <c r="ABP162" s="294">
        <f t="shared" si="163"/>
        <v>-197491883.20000002</v>
      </c>
      <c r="ABQ162" s="294">
        <f t="shared" si="163"/>
        <v>-18988828.550000001</v>
      </c>
      <c r="ABR162" s="294">
        <f t="shared" si="163"/>
        <v>-21690801.860000007</v>
      </c>
      <c r="ABS162" s="294">
        <f t="shared" si="163"/>
        <v>-23962774.809999999</v>
      </c>
      <c r="ABT162" s="294">
        <f t="shared" si="163"/>
        <v>-19429495.620000005</v>
      </c>
      <c r="ABU162" s="294">
        <f t="shared" si="163"/>
        <v>-19943065.620000001</v>
      </c>
      <c r="ABV162" s="294">
        <f t="shared" si="163"/>
        <v>-12298066.51</v>
      </c>
      <c r="ABW162" s="294">
        <f t="shared" si="163"/>
        <v>-17748297.859999999</v>
      </c>
      <c r="ABX162" s="294">
        <f t="shared" si="163"/>
        <v>-3372564.0900000003</v>
      </c>
      <c r="ABY162" s="294">
        <f t="shared" si="163"/>
        <v>-286663643.43000001</v>
      </c>
      <c r="ABZ162" s="294">
        <f t="shared" si="163"/>
        <v>-11045640.580000002</v>
      </c>
      <c r="ACA162" s="294">
        <f t="shared" si="163"/>
        <v>-36102453.409999996</v>
      </c>
      <c r="ACB162" s="294">
        <f t="shared" si="163"/>
        <v>-11820599.66</v>
      </c>
      <c r="ACC162" s="294">
        <f t="shared" si="163"/>
        <v>-11687445.860000001</v>
      </c>
      <c r="ACD162" s="294">
        <f t="shared" si="163"/>
        <v>-128434739.95999998</v>
      </c>
      <c r="ACE162" s="294">
        <f t="shared" si="163"/>
        <v>-7828932.7000000011</v>
      </c>
      <c r="ACF162" s="294">
        <f t="shared" si="163"/>
        <v>-11259075.610000001</v>
      </c>
      <c r="ACG162" s="294">
        <f t="shared" si="163"/>
        <v>-12838881.32</v>
      </c>
      <c r="ACH162" s="294">
        <f t="shared" si="163"/>
        <v>-15912139.579999996</v>
      </c>
      <c r="ACI162" s="294">
        <f t="shared" si="163"/>
        <v>-13359154.68</v>
      </c>
      <c r="ACJ162" s="294">
        <f t="shared" si="163"/>
        <v>-406695980.66000003</v>
      </c>
      <c r="ACK162" s="294">
        <f t="shared" si="163"/>
        <v>-10548795.610000001</v>
      </c>
      <c r="ACL162" s="294">
        <f t="shared" si="163"/>
        <v>-27379445.509999994</v>
      </c>
      <c r="ACM162" s="294">
        <f t="shared" si="163"/>
        <v>-37900297.590000004</v>
      </c>
      <c r="ACN162" s="294">
        <f t="shared" si="163"/>
        <v>-10828250.669999998</v>
      </c>
      <c r="ACO162" s="294">
        <f t="shared" si="163"/>
        <v>-46398521.539999999</v>
      </c>
      <c r="ACP162" s="294">
        <f t="shared" si="163"/>
        <v>-19768271.760000002</v>
      </c>
      <c r="ACQ162" s="294">
        <f t="shared" si="163"/>
        <v>-82584524.019999996</v>
      </c>
      <c r="ACR162" s="294">
        <f t="shared" si="163"/>
        <v>-77891673.879999995</v>
      </c>
      <c r="ACS162" s="294">
        <f t="shared" ref="ACS162:AFD162" si="164">SUMIF($A$61:$A$154,$A$75,ACS$61:ACS$154)*-1</f>
        <v>-26694055.379999999</v>
      </c>
      <c r="ACT162" s="294">
        <f t="shared" si="164"/>
        <v>-53082579.530000001</v>
      </c>
      <c r="ACU162" s="294">
        <f t="shared" si="164"/>
        <v>-43391881.120000005</v>
      </c>
      <c r="ACV162" s="294">
        <f t="shared" si="164"/>
        <v>-34809028.38000001</v>
      </c>
      <c r="ACW162" s="294">
        <f t="shared" si="164"/>
        <v>-67832347.849999994</v>
      </c>
      <c r="ACX162" s="294">
        <f t="shared" si="164"/>
        <v>-29622162.870000001</v>
      </c>
      <c r="ACY162" s="294">
        <f t="shared" si="164"/>
        <v>-11895192.979999999</v>
      </c>
      <c r="ACZ162" s="294">
        <f t="shared" si="164"/>
        <v>-34229263.450000003</v>
      </c>
      <c r="ADA162" s="294">
        <f t="shared" si="164"/>
        <v>-20206324.84</v>
      </c>
      <c r="ADB162" s="294">
        <f t="shared" si="164"/>
        <v>-18002789.080000002</v>
      </c>
      <c r="ADC162" s="294">
        <f t="shared" si="164"/>
        <v>-12132159.840000002</v>
      </c>
      <c r="ADD162" s="294">
        <f t="shared" si="164"/>
        <v>-26222096.869999997</v>
      </c>
      <c r="ADE162" s="294">
        <f t="shared" si="164"/>
        <v>-14811297.42</v>
      </c>
      <c r="ADF162" s="294">
        <f t="shared" si="164"/>
        <v>-10666352.379999997</v>
      </c>
      <c r="ADG162" s="294">
        <f t="shared" si="164"/>
        <v>-67866162.510000005</v>
      </c>
      <c r="ADH162" s="294">
        <f t="shared" si="164"/>
        <v>-50475883.259999998</v>
      </c>
      <c r="ADI162" s="294">
        <f t="shared" si="164"/>
        <v>-3584606.9800000004</v>
      </c>
      <c r="ADJ162" s="294">
        <f t="shared" si="164"/>
        <v>-10974765.110000001</v>
      </c>
      <c r="ADK162" s="294">
        <f t="shared" si="164"/>
        <v>-25675052.309999995</v>
      </c>
      <c r="ADL162" s="294">
        <f t="shared" si="164"/>
        <v>-8735062.9399999995</v>
      </c>
      <c r="ADM162" s="294">
        <f t="shared" si="164"/>
        <v>-16454730.390000001</v>
      </c>
      <c r="ADN162" s="294">
        <f t="shared" si="164"/>
        <v>-24330366.549999997</v>
      </c>
      <c r="ADO162" s="294">
        <f t="shared" si="164"/>
        <v>-33563099.120000005</v>
      </c>
      <c r="ADP162" s="294">
        <f t="shared" si="164"/>
        <v>-432692302.59999996</v>
      </c>
      <c r="ADQ162" s="294">
        <f t="shared" si="164"/>
        <v>-41637890.920000002</v>
      </c>
      <c r="ADR162" s="294">
        <f t="shared" si="164"/>
        <v>-42354605.599999994</v>
      </c>
      <c r="ADS162" s="294">
        <f t="shared" si="164"/>
        <v>-14436573.149999999</v>
      </c>
      <c r="ADT162" s="294">
        <f t="shared" si="164"/>
        <v>-151796881.71999997</v>
      </c>
      <c r="ADU162" s="294">
        <f t="shared" si="164"/>
        <v>-6248103.9300000006</v>
      </c>
      <c r="ADV162" s="294">
        <f t="shared" si="164"/>
        <v>-19201615.959999997</v>
      </c>
      <c r="ADW162" s="294">
        <f t="shared" si="164"/>
        <v>-11852790.870000001</v>
      </c>
      <c r="ADX162" s="294">
        <f t="shared" si="164"/>
        <v>-5995224.580000001</v>
      </c>
      <c r="ADY162" s="294">
        <f t="shared" si="164"/>
        <v>-7585487.9700000007</v>
      </c>
      <c r="ADZ162" s="294">
        <f t="shared" si="164"/>
        <v>-543579653.10000002</v>
      </c>
      <c r="AEA162" s="294">
        <f t="shared" si="164"/>
        <v>-188489030.11999997</v>
      </c>
      <c r="AEB162" s="294">
        <f t="shared" si="164"/>
        <v>-95613118.090000004</v>
      </c>
      <c r="AEC162" s="294">
        <f t="shared" si="164"/>
        <v>-32155265.129999992</v>
      </c>
      <c r="AED162" s="294">
        <f t="shared" si="164"/>
        <v>-13643374.779999999</v>
      </c>
      <c r="AEE162" s="294">
        <f t="shared" si="164"/>
        <v>-48973965.710000001</v>
      </c>
      <c r="AEF162" s="294">
        <f t="shared" si="164"/>
        <v>-35102470.179999992</v>
      </c>
      <c r="AEG162" s="294">
        <f t="shared" si="164"/>
        <v>-25067103.949999996</v>
      </c>
      <c r="AEH162" s="294">
        <f t="shared" si="164"/>
        <v>-14630189.160000004</v>
      </c>
      <c r="AEI162" s="294">
        <f t="shared" si="164"/>
        <v>-10408550.550000001</v>
      </c>
      <c r="AEJ162" s="294">
        <f t="shared" si="164"/>
        <v>-46072420.149999999</v>
      </c>
      <c r="AEK162" s="294">
        <f t="shared" si="164"/>
        <v>-51928370.36999999</v>
      </c>
      <c r="AEL162" s="294">
        <f t="shared" si="164"/>
        <v>-13491921.720000001</v>
      </c>
      <c r="AEM162" s="294">
        <f t="shared" si="164"/>
        <v>-31082616.970000003</v>
      </c>
      <c r="AEN162" s="294">
        <f t="shared" si="164"/>
        <v>-35910792.209999993</v>
      </c>
      <c r="AEO162" s="294">
        <f t="shared" si="164"/>
        <v>-38449565.600000001</v>
      </c>
      <c r="AEP162" s="294">
        <f t="shared" si="164"/>
        <v>-7739176.8299999991</v>
      </c>
      <c r="AEQ162" s="294">
        <f t="shared" si="164"/>
        <v>-75317792.360000014</v>
      </c>
      <c r="AER162" s="294">
        <f t="shared" si="164"/>
        <v>-6043815.3200000003</v>
      </c>
      <c r="AES162" s="294">
        <f t="shared" si="164"/>
        <v>-50244495.239999987</v>
      </c>
      <c r="AET162" s="294">
        <f t="shared" si="164"/>
        <v>-250649041.91000006</v>
      </c>
      <c r="AEU162" s="294">
        <f t="shared" si="164"/>
        <v>-43382533.740000002</v>
      </c>
      <c r="AEV162" s="294">
        <f t="shared" si="164"/>
        <v>-28370265.559999999</v>
      </c>
      <c r="AEW162" s="294">
        <f t="shared" si="164"/>
        <v>-26888207.109999999</v>
      </c>
      <c r="AEX162" s="294">
        <f t="shared" si="164"/>
        <v>-17618010.269999996</v>
      </c>
      <c r="AEY162" s="294">
        <f t="shared" si="164"/>
        <v>-72046797.330000013</v>
      </c>
      <c r="AEZ162" s="294">
        <f t="shared" si="164"/>
        <v>-22848218.579999998</v>
      </c>
      <c r="AFA162" s="294">
        <f t="shared" si="164"/>
        <v>-34149294.189999998</v>
      </c>
      <c r="AFB162" s="294">
        <f t="shared" si="164"/>
        <v>-23636487.700000003</v>
      </c>
      <c r="AFC162" s="294">
        <f t="shared" si="164"/>
        <v>-14749299.640000001</v>
      </c>
      <c r="AFD162" s="294">
        <f t="shared" si="164"/>
        <v>-95478359.420000017</v>
      </c>
      <c r="AFE162" s="294">
        <f t="shared" ref="AFE162:AHP162" si="165">SUMIF($A$61:$A$154,$A$75,AFE$61:AFE$154)*-1</f>
        <v>-24866739.620000001</v>
      </c>
      <c r="AFF162" s="294">
        <f t="shared" si="165"/>
        <v>-23116011.219999999</v>
      </c>
      <c r="AFG162" s="294">
        <f t="shared" si="165"/>
        <v>-17732582.629999999</v>
      </c>
      <c r="AFH162" s="294">
        <f t="shared" si="165"/>
        <v>-24840451.25</v>
      </c>
      <c r="AFI162" s="294">
        <f t="shared" si="165"/>
        <v>-23980732.559999999</v>
      </c>
      <c r="AFJ162" s="294">
        <f t="shared" si="165"/>
        <v>-21146979.989999998</v>
      </c>
      <c r="AFK162" s="294">
        <f t="shared" si="165"/>
        <v>-14267258.199999999</v>
      </c>
      <c r="AFL162" s="294">
        <f t="shared" si="165"/>
        <v>-11227731.370000001</v>
      </c>
      <c r="AFM162" s="294">
        <f t="shared" si="165"/>
        <v>-27881425.860000003</v>
      </c>
      <c r="AFN162" s="294">
        <f t="shared" si="165"/>
        <v>-16532322.780000001</v>
      </c>
      <c r="AFO162" s="294">
        <f t="shared" si="165"/>
        <v>-10581714.33</v>
      </c>
      <c r="AFP162" s="294">
        <f t="shared" si="165"/>
        <v>-22531714.099999998</v>
      </c>
      <c r="AFQ162" s="294">
        <f t="shared" si="165"/>
        <v>-228807589.30000001</v>
      </c>
      <c r="AFR162" s="294">
        <f t="shared" si="165"/>
        <v>-45072959.540000007</v>
      </c>
      <c r="AFS162" s="294">
        <f t="shared" si="165"/>
        <v>-28698892.490000002</v>
      </c>
      <c r="AFT162" s="294">
        <f t="shared" si="165"/>
        <v>-17145039.880000003</v>
      </c>
      <c r="AFU162" s="294">
        <f t="shared" si="165"/>
        <v>-32314007.210000001</v>
      </c>
      <c r="AFV162" s="294">
        <f t="shared" si="165"/>
        <v>-13784105.940000003</v>
      </c>
      <c r="AFW162" s="294">
        <f t="shared" si="165"/>
        <v>-10162236.109999999</v>
      </c>
      <c r="AFX162" s="294">
        <f t="shared" si="165"/>
        <v>-26483807.560000002</v>
      </c>
      <c r="AFY162" s="294">
        <f t="shared" si="165"/>
        <v>-18527478</v>
      </c>
      <c r="AFZ162" s="294">
        <f t="shared" si="165"/>
        <v>-12433860.029999999</v>
      </c>
      <c r="AGA162" s="294">
        <f t="shared" si="165"/>
        <v>-44675459.299999997</v>
      </c>
      <c r="AGB162" s="294">
        <f t="shared" si="165"/>
        <v>-9430502.7999999989</v>
      </c>
      <c r="AGC162" s="294">
        <f t="shared" si="165"/>
        <v>-50543533.359999999</v>
      </c>
      <c r="AGD162" s="294">
        <f t="shared" si="165"/>
        <v>-14649676.709999999</v>
      </c>
      <c r="AGE162" s="294">
        <f t="shared" si="165"/>
        <v>-21884247.680000003</v>
      </c>
      <c r="AGF162" s="294">
        <f t="shared" si="165"/>
        <v>-14905171.799999999</v>
      </c>
      <c r="AGG162" s="294">
        <f t="shared" si="165"/>
        <v>-36014120.54999999</v>
      </c>
      <c r="AGH162" s="294">
        <f t="shared" si="165"/>
        <v>-23175928.48</v>
      </c>
      <c r="AGI162" s="294">
        <f t="shared" si="165"/>
        <v>-6379706.1599999992</v>
      </c>
      <c r="AGJ162" s="294">
        <f t="shared" si="165"/>
        <v>-13049880.190000001</v>
      </c>
      <c r="AGK162" s="294">
        <f t="shared" si="165"/>
        <v>-14600206.07</v>
      </c>
      <c r="AGL162" s="294">
        <f t="shared" si="165"/>
        <v>-12420466.380000001</v>
      </c>
      <c r="AGM162" s="294">
        <f t="shared" si="165"/>
        <v>-16051380.190000001</v>
      </c>
      <c r="AGN162" s="294">
        <f t="shared" si="165"/>
        <v>-178658617.29000002</v>
      </c>
      <c r="AGO162" s="294">
        <f t="shared" si="165"/>
        <v>-27231351.939999994</v>
      </c>
      <c r="AGP162" s="294">
        <f t="shared" si="165"/>
        <v>-15355579.059999999</v>
      </c>
      <c r="AGQ162" s="294">
        <f t="shared" si="165"/>
        <v>-7273302.4900000002</v>
      </c>
      <c r="AGR162" s="294">
        <f t="shared" si="165"/>
        <v>-14692640.949999999</v>
      </c>
      <c r="AGS162" s="294">
        <f t="shared" si="165"/>
        <v>-28331443.620000001</v>
      </c>
      <c r="AGT162" s="294">
        <f t="shared" si="165"/>
        <v>-8012211.1100000003</v>
      </c>
      <c r="AGU162" s="294">
        <f t="shared" si="165"/>
        <v>-9519084.9600000009</v>
      </c>
      <c r="AGV162" s="294">
        <f t="shared" si="165"/>
        <v>-383174042.20999998</v>
      </c>
      <c r="AGW162" s="294">
        <f t="shared" si="165"/>
        <v>-324413791.19</v>
      </c>
      <c r="AGX162" s="294">
        <f t="shared" si="165"/>
        <v>-19210973.280000005</v>
      </c>
      <c r="AGY162" s="294">
        <f t="shared" si="165"/>
        <v>-21576433.879999999</v>
      </c>
      <c r="AGZ162" s="294">
        <f t="shared" si="165"/>
        <v>-57291689.189999998</v>
      </c>
      <c r="AHA162" s="294">
        <f t="shared" si="165"/>
        <v>-10133042.520000001</v>
      </c>
      <c r="AHB162" s="294">
        <f t="shared" si="165"/>
        <v>-12876447.950000001</v>
      </c>
      <c r="AHC162" s="294">
        <f t="shared" si="165"/>
        <v>-17530513.519999996</v>
      </c>
      <c r="AHD162" s="294">
        <f t="shared" si="165"/>
        <v>-7150303.9699999997</v>
      </c>
      <c r="AHE162" s="294">
        <f t="shared" si="165"/>
        <v>-42724380.899999999</v>
      </c>
      <c r="AHF162" s="294">
        <f t="shared" si="165"/>
        <v>-27017907.240000002</v>
      </c>
      <c r="AHG162" s="294">
        <f t="shared" si="165"/>
        <v>-12178544.039999997</v>
      </c>
      <c r="AHH162" s="294">
        <f t="shared" si="165"/>
        <v>-17251349.520000003</v>
      </c>
      <c r="AHI162" s="294">
        <f t="shared" si="165"/>
        <v>-11641521.32</v>
      </c>
      <c r="AHJ162" s="294">
        <f t="shared" si="165"/>
        <v>-7310672.6299999999</v>
      </c>
      <c r="AHK162" s="294">
        <f t="shared" si="165"/>
        <v>-7396280.5799999982</v>
      </c>
      <c r="AHL162" s="294">
        <f t="shared" si="165"/>
        <v>-10978858.099999998</v>
      </c>
      <c r="AHM162" s="294">
        <f t="shared" si="165"/>
        <v>-136695647.22999999</v>
      </c>
      <c r="AHN162" s="294">
        <f t="shared" si="165"/>
        <v>-11292299.48</v>
      </c>
      <c r="AHO162" s="294">
        <f t="shared" si="165"/>
        <v>-12104890.26</v>
      </c>
      <c r="AHP162" s="294">
        <f t="shared" si="165"/>
        <v>-10488990.98</v>
      </c>
      <c r="AHQ162" s="294">
        <f t="shared" ref="AHQ162:AHT162" si="166">SUMIF($A$61:$A$154,$A$75,AHQ$61:AHQ$154)*-1</f>
        <v>-35568810.259999998</v>
      </c>
      <c r="AHR162" s="294">
        <f t="shared" si="166"/>
        <v>-7404323.4999999991</v>
      </c>
      <c r="AHS162" s="294">
        <f t="shared" si="166"/>
        <v>-20448057.080000002</v>
      </c>
      <c r="AHT162" s="294">
        <f t="shared" si="166"/>
        <v>-42225227435.429497</v>
      </c>
    </row>
    <row r="163" spans="2:905" x14ac:dyDescent="0.7">
      <c r="D163" s="11">
        <f>SUM(D159:D162)</f>
        <v>-522623666.34000003</v>
      </c>
      <c r="E163" s="11">
        <f t="shared" ref="E163:BP163" si="167">SUM(E159:E162)</f>
        <v>-28399225.93</v>
      </c>
      <c r="F163" s="11">
        <f t="shared" si="167"/>
        <v>-44041055.589999996</v>
      </c>
      <c r="G163" s="11">
        <f t="shared" si="167"/>
        <v>-7571775.0099999998</v>
      </c>
      <c r="H163" s="11">
        <f t="shared" si="167"/>
        <v>-52410899.480000004</v>
      </c>
      <c r="I163" s="11">
        <f t="shared" si="167"/>
        <v>-7958215.0699999994</v>
      </c>
      <c r="J163" s="11">
        <f t="shared" si="167"/>
        <v>-125222963.94999999</v>
      </c>
      <c r="K163" s="11">
        <f t="shared" si="167"/>
        <v>-20225522.140000001</v>
      </c>
      <c r="L163" s="11">
        <f t="shared" si="167"/>
        <v>-23818631.340000004</v>
      </c>
      <c r="M163" s="11">
        <f t="shared" si="167"/>
        <v>-22882639.110000007</v>
      </c>
      <c r="N163" s="11">
        <f t="shared" si="167"/>
        <v>-18285130.299999997</v>
      </c>
      <c r="O163" s="11">
        <f t="shared" si="167"/>
        <v>-19693085.939999998</v>
      </c>
      <c r="P163" s="11">
        <f t="shared" si="167"/>
        <v>-50981867.299999997</v>
      </c>
      <c r="Q163" s="11">
        <f t="shared" si="167"/>
        <v>-19798498.899999999</v>
      </c>
      <c r="R163" s="11">
        <f t="shared" si="167"/>
        <v>-6105801.9399999995</v>
      </c>
      <c r="S163" s="11">
        <f t="shared" si="167"/>
        <v>-51220447.010000005</v>
      </c>
      <c r="T163" s="11">
        <f t="shared" si="167"/>
        <v>-10656892.73</v>
      </c>
      <c r="U163" s="11">
        <f t="shared" si="167"/>
        <v>-7893081.2599999998</v>
      </c>
      <c r="V163" s="11">
        <f t="shared" si="167"/>
        <v>-388599688.75999999</v>
      </c>
      <c r="W163" s="11">
        <f t="shared" si="167"/>
        <v>-89633209.429999992</v>
      </c>
      <c r="X163" s="11">
        <f t="shared" si="167"/>
        <v>-23855408.010000002</v>
      </c>
      <c r="Y163" s="11">
        <f t="shared" si="167"/>
        <v>-35301311.149999999</v>
      </c>
      <c r="Z163" s="11">
        <f t="shared" si="167"/>
        <v>-35365036.989999995</v>
      </c>
      <c r="AA163" s="11">
        <f t="shared" si="167"/>
        <v>-40113572.630000003</v>
      </c>
      <c r="AB163" s="11">
        <f t="shared" si="167"/>
        <v>-25516437.609999999</v>
      </c>
      <c r="AC163" s="11">
        <f t="shared" si="167"/>
        <v>-184526341.63999996</v>
      </c>
      <c r="AD163" s="11">
        <f t="shared" si="167"/>
        <v>-47939697.280000001</v>
      </c>
      <c r="AE163" s="11">
        <f t="shared" si="167"/>
        <v>-49062869.030000009</v>
      </c>
      <c r="AF163" s="11">
        <f t="shared" si="167"/>
        <v>-200345652.08000001</v>
      </c>
      <c r="AG163" s="11">
        <f t="shared" si="167"/>
        <v>-47820563.57</v>
      </c>
      <c r="AH163" s="11">
        <f t="shared" si="167"/>
        <v>-75133284.080000013</v>
      </c>
      <c r="AI163" s="11">
        <f t="shared" si="167"/>
        <v>-94144108.809999987</v>
      </c>
      <c r="AJ163" s="11">
        <f t="shared" si="167"/>
        <v>-26294220.530000001</v>
      </c>
      <c r="AK163" s="11">
        <f t="shared" si="167"/>
        <v>-21205672.190000001</v>
      </c>
      <c r="AL163" s="11">
        <f t="shared" si="167"/>
        <v>-22478337.700000003</v>
      </c>
      <c r="AM163" s="11">
        <f t="shared" si="167"/>
        <v>-54935928.320000008</v>
      </c>
      <c r="AN163" s="11">
        <f t="shared" si="167"/>
        <v>-37866564.849999994</v>
      </c>
      <c r="AO163" s="11">
        <f t="shared" si="167"/>
        <v>-29902643.310000002</v>
      </c>
      <c r="AP163" s="11">
        <f t="shared" si="167"/>
        <v>-22997914.210000001</v>
      </c>
      <c r="AQ163" s="11">
        <f t="shared" si="167"/>
        <v>-18052295.169999998</v>
      </c>
      <c r="AR163" s="11">
        <f t="shared" si="167"/>
        <v>-34572250.589999996</v>
      </c>
      <c r="AS163" s="11">
        <f t="shared" si="167"/>
        <v>-20550463.719999999</v>
      </c>
      <c r="AT163" s="11">
        <f t="shared" si="167"/>
        <v>-126068970.35999998</v>
      </c>
      <c r="AU163" s="11">
        <f t="shared" si="167"/>
        <v>-9359954.5499999989</v>
      </c>
      <c r="AV163" s="11">
        <f t="shared" si="167"/>
        <v>-7566199.1699999999</v>
      </c>
      <c r="AW163" s="11">
        <f t="shared" si="167"/>
        <v>-9968137.9600000028</v>
      </c>
      <c r="AX163" s="11">
        <f t="shared" si="167"/>
        <v>-22853832.759999998</v>
      </c>
      <c r="AY163" s="11">
        <f t="shared" si="167"/>
        <v>-38672102.109999992</v>
      </c>
      <c r="AZ163" s="11">
        <f t="shared" si="167"/>
        <v>-7578207.5800000001</v>
      </c>
      <c r="BA163" s="11">
        <f t="shared" si="167"/>
        <v>-10954906.289999999</v>
      </c>
      <c r="BB163" s="11">
        <f t="shared" si="167"/>
        <v>-4563889.83</v>
      </c>
      <c r="BC163" s="11">
        <f t="shared" si="167"/>
        <v>-11499175.729999999</v>
      </c>
      <c r="BD163" s="11">
        <f t="shared" si="167"/>
        <v>-4634924.92</v>
      </c>
      <c r="BE163" s="11">
        <f t="shared" si="167"/>
        <v>-13447160.059999999</v>
      </c>
      <c r="BF163" s="11">
        <f t="shared" si="167"/>
        <v>-61471602.610000007</v>
      </c>
      <c r="BG163" s="11">
        <f t="shared" si="167"/>
        <v>-3048256.2</v>
      </c>
      <c r="BH163" s="11">
        <f t="shared" si="167"/>
        <v>-14228365.59</v>
      </c>
      <c r="BI163" s="11">
        <f t="shared" si="167"/>
        <v>-192366721.20999998</v>
      </c>
      <c r="BJ163" s="11">
        <f t="shared" si="167"/>
        <v>-84958517.469999999</v>
      </c>
      <c r="BK163" s="11">
        <f t="shared" si="167"/>
        <v>-12996678.41</v>
      </c>
      <c r="BL163" s="11">
        <f t="shared" si="167"/>
        <v>-7004560.96</v>
      </c>
      <c r="BM163" s="11">
        <f t="shared" si="167"/>
        <v>-34759835.569999993</v>
      </c>
      <c r="BN163" s="11">
        <f t="shared" si="167"/>
        <v>-19366735.299999997</v>
      </c>
      <c r="BO163" s="11">
        <f t="shared" si="167"/>
        <v>-10354121.719999999</v>
      </c>
      <c r="BP163" s="11">
        <f t="shared" si="167"/>
        <v>-2118423.77</v>
      </c>
      <c r="BQ163" s="11">
        <f t="shared" ref="BQ163:EB163" si="168">SUM(BQ159:BQ162)</f>
        <v>-4682169.0600000005</v>
      </c>
      <c r="BR163" s="11">
        <f t="shared" si="168"/>
        <v>-132501423.02000001</v>
      </c>
      <c r="BS163" s="11">
        <f t="shared" si="168"/>
        <v>-21389960.649999999</v>
      </c>
      <c r="BT163" s="11">
        <f t="shared" si="168"/>
        <v>-11510092.290000001</v>
      </c>
      <c r="BU163" s="11">
        <f t="shared" si="168"/>
        <v>-20497763.359999996</v>
      </c>
      <c r="BV163" s="11">
        <f t="shared" si="168"/>
        <v>-13965995.190000001</v>
      </c>
      <c r="BW163" s="11">
        <f t="shared" si="168"/>
        <v>-12328014.250000002</v>
      </c>
      <c r="BX163" s="11">
        <f t="shared" si="168"/>
        <v>-9861827.2999999989</v>
      </c>
      <c r="BY163" s="11">
        <f t="shared" si="168"/>
        <v>-11919581.309999999</v>
      </c>
      <c r="BZ163" s="11">
        <f t="shared" si="168"/>
        <v>-91683096.459999993</v>
      </c>
      <c r="CA163" s="11">
        <f t="shared" si="168"/>
        <v>-19699800.120000001</v>
      </c>
      <c r="CB163" s="11">
        <f t="shared" si="168"/>
        <v>-35167752.379999995</v>
      </c>
      <c r="CC163" s="11">
        <f t="shared" si="168"/>
        <v>-45683969.720000006</v>
      </c>
      <c r="CD163" s="11">
        <f t="shared" si="168"/>
        <v>-19678484.510000002</v>
      </c>
      <c r="CE163" s="11">
        <f t="shared" si="168"/>
        <v>-17830707.499999996</v>
      </c>
      <c r="CF163" s="11">
        <f t="shared" si="168"/>
        <v>-19499955.740000002</v>
      </c>
      <c r="CG163" s="11">
        <f t="shared" si="168"/>
        <v>-251979579.32999992</v>
      </c>
      <c r="CH163" s="11">
        <f t="shared" si="168"/>
        <v>-11451716.170000002</v>
      </c>
      <c r="CI163" s="11">
        <f t="shared" si="168"/>
        <v>-41933871.309999995</v>
      </c>
      <c r="CJ163" s="11">
        <f t="shared" si="168"/>
        <v>-8490307.8099999987</v>
      </c>
      <c r="CK163" s="11">
        <f t="shared" si="168"/>
        <v>-13626456.029999999</v>
      </c>
      <c r="CL163" s="11">
        <f t="shared" si="168"/>
        <v>-16654877.609999996</v>
      </c>
      <c r="CM163" s="11">
        <f t="shared" si="168"/>
        <v>-9993871.5700000003</v>
      </c>
      <c r="CN163" s="11">
        <f t="shared" si="168"/>
        <v>-21376197.209999997</v>
      </c>
      <c r="CO163" s="11">
        <f t="shared" si="168"/>
        <v>-4541131.2200000007</v>
      </c>
      <c r="CP163" s="11">
        <f t="shared" si="168"/>
        <v>-15786415.090000002</v>
      </c>
      <c r="CQ163" s="11">
        <f t="shared" si="168"/>
        <v>-6555996.3600000013</v>
      </c>
      <c r="CR163" s="11">
        <f t="shared" si="168"/>
        <v>-14088080.41</v>
      </c>
      <c r="CS163" s="11">
        <f t="shared" si="168"/>
        <v>-7934308.0800000001</v>
      </c>
      <c r="CT163" s="11">
        <f t="shared" si="168"/>
        <v>-179423957.37</v>
      </c>
      <c r="CU163" s="11">
        <f t="shared" si="168"/>
        <v>-11652360.98</v>
      </c>
      <c r="CV163" s="11">
        <f t="shared" si="168"/>
        <v>-11437714.769999998</v>
      </c>
      <c r="CW163" s="11">
        <f t="shared" si="168"/>
        <v>-32149919.619999997</v>
      </c>
      <c r="CX163" s="11">
        <f t="shared" si="168"/>
        <v>-15790082.74</v>
      </c>
      <c r="CY163" s="11">
        <f t="shared" si="168"/>
        <v>-20567711.170000002</v>
      </c>
      <c r="CZ163" s="11">
        <f t="shared" si="168"/>
        <v>-9734479.0199999977</v>
      </c>
      <c r="DA163" s="11">
        <f t="shared" si="168"/>
        <v>-11174268.029999999</v>
      </c>
      <c r="DB163" s="11">
        <f t="shared" si="168"/>
        <v>-158941870.36000001</v>
      </c>
      <c r="DC163" s="11">
        <f t="shared" si="168"/>
        <v>-230704603.56999999</v>
      </c>
      <c r="DD163" s="11">
        <f t="shared" si="168"/>
        <v>-25456504.040000003</v>
      </c>
      <c r="DE163" s="11">
        <f t="shared" si="168"/>
        <v>-20773248.880000003</v>
      </c>
      <c r="DF163" s="11">
        <f t="shared" si="168"/>
        <v>-16696375.360000001</v>
      </c>
      <c r="DG163" s="11">
        <f t="shared" si="168"/>
        <v>-27610284.829999998</v>
      </c>
      <c r="DH163" s="11">
        <f t="shared" si="168"/>
        <v>-47130786.700000003</v>
      </c>
      <c r="DI163" s="11">
        <f t="shared" si="168"/>
        <v>-31184721.490000002</v>
      </c>
      <c r="DJ163" s="11">
        <f t="shared" si="168"/>
        <v>-10137893.270000001</v>
      </c>
      <c r="DK163" s="11">
        <f t="shared" si="168"/>
        <v>-598704099.8900001</v>
      </c>
      <c r="DL163" s="11">
        <f t="shared" si="168"/>
        <v>-15203908.24</v>
      </c>
      <c r="DM163" s="11">
        <f t="shared" si="168"/>
        <v>-26352437.489999995</v>
      </c>
      <c r="DN163" s="11">
        <f t="shared" si="168"/>
        <v>-25691239.680000007</v>
      </c>
      <c r="DO163" s="11">
        <f t="shared" si="168"/>
        <v>-19029318.369999997</v>
      </c>
      <c r="DP163" s="11">
        <f t="shared" si="168"/>
        <v>-14882152.820000002</v>
      </c>
      <c r="DQ163" s="11">
        <f t="shared" si="168"/>
        <v>-53252839.87999998</v>
      </c>
      <c r="DR163" s="11">
        <f t="shared" si="168"/>
        <v>-14262946.299900003</v>
      </c>
      <c r="DS163" s="11">
        <f t="shared" si="168"/>
        <v>-50208212.049999997</v>
      </c>
      <c r="DT163" s="11">
        <f t="shared" si="168"/>
        <v>-211490973.29999998</v>
      </c>
      <c r="DU163" s="11">
        <f t="shared" si="168"/>
        <v>-27445118.859999999</v>
      </c>
      <c r="DV163" s="11">
        <f t="shared" si="168"/>
        <v>-61007997.090000004</v>
      </c>
      <c r="DW163" s="11">
        <f t="shared" si="168"/>
        <v>-69103858.940000013</v>
      </c>
      <c r="DX163" s="11">
        <f t="shared" si="168"/>
        <v>-23241303.279999997</v>
      </c>
      <c r="DY163" s="11">
        <f t="shared" si="168"/>
        <v>-36749631.089999996</v>
      </c>
      <c r="DZ163" s="11">
        <f t="shared" si="168"/>
        <v>-29112883.480000004</v>
      </c>
      <c r="EA163" s="11">
        <f t="shared" si="168"/>
        <v>-6865395.54</v>
      </c>
      <c r="EB163" s="11">
        <f t="shared" si="168"/>
        <v>-14141117.699999999</v>
      </c>
      <c r="EC163" s="11">
        <f t="shared" ref="EC163:GN163" si="169">SUM(EC159:EC162)</f>
        <v>-13180855.35</v>
      </c>
      <c r="ED163" s="11">
        <f t="shared" si="169"/>
        <v>-35230949.249999993</v>
      </c>
      <c r="EE163" s="11">
        <f t="shared" si="169"/>
        <v>-93746970.269999981</v>
      </c>
      <c r="EF163" s="11">
        <f t="shared" si="169"/>
        <v>-73716049.299999997</v>
      </c>
      <c r="EG163" s="11">
        <f t="shared" si="169"/>
        <v>-13714139.59</v>
      </c>
      <c r="EH163" s="11">
        <f t="shared" si="169"/>
        <v>-22595362.080000002</v>
      </c>
      <c r="EI163" s="11">
        <f t="shared" si="169"/>
        <v>-31064690.670000009</v>
      </c>
      <c r="EJ163" s="11">
        <f t="shared" si="169"/>
        <v>-23029634.77</v>
      </c>
      <c r="EK163" s="11">
        <f t="shared" si="169"/>
        <v>-25728348.489999998</v>
      </c>
      <c r="EL163" s="11">
        <f t="shared" si="169"/>
        <v>-13326619.270000001</v>
      </c>
      <c r="EM163" s="11">
        <f t="shared" si="169"/>
        <v>-17651057.5</v>
      </c>
      <c r="EN163" s="11">
        <f t="shared" si="169"/>
        <v>-268427775.05000001</v>
      </c>
      <c r="EO163" s="11">
        <f t="shared" si="169"/>
        <v>-20416365.079999998</v>
      </c>
      <c r="EP163" s="11">
        <f t="shared" si="169"/>
        <v>-37302328.529999994</v>
      </c>
      <c r="EQ163" s="11">
        <f t="shared" si="169"/>
        <v>-16781602.98</v>
      </c>
      <c r="ER163" s="11">
        <f t="shared" si="169"/>
        <v>-15296757.499999998</v>
      </c>
      <c r="ES163" s="11">
        <f t="shared" si="169"/>
        <v>-10339507.639999997</v>
      </c>
      <c r="ET163" s="11">
        <f t="shared" si="169"/>
        <v>-46949832.660000004</v>
      </c>
      <c r="EU163" s="11">
        <f t="shared" si="169"/>
        <v>-41801859.049999997</v>
      </c>
      <c r="EV163" s="11">
        <f t="shared" si="169"/>
        <v>-23794698.639999997</v>
      </c>
      <c r="EW163" s="11">
        <f t="shared" si="169"/>
        <v>-214641799.09999996</v>
      </c>
      <c r="EX163" s="11">
        <f t="shared" si="169"/>
        <v>-7658319.870000001</v>
      </c>
      <c r="EY163" s="11">
        <f t="shared" si="169"/>
        <v>-14804157.879999995</v>
      </c>
      <c r="EZ163" s="11">
        <f t="shared" si="169"/>
        <v>-35349961.569999993</v>
      </c>
      <c r="FA163" s="11">
        <f t="shared" si="169"/>
        <v>-39281375.480000004</v>
      </c>
      <c r="FB163" s="11">
        <f t="shared" si="169"/>
        <v>-48803504.170000009</v>
      </c>
      <c r="FC163" s="11">
        <f t="shared" si="169"/>
        <v>-35666316.86999999</v>
      </c>
      <c r="FD163" s="11">
        <f t="shared" si="169"/>
        <v>-16680864.180000002</v>
      </c>
      <c r="FE163" s="11">
        <f t="shared" si="169"/>
        <v>-20241668.089999996</v>
      </c>
      <c r="FF163" s="11">
        <f t="shared" si="169"/>
        <v>-14020957.139999997</v>
      </c>
      <c r="FG163" s="11">
        <f t="shared" si="169"/>
        <v>-14624060.280000001</v>
      </c>
      <c r="FH163" s="11">
        <f t="shared" si="169"/>
        <v>-8958678.6500000022</v>
      </c>
      <c r="FI163" s="11">
        <f t="shared" si="169"/>
        <v>-95285298.080000028</v>
      </c>
      <c r="FJ163" s="11">
        <f t="shared" si="169"/>
        <v>-11476562.279999999</v>
      </c>
      <c r="FK163" s="11">
        <f t="shared" si="169"/>
        <v>-2784146.12</v>
      </c>
      <c r="FL163" s="11">
        <f t="shared" si="169"/>
        <v>-8801856.9000000004</v>
      </c>
      <c r="FM163" s="11">
        <f t="shared" si="169"/>
        <v>-24259778.529999997</v>
      </c>
      <c r="FN163" s="11">
        <f t="shared" si="169"/>
        <v>-13163097.360000001</v>
      </c>
      <c r="FO163" s="11">
        <f t="shared" si="169"/>
        <v>-9930445.6100000013</v>
      </c>
      <c r="FP163" s="11">
        <f t="shared" si="169"/>
        <v>-3904134.21</v>
      </c>
      <c r="FQ163" s="11">
        <f t="shared" si="169"/>
        <v>-472306531.36000007</v>
      </c>
      <c r="FR163" s="11">
        <f t="shared" si="169"/>
        <v>-15327423.850000001</v>
      </c>
      <c r="FS163" s="11">
        <f t="shared" si="169"/>
        <v>-32366975.089999996</v>
      </c>
      <c r="FT163" s="11">
        <f t="shared" si="169"/>
        <v>-32001915.25</v>
      </c>
      <c r="FU163" s="11">
        <f t="shared" si="169"/>
        <v>-23748040.09</v>
      </c>
      <c r="FV163" s="11">
        <f t="shared" si="169"/>
        <v>-15310742.219999997</v>
      </c>
      <c r="FW163" s="11">
        <f t="shared" si="169"/>
        <v>-69733068.090000004</v>
      </c>
      <c r="FX163" s="11">
        <f t="shared" si="169"/>
        <v>-41613040.429999992</v>
      </c>
      <c r="FY163" s="11">
        <f t="shared" si="169"/>
        <v>-26215634.709999997</v>
      </c>
      <c r="FZ163" s="11">
        <f t="shared" si="169"/>
        <v>-18154496.800000001</v>
      </c>
      <c r="GA163" s="11">
        <f t="shared" si="169"/>
        <v>-49413266.930000007</v>
      </c>
      <c r="GB163" s="11">
        <f t="shared" si="169"/>
        <v>-25521844.970000003</v>
      </c>
      <c r="GC163" s="11">
        <f t="shared" si="169"/>
        <v>-22573047.990000002</v>
      </c>
      <c r="GD163" s="11">
        <f t="shared" si="169"/>
        <v>-13102365.65</v>
      </c>
      <c r="GE163" s="11">
        <f t="shared" si="169"/>
        <v>-151716081.16000003</v>
      </c>
      <c r="GF163" s="11">
        <f t="shared" si="169"/>
        <v>-9459757.3100000005</v>
      </c>
      <c r="GG163" s="11">
        <f t="shared" si="169"/>
        <v>-9011475.25</v>
      </c>
      <c r="GH163" s="11">
        <f t="shared" si="169"/>
        <v>-34296933.100000001</v>
      </c>
      <c r="GI163" s="11">
        <f t="shared" si="169"/>
        <v>-16441694.09</v>
      </c>
      <c r="GJ163" s="11">
        <f t="shared" si="169"/>
        <v>-13841905.969999999</v>
      </c>
      <c r="GK163" s="11">
        <f t="shared" si="169"/>
        <v>-12263684.930000003</v>
      </c>
      <c r="GL163" s="11">
        <f t="shared" si="169"/>
        <v>-25577291.820000004</v>
      </c>
      <c r="GM163" s="11">
        <f t="shared" si="169"/>
        <v>-7002071.8099999996</v>
      </c>
      <c r="GN163" s="11">
        <f t="shared" si="169"/>
        <v>-7893034.6600000001</v>
      </c>
      <c r="GO163" s="11">
        <f t="shared" ref="GO163:IZ163" si="170">SUM(GO159:GO162)</f>
        <v>-5673618.2199999988</v>
      </c>
      <c r="GP163" s="11">
        <f t="shared" si="170"/>
        <v>-5356214.7399999993</v>
      </c>
      <c r="GQ163" s="11">
        <f t="shared" si="170"/>
        <v>-120181426.11</v>
      </c>
      <c r="GR163" s="11">
        <f t="shared" si="170"/>
        <v>-13531998.640000002</v>
      </c>
      <c r="GS163" s="11">
        <f t="shared" si="170"/>
        <v>-8090253.669999999</v>
      </c>
      <c r="GT163" s="11">
        <f t="shared" si="170"/>
        <v>-22036839.399999999</v>
      </c>
      <c r="GU163" s="11">
        <f t="shared" si="170"/>
        <v>-4965038.370000001</v>
      </c>
      <c r="GV163" s="11">
        <f t="shared" si="170"/>
        <v>-10138282.239999998</v>
      </c>
      <c r="GW163" s="11">
        <f t="shared" si="170"/>
        <v>-15755367.620000003</v>
      </c>
      <c r="GX163" s="11">
        <f t="shared" si="170"/>
        <v>-8725225.4699999988</v>
      </c>
      <c r="GY163" s="11">
        <f t="shared" si="170"/>
        <v>-131555159.02000003</v>
      </c>
      <c r="GZ163" s="11">
        <f t="shared" si="170"/>
        <v>-9972636.3500000015</v>
      </c>
      <c r="HA163" s="11">
        <f t="shared" si="170"/>
        <v>-29123805.520000003</v>
      </c>
      <c r="HB163" s="11">
        <f t="shared" si="170"/>
        <v>-21717747.48</v>
      </c>
      <c r="HC163" s="11">
        <f t="shared" si="170"/>
        <v>-450996862.55000013</v>
      </c>
      <c r="HD163" s="11">
        <f t="shared" si="170"/>
        <v>-178221431.54000005</v>
      </c>
      <c r="HE163" s="11">
        <f t="shared" si="170"/>
        <v>-74329390.229999989</v>
      </c>
      <c r="HF163" s="11">
        <f t="shared" si="170"/>
        <v>-92346581.440000013</v>
      </c>
      <c r="HG163" s="11">
        <f t="shared" si="170"/>
        <v>-44003638.369999997</v>
      </c>
      <c r="HH163" s="11">
        <f t="shared" si="170"/>
        <v>-43788438.009999998</v>
      </c>
      <c r="HI163" s="11">
        <f t="shared" si="170"/>
        <v>-34206956.719999999</v>
      </c>
      <c r="HJ163" s="11">
        <f t="shared" si="170"/>
        <v>-18067618.84</v>
      </c>
      <c r="HK163" s="11">
        <f t="shared" si="170"/>
        <v>-336134640.23000002</v>
      </c>
      <c r="HL163" s="11">
        <f t="shared" si="170"/>
        <v>-74746382.449999988</v>
      </c>
      <c r="HM163" s="11">
        <f t="shared" si="170"/>
        <v>-102499248.02000001</v>
      </c>
      <c r="HN163" s="11">
        <f t="shared" si="170"/>
        <v>-50611271.5</v>
      </c>
      <c r="HO163" s="11">
        <f t="shared" si="170"/>
        <v>-28088339.020000003</v>
      </c>
      <c r="HP163" s="11">
        <f t="shared" si="170"/>
        <v>-30830232.439999998</v>
      </c>
      <c r="HQ163" s="11">
        <f t="shared" si="170"/>
        <v>-46495237.780000001</v>
      </c>
      <c r="HR163" s="11">
        <f t="shared" si="170"/>
        <v>-39213004.225000001</v>
      </c>
      <c r="HS163" s="11">
        <f t="shared" si="170"/>
        <v>-204932491.45559999</v>
      </c>
      <c r="HT163" s="11">
        <f t="shared" si="170"/>
        <v>-134753411.59</v>
      </c>
      <c r="HU163" s="11">
        <f t="shared" si="170"/>
        <v>-33178068.359999999</v>
      </c>
      <c r="HV163" s="11">
        <f t="shared" si="170"/>
        <v>-13710302.539999999</v>
      </c>
      <c r="HW163" s="11">
        <f t="shared" si="170"/>
        <v>-16734021.950000003</v>
      </c>
      <c r="HX163" s="11">
        <f t="shared" si="170"/>
        <v>-18404040.090000004</v>
      </c>
      <c r="HY163" s="11">
        <f t="shared" si="170"/>
        <v>-32104472.970000003</v>
      </c>
      <c r="HZ163" s="11">
        <f t="shared" si="170"/>
        <v>-26341922.25</v>
      </c>
      <c r="IA163" s="11">
        <f t="shared" si="170"/>
        <v>-16626332.729999999</v>
      </c>
      <c r="IB163" s="11">
        <f t="shared" si="170"/>
        <v>-18437591.68</v>
      </c>
      <c r="IC163" s="11">
        <f t="shared" si="170"/>
        <v>-13268556.470000003</v>
      </c>
      <c r="ID163" s="11">
        <f t="shared" si="170"/>
        <v>-24271105.909999996</v>
      </c>
      <c r="IE163" s="11">
        <f t="shared" si="170"/>
        <v>-10857019.73</v>
      </c>
      <c r="IF163" s="11">
        <f t="shared" si="170"/>
        <v>-19253825.329999998</v>
      </c>
      <c r="IG163" s="11">
        <f t="shared" si="170"/>
        <v>-8098389.3499999996</v>
      </c>
      <c r="IH163" s="11">
        <f t="shared" si="170"/>
        <v>-7419206.8299999991</v>
      </c>
      <c r="II163" s="11">
        <f t="shared" si="170"/>
        <v>-229777729.03000003</v>
      </c>
      <c r="IJ163" s="11">
        <f t="shared" si="170"/>
        <v>-174908856.62999997</v>
      </c>
      <c r="IK163" s="11">
        <f t="shared" si="170"/>
        <v>-13024817.560000001</v>
      </c>
      <c r="IL163" s="11">
        <f t="shared" si="170"/>
        <v>-69937157.340000004</v>
      </c>
      <c r="IM163" s="11">
        <f t="shared" si="170"/>
        <v>-86063662.719999984</v>
      </c>
      <c r="IN163" s="11">
        <f t="shared" si="170"/>
        <v>-39935979.979999997</v>
      </c>
      <c r="IO163" s="11">
        <f t="shared" si="170"/>
        <v>-12146346.879999999</v>
      </c>
      <c r="IP163" s="11">
        <f t="shared" si="170"/>
        <v>-14556716.440000001</v>
      </c>
      <c r="IQ163" s="11">
        <f t="shared" si="170"/>
        <v>-13494260.529999999</v>
      </c>
      <c r="IR163" s="11">
        <f t="shared" si="170"/>
        <v>-18860988.800000001</v>
      </c>
      <c r="IS163" s="11">
        <f t="shared" si="170"/>
        <v>-16119547.719999999</v>
      </c>
      <c r="IT163" s="11">
        <f t="shared" si="170"/>
        <v>-402251338.11999995</v>
      </c>
      <c r="IU163" s="11">
        <f t="shared" si="170"/>
        <v>-322913991.82000005</v>
      </c>
      <c r="IV163" s="11">
        <f t="shared" si="170"/>
        <v>-17150376.870000001</v>
      </c>
      <c r="IW163" s="11">
        <f t="shared" si="170"/>
        <v>-35919796.980000004</v>
      </c>
      <c r="IX163" s="11">
        <f t="shared" si="170"/>
        <v>-48727486.36999999</v>
      </c>
      <c r="IY163" s="11">
        <f t="shared" si="170"/>
        <v>-7499124.419999999</v>
      </c>
      <c r="IZ163" s="11">
        <f t="shared" si="170"/>
        <v>-24634437.390000001</v>
      </c>
      <c r="JA163" s="11">
        <f t="shared" ref="JA163:LL163" si="171">SUM(JA159:JA162)</f>
        <v>-6940937.1499999985</v>
      </c>
      <c r="JB163" s="11">
        <f t="shared" si="171"/>
        <v>-16999008.77</v>
      </c>
      <c r="JC163" s="11">
        <f t="shared" si="171"/>
        <v>-20316712.080000002</v>
      </c>
      <c r="JD163" s="11">
        <f t="shared" si="171"/>
        <v>-45722326.899999999</v>
      </c>
      <c r="JE163" s="11">
        <f t="shared" si="171"/>
        <v>-18093860.09</v>
      </c>
      <c r="JF163" s="11">
        <f t="shared" si="171"/>
        <v>-70041719.599999994</v>
      </c>
      <c r="JG163" s="11">
        <f t="shared" si="171"/>
        <v>-75864425.850000009</v>
      </c>
      <c r="JH163" s="11">
        <f t="shared" si="171"/>
        <v>-16032998.350000003</v>
      </c>
      <c r="JI163" s="11">
        <f t="shared" si="171"/>
        <v>-15185226.030000001</v>
      </c>
      <c r="JJ163" s="11">
        <f t="shared" si="171"/>
        <v>-12432003.5</v>
      </c>
      <c r="JK163" s="11">
        <f t="shared" si="171"/>
        <v>-10006827.99</v>
      </c>
      <c r="JL163" s="11">
        <f t="shared" si="171"/>
        <v>-186923112.45000002</v>
      </c>
      <c r="JM163" s="11">
        <f t="shared" si="171"/>
        <v>-15863857.359999999</v>
      </c>
      <c r="JN163" s="11">
        <f t="shared" si="171"/>
        <v>-28904091.420000002</v>
      </c>
      <c r="JO163" s="11">
        <f t="shared" si="171"/>
        <v>-37902992.900000006</v>
      </c>
      <c r="JP163" s="11">
        <f t="shared" si="171"/>
        <v>-25989756.830000002</v>
      </c>
      <c r="JQ163" s="11">
        <f t="shared" si="171"/>
        <v>-45803284.319999985</v>
      </c>
      <c r="JR163" s="11">
        <f t="shared" si="171"/>
        <v>-11044769.410000002</v>
      </c>
      <c r="JS163" s="11">
        <f t="shared" si="171"/>
        <v>-233526465.81000003</v>
      </c>
      <c r="JT163" s="11">
        <f t="shared" si="171"/>
        <v>-73503295.229999989</v>
      </c>
      <c r="JU163" s="11">
        <f t="shared" si="171"/>
        <v>-13997016.74</v>
      </c>
      <c r="JV163" s="11">
        <f t="shared" si="171"/>
        <v>-5569301.209999999</v>
      </c>
      <c r="JW163" s="11">
        <f t="shared" si="171"/>
        <v>-26859668.469999999</v>
      </c>
      <c r="JX163" s="11">
        <f t="shared" si="171"/>
        <v>-4367144.5</v>
      </c>
      <c r="JY163" s="11">
        <f t="shared" si="171"/>
        <v>-66580733.669999994</v>
      </c>
      <c r="JZ163" s="11">
        <f t="shared" si="171"/>
        <v>-24885602.000000004</v>
      </c>
      <c r="KA163" s="11">
        <f t="shared" si="171"/>
        <v>-14944242.060000002</v>
      </c>
      <c r="KB163" s="11">
        <f t="shared" si="171"/>
        <v>-21415946.950000003</v>
      </c>
      <c r="KC163" s="11">
        <f t="shared" si="171"/>
        <v>-12152389.290000001</v>
      </c>
      <c r="KD163" s="11">
        <f t="shared" si="171"/>
        <v>-16467880.460000001</v>
      </c>
      <c r="KE163" s="11">
        <f t="shared" si="171"/>
        <v>-6340367.580000001</v>
      </c>
      <c r="KF163" s="11">
        <f t="shared" si="171"/>
        <v>-4531850.1499999994</v>
      </c>
      <c r="KG163" s="11">
        <f t="shared" si="171"/>
        <v>-7760773.9099999992</v>
      </c>
      <c r="KH163" s="11">
        <f t="shared" si="171"/>
        <v>-11514214.380000001</v>
      </c>
      <c r="KI163" s="11">
        <f t="shared" si="171"/>
        <v>-497895527.36999995</v>
      </c>
      <c r="KJ163" s="11">
        <f t="shared" si="171"/>
        <v>-72177288.105000004</v>
      </c>
      <c r="KK163" s="11">
        <f t="shared" si="171"/>
        <v>-39767405.18</v>
      </c>
      <c r="KL163" s="11">
        <f t="shared" si="171"/>
        <v>-32609400.580000002</v>
      </c>
      <c r="KM163" s="11">
        <f t="shared" si="171"/>
        <v>-11895086.559999999</v>
      </c>
      <c r="KN163" s="11">
        <f t="shared" si="171"/>
        <v>-22940696.890000001</v>
      </c>
      <c r="KO163" s="11">
        <f t="shared" si="171"/>
        <v>-84583410.760000005</v>
      </c>
      <c r="KP163" s="11">
        <f t="shared" si="171"/>
        <v>-9417354.2600000016</v>
      </c>
      <c r="KQ163" s="11">
        <f t="shared" si="171"/>
        <v>-13836585.540000001</v>
      </c>
      <c r="KR163" s="11">
        <f t="shared" si="171"/>
        <v>-206498573.37</v>
      </c>
      <c r="KS163" s="11">
        <f t="shared" si="171"/>
        <v>-13967312.210000001</v>
      </c>
      <c r="KT163" s="11">
        <f t="shared" si="171"/>
        <v>-16466690.959999999</v>
      </c>
      <c r="KU163" s="11">
        <f t="shared" si="171"/>
        <v>-45960455.68</v>
      </c>
      <c r="KV163" s="11">
        <f t="shared" si="171"/>
        <v>-28089294.989999998</v>
      </c>
      <c r="KW163" s="11">
        <f t="shared" si="171"/>
        <v>-37682199.140000001</v>
      </c>
      <c r="KX163" s="11">
        <f t="shared" si="171"/>
        <v>-198692047.77999997</v>
      </c>
      <c r="KY163" s="11">
        <f t="shared" si="171"/>
        <v>-26984257.250000004</v>
      </c>
      <c r="KZ163" s="11">
        <f t="shared" si="171"/>
        <v>-284030607.40000004</v>
      </c>
      <c r="LA163" s="11">
        <f t="shared" si="171"/>
        <v>-19477601.559999999</v>
      </c>
      <c r="LB163" s="11">
        <f t="shared" si="171"/>
        <v>-14110276.760000002</v>
      </c>
      <c r="LC163" s="11">
        <f t="shared" si="171"/>
        <v>-34899003.360000007</v>
      </c>
      <c r="LD163" s="11">
        <f t="shared" si="171"/>
        <v>-27525345.25</v>
      </c>
      <c r="LE163" s="11">
        <f t="shared" si="171"/>
        <v>-18407751.43</v>
      </c>
      <c r="LF163" s="11">
        <f t="shared" si="171"/>
        <v>-14443534.810000001</v>
      </c>
      <c r="LG163" s="11">
        <f t="shared" si="171"/>
        <v>-23238168.999999996</v>
      </c>
      <c r="LH163" s="11">
        <f t="shared" si="171"/>
        <v>-750392514.83000016</v>
      </c>
      <c r="LI163" s="11">
        <f t="shared" si="171"/>
        <v>-110539453.05999999</v>
      </c>
      <c r="LJ163" s="11">
        <f t="shared" si="171"/>
        <v>-123272239.09000002</v>
      </c>
      <c r="LK163" s="11">
        <f t="shared" si="171"/>
        <v>-143750231.90000001</v>
      </c>
      <c r="LL163" s="11">
        <f t="shared" si="171"/>
        <v>-29558066.239999995</v>
      </c>
      <c r="LM163" s="11">
        <f t="shared" ref="LM163:NX163" si="172">SUM(LM159:LM162)</f>
        <v>-29824027.430000003</v>
      </c>
      <c r="LN163" s="11">
        <f t="shared" si="172"/>
        <v>-12284222.66</v>
      </c>
      <c r="LO163" s="11">
        <f t="shared" si="172"/>
        <v>-40263076.649999999</v>
      </c>
      <c r="LP163" s="11">
        <f t="shared" si="172"/>
        <v>-6310272.8299999991</v>
      </c>
      <c r="LQ163" s="11">
        <f t="shared" si="172"/>
        <v>-40755374.109999999</v>
      </c>
      <c r="LR163" s="11">
        <f t="shared" si="172"/>
        <v>-10583334.609999999</v>
      </c>
      <c r="LS163" s="11">
        <f t="shared" si="172"/>
        <v>-70416643.129999995</v>
      </c>
      <c r="LT163" s="11">
        <f t="shared" si="172"/>
        <v>-12025509.539999999</v>
      </c>
      <c r="LU163" s="11">
        <f t="shared" si="172"/>
        <v>-12430012.239999998</v>
      </c>
      <c r="LV163" s="11">
        <f t="shared" si="172"/>
        <v>-310326753.98000002</v>
      </c>
      <c r="LW163" s="11">
        <f t="shared" si="172"/>
        <v>-124840512.34999999</v>
      </c>
      <c r="LX163" s="11">
        <f t="shared" si="172"/>
        <v>-341691811.85000002</v>
      </c>
      <c r="LY163" s="11">
        <f t="shared" si="172"/>
        <v>-79504450.75</v>
      </c>
      <c r="LZ163" s="11">
        <f t="shared" si="172"/>
        <v>-37241146.520000003</v>
      </c>
      <c r="MA163" s="11">
        <f t="shared" si="172"/>
        <v>-35130103.059999995</v>
      </c>
      <c r="MB163" s="11">
        <f t="shared" si="172"/>
        <v>-33882228.870000005</v>
      </c>
      <c r="MC163" s="11">
        <f t="shared" si="172"/>
        <v>-30832036.769999996</v>
      </c>
      <c r="MD163" s="11">
        <f t="shared" si="172"/>
        <v>-27296994.739999998</v>
      </c>
      <c r="ME163" s="11">
        <f t="shared" si="172"/>
        <v>-31956582.760000002</v>
      </c>
      <c r="MF163" s="11">
        <f t="shared" si="172"/>
        <v>-67663336.719999999</v>
      </c>
      <c r="MG163" s="11">
        <f t="shared" si="172"/>
        <v>-15691761.970000001</v>
      </c>
      <c r="MH163" s="11">
        <f t="shared" si="172"/>
        <v>-395728141.68000007</v>
      </c>
      <c r="MI163" s="11">
        <f t="shared" si="172"/>
        <v>-18911599.279999994</v>
      </c>
      <c r="MJ163" s="11">
        <f t="shared" si="172"/>
        <v>-11572381.16</v>
      </c>
      <c r="MK163" s="11">
        <f t="shared" si="172"/>
        <v>-10674144.799999999</v>
      </c>
      <c r="ML163" s="11">
        <f t="shared" si="172"/>
        <v>-9069737.3800000008</v>
      </c>
      <c r="MM163" s="11">
        <f t="shared" si="172"/>
        <v>-29312609.560000002</v>
      </c>
      <c r="MN163" s="11">
        <f t="shared" si="172"/>
        <v>-17265723.529999997</v>
      </c>
      <c r="MO163" s="11">
        <f t="shared" si="172"/>
        <v>-8780132.1600000001</v>
      </c>
      <c r="MP163" s="11">
        <f t="shared" si="172"/>
        <v>-35893911.430000007</v>
      </c>
      <c r="MQ163" s="11">
        <f t="shared" si="172"/>
        <v>-13453883.999999998</v>
      </c>
      <c r="MR163" s="11">
        <f t="shared" si="172"/>
        <v>-17921924.100000001</v>
      </c>
      <c r="MS163" s="11">
        <f t="shared" si="172"/>
        <v>-14572833.75</v>
      </c>
      <c r="MT163" s="11">
        <f t="shared" si="172"/>
        <v>-401174573.13999999</v>
      </c>
      <c r="MU163" s="11">
        <f t="shared" si="172"/>
        <v>-29812117.089999996</v>
      </c>
      <c r="MV163" s="11">
        <f t="shared" si="172"/>
        <v>-28395896.48</v>
      </c>
      <c r="MW163" s="11">
        <f t="shared" si="172"/>
        <v>-35967259.660000004</v>
      </c>
      <c r="MX163" s="11">
        <f t="shared" si="172"/>
        <v>-60476983.879999995</v>
      </c>
      <c r="MY163" s="11">
        <f t="shared" si="172"/>
        <v>-17784395.140000001</v>
      </c>
      <c r="MZ163" s="11">
        <f t="shared" si="172"/>
        <v>-70417447.189999998</v>
      </c>
      <c r="NA163" s="11">
        <f t="shared" si="172"/>
        <v>-57353810.160000011</v>
      </c>
      <c r="NB163" s="11">
        <f t="shared" si="172"/>
        <v>-39564512.349999994</v>
      </c>
      <c r="NC163" s="11">
        <f t="shared" si="172"/>
        <v>-13550135.17</v>
      </c>
      <c r="ND163" s="11">
        <f t="shared" si="172"/>
        <v>-9770332.8300000001</v>
      </c>
      <c r="NE163" s="11">
        <f t="shared" si="172"/>
        <v>-697812541.69000006</v>
      </c>
      <c r="NF163" s="11">
        <f t="shared" si="172"/>
        <v>-58420585.959999993</v>
      </c>
      <c r="NG163" s="11">
        <f t="shared" si="172"/>
        <v>-16769296.280000001</v>
      </c>
      <c r="NH163" s="11">
        <f t="shared" si="172"/>
        <v>-236899468.93000004</v>
      </c>
      <c r="NI163" s="11">
        <f t="shared" si="172"/>
        <v>-33299658.329999998</v>
      </c>
      <c r="NJ163" s="11">
        <f t="shared" si="172"/>
        <v>-38603203.019999996</v>
      </c>
      <c r="NK163" s="11">
        <f t="shared" si="172"/>
        <v>-227408967.56000003</v>
      </c>
      <c r="NL163" s="11">
        <f t="shared" si="172"/>
        <v>-138784887.98999998</v>
      </c>
      <c r="NM163" s="11">
        <f t="shared" si="172"/>
        <v>-3525076.8000000003</v>
      </c>
      <c r="NN163" s="11">
        <f t="shared" si="172"/>
        <v>-40797074.519999996</v>
      </c>
      <c r="NO163" s="11">
        <f t="shared" si="172"/>
        <v>-18389275.309999999</v>
      </c>
      <c r="NP163" s="11">
        <f t="shared" si="172"/>
        <v>-16593129.58</v>
      </c>
      <c r="NQ163" s="11">
        <f t="shared" si="172"/>
        <v>-114975755.00000001</v>
      </c>
      <c r="NR163" s="11">
        <f t="shared" si="172"/>
        <v>-11145256.620000001</v>
      </c>
      <c r="NS163" s="11">
        <f t="shared" si="172"/>
        <v>-13653975.719999999</v>
      </c>
      <c r="NT163" s="11">
        <f t="shared" si="172"/>
        <v>-9590289.0299999993</v>
      </c>
      <c r="NU163" s="11">
        <f t="shared" si="172"/>
        <v>-6659179.8700000001</v>
      </c>
      <c r="NV163" s="11">
        <f t="shared" si="172"/>
        <v>-3613433.1100000003</v>
      </c>
      <c r="NW163" s="11">
        <f t="shared" si="172"/>
        <v>-5512377.1900000004</v>
      </c>
      <c r="NX163" s="11">
        <f t="shared" si="172"/>
        <v>-455624023.01999998</v>
      </c>
      <c r="NY163" s="11">
        <f t="shared" ref="NY163:QJ163" si="173">SUM(NY159:NY162)</f>
        <v>-211127455.81999996</v>
      </c>
      <c r="NZ163" s="11">
        <f t="shared" si="173"/>
        <v>-21744038.440000001</v>
      </c>
      <c r="OA163" s="11">
        <f t="shared" si="173"/>
        <v>-10868849.210000001</v>
      </c>
      <c r="OB163" s="11">
        <f t="shared" si="173"/>
        <v>-20803303.960000005</v>
      </c>
      <c r="OC163" s="11">
        <f t="shared" si="173"/>
        <v>-25709844.030000001</v>
      </c>
      <c r="OD163" s="11">
        <f t="shared" si="173"/>
        <v>-15664278.069999998</v>
      </c>
      <c r="OE163" s="11">
        <f t="shared" si="173"/>
        <v>-448086455.84000003</v>
      </c>
      <c r="OF163" s="11">
        <f t="shared" si="173"/>
        <v>-110399070.68000001</v>
      </c>
      <c r="OG163" s="11">
        <f t="shared" si="173"/>
        <v>-30681839.940000001</v>
      </c>
      <c r="OH163" s="11">
        <f t="shared" si="173"/>
        <v>-157216175.46000001</v>
      </c>
      <c r="OI163" s="11">
        <f t="shared" si="173"/>
        <v>-27302700.340000004</v>
      </c>
      <c r="OJ163" s="11">
        <f t="shared" si="173"/>
        <v>-25572556.809999999</v>
      </c>
      <c r="OK163" s="11">
        <f t="shared" si="173"/>
        <v>-63001463.99000001</v>
      </c>
      <c r="OL163" s="11">
        <f t="shared" si="173"/>
        <v>-29514337.330000006</v>
      </c>
      <c r="OM163" s="11">
        <f t="shared" si="173"/>
        <v>-30731729.179999996</v>
      </c>
      <c r="ON163" s="11">
        <f t="shared" si="173"/>
        <v>-279863495.63999999</v>
      </c>
      <c r="OO163" s="11">
        <f t="shared" si="173"/>
        <v>-66196997.460000008</v>
      </c>
      <c r="OP163" s="11">
        <f t="shared" si="173"/>
        <v>-248953276.31000003</v>
      </c>
      <c r="OQ163" s="11">
        <f t="shared" si="173"/>
        <v>-40035831.869999997</v>
      </c>
      <c r="OR163" s="11">
        <f t="shared" si="173"/>
        <v>-35070241.229999997</v>
      </c>
      <c r="OS163" s="11">
        <f t="shared" si="173"/>
        <v>-39275918.300000004</v>
      </c>
      <c r="OT163" s="11">
        <f t="shared" si="173"/>
        <v>-115230158.40000001</v>
      </c>
      <c r="OU163" s="11">
        <f t="shared" si="173"/>
        <v>-22619800.969999999</v>
      </c>
      <c r="OV163" s="11">
        <f t="shared" si="173"/>
        <v>-22828583.350000001</v>
      </c>
      <c r="OW163" s="11">
        <f t="shared" si="173"/>
        <v>-18567961.539999999</v>
      </c>
      <c r="OX163" s="11">
        <f t="shared" si="173"/>
        <v>-24924853.400000002</v>
      </c>
      <c r="OY163" s="11">
        <f t="shared" si="173"/>
        <v>-83004384.300000012</v>
      </c>
      <c r="OZ163" s="11">
        <f t="shared" si="173"/>
        <v>-16348693.330000002</v>
      </c>
      <c r="PA163" s="11">
        <f t="shared" si="173"/>
        <v>-11544137.77</v>
      </c>
      <c r="PB163" s="11">
        <f t="shared" si="173"/>
        <v>-14748271.389999997</v>
      </c>
      <c r="PC163" s="11">
        <f t="shared" si="173"/>
        <v>-209953919.39000002</v>
      </c>
      <c r="PD163" s="11">
        <f t="shared" si="173"/>
        <v>-9104523.3399999999</v>
      </c>
      <c r="PE163" s="11">
        <f t="shared" si="173"/>
        <v>-48652735.959999993</v>
      </c>
      <c r="PF163" s="11">
        <f t="shared" si="173"/>
        <v>-8075985.6300000018</v>
      </c>
      <c r="PG163" s="11">
        <f t="shared" si="173"/>
        <v>-13571386.98</v>
      </c>
      <c r="PH163" s="11">
        <f t="shared" si="173"/>
        <v>-37139384.789999999</v>
      </c>
      <c r="PI163" s="11">
        <f t="shared" si="173"/>
        <v>-17432941.509999998</v>
      </c>
      <c r="PJ163" s="11">
        <f t="shared" si="173"/>
        <v>-17663897.93</v>
      </c>
      <c r="PK163" s="11">
        <f t="shared" si="173"/>
        <v>-21663840.650000006</v>
      </c>
      <c r="PL163" s="11">
        <f t="shared" si="173"/>
        <v>-20580914.160000004</v>
      </c>
      <c r="PM163" s="11">
        <f t="shared" si="173"/>
        <v>-12707421.98</v>
      </c>
      <c r="PN163" s="11">
        <f t="shared" si="173"/>
        <v>-39462120.339999996</v>
      </c>
      <c r="PO163" s="11">
        <f t="shared" si="173"/>
        <v>-10893611.789999999</v>
      </c>
      <c r="PP163" s="11">
        <f t="shared" si="173"/>
        <v>-58616084.68</v>
      </c>
      <c r="PQ163" s="11">
        <f t="shared" si="173"/>
        <v>-13033298.680000002</v>
      </c>
      <c r="PR163" s="11">
        <f t="shared" si="173"/>
        <v>-11511403.83</v>
      </c>
      <c r="PS163" s="11">
        <f t="shared" si="173"/>
        <v>-8655771.7499999981</v>
      </c>
      <c r="PT163" s="11">
        <f t="shared" si="173"/>
        <v>-9830609.7199999988</v>
      </c>
      <c r="PU163" s="11">
        <f t="shared" si="173"/>
        <v>-678870941.30999994</v>
      </c>
      <c r="PV163" s="11">
        <f t="shared" si="173"/>
        <v>-58932326.090000004</v>
      </c>
      <c r="PW163" s="11">
        <f t="shared" si="173"/>
        <v>-18157917.98</v>
      </c>
      <c r="PX163" s="11">
        <f t="shared" si="173"/>
        <v>-22840716.590000004</v>
      </c>
      <c r="PY163" s="11">
        <f t="shared" si="173"/>
        <v>-271259600.54000002</v>
      </c>
      <c r="PZ163" s="11">
        <f t="shared" si="173"/>
        <v>-43994979.559999987</v>
      </c>
      <c r="QA163" s="11">
        <f t="shared" si="173"/>
        <v>-75701115.329999998</v>
      </c>
      <c r="QB163" s="11">
        <f t="shared" si="173"/>
        <v>-15286590.620000001</v>
      </c>
      <c r="QC163" s="11">
        <f t="shared" si="173"/>
        <v>-60511411.630000003</v>
      </c>
      <c r="QD163" s="11">
        <f t="shared" si="173"/>
        <v>-8577501.9800000004</v>
      </c>
      <c r="QE163" s="11">
        <f t="shared" si="173"/>
        <v>-57821864.050000004</v>
      </c>
      <c r="QF163" s="11">
        <f t="shared" si="173"/>
        <v>-17883530.960000001</v>
      </c>
      <c r="QG163" s="11">
        <f t="shared" si="173"/>
        <v>-16213064.669999998</v>
      </c>
      <c r="QH163" s="11">
        <f t="shared" si="173"/>
        <v>-18778702.179999996</v>
      </c>
      <c r="QI163" s="11">
        <f t="shared" si="173"/>
        <v>-47248879.550000004</v>
      </c>
      <c r="QJ163" s="11">
        <f t="shared" si="173"/>
        <v>-24512603.360000007</v>
      </c>
      <c r="QK163" s="11">
        <f t="shared" ref="QK163:SV163" si="174">SUM(QK159:QK162)</f>
        <v>-31268576.309999999</v>
      </c>
      <c r="QL163" s="11">
        <f t="shared" si="174"/>
        <v>-20660748.129999992</v>
      </c>
      <c r="QM163" s="11">
        <f t="shared" si="174"/>
        <v>-19721918.210000001</v>
      </c>
      <c r="QN163" s="11">
        <f t="shared" si="174"/>
        <v>-60963902.159999989</v>
      </c>
      <c r="QO163" s="11">
        <f t="shared" si="174"/>
        <v>-65981595.850000009</v>
      </c>
      <c r="QP163" s="11">
        <f t="shared" si="174"/>
        <v>-15916371.190000003</v>
      </c>
      <c r="QQ163" s="11">
        <f t="shared" si="174"/>
        <v>-5921247.8700000001</v>
      </c>
      <c r="QR163" s="11">
        <f t="shared" si="174"/>
        <v>-12339773.709999997</v>
      </c>
      <c r="QS163" s="11">
        <f t="shared" si="174"/>
        <v>-4502613.2899999991</v>
      </c>
      <c r="QT163" s="11">
        <f t="shared" si="174"/>
        <v>-11247612.65</v>
      </c>
      <c r="QU163" s="11">
        <f t="shared" si="174"/>
        <v>-361726720.40999997</v>
      </c>
      <c r="QV163" s="11">
        <f t="shared" si="174"/>
        <v>-14532880.029999997</v>
      </c>
      <c r="QW163" s="11">
        <f t="shared" si="174"/>
        <v>-48716521.029999994</v>
      </c>
      <c r="QX163" s="11">
        <f t="shared" si="174"/>
        <v>-17148106.039999999</v>
      </c>
      <c r="QY163" s="11">
        <f t="shared" si="174"/>
        <v>-18846054.220000003</v>
      </c>
      <c r="QZ163" s="11">
        <f t="shared" si="174"/>
        <v>-57788685.559999987</v>
      </c>
      <c r="RA163" s="11">
        <f t="shared" si="174"/>
        <v>-28878458.710000001</v>
      </c>
      <c r="RB163" s="11">
        <f t="shared" si="174"/>
        <v>-45804088.090000004</v>
      </c>
      <c r="RC163" s="11">
        <f t="shared" si="174"/>
        <v>-21207684.379999999</v>
      </c>
      <c r="RD163" s="11">
        <f t="shared" si="174"/>
        <v>-32388608.619999997</v>
      </c>
      <c r="RE163" s="11">
        <f t="shared" si="174"/>
        <v>-15675266.93</v>
      </c>
      <c r="RF163" s="11">
        <f t="shared" si="174"/>
        <v>-5174529.21</v>
      </c>
      <c r="RG163" s="11">
        <f t="shared" si="174"/>
        <v>-11907412.589999998</v>
      </c>
      <c r="RH163" s="11">
        <f t="shared" si="174"/>
        <v>-374352751.02999991</v>
      </c>
      <c r="RI163" s="11">
        <f t="shared" si="174"/>
        <v>-79532377.690000013</v>
      </c>
      <c r="RJ163" s="11">
        <f t="shared" si="174"/>
        <v>-29598848.289999999</v>
      </c>
      <c r="RK163" s="11">
        <f t="shared" si="174"/>
        <v>-31389196.34</v>
      </c>
      <c r="RL163" s="11">
        <f t="shared" si="174"/>
        <v>-34517020.469999999</v>
      </c>
      <c r="RM163" s="11">
        <f t="shared" si="174"/>
        <v>-57450339.309999995</v>
      </c>
      <c r="RN163" s="11">
        <f t="shared" si="174"/>
        <v>-38816367.390000001</v>
      </c>
      <c r="RO163" s="11">
        <f t="shared" si="174"/>
        <v>-25294843.590000004</v>
      </c>
      <c r="RP163" s="11">
        <f t="shared" si="174"/>
        <v>-18875156.190000001</v>
      </c>
      <c r="RQ163" s="11">
        <f t="shared" si="174"/>
        <v>-59303326.440000005</v>
      </c>
      <c r="RR163" s="11">
        <f t="shared" si="174"/>
        <v>-73654978.520000011</v>
      </c>
      <c r="RS163" s="11">
        <f t="shared" si="174"/>
        <v>-23494935.57</v>
      </c>
      <c r="RT163" s="11">
        <f t="shared" si="174"/>
        <v>-21963523.780000001</v>
      </c>
      <c r="RU163" s="11">
        <f t="shared" si="174"/>
        <v>-29440698.73</v>
      </c>
      <c r="RV163" s="11">
        <f t="shared" si="174"/>
        <v>-16805647.82</v>
      </c>
      <c r="RW163" s="11">
        <f t="shared" si="174"/>
        <v>-12736894.399999999</v>
      </c>
      <c r="RX163" s="11">
        <f t="shared" si="174"/>
        <v>-25780694.82</v>
      </c>
      <c r="RY163" s="11">
        <f t="shared" si="174"/>
        <v>-9395341.459999999</v>
      </c>
      <c r="RZ163" s="11">
        <f t="shared" si="174"/>
        <v>-14346410.9</v>
      </c>
      <c r="SA163" s="11">
        <f t="shared" si="174"/>
        <v>-11305240.809999999</v>
      </c>
      <c r="SB163" s="11">
        <f t="shared" si="174"/>
        <v>-178281985.04999998</v>
      </c>
      <c r="SC163" s="11">
        <f t="shared" si="174"/>
        <v>-11440889.17</v>
      </c>
      <c r="SD163" s="11">
        <f t="shared" si="174"/>
        <v>-14004604.539999999</v>
      </c>
      <c r="SE163" s="11">
        <f t="shared" si="174"/>
        <v>-22214743.840000007</v>
      </c>
      <c r="SF163" s="11">
        <f t="shared" si="174"/>
        <v>-8473606.7300000004</v>
      </c>
      <c r="SG163" s="11">
        <f t="shared" si="174"/>
        <v>-22848917.16</v>
      </c>
      <c r="SH163" s="11">
        <f t="shared" si="174"/>
        <v>-36340463.25</v>
      </c>
      <c r="SI163" s="11">
        <f t="shared" si="174"/>
        <v>-27551436.980000004</v>
      </c>
      <c r="SJ163" s="11">
        <f t="shared" si="174"/>
        <v>-18892539.159999996</v>
      </c>
      <c r="SK163" s="11">
        <f t="shared" si="174"/>
        <v>-9395494.2200000007</v>
      </c>
      <c r="SL163" s="11">
        <f t="shared" si="174"/>
        <v>-71239336.050000012</v>
      </c>
      <c r="SM163" s="11">
        <f t="shared" si="174"/>
        <v>-8714598.6199999992</v>
      </c>
      <c r="SN163" s="11">
        <f t="shared" si="174"/>
        <v>-89812879.849999994</v>
      </c>
      <c r="SO163" s="11">
        <f t="shared" si="174"/>
        <v>-16145951.670000002</v>
      </c>
      <c r="SP163" s="11">
        <f t="shared" si="174"/>
        <v>-19215315.390000001</v>
      </c>
      <c r="SQ163" s="11">
        <f t="shared" si="174"/>
        <v>-43994196.07</v>
      </c>
      <c r="SR163" s="11">
        <f t="shared" si="174"/>
        <v>-12555499.279999997</v>
      </c>
      <c r="SS163" s="11">
        <f t="shared" si="174"/>
        <v>-9571534.8400000017</v>
      </c>
      <c r="ST163" s="11">
        <f t="shared" si="174"/>
        <v>-16086966.300000001</v>
      </c>
      <c r="SU163" s="11">
        <f t="shared" si="174"/>
        <v>-11766024.02</v>
      </c>
      <c r="SV163" s="11">
        <f t="shared" si="174"/>
        <v>-274909221.59999996</v>
      </c>
      <c r="SW163" s="11">
        <f t="shared" ref="SW163:VH163" si="175">SUM(SW159:SW162)</f>
        <v>-8440200.9100000001</v>
      </c>
      <c r="SX163" s="11">
        <f t="shared" si="175"/>
        <v>-23077708.32</v>
      </c>
      <c r="SY163" s="11">
        <f t="shared" si="175"/>
        <v>-24844698.469999999</v>
      </c>
      <c r="SZ163" s="11">
        <f t="shared" si="175"/>
        <v>-6081395.0800000001</v>
      </c>
      <c r="TA163" s="11">
        <f t="shared" si="175"/>
        <v>-8397234.8200000003</v>
      </c>
      <c r="TB163" s="11">
        <f t="shared" si="175"/>
        <v>-8974469.7199999988</v>
      </c>
      <c r="TC163" s="11">
        <f t="shared" si="175"/>
        <v>-82622023.88000001</v>
      </c>
      <c r="TD163" s="11">
        <f t="shared" si="175"/>
        <v>-12889346.929999998</v>
      </c>
      <c r="TE163" s="11">
        <f t="shared" si="175"/>
        <v>-13695456.720000001</v>
      </c>
      <c r="TF163" s="11">
        <f t="shared" si="175"/>
        <v>-16383087.449999999</v>
      </c>
      <c r="TG163" s="11">
        <f t="shared" si="175"/>
        <v>-50626062.440000005</v>
      </c>
      <c r="TH163" s="11">
        <f t="shared" si="175"/>
        <v>-8593069.3000000007</v>
      </c>
      <c r="TI163" s="11">
        <f t="shared" si="175"/>
        <v>-8387656.8399999989</v>
      </c>
      <c r="TJ163" s="11">
        <f t="shared" si="175"/>
        <v>-371422508.0200001</v>
      </c>
      <c r="TK163" s="11">
        <f t="shared" si="175"/>
        <v>-14800072.059999999</v>
      </c>
      <c r="TL163" s="11">
        <f t="shared" si="175"/>
        <v>-21028152.860000003</v>
      </c>
      <c r="TM163" s="11">
        <f t="shared" si="175"/>
        <v>-36575502.770000003</v>
      </c>
      <c r="TN163" s="11">
        <f t="shared" si="175"/>
        <v>-34313121.420000002</v>
      </c>
      <c r="TO163" s="11">
        <f t="shared" si="175"/>
        <v>-13584855.979999999</v>
      </c>
      <c r="TP163" s="11">
        <f t="shared" si="175"/>
        <v>-8720262.9900000021</v>
      </c>
      <c r="TQ163" s="11">
        <f t="shared" si="175"/>
        <v>-79579450.030000001</v>
      </c>
      <c r="TR163" s="11">
        <f t="shared" si="175"/>
        <v>-11327139.73</v>
      </c>
      <c r="TS163" s="11">
        <f t="shared" si="175"/>
        <v>-28426838.170000002</v>
      </c>
      <c r="TT163" s="11">
        <f t="shared" si="175"/>
        <v>-34649855.920000002</v>
      </c>
      <c r="TU163" s="11">
        <f t="shared" si="175"/>
        <v>-8183544.1699999999</v>
      </c>
      <c r="TV163" s="11">
        <f t="shared" si="175"/>
        <v>-9524216.0399999991</v>
      </c>
      <c r="TW163" s="11">
        <f t="shared" si="175"/>
        <v>-14224010.840000002</v>
      </c>
      <c r="TX163" s="11">
        <f t="shared" si="175"/>
        <v>-19897267.650000002</v>
      </c>
      <c r="TY163" s="11">
        <f t="shared" si="175"/>
        <v>-5142844.9899999993</v>
      </c>
      <c r="TZ163" s="11">
        <f t="shared" si="175"/>
        <v>-85563510.669999972</v>
      </c>
      <c r="UA163" s="11">
        <f t="shared" si="175"/>
        <v>-11730895.629999999</v>
      </c>
      <c r="UB163" s="11">
        <f t="shared" si="175"/>
        <v>-141073493.13999999</v>
      </c>
      <c r="UC163" s="11">
        <f t="shared" si="175"/>
        <v>-52083903.229999989</v>
      </c>
      <c r="UD163" s="11">
        <f t="shared" si="175"/>
        <v>-19335527.899999999</v>
      </c>
      <c r="UE163" s="11">
        <f t="shared" si="175"/>
        <v>-23632106.109999996</v>
      </c>
      <c r="UF163" s="11">
        <f t="shared" si="175"/>
        <v>-230942286.15000001</v>
      </c>
      <c r="UG163" s="11">
        <f t="shared" si="175"/>
        <v>-16676554.460000001</v>
      </c>
      <c r="UH163" s="11">
        <f t="shared" si="175"/>
        <v>-15757308.460000001</v>
      </c>
      <c r="UI163" s="11">
        <f t="shared" si="175"/>
        <v>-23447398.529999997</v>
      </c>
      <c r="UJ163" s="11">
        <f t="shared" si="175"/>
        <v>-14972058.279999999</v>
      </c>
      <c r="UK163" s="11">
        <f t="shared" si="175"/>
        <v>-113679345.48999999</v>
      </c>
      <c r="UL163" s="11">
        <f t="shared" si="175"/>
        <v>-45344247.829999991</v>
      </c>
      <c r="UM163" s="11">
        <f t="shared" si="175"/>
        <v>-24305943.41</v>
      </c>
      <c r="UN163" s="11">
        <f t="shared" si="175"/>
        <v>-53156506.289999999</v>
      </c>
      <c r="UO163" s="11">
        <f t="shared" si="175"/>
        <v>-25283731.5</v>
      </c>
      <c r="UP163" s="11">
        <f t="shared" si="175"/>
        <v>-27356941.739999995</v>
      </c>
      <c r="UQ163" s="11">
        <f t="shared" si="175"/>
        <v>-640175880.68000007</v>
      </c>
      <c r="UR163" s="11">
        <f t="shared" si="175"/>
        <v>-34093766.189999998</v>
      </c>
      <c r="US163" s="11">
        <f t="shared" si="175"/>
        <v>-28211499.619999997</v>
      </c>
      <c r="UT163" s="11">
        <f t="shared" si="175"/>
        <v>-112991858.64999999</v>
      </c>
      <c r="UU163" s="11">
        <f t="shared" si="175"/>
        <v>-3990174.87</v>
      </c>
      <c r="UV163" s="11">
        <f t="shared" si="175"/>
        <v>-23121956.509999994</v>
      </c>
      <c r="UW163" s="11">
        <f t="shared" si="175"/>
        <v>-69626133.38000001</v>
      </c>
      <c r="UX163" s="11">
        <f t="shared" si="175"/>
        <v>-12980050.58</v>
      </c>
      <c r="UY163" s="11">
        <f t="shared" si="175"/>
        <v>-18212530.73</v>
      </c>
      <c r="UZ163" s="11">
        <f t="shared" si="175"/>
        <v>-21246724.539999999</v>
      </c>
      <c r="VA163" s="11">
        <f t="shared" si="175"/>
        <v>-24005025.450000007</v>
      </c>
      <c r="VB163" s="11">
        <f t="shared" si="175"/>
        <v>-69083819.590000004</v>
      </c>
      <c r="VC163" s="11">
        <f t="shared" si="175"/>
        <v>-36661558.679999992</v>
      </c>
      <c r="VD163" s="11">
        <f t="shared" si="175"/>
        <v>-37118953.590000004</v>
      </c>
      <c r="VE163" s="11">
        <f t="shared" si="175"/>
        <v>-22794067.919999998</v>
      </c>
      <c r="VF163" s="11">
        <f t="shared" si="175"/>
        <v>-17400223.430000003</v>
      </c>
      <c r="VG163" s="11">
        <f t="shared" si="175"/>
        <v>-19377208.660000004</v>
      </c>
      <c r="VH163" s="11">
        <f t="shared" si="175"/>
        <v>-19528723.190000001</v>
      </c>
      <c r="VI163" s="11">
        <f t="shared" ref="VI163:XT163" si="176">SUM(VI159:VI162)</f>
        <v>-83173050.310000002</v>
      </c>
      <c r="VJ163" s="11">
        <f t="shared" si="176"/>
        <v>-13953920.139999999</v>
      </c>
      <c r="VK163" s="11">
        <f t="shared" si="176"/>
        <v>-11841383.459999999</v>
      </c>
      <c r="VL163" s="11">
        <f t="shared" si="176"/>
        <v>-7231573.7599999998</v>
      </c>
      <c r="VM163" s="11">
        <f t="shared" si="176"/>
        <v>-368564468.83999997</v>
      </c>
      <c r="VN163" s="11">
        <f t="shared" si="176"/>
        <v>-20618211.130000003</v>
      </c>
      <c r="VO163" s="11">
        <f t="shared" si="176"/>
        <v>-32882909</v>
      </c>
      <c r="VP163" s="11">
        <f t="shared" si="176"/>
        <v>-34785285.450000003</v>
      </c>
      <c r="VQ163" s="11">
        <f t="shared" si="176"/>
        <v>-53012566.709999993</v>
      </c>
      <c r="VR163" s="11">
        <f t="shared" si="176"/>
        <v>-45353293.789999999</v>
      </c>
      <c r="VS163" s="11">
        <f t="shared" si="176"/>
        <v>-28133280.040000003</v>
      </c>
      <c r="VT163" s="11">
        <f t="shared" si="176"/>
        <v>-11397659.199999999</v>
      </c>
      <c r="VU163" s="11">
        <f t="shared" si="176"/>
        <v>-31627795.350000001</v>
      </c>
      <c r="VV163" s="11">
        <f t="shared" si="176"/>
        <v>-127556627.47</v>
      </c>
      <c r="VW163" s="11">
        <f t="shared" si="176"/>
        <v>-18253838.899999999</v>
      </c>
      <c r="VX163" s="11">
        <f t="shared" si="176"/>
        <v>-54028170.379999988</v>
      </c>
      <c r="VY163" s="11">
        <f t="shared" si="176"/>
        <v>-28464437.689999998</v>
      </c>
      <c r="VZ163" s="11">
        <f t="shared" si="176"/>
        <v>-8481908.4900000002</v>
      </c>
      <c r="WA163" s="11">
        <f t="shared" si="176"/>
        <v>-14284632.65</v>
      </c>
      <c r="WB163" s="11">
        <f t="shared" si="176"/>
        <v>-928664563.48000002</v>
      </c>
      <c r="WC163" s="11">
        <f t="shared" si="176"/>
        <v>-33055850.239999995</v>
      </c>
      <c r="WD163" s="11">
        <f t="shared" si="176"/>
        <v>-25139808.390000001</v>
      </c>
      <c r="WE163" s="11">
        <f t="shared" si="176"/>
        <v>-18276338.299999997</v>
      </c>
      <c r="WF163" s="11">
        <f t="shared" si="176"/>
        <v>-8303720.8200000012</v>
      </c>
      <c r="WG163" s="11">
        <f t="shared" si="176"/>
        <v>-23883445.720000003</v>
      </c>
      <c r="WH163" s="11">
        <f t="shared" si="176"/>
        <v>-60420097.469999999</v>
      </c>
      <c r="WI163" s="11">
        <f t="shared" si="176"/>
        <v>-34745975.760000005</v>
      </c>
      <c r="WJ163" s="11">
        <f t="shared" si="176"/>
        <v>-19253084.899999999</v>
      </c>
      <c r="WK163" s="11">
        <f t="shared" si="176"/>
        <v>-45804370.140000001</v>
      </c>
      <c r="WL163" s="11">
        <f t="shared" si="176"/>
        <v>-13464811</v>
      </c>
      <c r="WM163" s="11">
        <f t="shared" si="176"/>
        <v>-66997440.799999997</v>
      </c>
      <c r="WN163" s="11">
        <f t="shared" si="176"/>
        <v>-17343393.329999998</v>
      </c>
      <c r="WO163" s="11">
        <f t="shared" si="176"/>
        <v>-58201818.620000005</v>
      </c>
      <c r="WP163" s="11">
        <f t="shared" si="176"/>
        <v>-63151162.860000007</v>
      </c>
      <c r="WQ163" s="11">
        <f t="shared" si="176"/>
        <v>-16063318.07</v>
      </c>
      <c r="WR163" s="11">
        <f t="shared" si="176"/>
        <v>-12511631.050000001</v>
      </c>
      <c r="WS163" s="11">
        <f t="shared" si="176"/>
        <v>-34331778.579999998</v>
      </c>
      <c r="WT163" s="11">
        <f t="shared" si="176"/>
        <v>-9866163.6799999997</v>
      </c>
      <c r="WU163" s="11">
        <f t="shared" si="176"/>
        <v>-39335758.219999999</v>
      </c>
      <c r="WV163" s="11">
        <f t="shared" si="176"/>
        <v>-155034499.99000001</v>
      </c>
      <c r="WW163" s="11">
        <f t="shared" si="176"/>
        <v>-39237547.200000003</v>
      </c>
      <c r="WX163" s="11">
        <f t="shared" si="176"/>
        <v>-21030468.260000002</v>
      </c>
      <c r="WY163" s="11">
        <f t="shared" si="176"/>
        <v>-11894750.77</v>
      </c>
      <c r="WZ163" s="11">
        <f t="shared" si="176"/>
        <v>-22646376.870000001</v>
      </c>
      <c r="XA163" s="11">
        <f t="shared" si="176"/>
        <v>-16915268.949999996</v>
      </c>
      <c r="XB163" s="11">
        <f t="shared" si="176"/>
        <v>-7619935.7400000012</v>
      </c>
      <c r="XC163" s="11">
        <f t="shared" si="176"/>
        <v>-18981592.820000004</v>
      </c>
      <c r="XD163" s="11">
        <f t="shared" si="176"/>
        <v>-102297628.8</v>
      </c>
      <c r="XE163" s="11">
        <f t="shared" si="176"/>
        <v>-15982099.92</v>
      </c>
      <c r="XF163" s="11">
        <f t="shared" si="176"/>
        <v>-4526235.0199999996</v>
      </c>
      <c r="XG163" s="11">
        <f t="shared" si="176"/>
        <v>-5786861.3599999994</v>
      </c>
      <c r="XH163" s="11">
        <f t="shared" si="176"/>
        <v>-12828918.73</v>
      </c>
      <c r="XI163" s="11">
        <f t="shared" si="176"/>
        <v>-416436715.56999999</v>
      </c>
      <c r="XJ163" s="11">
        <f t="shared" si="176"/>
        <v>-40033130.25</v>
      </c>
      <c r="XK163" s="11">
        <f t="shared" si="176"/>
        <v>-27913883.740000002</v>
      </c>
      <c r="XL163" s="11">
        <f t="shared" si="176"/>
        <v>-166244612.74000004</v>
      </c>
      <c r="XM163" s="11">
        <f t="shared" si="176"/>
        <v>-28522058.470000003</v>
      </c>
      <c r="XN163" s="11">
        <f t="shared" si="176"/>
        <v>-17283491.41</v>
      </c>
      <c r="XO163" s="11">
        <f t="shared" si="176"/>
        <v>-81569155.450000003</v>
      </c>
      <c r="XP163" s="11">
        <f t="shared" si="176"/>
        <v>-27643019.409999996</v>
      </c>
      <c r="XQ163" s="11">
        <f t="shared" si="176"/>
        <v>-20000136.100000001</v>
      </c>
      <c r="XR163" s="11">
        <f t="shared" si="176"/>
        <v>-44275217.090000004</v>
      </c>
      <c r="XS163" s="11">
        <f t="shared" si="176"/>
        <v>-45257807.330000013</v>
      </c>
      <c r="XT163" s="11">
        <f t="shared" si="176"/>
        <v>-14374065.35</v>
      </c>
      <c r="XU163" s="11">
        <f t="shared" ref="XU163:AAF163" si="177">SUM(XU159:XU162)</f>
        <v>-20717598.559999999</v>
      </c>
      <c r="XV163" s="11">
        <f t="shared" si="177"/>
        <v>-18486249.529999997</v>
      </c>
      <c r="XW163" s="11">
        <f t="shared" si="177"/>
        <v>-14159790.15</v>
      </c>
      <c r="XX163" s="11">
        <f t="shared" si="177"/>
        <v>-15366109.58</v>
      </c>
      <c r="XY163" s="11">
        <f t="shared" si="177"/>
        <v>-9219171.6500000022</v>
      </c>
      <c r="XZ163" s="11">
        <f t="shared" si="177"/>
        <v>-15176437.120000001</v>
      </c>
      <c r="YA163" s="11">
        <f t="shared" si="177"/>
        <v>-12995566.280000001</v>
      </c>
      <c r="YB163" s="11">
        <f t="shared" si="177"/>
        <v>-8132207.0600000005</v>
      </c>
      <c r="YC163" s="11">
        <f t="shared" si="177"/>
        <v>-9334202.4199999981</v>
      </c>
      <c r="YD163" s="11">
        <f t="shared" si="177"/>
        <v>-14828909.509999996</v>
      </c>
      <c r="YE163" s="11">
        <f t="shared" si="177"/>
        <v>-15388452.41</v>
      </c>
      <c r="YF163" s="11">
        <f t="shared" si="177"/>
        <v>-373066059.92000002</v>
      </c>
      <c r="YG163" s="11">
        <f t="shared" si="177"/>
        <v>-18519061.299999997</v>
      </c>
      <c r="YH163" s="11">
        <f t="shared" si="177"/>
        <v>-42498369.430000007</v>
      </c>
      <c r="YI163" s="11">
        <f t="shared" si="177"/>
        <v>-12469365.99</v>
      </c>
      <c r="YJ163" s="11">
        <f t="shared" si="177"/>
        <v>-129800325.61000001</v>
      </c>
      <c r="YK163" s="11">
        <f t="shared" si="177"/>
        <v>-13277165.309999999</v>
      </c>
      <c r="YL163" s="11">
        <f t="shared" si="177"/>
        <v>-47412878.349999987</v>
      </c>
      <c r="YM163" s="11">
        <f t="shared" si="177"/>
        <v>-8762814.3599999994</v>
      </c>
      <c r="YN163" s="11">
        <f t="shared" si="177"/>
        <v>-63115194.060000002</v>
      </c>
      <c r="YO163" s="11">
        <f t="shared" si="177"/>
        <v>-66172897.640000001</v>
      </c>
      <c r="YP163" s="11">
        <f t="shared" si="177"/>
        <v>-21613044.709999997</v>
      </c>
      <c r="YQ163" s="11">
        <f t="shared" si="177"/>
        <v>-17249334.249999996</v>
      </c>
      <c r="YR163" s="11">
        <f t="shared" si="177"/>
        <v>-22516208.679999996</v>
      </c>
      <c r="YS163" s="11">
        <f t="shared" si="177"/>
        <v>-12879357.089999998</v>
      </c>
      <c r="YT163" s="11">
        <f t="shared" si="177"/>
        <v>-11179570.999999998</v>
      </c>
      <c r="YU163" s="11">
        <f t="shared" si="177"/>
        <v>-25525640.060000002</v>
      </c>
      <c r="YV163" s="11">
        <f t="shared" si="177"/>
        <v>-10563959.809999999</v>
      </c>
      <c r="YW163" s="11">
        <f t="shared" si="177"/>
        <v>-174652921.18000001</v>
      </c>
      <c r="YX163" s="11">
        <f t="shared" si="177"/>
        <v>-17241260.140000001</v>
      </c>
      <c r="YY163" s="11">
        <f t="shared" si="177"/>
        <v>-13251765.039999999</v>
      </c>
      <c r="YZ163" s="11">
        <f t="shared" si="177"/>
        <v>-12504894.409999998</v>
      </c>
      <c r="ZA163" s="11">
        <f t="shared" si="177"/>
        <v>-22167195.43</v>
      </c>
      <c r="ZB163" s="11">
        <f t="shared" si="177"/>
        <v>-11416365.4</v>
      </c>
      <c r="ZC163" s="11">
        <f t="shared" si="177"/>
        <v>-10223131.610000001</v>
      </c>
      <c r="ZD163" s="11">
        <f t="shared" si="177"/>
        <v>-115631333.19999999</v>
      </c>
      <c r="ZE163" s="11">
        <f t="shared" si="177"/>
        <v>-8503872.6400000006</v>
      </c>
      <c r="ZF163" s="11">
        <f t="shared" si="177"/>
        <v>-15077202.489999998</v>
      </c>
      <c r="ZG163" s="11">
        <f t="shared" si="177"/>
        <v>-12170168.99</v>
      </c>
      <c r="ZH163" s="11">
        <f t="shared" si="177"/>
        <v>-8594906.5299999993</v>
      </c>
      <c r="ZI163" s="11">
        <f t="shared" si="177"/>
        <v>-10509024.469999999</v>
      </c>
      <c r="ZJ163" s="11">
        <f t="shared" si="177"/>
        <v>-19306493.289999999</v>
      </c>
      <c r="ZK163" s="11">
        <f t="shared" si="177"/>
        <v>-11605684.329999998</v>
      </c>
      <c r="ZL163" s="11">
        <f t="shared" si="177"/>
        <v>-81053478</v>
      </c>
      <c r="ZM163" s="11">
        <f t="shared" si="177"/>
        <v>-324719266.76000011</v>
      </c>
      <c r="ZN163" s="11">
        <f t="shared" si="177"/>
        <v>-12477722.43</v>
      </c>
      <c r="ZO163" s="11">
        <f t="shared" si="177"/>
        <v>-41527703.467000008</v>
      </c>
      <c r="ZP163" s="11">
        <f t="shared" si="177"/>
        <v>-80453031.450000003</v>
      </c>
      <c r="ZQ163" s="11">
        <f t="shared" si="177"/>
        <v>-63159257.610000007</v>
      </c>
      <c r="ZR163" s="11">
        <f t="shared" si="177"/>
        <v>-10212634.647</v>
      </c>
      <c r="ZS163" s="11">
        <f t="shared" si="177"/>
        <v>-28387783.280000001</v>
      </c>
      <c r="ZT163" s="11">
        <f t="shared" si="177"/>
        <v>-57127994.469999999</v>
      </c>
      <c r="ZU163" s="11">
        <f t="shared" si="177"/>
        <v>-38621886.320000008</v>
      </c>
      <c r="ZV163" s="11">
        <f t="shared" si="177"/>
        <v>-63569867.149999999</v>
      </c>
      <c r="ZW163" s="11">
        <f t="shared" si="177"/>
        <v>-11030754.129999999</v>
      </c>
      <c r="ZX163" s="11">
        <f t="shared" si="177"/>
        <v>-18879927.340000004</v>
      </c>
      <c r="ZY163" s="11">
        <f t="shared" si="177"/>
        <v>-16008963.780000001</v>
      </c>
      <c r="ZZ163" s="11">
        <f t="shared" si="177"/>
        <v>-43157626.229999997</v>
      </c>
      <c r="AAA163" s="11">
        <f t="shared" si="177"/>
        <v>-13729284.740000002</v>
      </c>
      <c r="AAB163" s="11">
        <f t="shared" si="177"/>
        <v>-20855140.179999996</v>
      </c>
      <c r="AAC163" s="11">
        <f t="shared" si="177"/>
        <v>-17045715.879999999</v>
      </c>
      <c r="AAD163" s="11">
        <f t="shared" si="177"/>
        <v>-10326548.370000001</v>
      </c>
      <c r="AAE163" s="11">
        <f t="shared" si="177"/>
        <v>-20863177.309999999</v>
      </c>
      <c r="AAF163" s="11">
        <f t="shared" si="177"/>
        <v>-14022489.010000002</v>
      </c>
      <c r="AAG163" s="11">
        <f t="shared" ref="AAG163:ACR163" si="178">SUM(AAG159:AAG162)</f>
        <v>-7722350.7300000004</v>
      </c>
      <c r="AAH163" s="11">
        <f t="shared" si="178"/>
        <v>-12772471.77</v>
      </c>
      <c r="AAI163" s="11">
        <f t="shared" si="178"/>
        <v>-130423739.81999999</v>
      </c>
      <c r="AAJ163" s="11">
        <f t="shared" si="178"/>
        <v>-21903215.570000004</v>
      </c>
      <c r="AAK163" s="11">
        <f t="shared" si="178"/>
        <v>-20886348.300000001</v>
      </c>
      <c r="AAL163" s="11">
        <f t="shared" si="178"/>
        <v>-15582908.4</v>
      </c>
      <c r="AAM163" s="11">
        <f t="shared" si="178"/>
        <v>-6907021.5399999991</v>
      </c>
      <c r="AAN163" s="11">
        <f t="shared" si="178"/>
        <v>-32108874.250000004</v>
      </c>
      <c r="AAO163" s="11">
        <f t="shared" si="178"/>
        <v>-9421731.4499999993</v>
      </c>
      <c r="AAP163" s="11">
        <f t="shared" si="178"/>
        <v>-943453172.36000001</v>
      </c>
      <c r="AAQ163" s="11">
        <f t="shared" si="178"/>
        <v>-37300982.749999993</v>
      </c>
      <c r="AAR163" s="11">
        <f t="shared" si="178"/>
        <v>-22386030.469999999</v>
      </c>
      <c r="AAS163" s="11">
        <f t="shared" si="178"/>
        <v>-46236938.329999998</v>
      </c>
      <c r="AAT163" s="11">
        <f t="shared" si="178"/>
        <v>-41899536.789999992</v>
      </c>
      <c r="AAU163" s="11">
        <f t="shared" si="178"/>
        <v>-12322665.18</v>
      </c>
      <c r="AAV163" s="11">
        <f t="shared" si="178"/>
        <v>-19225435.66</v>
      </c>
      <c r="AAW163" s="11">
        <f t="shared" si="178"/>
        <v>-31610489.239999998</v>
      </c>
      <c r="AAX163" s="11">
        <f t="shared" si="178"/>
        <v>-132142245.25000001</v>
      </c>
      <c r="AAY163" s="11">
        <f t="shared" si="178"/>
        <v>-22131322.630000003</v>
      </c>
      <c r="AAZ163" s="11">
        <f t="shared" si="178"/>
        <v>-33199644.630000006</v>
      </c>
      <c r="ABA163" s="11">
        <f t="shared" si="178"/>
        <v>-140912313.44</v>
      </c>
      <c r="ABB163" s="11">
        <f t="shared" si="178"/>
        <v>-51262462.480000004</v>
      </c>
      <c r="ABC163" s="11">
        <f t="shared" si="178"/>
        <v>-9560272.8099999987</v>
      </c>
      <c r="ABD163" s="11">
        <f t="shared" si="178"/>
        <v>-20505665.530000001</v>
      </c>
      <c r="ABE163" s="11">
        <f t="shared" si="178"/>
        <v>-18514429.539999995</v>
      </c>
      <c r="ABF163" s="11">
        <f t="shared" si="178"/>
        <v>-10838894.109999999</v>
      </c>
      <c r="ABG163" s="11">
        <f t="shared" si="178"/>
        <v>-16432539.580000002</v>
      </c>
      <c r="ABH163" s="11">
        <f t="shared" si="178"/>
        <v>-17044946.239999998</v>
      </c>
      <c r="ABI163" s="11">
        <f t="shared" si="178"/>
        <v>-135885234.63</v>
      </c>
      <c r="ABJ163" s="11">
        <f t="shared" si="178"/>
        <v>-102475953.57000001</v>
      </c>
      <c r="ABK163" s="11">
        <f t="shared" si="178"/>
        <v>-23757179.260000002</v>
      </c>
      <c r="ABL163" s="11">
        <f t="shared" si="178"/>
        <v>-10092107.329999996</v>
      </c>
      <c r="ABM163" s="11">
        <f t="shared" si="178"/>
        <v>-23918182.960000001</v>
      </c>
      <c r="ABN163" s="11">
        <f t="shared" si="178"/>
        <v>-7951400.0099999998</v>
      </c>
      <c r="ABO163" s="11">
        <f t="shared" si="178"/>
        <v>-12020607.589999998</v>
      </c>
      <c r="ABP163" s="11">
        <f t="shared" si="178"/>
        <v>-202176259.99000001</v>
      </c>
      <c r="ABQ163" s="11">
        <f t="shared" si="178"/>
        <v>-28289589.719999999</v>
      </c>
      <c r="ABR163" s="11">
        <f t="shared" si="178"/>
        <v>-22334408.580000006</v>
      </c>
      <c r="ABS163" s="11">
        <f t="shared" si="178"/>
        <v>-28163457.799999997</v>
      </c>
      <c r="ABT163" s="11">
        <f t="shared" si="178"/>
        <v>-39528645.150000006</v>
      </c>
      <c r="ABU163" s="11">
        <f t="shared" si="178"/>
        <v>-20199917.620000001</v>
      </c>
      <c r="ABV163" s="11">
        <f t="shared" si="178"/>
        <v>-13385080.92</v>
      </c>
      <c r="ABW163" s="11">
        <f t="shared" si="178"/>
        <v>-19174520.689999998</v>
      </c>
      <c r="ABX163" s="11">
        <f t="shared" si="178"/>
        <v>-3372564.0900000003</v>
      </c>
      <c r="ABY163" s="11">
        <f t="shared" si="178"/>
        <v>-330613931.07999998</v>
      </c>
      <c r="ABZ163" s="11">
        <f t="shared" si="178"/>
        <v>-17678156.810000002</v>
      </c>
      <c r="ACA163" s="11">
        <f t="shared" si="178"/>
        <v>-40840815.390000001</v>
      </c>
      <c r="ACB163" s="11">
        <f t="shared" si="178"/>
        <v>-13560064.35</v>
      </c>
      <c r="ACC163" s="11">
        <f t="shared" si="178"/>
        <v>-15616211.630000001</v>
      </c>
      <c r="ACD163" s="11">
        <f t="shared" si="178"/>
        <v>-133833175.20999998</v>
      </c>
      <c r="ACE163" s="11">
        <f t="shared" si="178"/>
        <v>-8840065.9600000009</v>
      </c>
      <c r="ACF163" s="11">
        <f t="shared" si="178"/>
        <v>-12237803.610000001</v>
      </c>
      <c r="ACG163" s="11">
        <f t="shared" si="178"/>
        <v>-14535935.75</v>
      </c>
      <c r="ACH163" s="11">
        <f t="shared" si="178"/>
        <v>-20690011.689999998</v>
      </c>
      <c r="ACI163" s="11">
        <f t="shared" si="178"/>
        <v>-19933436.82</v>
      </c>
      <c r="ACJ163" s="11">
        <f t="shared" si="178"/>
        <v>-473419768.5</v>
      </c>
      <c r="ACK163" s="11">
        <f t="shared" si="178"/>
        <v>-10683052.910000002</v>
      </c>
      <c r="ACL163" s="11">
        <f t="shared" si="178"/>
        <v>-29884507.029999994</v>
      </c>
      <c r="ACM163" s="11">
        <f t="shared" si="178"/>
        <v>-40357355.190000005</v>
      </c>
      <c r="ACN163" s="11">
        <f t="shared" si="178"/>
        <v>-12274086.729999999</v>
      </c>
      <c r="ACO163" s="11">
        <f t="shared" si="178"/>
        <v>-42673648.159999996</v>
      </c>
      <c r="ACP163" s="11">
        <f t="shared" si="178"/>
        <v>-19768271.760000002</v>
      </c>
      <c r="ACQ163" s="11">
        <f t="shared" si="178"/>
        <v>-118102354.73999999</v>
      </c>
      <c r="ACR163" s="11">
        <f t="shared" si="178"/>
        <v>-157036565.74000001</v>
      </c>
      <c r="ACS163" s="11">
        <f t="shared" ref="ACS163:AFD163" si="179">SUM(ACS159:ACS162)</f>
        <v>-29488072.23</v>
      </c>
      <c r="ACT163" s="11">
        <f t="shared" si="179"/>
        <v>-59535443.039999999</v>
      </c>
      <c r="ACU163" s="11">
        <f t="shared" si="179"/>
        <v>-46759012.810000002</v>
      </c>
      <c r="ACV163" s="11">
        <f t="shared" si="179"/>
        <v>-35872870.910000011</v>
      </c>
      <c r="ACW163" s="11">
        <f t="shared" si="179"/>
        <v>-73423748.699999988</v>
      </c>
      <c r="ACX163" s="11">
        <f t="shared" si="179"/>
        <v>-30633337.68</v>
      </c>
      <c r="ACY163" s="11">
        <f t="shared" si="179"/>
        <v>-13754043.649999999</v>
      </c>
      <c r="ACZ163" s="11">
        <f t="shared" si="179"/>
        <v>-36187180.330000006</v>
      </c>
      <c r="ADA163" s="11">
        <f t="shared" si="179"/>
        <v>-20471052.16</v>
      </c>
      <c r="ADB163" s="11">
        <f t="shared" si="179"/>
        <v>-18122000.990000002</v>
      </c>
      <c r="ADC163" s="11">
        <f t="shared" si="179"/>
        <v>-12132159.840000002</v>
      </c>
      <c r="ADD163" s="11">
        <f t="shared" si="179"/>
        <v>-27620670.199999996</v>
      </c>
      <c r="ADE163" s="11">
        <f t="shared" si="179"/>
        <v>-14811297.42</v>
      </c>
      <c r="ADF163" s="11">
        <f t="shared" si="179"/>
        <v>-12121087.309999997</v>
      </c>
      <c r="ADG163" s="11">
        <f t="shared" si="179"/>
        <v>-76400335.090000004</v>
      </c>
      <c r="ADH163" s="11">
        <f t="shared" si="179"/>
        <v>-62301288.789999999</v>
      </c>
      <c r="ADI163" s="11">
        <f t="shared" si="179"/>
        <v>-4757800.3000000007</v>
      </c>
      <c r="ADJ163" s="11">
        <f t="shared" si="179"/>
        <v>-12697598.560000002</v>
      </c>
      <c r="ADK163" s="11">
        <f t="shared" si="179"/>
        <v>-29642057.209999993</v>
      </c>
      <c r="ADL163" s="11">
        <f t="shared" si="179"/>
        <v>-8928306.0899999999</v>
      </c>
      <c r="ADM163" s="11">
        <f t="shared" si="179"/>
        <v>-23901915.43</v>
      </c>
      <c r="ADN163" s="11">
        <f t="shared" si="179"/>
        <v>-27224726.489999998</v>
      </c>
      <c r="ADO163" s="11">
        <f t="shared" si="179"/>
        <v>-36761199.160000004</v>
      </c>
      <c r="ADP163" s="11">
        <f t="shared" si="179"/>
        <v>-500796235.06999993</v>
      </c>
      <c r="ADQ163" s="11">
        <f t="shared" si="179"/>
        <v>-62559040.969999999</v>
      </c>
      <c r="ADR163" s="11">
        <f t="shared" si="179"/>
        <v>-44875803.199999996</v>
      </c>
      <c r="ADS163" s="11">
        <f t="shared" si="179"/>
        <v>-14712955.149999999</v>
      </c>
      <c r="ADT163" s="11">
        <f t="shared" si="179"/>
        <v>-158823644.43999997</v>
      </c>
      <c r="ADU163" s="11">
        <f t="shared" si="179"/>
        <v>-7629773.9200000009</v>
      </c>
      <c r="ADV163" s="11">
        <f t="shared" si="179"/>
        <v>-21747424.119999997</v>
      </c>
      <c r="ADW163" s="11">
        <f t="shared" si="179"/>
        <v>-12426361.870000001</v>
      </c>
      <c r="ADX163" s="11">
        <f t="shared" si="179"/>
        <v>-6497129.3100000005</v>
      </c>
      <c r="ADY163" s="11">
        <f t="shared" si="179"/>
        <v>-7848009.9700000007</v>
      </c>
      <c r="ADZ163" s="11">
        <f t="shared" si="179"/>
        <v>-631632263.46000004</v>
      </c>
      <c r="AEA163" s="11">
        <f t="shared" si="179"/>
        <v>-209587195.54999998</v>
      </c>
      <c r="AEB163" s="11">
        <f t="shared" si="179"/>
        <v>-98692480.359999999</v>
      </c>
      <c r="AEC163" s="11">
        <f t="shared" si="179"/>
        <v>-38732322.829999991</v>
      </c>
      <c r="AED163" s="11">
        <f t="shared" si="179"/>
        <v>-16531200.189999999</v>
      </c>
      <c r="AEE163" s="11">
        <f t="shared" si="179"/>
        <v>-50945947.68</v>
      </c>
      <c r="AEF163" s="11">
        <f t="shared" si="179"/>
        <v>-37708241.829999991</v>
      </c>
      <c r="AEG163" s="11">
        <f t="shared" si="179"/>
        <v>-26320222.699999996</v>
      </c>
      <c r="AEH163" s="11">
        <f t="shared" si="179"/>
        <v>-14868852.130000005</v>
      </c>
      <c r="AEI163" s="11">
        <f t="shared" si="179"/>
        <v>-11939380.41</v>
      </c>
      <c r="AEJ163" s="11">
        <f t="shared" si="179"/>
        <v>-50016857.199999996</v>
      </c>
      <c r="AEK163" s="11">
        <f t="shared" si="179"/>
        <v>-59438615.909999989</v>
      </c>
      <c r="AEL163" s="11">
        <f t="shared" si="179"/>
        <v>-17697268.41</v>
      </c>
      <c r="AEM163" s="11">
        <f t="shared" si="179"/>
        <v>-34375809.590000004</v>
      </c>
      <c r="AEN163" s="11">
        <f t="shared" si="179"/>
        <v>-43848490.919999994</v>
      </c>
      <c r="AEO163" s="11">
        <f t="shared" si="179"/>
        <v>-43216746.030000001</v>
      </c>
      <c r="AEP163" s="11">
        <f t="shared" si="179"/>
        <v>-10385961.559999999</v>
      </c>
      <c r="AEQ163" s="11">
        <f t="shared" si="179"/>
        <v>-78687869.310000017</v>
      </c>
      <c r="AER163" s="11">
        <f t="shared" si="179"/>
        <v>-7830313.5500000007</v>
      </c>
      <c r="AES163" s="11">
        <f t="shared" si="179"/>
        <v>-59589947.279999986</v>
      </c>
      <c r="AET163" s="11">
        <f t="shared" si="179"/>
        <v>-264154777.90000007</v>
      </c>
      <c r="AEU163" s="11">
        <f t="shared" si="179"/>
        <v>-47383005.120000005</v>
      </c>
      <c r="AEV163" s="11">
        <f t="shared" si="179"/>
        <v>-29372099.34</v>
      </c>
      <c r="AEW163" s="11">
        <f t="shared" si="179"/>
        <v>-30611010.759999998</v>
      </c>
      <c r="AEX163" s="11">
        <f t="shared" si="179"/>
        <v>-19288505.549999997</v>
      </c>
      <c r="AEY163" s="11">
        <f t="shared" si="179"/>
        <v>-83760376.450000018</v>
      </c>
      <c r="AEZ163" s="11">
        <f t="shared" si="179"/>
        <v>-23847119.5</v>
      </c>
      <c r="AFA163" s="11">
        <f t="shared" si="179"/>
        <v>-35983851.719999999</v>
      </c>
      <c r="AFB163" s="11">
        <f t="shared" si="179"/>
        <v>-26746992.660000004</v>
      </c>
      <c r="AFC163" s="11">
        <f t="shared" si="179"/>
        <v>-15657440.99</v>
      </c>
      <c r="AFD163" s="11">
        <f t="shared" si="179"/>
        <v>-278789240.12</v>
      </c>
      <c r="AFE163" s="11">
        <f t="shared" ref="AFE163:AHP163" si="180">SUM(AFE159:AFE162)</f>
        <v>-27449077.210000001</v>
      </c>
      <c r="AFF163" s="11">
        <f t="shared" si="180"/>
        <v>-23498283.199999999</v>
      </c>
      <c r="AFG163" s="11">
        <f t="shared" si="180"/>
        <v>-18662407.359999999</v>
      </c>
      <c r="AFH163" s="11">
        <f t="shared" si="180"/>
        <v>-25729175.140000001</v>
      </c>
      <c r="AFI163" s="11">
        <f t="shared" si="180"/>
        <v>-26058360.57</v>
      </c>
      <c r="AFJ163" s="11">
        <f t="shared" si="180"/>
        <v>-22128075.729999997</v>
      </c>
      <c r="AFK163" s="11">
        <f t="shared" si="180"/>
        <v>-15907048.68</v>
      </c>
      <c r="AFL163" s="11">
        <f t="shared" si="180"/>
        <v>-19749091.41</v>
      </c>
      <c r="AFM163" s="11">
        <f t="shared" si="180"/>
        <v>-28019924.130000003</v>
      </c>
      <c r="AFN163" s="11">
        <f t="shared" si="180"/>
        <v>-17110471.830000002</v>
      </c>
      <c r="AFO163" s="11">
        <f t="shared" si="180"/>
        <v>-13883710.58</v>
      </c>
      <c r="AFP163" s="11">
        <f t="shared" si="180"/>
        <v>-25188955.789999999</v>
      </c>
      <c r="AFQ163" s="11">
        <f t="shared" si="180"/>
        <v>-235051998.35000002</v>
      </c>
      <c r="AFR163" s="11">
        <f t="shared" si="180"/>
        <v>-46503288.360000007</v>
      </c>
      <c r="AFS163" s="11">
        <f t="shared" si="180"/>
        <v>-29751522.98</v>
      </c>
      <c r="AFT163" s="11">
        <f t="shared" si="180"/>
        <v>-17446326.740000002</v>
      </c>
      <c r="AFU163" s="11">
        <f t="shared" si="180"/>
        <v>-34023482.710000001</v>
      </c>
      <c r="AFV163" s="11">
        <f t="shared" si="180"/>
        <v>-14504716.220000003</v>
      </c>
      <c r="AFW163" s="11">
        <f t="shared" si="180"/>
        <v>-11984391.6</v>
      </c>
      <c r="AFX163" s="11">
        <f t="shared" si="180"/>
        <v>-29748590.490000002</v>
      </c>
      <c r="AFY163" s="11">
        <f t="shared" si="180"/>
        <v>-19764216.030000001</v>
      </c>
      <c r="AFZ163" s="11">
        <f t="shared" si="180"/>
        <v>-14042010.049999999</v>
      </c>
      <c r="AGA163" s="11">
        <f t="shared" si="180"/>
        <v>-47138345.189999998</v>
      </c>
      <c r="AGB163" s="11">
        <f t="shared" si="180"/>
        <v>-10373270.1</v>
      </c>
      <c r="AGC163" s="11">
        <f t="shared" si="180"/>
        <v>-77748668.090000004</v>
      </c>
      <c r="AGD163" s="11">
        <f t="shared" si="180"/>
        <v>-16513917.93</v>
      </c>
      <c r="AGE163" s="11">
        <f t="shared" si="180"/>
        <v>-22891566.340000004</v>
      </c>
      <c r="AGF163" s="11">
        <f t="shared" si="180"/>
        <v>-16410095.75</v>
      </c>
      <c r="AGG163" s="11">
        <f t="shared" si="180"/>
        <v>-41398532.18999999</v>
      </c>
      <c r="AGH163" s="11">
        <f t="shared" si="180"/>
        <v>-26243563.649999999</v>
      </c>
      <c r="AGI163" s="11">
        <f t="shared" si="180"/>
        <v>-7860803.4699999988</v>
      </c>
      <c r="AGJ163" s="11">
        <f t="shared" si="180"/>
        <v>-19022133.900000002</v>
      </c>
      <c r="AGK163" s="11">
        <f t="shared" si="180"/>
        <v>-14764351.33</v>
      </c>
      <c r="AGL163" s="11">
        <f t="shared" si="180"/>
        <v>-15386607.720000001</v>
      </c>
      <c r="AGM163" s="11">
        <f t="shared" si="180"/>
        <v>-16993578.470000003</v>
      </c>
      <c r="AGN163" s="11">
        <f t="shared" si="180"/>
        <v>-187720773.33000001</v>
      </c>
      <c r="AGO163" s="11">
        <f t="shared" si="180"/>
        <v>-33153789.539999992</v>
      </c>
      <c r="AGP163" s="11">
        <f t="shared" si="180"/>
        <v>-20266860.09</v>
      </c>
      <c r="AGQ163" s="11">
        <f t="shared" si="180"/>
        <v>-7313334.25</v>
      </c>
      <c r="AGR163" s="11">
        <f t="shared" si="180"/>
        <v>-24938420</v>
      </c>
      <c r="AGS163" s="11">
        <f t="shared" si="180"/>
        <v>-30667102.109999999</v>
      </c>
      <c r="AGT163" s="11">
        <f t="shared" si="180"/>
        <v>-14520815.039999999</v>
      </c>
      <c r="AGU163" s="11">
        <f t="shared" si="180"/>
        <v>-14892923.210000001</v>
      </c>
      <c r="AGV163" s="11">
        <f t="shared" si="180"/>
        <v>-429953999.44999999</v>
      </c>
      <c r="AGW163" s="11">
        <f t="shared" si="180"/>
        <v>-351388981.85000002</v>
      </c>
      <c r="AGX163" s="11">
        <f t="shared" si="180"/>
        <v>-21377605.290000007</v>
      </c>
      <c r="AGY163" s="11">
        <f t="shared" si="180"/>
        <v>-23326491.82</v>
      </c>
      <c r="AGZ163" s="11">
        <f t="shared" si="180"/>
        <v>-61579057.269999996</v>
      </c>
      <c r="AHA163" s="11">
        <f t="shared" si="180"/>
        <v>-14525241.430000002</v>
      </c>
      <c r="AHB163" s="11">
        <f t="shared" si="180"/>
        <v>-23009509.609999999</v>
      </c>
      <c r="AHC163" s="11">
        <f t="shared" si="180"/>
        <v>-18846759.009999994</v>
      </c>
      <c r="AHD163" s="11">
        <f t="shared" si="180"/>
        <v>-7799669.3999999994</v>
      </c>
      <c r="AHE163" s="11">
        <f t="shared" si="180"/>
        <v>-47705621.469999999</v>
      </c>
      <c r="AHF163" s="11">
        <f t="shared" si="180"/>
        <v>-36451204.480000004</v>
      </c>
      <c r="AHG163" s="11">
        <f t="shared" si="180"/>
        <v>-12578422.119999997</v>
      </c>
      <c r="AHH163" s="11">
        <f t="shared" si="180"/>
        <v>-20728821.360000003</v>
      </c>
      <c r="AHI163" s="11">
        <f t="shared" si="180"/>
        <v>-19327230.509999998</v>
      </c>
      <c r="AHJ163" s="11">
        <f t="shared" si="180"/>
        <v>-8698611.2699999996</v>
      </c>
      <c r="AHK163" s="11">
        <f t="shared" si="180"/>
        <v>-9509435.8999999985</v>
      </c>
      <c r="AHL163" s="11">
        <f t="shared" si="180"/>
        <v>-13182446.959999997</v>
      </c>
      <c r="AHM163" s="11">
        <f t="shared" si="180"/>
        <v>-149286744.10999998</v>
      </c>
      <c r="AHN163" s="11">
        <f t="shared" si="180"/>
        <v>-12199893.68</v>
      </c>
      <c r="AHO163" s="11">
        <f t="shared" si="180"/>
        <v>-18999391.800000001</v>
      </c>
      <c r="AHP163" s="11">
        <f t="shared" si="180"/>
        <v>-11667830.65</v>
      </c>
      <c r="AHQ163" s="11">
        <f t="shared" ref="AHQ163:AHT163" si="181">SUM(AHQ159:AHQ162)</f>
        <v>-38722176.489999995</v>
      </c>
      <c r="AHR163" s="11">
        <f t="shared" si="181"/>
        <v>-9322426.6199999992</v>
      </c>
      <c r="AHS163" s="11">
        <f t="shared" si="181"/>
        <v>-20867875.560000002</v>
      </c>
      <c r="AHT163" s="11">
        <f t="shared" si="181"/>
        <v>-49738442932.009491</v>
      </c>
    </row>
    <row r="164" spans="2:905" x14ac:dyDescent="0.7">
      <c r="D164" s="11">
        <f>D156-D163</f>
        <v>0</v>
      </c>
      <c r="E164" s="11">
        <f t="shared" ref="E164:BP164" si="182">E156-E163</f>
        <v>0</v>
      </c>
      <c r="F164" s="11">
        <f t="shared" si="182"/>
        <v>0</v>
      </c>
      <c r="G164" s="11">
        <f t="shared" si="182"/>
        <v>0</v>
      </c>
      <c r="H164" s="11">
        <f t="shared" si="182"/>
        <v>0</v>
      </c>
      <c r="I164" s="11">
        <f t="shared" si="182"/>
        <v>0</v>
      </c>
      <c r="J164" s="11">
        <f t="shared" si="182"/>
        <v>0</v>
      </c>
      <c r="K164" s="11">
        <f t="shared" si="182"/>
        <v>0</v>
      </c>
      <c r="L164" s="11">
        <f t="shared" si="182"/>
        <v>0</v>
      </c>
      <c r="M164" s="11">
        <f t="shared" si="182"/>
        <v>0</v>
      </c>
      <c r="N164" s="11">
        <f t="shared" si="182"/>
        <v>0</v>
      </c>
      <c r="O164" s="11">
        <f t="shared" si="182"/>
        <v>0</v>
      </c>
      <c r="P164" s="11">
        <f t="shared" si="182"/>
        <v>0</v>
      </c>
      <c r="Q164" s="11">
        <f t="shared" si="182"/>
        <v>0</v>
      </c>
      <c r="R164" s="11">
        <f t="shared" si="182"/>
        <v>0</v>
      </c>
      <c r="S164" s="11">
        <f t="shared" si="182"/>
        <v>0</v>
      </c>
      <c r="T164" s="11">
        <f t="shared" si="182"/>
        <v>0</v>
      </c>
      <c r="U164" s="11">
        <f t="shared" si="182"/>
        <v>0</v>
      </c>
      <c r="V164" s="11">
        <f t="shared" si="182"/>
        <v>0</v>
      </c>
      <c r="W164" s="11">
        <f t="shared" si="182"/>
        <v>0</v>
      </c>
      <c r="X164" s="11">
        <f t="shared" si="182"/>
        <v>0</v>
      </c>
      <c r="Y164" s="11">
        <f t="shared" si="182"/>
        <v>0</v>
      </c>
      <c r="Z164" s="11">
        <f t="shared" si="182"/>
        <v>0</v>
      </c>
      <c r="AA164" s="11">
        <f t="shared" si="182"/>
        <v>0</v>
      </c>
      <c r="AB164" s="11">
        <f t="shared" si="182"/>
        <v>0</v>
      </c>
      <c r="AC164" s="11">
        <f t="shared" si="182"/>
        <v>0</v>
      </c>
      <c r="AD164" s="11">
        <f t="shared" si="182"/>
        <v>0</v>
      </c>
      <c r="AE164" s="11">
        <f t="shared" si="182"/>
        <v>0</v>
      </c>
      <c r="AF164" s="11">
        <f t="shared" si="182"/>
        <v>0</v>
      </c>
      <c r="AG164" s="11">
        <f t="shared" si="182"/>
        <v>0</v>
      </c>
      <c r="AH164" s="11">
        <f t="shared" si="182"/>
        <v>0</v>
      </c>
      <c r="AI164" s="11">
        <f t="shared" si="182"/>
        <v>0</v>
      </c>
      <c r="AJ164" s="11">
        <f t="shared" si="182"/>
        <v>0</v>
      </c>
      <c r="AK164" s="11">
        <f t="shared" si="182"/>
        <v>0</v>
      </c>
      <c r="AL164" s="11">
        <f t="shared" si="182"/>
        <v>0</v>
      </c>
      <c r="AM164" s="11">
        <f t="shared" si="182"/>
        <v>0</v>
      </c>
      <c r="AN164" s="11">
        <f t="shared" si="182"/>
        <v>0</v>
      </c>
      <c r="AO164" s="11">
        <f t="shared" si="182"/>
        <v>0</v>
      </c>
      <c r="AP164" s="11">
        <f t="shared" si="182"/>
        <v>0</v>
      </c>
      <c r="AQ164" s="11">
        <f t="shared" si="182"/>
        <v>0</v>
      </c>
      <c r="AR164" s="11">
        <f t="shared" si="182"/>
        <v>0</v>
      </c>
      <c r="AS164" s="11">
        <f t="shared" si="182"/>
        <v>0</v>
      </c>
      <c r="AT164" s="11">
        <f t="shared" si="182"/>
        <v>0</v>
      </c>
      <c r="AU164" s="11">
        <f t="shared" si="182"/>
        <v>0</v>
      </c>
      <c r="AV164" s="11">
        <f t="shared" si="182"/>
        <v>0</v>
      </c>
      <c r="AW164" s="11">
        <f t="shared" si="182"/>
        <v>0</v>
      </c>
      <c r="AX164" s="11">
        <f t="shared" si="182"/>
        <v>0</v>
      </c>
      <c r="AY164" s="11">
        <f t="shared" si="182"/>
        <v>0</v>
      </c>
      <c r="AZ164" s="11">
        <f t="shared" si="182"/>
        <v>0</v>
      </c>
      <c r="BA164" s="11">
        <f t="shared" si="182"/>
        <v>0</v>
      </c>
      <c r="BB164" s="11">
        <f t="shared" si="182"/>
        <v>0</v>
      </c>
      <c r="BC164" s="11">
        <f t="shared" si="182"/>
        <v>0</v>
      </c>
      <c r="BD164" s="11">
        <f t="shared" si="182"/>
        <v>0</v>
      </c>
      <c r="BE164" s="11">
        <f t="shared" si="182"/>
        <v>0</v>
      </c>
      <c r="BF164" s="11">
        <f t="shared" si="182"/>
        <v>0</v>
      </c>
      <c r="BG164" s="11">
        <f t="shared" si="182"/>
        <v>0</v>
      </c>
      <c r="BH164" s="11">
        <f t="shared" si="182"/>
        <v>0</v>
      </c>
      <c r="BI164" s="11">
        <f t="shared" si="182"/>
        <v>0</v>
      </c>
      <c r="BJ164" s="11">
        <f t="shared" si="182"/>
        <v>0</v>
      </c>
      <c r="BK164" s="11">
        <f t="shared" si="182"/>
        <v>0</v>
      </c>
      <c r="BL164" s="11">
        <f t="shared" si="182"/>
        <v>0</v>
      </c>
      <c r="BM164" s="11">
        <f t="shared" si="182"/>
        <v>0</v>
      </c>
      <c r="BN164" s="11">
        <f t="shared" si="182"/>
        <v>0</v>
      </c>
      <c r="BO164" s="11">
        <f t="shared" si="182"/>
        <v>0</v>
      </c>
      <c r="BP164" s="11">
        <f t="shared" si="182"/>
        <v>0</v>
      </c>
      <c r="BQ164" s="11">
        <f t="shared" ref="BQ164:EB164" si="183">BQ156-BQ163</f>
        <v>0</v>
      </c>
      <c r="BR164" s="11">
        <f t="shared" si="183"/>
        <v>0</v>
      </c>
      <c r="BS164" s="11">
        <f t="shared" si="183"/>
        <v>0</v>
      </c>
      <c r="BT164" s="11">
        <f t="shared" si="183"/>
        <v>0</v>
      </c>
      <c r="BU164" s="11">
        <f t="shared" si="183"/>
        <v>0</v>
      </c>
      <c r="BV164" s="11">
        <f t="shared" si="183"/>
        <v>0</v>
      </c>
      <c r="BW164" s="11">
        <f t="shared" si="183"/>
        <v>0</v>
      </c>
      <c r="BX164" s="11">
        <f t="shared" si="183"/>
        <v>0</v>
      </c>
      <c r="BY164" s="11">
        <f t="shared" si="183"/>
        <v>0</v>
      </c>
      <c r="BZ164" s="11">
        <f t="shared" si="183"/>
        <v>0</v>
      </c>
      <c r="CA164" s="11">
        <f t="shared" si="183"/>
        <v>0</v>
      </c>
      <c r="CB164" s="11">
        <f t="shared" si="183"/>
        <v>0</v>
      </c>
      <c r="CC164" s="11">
        <f t="shared" si="183"/>
        <v>0</v>
      </c>
      <c r="CD164" s="11">
        <f t="shared" si="183"/>
        <v>0</v>
      </c>
      <c r="CE164" s="11">
        <f t="shared" si="183"/>
        <v>0</v>
      </c>
      <c r="CF164" s="11">
        <f t="shared" si="183"/>
        <v>0</v>
      </c>
      <c r="CG164" s="11">
        <f t="shared" si="183"/>
        <v>0</v>
      </c>
      <c r="CH164" s="11">
        <f t="shared" si="183"/>
        <v>0</v>
      </c>
      <c r="CI164" s="11">
        <f t="shared" si="183"/>
        <v>0</v>
      </c>
      <c r="CJ164" s="11">
        <f t="shared" si="183"/>
        <v>0</v>
      </c>
      <c r="CK164" s="11">
        <f t="shared" si="183"/>
        <v>0</v>
      </c>
      <c r="CL164" s="11">
        <f t="shared" si="183"/>
        <v>0</v>
      </c>
      <c r="CM164" s="11">
        <f t="shared" si="183"/>
        <v>0</v>
      </c>
      <c r="CN164" s="11">
        <f t="shared" si="183"/>
        <v>0</v>
      </c>
      <c r="CO164" s="11">
        <f t="shared" si="183"/>
        <v>0</v>
      </c>
      <c r="CP164" s="11">
        <f t="shared" si="183"/>
        <v>0</v>
      </c>
      <c r="CQ164" s="11">
        <f t="shared" si="183"/>
        <v>0</v>
      </c>
      <c r="CR164" s="11">
        <f t="shared" si="183"/>
        <v>0</v>
      </c>
      <c r="CS164" s="11">
        <f t="shared" si="183"/>
        <v>0</v>
      </c>
      <c r="CT164" s="11">
        <f t="shared" si="183"/>
        <v>0</v>
      </c>
      <c r="CU164" s="11">
        <f t="shared" si="183"/>
        <v>0</v>
      </c>
      <c r="CV164" s="11">
        <f t="shared" si="183"/>
        <v>0</v>
      </c>
      <c r="CW164" s="11">
        <f t="shared" si="183"/>
        <v>0</v>
      </c>
      <c r="CX164" s="11">
        <f t="shared" si="183"/>
        <v>0</v>
      </c>
      <c r="CY164" s="11">
        <f t="shared" si="183"/>
        <v>0</v>
      </c>
      <c r="CZ164" s="11">
        <f t="shared" si="183"/>
        <v>0</v>
      </c>
      <c r="DA164" s="11">
        <f t="shared" si="183"/>
        <v>0</v>
      </c>
      <c r="DB164" s="11">
        <f t="shared" si="183"/>
        <v>0</v>
      </c>
      <c r="DC164" s="11">
        <f t="shared" si="183"/>
        <v>0</v>
      </c>
      <c r="DD164" s="11">
        <f t="shared" si="183"/>
        <v>0</v>
      </c>
      <c r="DE164" s="11">
        <f t="shared" si="183"/>
        <v>0</v>
      </c>
      <c r="DF164" s="11">
        <f t="shared" si="183"/>
        <v>0</v>
      </c>
      <c r="DG164" s="11">
        <f t="shared" si="183"/>
        <v>0</v>
      </c>
      <c r="DH164" s="11">
        <f t="shared" si="183"/>
        <v>0</v>
      </c>
      <c r="DI164" s="11">
        <f t="shared" si="183"/>
        <v>0</v>
      </c>
      <c r="DJ164" s="11">
        <f t="shared" si="183"/>
        <v>0</v>
      </c>
      <c r="DK164" s="11">
        <f t="shared" si="183"/>
        <v>0</v>
      </c>
      <c r="DL164" s="11">
        <f t="shared" si="183"/>
        <v>0</v>
      </c>
      <c r="DM164" s="11">
        <f t="shared" si="183"/>
        <v>0</v>
      </c>
      <c r="DN164" s="11">
        <f t="shared" si="183"/>
        <v>0</v>
      </c>
      <c r="DO164" s="11">
        <f t="shared" si="183"/>
        <v>0</v>
      </c>
      <c r="DP164" s="11">
        <f t="shared" si="183"/>
        <v>0</v>
      </c>
      <c r="DQ164" s="11">
        <f t="shared" si="183"/>
        <v>0</v>
      </c>
      <c r="DR164" s="11">
        <f t="shared" si="183"/>
        <v>0</v>
      </c>
      <c r="DS164" s="11">
        <f t="shared" si="183"/>
        <v>0</v>
      </c>
      <c r="DT164" s="11">
        <f t="shared" si="183"/>
        <v>0</v>
      </c>
      <c r="DU164" s="11">
        <f t="shared" si="183"/>
        <v>0</v>
      </c>
      <c r="DV164" s="11">
        <f t="shared" si="183"/>
        <v>0</v>
      </c>
      <c r="DW164" s="11">
        <f t="shared" si="183"/>
        <v>0</v>
      </c>
      <c r="DX164" s="11">
        <f t="shared" si="183"/>
        <v>0</v>
      </c>
      <c r="DY164" s="11">
        <f t="shared" si="183"/>
        <v>0</v>
      </c>
      <c r="DZ164" s="11">
        <f t="shared" si="183"/>
        <v>0</v>
      </c>
      <c r="EA164" s="11">
        <f t="shared" si="183"/>
        <v>0</v>
      </c>
      <c r="EB164" s="11">
        <f t="shared" si="183"/>
        <v>0</v>
      </c>
      <c r="EC164" s="11">
        <f t="shared" ref="EC164:GN164" si="184">EC156-EC163</f>
        <v>0</v>
      </c>
      <c r="ED164" s="11">
        <f t="shared" si="184"/>
        <v>0</v>
      </c>
      <c r="EE164" s="11">
        <f t="shared" si="184"/>
        <v>0</v>
      </c>
      <c r="EF164" s="11">
        <f t="shared" si="184"/>
        <v>0</v>
      </c>
      <c r="EG164" s="11">
        <f t="shared" si="184"/>
        <v>0</v>
      </c>
      <c r="EH164" s="11">
        <f t="shared" si="184"/>
        <v>0</v>
      </c>
      <c r="EI164" s="11">
        <f t="shared" si="184"/>
        <v>0</v>
      </c>
      <c r="EJ164" s="11">
        <f t="shared" si="184"/>
        <v>0</v>
      </c>
      <c r="EK164" s="11">
        <f t="shared" si="184"/>
        <v>0</v>
      </c>
      <c r="EL164" s="11">
        <f t="shared" si="184"/>
        <v>0</v>
      </c>
      <c r="EM164" s="11">
        <f t="shared" si="184"/>
        <v>0</v>
      </c>
      <c r="EN164" s="11">
        <f t="shared" si="184"/>
        <v>0</v>
      </c>
      <c r="EO164" s="11">
        <f t="shared" si="184"/>
        <v>0</v>
      </c>
      <c r="EP164" s="11">
        <f t="shared" si="184"/>
        <v>0</v>
      </c>
      <c r="EQ164" s="11">
        <f t="shared" si="184"/>
        <v>0</v>
      </c>
      <c r="ER164" s="11">
        <f t="shared" si="184"/>
        <v>0</v>
      </c>
      <c r="ES164" s="11">
        <f t="shared" si="184"/>
        <v>0</v>
      </c>
      <c r="ET164" s="11">
        <f t="shared" si="184"/>
        <v>0</v>
      </c>
      <c r="EU164" s="11">
        <f t="shared" si="184"/>
        <v>0</v>
      </c>
      <c r="EV164" s="11">
        <f t="shared" si="184"/>
        <v>0</v>
      </c>
      <c r="EW164" s="11">
        <f t="shared" si="184"/>
        <v>0</v>
      </c>
      <c r="EX164" s="11">
        <f t="shared" si="184"/>
        <v>0</v>
      </c>
      <c r="EY164" s="11">
        <f t="shared" si="184"/>
        <v>0</v>
      </c>
      <c r="EZ164" s="11">
        <f t="shared" si="184"/>
        <v>0</v>
      </c>
      <c r="FA164" s="11">
        <f t="shared" si="184"/>
        <v>0</v>
      </c>
      <c r="FB164" s="11">
        <f t="shared" si="184"/>
        <v>0</v>
      </c>
      <c r="FC164" s="11">
        <f t="shared" si="184"/>
        <v>0</v>
      </c>
      <c r="FD164" s="11">
        <f t="shared" si="184"/>
        <v>0</v>
      </c>
      <c r="FE164" s="11">
        <f t="shared" si="184"/>
        <v>0</v>
      </c>
      <c r="FF164" s="11">
        <f t="shared" si="184"/>
        <v>0</v>
      </c>
      <c r="FG164" s="11">
        <f t="shared" si="184"/>
        <v>0</v>
      </c>
      <c r="FH164" s="11">
        <f t="shared" si="184"/>
        <v>0</v>
      </c>
      <c r="FI164" s="11">
        <f t="shared" si="184"/>
        <v>0</v>
      </c>
      <c r="FJ164" s="11">
        <f t="shared" si="184"/>
        <v>0</v>
      </c>
      <c r="FK164" s="11">
        <f t="shared" si="184"/>
        <v>0</v>
      </c>
      <c r="FL164" s="11">
        <f t="shared" si="184"/>
        <v>0</v>
      </c>
      <c r="FM164" s="11">
        <f t="shared" si="184"/>
        <v>0</v>
      </c>
      <c r="FN164" s="11">
        <f t="shared" si="184"/>
        <v>0</v>
      </c>
      <c r="FO164" s="11">
        <f t="shared" si="184"/>
        <v>0</v>
      </c>
      <c r="FP164" s="11">
        <f t="shared" si="184"/>
        <v>0</v>
      </c>
      <c r="FQ164" s="11">
        <f t="shared" si="184"/>
        <v>0</v>
      </c>
      <c r="FR164" s="11">
        <f t="shared" si="184"/>
        <v>0</v>
      </c>
      <c r="FS164" s="11">
        <f t="shared" si="184"/>
        <v>0</v>
      </c>
      <c r="FT164" s="11">
        <f t="shared" si="184"/>
        <v>0</v>
      </c>
      <c r="FU164" s="11">
        <f t="shared" si="184"/>
        <v>0</v>
      </c>
      <c r="FV164" s="11">
        <f t="shared" si="184"/>
        <v>0</v>
      </c>
      <c r="FW164" s="11">
        <f t="shared" si="184"/>
        <v>0</v>
      </c>
      <c r="FX164" s="11">
        <f t="shared" si="184"/>
        <v>0</v>
      </c>
      <c r="FY164" s="11">
        <f t="shared" si="184"/>
        <v>0</v>
      </c>
      <c r="FZ164" s="11">
        <f t="shared" si="184"/>
        <v>0</v>
      </c>
      <c r="GA164" s="11">
        <f t="shared" si="184"/>
        <v>0</v>
      </c>
      <c r="GB164" s="11">
        <f t="shared" si="184"/>
        <v>0</v>
      </c>
      <c r="GC164" s="11">
        <f t="shared" si="184"/>
        <v>0</v>
      </c>
      <c r="GD164" s="11">
        <f t="shared" si="184"/>
        <v>0</v>
      </c>
      <c r="GE164" s="11">
        <f t="shared" si="184"/>
        <v>0</v>
      </c>
      <c r="GF164" s="11">
        <f t="shared" si="184"/>
        <v>0</v>
      </c>
      <c r="GG164" s="11">
        <f t="shared" si="184"/>
        <v>0</v>
      </c>
      <c r="GH164" s="11">
        <f t="shared" si="184"/>
        <v>0</v>
      </c>
      <c r="GI164" s="11">
        <f t="shared" si="184"/>
        <v>0</v>
      </c>
      <c r="GJ164" s="11">
        <f t="shared" si="184"/>
        <v>0</v>
      </c>
      <c r="GK164" s="11">
        <f t="shared" si="184"/>
        <v>0</v>
      </c>
      <c r="GL164" s="11">
        <f t="shared" si="184"/>
        <v>0</v>
      </c>
      <c r="GM164" s="11">
        <f t="shared" si="184"/>
        <v>0</v>
      </c>
      <c r="GN164" s="11">
        <f t="shared" si="184"/>
        <v>0</v>
      </c>
      <c r="GO164" s="11">
        <f t="shared" ref="GO164:IZ164" si="185">GO156-GO163</f>
        <v>0</v>
      </c>
      <c r="GP164" s="11">
        <f t="shared" si="185"/>
        <v>0</v>
      </c>
      <c r="GQ164" s="11">
        <f t="shared" si="185"/>
        <v>0</v>
      </c>
      <c r="GR164" s="11">
        <f t="shared" si="185"/>
        <v>0</v>
      </c>
      <c r="GS164" s="11">
        <f t="shared" si="185"/>
        <v>0</v>
      </c>
      <c r="GT164" s="11">
        <f t="shared" si="185"/>
        <v>0</v>
      </c>
      <c r="GU164" s="11">
        <f t="shared" si="185"/>
        <v>0</v>
      </c>
      <c r="GV164" s="11">
        <f t="shared" si="185"/>
        <v>0</v>
      </c>
      <c r="GW164" s="11">
        <f t="shared" si="185"/>
        <v>0</v>
      </c>
      <c r="GX164" s="11">
        <f t="shared" si="185"/>
        <v>0</v>
      </c>
      <c r="GY164" s="11">
        <f t="shared" si="185"/>
        <v>0</v>
      </c>
      <c r="GZ164" s="11">
        <f t="shared" si="185"/>
        <v>0</v>
      </c>
      <c r="HA164" s="11">
        <f t="shared" si="185"/>
        <v>0</v>
      </c>
      <c r="HB164" s="11">
        <f t="shared" si="185"/>
        <v>0</v>
      </c>
      <c r="HC164" s="11">
        <f t="shared" si="185"/>
        <v>0</v>
      </c>
      <c r="HD164" s="11">
        <f t="shared" si="185"/>
        <v>0</v>
      </c>
      <c r="HE164" s="11">
        <f t="shared" si="185"/>
        <v>0</v>
      </c>
      <c r="HF164" s="11">
        <f t="shared" si="185"/>
        <v>0</v>
      </c>
      <c r="HG164" s="11">
        <f t="shared" si="185"/>
        <v>0</v>
      </c>
      <c r="HH164" s="11">
        <f t="shared" si="185"/>
        <v>0</v>
      </c>
      <c r="HI164" s="11">
        <f t="shared" si="185"/>
        <v>0</v>
      </c>
      <c r="HJ164" s="11">
        <f t="shared" si="185"/>
        <v>0</v>
      </c>
      <c r="HK164" s="11">
        <f t="shared" si="185"/>
        <v>0</v>
      </c>
      <c r="HL164" s="11">
        <f t="shared" si="185"/>
        <v>0</v>
      </c>
      <c r="HM164" s="11">
        <f t="shared" si="185"/>
        <v>0</v>
      </c>
      <c r="HN164" s="11">
        <f t="shared" si="185"/>
        <v>0</v>
      </c>
      <c r="HO164" s="11">
        <f t="shared" si="185"/>
        <v>0</v>
      </c>
      <c r="HP164" s="11">
        <f t="shared" si="185"/>
        <v>0</v>
      </c>
      <c r="HQ164" s="11">
        <f t="shared" si="185"/>
        <v>0</v>
      </c>
      <c r="HR164" s="11">
        <f t="shared" si="185"/>
        <v>0</v>
      </c>
      <c r="HS164" s="11">
        <f t="shared" si="185"/>
        <v>0</v>
      </c>
      <c r="HT164" s="11">
        <f t="shared" si="185"/>
        <v>0</v>
      </c>
      <c r="HU164" s="11">
        <f t="shared" si="185"/>
        <v>0</v>
      </c>
      <c r="HV164" s="11">
        <f t="shared" si="185"/>
        <v>0</v>
      </c>
      <c r="HW164" s="11">
        <f t="shared" si="185"/>
        <v>0</v>
      </c>
      <c r="HX164" s="11">
        <f t="shared" si="185"/>
        <v>0</v>
      </c>
      <c r="HY164" s="11">
        <f t="shared" si="185"/>
        <v>0</v>
      </c>
      <c r="HZ164" s="11">
        <f t="shared" si="185"/>
        <v>0</v>
      </c>
      <c r="IA164" s="11">
        <f t="shared" si="185"/>
        <v>0</v>
      </c>
      <c r="IB164" s="11">
        <f t="shared" si="185"/>
        <v>0</v>
      </c>
      <c r="IC164" s="11">
        <f t="shared" si="185"/>
        <v>0</v>
      </c>
      <c r="ID164" s="11">
        <f t="shared" si="185"/>
        <v>0</v>
      </c>
      <c r="IE164" s="11">
        <f t="shared" si="185"/>
        <v>0</v>
      </c>
      <c r="IF164" s="11">
        <f t="shared" si="185"/>
        <v>0</v>
      </c>
      <c r="IG164" s="11">
        <f t="shared" si="185"/>
        <v>0</v>
      </c>
      <c r="IH164" s="11">
        <f t="shared" si="185"/>
        <v>0</v>
      </c>
      <c r="II164" s="11">
        <f t="shared" si="185"/>
        <v>0</v>
      </c>
      <c r="IJ164" s="11">
        <f t="shared" si="185"/>
        <v>0</v>
      </c>
      <c r="IK164" s="11">
        <f t="shared" si="185"/>
        <v>0</v>
      </c>
      <c r="IL164" s="11">
        <f t="shared" si="185"/>
        <v>0</v>
      </c>
      <c r="IM164" s="11">
        <f t="shared" si="185"/>
        <v>0</v>
      </c>
      <c r="IN164" s="11">
        <f t="shared" si="185"/>
        <v>0</v>
      </c>
      <c r="IO164" s="11">
        <f t="shared" si="185"/>
        <v>0</v>
      </c>
      <c r="IP164" s="11">
        <f t="shared" si="185"/>
        <v>0</v>
      </c>
      <c r="IQ164" s="11">
        <f t="shared" si="185"/>
        <v>0</v>
      </c>
      <c r="IR164" s="11">
        <f t="shared" si="185"/>
        <v>0</v>
      </c>
      <c r="IS164" s="11">
        <f t="shared" si="185"/>
        <v>0</v>
      </c>
      <c r="IT164" s="11">
        <f t="shared" si="185"/>
        <v>0</v>
      </c>
      <c r="IU164" s="11">
        <f t="shared" si="185"/>
        <v>0</v>
      </c>
      <c r="IV164" s="11">
        <f t="shared" si="185"/>
        <v>0</v>
      </c>
      <c r="IW164" s="11">
        <f t="shared" si="185"/>
        <v>0</v>
      </c>
      <c r="IX164" s="11">
        <f t="shared" si="185"/>
        <v>0</v>
      </c>
      <c r="IY164" s="11">
        <f t="shared" si="185"/>
        <v>0</v>
      </c>
      <c r="IZ164" s="11">
        <f t="shared" si="185"/>
        <v>0</v>
      </c>
      <c r="JA164" s="11">
        <f t="shared" ref="JA164:LL164" si="186">JA156-JA163</f>
        <v>0</v>
      </c>
      <c r="JB164" s="11">
        <f t="shared" si="186"/>
        <v>0</v>
      </c>
      <c r="JC164" s="11">
        <f t="shared" si="186"/>
        <v>0</v>
      </c>
      <c r="JD164" s="11">
        <f t="shared" si="186"/>
        <v>0</v>
      </c>
      <c r="JE164" s="11">
        <f t="shared" si="186"/>
        <v>0</v>
      </c>
      <c r="JF164" s="11">
        <f t="shared" si="186"/>
        <v>0</v>
      </c>
      <c r="JG164" s="11">
        <f t="shared" si="186"/>
        <v>0</v>
      </c>
      <c r="JH164" s="11">
        <f t="shared" si="186"/>
        <v>0</v>
      </c>
      <c r="JI164" s="11">
        <f t="shared" si="186"/>
        <v>0</v>
      </c>
      <c r="JJ164" s="11">
        <f t="shared" si="186"/>
        <v>0</v>
      </c>
      <c r="JK164" s="11">
        <f t="shared" si="186"/>
        <v>0</v>
      </c>
      <c r="JL164" s="11">
        <f t="shared" si="186"/>
        <v>0</v>
      </c>
      <c r="JM164" s="11">
        <f t="shared" si="186"/>
        <v>0</v>
      </c>
      <c r="JN164" s="11">
        <f t="shared" si="186"/>
        <v>0</v>
      </c>
      <c r="JO164" s="11">
        <f t="shared" si="186"/>
        <v>0</v>
      </c>
      <c r="JP164" s="11">
        <f t="shared" si="186"/>
        <v>0</v>
      </c>
      <c r="JQ164" s="11">
        <f t="shared" si="186"/>
        <v>0</v>
      </c>
      <c r="JR164" s="11">
        <f t="shared" si="186"/>
        <v>0</v>
      </c>
      <c r="JS164" s="11">
        <f t="shared" si="186"/>
        <v>0</v>
      </c>
      <c r="JT164" s="11">
        <f t="shared" si="186"/>
        <v>0</v>
      </c>
      <c r="JU164" s="11">
        <f t="shared" si="186"/>
        <v>0</v>
      </c>
      <c r="JV164" s="11">
        <f t="shared" si="186"/>
        <v>0</v>
      </c>
      <c r="JW164" s="11">
        <f t="shared" si="186"/>
        <v>0</v>
      </c>
      <c r="JX164" s="11">
        <f t="shared" si="186"/>
        <v>0</v>
      </c>
      <c r="JY164" s="11">
        <f t="shared" si="186"/>
        <v>0</v>
      </c>
      <c r="JZ164" s="11">
        <f t="shared" si="186"/>
        <v>0</v>
      </c>
      <c r="KA164" s="11">
        <f t="shared" si="186"/>
        <v>0</v>
      </c>
      <c r="KB164" s="11">
        <f t="shared" si="186"/>
        <v>0</v>
      </c>
      <c r="KC164" s="11">
        <f t="shared" si="186"/>
        <v>0</v>
      </c>
      <c r="KD164" s="11">
        <f t="shared" si="186"/>
        <v>0</v>
      </c>
      <c r="KE164" s="11">
        <f t="shared" si="186"/>
        <v>0</v>
      </c>
      <c r="KF164" s="11">
        <f t="shared" si="186"/>
        <v>0</v>
      </c>
      <c r="KG164" s="11">
        <f t="shared" si="186"/>
        <v>0</v>
      </c>
      <c r="KH164" s="11">
        <f t="shared" si="186"/>
        <v>0</v>
      </c>
      <c r="KI164" s="11">
        <f t="shared" si="186"/>
        <v>0</v>
      </c>
      <c r="KJ164" s="11">
        <f t="shared" si="186"/>
        <v>0</v>
      </c>
      <c r="KK164" s="11">
        <f t="shared" si="186"/>
        <v>0</v>
      </c>
      <c r="KL164" s="11">
        <f t="shared" si="186"/>
        <v>0</v>
      </c>
      <c r="KM164" s="11">
        <f t="shared" si="186"/>
        <v>0</v>
      </c>
      <c r="KN164" s="11">
        <f t="shared" si="186"/>
        <v>0</v>
      </c>
      <c r="KO164" s="11">
        <f t="shared" si="186"/>
        <v>0</v>
      </c>
      <c r="KP164" s="11">
        <f t="shared" si="186"/>
        <v>0</v>
      </c>
      <c r="KQ164" s="11">
        <f t="shared" si="186"/>
        <v>0</v>
      </c>
      <c r="KR164" s="11">
        <f t="shared" si="186"/>
        <v>0</v>
      </c>
      <c r="KS164" s="11">
        <f t="shared" si="186"/>
        <v>0</v>
      </c>
      <c r="KT164" s="11">
        <f t="shared" si="186"/>
        <v>0</v>
      </c>
      <c r="KU164" s="11">
        <f t="shared" si="186"/>
        <v>0</v>
      </c>
      <c r="KV164" s="11">
        <f t="shared" si="186"/>
        <v>0</v>
      </c>
      <c r="KW164" s="11">
        <f t="shared" si="186"/>
        <v>0</v>
      </c>
      <c r="KX164" s="11">
        <f t="shared" si="186"/>
        <v>0</v>
      </c>
      <c r="KY164" s="11">
        <f t="shared" si="186"/>
        <v>0</v>
      </c>
      <c r="KZ164" s="11">
        <f t="shared" si="186"/>
        <v>0</v>
      </c>
      <c r="LA164" s="11">
        <f t="shared" si="186"/>
        <v>0</v>
      </c>
      <c r="LB164" s="11">
        <f t="shared" si="186"/>
        <v>0</v>
      </c>
      <c r="LC164" s="11">
        <f t="shared" si="186"/>
        <v>0</v>
      </c>
      <c r="LD164" s="11">
        <f t="shared" si="186"/>
        <v>0</v>
      </c>
      <c r="LE164" s="11">
        <f t="shared" si="186"/>
        <v>0</v>
      </c>
      <c r="LF164" s="11">
        <f t="shared" si="186"/>
        <v>0</v>
      </c>
      <c r="LG164" s="11">
        <f t="shared" si="186"/>
        <v>0</v>
      </c>
      <c r="LH164" s="11">
        <f t="shared" si="186"/>
        <v>0</v>
      </c>
      <c r="LI164" s="11">
        <f t="shared" si="186"/>
        <v>0</v>
      </c>
      <c r="LJ164" s="11">
        <f t="shared" si="186"/>
        <v>0</v>
      </c>
      <c r="LK164" s="11">
        <f t="shared" si="186"/>
        <v>0</v>
      </c>
      <c r="LL164" s="11">
        <f t="shared" si="186"/>
        <v>0</v>
      </c>
      <c r="LM164" s="11">
        <f t="shared" ref="LM164:NX164" si="187">LM156-LM163</f>
        <v>0</v>
      </c>
      <c r="LN164" s="11">
        <f t="shared" si="187"/>
        <v>0</v>
      </c>
      <c r="LO164" s="11">
        <f t="shared" si="187"/>
        <v>0</v>
      </c>
      <c r="LP164" s="11">
        <f t="shared" si="187"/>
        <v>0</v>
      </c>
      <c r="LQ164" s="11">
        <f t="shared" si="187"/>
        <v>0</v>
      </c>
      <c r="LR164" s="11">
        <f t="shared" si="187"/>
        <v>0</v>
      </c>
      <c r="LS164" s="11">
        <f t="shared" si="187"/>
        <v>0</v>
      </c>
      <c r="LT164" s="11">
        <f t="shared" si="187"/>
        <v>0</v>
      </c>
      <c r="LU164" s="11">
        <f t="shared" si="187"/>
        <v>0</v>
      </c>
      <c r="LV164" s="11">
        <f t="shared" si="187"/>
        <v>0</v>
      </c>
      <c r="LW164" s="11">
        <f t="shared" si="187"/>
        <v>0</v>
      </c>
      <c r="LX164" s="11">
        <f t="shared" si="187"/>
        <v>0</v>
      </c>
      <c r="LY164" s="11">
        <f t="shared" si="187"/>
        <v>0</v>
      </c>
      <c r="LZ164" s="11">
        <f t="shared" si="187"/>
        <v>0</v>
      </c>
      <c r="MA164" s="11">
        <f t="shared" si="187"/>
        <v>0</v>
      </c>
      <c r="MB164" s="11">
        <f t="shared" si="187"/>
        <v>0</v>
      </c>
      <c r="MC164" s="11">
        <f t="shared" si="187"/>
        <v>0</v>
      </c>
      <c r="MD164" s="11">
        <f t="shared" si="187"/>
        <v>0</v>
      </c>
      <c r="ME164" s="11">
        <f t="shared" si="187"/>
        <v>0</v>
      </c>
      <c r="MF164" s="11">
        <f t="shared" si="187"/>
        <v>0</v>
      </c>
      <c r="MG164" s="11">
        <f t="shared" si="187"/>
        <v>0</v>
      </c>
      <c r="MH164" s="11">
        <f t="shared" si="187"/>
        <v>0</v>
      </c>
      <c r="MI164" s="11">
        <f t="shared" si="187"/>
        <v>0</v>
      </c>
      <c r="MJ164" s="11">
        <f t="shared" si="187"/>
        <v>0</v>
      </c>
      <c r="MK164" s="11">
        <f t="shared" si="187"/>
        <v>0</v>
      </c>
      <c r="ML164" s="11">
        <f t="shared" si="187"/>
        <v>0</v>
      </c>
      <c r="MM164" s="11">
        <f t="shared" si="187"/>
        <v>0</v>
      </c>
      <c r="MN164" s="11">
        <f t="shared" si="187"/>
        <v>0</v>
      </c>
      <c r="MO164" s="11">
        <f t="shared" si="187"/>
        <v>0</v>
      </c>
      <c r="MP164" s="11">
        <f t="shared" si="187"/>
        <v>0</v>
      </c>
      <c r="MQ164" s="11">
        <f t="shared" si="187"/>
        <v>0</v>
      </c>
      <c r="MR164" s="11">
        <f t="shared" si="187"/>
        <v>0</v>
      </c>
      <c r="MS164" s="11">
        <f t="shared" si="187"/>
        <v>0</v>
      </c>
      <c r="MT164" s="11">
        <f t="shared" si="187"/>
        <v>0</v>
      </c>
      <c r="MU164" s="11">
        <f t="shared" si="187"/>
        <v>0</v>
      </c>
      <c r="MV164" s="11">
        <f t="shared" si="187"/>
        <v>0</v>
      </c>
      <c r="MW164" s="11">
        <f t="shared" si="187"/>
        <v>0</v>
      </c>
      <c r="MX164" s="11">
        <f t="shared" si="187"/>
        <v>0</v>
      </c>
      <c r="MY164" s="11">
        <f t="shared" si="187"/>
        <v>0</v>
      </c>
      <c r="MZ164" s="11">
        <f t="shared" si="187"/>
        <v>0</v>
      </c>
      <c r="NA164" s="11">
        <f t="shared" si="187"/>
        <v>0</v>
      </c>
      <c r="NB164" s="11">
        <f t="shared" si="187"/>
        <v>0</v>
      </c>
      <c r="NC164" s="11">
        <f t="shared" si="187"/>
        <v>0</v>
      </c>
      <c r="ND164" s="11">
        <f t="shared" si="187"/>
        <v>0</v>
      </c>
      <c r="NE164" s="11">
        <f t="shared" si="187"/>
        <v>0</v>
      </c>
      <c r="NF164" s="11">
        <f t="shared" si="187"/>
        <v>0</v>
      </c>
      <c r="NG164" s="11">
        <f t="shared" si="187"/>
        <v>0</v>
      </c>
      <c r="NH164" s="11">
        <f t="shared" si="187"/>
        <v>0</v>
      </c>
      <c r="NI164" s="11">
        <f t="shared" si="187"/>
        <v>0</v>
      </c>
      <c r="NJ164" s="11">
        <f t="shared" si="187"/>
        <v>0</v>
      </c>
      <c r="NK164" s="11">
        <f t="shared" si="187"/>
        <v>0</v>
      </c>
      <c r="NL164" s="11">
        <f t="shared" si="187"/>
        <v>0</v>
      </c>
      <c r="NM164" s="11">
        <f t="shared" si="187"/>
        <v>0</v>
      </c>
      <c r="NN164" s="11">
        <f t="shared" si="187"/>
        <v>0</v>
      </c>
      <c r="NO164" s="11">
        <f t="shared" si="187"/>
        <v>0</v>
      </c>
      <c r="NP164" s="11">
        <f t="shared" si="187"/>
        <v>0</v>
      </c>
      <c r="NQ164" s="11">
        <f t="shared" si="187"/>
        <v>0</v>
      </c>
      <c r="NR164" s="11">
        <f t="shared" si="187"/>
        <v>0</v>
      </c>
      <c r="NS164" s="11">
        <f t="shared" si="187"/>
        <v>0</v>
      </c>
      <c r="NT164" s="11">
        <f t="shared" si="187"/>
        <v>0</v>
      </c>
      <c r="NU164" s="11">
        <f t="shared" si="187"/>
        <v>0</v>
      </c>
      <c r="NV164" s="11">
        <f t="shared" si="187"/>
        <v>0</v>
      </c>
      <c r="NW164" s="11">
        <f t="shared" si="187"/>
        <v>0</v>
      </c>
      <c r="NX164" s="11">
        <f t="shared" si="187"/>
        <v>0</v>
      </c>
      <c r="NY164" s="11">
        <f t="shared" ref="NY164:QJ164" si="188">NY156-NY163</f>
        <v>0</v>
      </c>
      <c r="NZ164" s="11">
        <f t="shared" si="188"/>
        <v>0</v>
      </c>
      <c r="OA164" s="11">
        <f t="shared" si="188"/>
        <v>0</v>
      </c>
      <c r="OB164" s="11">
        <f t="shared" si="188"/>
        <v>0</v>
      </c>
      <c r="OC164" s="11">
        <f t="shared" si="188"/>
        <v>0</v>
      </c>
      <c r="OD164" s="11">
        <f t="shared" si="188"/>
        <v>0</v>
      </c>
      <c r="OE164" s="11">
        <f t="shared" si="188"/>
        <v>0</v>
      </c>
      <c r="OF164" s="11">
        <f t="shared" si="188"/>
        <v>0</v>
      </c>
      <c r="OG164" s="11">
        <f t="shared" si="188"/>
        <v>0</v>
      </c>
      <c r="OH164" s="11">
        <f t="shared" si="188"/>
        <v>0</v>
      </c>
      <c r="OI164" s="11">
        <f t="shared" si="188"/>
        <v>0</v>
      </c>
      <c r="OJ164" s="11">
        <f t="shared" si="188"/>
        <v>0</v>
      </c>
      <c r="OK164" s="11">
        <f t="shared" si="188"/>
        <v>0</v>
      </c>
      <c r="OL164" s="11">
        <f t="shared" si="188"/>
        <v>0</v>
      </c>
      <c r="OM164" s="11">
        <f t="shared" si="188"/>
        <v>0</v>
      </c>
      <c r="ON164" s="11">
        <f t="shared" si="188"/>
        <v>0</v>
      </c>
      <c r="OO164" s="11">
        <f t="shared" si="188"/>
        <v>0</v>
      </c>
      <c r="OP164" s="11">
        <f t="shared" si="188"/>
        <v>0</v>
      </c>
      <c r="OQ164" s="11">
        <f t="shared" si="188"/>
        <v>0</v>
      </c>
      <c r="OR164" s="11">
        <f t="shared" si="188"/>
        <v>0</v>
      </c>
      <c r="OS164" s="11">
        <f t="shared" si="188"/>
        <v>0</v>
      </c>
      <c r="OT164" s="11">
        <f t="shared" si="188"/>
        <v>0</v>
      </c>
      <c r="OU164" s="11">
        <f t="shared" si="188"/>
        <v>0</v>
      </c>
      <c r="OV164" s="11">
        <f t="shared" si="188"/>
        <v>0</v>
      </c>
      <c r="OW164" s="11">
        <f t="shared" si="188"/>
        <v>0</v>
      </c>
      <c r="OX164" s="11">
        <f t="shared" si="188"/>
        <v>0</v>
      </c>
      <c r="OY164" s="11">
        <f t="shared" si="188"/>
        <v>0</v>
      </c>
      <c r="OZ164" s="11">
        <f t="shared" si="188"/>
        <v>0</v>
      </c>
      <c r="PA164" s="11">
        <f t="shared" si="188"/>
        <v>0</v>
      </c>
      <c r="PB164" s="11">
        <f t="shared" si="188"/>
        <v>0</v>
      </c>
      <c r="PC164" s="11">
        <f t="shared" si="188"/>
        <v>0</v>
      </c>
      <c r="PD164" s="11">
        <f t="shared" si="188"/>
        <v>0</v>
      </c>
      <c r="PE164" s="11">
        <f t="shared" si="188"/>
        <v>0</v>
      </c>
      <c r="PF164" s="11">
        <f t="shared" si="188"/>
        <v>0</v>
      </c>
      <c r="PG164" s="11">
        <f t="shared" si="188"/>
        <v>0</v>
      </c>
      <c r="PH164" s="11">
        <f t="shared" si="188"/>
        <v>0</v>
      </c>
      <c r="PI164" s="11">
        <f t="shared" si="188"/>
        <v>0</v>
      </c>
      <c r="PJ164" s="11">
        <f t="shared" si="188"/>
        <v>0</v>
      </c>
      <c r="PK164" s="11">
        <f t="shared" si="188"/>
        <v>0</v>
      </c>
      <c r="PL164" s="11">
        <f t="shared" si="188"/>
        <v>0</v>
      </c>
      <c r="PM164" s="11">
        <f t="shared" si="188"/>
        <v>0</v>
      </c>
      <c r="PN164" s="11">
        <f t="shared" si="188"/>
        <v>0</v>
      </c>
      <c r="PO164" s="11">
        <f t="shared" si="188"/>
        <v>0</v>
      </c>
      <c r="PP164" s="11">
        <f t="shared" si="188"/>
        <v>0</v>
      </c>
      <c r="PQ164" s="11">
        <f t="shared" si="188"/>
        <v>0</v>
      </c>
      <c r="PR164" s="11">
        <f t="shared" si="188"/>
        <v>0</v>
      </c>
      <c r="PS164" s="11">
        <f t="shared" si="188"/>
        <v>0</v>
      </c>
      <c r="PT164" s="11">
        <f t="shared" si="188"/>
        <v>0</v>
      </c>
      <c r="PU164" s="11">
        <f t="shared" si="188"/>
        <v>0</v>
      </c>
      <c r="PV164" s="11">
        <f t="shared" si="188"/>
        <v>0</v>
      </c>
      <c r="PW164" s="11">
        <f t="shared" si="188"/>
        <v>0</v>
      </c>
      <c r="PX164" s="11">
        <f t="shared" si="188"/>
        <v>0</v>
      </c>
      <c r="PY164" s="11">
        <f t="shared" si="188"/>
        <v>0</v>
      </c>
      <c r="PZ164" s="11">
        <f t="shared" si="188"/>
        <v>0</v>
      </c>
      <c r="QA164" s="11">
        <f t="shared" si="188"/>
        <v>0</v>
      </c>
      <c r="QB164" s="11">
        <f t="shared" si="188"/>
        <v>0</v>
      </c>
      <c r="QC164" s="11">
        <f t="shared" si="188"/>
        <v>0</v>
      </c>
      <c r="QD164" s="11">
        <f t="shared" si="188"/>
        <v>0</v>
      </c>
      <c r="QE164" s="11">
        <f t="shared" si="188"/>
        <v>0</v>
      </c>
      <c r="QF164" s="11">
        <f t="shared" si="188"/>
        <v>0</v>
      </c>
      <c r="QG164" s="11">
        <f t="shared" si="188"/>
        <v>0</v>
      </c>
      <c r="QH164" s="11">
        <f t="shared" si="188"/>
        <v>0</v>
      </c>
      <c r="QI164" s="11">
        <f t="shared" si="188"/>
        <v>0</v>
      </c>
      <c r="QJ164" s="11">
        <f t="shared" si="188"/>
        <v>0</v>
      </c>
      <c r="QK164" s="11">
        <f t="shared" ref="QK164:SV164" si="189">QK156-QK163</f>
        <v>0</v>
      </c>
      <c r="QL164" s="11">
        <f t="shared" si="189"/>
        <v>0</v>
      </c>
      <c r="QM164" s="11">
        <f t="shared" si="189"/>
        <v>0</v>
      </c>
      <c r="QN164" s="11">
        <f t="shared" si="189"/>
        <v>0</v>
      </c>
      <c r="QO164" s="11">
        <f t="shared" si="189"/>
        <v>0</v>
      </c>
      <c r="QP164" s="11">
        <f t="shared" si="189"/>
        <v>0</v>
      </c>
      <c r="QQ164" s="11">
        <f t="shared" si="189"/>
        <v>0</v>
      </c>
      <c r="QR164" s="11">
        <f t="shared" si="189"/>
        <v>0</v>
      </c>
      <c r="QS164" s="11">
        <f t="shared" si="189"/>
        <v>0</v>
      </c>
      <c r="QT164" s="11">
        <f t="shared" si="189"/>
        <v>0</v>
      </c>
      <c r="QU164" s="11">
        <f t="shared" si="189"/>
        <v>0</v>
      </c>
      <c r="QV164" s="11">
        <f t="shared" si="189"/>
        <v>0</v>
      </c>
      <c r="QW164" s="11">
        <f t="shared" si="189"/>
        <v>0</v>
      </c>
      <c r="QX164" s="11">
        <f t="shared" si="189"/>
        <v>0</v>
      </c>
      <c r="QY164" s="11">
        <f t="shared" si="189"/>
        <v>0</v>
      </c>
      <c r="QZ164" s="11">
        <f t="shared" si="189"/>
        <v>0</v>
      </c>
      <c r="RA164" s="11">
        <f t="shared" si="189"/>
        <v>0</v>
      </c>
      <c r="RB164" s="11">
        <f t="shared" si="189"/>
        <v>0</v>
      </c>
      <c r="RC164" s="11">
        <f t="shared" si="189"/>
        <v>0</v>
      </c>
      <c r="RD164" s="11">
        <f t="shared" si="189"/>
        <v>0</v>
      </c>
      <c r="RE164" s="11">
        <f t="shared" si="189"/>
        <v>0</v>
      </c>
      <c r="RF164" s="11">
        <f t="shared" si="189"/>
        <v>0</v>
      </c>
      <c r="RG164" s="11">
        <f t="shared" si="189"/>
        <v>0</v>
      </c>
      <c r="RH164" s="11">
        <f t="shared" si="189"/>
        <v>0</v>
      </c>
      <c r="RI164" s="11">
        <f t="shared" si="189"/>
        <v>0</v>
      </c>
      <c r="RJ164" s="11">
        <f t="shared" si="189"/>
        <v>0</v>
      </c>
      <c r="RK164" s="11">
        <f t="shared" si="189"/>
        <v>0</v>
      </c>
      <c r="RL164" s="11">
        <f t="shared" si="189"/>
        <v>0</v>
      </c>
      <c r="RM164" s="11">
        <f t="shared" si="189"/>
        <v>0</v>
      </c>
      <c r="RN164" s="11">
        <f t="shared" si="189"/>
        <v>0</v>
      </c>
      <c r="RO164" s="11">
        <f t="shared" si="189"/>
        <v>0</v>
      </c>
      <c r="RP164" s="11">
        <f t="shared" si="189"/>
        <v>0</v>
      </c>
      <c r="RQ164" s="11">
        <f t="shared" si="189"/>
        <v>0</v>
      </c>
      <c r="RR164" s="11">
        <f t="shared" si="189"/>
        <v>0</v>
      </c>
      <c r="RS164" s="11">
        <f t="shared" si="189"/>
        <v>0</v>
      </c>
      <c r="RT164" s="11">
        <f t="shared" si="189"/>
        <v>0</v>
      </c>
      <c r="RU164" s="11">
        <f t="shared" si="189"/>
        <v>0</v>
      </c>
      <c r="RV164" s="11">
        <f t="shared" si="189"/>
        <v>0</v>
      </c>
      <c r="RW164" s="11">
        <f t="shared" si="189"/>
        <v>0</v>
      </c>
      <c r="RX164" s="11">
        <f t="shared" si="189"/>
        <v>0</v>
      </c>
      <c r="RY164" s="11">
        <f t="shared" si="189"/>
        <v>0</v>
      </c>
      <c r="RZ164" s="11">
        <f t="shared" si="189"/>
        <v>0</v>
      </c>
      <c r="SA164" s="11">
        <f t="shared" si="189"/>
        <v>0</v>
      </c>
      <c r="SB164" s="11">
        <f t="shared" si="189"/>
        <v>0</v>
      </c>
      <c r="SC164" s="11">
        <f t="shared" si="189"/>
        <v>0</v>
      </c>
      <c r="SD164" s="11">
        <f t="shared" si="189"/>
        <v>0</v>
      </c>
      <c r="SE164" s="11">
        <f t="shared" si="189"/>
        <v>0</v>
      </c>
      <c r="SF164" s="11">
        <f t="shared" si="189"/>
        <v>0</v>
      </c>
      <c r="SG164" s="11">
        <f t="shared" si="189"/>
        <v>0</v>
      </c>
      <c r="SH164" s="11">
        <f t="shared" si="189"/>
        <v>0</v>
      </c>
      <c r="SI164" s="11">
        <f t="shared" si="189"/>
        <v>0</v>
      </c>
      <c r="SJ164" s="11">
        <f t="shared" si="189"/>
        <v>0</v>
      </c>
      <c r="SK164" s="11">
        <f t="shared" si="189"/>
        <v>0</v>
      </c>
      <c r="SL164" s="11">
        <f t="shared" si="189"/>
        <v>0</v>
      </c>
      <c r="SM164" s="11">
        <f t="shared" si="189"/>
        <v>0</v>
      </c>
      <c r="SN164" s="11">
        <f t="shared" si="189"/>
        <v>0</v>
      </c>
      <c r="SO164" s="11">
        <f t="shared" si="189"/>
        <v>0</v>
      </c>
      <c r="SP164" s="11">
        <f t="shared" si="189"/>
        <v>0</v>
      </c>
      <c r="SQ164" s="11">
        <f t="shared" si="189"/>
        <v>0</v>
      </c>
      <c r="SR164" s="11">
        <f t="shared" si="189"/>
        <v>0</v>
      </c>
      <c r="SS164" s="11">
        <f t="shared" si="189"/>
        <v>0</v>
      </c>
      <c r="ST164" s="11">
        <f t="shared" si="189"/>
        <v>0</v>
      </c>
      <c r="SU164" s="11">
        <f t="shared" si="189"/>
        <v>0</v>
      </c>
      <c r="SV164" s="11">
        <f t="shared" si="189"/>
        <v>0</v>
      </c>
      <c r="SW164" s="11">
        <f t="shared" ref="SW164:VH164" si="190">SW156-SW163</f>
        <v>0</v>
      </c>
      <c r="SX164" s="11">
        <f t="shared" si="190"/>
        <v>0</v>
      </c>
      <c r="SY164" s="11">
        <f t="shared" si="190"/>
        <v>0</v>
      </c>
      <c r="SZ164" s="11">
        <f t="shared" si="190"/>
        <v>0</v>
      </c>
      <c r="TA164" s="11">
        <f t="shared" si="190"/>
        <v>0</v>
      </c>
      <c r="TB164" s="11">
        <f t="shared" si="190"/>
        <v>0</v>
      </c>
      <c r="TC164" s="11">
        <f t="shared" si="190"/>
        <v>0</v>
      </c>
      <c r="TD164" s="11">
        <f t="shared" si="190"/>
        <v>0</v>
      </c>
      <c r="TE164" s="11">
        <f t="shared" si="190"/>
        <v>0</v>
      </c>
      <c r="TF164" s="11">
        <f t="shared" si="190"/>
        <v>0</v>
      </c>
      <c r="TG164" s="11">
        <f t="shared" si="190"/>
        <v>0</v>
      </c>
      <c r="TH164" s="11">
        <f t="shared" si="190"/>
        <v>0</v>
      </c>
      <c r="TI164" s="11">
        <f t="shared" si="190"/>
        <v>0</v>
      </c>
      <c r="TJ164" s="11">
        <f t="shared" si="190"/>
        <v>0</v>
      </c>
      <c r="TK164" s="11">
        <f t="shared" si="190"/>
        <v>0</v>
      </c>
      <c r="TL164" s="11">
        <f t="shared" si="190"/>
        <v>0</v>
      </c>
      <c r="TM164" s="11">
        <f t="shared" si="190"/>
        <v>0</v>
      </c>
      <c r="TN164" s="11">
        <f t="shared" si="190"/>
        <v>0</v>
      </c>
      <c r="TO164" s="11">
        <f t="shared" si="190"/>
        <v>0</v>
      </c>
      <c r="TP164" s="11">
        <f t="shared" si="190"/>
        <v>0</v>
      </c>
      <c r="TQ164" s="11">
        <f t="shared" si="190"/>
        <v>0</v>
      </c>
      <c r="TR164" s="11">
        <f t="shared" si="190"/>
        <v>0</v>
      </c>
      <c r="TS164" s="11">
        <f t="shared" si="190"/>
        <v>0</v>
      </c>
      <c r="TT164" s="11">
        <f t="shared" si="190"/>
        <v>0</v>
      </c>
      <c r="TU164" s="11">
        <f t="shared" si="190"/>
        <v>0</v>
      </c>
      <c r="TV164" s="11">
        <f t="shared" si="190"/>
        <v>0</v>
      </c>
      <c r="TW164" s="11">
        <f t="shared" si="190"/>
        <v>0</v>
      </c>
      <c r="TX164" s="11">
        <f t="shared" si="190"/>
        <v>0</v>
      </c>
      <c r="TY164" s="11">
        <f t="shared" si="190"/>
        <v>0</v>
      </c>
      <c r="TZ164" s="11">
        <f t="shared" si="190"/>
        <v>0</v>
      </c>
      <c r="UA164" s="11">
        <f t="shared" si="190"/>
        <v>0</v>
      </c>
      <c r="UB164" s="11">
        <f t="shared" si="190"/>
        <v>0</v>
      </c>
      <c r="UC164" s="11">
        <f t="shared" si="190"/>
        <v>0</v>
      </c>
      <c r="UD164" s="11">
        <f t="shared" si="190"/>
        <v>0</v>
      </c>
      <c r="UE164" s="11">
        <f t="shared" si="190"/>
        <v>0</v>
      </c>
      <c r="UF164" s="11">
        <f t="shared" si="190"/>
        <v>0</v>
      </c>
      <c r="UG164" s="11">
        <f t="shared" si="190"/>
        <v>0</v>
      </c>
      <c r="UH164" s="11">
        <f t="shared" si="190"/>
        <v>0</v>
      </c>
      <c r="UI164" s="11">
        <f t="shared" si="190"/>
        <v>0</v>
      </c>
      <c r="UJ164" s="11">
        <f t="shared" si="190"/>
        <v>0</v>
      </c>
      <c r="UK164" s="11">
        <f t="shared" si="190"/>
        <v>0</v>
      </c>
      <c r="UL164" s="11">
        <f t="shared" si="190"/>
        <v>0</v>
      </c>
      <c r="UM164" s="11">
        <f t="shared" si="190"/>
        <v>0</v>
      </c>
      <c r="UN164" s="11">
        <f t="shared" si="190"/>
        <v>0</v>
      </c>
      <c r="UO164" s="11">
        <f t="shared" si="190"/>
        <v>0</v>
      </c>
      <c r="UP164" s="11">
        <f t="shared" si="190"/>
        <v>0</v>
      </c>
      <c r="UQ164" s="11">
        <f t="shared" si="190"/>
        <v>0</v>
      </c>
      <c r="UR164" s="11">
        <f t="shared" si="190"/>
        <v>0</v>
      </c>
      <c r="US164" s="11">
        <f t="shared" si="190"/>
        <v>0</v>
      </c>
      <c r="UT164" s="11">
        <f t="shared" si="190"/>
        <v>0</v>
      </c>
      <c r="UU164" s="11">
        <f t="shared" si="190"/>
        <v>0</v>
      </c>
      <c r="UV164" s="11">
        <f t="shared" si="190"/>
        <v>0</v>
      </c>
      <c r="UW164" s="11">
        <f t="shared" si="190"/>
        <v>0</v>
      </c>
      <c r="UX164" s="11">
        <f t="shared" si="190"/>
        <v>0</v>
      </c>
      <c r="UY164" s="11">
        <f t="shared" si="190"/>
        <v>0</v>
      </c>
      <c r="UZ164" s="11">
        <f t="shared" si="190"/>
        <v>0</v>
      </c>
      <c r="VA164" s="11">
        <f t="shared" si="190"/>
        <v>0</v>
      </c>
      <c r="VB164" s="11">
        <f t="shared" si="190"/>
        <v>0</v>
      </c>
      <c r="VC164" s="11">
        <f t="shared" si="190"/>
        <v>0</v>
      </c>
      <c r="VD164" s="11">
        <f t="shared" si="190"/>
        <v>0</v>
      </c>
      <c r="VE164" s="11">
        <f t="shared" si="190"/>
        <v>0</v>
      </c>
      <c r="VF164" s="11">
        <f t="shared" si="190"/>
        <v>0</v>
      </c>
      <c r="VG164" s="11">
        <f t="shared" si="190"/>
        <v>0</v>
      </c>
      <c r="VH164" s="11">
        <f t="shared" si="190"/>
        <v>0</v>
      </c>
      <c r="VI164" s="11">
        <f t="shared" ref="VI164:XT164" si="191">VI156-VI163</f>
        <v>0</v>
      </c>
      <c r="VJ164" s="11">
        <f t="shared" si="191"/>
        <v>0</v>
      </c>
      <c r="VK164" s="11">
        <f t="shared" si="191"/>
        <v>0</v>
      </c>
      <c r="VL164" s="11">
        <f t="shared" si="191"/>
        <v>0</v>
      </c>
      <c r="VM164" s="11">
        <f t="shared" si="191"/>
        <v>0</v>
      </c>
      <c r="VN164" s="11">
        <f t="shared" si="191"/>
        <v>0</v>
      </c>
      <c r="VO164" s="11">
        <f t="shared" si="191"/>
        <v>0</v>
      </c>
      <c r="VP164" s="11">
        <f t="shared" si="191"/>
        <v>0</v>
      </c>
      <c r="VQ164" s="11">
        <f t="shared" si="191"/>
        <v>0</v>
      </c>
      <c r="VR164" s="11">
        <f t="shared" si="191"/>
        <v>0</v>
      </c>
      <c r="VS164" s="11">
        <f t="shared" si="191"/>
        <v>0</v>
      </c>
      <c r="VT164" s="11">
        <f t="shared" si="191"/>
        <v>0</v>
      </c>
      <c r="VU164" s="11">
        <f t="shared" si="191"/>
        <v>0</v>
      </c>
      <c r="VV164" s="11">
        <f t="shared" si="191"/>
        <v>0</v>
      </c>
      <c r="VW164" s="11">
        <f t="shared" si="191"/>
        <v>0</v>
      </c>
      <c r="VX164" s="11">
        <f t="shared" si="191"/>
        <v>0</v>
      </c>
      <c r="VY164" s="11">
        <f t="shared" si="191"/>
        <v>0</v>
      </c>
      <c r="VZ164" s="11">
        <f t="shared" si="191"/>
        <v>0</v>
      </c>
      <c r="WA164" s="11">
        <f t="shared" si="191"/>
        <v>0</v>
      </c>
      <c r="WB164" s="11">
        <f t="shared" si="191"/>
        <v>0</v>
      </c>
      <c r="WC164" s="11">
        <f t="shared" si="191"/>
        <v>0</v>
      </c>
      <c r="WD164" s="11">
        <f t="shared" si="191"/>
        <v>0</v>
      </c>
      <c r="WE164" s="11">
        <f t="shared" si="191"/>
        <v>0</v>
      </c>
      <c r="WF164" s="11">
        <f t="shared" si="191"/>
        <v>0</v>
      </c>
      <c r="WG164" s="11">
        <f t="shared" si="191"/>
        <v>0</v>
      </c>
      <c r="WH164" s="11">
        <f t="shared" si="191"/>
        <v>0</v>
      </c>
      <c r="WI164" s="11">
        <f t="shared" si="191"/>
        <v>0</v>
      </c>
      <c r="WJ164" s="11">
        <f t="shared" si="191"/>
        <v>0</v>
      </c>
      <c r="WK164" s="11">
        <f t="shared" si="191"/>
        <v>0</v>
      </c>
      <c r="WL164" s="11">
        <f t="shared" si="191"/>
        <v>0</v>
      </c>
      <c r="WM164" s="11">
        <f t="shared" si="191"/>
        <v>0</v>
      </c>
      <c r="WN164" s="11">
        <f t="shared" si="191"/>
        <v>0</v>
      </c>
      <c r="WO164" s="11">
        <f t="shared" si="191"/>
        <v>0</v>
      </c>
      <c r="WP164" s="11">
        <f t="shared" si="191"/>
        <v>0</v>
      </c>
      <c r="WQ164" s="11">
        <f t="shared" si="191"/>
        <v>0</v>
      </c>
      <c r="WR164" s="11">
        <f t="shared" si="191"/>
        <v>0</v>
      </c>
      <c r="WS164" s="11">
        <f t="shared" si="191"/>
        <v>0</v>
      </c>
      <c r="WT164" s="11">
        <f t="shared" si="191"/>
        <v>0</v>
      </c>
      <c r="WU164" s="11">
        <f t="shared" si="191"/>
        <v>0</v>
      </c>
      <c r="WV164" s="11">
        <f t="shared" si="191"/>
        <v>0</v>
      </c>
      <c r="WW164" s="11">
        <f t="shared" si="191"/>
        <v>0</v>
      </c>
      <c r="WX164" s="11">
        <f t="shared" si="191"/>
        <v>0</v>
      </c>
      <c r="WY164" s="11">
        <f t="shared" si="191"/>
        <v>0</v>
      </c>
      <c r="WZ164" s="11">
        <f t="shared" si="191"/>
        <v>0</v>
      </c>
      <c r="XA164" s="11">
        <f t="shared" si="191"/>
        <v>0</v>
      </c>
      <c r="XB164" s="11">
        <f t="shared" si="191"/>
        <v>0</v>
      </c>
      <c r="XC164" s="11">
        <f t="shared" si="191"/>
        <v>0</v>
      </c>
      <c r="XD164" s="11">
        <f t="shared" si="191"/>
        <v>0</v>
      </c>
      <c r="XE164" s="11">
        <f t="shared" si="191"/>
        <v>0</v>
      </c>
      <c r="XF164" s="11">
        <f t="shared" si="191"/>
        <v>0</v>
      </c>
      <c r="XG164" s="11">
        <f t="shared" si="191"/>
        <v>0</v>
      </c>
      <c r="XH164" s="11">
        <f t="shared" si="191"/>
        <v>0</v>
      </c>
      <c r="XI164" s="11">
        <f t="shared" si="191"/>
        <v>0</v>
      </c>
      <c r="XJ164" s="11">
        <f t="shared" si="191"/>
        <v>0</v>
      </c>
      <c r="XK164" s="11">
        <f t="shared" si="191"/>
        <v>0</v>
      </c>
      <c r="XL164" s="11">
        <f t="shared" si="191"/>
        <v>0</v>
      </c>
      <c r="XM164" s="11">
        <f t="shared" si="191"/>
        <v>0</v>
      </c>
      <c r="XN164" s="11">
        <f t="shared" si="191"/>
        <v>0</v>
      </c>
      <c r="XO164" s="11">
        <f t="shared" si="191"/>
        <v>0</v>
      </c>
      <c r="XP164" s="11">
        <f t="shared" si="191"/>
        <v>0</v>
      </c>
      <c r="XQ164" s="11">
        <f t="shared" si="191"/>
        <v>0</v>
      </c>
      <c r="XR164" s="11">
        <f t="shared" si="191"/>
        <v>0</v>
      </c>
      <c r="XS164" s="11">
        <f t="shared" si="191"/>
        <v>0</v>
      </c>
      <c r="XT164" s="11">
        <f t="shared" si="191"/>
        <v>0</v>
      </c>
      <c r="XU164" s="11">
        <f t="shared" ref="XU164:AAF164" si="192">XU156-XU163</f>
        <v>0</v>
      </c>
      <c r="XV164" s="11">
        <f t="shared" si="192"/>
        <v>0</v>
      </c>
      <c r="XW164" s="11">
        <f t="shared" si="192"/>
        <v>0</v>
      </c>
      <c r="XX164" s="11">
        <f t="shared" si="192"/>
        <v>0</v>
      </c>
      <c r="XY164" s="11">
        <f t="shared" si="192"/>
        <v>0</v>
      </c>
      <c r="XZ164" s="11">
        <f t="shared" si="192"/>
        <v>0</v>
      </c>
      <c r="YA164" s="11">
        <f t="shared" si="192"/>
        <v>0</v>
      </c>
      <c r="YB164" s="11">
        <f t="shared" si="192"/>
        <v>0</v>
      </c>
      <c r="YC164" s="11">
        <f t="shared" si="192"/>
        <v>0</v>
      </c>
      <c r="YD164" s="11">
        <f t="shared" si="192"/>
        <v>0</v>
      </c>
      <c r="YE164" s="11">
        <f t="shared" si="192"/>
        <v>0</v>
      </c>
      <c r="YF164" s="11">
        <f t="shared" si="192"/>
        <v>0</v>
      </c>
      <c r="YG164" s="11">
        <f t="shared" si="192"/>
        <v>0</v>
      </c>
      <c r="YH164" s="11">
        <f t="shared" si="192"/>
        <v>0</v>
      </c>
      <c r="YI164" s="11">
        <f t="shared" si="192"/>
        <v>0</v>
      </c>
      <c r="YJ164" s="11">
        <f t="shared" si="192"/>
        <v>0</v>
      </c>
      <c r="YK164" s="11">
        <f t="shared" si="192"/>
        <v>0</v>
      </c>
      <c r="YL164" s="11">
        <f t="shared" si="192"/>
        <v>0</v>
      </c>
      <c r="YM164" s="11">
        <f t="shared" si="192"/>
        <v>0</v>
      </c>
      <c r="YN164" s="11">
        <f t="shared" si="192"/>
        <v>0</v>
      </c>
      <c r="YO164" s="11">
        <f t="shared" si="192"/>
        <v>0</v>
      </c>
      <c r="YP164" s="11">
        <f t="shared" si="192"/>
        <v>0</v>
      </c>
      <c r="YQ164" s="11">
        <f t="shared" si="192"/>
        <v>0</v>
      </c>
      <c r="YR164" s="11">
        <f t="shared" si="192"/>
        <v>0</v>
      </c>
      <c r="YS164" s="11">
        <f t="shared" si="192"/>
        <v>0</v>
      </c>
      <c r="YT164" s="11">
        <f t="shared" si="192"/>
        <v>0</v>
      </c>
      <c r="YU164" s="11">
        <f t="shared" si="192"/>
        <v>0</v>
      </c>
      <c r="YV164" s="11">
        <f t="shared" si="192"/>
        <v>0</v>
      </c>
      <c r="YW164" s="11">
        <f t="shared" si="192"/>
        <v>0</v>
      </c>
      <c r="YX164" s="11">
        <f t="shared" si="192"/>
        <v>0</v>
      </c>
      <c r="YY164" s="11">
        <f t="shared" si="192"/>
        <v>0</v>
      </c>
      <c r="YZ164" s="11">
        <f t="shared" si="192"/>
        <v>0</v>
      </c>
      <c r="ZA164" s="11">
        <f t="shared" si="192"/>
        <v>0</v>
      </c>
      <c r="ZB164" s="11">
        <f t="shared" si="192"/>
        <v>0</v>
      </c>
      <c r="ZC164" s="11">
        <f t="shared" si="192"/>
        <v>0</v>
      </c>
      <c r="ZD164" s="11">
        <f t="shared" si="192"/>
        <v>0</v>
      </c>
      <c r="ZE164" s="11">
        <f t="shared" si="192"/>
        <v>0</v>
      </c>
      <c r="ZF164" s="11">
        <f t="shared" si="192"/>
        <v>0</v>
      </c>
      <c r="ZG164" s="11">
        <f t="shared" si="192"/>
        <v>0</v>
      </c>
      <c r="ZH164" s="11">
        <f t="shared" si="192"/>
        <v>0</v>
      </c>
      <c r="ZI164" s="11">
        <f t="shared" si="192"/>
        <v>0</v>
      </c>
      <c r="ZJ164" s="11">
        <f t="shared" si="192"/>
        <v>0</v>
      </c>
      <c r="ZK164" s="11">
        <f t="shared" si="192"/>
        <v>0</v>
      </c>
      <c r="ZL164" s="11">
        <f t="shared" si="192"/>
        <v>0</v>
      </c>
      <c r="ZM164" s="11">
        <f t="shared" si="192"/>
        <v>0</v>
      </c>
      <c r="ZN164" s="11">
        <f t="shared" si="192"/>
        <v>0</v>
      </c>
      <c r="ZO164" s="11">
        <f t="shared" si="192"/>
        <v>0</v>
      </c>
      <c r="ZP164" s="11">
        <f t="shared" si="192"/>
        <v>0</v>
      </c>
      <c r="ZQ164" s="11">
        <f t="shared" si="192"/>
        <v>0</v>
      </c>
      <c r="ZR164" s="11">
        <f t="shared" si="192"/>
        <v>0</v>
      </c>
      <c r="ZS164" s="11">
        <f t="shared" si="192"/>
        <v>0</v>
      </c>
      <c r="ZT164" s="11">
        <f t="shared" si="192"/>
        <v>0</v>
      </c>
      <c r="ZU164" s="11">
        <f t="shared" si="192"/>
        <v>0</v>
      </c>
      <c r="ZV164" s="11">
        <f t="shared" si="192"/>
        <v>0</v>
      </c>
      <c r="ZW164" s="11">
        <f t="shared" si="192"/>
        <v>0</v>
      </c>
      <c r="ZX164" s="11">
        <f t="shared" si="192"/>
        <v>0</v>
      </c>
      <c r="ZY164" s="11">
        <f t="shared" si="192"/>
        <v>0</v>
      </c>
      <c r="ZZ164" s="11">
        <f t="shared" si="192"/>
        <v>0</v>
      </c>
      <c r="AAA164" s="11">
        <f t="shared" si="192"/>
        <v>0</v>
      </c>
      <c r="AAB164" s="11">
        <f t="shared" si="192"/>
        <v>0</v>
      </c>
      <c r="AAC164" s="11">
        <f t="shared" si="192"/>
        <v>0</v>
      </c>
      <c r="AAD164" s="11">
        <f t="shared" si="192"/>
        <v>0</v>
      </c>
      <c r="AAE164" s="11">
        <f t="shared" si="192"/>
        <v>0</v>
      </c>
      <c r="AAF164" s="11">
        <f t="shared" si="192"/>
        <v>0</v>
      </c>
      <c r="AAG164" s="11">
        <f t="shared" ref="AAG164:ACR164" si="193">AAG156-AAG163</f>
        <v>0</v>
      </c>
      <c r="AAH164" s="11">
        <f t="shared" si="193"/>
        <v>0</v>
      </c>
      <c r="AAI164" s="11">
        <f t="shared" si="193"/>
        <v>0</v>
      </c>
      <c r="AAJ164" s="11">
        <f t="shared" si="193"/>
        <v>0</v>
      </c>
      <c r="AAK164" s="11">
        <f t="shared" si="193"/>
        <v>0</v>
      </c>
      <c r="AAL164" s="11">
        <f t="shared" si="193"/>
        <v>0</v>
      </c>
      <c r="AAM164" s="11">
        <f t="shared" si="193"/>
        <v>0</v>
      </c>
      <c r="AAN164" s="11">
        <f t="shared" si="193"/>
        <v>0</v>
      </c>
      <c r="AAO164" s="11">
        <f t="shared" si="193"/>
        <v>0</v>
      </c>
      <c r="AAP164" s="11">
        <f t="shared" si="193"/>
        <v>0</v>
      </c>
      <c r="AAQ164" s="11">
        <f t="shared" si="193"/>
        <v>0</v>
      </c>
      <c r="AAR164" s="11">
        <f t="shared" si="193"/>
        <v>0</v>
      </c>
      <c r="AAS164" s="11">
        <f t="shared" si="193"/>
        <v>0</v>
      </c>
      <c r="AAT164" s="11">
        <f t="shared" si="193"/>
        <v>0</v>
      </c>
      <c r="AAU164" s="11">
        <f t="shared" si="193"/>
        <v>0</v>
      </c>
      <c r="AAV164" s="11">
        <f t="shared" si="193"/>
        <v>0</v>
      </c>
      <c r="AAW164" s="11">
        <f t="shared" si="193"/>
        <v>0</v>
      </c>
      <c r="AAX164" s="11">
        <f t="shared" si="193"/>
        <v>0</v>
      </c>
      <c r="AAY164" s="11">
        <f t="shared" si="193"/>
        <v>0</v>
      </c>
      <c r="AAZ164" s="11">
        <f t="shared" si="193"/>
        <v>0</v>
      </c>
      <c r="ABA164" s="11">
        <f t="shared" si="193"/>
        <v>0</v>
      </c>
      <c r="ABB164" s="11">
        <f t="shared" si="193"/>
        <v>0</v>
      </c>
      <c r="ABC164" s="11">
        <f t="shared" si="193"/>
        <v>0</v>
      </c>
      <c r="ABD164" s="11">
        <f t="shared" si="193"/>
        <v>0</v>
      </c>
      <c r="ABE164" s="11">
        <f t="shared" si="193"/>
        <v>0</v>
      </c>
      <c r="ABF164" s="11">
        <f t="shared" si="193"/>
        <v>0</v>
      </c>
      <c r="ABG164" s="11">
        <f t="shared" si="193"/>
        <v>0</v>
      </c>
      <c r="ABH164" s="11">
        <f t="shared" si="193"/>
        <v>0</v>
      </c>
      <c r="ABI164" s="11">
        <f t="shared" si="193"/>
        <v>0</v>
      </c>
      <c r="ABJ164" s="11">
        <f t="shared" si="193"/>
        <v>0</v>
      </c>
      <c r="ABK164" s="11">
        <f t="shared" si="193"/>
        <v>0</v>
      </c>
      <c r="ABL164" s="11">
        <f t="shared" si="193"/>
        <v>0</v>
      </c>
      <c r="ABM164" s="11">
        <f t="shared" si="193"/>
        <v>0</v>
      </c>
      <c r="ABN164" s="11">
        <f t="shared" si="193"/>
        <v>0</v>
      </c>
      <c r="ABO164" s="11">
        <f t="shared" si="193"/>
        <v>0</v>
      </c>
      <c r="ABP164" s="11">
        <f t="shared" si="193"/>
        <v>0</v>
      </c>
      <c r="ABQ164" s="11">
        <f t="shared" si="193"/>
        <v>0</v>
      </c>
      <c r="ABR164" s="11">
        <f t="shared" si="193"/>
        <v>0</v>
      </c>
      <c r="ABS164" s="11">
        <f t="shared" si="193"/>
        <v>0</v>
      </c>
      <c r="ABT164" s="11">
        <f t="shared" si="193"/>
        <v>0</v>
      </c>
      <c r="ABU164" s="11">
        <f t="shared" si="193"/>
        <v>0</v>
      </c>
      <c r="ABV164" s="11">
        <f t="shared" si="193"/>
        <v>0</v>
      </c>
      <c r="ABW164" s="11">
        <f t="shared" si="193"/>
        <v>0</v>
      </c>
      <c r="ABX164" s="11">
        <f t="shared" si="193"/>
        <v>0</v>
      </c>
      <c r="ABY164" s="11">
        <f t="shared" si="193"/>
        <v>0</v>
      </c>
      <c r="ABZ164" s="11">
        <f t="shared" si="193"/>
        <v>0</v>
      </c>
      <c r="ACA164" s="11">
        <f t="shared" si="193"/>
        <v>0</v>
      </c>
      <c r="ACB164" s="11">
        <f t="shared" si="193"/>
        <v>0</v>
      </c>
      <c r="ACC164" s="11">
        <f t="shared" si="193"/>
        <v>0</v>
      </c>
      <c r="ACD164" s="11">
        <f t="shared" si="193"/>
        <v>0</v>
      </c>
      <c r="ACE164" s="11">
        <f t="shared" si="193"/>
        <v>0</v>
      </c>
      <c r="ACF164" s="11">
        <f t="shared" si="193"/>
        <v>0</v>
      </c>
      <c r="ACG164" s="11">
        <f t="shared" si="193"/>
        <v>0</v>
      </c>
      <c r="ACH164" s="11">
        <f t="shared" si="193"/>
        <v>0</v>
      </c>
      <c r="ACI164" s="11">
        <f t="shared" si="193"/>
        <v>0</v>
      </c>
      <c r="ACJ164" s="11">
        <f t="shared" si="193"/>
        <v>0</v>
      </c>
      <c r="ACK164" s="11">
        <f t="shared" si="193"/>
        <v>0</v>
      </c>
      <c r="ACL164" s="11">
        <f t="shared" si="193"/>
        <v>0</v>
      </c>
      <c r="ACM164" s="11">
        <f t="shared" si="193"/>
        <v>0</v>
      </c>
      <c r="ACN164" s="11">
        <f t="shared" si="193"/>
        <v>0</v>
      </c>
      <c r="ACO164" s="11">
        <f t="shared" si="193"/>
        <v>0</v>
      </c>
      <c r="ACP164" s="11">
        <f t="shared" si="193"/>
        <v>0</v>
      </c>
      <c r="ACQ164" s="11">
        <f t="shared" si="193"/>
        <v>0</v>
      </c>
      <c r="ACR164" s="11">
        <f t="shared" si="193"/>
        <v>0</v>
      </c>
      <c r="ACS164" s="11">
        <f t="shared" ref="ACS164:AFD164" si="194">ACS156-ACS163</f>
        <v>0</v>
      </c>
      <c r="ACT164" s="11">
        <f t="shared" si="194"/>
        <v>0</v>
      </c>
      <c r="ACU164" s="11">
        <f t="shared" si="194"/>
        <v>0</v>
      </c>
      <c r="ACV164" s="11">
        <f t="shared" si="194"/>
        <v>0</v>
      </c>
      <c r="ACW164" s="11">
        <f t="shared" si="194"/>
        <v>0</v>
      </c>
      <c r="ACX164" s="11">
        <f t="shared" si="194"/>
        <v>0</v>
      </c>
      <c r="ACY164" s="11">
        <f t="shared" si="194"/>
        <v>0</v>
      </c>
      <c r="ACZ164" s="11">
        <f t="shared" si="194"/>
        <v>0</v>
      </c>
      <c r="ADA164" s="11">
        <f t="shared" si="194"/>
        <v>0</v>
      </c>
      <c r="ADB164" s="11">
        <f t="shared" si="194"/>
        <v>0</v>
      </c>
      <c r="ADC164" s="11">
        <f t="shared" si="194"/>
        <v>0</v>
      </c>
      <c r="ADD164" s="11">
        <f t="shared" si="194"/>
        <v>0</v>
      </c>
      <c r="ADE164" s="11">
        <f t="shared" si="194"/>
        <v>0</v>
      </c>
      <c r="ADF164" s="11">
        <f t="shared" si="194"/>
        <v>0</v>
      </c>
      <c r="ADG164" s="11">
        <f t="shared" si="194"/>
        <v>0</v>
      </c>
      <c r="ADH164" s="11">
        <f t="shared" si="194"/>
        <v>0</v>
      </c>
      <c r="ADI164" s="11">
        <f t="shared" si="194"/>
        <v>0</v>
      </c>
      <c r="ADJ164" s="11">
        <f t="shared" si="194"/>
        <v>0</v>
      </c>
      <c r="ADK164" s="11">
        <f t="shared" si="194"/>
        <v>0</v>
      </c>
      <c r="ADL164" s="11">
        <f t="shared" si="194"/>
        <v>0</v>
      </c>
      <c r="ADM164" s="11">
        <f t="shared" si="194"/>
        <v>0</v>
      </c>
      <c r="ADN164" s="11">
        <f t="shared" si="194"/>
        <v>0</v>
      </c>
      <c r="ADO164" s="11">
        <f t="shared" si="194"/>
        <v>0</v>
      </c>
      <c r="ADP164" s="11">
        <f t="shared" si="194"/>
        <v>0</v>
      </c>
      <c r="ADQ164" s="11">
        <f t="shared" si="194"/>
        <v>0</v>
      </c>
      <c r="ADR164" s="11">
        <f t="shared" si="194"/>
        <v>0</v>
      </c>
      <c r="ADS164" s="11">
        <f t="shared" si="194"/>
        <v>0</v>
      </c>
      <c r="ADT164" s="11">
        <f t="shared" si="194"/>
        <v>0</v>
      </c>
      <c r="ADU164" s="11">
        <f t="shared" si="194"/>
        <v>0</v>
      </c>
      <c r="ADV164" s="11">
        <f t="shared" si="194"/>
        <v>0</v>
      </c>
      <c r="ADW164" s="11">
        <f t="shared" si="194"/>
        <v>0</v>
      </c>
      <c r="ADX164" s="11">
        <f t="shared" si="194"/>
        <v>0</v>
      </c>
      <c r="ADY164" s="11">
        <f t="shared" si="194"/>
        <v>0</v>
      </c>
      <c r="ADZ164" s="11">
        <f t="shared" si="194"/>
        <v>0</v>
      </c>
      <c r="AEA164" s="11">
        <f t="shared" si="194"/>
        <v>0</v>
      </c>
      <c r="AEB164" s="11">
        <f t="shared" si="194"/>
        <v>0</v>
      </c>
      <c r="AEC164" s="11">
        <f t="shared" si="194"/>
        <v>0</v>
      </c>
      <c r="AED164" s="11">
        <f t="shared" si="194"/>
        <v>0</v>
      </c>
      <c r="AEE164" s="11">
        <f t="shared" si="194"/>
        <v>0</v>
      </c>
      <c r="AEF164" s="11">
        <f t="shared" si="194"/>
        <v>0</v>
      </c>
      <c r="AEG164" s="11">
        <f t="shared" si="194"/>
        <v>0</v>
      </c>
      <c r="AEH164" s="11">
        <f t="shared" si="194"/>
        <v>0</v>
      </c>
      <c r="AEI164" s="11">
        <f t="shared" si="194"/>
        <v>0</v>
      </c>
      <c r="AEJ164" s="11">
        <f t="shared" si="194"/>
        <v>0</v>
      </c>
      <c r="AEK164" s="11">
        <f t="shared" si="194"/>
        <v>0</v>
      </c>
      <c r="AEL164" s="11">
        <f t="shared" si="194"/>
        <v>0</v>
      </c>
      <c r="AEM164" s="11">
        <f t="shared" si="194"/>
        <v>0</v>
      </c>
      <c r="AEN164" s="11">
        <f t="shared" si="194"/>
        <v>0</v>
      </c>
      <c r="AEO164" s="11">
        <f t="shared" si="194"/>
        <v>0</v>
      </c>
      <c r="AEP164" s="11">
        <f t="shared" si="194"/>
        <v>0</v>
      </c>
      <c r="AEQ164" s="11">
        <f t="shared" si="194"/>
        <v>0</v>
      </c>
      <c r="AER164" s="11">
        <f t="shared" si="194"/>
        <v>0</v>
      </c>
      <c r="AES164" s="11">
        <f t="shared" si="194"/>
        <v>0</v>
      </c>
      <c r="AET164" s="11">
        <f t="shared" si="194"/>
        <v>0</v>
      </c>
      <c r="AEU164" s="11">
        <f t="shared" si="194"/>
        <v>0</v>
      </c>
      <c r="AEV164" s="11">
        <f t="shared" si="194"/>
        <v>0</v>
      </c>
      <c r="AEW164" s="11">
        <f t="shared" si="194"/>
        <v>0</v>
      </c>
      <c r="AEX164" s="11">
        <f t="shared" si="194"/>
        <v>0</v>
      </c>
      <c r="AEY164" s="11">
        <f t="shared" si="194"/>
        <v>0</v>
      </c>
      <c r="AEZ164" s="11">
        <f t="shared" si="194"/>
        <v>0</v>
      </c>
      <c r="AFA164" s="11">
        <f t="shared" si="194"/>
        <v>0</v>
      </c>
      <c r="AFB164" s="11">
        <f t="shared" si="194"/>
        <v>0</v>
      </c>
      <c r="AFC164" s="11">
        <f t="shared" si="194"/>
        <v>0</v>
      </c>
      <c r="AFD164" s="11">
        <f t="shared" si="194"/>
        <v>0</v>
      </c>
      <c r="AFE164" s="11">
        <f t="shared" ref="AFE164:AHP164" si="195">AFE156-AFE163</f>
        <v>0</v>
      </c>
      <c r="AFF164" s="11">
        <f t="shared" si="195"/>
        <v>0</v>
      </c>
      <c r="AFG164" s="11">
        <f t="shared" si="195"/>
        <v>0</v>
      </c>
      <c r="AFH164" s="11">
        <f t="shared" si="195"/>
        <v>0</v>
      </c>
      <c r="AFI164" s="11">
        <f t="shared" si="195"/>
        <v>0</v>
      </c>
      <c r="AFJ164" s="11">
        <f t="shared" si="195"/>
        <v>0</v>
      </c>
      <c r="AFK164" s="11">
        <f t="shared" si="195"/>
        <v>0</v>
      </c>
      <c r="AFL164" s="11">
        <f t="shared" si="195"/>
        <v>0</v>
      </c>
      <c r="AFM164" s="11">
        <f t="shared" si="195"/>
        <v>0</v>
      </c>
      <c r="AFN164" s="11">
        <f t="shared" si="195"/>
        <v>0</v>
      </c>
      <c r="AFO164" s="11">
        <f t="shared" si="195"/>
        <v>0</v>
      </c>
      <c r="AFP164" s="11">
        <f t="shared" si="195"/>
        <v>0</v>
      </c>
      <c r="AFQ164" s="11">
        <f t="shared" si="195"/>
        <v>0</v>
      </c>
      <c r="AFR164" s="11">
        <f t="shared" si="195"/>
        <v>0</v>
      </c>
      <c r="AFS164" s="11">
        <f t="shared" si="195"/>
        <v>0</v>
      </c>
      <c r="AFT164" s="11">
        <f t="shared" si="195"/>
        <v>0</v>
      </c>
      <c r="AFU164" s="11">
        <f t="shared" si="195"/>
        <v>0</v>
      </c>
      <c r="AFV164" s="11">
        <f t="shared" si="195"/>
        <v>0</v>
      </c>
      <c r="AFW164" s="11">
        <f t="shared" si="195"/>
        <v>0</v>
      </c>
      <c r="AFX164" s="11">
        <f t="shared" si="195"/>
        <v>0</v>
      </c>
      <c r="AFY164" s="11">
        <f t="shared" si="195"/>
        <v>0</v>
      </c>
      <c r="AFZ164" s="11">
        <f t="shared" si="195"/>
        <v>0</v>
      </c>
      <c r="AGA164" s="11">
        <f t="shared" si="195"/>
        <v>0</v>
      </c>
      <c r="AGB164" s="11">
        <f t="shared" si="195"/>
        <v>0</v>
      </c>
      <c r="AGC164" s="11">
        <f t="shared" si="195"/>
        <v>0</v>
      </c>
      <c r="AGD164" s="11">
        <f t="shared" si="195"/>
        <v>0</v>
      </c>
      <c r="AGE164" s="11">
        <f t="shared" si="195"/>
        <v>0</v>
      </c>
      <c r="AGF164" s="11">
        <f t="shared" si="195"/>
        <v>0</v>
      </c>
      <c r="AGG164" s="11">
        <f t="shared" si="195"/>
        <v>0</v>
      </c>
      <c r="AGH164" s="11">
        <f t="shared" si="195"/>
        <v>0</v>
      </c>
      <c r="AGI164" s="11">
        <f t="shared" si="195"/>
        <v>0</v>
      </c>
      <c r="AGJ164" s="11">
        <f t="shared" si="195"/>
        <v>0</v>
      </c>
      <c r="AGK164" s="11">
        <f t="shared" si="195"/>
        <v>0</v>
      </c>
      <c r="AGL164" s="11">
        <f t="shared" si="195"/>
        <v>0</v>
      </c>
      <c r="AGM164" s="11">
        <f t="shared" si="195"/>
        <v>0</v>
      </c>
      <c r="AGN164" s="11">
        <f t="shared" si="195"/>
        <v>0</v>
      </c>
      <c r="AGO164" s="11">
        <f t="shared" si="195"/>
        <v>0</v>
      </c>
      <c r="AGP164" s="11">
        <f t="shared" si="195"/>
        <v>0</v>
      </c>
      <c r="AGQ164" s="11">
        <f t="shared" si="195"/>
        <v>0</v>
      </c>
      <c r="AGR164" s="11">
        <f t="shared" si="195"/>
        <v>0</v>
      </c>
      <c r="AGS164" s="11">
        <f t="shared" si="195"/>
        <v>0</v>
      </c>
      <c r="AGT164" s="11">
        <f t="shared" si="195"/>
        <v>0</v>
      </c>
      <c r="AGU164" s="11">
        <f t="shared" si="195"/>
        <v>0</v>
      </c>
      <c r="AGV164" s="11">
        <f t="shared" si="195"/>
        <v>0</v>
      </c>
      <c r="AGW164" s="11">
        <f t="shared" si="195"/>
        <v>0</v>
      </c>
      <c r="AGX164" s="11">
        <f t="shared" si="195"/>
        <v>0</v>
      </c>
      <c r="AGY164" s="11">
        <f t="shared" si="195"/>
        <v>0</v>
      </c>
      <c r="AGZ164" s="11">
        <f t="shared" si="195"/>
        <v>0</v>
      </c>
      <c r="AHA164" s="11">
        <f t="shared" si="195"/>
        <v>0</v>
      </c>
      <c r="AHB164" s="11">
        <f t="shared" si="195"/>
        <v>0</v>
      </c>
      <c r="AHC164" s="11">
        <f t="shared" si="195"/>
        <v>0</v>
      </c>
      <c r="AHD164" s="11">
        <f t="shared" si="195"/>
        <v>0</v>
      </c>
      <c r="AHE164" s="11">
        <f t="shared" si="195"/>
        <v>0</v>
      </c>
      <c r="AHF164" s="11">
        <f t="shared" si="195"/>
        <v>0</v>
      </c>
      <c r="AHG164" s="11">
        <f t="shared" si="195"/>
        <v>0</v>
      </c>
      <c r="AHH164" s="11">
        <f t="shared" si="195"/>
        <v>0</v>
      </c>
      <c r="AHI164" s="11">
        <f t="shared" si="195"/>
        <v>0</v>
      </c>
      <c r="AHJ164" s="11">
        <f t="shared" si="195"/>
        <v>0</v>
      </c>
      <c r="AHK164" s="11">
        <f t="shared" si="195"/>
        <v>0</v>
      </c>
      <c r="AHL164" s="11">
        <f t="shared" si="195"/>
        <v>0</v>
      </c>
      <c r="AHM164" s="11">
        <f t="shared" si="195"/>
        <v>0</v>
      </c>
      <c r="AHN164" s="11">
        <f t="shared" si="195"/>
        <v>0</v>
      </c>
      <c r="AHO164" s="11">
        <f t="shared" si="195"/>
        <v>0</v>
      </c>
      <c r="AHP164" s="11">
        <f t="shared" si="195"/>
        <v>0</v>
      </c>
      <c r="AHQ164" s="11">
        <f t="shared" ref="AHQ164:AHT164" si="196">AHQ156-AHQ163</f>
        <v>0</v>
      </c>
      <c r="AHR164" s="11">
        <f t="shared" si="196"/>
        <v>0</v>
      </c>
      <c r="AHS164" s="11">
        <f t="shared" si="196"/>
        <v>0</v>
      </c>
      <c r="AHT164" s="11">
        <f t="shared" si="196"/>
        <v>0</v>
      </c>
      <c r="AHU164" s="11">
        <f>SUM(D164:AHT164)</f>
        <v>0</v>
      </c>
    </row>
  </sheetData>
  <phoneticPr fontId="64" type="noConversion"/>
  <pageMargins left="0.7" right="0.7" top="0.75" bottom="0.75" header="0.3" footer="0.3"/>
  <pageSetup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1A302-2819-4211-94E0-E972213A5F79}">
  <sheetPr>
    <pageSetUpPr fitToPage="1"/>
  </sheetPr>
  <dimension ref="A1:AE726"/>
  <sheetViews>
    <sheetView zoomScaleNormal="100" zoomScaleSheetLayoutView="110" workbookViewId="0">
      <pane ySplit="7" topLeftCell="A21" activePane="bottomLeft" state="frozen"/>
      <selection activeCell="A17" sqref="A17"/>
      <selection pane="bottomLeft" activeCell="A17" sqref="A17"/>
    </sheetView>
  </sheetViews>
  <sheetFormatPr defaultColWidth="9" defaultRowHeight="21" x14ac:dyDescent="0.6"/>
  <cols>
    <col min="1" max="1" width="4.69921875" style="1399" customWidth="1"/>
    <col min="2" max="2" width="24.09765625" style="1461" customWidth="1"/>
    <col min="3" max="3" width="4.5" style="1280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23" width="11.09765625" style="1288" customWidth="1"/>
    <col min="24" max="25" width="11.0976562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31" x14ac:dyDescent="0.6">
      <c r="A1" s="1735" t="s">
        <v>9148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31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31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31" x14ac:dyDescent="0.6">
      <c r="A4" s="1408" t="s">
        <v>2185</v>
      </c>
      <c r="B4" s="1408" t="s">
        <v>9149</v>
      </c>
      <c r="C4" s="1849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31" x14ac:dyDescent="0.6">
      <c r="A5" s="1417"/>
      <c r="B5" s="1417"/>
      <c r="C5" s="1850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31" x14ac:dyDescent="0.6">
      <c r="A6" s="1417"/>
      <c r="B6" s="1417"/>
      <c r="C6" s="1850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31" x14ac:dyDescent="0.6">
      <c r="A7" s="1425"/>
      <c r="B7" s="1425"/>
      <c r="C7" s="1851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31" s="1388" customFormat="1" ht="23.25" customHeight="1" x14ac:dyDescent="0.25">
      <c r="A8" s="1279">
        <v>1</v>
      </c>
      <c r="B8" s="1976" t="s">
        <v>7644</v>
      </c>
      <c r="C8" s="1357" t="s">
        <v>7886</v>
      </c>
      <c r="D8" s="1166">
        <v>30</v>
      </c>
      <c r="E8" s="1378">
        <f>D8*N8</f>
        <v>195000</v>
      </c>
      <c r="F8" s="1343">
        <v>10</v>
      </c>
      <c r="G8" s="1378">
        <f>F8*N8</f>
        <v>65000</v>
      </c>
      <c r="H8" s="1343">
        <v>10</v>
      </c>
      <c r="I8" s="1345">
        <f>H8*N8</f>
        <v>65000</v>
      </c>
      <c r="J8" s="1204">
        <v>5</v>
      </c>
      <c r="K8" s="1651">
        <v>40</v>
      </c>
      <c r="L8" s="1344">
        <f>K8*N8</f>
        <v>260000</v>
      </c>
      <c r="M8" s="1204">
        <v>5</v>
      </c>
      <c r="N8" s="1875">
        <v>6500</v>
      </c>
      <c r="O8" s="1346">
        <f>M8*N8</f>
        <v>32500</v>
      </c>
      <c r="P8" s="1482">
        <v>0</v>
      </c>
      <c r="Q8" s="1482">
        <f>P8*N8</f>
        <v>0</v>
      </c>
      <c r="R8" s="1482">
        <v>5</v>
      </c>
      <c r="S8" s="1483">
        <f>R8*N8</f>
        <v>32500</v>
      </c>
      <c r="T8" s="1482">
        <v>0</v>
      </c>
      <c r="U8" s="1483">
        <f>T8*N8</f>
        <v>0</v>
      </c>
      <c r="V8" s="1482">
        <v>0</v>
      </c>
      <c r="W8" s="1483">
        <f>V8*N8</f>
        <v>0</v>
      </c>
      <c r="X8" s="1345">
        <f>P8+R8+T8+V8</f>
        <v>5</v>
      </c>
      <c r="Y8" s="1345">
        <f>X8*N8</f>
        <v>32500</v>
      </c>
      <c r="Z8" s="1357" t="s">
        <v>7799</v>
      </c>
      <c r="AA8" s="1358" t="s">
        <v>6525</v>
      </c>
      <c r="AB8" s="1359" t="b">
        <v>0</v>
      </c>
      <c r="AC8" s="1388" t="str">
        <f t="shared" ref="AC8:AC33" si="0">IF(O8=Y8,"ok")</f>
        <v>ok</v>
      </c>
    </row>
    <row r="9" spans="1:31" s="1388" customFormat="1" ht="23.25" customHeight="1" x14ac:dyDescent="0.25">
      <c r="A9" s="1279">
        <v>2</v>
      </c>
      <c r="B9" s="1977" t="s">
        <v>7647</v>
      </c>
      <c r="C9" s="1978" t="s">
        <v>7886</v>
      </c>
      <c r="D9" s="1166">
        <v>30</v>
      </c>
      <c r="E9" s="1945">
        <f>D9*N9</f>
        <v>150000</v>
      </c>
      <c r="F9" s="1946">
        <v>10</v>
      </c>
      <c r="G9" s="1945">
        <f>F9*N9</f>
        <v>50000</v>
      </c>
      <c r="H9" s="1946">
        <v>10</v>
      </c>
      <c r="I9" s="1565">
        <f>H9*N9</f>
        <v>50000</v>
      </c>
      <c r="J9" s="1949">
        <v>2</v>
      </c>
      <c r="K9" s="1651">
        <v>50</v>
      </c>
      <c r="L9" s="1344">
        <f>K9*N9</f>
        <v>250000</v>
      </c>
      <c r="M9" s="1949">
        <v>2</v>
      </c>
      <c r="N9" s="1950">
        <v>5000</v>
      </c>
      <c r="O9" s="1566">
        <f>M9*N9</f>
        <v>10000</v>
      </c>
      <c r="P9" s="1951">
        <v>0</v>
      </c>
      <c r="Q9" s="1951">
        <f>P9*N9</f>
        <v>0</v>
      </c>
      <c r="R9" s="1951">
        <v>2</v>
      </c>
      <c r="S9" s="1483">
        <f t="shared" ref="S9:S32" si="1">R9*N9</f>
        <v>10000</v>
      </c>
      <c r="T9" s="1951">
        <v>0</v>
      </c>
      <c r="U9" s="1952">
        <f>T9*N9</f>
        <v>0</v>
      </c>
      <c r="V9" s="1951">
        <v>0</v>
      </c>
      <c r="W9" s="1952">
        <f>V9*N9</f>
        <v>0</v>
      </c>
      <c r="X9" s="1345">
        <f t="shared" ref="X9:X32" si="2">P9+R9+T9+V9</f>
        <v>2</v>
      </c>
      <c r="Y9" s="1565">
        <f>X9*N9</f>
        <v>10000</v>
      </c>
      <c r="Z9" s="1978" t="s">
        <v>7799</v>
      </c>
      <c r="AA9" s="1958" t="s">
        <v>6525</v>
      </c>
      <c r="AB9" s="1359"/>
      <c r="AC9" s="1388" t="str">
        <f t="shared" si="0"/>
        <v>ok</v>
      </c>
    </row>
    <row r="10" spans="1:31" s="1359" customFormat="1" ht="28.5" customHeight="1" x14ac:dyDescent="0.25">
      <c r="A10" s="1279">
        <v>3</v>
      </c>
      <c r="B10" s="1979" t="s">
        <v>7648</v>
      </c>
      <c r="C10" s="1357" t="s">
        <v>7895</v>
      </c>
      <c r="D10" s="1344">
        <v>10</v>
      </c>
      <c r="E10" s="1378">
        <f>D10*N10</f>
        <v>35000</v>
      </c>
      <c r="F10" s="1345">
        <v>10</v>
      </c>
      <c r="G10" s="1378">
        <f>F10*N10</f>
        <v>35000</v>
      </c>
      <c r="H10" s="1343">
        <v>5</v>
      </c>
      <c r="I10" s="1345">
        <f t="shared" ref="I10:I28" si="3">H10*N10</f>
        <v>17500</v>
      </c>
      <c r="J10" s="1204">
        <v>10</v>
      </c>
      <c r="K10" s="1653">
        <v>10</v>
      </c>
      <c r="L10" s="1344">
        <f t="shared" ref="L10:L20" si="4">K10*N10</f>
        <v>35000</v>
      </c>
      <c r="M10" s="1204">
        <v>10</v>
      </c>
      <c r="N10" s="1378">
        <v>3500</v>
      </c>
      <c r="O10" s="1346">
        <f t="shared" ref="O10:O20" si="5">M10*N10</f>
        <v>35000</v>
      </c>
      <c r="P10" s="1344">
        <v>0</v>
      </c>
      <c r="Q10" s="1482">
        <f t="shared" ref="Q10:Q20" si="6">P10*N10</f>
        <v>0</v>
      </c>
      <c r="R10" s="1345">
        <v>10</v>
      </c>
      <c r="S10" s="1483">
        <f t="shared" si="1"/>
        <v>35000</v>
      </c>
      <c r="T10" s="1344">
        <v>0</v>
      </c>
      <c r="U10" s="1483">
        <f t="shared" ref="U10:U20" si="7">T10*N10</f>
        <v>0</v>
      </c>
      <c r="V10" s="1482">
        <v>0</v>
      </c>
      <c r="W10" s="1483">
        <f t="shared" ref="W10:W20" si="8">V10*N10</f>
        <v>0</v>
      </c>
      <c r="X10" s="1345">
        <f t="shared" si="2"/>
        <v>10</v>
      </c>
      <c r="Y10" s="1345">
        <f t="shared" ref="Y10:Y19" si="9">X10*N10</f>
        <v>35000</v>
      </c>
      <c r="Z10" s="1357" t="s">
        <v>7799</v>
      </c>
      <c r="AA10" s="1358" t="s">
        <v>6525</v>
      </c>
      <c r="AB10" s="1359" t="b">
        <v>0</v>
      </c>
      <c r="AC10" s="1388" t="str">
        <f t="shared" si="0"/>
        <v>ok</v>
      </c>
    </row>
    <row r="11" spans="1:31" s="1359" customFormat="1" ht="30" customHeight="1" x14ac:dyDescent="0.25">
      <c r="A11" s="1279">
        <v>4</v>
      </c>
      <c r="B11" s="1979" t="s">
        <v>7650</v>
      </c>
      <c r="C11" s="1357" t="s">
        <v>7895</v>
      </c>
      <c r="D11" s="1344">
        <v>2</v>
      </c>
      <c r="E11" s="1378">
        <f t="shared" ref="E11:E28" si="10">D11*N11</f>
        <v>9000</v>
      </c>
      <c r="F11" s="1345">
        <v>3</v>
      </c>
      <c r="G11" s="1378">
        <f t="shared" ref="G11:G23" si="11">F11*N11</f>
        <v>13500</v>
      </c>
      <c r="H11" s="1343">
        <v>3</v>
      </c>
      <c r="I11" s="1345">
        <f t="shared" si="3"/>
        <v>13500</v>
      </c>
      <c r="J11" s="1204">
        <v>5</v>
      </c>
      <c r="K11" s="1653">
        <v>12</v>
      </c>
      <c r="L11" s="1344">
        <f t="shared" si="4"/>
        <v>54000</v>
      </c>
      <c r="M11" s="1204">
        <v>5</v>
      </c>
      <c r="N11" s="1378">
        <v>4500</v>
      </c>
      <c r="O11" s="1346">
        <f t="shared" si="5"/>
        <v>22500</v>
      </c>
      <c r="P11" s="1345">
        <v>0</v>
      </c>
      <c r="Q11" s="1482">
        <f t="shared" si="6"/>
        <v>0</v>
      </c>
      <c r="R11" s="1344">
        <v>5</v>
      </c>
      <c r="S11" s="1483">
        <f t="shared" si="1"/>
        <v>22500</v>
      </c>
      <c r="T11" s="1345">
        <v>0</v>
      </c>
      <c r="U11" s="1483">
        <f t="shared" si="7"/>
        <v>0</v>
      </c>
      <c r="V11" s="1482">
        <v>0</v>
      </c>
      <c r="W11" s="1483">
        <f t="shared" si="8"/>
        <v>0</v>
      </c>
      <c r="X11" s="1345">
        <f t="shared" si="2"/>
        <v>5</v>
      </c>
      <c r="Y11" s="1345">
        <f t="shared" si="9"/>
        <v>22500</v>
      </c>
      <c r="Z11" s="1357" t="s">
        <v>7799</v>
      </c>
      <c r="AA11" s="1358" t="s">
        <v>6525</v>
      </c>
      <c r="AB11" s="1359" t="b">
        <v>0</v>
      </c>
      <c r="AC11" s="1388" t="str">
        <f t="shared" si="0"/>
        <v>ok</v>
      </c>
    </row>
    <row r="12" spans="1:31" s="1359" customFormat="1" ht="32.25" customHeight="1" x14ac:dyDescent="0.25">
      <c r="A12" s="1279">
        <v>5</v>
      </c>
      <c r="B12" s="1979" t="s">
        <v>7651</v>
      </c>
      <c r="C12" s="1357" t="s">
        <v>7895</v>
      </c>
      <c r="D12" s="1344">
        <v>5</v>
      </c>
      <c r="E12" s="1378">
        <f t="shared" si="10"/>
        <v>17500</v>
      </c>
      <c r="F12" s="1345">
        <v>10</v>
      </c>
      <c r="G12" s="1378">
        <f t="shared" si="11"/>
        <v>35000</v>
      </c>
      <c r="H12" s="1343">
        <v>5</v>
      </c>
      <c r="I12" s="1345">
        <f t="shared" si="3"/>
        <v>17500</v>
      </c>
      <c r="J12" s="1204">
        <v>10</v>
      </c>
      <c r="K12" s="1653">
        <v>15</v>
      </c>
      <c r="L12" s="1344">
        <f t="shared" si="4"/>
        <v>52500</v>
      </c>
      <c r="M12" s="1204">
        <v>10</v>
      </c>
      <c r="N12" s="1378">
        <v>3500</v>
      </c>
      <c r="O12" s="1346">
        <f t="shared" si="5"/>
        <v>35000</v>
      </c>
      <c r="P12" s="1344">
        <v>0</v>
      </c>
      <c r="Q12" s="1482">
        <f t="shared" si="6"/>
        <v>0</v>
      </c>
      <c r="R12" s="1344">
        <v>10</v>
      </c>
      <c r="S12" s="1483">
        <f t="shared" si="1"/>
        <v>35000</v>
      </c>
      <c r="T12" s="1345">
        <v>0</v>
      </c>
      <c r="U12" s="1483">
        <f t="shared" si="7"/>
        <v>0</v>
      </c>
      <c r="V12" s="1482">
        <v>0</v>
      </c>
      <c r="W12" s="1483">
        <f t="shared" si="8"/>
        <v>0</v>
      </c>
      <c r="X12" s="1345">
        <f t="shared" si="2"/>
        <v>10</v>
      </c>
      <c r="Y12" s="1345">
        <f t="shared" si="9"/>
        <v>35000</v>
      </c>
      <c r="Z12" s="1357" t="s">
        <v>7799</v>
      </c>
      <c r="AA12" s="1358" t="s">
        <v>6525</v>
      </c>
      <c r="AB12" s="1359" t="b">
        <v>0</v>
      </c>
      <c r="AC12" s="1388" t="str">
        <f t="shared" si="0"/>
        <v>ok</v>
      </c>
    </row>
    <row r="13" spans="1:31" s="1359" customFormat="1" ht="20.25" customHeight="1" x14ac:dyDescent="0.25">
      <c r="A13" s="1279">
        <v>6</v>
      </c>
      <c r="B13" s="1372" t="s">
        <v>7652</v>
      </c>
      <c r="C13" s="1527" t="s">
        <v>7893</v>
      </c>
      <c r="D13" s="1344">
        <v>0</v>
      </c>
      <c r="E13" s="1378">
        <f t="shared" si="10"/>
        <v>0</v>
      </c>
      <c r="F13" s="1345">
        <v>0</v>
      </c>
      <c r="G13" s="1378">
        <f t="shared" si="11"/>
        <v>0</v>
      </c>
      <c r="H13" s="1343">
        <v>1</v>
      </c>
      <c r="I13" s="1345">
        <f t="shared" si="3"/>
        <v>35000</v>
      </c>
      <c r="J13" s="1204">
        <v>1</v>
      </c>
      <c r="K13" s="1653">
        <v>2</v>
      </c>
      <c r="L13" s="1344">
        <f t="shared" si="4"/>
        <v>70000</v>
      </c>
      <c r="M13" s="1204">
        <v>1</v>
      </c>
      <c r="N13" s="1205">
        <v>35000</v>
      </c>
      <c r="O13" s="1346">
        <f t="shared" si="5"/>
        <v>35000</v>
      </c>
      <c r="P13" s="1344">
        <v>0</v>
      </c>
      <c r="Q13" s="1482">
        <f t="shared" si="6"/>
        <v>0</v>
      </c>
      <c r="R13" s="1344">
        <v>1</v>
      </c>
      <c r="S13" s="1483">
        <f t="shared" si="1"/>
        <v>35000</v>
      </c>
      <c r="T13" s="1345">
        <v>0</v>
      </c>
      <c r="U13" s="1483">
        <f t="shared" si="7"/>
        <v>0</v>
      </c>
      <c r="V13" s="1482">
        <v>0</v>
      </c>
      <c r="W13" s="1483">
        <f t="shared" si="8"/>
        <v>0</v>
      </c>
      <c r="X13" s="1345">
        <f t="shared" si="2"/>
        <v>1</v>
      </c>
      <c r="Y13" s="1345">
        <f t="shared" si="9"/>
        <v>35000</v>
      </c>
      <c r="Z13" s="1357" t="s">
        <v>7799</v>
      </c>
      <c r="AA13" s="1358" t="s">
        <v>6525</v>
      </c>
      <c r="AC13" s="1388" t="str">
        <f t="shared" si="0"/>
        <v>ok</v>
      </c>
    </row>
    <row r="14" spans="1:31" s="1359" customFormat="1" ht="20.25" customHeight="1" x14ac:dyDescent="0.25">
      <c r="A14" s="1279">
        <v>7</v>
      </c>
      <c r="B14" s="1372" t="s">
        <v>7653</v>
      </c>
      <c r="C14" s="1527" t="s">
        <v>7893</v>
      </c>
      <c r="D14" s="1344">
        <v>0</v>
      </c>
      <c r="E14" s="1378">
        <f t="shared" si="10"/>
        <v>0</v>
      </c>
      <c r="F14" s="1345">
        <v>0</v>
      </c>
      <c r="G14" s="1378">
        <f t="shared" si="11"/>
        <v>0</v>
      </c>
      <c r="H14" s="1343">
        <v>0</v>
      </c>
      <c r="I14" s="1345">
        <f t="shared" si="3"/>
        <v>0</v>
      </c>
      <c r="J14" s="1204">
        <v>1</v>
      </c>
      <c r="K14" s="1653">
        <v>0</v>
      </c>
      <c r="L14" s="1344">
        <f t="shared" si="4"/>
        <v>0</v>
      </c>
      <c r="M14" s="1204">
        <v>1</v>
      </c>
      <c r="N14" s="1205">
        <v>40000</v>
      </c>
      <c r="O14" s="1346">
        <f t="shared" si="5"/>
        <v>40000</v>
      </c>
      <c r="P14" s="1344">
        <v>0</v>
      </c>
      <c r="Q14" s="1482">
        <f t="shared" si="6"/>
        <v>0</v>
      </c>
      <c r="R14" s="1344">
        <v>1</v>
      </c>
      <c r="S14" s="1483">
        <f t="shared" si="1"/>
        <v>40000</v>
      </c>
      <c r="T14" s="1345">
        <v>0</v>
      </c>
      <c r="U14" s="1483">
        <f t="shared" si="7"/>
        <v>0</v>
      </c>
      <c r="V14" s="1482">
        <v>0</v>
      </c>
      <c r="W14" s="1483">
        <f t="shared" si="8"/>
        <v>0</v>
      </c>
      <c r="X14" s="1345">
        <f t="shared" si="2"/>
        <v>1</v>
      </c>
      <c r="Y14" s="1345">
        <f t="shared" si="9"/>
        <v>40000</v>
      </c>
      <c r="Z14" s="1357" t="s">
        <v>7799</v>
      </c>
      <c r="AA14" s="1358" t="s">
        <v>6525</v>
      </c>
      <c r="AC14" s="1388" t="str">
        <f t="shared" si="0"/>
        <v>ok</v>
      </c>
    </row>
    <row r="15" spans="1:31" s="1359" customFormat="1" ht="20.25" customHeight="1" x14ac:dyDescent="0.25">
      <c r="A15" s="1279">
        <v>8</v>
      </c>
      <c r="B15" s="1980" t="s">
        <v>7654</v>
      </c>
      <c r="C15" s="1527" t="s">
        <v>7893</v>
      </c>
      <c r="D15" s="1344">
        <v>0</v>
      </c>
      <c r="E15" s="1378">
        <f t="shared" si="10"/>
        <v>0</v>
      </c>
      <c r="F15" s="1345">
        <v>0</v>
      </c>
      <c r="G15" s="1378">
        <f t="shared" si="11"/>
        <v>0</v>
      </c>
      <c r="H15" s="1343">
        <v>0</v>
      </c>
      <c r="I15" s="1345">
        <f t="shared" si="3"/>
        <v>0</v>
      </c>
      <c r="J15" s="1204">
        <v>1</v>
      </c>
      <c r="K15" s="1653">
        <v>7</v>
      </c>
      <c r="L15" s="1344">
        <f t="shared" si="4"/>
        <v>245000</v>
      </c>
      <c r="M15" s="1204">
        <v>1</v>
      </c>
      <c r="N15" s="1378">
        <v>35000</v>
      </c>
      <c r="O15" s="1346">
        <f t="shared" si="5"/>
        <v>35000</v>
      </c>
      <c r="P15" s="1345">
        <v>0</v>
      </c>
      <c r="Q15" s="1482">
        <f t="shared" si="6"/>
        <v>0</v>
      </c>
      <c r="R15" s="1344">
        <v>1</v>
      </c>
      <c r="S15" s="1483">
        <f t="shared" si="1"/>
        <v>35000</v>
      </c>
      <c r="T15" s="1345">
        <v>0</v>
      </c>
      <c r="U15" s="1483">
        <f t="shared" si="7"/>
        <v>0</v>
      </c>
      <c r="V15" s="1482">
        <v>0</v>
      </c>
      <c r="W15" s="1483">
        <f t="shared" si="8"/>
        <v>0</v>
      </c>
      <c r="X15" s="1345">
        <f t="shared" si="2"/>
        <v>1</v>
      </c>
      <c r="Y15" s="1345">
        <f t="shared" si="9"/>
        <v>35000</v>
      </c>
      <c r="Z15" s="1357" t="s">
        <v>7799</v>
      </c>
      <c r="AA15" s="1358" t="s">
        <v>6525</v>
      </c>
      <c r="AC15" s="1388" t="str">
        <f t="shared" si="0"/>
        <v>ok</v>
      </c>
      <c r="AE15" s="1382"/>
    </row>
    <row r="16" spans="1:31" s="1359" customFormat="1" ht="20.25" customHeight="1" x14ac:dyDescent="0.25">
      <c r="A16" s="1279">
        <v>9</v>
      </c>
      <c r="B16" s="1372" t="s">
        <v>7655</v>
      </c>
      <c r="C16" s="1527" t="s">
        <v>9137</v>
      </c>
      <c r="D16" s="1344">
        <v>0</v>
      </c>
      <c r="E16" s="1378">
        <f t="shared" si="10"/>
        <v>0</v>
      </c>
      <c r="F16" s="1381">
        <v>0</v>
      </c>
      <c r="G16" s="1378">
        <f t="shared" si="11"/>
        <v>0</v>
      </c>
      <c r="H16" s="1343">
        <v>1</v>
      </c>
      <c r="I16" s="1345">
        <f t="shared" si="3"/>
        <v>45000</v>
      </c>
      <c r="J16" s="1344">
        <v>1</v>
      </c>
      <c r="K16" s="1900">
        <v>7</v>
      </c>
      <c r="L16" s="1344">
        <f t="shared" si="4"/>
        <v>315000</v>
      </c>
      <c r="M16" s="1344">
        <v>1</v>
      </c>
      <c r="N16" s="1378">
        <v>45000</v>
      </c>
      <c r="O16" s="1346">
        <f t="shared" si="5"/>
        <v>45000</v>
      </c>
      <c r="P16" s="1344">
        <v>0</v>
      </c>
      <c r="Q16" s="1482">
        <f t="shared" si="6"/>
        <v>0</v>
      </c>
      <c r="R16" s="1344">
        <v>1</v>
      </c>
      <c r="S16" s="1483">
        <f t="shared" si="1"/>
        <v>45000</v>
      </c>
      <c r="T16" s="1344">
        <v>0</v>
      </c>
      <c r="U16" s="1483">
        <f t="shared" si="7"/>
        <v>0</v>
      </c>
      <c r="V16" s="1482"/>
      <c r="W16" s="1483">
        <f t="shared" si="8"/>
        <v>0</v>
      </c>
      <c r="X16" s="1345">
        <f t="shared" si="2"/>
        <v>1</v>
      </c>
      <c r="Y16" s="1345">
        <f t="shared" si="9"/>
        <v>45000</v>
      </c>
      <c r="Z16" s="1357" t="s">
        <v>7799</v>
      </c>
      <c r="AA16" s="1358" t="s">
        <v>6525</v>
      </c>
      <c r="AC16" s="1388" t="str">
        <f t="shared" si="0"/>
        <v>ok</v>
      </c>
      <c r="AE16" s="1246"/>
    </row>
    <row r="17" spans="1:30" s="1393" customFormat="1" ht="36.75" customHeight="1" x14ac:dyDescent="0.6">
      <c r="A17" s="1279">
        <v>10</v>
      </c>
      <c r="B17" s="1372" t="s">
        <v>7656</v>
      </c>
      <c r="C17" s="1527" t="s">
        <v>9137</v>
      </c>
      <c r="D17" s="1344">
        <v>0</v>
      </c>
      <c r="E17" s="1378">
        <f t="shared" si="10"/>
        <v>0</v>
      </c>
      <c r="F17" s="1345">
        <v>0</v>
      </c>
      <c r="G17" s="1378">
        <f t="shared" si="11"/>
        <v>0</v>
      </c>
      <c r="H17" s="1343">
        <v>0</v>
      </c>
      <c r="I17" s="1345">
        <f t="shared" si="3"/>
        <v>0</v>
      </c>
      <c r="J17" s="1204">
        <v>2</v>
      </c>
      <c r="K17" s="1653">
        <v>10</v>
      </c>
      <c r="L17" s="1344">
        <f t="shared" si="4"/>
        <v>150000</v>
      </c>
      <c r="M17" s="1204">
        <v>2</v>
      </c>
      <c r="N17" s="1378">
        <v>15000</v>
      </c>
      <c r="O17" s="1346">
        <f t="shared" si="5"/>
        <v>30000</v>
      </c>
      <c r="P17" s="1344">
        <v>0</v>
      </c>
      <c r="Q17" s="1482">
        <f t="shared" si="6"/>
        <v>0</v>
      </c>
      <c r="R17" s="1344">
        <v>2</v>
      </c>
      <c r="S17" s="1483">
        <f t="shared" si="1"/>
        <v>30000</v>
      </c>
      <c r="T17" s="1345">
        <v>0</v>
      </c>
      <c r="U17" s="1483">
        <f t="shared" si="7"/>
        <v>0</v>
      </c>
      <c r="V17" s="1482">
        <v>0</v>
      </c>
      <c r="W17" s="1483">
        <f t="shared" si="8"/>
        <v>0</v>
      </c>
      <c r="X17" s="1345">
        <f t="shared" si="2"/>
        <v>2</v>
      </c>
      <c r="Y17" s="1345">
        <f t="shared" si="9"/>
        <v>30000</v>
      </c>
      <c r="Z17" s="1357" t="s">
        <v>7799</v>
      </c>
      <c r="AA17" s="1358" t="s">
        <v>6525</v>
      </c>
      <c r="AB17" s="1359" t="b">
        <v>0</v>
      </c>
      <c r="AC17" s="1388" t="str">
        <f t="shared" si="0"/>
        <v>ok</v>
      </c>
      <c r="AD17" s="1280"/>
    </row>
    <row r="18" spans="1:30" ht="33" customHeight="1" x14ac:dyDescent="0.6">
      <c r="A18" s="1279">
        <v>11</v>
      </c>
      <c r="B18" s="1211" t="s">
        <v>7657</v>
      </c>
      <c r="C18" s="1489" t="s">
        <v>7895</v>
      </c>
      <c r="D18" s="1344">
        <v>0</v>
      </c>
      <c r="E18" s="1378">
        <f t="shared" si="10"/>
        <v>0</v>
      </c>
      <c r="F18" s="1345">
        <v>0</v>
      </c>
      <c r="G18" s="1378">
        <f t="shared" si="11"/>
        <v>0</v>
      </c>
      <c r="H18" s="1343">
        <v>0</v>
      </c>
      <c r="I18" s="1345">
        <f t="shared" si="3"/>
        <v>0</v>
      </c>
      <c r="J18" s="1204">
        <v>2</v>
      </c>
      <c r="K18" s="1653">
        <v>0</v>
      </c>
      <c r="L18" s="1344">
        <f t="shared" si="4"/>
        <v>0</v>
      </c>
      <c r="M18" s="1204">
        <v>2</v>
      </c>
      <c r="N18" s="1981">
        <v>15000</v>
      </c>
      <c r="O18" s="1346">
        <f t="shared" si="5"/>
        <v>30000</v>
      </c>
      <c r="P18" s="1344">
        <v>0</v>
      </c>
      <c r="Q18" s="1482">
        <f t="shared" si="6"/>
        <v>0</v>
      </c>
      <c r="R18" s="1344">
        <v>2</v>
      </c>
      <c r="S18" s="1483">
        <f t="shared" si="1"/>
        <v>30000</v>
      </c>
      <c r="T18" s="1345">
        <v>0</v>
      </c>
      <c r="U18" s="1483">
        <f t="shared" si="7"/>
        <v>0</v>
      </c>
      <c r="V18" s="1482">
        <v>0</v>
      </c>
      <c r="W18" s="1483">
        <f t="shared" si="8"/>
        <v>0</v>
      </c>
      <c r="X18" s="1345">
        <f t="shared" si="2"/>
        <v>2</v>
      </c>
      <c r="Y18" s="1345">
        <f t="shared" si="9"/>
        <v>30000</v>
      </c>
      <c r="Z18" s="1357" t="s">
        <v>7799</v>
      </c>
      <c r="AA18" s="1358" t="s">
        <v>6525</v>
      </c>
      <c r="AB18" s="1359" t="s">
        <v>9150</v>
      </c>
      <c r="AC18" s="1388" t="str">
        <f t="shared" si="0"/>
        <v>ok</v>
      </c>
    </row>
    <row r="19" spans="1:30" ht="31.5" customHeight="1" x14ac:dyDescent="0.6">
      <c r="A19" s="1279">
        <v>12</v>
      </c>
      <c r="B19" s="1211" t="s">
        <v>7658</v>
      </c>
      <c r="C19" s="1489" t="s">
        <v>7895</v>
      </c>
      <c r="D19" s="1344">
        <v>0</v>
      </c>
      <c r="E19" s="1378">
        <f t="shared" si="10"/>
        <v>0</v>
      </c>
      <c r="F19" s="1345">
        <v>0</v>
      </c>
      <c r="G19" s="1378">
        <f t="shared" si="11"/>
        <v>0</v>
      </c>
      <c r="H19" s="1343">
        <v>0</v>
      </c>
      <c r="I19" s="1345">
        <f t="shared" si="3"/>
        <v>0</v>
      </c>
      <c r="J19" s="1204">
        <v>1</v>
      </c>
      <c r="K19" s="1653">
        <v>0</v>
      </c>
      <c r="L19" s="1344">
        <f t="shared" si="4"/>
        <v>0</v>
      </c>
      <c r="M19" s="1204">
        <v>1</v>
      </c>
      <c r="N19" s="1981">
        <v>15000</v>
      </c>
      <c r="O19" s="1346">
        <f t="shared" si="5"/>
        <v>15000</v>
      </c>
      <c r="P19" s="1344">
        <v>0</v>
      </c>
      <c r="Q19" s="1482">
        <f t="shared" si="6"/>
        <v>0</v>
      </c>
      <c r="R19" s="1344">
        <v>1</v>
      </c>
      <c r="S19" s="1483">
        <f t="shared" si="1"/>
        <v>15000</v>
      </c>
      <c r="T19" s="1345">
        <v>0</v>
      </c>
      <c r="U19" s="1483">
        <f t="shared" si="7"/>
        <v>0</v>
      </c>
      <c r="V19" s="1482">
        <v>0</v>
      </c>
      <c r="W19" s="1483">
        <f t="shared" si="8"/>
        <v>0</v>
      </c>
      <c r="X19" s="1345">
        <f t="shared" si="2"/>
        <v>1</v>
      </c>
      <c r="Y19" s="1345">
        <f t="shared" si="9"/>
        <v>15000</v>
      </c>
      <c r="Z19" s="1357" t="s">
        <v>7799</v>
      </c>
      <c r="AA19" s="1358" t="s">
        <v>6525</v>
      </c>
      <c r="AB19" s="1359" t="s">
        <v>9150</v>
      </c>
      <c r="AC19" s="1388" t="str">
        <f t="shared" si="0"/>
        <v>ok</v>
      </c>
    </row>
    <row r="20" spans="1:30" s="1583" customFormat="1" ht="38.25" customHeight="1" x14ac:dyDescent="0.25">
      <c r="A20" s="1279">
        <v>13</v>
      </c>
      <c r="B20" s="1982" t="s">
        <v>7659</v>
      </c>
      <c r="C20" s="1983" t="s">
        <v>7893</v>
      </c>
      <c r="D20" s="1485">
        <v>0</v>
      </c>
      <c r="E20" s="1940">
        <f t="shared" si="10"/>
        <v>0</v>
      </c>
      <c r="F20" s="1485">
        <v>0</v>
      </c>
      <c r="G20" s="1940">
        <f t="shared" si="11"/>
        <v>0</v>
      </c>
      <c r="H20" s="1485">
        <v>0</v>
      </c>
      <c r="I20" s="1940">
        <f t="shared" si="3"/>
        <v>0</v>
      </c>
      <c r="J20" s="1984">
        <v>12</v>
      </c>
      <c r="K20" s="1985">
        <v>0</v>
      </c>
      <c r="L20" s="1940">
        <f t="shared" si="4"/>
        <v>0</v>
      </c>
      <c r="M20" s="1986">
        <v>12</v>
      </c>
      <c r="N20" s="1987">
        <v>4000</v>
      </c>
      <c r="O20" s="1346">
        <f t="shared" si="5"/>
        <v>48000</v>
      </c>
      <c r="P20" s="1940">
        <v>12</v>
      </c>
      <c r="Q20" s="1482">
        <f t="shared" si="6"/>
        <v>48000</v>
      </c>
      <c r="R20" s="1940">
        <v>0</v>
      </c>
      <c r="S20" s="1483">
        <f t="shared" si="1"/>
        <v>0</v>
      </c>
      <c r="T20" s="1940">
        <v>0</v>
      </c>
      <c r="U20" s="1940">
        <f t="shared" si="7"/>
        <v>0</v>
      </c>
      <c r="V20" s="1940">
        <v>0</v>
      </c>
      <c r="W20" s="1984">
        <f t="shared" si="8"/>
        <v>0</v>
      </c>
      <c r="X20" s="1345">
        <f t="shared" si="2"/>
        <v>12</v>
      </c>
      <c r="Y20" s="1484">
        <f>N20*X20</f>
        <v>48000</v>
      </c>
      <c r="Z20" s="1357" t="s">
        <v>7799</v>
      </c>
      <c r="AA20" s="1358" t="s">
        <v>6526</v>
      </c>
      <c r="AB20" s="1358"/>
      <c r="AC20" s="1388" t="str">
        <f t="shared" si="0"/>
        <v>ok</v>
      </c>
    </row>
    <row r="21" spans="1:30" s="1388" customFormat="1" ht="37.950000000000003" customHeight="1" x14ac:dyDescent="0.25">
      <c r="A21" s="1279">
        <v>14</v>
      </c>
      <c r="B21" s="1211" t="s">
        <v>7660</v>
      </c>
      <c r="C21" s="1383" t="s">
        <v>7893</v>
      </c>
      <c r="D21" s="1166">
        <v>0</v>
      </c>
      <c r="E21" s="1378">
        <f t="shared" si="10"/>
        <v>0</v>
      </c>
      <c r="F21" s="1343">
        <v>0</v>
      </c>
      <c r="G21" s="1378">
        <f t="shared" si="11"/>
        <v>0</v>
      </c>
      <c r="H21" s="1343">
        <v>0</v>
      </c>
      <c r="I21" s="1345">
        <f t="shared" si="3"/>
        <v>0</v>
      </c>
      <c r="J21" s="1480">
        <v>1</v>
      </c>
      <c r="K21" s="1651">
        <v>0</v>
      </c>
      <c r="L21" s="1344">
        <v>0</v>
      </c>
      <c r="M21" s="1204">
        <v>1</v>
      </c>
      <c r="N21" s="1875">
        <v>110000</v>
      </c>
      <c r="O21" s="1346">
        <f>M21*N21</f>
        <v>110000</v>
      </c>
      <c r="P21" s="1482">
        <v>0</v>
      </c>
      <c r="Q21" s="1482">
        <f>P21*N21</f>
        <v>0</v>
      </c>
      <c r="R21" s="1482">
        <v>1</v>
      </c>
      <c r="S21" s="1483">
        <f t="shared" si="1"/>
        <v>110000</v>
      </c>
      <c r="T21" s="1482">
        <v>0</v>
      </c>
      <c r="U21" s="1483">
        <f>T21*N21</f>
        <v>0</v>
      </c>
      <c r="V21" s="1482">
        <v>0</v>
      </c>
      <c r="W21" s="1483">
        <f>V21*N21</f>
        <v>0</v>
      </c>
      <c r="X21" s="1345">
        <f t="shared" si="2"/>
        <v>1</v>
      </c>
      <c r="Y21" s="1345">
        <f>X21*N21</f>
        <v>110000</v>
      </c>
      <c r="Z21" s="1387" t="s">
        <v>7799</v>
      </c>
      <c r="AA21" s="1358" t="s">
        <v>7685</v>
      </c>
      <c r="AB21" s="1359" t="str">
        <f t="shared" ref="AB21:AB27" si="12">IF(O21=Y21,"yes")</f>
        <v>yes</v>
      </c>
      <c r="AC21" s="1388" t="str">
        <f t="shared" si="0"/>
        <v>ok</v>
      </c>
    </row>
    <row r="22" spans="1:30" s="1359" customFormat="1" ht="20.25" customHeight="1" x14ac:dyDescent="0.25">
      <c r="A22" s="1279">
        <v>15</v>
      </c>
      <c r="B22" s="1211" t="s">
        <v>7661</v>
      </c>
      <c r="C22" s="1383" t="s">
        <v>7893</v>
      </c>
      <c r="D22" s="1344">
        <v>0</v>
      </c>
      <c r="E22" s="1378">
        <f t="shared" si="10"/>
        <v>0</v>
      </c>
      <c r="F22" s="1345">
        <v>0</v>
      </c>
      <c r="G22" s="1378">
        <f t="shared" si="11"/>
        <v>0</v>
      </c>
      <c r="H22" s="1345">
        <v>0</v>
      </c>
      <c r="I22" s="1345">
        <f t="shared" si="3"/>
        <v>0</v>
      </c>
      <c r="J22" s="1652">
        <v>2</v>
      </c>
      <c r="K22" s="1653">
        <v>0</v>
      </c>
      <c r="L22" s="1344">
        <v>0</v>
      </c>
      <c r="M22" s="1204">
        <v>2</v>
      </c>
      <c r="N22" s="1205">
        <v>4000</v>
      </c>
      <c r="O22" s="1346">
        <f t="shared" ref="O22:O23" si="13">M22*N22</f>
        <v>8000</v>
      </c>
      <c r="P22" s="1344">
        <v>2</v>
      </c>
      <c r="Q22" s="1482">
        <f t="shared" ref="Q22:Q23" si="14">P22*N22</f>
        <v>8000</v>
      </c>
      <c r="R22" s="1344">
        <v>0</v>
      </c>
      <c r="S22" s="1483">
        <f t="shared" si="1"/>
        <v>0</v>
      </c>
      <c r="T22" s="1345">
        <v>0</v>
      </c>
      <c r="U22" s="1483">
        <f t="shared" ref="U22:U23" si="15">T22*N22</f>
        <v>0</v>
      </c>
      <c r="V22" s="1345">
        <v>0</v>
      </c>
      <c r="W22" s="1483">
        <f t="shared" ref="W22:W23" si="16">V22*N22</f>
        <v>0</v>
      </c>
      <c r="X22" s="1345">
        <f t="shared" si="2"/>
        <v>2</v>
      </c>
      <c r="Y22" s="1345">
        <f t="shared" ref="Y22:Y23" si="17">X22*N22</f>
        <v>8000</v>
      </c>
      <c r="Z22" s="1387" t="s">
        <v>7799</v>
      </c>
      <c r="AA22" s="1358" t="s">
        <v>7685</v>
      </c>
      <c r="AB22" s="1359" t="str">
        <f t="shared" si="12"/>
        <v>yes</v>
      </c>
      <c r="AC22" s="1388" t="str">
        <f t="shared" si="0"/>
        <v>ok</v>
      </c>
    </row>
    <row r="23" spans="1:30" s="1359" customFormat="1" ht="20.25" customHeight="1" x14ac:dyDescent="0.25">
      <c r="A23" s="1279">
        <v>16</v>
      </c>
      <c r="B23" s="1211" t="s">
        <v>7662</v>
      </c>
      <c r="C23" s="1383" t="s">
        <v>7893</v>
      </c>
      <c r="D23" s="1344">
        <v>0</v>
      </c>
      <c r="E23" s="1378">
        <f t="shared" si="10"/>
        <v>0</v>
      </c>
      <c r="F23" s="1345">
        <v>0</v>
      </c>
      <c r="G23" s="1378">
        <f t="shared" si="11"/>
        <v>0</v>
      </c>
      <c r="H23" s="1345">
        <v>0</v>
      </c>
      <c r="I23" s="1345">
        <f t="shared" si="3"/>
        <v>0</v>
      </c>
      <c r="J23" s="1652">
        <v>2</v>
      </c>
      <c r="K23" s="1653">
        <v>0</v>
      </c>
      <c r="L23" s="1344">
        <v>0</v>
      </c>
      <c r="M23" s="1204">
        <v>2</v>
      </c>
      <c r="N23" s="1205">
        <v>300</v>
      </c>
      <c r="O23" s="1346">
        <f t="shared" si="13"/>
        <v>600</v>
      </c>
      <c r="P23" s="1344">
        <v>2</v>
      </c>
      <c r="Q23" s="1482">
        <f t="shared" si="14"/>
        <v>600</v>
      </c>
      <c r="R23" s="1345">
        <v>0</v>
      </c>
      <c r="S23" s="1483">
        <f t="shared" si="1"/>
        <v>0</v>
      </c>
      <c r="T23" s="1344">
        <v>0</v>
      </c>
      <c r="U23" s="1483">
        <f t="shared" si="15"/>
        <v>0</v>
      </c>
      <c r="V23" s="1345">
        <v>0</v>
      </c>
      <c r="W23" s="1483">
        <f t="shared" si="16"/>
        <v>0</v>
      </c>
      <c r="X23" s="1345">
        <f t="shared" si="2"/>
        <v>2</v>
      </c>
      <c r="Y23" s="1345">
        <f t="shared" si="17"/>
        <v>600</v>
      </c>
      <c r="Z23" s="1387" t="s">
        <v>7799</v>
      </c>
      <c r="AA23" s="1358" t="s">
        <v>7685</v>
      </c>
      <c r="AB23" s="1359" t="str">
        <f t="shared" si="12"/>
        <v>yes</v>
      </c>
      <c r="AC23" s="1388" t="str">
        <f t="shared" si="0"/>
        <v>ok</v>
      </c>
    </row>
    <row r="24" spans="1:30" s="1388" customFormat="1" ht="23.25" customHeight="1" x14ac:dyDescent="0.25">
      <c r="A24" s="1279">
        <v>17</v>
      </c>
      <c r="B24" s="1211" t="s">
        <v>7663</v>
      </c>
      <c r="C24" s="1383"/>
      <c r="D24" s="1903"/>
      <c r="E24" s="1873">
        <f t="shared" si="10"/>
        <v>0</v>
      </c>
      <c r="F24" s="1343">
        <v>5</v>
      </c>
      <c r="G24" s="1873">
        <v>22500</v>
      </c>
      <c r="H24" s="1343">
        <v>0</v>
      </c>
      <c r="I24" s="1874">
        <f t="shared" si="3"/>
        <v>0</v>
      </c>
      <c r="J24" s="1480">
        <v>14</v>
      </c>
      <c r="K24" s="1651">
        <v>0</v>
      </c>
      <c r="L24" s="1344">
        <v>0</v>
      </c>
      <c r="M24" s="1204">
        <v>14</v>
      </c>
      <c r="N24" s="1875">
        <v>4800</v>
      </c>
      <c r="O24" s="1346">
        <f>M24*N24</f>
        <v>67200</v>
      </c>
      <c r="P24" s="1482">
        <v>14</v>
      </c>
      <c r="Q24" s="1482">
        <f>P24*N24</f>
        <v>67200</v>
      </c>
      <c r="R24" s="1482">
        <v>0</v>
      </c>
      <c r="S24" s="1483">
        <f t="shared" si="1"/>
        <v>0</v>
      </c>
      <c r="T24" s="1482">
        <v>0</v>
      </c>
      <c r="U24" s="1483">
        <f>T24*N24</f>
        <v>0</v>
      </c>
      <c r="V24" s="1482">
        <v>0</v>
      </c>
      <c r="W24" s="1483">
        <f>V24*N24</f>
        <v>0</v>
      </c>
      <c r="X24" s="1345">
        <f t="shared" si="2"/>
        <v>14</v>
      </c>
      <c r="Y24" s="1345">
        <f>X24*N24</f>
        <v>67200</v>
      </c>
      <c r="Z24" s="1387" t="s">
        <v>7799</v>
      </c>
      <c r="AA24" s="1358" t="s">
        <v>8273</v>
      </c>
      <c r="AB24" s="1359" t="str">
        <f t="shared" si="12"/>
        <v>yes</v>
      </c>
      <c r="AC24" s="1388" t="str">
        <f t="shared" si="0"/>
        <v>ok</v>
      </c>
    </row>
    <row r="25" spans="1:30" s="1359" customFormat="1" ht="42" customHeight="1" x14ac:dyDescent="0.25">
      <c r="A25" s="1279">
        <v>18</v>
      </c>
      <c r="B25" s="1211" t="s">
        <v>7664</v>
      </c>
      <c r="C25" s="1383"/>
      <c r="D25" s="1344">
        <v>0</v>
      </c>
      <c r="E25" s="1873">
        <f t="shared" si="10"/>
        <v>0</v>
      </c>
      <c r="F25" s="1345">
        <v>0</v>
      </c>
      <c r="G25" s="1873">
        <f t="shared" ref="G25:G28" si="18">F25*N25</f>
        <v>0</v>
      </c>
      <c r="H25" s="1345">
        <v>0</v>
      </c>
      <c r="I25" s="1874">
        <f t="shared" si="3"/>
        <v>0</v>
      </c>
      <c r="J25" s="1652">
        <v>1</v>
      </c>
      <c r="K25" s="1653">
        <v>0</v>
      </c>
      <c r="L25" s="1344">
        <v>0</v>
      </c>
      <c r="M25" s="1204">
        <v>1</v>
      </c>
      <c r="N25" s="1205">
        <v>97000</v>
      </c>
      <c r="O25" s="1346">
        <f t="shared" ref="O25:O32" si="19">M25*N25</f>
        <v>97000</v>
      </c>
      <c r="P25" s="1344">
        <v>1</v>
      </c>
      <c r="Q25" s="1482">
        <f t="shared" ref="Q25:Q31" si="20">P25*N25</f>
        <v>97000</v>
      </c>
      <c r="R25" s="1344">
        <v>0</v>
      </c>
      <c r="S25" s="1483">
        <f t="shared" si="1"/>
        <v>0</v>
      </c>
      <c r="T25" s="1345">
        <v>0</v>
      </c>
      <c r="U25" s="1483">
        <f t="shared" ref="U25:U28" si="21">T25*N25</f>
        <v>0</v>
      </c>
      <c r="V25" s="1345">
        <v>0</v>
      </c>
      <c r="W25" s="1483">
        <f t="shared" ref="W25:W28" si="22">V25*N25</f>
        <v>0</v>
      </c>
      <c r="X25" s="1345">
        <f t="shared" si="2"/>
        <v>1</v>
      </c>
      <c r="Y25" s="1345">
        <f t="shared" ref="Y25:Y32" si="23">X25*N25</f>
        <v>97000</v>
      </c>
      <c r="Z25" s="1387" t="s">
        <v>7799</v>
      </c>
      <c r="AA25" s="1358" t="s">
        <v>8273</v>
      </c>
      <c r="AB25" s="1359" t="str">
        <f t="shared" si="12"/>
        <v>yes</v>
      </c>
      <c r="AC25" s="1388" t="str">
        <f t="shared" si="0"/>
        <v>ok</v>
      </c>
    </row>
    <row r="26" spans="1:30" s="1359" customFormat="1" ht="35.25" customHeight="1" x14ac:dyDescent="0.25">
      <c r="A26" s="1279">
        <v>19</v>
      </c>
      <c r="B26" s="1211" t="s">
        <v>7665</v>
      </c>
      <c r="C26" s="1383"/>
      <c r="D26" s="1344">
        <v>0</v>
      </c>
      <c r="E26" s="1873">
        <f t="shared" si="10"/>
        <v>0</v>
      </c>
      <c r="F26" s="1345">
        <v>0</v>
      </c>
      <c r="G26" s="1873">
        <f t="shared" si="18"/>
        <v>0</v>
      </c>
      <c r="H26" s="1345">
        <v>0</v>
      </c>
      <c r="I26" s="1874">
        <f t="shared" si="3"/>
        <v>0</v>
      </c>
      <c r="J26" s="1652">
        <v>1</v>
      </c>
      <c r="K26" s="1653">
        <v>0</v>
      </c>
      <c r="L26" s="1344">
        <v>0</v>
      </c>
      <c r="M26" s="1204">
        <v>1</v>
      </c>
      <c r="N26" s="1205">
        <v>16000</v>
      </c>
      <c r="O26" s="1346">
        <f t="shared" si="19"/>
        <v>16000</v>
      </c>
      <c r="P26" s="1344">
        <v>1</v>
      </c>
      <c r="Q26" s="1482">
        <f t="shared" si="20"/>
        <v>16000</v>
      </c>
      <c r="R26" s="1345">
        <v>0</v>
      </c>
      <c r="S26" s="1483">
        <f t="shared" si="1"/>
        <v>0</v>
      </c>
      <c r="T26" s="1344">
        <v>0</v>
      </c>
      <c r="U26" s="1483">
        <f t="shared" si="21"/>
        <v>0</v>
      </c>
      <c r="V26" s="1345">
        <v>0</v>
      </c>
      <c r="W26" s="1483">
        <f t="shared" si="22"/>
        <v>0</v>
      </c>
      <c r="X26" s="1345">
        <f t="shared" si="2"/>
        <v>1</v>
      </c>
      <c r="Y26" s="1345">
        <f t="shared" si="23"/>
        <v>16000</v>
      </c>
      <c r="Z26" s="1387" t="s">
        <v>7799</v>
      </c>
      <c r="AA26" s="1358" t="s">
        <v>8273</v>
      </c>
      <c r="AB26" s="1359" t="str">
        <f t="shared" si="12"/>
        <v>yes</v>
      </c>
      <c r="AC26" s="1388" t="str">
        <f t="shared" si="0"/>
        <v>ok</v>
      </c>
    </row>
    <row r="27" spans="1:30" s="1359" customFormat="1" ht="20.25" customHeight="1" x14ac:dyDescent="0.25">
      <c r="A27" s="1279">
        <v>20</v>
      </c>
      <c r="B27" s="1211" t="s">
        <v>7666</v>
      </c>
      <c r="C27" s="1383"/>
      <c r="D27" s="1344"/>
      <c r="E27" s="1873">
        <f t="shared" si="10"/>
        <v>0</v>
      </c>
      <c r="F27" s="1345"/>
      <c r="G27" s="1873">
        <f t="shared" si="18"/>
        <v>0</v>
      </c>
      <c r="H27" s="1345"/>
      <c r="I27" s="1874">
        <f t="shared" si="3"/>
        <v>0</v>
      </c>
      <c r="J27" s="1652">
        <v>2</v>
      </c>
      <c r="K27" s="1653">
        <v>0</v>
      </c>
      <c r="L27" s="1344">
        <v>0</v>
      </c>
      <c r="M27" s="1204">
        <v>2</v>
      </c>
      <c r="N27" s="1205">
        <v>6000</v>
      </c>
      <c r="O27" s="1346">
        <f t="shared" si="19"/>
        <v>12000</v>
      </c>
      <c r="P27" s="1345">
        <v>2</v>
      </c>
      <c r="Q27" s="1482">
        <f t="shared" si="20"/>
        <v>12000</v>
      </c>
      <c r="R27" s="1344">
        <v>0</v>
      </c>
      <c r="S27" s="1483">
        <f t="shared" si="1"/>
        <v>0</v>
      </c>
      <c r="T27" s="1345">
        <v>0</v>
      </c>
      <c r="U27" s="1483">
        <f t="shared" si="21"/>
        <v>0</v>
      </c>
      <c r="V27" s="1344">
        <v>0</v>
      </c>
      <c r="W27" s="1483">
        <f t="shared" si="22"/>
        <v>0</v>
      </c>
      <c r="X27" s="1345">
        <f t="shared" si="2"/>
        <v>2</v>
      </c>
      <c r="Y27" s="1345">
        <f t="shared" si="23"/>
        <v>12000</v>
      </c>
      <c r="Z27" s="1387" t="s">
        <v>7799</v>
      </c>
      <c r="AA27" s="1358" t="s">
        <v>8273</v>
      </c>
      <c r="AB27" s="1359" t="str">
        <f t="shared" si="12"/>
        <v>yes</v>
      </c>
      <c r="AC27" s="1388" t="str">
        <f t="shared" si="0"/>
        <v>ok</v>
      </c>
    </row>
    <row r="28" spans="1:30" s="1359" customFormat="1" ht="20.25" customHeight="1" x14ac:dyDescent="0.25">
      <c r="A28" s="1279">
        <v>21</v>
      </c>
      <c r="B28" s="1211" t="s">
        <v>7667</v>
      </c>
      <c r="C28" s="1383" t="s">
        <v>7893</v>
      </c>
      <c r="D28" s="1344">
        <v>0</v>
      </c>
      <c r="E28" s="1378">
        <f t="shared" si="10"/>
        <v>0</v>
      </c>
      <c r="F28" s="1345">
        <v>0</v>
      </c>
      <c r="G28" s="1378">
        <f t="shared" si="18"/>
        <v>0</v>
      </c>
      <c r="H28" s="1345">
        <v>0</v>
      </c>
      <c r="I28" s="1345">
        <f t="shared" si="3"/>
        <v>0</v>
      </c>
      <c r="J28" s="1652">
        <v>2</v>
      </c>
      <c r="K28" s="1653">
        <v>0</v>
      </c>
      <c r="L28" s="1344">
        <v>0</v>
      </c>
      <c r="M28" s="1204">
        <v>2</v>
      </c>
      <c r="N28" s="1205">
        <v>4000</v>
      </c>
      <c r="O28" s="1346">
        <f t="shared" si="19"/>
        <v>8000</v>
      </c>
      <c r="P28" s="1483">
        <v>2</v>
      </c>
      <c r="Q28" s="1482">
        <f t="shared" si="20"/>
        <v>8000</v>
      </c>
      <c r="R28" s="1482">
        <v>0</v>
      </c>
      <c r="S28" s="1483">
        <f t="shared" si="1"/>
        <v>0</v>
      </c>
      <c r="T28" s="1483">
        <v>0</v>
      </c>
      <c r="U28" s="1483">
        <f t="shared" si="21"/>
        <v>0</v>
      </c>
      <c r="V28" s="1482">
        <v>0</v>
      </c>
      <c r="W28" s="1483">
        <f t="shared" si="22"/>
        <v>0</v>
      </c>
      <c r="X28" s="1345">
        <f t="shared" si="2"/>
        <v>2</v>
      </c>
      <c r="Y28" s="1345">
        <f t="shared" si="23"/>
        <v>8000</v>
      </c>
      <c r="Z28" s="1387" t="s">
        <v>7799</v>
      </c>
      <c r="AA28" s="1358" t="s">
        <v>7685</v>
      </c>
      <c r="AC28" s="1388" t="str">
        <f t="shared" si="0"/>
        <v>ok</v>
      </c>
    </row>
    <row r="29" spans="1:30" s="1388" customFormat="1" ht="48" customHeight="1" x14ac:dyDescent="0.25">
      <c r="A29" s="1279">
        <v>22</v>
      </c>
      <c r="B29" s="1988" t="s">
        <v>7668</v>
      </c>
      <c r="C29" s="1563" t="s">
        <v>9151</v>
      </c>
      <c r="D29" s="1564"/>
      <c r="E29" s="1945">
        <f>D29*N29</f>
        <v>0</v>
      </c>
      <c r="F29" s="1565"/>
      <c r="G29" s="1945">
        <f>F29*N29</f>
        <v>0</v>
      </c>
      <c r="H29" s="1565"/>
      <c r="I29" s="1565">
        <f>H29*N29</f>
        <v>0</v>
      </c>
      <c r="J29" s="1565">
        <v>2</v>
      </c>
      <c r="K29" s="1565"/>
      <c r="L29" s="1564"/>
      <c r="M29" s="1565">
        <v>2</v>
      </c>
      <c r="N29" s="1566">
        <v>3000</v>
      </c>
      <c r="O29" s="1566">
        <f t="shared" si="19"/>
        <v>6000</v>
      </c>
      <c r="P29" s="1564">
        <v>2</v>
      </c>
      <c r="Q29" s="1565">
        <f t="shared" si="20"/>
        <v>6000</v>
      </c>
      <c r="R29" s="1564"/>
      <c r="S29" s="1952">
        <f t="shared" si="1"/>
        <v>0</v>
      </c>
      <c r="T29" s="1565"/>
      <c r="U29" s="1564"/>
      <c r="V29" s="1565"/>
      <c r="W29" s="1564">
        <f>V29*N29</f>
        <v>0</v>
      </c>
      <c r="X29" s="1565">
        <f t="shared" si="2"/>
        <v>2</v>
      </c>
      <c r="Y29" s="1565">
        <f t="shared" si="23"/>
        <v>6000</v>
      </c>
      <c r="Z29" s="1556" t="s">
        <v>7799</v>
      </c>
      <c r="AA29" s="1557" t="s">
        <v>6525</v>
      </c>
      <c r="AC29" s="1388" t="str">
        <f t="shared" si="0"/>
        <v>ok</v>
      </c>
    </row>
    <row r="30" spans="1:30" s="1388" customFormat="1" ht="40.200000000000003" customHeight="1" x14ac:dyDescent="0.25">
      <c r="A30" s="1279">
        <v>23</v>
      </c>
      <c r="B30" s="1988" t="s">
        <v>7669</v>
      </c>
      <c r="C30" s="1563" t="s">
        <v>9151</v>
      </c>
      <c r="D30" s="1564"/>
      <c r="E30" s="1945">
        <f>D30*N30</f>
        <v>0</v>
      </c>
      <c r="F30" s="1565"/>
      <c r="G30" s="1945">
        <f>F30*N30</f>
        <v>0</v>
      </c>
      <c r="H30" s="1565"/>
      <c r="I30" s="1565">
        <f>H30*N30</f>
        <v>0</v>
      </c>
      <c r="J30" s="1565">
        <v>2</v>
      </c>
      <c r="K30" s="1565"/>
      <c r="L30" s="1564"/>
      <c r="M30" s="1565">
        <v>2</v>
      </c>
      <c r="N30" s="1566">
        <v>7900</v>
      </c>
      <c r="O30" s="1566">
        <f>M30*N30</f>
        <v>15800</v>
      </c>
      <c r="P30" s="1564">
        <v>2</v>
      </c>
      <c r="Q30" s="1565">
        <f>P30*N30</f>
        <v>15800</v>
      </c>
      <c r="R30" s="1564"/>
      <c r="S30" s="1952">
        <f t="shared" si="1"/>
        <v>0</v>
      </c>
      <c r="T30" s="1565"/>
      <c r="U30" s="1564"/>
      <c r="V30" s="1565"/>
      <c r="W30" s="1564">
        <f>V30*N30</f>
        <v>0</v>
      </c>
      <c r="X30" s="1565">
        <f>P30+R30+T30+V30</f>
        <v>2</v>
      </c>
      <c r="Y30" s="1565">
        <f>X30*N30</f>
        <v>15800</v>
      </c>
      <c r="Z30" s="1556" t="s">
        <v>7799</v>
      </c>
      <c r="AA30" s="1557" t="s">
        <v>6525</v>
      </c>
      <c r="AC30" s="1388" t="str">
        <f t="shared" si="0"/>
        <v>ok</v>
      </c>
    </row>
    <row r="31" spans="1:30" s="1359" customFormat="1" ht="56.4" customHeight="1" x14ac:dyDescent="0.25">
      <c r="A31" s="1279">
        <v>24</v>
      </c>
      <c r="B31" s="1562" t="s">
        <v>7670</v>
      </c>
      <c r="C31" s="1563" t="s">
        <v>9152</v>
      </c>
      <c r="D31" s="1564"/>
      <c r="E31" s="1945"/>
      <c r="F31" s="1565"/>
      <c r="G31" s="1945"/>
      <c r="H31" s="1565"/>
      <c r="I31" s="1565"/>
      <c r="J31" s="1565">
        <v>1</v>
      </c>
      <c r="K31" s="1565"/>
      <c r="L31" s="1564"/>
      <c r="M31" s="1565">
        <v>1</v>
      </c>
      <c r="N31" s="1566">
        <v>14000</v>
      </c>
      <c r="O31" s="1346">
        <f t="shared" si="19"/>
        <v>14000</v>
      </c>
      <c r="P31" s="1344">
        <v>1</v>
      </c>
      <c r="Q31" s="1345">
        <f t="shared" si="20"/>
        <v>14000</v>
      </c>
      <c r="R31" s="1344"/>
      <c r="S31" s="1483">
        <f t="shared" si="1"/>
        <v>0</v>
      </c>
      <c r="T31" s="1345"/>
      <c r="U31" s="1344"/>
      <c r="V31" s="1345"/>
      <c r="W31" s="1344"/>
      <c r="X31" s="1345">
        <f t="shared" si="2"/>
        <v>1</v>
      </c>
      <c r="Y31" s="1345">
        <f t="shared" si="23"/>
        <v>14000</v>
      </c>
      <c r="Z31" s="1556" t="s">
        <v>7799</v>
      </c>
      <c r="AA31" s="1557" t="s">
        <v>6525</v>
      </c>
      <c r="AC31" s="1388" t="str">
        <f t="shared" si="0"/>
        <v>ok</v>
      </c>
    </row>
    <row r="32" spans="1:30" ht="67.5" customHeight="1" x14ac:dyDescent="0.6">
      <c r="A32" s="1942">
        <v>25</v>
      </c>
      <c r="B32" s="1943" t="s">
        <v>7671</v>
      </c>
      <c r="C32" s="1989" t="s">
        <v>7893</v>
      </c>
      <c r="D32" s="1990">
        <v>0</v>
      </c>
      <c r="E32" s="1991">
        <v>0</v>
      </c>
      <c r="F32" s="1992">
        <v>0</v>
      </c>
      <c r="G32" s="1991">
        <v>0</v>
      </c>
      <c r="H32" s="1993">
        <v>0</v>
      </c>
      <c r="I32" s="1992">
        <v>0</v>
      </c>
      <c r="J32" s="1994">
        <v>1</v>
      </c>
      <c r="K32" s="1995">
        <v>0</v>
      </c>
      <c r="L32" s="1996">
        <v>0</v>
      </c>
      <c r="M32" s="1994">
        <v>1</v>
      </c>
      <c r="N32" s="1997">
        <v>500000</v>
      </c>
      <c r="O32" s="1998">
        <f t="shared" si="19"/>
        <v>500000</v>
      </c>
      <c r="P32" s="1990">
        <v>0</v>
      </c>
      <c r="Q32" s="1999">
        <v>0</v>
      </c>
      <c r="R32" s="1996">
        <v>1</v>
      </c>
      <c r="S32" s="2000">
        <f t="shared" si="1"/>
        <v>500000</v>
      </c>
      <c r="T32" s="1992">
        <v>0</v>
      </c>
      <c r="U32" s="2000">
        <f t="shared" ref="U32" si="24">T32*N32</f>
        <v>0</v>
      </c>
      <c r="V32" s="1999">
        <v>0</v>
      </c>
      <c r="W32" s="2000">
        <f t="shared" ref="W32" si="25">V32*N32</f>
        <v>0</v>
      </c>
      <c r="X32" s="2001">
        <f t="shared" si="2"/>
        <v>1</v>
      </c>
      <c r="Y32" s="2002">
        <f t="shared" si="23"/>
        <v>500000</v>
      </c>
      <c r="Z32" s="1357" t="s">
        <v>7636</v>
      </c>
      <c r="AA32" s="1358" t="s">
        <v>6527</v>
      </c>
      <c r="AB32" s="1359"/>
      <c r="AC32" s="1388" t="str">
        <f t="shared" si="0"/>
        <v>ok</v>
      </c>
    </row>
    <row r="33" spans="1:29" s="1831" customFormat="1" ht="20.25" customHeight="1" x14ac:dyDescent="0.5">
      <c r="A33" s="1824" t="s">
        <v>7433</v>
      </c>
      <c r="B33" s="1824"/>
      <c r="C33" s="1824"/>
      <c r="D33" s="2003">
        <f>SUM(D8:D27)</f>
        <v>77</v>
      </c>
      <c r="E33" s="2003">
        <f>SUM(E8:E32)</f>
        <v>406500</v>
      </c>
      <c r="F33" s="2003">
        <f t="shared" ref="F33:Y33" si="26">SUM(F8:F32)</f>
        <v>48</v>
      </c>
      <c r="G33" s="2003">
        <f t="shared" si="26"/>
        <v>221000</v>
      </c>
      <c r="H33" s="2003">
        <f t="shared" si="26"/>
        <v>35</v>
      </c>
      <c r="I33" s="2003">
        <f t="shared" si="26"/>
        <v>243500</v>
      </c>
      <c r="J33" s="2003">
        <f t="shared" si="26"/>
        <v>84</v>
      </c>
      <c r="K33" s="2003">
        <f t="shared" si="26"/>
        <v>153</v>
      </c>
      <c r="L33" s="2003">
        <f t="shared" si="26"/>
        <v>1431500</v>
      </c>
      <c r="M33" s="2003">
        <f t="shared" si="26"/>
        <v>84</v>
      </c>
      <c r="N33" s="2003">
        <f t="shared" si="26"/>
        <v>994000</v>
      </c>
      <c r="O33" s="2003">
        <f t="shared" si="26"/>
        <v>1267600</v>
      </c>
      <c r="P33" s="2003">
        <f t="shared" si="26"/>
        <v>41</v>
      </c>
      <c r="Q33" s="2003">
        <f t="shared" si="26"/>
        <v>292600</v>
      </c>
      <c r="R33" s="2003">
        <f t="shared" si="26"/>
        <v>43</v>
      </c>
      <c r="S33" s="2003">
        <f t="shared" si="26"/>
        <v>975000</v>
      </c>
      <c r="T33" s="2003">
        <f t="shared" si="26"/>
        <v>0</v>
      </c>
      <c r="U33" s="2003">
        <f t="shared" si="26"/>
        <v>0</v>
      </c>
      <c r="V33" s="2003">
        <f t="shared" si="26"/>
        <v>0</v>
      </c>
      <c r="W33" s="2003">
        <f t="shared" si="26"/>
        <v>0</v>
      </c>
      <c r="X33" s="2003">
        <f t="shared" si="26"/>
        <v>84</v>
      </c>
      <c r="Y33" s="2003">
        <f t="shared" si="26"/>
        <v>1267600</v>
      </c>
      <c r="Z33" s="1830"/>
      <c r="AA33" s="1827"/>
      <c r="AB33" s="1831" t="str">
        <f t="shared" ref="AB33" si="27">IF(O33=Y33,"yes")</f>
        <v>yes</v>
      </c>
      <c r="AC33" s="1388" t="str">
        <f t="shared" si="0"/>
        <v>ok</v>
      </c>
    </row>
    <row r="34" spans="1:29" s="1831" customFormat="1" ht="20.25" customHeight="1" x14ac:dyDescent="0.5">
      <c r="A34" s="2004"/>
      <c r="B34" s="2004"/>
      <c r="C34" s="2004"/>
      <c r="D34" s="2005"/>
      <c r="E34" s="2005"/>
      <c r="F34" s="2006"/>
      <c r="G34" s="2006"/>
      <c r="H34" s="2005"/>
      <c r="I34" s="2005"/>
      <c r="J34" s="2005"/>
      <c r="K34" s="2005"/>
      <c r="L34" s="2005"/>
      <c r="M34" s="2005"/>
      <c r="N34" s="2005"/>
      <c r="O34" s="2005"/>
      <c r="P34" s="2005"/>
      <c r="Q34" s="2005"/>
      <c r="R34" s="2005"/>
      <c r="S34" s="2005"/>
      <c r="T34" s="2005"/>
      <c r="U34" s="2005"/>
      <c r="V34" s="2005"/>
      <c r="W34" s="2005"/>
      <c r="X34" s="2005"/>
      <c r="Y34" s="2005"/>
      <c r="Z34" s="2007"/>
    </row>
    <row r="35" spans="1:29" s="1831" customFormat="1" ht="20.25" customHeight="1" x14ac:dyDescent="0.5">
      <c r="A35" s="2004"/>
      <c r="B35" s="2004"/>
      <c r="C35" s="2004"/>
      <c r="D35" s="2005"/>
      <c r="E35" s="2005"/>
      <c r="F35" s="2006"/>
      <c r="G35" s="2006"/>
      <c r="H35" s="2005"/>
      <c r="I35" s="2005"/>
      <c r="J35" s="2005"/>
      <c r="K35" s="2005"/>
      <c r="L35" s="2005"/>
      <c r="M35" s="2005"/>
      <c r="N35" s="2005"/>
      <c r="O35" s="2005"/>
      <c r="P35" s="2005"/>
      <c r="Q35" s="2005"/>
      <c r="R35" s="2005"/>
      <c r="S35" s="2005"/>
      <c r="T35" s="2005"/>
      <c r="U35" s="2005"/>
      <c r="V35" s="2005"/>
      <c r="W35" s="2005"/>
      <c r="X35" s="2005"/>
      <c r="Y35" s="2005"/>
      <c r="Z35" s="2007"/>
    </row>
    <row r="36" spans="1:29" ht="20.25" customHeight="1" x14ac:dyDescent="0.6">
      <c r="B36" s="1280"/>
      <c r="G36" s="1288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  <c r="Z36" s="1280"/>
    </row>
    <row r="37" spans="1:29" ht="20.25" customHeight="1" x14ac:dyDescent="0.6">
      <c r="B37" s="1280"/>
      <c r="G37" s="1288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  <c r="Z37" s="1280"/>
    </row>
    <row r="38" spans="1:29" ht="20.25" customHeight="1" x14ac:dyDescent="0.6">
      <c r="B38" s="1280"/>
      <c r="G38" s="1288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  <c r="Z38" s="1280"/>
    </row>
    <row r="39" spans="1:29" ht="20.25" customHeight="1" x14ac:dyDescent="0.6">
      <c r="B39" s="1280"/>
      <c r="G39" s="1288"/>
      <c r="N39" s="1290"/>
      <c r="O39" s="1290"/>
      <c r="P39" s="1290"/>
      <c r="Q39" s="1290"/>
      <c r="R39" s="1290"/>
      <c r="S39" s="1290"/>
      <c r="Z39" s="1405"/>
    </row>
    <row r="40" spans="1:29" ht="20.25" customHeight="1" x14ac:dyDescent="0.6"/>
    <row r="41" spans="1:29" ht="20.25" customHeight="1" x14ac:dyDescent="0.6"/>
    <row r="42" spans="1:29" ht="20.25" customHeight="1" x14ac:dyDescent="0.6">
      <c r="AA42" s="1401"/>
    </row>
    <row r="48" spans="1:29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  <row r="707" spans="1:26" x14ac:dyDescent="0.6">
      <c r="A707" s="1280"/>
      <c r="N707" s="1288"/>
      <c r="O707" s="1290"/>
      <c r="Z707" s="1280"/>
    </row>
    <row r="708" spans="1:26" x14ac:dyDescent="0.6">
      <c r="A708" s="1280"/>
      <c r="N708" s="1288"/>
      <c r="O708" s="1290"/>
      <c r="Z708" s="1280"/>
    </row>
    <row r="709" spans="1:26" x14ac:dyDescent="0.6">
      <c r="A709" s="1280"/>
      <c r="N709" s="1288"/>
      <c r="O709" s="1290"/>
      <c r="Z709" s="1280"/>
    </row>
    <row r="710" spans="1:26" x14ac:dyDescent="0.6">
      <c r="A710" s="1280"/>
      <c r="N710" s="1288"/>
      <c r="O710" s="1290"/>
      <c r="Z710" s="1280"/>
    </row>
    <row r="711" spans="1:26" x14ac:dyDescent="0.6">
      <c r="A711" s="1280"/>
      <c r="N711" s="1288"/>
      <c r="O711" s="1290"/>
      <c r="Z711" s="1280"/>
    </row>
    <row r="712" spans="1:26" x14ac:dyDescent="0.6">
      <c r="A712" s="1280"/>
      <c r="N712" s="1288"/>
      <c r="O712" s="1290"/>
      <c r="Z712" s="1280"/>
    </row>
    <row r="713" spans="1:26" x14ac:dyDescent="0.6">
      <c r="A713" s="1280"/>
      <c r="N713" s="1288"/>
      <c r="O713" s="1290"/>
      <c r="Z713" s="1280"/>
    </row>
    <row r="714" spans="1:26" x14ac:dyDescent="0.6">
      <c r="A714" s="1280"/>
      <c r="N714" s="1288"/>
      <c r="O714" s="1290"/>
      <c r="Z714" s="1280"/>
    </row>
    <row r="715" spans="1:26" x14ac:dyDescent="0.6">
      <c r="A715" s="1280"/>
      <c r="N715" s="1288"/>
      <c r="O715" s="1290"/>
      <c r="Z715" s="1280"/>
    </row>
    <row r="716" spans="1:26" x14ac:dyDescent="0.6">
      <c r="A716" s="1280"/>
      <c r="N716" s="1288"/>
      <c r="O716" s="1290"/>
      <c r="Z716" s="1280"/>
    </row>
    <row r="717" spans="1:26" x14ac:dyDescent="0.6">
      <c r="A717" s="1280"/>
      <c r="N717" s="1288"/>
      <c r="O717" s="1290"/>
      <c r="Z717" s="1280"/>
    </row>
    <row r="718" spans="1:26" x14ac:dyDescent="0.6">
      <c r="A718" s="1280"/>
      <c r="N718" s="1288"/>
      <c r="O718" s="1290"/>
      <c r="Z718" s="1280"/>
    </row>
    <row r="719" spans="1:26" x14ac:dyDescent="0.6">
      <c r="A719" s="1280"/>
      <c r="N719" s="1288"/>
      <c r="O719" s="1290"/>
      <c r="Z719" s="1280"/>
    </row>
    <row r="720" spans="1:26" x14ac:dyDescent="0.6">
      <c r="A720" s="1280"/>
      <c r="N720" s="1288"/>
      <c r="O720" s="1290"/>
      <c r="Z720" s="1280"/>
    </row>
    <row r="721" spans="1:26" x14ac:dyDescent="0.6">
      <c r="A721" s="1280"/>
      <c r="N721" s="1288"/>
      <c r="O721" s="1290"/>
      <c r="Z721" s="1280"/>
    </row>
    <row r="722" spans="1:26" x14ac:dyDescent="0.6">
      <c r="A722" s="1280"/>
      <c r="N722" s="1288"/>
      <c r="O722" s="1290"/>
      <c r="Z722" s="1280"/>
    </row>
    <row r="723" spans="1:26" x14ac:dyDescent="0.6">
      <c r="A723" s="1280"/>
      <c r="N723" s="1288"/>
      <c r="O723" s="1290"/>
      <c r="Z723" s="1280"/>
    </row>
    <row r="724" spans="1:26" x14ac:dyDescent="0.6">
      <c r="A724" s="1280"/>
      <c r="N724" s="1288"/>
      <c r="O724" s="1290"/>
      <c r="Z724" s="1280"/>
    </row>
    <row r="725" spans="1:26" x14ac:dyDescent="0.6">
      <c r="A725" s="1280"/>
      <c r="N725" s="1288"/>
      <c r="O725" s="1290"/>
      <c r="Z725" s="1280"/>
    </row>
    <row r="726" spans="1:26" x14ac:dyDescent="0.6">
      <c r="A726" s="1280"/>
      <c r="N726" s="1288"/>
      <c r="O726" s="1290"/>
      <c r="Z726" s="1280"/>
    </row>
  </sheetData>
  <protectedRanges>
    <protectedRange password="CC6F" sqref="B8 B10:B12" name="ช่วง1_5_1_5_1_1_5_1_2"/>
    <protectedRange password="CC6F" sqref="B13:B19" name="ช่วง1_5_1_5_1_1_5_4_2"/>
    <protectedRange password="CC6F" sqref="B21:B22" name="ช่วง1_5_1_5_1_1_1"/>
    <protectedRange password="CC6F" sqref="B23" name="ช่วง1_5_1_5_1_1_5"/>
    <protectedRange password="CC6F" sqref="B24:B25" name="ช่วง1_5_1_5_1_1_1_1"/>
    <protectedRange password="CC6F" sqref="B27" name="ช่วง1_5_1_5_1_1_4"/>
    <protectedRange password="CC6F" sqref="B26" name="ช่วง1_5_1_5_1_1_5_1"/>
    <protectedRange password="CC6F" sqref="B28" name="ช่วง1_5_1_5_1_1_5_2"/>
    <protectedRange password="CC6F" sqref="B29:B30" name="ช่วง1_5_1_5_1_1_1_1_1"/>
    <protectedRange password="CC6F" sqref="B31" name="ช่วง1_5_1_5_1_1_1_1_2"/>
    <protectedRange password="CC6F" sqref="B9" name="ช่วง1_5_1_5_1_1_5_1_2_1"/>
    <protectedRange password="CC6F" sqref="B32" name="ช่วง1_5_1_5_1_1_5_4_2_1"/>
  </protectedRanges>
  <mergeCells count="18">
    <mergeCell ref="X6:X7"/>
    <mergeCell ref="A33:C33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F2807-FD83-45AB-BF0C-A45DA6AD1AA3}">
  <sheetPr>
    <pageSetUpPr fitToPage="1"/>
  </sheetPr>
  <dimension ref="A1:AE711"/>
  <sheetViews>
    <sheetView topLeftCell="G1" zoomScale="110" zoomScaleNormal="110" zoomScaleSheetLayoutView="110" workbookViewId="0">
      <selection activeCell="A17" sqref="A17"/>
    </sheetView>
  </sheetViews>
  <sheetFormatPr defaultColWidth="9" defaultRowHeight="19.8" x14ac:dyDescent="0.5"/>
  <cols>
    <col min="1" max="1" width="4.09765625" style="1834" customWidth="1"/>
    <col min="2" max="2" width="21.8984375" style="1833" customWidth="1"/>
    <col min="3" max="3" width="4.5" style="1739" bestFit="1" customWidth="1"/>
    <col min="4" max="7" width="7" style="1842" customWidth="1"/>
    <col min="8" max="8" width="7.5" style="1842" customWidth="1"/>
    <col min="9" max="9" width="7.59765625" style="1842" customWidth="1"/>
    <col min="10" max="10" width="8.8984375" style="1842" customWidth="1"/>
    <col min="11" max="11" width="8.09765625" style="1842" customWidth="1"/>
    <col min="12" max="12" width="9.8984375" style="1843" customWidth="1"/>
    <col min="13" max="13" width="8" style="1739" customWidth="1"/>
    <col min="14" max="14" width="8.5" style="1844" customWidth="1"/>
    <col min="15" max="15" width="9" style="1845" customWidth="1"/>
    <col min="16" max="16" width="7.3984375" style="1834" customWidth="1"/>
    <col min="17" max="23" width="7.3984375" style="1846" customWidth="1"/>
    <col min="24" max="24" width="8.3984375" style="1739" customWidth="1"/>
    <col min="25" max="25" width="8.19921875" style="1739" customWidth="1"/>
    <col min="26" max="26" width="10.09765625" style="1840" customWidth="1"/>
    <col min="27" max="27" width="12" style="1739" customWidth="1"/>
    <col min="28" max="28" width="7.59765625" style="1739" hidden="1" customWidth="1"/>
    <col min="29" max="29" width="9" style="1739" customWidth="1"/>
    <col min="30" max="30" width="9" style="1739"/>
    <col min="31" max="31" width="32.3984375" style="1739" customWidth="1"/>
    <col min="32" max="32" width="9" style="1739" customWidth="1"/>
    <col min="33" max="16384" width="9" style="1739"/>
  </cols>
  <sheetData>
    <row r="1" spans="1:31" x14ac:dyDescent="0.5">
      <c r="A1" s="1737" t="s">
        <v>9153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1738"/>
      <c r="O1" s="1738"/>
      <c r="P1" s="1738"/>
      <c r="Q1" s="1738"/>
      <c r="R1" s="1738"/>
      <c r="S1" s="1738"/>
      <c r="T1" s="1738"/>
      <c r="U1" s="1738"/>
      <c r="V1" s="1738"/>
      <c r="W1" s="1738"/>
      <c r="X1" s="1738"/>
      <c r="Y1" s="1738"/>
      <c r="Z1" s="1738"/>
      <c r="AA1" s="1738"/>
    </row>
    <row r="2" spans="1:31" x14ac:dyDescent="0.5">
      <c r="A2" s="1738" t="s">
        <v>7775</v>
      </c>
      <c r="B2" s="1738"/>
      <c r="C2" s="1738"/>
      <c r="D2" s="1738"/>
      <c r="E2" s="1738"/>
      <c r="F2" s="1738"/>
      <c r="G2" s="1738"/>
      <c r="H2" s="1738"/>
      <c r="I2" s="1738"/>
      <c r="J2" s="1738"/>
      <c r="K2" s="1738"/>
      <c r="L2" s="1738"/>
      <c r="M2" s="1738"/>
      <c r="N2" s="1738"/>
      <c r="O2" s="1738"/>
      <c r="P2" s="1738"/>
      <c r="Q2" s="1738"/>
      <c r="R2" s="1738"/>
      <c r="S2" s="1738"/>
      <c r="T2" s="1738"/>
      <c r="U2" s="1738"/>
      <c r="V2" s="1738"/>
      <c r="W2" s="1738"/>
      <c r="X2" s="1738"/>
      <c r="Y2" s="1738"/>
      <c r="Z2" s="1738"/>
      <c r="AA2" s="1738"/>
    </row>
    <row r="3" spans="1:31" x14ac:dyDescent="0.5">
      <c r="A3" s="1740" t="s">
        <v>7733</v>
      </c>
      <c r="B3" s="1740"/>
      <c r="C3" s="1738"/>
      <c r="D3" s="1738"/>
      <c r="E3" s="1738"/>
      <c r="F3" s="1738"/>
      <c r="G3" s="1738"/>
      <c r="H3" s="1738"/>
      <c r="I3" s="1738"/>
      <c r="J3" s="1738"/>
      <c r="K3" s="1738"/>
      <c r="L3" s="1738"/>
      <c r="M3" s="1738"/>
      <c r="N3" s="1738"/>
      <c r="O3" s="1738"/>
      <c r="P3" s="1738"/>
      <c r="Q3" s="1738"/>
      <c r="R3" s="1738"/>
      <c r="S3" s="1738"/>
      <c r="T3" s="1738"/>
      <c r="U3" s="1738"/>
      <c r="V3" s="1738"/>
      <c r="W3" s="1738"/>
      <c r="X3" s="1738"/>
      <c r="Y3" s="1738"/>
      <c r="Z3" s="1738"/>
      <c r="AA3" s="1738"/>
    </row>
    <row r="4" spans="1:31" x14ac:dyDescent="0.5">
      <c r="A4" s="1741" t="s">
        <v>2185</v>
      </c>
      <c r="B4" s="1741" t="s">
        <v>9154</v>
      </c>
      <c r="C4" s="1742" t="s">
        <v>7776</v>
      </c>
      <c r="D4" s="1743" t="s">
        <v>7777</v>
      </c>
      <c r="E4" s="1743"/>
      <c r="F4" s="1743"/>
      <c r="G4" s="1743"/>
      <c r="H4" s="1743"/>
      <c r="I4" s="1743"/>
      <c r="J4" s="1744" t="s">
        <v>7736</v>
      </c>
      <c r="K4" s="1745" t="s">
        <v>7778</v>
      </c>
      <c r="L4" s="1746" t="s">
        <v>7779</v>
      </c>
      <c r="M4" s="1747" t="s">
        <v>6557</v>
      </c>
      <c r="N4" s="1748" t="s">
        <v>7780</v>
      </c>
      <c r="O4" s="1749" t="s">
        <v>7736</v>
      </c>
      <c r="P4" s="1747" t="s">
        <v>7744</v>
      </c>
      <c r="Q4" s="1750" t="s">
        <v>621</v>
      </c>
      <c r="R4" s="1750" t="s">
        <v>7745</v>
      </c>
      <c r="S4" s="1750" t="s">
        <v>621</v>
      </c>
      <c r="T4" s="1750" t="s">
        <v>7746</v>
      </c>
      <c r="U4" s="1750" t="s">
        <v>621</v>
      </c>
      <c r="V4" s="1750" t="s">
        <v>7747</v>
      </c>
      <c r="W4" s="1751" t="s">
        <v>621</v>
      </c>
      <c r="X4" s="1752" t="s">
        <v>7781</v>
      </c>
      <c r="Y4" s="1753"/>
      <c r="Z4" s="1754"/>
      <c r="AA4" s="1755" t="s">
        <v>7782</v>
      </c>
    </row>
    <row r="5" spans="1:31" x14ac:dyDescent="0.5">
      <c r="A5" s="1756"/>
      <c r="B5" s="1756"/>
      <c r="C5" s="1757" t="s">
        <v>7783</v>
      </c>
      <c r="D5" s="1743" t="s">
        <v>7741</v>
      </c>
      <c r="E5" s="1743"/>
      <c r="F5" s="1743"/>
      <c r="G5" s="1743"/>
      <c r="H5" s="1743"/>
      <c r="I5" s="1743"/>
      <c r="J5" s="1758" t="s">
        <v>7784</v>
      </c>
      <c r="K5" s="1759" t="s">
        <v>7742</v>
      </c>
      <c r="L5" s="1760"/>
      <c r="M5" s="1761" t="s">
        <v>7631</v>
      </c>
      <c r="N5" s="1762" t="s">
        <v>7785</v>
      </c>
      <c r="O5" s="1763" t="s">
        <v>7743</v>
      </c>
      <c r="P5" s="1761" t="s">
        <v>7752</v>
      </c>
      <c r="Q5" s="1764" t="s">
        <v>7744</v>
      </c>
      <c r="R5" s="1764" t="s">
        <v>7753</v>
      </c>
      <c r="S5" s="1764" t="s">
        <v>7745</v>
      </c>
      <c r="T5" s="1764" t="s">
        <v>7754</v>
      </c>
      <c r="U5" s="1764" t="s">
        <v>7746</v>
      </c>
      <c r="V5" s="1764" t="s">
        <v>7755</v>
      </c>
      <c r="W5" s="1765" t="s">
        <v>7747</v>
      </c>
      <c r="X5" s="1752"/>
      <c r="Y5" s="1753"/>
      <c r="Z5" s="1766" t="s">
        <v>7623</v>
      </c>
      <c r="AA5" s="1767"/>
    </row>
    <row r="6" spans="1:31" x14ac:dyDescent="0.5">
      <c r="A6" s="1756"/>
      <c r="B6" s="1756"/>
      <c r="C6" s="1757" t="s">
        <v>7786</v>
      </c>
      <c r="D6" s="1768" t="s">
        <v>7787</v>
      </c>
      <c r="E6" s="1746" t="s">
        <v>8896</v>
      </c>
      <c r="F6" s="1769" t="s">
        <v>7789</v>
      </c>
      <c r="G6" s="1746" t="s">
        <v>8897</v>
      </c>
      <c r="H6" s="1769" t="s">
        <v>7791</v>
      </c>
      <c r="I6" s="1746" t="s">
        <v>8898</v>
      </c>
      <c r="J6" s="1758" t="s">
        <v>7793</v>
      </c>
      <c r="K6" s="1759" t="s">
        <v>7751</v>
      </c>
      <c r="L6" s="1760"/>
      <c r="M6" s="1761" t="s">
        <v>7794</v>
      </c>
      <c r="N6" s="1762" t="s">
        <v>7786</v>
      </c>
      <c r="O6" s="1763" t="s">
        <v>1150</v>
      </c>
      <c r="P6" s="1770" t="s">
        <v>7795</v>
      </c>
      <c r="Q6" s="1764" t="s">
        <v>7756</v>
      </c>
      <c r="R6" s="1770" t="s">
        <v>7795</v>
      </c>
      <c r="S6" s="1764" t="s">
        <v>7756</v>
      </c>
      <c r="T6" s="1770" t="s">
        <v>7795</v>
      </c>
      <c r="U6" s="1764" t="s">
        <v>7756</v>
      </c>
      <c r="V6" s="1770" t="s">
        <v>7795</v>
      </c>
      <c r="W6" s="1764" t="s">
        <v>7756</v>
      </c>
      <c r="X6" s="1752" t="s">
        <v>7627</v>
      </c>
      <c r="Y6" s="1771" t="s">
        <v>621</v>
      </c>
      <c r="Z6" s="1766" t="s">
        <v>7631</v>
      </c>
      <c r="AA6" s="1767"/>
    </row>
    <row r="7" spans="1:31" x14ac:dyDescent="0.5">
      <c r="A7" s="1772"/>
      <c r="B7" s="1772"/>
      <c r="C7" s="1773" t="s">
        <v>7796</v>
      </c>
      <c r="D7" s="1774"/>
      <c r="E7" s="1775"/>
      <c r="F7" s="1776"/>
      <c r="G7" s="1775"/>
      <c r="H7" s="1776"/>
      <c r="I7" s="1775"/>
      <c r="J7" s="1777" t="s">
        <v>7795</v>
      </c>
      <c r="K7" s="1778"/>
      <c r="L7" s="1775"/>
      <c r="M7" s="1779" t="s">
        <v>7795</v>
      </c>
      <c r="N7" s="1780" t="s">
        <v>7756</v>
      </c>
      <c r="O7" s="1781" t="s">
        <v>7756</v>
      </c>
      <c r="P7" s="1782"/>
      <c r="Q7" s="1783"/>
      <c r="R7" s="1783"/>
      <c r="S7" s="1783"/>
      <c r="T7" s="1783"/>
      <c r="U7" s="1783"/>
      <c r="V7" s="1783"/>
      <c r="W7" s="1784"/>
      <c r="X7" s="1752"/>
      <c r="Y7" s="1771" t="s">
        <v>7756</v>
      </c>
      <c r="Z7" s="1785"/>
      <c r="AA7" s="1786"/>
    </row>
    <row r="8" spans="1:31" s="1808" customFormat="1" ht="23.25" customHeight="1" x14ac:dyDescent="0.25">
      <c r="A8" s="1787"/>
      <c r="B8" s="1788"/>
      <c r="C8" s="1789"/>
      <c r="D8" s="1790"/>
      <c r="E8" s="1791">
        <f t="shared" ref="E8:E17" si="0">D8*N8</f>
        <v>0</v>
      </c>
      <c r="F8" s="1792"/>
      <c r="G8" s="1791">
        <f t="shared" ref="G8:G17" si="1">F8*N8</f>
        <v>0</v>
      </c>
      <c r="H8" s="1792"/>
      <c r="I8" s="1793">
        <f t="shared" ref="I8:I17" si="2">H8*N8</f>
        <v>0</v>
      </c>
      <c r="J8" s="1794"/>
      <c r="K8" s="1795"/>
      <c r="L8" s="1796"/>
      <c r="M8" s="1797"/>
      <c r="N8" s="1798"/>
      <c r="O8" s="1799">
        <f>M8*N8</f>
        <v>0</v>
      </c>
      <c r="P8" s="1800"/>
      <c r="Q8" s="1801">
        <f>P8*N8</f>
        <v>0</v>
      </c>
      <c r="R8" s="1801"/>
      <c r="S8" s="1802">
        <f>R8*N8</f>
        <v>0</v>
      </c>
      <c r="T8" s="1801"/>
      <c r="U8" s="1802">
        <f>T8*N8</f>
        <v>0</v>
      </c>
      <c r="V8" s="1801"/>
      <c r="W8" s="1802">
        <f>V8*N8</f>
        <v>0</v>
      </c>
      <c r="X8" s="1803">
        <f>P7+R7+T7+V7</f>
        <v>0</v>
      </c>
      <c r="Y8" s="1804">
        <f>X8*N8</f>
        <v>0</v>
      </c>
      <c r="Z8" s="1805"/>
      <c r="AA8" s="1806"/>
      <c r="AB8" s="1807" t="str">
        <f t="shared" ref="AB8:AB18" si="3">IF(O8=Y8,"yes")</f>
        <v>yes</v>
      </c>
    </row>
    <row r="9" spans="1:31" s="1807" customFormat="1" ht="20.25" customHeight="1" x14ac:dyDescent="0.25">
      <c r="A9" s="1787"/>
      <c r="B9" s="1788"/>
      <c r="C9" s="1789"/>
      <c r="D9" s="1809"/>
      <c r="E9" s="1791">
        <f t="shared" si="0"/>
        <v>0</v>
      </c>
      <c r="F9" s="1810"/>
      <c r="G9" s="1791">
        <f t="shared" si="1"/>
        <v>0</v>
      </c>
      <c r="H9" s="1810"/>
      <c r="I9" s="1793">
        <f t="shared" si="2"/>
        <v>0</v>
      </c>
      <c r="J9" s="1811"/>
      <c r="K9" s="1812"/>
      <c r="L9" s="1796"/>
      <c r="M9" s="1797"/>
      <c r="N9" s="1813"/>
      <c r="O9" s="1799">
        <f t="shared" ref="O9:O17" si="4">M9*N9</f>
        <v>0</v>
      </c>
      <c r="P9" s="1809"/>
      <c r="Q9" s="1801">
        <f t="shared" ref="Q9:Q17" si="5">P9*N9</f>
        <v>0</v>
      </c>
      <c r="R9" s="1796"/>
      <c r="S9" s="1802">
        <f t="shared" ref="S9:S17" si="6">R9*N9</f>
        <v>0</v>
      </c>
      <c r="T9" s="1810"/>
      <c r="U9" s="1802">
        <f t="shared" ref="U9:U17" si="7">T9*N9</f>
        <v>0</v>
      </c>
      <c r="V9" s="1810"/>
      <c r="W9" s="1802">
        <f t="shared" ref="W9:W17" si="8">V9*N9</f>
        <v>0</v>
      </c>
      <c r="X9" s="1803">
        <f t="shared" ref="X9:X17" si="9">P8+R8+T8+V8</f>
        <v>0</v>
      </c>
      <c r="Y9" s="1804">
        <f t="shared" ref="Y9:Y17" si="10">X9*N9</f>
        <v>0</v>
      </c>
      <c r="Z9" s="1805"/>
      <c r="AA9" s="1806"/>
      <c r="AB9" s="1807" t="str">
        <f t="shared" si="3"/>
        <v>yes</v>
      </c>
    </row>
    <row r="10" spans="1:31" s="1807" customFormat="1" ht="20.25" customHeight="1" x14ac:dyDescent="0.25">
      <c r="A10" s="1787"/>
      <c r="B10" s="1788"/>
      <c r="C10" s="1789"/>
      <c r="D10" s="1809"/>
      <c r="E10" s="1791">
        <f t="shared" si="0"/>
        <v>0</v>
      </c>
      <c r="F10" s="1810"/>
      <c r="G10" s="1791">
        <f t="shared" si="1"/>
        <v>0</v>
      </c>
      <c r="H10" s="1810"/>
      <c r="I10" s="1793">
        <f t="shared" si="2"/>
        <v>0</v>
      </c>
      <c r="J10" s="1811"/>
      <c r="K10" s="1812"/>
      <c r="L10" s="1796"/>
      <c r="M10" s="1797"/>
      <c r="N10" s="1813"/>
      <c r="O10" s="1799">
        <f t="shared" si="4"/>
        <v>0</v>
      </c>
      <c r="P10" s="1809"/>
      <c r="Q10" s="1801">
        <f t="shared" si="5"/>
        <v>0</v>
      </c>
      <c r="R10" s="1810"/>
      <c r="S10" s="1802">
        <f t="shared" si="6"/>
        <v>0</v>
      </c>
      <c r="T10" s="1796"/>
      <c r="U10" s="1802">
        <f t="shared" si="7"/>
        <v>0</v>
      </c>
      <c r="V10" s="1810"/>
      <c r="W10" s="1802">
        <f t="shared" si="8"/>
        <v>0</v>
      </c>
      <c r="X10" s="1803">
        <f t="shared" si="9"/>
        <v>0</v>
      </c>
      <c r="Y10" s="1804">
        <f t="shared" si="10"/>
        <v>0</v>
      </c>
      <c r="Z10" s="1805"/>
      <c r="AA10" s="1806"/>
      <c r="AB10" s="1807" t="str">
        <f t="shared" si="3"/>
        <v>yes</v>
      </c>
    </row>
    <row r="11" spans="1:31" s="1807" customFormat="1" ht="20.25" customHeight="1" x14ac:dyDescent="0.25">
      <c r="A11" s="1787"/>
      <c r="B11" s="1788"/>
      <c r="C11" s="1789"/>
      <c r="D11" s="1809"/>
      <c r="E11" s="1791">
        <f t="shared" si="0"/>
        <v>0</v>
      </c>
      <c r="F11" s="1810"/>
      <c r="G11" s="1791">
        <f t="shared" si="1"/>
        <v>0</v>
      </c>
      <c r="H11" s="1810"/>
      <c r="I11" s="1793">
        <f t="shared" si="2"/>
        <v>0</v>
      </c>
      <c r="J11" s="1811"/>
      <c r="K11" s="1812"/>
      <c r="L11" s="1796"/>
      <c r="M11" s="1797"/>
      <c r="N11" s="1813"/>
      <c r="O11" s="1799">
        <f t="shared" si="4"/>
        <v>0</v>
      </c>
      <c r="P11" s="1803"/>
      <c r="Q11" s="1801">
        <f t="shared" si="5"/>
        <v>0</v>
      </c>
      <c r="R11" s="1796"/>
      <c r="S11" s="1802">
        <f t="shared" si="6"/>
        <v>0</v>
      </c>
      <c r="T11" s="1810"/>
      <c r="U11" s="1802">
        <f t="shared" si="7"/>
        <v>0</v>
      </c>
      <c r="V11" s="1796"/>
      <c r="W11" s="1802">
        <f t="shared" si="8"/>
        <v>0</v>
      </c>
      <c r="X11" s="1803">
        <f t="shared" si="9"/>
        <v>0</v>
      </c>
      <c r="Y11" s="1804">
        <f t="shared" si="10"/>
        <v>0</v>
      </c>
      <c r="Z11" s="1805"/>
      <c r="AA11" s="1806"/>
      <c r="AB11" s="1807" t="str">
        <f t="shared" si="3"/>
        <v>yes</v>
      </c>
    </row>
    <row r="12" spans="1:31" s="1807" customFormat="1" ht="20.25" customHeight="1" x14ac:dyDescent="0.25">
      <c r="A12" s="1787"/>
      <c r="B12" s="1788"/>
      <c r="C12" s="1789"/>
      <c r="D12" s="1809"/>
      <c r="E12" s="1791">
        <f t="shared" si="0"/>
        <v>0</v>
      </c>
      <c r="F12" s="1810"/>
      <c r="G12" s="1791">
        <f t="shared" si="1"/>
        <v>0</v>
      </c>
      <c r="H12" s="1810"/>
      <c r="I12" s="1793">
        <f t="shared" si="2"/>
        <v>0</v>
      </c>
      <c r="J12" s="1811"/>
      <c r="K12" s="1812"/>
      <c r="L12" s="1796"/>
      <c r="M12" s="1797"/>
      <c r="N12" s="1813"/>
      <c r="O12" s="1799">
        <f t="shared" si="4"/>
        <v>0</v>
      </c>
      <c r="P12" s="1809"/>
      <c r="Q12" s="1801">
        <f t="shared" si="5"/>
        <v>0</v>
      </c>
      <c r="R12" s="1796"/>
      <c r="S12" s="1802">
        <f t="shared" si="6"/>
        <v>0</v>
      </c>
      <c r="T12" s="1810"/>
      <c r="U12" s="1802">
        <f t="shared" si="7"/>
        <v>0</v>
      </c>
      <c r="V12" s="1810"/>
      <c r="W12" s="1802">
        <f t="shared" si="8"/>
        <v>0</v>
      </c>
      <c r="X12" s="1803">
        <f t="shared" si="9"/>
        <v>0</v>
      </c>
      <c r="Y12" s="1804">
        <f t="shared" si="10"/>
        <v>0</v>
      </c>
      <c r="Z12" s="1805"/>
      <c r="AA12" s="1806"/>
      <c r="AB12" s="1807" t="str">
        <f t="shared" si="3"/>
        <v>yes</v>
      </c>
    </row>
    <row r="13" spans="1:31" s="1807" customFormat="1" ht="20.25" customHeight="1" x14ac:dyDescent="0.25">
      <c r="A13" s="1787"/>
      <c r="B13" s="1788"/>
      <c r="C13" s="1789"/>
      <c r="D13" s="1809"/>
      <c r="E13" s="1791">
        <f t="shared" si="0"/>
        <v>0</v>
      </c>
      <c r="F13" s="1810"/>
      <c r="G13" s="1791">
        <f t="shared" si="1"/>
        <v>0</v>
      </c>
      <c r="H13" s="1810"/>
      <c r="I13" s="1793">
        <f t="shared" si="2"/>
        <v>0</v>
      </c>
      <c r="J13" s="1811"/>
      <c r="K13" s="1812"/>
      <c r="L13" s="1796"/>
      <c r="M13" s="1797"/>
      <c r="N13" s="1813"/>
      <c r="O13" s="1799">
        <f t="shared" si="4"/>
        <v>0</v>
      </c>
      <c r="P13" s="1809"/>
      <c r="Q13" s="1801">
        <f t="shared" si="5"/>
        <v>0</v>
      </c>
      <c r="R13" s="1796"/>
      <c r="S13" s="1802">
        <f t="shared" si="6"/>
        <v>0</v>
      </c>
      <c r="T13" s="1810"/>
      <c r="U13" s="1802">
        <f t="shared" si="7"/>
        <v>0</v>
      </c>
      <c r="V13" s="1810"/>
      <c r="W13" s="1802">
        <f t="shared" si="8"/>
        <v>0</v>
      </c>
      <c r="X13" s="1803">
        <f t="shared" si="9"/>
        <v>0</v>
      </c>
      <c r="Y13" s="1804">
        <f t="shared" si="10"/>
        <v>0</v>
      </c>
      <c r="Z13" s="1805"/>
      <c r="AA13" s="1806"/>
      <c r="AB13" s="1807" t="str">
        <f t="shared" si="3"/>
        <v>yes</v>
      </c>
    </row>
    <row r="14" spans="1:31" s="1807" customFormat="1" ht="20.25" customHeight="1" x14ac:dyDescent="0.25">
      <c r="A14" s="1787"/>
      <c r="B14" s="1788"/>
      <c r="C14" s="1789"/>
      <c r="D14" s="1809"/>
      <c r="E14" s="1791">
        <f t="shared" si="0"/>
        <v>0</v>
      </c>
      <c r="F14" s="1810"/>
      <c r="G14" s="1791">
        <f t="shared" si="1"/>
        <v>0</v>
      </c>
      <c r="H14" s="1810"/>
      <c r="I14" s="1793">
        <f t="shared" si="2"/>
        <v>0</v>
      </c>
      <c r="J14" s="1811"/>
      <c r="K14" s="1812"/>
      <c r="L14" s="1796"/>
      <c r="M14" s="1797"/>
      <c r="N14" s="1813"/>
      <c r="O14" s="1799">
        <f t="shared" si="4"/>
        <v>0</v>
      </c>
      <c r="P14" s="1809"/>
      <c r="Q14" s="1801">
        <f t="shared" si="5"/>
        <v>0</v>
      </c>
      <c r="R14" s="1796"/>
      <c r="S14" s="1802">
        <f t="shared" si="6"/>
        <v>0</v>
      </c>
      <c r="T14" s="1810"/>
      <c r="U14" s="1802">
        <f t="shared" si="7"/>
        <v>0</v>
      </c>
      <c r="V14" s="1810"/>
      <c r="W14" s="1802">
        <f t="shared" si="8"/>
        <v>0</v>
      </c>
      <c r="X14" s="1803">
        <f t="shared" si="9"/>
        <v>0</v>
      </c>
      <c r="Y14" s="1804">
        <f t="shared" si="10"/>
        <v>0</v>
      </c>
      <c r="Z14" s="1805"/>
      <c r="AA14" s="1806"/>
      <c r="AB14" s="1807" t="str">
        <f t="shared" si="3"/>
        <v>yes</v>
      </c>
    </row>
    <row r="15" spans="1:31" s="1807" customFormat="1" ht="20.25" customHeight="1" x14ac:dyDescent="0.25">
      <c r="A15" s="1787"/>
      <c r="B15" s="1788"/>
      <c r="C15" s="1789"/>
      <c r="D15" s="1809"/>
      <c r="E15" s="1791">
        <f t="shared" si="0"/>
        <v>0</v>
      </c>
      <c r="F15" s="1810"/>
      <c r="G15" s="1791">
        <f t="shared" si="1"/>
        <v>0</v>
      </c>
      <c r="H15" s="1810"/>
      <c r="I15" s="1793">
        <f t="shared" si="2"/>
        <v>0</v>
      </c>
      <c r="J15" s="1811"/>
      <c r="K15" s="1812"/>
      <c r="L15" s="1796"/>
      <c r="M15" s="1797"/>
      <c r="N15" s="1813"/>
      <c r="O15" s="1799">
        <f t="shared" si="4"/>
        <v>0</v>
      </c>
      <c r="P15" s="1809"/>
      <c r="Q15" s="1801">
        <f t="shared" si="5"/>
        <v>0</v>
      </c>
      <c r="R15" s="1796"/>
      <c r="S15" s="1802">
        <f t="shared" si="6"/>
        <v>0</v>
      </c>
      <c r="T15" s="1810"/>
      <c r="U15" s="1802">
        <f t="shared" si="7"/>
        <v>0</v>
      </c>
      <c r="V15" s="1810"/>
      <c r="W15" s="1802">
        <f t="shared" si="8"/>
        <v>0</v>
      </c>
      <c r="X15" s="1803">
        <f t="shared" si="9"/>
        <v>0</v>
      </c>
      <c r="Y15" s="1804">
        <f t="shared" si="10"/>
        <v>0</v>
      </c>
      <c r="Z15" s="1805"/>
      <c r="AA15" s="1806"/>
      <c r="AB15" s="1807" t="str">
        <f t="shared" si="3"/>
        <v>yes</v>
      </c>
    </row>
    <row r="16" spans="1:31" s="1807" customFormat="1" ht="20.25" customHeight="1" x14ac:dyDescent="0.25">
      <c r="A16" s="1787"/>
      <c r="B16" s="1788"/>
      <c r="C16" s="1789"/>
      <c r="D16" s="1809"/>
      <c r="E16" s="1791">
        <f t="shared" si="0"/>
        <v>0</v>
      </c>
      <c r="F16" s="1810"/>
      <c r="G16" s="1791">
        <f t="shared" si="1"/>
        <v>0</v>
      </c>
      <c r="H16" s="1810"/>
      <c r="I16" s="1793">
        <f t="shared" si="2"/>
        <v>0</v>
      </c>
      <c r="J16" s="1811"/>
      <c r="K16" s="1812"/>
      <c r="L16" s="1796"/>
      <c r="M16" s="1797"/>
      <c r="N16" s="1813"/>
      <c r="O16" s="1799">
        <f t="shared" si="4"/>
        <v>0</v>
      </c>
      <c r="P16" s="1803"/>
      <c r="Q16" s="1801">
        <f t="shared" si="5"/>
        <v>0</v>
      </c>
      <c r="R16" s="1796"/>
      <c r="S16" s="1802">
        <f t="shared" si="6"/>
        <v>0</v>
      </c>
      <c r="T16" s="1810"/>
      <c r="U16" s="1802">
        <f t="shared" si="7"/>
        <v>0</v>
      </c>
      <c r="V16" s="1796"/>
      <c r="W16" s="1802">
        <f t="shared" si="8"/>
        <v>0</v>
      </c>
      <c r="X16" s="1803">
        <f t="shared" si="9"/>
        <v>0</v>
      </c>
      <c r="Y16" s="1804">
        <f t="shared" si="10"/>
        <v>0</v>
      </c>
      <c r="Z16" s="1805"/>
      <c r="AA16" s="1806"/>
      <c r="AB16" s="1807" t="str">
        <f t="shared" si="3"/>
        <v>yes</v>
      </c>
      <c r="AE16" s="1814"/>
    </row>
    <row r="17" spans="1:31" s="1807" customFormat="1" ht="20.25" customHeight="1" x14ac:dyDescent="0.25">
      <c r="A17" s="1787"/>
      <c r="B17" s="1815"/>
      <c r="C17" s="1816"/>
      <c r="D17" s="1809"/>
      <c r="E17" s="1791">
        <f t="shared" si="0"/>
        <v>0</v>
      </c>
      <c r="F17" s="1817"/>
      <c r="G17" s="1791">
        <f t="shared" si="1"/>
        <v>0</v>
      </c>
      <c r="H17" s="1817"/>
      <c r="I17" s="1793">
        <f t="shared" si="2"/>
        <v>0</v>
      </c>
      <c r="J17" s="1818"/>
      <c r="K17" s="1819"/>
      <c r="L17" s="1796"/>
      <c r="M17" s="1809"/>
      <c r="N17" s="1820"/>
      <c r="O17" s="1799">
        <f t="shared" si="4"/>
        <v>0</v>
      </c>
      <c r="P17" s="1809"/>
      <c r="Q17" s="1801">
        <f t="shared" si="5"/>
        <v>0</v>
      </c>
      <c r="R17" s="1796"/>
      <c r="S17" s="1802">
        <f t="shared" si="6"/>
        <v>0</v>
      </c>
      <c r="T17" s="1796"/>
      <c r="U17" s="1802">
        <f t="shared" si="7"/>
        <v>0</v>
      </c>
      <c r="V17" s="1796"/>
      <c r="W17" s="1802">
        <f t="shared" si="8"/>
        <v>0</v>
      </c>
      <c r="X17" s="1803">
        <f t="shared" si="9"/>
        <v>0</v>
      </c>
      <c r="Y17" s="1804">
        <f t="shared" si="10"/>
        <v>0</v>
      </c>
      <c r="Z17" s="1821"/>
      <c r="AA17" s="1822" t="s">
        <v>7380</v>
      </c>
      <c r="AB17" s="1807" t="str">
        <f t="shared" si="3"/>
        <v>yes</v>
      </c>
      <c r="AE17" s="1823"/>
    </row>
    <row r="18" spans="1:31" s="1831" customFormat="1" ht="20.25" customHeight="1" x14ac:dyDescent="0.5">
      <c r="A18" s="1824" t="s">
        <v>7433</v>
      </c>
      <c r="B18" s="1824"/>
      <c r="C18" s="1824"/>
      <c r="D18" s="1825">
        <f>SUM(D8:D17)</f>
        <v>0</v>
      </c>
      <c r="E18" s="1825">
        <f>SUM(E8:E17)</f>
        <v>0</v>
      </c>
      <c r="F18" s="1826">
        <f t="shared" ref="F18:Y18" si="11">SUM(F8:F17)</f>
        <v>0</v>
      </c>
      <c r="G18" s="1826">
        <f t="shared" si="11"/>
        <v>0</v>
      </c>
      <c r="H18" s="1825">
        <f t="shared" si="11"/>
        <v>0</v>
      </c>
      <c r="I18" s="1825">
        <f t="shared" si="11"/>
        <v>0</v>
      </c>
      <c r="J18" s="1827">
        <f t="shared" si="11"/>
        <v>0</v>
      </c>
      <c r="K18" s="1828">
        <f t="shared" si="11"/>
        <v>0</v>
      </c>
      <c r="L18" s="1825">
        <f t="shared" si="11"/>
        <v>0</v>
      </c>
      <c r="M18" s="1827">
        <f t="shared" si="11"/>
        <v>0</v>
      </c>
      <c r="N18" s="1827">
        <f t="shared" si="11"/>
        <v>0</v>
      </c>
      <c r="O18" s="1829">
        <f t="shared" si="11"/>
        <v>0</v>
      </c>
      <c r="P18" s="1827">
        <f t="shared" si="11"/>
        <v>0</v>
      </c>
      <c r="Q18" s="1825">
        <f t="shared" si="11"/>
        <v>0</v>
      </c>
      <c r="R18" s="1825">
        <f t="shared" si="11"/>
        <v>0</v>
      </c>
      <c r="S18" s="1825">
        <f t="shared" si="11"/>
        <v>0</v>
      </c>
      <c r="T18" s="1825">
        <f t="shared" si="11"/>
        <v>0</v>
      </c>
      <c r="U18" s="1825">
        <f t="shared" si="11"/>
        <v>0</v>
      </c>
      <c r="V18" s="1825">
        <f t="shared" si="11"/>
        <v>0</v>
      </c>
      <c r="W18" s="1825">
        <f t="shared" si="11"/>
        <v>0</v>
      </c>
      <c r="X18" s="1827">
        <f t="shared" si="11"/>
        <v>0</v>
      </c>
      <c r="Y18" s="1829">
        <f t="shared" si="11"/>
        <v>0</v>
      </c>
      <c r="Z18" s="1830"/>
      <c r="AA18" s="1827"/>
      <c r="AB18" s="1831" t="str">
        <f t="shared" si="3"/>
        <v>yes</v>
      </c>
    </row>
    <row r="19" spans="1:31" ht="20.25" customHeight="1" x14ac:dyDescent="0.5">
      <c r="A19" s="1832"/>
      <c r="C19" s="1834"/>
      <c r="D19" s="1832"/>
      <c r="E19" s="1832"/>
      <c r="F19" s="1832"/>
      <c r="G19" s="1832"/>
      <c r="H19" s="1832"/>
      <c r="I19" s="1832"/>
      <c r="J19" s="1832"/>
      <c r="K19" s="1832"/>
      <c r="L19" s="1835"/>
      <c r="M19" s="1836"/>
      <c r="N19" s="1837"/>
      <c r="O19" s="1837"/>
      <c r="P19" s="1838"/>
      <c r="Q19" s="1839"/>
      <c r="R19" s="1839"/>
      <c r="S19" s="1839"/>
      <c r="T19" s="1839"/>
      <c r="U19" s="1839"/>
      <c r="V19" s="1839"/>
      <c r="W19" s="1839"/>
      <c r="X19" s="1836"/>
      <c r="Y19" s="1836"/>
      <c r="AA19" s="1841"/>
    </row>
    <row r="20" spans="1:31" ht="20.25" customHeight="1" x14ac:dyDescent="0.5">
      <c r="A20" s="1832"/>
      <c r="C20" s="1834"/>
    </row>
    <row r="21" spans="1:31" ht="20.25" customHeight="1" x14ac:dyDescent="0.5">
      <c r="B21" s="1739" t="s">
        <v>8877</v>
      </c>
      <c r="D21" s="1739"/>
      <c r="E21" s="1739"/>
      <c r="F21" s="1739"/>
      <c r="G21" s="1834"/>
      <c r="H21" s="1842" t="s">
        <v>7914</v>
      </c>
      <c r="L21" s="1842"/>
      <c r="M21" s="1842"/>
      <c r="N21" s="1842"/>
      <c r="O21" s="1842"/>
      <c r="P21" s="1842"/>
      <c r="Q21" s="1843"/>
      <c r="R21" s="1739" t="s">
        <v>7915</v>
      </c>
      <c r="S21" s="1739"/>
      <c r="T21" s="1739"/>
      <c r="U21" s="1739"/>
      <c r="V21" s="1739"/>
      <c r="W21" s="1739"/>
      <c r="Z21" s="1739"/>
    </row>
    <row r="22" spans="1:31" ht="20.25" customHeight="1" x14ac:dyDescent="0.5">
      <c r="B22" s="1739"/>
      <c r="D22" s="1739"/>
      <c r="E22" s="1739"/>
      <c r="F22" s="1739"/>
      <c r="G22" s="1834"/>
      <c r="H22" s="1842" t="s">
        <v>7916</v>
      </c>
      <c r="L22" s="1842"/>
      <c r="M22" s="1842"/>
      <c r="N22" s="1842"/>
      <c r="O22" s="1842"/>
      <c r="P22" s="1842"/>
      <c r="Q22" s="1843"/>
      <c r="R22" s="1739" t="s">
        <v>7917</v>
      </c>
      <c r="S22" s="1739"/>
      <c r="T22" s="1739"/>
      <c r="U22" s="1739"/>
      <c r="V22" s="1739"/>
      <c r="W22" s="1739"/>
      <c r="Z22" s="1739"/>
    </row>
    <row r="23" spans="1:31" ht="20.25" customHeight="1" x14ac:dyDescent="0.5">
      <c r="B23" s="1739"/>
      <c r="D23" s="1739"/>
      <c r="E23" s="1739"/>
      <c r="F23" s="1739"/>
      <c r="G23" s="1834"/>
      <c r="H23" s="1842" t="s">
        <v>7918</v>
      </c>
      <c r="L23" s="1842"/>
      <c r="M23" s="1842"/>
      <c r="N23" s="1842"/>
      <c r="O23" s="1842"/>
      <c r="P23" s="1842"/>
      <c r="Q23" s="1843"/>
      <c r="R23" s="1739" t="s">
        <v>7771</v>
      </c>
      <c r="S23" s="1739"/>
      <c r="T23" s="1739"/>
      <c r="U23" s="1739"/>
      <c r="V23" s="1739"/>
      <c r="W23" s="1739"/>
      <c r="Z23" s="1739"/>
    </row>
    <row r="24" spans="1:31" ht="20.25" customHeight="1" x14ac:dyDescent="0.5">
      <c r="B24" s="1739"/>
      <c r="D24" s="1739"/>
      <c r="E24" s="1739"/>
      <c r="F24" s="1739"/>
      <c r="G24" s="1834"/>
      <c r="H24" s="1842" t="s">
        <v>7919</v>
      </c>
      <c r="L24" s="1842"/>
      <c r="M24" s="1842"/>
      <c r="N24" s="1842"/>
      <c r="O24" s="1842"/>
      <c r="P24" s="1842"/>
      <c r="Q24" s="1843"/>
      <c r="R24" s="1843"/>
      <c r="S24" s="1843"/>
      <c r="Y24" s="1841"/>
      <c r="Z24" s="1847"/>
    </row>
    <row r="25" spans="1:31" ht="20.25" customHeight="1" x14ac:dyDescent="0.5">
      <c r="P25" s="1834" t="s">
        <v>7380</v>
      </c>
    </row>
    <row r="26" spans="1:31" ht="20.25" customHeight="1" x14ac:dyDescent="0.5">
      <c r="P26" s="1836"/>
      <c r="Q26" s="1848"/>
    </row>
    <row r="27" spans="1:31" ht="20.25" customHeight="1" x14ac:dyDescent="0.5">
      <c r="AA27" s="1840"/>
    </row>
    <row r="33" spans="1:26" x14ac:dyDescent="0.5">
      <c r="A33" s="1739"/>
      <c r="N33" s="1834"/>
      <c r="O33" s="1739"/>
      <c r="Z33" s="1739"/>
    </row>
    <row r="34" spans="1:26" x14ac:dyDescent="0.5">
      <c r="A34" s="1739"/>
      <c r="N34" s="1834"/>
      <c r="O34" s="1739"/>
      <c r="Z34" s="1739"/>
    </row>
    <row r="35" spans="1:26" x14ac:dyDescent="0.5">
      <c r="A35" s="1739"/>
      <c r="N35" s="1834"/>
      <c r="O35" s="1739"/>
      <c r="Z35" s="1739"/>
    </row>
    <row r="36" spans="1:26" x14ac:dyDescent="0.5">
      <c r="A36" s="1739"/>
      <c r="N36" s="1834"/>
      <c r="O36" s="1739"/>
      <c r="Z36" s="1739"/>
    </row>
    <row r="37" spans="1:26" x14ac:dyDescent="0.5">
      <c r="A37" s="1739"/>
      <c r="N37" s="1834"/>
      <c r="O37" s="1739"/>
      <c r="Z37" s="1739"/>
    </row>
    <row r="38" spans="1:26" x14ac:dyDescent="0.5">
      <c r="A38" s="1739"/>
      <c r="N38" s="1834"/>
      <c r="O38" s="1739"/>
      <c r="Z38" s="1739"/>
    </row>
    <row r="39" spans="1:26" x14ac:dyDescent="0.5">
      <c r="A39" s="1739"/>
      <c r="N39" s="1834"/>
      <c r="O39" s="1739"/>
      <c r="Z39" s="1739"/>
    </row>
    <row r="40" spans="1:26" x14ac:dyDescent="0.5">
      <c r="A40" s="1739"/>
      <c r="N40" s="1834"/>
      <c r="O40" s="1739"/>
      <c r="Z40" s="1739"/>
    </row>
    <row r="41" spans="1:26" x14ac:dyDescent="0.5">
      <c r="A41" s="1739"/>
      <c r="N41" s="1834"/>
      <c r="O41" s="1739"/>
      <c r="Z41" s="1739"/>
    </row>
    <row r="42" spans="1:26" x14ac:dyDescent="0.5">
      <c r="A42" s="1739"/>
      <c r="N42" s="1834"/>
      <c r="O42" s="1739"/>
      <c r="Z42" s="1739"/>
    </row>
    <row r="43" spans="1:26" x14ac:dyDescent="0.5">
      <c r="A43" s="1739"/>
      <c r="N43" s="1834"/>
      <c r="O43" s="1739"/>
      <c r="Z43" s="1739"/>
    </row>
    <row r="44" spans="1:26" x14ac:dyDescent="0.5">
      <c r="A44" s="1739"/>
      <c r="N44" s="1834"/>
      <c r="O44" s="1739"/>
      <c r="Z44" s="1739"/>
    </row>
    <row r="45" spans="1:26" x14ac:dyDescent="0.5">
      <c r="A45" s="1739"/>
      <c r="N45" s="1834"/>
      <c r="O45" s="1739"/>
      <c r="Z45" s="1739"/>
    </row>
    <row r="46" spans="1:26" x14ac:dyDescent="0.5">
      <c r="A46" s="1739"/>
      <c r="N46" s="1834"/>
      <c r="O46" s="1739"/>
      <c r="Z46" s="1739"/>
    </row>
    <row r="47" spans="1:26" x14ac:dyDescent="0.5">
      <c r="A47" s="1739"/>
      <c r="N47" s="1834"/>
      <c r="O47" s="1739"/>
      <c r="Z47" s="1739"/>
    </row>
    <row r="48" spans="1:26" x14ac:dyDescent="0.5">
      <c r="A48" s="1739"/>
      <c r="N48" s="1834"/>
      <c r="O48" s="1739"/>
      <c r="Z48" s="1739"/>
    </row>
    <row r="49" spans="1:26" x14ac:dyDescent="0.5">
      <c r="A49" s="1739"/>
      <c r="N49" s="1834"/>
      <c r="O49" s="1739"/>
      <c r="Z49" s="1739"/>
    </row>
    <row r="50" spans="1:26" x14ac:dyDescent="0.5">
      <c r="A50" s="1739"/>
      <c r="N50" s="1834"/>
      <c r="O50" s="1739"/>
      <c r="Z50" s="1739"/>
    </row>
    <row r="51" spans="1:26" x14ac:dyDescent="0.5">
      <c r="A51" s="1739"/>
      <c r="N51" s="1834"/>
      <c r="O51" s="1739"/>
      <c r="Z51" s="1739"/>
    </row>
    <row r="52" spans="1:26" x14ac:dyDescent="0.5">
      <c r="A52" s="1739"/>
      <c r="N52" s="1834"/>
      <c r="O52" s="1739"/>
      <c r="Z52" s="1739"/>
    </row>
    <row r="53" spans="1:26" x14ac:dyDescent="0.5">
      <c r="A53" s="1739"/>
      <c r="N53" s="1834"/>
      <c r="O53" s="1739"/>
      <c r="Z53" s="1739"/>
    </row>
    <row r="54" spans="1:26" x14ac:dyDescent="0.5">
      <c r="A54" s="1739"/>
      <c r="N54" s="1834"/>
      <c r="O54" s="1739"/>
      <c r="Z54" s="1739"/>
    </row>
    <row r="55" spans="1:26" x14ac:dyDescent="0.5">
      <c r="A55" s="1739"/>
      <c r="N55" s="1834"/>
      <c r="O55" s="1739"/>
      <c r="Z55" s="1739"/>
    </row>
    <row r="56" spans="1:26" x14ac:dyDescent="0.5">
      <c r="A56" s="1739"/>
      <c r="N56" s="1834"/>
      <c r="O56" s="1739"/>
      <c r="Z56" s="1739"/>
    </row>
    <row r="57" spans="1:26" x14ac:dyDescent="0.5">
      <c r="A57" s="1739"/>
      <c r="N57" s="1834"/>
      <c r="O57" s="1739"/>
      <c r="Z57" s="1739"/>
    </row>
    <row r="58" spans="1:26" x14ac:dyDescent="0.5">
      <c r="A58" s="1739"/>
      <c r="N58" s="1834"/>
      <c r="O58" s="1739"/>
      <c r="Z58" s="1739"/>
    </row>
    <row r="59" spans="1:26" x14ac:dyDescent="0.5">
      <c r="A59" s="1739"/>
      <c r="N59" s="1834"/>
      <c r="O59" s="1739"/>
      <c r="Z59" s="1739"/>
    </row>
    <row r="60" spans="1:26" x14ac:dyDescent="0.5">
      <c r="A60" s="1739"/>
      <c r="N60" s="1834"/>
      <c r="O60" s="1739"/>
      <c r="Z60" s="1739"/>
    </row>
    <row r="61" spans="1:26" x14ac:dyDescent="0.5">
      <c r="A61" s="1739"/>
      <c r="N61" s="1834"/>
      <c r="O61" s="1739"/>
      <c r="Z61" s="1739"/>
    </row>
    <row r="62" spans="1:26" x14ac:dyDescent="0.5">
      <c r="A62" s="1739"/>
      <c r="N62" s="1834"/>
      <c r="O62" s="1739"/>
      <c r="Z62" s="1739"/>
    </row>
    <row r="63" spans="1:26" x14ac:dyDescent="0.5">
      <c r="A63" s="1739"/>
      <c r="N63" s="1834"/>
      <c r="O63" s="1739"/>
      <c r="Z63" s="1739"/>
    </row>
    <row r="64" spans="1:26" x14ac:dyDescent="0.5">
      <c r="A64" s="1739"/>
      <c r="N64" s="1834"/>
      <c r="O64" s="1739"/>
      <c r="Z64" s="1739"/>
    </row>
    <row r="65" spans="1:26" x14ac:dyDescent="0.5">
      <c r="A65" s="1739"/>
      <c r="N65" s="1834"/>
      <c r="O65" s="1739"/>
      <c r="Z65" s="1739"/>
    </row>
    <row r="66" spans="1:26" x14ac:dyDescent="0.5">
      <c r="A66" s="1739"/>
      <c r="N66" s="1834"/>
      <c r="O66" s="1739"/>
      <c r="Z66" s="1739"/>
    </row>
    <row r="67" spans="1:26" x14ac:dyDescent="0.5">
      <c r="A67" s="1739"/>
      <c r="N67" s="1834"/>
      <c r="O67" s="1739"/>
      <c r="Z67" s="1739"/>
    </row>
    <row r="68" spans="1:26" x14ac:dyDescent="0.5">
      <c r="A68" s="1739"/>
      <c r="N68" s="1834"/>
      <c r="O68" s="1739"/>
      <c r="Z68" s="1739"/>
    </row>
    <row r="69" spans="1:26" x14ac:dyDescent="0.5">
      <c r="A69" s="1739"/>
      <c r="N69" s="1834"/>
      <c r="O69" s="1739"/>
      <c r="Z69" s="1739"/>
    </row>
    <row r="70" spans="1:26" x14ac:dyDescent="0.5">
      <c r="A70" s="1739"/>
      <c r="N70" s="1834"/>
      <c r="O70" s="1739"/>
      <c r="Z70" s="1739"/>
    </row>
    <row r="71" spans="1:26" x14ac:dyDescent="0.5">
      <c r="A71" s="1739"/>
      <c r="N71" s="1834"/>
      <c r="O71" s="1739"/>
      <c r="Z71" s="1739"/>
    </row>
    <row r="72" spans="1:26" x14ac:dyDescent="0.5">
      <c r="A72" s="1739"/>
      <c r="N72" s="1834"/>
      <c r="O72" s="1739"/>
      <c r="Z72" s="1739"/>
    </row>
    <row r="73" spans="1:26" x14ac:dyDescent="0.5">
      <c r="A73" s="1739"/>
      <c r="N73" s="1834"/>
      <c r="O73" s="1739"/>
      <c r="Z73" s="1739"/>
    </row>
    <row r="74" spans="1:26" x14ac:dyDescent="0.5">
      <c r="A74" s="1739"/>
      <c r="N74" s="1834"/>
      <c r="O74" s="1739"/>
      <c r="Z74" s="1739"/>
    </row>
    <row r="75" spans="1:26" x14ac:dyDescent="0.5">
      <c r="A75" s="1739"/>
      <c r="N75" s="1834"/>
      <c r="O75" s="1739"/>
      <c r="Z75" s="1739"/>
    </row>
    <row r="76" spans="1:26" x14ac:dyDescent="0.5">
      <c r="A76" s="1739"/>
      <c r="N76" s="1834"/>
      <c r="O76" s="1739"/>
      <c r="Z76" s="1739"/>
    </row>
    <row r="77" spans="1:26" x14ac:dyDescent="0.5">
      <c r="A77" s="1739"/>
      <c r="N77" s="1834"/>
      <c r="O77" s="1739"/>
      <c r="Z77" s="1739"/>
    </row>
    <row r="78" spans="1:26" x14ac:dyDescent="0.5">
      <c r="A78" s="1739"/>
      <c r="N78" s="1834"/>
      <c r="O78" s="1739"/>
      <c r="Z78" s="1739"/>
    </row>
    <row r="79" spans="1:26" x14ac:dyDescent="0.5">
      <c r="A79" s="1739"/>
      <c r="N79" s="1834"/>
      <c r="O79" s="1739"/>
      <c r="Z79" s="1739"/>
    </row>
    <row r="80" spans="1:26" x14ac:dyDescent="0.5">
      <c r="A80" s="1739"/>
      <c r="N80" s="1834"/>
      <c r="O80" s="1739"/>
      <c r="Z80" s="1739"/>
    </row>
    <row r="81" spans="1:26" x14ac:dyDescent="0.5">
      <c r="A81" s="1739"/>
      <c r="N81" s="1834"/>
      <c r="O81" s="1739"/>
      <c r="Z81" s="1739"/>
    </row>
    <row r="82" spans="1:26" x14ac:dyDescent="0.5">
      <c r="A82" s="1739"/>
      <c r="N82" s="1834"/>
      <c r="O82" s="1739"/>
      <c r="Z82" s="1739"/>
    </row>
    <row r="83" spans="1:26" x14ac:dyDescent="0.5">
      <c r="A83" s="1739"/>
      <c r="N83" s="1834"/>
      <c r="O83" s="1739"/>
      <c r="Z83" s="1739"/>
    </row>
    <row r="84" spans="1:26" x14ac:dyDescent="0.5">
      <c r="A84" s="1739"/>
      <c r="N84" s="1834"/>
      <c r="O84" s="1739"/>
      <c r="Z84" s="1739"/>
    </row>
    <row r="85" spans="1:26" x14ac:dyDescent="0.5">
      <c r="A85" s="1739"/>
      <c r="N85" s="1834"/>
      <c r="O85" s="1739"/>
      <c r="Z85" s="1739"/>
    </row>
    <row r="86" spans="1:26" x14ac:dyDescent="0.5">
      <c r="A86" s="1739"/>
      <c r="N86" s="1834"/>
      <c r="O86" s="1739"/>
      <c r="Z86" s="1739"/>
    </row>
    <row r="87" spans="1:26" x14ac:dyDescent="0.5">
      <c r="A87" s="1739"/>
      <c r="N87" s="1834"/>
      <c r="O87" s="1739"/>
      <c r="Z87" s="1739"/>
    </row>
    <row r="88" spans="1:26" x14ac:dyDescent="0.5">
      <c r="A88" s="1739"/>
      <c r="N88" s="1834"/>
      <c r="O88" s="1739"/>
      <c r="Z88" s="1739"/>
    </row>
    <row r="89" spans="1:26" x14ac:dyDescent="0.5">
      <c r="A89" s="1739"/>
      <c r="N89" s="1834"/>
      <c r="O89" s="1739"/>
      <c r="Z89" s="1739"/>
    </row>
    <row r="90" spans="1:26" x14ac:dyDescent="0.5">
      <c r="A90" s="1739"/>
      <c r="N90" s="1834"/>
      <c r="O90" s="1739"/>
      <c r="Z90" s="1739"/>
    </row>
    <row r="91" spans="1:26" x14ac:dyDescent="0.5">
      <c r="A91" s="1739"/>
      <c r="N91" s="1834"/>
      <c r="O91" s="1739"/>
      <c r="Z91" s="1739"/>
    </row>
    <row r="92" spans="1:26" x14ac:dyDescent="0.5">
      <c r="A92" s="1739"/>
      <c r="N92" s="1834"/>
      <c r="O92" s="1739"/>
      <c r="Z92" s="1739"/>
    </row>
    <row r="93" spans="1:26" x14ac:dyDescent="0.5">
      <c r="A93" s="1739"/>
      <c r="N93" s="1834"/>
      <c r="O93" s="1739"/>
      <c r="Z93" s="1739"/>
    </row>
    <row r="94" spans="1:26" x14ac:dyDescent="0.5">
      <c r="A94" s="1739"/>
      <c r="N94" s="1834"/>
      <c r="O94" s="1739"/>
      <c r="Z94" s="1739"/>
    </row>
    <row r="95" spans="1:26" x14ac:dyDescent="0.5">
      <c r="A95" s="1739"/>
      <c r="N95" s="1834"/>
      <c r="O95" s="1739"/>
      <c r="Z95" s="1739"/>
    </row>
    <row r="96" spans="1:26" x14ac:dyDescent="0.5">
      <c r="A96" s="1739"/>
      <c r="N96" s="1834"/>
      <c r="O96" s="1739"/>
      <c r="Z96" s="1739"/>
    </row>
    <row r="97" spans="1:26" x14ac:dyDescent="0.5">
      <c r="A97" s="1739"/>
      <c r="N97" s="1834"/>
      <c r="O97" s="1739"/>
      <c r="Z97" s="1739"/>
    </row>
    <row r="98" spans="1:26" x14ac:dyDescent="0.5">
      <c r="A98" s="1739"/>
      <c r="N98" s="1834"/>
      <c r="O98" s="1739"/>
      <c r="Z98" s="1739"/>
    </row>
    <row r="99" spans="1:26" x14ac:dyDescent="0.5">
      <c r="A99" s="1739"/>
      <c r="N99" s="1834"/>
      <c r="O99" s="1739"/>
      <c r="Z99" s="1739"/>
    </row>
    <row r="100" spans="1:26" x14ac:dyDescent="0.5">
      <c r="A100" s="1739"/>
      <c r="N100" s="1834"/>
      <c r="O100" s="1739"/>
      <c r="Z100" s="1739"/>
    </row>
    <row r="101" spans="1:26" x14ac:dyDescent="0.5">
      <c r="A101" s="1739"/>
      <c r="N101" s="1834"/>
      <c r="O101" s="1739"/>
      <c r="Z101" s="1739"/>
    </row>
    <row r="102" spans="1:26" x14ac:dyDescent="0.5">
      <c r="A102" s="1739"/>
      <c r="N102" s="1834"/>
      <c r="O102" s="1739"/>
      <c r="Z102" s="1739"/>
    </row>
    <row r="103" spans="1:26" x14ac:dyDescent="0.5">
      <c r="A103" s="1739"/>
      <c r="N103" s="1834"/>
      <c r="O103" s="1739"/>
      <c r="Z103" s="1739"/>
    </row>
    <row r="104" spans="1:26" x14ac:dyDescent="0.5">
      <c r="A104" s="1739"/>
      <c r="N104" s="1834"/>
      <c r="O104" s="1739"/>
      <c r="Z104" s="1739"/>
    </row>
    <row r="105" spans="1:26" x14ac:dyDescent="0.5">
      <c r="A105" s="1739"/>
      <c r="N105" s="1834"/>
      <c r="O105" s="1739"/>
      <c r="Z105" s="1739"/>
    </row>
    <row r="106" spans="1:26" x14ac:dyDescent="0.5">
      <c r="A106" s="1739"/>
      <c r="N106" s="1834"/>
      <c r="O106" s="1739"/>
      <c r="Z106" s="1739"/>
    </row>
    <row r="107" spans="1:26" x14ac:dyDescent="0.5">
      <c r="A107" s="1739"/>
      <c r="N107" s="1834"/>
      <c r="O107" s="1739"/>
      <c r="Z107" s="1739"/>
    </row>
    <row r="108" spans="1:26" x14ac:dyDescent="0.5">
      <c r="A108" s="1739"/>
      <c r="N108" s="1834"/>
      <c r="O108" s="1739"/>
      <c r="Z108" s="1739"/>
    </row>
    <row r="109" spans="1:26" x14ac:dyDescent="0.5">
      <c r="A109" s="1739"/>
      <c r="N109" s="1834"/>
      <c r="O109" s="1739"/>
      <c r="Z109" s="1739"/>
    </row>
    <row r="110" spans="1:26" x14ac:dyDescent="0.5">
      <c r="A110" s="1739"/>
      <c r="N110" s="1834"/>
      <c r="O110" s="1739"/>
      <c r="Z110" s="1739"/>
    </row>
    <row r="111" spans="1:26" x14ac:dyDescent="0.5">
      <c r="A111" s="1739"/>
      <c r="N111" s="1834"/>
      <c r="O111" s="1739"/>
      <c r="Z111" s="1739"/>
    </row>
    <row r="112" spans="1:26" x14ac:dyDescent="0.5">
      <c r="A112" s="1739"/>
      <c r="N112" s="1834"/>
      <c r="O112" s="1739"/>
      <c r="Z112" s="1739"/>
    </row>
    <row r="113" spans="1:26" x14ac:dyDescent="0.5">
      <c r="A113" s="1739"/>
      <c r="N113" s="1834"/>
      <c r="O113" s="1739"/>
      <c r="Z113" s="1739"/>
    </row>
    <row r="114" spans="1:26" x14ac:dyDescent="0.5">
      <c r="A114" s="1739"/>
      <c r="N114" s="1834"/>
      <c r="O114" s="1739"/>
      <c r="Z114" s="1739"/>
    </row>
    <row r="115" spans="1:26" x14ac:dyDescent="0.5">
      <c r="A115" s="1739"/>
      <c r="N115" s="1834"/>
      <c r="O115" s="1739"/>
      <c r="Z115" s="1739"/>
    </row>
    <row r="116" spans="1:26" x14ac:dyDescent="0.5">
      <c r="A116" s="1739"/>
      <c r="N116" s="1834"/>
      <c r="O116" s="1739"/>
      <c r="Z116" s="1739"/>
    </row>
    <row r="117" spans="1:26" x14ac:dyDescent="0.5">
      <c r="A117" s="1739"/>
      <c r="N117" s="1834"/>
      <c r="O117" s="1739"/>
      <c r="Z117" s="1739"/>
    </row>
    <row r="118" spans="1:26" x14ac:dyDescent="0.5">
      <c r="A118" s="1739"/>
      <c r="N118" s="1834"/>
      <c r="O118" s="1739"/>
      <c r="Z118" s="1739"/>
    </row>
    <row r="119" spans="1:26" x14ac:dyDescent="0.5">
      <c r="A119" s="1739"/>
      <c r="N119" s="1834"/>
      <c r="O119" s="1739"/>
      <c r="Z119" s="1739"/>
    </row>
    <row r="120" spans="1:26" x14ac:dyDescent="0.5">
      <c r="A120" s="1739"/>
      <c r="N120" s="1834"/>
      <c r="O120" s="1739"/>
      <c r="Z120" s="1739"/>
    </row>
    <row r="121" spans="1:26" x14ac:dyDescent="0.5">
      <c r="A121" s="1739"/>
      <c r="N121" s="1834"/>
      <c r="O121" s="1739"/>
      <c r="Z121" s="1739"/>
    </row>
    <row r="122" spans="1:26" x14ac:dyDescent="0.5">
      <c r="A122" s="1739"/>
      <c r="N122" s="1834"/>
      <c r="O122" s="1739"/>
      <c r="Z122" s="1739"/>
    </row>
    <row r="123" spans="1:26" x14ac:dyDescent="0.5">
      <c r="A123" s="1739"/>
      <c r="N123" s="1834"/>
      <c r="O123" s="1739"/>
      <c r="Z123" s="1739"/>
    </row>
    <row r="124" spans="1:26" x14ac:dyDescent="0.5">
      <c r="A124" s="1739"/>
      <c r="N124" s="1834"/>
      <c r="O124" s="1739"/>
      <c r="Z124" s="1739"/>
    </row>
    <row r="125" spans="1:26" x14ac:dyDescent="0.5">
      <c r="A125" s="1739"/>
      <c r="N125" s="1834"/>
      <c r="O125" s="1739"/>
      <c r="Z125" s="1739"/>
    </row>
    <row r="126" spans="1:26" x14ac:dyDescent="0.5">
      <c r="A126" s="1739"/>
      <c r="N126" s="1834"/>
      <c r="O126" s="1739"/>
      <c r="Z126" s="1739"/>
    </row>
    <row r="127" spans="1:26" x14ac:dyDescent="0.5">
      <c r="A127" s="1739"/>
      <c r="N127" s="1834"/>
      <c r="O127" s="1739"/>
      <c r="Z127" s="1739"/>
    </row>
    <row r="128" spans="1:26" x14ac:dyDescent="0.5">
      <c r="A128" s="1739"/>
      <c r="N128" s="1834"/>
      <c r="O128" s="1739"/>
      <c r="Z128" s="1739"/>
    </row>
    <row r="129" spans="1:26" x14ac:dyDescent="0.5">
      <c r="A129" s="1739"/>
      <c r="N129" s="1834"/>
      <c r="O129" s="1739"/>
      <c r="Z129" s="1739"/>
    </row>
    <row r="130" spans="1:26" x14ac:dyDescent="0.5">
      <c r="A130" s="1739"/>
      <c r="N130" s="1834"/>
      <c r="O130" s="1739"/>
      <c r="Z130" s="1739"/>
    </row>
    <row r="131" spans="1:26" x14ac:dyDescent="0.5">
      <c r="A131" s="1739"/>
      <c r="N131" s="1834"/>
      <c r="O131" s="1739"/>
      <c r="Z131" s="1739"/>
    </row>
    <row r="132" spans="1:26" x14ac:dyDescent="0.5">
      <c r="A132" s="1739"/>
      <c r="N132" s="1834"/>
      <c r="O132" s="1739"/>
      <c r="Z132" s="1739"/>
    </row>
    <row r="133" spans="1:26" x14ac:dyDescent="0.5">
      <c r="A133" s="1739"/>
      <c r="N133" s="1834"/>
      <c r="O133" s="1739"/>
      <c r="Z133" s="1739"/>
    </row>
    <row r="134" spans="1:26" x14ac:dyDescent="0.5">
      <c r="A134" s="1739"/>
      <c r="N134" s="1834"/>
      <c r="O134" s="1739"/>
      <c r="Z134" s="1739"/>
    </row>
    <row r="135" spans="1:26" x14ac:dyDescent="0.5">
      <c r="A135" s="1739"/>
      <c r="N135" s="1834"/>
      <c r="O135" s="1739"/>
      <c r="Z135" s="1739"/>
    </row>
    <row r="136" spans="1:26" x14ac:dyDescent="0.5">
      <c r="A136" s="1739"/>
      <c r="N136" s="1834"/>
      <c r="O136" s="1739"/>
      <c r="Z136" s="1739"/>
    </row>
    <row r="137" spans="1:26" x14ac:dyDescent="0.5">
      <c r="A137" s="1739"/>
      <c r="N137" s="1834"/>
      <c r="O137" s="1739"/>
      <c r="Z137" s="1739"/>
    </row>
    <row r="138" spans="1:26" x14ac:dyDescent="0.5">
      <c r="A138" s="1739"/>
      <c r="N138" s="1834"/>
      <c r="O138" s="1739"/>
      <c r="Z138" s="1739"/>
    </row>
    <row r="139" spans="1:26" x14ac:dyDescent="0.5">
      <c r="A139" s="1739"/>
      <c r="N139" s="1834"/>
      <c r="O139" s="1739"/>
      <c r="Z139" s="1739"/>
    </row>
    <row r="140" spans="1:26" x14ac:dyDescent="0.5">
      <c r="A140" s="1739"/>
      <c r="N140" s="1834"/>
      <c r="O140" s="1739"/>
      <c r="Z140" s="1739"/>
    </row>
    <row r="141" spans="1:26" x14ac:dyDescent="0.5">
      <c r="A141" s="1739"/>
      <c r="N141" s="1834"/>
      <c r="O141" s="1739"/>
      <c r="Z141" s="1739"/>
    </row>
    <row r="142" spans="1:26" x14ac:dyDescent="0.5">
      <c r="A142" s="1739"/>
      <c r="N142" s="1834"/>
      <c r="O142" s="1739"/>
      <c r="Z142" s="1739"/>
    </row>
    <row r="143" spans="1:26" x14ac:dyDescent="0.5">
      <c r="A143" s="1739"/>
      <c r="N143" s="1834"/>
      <c r="O143" s="1739"/>
      <c r="Z143" s="1739"/>
    </row>
    <row r="144" spans="1:26" x14ac:dyDescent="0.5">
      <c r="A144" s="1739"/>
      <c r="N144" s="1834"/>
      <c r="O144" s="1739"/>
      <c r="Z144" s="1739"/>
    </row>
    <row r="145" spans="1:26" x14ac:dyDescent="0.5">
      <c r="A145" s="1739"/>
      <c r="N145" s="1834"/>
      <c r="O145" s="1739"/>
      <c r="Z145" s="1739"/>
    </row>
    <row r="146" spans="1:26" x14ac:dyDescent="0.5">
      <c r="A146" s="1739"/>
      <c r="N146" s="1834"/>
      <c r="O146" s="1739"/>
      <c r="Z146" s="1739"/>
    </row>
    <row r="147" spans="1:26" x14ac:dyDescent="0.5">
      <c r="A147" s="1739"/>
      <c r="N147" s="1834"/>
      <c r="O147" s="1739"/>
      <c r="Z147" s="1739"/>
    </row>
    <row r="148" spans="1:26" x14ac:dyDescent="0.5">
      <c r="A148" s="1739"/>
      <c r="N148" s="1834"/>
      <c r="O148" s="1739"/>
      <c r="Z148" s="1739"/>
    </row>
    <row r="149" spans="1:26" x14ac:dyDescent="0.5">
      <c r="A149" s="1739"/>
      <c r="N149" s="1834"/>
      <c r="O149" s="1739"/>
      <c r="Z149" s="1739"/>
    </row>
    <row r="150" spans="1:26" x14ac:dyDescent="0.5">
      <c r="A150" s="1739"/>
      <c r="N150" s="1834"/>
      <c r="O150" s="1739"/>
      <c r="Z150" s="1739"/>
    </row>
    <row r="151" spans="1:26" x14ac:dyDescent="0.5">
      <c r="A151" s="1739"/>
      <c r="N151" s="1834"/>
      <c r="O151" s="1739"/>
      <c r="Z151" s="1739"/>
    </row>
    <row r="152" spans="1:26" x14ac:dyDescent="0.5">
      <c r="A152" s="1739"/>
      <c r="N152" s="1834"/>
      <c r="O152" s="1739"/>
      <c r="Z152" s="1739"/>
    </row>
    <row r="153" spans="1:26" x14ac:dyDescent="0.5">
      <c r="A153" s="1739"/>
      <c r="N153" s="1834"/>
      <c r="O153" s="1739"/>
      <c r="Z153" s="1739"/>
    </row>
    <row r="154" spans="1:26" x14ac:dyDescent="0.5">
      <c r="A154" s="1739"/>
      <c r="N154" s="1834"/>
      <c r="O154" s="1739"/>
      <c r="Z154" s="1739"/>
    </row>
    <row r="155" spans="1:26" x14ac:dyDescent="0.5">
      <c r="A155" s="1739"/>
      <c r="N155" s="1834"/>
      <c r="O155" s="1739"/>
      <c r="Z155" s="1739"/>
    </row>
    <row r="156" spans="1:26" x14ac:dyDescent="0.5">
      <c r="A156" s="1739"/>
      <c r="N156" s="1834"/>
      <c r="O156" s="1739"/>
      <c r="Z156" s="1739"/>
    </row>
    <row r="157" spans="1:26" x14ac:dyDescent="0.5">
      <c r="A157" s="1739"/>
      <c r="N157" s="1834"/>
      <c r="O157" s="1739"/>
      <c r="Z157" s="1739"/>
    </row>
    <row r="158" spans="1:26" x14ac:dyDescent="0.5">
      <c r="A158" s="1739"/>
      <c r="N158" s="1834"/>
      <c r="O158" s="1739"/>
      <c r="Z158" s="1739"/>
    </row>
    <row r="159" spans="1:26" x14ac:dyDescent="0.5">
      <c r="A159" s="1739"/>
      <c r="N159" s="1834"/>
      <c r="O159" s="1739"/>
      <c r="Z159" s="1739"/>
    </row>
    <row r="160" spans="1:26" x14ac:dyDescent="0.5">
      <c r="A160" s="1739"/>
      <c r="N160" s="1834"/>
      <c r="O160" s="1739"/>
      <c r="Z160" s="1739"/>
    </row>
    <row r="161" spans="1:26" x14ac:dyDescent="0.5">
      <c r="A161" s="1739"/>
      <c r="N161" s="1834"/>
      <c r="O161" s="1739"/>
      <c r="Z161" s="1739"/>
    </row>
    <row r="162" spans="1:26" x14ac:dyDescent="0.5">
      <c r="A162" s="1739"/>
      <c r="N162" s="1834"/>
      <c r="O162" s="1739"/>
      <c r="Z162" s="1739"/>
    </row>
    <row r="163" spans="1:26" x14ac:dyDescent="0.5">
      <c r="A163" s="1739"/>
      <c r="N163" s="1834"/>
      <c r="O163" s="1739"/>
      <c r="Z163" s="1739"/>
    </row>
    <row r="164" spans="1:26" x14ac:dyDescent="0.5">
      <c r="A164" s="1739"/>
      <c r="N164" s="1834"/>
      <c r="O164" s="1739"/>
      <c r="Z164" s="1739"/>
    </row>
    <row r="165" spans="1:26" x14ac:dyDescent="0.5">
      <c r="A165" s="1739"/>
      <c r="N165" s="1834"/>
      <c r="O165" s="1739"/>
      <c r="Z165" s="1739"/>
    </row>
    <row r="166" spans="1:26" x14ac:dyDescent="0.5">
      <c r="A166" s="1739"/>
      <c r="N166" s="1834"/>
      <c r="O166" s="1739"/>
      <c r="Z166" s="1739"/>
    </row>
    <row r="167" spans="1:26" x14ac:dyDescent="0.5">
      <c r="A167" s="1739"/>
      <c r="N167" s="1834"/>
      <c r="O167" s="1739"/>
      <c r="Z167" s="1739"/>
    </row>
    <row r="168" spans="1:26" x14ac:dyDescent="0.5">
      <c r="A168" s="1739"/>
      <c r="N168" s="1834"/>
      <c r="O168" s="1739"/>
      <c r="Z168" s="1739"/>
    </row>
    <row r="169" spans="1:26" x14ac:dyDescent="0.5">
      <c r="A169" s="1739"/>
      <c r="N169" s="1834"/>
      <c r="O169" s="1739"/>
      <c r="Z169" s="1739"/>
    </row>
    <row r="170" spans="1:26" x14ac:dyDescent="0.5">
      <c r="A170" s="1739"/>
      <c r="N170" s="1834"/>
      <c r="O170" s="1739"/>
      <c r="Z170" s="1739"/>
    </row>
    <row r="171" spans="1:26" x14ac:dyDescent="0.5">
      <c r="A171" s="1739"/>
      <c r="N171" s="1834"/>
      <c r="O171" s="1739"/>
      <c r="Z171" s="1739"/>
    </row>
    <row r="172" spans="1:26" x14ac:dyDescent="0.5">
      <c r="A172" s="1739"/>
      <c r="N172" s="1834"/>
      <c r="O172" s="1739"/>
      <c r="Z172" s="1739"/>
    </row>
    <row r="173" spans="1:26" x14ac:dyDescent="0.5">
      <c r="A173" s="1739"/>
      <c r="N173" s="1834"/>
      <c r="O173" s="1739"/>
      <c r="Z173" s="1739"/>
    </row>
    <row r="174" spans="1:26" x14ac:dyDescent="0.5">
      <c r="A174" s="1739"/>
      <c r="N174" s="1834"/>
      <c r="O174" s="1739"/>
      <c r="Z174" s="1739"/>
    </row>
    <row r="175" spans="1:26" x14ac:dyDescent="0.5">
      <c r="A175" s="1739"/>
      <c r="N175" s="1834"/>
      <c r="O175" s="1739"/>
      <c r="Z175" s="1739"/>
    </row>
    <row r="176" spans="1:26" x14ac:dyDescent="0.5">
      <c r="A176" s="1739"/>
      <c r="N176" s="1834"/>
      <c r="O176" s="1739"/>
      <c r="Z176" s="1739"/>
    </row>
    <row r="177" spans="1:26" x14ac:dyDescent="0.5">
      <c r="A177" s="1739"/>
      <c r="N177" s="1834"/>
      <c r="O177" s="1739"/>
      <c r="Z177" s="1739"/>
    </row>
    <row r="178" spans="1:26" x14ac:dyDescent="0.5">
      <c r="A178" s="1739"/>
      <c r="N178" s="1834"/>
      <c r="O178" s="1739"/>
      <c r="Z178" s="1739"/>
    </row>
    <row r="179" spans="1:26" x14ac:dyDescent="0.5">
      <c r="A179" s="1739"/>
      <c r="N179" s="1834"/>
      <c r="O179" s="1739"/>
      <c r="Z179" s="1739"/>
    </row>
    <row r="180" spans="1:26" x14ac:dyDescent="0.5">
      <c r="A180" s="1739"/>
      <c r="N180" s="1834"/>
      <c r="O180" s="1739"/>
      <c r="Z180" s="1739"/>
    </row>
    <row r="181" spans="1:26" x14ac:dyDescent="0.5">
      <c r="A181" s="1739"/>
      <c r="N181" s="1834"/>
      <c r="O181" s="1739"/>
      <c r="Z181" s="1739"/>
    </row>
    <row r="182" spans="1:26" x14ac:dyDescent="0.5">
      <c r="A182" s="1739"/>
      <c r="N182" s="1834"/>
      <c r="O182" s="1739"/>
      <c r="Z182" s="1739"/>
    </row>
    <row r="183" spans="1:26" x14ac:dyDescent="0.5">
      <c r="A183" s="1739"/>
      <c r="N183" s="1834"/>
      <c r="O183" s="1739"/>
      <c r="Z183" s="1739"/>
    </row>
    <row r="184" spans="1:26" x14ac:dyDescent="0.5">
      <c r="A184" s="1739"/>
      <c r="N184" s="1834"/>
      <c r="O184" s="1739"/>
      <c r="Z184" s="1739"/>
    </row>
    <row r="185" spans="1:26" x14ac:dyDescent="0.5">
      <c r="A185" s="1739"/>
      <c r="N185" s="1834"/>
      <c r="O185" s="1739"/>
      <c r="Z185" s="1739"/>
    </row>
    <row r="186" spans="1:26" x14ac:dyDescent="0.5">
      <c r="A186" s="1739"/>
      <c r="N186" s="1834"/>
      <c r="O186" s="1739"/>
      <c r="Z186" s="1739"/>
    </row>
    <row r="187" spans="1:26" x14ac:dyDescent="0.5">
      <c r="A187" s="1739"/>
      <c r="N187" s="1834"/>
      <c r="O187" s="1739"/>
      <c r="Z187" s="1739"/>
    </row>
    <row r="188" spans="1:26" x14ac:dyDescent="0.5">
      <c r="A188" s="1739"/>
      <c r="N188" s="1834"/>
      <c r="O188" s="1739"/>
      <c r="Z188" s="1739"/>
    </row>
    <row r="189" spans="1:26" x14ac:dyDescent="0.5">
      <c r="A189" s="1739"/>
      <c r="N189" s="1834"/>
      <c r="O189" s="1739"/>
      <c r="Z189" s="1739"/>
    </row>
    <row r="190" spans="1:26" x14ac:dyDescent="0.5">
      <c r="A190" s="1739"/>
      <c r="N190" s="1834"/>
      <c r="O190" s="1739"/>
      <c r="Z190" s="1739"/>
    </row>
    <row r="191" spans="1:26" x14ac:dyDescent="0.5">
      <c r="A191" s="1739"/>
      <c r="N191" s="1834"/>
      <c r="O191" s="1739"/>
      <c r="Z191" s="1739"/>
    </row>
    <row r="192" spans="1:26" x14ac:dyDescent="0.5">
      <c r="A192" s="1739"/>
      <c r="N192" s="1834"/>
      <c r="O192" s="1739"/>
      <c r="Z192" s="1739"/>
    </row>
    <row r="193" spans="1:26" x14ac:dyDescent="0.5">
      <c r="A193" s="1739"/>
      <c r="N193" s="1834"/>
      <c r="O193" s="1739"/>
      <c r="Z193" s="1739"/>
    </row>
    <row r="194" spans="1:26" x14ac:dyDescent="0.5">
      <c r="A194" s="1739"/>
      <c r="N194" s="1834"/>
      <c r="O194" s="1739"/>
      <c r="Z194" s="1739"/>
    </row>
    <row r="195" spans="1:26" x14ac:dyDescent="0.5">
      <c r="A195" s="1739"/>
      <c r="N195" s="1834"/>
      <c r="O195" s="1739"/>
      <c r="Z195" s="1739"/>
    </row>
    <row r="196" spans="1:26" x14ac:dyDescent="0.5">
      <c r="A196" s="1739"/>
      <c r="N196" s="1834"/>
      <c r="O196" s="1739"/>
      <c r="Z196" s="1739"/>
    </row>
    <row r="197" spans="1:26" x14ac:dyDescent="0.5">
      <c r="A197" s="1739"/>
      <c r="N197" s="1834"/>
      <c r="O197" s="1739"/>
      <c r="Z197" s="1739"/>
    </row>
    <row r="198" spans="1:26" x14ac:dyDescent="0.5">
      <c r="A198" s="1739"/>
      <c r="N198" s="1834"/>
      <c r="O198" s="1739"/>
      <c r="Z198" s="1739"/>
    </row>
    <row r="199" spans="1:26" x14ac:dyDescent="0.5">
      <c r="A199" s="1739"/>
      <c r="N199" s="1834"/>
      <c r="O199" s="1739"/>
      <c r="Z199" s="1739"/>
    </row>
    <row r="200" spans="1:26" x14ac:dyDescent="0.5">
      <c r="A200" s="1739"/>
      <c r="N200" s="1834"/>
      <c r="O200" s="1739"/>
      <c r="Z200" s="1739"/>
    </row>
    <row r="201" spans="1:26" x14ac:dyDescent="0.5">
      <c r="A201" s="1739"/>
      <c r="N201" s="1834"/>
      <c r="O201" s="1739"/>
      <c r="Z201" s="1739"/>
    </row>
    <row r="202" spans="1:26" x14ac:dyDescent="0.5">
      <c r="A202" s="1739"/>
      <c r="N202" s="1834"/>
      <c r="O202" s="1739"/>
      <c r="Z202" s="1739"/>
    </row>
    <row r="203" spans="1:26" x14ac:dyDescent="0.5">
      <c r="A203" s="1739"/>
      <c r="N203" s="1834"/>
      <c r="O203" s="1739"/>
      <c r="Z203" s="1739"/>
    </row>
    <row r="204" spans="1:26" x14ac:dyDescent="0.5">
      <c r="A204" s="1739"/>
      <c r="N204" s="1834"/>
      <c r="O204" s="1739"/>
      <c r="Z204" s="1739"/>
    </row>
    <row r="205" spans="1:26" x14ac:dyDescent="0.5">
      <c r="A205" s="1739"/>
      <c r="N205" s="1834"/>
      <c r="O205" s="1739"/>
      <c r="Z205" s="1739"/>
    </row>
    <row r="206" spans="1:26" x14ac:dyDescent="0.5">
      <c r="A206" s="1739"/>
      <c r="N206" s="1834"/>
      <c r="O206" s="1739"/>
      <c r="Z206" s="1739"/>
    </row>
    <row r="207" spans="1:26" x14ac:dyDescent="0.5">
      <c r="A207" s="1739"/>
      <c r="N207" s="1834"/>
      <c r="O207" s="1739"/>
      <c r="Z207" s="1739"/>
    </row>
    <row r="208" spans="1:26" x14ac:dyDescent="0.5">
      <c r="A208" s="1739"/>
      <c r="N208" s="1834"/>
      <c r="O208" s="1739"/>
      <c r="Z208" s="1739"/>
    </row>
    <row r="209" spans="1:26" x14ac:dyDescent="0.5">
      <c r="A209" s="1739"/>
      <c r="N209" s="1834"/>
      <c r="O209" s="1739"/>
      <c r="Z209" s="1739"/>
    </row>
    <row r="210" spans="1:26" x14ac:dyDescent="0.5">
      <c r="A210" s="1739"/>
      <c r="N210" s="1834"/>
      <c r="O210" s="1739"/>
      <c r="Z210" s="1739"/>
    </row>
    <row r="211" spans="1:26" x14ac:dyDescent="0.5">
      <c r="A211" s="1739"/>
      <c r="N211" s="1834"/>
      <c r="O211" s="1739"/>
      <c r="Z211" s="1739"/>
    </row>
    <row r="212" spans="1:26" x14ac:dyDescent="0.5">
      <c r="A212" s="1739"/>
      <c r="N212" s="1834"/>
      <c r="O212" s="1739"/>
      <c r="Z212" s="1739"/>
    </row>
    <row r="213" spans="1:26" x14ac:dyDescent="0.5">
      <c r="A213" s="1739"/>
      <c r="N213" s="1834"/>
      <c r="O213" s="1739"/>
      <c r="Z213" s="1739"/>
    </row>
    <row r="214" spans="1:26" x14ac:dyDescent="0.5">
      <c r="A214" s="1739"/>
      <c r="N214" s="1834"/>
      <c r="O214" s="1739"/>
      <c r="Z214" s="1739"/>
    </row>
    <row r="215" spans="1:26" x14ac:dyDescent="0.5">
      <c r="A215" s="1739"/>
      <c r="N215" s="1834"/>
      <c r="O215" s="1739"/>
      <c r="Z215" s="1739"/>
    </row>
    <row r="216" spans="1:26" x14ac:dyDescent="0.5">
      <c r="A216" s="1739"/>
      <c r="N216" s="1834"/>
      <c r="O216" s="1739"/>
      <c r="Z216" s="1739"/>
    </row>
    <row r="217" spans="1:26" x14ac:dyDescent="0.5">
      <c r="A217" s="1739"/>
      <c r="N217" s="1834"/>
      <c r="O217" s="1739"/>
      <c r="Z217" s="1739"/>
    </row>
    <row r="218" spans="1:26" x14ac:dyDescent="0.5">
      <c r="A218" s="1739"/>
      <c r="N218" s="1834"/>
      <c r="O218" s="1739"/>
      <c r="Z218" s="1739"/>
    </row>
    <row r="219" spans="1:26" x14ac:dyDescent="0.5">
      <c r="A219" s="1739"/>
      <c r="N219" s="1834"/>
      <c r="O219" s="1739"/>
      <c r="Z219" s="1739"/>
    </row>
    <row r="220" spans="1:26" x14ac:dyDescent="0.5">
      <c r="A220" s="1739"/>
      <c r="N220" s="1834"/>
      <c r="O220" s="1739"/>
      <c r="Z220" s="1739"/>
    </row>
    <row r="221" spans="1:26" x14ac:dyDescent="0.5">
      <c r="A221" s="1739"/>
      <c r="N221" s="1834"/>
      <c r="O221" s="1739"/>
      <c r="Z221" s="1739"/>
    </row>
    <row r="222" spans="1:26" x14ac:dyDescent="0.5">
      <c r="A222" s="1739"/>
      <c r="N222" s="1834"/>
      <c r="O222" s="1739"/>
      <c r="Z222" s="1739"/>
    </row>
    <row r="223" spans="1:26" x14ac:dyDescent="0.5">
      <c r="A223" s="1739"/>
      <c r="N223" s="1834"/>
      <c r="O223" s="1739"/>
      <c r="Z223" s="1739"/>
    </row>
    <row r="224" spans="1:26" x14ac:dyDescent="0.5">
      <c r="A224" s="1739"/>
      <c r="N224" s="1834"/>
      <c r="O224" s="1739"/>
      <c r="Z224" s="1739"/>
    </row>
    <row r="225" spans="1:26" x14ac:dyDescent="0.5">
      <c r="A225" s="1739"/>
      <c r="N225" s="1834"/>
      <c r="O225" s="1739"/>
      <c r="Z225" s="1739"/>
    </row>
    <row r="226" spans="1:26" x14ac:dyDescent="0.5">
      <c r="A226" s="1739"/>
      <c r="N226" s="1834"/>
      <c r="O226" s="1739"/>
      <c r="Z226" s="1739"/>
    </row>
    <row r="227" spans="1:26" x14ac:dyDescent="0.5">
      <c r="A227" s="1739"/>
      <c r="N227" s="1834"/>
      <c r="O227" s="1739"/>
      <c r="Z227" s="1739"/>
    </row>
    <row r="228" spans="1:26" x14ac:dyDescent="0.5">
      <c r="A228" s="1739"/>
      <c r="N228" s="1834"/>
      <c r="O228" s="1739"/>
      <c r="Z228" s="1739"/>
    </row>
    <row r="229" spans="1:26" x14ac:dyDescent="0.5">
      <c r="A229" s="1739"/>
      <c r="N229" s="1834"/>
      <c r="O229" s="1739"/>
      <c r="Z229" s="1739"/>
    </row>
    <row r="230" spans="1:26" x14ac:dyDescent="0.5">
      <c r="A230" s="1739"/>
      <c r="N230" s="1834"/>
      <c r="O230" s="1739"/>
      <c r="Z230" s="1739"/>
    </row>
    <row r="231" spans="1:26" x14ac:dyDescent="0.5">
      <c r="A231" s="1739"/>
      <c r="N231" s="1834"/>
      <c r="O231" s="1739"/>
      <c r="Z231" s="1739"/>
    </row>
    <row r="232" spans="1:26" x14ac:dyDescent="0.5">
      <c r="A232" s="1739"/>
      <c r="N232" s="1834"/>
      <c r="O232" s="1739"/>
      <c r="Z232" s="1739"/>
    </row>
    <row r="233" spans="1:26" x14ac:dyDescent="0.5">
      <c r="A233" s="1739"/>
      <c r="N233" s="1834"/>
      <c r="O233" s="1739"/>
      <c r="Z233" s="1739"/>
    </row>
    <row r="234" spans="1:26" x14ac:dyDescent="0.5">
      <c r="A234" s="1739"/>
      <c r="N234" s="1834"/>
      <c r="O234" s="1739"/>
      <c r="Z234" s="1739"/>
    </row>
    <row r="235" spans="1:26" x14ac:dyDescent="0.5">
      <c r="A235" s="1739"/>
      <c r="N235" s="1834"/>
      <c r="O235" s="1739"/>
      <c r="Z235" s="1739"/>
    </row>
    <row r="236" spans="1:26" x14ac:dyDescent="0.5">
      <c r="A236" s="1739"/>
      <c r="N236" s="1834"/>
      <c r="O236" s="1739"/>
      <c r="Z236" s="1739"/>
    </row>
    <row r="237" spans="1:26" x14ac:dyDescent="0.5">
      <c r="A237" s="1739"/>
      <c r="N237" s="1834"/>
      <c r="O237" s="1739"/>
      <c r="Z237" s="1739"/>
    </row>
    <row r="238" spans="1:26" x14ac:dyDescent="0.5">
      <c r="A238" s="1739"/>
      <c r="N238" s="1834"/>
      <c r="O238" s="1739"/>
      <c r="Z238" s="1739"/>
    </row>
    <row r="239" spans="1:26" x14ac:dyDescent="0.5">
      <c r="A239" s="1739"/>
      <c r="N239" s="1834"/>
      <c r="O239" s="1739"/>
      <c r="Z239" s="1739"/>
    </row>
    <row r="240" spans="1:26" x14ac:dyDescent="0.5">
      <c r="A240" s="1739"/>
      <c r="N240" s="1834"/>
      <c r="O240" s="1739"/>
      <c r="Z240" s="1739"/>
    </row>
    <row r="241" spans="1:26" x14ac:dyDescent="0.5">
      <c r="A241" s="1739"/>
      <c r="N241" s="1834"/>
      <c r="O241" s="1739"/>
      <c r="Z241" s="1739"/>
    </row>
    <row r="242" spans="1:26" x14ac:dyDescent="0.5">
      <c r="A242" s="1739"/>
      <c r="N242" s="1834"/>
      <c r="O242" s="1739"/>
      <c r="Z242" s="1739"/>
    </row>
    <row r="243" spans="1:26" x14ac:dyDescent="0.5">
      <c r="A243" s="1739"/>
      <c r="N243" s="1834"/>
      <c r="O243" s="1739"/>
      <c r="Z243" s="1739"/>
    </row>
    <row r="244" spans="1:26" x14ac:dyDescent="0.5">
      <c r="A244" s="1739"/>
      <c r="N244" s="1834"/>
      <c r="O244" s="1739"/>
      <c r="Z244" s="1739"/>
    </row>
    <row r="245" spans="1:26" x14ac:dyDescent="0.5">
      <c r="A245" s="1739"/>
      <c r="N245" s="1834"/>
      <c r="O245" s="1739"/>
      <c r="Z245" s="1739"/>
    </row>
    <row r="246" spans="1:26" x14ac:dyDescent="0.5">
      <c r="A246" s="1739"/>
      <c r="N246" s="1834"/>
      <c r="O246" s="1739"/>
      <c r="Z246" s="1739"/>
    </row>
    <row r="247" spans="1:26" x14ac:dyDescent="0.5">
      <c r="A247" s="1739"/>
      <c r="N247" s="1834"/>
      <c r="O247" s="1739"/>
      <c r="Z247" s="1739"/>
    </row>
    <row r="248" spans="1:26" x14ac:dyDescent="0.5">
      <c r="A248" s="1739"/>
      <c r="N248" s="1834"/>
      <c r="O248" s="1739"/>
      <c r="Z248" s="1739"/>
    </row>
    <row r="249" spans="1:26" x14ac:dyDescent="0.5">
      <c r="A249" s="1739"/>
      <c r="N249" s="1834"/>
      <c r="O249" s="1739"/>
      <c r="Z249" s="1739"/>
    </row>
    <row r="250" spans="1:26" x14ac:dyDescent="0.5">
      <c r="A250" s="1739"/>
      <c r="N250" s="1834"/>
      <c r="O250" s="1739"/>
      <c r="Z250" s="1739"/>
    </row>
    <row r="251" spans="1:26" x14ac:dyDescent="0.5">
      <c r="A251" s="1739"/>
      <c r="N251" s="1834"/>
      <c r="O251" s="1739"/>
      <c r="Z251" s="1739"/>
    </row>
    <row r="252" spans="1:26" x14ac:dyDescent="0.5">
      <c r="A252" s="1739"/>
      <c r="N252" s="1834"/>
      <c r="O252" s="1739"/>
      <c r="Z252" s="1739"/>
    </row>
    <row r="253" spans="1:26" x14ac:dyDescent="0.5">
      <c r="A253" s="1739"/>
      <c r="N253" s="1834"/>
      <c r="O253" s="1739"/>
      <c r="Z253" s="1739"/>
    </row>
    <row r="254" spans="1:26" x14ac:dyDescent="0.5">
      <c r="A254" s="1739"/>
      <c r="N254" s="1834"/>
      <c r="O254" s="1739"/>
      <c r="Z254" s="1739"/>
    </row>
    <row r="255" spans="1:26" x14ac:dyDescent="0.5">
      <c r="A255" s="1739"/>
      <c r="N255" s="1834"/>
      <c r="O255" s="1739"/>
      <c r="Z255" s="1739"/>
    </row>
    <row r="256" spans="1:26" x14ac:dyDescent="0.5">
      <c r="A256" s="1739"/>
      <c r="N256" s="1834"/>
      <c r="O256" s="1739"/>
      <c r="Z256" s="1739"/>
    </row>
    <row r="257" spans="1:26" x14ac:dyDescent="0.5">
      <c r="A257" s="1739"/>
      <c r="N257" s="1834"/>
      <c r="O257" s="1739"/>
      <c r="Z257" s="1739"/>
    </row>
    <row r="258" spans="1:26" x14ac:dyDescent="0.5">
      <c r="A258" s="1739"/>
      <c r="N258" s="1834"/>
      <c r="O258" s="1739"/>
      <c r="Z258" s="1739"/>
    </row>
    <row r="259" spans="1:26" x14ac:dyDescent="0.5">
      <c r="A259" s="1739"/>
      <c r="N259" s="1834"/>
      <c r="O259" s="1739"/>
      <c r="Z259" s="1739"/>
    </row>
    <row r="260" spans="1:26" x14ac:dyDescent="0.5">
      <c r="A260" s="1739"/>
      <c r="N260" s="1834"/>
      <c r="O260" s="1739"/>
      <c r="Z260" s="1739"/>
    </row>
    <row r="261" spans="1:26" x14ac:dyDescent="0.5">
      <c r="A261" s="1739"/>
      <c r="N261" s="1834"/>
      <c r="O261" s="1739"/>
      <c r="Z261" s="1739"/>
    </row>
    <row r="262" spans="1:26" x14ac:dyDescent="0.5">
      <c r="A262" s="1739"/>
      <c r="N262" s="1834"/>
      <c r="O262" s="1739"/>
      <c r="Z262" s="1739"/>
    </row>
    <row r="263" spans="1:26" x14ac:dyDescent="0.5">
      <c r="A263" s="1739"/>
      <c r="N263" s="1834"/>
      <c r="O263" s="1739"/>
      <c r="Z263" s="1739"/>
    </row>
    <row r="264" spans="1:26" x14ac:dyDescent="0.5">
      <c r="A264" s="1739"/>
      <c r="N264" s="1834"/>
      <c r="O264" s="1739"/>
      <c r="Z264" s="1739"/>
    </row>
    <row r="265" spans="1:26" x14ac:dyDescent="0.5">
      <c r="A265" s="1739"/>
      <c r="N265" s="1834"/>
      <c r="O265" s="1739"/>
      <c r="Z265" s="1739"/>
    </row>
    <row r="266" spans="1:26" x14ac:dyDescent="0.5">
      <c r="A266" s="1739"/>
      <c r="N266" s="1834"/>
      <c r="O266" s="1739"/>
      <c r="Z266" s="1739"/>
    </row>
    <row r="267" spans="1:26" x14ac:dyDescent="0.5">
      <c r="A267" s="1739"/>
      <c r="N267" s="1834"/>
      <c r="O267" s="1739"/>
      <c r="Z267" s="1739"/>
    </row>
    <row r="268" spans="1:26" x14ac:dyDescent="0.5">
      <c r="A268" s="1739"/>
      <c r="N268" s="1834"/>
      <c r="O268" s="1739"/>
      <c r="Z268" s="1739"/>
    </row>
    <row r="269" spans="1:26" x14ac:dyDescent="0.5">
      <c r="A269" s="1739"/>
      <c r="N269" s="1834"/>
      <c r="O269" s="1739"/>
      <c r="Z269" s="1739"/>
    </row>
    <row r="270" spans="1:26" x14ac:dyDescent="0.5">
      <c r="A270" s="1739"/>
      <c r="N270" s="1834"/>
      <c r="O270" s="1739"/>
      <c r="Z270" s="1739"/>
    </row>
    <row r="271" spans="1:26" x14ac:dyDescent="0.5">
      <c r="A271" s="1739"/>
      <c r="N271" s="1834"/>
      <c r="O271" s="1739"/>
      <c r="Z271" s="1739"/>
    </row>
    <row r="272" spans="1:26" x14ac:dyDescent="0.5">
      <c r="A272" s="1739"/>
      <c r="N272" s="1834"/>
      <c r="O272" s="1739"/>
      <c r="Z272" s="1739"/>
    </row>
    <row r="273" spans="1:26" x14ac:dyDescent="0.5">
      <c r="A273" s="1739"/>
      <c r="N273" s="1834"/>
      <c r="O273" s="1739"/>
      <c r="Z273" s="1739"/>
    </row>
    <row r="274" spans="1:26" x14ac:dyDescent="0.5">
      <c r="A274" s="1739"/>
      <c r="N274" s="1834"/>
      <c r="O274" s="1739"/>
      <c r="Z274" s="1739"/>
    </row>
    <row r="275" spans="1:26" x14ac:dyDescent="0.5">
      <c r="A275" s="1739"/>
      <c r="N275" s="1834"/>
      <c r="O275" s="1739"/>
      <c r="Z275" s="1739"/>
    </row>
    <row r="276" spans="1:26" x14ac:dyDescent="0.5">
      <c r="A276" s="1739"/>
      <c r="N276" s="1834"/>
      <c r="O276" s="1739"/>
      <c r="Z276" s="1739"/>
    </row>
    <row r="277" spans="1:26" x14ac:dyDescent="0.5">
      <c r="A277" s="1739"/>
      <c r="N277" s="1834"/>
      <c r="O277" s="1739"/>
      <c r="Z277" s="1739"/>
    </row>
    <row r="278" spans="1:26" x14ac:dyDescent="0.5">
      <c r="A278" s="1739"/>
      <c r="N278" s="1834"/>
      <c r="O278" s="1739"/>
      <c r="Z278" s="1739"/>
    </row>
    <row r="279" spans="1:26" x14ac:dyDescent="0.5">
      <c r="A279" s="1739"/>
      <c r="N279" s="1834"/>
      <c r="O279" s="1739"/>
      <c r="Z279" s="1739"/>
    </row>
    <row r="280" spans="1:26" x14ac:dyDescent="0.5">
      <c r="A280" s="1739"/>
      <c r="N280" s="1834"/>
      <c r="O280" s="1739"/>
      <c r="Z280" s="1739"/>
    </row>
    <row r="281" spans="1:26" x14ac:dyDescent="0.5">
      <c r="A281" s="1739"/>
      <c r="N281" s="1834"/>
      <c r="O281" s="1739"/>
      <c r="Z281" s="1739"/>
    </row>
    <row r="282" spans="1:26" x14ac:dyDescent="0.5">
      <c r="A282" s="1739"/>
      <c r="N282" s="1834"/>
      <c r="O282" s="1739"/>
      <c r="Z282" s="1739"/>
    </row>
    <row r="283" spans="1:26" x14ac:dyDescent="0.5">
      <c r="A283" s="1739"/>
      <c r="N283" s="1834"/>
      <c r="O283" s="1739"/>
      <c r="Z283" s="1739"/>
    </row>
    <row r="284" spans="1:26" x14ac:dyDescent="0.5">
      <c r="A284" s="1739"/>
      <c r="N284" s="1834"/>
      <c r="O284" s="1739"/>
      <c r="Z284" s="1739"/>
    </row>
    <row r="285" spans="1:26" x14ac:dyDescent="0.5">
      <c r="A285" s="1739"/>
      <c r="N285" s="1834"/>
      <c r="O285" s="1739"/>
      <c r="Z285" s="1739"/>
    </row>
    <row r="286" spans="1:26" x14ac:dyDescent="0.5">
      <c r="A286" s="1739"/>
      <c r="N286" s="1834"/>
      <c r="O286" s="1739"/>
      <c r="Z286" s="1739"/>
    </row>
    <row r="287" spans="1:26" x14ac:dyDescent="0.5">
      <c r="A287" s="1739"/>
      <c r="N287" s="1834"/>
      <c r="O287" s="1739"/>
      <c r="Z287" s="1739"/>
    </row>
    <row r="288" spans="1:26" x14ac:dyDescent="0.5">
      <c r="A288" s="1739"/>
      <c r="N288" s="1834"/>
      <c r="O288" s="1739"/>
      <c r="Z288" s="1739"/>
    </row>
    <row r="289" spans="1:26" x14ac:dyDescent="0.5">
      <c r="A289" s="1739"/>
      <c r="N289" s="1834"/>
      <c r="O289" s="1739"/>
      <c r="Z289" s="1739"/>
    </row>
    <row r="290" spans="1:26" x14ac:dyDescent="0.5">
      <c r="A290" s="1739"/>
      <c r="N290" s="1834"/>
      <c r="O290" s="1739"/>
      <c r="Z290" s="1739"/>
    </row>
    <row r="291" spans="1:26" x14ac:dyDescent="0.5">
      <c r="A291" s="1739"/>
      <c r="N291" s="1834"/>
      <c r="O291" s="1739"/>
      <c r="Z291" s="1739"/>
    </row>
    <row r="292" spans="1:26" x14ac:dyDescent="0.5">
      <c r="A292" s="1739"/>
      <c r="N292" s="1834"/>
      <c r="O292" s="1739"/>
      <c r="Z292" s="1739"/>
    </row>
    <row r="293" spans="1:26" x14ac:dyDescent="0.5">
      <c r="A293" s="1739"/>
      <c r="N293" s="1834"/>
      <c r="O293" s="1739"/>
      <c r="Z293" s="1739"/>
    </row>
    <row r="294" spans="1:26" x14ac:dyDescent="0.5">
      <c r="A294" s="1739"/>
      <c r="N294" s="1834"/>
      <c r="O294" s="1739"/>
      <c r="Z294" s="1739"/>
    </row>
    <row r="295" spans="1:26" x14ac:dyDescent="0.5">
      <c r="A295" s="1739"/>
      <c r="N295" s="1834"/>
      <c r="O295" s="1739"/>
      <c r="Z295" s="1739"/>
    </row>
    <row r="296" spans="1:26" x14ac:dyDescent="0.5">
      <c r="A296" s="1739"/>
      <c r="N296" s="1834"/>
      <c r="O296" s="1739"/>
      <c r="Z296" s="1739"/>
    </row>
    <row r="297" spans="1:26" x14ac:dyDescent="0.5">
      <c r="A297" s="1739"/>
      <c r="N297" s="1834"/>
      <c r="O297" s="1739"/>
      <c r="Z297" s="1739"/>
    </row>
    <row r="298" spans="1:26" x14ac:dyDescent="0.5">
      <c r="A298" s="1739"/>
      <c r="N298" s="1834"/>
      <c r="O298" s="1739"/>
      <c r="Z298" s="1739"/>
    </row>
    <row r="299" spans="1:26" x14ac:dyDescent="0.5">
      <c r="A299" s="1739"/>
      <c r="N299" s="1834"/>
      <c r="O299" s="1739"/>
      <c r="Z299" s="1739"/>
    </row>
    <row r="300" spans="1:26" x14ac:dyDescent="0.5">
      <c r="A300" s="1739"/>
      <c r="N300" s="1834"/>
      <c r="O300" s="1739"/>
      <c r="Z300" s="1739"/>
    </row>
    <row r="301" spans="1:26" x14ac:dyDescent="0.5">
      <c r="A301" s="1739"/>
      <c r="N301" s="1834"/>
      <c r="O301" s="1739"/>
      <c r="Z301" s="1739"/>
    </row>
    <row r="302" spans="1:26" x14ac:dyDescent="0.5">
      <c r="A302" s="1739"/>
      <c r="N302" s="1834"/>
      <c r="O302" s="1739"/>
      <c r="Z302" s="1739"/>
    </row>
    <row r="303" spans="1:26" x14ac:dyDescent="0.5">
      <c r="A303" s="1739"/>
      <c r="N303" s="1834"/>
      <c r="O303" s="1739"/>
      <c r="Z303" s="1739"/>
    </row>
    <row r="304" spans="1:26" x14ac:dyDescent="0.5">
      <c r="A304" s="1739"/>
      <c r="N304" s="1834"/>
      <c r="O304" s="1739"/>
      <c r="Z304" s="1739"/>
    </row>
    <row r="305" spans="1:26" x14ac:dyDescent="0.5">
      <c r="A305" s="1739"/>
      <c r="N305" s="1834"/>
      <c r="O305" s="1739"/>
      <c r="Z305" s="1739"/>
    </row>
    <row r="306" spans="1:26" x14ac:dyDescent="0.5">
      <c r="A306" s="1739"/>
      <c r="N306" s="1834"/>
      <c r="O306" s="1739"/>
      <c r="Z306" s="1739"/>
    </row>
    <row r="307" spans="1:26" x14ac:dyDescent="0.5">
      <c r="A307" s="1739"/>
      <c r="N307" s="1834"/>
      <c r="O307" s="1739"/>
      <c r="Z307" s="1739"/>
    </row>
    <row r="308" spans="1:26" x14ac:dyDescent="0.5">
      <c r="A308" s="1739"/>
      <c r="N308" s="1834"/>
      <c r="O308" s="1739"/>
      <c r="Z308" s="1739"/>
    </row>
    <row r="309" spans="1:26" x14ac:dyDescent="0.5">
      <c r="A309" s="1739"/>
      <c r="N309" s="1834"/>
      <c r="O309" s="1739"/>
      <c r="Z309" s="1739"/>
    </row>
    <row r="310" spans="1:26" x14ac:dyDescent="0.5">
      <c r="A310" s="1739"/>
      <c r="N310" s="1834"/>
      <c r="O310" s="1739"/>
      <c r="Z310" s="1739"/>
    </row>
    <row r="311" spans="1:26" x14ac:dyDescent="0.5">
      <c r="A311" s="1739"/>
      <c r="N311" s="1834"/>
      <c r="O311" s="1739"/>
      <c r="Z311" s="1739"/>
    </row>
    <row r="312" spans="1:26" x14ac:dyDescent="0.5">
      <c r="A312" s="1739"/>
      <c r="N312" s="1834"/>
      <c r="O312" s="1739"/>
      <c r="Z312" s="1739"/>
    </row>
    <row r="313" spans="1:26" x14ac:dyDescent="0.5">
      <c r="A313" s="1739"/>
      <c r="N313" s="1834"/>
      <c r="O313" s="1739"/>
      <c r="Z313" s="1739"/>
    </row>
    <row r="314" spans="1:26" x14ac:dyDescent="0.5">
      <c r="A314" s="1739"/>
      <c r="N314" s="1834"/>
      <c r="O314" s="1739"/>
      <c r="Z314" s="1739"/>
    </row>
    <row r="315" spans="1:26" x14ac:dyDescent="0.5">
      <c r="A315" s="1739"/>
      <c r="N315" s="1834"/>
      <c r="O315" s="1739"/>
      <c r="Z315" s="1739"/>
    </row>
    <row r="316" spans="1:26" x14ac:dyDescent="0.5">
      <c r="A316" s="1739"/>
      <c r="N316" s="1834"/>
      <c r="O316" s="1739"/>
      <c r="Z316" s="1739"/>
    </row>
    <row r="317" spans="1:26" x14ac:dyDescent="0.5">
      <c r="A317" s="1739"/>
      <c r="N317" s="1834"/>
      <c r="O317" s="1739"/>
      <c r="Z317" s="1739"/>
    </row>
    <row r="318" spans="1:26" x14ac:dyDescent="0.5">
      <c r="A318" s="1739"/>
      <c r="N318" s="1834"/>
      <c r="O318" s="1739"/>
      <c r="Z318" s="1739"/>
    </row>
    <row r="319" spans="1:26" x14ac:dyDescent="0.5">
      <c r="A319" s="1739"/>
      <c r="N319" s="1834"/>
      <c r="O319" s="1739"/>
      <c r="Z319" s="1739"/>
    </row>
    <row r="320" spans="1:26" x14ac:dyDescent="0.5">
      <c r="A320" s="1739"/>
      <c r="N320" s="1834"/>
      <c r="O320" s="1739"/>
      <c r="Z320" s="1739"/>
    </row>
    <row r="321" spans="1:26" x14ac:dyDescent="0.5">
      <c r="A321" s="1739"/>
      <c r="N321" s="1834"/>
      <c r="O321" s="1739"/>
      <c r="Z321" s="1739"/>
    </row>
    <row r="322" spans="1:26" x14ac:dyDescent="0.5">
      <c r="A322" s="1739"/>
      <c r="N322" s="1834"/>
      <c r="O322" s="1739"/>
      <c r="Z322" s="1739"/>
    </row>
    <row r="323" spans="1:26" x14ac:dyDescent="0.5">
      <c r="A323" s="1739"/>
      <c r="N323" s="1834"/>
      <c r="O323" s="1739"/>
      <c r="Z323" s="1739"/>
    </row>
    <row r="324" spans="1:26" x14ac:dyDescent="0.5">
      <c r="A324" s="1739"/>
      <c r="N324" s="1834"/>
      <c r="O324" s="1739"/>
      <c r="Z324" s="1739"/>
    </row>
    <row r="325" spans="1:26" x14ac:dyDescent="0.5">
      <c r="A325" s="1739"/>
      <c r="N325" s="1834"/>
      <c r="O325" s="1739"/>
      <c r="Z325" s="1739"/>
    </row>
    <row r="326" spans="1:26" x14ac:dyDescent="0.5">
      <c r="A326" s="1739"/>
      <c r="N326" s="1834"/>
      <c r="O326" s="1739"/>
      <c r="Z326" s="1739"/>
    </row>
    <row r="327" spans="1:26" x14ac:dyDescent="0.5">
      <c r="A327" s="1739"/>
      <c r="N327" s="1834"/>
      <c r="O327" s="1739"/>
      <c r="Z327" s="1739"/>
    </row>
    <row r="328" spans="1:26" x14ac:dyDescent="0.5">
      <c r="A328" s="1739"/>
      <c r="N328" s="1834"/>
      <c r="O328" s="1739"/>
      <c r="Z328" s="1739"/>
    </row>
    <row r="329" spans="1:26" x14ac:dyDescent="0.5">
      <c r="A329" s="1739"/>
      <c r="N329" s="1834"/>
      <c r="O329" s="1739"/>
      <c r="Z329" s="1739"/>
    </row>
    <row r="330" spans="1:26" x14ac:dyDescent="0.5">
      <c r="A330" s="1739"/>
      <c r="N330" s="1834"/>
      <c r="O330" s="1739"/>
      <c r="Z330" s="1739"/>
    </row>
    <row r="331" spans="1:26" x14ac:dyDescent="0.5">
      <c r="A331" s="1739"/>
      <c r="N331" s="1834"/>
      <c r="O331" s="1739"/>
      <c r="Z331" s="1739"/>
    </row>
    <row r="332" spans="1:26" x14ac:dyDescent="0.5">
      <c r="A332" s="1739"/>
      <c r="N332" s="1834"/>
      <c r="O332" s="1739"/>
      <c r="Z332" s="1739"/>
    </row>
    <row r="333" spans="1:26" x14ac:dyDescent="0.5">
      <c r="A333" s="1739"/>
      <c r="N333" s="1834"/>
      <c r="O333" s="1739"/>
      <c r="Z333" s="1739"/>
    </row>
    <row r="334" spans="1:26" x14ac:dyDescent="0.5">
      <c r="A334" s="1739"/>
      <c r="N334" s="1834"/>
      <c r="O334" s="1739"/>
      <c r="Z334" s="1739"/>
    </row>
    <row r="335" spans="1:26" x14ac:dyDescent="0.5">
      <c r="A335" s="1739"/>
      <c r="N335" s="1834"/>
      <c r="O335" s="1739"/>
      <c r="Z335" s="1739"/>
    </row>
    <row r="336" spans="1:26" x14ac:dyDescent="0.5">
      <c r="A336" s="1739"/>
      <c r="N336" s="1834"/>
      <c r="O336" s="1739"/>
      <c r="Z336" s="1739"/>
    </row>
    <row r="337" spans="1:26" x14ac:dyDescent="0.5">
      <c r="A337" s="1739"/>
      <c r="N337" s="1834"/>
      <c r="O337" s="1739"/>
      <c r="Z337" s="1739"/>
    </row>
    <row r="338" spans="1:26" x14ac:dyDescent="0.5">
      <c r="A338" s="1739"/>
      <c r="N338" s="1834"/>
      <c r="O338" s="1739"/>
      <c r="Z338" s="1739"/>
    </row>
    <row r="339" spans="1:26" x14ac:dyDescent="0.5">
      <c r="A339" s="1739"/>
      <c r="N339" s="1834"/>
      <c r="O339" s="1739"/>
      <c r="Z339" s="1739"/>
    </row>
    <row r="340" spans="1:26" x14ac:dyDescent="0.5">
      <c r="A340" s="1739"/>
      <c r="N340" s="1834"/>
      <c r="O340" s="1739"/>
      <c r="Z340" s="1739"/>
    </row>
    <row r="341" spans="1:26" x14ac:dyDescent="0.5">
      <c r="A341" s="1739"/>
      <c r="N341" s="1834"/>
      <c r="O341" s="1739"/>
      <c r="Z341" s="1739"/>
    </row>
    <row r="342" spans="1:26" x14ac:dyDescent="0.5">
      <c r="A342" s="1739"/>
      <c r="N342" s="1834"/>
      <c r="O342" s="1739"/>
      <c r="Z342" s="1739"/>
    </row>
    <row r="343" spans="1:26" x14ac:dyDescent="0.5">
      <c r="A343" s="1739"/>
      <c r="N343" s="1834"/>
      <c r="O343" s="1739"/>
      <c r="Z343" s="1739"/>
    </row>
    <row r="344" spans="1:26" x14ac:dyDescent="0.5">
      <c r="A344" s="1739"/>
      <c r="N344" s="1834"/>
      <c r="O344" s="1739"/>
      <c r="Z344" s="1739"/>
    </row>
    <row r="345" spans="1:26" x14ac:dyDescent="0.5">
      <c r="A345" s="1739"/>
      <c r="N345" s="1834"/>
      <c r="O345" s="1739"/>
      <c r="Z345" s="1739"/>
    </row>
    <row r="346" spans="1:26" x14ac:dyDescent="0.5">
      <c r="A346" s="1739"/>
      <c r="N346" s="1834"/>
      <c r="O346" s="1739"/>
      <c r="Z346" s="1739"/>
    </row>
    <row r="347" spans="1:26" x14ac:dyDescent="0.5">
      <c r="A347" s="1739"/>
      <c r="N347" s="1834"/>
      <c r="O347" s="1739"/>
      <c r="Z347" s="1739"/>
    </row>
    <row r="348" spans="1:26" x14ac:dyDescent="0.5">
      <c r="A348" s="1739"/>
      <c r="N348" s="1834"/>
      <c r="O348" s="1739"/>
      <c r="Z348" s="1739"/>
    </row>
    <row r="349" spans="1:26" x14ac:dyDescent="0.5">
      <c r="A349" s="1739"/>
      <c r="N349" s="1834"/>
      <c r="O349" s="1739"/>
      <c r="Z349" s="1739"/>
    </row>
    <row r="350" spans="1:26" x14ac:dyDescent="0.5">
      <c r="A350" s="1739"/>
      <c r="N350" s="1834"/>
      <c r="O350" s="1739"/>
      <c r="Z350" s="1739"/>
    </row>
    <row r="351" spans="1:26" x14ac:dyDescent="0.5">
      <c r="A351" s="1739"/>
      <c r="N351" s="1834"/>
      <c r="O351" s="1739"/>
      <c r="Z351" s="1739"/>
    </row>
    <row r="352" spans="1:26" x14ac:dyDescent="0.5">
      <c r="A352" s="1739"/>
      <c r="N352" s="1834"/>
      <c r="O352" s="1739"/>
      <c r="Z352" s="1739"/>
    </row>
    <row r="353" spans="1:26" x14ac:dyDescent="0.5">
      <c r="A353" s="1739"/>
      <c r="N353" s="1834"/>
      <c r="O353" s="1739"/>
      <c r="Z353" s="1739"/>
    </row>
    <row r="354" spans="1:26" x14ac:dyDescent="0.5">
      <c r="A354" s="1739"/>
      <c r="N354" s="1834"/>
      <c r="O354" s="1739"/>
      <c r="Z354" s="1739"/>
    </row>
    <row r="355" spans="1:26" x14ac:dyDescent="0.5">
      <c r="A355" s="1739"/>
      <c r="N355" s="1834"/>
      <c r="O355" s="1739"/>
      <c r="Z355" s="1739"/>
    </row>
    <row r="356" spans="1:26" x14ac:dyDescent="0.5">
      <c r="A356" s="1739"/>
      <c r="N356" s="1834"/>
      <c r="O356" s="1739"/>
      <c r="Z356" s="1739"/>
    </row>
    <row r="357" spans="1:26" x14ac:dyDescent="0.5">
      <c r="A357" s="1739"/>
      <c r="N357" s="1834"/>
      <c r="O357" s="1739"/>
      <c r="Z357" s="1739"/>
    </row>
    <row r="358" spans="1:26" x14ac:dyDescent="0.5">
      <c r="A358" s="1739"/>
      <c r="N358" s="1834"/>
      <c r="O358" s="1739"/>
      <c r="Z358" s="1739"/>
    </row>
    <row r="359" spans="1:26" x14ac:dyDescent="0.5">
      <c r="A359" s="1739"/>
      <c r="N359" s="1834"/>
      <c r="O359" s="1739"/>
      <c r="Z359" s="1739"/>
    </row>
    <row r="360" spans="1:26" x14ac:dyDescent="0.5">
      <c r="A360" s="1739"/>
      <c r="N360" s="1834"/>
      <c r="O360" s="1739"/>
      <c r="Z360" s="1739"/>
    </row>
    <row r="361" spans="1:26" x14ac:dyDescent="0.5">
      <c r="A361" s="1739"/>
      <c r="N361" s="1834"/>
      <c r="O361" s="1739"/>
      <c r="Z361" s="1739"/>
    </row>
    <row r="362" spans="1:26" x14ac:dyDescent="0.5">
      <c r="A362" s="1739"/>
      <c r="N362" s="1834"/>
      <c r="O362" s="1739"/>
      <c r="Z362" s="1739"/>
    </row>
    <row r="363" spans="1:26" x14ac:dyDescent="0.5">
      <c r="A363" s="1739"/>
      <c r="N363" s="1834"/>
      <c r="O363" s="1739"/>
      <c r="Z363" s="1739"/>
    </row>
    <row r="364" spans="1:26" x14ac:dyDescent="0.5">
      <c r="A364" s="1739"/>
      <c r="N364" s="1834"/>
      <c r="O364" s="1739"/>
      <c r="Z364" s="1739"/>
    </row>
    <row r="365" spans="1:26" x14ac:dyDescent="0.5">
      <c r="A365" s="1739"/>
      <c r="N365" s="1834"/>
      <c r="O365" s="1739"/>
      <c r="Z365" s="1739"/>
    </row>
    <row r="366" spans="1:26" x14ac:dyDescent="0.5">
      <c r="A366" s="1739"/>
      <c r="N366" s="1834"/>
      <c r="O366" s="1739"/>
      <c r="Z366" s="1739"/>
    </row>
    <row r="367" spans="1:26" x14ac:dyDescent="0.5">
      <c r="A367" s="1739"/>
      <c r="N367" s="1834"/>
      <c r="O367" s="1739"/>
      <c r="Z367" s="1739"/>
    </row>
    <row r="368" spans="1:26" x14ac:dyDescent="0.5">
      <c r="A368" s="1739"/>
      <c r="N368" s="1834"/>
      <c r="O368" s="1739"/>
      <c r="Z368" s="1739"/>
    </row>
    <row r="369" spans="1:26" x14ac:dyDescent="0.5">
      <c r="A369" s="1739"/>
      <c r="N369" s="1834"/>
      <c r="O369" s="1739"/>
      <c r="Z369" s="1739"/>
    </row>
    <row r="370" spans="1:26" x14ac:dyDescent="0.5">
      <c r="A370" s="1739"/>
      <c r="N370" s="1834"/>
      <c r="O370" s="1739"/>
      <c r="Z370" s="1739"/>
    </row>
    <row r="371" spans="1:26" x14ac:dyDescent="0.5">
      <c r="A371" s="1739"/>
      <c r="N371" s="1834"/>
      <c r="O371" s="1739"/>
      <c r="Z371" s="1739"/>
    </row>
    <row r="372" spans="1:26" x14ac:dyDescent="0.5">
      <c r="A372" s="1739"/>
      <c r="N372" s="1834"/>
      <c r="O372" s="1739"/>
      <c r="Z372" s="1739"/>
    </row>
    <row r="373" spans="1:26" x14ac:dyDescent="0.5">
      <c r="A373" s="1739"/>
      <c r="N373" s="1834"/>
      <c r="O373" s="1739"/>
      <c r="Z373" s="1739"/>
    </row>
    <row r="374" spans="1:26" x14ac:dyDescent="0.5">
      <c r="A374" s="1739"/>
      <c r="N374" s="1834"/>
      <c r="O374" s="1739"/>
      <c r="Z374" s="1739"/>
    </row>
    <row r="375" spans="1:26" x14ac:dyDescent="0.5">
      <c r="A375" s="1739"/>
      <c r="N375" s="1834"/>
      <c r="O375" s="1739"/>
      <c r="Z375" s="1739"/>
    </row>
    <row r="376" spans="1:26" x14ac:dyDescent="0.5">
      <c r="A376" s="1739"/>
      <c r="N376" s="1834"/>
      <c r="O376" s="1739"/>
      <c r="Z376" s="1739"/>
    </row>
    <row r="377" spans="1:26" x14ac:dyDescent="0.5">
      <c r="A377" s="1739"/>
      <c r="N377" s="1834"/>
      <c r="O377" s="1739"/>
      <c r="Z377" s="1739"/>
    </row>
    <row r="378" spans="1:26" x14ac:dyDescent="0.5">
      <c r="A378" s="1739"/>
      <c r="N378" s="1834"/>
      <c r="O378" s="1739"/>
      <c r="Z378" s="1739"/>
    </row>
    <row r="379" spans="1:26" x14ac:dyDescent="0.5">
      <c r="A379" s="1739"/>
      <c r="N379" s="1834"/>
      <c r="O379" s="1739"/>
      <c r="Z379" s="1739"/>
    </row>
    <row r="380" spans="1:26" x14ac:dyDescent="0.5">
      <c r="A380" s="1739"/>
      <c r="N380" s="1834"/>
      <c r="O380" s="1739"/>
      <c r="Z380" s="1739"/>
    </row>
    <row r="381" spans="1:26" x14ac:dyDescent="0.5">
      <c r="A381" s="1739"/>
      <c r="N381" s="1834"/>
      <c r="O381" s="1739"/>
      <c r="Z381" s="1739"/>
    </row>
    <row r="382" spans="1:26" x14ac:dyDescent="0.5">
      <c r="A382" s="1739"/>
      <c r="N382" s="1834"/>
      <c r="O382" s="1739"/>
      <c r="Z382" s="1739"/>
    </row>
    <row r="383" spans="1:26" x14ac:dyDescent="0.5">
      <c r="A383" s="1739"/>
      <c r="N383" s="1834"/>
      <c r="O383" s="1739"/>
      <c r="Z383" s="1739"/>
    </row>
    <row r="384" spans="1:26" x14ac:dyDescent="0.5">
      <c r="A384" s="1739"/>
      <c r="N384" s="1834"/>
      <c r="O384" s="1739"/>
      <c r="Z384" s="1739"/>
    </row>
    <row r="385" spans="1:26" x14ac:dyDescent="0.5">
      <c r="A385" s="1739"/>
      <c r="N385" s="1834"/>
      <c r="O385" s="1739"/>
      <c r="Z385" s="1739"/>
    </row>
    <row r="386" spans="1:26" x14ac:dyDescent="0.5">
      <c r="A386" s="1739"/>
      <c r="N386" s="1834"/>
      <c r="O386" s="1739"/>
      <c r="Z386" s="1739"/>
    </row>
    <row r="387" spans="1:26" x14ac:dyDescent="0.5">
      <c r="A387" s="1739"/>
      <c r="N387" s="1834"/>
      <c r="O387" s="1739"/>
      <c r="Z387" s="1739"/>
    </row>
    <row r="388" spans="1:26" x14ac:dyDescent="0.5">
      <c r="A388" s="1739"/>
      <c r="N388" s="1834"/>
      <c r="O388" s="1739"/>
      <c r="Z388" s="1739"/>
    </row>
    <row r="389" spans="1:26" x14ac:dyDescent="0.5">
      <c r="A389" s="1739"/>
      <c r="N389" s="1834"/>
      <c r="O389" s="1739"/>
      <c r="Z389" s="1739"/>
    </row>
    <row r="390" spans="1:26" x14ac:dyDescent="0.5">
      <c r="A390" s="1739"/>
      <c r="N390" s="1834"/>
      <c r="O390" s="1739"/>
      <c r="Z390" s="1739"/>
    </row>
    <row r="391" spans="1:26" x14ac:dyDescent="0.5">
      <c r="A391" s="1739"/>
      <c r="N391" s="1834"/>
      <c r="O391" s="1739"/>
      <c r="Z391" s="1739"/>
    </row>
    <row r="392" spans="1:26" x14ac:dyDescent="0.5">
      <c r="A392" s="1739"/>
      <c r="N392" s="1834"/>
      <c r="O392" s="1739"/>
      <c r="Z392" s="1739"/>
    </row>
    <row r="393" spans="1:26" x14ac:dyDescent="0.5">
      <c r="A393" s="1739"/>
      <c r="N393" s="1834"/>
      <c r="O393" s="1739"/>
      <c r="Z393" s="1739"/>
    </row>
    <row r="394" spans="1:26" x14ac:dyDescent="0.5">
      <c r="A394" s="1739"/>
      <c r="N394" s="1834"/>
      <c r="O394" s="1739"/>
      <c r="Z394" s="1739"/>
    </row>
    <row r="395" spans="1:26" x14ac:dyDescent="0.5">
      <c r="A395" s="1739"/>
      <c r="N395" s="1834"/>
      <c r="O395" s="1739"/>
      <c r="Z395" s="1739"/>
    </row>
    <row r="396" spans="1:26" x14ac:dyDescent="0.5">
      <c r="A396" s="1739"/>
      <c r="N396" s="1834"/>
      <c r="O396" s="1739"/>
      <c r="Z396" s="1739"/>
    </row>
    <row r="397" spans="1:26" x14ac:dyDescent="0.5">
      <c r="A397" s="1739"/>
      <c r="N397" s="1834"/>
      <c r="O397" s="1739"/>
      <c r="Z397" s="1739"/>
    </row>
    <row r="398" spans="1:26" x14ac:dyDescent="0.5">
      <c r="A398" s="1739"/>
      <c r="N398" s="1834"/>
      <c r="O398" s="1739"/>
      <c r="Z398" s="1739"/>
    </row>
    <row r="399" spans="1:26" x14ac:dyDescent="0.5">
      <c r="A399" s="1739"/>
      <c r="N399" s="1834"/>
      <c r="O399" s="1739"/>
      <c r="Z399" s="1739"/>
    </row>
    <row r="400" spans="1:26" x14ac:dyDescent="0.5">
      <c r="A400" s="1739"/>
      <c r="N400" s="1834"/>
      <c r="O400" s="1739"/>
      <c r="Z400" s="1739"/>
    </row>
    <row r="401" spans="1:26" x14ac:dyDescent="0.5">
      <c r="A401" s="1739"/>
      <c r="N401" s="1834"/>
      <c r="O401" s="1739"/>
      <c r="Z401" s="1739"/>
    </row>
    <row r="402" spans="1:26" x14ac:dyDescent="0.5">
      <c r="A402" s="1739"/>
      <c r="N402" s="1834"/>
      <c r="O402" s="1739"/>
      <c r="Z402" s="1739"/>
    </row>
    <row r="403" spans="1:26" x14ac:dyDescent="0.5">
      <c r="A403" s="1739"/>
      <c r="N403" s="1834"/>
      <c r="O403" s="1739"/>
      <c r="Z403" s="1739"/>
    </row>
    <row r="404" spans="1:26" x14ac:dyDescent="0.5">
      <c r="A404" s="1739"/>
      <c r="N404" s="1834"/>
      <c r="O404" s="1739"/>
      <c r="Z404" s="1739"/>
    </row>
    <row r="405" spans="1:26" x14ac:dyDescent="0.5">
      <c r="A405" s="1739"/>
      <c r="N405" s="1834"/>
      <c r="O405" s="1739"/>
      <c r="Z405" s="1739"/>
    </row>
    <row r="406" spans="1:26" x14ac:dyDescent="0.5">
      <c r="A406" s="1739"/>
      <c r="N406" s="1834"/>
      <c r="O406" s="1739"/>
      <c r="Z406" s="1739"/>
    </row>
    <row r="407" spans="1:26" x14ac:dyDescent="0.5">
      <c r="A407" s="1739"/>
      <c r="N407" s="1834"/>
      <c r="O407" s="1739"/>
      <c r="Z407" s="1739"/>
    </row>
    <row r="408" spans="1:26" x14ac:dyDescent="0.5">
      <c r="A408" s="1739"/>
      <c r="N408" s="1834"/>
      <c r="O408" s="1739"/>
      <c r="Z408" s="1739"/>
    </row>
    <row r="409" spans="1:26" x14ac:dyDescent="0.5">
      <c r="A409" s="1739"/>
      <c r="N409" s="1834"/>
      <c r="O409" s="1739"/>
      <c r="Z409" s="1739"/>
    </row>
    <row r="410" spans="1:26" x14ac:dyDescent="0.5">
      <c r="A410" s="1739"/>
      <c r="N410" s="1834"/>
      <c r="O410" s="1739"/>
      <c r="Z410" s="1739"/>
    </row>
    <row r="411" spans="1:26" x14ac:dyDescent="0.5">
      <c r="A411" s="1739"/>
      <c r="N411" s="1834"/>
      <c r="O411" s="1739"/>
      <c r="Z411" s="1739"/>
    </row>
    <row r="412" spans="1:26" x14ac:dyDescent="0.5">
      <c r="A412" s="1739"/>
      <c r="N412" s="1834"/>
      <c r="O412" s="1739"/>
      <c r="Z412" s="1739"/>
    </row>
    <row r="413" spans="1:26" x14ac:dyDescent="0.5">
      <c r="A413" s="1739"/>
      <c r="N413" s="1834"/>
      <c r="O413" s="1739"/>
      <c r="Z413" s="1739"/>
    </row>
    <row r="414" spans="1:26" x14ac:dyDescent="0.5">
      <c r="A414" s="1739"/>
      <c r="N414" s="1834"/>
      <c r="O414" s="1739"/>
      <c r="Z414" s="1739"/>
    </row>
    <row r="415" spans="1:26" x14ac:dyDescent="0.5">
      <c r="A415" s="1739"/>
      <c r="N415" s="1834"/>
      <c r="O415" s="1739"/>
      <c r="Z415" s="1739"/>
    </row>
    <row r="416" spans="1:26" x14ac:dyDescent="0.5">
      <c r="A416" s="1739"/>
      <c r="N416" s="1834"/>
      <c r="O416" s="1739"/>
      <c r="Z416" s="1739"/>
    </row>
    <row r="417" spans="1:26" x14ac:dyDescent="0.5">
      <c r="A417" s="1739"/>
      <c r="N417" s="1834"/>
      <c r="O417" s="1739"/>
      <c r="Z417" s="1739"/>
    </row>
    <row r="418" spans="1:26" x14ac:dyDescent="0.5">
      <c r="A418" s="1739"/>
      <c r="N418" s="1834"/>
      <c r="O418" s="1739"/>
      <c r="Z418" s="1739"/>
    </row>
    <row r="419" spans="1:26" x14ac:dyDescent="0.5">
      <c r="A419" s="1739"/>
      <c r="N419" s="1834"/>
      <c r="O419" s="1739"/>
      <c r="Z419" s="1739"/>
    </row>
    <row r="420" spans="1:26" x14ac:dyDescent="0.5">
      <c r="A420" s="1739"/>
      <c r="N420" s="1834"/>
      <c r="O420" s="1739"/>
      <c r="Z420" s="1739"/>
    </row>
    <row r="421" spans="1:26" x14ac:dyDescent="0.5">
      <c r="A421" s="1739"/>
      <c r="N421" s="1834"/>
      <c r="O421" s="1739"/>
      <c r="Z421" s="1739"/>
    </row>
    <row r="422" spans="1:26" x14ac:dyDescent="0.5">
      <c r="A422" s="1739"/>
      <c r="N422" s="1834"/>
      <c r="O422" s="1739"/>
      <c r="Z422" s="1739"/>
    </row>
    <row r="423" spans="1:26" x14ac:dyDescent="0.5">
      <c r="A423" s="1739"/>
      <c r="N423" s="1834"/>
      <c r="O423" s="1739"/>
      <c r="Z423" s="1739"/>
    </row>
    <row r="424" spans="1:26" x14ac:dyDescent="0.5">
      <c r="A424" s="1739"/>
      <c r="N424" s="1834"/>
      <c r="O424" s="1739"/>
      <c r="Z424" s="1739"/>
    </row>
    <row r="425" spans="1:26" x14ac:dyDescent="0.5">
      <c r="A425" s="1739"/>
      <c r="N425" s="1834"/>
      <c r="O425" s="1739"/>
      <c r="Z425" s="1739"/>
    </row>
    <row r="426" spans="1:26" x14ac:dyDescent="0.5">
      <c r="A426" s="1739"/>
      <c r="N426" s="1834"/>
      <c r="O426" s="1739"/>
      <c r="Z426" s="1739"/>
    </row>
    <row r="427" spans="1:26" x14ac:dyDescent="0.5">
      <c r="A427" s="1739"/>
      <c r="N427" s="1834"/>
      <c r="O427" s="1739"/>
      <c r="Z427" s="1739"/>
    </row>
    <row r="428" spans="1:26" x14ac:dyDescent="0.5">
      <c r="A428" s="1739"/>
      <c r="N428" s="1834"/>
      <c r="O428" s="1739"/>
      <c r="Z428" s="1739"/>
    </row>
    <row r="429" spans="1:26" x14ac:dyDescent="0.5">
      <c r="A429" s="1739"/>
      <c r="N429" s="1834"/>
      <c r="O429" s="1739"/>
      <c r="Z429" s="1739"/>
    </row>
    <row r="430" spans="1:26" x14ac:dyDescent="0.5">
      <c r="A430" s="1739"/>
      <c r="N430" s="1834"/>
      <c r="O430" s="1739"/>
      <c r="Z430" s="1739"/>
    </row>
    <row r="431" spans="1:26" x14ac:dyDescent="0.5">
      <c r="A431" s="1739"/>
      <c r="N431" s="1834"/>
      <c r="O431" s="1739"/>
      <c r="Z431" s="1739"/>
    </row>
    <row r="432" spans="1:26" x14ac:dyDescent="0.5">
      <c r="A432" s="1739"/>
      <c r="N432" s="1834"/>
      <c r="O432" s="1739"/>
      <c r="Z432" s="1739"/>
    </row>
    <row r="433" spans="1:26" x14ac:dyDescent="0.5">
      <c r="A433" s="1739"/>
      <c r="N433" s="1834"/>
      <c r="O433" s="1739"/>
      <c r="Z433" s="1739"/>
    </row>
    <row r="434" spans="1:26" x14ac:dyDescent="0.5">
      <c r="A434" s="1739"/>
      <c r="N434" s="1834"/>
      <c r="O434" s="1739"/>
      <c r="Z434" s="1739"/>
    </row>
    <row r="435" spans="1:26" x14ac:dyDescent="0.5">
      <c r="A435" s="1739"/>
      <c r="N435" s="1834"/>
      <c r="O435" s="1739"/>
      <c r="Z435" s="1739"/>
    </row>
    <row r="436" spans="1:26" x14ac:dyDescent="0.5">
      <c r="A436" s="1739"/>
      <c r="N436" s="1834"/>
      <c r="O436" s="1739"/>
      <c r="Z436" s="1739"/>
    </row>
    <row r="437" spans="1:26" x14ac:dyDescent="0.5">
      <c r="A437" s="1739"/>
      <c r="N437" s="1834"/>
      <c r="O437" s="1739"/>
      <c r="Z437" s="1739"/>
    </row>
    <row r="438" spans="1:26" x14ac:dyDescent="0.5">
      <c r="A438" s="1739"/>
      <c r="N438" s="1834"/>
      <c r="O438" s="1739"/>
      <c r="Z438" s="1739"/>
    </row>
    <row r="439" spans="1:26" x14ac:dyDescent="0.5">
      <c r="A439" s="1739"/>
      <c r="N439" s="1834"/>
      <c r="O439" s="1739"/>
      <c r="Z439" s="1739"/>
    </row>
    <row r="440" spans="1:26" x14ac:dyDescent="0.5">
      <c r="A440" s="1739"/>
      <c r="N440" s="1834"/>
      <c r="O440" s="1739"/>
      <c r="Z440" s="1739"/>
    </row>
    <row r="441" spans="1:26" x14ac:dyDescent="0.5">
      <c r="A441" s="1739"/>
      <c r="N441" s="1834"/>
      <c r="O441" s="1739"/>
      <c r="Z441" s="1739"/>
    </row>
    <row r="442" spans="1:26" x14ac:dyDescent="0.5">
      <c r="A442" s="1739"/>
      <c r="N442" s="1834"/>
      <c r="O442" s="1739"/>
      <c r="Z442" s="1739"/>
    </row>
    <row r="443" spans="1:26" x14ac:dyDescent="0.5">
      <c r="A443" s="1739"/>
      <c r="N443" s="1834"/>
      <c r="O443" s="1739"/>
      <c r="Z443" s="1739"/>
    </row>
    <row r="444" spans="1:26" x14ac:dyDescent="0.5">
      <c r="A444" s="1739"/>
      <c r="N444" s="1834"/>
      <c r="O444" s="1739"/>
      <c r="Z444" s="1739"/>
    </row>
    <row r="445" spans="1:26" x14ac:dyDescent="0.5">
      <c r="A445" s="1739"/>
      <c r="N445" s="1834"/>
      <c r="O445" s="1739"/>
      <c r="Z445" s="1739"/>
    </row>
    <row r="446" spans="1:26" x14ac:dyDescent="0.5">
      <c r="A446" s="1739"/>
      <c r="N446" s="1834"/>
      <c r="O446" s="1739"/>
      <c r="Z446" s="1739"/>
    </row>
    <row r="447" spans="1:26" x14ac:dyDescent="0.5">
      <c r="A447" s="1739"/>
      <c r="N447" s="1834"/>
      <c r="O447" s="1739"/>
      <c r="Z447" s="1739"/>
    </row>
    <row r="448" spans="1:26" x14ac:dyDescent="0.5">
      <c r="A448" s="1739"/>
      <c r="N448" s="1834"/>
      <c r="O448" s="1739"/>
      <c r="Z448" s="1739"/>
    </row>
    <row r="449" spans="1:26" x14ac:dyDescent="0.5">
      <c r="A449" s="1739"/>
      <c r="N449" s="1834"/>
      <c r="O449" s="1739"/>
      <c r="Z449" s="1739"/>
    </row>
    <row r="450" spans="1:26" x14ac:dyDescent="0.5">
      <c r="A450" s="1739"/>
      <c r="N450" s="1834"/>
      <c r="O450" s="1739"/>
      <c r="Z450" s="1739"/>
    </row>
    <row r="451" spans="1:26" x14ac:dyDescent="0.5">
      <c r="A451" s="1739"/>
      <c r="N451" s="1834"/>
      <c r="O451" s="1739"/>
      <c r="Z451" s="1739"/>
    </row>
    <row r="452" spans="1:26" x14ac:dyDescent="0.5">
      <c r="A452" s="1739"/>
      <c r="N452" s="1834"/>
      <c r="O452" s="1739"/>
      <c r="Z452" s="1739"/>
    </row>
    <row r="453" spans="1:26" x14ac:dyDescent="0.5">
      <c r="A453" s="1739"/>
      <c r="N453" s="1834"/>
      <c r="O453" s="1739"/>
      <c r="Z453" s="1739"/>
    </row>
    <row r="454" spans="1:26" x14ac:dyDescent="0.5">
      <c r="A454" s="1739"/>
      <c r="N454" s="1834"/>
      <c r="O454" s="1739"/>
      <c r="Z454" s="1739"/>
    </row>
    <row r="455" spans="1:26" x14ac:dyDescent="0.5">
      <c r="A455" s="1739"/>
      <c r="N455" s="1834"/>
      <c r="O455" s="1739"/>
      <c r="Z455" s="1739"/>
    </row>
    <row r="456" spans="1:26" x14ac:dyDescent="0.5">
      <c r="A456" s="1739"/>
      <c r="N456" s="1834"/>
      <c r="O456" s="1739"/>
      <c r="Z456" s="1739"/>
    </row>
    <row r="457" spans="1:26" x14ac:dyDescent="0.5">
      <c r="A457" s="1739"/>
      <c r="N457" s="1834"/>
      <c r="O457" s="1739"/>
      <c r="Z457" s="1739"/>
    </row>
    <row r="458" spans="1:26" x14ac:dyDescent="0.5">
      <c r="A458" s="1739"/>
      <c r="N458" s="1834"/>
      <c r="O458" s="1739"/>
      <c r="Z458" s="1739"/>
    </row>
    <row r="459" spans="1:26" x14ac:dyDescent="0.5">
      <c r="A459" s="1739"/>
      <c r="N459" s="1834"/>
      <c r="O459" s="1739"/>
      <c r="Z459" s="1739"/>
    </row>
    <row r="460" spans="1:26" x14ac:dyDescent="0.5">
      <c r="A460" s="1739"/>
      <c r="N460" s="1834"/>
      <c r="O460" s="1739"/>
      <c r="Z460" s="1739"/>
    </row>
    <row r="461" spans="1:26" x14ac:dyDescent="0.5">
      <c r="A461" s="1739"/>
      <c r="N461" s="1834"/>
      <c r="O461" s="1739"/>
      <c r="Z461" s="1739"/>
    </row>
    <row r="462" spans="1:26" x14ac:dyDescent="0.5">
      <c r="A462" s="1739"/>
      <c r="N462" s="1834"/>
      <c r="O462" s="1739"/>
      <c r="Z462" s="1739"/>
    </row>
    <row r="463" spans="1:26" x14ac:dyDescent="0.5">
      <c r="A463" s="1739"/>
      <c r="N463" s="1834"/>
      <c r="O463" s="1739"/>
      <c r="Z463" s="1739"/>
    </row>
    <row r="464" spans="1:26" x14ac:dyDescent="0.5">
      <c r="A464" s="1739"/>
      <c r="N464" s="1834"/>
      <c r="O464" s="1739"/>
      <c r="Z464" s="1739"/>
    </row>
    <row r="465" spans="1:26" x14ac:dyDescent="0.5">
      <c r="A465" s="1739"/>
      <c r="N465" s="1834"/>
      <c r="O465" s="1739"/>
      <c r="Z465" s="1739"/>
    </row>
    <row r="466" spans="1:26" x14ac:dyDescent="0.5">
      <c r="A466" s="1739"/>
      <c r="N466" s="1834"/>
      <c r="O466" s="1739"/>
      <c r="Z466" s="1739"/>
    </row>
    <row r="467" spans="1:26" x14ac:dyDescent="0.5">
      <c r="A467" s="1739"/>
      <c r="N467" s="1834"/>
      <c r="O467" s="1739"/>
      <c r="Z467" s="1739"/>
    </row>
    <row r="468" spans="1:26" x14ac:dyDescent="0.5">
      <c r="A468" s="1739"/>
      <c r="N468" s="1834"/>
      <c r="O468" s="1739"/>
      <c r="Z468" s="1739"/>
    </row>
    <row r="469" spans="1:26" x14ac:dyDescent="0.5">
      <c r="A469" s="1739"/>
      <c r="N469" s="1834"/>
      <c r="O469" s="1739"/>
      <c r="Z469" s="1739"/>
    </row>
    <row r="470" spans="1:26" x14ac:dyDescent="0.5">
      <c r="A470" s="1739"/>
      <c r="N470" s="1834"/>
      <c r="O470" s="1739"/>
      <c r="Z470" s="1739"/>
    </row>
    <row r="471" spans="1:26" x14ac:dyDescent="0.5">
      <c r="A471" s="1739"/>
      <c r="N471" s="1834"/>
      <c r="O471" s="1739"/>
      <c r="Z471" s="1739"/>
    </row>
    <row r="472" spans="1:26" x14ac:dyDescent="0.5">
      <c r="A472" s="1739"/>
      <c r="N472" s="1834"/>
      <c r="O472" s="1739"/>
      <c r="Z472" s="1739"/>
    </row>
    <row r="473" spans="1:26" x14ac:dyDescent="0.5">
      <c r="A473" s="1739"/>
      <c r="N473" s="1834"/>
      <c r="O473" s="1739"/>
      <c r="Z473" s="1739"/>
    </row>
    <row r="474" spans="1:26" x14ac:dyDescent="0.5">
      <c r="A474" s="1739"/>
      <c r="N474" s="1834"/>
      <c r="O474" s="1739"/>
      <c r="Z474" s="1739"/>
    </row>
    <row r="475" spans="1:26" x14ac:dyDescent="0.5">
      <c r="A475" s="1739"/>
      <c r="N475" s="1834"/>
      <c r="O475" s="1739"/>
      <c r="Z475" s="1739"/>
    </row>
    <row r="476" spans="1:26" x14ac:dyDescent="0.5">
      <c r="A476" s="1739"/>
      <c r="N476" s="1834"/>
      <c r="O476" s="1739"/>
      <c r="Z476" s="1739"/>
    </row>
    <row r="477" spans="1:26" x14ac:dyDescent="0.5">
      <c r="A477" s="1739"/>
      <c r="N477" s="1834"/>
      <c r="O477" s="1739"/>
      <c r="Z477" s="1739"/>
    </row>
    <row r="478" spans="1:26" x14ac:dyDescent="0.5">
      <c r="A478" s="1739"/>
      <c r="N478" s="1834"/>
      <c r="O478" s="1739"/>
      <c r="Z478" s="1739"/>
    </row>
    <row r="479" spans="1:26" x14ac:dyDescent="0.5">
      <c r="A479" s="1739"/>
      <c r="N479" s="1834"/>
      <c r="O479" s="1739"/>
      <c r="Z479" s="1739"/>
    </row>
    <row r="480" spans="1:26" x14ac:dyDescent="0.5">
      <c r="A480" s="1739"/>
      <c r="N480" s="1834"/>
      <c r="O480" s="1739"/>
      <c r="Z480" s="1739"/>
    </row>
    <row r="481" spans="1:26" x14ac:dyDescent="0.5">
      <c r="A481" s="1739"/>
      <c r="N481" s="1834"/>
      <c r="O481" s="1739"/>
      <c r="Z481" s="1739"/>
    </row>
    <row r="482" spans="1:26" x14ac:dyDescent="0.5">
      <c r="A482" s="1739"/>
      <c r="N482" s="1834"/>
      <c r="O482" s="1739"/>
      <c r="Z482" s="1739"/>
    </row>
    <row r="483" spans="1:26" x14ac:dyDescent="0.5">
      <c r="A483" s="1739"/>
      <c r="N483" s="1834"/>
      <c r="O483" s="1739"/>
      <c r="Z483" s="1739"/>
    </row>
    <row r="484" spans="1:26" x14ac:dyDescent="0.5">
      <c r="A484" s="1739"/>
      <c r="N484" s="1834"/>
      <c r="O484" s="1739"/>
      <c r="Z484" s="1739"/>
    </row>
    <row r="485" spans="1:26" x14ac:dyDescent="0.5">
      <c r="A485" s="1739"/>
      <c r="N485" s="1834"/>
      <c r="O485" s="1739"/>
      <c r="Z485" s="1739"/>
    </row>
    <row r="486" spans="1:26" x14ac:dyDescent="0.5">
      <c r="A486" s="1739"/>
      <c r="N486" s="1834"/>
      <c r="O486" s="1739"/>
      <c r="Z486" s="1739"/>
    </row>
    <row r="487" spans="1:26" x14ac:dyDescent="0.5">
      <c r="A487" s="1739"/>
      <c r="N487" s="1834"/>
      <c r="O487" s="1739"/>
      <c r="Z487" s="1739"/>
    </row>
    <row r="488" spans="1:26" x14ac:dyDescent="0.5">
      <c r="A488" s="1739"/>
      <c r="N488" s="1834"/>
      <c r="O488" s="1739"/>
      <c r="Z488" s="1739"/>
    </row>
    <row r="489" spans="1:26" x14ac:dyDescent="0.5">
      <c r="A489" s="1739"/>
      <c r="N489" s="1834"/>
      <c r="O489" s="1739"/>
      <c r="Z489" s="1739"/>
    </row>
    <row r="490" spans="1:26" x14ac:dyDescent="0.5">
      <c r="A490" s="1739"/>
      <c r="N490" s="1834"/>
      <c r="O490" s="1739"/>
      <c r="Z490" s="1739"/>
    </row>
    <row r="491" spans="1:26" x14ac:dyDescent="0.5">
      <c r="A491" s="1739"/>
      <c r="N491" s="1834"/>
      <c r="O491" s="1739"/>
      <c r="Z491" s="1739"/>
    </row>
    <row r="492" spans="1:26" x14ac:dyDescent="0.5">
      <c r="A492" s="1739"/>
      <c r="N492" s="1834"/>
      <c r="O492" s="1739"/>
      <c r="Z492" s="1739"/>
    </row>
    <row r="493" spans="1:26" x14ac:dyDescent="0.5">
      <c r="A493" s="1739"/>
      <c r="N493" s="1834"/>
      <c r="O493" s="1739"/>
      <c r="Z493" s="1739"/>
    </row>
    <row r="494" spans="1:26" x14ac:dyDescent="0.5">
      <c r="A494" s="1739"/>
      <c r="N494" s="1834"/>
      <c r="O494" s="1739"/>
      <c r="Z494" s="1739"/>
    </row>
    <row r="495" spans="1:26" x14ac:dyDescent="0.5">
      <c r="A495" s="1739"/>
      <c r="N495" s="1834"/>
      <c r="O495" s="1739"/>
      <c r="Z495" s="1739"/>
    </row>
    <row r="496" spans="1:26" x14ac:dyDescent="0.5">
      <c r="A496" s="1739"/>
      <c r="N496" s="1834"/>
      <c r="O496" s="1739"/>
      <c r="Z496" s="1739"/>
    </row>
    <row r="497" spans="1:26" x14ac:dyDescent="0.5">
      <c r="A497" s="1739"/>
      <c r="N497" s="1834"/>
      <c r="O497" s="1739"/>
      <c r="Z497" s="1739"/>
    </row>
    <row r="498" spans="1:26" x14ac:dyDescent="0.5">
      <c r="A498" s="1739"/>
      <c r="N498" s="1834"/>
      <c r="O498" s="1739"/>
      <c r="Z498" s="1739"/>
    </row>
    <row r="499" spans="1:26" x14ac:dyDescent="0.5">
      <c r="A499" s="1739"/>
      <c r="N499" s="1834"/>
      <c r="O499" s="1739"/>
      <c r="Z499" s="1739"/>
    </row>
    <row r="500" spans="1:26" x14ac:dyDescent="0.5">
      <c r="A500" s="1739"/>
      <c r="N500" s="1834"/>
      <c r="O500" s="1739"/>
      <c r="Z500" s="1739"/>
    </row>
    <row r="501" spans="1:26" x14ac:dyDescent="0.5">
      <c r="A501" s="1739"/>
      <c r="N501" s="1834"/>
      <c r="O501" s="1739"/>
      <c r="Z501" s="1739"/>
    </row>
    <row r="502" spans="1:26" x14ac:dyDescent="0.5">
      <c r="A502" s="1739"/>
      <c r="N502" s="1834"/>
      <c r="O502" s="1739"/>
      <c r="Z502" s="1739"/>
    </row>
    <row r="503" spans="1:26" x14ac:dyDescent="0.5">
      <c r="A503" s="1739"/>
      <c r="N503" s="1834"/>
      <c r="O503" s="1739"/>
      <c r="Z503" s="1739"/>
    </row>
    <row r="504" spans="1:26" x14ac:dyDescent="0.5">
      <c r="A504" s="1739"/>
      <c r="N504" s="1834"/>
      <c r="O504" s="1739"/>
      <c r="Z504" s="1739"/>
    </row>
    <row r="505" spans="1:26" x14ac:dyDescent="0.5">
      <c r="A505" s="1739"/>
      <c r="N505" s="1834"/>
      <c r="O505" s="1739"/>
      <c r="Z505" s="1739"/>
    </row>
    <row r="506" spans="1:26" x14ac:dyDescent="0.5">
      <c r="A506" s="1739"/>
      <c r="N506" s="1834"/>
      <c r="O506" s="1739"/>
      <c r="Z506" s="1739"/>
    </row>
    <row r="507" spans="1:26" x14ac:dyDescent="0.5">
      <c r="A507" s="1739"/>
      <c r="N507" s="1834"/>
      <c r="O507" s="1739"/>
      <c r="Z507" s="1739"/>
    </row>
    <row r="508" spans="1:26" x14ac:dyDescent="0.5">
      <c r="A508" s="1739"/>
      <c r="N508" s="1834"/>
      <c r="O508" s="1739"/>
      <c r="Z508" s="1739"/>
    </row>
    <row r="509" spans="1:26" x14ac:dyDescent="0.5">
      <c r="A509" s="1739"/>
      <c r="N509" s="1834"/>
      <c r="O509" s="1739"/>
      <c r="Z509" s="1739"/>
    </row>
    <row r="510" spans="1:26" x14ac:dyDescent="0.5">
      <c r="A510" s="1739"/>
      <c r="N510" s="1834"/>
      <c r="O510" s="1739"/>
      <c r="Z510" s="1739"/>
    </row>
    <row r="511" spans="1:26" x14ac:dyDescent="0.5">
      <c r="A511" s="1739"/>
      <c r="N511" s="1834"/>
      <c r="O511" s="1739"/>
      <c r="Z511" s="1739"/>
    </row>
    <row r="512" spans="1:26" x14ac:dyDescent="0.5">
      <c r="A512" s="1739"/>
      <c r="N512" s="1834"/>
      <c r="O512" s="1739"/>
      <c r="Z512" s="1739"/>
    </row>
    <row r="513" spans="1:26" x14ac:dyDescent="0.5">
      <c r="A513" s="1739"/>
      <c r="N513" s="1834"/>
      <c r="O513" s="1739"/>
      <c r="Z513" s="1739"/>
    </row>
    <row r="514" spans="1:26" x14ac:dyDescent="0.5">
      <c r="A514" s="1739"/>
      <c r="N514" s="1834"/>
      <c r="O514" s="1739"/>
      <c r="Z514" s="1739"/>
    </row>
    <row r="515" spans="1:26" x14ac:dyDescent="0.5">
      <c r="A515" s="1739"/>
      <c r="N515" s="1834"/>
      <c r="O515" s="1739"/>
      <c r="Z515" s="1739"/>
    </row>
    <row r="516" spans="1:26" x14ac:dyDescent="0.5">
      <c r="A516" s="1739"/>
      <c r="N516" s="1834"/>
      <c r="O516" s="1739"/>
      <c r="Z516" s="1739"/>
    </row>
    <row r="517" spans="1:26" x14ac:dyDescent="0.5">
      <c r="A517" s="1739"/>
      <c r="N517" s="1834"/>
      <c r="O517" s="1739"/>
      <c r="Z517" s="1739"/>
    </row>
    <row r="518" spans="1:26" x14ac:dyDescent="0.5">
      <c r="A518" s="1739"/>
      <c r="N518" s="1834"/>
      <c r="O518" s="1739"/>
      <c r="Z518" s="1739"/>
    </row>
    <row r="519" spans="1:26" x14ac:dyDescent="0.5">
      <c r="A519" s="1739"/>
      <c r="N519" s="1834"/>
      <c r="O519" s="1739"/>
      <c r="Z519" s="1739"/>
    </row>
    <row r="520" spans="1:26" x14ac:dyDescent="0.5">
      <c r="A520" s="1739"/>
      <c r="N520" s="1834"/>
      <c r="O520" s="1739"/>
      <c r="Z520" s="1739"/>
    </row>
    <row r="521" spans="1:26" x14ac:dyDescent="0.5">
      <c r="A521" s="1739"/>
      <c r="N521" s="1834"/>
      <c r="O521" s="1739"/>
      <c r="Z521" s="1739"/>
    </row>
    <row r="522" spans="1:26" x14ac:dyDescent="0.5">
      <c r="A522" s="1739"/>
      <c r="N522" s="1834"/>
      <c r="O522" s="1739"/>
      <c r="Z522" s="1739"/>
    </row>
    <row r="523" spans="1:26" x14ac:dyDescent="0.5">
      <c r="A523" s="1739"/>
      <c r="N523" s="1834"/>
      <c r="O523" s="1739"/>
      <c r="Z523" s="1739"/>
    </row>
    <row r="524" spans="1:26" x14ac:dyDescent="0.5">
      <c r="A524" s="1739"/>
      <c r="N524" s="1834"/>
      <c r="O524" s="1739"/>
      <c r="Z524" s="1739"/>
    </row>
    <row r="525" spans="1:26" x14ac:dyDescent="0.5">
      <c r="A525" s="1739"/>
      <c r="N525" s="1834"/>
      <c r="O525" s="1739"/>
      <c r="Z525" s="1739"/>
    </row>
    <row r="526" spans="1:26" x14ac:dyDescent="0.5">
      <c r="A526" s="1739"/>
      <c r="N526" s="1834"/>
      <c r="O526" s="1739"/>
      <c r="Z526" s="1739"/>
    </row>
    <row r="527" spans="1:26" x14ac:dyDescent="0.5">
      <c r="A527" s="1739"/>
      <c r="N527" s="1834"/>
      <c r="O527" s="1739"/>
      <c r="Z527" s="1739"/>
    </row>
    <row r="528" spans="1:26" x14ac:dyDescent="0.5">
      <c r="A528" s="1739"/>
      <c r="N528" s="1834"/>
      <c r="O528" s="1739"/>
      <c r="Z528" s="1739"/>
    </row>
    <row r="529" spans="1:26" x14ac:dyDescent="0.5">
      <c r="A529" s="1739"/>
      <c r="N529" s="1834"/>
      <c r="O529" s="1739"/>
      <c r="Z529" s="1739"/>
    </row>
    <row r="530" spans="1:26" x14ac:dyDescent="0.5">
      <c r="A530" s="1739"/>
      <c r="N530" s="1834"/>
      <c r="O530" s="1739"/>
      <c r="Z530" s="1739"/>
    </row>
    <row r="531" spans="1:26" x14ac:dyDescent="0.5">
      <c r="A531" s="1739"/>
      <c r="N531" s="1834"/>
      <c r="O531" s="1739"/>
      <c r="Z531" s="1739"/>
    </row>
    <row r="532" spans="1:26" x14ac:dyDescent="0.5">
      <c r="A532" s="1739"/>
      <c r="N532" s="1834"/>
      <c r="O532" s="1739"/>
      <c r="Z532" s="1739"/>
    </row>
    <row r="533" spans="1:26" x14ac:dyDescent="0.5">
      <c r="A533" s="1739"/>
      <c r="N533" s="1834"/>
      <c r="O533" s="1739"/>
      <c r="Z533" s="1739"/>
    </row>
    <row r="534" spans="1:26" x14ac:dyDescent="0.5">
      <c r="A534" s="1739"/>
      <c r="N534" s="1834"/>
      <c r="O534" s="1739"/>
      <c r="Z534" s="1739"/>
    </row>
    <row r="535" spans="1:26" x14ac:dyDescent="0.5">
      <c r="A535" s="1739"/>
      <c r="N535" s="1834"/>
      <c r="O535" s="1739"/>
      <c r="Z535" s="1739"/>
    </row>
    <row r="536" spans="1:26" x14ac:dyDescent="0.5">
      <c r="A536" s="1739"/>
      <c r="N536" s="1834"/>
      <c r="O536" s="1739"/>
      <c r="Z536" s="1739"/>
    </row>
    <row r="537" spans="1:26" x14ac:dyDescent="0.5">
      <c r="A537" s="1739"/>
      <c r="N537" s="1834"/>
      <c r="O537" s="1739"/>
      <c r="Z537" s="1739"/>
    </row>
    <row r="538" spans="1:26" x14ac:dyDescent="0.5">
      <c r="A538" s="1739"/>
      <c r="N538" s="1834"/>
      <c r="O538" s="1739"/>
      <c r="Z538" s="1739"/>
    </row>
    <row r="539" spans="1:26" x14ac:dyDescent="0.5">
      <c r="A539" s="1739"/>
      <c r="N539" s="1834"/>
      <c r="O539" s="1739"/>
      <c r="Z539" s="1739"/>
    </row>
    <row r="540" spans="1:26" x14ac:dyDescent="0.5">
      <c r="A540" s="1739"/>
      <c r="N540" s="1834"/>
      <c r="O540" s="1739"/>
      <c r="Z540" s="1739"/>
    </row>
    <row r="541" spans="1:26" x14ac:dyDescent="0.5">
      <c r="A541" s="1739"/>
      <c r="N541" s="1834"/>
      <c r="O541" s="1739"/>
      <c r="Z541" s="1739"/>
    </row>
    <row r="542" spans="1:26" x14ac:dyDescent="0.5">
      <c r="A542" s="1739"/>
      <c r="N542" s="1834"/>
      <c r="O542" s="1739"/>
      <c r="Z542" s="1739"/>
    </row>
    <row r="543" spans="1:26" x14ac:dyDescent="0.5">
      <c r="A543" s="1739"/>
      <c r="N543" s="1834"/>
      <c r="O543" s="1739"/>
      <c r="Z543" s="1739"/>
    </row>
    <row r="544" spans="1:26" x14ac:dyDescent="0.5">
      <c r="A544" s="1739"/>
      <c r="N544" s="1834"/>
      <c r="O544" s="1739"/>
      <c r="Z544" s="1739"/>
    </row>
    <row r="545" spans="1:26" x14ac:dyDescent="0.5">
      <c r="A545" s="1739"/>
      <c r="N545" s="1834"/>
      <c r="O545" s="1739"/>
      <c r="Z545" s="1739"/>
    </row>
    <row r="546" spans="1:26" x14ac:dyDescent="0.5">
      <c r="A546" s="1739"/>
      <c r="N546" s="1834"/>
      <c r="O546" s="1739"/>
      <c r="Z546" s="1739"/>
    </row>
    <row r="547" spans="1:26" x14ac:dyDescent="0.5">
      <c r="A547" s="1739"/>
      <c r="N547" s="1834"/>
      <c r="O547" s="1739"/>
      <c r="Z547" s="1739"/>
    </row>
    <row r="548" spans="1:26" x14ac:dyDescent="0.5">
      <c r="A548" s="1739"/>
      <c r="N548" s="1834"/>
      <c r="O548" s="1739"/>
      <c r="Z548" s="1739"/>
    </row>
    <row r="549" spans="1:26" x14ac:dyDescent="0.5">
      <c r="A549" s="1739"/>
      <c r="N549" s="1834"/>
      <c r="O549" s="1739"/>
      <c r="Z549" s="1739"/>
    </row>
    <row r="550" spans="1:26" x14ac:dyDescent="0.5">
      <c r="A550" s="1739"/>
      <c r="N550" s="1834"/>
      <c r="O550" s="1739"/>
      <c r="Z550" s="1739"/>
    </row>
    <row r="551" spans="1:26" x14ac:dyDescent="0.5">
      <c r="A551" s="1739"/>
      <c r="N551" s="1834"/>
      <c r="O551" s="1739"/>
      <c r="Z551" s="1739"/>
    </row>
    <row r="552" spans="1:26" x14ac:dyDescent="0.5">
      <c r="A552" s="1739"/>
      <c r="N552" s="1834"/>
      <c r="O552" s="1739"/>
      <c r="Z552" s="1739"/>
    </row>
    <row r="553" spans="1:26" x14ac:dyDescent="0.5">
      <c r="A553" s="1739"/>
      <c r="N553" s="1834"/>
      <c r="O553" s="1739"/>
      <c r="Z553" s="1739"/>
    </row>
    <row r="554" spans="1:26" x14ac:dyDescent="0.5">
      <c r="A554" s="1739"/>
      <c r="N554" s="1834"/>
      <c r="O554" s="1739"/>
      <c r="Z554" s="1739"/>
    </row>
    <row r="555" spans="1:26" x14ac:dyDescent="0.5">
      <c r="A555" s="1739"/>
      <c r="N555" s="1834"/>
      <c r="O555" s="1739"/>
      <c r="Z555" s="1739"/>
    </row>
    <row r="556" spans="1:26" x14ac:dyDescent="0.5">
      <c r="A556" s="1739"/>
      <c r="N556" s="1834"/>
      <c r="O556" s="1739"/>
      <c r="Z556" s="1739"/>
    </row>
    <row r="557" spans="1:26" x14ac:dyDescent="0.5">
      <c r="A557" s="1739"/>
      <c r="N557" s="1834"/>
      <c r="O557" s="1739"/>
      <c r="Z557" s="1739"/>
    </row>
    <row r="558" spans="1:26" x14ac:dyDescent="0.5">
      <c r="A558" s="1739"/>
      <c r="N558" s="1834"/>
      <c r="O558" s="1739"/>
      <c r="Z558" s="1739"/>
    </row>
    <row r="559" spans="1:26" x14ac:dyDescent="0.5">
      <c r="A559" s="1739"/>
      <c r="N559" s="1834"/>
      <c r="O559" s="1739"/>
      <c r="Z559" s="1739"/>
    </row>
    <row r="560" spans="1:26" x14ac:dyDescent="0.5">
      <c r="A560" s="1739"/>
      <c r="N560" s="1834"/>
      <c r="O560" s="1739"/>
      <c r="Z560" s="1739"/>
    </row>
    <row r="561" spans="1:26" x14ac:dyDescent="0.5">
      <c r="A561" s="1739"/>
      <c r="N561" s="1834"/>
      <c r="O561" s="1739"/>
      <c r="Z561" s="1739"/>
    </row>
    <row r="562" spans="1:26" x14ac:dyDescent="0.5">
      <c r="A562" s="1739"/>
      <c r="N562" s="1834"/>
      <c r="O562" s="1739"/>
      <c r="Z562" s="1739"/>
    </row>
    <row r="563" spans="1:26" x14ac:dyDescent="0.5">
      <c r="A563" s="1739"/>
      <c r="N563" s="1834"/>
      <c r="O563" s="1739"/>
      <c r="Z563" s="1739"/>
    </row>
    <row r="564" spans="1:26" x14ac:dyDescent="0.5">
      <c r="A564" s="1739"/>
      <c r="N564" s="1834"/>
      <c r="O564" s="1739"/>
      <c r="Z564" s="1739"/>
    </row>
    <row r="565" spans="1:26" x14ac:dyDescent="0.5">
      <c r="A565" s="1739"/>
      <c r="N565" s="1834"/>
      <c r="O565" s="1739"/>
      <c r="Z565" s="1739"/>
    </row>
    <row r="566" spans="1:26" x14ac:dyDescent="0.5">
      <c r="A566" s="1739"/>
      <c r="N566" s="1834"/>
      <c r="O566" s="1739"/>
      <c r="Z566" s="1739"/>
    </row>
    <row r="567" spans="1:26" x14ac:dyDescent="0.5">
      <c r="A567" s="1739"/>
      <c r="N567" s="1834"/>
      <c r="O567" s="1739"/>
      <c r="Z567" s="1739"/>
    </row>
    <row r="568" spans="1:26" x14ac:dyDescent="0.5">
      <c r="A568" s="1739"/>
      <c r="N568" s="1834"/>
      <c r="O568" s="1739"/>
      <c r="Z568" s="1739"/>
    </row>
    <row r="569" spans="1:26" x14ac:dyDescent="0.5">
      <c r="A569" s="1739"/>
      <c r="N569" s="1834"/>
      <c r="O569" s="1739"/>
      <c r="Z569" s="1739"/>
    </row>
    <row r="570" spans="1:26" x14ac:dyDescent="0.5">
      <c r="A570" s="1739"/>
      <c r="N570" s="1834"/>
      <c r="O570" s="1739"/>
      <c r="Z570" s="1739"/>
    </row>
    <row r="571" spans="1:26" x14ac:dyDescent="0.5">
      <c r="A571" s="1739"/>
      <c r="N571" s="1834"/>
      <c r="O571" s="1739"/>
      <c r="Z571" s="1739"/>
    </row>
    <row r="572" spans="1:26" x14ac:dyDescent="0.5">
      <c r="A572" s="1739"/>
      <c r="N572" s="1834"/>
      <c r="O572" s="1739"/>
      <c r="Z572" s="1739"/>
    </row>
    <row r="573" spans="1:26" x14ac:dyDescent="0.5">
      <c r="A573" s="1739"/>
      <c r="N573" s="1834"/>
      <c r="O573" s="1739"/>
      <c r="Z573" s="1739"/>
    </row>
    <row r="574" spans="1:26" x14ac:dyDescent="0.5">
      <c r="A574" s="1739"/>
      <c r="N574" s="1834"/>
      <c r="O574" s="1739"/>
      <c r="Z574" s="1739"/>
    </row>
    <row r="575" spans="1:26" x14ac:dyDescent="0.5">
      <c r="A575" s="1739"/>
      <c r="N575" s="1834"/>
      <c r="O575" s="1739"/>
      <c r="Z575" s="1739"/>
    </row>
    <row r="576" spans="1:26" x14ac:dyDescent="0.5">
      <c r="A576" s="1739"/>
      <c r="N576" s="1834"/>
      <c r="O576" s="1739"/>
      <c r="Z576" s="1739"/>
    </row>
    <row r="577" spans="1:26" x14ac:dyDescent="0.5">
      <c r="A577" s="1739"/>
      <c r="N577" s="1834"/>
      <c r="O577" s="1739"/>
      <c r="Z577" s="1739"/>
    </row>
    <row r="578" spans="1:26" x14ac:dyDescent="0.5">
      <c r="A578" s="1739"/>
      <c r="N578" s="1834"/>
      <c r="O578" s="1739"/>
      <c r="Z578" s="1739"/>
    </row>
    <row r="579" spans="1:26" x14ac:dyDescent="0.5">
      <c r="A579" s="1739"/>
      <c r="N579" s="1834"/>
      <c r="O579" s="1739"/>
      <c r="Z579" s="1739"/>
    </row>
    <row r="580" spans="1:26" x14ac:dyDescent="0.5">
      <c r="A580" s="1739"/>
      <c r="N580" s="1834"/>
      <c r="O580" s="1739"/>
      <c r="Z580" s="1739"/>
    </row>
    <row r="581" spans="1:26" x14ac:dyDescent="0.5">
      <c r="A581" s="1739"/>
      <c r="N581" s="1834"/>
      <c r="O581" s="1739"/>
      <c r="Z581" s="1739"/>
    </row>
    <row r="582" spans="1:26" x14ac:dyDescent="0.5">
      <c r="A582" s="1739"/>
      <c r="N582" s="1834"/>
      <c r="O582" s="1739"/>
      <c r="Z582" s="1739"/>
    </row>
    <row r="583" spans="1:26" x14ac:dyDescent="0.5">
      <c r="A583" s="1739"/>
      <c r="N583" s="1834"/>
      <c r="O583" s="1739"/>
      <c r="Z583" s="1739"/>
    </row>
    <row r="584" spans="1:26" x14ac:dyDescent="0.5">
      <c r="A584" s="1739"/>
      <c r="N584" s="1834"/>
      <c r="O584" s="1739"/>
      <c r="Z584" s="1739"/>
    </row>
    <row r="585" spans="1:26" x14ac:dyDescent="0.5">
      <c r="A585" s="1739"/>
      <c r="N585" s="1834"/>
      <c r="O585" s="1739"/>
      <c r="Z585" s="1739"/>
    </row>
    <row r="586" spans="1:26" x14ac:dyDescent="0.5">
      <c r="A586" s="1739"/>
      <c r="N586" s="1834"/>
      <c r="O586" s="1739"/>
      <c r="Z586" s="1739"/>
    </row>
    <row r="587" spans="1:26" x14ac:dyDescent="0.5">
      <c r="A587" s="1739"/>
      <c r="N587" s="1834"/>
      <c r="O587" s="1739"/>
      <c r="Z587" s="1739"/>
    </row>
    <row r="588" spans="1:26" x14ac:dyDescent="0.5">
      <c r="A588" s="1739"/>
      <c r="N588" s="1834"/>
      <c r="O588" s="1739"/>
      <c r="Z588" s="1739"/>
    </row>
    <row r="589" spans="1:26" x14ac:dyDescent="0.5">
      <c r="A589" s="1739"/>
      <c r="N589" s="1834"/>
      <c r="O589" s="1739"/>
      <c r="Z589" s="1739"/>
    </row>
    <row r="590" spans="1:26" x14ac:dyDescent="0.5">
      <c r="A590" s="1739"/>
      <c r="N590" s="1834"/>
      <c r="O590" s="1739"/>
      <c r="Z590" s="1739"/>
    </row>
    <row r="591" spans="1:26" x14ac:dyDescent="0.5">
      <c r="A591" s="1739"/>
      <c r="N591" s="1834"/>
      <c r="O591" s="1739"/>
      <c r="Z591" s="1739"/>
    </row>
    <row r="592" spans="1:26" x14ac:dyDescent="0.5">
      <c r="A592" s="1739"/>
      <c r="N592" s="1834"/>
      <c r="O592" s="1739"/>
      <c r="Z592" s="1739"/>
    </row>
    <row r="593" spans="1:26" x14ac:dyDescent="0.5">
      <c r="A593" s="1739"/>
      <c r="N593" s="1834"/>
      <c r="O593" s="1739"/>
      <c r="Z593" s="1739"/>
    </row>
    <row r="594" spans="1:26" x14ac:dyDescent="0.5">
      <c r="A594" s="1739"/>
      <c r="N594" s="1834"/>
      <c r="O594" s="1739"/>
      <c r="Z594" s="1739"/>
    </row>
    <row r="595" spans="1:26" x14ac:dyDescent="0.5">
      <c r="A595" s="1739"/>
      <c r="N595" s="1834"/>
      <c r="O595" s="1739"/>
      <c r="Z595" s="1739"/>
    </row>
    <row r="596" spans="1:26" x14ac:dyDescent="0.5">
      <c r="A596" s="1739"/>
      <c r="N596" s="1834"/>
      <c r="O596" s="1739"/>
      <c r="Z596" s="1739"/>
    </row>
    <row r="597" spans="1:26" x14ac:dyDescent="0.5">
      <c r="A597" s="1739"/>
      <c r="N597" s="1834"/>
      <c r="O597" s="1739"/>
      <c r="Z597" s="1739"/>
    </row>
    <row r="598" spans="1:26" x14ac:dyDescent="0.5">
      <c r="A598" s="1739"/>
      <c r="N598" s="1834"/>
      <c r="O598" s="1739"/>
      <c r="Z598" s="1739"/>
    </row>
    <row r="599" spans="1:26" x14ac:dyDescent="0.5">
      <c r="A599" s="1739"/>
      <c r="N599" s="1834"/>
      <c r="O599" s="1739"/>
      <c r="Z599" s="1739"/>
    </row>
    <row r="600" spans="1:26" x14ac:dyDescent="0.5">
      <c r="A600" s="1739"/>
      <c r="N600" s="1834"/>
      <c r="O600" s="1739"/>
      <c r="Z600" s="1739"/>
    </row>
    <row r="601" spans="1:26" x14ac:dyDescent="0.5">
      <c r="A601" s="1739"/>
      <c r="N601" s="1834"/>
      <c r="O601" s="1739"/>
      <c r="Z601" s="1739"/>
    </row>
    <row r="602" spans="1:26" x14ac:dyDescent="0.5">
      <c r="A602" s="1739"/>
      <c r="N602" s="1834"/>
      <c r="O602" s="1739"/>
      <c r="Z602" s="1739"/>
    </row>
    <row r="603" spans="1:26" x14ac:dyDescent="0.5">
      <c r="A603" s="1739"/>
      <c r="N603" s="1834"/>
      <c r="O603" s="1739"/>
      <c r="Z603" s="1739"/>
    </row>
    <row r="604" spans="1:26" x14ac:dyDescent="0.5">
      <c r="A604" s="1739"/>
      <c r="N604" s="1834"/>
      <c r="O604" s="1739"/>
      <c r="Z604" s="1739"/>
    </row>
    <row r="605" spans="1:26" x14ac:dyDescent="0.5">
      <c r="A605" s="1739"/>
      <c r="N605" s="1834"/>
      <c r="O605" s="1739"/>
      <c r="Z605" s="1739"/>
    </row>
    <row r="606" spans="1:26" x14ac:dyDescent="0.5">
      <c r="A606" s="1739"/>
      <c r="N606" s="1834"/>
      <c r="O606" s="1739"/>
      <c r="Z606" s="1739"/>
    </row>
    <row r="607" spans="1:26" x14ac:dyDescent="0.5">
      <c r="A607" s="1739"/>
      <c r="N607" s="1834"/>
      <c r="O607" s="1739"/>
      <c r="Z607" s="1739"/>
    </row>
    <row r="608" spans="1:26" x14ac:dyDescent="0.5">
      <c r="A608" s="1739"/>
      <c r="N608" s="1834"/>
      <c r="O608" s="1739"/>
      <c r="Z608" s="1739"/>
    </row>
    <row r="609" spans="1:26" x14ac:dyDescent="0.5">
      <c r="A609" s="1739"/>
      <c r="N609" s="1834"/>
      <c r="O609" s="1739"/>
      <c r="Z609" s="1739"/>
    </row>
    <row r="610" spans="1:26" x14ac:dyDescent="0.5">
      <c r="A610" s="1739"/>
      <c r="N610" s="1834"/>
      <c r="O610" s="1739"/>
      <c r="Z610" s="1739"/>
    </row>
    <row r="611" spans="1:26" x14ac:dyDescent="0.5">
      <c r="A611" s="1739"/>
      <c r="N611" s="1834"/>
      <c r="O611" s="1739"/>
      <c r="Z611" s="1739"/>
    </row>
    <row r="612" spans="1:26" x14ac:dyDescent="0.5">
      <c r="A612" s="1739"/>
      <c r="N612" s="1834"/>
      <c r="O612" s="1739"/>
      <c r="Z612" s="1739"/>
    </row>
    <row r="613" spans="1:26" x14ac:dyDescent="0.5">
      <c r="A613" s="1739"/>
      <c r="N613" s="1834"/>
      <c r="O613" s="1739"/>
      <c r="Z613" s="1739"/>
    </row>
    <row r="614" spans="1:26" x14ac:dyDescent="0.5">
      <c r="A614" s="1739"/>
      <c r="N614" s="1834"/>
      <c r="O614" s="1739"/>
      <c r="Z614" s="1739"/>
    </row>
    <row r="615" spans="1:26" x14ac:dyDescent="0.5">
      <c r="A615" s="1739"/>
      <c r="N615" s="1834"/>
      <c r="O615" s="1739"/>
      <c r="Z615" s="1739"/>
    </row>
    <row r="616" spans="1:26" x14ac:dyDescent="0.5">
      <c r="A616" s="1739"/>
      <c r="N616" s="1834"/>
      <c r="O616" s="1739"/>
      <c r="Z616" s="1739"/>
    </row>
    <row r="617" spans="1:26" x14ac:dyDescent="0.5">
      <c r="A617" s="1739"/>
      <c r="N617" s="1834"/>
      <c r="O617" s="1739"/>
      <c r="Z617" s="1739"/>
    </row>
    <row r="618" spans="1:26" x14ac:dyDescent="0.5">
      <c r="A618" s="1739"/>
      <c r="N618" s="1834"/>
      <c r="O618" s="1739"/>
      <c r="Z618" s="1739"/>
    </row>
    <row r="619" spans="1:26" x14ac:dyDescent="0.5">
      <c r="A619" s="1739"/>
      <c r="N619" s="1834"/>
      <c r="O619" s="1739"/>
      <c r="Z619" s="1739"/>
    </row>
    <row r="620" spans="1:26" x14ac:dyDescent="0.5">
      <c r="A620" s="1739"/>
      <c r="N620" s="1834"/>
      <c r="O620" s="1739"/>
      <c r="Z620" s="1739"/>
    </row>
    <row r="621" spans="1:26" x14ac:dyDescent="0.5">
      <c r="A621" s="1739"/>
      <c r="N621" s="1834"/>
      <c r="O621" s="1739"/>
      <c r="Z621" s="1739"/>
    </row>
    <row r="622" spans="1:26" x14ac:dyDescent="0.5">
      <c r="A622" s="1739"/>
      <c r="N622" s="1834"/>
      <c r="O622" s="1739"/>
      <c r="Z622" s="1739"/>
    </row>
    <row r="623" spans="1:26" x14ac:dyDescent="0.5">
      <c r="A623" s="1739"/>
      <c r="N623" s="1834"/>
      <c r="O623" s="1739"/>
      <c r="Z623" s="1739"/>
    </row>
    <row r="624" spans="1:26" x14ac:dyDescent="0.5">
      <c r="A624" s="1739"/>
      <c r="N624" s="1834"/>
      <c r="O624" s="1739"/>
      <c r="Z624" s="1739"/>
    </row>
    <row r="625" spans="1:26" x14ac:dyDescent="0.5">
      <c r="A625" s="1739"/>
      <c r="N625" s="1834"/>
      <c r="O625" s="1739"/>
      <c r="Z625" s="1739"/>
    </row>
    <row r="626" spans="1:26" x14ac:dyDescent="0.5">
      <c r="A626" s="1739"/>
      <c r="N626" s="1834"/>
      <c r="O626" s="1739"/>
      <c r="Z626" s="1739"/>
    </row>
    <row r="627" spans="1:26" x14ac:dyDescent="0.5">
      <c r="A627" s="1739"/>
      <c r="N627" s="1834"/>
      <c r="O627" s="1739"/>
      <c r="Z627" s="1739"/>
    </row>
    <row r="628" spans="1:26" x14ac:dyDescent="0.5">
      <c r="A628" s="1739"/>
      <c r="N628" s="1834"/>
      <c r="O628" s="1739"/>
      <c r="Z628" s="1739"/>
    </row>
    <row r="629" spans="1:26" x14ac:dyDescent="0.5">
      <c r="A629" s="1739"/>
      <c r="N629" s="1834"/>
      <c r="O629" s="1739"/>
      <c r="Z629" s="1739"/>
    </row>
    <row r="630" spans="1:26" x14ac:dyDescent="0.5">
      <c r="A630" s="1739"/>
      <c r="N630" s="1834"/>
      <c r="O630" s="1739"/>
      <c r="Z630" s="1739"/>
    </row>
    <row r="631" spans="1:26" x14ac:dyDescent="0.5">
      <c r="A631" s="1739"/>
      <c r="N631" s="1834"/>
      <c r="O631" s="1739"/>
      <c r="Z631" s="1739"/>
    </row>
    <row r="632" spans="1:26" x14ac:dyDescent="0.5">
      <c r="A632" s="1739"/>
      <c r="N632" s="1834"/>
      <c r="O632" s="1739"/>
      <c r="Z632" s="1739"/>
    </row>
    <row r="633" spans="1:26" x14ac:dyDescent="0.5">
      <c r="A633" s="1739"/>
      <c r="N633" s="1834"/>
      <c r="O633" s="1739"/>
      <c r="Z633" s="1739"/>
    </row>
    <row r="634" spans="1:26" x14ac:dyDescent="0.5">
      <c r="A634" s="1739"/>
      <c r="N634" s="1834"/>
      <c r="O634" s="1739"/>
      <c r="Z634" s="1739"/>
    </row>
    <row r="635" spans="1:26" x14ac:dyDescent="0.5">
      <c r="A635" s="1739"/>
      <c r="N635" s="1834"/>
      <c r="O635" s="1739"/>
      <c r="Z635" s="1739"/>
    </row>
    <row r="636" spans="1:26" x14ac:dyDescent="0.5">
      <c r="A636" s="1739"/>
      <c r="N636" s="1834"/>
      <c r="O636" s="1739"/>
      <c r="Z636" s="1739"/>
    </row>
    <row r="637" spans="1:26" x14ac:dyDescent="0.5">
      <c r="A637" s="1739"/>
      <c r="N637" s="1834"/>
      <c r="O637" s="1739"/>
      <c r="Z637" s="1739"/>
    </row>
    <row r="638" spans="1:26" x14ac:dyDescent="0.5">
      <c r="A638" s="1739"/>
      <c r="N638" s="1834"/>
      <c r="O638" s="1739"/>
      <c r="Z638" s="1739"/>
    </row>
    <row r="639" spans="1:26" x14ac:dyDescent="0.5">
      <c r="A639" s="1739"/>
      <c r="N639" s="1834"/>
      <c r="O639" s="1739"/>
      <c r="Z639" s="1739"/>
    </row>
    <row r="640" spans="1:26" x14ac:dyDescent="0.5">
      <c r="A640" s="1739"/>
      <c r="N640" s="1834"/>
      <c r="O640" s="1739"/>
      <c r="Z640" s="1739"/>
    </row>
    <row r="641" spans="1:26" x14ac:dyDescent="0.5">
      <c r="A641" s="1739"/>
      <c r="N641" s="1834"/>
      <c r="O641" s="1739"/>
      <c r="Z641" s="1739"/>
    </row>
    <row r="642" spans="1:26" x14ac:dyDescent="0.5">
      <c r="A642" s="1739"/>
      <c r="N642" s="1834"/>
      <c r="O642" s="1739"/>
      <c r="Z642" s="1739"/>
    </row>
    <row r="643" spans="1:26" x14ac:dyDescent="0.5">
      <c r="A643" s="1739"/>
      <c r="N643" s="1834"/>
      <c r="O643" s="1739"/>
      <c r="Z643" s="1739"/>
    </row>
    <row r="644" spans="1:26" x14ac:dyDescent="0.5">
      <c r="A644" s="1739"/>
      <c r="N644" s="1834"/>
      <c r="O644" s="1739"/>
      <c r="Z644" s="1739"/>
    </row>
    <row r="645" spans="1:26" x14ac:dyDescent="0.5">
      <c r="A645" s="1739"/>
      <c r="N645" s="1834"/>
      <c r="O645" s="1739"/>
      <c r="Z645" s="1739"/>
    </row>
    <row r="646" spans="1:26" x14ac:dyDescent="0.5">
      <c r="A646" s="1739"/>
      <c r="N646" s="1834"/>
      <c r="O646" s="1739"/>
      <c r="Z646" s="1739"/>
    </row>
    <row r="647" spans="1:26" x14ac:dyDescent="0.5">
      <c r="A647" s="1739"/>
      <c r="N647" s="1834"/>
      <c r="O647" s="1739"/>
      <c r="Z647" s="1739"/>
    </row>
    <row r="648" spans="1:26" x14ac:dyDescent="0.5">
      <c r="A648" s="1739"/>
      <c r="N648" s="1834"/>
      <c r="O648" s="1739"/>
      <c r="Z648" s="1739"/>
    </row>
    <row r="649" spans="1:26" x14ac:dyDescent="0.5">
      <c r="A649" s="1739"/>
      <c r="N649" s="1834"/>
      <c r="O649" s="1739"/>
      <c r="Z649" s="1739"/>
    </row>
    <row r="650" spans="1:26" x14ac:dyDescent="0.5">
      <c r="A650" s="1739"/>
      <c r="N650" s="1834"/>
      <c r="O650" s="1739"/>
      <c r="Z650" s="1739"/>
    </row>
    <row r="651" spans="1:26" x14ac:dyDescent="0.5">
      <c r="A651" s="1739"/>
      <c r="N651" s="1834"/>
      <c r="O651" s="1739"/>
      <c r="Z651" s="1739"/>
    </row>
    <row r="652" spans="1:26" x14ac:dyDescent="0.5">
      <c r="A652" s="1739"/>
      <c r="N652" s="1834"/>
      <c r="O652" s="1739"/>
      <c r="Z652" s="1739"/>
    </row>
    <row r="653" spans="1:26" x14ac:dyDescent="0.5">
      <c r="A653" s="1739"/>
      <c r="N653" s="1834"/>
      <c r="O653" s="1739"/>
      <c r="Z653" s="1739"/>
    </row>
    <row r="654" spans="1:26" x14ac:dyDescent="0.5">
      <c r="A654" s="1739"/>
      <c r="N654" s="1834"/>
      <c r="O654" s="1739"/>
      <c r="Z654" s="1739"/>
    </row>
    <row r="655" spans="1:26" x14ac:dyDescent="0.5">
      <c r="A655" s="1739"/>
      <c r="N655" s="1834"/>
      <c r="O655" s="1739"/>
      <c r="Z655" s="1739"/>
    </row>
    <row r="656" spans="1:26" x14ac:dyDescent="0.5">
      <c r="A656" s="1739"/>
      <c r="N656" s="1834"/>
      <c r="O656" s="1739"/>
      <c r="Z656" s="1739"/>
    </row>
    <row r="657" spans="1:26" x14ac:dyDescent="0.5">
      <c r="A657" s="1739"/>
      <c r="N657" s="1834"/>
      <c r="O657" s="1739"/>
      <c r="Z657" s="1739"/>
    </row>
    <row r="658" spans="1:26" x14ac:dyDescent="0.5">
      <c r="A658" s="1739"/>
      <c r="N658" s="1834"/>
      <c r="O658" s="1739"/>
      <c r="Z658" s="1739"/>
    </row>
    <row r="659" spans="1:26" x14ac:dyDescent="0.5">
      <c r="A659" s="1739"/>
      <c r="N659" s="1834"/>
      <c r="O659" s="1739"/>
      <c r="Z659" s="1739"/>
    </row>
    <row r="660" spans="1:26" x14ac:dyDescent="0.5">
      <c r="A660" s="1739"/>
      <c r="N660" s="1834"/>
      <c r="O660" s="1739"/>
      <c r="Z660" s="1739"/>
    </row>
    <row r="661" spans="1:26" x14ac:dyDescent="0.5">
      <c r="A661" s="1739"/>
      <c r="N661" s="1834"/>
      <c r="O661" s="1739"/>
      <c r="Z661" s="1739"/>
    </row>
    <row r="662" spans="1:26" x14ac:dyDescent="0.5">
      <c r="A662" s="1739"/>
      <c r="N662" s="1834"/>
      <c r="O662" s="1739"/>
      <c r="Z662" s="1739"/>
    </row>
    <row r="663" spans="1:26" x14ac:dyDescent="0.5">
      <c r="A663" s="1739"/>
      <c r="N663" s="1834"/>
      <c r="O663" s="1739"/>
      <c r="Z663" s="1739"/>
    </row>
    <row r="664" spans="1:26" x14ac:dyDescent="0.5">
      <c r="A664" s="1739"/>
      <c r="N664" s="1834"/>
      <c r="O664" s="1739"/>
      <c r="Z664" s="1739"/>
    </row>
    <row r="665" spans="1:26" x14ac:dyDescent="0.5">
      <c r="A665" s="1739"/>
      <c r="N665" s="1834"/>
      <c r="O665" s="1739"/>
      <c r="Z665" s="1739"/>
    </row>
    <row r="666" spans="1:26" x14ac:dyDescent="0.5">
      <c r="A666" s="1739"/>
      <c r="N666" s="1834"/>
      <c r="O666" s="1739"/>
      <c r="Z666" s="1739"/>
    </row>
    <row r="667" spans="1:26" x14ac:dyDescent="0.5">
      <c r="A667" s="1739"/>
      <c r="N667" s="1834"/>
      <c r="O667" s="1739"/>
      <c r="Z667" s="1739"/>
    </row>
    <row r="668" spans="1:26" x14ac:dyDescent="0.5">
      <c r="A668" s="1739"/>
      <c r="N668" s="1834"/>
      <c r="O668" s="1739"/>
      <c r="Z668" s="1739"/>
    </row>
    <row r="669" spans="1:26" x14ac:dyDescent="0.5">
      <c r="A669" s="1739"/>
      <c r="N669" s="1834"/>
      <c r="O669" s="1739"/>
      <c r="Z669" s="1739"/>
    </row>
    <row r="670" spans="1:26" x14ac:dyDescent="0.5">
      <c r="A670" s="1739"/>
      <c r="N670" s="1834"/>
      <c r="O670" s="1739"/>
      <c r="Z670" s="1739"/>
    </row>
    <row r="671" spans="1:26" x14ac:dyDescent="0.5">
      <c r="A671" s="1739"/>
      <c r="N671" s="1834"/>
      <c r="O671" s="1739"/>
      <c r="Z671" s="1739"/>
    </row>
    <row r="672" spans="1:26" x14ac:dyDescent="0.5">
      <c r="A672" s="1739"/>
      <c r="N672" s="1834"/>
      <c r="O672" s="1739"/>
      <c r="Z672" s="1739"/>
    </row>
    <row r="673" spans="1:26" x14ac:dyDescent="0.5">
      <c r="A673" s="1739"/>
      <c r="N673" s="1834"/>
      <c r="O673" s="1739"/>
      <c r="Z673" s="1739"/>
    </row>
    <row r="674" spans="1:26" x14ac:dyDescent="0.5">
      <c r="A674" s="1739"/>
      <c r="N674" s="1834"/>
      <c r="O674" s="1739"/>
      <c r="Z674" s="1739"/>
    </row>
    <row r="675" spans="1:26" x14ac:dyDescent="0.5">
      <c r="A675" s="1739"/>
      <c r="N675" s="1834"/>
      <c r="O675" s="1739"/>
      <c r="Z675" s="1739"/>
    </row>
    <row r="676" spans="1:26" x14ac:dyDescent="0.5">
      <c r="A676" s="1739"/>
      <c r="N676" s="1834"/>
      <c r="O676" s="1739"/>
      <c r="Z676" s="1739"/>
    </row>
    <row r="677" spans="1:26" x14ac:dyDescent="0.5">
      <c r="A677" s="1739"/>
      <c r="N677" s="1834"/>
      <c r="O677" s="1739"/>
      <c r="Z677" s="1739"/>
    </row>
    <row r="678" spans="1:26" x14ac:dyDescent="0.5">
      <c r="A678" s="1739"/>
      <c r="N678" s="1834"/>
      <c r="O678" s="1739"/>
      <c r="Z678" s="1739"/>
    </row>
    <row r="679" spans="1:26" x14ac:dyDescent="0.5">
      <c r="A679" s="1739"/>
      <c r="N679" s="1834"/>
      <c r="O679" s="1739"/>
      <c r="Z679" s="1739"/>
    </row>
    <row r="680" spans="1:26" x14ac:dyDescent="0.5">
      <c r="A680" s="1739"/>
      <c r="N680" s="1834"/>
      <c r="O680" s="1739"/>
      <c r="Z680" s="1739"/>
    </row>
    <row r="681" spans="1:26" x14ac:dyDescent="0.5">
      <c r="A681" s="1739"/>
      <c r="N681" s="1834"/>
      <c r="O681" s="1739"/>
      <c r="Z681" s="1739"/>
    </row>
    <row r="682" spans="1:26" x14ac:dyDescent="0.5">
      <c r="A682" s="1739"/>
      <c r="N682" s="1834"/>
      <c r="O682" s="1739"/>
      <c r="Z682" s="1739"/>
    </row>
    <row r="683" spans="1:26" x14ac:dyDescent="0.5">
      <c r="A683" s="1739"/>
      <c r="N683" s="1834"/>
      <c r="O683" s="1739"/>
      <c r="Z683" s="1739"/>
    </row>
    <row r="684" spans="1:26" x14ac:dyDescent="0.5">
      <c r="A684" s="1739"/>
      <c r="N684" s="1834"/>
      <c r="O684" s="1739"/>
      <c r="Z684" s="1739"/>
    </row>
    <row r="685" spans="1:26" x14ac:dyDescent="0.5">
      <c r="A685" s="1739"/>
      <c r="N685" s="1834"/>
      <c r="O685" s="1739"/>
      <c r="Z685" s="1739"/>
    </row>
    <row r="686" spans="1:26" x14ac:dyDescent="0.5">
      <c r="A686" s="1739"/>
      <c r="N686" s="1834"/>
      <c r="O686" s="1739"/>
      <c r="Z686" s="1739"/>
    </row>
    <row r="687" spans="1:26" x14ac:dyDescent="0.5">
      <c r="A687" s="1739"/>
      <c r="N687" s="1834"/>
      <c r="O687" s="1739"/>
      <c r="Z687" s="1739"/>
    </row>
    <row r="688" spans="1:26" x14ac:dyDescent="0.5">
      <c r="A688" s="1739"/>
      <c r="N688" s="1834"/>
      <c r="O688" s="1739"/>
      <c r="Z688" s="1739"/>
    </row>
    <row r="689" spans="1:26" x14ac:dyDescent="0.5">
      <c r="A689" s="1739"/>
      <c r="N689" s="1834"/>
      <c r="O689" s="1739"/>
      <c r="Z689" s="1739"/>
    </row>
    <row r="690" spans="1:26" x14ac:dyDescent="0.5">
      <c r="A690" s="1739"/>
      <c r="N690" s="1834"/>
      <c r="O690" s="1739"/>
      <c r="Z690" s="1739"/>
    </row>
    <row r="691" spans="1:26" x14ac:dyDescent="0.5">
      <c r="A691" s="1739"/>
      <c r="N691" s="1834"/>
      <c r="O691" s="1739"/>
      <c r="Z691" s="1739"/>
    </row>
    <row r="692" spans="1:26" x14ac:dyDescent="0.5">
      <c r="A692" s="1739"/>
      <c r="N692" s="1834"/>
      <c r="O692" s="1739"/>
      <c r="Z692" s="1739"/>
    </row>
    <row r="693" spans="1:26" x14ac:dyDescent="0.5">
      <c r="A693" s="1739"/>
      <c r="N693" s="1834"/>
      <c r="O693" s="1739"/>
      <c r="Z693" s="1739"/>
    </row>
    <row r="694" spans="1:26" x14ac:dyDescent="0.5">
      <c r="A694" s="1739"/>
      <c r="N694" s="1834"/>
      <c r="O694" s="1739"/>
      <c r="Z694" s="1739"/>
    </row>
    <row r="695" spans="1:26" x14ac:dyDescent="0.5">
      <c r="A695" s="1739"/>
      <c r="N695" s="1834"/>
      <c r="O695" s="1739"/>
      <c r="Z695" s="1739"/>
    </row>
    <row r="696" spans="1:26" x14ac:dyDescent="0.5">
      <c r="A696" s="1739"/>
      <c r="N696" s="1834"/>
      <c r="O696" s="1739"/>
      <c r="Z696" s="1739"/>
    </row>
    <row r="697" spans="1:26" x14ac:dyDescent="0.5">
      <c r="A697" s="1739"/>
      <c r="N697" s="1834"/>
      <c r="O697" s="1739"/>
      <c r="Z697" s="1739"/>
    </row>
    <row r="698" spans="1:26" x14ac:dyDescent="0.5">
      <c r="A698" s="1739"/>
      <c r="N698" s="1834"/>
      <c r="O698" s="1739"/>
      <c r="Z698" s="1739"/>
    </row>
    <row r="699" spans="1:26" x14ac:dyDescent="0.5">
      <c r="A699" s="1739"/>
      <c r="N699" s="1834"/>
      <c r="O699" s="1739"/>
      <c r="Z699" s="1739"/>
    </row>
    <row r="700" spans="1:26" x14ac:dyDescent="0.5">
      <c r="A700" s="1739"/>
      <c r="N700" s="1834"/>
      <c r="O700" s="1739"/>
      <c r="Z700" s="1739"/>
    </row>
    <row r="701" spans="1:26" x14ac:dyDescent="0.5">
      <c r="A701" s="1739"/>
      <c r="N701" s="1834"/>
      <c r="O701" s="1739"/>
      <c r="Z701" s="1739"/>
    </row>
    <row r="702" spans="1:26" x14ac:dyDescent="0.5">
      <c r="A702" s="1739"/>
      <c r="N702" s="1834"/>
      <c r="O702" s="1739"/>
      <c r="Z702" s="1739"/>
    </row>
    <row r="703" spans="1:26" x14ac:dyDescent="0.5">
      <c r="A703" s="1739"/>
      <c r="N703" s="1834"/>
      <c r="O703" s="1739"/>
      <c r="Z703" s="1739"/>
    </row>
    <row r="704" spans="1:26" x14ac:dyDescent="0.5">
      <c r="A704" s="1739"/>
      <c r="N704" s="1834"/>
      <c r="O704" s="1739"/>
      <c r="Z704" s="1739"/>
    </row>
    <row r="705" spans="1:26" x14ac:dyDescent="0.5">
      <c r="A705" s="1739"/>
      <c r="N705" s="1834"/>
      <c r="O705" s="1739"/>
      <c r="Z705" s="1739"/>
    </row>
    <row r="706" spans="1:26" x14ac:dyDescent="0.5">
      <c r="A706" s="1739"/>
      <c r="N706" s="1834"/>
      <c r="O706" s="1739"/>
      <c r="Z706" s="1739"/>
    </row>
    <row r="707" spans="1:26" x14ac:dyDescent="0.5">
      <c r="A707" s="1739"/>
      <c r="N707" s="1834"/>
      <c r="O707" s="1739"/>
      <c r="Z707" s="1739"/>
    </row>
    <row r="708" spans="1:26" x14ac:dyDescent="0.5">
      <c r="A708" s="1739"/>
      <c r="N708" s="1834"/>
      <c r="O708" s="1739"/>
      <c r="Z708" s="1739"/>
    </row>
    <row r="709" spans="1:26" x14ac:dyDescent="0.5">
      <c r="A709" s="1739"/>
      <c r="N709" s="1834"/>
      <c r="O709" s="1739"/>
      <c r="Z709" s="1739"/>
    </row>
    <row r="710" spans="1:26" x14ac:dyDescent="0.5">
      <c r="A710" s="1739"/>
      <c r="N710" s="1834"/>
      <c r="O710" s="1739"/>
      <c r="Z710" s="1739"/>
    </row>
    <row r="711" spans="1:26" x14ac:dyDescent="0.5">
      <c r="A711" s="1739"/>
      <c r="N711" s="1834"/>
      <c r="O711" s="1739"/>
      <c r="Z711" s="1739"/>
    </row>
  </sheetData>
  <protectedRanges>
    <protectedRange password="CC6F" sqref="B17" name="ช่วง1_5_1_5_1_1"/>
    <protectedRange password="CC6F" sqref="B8:B9 B12:B15" name="ช่วง1_5_1_5_1_1_1"/>
    <protectedRange password="CC6F" sqref="B16 B11" name="ช่วง1_5_1_5_1_1_4"/>
    <protectedRange password="CC6F" sqref="B10" name="ช่วง1_5_1_5_1_1_5"/>
  </protectedRanges>
  <mergeCells count="18">
    <mergeCell ref="X6:X7"/>
    <mergeCell ref="A18:C18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7E7BA-5B8B-4368-866C-967B3CAF65CD}">
  <sheetPr>
    <pageSetUpPr fitToPage="1"/>
  </sheetPr>
  <dimension ref="A1:AB702"/>
  <sheetViews>
    <sheetView topLeftCell="I1" zoomScale="110" zoomScaleNormal="110" zoomScaleSheetLayoutView="90" workbookViewId="0">
      <selection activeCell="A17" sqref="A17"/>
    </sheetView>
  </sheetViews>
  <sheetFormatPr defaultColWidth="9" defaultRowHeight="21" x14ac:dyDescent="0.6"/>
  <cols>
    <col min="1" max="1" width="4.09765625" style="1399" customWidth="1"/>
    <col min="2" max="2" width="21.8984375" style="1461" customWidth="1"/>
    <col min="3" max="3" width="4.5" style="1280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23" width="11.09765625" style="1288" customWidth="1"/>
    <col min="24" max="25" width="11.0976562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8" x14ac:dyDescent="0.6">
      <c r="A1" s="1735" t="s">
        <v>9155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8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8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8" x14ac:dyDescent="0.6">
      <c r="A4" s="1408" t="s">
        <v>2185</v>
      </c>
      <c r="B4" s="1408" t="s">
        <v>9156</v>
      </c>
      <c r="C4" s="1849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8" x14ac:dyDescent="0.6">
      <c r="A5" s="1417"/>
      <c r="B5" s="1417"/>
      <c r="C5" s="1850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8" x14ac:dyDescent="0.6">
      <c r="A6" s="1417"/>
      <c r="B6" s="1417"/>
      <c r="C6" s="1850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8" x14ac:dyDescent="0.6">
      <c r="A7" s="1425"/>
      <c r="B7" s="1425"/>
      <c r="C7" s="1851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8" s="1388" customFormat="1" ht="20.25" customHeight="1" x14ac:dyDescent="0.25">
      <c r="A8" s="1942">
        <v>1</v>
      </c>
      <c r="B8" s="1943" t="s">
        <v>7695</v>
      </c>
      <c r="C8" s="1944" t="s">
        <v>7893</v>
      </c>
      <c r="D8" s="1564">
        <v>0</v>
      </c>
      <c r="E8" s="1945">
        <f t="shared" ref="E8" si="0">D8*N8</f>
        <v>0</v>
      </c>
      <c r="F8" s="1565">
        <v>0</v>
      </c>
      <c r="G8" s="1945">
        <f t="shared" ref="G8" si="1">F8*N8</f>
        <v>0</v>
      </c>
      <c r="H8" s="1565">
        <v>0</v>
      </c>
      <c r="I8" s="1565">
        <f t="shared" ref="I8" si="2">H8*N8</f>
        <v>0</v>
      </c>
      <c r="J8" s="1955">
        <v>3</v>
      </c>
      <c r="K8" s="1956">
        <v>0</v>
      </c>
      <c r="L8" s="1564">
        <v>0</v>
      </c>
      <c r="M8" s="1949">
        <v>3</v>
      </c>
      <c r="N8" s="1957">
        <v>1500</v>
      </c>
      <c r="O8" s="1566">
        <f t="shared" ref="O8" si="3">M8*N8</f>
        <v>4500</v>
      </c>
      <c r="P8" s="1565">
        <v>3</v>
      </c>
      <c r="Q8" s="1951">
        <f t="shared" ref="Q8" si="4">P8*N8</f>
        <v>4500</v>
      </c>
      <c r="R8" s="1564">
        <v>0</v>
      </c>
      <c r="S8" s="1952">
        <f t="shared" ref="S8" si="5">R8*N8</f>
        <v>0</v>
      </c>
      <c r="T8" s="1565">
        <v>0</v>
      </c>
      <c r="U8" s="1952">
        <f t="shared" ref="U8" si="6">T8*N8</f>
        <v>0</v>
      </c>
      <c r="V8" s="1564">
        <v>0</v>
      </c>
      <c r="W8" s="1952">
        <f t="shared" ref="W8" si="7">V8*N8</f>
        <v>0</v>
      </c>
      <c r="X8" s="1565">
        <f>P8+R8+T8+V8</f>
        <v>3</v>
      </c>
      <c r="Y8" s="1565">
        <f t="shared" ref="Y8" si="8">X8*N8</f>
        <v>4500</v>
      </c>
      <c r="Z8" s="2008" t="s">
        <v>7799</v>
      </c>
      <c r="AA8" s="1958" t="s">
        <v>9157</v>
      </c>
      <c r="AB8" s="1388" t="str">
        <f t="shared" ref="AB8:AB9" si="9">IF(O8=Y8,"yes")</f>
        <v>yes</v>
      </c>
    </row>
    <row r="9" spans="1:28" s="1393" customFormat="1" ht="20.25" customHeight="1" x14ac:dyDescent="0.6">
      <c r="A9" s="1389" t="s">
        <v>7433</v>
      </c>
      <c r="B9" s="1389"/>
      <c r="C9" s="1389"/>
      <c r="D9" s="1390">
        <f t="shared" ref="D9" si="10">SUM(D8:D8)</f>
        <v>0</v>
      </c>
      <c r="E9" s="1390">
        <f>SUM(E8)</f>
        <v>0</v>
      </c>
      <c r="F9" s="1390">
        <f t="shared" ref="F9:Y9" si="11">SUM(F8)</f>
        <v>0</v>
      </c>
      <c r="G9" s="1390">
        <f t="shared" si="11"/>
        <v>0</v>
      </c>
      <c r="H9" s="1390">
        <f t="shared" si="11"/>
        <v>0</v>
      </c>
      <c r="I9" s="1390">
        <f t="shared" si="11"/>
        <v>0</v>
      </c>
      <c r="J9" s="1390">
        <f t="shared" si="11"/>
        <v>3</v>
      </c>
      <c r="K9" s="1390">
        <f t="shared" si="11"/>
        <v>0</v>
      </c>
      <c r="L9" s="1390">
        <f t="shared" si="11"/>
        <v>0</v>
      </c>
      <c r="M9" s="1390">
        <f t="shared" si="11"/>
        <v>3</v>
      </c>
      <c r="N9" s="1390">
        <f t="shared" si="11"/>
        <v>1500</v>
      </c>
      <c r="O9" s="1390">
        <f t="shared" si="11"/>
        <v>4500</v>
      </c>
      <c r="P9" s="1390">
        <f t="shared" si="11"/>
        <v>3</v>
      </c>
      <c r="Q9" s="1390">
        <f t="shared" si="11"/>
        <v>4500</v>
      </c>
      <c r="R9" s="1390">
        <f t="shared" si="11"/>
        <v>0</v>
      </c>
      <c r="S9" s="1390">
        <f t="shared" si="11"/>
        <v>0</v>
      </c>
      <c r="T9" s="1390">
        <f t="shared" si="11"/>
        <v>0</v>
      </c>
      <c r="U9" s="1390">
        <f t="shared" si="11"/>
        <v>0</v>
      </c>
      <c r="V9" s="1390">
        <f t="shared" si="11"/>
        <v>0</v>
      </c>
      <c r="W9" s="1390">
        <f t="shared" si="11"/>
        <v>0</v>
      </c>
      <c r="X9" s="1390">
        <f t="shared" si="11"/>
        <v>3</v>
      </c>
      <c r="Y9" s="1390">
        <f t="shared" si="11"/>
        <v>4500</v>
      </c>
      <c r="Z9" s="1391"/>
      <c r="AA9" s="1392"/>
      <c r="AB9" s="1393" t="str">
        <f t="shared" si="9"/>
        <v>yes</v>
      </c>
    </row>
    <row r="10" spans="1:28" ht="20.25" customHeight="1" x14ac:dyDescent="0.6">
      <c r="A10" s="1397"/>
      <c r="C10" s="1399"/>
      <c r="D10" s="1288"/>
      <c r="E10" s="1288"/>
      <c r="F10" s="1288"/>
      <c r="G10" s="1288"/>
      <c r="H10" s="1288"/>
      <c r="I10" s="1288"/>
      <c r="J10" s="1288"/>
      <c r="K10" s="1288"/>
      <c r="L10" s="1288"/>
      <c r="M10" s="1288"/>
      <c r="N10" s="1400"/>
      <c r="O10" s="1400"/>
      <c r="P10" s="1400"/>
      <c r="Q10" s="1400"/>
      <c r="R10" s="1400"/>
      <c r="S10" s="1400"/>
      <c r="T10" s="1400"/>
      <c r="U10" s="1400"/>
      <c r="V10" s="1400"/>
      <c r="W10" s="1400"/>
      <c r="X10" s="1288"/>
      <c r="Y10" s="1288"/>
      <c r="AA10" s="1402"/>
    </row>
    <row r="11" spans="1:28" ht="20.25" customHeight="1" x14ac:dyDescent="0.6">
      <c r="A11" s="1397"/>
      <c r="C11" s="1399"/>
    </row>
    <row r="12" spans="1:28" ht="20.25" customHeight="1" x14ac:dyDescent="0.6">
      <c r="B12" s="1280"/>
      <c r="G12" s="1288"/>
      <c r="N12" s="1290"/>
      <c r="O12" s="1290"/>
      <c r="P12" s="1290"/>
      <c r="Q12" s="1290"/>
      <c r="R12" s="1290"/>
      <c r="S12" s="1290"/>
      <c r="T12" s="1290"/>
      <c r="U12" s="1290"/>
      <c r="V12" s="1290"/>
      <c r="W12" s="1290"/>
      <c r="Z12" s="1280"/>
    </row>
    <row r="13" spans="1:28" ht="20.25" customHeight="1" x14ac:dyDescent="0.6">
      <c r="B13" s="1280"/>
      <c r="G13" s="1288"/>
      <c r="N13" s="1290"/>
      <c r="O13" s="1290"/>
      <c r="P13" s="1290"/>
      <c r="Q13" s="1290"/>
      <c r="R13" s="1290"/>
      <c r="S13" s="1290"/>
      <c r="T13" s="1290"/>
      <c r="U13" s="1290"/>
      <c r="V13" s="1290"/>
      <c r="W13" s="1290"/>
      <c r="Z13" s="1280"/>
    </row>
    <row r="14" spans="1:28" ht="20.25" customHeight="1" x14ac:dyDescent="0.6">
      <c r="B14" s="1280"/>
      <c r="G14" s="1288"/>
      <c r="N14" s="1290"/>
      <c r="O14" s="1290"/>
      <c r="P14" s="1290"/>
      <c r="Q14" s="1290"/>
      <c r="R14" s="1290"/>
      <c r="S14" s="1290"/>
      <c r="T14" s="1290"/>
      <c r="U14" s="1290"/>
      <c r="V14" s="1290"/>
      <c r="W14" s="1290"/>
      <c r="Z14" s="1280"/>
    </row>
    <row r="15" spans="1:28" ht="20.25" customHeight="1" x14ac:dyDescent="0.6">
      <c r="B15" s="1280"/>
      <c r="G15" s="1288"/>
      <c r="N15" s="1290"/>
      <c r="O15" s="1290"/>
      <c r="P15" s="1290"/>
      <c r="Q15" s="1290"/>
      <c r="R15" s="1290"/>
      <c r="S15" s="1290"/>
      <c r="Z15" s="1405"/>
    </row>
    <row r="16" spans="1:28" ht="20.25" customHeight="1" x14ac:dyDescent="0.6"/>
    <row r="17" spans="1:27" ht="20.25" customHeight="1" x14ac:dyDescent="0.6"/>
    <row r="18" spans="1:27" ht="20.25" customHeight="1" x14ac:dyDescent="0.6">
      <c r="AA18" s="1401"/>
    </row>
    <row r="24" spans="1:27" x14ac:dyDescent="0.6">
      <c r="A24" s="1280"/>
      <c r="N24" s="1288"/>
      <c r="O24" s="1290"/>
      <c r="Z24" s="1280"/>
    </row>
    <row r="25" spans="1:27" x14ac:dyDescent="0.6">
      <c r="A25" s="1280"/>
      <c r="N25" s="1288"/>
      <c r="O25" s="1290"/>
      <c r="Z25" s="1280"/>
    </row>
    <row r="26" spans="1:27" x14ac:dyDescent="0.6">
      <c r="A26" s="1280"/>
      <c r="N26" s="1288"/>
      <c r="O26" s="1290"/>
      <c r="Z26" s="1280"/>
    </row>
    <row r="27" spans="1:27" x14ac:dyDescent="0.6">
      <c r="A27" s="1280"/>
      <c r="N27" s="1288"/>
      <c r="O27" s="1290"/>
      <c r="Z27" s="1280"/>
    </row>
    <row r="28" spans="1:27" x14ac:dyDescent="0.6">
      <c r="A28" s="1280"/>
      <c r="N28" s="1288"/>
      <c r="O28" s="1290"/>
      <c r="Z28" s="1280"/>
    </row>
    <row r="29" spans="1:27" x14ac:dyDescent="0.6">
      <c r="A29" s="1280"/>
      <c r="N29" s="1288"/>
      <c r="O29" s="1290"/>
      <c r="Z29" s="1280"/>
    </row>
    <row r="30" spans="1:27" x14ac:dyDescent="0.6">
      <c r="A30" s="1280"/>
      <c r="N30" s="1288"/>
      <c r="O30" s="1290"/>
      <c r="Z30" s="1280"/>
    </row>
    <row r="31" spans="1:27" x14ac:dyDescent="0.6">
      <c r="A31" s="1280"/>
      <c r="N31" s="1288"/>
      <c r="O31" s="1290"/>
      <c r="Z31" s="1280"/>
    </row>
    <row r="32" spans="1:27" x14ac:dyDescent="0.6">
      <c r="A32" s="1280"/>
      <c r="N32" s="1288"/>
      <c r="O32" s="1290"/>
      <c r="Z32" s="1280"/>
    </row>
    <row r="33" spans="1:26" x14ac:dyDescent="0.6">
      <c r="A33" s="1280"/>
      <c r="N33" s="1288"/>
      <c r="O33" s="1290"/>
      <c r="Z33" s="1280"/>
    </row>
    <row r="34" spans="1:26" x14ac:dyDescent="0.6">
      <c r="A34" s="1280"/>
      <c r="N34" s="1288"/>
      <c r="O34" s="1290"/>
      <c r="Z34" s="1280"/>
    </row>
    <row r="35" spans="1:26" x14ac:dyDescent="0.6">
      <c r="A35" s="1280"/>
      <c r="N35" s="1288"/>
      <c r="O35" s="1290"/>
      <c r="Z35" s="1280"/>
    </row>
    <row r="36" spans="1:26" x14ac:dyDescent="0.6">
      <c r="A36" s="1280"/>
      <c r="N36" s="1288"/>
      <c r="O36" s="1290"/>
      <c r="Z36" s="1280"/>
    </row>
    <row r="37" spans="1:26" x14ac:dyDescent="0.6">
      <c r="A37" s="1280"/>
      <c r="N37" s="1288"/>
      <c r="O37" s="1290"/>
      <c r="Z37" s="1280"/>
    </row>
    <row r="38" spans="1:26" x14ac:dyDescent="0.6">
      <c r="A38" s="1280"/>
      <c r="N38" s="1288"/>
      <c r="O38" s="1290"/>
      <c r="Z38" s="1280"/>
    </row>
    <row r="39" spans="1:26" x14ac:dyDescent="0.6">
      <c r="A39" s="1280"/>
      <c r="N39" s="1288"/>
      <c r="O39" s="1290"/>
      <c r="Z39" s="1280"/>
    </row>
    <row r="40" spans="1:26" x14ac:dyDescent="0.6">
      <c r="A40" s="1280"/>
      <c r="N40" s="1288"/>
      <c r="O40" s="1290"/>
      <c r="Z40" s="1280"/>
    </row>
    <row r="41" spans="1:26" x14ac:dyDescent="0.6">
      <c r="A41" s="1280"/>
      <c r="N41" s="1288"/>
      <c r="O41" s="1290"/>
      <c r="Z41" s="1280"/>
    </row>
    <row r="42" spans="1:26" x14ac:dyDescent="0.6">
      <c r="A42" s="1280"/>
      <c r="N42" s="1288"/>
      <c r="O42" s="1290"/>
      <c r="Z42" s="1280"/>
    </row>
    <row r="43" spans="1:26" x14ac:dyDescent="0.6">
      <c r="A43" s="1280"/>
      <c r="N43" s="1288"/>
      <c r="O43" s="1290"/>
      <c r="Z43" s="1280"/>
    </row>
    <row r="44" spans="1:26" x14ac:dyDescent="0.6">
      <c r="A44" s="1280"/>
      <c r="N44" s="1288"/>
      <c r="O44" s="1290"/>
      <c r="Z44" s="1280"/>
    </row>
    <row r="45" spans="1:26" x14ac:dyDescent="0.6">
      <c r="A45" s="1280"/>
      <c r="N45" s="1288"/>
      <c r="O45" s="1290"/>
      <c r="Z45" s="1280"/>
    </row>
    <row r="46" spans="1:26" x14ac:dyDescent="0.6">
      <c r="A46" s="1280"/>
      <c r="N46" s="1288"/>
      <c r="O46" s="1290"/>
      <c r="Z46" s="1280"/>
    </row>
    <row r="47" spans="1:26" x14ac:dyDescent="0.6">
      <c r="A47" s="1280"/>
      <c r="N47" s="1288"/>
      <c r="O47" s="1290"/>
      <c r="Z47" s="1280"/>
    </row>
    <row r="48" spans="1:26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</sheetData>
  <protectedRanges>
    <protectedRange password="CC6F" sqref="B8" name="ช่วง1_5_1_5_1_1_4_2"/>
  </protectedRanges>
  <mergeCells count="18">
    <mergeCell ref="X6:X7"/>
    <mergeCell ref="A9:C9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8B05F-DD10-43DD-9330-A2E7A48BB56F}">
  <sheetPr>
    <pageSetUpPr fitToPage="1"/>
  </sheetPr>
  <dimension ref="A1:AC707"/>
  <sheetViews>
    <sheetView zoomScale="110" zoomScaleNormal="110" zoomScaleSheetLayoutView="90" workbookViewId="0">
      <selection activeCell="A17" sqref="A17"/>
    </sheetView>
  </sheetViews>
  <sheetFormatPr defaultColWidth="9" defaultRowHeight="21" x14ac:dyDescent="0.6"/>
  <cols>
    <col min="1" max="1" width="4.3984375" style="1399" customWidth="1"/>
    <col min="2" max="2" width="21.8984375" style="1461" customWidth="1"/>
    <col min="3" max="3" width="4.5" style="1280" bestFit="1" customWidth="1"/>
    <col min="4" max="13" width="11.09765625" style="1290" customWidth="1"/>
    <col min="14" max="14" width="11.09765625" style="1406" customWidth="1"/>
    <col min="15" max="15" width="11.09765625" style="1460" customWidth="1"/>
    <col min="16" max="23" width="11.09765625" style="1288" customWidth="1"/>
    <col min="24" max="25" width="11.09765625" style="1290" customWidth="1"/>
    <col min="26" max="26" width="11.09765625" style="1401" customWidth="1"/>
    <col min="27" max="27" width="16" style="1280" customWidth="1"/>
    <col min="28" max="28" width="7.59765625" style="1280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9" x14ac:dyDescent="0.6">
      <c r="A1" s="1735" t="s">
        <v>9158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9" x14ac:dyDescent="0.6">
      <c r="A2" s="1938" t="s">
        <v>7775</v>
      </c>
      <c r="B2" s="1938"/>
      <c r="C2" s="1938"/>
      <c r="D2" s="1938"/>
      <c r="E2" s="1938"/>
      <c r="F2" s="1938"/>
      <c r="G2" s="1938"/>
      <c r="H2" s="1938"/>
      <c r="I2" s="1938"/>
      <c r="J2" s="1938"/>
      <c r="K2" s="1938"/>
      <c r="L2" s="1938"/>
      <c r="M2" s="1938"/>
      <c r="N2" s="1938"/>
      <c r="O2" s="1938"/>
      <c r="P2" s="1938"/>
      <c r="Q2" s="1938"/>
      <c r="R2" s="1938"/>
      <c r="S2" s="1938"/>
      <c r="T2" s="1938"/>
      <c r="U2" s="1938"/>
      <c r="V2" s="1938"/>
      <c r="W2" s="1938"/>
      <c r="X2" s="1938"/>
      <c r="Y2" s="1938"/>
      <c r="Z2" s="1938"/>
      <c r="AA2" s="1938"/>
    </row>
    <row r="3" spans="1:29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9" x14ac:dyDescent="0.6">
      <c r="A4" s="1408" t="s">
        <v>2185</v>
      </c>
      <c r="B4" s="1408" t="s">
        <v>9159</v>
      </c>
      <c r="C4" s="1849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9" x14ac:dyDescent="0.6">
      <c r="A5" s="1417"/>
      <c r="B5" s="1417"/>
      <c r="C5" s="1850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9" x14ac:dyDescent="0.6">
      <c r="A6" s="1417"/>
      <c r="B6" s="1417"/>
      <c r="C6" s="1850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9" x14ac:dyDescent="0.6">
      <c r="A7" s="1425"/>
      <c r="B7" s="1425"/>
      <c r="C7" s="1851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9" s="1388" customFormat="1" ht="23.25" customHeight="1" x14ac:dyDescent="0.25">
      <c r="A8" s="1279">
        <v>1</v>
      </c>
      <c r="B8" s="1211" t="s">
        <v>7696</v>
      </c>
      <c r="C8" s="1383" t="s">
        <v>7893</v>
      </c>
      <c r="D8" s="1166">
        <v>0</v>
      </c>
      <c r="E8" s="1378">
        <f t="shared" ref="E8:E12" si="0">D8*N8</f>
        <v>0</v>
      </c>
      <c r="F8" s="1343">
        <v>0</v>
      </c>
      <c r="G8" s="1378">
        <f t="shared" ref="G8:G12" si="1">F8*N8</f>
        <v>0</v>
      </c>
      <c r="H8" s="1343">
        <v>0</v>
      </c>
      <c r="I8" s="1345">
        <f t="shared" ref="I8:I12" si="2">H8*N8</f>
        <v>0</v>
      </c>
      <c r="J8" s="1480">
        <v>1</v>
      </c>
      <c r="K8" s="1651">
        <v>0</v>
      </c>
      <c r="L8" s="1344">
        <v>0</v>
      </c>
      <c r="M8" s="1204">
        <v>1</v>
      </c>
      <c r="N8" s="1875">
        <v>29000</v>
      </c>
      <c r="O8" s="1346">
        <f>M8*N8</f>
        <v>29000</v>
      </c>
      <c r="P8" s="1482">
        <v>1</v>
      </c>
      <c r="Q8" s="1482">
        <f>P8*N8</f>
        <v>29000</v>
      </c>
      <c r="R8" s="1482">
        <v>0</v>
      </c>
      <c r="S8" s="1483">
        <f>R8*N8</f>
        <v>0</v>
      </c>
      <c r="T8" s="1482">
        <v>0</v>
      </c>
      <c r="U8" s="1483">
        <f>T8*N8</f>
        <v>0</v>
      </c>
      <c r="V8" s="1482">
        <v>0</v>
      </c>
      <c r="W8" s="1483">
        <f>V8*N8</f>
        <v>0</v>
      </c>
      <c r="X8" s="1345">
        <f>P8+R8+T8+V8</f>
        <v>1</v>
      </c>
      <c r="Y8" s="1345">
        <f>X8*N8</f>
        <v>29000</v>
      </c>
      <c r="Z8" s="1357" t="s">
        <v>7799</v>
      </c>
      <c r="AA8" s="1358" t="s">
        <v>9160</v>
      </c>
      <c r="AB8" s="1359" t="str">
        <f t="shared" ref="AB8:AB14" si="3">IF(O8=Y8,"yes")</f>
        <v>yes</v>
      </c>
    </row>
    <row r="9" spans="1:29" s="1359" customFormat="1" ht="23.25" customHeight="1" x14ac:dyDescent="0.25">
      <c r="A9" s="1279">
        <v>2</v>
      </c>
      <c r="B9" s="1211" t="s">
        <v>7697</v>
      </c>
      <c r="C9" s="1383" t="s">
        <v>7893</v>
      </c>
      <c r="D9" s="1344">
        <v>0</v>
      </c>
      <c r="E9" s="1378">
        <f t="shared" si="0"/>
        <v>0</v>
      </c>
      <c r="F9" s="1343">
        <v>0</v>
      </c>
      <c r="G9" s="1378">
        <f t="shared" si="1"/>
        <v>0</v>
      </c>
      <c r="H9" s="1343">
        <v>0</v>
      </c>
      <c r="I9" s="1345">
        <f t="shared" si="2"/>
        <v>0</v>
      </c>
      <c r="J9" s="1480">
        <v>1</v>
      </c>
      <c r="K9" s="1651">
        <v>0</v>
      </c>
      <c r="L9" s="1344">
        <v>0</v>
      </c>
      <c r="M9" s="1204">
        <v>1</v>
      </c>
      <c r="N9" s="1875">
        <v>6000</v>
      </c>
      <c r="O9" s="1346">
        <f t="shared" ref="O9:O12" si="4">M9*N9</f>
        <v>6000</v>
      </c>
      <c r="P9" s="1482">
        <v>1</v>
      </c>
      <c r="Q9" s="1482">
        <v>6000</v>
      </c>
      <c r="R9" s="1482">
        <v>0</v>
      </c>
      <c r="S9" s="1483">
        <f>R9*N9</f>
        <v>0</v>
      </c>
      <c r="T9" s="1482">
        <v>0</v>
      </c>
      <c r="U9" s="1483">
        <f>T9*N9</f>
        <v>0</v>
      </c>
      <c r="V9" s="1482">
        <v>0</v>
      </c>
      <c r="W9" s="1483">
        <f>V9*N9</f>
        <v>0</v>
      </c>
      <c r="X9" s="1345">
        <f t="shared" ref="X9:X13" si="5">P9+R9+T9+V9</f>
        <v>1</v>
      </c>
      <c r="Y9" s="1345">
        <f t="shared" ref="Y9:Y13" si="6">X9*N9</f>
        <v>6000</v>
      </c>
      <c r="Z9" s="1357" t="s">
        <v>7799</v>
      </c>
      <c r="AA9" s="1358" t="s">
        <v>6526</v>
      </c>
      <c r="AB9" s="1359" t="str">
        <f t="shared" si="3"/>
        <v>yes</v>
      </c>
    </row>
    <row r="10" spans="1:29" s="1359" customFormat="1" ht="23.25" customHeight="1" x14ac:dyDescent="0.25">
      <c r="A10" s="1279">
        <v>3</v>
      </c>
      <c r="B10" s="1211" t="s">
        <v>7698</v>
      </c>
      <c r="C10" s="1383" t="s">
        <v>9137</v>
      </c>
      <c r="D10" s="1344">
        <v>0</v>
      </c>
      <c r="E10" s="1378">
        <f t="shared" si="0"/>
        <v>0</v>
      </c>
      <c r="F10" s="1343">
        <v>0</v>
      </c>
      <c r="G10" s="1378">
        <f t="shared" si="1"/>
        <v>0</v>
      </c>
      <c r="H10" s="1343">
        <v>0</v>
      </c>
      <c r="I10" s="1345">
        <f t="shared" si="2"/>
        <v>0</v>
      </c>
      <c r="J10" s="1480">
        <v>4</v>
      </c>
      <c r="K10" s="1651">
        <v>0</v>
      </c>
      <c r="L10" s="1344">
        <v>0</v>
      </c>
      <c r="M10" s="1204">
        <v>4</v>
      </c>
      <c r="N10" s="1875">
        <v>2900</v>
      </c>
      <c r="O10" s="1346">
        <f t="shared" si="4"/>
        <v>11600</v>
      </c>
      <c r="P10" s="1482">
        <v>4</v>
      </c>
      <c r="Q10" s="1482">
        <v>6000</v>
      </c>
      <c r="R10" s="1482">
        <v>0</v>
      </c>
      <c r="S10" s="1483">
        <f>R10*N10</f>
        <v>0</v>
      </c>
      <c r="T10" s="1482">
        <v>0</v>
      </c>
      <c r="U10" s="1483">
        <f>T10*N10</f>
        <v>0</v>
      </c>
      <c r="V10" s="1482">
        <v>0</v>
      </c>
      <c r="W10" s="1483">
        <f>V10*N10</f>
        <v>0</v>
      </c>
      <c r="X10" s="1345">
        <f t="shared" si="5"/>
        <v>4</v>
      </c>
      <c r="Y10" s="1345">
        <f t="shared" si="6"/>
        <v>11600</v>
      </c>
      <c r="Z10" s="1357" t="s">
        <v>7799</v>
      </c>
      <c r="AA10" s="1358" t="s">
        <v>9160</v>
      </c>
      <c r="AB10" s="1359" t="str">
        <f t="shared" si="3"/>
        <v>yes</v>
      </c>
    </row>
    <row r="11" spans="1:29" s="1359" customFormat="1" ht="59.25" customHeight="1" x14ac:dyDescent="0.25">
      <c r="A11" s="1279">
        <v>4</v>
      </c>
      <c r="B11" s="1200" t="s">
        <v>7699</v>
      </c>
      <c r="C11" s="1383" t="s">
        <v>8052</v>
      </c>
      <c r="D11" s="1344">
        <v>0</v>
      </c>
      <c r="E11" s="2009">
        <f t="shared" si="0"/>
        <v>0</v>
      </c>
      <c r="F11" s="2010">
        <v>0</v>
      </c>
      <c r="G11" s="2009">
        <f t="shared" si="1"/>
        <v>0</v>
      </c>
      <c r="H11" s="2010">
        <v>0</v>
      </c>
      <c r="I11" s="2011">
        <f t="shared" si="2"/>
        <v>0</v>
      </c>
      <c r="J11" s="1480">
        <v>1</v>
      </c>
      <c r="K11" s="1651">
        <v>0</v>
      </c>
      <c r="L11" s="2012">
        <v>0</v>
      </c>
      <c r="M11" s="1204">
        <v>1</v>
      </c>
      <c r="N11" s="1875">
        <v>400000</v>
      </c>
      <c r="O11" s="1346">
        <f t="shared" si="4"/>
        <v>400000</v>
      </c>
      <c r="P11" s="1482">
        <v>1</v>
      </c>
      <c r="Q11" s="2013">
        <f>P11*N11</f>
        <v>400000</v>
      </c>
      <c r="R11" s="2013">
        <v>0</v>
      </c>
      <c r="S11" s="2014">
        <f>R11*N11</f>
        <v>0</v>
      </c>
      <c r="T11" s="2013">
        <v>0</v>
      </c>
      <c r="U11" s="2014">
        <f>T11*N11</f>
        <v>0</v>
      </c>
      <c r="V11" s="2013">
        <v>0</v>
      </c>
      <c r="W11" s="2014">
        <f>V11*N11</f>
        <v>0</v>
      </c>
      <c r="X11" s="1345">
        <f t="shared" si="5"/>
        <v>1</v>
      </c>
      <c r="Y11" s="1345">
        <f t="shared" si="6"/>
        <v>400000</v>
      </c>
      <c r="Z11" s="2015" t="s">
        <v>7799</v>
      </c>
      <c r="AA11" s="1342" t="s">
        <v>9161</v>
      </c>
      <c r="AB11" s="1359" t="str">
        <f t="shared" si="3"/>
        <v>yes</v>
      </c>
    </row>
    <row r="12" spans="1:29" s="1388" customFormat="1" ht="23.25" customHeight="1" x14ac:dyDescent="0.25">
      <c r="A12" s="1279">
        <v>5</v>
      </c>
      <c r="B12" s="1943" t="s">
        <v>7700</v>
      </c>
      <c r="C12" s="1944" t="s">
        <v>7893</v>
      </c>
      <c r="D12" s="1564">
        <v>0</v>
      </c>
      <c r="E12" s="2016">
        <f t="shared" si="0"/>
        <v>0</v>
      </c>
      <c r="F12" s="2017">
        <v>0</v>
      </c>
      <c r="G12" s="2016">
        <f t="shared" si="1"/>
        <v>0</v>
      </c>
      <c r="H12" s="2017">
        <v>0</v>
      </c>
      <c r="I12" s="2018">
        <f t="shared" si="2"/>
        <v>0</v>
      </c>
      <c r="J12" s="1947">
        <v>2</v>
      </c>
      <c r="K12" s="1948">
        <v>0</v>
      </c>
      <c r="L12" s="2019">
        <v>0</v>
      </c>
      <c r="M12" s="1949">
        <v>2</v>
      </c>
      <c r="N12" s="1950">
        <v>4000</v>
      </c>
      <c r="O12" s="1346">
        <f t="shared" si="4"/>
        <v>8000</v>
      </c>
      <c r="P12" s="1951">
        <v>0</v>
      </c>
      <c r="Q12" s="2013">
        <f t="shared" ref="Q12:Q13" si="7">P12*N12</f>
        <v>0</v>
      </c>
      <c r="R12" s="2020">
        <v>0</v>
      </c>
      <c r="S12" s="2021">
        <f>R12*N12</f>
        <v>0</v>
      </c>
      <c r="T12" s="2020">
        <v>2</v>
      </c>
      <c r="U12" s="2021">
        <f>T12*N12</f>
        <v>8000</v>
      </c>
      <c r="V12" s="2020">
        <v>0</v>
      </c>
      <c r="W12" s="2021">
        <f>V12*N12</f>
        <v>0</v>
      </c>
      <c r="X12" s="1345">
        <f t="shared" si="5"/>
        <v>2</v>
      </c>
      <c r="Y12" s="1345">
        <f t="shared" si="6"/>
        <v>8000</v>
      </c>
      <c r="Z12" s="2008" t="s">
        <v>7799</v>
      </c>
      <c r="AA12" s="1958" t="s">
        <v>9162</v>
      </c>
      <c r="AB12" s="1359" t="str">
        <f t="shared" si="3"/>
        <v>yes</v>
      </c>
    </row>
    <row r="13" spans="1:29" s="1359" customFormat="1" ht="24" customHeight="1" x14ac:dyDescent="0.25">
      <c r="A13" s="1279">
        <v>6</v>
      </c>
      <c r="B13" s="1562" t="s">
        <v>7701</v>
      </c>
      <c r="C13" s="1563" t="s">
        <v>7893</v>
      </c>
      <c r="D13" s="1564"/>
      <c r="E13" s="1945"/>
      <c r="F13" s="1565"/>
      <c r="G13" s="1945"/>
      <c r="H13" s="1565"/>
      <c r="I13" s="1565"/>
      <c r="J13" s="1565">
        <v>1</v>
      </c>
      <c r="K13" s="1565"/>
      <c r="L13" s="1564"/>
      <c r="M13" s="1565">
        <v>1</v>
      </c>
      <c r="N13" s="1566">
        <v>6000</v>
      </c>
      <c r="O13" s="1566">
        <v>6000</v>
      </c>
      <c r="P13" s="1344">
        <v>1</v>
      </c>
      <c r="Q13" s="2013">
        <f t="shared" si="7"/>
        <v>6000</v>
      </c>
      <c r="R13" s="1344"/>
      <c r="S13" s="1344"/>
      <c r="T13" s="1345"/>
      <c r="U13" s="1344"/>
      <c r="V13" s="1345"/>
      <c r="W13" s="1344"/>
      <c r="X13" s="1345">
        <f t="shared" si="5"/>
        <v>1</v>
      </c>
      <c r="Y13" s="1345">
        <f t="shared" si="6"/>
        <v>6000</v>
      </c>
      <c r="Z13" s="1556" t="s">
        <v>7799</v>
      </c>
      <c r="AA13" s="1557" t="s">
        <v>6525</v>
      </c>
      <c r="AB13" s="1359" t="str">
        <f t="shared" si="3"/>
        <v>yes</v>
      </c>
      <c r="AC13" s="1487"/>
    </row>
    <row r="14" spans="1:29" s="1393" customFormat="1" ht="20.25" customHeight="1" x14ac:dyDescent="0.6">
      <c r="A14" s="1389" t="s">
        <v>7433</v>
      </c>
      <c r="B14" s="1389"/>
      <c r="C14" s="1389"/>
      <c r="D14" s="1390">
        <f>SUM(D8:D13)</f>
        <v>0</v>
      </c>
      <c r="E14" s="1390">
        <f t="shared" ref="E14:Y14" si="8">SUM(E8:E13)</f>
        <v>0</v>
      </c>
      <c r="F14" s="1390">
        <f t="shared" si="8"/>
        <v>0</v>
      </c>
      <c r="G14" s="1390">
        <f t="shared" si="8"/>
        <v>0</v>
      </c>
      <c r="H14" s="1390">
        <f t="shared" si="8"/>
        <v>0</v>
      </c>
      <c r="I14" s="1390">
        <f t="shared" si="8"/>
        <v>0</v>
      </c>
      <c r="J14" s="1390">
        <f t="shared" si="8"/>
        <v>10</v>
      </c>
      <c r="K14" s="1390">
        <f t="shared" si="8"/>
        <v>0</v>
      </c>
      <c r="L14" s="1390">
        <f t="shared" si="8"/>
        <v>0</v>
      </c>
      <c r="M14" s="1390">
        <f t="shared" si="8"/>
        <v>10</v>
      </c>
      <c r="N14" s="1390">
        <f t="shared" si="8"/>
        <v>447900</v>
      </c>
      <c r="O14" s="1390">
        <f t="shared" si="8"/>
        <v>460600</v>
      </c>
      <c r="P14" s="1390">
        <f t="shared" si="8"/>
        <v>8</v>
      </c>
      <c r="Q14" s="1390">
        <f>SUM(Q8:Q13)</f>
        <v>447000</v>
      </c>
      <c r="R14" s="1390">
        <f t="shared" si="8"/>
        <v>0</v>
      </c>
      <c r="S14" s="1390">
        <f t="shared" si="8"/>
        <v>0</v>
      </c>
      <c r="T14" s="1390">
        <f t="shared" si="8"/>
        <v>2</v>
      </c>
      <c r="U14" s="1390">
        <f t="shared" si="8"/>
        <v>8000</v>
      </c>
      <c r="V14" s="1390">
        <f t="shared" si="8"/>
        <v>0</v>
      </c>
      <c r="W14" s="1390">
        <f t="shared" si="8"/>
        <v>0</v>
      </c>
      <c r="X14" s="1390">
        <f t="shared" si="8"/>
        <v>10</v>
      </c>
      <c r="Y14" s="1390">
        <f t="shared" si="8"/>
        <v>460600</v>
      </c>
      <c r="Z14" s="1391"/>
      <c r="AA14" s="1392"/>
      <c r="AB14" s="1393" t="str">
        <f t="shared" si="3"/>
        <v>yes</v>
      </c>
    </row>
    <row r="15" spans="1:29" ht="20.25" customHeight="1" x14ac:dyDescent="0.6">
      <c r="A15" s="1397"/>
      <c r="C15" s="1399"/>
      <c r="D15" s="1288"/>
      <c r="E15" s="1288"/>
      <c r="F15" s="1288"/>
      <c r="G15" s="1288"/>
      <c r="H15" s="1288"/>
      <c r="I15" s="1288"/>
      <c r="J15" s="1288"/>
      <c r="K15" s="1288"/>
      <c r="L15" s="1288"/>
      <c r="M15" s="1288"/>
      <c r="N15" s="1400"/>
      <c r="O15" s="1400"/>
      <c r="P15" s="1400"/>
      <c r="Q15" s="1400"/>
      <c r="R15" s="1400"/>
      <c r="S15" s="1400"/>
      <c r="T15" s="1400"/>
      <c r="U15" s="1400"/>
      <c r="V15" s="1400"/>
      <c r="W15" s="1400"/>
      <c r="X15" s="1288"/>
      <c r="Y15" s="1288"/>
      <c r="AA15" s="1402"/>
    </row>
    <row r="16" spans="1:29" ht="20.25" customHeight="1" x14ac:dyDescent="0.6">
      <c r="A16" s="1397"/>
      <c r="C16" s="1399"/>
    </row>
    <row r="17" spans="1:27" ht="20.25" customHeight="1" x14ac:dyDescent="0.6">
      <c r="B17" s="1280"/>
      <c r="G17" s="1288"/>
      <c r="N17" s="1290"/>
      <c r="O17" s="1290"/>
      <c r="P17" s="1290"/>
      <c r="Q17" s="1290"/>
      <c r="R17" s="1290"/>
      <c r="S17" s="1290"/>
      <c r="T17" s="1290"/>
      <c r="U17" s="1290"/>
      <c r="V17" s="1290"/>
      <c r="W17" s="1290"/>
      <c r="Z17" s="1280"/>
    </row>
    <row r="18" spans="1:27" ht="20.25" customHeight="1" x14ac:dyDescent="0.6">
      <c r="B18" s="1280"/>
      <c r="G18" s="1288"/>
      <c r="N18" s="1290"/>
      <c r="O18" s="1290"/>
      <c r="P18" s="1290"/>
      <c r="Q18" s="1290"/>
      <c r="R18" s="1290"/>
      <c r="S18" s="1290"/>
      <c r="T18" s="1290"/>
      <c r="U18" s="1290"/>
      <c r="V18" s="1290"/>
      <c r="W18" s="1290"/>
      <c r="Z18" s="1280"/>
    </row>
    <row r="19" spans="1:27" ht="20.25" customHeight="1" x14ac:dyDescent="0.6">
      <c r="B19" s="1280"/>
      <c r="G19" s="1288"/>
      <c r="N19" s="1290"/>
      <c r="O19" s="1290"/>
      <c r="P19" s="1290"/>
      <c r="Q19" s="1290"/>
      <c r="R19" s="1290"/>
      <c r="S19" s="1290"/>
      <c r="T19" s="1290"/>
      <c r="U19" s="1290"/>
      <c r="V19" s="1290"/>
      <c r="W19" s="1290"/>
      <c r="Z19" s="1280"/>
    </row>
    <row r="20" spans="1:27" ht="20.25" customHeight="1" x14ac:dyDescent="0.6">
      <c r="B20" s="1280"/>
      <c r="G20" s="1288"/>
      <c r="N20" s="1290"/>
      <c r="O20" s="1290"/>
      <c r="P20" s="1290"/>
      <c r="Q20" s="1290"/>
      <c r="R20" s="1290"/>
      <c r="S20" s="1290"/>
      <c r="Z20" s="1405"/>
    </row>
    <row r="21" spans="1:27" ht="20.25" customHeight="1" x14ac:dyDescent="0.6"/>
    <row r="22" spans="1:27" ht="20.25" customHeight="1" x14ac:dyDescent="0.6"/>
    <row r="23" spans="1:27" ht="20.25" customHeight="1" x14ac:dyDescent="0.6">
      <c r="AA23" s="1401"/>
    </row>
    <row r="29" spans="1:27" x14ac:dyDescent="0.6">
      <c r="A29" s="1280"/>
      <c r="N29" s="1288"/>
      <c r="O29" s="1290"/>
      <c r="Z29" s="1280"/>
    </row>
    <row r="30" spans="1:27" x14ac:dyDescent="0.6">
      <c r="A30" s="1280"/>
      <c r="N30" s="1288"/>
      <c r="O30" s="1290"/>
      <c r="Z30" s="1280"/>
    </row>
    <row r="31" spans="1:27" x14ac:dyDescent="0.6">
      <c r="A31" s="1280"/>
      <c r="N31" s="1288"/>
      <c r="O31" s="1290"/>
      <c r="Z31" s="1280"/>
    </row>
    <row r="32" spans="1:27" x14ac:dyDescent="0.6">
      <c r="A32" s="1280"/>
      <c r="N32" s="1288"/>
      <c r="O32" s="1290"/>
      <c r="Z32" s="1280"/>
    </row>
    <row r="33" spans="1:26" x14ac:dyDescent="0.6">
      <c r="A33" s="1280"/>
      <c r="N33" s="1288"/>
      <c r="O33" s="1290"/>
      <c r="Z33" s="1280"/>
    </row>
    <row r="34" spans="1:26" x14ac:dyDescent="0.6">
      <c r="A34" s="1280"/>
      <c r="N34" s="1288"/>
      <c r="O34" s="1290"/>
      <c r="Z34" s="1280"/>
    </row>
    <row r="35" spans="1:26" x14ac:dyDescent="0.6">
      <c r="A35" s="1280"/>
      <c r="N35" s="1288"/>
      <c r="O35" s="1290"/>
      <c r="Z35" s="1280"/>
    </row>
    <row r="36" spans="1:26" x14ac:dyDescent="0.6">
      <c r="A36" s="1280"/>
      <c r="N36" s="1288"/>
      <c r="O36" s="1290"/>
      <c r="Z36" s="1280"/>
    </row>
    <row r="37" spans="1:26" x14ac:dyDescent="0.6">
      <c r="A37" s="1280"/>
      <c r="N37" s="1288"/>
      <c r="O37" s="1290"/>
      <c r="Z37" s="1280"/>
    </row>
    <row r="38" spans="1:26" x14ac:dyDescent="0.6">
      <c r="A38" s="1280"/>
      <c r="N38" s="1288"/>
      <c r="O38" s="1290"/>
      <c r="Z38" s="1280"/>
    </row>
    <row r="39" spans="1:26" x14ac:dyDescent="0.6">
      <c r="A39" s="1280"/>
      <c r="N39" s="1288"/>
      <c r="O39" s="1290"/>
      <c r="Z39" s="1280"/>
    </row>
    <row r="40" spans="1:26" x14ac:dyDescent="0.6">
      <c r="A40" s="1280"/>
      <c r="N40" s="1288"/>
      <c r="O40" s="1290"/>
      <c r="Z40" s="1280"/>
    </row>
    <row r="41" spans="1:26" x14ac:dyDescent="0.6">
      <c r="A41" s="1280"/>
      <c r="N41" s="1288"/>
      <c r="O41" s="1290"/>
      <c r="Z41" s="1280"/>
    </row>
    <row r="42" spans="1:26" x14ac:dyDescent="0.6">
      <c r="A42" s="1280"/>
      <c r="N42" s="1288"/>
      <c r="O42" s="1290"/>
      <c r="Z42" s="1280"/>
    </row>
    <row r="43" spans="1:26" x14ac:dyDescent="0.6">
      <c r="A43" s="1280"/>
      <c r="N43" s="1288"/>
      <c r="O43" s="1290"/>
      <c r="Z43" s="1280"/>
    </row>
    <row r="44" spans="1:26" x14ac:dyDescent="0.6">
      <c r="A44" s="1280"/>
      <c r="N44" s="1288"/>
      <c r="O44" s="1290"/>
      <c r="Z44" s="1280"/>
    </row>
    <row r="45" spans="1:26" x14ac:dyDescent="0.6">
      <c r="A45" s="1280"/>
      <c r="N45" s="1288"/>
      <c r="O45" s="1290"/>
      <c r="Z45" s="1280"/>
    </row>
    <row r="46" spans="1:26" x14ac:dyDescent="0.6">
      <c r="A46" s="1280"/>
      <c r="N46" s="1288"/>
      <c r="O46" s="1290"/>
      <c r="Z46" s="1280"/>
    </row>
    <row r="47" spans="1:26" x14ac:dyDescent="0.6">
      <c r="A47" s="1280"/>
      <c r="N47" s="1288"/>
      <c r="O47" s="1290"/>
      <c r="Z47" s="1280"/>
    </row>
    <row r="48" spans="1:26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  <row r="703" spans="1:26" x14ac:dyDescent="0.6">
      <c r="A703" s="1280"/>
      <c r="N703" s="1288"/>
      <c r="O703" s="1290"/>
      <c r="Z703" s="1280"/>
    </row>
    <row r="704" spans="1:26" x14ac:dyDescent="0.6">
      <c r="A704" s="1280"/>
      <c r="N704" s="1288"/>
      <c r="O704" s="1290"/>
      <c r="Z704" s="1280"/>
    </row>
    <row r="705" spans="1:26" x14ac:dyDescent="0.6">
      <c r="A705" s="1280"/>
      <c r="N705" s="1288"/>
      <c r="O705" s="1290"/>
      <c r="Z705" s="1280"/>
    </row>
    <row r="706" spans="1:26" x14ac:dyDescent="0.6">
      <c r="A706" s="1280"/>
      <c r="N706" s="1288"/>
      <c r="O706" s="1290"/>
      <c r="Z706" s="1280"/>
    </row>
    <row r="707" spans="1:26" x14ac:dyDescent="0.6">
      <c r="A707" s="1280"/>
      <c r="N707" s="1288"/>
      <c r="O707" s="1290"/>
      <c r="Z707" s="1280"/>
    </row>
  </sheetData>
  <protectedRanges>
    <protectedRange password="CC6F" sqref="B8" name="ช่วง1_5_1_5_1_1_1"/>
    <protectedRange password="CC6F" sqref="B9:B10" name="ช่วง1_5_1_5_1_1_1_1_1"/>
    <protectedRange password="CC6F" sqref="B11:B12" name="ช่วง1_5_1_5_1_1_1_1"/>
    <protectedRange password="CC6F" sqref="B13" name="ช่วง1_5_1_5_1_1_1_1_2"/>
  </protectedRanges>
  <mergeCells count="18">
    <mergeCell ref="X6:X7"/>
    <mergeCell ref="A14:C14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53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BF51-9D83-463C-A05A-69CEE8F486C1}">
  <sheetPr>
    <pageSetUpPr fitToPage="1"/>
  </sheetPr>
  <dimension ref="A1:AE711"/>
  <sheetViews>
    <sheetView zoomScale="110" zoomScaleNormal="110" zoomScaleSheetLayoutView="110" workbookViewId="0">
      <selection activeCell="A17" sqref="A17"/>
    </sheetView>
  </sheetViews>
  <sheetFormatPr defaultColWidth="9" defaultRowHeight="19.8" x14ac:dyDescent="0.5"/>
  <cols>
    <col min="1" max="1" width="4.09765625" style="1834" customWidth="1"/>
    <col min="2" max="2" width="21.8984375" style="1833" customWidth="1"/>
    <col min="3" max="3" width="4.5" style="1739" bestFit="1" customWidth="1"/>
    <col min="4" max="7" width="7" style="1842" customWidth="1"/>
    <col min="8" max="8" width="7.5" style="1842" customWidth="1"/>
    <col min="9" max="9" width="7.59765625" style="1842" customWidth="1"/>
    <col min="10" max="10" width="8.8984375" style="1842" customWidth="1"/>
    <col min="11" max="11" width="8.09765625" style="1842" customWidth="1"/>
    <col min="12" max="12" width="9.8984375" style="1843" customWidth="1"/>
    <col min="13" max="13" width="8" style="1739" customWidth="1"/>
    <col min="14" max="14" width="8.5" style="1844" customWidth="1"/>
    <col min="15" max="15" width="9" style="1845" customWidth="1"/>
    <col min="16" max="16" width="7.3984375" style="1834" customWidth="1"/>
    <col min="17" max="23" width="7.3984375" style="1846" customWidth="1"/>
    <col min="24" max="24" width="8.3984375" style="1739" customWidth="1"/>
    <col min="25" max="25" width="8.19921875" style="1739" customWidth="1"/>
    <col min="26" max="26" width="10.09765625" style="1840" customWidth="1"/>
    <col min="27" max="27" width="12" style="1739" customWidth="1"/>
    <col min="28" max="28" width="7.59765625" style="1739" hidden="1" customWidth="1"/>
    <col min="29" max="29" width="9" style="1739" customWidth="1"/>
    <col min="30" max="30" width="9" style="1739"/>
    <col min="31" max="31" width="32.3984375" style="1739" customWidth="1"/>
    <col min="32" max="32" width="9" style="1739" customWidth="1"/>
    <col min="33" max="16384" width="9" style="1739"/>
  </cols>
  <sheetData>
    <row r="1" spans="1:31" x14ac:dyDescent="0.5">
      <c r="A1" s="1737" t="s">
        <v>9163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1738"/>
      <c r="O1" s="1738"/>
      <c r="P1" s="1738"/>
      <c r="Q1" s="1738"/>
      <c r="R1" s="1738"/>
      <c r="S1" s="1738"/>
      <c r="T1" s="1738"/>
      <c r="U1" s="1738"/>
      <c r="V1" s="1738"/>
      <c r="W1" s="1738"/>
      <c r="X1" s="1738"/>
      <c r="Y1" s="1738"/>
      <c r="Z1" s="1738"/>
      <c r="AA1" s="1738"/>
    </row>
    <row r="2" spans="1:31" x14ac:dyDescent="0.5">
      <c r="A2" s="1738" t="s">
        <v>7775</v>
      </c>
      <c r="B2" s="1738"/>
      <c r="C2" s="1738"/>
      <c r="D2" s="1738"/>
      <c r="E2" s="1738"/>
      <c r="F2" s="1738"/>
      <c r="G2" s="1738"/>
      <c r="H2" s="1738"/>
      <c r="I2" s="1738"/>
      <c r="J2" s="1738"/>
      <c r="K2" s="1738"/>
      <c r="L2" s="1738"/>
      <c r="M2" s="1738"/>
      <c r="N2" s="1738"/>
      <c r="O2" s="1738"/>
      <c r="P2" s="1738"/>
      <c r="Q2" s="1738"/>
      <c r="R2" s="1738"/>
      <c r="S2" s="1738"/>
      <c r="T2" s="1738"/>
      <c r="U2" s="1738"/>
      <c r="V2" s="1738"/>
      <c r="W2" s="1738"/>
      <c r="X2" s="1738"/>
      <c r="Y2" s="1738"/>
      <c r="Z2" s="1738"/>
      <c r="AA2" s="1738"/>
    </row>
    <row r="3" spans="1:31" x14ac:dyDescent="0.5">
      <c r="A3" s="1740" t="s">
        <v>7733</v>
      </c>
      <c r="B3" s="1740"/>
      <c r="C3" s="1738"/>
      <c r="D3" s="1738"/>
      <c r="E3" s="1738"/>
      <c r="F3" s="1738"/>
      <c r="G3" s="1738"/>
      <c r="H3" s="1738"/>
      <c r="I3" s="1738"/>
      <c r="J3" s="1738"/>
      <c r="K3" s="1738"/>
      <c r="L3" s="1738"/>
      <c r="M3" s="1738"/>
      <c r="N3" s="1738"/>
      <c r="O3" s="1738"/>
      <c r="P3" s="1738"/>
      <c r="Q3" s="1738"/>
      <c r="R3" s="1738"/>
      <c r="S3" s="1738"/>
      <c r="T3" s="1738"/>
      <c r="U3" s="1738"/>
      <c r="V3" s="1738"/>
      <c r="W3" s="1738"/>
      <c r="X3" s="1738"/>
      <c r="Y3" s="1738"/>
      <c r="Z3" s="1738"/>
      <c r="AA3" s="1738"/>
    </row>
    <row r="4" spans="1:31" x14ac:dyDescent="0.5">
      <c r="A4" s="1741" t="s">
        <v>2185</v>
      </c>
      <c r="B4" s="1741" t="s">
        <v>9164</v>
      </c>
      <c r="C4" s="1742" t="s">
        <v>7776</v>
      </c>
      <c r="D4" s="1743" t="s">
        <v>7777</v>
      </c>
      <c r="E4" s="1743"/>
      <c r="F4" s="1743"/>
      <c r="G4" s="1743"/>
      <c r="H4" s="1743"/>
      <c r="I4" s="1743"/>
      <c r="J4" s="1744" t="s">
        <v>7736</v>
      </c>
      <c r="K4" s="1745" t="s">
        <v>7778</v>
      </c>
      <c r="L4" s="1746" t="s">
        <v>7779</v>
      </c>
      <c r="M4" s="1747" t="s">
        <v>6557</v>
      </c>
      <c r="N4" s="1748" t="s">
        <v>7780</v>
      </c>
      <c r="O4" s="1749" t="s">
        <v>7736</v>
      </c>
      <c r="P4" s="1747" t="s">
        <v>7744</v>
      </c>
      <c r="Q4" s="1750" t="s">
        <v>621</v>
      </c>
      <c r="R4" s="1750" t="s">
        <v>7745</v>
      </c>
      <c r="S4" s="1750" t="s">
        <v>621</v>
      </c>
      <c r="T4" s="1750" t="s">
        <v>7746</v>
      </c>
      <c r="U4" s="1750" t="s">
        <v>621</v>
      </c>
      <c r="V4" s="1750" t="s">
        <v>7747</v>
      </c>
      <c r="W4" s="1751" t="s">
        <v>621</v>
      </c>
      <c r="X4" s="1752" t="s">
        <v>7781</v>
      </c>
      <c r="Y4" s="1753"/>
      <c r="Z4" s="1754"/>
      <c r="AA4" s="1755" t="s">
        <v>7782</v>
      </c>
    </row>
    <row r="5" spans="1:31" x14ac:dyDescent="0.5">
      <c r="A5" s="1756"/>
      <c r="B5" s="1756"/>
      <c r="C5" s="1757" t="s">
        <v>7783</v>
      </c>
      <c r="D5" s="1743" t="s">
        <v>7741</v>
      </c>
      <c r="E5" s="1743"/>
      <c r="F5" s="1743"/>
      <c r="G5" s="1743"/>
      <c r="H5" s="1743"/>
      <c r="I5" s="1743"/>
      <c r="J5" s="1758" t="s">
        <v>7784</v>
      </c>
      <c r="K5" s="1759" t="s">
        <v>7742</v>
      </c>
      <c r="L5" s="1760"/>
      <c r="M5" s="1761" t="s">
        <v>7631</v>
      </c>
      <c r="N5" s="1762" t="s">
        <v>7785</v>
      </c>
      <c r="O5" s="1763" t="s">
        <v>7743</v>
      </c>
      <c r="P5" s="1761" t="s">
        <v>7752</v>
      </c>
      <c r="Q5" s="1764" t="s">
        <v>7744</v>
      </c>
      <c r="R5" s="1764" t="s">
        <v>7753</v>
      </c>
      <c r="S5" s="1764" t="s">
        <v>7745</v>
      </c>
      <c r="T5" s="1764" t="s">
        <v>7754</v>
      </c>
      <c r="U5" s="1764" t="s">
        <v>7746</v>
      </c>
      <c r="V5" s="1764" t="s">
        <v>7755</v>
      </c>
      <c r="W5" s="1765" t="s">
        <v>7747</v>
      </c>
      <c r="X5" s="1752"/>
      <c r="Y5" s="1753"/>
      <c r="Z5" s="1766" t="s">
        <v>7623</v>
      </c>
      <c r="AA5" s="1767"/>
    </row>
    <row r="6" spans="1:31" x14ac:dyDescent="0.5">
      <c r="A6" s="1756"/>
      <c r="B6" s="1756"/>
      <c r="C6" s="1757" t="s">
        <v>7786</v>
      </c>
      <c r="D6" s="1768" t="s">
        <v>7787</v>
      </c>
      <c r="E6" s="1746" t="s">
        <v>8896</v>
      </c>
      <c r="F6" s="1769" t="s">
        <v>7789</v>
      </c>
      <c r="G6" s="1746" t="s">
        <v>8897</v>
      </c>
      <c r="H6" s="1769" t="s">
        <v>7791</v>
      </c>
      <c r="I6" s="1746" t="s">
        <v>8898</v>
      </c>
      <c r="J6" s="1758" t="s">
        <v>7793</v>
      </c>
      <c r="K6" s="1759" t="s">
        <v>7751</v>
      </c>
      <c r="L6" s="1760"/>
      <c r="M6" s="1761" t="s">
        <v>7794</v>
      </c>
      <c r="N6" s="1762" t="s">
        <v>7786</v>
      </c>
      <c r="O6" s="1763" t="s">
        <v>1150</v>
      </c>
      <c r="P6" s="1770" t="s">
        <v>7795</v>
      </c>
      <c r="Q6" s="1764" t="s">
        <v>7756</v>
      </c>
      <c r="R6" s="1770" t="s">
        <v>7795</v>
      </c>
      <c r="S6" s="1764" t="s">
        <v>7756</v>
      </c>
      <c r="T6" s="1770" t="s">
        <v>7795</v>
      </c>
      <c r="U6" s="1764" t="s">
        <v>7756</v>
      </c>
      <c r="V6" s="1770" t="s">
        <v>7795</v>
      </c>
      <c r="W6" s="1764" t="s">
        <v>7756</v>
      </c>
      <c r="X6" s="1752" t="s">
        <v>7627</v>
      </c>
      <c r="Y6" s="1771" t="s">
        <v>621</v>
      </c>
      <c r="Z6" s="1766" t="s">
        <v>7631</v>
      </c>
      <c r="AA6" s="1767"/>
    </row>
    <row r="7" spans="1:31" x14ac:dyDescent="0.5">
      <c r="A7" s="1772"/>
      <c r="B7" s="1772"/>
      <c r="C7" s="1773" t="s">
        <v>7796</v>
      </c>
      <c r="D7" s="1774"/>
      <c r="E7" s="1775"/>
      <c r="F7" s="1776"/>
      <c r="G7" s="1775"/>
      <c r="H7" s="1776"/>
      <c r="I7" s="1775"/>
      <c r="J7" s="1777" t="s">
        <v>7795</v>
      </c>
      <c r="K7" s="1778"/>
      <c r="L7" s="1775"/>
      <c r="M7" s="1779" t="s">
        <v>7795</v>
      </c>
      <c r="N7" s="1780" t="s">
        <v>7756</v>
      </c>
      <c r="O7" s="1781" t="s">
        <v>7756</v>
      </c>
      <c r="P7" s="1782"/>
      <c r="Q7" s="1783"/>
      <c r="R7" s="1783"/>
      <c r="S7" s="1783"/>
      <c r="T7" s="1783"/>
      <c r="U7" s="1783"/>
      <c r="V7" s="1783"/>
      <c r="W7" s="1784"/>
      <c r="X7" s="1752"/>
      <c r="Y7" s="1771" t="s">
        <v>7756</v>
      </c>
      <c r="Z7" s="1785"/>
      <c r="AA7" s="1786"/>
    </row>
    <row r="8" spans="1:31" s="1808" customFormat="1" ht="23.25" customHeight="1" x14ac:dyDescent="0.25">
      <c r="A8" s="1787"/>
      <c r="B8" s="1788"/>
      <c r="C8" s="1789"/>
      <c r="D8" s="1790"/>
      <c r="E8" s="1791">
        <f t="shared" ref="E8:E17" si="0">D8*N8</f>
        <v>0</v>
      </c>
      <c r="F8" s="1792"/>
      <c r="G8" s="1791">
        <f t="shared" ref="G8:G17" si="1">F8*N8</f>
        <v>0</v>
      </c>
      <c r="H8" s="1792"/>
      <c r="I8" s="1793">
        <f t="shared" ref="I8:I17" si="2">H8*N8</f>
        <v>0</v>
      </c>
      <c r="J8" s="1794"/>
      <c r="K8" s="1795"/>
      <c r="L8" s="1796"/>
      <c r="M8" s="1797"/>
      <c r="N8" s="1798"/>
      <c r="O8" s="1799">
        <f>M8*N8</f>
        <v>0</v>
      </c>
      <c r="P8" s="1800"/>
      <c r="Q8" s="1801">
        <f>P8*N8</f>
        <v>0</v>
      </c>
      <c r="R8" s="1801"/>
      <c r="S8" s="1802">
        <f>R8*N8</f>
        <v>0</v>
      </c>
      <c r="T8" s="1801"/>
      <c r="U8" s="1802">
        <f>T8*N8</f>
        <v>0</v>
      </c>
      <c r="V8" s="1801"/>
      <c r="W8" s="1802">
        <f>V8*N8</f>
        <v>0</v>
      </c>
      <c r="X8" s="1803">
        <f>P7+R7+T7+V7</f>
        <v>0</v>
      </c>
      <c r="Y8" s="1804">
        <f>X8*N8</f>
        <v>0</v>
      </c>
      <c r="Z8" s="1805"/>
      <c r="AA8" s="1806"/>
      <c r="AB8" s="1807" t="str">
        <f t="shared" ref="AB8:AB18" si="3">IF(O8=Y8,"yes")</f>
        <v>yes</v>
      </c>
    </row>
    <row r="9" spans="1:31" s="1807" customFormat="1" ht="20.25" customHeight="1" x14ac:dyDescent="0.25">
      <c r="A9" s="1787"/>
      <c r="B9" s="1788"/>
      <c r="C9" s="1789"/>
      <c r="D9" s="1809"/>
      <c r="E9" s="1791">
        <f t="shared" si="0"/>
        <v>0</v>
      </c>
      <c r="F9" s="1810"/>
      <c r="G9" s="1791">
        <f t="shared" si="1"/>
        <v>0</v>
      </c>
      <c r="H9" s="1810"/>
      <c r="I9" s="1793">
        <f t="shared" si="2"/>
        <v>0</v>
      </c>
      <c r="J9" s="1811"/>
      <c r="K9" s="1812"/>
      <c r="L9" s="1796"/>
      <c r="M9" s="1797"/>
      <c r="N9" s="1813"/>
      <c r="O9" s="1799">
        <f t="shared" ref="O9:O17" si="4">M9*N9</f>
        <v>0</v>
      </c>
      <c r="P9" s="1809"/>
      <c r="Q9" s="1801">
        <f t="shared" ref="Q9:Q17" si="5">P9*N9</f>
        <v>0</v>
      </c>
      <c r="R9" s="1796"/>
      <c r="S9" s="1802">
        <f t="shared" ref="S9:S17" si="6">R9*N9</f>
        <v>0</v>
      </c>
      <c r="T9" s="1810"/>
      <c r="U9" s="1802">
        <f t="shared" ref="U9:U17" si="7">T9*N9</f>
        <v>0</v>
      </c>
      <c r="V9" s="1810"/>
      <c r="W9" s="1802">
        <f t="shared" ref="W9:W17" si="8">V9*N9</f>
        <v>0</v>
      </c>
      <c r="X9" s="1803">
        <f t="shared" ref="X9:X17" si="9">P8+R8+T8+V8</f>
        <v>0</v>
      </c>
      <c r="Y9" s="1804">
        <f t="shared" ref="Y9:Y17" si="10">X9*N9</f>
        <v>0</v>
      </c>
      <c r="Z9" s="1805"/>
      <c r="AA9" s="1806"/>
      <c r="AB9" s="1807" t="str">
        <f t="shared" si="3"/>
        <v>yes</v>
      </c>
    </row>
    <row r="10" spans="1:31" s="1807" customFormat="1" ht="20.25" customHeight="1" x14ac:dyDescent="0.25">
      <c r="A10" s="1787"/>
      <c r="B10" s="1788"/>
      <c r="C10" s="1789"/>
      <c r="D10" s="1809"/>
      <c r="E10" s="1791">
        <f t="shared" si="0"/>
        <v>0</v>
      </c>
      <c r="F10" s="1810"/>
      <c r="G10" s="1791">
        <f t="shared" si="1"/>
        <v>0</v>
      </c>
      <c r="H10" s="1810"/>
      <c r="I10" s="1793">
        <f t="shared" si="2"/>
        <v>0</v>
      </c>
      <c r="J10" s="1811"/>
      <c r="K10" s="1812"/>
      <c r="L10" s="1796"/>
      <c r="M10" s="1797"/>
      <c r="N10" s="1813"/>
      <c r="O10" s="1799">
        <f t="shared" si="4"/>
        <v>0</v>
      </c>
      <c r="P10" s="1809"/>
      <c r="Q10" s="1801">
        <f t="shared" si="5"/>
        <v>0</v>
      </c>
      <c r="R10" s="1810"/>
      <c r="S10" s="1802">
        <f t="shared" si="6"/>
        <v>0</v>
      </c>
      <c r="T10" s="1796"/>
      <c r="U10" s="1802">
        <f t="shared" si="7"/>
        <v>0</v>
      </c>
      <c r="V10" s="1810"/>
      <c r="W10" s="1802">
        <f t="shared" si="8"/>
        <v>0</v>
      </c>
      <c r="X10" s="1803">
        <f t="shared" si="9"/>
        <v>0</v>
      </c>
      <c r="Y10" s="1804">
        <f t="shared" si="10"/>
        <v>0</v>
      </c>
      <c r="Z10" s="1805"/>
      <c r="AA10" s="1806"/>
      <c r="AB10" s="1807" t="str">
        <f t="shared" si="3"/>
        <v>yes</v>
      </c>
    </row>
    <row r="11" spans="1:31" s="1807" customFormat="1" ht="20.25" customHeight="1" x14ac:dyDescent="0.25">
      <c r="A11" s="1787"/>
      <c r="B11" s="1788"/>
      <c r="C11" s="1789"/>
      <c r="D11" s="1809"/>
      <c r="E11" s="1791">
        <f t="shared" si="0"/>
        <v>0</v>
      </c>
      <c r="F11" s="1810"/>
      <c r="G11" s="1791">
        <f t="shared" si="1"/>
        <v>0</v>
      </c>
      <c r="H11" s="1810"/>
      <c r="I11" s="1793">
        <f t="shared" si="2"/>
        <v>0</v>
      </c>
      <c r="J11" s="1811"/>
      <c r="K11" s="1812"/>
      <c r="L11" s="1796"/>
      <c r="M11" s="1797"/>
      <c r="N11" s="1813"/>
      <c r="O11" s="1799">
        <f t="shared" si="4"/>
        <v>0</v>
      </c>
      <c r="P11" s="1803"/>
      <c r="Q11" s="1801">
        <f t="shared" si="5"/>
        <v>0</v>
      </c>
      <c r="R11" s="1796"/>
      <c r="S11" s="1802">
        <f t="shared" si="6"/>
        <v>0</v>
      </c>
      <c r="T11" s="1810"/>
      <c r="U11" s="1802">
        <f t="shared" si="7"/>
        <v>0</v>
      </c>
      <c r="V11" s="1796"/>
      <c r="W11" s="1802">
        <f t="shared" si="8"/>
        <v>0</v>
      </c>
      <c r="X11" s="1803">
        <f t="shared" si="9"/>
        <v>0</v>
      </c>
      <c r="Y11" s="1804">
        <f t="shared" si="10"/>
        <v>0</v>
      </c>
      <c r="Z11" s="1805"/>
      <c r="AA11" s="1806"/>
      <c r="AB11" s="1807" t="str">
        <f t="shared" si="3"/>
        <v>yes</v>
      </c>
    </row>
    <row r="12" spans="1:31" s="1807" customFormat="1" ht="20.25" customHeight="1" x14ac:dyDescent="0.25">
      <c r="A12" s="1787"/>
      <c r="B12" s="1788"/>
      <c r="C12" s="1789"/>
      <c r="D12" s="1809"/>
      <c r="E12" s="1791">
        <f t="shared" si="0"/>
        <v>0</v>
      </c>
      <c r="F12" s="1810"/>
      <c r="G12" s="1791">
        <f t="shared" si="1"/>
        <v>0</v>
      </c>
      <c r="H12" s="1810"/>
      <c r="I12" s="1793">
        <f t="shared" si="2"/>
        <v>0</v>
      </c>
      <c r="J12" s="1811"/>
      <c r="K12" s="1812"/>
      <c r="L12" s="1796"/>
      <c r="M12" s="1797"/>
      <c r="N12" s="1813"/>
      <c r="O12" s="1799">
        <f t="shared" si="4"/>
        <v>0</v>
      </c>
      <c r="P12" s="1809"/>
      <c r="Q12" s="1801">
        <f t="shared" si="5"/>
        <v>0</v>
      </c>
      <c r="R12" s="1796"/>
      <c r="S12" s="1802">
        <f t="shared" si="6"/>
        <v>0</v>
      </c>
      <c r="T12" s="1810"/>
      <c r="U12" s="1802">
        <f t="shared" si="7"/>
        <v>0</v>
      </c>
      <c r="V12" s="1810"/>
      <c r="W12" s="1802">
        <f t="shared" si="8"/>
        <v>0</v>
      </c>
      <c r="X12" s="1803">
        <f t="shared" si="9"/>
        <v>0</v>
      </c>
      <c r="Y12" s="1804">
        <f t="shared" si="10"/>
        <v>0</v>
      </c>
      <c r="Z12" s="1805"/>
      <c r="AA12" s="1806"/>
      <c r="AB12" s="1807" t="str">
        <f t="shared" si="3"/>
        <v>yes</v>
      </c>
    </row>
    <row r="13" spans="1:31" s="1807" customFormat="1" ht="20.25" customHeight="1" x14ac:dyDescent="0.25">
      <c r="A13" s="1787"/>
      <c r="B13" s="1788"/>
      <c r="C13" s="1789"/>
      <c r="D13" s="1809"/>
      <c r="E13" s="1791">
        <f t="shared" si="0"/>
        <v>0</v>
      </c>
      <c r="F13" s="1810"/>
      <c r="G13" s="1791">
        <f t="shared" si="1"/>
        <v>0</v>
      </c>
      <c r="H13" s="1810"/>
      <c r="I13" s="1793">
        <f t="shared" si="2"/>
        <v>0</v>
      </c>
      <c r="J13" s="1811"/>
      <c r="K13" s="1812"/>
      <c r="L13" s="1796"/>
      <c r="M13" s="1797"/>
      <c r="N13" s="1813"/>
      <c r="O13" s="1799">
        <f t="shared" si="4"/>
        <v>0</v>
      </c>
      <c r="P13" s="1809"/>
      <c r="Q13" s="1801">
        <f t="shared" si="5"/>
        <v>0</v>
      </c>
      <c r="R13" s="1796"/>
      <c r="S13" s="1802">
        <f t="shared" si="6"/>
        <v>0</v>
      </c>
      <c r="T13" s="1810"/>
      <c r="U13" s="1802">
        <f t="shared" si="7"/>
        <v>0</v>
      </c>
      <c r="V13" s="1810"/>
      <c r="W13" s="1802">
        <f t="shared" si="8"/>
        <v>0</v>
      </c>
      <c r="X13" s="1803">
        <f t="shared" si="9"/>
        <v>0</v>
      </c>
      <c r="Y13" s="1804">
        <f t="shared" si="10"/>
        <v>0</v>
      </c>
      <c r="Z13" s="1805"/>
      <c r="AA13" s="1806"/>
      <c r="AB13" s="1807" t="str">
        <f t="shared" si="3"/>
        <v>yes</v>
      </c>
    </row>
    <row r="14" spans="1:31" s="1807" customFormat="1" ht="20.25" customHeight="1" x14ac:dyDescent="0.25">
      <c r="A14" s="1787"/>
      <c r="B14" s="1788"/>
      <c r="C14" s="1789"/>
      <c r="D14" s="1809"/>
      <c r="E14" s="1791">
        <f t="shared" si="0"/>
        <v>0</v>
      </c>
      <c r="F14" s="1810"/>
      <c r="G14" s="1791">
        <f t="shared" si="1"/>
        <v>0</v>
      </c>
      <c r="H14" s="1810"/>
      <c r="I14" s="1793">
        <f t="shared" si="2"/>
        <v>0</v>
      </c>
      <c r="J14" s="1811"/>
      <c r="K14" s="1812"/>
      <c r="L14" s="1796"/>
      <c r="M14" s="1797"/>
      <c r="N14" s="1813"/>
      <c r="O14" s="1799">
        <f t="shared" si="4"/>
        <v>0</v>
      </c>
      <c r="P14" s="1809"/>
      <c r="Q14" s="1801">
        <f t="shared" si="5"/>
        <v>0</v>
      </c>
      <c r="R14" s="1796"/>
      <c r="S14" s="1802">
        <f t="shared" si="6"/>
        <v>0</v>
      </c>
      <c r="T14" s="1810"/>
      <c r="U14" s="1802">
        <f t="shared" si="7"/>
        <v>0</v>
      </c>
      <c r="V14" s="1810"/>
      <c r="W14" s="1802">
        <f t="shared" si="8"/>
        <v>0</v>
      </c>
      <c r="X14" s="1803">
        <f t="shared" si="9"/>
        <v>0</v>
      </c>
      <c r="Y14" s="1804">
        <f t="shared" si="10"/>
        <v>0</v>
      </c>
      <c r="Z14" s="1805"/>
      <c r="AA14" s="1806"/>
      <c r="AB14" s="1807" t="str">
        <f t="shared" si="3"/>
        <v>yes</v>
      </c>
    </row>
    <row r="15" spans="1:31" s="1807" customFormat="1" ht="20.25" customHeight="1" x14ac:dyDescent="0.25">
      <c r="A15" s="1787"/>
      <c r="B15" s="1788"/>
      <c r="C15" s="1789"/>
      <c r="D15" s="1809"/>
      <c r="E15" s="1791">
        <f t="shared" si="0"/>
        <v>0</v>
      </c>
      <c r="F15" s="1810"/>
      <c r="G15" s="1791">
        <f t="shared" si="1"/>
        <v>0</v>
      </c>
      <c r="H15" s="1810"/>
      <c r="I15" s="1793">
        <f t="shared" si="2"/>
        <v>0</v>
      </c>
      <c r="J15" s="1811"/>
      <c r="K15" s="1812"/>
      <c r="L15" s="1796"/>
      <c r="M15" s="1797"/>
      <c r="N15" s="1813"/>
      <c r="O15" s="1799">
        <f t="shared" si="4"/>
        <v>0</v>
      </c>
      <c r="P15" s="1809"/>
      <c r="Q15" s="1801">
        <f t="shared" si="5"/>
        <v>0</v>
      </c>
      <c r="R15" s="1796"/>
      <c r="S15" s="1802">
        <f t="shared" si="6"/>
        <v>0</v>
      </c>
      <c r="T15" s="1810"/>
      <c r="U15" s="1802">
        <f t="shared" si="7"/>
        <v>0</v>
      </c>
      <c r="V15" s="1810"/>
      <c r="W15" s="1802">
        <f t="shared" si="8"/>
        <v>0</v>
      </c>
      <c r="X15" s="1803">
        <f t="shared" si="9"/>
        <v>0</v>
      </c>
      <c r="Y15" s="1804">
        <f t="shared" si="10"/>
        <v>0</v>
      </c>
      <c r="Z15" s="1805"/>
      <c r="AA15" s="1806"/>
      <c r="AB15" s="1807" t="str">
        <f t="shared" si="3"/>
        <v>yes</v>
      </c>
    </row>
    <row r="16" spans="1:31" s="1807" customFormat="1" ht="20.25" customHeight="1" x14ac:dyDescent="0.25">
      <c r="A16" s="1787"/>
      <c r="B16" s="1788"/>
      <c r="C16" s="1789"/>
      <c r="D16" s="1809"/>
      <c r="E16" s="1791">
        <f t="shared" si="0"/>
        <v>0</v>
      </c>
      <c r="F16" s="1810"/>
      <c r="G16" s="1791">
        <f t="shared" si="1"/>
        <v>0</v>
      </c>
      <c r="H16" s="1810"/>
      <c r="I16" s="1793">
        <f t="shared" si="2"/>
        <v>0</v>
      </c>
      <c r="J16" s="1811"/>
      <c r="K16" s="1812"/>
      <c r="L16" s="1796"/>
      <c r="M16" s="1797"/>
      <c r="N16" s="1813"/>
      <c r="O16" s="1799">
        <f t="shared" si="4"/>
        <v>0</v>
      </c>
      <c r="P16" s="1803"/>
      <c r="Q16" s="1801">
        <f t="shared" si="5"/>
        <v>0</v>
      </c>
      <c r="R16" s="1796"/>
      <c r="S16" s="1802">
        <f t="shared" si="6"/>
        <v>0</v>
      </c>
      <c r="T16" s="1810"/>
      <c r="U16" s="1802">
        <f t="shared" si="7"/>
        <v>0</v>
      </c>
      <c r="V16" s="1796"/>
      <c r="W16" s="1802">
        <f t="shared" si="8"/>
        <v>0</v>
      </c>
      <c r="X16" s="1803">
        <f t="shared" si="9"/>
        <v>0</v>
      </c>
      <c r="Y16" s="1804">
        <f t="shared" si="10"/>
        <v>0</v>
      </c>
      <c r="Z16" s="1805"/>
      <c r="AA16" s="1806"/>
      <c r="AB16" s="1807" t="str">
        <f t="shared" si="3"/>
        <v>yes</v>
      </c>
      <c r="AE16" s="1814"/>
    </row>
    <row r="17" spans="1:31" s="1807" customFormat="1" ht="20.25" customHeight="1" x14ac:dyDescent="0.25">
      <c r="A17" s="1787"/>
      <c r="B17" s="1815"/>
      <c r="C17" s="1816"/>
      <c r="D17" s="1809"/>
      <c r="E17" s="1791">
        <f t="shared" si="0"/>
        <v>0</v>
      </c>
      <c r="F17" s="1817"/>
      <c r="G17" s="1791">
        <f t="shared" si="1"/>
        <v>0</v>
      </c>
      <c r="H17" s="1817"/>
      <c r="I17" s="1793">
        <f t="shared" si="2"/>
        <v>0</v>
      </c>
      <c r="J17" s="1818"/>
      <c r="K17" s="1819"/>
      <c r="L17" s="1796"/>
      <c r="M17" s="1809"/>
      <c r="N17" s="1820"/>
      <c r="O17" s="1799">
        <f t="shared" si="4"/>
        <v>0</v>
      </c>
      <c r="P17" s="1809"/>
      <c r="Q17" s="1801">
        <f t="shared" si="5"/>
        <v>0</v>
      </c>
      <c r="R17" s="1796"/>
      <c r="S17" s="1802">
        <f t="shared" si="6"/>
        <v>0</v>
      </c>
      <c r="T17" s="1796"/>
      <c r="U17" s="1802">
        <f t="shared" si="7"/>
        <v>0</v>
      </c>
      <c r="V17" s="1796"/>
      <c r="W17" s="1802">
        <f t="shared" si="8"/>
        <v>0</v>
      </c>
      <c r="X17" s="1803">
        <f t="shared" si="9"/>
        <v>0</v>
      </c>
      <c r="Y17" s="1804">
        <f t="shared" si="10"/>
        <v>0</v>
      </c>
      <c r="Z17" s="1821"/>
      <c r="AA17" s="1822" t="s">
        <v>7380</v>
      </c>
      <c r="AB17" s="1807" t="str">
        <f t="shared" si="3"/>
        <v>yes</v>
      </c>
      <c r="AE17" s="1823"/>
    </row>
    <row r="18" spans="1:31" s="1831" customFormat="1" ht="20.25" customHeight="1" x14ac:dyDescent="0.5">
      <c r="A18" s="1824" t="s">
        <v>7433</v>
      </c>
      <c r="B18" s="1824"/>
      <c r="C18" s="1824"/>
      <c r="D18" s="1825">
        <f>SUM(D8:D17)</f>
        <v>0</v>
      </c>
      <c r="E18" s="1825">
        <f>SUM(E8:E17)</f>
        <v>0</v>
      </c>
      <c r="F18" s="1826">
        <f t="shared" ref="F18:Y18" si="11">SUM(F8:F17)</f>
        <v>0</v>
      </c>
      <c r="G18" s="1826">
        <f t="shared" si="11"/>
        <v>0</v>
      </c>
      <c r="H18" s="1825">
        <f t="shared" si="11"/>
        <v>0</v>
      </c>
      <c r="I18" s="1825">
        <f t="shared" si="11"/>
        <v>0</v>
      </c>
      <c r="J18" s="1827">
        <f t="shared" si="11"/>
        <v>0</v>
      </c>
      <c r="K18" s="1828">
        <f t="shared" si="11"/>
        <v>0</v>
      </c>
      <c r="L18" s="1825">
        <f t="shared" si="11"/>
        <v>0</v>
      </c>
      <c r="M18" s="1827">
        <f t="shared" si="11"/>
        <v>0</v>
      </c>
      <c r="N18" s="1827">
        <f t="shared" si="11"/>
        <v>0</v>
      </c>
      <c r="O18" s="1829">
        <f t="shared" si="11"/>
        <v>0</v>
      </c>
      <c r="P18" s="1827">
        <f t="shared" si="11"/>
        <v>0</v>
      </c>
      <c r="Q18" s="1825">
        <f t="shared" si="11"/>
        <v>0</v>
      </c>
      <c r="R18" s="1825">
        <f t="shared" si="11"/>
        <v>0</v>
      </c>
      <c r="S18" s="1825">
        <f t="shared" si="11"/>
        <v>0</v>
      </c>
      <c r="T18" s="1825">
        <f t="shared" si="11"/>
        <v>0</v>
      </c>
      <c r="U18" s="1825">
        <f t="shared" si="11"/>
        <v>0</v>
      </c>
      <c r="V18" s="1825">
        <f t="shared" si="11"/>
        <v>0</v>
      </c>
      <c r="W18" s="1825">
        <f t="shared" si="11"/>
        <v>0</v>
      </c>
      <c r="X18" s="1827">
        <f t="shared" si="11"/>
        <v>0</v>
      </c>
      <c r="Y18" s="1829">
        <f t="shared" si="11"/>
        <v>0</v>
      </c>
      <c r="Z18" s="1830"/>
      <c r="AA18" s="1827"/>
      <c r="AB18" s="1831" t="str">
        <f t="shared" si="3"/>
        <v>yes</v>
      </c>
    </row>
    <row r="19" spans="1:31" ht="20.25" customHeight="1" x14ac:dyDescent="0.5">
      <c r="A19" s="1832"/>
      <c r="C19" s="1834"/>
      <c r="D19" s="1832"/>
      <c r="E19" s="1832"/>
      <c r="F19" s="1832"/>
      <c r="G19" s="1832"/>
      <c r="H19" s="1832"/>
      <c r="I19" s="1832"/>
      <c r="J19" s="1832"/>
      <c r="K19" s="1832"/>
      <c r="L19" s="1835"/>
      <c r="M19" s="1836"/>
      <c r="N19" s="1837"/>
      <c r="O19" s="1837"/>
      <c r="P19" s="1838"/>
      <c r="Q19" s="1839"/>
      <c r="R19" s="1839"/>
      <c r="S19" s="1839"/>
      <c r="T19" s="1839"/>
      <c r="U19" s="1839"/>
      <c r="V19" s="1839"/>
      <c r="W19" s="1839"/>
      <c r="X19" s="1836"/>
      <c r="Y19" s="1836"/>
      <c r="AA19" s="1841"/>
    </row>
    <row r="20" spans="1:31" ht="20.25" customHeight="1" x14ac:dyDescent="0.5">
      <c r="A20" s="1832"/>
      <c r="C20" s="1834"/>
    </row>
    <row r="21" spans="1:31" ht="20.25" customHeight="1" x14ac:dyDescent="0.5">
      <c r="B21" s="1739" t="s">
        <v>8877</v>
      </c>
      <c r="D21" s="1739"/>
      <c r="E21" s="1739"/>
      <c r="F21" s="1739"/>
      <c r="G21" s="1834"/>
      <c r="H21" s="1842" t="s">
        <v>7914</v>
      </c>
      <c r="L21" s="1842"/>
      <c r="M21" s="1842"/>
      <c r="N21" s="1842"/>
      <c r="O21" s="1842"/>
      <c r="P21" s="1842"/>
      <c r="Q21" s="1843"/>
      <c r="R21" s="1739" t="s">
        <v>7915</v>
      </c>
      <c r="S21" s="1739"/>
      <c r="T21" s="1739"/>
      <c r="U21" s="1739"/>
      <c r="V21" s="1739"/>
      <c r="W21" s="1739"/>
      <c r="Z21" s="1739"/>
    </row>
    <row r="22" spans="1:31" ht="20.25" customHeight="1" x14ac:dyDescent="0.5">
      <c r="B22" s="1739"/>
      <c r="D22" s="1739"/>
      <c r="E22" s="1739"/>
      <c r="F22" s="1739"/>
      <c r="G22" s="1834"/>
      <c r="H22" s="1842" t="s">
        <v>7916</v>
      </c>
      <c r="L22" s="1842"/>
      <c r="M22" s="1842"/>
      <c r="N22" s="1842"/>
      <c r="O22" s="1842"/>
      <c r="P22" s="1842"/>
      <c r="Q22" s="1843"/>
      <c r="R22" s="1739" t="s">
        <v>7917</v>
      </c>
      <c r="S22" s="1739"/>
      <c r="T22" s="1739"/>
      <c r="U22" s="1739"/>
      <c r="V22" s="1739"/>
      <c r="W22" s="1739"/>
      <c r="Z22" s="1739"/>
    </row>
    <row r="23" spans="1:31" ht="20.25" customHeight="1" x14ac:dyDescent="0.5">
      <c r="B23" s="1739"/>
      <c r="D23" s="1739"/>
      <c r="E23" s="1739"/>
      <c r="F23" s="1739"/>
      <c r="G23" s="1834"/>
      <c r="H23" s="1842" t="s">
        <v>7918</v>
      </c>
      <c r="L23" s="1842"/>
      <c r="M23" s="1842"/>
      <c r="N23" s="1842"/>
      <c r="O23" s="1842"/>
      <c r="P23" s="1842"/>
      <c r="Q23" s="1843"/>
      <c r="R23" s="1739" t="s">
        <v>7771</v>
      </c>
      <c r="S23" s="1739"/>
      <c r="T23" s="1739"/>
      <c r="U23" s="1739"/>
      <c r="V23" s="1739"/>
      <c r="W23" s="1739"/>
      <c r="Z23" s="1739"/>
    </row>
    <row r="24" spans="1:31" ht="20.25" customHeight="1" x14ac:dyDescent="0.5">
      <c r="B24" s="1739"/>
      <c r="D24" s="1739"/>
      <c r="E24" s="1739"/>
      <c r="F24" s="1739"/>
      <c r="G24" s="1834"/>
      <c r="H24" s="1842" t="s">
        <v>7919</v>
      </c>
      <c r="L24" s="1842"/>
      <c r="M24" s="1842"/>
      <c r="N24" s="1842"/>
      <c r="O24" s="1842"/>
      <c r="P24" s="1842"/>
      <c r="Q24" s="1843"/>
      <c r="R24" s="1843"/>
      <c r="S24" s="1843"/>
      <c r="Y24" s="1841"/>
      <c r="Z24" s="1847"/>
    </row>
    <row r="25" spans="1:31" ht="20.25" customHeight="1" x14ac:dyDescent="0.5">
      <c r="P25" s="1834" t="s">
        <v>7380</v>
      </c>
    </row>
    <row r="26" spans="1:31" ht="20.25" customHeight="1" x14ac:dyDescent="0.5">
      <c r="P26" s="1836"/>
      <c r="Q26" s="1848"/>
    </row>
    <row r="27" spans="1:31" ht="20.25" customHeight="1" x14ac:dyDescent="0.5">
      <c r="AA27" s="1840"/>
    </row>
    <row r="33" spans="1:26" x14ac:dyDescent="0.5">
      <c r="A33" s="1739"/>
      <c r="N33" s="1834"/>
      <c r="O33" s="1739"/>
      <c r="Z33" s="1739"/>
    </row>
    <row r="34" spans="1:26" x14ac:dyDescent="0.5">
      <c r="A34" s="1739"/>
      <c r="N34" s="1834"/>
      <c r="O34" s="1739"/>
      <c r="Z34" s="1739"/>
    </row>
    <row r="35" spans="1:26" x14ac:dyDescent="0.5">
      <c r="A35" s="1739"/>
      <c r="N35" s="1834"/>
      <c r="O35" s="1739"/>
      <c r="Z35" s="1739"/>
    </row>
    <row r="36" spans="1:26" x14ac:dyDescent="0.5">
      <c r="A36" s="1739"/>
      <c r="N36" s="1834"/>
      <c r="O36" s="1739"/>
      <c r="Z36" s="1739"/>
    </row>
    <row r="37" spans="1:26" x14ac:dyDescent="0.5">
      <c r="A37" s="1739"/>
      <c r="N37" s="1834"/>
      <c r="O37" s="1739"/>
      <c r="Z37" s="1739"/>
    </row>
    <row r="38" spans="1:26" x14ac:dyDescent="0.5">
      <c r="A38" s="1739"/>
      <c r="N38" s="1834"/>
      <c r="O38" s="1739"/>
      <c r="Z38" s="1739"/>
    </row>
    <row r="39" spans="1:26" x14ac:dyDescent="0.5">
      <c r="A39" s="1739"/>
      <c r="N39" s="1834"/>
      <c r="O39" s="1739"/>
      <c r="Z39" s="1739"/>
    </row>
    <row r="40" spans="1:26" x14ac:dyDescent="0.5">
      <c r="A40" s="1739"/>
      <c r="N40" s="1834"/>
      <c r="O40" s="1739"/>
      <c r="Z40" s="1739"/>
    </row>
    <row r="41" spans="1:26" x14ac:dyDescent="0.5">
      <c r="A41" s="1739"/>
      <c r="N41" s="1834"/>
      <c r="O41" s="1739"/>
      <c r="Z41" s="1739"/>
    </row>
    <row r="42" spans="1:26" x14ac:dyDescent="0.5">
      <c r="A42" s="1739"/>
      <c r="N42" s="1834"/>
      <c r="O42" s="1739"/>
      <c r="Z42" s="1739"/>
    </row>
    <row r="43" spans="1:26" x14ac:dyDescent="0.5">
      <c r="A43" s="1739"/>
      <c r="N43" s="1834"/>
      <c r="O43" s="1739"/>
      <c r="Z43" s="1739"/>
    </row>
    <row r="44" spans="1:26" x14ac:dyDescent="0.5">
      <c r="A44" s="1739"/>
      <c r="N44" s="1834"/>
      <c r="O44" s="1739"/>
      <c r="Z44" s="1739"/>
    </row>
    <row r="45" spans="1:26" x14ac:dyDescent="0.5">
      <c r="A45" s="1739"/>
      <c r="N45" s="1834"/>
      <c r="O45" s="1739"/>
      <c r="Z45" s="1739"/>
    </row>
    <row r="46" spans="1:26" x14ac:dyDescent="0.5">
      <c r="A46" s="1739"/>
      <c r="N46" s="1834"/>
      <c r="O46" s="1739"/>
      <c r="Z46" s="1739"/>
    </row>
    <row r="47" spans="1:26" x14ac:dyDescent="0.5">
      <c r="A47" s="1739"/>
      <c r="N47" s="1834"/>
      <c r="O47" s="1739"/>
      <c r="Z47" s="1739"/>
    </row>
    <row r="48" spans="1:26" x14ac:dyDescent="0.5">
      <c r="A48" s="1739"/>
      <c r="N48" s="1834"/>
      <c r="O48" s="1739"/>
      <c r="Z48" s="1739"/>
    </row>
    <row r="49" spans="1:26" x14ac:dyDescent="0.5">
      <c r="A49" s="1739"/>
      <c r="N49" s="1834"/>
      <c r="O49" s="1739"/>
      <c r="Z49" s="1739"/>
    </row>
    <row r="50" spans="1:26" x14ac:dyDescent="0.5">
      <c r="A50" s="1739"/>
      <c r="N50" s="1834"/>
      <c r="O50" s="1739"/>
      <c r="Z50" s="1739"/>
    </row>
    <row r="51" spans="1:26" x14ac:dyDescent="0.5">
      <c r="A51" s="1739"/>
      <c r="N51" s="1834"/>
      <c r="O51" s="1739"/>
      <c r="Z51" s="1739"/>
    </row>
    <row r="52" spans="1:26" x14ac:dyDescent="0.5">
      <c r="A52" s="1739"/>
      <c r="N52" s="1834"/>
      <c r="O52" s="1739"/>
      <c r="Z52" s="1739"/>
    </row>
    <row r="53" spans="1:26" x14ac:dyDescent="0.5">
      <c r="A53" s="1739"/>
      <c r="N53" s="1834"/>
      <c r="O53" s="1739"/>
      <c r="Z53" s="1739"/>
    </row>
    <row r="54" spans="1:26" x14ac:dyDescent="0.5">
      <c r="A54" s="1739"/>
      <c r="N54" s="1834"/>
      <c r="O54" s="1739"/>
      <c r="Z54" s="1739"/>
    </row>
    <row r="55" spans="1:26" x14ac:dyDescent="0.5">
      <c r="A55" s="1739"/>
      <c r="N55" s="1834"/>
      <c r="O55" s="1739"/>
      <c r="Z55" s="1739"/>
    </row>
    <row r="56" spans="1:26" x14ac:dyDescent="0.5">
      <c r="A56" s="1739"/>
      <c r="N56" s="1834"/>
      <c r="O56" s="1739"/>
      <c r="Z56" s="1739"/>
    </row>
    <row r="57" spans="1:26" x14ac:dyDescent="0.5">
      <c r="A57" s="1739"/>
      <c r="N57" s="1834"/>
      <c r="O57" s="1739"/>
      <c r="Z57" s="1739"/>
    </row>
    <row r="58" spans="1:26" x14ac:dyDescent="0.5">
      <c r="A58" s="1739"/>
      <c r="N58" s="1834"/>
      <c r="O58" s="1739"/>
      <c r="Z58" s="1739"/>
    </row>
    <row r="59" spans="1:26" x14ac:dyDescent="0.5">
      <c r="A59" s="1739"/>
      <c r="N59" s="1834"/>
      <c r="O59" s="1739"/>
      <c r="Z59" s="1739"/>
    </row>
    <row r="60" spans="1:26" x14ac:dyDescent="0.5">
      <c r="A60" s="1739"/>
      <c r="N60" s="1834"/>
      <c r="O60" s="1739"/>
      <c r="Z60" s="1739"/>
    </row>
    <row r="61" spans="1:26" x14ac:dyDescent="0.5">
      <c r="A61" s="1739"/>
      <c r="N61" s="1834"/>
      <c r="O61" s="1739"/>
      <c r="Z61" s="1739"/>
    </row>
    <row r="62" spans="1:26" x14ac:dyDescent="0.5">
      <c r="A62" s="1739"/>
      <c r="N62" s="1834"/>
      <c r="O62" s="1739"/>
      <c r="Z62" s="1739"/>
    </row>
    <row r="63" spans="1:26" x14ac:dyDescent="0.5">
      <c r="A63" s="1739"/>
      <c r="N63" s="1834"/>
      <c r="O63" s="1739"/>
      <c r="Z63" s="1739"/>
    </row>
    <row r="64" spans="1:26" x14ac:dyDescent="0.5">
      <c r="A64" s="1739"/>
      <c r="N64" s="1834"/>
      <c r="O64" s="1739"/>
      <c r="Z64" s="1739"/>
    </row>
    <row r="65" spans="1:26" x14ac:dyDescent="0.5">
      <c r="A65" s="1739"/>
      <c r="N65" s="1834"/>
      <c r="O65" s="1739"/>
      <c r="Z65" s="1739"/>
    </row>
    <row r="66" spans="1:26" x14ac:dyDescent="0.5">
      <c r="A66" s="1739"/>
      <c r="N66" s="1834"/>
      <c r="O66" s="1739"/>
      <c r="Z66" s="1739"/>
    </row>
    <row r="67" spans="1:26" x14ac:dyDescent="0.5">
      <c r="A67" s="1739"/>
      <c r="N67" s="1834"/>
      <c r="O67" s="1739"/>
      <c r="Z67" s="1739"/>
    </row>
    <row r="68" spans="1:26" x14ac:dyDescent="0.5">
      <c r="A68" s="1739"/>
      <c r="N68" s="1834"/>
      <c r="O68" s="1739"/>
      <c r="Z68" s="1739"/>
    </row>
    <row r="69" spans="1:26" x14ac:dyDescent="0.5">
      <c r="A69" s="1739"/>
      <c r="N69" s="1834"/>
      <c r="O69" s="1739"/>
      <c r="Z69" s="1739"/>
    </row>
    <row r="70" spans="1:26" x14ac:dyDescent="0.5">
      <c r="A70" s="1739"/>
      <c r="N70" s="1834"/>
      <c r="O70" s="1739"/>
      <c r="Z70" s="1739"/>
    </row>
    <row r="71" spans="1:26" x14ac:dyDescent="0.5">
      <c r="A71" s="1739"/>
      <c r="N71" s="1834"/>
      <c r="O71" s="1739"/>
      <c r="Z71" s="1739"/>
    </row>
    <row r="72" spans="1:26" x14ac:dyDescent="0.5">
      <c r="A72" s="1739"/>
      <c r="N72" s="1834"/>
      <c r="O72" s="1739"/>
      <c r="Z72" s="1739"/>
    </row>
    <row r="73" spans="1:26" x14ac:dyDescent="0.5">
      <c r="A73" s="1739"/>
      <c r="N73" s="1834"/>
      <c r="O73" s="1739"/>
      <c r="Z73" s="1739"/>
    </row>
    <row r="74" spans="1:26" x14ac:dyDescent="0.5">
      <c r="A74" s="1739"/>
      <c r="N74" s="1834"/>
      <c r="O74" s="1739"/>
      <c r="Z74" s="1739"/>
    </row>
    <row r="75" spans="1:26" x14ac:dyDescent="0.5">
      <c r="A75" s="1739"/>
      <c r="N75" s="1834"/>
      <c r="O75" s="1739"/>
      <c r="Z75" s="1739"/>
    </row>
    <row r="76" spans="1:26" x14ac:dyDescent="0.5">
      <c r="A76" s="1739"/>
      <c r="N76" s="1834"/>
      <c r="O76" s="1739"/>
      <c r="Z76" s="1739"/>
    </row>
    <row r="77" spans="1:26" x14ac:dyDescent="0.5">
      <c r="A77" s="1739"/>
      <c r="N77" s="1834"/>
      <c r="O77" s="1739"/>
      <c r="Z77" s="1739"/>
    </row>
    <row r="78" spans="1:26" x14ac:dyDescent="0.5">
      <c r="A78" s="1739"/>
      <c r="N78" s="1834"/>
      <c r="O78" s="1739"/>
      <c r="Z78" s="1739"/>
    </row>
    <row r="79" spans="1:26" x14ac:dyDescent="0.5">
      <c r="A79" s="1739"/>
      <c r="N79" s="1834"/>
      <c r="O79" s="1739"/>
      <c r="Z79" s="1739"/>
    </row>
    <row r="80" spans="1:26" x14ac:dyDescent="0.5">
      <c r="A80" s="1739"/>
      <c r="N80" s="1834"/>
      <c r="O80" s="1739"/>
      <c r="Z80" s="1739"/>
    </row>
    <row r="81" spans="1:26" x14ac:dyDescent="0.5">
      <c r="A81" s="1739"/>
      <c r="N81" s="1834"/>
      <c r="O81" s="1739"/>
      <c r="Z81" s="1739"/>
    </row>
    <row r="82" spans="1:26" x14ac:dyDescent="0.5">
      <c r="A82" s="1739"/>
      <c r="N82" s="1834"/>
      <c r="O82" s="1739"/>
      <c r="Z82" s="1739"/>
    </row>
    <row r="83" spans="1:26" x14ac:dyDescent="0.5">
      <c r="A83" s="1739"/>
      <c r="N83" s="1834"/>
      <c r="O83" s="1739"/>
      <c r="Z83" s="1739"/>
    </row>
    <row r="84" spans="1:26" x14ac:dyDescent="0.5">
      <c r="A84" s="1739"/>
      <c r="N84" s="1834"/>
      <c r="O84" s="1739"/>
      <c r="Z84" s="1739"/>
    </row>
    <row r="85" spans="1:26" x14ac:dyDescent="0.5">
      <c r="A85" s="1739"/>
      <c r="N85" s="1834"/>
      <c r="O85" s="1739"/>
      <c r="Z85" s="1739"/>
    </row>
    <row r="86" spans="1:26" x14ac:dyDescent="0.5">
      <c r="A86" s="1739"/>
      <c r="N86" s="1834"/>
      <c r="O86" s="1739"/>
      <c r="Z86" s="1739"/>
    </row>
    <row r="87" spans="1:26" x14ac:dyDescent="0.5">
      <c r="A87" s="1739"/>
      <c r="N87" s="1834"/>
      <c r="O87" s="1739"/>
      <c r="Z87" s="1739"/>
    </row>
    <row r="88" spans="1:26" x14ac:dyDescent="0.5">
      <c r="A88" s="1739"/>
      <c r="N88" s="1834"/>
      <c r="O88" s="1739"/>
      <c r="Z88" s="1739"/>
    </row>
    <row r="89" spans="1:26" x14ac:dyDescent="0.5">
      <c r="A89" s="1739"/>
      <c r="N89" s="1834"/>
      <c r="O89" s="1739"/>
      <c r="Z89" s="1739"/>
    </row>
    <row r="90" spans="1:26" x14ac:dyDescent="0.5">
      <c r="A90" s="1739"/>
      <c r="N90" s="1834"/>
      <c r="O90" s="1739"/>
      <c r="Z90" s="1739"/>
    </row>
    <row r="91" spans="1:26" x14ac:dyDescent="0.5">
      <c r="A91" s="1739"/>
      <c r="N91" s="1834"/>
      <c r="O91" s="1739"/>
      <c r="Z91" s="1739"/>
    </row>
    <row r="92" spans="1:26" x14ac:dyDescent="0.5">
      <c r="A92" s="1739"/>
      <c r="N92" s="1834"/>
      <c r="O92" s="1739"/>
      <c r="Z92" s="1739"/>
    </row>
    <row r="93" spans="1:26" x14ac:dyDescent="0.5">
      <c r="A93" s="1739"/>
      <c r="N93" s="1834"/>
      <c r="O93" s="1739"/>
      <c r="Z93" s="1739"/>
    </row>
    <row r="94" spans="1:26" x14ac:dyDescent="0.5">
      <c r="A94" s="1739"/>
      <c r="N94" s="1834"/>
      <c r="O94" s="1739"/>
      <c r="Z94" s="1739"/>
    </row>
    <row r="95" spans="1:26" x14ac:dyDescent="0.5">
      <c r="A95" s="1739"/>
      <c r="N95" s="1834"/>
      <c r="O95" s="1739"/>
      <c r="Z95" s="1739"/>
    </row>
    <row r="96" spans="1:26" x14ac:dyDescent="0.5">
      <c r="A96" s="1739"/>
      <c r="N96" s="1834"/>
      <c r="O96" s="1739"/>
      <c r="Z96" s="1739"/>
    </row>
    <row r="97" spans="1:26" x14ac:dyDescent="0.5">
      <c r="A97" s="1739"/>
      <c r="N97" s="1834"/>
      <c r="O97" s="1739"/>
      <c r="Z97" s="1739"/>
    </row>
    <row r="98" spans="1:26" x14ac:dyDescent="0.5">
      <c r="A98" s="1739"/>
      <c r="N98" s="1834"/>
      <c r="O98" s="1739"/>
      <c r="Z98" s="1739"/>
    </row>
    <row r="99" spans="1:26" x14ac:dyDescent="0.5">
      <c r="A99" s="1739"/>
      <c r="N99" s="1834"/>
      <c r="O99" s="1739"/>
      <c r="Z99" s="1739"/>
    </row>
    <row r="100" spans="1:26" x14ac:dyDescent="0.5">
      <c r="A100" s="1739"/>
      <c r="N100" s="1834"/>
      <c r="O100" s="1739"/>
      <c r="Z100" s="1739"/>
    </row>
    <row r="101" spans="1:26" x14ac:dyDescent="0.5">
      <c r="A101" s="1739"/>
      <c r="N101" s="1834"/>
      <c r="O101" s="1739"/>
      <c r="Z101" s="1739"/>
    </row>
    <row r="102" spans="1:26" x14ac:dyDescent="0.5">
      <c r="A102" s="1739"/>
      <c r="N102" s="1834"/>
      <c r="O102" s="1739"/>
      <c r="Z102" s="1739"/>
    </row>
    <row r="103" spans="1:26" x14ac:dyDescent="0.5">
      <c r="A103" s="1739"/>
      <c r="N103" s="1834"/>
      <c r="O103" s="1739"/>
      <c r="Z103" s="1739"/>
    </row>
    <row r="104" spans="1:26" x14ac:dyDescent="0.5">
      <c r="A104" s="1739"/>
      <c r="N104" s="1834"/>
      <c r="O104" s="1739"/>
      <c r="Z104" s="1739"/>
    </row>
    <row r="105" spans="1:26" x14ac:dyDescent="0.5">
      <c r="A105" s="1739"/>
      <c r="N105" s="1834"/>
      <c r="O105" s="1739"/>
      <c r="Z105" s="1739"/>
    </row>
    <row r="106" spans="1:26" x14ac:dyDescent="0.5">
      <c r="A106" s="1739"/>
      <c r="N106" s="1834"/>
      <c r="O106" s="1739"/>
      <c r="Z106" s="1739"/>
    </row>
    <row r="107" spans="1:26" x14ac:dyDescent="0.5">
      <c r="A107" s="1739"/>
      <c r="N107" s="1834"/>
      <c r="O107" s="1739"/>
      <c r="Z107" s="1739"/>
    </row>
    <row r="108" spans="1:26" x14ac:dyDescent="0.5">
      <c r="A108" s="1739"/>
      <c r="N108" s="1834"/>
      <c r="O108" s="1739"/>
      <c r="Z108" s="1739"/>
    </row>
    <row r="109" spans="1:26" x14ac:dyDescent="0.5">
      <c r="A109" s="1739"/>
      <c r="N109" s="1834"/>
      <c r="O109" s="1739"/>
      <c r="Z109" s="1739"/>
    </row>
    <row r="110" spans="1:26" x14ac:dyDescent="0.5">
      <c r="A110" s="1739"/>
      <c r="N110" s="1834"/>
      <c r="O110" s="1739"/>
      <c r="Z110" s="1739"/>
    </row>
    <row r="111" spans="1:26" x14ac:dyDescent="0.5">
      <c r="A111" s="1739"/>
      <c r="N111" s="1834"/>
      <c r="O111" s="1739"/>
      <c r="Z111" s="1739"/>
    </row>
    <row r="112" spans="1:26" x14ac:dyDescent="0.5">
      <c r="A112" s="1739"/>
      <c r="N112" s="1834"/>
      <c r="O112" s="1739"/>
      <c r="Z112" s="1739"/>
    </row>
    <row r="113" spans="1:26" x14ac:dyDescent="0.5">
      <c r="A113" s="1739"/>
      <c r="N113" s="1834"/>
      <c r="O113" s="1739"/>
      <c r="Z113" s="1739"/>
    </row>
    <row r="114" spans="1:26" x14ac:dyDescent="0.5">
      <c r="A114" s="1739"/>
      <c r="N114" s="1834"/>
      <c r="O114" s="1739"/>
      <c r="Z114" s="1739"/>
    </row>
    <row r="115" spans="1:26" x14ac:dyDescent="0.5">
      <c r="A115" s="1739"/>
      <c r="N115" s="1834"/>
      <c r="O115" s="1739"/>
      <c r="Z115" s="1739"/>
    </row>
    <row r="116" spans="1:26" x14ac:dyDescent="0.5">
      <c r="A116" s="1739"/>
      <c r="N116" s="1834"/>
      <c r="O116" s="1739"/>
      <c r="Z116" s="1739"/>
    </row>
    <row r="117" spans="1:26" x14ac:dyDescent="0.5">
      <c r="A117" s="1739"/>
      <c r="N117" s="1834"/>
      <c r="O117" s="1739"/>
      <c r="Z117" s="1739"/>
    </row>
    <row r="118" spans="1:26" x14ac:dyDescent="0.5">
      <c r="A118" s="1739"/>
      <c r="N118" s="1834"/>
      <c r="O118" s="1739"/>
      <c r="Z118" s="1739"/>
    </row>
    <row r="119" spans="1:26" x14ac:dyDescent="0.5">
      <c r="A119" s="1739"/>
      <c r="N119" s="1834"/>
      <c r="O119" s="1739"/>
      <c r="Z119" s="1739"/>
    </row>
    <row r="120" spans="1:26" x14ac:dyDescent="0.5">
      <c r="A120" s="1739"/>
      <c r="N120" s="1834"/>
      <c r="O120" s="1739"/>
      <c r="Z120" s="1739"/>
    </row>
    <row r="121" spans="1:26" x14ac:dyDescent="0.5">
      <c r="A121" s="1739"/>
      <c r="N121" s="1834"/>
      <c r="O121" s="1739"/>
      <c r="Z121" s="1739"/>
    </row>
    <row r="122" spans="1:26" x14ac:dyDescent="0.5">
      <c r="A122" s="1739"/>
      <c r="N122" s="1834"/>
      <c r="O122" s="1739"/>
      <c r="Z122" s="1739"/>
    </row>
    <row r="123" spans="1:26" x14ac:dyDescent="0.5">
      <c r="A123" s="1739"/>
      <c r="N123" s="1834"/>
      <c r="O123" s="1739"/>
      <c r="Z123" s="1739"/>
    </row>
    <row r="124" spans="1:26" x14ac:dyDescent="0.5">
      <c r="A124" s="1739"/>
      <c r="N124" s="1834"/>
      <c r="O124" s="1739"/>
      <c r="Z124" s="1739"/>
    </row>
    <row r="125" spans="1:26" x14ac:dyDescent="0.5">
      <c r="A125" s="1739"/>
      <c r="N125" s="1834"/>
      <c r="O125" s="1739"/>
      <c r="Z125" s="1739"/>
    </row>
    <row r="126" spans="1:26" x14ac:dyDescent="0.5">
      <c r="A126" s="1739"/>
      <c r="N126" s="1834"/>
      <c r="O126" s="1739"/>
      <c r="Z126" s="1739"/>
    </row>
    <row r="127" spans="1:26" x14ac:dyDescent="0.5">
      <c r="A127" s="1739"/>
      <c r="N127" s="1834"/>
      <c r="O127" s="1739"/>
      <c r="Z127" s="1739"/>
    </row>
    <row r="128" spans="1:26" x14ac:dyDescent="0.5">
      <c r="A128" s="1739"/>
      <c r="N128" s="1834"/>
      <c r="O128" s="1739"/>
      <c r="Z128" s="1739"/>
    </row>
    <row r="129" spans="1:26" x14ac:dyDescent="0.5">
      <c r="A129" s="1739"/>
      <c r="N129" s="1834"/>
      <c r="O129" s="1739"/>
      <c r="Z129" s="1739"/>
    </row>
    <row r="130" spans="1:26" x14ac:dyDescent="0.5">
      <c r="A130" s="1739"/>
      <c r="N130" s="1834"/>
      <c r="O130" s="1739"/>
      <c r="Z130" s="1739"/>
    </row>
    <row r="131" spans="1:26" x14ac:dyDescent="0.5">
      <c r="A131" s="1739"/>
      <c r="N131" s="1834"/>
      <c r="O131" s="1739"/>
      <c r="Z131" s="1739"/>
    </row>
    <row r="132" spans="1:26" x14ac:dyDescent="0.5">
      <c r="A132" s="1739"/>
      <c r="N132" s="1834"/>
      <c r="O132" s="1739"/>
      <c r="Z132" s="1739"/>
    </row>
    <row r="133" spans="1:26" x14ac:dyDescent="0.5">
      <c r="A133" s="1739"/>
      <c r="N133" s="1834"/>
      <c r="O133" s="1739"/>
      <c r="Z133" s="1739"/>
    </row>
    <row r="134" spans="1:26" x14ac:dyDescent="0.5">
      <c r="A134" s="1739"/>
      <c r="N134" s="1834"/>
      <c r="O134" s="1739"/>
      <c r="Z134" s="1739"/>
    </row>
    <row r="135" spans="1:26" x14ac:dyDescent="0.5">
      <c r="A135" s="1739"/>
      <c r="N135" s="1834"/>
      <c r="O135" s="1739"/>
      <c r="Z135" s="1739"/>
    </row>
    <row r="136" spans="1:26" x14ac:dyDescent="0.5">
      <c r="A136" s="1739"/>
      <c r="N136" s="1834"/>
      <c r="O136" s="1739"/>
      <c r="Z136" s="1739"/>
    </row>
    <row r="137" spans="1:26" x14ac:dyDescent="0.5">
      <c r="A137" s="1739"/>
      <c r="N137" s="1834"/>
      <c r="O137" s="1739"/>
      <c r="Z137" s="1739"/>
    </row>
    <row r="138" spans="1:26" x14ac:dyDescent="0.5">
      <c r="A138" s="1739"/>
      <c r="N138" s="1834"/>
      <c r="O138" s="1739"/>
      <c r="Z138" s="1739"/>
    </row>
    <row r="139" spans="1:26" x14ac:dyDescent="0.5">
      <c r="A139" s="1739"/>
      <c r="N139" s="1834"/>
      <c r="O139" s="1739"/>
      <c r="Z139" s="1739"/>
    </row>
    <row r="140" spans="1:26" x14ac:dyDescent="0.5">
      <c r="A140" s="1739"/>
      <c r="N140" s="1834"/>
      <c r="O140" s="1739"/>
      <c r="Z140" s="1739"/>
    </row>
    <row r="141" spans="1:26" x14ac:dyDescent="0.5">
      <c r="A141" s="1739"/>
      <c r="N141" s="1834"/>
      <c r="O141" s="1739"/>
      <c r="Z141" s="1739"/>
    </row>
    <row r="142" spans="1:26" x14ac:dyDescent="0.5">
      <c r="A142" s="1739"/>
      <c r="N142" s="1834"/>
      <c r="O142" s="1739"/>
      <c r="Z142" s="1739"/>
    </row>
    <row r="143" spans="1:26" x14ac:dyDescent="0.5">
      <c r="A143" s="1739"/>
      <c r="N143" s="1834"/>
      <c r="O143" s="1739"/>
      <c r="Z143" s="1739"/>
    </row>
    <row r="144" spans="1:26" x14ac:dyDescent="0.5">
      <c r="A144" s="1739"/>
      <c r="N144" s="1834"/>
      <c r="O144" s="1739"/>
      <c r="Z144" s="1739"/>
    </row>
    <row r="145" spans="1:26" x14ac:dyDescent="0.5">
      <c r="A145" s="1739"/>
      <c r="N145" s="1834"/>
      <c r="O145" s="1739"/>
      <c r="Z145" s="1739"/>
    </row>
    <row r="146" spans="1:26" x14ac:dyDescent="0.5">
      <c r="A146" s="1739"/>
      <c r="N146" s="1834"/>
      <c r="O146" s="1739"/>
      <c r="Z146" s="1739"/>
    </row>
    <row r="147" spans="1:26" x14ac:dyDescent="0.5">
      <c r="A147" s="1739"/>
      <c r="N147" s="1834"/>
      <c r="O147" s="1739"/>
      <c r="Z147" s="1739"/>
    </row>
    <row r="148" spans="1:26" x14ac:dyDescent="0.5">
      <c r="A148" s="1739"/>
      <c r="N148" s="1834"/>
      <c r="O148" s="1739"/>
      <c r="Z148" s="1739"/>
    </row>
    <row r="149" spans="1:26" x14ac:dyDescent="0.5">
      <c r="A149" s="1739"/>
      <c r="N149" s="1834"/>
      <c r="O149" s="1739"/>
      <c r="Z149" s="1739"/>
    </row>
    <row r="150" spans="1:26" x14ac:dyDescent="0.5">
      <c r="A150" s="1739"/>
      <c r="N150" s="1834"/>
      <c r="O150" s="1739"/>
      <c r="Z150" s="1739"/>
    </row>
    <row r="151" spans="1:26" x14ac:dyDescent="0.5">
      <c r="A151" s="1739"/>
      <c r="N151" s="1834"/>
      <c r="O151" s="1739"/>
      <c r="Z151" s="1739"/>
    </row>
    <row r="152" spans="1:26" x14ac:dyDescent="0.5">
      <c r="A152" s="1739"/>
      <c r="N152" s="1834"/>
      <c r="O152" s="1739"/>
      <c r="Z152" s="1739"/>
    </row>
    <row r="153" spans="1:26" x14ac:dyDescent="0.5">
      <c r="A153" s="1739"/>
      <c r="N153" s="1834"/>
      <c r="O153" s="1739"/>
      <c r="Z153" s="1739"/>
    </row>
    <row r="154" spans="1:26" x14ac:dyDescent="0.5">
      <c r="A154" s="1739"/>
      <c r="N154" s="1834"/>
      <c r="O154" s="1739"/>
      <c r="Z154" s="1739"/>
    </row>
    <row r="155" spans="1:26" x14ac:dyDescent="0.5">
      <c r="A155" s="1739"/>
      <c r="N155" s="1834"/>
      <c r="O155" s="1739"/>
      <c r="Z155" s="1739"/>
    </row>
    <row r="156" spans="1:26" x14ac:dyDescent="0.5">
      <c r="A156" s="1739"/>
      <c r="N156" s="1834"/>
      <c r="O156" s="1739"/>
      <c r="Z156" s="1739"/>
    </row>
    <row r="157" spans="1:26" x14ac:dyDescent="0.5">
      <c r="A157" s="1739"/>
      <c r="N157" s="1834"/>
      <c r="O157" s="1739"/>
      <c r="Z157" s="1739"/>
    </row>
    <row r="158" spans="1:26" x14ac:dyDescent="0.5">
      <c r="A158" s="1739"/>
      <c r="N158" s="1834"/>
      <c r="O158" s="1739"/>
      <c r="Z158" s="1739"/>
    </row>
    <row r="159" spans="1:26" x14ac:dyDescent="0.5">
      <c r="A159" s="1739"/>
      <c r="N159" s="1834"/>
      <c r="O159" s="1739"/>
      <c r="Z159" s="1739"/>
    </row>
    <row r="160" spans="1:26" x14ac:dyDescent="0.5">
      <c r="A160" s="1739"/>
      <c r="N160" s="1834"/>
      <c r="O160" s="1739"/>
      <c r="Z160" s="1739"/>
    </row>
    <row r="161" spans="1:26" x14ac:dyDescent="0.5">
      <c r="A161" s="1739"/>
      <c r="N161" s="1834"/>
      <c r="O161" s="1739"/>
      <c r="Z161" s="1739"/>
    </row>
    <row r="162" spans="1:26" x14ac:dyDescent="0.5">
      <c r="A162" s="1739"/>
      <c r="N162" s="1834"/>
      <c r="O162" s="1739"/>
      <c r="Z162" s="1739"/>
    </row>
    <row r="163" spans="1:26" x14ac:dyDescent="0.5">
      <c r="A163" s="1739"/>
      <c r="N163" s="1834"/>
      <c r="O163" s="1739"/>
      <c r="Z163" s="1739"/>
    </row>
    <row r="164" spans="1:26" x14ac:dyDescent="0.5">
      <c r="A164" s="1739"/>
      <c r="N164" s="1834"/>
      <c r="O164" s="1739"/>
      <c r="Z164" s="1739"/>
    </row>
    <row r="165" spans="1:26" x14ac:dyDescent="0.5">
      <c r="A165" s="1739"/>
      <c r="N165" s="1834"/>
      <c r="O165" s="1739"/>
      <c r="Z165" s="1739"/>
    </row>
    <row r="166" spans="1:26" x14ac:dyDescent="0.5">
      <c r="A166" s="1739"/>
      <c r="N166" s="1834"/>
      <c r="O166" s="1739"/>
      <c r="Z166" s="1739"/>
    </row>
    <row r="167" spans="1:26" x14ac:dyDescent="0.5">
      <c r="A167" s="1739"/>
      <c r="N167" s="1834"/>
      <c r="O167" s="1739"/>
      <c r="Z167" s="1739"/>
    </row>
    <row r="168" spans="1:26" x14ac:dyDescent="0.5">
      <c r="A168" s="1739"/>
      <c r="N168" s="1834"/>
      <c r="O168" s="1739"/>
      <c r="Z168" s="1739"/>
    </row>
    <row r="169" spans="1:26" x14ac:dyDescent="0.5">
      <c r="A169" s="1739"/>
      <c r="N169" s="1834"/>
      <c r="O169" s="1739"/>
      <c r="Z169" s="1739"/>
    </row>
    <row r="170" spans="1:26" x14ac:dyDescent="0.5">
      <c r="A170" s="1739"/>
      <c r="N170" s="1834"/>
      <c r="O170" s="1739"/>
      <c r="Z170" s="1739"/>
    </row>
    <row r="171" spans="1:26" x14ac:dyDescent="0.5">
      <c r="A171" s="1739"/>
      <c r="N171" s="1834"/>
      <c r="O171" s="1739"/>
      <c r="Z171" s="1739"/>
    </row>
    <row r="172" spans="1:26" x14ac:dyDescent="0.5">
      <c r="A172" s="1739"/>
      <c r="N172" s="1834"/>
      <c r="O172" s="1739"/>
      <c r="Z172" s="1739"/>
    </row>
    <row r="173" spans="1:26" x14ac:dyDescent="0.5">
      <c r="A173" s="1739"/>
      <c r="N173" s="1834"/>
      <c r="O173" s="1739"/>
      <c r="Z173" s="1739"/>
    </row>
    <row r="174" spans="1:26" x14ac:dyDescent="0.5">
      <c r="A174" s="1739"/>
      <c r="N174" s="1834"/>
      <c r="O174" s="1739"/>
      <c r="Z174" s="1739"/>
    </row>
    <row r="175" spans="1:26" x14ac:dyDescent="0.5">
      <c r="A175" s="1739"/>
      <c r="N175" s="1834"/>
      <c r="O175" s="1739"/>
      <c r="Z175" s="1739"/>
    </row>
    <row r="176" spans="1:26" x14ac:dyDescent="0.5">
      <c r="A176" s="1739"/>
      <c r="N176" s="1834"/>
      <c r="O176" s="1739"/>
      <c r="Z176" s="1739"/>
    </row>
    <row r="177" spans="1:26" x14ac:dyDescent="0.5">
      <c r="A177" s="1739"/>
      <c r="N177" s="1834"/>
      <c r="O177" s="1739"/>
      <c r="Z177" s="1739"/>
    </row>
    <row r="178" spans="1:26" x14ac:dyDescent="0.5">
      <c r="A178" s="1739"/>
      <c r="N178" s="1834"/>
      <c r="O178" s="1739"/>
      <c r="Z178" s="1739"/>
    </row>
    <row r="179" spans="1:26" x14ac:dyDescent="0.5">
      <c r="A179" s="1739"/>
      <c r="N179" s="1834"/>
      <c r="O179" s="1739"/>
      <c r="Z179" s="1739"/>
    </row>
    <row r="180" spans="1:26" x14ac:dyDescent="0.5">
      <c r="A180" s="1739"/>
      <c r="N180" s="1834"/>
      <c r="O180" s="1739"/>
      <c r="Z180" s="1739"/>
    </row>
    <row r="181" spans="1:26" x14ac:dyDescent="0.5">
      <c r="A181" s="1739"/>
      <c r="N181" s="1834"/>
      <c r="O181" s="1739"/>
      <c r="Z181" s="1739"/>
    </row>
    <row r="182" spans="1:26" x14ac:dyDescent="0.5">
      <c r="A182" s="1739"/>
      <c r="N182" s="1834"/>
      <c r="O182" s="1739"/>
      <c r="Z182" s="1739"/>
    </row>
    <row r="183" spans="1:26" x14ac:dyDescent="0.5">
      <c r="A183" s="1739"/>
      <c r="N183" s="1834"/>
      <c r="O183" s="1739"/>
      <c r="Z183" s="1739"/>
    </row>
    <row r="184" spans="1:26" x14ac:dyDescent="0.5">
      <c r="A184" s="1739"/>
      <c r="N184" s="1834"/>
      <c r="O184" s="1739"/>
      <c r="Z184" s="1739"/>
    </row>
    <row r="185" spans="1:26" x14ac:dyDescent="0.5">
      <c r="A185" s="1739"/>
      <c r="N185" s="1834"/>
      <c r="O185" s="1739"/>
      <c r="Z185" s="1739"/>
    </row>
    <row r="186" spans="1:26" x14ac:dyDescent="0.5">
      <c r="A186" s="1739"/>
      <c r="N186" s="1834"/>
      <c r="O186" s="1739"/>
      <c r="Z186" s="1739"/>
    </row>
    <row r="187" spans="1:26" x14ac:dyDescent="0.5">
      <c r="A187" s="1739"/>
      <c r="N187" s="1834"/>
      <c r="O187" s="1739"/>
      <c r="Z187" s="1739"/>
    </row>
    <row r="188" spans="1:26" x14ac:dyDescent="0.5">
      <c r="A188" s="1739"/>
      <c r="N188" s="1834"/>
      <c r="O188" s="1739"/>
      <c r="Z188" s="1739"/>
    </row>
    <row r="189" spans="1:26" x14ac:dyDescent="0.5">
      <c r="A189" s="1739"/>
      <c r="N189" s="1834"/>
      <c r="O189" s="1739"/>
      <c r="Z189" s="1739"/>
    </row>
    <row r="190" spans="1:26" x14ac:dyDescent="0.5">
      <c r="A190" s="1739"/>
      <c r="N190" s="1834"/>
      <c r="O190" s="1739"/>
      <c r="Z190" s="1739"/>
    </row>
    <row r="191" spans="1:26" x14ac:dyDescent="0.5">
      <c r="A191" s="1739"/>
      <c r="N191" s="1834"/>
      <c r="O191" s="1739"/>
      <c r="Z191" s="1739"/>
    </row>
    <row r="192" spans="1:26" x14ac:dyDescent="0.5">
      <c r="A192" s="1739"/>
      <c r="N192" s="1834"/>
      <c r="O192" s="1739"/>
      <c r="Z192" s="1739"/>
    </row>
    <row r="193" spans="1:26" x14ac:dyDescent="0.5">
      <c r="A193" s="1739"/>
      <c r="N193" s="1834"/>
      <c r="O193" s="1739"/>
      <c r="Z193" s="1739"/>
    </row>
    <row r="194" spans="1:26" x14ac:dyDescent="0.5">
      <c r="A194" s="1739"/>
      <c r="N194" s="1834"/>
      <c r="O194" s="1739"/>
      <c r="Z194" s="1739"/>
    </row>
    <row r="195" spans="1:26" x14ac:dyDescent="0.5">
      <c r="A195" s="1739"/>
      <c r="N195" s="1834"/>
      <c r="O195" s="1739"/>
      <c r="Z195" s="1739"/>
    </row>
    <row r="196" spans="1:26" x14ac:dyDescent="0.5">
      <c r="A196" s="1739"/>
      <c r="N196" s="1834"/>
      <c r="O196" s="1739"/>
      <c r="Z196" s="1739"/>
    </row>
    <row r="197" spans="1:26" x14ac:dyDescent="0.5">
      <c r="A197" s="1739"/>
      <c r="N197" s="1834"/>
      <c r="O197" s="1739"/>
      <c r="Z197" s="1739"/>
    </row>
    <row r="198" spans="1:26" x14ac:dyDescent="0.5">
      <c r="A198" s="1739"/>
      <c r="N198" s="1834"/>
      <c r="O198" s="1739"/>
      <c r="Z198" s="1739"/>
    </row>
    <row r="199" spans="1:26" x14ac:dyDescent="0.5">
      <c r="A199" s="1739"/>
      <c r="N199" s="1834"/>
      <c r="O199" s="1739"/>
      <c r="Z199" s="1739"/>
    </row>
    <row r="200" spans="1:26" x14ac:dyDescent="0.5">
      <c r="A200" s="1739"/>
      <c r="N200" s="1834"/>
      <c r="O200" s="1739"/>
      <c r="Z200" s="1739"/>
    </row>
    <row r="201" spans="1:26" x14ac:dyDescent="0.5">
      <c r="A201" s="1739"/>
      <c r="N201" s="1834"/>
      <c r="O201" s="1739"/>
      <c r="Z201" s="1739"/>
    </row>
    <row r="202" spans="1:26" x14ac:dyDescent="0.5">
      <c r="A202" s="1739"/>
      <c r="N202" s="1834"/>
      <c r="O202" s="1739"/>
      <c r="Z202" s="1739"/>
    </row>
    <row r="203" spans="1:26" x14ac:dyDescent="0.5">
      <c r="A203" s="1739"/>
      <c r="N203" s="1834"/>
      <c r="O203" s="1739"/>
      <c r="Z203" s="1739"/>
    </row>
    <row r="204" spans="1:26" x14ac:dyDescent="0.5">
      <c r="A204" s="1739"/>
      <c r="N204" s="1834"/>
      <c r="O204" s="1739"/>
      <c r="Z204" s="1739"/>
    </row>
    <row r="205" spans="1:26" x14ac:dyDescent="0.5">
      <c r="A205" s="1739"/>
      <c r="N205" s="1834"/>
      <c r="O205" s="1739"/>
      <c r="Z205" s="1739"/>
    </row>
    <row r="206" spans="1:26" x14ac:dyDescent="0.5">
      <c r="A206" s="1739"/>
      <c r="N206" s="1834"/>
      <c r="O206" s="1739"/>
      <c r="Z206" s="1739"/>
    </row>
    <row r="207" spans="1:26" x14ac:dyDescent="0.5">
      <c r="A207" s="1739"/>
      <c r="N207" s="1834"/>
      <c r="O207" s="1739"/>
      <c r="Z207" s="1739"/>
    </row>
    <row r="208" spans="1:26" x14ac:dyDescent="0.5">
      <c r="A208" s="1739"/>
      <c r="N208" s="1834"/>
      <c r="O208" s="1739"/>
      <c r="Z208" s="1739"/>
    </row>
    <row r="209" spans="1:26" x14ac:dyDescent="0.5">
      <c r="A209" s="1739"/>
      <c r="N209" s="1834"/>
      <c r="O209" s="1739"/>
      <c r="Z209" s="1739"/>
    </row>
    <row r="210" spans="1:26" x14ac:dyDescent="0.5">
      <c r="A210" s="1739"/>
      <c r="N210" s="1834"/>
      <c r="O210" s="1739"/>
      <c r="Z210" s="1739"/>
    </row>
    <row r="211" spans="1:26" x14ac:dyDescent="0.5">
      <c r="A211" s="1739"/>
      <c r="N211" s="1834"/>
      <c r="O211" s="1739"/>
      <c r="Z211" s="1739"/>
    </row>
    <row r="212" spans="1:26" x14ac:dyDescent="0.5">
      <c r="A212" s="1739"/>
      <c r="N212" s="1834"/>
      <c r="O212" s="1739"/>
      <c r="Z212" s="1739"/>
    </row>
    <row r="213" spans="1:26" x14ac:dyDescent="0.5">
      <c r="A213" s="1739"/>
      <c r="N213" s="1834"/>
      <c r="O213" s="1739"/>
      <c r="Z213" s="1739"/>
    </row>
    <row r="214" spans="1:26" x14ac:dyDescent="0.5">
      <c r="A214" s="1739"/>
      <c r="N214" s="1834"/>
      <c r="O214" s="1739"/>
      <c r="Z214" s="1739"/>
    </row>
    <row r="215" spans="1:26" x14ac:dyDescent="0.5">
      <c r="A215" s="1739"/>
      <c r="N215" s="1834"/>
      <c r="O215" s="1739"/>
      <c r="Z215" s="1739"/>
    </row>
    <row r="216" spans="1:26" x14ac:dyDescent="0.5">
      <c r="A216" s="1739"/>
      <c r="N216" s="1834"/>
      <c r="O216" s="1739"/>
      <c r="Z216" s="1739"/>
    </row>
    <row r="217" spans="1:26" x14ac:dyDescent="0.5">
      <c r="A217" s="1739"/>
      <c r="N217" s="1834"/>
      <c r="O217" s="1739"/>
      <c r="Z217" s="1739"/>
    </row>
    <row r="218" spans="1:26" x14ac:dyDescent="0.5">
      <c r="A218" s="1739"/>
      <c r="N218" s="1834"/>
      <c r="O218" s="1739"/>
      <c r="Z218" s="1739"/>
    </row>
    <row r="219" spans="1:26" x14ac:dyDescent="0.5">
      <c r="A219" s="1739"/>
      <c r="N219" s="1834"/>
      <c r="O219" s="1739"/>
      <c r="Z219" s="1739"/>
    </row>
    <row r="220" spans="1:26" x14ac:dyDescent="0.5">
      <c r="A220" s="1739"/>
      <c r="N220" s="1834"/>
      <c r="O220" s="1739"/>
      <c r="Z220" s="1739"/>
    </row>
    <row r="221" spans="1:26" x14ac:dyDescent="0.5">
      <c r="A221" s="1739"/>
      <c r="N221" s="1834"/>
      <c r="O221" s="1739"/>
      <c r="Z221" s="1739"/>
    </row>
    <row r="222" spans="1:26" x14ac:dyDescent="0.5">
      <c r="A222" s="1739"/>
      <c r="N222" s="1834"/>
      <c r="O222" s="1739"/>
      <c r="Z222" s="1739"/>
    </row>
    <row r="223" spans="1:26" x14ac:dyDescent="0.5">
      <c r="A223" s="1739"/>
      <c r="N223" s="1834"/>
      <c r="O223" s="1739"/>
      <c r="Z223" s="1739"/>
    </row>
    <row r="224" spans="1:26" x14ac:dyDescent="0.5">
      <c r="A224" s="1739"/>
      <c r="N224" s="1834"/>
      <c r="O224" s="1739"/>
      <c r="Z224" s="1739"/>
    </row>
    <row r="225" spans="1:26" x14ac:dyDescent="0.5">
      <c r="A225" s="1739"/>
      <c r="N225" s="1834"/>
      <c r="O225" s="1739"/>
      <c r="Z225" s="1739"/>
    </row>
    <row r="226" spans="1:26" x14ac:dyDescent="0.5">
      <c r="A226" s="1739"/>
      <c r="N226" s="1834"/>
      <c r="O226" s="1739"/>
      <c r="Z226" s="1739"/>
    </row>
    <row r="227" spans="1:26" x14ac:dyDescent="0.5">
      <c r="A227" s="1739"/>
      <c r="N227" s="1834"/>
      <c r="O227" s="1739"/>
      <c r="Z227" s="1739"/>
    </row>
    <row r="228" spans="1:26" x14ac:dyDescent="0.5">
      <c r="A228" s="1739"/>
      <c r="N228" s="1834"/>
      <c r="O228" s="1739"/>
      <c r="Z228" s="1739"/>
    </row>
    <row r="229" spans="1:26" x14ac:dyDescent="0.5">
      <c r="A229" s="1739"/>
      <c r="N229" s="1834"/>
      <c r="O229" s="1739"/>
      <c r="Z229" s="1739"/>
    </row>
    <row r="230" spans="1:26" x14ac:dyDescent="0.5">
      <c r="A230" s="1739"/>
      <c r="N230" s="1834"/>
      <c r="O230" s="1739"/>
      <c r="Z230" s="1739"/>
    </row>
    <row r="231" spans="1:26" x14ac:dyDescent="0.5">
      <c r="A231" s="1739"/>
      <c r="N231" s="1834"/>
      <c r="O231" s="1739"/>
      <c r="Z231" s="1739"/>
    </row>
    <row r="232" spans="1:26" x14ac:dyDescent="0.5">
      <c r="A232" s="1739"/>
      <c r="N232" s="1834"/>
      <c r="O232" s="1739"/>
      <c r="Z232" s="1739"/>
    </row>
    <row r="233" spans="1:26" x14ac:dyDescent="0.5">
      <c r="A233" s="1739"/>
      <c r="N233" s="1834"/>
      <c r="O233" s="1739"/>
      <c r="Z233" s="1739"/>
    </row>
    <row r="234" spans="1:26" x14ac:dyDescent="0.5">
      <c r="A234" s="1739"/>
      <c r="N234" s="1834"/>
      <c r="O234" s="1739"/>
      <c r="Z234" s="1739"/>
    </row>
    <row r="235" spans="1:26" x14ac:dyDescent="0.5">
      <c r="A235" s="1739"/>
      <c r="N235" s="1834"/>
      <c r="O235" s="1739"/>
      <c r="Z235" s="1739"/>
    </row>
    <row r="236" spans="1:26" x14ac:dyDescent="0.5">
      <c r="A236" s="1739"/>
      <c r="N236" s="1834"/>
      <c r="O236" s="1739"/>
      <c r="Z236" s="1739"/>
    </row>
    <row r="237" spans="1:26" x14ac:dyDescent="0.5">
      <c r="A237" s="1739"/>
      <c r="N237" s="1834"/>
      <c r="O237" s="1739"/>
      <c r="Z237" s="1739"/>
    </row>
    <row r="238" spans="1:26" x14ac:dyDescent="0.5">
      <c r="A238" s="1739"/>
      <c r="N238" s="1834"/>
      <c r="O238" s="1739"/>
      <c r="Z238" s="1739"/>
    </row>
    <row r="239" spans="1:26" x14ac:dyDescent="0.5">
      <c r="A239" s="1739"/>
      <c r="N239" s="1834"/>
      <c r="O239" s="1739"/>
      <c r="Z239" s="1739"/>
    </row>
    <row r="240" spans="1:26" x14ac:dyDescent="0.5">
      <c r="A240" s="1739"/>
      <c r="N240" s="1834"/>
      <c r="O240" s="1739"/>
      <c r="Z240" s="1739"/>
    </row>
    <row r="241" spans="1:26" x14ac:dyDescent="0.5">
      <c r="A241" s="1739"/>
      <c r="N241" s="1834"/>
      <c r="O241" s="1739"/>
      <c r="Z241" s="1739"/>
    </row>
    <row r="242" spans="1:26" x14ac:dyDescent="0.5">
      <c r="A242" s="1739"/>
      <c r="N242" s="1834"/>
      <c r="O242" s="1739"/>
      <c r="Z242" s="1739"/>
    </row>
    <row r="243" spans="1:26" x14ac:dyDescent="0.5">
      <c r="A243" s="1739"/>
      <c r="N243" s="1834"/>
      <c r="O243" s="1739"/>
      <c r="Z243" s="1739"/>
    </row>
    <row r="244" spans="1:26" x14ac:dyDescent="0.5">
      <c r="A244" s="1739"/>
      <c r="N244" s="1834"/>
      <c r="O244" s="1739"/>
      <c r="Z244" s="1739"/>
    </row>
    <row r="245" spans="1:26" x14ac:dyDescent="0.5">
      <c r="A245" s="1739"/>
      <c r="N245" s="1834"/>
      <c r="O245" s="1739"/>
      <c r="Z245" s="1739"/>
    </row>
    <row r="246" spans="1:26" x14ac:dyDescent="0.5">
      <c r="A246" s="1739"/>
      <c r="N246" s="1834"/>
      <c r="O246" s="1739"/>
      <c r="Z246" s="1739"/>
    </row>
    <row r="247" spans="1:26" x14ac:dyDescent="0.5">
      <c r="A247" s="1739"/>
      <c r="N247" s="1834"/>
      <c r="O247" s="1739"/>
      <c r="Z247" s="1739"/>
    </row>
    <row r="248" spans="1:26" x14ac:dyDescent="0.5">
      <c r="A248" s="1739"/>
      <c r="N248" s="1834"/>
      <c r="O248" s="1739"/>
      <c r="Z248" s="1739"/>
    </row>
    <row r="249" spans="1:26" x14ac:dyDescent="0.5">
      <c r="A249" s="1739"/>
      <c r="N249" s="1834"/>
      <c r="O249" s="1739"/>
      <c r="Z249" s="1739"/>
    </row>
    <row r="250" spans="1:26" x14ac:dyDescent="0.5">
      <c r="A250" s="1739"/>
      <c r="N250" s="1834"/>
      <c r="O250" s="1739"/>
      <c r="Z250" s="1739"/>
    </row>
    <row r="251" spans="1:26" x14ac:dyDescent="0.5">
      <c r="A251" s="1739"/>
      <c r="N251" s="1834"/>
      <c r="O251" s="1739"/>
      <c r="Z251" s="1739"/>
    </row>
    <row r="252" spans="1:26" x14ac:dyDescent="0.5">
      <c r="A252" s="1739"/>
      <c r="N252" s="1834"/>
      <c r="O252" s="1739"/>
      <c r="Z252" s="1739"/>
    </row>
    <row r="253" spans="1:26" x14ac:dyDescent="0.5">
      <c r="A253" s="1739"/>
      <c r="N253" s="1834"/>
      <c r="O253" s="1739"/>
      <c r="Z253" s="1739"/>
    </row>
    <row r="254" spans="1:26" x14ac:dyDescent="0.5">
      <c r="A254" s="1739"/>
      <c r="N254" s="1834"/>
      <c r="O254" s="1739"/>
      <c r="Z254" s="1739"/>
    </row>
    <row r="255" spans="1:26" x14ac:dyDescent="0.5">
      <c r="A255" s="1739"/>
      <c r="N255" s="1834"/>
      <c r="O255" s="1739"/>
      <c r="Z255" s="1739"/>
    </row>
    <row r="256" spans="1:26" x14ac:dyDescent="0.5">
      <c r="A256" s="1739"/>
      <c r="N256" s="1834"/>
      <c r="O256" s="1739"/>
      <c r="Z256" s="1739"/>
    </row>
    <row r="257" spans="1:26" x14ac:dyDescent="0.5">
      <c r="A257" s="1739"/>
      <c r="N257" s="1834"/>
      <c r="O257" s="1739"/>
      <c r="Z257" s="1739"/>
    </row>
    <row r="258" spans="1:26" x14ac:dyDescent="0.5">
      <c r="A258" s="1739"/>
      <c r="N258" s="1834"/>
      <c r="O258" s="1739"/>
      <c r="Z258" s="1739"/>
    </row>
    <row r="259" spans="1:26" x14ac:dyDescent="0.5">
      <c r="A259" s="1739"/>
      <c r="N259" s="1834"/>
      <c r="O259" s="1739"/>
      <c r="Z259" s="1739"/>
    </row>
    <row r="260" spans="1:26" x14ac:dyDescent="0.5">
      <c r="A260" s="1739"/>
      <c r="N260" s="1834"/>
      <c r="O260" s="1739"/>
      <c r="Z260" s="1739"/>
    </row>
    <row r="261" spans="1:26" x14ac:dyDescent="0.5">
      <c r="A261" s="1739"/>
      <c r="N261" s="1834"/>
      <c r="O261" s="1739"/>
      <c r="Z261" s="1739"/>
    </row>
    <row r="262" spans="1:26" x14ac:dyDescent="0.5">
      <c r="A262" s="1739"/>
      <c r="N262" s="1834"/>
      <c r="O262" s="1739"/>
      <c r="Z262" s="1739"/>
    </row>
    <row r="263" spans="1:26" x14ac:dyDescent="0.5">
      <c r="A263" s="1739"/>
      <c r="N263" s="1834"/>
      <c r="O263" s="1739"/>
      <c r="Z263" s="1739"/>
    </row>
    <row r="264" spans="1:26" x14ac:dyDescent="0.5">
      <c r="A264" s="1739"/>
      <c r="N264" s="1834"/>
      <c r="O264" s="1739"/>
      <c r="Z264" s="1739"/>
    </row>
    <row r="265" spans="1:26" x14ac:dyDescent="0.5">
      <c r="A265" s="1739"/>
      <c r="N265" s="1834"/>
      <c r="O265" s="1739"/>
      <c r="Z265" s="1739"/>
    </row>
    <row r="266" spans="1:26" x14ac:dyDescent="0.5">
      <c r="A266" s="1739"/>
      <c r="N266" s="1834"/>
      <c r="O266" s="1739"/>
      <c r="Z266" s="1739"/>
    </row>
    <row r="267" spans="1:26" x14ac:dyDescent="0.5">
      <c r="A267" s="1739"/>
      <c r="N267" s="1834"/>
      <c r="O267" s="1739"/>
      <c r="Z267" s="1739"/>
    </row>
    <row r="268" spans="1:26" x14ac:dyDescent="0.5">
      <c r="A268" s="1739"/>
      <c r="N268" s="1834"/>
      <c r="O268" s="1739"/>
      <c r="Z268" s="1739"/>
    </row>
    <row r="269" spans="1:26" x14ac:dyDescent="0.5">
      <c r="A269" s="1739"/>
      <c r="N269" s="1834"/>
      <c r="O269" s="1739"/>
      <c r="Z269" s="1739"/>
    </row>
    <row r="270" spans="1:26" x14ac:dyDescent="0.5">
      <c r="A270" s="1739"/>
      <c r="N270" s="1834"/>
      <c r="O270" s="1739"/>
      <c r="Z270" s="1739"/>
    </row>
    <row r="271" spans="1:26" x14ac:dyDescent="0.5">
      <c r="A271" s="1739"/>
      <c r="N271" s="1834"/>
      <c r="O271" s="1739"/>
      <c r="Z271" s="1739"/>
    </row>
    <row r="272" spans="1:26" x14ac:dyDescent="0.5">
      <c r="A272" s="1739"/>
      <c r="N272" s="1834"/>
      <c r="O272" s="1739"/>
      <c r="Z272" s="1739"/>
    </row>
    <row r="273" spans="1:26" x14ac:dyDescent="0.5">
      <c r="A273" s="1739"/>
      <c r="N273" s="1834"/>
      <c r="O273" s="1739"/>
      <c r="Z273" s="1739"/>
    </row>
    <row r="274" spans="1:26" x14ac:dyDescent="0.5">
      <c r="A274" s="1739"/>
      <c r="N274" s="1834"/>
      <c r="O274" s="1739"/>
      <c r="Z274" s="1739"/>
    </row>
    <row r="275" spans="1:26" x14ac:dyDescent="0.5">
      <c r="A275" s="1739"/>
      <c r="N275" s="1834"/>
      <c r="O275" s="1739"/>
      <c r="Z275" s="1739"/>
    </row>
    <row r="276" spans="1:26" x14ac:dyDescent="0.5">
      <c r="A276" s="1739"/>
      <c r="N276" s="1834"/>
      <c r="O276" s="1739"/>
      <c r="Z276" s="1739"/>
    </row>
    <row r="277" spans="1:26" x14ac:dyDescent="0.5">
      <c r="A277" s="1739"/>
      <c r="N277" s="1834"/>
      <c r="O277" s="1739"/>
      <c r="Z277" s="1739"/>
    </row>
    <row r="278" spans="1:26" x14ac:dyDescent="0.5">
      <c r="A278" s="1739"/>
      <c r="N278" s="1834"/>
      <c r="O278" s="1739"/>
      <c r="Z278" s="1739"/>
    </row>
    <row r="279" spans="1:26" x14ac:dyDescent="0.5">
      <c r="A279" s="1739"/>
      <c r="N279" s="1834"/>
      <c r="O279" s="1739"/>
      <c r="Z279" s="1739"/>
    </row>
    <row r="280" spans="1:26" x14ac:dyDescent="0.5">
      <c r="A280" s="1739"/>
      <c r="N280" s="1834"/>
      <c r="O280" s="1739"/>
      <c r="Z280" s="1739"/>
    </row>
    <row r="281" spans="1:26" x14ac:dyDescent="0.5">
      <c r="A281" s="1739"/>
      <c r="N281" s="1834"/>
      <c r="O281" s="1739"/>
      <c r="Z281" s="1739"/>
    </row>
    <row r="282" spans="1:26" x14ac:dyDescent="0.5">
      <c r="A282" s="1739"/>
      <c r="N282" s="1834"/>
      <c r="O282" s="1739"/>
      <c r="Z282" s="1739"/>
    </row>
    <row r="283" spans="1:26" x14ac:dyDescent="0.5">
      <c r="A283" s="1739"/>
      <c r="N283" s="1834"/>
      <c r="O283" s="1739"/>
      <c r="Z283" s="1739"/>
    </row>
    <row r="284" spans="1:26" x14ac:dyDescent="0.5">
      <c r="A284" s="1739"/>
      <c r="N284" s="1834"/>
      <c r="O284" s="1739"/>
      <c r="Z284" s="1739"/>
    </row>
    <row r="285" spans="1:26" x14ac:dyDescent="0.5">
      <c r="A285" s="1739"/>
      <c r="N285" s="1834"/>
      <c r="O285" s="1739"/>
      <c r="Z285" s="1739"/>
    </row>
    <row r="286" spans="1:26" x14ac:dyDescent="0.5">
      <c r="A286" s="1739"/>
      <c r="N286" s="1834"/>
      <c r="O286" s="1739"/>
      <c r="Z286" s="1739"/>
    </row>
    <row r="287" spans="1:26" x14ac:dyDescent="0.5">
      <c r="A287" s="1739"/>
      <c r="N287" s="1834"/>
      <c r="O287" s="1739"/>
      <c r="Z287" s="1739"/>
    </row>
    <row r="288" spans="1:26" x14ac:dyDescent="0.5">
      <c r="A288" s="1739"/>
      <c r="N288" s="1834"/>
      <c r="O288" s="1739"/>
      <c r="Z288" s="1739"/>
    </row>
    <row r="289" spans="1:26" x14ac:dyDescent="0.5">
      <c r="A289" s="1739"/>
      <c r="N289" s="1834"/>
      <c r="O289" s="1739"/>
      <c r="Z289" s="1739"/>
    </row>
    <row r="290" spans="1:26" x14ac:dyDescent="0.5">
      <c r="A290" s="1739"/>
      <c r="N290" s="1834"/>
      <c r="O290" s="1739"/>
      <c r="Z290" s="1739"/>
    </row>
    <row r="291" spans="1:26" x14ac:dyDescent="0.5">
      <c r="A291" s="1739"/>
      <c r="N291" s="1834"/>
      <c r="O291" s="1739"/>
      <c r="Z291" s="1739"/>
    </row>
    <row r="292" spans="1:26" x14ac:dyDescent="0.5">
      <c r="A292" s="1739"/>
      <c r="N292" s="1834"/>
      <c r="O292" s="1739"/>
      <c r="Z292" s="1739"/>
    </row>
    <row r="293" spans="1:26" x14ac:dyDescent="0.5">
      <c r="A293" s="1739"/>
      <c r="N293" s="1834"/>
      <c r="O293" s="1739"/>
      <c r="Z293" s="1739"/>
    </row>
    <row r="294" spans="1:26" x14ac:dyDescent="0.5">
      <c r="A294" s="1739"/>
      <c r="N294" s="1834"/>
      <c r="O294" s="1739"/>
      <c r="Z294" s="1739"/>
    </row>
    <row r="295" spans="1:26" x14ac:dyDescent="0.5">
      <c r="A295" s="1739"/>
      <c r="N295" s="1834"/>
      <c r="O295" s="1739"/>
      <c r="Z295" s="1739"/>
    </row>
    <row r="296" spans="1:26" x14ac:dyDescent="0.5">
      <c r="A296" s="1739"/>
      <c r="N296" s="1834"/>
      <c r="O296" s="1739"/>
      <c r="Z296" s="1739"/>
    </row>
    <row r="297" spans="1:26" x14ac:dyDescent="0.5">
      <c r="A297" s="1739"/>
      <c r="N297" s="1834"/>
      <c r="O297" s="1739"/>
      <c r="Z297" s="1739"/>
    </row>
    <row r="298" spans="1:26" x14ac:dyDescent="0.5">
      <c r="A298" s="1739"/>
      <c r="N298" s="1834"/>
      <c r="O298" s="1739"/>
      <c r="Z298" s="1739"/>
    </row>
    <row r="299" spans="1:26" x14ac:dyDescent="0.5">
      <c r="A299" s="1739"/>
      <c r="N299" s="1834"/>
      <c r="O299" s="1739"/>
      <c r="Z299" s="1739"/>
    </row>
    <row r="300" spans="1:26" x14ac:dyDescent="0.5">
      <c r="A300" s="1739"/>
      <c r="N300" s="1834"/>
      <c r="O300" s="1739"/>
      <c r="Z300" s="1739"/>
    </row>
    <row r="301" spans="1:26" x14ac:dyDescent="0.5">
      <c r="A301" s="1739"/>
      <c r="N301" s="1834"/>
      <c r="O301" s="1739"/>
      <c r="Z301" s="1739"/>
    </row>
    <row r="302" spans="1:26" x14ac:dyDescent="0.5">
      <c r="A302" s="1739"/>
      <c r="N302" s="1834"/>
      <c r="O302" s="1739"/>
      <c r="Z302" s="1739"/>
    </row>
    <row r="303" spans="1:26" x14ac:dyDescent="0.5">
      <c r="A303" s="1739"/>
      <c r="N303" s="1834"/>
      <c r="O303" s="1739"/>
      <c r="Z303" s="1739"/>
    </row>
    <row r="304" spans="1:26" x14ac:dyDescent="0.5">
      <c r="A304" s="1739"/>
      <c r="N304" s="1834"/>
      <c r="O304" s="1739"/>
      <c r="Z304" s="1739"/>
    </row>
    <row r="305" spans="1:26" x14ac:dyDescent="0.5">
      <c r="A305" s="1739"/>
      <c r="N305" s="1834"/>
      <c r="O305" s="1739"/>
      <c r="Z305" s="1739"/>
    </row>
    <row r="306" spans="1:26" x14ac:dyDescent="0.5">
      <c r="A306" s="1739"/>
      <c r="N306" s="1834"/>
      <c r="O306" s="1739"/>
      <c r="Z306" s="1739"/>
    </row>
    <row r="307" spans="1:26" x14ac:dyDescent="0.5">
      <c r="A307" s="1739"/>
      <c r="N307" s="1834"/>
      <c r="O307" s="1739"/>
      <c r="Z307" s="1739"/>
    </row>
    <row r="308" spans="1:26" x14ac:dyDescent="0.5">
      <c r="A308" s="1739"/>
      <c r="N308" s="1834"/>
      <c r="O308" s="1739"/>
      <c r="Z308" s="1739"/>
    </row>
    <row r="309" spans="1:26" x14ac:dyDescent="0.5">
      <c r="A309" s="1739"/>
      <c r="N309" s="1834"/>
      <c r="O309" s="1739"/>
      <c r="Z309" s="1739"/>
    </row>
    <row r="310" spans="1:26" x14ac:dyDescent="0.5">
      <c r="A310" s="1739"/>
      <c r="N310" s="1834"/>
      <c r="O310" s="1739"/>
      <c r="Z310" s="1739"/>
    </row>
    <row r="311" spans="1:26" x14ac:dyDescent="0.5">
      <c r="A311" s="1739"/>
      <c r="N311" s="1834"/>
      <c r="O311" s="1739"/>
      <c r="Z311" s="1739"/>
    </row>
    <row r="312" spans="1:26" x14ac:dyDescent="0.5">
      <c r="A312" s="1739"/>
      <c r="N312" s="1834"/>
      <c r="O312" s="1739"/>
      <c r="Z312" s="1739"/>
    </row>
    <row r="313" spans="1:26" x14ac:dyDescent="0.5">
      <c r="A313" s="1739"/>
      <c r="N313" s="1834"/>
      <c r="O313" s="1739"/>
      <c r="Z313" s="1739"/>
    </row>
    <row r="314" spans="1:26" x14ac:dyDescent="0.5">
      <c r="A314" s="1739"/>
      <c r="N314" s="1834"/>
      <c r="O314" s="1739"/>
      <c r="Z314" s="1739"/>
    </row>
    <row r="315" spans="1:26" x14ac:dyDescent="0.5">
      <c r="A315" s="1739"/>
      <c r="N315" s="1834"/>
      <c r="O315" s="1739"/>
      <c r="Z315" s="1739"/>
    </row>
    <row r="316" spans="1:26" x14ac:dyDescent="0.5">
      <c r="A316" s="1739"/>
      <c r="N316" s="1834"/>
      <c r="O316" s="1739"/>
      <c r="Z316" s="1739"/>
    </row>
    <row r="317" spans="1:26" x14ac:dyDescent="0.5">
      <c r="A317" s="1739"/>
      <c r="N317" s="1834"/>
      <c r="O317" s="1739"/>
      <c r="Z317" s="1739"/>
    </row>
    <row r="318" spans="1:26" x14ac:dyDescent="0.5">
      <c r="A318" s="1739"/>
      <c r="N318" s="1834"/>
      <c r="O318" s="1739"/>
      <c r="Z318" s="1739"/>
    </row>
    <row r="319" spans="1:26" x14ac:dyDescent="0.5">
      <c r="A319" s="1739"/>
      <c r="N319" s="1834"/>
      <c r="O319" s="1739"/>
      <c r="Z319" s="1739"/>
    </row>
    <row r="320" spans="1:26" x14ac:dyDescent="0.5">
      <c r="A320" s="1739"/>
      <c r="N320" s="1834"/>
      <c r="O320" s="1739"/>
      <c r="Z320" s="1739"/>
    </row>
    <row r="321" spans="1:26" x14ac:dyDescent="0.5">
      <c r="A321" s="1739"/>
      <c r="N321" s="1834"/>
      <c r="O321" s="1739"/>
      <c r="Z321" s="1739"/>
    </row>
    <row r="322" spans="1:26" x14ac:dyDescent="0.5">
      <c r="A322" s="1739"/>
      <c r="N322" s="1834"/>
      <c r="O322" s="1739"/>
      <c r="Z322" s="1739"/>
    </row>
    <row r="323" spans="1:26" x14ac:dyDescent="0.5">
      <c r="A323" s="1739"/>
      <c r="N323" s="1834"/>
      <c r="O323" s="1739"/>
      <c r="Z323" s="1739"/>
    </row>
    <row r="324" spans="1:26" x14ac:dyDescent="0.5">
      <c r="A324" s="1739"/>
      <c r="N324" s="1834"/>
      <c r="O324" s="1739"/>
      <c r="Z324" s="1739"/>
    </row>
    <row r="325" spans="1:26" x14ac:dyDescent="0.5">
      <c r="A325" s="1739"/>
      <c r="N325" s="1834"/>
      <c r="O325" s="1739"/>
      <c r="Z325" s="1739"/>
    </row>
    <row r="326" spans="1:26" x14ac:dyDescent="0.5">
      <c r="A326" s="1739"/>
      <c r="N326" s="1834"/>
      <c r="O326" s="1739"/>
      <c r="Z326" s="1739"/>
    </row>
    <row r="327" spans="1:26" x14ac:dyDescent="0.5">
      <c r="A327" s="1739"/>
      <c r="N327" s="1834"/>
      <c r="O327" s="1739"/>
      <c r="Z327" s="1739"/>
    </row>
    <row r="328" spans="1:26" x14ac:dyDescent="0.5">
      <c r="A328" s="1739"/>
      <c r="N328" s="1834"/>
      <c r="O328" s="1739"/>
      <c r="Z328" s="1739"/>
    </row>
    <row r="329" spans="1:26" x14ac:dyDescent="0.5">
      <c r="A329" s="1739"/>
      <c r="N329" s="1834"/>
      <c r="O329" s="1739"/>
      <c r="Z329" s="1739"/>
    </row>
    <row r="330" spans="1:26" x14ac:dyDescent="0.5">
      <c r="A330" s="1739"/>
      <c r="N330" s="1834"/>
      <c r="O330" s="1739"/>
      <c r="Z330" s="1739"/>
    </row>
    <row r="331" spans="1:26" x14ac:dyDescent="0.5">
      <c r="A331" s="1739"/>
      <c r="N331" s="1834"/>
      <c r="O331" s="1739"/>
      <c r="Z331" s="1739"/>
    </row>
    <row r="332" spans="1:26" x14ac:dyDescent="0.5">
      <c r="A332" s="1739"/>
      <c r="N332" s="1834"/>
      <c r="O332" s="1739"/>
      <c r="Z332" s="1739"/>
    </row>
    <row r="333" spans="1:26" x14ac:dyDescent="0.5">
      <c r="A333" s="1739"/>
      <c r="N333" s="1834"/>
      <c r="O333" s="1739"/>
      <c r="Z333" s="1739"/>
    </row>
    <row r="334" spans="1:26" x14ac:dyDescent="0.5">
      <c r="A334" s="1739"/>
      <c r="N334" s="1834"/>
      <c r="O334" s="1739"/>
      <c r="Z334" s="1739"/>
    </row>
    <row r="335" spans="1:26" x14ac:dyDescent="0.5">
      <c r="A335" s="1739"/>
      <c r="N335" s="1834"/>
      <c r="O335" s="1739"/>
      <c r="Z335" s="1739"/>
    </row>
    <row r="336" spans="1:26" x14ac:dyDescent="0.5">
      <c r="A336" s="1739"/>
      <c r="N336" s="1834"/>
      <c r="O336" s="1739"/>
      <c r="Z336" s="1739"/>
    </row>
    <row r="337" spans="1:26" x14ac:dyDescent="0.5">
      <c r="A337" s="1739"/>
      <c r="N337" s="1834"/>
      <c r="O337" s="1739"/>
      <c r="Z337" s="1739"/>
    </row>
    <row r="338" spans="1:26" x14ac:dyDescent="0.5">
      <c r="A338" s="1739"/>
      <c r="N338" s="1834"/>
      <c r="O338" s="1739"/>
      <c r="Z338" s="1739"/>
    </row>
    <row r="339" spans="1:26" x14ac:dyDescent="0.5">
      <c r="A339" s="1739"/>
      <c r="N339" s="1834"/>
      <c r="O339" s="1739"/>
      <c r="Z339" s="1739"/>
    </row>
    <row r="340" spans="1:26" x14ac:dyDescent="0.5">
      <c r="A340" s="1739"/>
      <c r="N340" s="1834"/>
      <c r="O340" s="1739"/>
      <c r="Z340" s="1739"/>
    </row>
    <row r="341" spans="1:26" x14ac:dyDescent="0.5">
      <c r="A341" s="1739"/>
      <c r="N341" s="1834"/>
      <c r="O341" s="1739"/>
      <c r="Z341" s="1739"/>
    </row>
    <row r="342" spans="1:26" x14ac:dyDescent="0.5">
      <c r="A342" s="1739"/>
      <c r="N342" s="1834"/>
      <c r="O342" s="1739"/>
      <c r="Z342" s="1739"/>
    </row>
    <row r="343" spans="1:26" x14ac:dyDescent="0.5">
      <c r="A343" s="1739"/>
      <c r="N343" s="1834"/>
      <c r="O343" s="1739"/>
      <c r="Z343" s="1739"/>
    </row>
    <row r="344" spans="1:26" x14ac:dyDescent="0.5">
      <c r="A344" s="1739"/>
      <c r="N344" s="1834"/>
      <c r="O344" s="1739"/>
      <c r="Z344" s="1739"/>
    </row>
    <row r="345" spans="1:26" x14ac:dyDescent="0.5">
      <c r="A345" s="1739"/>
      <c r="N345" s="1834"/>
      <c r="O345" s="1739"/>
      <c r="Z345" s="1739"/>
    </row>
    <row r="346" spans="1:26" x14ac:dyDescent="0.5">
      <c r="A346" s="1739"/>
      <c r="N346" s="1834"/>
      <c r="O346" s="1739"/>
      <c r="Z346" s="1739"/>
    </row>
    <row r="347" spans="1:26" x14ac:dyDescent="0.5">
      <c r="A347" s="1739"/>
      <c r="N347" s="1834"/>
      <c r="O347" s="1739"/>
      <c r="Z347" s="1739"/>
    </row>
    <row r="348" spans="1:26" x14ac:dyDescent="0.5">
      <c r="A348" s="1739"/>
      <c r="N348" s="1834"/>
      <c r="O348" s="1739"/>
      <c r="Z348" s="1739"/>
    </row>
    <row r="349" spans="1:26" x14ac:dyDescent="0.5">
      <c r="A349" s="1739"/>
      <c r="N349" s="1834"/>
      <c r="O349" s="1739"/>
      <c r="Z349" s="1739"/>
    </row>
    <row r="350" spans="1:26" x14ac:dyDescent="0.5">
      <c r="A350" s="1739"/>
      <c r="N350" s="1834"/>
      <c r="O350" s="1739"/>
      <c r="Z350" s="1739"/>
    </row>
    <row r="351" spans="1:26" x14ac:dyDescent="0.5">
      <c r="A351" s="1739"/>
      <c r="N351" s="1834"/>
      <c r="O351" s="1739"/>
      <c r="Z351" s="1739"/>
    </row>
    <row r="352" spans="1:26" x14ac:dyDescent="0.5">
      <c r="A352" s="1739"/>
      <c r="N352" s="1834"/>
      <c r="O352" s="1739"/>
      <c r="Z352" s="1739"/>
    </row>
    <row r="353" spans="1:26" x14ac:dyDescent="0.5">
      <c r="A353" s="1739"/>
      <c r="N353" s="1834"/>
      <c r="O353" s="1739"/>
      <c r="Z353" s="1739"/>
    </row>
    <row r="354" spans="1:26" x14ac:dyDescent="0.5">
      <c r="A354" s="1739"/>
      <c r="N354" s="1834"/>
      <c r="O354" s="1739"/>
      <c r="Z354" s="1739"/>
    </row>
    <row r="355" spans="1:26" x14ac:dyDescent="0.5">
      <c r="A355" s="1739"/>
      <c r="N355" s="1834"/>
      <c r="O355" s="1739"/>
      <c r="Z355" s="1739"/>
    </row>
    <row r="356" spans="1:26" x14ac:dyDescent="0.5">
      <c r="A356" s="1739"/>
      <c r="N356" s="1834"/>
      <c r="O356" s="1739"/>
      <c r="Z356" s="1739"/>
    </row>
    <row r="357" spans="1:26" x14ac:dyDescent="0.5">
      <c r="A357" s="1739"/>
      <c r="N357" s="1834"/>
      <c r="O357" s="1739"/>
      <c r="Z357" s="1739"/>
    </row>
    <row r="358" spans="1:26" x14ac:dyDescent="0.5">
      <c r="A358" s="1739"/>
      <c r="N358" s="1834"/>
      <c r="O358" s="1739"/>
      <c r="Z358" s="1739"/>
    </row>
    <row r="359" spans="1:26" x14ac:dyDescent="0.5">
      <c r="A359" s="1739"/>
      <c r="N359" s="1834"/>
      <c r="O359" s="1739"/>
      <c r="Z359" s="1739"/>
    </row>
    <row r="360" spans="1:26" x14ac:dyDescent="0.5">
      <c r="A360" s="1739"/>
      <c r="N360" s="1834"/>
      <c r="O360" s="1739"/>
      <c r="Z360" s="1739"/>
    </row>
    <row r="361" spans="1:26" x14ac:dyDescent="0.5">
      <c r="A361" s="1739"/>
      <c r="N361" s="1834"/>
      <c r="O361" s="1739"/>
      <c r="Z361" s="1739"/>
    </row>
    <row r="362" spans="1:26" x14ac:dyDescent="0.5">
      <c r="A362" s="1739"/>
      <c r="N362" s="1834"/>
      <c r="O362" s="1739"/>
      <c r="Z362" s="1739"/>
    </row>
    <row r="363" spans="1:26" x14ac:dyDescent="0.5">
      <c r="A363" s="1739"/>
      <c r="N363" s="1834"/>
      <c r="O363" s="1739"/>
      <c r="Z363" s="1739"/>
    </row>
    <row r="364" spans="1:26" x14ac:dyDescent="0.5">
      <c r="A364" s="1739"/>
      <c r="N364" s="1834"/>
      <c r="O364" s="1739"/>
      <c r="Z364" s="1739"/>
    </row>
    <row r="365" spans="1:26" x14ac:dyDescent="0.5">
      <c r="A365" s="1739"/>
      <c r="N365" s="1834"/>
      <c r="O365" s="1739"/>
      <c r="Z365" s="1739"/>
    </row>
    <row r="366" spans="1:26" x14ac:dyDescent="0.5">
      <c r="A366" s="1739"/>
      <c r="N366" s="1834"/>
      <c r="O366" s="1739"/>
      <c r="Z366" s="1739"/>
    </row>
    <row r="367" spans="1:26" x14ac:dyDescent="0.5">
      <c r="A367" s="1739"/>
      <c r="N367" s="1834"/>
      <c r="O367" s="1739"/>
      <c r="Z367" s="1739"/>
    </row>
    <row r="368" spans="1:26" x14ac:dyDescent="0.5">
      <c r="A368" s="1739"/>
      <c r="N368" s="1834"/>
      <c r="O368" s="1739"/>
      <c r="Z368" s="1739"/>
    </row>
    <row r="369" spans="1:26" x14ac:dyDescent="0.5">
      <c r="A369" s="1739"/>
      <c r="N369" s="1834"/>
      <c r="O369" s="1739"/>
      <c r="Z369" s="1739"/>
    </row>
    <row r="370" spans="1:26" x14ac:dyDescent="0.5">
      <c r="A370" s="1739"/>
      <c r="N370" s="1834"/>
      <c r="O370" s="1739"/>
      <c r="Z370" s="1739"/>
    </row>
    <row r="371" spans="1:26" x14ac:dyDescent="0.5">
      <c r="A371" s="1739"/>
      <c r="N371" s="1834"/>
      <c r="O371" s="1739"/>
      <c r="Z371" s="1739"/>
    </row>
    <row r="372" spans="1:26" x14ac:dyDescent="0.5">
      <c r="A372" s="1739"/>
      <c r="N372" s="1834"/>
      <c r="O372" s="1739"/>
      <c r="Z372" s="1739"/>
    </row>
    <row r="373" spans="1:26" x14ac:dyDescent="0.5">
      <c r="A373" s="1739"/>
      <c r="N373" s="1834"/>
      <c r="O373" s="1739"/>
      <c r="Z373" s="1739"/>
    </row>
    <row r="374" spans="1:26" x14ac:dyDescent="0.5">
      <c r="A374" s="1739"/>
      <c r="N374" s="1834"/>
      <c r="O374" s="1739"/>
      <c r="Z374" s="1739"/>
    </row>
    <row r="375" spans="1:26" x14ac:dyDescent="0.5">
      <c r="A375" s="1739"/>
      <c r="N375" s="1834"/>
      <c r="O375" s="1739"/>
      <c r="Z375" s="1739"/>
    </row>
    <row r="376" spans="1:26" x14ac:dyDescent="0.5">
      <c r="A376" s="1739"/>
      <c r="N376" s="1834"/>
      <c r="O376" s="1739"/>
      <c r="Z376" s="1739"/>
    </row>
    <row r="377" spans="1:26" x14ac:dyDescent="0.5">
      <c r="A377" s="1739"/>
      <c r="N377" s="1834"/>
      <c r="O377" s="1739"/>
      <c r="Z377" s="1739"/>
    </row>
    <row r="378" spans="1:26" x14ac:dyDescent="0.5">
      <c r="A378" s="1739"/>
      <c r="N378" s="1834"/>
      <c r="O378" s="1739"/>
      <c r="Z378" s="1739"/>
    </row>
    <row r="379" spans="1:26" x14ac:dyDescent="0.5">
      <c r="A379" s="1739"/>
      <c r="N379" s="1834"/>
      <c r="O379" s="1739"/>
      <c r="Z379" s="1739"/>
    </row>
    <row r="380" spans="1:26" x14ac:dyDescent="0.5">
      <c r="A380" s="1739"/>
      <c r="N380" s="1834"/>
      <c r="O380" s="1739"/>
      <c r="Z380" s="1739"/>
    </row>
    <row r="381" spans="1:26" x14ac:dyDescent="0.5">
      <c r="A381" s="1739"/>
      <c r="N381" s="1834"/>
      <c r="O381" s="1739"/>
      <c r="Z381" s="1739"/>
    </row>
    <row r="382" spans="1:26" x14ac:dyDescent="0.5">
      <c r="A382" s="1739"/>
      <c r="N382" s="1834"/>
      <c r="O382" s="1739"/>
      <c r="Z382" s="1739"/>
    </row>
    <row r="383" spans="1:26" x14ac:dyDescent="0.5">
      <c r="A383" s="1739"/>
      <c r="N383" s="1834"/>
      <c r="O383" s="1739"/>
      <c r="Z383" s="1739"/>
    </row>
    <row r="384" spans="1:26" x14ac:dyDescent="0.5">
      <c r="A384" s="1739"/>
      <c r="N384" s="1834"/>
      <c r="O384" s="1739"/>
      <c r="Z384" s="1739"/>
    </row>
    <row r="385" spans="1:26" x14ac:dyDescent="0.5">
      <c r="A385" s="1739"/>
      <c r="N385" s="1834"/>
      <c r="O385" s="1739"/>
      <c r="Z385" s="1739"/>
    </row>
    <row r="386" spans="1:26" x14ac:dyDescent="0.5">
      <c r="A386" s="1739"/>
      <c r="N386" s="1834"/>
      <c r="O386" s="1739"/>
      <c r="Z386" s="1739"/>
    </row>
    <row r="387" spans="1:26" x14ac:dyDescent="0.5">
      <c r="A387" s="1739"/>
      <c r="N387" s="1834"/>
      <c r="O387" s="1739"/>
      <c r="Z387" s="1739"/>
    </row>
    <row r="388" spans="1:26" x14ac:dyDescent="0.5">
      <c r="A388" s="1739"/>
      <c r="N388" s="1834"/>
      <c r="O388" s="1739"/>
      <c r="Z388" s="1739"/>
    </row>
    <row r="389" spans="1:26" x14ac:dyDescent="0.5">
      <c r="A389" s="1739"/>
      <c r="N389" s="1834"/>
      <c r="O389" s="1739"/>
      <c r="Z389" s="1739"/>
    </row>
    <row r="390" spans="1:26" x14ac:dyDescent="0.5">
      <c r="A390" s="1739"/>
      <c r="N390" s="1834"/>
      <c r="O390" s="1739"/>
      <c r="Z390" s="1739"/>
    </row>
    <row r="391" spans="1:26" x14ac:dyDescent="0.5">
      <c r="A391" s="1739"/>
      <c r="N391" s="1834"/>
      <c r="O391" s="1739"/>
      <c r="Z391" s="1739"/>
    </row>
    <row r="392" spans="1:26" x14ac:dyDescent="0.5">
      <c r="A392" s="1739"/>
      <c r="N392" s="1834"/>
      <c r="O392" s="1739"/>
      <c r="Z392" s="1739"/>
    </row>
    <row r="393" spans="1:26" x14ac:dyDescent="0.5">
      <c r="A393" s="1739"/>
      <c r="N393" s="1834"/>
      <c r="O393" s="1739"/>
      <c r="Z393" s="1739"/>
    </row>
    <row r="394" spans="1:26" x14ac:dyDescent="0.5">
      <c r="A394" s="1739"/>
      <c r="N394" s="1834"/>
      <c r="O394" s="1739"/>
      <c r="Z394" s="1739"/>
    </row>
    <row r="395" spans="1:26" x14ac:dyDescent="0.5">
      <c r="A395" s="1739"/>
      <c r="N395" s="1834"/>
      <c r="O395" s="1739"/>
      <c r="Z395" s="1739"/>
    </row>
    <row r="396" spans="1:26" x14ac:dyDescent="0.5">
      <c r="A396" s="1739"/>
      <c r="N396" s="1834"/>
      <c r="O396" s="1739"/>
      <c r="Z396" s="1739"/>
    </row>
    <row r="397" spans="1:26" x14ac:dyDescent="0.5">
      <c r="A397" s="1739"/>
      <c r="N397" s="1834"/>
      <c r="O397" s="1739"/>
      <c r="Z397" s="1739"/>
    </row>
    <row r="398" spans="1:26" x14ac:dyDescent="0.5">
      <c r="A398" s="1739"/>
      <c r="N398" s="1834"/>
      <c r="O398" s="1739"/>
      <c r="Z398" s="1739"/>
    </row>
    <row r="399" spans="1:26" x14ac:dyDescent="0.5">
      <c r="A399" s="1739"/>
      <c r="N399" s="1834"/>
      <c r="O399" s="1739"/>
      <c r="Z399" s="1739"/>
    </row>
    <row r="400" spans="1:26" x14ac:dyDescent="0.5">
      <c r="A400" s="1739"/>
      <c r="N400" s="1834"/>
      <c r="O400" s="1739"/>
      <c r="Z400" s="1739"/>
    </row>
    <row r="401" spans="1:26" x14ac:dyDescent="0.5">
      <c r="A401" s="1739"/>
      <c r="N401" s="1834"/>
      <c r="O401" s="1739"/>
      <c r="Z401" s="1739"/>
    </row>
    <row r="402" spans="1:26" x14ac:dyDescent="0.5">
      <c r="A402" s="1739"/>
      <c r="N402" s="1834"/>
      <c r="O402" s="1739"/>
      <c r="Z402" s="1739"/>
    </row>
    <row r="403" spans="1:26" x14ac:dyDescent="0.5">
      <c r="A403" s="1739"/>
      <c r="N403" s="1834"/>
      <c r="O403" s="1739"/>
      <c r="Z403" s="1739"/>
    </row>
    <row r="404" spans="1:26" x14ac:dyDescent="0.5">
      <c r="A404" s="1739"/>
      <c r="N404" s="1834"/>
      <c r="O404" s="1739"/>
      <c r="Z404" s="1739"/>
    </row>
    <row r="405" spans="1:26" x14ac:dyDescent="0.5">
      <c r="A405" s="1739"/>
      <c r="N405" s="1834"/>
      <c r="O405" s="1739"/>
      <c r="Z405" s="1739"/>
    </row>
    <row r="406" spans="1:26" x14ac:dyDescent="0.5">
      <c r="A406" s="1739"/>
      <c r="N406" s="1834"/>
      <c r="O406" s="1739"/>
      <c r="Z406" s="1739"/>
    </row>
    <row r="407" spans="1:26" x14ac:dyDescent="0.5">
      <c r="A407" s="1739"/>
      <c r="N407" s="1834"/>
      <c r="O407" s="1739"/>
      <c r="Z407" s="1739"/>
    </row>
    <row r="408" spans="1:26" x14ac:dyDescent="0.5">
      <c r="A408" s="1739"/>
      <c r="N408" s="1834"/>
      <c r="O408" s="1739"/>
      <c r="Z408" s="1739"/>
    </row>
    <row r="409" spans="1:26" x14ac:dyDescent="0.5">
      <c r="A409" s="1739"/>
      <c r="N409" s="1834"/>
      <c r="O409" s="1739"/>
      <c r="Z409" s="1739"/>
    </row>
    <row r="410" spans="1:26" x14ac:dyDescent="0.5">
      <c r="A410" s="1739"/>
      <c r="N410" s="1834"/>
      <c r="O410" s="1739"/>
      <c r="Z410" s="1739"/>
    </row>
    <row r="411" spans="1:26" x14ac:dyDescent="0.5">
      <c r="A411" s="1739"/>
      <c r="N411" s="1834"/>
      <c r="O411" s="1739"/>
      <c r="Z411" s="1739"/>
    </row>
    <row r="412" spans="1:26" x14ac:dyDescent="0.5">
      <c r="A412" s="1739"/>
      <c r="N412" s="1834"/>
      <c r="O412" s="1739"/>
      <c r="Z412" s="1739"/>
    </row>
    <row r="413" spans="1:26" x14ac:dyDescent="0.5">
      <c r="A413" s="1739"/>
      <c r="N413" s="1834"/>
      <c r="O413" s="1739"/>
      <c r="Z413" s="1739"/>
    </row>
    <row r="414" spans="1:26" x14ac:dyDescent="0.5">
      <c r="A414" s="1739"/>
      <c r="N414" s="1834"/>
      <c r="O414" s="1739"/>
      <c r="Z414" s="1739"/>
    </row>
    <row r="415" spans="1:26" x14ac:dyDescent="0.5">
      <c r="A415" s="1739"/>
      <c r="N415" s="1834"/>
      <c r="O415" s="1739"/>
      <c r="Z415" s="1739"/>
    </row>
    <row r="416" spans="1:26" x14ac:dyDescent="0.5">
      <c r="A416" s="1739"/>
      <c r="N416" s="1834"/>
      <c r="O416" s="1739"/>
      <c r="Z416" s="1739"/>
    </row>
    <row r="417" spans="1:26" x14ac:dyDescent="0.5">
      <c r="A417" s="1739"/>
      <c r="N417" s="1834"/>
      <c r="O417" s="1739"/>
      <c r="Z417" s="1739"/>
    </row>
    <row r="418" spans="1:26" x14ac:dyDescent="0.5">
      <c r="A418" s="1739"/>
      <c r="N418" s="1834"/>
      <c r="O418" s="1739"/>
      <c r="Z418" s="1739"/>
    </row>
    <row r="419" spans="1:26" x14ac:dyDescent="0.5">
      <c r="A419" s="1739"/>
      <c r="N419" s="1834"/>
      <c r="O419" s="1739"/>
      <c r="Z419" s="1739"/>
    </row>
    <row r="420" spans="1:26" x14ac:dyDescent="0.5">
      <c r="A420" s="1739"/>
      <c r="N420" s="1834"/>
      <c r="O420" s="1739"/>
      <c r="Z420" s="1739"/>
    </row>
    <row r="421" spans="1:26" x14ac:dyDescent="0.5">
      <c r="A421" s="1739"/>
      <c r="N421" s="1834"/>
      <c r="O421" s="1739"/>
      <c r="Z421" s="1739"/>
    </row>
    <row r="422" spans="1:26" x14ac:dyDescent="0.5">
      <c r="A422" s="1739"/>
      <c r="N422" s="1834"/>
      <c r="O422" s="1739"/>
      <c r="Z422" s="1739"/>
    </row>
    <row r="423" spans="1:26" x14ac:dyDescent="0.5">
      <c r="A423" s="1739"/>
      <c r="N423" s="1834"/>
      <c r="O423" s="1739"/>
      <c r="Z423" s="1739"/>
    </row>
    <row r="424" spans="1:26" x14ac:dyDescent="0.5">
      <c r="A424" s="1739"/>
      <c r="N424" s="1834"/>
      <c r="O424" s="1739"/>
      <c r="Z424" s="1739"/>
    </row>
    <row r="425" spans="1:26" x14ac:dyDescent="0.5">
      <c r="A425" s="1739"/>
      <c r="N425" s="1834"/>
      <c r="O425" s="1739"/>
      <c r="Z425" s="1739"/>
    </row>
    <row r="426" spans="1:26" x14ac:dyDescent="0.5">
      <c r="A426" s="1739"/>
      <c r="N426" s="1834"/>
      <c r="O426" s="1739"/>
      <c r="Z426" s="1739"/>
    </row>
    <row r="427" spans="1:26" x14ac:dyDescent="0.5">
      <c r="A427" s="1739"/>
      <c r="N427" s="1834"/>
      <c r="O427" s="1739"/>
      <c r="Z427" s="1739"/>
    </row>
    <row r="428" spans="1:26" x14ac:dyDescent="0.5">
      <c r="A428" s="1739"/>
      <c r="N428" s="1834"/>
      <c r="O428" s="1739"/>
      <c r="Z428" s="1739"/>
    </row>
    <row r="429" spans="1:26" x14ac:dyDescent="0.5">
      <c r="A429" s="1739"/>
      <c r="N429" s="1834"/>
      <c r="O429" s="1739"/>
      <c r="Z429" s="1739"/>
    </row>
    <row r="430" spans="1:26" x14ac:dyDescent="0.5">
      <c r="A430" s="1739"/>
      <c r="N430" s="1834"/>
      <c r="O430" s="1739"/>
      <c r="Z430" s="1739"/>
    </row>
    <row r="431" spans="1:26" x14ac:dyDescent="0.5">
      <c r="A431" s="1739"/>
      <c r="N431" s="1834"/>
      <c r="O431" s="1739"/>
      <c r="Z431" s="1739"/>
    </row>
    <row r="432" spans="1:26" x14ac:dyDescent="0.5">
      <c r="A432" s="1739"/>
      <c r="N432" s="1834"/>
      <c r="O432" s="1739"/>
      <c r="Z432" s="1739"/>
    </row>
    <row r="433" spans="1:26" x14ac:dyDescent="0.5">
      <c r="A433" s="1739"/>
      <c r="N433" s="1834"/>
      <c r="O433" s="1739"/>
      <c r="Z433" s="1739"/>
    </row>
    <row r="434" spans="1:26" x14ac:dyDescent="0.5">
      <c r="A434" s="1739"/>
      <c r="N434" s="1834"/>
      <c r="O434" s="1739"/>
      <c r="Z434" s="1739"/>
    </row>
    <row r="435" spans="1:26" x14ac:dyDescent="0.5">
      <c r="A435" s="1739"/>
      <c r="N435" s="1834"/>
      <c r="O435" s="1739"/>
      <c r="Z435" s="1739"/>
    </row>
    <row r="436" spans="1:26" x14ac:dyDescent="0.5">
      <c r="A436" s="1739"/>
      <c r="N436" s="1834"/>
      <c r="O436" s="1739"/>
      <c r="Z436" s="1739"/>
    </row>
    <row r="437" spans="1:26" x14ac:dyDescent="0.5">
      <c r="A437" s="1739"/>
      <c r="N437" s="1834"/>
      <c r="O437" s="1739"/>
      <c r="Z437" s="1739"/>
    </row>
    <row r="438" spans="1:26" x14ac:dyDescent="0.5">
      <c r="A438" s="1739"/>
      <c r="N438" s="1834"/>
      <c r="O438" s="1739"/>
      <c r="Z438" s="1739"/>
    </row>
    <row r="439" spans="1:26" x14ac:dyDescent="0.5">
      <c r="A439" s="1739"/>
      <c r="N439" s="1834"/>
      <c r="O439" s="1739"/>
      <c r="Z439" s="1739"/>
    </row>
    <row r="440" spans="1:26" x14ac:dyDescent="0.5">
      <c r="A440" s="1739"/>
      <c r="N440" s="1834"/>
      <c r="O440" s="1739"/>
      <c r="Z440" s="1739"/>
    </row>
    <row r="441" spans="1:26" x14ac:dyDescent="0.5">
      <c r="A441" s="1739"/>
      <c r="N441" s="1834"/>
      <c r="O441" s="1739"/>
      <c r="Z441" s="1739"/>
    </row>
    <row r="442" spans="1:26" x14ac:dyDescent="0.5">
      <c r="A442" s="1739"/>
      <c r="N442" s="1834"/>
      <c r="O442" s="1739"/>
      <c r="Z442" s="1739"/>
    </row>
    <row r="443" spans="1:26" x14ac:dyDescent="0.5">
      <c r="A443" s="1739"/>
      <c r="N443" s="1834"/>
      <c r="O443" s="1739"/>
      <c r="Z443" s="1739"/>
    </row>
    <row r="444" spans="1:26" x14ac:dyDescent="0.5">
      <c r="A444" s="1739"/>
      <c r="N444" s="1834"/>
      <c r="O444" s="1739"/>
      <c r="Z444" s="1739"/>
    </row>
    <row r="445" spans="1:26" x14ac:dyDescent="0.5">
      <c r="A445" s="1739"/>
      <c r="N445" s="1834"/>
      <c r="O445" s="1739"/>
      <c r="Z445" s="1739"/>
    </row>
    <row r="446" spans="1:26" x14ac:dyDescent="0.5">
      <c r="A446" s="1739"/>
      <c r="N446" s="1834"/>
      <c r="O446" s="1739"/>
      <c r="Z446" s="1739"/>
    </row>
    <row r="447" spans="1:26" x14ac:dyDescent="0.5">
      <c r="A447" s="1739"/>
      <c r="N447" s="1834"/>
      <c r="O447" s="1739"/>
      <c r="Z447" s="1739"/>
    </row>
    <row r="448" spans="1:26" x14ac:dyDescent="0.5">
      <c r="A448" s="1739"/>
      <c r="N448" s="1834"/>
      <c r="O448" s="1739"/>
      <c r="Z448" s="1739"/>
    </row>
    <row r="449" spans="1:26" x14ac:dyDescent="0.5">
      <c r="A449" s="1739"/>
      <c r="N449" s="1834"/>
      <c r="O449" s="1739"/>
      <c r="Z449" s="1739"/>
    </row>
    <row r="450" spans="1:26" x14ac:dyDescent="0.5">
      <c r="A450" s="1739"/>
      <c r="N450" s="1834"/>
      <c r="O450" s="1739"/>
      <c r="Z450" s="1739"/>
    </row>
    <row r="451" spans="1:26" x14ac:dyDescent="0.5">
      <c r="A451" s="1739"/>
      <c r="N451" s="1834"/>
      <c r="O451" s="1739"/>
      <c r="Z451" s="1739"/>
    </row>
    <row r="452" spans="1:26" x14ac:dyDescent="0.5">
      <c r="A452" s="1739"/>
      <c r="N452" s="1834"/>
      <c r="O452" s="1739"/>
      <c r="Z452" s="1739"/>
    </row>
    <row r="453" spans="1:26" x14ac:dyDescent="0.5">
      <c r="A453" s="1739"/>
      <c r="N453" s="1834"/>
      <c r="O453" s="1739"/>
      <c r="Z453" s="1739"/>
    </row>
    <row r="454" spans="1:26" x14ac:dyDescent="0.5">
      <c r="A454" s="1739"/>
      <c r="N454" s="1834"/>
      <c r="O454" s="1739"/>
      <c r="Z454" s="1739"/>
    </row>
    <row r="455" spans="1:26" x14ac:dyDescent="0.5">
      <c r="A455" s="1739"/>
      <c r="N455" s="1834"/>
      <c r="O455" s="1739"/>
      <c r="Z455" s="1739"/>
    </row>
    <row r="456" spans="1:26" x14ac:dyDescent="0.5">
      <c r="A456" s="1739"/>
      <c r="N456" s="1834"/>
      <c r="O456" s="1739"/>
      <c r="Z456" s="1739"/>
    </row>
    <row r="457" spans="1:26" x14ac:dyDescent="0.5">
      <c r="A457" s="1739"/>
      <c r="N457" s="1834"/>
      <c r="O457" s="1739"/>
      <c r="Z457" s="1739"/>
    </row>
    <row r="458" spans="1:26" x14ac:dyDescent="0.5">
      <c r="A458" s="1739"/>
      <c r="N458" s="1834"/>
      <c r="O458" s="1739"/>
      <c r="Z458" s="1739"/>
    </row>
    <row r="459" spans="1:26" x14ac:dyDescent="0.5">
      <c r="A459" s="1739"/>
      <c r="N459" s="1834"/>
      <c r="O459" s="1739"/>
      <c r="Z459" s="1739"/>
    </row>
    <row r="460" spans="1:26" x14ac:dyDescent="0.5">
      <c r="A460" s="1739"/>
      <c r="N460" s="1834"/>
      <c r="O460" s="1739"/>
      <c r="Z460" s="1739"/>
    </row>
    <row r="461" spans="1:26" x14ac:dyDescent="0.5">
      <c r="A461" s="1739"/>
      <c r="N461" s="1834"/>
      <c r="O461" s="1739"/>
      <c r="Z461" s="1739"/>
    </row>
    <row r="462" spans="1:26" x14ac:dyDescent="0.5">
      <c r="A462" s="1739"/>
      <c r="N462" s="1834"/>
      <c r="O462" s="1739"/>
      <c r="Z462" s="1739"/>
    </row>
    <row r="463" spans="1:26" x14ac:dyDescent="0.5">
      <c r="A463" s="1739"/>
      <c r="N463" s="1834"/>
      <c r="O463" s="1739"/>
      <c r="Z463" s="1739"/>
    </row>
    <row r="464" spans="1:26" x14ac:dyDescent="0.5">
      <c r="A464" s="1739"/>
      <c r="N464" s="1834"/>
      <c r="O464" s="1739"/>
      <c r="Z464" s="1739"/>
    </row>
    <row r="465" spans="1:26" x14ac:dyDescent="0.5">
      <c r="A465" s="1739"/>
      <c r="N465" s="1834"/>
      <c r="O465" s="1739"/>
      <c r="Z465" s="1739"/>
    </row>
    <row r="466" spans="1:26" x14ac:dyDescent="0.5">
      <c r="A466" s="1739"/>
      <c r="N466" s="1834"/>
      <c r="O466" s="1739"/>
      <c r="Z466" s="1739"/>
    </row>
    <row r="467" spans="1:26" x14ac:dyDescent="0.5">
      <c r="A467" s="1739"/>
      <c r="N467" s="1834"/>
      <c r="O467" s="1739"/>
      <c r="Z467" s="1739"/>
    </row>
    <row r="468" spans="1:26" x14ac:dyDescent="0.5">
      <c r="A468" s="1739"/>
      <c r="N468" s="1834"/>
      <c r="O468" s="1739"/>
      <c r="Z468" s="1739"/>
    </row>
    <row r="469" spans="1:26" x14ac:dyDescent="0.5">
      <c r="A469" s="1739"/>
      <c r="N469" s="1834"/>
      <c r="O469" s="1739"/>
      <c r="Z469" s="1739"/>
    </row>
    <row r="470" spans="1:26" x14ac:dyDescent="0.5">
      <c r="A470" s="1739"/>
      <c r="N470" s="1834"/>
      <c r="O470" s="1739"/>
      <c r="Z470" s="1739"/>
    </row>
    <row r="471" spans="1:26" x14ac:dyDescent="0.5">
      <c r="A471" s="1739"/>
      <c r="N471" s="1834"/>
      <c r="O471" s="1739"/>
      <c r="Z471" s="1739"/>
    </row>
    <row r="472" spans="1:26" x14ac:dyDescent="0.5">
      <c r="A472" s="1739"/>
      <c r="N472" s="1834"/>
      <c r="O472" s="1739"/>
      <c r="Z472" s="1739"/>
    </row>
    <row r="473" spans="1:26" x14ac:dyDescent="0.5">
      <c r="A473" s="1739"/>
      <c r="N473" s="1834"/>
      <c r="O473" s="1739"/>
      <c r="Z473" s="1739"/>
    </row>
    <row r="474" spans="1:26" x14ac:dyDescent="0.5">
      <c r="A474" s="1739"/>
      <c r="N474" s="1834"/>
      <c r="O474" s="1739"/>
      <c r="Z474" s="1739"/>
    </row>
    <row r="475" spans="1:26" x14ac:dyDescent="0.5">
      <c r="A475" s="1739"/>
      <c r="N475" s="1834"/>
      <c r="O475" s="1739"/>
      <c r="Z475" s="1739"/>
    </row>
    <row r="476" spans="1:26" x14ac:dyDescent="0.5">
      <c r="A476" s="1739"/>
      <c r="N476" s="1834"/>
      <c r="O476" s="1739"/>
      <c r="Z476" s="1739"/>
    </row>
    <row r="477" spans="1:26" x14ac:dyDescent="0.5">
      <c r="A477" s="1739"/>
      <c r="N477" s="1834"/>
      <c r="O477" s="1739"/>
      <c r="Z477" s="1739"/>
    </row>
    <row r="478" spans="1:26" x14ac:dyDescent="0.5">
      <c r="A478" s="1739"/>
      <c r="N478" s="1834"/>
      <c r="O478" s="1739"/>
      <c r="Z478" s="1739"/>
    </row>
    <row r="479" spans="1:26" x14ac:dyDescent="0.5">
      <c r="A479" s="1739"/>
      <c r="N479" s="1834"/>
      <c r="O479" s="1739"/>
      <c r="Z479" s="1739"/>
    </row>
    <row r="480" spans="1:26" x14ac:dyDescent="0.5">
      <c r="A480" s="1739"/>
      <c r="N480" s="1834"/>
      <c r="O480" s="1739"/>
      <c r="Z480" s="1739"/>
    </row>
    <row r="481" spans="1:26" x14ac:dyDescent="0.5">
      <c r="A481" s="1739"/>
      <c r="N481" s="1834"/>
      <c r="O481" s="1739"/>
      <c r="Z481" s="1739"/>
    </row>
    <row r="482" spans="1:26" x14ac:dyDescent="0.5">
      <c r="A482" s="1739"/>
      <c r="N482" s="1834"/>
      <c r="O482" s="1739"/>
      <c r="Z482" s="1739"/>
    </row>
    <row r="483" spans="1:26" x14ac:dyDescent="0.5">
      <c r="A483" s="1739"/>
      <c r="N483" s="1834"/>
      <c r="O483" s="1739"/>
      <c r="Z483" s="1739"/>
    </row>
    <row r="484" spans="1:26" x14ac:dyDescent="0.5">
      <c r="A484" s="1739"/>
      <c r="N484" s="1834"/>
      <c r="O484" s="1739"/>
      <c r="Z484" s="1739"/>
    </row>
    <row r="485" spans="1:26" x14ac:dyDescent="0.5">
      <c r="A485" s="1739"/>
      <c r="N485" s="1834"/>
      <c r="O485" s="1739"/>
      <c r="Z485" s="1739"/>
    </row>
    <row r="486" spans="1:26" x14ac:dyDescent="0.5">
      <c r="A486" s="1739"/>
      <c r="N486" s="1834"/>
      <c r="O486" s="1739"/>
      <c r="Z486" s="1739"/>
    </row>
    <row r="487" spans="1:26" x14ac:dyDescent="0.5">
      <c r="A487" s="1739"/>
      <c r="N487" s="1834"/>
      <c r="O487" s="1739"/>
      <c r="Z487" s="1739"/>
    </row>
    <row r="488" spans="1:26" x14ac:dyDescent="0.5">
      <c r="A488" s="1739"/>
      <c r="N488" s="1834"/>
      <c r="O488" s="1739"/>
      <c r="Z488" s="1739"/>
    </row>
    <row r="489" spans="1:26" x14ac:dyDescent="0.5">
      <c r="A489" s="1739"/>
      <c r="N489" s="1834"/>
      <c r="O489" s="1739"/>
      <c r="Z489" s="1739"/>
    </row>
    <row r="490" spans="1:26" x14ac:dyDescent="0.5">
      <c r="A490" s="1739"/>
      <c r="N490" s="1834"/>
      <c r="O490" s="1739"/>
      <c r="Z490" s="1739"/>
    </row>
    <row r="491" spans="1:26" x14ac:dyDescent="0.5">
      <c r="A491" s="1739"/>
      <c r="N491" s="1834"/>
      <c r="O491" s="1739"/>
      <c r="Z491" s="1739"/>
    </row>
    <row r="492" spans="1:26" x14ac:dyDescent="0.5">
      <c r="A492" s="1739"/>
      <c r="N492" s="1834"/>
      <c r="O492" s="1739"/>
      <c r="Z492" s="1739"/>
    </row>
    <row r="493" spans="1:26" x14ac:dyDescent="0.5">
      <c r="A493" s="1739"/>
      <c r="N493" s="1834"/>
      <c r="O493" s="1739"/>
      <c r="Z493" s="1739"/>
    </row>
    <row r="494" spans="1:26" x14ac:dyDescent="0.5">
      <c r="A494" s="1739"/>
      <c r="N494" s="1834"/>
      <c r="O494" s="1739"/>
      <c r="Z494" s="1739"/>
    </row>
    <row r="495" spans="1:26" x14ac:dyDescent="0.5">
      <c r="A495" s="1739"/>
      <c r="N495" s="1834"/>
      <c r="O495" s="1739"/>
      <c r="Z495" s="1739"/>
    </row>
    <row r="496" spans="1:26" x14ac:dyDescent="0.5">
      <c r="A496" s="1739"/>
      <c r="N496" s="1834"/>
      <c r="O496" s="1739"/>
      <c r="Z496" s="1739"/>
    </row>
    <row r="497" spans="1:26" x14ac:dyDescent="0.5">
      <c r="A497" s="1739"/>
      <c r="N497" s="1834"/>
      <c r="O497" s="1739"/>
      <c r="Z497" s="1739"/>
    </row>
    <row r="498" spans="1:26" x14ac:dyDescent="0.5">
      <c r="A498" s="1739"/>
      <c r="N498" s="1834"/>
      <c r="O498" s="1739"/>
      <c r="Z498" s="1739"/>
    </row>
    <row r="499" spans="1:26" x14ac:dyDescent="0.5">
      <c r="A499" s="1739"/>
      <c r="N499" s="1834"/>
      <c r="O499" s="1739"/>
      <c r="Z499" s="1739"/>
    </row>
    <row r="500" spans="1:26" x14ac:dyDescent="0.5">
      <c r="A500" s="1739"/>
      <c r="N500" s="1834"/>
      <c r="O500" s="1739"/>
      <c r="Z500" s="1739"/>
    </row>
    <row r="501" spans="1:26" x14ac:dyDescent="0.5">
      <c r="A501" s="1739"/>
      <c r="N501" s="1834"/>
      <c r="O501" s="1739"/>
      <c r="Z501" s="1739"/>
    </row>
    <row r="502" spans="1:26" x14ac:dyDescent="0.5">
      <c r="A502" s="1739"/>
      <c r="N502" s="1834"/>
      <c r="O502" s="1739"/>
      <c r="Z502" s="1739"/>
    </row>
    <row r="503" spans="1:26" x14ac:dyDescent="0.5">
      <c r="A503" s="1739"/>
      <c r="N503" s="1834"/>
      <c r="O503" s="1739"/>
      <c r="Z503" s="1739"/>
    </row>
    <row r="504" spans="1:26" x14ac:dyDescent="0.5">
      <c r="A504" s="1739"/>
      <c r="N504" s="1834"/>
      <c r="O504" s="1739"/>
      <c r="Z504" s="1739"/>
    </row>
    <row r="505" spans="1:26" x14ac:dyDescent="0.5">
      <c r="A505" s="1739"/>
      <c r="N505" s="1834"/>
      <c r="O505" s="1739"/>
      <c r="Z505" s="1739"/>
    </row>
    <row r="506" spans="1:26" x14ac:dyDescent="0.5">
      <c r="A506" s="1739"/>
      <c r="N506" s="1834"/>
      <c r="O506" s="1739"/>
      <c r="Z506" s="1739"/>
    </row>
    <row r="507" spans="1:26" x14ac:dyDescent="0.5">
      <c r="A507" s="1739"/>
      <c r="N507" s="1834"/>
      <c r="O507" s="1739"/>
      <c r="Z507" s="1739"/>
    </row>
    <row r="508" spans="1:26" x14ac:dyDescent="0.5">
      <c r="A508" s="1739"/>
      <c r="N508" s="1834"/>
      <c r="O508" s="1739"/>
      <c r="Z508" s="1739"/>
    </row>
    <row r="509" spans="1:26" x14ac:dyDescent="0.5">
      <c r="A509" s="1739"/>
      <c r="N509" s="1834"/>
      <c r="O509" s="1739"/>
      <c r="Z509" s="1739"/>
    </row>
    <row r="510" spans="1:26" x14ac:dyDescent="0.5">
      <c r="A510" s="1739"/>
      <c r="N510" s="1834"/>
      <c r="O510" s="1739"/>
      <c r="Z510" s="1739"/>
    </row>
    <row r="511" spans="1:26" x14ac:dyDescent="0.5">
      <c r="A511" s="1739"/>
      <c r="N511" s="1834"/>
      <c r="O511" s="1739"/>
      <c r="Z511" s="1739"/>
    </row>
    <row r="512" spans="1:26" x14ac:dyDescent="0.5">
      <c r="A512" s="1739"/>
      <c r="N512" s="1834"/>
      <c r="O512" s="1739"/>
      <c r="Z512" s="1739"/>
    </row>
    <row r="513" spans="1:26" x14ac:dyDescent="0.5">
      <c r="A513" s="1739"/>
      <c r="N513" s="1834"/>
      <c r="O513" s="1739"/>
      <c r="Z513" s="1739"/>
    </row>
    <row r="514" spans="1:26" x14ac:dyDescent="0.5">
      <c r="A514" s="1739"/>
      <c r="N514" s="1834"/>
      <c r="O514" s="1739"/>
      <c r="Z514" s="1739"/>
    </row>
    <row r="515" spans="1:26" x14ac:dyDescent="0.5">
      <c r="A515" s="1739"/>
      <c r="N515" s="1834"/>
      <c r="O515" s="1739"/>
      <c r="Z515" s="1739"/>
    </row>
    <row r="516" spans="1:26" x14ac:dyDescent="0.5">
      <c r="A516" s="1739"/>
      <c r="N516" s="1834"/>
      <c r="O516" s="1739"/>
      <c r="Z516" s="1739"/>
    </row>
    <row r="517" spans="1:26" x14ac:dyDescent="0.5">
      <c r="A517" s="1739"/>
      <c r="N517" s="1834"/>
      <c r="O517" s="1739"/>
      <c r="Z517" s="1739"/>
    </row>
    <row r="518" spans="1:26" x14ac:dyDescent="0.5">
      <c r="A518" s="1739"/>
      <c r="N518" s="1834"/>
      <c r="O518" s="1739"/>
      <c r="Z518" s="1739"/>
    </row>
    <row r="519" spans="1:26" x14ac:dyDescent="0.5">
      <c r="A519" s="1739"/>
      <c r="N519" s="1834"/>
      <c r="O519" s="1739"/>
      <c r="Z519" s="1739"/>
    </row>
    <row r="520" spans="1:26" x14ac:dyDescent="0.5">
      <c r="A520" s="1739"/>
      <c r="N520" s="1834"/>
      <c r="O520" s="1739"/>
      <c r="Z520" s="1739"/>
    </row>
    <row r="521" spans="1:26" x14ac:dyDescent="0.5">
      <c r="A521" s="1739"/>
      <c r="N521" s="1834"/>
      <c r="O521" s="1739"/>
      <c r="Z521" s="1739"/>
    </row>
    <row r="522" spans="1:26" x14ac:dyDescent="0.5">
      <c r="A522" s="1739"/>
      <c r="N522" s="1834"/>
      <c r="O522" s="1739"/>
      <c r="Z522" s="1739"/>
    </row>
    <row r="523" spans="1:26" x14ac:dyDescent="0.5">
      <c r="A523" s="1739"/>
      <c r="N523" s="1834"/>
      <c r="O523" s="1739"/>
      <c r="Z523" s="1739"/>
    </row>
    <row r="524" spans="1:26" x14ac:dyDescent="0.5">
      <c r="A524" s="1739"/>
      <c r="N524" s="1834"/>
      <c r="O524" s="1739"/>
      <c r="Z524" s="1739"/>
    </row>
    <row r="525" spans="1:26" x14ac:dyDescent="0.5">
      <c r="A525" s="1739"/>
      <c r="N525" s="1834"/>
      <c r="O525" s="1739"/>
      <c r="Z525" s="1739"/>
    </row>
    <row r="526" spans="1:26" x14ac:dyDescent="0.5">
      <c r="A526" s="1739"/>
      <c r="N526" s="1834"/>
      <c r="O526" s="1739"/>
      <c r="Z526" s="1739"/>
    </row>
    <row r="527" spans="1:26" x14ac:dyDescent="0.5">
      <c r="A527" s="1739"/>
      <c r="N527" s="1834"/>
      <c r="O527" s="1739"/>
      <c r="Z527" s="1739"/>
    </row>
    <row r="528" spans="1:26" x14ac:dyDescent="0.5">
      <c r="A528" s="1739"/>
      <c r="N528" s="1834"/>
      <c r="O528" s="1739"/>
      <c r="Z528" s="1739"/>
    </row>
    <row r="529" spans="1:26" x14ac:dyDescent="0.5">
      <c r="A529" s="1739"/>
      <c r="N529" s="1834"/>
      <c r="O529" s="1739"/>
      <c r="Z529" s="1739"/>
    </row>
    <row r="530" spans="1:26" x14ac:dyDescent="0.5">
      <c r="A530" s="1739"/>
      <c r="N530" s="1834"/>
      <c r="O530" s="1739"/>
      <c r="Z530" s="1739"/>
    </row>
    <row r="531" spans="1:26" x14ac:dyDescent="0.5">
      <c r="A531" s="1739"/>
      <c r="N531" s="1834"/>
      <c r="O531" s="1739"/>
      <c r="Z531" s="1739"/>
    </row>
    <row r="532" spans="1:26" x14ac:dyDescent="0.5">
      <c r="A532" s="1739"/>
      <c r="N532" s="1834"/>
      <c r="O532" s="1739"/>
      <c r="Z532" s="1739"/>
    </row>
    <row r="533" spans="1:26" x14ac:dyDescent="0.5">
      <c r="A533" s="1739"/>
      <c r="N533" s="1834"/>
      <c r="O533" s="1739"/>
      <c r="Z533" s="1739"/>
    </row>
    <row r="534" spans="1:26" x14ac:dyDescent="0.5">
      <c r="A534" s="1739"/>
      <c r="N534" s="1834"/>
      <c r="O534" s="1739"/>
      <c r="Z534" s="1739"/>
    </row>
    <row r="535" spans="1:26" x14ac:dyDescent="0.5">
      <c r="A535" s="1739"/>
      <c r="N535" s="1834"/>
      <c r="O535" s="1739"/>
      <c r="Z535" s="1739"/>
    </row>
    <row r="536" spans="1:26" x14ac:dyDescent="0.5">
      <c r="A536" s="1739"/>
      <c r="N536" s="1834"/>
      <c r="O536" s="1739"/>
      <c r="Z536" s="1739"/>
    </row>
    <row r="537" spans="1:26" x14ac:dyDescent="0.5">
      <c r="A537" s="1739"/>
      <c r="N537" s="1834"/>
      <c r="O537" s="1739"/>
      <c r="Z537" s="1739"/>
    </row>
    <row r="538" spans="1:26" x14ac:dyDescent="0.5">
      <c r="A538" s="1739"/>
      <c r="N538" s="1834"/>
      <c r="O538" s="1739"/>
      <c r="Z538" s="1739"/>
    </row>
    <row r="539" spans="1:26" x14ac:dyDescent="0.5">
      <c r="A539" s="1739"/>
      <c r="N539" s="1834"/>
      <c r="O539" s="1739"/>
      <c r="Z539" s="1739"/>
    </row>
    <row r="540" spans="1:26" x14ac:dyDescent="0.5">
      <c r="A540" s="1739"/>
      <c r="N540" s="1834"/>
      <c r="O540" s="1739"/>
      <c r="Z540" s="1739"/>
    </row>
    <row r="541" spans="1:26" x14ac:dyDescent="0.5">
      <c r="A541" s="1739"/>
      <c r="N541" s="1834"/>
      <c r="O541" s="1739"/>
      <c r="Z541" s="1739"/>
    </row>
    <row r="542" spans="1:26" x14ac:dyDescent="0.5">
      <c r="A542" s="1739"/>
      <c r="N542" s="1834"/>
      <c r="O542" s="1739"/>
      <c r="Z542" s="1739"/>
    </row>
    <row r="543" spans="1:26" x14ac:dyDescent="0.5">
      <c r="A543" s="1739"/>
      <c r="N543" s="1834"/>
      <c r="O543" s="1739"/>
      <c r="Z543" s="1739"/>
    </row>
    <row r="544" spans="1:26" x14ac:dyDescent="0.5">
      <c r="A544" s="1739"/>
      <c r="N544" s="1834"/>
      <c r="O544" s="1739"/>
      <c r="Z544" s="1739"/>
    </row>
    <row r="545" spans="1:26" x14ac:dyDescent="0.5">
      <c r="A545" s="1739"/>
      <c r="N545" s="1834"/>
      <c r="O545" s="1739"/>
      <c r="Z545" s="1739"/>
    </row>
    <row r="546" spans="1:26" x14ac:dyDescent="0.5">
      <c r="A546" s="1739"/>
      <c r="N546" s="1834"/>
      <c r="O546" s="1739"/>
      <c r="Z546" s="1739"/>
    </row>
    <row r="547" spans="1:26" x14ac:dyDescent="0.5">
      <c r="A547" s="1739"/>
      <c r="N547" s="1834"/>
      <c r="O547" s="1739"/>
      <c r="Z547" s="1739"/>
    </row>
    <row r="548" spans="1:26" x14ac:dyDescent="0.5">
      <c r="A548" s="1739"/>
      <c r="N548" s="1834"/>
      <c r="O548" s="1739"/>
      <c r="Z548" s="1739"/>
    </row>
    <row r="549" spans="1:26" x14ac:dyDescent="0.5">
      <c r="A549" s="1739"/>
      <c r="N549" s="1834"/>
      <c r="O549" s="1739"/>
      <c r="Z549" s="1739"/>
    </row>
    <row r="550" spans="1:26" x14ac:dyDescent="0.5">
      <c r="A550" s="1739"/>
      <c r="N550" s="1834"/>
      <c r="O550" s="1739"/>
      <c r="Z550" s="1739"/>
    </row>
    <row r="551" spans="1:26" x14ac:dyDescent="0.5">
      <c r="A551" s="1739"/>
      <c r="N551" s="1834"/>
      <c r="O551" s="1739"/>
      <c r="Z551" s="1739"/>
    </row>
    <row r="552" spans="1:26" x14ac:dyDescent="0.5">
      <c r="A552" s="1739"/>
      <c r="N552" s="1834"/>
      <c r="O552" s="1739"/>
      <c r="Z552" s="1739"/>
    </row>
    <row r="553" spans="1:26" x14ac:dyDescent="0.5">
      <c r="A553" s="1739"/>
      <c r="N553" s="1834"/>
      <c r="O553" s="1739"/>
      <c r="Z553" s="1739"/>
    </row>
    <row r="554" spans="1:26" x14ac:dyDescent="0.5">
      <c r="A554" s="1739"/>
      <c r="N554" s="1834"/>
      <c r="O554" s="1739"/>
      <c r="Z554" s="1739"/>
    </row>
    <row r="555" spans="1:26" x14ac:dyDescent="0.5">
      <c r="A555" s="1739"/>
      <c r="N555" s="1834"/>
      <c r="O555" s="1739"/>
      <c r="Z555" s="1739"/>
    </row>
    <row r="556" spans="1:26" x14ac:dyDescent="0.5">
      <c r="A556" s="1739"/>
      <c r="N556" s="1834"/>
      <c r="O556" s="1739"/>
      <c r="Z556" s="1739"/>
    </row>
    <row r="557" spans="1:26" x14ac:dyDescent="0.5">
      <c r="A557" s="1739"/>
      <c r="N557" s="1834"/>
      <c r="O557" s="1739"/>
      <c r="Z557" s="1739"/>
    </row>
    <row r="558" spans="1:26" x14ac:dyDescent="0.5">
      <c r="A558" s="1739"/>
      <c r="N558" s="1834"/>
      <c r="O558" s="1739"/>
      <c r="Z558" s="1739"/>
    </row>
    <row r="559" spans="1:26" x14ac:dyDescent="0.5">
      <c r="A559" s="1739"/>
      <c r="N559" s="1834"/>
      <c r="O559" s="1739"/>
      <c r="Z559" s="1739"/>
    </row>
    <row r="560" spans="1:26" x14ac:dyDescent="0.5">
      <c r="A560" s="1739"/>
      <c r="N560" s="1834"/>
      <c r="O560" s="1739"/>
      <c r="Z560" s="1739"/>
    </row>
    <row r="561" spans="1:26" x14ac:dyDescent="0.5">
      <c r="A561" s="1739"/>
      <c r="N561" s="1834"/>
      <c r="O561" s="1739"/>
      <c r="Z561" s="1739"/>
    </row>
    <row r="562" spans="1:26" x14ac:dyDescent="0.5">
      <c r="A562" s="1739"/>
      <c r="N562" s="1834"/>
      <c r="O562" s="1739"/>
      <c r="Z562" s="1739"/>
    </row>
    <row r="563" spans="1:26" x14ac:dyDescent="0.5">
      <c r="A563" s="1739"/>
      <c r="N563" s="1834"/>
      <c r="O563" s="1739"/>
      <c r="Z563" s="1739"/>
    </row>
    <row r="564" spans="1:26" x14ac:dyDescent="0.5">
      <c r="A564" s="1739"/>
      <c r="N564" s="1834"/>
      <c r="O564" s="1739"/>
      <c r="Z564" s="1739"/>
    </row>
    <row r="565" spans="1:26" x14ac:dyDescent="0.5">
      <c r="A565" s="1739"/>
      <c r="N565" s="1834"/>
      <c r="O565" s="1739"/>
      <c r="Z565" s="1739"/>
    </row>
    <row r="566" spans="1:26" x14ac:dyDescent="0.5">
      <c r="A566" s="1739"/>
      <c r="N566" s="1834"/>
      <c r="O566" s="1739"/>
      <c r="Z566" s="1739"/>
    </row>
    <row r="567" spans="1:26" x14ac:dyDescent="0.5">
      <c r="A567" s="1739"/>
      <c r="N567" s="1834"/>
      <c r="O567" s="1739"/>
      <c r="Z567" s="1739"/>
    </row>
    <row r="568" spans="1:26" x14ac:dyDescent="0.5">
      <c r="A568" s="1739"/>
      <c r="N568" s="1834"/>
      <c r="O568" s="1739"/>
      <c r="Z568" s="1739"/>
    </row>
    <row r="569" spans="1:26" x14ac:dyDescent="0.5">
      <c r="A569" s="1739"/>
      <c r="N569" s="1834"/>
      <c r="O569" s="1739"/>
      <c r="Z569" s="1739"/>
    </row>
    <row r="570" spans="1:26" x14ac:dyDescent="0.5">
      <c r="A570" s="1739"/>
      <c r="N570" s="1834"/>
      <c r="O570" s="1739"/>
      <c r="Z570" s="1739"/>
    </row>
    <row r="571" spans="1:26" x14ac:dyDescent="0.5">
      <c r="A571" s="1739"/>
      <c r="N571" s="1834"/>
      <c r="O571" s="1739"/>
      <c r="Z571" s="1739"/>
    </row>
    <row r="572" spans="1:26" x14ac:dyDescent="0.5">
      <c r="A572" s="1739"/>
      <c r="N572" s="1834"/>
      <c r="O572" s="1739"/>
      <c r="Z572" s="1739"/>
    </row>
    <row r="573" spans="1:26" x14ac:dyDescent="0.5">
      <c r="A573" s="1739"/>
      <c r="N573" s="1834"/>
      <c r="O573" s="1739"/>
      <c r="Z573" s="1739"/>
    </row>
    <row r="574" spans="1:26" x14ac:dyDescent="0.5">
      <c r="A574" s="1739"/>
      <c r="N574" s="1834"/>
      <c r="O574" s="1739"/>
      <c r="Z574" s="1739"/>
    </row>
    <row r="575" spans="1:26" x14ac:dyDescent="0.5">
      <c r="A575" s="1739"/>
      <c r="N575" s="1834"/>
      <c r="O575" s="1739"/>
      <c r="Z575" s="1739"/>
    </row>
    <row r="576" spans="1:26" x14ac:dyDescent="0.5">
      <c r="A576" s="1739"/>
      <c r="N576" s="1834"/>
      <c r="O576" s="1739"/>
      <c r="Z576" s="1739"/>
    </row>
    <row r="577" spans="1:26" x14ac:dyDescent="0.5">
      <c r="A577" s="1739"/>
      <c r="N577" s="1834"/>
      <c r="O577" s="1739"/>
      <c r="Z577" s="1739"/>
    </row>
    <row r="578" spans="1:26" x14ac:dyDescent="0.5">
      <c r="A578" s="1739"/>
      <c r="N578" s="1834"/>
      <c r="O578" s="1739"/>
      <c r="Z578" s="1739"/>
    </row>
    <row r="579" spans="1:26" x14ac:dyDescent="0.5">
      <c r="A579" s="1739"/>
      <c r="N579" s="1834"/>
      <c r="O579" s="1739"/>
      <c r="Z579" s="1739"/>
    </row>
    <row r="580" spans="1:26" x14ac:dyDescent="0.5">
      <c r="A580" s="1739"/>
      <c r="N580" s="1834"/>
      <c r="O580" s="1739"/>
      <c r="Z580" s="1739"/>
    </row>
    <row r="581" spans="1:26" x14ac:dyDescent="0.5">
      <c r="A581" s="1739"/>
      <c r="N581" s="1834"/>
      <c r="O581" s="1739"/>
      <c r="Z581" s="1739"/>
    </row>
    <row r="582" spans="1:26" x14ac:dyDescent="0.5">
      <c r="A582" s="1739"/>
      <c r="N582" s="1834"/>
      <c r="O582" s="1739"/>
      <c r="Z582" s="1739"/>
    </row>
    <row r="583" spans="1:26" x14ac:dyDescent="0.5">
      <c r="A583" s="1739"/>
      <c r="N583" s="1834"/>
      <c r="O583" s="1739"/>
      <c r="Z583" s="1739"/>
    </row>
    <row r="584" spans="1:26" x14ac:dyDescent="0.5">
      <c r="A584" s="1739"/>
      <c r="N584" s="1834"/>
      <c r="O584" s="1739"/>
      <c r="Z584" s="1739"/>
    </row>
    <row r="585" spans="1:26" x14ac:dyDescent="0.5">
      <c r="A585" s="1739"/>
      <c r="N585" s="1834"/>
      <c r="O585" s="1739"/>
      <c r="Z585" s="1739"/>
    </row>
    <row r="586" spans="1:26" x14ac:dyDescent="0.5">
      <c r="A586" s="1739"/>
      <c r="N586" s="1834"/>
      <c r="O586" s="1739"/>
      <c r="Z586" s="1739"/>
    </row>
    <row r="587" spans="1:26" x14ac:dyDescent="0.5">
      <c r="A587" s="1739"/>
      <c r="N587" s="1834"/>
      <c r="O587" s="1739"/>
      <c r="Z587" s="1739"/>
    </row>
    <row r="588" spans="1:26" x14ac:dyDescent="0.5">
      <c r="A588" s="1739"/>
      <c r="N588" s="1834"/>
      <c r="O588" s="1739"/>
      <c r="Z588" s="1739"/>
    </row>
    <row r="589" spans="1:26" x14ac:dyDescent="0.5">
      <c r="A589" s="1739"/>
      <c r="N589" s="1834"/>
      <c r="O589" s="1739"/>
      <c r="Z589" s="1739"/>
    </row>
    <row r="590" spans="1:26" x14ac:dyDescent="0.5">
      <c r="A590" s="1739"/>
      <c r="N590" s="1834"/>
      <c r="O590" s="1739"/>
      <c r="Z590" s="1739"/>
    </row>
    <row r="591" spans="1:26" x14ac:dyDescent="0.5">
      <c r="A591" s="1739"/>
      <c r="N591" s="1834"/>
      <c r="O591" s="1739"/>
      <c r="Z591" s="1739"/>
    </row>
    <row r="592" spans="1:26" x14ac:dyDescent="0.5">
      <c r="A592" s="1739"/>
      <c r="N592" s="1834"/>
      <c r="O592" s="1739"/>
      <c r="Z592" s="1739"/>
    </row>
    <row r="593" spans="1:26" x14ac:dyDescent="0.5">
      <c r="A593" s="1739"/>
      <c r="N593" s="1834"/>
      <c r="O593" s="1739"/>
      <c r="Z593" s="1739"/>
    </row>
    <row r="594" spans="1:26" x14ac:dyDescent="0.5">
      <c r="A594" s="1739"/>
      <c r="N594" s="1834"/>
      <c r="O594" s="1739"/>
      <c r="Z594" s="1739"/>
    </row>
    <row r="595" spans="1:26" x14ac:dyDescent="0.5">
      <c r="A595" s="1739"/>
      <c r="N595" s="1834"/>
      <c r="O595" s="1739"/>
      <c r="Z595" s="1739"/>
    </row>
    <row r="596" spans="1:26" x14ac:dyDescent="0.5">
      <c r="A596" s="1739"/>
      <c r="N596" s="1834"/>
      <c r="O596" s="1739"/>
      <c r="Z596" s="1739"/>
    </row>
    <row r="597" spans="1:26" x14ac:dyDescent="0.5">
      <c r="A597" s="1739"/>
      <c r="N597" s="1834"/>
      <c r="O597" s="1739"/>
      <c r="Z597" s="1739"/>
    </row>
    <row r="598" spans="1:26" x14ac:dyDescent="0.5">
      <c r="A598" s="1739"/>
      <c r="N598" s="1834"/>
      <c r="O598" s="1739"/>
      <c r="Z598" s="1739"/>
    </row>
    <row r="599" spans="1:26" x14ac:dyDescent="0.5">
      <c r="A599" s="1739"/>
      <c r="N599" s="1834"/>
      <c r="O599" s="1739"/>
      <c r="Z599" s="1739"/>
    </row>
    <row r="600" spans="1:26" x14ac:dyDescent="0.5">
      <c r="A600" s="1739"/>
      <c r="N600" s="1834"/>
      <c r="O600" s="1739"/>
      <c r="Z600" s="1739"/>
    </row>
    <row r="601" spans="1:26" x14ac:dyDescent="0.5">
      <c r="A601" s="1739"/>
      <c r="N601" s="1834"/>
      <c r="O601" s="1739"/>
      <c r="Z601" s="1739"/>
    </row>
    <row r="602" spans="1:26" x14ac:dyDescent="0.5">
      <c r="A602" s="1739"/>
      <c r="N602" s="1834"/>
      <c r="O602" s="1739"/>
      <c r="Z602" s="1739"/>
    </row>
    <row r="603" spans="1:26" x14ac:dyDescent="0.5">
      <c r="A603" s="1739"/>
      <c r="N603" s="1834"/>
      <c r="O603" s="1739"/>
      <c r="Z603" s="1739"/>
    </row>
    <row r="604" spans="1:26" x14ac:dyDescent="0.5">
      <c r="A604" s="1739"/>
      <c r="N604" s="1834"/>
      <c r="O604" s="1739"/>
      <c r="Z604" s="1739"/>
    </row>
    <row r="605" spans="1:26" x14ac:dyDescent="0.5">
      <c r="A605" s="1739"/>
      <c r="N605" s="1834"/>
      <c r="O605" s="1739"/>
      <c r="Z605" s="1739"/>
    </row>
    <row r="606" spans="1:26" x14ac:dyDescent="0.5">
      <c r="A606" s="1739"/>
      <c r="N606" s="1834"/>
      <c r="O606" s="1739"/>
      <c r="Z606" s="1739"/>
    </row>
    <row r="607" spans="1:26" x14ac:dyDescent="0.5">
      <c r="A607" s="1739"/>
      <c r="N607" s="1834"/>
      <c r="O607" s="1739"/>
      <c r="Z607" s="1739"/>
    </row>
    <row r="608" spans="1:26" x14ac:dyDescent="0.5">
      <c r="A608" s="1739"/>
      <c r="N608" s="1834"/>
      <c r="O608" s="1739"/>
      <c r="Z608" s="1739"/>
    </row>
    <row r="609" spans="1:26" x14ac:dyDescent="0.5">
      <c r="A609" s="1739"/>
      <c r="N609" s="1834"/>
      <c r="O609" s="1739"/>
      <c r="Z609" s="1739"/>
    </row>
    <row r="610" spans="1:26" x14ac:dyDescent="0.5">
      <c r="A610" s="1739"/>
      <c r="N610" s="1834"/>
      <c r="O610" s="1739"/>
      <c r="Z610" s="1739"/>
    </row>
    <row r="611" spans="1:26" x14ac:dyDescent="0.5">
      <c r="A611" s="1739"/>
      <c r="N611" s="1834"/>
      <c r="O611" s="1739"/>
      <c r="Z611" s="1739"/>
    </row>
    <row r="612" spans="1:26" x14ac:dyDescent="0.5">
      <c r="A612" s="1739"/>
      <c r="N612" s="1834"/>
      <c r="O612" s="1739"/>
      <c r="Z612" s="1739"/>
    </row>
    <row r="613" spans="1:26" x14ac:dyDescent="0.5">
      <c r="A613" s="1739"/>
      <c r="N613" s="1834"/>
      <c r="O613" s="1739"/>
      <c r="Z613" s="1739"/>
    </row>
    <row r="614" spans="1:26" x14ac:dyDescent="0.5">
      <c r="A614" s="1739"/>
      <c r="N614" s="1834"/>
      <c r="O614" s="1739"/>
      <c r="Z614" s="1739"/>
    </row>
    <row r="615" spans="1:26" x14ac:dyDescent="0.5">
      <c r="A615" s="1739"/>
      <c r="N615" s="1834"/>
      <c r="O615" s="1739"/>
      <c r="Z615" s="1739"/>
    </row>
    <row r="616" spans="1:26" x14ac:dyDescent="0.5">
      <c r="A616" s="1739"/>
      <c r="N616" s="1834"/>
      <c r="O616" s="1739"/>
      <c r="Z616" s="1739"/>
    </row>
    <row r="617" spans="1:26" x14ac:dyDescent="0.5">
      <c r="A617" s="1739"/>
      <c r="N617" s="1834"/>
      <c r="O617" s="1739"/>
      <c r="Z617" s="1739"/>
    </row>
    <row r="618" spans="1:26" x14ac:dyDescent="0.5">
      <c r="A618" s="1739"/>
      <c r="N618" s="1834"/>
      <c r="O618" s="1739"/>
      <c r="Z618" s="1739"/>
    </row>
    <row r="619" spans="1:26" x14ac:dyDescent="0.5">
      <c r="A619" s="1739"/>
      <c r="N619" s="1834"/>
      <c r="O619" s="1739"/>
      <c r="Z619" s="1739"/>
    </row>
    <row r="620" spans="1:26" x14ac:dyDescent="0.5">
      <c r="A620" s="1739"/>
      <c r="N620" s="1834"/>
      <c r="O620" s="1739"/>
      <c r="Z620" s="1739"/>
    </row>
    <row r="621" spans="1:26" x14ac:dyDescent="0.5">
      <c r="A621" s="1739"/>
      <c r="N621" s="1834"/>
      <c r="O621" s="1739"/>
      <c r="Z621" s="1739"/>
    </row>
    <row r="622" spans="1:26" x14ac:dyDescent="0.5">
      <c r="A622" s="1739"/>
      <c r="N622" s="1834"/>
      <c r="O622" s="1739"/>
      <c r="Z622" s="1739"/>
    </row>
    <row r="623" spans="1:26" x14ac:dyDescent="0.5">
      <c r="A623" s="1739"/>
      <c r="N623" s="1834"/>
      <c r="O623" s="1739"/>
      <c r="Z623" s="1739"/>
    </row>
    <row r="624" spans="1:26" x14ac:dyDescent="0.5">
      <c r="A624" s="1739"/>
      <c r="N624" s="1834"/>
      <c r="O624" s="1739"/>
      <c r="Z624" s="1739"/>
    </row>
    <row r="625" spans="1:26" x14ac:dyDescent="0.5">
      <c r="A625" s="1739"/>
      <c r="N625" s="1834"/>
      <c r="O625" s="1739"/>
      <c r="Z625" s="1739"/>
    </row>
    <row r="626" spans="1:26" x14ac:dyDescent="0.5">
      <c r="A626" s="1739"/>
      <c r="N626" s="1834"/>
      <c r="O626" s="1739"/>
      <c r="Z626" s="1739"/>
    </row>
    <row r="627" spans="1:26" x14ac:dyDescent="0.5">
      <c r="A627" s="1739"/>
      <c r="N627" s="1834"/>
      <c r="O627" s="1739"/>
      <c r="Z627" s="1739"/>
    </row>
    <row r="628" spans="1:26" x14ac:dyDescent="0.5">
      <c r="A628" s="1739"/>
      <c r="N628" s="1834"/>
      <c r="O628" s="1739"/>
      <c r="Z628" s="1739"/>
    </row>
    <row r="629" spans="1:26" x14ac:dyDescent="0.5">
      <c r="A629" s="1739"/>
      <c r="N629" s="1834"/>
      <c r="O629" s="1739"/>
      <c r="Z629" s="1739"/>
    </row>
    <row r="630" spans="1:26" x14ac:dyDescent="0.5">
      <c r="A630" s="1739"/>
      <c r="N630" s="1834"/>
      <c r="O630" s="1739"/>
      <c r="Z630" s="1739"/>
    </row>
    <row r="631" spans="1:26" x14ac:dyDescent="0.5">
      <c r="A631" s="1739"/>
      <c r="N631" s="1834"/>
      <c r="O631" s="1739"/>
      <c r="Z631" s="1739"/>
    </row>
    <row r="632" spans="1:26" x14ac:dyDescent="0.5">
      <c r="A632" s="1739"/>
      <c r="N632" s="1834"/>
      <c r="O632" s="1739"/>
      <c r="Z632" s="1739"/>
    </row>
    <row r="633" spans="1:26" x14ac:dyDescent="0.5">
      <c r="A633" s="1739"/>
      <c r="N633" s="1834"/>
      <c r="O633" s="1739"/>
      <c r="Z633" s="1739"/>
    </row>
    <row r="634" spans="1:26" x14ac:dyDescent="0.5">
      <c r="A634" s="1739"/>
      <c r="N634" s="1834"/>
      <c r="O634" s="1739"/>
      <c r="Z634" s="1739"/>
    </row>
    <row r="635" spans="1:26" x14ac:dyDescent="0.5">
      <c r="A635" s="1739"/>
      <c r="N635" s="1834"/>
      <c r="O635" s="1739"/>
      <c r="Z635" s="1739"/>
    </row>
    <row r="636" spans="1:26" x14ac:dyDescent="0.5">
      <c r="A636" s="1739"/>
      <c r="N636" s="1834"/>
      <c r="O636" s="1739"/>
      <c r="Z636" s="1739"/>
    </row>
    <row r="637" spans="1:26" x14ac:dyDescent="0.5">
      <c r="A637" s="1739"/>
      <c r="N637" s="1834"/>
      <c r="O637" s="1739"/>
      <c r="Z637" s="1739"/>
    </row>
    <row r="638" spans="1:26" x14ac:dyDescent="0.5">
      <c r="A638" s="1739"/>
      <c r="N638" s="1834"/>
      <c r="O638" s="1739"/>
      <c r="Z638" s="1739"/>
    </row>
    <row r="639" spans="1:26" x14ac:dyDescent="0.5">
      <c r="A639" s="1739"/>
      <c r="N639" s="1834"/>
      <c r="O639" s="1739"/>
      <c r="Z639" s="1739"/>
    </row>
    <row r="640" spans="1:26" x14ac:dyDescent="0.5">
      <c r="A640" s="1739"/>
      <c r="N640" s="1834"/>
      <c r="O640" s="1739"/>
      <c r="Z640" s="1739"/>
    </row>
    <row r="641" spans="1:26" x14ac:dyDescent="0.5">
      <c r="A641" s="1739"/>
      <c r="N641" s="1834"/>
      <c r="O641" s="1739"/>
      <c r="Z641" s="1739"/>
    </row>
    <row r="642" spans="1:26" x14ac:dyDescent="0.5">
      <c r="A642" s="1739"/>
      <c r="N642" s="1834"/>
      <c r="O642" s="1739"/>
      <c r="Z642" s="1739"/>
    </row>
    <row r="643" spans="1:26" x14ac:dyDescent="0.5">
      <c r="A643" s="1739"/>
      <c r="N643" s="1834"/>
      <c r="O643" s="1739"/>
      <c r="Z643" s="1739"/>
    </row>
    <row r="644" spans="1:26" x14ac:dyDescent="0.5">
      <c r="A644" s="1739"/>
      <c r="N644" s="1834"/>
      <c r="O644" s="1739"/>
      <c r="Z644" s="1739"/>
    </row>
    <row r="645" spans="1:26" x14ac:dyDescent="0.5">
      <c r="A645" s="1739"/>
      <c r="N645" s="1834"/>
      <c r="O645" s="1739"/>
      <c r="Z645" s="1739"/>
    </row>
    <row r="646" spans="1:26" x14ac:dyDescent="0.5">
      <c r="A646" s="1739"/>
      <c r="N646" s="1834"/>
      <c r="O646" s="1739"/>
      <c r="Z646" s="1739"/>
    </row>
    <row r="647" spans="1:26" x14ac:dyDescent="0.5">
      <c r="A647" s="1739"/>
      <c r="N647" s="1834"/>
      <c r="O647" s="1739"/>
      <c r="Z647" s="1739"/>
    </row>
    <row r="648" spans="1:26" x14ac:dyDescent="0.5">
      <c r="A648" s="1739"/>
      <c r="N648" s="1834"/>
      <c r="O648" s="1739"/>
      <c r="Z648" s="1739"/>
    </row>
    <row r="649" spans="1:26" x14ac:dyDescent="0.5">
      <c r="A649" s="1739"/>
      <c r="N649" s="1834"/>
      <c r="O649" s="1739"/>
      <c r="Z649" s="1739"/>
    </row>
    <row r="650" spans="1:26" x14ac:dyDescent="0.5">
      <c r="A650" s="1739"/>
      <c r="N650" s="1834"/>
      <c r="O650" s="1739"/>
      <c r="Z650" s="1739"/>
    </row>
    <row r="651" spans="1:26" x14ac:dyDescent="0.5">
      <c r="A651" s="1739"/>
      <c r="N651" s="1834"/>
      <c r="O651" s="1739"/>
      <c r="Z651" s="1739"/>
    </row>
    <row r="652" spans="1:26" x14ac:dyDescent="0.5">
      <c r="A652" s="1739"/>
      <c r="N652" s="1834"/>
      <c r="O652" s="1739"/>
      <c r="Z652" s="1739"/>
    </row>
    <row r="653" spans="1:26" x14ac:dyDescent="0.5">
      <c r="A653" s="1739"/>
      <c r="N653" s="1834"/>
      <c r="O653" s="1739"/>
      <c r="Z653" s="1739"/>
    </row>
    <row r="654" spans="1:26" x14ac:dyDescent="0.5">
      <c r="A654" s="1739"/>
      <c r="N654" s="1834"/>
      <c r="O654" s="1739"/>
      <c r="Z654" s="1739"/>
    </row>
    <row r="655" spans="1:26" x14ac:dyDescent="0.5">
      <c r="A655" s="1739"/>
      <c r="N655" s="1834"/>
      <c r="O655" s="1739"/>
      <c r="Z655" s="1739"/>
    </row>
    <row r="656" spans="1:26" x14ac:dyDescent="0.5">
      <c r="A656" s="1739"/>
      <c r="N656" s="1834"/>
      <c r="O656" s="1739"/>
      <c r="Z656" s="1739"/>
    </row>
    <row r="657" spans="1:26" x14ac:dyDescent="0.5">
      <c r="A657" s="1739"/>
      <c r="N657" s="1834"/>
      <c r="O657" s="1739"/>
      <c r="Z657" s="1739"/>
    </row>
    <row r="658" spans="1:26" x14ac:dyDescent="0.5">
      <c r="A658" s="1739"/>
      <c r="N658" s="1834"/>
      <c r="O658" s="1739"/>
      <c r="Z658" s="1739"/>
    </row>
    <row r="659" spans="1:26" x14ac:dyDescent="0.5">
      <c r="A659" s="1739"/>
      <c r="N659" s="1834"/>
      <c r="O659" s="1739"/>
      <c r="Z659" s="1739"/>
    </row>
    <row r="660" spans="1:26" x14ac:dyDescent="0.5">
      <c r="A660" s="1739"/>
      <c r="N660" s="1834"/>
      <c r="O660" s="1739"/>
      <c r="Z660" s="1739"/>
    </row>
    <row r="661" spans="1:26" x14ac:dyDescent="0.5">
      <c r="A661" s="1739"/>
      <c r="N661" s="1834"/>
      <c r="O661" s="1739"/>
      <c r="Z661" s="1739"/>
    </row>
    <row r="662" spans="1:26" x14ac:dyDescent="0.5">
      <c r="A662" s="1739"/>
      <c r="N662" s="1834"/>
      <c r="O662" s="1739"/>
      <c r="Z662" s="1739"/>
    </row>
    <row r="663" spans="1:26" x14ac:dyDescent="0.5">
      <c r="A663" s="1739"/>
      <c r="N663" s="1834"/>
      <c r="O663" s="1739"/>
      <c r="Z663" s="1739"/>
    </row>
    <row r="664" spans="1:26" x14ac:dyDescent="0.5">
      <c r="A664" s="1739"/>
      <c r="N664" s="1834"/>
      <c r="O664" s="1739"/>
      <c r="Z664" s="1739"/>
    </row>
    <row r="665" spans="1:26" x14ac:dyDescent="0.5">
      <c r="A665" s="1739"/>
      <c r="N665" s="1834"/>
      <c r="O665" s="1739"/>
      <c r="Z665" s="1739"/>
    </row>
    <row r="666" spans="1:26" x14ac:dyDescent="0.5">
      <c r="A666" s="1739"/>
      <c r="N666" s="1834"/>
      <c r="O666" s="1739"/>
      <c r="Z666" s="1739"/>
    </row>
    <row r="667" spans="1:26" x14ac:dyDescent="0.5">
      <c r="A667" s="1739"/>
      <c r="N667" s="1834"/>
      <c r="O667" s="1739"/>
      <c r="Z667" s="1739"/>
    </row>
    <row r="668" spans="1:26" x14ac:dyDescent="0.5">
      <c r="A668" s="1739"/>
      <c r="N668" s="1834"/>
      <c r="O668" s="1739"/>
      <c r="Z668" s="1739"/>
    </row>
    <row r="669" spans="1:26" x14ac:dyDescent="0.5">
      <c r="A669" s="1739"/>
      <c r="N669" s="1834"/>
      <c r="O669" s="1739"/>
      <c r="Z669" s="1739"/>
    </row>
    <row r="670" spans="1:26" x14ac:dyDescent="0.5">
      <c r="A670" s="1739"/>
      <c r="N670" s="1834"/>
      <c r="O670" s="1739"/>
      <c r="Z670" s="1739"/>
    </row>
    <row r="671" spans="1:26" x14ac:dyDescent="0.5">
      <c r="A671" s="1739"/>
      <c r="N671" s="1834"/>
      <c r="O671" s="1739"/>
      <c r="Z671" s="1739"/>
    </row>
    <row r="672" spans="1:26" x14ac:dyDescent="0.5">
      <c r="A672" s="1739"/>
      <c r="N672" s="1834"/>
      <c r="O672" s="1739"/>
      <c r="Z672" s="1739"/>
    </row>
    <row r="673" spans="1:26" x14ac:dyDescent="0.5">
      <c r="A673" s="1739"/>
      <c r="N673" s="1834"/>
      <c r="O673" s="1739"/>
      <c r="Z673" s="1739"/>
    </row>
    <row r="674" spans="1:26" x14ac:dyDescent="0.5">
      <c r="A674" s="1739"/>
      <c r="N674" s="1834"/>
      <c r="O674" s="1739"/>
      <c r="Z674" s="1739"/>
    </row>
    <row r="675" spans="1:26" x14ac:dyDescent="0.5">
      <c r="A675" s="1739"/>
      <c r="N675" s="1834"/>
      <c r="O675" s="1739"/>
      <c r="Z675" s="1739"/>
    </row>
    <row r="676" spans="1:26" x14ac:dyDescent="0.5">
      <c r="A676" s="1739"/>
      <c r="N676" s="1834"/>
      <c r="O676" s="1739"/>
      <c r="Z676" s="1739"/>
    </row>
    <row r="677" spans="1:26" x14ac:dyDescent="0.5">
      <c r="A677" s="1739"/>
      <c r="N677" s="1834"/>
      <c r="O677" s="1739"/>
      <c r="Z677" s="1739"/>
    </row>
    <row r="678" spans="1:26" x14ac:dyDescent="0.5">
      <c r="A678" s="1739"/>
      <c r="N678" s="1834"/>
      <c r="O678" s="1739"/>
      <c r="Z678" s="1739"/>
    </row>
    <row r="679" spans="1:26" x14ac:dyDescent="0.5">
      <c r="A679" s="1739"/>
      <c r="N679" s="1834"/>
      <c r="O679" s="1739"/>
      <c r="Z679" s="1739"/>
    </row>
    <row r="680" spans="1:26" x14ac:dyDescent="0.5">
      <c r="A680" s="1739"/>
      <c r="N680" s="1834"/>
      <c r="O680" s="1739"/>
      <c r="Z680" s="1739"/>
    </row>
    <row r="681" spans="1:26" x14ac:dyDescent="0.5">
      <c r="A681" s="1739"/>
      <c r="N681" s="1834"/>
      <c r="O681" s="1739"/>
      <c r="Z681" s="1739"/>
    </row>
    <row r="682" spans="1:26" x14ac:dyDescent="0.5">
      <c r="A682" s="1739"/>
      <c r="N682" s="1834"/>
      <c r="O682" s="1739"/>
      <c r="Z682" s="1739"/>
    </row>
    <row r="683" spans="1:26" x14ac:dyDescent="0.5">
      <c r="A683" s="1739"/>
      <c r="N683" s="1834"/>
      <c r="O683" s="1739"/>
      <c r="Z683" s="1739"/>
    </row>
    <row r="684" spans="1:26" x14ac:dyDescent="0.5">
      <c r="A684" s="1739"/>
      <c r="N684" s="1834"/>
      <c r="O684" s="1739"/>
      <c r="Z684" s="1739"/>
    </row>
    <row r="685" spans="1:26" x14ac:dyDescent="0.5">
      <c r="A685" s="1739"/>
      <c r="N685" s="1834"/>
      <c r="O685" s="1739"/>
      <c r="Z685" s="1739"/>
    </row>
    <row r="686" spans="1:26" x14ac:dyDescent="0.5">
      <c r="A686" s="1739"/>
      <c r="N686" s="1834"/>
      <c r="O686" s="1739"/>
      <c r="Z686" s="1739"/>
    </row>
    <row r="687" spans="1:26" x14ac:dyDescent="0.5">
      <c r="A687" s="1739"/>
      <c r="N687" s="1834"/>
      <c r="O687" s="1739"/>
      <c r="Z687" s="1739"/>
    </row>
    <row r="688" spans="1:26" x14ac:dyDescent="0.5">
      <c r="A688" s="1739"/>
      <c r="N688" s="1834"/>
      <c r="O688" s="1739"/>
      <c r="Z688" s="1739"/>
    </row>
    <row r="689" spans="1:26" x14ac:dyDescent="0.5">
      <c r="A689" s="1739"/>
      <c r="N689" s="1834"/>
      <c r="O689" s="1739"/>
      <c r="Z689" s="1739"/>
    </row>
    <row r="690" spans="1:26" x14ac:dyDescent="0.5">
      <c r="A690" s="1739"/>
      <c r="N690" s="1834"/>
      <c r="O690" s="1739"/>
      <c r="Z690" s="1739"/>
    </row>
    <row r="691" spans="1:26" x14ac:dyDescent="0.5">
      <c r="A691" s="1739"/>
      <c r="N691" s="1834"/>
      <c r="O691" s="1739"/>
      <c r="Z691" s="1739"/>
    </row>
    <row r="692" spans="1:26" x14ac:dyDescent="0.5">
      <c r="A692" s="1739"/>
      <c r="N692" s="1834"/>
      <c r="O692" s="1739"/>
      <c r="Z692" s="1739"/>
    </row>
    <row r="693" spans="1:26" x14ac:dyDescent="0.5">
      <c r="A693" s="1739"/>
      <c r="N693" s="1834"/>
      <c r="O693" s="1739"/>
      <c r="Z693" s="1739"/>
    </row>
    <row r="694" spans="1:26" x14ac:dyDescent="0.5">
      <c r="A694" s="1739"/>
      <c r="N694" s="1834"/>
      <c r="O694" s="1739"/>
      <c r="Z694" s="1739"/>
    </row>
    <row r="695" spans="1:26" x14ac:dyDescent="0.5">
      <c r="A695" s="1739"/>
      <c r="N695" s="1834"/>
      <c r="O695" s="1739"/>
      <c r="Z695" s="1739"/>
    </row>
    <row r="696" spans="1:26" x14ac:dyDescent="0.5">
      <c r="A696" s="1739"/>
      <c r="N696" s="1834"/>
      <c r="O696" s="1739"/>
      <c r="Z696" s="1739"/>
    </row>
    <row r="697" spans="1:26" x14ac:dyDescent="0.5">
      <c r="A697" s="1739"/>
      <c r="N697" s="1834"/>
      <c r="O697" s="1739"/>
      <c r="Z697" s="1739"/>
    </row>
    <row r="698" spans="1:26" x14ac:dyDescent="0.5">
      <c r="A698" s="1739"/>
      <c r="N698" s="1834"/>
      <c r="O698" s="1739"/>
      <c r="Z698" s="1739"/>
    </row>
    <row r="699" spans="1:26" x14ac:dyDescent="0.5">
      <c r="A699" s="1739"/>
      <c r="N699" s="1834"/>
      <c r="O699" s="1739"/>
      <c r="Z699" s="1739"/>
    </row>
    <row r="700" spans="1:26" x14ac:dyDescent="0.5">
      <c r="A700" s="1739"/>
      <c r="N700" s="1834"/>
      <c r="O700" s="1739"/>
      <c r="Z700" s="1739"/>
    </row>
    <row r="701" spans="1:26" x14ac:dyDescent="0.5">
      <c r="A701" s="1739"/>
      <c r="N701" s="1834"/>
      <c r="O701" s="1739"/>
      <c r="Z701" s="1739"/>
    </row>
    <row r="702" spans="1:26" x14ac:dyDescent="0.5">
      <c r="A702" s="1739"/>
      <c r="N702" s="1834"/>
      <c r="O702" s="1739"/>
      <c r="Z702" s="1739"/>
    </row>
    <row r="703" spans="1:26" x14ac:dyDescent="0.5">
      <c r="A703" s="1739"/>
      <c r="N703" s="1834"/>
      <c r="O703" s="1739"/>
      <c r="Z703" s="1739"/>
    </row>
    <row r="704" spans="1:26" x14ac:dyDescent="0.5">
      <c r="A704" s="1739"/>
      <c r="N704" s="1834"/>
      <c r="O704" s="1739"/>
      <c r="Z704" s="1739"/>
    </row>
    <row r="705" spans="1:26" x14ac:dyDescent="0.5">
      <c r="A705" s="1739"/>
      <c r="N705" s="1834"/>
      <c r="O705" s="1739"/>
      <c r="Z705" s="1739"/>
    </row>
    <row r="706" spans="1:26" x14ac:dyDescent="0.5">
      <c r="A706" s="1739"/>
      <c r="N706" s="1834"/>
      <c r="O706" s="1739"/>
      <c r="Z706" s="1739"/>
    </row>
    <row r="707" spans="1:26" x14ac:dyDescent="0.5">
      <c r="A707" s="1739"/>
      <c r="N707" s="1834"/>
      <c r="O707" s="1739"/>
      <c r="Z707" s="1739"/>
    </row>
    <row r="708" spans="1:26" x14ac:dyDescent="0.5">
      <c r="A708" s="1739"/>
      <c r="N708" s="1834"/>
      <c r="O708" s="1739"/>
      <c r="Z708" s="1739"/>
    </row>
    <row r="709" spans="1:26" x14ac:dyDescent="0.5">
      <c r="A709" s="1739"/>
      <c r="N709" s="1834"/>
      <c r="O709" s="1739"/>
      <c r="Z709" s="1739"/>
    </row>
    <row r="710" spans="1:26" x14ac:dyDescent="0.5">
      <c r="A710" s="1739"/>
      <c r="N710" s="1834"/>
      <c r="O710" s="1739"/>
      <c r="Z710" s="1739"/>
    </row>
    <row r="711" spans="1:26" x14ac:dyDescent="0.5">
      <c r="A711" s="1739"/>
      <c r="N711" s="1834"/>
      <c r="O711" s="1739"/>
      <c r="Z711" s="1739"/>
    </row>
  </sheetData>
  <protectedRanges>
    <protectedRange password="CC6F" sqref="B17" name="ช่วง1_5_1_5_1_1"/>
    <protectedRange password="CC6F" sqref="B8:B9 B12:B15" name="ช่วง1_5_1_5_1_1_1"/>
    <protectedRange password="CC6F" sqref="B16 B11" name="ช่วง1_5_1_5_1_1_4"/>
    <protectedRange password="CC6F" sqref="B10" name="ช่วง1_5_1_5_1_1_5"/>
  </protectedRanges>
  <mergeCells count="18">
    <mergeCell ref="X6:X7"/>
    <mergeCell ref="A18:C18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6E38E-6CE8-4A42-8DFC-2BBB98E7EB43}">
  <sheetPr>
    <pageSetUpPr fitToPage="1"/>
  </sheetPr>
  <dimension ref="A1:AB702"/>
  <sheetViews>
    <sheetView view="pageBreakPreview" zoomScale="90" zoomScaleNormal="110" zoomScaleSheetLayoutView="90" workbookViewId="0">
      <selection activeCell="A17" sqref="A17"/>
    </sheetView>
  </sheetViews>
  <sheetFormatPr defaultColWidth="9" defaultRowHeight="21" x14ac:dyDescent="0.6"/>
  <cols>
    <col min="1" max="1" width="4.69921875" style="1399" customWidth="1"/>
    <col min="2" max="2" width="21.8984375" style="1461" customWidth="1"/>
    <col min="3" max="3" width="4.5" style="1280" bestFit="1" customWidth="1"/>
    <col min="4" max="4" width="11.09765625" style="1290" hidden="1" customWidth="1"/>
    <col min="5" max="5" width="11.09765625" style="1290" customWidth="1"/>
    <col min="6" max="6" width="11.09765625" style="1290" hidden="1" customWidth="1"/>
    <col min="7" max="7" width="11.09765625" style="1290" customWidth="1"/>
    <col min="8" max="8" width="11.09765625" style="1290" hidden="1" customWidth="1"/>
    <col min="9" max="13" width="11.09765625" style="1290" customWidth="1"/>
    <col min="14" max="14" width="11.09765625" style="1406" customWidth="1"/>
    <col min="15" max="15" width="11.09765625" style="1460" customWidth="1"/>
    <col min="16" max="16" width="11.09765625" style="1288" hidden="1" customWidth="1"/>
    <col min="17" max="17" width="11.09765625" style="1288" customWidth="1"/>
    <col min="18" max="18" width="11.09765625" style="1288" hidden="1" customWidth="1"/>
    <col min="19" max="19" width="11.09765625" style="1288" customWidth="1"/>
    <col min="20" max="20" width="11.09765625" style="1288" hidden="1" customWidth="1"/>
    <col min="21" max="21" width="11.09765625" style="1288" customWidth="1"/>
    <col min="22" max="22" width="11.09765625" style="1288" hidden="1" customWidth="1"/>
    <col min="23" max="23" width="11.09765625" style="1288" customWidth="1"/>
    <col min="24" max="25" width="11.09765625" style="1290" customWidth="1"/>
    <col min="26" max="26" width="11.09765625" style="1401" customWidth="1"/>
    <col min="27" max="27" width="11.09765625" style="1280" customWidth="1"/>
    <col min="28" max="28" width="7.59765625" style="1280" hidden="1" customWidth="1"/>
    <col min="29" max="29" width="9" style="1280" customWidth="1"/>
    <col min="30" max="30" width="9" style="1280"/>
    <col min="31" max="31" width="32.3984375" style="1280" customWidth="1"/>
    <col min="32" max="32" width="9" style="1280" customWidth="1"/>
    <col min="33" max="16384" width="9" style="1280"/>
  </cols>
  <sheetData>
    <row r="1" spans="1:28" x14ac:dyDescent="0.6">
      <c r="A1" s="1735" t="s">
        <v>9165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7"/>
      <c r="T1" s="1297"/>
      <c r="U1" s="1297"/>
      <c r="V1" s="1297"/>
      <c r="W1" s="1297"/>
      <c r="X1" s="1297"/>
      <c r="Y1" s="1297"/>
      <c r="Z1" s="1297"/>
      <c r="AA1" s="1297"/>
    </row>
    <row r="2" spans="1:28" x14ac:dyDescent="0.6">
      <c r="A2" s="1297" t="s">
        <v>7775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1297"/>
      <c r="O2" s="1297"/>
      <c r="P2" s="1297"/>
      <c r="Q2" s="1297"/>
      <c r="R2" s="1297"/>
      <c r="S2" s="1297"/>
      <c r="T2" s="1297"/>
      <c r="U2" s="1297"/>
      <c r="V2" s="1297"/>
      <c r="W2" s="1297"/>
      <c r="X2" s="1297"/>
      <c r="Y2" s="1297"/>
      <c r="Z2" s="1297"/>
      <c r="AA2" s="1297"/>
    </row>
    <row r="3" spans="1:28" x14ac:dyDescent="0.6">
      <c r="A3" s="1298" t="s">
        <v>7733</v>
      </c>
      <c r="B3" s="1298"/>
      <c r="C3" s="1297"/>
      <c r="D3" s="1297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1297"/>
      <c r="Z3" s="1297"/>
      <c r="AA3" s="1297"/>
    </row>
    <row r="4" spans="1:28" x14ac:dyDescent="0.6">
      <c r="A4" s="1408" t="s">
        <v>2185</v>
      </c>
      <c r="B4" s="1408" t="s">
        <v>9166</v>
      </c>
      <c r="C4" s="1301" t="s">
        <v>7776</v>
      </c>
      <c r="D4" s="1303" t="s">
        <v>7777</v>
      </c>
      <c r="E4" s="1303"/>
      <c r="F4" s="1303"/>
      <c r="G4" s="1303"/>
      <c r="H4" s="1303"/>
      <c r="I4" s="1303"/>
      <c r="J4" s="1304" t="s">
        <v>7736</v>
      </c>
      <c r="K4" s="1305" t="s">
        <v>7778</v>
      </c>
      <c r="L4" s="1465" t="s">
        <v>7779</v>
      </c>
      <c r="M4" s="1307" t="s">
        <v>6557</v>
      </c>
      <c r="N4" s="1308" t="s">
        <v>7780</v>
      </c>
      <c r="O4" s="1309" t="s">
        <v>7736</v>
      </c>
      <c r="P4" s="1307" t="s">
        <v>7744</v>
      </c>
      <c r="Q4" s="1307" t="s">
        <v>621</v>
      </c>
      <c r="R4" s="1307" t="s">
        <v>7745</v>
      </c>
      <c r="S4" s="1307" t="s">
        <v>621</v>
      </c>
      <c r="T4" s="1307" t="s">
        <v>7746</v>
      </c>
      <c r="U4" s="1307" t="s">
        <v>621</v>
      </c>
      <c r="V4" s="1307" t="s">
        <v>7747</v>
      </c>
      <c r="W4" s="1304" t="s">
        <v>621</v>
      </c>
      <c r="X4" s="1310" t="s">
        <v>7781</v>
      </c>
      <c r="Y4" s="1311"/>
      <c r="Z4" s="1312"/>
      <c r="AA4" s="1299" t="s">
        <v>7782</v>
      </c>
    </row>
    <row r="5" spans="1:28" x14ac:dyDescent="0.6">
      <c r="A5" s="1417"/>
      <c r="B5" s="1417"/>
      <c r="C5" s="1315" t="s">
        <v>7783</v>
      </c>
      <c r="D5" s="1303" t="s">
        <v>7741</v>
      </c>
      <c r="E5" s="1303"/>
      <c r="F5" s="1303"/>
      <c r="G5" s="1303"/>
      <c r="H5" s="1303"/>
      <c r="I5" s="1303"/>
      <c r="J5" s="1316" t="s">
        <v>7784</v>
      </c>
      <c r="K5" s="1317" t="s">
        <v>7742</v>
      </c>
      <c r="L5" s="1318"/>
      <c r="M5" s="1319" t="s">
        <v>7631</v>
      </c>
      <c r="N5" s="1320" t="s">
        <v>7785</v>
      </c>
      <c r="O5" s="1321" t="s">
        <v>7743</v>
      </c>
      <c r="P5" s="1319" t="s">
        <v>7752</v>
      </c>
      <c r="Q5" s="1319" t="s">
        <v>7744</v>
      </c>
      <c r="R5" s="1319" t="s">
        <v>7753</v>
      </c>
      <c r="S5" s="1319" t="s">
        <v>7745</v>
      </c>
      <c r="T5" s="1319" t="s">
        <v>7754</v>
      </c>
      <c r="U5" s="1319" t="s">
        <v>7746</v>
      </c>
      <c r="V5" s="1319" t="s">
        <v>7755</v>
      </c>
      <c r="W5" s="1316" t="s">
        <v>7747</v>
      </c>
      <c r="X5" s="1310"/>
      <c r="Y5" s="1311"/>
      <c r="Z5" s="1322" t="s">
        <v>7623</v>
      </c>
      <c r="AA5" s="1313"/>
    </row>
    <row r="6" spans="1:28" x14ac:dyDescent="0.6">
      <c r="A6" s="1417"/>
      <c r="B6" s="1417"/>
      <c r="C6" s="1315" t="s">
        <v>7786</v>
      </c>
      <c r="D6" s="1472" t="s">
        <v>7787</v>
      </c>
      <c r="E6" s="1465" t="s">
        <v>7788</v>
      </c>
      <c r="F6" s="1472" t="s">
        <v>7789</v>
      </c>
      <c r="G6" s="1465" t="s">
        <v>7790</v>
      </c>
      <c r="H6" s="1472" t="s">
        <v>7791</v>
      </c>
      <c r="I6" s="1465" t="s">
        <v>7792</v>
      </c>
      <c r="J6" s="1316" t="s">
        <v>7793</v>
      </c>
      <c r="K6" s="1317" t="s">
        <v>7751</v>
      </c>
      <c r="L6" s="1318"/>
      <c r="M6" s="1319" t="s">
        <v>7794</v>
      </c>
      <c r="N6" s="1320" t="s">
        <v>7786</v>
      </c>
      <c r="O6" s="1321" t="s">
        <v>1150</v>
      </c>
      <c r="P6" s="1326" t="s">
        <v>7795</v>
      </c>
      <c r="Q6" s="1319" t="s">
        <v>7756</v>
      </c>
      <c r="R6" s="1326" t="s">
        <v>7795</v>
      </c>
      <c r="S6" s="1319" t="s">
        <v>7756</v>
      </c>
      <c r="T6" s="1326" t="s">
        <v>7795</v>
      </c>
      <c r="U6" s="1319" t="s">
        <v>7756</v>
      </c>
      <c r="V6" s="1326" t="s">
        <v>7795</v>
      </c>
      <c r="W6" s="1319" t="s">
        <v>7756</v>
      </c>
      <c r="X6" s="1310" t="s">
        <v>7627</v>
      </c>
      <c r="Y6" s="1327" t="s">
        <v>621</v>
      </c>
      <c r="Z6" s="1322" t="s">
        <v>7631</v>
      </c>
      <c r="AA6" s="1313"/>
    </row>
    <row r="7" spans="1:28" x14ac:dyDescent="0.6">
      <c r="A7" s="1425"/>
      <c r="B7" s="1425"/>
      <c r="C7" s="1330" t="s">
        <v>7796</v>
      </c>
      <c r="D7" s="1474"/>
      <c r="E7" s="1334"/>
      <c r="F7" s="1474"/>
      <c r="G7" s="1334"/>
      <c r="H7" s="1474"/>
      <c r="I7" s="1334"/>
      <c r="J7" s="1332" t="s">
        <v>7795</v>
      </c>
      <c r="K7" s="1333"/>
      <c r="L7" s="1334"/>
      <c r="M7" s="1335" t="s">
        <v>7795</v>
      </c>
      <c r="N7" s="1336" t="s">
        <v>7756</v>
      </c>
      <c r="O7" s="1337" t="s">
        <v>7756</v>
      </c>
      <c r="P7" s="1338"/>
      <c r="Q7" s="1338"/>
      <c r="R7" s="1338"/>
      <c r="S7" s="1338"/>
      <c r="T7" s="1338"/>
      <c r="U7" s="1338"/>
      <c r="V7" s="1338"/>
      <c r="W7" s="1339"/>
      <c r="X7" s="1310"/>
      <c r="Y7" s="1327" t="s">
        <v>7756</v>
      </c>
      <c r="Z7" s="1340"/>
      <c r="AA7" s="1328"/>
    </row>
    <row r="8" spans="1:28" s="1388" customFormat="1" ht="23.25" customHeight="1" x14ac:dyDescent="0.25">
      <c r="A8" s="1279">
        <v>1</v>
      </c>
      <c r="B8" s="1211" t="s">
        <v>7702</v>
      </c>
      <c r="C8" s="1383" t="s">
        <v>7895</v>
      </c>
      <c r="D8" s="1166">
        <v>0</v>
      </c>
      <c r="E8" s="1378">
        <f t="shared" ref="E8" si="0">D8*N8</f>
        <v>0</v>
      </c>
      <c r="F8" s="1343">
        <v>0</v>
      </c>
      <c r="G8" s="1378">
        <f t="shared" ref="G8" si="1">F8*N8</f>
        <v>0</v>
      </c>
      <c r="H8" s="1343">
        <v>0</v>
      </c>
      <c r="I8" s="1345">
        <f t="shared" ref="I8" si="2">H8*N8</f>
        <v>0</v>
      </c>
      <c r="J8" s="1480">
        <v>1</v>
      </c>
      <c r="K8" s="1651">
        <v>0</v>
      </c>
      <c r="L8" s="1344">
        <v>0</v>
      </c>
      <c r="M8" s="1204">
        <v>1</v>
      </c>
      <c r="N8" s="1875">
        <v>4500</v>
      </c>
      <c r="O8" s="1346">
        <f>M8*N8</f>
        <v>4500</v>
      </c>
      <c r="P8" s="1482">
        <v>1</v>
      </c>
      <c r="Q8" s="1482">
        <f>P8*N8</f>
        <v>4500</v>
      </c>
      <c r="R8" s="1482">
        <v>0</v>
      </c>
      <c r="S8" s="1483">
        <f>R8*N8</f>
        <v>0</v>
      </c>
      <c r="T8" s="1482">
        <v>0</v>
      </c>
      <c r="U8" s="1483">
        <f>T8*N8</f>
        <v>0</v>
      </c>
      <c r="V8" s="1482">
        <v>0</v>
      </c>
      <c r="W8" s="1483">
        <f>V8*N8</f>
        <v>0</v>
      </c>
      <c r="X8" s="1345">
        <f>P8+R8+T8+V8</f>
        <v>1</v>
      </c>
      <c r="Y8" s="1345">
        <f>X8*N8</f>
        <v>4500</v>
      </c>
      <c r="Z8" s="1357" t="s">
        <v>7799</v>
      </c>
      <c r="AA8" s="1358" t="s">
        <v>6531</v>
      </c>
      <c r="AB8" s="1359" t="str">
        <f t="shared" ref="AB8:AB9" si="3">IF(O8=Y8,"yes")</f>
        <v>yes</v>
      </c>
    </row>
    <row r="9" spans="1:28" s="1393" customFormat="1" ht="20.25" customHeight="1" x14ac:dyDescent="0.6">
      <c r="A9" s="1389" t="s">
        <v>7433</v>
      </c>
      <c r="B9" s="1389"/>
      <c r="C9" s="1389"/>
      <c r="D9" s="1390">
        <f t="shared" ref="D9:Y9" si="4">SUM(D8:D8)</f>
        <v>0</v>
      </c>
      <c r="E9" s="1390">
        <f t="shared" si="4"/>
        <v>0</v>
      </c>
      <c r="F9" s="1569">
        <f t="shared" si="4"/>
        <v>0</v>
      </c>
      <c r="G9" s="1569">
        <f t="shared" si="4"/>
        <v>0</v>
      </c>
      <c r="H9" s="1390">
        <f t="shared" si="4"/>
        <v>0</v>
      </c>
      <c r="I9" s="1390">
        <f t="shared" si="4"/>
        <v>0</v>
      </c>
      <c r="J9" s="1390">
        <f t="shared" si="4"/>
        <v>1</v>
      </c>
      <c r="K9" s="1663">
        <f t="shared" si="4"/>
        <v>0</v>
      </c>
      <c r="L9" s="1390">
        <f t="shared" si="4"/>
        <v>0</v>
      </c>
      <c r="M9" s="1390">
        <f t="shared" si="4"/>
        <v>1</v>
      </c>
      <c r="N9" s="1390">
        <f t="shared" si="4"/>
        <v>4500</v>
      </c>
      <c r="O9" s="1390">
        <f t="shared" si="4"/>
        <v>4500</v>
      </c>
      <c r="P9" s="1390">
        <f t="shared" si="4"/>
        <v>1</v>
      </c>
      <c r="Q9" s="1390">
        <f t="shared" si="4"/>
        <v>4500</v>
      </c>
      <c r="R9" s="1390">
        <f t="shared" si="4"/>
        <v>0</v>
      </c>
      <c r="S9" s="1390">
        <f t="shared" si="4"/>
        <v>0</v>
      </c>
      <c r="T9" s="1390">
        <f t="shared" si="4"/>
        <v>0</v>
      </c>
      <c r="U9" s="1390">
        <f t="shared" si="4"/>
        <v>0</v>
      </c>
      <c r="V9" s="1390">
        <f t="shared" si="4"/>
        <v>0</v>
      </c>
      <c r="W9" s="1390">
        <f t="shared" si="4"/>
        <v>0</v>
      </c>
      <c r="X9" s="1390">
        <f t="shared" si="4"/>
        <v>1</v>
      </c>
      <c r="Y9" s="1390">
        <f t="shared" si="4"/>
        <v>4500</v>
      </c>
      <c r="Z9" s="1391"/>
      <c r="AA9" s="1392"/>
      <c r="AB9" s="1393" t="str">
        <f t="shared" si="3"/>
        <v>yes</v>
      </c>
    </row>
    <row r="10" spans="1:28" ht="20.25" customHeight="1" x14ac:dyDescent="0.6">
      <c r="A10" s="1397"/>
      <c r="C10" s="1399"/>
      <c r="D10" s="1288"/>
      <c r="E10" s="1288"/>
      <c r="F10" s="1288"/>
      <c r="G10" s="1288"/>
      <c r="H10" s="1288"/>
      <c r="I10" s="1288"/>
      <c r="J10" s="1288"/>
      <c r="K10" s="1288"/>
      <c r="L10" s="1288"/>
      <c r="M10" s="1288"/>
      <c r="N10" s="1400"/>
      <c r="O10" s="1400"/>
      <c r="P10" s="1400"/>
      <c r="Q10" s="1400"/>
      <c r="R10" s="1400"/>
      <c r="S10" s="1400"/>
      <c r="T10" s="1400"/>
      <c r="U10" s="1400"/>
      <c r="V10" s="1400"/>
      <c r="W10" s="1400"/>
      <c r="X10" s="1288"/>
      <c r="Y10" s="1288"/>
      <c r="AA10" s="1402"/>
    </row>
    <row r="11" spans="1:28" ht="20.25" customHeight="1" x14ac:dyDescent="0.6">
      <c r="A11" s="1397"/>
      <c r="C11" s="1399"/>
    </row>
    <row r="12" spans="1:28" ht="20.25" customHeight="1" x14ac:dyDescent="0.6">
      <c r="B12" s="1280"/>
      <c r="G12" s="1288"/>
      <c r="N12" s="1290"/>
      <c r="O12" s="1290"/>
      <c r="P12" s="1290"/>
      <c r="Q12" s="1290"/>
      <c r="R12" s="1290"/>
      <c r="S12" s="1290"/>
      <c r="T12" s="1290"/>
      <c r="U12" s="1290"/>
      <c r="V12" s="1290"/>
      <c r="W12" s="1290"/>
      <c r="Z12" s="1280"/>
    </row>
    <row r="13" spans="1:28" ht="20.25" customHeight="1" x14ac:dyDescent="0.6">
      <c r="B13" s="1280"/>
      <c r="G13" s="1288"/>
      <c r="N13" s="1290"/>
      <c r="O13" s="1290"/>
      <c r="P13" s="1290"/>
      <c r="Q13" s="1290"/>
      <c r="R13" s="1290"/>
      <c r="S13" s="1290"/>
      <c r="T13" s="1290"/>
      <c r="U13" s="1290"/>
      <c r="V13" s="1290"/>
      <c r="W13" s="1290"/>
      <c r="Z13" s="1280"/>
    </row>
    <row r="14" spans="1:28" ht="20.25" customHeight="1" x14ac:dyDescent="0.6">
      <c r="B14" s="1280"/>
      <c r="G14" s="1288"/>
      <c r="N14" s="1290"/>
      <c r="O14" s="1290"/>
      <c r="P14" s="1290"/>
      <c r="Q14" s="1290"/>
      <c r="R14" s="1290"/>
      <c r="S14" s="1290"/>
      <c r="T14" s="1290"/>
      <c r="U14" s="1290"/>
      <c r="V14" s="1290"/>
      <c r="W14" s="1290"/>
      <c r="Z14" s="1280"/>
    </row>
    <row r="15" spans="1:28" ht="20.25" customHeight="1" x14ac:dyDescent="0.6">
      <c r="B15" s="1280"/>
      <c r="G15" s="1288"/>
      <c r="N15" s="1290"/>
      <c r="O15" s="1290"/>
      <c r="P15" s="1290"/>
      <c r="Q15" s="1290"/>
      <c r="R15" s="1290"/>
      <c r="S15" s="1290"/>
      <c r="Z15" s="1405"/>
    </row>
    <row r="16" spans="1:28" ht="20.25" customHeight="1" x14ac:dyDescent="0.6"/>
    <row r="17" spans="1:27" ht="20.25" customHeight="1" x14ac:dyDescent="0.6"/>
    <row r="18" spans="1:27" ht="20.25" customHeight="1" x14ac:dyDescent="0.6">
      <c r="AA18" s="1401"/>
    </row>
    <row r="24" spans="1:27" x14ac:dyDescent="0.6">
      <c r="A24" s="1280"/>
      <c r="N24" s="1288"/>
      <c r="O24" s="1290"/>
      <c r="Z24" s="1280"/>
    </row>
    <row r="25" spans="1:27" x14ac:dyDescent="0.6">
      <c r="A25" s="1280"/>
      <c r="N25" s="1288"/>
      <c r="O25" s="1290"/>
      <c r="Z25" s="1280"/>
    </row>
    <row r="26" spans="1:27" x14ac:dyDescent="0.6">
      <c r="A26" s="1280"/>
      <c r="N26" s="1288"/>
      <c r="O26" s="1290"/>
      <c r="Z26" s="1280"/>
    </row>
    <row r="27" spans="1:27" x14ac:dyDescent="0.6">
      <c r="A27" s="1280"/>
      <c r="N27" s="1288"/>
      <c r="O27" s="1290"/>
      <c r="Z27" s="1280"/>
    </row>
    <row r="28" spans="1:27" x14ac:dyDescent="0.6">
      <c r="A28" s="1280"/>
      <c r="N28" s="1288"/>
      <c r="O28" s="1290"/>
      <c r="Z28" s="1280"/>
    </row>
    <row r="29" spans="1:27" x14ac:dyDescent="0.6">
      <c r="A29" s="1280"/>
      <c r="N29" s="1288"/>
      <c r="O29" s="1290"/>
      <c r="Z29" s="1280"/>
    </row>
    <row r="30" spans="1:27" x14ac:dyDescent="0.6">
      <c r="A30" s="1280"/>
      <c r="N30" s="1288"/>
      <c r="O30" s="1290"/>
      <c r="Z30" s="1280"/>
    </row>
    <row r="31" spans="1:27" x14ac:dyDescent="0.6">
      <c r="A31" s="1280"/>
      <c r="N31" s="1288"/>
      <c r="O31" s="1290"/>
      <c r="Z31" s="1280"/>
    </row>
    <row r="32" spans="1:27" x14ac:dyDescent="0.6">
      <c r="A32" s="1280"/>
      <c r="N32" s="1288"/>
      <c r="O32" s="1290"/>
      <c r="Z32" s="1280"/>
    </row>
    <row r="33" spans="1:26" x14ac:dyDescent="0.6">
      <c r="A33" s="1280"/>
      <c r="N33" s="1288"/>
      <c r="O33" s="1290"/>
      <c r="Z33" s="1280"/>
    </row>
    <row r="34" spans="1:26" x14ac:dyDescent="0.6">
      <c r="A34" s="1280"/>
      <c r="N34" s="1288"/>
      <c r="O34" s="1290"/>
      <c r="Z34" s="1280"/>
    </row>
    <row r="35" spans="1:26" x14ac:dyDescent="0.6">
      <c r="A35" s="1280"/>
      <c r="N35" s="1288"/>
      <c r="O35" s="1290"/>
      <c r="Z35" s="1280"/>
    </row>
    <row r="36" spans="1:26" x14ac:dyDescent="0.6">
      <c r="A36" s="1280"/>
      <c r="N36" s="1288"/>
      <c r="O36" s="1290"/>
      <c r="Z36" s="1280"/>
    </row>
    <row r="37" spans="1:26" x14ac:dyDescent="0.6">
      <c r="A37" s="1280"/>
      <c r="N37" s="1288"/>
      <c r="O37" s="1290"/>
      <c r="Z37" s="1280"/>
    </row>
    <row r="38" spans="1:26" x14ac:dyDescent="0.6">
      <c r="A38" s="1280"/>
      <c r="N38" s="1288"/>
      <c r="O38" s="1290"/>
      <c r="Z38" s="1280"/>
    </row>
    <row r="39" spans="1:26" x14ac:dyDescent="0.6">
      <c r="A39" s="1280"/>
      <c r="N39" s="1288"/>
      <c r="O39" s="1290"/>
      <c r="Z39" s="1280"/>
    </row>
    <row r="40" spans="1:26" x14ac:dyDescent="0.6">
      <c r="A40" s="1280"/>
      <c r="N40" s="1288"/>
      <c r="O40" s="1290"/>
      <c r="Z40" s="1280"/>
    </row>
    <row r="41" spans="1:26" x14ac:dyDescent="0.6">
      <c r="A41" s="1280"/>
      <c r="N41" s="1288"/>
      <c r="O41" s="1290"/>
      <c r="Z41" s="1280"/>
    </row>
    <row r="42" spans="1:26" x14ac:dyDescent="0.6">
      <c r="A42" s="1280"/>
      <c r="N42" s="1288"/>
      <c r="O42" s="1290"/>
      <c r="Z42" s="1280"/>
    </row>
    <row r="43" spans="1:26" x14ac:dyDescent="0.6">
      <c r="A43" s="1280"/>
      <c r="N43" s="1288"/>
      <c r="O43" s="1290"/>
      <c r="Z43" s="1280"/>
    </row>
    <row r="44" spans="1:26" x14ac:dyDescent="0.6">
      <c r="A44" s="1280"/>
      <c r="N44" s="1288"/>
      <c r="O44" s="1290"/>
      <c r="Z44" s="1280"/>
    </row>
    <row r="45" spans="1:26" x14ac:dyDescent="0.6">
      <c r="A45" s="1280"/>
      <c r="N45" s="1288"/>
      <c r="O45" s="1290"/>
      <c r="Z45" s="1280"/>
    </row>
    <row r="46" spans="1:26" x14ac:dyDescent="0.6">
      <c r="A46" s="1280"/>
      <c r="N46" s="1288"/>
      <c r="O46" s="1290"/>
      <c r="Z46" s="1280"/>
    </row>
    <row r="47" spans="1:26" x14ac:dyDescent="0.6">
      <c r="A47" s="1280"/>
      <c r="N47" s="1288"/>
      <c r="O47" s="1290"/>
      <c r="Z47" s="1280"/>
    </row>
    <row r="48" spans="1:26" x14ac:dyDescent="0.6">
      <c r="A48" s="1280"/>
      <c r="N48" s="1288"/>
      <c r="O48" s="1290"/>
      <c r="Z48" s="1280"/>
    </row>
    <row r="49" spans="1:26" x14ac:dyDescent="0.6">
      <c r="A49" s="1280"/>
      <c r="N49" s="1288"/>
      <c r="O49" s="1290"/>
      <c r="Z49" s="1280"/>
    </row>
    <row r="50" spans="1:26" x14ac:dyDescent="0.6">
      <c r="A50" s="1280"/>
      <c r="N50" s="1288"/>
      <c r="O50" s="1290"/>
      <c r="Z50" s="1280"/>
    </row>
    <row r="51" spans="1:26" x14ac:dyDescent="0.6">
      <c r="A51" s="1280"/>
      <c r="N51" s="1288"/>
      <c r="O51" s="1290"/>
      <c r="Z51" s="1280"/>
    </row>
    <row r="52" spans="1:26" x14ac:dyDescent="0.6">
      <c r="A52" s="1280"/>
      <c r="N52" s="1288"/>
      <c r="O52" s="1290"/>
      <c r="Z52" s="1280"/>
    </row>
    <row r="53" spans="1:26" x14ac:dyDescent="0.6">
      <c r="A53" s="1280"/>
      <c r="N53" s="1288"/>
      <c r="O53" s="1290"/>
      <c r="Z53" s="1280"/>
    </row>
    <row r="54" spans="1:26" x14ac:dyDescent="0.6">
      <c r="A54" s="1280"/>
      <c r="N54" s="1288"/>
      <c r="O54" s="1290"/>
      <c r="Z54" s="1280"/>
    </row>
    <row r="55" spans="1:26" x14ac:dyDescent="0.6">
      <c r="A55" s="1280"/>
      <c r="N55" s="1288"/>
      <c r="O55" s="1290"/>
      <c r="Z55" s="1280"/>
    </row>
    <row r="56" spans="1:26" x14ac:dyDescent="0.6">
      <c r="A56" s="1280"/>
      <c r="N56" s="1288"/>
      <c r="O56" s="1290"/>
      <c r="Z56" s="1280"/>
    </row>
    <row r="57" spans="1:26" x14ac:dyDescent="0.6">
      <c r="A57" s="1280"/>
      <c r="N57" s="1288"/>
      <c r="O57" s="1290"/>
      <c r="Z57" s="1280"/>
    </row>
    <row r="58" spans="1:26" x14ac:dyDescent="0.6">
      <c r="A58" s="1280"/>
      <c r="N58" s="1288"/>
      <c r="O58" s="1290"/>
      <c r="Z58" s="1280"/>
    </row>
    <row r="59" spans="1:26" x14ac:dyDescent="0.6">
      <c r="A59" s="1280"/>
      <c r="N59" s="1288"/>
      <c r="O59" s="1290"/>
      <c r="Z59" s="1280"/>
    </row>
    <row r="60" spans="1:26" x14ac:dyDescent="0.6">
      <c r="A60" s="1280"/>
      <c r="N60" s="1288"/>
      <c r="O60" s="1290"/>
      <c r="Z60" s="1280"/>
    </row>
    <row r="61" spans="1:26" x14ac:dyDescent="0.6">
      <c r="A61" s="1280"/>
      <c r="N61" s="1288"/>
      <c r="O61" s="1290"/>
      <c r="Z61" s="1280"/>
    </row>
    <row r="62" spans="1:26" x14ac:dyDescent="0.6">
      <c r="A62" s="1280"/>
      <c r="N62" s="1288"/>
      <c r="O62" s="1290"/>
      <c r="Z62" s="1280"/>
    </row>
    <row r="63" spans="1:26" x14ac:dyDescent="0.6">
      <c r="A63" s="1280"/>
      <c r="N63" s="1288"/>
      <c r="O63" s="1290"/>
      <c r="Z63" s="1280"/>
    </row>
    <row r="64" spans="1:26" x14ac:dyDescent="0.6">
      <c r="A64" s="1280"/>
      <c r="N64" s="1288"/>
      <c r="O64" s="1290"/>
      <c r="Z64" s="1280"/>
    </row>
    <row r="65" spans="1:26" x14ac:dyDescent="0.6">
      <c r="A65" s="1280"/>
      <c r="N65" s="1288"/>
      <c r="O65" s="1290"/>
      <c r="Z65" s="1280"/>
    </row>
    <row r="66" spans="1:26" x14ac:dyDescent="0.6">
      <c r="A66" s="1280"/>
      <c r="N66" s="1288"/>
      <c r="O66" s="1290"/>
      <c r="Z66" s="1280"/>
    </row>
    <row r="67" spans="1:26" x14ac:dyDescent="0.6">
      <c r="A67" s="1280"/>
      <c r="N67" s="1288"/>
      <c r="O67" s="1290"/>
      <c r="Z67" s="1280"/>
    </row>
    <row r="68" spans="1:26" x14ac:dyDescent="0.6">
      <c r="A68" s="1280"/>
      <c r="N68" s="1288"/>
      <c r="O68" s="1290"/>
      <c r="Z68" s="1280"/>
    </row>
    <row r="69" spans="1:26" x14ac:dyDescent="0.6">
      <c r="A69" s="1280"/>
      <c r="N69" s="1288"/>
      <c r="O69" s="1290"/>
      <c r="Z69" s="1280"/>
    </row>
    <row r="70" spans="1:26" x14ac:dyDescent="0.6">
      <c r="A70" s="1280"/>
      <c r="N70" s="1288"/>
      <c r="O70" s="1290"/>
      <c r="Z70" s="1280"/>
    </row>
    <row r="71" spans="1:26" x14ac:dyDescent="0.6">
      <c r="A71" s="1280"/>
      <c r="N71" s="1288"/>
      <c r="O71" s="1290"/>
      <c r="Z71" s="1280"/>
    </row>
    <row r="72" spans="1:26" x14ac:dyDescent="0.6">
      <c r="A72" s="1280"/>
      <c r="N72" s="1288"/>
      <c r="O72" s="1290"/>
      <c r="Z72" s="1280"/>
    </row>
    <row r="73" spans="1:26" x14ac:dyDescent="0.6">
      <c r="A73" s="1280"/>
      <c r="N73" s="1288"/>
      <c r="O73" s="1290"/>
      <c r="Z73" s="1280"/>
    </row>
    <row r="74" spans="1:26" x14ac:dyDescent="0.6">
      <c r="A74" s="1280"/>
      <c r="N74" s="1288"/>
      <c r="O74" s="1290"/>
      <c r="Z74" s="1280"/>
    </row>
    <row r="75" spans="1:26" x14ac:dyDescent="0.6">
      <c r="A75" s="1280"/>
      <c r="N75" s="1288"/>
      <c r="O75" s="1290"/>
      <c r="Z75" s="1280"/>
    </row>
    <row r="76" spans="1:26" x14ac:dyDescent="0.6">
      <c r="A76" s="1280"/>
      <c r="N76" s="1288"/>
      <c r="O76" s="1290"/>
      <c r="Z76" s="1280"/>
    </row>
    <row r="77" spans="1:26" x14ac:dyDescent="0.6">
      <c r="A77" s="1280"/>
      <c r="N77" s="1288"/>
      <c r="O77" s="1290"/>
      <c r="Z77" s="1280"/>
    </row>
    <row r="78" spans="1:26" x14ac:dyDescent="0.6">
      <c r="A78" s="1280"/>
      <c r="N78" s="1288"/>
      <c r="O78" s="1290"/>
      <c r="Z78" s="1280"/>
    </row>
    <row r="79" spans="1:26" x14ac:dyDescent="0.6">
      <c r="A79" s="1280"/>
      <c r="N79" s="1288"/>
      <c r="O79" s="1290"/>
      <c r="Z79" s="1280"/>
    </row>
    <row r="80" spans="1:26" x14ac:dyDescent="0.6">
      <c r="A80" s="1280"/>
      <c r="N80" s="1288"/>
      <c r="O80" s="1290"/>
      <c r="Z80" s="1280"/>
    </row>
    <row r="81" spans="1:26" x14ac:dyDescent="0.6">
      <c r="A81" s="1280"/>
      <c r="N81" s="1288"/>
      <c r="O81" s="1290"/>
      <c r="Z81" s="1280"/>
    </row>
    <row r="82" spans="1:26" x14ac:dyDescent="0.6">
      <c r="A82" s="1280"/>
      <c r="N82" s="1288"/>
      <c r="O82" s="1290"/>
      <c r="Z82" s="1280"/>
    </row>
    <row r="83" spans="1:26" x14ac:dyDescent="0.6">
      <c r="A83" s="1280"/>
      <c r="N83" s="1288"/>
      <c r="O83" s="1290"/>
      <c r="Z83" s="1280"/>
    </row>
    <row r="84" spans="1:26" x14ac:dyDescent="0.6">
      <c r="A84" s="1280"/>
      <c r="N84" s="1288"/>
      <c r="O84" s="1290"/>
      <c r="Z84" s="1280"/>
    </row>
    <row r="85" spans="1:26" x14ac:dyDescent="0.6">
      <c r="A85" s="1280"/>
      <c r="N85" s="1288"/>
      <c r="O85" s="1290"/>
      <c r="Z85" s="1280"/>
    </row>
    <row r="86" spans="1:26" x14ac:dyDescent="0.6">
      <c r="A86" s="1280"/>
      <c r="N86" s="1288"/>
      <c r="O86" s="1290"/>
      <c r="Z86" s="1280"/>
    </row>
    <row r="87" spans="1:26" x14ac:dyDescent="0.6">
      <c r="A87" s="1280"/>
      <c r="N87" s="1288"/>
      <c r="O87" s="1290"/>
      <c r="Z87" s="1280"/>
    </row>
    <row r="88" spans="1:26" x14ac:dyDescent="0.6">
      <c r="A88" s="1280"/>
      <c r="N88" s="1288"/>
      <c r="O88" s="1290"/>
      <c r="Z88" s="1280"/>
    </row>
    <row r="89" spans="1:26" x14ac:dyDescent="0.6">
      <c r="A89" s="1280"/>
      <c r="N89" s="1288"/>
      <c r="O89" s="1290"/>
      <c r="Z89" s="1280"/>
    </row>
    <row r="90" spans="1:26" x14ac:dyDescent="0.6">
      <c r="A90" s="1280"/>
      <c r="N90" s="1288"/>
      <c r="O90" s="1290"/>
      <c r="Z90" s="1280"/>
    </row>
    <row r="91" spans="1:26" x14ac:dyDescent="0.6">
      <c r="A91" s="1280"/>
      <c r="N91" s="1288"/>
      <c r="O91" s="1290"/>
      <c r="Z91" s="1280"/>
    </row>
    <row r="92" spans="1:26" x14ac:dyDescent="0.6">
      <c r="A92" s="1280"/>
      <c r="N92" s="1288"/>
      <c r="O92" s="1290"/>
      <c r="Z92" s="1280"/>
    </row>
    <row r="93" spans="1:26" x14ac:dyDescent="0.6">
      <c r="A93" s="1280"/>
      <c r="N93" s="1288"/>
      <c r="O93" s="1290"/>
      <c r="Z93" s="1280"/>
    </row>
    <row r="94" spans="1:26" x14ac:dyDescent="0.6">
      <c r="A94" s="1280"/>
      <c r="N94" s="1288"/>
      <c r="O94" s="1290"/>
      <c r="Z94" s="1280"/>
    </row>
    <row r="95" spans="1:26" x14ac:dyDescent="0.6">
      <c r="A95" s="1280"/>
      <c r="N95" s="1288"/>
      <c r="O95" s="1290"/>
      <c r="Z95" s="1280"/>
    </row>
    <row r="96" spans="1:26" x14ac:dyDescent="0.6">
      <c r="A96" s="1280"/>
      <c r="N96" s="1288"/>
      <c r="O96" s="1290"/>
      <c r="Z96" s="1280"/>
    </row>
    <row r="97" spans="1:26" x14ac:dyDescent="0.6">
      <c r="A97" s="1280"/>
      <c r="N97" s="1288"/>
      <c r="O97" s="1290"/>
      <c r="Z97" s="1280"/>
    </row>
    <row r="98" spans="1:26" x14ac:dyDescent="0.6">
      <c r="A98" s="1280"/>
      <c r="N98" s="1288"/>
      <c r="O98" s="1290"/>
      <c r="Z98" s="1280"/>
    </row>
    <row r="99" spans="1:26" x14ac:dyDescent="0.6">
      <c r="A99" s="1280"/>
      <c r="N99" s="1288"/>
      <c r="O99" s="1290"/>
      <c r="Z99" s="1280"/>
    </row>
    <row r="100" spans="1:26" x14ac:dyDescent="0.6">
      <c r="A100" s="1280"/>
      <c r="N100" s="1288"/>
      <c r="O100" s="1290"/>
      <c r="Z100" s="1280"/>
    </row>
    <row r="101" spans="1:26" x14ac:dyDescent="0.6">
      <c r="A101" s="1280"/>
      <c r="N101" s="1288"/>
      <c r="O101" s="1290"/>
      <c r="Z101" s="1280"/>
    </row>
    <row r="102" spans="1:26" x14ac:dyDescent="0.6">
      <c r="A102" s="1280"/>
      <c r="N102" s="1288"/>
      <c r="O102" s="1290"/>
      <c r="Z102" s="1280"/>
    </row>
    <row r="103" spans="1:26" x14ac:dyDescent="0.6">
      <c r="A103" s="1280"/>
      <c r="N103" s="1288"/>
      <c r="O103" s="1290"/>
      <c r="Z103" s="1280"/>
    </row>
    <row r="104" spans="1:26" x14ac:dyDescent="0.6">
      <c r="A104" s="1280"/>
      <c r="N104" s="1288"/>
      <c r="O104" s="1290"/>
      <c r="Z104" s="1280"/>
    </row>
    <row r="105" spans="1:26" x14ac:dyDescent="0.6">
      <c r="A105" s="1280"/>
      <c r="N105" s="1288"/>
      <c r="O105" s="1290"/>
      <c r="Z105" s="1280"/>
    </row>
    <row r="106" spans="1:26" x14ac:dyDescent="0.6">
      <c r="A106" s="1280"/>
      <c r="N106" s="1288"/>
      <c r="O106" s="1290"/>
      <c r="Z106" s="1280"/>
    </row>
    <row r="107" spans="1:26" x14ac:dyDescent="0.6">
      <c r="A107" s="1280"/>
      <c r="N107" s="1288"/>
      <c r="O107" s="1290"/>
      <c r="Z107" s="1280"/>
    </row>
    <row r="108" spans="1:26" x14ac:dyDescent="0.6">
      <c r="A108" s="1280"/>
      <c r="N108" s="1288"/>
      <c r="O108" s="1290"/>
      <c r="Z108" s="1280"/>
    </row>
    <row r="109" spans="1:26" x14ac:dyDescent="0.6">
      <c r="A109" s="1280"/>
      <c r="N109" s="1288"/>
      <c r="O109" s="1290"/>
      <c r="Z109" s="1280"/>
    </row>
    <row r="110" spans="1:26" x14ac:dyDescent="0.6">
      <c r="A110" s="1280"/>
      <c r="N110" s="1288"/>
      <c r="O110" s="1290"/>
      <c r="Z110" s="1280"/>
    </row>
    <row r="111" spans="1:26" x14ac:dyDescent="0.6">
      <c r="A111" s="1280"/>
      <c r="N111" s="1288"/>
      <c r="O111" s="1290"/>
      <c r="Z111" s="1280"/>
    </row>
    <row r="112" spans="1:26" x14ac:dyDescent="0.6">
      <c r="A112" s="1280"/>
      <c r="N112" s="1288"/>
      <c r="O112" s="1290"/>
      <c r="Z112" s="1280"/>
    </row>
    <row r="113" spans="1:26" x14ac:dyDescent="0.6">
      <c r="A113" s="1280"/>
      <c r="N113" s="1288"/>
      <c r="O113" s="1290"/>
      <c r="Z113" s="1280"/>
    </row>
    <row r="114" spans="1:26" x14ac:dyDescent="0.6">
      <c r="A114" s="1280"/>
      <c r="N114" s="1288"/>
      <c r="O114" s="1290"/>
      <c r="Z114" s="1280"/>
    </row>
    <row r="115" spans="1:26" x14ac:dyDescent="0.6">
      <c r="A115" s="1280"/>
      <c r="N115" s="1288"/>
      <c r="O115" s="1290"/>
      <c r="Z115" s="1280"/>
    </row>
    <row r="116" spans="1:26" x14ac:dyDescent="0.6">
      <c r="A116" s="1280"/>
      <c r="N116" s="1288"/>
      <c r="O116" s="1290"/>
      <c r="Z116" s="1280"/>
    </row>
    <row r="117" spans="1:26" x14ac:dyDescent="0.6">
      <c r="A117" s="1280"/>
      <c r="N117" s="1288"/>
      <c r="O117" s="1290"/>
      <c r="Z117" s="1280"/>
    </row>
    <row r="118" spans="1:26" x14ac:dyDescent="0.6">
      <c r="A118" s="1280"/>
      <c r="N118" s="1288"/>
      <c r="O118" s="1290"/>
      <c r="Z118" s="1280"/>
    </row>
    <row r="119" spans="1:26" x14ac:dyDescent="0.6">
      <c r="A119" s="1280"/>
      <c r="N119" s="1288"/>
      <c r="O119" s="1290"/>
      <c r="Z119" s="1280"/>
    </row>
    <row r="120" spans="1:26" x14ac:dyDescent="0.6">
      <c r="A120" s="1280"/>
      <c r="N120" s="1288"/>
      <c r="O120" s="1290"/>
      <c r="Z120" s="1280"/>
    </row>
    <row r="121" spans="1:26" x14ac:dyDescent="0.6">
      <c r="A121" s="1280"/>
      <c r="N121" s="1288"/>
      <c r="O121" s="1290"/>
      <c r="Z121" s="1280"/>
    </row>
    <row r="122" spans="1:26" x14ac:dyDescent="0.6">
      <c r="A122" s="1280"/>
      <c r="N122" s="1288"/>
      <c r="O122" s="1290"/>
      <c r="Z122" s="1280"/>
    </row>
    <row r="123" spans="1:26" x14ac:dyDescent="0.6">
      <c r="A123" s="1280"/>
      <c r="N123" s="1288"/>
      <c r="O123" s="1290"/>
      <c r="Z123" s="1280"/>
    </row>
    <row r="124" spans="1:26" x14ac:dyDescent="0.6">
      <c r="A124" s="1280"/>
      <c r="N124" s="1288"/>
      <c r="O124" s="1290"/>
      <c r="Z124" s="1280"/>
    </row>
    <row r="125" spans="1:26" x14ac:dyDescent="0.6">
      <c r="A125" s="1280"/>
      <c r="N125" s="1288"/>
      <c r="O125" s="1290"/>
      <c r="Z125" s="1280"/>
    </row>
    <row r="126" spans="1:26" x14ac:dyDescent="0.6">
      <c r="A126" s="1280"/>
      <c r="N126" s="1288"/>
      <c r="O126" s="1290"/>
      <c r="Z126" s="1280"/>
    </row>
    <row r="127" spans="1:26" x14ac:dyDescent="0.6">
      <c r="A127" s="1280"/>
      <c r="N127" s="1288"/>
      <c r="O127" s="1290"/>
      <c r="Z127" s="1280"/>
    </row>
    <row r="128" spans="1:26" x14ac:dyDescent="0.6">
      <c r="A128" s="1280"/>
      <c r="N128" s="1288"/>
      <c r="O128" s="1290"/>
      <c r="Z128" s="1280"/>
    </row>
    <row r="129" spans="1:26" x14ac:dyDescent="0.6">
      <c r="A129" s="1280"/>
      <c r="N129" s="1288"/>
      <c r="O129" s="1290"/>
      <c r="Z129" s="1280"/>
    </row>
    <row r="130" spans="1:26" x14ac:dyDescent="0.6">
      <c r="A130" s="1280"/>
      <c r="N130" s="1288"/>
      <c r="O130" s="1290"/>
      <c r="Z130" s="1280"/>
    </row>
    <row r="131" spans="1:26" x14ac:dyDescent="0.6">
      <c r="A131" s="1280"/>
      <c r="N131" s="1288"/>
      <c r="O131" s="1290"/>
      <c r="Z131" s="1280"/>
    </row>
    <row r="132" spans="1:26" x14ac:dyDescent="0.6">
      <c r="A132" s="1280"/>
      <c r="N132" s="1288"/>
      <c r="O132" s="1290"/>
      <c r="Z132" s="1280"/>
    </row>
    <row r="133" spans="1:26" x14ac:dyDescent="0.6">
      <c r="A133" s="1280"/>
      <c r="N133" s="1288"/>
      <c r="O133" s="1290"/>
      <c r="Z133" s="1280"/>
    </row>
    <row r="134" spans="1:26" x14ac:dyDescent="0.6">
      <c r="A134" s="1280"/>
      <c r="N134" s="1288"/>
      <c r="O134" s="1290"/>
      <c r="Z134" s="1280"/>
    </row>
    <row r="135" spans="1:26" x14ac:dyDescent="0.6">
      <c r="A135" s="1280"/>
      <c r="N135" s="1288"/>
      <c r="O135" s="1290"/>
      <c r="Z135" s="1280"/>
    </row>
    <row r="136" spans="1:26" x14ac:dyDescent="0.6">
      <c r="A136" s="1280"/>
      <c r="N136" s="1288"/>
      <c r="O136" s="1290"/>
      <c r="Z136" s="1280"/>
    </row>
    <row r="137" spans="1:26" x14ac:dyDescent="0.6">
      <c r="A137" s="1280"/>
      <c r="N137" s="1288"/>
      <c r="O137" s="1290"/>
      <c r="Z137" s="1280"/>
    </row>
    <row r="138" spans="1:26" x14ac:dyDescent="0.6">
      <c r="A138" s="1280"/>
      <c r="N138" s="1288"/>
      <c r="O138" s="1290"/>
      <c r="Z138" s="1280"/>
    </row>
    <row r="139" spans="1:26" x14ac:dyDescent="0.6">
      <c r="A139" s="1280"/>
      <c r="N139" s="1288"/>
      <c r="O139" s="1290"/>
      <c r="Z139" s="1280"/>
    </row>
    <row r="140" spans="1:26" x14ac:dyDescent="0.6">
      <c r="A140" s="1280"/>
      <c r="N140" s="1288"/>
      <c r="O140" s="1290"/>
      <c r="Z140" s="1280"/>
    </row>
    <row r="141" spans="1:26" x14ac:dyDescent="0.6">
      <c r="A141" s="1280"/>
      <c r="N141" s="1288"/>
      <c r="O141" s="1290"/>
      <c r="Z141" s="1280"/>
    </row>
    <row r="142" spans="1:26" x14ac:dyDescent="0.6">
      <c r="A142" s="1280"/>
      <c r="N142" s="1288"/>
      <c r="O142" s="1290"/>
      <c r="Z142" s="1280"/>
    </row>
    <row r="143" spans="1:26" x14ac:dyDescent="0.6">
      <c r="A143" s="1280"/>
      <c r="N143" s="1288"/>
      <c r="O143" s="1290"/>
      <c r="Z143" s="1280"/>
    </row>
    <row r="144" spans="1:26" x14ac:dyDescent="0.6">
      <c r="A144" s="1280"/>
      <c r="N144" s="1288"/>
      <c r="O144" s="1290"/>
      <c r="Z144" s="1280"/>
    </row>
    <row r="145" spans="1:26" x14ac:dyDescent="0.6">
      <c r="A145" s="1280"/>
      <c r="N145" s="1288"/>
      <c r="O145" s="1290"/>
      <c r="Z145" s="1280"/>
    </row>
    <row r="146" spans="1:26" x14ac:dyDescent="0.6">
      <c r="A146" s="1280"/>
      <c r="N146" s="1288"/>
      <c r="O146" s="1290"/>
      <c r="Z146" s="1280"/>
    </row>
    <row r="147" spans="1:26" x14ac:dyDescent="0.6">
      <c r="A147" s="1280"/>
      <c r="N147" s="1288"/>
      <c r="O147" s="1290"/>
      <c r="Z147" s="1280"/>
    </row>
    <row r="148" spans="1:26" x14ac:dyDescent="0.6">
      <c r="A148" s="1280"/>
      <c r="N148" s="1288"/>
      <c r="O148" s="1290"/>
      <c r="Z148" s="1280"/>
    </row>
    <row r="149" spans="1:26" x14ac:dyDescent="0.6">
      <c r="A149" s="1280"/>
      <c r="N149" s="1288"/>
      <c r="O149" s="1290"/>
      <c r="Z149" s="1280"/>
    </row>
    <row r="150" spans="1:26" x14ac:dyDescent="0.6">
      <c r="A150" s="1280"/>
      <c r="N150" s="1288"/>
      <c r="O150" s="1290"/>
      <c r="Z150" s="1280"/>
    </row>
    <row r="151" spans="1:26" x14ac:dyDescent="0.6">
      <c r="A151" s="1280"/>
      <c r="N151" s="1288"/>
      <c r="O151" s="1290"/>
      <c r="Z151" s="1280"/>
    </row>
    <row r="152" spans="1:26" x14ac:dyDescent="0.6">
      <c r="A152" s="1280"/>
      <c r="N152" s="1288"/>
      <c r="O152" s="1290"/>
      <c r="Z152" s="1280"/>
    </row>
    <row r="153" spans="1:26" x14ac:dyDescent="0.6">
      <c r="A153" s="1280"/>
      <c r="N153" s="1288"/>
      <c r="O153" s="1290"/>
      <c r="Z153" s="1280"/>
    </row>
    <row r="154" spans="1:26" x14ac:dyDescent="0.6">
      <c r="A154" s="1280"/>
      <c r="N154" s="1288"/>
      <c r="O154" s="1290"/>
      <c r="Z154" s="1280"/>
    </row>
    <row r="155" spans="1:26" x14ac:dyDescent="0.6">
      <c r="A155" s="1280"/>
      <c r="N155" s="1288"/>
      <c r="O155" s="1290"/>
      <c r="Z155" s="1280"/>
    </row>
    <row r="156" spans="1:26" x14ac:dyDescent="0.6">
      <c r="A156" s="1280"/>
      <c r="N156" s="1288"/>
      <c r="O156" s="1290"/>
      <c r="Z156" s="1280"/>
    </row>
    <row r="157" spans="1:26" x14ac:dyDescent="0.6">
      <c r="A157" s="1280"/>
      <c r="N157" s="1288"/>
      <c r="O157" s="1290"/>
      <c r="Z157" s="1280"/>
    </row>
    <row r="158" spans="1:26" x14ac:dyDescent="0.6">
      <c r="A158" s="1280"/>
      <c r="N158" s="1288"/>
      <c r="O158" s="1290"/>
      <c r="Z158" s="1280"/>
    </row>
    <row r="159" spans="1:26" x14ac:dyDescent="0.6">
      <c r="A159" s="1280"/>
      <c r="N159" s="1288"/>
      <c r="O159" s="1290"/>
      <c r="Z159" s="1280"/>
    </row>
    <row r="160" spans="1:26" x14ac:dyDescent="0.6">
      <c r="A160" s="1280"/>
      <c r="N160" s="1288"/>
      <c r="O160" s="1290"/>
      <c r="Z160" s="1280"/>
    </row>
    <row r="161" spans="1:26" x14ac:dyDescent="0.6">
      <c r="A161" s="1280"/>
      <c r="N161" s="1288"/>
      <c r="O161" s="1290"/>
      <c r="Z161" s="1280"/>
    </row>
    <row r="162" spans="1:26" x14ac:dyDescent="0.6">
      <c r="A162" s="1280"/>
      <c r="N162" s="1288"/>
      <c r="O162" s="1290"/>
      <c r="Z162" s="1280"/>
    </row>
    <row r="163" spans="1:26" x14ac:dyDescent="0.6">
      <c r="A163" s="1280"/>
      <c r="N163" s="1288"/>
      <c r="O163" s="1290"/>
      <c r="Z163" s="1280"/>
    </row>
    <row r="164" spans="1:26" x14ac:dyDescent="0.6">
      <c r="A164" s="1280"/>
      <c r="N164" s="1288"/>
      <c r="O164" s="1290"/>
      <c r="Z164" s="1280"/>
    </row>
    <row r="165" spans="1:26" x14ac:dyDescent="0.6">
      <c r="A165" s="1280"/>
      <c r="N165" s="1288"/>
      <c r="O165" s="1290"/>
      <c r="Z165" s="1280"/>
    </row>
    <row r="166" spans="1:26" x14ac:dyDescent="0.6">
      <c r="A166" s="1280"/>
      <c r="N166" s="1288"/>
      <c r="O166" s="1290"/>
      <c r="Z166" s="1280"/>
    </row>
    <row r="167" spans="1:26" x14ac:dyDescent="0.6">
      <c r="A167" s="1280"/>
      <c r="N167" s="1288"/>
      <c r="O167" s="1290"/>
      <c r="Z167" s="1280"/>
    </row>
    <row r="168" spans="1:26" x14ac:dyDescent="0.6">
      <c r="A168" s="1280"/>
      <c r="N168" s="1288"/>
      <c r="O168" s="1290"/>
      <c r="Z168" s="1280"/>
    </row>
    <row r="169" spans="1:26" x14ac:dyDescent="0.6">
      <c r="A169" s="1280"/>
      <c r="N169" s="1288"/>
      <c r="O169" s="1290"/>
      <c r="Z169" s="1280"/>
    </row>
    <row r="170" spans="1:26" x14ac:dyDescent="0.6">
      <c r="A170" s="1280"/>
      <c r="N170" s="1288"/>
      <c r="O170" s="1290"/>
      <c r="Z170" s="1280"/>
    </row>
    <row r="171" spans="1:26" x14ac:dyDescent="0.6">
      <c r="A171" s="1280"/>
      <c r="N171" s="1288"/>
      <c r="O171" s="1290"/>
      <c r="Z171" s="1280"/>
    </row>
    <row r="172" spans="1:26" x14ac:dyDescent="0.6">
      <c r="A172" s="1280"/>
      <c r="N172" s="1288"/>
      <c r="O172" s="1290"/>
      <c r="Z172" s="1280"/>
    </row>
    <row r="173" spans="1:26" x14ac:dyDescent="0.6">
      <c r="A173" s="1280"/>
      <c r="N173" s="1288"/>
      <c r="O173" s="1290"/>
      <c r="Z173" s="1280"/>
    </row>
    <row r="174" spans="1:26" x14ac:dyDescent="0.6">
      <c r="A174" s="1280"/>
      <c r="N174" s="1288"/>
      <c r="O174" s="1290"/>
      <c r="Z174" s="1280"/>
    </row>
    <row r="175" spans="1:26" x14ac:dyDescent="0.6">
      <c r="A175" s="1280"/>
      <c r="N175" s="1288"/>
      <c r="O175" s="1290"/>
      <c r="Z175" s="1280"/>
    </row>
    <row r="176" spans="1:26" x14ac:dyDescent="0.6">
      <c r="A176" s="1280"/>
      <c r="N176" s="1288"/>
      <c r="O176" s="1290"/>
      <c r="Z176" s="1280"/>
    </row>
    <row r="177" spans="1:26" x14ac:dyDescent="0.6">
      <c r="A177" s="1280"/>
      <c r="N177" s="1288"/>
      <c r="O177" s="1290"/>
      <c r="Z177" s="1280"/>
    </row>
    <row r="178" spans="1:26" x14ac:dyDescent="0.6">
      <c r="A178" s="1280"/>
      <c r="N178" s="1288"/>
      <c r="O178" s="1290"/>
      <c r="Z178" s="1280"/>
    </row>
    <row r="179" spans="1:26" x14ac:dyDescent="0.6">
      <c r="A179" s="1280"/>
      <c r="N179" s="1288"/>
      <c r="O179" s="1290"/>
      <c r="Z179" s="1280"/>
    </row>
    <row r="180" spans="1:26" x14ac:dyDescent="0.6">
      <c r="A180" s="1280"/>
      <c r="N180" s="1288"/>
      <c r="O180" s="1290"/>
      <c r="Z180" s="1280"/>
    </row>
    <row r="181" spans="1:26" x14ac:dyDescent="0.6">
      <c r="A181" s="1280"/>
      <c r="N181" s="1288"/>
      <c r="O181" s="1290"/>
      <c r="Z181" s="1280"/>
    </row>
    <row r="182" spans="1:26" x14ac:dyDescent="0.6">
      <c r="A182" s="1280"/>
      <c r="N182" s="1288"/>
      <c r="O182" s="1290"/>
      <c r="Z182" s="1280"/>
    </row>
    <row r="183" spans="1:26" x14ac:dyDescent="0.6">
      <c r="A183" s="1280"/>
      <c r="N183" s="1288"/>
      <c r="O183" s="1290"/>
      <c r="Z183" s="1280"/>
    </row>
    <row r="184" spans="1:26" x14ac:dyDescent="0.6">
      <c r="A184" s="1280"/>
      <c r="N184" s="1288"/>
      <c r="O184" s="1290"/>
      <c r="Z184" s="1280"/>
    </row>
    <row r="185" spans="1:26" x14ac:dyDescent="0.6">
      <c r="A185" s="1280"/>
      <c r="N185" s="1288"/>
      <c r="O185" s="1290"/>
      <c r="Z185" s="1280"/>
    </row>
    <row r="186" spans="1:26" x14ac:dyDescent="0.6">
      <c r="A186" s="1280"/>
      <c r="N186" s="1288"/>
      <c r="O186" s="1290"/>
      <c r="Z186" s="1280"/>
    </row>
    <row r="187" spans="1:26" x14ac:dyDescent="0.6">
      <c r="A187" s="1280"/>
      <c r="N187" s="1288"/>
      <c r="O187" s="1290"/>
      <c r="Z187" s="1280"/>
    </row>
    <row r="188" spans="1:26" x14ac:dyDescent="0.6">
      <c r="A188" s="1280"/>
      <c r="N188" s="1288"/>
      <c r="O188" s="1290"/>
      <c r="Z188" s="1280"/>
    </row>
    <row r="189" spans="1:26" x14ac:dyDescent="0.6">
      <c r="A189" s="1280"/>
      <c r="N189" s="1288"/>
      <c r="O189" s="1290"/>
      <c r="Z189" s="1280"/>
    </row>
    <row r="190" spans="1:26" x14ac:dyDescent="0.6">
      <c r="A190" s="1280"/>
      <c r="N190" s="1288"/>
      <c r="O190" s="1290"/>
      <c r="Z190" s="1280"/>
    </row>
    <row r="191" spans="1:26" x14ac:dyDescent="0.6">
      <c r="A191" s="1280"/>
      <c r="N191" s="1288"/>
      <c r="O191" s="1290"/>
      <c r="Z191" s="1280"/>
    </row>
    <row r="192" spans="1:26" x14ac:dyDescent="0.6">
      <c r="A192" s="1280"/>
      <c r="N192" s="1288"/>
      <c r="O192" s="1290"/>
      <c r="Z192" s="1280"/>
    </row>
    <row r="193" spans="1:26" x14ac:dyDescent="0.6">
      <c r="A193" s="1280"/>
      <c r="N193" s="1288"/>
      <c r="O193" s="1290"/>
      <c r="Z193" s="1280"/>
    </row>
    <row r="194" spans="1:26" x14ac:dyDescent="0.6">
      <c r="A194" s="1280"/>
      <c r="N194" s="1288"/>
      <c r="O194" s="1290"/>
      <c r="Z194" s="1280"/>
    </row>
    <row r="195" spans="1:26" x14ac:dyDescent="0.6">
      <c r="A195" s="1280"/>
      <c r="N195" s="1288"/>
      <c r="O195" s="1290"/>
      <c r="Z195" s="1280"/>
    </row>
    <row r="196" spans="1:26" x14ac:dyDescent="0.6">
      <c r="A196" s="1280"/>
      <c r="N196" s="1288"/>
      <c r="O196" s="1290"/>
      <c r="Z196" s="1280"/>
    </row>
    <row r="197" spans="1:26" x14ac:dyDescent="0.6">
      <c r="A197" s="1280"/>
      <c r="N197" s="1288"/>
      <c r="O197" s="1290"/>
      <c r="Z197" s="1280"/>
    </row>
    <row r="198" spans="1:26" x14ac:dyDescent="0.6">
      <c r="A198" s="1280"/>
      <c r="N198" s="1288"/>
      <c r="O198" s="1290"/>
      <c r="Z198" s="1280"/>
    </row>
    <row r="199" spans="1:26" x14ac:dyDescent="0.6">
      <c r="A199" s="1280"/>
      <c r="N199" s="1288"/>
      <c r="O199" s="1290"/>
      <c r="Z199" s="1280"/>
    </row>
    <row r="200" spans="1:26" x14ac:dyDescent="0.6">
      <c r="A200" s="1280"/>
      <c r="N200" s="1288"/>
      <c r="O200" s="1290"/>
      <c r="Z200" s="1280"/>
    </row>
    <row r="201" spans="1:26" x14ac:dyDescent="0.6">
      <c r="A201" s="1280"/>
      <c r="N201" s="1288"/>
      <c r="O201" s="1290"/>
      <c r="Z201" s="1280"/>
    </row>
    <row r="202" spans="1:26" x14ac:dyDescent="0.6">
      <c r="A202" s="1280"/>
      <c r="N202" s="1288"/>
      <c r="O202" s="1290"/>
      <c r="Z202" s="1280"/>
    </row>
    <row r="203" spans="1:26" x14ac:dyDescent="0.6">
      <c r="A203" s="1280"/>
      <c r="N203" s="1288"/>
      <c r="O203" s="1290"/>
      <c r="Z203" s="1280"/>
    </row>
    <row r="204" spans="1:26" x14ac:dyDescent="0.6">
      <c r="A204" s="1280"/>
      <c r="N204" s="1288"/>
      <c r="O204" s="1290"/>
      <c r="Z204" s="1280"/>
    </row>
    <row r="205" spans="1:26" x14ac:dyDescent="0.6">
      <c r="A205" s="1280"/>
      <c r="N205" s="1288"/>
      <c r="O205" s="1290"/>
      <c r="Z205" s="1280"/>
    </row>
    <row r="206" spans="1:26" x14ac:dyDescent="0.6">
      <c r="A206" s="1280"/>
      <c r="N206" s="1288"/>
      <c r="O206" s="1290"/>
      <c r="Z206" s="1280"/>
    </row>
    <row r="207" spans="1:26" x14ac:dyDescent="0.6">
      <c r="A207" s="1280"/>
      <c r="N207" s="1288"/>
      <c r="O207" s="1290"/>
      <c r="Z207" s="1280"/>
    </row>
    <row r="208" spans="1:26" x14ac:dyDescent="0.6">
      <c r="A208" s="1280"/>
      <c r="N208" s="1288"/>
      <c r="O208" s="1290"/>
      <c r="Z208" s="1280"/>
    </row>
    <row r="209" spans="1:26" x14ac:dyDescent="0.6">
      <c r="A209" s="1280"/>
      <c r="N209" s="1288"/>
      <c r="O209" s="1290"/>
      <c r="Z209" s="1280"/>
    </row>
    <row r="210" spans="1:26" x14ac:dyDescent="0.6">
      <c r="A210" s="1280"/>
      <c r="N210" s="1288"/>
      <c r="O210" s="1290"/>
      <c r="Z210" s="1280"/>
    </row>
    <row r="211" spans="1:26" x14ac:dyDescent="0.6">
      <c r="A211" s="1280"/>
      <c r="N211" s="1288"/>
      <c r="O211" s="1290"/>
      <c r="Z211" s="1280"/>
    </row>
    <row r="212" spans="1:26" x14ac:dyDescent="0.6">
      <c r="A212" s="1280"/>
      <c r="N212" s="1288"/>
      <c r="O212" s="1290"/>
      <c r="Z212" s="1280"/>
    </row>
    <row r="213" spans="1:26" x14ac:dyDescent="0.6">
      <c r="A213" s="1280"/>
      <c r="N213" s="1288"/>
      <c r="O213" s="1290"/>
      <c r="Z213" s="1280"/>
    </row>
    <row r="214" spans="1:26" x14ac:dyDescent="0.6">
      <c r="A214" s="1280"/>
      <c r="N214" s="1288"/>
      <c r="O214" s="1290"/>
      <c r="Z214" s="1280"/>
    </row>
    <row r="215" spans="1:26" x14ac:dyDescent="0.6">
      <c r="A215" s="1280"/>
      <c r="N215" s="1288"/>
      <c r="O215" s="1290"/>
      <c r="Z215" s="1280"/>
    </row>
    <row r="216" spans="1:26" x14ac:dyDescent="0.6">
      <c r="A216" s="1280"/>
      <c r="N216" s="1288"/>
      <c r="O216" s="1290"/>
      <c r="Z216" s="1280"/>
    </row>
    <row r="217" spans="1:26" x14ac:dyDescent="0.6">
      <c r="A217" s="1280"/>
      <c r="N217" s="1288"/>
      <c r="O217" s="1290"/>
      <c r="Z217" s="1280"/>
    </row>
    <row r="218" spans="1:26" x14ac:dyDescent="0.6">
      <c r="A218" s="1280"/>
      <c r="N218" s="1288"/>
      <c r="O218" s="1290"/>
      <c r="Z218" s="1280"/>
    </row>
    <row r="219" spans="1:26" x14ac:dyDescent="0.6">
      <c r="A219" s="1280"/>
      <c r="N219" s="1288"/>
      <c r="O219" s="1290"/>
      <c r="Z219" s="1280"/>
    </row>
    <row r="220" spans="1:26" x14ac:dyDescent="0.6">
      <c r="A220" s="1280"/>
      <c r="N220" s="1288"/>
      <c r="O220" s="1290"/>
      <c r="Z220" s="1280"/>
    </row>
    <row r="221" spans="1:26" x14ac:dyDescent="0.6">
      <c r="A221" s="1280"/>
      <c r="N221" s="1288"/>
      <c r="O221" s="1290"/>
      <c r="Z221" s="1280"/>
    </row>
    <row r="222" spans="1:26" x14ac:dyDescent="0.6">
      <c r="A222" s="1280"/>
      <c r="N222" s="1288"/>
      <c r="O222" s="1290"/>
      <c r="Z222" s="1280"/>
    </row>
    <row r="223" spans="1:26" x14ac:dyDescent="0.6">
      <c r="A223" s="1280"/>
      <c r="N223" s="1288"/>
      <c r="O223" s="1290"/>
      <c r="Z223" s="1280"/>
    </row>
    <row r="224" spans="1:26" x14ac:dyDescent="0.6">
      <c r="A224" s="1280"/>
      <c r="N224" s="1288"/>
      <c r="O224" s="1290"/>
      <c r="Z224" s="1280"/>
    </row>
    <row r="225" spans="1:26" x14ac:dyDescent="0.6">
      <c r="A225" s="1280"/>
      <c r="N225" s="1288"/>
      <c r="O225" s="1290"/>
      <c r="Z225" s="1280"/>
    </row>
    <row r="226" spans="1:26" x14ac:dyDescent="0.6">
      <c r="A226" s="1280"/>
      <c r="N226" s="1288"/>
      <c r="O226" s="1290"/>
      <c r="Z226" s="1280"/>
    </row>
    <row r="227" spans="1:26" x14ac:dyDescent="0.6">
      <c r="A227" s="1280"/>
      <c r="N227" s="1288"/>
      <c r="O227" s="1290"/>
      <c r="Z227" s="1280"/>
    </row>
    <row r="228" spans="1:26" x14ac:dyDescent="0.6">
      <c r="A228" s="1280"/>
      <c r="N228" s="1288"/>
      <c r="O228" s="1290"/>
      <c r="Z228" s="1280"/>
    </row>
    <row r="229" spans="1:26" x14ac:dyDescent="0.6">
      <c r="A229" s="1280"/>
      <c r="N229" s="1288"/>
      <c r="O229" s="1290"/>
      <c r="Z229" s="1280"/>
    </row>
    <row r="230" spans="1:26" x14ac:dyDescent="0.6">
      <c r="A230" s="1280"/>
      <c r="N230" s="1288"/>
      <c r="O230" s="1290"/>
      <c r="Z230" s="1280"/>
    </row>
    <row r="231" spans="1:26" x14ac:dyDescent="0.6">
      <c r="A231" s="1280"/>
      <c r="N231" s="1288"/>
      <c r="O231" s="1290"/>
      <c r="Z231" s="1280"/>
    </row>
    <row r="232" spans="1:26" x14ac:dyDescent="0.6">
      <c r="A232" s="1280"/>
      <c r="N232" s="1288"/>
      <c r="O232" s="1290"/>
      <c r="Z232" s="1280"/>
    </row>
    <row r="233" spans="1:26" x14ac:dyDescent="0.6">
      <c r="A233" s="1280"/>
      <c r="N233" s="1288"/>
      <c r="O233" s="1290"/>
      <c r="Z233" s="1280"/>
    </row>
    <row r="234" spans="1:26" x14ac:dyDescent="0.6">
      <c r="A234" s="1280"/>
      <c r="N234" s="1288"/>
      <c r="O234" s="1290"/>
      <c r="Z234" s="1280"/>
    </row>
    <row r="235" spans="1:26" x14ac:dyDescent="0.6">
      <c r="A235" s="1280"/>
      <c r="N235" s="1288"/>
      <c r="O235" s="1290"/>
      <c r="Z235" s="1280"/>
    </row>
    <row r="236" spans="1:26" x14ac:dyDescent="0.6">
      <c r="A236" s="1280"/>
      <c r="N236" s="1288"/>
      <c r="O236" s="1290"/>
      <c r="Z236" s="1280"/>
    </row>
    <row r="237" spans="1:26" x14ac:dyDescent="0.6">
      <c r="A237" s="1280"/>
      <c r="N237" s="1288"/>
      <c r="O237" s="1290"/>
      <c r="Z237" s="1280"/>
    </row>
    <row r="238" spans="1:26" x14ac:dyDescent="0.6">
      <c r="A238" s="1280"/>
      <c r="N238" s="1288"/>
      <c r="O238" s="1290"/>
      <c r="Z238" s="1280"/>
    </row>
    <row r="239" spans="1:26" x14ac:dyDescent="0.6">
      <c r="A239" s="1280"/>
      <c r="N239" s="1288"/>
      <c r="O239" s="1290"/>
      <c r="Z239" s="1280"/>
    </row>
    <row r="240" spans="1:26" x14ac:dyDescent="0.6">
      <c r="A240" s="1280"/>
      <c r="N240" s="1288"/>
      <c r="O240" s="1290"/>
      <c r="Z240" s="1280"/>
    </row>
    <row r="241" spans="1:26" x14ac:dyDescent="0.6">
      <c r="A241" s="1280"/>
      <c r="N241" s="1288"/>
      <c r="O241" s="1290"/>
      <c r="Z241" s="1280"/>
    </row>
    <row r="242" spans="1:26" x14ac:dyDescent="0.6">
      <c r="A242" s="1280"/>
      <c r="N242" s="1288"/>
      <c r="O242" s="1290"/>
      <c r="Z242" s="1280"/>
    </row>
    <row r="243" spans="1:26" x14ac:dyDescent="0.6">
      <c r="A243" s="1280"/>
      <c r="N243" s="1288"/>
      <c r="O243" s="1290"/>
      <c r="Z243" s="1280"/>
    </row>
    <row r="244" spans="1:26" x14ac:dyDescent="0.6">
      <c r="A244" s="1280"/>
      <c r="N244" s="1288"/>
      <c r="O244" s="1290"/>
      <c r="Z244" s="1280"/>
    </row>
    <row r="245" spans="1:26" x14ac:dyDescent="0.6">
      <c r="A245" s="1280"/>
      <c r="N245" s="1288"/>
      <c r="O245" s="1290"/>
      <c r="Z245" s="1280"/>
    </row>
    <row r="246" spans="1:26" x14ac:dyDescent="0.6">
      <c r="A246" s="1280"/>
      <c r="N246" s="1288"/>
      <c r="O246" s="1290"/>
      <c r="Z246" s="1280"/>
    </row>
    <row r="247" spans="1:26" x14ac:dyDescent="0.6">
      <c r="A247" s="1280"/>
      <c r="N247" s="1288"/>
      <c r="O247" s="1290"/>
      <c r="Z247" s="1280"/>
    </row>
    <row r="248" spans="1:26" x14ac:dyDescent="0.6">
      <c r="A248" s="1280"/>
      <c r="N248" s="1288"/>
      <c r="O248" s="1290"/>
      <c r="Z248" s="1280"/>
    </row>
    <row r="249" spans="1:26" x14ac:dyDescent="0.6">
      <c r="A249" s="1280"/>
      <c r="N249" s="1288"/>
      <c r="O249" s="1290"/>
      <c r="Z249" s="1280"/>
    </row>
    <row r="250" spans="1:26" x14ac:dyDescent="0.6">
      <c r="A250" s="1280"/>
      <c r="N250" s="1288"/>
      <c r="O250" s="1290"/>
      <c r="Z250" s="1280"/>
    </row>
    <row r="251" spans="1:26" x14ac:dyDescent="0.6">
      <c r="A251" s="1280"/>
      <c r="N251" s="1288"/>
      <c r="O251" s="1290"/>
      <c r="Z251" s="1280"/>
    </row>
    <row r="252" spans="1:26" x14ac:dyDescent="0.6">
      <c r="A252" s="1280"/>
      <c r="N252" s="1288"/>
      <c r="O252" s="1290"/>
      <c r="Z252" s="1280"/>
    </row>
    <row r="253" spans="1:26" x14ac:dyDescent="0.6">
      <c r="A253" s="1280"/>
      <c r="N253" s="1288"/>
      <c r="O253" s="1290"/>
      <c r="Z253" s="1280"/>
    </row>
    <row r="254" spans="1:26" x14ac:dyDescent="0.6">
      <c r="A254" s="1280"/>
      <c r="N254" s="1288"/>
      <c r="O254" s="1290"/>
      <c r="Z254" s="1280"/>
    </row>
    <row r="255" spans="1:26" x14ac:dyDescent="0.6">
      <c r="A255" s="1280"/>
      <c r="N255" s="1288"/>
      <c r="O255" s="1290"/>
      <c r="Z255" s="1280"/>
    </row>
    <row r="256" spans="1:26" x14ac:dyDescent="0.6">
      <c r="A256" s="1280"/>
      <c r="N256" s="1288"/>
      <c r="O256" s="1290"/>
      <c r="Z256" s="1280"/>
    </row>
    <row r="257" spans="1:26" x14ac:dyDescent="0.6">
      <c r="A257" s="1280"/>
      <c r="N257" s="1288"/>
      <c r="O257" s="1290"/>
      <c r="Z257" s="1280"/>
    </row>
    <row r="258" spans="1:26" x14ac:dyDescent="0.6">
      <c r="A258" s="1280"/>
      <c r="N258" s="1288"/>
      <c r="O258" s="1290"/>
      <c r="Z258" s="1280"/>
    </row>
    <row r="259" spans="1:26" x14ac:dyDescent="0.6">
      <c r="A259" s="1280"/>
      <c r="N259" s="1288"/>
      <c r="O259" s="1290"/>
      <c r="Z259" s="1280"/>
    </row>
    <row r="260" spans="1:26" x14ac:dyDescent="0.6">
      <c r="A260" s="1280"/>
      <c r="N260" s="1288"/>
      <c r="O260" s="1290"/>
      <c r="Z260" s="1280"/>
    </row>
    <row r="261" spans="1:26" x14ac:dyDescent="0.6">
      <c r="A261" s="1280"/>
      <c r="N261" s="1288"/>
      <c r="O261" s="1290"/>
      <c r="Z261" s="1280"/>
    </row>
    <row r="262" spans="1:26" x14ac:dyDescent="0.6">
      <c r="A262" s="1280"/>
      <c r="N262" s="1288"/>
      <c r="O262" s="1290"/>
      <c r="Z262" s="1280"/>
    </row>
    <row r="263" spans="1:26" x14ac:dyDescent="0.6">
      <c r="A263" s="1280"/>
      <c r="N263" s="1288"/>
      <c r="O263" s="1290"/>
      <c r="Z263" s="1280"/>
    </row>
    <row r="264" spans="1:26" x14ac:dyDescent="0.6">
      <c r="A264" s="1280"/>
      <c r="N264" s="1288"/>
      <c r="O264" s="1290"/>
      <c r="Z264" s="1280"/>
    </row>
    <row r="265" spans="1:26" x14ac:dyDescent="0.6">
      <c r="A265" s="1280"/>
      <c r="N265" s="1288"/>
      <c r="O265" s="1290"/>
      <c r="Z265" s="1280"/>
    </row>
    <row r="266" spans="1:26" x14ac:dyDescent="0.6">
      <c r="A266" s="1280"/>
      <c r="N266" s="1288"/>
      <c r="O266" s="1290"/>
      <c r="Z266" s="1280"/>
    </row>
    <row r="267" spans="1:26" x14ac:dyDescent="0.6">
      <c r="A267" s="1280"/>
      <c r="N267" s="1288"/>
      <c r="O267" s="1290"/>
      <c r="Z267" s="1280"/>
    </row>
    <row r="268" spans="1:26" x14ac:dyDescent="0.6">
      <c r="A268" s="1280"/>
      <c r="N268" s="1288"/>
      <c r="O268" s="1290"/>
      <c r="Z268" s="1280"/>
    </row>
    <row r="269" spans="1:26" x14ac:dyDescent="0.6">
      <c r="A269" s="1280"/>
      <c r="N269" s="1288"/>
      <c r="O269" s="1290"/>
      <c r="Z269" s="1280"/>
    </row>
    <row r="270" spans="1:26" x14ac:dyDescent="0.6">
      <c r="A270" s="1280"/>
      <c r="N270" s="1288"/>
      <c r="O270" s="1290"/>
      <c r="Z270" s="1280"/>
    </row>
    <row r="271" spans="1:26" x14ac:dyDescent="0.6">
      <c r="A271" s="1280"/>
      <c r="N271" s="1288"/>
      <c r="O271" s="1290"/>
      <c r="Z271" s="1280"/>
    </row>
    <row r="272" spans="1:26" x14ac:dyDescent="0.6">
      <c r="A272" s="1280"/>
      <c r="N272" s="1288"/>
      <c r="O272" s="1290"/>
      <c r="Z272" s="1280"/>
    </row>
    <row r="273" spans="1:26" x14ac:dyDescent="0.6">
      <c r="A273" s="1280"/>
      <c r="N273" s="1288"/>
      <c r="O273" s="1290"/>
      <c r="Z273" s="1280"/>
    </row>
    <row r="274" spans="1:26" x14ac:dyDescent="0.6">
      <c r="A274" s="1280"/>
      <c r="N274" s="1288"/>
      <c r="O274" s="1290"/>
      <c r="Z274" s="1280"/>
    </row>
    <row r="275" spans="1:26" x14ac:dyDescent="0.6">
      <c r="A275" s="1280"/>
      <c r="N275" s="1288"/>
      <c r="O275" s="1290"/>
      <c r="Z275" s="1280"/>
    </row>
    <row r="276" spans="1:26" x14ac:dyDescent="0.6">
      <c r="A276" s="1280"/>
      <c r="N276" s="1288"/>
      <c r="O276" s="1290"/>
      <c r="Z276" s="1280"/>
    </row>
    <row r="277" spans="1:26" x14ac:dyDescent="0.6">
      <c r="A277" s="1280"/>
      <c r="N277" s="1288"/>
      <c r="O277" s="1290"/>
      <c r="Z277" s="1280"/>
    </row>
    <row r="278" spans="1:26" x14ac:dyDescent="0.6">
      <c r="A278" s="1280"/>
      <c r="N278" s="1288"/>
      <c r="O278" s="1290"/>
      <c r="Z278" s="1280"/>
    </row>
    <row r="279" spans="1:26" x14ac:dyDescent="0.6">
      <c r="A279" s="1280"/>
      <c r="N279" s="1288"/>
      <c r="O279" s="1290"/>
      <c r="Z279" s="1280"/>
    </row>
    <row r="280" spans="1:26" x14ac:dyDescent="0.6">
      <c r="A280" s="1280"/>
      <c r="N280" s="1288"/>
      <c r="O280" s="1290"/>
      <c r="Z280" s="1280"/>
    </row>
    <row r="281" spans="1:26" x14ac:dyDescent="0.6">
      <c r="A281" s="1280"/>
      <c r="N281" s="1288"/>
      <c r="O281" s="1290"/>
      <c r="Z281" s="1280"/>
    </row>
    <row r="282" spans="1:26" x14ac:dyDescent="0.6">
      <c r="A282" s="1280"/>
      <c r="N282" s="1288"/>
      <c r="O282" s="1290"/>
      <c r="Z282" s="1280"/>
    </row>
    <row r="283" spans="1:26" x14ac:dyDescent="0.6">
      <c r="A283" s="1280"/>
      <c r="N283" s="1288"/>
      <c r="O283" s="1290"/>
      <c r="Z283" s="1280"/>
    </row>
    <row r="284" spans="1:26" x14ac:dyDescent="0.6">
      <c r="A284" s="1280"/>
      <c r="N284" s="1288"/>
      <c r="O284" s="1290"/>
      <c r="Z284" s="1280"/>
    </row>
    <row r="285" spans="1:26" x14ac:dyDescent="0.6">
      <c r="A285" s="1280"/>
      <c r="N285" s="1288"/>
      <c r="O285" s="1290"/>
      <c r="Z285" s="1280"/>
    </row>
    <row r="286" spans="1:26" x14ac:dyDescent="0.6">
      <c r="A286" s="1280"/>
      <c r="N286" s="1288"/>
      <c r="O286" s="1290"/>
      <c r="Z286" s="1280"/>
    </row>
    <row r="287" spans="1:26" x14ac:dyDescent="0.6">
      <c r="A287" s="1280"/>
      <c r="N287" s="1288"/>
      <c r="O287" s="1290"/>
      <c r="Z287" s="1280"/>
    </row>
    <row r="288" spans="1:26" x14ac:dyDescent="0.6">
      <c r="A288" s="1280"/>
      <c r="N288" s="1288"/>
      <c r="O288" s="1290"/>
      <c r="Z288" s="1280"/>
    </row>
    <row r="289" spans="1:26" x14ac:dyDescent="0.6">
      <c r="A289" s="1280"/>
      <c r="N289" s="1288"/>
      <c r="O289" s="1290"/>
      <c r="Z289" s="1280"/>
    </row>
    <row r="290" spans="1:26" x14ac:dyDescent="0.6">
      <c r="A290" s="1280"/>
      <c r="N290" s="1288"/>
      <c r="O290" s="1290"/>
      <c r="Z290" s="1280"/>
    </row>
    <row r="291" spans="1:26" x14ac:dyDescent="0.6">
      <c r="A291" s="1280"/>
      <c r="N291" s="1288"/>
      <c r="O291" s="1290"/>
      <c r="Z291" s="1280"/>
    </row>
    <row r="292" spans="1:26" x14ac:dyDescent="0.6">
      <c r="A292" s="1280"/>
      <c r="N292" s="1288"/>
      <c r="O292" s="1290"/>
      <c r="Z292" s="1280"/>
    </row>
    <row r="293" spans="1:26" x14ac:dyDescent="0.6">
      <c r="A293" s="1280"/>
      <c r="N293" s="1288"/>
      <c r="O293" s="1290"/>
      <c r="Z293" s="1280"/>
    </row>
    <row r="294" spans="1:26" x14ac:dyDescent="0.6">
      <c r="A294" s="1280"/>
      <c r="N294" s="1288"/>
      <c r="O294" s="1290"/>
      <c r="Z294" s="1280"/>
    </row>
    <row r="295" spans="1:26" x14ac:dyDescent="0.6">
      <c r="A295" s="1280"/>
      <c r="N295" s="1288"/>
      <c r="O295" s="1290"/>
      <c r="Z295" s="1280"/>
    </row>
    <row r="296" spans="1:26" x14ac:dyDescent="0.6">
      <c r="A296" s="1280"/>
      <c r="N296" s="1288"/>
      <c r="O296" s="1290"/>
      <c r="Z296" s="1280"/>
    </row>
    <row r="297" spans="1:26" x14ac:dyDescent="0.6">
      <c r="A297" s="1280"/>
      <c r="N297" s="1288"/>
      <c r="O297" s="1290"/>
      <c r="Z297" s="1280"/>
    </row>
    <row r="298" spans="1:26" x14ac:dyDescent="0.6">
      <c r="A298" s="1280"/>
      <c r="N298" s="1288"/>
      <c r="O298" s="1290"/>
      <c r="Z298" s="1280"/>
    </row>
    <row r="299" spans="1:26" x14ac:dyDescent="0.6">
      <c r="A299" s="1280"/>
      <c r="N299" s="1288"/>
      <c r="O299" s="1290"/>
      <c r="Z299" s="1280"/>
    </row>
    <row r="300" spans="1:26" x14ac:dyDescent="0.6">
      <c r="A300" s="1280"/>
      <c r="N300" s="1288"/>
      <c r="O300" s="1290"/>
      <c r="Z300" s="1280"/>
    </row>
    <row r="301" spans="1:26" x14ac:dyDescent="0.6">
      <c r="A301" s="1280"/>
      <c r="N301" s="1288"/>
      <c r="O301" s="1290"/>
      <c r="Z301" s="1280"/>
    </row>
    <row r="302" spans="1:26" x14ac:dyDescent="0.6">
      <c r="A302" s="1280"/>
      <c r="N302" s="1288"/>
      <c r="O302" s="1290"/>
      <c r="Z302" s="1280"/>
    </row>
    <row r="303" spans="1:26" x14ac:dyDescent="0.6">
      <c r="A303" s="1280"/>
      <c r="N303" s="1288"/>
      <c r="O303" s="1290"/>
      <c r="Z303" s="1280"/>
    </row>
    <row r="304" spans="1:26" x14ac:dyDescent="0.6">
      <c r="A304" s="1280"/>
      <c r="N304" s="1288"/>
      <c r="O304" s="1290"/>
      <c r="Z304" s="1280"/>
    </row>
    <row r="305" spans="1:26" x14ac:dyDescent="0.6">
      <c r="A305" s="1280"/>
      <c r="N305" s="1288"/>
      <c r="O305" s="1290"/>
      <c r="Z305" s="1280"/>
    </row>
    <row r="306" spans="1:26" x14ac:dyDescent="0.6">
      <c r="A306" s="1280"/>
      <c r="N306" s="1288"/>
      <c r="O306" s="1290"/>
      <c r="Z306" s="1280"/>
    </row>
    <row r="307" spans="1:26" x14ac:dyDescent="0.6">
      <c r="A307" s="1280"/>
      <c r="N307" s="1288"/>
      <c r="O307" s="1290"/>
      <c r="Z307" s="1280"/>
    </row>
    <row r="308" spans="1:26" x14ac:dyDescent="0.6">
      <c r="A308" s="1280"/>
      <c r="N308" s="1288"/>
      <c r="O308" s="1290"/>
      <c r="Z308" s="1280"/>
    </row>
    <row r="309" spans="1:26" x14ac:dyDescent="0.6">
      <c r="A309" s="1280"/>
      <c r="N309" s="1288"/>
      <c r="O309" s="1290"/>
      <c r="Z309" s="1280"/>
    </row>
    <row r="310" spans="1:26" x14ac:dyDescent="0.6">
      <c r="A310" s="1280"/>
      <c r="N310" s="1288"/>
      <c r="O310" s="1290"/>
      <c r="Z310" s="1280"/>
    </row>
    <row r="311" spans="1:26" x14ac:dyDescent="0.6">
      <c r="A311" s="1280"/>
      <c r="N311" s="1288"/>
      <c r="O311" s="1290"/>
      <c r="Z311" s="1280"/>
    </row>
    <row r="312" spans="1:26" x14ac:dyDescent="0.6">
      <c r="A312" s="1280"/>
      <c r="N312" s="1288"/>
      <c r="O312" s="1290"/>
      <c r="Z312" s="1280"/>
    </row>
    <row r="313" spans="1:26" x14ac:dyDescent="0.6">
      <c r="A313" s="1280"/>
      <c r="N313" s="1288"/>
      <c r="O313" s="1290"/>
      <c r="Z313" s="1280"/>
    </row>
    <row r="314" spans="1:26" x14ac:dyDescent="0.6">
      <c r="A314" s="1280"/>
      <c r="N314" s="1288"/>
      <c r="O314" s="1290"/>
      <c r="Z314" s="1280"/>
    </row>
    <row r="315" spans="1:26" x14ac:dyDescent="0.6">
      <c r="A315" s="1280"/>
      <c r="N315" s="1288"/>
      <c r="O315" s="1290"/>
      <c r="Z315" s="1280"/>
    </row>
    <row r="316" spans="1:26" x14ac:dyDescent="0.6">
      <c r="A316" s="1280"/>
      <c r="N316" s="1288"/>
      <c r="O316" s="1290"/>
      <c r="Z316" s="1280"/>
    </row>
    <row r="317" spans="1:26" x14ac:dyDescent="0.6">
      <c r="A317" s="1280"/>
      <c r="N317" s="1288"/>
      <c r="O317" s="1290"/>
      <c r="Z317" s="1280"/>
    </row>
    <row r="318" spans="1:26" x14ac:dyDescent="0.6">
      <c r="A318" s="1280"/>
      <c r="N318" s="1288"/>
      <c r="O318" s="1290"/>
      <c r="Z318" s="1280"/>
    </row>
    <row r="319" spans="1:26" x14ac:dyDescent="0.6">
      <c r="A319" s="1280"/>
      <c r="N319" s="1288"/>
      <c r="O319" s="1290"/>
      <c r="Z319" s="1280"/>
    </row>
    <row r="320" spans="1:26" x14ac:dyDescent="0.6">
      <c r="A320" s="1280"/>
      <c r="N320" s="1288"/>
      <c r="O320" s="1290"/>
      <c r="Z320" s="1280"/>
    </row>
    <row r="321" spans="1:26" x14ac:dyDescent="0.6">
      <c r="A321" s="1280"/>
      <c r="N321" s="1288"/>
      <c r="O321" s="1290"/>
      <c r="Z321" s="1280"/>
    </row>
    <row r="322" spans="1:26" x14ac:dyDescent="0.6">
      <c r="A322" s="1280"/>
      <c r="N322" s="1288"/>
      <c r="O322" s="1290"/>
      <c r="Z322" s="1280"/>
    </row>
    <row r="323" spans="1:26" x14ac:dyDescent="0.6">
      <c r="A323" s="1280"/>
      <c r="N323" s="1288"/>
      <c r="O323" s="1290"/>
      <c r="Z323" s="1280"/>
    </row>
    <row r="324" spans="1:26" x14ac:dyDescent="0.6">
      <c r="A324" s="1280"/>
      <c r="N324" s="1288"/>
      <c r="O324" s="1290"/>
      <c r="Z324" s="1280"/>
    </row>
    <row r="325" spans="1:26" x14ac:dyDescent="0.6">
      <c r="A325" s="1280"/>
      <c r="N325" s="1288"/>
      <c r="O325" s="1290"/>
      <c r="Z325" s="1280"/>
    </row>
    <row r="326" spans="1:26" x14ac:dyDescent="0.6">
      <c r="A326" s="1280"/>
      <c r="N326" s="1288"/>
      <c r="O326" s="1290"/>
      <c r="Z326" s="1280"/>
    </row>
    <row r="327" spans="1:26" x14ac:dyDescent="0.6">
      <c r="A327" s="1280"/>
      <c r="N327" s="1288"/>
      <c r="O327" s="1290"/>
      <c r="Z327" s="1280"/>
    </row>
    <row r="328" spans="1:26" x14ac:dyDescent="0.6">
      <c r="A328" s="1280"/>
      <c r="N328" s="1288"/>
      <c r="O328" s="1290"/>
      <c r="Z328" s="1280"/>
    </row>
    <row r="329" spans="1:26" x14ac:dyDescent="0.6">
      <c r="A329" s="1280"/>
      <c r="N329" s="1288"/>
      <c r="O329" s="1290"/>
      <c r="Z329" s="1280"/>
    </row>
    <row r="330" spans="1:26" x14ac:dyDescent="0.6">
      <c r="A330" s="1280"/>
      <c r="N330" s="1288"/>
      <c r="O330" s="1290"/>
      <c r="Z330" s="1280"/>
    </row>
    <row r="331" spans="1:26" x14ac:dyDescent="0.6">
      <c r="A331" s="1280"/>
      <c r="N331" s="1288"/>
      <c r="O331" s="1290"/>
      <c r="Z331" s="1280"/>
    </row>
    <row r="332" spans="1:26" x14ac:dyDescent="0.6">
      <c r="A332" s="1280"/>
      <c r="N332" s="1288"/>
      <c r="O332" s="1290"/>
      <c r="Z332" s="1280"/>
    </row>
    <row r="333" spans="1:26" x14ac:dyDescent="0.6">
      <c r="A333" s="1280"/>
      <c r="N333" s="1288"/>
      <c r="O333" s="1290"/>
      <c r="Z333" s="1280"/>
    </row>
    <row r="334" spans="1:26" x14ac:dyDescent="0.6">
      <c r="A334" s="1280"/>
      <c r="N334" s="1288"/>
      <c r="O334" s="1290"/>
      <c r="Z334" s="1280"/>
    </row>
    <row r="335" spans="1:26" x14ac:dyDescent="0.6">
      <c r="A335" s="1280"/>
      <c r="N335" s="1288"/>
      <c r="O335" s="1290"/>
      <c r="Z335" s="1280"/>
    </row>
    <row r="336" spans="1:26" x14ac:dyDescent="0.6">
      <c r="A336" s="1280"/>
      <c r="N336" s="1288"/>
      <c r="O336" s="1290"/>
      <c r="Z336" s="1280"/>
    </row>
    <row r="337" spans="1:26" x14ac:dyDescent="0.6">
      <c r="A337" s="1280"/>
      <c r="N337" s="1288"/>
      <c r="O337" s="1290"/>
      <c r="Z337" s="1280"/>
    </row>
    <row r="338" spans="1:26" x14ac:dyDescent="0.6">
      <c r="A338" s="1280"/>
      <c r="N338" s="1288"/>
      <c r="O338" s="1290"/>
      <c r="Z338" s="1280"/>
    </row>
    <row r="339" spans="1:26" x14ac:dyDescent="0.6">
      <c r="A339" s="1280"/>
      <c r="N339" s="1288"/>
      <c r="O339" s="1290"/>
      <c r="Z339" s="1280"/>
    </row>
    <row r="340" spans="1:26" x14ac:dyDescent="0.6">
      <c r="A340" s="1280"/>
      <c r="N340" s="1288"/>
      <c r="O340" s="1290"/>
      <c r="Z340" s="1280"/>
    </row>
    <row r="341" spans="1:26" x14ac:dyDescent="0.6">
      <c r="A341" s="1280"/>
      <c r="N341" s="1288"/>
      <c r="O341" s="1290"/>
      <c r="Z341" s="1280"/>
    </row>
    <row r="342" spans="1:26" x14ac:dyDescent="0.6">
      <c r="A342" s="1280"/>
      <c r="N342" s="1288"/>
      <c r="O342" s="1290"/>
      <c r="Z342" s="1280"/>
    </row>
    <row r="343" spans="1:26" x14ac:dyDescent="0.6">
      <c r="A343" s="1280"/>
      <c r="N343" s="1288"/>
      <c r="O343" s="1290"/>
      <c r="Z343" s="1280"/>
    </row>
    <row r="344" spans="1:26" x14ac:dyDescent="0.6">
      <c r="A344" s="1280"/>
      <c r="N344" s="1288"/>
      <c r="O344" s="1290"/>
      <c r="Z344" s="1280"/>
    </row>
    <row r="345" spans="1:26" x14ac:dyDescent="0.6">
      <c r="A345" s="1280"/>
      <c r="N345" s="1288"/>
      <c r="O345" s="1290"/>
      <c r="Z345" s="1280"/>
    </row>
    <row r="346" spans="1:26" x14ac:dyDescent="0.6">
      <c r="A346" s="1280"/>
      <c r="N346" s="1288"/>
      <c r="O346" s="1290"/>
      <c r="Z346" s="1280"/>
    </row>
    <row r="347" spans="1:26" x14ac:dyDescent="0.6">
      <c r="A347" s="1280"/>
      <c r="N347" s="1288"/>
      <c r="O347" s="1290"/>
      <c r="Z347" s="1280"/>
    </row>
    <row r="348" spans="1:26" x14ac:dyDescent="0.6">
      <c r="A348" s="1280"/>
      <c r="N348" s="1288"/>
      <c r="O348" s="1290"/>
      <c r="Z348" s="1280"/>
    </row>
    <row r="349" spans="1:26" x14ac:dyDescent="0.6">
      <c r="A349" s="1280"/>
      <c r="N349" s="1288"/>
      <c r="O349" s="1290"/>
      <c r="Z349" s="1280"/>
    </row>
    <row r="350" spans="1:26" x14ac:dyDescent="0.6">
      <c r="A350" s="1280"/>
      <c r="N350" s="1288"/>
      <c r="O350" s="1290"/>
      <c r="Z350" s="1280"/>
    </row>
    <row r="351" spans="1:26" x14ac:dyDescent="0.6">
      <c r="A351" s="1280"/>
      <c r="N351" s="1288"/>
      <c r="O351" s="1290"/>
      <c r="Z351" s="1280"/>
    </row>
    <row r="352" spans="1:26" x14ac:dyDescent="0.6">
      <c r="A352" s="1280"/>
      <c r="N352" s="1288"/>
      <c r="O352" s="1290"/>
      <c r="Z352" s="1280"/>
    </row>
    <row r="353" spans="1:26" x14ac:dyDescent="0.6">
      <c r="A353" s="1280"/>
      <c r="N353" s="1288"/>
      <c r="O353" s="1290"/>
      <c r="Z353" s="1280"/>
    </row>
    <row r="354" spans="1:26" x14ac:dyDescent="0.6">
      <c r="A354" s="1280"/>
      <c r="N354" s="1288"/>
      <c r="O354" s="1290"/>
      <c r="Z354" s="1280"/>
    </row>
    <row r="355" spans="1:26" x14ac:dyDescent="0.6">
      <c r="A355" s="1280"/>
      <c r="N355" s="1288"/>
      <c r="O355" s="1290"/>
      <c r="Z355" s="1280"/>
    </row>
    <row r="356" spans="1:26" x14ac:dyDescent="0.6">
      <c r="A356" s="1280"/>
      <c r="N356" s="1288"/>
      <c r="O356" s="1290"/>
      <c r="Z356" s="1280"/>
    </row>
    <row r="357" spans="1:26" x14ac:dyDescent="0.6">
      <c r="A357" s="1280"/>
      <c r="N357" s="1288"/>
      <c r="O357" s="1290"/>
      <c r="Z357" s="1280"/>
    </row>
    <row r="358" spans="1:26" x14ac:dyDescent="0.6">
      <c r="A358" s="1280"/>
      <c r="N358" s="1288"/>
      <c r="O358" s="1290"/>
      <c r="Z358" s="1280"/>
    </row>
    <row r="359" spans="1:26" x14ac:dyDescent="0.6">
      <c r="A359" s="1280"/>
      <c r="N359" s="1288"/>
      <c r="O359" s="1290"/>
      <c r="Z359" s="1280"/>
    </row>
    <row r="360" spans="1:26" x14ac:dyDescent="0.6">
      <c r="A360" s="1280"/>
      <c r="N360" s="1288"/>
      <c r="O360" s="1290"/>
      <c r="Z360" s="1280"/>
    </row>
    <row r="361" spans="1:26" x14ac:dyDescent="0.6">
      <c r="A361" s="1280"/>
      <c r="N361" s="1288"/>
      <c r="O361" s="1290"/>
      <c r="Z361" s="1280"/>
    </row>
    <row r="362" spans="1:26" x14ac:dyDescent="0.6">
      <c r="A362" s="1280"/>
      <c r="N362" s="1288"/>
      <c r="O362" s="1290"/>
      <c r="Z362" s="1280"/>
    </row>
    <row r="363" spans="1:26" x14ac:dyDescent="0.6">
      <c r="A363" s="1280"/>
      <c r="N363" s="1288"/>
      <c r="O363" s="1290"/>
      <c r="Z363" s="1280"/>
    </row>
    <row r="364" spans="1:26" x14ac:dyDescent="0.6">
      <c r="A364" s="1280"/>
      <c r="N364" s="1288"/>
      <c r="O364" s="1290"/>
      <c r="Z364" s="1280"/>
    </row>
    <row r="365" spans="1:26" x14ac:dyDescent="0.6">
      <c r="A365" s="1280"/>
      <c r="N365" s="1288"/>
      <c r="O365" s="1290"/>
      <c r="Z365" s="1280"/>
    </row>
    <row r="366" spans="1:26" x14ac:dyDescent="0.6">
      <c r="A366" s="1280"/>
      <c r="N366" s="1288"/>
      <c r="O366" s="1290"/>
      <c r="Z366" s="1280"/>
    </row>
    <row r="367" spans="1:26" x14ac:dyDescent="0.6">
      <c r="A367" s="1280"/>
      <c r="N367" s="1288"/>
      <c r="O367" s="1290"/>
      <c r="Z367" s="1280"/>
    </row>
    <row r="368" spans="1:26" x14ac:dyDescent="0.6">
      <c r="A368" s="1280"/>
      <c r="N368" s="1288"/>
      <c r="O368" s="1290"/>
      <c r="Z368" s="1280"/>
    </row>
    <row r="369" spans="1:26" x14ac:dyDescent="0.6">
      <c r="A369" s="1280"/>
      <c r="N369" s="1288"/>
      <c r="O369" s="1290"/>
      <c r="Z369" s="1280"/>
    </row>
    <row r="370" spans="1:26" x14ac:dyDescent="0.6">
      <c r="A370" s="1280"/>
      <c r="N370" s="1288"/>
      <c r="O370" s="1290"/>
      <c r="Z370" s="1280"/>
    </row>
    <row r="371" spans="1:26" x14ac:dyDescent="0.6">
      <c r="A371" s="1280"/>
      <c r="N371" s="1288"/>
      <c r="O371" s="1290"/>
      <c r="Z371" s="1280"/>
    </row>
    <row r="372" spans="1:26" x14ac:dyDescent="0.6">
      <c r="A372" s="1280"/>
      <c r="N372" s="1288"/>
      <c r="O372" s="1290"/>
      <c r="Z372" s="1280"/>
    </row>
    <row r="373" spans="1:26" x14ac:dyDescent="0.6">
      <c r="A373" s="1280"/>
      <c r="N373" s="1288"/>
      <c r="O373" s="1290"/>
      <c r="Z373" s="1280"/>
    </row>
    <row r="374" spans="1:26" x14ac:dyDescent="0.6">
      <c r="A374" s="1280"/>
      <c r="N374" s="1288"/>
      <c r="O374" s="1290"/>
      <c r="Z374" s="1280"/>
    </row>
    <row r="375" spans="1:26" x14ac:dyDescent="0.6">
      <c r="A375" s="1280"/>
      <c r="N375" s="1288"/>
      <c r="O375" s="1290"/>
      <c r="Z375" s="1280"/>
    </row>
    <row r="376" spans="1:26" x14ac:dyDescent="0.6">
      <c r="A376" s="1280"/>
      <c r="N376" s="1288"/>
      <c r="O376" s="1290"/>
      <c r="Z376" s="1280"/>
    </row>
    <row r="377" spans="1:26" x14ac:dyDescent="0.6">
      <c r="A377" s="1280"/>
      <c r="N377" s="1288"/>
      <c r="O377" s="1290"/>
      <c r="Z377" s="1280"/>
    </row>
    <row r="378" spans="1:26" x14ac:dyDescent="0.6">
      <c r="A378" s="1280"/>
      <c r="N378" s="1288"/>
      <c r="O378" s="1290"/>
      <c r="Z378" s="1280"/>
    </row>
    <row r="379" spans="1:26" x14ac:dyDescent="0.6">
      <c r="A379" s="1280"/>
      <c r="N379" s="1288"/>
      <c r="O379" s="1290"/>
      <c r="Z379" s="1280"/>
    </row>
    <row r="380" spans="1:26" x14ac:dyDescent="0.6">
      <c r="A380" s="1280"/>
      <c r="N380" s="1288"/>
      <c r="O380" s="1290"/>
      <c r="Z380" s="1280"/>
    </row>
    <row r="381" spans="1:26" x14ac:dyDescent="0.6">
      <c r="A381" s="1280"/>
      <c r="N381" s="1288"/>
      <c r="O381" s="1290"/>
      <c r="Z381" s="1280"/>
    </row>
    <row r="382" spans="1:26" x14ac:dyDescent="0.6">
      <c r="A382" s="1280"/>
      <c r="N382" s="1288"/>
      <c r="O382" s="1290"/>
      <c r="Z382" s="1280"/>
    </row>
    <row r="383" spans="1:26" x14ac:dyDescent="0.6">
      <c r="A383" s="1280"/>
      <c r="N383" s="1288"/>
      <c r="O383" s="1290"/>
      <c r="Z383" s="1280"/>
    </row>
    <row r="384" spans="1:26" x14ac:dyDescent="0.6">
      <c r="A384" s="1280"/>
      <c r="N384" s="1288"/>
      <c r="O384" s="1290"/>
      <c r="Z384" s="1280"/>
    </row>
    <row r="385" spans="1:26" x14ac:dyDescent="0.6">
      <c r="A385" s="1280"/>
      <c r="N385" s="1288"/>
      <c r="O385" s="1290"/>
      <c r="Z385" s="1280"/>
    </row>
    <row r="386" spans="1:26" x14ac:dyDescent="0.6">
      <c r="A386" s="1280"/>
      <c r="N386" s="1288"/>
      <c r="O386" s="1290"/>
      <c r="Z386" s="1280"/>
    </row>
    <row r="387" spans="1:26" x14ac:dyDescent="0.6">
      <c r="A387" s="1280"/>
      <c r="N387" s="1288"/>
      <c r="O387" s="1290"/>
      <c r="Z387" s="1280"/>
    </row>
    <row r="388" spans="1:26" x14ac:dyDescent="0.6">
      <c r="A388" s="1280"/>
      <c r="N388" s="1288"/>
      <c r="O388" s="1290"/>
      <c r="Z388" s="1280"/>
    </row>
    <row r="389" spans="1:26" x14ac:dyDescent="0.6">
      <c r="A389" s="1280"/>
      <c r="N389" s="1288"/>
      <c r="O389" s="1290"/>
      <c r="Z389" s="1280"/>
    </row>
    <row r="390" spans="1:26" x14ac:dyDescent="0.6">
      <c r="A390" s="1280"/>
      <c r="N390" s="1288"/>
      <c r="O390" s="1290"/>
      <c r="Z390" s="1280"/>
    </row>
    <row r="391" spans="1:26" x14ac:dyDescent="0.6">
      <c r="A391" s="1280"/>
      <c r="N391" s="1288"/>
      <c r="O391" s="1290"/>
      <c r="Z391" s="1280"/>
    </row>
    <row r="392" spans="1:26" x14ac:dyDescent="0.6">
      <c r="A392" s="1280"/>
      <c r="N392" s="1288"/>
      <c r="O392" s="1290"/>
      <c r="Z392" s="1280"/>
    </row>
    <row r="393" spans="1:26" x14ac:dyDescent="0.6">
      <c r="A393" s="1280"/>
      <c r="N393" s="1288"/>
      <c r="O393" s="1290"/>
      <c r="Z393" s="1280"/>
    </row>
    <row r="394" spans="1:26" x14ac:dyDescent="0.6">
      <c r="A394" s="1280"/>
      <c r="N394" s="1288"/>
      <c r="O394" s="1290"/>
      <c r="Z394" s="1280"/>
    </row>
    <row r="395" spans="1:26" x14ac:dyDescent="0.6">
      <c r="A395" s="1280"/>
      <c r="N395" s="1288"/>
      <c r="O395" s="1290"/>
      <c r="Z395" s="1280"/>
    </row>
    <row r="396" spans="1:26" x14ac:dyDescent="0.6">
      <c r="A396" s="1280"/>
      <c r="N396" s="1288"/>
      <c r="O396" s="1290"/>
      <c r="Z396" s="1280"/>
    </row>
    <row r="397" spans="1:26" x14ac:dyDescent="0.6">
      <c r="A397" s="1280"/>
      <c r="N397" s="1288"/>
      <c r="O397" s="1290"/>
      <c r="Z397" s="1280"/>
    </row>
    <row r="398" spans="1:26" x14ac:dyDescent="0.6">
      <c r="A398" s="1280"/>
      <c r="N398" s="1288"/>
      <c r="O398" s="1290"/>
      <c r="Z398" s="1280"/>
    </row>
    <row r="399" spans="1:26" x14ac:dyDescent="0.6">
      <c r="A399" s="1280"/>
      <c r="N399" s="1288"/>
      <c r="O399" s="1290"/>
      <c r="Z399" s="1280"/>
    </row>
    <row r="400" spans="1:26" x14ac:dyDescent="0.6">
      <c r="A400" s="1280"/>
      <c r="N400" s="1288"/>
      <c r="O400" s="1290"/>
      <c r="Z400" s="1280"/>
    </row>
    <row r="401" spans="1:26" x14ac:dyDescent="0.6">
      <c r="A401" s="1280"/>
      <c r="N401" s="1288"/>
      <c r="O401" s="1290"/>
      <c r="Z401" s="1280"/>
    </row>
    <row r="402" spans="1:26" x14ac:dyDescent="0.6">
      <c r="A402" s="1280"/>
      <c r="N402" s="1288"/>
      <c r="O402" s="1290"/>
      <c r="Z402" s="1280"/>
    </row>
    <row r="403" spans="1:26" x14ac:dyDescent="0.6">
      <c r="A403" s="1280"/>
      <c r="N403" s="1288"/>
      <c r="O403" s="1290"/>
      <c r="Z403" s="1280"/>
    </row>
    <row r="404" spans="1:26" x14ac:dyDescent="0.6">
      <c r="A404" s="1280"/>
      <c r="N404" s="1288"/>
      <c r="O404" s="1290"/>
      <c r="Z404" s="1280"/>
    </row>
    <row r="405" spans="1:26" x14ac:dyDescent="0.6">
      <c r="A405" s="1280"/>
      <c r="N405" s="1288"/>
      <c r="O405" s="1290"/>
      <c r="Z405" s="1280"/>
    </row>
    <row r="406" spans="1:26" x14ac:dyDescent="0.6">
      <c r="A406" s="1280"/>
      <c r="N406" s="1288"/>
      <c r="O406" s="1290"/>
      <c r="Z406" s="1280"/>
    </row>
    <row r="407" spans="1:26" x14ac:dyDescent="0.6">
      <c r="A407" s="1280"/>
      <c r="N407" s="1288"/>
      <c r="O407" s="1290"/>
      <c r="Z407" s="1280"/>
    </row>
    <row r="408" spans="1:26" x14ac:dyDescent="0.6">
      <c r="A408" s="1280"/>
      <c r="N408" s="1288"/>
      <c r="O408" s="1290"/>
      <c r="Z408" s="1280"/>
    </row>
    <row r="409" spans="1:26" x14ac:dyDescent="0.6">
      <c r="A409" s="1280"/>
      <c r="N409" s="1288"/>
      <c r="O409" s="1290"/>
      <c r="Z409" s="1280"/>
    </row>
    <row r="410" spans="1:26" x14ac:dyDescent="0.6">
      <c r="A410" s="1280"/>
      <c r="N410" s="1288"/>
      <c r="O410" s="1290"/>
      <c r="Z410" s="1280"/>
    </row>
    <row r="411" spans="1:26" x14ac:dyDescent="0.6">
      <c r="A411" s="1280"/>
      <c r="N411" s="1288"/>
      <c r="O411" s="1290"/>
      <c r="Z411" s="1280"/>
    </row>
    <row r="412" spans="1:26" x14ac:dyDescent="0.6">
      <c r="A412" s="1280"/>
      <c r="N412" s="1288"/>
      <c r="O412" s="1290"/>
      <c r="Z412" s="1280"/>
    </row>
    <row r="413" spans="1:26" x14ac:dyDescent="0.6">
      <c r="A413" s="1280"/>
      <c r="N413" s="1288"/>
      <c r="O413" s="1290"/>
      <c r="Z413" s="1280"/>
    </row>
    <row r="414" spans="1:26" x14ac:dyDescent="0.6">
      <c r="A414" s="1280"/>
      <c r="N414" s="1288"/>
      <c r="O414" s="1290"/>
      <c r="Z414" s="1280"/>
    </row>
    <row r="415" spans="1:26" x14ac:dyDescent="0.6">
      <c r="A415" s="1280"/>
      <c r="N415" s="1288"/>
      <c r="O415" s="1290"/>
      <c r="Z415" s="1280"/>
    </row>
    <row r="416" spans="1:26" x14ac:dyDescent="0.6">
      <c r="A416" s="1280"/>
      <c r="N416" s="1288"/>
      <c r="O416" s="1290"/>
      <c r="Z416" s="1280"/>
    </row>
    <row r="417" spans="1:26" x14ac:dyDescent="0.6">
      <c r="A417" s="1280"/>
      <c r="N417" s="1288"/>
      <c r="O417" s="1290"/>
      <c r="Z417" s="1280"/>
    </row>
    <row r="418" spans="1:26" x14ac:dyDescent="0.6">
      <c r="A418" s="1280"/>
      <c r="N418" s="1288"/>
      <c r="O418" s="1290"/>
      <c r="Z418" s="1280"/>
    </row>
    <row r="419" spans="1:26" x14ac:dyDescent="0.6">
      <c r="A419" s="1280"/>
      <c r="N419" s="1288"/>
      <c r="O419" s="1290"/>
      <c r="Z419" s="1280"/>
    </row>
    <row r="420" spans="1:26" x14ac:dyDescent="0.6">
      <c r="A420" s="1280"/>
      <c r="N420" s="1288"/>
      <c r="O420" s="1290"/>
      <c r="Z420" s="1280"/>
    </row>
    <row r="421" spans="1:26" x14ac:dyDescent="0.6">
      <c r="A421" s="1280"/>
      <c r="N421" s="1288"/>
      <c r="O421" s="1290"/>
      <c r="Z421" s="1280"/>
    </row>
    <row r="422" spans="1:26" x14ac:dyDescent="0.6">
      <c r="A422" s="1280"/>
      <c r="N422" s="1288"/>
      <c r="O422" s="1290"/>
      <c r="Z422" s="1280"/>
    </row>
    <row r="423" spans="1:26" x14ac:dyDescent="0.6">
      <c r="A423" s="1280"/>
      <c r="N423" s="1288"/>
      <c r="O423" s="1290"/>
      <c r="Z423" s="1280"/>
    </row>
    <row r="424" spans="1:26" x14ac:dyDescent="0.6">
      <c r="A424" s="1280"/>
      <c r="N424" s="1288"/>
      <c r="O424" s="1290"/>
      <c r="Z424" s="1280"/>
    </row>
    <row r="425" spans="1:26" x14ac:dyDescent="0.6">
      <c r="A425" s="1280"/>
      <c r="N425" s="1288"/>
      <c r="O425" s="1290"/>
      <c r="Z425" s="1280"/>
    </row>
    <row r="426" spans="1:26" x14ac:dyDescent="0.6">
      <c r="A426" s="1280"/>
      <c r="N426" s="1288"/>
      <c r="O426" s="1290"/>
      <c r="Z426" s="1280"/>
    </row>
    <row r="427" spans="1:26" x14ac:dyDescent="0.6">
      <c r="A427" s="1280"/>
      <c r="N427" s="1288"/>
      <c r="O427" s="1290"/>
      <c r="Z427" s="1280"/>
    </row>
    <row r="428" spans="1:26" x14ac:dyDescent="0.6">
      <c r="A428" s="1280"/>
      <c r="N428" s="1288"/>
      <c r="O428" s="1290"/>
      <c r="Z428" s="1280"/>
    </row>
    <row r="429" spans="1:26" x14ac:dyDescent="0.6">
      <c r="A429" s="1280"/>
      <c r="N429" s="1288"/>
      <c r="O429" s="1290"/>
      <c r="Z429" s="1280"/>
    </row>
    <row r="430" spans="1:26" x14ac:dyDescent="0.6">
      <c r="A430" s="1280"/>
      <c r="N430" s="1288"/>
      <c r="O430" s="1290"/>
      <c r="Z430" s="1280"/>
    </row>
    <row r="431" spans="1:26" x14ac:dyDescent="0.6">
      <c r="A431" s="1280"/>
      <c r="N431" s="1288"/>
      <c r="O431" s="1290"/>
      <c r="Z431" s="1280"/>
    </row>
    <row r="432" spans="1:26" x14ac:dyDescent="0.6">
      <c r="A432" s="1280"/>
      <c r="N432" s="1288"/>
      <c r="O432" s="1290"/>
      <c r="Z432" s="1280"/>
    </row>
    <row r="433" spans="1:26" x14ac:dyDescent="0.6">
      <c r="A433" s="1280"/>
      <c r="N433" s="1288"/>
      <c r="O433" s="1290"/>
      <c r="Z433" s="1280"/>
    </row>
    <row r="434" spans="1:26" x14ac:dyDescent="0.6">
      <c r="A434" s="1280"/>
      <c r="N434" s="1288"/>
      <c r="O434" s="1290"/>
      <c r="Z434" s="1280"/>
    </row>
    <row r="435" spans="1:26" x14ac:dyDescent="0.6">
      <c r="A435" s="1280"/>
      <c r="N435" s="1288"/>
      <c r="O435" s="1290"/>
      <c r="Z435" s="1280"/>
    </row>
    <row r="436" spans="1:26" x14ac:dyDescent="0.6">
      <c r="A436" s="1280"/>
      <c r="N436" s="1288"/>
      <c r="O436" s="1290"/>
      <c r="Z436" s="1280"/>
    </row>
    <row r="437" spans="1:26" x14ac:dyDescent="0.6">
      <c r="A437" s="1280"/>
      <c r="N437" s="1288"/>
      <c r="O437" s="1290"/>
      <c r="Z437" s="1280"/>
    </row>
    <row r="438" spans="1:26" x14ac:dyDescent="0.6">
      <c r="A438" s="1280"/>
      <c r="N438" s="1288"/>
      <c r="O438" s="1290"/>
      <c r="Z438" s="1280"/>
    </row>
    <row r="439" spans="1:26" x14ac:dyDescent="0.6">
      <c r="A439" s="1280"/>
      <c r="N439" s="1288"/>
      <c r="O439" s="1290"/>
      <c r="Z439" s="1280"/>
    </row>
    <row r="440" spans="1:26" x14ac:dyDescent="0.6">
      <c r="A440" s="1280"/>
      <c r="N440" s="1288"/>
      <c r="O440" s="1290"/>
      <c r="Z440" s="1280"/>
    </row>
    <row r="441" spans="1:26" x14ac:dyDescent="0.6">
      <c r="A441" s="1280"/>
      <c r="N441" s="1288"/>
      <c r="O441" s="1290"/>
      <c r="Z441" s="1280"/>
    </row>
    <row r="442" spans="1:26" x14ac:dyDescent="0.6">
      <c r="A442" s="1280"/>
      <c r="N442" s="1288"/>
      <c r="O442" s="1290"/>
      <c r="Z442" s="1280"/>
    </row>
    <row r="443" spans="1:26" x14ac:dyDescent="0.6">
      <c r="A443" s="1280"/>
      <c r="N443" s="1288"/>
      <c r="O443" s="1290"/>
      <c r="Z443" s="1280"/>
    </row>
    <row r="444" spans="1:26" x14ac:dyDescent="0.6">
      <c r="A444" s="1280"/>
      <c r="N444" s="1288"/>
      <c r="O444" s="1290"/>
      <c r="Z444" s="1280"/>
    </row>
    <row r="445" spans="1:26" x14ac:dyDescent="0.6">
      <c r="A445" s="1280"/>
      <c r="N445" s="1288"/>
      <c r="O445" s="1290"/>
      <c r="Z445" s="1280"/>
    </row>
    <row r="446" spans="1:26" x14ac:dyDescent="0.6">
      <c r="A446" s="1280"/>
      <c r="N446" s="1288"/>
      <c r="O446" s="1290"/>
      <c r="Z446" s="1280"/>
    </row>
    <row r="447" spans="1:26" x14ac:dyDescent="0.6">
      <c r="A447" s="1280"/>
      <c r="N447" s="1288"/>
      <c r="O447" s="1290"/>
      <c r="Z447" s="1280"/>
    </row>
    <row r="448" spans="1:26" x14ac:dyDescent="0.6">
      <c r="A448" s="1280"/>
      <c r="N448" s="1288"/>
      <c r="O448" s="1290"/>
      <c r="Z448" s="1280"/>
    </row>
    <row r="449" spans="1:26" x14ac:dyDescent="0.6">
      <c r="A449" s="1280"/>
      <c r="N449" s="1288"/>
      <c r="O449" s="1290"/>
      <c r="Z449" s="1280"/>
    </row>
    <row r="450" spans="1:26" x14ac:dyDescent="0.6">
      <c r="A450" s="1280"/>
      <c r="N450" s="1288"/>
      <c r="O450" s="1290"/>
      <c r="Z450" s="1280"/>
    </row>
    <row r="451" spans="1:26" x14ac:dyDescent="0.6">
      <c r="A451" s="1280"/>
      <c r="N451" s="1288"/>
      <c r="O451" s="1290"/>
      <c r="Z451" s="1280"/>
    </row>
    <row r="452" spans="1:26" x14ac:dyDescent="0.6">
      <c r="A452" s="1280"/>
      <c r="N452" s="1288"/>
      <c r="O452" s="1290"/>
      <c r="Z452" s="1280"/>
    </row>
    <row r="453" spans="1:26" x14ac:dyDescent="0.6">
      <c r="A453" s="1280"/>
      <c r="N453" s="1288"/>
      <c r="O453" s="1290"/>
      <c r="Z453" s="1280"/>
    </row>
    <row r="454" spans="1:26" x14ac:dyDescent="0.6">
      <c r="A454" s="1280"/>
      <c r="N454" s="1288"/>
      <c r="O454" s="1290"/>
      <c r="Z454" s="1280"/>
    </row>
    <row r="455" spans="1:26" x14ac:dyDescent="0.6">
      <c r="A455" s="1280"/>
      <c r="N455" s="1288"/>
      <c r="O455" s="1290"/>
      <c r="Z455" s="1280"/>
    </row>
    <row r="456" spans="1:26" x14ac:dyDescent="0.6">
      <c r="A456" s="1280"/>
      <c r="N456" s="1288"/>
      <c r="O456" s="1290"/>
      <c r="Z456" s="1280"/>
    </row>
    <row r="457" spans="1:26" x14ac:dyDescent="0.6">
      <c r="A457" s="1280"/>
      <c r="N457" s="1288"/>
      <c r="O457" s="1290"/>
      <c r="Z457" s="1280"/>
    </row>
    <row r="458" spans="1:26" x14ac:dyDescent="0.6">
      <c r="A458" s="1280"/>
      <c r="N458" s="1288"/>
      <c r="O458" s="1290"/>
      <c r="Z458" s="1280"/>
    </row>
    <row r="459" spans="1:26" x14ac:dyDescent="0.6">
      <c r="A459" s="1280"/>
      <c r="N459" s="1288"/>
      <c r="O459" s="1290"/>
      <c r="Z459" s="1280"/>
    </row>
    <row r="460" spans="1:26" x14ac:dyDescent="0.6">
      <c r="A460" s="1280"/>
      <c r="N460" s="1288"/>
      <c r="O460" s="1290"/>
      <c r="Z460" s="1280"/>
    </row>
    <row r="461" spans="1:26" x14ac:dyDescent="0.6">
      <c r="A461" s="1280"/>
      <c r="N461" s="1288"/>
      <c r="O461" s="1290"/>
      <c r="Z461" s="1280"/>
    </row>
    <row r="462" spans="1:26" x14ac:dyDescent="0.6">
      <c r="A462" s="1280"/>
      <c r="N462" s="1288"/>
      <c r="O462" s="1290"/>
      <c r="Z462" s="1280"/>
    </row>
    <row r="463" spans="1:26" x14ac:dyDescent="0.6">
      <c r="A463" s="1280"/>
      <c r="N463" s="1288"/>
      <c r="O463" s="1290"/>
      <c r="Z463" s="1280"/>
    </row>
    <row r="464" spans="1:26" x14ac:dyDescent="0.6">
      <c r="A464" s="1280"/>
      <c r="N464" s="1288"/>
      <c r="O464" s="1290"/>
      <c r="Z464" s="1280"/>
    </row>
    <row r="465" spans="1:26" x14ac:dyDescent="0.6">
      <c r="A465" s="1280"/>
      <c r="N465" s="1288"/>
      <c r="O465" s="1290"/>
      <c r="Z465" s="1280"/>
    </row>
    <row r="466" spans="1:26" x14ac:dyDescent="0.6">
      <c r="A466" s="1280"/>
      <c r="N466" s="1288"/>
      <c r="O466" s="1290"/>
      <c r="Z466" s="1280"/>
    </row>
    <row r="467" spans="1:26" x14ac:dyDescent="0.6">
      <c r="A467" s="1280"/>
      <c r="N467" s="1288"/>
      <c r="O467" s="1290"/>
      <c r="Z467" s="1280"/>
    </row>
    <row r="468" spans="1:26" x14ac:dyDescent="0.6">
      <c r="A468" s="1280"/>
      <c r="N468" s="1288"/>
      <c r="O468" s="1290"/>
      <c r="Z468" s="1280"/>
    </row>
    <row r="469" spans="1:26" x14ac:dyDescent="0.6">
      <c r="A469" s="1280"/>
      <c r="N469" s="1288"/>
      <c r="O469" s="1290"/>
      <c r="Z469" s="1280"/>
    </row>
    <row r="470" spans="1:26" x14ac:dyDescent="0.6">
      <c r="A470" s="1280"/>
      <c r="N470" s="1288"/>
      <c r="O470" s="1290"/>
      <c r="Z470" s="1280"/>
    </row>
    <row r="471" spans="1:26" x14ac:dyDescent="0.6">
      <c r="A471" s="1280"/>
      <c r="N471" s="1288"/>
      <c r="O471" s="1290"/>
      <c r="Z471" s="1280"/>
    </row>
    <row r="472" spans="1:26" x14ac:dyDescent="0.6">
      <c r="A472" s="1280"/>
      <c r="N472" s="1288"/>
      <c r="O472" s="1290"/>
      <c r="Z472" s="1280"/>
    </row>
    <row r="473" spans="1:26" x14ac:dyDescent="0.6">
      <c r="A473" s="1280"/>
      <c r="N473" s="1288"/>
      <c r="O473" s="1290"/>
      <c r="Z473" s="1280"/>
    </row>
    <row r="474" spans="1:26" x14ac:dyDescent="0.6">
      <c r="A474" s="1280"/>
      <c r="N474" s="1288"/>
      <c r="O474" s="1290"/>
      <c r="Z474" s="1280"/>
    </row>
    <row r="475" spans="1:26" x14ac:dyDescent="0.6">
      <c r="A475" s="1280"/>
      <c r="N475" s="1288"/>
      <c r="O475" s="1290"/>
      <c r="Z475" s="1280"/>
    </row>
    <row r="476" spans="1:26" x14ac:dyDescent="0.6">
      <c r="A476" s="1280"/>
      <c r="N476" s="1288"/>
      <c r="O476" s="1290"/>
      <c r="Z476" s="1280"/>
    </row>
    <row r="477" spans="1:26" x14ac:dyDescent="0.6">
      <c r="A477" s="1280"/>
      <c r="N477" s="1288"/>
      <c r="O477" s="1290"/>
      <c r="Z477" s="1280"/>
    </row>
    <row r="478" spans="1:26" x14ac:dyDescent="0.6">
      <c r="A478" s="1280"/>
      <c r="N478" s="1288"/>
      <c r="O478" s="1290"/>
      <c r="Z478" s="1280"/>
    </row>
    <row r="479" spans="1:26" x14ac:dyDescent="0.6">
      <c r="A479" s="1280"/>
      <c r="N479" s="1288"/>
      <c r="O479" s="1290"/>
      <c r="Z479" s="1280"/>
    </row>
    <row r="480" spans="1:26" x14ac:dyDescent="0.6">
      <c r="A480" s="1280"/>
      <c r="N480" s="1288"/>
      <c r="O480" s="1290"/>
      <c r="Z480" s="1280"/>
    </row>
    <row r="481" spans="1:26" x14ac:dyDescent="0.6">
      <c r="A481" s="1280"/>
      <c r="N481" s="1288"/>
      <c r="O481" s="1290"/>
      <c r="Z481" s="1280"/>
    </row>
    <row r="482" spans="1:26" x14ac:dyDescent="0.6">
      <c r="A482" s="1280"/>
      <c r="N482" s="1288"/>
      <c r="O482" s="1290"/>
      <c r="Z482" s="1280"/>
    </row>
    <row r="483" spans="1:26" x14ac:dyDescent="0.6">
      <c r="A483" s="1280"/>
      <c r="N483" s="1288"/>
      <c r="O483" s="1290"/>
      <c r="Z483" s="1280"/>
    </row>
    <row r="484" spans="1:26" x14ac:dyDescent="0.6">
      <c r="A484" s="1280"/>
      <c r="N484" s="1288"/>
      <c r="O484" s="1290"/>
      <c r="Z484" s="1280"/>
    </row>
    <row r="485" spans="1:26" x14ac:dyDescent="0.6">
      <c r="A485" s="1280"/>
      <c r="N485" s="1288"/>
      <c r="O485" s="1290"/>
      <c r="Z485" s="1280"/>
    </row>
    <row r="486" spans="1:26" x14ac:dyDescent="0.6">
      <c r="A486" s="1280"/>
      <c r="N486" s="1288"/>
      <c r="O486" s="1290"/>
      <c r="Z486" s="1280"/>
    </row>
    <row r="487" spans="1:26" x14ac:dyDescent="0.6">
      <c r="A487" s="1280"/>
      <c r="N487" s="1288"/>
      <c r="O487" s="1290"/>
      <c r="Z487" s="1280"/>
    </row>
    <row r="488" spans="1:26" x14ac:dyDescent="0.6">
      <c r="A488" s="1280"/>
      <c r="N488" s="1288"/>
      <c r="O488" s="1290"/>
      <c r="Z488" s="1280"/>
    </row>
    <row r="489" spans="1:26" x14ac:dyDescent="0.6">
      <c r="A489" s="1280"/>
      <c r="N489" s="1288"/>
      <c r="O489" s="1290"/>
      <c r="Z489" s="1280"/>
    </row>
    <row r="490" spans="1:26" x14ac:dyDescent="0.6">
      <c r="A490" s="1280"/>
      <c r="N490" s="1288"/>
      <c r="O490" s="1290"/>
      <c r="Z490" s="1280"/>
    </row>
    <row r="491" spans="1:26" x14ac:dyDescent="0.6">
      <c r="A491" s="1280"/>
      <c r="N491" s="1288"/>
      <c r="O491" s="1290"/>
      <c r="Z491" s="1280"/>
    </row>
    <row r="492" spans="1:26" x14ac:dyDescent="0.6">
      <c r="A492" s="1280"/>
      <c r="N492" s="1288"/>
      <c r="O492" s="1290"/>
      <c r="Z492" s="1280"/>
    </row>
    <row r="493" spans="1:26" x14ac:dyDescent="0.6">
      <c r="A493" s="1280"/>
      <c r="N493" s="1288"/>
      <c r="O493" s="1290"/>
      <c r="Z493" s="1280"/>
    </row>
    <row r="494" spans="1:26" x14ac:dyDescent="0.6">
      <c r="A494" s="1280"/>
      <c r="N494" s="1288"/>
      <c r="O494" s="1290"/>
      <c r="Z494" s="1280"/>
    </row>
    <row r="495" spans="1:26" x14ac:dyDescent="0.6">
      <c r="A495" s="1280"/>
      <c r="N495" s="1288"/>
      <c r="O495" s="1290"/>
      <c r="Z495" s="1280"/>
    </row>
    <row r="496" spans="1:26" x14ac:dyDescent="0.6">
      <c r="A496" s="1280"/>
      <c r="N496" s="1288"/>
      <c r="O496" s="1290"/>
      <c r="Z496" s="1280"/>
    </row>
    <row r="497" spans="1:26" x14ac:dyDescent="0.6">
      <c r="A497" s="1280"/>
      <c r="N497" s="1288"/>
      <c r="O497" s="1290"/>
      <c r="Z497" s="1280"/>
    </row>
    <row r="498" spans="1:26" x14ac:dyDescent="0.6">
      <c r="A498" s="1280"/>
      <c r="N498" s="1288"/>
      <c r="O498" s="1290"/>
      <c r="Z498" s="1280"/>
    </row>
    <row r="499" spans="1:26" x14ac:dyDescent="0.6">
      <c r="A499" s="1280"/>
      <c r="N499" s="1288"/>
      <c r="O499" s="1290"/>
      <c r="Z499" s="1280"/>
    </row>
    <row r="500" spans="1:26" x14ac:dyDescent="0.6">
      <c r="A500" s="1280"/>
      <c r="N500" s="1288"/>
      <c r="O500" s="1290"/>
      <c r="Z500" s="1280"/>
    </row>
    <row r="501" spans="1:26" x14ac:dyDescent="0.6">
      <c r="A501" s="1280"/>
      <c r="N501" s="1288"/>
      <c r="O501" s="1290"/>
      <c r="Z501" s="1280"/>
    </row>
    <row r="502" spans="1:26" x14ac:dyDescent="0.6">
      <c r="A502" s="1280"/>
      <c r="N502" s="1288"/>
      <c r="O502" s="1290"/>
      <c r="Z502" s="1280"/>
    </row>
    <row r="503" spans="1:26" x14ac:dyDescent="0.6">
      <c r="A503" s="1280"/>
      <c r="N503" s="1288"/>
      <c r="O503" s="1290"/>
      <c r="Z503" s="1280"/>
    </row>
    <row r="504" spans="1:26" x14ac:dyDescent="0.6">
      <c r="A504" s="1280"/>
      <c r="N504" s="1288"/>
      <c r="O504" s="1290"/>
      <c r="Z504" s="1280"/>
    </row>
    <row r="505" spans="1:26" x14ac:dyDescent="0.6">
      <c r="A505" s="1280"/>
      <c r="N505" s="1288"/>
      <c r="O505" s="1290"/>
      <c r="Z505" s="1280"/>
    </row>
    <row r="506" spans="1:26" x14ac:dyDescent="0.6">
      <c r="A506" s="1280"/>
      <c r="N506" s="1288"/>
      <c r="O506" s="1290"/>
      <c r="Z506" s="1280"/>
    </row>
    <row r="507" spans="1:26" x14ac:dyDescent="0.6">
      <c r="A507" s="1280"/>
      <c r="N507" s="1288"/>
      <c r="O507" s="1290"/>
      <c r="Z507" s="1280"/>
    </row>
    <row r="508" spans="1:26" x14ac:dyDescent="0.6">
      <c r="A508" s="1280"/>
      <c r="N508" s="1288"/>
      <c r="O508" s="1290"/>
      <c r="Z508" s="1280"/>
    </row>
    <row r="509" spans="1:26" x14ac:dyDescent="0.6">
      <c r="A509" s="1280"/>
      <c r="N509" s="1288"/>
      <c r="O509" s="1290"/>
      <c r="Z509" s="1280"/>
    </row>
    <row r="510" spans="1:26" x14ac:dyDescent="0.6">
      <c r="A510" s="1280"/>
      <c r="N510" s="1288"/>
      <c r="O510" s="1290"/>
      <c r="Z510" s="1280"/>
    </row>
    <row r="511" spans="1:26" x14ac:dyDescent="0.6">
      <c r="A511" s="1280"/>
      <c r="N511" s="1288"/>
      <c r="O511" s="1290"/>
      <c r="Z511" s="1280"/>
    </row>
    <row r="512" spans="1:26" x14ac:dyDescent="0.6">
      <c r="A512" s="1280"/>
      <c r="N512" s="1288"/>
      <c r="O512" s="1290"/>
      <c r="Z512" s="1280"/>
    </row>
    <row r="513" spans="1:26" x14ac:dyDescent="0.6">
      <c r="A513" s="1280"/>
      <c r="N513" s="1288"/>
      <c r="O513" s="1290"/>
      <c r="Z513" s="1280"/>
    </row>
    <row r="514" spans="1:26" x14ac:dyDescent="0.6">
      <c r="A514" s="1280"/>
      <c r="N514" s="1288"/>
      <c r="O514" s="1290"/>
      <c r="Z514" s="1280"/>
    </row>
    <row r="515" spans="1:26" x14ac:dyDescent="0.6">
      <c r="A515" s="1280"/>
      <c r="N515" s="1288"/>
      <c r="O515" s="1290"/>
      <c r="Z515" s="1280"/>
    </row>
    <row r="516" spans="1:26" x14ac:dyDescent="0.6">
      <c r="A516" s="1280"/>
      <c r="N516" s="1288"/>
      <c r="O516" s="1290"/>
      <c r="Z516" s="1280"/>
    </row>
    <row r="517" spans="1:26" x14ac:dyDescent="0.6">
      <c r="A517" s="1280"/>
      <c r="N517" s="1288"/>
      <c r="O517" s="1290"/>
      <c r="Z517" s="1280"/>
    </row>
    <row r="518" spans="1:26" x14ac:dyDescent="0.6">
      <c r="A518" s="1280"/>
      <c r="N518" s="1288"/>
      <c r="O518" s="1290"/>
      <c r="Z518" s="1280"/>
    </row>
    <row r="519" spans="1:26" x14ac:dyDescent="0.6">
      <c r="A519" s="1280"/>
      <c r="N519" s="1288"/>
      <c r="O519" s="1290"/>
      <c r="Z519" s="1280"/>
    </row>
    <row r="520" spans="1:26" x14ac:dyDescent="0.6">
      <c r="A520" s="1280"/>
      <c r="N520" s="1288"/>
      <c r="O520" s="1290"/>
      <c r="Z520" s="1280"/>
    </row>
    <row r="521" spans="1:26" x14ac:dyDescent="0.6">
      <c r="A521" s="1280"/>
      <c r="N521" s="1288"/>
      <c r="O521" s="1290"/>
      <c r="Z521" s="1280"/>
    </row>
    <row r="522" spans="1:26" x14ac:dyDescent="0.6">
      <c r="A522" s="1280"/>
      <c r="N522" s="1288"/>
      <c r="O522" s="1290"/>
      <c r="Z522" s="1280"/>
    </row>
    <row r="523" spans="1:26" x14ac:dyDescent="0.6">
      <c r="A523" s="1280"/>
      <c r="N523" s="1288"/>
      <c r="O523" s="1290"/>
      <c r="Z523" s="1280"/>
    </row>
    <row r="524" spans="1:26" x14ac:dyDescent="0.6">
      <c r="A524" s="1280"/>
      <c r="N524" s="1288"/>
      <c r="O524" s="1290"/>
      <c r="Z524" s="1280"/>
    </row>
    <row r="525" spans="1:26" x14ac:dyDescent="0.6">
      <c r="A525" s="1280"/>
      <c r="N525" s="1288"/>
      <c r="O525" s="1290"/>
      <c r="Z525" s="1280"/>
    </row>
    <row r="526" spans="1:26" x14ac:dyDescent="0.6">
      <c r="A526" s="1280"/>
      <c r="N526" s="1288"/>
      <c r="O526" s="1290"/>
      <c r="Z526" s="1280"/>
    </row>
    <row r="527" spans="1:26" x14ac:dyDescent="0.6">
      <c r="A527" s="1280"/>
      <c r="N527" s="1288"/>
      <c r="O527" s="1290"/>
      <c r="Z527" s="1280"/>
    </row>
    <row r="528" spans="1:26" x14ac:dyDescent="0.6">
      <c r="A528" s="1280"/>
      <c r="N528" s="1288"/>
      <c r="O528" s="1290"/>
      <c r="Z528" s="1280"/>
    </row>
    <row r="529" spans="1:26" x14ac:dyDescent="0.6">
      <c r="A529" s="1280"/>
      <c r="N529" s="1288"/>
      <c r="O529" s="1290"/>
      <c r="Z529" s="1280"/>
    </row>
    <row r="530" spans="1:26" x14ac:dyDescent="0.6">
      <c r="A530" s="1280"/>
      <c r="N530" s="1288"/>
      <c r="O530" s="1290"/>
      <c r="Z530" s="1280"/>
    </row>
    <row r="531" spans="1:26" x14ac:dyDescent="0.6">
      <c r="A531" s="1280"/>
      <c r="N531" s="1288"/>
      <c r="O531" s="1290"/>
      <c r="Z531" s="1280"/>
    </row>
    <row r="532" spans="1:26" x14ac:dyDescent="0.6">
      <c r="A532" s="1280"/>
      <c r="N532" s="1288"/>
      <c r="O532" s="1290"/>
      <c r="Z532" s="1280"/>
    </row>
    <row r="533" spans="1:26" x14ac:dyDescent="0.6">
      <c r="A533" s="1280"/>
      <c r="N533" s="1288"/>
      <c r="O533" s="1290"/>
      <c r="Z533" s="1280"/>
    </row>
    <row r="534" spans="1:26" x14ac:dyDescent="0.6">
      <c r="A534" s="1280"/>
      <c r="N534" s="1288"/>
      <c r="O534" s="1290"/>
      <c r="Z534" s="1280"/>
    </row>
    <row r="535" spans="1:26" x14ac:dyDescent="0.6">
      <c r="A535" s="1280"/>
      <c r="N535" s="1288"/>
      <c r="O535" s="1290"/>
      <c r="Z535" s="1280"/>
    </row>
    <row r="536" spans="1:26" x14ac:dyDescent="0.6">
      <c r="A536" s="1280"/>
      <c r="N536" s="1288"/>
      <c r="O536" s="1290"/>
      <c r="Z536" s="1280"/>
    </row>
    <row r="537" spans="1:26" x14ac:dyDescent="0.6">
      <c r="A537" s="1280"/>
      <c r="N537" s="1288"/>
      <c r="O537" s="1290"/>
      <c r="Z537" s="1280"/>
    </row>
    <row r="538" spans="1:26" x14ac:dyDescent="0.6">
      <c r="A538" s="1280"/>
      <c r="N538" s="1288"/>
      <c r="O538" s="1290"/>
      <c r="Z538" s="1280"/>
    </row>
    <row r="539" spans="1:26" x14ac:dyDescent="0.6">
      <c r="A539" s="1280"/>
      <c r="N539" s="1288"/>
      <c r="O539" s="1290"/>
      <c r="Z539" s="1280"/>
    </row>
    <row r="540" spans="1:26" x14ac:dyDescent="0.6">
      <c r="A540" s="1280"/>
      <c r="N540" s="1288"/>
      <c r="O540" s="1290"/>
      <c r="Z540" s="1280"/>
    </row>
    <row r="541" spans="1:26" x14ac:dyDescent="0.6">
      <c r="A541" s="1280"/>
      <c r="N541" s="1288"/>
      <c r="O541" s="1290"/>
      <c r="Z541" s="1280"/>
    </row>
    <row r="542" spans="1:26" x14ac:dyDescent="0.6">
      <c r="A542" s="1280"/>
      <c r="N542" s="1288"/>
      <c r="O542" s="1290"/>
      <c r="Z542" s="1280"/>
    </row>
    <row r="543" spans="1:26" x14ac:dyDescent="0.6">
      <c r="A543" s="1280"/>
      <c r="N543" s="1288"/>
      <c r="O543" s="1290"/>
      <c r="Z543" s="1280"/>
    </row>
    <row r="544" spans="1:26" x14ac:dyDescent="0.6">
      <c r="A544" s="1280"/>
      <c r="N544" s="1288"/>
      <c r="O544" s="1290"/>
      <c r="Z544" s="1280"/>
    </row>
    <row r="545" spans="1:26" x14ac:dyDescent="0.6">
      <c r="A545" s="1280"/>
      <c r="N545" s="1288"/>
      <c r="O545" s="1290"/>
      <c r="Z545" s="1280"/>
    </row>
    <row r="546" spans="1:26" x14ac:dyDescent="0.6">
      <c r="A546" s="1280"/>
      <c r="N546" s="1288"/>
      <c r="O546" s="1290"/>
      <c r="Z546" s="1280"/>
    </row>
    <row r="547" spans="1:26" x14ac:dyDescent="0.6">
      <c r="A547" s="1280"/>
      <c r="N547" s="1288"/>
      <c r="O547" s="1290"/>
      <c r="Z547" s="1280"/>
    </row>
    <row r="548" spans="1:26" x14ac:dyDescent="0.6">
      <c r="A548" s="1280"/>
      <c r="N548" s="1288"/>
      <c r="O548" s="1290"/>
      <c r="Z548" s="1280"/>
    </row>
    <row r="549" spans="1:26" x14ac:dyDescent="0.6">
      <c r="A549" s="1280"/>
      <c r="N549" s="1288"/>
      <c r="O549" s="1290"/>
      <c r="Z549" s="1280"/>
    </row>
    <row r="550" spans="1:26" x14ac:dyDescent="0.6">
      <c r="A550" s="1280"/>
      <c r="N550" s="1288"/>
      <c r="O550" s="1290"/>
      <c r="Z550" s="1280"/>
    </row>
    <row r="551" spans="1:26" x14ac:dyDescent="0.6">
      <c r="A551" s="1280"/>
      <c r="N551" s="1288"/>
      <c r="O551" s="1290"/>
      <c r="Z551" s="1280"/>
    </row>
    <row r="552" spans="1:26" x14ac:dyDescent="0.6">
      <c r="A552" s="1280"/>
      <c r="N552" s="1288"/>
      <c r="O552" s="1290"/>
      <c r="Z552" s="1280"/>
    </row>
    <row r="553" spans="1:26" x14ac:dyDescent="0.6">
      <c r="A553" s="1280"/>
      <c r="N553" s="1288"/>
      <c r="O553" s="1290"/>
      <c r="Z553" s="1280"/>
    </row>
    <row r="554" spans="1:26" x14ac:dyDescent="0.6">
      <c r="A554" s="1280"/>
      <c r="N554" s="1288"/>
      <c r="O554" s="1290"/>
      <c r="Z554" s="1280"/>
    </row>
    <row r="555" spans="1:26" x14ac:dyDescent="0.6">
      <c r="A555" s="1280"/>
      <c r="N555" s="1288"/>
      <c r="O555" s="1290"/>
      <c r="Z555" s="1280"/>
    </row>
    <row r="556" spans="1:26" x14ac:dyDescent="0.6">
      <c r="A556" s="1280"/>
      <c r="N556" s="1288"/>
      <c r="O556" s="1290"/>
      <c r="Z556" s="1280"/>
    </row>
    <row r="557" spans="1:26" x14ac:dyDescent="0.6">
      <c r="A557" s="1280"/>
      <c r="N557" s="1288"/>
      <c r="O557" s="1290"/>
      <c r="Z557" s="1280"/>
    </row>
    <row r="558" spans="1:26" x14ac:dyDescent="0.6">
      <c r="A558" s="1280"/>
      <c r="N558" s="1288"/>
      <c r="O558" s="1290"/>
      <c r="Z558" s="1280"/>
    </row>
    <row r="559" spans="1:26" x14ac:dyDescent="0.6">
      <c r="A559" s="1280"/>
      <c r="N559" s="1288"/>
      <c r="O559" s="1290"/>
      <c r="Z559" s="1280"/>
    </row>
    <row r="560" spans="1:26" x14ac:dyDescent="0.6">
      <c r="A560" s="1280"/>
      <c r="N560" s="1288"/>
      <c r="O560" s="1290"/>
      <c r="Z560" s="1280"/>
    </row>
    <row r="561" spans="1:26" x14ac:dyDescent="0.6">
      <c r="A561" s="1280"/>
      <c r="N561" s="1288"/>
      <c r="O561" s="1290"/>
      <c r="Z561" s="1280"/>
    </row>
    <row r="562" spans="1:26" x14ac:dyDescent="0.6">
      <c r="A562" s="1280"/>
      <c r="N562" s="1288"/>
      <c r="O562" s="1290"/>
      <c r="Z562" s="1280"/>
    </row>
    <row r="563" spans="1:26" x14ac:dyDescent="0.6">
      <c r="A563" s="1280"/>
      <c r="N563" s="1288"/>
      <c r="O563" s="1290"/>
      <c r="Z563" s="1280"/>
    </row>
    <row r="564" spans="1:26" x14ac:dyDescent="0.6">
      <c r="A564" s="1280"/>
      <c r="N564" s="1288"/>
      <c r="O564" s="1290"/>
      <c r="Z564" s="1280"/>
    </row>
    <row r="565" spans="1:26" x14ac:dyDescent="0.6">
      <c r="A565" s="1280"/>
      <c r="N565" s="1288"/>
      <c r="O565" s="1290"/>
      <c r="Z565" s="1280"/>
    </row>
    <row r="566" spans="1:26" x14ac:dyDescent="0.6">
      <c r="A566" s="1280"/>
      <c r="N566" s="1288"/>
      <c r="O566" s="1290"/>
      <c r="Z566" s="1280"/>
    </row>
    <row r="567" spans="1:26" x14ac:dyDescent="0.6">
      <c r="A567" s="1280"/>
      <c r="N567" s="1288"/>
      <c r="O567" s="1290"/>
      <c r="Z567" s="1280"/>
    </row>
    <row r="568" spans="1:26" x14ac:dyDescent="0.6">
      <c r="A568" s="1280"/>
      <c r="N568" s="1288"/>
      <c r="O568" s="1290"/>
      <c r="Z568" s="1280"/>
    </row>
    <row r="569" spans="1:26" x14ac:dyDescent="0.6">
      <c r="A569" s="1280"/>
      <c r="N569" s="1288"/>
      <c r="O569" s="1290"/>
      <c r="Z569" s="1280"/>
    </row>
    <row r="570" spans="1:26" x14ac:dyDescent="0.6">
      <c r="A570" s="1280"/>
      <c r="N570" s="1288"/>
      <c r="O570" s="1290"/>
      <c r="Z570" s="1280"/>
    </row>
    <row r="571" spans="1:26" x14ac:dyDescent="0.6">
      <c r="A571" s="1280"/>
      <c r="N571" s="1288"/>
      <c r="O571" s="1290"/>
      <c r="Z571" s="1280"/>
    </row>
    <row r="572" spans="1:26" x14ac:dyDescent="0.6">
      <c r="A572" s="1280"/>
      <c r="N572" s="1288"/>
      <c r="O572" s="1290"/>
      <c r="Z572" s="1280"/>
    </row>
    <row r="573" spans="1:26" x14ac:dyDescent="0.6">
      <c r="A573" s="1280"/>
      <c r="N573" s="1288"/>
      <c r="O573" s="1290"/>
      <c r="Z573" s="1280"/>
    </row>
    <row r="574" spans="1:26" x14ac:dyDescent="0.6">
      <c r="A574" s="1280"/>
      <c r="N574" s="1288"/>
      <c r="O574" s="1290"/>
      <c r="Z574" s="1280"/>
    </row>
    <row r="575" spans="1:26" x14ac:dyDescent="0.6">
      <c r="A575" s="1280"/>
      <c r="N575" s="1288"/>
      <c r="O575" s="1290"/>
      <c r="Z575" s="1280"/>
    </row>
    <row r="576" spans="1:26" x14ac:dyDescent="0.6">
      <c r="A576" s="1280"/>
      <c r="N576" s="1288"/>
      <c r="O576" s="1290"/>
      <c r="Z576" s="1280"/>
    </row>
    <row r="577" spans="1:26" x14ac:dyDescent="0.6">
      <c r="A577" s="1280"/>
      <c r="N577" s="1288"/>
      <c r="O577" s="1290"/>
      <c r="Z577" s="1280"/>
    </row>
    <row r="578" spans="1:26" x14ac:dyDescent="0.6">
      <c r="A578" s="1280"/>
      <c r="N578" s="1288"/>
      <c r="O578" s="1290"/>
      <c r="Z578" s="1280"/>
    </row>
    <row r="579" spans="1:26" x14ac:dyDescent="0.6">
      <c r="A579" s="1280"/>
      <c r="N579" s="1288"/>
      <c r="O579" s="1290"/>
      <c r="Z579" s="1280"/>
    </row>
    <row r="580" spans="1:26" x14ac:dyDescent="0.6">
      <c r="A580" s="1280"/>
      <c r="N580" s="1288"/>
      <c r="O580" s="1290"/>
      <c r="Z580" s="1280"/>
    </row>
    <row r="581" spans="1:26" x14ac:dyDescent="0.6">
      <c r="A581" s="1280"/>
      <c r="N581" s="1288"/>
      <c r="O581" s="1290"/>
      <c r="Z581" s="1280"/>
    </row>
    <row r="582" spans="1:26" x14ac:dyDescent="0.6">
      <c r="A582" s="1280"/>
      <c r="N582" s="1288"/>
      <c r="O582" s="1290"/>
      <c r="Z582" s="1280"/>
    </row>
    <row r="583" spans="1:26" x14ac:dyDescent="0.6">
      <c r="A583" s="1280"/>
      <c r="N583" s="1288"/>
      <c r="O583" s="1290"/>
      <c r="Z583" s="1280"/>
    </row>
    <row r="584" spans="1:26" x14ac:dyDescent="0.6">
      <c r="A584" s="1280"/>
      <c r="N584" s="1288"/>
      <c r="O584" s="1290"/>
      <c r="Z584" s="1280"/>
    </row>
    <row r="585" spans="1:26" x14ac:dyDescent="0.6">
      <c r="A585" s="1280"/>
      <c r="N585" s="1288"/>
      <c r="O585" s="1290"/>
      <c r="Z585" s="1280"/>
    </row>
    <row r="586" spans="1:26" x14ac:dyDescent="0.6">
      <c r="A586" s="1280"/>
      <c r="N586" s="1288"/>
      <c r="O586" s="1290"/>
      <c r="Z586" s="1280"/>
    </row>
    <row r="587" spans="1:26" x14ac:dyDescent="0.6">
      <c r="A587" s="1280"/>
      <c r="N587" s="1288"/>
      <c r="O587" s="1290"/>
      <c r="Z587" s="1280"/>
    </row>
    <row r="588" spans="1:26" x14ac:dyDescent="0.6">
      <c r="A588" s="1280"/>
      <c r="N588" s="1288"/>
      <c r="O588" s="1290"/>
      <c r="Z588" s="1280"/>
    </row>
    <row r="589" spans="1:26" x14ac:dyDescent="0.6">
      <c r="A589" s="1280"/>
      <c r="N589" s="1288"/>
      <c r="O589" s="1290"/>
      <c r="Z589" s="1280"/>
    </row>
    <row r="590" spans="1:26" x14ac:dyDescent="0.6">
      <c r="A590" s="1280"/>
      <c r="N590" s="1288"/>
      <c r="O590" s="1290"/>
      <c r="Z590" s="1280"/>
    </row>
    <row r="591" spans="1:26" x14ac:dyDescent="0.6">
      <c r="A591" s="1280"/>
      <c r="N591" s="1288"/>
      <c r="O591" s="1290"/>
      <c r="Z591" s="1280"/>
    </row>
    <row r="592" spans="1:26" x14ac:dyDescent="0.6">
      <c r="A592" s="1280"/>
      <c r="N592" s="1288"/>
      <c r="O592" s="1290"/>
      <c r="Z592" s="1280"/>
    </row>
    <row r="593" spans="1:26" x14ac:dyDescent="0.6">
      <c r="A593" s="1280"/>
      <c r="N593" s="1288"/>
      <c r="O593" s="1290"/>
      <c r="Z593" s="1280"/>
    </row>
    <row r="594" spans="1:26" x14ac:dyDescent="0.6">
      <c r="A594" s="1280"/>
      <c r="N594" s="1288"/>
      <c r="O594" s="1290"/>
      <c r="Z594" s="1280"/>
    </row>
    <row r="595" spans="1:26" x14ac:dyDescent="0.6">
      <c r="A595" s="1280"/>
      <c r="N595" s="1288"/>
      <c r="O595" s="1290"/>
      <c r="Z595" s="1280"/>
    </row>
    <row r="596" spans="1:26" x14ac:dyDescent="0.6">
      <c r="A596" s="1280"/>
      <c r="N596" s="1288"/>
      <c r="O596" s="1290"/>
      <c r="Z596" s="1280"/>
    </row>
    <row r="597" spans="1:26" x14ac:dyDescent="0.6">
      <c r="A597" s="1280"/>
      <c r="N597" s="1288"/>
      <c r="O597" s="1290"/>
      <c r="Z597" s="1280"/>
    </row>
    <row r="598" spans="1:26" x14ac:dyDescent="0.6">
      <c r="A598" s="1280"/>
      <c r="N598" s="1288"/>
      <c r="O598" s="1290"/>
      <c r="Z598" s="1280"/>
    </row>
    <row r="599" spans="1:26" x14ac:dyDescent="0.6">
      <c r="A599" s="1280"/>
      <c r="N599" s="1288"/>
      <c r="O599" s="1290"/>
      <c r="Z599" s="1280"/>
    </row>
    <row r="600" spans="1:26" x14ac:dyDescent="0.6">
      <c r="A600" s="1280"/>
      <c r="N600" s="1288"/>
      <c r="O600" s="1290"/>
      <c r="Z600" s="1280"/>
    </row>
    <row r="601" spans="1:26" x14ac:dyDescent="0.6">
      <c r="A601" s="1280"/>
      <c r="N601" s="1288"/>
      <c r="O601" s="1290"/>
      <c r="Z601" s="1280"/>
    </row>
    <row r="602" spans="1:26" x14ac:dyDescent="0.6">
      <c r="A602" s="1280"/>
      <c r="N602" s="1288"/>
      <c r="O602" s="1290"/>
      <c r="Z602" s="1280"/>
    </row>
    <row r="603" spans="1:26" x14ac:dyDescent="0.6">
      <c r="A603" s="1280"/>
      <c r="N603" s="1288"/>
      <c r="O603" s="1290"/>
      <c r="Z603" s="1280"/>
    </row>
    <row r="604" spans="1:26" x14ac:dyDescent="0.6">
      <c r="A604" s="1280"/>
      <c r="N604" s="1288"/>
      <c r="O604" s="1290"/>
      <c r="Z604" s="1280"/>
    </row>
    <row r="605" spans="1:26" x14ac:dyDescent="0.6">
      <c r="A605" s="1280"/>
      <c r="N605" s="1288"/>
      <c r="O605" s="1290"/>
      <c r="Z605" s="1280"/>
    </row>
    <row r="606" spans="1:26" x14ac:dyDescent="0.6">
      <c r="A606" s="1280"/>
      <c r="N606" s="1288"/>
      <c r="O606" s="1290"/>
      <c r="Z606" s="1280"/>
    </row>
    <row r="607" spans="1:26" x14ac:dyDescent="0.6">
      <c r="A607" s="1280"/>
      <c r="N607" s="1288"/>
      <c r="O607" s="1290"/>
      <c r="Z607" s="1280"/>
    </row>
    <row r="608" spans="1:26" x14ac:dyDescent="0.6">
      <c r="A608" s="1280"/>
      <c r="N608" s="1288"/>
      <c r="O608" s="1290"/>
      <c r="Z608" s="1280"/>
    </row>
    <row r="609" spans="1:26" x14ac:dyDescent="0.6">
      <c r="A609" s="1280"/>
      <c r="N609" s="1288"/>
      <c r="O609" s="1290"/>
      <c r="Z609" s="1280"/>
    </row>
    <row r="610" spans="1:26" x14ac:dyDescent="0.6">
      <c r="A610" s="1280"/>
      <c r="N610" s="1288"/>
      <c r="O610" s="1290"/>
      <c r="Z610" s="1280"/>
    </row>
    <row r="611" spans="1:26" x14ac:dyDescent="0.6">
      <c r="A611" s="1280"/>
      <c r="N611" s="1288"/>
      <c r="O611" s="1290"/>
      <c r="Z611" s="1280"/>
    </row>
    <row r="612" spans="1:26" x14ac:dyDescent="0.6">
      <c r="A612" s="1280"/>
      <c r="N612" s="1288"/>
      <c r="O612" s="1290"/>
      <c r="Z612" s="1280"/>
    </row>
    <row r="613" spans="1:26" x14ac:dyDescent="0.6">
      <c r="A613" s="1280"/>
      <c r="N613" s="1288"/>
      <c r="O613" s="1290"/>
      <c r="Z613" s="1280"/>
    </row>
    <row r="614" spans="1:26" x14ac:dyDescent="0.6">
      <c r="A614" s="1280"/>
      <c r="N614" s="1288"/>
      <c r="O614" s="1290"/>
      <c r="Z614" s="1280"/>
    </row>
    <row r="615" spans="1:26" x14ac:dyDescent="0.6">
      <c r="A615" s="1280"/>
      <c r="N615" s="1288"/>
      <c r="O615" s="1290"/>
      <c r="Z615" s="1280"/>
    </row>
    <row r="616" spans="1:26" x14ac:dyDescent="0.6">
      <c r="A616" s="1280"/>
      <c r="N616" s="1288"/>
      <c r="O616" s="1290"/>
      <c r="Z616" s="1280"/>
    </row>
    <row r="617" spans="1:26" x14ac:dyDescent="0.6">
      <c r="A617" s="1280"/>
      <c r="N617" s="1288"/>
      <c r="O617" s="1290"/>
      <c r="Z617" s="1280"/>
    </row>
    <row r="618" spans="1:26" x14ac:dyDescent="0.6">
      <c r="A618" s="1280"/>
      <c r="N618" s="1288"/>
      <c r="O618" s="1290"/>
      <c r="Z618" s="1280"/>
    </row>
    <row r="619" spans="1:26" x14ac:dyDescent="0.6">
      <c r="A619" s="1280"/>
      <c r="N619" s="1288"/>
      <c r="O619" s="1290"/>
      <c r="Z619" s="1280"/>
    </row>
    <row r="620" spans="1:26" x14ac:dyDescent="0.6">
      <c r="A620" s="1280"/>
      <c r="N620" s="1288"/>
      <c r="O620" s="1290"/>
      <c r="Z620" s="1280"/>
    </row>
    <row r="621" spans="1:26" x14ac:dyDescent="0.6">
      <c r="A621" s="1280"/>
      <c r="N621" s="1288"/>
      <c r="O621" s="1290"/>
      <c r="Z621" s="1280"/>
    </row>
    <row r="622" spans="1:26" x14ac:dyDescent="0.6">
      <c r="A622" s="1280"/>
      <c r="N622" s="1288"/>
      <c r="O622" s="1290"/>
      <c r="Z622" s="1280"/>
    </row>
    <row r="623" spans="1:26" x14ac:dyDescent="0.6">
      <c r="A623" s="1280"/>
      <c r="N623" s="1288"/>
      <c r="O623" s="1290"/>
      <c r="Z623" s="1280"/>
    </row>
    <row r="624" spans="1:26" x14ac:dyDescent="0.6">
      <c r="A624" s="1280"/>
      <c r="N624" s="1288"/>
      <c r="O624" s="1290"/>
      <c r="Z624" s="1280"/>
    </row>
    <row r="625" spans="1:26" x14ac:dyDescent="0.6">
      <c r="A625" s="1280"/>
      <c r="N625" s="1288"/>
      <c r="O625" s="1290"/>
      <c r="Z625" s="1280"/>
    </row>
    <row r="626" spans="1:26" x14ac:dyDescent="0.6">
      <c r="A626" s="1280"/>
      <c r="N626" s="1288"/>
      <c r="O626" s="1290"/>
      <c r="Z626" s="1280"/>
    </row>
    <row r="627" spans="1:26" x14ac:dyDescent="0.6">
      <c r="A627" s="1280"/>
      <c r="N627" s="1288"/>
      <c r="O627" s="1290"/>
      <c r="Z627" s="1280"/>
    </row>
    <row r="628" spans="1:26" x14ac:dyDescent="0.6">
      <c r="A628" s="1280"/>
      <c r="N628" s="1288"/>
      <c r="O628" s="1290"/>
      <c r="Z628" s="1280"/>
    </row>
    <row r="629" spans="1:26" x14ac:dyDescent="0.6">
      <c r="A629" s="1280"/>
      <c r="N629" s="1288"/>
      <c r="O629" s="1290"/>
      <c r="Z629" s="1280"/>
    </row>
    <row r="630" spans="1:26" x14ac:dyDescent="0.6">
      <c r="A630" s="1280"/>
      <c r="N630" s="1288"/>
      <c r="O630" s="1290"/>
      <c r="Z630" s="1280"/>
    </row>
    <row r="631" spans="1:26" x14ac:dyDescent="0.6">
      <c r="A631" s="1280"/>
      <c r="N631" s="1288"/>
      <c r="O631" s="1290"/>
      <c r="Z631" s="1280"/>
    </row>
    <row r="632" spans="1:26" x14ac:dyDescent="0.6">
      <c r="A632" s="1280"/>
      <c r="N632" s="1288"/>
      <c r="O632" s="1290"/>
      <c r="Z632" s="1280"/>
    </row>
    <row r="633" spans="1:26" x14ac:dyDescent="0.6">
      <c r="A633" s="1280"/>
      <c r="N633" s="1288"/>
      <c r="O633" s="1290"/>
      <c r="Z633" s="1280"/>
    </row>
    <row r="634" spans="1:26" x14ac:dyDescent="0.6">
      <c r="A634" s="1280"/>
      <c r="N634" s="1288"/>
      <c r="O634" s="1290"/>
      <c r="Z634" s="1280"/>
    </row>
    <row r="635" spans="1:26" x14ac:dyDescent="0.6">
      <c r="A635" s="1280"/>
      <c r="N635" s="1288"/>
      <c r="O635" s="1290"/>
      <c r="Z635" s="1280"/>
    </row>
    <row r="636" spans="1:26" x14ac:dyDescent="0.6">
      <c r="A636" s="1280"/>
      <c r="N636" s="1288"/>
      <c r="O636" s="1290"/>
      <c r="Z636" s="1280"/>
    </row>
    <row r="637" spans="1:26" x14ac:dyDescent="0.6">
      <c r="A637" s="1280"/>
      <c r="N637" s="1288"/>
      <c r="O637" s="1290"/>
      <c r="Z637" s="1280"/>
    </row>
    <row r="638" spans="1:26" x14ac:dyDescent="0.6">
      <c r="A638" s="1280"/>
      <c r="N638" s="1288"/>
      <c r="O638" s="1290"/>
      <c r="Z638" s="1280"/>
    </row>
    <row r="639" spans="1:26" x14ac:dyDescent="0.6">
      <c r="A639" s="1280"/>
      <c r="N639" s="1288"/>
      <c r="O639" s="1290"/>
      <c r="Z639" s="1280"/>
    </row>
    <row r="640" spans="1:26" x14ac:dyDescent="0.6">
      <c r="A640" s="1280"/>
      <c r="N640" s="1288"/>
      <c r="O640" s="1290"/>
      <c r="Z640" s="1280"/>
    </row>
    <row r="641" spans="1:26" x14ac:dyDescent="0.6">
      <c r="A641" s="1280"/>
      <c r="N641" s="1288"/>
      <c r="O641" s="1290"/>
      <c r="Z641" s="1280"/>
    </row>
    <row r="642" spans="1:26" x14ac:dyDescent="0.6">
      <c r="A642" s="1280"/>
      <c r="N642" s="1288"/>
      <c r="O642" s="1290"/>
      <c r="Z642" s="1280"/>
    </row>
    <row r="643" spans="1:26" x14ac:dyDescent="0.6">
      <c r="A643" s="1280"/>
      <c r="N643" s="1288"/>
      <c r="O643" s="1290"/>
      <c r="Z643" s="1280"/>
    </row>
    <row r="644" spans="1:26" x14ac:dyDescent="0.6">
      <c r="A644" s="1280"/>
      <c r="N644" s="1288"/>
      <c r="O644" s="1290"/>
      <c r="Z644" s="1280"/>
    </row>
    <row r="645" spans="1:26" x14ac:dyDescent="0.6">
      <c r="A645" s="1280"/>
      <c r="N645" s="1288"/>
      <c r="O645" s="1290"/>
      <c r="Z645" s="1280"/>
    </row>
    <row r="646" spans="1:26" x14ac:dyDescent="0.6">
      <c r="A646" s="1280"/>
      <c r="N646" s="1288"/>
      <c r="O646" s="1290"/>
      <c r="Z646" s="1280"/>
    </row>
    <row r="647" spans="1:26" x14ac:dyDescent="0.6">
      <c r="A647" s="1280"/>
      <c r="N647" s="1288"/>
      <c r="O647" s="1290"/>
      <c r="Z647" s="1280"/>
    </row>
    <row r="648" spans="1:26" x14ac:dyDescent="0.6">
      <c r="A648" s="1280"/>
      <c r="N648" s="1288"/>
      <c r="O648" s="1290"/>
      <c r="Z648" s="1280"/>
    </row>
    <row r="649" spans="1:26" x14ac:dyDescent="0.6">
      <c r="A649" s="1280"/>
      <c r="N649" s="1288"/>
      <c r="O649" s="1290"/>
      <c r="Z649" s="1280"/>
    </row>
    <row r="650" spans="1:26" x14ac:dyDescent="0.6">
      <c r="A650" s="1280"/>
      <c r="N650" s="1288"/>
      <c r="O650" s="1290"/>
      <c r="Z650" s="1280"/>
    </row>
    <row r="651" spans="1:26" x14ac:dyDescent="0.6">
      <c r="A651" s="1280"/>
      <c r="N651" s="1288"/>
      <c r="O651" s="1290"/>
      <c r="Z651" s="1280"/>
    </row>
    <row r="652" spans="1:26" x14ac:dyDescent="0.6">
      <c r="A652" s="1280"/>
      <c r="N652" s="1288"/>
      <c r="O652" s="1290"/>
      <c r="Z652" s="1280"/>
    </row>
    <row r="653" spans="1:26" x14ac:dyDescent="0.6">
      <c r="A653" s="1280"/>
      <c r="N653" s="1288"/>
      <c r="O653" s="1290"/>
      <c r="Z653" s="1280"/>
    </row>
    <row r="654" spans="1:26" x14ac:dyDescent="0.6">
      <c r="A654" s="1280"/>
      <c r="N654" s="1288"/>
      <c r="O654" s="1290"/>
      <c r="Z654" s="1280"/>
    </row>
    <row r="655" spans="1:26" x14ac:dyDescent="0.6">
      <c r="A655" s="1280"/>
      <c r="N655" s="1288"/>
      <c r="O655" s="1290"/>
      <c r="Z655" s="1280"/>
    </row>
    <row r="656" spans="1:26" x14ac:dyDescent="0.6">
      <c r="A656" s="1280"/>
      <c r="N656" s="1288"/>
      <c r="O656" s="1290"/>
      <c r="Z656" s="1280"/>
    </row>
    <row r="657" spans="1:26" x14ac:dyDescent="0.6">
      <c r="A657" s="1280"/>
      <c r="N657" s="1288"/>
      <c r="O657" s="1290"/>
      <c r="Z657" s="1280"/>
    </row>
    <row r="658" spans="1:26" x14ac:dyDescent="0.6">
      <c r="A658" s="1280"/>
      <c r="N658" s="1288"/>
      <c r="O658" s="1290"/>
      <c r="Z658" s="1280"/>
    </row>
    <row r="659" spans="1:26" x14ac:dyDescent="0.6">
      <c r="A659" s="1280"/>
      <c r="N659" s="1288"/>
      <c r="O659" s="1290"/>
      <c r="Z659" s="1280"/>
    </row>
    <row r="660" spans="1:26" x14ac:dyDescent="0.6">
      <c r="A660" s="1280"/>
      <c r="N660" s="1288"/>
      <c r="O660" s="1290"/>
      <c r="Z660" s="1280"/>
    </row>
    <row r="661" spans="1:26" x14ac:dyDescent="0.6">
      <c r="A661" s="1280"/>
      <c r="N661" s="1288"/>
      <c r="O661" s="1290"/>
      <c r="Z661" s="1280"/>
    </row>
    <row r="662" spans="1:26" x14ac:dyDescent="0.6">
      <c r="A662" s="1280"/>
      <c r="N662" s="1288"/>
      <c r="O662" s="1290"/>
      <c r="Z662" s="1280"/>
    </row>
    <row r="663" spans="1:26" x14ac:dyDescent="0.6">
      <c r="A663" s="1280"/>
      <c r="N663" s="1288"/>
      <c r="O663" s="1290"/>
      <c r="Z663" s="1280"/>
    </row>
    <row r="664" spans="1:26" x14ac:dyDescent="0.6">
      <c r="A664" s="1280"/>
      <c r="N664" s="1288"/>
      <c r="O664" s="1290"/>
      <c r="Z664" s="1280"/>
    </row>
    <row r="665" spans="1:26" x14ac:dyDescent="0.6">
      <c r="A665" s="1280"/>
      <c r="N665" s="1288"/>
      <c r="O665" s="1290"/>
      <c r="Z665" s="1280"/>
    </row>
    <row r="666" spans="1:26" x14ac:dyDescent="0.6">
      <c r="A666" s="1280"/>
      <c r="N666" s="1288"/>
      <c r="O666" s="1290"/>
      <c r="Z666" s="1280"/>
    </row>
    <row r="667" spans="1:26" x14ac:dyDescent="0.6">
      <c r="A667" s="1280"/>
      <c r="N667" s="1288"/>
      <c r="O667" s="1290"/>
      <c r="Z667" s="1280"/>
    </row>
    <row r="668" spans="1:26" x14ac:dyDescent="0.6">
      <c r="A668" s="1280"/>
      <c r="N668" s="1288"/>
      <c r="O668" s="1290"/>
      <c r="Z668" s="1280"/>
    </row>
    <row r="669" spans="1:26" x14ac:dyDescent="0.6">
      <c r="A669" s="1280"/>
      <c r="N669" s="1288"/>
      <c r="O669" s="1290"/>
      <c r="Z669" s="1280"/>
    </row>
    <row r="670" spans="1:26" x14ac:dyDescent="0.6">
      <c r="A670" s="1280"/>
      <c r="N670" s="1288"/>
      <c r="O670" s="1290"/>
      <c r="Z670" s="1280"/>
    </row>
    <row r="671" spans="1:26" x14ac:dyDescent="0.6">
      <c r="A671" s="1280"/>
      <c r="N671" s="1288"/>
      <c r="O671" s="1290"/>
      <c r="Z671" s="1280"/>
    </row>
    <row r="672" spans="1:26" x14ac:dyDescent="0.6">
      <c r="A672" s="1280"/>
      <c r="N672" s="1288"/>
      <c r="O672" s="1290"/>
      <c r="Z672" s="1280"/>
    </row>
    <row r="673" spans="1:26" x14ac:dyDescent="0.6">
      <c r="A673" s="1280"/>
      <c r="N673" s="1288"/>
      <c r="O673" s="1290"/>
      <c r="Z673" s="1280"/>
    </row>
    <row r="674" spans="1:26" x14ac:dyDescent="0.6">
      <c r="A674" s="1280"/>
      <c r="N674" s="1288"/>
      <c r="O674" s="1290"/>
      <c r="Z674" s="1280"/>
    </row>
    <row r="675" spans="1:26" x14ac:dyDescent="0.6">
      <c r="A675" s="1280"/>
      <c r="N675" s="1288"/>
      <c r="O675" s="1290"/>
      <c r="Z675" s="1280"/>
    </row>
    <row r="676" spans="1:26" x14ac:dyDescent="0.6">
      <c r="A676" s="1280"/>
      <c r="N676" s="1288"/>
      <c r="O676" s="1290"/>
      <c r="Z676" s="1280"/>
    </row>
    <row r="677" spans="1:26" x14ac:dyDescent="0.6">
      <c r="A677" s="1280"/>
      <c r="N677" s="1288"/>
      <c r="O677" s="1290"/>
      <c r="Z677" s="1280"/>
    </row>
    <row r="678" spans="1:26" x14ac:dyDescent="0.6">
      <c r="A678" s="1280"/>
      <c r="N678" s="1288"/>
      <c r="O678" s="1290"/>
      <c r="Z678" s="1280"/>
    </row>
    <row r="679" spans="1:26" x14ac:dyDescent="0.6">
      <c r="A679" s="1280"/>
      <c r="N679" s="1288"/>
      <c r="O679" s="1290"/>
      <c r="Z679" s="1280"/>
    </row>
    <row r="680" spans="1:26" x14ac:dyDescent="0.6">
      <c r="A680" s="1280"/>
      <c r="N680" s="1288"/>
      <c r="O680" s="1290"/>
      <c r="Z680" s="1280"/>
    </row>
    <row r="681" spans="1:26" x14ac:dyDescent="0.6">
      <c r="A681" s="1280"/>
      <c r="N681" s="1288"/>
      <c r="O681" s="1290"/>
      <c r="Z681" s="1280"/>
    </row>
    <row r="682" spans="1:26" x14ac:dyDescent="0.6">
      <c r="A682" s="1280"/>
      <c r="N682" s="1288"/>
      <c r="O682" s="1290"/>
      <c r="Z682" s="1280"/>
    </row>
    <row r="683" spans="1:26" x14ac:dyDescent="0.6">
      <c r="A683" s="1280"/>
      <c r="N683" s="1288"/>
      <c r="O683" s="1290"/>
      <c r="Z683" s="1280"/>
    </row>
    <row r="684" spans="1:26" x14ac:dyDescent="0.6">
      <c r="A684" s="1280"/>
      <c r="N684" s="1288"/>
      <c r="O684" s="1290"/>
      <c r="Z684" s="1280"/>
    </row>
    <row r="685" spans="1:26" x14ac:dyDescent="0.6">
      <c r="A685" s="1280"/>
      <c r="N685" s="1288"/>
      <c r="O685" s="1290"/>
      <c r="Z685" s="1280"/>
    </row>
    <row r="686" spans="1:26" x14ac:dyDescent="0.6">
      <c r="A686" s="1280"/>
      <c r="N686" s="1288"/>
      <c r="O686" s="1290"/>
      <c r="Z686" s="1280"/>
    </row>
    <row r="687" spans="1:26" x14ac:dyDescent="0.6">
      <c r="A687" s="1280"/>
      <c r="N687" s="1288"/>
      <c r="O687" s="1290"/>
      <c r="Z687" s="1280"/>
    </row>
    <row r="688" spans="1:26" x14ac:dyDescent="0.6">
      <c r="A688" s="1280"/>
      <c r="N688" s="1288"/>
      <c r="O688" s="1290"/>
      <c r="Z688" s="1280"/>
    </row>
    <row r="689" spans="1:26" x14ac:dyDescent="0.6">
      <c r="A689" s="1280"/>
      <c r="N689" s="1288"/>
      <c r="O689" s="1290"/>
      <c r="Z689" s="1280"/>
    </row>
    <row r="690" spans="1:26" x14ac:dyDescent="0.6">
      <c r="A690" s="1280"/>
      <c r="N690" s="1288"/>
      <c r="O690" s="1290"/>
      <c r="Z690" s="1280"/>
    </row>
    <row r="691" spans="1:26" x14ac:dyDescent="0.6">
      <c r="A691" s="1280"/>
      <c r="N691" s="1288"/>
      <c r="O691" s="1290"/>
      <c r="Z691" s="1280"/>
    </row>
    <row r="692" spans="1:26" x14ac:dyDescent="0.6">
      <c r="A692" s="1280"/>
      <c r="N692" s="1288"/>
      <c r="O692" s="1290"/>
      <c r="Z692" s="1280"/>
    </row>
    <row r="693" spans="1:26" x14ac:dyDescent="0.6">
      <c r="A693" s="1280"/>
      <c r="N693" s="1288"/>
      <c r="O693" s="1290"/>
      <c r="Z693" s="1280"/>
    </row>
    <row r="694" spans="1:26" x14ac:dyDescent="0.6">
      <c r="A694" s="1280"/>
      <c r="N694" s="1288"/>
      <c r="O694" s="1290"/>
      <c r="Z694" s="1280"/>
    </row>
    <row r="695" spans="1:26" x14ac:dyDescent="0.6">
      <c r="A695" s="1280"/>
      <c r="N695" s="1288"/>
      <c r="O695" s="1290"/>
      <c r="Z695" s="1280"/>
    </row>
    <row r="696" spans="1:26" x14ac:dyDescent="0.6">
      <c r="A696" s="1280"/>
      <c r="N696" s="1288"/>
      <c r="O696" s="1290"/>
      <c r="Z696" s="1280"/>
    </row>
    <row r="697" spans="1:26" x14ac:dyDescent="0.6">
      <c r="A697" s="1280"/>
      <c r="N697" s="1288"/>
      <c r="O697" s="1290"/>
      <c r="Z697" s="1280"/>
    </row>
    <row r="698" spans="1:26" x14ac:dyDescent="0.6">
      <c r="A698" s="1280"/>
      <c r="N698" s="1288"/>
      <c r="O698" s="1290"/>
      <c r="Z698" s="1280"/>
    </row>
    <row r="699" spans="1:26" x14ac:dyDescent="0.6">
      <c r="A699" s="1280"/>
      <c r="N699" s="1288"/>
      <c r="O699" s="1290"/>
      <c r="Z699" s="1280"/>
    </row>
    <row r="700" spans="1:26" x14ac:dyDescent="0.6">
      <c r="A700" s="1280"/>
      <c r="N700" s="1288"/>
      <c r="O700" s="1290"/>
      <c r="Z700" s="1280"/>
    </row>
    <row r="701" spans="1:26" x14ac:dyDescent="0.6">
      <c r="A701" s="1280"/>
      <c r="N701" s="1288"/>
      <c r="O701" s="1290"/>
      <c r="Z701" s="1280"/>
    </row>
    <row r="702" spans="1:26" x14ac:dyDescent="0.6">
      <c r="A702" s="1280"/>
      <c r="N702" s="1288"/>
      <c r="O702" s="1290"/>
      <c r="Z702" s="1280"/>
    </row>
  </sheetData>
  <protectedRanges>
    <protectedRange password="CC6F" sqref="B8" name="ช่วง1_5_1_5_1_1_1"/>
  </protectedRanges>
  <mergeCells count="18">
    <mergeCell ref="X6:X7"/>
    <mergeCell ref="A9:C9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60" firstPageNumber="3" fitToHeight="0" orientation="landscape" useFirstPageNumber="1" r:id="rId1"/>
  <headerFooter scaleWithDoc="0" alignWithMargins="0">
    <oddFooter>&amp;Cหน้าที่ 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4E5C-1319-42DD-AE9E-960F5197230B}">
  <sheetPr>
    <pageSetUpPr fitToPage="1"/>
  </sheetPr>
  <dimension ref="A1:AE711"/>
  <sheetViews>
    <sheetView zoomScale="110" zoomScaleNormal="110" zoomScaleSheetLayoutView="110" workbookViewId="0">
      <selection activeCell="A17" sqref="A17"/>
    </sheetView>
  </sheetViews>
  <sheetFormatPr defaultColWidth="9" defaultRowHeight="19.8" x14ac:dyDescent="0.5"/>
  <cols>
    <col min="1" max="1" width="4.09765625" style="1834" customWidth="1"/>
    <col min="2" max="2" width="21.8984375" style="1833" customWidth="1"/>
    <col min="3" max="3" width="4.5" style="1739" bestFit="1" customWidth="1"/>
    <col min="4" max="7" width="7" style="1842" customWidth="1"/>
    <col min="8" max="8" width="7.5" style="1842" customWidth="1"/>
    <col min="9" max="9" width="7.59765625" style="1842" customWidth="1"/>
    <col min="10" max="10" width="8.8984375" style="1842" customWidth="1"/>
    <col min="11" max="11" width="8.09765625" style="1842" customWidth="1"/>
    <col min="12" max="12" width="9.8984375" style="1843" customWidth="1"/>
    <col min="13" max="13" width="8" style="1739" customWidth="1"/>
    <col min="14" max="14" width="8.5" style="1844" customWidth="1"/>
    <col min="15" max="15" width="9" style="1845" customWidth="1"/>
    <col min="16" max="16" width="7.3984375" style="1834" customWidth="1"/>
    <col min="17" max="23" width="7.3984375" style="1846" customWidth="1"/>
    <col min="24" max="24" width="8.3984375" style="1739" customWidth="1"/>
    <col min="25" max="25" width="8.19921875" style="1739" customWidth="1"/>
    <col min="26" max="26" width="10.09765625" style="1840" customWidth="1"/>
    <col min="27" max="27" width="12" style="1739" customWidth="1"/>
    <col min="28" max="28" width="7.59765625" style="1739" hidden="1" customWidth="1"/>
    <col min="29" max="29" width="9" style="1739" customWidth="1"/>
    <col min="30" max="30" width="9" style="1739"/>
    <col min="31" max="31" width="32.3984375" style="1739" customWidth="1"/>
    <col min="32" max="32" width="9" style="1739" customWidth="1"/>
    <col min="33" max="16384" width="9" style="1739"/>
  </cols>
  <sheetData>
    <row r="1" spans="1:31" x14ac:dyDescent="0.5">
      <c r="A1" s="1737" t="s">
        <v>9167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1738"/>
      <c r="O1" s="1738"/>
      <c r="P1" s="1738"/>
      <c r="Q1" s="1738"/>
      <c r="R1" s="1738"/>
      <c r="S1" s="1738"/>
      <c r="T1" s="1738"/>
      <c r="U1" s="1738"/>
      <c r="V1" s="1738"/>
      <c r="W1" s="1738"/>
      <c r="X1" s="1738"/>
      <c r="Y1" s="1738"/>
      <c r="Z1" s="1738"/>
      <c r="AA1" s="1738"/>
    </row>
    <row r="2" spans="1:31" x14ac:dyDescent="0.5">
      <c r="A2" s="1738" t="s">
        <v>7775</v>
      </c>
      <c r="B2" s="1738"/>
      <c r="C2" s="1738"/>
      <c r="D2" s="1738"/>
      <c r="E2" s="1738"/>
      <c r="F2" s="1738"/>
      <c r="G2" s="1738"/>
      <c r="H2" s="1738"/>
      <c r="I2" s="1738"/>
      <c r="J2" s="1738"/>
      <c r="K2" s="1738"/>
      <c r="L2" s="1738"/>
      <c r="M2" s="1738"/>
      <c r="N2" s="1738"/>
      <c r="O2" s="1738"/>
      <c r="P2" s="1738"/>
      <c r="Q2" s="1738"/>
      <c r="R2" s="1738"/>
      <c r="S2" s="1738"/>
      <c r="T2" s="1738"/>
      <c r="U2" s="1738"/>
      <c r="V2" s="1738"/>
      <c r="W2" s="1738"/>
      <c r="X2" s="1738"/>
      <c r="Y2" s="1738"/>
      <c r="Z2" s="1738"/>
      <c r="AA2" s="1738"/>
    </row>
    <row r="3" spans="1:31" x14ac:dyDescent="0.5">
      <c r="A3" s="1740" t="s">
        <v>7733</v>
      </c>
      <c r="B3" s="1740"/>
      <c r="C3" s="1738"/>
      <c r="D3" s="1738"/>
      <c r="E3" s="1738"/>
      <c r="F3" s="1738"/>
      <c r="G3" s="1738"/>
      <c r="H3" s="1738"/>
      <c r="I3" s="1738"/>
      <c r="J3" s="1738"/>
      <c r="K3" s="1738"/>
      <c r="L3" s="1738"/>
      <c r="M3" s="1738"/>
      <c r="N3" s="1738"/>
      <c r="O3" s="1738"/>
      <c r="P3" s="1738"/>
      <c r="Q3" s="1738"/>
      <c r="R3" s="1738"/>
      <c r="S3" s="1738"/>
      <c r="T3" s="1738"/>
      <c r="U3" s="1738"/>
      <c r="V3" s="1738"/>
      <c r="W3" s="1738"/>
      <c r="X3" s="1738"/>
      <c r="Y3" s="1738"/>
      <c r="Z3" s="1738"/>
      <c r="AA3" s="1738"/>
    </row>
    <row r="4" spans="1:31" x14ac:dyDescent="0.5">
      <c r="A4" s="1741" t="s">
        <v>2185</v>
      </c>
      <c r="B4" s="1741" t="s">
        <v>9168</v>
      </c>
      <c r="C4" s="1742" t="s">
        <v>7776</v>
      </c>
      <c r="D4" s="1743" t="s">
        <v>7777</v>
      </c>
      <c r="E4" s="1743"/>
      <c r="F4" s="1743"/>
      <c r="G4" s="1743"/>
      <c r="H4" s="1743"/>
      <c r="I4" s="1743"/>
      <c r="J4" s="1744" t="s">
        <v>7736</v>
      </c>
      <c r="K4" s="1745" t="s">
        <v>7778</v>
      </c>
      <c r="L4" s="1746" t="s">
        <v>7779</v>
      </c>
      <c r="M4" s="1747" t="s">
        <v>6557</v>
      </c>
      <c r="N4" s="1748" t="s">
        <v>7780</v>
      </c>
      <c r="O4" s="1749" t="s">
        <v>7736</v>
      </c>
      <c r="P4" s="1747" t="s">
        <v>7744</v>
      </c>
      <c r="Q4" s="1750" t="s">
        <v>621</v>
      </c>
      <c r="R4" s="1750" t="s">
        <v>7745</v>
      </c>
      <c r="S4" s="1750" t="s">
        <v>621</v>
      </c>
      <c r="T4" s="1750" t="s">
        <v>7746</v>
      </c>
      <c r="U4" s="1750" t="s">
        <v>621</v>
      </c>
      <c r="V4" s="1750" t="s">
        <v>7747</v>
      </c>
      <c r="W4" s="1751" t="s">
        <v>621</v>
      </c>
      <c r="X4" s="1752" t="s">
        <v>7781</v>
      </c>
      <c r="Y4" s="1753"/>
      <c r="Z4" s="1754"/>
      <c r="AA4" s="1755" t="s">
        <v>7782</v>
      </c>
    </row>
    <row r="5" spans="1:31" x14ac:dyDescent="0.5">
      <c r="A5" s="1756"/>
      <c r="B5" s="1756"/>
      <c r="C5" s="1757" t="s">
        <v>7783</v>
      </c>
      <c r="D5" s="1743" t="s">
        <v>7741</v>
      </c>
      <c r="E5" s="1743"/>
      <c r="F5" s="1743"/>
      <c r="G5" s="1743"/>
      <c r="H5" s="1743"/>
      <c r="I5" s="1743"/>
      <c r="J5" s="1758" t="s">
        <v>7784</v>
      </c>
      <c r="K5" s="1759" t="s">
        <v>7742</v>
      </c>
      <c r="L5" s="1760"/>
      <c r="M5" s="1761" t="s">
        <v>7631</v>
      </c>
      <c r="N5" s="1762" t="s">
        <v>7785</v>
      </c>
      <c r="O5" s="1763" t="s">
        <v>7743</v>
      </c>
      <c r="P5" s="1761" t="s">
        <v>7752</v>
      </c>
      <c r="Q5" s="1764" t="s">
        <v>7744</v>
      </c>
      <c r="R5" s="1764" t="s">
        <v>7753</v>
      </c>
      <c r="S5" s="1764" t="s">
        <v>7745</v>
      </c>
      <c r="T5" s="1764" t="s">
        <v>7754</v>
      </c>
      <c r="U5" s="1764" t="s">
        <v>7746</v>
      </c>
      <c r="V5" s="1764" t="s">
        <v>7755</v>
      </c>
      <c r="W5" s="1765" t="s">
        <v>7747</v>
      </c>
      <c r="X5" s="1752"/>
      <c r="Y5" s="1753"/>
      <c r="Z5" s="1766" t="s">
        <v>7623</v>
      </c>
      <c r="AA5" s="1767"/>
    </row>
    <row r="6" spans="1:31" x14ac:dyDescent="0.5">
      <c r="A6" s="1756"/>
      <c r="B6" s="1756"/>
      <c r="C6" s="1757" t="s">
        <v>7786</v>
      </c>
      <c r="D6" s="1768" t="s">
        <v>7787</v>
      </c>
      <c r="E6" s="1746" t="s">
        <v>8896</v>
      </c>
      <c r="F6" s="1769" t="s">
        <v>7789</v>
      </c>
      <c r="G6" s="1746" t="s">
        <v>8897</v>
      </c>
      <c r="H6" s="1769" t="s">
        <v>7791</v>
      </c>
      <c r="I6" s="1746" t="s">
        <v>8898</v>
      </c>
      <c r="J6" s="1758" t="s">
        <v>7793</v>
      </c>
      <c r="K6" s="1759" t="s">
        <v>7751</v>
      </c>
      <c r="L6" s="1760"/>
      <c r="M6" s="1761" t="s">
        <v>7794</v>
      </c>
      <c r="N6" s="1762" t="s">
        <v>7786</v>
      </c>
      <c r="O6" s="1763" t="s">
        <v>1150</v>
      </c>
      <c r="P6" s="1770" t="s">
        <v>7795</v>
      </c>
      <c r="Q6" s="1764" t="s">
        <v>7756</v>
      </c>
      <c r="R6" s="1770" t="s">
        <v>7795</v>
      </c>
      <c r="S6" s="1764" t="s">
        <v>7756</v>
      </c>
      <c r="T6" s="1770" t="s">
        <v>7795</v>
      </c>
      <c r="U6" s="1764" t="s">
        <v>7756</v>
      </c>
      <c r="V6" s="1770" t="s">
        <v>7795</v>
      </c>
      <c r="W6" s="1764" t="s">
        <v>7756</v>
      </c>
      <c r="X6" s="1752" t="s">
        <v>7627</v>
      </c>
      <c r="Y6" s="1771" t="s">
        <v>621</v>
      </c>
      <c r="Z6" s="1766" t="s">
        <v>7631</v>
      </c>
      <c r="AA6" s="1767"/>
    </row>
    <row r="7" spans="1:31" x14ac:dyDescent="0.5">
      <c r="A7" s="1772"/>
      <c r="B7" s="1772"/>
      <c r="C7" s="1773" t="s">
        <v>7796</v>
      </c>
      <c r="D7" s="1774"/>
      <c r="E7" s="1775"/>
      <c r="F7" s="1776"/>
      <c r="G7" s="1775"/>
      <c r="H7" s="1776"/>
      <c r="I7" s="1775"/>
      <c r="J7" s="1777" t="s">
        <v>7795</v>
      </c>
      <c r="K7" s="1778"/>
      <c r="L7" s="1775"/>
      <c r="M7" s="1779" t="s">
        <v>7795</v>
      </c>
      <c r="N7" s="1780" t="s">
        <v>7756</v>
      </c>
      <c r="O7" s="1781" t="s">
        <v>7756</v>
      </c>
      <c r="P7" s="1782"/>
      <c r="Q7" s="1783"/>
      <c r="R7" s="1783"/>
      <c r="S7" s="1783"/>
      <c r="T7" s="1783"/>
      <c r="U7" s="1783"/>
      <c r="V7" s="1783"/>
      <c r="W7" s="1784"/>
      <c r="X7" s="1752"/>
      <c r="Y7" s="1771" t="s">
        <v>7756</v>
      </c>
      <c r="Z7" s="1785"/>
      <c r="AA7" s="1786"/>
    </row>
    <row r="8" spans="1:31" s="1808" customFormat="1" ht="23.25" customHeight="1" x14ac:dyDescent="0.25">
      <c r="A8" s="1787"/>
      <c r="B8" s="1788"/>
      <c r="C8" s="1789"/>
      <c r="D8" s="1790"/>
      <c r="E8" s="1791">
        <f t="shared" ref="E8:E17" si="0">D8*N8</f>
        <v>0</v>
      </c>
      <c r="F8" s="1792"/>
      <c r="G8" s="1791">
        <f t="shared" ref="G8:G17" si="1">F8*N8</f>
        <v>0</v>
      </c>
      <c r="H8" s="1792"/>
      <c r="I8" s="1793">
        <f t="shared" ref="I8:I17" si="2">H8*N8</f>
        <v>0</v>
      </c>
      <c r="J8" s="1794"/>
      <c r="K8" s="1795"/>
      <c r="L8" s="1796"/>
      <c r="M8" s="1797"/>
      <c r="N8" s="1798"/>
      <c r="O8" s="1799">
        <f>M8*N8</f>
        <v>0</v>
      </c>
      <c r="P8" s="1800"/>
      <c r="Q8" s="1801">
        <f>P8*N8</f>
        <v>0</v>
      </c>
      <c r="R8" s="1801"/>
      <c r="S8" s="1802">
        <f>R8*N8</f>
        <v>0</v>
      </c>
      <c r="T8" s="1801"/>
      <c r="U8" s="1802">
        <f>T8*N8</f>
        <v>0</v>
      </c>
      <c r="V8" s="1801"/>
      <c r="W8" s="1802">
        <f>V8*N8</f>
        <v>0</v>
      </c>
      <c r="X8" s="1803">
        <f>P7+R7+T7+V7</f>
        <v>0</v>
      </c>
      <c r="Y8" s="1804">
        <f>X8*N8</f>
        <v>0</v>
      </c>
      <c r="Z8" s="1805"/>
      <c r="AA8" s="1806"/>
      <c r="AB8" s="1807" t="str">
        <f t="shared" ref="AB8:AB18" si="3">IF(O8=Y8,"yes")</f>
        <v>yes</v>
      </c>
    </row>
    <row r="9" spans="1:31" s="1807" customFormat="1" ht="20.25" customHeight="1" x14ac:dyDescent="0.25">
      <c r="A9" s="1787"/>
      <c r="B9" s="1788"/>
      <c r="C9" s="1789"/>
      <c r="D9" s="1809"/>
      <c r="E9" s="1791">
        <f t="shared" si="0"/>
        <v>0</v>
      </c>
      <c r="F9" s="1810"/>
      <c r="G9" s="1791">
        <f t="shared" si="1"/>
        <v>0</v>
      </c>
      <c r="H9" s="1810"/>
      <c r="I9" s="1793">
        <f t="shared" si="2"/>
        <v>0</v>
      </c>
      <c r="J9" s="1811"/>
      <c r="K9" s="1812"/>
      <c r="L9" s="1796"/>
      <c r="M9" s="1797"/>
      <c r="N9" s="1813"/>
      <c r="O9" s="1799">
        <f t="shared" ref="O9:O17" si="4">M9*N9</f>
        <v>0</v>
      </c>
      <c r="P9" s="1809"/>
      <c r="Q9" s="1801">
        <f t="shared" ref="Q9:Q17" si="5">P9*N9</f>
        <v>0</v>
      </c>
      <c r="R9" s="1796"/>
      <c r="S9" s="1802">
        <f t="shared" ref="S9:S17" si="6">R9*N9</f>
        <v>0</v>
      </c>
      <c r="T9" s="1810"/>
      <c r="U9" s="1802">
        <f t="shared" ref="U9:U17" si="7">T9*N9</f>
        <v>0</v>
      </c>
      <c r="V9" s="1810"/>
      <c r="W9" s="1802">
        <f t="shared" ref="W9:W17" si="8">V9*N9</f>
        <v>0</v>
      </c>
      <c r="X9" s="1803">
        <f t="shared" ref="X9:X17" si="9">P8+R8+T8+V8</f>
        <v>0</v>
      </c>
      <c r="Y9" s="1804">
        <f t="shared" ref="Y9:Y17" si="10">X9*N9</f>
        <v>0</v>
      </c>
      <c r="Z9" s="1805"/>
      <c r="AA9" s="1806"/>
      <c r="AB9" s="1807" t="str">
        <f t="shared" si="3"/>
        <v>yes</v>
      </c>
    </row>
    <row r="10" spans="1:31" s="1807" customFormat="1" ht="20.25" customHeight="1" x14ac:dyDescent="0.25">
      <c r="A10" s="1787"/>
      <c r="B10" s="1788"/>
      <c r="C10" s="1789"/>
      <c r="D10" s="1809"/>
      <c r="E10" s="1791">
        <f t="shared" si="0"/>
        <v>0</v>
      </c>
      <c r="F10" s="1810"/>
      <c r="G10" s="1791">
        <f t="shared" si="1"/>
        <v>0</v>
      </c>
      <c r="H10" s="1810"/>
      <c r="I10" s="1793">
        <f t="shared" si="2"/>
        <v>0</v>
      </c>
      <c r="J10" s="1811"/>
      <c r="K10" s="1812"/>
      <c r="L10" s="1796"/>
      <c r="M10" s="1797"/>
      <c r="N10" s="1813"/>
      <c r="O10" s="1799">
        <f t="shared" si="4"/>
        <v>0</v>
      </c>
      <c r="P10" s="1809"/>
      <c r="Q10" s="1801">
        <f t="shared" si="5"/>
        <v>0</v>
      </c>
      <c r="R10" s="1810"/>
      <c r="S10" s="1802">
        <f t="shared" si="6"/>
        <v>0</v>
      </c>
      <c r="T10" s="1796"/>
      <c r="U10" s="1802">
        <f t="shared" si="7"/>
        <v>0</v>
      </c>
      <c r="V10" s="1810"/>
      <c r="W10" s="1802">
        <f t="shared" si="8"/>
        <v>0</v>
      </c>
      <c r="X10" s="1803">
        <f t="shared" si="9"/>
        <v>0</v>
      </c>
      <c r="Y10" s="1804">
        <f t="shared" si="10"/>
        <v>0</v>
      </c>
      <c r="Z10" s="1805"/>
      <c r="AA10" s="1806"/>
      <c r="AB10" s="1807" t="str">
        <f t="shared" si="3"/>
        <v>yes</v>
      </c>
    </row>
    <row r="11" spans="1:31" s="1807" customFormat="1" ht="20.25" customHeight="1" x14ac:dyDescent="0.25">
      <c r="A11" s="1787"/>
      <c r="B11" s="1788"/>
      <c r="C11" s="1789"/>
      <c r="D11" s="1809"/>
      <c r="E11" s="1791">
        <f t="shared" si="0"/>
        <v>0</v>
      </c>
      <c r="F11" s="1810"/>
      <c r="G11" s="1791">
        <f t="shared" si="1"/>
        <v>0</v>
      </c>
      <c r="H11" s="1810"/>
      <c r="I11" s="1793">
        <f t="shared" si="2"/>
        <v>0</v>
      </c>
      <c r="J11" s="1811"/>
      <c r="K11" s="1812"/>
      <c r="L11" s="1796"/>
      <c r="M11" s="1797"/>
      <c r="N11" s="1813"/>
      <c r="O11" s="1799">
        <f t="shared" si="4"/>
        <v>0</v>
      </c>
      <c r="P11" s="1803"/>
      <c r="Q11" s="1801">
        <f t="shared" si="5"/>
        <v>0</v>
      </c>
      <c r="R11" s="1796"/>
      <c r="S11" s="1802">
        <f t="shared" si="6"/>
        <v>0</v>
      </c>
      <c r="T11" s="1810"/>
      <c r="U11" s="1802">
        <f t="shared" si="7"/>
        <v>0</v>
      </c>
      <c r="V11" s="1796"/>
      <c r="W11" s="1802">
        <f t="shared" si="8"/>
        <v>0</v>
      </c>
      <c r="X11" s="1803">
        <f t="shared" si="9"/>
        <v>0</v>
      </c>
      <c r="Y11" s="1804">
        <f t="shared" si="10"/>
        <v>0</v>
      </c>
      <c r="Z11" s="1805"/>
      <c r="AA11" s="1806"/>
      <c r="AB11" s="1807" t="str">
        <f t="shared" si="3"/>
        <v>yes</v>
      </c>
    </row>
    <row r="12" spans="1:31" s="1807" customFormat="1" ht="20.25" customHeight="1" x14ac:dyDescent="0.25">
      <c r="A12" s="1787"/>
      <c r="B12" s="1788"/>
      <c r="C12" s="1789"/>
      <c r="D12" s="1809"/>
      <c r="E12" s="1791">
        <f t="shared" si="0"/>
        <v>0</v>
      </c>
      <c r="F12" s="1810"/>
      <c r="G12" s="1791">
        <f t="shared" si="1"/>
        <v>0</v>
      </c>
      <c r="H12" s="1810"/>
      <c r="I12" s="1793">
        <f t="shared" si="2"/>
        <v>0</v>
      </c>
      <c r="J12" s="1811"/>
      <c r="K12" s="1812"/>
      <c r="L12" s="1796"/>
      <c r="M12" s="1797"/>
      <c r="N12" s="1813"/>
      <c r="O12" s="1799">
        <f t="shared" si="4"/>
        <v>0</v>
      </c>
      <c r="P12" s="1809"/>
      <c r="Q12" s="1801">
        <f t="shared" si="5"/>
        <v>0</v>
      </c>
      <c r="R12" s="1796"/>
      <c r="S12" s="1802">
        <f t="shared" si="6"/>
        <v>0</v>
      </c>
      <c r="T12" s="1810"/>
      <c r="U12" s="1802">
        <f t="shared" si="7"/>
        <v>0</v>
      </c>
      <c r="V12" s="1810"/>
      <c r="W12" s="1802">
        <f t="shared" si="8"/>
        <v>0</v>
      </c>
      <c r="X12" s="1803">
        <f t="shared" si="9"/>
        <v>0</v>
      </c>
      <c r="Y12" s="1804">
        <f t="shared" si="10"/>
        <v>0</v>
      </c>
      <c r="Z12" s="1805"/>
      <c r="AA12" s="1806"/>
      <c r="AB12" s="1807" t="str">
        <f t="shared" si="3"/>
        <v>yes</v>
      </c>
    </row>
    <row r="13" spans="1:31" s="1807" customFormat="1" ht="20.25" customHeight="1" x14ac:dyDescent="0.25">
      <c r="A13" s="1787"/>
      <c r="B13" s="1788"/>
      <c r="C13" s="1789"/>
      <c r="D13" s="1809"/>
      <c r="E13" s="1791">
        <f t="shared" si="0"/>
        <v>0</v>
      </c>
      <c r="F13" s="1810"/>
      <c r="G13" s="1791">
        <f t="shared" si="1"/>
        <v>0</v>
      </c>
      <c r="H13" s="1810"/>
      <c r="I13" s="1793">
        <f t="shared" si="2"/>
        <v>0</v>
      </c>
      <c r="J13" s="1811"/>
      <c r="K13" s="1812"/>
      <c r="L13" s="1796"/>
      <c r="M13" s="1797"/>
      <c r="N13" s="1813"/>
      <c r="O13" s="1799">
        <f t="shared" si="4"/>
        <v>0</v>
      </c>
      <c r="P13" s="1809"/>
      <c r="Q13" s="1801">
        <f t="shared" si="5"/>
        <v>0</v>
      </c>
      <c r="R13" s="1796"/>
      <c r="S13" s="1802">
        <f t="shared" si="6"/>
        <v>0</v>
      </c>
      <c r="T13" s="1810"/>
      <c r="U13" s="1802">
        <f t="shared" si="7"/>
        <v>0</v>
      </c>
      <c r="V13" s="1810"/>
      <c r="W13" s="1802">
        <f t="shared" si="8"/>
        <v>0</v>
      </c>
      <c r="X13" s="1803">
        <f t="shared" si="9"/>
        <v>0</v>
      </c>
      <c r="Y13" s="1804">
        <f t="shared" si="10"/>
        <v>0</v>
      </c>
      <c r="Z13" s="1805"/>
      <c r="AA13" s="1806"/>
      <c r="AB13" s="1807" t="str">
        <f t="shared" si="3"/>
        <v>yes</v>
      </c>
    </row>
    <row r="14" spans="1:31" s="1807" customFormat="1" ht="20.25" customHeight="1" x14ac:dyDescent="0.25">
      <c r="A14" s="1787"/>
      <c r="B14" s="1788"/>
      <c r="C14" s="1789"/>
      <c r="D14" s="1809"/>
      <c r="E14" s="1791">
        <f t="shared" si="0"/>
        <v>0</v>
      </c>
      <c r="F14" s="1810"/>
      <c r="G14" s="1791">
        <f t="shared" si="1"/>
        <v>0</v>
      </c>
      <c r="H14" s="1810"/>
      <c r="I14" s="1793">
        <f t="shared" si="2"/>
        <v>0</v>
      </c>
      <c r="J14" s="1811"/>
      <c r="K14" s="1812"/>
      <c r="L14" s="1796"/>
      <c r="M14" s="1797"/>
      <c r="N14" s="1813"/>
      <c r="O14" s="1799">
        <f t="shared" si="4"/>
        <v>0</v>
      </c>
      <c r="P14" s="1809"/>
      <c r="Q14" s="1801">
        <f t="shared" si="5"/>
        <v>0</v>
      </c>
      <c r="R14" s="1796"/>
      <c r="S14" s="1802">
        <f t="shared" si="6"/>
        <v>0</v>
      </c>
      <c r="T14" s="1810"/>
      <c r="U14" s="1802">
        <f t="shared" si="7"/>
        <v>0</v>
      </c>
      <c r="V14" s="1810"/>
      <c r="W14" s="1802">
        <f t="shared" si="8"/>
        <v>0</v>
      </c>
      <c r="X14" s="1803">
        <f t="shared" si="9"/>
        <v>0</v>
      </c>
      <c r="Y14" s="1804">
        <f t="shared" si="10"/>
        <v>0</v>
      </c>
      <c r="Z14" s="1805"/>
      <c r="AA14" s="1806"/>
      <c r="AB14" s="1807" t="str">
        <f t="shared" si="3"/>
        <v>yes</v>
      </c>
    </row>
    <row r="15" spans="1:31" s="1807" customFormat="1" ht="20.25" customHeight="1" x14ac:dyDescent="0.25">
      <c r="A15" s="1787"/>
      <c r="B15" s="1788"/>
      <c r="C15" s="1789"/>
      <c r="D15" s="1809"/>
      <c r="E15" s="1791">
        <f t="shared" si="0"/>
        <v>0</v>
      </c>
      <c r="F15" s="1810"/>
      <c r="G15" s="1791">
        <f t="shared" si="1"/>
        <v>0</v>
      </c>
      <c r="H15" s="1810"/>
      <c r="I15" s="1793">
        <f t="shared" si="2"/>
        <v>0</v>
      </c>
      <c r="J15" s="1811"/>
      <c r="K15" s="1812"/>
      <c r="L15" s="1796"/>
      <c r="M15" s="1797"/>
      <c r="N15" s="1813"/>
      <c r="O15" s="1799">
        <f t="shared" si="4"/>
        <v>0</v>
      </c>
      <c r="P15" s="1809"/>
      <c r="Q15" s="1801">
        <f t="shared" si="5"/>
        <v>0</v>
      </c>
      <c r="R15" s="1796"/>
      <c r="S15" s="1802">
        <f t="shared" si="6"/>
        <v>0</v>
      </c>
      <c r="T15" s="1810"/>
      <c r="U15" s="1802">
        <f t="shared" si="7"/>
        <v>0</v>
      </c>
      <c r="V15" s="1810"/>
      <c r="W15" s="1802">
        <f t="shared" si="8"/>
        <v>0</v>
      </c>
      <c r="X15" s="1803">
        <f t="shared" si="9"/>
        <v>0</v>
      </c>
      <c r="Y15" s="1804">
        <f t="shared" si="10"/>
        <v>0</v>
      </c>
      <c r="Z15" s="1805"/>
      <c r="AA15" s="1806"/>
      <c r="AB15" s="1807" t="str">
        <f t="shared" si="3"/>
        <v>yes</v>
      </c>
    </row>
    <row r="16" spans="1:31" s="1807" customFormat="1" ht="20.25" customHeight="1" x14ac:dyDescent="0.25">
      <c r="A16" s="1787"/>
      <c r="B16" s="1788"/>
      <c r="C16" s="1789"/>
      <c r="D16" s="1809"/>
      <c r="E16" s="1791">
        <f t="shared" si="0"/>
        <v>0</v>
      </c>
      <c r="F16" s="1810"/>
      <c r="G16" s="1791">
        <f t="shared" si="1"/>
        <v>0</v>
      </c>
      <c r="H16" s="1810"/>
      <c r="I16" s="1793">
        <f t="shared" si="2"/>
        <v>0</v>
      </c>
      <c r="J16" s="1811"/>
      <c r="K16" s="1812"/>
      <c r="L16" s="1796"/>
      <c r="M16" s="1797"/>
      <c r="N16" s="1813"/>
      <c r="O16" s="1799">
        <f t="shared" si="4"/>
        <v>0</v>
      </c>
      <c r="P16" s="1803"/>
      <c r="Q16" s="1801">
        <f t="shared" si="5"/>
        <v>0</v>
      </c>
      <c r="R16" s="1796"/>
      <c r="S16" s="1802">
        <f t="shared" si="6"/>
        <v>0</v>
      </c>
      <c r="T16" s="1810"/>
      <c r="U16" s="1802">
        <f t="shared" si="7"/>
        <v>0</v>
      </c>
      <c r="V16" s="1796"/>
      <c r="W16" s="1802">
        <f t="shared" si="8"/>
        <v>0</v>
      </c>
      <c r="X16" s="1803">
        <f t="shared" si="9"/>
        <v>0</v>
      </c>
      <c r="Y16" s="1804">
        <f t="shared" si="10"/>
        <v>0</v>
      </c>
      <c r="Z16" s="1805"/>
      <c r="AA16" s="1806"/>
      <c r="AB16" s="1807" t="str">
        <f t="shared" si="3"/>
        <v>yes</v>
      </c>
      <c r="AE16" s="1814"/>
    </row>
    <row r="17" spans="1:31" s="1807" customFormat="1" ht="20.25" customHeight="1" x14ac:dyDescent="0.25">
      <c r="A17" s="1787"/>
      <c r="B17" s="1815"/>
      <c r="C17" s="1816"/>
      <c r="D17" s="1809"/>
      <c r="E17" s="1791">
        <f t="shared" si="0"/>
        <v>0</v>
      </c>
      <c r="F17" s="1817"/>
      <c r="G17" s="1791">
        <f t="shared" si="1"/>
        <v>0</v>
      </c>
      <c r="H17" s="1817"/>
      <c r="I17" s="1793">
        <f t="shared" si="2"/>
        <v>0</v>
      </c>
      <c r="J17" s="1818"/>
      <c r="K17" s="1819"/>
      <c r="L17" s="1796"/>
      <c r="M17" s="1809"/>
      <c r="N17" s="1820"/>
      <c r="O17" s="1799">
        <f t="shared" si="4"/>
        <v>0</v>
      </c>
      <c r="P17" s="1809"/>
      <c r="Q17" s="1801">
        <f t="shared" si="5"/>
        <v>0</v>
      </c>
      <c r="R17" s="1796"/>
      <c r="S17" s="1802">
        <f t="shared" si="6"/>
        <v>0</v>
      </c>
      <c r="T17" s="1796"/>
      <c r="U17" s="1802">
        <f t="shared" si="7"/>
        <v>0</v>
      </c>
      <c r="V17" s="1796"/>
      <c r="W17" s="1802">
        <f t="shared" si="8"/>
        <v>0</v>
      </c>
      <c r="X17" s="1803">
        <f t="shared" si="9"/>
        <v>0</v>
      </c>
      <c r="Y17" s="1804">
        <f t="shared" si="10"/>
        <v>0</v>
      </c>
      <c r="Z17" s="1821"/>
      <c r="AA17" s="1822" t="s">
        <v>7380</v>
      </c>
      <c r="AB17" s="1807" t="str">
        <f t="shared" si="3"/>
        <v>yes</v>
      </c>
      <c r="AE17" s="1823"/>
    </row>
    <row r="18" spans="1:31" s="1831" customFormat="1" ht="20.25" customHeight="1" x14ac:dyDescent="0.5">
      <c r="A18" s="1824" t="s">
        <v>7433</v>
      </c>
      <c r="B18" s="1824"/>
      <c r="C18" s="1824"/>
      <c r="D18" s="1825">
        <f>SUM(D8:D17)</f>
        <v>0</v>
      </c>
      <c r="E18" s="1825">
        <f>SUM(E8:E17)</f>
        <v>0</v>
      </c>
      <c r="F18" s="1826">
        <f t="shared" ref="F18:Y18" si="11">SUM(F8:F17)</f>
        <v>0</v>
      </c>
      <c r="G18" s="1826">
        <f t="shared" si="11"/>
        <v>0</v>
      </c>
      <c r="H18" s="1825">
        <f t="shared" si="11"/>
        <v>0</v>
      </c>
      <c r="I18" s="1825">
        <f t="shared" si="11"/>
        <v>0</v>
      </c>
      <c r="J18" s="1827">
        <f t="shared" si="11"/>
        <v>0</v>
      </c>
      <c r="K18" s="1828">
        <f t="shared" si="11"/>
        <v>0</v>
      </c>
      <c r="L18" s="1825">
        <f t="shared" si="11"/>
        <v>0</v>
      </c>
      <c r="M18" s="1827">
        <f t="shared" si="11"/>
        <v>0</v>
      </c>
      <c r="N18" s="1827">
        <f t="shared" si="11"/>
        <v>0</v>
      </c>
      <c r="O18" s="1829">
        <f t="shared" si="11"/>
        <v>0</v>
      </c>
      <c r="P18" s="1827">
        <f t="shared" si="11"/>
        <v>0</v>
      </c>
      <c r="Q18" s="1825">
        <f t="shared" si="11"/>
        <v>0</v>
      </c>
      <c r="R18" s="1825">
        <f t="shared" si="11"/>
        <v>0</v>
      </c>
      <c r="S18" s="1825">
        <f t="shared" si="11"/>
        <v>0</v>
      </c>
      <c r="T18" s="1825">
        <f t="shared" si="11"/>
        <v>0</v>
      </c>
      <c r="U18" s="1825">
        <f t="shared" si="11"/>
        <v>0</v>
      </c>
      <c r="V18" s="1825">
        <f t="shared" si="11"/>
        <v>0</v>
      </c>
      <c r="W18" s="1825">
        <f t="shared" si="11"/>
        <v>0</v>
      </c>
      <c r="X18" s="1827">
        <f t="shared" si="11"/>
        <v>0</v>
      </c>
      <c r="Y18" s="1829">
        <f t="shared" si="11"/>
        <v>0</v>
      </c>
      <c r="Z18" s="1830"/>
      <c r="AA18" s="1827"/>
      <c r="AB18" s="1831" t="str">
        <f t="shared" si="3"/>
        <v>yes</v>
      </c>
    </row>
    <row r="19" spans="1:31" ht="20.25" customHeight="1" x14ac:dyDescent="0.5">
      <c r="A19" s="1832"/>
      <c r="C19" s="1834"/>
      <c r="D19" s="1832"/>
      <c r="E19" s="1832"/>
      <c r="F19" s="1832"/>
      <c r="G19" s="1832"/>
      <c r="H19" s="1832"/>
      <c r="I19" s="1832"/>
      <c r="J19" s="1832"/>
      <c r="K19" s="1832"/>
      <c r="L19" s="1835"/>
      <c r="M19" s="1836"/>
      <c r="N19" s="1837"/>
      <c r="O19" s="1837"/>
      <c r="P19" s="1838"/>
      <c r="Q19" s="1839"/>
      <c r="R19" s="1839"/>
      <c r="S19" s="1839"/>
      <c r="T19" s="1839"/>
      <c r="U19" s="1839"/>
      <c r="V19" s="1839"/>
      <c r="W19" s="1839"/>
      <c r="X19" s="1836"/>
      <c r="Y19" s="1836"/>
      <c r="AA19" s="1841"/>
    </row>
    <row r="20" spans="1:31" ht="20.25" customHeight="1" x14ac:dyDescent="0.5">
      <c r="A20" s="1832"/>
      <c r="C20" s="1834"/>
    </row>
    <row r="21" spans="1:31" ht="20.25" customHeight="1" x14ac:dyDescent="0.5">
      <c r="B21" s="1739" t="s">
        <v>8877</v>
      </c>
      <c r="D21" s="1739"/>
      <c r="E21" s="1739"/>
      <c r="F21" s="1739"/>
      <c r="G21" s="1834"/>
      <c r="H21" s="1842" t="s">
        <v>7914</v>
      </c>
      <c r="L21" s="1842"/>
      <c r="M21" s="1842"/>
      <c r="N21" s="1842"/>
      <c r="O21" s="1842"/>
      <c r="P21" s="1842"/>
      <c r="Q21" s="1843"/>
      <c r="R21" s="1739" t="s">
        <v>7915</v>
      </c>
      <c r="S21" s="1739"/>
      <c r="T21" s="1739"/>
      <c r="U21" s="1739"/>
      <c r="V21" s="1739"/>
      <c r="W21" s="1739"/>
      <c r="Z21" s="1739"/>
    </row>
    <row r="22" spans="1:31" ht="20.25" customHeight="1" x14ac:dyDescent="0.5">
      <c r="B22" s="1739"/>
      <c r="D22" s="1739"/>
      <c r="E22" s="1739"/>
      <c r="F22" s="1739"/>
      <c r="G22" s="1834"/>
      <c r="H22" s="1842" t="s">
        <v>7916</v>
      </c>
      <c r="L22" s="1842"/>
      <c r="M22" s="1842"/>
      <c r="N22" s="1842"/>
      <c r="O22" s="1842"/>
      <c r="P22" s="1842"/>
      <c r="Q22" s="1843"/>
      <c r="R22" s="1739" t="s">
        <v>7917</v>
      </c>
      <c r="S22" s="1739"/>
      <c r="T22" s="1739"/>
      <c r="U22" s="1739"/>
      <c r="V22" s="1739"/>
      <c r="W22" s="1739"/>
      <c r="Z22" s="1739"/>
    </row>
    <row r="23" spans="1:31" ht="20.25" customHeight="1" x14ac:dyDescent="0.5">
      <c r="B23" s="1739"/>
      <c r="D23" s="1739"/>
      <c r="E23" s="1739"/>
      <c r="F23" s="1739"/>
      <c r="G23" s="1834"/>
      <c r="H23" s="1842" t="s">
        <v>7918</v>
      </c>
      <c r="L23" s="1842"/>
      <c r="M23" s="1842"/>
      <c r="N23" s="1842"/>
      <c r="O23" s="1842"/>
      <c r="P23" s="1842"/>
      <c r="Q23" s="1843"/>
      <c r="R23" s="1739" t="s">
        <v>7771</v>
      </c>
      <c r="S23" s="1739"/>
      <c r="T23" s="1739"/>
      <c r="U23" s="1739"/>
      <c r="V23" s="1739"/>
      <c r="W23" s="1739"/>
      <c r="Z23" s="1739"/>
    </row>
    <row r="24" spans="1:31" ht="20.25" customHeight="1" x14ac:dyDescent="0.5">
      <c r="B24" s="1739"/>
      <c r="D24" s="1739"/>
      <c r="E24" s="1739"/>
      <c r="F24" s="1739"/>
      <c r="G24" s="1834"/>
      <c r="H24" s="1842" t="s">
        <v>7919</v>
      </c>
      <c r="L24" s="1842"/>
      <c r="M24" s="1842"/>
      <c r="N24" s="1842"/>
      <c r="O24" s="1842"/>
      <c r="P24" s="1842"/>
      <c r="Q24" s="1843"/>
      <c r="R24" s="1843"/>
      <c r="S24" s="1843"/>
      <c r="Y24" s="1841"/>
      <c r="Z24" s="1847"/>
    </row>
    <row r="25" spans="1:31" ht="20.25" customHeight="1" x14ac:dyDescent="0.5">
      <c r="P25" s="1834" t="s">
        <v>7380</v>
      </c>
    </row>
    <row r="26" spans="1:31" ht="20.25" customHeight="1" x14ac:dyDescent="0.5">
      <c r="P26" s="1836"/>
      <c r="Q26" s="1848"/>
    </row>
    <row r="27" spans="1:31" ht="20.25" customHeight="1" x14ac:dyDescent="0.5">
      <c r="AA27" s="1840"/>
    </row>
    <row r="33" spans="1:26" x14ac:dyDescent="0.5">
      <c r="A33" s="1739"/>
      <c r="N33" s="1834"/>
      <c r="O33" s="1739"/>
      <c r="Z33" s="1739"/>
    </row>
    <row r="34" spans="1:26" x14ac:dyDescent="0.5">
      <c r="A34" s="1739"/>
      <c r="N34" s="1834"/>
      <c r="O34" s="1739"/>
      <c r="Z34" s="1739"/>
    </row>
    <row r="35" spans="1:26" x14ac:dyDescent="0.5">
      <c r="A35" s="1739"/>
      <c r="N35" s="1834"/>
      <c r="O35" s="1739"/>
      <c r="Z35" s="1739"/>
    </row>
    <row r="36" spans="1:26" x14ac:dyDescent="0.5">
      <c r="A36" s="1739"/>
      <c r="N36" s="1834"/>
      <c r="O36" s="1739"/>
      <c r="Z36" s="1739"/>
    </row>
    <row r="37" spans="1:26" x14ac:dyDescent="0.5">
      <c r="A37" s="1739"/>
      <c r="N37" s="1834"/>
      <c r="O37" s="1739"/>
      <c r="Z37" s="1739"/>
    </row>
    <row r="38" spans="1:26" x14ac:dyDescent="0.5">
      <c r="A38" s="1739"/>
      <c r="N38" s="1834"/>
      <c r="O38" s="1739"/>
      <c r="Z38" s="1739"/>
    </row>
    <row r="39" spans="1:26" x14ac:dyDescent="0.5">
      <c r="A39" s="1739"/>
      <c r="N39" s="1834"/>
      <c r="O39" s="1739"/>
      <c r="Z39" s="1739"/>
    </row>
    <row r="40" spans="1:26" x14ac:dyDescent="0.5">
      <c r="A40" s="1739"/>
      <c r="N40" s="1834"/>
      <c r="O40" s="1739"/>
      <c r="Z40" s="1739"/>
    </row>
    <row r="41" spans="1:26" x14ac:dyDescent="0.5">
      <c r="A41" s="1739"/>
      <c r="N41" s="1834"/>
      <c r="O41" s="1739"/>
      <c r="Z41" s="1739"/>
    </row>
    <row r="42" spans="1:26" x14ac:dyDescent="0.5">
      <c r="A42" s="1739"/>
      <c r="N42" s="1834"/>
      <c r="O42" s="1739"/>
      <c r="Z42" s="1739"/>
    </row>
    <row r="43" spans="1:26" x14ac:dyDescent="0.5">
      <c r="A43" s="1739"/>
      <c r="N43" s="1834"/>
      <c r="O43" s="1739"/>
      <c r="Z43" s="1739"/>
    </row>
    <row r="44" spans="1:26" x14ac:dyDescent="0.5">
      <c r="A44" s="1739"/>
      <c r="N44" s="1834"/>
      <c r="O44" s="1739"/>
      <c r="Z44" s="1739"/>
    </row>
    <row r="45" spans="1:26" x14ac:dyDescent="0.5">
      <c r="A45" s="1739"/>
      <c r="N45" s="1834"/>
      <c r="O45" s="1739"/>
      <c r="Z45" s="1739"/>
    </row>
    <row r="46" spans="1:26" x14ac:dyDescent="0.5">
      <c r="A46" s="1739"/>
      <c r="N46" s="1834"/>
      <c r="O46" s="1739"/>
      <c r="Z46" s="1739"/>
    </row>
    <row r="47" spans="1:26" x14ac:dyDescent="0.5">
      <c r="A47" s="1739"/>
      <c r="N47" s="1834"/>
      <c r="O47" s="1739"/>
      <c r="Z47" s="1739"/>
    </row>
    <row r="48" spans="1:26" x14ac:dyDescent="0.5">
      <c r="A48" s="1739"/>
      <c r="N48" s="1834"/>
      <c r="O48" s="1739"/>
      <c r="Z48" s="1739"/>
    </row>
    <row r="49" spans="1:26" x14ac:dyDescent="0.5">
      <c r="A49" s="1739"/>
      <c r="N49" s="1834"/>
      <c r="O49" s="1739"/>
      <c r="Z49" s="1739"/>
    </row>
    <row r="50" spans="1:26" x14ac:dyDescent="0.5">
      <c r="A50" s="1739"/>
      <c r="N50" s="1834"/>
      <c r="O50" s="1739"/>
      <c r="Z50" s="1739"/>
    </row>
    <row r="51" spans="1:26" x14ac:dyDescent="0.5">
      <c r="A51" s="1739"/>
      <c r="N51" s="1834"/>
      <c r="O51" s="1739"/>
      <c r="Z51" s="1739"/>
    </row>
    <row r="52" spans="1:26" x14ac:dyDescent="0.5">
      <c r="A52" s="1739"/>
      <c r="N52" s="1834"/>
      <c r="O52" s="1739"/>
      <c r="Z52" s="1739"/>
    </row>
    <row r="53" spans="1:26" x14ac:dyDescent="0.5">
      <c r="A53" s="1739"/>
      <c r="N53" s="1834"/>
      <c r="O53" s="1739"/>
      <c r="Z53" s="1739"/>
    </row>
    <row r="54" spans="1:26" x14ac:dyDescent="0.5">
      <c r="A54" s="1739"/>
      <c r="N54" s="1834"/>
      <c r="O54" s="1739"/>
      <c r="Z54" s="1739"/>
    </row>
    <row r="55" spans="1:26" x14ac:dyDescent="0.5">
      <c r="A55" s="1739"/>
      <c r="N55" s="1834"/>
      <c r="O55" s="1739"/>
      <c r="Z55" s="1739"/>
    </row>
    <row r="56" spans="1:26" x14ac:dyDescent="0.5">
      <c r="A56" s="1739"/>
      <c r="N56" s="1834"/>
      <c r="O56" s="1739"/>
      <c r="Z56" s="1739"/>
    </row>
    <row r="57" spans="1:26" x14ac:dyDescent="0.5">
      <c r="A57" s="1739"/>
      <c r="N57" s="1834"/>
      <c r="O57" s="1739"/>
      <c r="Z57" s="1739"/>
    </row>
    <row r="58" spans="1:26" x14ac:dyDescent="0.5">
      <c r="A58" s="1739"/>
      <c r="N58" s="1834"/>
      <c r="O58" s="1739"/>
      <c r="Z58" s="1739"/>
    </row>
    <row r="59" spans="1:26" x14ac:dyDescent="0.5">
      <c r="A59" s="1739"/>
      <c r="N59" s="1834"/>
      <c r="O59" s="1739"/>
      <c r="Z59" s="1739"/>
    </row>
    <row r="60" spans="1:26" x14ac:dyDescent="0.5">
      <c r="A60" s="1739"/>
      <c r="N60" s="1834"/>
      <c r="O60" s="1739"/>
      <c r="Z60" s="1739"/>
    </row>
    <row r="61" spans="1:26" x14ac:dyDescent="0.5">
      <c r="A61" s="1739"/>
      <c r="N61" s="1834"/>
      <c r="O61" s="1739"/>
      <c r="Z61" s="1739"/>
    </row>
    <row r="62" spans="1:26" x14ac:dyDescent="0.5">
      <c r="A62" s="1739"/>
      <c r="N62" s="1834"/>
      <c r="O62" s="1739"/>
      <c r="Z62" s="1739"/>
    </row>
    <row r="63" spans="1:26" x14ac:dyDescent="0.5">
      <c r="A63" s="1739"/>
      <c r="N63" s="1834"/>
      <c r="O63" s="1739"/>
      <c r="Z63" s="1739"/>
    </row>
    <row r="64" spans="1:26" x14ac:dyDescent="0.5">
      <c r="A64" s="1739"/>
      <c r="N64" s="1834"/>
      <c r="O64" s="1739"/>
      <c r="Z64" s="1739"/>
    </row>
    <row r="65" spans="1:26" x14ac:dyDescent="0.5">
      <c r="A65" s="1739"/>
      <c r="N65" s="1834"/>
      <c r="O65" s="1739"/>
      <c r="Z65" s="1739"/>
    </row>
    <row r="66" spans="1:26" x14ac:dyDescent="0.5">
      <c r="A66" s="1739"/>
      <c r="N66" s="1834"/>
      <c r="O66" s="1739"/>
      <c r="Z66" s="1739"/>
    </row>
    <row r="67" spans="1:26" x14ac:dyDescent="0.5">
      <c r="A67" s="1739"/>
      <c r="N67" s="1834"/>
      <c r="O67" s="1739"/>
      <c r="Z67" s="1739"/>
    </row>
    <row r="68" spans="1:26" x14ac:dyDescent="0.5">
      <c r="A68" s="1739"/>
      <c r="N68" s="1834"/>
      <c r="O68" s="1739"/>
      <c r="Z68" s="1739"/>
    </row>
    <row r="69" spans="1:26" x14ac:dyDescent="0.5">
      <c r="A69" s="1739"/>
      <c r="N69" s="1834"/>
      <c r="O69" s="1739"/>
      <c r="Z69" s="1739"/>
    </row>
    <row r="70" spans="1:26" x14ac:dyDescent="0.5">
      <c r="A70" s="1739"/>
      <c r="N70" s="1834"/>
      <c r="O70" s="1739"/>
      <c r="Z70" s="1739"/>
    </row>
    <row r="71" spans="1:26" x14ac:dyDescent="0.5">
      <c r="A71" s="1739"/>
      <c r="N71" s="1834"/>
      <c r="O71" s="1739"/>
      <c r="Z71" s="1739"/>
    </row>
    <row r="72" spans="1:26" x14ac:dyDescent="0.5">
      <c r="A72" s="1739"/>
      <c r="N72" s="1834"/>
      <c r="O72" s="1739"/>
      <c r="Z72" s="1739"/>
    </row>
    <row r="73" spans="1:26" x14ac:dyDescent="0.5">
      <c r="A73" s="1739"/>
      <c r="N73" s="1834"/>
      <c r="O73" s="1739"/>
      <c r="Z73" s="1739"/>
    </row>
    <row r="74" spans="1:26" x14ac:dyDescent="0.5">
      <c r="A74" s="1739"/>
      <c r="N74" s="1834"/>
      <c r="O74" s="1739"/>
      <c r="Z74" s="1739"/>
    </row>
    <row r="75" spans="1:26" x14ac:dyDescent="0.5">
      <c r="A75" s="1739"/>
      <c r="N75" s="1834"/>
      <c r="O75" s="1739"/>
      <c r="Z75" s="1739"/>
    </row>
    <row r="76" spans="1:26" x14ac:dyDescent="0.5">
      <c r="A76" s="1739"/>
      <c r="N76" s="1834"/>
      <c r="O76" s="1739"/>
      <c r="Z76" s="1739"/>
    </row>
    <row r="77" spans="1:26" x14ac:dyDescent="0.5">
      <c r="A77" s="1739"/>
      <c r="N77" s="1834"/>
      <c r="O77" s="1739"/>
      <c r="Z77" s="1739"/>
    </row>
    <row r="78" spans="1:26" x14ac:dyDescent="0.5">
      <c r="A78" s="1739"/>
      <c r="N78" s="1834"/>
      <c r="O78" s="1739"/>
      <c r="Z78" s="1739"/>
    </row>
    <row r="79" spans="1:26" x14ac:dyDescent="0.5">
      <c r="A79" s="1739"/>
      <c r="N79" s="1834"/>
      <c r="O79" s="1739"/>
      <c r="Z79" s="1739"/>
    </row>
    <row r="80" spans="1:26" x14ac:dyDescent="0.5">
      <c r="A80" s="1739"/>
      <c r="N80" s="1834"/>
      <c r="O80" s="1739"/>
      <c r="Z80" s="1739"/>
    </row>
    <row r="81" spans="1:26" x14ac:dyDescent="0.5">
      <c r="A81" s="1739"/>
      <c r="N81" s="1834"/>
      <c r="O81" s="1739"/>
      <c r="Z81" s="1739"/>
    </row>
    <row r="82" spans="1:26" x14ac:dyDescent="0.5">
      <c r="A82" s="1739"/>
      <c r="N82" s="1834"/>
      <c r="O82" s="1739"/>
      <c r="Z82" s="1739"/>
    </row>
    <row r="83" spans="1:26" x14ac:dyDescent="0.5">
      <c r="A83" s="1739"/>
      <c r="N83" s="1834"/>
      <c r="O83" s="1739"/>
      <c r="Z83" s="1739"/>
    </row>
    <row r="84" spans="1:26" x14ac:dyDescent="0.5">
      <c r="A84" s="1739"/>
      <c r="N84" s="1834"/>
      <c r="O84" s="1739"/>
      <c r="Z84" s="1739"/>
    </row>
    <row r="85" spans="1:26" x14ac:dyDescent="0.5">
      <c r="A85" s="1739"/>
      <c r="N85" s="1834"/>
      <c r="O85" s="1739"/>
      <c r="Z85" s="1739"/>
    </row>
    <row r="86" spans="1:26" x14ac:dyDescent="0.5">
      <c r="A86" s="1739"/>
      <c r="N86" s="1834"/>
      <c r="O86" s="1739"/>
      <c r="Z86" s="1739"/>
    </row>
    <row r="87" spans="1:26" x14ac:dyDescent="0.5">
      <c r="A87" s="1739"/>
      <c r="N87" s="1834"/>
      <c r="O87" s="1739"/>
      <c r="Z87" s="1739"/>
    </row>
    <row r="88" spans="1:26" x14ac:dyDescent="0.5">
      <c r="A88" s="1739"/>
      <c r="N88" s="1834"/>
      <c r="O88" s="1739"/>
      <c r="Z88" s="1739"/>
    </row>
    <row r="89" spans="1:26" x14ac:dyDescent="0.5">
      <c r="A89" s="1739"/>
      <c r="N89" s="1834"/>
      <c r="O89" s="1739"/>
      <c r="Z89" s="1739"/>
    </row>
    <row r="90" spans="1:26" x14ac:dyDescent="0.5">
      <c r="A90" s="1739"/>
      <c r="N90" s="1834"/>
      <c r="O90" s="1739"/>
      <c r="Z90" s="1739"/>
    </row>
    <row r="91" spans="1:26" x14ac:dyDescent="0.5">
      <c r="A91" s="1739"/>
      <c r="N91" s="1834"/>
      <c r="O91" s="1739"/>
      <c r="Z91" s="1739"/>
    </row>
    <row r="92" spans="1:26" x14ac:dyDescent="0.5">
      <c r="A92" s="1739"/>
      <c r="N92" s="1834"/>
      <c r="O92" s="1739"/>
      <c r="Z92" s="1739"/>
    </row>
    <row r="93" spans="1:26" x14ac:dyDescent="0.5">
      <c r="A93" s="1739"/>
      <c r="N93" s="1834"/>
      <c r="O93" s="1739"/>
      <c r="Z93" s="1739"/>
    </row>
    <row r="94" spans="1:26" x14ac:dyDescent="0.5">
      <c r="A94" s="1739"/>
      <c r="N94" s="1834"/>
      <c r="O94" s="1739"/>
      <c r="Z94" s="1739"/>
    </row>
    <row r="95" spans="1:26" x14ac:dyDescent="0.5">
      <c r="A95" s="1739"/>
      <c r="N95" s="1834"/>
      <c r="O95" s="1739"/>
      <c r="Z95" s="1739"/>
    </row>
    <row r="96" spans="1:26" x14ac:dyDescent="0.5">
      <c r="A96" s="1739"/>
      <c r="N96" s="1834"/>
      <c r="O96" s="1739"/>
      <c r="Z96" s="1739"/>
    </row>
    <row r="97" spans="1:26" x14ac:dyDescent="0.5">
      <c r="A97" s="1739"/>
      <c r="N97" s="1834"/>
      <c r="O97" s="1739"/>
      <c r="Z97" s="1739"/>
    </row>
    <row r="98" spans="1:26" x14ac:dyDescent="0.5">
      <c r="A98" s="1739"/>
      <c r="N98" s="1834"/>
      <c r="O98" s="1739"/>
      <c r="Z98" s="1739"/>
    </row>
    <row r="99" spans="1:26" x14ac:dyDescent="0.5">
      <c r="A99" s="1739"/>
      <c r="N99" s="1834"/>
      <c r="O99" s="1739"/>
      <c r="Z99" s="1739"/>
    </row>
    <row r="100" spans="1:26" x14ac:dyDescent="0.5">
      <c r="A100" s="1739"/>
      <c r="N100" s="1834"/>
      <c r="O100" s="1739"/>
      <c r="Z100" s="1739"/>
    </row>
    <row r="101" spans="1:26" x14ac:dyDescent="0.5">
      <c r="A101" s="1739"/>
      <c r="N101" s="1834"/>
      <c r="O101" s="1739"/>
      <c r="Z101" s="1739"/>
    </row>
    <row r="102" spans="1:26" x14ac:dyDescent="0.5">
      <c r="A102" s="1739"/>
      <c r="N102" s="1834"/>
      <c r="O102" s="1739"/>
      <c r="Z102" s="1739"/>
    </row>
    <row r="103" spans="1:26" x14ac:dyDescent="0.5">
      <c r="A103" s="1739"/>
      <c r="N103" s="1834"/>
      <c r="O103" s="1739"/>
      <c r="Z103" s="1739"/>
    </row>
    <row r="104" spans="1:26" x14ac:dyDescent="0.5">
      <c r="A104" s="1739"/>
      <c r="N104" s="1834"/>
      <c r="O104" s="1739"/>
      <c r="Z104" s="1739"/>
    </row>
    <row r="105" spans="1:26" x14ac:dyDescent="0.5">
      <c r="A105" s="1739"/>
      <c r="N105" s="1834"/>
      <c r="O105" s="1739"/>
      <c r="Z105" s="1739"/>
    </row>
    <row r="106" spans="1:26" x14ac:dyDescent="0.5">
      <c r="A106" s="1739"/>
      <c r="N106" s="1834"/>
      <c r="O106" s="1739"/>
      <c r="Z106" s="1739"/>
    </row>
    <row r="107" spans="1:26" x14ac:dyDescent="0.5">
      <c r="A107" s="1739"/>
      <c r="N107" s="1834"/>
      <c r="O107" s="1739"/>
      <c r="Z107" s="1739"/>
    </row>
    <row r="108" spans="1:26" x14ac:dyDescent="0.5">
      <c r="A108" s="1739"/>
      <c r="N108" s="1834"/>
      <c r="O108" s="1739"/>
      <c r="Z108" s="1739"/>
    </row>
    <row r="109" spans="1:26" x14ac:dyDescent="0.5">
      <c r="A109" s="1739"/>
      <c r="N109" s="1834"/>
      <c r="O109" s="1739"/>
      <c r="Z109" s="1739"/>
    </row>
    <row r="110" spans="1:26" x14ac:dyDescent="0.5">
      <c r="A110" s="1739"/>
      <c r="N110" s="1834"/>
      <c r="O110" s="1739"/>
      <c r="Z110" s="1739"/>
    </row>
    <row r="111" spans="1:26" x14ac:dyDescent="0.5">
      <c r="A111" s="1739"/>
      <c r="N111" s="1834"/>
      <c r="O111" s="1739"/>
      <c r="Z111" s="1739"/>
    </row>
    <row r="112" spans="1:26" x14ac:dyDescent="0.5">
      <c r="A112" s="1739"/>
      <c r="N112" s="1834"/>
      <c r="O112" s="1739"/>
      <c r="Z112" s="1739"/>
    </row>
    <row r="113" spans="1:26" x14ac:dyDescent="0.5">
      <c r="A113" s="1739"/>
      <c r="N113" s="1834"/>
      <c r="O113" s="1739"/>
      <c r="Z113" s="1739"/>
    </row>
    <row r="114" spans="1:26" x14ac:dyDescent="0.5">
      <c r="A114" s="1739"/>
      <c r="N114" s="1834"/>
      <c r="O114" s="1739"/>
      <c r="Z114" s="1739"/>
    </row>
    <row r="115" spans="1:26" x14ac:dyDescent="0.5">
      <c r="A115" s="1739"/>
      <c r="N115" s="1834"/>
      <c r="O115" s="1739"/>
      <c r="Z115" s="1739"/>
    </row>
    <row r="116" spans="1:26" x14ac:dyDescent="0.5">
      <c r="A116" s="1739"/>
      <c r="N116" s="1834"/>
      <c r="O116" s="1739"/>
      <c r="Z116" s="1739"/>
    </row>
    <row r="117" spans="1:26" x14ac:dyDescent="0.5">
      <c r="A117" s="1739"/>
      <c r="N117" s="1834"/>
      <c r="O117" s="1739"/>
      <c r="Z117" s="1739"/>
    </row>
    <row r="118" spans="1:26" x14ac:dyDescent="0.5">
      <c r="A118" s="1739"/>
      <c r="N118" s="1834"/>
      <c r="O118" s="1739"/>
      <c r="Z118" s="1739"/>
    </row>
    <row r="119" spans="1:26" x14ac:dyDescent="0.5">
      <c r="A119" s="1739"/>
      <c r="N119" s="1834"/>
      <c r="O119" s="1739"/>
      <c r="Z119" s="1739"/>
    </row>
    <row r="120" spans="1:26" x14ac:dyDescent="0.5">
      <c r="A120" s="1739"/>
      <c r="N120" s="1834"/>
      <c r="O120" s="1739"/>
      <c r="Z120" s="1739"/>
    </row>
    <row r="121" spans="1:26" x14ac:dyDescent="0.5">
      <c r="A121" s="1739"/>
      <c r="N121" s="1834"/>
      <c r="O121" s="1739"/>
      <c r="Z121" s="1739"/>
    </row>
    <row r="122" spans="1:26" x14ac:dyDescent="0.5">
      <c r="A122" s="1739"/>
      <c r="N122" s="1834"/>
      <c r="O122" s="1739"/>
      <c r="Z122" s="1739"/>
    </row>
    <row r="123" spans="1:26" x14ac:dyDescent="0.5">
      <c r="A123" s="1739"/>
      <c r="N123" s="1834"/>
      <c r="O123" s="1739"/>
      <c r="Z123" s="1739"/>
    </row>
    <row r="124" spans="1:26" x14ac:dyDescent="0.5">
      <c r="A124" s="1739"/>
      <c r="N124" s="1834"/>
      <c r="O124" s="1739"/>
      <c r="Z124" s="1739"/>
    </row>
    <row r="125" spans="1:26" x14ac:dyDescent="0.5">
      <c r="A125" s="1739"/>
      <c r="N125" s="1834"/>
      <c r="O125" s="1739"/>
      <c r="Z125" s="1739"/>
    </row>
    <row r="126" spans="1:26" x14ac:dyDescent="0.5">
      <c r="A126" s="1739"/>
      <c r="N126" s="1834"/>
      <c r="O126" s="1739"/>
      <c r="Z126" s="1739"/>
    </row>
    <row r="127" spans="1:26" x14ac:dyDescent="0.5">
      <c r="A127" s="1739"/>
      <c r="N127" s="1834"/>
      <c r="O127" s="1739"/>
      <c r="Z127" s="1739"/>
    </row>
    <row r="128" spans="1:26" x14ac:dyDescent="0.5">
      <c r="A128" s="1739"/>
      <c r="N128" s="1834"/>
      <c r="O128" s="1739"/>
      <c r="Z128" s="1739"/>
    </row>
    <row r="129" spans="1:26" x14ac:dyDescent="0.5">
      <c r="A129" s="1739"/>
      <c r="N129" s="1834"/>
      <c r="O129" s="1739"/>
      <c r="Z129" s="1739"/>
    </row>
    <row r="130" spans="1:26" x14ac:dyDescent="0.5">
      <c r="A130" s="1739"/>
      <c r="N130" s="1834"/>
      <c r="O130" s="1739"/>
      <c r="Z130" s="1739"/>
    </row>
    <row r="131" spans="1:26" x14ac:dyDescent="0.5">
      <c r="A131" s="1739"/>
      <c r="N131" s="1834"/>
      <c r="O131" s="1739"/>
      <c r="Z131" s="1739"/>
    </row>
    <row r="132" spans="1:26" x14ac:dyDescent="0.5">
      <c r="A132" s="1739"/>
      <c r="N132" s="1834"/>
      <c r="O132" s="1739"/>
      <c r="Z132" s="1739"/>
    </row>
    <row r="133" spans="1:26" x14ac:dyDescent="0.5">
      <c r="A133" s="1739"/>
      <c r="N133" s="1834"/>
      <c r="O133" s="1739"/>
      <c r="Z133" s="1739"/>
    </row>
    <row r="134" spans="1:26" x14ac:dyDescent="0.5">
      <c r="A134" s="1739"/>
      <c r="N134" s="1834"/>
      <c r="O134" s="1739"/>
      <c r="Z134" s="1739"/>
    </row>
    <row r="135" spans="1:26" x14ac:dyDescent="0.5">
      <c r="A135" s="1739"/>
      <c r="N135" s="1834"/>
      <c r="O135" s="1739"/>
      <c r="Z135" s="1739"/>
    </row>
    <row r="136" spans="1:26" x14ac:dyDescent="0.5">
      <c r="A136" s="1739"/>
      <c r="N136" s="1834"/>
      <c r="O136" s="1739"/>
      <c r="Z136" s="1739"/>
    </row>
    <row r="137" spans="1:26" x14ac:dyDescent="0.5">
      <c r="A137" s="1739"/>
      <c r="N137" s="1834"/>
      <c r="O137" s="1739"/>
      <c r="Z137" s="1739"/>
    </row>
    <row r="138" spans="1:26" x14ac:dyDescent="0.5">
      <c r="A138" s="1739"/>
      <c r="N138" s="1834"/>
      <c r="O138" s="1739"/>
      <c r="Z138" s="1739"/>
    </row>
    <row r="139" spans="1:26" x14ac:dyDescent="0.5">
      <c r="A139" s="1739"/>
      <c r="N139" s="1834"/>
      <c r="O139" s="1739"/>
      <c r="Z139" s="1739"/>
    </row>
    <row r="140" spans="1:26" x14ac:dyDescent="0.5">
      <c r="A140" s="1739"/>
      <c r="N140" s="1834"/>
      <c r="O140" s="1739"/>
      <c r="Z140" s="1739"/>
    </row>
    <row r="141" spans="1:26" x14ac:dyDescent="0.5">
      <c r="A141" s="1739"/>
      <c r="N141" s="1834"/>
      <c r="O141" s="1739"/>
      <c r="Z141" s="1739"/>
    </row>
    <row r="142" spans="1:26" x14ac:dyDescent="0.5">
      <c r="A142" s="1739"/>
      <c r="N142" s="1834"/>
      <c r="O142" s="1739"/>
      <c r="Z142" s="1739"/>
    </row>
    <row r="143" spans="1:26" x14ac:dyDescent="0.5">
      <c r="A143" s="1739"/>
      <c r="N143" s="1834"/>
      <c r="O143" s="1739"/>
      <c r="Z143" s="1739"/>
    </row>
    <row r="144" spans="1:26" x14ac:dyDescent="0.5">
      <c r="A144" s="1739"/>
      <c r="N144" s="1834"/>
      <c r="O144" s="1739"/>
      <c r="Z144" s="1739"/>
    </row>
    <row r="145" spans="1:26" x14ac:dyDescent="0.5">
      <c r="A145" s="1739"/>
      <c r="N145" s="1834"/>
      <c r="O145" s="1739"/>
      <c r="Z145" s="1739"/>
    </row>
    <row r="146" spans="1:26" x14ac:dyDescent="0.5">
      <c r="A146" s="1739"/>
      <c r="N146" s="1834"/>
      <c r="O146" s="1739"/>
      <c r="Z146" s="1739"/>
    </row>
    <row r="147" spans="1:26" x14ac:dyDescent="0.5">
      <c r="A147" s="1739"/>
      <c r="N147" s="1834"/>
      <c r="O147" s="1739"/>
      <c r="Z147" s="1739"/>
    </row>
    <row r="148" spans="1:26" x14ac:dyDescent="0.5">
      <c r="A148" s="1739"/>
      <c r="N148" s="1834"/>
      <c r="O148" s="1739"/>
      <c r="Z148" s="1739"/>
    </row>
    <row r="149" spans="1:26" x14ac:dyDescent="0.5">
      <c r="A149" s="1739"/>
      <c r="N149" s="1834"/>
      <c r="O149" s="1739"/>
      <c r="Z149" s="1739"/>
    </row>
    <row r="150" spans="1:26" x14ac:dyDescent="0.5">
      <c r="A150" s="1739"/>
      <c r="N150" s="1834"/>
      <c r="O150" s="1739"/>
      <c r="Z150" s="1739"/>
    </row>
    <row r="151" spans="1:26" x14ac:dyDescent="0.5">
      <c r="A151" s="1739"/>
      <c r="N151" s="1834"/>
      <c r="O151" s="1739"/>
      <c r="Z151" s="1739"/>
    </row>
    <row r="152" spans="1:26" x14ac:dyDescent="0.5">
      <c r="A152" s="1739"/>
      <c r="N152" s="1834"/>
      <c r="O152" s="1739"/>
      <c r="Z152" s="1739"/>
    </row>
    <row r="153" spans="1:26" x14ac:dyDescent="0.5">
      <c r="A153" s="1739"/>
      <c r="N153" s="1834"/>
      <c r="O153" s="1739"/>
      <c r="Z153" s="1739"/>
    </row>
    <row r="154" spans="1:26" x14ac:dyDescent="0.5">
      <c r="A154" s="1739"/>
      <c r="N154" s="1834"/>
      <c r="O154" s="1739"/>
      <c r="Z154" s="1739"/>
    </row>
    <row r="155" spans="1:26" x14ac:dyDescent="0.5">
      <c r="A155" s="1739"/>
      <c r="N155" s="1834"/>
      <c r="O155" s="1739"/>
      <c r="Z155" s="1739"/>
    </row>
    <row r="156" spans="1:26" x14ac:dyDescent="0.5">
      <c r="A156" s="1739"/>
      <c r="N156" s="1834"/>
      <c r="O156" s="1739"/>
      <c r="Z156" s="1739"/>
    </row>
    <row r="157" spans="1:26" x14ac:dyDescent="0.5">
      <c r="A157" s="1739"/>
      <c r="N157" s="1834"/>
      <c r="O157" s="1739"/>
      <c r="Z157" s="1739"/>
    </row>
    <row r="158" spans="1:26" x14ac:dyDescent="0.5">
      <c r="A158" s="1739"/>
      <c r="N158" s="1834"/>
      <c r="O158" s="1739"/>
      <c r="Z158" s="1739"/>
    </row>
    <row r="159" spans="1:26" x14ac:dyDescent="0.5">
      <c r="A159" s="1739"/>
      <c r="N159" s="1834"/>
      <c r="O159" s="1739"/>
      <c r="Z159" s="1739"/>
    </row>
    <row r="160" spans="1:26" x14ac:dyDescent="0.5">
      <c r="A160" s="1739"/>
      <c r="N160" s="1834"/>
      <c r="O160" s="1739"/>
      <c r="Z160" s="1739"/>
    </row>
    <row r="161" spans="1:26" x14ac:dyDescent="0.5">
      <c r="A161" s="1739"/>
      <c r="N161" s="1834"/>
      <c r="O161" s="1739"/>
      <c r="Z161" s="1739"/>
    </row>
    <row r="162" spans="1:26" x14ac:dyDescent="0.5">
      <c r="A162" s="1739"/>
      <c r="N162" s="1834"/>
      <c r="O162" s="1739"/>
      <c r="Z162" s="1739"/>
    </row>
    <row r="163" spans="1:26" x14ac:dyDescent="0.5">
      <c r="A163" s="1739"/>
      <c r="N163" s="1834"/>
      <c r="O163" s="1739"/>
      <c r="Z163" s="1739"/>
    </row>
    <row r="164" spans="1:26" x14ac:dyDescent="0.5">
      <c r="A164" s="1739"/>
      <c r="N164" s="1834"/>
      <c r="O164" s="1739"/>
      <c r="Z164" s="1739"/>
    </row>
    <row r="165" spans="1:26" x14ac:dyDescent="0.5">
      <c r="A165" s="1739"/>
      <c r="N165" s="1834"/>
      <c r="O165" s="1739"/>
      <c r="Z165" s="1739"/>
    </row>
    <row r="166" spans="1:26" x14ac:dyDescent="0.5">
      <c r="A166" s="1739"/>
      <c r="N166" s="1834"/>
      <c r="O166" s="1739"/>
      <c r="Z166" s="1739"/>
    </row>
    <row r="167" spans="1:26" x14ac:dyDescent="0.5">
      <c r="A167" s="1739"/>
      <c r="N167" s="1834"/>
      <c r="O167" s="1739"/>
      <c r="Z167" s="1739"/>
    </row>
    <row r="168" spans="1:26" x14ac:dyDescent="0.5">
      <c r="A168" s="1739"/>
      <c r="N168" s="1834"/>
      <c r="O168" s="1739"/>
      <c r="Z168" s="1739"/>
    </row>
    <row r="169" spans="1:26" x14ac:dyDescent="0.5">
      <c r="A169" s="1739"/>
      <c r="N169" s="1834"/>
      <c r="O169" s="1739"/>
      <c r="Z169" s="1739"/>
    </row>
    <row r="170" spans="1:26" x14ac:dyDescent="0.5">
      <c r="A170" s="1739"/>
      <c r="N170" s="1834"/>
      <c r="O170" s="1739"/>
      <c r="Z170" s="1739"/>
    </row>
    <row r="171" spans="1:26" x14ac:dyDescent="0.5">
      <c r="A171" s="1739"/>
      <c r="N171" s="1834"/>
      <c r="O171" s="1739"/>
      <c r="Z171" s="1739"/>
    </row>
    <row r="172" spans="1:26" x14ac:dyDescent="0.5">
      <c r="A172" s="1739"/>
      <c r="N172" s="1834"/>
      <c r="O172" s="1739"/>
      <c r="Z172" s="1739"/>
    </row>
    <row r="173" spans="1:26" x14ac:dyDescent="0.5">
      <c r="A173" s="1739"/>
      <c r="N173" s="1834"/>
      <c r="O173" s="1739"/>
      <c r="Z173" s="1739"/>
    </row>
    <row r="174" spans="1:26" x14ac:dyDescent="0.5">
      <c r="A174" s="1739"/>
      <c r="N174" s="1834"/>
      <c r="O174" s="1739"/>
      <c r="Z174" s="1739"/>
    </row>
    <row r="175" spans="1:26" x14ac:dyDescent="0.5">
      <c r="A175" s="1739"/>
      <c r="N175" s="1834"/>
      <c r="O175" s="1739"/>
      <c r="Z175" s="1739"/>
    </row>
    <row r="176" spans="1:26" x14ac:dyDescent="0.5">
      <c r="A176" s="1739"/>
      <c r="N176" s="1834"/>
      <c r="O176" s="1739"/>
      <c r="Z176" s="1739"/>
    </row>
    <row r="177" spans="1:26" x14ac:dyDescent="0.5">
      <c r="A177" s="1739"/>
      <c r="N177" s="1834"/>
      <c r="O177" s="1739"/>
      <c r="Z177" s="1739"/>
    </row>
    <row r="178" spans="1:26" x14ac:dyDescent="0.5">
      <c r="A178" s="1739"/>
      <c r="N178" s="1834"/>
      <c r="O178" s="1739"/>
      <c r="Z178" s="1739"/>
    </row>
    <row r="179" spans="1:26" x14ac:dyDescent="0.5">
      <c r="A179" s="1739"/>
      <c r="N179" s="1834"/>
      <c r="O179" s="1739"/>
      <c r="Z179" s="1739"/>
    </row>
    <row r="180" spans="1:26" x14ac:dyDescent="0.5">
      <c r="A180" s="1739"/>
      <c r="N180" s="1834"/>
      <c r="O180" s="1739"/>
      <c r="Z180" s="1739"/>
    </row>
    <row r="181" spans="1:26" x14ac:dyDescent="0.5">
      <c r="A181" s="1739"/>
      <c r="N181" s="1834"/>
      <c r="O181" s="1739"/>
      <c r="Z181" s="1739"/>
    </row>
    <row r="182" spans="1:26" x14ac:dyDescent="0.5">
      <c r="A182" s="1739"/>
      <c r="N182" s="1834"/>
      <c r="O182" s="1739"/>
      <c r="Z182" s="1739"/>
    </row>
    <row r="183" spans="1:26" x14ac:dyDescent="0.5">
      <c r="A183" s="1739"/>
      <c r="N183" s="1834"/>
      <c r="O183" s="1739"/>
      <c r="Z183" s="1739"/>
    </row>
    <row r="184" spans="1:26" x14ac:dyDescent="0.5">
      <c r="A184" s="1739"/>
      <c r="N184" s="1834"/>
      <c r="O184" s="1739"/>
      <c r="Z184" s="1739"/>
    </row>
    <row r="185" spans="1:26" x14ac:dyDescent="0.5">
      <c r="A185" s="1739"/>
      <c r="N185" s="1834"/>
      <c r="O185" s="1739"/>
      <c r="Z185" s="1739"/>
    </row>
    <row r="186" spans="1:26" x14ac:dyDescent="0.5">
      <c r="A186" s="1739"/>
      <c r="N186" s="1834"/>
      <c r="O186" s="1739"/>
      <c r="Z186" s="1739"/>
    </row>
    <row r="187" spans="1:26" x14ac:dyDescent="0.5">
      <c r="A187" s="1739"/>
      <c r="N187" s="1834"/>
      <c r="O187" s="1739"/>
      <c r="Z187" s="1739"/>
    </row>
    <row r="188" spans="1:26" x14ac:dyDescent="0.5">
      <c r="A188" s="1739"/>
      <c r="N188" s="1834"/>
      <c r="O188" s="1739"/>
      <c r="Z188" s="1739"/>
    </row>
    <row r="189" spans="1:26" x14ac:dyDescent="0.5">
      <c r="A189" s="1739"/>
      <c r="N189" s="1834"/>
      <c r="O189" s="1739"/>
      <c r="Z189" s="1739"/>
    </row>
    <row r="190" spans="1:26" x14ac:dyDescent="0.5">
      <c r="A190" s="1739"/>
      <c r="N190" s="1834"/>
      <c r="O190" s="1739"/>
      <c r="Z190" s="1739"/>
    </row>
    <row r="191" spans="1:26" x14ac:dyDescent="0.5">
      <c r="A191" s="1739"/>
      <c r="N191" s="1834"/>
      <c r="O191" s="1739"/>
      <c r="Z191" s="1739"/>
    </row>
    <row r="192" spans="1:26" x14ac:dyDescent="0.5">
      <c r="A192" s="1739"/>
      <c r="N192" s="1834"/>
      <c r="O192" s="1739"/>
      <c r="Z192" s="1739"/>
    </row>
    <row r="193" spans="1:26" x14ac:dyDescent="0.5">
      <c r="A193" s="1739"/>
      <c r="N193" s="1834"/>
      <c r="O193" s="1739"/>
      <c r="Z193" s="1739"/>
    </row>
    <row r="194" spans="1:26" x14ac:dyDescent="0.5">
      <c r="A194" s="1739"/>
      <c r="N194" s="1834"/>
      <c r="O194" s="1739"/>
      <c r="Z194" s="1739"/>
    </row>
    <row r="195" spans="1:26" x14ac:dyDescent="0.5">
      <c r="A195" s="1739"/>
      <c r="N195" s="1834"/>
      <c r="O195" s="1739"/>
      <c r="Z195" s="1739"/>
    </row>
    <row r="196" spans="1:26" x14ac:dyDescent="0.5">
      <c r="A196" s="1739"/>
      <c r="N196" s="1834"/>
      <c r="O196" s="1739"/>
      <c r="Z196" s="1739"/>
    </row>
    <row r="197" spans="1:26" x14ac:dyDescent="0.5">
      <c r="A197" s="1739"/>
      <c r="N197" s="1834"/>
      <c r="O197" s="1739"/>
      <c r="Z197" s="1739"/>
    </row>
    <row r="198" spans="1:26" x14ac:dyDescent="0.5">
      <c r="A198" s="1739"/>
      <c r="N198" s="1834"/>
      <c r="O198" s="1739"/>
      <c r="Z198" s="1739"/>
    </row>
    <row r="199" spans="1:26" x14ac:dyDescent="0.5">
      <c r="A199" s="1739"/>
      <c r="N199" s="1834"/>
      <c r="O199" s="1739"/>
      <c r="Z199" s="1739"/>
    </row>
    <row r="200" spans="1:26" x14ac:dyDescent="0.5">
      <c r="A200" s="1739"/>
      <c r="N200" s="1834"/>
      <c r="O200" s="1739"/>
      <c r="Z200" s="1739"/>
    </row>
    <row r="201" spans="1:26" x14ac:dyDescent="0.5">
      <c r="A201" s="1739"/>
      <c r="N201" s="1834"/>
      <c r="O201" s="1739"/>
      <c r="Z201" s="1739"/>
    </row>
    <row r="202" spans="1:26" x14ac:dyDescent="0.5">
      <c r="A202" s="1739"/>
      <c r="N202" s="1834"/>
      <c r="O202" s="1739"/>
      <c r="Z202" s="1739"/>
    </row>
    <row r="203" spans="1:26" x14ac:dyDescent="0.5">
      <c r="A203" s="1739"/>
      <c r="N203" s="1834"/>
      <c r="O203" s="1739"/>
      <c r="Z203" s="1739"/>
    </row>
    <row r="204" spans="1:26" x14ac:dyDescent="0.5">
      <c r="A204" s="1739"/>
      <c r="N204" s="1834"/>
      <c r="O204" s="1739"/>
      <c r="Z204" s="1739"/>
    </row>
    <row r="205" spans="1:26" x14ac:dyDescent="0.5">
      <c r="A205" s="1739"/>
      <c r="N205" s="1834"/>
      <c r="O205" s="1739"/>
      <c r="Z205" s="1739"/>
    </row>
    <row r="206" spans="1:26" x14ac:dyDescent="0.5">
      <c r="A206" s="1739"/>
      <c r="N206" s="1834"/>
      <c r="O206" s="1739"/>
      <c r="Z206" s="1739"/>
    </row>
    <row r="207" spans="1:26" x14ac:dyDescent="0.5">
      <c r="A207" s="1739"/>
      <c r="N207" s="1834"/>
      <c r="O207" s="1739"/>
      <c r="Z207" s="1739"/>
    </row>
    <row r="208" spans="1:26" x14ac:dyDescent="0.5">
      <c r="A208" s="1739"/>
      <c r="N208" s="1834"/>
      <c r="O208" s="1739"/>
      <c r="Z208" s="1739"/>
    </row>
    <row r="209" spans="1:26" x14ac:dyDescent="0.5">
      <c r="A209" s="1739"/>
      <c r="N209" s="1834"/>
      <c r="O209" s="1739"/>
      <c r="Z209" s="1739"/>
    </row>
    <row r="210" spans="1:26" x14ac:dyDescent="0.5">
      <c r="A210" s="1739"/>
      <c r="N210" s="1834"/>
      <c r="O210" s="1739"/>
      <c r="Z210" s="1739"/>
    </row>
    <row r="211" spans="1:26" x14ac:dyDescent="0.5">
      <c r="A211" s="1739"/>
      <c r="N211" s="1834"/>
      <c r="O211" s="1739"/>
      <c r="Z211" s="1739"/>
    </row>
    <row r="212" spans="1:26" x14ac:dyDescent="0.5">
      <c r="A212" s="1739"/>
      <c r="N212" s="1834"/>
      <c r="O212" s="1739"/>
      <c r="Z212" s="1739"/>
    </row>
    <row r="213" spans="1:26" x14ac:dyDescent="0.5">
      <c r="A213" s="1739"/>
      <c r="N213" s="1834"/>
      <c r="O213" s="1739"/>
      <c r="Z213" s="1739"/>
    </row>
    <row r="214" spans="1:26" x14ac:dyDescent="0.5">
      <c r="A214" s="1739"/>
      <c r="N214" s="1834"/>
      <c r="O214" s="1739"/>
      <c r="Z214" s="1739"/>
    </row>
    <row r="215" spans="1:26" x14ac:dyDescent="0.5">
      <c r="A215" s="1739"/>
      <c r="N215" s="1834"/>
      <c r="O215" s="1739"/>
      <c r="Z215" s="1739"/>
    </row>
    <row r="216" spans="1:26" x14ac:dyDescent="0.5">
      <c r="A216" s="1739"/>
      <c r="N216" s="1834"/>
      <c r="O216" s="1739"/>
      <c r="Z216" s="1739"/>
    </row>
    <row r="217" spans="1:26" x14ac:dyDescent="0.5">
      <c r="A217" s="1739"/>
      <c r="N217" s="1834"/>
      <c r="O217" s="1739"/>
      <c r="Z217" s="1739"/>
    </row>
    <row r="218" spans="1:26" x14ac:dyDescent="0.5">
      <c r="A218" s="1739"/>
      <c r="N218" s="1834"/>
      <c r="O218" s="1739"/>
      <c r="Z218" s="1739"/>
    </row>
    <row r="219" spans="1:26" x14ac:dyDescent="0.5">
      <c r="A219" s="1739"/>
      <c r="N219" s="1834"/>
      <c r="O219" s="1739"/>
      <c r="Z219" s="1739"/>
    </row>
    <row r="220" spans="1:26" x14ac:dyDescent="0.5">
      <c r="A220" s="1739"/>
      <c r="N220" s="1834"/>
      <c r="O220" s="1739"/>
      <c r="Z220" s="1739"/>
    </row>
    <row r="221" spans="1:26" x14ac:dyDescent="0.5">
      <c r="A221" s="1739"/>
      <c r="N221" s="1834"/>
      <c r="O221" s="1739"/>
      <c r="Z221" s="1739"/>
    </row>
    <row r="222" spans="1:26" x14ac:dyDescent="0.5">
      <c r="A222" s="1739"/>
      <c r="N222" s="1834"/>
      <c r="O222" s="1739"/>
      <c r="Z222" s="1739"/>
    </row>
    <row r="223" spans="1:26" x14ac:dyDescent="0.5">
      <c r="A223" s="1739"/>
      <c r="N223" s="1834"/>
      <c r="O223" s="1739"/>
      <c r="Z223" s="1739"/>
    </row>
    <row r="224" spans="1:26" x14ac:dyDescent="0.5">
      <c r="A224" s="1739"/>
      <c r="N224" s="1834"/>
      <c r="O224" s="1739"/>
      <c r="Z224" s="1739"/>
    </row>
    <row r="225" spans="1:26" x14ac:dyDescent="0.5">
      <c r="A225" s="1739"/>
      <c r="N225" s="1834"/>
      <c r="O225" s="1739"/>
      <c r="Z225" s="1739"/>
    </row>
    <row r="226" spans="1:26" x14ac:dyDescent="0.5">
      <c r="A226" s="1739"/>
      <c r="N226" s="1834"/>
      <c r="O226" s="1739"/>
      <c r="Z226" s="1739"/>
    </row>
    <row r="227" spans="1:26" x14ac:dyDescent="0.5">
      <c r="A227" s="1739"/>
      <c r="N227" s="1834"/>
      <c r="O227" s="1739"/>
      <c r="Z227" s="1739"/>
    </row>
    <row r="228" spans="1:26" x14ac:dyDescent="0.5">
      <c r="A228" s="1739"/>
      <c r="N228" s="1834"/>
      <c r="O228" s="1739"/>
      <c r="Z228" s="1739"/>
    </row>
    <row r="229" spans="1:26" x14ac:dyDescent="0.5">
      <c r="A229" s="1739"/>
      <c r="N229" s="1834"/>
      <c r="O229" s="1739"/>
      <c r="Z229" s="1739"/>
    </row>
    <row r="230" spans="1:26" x14ac:dyDescent="0.5">
      <c r="A230" s="1739"/>
      <c r="N230" s="1834"/>
      <c r="O230" s="1739"/>
      <c r="Z230" s="1739"/>
    </row>
    <row r="231" spans="1:26" x14ac:dyDescent="0.5">
      <c r="A231" s="1739"/>
      <c r="N231" s="1834"/>
      <c r="O231" s="1739"/>
      <c r="Z231" s="1739"/>
    </row>
    <row r="232" spans="1:26" x14ac:dyDescent="0.5">
      <c r="A232" s="1739"/>
      <c r="N232" s="1834"/>
      <c r="O232" s="1739"/>
      <c r="Z232" s="1739"/>
    </row>
    <row r="233" spans="1:26" x14ac:dyDescent="0.5">
      <c r="A233" s="1739"/>
      <c r="N233" s="1834"/>
      <c r="O233" s="1739"/>
      <c r="Z233" s="1739"/>
    </row>
    <row r="234" spans="1:26" x14ac:dyDescent="0.5">
      <c r="A234" s="1739"/>
      <c r="N234" s="1834"/>
      <c r="O234" s="1739"/>
      <c r="Z234" s="1739"/>
    </row>
    <row r="235" spans="1:26" x14ac:dyDescent="0.5">
      <c r="A235" s="1739"/>
      <c r="N235" s="1834"/>
      <c r="O235" s="1739"/>
      <c r="Z235" s="1739"/>
    </row>
    <row r="236" spans="1:26" x14ac:dyDescent="0.5">
      <c r="A236" s="1739"/>
      <c r="N236" s="1834"/>
      <c r="O236" s="1739"/>
      <c r="Z236" s="1739"/>
    </row>
    <row r="237" spans="1:26" x14ac:dyDescent="0.5">
      <c r="A237" s="1739"/>
      <c r="N237" s="1834"/>
      <c r="O237" s="1739"/>
      <c r="Z237" s="1739"/>
    </row>
    <row r="238" spans="1:26" x14ac:dyDescent="0.5">
      <c r="A238" s="1739"/>
      <c r="N238" s="1834"/>
      <c r="O238" s="1739"/>
      <c r="Z238" s="1739"/>
    </row>
    <row r="239" spans="1:26" x14ac:dyDescent="0.5">
      <c r="A239" s="1739"/>
      <c r="N239" s="1834"/>
      <c r="O239" s="1739"/>
      <c r="Z239" s="1739"/>
    </row>
    <row r="240" spans="1:26" x14ac:dyDescent="0.5">
      <c r="A240" s="1739"/>
      <c r="N240" s="1834"/>
      <c r="O240" s="1739"/>
      <c r="Z240" s="1739"/>
    </row>
    <row r="241" spans="1:26" x14ac:dyDescent="0.5">
      <c r="A241" s="1739"/>
      <c r="N241" s="1834"/>
      <c r="O241" s="1739"/>
      <c r="Z241" s="1739"/>
    </row>
    <row r="242" spans="1:26" x14ac:dyDescent="0.5">
      <c r="A242" s="1739"/>
      <c r="N242" s="1834"/>
      <c r="O242" s="1739"/>
      <c r="Z242" s="1739"/>
    </row>
    <row r="243" spans="1:26" x14ac:dyDescent="0.5">
      <c r="A243" s="1739"/>
      <c r="N243" s="1834"/>
      <c r="O243" s="1739"/>
      <c r="Z243" s="1739"/>
    </row>
    <row r="244" spans="1:26" x14ac:dyDescent="0.5">
      <c r="A244" s="1739"/>
      <c r="N244" s="1834"/>
      <c r="O244" s="1739"/>
      <c r="Z244" s="1739"/>
    </row>
    <row r="245" spans="1:26" x14ac:dyDescent="0.5">
      <c r="A245" s="1739"/>
      <c r="N245" s="1834"/>
      <c r="O245" s="1739"/>
      <c r="Z245" s="1739"/>
    </row>
    <row r="246" spans="1:26" x14ac:dyDescent="0.5">
      <c r="A246" s="1739"/>
      <c r="N246" s="1834"/>
      <c r="O246" s="1739"/>
      <c r="Z246" s="1739"/>
    </row>
    <row r="247" spans="1:26" x14ac:dyDescent="0.5">
      <c r="A247" s="1739"/>
      <c r="N247" s="1834"/>
      <c r="O247" s="1739"/>
      <c r="Z247" s="1739"/>
    </row>
    <row r="248" spans="1:26" x14ac:dyDescent="0.5">
      <c r="A248" s="1739"/>
      <c r="N248" s="1834"/>
      <c r="O248" s="1739"/>
      <c r="Z248" s="1739"/>
    </row>
    <row r="249" spans="1:26" x14ac:dyDescent="0.5">
      <c r="A249" s="1739"/>
      <c r="N249" s="1834"/>
      <c r="O249" s="1739"/>
      <c r="Z249" s="1739"/>
    </row>
    <row r="250" spans="1:26" x14ac:dyDescent="0.5">
      <c r="A250" s="1739"/>
      <c r="N250" s="1834"/>
      <c r="O250" s="1739"/>
      <c r="Z250" s="1739"/>
    </row>
    <row r="251" spans="1:26" x14ac:dyDescent="0.5">
      <c r="A251" s="1739"/>
      <c r="N251" s="1834"/>
      <c r="O251" s="1739"/>
      <c r="Z251" s="1739"/>
    </row>
    <row r="252" spans="1:26" x14ac:dyDescent="0.5">
      <c r="A252" s="1739"/>
      <c r="N252" s="1834"/>
      <c r="O252" s="1739"/>
      <c r="Z252" s="1739"/>
    </row>
    <row r="253" spans="1:26" x14ac:dyDescent="0.5">
      <c r="A253" s="1739"/>
      <c r="N253" s="1834"/>
      <c r="O253" s="1739"/>
      <c r="Z253" s="1739"/>
    </row>
    <row r="254" spans="1:26" x14ac:dyDescent="0.5">
      <c r="A254" s="1739"/>
      <c r="N254" s="1834"/>
      <c r="O254" s="1739"/>
      <c r="Z254" s="1739"/>
    </row>
    <row r="255" spans="1:26" x14ac:dyDescent="0.5">
      <c r="A255" s="1739"/>
      <c r="N255" s="1834"/>
      <c r="O255" s="1739"/>
      <c r="Z255" s="1739"/>
    </row>
    <row r="256" spans="1:26" x14ac:dyDescent="0.5">
      <c r="A256" s="1739"/>
      <c r="N256" s="1834"/>
      <c r="O256" s="1739"/>
      <c r="Z256" s="1739"/>
    </row>
    <row r="257" spans="1:26" x14ac:dyDescent="0.5">
      <c r="A257" s="1739"/>
      <c r="N257" s="1834"/>
      <c r="O257" s="1739"/>
      <c r="Z257" s="1739"/>
    </row>
    <row r="258" spans="1:26" x14ac:dyDescent="0.5">
      <c r="A258" s="1739"/>
      <c r="N258" s="1834"/>
      <c r="O258" s="1739"/>
      <c r="Z258" s="1739"/>
    </row>
    <row r="259" spans="1:26" x14ac:dyDescent="0.5">
      <c r="A259" s="1739"/>
      <c r="N259" s="1834"/>
      <c r="O259" s="1739"/>
      <c r="Z259" s="1739"/>
    </row>
    <row r="260" spans="1:26" x14ac:dyDescent="0.5">
      <c r="A260" s="1739"/>
      <c r="N260" s="1834"/>
      <c r="O260" s="1739"/>
      <c r="Z260" s="1739"/>
    </row>
    <row r="261" spans="1:26" x14ac:dyDescent="0.5">
      <c r="A261" s="1739"/>
      <c r="N261" s="1834"/>
      <c r="O261" s="1739"/>
      <c r="Z261" s="1739"/>
    </row>
    <row r="262" spans="1:26" x14ac:dyDescent="0.5">
      <c r="A262" s="1739"/>
      <c r="N262" s="1834"/>
      <c r="O262" s="1739"/>
      <c r="Z262" s="1739"/>
    </row>
    <row r="263" spans="1:26" x14ac:dyDescent="0.5">
      <c r="A263" s="1739"/>
      <c r="N263" s="1834"/>
      <c r="O263" s="1739"/>
      <c r="Z263" s="1739"/>
    </row>
    <row r="264" spans="1:26" x14ac:dyDescent="0.5">
      <c r="A264" s="1739"/>
      <c r="N264" s="1834"/>
      <c r="O264" s="1739"/>
      <c r="Z264" s="1739"/>
    </row>
    <row r="265" spans="1:26" x14ac:dyDescent="0.5">
      <c r="A265" s="1739"/>
      <c r="N265" s="1834"/>
      <c r="O265" s="1739"/>
      <c r="Z265" s="1739"/>
    </row>
    <row r="266" spans="1:26" x14ac:dyDescent="0.5">
      <c r="A266" s="1739"/>
      <c r="N266" s="1834"/>
      <c r="O266" s="1739"/>
      <c r="Z266" s="1739"/>
    </row>
    <row r="267" spans="1:26" x14ac:dyDescent="0.5">
      <c r="A267" s="1739"/>
      <c r="N267" s="1834"/>
      <c r="O267" s="1739"/>
      <c r="Z267" s="1739"/>
    </row>
    <row r="268" spans="1:26" x14ac:dyDescent="0.5">
      <c r="A268" s="1739"/>
      <c r="N268" s="1834"/>
      <c r="O268" s="1739"/>
      <c r="Z268" s="1739"/>
    </row>
    <row r="269" spans="1:26" x14ac:dyDescent="0.5">
      <c r="A269" s="1739"/>
      <c r="N269" s="1834"/>
      <c r="O269" s="1739"/>
      <c r="Z269" s="1739"/>
    </row>
    <row r="270" spans="1:26" x14ac:dyDescent="0.5">
      <c r="A270" s="1739"/>
      <c r="N270" s="1834"/>
      <c r="O270" s="1739"/>
      <c r="Z270" s="1739"/>
    </row>
    <row r="271" spans="1:26" x14ac:dyDescent="0.5">
      <c r="A271" s="1739"/>
      <c r="N271" s="1834"/>
      <c r="O271" s="1739"/>
      <c r="Z271" s="1739"/>
    </row>
    <row r="272" spans="1:26" x14ac:dyDescent="0.5">
      <c r="A272" s="1739"/>
      <c r="N272" s="1834"/>
      <c r="O272" s="1739"/>
      <c r="Z272" s="1739"/>
    </row>
    <row r="273" spans="1:26" x14ac:dyDescent="0.5">
      <c r="A273" s="1739"/>
      <c r="N273" s="1834"/>
      <c r="O273" s="1739"/>
      <c r="Z273" s="1739"/>
    </row>
    <row r="274" spans="1:26" x14ac:dyDescent="0.5">
      <c r="A274" s="1739"/>
      <c r="N274" s="1834"/>
      <c r="O274" s="1739"/>
      <c r="Z274" s="1739"/>
    </row>
    <row r="275" spans="1:26" x14ac:dyDescent="0.5">
      <c r="A275" s="1739"/>
      <c r="N275" s="1834"/>
      <c r="O275" s="1739"/>
      <c r="Z275" s="1739"/>
    </row>
    <row r="276" spans="1:26" x14ac:dyDescent="0.5">
      <c r="A276" s="1739"/>
      <c r="N276" s="1834"/>
      <c r="O276" s="1739"/>
      <c r="Z276" s="1739"/>
    </row>
    <row r="277" spans="1:26" x14ac:dyDescent="0.5">
      <c r="A277" s="1739"/>
      <c r="N277" s="1834"/>
      <c r="O277" s="1739"/>
      <c r="Z277" s="1739"/>
    </row>
    <row r="278" spans="1:26" x14ac:dyDescent="0.5">
      <c r="A278" s="1739"/>
      <c r="N278" s="1834"/>
      <c r="O278" s="1739"/>
      <c r="Z278" s="1739"/>
    </row>
    <row r="279" spans="1:26" x14ac:dyDescent="0.5">
      <c r="A279" s="1739"/>
      <c r="N279" s="1834"/>
      <c r="O279" s="1739"/>
      <c r="Z279" s="1739"/>
    </row>
    <row r="280" spans="1:26" x14ac:dyDescent="0.5">
      <c r="A280" s="1739"/>
      <c r="N280" s="1834"/>
      <c r="O280" s="1739"/>
      <c r="Z280" s="1739"/>
    </row>
    <row r="281" spans="1:26" x14ac:dyDescent="0.5">
      <c r="A281" s="1739"/>
      <c r="N281" s="1834"/>
      <c r="O281" s="1739"/>
      <c r="Z281" s="1739"/>
    </row>
    <row r="282" spans="1:26" x14ac:dyDescent="0.5">
      <c r="A282" s="1739"/>
      <c r="N282" s="1834"/>
      <c r="O282" s="1739"/>
      <c r="Z282" s="1739"/>
    </row>
    <row r="283" spans="1:26" x14ac:dyDescent="0.5">
      <c r="A283" s="1739"/>
      <c r="N283" s="1834"/>
      <c r="O283" s="1739"/>
      <c r="Z283" s="1739"/>
    </row>
    <row r="284" spans="1:26" x14ac:dyDescent="0.5">
      <c r="A284" s="1739"/>
      <c r="N284" s="1834"/>
      <c r="O284" s="1739"/>
      <c r="Z284" s="1739"/>
    </row>
    <row r="285" spans="1:26" x14ac:dyDescent="0.5">
      <c r="A285" s="1739"/>
      <c r="N285" s="1834"/>
      <c r="O285" s="1739"/>
      <c r="Z285" s="1739"/>
    </row>
    <row r="286" spans="1:26" x14ac:dyDescent="0.5">
      <c r="A286" s="1739"/>
      <c r="N286" s="1834"/>
      <c r="O286" s="1739"/>
      <c r="Z286" s="1739"/>
    </row>
    <row r="287" spans="1:26" x14ac:dyDescent="0.5">
      <c r="A287" s="1739"/>
      <c r="N287" s="1834"/>
      <c r="O287" s="1739"/>
      <c r="Z287" s="1739"/>
    </row>
    <row r="288" spans="1:26" x14ac:dyDescent="0.5">
      <c r="A288" s="1739"/>
      <c r="N288" s="1834"/>
      <c r="O288" s="1739"/>
      <c r="Z288" s="1739"/>
    </row>
    <row r="289" spans="1:26" x14ac:dyDescent="0.5">
      <c r="A289" s="1739"/>
      <c r="N289" s="1834"/>
      <c r="O289" s="1739"/>
      <c r="Z289" s="1739"/>
    </row>
    <row r="290" spans="1:26" x14ac:dyDescent="0.5">
      <c r="A290" s="1739"/>
      <c r="N290" s="1834"/>
      <c r="O290" s="1739"/>
      <c r="Z290" s="1739"/>
    </row>
    <row r="291" spans="1:26" x14ac:dyDescent="0.5">
      <c r="A291" s="1739"/>
      <c r="N291" s="1834"/>
      <c r="O291" s="1739"/>
      <c r="Z291" s="1739"/>
    </row>
    <row r="292" spans="1:26" x14ac:dyDescent="0.5">
      <c r="A292" s="1739"/>
      <c r="N292" s="1834"/>
      <c r="O292" s="1739"/>
      <c r="Z292" s="1739"/>
    </row>
    <row r="293" spans="1:26" x14ac:dyDescent="0.5">
      <c r="A293" s="1739"/>
      <c r="N293" s="1834"/>
      <c r="O293" s="1739"/>
      <c r="Z293" s="1739"/>
    </row>
    <row r="294" spans="1:26" x14ac:dyDescent="0.5">
      <c r="A294" s="1739"/>
      <c r="N294" s="1834"/>
      <c r="O294" s="1739"/>
      <c r="Z294" s="1739"/>
    </row>
    <row r="295" spans="1:26" x14ac:dyDescent="0.5">
      <c r="A295" s="1739"/>
      <c r="N295" s="1834"/>
      <c r="O295" s="1739"/>
      <c r="Z295" s="1739"/>
    </row>
    <row r="296" spans="1:26" x14ac:dyDescent="0.5">
      <c r="A296" s="1739"/>
      <c r="N296" s="1834"/>
      <c r="O296" s="1739"/>
      <c r="Z296" s="1739"/>
    </row>
    <row r="297" spans="1:26" x14ac:dyDescent="0.5">
      <c r="A297" s="1739"/>
      <c r="N297" s="1834"/>
      <c r="O297" s="1739"/>
      <c r="Z297" s="1739"/>
    </row>
    <row r="298" spans="1:26" x14ac:dyDescent="0.5">
      <c r="A298" s="1739"/>
      <c r="N298" s="1834"/>
      <c r="O298" s="1739"/>
      <c r="Z298" s="1739"/>
    </row>
    <row r="299" spans="1:26" x14ac:dyDescent="0.5">
      <c r="A299" s="1739"/>
      <c r="N299" s="1834"/>
      <c r="O299" s="1739"/>
      <c r="Z299" s="1739"/>
    </row>
    <row r="300" spans="1:26" x14ac:dyDescent="0.5">
      <c r="A300" s="1739"/>
      <c r="N300" s="1834"/>
      <c r="O300" s="1739"/>
      <c r="Z300" s="1739"/>
    </row>
    <row r="301" spans="1:26" x14ac:dyDescent="0.5">
      <c r="A301" s="1739"/>
      <c r="N301" s="1834"/>
      <c r="O301" s="1739"/>
      <c r="Z301" s="1739"/>
    </row>
    <row r="302" spans="1:26" x14ac:dyDescent="0.5">
      <c r="A302" s="1739"/>
      <c r="N302" s="1834"/>
      <c r="O302" s="1739"/>
      <c r="Z302" s="1739"/>
    </row>
    <row r="303" spans="1:26" x14ac:dyDescent="0.5">
      <c r="A303" s="1739"/>
      <c r="N303" s="1834"/>
      <c r="O303" s="1739"/>
      <c r="Z303" s="1739"/>
    </row>
    <row r="304" spans="1:26" x14ac:dyDescent="0.5">
      <c r="A304" s="1739"/>
      <c r="N304" s="1834"/>
      <c r="O304" s="1739"/>
      <c r="Z304" s="1739"/>
    </row>
    <row r="305" spans="1:26" x14ac:dyDescent="0.5">
      <c r="A305" s="1739"/>
      <c r="N305" s="1834"/>
      <c r="O305" s="1739"/>
      <c r="Z305" s="1739"/>
    </row>
    <row r="306" spans="1:26" x14ac:dyDescent="0.5">
      <c r="A306" s="1739"/>
      <c r="N306" s="1834"/>
      <c r="O306" s="1739"/>
      <c r="Z306" s="1739"/>
    </row>
    <row r="307" spans="1:26" x14ac:dyDescent="0.5">
      <c r="A307" s="1739"/>
      <c r="N307" s="1834"/>
      <c r="O307" s="1739"/>
      <c r="Z307" s="1739"/>
    </row>
    <row r="308" spans="1:26" x14ac:dyDescent="0.5">
      <c r="A308" s="1739"/>
      <c r="N308" s="1834"/>
      <c r="O308" s="1739"/>
      <c r="Z308" s="1739"/>
    </row>
    <row r="309" spans="1:26" x14ac:dyDescent="0.5">
      <c r="A309" s="1739"/>
      <c r="N309" s="1834"/>
      <c r="O309" s="1739"/>
      <c r="Z309" s="1739"/>
    </row>
    <row r="310" spans="1:26" x14ac:dyDescent="0.5">
      <c r="A310" s="1739"/>
      <c r="N310" s="1834"/>
      <c r="O310" s="1739"/>
      <c r="Z310" s="1739"/>
    </row>
    <row r="311" spans="1:26" x14ac:dyDescent="0.5">
      <c r="A311" s="1739"/>
      <c r="N311" s="1834"/>
      <c r="O311" s="1739"/>
      <c r="Z311" s="1739"/>
    </row>
    <row r="312" spans="1:26" x14ac:dyDescent="0.5">
      <c r="A312" s="1739"/>
      <c r="N312" s="1834"/>
      <c r="O312" s="1739"/>
      <c r="Z312" s="1739"/>
    </row>
    <row r="313" spans="1:26" x14ac:dyDescent="0.5">
      <c r="A313" s="1739"/>
      <c r="N313" s="1834"/>
      <c r="O313" s="1739"/>
      <c r="Z313" s="1739"/>
    </row>
    <row r="314" spans="1:26" x14ac:dyDescent="0.5">
      <c r="A314" s="1739"/>
      <c r="N314" s="1834"/>
      <c r="O314" s="1739"/>
      <c r="Z314" s="1739"/>
    </row>
    <row r="315" spans="1:26" x14ac:dyDescent="0.5">
      <c r="A315" s="1739"/>
      <c r="N315" s="1834"/>
      <c r="O315" s="1739"/>
      <c r="Z315" s="1739"/>
    </row>
    <row r="316" spans="1:26" x14ac:dyDescent="0.5">
      <c r="A316" s="1739"/>
      <c r="N316" s="1834"/>
      <c r="O316" s="1739"/>
      <c r="Z316" s="1739"/>
    </row>
    <row r="317" spans="1:26" x14ac:dyDescent="0.5">
      <c r="A317" s="1739"/>
      <c r="N317" s="1834"/>
      <c r="O317" s="1739"/>
      <c r="Z317" s="1739"/>
    </row>
    <row r="318" spans="1:26" x14ac:dyDescent="0.5">
      <c r="A318" s="1739"/>
      <c r="N318" s="1834"/>
      <c r="O318" s="1739"/>
      <c r="Z318" s="1739"/>
    </row>
    <row r="319" spans="1:26" x14ac:dyDescent="0.5">
      <c r="A319" s="1739"/>
      <c r="N319" s="1834"/>
      <c r="O319" s="1739"/>
      <c r="Z319" s="1739"/>
    </row>
    <row r="320" spans="1:26" x14ac:dyDescent="0.5">
      <c r="A320" s="1739"/>
      <c r="N320" s="1834"/>
      <c r="O320" s="1739"/>
      <c r="Z320" s="1739"/>
    </row>
    <row r="321" spans="1:26" x14ac:dyDescent="0.5">
      <c r="A321" s="1739"/>
      <c r="N321" s="1834"/>
      <c r="O321" s="1739"/>
      <c r="Z321" s="1739"/>
    </row>
    <row r="322" spans="1:26" x14ac:dyDescent="0.5">
      <c r="A322" s="1739"/>
      <c r="N322" s="1834"/>
      <c r="O322" s="1739"/>
      <c r="Z322" s="1739"/>
    </row>
    <row r="323" spans="1:26" x14ac:dyDescent="0.5">
      <c r="A323" s="1739"/>
      <c r="N323" s="1834"/>
      <c r="O323" s="1739"/>
      <c r="Z323" s="1739"/>
    </row>
    <row r="324" spans="1:26" x14ac:dyDescent="0.5">
      <c r="A324" s="1739"/>
      <c r="N324" s="1834"/>
      <c r="O324" s="1739"/>
      <c r="Z324" s="1739"/>
    </row>
    <row r="325" spans="1:26" x14ac:dyDescent="0.5">
      <c r="A325" s="1739"/>
      <c r="N325" s="1834"/>
      <c r="O325" s="1739"/>
      <c r="Z325" s="1739"/>
    </row>
    <row r="326" spans="1:26" x14ac:dyDescent="0.5">
      <c r="A326" s="1739"/>
      <c r="N326" s="1834"/>
      <c r="O326" s="1739"/>
      <c r="Z326" s="1739"/>
    </row>
    <row r="327" spans="1:26" x14ac:dyDescent="0.5">
      <c r="A327" s="1739"/>
      <c r="N327" s="1834"/>
      <c r="O327" s="1739"/>
      <c r="Z327" s="1739"/>
    </row>
    <row r="328" spans="1:26" x14ac:dyDescent="0.5">
      <c r="A328" s="1739"/>
      <c r="N328" s="1834"/>
      <c r="O328" s="1739"/>
      <c r="Z328" s="1739"/>
    </row>
    <row r="329" spans="1:26" x14ac:dyDescent="0.5">
      <c r="A329" s="1739"/>
      <c r="N329" s="1834"/>
      <c r="O329" s="1739"/>
      <c r="Z329" s="1739"/>
    </row>
    <row r="330" spans="1:26" x14ac:dyDescent="0.5">
      <c r="A330" s="1739"/>
      <c r="N330" s="1834"/>
      <c r="O330" s="1739"/>
      <c r="Z330" s="1739"/>
    </row>
    <row r="331" spans="1:26" x14ac:dyDescent="0.5">
      <c r="A331" s="1739"/>
      <c r="N331" s="1834"/>
      <c r="O331" s="1739"/>
      <c r="Z331" s="1739"/>
    </row>
    <row r="332" spans="1:26" x14ac:dyDescent="0.5">
      <c r="A332" s="1739"/>
      <c r="N332" s="1834"/>
      <c r="O332" s="1739"/>
      <c r="Z332" s="1739"/>
    </row>
    <row r="333" spans="1:26" x14ac:dyDescent="0.5">
      <c r="A333" s="1739"/>
      <c r="N333" s="1834"/>
      <c r="O333" s="1739"/>
      <c r="Z333" s="1739"/>
    </row>
    <row r="334" spans="1:26" x14ac:dyDescent="0.5">
      <c r="A334" s="1739"/>
      <c r="N334" s="1834"/>
      <c r="O334" s="1739"/>
      <c r="Z334" s="1739"/>
    </row>
    <row r="335" spans="1:26" x14ac:dyDescent="0.5">
      <c r="A335" s="1739"/>
      <c r="N335" s="1834"/>
      <c r="O335" s="1739"/>
      <c r="Z335" s="1739"/>
    </row>
    <row r="336" spans="1:26" x14ac:dyDescent="0.5">
      <c r="A336" s="1739"/>
      <c r="N336" s="1834"/>
      <c r="O336" s="1739"/>
      <c r="Z336" s="1739"/>
    </row>
    <row r="337" spans="1:26" x14ac:dyDescent="0.5">
      <c r="A337" s="1739"/>
      <c r="N337" s="1834"/>
      <c r="O337" s="1739"/>
      <c r="Z337" s="1739"/>
    </row>
    <row r="338" spans="1:26" x14ac:dyDescent="0.5">
      <c r="A338" s="1739"/>
      <c r="N338" s="1834"/>
      <c r="O338" s="1739"/>
      <c r="Z338" s="1739"/>
    </row>
    <row r="339" spans="1:26" x14ac:dyDescent="0.5">
      <c r="A339" s="1739"/>
      <c r="N339" s="1834"/>
      <c r="O339" s="1739"/>
      <c r="Z339" s="1739"/>
    </row>
    <row r="340" spans="1:26" x14ac:dyDescent="0.5">
      <c r="A340" s="1739"/>
      <c r="N340" s="1834"/>
      <c r="O340" s="1739"/>
      <c r="Z340" s="1739"/>
    </row>
    <row r="341" spans="1:26" x14ac:dyDescent="0.5">
      <c r="A341" s="1739"/>
      <c r="N341" s="1834"/>
      <c r="O341" s="1739"/>
      <c r="Z341" s="1739"/>
    </row>
    <row r="342" spans="1:26" x14ac:dyDescent="0.5">
      <c r="A342" s="1739"/>
      <c r="N342" s="1834"/>
      <c r="O342" s="1739"/>
      <c r="Z342" s="1739"/>
    </row>
    <row r="343" spans="1:26" x14ac:dyDescent="0.5">
      <c r="A343" s="1739"/>
      <c r="N343" s="1834"/>
      <c r="O343" s="1739"/>
      <c r="Z343" s="1739"/>
    </row>
    <row r="344" spans="1:26" x14ac:dyDescent="0.5">
      <c r="A344" s="1739"/>
      <c r="N344" s="1834"/>
      <c r="O344" s="1739"/>
      <c r="Z344" s="1739"/>
    </row>
    <row r="345" spans="1:26" x14ac:dyDescent="0.5">
      <c r="A345" s="1739"/>
      <c r="N345" s="1834"/>
      <c r="O345" s="1739"/>
      <c r="Z345" s="1739"/>
    </row>
    <row r="346" spans="1:26" x14ac:dyDescent="0.5">
      <c r="A346" s="1739"/>
      <c r="N346" s="1834"/>
      <c r="O346" s="1739"/>
      <c r="Z346" s="1739"/>
    </row>
    <row r="347" spans="1:26" x14ac:dyDescent="0.5">
      <c r="A347" s="1739"/>
      <c r="N347" s="1834"/>
      <c r="O347" s="1739"/>
      <c r="Z347" s="1739"/>
    </row>
    <row r="348" spans="1:26" x14ac:dyDescent="0.5">
      <c r="A348" s="1739"/>
      <c r="N348" s="1834"/>
      <c r="O348" s="1739"/>
      <c r="Z348" s="1739"/>
    </row>
    <row r="349" spans="1:26" x14ac:dyDescent="0.5">
      <c r="A349" s="1739"/>
      <c r="N349" s="1834"/>
      <c r="O349" s="1739"/>
      <c r="Z349" s="1739"/>
    </row>
    <row r="350" spans="1:26" x14ac:dyDescent="0.5">
      <c r="A350" s="1739"/>
      <c r="N350" s="1834"/>
      <c r="O350" s="1739"/>
      <c r="Z350" s="1739"/>
    </row>
    <row r="351" spans="1:26" x14ac:dyDescent="0.5">
      <c r="A351" s="1739"/>
      <c r="N351" s="1834"/>
      <c r="O351" s="1739"/>
      <c r="Z351" s="1739"/>
    </row>
    <row r="352" spans="1:26" x14ac:dyDescent="0.5">
      <c r="A352" s="1739"/>
      <c r="N352" s="1834"/>
      <c r="O352" s="1739"/>
      <c r="Z352" s="1739"/>
    </row>
    <row r="353" spans="1:26" x14ac:dyDescent="0.5">
      <c r="A353" s="1739"/>
      <c r="N353" s="1834"/>
      <c r="O353" s="1739"/>
      <c r="Z353" s="1739"/>
    </row>
    <row r="354" spans="1:26" x14ac:dyDescent="0.5">
      <c r="A354" s="1739"/>
      <c r="N354" s="1834"/>
      <c r="O354" s="1739"/>
      <c r="Z354" s="1739"/>
    </row>
    <row r="355" spans="1:26" x14ac:dyDescent="0.5">
      <c r="A355" s="1739"/>
      <c r="N355" s="1834"/>
      <c r="O355" s="1739"/>
      <c r="Z355" s="1739"/>
    </row>
    <row r="356" spans="1:26" x14ac:dyDescent="0.5">
      <c r="A356" s="1739"/>
      <c r="N356" s="1834"/>
      <c r="O356" s="1739"/>
      <c r="Z356" s="1739"/>
    </row>
    <row r="357" spans="1:26" x14ac:dyDescent="0.5">
      <c r="A357" s="1739"/>
      <c r="N357" s="1834"/>
      <c r="O357" s="1739"/>
      <c r="Z357" s="1739"/>
    </row>
    <row r="358" spans="1:26" x14ac:dyDescent="0.5">
      <c r="A358" s="1739"/>
      <c r="N358" s="1834"/>
      <c r="O358" s="1739"/>
      <c r="Z358" s="1739"/>
    </row>
    <row r="359" spans="1:26" x14ac:dyDescent="0.5">
      <c r="A359" s="1739"/>
      <c r="N359" s="1834"/>
      <c r="O359" s="1739"/>
      <c r="Z359" s="1739"/>
    </row>
    <row r="360" spans="1:26" x14ac:dyDescent="0.5">
      <c r="A360" s="1739"/>
      <c r="N360" s="1834"/>
      <c r="O360" s="1739"/>
      <c r="Z360" s="1739"/>
    </row>
    <row r="361" spans="1:26" x14ac:dyDescent="0.5">
      <c r="A361" s="1739"/>
      <c r="N361" s="1834"/>
      <c r="O361" s="1739"/>
      <c r="Z361" s="1739"/>
    </row>
    <row r="362" spans="1:26" x14ac:dyDescent="0.5">
      <c r="A362" s="1739"/>
      <c r="N362" s="1834"/>
      <c r="O362" s="1739"/>
      <c r="Z362" s="1739"/>
    </row>
    <row r="363" spans="1:26" x14ac:dyDescent="0.5">
      <c r="A363" s="1739"/>
      <c r="N363" s="1834"/>
      <c r="O363" s="1739"/>
      <c r="Z363" s="1739"/>
    </row>
    <row r="364" spans="1:26" x14ac:dyDescent="0.5">
      <c r="A364" s="1739"/>
      <c r="N364" s="1834"/>
      <c r="O364" s="1739"/>
      <c r="Z364" s="1739"/>
    </row>
    <row r="365" spans="1:26" x14ac:dyDescent="0.5">
      <c r="A365" s="1739"/>
      <c r="N365" s="1834"/>
      <c r="O365" s="1739"/>
      <c r="Z365" s="1739"/>
    </row>
    <row r="366" spans="1:26" x14ac:dyDescent="0.5">
      <c r="A366" s="1739"/>
      <c r="N366" s="1834"/>
      <c r="O366" s="1739"/>
      <c r="Z366" s="1739"/>
    </row>
    <row r="367" spans="1:26" x14ac:dyDescent="0.5">
      <c r="A367" s="1739"/>
      <c r="N367" s="1834"/>
      <c r="O367" s="1739"/>
      <c r="Z367" s="1739"/>
    </row>
    <row r="368" spans="1:26" x14ac:dyDescent="0.5">
      <c r="A368" s="1739"/>
      <c r="N368" s="1834"/>
      <c r="O368" s="1739"/>
      <c r="Z368" s="1739"/>
    </row>
    <row r="369" spans="1:26" x14ac:dyDescent="0.5">
      <c r="A369" s="1739"/>
      <c r="N369" s="1834"/>
      <c r="O369" s="1739"/>
      <c r="Z369" s="1739"/>
    </row>
    <row r="370" spans="1:26" x14ac:dyDescent="0.5">
      <c r="A370" s="1739"/>
      <c r="N370" s="1834"/>
      <c r="O370" s="1739"/>
      <c r="Z370" s="1739"/>
    </row>
    <row r="371" spans="1:26" x14ac:dyDescent="0.5">
      <c r="A371" s="1739"/>
      <c r="N371" s="1834"/>
      <c r="O371" s="1739"/>
      <c r="Z371" s="1739"/>
    </row>
    <row r="372" spans="1:26" x14ac:dyDescent="0.5">
      <c r="A372" s="1739"/>
      <c r="N372" s="1834"/>
      <c r="O372" s="1739"/>
      <c r="Z372" s="1739"/>
    </row>
    <row r="373" spans="1:26" x14ac:dyDescent="0.5">
      <c r="A373" s="1739"/>
      <c r="N373" s="1834"/>
      <c r="O373" s="1739"/>
      <c r="Z373" s="1739"/>
    </row>
    <row r="374" spans="1:26" x14ac:dyDescent="0.5">
      <c r="A374" s="1739"/>
      <c r="N374" s="1834"/>
      <c r="O374" s="1739"/>
      <c r="Z374" s="1739"/>
    </row>
    <row r="375" spans="1:26" x14ac:dyDescent="0.5">
      <c r="A375" s="1739"/>
      <c r="N375" s="1834"/>
      <c r="O375" s="1739"/>
      <c r="Z375" s="1739"/>
    </row>
    <row r="376" spans="1:26" x14ac:dyDescent="0.5">
      <c r="A376" s="1739"/>
      <c r="N376" s="1834"/>
      <c r="O376" s="1739"/>
      <c r="Z376" s="1739"/>
    </row>
    <row r="377" spans="1:26" x14ac:dyDescent="0.5">
      <c r="A377" s="1739"/>
      <c r="N377" s="1834"/>
      <c r="O377" s="1739"/>
      <c r="Z377" s="1739"/>
    </row>
    <row r="378" spans="1:26" x14ac:dyDescent="0.5">
      <c r="A378" s="1739"/>
      <c r="N378" s="1834"/>
      <c r="O378" s="1739"/>
      <c r="Z378" s="1739"/>
    </row>
    <row r="379" spans="1:26" x14ac:dyDescent="0.5">
      <c r="A379" s="1739"/>
      <c r="N379" s="1834"/>
      <c r="O379" s="1739"/>
      <c r="Z379" s="1739"/>
    </row>
    <row r="380" spans="1:26" x14ac:dyDescent="0.5">
      <c r="A380" s="1739"/>
      <c r="N380" s="1834"/>
      <c r="O380" s="1739"/>
      <c r="Z380" s="1739"/>
    </row>
    <row r="381" spans="1:26" x14ac:dyDescent="0.5">
      <c r="A381" s="1739"/>
      <c r="N381" s="1834"/>
      <c r="O381" s="1739"/>
      <c r="Z381" s="1739"/>
    </row>
    <row r="382" spans="1:26" x14ac:dyDescent="0.5">
      <c r="A382" s="1739"/>
      <c r="N382" s="1834"/>
      <c r="O382" s="1739"/>
      <c r="Z382" s="1739"/>
    </row>
    <row r="383" spans="1:26" x14ac:dyDescent="0.5">
      <c r="A383" s="1739"/>
      <c r="N383" s="1834"/>
      <c r="O383" s="1739"/>
      <c r="Z383" s="1739"/>
    </row>
    <row r="384" spans="1:26" x14ac:dyDescent="0.5">
      <c r="A384" s="1739"/>
      <c r="N384" s="1834"/>
      <c r="O384" s="1739"/>
      <c r="Z384" s="1739"/>
    </row>
    <row r="385" spans="1:26" x14ac:dyDescent="0.5">
      <c r="A385" s="1739"/>
      <c r="N385" s="1834"/>
      <c r="O385" s="1739"/>
      <c r="Z385" s="1739"/>
    </row>
    <row r="386" spans="1:26" x14ac:dyDescent="0.5">
      <c r="A386" s="1739"/>
      <c r="N386" s="1834"/>
      <c r="O386" s="1739"/>
      <c r="Z386" s="1739"/>
    </row>
    <row r="387" spans="1:26" x14ac:dyDescent="0.5">
      <c r="A387" s="1739"/>
      <c r="N387" s="1834"/>
      <c r="O387" s="1739"/>
      <c r="Z387" s="1739"/>
    </row>
    <row r="388" spans="1:26" x14ac:dyDescent="0.5">
      <c r="A388" s="1739"/>
      <c r="N388" s="1834"/>
      <c r="O388" s="1739"/>
      <c r="Z388" s="1739"/>
    </row>
    <row r="389" spans="1:26" x14ac:dyDescent="0.5">
      <c r="A389" s="1739"/>
      <c r="N389" s="1834"/>
      <c r="O389" s="1739"/>
      <c r="Z389" s="1739"/>
    </row>
    <row r="390" spans="1:26" x14ac:dyDescent="0.5">
      <c r="A390" s="1739"/>
      <c r="N390" s="1834"/>
      <c r="O390" s="1739"/>
      <c r="Z390" s="1739"/>
    </row>
    <row r="391" spans="1:26" x14ac:dyDescent="0.5">
      <c r="A391" s="1739"/>
      <c r="N391" s="1834"/>
      <c r="O391" s="1739"/>
      <c r="Z391" s="1739"/>
    </row>
    <row r="392" spans="1:26" x14ac:dyDescent="0.5">
      <c r="A392" s="1739"/>
      <c r="N392" s="1834"/>
      <c r="O392" s="1739"/>
      <c r="Z392" s="1739"/>
    </row>
    <row r="393" spans="1:26" x14ac:dyDescent="0.5">
      <c r="A393" s="1739"/>
      <c r="N393" s="1834"/>
      <c r="O393" s="1739"/>
      <c r="Z393" s="1739"/>
    </row>
    <row r="394" spans="1:26" x14ac:dyDescent="0.5">
      <c r="A394" s="1739"/>
      <c r="N394" s="1834"/>
      <c r="O394" s="1739"/>
      <c r="Z394" s="1739"/>
    </row>
    <row r="395" spans="1:26" x14ac:dyDescent="0.5">
      <c r="A395" s="1739"/>
      <c r="N395" s="1834"/>
      <c r="O395" s="1739"/>
      <c r="Z395" s="1739"/>
    </row>
    <row r="396" spans="1:26" x14ac:dyDescent="0.5">
      <c r="A396" s="1739"/>
      <c r="N396" s="1834"/>
      <c r="O396" s="1739"/>
      <c r="Z396" s="1739"/>
    </row>
    <row r="397" spans="1:26" x14ac:dyDescent="0.5">
      <c r="A397" s="1739"/>
      <c r="N397" s="1834"/>
      <c r="O397" s="1739"/>
      <c r="Z397" s="1739"/>
    </row>
    <row r="398" spans="1:26" x14ac:dyDescent="0.5">
      <c r="A398" s="1739"/>
      <c r="N398" s="1834"/>
      <c r="O398" s="1739"/>
      <c r="Z398" s="1739"/>
    </row>
    <row r="399" spans="1:26" x14ac:dyDescent="0.5">
      <c r="A399" s="1739"/>
      <c r="N399" s="1834"/>
      <c r="O399" s="1739"/>
      <c r="Z399" s="1739"/>
    </row>
    <row r="400" spans="1:26" x14ac:dyDescent="0.5">
      <c r="A400" s="1739"/>
      <c r="N400" s="1834"/>
      <c r="O400" s="1739"/>
      <c r="Z400" s="1739"/>
    </row>
    <row r="401" spans="1:26" x14ac:dyDescent="0.5">
      <c r="A401" s="1739"/>
      <c r="N401" s="1834"/>
      <c r="O401" s="1739"/>
      <c r="Z401" s="1739"/>
    </row>
    <row r="402" spans="1:26" x14ac:dyDescent="0.5">
      <c r="A402" s="1739"/>
      <c r="N402" s="1834"/>
      <c r="O402" s="1739"/>
      <c r="Z402" s="1739"/>
    </row>
    <row r="403" spans="1:26" x14ac:dyDescent="0.5">
      <c r="A403" s="1739"/>
      <c r="N403" s="1834"/>
      <c r="O403" s="1739"/>
      <c r="Z403" s="1739"/>
    </row>
    <row r="404" spans="1:26" x14ac:dyDescent="0.5">
      <c r="A404" s="1739"/>
      <c r="N404" s="1834"/>
      <c r="O404" s="1739"/>
      <c r="Z404" s="1739"/>
    </row>
    <row r="405" spans="1:26" x14ac:dyDescent="0.5">
      <c r="A405" s="1739"/>
      <c r="N405" s="1834"/>
      <c r="O405" s="1739"/>
      <c r="Z405" s="1739"/>
    </row>
    <row r="406" spans="1:26" x14ac:dyDescent="0.5">
      <c r="A406" s="1739"/>
      <c r="N406" s="1834"/>
      <c r="O406" s="1739"/>
      <c r="Z406" s="1739"/>
    </row>
    <row r="407" spans="1:26" x14ac:dyDescent="0.5">
      <c r="A407" s="1739"/>
      <c r="N407" s="1834"/>
      <c r="O407" s="1739"/>
      <c r="Z407" s="1739"/>
    </row>
    <row r="408" spans="1:26" x14ac:dyDescent="0.5">
      <c r="A408" s="1739"/>
      <c r="N408" s="1834"/>
      <c r="O408" s="1739"/>
      <c r="Z408" s="1739"/>
    </row>
    <row r="409" spans="1:26" x14ac:dyDescent="0.5">
      <c r="A409" s="1739"/>
      <c r="N409" s="1834"/>
      <c r="O409" s="1739"/>
      <c r="Z409" s="1739"/>
    </row>
    <row r="410" spans="1:26" x14ac:dyDescent="0.5">
      <c r="A410" s="1739"/>
      <c r="N410" s="1834"/>
      <c r="O410" s="1739"/>
      <c r="Z410" s="1739"/>
    </row>
    <row r="411" spans="1:26" x14ac:dyDescent="0.5">
      <c r="A411" s="1739"/>
      <c r="N411" s="1834"/>
      <c r="O411" s="1739"/>
      <c r="Z411" s="1739"/>
    </row>
    <row r="412" spans="1:26" x14ac:dyDescent="0.5">
      <c r="A412" s="1739"/>
      <c r="N412" s="1834"/>
      <c r="O412" s="1739"/>
      <c r="Z412" s="1739"/>
    </row>
    <row r="413" spans="1:26" x14ac:dyDescent="0.5">
      <c r="A413" s="1739"/>
      <c r="N413" s="1834"/>
      <c r="O413" s="1739"/>
      <c r="Z413" s="1739"/>
    </row>
    <row r="414" spans="1:26" x14ac:dyDescent="0.5">
      <c r="A414" s="1739"/>
      <c r="N414" s="1834"/>
      <c r="O414" s="1739"/>
      <c r="Z414" s="1739"/>
    </row>
    <row r="415" spans="1:26" x14ac:dyDescent="0.5">
      <c r="A415" s="1739"/>
      <c r="N415" s="1834"/>
      <c r="O415" s="1739"/>
      <c r="Z415" s="1739"/>
    </row>
    <row r="416" spans="1:26" x14ac:dyDescent="0.5">
      <c r="A416" s="1739"/>
      <c r="N416" s="1834"/>
      <c r="O416" s="1739"/>
      <c r="Z416" s="1739"/>
    </row>
    <row r="417" spans="1:26" x14ac:dyDescent="0.5">
      <c r="A417" s="1739"/>
      <c r="N417" s="1834"/>
      <c r="O417" s="1739"/>
      <c r="Z417" s="1739"/>
    </row>
    <row r="418" spans="1:26" x14ac:dyDescent="0.5">
      <c r="A418" s="1739"/>
      <c r="N418" s="1834"/>
      <c r="O418" s="1739"/>
      <c r="Z418" s="1739"/>
    </row>
    <row r="419" spans="1:26" x14ac:dyDescent="0.5">
      <c r="A419" s="1739"/>
      <c r="N419" s="1834"/>
      <c r="O419" s="1739"/>
      <c r="Z419" s="1739"/>
    </row>
    <row r="420" spans="1:26" x14ac:dyDescent="0.5">
      <c r="A420" s="1739"/>
      <c r="N420" s="1834"/>
      <c r="O420" s="1739"/>
      <c r="Z420" s="1739"/>
    </row>
    <row r="421" spans="1:26" x14ac:dyDescent="0.5">
      <c r="A421" s="1739"/>
      <c r="N421" s="1834"/>
      <c r="O421" s="1739"/>
      <c r="Z421" s="1739"/>
    </row>
    <row r="422" spans="1:26" x14ac:dyDescent="0.5">
      <c r="A422" s="1739"/>
      <c r="N422" s="1834"/>
      <c r="O422" s="1739"/>
      <c r="Z422" s="1739"/>
    </row>
    <row r="423" spans="1:26" x14ac:dyDescent="0.5">
      <c r="A423" s="1739"/>
      <c r="N423" s="1834"/>
      <c r="O423" s="1739"/>
      <c r="Z423" s="1739"/>
    </row>
    <row r="424" spans="1:26" x14ac:dyDescent="0.5">
      <c r="A424" s="1739"/>
      <c r="N424" s="1834"/>
      <c r="O424" s="1739"/>
      <c r="Z424" s="1739"/>
    </row>
    <row r="425" spans="1:26" x14ac:dyDescent="0.5">
      <c r="A425" s="1739"/>
      <c r="N425" s="1834"/>
      <c r="O425" s="1739"/>
      <c r="Z425" s="1739"/>
    </row>
    <row r="426" spans="1:26" x14ac:dyDescent="0.5">
      <c r="A426" s="1739"/>
      <c r="N426" s="1834"/>
      <c r="O426" s="1739"/>
      <c r="Z426" s="1739"/>
    </row>
    <row r="427" spans="1:26" x14ac:dyDescent="0.5">
      <c r="A427" s="1739"/>
      <c r="N427" s="1834"/>
      <c r="O427" s="1739"/>
      <c r="Z427" s="1739"/>
    </row>
    <row r="428" spans="1:26" x14ac:dyDescent="0.5">
      <c r="A428" s="1739"/>
      <c r="N428" s="1834"/>
      <c r="O428" s="1739"/>
      <c r="Z428" s="1739"/>
    </row>
    <row r="429" spans="1:26" x14ac:dyDescent="0.5">
      <c r="A429" s="1739"/>
      <c r="N429" s="1834"/>
      <c r="O429" s="1739"/>
      <c r="Z429" s="1739"/>
    </row>
    <row r="430" spans="1:26" x14ac:dyDescent="0.5">
      <c r="A430" s="1739"/>
      <c r="N430" s="1834"/>
      <c r="O430" s="1739"/>
      <c r="Z430" s="1739"/>
    </row>
    <row r="431" spans="1:26" x14ac:dyDescent="0.5">
      <c r="A431" s="1739"/>
      <c r="N431" s="1834"/>
      <c r="O431" s="1739"/>
      <c r="Z431" s="1739"/>
    </row>
    <row r="432" spans="1:26" x14ac:dyDescent="0.5">
      <c r="A432" s="1739"/>
      <c r="N432" s="1834"/>
      <c r="O432" s="1739"/>
      <c r="Z432" s="1739"/>
    </row>
    <row r="433" spans="1:26" x14ac:dyDescent="0.5">
      <c r="A433" s="1739"/>
      <c r="N433" s="1834"/>
      <c r="O433" s="1739"/>
      <c r="Z433" s="1739"/>
    </row>
    <row r="434" spans="1:26" x14ac:dyDescent="0.5">
      <c r="A434" s="1739"/>
      <c r="N434" s="1834"/>
      <c r="O434" s="1739"/>
      <c r="Z434" s="1739"/>
    </row>
    <row r="435" spans="1:26" x14ac:dyDescent="0.5">
      <c r="A435" s="1739"/>
      <c r="N435" s="1834"/>
      <c r="O435" s="1739"/>
      <c r="Z435" s="1739"/>
    </row>
    <row r="436" spans="1:26" x14ac:dyDescent="0.5">
      <c r="A436" s="1739"/>
      <c r="N436" s="1834"/>
      <c r="O436" s="1739"/>
      <c r="Z436" s="1739"/>
    </row>
    <row r="437" spans="1:26" x14ac:dyDescent="0.5">
      <c r="A437" s="1739"/>
      <c r="N437" s="1834"/>
      <c r="O437" s="1739"/>
      <c r="Z437" s="1739"/>
    </row>
    <row r="438" spans="1:26" x14ac:dyDescent="0.5">
      <c r="A438" s="1739"/>
      <c r="N438" s="1834"/>
      <c r="O438" s="1739"/>
      <c r="Z438" s="1739"/>
    </row>
    <row r="439" spans="1:26" x14ac:dyDescent="0.5">
      <c r="A439" s="1739"/>
      <c r="N439" s="1834"/>
      <c r="O439" s="1739"/>
      <c r="Z439" s="1739"/>
    </row>
    <row r="440" spans="1:26" x14ac:dyDescent="0.5">
      <c r="A440" s="1739"/>
      <c r="N440" s="1834"/>
      <c r="O440" s="1739"/>
      <c r="Z440" s="1739"/>
    </row>
    <row r="441" spans="1:26" x14ac:dyDescent="0.5">
      <c r="A441" s="1739"/>
      <c r="N441" s="1834"/>
      <c r="O441" s="1739"/>
      <c r="Z441" s="1739"/>
    </row>
    <row r="442" spans="1:26" x14ac:dyDescent="0.5">
      <c r="A442" s="1739"/>
      <c r="N442" s="1834"/>
      <c r="O442" s="1739"/>
      <c r="Z442" s="1739"/>
    </row>
    <row r="443" spans="1:26" x14ac:dyDescent="0.5">
      <c r="A443" s="1739"/>
      <c r="N443" s="1834"/>
      <c r="O443" s="1739"/>
      <c r="Z443" s="1739"/>
    </row>
    <row r="444" spans="1:26" x14ac:dyDescent="0.5">
      <c r="A444" s="1739"/>
      <c r="N444" s="1834"/>
      <c r="O444" s="1739"/>
      <c r="Z444" s="1739"/>
    </row>
    <row r="445" spans="1:26" x14ac:dyDescent="0.5">
      <c r="A445" s="1739"/>
      <c r="N445" s="1834"/>
      <c r="O445" s="1739"/>
      <c r="Z445" s="1739"/>
    </row>
    <row r="446" spans="1:26" x14ac:dyDescent="0.5">
      <c r="A446" s="1739"/>
      <c r="N446" s="1834"/>
      <c r="O446" s="1739"/>
      <c r="Z446" s="1739"/>
    </row>
    <row r="447" spans="1:26" x14ac:dyDescent="0.5">
      <c r="A447" s="1739"/>
      <c r="N447" s="1834"/>
      <c r="O447" s="1739"/>
      <c r="Z447" s="1739"/>
    </row>
    <row r="448" spans="1:26" x14ac:dyDescent="0.5">
      <c r="A448" s="1739"/>
      <c r="N448" s="1834"/>
      <c r="O448" s="1739"/>
      <c r="Z448" s="1739"/>
    </row>
    <row r="449" spans="1:26" x14ac:dyDescent="0.5">
      <c r="A449" s="1739"/>
      <c r="N449" s="1834"/>
      <c r="O449" s="1739"/>
      <c r="Z449" s="1739"/>
    </row>
    <row r="450" spans="1:26" x14ac:dyDescent="0.5">
      <c r="A450" s="1739"/>
      <c r="N450" s="1834"/>
      <c r="O450" s="1739"/>
      <c r="Z450" s="1739"/>
    </row>
    <row r="451" spans="1:26" x14ac:dyDescent="0.5">
      <c r="A451" s="1739"/>
      <c r="N451" s="1834"/>
      <c r="O451" s="1739"/>
      <c r="Z451" s="1739"/>
    </row>
    <row r="452" spans="1:26" x14ac:dyDescent="0.5">
      <c r="A452" s="1739"/>
      <c r="N452" s="1834"/>
      <c r="O452" s="1739"/>
      <c r="Z452" s="1739"/>
    </row>
    <row r="453" spans="1:26" x14ac:dyDescent="0.5">
      <c r="A453" s="1739"/>
      <c r="N453" s="1834"/>
      <c r="O453" s="1739"/>
      <c r="Z453" s="1739"/>
    </row>
    <row r="454" spans="1:26" x14ac:dyDescent="0.5">
      <c r="A454" s="1739"/>
      <c r="N454" s="1834"/>
      <c r="O454" s="1739"/>
      <c r="Z454" s="1739"/>
    </row>
    <row r="455" spans="1:26" x14ac:dyDescent="0.5">
      <c r="A455" s="1739"/>
      <c r="N455" s="1834"/>
      <c r="O455" s="1739"/>
      <c r="Z455" s="1739"/>
    </row>
    <row r="456" spans="1:26" x14ac:dyDescent="0.5">
      <c r="A456" s="1739"/>
      <c r="N456" s="1834"/>
      <c r="O456" s="1739"/>
      <c r="Z456" s="1739"/>
    </row>
    <row r="457" spans="1:26" x14ac:dyDescent="0.5">
      <c r="A457" s="1739"/>
      <c r="N457" s="1834"/>
      <c r="O457" s="1739"/>
      <c r="Z457" s="1739"/>
    </row>
    <row r="458" spans="1:26" x14ac:dyDescent="0.5">
      <c r="A458" s="1739"/>
      <c r="N458" s="1834"/>
      <c r="O458" s="1739"/>
      <c r="Z458" s="1739"/>
    </row>
    <row r="459" spans="1:26" x14ac:dyDescent="0.5">
      <c r="A459" s="1739"/>
      <c r="N459" s="1834"/>
      <c r="O459" s="1739"/>
      <c r="Z459" s="1739"/>
    </row>
    <row r="460" spans="1:26" x14ac:dyDescent="0.5">
      <c r="A460" s="1739"/>
      <c r="N460" s="1834"/>
      <c r="O460" s="1739"/>
      <c r="Z460" s="1739"/>
    </row>
    <row r="461" spans="1:26" x14ac:dyDescent="0.5">
      <c r="A461" s="1739"/>
      <c r="N461" s="1834"/>
      <c r="O461" s="1739"/>
      <c r="Z461" s="1739"/>
    </row>
    <row r="462" spans="1:26" x14ac:dyDescent="0.5">
      <c r="A462" s="1739"/>
      <c r="N462" s="1834"/>
      <c r="O462" s="1739"/>
      <c r="Z462" s="1739"/>
    </row>
    <row r="463" spans="1:26" x14ac:dyDescent="0.5">
      <c r="A463" s="1739"/>
      <c r="N463" s="1834"/>
      <c r="O463" s="1739"/>
      <c r="Z463" s="1739"/>
    </row>
    <row r="464" spans="1:26" x14ac:dyDescent="0.5">
      <c r="A464" s="1739"/>
      <c r="N464" s="1834"/>
      <c r="O464" s="1739"/>
      <c r="Z464" s="1739"/>
    </row>
    <row r="465" spans="1:26" x14ac:dyDescent="0.5">
      <c r="A465" s="1739"/>
      <c r="N465" s="1834"/>
      <c r="O465" s="1739"/>
      <c r="Z465" s="1739"/>
    </row>
    <row r="466" spans="1:26" x14ac:dyDescent="0.5">
      <c r="A466" s="1739"/>
      <c r="N466" s="1834"/>
      <c r="O466" s="1739"/>
      <c r="Z466" s="1739"/>
    </row>
    <row r="467" spans="1:26" x14ac:dyDescent="0.5">
      <c r="A467" s="1739"/>
      <c r="N467" s="1834"/>
      <c r="O467" s="1739"/>
      <c r="Z467" s="1739"/>
    </row>
    <row r="468" spans="1:26" x14ac:dyDescent="0.5">
      <c r="A468" s="1739"/>
      <c r="N468" s="1834"/>
      <c r="O468" s="1739"/>
      <c r="Z468" s="1739"/>
    </row>
    <row r="469" spans="1:26" x14ac:dyDescent="0.5">
      <c r="A469" s="1739"/>
      <c r="N469" s="1834"/>
      <c r="O469" s="1739"/>
      <c r="Z469" s="1739"/>
    </row>
    <row r="470" spans="1:26" x14ac:dyDescent="0.5">
      <c r="A470" s="1739"/>
      <c r="N470" s="1834"/>
      <c r="O470" s="1739"/>
      <c r="Z470" s="1739"/>
    </row>
    <row r="471" spans="1:26" x14ac:dyDescent="0.5">
      <c r="A471" s="1739"/>
      <c r="N471" s="1834"/>
      <c r="O471" s="1739"/>
      <c r="Z471" s="1739"/>
    </row>
    <row r="472" spans="1:26" x14ac:dyDescent="0.5">
      <c r="A472" s="1739"/>
      <c r="N472" s="1834"/>
      <c r="O472" s="1739"/>
      <c r="Z472" s="1739"/>
    </row>
    <row r="473" spans="1:26" x14ac:dyDescent="0.5">
      <c r="A473" s="1739"/>
      <c r="N473" s="1834"/>
      <c r="O473" s="1739"/>
      <c r="Z473" s="1739"/>
    </row>
    <row r="474" spans="1:26" x14ac:dyDescent="0.5">
      <c r="A474" s="1739"/>
      <c r="N474" s="1834"/>
      <c r="O474" s="1739"/>
      <c r="Z474" s="1739"/>
    </row>
    <row r="475" spans="1:26" x14ac:dyDescent="0.5">
      <c r="A475" s="1739"/>
      <c r="N475" s="1834"/>
      <c r="O475" s="1739"/>
      <c r="Z475" s="1739"/>
    </row>
    <row r="476" spans="1:26" x14ac:dyDescent="0.5">
      <c r="A476" s="1739"/>
      <c r="N476" s="1834"/>
      <c r="O476" s="1739"/>
      <c r="Z476" s="1739"/>
    </row>
    <row r="477" spans="1:26" x14ac:dyDescent="0.5">
      <c r="A477" s="1739"/>
      <c r="N477" s="1834"/>
      <c r="O477" s="1739"/>
      <c r="Z477" s="1739"/>
    </row>
    <row r="478" spans="1:26" x14ac:dyDescent="0.5">
      <c r="A478" s="1739"/>
      <c r="N478" s="1834"/>
      <c r="O478" s="1739"/>
      <c r="Z478" s="1739"/>
    </row>
    <row r="479" spans="1:26" x14ac:dyDescent="0.5">
      <c r="A479" s="1739"/>
      <c r="N479" s="1834"/>
      <c r="O479" s="1739"/>
      <c r="Z479" s="1739"/>
    </row>
    <row r="480" spans="1:26" x14ac:dyDescent="0.5">
      <c r="A480" s="1739"/>
      <c r="N480" s="1834"/>
      <c r="O480" s="1739"/>
      <c r="Z480" s="1739"/>
    </row>
    <row r="481" spans="1:26" x14ac:dyDescent="0.5">
      <c r="A481" s="1739"/>
      <c r="N481" s="1834"/>
      <c r="O481" s="1739"/>
      <c r="Z481" s="1739"/>
    </row>
    <row r="482" spans="1:26" x14ac:dyDescent="0.5">
      <c r="A482" s="1739"/>
      <c r="N482" s="1834"/>
      <c r="O482" s="1739"/>
      <c r="Z482" s="1739"/>
    </row>
    <row r="483" spans="1:26" x14ac:dyDescent="0.5">
      <c r="A483" s="1739"/>
      <c r="N483" s="1834"/>
      <c r="O483" s="1739"/>
      <c r="Z483" s="1739"/>
    </row>
    <row r="484" spans="1:26" x14ac:dyDescent="0.5">
      <c r="A484" s="1739"/>
      <c r="N484" s="1834"/>
      <c r="O484" s="1739"/>
      <c r="Z484" s="1739"/>
    </row>
    <row r="485" spans="1:26" x14ac:dyDescent="0.5">
      <c r="A485" s="1739"/>
      <c r="N485" s="1834"/>
      <c r="O485" s="1739"/>
      <c r="Z485" s="1739"/>
    </row>
    <row r="486" spans="1:26" x14ac:dyDescent="0.5">
      <c r="A486" s="1739"/>
      <c r="N486" s="1834"/>
      <c r="O486" s="1739"/>
      <c r="Z486" s="1739"/>
    </row>
    <row r="487" spans="1:26" x14ac:dyDescent="0.5">
      <c r="A487" s="1739"/>
      <c r="N487" s="1834"/>
      <c r="O487" s="1739"/>
      <c r="Z487" s="1739"/>
    </row>
    <row r="488" spans="1:26" x14ac:dyDescent="0.5">
      <c r="A488" s="1739"/>
      <c r="N488" s="1834"/>
      <c r="O488" s="1739"/>
      <c r="Z488" s="1739"/>
    </row>
    <row r="489" spans="1:26" x14ac:dyDescent="0.5">
      <c r="A489" s="1739"/>
      <c r="N489" s="1834"/>
      <c r="O489" s="1739"/>
      <c r="Z489" s="1739"/>
    </row>
    <row r="490" spans="1:26" x14ac:dyDescent="0.5">
      <c r="A490" s="1739"/>
      <c r="N490" s="1834"/>
      <c r="O490" s="1739"/>
      <c r="Z490" s="1739"/>
    </row>
    <row r="491" spans="1:26" x14ac:dyDescent="0.5">
      <c r="A491" s="1739"/>
      <c r="N491" s="1834"/>
      <c r="O491" s="1739"/>
      <c r="Z491" s="1739"/>
    </row>
    <row r="492" spans="1:26" x14ac:dyDescent="0.5">
      <c r="A492" s="1739"/>
      <c r="N492" s="1834"/>
      <c r="O492" s="1739"/>
      <c r="Z492" s="1739"/>
    </row>
    <row r="493" spans="1:26" x14ac:dyDescent="0.5">
      <c r="A493" s="1739"/>
      <c r="N493" s="1834"/>
      <c r="O493" s="1739"/>
      <c r="Z493" s="1739"/>
    </row>
    <row r="494" spans="1:26" x14ac:dyDescent="0.5">
      <c r="A494" s="1739"/>
      <c r="N494" s="1834"/>
      <c r="O494" s="1739"/>
      <c r="Z494" s="1739"/>
    </row>
    <row r="495" spans="1:26" x14ac:dyDescent="0.5">
      <c r="A495" s="1739"/>
      <c r="N495" s="1834"/>
      <c r="O495" s="1739"/>
      <c r="Z495" s="1739"/>
    </row>
    <row r="496" spans="1:26" x14ac:dyDescent="0.5">
      <c r="A496" s="1739"/>
      <c r="N496" s="1834"/>
      <c r="O496" s="1739"/>
      <c r="Z496" s="1739"/>
    </row>
    <row r="497" spans="1:26" x14ac:dyDescent="0.5">
      <c r="A497" s="1739"/>
      <c r="N497" s="1834"/>
      <c r="O497" s="1739"/>
      <c r="Z497" s="1739"/>
    </row>
    <row r="498" spans="1:26" x14ac:dyDescent="0.5">
      <c r="A498" s="1739"/>
      <c r="N498" s="1834"/>
      <c r="O498" s="1739"/>
      <c r="Z498" s="1739"/>
    </row>
    <row r="499" spans="1:26" x14ac:dyDescent="0.5">
      <c r="A499" s="1739"/>
      <c r="N499" s="1834"/>
      <c r="O499" s="1739"/>
      <c r="Z499" s="1739"/>
    </row>
    <row r="500" spans="1:26" x14ac:dyDescent="0.5">
      <c r="A500" s="1739"/>
      <c r="N500" s="1834"/>
      <c r="O500" s="1739"/>
      <c r="Z500" s="1739"/>
    </row>
    <row r="501" spans="1:26" x14ac:dyDescent="0.5">
      <c r="A501" s="1739"/>
      <c r="N501" s="1834"/>
      <c r="O501" s="1739"/>
      <c r="Z501" s="1739"/>
    </row>
    <row r="502" spans="1:26" x14ac:dyDescent="0.5">
      <c r="A502" s="1739"/>
      <c r="N502" s="1834"/>
      <c r="O502" s="1739"/>
      <c r="Z502" s="1739"/>
    </row>
    <row r="503" spans="1:26" x14ac:dyDescent="0.5">
      <c r="A503" s="1739"/>
      <c r="N503" s="1834"/>
      <c r="O503" s="1739"/>
      <c r="Z503" s="1739"/>
    </row>
    <row r="504" spans="1:26" x14ac:dyDescent="0.5">
      <c r="A504" s="1739"/>
      <c r="N504" s="1834"/>
      <c r="O504" s="1739"/>
      <c r="Z504" s="1739"/>
    </row>
    <row r="505" spans="1:26" x14ac:dyDescent="0.5">
      <c r="A505" s="1739"/>
      <c r="N505" s="1834"/>
      <c r="O505" s="1739"/>
      <c r="Z505" s="1739"/>
    </row>
    <row r="506" spans="1:26" x14ac:dyDescent="0.5">
      <c r="A506" s="1739"/>
      <c r="N506" s="1834"/>
      <c r="O506" s="1739"/>
      <c r="Z506" s="1739"/>
    </row>
    <row r="507" spans="1:26" x14ac:dyDescent="0.5">
      <c r="A507" s="1739"/>
      <c r="N507" s="1834"/>
      <c r="O507" s="1739"/>
      <c r="Z507" s="1739"/>
    </row>
    <row r="508" spans="1:26" x14ac:dyDescent="0.5">
      <c r="A508" s="1739"/>
      <c r="N508" s="1834"/>
      <c r="O508" s="1739"/>
      <c r="Z508" s="1739"/>
    </row>
    <row r="509" spans="1:26" x14ac:dyDescent="0.5">
      <c r="A509" s="1739"/>
      <c r="N509" s="1834"/>
      <c r="O509" s="1739"/>
      <c r="Z509" s="1739"/>
    </row>
    <row r="510" spans="1:26" x14ac:dyDescent="0.5">
      <c r="A510" s="1739"/>
      <c r="N510" s="1834"/>
      <c r="O510" s="1739"/>
      <c r="Z510" s="1739"/>
    </row>
    <row r="511" spans="1:26" x14ac:dyDescent="0.5">
      <c r="A511" s="1739"/>
      <c r="N511" s="1834"/>
      <c r="O511" s="1739"/>
      <c r="Z511" s="1739"/>
    </row>
    <row r="512" spans="1:26" x14ac:dyDescent="0.5">
      <c r="A512" s="1739"/>
      <c r="N512" s="1834"/>
      <c r="O512" s="1739"/>
      <c r="Z512" s="1739"/>
    </row>
    <row r="513" spans="1:26" x14ac:dyDescent="0.5">
      <c r="A513" s="1739"/>
      <c r="N513" s="1834"/>
      <c r="O513" s="1739"/>
      <c r="Z513" s="1739"/>
    </row>
    <row r="514" spans="1:26" x14ac:dyDescent="0.5">
      <c r="A514" s="1739"/>
      <c r="N514" s="1834"/>
      <c r="O514" s="1739"/>
      <c r="Z514" s="1739"/>
    </row>
    <row r="515" spans="1:26" x14ac:dyDescent="0.5">
      <c r="A515" s="1739"/>
      <c r="N515" s="1834"/>
      <c r="O515" s="1739"/>
      <c r="Z515" s="1739"/>
    </row>
    <row r="516" spans="1:26" x14ac:dyDescent="0.5">
      <c r="A516" s="1739"/>
      <c r="N516" s="1834"/>
      <c r="O516" s="1739"/>
      <c r="Z516" s="1739"/>
    </row>
    <row r="517" spans="1:26" x14ac:dyDescent="0.5">
      <c r="A517" s="1739"/>
      <c r="N517" s="1834"/>
      <c r="O517" s="1739"/>
      <c r="Z517" s="1739"/>
    </row>
    <row r="518" spans="1:26" x14ac:dyDescent="0.5">
      <c r="A518" s="1739"/>
      <c r="N518" s="1834"/>
      <c r="O518" s="1739"/>
      <c r="Z518" s="1739"/>
    </row>
    <row r="519" spans="1:26" x14ac:dyDescent="0.5">
      <c r="A519" s="1739"/>
      <c r="N519" s="1834"/>
      <c r="O519" s="1739"/>
      <c r="Z519" s="1739"/>
    </row>
    <row r="520" spans="1:26" x14ac:dyDescent="0.5">
      <c r="A520" s="1739"/>
      <c r="N520" s="1834"/>
      <c r="O520" s="1739"/>
      <c r="Z520" s="1739"/>
    </row>
    <row r="521" spans="1:26" x14ac:dyDescent="0.5">
      <c r="A521" s="1739"/>
      <c r="N521" s="1834"/>
      <c r="O521" s="1739"/>
      <c r="Z521" s="1739"/>
    </row>
    <row r="522" spans="1:26" x14ac:dyDescent="0.5">
      <c r="A522" s="1739"/>
      <c r="N522" s="1834"/>
      <c r="O522" s="1739"/>
      <c r="Z522" s="1739"/>
    </row>
    <row r="523" spans="1:26" x14ac:dyDescent="0.5">
      <c r="A523" s="1739"/>
      <c r="N523" s="1834"/>
      <c r="O523" s="1739"/>
      <c r="Z523" s="1739"/>
    </row>
    <row r="524" spans="1:26" x14ac:dyDescent="0.5">
      <c r="A524" s="1739"/>
      <c r="N524" s="1834"/>
      <c r="O524" s="1739"/>
      <c r="Z524" s="1739"/>
    </row>
    <row r="525" spans="1:26" x14ac:dyDescent="0.5">
      <c r="A525" s="1739"/>
      <c r="N525" s="1834"/>
      <c r="O525" s="1739"/>
      <c r="Z525" s="1739"/>
    </row>
    <row r="526" spans="1:26" x14ac:dyDescent="0.5">
      <c r="A526" s="1739"/>
      <c r="N526" s="1834"/>
      <c r="O526" s="1739"/>
      <c r="Z526" s="1739"/>
    </row>
    <row r="527" spans="1:26" x14ac:dyDescent="0.5">
      <c r="A527" s="1739"/>
      <c r="N527" s="1834"/>
      <c r="O527" s="1739"/>
      <c r="Z527" s="1739"/>
    </row>
    <row r="528" spans="1:26" x14ac:dyDescent="0.5">
      <c r="A528" s="1739"/>
      <c r="N528" s="1834"/>
      <c r="O528" s="1739"/>
      <c r="Z528" s="1739"/>
    </row>
    <row r="529" spans="1:26" x14ac:dyDescent="0.5">
      <c r="A529" s="1739"/>
      <c r="N529" s="1834"/>
      <c r="O529" s="1739"/>
      <c r="Z529" s="1739"/>
    </row>
    <row r="530" spans="1:26" x14ac:dyDescent="0.5">
      <c r="A530" s="1739"/>
      <c r="N530" s="1834"/>
      <c r="O530" s="1739"/>
      <c r="Z530" s="1739"/>
    </row>
    <row r="531" spans="1:26" x14ac:dyDescent="0.5">
      <c r="A531" s="1739"/>
      <c r="N531" s="1834"/>
      <c r="O531" s="1739"/>
      <c r="Z531" s="1739"/>
    </row>
    <row r="532" spans="1:26" x14ac:dyDescent="0.5">
      <c r="A532" s="1739"/>
      <c r="N532" s="1834"/>
      <c r="O532" s="1739"/>
      <c r="Z532" s="1739"/>
    </row>
    <row r="533" spans="1:26" x14ac:dyDescent="0.5">
      <c r="A533" s="1739"/>
      <c r="N533" s="1834"/>
      <c r="O533" s="1739"/>
      <c r="Z533" s="1739"/>
    </row>
    <row r="534" spans="1:26" x14ac:dyDescent="0.5">
      <c r="A534" s="1739"/>
      <c r="N534" s="1834"/>
      <c r="O534" s="1739"/>
      <c r="Z534" s="1739"/>
    </row>
    <row r="535" spans="1:26" x14ac:dyDescent="0.5">
      <c r="A535" s="1739"/>
      <c r="N535" s="1834"/>
      <c r="O535" s="1739"/>
      <c r="Z535" s="1739"/>
    </row>
    <row r="536" spans="1:26" x14ac:dyDescent="0.5">
      <c r="A536" s="1739"/>
      <c r="N536" s="1834"/>
      <c r="O536" s="1739"/>
      <c r="Z536" s="1739"/>
    </row>
    <row r="537" spans="1:26" x14ac:dyDescent="0.5">
      <c r="A537" s="1739"/>
      <c r="N537" s="1834"/>
      <c r="O537" s="1739"/>
      <c r="Z537" s="1739"/>
    </row>
    <row r="538" spans="1:26" x14ac:dyDescent="0.5">
      <c r="A538" s="1739"/>
      <c r="N538" s="1834"/>
      <c r="O538" s="1739"/>
      <c r="Z538" s="1739"/>
    </row>
    <row r="539" spans="1:26" x14ac:dyDescent="0.5">
      <c r="A539" s="1739"/>
      <c r="N539" s="1834"/>
      <c r="O539" s="1739"/>
      <c r="Z539" s="1739"/>
    </row>
    <row r="540" spans="1:26" x14ac:dyDescent="0.5">
      <c r="A540" s="1739"/>
      <c r="N540" s="1834"/>
      <c r="O540" s="1739"/>
      <c r="Z540" s="1739"/>
    </row>
    <row r="541" spans="1:26" x14ac:dyDescent="0.5">
      <c r="A541" s="1739"/>
      <c r="N541" s="1834"/>
      <c r="O541" s="1739"/>
      <c r="Z541" s="1739"/>
    </row>
    <row r="542" spans="1:26" x14ac:dyDescent="0.5">
      <c r="A542" s="1739"/>
      <c r="N542" s="1834"/>
      <c r="O542" s="1739"/>
      <c r="Z542" s="1739"/>
    </row>
    <row r="543" spans="1:26" x14ac:dyDescent="0.5">
      <c r="A543" s="1739"/>
      <c r="N543" s="1834"/>
      <c r="O543" s="1739"/>
      <c r="Z543" s="1739"/>
    </row>
    <row r="544" spans="1:26" x14ac:dyDescent="0.5">
      <c r="A544" s="1739"/>
      <c r="N544" s="1834"/>
      <c r="O544" s="1739"/>
      <c r="Z544" s="1739"/>
    </row>
    <row r="545" spans="1:26" x14ac:dyDescent="0.5">
      <c r="A545" s="1739"/>
      <c r="N545" s="1834"/>
      <c r="O545" s="1739"/>
      <c r="Z545" s="1739"/>
    </row>
    <row r="546" spans="1:26" x14ac:dyDescent="0.5">
      <c r="A546" s="1739"/>
      <c r="N546" s="1834"/>
      <c r="O546" s="1739"/>
      <c r="Z546" s="1739"/>
    </row>
    <row r="547" spans="1:26" x14ac:dyDescent="0.5">
      <c r="A547" s="1739"/>
      <c r="N547" s="1834"/>
      <c r="O547" s="1739"/>
      <c r="Z547" s="1739"/>
    </row>
    <row r="548" spans="1:26" x14ac:dyDescent="0.5">
      <c r="A548" s="1739"/>
      <c r="N548" s="1834"/>
      <c r="O548" s="1739"/>
      <c r="Z548" s="1739"/>
    </row>
    <row r="549" spans="1:26" x14ac:dyDescent="0.5">
      <c r="A549" s="1739"/>
      <c r="N549" s="1834"/>
      <c r="O549" s="1739"/>
      <c r="Z549" s="1739"/>
    </row>
    <row r="550" spans="1:26" x14ac:dyDescent="0.5">
      <c r="A550" s="1739"/>
      <c r="N550" s="1834"/>
      <c r="O550" s="1739"/>
      <c r="Z550" s="1739"/>
    </row>
    <row r="551" spans="1:26" x14ac:dyDescent="0.5">
      <c r="A551" s="1739"/>
      <c r="N551" s="1834"/>
      <c r="O551" s="1739"/>
      <c r="Z551" s="1739"/>
    </row>
    <row r="552" spans="1:26" x14ac:dyDescent="0.5">
      <c r="A552" s="1739"/>
      <c r="N552" s="1834"/>
      <c r="O552" s="1739"/>
      <c r="Z552" s="1739"/>
    </row>
    <row r="553" spans="1:26" x14ac:dyDescent="0.5">
      <c r="A553" s="1739"/>
      <c r="N553" s="1834"/>
      <c r="O553" s="1739"/>
      <c r="Z553" s="1739"/>
    </row>
    <row r="554" spans="1:26" x14ac:dyDescent="0.5">
      <c r="A554" s="1739"/>
      <c r="N554" s="1834"/>
      <c r="O554" s="1739"/>
      <c r="Z554" s="1739"/>
    </row>
    <row r="555" spans="1:26" x14ac:dyDescent="0.5">
      <c r="A555" s="1739"/>
      <c r="N555" s="1834"/>
      <c r="O555" s="1739"/>
      <c r="Z555" s="1739"/>
    </row>
    <row r="556" spans="1:26" x14ac:dyDescent="0.5">
      <c r="A556" s="1739"/>
      <c r="N556" s="1834"/>
      <c r="O556" s="1739"/>
      <c r="Z556" s="1739"/>
    </row>
    <row r="557" spans="1:26" x14ac:dyDescent="0.5">
      <c r="A557" s="1739"/>
      <c r="N557" s="1834"/>
      <c r="O557" s="1739"/>
      <c r="Z557" s="1739"/>
    </row>
    <row r="558" spans="1:26" x14ac:dyDescent="0.5">
      <c r="A558" s="1739"/>
      <c r="N558" s="1834"/>
      <c r="O558" s="1739"/>
      <c r="Z558" s="1739"/>
    </row>
    <row r="559" spans="1:26" x14ac:dyDescent="0.5">
      <c r="A559" s="1739"/>
      <c r="N559" s="1834"/>
      <c r="O559" s="1739"/>
      <c r="Z559" s="1739"/>
    </row>
    <row r="560" spans="1:26" x14ac:dyDescent="0.5">
      <c r="A560" s="1739"/>
      <c r="N560" s="1834"/>
      <c r="O560" s="1739"/>
      <c r="Z560" s="1739"/>
    </row>
    <row r="561" spans="1:26" x14ac:dyDescent="0.5">
      <c r="A561" s="1739"/>
      <c r="N561" s="1834"/>
      <c r="O561" s="1739"/>
      <c r="Z561" s="1739"/>
    </row>
    <row r="562" spans="1:26" x14ac:dyDescent="0.5">
      <c r="A562" s="1739"/>
      <c r="N562" s="1834"/>
      <c r="O562" s="1739"/>
      <c r="Z562" s="1739"/>
    </row>
    <row r="563" spans="1:26" x14ac:dyDescent="0.5">
      <c r="A563" s="1739"/>
      <c r="N563" s="1834"/>
      <c r="O563" s="1739"/>
      <c r="Z563" s="1739"/>
    </row>
    <row r="564" spans="1:26" x14ac:dyDescent="0.5">
      <c r="A564" s="1739"/>
      <c r="N564" s="1834"/>
      <c r="O564" s="1739"/>
      <c r="Z564" s="1739"/>
    </row>
    <row r="565" spans="1:26" x14ac:dyDescent="0.5">
      <c r="A565" s="1739"/>
      <c r="N565" s="1834"/>
      <c r="O565" s="1739"/>
      <c r="Z565" s="1739"/>
    </row>
    <row r="566" spans="1:26" x14ac:dyDescent="0.5">
      <c r="A566" s="1739"/>
      <c r="N566" s="1834"/>
      <c r="O566" s="1739"/>
      <c r="Z566" s="1739"/>
    </row>
    <row r="567" spans="1:26" x14ac:dyDescent="0.5">
      <c r="A567" s="1739"/>
      <c r="N567" s="1834"/>
      <c r="O567" s="1739"/>
      <c r="Z567" s="1739"/>
    </row>
    <row r="568" spans="1:26" x14ac:dyDescent="0.5">
      <c r="A568" s="1739"/>
      <c r="N568" s="1834"/>
      <c r="O568" s="1739"/>
      <c r="Z568" s="1739"/>
    </row>
    <row r="569" spans="1:26" x14ac:dyDescent="0.5">
      <c r="A569" s="1739"/>
      <c r="N569" s="1834"/>
      <c r="O569" s="1739"/>
      <c r="Z569" s="1739"/>
    </row>
    <row r="570" spans="1:26" x14ac:dyDescent="0.5">
      <c r="A570" s="1739"/>
      <c r="N570" s="1834"/>
      <c r="O570" s="1739"/>
      <c r="Z570" s="1739"/>
    </row>
    <row r="571" spans="1:26" x14ac:dyDescent="0.5">
      <c r="A571" s="1739"/>
      <c r="N571" s="1834"/>
      <c r="O571" s="1739"/>
      <c r="Z571" s="1739"/>
    </row>
    <row r="572" spans="1:26" x14ac:dyDescent="0.5">
      <c r="A572" s="1739"/>
      <c r="N572" s="1834"/>
      <c r="O572" s="1739"/>
      <c r="Z572" s="1739"/>
    </row>
    <row r="573" spans="1:26" x14ac:dyDescent="0.5">
      <c r="A573" s="1739"/>
      <c r="N573" s="1834"/>
      <c r="O573" s="1739"/>
      <c r="Z573" s="1739"/>
    </row>
    <row r="574" spans="1:26" x14ac:dyDescent="0.5">
      <c r="A574" s="1739"/>
      <c r="N574" s="1834"/>
      <c r="O574" s="1739"/>
      <c r="Z574" s="1739"/>
    </row>
    <row r="575" spans="1:26" x14ac:dyDescent="0.5">
      <c r="A575" s="1739"/>
      <c r="N575" s="1834"/>
      <c r="O575" s="1739"/>
      <c r="Z575" s="1739"/>
    </row>
    <row r="576" spans="1:26" x14ac:dyDescent="0.5">
      <c r="A576" s="1739"/>
      <c r="N576" s="1834"/>
      <c r="O576" s="1739"/>
      <c r="Z576" s="1739"/>
    </row>
    <row r="577" spans="1:26" x14ac:dyDescent="0.5">
      <c r="A577" s="1739"/>
      <c r="N577" s="1834"/>
      <c r="O577" s="1739"/>
      <c r="Z577" s="1739"/>
    </row>
    <row r="578" spans="1:26" x14ac:dyDescent="0.5">
      <c r="A578" s="1739"/>
      <c r="N578" s="1834"/>
      <c r="O578" s="1739"/>
      <c r="Z578" s="1739"/>
    </row>
    <row r="579" spans="1:26" x14ac:dyDescent="0.5">
      <c r="A579" s="1739"/>
      <c r="N579" s="1834"/>
      <c r="O579" s="1739"/>
      <c r="Z579" s="1739"/>
    </row>
    <row r="580" spans="1:26" x14ac:dyDescent="0.5">
      <c r="A580" s="1739"/>
      <c r="N580" s="1834"/>
      <c r="O580" s="1739"/>
      <c r="Z580" s="1739"/>
    </row>
    <row r="581" spans="1:26" x14ac:dyDescent="0.5">
      <c r="A581" s="1739"/>
      <c r="N581" s="1834"/>
      <c r="O581" s="1739"/>
      <c r="Z581" s="1739"/>
    </row>
    <row r="582" spans="1:26" x14ac:dyDescent="0.5">
      <c r="A582" s="1739"/>
      <c r="N582" s="1834"/>
      <c r="O582" s="1739"/>
      <c r="Z582" s="1739"/>
    </row>
    <row r="583" spans="1:26" x14ac:dyDescent="0.5">
      <c r="A583" s="1739"/>
      <c r="N583" s="1834"/>
      <c r="O583" s="1739"/>
      <c r="Z583" s="1739"/>
    </row>
    <row r="584" spans="1:26" x14ac:dyDescent="0.5">
      <c r="A584" s="1739"/>
      <c r="N584" s="1834"/>
      <c r="O584" s="1739"/>
      <c r="Z584" s="1739"/>
    </row>
    <row r="585" spans="1:26" x14ac:dyDescent="0.5">
      <c r="A585" s="1739"/>
      <c r="N585" s="1834"/>
      <c r="O585" s="1739"/>
      <c r="Z585" s="1739"/>
    </row>
    <row r="586" spans="1:26" x14ac:dyDescent="0.5">
      <c r="A586" s="1739"/>
      <c r="N586" s="1834"/>
      <c r="O586" s="1739"/>
      <c r="Z586" s="1739"/>
    </row>
    <row r="587" spans="1:26" x14ac:dyDescent="0.5">
      <c r="A587" s="1739"/>
      <c r="N587" s="1834"/>
      <c r="O587" s="1739"/>
      <c r="Z587" s="1739"/>
    </row>
    <row r="588" spans="1:26" x14ac:dyDescent="0.5">
      <c r="A588" s="1739"/>
      <c r="N588" s="1834"/>
      <c r="O588" s="1739"/>
      <c r="Z588" s="1739"/>
    </row>
    <row r="589" spans="1:26" x14ac:dyDescent="0.5">
      <c r="A589" s="1739"/>
      <c r="N589" s="1834"/>
      <c r="O589" s="1739"/>
      <c r="Z589" s="1739"/>
    </row>
    <row r="590" spans="1:26" x14ac:dyDescent="0.5">
      <c r="A590" s="1739"/>
      <c r="N590" s="1834"/>
      <c r="O590" s="1739"/>
      <c r="Z590" s="1739"/>
    </row>
    <row r="591" spans="1:26" x14ac:dyDescent="0.5">
      <c r="A591" s="1739"/>
      <c r="N591" s="1834"/>
      <c r="O591" s="1739"/>
      <c r="Z591" s="1739"/>
    </row>
    <row r="592" spans="1:26" x14ac:dyDescent="0.5">
      <c r="A592" s="1739"/>
      <c r="N592" s="1834"/>
      <c r="O592" s="1739"/>
      <c r="Z592" s="1739"/>
    </row>
    <row r="593" spans="1:26" x14ac:dyDescent="0.5">
      <c r="A593" s="1739"/>
      <c r="N593" s="1834"/>
      <c r="O593" s="1739"/>
      <c r="Z593" s="1739"/>
    </row>
    <row r="594" spans="1:26" x14ac:dyDescent="0.5">
      <c r="A594" s="1739"/>
      <c r="N594" s="1834"/>
      <c r="O594" s="1739"/>
      <c r="Z594" s="1739"/>
    </row>
    <row r="595" spans="1:26" x14ac:dyDescent="0.5">
      <c r="A595" s="1739"/>
      <c r="N595" s="1834"/>
      <c r="O595" s="1739"/>
      <c r="Z595" s="1739"/>
    </row>
    <row r="596" spans="1:26" x14ac:dyDescent="0.5">
      <c r="A596" s="1739"/>
      <c r="N596" s="1834"/>
      <c r="O596" s="1739"/>
      <c r="Z596" s="1739"/>
    </row>
    <row r="597" spans="1:26" x14ac:dyDescent="0.5">
      <c r="A597" s="1739"/>
      <c r="N597" s="1834"/>
      <c r="O597" s="1739"/>
      <c r="Z597" s="1739"/>
    </row>
    <row r="598" spans="1:26" x14ac:dyDescent="0.5">
      <c r="A598" s="1739"/>
      <c r="N598" s="1834"/>
      <c r="O598" s="1739"/>
      <c r="Z598" s="1739"/>
    </row>
    <row r="599" spans="1:26" x14ac:dyDescent="0.5">
      <c r="A599" s="1739"/>
      <c r="N599" s="1834"/>
      <c r="O599" s="1739"/>
      <c r="Z599" s="1739"/>
    </row>
    <row r="600" spans="1:26" x14ac:dyDescent="0.5">
      <c r="A600" s="1739"/>
      <c r="N600" s="1834"/>
      <c r="O600" s="1739"/>
      <c r="Z600" s="1739"/>
    </row>
    <row r="601" spans="1:26" x14ac:dyDescent="0.5">
      <c r="A601" s="1739"/>
      <c r="N601" s="1834"/>
      <c r="O601" s="1739"/>
      <c r="Z601" s="1739"/>
    </row>
    <row r="602" spans="1:26" x14ac:dyDescent="0.5">
      <c r="A602" s="1739"/>
      <c r="N602" s="1834"/>
      <c r="O602" s="1739"/>
      <c r="Z602" s="1739"/>
    </row>
    <row r="603" spans="1:26" x14ac:dyDescent="0.5">
      <c r="A603" s="1739"/>
      <c r="N603" s="1834"/>
      <c r="O603" s="1739"/>
      <c r="Z603" s="1739"/>
    </row>
    <row r="604" spans="1:26" x14ac:dyDescent="0.5">
      <c r="A604" s="1739"/>
      <c r="N604" s="1834"/>
      <c r="O604" s="1739"/>
      <c r="Z604" s="1739"/>
    </row>
    <row r="605" spans="1:26" x14ac:dyDescent="0.5">
      <c r="A605" s="1739"/>
      <c r="N605" s="1834"/>
      <c r="O605" s="1739"/>
      <c r="Z605" s="1739"/>
    </row>
    <row r="606" spans="1:26" x14ac:dyDescent="0.5">
      <c r="A606" s="1739"/>
      <c r="N606" s="1834"/>
      <c r="O606" s="1739"/>
      <c r="Z606" s="1739"/>
    </row>
    <row r="607" spans="1:26" x14ac:dyDescent="0.5">
      <c r="A607" s="1739"/>
      <c r="N607" s="1834"/>
      <c r="O607" s="1739"/>
      <c r="Z607" s="1739"/>
    </row>
    <row r="608" spans="1:26" x14ac:dyDescent="0.5">
      <c r="A608" s="1739"/>
      <c r="N608" s="1834"/>
      <c r="O608" s="1739"/>
      <c r="Z608" s="1739"/>
    </row>
    <row r="609" spans="1:26" x14ac:dyDescent="0.5">
      <c r="A609" s="1739"/>
      <c r="N609" s="1834"/>
      <c r="O609" s="1739"/>
      <c r="Z609" s="1739"/>
    </row>
    <row r="610" spans="1:26" x14ac:dyDescent="0.5">
      <c r="A610" s="1739"/>
      <c r="N610" s="1834"/>
      <c r="O610" s="1739"/>
      <c r="Z610" s="1739"/>
    </row>
    <row r="611" spans="1:26" x14ac:dyDescent="0.5">
      <c r="A611" s="1739"/>
      <c r="N611" s="1834"/>
      <c r="O611" s="1739"/>
      <c r="Z611" s="1739"/>
    </row>
    <row r="612" spans="1:26" x14ac:dyDescent="0.5">
      <c r="A612" s="1739"/>
      <c r="N612" s="1834"/>
      <c r="O612" s="1739"/>
      <c r="Z612" s="1739"/>
    </row>
    <row r="613" spans="1:26" x14ac:dyDescent="0.5">
      <c r="A613" s="1739"/>
      <c r="N613" s="1834"/>
      <c r="O613" s="1739"/>
      <c r="Z613" s="1739"/>
    </row>
    <row r="614" spans="1:26" x14ac:dyDescent="0.5">
      <c r="A614" s="1739"/>
      <c r="N614" s="1834"/>
      <c r="O614" s="1739"/>
      <c r="Z614" s="1739"/>
    </row>
    <row r="615" spans="1:26" x14ac:dyDescent="0.5">
      <c r="A615" s="1739"/>
      <c r="N615" s="1834"/>
      <c r="O615" s="1739"/>
      <c r="Z615" s="1739"/>
    </row>
    <row r="616" spans="1:26" x14ac:dyDescent="0.5">
      <c r="A616" s="1739"/>
      <c r="N616" s="1834"/>
      <c r="O616" s="1739"/>
      <c r="Z616" s="1739"/>
    </row>
    <row r="617" spans="1:26" x14ac:dyDescent="0.5">
      <c r="A617" s="1739"/>
      <c r="N617" s="1834"/>
      <c r="O617" s="1739"/>
      <c r="Z617" s="1739"/>
    </row>
    <row r="618" spans="1:26" x14ac:dyDescent="0.5">
      <c r="A618" s="1739"/>
      <c r="N618" s="1834"/>
      <c r="O618" s="1739"/>
      <c r="Z618" s="1739"/>
    </row>
    <row r="619" spans="1:26" x14ac:dyDescent="0.5">
      <c r="A619" s="1739"/>
      <c r="N619" s="1834"/>
      <c r="O619" s="1739"/>
      <c r="Z619" s="1739"/>
    </row>
    <row r="620" spans="1:26" x14ac:dyDescent="0.5">
      <c r="A620" s="1739"/>
      <c r="N620" s="1834"/>
      <c r="O620" s="1739"/>
      <c r="Z620" s="1739"/>
    </row>
    <row r="621" spans="1:26" x14ac:dyDescent="0.5">
      <c r="A621" s="1739"/>
      <c r="N621" s="1834"/>
      <c r="O621" s="1739"/>
      <c r="Z621" s="1739"/>
    </row>
    <row r="622" spans="1:26" x14ac:dyDescent="0.5">
      <c r="A622" s="1739"/>
      <c r="N622" s="1834"/>
      <c r="O622" s="1739"/>
      <c r="Z622" s="1739"/>
    </row>
    <row r="623" spans="1:26" x14ac:dyDescent="0.5">
      <c r="A623" s="1739"/>
      <c r="N623" s="1834"/>
      <c r="O623" s="1739"/>
      <c r="Z623" s="1739"/>
    </row>
    <row r="624" spans="1:26" x14ac:dyDescent="0.5">
      <c r="A624" s="1739"/>
      <c r="N624" s="1834"/>
      <c r="O624" s="1739"/>
      <c r="Z624" s="1739"/>
    </row>
    <row r="625" spans="1:26" x14ac:dyDescent="0.5">
      <c r="A625" s="1739"/>
      <c r="N625" s="1834"/>
      <c r="O625" s="1739"/>
      <c r="Z625" s="1739"/>
    </row>
    <row r="626" spans="1:26" x14ac:dyDescent="0.5">
      <c r="A626" s="1739"/>
      <c r="N626" s="1834"/>
      <c r="O626" s="1739"/>
      <c r="Z626" s="1739"/>
    </row>
    <row r="627" spans="1:26" x14ac:dyDescent="0.5">
      <c r="A627" s="1739"/>
      <c r="N627" s="1834"/>
      <c r="O627" s="1739"/>
      <c r="Z627" s="1739"/>
    </row>
    <row r="628" spans="1:26" x14ac:dyDescent="0.5">
      <c r="A628" s="1739"/>
      <c r="N628" s="1834"/>
      <c r="O628" s="1739"/>
      <c r="Z628" s="1739"/>
    </row>
    <row r="629" spans="1:26" x14ac:dyDescent="0.5">
      <c r="A629" s="1739"/>
      <c r="N629" s="1834"/>
      <c r="O629" s="1739"/>
      <c r="Z629" s="1739"/>
    </row>
    <row r="630" spans="1:26" x14ac:dyDescent="0.5">
      <c r="A630" s="1739"/>
      <c r="N630" s="1834"/>
      <c r="O630" s="1739"/>
      <c r="Z630" s="1739"/>
    </row>
    <row r="631" spans="1:26" x14ac:dyDescent="0.5">
      <c r="A631" s="1739"/>
      <c r="N631" s="1834"/>
      <c r="O631" s="1739"/>
      <c r="Z631" s="1739"/>
    </row>
    <row r="632" spans="1:26" x14ac:dyDescent="0.5">
      <c r="A632" s="1739"/>
      <c r="N632" s="1834"/>
      <c r="O632" s="1739"/>
      <c r="Z632" s="1739"/>
    </row>
    <row r="633" spans="1:26" x14ac:dyDescent="0.5">
      <c r="A633" s="1739"/>
      <c r="N633" s="1834"/>
      <c r="O633" s="1739"/>
      <c r="Z633" s="1739"/>
    </row>
    <row r="634" spans="1:26" x14ac:dyDescent="0.5">
      <c r="A634" s="1739"/>
      <c r="N634" s="1834"/>
      <c r="O634" s="1739"/>
      <c r="Z634" s="1739"/>
    </row>
    <row r="635" spans="1:26" x14ac:dyDescent="0.5">
      <c r="A635" s="1739"/>
      <c r="N635" s="1834"/>
      <c r="O635" s="1739"/>
      <c r="Z635" s="1739"/>
    </row>
    <row r="636" spans="1:26" x14ac:dyDescent="0.5">
      <c r="A636" s="1739"/>
      <c r="N636" s="1834"/>
      <c r="O636" s="1739"/>
      <c r="Z636" s="1739"/>
    </row>
    <row r="637" spans="1:26" x14ac:dyDescent="0.5">
      <c r="A637" s="1739"/>
      <c r="N637" s="1834"/>
      <c r="O637" s="1739"/>
      <c r="Z637" s="1739"/>
    </row>
    <row r="638" spans="1:26" x14ac:dyDescent="0.5">
      <c r="A638" s="1739"/>
      <c r="N638" s="1834"/>
      <c r="O638" s="1739"/>
      <c r="Z638" s="1739"/>
    </row>
    <row r="639" spans="1:26" x14ac:dyDescent="0.5">
      <c r="A639" s="1739"/>
      <c r="N639" s="1834"/>
      <c r="O639" s="1739"/>
      <c r="Z639" s="1739"/>
    </row>
    <row r="640" spans="1:26" x14ac:dyDescent="0.5">
      <c r="A640" s="1739"/>
      <c r="N640" s="1834"/>
      <c r="O640" s="1739"/>
      <c r="Z640" s="1739"/>
    </row>
    <row r="641" spans="1:26" x14ac:dyDescent="0.5">
      <c r="A641" s="1739"/>
      <c r="N641" s="1834"/>
      <c r="O641" s="1739"/>
      <c r="Z641" s="1739"/>
    </row>
    <row r="642" spans="1:26" x14ac:dyDescent="0.5">
      <c r="A642" s="1739"/>
      <c r="N642" s="1834"/>
      <c r="O642" s="1739"/>
      <c r="Z642" s="1739"/>
    </row>
    <row r="643" spans="1:26" x14ac:dyDescent="0.5">
      <c r="A643" s="1739"/>
      <c r="N643" s="1834"/>
      <c r="O643" s="1739"/>
      <c r="Z643" s="1739"/>
    </row>
    <row r="644" spans="1:26" x14ac:dyDescent="0.5">
      <c r="A644" s="1739"/>
      <c r="N644" s="1834"/>
      <c r="O644" s="1739"/>
      <c r="Z644" s="1739"/>
    </row>
    <row r="645" spans="1:26" x14ac:dyDescent="0.5">
      <c r="A645" s="1739"/>
      <c r="N645" s="1834"/>
      <c r="O645" s="1739"/>
      <c r="Z645" s="1739"/>
    </row>
    <row r="646" spans="1:26" x14ac:dyDescent="0.5">
      <c r="A646" s="1739"/>
      <c r="N646" s="1834"/>
      <c r="O646" s="1739"/>
      <c r="Z646" s="1739"/>
    </row>
    <row r="647" spans="1:26" x14ac:dyDescent="0.5">
      <c r="A647" s="1739"/>
      <c r="N647" s="1834"/>
      <c r="O647" s="1739"/>
      <c r="Z647" s="1739"/>
    </row>
    <row r="648" spans="1:26" x14ac:dyDescent="0.5">
      <c r="A648" s="1739"/>
      <c r="N648" s="1834"/>
      <c r="O648" s="1739"/>
      <c r="Z648" s="1739"/>
    </row>
    <row r="649" spans="1:26" x14ac:dyDescent="0.5">
      <c r="A649" s="1739"/>
      <c r="N649" s="1834"/>
      <c r="O649" s="1739"/>
      <c r="Z649" s="1739"/>
    </row>
    <row r="650" spans="1:26" x14ac:dyDescent="0.5">
      <c r="A650" s="1739"/>
      <c r="N650" s="1834"/>
      <c r="O650" s="1739"/>
      <c r="Z650" s="1739"/>
    </row>
    <row r="651" spans="1:26" x14ac:dyDescent="0.5">
      <c r="A651" s="1739"/>
      <c r="N651" s="1834"/>
      <c r="O651" s="1739"/>
      <c r="Z651" s="1739"/>
    </row>
    <row r="652" spans="1:26" x14ac:dyDescent="0.5">
      <c r="A652" s="1739"/>
      <c r="N652" s="1834"/>
      <c r="O652" s="1739"/>
      <c r="Z652" s="1739"/>
    </row>
    <row r="653" spans="1:26" x14ac:dyDescent="0.5">
      <c r="A653" s="1739"/>
      <c r="N653" s="1834"/>
      <c r="O653" s="1739"/>
      <c r="Z653" s="1739"/>
    </row>
    <row r="654" spans="1:26" x14ac:dyDescent="0.5">
      <c r="A654" s="1739"/>
      <c r="N654" s="1834"/>
      <c r="O654" s="1739"/>
      <c r="Z654" s="1739"/>
    </row>
    <row r="655" spans="1:26" x14ac:dyDescent="0.5">
      <c r="A655" s="1739"/>
      <c r="N655" s="1834"/>
      <c r="O655" s="1739"/>
      <c r="Z655" s="1739"/>
    </row>
    <row r="656" spans="1:26" x14ac:dyDescent="0.5">
      <c r="A656" s="1739"/>
      <c r="N656" s="1834"/>
      <c r="O656" s="1739"/>
      <c r="Z656" s="1739"/>
    </row>
    <row r="657" spans="1:26" x14ac:dyDescent="0.5">
      <c r="A657" s="1739"/>
      <c r="N657" s="1834"/>
      <c r="O657" s="1739"/>
      <c r="Z657" s="1739"/>
    </row>
    <row r="658" spans="1:26" x14ac:dyDescent="0.5">
      <c r="A658" s="1739"/>
      <c r="N658" s="1834"/>
      <c r="O658" s="1739"/>
      <c r="Z658" s="1739"/>
    </row>
    <row r="659" spans="1:26" x14ac:dyDescent="0.5">
      <c r="A659" s="1739"/>
      <c r="N659" s="1834"/>
      <c r="O659" s="1739"/>
      <c r="Z659" s="1739"/>
    </row>
    <row r="660" spans="1:26" x14ac:dyDescent="0.5">
      <c r="A660" s="1739"/>
      <c r="N660" s="1834"/>
      <c r="O660" s="1739"/>
      <c r="Z660" s="1739"/>
    </row>
    <row r="661" spans="1:26" x14ac:dyDescent="0.5">
      <c r="A661" s="1739"/>
      <c r="N661" s="1834"/>
      <c r="O661" s="1739"/>
      <c r="Z661" s="1739"/>
    </row>
    <row r="662" spans="1:26" x14ac:dyDescent="0.5">
      <c r="A662" s="1739"/>
      <c r="N662" s="1834"/>
      <c r="O662" s="1739"/>
      <c r="Z662" s="1739"/>
    </row>
    <row r="663" spans="1:26" x14ac:dyDescent="0.5">
      <c r="A663" s="1739"/>
      <c r="N663" s="1834"/>
      <c r="O663" s="1739"/>
      <c r="Z663" s="1739"/>
    </row>
    <row r="664" spans="1:26" x14ac:dyDescent="0.5">
      <c r="A664" s="1739"/>
      <c r="N664" s="1834"/>
      <c r="O664" s="1739"/>
      <c r="Z664" s="1739"/>
    </row>
    <row r="665" spans="1:26" x14ac:dyDescent="0.5">
      <c r="A665" s="1739"/>
      <c r="N665" s="1834"/>
      <c r="O665" s="1739"/>
      <c r="Z665" s="1739"/>
    </row>
    <row r="666" spans="1:26" x14ac:dyDescent="0.5">
      <c r="A666" s="1739"/>
      <c r="N666" s="1834"/>
      <c r="O666" s="1739"/>
      <c r="Z666" s="1739"/>
    </row>
    <row r="667" spans="1:26" x14ac:dyDescent="0.5">
      <c r="A667" s="1739"/>
      <c r="N667" s="1834"/>
      <c r="O667" s="1739"/>
      <c r="Z667" s="1739"/>
    </row>
    <row r="668" spans="1:26" x14ac:dyDescent="0.5">
      <c r="A668" s="1739"/>
      <c r="N668" s="1834"/>
      <c r="O668" s="1739"/>
      <c r="Z668" s="1739"/>
    </row>
    <row r="669" spans="1:26" x14ac:dyDescent="0.5">
      <c r="A669" s="1739"/>
      <c r="N669" s="1834"/>
      <c r="O669" s="1739"/>
      <c r="Z669" s="1739"/>
    </row>
    <row r="670" spans="1:26" x14ac:dyDescent="0.5">
      <c r="A670" s="1739"/>
      <c r="N670" s="1834"/>
      <c r="O670" s="1739"/>
      <c r="Z670" s="1739"/>
    </row>
    <row r="671" spans="1:26" x14ac:dyDescent="0.5">
      <c r="A671" s="1739"/>
      <c r="N671" s="1834"/>
      <c r="O671" s="1739"/>
      <c r="Z671" s="1739"/>
    </row>
    <row r="672" spans="1:26" x14ac:dyDescent="0.5">
      <c r="A672" s="1739"/>
      <c r="N672" s="1834"/>
      <c r="O672" s="1739"/>
      <c r="Z672" s="1739"/>
    </row>
    <row r="673" spans="1:26" x14ac:dyDescent="0.5">
      <c r="A673" s="1739"/>
      <c r="N673" s="1834"/>
      <c r="O673" s="1739"/>
      <c r="Z673" s="1739"/>
    </row>
    <row r="674" spans="1:26" x14ac:dyDescent="0.5">
      <c r="A674" s="1739"/>
      <c r="N674" s="1834"/>
      <c r="O674" s="1739"/>
      <c r="Z674" s="1739"/>
    </row>
    <row r="675" spans="1:26" x14ac:dyDescent="0.5">
      <c r="A675" s="1739"/>
      <c r="N675" s="1834"/>
      <c r="O675" s="1739"/>
      <c r="Z675" s="1739"/>
    </row>
    <row r="676" spans="1:26" x14ac:dyDescent="0.5">
      <c r="A676" s="1739"/>
      <c r="N676" s="1834"/>
      <c r="O676" s="1739"/>
      <c r="Z676" s="1739"/>
    </row>
    <row r="677" spans="1:26" x14ac:dyDescent="0.5">
      <c r="A677" s="1739"/>
      <c r="N677" s="1834"/>
      <c r="O677" s="1739"/>
      <c r="Z677" s="1739"/>
    </row>
    <row r="678" spans="1:26" x14ac:dyDescent="0.5">
      <c r="A678" s="1739"/>
      <c r="N678" s="1834"/>
      <c r="O678" s="1739"/>
      <c r="Z678" s="1739"/>
    </row>
    <row r="679" spans="1:26" x14ac:dyDescent="0.5">
      <c r="A679" s="1739"/>
      <c r="N679" s="1834"/>
      <c r="O679" s="1739"/>
      <c r="Z679" s="1739"/>
    </row>
    <row r="680" spans="1:26" x14ac:dyDescent="0.5">
      <c r="A680" s="1739"/>
      <c r="N680" s="1834"/>
      <c r="O680" s="1739"/>
      <c r="Z680" s="1739"/>
    </row>
    <row r="681" spans="1:26" x14ac:dyDescent="0.5">
      <c r="A681" s="1739"/>
      <c r="N681" s="1834"/>
      <c r="O681" s="1739"/>
      <c r="Z681" s="1739"/>
    </row>
    <row r="682" spans="1:26" x14ac:dyDescent="0.5">
      <c r="A682" s="1739"/>
      <c r="N682" s="1834"/>
      <c r="O682" s="1739"/>
      <c r="Z682" s="1739"/>
    </row>
    <row r="683" spans="1:26" x14ac:dyDescent="0.5">
      <c r="A683" s="1739"/>
      <c r="N683" s="1834"/>
      <c r="O683" s="1739"/>
      <c r="Z683" s="1739"/>
    </row>
    <row r="684" spans="1:26" x14ac:dyDescent="0.5">
      <c r="A684" s="1739"/>
      <c r="N684" s="1834"/>
      <c r="O684" s="1739"/>
      <c r="Z684" s="1739"/>
    </row>
    <row r="685" spans="1:26" x14ac:dyDescent="0.5">
      <c r="A685" s="1739"/>
      <c r="N685" s="1834"/>
      <c r="O685" s="1739"/>
      <c r="Z685" s="1739"/>
    </row>
    <row r="686" spans="1:26" x14ac:dyDescent="0.5">
      <c r="A686" s="1739"/>
      <c r="N686" s="1834"/>
      <c r="O686" s="1739"/>
      <c r="Z686" s="1739"/>
    </row>
    <row r="687" spans="1:26" x14ac:dyDescent="0.5">
      <c r="A687" s="1739"/>
      <c r="N687" s="1834"/>
      <c r="O687" s="1739"/>
      <c r="Z687" s="1739"/>
    </row>
    <row r="688" spans="1:26" x14ac:dyDescent="0.5">
      <c r="A688" s="1739"/>
      <c r="N688" s="1834"/>
      <c r="O688" s="1739"/>
      <c r="Z688" s="1739"/>
    </row>
    <row r="689" spans="1:26" x14ac:dyDescent="0.5">
      <c r="A689" s="1739"/>
      <c r="N689" s="1834"/>
      <c r="O689" s="1739"/>
      <c r="Z689" s="1739"/>
    </row>
    <row r="690" spans="1:26" x14ac:dyDescent="0.5">
      <c r="A690" s="1739"/>
      <c r="N690" s="1834"/>
      <c r="O690" s="1739"/>
      <c r="Z690" s="1739"/>
    </row>
    <row r="691" spans="1:26" x14ac:dyDescent="0.5">
      <c r="A691" s="1739"/>
      <c r="N691" s="1834"/>
      <c r="O691" s="1739"/>
      <c r="Z691" s="1739"/>
    </row>
    <row r="692" spans="1:26" x14ac:dyDescent="0.5">
      <c r="A692" s="1739"/>
      <c r="N692" s="1834"/>
      <c r="O692" s="1739"/>
      <c r="Z692" s="1739"/>
    </row>
    <row r="693" spans="1:26" x14ac:dyDescent="0.5">
      <c r="A693" s="1739"/>
      <c r="N693" s="1834"/>
      <c r="O693" s="1739"/>
      <c r="Z693" s="1739"/>
    </row>
    <row r="694" spans="1:26" x14ac:dyDescent="0.5">
      <c r="A694" s="1739"/>
      <c r="N694" s="1834"/>
      <c r="O694" s="1739"/>
      <c r="Z694" s="1739"/>
    </row>
    <row r="695" spans="1:26" x14ac:dyDescent="0.5">
      <c r="A695" s="1739"/>
      <c r="N695" s="1834"/>
      <c r="O695" s="1739"/>
      <c r="Z695" s="1739"/>
    </row>
    <row r="696" spans="1:26" x14ac:dyDescent="0.5">
      <c r="A696" s="1739"/>
      <c r="N696" s="1834"/>
      <c r="O696" s="1739"/>
      <c r="Z696" s="1739"/>
    </row>
    <row r="697" spans="1:26" x14ac:dyDescent="0.5">
      <c r="A697" s="1739"/>
      <c r="N697" s="1834"/>
      <c r="O697" s="1739"/>
      <c r="Z697" s="1739"/>
    </row>
    <row r="698" spans="1:26" x14ac:dyDescent="0.5">
      <c r="A698" s="1739"/>
      <c r="N698" s="1834"/>
      <c r="O698" s="1739"/>
      <c r="Z698" s="1739"/>
    </row>
    <row r="699" spans="1:26" x14ac:dyDescent="0.5">
      <c r="A699" s="1739"/>
      <c r="N699" s="1834"/>
      <c r="O699" s="1739"/>
      <c r="Z699" s="1739"/>
    </row>
    <row r="700" spans="1:26" x14ac:dyDescent="0.5">
      <c r="A700" s="1739"/>
      <c r="N700" s="1834"/>
      <c r="O700" s="1739"/>
      <c r="Z700" s="1739"/>
    </row>
    <row r="701" spans="1:26" x14ac:dyDescent="0.5">
      <c r="A701" s="1739"/>
      <c r="N701" s="1834"/>
      <c r="O701" s="1739"/>
      <c r="Z701" s="1739"/>
    </row>
    <row r="702" spans="1:26" x14ac:dyDescent="0.5">
      <c r="A702" s="1739"/>
      <c r="N702" s="1834"/>
      <c r="O702" s="1739"/>
      <c r="Z702" s="1739"/>
    </row>
    <row r="703" spans="1:26" x14ac:dyDescent="0.5">
      <c r="A703" s="1739"/>
      <c r="N703" s="1834"/>
      <c r="O703" s="1739"/>
      <c r="Z703" s="1739"/>
    </row>
    <row r="704" spans="1:26" x14ac:dyDescent="0.5">
      <c r="A704" s="1739"/>
      <c r="N704" s="1834"/>
      <c r="O704" s="1739"/>
      <c r="Z704" s="1739"/>
    </row>
    <row r="705" spans="1:26" x14ac:dyDescent="0.5">
      <c r="A705" s="1739"/>
      <c r="N705" s="1834"/>
      <c r="O705" s="1739"/>
      <c r="Z705" s="1739"/>
    </row>
    <row r="706" spans="1:26" x14ac:dyDescent="0.5">
      <c r="A706" s="1739"/>
      <c r="N706" s="1834"/>
      <c r="O706" s="1739"/>
      <c r="Z706" s="1739"/>
    </row>
    <row r="707" spans="1:26" x14ac:dyDescent="0.5">
      <c r="A707" s="1739"/>
      <c r="N707" s="1834"/>
      <c r="O707" s="1739"/>
      <c r="Z707" s="1739"/>
    </row>
    <row r="708" spans="1:26" x14ac:dyDescent="0.5">
      <c r="A708" s="1739"/>
      <c r="N708" s="1834"/>
      <c r="O708" s="1739"/>
      <c r="Z708" s="1739"/>
    </row>
    <row r="709" spans="1:26" x14ac:dyDescent="0.5">
      <c r="A709" s="1739"/>
      <c r="N709" s="1834"/>
      <c r="O709" s="1739"/>
      <c r="Z709" s="1739"/>
    </row>
    <row r="710" spans="1:26" x14ac:dyDescent="0.5">
      <c r="A710" s="1739"/>
      <c r="N710" s="1834"/>
      <c r="O710" s="1739"/>
      <c r="Z710" s="1739"/>
    </row>
    <row r="711" spans="1:26" x14ac:dyDescent="0.5">
      <c r="A711" s="1739"/>
      <c r="N711" s="1834"/>
      <c r="O711" s="1739"/>
      <c r="Z711" s="1739"/>
    </row>
  </sheetData>
  <protectedRanges>
    <protectedRange password="CC6F" sqref="B17" name="ช่วง1_5_1_5_1_1"/>
    <protectedRange password="CC6F" sqref="B8:B9 B12:B15" name="ช่วง1_5_1_5_1_1_1"/>
    <protectedRange password="CC6F" sqref="B16 B11" name="ช่วง1_5_1_5_1_1_4"/>
    <protectedRange password="CC6F" sqref="B10" name="ช่วง1_5_1_5_1_1_5"/>
  </protectedRanges>
  <mergeCells count="18">
    <mergeCell ref="X6:X7"/>
    <mergeCell ref="A18:C18"/>
    <mergeCell ref="D6:D7"/>
    <mergeCell ref="E6:E7"/>
    <mergeCell ref="F6:F7"/>
    <mergeCell ref="G6:G7"/>
    <mergeCell ref="H6:H7"/>
    <mergeCell ref="I6:I7"/>
    <mergeCell ref="A1:AA1"/>
    <mergeCell ref="A2:AA2"/>
    <mergeCell ref="A3:AA3"/>
    <mergeCell ref="A4:A7"/>
    <mergeCell ref="B4:B7"/>
    <mergeCell ref="D4:I4"/>
    <mergeCell ref="L4:L7"/>
    <mergeCell ref="X4:Y5"/>
    <mergeCell ref="AA4:AA7"/>
    <mergeCell ref="D5:I5"/>
  </mergeCells>
  <pageMargins left="0.39370078740157483" right="0.27559055118110237" top="0.74803149606299213" bottom="0.59055118110236227" header="0.31496062992125984" footer="0.31496062992125984"/>
  <pageSetup paperSize="9" scale="79" firstPageNumber="3" fitToHeight="0" orientation="landscape" useFirstPageNumber="1" r:id="rId1"/>
  <headerFooter scaleWithDoc="0" alignWithMargins="0">
    <oddFooter>&amp;Cหน้าที่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70A9A-F182-4793-A355-9CE9429C0E26}">
  <dimension ref="A1:Q174"/>
  <sheetViews>
    <sheetView workbookViewId="0">
      <selection activeCell="A17" sqref="A17"/>
    </sheetView>
  </sheetViews>
  <sheetFormatPr defaultRowHeight="24.6" x14ac:dyDescent="0.7"/>
  <cols>
    <col min="1" max="1" width="3.59765625" style="2087" customWidth="1"/>
    <col min="2" max="2" width="8.69921875" style="2080" customWidth="1"/>
    <col min="3" max="3" width="76.5" style="2024" customWidth="1"/>
    <col min="4" max="4" width="19.5" style="2088" customWidth="1"/>
    <col min="5" max="5" width="11.19921875" style="2088" customWidth="1"/>
    <col min="6" max="6" width="10.59765625" style="2088" customWidth="1"/>
    <col min="7" max="7" width="10.69921875" style="2088" customWidth="1"/>
    <col min="8" max="8" width="11.5" style="2088" customWidth="1"/>
    <col min="9" max="9" width="16.19921875" style="2088" customWidth="1"/>
    <col min="10" max="10" width="12.3984375" style="2089" hidden="1" customWidth="1"/>
    <col min="11" max="11" width="8.19921875" style="2090" customWidth="1"/>
    <col min="12" max="12" width="9.19921875" style="2088" customWidth="1"/>
    <col min="13" max="13" width="13.09765625" style="2088" customWidth="1"/>
    <col min="14" max="14" width="8.796875" style="2030"/>
    <col min="15" max="15" width="12.8984375" style="2030" customWidth="1"/>
    <col min="16" max="195" width="8.796875" style="2024"/>
    <col min="196" max="196" width="15.19921875" style="2024" customWidth="1"/>
    <col min="197" max="197" width="10.69921875" style="2024" customWidth="1"/>
    <col min="198" max="198" width="22.5" style="2024" customWidth="1"/>
    <col min="199" max="202" width="0" style="2024" hidden="1" customWidth="1"/>
    <col min="203" max="203" width="27.19921875" style="2024" customWidth="1"/>
    <col min="204" max="205" width="0" style="2024" hidden="1" customWidth="1"/>
    <col min="206" max="206" width="6.3984375" style="2024" bestFit="1" customWidth="1"/>
    <col min="207" max="207" width="33.09765625" style="2024" customWidth="1"/>
    <col min="208" max="208" width="30.69921875" style="2024" customWidth="1"/>
    <col min="209" max="209" width="6.09765625" style="2024" bestFit="1" customWidth="1"/>
    <col min="210" max="210" width="30.69921875" style="2024" customWidth="1"/>
    <col min="211" max="211" width="8.796875" style="2024"/>
    <col min="212" max="213" width="0" style="2024" hidden="1" customWidth="1"/>
    <col min="214" max="217" width="8.796875" style="2024"/>
    <col min="218" max="218" width="24.59765625" style="2024" customWidth="1"/>
    <col min="219" max="220" width="8.796875" style="2024"/>
    <col min="221" max="221" width="10.19921875" style="2024" bestFit="1" customWidth="1"/>
    <col min="222" max="451" width="8.796875" style="2024"/>
    <col min="452" max="452" width="15.19921875" style="2024" customWidth="1"/>
    <col min="453" max="453" width="10.69921875" style="2024" customWidth="1"/>
    <col min="454" max="454" width="22.5" style="2024" customWidth="1"/>
    <col min="455" max="458" width="0" style="2024" hidden="1" customWidth="1"/>
    <col min="459" max="459" width="27.19921875" style="2024" customWidth="1"/>
    <col min="460" max="461" width="0" style="2024" hidden="1" customWidth="1"/>
    <col min="462" max="462" width="6.3984375" style="2024" bestFit="1" customWidth="1"/>
    <col min="463" max="463" width="33.09765625" style="2024" customWidth="1"/>
    <col min="464" max="464" width="30.69921875" style="2024" customWidth="1"/>
    <col min="465" max="465" width="6.09765625" style="2024" bestFit="1" customWidth="1"/>
    <col min="466" max="466" width="30.69921875" style="2024" customWidth="1"/>
    <col min="467" max="467" width="8.796875" style="2024"/>
    <col min="468" max="469" width="0" style="2024" hidden="1" customWidth="1"/>
    <col min="470" max="473" width="8.796875" style="2024"/>
    <col min="474" max="474" width="24.59765625" style="2024" customWidth="1"/>
    <col min="475" max="476" width="8.796875" style="2024"/>
    <col min="477" max="477" width="10.19921875" style="2024" bestFit="1" customWidth="1"/>
    <col min="478" max="707" width="8.796875" style="2024"/>
    <col min="708" max="708" width="15.19921875" style="2024" customWidth="1"/>
    <col min="709" max="709" width="10.69921875" style="2024" customWidth="1"/>
    <col min="710" max="710" width="22.5" style="2024" customWidth="1"/>
    <col min="711" max="714" width="0" style="2024" hidden="1" customWidth="1"/>
    <col min="715" max="715" width="27.19921875" style="2024" customWidth="1"/>
    <col min="716" max="717" width="0" style="2024" hidden="1" customWidth="1"/>
    <col min="718" max="718" width="6.3984375" style="2024" bestFit="1" customWidth="1"/>
    <col min="719" max="719" width="33.09765625" style="2024" customWidth="1"/>
    <col min="720" max="720" width="30.69921875" style="2024" customWidth="1"/>
    <col min="721" max="721" width="6.09765625" style="2024" bestFit="1" customWidth="1"/>
    <col min="722" max="722" width="30.69921875" style="2024" customWidth="1"/>
    <col min="723" max="723" width="8.796875" style="2024"/>
    <col min="724" max="725" width="0" style="2024" hidden="1" customWidth="1"/>
    <col min="726" max="729" width="8.796875" style="2024"/>
    <col min="730" max="730" width="24.59765625" style="2024" customWidth="1"/>
    <col min="731" max="732" width="8.796875" style="2024"/>
    <col min="733" max="733" width="10.19921875" style="2024" bestFit="1" customWidth="1"/>
    <col min="734" max="963" width="8.796875" style="2024"/>
    <col min="964" max="964" width="15.19921875" style="2024" customWidth="1"/>
    <col min="965" max="965" width="10.69921875" style="2024" customWidth="1"/>
    <col min="966" max="966" width="22.5" style="2024" customWidth="1"/>
    <col min="967" max="970" width="0" style="2024" hidden="1" customWidth="1"/>
    <col min="971" max="971" width="27.19921875" style="2024" customWidth="1"/>
    <col min="972" max="973" width="0" style="2024" hidden="1" customWidth="1"/>
    <col min="974" max="974" width="6.3984375" style="2024" bestFit="1" customWidth="1"/>
    <col min="975" max="975" width="33.09765625" style="2024" customWidth="1"/>
    <col min="976" max="976" width="30.69921875" style="2024" customWidth="1"/>
    <col min="977" max="977" width="6.09765625" style="2024" bestFit="1" customWidth="1"/>
    <col min="978" max="978" width="30.69921875" style="2024" customWidth="1"/>
    <col min="979" max="979" width="8.796875" style="2024"/>
    <col min="980" max="981" width="0" style="2024" hidden="1" customWidth="1"/>
    <col min="982" max="985" width="8.796875" style="2024"/>
    <col min="986" max="986" width="24.59765625" style="2024" customWidth="1"/>
    <col min="987" max="988" width="8.796875" style="2024"/>
    <col min="989" max="989" width="10.19921875" style="2024" bestFit="1" customWidth="1"/>
    <col min="990" max="1219" width="8.796875" style="2024"/>
    <col min="1220" max="1220" width="15.19921875" style="2024" customWidth="1"/>
    <col min="1221" max="1221" width="10.69921875" style="2024" customWidth="1"/>
    <col min="1222" max="1222" width="22.5" style="2024" customWidth="1"/>
    <col min="1223" max="1226" width="0" style="2024" hidden="1" customWidth="1"/>
    <col min="1227" max="1227" width="27.19921875" style="2024" customWidth="1"/>
    <col min="1228" max="1229" width="0" style="2024" hidden="1" customWidth="1"/>
    <col min="1230" max="1230" width="6.3984375" style="2024" bestFit="1" customWidth="1"/>
    <col min="1231" max="1231" width="33.09765625" style="2024" customWidth="1"/>
    <col min="1232" max="1232" width="30.69921875" style="2024" customWidth="1"/>
    <col min="1233" max="1233" width="6.09765625" style="2024" bestFit="1" customWidth="1"/>
    <col min="1234" max="1234" width="30.69921875" style="2024" customWidth="1"/>
    <col min="1235" max="1235" width="8.796875" style="2024"/>
    <col min="1236" max="1237" width="0" style="2024" hidden="1" customWidth="1"/>
    <col min="1238" max="1241" width="8.796875" style="2024"/>
    <col min="1242" max="1242" width="24.59765625" style="2024" customWidth="1"/>
    <col min="1243" max="1244" width="8.796875" style="2024"/>
    <col min="1245" max="1245" width="10.19921875" style="2024" bestFit="1" customWidth="1"/>
    <col min="1246" max="1475" width="8.796875" style="2024"/>
    <col min="1476" max="1476" width="15.19921875" style="2024" customWidth="1"/>
    <col min="1477" max="1477" width="10.69921875" style="2024" customWidth="1"/>
    <col min="1478" max="1478" width="22.5" style="2024" customWidth="1"/>
    <col min="1479" max="1482" width="0" style="2024" hidden="1" customWidth="1"/>
    <col min="1483" max="1483" width="27.19921875" style="2024" customWidth="1"/>
    <col min="1484" max="1485" width="0" style="2024" hidden="1" customWidth="1"/>
    <col min="1486" max="1486" width="6.3984375" style="2024" bestFit="1" customWidth="1"/>
    <col min="1487" max="1487" width="33.09765625" style="2024" customWidth="1"/>
    <col min="1488" max="1488" width="30.69921875" style="2024" customWidth="1"/>
    <col min="1489" max="1489" width="6.09765625" style="2024" bestFit="1" customWidth="1"/>
    <col min="1490" max="1490" width="30.69921875" style="2024" customWidth="1"/>
    <col min="1491" max="1491" width="8.796875" style="2024"/>
    <col min="1492" max="1493" width="0" style="2024" hidden="1" customWidth="1"/>
    <col min="1494" max="1497" width="8.796875" style="2024"/>
    <col min="1498" max="1498" width="24.59765625" style="2024" customWidth="1"/>
    <col min="1499" max="1500" width="8.796875" style="2024"/>
    <col min="1501" max="1501" width="10.19921875" style="2024" bestFit="1" customWidth="1"/>
    <col min="1502" max="1731" width="8.796875" style="2024"/>
    <col min="1732" max="1732" width="15.19921875" style="2024" customWidth="1"/>
    <col min="1733" max="1733" width="10.69921875" style="2024" customWidth="1"/>
    <col min="1734" max="1734" width="22.5" style="2024" customWidth="1"/>
    <col min="1735" max="1738" width="0" style="2024" hidden="1" customWidth="1"/>
    <col min="1739" max="1739" width="27.19921875" style="2024" customWidth="1"/>
    <col min="1740" max="1741" width="0" style="2024" hidden="1" customWidth="1"/>
    <col min="1742" max="1742" width="6.3984375" style="2024" bestFit="1" customWidth="1"/>
    <col min="1743" max="1743" width="33.09765625" style="2024" customWidth="1"/>
    <col min="1744" max="1744" width="30.69921875" style="2024" customWidth="1"/>
    <col min="1745" max="1745" width="6.09765625" style="2024" bestFit="1" customWidth="1"/>
    <col min="1746" max="1746" width="30.69921875" style="2024" customWidth="1"/>
    <col min="1747" max="1747" width="8.796875" style="2024"/>
    <col min="1748" max="1749" width="0" style="2024" hidden="1" customWidth="1"/>
    <col min="1750" max="1753" width="8.796875" style="2024"/>
    <col min="1754" max="1754" width="24.59765625" style="2024" customWidth="1"/>
    <col min="1755" max="1756" width="8.796875" style="2024"/>
    <col min="1757" max="1757" width="10.19921875" style="2024" bestFit="1" customWidth="1"/>
    <col min="1758" max="1987" width="8.796875" style="2024"/>
    <col min="1988" max="1988" width="15.19921875" style="2024" customWidth="1"/>
    <col min="1989" max="1989" width="10.69921875" style="2024" customWidth="1"/>
    <col min="1990" max="1990" width="22.5" style="2024" customWidth="1"/>
    <col min="1991" max="1994" width="0" style="2024" hidden="1" customWidth="1"/>
    <col min="1995" max="1995" width="27.19921875" style="2024" customWidth="1"/>
    <col min="1996" max="1997" width="0" style="2024" hidden="1" customWidth="1"/>
    <col min="1998" max="1998" width="6.3984375" style="2024" bestFit="1" customWidth="1"/>
    <col min="1999" max="1999" width="33.09765625" style="2024" customWidth="1"/>
    <col min="2000" max="2000" width="30.69921875" style="2024" customWidth="1"/>
    <col min="2001" max="2001" width="6.09765625" style="2024" bestFit="1" customWidth="1"/>
    <col min="2002" max="2002" width="30.69921875" style="2024" customWidth="1"/>
    <col min="2003" max="2003" width="8.796875" style="2024"/>
    <col min="2004" max="2005" width="0" style="2024" hidden="1" customWidth="1"/>
    <col min="2006" max="2009" width="8.796875" style="2024"/>
    <col min="2010" max="2010" width="24.59765625" style="2024" customWidth="1"/>
    <col min="2011" max="2012" width="8.796875" style="2024"/>
    <col min="2013" max="2013" width="10.19921875" style="2024" bestFit="1" customWidth="1"/>
    <col min="2014" max="2243" width="8.796875" style="2024"/>
    <col min="2244" max="2244" width="15.19921875" style="2024" customWidth="1"/>
    <col min="2245" max="2245" width="10.69921875" style="2024" customWidth="1"/>
    <col min="2246" max="2246" width="22.5" style="2024" customWidth="1"/>
    <col min="2247" max="2250" width="0" style="2024" hidden="1" customWidth="1"/>
    <col min="2251" max="2251" width="27.19921875" style="2024" customWidth="1"/>
    <col min="2252" max="2253" width="0" style="2024" hidden="1" customWidth="1"/>
    <col min="2254" max="2254" width="6.3984375" style="2024" bestFit="1" customWidth="1"/>
    <col min="2255" max="2255" width="33.09765625" style="2024" customWidth="1"/>
    <col min="2256" max="2256" width="30.69921875" style="2024" customWidth="1"/>
    <col min="2257" max="2257" width="6.09765625" style="2024" bestFit="1" customWidth="1"/>
    <col min="2258" max="2258" width="30.69921875" style="2024" customWidth="1"/>
    <col min="2259" max="2259" width="8.796875" style="2024"/>
    <col min="2260" max="2261" width="0" style="2024" hidden="1" customWidth="1"/>
    <col min="2262" max="2265" width="8.796875" style="2024"/>
    <col min="2266" max="2266" width="24.59765625" style="2024" customWidth="1"/>
    <col min="2267" max="2268" width="8.796875" style="2024"/>
    <col min="2269" max="2269" width="10.19921875" style="2024" bestFit="1" customWidth="1"/>
    <col min="2270" max="2499" width="8.796875" style="2024"/>
    <col min="2500" max="2500" width="15.19921875" style="2024" customWidth="1"/>
    <col min="2501" max="2501" width="10.69921875" style="2024" customWidth="1"/>
    <col min="2502" max="2502" width="22.5" style="2024" customWidth="1"/>
    <col min="2503" max="2506" width="0" style="2024" hidden="1" customWidth="1"/>
    <col min="2507" max="2507" width="27.19921875" style="2024" customWidth="1"/>
    <col min="2508" max="2509" width="0" style="2024" hidden="1" customWidth="1"/>
    <col min="2510" max="2510" width="6.3984375" style="2024" bestFit="1" customWidth="1"/>
    <col min="2511" max="2511" width="33.09765625" style="2024" customWidth="1"/>
    <col min="2512" max="2512" width="30.69921875" style="2024" customWidth="1"/>
    <col min="2513" max="2513" width="6.09765625" style="2024" bestFit="1" customWidth="1"/>
    <col min="2514" max="2514" width="30.69921875" style="2024" customWidth="1"/>
    <col min="2515" max="2515" width="8.796875" style="2024"/>
    <col min="2516" max="2517" width="0" style="2024" hidden="1" customWidth="1"/>
    <col min="2518" max="2521" width="8.796875" style="2024"/>
    <col min="2522" max="2522" width="24.59765625" style="2024" customWidth="1"/>
    <col min="2523" max="2524" width="8.796875" style="2024"/>
    <col min="2525" max="2525" width="10.19921875" style="2024" bestFit="1" customWidth="1"/>
    <col min="2526" max="2755" width="8.796875" style="2024"/>
    <col min="2756" max="2756" width="15.19921875" style="2024" customWidth="1"/>
    <col min="2757" max="2757" width="10.69921875" style="2024" customWidth="1"/>
    <col min="2758" max="2758" width="22.5" style="2024" customWidth="1"/>
    <col min="2759" max="2762" width="0" style="2024" hidden="1" customWidth="1"/>
    <col min="2763" max="2763" width="27.19921875" style="2024" customWidth="1"/>
    <col min="2764" max="2765" width="0" style="2024" hidden="1" customWidth="1"/>
    <col min="2766" max="2766" width="6.3984375" style="2024" bestFit="1" customWidth="1"/>
    <col min="2767" max="2767" width="33.09765625" style="2024" customWidth="1"/>
    <col min="2768" max="2768" width="30.69921875" style="2024" customWidth="1"/>
    <col min="2769" max="2769" width="6.09765625" style="2024" bestFit="1" customWidth="1"/>
    <col min="2770" max="2770" width="30.69921875" style="2024" customWidth="1"/>
    <col min="2771" max="2771" width="8.796875" style="2024"/>
    <col min="2772" max="2773" width="0" style="2024" hidden="1" customWidth="1"/>
    <col min="2774" max="2777" width="8.796875" style="2024"/>
    <col min="2778" max="2778" width="24.59765625" style="2024" customWidth="1"/>
    <col min="2779" max="2780" width="8.796875" style="2024"/>
    <col min="2781" max="2781" width="10.19921875" style="2024" bestFit="1" customWidth="1"/>
    <col min="2782" max="3011" width="8.796875" style="2024"/>
    <col min="3012" max="3012" width="15.19921875" style="2024" customWidth="1"/>
    <col min="3013" max="3013" width="10.69921875" style="2024" customWidth="1"/>
    <col min="3014" max="3014" width="22.5" style="2024" customWidth="1"/>
    <col min="3015" max="3018" width="0" style="2024" hidden="1" customWidth="1"/>
    <col min="3019" max="3019" width="27.19921875" style="2024" customWidth="1"/>
    <col min="3020" max="3021" width="0" style="2024" hidden="1" customWidth="1"/>
    <col min="3022" max="3022" width="6.3984375" style="2024" bestFit="1" customWidth="1"/>
    <col min="3023" max="3023" width="33.09765625" style="2024" customWidth="1"/>
    <col min="3024" max="3024" width="30.69921875" style="2024" customWidth="1"/>
    <col min="3025" max="3025" width="6.09765625" style="2024" bestFit="1" customWidth="1"/>
    <col min="3026" max="3026" width="30.69921875" style="2024" customWidth="1"/>
    <col min="3027" max="3027" width="8.796875" style="2024"/>
    <col min="3028" max="3029" width="0" style="2024" hidden="1" customWidth="1"/>
    <col min="3030" max="3033" width="8.796875" style="2024"/>
    <col min="3034" max="3034" width="24.59765625" style="2024" customWidth="1"/>
    <col min="3035" max="3036" width="8.796875" style="2024"/>
    <col min="3037" max="3037" width="10.19921875" style="2024" bestFit="1" customWidth="1"/>
    <col min="3038" max="3267" width="8.796875" style="2024"/>
    <col min="3268" max="3268" width="15.19921875" style="2024" customWidth="1"/>
    <col min="3269" max="3269" width="10.69921875" style="2024" customWidth="1"/>
    <col min="3270" max="3270" width="22.5" style="2024" customWidth="1"/>
    <col min="3271" max="3274" width="0" style="2024" hidden="1" customWidth="1"/>
    <col min="3275" max="3275" width="27.19921875" style="2024" customWidth="1"/>
    <col min="3276" max="3277" width="0" style="2024" hidden="1" customWidth="1"/>
    <col min="3278" max="3278" width="6.3984375" style="2024" bestFit="1" customWidth="1"/>
    <col min="3279" max="3279" width="33.09765625" style="2024" customWidth="1"/>
    <col min="3280" max="3280" width="30.69921875" style="2024" customWidth="1"/>
    <col min="3281" max="3281" width="6.09765625" style="2024" bestFit="1" customWidth="1"/>
    <col min="3282" max="3282" width="30.69921875" style="2024" customWidth="1"/>
    <col min="3283" max="3283" width="8.796875" style="2024"/>
    <col min="3284" max="3285" width="0" style="2024" hidden="1" customWidth="1"/>
    <col min="3286" max="3289" width="8.796875" style="2024"/>
    <col min="3290" max="3290" width="24.59765625" style="2024" customWidth="1"/>
    <col min="3291" max="3292" width="8.796875" style="2024"/>
    <col min="3293" max="3293" width="10.19921875" style="2024" bestFit="1" customWidth="1"/>
    <col min="3294" max="3523" width="8.796875" style="2024"/>
    <col min="3524" max="3524" width="15.19921875" style="2024" customWidth="1"/>
    <col min="3525" max="3525" width="10.69921875" style="2024" customWidth="1"/>
    <col min="3526" max="3526" width="22.5" style="2024" customWidth="1"/>
    <col min="3527" max="3530" width="0" style="2024" hidden="1" customWidth="1"/>
    <col min="3531" max="3531" width="27.19921875" style="2024" customWidth="1"/>
    <col min="3532" max="3533" width="0" style="2024" hidden="1" customWidth="1"/>
    <col min="3534" max="3534" width="6.3984375" style="2024" bestFit="1" customWidth="1"/>
    <col min="3535" max="3535" width="33.09765625" style="2024" customWidth="1"/>
    <col min="3536" max="3536" width="30.69921875" style="2024" customWidth="1"/>
    <col min="3537" max="3537" width="6.09765625" style="2024" bestFit="1" customWidth="1"/>
    <col min="3538" max="3538" width="30.69921875" style="2024" customWidth="1"/>
    <col min="3539" max="3539" width="8.796875" style="2024"/>
    <col min="3540" max="3541" width="0" style="2024" hidden="1" customWidth="1"/>
    <col min="3542" max="3545" width="8.796875" style="2024"/>
    <col min="3546" max="3546" width="24.59765625" style="2024" customWidth="1"/>
    <col min="3547" max="3548" width="8.796875" style="2024"/>
    <col min="3549" max="3549" width="10.19921875" style="2024" bestFit="1" customWidth="1"/>
    <col min="3550" max="3779" width="8.796875" style="2024"/>
    <col min="3780" max="3780" width="15.19921875" style="2024" customWidth="1"/>
    <col min="3781" max="3781" width="10.69921875" style="2024" customWidth="1"/>
    <col min="3782" max="3782" width="22.5" style="2024" customWidth="1"/>
    <col min="3783" max="3786" width="0" style="2024" hidden="1" customWidth="1"/>
    <col min="3787" max="3787" width="27.19921875" style="2024" customWidth="1"/>
    <col min="3788" max="3789" width="0" style="2024" hidden="1" customWidth="1"/>
    <col min="3790" max="3790" width="6.3984375" style="2024" bestFit="1" customWidth="1"/>
    <col min="3791" max="3791" width="33.09765625" style="2024" customWidth="1"/>
    <col min="3792" max="3792" width="30.69921875" style="2024" customWidth="1"/>
    <col min="3793" max="3793" width="6.09765625" style="2024" bestFit="1" customWidth="1"/>
    <col min="3794" max="3794" width="30.69921875" style="2024" customWidth="1"/>
    <col min="3795" max="3795" width="8.796875" style="2024"/>
    <col min="3796" max="3797" width="0" style="2024" hidden="1" customWidth="1"/>
    <col min="3798" max="3801" width="8.796875" style="2024"/>
    <col min="3802" max="3802" width="24.59765625" style="2024" customWidth="1"/>
    <col min="3803" max="3804" width="8.796875" style="2024"/>
    <col min="3805" max="3805" width="10.19921875" style="2024" bestFit="1" customWidth="1"/>
    <col min="3806" max="4035" width="8.796875" style="2024"/>
    <col min="4036" max="4036" width="15.19921875" style="2024" customWidth="1"/>
    <col min="4037" max="4037" width="10.69921875" style="2024" customWidth="1"/>
    <col min="4038" max="4038" width="22.5" style="2024" customWidth="1"/>
    <col min="4039" max="4042" width="0" style="2024" hidden="1" customWidth="1"/>
    <col min="4043" max="4043" width="27.19921875" style="2024" customWidth="1"/>
    <col min="4044" max="4045" width="0" style="2024" hidden="1" customWidth="1"/>
    <col min="4046" max="4046" width="6.3984375" style="2024" bestFit="1" customWidth="1"/>
    <col min="4047" max="4047" width="33.09765625" style="2024" customWidth="1"/>
    <col min="4048" max="4048" width="30.69921875" style="2024" customWidth="1"/>
    <col min="4049" max="4049" width="6.09765625" style="2024" bestFit="1" customWidth="1"/>
    <col min="4050" max="4050" width="30.69921875" style="2024" customWidth="1"/>
    <col min="4051" max="4051" width="8.796875" style="2024"/>
    <col min="4052" max="4053" width="0" style="2024" hidden="1" customWidth="1"/>
    <col min="4054" max="4057" width="8.796875" style="2024"/>
    <col min="4058" max="4058" width="24.59765625" style="2024" customWidth="1"/>
    <col min="4059" max="4060" width="8.796875" style="2024"/>
    <col min="4061" max="4061" width="10.19921875" style="2024" bestFit="1" customWidth="1"/>
    <col min="4062" max="4291" width="8.796875" style="2024"/>
    <col min="4292" max="4292" width="15.19921875" style="2024" customWidth="1"/>
    <col min="4293" max="4293" width="10.69921875" style="2024" customWidth="1"/>
    <col min="4294" max="4294" width="22.5" style="2024" customWidth="1"/>
    <col min="4295" max="4298" width="0" style="2024" hidden="1" customWidth="1"/>
    <col min="4299" max="4299" width="27.19921875" style="2024" customWidth="1"/>
    <col min="4300" max="4301" width="0" style="2024" hidden="1" customWidth="1"/>
    <col min="4302" max="4302" width="6.3984375" style="2024" bestFit="1" customWidth="1"/>
    <col min="4303" max="4303" width="33.09765625" style="2024" customWidth="1"/>
    <col min="4304" max="4304" width="30.69921875" style="2024" customWidth="1"/>
    <col min="4305" max="4305" width="6.09765625" style="2024" bestFit="1" customWidth="1"/>
    <col min="4306" max="4306" width="30.69921875" style="2024" customWidth="1"/>
    <col min="4307" max="4307" width="8.796875" style="2024"/>
    <col min="4308" max="4309" width="0" style="2024" hidden="1" customWidth="1"/>
    <col min="4310" max="4313" width="8.796875" style="2024"/>
    <col min="4314" max="4314" width="24.59765625" style="2024" customWidth="1"/>
    <col min="4315" max="4316" width="8.796875" style="2024"/>
    <col min="4317" max="4317" width="10.19921875" style="2024" bestFit="1" customWidth="1"/>
    <col min="4318" max="4547" width="8.796875" style="2024"/>
    <col min="4548" max="4548" width="15.19921875" style="2024" customWidth="1"/>
    <col min="4549" max="4549" width="10.69921875" style="2024" customWidth="1"/>
    <col min="4550" max="4550" width="22.5" style="2024" customWidth="1"/>
    <col min="4551" max="4554" width="0" style="2024" hidden="1" customWidth="1"/>
    <col min="4555" max="4555" width="27.19921875" style="2024" customWidth="1"/>
    <col min="4556" max="4557" width="0" style="2024" hidden="1" customWidth="1"/>
    <col min="4558" max="4558" width="6.3984375" style="2024" bestFit="1" customWidth="1"/>
    <col min="4559" max="4559" width="33.09765625" style="2024" customWidth="1"/>
    <col min="4560" max="4560" width="30.69921875" style="2024" customWidth="1"/>
    <col min="4561" max="4561" width="6.09765625" style="2024" bestFit="1" customWidth="1"/>
    <col min="4562" max="4562" width="30.69921875" style="2024" customWidth="1"/>
    <col min="4563" max="4563" width="8.796875" style="2024"/>
    <col min="4564" max="4565" width="0" style="2024" hidden="1" customWidth="1"/>
    <col min="4566" max="4569" width="8.796875" style="2024"/>
    <col min="4570" max="4570" width="24.59765625" style="2024" customWidth="1"/>
    <col min="4571" max="4572" width="8.796875" style="2024"/>
    <col min="4573" max="4573" width="10.19921875" style="2024" bestFit="1" customWidth="1"/>
    <col min="4574" max="4803" width="8.796875" style="2024"/>
    <col min="4804" max="4804" width="15.19921875" style="2024" customWidth="1"/>
    <col min="4805" max="4805" width="10.69921875" style="2024" customWidth="1"/>
    <col min="4806" max="4806" width="22.5" style="2024" customWidth="1"/>
    <col min="4807" max="4810" width="0" style="2024" hidden="1" customWidth="1"/>
    <col min="4811" max="4811" width="27.19921875" style="2024" customWidth="1"/>
    <col min="4812" max="4813" width="0" style="2024" hidden="1" customWidth="1"/>
    <col min="4814" max="4814" width="6.3984375" style="2024" bestFit="1" customWidth="1"/>
    <col min="4815" max="4815" width="33.09765625" style="2024" customWidth="1"/>
    <col min="4816" max="4816" width="30.69921875" style="2024" customWidth="1"/>
    <col min="4817" max="4817" width="6.09765625" style="2024" bestFit="1" customWidth="1"/>
    <col min="4818" max="4818" width="30.69921875" style="2024" customWidth="1"/>
    <col min="4819" max="4819" width="8.796875" style="2024"/>
    <col min="4820" max="4821" width="0" style="2024" hidden="1" customWidth="1"/>
    <col min="4822" max="4825" width="8.796875" style="2024"/>
    <col min="4826" max="4826" width="24.59765625" style="2024" customWidth="1"/>
    <col min="4827" max="4828" width="8.796875" style="2024"/>
    <col min="4829" max="4829" width="10.19921875" style="2024" bestFit="1" customWidth="1"/>
    <col min="4830" max="5059" width="8.796875" style="2024"/>
    <col min="5060" max="5060" width="15.19921875" style="2024" customWidth="1"/>
    <col min="5061" max="5061" width="10.69921875" style="2024" customWidth="1"/>
    <col min="5062" max="5062" width="22.5" style="2024" customWidth="1"/>
    <col min="5063" max="5066" width="0" style="2024" hidden="1" customWidth="1"/>
    <col min="5067" max="5067" width="27.19921875" style="2024" customWidth="1"/>
    <col min="5068" max="5069" width="0" style="2024" hidden="1" customWidth="1"/>
    <col min="5070" max="5070" width="6.3984375" style="2024" bestFit="1" customWidth="1"/>
    <col min="5071" max="5071" width="33.09765625" style="2024" customWidth="1"/>
    <col min="5072" max="5072" width="30.69921875" style="2024" customWidth="1"/>
    <col min="5073" max="5073" width="6.09765625" style="2024" bestFit="1" customWidth="1"/>
    <col min="5074" max="5074" width="30.69921875" style="2024" customWidth="1"/>
    <col min="5075" max="5075" width="8.796875" style="2024"/>
    <col min="5076" max="5077" width="0" style="2024" hidden="1" customWidth="1"/>
    <col min="5078" max="5081" width="8.796875" style="2024"/>
    <col min="5082" max="5082" width="24.59765625" style="2024" customWidth="1"/>
    <col min="5083" max="5084" width="8.796875" style="2024"/>
    <col min="5085" max="5085" width="10.19921875" style="2024" bestFit="1" customWidth="1"/>
    <col min="5086" max="5315" width="8.796875" style="2024"/>
    <col min="5316" max="5316" width="15.19921875" style="2024" customWidth="1"/>
    <col min="5317" max="5317" width="10.69921875" style="2024" customWidth="1"/>
    <col min="5318" max="5318" width="22.5" style="2024" customWidth="1"/>
    <col min="5319" max="5322" width="0" style="2024" hidden="1" customWidth="1"/>
    <col min="5323" max="5323" width="27.19921875" style="2024" customWidth="1"/>
    <col min="5324" max="5325" width="0" style="2024" hidden="1" customWidth="1"/>
    <col min="5326" max="5326" width="6.3984375" style="2024" bestFit="1" customWidth="1"/>
    <col min="5327" max="5327" width="33.09765625" style="2024" customWidth="1"/>
    <col min="5328" max="5328" width="30.69921875" style="2024" customWidth="1"/>
    <col min="5329" max="5329" width="6.09765625" style="2024" bestFit="1" customWidth="1"/>
    <col min="5330" max="5330" width="30.69921875" style="2024" customWidth="1"/>
    <col min="5331" max="5331" width="8.796875" style="2024"/>
    <col min="5332" max="5333" width="0" style="2024" hidden="1" customWidth="1"/>
    <col min="5334" max="5337" width="8.796875" style="2024"/>
    <col min="5338" max="5338" width="24.59765625" style="2024" customWidth="1"/>
    <col min="5339" max="5340" width="8.796875" style="2024"/>
    <col min="5341" max="5341" width="10.19921875" style="2024" bestFit="1" customWidth="1"/>
    <col min="5342" max="5571" width="8.796875" style="2024"/>
    <col min="5572" max="5572" width="15.19921875" style="2024" customWidth="1"/>
    <col min="5573" max="5573" width="10.69921875" style="2024" customWidth="1"/>
    <col min="5574" max="5574" width="22.5" style="2024" customWidth="1"/>
    <col min="5575" max="5578" width="0" style="2024" hidden="1" customWidth="1"/>
    <col min="5579" max="5579" width="27.19921875" style="2024" customWidth="1"/>
    <col min="5580" max="5581" width="0" style="2024" hidden="1" customWidth="1"/>
    <col min="5582" max="5582" width="6.3984375" style="2024" bestFit="1" customWidth="1"/>
    <col min="5583" max="5583" width="33.09765625" style="2024" customWidth="1"/>
    <col min="5584" max="5584" width="30.69921875" style="2024" customWidth="1"/>
    <col min="5585" max="5585" width="6.09765625" style="2024" bestFit="1" customWidth="1"/>
    <col min="5586" max="5586" width="30.69921875" style="2024" customWidth="1"/>
    <col min="5587" max="5587" width="8.796875" style="2024"/>
    <col min="5588" max="5589" width="0" style="2024" hidden="1" customWidth="1"/>
    <col min="5590" max="5593" width="8.796875" style="2024"/>
    <col min="5594" max="5594" width="24.59765625" style="2024" customWidth="1"/>
    <col min="5595" max="5596" width="8.796875" style="2024"/>
    <col min="5597" max="5597" width="10.19921875" style="2024" bestFit="1" customWidth="1"/>
    <col min="5598" max="5827" width="8.796875" style="2024"/>
    <col min="5828" max="5828" width="15.19921875" style="2024" customWidth="1"/>
    <col min="5829" max="5829" width="10.69921875" style="2024" customWidth="1"/>
    <col min="5830" max="5830" width="22.5" style="2024" customWidth="1"/>
    <col min="5831" max="5834" width="0" style="2024" hidden="1" customWidth="1"/>
    <col min="5835" max="5835" width="27.19921875" style="2024" customWidth="1"/>
    <col min="5836" max="5837" width="0" style="2024" hidden="1" customWidth="1"/>
    <col min="5838" max="5838" width="6.3984375" style="2024" bestFit="1" customWidth="1"/>
    <col min="5839" max="5839" width="33.09765625" style="2024" customWidth="1"/>
    <col min="5840" max="5840" width="30.69921875" style="2024" customWidth="1"/>
    <col min="5841" max="5841" width="6.09765625" style="2024" bestFit="1" customWidth="1"/>
    <col min="5842" max="5842" width="30.69921875" style="2024" customWidth="1"/>
    <col min="5843" max="5843" width="8.796875" style="2024"/>
    <col min="5844" max="5845" width="0" style="2024" hidden="1" customWidth="1"/>
    <col min="5846" max="5849" width="8.796875" style="2024"/>
    <col min="5850" max="5850" width="24.59765625" style="2024" customWidth="1"/>
    <col min="5851" max="5852" width="8.796875" style="2024"/>
    <col min="5853" max="5853" width="10.19921875" style="2024" bestFit="1" customWidth="1"/>
    <col min="5854" max="6083" width="8.796875" style="2024"/>
    <col min="6084" max="6084" width="15.19921875" style="2024" customWidth="1"/>
    <col min="6085" max="6085" width="10.69921875" style="2024" customWidth="1"/>
    <col min="6086" max="6086" width="22.5" style="2024" customWidth="1"/>
    <col min="6087" max="6090" width="0" style="2024" hidden="1" customWidth="1"/>
    <col min="6091" max="6091" width="27.19921875" style="2024" customWidth="1"/>
    <col min="6092" max="6093" width="0" style="2024" hidden="1" customWidth="1"/>
    <col min="6094" max="6094" width="6.3984375" style="2024" bestFit="1" customWidth="1"/>
    <col min="6095" max="6095" width="33.09765625" style="2024" customWidth="1"/>
    <col min="6096" max="6096" width="30.69921875" style="2024" customWidth="1"/>
    <col min="6097" max="6097" width="6.09765625" style="2024" bestFit="1" customWidth="1"/>
    <col min="6098" max="6098" width="30.69921875" style="2024" customWidth="1"/>
    <col min="6099" max="6099" width="8.796875" style="2024"/>
    <col min="6100" max="6101" width="0" style="2024" hidden="1" customWidth="1"/>
    <col min="6102" max="6105" width="8.796875" style="2024"/>
    <col min="6106" max="6106" width="24.59765625" style="2024" customWidth="1"/>
    <col min="6107" max="6108" width="8.796875" style="2024"/>
    <col min="6109" max="6109" width="10.19921875" style="2024" bestFit="1" customWidth="1"/>
    <col min="6110" max="6339" width="8.796875" style="2024"/>
    <col min="6340" max="6340" width="15.19921875" style="2024" customWidth="1"/>
    <col min="6341" max="6341" width="10.69921875" style="2024" customWidth="1"/>
    <col min="6342" max="6342" width="22.5" style="2024" customWidth="1"/>
    <col min="6343" max="6346" width="0" style="2024" hidden="1" customWidth="1"/>
    <col min="6347" max="6347" width="27.19921875" style="2024" customWidth="1"/>
    <col min="6348" max="6349" width="0" style="2024" hidden="1" customWidth="1"/>
    <col min="6350" max="6350" width="6.3984375" style="2024" bestFit="1" customWidth="1"/>
    <col min="6351" max="6351" width="33.09765625" style="2024" customWidth="1"/>
    <col min="6352" max="6352" width="30.69921875" style="2024" customWidth="1"/>
    <col min="6353" max="6353" width="6.09765625" style="2024" bestFit="1" customWidth="1"/>
    <col min="6354" max="6354" width="30.69921875" style="2024" customWidth="1"/>
    <col min="6355" max="6355" width="8.796875" style="2024"/>
    <col min="6356" max="6357" width="0" style="2024" hidden="1" customWidth="1"/>
    <col min="6358" max="6361" width="8.796875" style="2024"/>
    <col min="6362" max="6362" width="24.59765625" style="2024" customWidth="1"/>
    <col min="6363" max="6364" width="8.796875" style="2024"/>
    <col min="6365" max="6365" width="10.19921875" style="2024" bestFit="1" customWidth="1"/>
    <col min="6366" max="6595" width="8.796875" style="2024"/>
    <col min="6596" max="6596" width="15.19921875" style="2024" customWidth="1"/>
    <col min="6597" max="6597" width="10.69921875" style="2024" customWidth="1"/>
    <col min="6598" max="6598" width="22.5" style="2024" customWidth="1"/>
    <col min="6599" max="6602" width="0" style="2024" hidden="1" customWidth="1"/>
    <col min="6603" max="6603" width="27.19921875" style="2024" customWidth="1"/>
    <col min="6604" max="6605" width="0" style="2024" hidden="1" customWidth="1"/>
    <col min="6606" max="6606" width="6.3984375" style="2024" bestFit="1" customWidth="1"/>
    <col min="6607" max="6607" width="33.09765625" style="2024" customWidth="1"/>
    <col min="6608" max="6608" width="30.69921875" style="2024" customWidth="1"/>
    <col min="6609" max="6609" width="6.09765625" style="2024" bestFit="1" customWidth="1"/>
    <col min="6610" max="6610" width="30.69921875" style="2024" customWidth="1"/>
    <col min="6611" max="6611" width="8.796875" style="2024"/>
    <col min="6612" max="6613" width="0" style="2024" hidden="1" customWidth="1"/>
    <col min="6614" max="6617" width="8.796875" style="2024"/>
    <col min="6618" max="6618" width="24.59765625" style="2024" customWidth="1"/>
    <col min="6619" max="6620" width="8.796875" style="2024"/>
    <col min="6621" max="6621" width="10.19921875" style="2024" bestFit="1" customWidth="1"/>
    <col min="6622" max="6851" width="8.796875" style="2024"/>
    <col min="6852" max="6852" width="15.19921875" style="2024" customWidth="1"/>
    <col min="6853" max="6853" width="10.69921875" style="2024" customWidth="1"/>
    <col min="6854" max="6854" width="22.5" style="2024" customWidth="1"/>
    <col min="6855" max="6858" width="0" style="2024" hidden="1" customWidth="1"/>
    <col min="6859" max="6859" width="27.19921875" style="2024" customWidth="1"/>
    <col min="6860" max="6861" width="0" style="2024" hidden="1" customWidth="1"/>
    <col min="6862" max="6862" width="6.3984375" style="2024" bestFit="1" customWidth="1"/>
    <col min="6863" max="6863" width="33.09765625" style="2024" customWidth="1"/>
    <col min="6864" max="6864" width="30.69921875" style="2024" customWidth="1"/>
    <col min="6865" max="6865" width="6.09765625" style="2024" bestFit="1" customWidth="1"/>
    <col min="6866" max="6866" width="30.69921875" style="2024" customWidth="1"/>
    <col min="6867" max="6867" width="8.796875" style="2024"/>
    <col min="6868" max="6869" width="0" style="2024" hidden="1" customWidth="1"/>
    <col min="6870" max="6873" width="8.796875" style="2024"/>
    <col min="6874" max="6874" width="24.59765625" style="2024" customWidth="1"/>
    <col min="6875" max="6876" width="8.796875" style="2024"/>
    <col min="6877" max="6877" width="10.19921875" style="2024" bestFit="1" customWidth="1"/>
    <col min="6878" max="7107" width="8.796875" style="2024"/>
    <col min="7108" max="7108" width="15.19921875" style="2024" customWidth="1"/>
    <col min="7109" max="7109" width="10.69921875" style="2024" customWidth="1"/>
    <col min="7110" max="7110" width="22.5" style="2024" customWidth="1"/>
    <col min="7111" max="7114" width="0" style="2024" hidden="1" customWidth="1"/>
    <col min="7115" max="7115" width="27.19921875" style="2024" customWidth="1"/>
    <col min="7116" max="7117" width="0" style="2024" hidden="1" customWidth="1"/>
    <col min="7118" max="7118" width="6.3984375" style="2024" bestFit="1" customWidth="1"/>
    <col min="7119" max="7119" width="33.09765625" style="2024" customWidth="1"/>
    <col min="7120" max="7120" width="30.69921875" style="2024" customWidth="1"/>
    <col min="7121" max="7121" width="6.09765625" style="2024" bestFit="1" customWidth="1"/>
    <col min="7122" max="7122" width="30.69921875" style="2024" customWidth="1"/>
    <col min="7123" max="7123" width="8.796875" style="2024"/>
    <col min="7124" max="7125" width="0" style="2024" hidden="1" customWidth="1"/>
    <col min="7126" max="7129" width="8.796875" style="2024"/>
    <col min="7130" max="7130" width="24.59765625" style="2024" customWidth="1"/>
    <col min="7131" max="7132" width="8.796875" style="2024"/>
    <col min="7133" max="7133" width="10.19921875" style="2024" bestFit="1" customWidth="1"/>
    <col min="7134" max="7363" width="8.796875" style="2024"/>
    <col min="7364" max="7364" width="15.19921875" style="2024" customWidth="1"/>
    <col min="7365" max="7365" width="10.69921875" style="2024" customWidth="1"/>
    <col min="7366" max="7366" width="22.5" style="2024" customWidth="1"/>
    <col min="7367" max="7370" width="0" style="2024" hidden="1" customWidth="1"/>
    <col min="7371" max="7371" width="27.19921875" style="2024" customWidth="1"/>
    <col min="7372" max="7373" width="0" style="2024" hidden="1" customWidth="1"/>
    <col min="7374" max="7374" width="6.3984375" style="2024" bestFit="1" customWidth="1"/>
    <col min="7375" max="7375" width="33.09765625" style="2024" customWidth="1"/>
    <col min="7376" max="7376" width="30.69921875" style="2024" customWidth="1"/>
    <col min="7377" max="7377" width="6.09765625" style="2024" bestFit="1" customWidth="1"/>
    <col min="7378" max="7378" width="30.69921875" style="2024" customWidth="1"/>
    <col min="7379" max="7379" width="8.796875" style="2024"/>
    <col min="7380" max="7381" width="0" style="2024" hidden="1" customWidth="1"/>
    <col min="7382" max="7385" width="8.796875" style="2024"/>
    <col min="7386" max="7386" width="24.59765625" style="2024" customWidth="1"/>
    <col min="7387" max="7388" width="8.796875" style="2024"/>
    <col min="7389" max="7389" width="10.19921875" style="2024" bestFit="1" customWidth="1"/>
    <col min="7390" max="7619" width="8.796875" style="2024"/>
    <col min="7620" max="7620" width="15.19921875" style="2024" customWidth="1"/>
    <col min="7621" max="7621" width="10.69921875" style="2024" customWidth="1"/>
    <col min="7622" max="7622" width="22.5" style="2024" customWidth="1"/>
    <col min="7623" max="7626" width="0" style="2024" hidden="1" customWidth="1"/>
    <col min="7627" max="7627" width="27.19921875" style="2024" customWidth="1"/>
    <col min="7628" max="7629" width="0" style="2024" hidden="1" customWidth="1"/>
    <col min="7630" max="7630" width="6.3984375" style="2024" bestFit="1" customWidth="1"/>
    <col min="7631" max="7631" width="33.09765625" style="2024" customWidth="1"/>
    <col min="7632" max="7632" width="30.69921875" style="2024" customWidth="1"/>
    <col min="7633" max="7633" width="6.09765625" style="2024" bestFit="1" customWidth="1"/>
    <col min="7634" max="7634" width="30.69921875" style="2024" customWidth="1"/>
    <col min="7635" max="7635" width="8.796875" style="2024"/>
    <col min="7636" max="7637" width="0" style="2024" hidden="1" customWidth="1"/>
    <col min="7638" max="7641" width="8.796875" style="2024"/>
    <col min="7642" max="7642" width="24.59765625" style="2024" customWidth="1"/>
    <col min="7643" max="7644" width="8.796875" style="2024"/>
    <col min="7645" max="7645" width="10.19921875" style="2024" bestFit="1" customWidth="1"/>
    <col min="7646" max="7875" width="8.796875" style="2024"/>
    <col min="7876" max="7876" width="15.19921875" style="2024" customWidth="1"/>
    <col min="7877" max="7877" width="10.69921875" style="2024" customWidth="1"/>
    <col min="7878" max="7878" width="22.5" style="2024" customWidth="1"/>
    <col min="7879" max="7882" width="0" style="2024" hidden="1" customWidth="1"/>
    <col min="7883" max="7883" width="27.19921875" style="2024" customWidth="1"/>
    <col min="7884" max="7885" width="0" style="2024" hidden="1" customWidth="1"/>
    <col min="7886" max="7886" width="6.3984375" style="2024" bestFit="1" customWidth="1"/>
    <col min="7887" max="7887" width="33.09765625" style="2024" customWidth="1"/>
    <col min="7888" max="7888" width="30.69921875" style="2024" customWidth="1"/>
    <col min="7889" max="7889" width="6.09765625" style="2024" bestFit="1" customWidth="1"/>
    <col min="7890" max="7890" width="30.69921875" style="2024" customWidth="1"/>
    <col min="7891" max="7891" width="8.796875" style="2024"/>
    <col min="7892" max="7893" width="0" style="2024" hidden="1" customWidth="1"/>
    <col min="7894" max="7897" width="8.796875" style="2024"/>
    <col min="7898" max="7898" width="24.59765625" style="2024" customWidth="1"/>
    <col min="7899" max="7900" width="8.796875" style="2024"/>
    <col min="7901" max="7901" width="10.19921875" style="2024" bestFit="1" customWidth="1"/>
    <col min="7902" max="8131" width="8.796875" style="2024"/>
    <col min="8132" max="8132" width="15.19921875" style="2024" customWidth="1"/>
    <col min="8133" max="8133" width="10.69921875" style="2024" customWidth="1"/>
    <col min="8134" max="8134" width="22.5" style="2024" customWidth="1"/>
    <col min="8135" max="8138" width="0" style="2024" hidden="1" customWidth="1"/>
    <col min="8139" max="8139" width="27.19921875" style="2024" customWidth="1"/>
    <col min="8140" max="8141" width="0" style="2024" hidden="1" customWidth="1"/>
    <col min="8142" max="8142" width="6.3984375" style="2024" bestFit="1" customWidth="1"/>
    <col min="8143" max="8143" width="33.09765625" style="2024" customWidth="1"/>
    <col min="8144" max="8144" width="30.69921875" style="2024" customWidth="1"/>
    <col min="8145" max="8145" width="6.09765625" style="2024" bestFit="1" customWidth="1"/>
    <col min="8146" max="8146" width="30.69921875" style="2024" customWidth="1"/>
    <col min="8147" max="8147" width="8.796875" style="2024"/>
    <col min="8148" max="8149" width="0" style="2024" hidden="1" customWidth="1"/>
    <col min="8150" max="8153" width="8.796875" style="2024"/>
    <col min="8154" max="8154" width="24.59765625" style="2024" customWidth="1"/>
    <col min="8155" max="8156" width="8.796875" style="2024"/>
    <col min="8157" max="8157" width="10.19921875" style="2024" bestFit="1" customWidth="1"/>
    <col min="8158" max="8387" width="8.796875" style="2024"/>
    <col min="8388" max="8388" width="15.19921875" style="2024" customWidth="1"/>
    <col min="8389" max="8389" width="10.69921875" style="2024" customWidth="1"/>
    <col min="8390" max="8390" width="22.5" style="2024" customWidth="1"/>
    <col min="8391" max="8394" width="0" style="2024" hidden="1" customWidth="1"/>
    <col min="8395" max="8395" width="27.19921875" style="2024" customWidth="1"/>
    <col min="8396" max="8397" width="0" style="2024" hidden="1" customWidth="1"/>
    <col min="8398" max="8398" width="6.3984375" style="2024" bestFit="1" customWidth="1"/>
    <col min="8399" max="8399" width="33.09765625" style="2024" customWidth="1"/>
    <col min="8400" max="8400" width="30.69921875" style="2024" customWidth="1"/>
    <col min="8401" max="8401" width="6.09765625" style="2024" bestFit="1" customWidth="1"/>
    <col min="8402" max="8402" width="30.69921875" style="2024" customWidth="1"/>
    <col min="8403" max="8403" width="8.796875" style="2024"/>
    <col min="8404" max="8405" width="0" style="2024" hidden="1" customWidth="1"/>
    <col min="8406" max="8409" width="8.796875" style="2024"/>
    <col min="8410" max="8410" width="24.59765625" style="2024" customWidth="1"/>
    <col min="8411" max="8412" width="8.796875" style="2024"/>
    <col min="8413" max="8413" width="10.19921875" style="2024" bestFit="1" customWidth="1"/>
    <col min="8414" max="8643" width="8.796875" style="2024"/>
    <col min="8644" max="8644" width="15.19921875" style="2024" customWidth="1"/>
    <col min="8645" max="8645" width="10.69921875" style="2024" customWidth="1"/>
    <col min="8646" max="8646" width="22.5" style="2024" customWidth="1"/>
    <col min="8647" max="8650" width="0" style="2024" hidden="1" customWidth="1"/>
    <col min="8651" max="8651" width="27.19921875" style="2024" customWidth="1"/>
    <col min="8652" max="8653" width="0" style="2024" hidden="1" customWidth="1"/>
    <col min="8654" max="8654" width="6.3984375" style="2024" bestFit="1" customWidth="1"/>
    <col min="8655" max="8655" width="33.09765625" style="2024" customWidth="1"/>
    <col min="8656" max="8656" width="30.69921875" style="2024" customWidth="1"/>
    <col min="8657" max="8657" width="6.09765625" style="2024" bestFit="1" customWidth="1"/>
    <col min="8658" max="8658" width="30.69921875" style="2024" customWidth="1"/>
    <col min="8659" max="8659" width="8.796875" style="2024"/>
    <col min="8660" max="8661" width="0" style="2024" hidden="1" customWidth="1"/>
    <col min="8662" max="8665" width="8.796875" style="2024"/>
    <col min="8666" max="8666" width="24.59765625" style="2024" customWidth="1"/>
    <col min="8667" max="8668" width="8.796875" style="2024"/>
    <col min="8669" max="8669" width="10.19921875" style="2024" bestFit="1" customWidth="1"/>
    <col min="8670" max="8899" width="8.796875" style="2024"/>
    <col min="8900" max="8900" width="15.19921875" style="2024" customWidth="1"/>
    <col min="8901" max="8901" width="10.69921875" style="2024" customWidth="1"/>
    <col min="8902" max="8902" width="22.5" style="2024" customWidth="1"/>
    <col min="8903" max="8906" width="0" style="2024" hidden="1" customWidth="1"/>
    <col min="8907" max="8907" width="27.19921875" style="2024" customWidth="1"/>
    <col min="8908" max="8909" width="0" style="2024" hidden="1" customWidth="1"/>
    <col min="8910" max="8910" width="6.3984375" style="2024" bestFit="1" customWidth="1"/>
    <col min="8911" max="8911" width="33.09765625" style="2024" customWidth="1"/>
    <col min="8912" max="8912" width="30.69921875" style="2024" customWidth="1"/>
    <col min="8913" max="8913" width="6.09765625" style="2024" bestFit="1" customWidth="1"/>
    <col min="8914" max="8914" width="30.69921875" style="2024" customWidth="1"/>
    <col min="8915" max="8915" width="8.796875" style="2024"/>
    <col min="8916" max="8917" width="0" style="2024" hidden="1" customWidth="1"/>
    <col min="8918" max="8921" width="8.796875" style="2024"/>
    <col min="8922" max="8922" width="24.59765625" style="2024" customWidth="1"/>
    <col min="8923" max="8924" width="8.796875" style="2024"/>
    <col min="8925" max="8925" width="10.19921875" style="2024" bestFit="1" customWidth="1"/>
    <col min="8926" max="9155" width="8.796875" style="2024"/>
    <col min="9156" max="9156" width="15.19921875" style="2024" customWidth="1"/>
    <col min="9157" max="9157" width="10.69921875" style="2024" customWidth="1"/>
    <col min="9158" max="9158" width="22.5" style="2024" customWidth="1"/>
    <col min="9159" max="9162" width="0" style="2024" hidden="1" customWidth="1"/>
    <col min="9163" max="9163" width="27.19921875" style="2024" customWidth="1"/>
    <col min="9164" max="9165" width="0" style="2024" hidden="1" customWidth="1"/>
    <col min="9166" max="9166" width="6.3984375" style="2024" bestFit="1" customWidth="1"/>
    <col min="9167" max="9167" width="33.09765625" style="2024" customWidth="1"/>
    <col min="9168" max="9168" width="30.69921875" style="2024" customWidth="1"/>
    <col min="9169" max="9169" width="6.09765625" style="2024" bestFit="1" customWidth="1"/>
    <col min="9170" max="9170" width="30.69921875" style="2024" customWidth="1"/>
    <col min="9171" max="9171" width="8.796875" style="2024"/>
    <col min="9172" max="9173" width="0" style="2024" hidden="1" customWidth="1"/>
    <col min="9174" max="9177" width="8.796875" style="2024"/>
    <col min="9178" max="9178" width="24.59765625" style="2024" customWidth="1"/>
    <col min="9179" max="9180" width="8.796875" style="2024"/>
    <col min="9181" max="9181" width="10.19921875" style="2024" bestFit="1" customWidth="1"/>
    <col min="9182" max="9411" width="8.796875" style="2024"/>
    <col min="9412" max="9412" width="15.19921875" style="2024" customWidth="1"/>
    <col min="9413" max="9413" width="10.69921875" style="2024" customWidth="1"/>
    <col min="9414" max="9414" width="22.5" style="2024" customWidth="1"/>
    <col min="9415" max="9418" width="0" style="2024" hidden="1" customWidth="1"/>
    <col min="9419" max="9419" width="27.19921875" style="2024" customWidth="1"/>
    <col min="9420" max="9421" width="0" style="2024" hidden="1" customWidth="1"/>
    <col min="9422" max="9422" width="6.3984375" style="2024" bestFit="1" customWidth="1"/>
    <col min="9423" max="9423" width="33.09765625" style="2024" customWidth="1"/>
    <col min="9424" max="9424" width="30.69921875" style="2024" customWidth="1"/>
    <col min="9425" max="9425" width="6.09765625" style="2024" bestFit="1" customWidth="1"/>
    <col min="9426" max="9426" width="30.69921875" style="2024" customWidth="1"/>
    <col min="9427" max="9427" width="8.796875" style="2024"/>
    <col min="9428" max="9429" width="0" style="2024" hidden="1" customWidth="1"/>
    <col min="9430" max="9433" width="8.796875" style="2024"/>
    <col min="9434" max="9434" width="24.59765625" style="2024" customWidth="1"/>
    <col min="9435" max="9436" width="8.796875" style="2024"/>
    <col min="9437" max="9437" width="10.19921875" style="2024" bestFit="1" customWidth="1"/>
    <col min="9438" max="9667" width="8.796875" style="2024"/>
    <col min="9668" max="9668" width="15.19921875" style="2024" customWidth="1"/>
    <col min="9669" max="9669" width="10.69921875" style="2024" customWidth="1"/>
    <col min="9670" max="9670" width="22.5" style="2024" customWidth="1"/>
    <col min="9671" max="9674" width="0" style="2024" hidden="1" customWidth="1"/>
    <col min="9675" max="9675" width="27.19921875" style="2024" customWidth="1"/>
    <col min="9676" max="9677" width="0" style="2024" hidden="1" customWidth="1"/>
    <col min="9678" max="9678" width="6.3984375" style="2024" bestFit="1" customWidth="1"/>
    <col min="9679" max="9679" width="33.09765625" style="2024" customWidth="1"/>
    <col min="9680" max="9680" width="30.69921875" style="2024" customWidth="1"/>
    <col min="9681" max="9681" width="6.09765625" style="2024" bestFit="1" customWidth="1"/>
    <col min="9682" max="9682" width="30.69921875" style="2024" customWidth="1"/>
    <col min="9683" max="9683" width="8.796875" style="2024"/>
    <col min="9684" max="9685" width="0" style="2024" hidden="1" customWidth="1"/>
    <col min="9686" max="9689" width="8.796875" style="2024"/>
    <col min="9690" max="9690" width="24.59765625" style="2024" customWidth="1"/>
    <col min="9691" max="9692" width="8.796875" style="2024"/>
    <col min="9693" max="9693" width="10.19921875" style="2024" bestFit="1" customWidth="1"/>
    <col min="9694" max="9923" width="8.796875" style="2024"/>
    <col min="9924" max="9924" width="15.19921875" style="2024" customWidth="1"/>
    <col min="9925" max="9925" width="10.69921875" style="2024" customWidth="1"/>
    <col min="9926" max="9926" width="22.5" style="2024" customWidth="1"/>
    <col min="9927" max="9930" width="0" style="2024" hidden="1" customWidth="1"/>
    <col min="9931" max="9931" width="27.19921875" style="2024" customWidth="1"/>
    <col min="9932" max="9933" width="0" style="2024" hidden="1" customWidth="1"/>
    <col min="9934" max="9934" width="6.3984375" style="2024" bestFit="1" customWidth="1"/>
    <col min="9935" max="9935" width="33.09765625" style="2024" customWidth="1"/>
    <col min="9936" max="9936" width="30.69921875" style="2024" customWidth="1"/>
    <col min="9937" max="9937" width="6.09765625" style="2024" bestFit="1" customWidth="1"/>
    <col min="9938" max="9938" width="30.69921875" style="2024" customWidth="1"/>
    <col min="9939" max="9939" width="8.796875" style="2024"/>
    <col min="9940" max="9941" width="0" style="2024" hidden="1" customWidth="1"/>
    <col min="9942" max="9945" width="8.796875" style="2024"/>
    <col min="9946" max="9946" width="24.59765625" style="2024" customWidth="1"/>
    <col min="9947" max="9948" width="8.796875" style="2024"/>
    <col min="9949" max="9949" width="10.19921875" style="2024" bestFit="1" customWidth="1"/>
    <col min="9950" max="10179" width="8.796875" style="2024"/>
    <col min="10180" max="10180" width="15.19921875" style="2024" customWidth="1"/>
    <col min="10181" max="10181" width="10.69921875" style="2024" customWidth="1"/>
    <col min="10182" max="10182" width="22.5" style="2024" customWidth="1"/>
    <col min="10183" max="10186" width="0" style="2024" hidden="1" customWidth="1"/>
    <col min="10187" max="10187" width="27.19921875" style="2024" customWidth="1"/>
    <col min="10188" max="10189" width="0" style="2024" hidden="1" customWidth="1"/>
    <col min="10190" max="10190" width="6.3984375" style="2024" bestFit="1" customWidth="1"/>
    <col min="10191" max="10191" width="33.09765625" style="2024" customWidth="1"/>
    <col min="10192" max="10192" width="30.69921875" style="2024" customWidth="1"/>
    <col min="10193" max="10193" width="6.09765625" style="2024" bestFit="1" customWidth="1"/>
    <col min="10194" max="10194" width="30.69921875" style="2024" customWidth="1"/>
    <col min="10195" max="10195" width="8.796875" style="2024"/>
    <col min="10196" max="10197" width="0" style="2024" hidden="1" customWidth="1"/>
    <col min="10198" max="10201" width="8.796875" style="2024"/>
    <col min="10202" max="10202" width="24.59765625" style="2024" customWidth="1"/>
    <col min="10203" max="10204" width="8.796875" style="2024"/>
    <col min="10205" max="10205" width="10.19921875" style="2024" bestFit="1" customWidth="1"/>
    <col min="10206" max="10435" width="8.796875" style="2024"/>
    <col min="10436" max="10436" width="15.19921875" style="2024" customWidth="1"/>
    <col min="10437" max="10437" width="10.69921875" style="2024" customWidth="1"/>
    <col min="10438" max="10438" width="22.5" style="2024" customWidth="1"/>
    <col min="10439" max="10442" width="0" style="2024" hidden="1" customWidth="1"/>
    <col min="10443" max="10443" width="27.19921875" style="2024" customWidth="1"/>
    <col min="10444" max="10445" width="0" style="2024" hidden="1" customWidth="1"/>
    <col min="10446" max="10446" width="6.3984375" style="2024" bestFit="1" customWidth="1"/>
    <col min="10447" max="10447" width="33.09765625" style="2024" customWidth="1"/>
    <col min="10448" max="10448" width="30.69921875" style="2024" customWidth="1"/>
    <col min="10449" max="10449" width="6.09765625" style="2024" bestFit="1" customWidth="1"/>
    <col min="10450" max="10450" width="30.69921875" style="2024" customWidth="1"/>
    <col min="10451" max="10451" width="8.796875" style="2024"/>
    <col min="10452" max="10453" width="0" style="2024" hidden="1" customWidth="1"/>
    <col min="10454" max="10457" width="8.796875" style="2024"/>
    <col min="10458" max="10458" width="24.59765625" style="2024" customWidth="1"/>
    <col min="10459" max="10460" width="8.796875" style="2024"/>
    <col min="10461" max="10461" width="10.19921875" style="2024" bestFit="1" customWidth="1"/>
    <col min="10462" max="10691" width="8.796875" style="2024"/>
    <col min="10692" max="10692" width="15.19921875" style="2024" customWidth="1"/>
    <col min="10693" max="10693" width="10.69921875" style="2024" customWidth="1"/>
    <col min="10694" max="10694" width="22.5" style="2024" customWidth="1"/>
    <col min="10695" max="10698" width="0" style="2024" hidden="1" customWidth="1"/>
    <col min="10699" max="10699" width="27.19921875" style="2024" customWidth="1"/>
    <col min="10700" max="10701" width="0" style="2024" hidden="1" customWidth="1"/>
    <col min="10702" max="10702" width="6.3984375" style="2024" bestFit="1" customWidth="1"/>
    <col min="10703" max="10703" width="33.09765625" style="2024" customWidth="1"/>
    <col min="10704" max="10704" width="30.69921875" style="2024" customWidth="1"/>
    <col min="10705" max="10705" width="6.09765625" style="2024" bestFit="1" customWidth="1"/>
    <col min="10706" max="10706" width="30.69921875" style="2024" customWidth="1"/>
    <col min="10707" max="10707" width="8.796875" style="2024"/>
    <col min="10708" max="10709" width="0" style="2024" hidden="1" customWidth="1"/>
    <col min="10710" max="10713" width="8.796875" style="2024"/>
    <col min="10714" max="10714" width="24.59765625" style="2024" customWidth="1"/>
    <col min="10715" max="10716" width="8.796875" style="2024"/>
    <col min="10717" max="10717" width="10.19921875" style="2024" bestFit="1" customWidth="1"/>
    <col min="10718" max="10947" width="8.796875" style="2024"/>
    <col min="10948" max="10948" width="15.19921875" style="2024" customWidth="1"/>
    <col min="10949" max="10949" width="10.69921875" style="2024" customWidth="1"/>
    <col min="10950" max="10950" width="22.5" style="2024" customWidth="1"/>
    <col min="10951" max="10954" width="0" style="2024" hidden="1" customWidth="1"/>
    <col min="10955" max="10955" width="27.19921875" style="2024" customWidth="1"/>
    <col min="10956" max="10957" width="0" style="2024" hidden="1" customWidth="1"/>
    <col min="10958" max="10958" width="6.3984375" style="2024" bestFit="1" customWidth="1"/>
    <col min="10959" max="10959" width="33.09765625" style="2024" customWidth="1"/>
    <col min="10960" max="10960" width="30.69921875" style="2024" customWidth="1"/>
    <col min="10961" max="10961" width="6.09765625" style="2024" bestFit="1" customWidth="1"/>
    <col min="10962" max="10962" width="30.69921875" style="2024" customWidth="1"/>
    <col min="10963" max="10963" width="8.796875" style="2024"/>
    <col min="10964" max="10965" width="0" style="2024" hidden="1" customWidth="1"/>
    <col min="10966" max="10969" width="8.796875" style="2024"/>
    <col min="10970" max="10970" width="24.59765625" style="2024" customWidth="1"/>
    <col min="10971" max="10972" width="8.796875" style="2024"/>
    <col min="10973" max="10973" width="10.19921875" style="2024" bestFit="1" customWidth="1"/>
    <col min="10974" max="11203" width="8.796875" style="2024"/>
    <col min="11204" max="11204" width="15.19921875" style="2024" customWidth="1"/>
    <col min="11205" max="11205" width="10.69921875" style="2024" customWidth="1"/>
    <col min="11206" max="11206" width="22.5" style="2024" customWidth="1"/>
    <col min="11207" max="11210" width="0" style="2024" hidden="1" customWidth="1"/>
    <col min="11211" max="11211" width="27.19921875" style="2024" customWidth="1"/>
    <col min="11212" max="11213" width="0" style="2024" hidden="1" customWidth="1"/>
    <col min="11214" max="11214" width="6.3984375" style="2024" bestFit="1" customWidth="1"/>
    <col min="11215" max="11215" width="33.09765625" style="2024" customWidth="1"/>
    <col min="11216" max="11216" width="30.69921875" style="2024" customWidth="1"/>
    <col min="11217" max="11217" width="6.09765625" style="2024" bestFit="1" customWidth="1"/>
    <col min="11218" max="11218" width="30.69921875" style="2024" customWidth="1"/>
    <col min="11219" max="11219" width="8.796875" style="2024"/>
    <col min="11220" max="11221" width="0" style="2024" hidden="1" customWidth="1"/>
    <col min="11222" max="11225" width="8.796875" style="2024"/>
    <col min="11226" max="11226" width="24.59765625" style="2024" customWidth="1"/>
    <col min="11227" max="11228" width="8.796875" style="2024"/>
    <col min="11229" max="11229" width="10.19921875" style="2024" bestFit="1" customWidth="1"/>
    <col min="11230" max="11459" width="8.796875" style="2024"/>
    <col min="11460" max="11460" width="15.19921875" style="2024" customWidth="1"/>
    <col min="11461" max="11461" width="10.69921875" style="2024" customWidth="1"/>
    <col min="11462" max="11462" width="22.5" style="2024" customWidth="1"/>
    <col min="11463" max="11466" width="0" style="2024" hidden="1" customWidth="1"/>
    <col min="11467" max="11467" width="27.19921875" style="2024" customWidth="1"/>
    <col min="11468" max="11469" width="0" style="2024" hidden="1" customWidth="1"/>
    <col min="11470" max="11470" width="6.3984375" style="2024" bestFit="1" customWidth="1"/>
    <col min="11471" max="11471" width="33.09765625" style="2024" customWidth="1"/>
    <col min="11472" max="11472" width="30.69921875" style="2024" customWidth="1"/>
    <col min="11473" max="11473" width="6.09765625" style="2024" bestFit="1" customWidth="1"/>
    <col min="11474" max="11474" width="30.69921875" style="2024" customWidth="1"/>
    <col min="11475" max="11475" width="8.796875" style="2024"/>
    <col min="11476" max="11477" width="0" style="2024" hidden="1" customWidth="1"/>
    <col min="11478" max="11481" width="8.796875" style="2024"/>
    <col min="11482" max="11482" width="24.59765625" style="2024" customWidth="1"/>
    <col min="11483" max="11484" width="8.796875" style="2024"/>
    <col min="11485" max="11485" width="10.19921875" style="2024" bestFit="1" customWidth="1"/>
    <col min="11486" max="11715" width="8.796875" style="2024"/>
    <col min="11716" max="11716" width="15.19921875" style="2024" customWidth="1"/>
    <col min="11717" max="11717" width="10.69921875" style="2024" customWidth="1"/>
    <col min="11718" max="11718" width="22.5" style="2024" customWidth="1"/>
    <col min="11719" max="11722" width="0" style="2024" hidden="1" customWidth="1"/>
    <col min="11723" max="11723" width="27.19921875" style="2024" customWidth="1"/>
    <col min="11724" max="11725" width="0" style="2024" hidden="1" customWidth="1"/>
    <col min="11726" max="11726" width="6.3984375" style="2024" bestFit="1" customWidth="1"/>
    <col min="11727" max="11727" width="33.09765625" style="2024" customWidth="1"/>
    <col min="11728" max="11728" width="30.69921875" style="2024" customWidth="1"/>
    <col min="11729" max="11729" width="6.09765625" style="2024" bestFit="1" customWidth="1"/>
    <col min="11730" max="11730" width="30.69921875" style="2024" customWidth="1"/>
    <col min="11731" max="11731" width="8.796875" style="2024"/>
    <col min="11732" max="11733" width="0" style="2024" hidden="1" customWidth="1"/>
    <col min="11734" max="11737" width="8.796875" style="2024"/>
    <col min="11738" max="11738" width="24.59765625" style="2024" customWidth="1"/>
    <col min="11739" max="11740" width="8.796875" style="2024"/>
    <col min="11741" max="11741" width="10.19921875" style="2024" bestFit="1" customWidth="1"/>
    <col min="11742" max="11971" width="8.796875" style="2024"/>
    <col min="11972" max="11972" width="15.19921875" style="2024" customWidth="1"/>
    <col min="11973" max="11973" width="10.69921875" style="2024" customWidth="1"/>
    <col min="11974" max="11974" width="22.5" style="2024" customWidth="1"/>
    <col min="11975" max="11978" width="0" style="2024" hidden="1" customWidth="1"/>
    <col min="11979" max="11979" width="27.19921875" style="2024" customWidth="1"/>
    <col min="11980" max="11981" width="0" style="2024" hidden="1" customWidth="1"/>
    <col min="11982" max="11982" width="6.3984375" style="2024" bestFit="1" customWidth="1"/>
    <col min="11983" max="11983" width="33.09765625" style="2024" customWidth="1"/>
    <col min="11984" max="11984" width="30.69921875" style="2024" customWidth="1"/>
    <col min="11985" max="11985" width="6.09765625" style="2024" bestFit="1" customWidth="1"/>
    <col min="11986" max="11986" width="30.69921875" style="2024" customWidth="1"/>
    <col min="11987" max="11987" width="8.796875" style="2024"/>
    <col min="11988" max="11989" width="0" style="2024" hidden="1" customWidth="1"/>
    <col min="11990" max="11993" width="8.796875" style="2024"/>
    <col min="11994" max="11994" width="24.59765625" style="2024" customWidth="1"/>
    <col min="11995" max="11996" width="8.796875" style="2024"/>
    <col min="11997" max="11997" width="10.19921875" style="2024" bestFit="1" customWidth="1"/>
    <col min="11998" max="12227" width="8.796875" style="2024"/>
    <col min="12228" max="12228" width="15.19921875" style="2024" customWidth="1"/>
    <col min="12229" max="12229" width="10.69921875" style="2024" customWidth="1"/>
    <col min="12230" max="12230" width="22.5" style="2024" customWidth="1"/>
    <col min="12231" max="12234" width="0" style="2024" hidden="1" customWidth="1"/>
    <col min="12235" max="12235" width="27.19921875" style="2024" customWidth="1"/>
    <col min="12236" max="12237" width="0" style="2024" hidden="1" customWidth="1"/>
    <col min="12238" max="12238" width="6.3984375" style="2024" bestFit="1" customWidth="1"/>
    <col min="12239" max="12239" width="33.09765625" style="2024" customWidth="1"/>
    <col min="12240" max="12240" width="30.69921875" style="2024" customWidth="1"/>
    <col min="12241" max="12241" width="6.09765625" style="2024" bestFit="1" customWidth="1"/>
    <col min="12242" max="12242" width="30.69921875" style="2024" customWidth="1"/>
    <col min="12243" max="12243" width="8.796875" style="2024"/>
    <col min="12244" max="12245" width="0" style="2024" hidden="1" customWidth="1"/>
    <col min="12246" max="12249" width="8.796875" style="2024"/>
    <col min="12250" max="12250" width="24.59765625" style="2024" customWidth="1"/>
    <col min="12251" max="12252" width="8.796875" style="2024"/>
    <col min="12253" max="12253" width="10.19921875" style="2024" bestFit="1" customWidth="1"/>
    <col min="12254" max="12483" width="8.796875" style="2024"/>
    <col min="12484" max="12484" width="15.19921875" style="2024" customWidth="1"/>
    <col min="12485" max="12485" width="10.69921875" style="2024" customWidth="1"/>
    <col min="12486" max="12486" width="22.5" style="2024" customWidth="1"/>
    <col min="12487" max="12490" width="0" style="2024" hidden="1" customWidth="1"/>
    <col min="12491" max="12491" width="27.19921875" style="2024" customWidth="1"/>
    <col min="12492" max="12493" width="0" style="2024" hidden="1" customWidth="1"/>
    <col min="12494" max="12494" width="6.3984375" style="2024" bestFit="1" customWidth="1"/>
    <col min="12495" max="12495" width="33.09765625" style="2024" customWidth="1"/>
    <col min="12496" max="12496" width="30.69921875" style="2024" customWidth="1"/>
    <col min="12497" max="12497" width="6.09765625" style="2024" bestFit="1" customWidth="1"/>
    <col min="12498" max="12498" width="30.69921875" style="2024" customWidth="1"/>
    <col min="12499" max="12499" width="8.796875" style="2024"/>
    <col min="12500" max="12501" width="0" style="2024" hidden="1" customWidth="1"/>
    <col min="12502" max="12505" width="8.796875" style="2024"/>
    <col min="12506" max="12506" width="24.59765625" style="2024" customWidth="1"/>
    <col min="12507" max="12508" width="8.796875" style="2024"/>
    <col min="12509" max="12509" width="10.19921875" style="2024" bestFit="1" customWidth="1"/>
    <col min="12510" max="12739" width="8.796875" style="2024"/>
    <col min="12740" max="12740" width="15.19921875" style="2024" customWidth="1"/>
    <col min="12741" max="12741" width="10.69921875" style="2024" customWidth="1"/>
    <col min="12742" max="12742" width="22.5" style="2024" customWidth="1"/>
    <col min="12743" max="12746" width="0" style="2024" hidden="1" customWidth="1"/>
    <col min="12747" max="12747" width="27.19921875" style="2024" customWidth="1"/>
    <col min="12748" max="12749" width="0" style="2024" hidden="1" customWidth="1"/>
    <col min="12750" max="12750" width="6.3984375" style="2024" bestFit="1" customWidth="1"/>
    <col min="12751" max="12751" width="33.09765625" style="2024" customWidth="1"/>
    <col min="12752" max="12752" width="30.69921875" style="2024" customWidth="1"/>
    <col min="12753" max="12753" width="6.09765625" style="2024" bestFit="1" customWidth="1"/>
    <col min="12754" max="12754" width="30.69921875" style="2024" customWidth="1"/>
    <col min="12755" max="12755" width="8.796875" style="2024"/>
    <col min="12756" max="12757" width="0" style="2024" hidden="1" customWidth="1"/>
    <col min="12758" max="12761" width="8.796875" style="2024"/>
    <col min="12762" max="12762" width="24.59765625" style="2024" customWidth="1"/>
    <col min="12763" max="12764" width="8.796875" style="2024"/>
    <col min="12765" max="12765" width="10.19921875" style="2024" bestFit="1" customWidth="1"/>
    <col min="12766" max="12995" width="8.796875" style="2024"/>
    <col min="12996" max="12996" width="15.19921875" style="2024" customWidth="1"/>
    <col min="12997" max="12997" width="10.69921875" style="2024" customWidth="1"/>
    <col min="12998" max="12998" width="22.5" style="2024" customWidth="1"/>
    <col min="12999" max="13002" width="0" style="2024" hidden="1" customWidth="1"/>
    <col min="13003" max="13003" width="27.19921875" style="2024" customWidth="1"/>
    <col min="13004" max="13005" width="0" style="2024" hidden="1" customWidth="1"/>
    <col min="13006" max="13006" width="6.3984375" style="2024" bestFit="1" customWidth="1"/>
    <col min="13007" max="13007" width="33.09765625" style="2024" customWidth="1"/>
    <col min="13008" max="13008" width="30.69921875" style="2024" customWidth="1"/>
    <col min="13009" max="13009" width="6.09765625" style="2024" bestFit="1" customWidth="1"/>
    <col min="13010" max="13010" width="30.69921875" style="2024" customWidth="1"/>
    <col min="13011" max="13011" width="8.796875" style="2024"/>
    <col min="13012" max="13013" width="0" style="2024" hidden="1" customWidth="1"/>
    <col min="13014" max="13017" width="8.796875" style="2024"/>
    <col min="13018" max="13018" width="24.59765625" style="2024" customWidth="1"/>
    <col min="13019" max="13020" width="8.796875" style="2024"/>
    <col min="13021" max="13021" width="10.19921875" style="2024" bestFit="1" customWidth="1"/>
    <col min="13022" max="13251" width="8.796875" style="2024"/>
    <col min="13252" max="13252" width="15.19921875" style="2024" customWidth="1"/>
    <col min="13253" max="13253" width="10.69921875" style="2024" customWidth="1"/>
    <col min="13254" max="13254" width="22.5" style="2024" customWidth="1"/>
    <col min="13255" max="13258" width="0" style="2024" hidden="1" customWidth="1"/>
    <col min="13259" max="13259" width="27.19921875" style="2024" customWidth="1"/>
    <col min="13260" max="13261" width="0" style="2024" hidden="1" customWidth="1"/>
    <col min="13262" max="13262" width="6.3984375" style="2024" bestFit="1" customWidth="1"/>
    <col min="13263" max="13263" width="33.09765625" style="2024" customWidth="1"/>
    <col min="13264" max="13264" width="30.69921875" style="2024" customWidth="1"/>
    <col min="13265" max="13265" width="6.09765625" style="2024" bestFit="1" customWidth="1"/>
    <col min="13266" max="13266" width="30.69921875" style="2024" customWidth="1"/>
    <col min="13267" max="13267" width="8.796875" style="2024"/>
    <col min="13268" max="13269" width="0" style="2024" hidden="1" customWidth="1"/>
    <col min="13270" max="13273" width="8.796875" style="2024"/>
    <col min="13274" max="13274" width="24.59765625" style="2024" customWidth="1"/>
    <col min="13275" max="13276" width="8.796875" style="2024"/>
    <col min="13277" max="13277" width="10.19921875" style="2024" bestFit="1" customWidth="1"/>
    <col min="13278" max="13507" width="8.796875" style="2024"/>
    <col min="13508" max="13508" width="15.19921875" style="2024" customWidth="1"/>
    <col min="13509" max="13509" width="10.69921875" style="2024" customWidth="1"/>
    <col min="13510" max="13510" width="22.5" style="2024" customWidth="1"/>
    <col min="13511" max="13514" width="0" style="2024" hidden="1" customWidth="1"/>
    <col min="13515" max="13515" width="27.19921875" style="2024" customWidth="1"/>
    <col min="13516" max="13517" width="0" style="2024" hidden="1" customWidth="1"/>
    <col min="13518" max="13518" width="6.3984375" style="2024" bestFit="1" customWidth="1"/>
    <col min="13519" max="13519" width="33.09765625" style="2024" customWidth="1"/>
    <col min="13520" max="13520" width="30.69921875" style="2024" customWidth="1"/>
    <col min="13521" max="13521" width="6.09765625" style="2024" bestFit="1" customWidth="1"/>
    <col min="13522" max="13522" width="30.69921875" style="2024" customWidth="1"/>
    <col min="13523" max="13523" width="8.796875" style="2024"/>
    <col min="13524" max="13525" width="0" style="2024" hidden="1" customWidth="1"/>
    <col min="13526" max="13529" width="8.796875" style="2024"/>
    <col min="13530" max="13530" width="24.59765625" style="2024" customWidth="1"/>
    <col min="13531" max="13532" width="8.796875" style="2024"/>
    <col min="13533" max="13533" width="10.19921875" style="2024" bestFit="1" customWidth="1"/>
    <col min="13534" max="13763" width="8.796875" style="2024"/>
    <col min="13764" max="13764" width="15.19921875" style="2024" customWidth="1"/>
    <col min="13765" max="13765" width="10.69921875" style="2024" customWidth="1"/>
    <col min="13766" max="13766" width="22.5" style="2024" customWidth="1"/>
    <col min="13767" max="13770" width="0" style="2024" hidden="1" customWidth="1"/>
    <col min="13771" max="13771" width="27.19921875" style="2024" customWidth="1"/>
    <col min="13772" max="13773" width="0" style="2024" hidden="1" customWidth="1"/>
    <col min="13774" max="13774" width="6.3984375" style="2024" bestFit="1" customWidth="1"/>
    <col min="13775" max="13775" width="33.09765625" style="2024" customWidth="1"/>
    <col min="13776" max="13776" width="30.69921875" style="2024" customWidth="1"/>
    <col min="13777" max="13777" width="6.09765625" style="2024" bestFit="1" customWidth="1"/>
    <col min="13778" max="13778" width="30.69921875" style="2024" customWidth="1"/>
    <col min="13779" max="13779" width="8.796875" style="2024"/>
    <col min="13780" max="13781" width="0" style="2024" hidden="1" customWidth="1"/>
    <col min="13782" max="13785" width="8.796875" style="2024"/>
    <col min="13786" max="13786" width="24.59765625" style="2024" customWidth="1"/>
    <col min="13787" max="13788" width="8.796875" style="2024"/>
    <col min="13789" max="13789" width="10.19921875" style="2024" bestFit="1" customWidth="1"/>
    <col min="13790" max="14019" width="8.796875" style="2024"/>
    <col min="14020" max="14020" width="15.19921875" style="2024" customWidth="1"/>
    <col min="14021" max="14021" width="10.69921875" style="2024" customWidth="1"/>
    <col min="14022" max="14022" width="22.5" style="2024" customWidth="1"/>
    <col min="14023" max="14026" width="0" style="2024" hidden="1" customWidth="1"/>
    <col min="14027" max="14027" width="27.19921875" style="2024" customWidth="1"/>
    <col min="14028" max="14029" width="0" style="2024" hidden="1" customWidth="1"/>
    <col min="14030" max="14030" width="6.3984375" style="2024" bestFit="1" customWidth="1"/>
    <col min="14031" max="14031" width="33.09765625" style="2024" customWidth="1"/>
    <col min="14032" max="14032" width="30.69921875" style="2024" customWidth="1"/>
    <col min="14033" max="14033" width="6.09765625" style="2024" bestFit="1" customWidth="1"/>
    <col min="14034" max="14034" width="30.69921875" style="2024" customWidth="1"/>
    <col min="14035" max="14035" width="8.796875" style="2024"/>
    <col min="14036" max="14037" width="0" style="2024" hidden="1" customWidth="1"/>
    <col min="14038" max="14041" width="8.796875" style="2024"/>
    <col min="14042" max="14042" width="24.59765625" style="2024" customWidth="1"/>
    <col min="14043" max="14044" width="8.796875" style="2024"/>
    <col min="14045" max="14045" width="10.19921875" style="2024" bestFit="1" customWidth="1"/>
    <col min="14046" max="14275" width="8.796875" style="2024"/>
    <col min="14276" max="14276" width="15.19921875" style="2024" customWidth="1"/>
    <col min="14277" max="14277" width="10.69921875" style="2024" customWidth="1"/>
    <col min="14278" max="14278" width="22.5" style="2024" customWidth="1"/>
    <col min="14279" max="14282" width="0" style="2024" hidden="1" customWidth="1"/>
    <col min="14283" max="14283" width="27.19921875" style="2024" customWidth="1"/>
    <col min="14284" max="14285" width="0" style="2024" hidden="1" customWidth="1"/>
    <col min="14286" max="14286" width="6.3984375" style="2024" bestFit="1" customWidth="1"/>
    <col min="14287" max="14287" width="33.09765625" style="2024" customWidth="1"/>
    <col min="14288" max="14288" width="30.69921875" style="2024" customWidth="1"/>
    <col min="14289" max="14289" width="6.09765625" style="2024" bestFit="1" customWidth="1"/>
    <col min="14290" max="14290" width="30.69921875" style="2024" customWidth="1"/>
    <col min="14291" max="14291" width="8.796875" style="2024"/>
    <col min="14292" max="14293" width="0" style="2024" hidden="1" customWidth="1"/>
    <col min="14294" max="14297" width="8.796875" style="2024"/>
    <col min="14298" max="14298" width="24.59765625" style="2024" customWidth="1"/>
    <col min="14299" max="14300" width="8.796875" style="2024"/>
    <col min="14301" max="14301" width="10.19921875" style="2024" bestFit="1" customWidth="1"/>
    <col min="14302" max="14531" width="8.796875" style="2024"/>
    <col min="14532" max="14532" width="15.19921875" style="2024" customWidth="1"/>
    <col min="14533" max="14533" width="10.69921875" style="2024" customWidth="1"/>
    <col min="14534" max="14534" width="22.5" style="2024" customWidth="1"/>
    <col min="14535" max="14538" width="0" style="2024" hidden="1" customWidth="1"/>
    <col min="14539" max="14539" width="27.19921875" style="2024" customWidth="1"/>
    <col min="14540" max="14541" width="0" style="2024" hidden="1" customWidth="1"/>
    <col min="14542" max="14542" width="6.3984375" style="2024" bestFit="1" customWidth="1"/>
    <col min="14543" max="14543" width="33.09765625" style="2024" customWidth="1"/>
    <col min="14544" max="14544" width="30.69921875" style="2024" customWidth="1"/>
    <col min="14545" max="14545" width="6.09765625" style="2024" bestFit="1" customWidth="1"/>
    <col min="14546" max="14546" width="30.69921875" style="2024" customWidth="1"/>
    <col min="14547" max="14547" width="8.796875" style="2024"/>
    <col min="14548" max="14549" width="0" style="2024" hidden="1" customWidth="1"/>
    <col min="14550" max="14553" width="8.796875" style="2024"/>
    <col min="14554" max="14554" width="24.59765625" style="2024" customWidth="1"/>
    <col min="14555" max="14556" width="8.796875" style="2024"/>
    <col min="14557" max="14557" width="10.19921875" style="2024" bestFit="1" customWidth="1"/>
    <col min="14558" max="14787" width="8.796875" style="2024"/>
    <col min="14788" max="14788" width="15.19921875" style="2024" customWidth="1"/>
    <col min="14789" max="14789" width="10.69921875" style="2024" customWidth="1"/>
    <col min="14790" max="14790" width="22.5" style="2024" customWidth="1"/>
    <col min="14791" max="14794" width="0" style="2024" hidden="1" customWidth="1"/>
    <col min="14795" max="14795" width="27.19921875" style="2024" customWidth="1"/>
    <col min="14796" max="14797" width="0" style="2024" hidden="1" customWidth="1"/>
    <col min="14798" max="14798" width="6.3984375" style="2024" bestFit="1" customWidth="1"/>
    <col min="14799" max="14799" width="33.09765625" style="2024" customWidth="1"/>
    <col min="14800" max="14800" width="30.69921875" style="2024" customWidth="1"/>
    <col min="14801" max="14801" width="6.09765625" style="2024" bestFit="1" customWidth="1"/>
    <col min="14802" max="14802" width="30.69921875" style="2024" customWidth="1"/>
    <col min="14803" max="14803" width="8.796875" style="2024"/>
    <col min="14804" max="14805" width="0" style="2024" hidden="1" customWidth="1"/>
    <col min="14806" max="14809" width="8.796875" style="2024"/>
    <col min="14810" max="14810" width="24.59765625" style="2024" customWidth="1"/>
    <col min="14811" max="14812" width="8.796875" style="2024"/>
    <col min="14813" max="14813" width="10.19921875" style="2024" bestFit="1" customWidth="1"/>
    <col min="14814" max="15043" width="8.796875" style="2024"/>
    <col min="15044" max="15044" width="15.19921875" style="2024" customWidth="1"/>
    <col min="15045" max="15045" width="10.69921875" style="2024" customWidth="1"/>
    <col min="15046" max="15046" width="22.5" style="2024" customWidth="1"/>
    <col min="15047" max="15050" width="0" style="2024" hidden="1" customWidth="1"/>
    <col min="15051" max="15051" width="27.19921875" style="2024" customWidth="1"/>
    <col min="15052" max="15053" width="0" style="2024" hidden="1" customWidth="1"/>
    <col min="15054" max="15054" width="6.3984375" style="2024" bestFit="1" customWidth="1"/>
    <col min="15055" max="15055" width="33.09765625" style="2024" customWidth="1"/>
    <col min="15056" max="15056" width="30.69921875" style="2024" customWidth="1"/>
    <col min="15057" max="15057" width="6.09765625" style="2024" bestFit="1" customWidth="1"/>
    <col min="15058" max="15058" width="30.69921875" style="2024" customWidth="1"/>
    <col min="15059" max="15059" width="8.796875" style="2024"/>
    <col min="15060" max="15061" width="0" style="2024" hidden="1" customWidth="1"/>
    <col min="15062" max="15065" width="8.796875" style="2024"/>
    <col min="15066" max="15066" width="24.59765625" style="2024" customWidth="1"/>
    <col min="15067" max="15068" width="8.796875" style="2024"/>
    <col min="15069" max="15069" width="10.19921875" style="2024" bestFit="1" customWidth="1"/>
    <col min="15070" max="15299" width="8.796875" style="2024"/>
    <col min="15300" max="15300" width="15.19921875" style="2024" customWidth="1"/>
    <col min="15301" max="15301" width="10.69921875" style="2024" customWidth="1"/>
    <col min="15302" max="15302" width="22.5" style="2024" customWidth="1"/>
    <col min="15303" max="15306" width="0" style="2024" hidden="1" customWidth="1"/>
    <col min="15307" max="15307" width="27.19921875" style="2024" customWidth="1"/>
    <col min="15308" max="15309" width="0" style="2024" hidden="1" customWidth="1"/>
    <col min="15310" max="15310" width="6.3984375" style="2024" bestFit="1" customWidth="1"/>
    <col min="15311" max="15311" width="33.09765625" style="2024" customWidth="1"/>
    <col min="15312" max="15312" width="30.69921875" style="2024" customWidth="1"/>
    <col min="15313" max="15313" width="6.09765625" style="2024" bestFit="1" customWidth="1"/>
    <col min="15314" max="15314" width="30.69921875" style="2024" customWidth="1"/>
    <col min="15315" max="15315" width="8.796875" style="2024"/>
    <col min="15316" max="15317" width="0" style="2024" hidden="1" customWidth="1"/>
    <col min="15318" max="15321" width="8.796875" style="2024"/>
    <col min="15322" max="15322" width="24.59765625" style="2024" customWidth="1"/>
    <col min="15323" max="15324" width="8.796875" style="2024"/>
    <col min="15325" max="15325" width="10.19921875" style="2024" bestFit="1" customWidth="1"/>
    <col min="15326" max="15555" width="8.796875" style="2024"/>
    <col min="15556" max="15556" width="15.19921875" style="2024" customWidth="1"/>
    <col min="15557" max="15557" width="10.69921875" style="2024" customWidth="1"/>
    <col min="15558" max="15558" width="22.5" style="2024" customWidth="1"/>
    <col min="15559" max="15562" width="0" style="2024" hidden="1" customWidth="1"/>
    <col min="15563" max="15563" width="27.19921875" style="2024" customWidth="1"/>
    <col min="15564" max="15565" width="0" style="2024" hidden="1" customWidth="1"/>
    <col min="15566" max="15566" width="6.3984375" style="2024" bestFit="1" customWidth="1"/>
    <col min="15567" max="15567" width="33.09765625" style="2024" customWidth="1"/>
    <col min="15568" max="15568" width="30.69921875" style="2024" customWidth="1"/>
    <col min="15569" max="15569" width="6.09765625" style="2024" bestFit="1" customWidth="1"/>
    <col min="15570" max="15570" width="30.69921875" style="2024" customWidth="1"/>
    <col min="15571" max="15571" width="8.796875" style="2024"/>
    <col min="15572" max="15573" width="0" style="2024" hidden="1" customWidth="1"/>
    <col min="15574" max="15577" width="8.796875" style="2024"/>
    <col min="15578" max="15578" width="24.59765625" style="2024" customWidth="1"/>
    <col min="15579" max="15580" width="8.796875" style="2024"/>
    <col min="15581" max="15581" width="10.19921875" style="2024" bestFit="1" customWidth="1"/>
    <col min="15582" max="15811" width="8.796875" style="2024"/>
    <col min="15812" max="15812" width="15.19921875" style="2024" customWidth="1"/>
    <col min="15813" max="15813" width="10.69921875" style="2024" customWidth="1"/>
    <col min="15814" max="15814" width="22.5" style="2024" customWidth="1"/>
    <col min="15815" max="15818" width="0" style="2024" hidden="1" customWidth="1"/>
    <col min="15819" max="15819" width="27.19921875" style="2024" customWidth="1"/>
    <col min="15820" max="15821" width="0" style="2024" hidden="1" customWidth="1"/>
    <col min="15822" max="15822" width="6.3984375" style="2024" bestFit="1" customWidth="1"/>
    <col min="15823" max="15823" width="33.09765625" style="2024" customWidth="1"/>
    <col min="15824" max="15824" width="30.69921875" style="2024" customWidth="1"/>
    <col min="15825" max="15825" width="6.09765625" style="2024" bestFit="1" customWidth="1"/>
    <col min="15826" max="15826" width="30.69921875" style="2024" customWidth="1"/>
    <col min="15827" max="15827" width="8.796875" style="2024"/>
    <col min="15828" max="15829" width="0" style="2024" hidden="1" customWidth="1"/>
    <col min="15830" max="15833" width="8.796875" style="2024"/>
    <col min="15834" max="15834" width="24.59765625" style="2024" customWidth="1"/>
    <col min="15835" max="15836" width="8.796875" style="2024"/>
    <col min="15837" max="15837" width="10.19921875" style="2024" bestFit="1" customWidth="1"/>
    <col min="15838" max="16067" width="8.796875" style="2024"/>
    <col min="16068" max="16068" width="15.19921875" style="2024" customWidth="1"/>
    <col min="16069" max="16069" width="10.69921875" style="2024" customWidth="1"/>
    <col min="16070" max="16070" width="22.5" style="2024" customWidth="1"/>
    <col min="16071" max="16074" width="0" style="2024" hidden="1" customWidth="1"/>
    <col min="16075" max="16075" width="27.19921875" style="2024" customWidth="1"/>
    <col min="16076" max="16077" width="0" style="2024" hidden="1" customWidth="1"/>
    <col min="16078" max="16078" width="6.3984375" style="2024" bestFit="1" customWidth="1"/>
    <col min="16079" max="16079" width="33.09765625" style="2024" customWidth="1"/>
    <col min="16080" max="16080" width="30.69921875" style="2024" customWidth="1"/>
    <col min="16081" max="16081" width="6.09765625" style="2024" bestFit="1" customWidth="1"/>
    <col min="16082" max="16082" width="30.69921875" style="2024" customWidth="1"/>
    <col min="16083" max="16083" width="8.796875" style="2024"/>
    <col min="16084" max="16085" width="0" style="2024" hidden="1" customWidth="1"/>
    <col min="16086" max="16089" width="8.796875" style="2024"/>
    <col min="16090" max="16090" width="24.59765625" style="2024" customWidth="1"/>
    <col min="16091" max="16092" width="8.796875" style="2024"/>
    <col min="16093" max="16093" width="10.19921875" style="2024" bestFit="1" customWidth="1"/>
    <col min="16094" max="16384" width="8.796875" style="2024"/>
  </cols>
  <sheetData>
    <row r="1" spans="1:15" x14ac:dyDescent="0.25">
      <c r="A1" s="2022" t="s">
        <v>9169</v>
      </c>
      <c r="B1" s="2022"/>
      <c r="C1" s="2022"/>
      <c r="D1" s="2022"/>
      <c r="E1" s="2022"/>
      <c r="F1" s="2022"/>
      <c r="G1" s="2022"/>
      <c r="H1" s="2022"/>
      <c r="I1" s="2022"/>
      <c r="J1" s="2022"/>
      <c r="K1" s="2022"/>
      <c r="L1" s="2022"/>
      <c r="M1" s="2022"/>
      <c r="N1" s="2023"/>
      <c r="O1" s="2023"/>
    </row>
    <row r="2" spans="1:15" x14ac:dyDescent="0.25">
      <c r="A2" s="2025"/>
      <c r="B2" s="2026"/>
      <c r="C2" s="2026"/>
      <c r="D2" s="2027"/>
      <c r="E2" s="2027"/>
      <c r="F2" s="2027"/>
      <c r="G2" s="2027"/>
      <c r="H2" s="2027"/>
      <c r="I2" s="2027"/>
      <c r="J2" s="2028"/>
      <c r="K2" s="2029"/>
      <c r="L2" s="2027"/>
      <c r="M2" s="2027"/>
    </row>
    <row r="3" spans="1:15" s="2036" customFormat="1" x14ac:dyDescent="0.25">
      <c r="A3" s="2031" t="s">
        <v>9170</v>
      </c>
      <c r="B3" s="2032" t="s">
        <v>9171</v>
      </c>
      <c r="C3" s="2033" t="s">
        <v>7762</v>
      </c>
      <c r="D3" s="2034" t="s">
        <v>9172</v>
      </c>
      <c r="E3" s="2034"/>
      <c r="F3" s="2034"/>
      <c r="G3" s="2034"/>
      <c r="H3" s="2034"/>
      <c r="I3" s="2034"/>
      <c r="J3" s="2032" t="s">
        <v>9173</v>
      </c>
      <c r="K3" s="2032" t="s">
        <v>690</v>
      </c>
      <c r="L3" s="2032" t="s">
        <v>9174</v>
      </c>
      <c r="M3" s="2032" t="s">
        <v>9175</v>
      </c>
      <c r="N3" s="2035" t="s">
        <v>9176</v>
      </c>
      <c r="O3" s="2035" t="s">
        <v>9177</v>
      </c>
    </row>
    <row r="4" spans="1:15" s="2036" customFormat="1" x14ac:dyDescent="0.25">
      <c r="A4" s="2037"/>
      <c r="B4" s="2038"/>
      <c r="C4" s="2032"/>
      <c r="D4" s="2039" t="s">
        <v>622</v>
      </c>
      <c r="E4" s="2039" t="s">
        <v>9178</v>
      </c>
      <c r="F4" s="2039" t="s">
        <v>9179</v>
      </c>
      <c r="G4" s="2039" t="s">
        <v>9180</v>
      </c>
      <c r="H4" s="2039" t="s">
        <v>9181</v>
      </c>
      <c r="I4" s="2039" t="s">
        <v>9182</v>
      </c>
      <c r="J4" s="2038"/>
      <c r="K4" s="2038"/>
      <c r="L4" s="2038"/>
      <c r="M4" s="2038"/>
      <c r="N4" s="2040"/>
      <c r="O4" s="2040"/>
    </row>
    <row r="5" spans="1:15" s="2036" customFormat="1" x14ac:dyDescent="0.25">
      <c r="A5" s="2041" t="s">
        <v>9183</v>
      </c>
      <c r="B5" s="2042"/>
      <c r="C5" s="2042"/>
      <c r="D5" s="2043"/>
      <c r="E5" s="2044"/>
      <c r="F5" s="2044"/>
      <c r="G5" s="2044"/>
      <c r="H5" s="2044"/>
      <c r="I5" s="2043"/>
      <c r="J5" s="2044"/>
      <c r="K5" s="2044"/>
      <c r="L5" s="2044"/>
      <c r="M5" s="2044"/>
      <c r="N5" s="2045"/>
      <c r="O5" s="2045"/>
    </row>
    <row r="6" spans="1:15" s="2036" customFormat="1" x14ac:dyDescent="0.25">
      <c r="A6" s="2046">
        <v>1</v>
      </c>
      <c r="B6" s="2042"/>
      <c r="C6" s="2047" t="s">
        <v>9184</v>
      </c>
      <c r="D6" s="2043">
        <v>34000</v>
      </c>
      <c r="E6" s="2044"/>
      <c r="F6" s="2044"/>
      <c r="G6" s="2044"/>
      <c r="H6" s="2044"/>
      <c r="I6" s="2043">
        <v>34000</v>
      </c>
      <c r="J6" s="2044"/>
      <c r="K6" s="2044"/>
      <c r="L6" s="2044"/>
      <c r="M6" s="2044"/>
      <c r="N6" s="2045"/>
      <c r="O6" s="2045"/>
    </row>
    <row r="7" spans="1:15" s="2036" customFormat="1" x14ac:dyDescent="0.25">
      <c r="A7" s="2046">
        <v>2</v>
      </c>
      <c r="B7" s="2042"/>
      <c r="C7" s="2048" t="s">
        <v>9185</v>
      </c>
      <c r="D7" s="2043">
        <v>5000</v>
      </c>
      <c r="E7" s="2044"/>
      <c r="F7" s="2044"/>
      <c r="G7" s="2044"/>
      <c r="H7" s="2044"/>
      <c r="I7" s="2043">
        <v>5000</v>
      </c>
      <c r="J7" s="2044"/>
      <c r="K7" s="2044"/>
      <c r="L7" s="2044"/>
      <c r="M7" s="2044"/>
      <c r="N7" s="2045"/>
      <c r="O7" s="2045"/>
    </row>
    <row r="8" spans="1:15" s="2036" customFormat="1" x14ac:dyDescent="0.25">
      <c r="A8" s="2046">
        <v>3</v>
      </c>
      <c r="B8" s="2042"/>
      <c r="C8" s="2048" t="s">
        <v>9186</v>
      </c>
      <c r="D8" s="2043">
        <v>1600</v>
      </c>
      <c r="E8" s="2044"/>
      <c r="F8" s="2044"/>
      <c r="G8" s="2044"/>
      <c r="H8" s="2044"/>
      <c r="I8" s="2043">
        <v>1600</v>
      </c>
      <c r="J8" s="2044"/>
      <c r="K8" s="2044"/>
      <c r="L8" s="2044"/>
      <c r="M8" s="2044"/>
      <c r="N8" s="2045"/>
      <c r="O8" s="2045"/>
    </row>
    <row r="9" spans="1:15" s="2036" customFormat="1" x14ac:dyDescent="0.25">
      <c r="A9" s="2046">
        <v>4</v>
      </c>
      <c r="B9" s="2042"/>
      <c r="C9" s="2048" t="s">
        <v>9187</v>
      </c>
      <c r="D9" s="2043">
        <v>26810</v>
      </c>
      <c r="E9" s="2044"/>
      <c r="F9" s="2044"/>
      <c r="G9" s="2044"/>
      <c r="H9" s="2044"/>
      <c r="I9" s="2043">
        <v>26810</v>
      </c>
      <c r="J9" s="2044"/>
      <c r="K9" s="2044"/>
      <c r="L9" s="2044"/>
      <c r="M9" s="2044"/>
      <c r="N9" s="2045"/>
      <c r="O9" s="2045"/>
    </row>
    <row r="10" spans="1:15" s="2036" customFormat="1" x14ac:dyDescent="0.25">
      <c r="A10" s="2046">
        <v>5</v>
      </c>
      <c r="B10" s="2042"/>
      <c r="C10" s="2048" t="s">
        <v>9188</v>
      </c>
      <c r="D10" s="2043">
        <v>23300</v>
      </c>
      <c r="E10" s="2044"/>
      <c r="F10" s="2044"/>
      <c r="G10" s="2044"/>
      <c r="H10" s="2044"/>
      <c r="I10" s="2043">
        <v>23300</v>
      </c>
      <c r="J10" s="2044"/>
      <c r="K10" s="2044"/>
      <c r="L10" s="2044"/>
      <c r="M10" s="2044"/>
      <c r="N10" s="2045"/>
      <c r="O10" s="2045"/>
    </row>
    <row r="11" spans="1:15" s="2036" customFormat="1" x14ac:dyDescent="0.25">
      <c r="A11" s="2046">
        <v>6</v>
      </c>
      <c r="B11" s="2042"/>
      <c r="C11" s="2048" t="s">
        <v>9189</v>
      </c>
      <c r="D11" s="2049">
        <v>27000</v>
      </c>
      <c r="E11" s="2044"/>
      <c r="F11" s="2044"/>
      <c r="G11" s="2044"/>
      <c r="H11" s="2044"/>
      <c r="I11" s="2049">
        <v>27000</v>
      </c>
      <c r="J11" s="2044"/>
      <c r="K11" s="2044"/>
      <c r="L11" s="2044"/>
      <c r="M11" s="2044"/>
      <c r="N11" s="2045"/>
      <c r="O11" s="2045"/>
    </row>
    <row r="12" spans="1:15" s="2036" customFormat="1" x14ac:dyDescent="0.25">
      <c r="A12" s="2046">
        <v>7</v>
      </c>
      <c r="B12" s="2042"/>
      <c r="C12" s="2048" t="s">
        <v>9190</v>
      </c>
      <c r="D12" s="2049">
        <v>18000</v>
      </c>
      <c r="E12" s="2044"/>
      <c r="F12" s="2044"/>
      <c r="G12" s="2044"/>
      <c r="H12" s="2044"/>
      <c r="I12" s="2049">
        <v>18000</v>
      </c>
      <c r="J12" s="2044"/>
      <c r="K12" s="2044"/>
      <c r="L12" s="2044"/>
      <c r="M12" s="2044"/>
      <c r="N12" s="2045"/>
      <c r="O12" s="2045"/>
    </row>
    <row r="13" spans="1:15" s="2036" customFormat="1" x14ac:dyDescent="0.25">
      <c r="A13" s="2046">
        <v>8</v>
      </c>
      <c r="B13" s="2042"/>
      <c r="C13" s="2048" t="s">
        <v>9191</v>
      </c>
      <c r="D13" s="2043">
        <v>9000</v>
      </c>
      <c r="E13" s="2044"/>
      <c r="F13" s="2044"/>
      <c r="G13" s="2044"/>
      <c r="H13" s="2044"/>
      <c r="I13" s="2043">
        <v>9000</v>
      </c>
      <c r="J13" s="2044"/>
      <c r="K13" s="2044"/>
      <c r="L13" s="2044"/>
      <c r="M13" s="2044"/>
      <c r="N13" s="2045"/>
      <c r="O13" s="2045"/>
    </row>
    <row r="14" spans="1:15" s="2036" customFormat="1" x14ac:dyDescent="0.25">
      <c r="A14" s="2046">
        <v>9</v>
      </c>
      <c r="B14" s="2042"/>
      <c r="C14" s="2048" t="s">
        <v>9192</v>
      </c>
      <c r="D14" s="2043">
        <v>13500</v>
      </c>
      <c r="E14" s="2044"/>
      <c r="F14" s="2044"/>
      <c r="G14" s="2044"/>
      <c r="H14" s="2044"/>
      <c r="I14" s="2043">
        <v>13500</v>
      </c>
      <c r="J14" s="2044"/>
      <c r="K14" s="2044"/>
      <c r="L14" s="2044"/>
      <c r="M14" s="2044"/>
      <c r="N14" s="2045"/>
      <c r="O14" s="2045"/>
    </row>
    <row r="15" spans="1:15" s="2036" customFormat="1" x14ac:dyDescent="0.25">
      <c r="A15" s="2046">
        <v>10</v>
      </c>
      <c r="B15" s="2042"/>
      <c r="C15" s="2048" t="s">
        <v>9193</v>
      </c>
      <c r="D15" s="2043">
        <v>14000</v>
      </c>
      <c r="E15" s="2044"/>
      <c r="F15" s="2044"/>
      <c r="G15" s="2044"/>
      <c r="H15" s="2044"/>
      <c r="I15" s="2043">
        <v>14000</v>
      </c>
      <c r="J15" s="2044"/>
      <c r="K15" s="2044"/>
      <c r="L15" s="2044"/>
      <c r="M15" s="2044"/>
      <c r="N15" s="2045"/>
      <c r="O15" s="2045"/>
    </row>
    <row r="16" spans="1:15" s="2036" customFormat="1" x14ac:dyDescent="0.25">
      <c r="A16" s="2046">
        <v>11</v>
      </c>
      <c r="B16" s="2042"/>
      <c r="C16" s="2048" t="s">
        <v>9194</v>
      </c>
      <c r="D16" s="2043">
        <v>13500</v>
      </c>
      <c r="E16" s="2044"/>
      <c r="F16" s="2044"/>
      <c r="G16" s="2044"/>
      <c r="H16" s="2044"/>
      <c r="I16" s="2043">
        <v>13500</v>
      </c>
      <c r="J16" s="2044"/>
      <c r="K16" s="2044"/>
      <c r="L16" s="2044"/>
      <c r="M16" s="2044"/>
      <c r="N16" s="2045"/>
      <c r="O16" s="2045"/>
    </row>
    <row r="17" spans="1:15" s="2036" customFormat="1" x14ac:dyDescent="0.25">
      <c r="A17" s="2046">
        <v>12</v>
      </c>
      <c r="B17" s="2042"/>
      <c r="C17" s="2048" t="s">
        <v>9195</v>
      </c>
      <c r="D17" s="2043">
        <v>18000</v>
      </c>
      <c r="E17" s="2044"/>
      <c r="F17" s="2044"/>
      <c r="G17" s="2044"/>
      <c r="H17" s="2044"/>
      <c r="I17" s="2043">
        <v>18000</v>
      </c>
      <c r="J17" s="2044"/>
      <c r="K17" s="2044"/>
      <c r="L17" s="2044"/>
      <c r="M17" s="2044"/>
      <c r="N17" s="2045"/>
      <c r="O17" s="2045"/>
    </row>
    <row r="18" spans="1:15" s="2036" customFormat="1" x14ac:dyDescent="0.25">
      <c r="A18" s="2041" t="s">
        <v>9196</v>
      </c>
      <c r="B18" s="2050"/>
      <c r="C18" s="2051"/>
      <c r="D18" s="2044"/>
      <c r="E18" s="2044"/>
      <c r="F18" s="2044"/>
      <c r="G18" s="2044"/>
      <c r="H18" s="2044"/>
      <c r="I18" s="2044"/>
      <c r="J18" s="2044"/>
      <c r="K18" s="2044"/>
      <c r="L18" s="2044"/>
      <c r="M18" s="2044"/>
      <c r="N18" s="2044"/>
      <c r="O18" s="2044"/>
    </row>
    <row r="19" spans="1:15" s="2058" customFormat="1" ht="49.2" x14ac:dyDescent="0.25">
      <c r="A19" s="2052">
        <v>1</v>
      </c>
      <c r="B19" s="2053"/>
      <c r="C19" s="2048" t="s">
        <v>9197</v>
      </c>
      <c r="D19" s="2054">
        <v>6050</v>
      </c>
      <c r="E19" s="2055"/>
      <c r="F19" s="2055"/>
      <c r="G19" s="2055"/>
      <c r="H19" s="2055"/>
      <c r="I19" s="2054">
        <v>6050</v>
      </c>
      <c r="J19" s="2056"/>
      <c r="K19" s="2053"/>
      <c r="L19" s="2054"/>
      <c r="M19" s="2055"/>
      <c r="N19" s="2057"/>
      <c r="O19" s="2057"/>
    </row>
    <row r="20" spans="1:15" s="2036" customFormat="1" ht="49.2" x14ac:dyDescent="0.25">
      <c r="A20" s="2052">
        <v>2</v>
      </c>
      <c r="B20" s="2053"/>
      <c r="C20" s="2048" t="s">
        <v>9198</v>
      </c>
      <c r="D20" s="2054">
        <v>6050</v>
      </c>
      <c r="E20" s="2055"/>
      <c r="F20" s="2055"/>
      <c r="G20" s="2055"/>
      <c r="H20" s="2055"/>
      <c r="I20" s="2054">
        <v>6050</v>
      </c>
      <c r="J20" s="2056"/>
      <c r="K20" s="2053"/>
      <c r="L20" s="2054"/>
      <c r="M20" s="2055"/>
      <c r="N20" s="2057"/>
      <c r="O20" s="2057"/>
    </row>
    <row r="21" spans="1:15" s="2036" customFormat="1" x14ac:dyDescent="0.25">
      <c r="A21" s="2052">
        <v>3</v>
      </c>
      <c r="B21" s="2053"/>
      <c r="C21" s="2048" t="s">
        <v>9199</v>
      </c>
      <c r="D21" s="2054">
        <v>15750</v>
      </c>
      <c r="E21" s="2055"/>
      <c r="F21" s="2055"/>
      <c r="G21" s="2055"/>
      <c r="H21" s="2055"/>
      <c r="I21" s="2054">
        <v>15750</v>
      </c>
      <c r="J21" s="2056"/>
      <c r="K21" s="2053"/>
      <c r="L21" s="2055"/>
      <c r="M21" s="2055"/>
      <c r="N21" s="2057"/>
      <c r="O21" s="2057"/>
    </row>
    <row r="22" spans="1:15" s="2036" customFormat="1" x14ac:dyDescent="0.25">
      <c r="A22" s="2052">
        <v>4</v>
      </c>
      <c r="B22" s="2053"/>
      <c r="C22" s="2048" t="s">
        <v>9200</v>
      </c>
      <c r="D22" s="2054">
        <v>12000</v>
      </c>
      <c r="E22" s="2055"/>
      <c r="F22" s="2055"/>
      <c r="G22" s="2055"/>
      <c r="H22" s="2055"/>
      <c r="I22" s="2054">
        <v>12000</v>
      </c>
      <c r="J22" s="2056"/>
      <c r="K22" s="2053"/>
      <c r="L22" s="2055"/>
      <c r="M22" s="2055"/>
      <c r="N22" s="2057"/>
      <c r="O22" s="2057"/>
    </row>
    <row r="23" spans="1:15" s="2036" customFormat="1" x14ac:dyDescent="0.25">
      <c r="A23" s="2041" t="s">
        <v>9201</v>
      </c>
      <c r="B23" s="2050"/>
      <c r="C23" s="2051"/>
      <c r="D23" s="2044"/>
      <c r="E23" s="2044"/>
      <c r="F23" s="2044"/>
      <c r="G23" s="2044"/>
      <c r="H23" s="2044"/>
      <c r="I23" s="2044"/>
      <c r="J23" s="2044"/>
      <c r="K23" s="2044"/>
      <c r="L23" s="2044"/>
      <c r="M23" s="2044"/>
      <c r="N23" s="2044"/>
      <c r="O23" s="2044"/>
    </row>
    <row r="24" spans="1:15" s="2036" customFormat="1" ht="73.8" x14ac:dyDescent="0.25">
      <c r="A24" s="2046">
        <v>1</v>
      </c>
      <c r="B24" s="2050"/>
      <c r="C24" s="2048" t="s">
        <v>9202</v>
      </c>
      <c r="D24" s="2054">
        <v>40000</v>
      </c>
      <c r="E24" s="2054">
        <v>40000</v>
      </c>
      <c r="F24" s="2054"/>
      <c r="G24" s="2044"/>
      <c r="H24" s="2044"/>
      <c r="I24" s="2044"/>
      <c r="J24" s="2044"/>
      <c r="K24" s="2044"/>
      <c r="L24" s="2044"/>
      <c r="M24" s="2044"/>
      <c r="N24" s="2044"/>
      <c r="O24" s="2044"/>
    </row>
    <row r="25" spans="1:15" ht="49.2" x14ac:dyDescent="0.25">
      <c r="A25" s="2059">
        <v>2</v>
      </c>
      <c r="B25" s="2060"/>
      <c r="C25" s="2048" t="s">
        <v>9203</v>
      </c>
      <c r="D25" s="2054">
        <v>30000</v>
      </c>
      <c r="E25" s="2054">
        <v>30000</v>
      </c>
      <c r="F25" s="2054"/>
      <c r="G25" s="2055"/>
      <c r="H25" s="2055"/>
      <c r="I25" s="2055"/>
      <c r="J25" s="2061"/>
      <c r="K25" s="2053"/>
      <c r="L25" s="2055"/>
      <c r="M25" s="2055"/>
      <c r="N25" s="2057"/>
      <c r="O25" s="2057"/>
    </row>
    <row r="26" spans="1:15" s="2036" customFormat="1" x14ac:dyDescent="0.25">
      <c r="A26" s="2041" t="s">
        <v>9204</v>
      </c>
      <c r="B26" s="2050"/>
      <c r="C26" s="2051"/>
      <c r="D26" s="2044"/>
      <c r="E26" s="2044"/>
      <c r="F26" s="2044"/>
      <c r="G26" s="2044"/>
      <c r="H26" s="2044"/>
      <c r="I26" s="2044"/>
      <c r="J26" s="2044"/>
      <c r="K26" s="2044"/>
      <c r="L26" s="2044"/>
      <c r="M26" s="2044"/>
      <c r="N26" s="2044"/>
      <c r="O26" s="2044"/>
    </row>
    <row r="27" spans="1:15" x14ac:dyDescent="0.25">
      <c r="A27" s="2059">
        <v>1</v>
      </c>
      <c r="B27" s="2060"/>
      <c r="C27" s="2048" t="s">
        <v>9205</v>
      </c>
      <c r="D27" s="2054">
        <v>478330</v>
      </c>
      <c r="E27" s="2055"/>
      <c r="F27" s="2055"/>
      <c r="G27" s="2055"/>
      <c r="H27" s="2055"/>
      <c r="I27" s="2054">
        <v>478330</v>
      </c>
      <c r="J27" s="2061"/>
      <c r="K27" s="2053"/>
      <c r="L27" s="2054"/>
      <c r="M27" s="2055"/>
      <c r="N27" s="2057"/>
      <c r="O27" s="2057"/>
    </row>
    <row r="28" spans="1:15" s="2036" customFormat="1" x14ac:dyDescent="0.25">
      <c r="A28" s="2041" t="s">
        <v>9206</v>
      </c>
      <c r="B28" s="2050"/>
      <c r="C28" s="2051"/>
      <c r="D28" s="2044"/>
      <c r="E28" s="2044"/>
      <c r="F28" s="2044"/>
      <c r="G28" s="2044"/>
      <c r="H28" s="2044"/>
      <c r="I28" s="2044"/>
      <c r="J28" s="2044"/>
      <c r="K28" s="2044"/>
      <c r="L28" s="2044"/>
      <c r="M28" s="2044"/>
      <c r="N28" s="2044"/>
      <c r="O28" s="2044"/>
    </row>
    <row r="29" spans="1:15" x14ac:dyDescent="0.25">
      <c r="A29" s="2059">
        <v>1</v>
      </c>
      <c r="B29" s="2060"/>
      <c r="C29" s="2062" t="s">
        <v>9207</v>
      </c>
      <c r="D29" s="2063">
        <v>125390</v>
      </c>
      <c r="E29" s="2055"/>
      <c r="F29" s="2055"/>
      <c r="G29" s="2055"/>
      <c r="H29" s="2055"/>
      <c r="I29" s="2063">
        <v>125390</v>
      </c>
      <c r="J29" s="2055"/>
      <c r="K29" s="2053"/>
      <c r="L29" s="2055"/>
      <c r="M29" s="2055"/>
      <c r="N29" s="2055"/>
      <c r="O29" s="2055"/>
    </row>
    <row r="30" spans="1:15" s="2036" customFormat="1" x14ac:dyDescent="0.25">
      <c r="A30" s="2041" t="s">
        <v>9208</v>
      </c>
      <c r="B30" s="2050"/>
      <c r="C30" s="2051"/>
      <c r="D30" s="2044"/>
      <c r="E30" s="2044"/>
      <c r="F30" s="2044"/>
      <c r="G30" s="2044"/>
      <c r="H30" s="2044"/>
      <c r="I30" s="2044"/>
      <c r="J30" s="2044"/>
      <c r="K30" s="2044"/>
      <c r="L30" s="2044"/>
      <c r="M30" s="2044"/>
      <c r="N30" s="2044"/>
      <c r="O30" s="2044"/>
    </row>
    <row r="31" spans="1:15" x14ac:dyDescent="0.25">
      <c r="A31" s="2059">
        <v>1</v>
      </c>
      <c r="B31" s="2060"/>
      <c r="C31" s="2064" t="s">
        <v>9209</v>
      </c>
      <c r="D31" s="2065">
        <v>38575</v>
      </c>
      <c r="E31" s="2055"/>
      <c r="F31" s="2065">
        <v>38575</v>
      </c>
      <c r="G31" s="2055"/>
      <c r="H31" s="2055"/>
      <c r="I31" s="2066"/>
      <c r="J31" s="2061"/>
      <c r="K31" s="2053"/>
      <c r="L31" s="2055"/>
      <c r="M31" s="2055"/>
      <c r="N31" s="2057"/>
      <c r="O31" s="2057"/>
    </row>
    <row r="32" spans="1:15" ht="49.2" x14ac:dyDescent="0.25">
      <c r="A32" s="2059">
        <v>2</v>
      </c>
      <c r="B32" s="2060"/>
      <c r="C32" s="2067" t="s">
        <v>9210</v>
      </c>
      <c r="D32" s="2068">
        <v>25000</v>
      </c>
      <c r="E32" s="2055"/>
      <c r="F32" s="2055"/>
      <c r="G32" s="2055"/>
      <c r="H32" s="2055"/>
      <c r="I32" s="2068">
        <v>25000</v>
      </c>
      <c r="J32" s="2061"/>
      <c r="K32" s="2053"/>
      <c r="L32" s="2055"/>
      <c r="M32" s="2055"/>
      <c r="N32" s="2057"/>
      <c r="O32" s="2057"/>
    </row>
    <row r="33" spans="1:16" x14ac:dyDescent="0.25">
      <c r="A33" s="2059">
        <v>3</v>
      </c>
      <c r="B33" s="2060"/>
      <c r="C33" s="2067" t="s">
        <v>9211</v>
      </c>
      <c r="D33" s="2068">
        <v>4500</v>
      </c>
      <c r="E33" s="2055"/>
      <c r="F33" s="2055"/>
      <c r="G33" s="2055"/>
      <c r="H33" s="2055"/>
      <c r="I33" s="2068">
        <v>4500</v>
      </c>
      <c r="J33" s="2061"/>
      <c r="K33" s="2053"/>
      <c r="L33" s="2055"/>
      <c r="M33" s="2055"/>
      <c r="N33" s="2057"/>
      <c r="O33" s="2057"/>
      <c r="P33" s="2024" t="s">
        <v>7380</v>
      </c>
    </row>
    <row r="34" spans="1:16" ht="49.2" x14ac:dyDescent="0.25">
      <c r="A34" s="2059">
        <v>4</v>
      </c>
      <c r="B34" s="2060"/>
      <c r="C34" s="2067" t="s">
        <v>9212</v>
      </c>
      <c r="D34" s="2069">
        <v>8000</v>
      </c>
      <c r="E34" s="2055"/>
      <c r="F34" s="2055"/>
      <c r="G34" s="2055"/>
      <c r="H34" s="2055"/>
      <c r="I34" s="2069">
        <v>8000</v>
      </c>
      <c r="J34" s="2061"/>
      <c r="K34" s="2053"/>
      <c r="L34" s="2055"/>
      <c r="M34" s="2055"/>
      <c r="N34" s="2057"/>
      <c r="O34" s="2057"/>
    </row>
    <row r="35" spans="1:16" x14ac:dyDescent="0.25">
      <c r="A35" s="2059">
        <v>5</v>
      </c>
      <c r="B35" s="2060"/>
      <c r="C35" s="2064" t="s">
        <v>9213</v>
      </c>
      <c r="D35" s="2065">
        <v>2000</v>
      </c>
      <c r="E35" s="2055"/>
      <c r="F35" s="2055"/>
      <c r="G35" s="2055"/>
      <c r="H35" s="2055"/>
      <c r="I35" s="2065">
        <v>2000</v>
      </c>
      <c r="J35" s="2061"/>
      <c r="K35" s="2053"/>
      <c r="L35" s="2055"/>
      <c r="M35" s="2055"/>
      <c r="N35" s="2057"/>
      <c r="O35" s="2057"/>
    </row>
    <row r="36" spans="1:16" ht="49.2" x14ac:dyDescent="0.25">
      <c r="A36" s="2059">
        <v>6</v>
      </c>
      <c r="B36" s="2060"/>
      <c r="C36" s="2067" t="s">
        <v>9214</v>
      </c>
      <c r="D36" s="2068">
        <v>28000</v>
      </c>
      <c r="E36" s="2055"/>
      <c r="F36" s="2055"/>
      <c r="G36" s="2055"/>
      <c r="H36" s="2070">
        <v>35000</v>
      </c>
      <c r="I36" s="2068">
        <v>28000</v>
      </c>
      <c r="J36" s="2061"/>
      <c r="K36" s="2053"/>
      <c r="L36" s="2055"/>
      <c r="M36" s="2055"/>
      <c r="N36" s="2057"/>
      <c r="O36" s="2057"/>
    </row>
    <row r="37" spans="1:16" x14ac:dyDescent="0.25">
      <c r="A37" s="2059">
        <v>7</v>
      </c>
      <c r="B37" s="2060"/>
      <c r="C37" s="2064" t="s">
        <v>9215</v>
      </c>
      <c r="D37" s="2065">
        <v>50000</v>
      </c>
      <c r="E37" s="2055"/>
      <c r="F37" s="2055"/>
      <c r="G37" s="2066"/>
      <c r="H37" s="2071"/>
      <c r="I37" s="2065">
        <v>50000</v>
      </c>
      <c r="J37" s="2061"/>
      <c r="K37" s="2053"/>
      <c r="L37" s="2055"/>
      <c r="M37" s="2055"/>
      <c r="N37" s="2057"/>
      <c r="O37" s="2057"/>
    </row>
    <row r="38" spans="1:16" x14ac:dyDescent="0.25">
      <c r="A38" s="2059">
        <v>8</v>
      </c>
      <c r="B38" s="2060"/>
      <c r="C38" s="2064" t="s">
        <v>9216</v>
      </c>
      <c r="D38" s="2065">
        <v>35000</v>
      </c>
      <c r="E38" s="2055"/>
      <c r="F38" s="2055"/>
      <c r="G38" s="2055"/>
      <c r="H38" s="2065">
        <v>35000</v>
      </c>
      <c r="I38" s="2072"/>
      <c r="J38" s="2061"/>
      <c r="K38" s="2053"/>
      <c r="L38" s="2055"/>
      <c r="M38" s="2055"/>
      <c r="N38" s="2057"/>
      <c r="O38" s="2057"/>
    </row>
    <row r="39" spans="1:16" ht="49.2" x14ac:dyDescent="0.25">
      <c r="A39" s="2059"/>
      <c r="B39" s="2060"/>
      <c r="C39" s="2067" t="s">
        <v>9217</v>
      </c>
      <c r="D39" s="2068">
        <v>285480</v>
      </c>
      <c r="E39" s="2055"/>
      <c r="F39" s="2055"/>
      <c r="G39" s="2068">
        <v>285480</v>
      </c>
      <c r="H39" s="2073"/>
      <c r="I39" s="2072"/>
      <c r="J39" s="2061"/>
      <c r="K39" s="2053"/>
      <c r="L39" s="2055"/>
      <c r="M39" s="2055"/>
      <c r="N39" s="2057"/>
      <c r="O39" s="2057"/>
    </row>
    <row r="40" spans="1:16" x14ac:dyDescent="0.25">
      <c r="A40" s="2059"/>
      <c r="B40" s="2060"/>
      <c r="C40" s="2067" t="s">
        <v>9218</v>
      </c>
      <c r="D40" s="2074">
        <v>150000</v>
      </c>
      <c r="E40" s="2055"/>
      <c r="F40" s="2055"/>
      <c r="G40" s="2055"/>
      <c r="H40" s="2074">
        <v>150000</v>
      </c>
      <c r="I40" s="2072"/>
      <c r="J40" s="2061"/>
      <c r="K40" s="2053"/>
      <c r="L40" s="2055"/>
      <c r="M40" s="2055"/>
      <c r="N40" s="2057"/>
      <c r="O40" s="2057"/>
    </row>
    <row r="41" spans="1:16" x14ac:dyDescent="0.25">
      <c r="A41" s="2075" t="s">
        <v>9219</v>
      </c>
      <c r="B41" s="2075"/>
      <c r="C41" s="2075"/>
      <c r="D41" s="2055"/>
      <c r="E41" s="2055"/>
      <c r="F41" s="2055"/>
      <c r="G41" s="2055"/>
      <c r="H41" s="2055"/>
      <c r="I41" s="2055"/>
      <c r="J41" s="2055"/>
      <c r="K41" s="2055"/>
      <c r="L41" s="2055"/>
      <c r="M41" s="2055"/>
      <c r="N41" s="2055"/>
      <c r="O41" s="2055"/>
    </row>
    <row r="42" spans="1:16" x14ac:dyDescent="0.25">
      <c r="A42" s="2059">
        <v>1</v>
      </c>
      <c r="B42" s="2060"/>
      <c r="C42" s="2062" t="s">
        <v>9220</v>
      </c>
      <c r="D42" s="2076">
        <v>1500</v>
      </c>
      <c r="E42" s="2055"/>
      <c r="F42" s="2055"/>
      <c r="G42" s="2055"/>
      <c r="H42" s="2055"/>
      <c r="I42" s="2076">
        <v>1500</v>
      </c>
      <c r="J42" s="2061"/>
      <c r="K42" s="2053"/>
      <c r="L42" s="2076"/>
      <c r="M42" s="2055"/>
      <c r="N42" s="2057"/>
      <c r="O42" s="2057"/>
    </row>
    <row r="43" spans="1:16" x14ac:dyDescent="0.25">
      <c r="A43" s="2059">
        <v>2</v>
      </c>
      <c r="B43" s="2053"/>
      <c r="C43" s="2062" t="s">
        <v>9221</v>
      </c>
      <c r="D43" s="2076">
        <v>1000</v>
      </c>
      <c r="E43" s="2055"/>
      <c r="F43" s="2055"/>
      <c r="G43" s="2055"/>
      <c r="H43" s="2055"/>
      <c r="I43" s="2076">
        <v>1000</v>
      </c>
      <c r="J43" s="2061"/>
      <c r="K43" s="2053"/>
      <c r="L43" s="2076"/>
      <c r="M43" s="2055"/>
      <c r="N43" s="2057"/>
      <c r="O43" s="2057"/>
    </row>
    <row r="44" spans="1:16" x14ac:dyDescent="0.25">
      <c r="A44" s="2059">
        <v>3</v>
      </c>
      <c r="B44" s="2053"/>
      <c r="C44" s="2062" t="s">
        <v>9222</v>
      </c>
      <c r="D44" s="2076">
        <v>2000</v>
      </c>
      <c r="E44" s="2055"/>
      <c r="F44" s="2055"/>
      <c r="G44" s="2055"/>
      <c r="H44" s="2055"/>
      <c r="I44" s="2076">
        <v>2000</v>
      </c>
      <c r="J44" s="2061"/>
      <c r="K44" s="2053"/>
      <c r="L44" s="2055"/>
      <c r="M44" s="2055"/>
      <c r="N44" s="2057"/>
      <c r="O44" s="2057"/>
    </row>
    <row r="45" spans="1:16" s="2036" customFormat="1" x14ac:dyDescent="0.25">
      <c r="A45" s="2077"/>
      <c r="B45" s="2042"/>
      <c r="C45" s="2078" t="s">
        <v>9223</v>
      </c>
      <c r="D45" s="2044">
        <f>SUM(D6:D44)</f>
        <v>1548335</v>
      </c>
      <c r="E45" s="2044">
        <f>SUM(E5:E44)</f>
        <v>70000</v>
      </c>
      <c r="F45" s="2044">
        <f>SUM(F5:F44)</f>
        <v>38575</v>
      </c>
      <c r="G45" s="2044">
        <f>SUM(G5:G44)</f>
        <v>285480</v>
      </c>
      <c r="H45" s="2044">
        <f>SUM(H5:H44)</f>
        <v>220000</v>
      </c>
      <c r="I45" s="2044">
        <f>SUM(I5:I44)</f>
        <v>969280</v>
      </c>
      <c r="J45" s="2044">
        <f>SUM(J18:J44)</f>
        <v>0</v>
      </c>
      <c r="K45" s="2044"/>
      <c r="L45" s="2044"/>
      <c r="M45" s="2044"/>
      <c r="N45" s="2044"/>
      <c r="O45" s="2044"/>
    </row>
    <row r="46" spans="1:16" x14ac:dyDescent="0.25">
      <c r="A46" s="2079"/>
      <c r="D46" s="2081"/>
      <c r="E46" s="2082"/>
      <c r="F46" s="2082"/>
      <c r="G46" s="2082"/>
      <c r="H46" s="2083"/>
      <c r="I46" s="2027"/>
      <c r="J46" s="2084"/>
      <c r="K46" s="2083"/>
      <c r="L46" s="2081"/>
      <c r="M46" s="2081"/>
    </row>
    <row r="47" spans="1:16" x14ac:dyDescent="0.25">
      <c r="A47" s="2085"/>
      <c r="B47" s="2085"/>
      <c r="D47" s="2081"/>
      <c r="E47" s="2081"/>
      <c r="F47" s="2081"/>
      <c r="G47" s="2081"/>
      <c r="H47" s="2081"/>
      <c r="I47" s="2081"/>
      <c r="J47" s="2084"/>
      <c r="K47" s="2083"/>
      <c r="L47" s="2081"/>
      <c r="M47" s="2081"/>
    </row>
    <row r="48" spans="1:16" x14ac:dyDescent="0.7">
      <c r="A48" s="2079"/>
      <c r="D48" s="2081"/>
      <c r="E48" s="2081"/>
      <c r="F48" s="2081"/>
      <c r="G48" s="2081"/>
      <c r="H48" s="2081"/>
      <c r="I48" s="2081"/>
      <c r="J48" s="2084"/>
      <c r="K48" s="2086"/>
      <c r="L48" s="200" t="s">
        <v>9224</v>
      </c>
      <c r="M48" s="200"/>
    </row>
    <row r="49" spans="1:17" x14ac:dyDescent="0.7">
      <c r="A49" s="2079"/>
      <c r="D49" s="2081"/>
      <c r="E49" s="2081"/>
      <c r="F49" s="2081"/>
      <c r="G49" s="2081"/>
      <c r="H49" s="2081"/>
      <c r="I49" s="2081"/>
      <c r="J49" s="2084"/>
      <c r="K49" s="2086"/>
      <c r="L49" s="200" t="s">
        <v>9225</v>
      </c>
      <c r="M49" s="200"/>
    </row>
    <row r="50" spans="1:17" x14ac:dyDescent="0.7">
      <c r="A50" s="2079"/>
      <c r="D50" s="2081"/>
      <c r="E50" s="2081"/>
      <c r="F50" s="2081"/>
      <c r="G50" s="2081"/>
      <c r="H50" s="2081"/>
      <c r="I50" s="2081"/>
      <c r="J50" s="2084"/>
      <c r="K50" s="2086"/>
      <c r="L50" s="200" t="s">
        <v>9226</v>
      </c>
      <c r="M50" s="200"/>
    </row>
    <row r="51" spans="1:17" x14ac:dyDescent="0.25">
      <c r="A51" s="2079"/>
      <c r="D51" s="2081"/>
      <c r="E51" s="2081"/>
      <c r="F51" s="2081"/>
      <c r="G51" s="2081"/>
      <c r="H51" s="2081"/>
      <c r="I51" s="2081"/>
      <c r="J51" s="2084"/>
      <c r="K51" s="2083"/>
      <c r="L51" s="2081"/>
      <c r="M51" s="2081"/>
    </row>
    <row r="55" spans="1:17" x14ac:dyDescent="0.7">
      <c r="Q55" s="2030"/>
    </row>
    <row r="56" spans="1:17" x14ac:dyDescent="0.7">
      <c r="Q56" s="2030"/>
    </row>
    <row r="57" spans="1:17" x14ac:dyDescent="0.7">
      <c r="Q57" s="2030"/>
    </row>
    <row r="58" spans="1:17" x14ac:dyDescent="0.7">
      <c r="Q58" s="2030"/>
    </row>
    <row r="59" spans="1:17" x14ac:dyDescent="0.7">
      <c r="Q59" s="2030"/>
    </row>
    <row r="85" spans="1:13" x14ac:dyDescent="0.25">
      <c r="A85" s="2079"/>
      <c r="B85" s="2024"/>
      <c r="D85" s="2091"/>
      <c r="E85" s="2091"/>
      <c r="F85" s="2091"/>
      <c r="G85" s="2091"/>
      <c r="H85" s="2091"/>
      <c r="I85" s="2091"/>
      <c r="J85" s="2024"/>
      <c r="K85" s="2083"/>
      <c r="L85" s="2081"/>
      <c r="M85" s="2081"/>
    </row>
    <row r="159" spans="1:13" x14ac:dyDescent="0.25">
      <c r="A159" s="2079"/>
      <c r="B159" s="2024"/>
      <c r="D159" s="2091"/>
      <c r="E159" s="2091"/>
      <c r="F159" s="2091"/>
      <c r="G159" s="2091"/>
      <c r="H159" s="2091"/>
      <c r="I159" s="2091"/>
      <c r="J159" s="2024"/>
      <c r="K159" s="2083"/>
      <c r="L159" s="2081"/>
      <c r="M159" s="2081"/>
    </row>
    <row r="174" spans="1:13" x14ac:dyDescent="0.25">
      <c r="A174" s="2079"/>
      <c r="B174" s="2024"/>
      <c r="D174" s="2091"/>
      <c r="E174" s="2091"/>
      <c r="F174" s="2091"/>
      <c r="G174" s="2091"/>
      <c r="H174" s="2091"/>
      <c r="I174" s="2091"/>
      <c r="J174" s="2024"/>
      <c r="K174" s="2083"/>
      <c r="L174" s="2081"/>
      <c r="M174" s="2081"/>
    </row>
  </sheetData>
  <mergeCells count="14">
    <mergeCell ref="N3:N4"/>
    <mergeCell ref="O3:O4"/>
    <mergeCell ref="A41:C41"/>
    <mergeCell ref="E46:G46"/>
    <mergeCell ref="A47:B47"/>
    <mergeCell ref="A1:M1"/>
    <mergeCell ref="A3:A4"/>
    <mergeCell ref="B3:B4"/>
    <mergeCell ref="C3:C4"/>
    <mergeCell ref="D3:I3"/>
    <mergeCell ref="J3:J4"/>
    <mergeCell ref="K3:K4"/>
    <mergeCell ref="L3:L4"/>
    <mergeCell ref="M3:M4"/>
  </mergeCells>
  <pageMargins left="0.7" right="0.7" top="0.75" bottom="0.75" header="0.3" footer="0.3"/>
  <pageSetup paperSize="9" orientation="portrait" verticalDpi="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9DA1-C0F6-4B8A-B527-1E3CD89CA294}">
  <dimension ref="A1:W52"/>
  <sheetViews>
    <sheetView topLeftCell="A26" zoomScaleNormal="100" workbookViewId="0">
      <selection activeCell="A17" sqref="A17"/>
    </sheetView>
  </sheetViews>
  <sheetFormatPr defaultRowHeight="13.8" x14ac:dyDescent="0.25"/>
  <cols>
    <col min="2" max="2" width="57.19921875" customWidth="1"/>
    <col min="4" max="4" width="14.19921875" customWidth="1"/>
    <col min="17" max="17" width="15.19921875" customWidth="1"/>
  </cols>
  <sheetData>
    <row r="1" spans="1:20" x14ac:dyDescent="0.25">
      <c r="D1" t="s">
        <v>9227</v>
      </c>
    </row>
    <row r="2" spans="1:20" s="1152" customFormat="1" ht="24.6" x14ac:dyDescent="0.25">
      <c r="A2" s="1153">
        <v>1</v>
      </c>
      <c r="B2" s="1154" t="s">
        <v>7644</v>
      </c>
      <c r="C2" s="1155">
        <v>5</v>
      </c>
      <c r="D2" s="1156">
        <v>6500</v>
      </c>
      <c r="E2" s="1147"/>
      <c r="F2" s="1148" t="s">
        <v>7645</v>
      </c>
      <c r="G2" s="1147"/>
      <c r="H2" s="1147"/>
      <c r="I2" s="1148" t="s">
        <v>7645</v>
      </c>
      <c r="J2" s="1147"/>
      <c r="K2" s="1147"/>
      <c r="L2" s="1147"/>
      <c r="M2" s="1149">
        <v>243285</v>
      </c>
      <c r="N2" s="1149">
        <v>24167</v>
      </c>
      <c r="O2" s="1149">
        <v>24167</v>
      </c>
      <c r="P2" s="1157"/>
      <c r="Q2" s="1158">
        <f>C2*D2</f>
        <v>32500</v>
      </c>
      <c r="R2" s="1148" t="s">
        <v>7646</v>
      </c>
      <c r="S2" s="1148"/>
      <c r="T2" s="1148"/>
    </row>
    <row r="3" spans="1:20" s="1152" customFormat="1" ht="24.6" x14ac:dyDescent="0.25">
      <c r="A3" s="1153">
        <v>2</v>
      </c>
      <c r="B3" s="1154" t="s">
        <v>7647</v>
      </c>
      <c r="C3" s="1155">
        <v>2</v>
      </c>
      <c r="D3" s="1156">
        <v>5000</v>
      </c>
      <c r="E3" s="1159"/>
      <c r="F3" s="1148" t="s">
        <v>7645</v>
      </c>
      <c r="G3" s="1159"/>
      <c r="H3" s="1159"/>
      <c r="I3" s="1148" t="s">
        <v>7645</v>
      </c>
      <c r="J3" s="1159"/>
      <c r="K3" s="1159"/>
      <c r="L3" s="1159"/>
      <c r="M3" s="1149">
        <v>243285</v>
      </c>
      <c r="N3" s="1149">
        <v>24167</v>
      </c>
      <c r="O3" s="1149">
        <v>24167</v>
      </c>
      <c r="P3" s="1157"/>
      <c r="Q3" s="1158">
        <f t="shared" ref="Q3:Q26" si="0">C3*D3</f>
        <v>10000</v>
      </c>
      <c r="R3" s="1148" t="s">
        <v>7646</v>
      </c>
      <c r="S3" s="1148"/>
      <c r="T3" s="1148"/>
    </row>
    <row r="4" spans="1:20" s="1152" customFormat="1" ht="24.6" x14ac:dyDescent="0.25">
      <c r="A4" s="1153">
        <v>3</v>
      </c>
      <c r="B4" s="1160" t="s">
        <v>7648</v>
      </c>
      <c r="C4" s="1155">
        <v>10</v>
      </c>
      <c r="D4" s="1161">
        <v>3500</v>
      </c>
      <c r="E4" s="1147"/>
      <c r="F4" s="1148" t="s">
        <v>7645</v>
      </c>
      <c r="G4" s="1147"/>
      <c r="H4" s="1147"/>
      <c r="I4" s="1148" t="s">
        <v>7645</v>
      </c>
      <c r="J4" s="1147"/>
      <c r="K4" s="1147"/>
      <c r="L4" s="1147"/>
      <c r="M4" s="1149">
        <v>243285</v>
      </c>
      <c r="N4" s="1149">
        <v>24167</v>
      </c>
      <c r="O4" s="1149">
        <v>24167</v>
      </c>
      <c r="P4" s="1157"/>
      <c r="Q4" s="1158">
        <f t="shared" si="0"/>
        <v>35000</v>
      </c>
      <c r="R4" s="1162" t="s">
        <v>7649</v>
      </c>
      <c r="S4" s="1148"/>
      <c r="T4" s="1148"/>
    </row>
    <row r="5" spans="1:20" s="1152" customFormat="1" ht="24.6" x14ac:dyDescent="0.25">
      <c r="A5" s="1153">
        <v>4</v>
      </c>
      <c r="B5" s="1160" t="s">
        <v>7650</v>
      </c>
      <c r="C5" s="1155">
        <v>5</v>
      </c>
      <c r="D5" s="1161">
        <v>4500</v>
      </c>
      <c r="E5" s="1147"/>
      <c r="F5" s="1148" t="s">
        <v>7645</v>
      </c>
      <c r="G5" s="1147"/>
      <c r="H5" s="1147"/>
      <c r="I5" s="1148" t="s">
        <v>7645</v>
      </c>
      <c r="J5" s="1147"/>
      <c r="K5" s="1147"/>
      <c r="L5" s="1147"/>
      <c r="M5" s="1149">
        <v>243285</v>
      </c>
      <c r="N5" s="1149">
        <v>24167</v>
      </c>
      <c r="O5" s="1149">
        <v>24167</v>
      </c>
      <c r="P5" s="1157"/>
      <c r="Q5" s="1158">
        <f t="shared" si="0"/>
        <v>22500</v>
      </c>
      <c r="R5" s="1162"/>
      <c r="S5" s="1148"/>
      <c r="T5" s="1148"/>
    </row>
    <row r="6" spans="1:20" s="1152" customFormat="1" ht="24.6" x14ac:dyDescent="0.25">
      <c r="A6" s="1153">
        <v>5</v>
      </c>
      <c r="B6" s="1160" t="s">
        <v>7651</v>
      </c>
      <c r="C6" s="1155">
        <v>10</v>
      </c>
      <c r="D6" s="1161">
        <v>3500</v>
      </c>
      <c r="E6" s="1147"/>
      <c r="F6" s="1148" t="s">
        <v>7645</v>
      </c>
      <c r="G6" s="1147"/>
      <c r="H6" s="1147"/>
      <c r="I6" s="1148" t="s">
        <v>7645</v>
      </c>
      <c r="J6" s="1147"/>
      <c r="K6" s="1147"/>
      <c r="L6" s="1147"/>
      <c r="M6" s="1149">
        <v>243285</v>
      </c>
      <c r="N6" s="1149">
        <v>24167</v>
      </c>
      <c r="O6" s="1149">
        <v>24167</v>
      </c>
      <c r="P6" s="1157"/>
      <c r="Q6" s="1158">
        <f t="shared" si="0"/>
        <v>35000</v>
      </c>
      <c r="R6" s="1162"/>
      <c r="S6" s="1148"/>
      <c r="T6" s="1148"/>
    </row>
    <row r="7" spans="1:20" s="1152" customFormat="1" ht="24.6" x14ac:dyDescent="0.25">
      <c r="A7" s="1153">
        <v>6</v>
      </c>
      <c r="B7" s="1163" t="s">
        <v>7652</v>
      </c>
      <c r="C7" s="1155">
        <v>1</v>
      </c>
      <c r="D7" s="1164">
        <v>35000</v>
      </c>
      <c r="E7" s="1147"/>
      <c r="F7" s="1148" t="s">
        <v>7645</v>
      </c>
      <c r="G7" s="1147"/>
      <c r="H7" s="1147"/>
      <c r="I7" s="1148" t="s">
        <v>7645</v>
      </c>
      <c r="J7" s="1147"/>
      <c r="K7" s="1147"/>
      <c r="L7" s="1147"/>
      <c r="M7" s="1149">
        <v>243285</v>
      </c>
      <c r="N7" s="1149">
        <v>24167</v>
      </c>
      <c r="O7" s="1149">
        <v>24167</v>
      </c>
      <c r="P7" s="1157"/>
      <c r="Q7" s="1158">
        <f t="shared" si="0"/>
        <v>35000</v>
      </c>
      <c r="R7" s="1162"/>
      <c r="S7" s="1148"/>
      <c r="T7" s="1148"/>
    </row>
    <row r="8" spans="1:20" s="1152" customFormat="1" ht="24.6" x14ac:dyDescent="0.25">
      <c r="A8" s="1153">
        <v>7</v>
      </c>
      <c r="B8" s="1163" t="s">
        <v>7653</v>
      </c>
      <c r="C8" s="1155">
        <v>1</v>
      </c>
      <c r="D8" s="1164">
        <v>40000</v>
      </c>
      <c r="E8" s="1147"/>
      <c r="F8" s="1148" t="s">
        <v>7645</v>
      </c>
      <c r="G8" s="1147"/>
      <c r="H8" s="1147"/>
      <c r="I8" s="1148" t="s">
        <v>7645</v>
      </c>
      <c r="J8" s="1147"/>
      <c r="K8" s="1147"/>
      <c r="L8" s="1147"/>
      <c r="M8" s="1149">
        <v>243285</v>
      </c>
      <c r="N8" s="1149">
        <v>24167</v>
      </c>
      <c r="O8" s="1149">
        <v>24167</v>
      </c>
      <c r="P8" s="1157"/>
      <c r="Q8" s="1158">
        <f t="shared" si="0"/>
        <v>40000</v>
      </c>
      <c r="R8" s="1162"/>
      <c r="S8" s="1148"/>
      <c r="T8" s="1148"/>
    </row>
    <row r="9" spans="1:20" s="1152" customFormat="1" ht="24.6" x14ac:dyDescent="0.25">
      <c r="A9" s="1153">
        <v>8</v>
      </c>
      <c r="B9" s="1165" t="s">
        <v>7654</v>
      </c>
      <c r="C9" s="1155">
        <v>1</v>
      </c>
      <c r="D9" s="1161">
        <v>35000</v>
      </c>
      <c r="E9" s="1147"/>
      <c r="F9" s="1148" t="s">
        <v>7645</v>
      </c>
      <c r="G9" s="1147"/>
      <c r="H9" s="1147"/>
      <c r="I9" s="1148" t="s">
        <v>7645</v>
      </c>
      <c r="J9" s="1147"/>
      <c r="K9" s="1147"/>
      <c r="L9" s="1147"/>
      <c r="M9" s="1149">
        <v>243285</v>
      </c>
      <c r="N9" s="1149">
        <v>24167</v>
      </c>
      <c r="O9" s="1149">
        <v>24167</v>
      </c>
      <c r="P9" s="1157"/>
      <c r="Q9" s="1158">
        <f t="shared" si="0"/>
        <v>35000</v>
      </c>
      <c r="R9" s="1162"/>
      <c r="S9" s="1148"/>
      <c r="T9" s="1148"/>
    </row>
    <row r="10" spans="1:20" s="1152" customFormat="1" ht="24.6" x14ac:dyDescent="0.25">
      <c r="A10" s="1153">
        <v>9</v>
      </c>
      <c r="B10" s="1163" t="s">
        <v>7655</v>
      </c>
      <c r="C10" s="1166">
        <v>1</v>
      </c>
      <c r="D10" s="1161">
        <v>45000</v>
      </c>
      <c r="E10" s="1147"/>
      <c r="F10" s="1148" t="s">
        <v>7645</v>
      </c>
      <c r="G10" s="1147"/>
      <c r="H10" s="1147"/>
      <c r="I10" s="1148" t="s">
        <v>7645</v>
      </c>
      <c r="J10" s="1147"/>
      <c r="K10" s="1147"/>
      <c r="L10" s="1147"/>
      <c r="M10" s="1149">
        <v>243285</v>
      </c>
      <c r="N10" s="1149">
        <v>24167</v>
      </c>
      <c r="O10" s="1149">
        <v>24167</v>
      </c>
      <c r="P10" s="1157"/>
      <c r="Q10" s="1158">
        <f t="shared" si="0"/>
        <v>45000</v>
      </c>
      <c r="R10" s="1162"/>
      <c r="S10" s="1148"/>
      <c r="T10" s="1148"/>
    </row>
    <row r="11" spans="1:20" s="1152" customFormat="1" ht="24.6" x14ac:dyDescent="0.25">
      <c r="A11" s="1153">
        <v>10</v>
      </c>
      <c r="B11" s="1163" t="s">
        <v>7656</v>
      </c>
      <c r="C11" s="1155">
        <v>2</v>
      </c>
      <c r="D11" s="1161">
        <v>15000</v>
      </c>
      <c r="E11" s="1147"/>
      <c r="F11" s="1148" t="s">
        <v>7645</v>
      </c>
      <c r="G11" s="1147"/>
      <c r="H11" s="1147"/>
      <c r="I11" s="1148" t="s">
        <v>7645</v>
      </c>
      <c r="J11" s="1147"/>
      <c r="K11" s="1147"/>
      <c r="L11" s="1147"/>
      <c r="M11" s="1149">
        <v>243285</v>
      </c>
      <c r="N11" s="1149">
        <v>24167</v>
      </c>
      <c r="O11" s="1149">
        <v>24167</v>
      </c>
      <c r="P11" s="1157"/>
      <c r="Q11" s="1158">
        <f t="shared" si="0"/>
        <v>30000</v>
      </c>
      <c r="R11" s="1162"/>
      <c r="S11" s="1148"/>
      <c r="T11" s="1148"/>
    </row>
    <row r="12" spans="1:20" s="1152" customFormat="1" ht="24.6" x14ac:dyDescent="0.25">
      <c r="A12" s="1153">
        <v>11</v>
      </c>
      <c r="B12" s="1167" t="s">
        <v>7657</v>
      </c>
      <c r="C12" s="1155">
        <v>2</v>
      </c>
      <c r="D12" s="1168">
        <v>15000</v>
      </c>
      <c r="E12" s="1147"/>
      <c r="F12" s="1148" t="s">
        <v>7645</v>
      </c>
      <c r="G12" s="1147"/>
      <c r="H12" s="1147"/>
      <c r="I12" s="1148" t="s">
        <v>7645</v>
      </c>
      <c r="J12" s="1147"/>
      <c r="K12" s="1147"/>
      <c r="L12" s="1147"/>
      <c r="M12" s="1149">
        <v>243285</v>
      </c>
      <c r="N12" s="1149">
        <v>24167</v>
      </c>
      <c r="O12" s="1149">
        <v>24167</v>
      </c>
      <c r="P12" s="1157"/>
      <c r="Q12" s="1158">
        <f t="shared" si="0"/>
        <v>30000</v>
      </c>
      <c r="R12" s="1162"/>
      <c r="S12" s="1148"/>
      <c r="T12" s="1148"/>
    </row>
    <row r="13" spans="1:20" s="1152" customFormat="1" ht="24.6" x14ac:dyDescent="0.25">
      <c r="A13" s="1153">
        <v>12</v>
      </c>
      <c r="B13" s="1167" t="s">
        <v>7658</v>
      </c>
      <c r="C13" s="1155">
        <v>1</v>
      </c>
      <c r="D13" s="1168">
        <v>15000</v>
      </c>
      <c r="E13" s="1147"/>
      <c r="F13" s="1148" t="s">
        <v>7645</v>
      </c>
      <c r="G13" s="1147"/>
      <c r="H13" s="1147"/>
      <c r="I13" s="1148" t="s">
        <v>7645</v>
      </c>
      <c r="J13" s="1147"/>
      <c r="K13" s="1147"/>
      <c r="L13" s="1147"/>
      <c r="M13" s="1149">
        <v>243285</v>
      </c>
      <c r="N13" s="1149">
        <v>24167</v>
      </c>
      <c r="O13" s="1149">
        <v>24167</v>
      </c>
      <c r="P13" s="1157"/>
      <c r="Q13" s="1158">
        <f t="shared" si="0"/>
        <v>15000</v>
      </c>
      <c r="R13" s="1162"/>
      <c r="S13" s="1148"/>
      <c r="T13" s="1148"/>
    </row>
    <row r="14" spans="1:20" s="1152" customFormat="1" ht="24.6" x14ac:dyDescent="0.25">
      <c r="A14" s="1153">
        <v>13</v>
      </c>
      <c r="B14" s="1169" t="s">
        <v>7659</v>
      </c>
      <c r="C14" s="1170">
        <v>12</v>
      </c>
      <c r="D14" s="1171">
        <v>4000</v>
      </c>
      <c r="E14" s="1147"/>
      <c r="F14" s="1148" t="s">
        <v>7645</v>
      </c>
      <c r="G14" s="1147"/>
      <c r="H14" s="1147"/>
      <c r="I14" s="1148" t="s">
        <v>7645</v>
      </c>
      <c r="J14" s="1147"/>
      <c r="K14" s="1147"/>
      <c r="L14" s="1147"/>
      <c r="M14" s="1149">
        <v>243285</v>
      </c>
      <c r="N14" s="1149">
        <v>24167</v>
      </c>
      <c r="O14" s="1149">
        <v>24167</v>
      </c>
      <c r="P14" s="1157"/>
      <c r="Q14" s="1158">
        <f t="shared" si="0"/>
        <v>48000</v>
      </c>
      <c r="R14" s="1162"/>
      <c r="S14" s="1148"/>
      <c r="T14" s="1148"/>
    </row>
    <row r="15" spans="1:20" s="1152" customFormat="1" ht="24.6" x14ac:dyDescent="0.25">
      <c r="A15" s="1153">
        <v>14</v>
      </c>
      <c r="B15" s="1167" t="s">
        <v>7660</v>
      </c>
      <c r="C15" s="1155">
        <v>1</v>
      </c>
      <c r="D15" s="1156">
        <v>110000</v>
      </c>
      <c r="E15" s="1147"/>
      <c r="F15" s="1148" t="s">
        <v>7645</v>
      </c>
      <c r="G15" s="1147"/>
      <c r="H15" s="1147"/>
      <c r="I15" s="1148" t="s">
        <v>7645</v>
      </c>
      <c r="J15" s="1147"/>
      <c r="K15" s="1147"/>
      <c r="L15" s="1147"/>
      <c r="M15" s="1149">
        <v>243285</v>
      </c>
      <c r="N15" s="1149">
        <v>24167</v>
      </c>
      <c r="O15" s="1149">
        <v>24167</v>
      </c>
      <c r="P15" s="1157"/>
      <c r="Q15" s="1158">
        <f t="shared" si="0"/>
        <v>110000</v>
      </c>
      <c r="R15" s="1162"/>
      <c r="S15" s="1148"/>
      <c r="T15" s="1148"/>
    </row>
    <row r="16" spans="1:20" s="1152" customFormat="1" ht="24.6" x14ac:dyDescent="0.25">
      <c r="A16" s="1153">
        <v>15</v>
      </c>
      <c r="B16" s="1167" t="s">
        <v>7661</v>
      </c>
      <c r="C16" s="1155">
        <v>2</v>
      </c>
      <c r="D16" s="1164">
        <v>4000</v>
      </c>
      <c r="E16" s="1147"/>
      <c r="F16" s="1148" t="s">
        <v>7645</v>
      </c>
      <c r="G16" s="1147"/>
      <c r="H16" s="1147"/>
      <c r="I16" s="1148" t="s">
        <v>7645</v>
      </c>
      <c r="J16" s="1147"/>
      <c r="K16" s="1147"/>
      <c r="L16" s="1147"/>
      <c r="M16" s="1149">
        <v>243285</v>
      </c>
      <c r="N16" s="1149">
        <v>24167</v>
      </c>
      <c r="O16" s="1149">
        <v>24167</v>
      </c>
      <c r="P16" s="1157"/>
      <c r="Q16" s="1158">
        <f t="shared" si="0"/>
        <v>8000</v>
      </c>
      <c r="R16" s="1162"/>
      <c r="S16" s="1148"/>
      <c r="T16" s="1148"/>
    </row>
    <row r="17" spans="1:21" s="1152" customFormat="1" ht="24.6" x14ac:dyDescent="0.25">
      <c r="A17" s="1153">
        <v>16</v>
      </c>
      <c r="B17" s="1167" t="s">
        <v>7662</v>
      </c>
      <c r="C17" s="1155">
        <v>2</v>
      </c>
      <c r="D17" s="1164">
        <v>300</v>
      </c>
      <c r="E17" s="1147"/>
      <c r="F17" s="1148" t="s">
        <v>7645</v>
      </c>
      <c r="G17" s="1147"/>
      <c r="H17" s="1147"/>
      <c r="I17" s="1148" t="s">
        <v>7645</v>
      </c>
      <c r="J17" s="1147"/>
      <c r="K17" s="1147"/>
      <c r="L17" s="1147"/>
      <c r="M17" s="1149">
        <v>243285</v>
      </c>
      <c r="N17" s="1149">
        <v>24167</v>
      </c>
      <c r="O17" s="1149">
        <v>24167</v>
      </c>
      <c r="P17" s="1157"/>
      <c r="Q17" s="1158">
        <f t="shared" si="0"/>
        <v>600</v>
      </c>
      <c r="R17" s="1162"/>
      <c r="S17" s="1148"/>
      <c r="T17" s="1148"/>
    </row>
    <row r="18" spans="1:21" s="1152" customFormat="1" ht="24.6" x14ac:dyDescent="0.25">
      <c r="A18" s="1153">
        <v>17</v>
      </c>
      <c r="B18" s="1167" t="s">
        <v>7663</v>
      </c>
      <c r="C18" s="1155">
        <v>14</v>
      </c>
      <c r="D18" s="1156">
        <v>4800</v>
      </c>
      <c r="E18" s="1147"/>
      <c r="F18" s="1148" t="s">
        <v>7645</v>
      </c>
      <c r="G18" s="1147"/>
      <c r="H18" s="1147"/>
      <c r="I18" s="1148" t="s">
        <v>7645</v>
      </c>
      <c r="J18" s="1147"/>
      <c r="K18" s="1147"/>
      <c r="L18" s="1147"/>
      <c r="M18" s="1149">
        <v>243285</v>
      </c>
      <c r="N18" s="1149">
        <v>24167</v>
      </c>
      <c r="O18" s="1149">
        <v>24167</v>
      </c>
      <c r="P18" s="1157"/>
      <c r="Q18" s="1158">
        <f t="shared" si="0"/>
        <v>67200</v>
      </c>
      <c r="R18" s="1162"/>
      <c r="S18" s="1148"/>
      <c r="T18" s="1148"/>
    </row>
    <row r="19" spans="1:21" s="1152" customFormat="1" ht="24.6" x14ac:dyDescent="0.25">
      <c r="A19" s="1153">
        <v>18</v>
      </c>
      <c r="B19" s="1167" t="s">
        <v>7664</v>
      </c>
      <c r="C19" s="1155">
        <v>1</v>
      </c>
      <c r="D19" s="1164">
        <v>97000</v>
      </c>
      <c r="E19" s="1147"/>
      <c r="F19" s="1148" t="s">
        <v>7645</v>
      </c>
      <c r="G19" s="1147"/>
      <c r="H19" s="1147"/>
      <c r="I19" s="1148" t="s">
        <v>7645</v>
      </c>
      <c r="J19" s="1147"/>
      <c r="K19" s="1147"/>
      <c r="L19" s="1147"/>
      <c r="M19" s="1149">
        <v>243285</v>
      </c>
      <c r="N19" s="1149">
        <v>24167</v>
      </c>
      <c r="O19" s="1149">
        <v>24167</v>
      </c>
      <c r="P19" s="1157"/>
      <c r="Q19" s="1158">
        <f t="shared" si="0"/>
        <v>97000</v>
      </c>
      <c r="R19" s="1162"/>
      <c r="S19" s="1148"/>
      <c r="T19" s="1148"/>
    </row>
    <row r="20" spans="1:21" s="1152" customFormat="1" ht="24.6" x14ac:dyDescent="0.25">
      <c r="A20" s="1153">
        <v>19</v>
      </c>
      <c r="B20" s="1167" t="s">
        <v>7665</v>
      </c>
      <c r="C20" s="1155">
        <v>1</v>
      </c>
      <c r="D20" s="1164">
        <v>16000</v>
      </c>
      <c r="E20" s="1147"/>
      <c r="F20" s="1148" t="s">
        <v>7645</v>
      </c>
      <c r="G20" s="1147"/>
      <c r="H20" s="1147"/>
      <c r="I20" s="1148" t="s">
        <v>7645</v>
      </c>
      <c r="J20" s="1147"/>
      <c r="K20" s="1147"/>
      <c r="L20" s="1147"/>
      <c r="M20" s="1149">
        <v>243285</v>
      </c>
      <c r="N20" s="1149">
        <v>24167</v>
      </c>
      <c r="O20" s="1149">
        <v>24167</v>
      </c>
      <c r="P20" s="1157"/>
      <c r="Q20" s="1158">
        <f t="shared" si="0"/>
        <v>16000</v>
      </c>
      <c r="R20" s="1162"/>
      <c r="S20" s="1148"/>
      <c r="T20" s="1148"/>
    </row>
    <row r="21" spans="1:21" s="1152" customFormat="1" ht="24.6" x14ac:dyDescent="0.25">
      <c r="A21" s="1153">
        <v>20</v>
      </c>
      <c r="B21" s="1167" t="s">
        <v>7666</v>
      </c>
      <c r="C21" s="1155">
        <v>2</v>
      </c>
      <c r="D21" s="1164">
        <v>6000</v>
      </c>
      <c r="E21" s="1147"/>
      <c r="F21" s="1148" t="s">
        <v>7645</v>
      </c>
      <c r="G21" s="1147"/>
      <c r="H21" s="1147"/>
      <c r="I21" s="1148" t="s">
        <v>7645</v>
      </c>
      <c r="J21" s="1147"/>
      <c r="K21" s="1147"/>
      <c r="L21" s="1147"/>
      <c r="M21" s="1149">
        <v>243285</v>
      </c>
      <c r="N21" s="1149">
        <v>24167</v>
      </c>
      <c r="O21" s="1149">
        <v>24167</v>
      </c>
      <c r="P21" s="1157"/>
      <c r="Q21" s="1158">
        <f t="shared" si="0"/>
        <v>12000</v>
      </c>
      <c r="R21" s="1162"/>
      <c r="S21" s="1148"/>
      <c r="T21" s="1148"/>
    </row>
    <row r="22" spans="1:21" s="1152" customFormat="1" ht="24.6" x14ac:dyDescent="0.25">
      <c r="A22" s="1153">
        <v>21</v>
      </c>
      <c r="B22" s="1167" t="s">
        <v>7667</v>
      </c>
      <c r="C22" s="1155">
        <v>2</v>
      </c>
      <c r="D22" s="1164">
        <v>4000</v>
      </c>
      <c r="E22" s="1147"/>
      <c r="F22" s="1148" t="s">
        <v>7645</v>
      </c>
      <c r="G22" s="1147"/>
      <c r="H22" s="1147"/>
      <c r="I22" s="1148" t="s">
        <v>7645</v>
      </c>
      <c r="J22" s="1147"/>
      <c r="K22" s="1147"/>
      <c r="L22" s="1147"/>
      <c r="M22" s="1149">
        <v>243285</v>
      </c>
      <c r="N22" s="1149">
        <v>24167</v>
      </c>
      <c r="O22" s="1149">
        <v>24167</v>
      </c>
      <c r="P22" s="1157"/>
      <c r="Q22" s="1158">
        <f t="shared" si="0"/>
        <v>8000</v>
      </c>
      <c r="R22" s="1162"/>
      <c r="S22" s="1148"/>
      <c r="T22" s="1148"/>
    </row>
    <row r="23" spans="1:21" s="1152" customFormat="1" ht="24.6" x14ac:dyDescent="0.25">
      <c r="A23" s="1153">
        <v>22</v>
      </c>
      <c r="B23" s="1172" t="s">
        <v>7668</v>
      </c>
      <c r="C23" s="1173">
        <v>2</v>
      </c>
      <c r="D23" s="1174">
        <v>3000</v>
      </c>
      <c r="E23" s="1147"/>
      <c r="F23" s="1148" t="s">
        <v>7645</v>
      </c>
      <c r="G23" s="1147"/>
      <c r="H23" s="1147"/>
      <c r="I23" s="1148" t="s">
        <v>7645</v>
      </c>
      <c r="J23" s="1147"/>
      <c r="K23" s="1147"/>
      <c r="L23" s="1147"/>
      <c r="M23" s="1149">
        <v>243285</v>
      </c>
      <c r="N23" s="1149">
        <v>24167</v>
      </c>
      <c r="O23" s="1149">
        <v>24167</v>
      </c>
      <c r="P23" s="1157"/>
      <c r="Q23" s="1158">
        <f t="shared" si="0"/>
        <v>6000</v>
      </c>
      <c r="R23" s="1162"/>
      <c r="S23" s="1148"/>
      <c r="T23" s="1148"/>
    </row>
    <row r="24" spans="1:21" s="1152" customFormat="1" ht="24.6" x14ac:dyDescent="0.25">
      <c r="A24" s="1153">
        <v>23</v>
      </c>
      <c r="B24" s="1172" t="s">
        <v>7669</v>
      </c>
      <c r="C24" s="1173">
        <v>2</v>
      </c>
      <c r="D24" s="1174">
        <v>7900</v>
      </c>
      <c r="E24" s="1147"/>
      <c r="F24" s="1148" t="s">
        <v>7645</v>
      </c>
      <c r="G24" s="1147"/>
      <c r="H24" s="1147"/>
      <c r="I24" s="1148" t="s">
        <v>7645</v>
      </c>
      <c r="J24" s="1147"/>
      <c r="K24" s="1147"/>
      <c r="L24" s="1147"/>
      <c r="M24" s="1149">
        <v>243285</v>
      </c>
      <c r="N24" s="1149">
        <v>24167</v>
      </c>
      <c r="O24" s="1149">
        <v>24167</v>
      </c>
      <c r="P24" s="1157"/>
      <c r="Q24" s="1158">
        <f t="shared" si="0"/>
        <v>15800</v>
      </c>
      <c r="R24" s="1162"/>
      <c r="S24" s="1148"/>
      <c r="T24" s="1148"/>
      <c r="U24" s="1152" t="s">
        <v>7380</v>
      </c>
    </row>
    <row r="25" spans="1:21" s="1152" customFormat="1" ht="24.6" x14ac:dyDescent="0.25">
      <c r="A25" s="1153">
        <v>24</v>
      </c>
      <c r="B25" s="1163" t="s">
        <v>7670</v>
      </c>
      <c r="C25" s="1173">
        <v>1</v>
      </c>
      <c r="D25" s="1174">
        <v>14000</v>
      </c>
      <c r="E25" s="1147"/>
      <c r="F25" s="1148" t="s">
        <v>7645</v>
      </c>
      <c r="G25" s="1147"/>
      <c r="H25" s="1147"/>
      <c r="I25" s="1148" t="s">
        <v>7645</v>
      </c>
      <c r="J25" s="1147"/>
      <c r="K25" s="1147"/>
      <c r="L25" s="1147"/>
      <c r="M25" s="1149">
        <v>243285</v>
      </c>
      <c r="N25" s="1149">
        <v>24167</v>
      </c>
      <c r="O25" s="1149">
        <v>24167</v>
      </c>
      <c r="P25" s="1157"/>
      <c r="Q25" s="1158">
        <f t="shared" si="0"/>
        <v>14000</v>
      </c>
      <c r="R25" s="1162"/>
      <c r="S25" s="1148"/>
      <c r="T25" s="1148"/>
    </row>
    <row r="26" spans="1:21" s="1152" customFormat="1" ht="24.6" x14ac:dyDescent="0.25">
      <c r="A26" s="1175">
        <v>25</v>
      </c>
      <c r="B26" s="1176" t="s">
        <v>7671</v>
      </c>
      <c r="C26" s="1173">
        <v>1</v>
      </c>
      <c r="D26" s="1174">
        <v>500000</v>
      </c>
      <c r="E26" s="1147"/>
      <c r="F26" s="1148" t="s">
        <v>7645</v>
      </c>
      <c r="G26" s="1147"/>
      <c r="H26" s="1147"/>
      <c r="I26" s="1148"/>
      <c r="J26" s="1147"/>
      <c r="K26" s="1147"/>
      <c r="L26" s="1148" t="s">
        <v>7645</v>
      </c>
      <c r="M26" s="1149">
        <v>243285</v>
      </c>
      <c r="N26" s="1149">
        <v>24167</v>
      </c>
      <c r="O26" s="1149">
        <v>24167</v>
      </c>
      <c r="P26" s="1157"/>
      <c r="Q26" s="1158">
        <f t="shared" si="0"/>
        <v>500000</v>
      </c>
      <c r="R26" s="1162"/>
      <c r="S26" s="1148"/>
      <c r="T26" s="1148"/>
    </row>
    <row r="27" spans="1:21" s="1125" customFormat="1" ht="24.6" x14ac:dyDescent="0.25">
      <c r="A27" s="1179">
        <v>1</v>
      </c>
      <c r="B27" s="1180" t="s">
        <v>7672</v>
      </c>
      <c r="C27" s="1181">
        <v>2</v>
      </c>
      <c r="D27" s="1182">
        <v>8900</v>
      </c>
      <c r="E27" s="1134"/>
      <c r="F27" s="1148" t="s">
        <v>7645</v>
      </c>
      <c r="G27" s="1147"/>
      <c r="H27" s="1147"/>
      <c r="I27" s="1148" t="s">
        <v>7645</v>
      </c>
      <c r="J27" s="1134"/>
      <c r="K27" s="1134"/>
      <c r="L27" s="1134"/>
      <c r="M27" s="1149">
        <v>243285</v>
      </c>
      <c r="N27" s="1149">
        <v>24167</v>
      </c>
      <c r="O27" s="1149">
        <v>24167</v>
      </c>
      <c r="P27" s="1134"/>
      <c r="Q27" s="1158">
        <v>17800</v>
      </c>
      <c r="R27" s="1127"/>
      <c r="S27" s="1127"/>
      <c r="T27" s="1139"/>
    </row>
    <row r="28" spans="1:21" s="1125" customFormat="1" ht="24.6" x14ac:dyDescent="0.25">
      <c r="A28" s="1179">
        <v>2</v>
      </c>
      <c r="B28" s="1180" t="s">
        <v>7673</v>
      </c>
      <c r="C28" s="1181">
        <v>11</v>
      </c>
      <c r="D28" s="1182">
        <v>2500</v>
      </c>
      <c r="E28" s="1134"/>
      <c r="F28" s="1148" t="s">
        <v>7645</v>
      </c>
      <c r="G28" s="1147"/>
      <c r="H28" s="1147"/>
      <c r="I28" s="1148" t="s">
        <v>7645</v>
      </c>
      <c r="J28" s="1134"/>
      <c r="K28" s="1134"/>
      <c r="L28" s="1134"/>
      <c r="M28" s="1149">
        <v>243285</v>
      </c>
      <c r="N28" s="1149">
        <v>24167</v>
      </c>
      <c r="O28" s="1149">
        <v>24167</v>
      </c>
      <c r="P28" s="1134"/>
      <c r="Q28" s="1158">
        <v>27500</v>
      </c>
      <c r="R28" s="1127"/>
      <c r="S28" s="1127"/>
      <c r="T28" s="1139"/>
    </row>
    <row r="29" spans="1:21" s="1125" customFormat="1" ht="24.6" x14ac:dyDescent="0.25">
      <c r="A29" s="1179">
        <v>3</v>
      </c>
      <c r="B29" s="1180" t="s">
        <v>7674</v>
      </c>
      <c r="C29" s="1181">
        <v>1</v>
      </c>
      <c r="D29" s="1182">
        <v>10000</v>
      </c>
      <c r="E29" s="1134"/>
      <c r="F29" s="1148" t="s">
        <v>7645</v>
      </c>
      <c r="G29" s="1147"/>
      <c r="H29" s="1147"/>
      <c r="I29" s="1148" t="s">
        <v>7645</v>
      </c>
      <c r="J29" s="1134"/>
      <c r="K29" s="1134"/>
      <c r="L29" s="1134"/>
      <c r="M29" s="1149">
        <v>243285</v>
      </c>
      <c r="N29" s="1149">
        <v>24167</v>
      </c>
      <c r="O29" s="1149">
        <v>24167</v>
      </c>
      <c r="P29" s="1134"/>
      <c r="Q29" s="1158">
        <v>10000</v>
      </c>
      <c r="R29" s="1127"/>
      <c r="S29" s="1127"/>
      <c r="T29" s="1139"/>
    </row>
    <row r="30" spans="1:21" s="1125" customFormat="1" ht="24.6" x14ac:dyDescent="0.25">
      <c r="A30" s="1179">
        <v>4</v>
      </c>
      <c r="B30" s="1180" t="s">
        <v>7675</v>
      </c>
      <c r="C30" s="1181">
        <v>2</v>
      </c>
      <c r="D30" s="1183">
        <v>13000</v>
      </c>
      <c r="E30" s="1134"/>
      <c r="F30" s="1148" t="s">
        <v>7645</v>
      </c>
      <c r="G30" s="1147"/>
      <c r="H30" s="1147"/>
      <c r="I30" s="1148" t="s">
        <v>7645</v>
      </c>
      <c r="J30" s="1134"/>
      <c r="K30" s="1134"/>
      <c r="L30" s="1134"/>
      <c r="M30" s="1149">
        <v>243285</v>
      </c>
      <c r="N30" s="1149">
        <v>24167</v>
      </c>
      <c r="O30" s="1149">
        <v>24167</v>
      </c>
      <c r="P30" s="1134"/>
      <c r="Q30" s="1158">
        <v>26000</v>
      </c>
      <c r="R30" s="1127"/>
      <c r="S30" s="1127"/>
      <c r="T30" s="1139"/>
    </row>
    <row r="31" spans="1:21" s="1125" customFormat="1" ht="24.6" x14ac:dyDescent="0.25">
      <c r="A31" s="1179">
        <v>5</v>
      </c>
      <c r="B31" s="1180" t="s">
        <v>7676</v>
      </c>
      <c r="C31" s="1181">
        <v>1</v>
      </c>
      <c r="D31" s="1183">
        <v>16000</v>
      </c>
      <c r="E31" s="1134"/>
      <c r="F31" s="1148" t="s">
        <v>7645</v>
      </c>
      <c r="G31" s="1147"/>
      <c r="H31" s="1147"/>
      <c r="I31" s="1148" t="s">
        <v>7645</v>
      </c>
      <c r="J31" s="1134"/>
      <c r="K31" s="1134"/>
      <c r="L31" s="1134"/>
      <c r="M31" s="1149">
        <v>243285</v>
      </c>
      <c r="N31" s="1149">
        <v>24167</v>
      </c>
      <c r="O31" s="1149">
        <v>24167</v>
      </c>
      <c r="P31" s="1134"/>
      <c r="Q31" s="1158">
        <v>16000</v>
      </c>
      <c r="R31" s="1127"/>
      <c r="S31" s="1127"/>
      <c r="T31" s="1139"/>
    </row>
    <row r="32" spans="1:21" s="1125" customFormat="1" ht="24.6" x14ac:dyDescent="0.25">
      <c r="A32" s="1179">
        <v>6</v>
      </c>
      <c r="B32" s="1180" t="s">
        <v>7677</v>
      </c>
      <c r="C32" s="1181">
        <v>2</v>
      </c>
      <c r="D32" s="1182">
        <v>22000</v>
      </c>
      <c r="E32" s="1134"/>
      <c r="F32" s="1148" t="s">
        <v>7645</v>
      </c>
      <c r="G32" s="1147"/>
      <c r="H32" s="1147"/>
      <c r="I32" s="1148" t="s">
        <v>7645</v>
      </c>
      <c r="J32" s="1134"/>
      <c r="K32" s="1134"/>
      <c r="L32" s="1134"/>
      <c r="M32" s="1149">
        <v>243285</v>
      </c>
      <c r="N32" s="1149">
        <v>24167</v>
      </c>
      <c r="O32" s="1149">
        <v>24167</v>
      </c>
      <c r="P32" s="1134"/>
      <c r="Q32" s="1158">
        <v>44000</v>
      </c>
      <c r="R32" s="1127"/>
      <c r="S32" s="1127"/>
      <c r="T32" s="1139"/>
    </row>
    <row r="33" spans="1:23" s="1152" customFormat="1" ht="30" customHeight="1" x14ac:dyDescent="0.25">
      <c r="A33" s="1188">
        <v>1</v>
      </c>
      <c r="B33" s="1167" t="s">
        <v>7678</v>
      </c>
      <c r="C33" s="1155">
        <v>11</v>
      </c>
      <c r="D33" s="1156">
        <v>2500</v>
      </c>
      <c r="E33" s="1147"/>
      <c r="F33" s="1148" t="s">
        <v>7645</v>
      </c>
      <c r="G33" s="1147"/>
      <c r="H33" s="1147"/>
      <c r="I33" s="1148" t="s">
        <v>7645</v>
      </c>
      <c r="J33" s="1159"/>
      <c r="K33" s="1159"/>
      <c r="L33" s="1159"/>
      <c r="M33" s="1149">
        <v>243285</v>
      </c>
      <c r="N33" s="1149">
        <v>24167</v>
      </c>
      <c r="O33" s="1149">
        <v>24167</v>
      </c>
      <c r="P33" s="1157"/>
      <c r="Q33" s="1189">
        <f t="shared" ref="Q33:Q44" si="1">C33*D33</f>
        <v>27500</v>
      </c>
      <c r="R33" s="1190" t="s">
        <v>7679</v>
      </c>
      <c r="S33" s="1148"/>
      <c r="T33" s="1148"/>
    </row>
    <row r="34" spans="1:23" s="1152" customFormat="1" ht="36" customHeight="1" x14ac:dyDescent="0.25">
      <c r="A34" s="1190">
        <v>2</v>
      </c>
      <c r="B34" s="1167" t="s">
        <v>7680</v>
      </c>
      <c r="C34" s="1191">
        <v>2</v>
      </c>
      <c r="D34" s="1164">
        <v>5500</v>
      </c>
      <c r="E34" s="1147"/>
      <c r="F34" s="1148" t="s">
        <v>7645</v>
      </c>
      <c r="G34" s="1147"/>
      <c r="H34" s="1147"/>
      <c r="I34" s="1148" t="s">
        <v>7645</v>
      </c>
      <c r="J34" s="1159"/>
      <c r="K34" s="1159"/>
      <c r="L34" s="1159"/>
      <c r="M34" s="1149">
        <v>243285</v>
      </c>
      <c r="N34" s="1149">
        <v>24167</v>
      </c>
      <c r="O34" s="1149">
        <v>24167</v>
      </c>
      <c r="P34" s="1157"/>
      <c r="Q34" s="1189">
        <f t="shared" si="1"/>
        <v>11000</v>
      </c>
      <c r="R34" s="1190" t="s">
        <v>7681</v>
      </c>
      <c r="S34" s="1148"/>
      <c r="T34" s="1148"/>
      <c r="W34" s="1152" t="s">
        <v>7380</v>
      </c>
    </row>
    <row r="35" spans="1:23" s="1152" customFormat="1" ht="24.6" x14ac:dyDescent="0.25">
      <c r="A35" s="1188">
        <v>3</v>
      </c>
      <c r="B35" s="1167" t="s">
        <v>7682</v>
      </c>
      <c r="C35" s="1191">
        <v>1</v>
      </c>
      <c r="D35" s="1164">
        <v>2000</v>
      </c>
      <c r="E35" s="1147"/>
      <c r="F35" s="1148" t="s">
        <v>7645</v>
      </c>
      <c r="G35" s="1147"/>
      <c r="H35" s="1147"/>
      <c r="I35" s="1148" t="s">
        <v>7645</v>
      </c>
      <c r="J35" s="1159"/>
      <c r="K35" s="1159"/>
      <c r="L35" s="1159"/>
      <c r="M35" s="1149">
        <v>243285</v>
      </c>
      <c r="N35" s="1149">
        <v>24167</v>
      </c>
      <c r="O35" s="1149">
        <v>24167</v>
      </c>
      <c r="P35" s="1157"/>
      <c r="Q35" s="1189">
        <f t="shared" si="1"/>
        <v>2000</v>
      </c>
      <c r="R35" s="1192" t="s">
        <v>7683</v>
      </c>
      <c r="S35" s="1148"/>
      <c r="T35" s="1148"/>
    </row>
    <row r="36" spans="1:23" s="1152" customFormat="1" ht="24.6" x14ac:dyDescent="0.25">
      <c r="A36" s="1190">
        <v>4</v>
      </c>
      <c r="B36" s="1167" t="s">
        <v>7684</v>
      </c>
      <c r="C36" s="1191">
        <v>3</v>
      </c>
      <c r="D36" s="1164">
        <v>5800</v>
      </c>
      <c r="E36" s="1147"/>
      <c r="F36" s="1148" t="s">
        <v>7645</v>
      </c>
      <c r="G36" s="1147"/>
      <c r="H36" s="1147"/>
      <c r="I36" s="1148" t="s">
        <v>7645</v>
      </c>
      <c r="J36" s="1159"/>
      <c r="K36" s="1159"/>
      <c r="L36" s="1159"/>
      <c r="M36" s="1149">
        <v>243285</v>
      </c>
      <c r="N36" s="1149">
        <v>24167</v>
      </c>
      <c r="O36" s="1149">
        <v>24167</v>
      </c>
      <c r="P36" s="1157"/>
      <c r="Q36" s="1189">
        <f t="shared" si="1"/>
        <v>17400</v>
      </c>
      <c r="R36" s="1192" t="s">
        <v>7685</v>
      </c>
      <c r="S36" s="1148"/>
      <c r="T36" s="1148"/>
    </row>
    <row r="37" spans="1:23" s="1125" customFormat="1" ht="24.6" x14ac:dyDescent="0.25">
      <c r="A37" s="1188">
        <v>5</v>
      </c>
      <c r="B37" s="1167" t="s">
        <v>7686</v>
      </c>
      <c r="C37" s="1191">
        <v>3</v>
      </c>
      <c r="D37" s="1164">
        <v>2450</v>
      </c>
      <c r="E37" s="1134"/>
      <c r="F37" s="1148" t="s">
        <v>7645</v>
      </c>
      <c r="G37" s="1134"/>
      <c r="H37" s="1134"/>
      <c r="I37" s="1148" t="s">
        <v>7645</v>
      </c>
      <c r="J37" s="1193"/>
      <c r="K37" s="1193"/>
      <c r="L37" s="1193"/>
      <c r="M37" s="1149">
        <v>243285</v>
      </c>
      <c r="N37" s="1149">
        <v>24167</v>
      </c>
      <c r="O37" s="1149">
        <v>24167</v>
      </c>
      <c r="P37" s="1134"/>
      <c r="Q37" s="1189">
        <f t="shared" si="1"/>
        <v>7350</v>
      </c>
      <c r="R37" s="1127"/>
      <c r="S37" s="1127"/>
      <c r="T37" s="1127"/>
      <c r="U37" s="1152"/>
    </row>
    <row r="38" spans="1:23" s="1152" customFormat="1" ht="24.6" x14ac:dyDescent="0.25">
      <c r="A38" s="1190">
        <v>6</v>
      </c>
      <c r="B38" s="1167" t="s">
        <v>7687</v>
      </c>
      <c r="C38" s="1191">
        <v>2</v>
      </c>
      <c r="D38" s="1164">
        <v>26000</v>
      </c>
      <c r="E38" s="1147"/>
      <c r="F38" s="1148" t="s">
        <v>7645</v>
      </c>
      <c r="G38" s="1147"/>
      <c r="H38" s="1147"/>
      <c r="I38" s="1148" t="s">
        <v>7645</v>
      </c>
      <c r="J38" s="1159"/>
      <c r="K38" s="1159"/>
      <c r="L38" s="1159"/>
      <c r="M38" s="1149">
        <v>243285</v>
      </c>
      <c r="N38" s="1149">
        <v>24167</v>
      </c>
      <c r="O38" s="1149">
        <v>24167</v>
      </c>
      <c r="P38" s="1157"/>
      <c r="Q38" s="1189">
        <f t="shared" si="1"/>
        <v>52000</v>
      </c>
      <c r="R38" s="1148"/>
      <c r="S38" s="1148"/>
      <c r="T38" s="1148"/>
    </row>
    <row r="39" spans="1:23" s="1152" customFormat="1" ht="24.6" x14ac:dyDescent="0.25">
      <c r="A39" s="1188">
        <v>7</v>
      </c>
      <c r="B39" s="1167" t="s">
        <v>7688</v>
      </c>
      <c r="C39" s="1191">
        <v>2</v>
      </c>
      <c r="D39" s="1164">
        <v>2000</v>
      </c>
      <c r="E39" s="1147"/>
      <c r="F39" s="1148" t="s">
        <v>7645</v>
      </c>
      <c r="G39" s="1147"/>
      <c r="H39" s="1147"/>
      <c r="I39" s="1148" t="s">
        <v>7645</v>
      </c>
      <c r="J39" s="1159"/>
      <c r="K39" s="1159"/>
      <c r="L39" s="1159"/>
      <c r="M39" s="1149">
        <v>243285</v>
      </c>
      <c r="N39" s="1149">
        <v>24167</v>
      </c>
      <c r="O39" s="1149">
        <v>24167</v>
      </c>
      <c r="P39" s="1157"/>
      <c r="Q39" s="1189">
        <f t="shared" si="1"/>
        <v>4000</v>
      </c>
      <c r="R39" s="1192" t="s">
        <v>7689</v>
      </c>
      <c r="S39" s="1148"/>
      <c r="T39" s="1148"/>
    </row>
    <row r="40" spans="1:23" s="1152" customFormat="1" ht="24.6" x14ac:dyDescent="0.25">
      <c r="A40" s="1190">
        <v>8</v>
      </c>
      <c r="B40" s="1167" t="s">
        <v>7690</v>
      </c>
      <c r="C40" s="1194">
        <v>4</v>
      </c>
      <c r="D40" s="1195">
        <v>2000</v>
      </c>
      <c r="E40" s="1147"/>
      <c r="F40" s="1148" t="s">
        <v>7645</v>
      </c>
      <c r="G40" s="1147"/>
      <c r="H40" s="1147"/>
      <c r="I40" s="1148" t="s">
        <v>7645</v>
      </c>
      <c r="J40" s="1159"/>
      <c r="K40" s="1159"/>
      <c r="L40" s="1159"/>
      <c r="M40" s="1149">
        <v>243285</v>
      </c>
      <c r="N40" s="1149">
        <v>24167</v>
      </c>
      <c r="O40" s="1149">
        <v>24167</v>
      </c>
      <c r="P40" s="1157"/>
      <c r="Q40" s="1189">
        <f t="shared" si="1"/>
        <v>8000</v>
      </c>
      <c r="R40" s="1192" t="s">
        <v>7689</v>
      </c>
      <c r="S40" s="1148"/>
      <c r="T40" s="1148"/>
    </row>
    <row r="41" spans="1:23" s="1152" customFormat="1" ht="24.6" x14ac:dyDescent="0.25">
      <c r="A41" s="1188">
        <v>9</v>
      </c>
      <c r="B41" s="1167" t="s">
        <v>7691</v>
      </c>
      <c r="C41" s="1194">
        <v>6</v>
      </c>
      <c r="D41" s="1195">
        <v>4000</v>
      </c>
      <c r="E41" s="1147"/>
      <c r="F41" s="1148" t="s">
        <v>7645</v>
      </c>
      <c r="G41" s="1147"/>
      <c r="H41" s="1147"/>
      <c r="I41" s="1148" t="s">
        <v>7645</v>
      </c>
      <c r="J41" s="1159"/>
      <c r="K41" s="1159"/>
      <c r="L41" s="1159"/>
      <c r="M41" s="1149">
        <v>243285</v>
      </c>
      <c r="N41" s="1149">
        <v>24167</v>
      </c>
      <c r="O41" s="1149">
        <v>24167</v>
      </c>
      <c r="P41" s="1157"/>
      <c r="Q41" s="1189">
        <f t="shared" si="1"/>
        <v>24000</v>
      </c>
      <c r="R41" s="1192"/>
      <c r="S41" s="1148"/>
      <c r="T41" s="1148"/>
    </row>
    <row r="42" spans="1:23" s="1152" customFormat="1" ht="24.6" x14ac:dyDescent="0.25">
      <c r="A42" s="1190">
        <v>10</v>
      </c>
      <c r="B42" s="1167" t="s">
        <v>7692</v>
      </c>
      <c r="C42" s="1194">
        <v>1</v>
      </c>
      <c r="D42" s="1195">
        <v>10000</v>
      </c>
      <c r="E42" s="1147"/>
      <c r="F42" s="1148" t="s">
        <v>7645</v>
      </c>
      <c r="G42" s="1147"/>
      <c r="H42" s="1147"/>
      <c r="I42" s="1148" t="s">
        <v>7645</v>
      </c>
      <c r="J42" s="1159"/>
      <c r="K42" s="1159"/>
      <c r="L42" s="1159"/>
      <c r="M42" s="1149">
        <v>243285</v>
      </c>
      <c r="N42" s="1149">
        <v>24167</v>
      </c>
      <c r="O42" s="1149">
        <v>24167</v>
      </c>
      <c r="P42" s="1157"/>
      <c r="Q42" s="1189">
        <f t="shared" si="1"/>
        <v>10000</v>
      </c>
      <c r="R42" s="1192"/>
      <c r="S42" s="1148"/>
      <c r="T42" s="1148"/>
    </row>
    <row r="43" spans="1:23" s="1152" customFormat="1" ht="24.6" x14ac:dyDescent="0.25">
      <c r="A43" s="1188">
        <v>11</v>
      </c>
      <c r="B43" s="1167" t="s">
        <v>7693</v>
      </c>
      <c r="C43" s="1155">
        <v>1</v>
      </c>
      <c r="D43" s="1156">
        <v>5000</v>
      </c>
      <c r="E43" s="1147"/>
      <c r="F43" s="1148" t="s">
        <v>7645</v>
      </c>
      <c r="G43" s="1147"/>
      <c r="H43" s="1147"/>
      <c r="I43" s="1148" t="s">
        <v>7645</v>
      </c>
      <c r="J43" s="1159"/>
      <c r="K43" s="1159"/>
      <c r="L43" s="1159"/>
      <c r="M43" s="1149">
        <v>243285</v>
      </c>
      <c r="N43" s="1149">
        <v>24167</v>
      </c>
      <c r="O43" s="1149">
        <v>24167</v>
      </c>
      <c r="P43" s="1157"/>
      <c r="Q43" s="1189">
        <f t="shared" si="1"/>
        <v>5000</v>
      </c>
      <c r="R43" s="1192"/>
      <c r="S43" s="1148"/>
      <c r="T43" s="1148"/>
    </row>
    <row r="44" spans="1:23" s="1152" customFormat="1" ht="24.6" x14ac:dyDescent="0.25">
      <c r="A44" s="1190">
        <v>12</v>
      </c>
      <c r="B44" s="1167" t="s">
        <v>7694</v>
      </c>
      <c r="C44" s="1155">
        <v>1</v>
      </c>
      <c r="D44" s="1156">
        <v>5500</v>
      </c>
      <c r="E44" s="1147"/>
      <c r="F44" s="1148" t="s">
        <v>7645</v>
      </c>
      <c r="G44" s="1147"/>
      <c r="H44" s="1147"/>
      <c r="I44" s="1148" t="s">
        <v>7645</v>
      </c>
      <c r="J44" s="1159"/>
      <c r="K44" s="1159"/>
      <c r="L44" s="1159"/>
      <c r="M44" s="1149">
        <v>243285</v>
      </c>
      <c r="N44" s="1149">
        <v>24167</v>
      </c>
      <c r="O44" s="1149">
        <v>24167</v>
      </c>
      <c r="P44" s="1157"/>
      <c r="Q44" s="1189">
        <f t="shared" si="1"/>
        <v>5500</v>
      </c>
      <c r="R44" s="1192"/>
      <c r="S44" s="1148"/>
      <c r="T44" s="1148"/>
    </row>
    <row r="45" spans="1:23" s="1152" customFormat="1" ht="24.6" x14ac:dyDescent="0.25">
      <c r="A45" s="1190">
        <v>1</v>
      </c>
      <c r="B45" s="1167" t="s">
        <v>7695</v>
      </c>
      <c r="C45" s="1155">
        <v>3</v>
      </c>
      <c r="D45" s="1164">
        <v>1500</v>
      </c>
      <c r="E45" s="1147"/>
      <c r="F45" s="1148" t="s">
        <v>7645</v>
      </c>
      <c r="G45" s="1147"/>
      <c r="H45" s="1147"/>
      <c r="I45" s="1148" t="s">
        <v>7645</v>
      </c>
      <c r="J45" s="1159"/>
      <c r="K45" s="1159"/>
      <c r="L45" s="1159"/>
      <c r="M45" s="1149">
        <v>243285</v>
      </c>
      <c r="N45" s="1149">
        <v>24167</v>
      </c>
      <c r="O45" s="1149">
        <v>24167</v>
      </c>
      <c r="P45" s="1157"/>
      <c r="Q45" s="1189">
        <f>C45*D45</f>
        <v>4500</v>
      </c>
      <c r="R45" s="1192"/>
      <c r="S45" s="1148"/>
      <c r="T45" s="1148"/>
    </row>
    <row r="46" spans="1:23" s="1125" customFormat="1" ht="24.6" x14ac:dyDescent="0.25">
      <c r="A46" s="1198">
        <v>1</v>
      </c>
      <c r="B46" s="1167" t="s">
        <v>7696</v>
      </c>
      <c r="C46" s="1155">
        <v>1</v>
      </c>
      <c r="D46" s="1156">
        <v>29000</v>
      </c>
      <c r="E46" s="1134"/>
      <c r="F46" s="1148" t="s">
        <v>7645</v>
      </c>
      <c r="G46" s="1147"/>
      <c r="H46" s="1147"/>
      <c r="I46" s="1148" t="s">
        <v>7645</v>
      </c>
      <c r="J46" s="1193"/>
      <c r="K46" s="1193"/>
      <c r="L46" s="1193"/>
      <c r="M46" s="1149">
        <v>243285</v>
      </c>
      <c r="N46" s="1149">
        <v>24167</v>
      </c>
      <c r="O46" s="1149">
        <v>24167</v>
      </c>
      <c r="P46" s="1134"/>
      <c r="Q46" s="1189">
        <f t="shared" ref="Q46:Q51" si="2">C46*D46</f>
        <v>29000</v>
      </c>
      <c r="R46" s="1199"/>
      <c r="S46" s="1127"/>
      <c r="T46" s="1127"/>
    </row>
    <row r="47" spans="1:23" s="1125" customFormat="1" ht="24.6" x14ac:dyDescent="0.25">
      <c r="A47" s="1198">
        <v>2</v>
      </c>
      <c r="B47" s="1167" t="s">
        <v>7697</v>
      </c>
      <c r="C47" s="1155">
        <v>1</v>
      </c>
      <c r="D47" s="1156">
        <v>6000</v>
      </c>
      <c r="E47" s="1134"/>
      <c r="F47" s="1148" t="s">
        <v>7645</v>
      </c>
      <c r="G47" s="1147"/>
      <c r="H47" s="1147"/>
      <c r="I47" s="1148" t="s">
        <v>7645</v>
      </c>
      <c r="J47" s="1193"/>
      <c r="K47" s="1193"/>
      <c r="L47" s="1193"/>
      <c r="M47" s="1149">
        <v>243285</v>
      </c>
      <c r="N47" s="1149">
        <v>24167</v>
      </c>
      <c r="O47" s="1149">
        <v>24167</v>
      </c>
      <c r="P47" s="1134"/>
      <c r="Q47" s="1189">
        <f t="shared" si="2"/>
        <v>6000</v>
      </c>
      <c r="R47" s="1199"/>
      <c r="S47" s="1127"/>
      <c r="T47" s="1127"/>
    </row>
    <row r="48" spans="1:23" s="1125" customFormat="1" ht="24.6" x14ac:dyDescent="0.25">
      <c r="A48" s="1198">
        <v>3</v>
      </c>
      <c r="B48" s="1167" t="s">
        <v>7698</v>
      </c>
      <c r="C48" s="1155">
        <v>4</v>
      </c>
      <c r="D48" s="1156">
        <v>2900</v>
      </c>
      <c r="E48" s="1134"/>
      <c r="F48" s="1148" t="s">
        <v>7645</v>
      </c>
      <c r="G48" s="1147"/>
      <c r="H48" s="1147"/>
      <c r="I48" s="1148" t="s">
        <v>7645</v>
      </c>
      <c r="J48" s="1193"/>
      <c r="K48" s="1193"/>
      <c r="L48" s="1193"/>
      <c r="M48" s="1149">
        <v>243285</v>
      </c>
      <c r="N48" s="1149">
        <v>24167</v>
      </c>
      <c r="O48" s="1149">
        <v>24167</v>
      </c>
      <c r="P48" s="1134"/>
      <c r="Q48" s="1189">
        <f t="shared" si="2"/>
        <v>11600</v>
      </c>
      <c r="R48" s="1199"/>
      <c r="S48" s="1127"/>
      <c r="T48" s="1127"/>
    </row>
    <row r="49" spans="1:22" s="1125" customFormat="1" ht="24.6" x14ac:dyDescent="0.25">
      <c r="A49" s="1198">
        <v>4</v>
      </c>
      <c r="B49" s="1200" t="s">
        <v>7699</v>
      </c>
      <c r="C49" s="1155">
        <v>1</v>
      </c>
      <c r="D49" s="1156">
        <v>400000</v>
      </c>
      <c r="E49" s="1134"/>
      <c r="F49" s="1148" t="s">
        <v>7645</v>
      </c>
      <c r="G49" s="1134"/>
      <c r="H49" s="1134"/>
      <c r="I49" s="1148" t="s">
        <v>7645</v>
      </c>
      <c r="J49" s="1193"/>
      <c r="K49" s="1193"/>
      <c r="L49" s="1193"/>
      <c r="M49" s="1149">
        <v>243285</v>
      </c>
      <c r="N49" s="1149">
        <v>24167</v>
      </c>
      <c r="O49" s="1149">
        <v>24167</v>
      </c>
      <c r="P49" s="1134"/>
      <c r="Q49" s="1189">
        <f t="shared" si="2"/>
        <v>400000</v>
      </c>
      <c r="R49" s="1188" t="s">
        <v>7689</v>
      </c>
      <c r="S49" s="1127"/>
      <c r="T49" s="1127"/>
    </row>
    <row r="50" spans="1:22" s="1125" customFormat="1" ht="24.6" x14ac:dyDescent="0.25">
      <c r="A50" s="1198">
        <v>5</v>
      </c>
      <c r="B50" s="1167" t="s">
        <v>7700</v>
      </c>
      <c r="C50" s="1155">
        <v>2</v>
      </c>
      <c r="D50" s="1156">
        <v>4000</v>
      </c>
      <c r="E50" s="1134"/>
      <c r="F50" s="1148" t="s">
        <v>7645</v>
      </c>
      <c r="G50" s="1134"/>
      <c r="H50" s="1134"/>
      <c r="I50" s="1148" t="s">
        <v>7645</v>
      </c>
      <c r="J50" s="1193"/>
      <c r="K50" s="1193"/>
      <c r="L50" s="1193"/>
      <c r="M50" s="1149">
        <v>243285</v>
      </c>
      <c r="N50" s="1149">
        <v>24167</v>
      </c>
      <c r="O50" s="1149">
        <v>24167</v>
      </c>
      <c r="P50" s="1134"/>
      <c r="Q50" s="1189">
        <f t="shared" si="2"/>
        <v>8000</v>
      </c>
      <c r="R50" s="1188"/>
      <c r="S50" s="1127"/>
      <c r="T50" s="1127"/>
      <c r="V50" s="1125" t="s">
        <v>7380</v>
      </c>
    </row>
    <row r="51" spans="1:22" s="1125" customFormat="1" ht="24.6" x14ac:dyDescent="0.25">
      <c r="A51" s="1198">
        <v>6</v>
      </c>
      <c r="B51" s="1163" t="s">
        <v>7701</v>
      </c>
      <c r="C51" s="1155">
        <v>1</v>
      </c>
      <c r="D51" s="1156">
        <v>6000</v>
      </c>
      <c r="E51" s="1134"/>
      <c r="F51" s="1148" t="s">
        <v>7645</v>
      </c>
      <c r="G51" s="1134"/>
      <c r="H51" s="1134"/>
      <c r="I51" s="1148" t="s">
        <v>7645</v>
      </c>
      <c r="J51" s="1193"/>
      <c r="K51" s="1193"/>
      <c r="L51" s="1193"/>
      <c r="M51" s="1149">
        <v>243285</v>
      </c>
      <c r="N51" s="1149">
        <v>24167</v>
      </c>
      <c r="O51" s="1149">
        <v>24167</v>
      </c>
      <c r="P51" s="1134"/>
      <c r="Q51" s="1189">
        <f t="shared" si="2"/>
        <v>6000</v>
      </c>
      <c r="R51" s="1188"/>
      <c r="S51" s="1127"/>
      <c r="T51" s="1127"/>
    </row>
    <row r="52" spans="1:22" s="1152" customFormat="1" ht="24.6" x14ac:dyDescent="0.25">
      <c r="A52" s="1190">
        <v>1</v>
      </c>
      <c r="B52" s="1167" t="s">
        <v>7702</v>
      </c>
      <c r="C52" s="1155">
        <v>1</v>
      </c>
      <c r="D52" s="1156">
        <v>4500</v>
      </c>
      <c r="E52" s="1147"/>
      <c r="F52" s="1148" t="s">
        <v>7645</v>
      </c>
      <c r="G52" s="1147"/>
      <c r="H52" s="1147"/>
      <c r="I52" s="1148" t="s">
        <v>7645</v>
      </c>
      <c r="J52" s="1159"/>
      <c r="K52" s="1159"/>
      <c r="L52" s="1159"/>
      <c r="M52" s="1149">
        <v>243285</v>
      </c>
      <c r="N52" s="1149">
        <v>24167</v>
      </c>
      <c r="O52" s="1149">
        <v>24167</v>
      </c>
      <c r="P52" s="1157"/>
      <c r="Q52" s="1189">
        <f>C52*D52</f>
        <v>4500</v>
      </c>
      <c r="R52" s="1192"/>
      <c r="S52" s="1148"/>
      <c r="T52" s="1148"/>
    </row>
  </sheetData>
  <protectedRanges>
    <protectedRange password="CC6F" sqref="B45" name="ช่วง1_5_1_5_1_1_4_2_1"/>
    <protectedRange password="CC6F" sqref="B46" name="ช่วง1_5_1_5_1_1_1_8"/>
    <protectedRange password="CC6F" sqref="B47:B48" name="ช่วง1_5_1_5_1_1_1_1_1_1"/>
    <protectedRange password="CC6F" sqref="B50" name="ช่วง1_5_1_5_1_1_1_1_6"/>
    <protectedRange password="CC6F" sqref="B52" name="ช่วง1_5_1_5_1_1_1_10"/>
    <protectedRange password="CC6F" sqref="B2 B4:B6" name="ช่วง1_5_1_5_1_1_5_1_2_2"/>
    <protectedRange password="CC6F" sqref="B7:B13" name="ช่วง1_5_1_5_1_1_5_4_2_2"/>
    <protectedRange password="CC6F" sqref="B15:B16" name="ช่วง1_5_1_5_1_1_1_3"/>
    <protectedRange password="CC6F" sqref="B17" name="ช่วง1_5_1_5_1_1_5_4"/>
    <protectedRange password="CC6F" sqref="B18:B19" name="ช่วง1_5_1_5_1_1_1_1_3"/>
    <protectedRange password="CC6F" sqref="B21" name="ช่วง1_5_1_5_1_1_4_2"/>
    <protectedRange password="CC6F" sqref="B20" name="ช่วง1_5_1_5_1_1_5_1_1"/>
    <protectedRange password="CC6F" sqref="B22" name="ช่วง1_5_1_5_1_1_5_2_1"/>
    <protectedRange password="CC6F" sqref="B23:B24" name="ช่วง1_5_1_5_1_1_1_1_1_3"/>
    <protectedRange password="CC6F" sqref="B25:B26" name="ช่วง1_5_1_5_1_1_1_1_2_3"/>
    <protectedRange password="CC6F" sqref="B3" name="ช่วง1_5_1_5_1_1_5_1_2_1_2"/>
    <protectedRange password="CC6F" sqref="B33" name="ช่วง1_5_1_5_1_1_1_2_2"/>
    <protectedRange password="CC6F" sqref="B34:B38" name="ช่วง1_5_1_5_1_1_1_5_1"/>
    <protectedRange password="CC6F" sqref="B39" name="ช่วง1_5_1_5_1_1_1_1_5_2"/>
    <protectedRange password="CC6F" sqref="B40:B42" name="ช่วง1_5_1_5_1_1_1_1_3_3_2"/>
    <protectedRange password="CC6F" sqref="B43:B44" name="ช่วง1_5_1_5_1_1_1_6"/>
    <protectedRange password="CC6F" sqref="B51" name="ช่วง1_5_1_5_1_1_1_1_2_4"/>
    <protectedRange password="CC6F" sqref="B49" name="ช่วง1_5_1_5_1_1_1_1_1"/>
    <protectedRange password="CC6F" sqref="B28:B29" name="ช่วง1_5_1_5_1_1_1_2_4"/>
    <protectedRange password="CC6F" sqref="B30:B31" name="ช่วง1_5_1_5_1_1_5_2_4"/>
    <protectedRange password="CC6F" sqref="B27" name="ช่วง1_5_1_5_1_1_1_2_2_2"/>
    <protectedRange password="CC6F" sqref="B32" name="ช่วง1_5_1_5_1_1_1_3_3"/>
  </protectedRanges>
  <autoFilter ref="A1:D52" xr:uid="{00000000-0009-0000-0000-00002C000000}"/>
  <pageMargins left="0.7" right="0.7" top="0.75" bottom="0.75" header="0.3" footer="0.3"/>
  <pageSetup paperSize="9" orientation="portrait" horizontalDpi="360" verticalDpi="360"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1367C-2FEA-4E8B-99DD-0F4FBBD54EEF}">
  <sheetPr>
    <tabColor theme="7"/>
  </sheetPr>
  <dimension ref="A1:S206"/>
  <sheetViews>
    <sheetView zoomScale="50" zoomScaleNormal="50" workbookViewId="0">
      <pane xSplit="2" ySplit="8" topLeftCell="C99" activePane="bottomRight" state="frozen"/>
      <selection activeCell="CB255" sqref="CB255:CB261"/>
      <selection pane="topRight" activeCell="CB255" sqref="CB255:CB261"/>
      <selection pane="bottomLeft" activeCell="CB255" sqref="CB255:CB261"/>
      <selection pane="bottomRight" activeCell="M118" sqref="M118"/>
    </sheetView>
  </sheetViews>
  <sheetFormatPr defaultColWidth="9" defaultRowHeight="24.6" x14ac:dyDescent="0.7"/>
  <cols>
    <col min="1" max="1" width="6" style="6" customWidth="1"/>
    <col min="2" max="2" width="76.19921875" style="6" bestFit="1" customWidth="1"/>
    <col min="3" max="3" width="19.69921875" style="167" bestFit="1" customWidth="1"/>
    <col min="4" max="4" width="15" style="167" bestFit="1" customWidth="1"/>
    <col min="5" max="5" width="13.69921875" style="167" bestFit="1" customWidth="1"/>
    <col min="6" max="6" width="19.69921875" style="167" bestFit="1" customWidth="1"/>
    <col min="7" max="7" width="15" style="167" bestFit="1" customWidth="1"/>
    <col min="8" max="8" width="15.19921875" style="167" customWidth="1"/>
    <col min="9" max="9" width="10.8984375" style="167" bestFit="1" customWidth="1"/>
    <col min="10" max="10" width="11.59765625" style="167" bestFit="1" customWidth="1"/>
    <col min="11" max="11" width="16.5" style="167" bestFit="1" customWidth="1"/>
    <col min="12" max="12" width="16.5" style="167" customWidth="1"/>
    <col min="13" max="13" width="69.19921875" style="6" customWidth="1"/>
    <col min="14" max="16" width="9" style="6"/>
    <col min="17" max="19" width="9" style="257"/>
    <col min="20" max="16384" width="9" style="6"/>
  </cols>
  <sheetData>
    <row r="1" spans="1:13" x14ac:dyDescent="0.7">
      <c r="B1" s="1" t="s">
        <v>6333</v>
      </c>
    </row>
    <row r="2" spans="1:13" x14ac:dyDescent="0.7">
      <c r="B2" s="1" t="str">
        <f>"ชื่อหน่วยงาน     "&amp;'[1]1.Planfin2565'!$F$2  &amp;"       รหัสหน่วยงาน       "&amp;'[1]1.Planfin2565'!$I$2</f>
        <v>ชื่อหน่วยงาน            รหัสหน่วยงาน       10000</v>
      </c>
    </row>
    <row r="3" spans="1:13" x14ac:dyDescent="0.7">
      <c r="B3" s="1" t="s">
        <v>6590</v>
      </c>
    </row>
    <row r="4" spans="1:13" x14ac:dyDescent="0.7">
      <c r="B4" s="1" t="s">
        <v>6591</v>
      </c>
    </row>
    <row r="5" spans="1:13" x14ac:dyDescent="0.7">
      <c r="K5" s="167" t="s">
        <v>6334</v>
      </c>
    </row>
    <row r="6" spans="1:13" x14ac:dyDescent="0.7">
      <c r="C6" s="797" t="s">
        <v>6592</v>
      </c>
      <c r="D6" s="797"/>
      <c r="E6" s="797"/>
      <c r="F6" s="797" t="s">
        <v>6593</v>
      </c>
      <c r="G6" s="797"/>
      <c r="H6" s="797"/>
    </row>
    <row r="7" spans="1:13" ht="49.2" x14ac:dyDescent="0.7">
      <c r="A7" s="813"/>
      <c r="B7" s="133" t="s">
        <v>646</v>
      </c>
      <c r="C7" s="403" t="s">
        <v>6594</v>
      </c>
      <c r="D7" s="403" t="s">
        <v>6595</v>
      </c>
      <c r="E7" s="403" t="s">
        <v>6596</v>
      </c>
      <c r="F7" s="403" t="s">
        <v>6597</v>
      </c>
      <c r="G7" s="403" t="s">
        <v>6598</v>
      </c>
      <c r="H7" s="403" t="s">
        <v>6599</v>
      </c>
      <c r="I7" s="814" t="s">
        <v>6335</v>
      </c>
      <c r="J7" s="815" t="s">
        <v>6600</v>
      </c>
      <c r="K7" s="816" t="s">
        <v>6600</v>
      </c>
      <c r="L7" s="816"/>
      <c r="M7" s="414" t="s">
        <v>6601</v>
      </c>
    </row>
    <row r="8" spans="1:13" x14ac:dyDescent="0.7">
      <c r="A8" s="813"/>
      <c r="B8" s="133"/>
      <c r="C8" s="403"/>
      <c r="D8" s="403"/>
      <c r="E8" s="403"/>
      <c r="F8" s="403"/>
      <c r="G8" s="403"/>
      <c r="H8" s="403"/>
      <c r="I8" s="814"/>
      <c r="J8" s="814"/>
      <c r="K8" s="816"/>
      <c r="L8" s="816"/>
      <c r="M8" s="414"/>
    </row>
    <row r="9" spans="1:13" x14ac:dyDescent="0.7">
      <c r="A9" s="96" t="s">
        <v>6243</v>
      </c>
      <c r="B9" s="6" t="s">
        <v>6336</v>
      </c>
      <c r="C9" s="415"/>
      <c r="D9" s="415"/>
      <c r="E9" s="415">
        <f>D9-C9</f>
        <v>0</v>
      </c>
      <c r="F9" s="415"/>
      <c r="G9" s="415"/>
      <c r="H9" s="415">
        <f>G9-F9</f>
        <v>0</v>
      </c>
      <c r="I9" s="415">
        <f>SUMIF('[1]6.WS-Re-Exp'!$G$399:$G$841,'14.แผนรายรับรายจ่ายเงินบำรุง เด'!A9,'[1]6.WS-Re-Exp'!$C$399:$C$841)</f>
        <v>19310</v>
      </c>
      <c r="J9" s="415"/>
      <c r="K9" s="541">
        <f>SUM(I9+'[1]10.WS-แผนบริหารจัดการลูกหนี้'!B5-'[1]10.WS-แผนบริหารจัดการลูกหนี้'!H5)</f>
        <v>4750</v>
      </c>
      <c r="L9" s="541"/>
      <c r="M9" s="109" t="s">
        <v>6337</v>
      </c>
    </row>
    <row r="10" spans="1:13" x14ac:dyDescent="0.7">
      <c r="A10" s="96"/>
      <c r="B10" s="505" t="s">
        <v>6602</v>
      </c>
      <c r="C10" s="817">
        <f>SUM(C11:C14)</f>
        <v>26855229.84</v>
      </c>
      <c r="D10" s="817">
        <f>SUM(D11:D14)</f>
        <v>19207765.009999998</v>
      </c>
      <c r="E10" s="415">
        <f t="shared" ref="E10:E58" si="0">D10-C10</f>
        <v>-7647464.8300000019</v>
      </c>
      <c r="F10" s="817">
        <f>SUM(F11:F14)</f>
        <v>19627678.849999994</v>
      </c>
      <c r="G10" s="415"/>
      <c r="H10" s="415"/>
      <c r="I10" s="415"/>
      <c r="J10" s="415"/>
      <c r="K10" s="541"/>
      <c r="L10" s="541"/>
      <c r="M10" s="109"/>
    </row>
    <row r="11" spans="1:13" x14ac:dyDescent="0.7">
      <c r="A11" s="96"/>
      <c r="B11" s="505" t="s">
        <v>6603</v>
      </c>
      <c r="C11" s="817">
        <f>14016071.14+2517541+9475253.44</f>
        <v>26008865.579999998</v>
      </c>
      <c r="D11" s="817">
        <f>19202075.11-D13</f>
        <v>18580086.109999999</v>
      </c>
      <c r="E11" s="415">
        <f t="shared" si="0"/>
        <v>-7428779.4699999988</v>
      </c>
      <c r="F11" s="817">
        <f>19000000+4409098.7+9048382.24-13457480.99</f>
        <v>18999999.949999996</v>
      </c>
      <c r="G11" s="415">
        <v>21684553.18</v>
      </c>
      <c r="H11" s="415"/>
      <c r="I11" s="415"/>
      <c r="J11" s="415"/>
      <c r="K11" s="541"/>
      <c r="L11" s="541"/>
      <c r="M11" s="109" t="s">
        <v>6604</v>
      </c>
    </row>
    <row r="12" spans="1:13" x14ac:dyDescent="0.7">
      <c r="A12" s="96"/>
      <c r="B12" s="505" t="s">
        <v>6605</v>
      </c>
      <c r="C12" s="817">
        <v>0</v>
      </c>
      <c r="D12" s="817">
        <v>0</v>
      </c>
      <c r="E12" s="415">
        <f t="shared" si="0"/>
        <v>0</v>
      </c>
      <c r="F12" s="817">
        <v>0</v>
      </c>
      <c r="G12" s="415"/>
      <c r="H12" s="415"/>
      <c r="I12" s="415"/>
      <c r="J12" s="415"/>
      <c r="K12" s="541"/>
      <c r="L12" s="541"/>
      <c r="M12" s="109"/>
    </row>
    <row r="13" spans="1:13" x14ac:dyDescent="0.7">
      <c r="A13" s="96"/>
      <c r="B13" s="505" t="s">
        <v>6606</v>
      </c>
      <c r="C13" s="817">
        <f>423182.13+423182.13</f>
        <v>846364.26</v>
      </c>
      <c r="D13" s="817">
        <f>423182.13+198806.87</f>
        <v>621989</v>
      </c>
      <c r="E13" s="415">
        <f t="shared" si="0"/>
        <v>-224375.26</v>
      </c>
      <c r="F13" s="817">
        <v>621989</v>
      </c>
      <c r="G13" s="415"/>
      <c r="H13" s="415"/>
      <c r="I13" s="415"/>
      <c r="J13" s="415"/>
      <c r="K13" s="541"/>
      <c r="L13" s="541"/>
      <c r="M13" s="109"/>
    </row>
    <row r="14" spans="1:13" x14ac:dyDescent="0.7">
      <c r="A14" s="96"/>
      <c r="B14" s="505" t="s">
        <v>6607</v>
      </c>
      <c r="C14" s="817">
        <v>0</v>
      </c>
      <c r="D14" s="817">
        <v>5689.9</v>
      </c>
      <c r="E14" s="415">
        <f t="shared" si="0"/>
        <v>5689.9</v>
      </c>
      <c r="F14" s="817">
        <v>5689.9</v>
      </c>
      <c r="G14" s="415"/>
      <c r="H14" s="415"/>
      <c r="I14" s="415"/>
      <c r="J14" s="415"/>
      <c r="K14" s="541"/>
      <c r="L14" s="541"/>
      <c r="M14" s="109"/>
    </row>
    <row r="15" spans="1:13" x14ac:dyDescent="0.7">
      <c r="A15" s="96"/>
      <c r="B15" s="505" t="s">
        <v>6608</v>
      </c>
      <c r="C15" s="817">
        <v>8000000</v>
      </c>
      <c r="D15" s="817">
        <v>8287349.8700000001</v>
      </c>
      <c r="E15" s="415">
        <f t="shared" si="0"/>
        <v>287349.87000000011</v>
      </c>
      <c r="F15" s="817">
        <v>9000000</v>
      </c>
      <c r="G15" s="415">
        <v>7780085.75</v>
      </c>
      <c r="H15" s="415"/>
      <c r="I15" s="415"/>
      <c r="J15" s="415"/>
      <c r="K15" s="541"/>
      <c r="L15" s="541"/>
      <c r="M15" s="109" t="s">
        <v>6604</v>
      </c>
    </row>
    <row r="16" spans="1:13" x14ac:dyDescent="0.7">
      <c r="A16" s="96"/>
      <c r="B16" s="505" t="s">
        <v>6609</v>
      </c>
      <c r="C16" s="817">
        <f>SUM(C17:C23)</f>
        <v>5592923.04</v>
      </c>
      <c r="D16" s="817">
        <f>SUM(D17:D23)</f>
        <v>6671223.4900000012</v>
      </c>
      <c r="E16" s="415">
        <f t="shared" si="0"/>
        <v>1078300.4500000011</v>
      </c>
      <c r="F16" s="817">
        <f>SUM(F17:F23)</f>
        <v>7281928.3199999994</v>
      </c>
      <c r="G16" s="415"/>
      <c r="H16" s="415"/>
      <c r="I16" s="415"/>
      <c r="J16" s="415"/>
      <c r="K16" s="541"/>
      <c r="L16" s="541"/>
      <c r="M16" s="109"/>
    </row>
    <row r="17" spans="1:13" x14ac:dyDescent="0.7">
      <c r="A17" s="96"/>
      <c r="B17" s="505" t="s">
        <v>6610</v>
      </c>
      <c r="C17" s="817">
        <v>3667654.82</v>
      </c>
      <c r="D17" s="817">
        <f>6671223.49-D18-D19-D22-D23</f>
        <v>4790631.3200000012</v>
      </c>
      <c r="E17" s="415">
        <f t="shared" si="0"/>
        <v>1122976.5000000014</v>
      </c>
      <c r="F17" s="817">
        <f>6500000</f>
        <v>6500000</v>
      </c>
      <c r="G17" s="415">
        <v>5258736.84</v>
      </c>
      <c r="H17" s="415"/>
      <c r="I17" s="415"/>
      <c r="J17" s="415"/>
      <c r="K17" s="541"/>
      <c r="L17" s="541"/>
      <c r="M17" s="109" t="s">
        <v>6604</v>
      </c>
    </row>
    <row r="18" spans="1:13" x14ac:dyDescent="0.7">
      <c r="A18" s="96"/>
      <c r="B18" s="505" t="s">
        <v>6611</v>
      </c>
      <c r="C18" s="817">
        <f>744238.54+744238.54</f>
        <v>1488477.08</v>
      </c>
      <c r="D18" s="817">
        <f>744238.54+354425.31</f>
        <v>1098663.8500000001</v>
      </c>
      <c r="E18" s="415">
        <f t="shared" si="0"/>
        <v>-389813.23</v>
      </c>
      <c r="F18" s="817">
        <v>0</v>
      </c>
      <c r="G18" s="415"/>
      <c r="H18" s="415"/>
      <c r="I18" s="415"/>
      <c r="J18" s="415"/>
      <c r="K18" s="541"/>
      <c r="L18" s="541"/>
      <c r="M18" s="109"/>
    </row>
    <row r="19" spans="1:13" x14ac:dyDescent="0.7">
      <c r="A19" s="96"/>
      <c r="B19" s="505" t="s">
        <v>6612</v>
      </c>
      <c r="C19" s="817">
        <v>0</v>
      </c>
      <c r="D19" s="817">
        <f>197900+30840</f>
        <v>228740</v>
      </c>
      <c r="E19" s="415">
        <f t="shared" si="0"/>
        <v>228740</v>
      </c>
      <c r="F19" s="817">
        <v>228740</v>
      </c>
      <c r="G19" s="415"/>
      <c r="H19" s="415"/>
      <c r="I19" s="415"/>
      <c r="J19" s="415"/>
      <c r="K19" s="541"/>
      <c r="L19" s="541"/>
      <c r="M19" s="109"/>
    </row>
    <row r="20" spans="1:13" x14ac:dyDescent="0.7">
      <c r="A20" s="96"/>
      <c r="B20" s="505" t="s">
        <v>6613</v>
      </c>
      <c r="C20" s="817">
        <v>2500</v>
      </c>
      <c r="D20" s="817">
        <v>0</v>
      </c>
      <c r="E20" s="415">
        <f t="shared" si="0"/>
        <v>-2500</v>
      </c>
      <c r="F20" s="817">
        <v>0</v>
      </c>
      <c r="G20" s="415"/>
      <c r="H20" s="415"/>
      <c r="I20" s="415"/>
      <c r="J20" s="415"/>
      <c r="K20" s="541"/>
      <c r="L20" s="541"/>
      <c r="M20" s="109"/>
    </row>
    <row r="21" spans="1:13" x14ac:dyDescent="0.7">
      <c r="A21" s="96"/>
      <c r="B21" s="505" t="s">
        <v>6614</v>
      </c>
      <c r="C21" s="817">
        <v>0</v>
      </c>
      <c r="D21" s="817">
        <v>0</v>
      </c>
      <c r="E21" s="415">
        <f t="shared" si="0"/>
        <v>0</v>
      </c>
      <c r="F21" s="817">
        <v>0</v>
      </c>
      <c r="G21" s="415"/>
      <c r="H21" s="415"/>
      <c r="I21" s="415"/>
      <c r="J21" s="415"/>
      <c r="K21" s="541"/>
      <c r="L21" s="541"/>
      <c r="M21" s="109"/>
    </row>
    <row r="22" spans="1:13" x14ac:dyDescent="0.7">
      <c r="A22" s="96"/>
      <c r="B22" s="505" t="s">
        <v>6615</v>
      </c>
      <c r="C22" s="817">
        <v>434291.14</v>
      </c>
      <c r="D22" s="817">
        <v>434291.14</v>
      </c>
      <c r="E22" s="415">
        <f t="shared" si="0"/>
        <v>0</v>
      </c>
      <c r="F22" s="817">
        <v>434291.14</v>
      </c>
      <c r="G22" s="415"/>
      <c r="H22" s="415"/>
      <c r="I22" s="415"/>
      <c r="J22" s="415"/>
      <c r="K22" s="541"/>
      <c r="L22" s="541"/>
      <c r="M22" s="109"/>
    </row>
    <row r="23" spans="1:13" x14ac:dyDescent="0.7">
      <c r="A23" s="96"/>
      <c r="B23" s="505" t="s">
        <v>6616</v>
      </c>
      <c r="C23" s="817">
        <v>0</v>
      </c>
      <c r="D23" s="817">
        <v>118897.18</v>
      </c>
      <c r="E23" s="415">
        <f t="shared" si="0"/>
        <v>118897.18</v>
      </c>
      <c r="F23" s="817">
        <v>118897.18</v>
      </c>
      <c r="G23" s="415"/>
      <c r="H23" s="415"/>
      <c r="I23" s="415"/>
      <c r="J23" s="415"/>
      <c r="K23" s="541"/>
      <c r="L23" s="541"/>
      <c r="M23" s="109"/>
    </row>
    <row r="24" spans="1:13" x14ac:dyDescent="0.7">
      <c r="A24" s="96"/>
      <c r="B24" s="505" t="s">
        <v>6617</v>
      </c>
      <c r="C24" s="817">
        <f>441156.04+390124.35+67032.28+1831.98</f>
        <v>900144.64999999991</v>
      </c>
      <c r="D24" s="817">
        <v>1830256.16</v>
      </c>
      <c r="E24" s="415">
        <f t="shared" si="0"/>
        <v>930111.51</v>
      </c>
      <c r="F24" s="817">
        <f>1800000+112000</f>
        <v>1912000</v>
      </c>
      <c r="G24" s="415">
        <v>836406.38</v>
      </c>
      <c r="H24" s="415"/>
      <c r="I24" s="415"/>
      <c r="J24" s="415"/>
      <c r="K24" s="541"/>
      <c r="L24" s="541"/>
      <c r="M24" s="109" t="s">
        <v>6604</v>
      </c>
    </row>
    <row r="25" spans="1:13" x14ac:dyDescent="0.7">
      <c r="A25" s="96"/>
      <c r="B25" s="505" t="s">
        <v>6618</v>
      </c>
      <c r="C25" s="817">
        <f>1447212.68+1120000</f>
        <v>2567212.6799999997</v>
      </c>
      <c r="D25" s="817">
        <v>2567212.6800000002</v>
      </c>
      <c r="E25" s="415">
        <f t="shared" si="0"/>
        <v>0</v>
      </c>
      <c r="F25" s="817">
        <f>1867724.12+412800</f>
        <v>2280524.12</v>
      </c>
      <c r="G25" s="415">
        <v>2280524.12</v>
      </c>
      <c r="H25" s="415"/>
      <c r="I25" s="415"/>
      <c r="J25" s="415"/>
      <c r="K25" s="541"/>
      <c r="L25" s="541"/>
      <c r="M25" s="109" t="s">
        <v>6604</v>
      </c>
    </row>
    <row r="26" spans="1:13" x14ac:dyDescent="0.7">
      <c r="A26" s="96"/>
      <c r="B26" s="505" t="s">
        <v>6619</v>
      </c>
      <c r="C26" s="817">
        <v>640600</v>
      </c>
      <c r="D26" s="817">
        <v>0</v>
      </c>
      <c r="E26" s="415">
        <f t="shared" si="0"/>
        <v>-640600</v>
      </c>
      <c r="F26" s="817">
        <f>270000+498000</f>
        <v>768000</v>
      </c>
      <c r="G26" s="415"/>
      <c r="H26" s="415"/>
      <c r="I26" s="415"/>
      <c r="J26" s="415"/>
      <c r="K26" s="541"/>
      <c r="L26" s="541"/>
      <c r="M26" s="109"/>
    </row>
    <row r="27" spans="1:13" x14ac:dyDescent="0.7">
      <c r="A27" s="96"/>
      <c r="B27" s="505" t="s">
        <v>6620</v>
      </c>
      <c r="C27" s="817">
        <v>1800</v>
      </c>
      <c r="D27" s="817">
        <v>237067.43</v>
      </c>
      <c r="E27" s="415">
        <f t="shared" si="0"/>
        <v>235267.43</v>
      </c>
      <c r="F27" s="817">
        <v>240000</v>
      </c>
      <c r="G27" s="415">
        <v>264385.76</v>
      </c>
      <c r="H27" s="415"/>
      <c r="I27" s="415"/>
      <c r="J27" s="415"/>
      <c r="K27" s="541"/>
      <c r="L27" s="541"/>
      <c r="M27" s="109" t="s">
        <v>6604</v>
      </c>
    </row>
    <row r="28" spans="1:13" x14ac:dyDescent="0.7">
      <c r="A28" s="96"/>
      <c r="B28" s="505" t="s">
        <v>6621</v>
      </c>
      <c r="C28" s="817">
        <v>0</v>
      </c>
      <c r="D28" s="817">
        <v>0</v>
      </c>
      <c r="E28" s="415">
        <f t="shared" si="0"/>
        <v>0</v>
      </c>
      <c r="F28" s="817">
        <v>0</v>
      </c>
      <c r="G28" s="415"/>
      <c r="H28" s="415"/>
      <c r="I28" s="415"/>
      <c r="J28" s="415"/>
      <c r="K28" s="541"/>
      <c r="L28" s="541"/>
      <c r="M28" s="109"/>
    </row>
    <row r="29" spans="1:13" x14ac:dyDescent="0.7">
      <c r="A29" s="96"/>
      <c r="B29" s="505" t="s">
        <v>6622</v>
      </c>
      <c r="C29" s="817">
        <v>94040.48</v>
      </c>
      <c r="D29" s="817">
        <f>94040.48+44179.3</f>
        <v>138219.78</v>
      </c>
      <c r="E29" s="415">
        <f t="shared" si="0"/>
        <v>44179.3</v>
      </c>
      <c r="F29" s="817">
        <v>0</v>
      </c>
      <c r="G29" s="415">
        <v>34979.35</v>
      </c>
      <c r="H29" s="415"/>
      <c r="I29" s="415"/>
      <c r="J29" s="415"/>
      <c r="K29" s="541"/>
      <c r="L29" s="541"/>
      <c r="M29" s="109" t="s">
        <v>6604</v>
      </c>
    </row>
    <row r="30" spans="1:13" x14ac:dyDescent="0.7">
      <c r="A30" s="96"/>
      <c r="B30" s="505" t="s">
        <v>6623</v>
      </c>
      <c r="C30" s="817">
        <v>90000</v>
      </c>
      <c r="D30" s="817">
        <f>246845.34+150405</f>
        <v>397250.33999999997</v>
      </c>
      <c r="E30" s="415">
        <f t="shared" si="0"/>
        <v>307250.33999999997</v>
      </c>
      <c r="F30" s="817">
        <v>137234</v>
      </c>
      <c r="G30" s="415">
        <v>462185.34</v>
      </c>
      <c r="H30" s="415"/>
      <c r="I30" s="415"/>
      <c r="J30" s="415"/>
      <c r="K30" s="541"/>
      <c r="L30" s="541"/>
      <c r="M30" s="109" t="s">
        <v>6604</v>
      </c>
    </row>
    <row r="31" spans="1:13" x14ac:dyDescent="0.7">
      <c r="A31" s="96"/>
      <c r="B31" s="505" t="s">
        <v>6624</v>
      </c>
      <c r="C31" s="817">
        <f>150000+14800</f>
        <v>164800</v>
      </c>
      <c r="D31" s="817">
        <v>0</v>
      </c>
      <c r="E31" s="415">
        <f t="shared" si="0"/>
        <v>-164800</v>
      </c>
      <c r="F31" s="817">
        <v>0</v>
      </c>
      <c r="G31" s="415"/>
      <c r="H31" s="415"/>
      <c r="I31" s="415"/>
      <c r="J31" s="415"/>
      <c r="K31" s="541"/>
      <c r="L31" s="541"/>
      <c r="M31" s="109"/>
    </row>
    <row r="32" spans="1:13" x14ac:dyDescent="0.7">
      <c r="A32" s="96"/>
      <c r="B32" s="505" t="s">
        <v>6625</v>
      </c>
      <c r="C32" s="817">
        <v>0</v>
      </c>
      <c r="D32" s="817">
        <v>0</v>
      </c>
      <c r="E32" s="415">
        <f t="shared" si="0"/>
        <v>0</v>
      </c>
      <c r="F32" s="817">
        <v>0</v>
      </c>
      <c r="G32" s="415">
        <v>0</v>
      </c>
      <c r="H32" s="415"/>
      <c r="I32" s="415"/>
      <c r="J32" s="415"/>
      <c r="K32" s="541"/>
      <c r="L32" s="541"/>
      <c r="M32" s="109" t="s">
        <v>6604</v>
      </c>
    </row>
    <row r="33" spans="1:13" x14ac:dyDescent="0.7">
      <c r="A33" s="96"/>
      <c r="B33" s="505" t="s">
        <v>6626</v>
      </c>
      <c r="C33" s="817">
        <v>0</v>
      </c>
      <c r="D33" s="817">
        <v>0</v>
      </c>
      <c r="E33" s="415">
        <f t="shared" si="0"/>
        <v>0</v>
      </c>
      <c r="F33" s="817">
        <v>0</v>
      </c>
      <c r="G33" s="415">
        <v>226101</v>
      </c>
      <c r="H33" s="415"/>
      <c r="I33" s="415"/>
      <c r="J33" s="415"/>
      <c r="K33" s="541"/>
      <c r="L33" s="541"/>
      <c r="M33" s="109" t="s">
        <v>6604</v>
      </c>
    </row>
    <row r="34" spans="1:13" x14ac:dyDescent="0.7">
      <c r="A34" s="96"/>
      <c r="B34" s="505" t="s">
        <v>6627</v>
      </c>
      <c r="C34" s="817">
        <f>163455.28+514185.52</f>
        <v>677640.8</v>
      </c>
      <c r="D34" s="817">
        <v>1197689.24</v>
      </c>
      <c r="E34" s="415">
        <f t="shared" si="0"/>
        <v>520048.43999999994</v>
      </c>
      <c r="F34" s="817">
        <v>1200000</v>
      </c>
      <c r="G34" s="415">
        <v>771890.47</v>
      </c>
      <c r="H34" s="415"/>
      <c r="I34" s="415"/>
      <c r="J34" s="415"/>
      <c r="K34" s="541"/>
      <c r="L34" s="541"/>
      <c r="M34" s="109" t="s">
        <v>6604</v>
      </c>
    </row>
    <row r="35" spans="1:13" x14ac:dyDescent="0.7">
      <c r="A35" s="96"/>
      <c r="B35" s="505" t="s">
        <v>6628</v>
      </c>
      <c r="C35" s="817">
        <v>410000</v>
      </c>
      <c r="D35" s="817">
        <v>0</v>
      </c>
      <c r="E35" s="415">
        <f t="shared" si="0"/>
        <v>-410000</v>
      </c>
      <c r="F35" s="817">
        <v>410000</v>
      </c>
      <c r="G35" s="415"/>
      <c r="H35" s="415"/>
      <c r="I35" s="415"/>
      <c r="J35" s="415"/>
      <c r="K35" s="541"/>
      <c r="L35" s="541"/>
      <c r="M35" s="109"/>
    </row>
    <row r="36" spans="1:13" x14ac:dyDescent="0.7">
      <c r="A36" s="96"/>
      <c r="B36" s="505" t="s">
        <v>6629</v>
      </c>
      <c r="C36" s="817">
        <v>7268385.79</v>
      </c>
      <c r="D36" s="817">
        <v>7268385.79</v>
      </c>
      <c r="E36" s="415">
        <f t="shared" si="0"/>
        <v>0</v>
      </c>
      <c r="F36" s="817">
        <v>5553648</v>
      </c>
      <c r="G36" s="415"/>
      <c r="H36" s="415"/>
      <c r="I36" s="415"/>
      <c r="J36" s="415"/>
      <c r="K36" s="541"/>
      <c r="L36" s="541"/>
      <c r="M36" s="109"/>
    </row>
    <row r="37" spans="1:13" x14ac:dyDescent="0.7">
      <c r="A37" s="96"/>
      <c r="B37" s="505" t="s">
        <v>6630</v>
      </c>
      <c r="C37" s="817">
        <v>0</v>
      </c>
      <c r="D37" s="817">
        <v>0</v>
      </c>
      <c r="E37" s="415">
        <f t="shared" si="0"/>
        <v>0</v>
      </c>
      <c r="F37" s="817">
        <v>0</v>
      </c>
      <c r="G37" s="415"/>
      <c r="H37" s="415"/>
      <c r="I37" s="415"/>
      <c r="J37" s="415"/>
      <c r="K37" s="541"/>
      <c r="L37" s="541"/>
      <c r="M37" s="109"/>
    </row>
    <row r="38" spans="1:13" x14ac:dyDescent="0.7">
      <c r="A38" s="96"/>
      <c r="B38" s="505" t="s">
        <v>6631</v>
      </c>
      <c r="C38" s="817">
        <v>150000</v>
      </c>
      <c r="D38" s="817">
        <v>100000</v>
      </c>
      <c r="E38" s="415">
        <f t="shared" si="0"/>
        <v>-50000</v>
      </c>
      <c r="F38" s="817">
        <v>100000</v>
      </c>
      <c r="G38" s="415">
        <v>67528.67</v>
      </c>
      <c r="H38" s="415"/>
      <c r="I38" s="415"/>
      <c r="J38" s="415"/>
      <c r="K38" s="541"/>
      <c r="L38" s="541"/>
      <c r="M38" s="109" t="s">
        <v>6604</v>
      </c>
    </row>
    <row r="39" spans="1:13" x14ac:dyDescent="0.7">
      <c r="A39" s="96"/>
      <c r="B39" s="505" t="s">
        <v>6632</v>
      </c>
      <c r="C39" s="817">
        <f>298611.22+432097.9</f>
        <v>730709.12</v>
      </c>
      <c r="D39" s="817">
        <v>396200.38</v>
      </c>
      <c r="E39" s="415">
        <f t="shared" si="0"/>
        <v>-334508.74</v>
      </c>
      <c r="F39" s="817">
        <v>400000</v>
      </c>
      <c r="G39" s="415"/>
      <c r="H39" s="415"/>
      <c r="I39" s="415"/>
      <c r="J39" s="415"/>
      <c r="K39" s="541"/>
      <c r="L39" s="541"/>
      <c r="M39" s="109"/>
    </row>
    <row r="40" spans="1:13" x14ac:dyDescent="0.7">
      <c r="A40" s="96"/>
      <c r="B40" s="505" t="s">
        <v>6633</v>
      </c>
      <c r="C40" s="817"/>
      <c r="D40" s="817"/>
      <c r="E40" s="415"/>
      <c r="F40" s="817"/>
      <c r="G40" s="415">
        <v>0</v>
      </c>
      <c r="H40" s="415"/>
      <c r="I40" s="415"/>
      <c r="J40" s="415"/>
      <c r="K40" s="541"/>
      <c r="L40" s="541"/>
      <c r="M40" s="109" t="s">
        <v>6604</v>
      </c>
    </row>
    <row r="41" spans="1:13" x14ac:dyDescent="0.7">
      <c r="A41" s="96"/>
      <c r="B41" s="505" t="s">
        <v>6634</v>
      </c>
      <c r="C41" s="817"/>
      <c r="D41" s="817"/>
      <c r="E41" s="415"/>
      <c r="F41" s="817"/>
      <c r="G41" s="415">
        <v>9025.35</v>
      </c>
      <c r="H41" s="415"/>
      <c r="I41" s="415"/>
      <c r="J41" s="415"/>
      <c r="K41" s="541"/>
      <c r="L41" s="541"/>
      <c r="M41" s="109" t="s">
        <v>6604</v>
      </c>
    </row>
    <row r="42" spans="1:13" x14ac:dyDescent="0.7">
      <c r="A42" s="96"/>
      <c r="B42" s="505" t="s">
        <v>6635</v>
      </c>
      <c r="C42" s="817"/>
      <c r="D42" s="817"/>
      <c r="E42" s="415"/>
      <c r="F42" s="817"/>
      <c r="G42" s="415">
        <v>165300.1</v>
      </c>
      <c r="H42" s="415"/>
      <c r="I42" s="415"/>
      <c r="J42" s="415"/>
      <c r="K42" s="541"/>
      <c r="L42" s="541"/>
      <c r="M42" s="109" t="s">
        <v>6604</v>
      </c>
    </row>
    <row r="43" spans="1:13" x14ac:dyDescent="0.7">
      <c r="A43" s="96"/>
      <c r="B43" s="505" t="s">
        <v>6636</v>
      </c>
      <c r="C43" s="817"/>
      <c r="D43" s="817"/>
      <c r="E43" s="415"/>
      <c r="F43" s="817"/>
      <c r="G43" s="415">
        <v>4156710.34</v>
      </c>
      <c r="H43" s="415"/>
      <c r="I43" s="415"/>
      <c r="J43" s="415"/>
      <c r="K43" s="541"/>
      <c r="L43" s="541"/>
      <c r="M43" s="109" t="s">
        <v>6604</v>
      </c>
    </row>
    <row r="44" spans="1:13" x14ac:dyDescent="0.7">
      <c r="A44" s="96"/>
      <c r="B44" s="505" t="s">
        <v>6637</v>
      </c>
      <c r="C44" s="817"/>
      <c r="D44" s="817"/>
      <c r="E44" s="415"/>
      <c r="F44" s="817"/>
      <c r="G44" s="415">
        <f>36028.24+854.28</f>
        <v>36882.519999999997</v>
      </c>
      <c r="H44" s="415"/>
      <c r="I44" s="415"/>
      <c r="J44" s="415"/>
      <c r="K44" s="541"/>
      <c r="L44" s="541"/>
      <c r="M44" s="109" t="s">
        <v>6604</v>
      </c>
    </row>
    <row r="45" spans="1:13" x14ac:dyDescent="0.7">
      <c r="A45" s="96"/>
      <c r="B45" s="505" t="s">
        <v>6638</v>
      </c>
      <c r="C45" s="817"/>
      <c r="D45" s="817"/>
      <c r="E45" s="415"/>
      <c r="F45" s="817"/>
      <c r="G45" s="415">
        <v>170308.48000000001</v>
      </c>
      <c r="H45" s="415"/>
      <c r="I45" s="415"/>
      <c r="J45" s="415"/>
      <c r="K45" s="541"/>
      <c r="L45" s="541"/>
      <c r="M45" s="109" t="s">
        <v>6604</v>
      </c>
    </row>
    <row r="46" spans="1:13" x14ac:dyDescent="0.7">
      <c r="A46" s="96"/>
      <c r="B46" s="505" t="s">
        <v>6639</v>
      </c>
      <c r="C46" s="817">
        <f>SUM(C47:C49)</f>
        <v>77171</v>
      </c>
      <c r="D46" s="817">
        <f>SUM(D47:D49)</f>
        <v>64228</v>
      </c>
      <c r="E46" s="415">
        <f t="shared" si="0"/>
        <v>-12943</v>
      </c>
      <c r="F46" s="817">
        <f>SUM(F47:F49)</f>
        <v>80000</v>
      </c>
      <c r="G46" s="415"/>
      <c r="H46" s="415"/>
      <c r="I46" s="415"/>
      <c r="J46" s="415"/>
      <c r="K46" s="541"/>
      <c r="L46" s="541"/>
      <c r="M46" s="109"/>
    </row>
    <row r="47" spans="1:13" x14ac:dyDescent="0.7">
      <c r="A47" s="96"/>
      <c r="B47" s="505" t="s">
        <v>6640</v>
      </c>
      <c r="C47" s="817">
        <v>69959</v>
      </c>
      <c r="D47" s="817">
        <v>61332</v>
      </c>
      <c r="E47" s="415">
        <f t="shared" si="0"/>
        <v>-8627</v>
      </c>
      <c r="F47" s="817">
        <v>70000</v>
      </c>
      <c r="G47" s="415"/>
      <c r="H47" s="415"/>
      <c r="I47" s="415"/>
      <c r="J47" s="415"/>
      <c r="K47" s="541"/>
      <c r="L47" s="541"/>
      <c r="M47" s="109"/>
    </row>
    <row r="48" spans="1:13" x14ac:dyDescent="0.7">
      <c r="A48" s="96"/>
      <c r="B48" s="505" t="s">
        <v>6641</v>
      </c>
      <c r="C48" s="817">
        <v>0</v>
      </c>
      <c r="D48" s="817">
        <v>0</v>
      </c>
      <c r="E48" s="415">
        <f t="shared" si="0"/>
        <v>0</v>
      </c>
      <c r="F48" s="817">
        <v>0</v>
      </c>
      <c r="G48" s="415"/>
      <c r="H48" s="415"/>
      <c r="I48" s="415"/>
      <c r="J48" s="415"/>
      <c r="K48" s="541"/>
      <c r="L48" s="541"/>
      <c r="M48" s="109"/>
    </row>
    <row r="49" spans="1:13" x14ac:dyDescent="0.7">
      <c r="A49" s="96"/>
      <c r="B49" s="505" t="s">
        <v>6642</v>
      </c>
      <c r="C49" s="817">
        <v>7212</v>
      </c>
      <c r="D49" s="817">
        <v>2896</v>
      </c>
      <c r="E49" s="415">
        <f t="shared" si="0"/>
        <v>-4316</v>
      </c>
      <c r="F49" s="817">
        <v>10000</v>
      </c>
      <c r="G49" s="415"/>
      <c r="H49" s="415"/>
      <c r="I49" s="415"/>
      <c r="J49" s="415"/>
      <c r="K49" s="541"/>
      <c r="L49" s="541"/>
      <c r="M49" s="109"/>
    </row>
    <row r="50" spans="1:13" x14ac:dyDescent="0.7">
      <c r="A50" s="96" t="s">
        <v>6244</v>
      </c>
      <c r="B50" s="6" t="s">
        <v>3</v>
      </c>
      <c r="C50" s="415"/>
      <c r="D50" s="415"/>
      <c r="E50" s="415">
        <f t="shared" si="0"/>
        <v>0</v>
      </c>
      <c r="F50" s="415"/>
      <c r="G50" s="415"/>
      <c r="H50" s="415">
        <f t="shared" ref="H50:H175" si="1">G50-F50</f>
        <v>0</v>
      </c>
      <c r="I50" s="415">
        <f>SUMIF('[1]6.WS-Re-Exp'!$G$399:$G$841,'14.แผนรายรับรายจ่ายเงินบำรุง เด'!A50,'[1]6.WS-Re-Exp'!$C$399:$C$841)</f>
        <v>200</v>
      </c>
      <c r="J50" s="415">
        <f>SUM(I50)</f>
        <v>200</v>
      </c>
      <c r="K50" s="541">
        <f>SUM(I50)</f>
        <v>200</v>
      </c>
      <c r="L50" s="541"/>
      <c r="M50" s="109" t="s">
        <v>6337</v>
      </c>
    </row>
    <row r="51" spans="1:13" x14ac:dyDescent="0.7">
      <c r="A51" s="96"/>
      <c r="C51" s="415"/>
      <c r="D51" s="415"/>
      <c r="E51" s="415"/>
      <c r="F51" s="415"/>
      <c r="G51" s="415"/>
      <c r="H51" s="415"/>
      <c r="I51" s="415"/>
      <c r="J51" s="415"/>
      <c r="K51" s="541"/>
      <c r="L51" s="541"/>
      <c r="M51" s="109"/>
    </row>
    <row r="52" spans="1:13" x14ac:dyDescent="0.7">
      <c r="A52" s="96" t="s">
        <v>6245</v>
      </c>
      <c r="B52" s="6" t="s">
        <v>5</v>
      </c>
      <c r="C52" s="415"/>
      <c r="D52" s="415"/>
      <c r="E52" s="415">
        <f t="shared" si="0"/>
        <v>0</v>
      </c>
      <c r="F52" s="415"/>
      <c r="G52" s="415"/>
      <c r="H52" s="415">
        <f t="shared" si="1"/>
        <v>0</v>
      </c>
      <c r="I52" s="415">
        <f>SUMIF('[1]6.WS-Re-Exp'!$G$399:$G$841,'14.แผนรายรับรายจ่ายเงินบำรุง เด'!A52,'[1]6.WS-Re-Exp'!$C$399:$C$841)</f>
        <v>1550</v>
      </c>
      <c r="J52" s="415"/>
      <c r="K52" s="541">
        <f>SUM(I52+'[1]10.WS-แผนบริหารจัดการลูกหนี้'!B6-'[1]10.WS-แผนบริหารจัดการลูกหนี้'!H6)</f>
        <v>570</v>
      </c>
      <c r="L52" s="541"/>
      <c r="M52" s="109" t="s">
        <v>6337</v>
      </c>
    </row>
    <row r="53" spans="1:13" x14ac:dyDescent="0.7">
      <c r="A53" s="96" t="s">
        <v>6246</v>
      </c>
      <c r="B53" s="6" t="s">
        <v>664</v>
      </c>
      <c r="C53" s="415"/>
      <c r="D53" s="415"/>
      <c r="E53" s="415">
        <f t="shared" si="0"/>
        <v>0</v>
      </c>
      <c r="F53" s="415"/>
      <c r="G53" s="415"/>
      <c r="H53" s="415">
        <f t="shared" si="1"/>
        <v>0</v>
      </c>
      <c r="I53" s="415">
        <f>SUMIF('[1]6.WS-Re-Exp'!$G$399:$G$841,'14.แผนรายรับรายจ่ายเงินบำรุง เด'!A53,'[1]6.WS-Re-Exp'!$C$399:$C$841)</f>
        <v>3160</v>
      </c>
      <c r="J53" s="415"/>
      <c r="K53" s="541">
        <f>SUM(I53+'[1]10.WS-แผนบริหารจัดการลูกหนี้'!B7-'[1]10.WS-แผนบริหารจัดการลูกหนี้'!H7)</f>
        <v>0</v>
      </c>
      <c r="L53" s="541"/>
      <c r="M53" s="109" t="s">
        <v>6337</v>
      </c>
    </row>
    <row r="54" spans="1:13" x14ac:dyDescent="0.7">
      <c r="A54" s="96" t="s">
        <v>6247</v>
      </c>
      <c r="B54" s="6" t="s">
        <v>7</v>
      </c>
      <c r="C54" s="415"/>
      <c r="D54" s="415"/>
      <c r="E54" s="415">
        <f t="shared" si="0"/>
        <v>0</v>
      </c>
      <c r="F54" s="415"/>
      <c r="G54" s="415"/>
      <c r="H54" s="415">
        <f t="shared" si="1"/>
        <v>0</v>
      </c>
      <c r="I54" s="415">
        <f>SUMIF('[1]6.WS-Re-Exp'!$G$399:$G$841,'14.แผนรายรับรายจ่ายเงินบำรุง เด'!A54,'[1]6.WS-Re-Exp'!$C$399:$C$841)</f>
        <v>1450</v>
      </c>
      <c r="J54" s="415"/>
      <c r="K54" s="541">
        <f>SUM(I54+'[1]10.WS-แผนบริหารจัดการลูกหนี้'!B8-'[1]10.WS-แผนบริหารจัดการลูกหนี้'!H8)</f>
        <v>190</v>
      </c>
      <c r="L54" s="541"/>
      <c r="M54" s="109" t="s">
        <v>6337</v>
      </c>
    </row>
    <row r="55" spans="1:13" x14ac:dyDescent="0.7">
      <c r="A55" s="96" t="s">
        <v>6248</v>
      </c>
      <c r="B55" s="6" t="s">
        <v>9</v>
      </c>
      <c r="C55" s="415"/>
      <c r="D55" s="415"/>
      <c r="E55" s="415">
        <f t="shared" si="0"/>
        <v>0</v>
      </c>
      <c r="F55" s="415"/>
      <c r="G55" s="415"/>
      <c r="H55" s="415">
        <f t="shared" si="1"/>
        <v>0</v>
      </c>
      <c r="I55" s="415">
        <f>SUMIF('[1]6.WS-Re-Exp'!$G$399:$G$841,'14.แผนรายรับรายจ่ายเงินบำรุง เด'!A55,'[1]6.WS-Re-Exp'!$C$399:$C$841)</f>
        <v>14790</v>
      </c>
      <c r="J55" s="415"/>
      <c r="K55" s="541">
        <f>SUM(I55+'[1]10.WS-แผนบริหารจัดการลูกหนี้'!B9-'[1]10.WS-แผนบริหารจัดการลูกหนี้'!H9)</f>
        <v>3540</v>
      </c>
      <c r="L55" s="541"/>
      <c r="M55" s="109" t="s">
        <v>6337</v>
      </c>
    </row>
    <row r="56" spans="1:13" x14ac:dyDescent="0.7">
      <c r="A56" s="96" t="s">
        <v>6249</v>
      </c>
      <c r="B56" s="6" t="s">
        <v>11</v>
      </c>
      <c r="C56" s="415"/>
      <c r="D56" s="415"/>
      <c r="E56" s="415">
        <f t="shared" si="0"/>
        <v>0</v>
      </c>
      <c r="F56" s="415"/>
      <c r="G56" s="415"/>
      <c r="H56" s="415">
        <f t="shared" si="1"/>
        <v>0</v>
      </c>
      <c r="I56" s="415">
        <f>SUMIF('[1]6.WS-Re-Exp'!$G$399:$G$841,'14.แผนรายรับรายจ่ายเงินบำรุง เด'!A56,'[1]6.WS-Re-Exp'!$C$399:$C$841)</f>
        <v>16560</v>
      </c>
      <c r="J56" s="415"/>
      <c r="K56" s="541">
        <f>SUM(I56+'[1]10.WS-แผนบริหารจัดการลูกหนี้'!B10-'[1]10.WS-แผนบริหารจัดการลูกหนี้'!H10)</f>
        <v>2190</v>
      </c>
      <c r="L56" s="541"/>
      <c r="M56" s="109" t="s">
        <v>6337</v>
      </c>
    </row>
    <row r="57" spans="1:13" x14ac:dyDescent="0.7">
      <c r="A57" s="96" t="s">
        <v>6250</v>
      </c>
      <c r="B57" s="6" t="s">
        <v>13</v>
      </c>
      <c r="C57" s="415"/>
      <c r="D57" s="415"/>
      <c r="E57" s="415">
        <f t="shared" si="0"/>
        <v>0</v>
      </c>
      <c r="F57" s="415"/>
      <c r="G57" s="415"/>
      <c r="H57" s="415">
        <f t="shared" si="1"/>
        <v>0</v>
      </c>
      <c r="I57" s="415">
        <f>SUMIF('[1]6.WS-Re-Exp'!$G$399:$G$841,'14.แผนรายรับรายจ่ายเงินบำรุง เด'!A57,'[1]6.WS-Re-Exp'!$C$399:$C$841)</f>
        <v>17480</v>
      </c>
      <c r="J57" s="415"/>
      <c r="K57" s="541">
        <f>SUM(I57+'[1]10.WS-แผนบริหารจัดการลูกหนี้'!B11-'[1]10.WS-แผนบริหารจัดการลูกหนี้'!H11)</f>
        <v>7650</v>
      </c>
      <c r="L57" s="541"/>
      <c r="M57" s="109" t="s">
        <v>6337</v>
      </c>
    </row>
    <row r="58" spans="1:13" x14ac:dyDescent="0.7">
      <c r="A58" s="96" t="s">
        <v>6251</v>
      </c>
      <c r="B58" s="6" t="s">
        <v>17</v>
      </c>
      <c r="C58" s="415"/>
      <c r="D58" s="415"/>
      <c r="E58" s="415">
        <f t="shared" si="0"/>
        <v>0</v>
      </c>
      <c r="F58" s="415"/>
      <c r="G58" s="415"/>
      <c r="H58" s="415">
        <f t="shared" si="1"/>
        <v>0</v>
      </c>
      <c r="I58" s="415">
        <f>SUMIF('[1]6.WS-Re-Exp'!$G$399:$G$841,'14.แผนรายรับรายจ่ายเงินบำรุง เด'!A58,'[1]6.WS-Re-Exp'!$C$399:$C$841)</f>
        <v>32940</v>
      </c>
      <c r="J58" s="415"/>
      <c r="K58" s="541">
        <f>SUM(I58)</f>
        <v>32940</v>
      </c>
      <c r="L58" s="541"/>
      <c r="M58" s="109" t="s">
        <v>6337</v>
      </c>
    </row>
    <row r="59" spans="1:13" x14ac:dyDescent="0.7">
      <c r="A59" s="96"/>
      <c r="B59" s="6" t="s">
        <v>6643</v>
      </c>
      <c r="C59" s="415">
        <v>1826000</v>
      </c>
      <c r="D59" s="415">
        <f>1342887.88+590203.1</f>
        <v>1933090.98</v>
      </c>
      <c r="E59" s="415"/>
      <c r="F59" s="415">
        <f>2000000+550000</f>
        <v>2550000</v>
      </c>
      <c r="G59" s="415"/>
      <c r="H59" s="415"/>
      <c r="I59" s="415"/>
      <c r="J59" s="415"/>
      <c r="K59" s="541"/>
      <c r="L59" s="541"/>
      <c r="M59" s="109"/>
    </row>
    <row r="60" spans="1:13" x14ac:dyDescent="0.7">
      <c r="A60" s="96"/>
      <c r="B60" s="6" t="s">
        <v>6644</v>
      </c>
      <c r="C60" s="415">
        <v>0</v>
      </c>
      <c r="D60" s="415">
        <f>22092.5</f>
        <v>22092.5</v>
      </c>
      <c r="E60" s="415"/>
      <c r="F60" s="415">
        <v>25000</v>
      </c>
      <c r="G60" s="415"/>
      <c r="H60" s="415"/>
      <c r="I60" s="415"/>
      <c r="J60" s="415"/>
      <c r="K60" s="541"/>
      <c r="L60" s="541"/>
      <c r="M60" s="109"/>
    </row>
    <row r="61" spans="1:13" x14ac:dyDescent="0.7">
      <c r="A61" s="96"/>
      <c r="B61" s="6" t="s">
        <v>6645</v>
      </c>
      <c r="C61" s="415">
        <v>160477</v>
      </c>
      <c r="D61" s="415">
        <v>144487.37</v>
      </c>
      <c r="E61" s="415"/>
      <c r="F61" s="415">
        <f>170000+24000</f>
        <v>194000</v>
      </c>
      <c r="G61" s="415"/>
      <c r="H61" s="415"/>
      <c r="I61" s="415"/>
      <c r="J61" s="415"/>
      <c r="K61" s="541"/>
      <c r="L61" s="541"/>
      <c r="M61" s="109"/>
    </row>
    <row r="62" spans="1:13" x14ac:dyDescent="0.7">
      <c r="A62" s="96"/>
      <c r="B62" s="6" t="s">
        <v>6646</v>
      </c>
      <c r="C62" s="415">
        <v>10264</v>
      </c>
      <c r="D62" s="415">
        <v>14151</v>
      </c>
      <c r="E62" s="415"/>
      <c r="F62" s="415">
        <v>0</v>
      </c>
      <c r="G62" s="415"/>
      <c r="H62" s="415"/>
      <c r="I62" s="415"/>
      <c r="J62" s="415"/>
      <c r="K62" s="541"/>
      <c r="L62" s="541"/>
      <c r="M62" s="109"/>
    </row>
    <row r="63" spans="1:13" x14ac:dyDescent="0.7">
      <c r="A63" s="96"/>
      <c r="B63" s="6" t="s">
        <v>6647</v>
      </c>
      <c r="C63" s="415">
        <v>1060000</v>
      </c>
      <c r="D63" s="415">
        <f>299412.77+202000.4</f>
        <v>501413.17000000004</v>
      </c>
      <c r="E63" s="415"/>
      <c r="F63" s="415">
        <f>1557984</f>
        <v>1557984</v>
      </c>
      <c r="G63" s="415"/>
      <c r="H63" s="415"/>
      <c r="I63" s="415"/>
      <c r="J63" s="415"/>
      <c r="K63" s="541"/>
      <c r="L63" s="541"/>
      <c r="M63" s="109"/>
    </row>
    <row r="64" spans="1:13" x14ac:dyDescent="0.7">
      <c r="A64" s="96"/>
      <c r="B64" s="6" t="s">
        <v>6648</v>
      </c>
      <c r="C64" s="415">
        <v>218769</v>
      </c>
      <c r="D64" s="415">
        <f>74866+213929</f>
        <v>288795</v>
      </c>
      <c r="E64" s="415"/>
      <c r="F64" s="415">
        <f>110000+220000</f>
        <v>330000</v>
      </c>
      <c r="G64" s="415"/>
      <c r="H64" s="415"/>
      <c r="I64" s="415"/>
      <c r="J64" s="415"/>
      <c r="K64" s="541"/>
      <c r="L64" s="541"/>
      <c r="M64" s="109"/>
    </row>
    <row r="65" spans="1:13" x14ac:dyDescent="0.7">
      <c r="A65" s="96"/>
      <c r="B65" s="6" t="s">
        <v>6649</v>
      </c>
      <c r="C65" s="415">
        <v>0</v>
      </c>
      <c r="D65" s="415">
        <v>0</v>
      </c>
      <c r="E65" s="415"/>
      <c r="F65" s="415">
        <v>50000</v>
      </c>
      <c r="G65" s="415"/>
      <c r="H65" s="415"/>
      <c r="I65" s="415"/>
      <c r="J65" s="415"/>
      <c r="K65" s="541"/>
      <c r="L65" s="541"/>
      <c r="M65" s="109"/>
    </row>
    <row r="66" spans="1:13" x14ac:dyDescent="0.7">
      <c r="A66" s="96"/>
      <c r="B66" s="6" t="s">
        <v>6650</v>
      </c>
      <c r="C66" s="415">
        <v>140493.84</v>
      </c>
      <c r="D66" s="415">
        <f>3450+30504</f>
        <v>33954</v>
      </c>
      <c r="E66" s="415"/>
      <c r="F66" s="415">
        <f>1400+3500+28000</f>
        <v>32900</v>
      </c>
      <c r="G66" s="415"/>
      <c r="H66" s="415"/>
      <c r="I66" s="415"/>
      <c r="J66" s="415"/>
      <c r="K66" s="541"/>
      <c r="L66" s="541"/>
      <c r="M66" s="109"/>
    </row>
    <row r="67" spans="1:13" x14ac:dyDescent="0.7">
      <c r="A67" s="96"/>
      <c r="B67" s="6" t="s">
        <v>6651</v>
      </c>
      <c r="C67" s="415">
        <v>1924101.05</v>
      </c>
      <c r="D67" s="415">
        <v>1270818.8999999999</v>
      </c>
      <c r="E67" s="415"/>
      <c r="F67" s="415">
        <f>2200000+200000</f>
        <v>2400000</v>
      </c>
      <c r="G67" s="415"/>
      <c r="H67" s="415"/>
      <c r="I67" s="415"/>
      <c r="J67" s="415"/>
      <c r="K67" s="541"/>
      <c r="L67" s="541"/>
      <c r="M67" s="109"/>
    </row>
    <row r="68" spans="1:13" x14ac:dyDescent="0.7">
      <c r="A68" s="96"/>
      <c r="B68" s="6" t="s">
        <v>6652</v>
      </c>
      <c r="C68" s="415">
        <v>78200</v>
      </c>
      <c r="D68" s="415">
        <v>300000</v>
      </c>
      <c r="E68" s="415"/>
      <c r="F68" s="415">
        <v>300000</v>
      </c>
      <c r="G68" s="415"/>
      <c r="H68" s="415"/>
      <c r="I68" s="415"/>
      <c r="J68" s="415"/>
      <c r="K68" s="541"/>
      <c r="L68" s="541"/>
      <c r="M68" s="109"/>
    </row>
    <row r="69" spans="1:13" x14ac:dyDescent="0.7">
      <c r="A69" s="96"/>
      <c r="B69" s="6" t="s">
        <v>6653</v>
      </c>
      <c r="C69" s="415">
        <f>SUM(C70:C87)</f>
        <v>2291321</v>
      </c>
      <c r="D69" s="415">
        <f>SUM(D70:D87)</f>
        <v>4430610.8900000006</v>
      </c>
      <c r="E69" s="415"/>
      <c r="F69" s="415">
        <f>SUM(F70:F87)</f>
        <v>3360000</v>
      </c>
      <c r="G69" s="415"/>
      <c r="H69" s="415"/>
      <c r="I69" s="415"/>
      <c r="J69" s="415"/>
      <c r="K69" s="541"/>
      <c r="L69" s="541"/>
      <c r="M69" s="109"/>
    </row>
    <row r="70" spans="1:13" x14ac:dyDescent="0.7">
      <c r="A70" s="96"/>
      <c r="B70" s="6" t="s">
        <v>6654</v>
      </c>
      <c r="C70" s="415">
        <v>100000</v>
      </c>
      <c r="D70" s="415">
        <f>61446.9+45518.22</f>
        <v>106965.12</v>
      </c>
      <c r="E70" s="415"/>
      <c r="F70" s="415">
        <v>100000</v>
      </c>
      <c r="G70" s="415"/>
      <c r="H70" s="415"/>
      <c r="I70" s="415"/>
      <c r="J70" s="415"/>
      <c r="K70" s="541"/>
      <c r="L70" s="541"/>
      <c r="M70" s="109"/>
    </row>
    <row r="71" spans="1:13" x14ac:dyDescent="0.7">
      <c r="A71" s="96"/>
      <c r="B71" s="6" t="s">
        <v>6655</v>
      </c>
      <c r="C71" s="415">
        <v>0</v>
      </c>
      <c r="D71" s="415">
        <f>946219.26+2503384.4</f>
        <v>3449603.66</v>
      </c>
      <c r="E71" s="415"/>
      <c r="F71" s="415">
        <v>400000</v>
      </c>
      <c r="G71" s="415"/>
      <c r="H71" s="415"/>
      <c r="I71" s="415"/>
      <c r="J71" s="415"/>
      <c r="K71" s="541"/>
      <c r="L71" s="541"/>
      <c r="M71" s="109"/>
    </row>
    <row r="72" spans="1:13" x14ac:dyDescent="0.7">
      <c r="A72" s="96"/>
      <c r="B72" s="6" t="s">
        <v>6656</v>
      </c>
      <c r="C72" s="415">
        <v>250000</v>
      </c>
      <c r="D72" s="415">
        <v>257471.5</v>
      </c>
      <c r="E72" s="415"/>
      <c r="F72" s="415">
        <v>250000</v>
      </c>
      <c r="G72" s="415"/>
      <c r="H72" s="415"/>
      <c r="I72" s="415"/>
      <c r="J72" s="415"/>
      <c r="K72" s="541"/>
      <c r="L72" s="541"/>
      <c r="M72" s="109"/>
    </row>
    <row r="73" spans="1:13" x14ac:dyDescent="0.7">
      <c r="A73" s="96"/>
      <c r="B73" s="6" t="s">
        <v>6657</v>
      </c>
      <c r="C73" s="415">
        <v>16000</v>
      </c>
      <c r="D73" s="415">
        <f>77107.5+270</f>
        <v>77377.5</v>
      </c>
      <c r="E73" s="415"/>
      <c r="F73" s="415">
        <v>100000</v>
      </c>
      <c r="G73" s="415"/>
      <c r="H73" s="415"/>
      <c r="I73" s="415"/>
      <c r="J73" s="415"/>
      <c r="K73" s="541"/>
      <c r="L73" s="541"/>
      <c r="M73" s="109"/>
    </row>
    <row r="74" spans="1:13" x14ac:dyDescent="0.7">
      <c r="A74" s="96"/>
      <c r="B74" s="6" t="s">
        <v>6658</v>
      </c>
      <c r="C74" s="415">
        <v>0</v>
      </c>
      <c r="D74" s="415">
        <v>0</v>
      </c>
      <c r="E74" s="415"/>
      <c r="F74" s="415">
        <v>0</v>
      </c>
      <c r="G74" s="415"/>
      <c r="H74" s="415"/>
      <c r="I74" s="415"/>
      <c r="J74" s="415"/>
      <c r="K74" s="541"/>
      <c r="L74" s="541"/>
      <c r="M74" s="109"/>
    </row>
    <row r="75" spans="1:13" x14ac:dyDescent="0.7">
      <c r="A75" s="96"/>
      <c r="B75" s="6" t="s">
        <v>6659</v>
      </c>
      <c r="C75" s="415">
        <v>150000</v>
      </c>
      <c r="D75" s="415">
        <v>90950</v>
      </c>
      <c r="E75" s="415"/>
      <c r="F75" s="415">
        <v>120000</v>
      </c>
      <c r="G75" s="415"/>
      <c r="H75" s="415"/>
      <c r="I75" s="415"/>
      <c r="J75" s="415"/>
      <c r="K75" s="541"/>
      <c r="L75" s="541"/>
      <c r="M75" s="109"/>
    </row>
    <row r="76" spans="1:13" x14ac:dyDescent="0.7">
      <c r="A76" s="96"/>
      <c r="B76" s="6" t="s">
        <v>6660</v>
      </c>
      <c r="C76" s="415">
        <v>0</v>
      </c>
      <c r="D76" s="415">
        <v>29.5</v>
      </c>
      <c r="E76" s="415"/>
      <c r="F76" s="415">
        <v>0</v>
      </c>
      <c r="G76" s="415"/>
      <c r="H76" s="415"/>
      <c r="I76" s="415"/>
      <c r="J76" s="415"/>
      <c r="K76" s="541"/>
      <c r="L76" s="541"/>
      <c r="M76" s="109"/>
    </row>
    <row r="77" spans="1:13" x14ac:dyDescent="0.7">
      <c r="A77" s="96"/>
      <c r="B77" s="6" t="s">
        <v>6661</v>
      </c>
      <c r="C77" s="415">
        <v>0</v>
      </c>
      <c r="D77" s="415">
        <v>0</v>
      </c>
      <c r="E77" s="415"/>
      <c r="F77" s="415">
        <v>0</v>
      </c>
      <c r="G77" s="415"/>
      <c r="H77" s="415"/>
      <c r="I77" s="415"/>
      <c r="J77" s="415"/>
      <c r="K77" s="541"/>
      <c r="L77" s="541"/>
      <c r="M77" s="109"/>
    </row>
    <row r="78" spans="1:13" x14ac:dyDescent="0.7">
      <c r="A78" s="96"/>
      <c r="B78" s="6" t="s">
        <v>6662</v>
      </c>
      <c r="C78" s="415">
        <v>0</v>
      </c>
      <c r="D78" s="415">
        <v>0</v>
      </c>
      <c r="E78" s="415"/>
      <c r="F78" s="415">
        <v>0</v>
      </c>
      <c r="G78" s="415"/>
      <c r="H78" s="415"/>
      <c r="I78" s="415"/>
      <c r="J78" s="415"/>
      <c r="K78" s="541"/>
      <c r="L78" s="541"/>
      <c r="M78" s="109"/>
    </row>
    <row r="79" spans="1:13" x14ac:dyDescent="0.7">
      <c r="A79" s="96"/>
      <c r="B79" s="6" t="s">
        <v>6663</v>
      </c>
      <c r="C79" s="415">
        <v>0</v>
      </c>
      <c r="D79" s="415">
        <v>0</v>
      </c>
      <c r="E79" s="415"/>
      <c r="F79" s="415">
        <v>0</v>
      </c>
      <c r="G79" s="415"/>
      <c r="H79" s="415"/>
      <c r="I79" s="415"/>
      <c r="J79" s="415"/>
      <c r="K79" s="541"/>
      <c r="L79" s="541"/>
      <c r="M79" s="109"/>
    </row>
    <row r="80" spans="1:13" x14ac:dyDescent="0.7">
      <c r="A80" s="96"/>
      <c r="B80" s="6" t="s">
        <v>6664</v>
      </c>
      <c r="C80" s="415">
        <v>0</v>
      </c>
      <c r="D80" s="415">
        <v>200000</v>
      </c>
      <c r="E80" s="415"/>
      <c r="F80" s="415">
        <v>200000</v>
      </c>
      <c r="G80" s="415"/>
      <c r="H80" s="415"/>
      <c r="I80" s="415"/>
      <c r="J80" s="415"/>
      <c r="K80" s="541"/>
      <c r="L80" s="541"/>
      <c r="M80" s="109"/>
    </row>
    <row r="81" spans="1:13" x14ac:dyDescent="0.7">
      <c r="A81" s="96"/>
      <c r="B81" s="6" t="s">
        <v>6665</v>
      </c>
      <c r="C81" s="415">
        <v>0</v>
      </c>
      <c r="D81" s="415">
        <v>0</v>
      </c>
      <c r="E81" s="415"/>
      <c r="F81" s="415">
        <v>0</v>
      </c>
      <c r="G81" s="415"/>
      <c r="H81" s="415"/>
      <c r="I81" s="415"/>
      <c r="J81" s="415"/>
      <c r="K81" s="541"/>
      <c r="L81" s="541"/>
      <c r="M81" s="109"/>
    </row>
    <row r="82" spans="1:13" x14ac:dyDescent="0.7">
      <c r="A82" s="96"/>
      <c r="B82" s="6" t="s">
        <v>6666</v>
      </c>
      <c r="C82" s="415">
        <v>118921</v>
      </c>
      <c r="D82" s="415">
        <v>248213.61</v>
      </c>
      <c r="E82" s="415"/>
      <c r="F82" s="415">
        <v>250000</v>
      </c>
      <c r="G82" s="415"/>
      <c r="H82" s="415"/>
      <c r="I82" s="415"/>
      <c r="J82" s="415"/>
      <c r="K82" s="541"/>
      <c r="L82" s="541"/>
      <c r="M82" s="109"/>
    </row>
    <row r="83" spans="1:13" x14ac:dyDescent="0.7">
      <c r="A83" s="96"/>
      <c r="B83" s="6" t="s">
        <v>6667</v>
      </c>
      <c r="C83" s="415">
        <v>46800</v>
      </c>
      <c r="D83" s="415">
        <v>0</v>
      </c>
      <c r="E83" s="415"/>
      <c r="F83" s="415">
        <v>0</v>
      </c>
      <c r="G83" s="415"/>
      <c r="H83" s="415"/>
      <c r="I83" s="415"/>
      <c r="J83" s="415"/>
      <c r="K83" s="541"/>
      <c r="L83" s="541"/>
      <c r="M83" s="109"/>
    </row>
    <row r="84" spans="1:13" x14ac:dyDescent="0.7">
      <c r="A84" s="96"/>
      <c r="B84" s="6" t="s">
        <v>6668</v>
      </c>
      <c r="C84" s="415">
        <v>1609600</v>
      </c>
      <c r="D84" s="415">
        <v>0</v>
      </c>
      <c r="E84" s="415"/>
      <c r="F84" s="415">
        <f>914000+1026000</f>
        <v>1940000</v>
      </c>
      <c r="G84" s="415"/>
      <c r="H84" s="415"/>
      <c r="I84" s="415"/>
      <c r="J84" s="415"/>
      <c r="K84" s="541"/>
      <c r="L84" s="541"/>
      <c r="M84" s="109"/>
    </row>
    <row r="85" spans="1:13" x14ac:dyDescent="0.7">
      <c r="A85" s="96"/>
      <c r="B85" s="6" t="s">
        <v>6669</v>
      </c>
      <c r="C85" s="415">
        <v>0</v>
      </c>
      <c r="D85" s="415">
        <v>0</v>
      </c>
      <c r="E85" s="415"/>
      <c r="F85" s="415">
        <v>0</v>
      </c>
      <c r="G85" s="415"/>
      <c r="H85" s="415"/>
      <c r="I85" s="415"/>
      <c r="J85" s="415"/>
      <c r="K85" s="541"/>
      <c r="L85" s="541"/>
      <c r="M85" s="109"/>
    </row>
    <row r="86" spans="1:13" x14ac:dyDescent="0.7">
      <c r="A86" s="96"/>
      <c r="B86" s="6" t="s">
        <v>6670</v>
      </c>
      <c r="C86" s="415">
        <v>0</v>
      </c>
      <c r="D86" s="415">
        <v>0</v>
      </c>
      <c r="E86" s="415"/>
      <c r="F86" s="415">
        <v>0</v>
      </c>
      <c r="G86" s="415"/>
      <c r="H86" s="415"/>
      <c r="I86" s="415"/>
      <c r="J86" s="415"/>
      <c r="K86" s="541"/>
      <c r="L86" s="541"/>
      <c r="M86" s="109"/>
    </row>
    <row r="87" spans="1:13" x14ac:dyDescent="0.7">
      <c r="A87" s="96"/>
      <c r="B87" s="6" t="s">
        <v>6671</v>
      </c>
      <c r="C87" s="415">
        <v>0</v>
      </c>
      <c r="D87" s="415">
        <v>0</v>
      </c>
      <c r="E87" s="415"/>
      <c r="F87" s="415">
        <v>0</v>
      </c>
      <c r="G87" s="415"/>
      <c r="H87" s="415"/>
      <c r="I87" s="415"/>
      <c r="J87" s="415"/>
      <c r="K87" s="541"/>
      <c r="L87" s="541"/>
      <c r="M87" s="109"/>
    </row>
    <row r="88" spans="1:13" x14ac:dyDescent="0.7">
      <c r="A88" s="96" t="s">
        <v>6252</v>
      </c>
      <c r="B88" s="6" t="s">
        <v>644</v>
      </c>
      <c r="C88" s="415"/>
      <c r="D88" s="415"/>
      <c r="E88" s="415">
        <f t="shared" ref="E88:E213" si="2">D88-C88</f>
        <v>0</v>
      </c>
      <c r="F88" s="415"/>
      <c r="G88" s="415"/>
      <c r="H88" s="415">
        <f t="shared" si="1"/>
        <v>0</v>
      </c>
      <c r="I88" s="415">
        <f>SUMIF('[1]6.WS-Re-Exp'!$G$399:$G$841,'14.แผนรายรับรายจ่ายเงินบำรุง เด'!A88,'[1]6.WS-Re-Exp'!$C$399:$C$841)</f>
        <v>3020</v>
      </c>
      <c r="J88" s="415">
        <f>SUM('[1]11.WS-แผนลงทุน'!G6+'[1]12.WS-แผนสนับสนุน รพ.สต.'!L16)</f>
        <v>2158887.96</v>
      </c>
      <c r="K88" s="541">
        <f>SUM(I88)</f>
        <v>3020</v>
      </c>
      <c r="L88" s="541"/>
    </row>
    <row r="89" spans="1:13" x14ac:dyDescent="0.7">
      <c r="A89" s="96"/>
      <c r="B89" s="505" t="s">
        <v>6672</v>
      </c>
      <c r="C89" s="817">
        <f>1447212.68+1120000</f>
        <v>2567212.6799999997</v>
      </c>
      <c r="D89" s="817">
        <v>2567212.6800000002</v>
      </c>
      <c r="E89" s="415">
        <f t="shared" si="2"/>
        <v>0</v>
      </c>
      <c r="F89" s="817">
        <f>1867724.12+412800</f>
        <v>2280524.12</v>
      </c>
      <c r="G89" s="415">
        <v>2280524.12</v>
      </c>
      <c r="H89" s="415"/>
      <c r="I89" s="415"/>
      <c r="J89" s="415"/>
      <c r="K89" s="541"/>
      <c r="L89" s="541"/>
      <c r="M89" s="109" t="s">
        <v>6604</v>
      </c>
    </row>
    <row r="90" spans="1:13" x14ac:dyDescent="0.7">
      <c r="A90" s="96"/>
      <c r="B90" s="505" t="s">
        <v>6673</v>
      </c>
      <c r="C90" s="817">
        <v>640600</v>
      </c>
      <c r="D90" s="817">
        <v>0</v>
      </c>
      <c r="E90" s="415">
        <f t="shared" si="2"/>
        <v>-640600</v>
      </c>
      <c r="F90" s="817">
        <f>270000+498000</f>
        <v>768000</v>
      </c>
      <c r="G90" s="415"/>
      <c r="H90" s="415"/>
      <c r="I90" s="415"/>
      <c r="J90" s="415"/>
      <c r="K90" s="541"/>
      <c r="L90" s="541"/>
      <c r="M90" s="109"/>
    </row>
    <row r="91" spans="1:13" x14ac:dyDescent="0.7">
      <c r="A91" s="96"/>
      <c r="B91" s="505" t="s">
        <v>6674</v>
      </c>
      <c r="C91" s="817"/>
      <c r="D91" s="817"/>
      <c r="E91" s="415"/>
      <c r="F91" s="817"/>
      <c r="G91" s="415"/>
      <c r="H91" s="415"/>
      <c r="I91" s="415"/>
      <c r="J91" s="415"/>
      <c r="K91" s="541"/>
      <c r="L91" s="541"/>
      <c r="M91" s="109"/>
    </row>
    <row r="92" spans="1:13" x14ac:dyDescent="0.7">
      <c r="A92" s="96"/>
      <c r="B92" s="6" t="s">
        <v>6675</v>
      </c>
      <c r="C92" s="415"/>
      <c r="D92" s="415"/>
      <c r="E92" s="415"/>
      <c r="F92" s="415"/>
      <c r="G92" s="415"/>
      <c r="H92" s="415"/>
      <c r="I92" s="415"/>
      <c r="J92" s="415"/>
      <c r="K92" s="541"/>
      <c r="L92" s="541"/>
    </row>
    <row r="93" spans="1:13" x14ac:dyDescent="0.7">
      <c r="A93" s="96"/>
      <c r="B93" s="6" t="s">
        <v>6676</v>
      </c>
      <c r="C93" s="415"/>
      <c r="D93" s="415"/>
      <c r="E93" s="415"/>
      <c r="F93" s="415"/>
      <c r="G93" s="415"/>
      <c r="H93" s="415"/>
      <c r="I93" s="415"/>
      <c r="J93" s="415"/>
      <c r="K93" s="541"/>
      <c r="L93" s="541"/>
    </row>
    <row r="94" spans="1:13" x14ac:dyDescent="0.7">
      <c r="A94" s="99"/>
      <c r="B94" s="168" t="s">
        <v>6338</v>
      </c>
      <c r="C94" s="818">
        <f t="shared" ref="C94:I94" si="3">SUM(C9:C88)</f>
        <v>96746928.170000017</v>
      </c>
      <c r="D94" s="818">
        <f t="shared" si="3"/>
        <v>87676089.37000002</v>
      </c>
      <c r="E94" s="818">
        <f t="shared" si="3"/>
        <v>-12439916.609999998</v>
      </c>
      <c r="F94" s="818">
        <f t="shared" si="3"/>
        <v>90140504.459999979</v>
      </c>
      <c r="G94" s="818">
        <f t="shared" si="3"/>
        <v>44205603.650000006</v>
      </c>
      <c r="H94" s="818">
        <f t="shared" si="3"/>
        <v>0</v>
      </c>
      <c r="I94" s="818">
        <f t="shared" si="3"/>
        <v>110460</v>
      </c>
      <c r="J94" s="818"/>
      <c r="K94" s="818">
        <f>SUM(K9:K88)</f>
        <v>55050</v>
      </c>
      <c r="L94" s="818"/>
    </row>
    <row r="95" spans="1:13" x14ac:dyDescent="0.7">
      <c r="A95" s="96" t="s">
        <v>6339</v>
      </c>
      <c r="B95" s="6" t="s">
        <v>6340</v>
      </c>
      <c r="C95" s="819"/>
      <c r="D95" s="819"/>
      <c r="E95" s="819">
        <f t="shared" si="2"/>
        <v>0</v>
      </c>
      <c r="F95" s="819"/>
      <c r="G95" s="819"/>
      <c r="H95" s="819">
        <f t="shared" si="1"/>
        <v>0</v>
      </c>
      <c r="I95" s="819"/>
      <c r="J95" s="819">
        <f>SUM('[1]7.WS-ยา วชภฯ'!P6-'[1]6.WS-Re-Exp'!C301)</f>
        <v>400</v>
      </c>
      <c r="K95" s="166">
        <f>SUM('[1]9.WS-แผนเจ้าหนี้การค้า'!I5)</f>
        <v>0</v>
      </c>
      <c r="L95" s="166"/>
      <c r="M95" s="6" t="s">
        <v>6341</v>
      </c>
    </row>
    <row r="96" spans="1:13" x14ac:dyDescent="0.7">
      <c r="A96" s="96" t="s">
        <v>6342</v>
      </c>
      <c r="B96" s="6" t="s">
        <v>6343</v>
      </c>
      <c r="C96" s="819"/>
      <c r="D96" s="819"/>
      <c r="E96" s="819">
        <f t="shared" si="2"/>
        <v>0</v>
      </c>
      <c r="F96" s="819"/>
      <c r="G96" s="819"/>
      <c r="H96" s="819">
        <f t="shared" si="1"/>
        <v>0</v>
      </c>
      <c r="I96" s="819"/>
      <c r="J96" s="819"/>
      <c r="K96" s="166">
        <f>SUM('[1]9.WS-แผนเจ้าหนี้การค้า'!I6)</f>
        <v>0</v>
      </c>
      <c r="L96" s="166"/>
      <c r="M96" s="6" t="s">
        <v>6341</v>
      </c>
    </row>
    <row r="97" spans="1:13" x14ac:dyDescent="0.7">
      <c r="A97" s="96" t="s">
        <v>6344</v>
      </c>
      <c r="B97" s="6" t="s">
        <v>6345</v>
      </c>
      <c r="C97" s="819"/>
      <c r="D97" s="819"/>
      <c r="E97" s="819">
        <f t="shared" si="2"/>
        <v>0</v>
      </c>
      <c r="F97" s="819"/>
      <c r="G97" s="819"/>
      <c r="H97" s="819">
        <f t="shared" si="1"/>
        <v>0</v>
      </c>
      <c r="I97" s="819"/>
      <c r="J97" s="819"/>
      <c r="K97" s="166">
        <f>SUM('[1]9.WS-แผนเจ้าหนี้การค้า'!I7)</f>
        <v>0</v>
      </c>
      <c r="L97" s="166"/>
      <c r="M97" s="6" t="s">
        <v>6341</v>
      </c>
    </row>
    <row r="98" spans="1:13" x14ac:dyDescent="0.7">
      <c r="A98" s="96" t="s">
        <v>6346</v>
      </c>
      <c r="B98" s="6" t="s">
        <v>6677</v>
      </c>
      <c r="C98" s="819"/>
      <c r="D98" s="819"/>
      <c r="E98" s="819">
        <f t="shared" si="2"/>
        <v>0</v>
      </c>
      <c r="F98" s="819"/>
      <c r="G98" s="819"/>
      <c r="H98" s="819">
        <f t="shared" si="1"/>
        <v>0</v>
      </c>
      <c r="I98" s="819"/>
      <c r="J98" s="819"/>
      <c r="K98" s="166">
        <f>SUM('[1]9.WS-แผนเจ้าหนี้การค้า'!I8)</f>
        <v>0</v>
      </c>
      <c r="L98" s="166"/>
      <c r="M98" s="6" t="s">
        <v>6341</v>
      </c>
    </row>
    <row r="99" spans="1:13" x14ac:dyDescent="0.7">
      <c r="A99" s="96" t="s">
        <v>6347</v>
      </c>
      <c r="B99" s="6" t="s">
        <v>6348</v>
      </c>
      <c r="C99" s="819"/>
      <c r="D99" s="819"/>
      <c r="E99" s="819">
        <f t="shared" si="2"/>
        <v>0</v>
      </c>
      <c r="F99" s="819"/>
      <c r="G99" s="819"/>
      <c r="H99" s="819">
        <f t="shared" si="1"/>
        <v>0</v>
      </c>
      <c r="I99" s="819"/>
      <c r="J99" s="819"/>
      <c r="K99" s="166">
        <f>SUM('[1]9.WS-แผนเจ้าหนี้การค้า'!I9)</f>
        <v>0</v>
      </c>
      <c r="L99" s="166"/>
      <c r="M99" s="6" t="s">
        <v>6341</v>
      </c>
    </row>
    <row r="100" spans="1:13" x14ac:dyDescent="0.7">
      <c r="A100" s="96" t="s">
        <v>6349</v>
      </c>
      <c r="B100" s="6" t="s">
        <v>6350</v>
      </c>
      <c r="C100" s="819"/>
      <c r="D100" s="819"/>
      <c r="E100" s="819">
        <f t="shared" si="2"/>
        <v>0</v>
      </c>
      <c r="F100" s="819"/>
      <c r="G100" s="819"/>
      <c r="H100" s="819">
        <f t="shared" si="1"/>
        <v>0</v>
      </c>
      <c r="I100" s="819"/>
      <c r="J100" s="819"/>
      <c r="K100" s="166">
        <f>SUM('[1]9.WS-แผนเจ้าหนี้การค้า'!I10)</f>
        <v>0</v>
      </c>
      <c r="L100" s="166"/>
      <c r="M100" s="6" t="s">
        <v>6341</v>
      </c>
    </row>
    <row r="101" spans="1:13" x14ac:dyDescent="0.7">
      <c r="A101" s="96" t="s">
        <v>6253</v>
      </c>
      <c r="B101" s="87" t="s">
        <v>658</v>
      </c>
      <c r="C101" s="415"/>
      <c r="D101" s="415"/>
      <c r="E101" s="415">
        <f t="shared" si="2"/>
        <v>0</v>
      </c>
      <c r="F101" s="415"/>
      <c r="G101" s="415"/>
      <c r="H101" s="415">
        <f t="shared" si="1"/>
        <v>0</v>
      </c>
      <c r="I101" s="415">
        <f>SUMIF('[1]6.WS-Re-Exp'!$G$399:$G$841,'14.แผนรายรับรายจ่ายเงินบำรุง เด'!A101,'[1]6.WS-Re-Exp'!$C$399:$C$841)</f>
        <v>11070</v>
      </c>
      <c r="J101" s="415"/>
      <c r="K101" s="541">
        <f>SUM(I101+'[1]9.WS-แผนเจ้าหนี้การค้า'!C12-'[1]9.WS-แผนเจ้าหนี้การค้า'!K12)</f>
        <v>11070</v>
      </c>
      <c r="L101" s="541"/>
      <c r="M101" s="109" t="s">
        <v>6351</v>
      </c>
    </row>
    <row r="102" spans="1:13" x14ac:dyDescent="0.7">
      <c r="A102" s="96"/>
      <c r="B102" s="87" t="s">
        <v>6678</v>
      </c>
      <c r="C102" s="415">
        <v>1167940.8</v>
      </c>
      <c r="D102" s="415">
        <f>1286290+634852</f>
        <v>1921142</v>
      </c>
      <c r="E102" s="415"/>
      <c r="F102" s="415">
        <v>2336100</v>
      </c>
      <c r="G102" s="415"/>
      <c r="H102" s="415"/>
      <c r="I102" s="415"/>
      <c r="J102" s="415"/>
      <c r="K102" s="541"/>
      <c r="L102" s="541"/>
      <c r="M102" s="109"/>
    </row>
    <row r="103" spans="1:13" x14ac:dyDescent="0.7">
      <c r="A103" s="96"/>
      <c r="B103" s="87" t="s">
        <v>6679</v>
      </c>
      <c r="C103" s="415">
        <v>0</v>
      </c>
      <c r="D103" s="415">
        <v>0</v>
      </c>
      <c r="E103" s="415"/>
      <c r="F103" s="415">
        <v>0</v>
      </c>
      <c r="G103" s="415"/>
      <c r="H103" s="415"/>
      <c r="I103" s="415"/>
      <c r="J103" s="415"/>
      <c r="K103" s="541"/>
      <c r="L103" s="541"/>
      <c r="M103" s="109"/>
    </row>
    <row r="104" spans="1:13" x14ac:dyDescent="0.7">
      <c r="A104" s="96"/>
      <c r="B104" s="87" t="s">
        <v>6680</v>
      </c>
      <c r="C104" s="415">
        <v>5561870.4000000004</v>
      </c>
      <c r="D104" s="415">
        <f>3926568+495561</f>
        <v>4422129</v>
      </c>
      <c r="E104" s="415"/>
      <c r="F104" s="415">
        <v>3168360</v>
      </c>
      <c r="G104" s="415"/>
      <c r="H104" s="415"/>
      <c r="I104" s="415"/>
      <c r="J104" s="415"/>
      <c r="K104" s="541"/>
      <c r="L104" s="541"/>
      <c r="M104" s="109"/>
    </row>
    <row r="105" spans="1:13" x14ac:dyDescent="0.7">
      <c r="A105" s="96" t="s">
        <v>6254</v>
      </c>
      <c r="B105" s="6" t="s">
        <v>30</v>
      </c>
      <c r="C105" s="415"/>
      <c r="D105" s="415"/>
      <c r="E105" s="415">
        <f t="shared" si="2"/>
        <v>0</v>
      </c>
      <c r="F105" s="415"/>
      <c r="G105" s="415"/>
      <c r="H105" s="415">
        <f t="shared" si="1"/>
        <v>0</v>
      </c>
      <c r="I105" s="415">
        <f>SUMIF('[1]6.WS-Re-Exp'!$G$399:$G$841,'14.แผนรายรับรายจ่ายเงินบำรุง เด'!A105,'[1]6.WS-Re-Exp'!$C$399:$C$841)</f>
        <v>50910</v>
      </c>
      <c r="J105" s="415"/>
      <c r="K105" s="541">
        <f>SUM(I105+'[1]9.WS-แผนเจ้าหนี้การค้า'!C13-'[1]9.WS-แผนเจ้าหนี้การค้า'!K13)</f>
        <v>50910</v>
      </c>
      <c r="L105" s="541"/>
      <c r="M105" s="109" t="s">
        <v>6351</v>
      </c>
    </row>
    <row r="106" spans="1:13" x14ac:dyDescent="0.7">
      <c r="A106" s="96"/>
      <c r="B106" s="6" t="s">
        <v>6681</v>
      </c>
      <c r="C106" s="415">
        <v>360000</v>
      </c>
      <c r="D106" s="415">
        <v>350000</v>
      </c>
      <c r="E106" s="415"/>
      <c r="F106" s="415">
        <v>360000</v>
      </c>
      <c r="G106" s="415"/>
      <c r="H106" s="415"/>
      <c r="I106" s="415"/>
      <c r="J106" s="415"/>
      <c r="K106" s="541"/>
      <c r="L106" s="541"/>
      <c r="M106" s="109"/>
    </row>
    <row r="107" spans="1:13" x14ac:dyDescent="0.7">
      <c r="A107" s="96"/>
      <c r="B107" s="6" t="s">
        <v>6682</v>
      </c>
      <c r="C107" s="415">
        <v>240000</v>
      </c>
      <c r="D107" s="415">
        <v>200000</v>
      </c>
      <c r="E107" s="415"/>
      <c r="F107" s="415">
        <v>0</v>
      </c>
      <c r="G107" s="415"/>
      <c r="H107" s="415"/>
      <c r="I107" s="415"/>
      <c r="J107" s="415"/>
      <c r="K107" s="541"/>
      <c r="L107" s="541"/>
      <c r="M107" s="109"/>
    </row>
    <row r="108" spans="1:13" x14ac:dyDescent="0.7">
      <c r="A108" s="96"/>
      <c r="B108" s="6" t="s">
        <v>6683</v>
      </c>
      <c r="C108" s="415">
        <v>60000</v>
      </c>
      <c r="D108" s="415">
        <v>60000</v>
      </c>
      <c r="E108" s="415"/>
      <c r="F108" s="415">
        <v>120000</v>
      </c>
      <c r="G108" s="415"/>
      <c r="H108" s="415"/>
      <c r="I108" s="415"/>
      <c r="J108" s="415"/>
      <c r="K108" s="541"/>
      <c r="L108" s="541"/>
      <c r="M108" s="109"/>
    </row>
    <row r="109" spans="1:13" x14ac:dyDescent="0.7">
      <c r="A109" s="96"/>
      <c r="B109" s="6" t="s">
        <v>6684</v>
      </c>
      <c r="C109" s="415">
        <v>2360400</v>
      </c>
      <c r="D109" s="415">
        <f>812600+582500+1261300</f>
        <v>2656400</v>
      </c>
      <c r="E109" s="415"/>
      <c r="F109" s="415">
        <f>914000+1982800</f>
        <v>2896800</v>
      </c>
      <c r="G109" s="415"/>
      <c r="H109" s="415"/>
      <c r="I109" s="415"/>
      <c r="J109" s="415"/>
      <c r="K109" s="541"/>
      <c r="L109" s="541"/>
      <c r="M109" s="109"/>
    </row>
    <row r="110" spans="1:13" x14ac:dyDescent="0.7">
      <c r="A110" s="96"/>
      <c r="B110" s="6" t="s">
        <v>6685</v>
      </c>
      <c r="C110" s="415">
        <v>888000</v>
      </c>
      <c r="D110" s="415">
        <v>1150176</v>
      </c>
      <c r="E110" s="415"/>
      <c r="F110" s="415">
        <v>1026000</v>
      </c>
      <c r="G110" s="415"/>
      <c r="H110" s="415"/>
      <c r="I110" s="415"/>
      <c r="J110" s="415"/>
      <c r="K110" s="541"/>
      <c r="L110" s="541"/>
      <c r="M110" s="109"/>
    </row>
    <row r="111" spans="1:13" x14ac:dyDescent="0.7">
      <c r="A111" s="96"/>
      <c r="B111" s="6" t="s">
        <v>6686</v>
      </c>
      <c r="C111" s="415">
        <v>459600</v>
      </c>
      <c r="D111" s="415">
        <v>509760</v>
      </c>
      <c r="E111" s="415"/>
      <c r="F111" s="415">
        <v>500400</v>
      </c>
      <c r="G111" s="415"/>
      <c r="H111" s="415"/>
      <c r="I111" s="415"/>
      <c r="J111" s="415"/>
      <c r="K111" s="541"/>
      <c r="L111" s="541"/>
      <c r="M111" s="109"/>
    </row>
    <row r="112" spans="1:13" x14ac:dyDescent="0.7">
      <c r="A112" s="96"/>
      <c r="B112" s="6" t="s">
        <v>6687</v>
      </c>
      <c r="C112" s="415">
        <v>5144000</v>
      </c>
      <c r="D112" s="415">
        <v>4683581.5</v>
      </c>
      <c r="E112" s="415"/>
      <c r="F112" s="415">
        <v>4800000</v>
      </c>
      <c r="G112" s="415"/>
      <c r="H112" s="415"/>
      <c r="I112" s="415"/>
      <c r="J112" s="415"/>
      <c r="K112" s="541"/>
      <c r="L112" s="541"/>
      <c r="M112" s="109"/>
    </row>
    <row r="113" spans="1:13" x14ac:dyDescent="0.7">
      <c r="A113" s="96"/>
      <c r="B113" s="6" t="s">
        <v>6688</v>
      </c>
      <c r="C113" s="415">
        <v>100000</v>
      </c>
      <c r="D113" s="415">
        <v>29160</v>
      </c>
      <c r="E113" s="415"/>
      <c r="F113" s="415">
        <v>60000</v>
      </c>
      <c r="G113" s="415"/>
      <c r="H113" s="415"/>
      <c r="I113" s="415"/>
      <c r="J113" s="415"/>
      <c r="K113" s="541"/>
      <c r="L113" s="541"/>
      <c r="M113" s="109"/>
    </row>
    <row r="114" spans="1:13" x14ac:dyDescent="0.7">
      <c r="A114" s="96"/>
      <c r="B114" s="6" t="s">
        <v>6689</v>
      </c>
      <c r="C114" s="415">
        <v>0</v>
      </c>
      <c r="D114" s="415">
        <v>0</v>
      </c>
      <c r="E114" s="415"/>
      <c r="F114" s="415">
        <v>0</v>
      </c>
      <c r="G114" s="415"/>
      <c r="H114" s="415"/>
      <c r="I114" s="415"/>
      <c r="J114" s="415"/>
      <c r="K114" s="541"/>
      <c r="L114" s="541"/>
      <c r="M114" s="109"/>
    </row>
    <row r="115" spans="1:13" x14ac:dyDescent="0.7">
      <c r="A115" s="96"/>
      <c r="B115" s="6" t="s">
        <v>6690</v>
      </c>
      <c r="C115" s="415">
        <v>0</v>
      </c>
      <c r="D115" s="415">
        <v>0</v>
      </c>
      <c r="E115" s="415"/>
      <c r="F115" s="415">
        <v>0</v>
      </c>
      <c r="G115" s="415"/>
      <c r="H115" s="415"/>
      <c r="I115" s="415"/>
      <c r="J115" s="415"/>
      <c r="K115" s="541"/>
      <c r="L115" s="541"/>
      <c r="M115" s="109"/>
    </row>
    <row r="116" spans="1:13" x14ac:dyDescent="0.7">
      <c r="A116" s="96"/>
      <c r="B116" s="6" t="s">
        <v>6691</v>
      </c>
      <c r="C116" s="415">
        <v>110400</v>
      </c>
      <c r="D116" s="415">
        <v>73000</v>
      </c>
      <c r="E116" s="415"/>
      <c r="F116" s="415">
        <v>48000</v>
      </c>
      <c r="G116" s="415"/>
      <c r="H116" s="415"/>
      <c r="I116" s="415"/>
      <c r="J116" s="415"/>
      <c r="K116" s="541"/>
      <c r="L116" s="541"/>
      <c r="M116" s="109"/>
    </row>
    <row r="117" spans="1:13" x14ac:dyDescent="0.7">
      <c r="A117" s="96"/>
      <c r="B117" s="6" t="s">
        <v>6692</v>
      </c>
      <c r="C117" s="415">
        <v>0</v>
      </c>
      <c r="D117" s="415">
        <v>0</v>
      </c>
      <c r="E117" s="415"/>
      <c r="F117" s="415">
        <v>0</v>
      </c>
      <c r="G117" s="415"/>
      <c r="H117" s="415"/>
      <c r="I117" s="415"/>
      <c r="J117" s="415"/>
      <c r="K117" s="541"/>
      <c r="L117" s="541"/>
      <c r="M117" s="109"/>
    </row>
    <row r="118" spans="1:13" x14ac:dyDescent="0.7">
      <c r="A118" s="96"/>
      <c r="B118" s="6" t="s">
        <v>6693</v>
      </c>
      <c r="C118" s="415">
        <v>15000</v>
      </c>
      <c r="D118" s="415">
        <f>6900+5250</f>
        <v>12150</v>
      </c>
      <c r="E118" s="415"/>
      <c r="F118" s="415">
        <f>5000+7000</f>
        <v>12000</v>
      </c>
      <c r="G118" s="415"/>
      <c r="H118" s="415"/>
      <c r="I118" s="415"/>
      <c r="J118" s="415"/>
      <c r="K118" s="541"/>
      <c r="L118" s="541"/>
      <c r="M118" s="109"/>
    </row>
    <row r="119" spans="1:13" x14ac:dyDescent="0.7">
      <c r="A119" s="96"/>
      <c r="B119" s="6" t="s">
        <v>6694</v>
      </c>
      <c r="C119" s="415"/>
      <c r="D119" s="415">
        <f>1900+31217+248455</f>
        <v>281572</v>
      </c>
      <c r="E119" s="415"/>
      <c r="F119" s="415">
        <v>150000</v>
      </c>
      <c r="G119" s="415"/>
      <c r="H119" s="415"/>
      <c r="I119" s="415"/>
      <c r="J119" s="415"/>
      <c r="K119" s="541"/>
      <c r="L119" s="541"/>
      <c r="M119" s="109"/>
    </row>
    <row r="120" spans="1:13" x14ac:dyDescent="0.7">
      <c r="A120" s="96"/>
      <c r="B120" s="6" t="s">
        <v>6695</v>
      </c>
      <c r="C120" s="415">
        <f>58397.04+278093.52+12000</f>
        <v>348490.56</v>
      </c>
      <c r="D120" s="415">
        <f>293411+13751</f>
        <v>307162</v>
      </c>
      <c r="E120" s="415">
        <f>101114+138520+13200</f>
        <v>252834</v>
      </c>
      <c r="F120" s="415"/>
      <c r="G120" s="415"/>
      <c r="H120" s="415"/>
      <c r="I120" s="415"/>
      <c r="J120" s="415"/>
      <c r="K120" s="541"/>
      <c r="L120" s="541"/>
      <c r="M120" s="109"/>
    </row>
    <row r="121" spans="1:13" x14ac:dyDescent="0.7">
      <c r="A121" s="96" t="s">
        <v>6255</v>
      </c>
      <c r="B121" s="6" t="s">
        <v>32</v>
      </c>
      <c r="C121" s="415"/>
      <c r="D121" s="415"/>
      <c r="E121" s="415">
        <f t="shared" si="2"/>
        <v>0</v>
      </c>
      <c r="F121" s="415"/>
      <c r="G121" s="415"/>
      <c r="H121" s="415">
        <f t="shared" si="1"/>
        <v>0</v>
      </c>
      <c r="I121" s="415">
        <f>SUMIF('[1]6.WS-Re-Exp'!$G$399:$G$841,'14.แผนรายรับรายจ่ายเงินบำรุง เด'!A121,'[1]6.WS-Re-Exp'!$C$399:$C$841)</f>
        <v>17560</v>
      </c>
      <c r="J121" s="415"/>
      <c r="K121" s="541">
        <f>SUM(I121+'[1]9.WS-แผนเจ้าหนี้การค้า'!C14-'[1]9.WS-แผนเจ้าหนี้การค้า'!K14)</f>
        <v>17560</v>
      </c>
      <c r="L121" s="541"/>
      <c r="M121" s="109" t="s">
        <v>6351</v>
      </c>
    </row>
    <row r="122" spans="1:13" x14ac:dyDescent="0.7">
      <c r="A122" s="96"/>
      <c r="B122" s="6" t="s">
        <v>6696</v>
      </c>
      <c r="C122" s="415"/>
      <c r="D122" s="415"/>
      <c r="E122" s="415"/>
      <c r="F122" s="415"/>
      <c r="G122" s="415"/>
      <c r="H122" s="415"/>
      <c r="I122" s="415"/>
      <c r="J122" s="415"/>
      <c r="K122" s="541"/>
      <c r="L122" s="541"/>
      <c r="M122" s="109"/>
    </row>
    <row r="123" spans="1:13" x14ac:dyDescent="0.7">
      <c r="A123" s="96"/>
      <c r="B123" s="6" t="s">
        <v>6697</v>
      </c>
      <c r="C123" s="415"/>
      <c r="D123" s="415"/>
      <c r="E123" s="415"/>
      <c r="F123" s="415"/>
      <c r="G123" s="415"/>
      <c r="H123" s="415"/>
      <c r="I123" s="415"/>
      <c r="J123" s="415"/>
      <c r="K123" s="541"/>
      <c r="L123" s="541"/>
      <c r="M123" s="109"/>
    </row>
    <row r="124" spans="1:13" x14ac:dyDescent="0.7">
      <c r="A124" s="96"/>
      <c r="B124" s="6" t="s">
        <v>6698</v>
      </c>
      <c r="C124" s="415"/>
      <c r="D124" s="415"/>
      <c r="E124" s="415"/>
      <c r="F124" s="415"/>
      <c r="G124" s="415"/>
      <c r="H124" s="415"/>
      <c r="I124" s="415"/>
      <c r="J124" s="415"/>
      <c r="K124" s="541"/>
      <c r="L124" s="541"/>
      <c r="M124" s="109"/>
    </row>
    <row r="125" spans="1:13" x14ac:dyDescent="0.7">
      <c r="A125" s="96"/>
      <c r="B125" s="6" t="s">
        <v>6699</v>
      </c>
      <c r="C125" s="415"/>
      <c r="D125" s="415"/>
      <c r="E125" s="415"/>
      <c r="F125" s="415"/>
      <c r="G125" s="415"/>
      <c r="H125" s="415"/>
      <c r="I125" s="415"/>
      <c r="J125" s="415"/>
      <c r="K125" s="541"/>
      <c r="L125" s="541"/>
      <c r="M125" s="109"/>
    </row>
    <row r="126" spans="1:13" x14ac:dyDescent="0.7">
      <c r="A126" s="96"/>
      <c r="B126" s="6" t="s">
        <v>6700</v>
      </c>
      <c r="C126" s="415"/>
      <c r="D126" s="415"/>
      <c r="E126" s="415"/>
      <c r="F126" s="415"/>
      <c r="G126" s="415"/>
      <c r="H126" s="415"/>
      <c r="I126" s="415"/>
      <c r="J126" s="415"/>
      <c r="K126" s="541"/>
      <c r="L126" s="541"/>
      <c r="M126" s="109"/>
    </row>
    <row r="127" spans="1:13" x14ac:dyDescent="0.7">
      <c r="A127" s="96" t="s">
        <v>6256</v>
      </c>
      <c r="B127" s="6" t="s">
        <v>34</v>
      </c>
      <c r="C127" s="415"/>
      <c r="D127" s="415"/>
      <c r="E127" s="415">
        <f t="shared" si="2"/>
        <v>0</v>
      </c>
      <c r="F127" s="415"/>
      <c r="G127" s="415"/>
      <c r="H127" s="415">
        <f t="shared" si="1"/>
        <v>0</v>
      </c>
      <c r="I127" s="415">
        <f>SUMIF('[1]6.WS-Re-Exp'!$G$399:$G$841,'14.แผนรายรับรายจ่ายเงินบำรุง เด'!A127,'[1]6.WS-Re-Exp'!$C$399:$C$841)</f>
        <v>102080</v>
      </c>
      <c r="J127" s="415"/>
      <c r="K127" s="541">
        <f>SUM(I127)</f>
        <v>102080</v>
      </c>
      <c r="L127" s="541"/>
      <c r="M127" s="109"/>
    </row>
    <row r="128" spans="1:13" x14ac:dyDescent="0.7">
      <c r="A128" s="96"/>
      <c r="B128" s="6" t="s">
        <v>6701</v>
      </c>
      <c r="C128" s="415">
        <v>150000</v>
      </c>
      <c r="D128" s="415">
        <f>2580+7100+4168</f>
        <v>13848</v>
      </c>
      <c r="E128" s="415"/>
      <c r="F128" s="415">
        <v>100000</v>
      </c>
      <c r="G128" s="415"/>
      <c r="H128" s="415"/>
      <c r="I128" s="415"/>
      <c r="J128" s="415"/>
      <c r="K128" s="541"/>
      <c r="L128" s="541"/>
      <c r="M128" s="109"/>
    </row>
    <row r="129" spans="1:13" x14ac:dyDescent="0.7">
      <c r="A129" s="96"/>
      <c r="B129" s="6" t="s">
        <v>6702</v>
      </c>
      <c r="C129" s="415">
        <v>250000</v>
      </c>
      <c r="D129" s="415">
        <v>236595</v>
      </c>
      <c r="E129" s="415"/>
      <c r="F129" s="415">
        <v>250000</v>
      </c>
      <c r="G129" s="415"/>
      <c r="H129" s="415"/>
      <c r="I129" s="415"/>
      <c r="J129" s="415"/>
      <c r="K129" s="541"/>
      <c r="L129" s="541"/>
      <c r="M129" s="109"/>
    </row>
    <row r="130" spans="1:13" x14ac:dyDescent="0.7">
      <c r="A130" s="96"/>
      <c r="B130" s="6" t="s">
        <v>6703</v>
      </c>
      <c r="C130" s="415">
        <f>SUM(C131:C132)</f>
        <v>1511799</v>
      </c>
      <c r="D130" s="415">
        <f>SUM(D131:D132)</f>
        <v>993891</v>
      </c>
      <c r="E130" s="415"/>
      <c r="F130" s="415">
        <f>F131+F132</f>
        <v>1732857</v>
      </c>
      <c r="G130" s="415"/>
      <c r="H130" s="415"/>
      <c r="I130" s="415"/>
      <c r="J130" s="415"/>
      <c r="K130" s="541"/>
      <c r="L130" s="541"/>
      <c r="M130" s="109"/>
    </row>
    <row r="131" spans="1:13" x14ac:dyDescent="0.7">
      <c r="A131" s="96"/>
      <c r="B131" s="6" t="s">
        <v>6704</v>
      </c>
      <c r="C131" s="415">
        <f>233379+257081+165624+70202+56225+243492</f>
        <v>1026003</v>
      </c>
      <c r="D131" s="415">
        <v>112478</v>
      </c>
      <c r="E131" s="415"/>
      <c r="F131" s="415">
        <f>198052+193754+145760+54982+157000+253379+50000</f>
        <v>1052927</v>
      </c>
      <c r="G131" s="415"/>
      <c r="H131" s="415"/>
      <c r="I131" s="415"/>
      <c r="J131" s="415"/>
      <c r="K131" s="541"/>
      <c r="L131" s="541"/>
      <c r="M131" s="109"/>
    </row>
    <row r="132" spans="1:13" x14ac:dyDescent="0.7">
      <c r="A132" s="96"/>
      <c r="B132" s="6" t="s">
        <v>6705</v>
      </c>
      <c r="C132" s="415">
        <v>485796</v>
      </c>
      <c r="D132" s="415">
        <v>881413</v>
      </c>
      <c r="E132" s="415"/>
      <c r="F132" s="415">
        <v>679930</v>
      </c>
      <c r="G132" s="415"/>
      <c r="H132" s="415"/>
      <c r="I132" s="415"/>
      <c r="J132" s="415"/>
      <c r="K132" s="541"/>
      <c r="L132" s="541"/>
      <c r="M132" s="109"/>
    </row>
    <row r="133" spans="1:13" x14ac:dyDescent="0.7">
      <c r="A133" s="96"/>
      <c r="B133" s="6" t="s">
        <v>6706</v>
      </c>
      <c r="C133" s="415">
        <v>666500</v>
      </c>
      <c r="D133" s="415">
        <v>281780</v>
      </c>
      <c r="E133" s="415"/>
      <c r="F133" s="415">
        <f>30000+50000</f>
        <v>80000</v>
      </c>
      <c r="G133" s="415"/>
      <c r="H133" s="415"/>
      <c r="I133" s="415"/>
      <c r="J133" s="415"/>
      <c r="K133" s="541"/>
      <c r="L133" s="541"/>
      <c r="M133" s="109"/>
    </row>
    <row r="134" spans="1:13" x14ac:dyDescent="0.7">
      <c r="A134" s="96"/>
      <c r="B134" s="6" t="s">
        <v>6707</v>
      </c>
      <c r="C134" s="415">
        <v>300000</v>
      </c>
      <c r="D134" s="415">
        <v>243430</v>
      </c>
      <c r="E134" s="415"/>
      <c r="F134" s="415">
        <v>383000</v>
      </c>
      <c r="G134" s="415"/>
      <c r="H134" s="415"/>
      <c r="I134" s="415"/>
      <c r="J134" s="415"/>
      <c r="K134" s="541"/>
      <c r="L134" s="541"/>
      <c r="M134" s="109"/>
    </row>
    <row r="135" spans="1:13" x14ac:dyDescent="0.7">
      <c r="A135" s="96"/>
      <c r="B135" s="6" t="s">
        <v>6708</v>
      </c>
      <c r="C135" s="415">
        <v>124500</v>
      </c>
      <c r="D135" s="415">
        <v>76875</v>
      </c>
      <c r="E135" s="415"/>
      <c r="F135" s="415">
        <v>215000</v>
      </c>
      <c r="G135" s="415"/>
      <c r="H135" s="415"/>
      <c r="I135" s="415"/>
      <c r="J135" s="415"/>
      <c r="K135" s="541"/>
      <c r="L135" s="541"/>
      <c r="M135" s="109"/>
    </row>
    <row r="136" spans="1:13" x14ac:dyDescent="0.7">
      <c r="A136" s="96"/>
      <c r="B136" s="6" t="s">
        <v>6709</v>
      </c>
      <c r="C136" s="415">
        <v>180000</v>
      </c>
      <c r="D136" s="415">
        <v>124363</v>
      </c>
      <c r="E136" s="415"/>
      <c r="F136" s="415">
        <v>186000</v>
      </c>
      <c r="G136" s="415"/>
      <c r="H136" s="415"/>
      <c r="I136" s="415"/>
      <c r="J136" s="415"/>
      <c r="K136" s="541"/>
      <c r="L136" s="541"/>
      <c r="M136" s="109"/>
    </row>
    <row r="137" spans="1:13" x14ac:dyDescent="0.7">
      <c r="A137" s="96"/>
      <c r="B137" s="6" t="s">
        <v>6710</v>
      </c>
      <c r="C137" s="415">
        <v>0</v>
      </c>
      <c r="D137" s="415">
        <v>0</v>
      </c>
      <c r="E137" s="415"/>
      <c r="F137" s="415">
        <v>0</v>
      </c>
      <c r="G137" s="415"/>
      <c r="H137" s="415"/>
      <c r="I137" s="415"/>
      <c r="J137" s="415"/>
      <c r="K137" s="541"/>
      <c r="L137" s="541"/>
      <c r="M137" s="109"/>
    </row>
    <row r="138" spans="1:13" x14ac:dyDescent="0.7">
      <c r="A138" s="96"/>
      <c r="B138" s="6" t="s">
        <v>6711</v>
      </c>
      <c r="C138" s="415">
        <v>0</v>
      </c>
      <c r="D138" s="415">
        <v>0</v>
      </c>
      <c r="E138" s="415"/>
      <c r="F138" s="415">
        <v>0</v>
      </c>
      <c r="G138" s="415"/>
      <c r="H138" s="415"/>
      <c r="I138" s="415"/>
      <c r="J138" s="415"/>
      <c r="K138" s="541"/>
      <c r="L138" s="541"/>
      <c r="M138" s="109"/>
    </row>
    <row r="139" spans="1:13" x14ac:dyDescent="0.7">
      <c r="A139" s="96"/>
      <c r="B139" s="6" t="s">
        <v>6712</v>
      </c>
      <c r="C139" s="415">
        <v>250000</v>
      </c>
      <c r="D139" s="415">
        <v>229609</v>
      </c>
      <c r="E139" s="415"/>
      <c r="F139" s="415">
        <v>230000</v>
      </c>
      <c r="G139" s="415"/>
      <c r="H139" s="415"/>
      <c r="I139" s="415"/>
      <c r="J139" s="415"/>
      <c r="K139" s="541"/>
      <c r="L139" s="541"/>
      <c r="M139" s="109"/>
    </row>
    <row r="140" spans="1:13" x14ac:dyDescent="0.7">
      <c r="A140" s="96"/>
      <c r="B140" s="6" t="s">
        <v>6713</v>
      </c>
      <c r="C140" s="415">
        <v>0</v>
      </c>
      <c r="D140" s="415">
        <v>0</v>
      </c>
      <c r="E140" s="415"/>
      <c r="F140" s="415">
        <v>0</v>
      </c>
      <c r="G140" s="415"/>
      <c r="H140" s="415"/>
      <c r="I140" s="415"/>
      <c r="J140" s="415"/>
      <c r="K140" s="541"/>
      <c r="L140" s="541"/>
      <c r="M140" s="109"/>
    </row>
    <row r="141" spans="1:13" x14ac:dyDescent="0.7">
      <c r="A141" s="96"/>
      <c r="B141" s="6" t="s">
        <v>6714</v>
      </c>
      <c r="C141" s="415">
        <v>440000</v>
      </c>
      <c r="D141" s="415">
        <v>395310</v>
      </c>
      <c r="E141" s="415"/>
      <c r="F141" s="415">
        <v>480000</v>
      </c>
      <c r="G141" s="415"/>
      <c r="H141" s="415"/>
      <c r="I141" s="415"/>
      <c r="J141" s="415"/>
      <c r="K141" s="541"/>
      <c r="L141" s="541"/>
      <c r="M141" s="109"/>
    </row>
    <row r="142" spans="1:13" x14ac:dyDescent="0.7">
      <c r="A142" s="96"/>
      <c r="B142" s="6" t="s">
        <v>6715</v>
      </c>
      <c r="C142" s="415">
        <v>120000</v>
      </c>
      <c r="D142" s="415">
        <v>110723.6</v>
      </c>
      <c r="E142" s="415"/>
      <c r="F142" s="415">
        <v>120000</v>
      </c>
      <c r="G142" s="415"/>
      <c r="H142" s="415"/>
      <c r="I142" s="415"/>
      <c r="J142" s="415"/>
      <c r="K142" s="541"/>
      <c r="L142" s="541"/>
      <c r="M142" s="109"/>
    </row>
    <row r="143" spans="1:13" x14ac:dyDescent="0.7">
      <c r="A143" s="96"/>
      <c r="B143" s="6" t="s">
        <v>6716</v>
      </c>
      <c r="C143" s="415">
        <v>373145</v>
      </c>
      <c r="D143" s="415">
        <v>521105</v>
      </c>
      <c r="E143" s="415"/>
      <c r="F143" s="415">
        <v>440000</v>
      </c>
      <c r="G143" s="415"/>
      <c r="H143" s="415"/>
      <c r="I143" s="415"/>
      <c r="J143" s="415"/>
      <c r="K143" s="541"/>
      <c r="L143" s="541"/>
      <c r="M143" s="109"/>
    </row>
    <row r="144" spans="1:13" x14ac:dyDescent="0.7">
      <c r="A144" s="96"/>
      <c r="B144" s="6" t="s">
        <v>6717</v>
      </c>
      <c r="C144" s="415">
        <v>200000</v>
      </c>
      <c r="D144" s="415">
        <v>315785.09999999998</v>
      </c>
      <c r="E144" s="415"/>
      <c r="F144" s="415">
        <f>120000+200000</f>
        <v>320000</v>
      </c>
      <c r="G144" s="415"/>
      <c r="H144" s="415"/>
      <c r="I144" s="415"/>
      <c r="J144" s="415"/>
      <c r="K144" s="541"/>
      <c r="L144" s="541"/>
      <c r="M144" s="109"/>
    </row>
    <row r="145" spans="1:13" x14ac:dyDescent="0.7">
      <c r="A145" s="96"/>
      <c r="B145" s="6" t="s">
        <v>6718</v>
      </c>
      <c r="C145" s="415">
        <v>1574572.39</v>
      </c>
      <c r="D145" s="415">
        <v>1924613.83</v>
      </c>
      <c r="E145" s="415"/>
      <c r="F145" s="415">
        <f>340000+490000+300000</f>
        <v>1130000</v>
      </c>
      <c r="G145" s="415"/>
      <c r="H145" s="415"/>
      <c r="I145" s="415"/>
      <c r="J145" s="415"/>
      <c r="K145" s="541"/>
      <c r="L145" s="541"/>
      <c r="M145" s="109"/>
    </row>
    <row r="146" spans="1:13" x14ac:dyDescent="0.7">
      <c r="A146" s="96"/>
      <c r="B146" s="6" t="s">
        <v>6719</v>
      </c>
      <c r="C146" s="415">
        <v>0</v>
      </c>
      <c r="D146" s="415">
        <v>12</v>
      </c>
      <c r="E146" s="415"/>
      <c r="F146" s="415">
        <v>0</v>
      </c>
      <c r="G146" s="415"/>
      <c r="H146" s="415"/>
      <c r="I146" s="415"/>
      <c r="J146" s="415"/>
      <c r="K146" s="541"/>
      <c r="L146" s="541"/>
      <c r="M146" s="109"/>
    </row>
    <row r="147" spans="1:13" x14ac:dyDescent="0.7">
      <c r="A147" s="96"/>
      <c r="B147" s="6" t="s">
        <v>6720</v>
      </c>
      <c r="C147" s="415">
        <v>0</v>
      </c>
      <c r="D147" s="415">
        <v>0</v>
      </c>
      <c r="E147" s="415"/>
      <c r="F147" s="415">
        <v>0</v>
      </c>
      <c r="G147" s="415"/>
      <c r="H147" s="415"/>
      <c r="I147" s="415"/>
      <c r="J147" s="415"/>
      <c r="K147" s="541"/>
      <c r="L147" s="541"/>
      <c r="M147" s="109"/>
    </row>
    <row r="148" spans="1:13" x14ac:dyDescent="0.7">
      <c r="A148" s="96" t="s">
        <v>6257</v>
      </c>
      <c r="B148" s="6" t="s">
        <v>36</v>
      </c>
      <c r="C148" s="415"/>
      <c r="D148" s="415"/>
      <c r="E148" s="415">
        <f t="shared" si="2"/>
        <v>0</v>
      </c>
      <c r="F148" s="415"/>
      <c r="G148" s="415"/>
      <c r="H148" s="415">
        <f t="shared" si="1"/>
        <v>0</v>
      </c>
      <c r="I148" s="415">
        <f>SUMIF('[1]6.WS-Re-Exp'!$G$399:$G$841,'14.แผนรายรับรายจ่ายเงินบำรุง เด'!A148,'[1]6.WS-Re-Exp'!$C$399:$C$841)</f>
        <v>13900</v>
      </c>
      <c r="J148" s="415"/>
      <c r="K148" s="541">
        <f>SUM(I148+'[1]9.WS-แผนเจ้าหนี้การค้า'!C16-'[1]9.WS-แผนเจ้าหนี้การค้า'!K16)</f>
        <v>13900</v>
      </c>
      <c r="L148" s="541"/>
      <c r="M148" s="109" t="s">
        <v>6351</v>
      </c>
    </row>
    <row r="149" spans="1:13" x14ac:dyDescent="0.7">
      <c r="A149" s="96"/>
      <c r="B149" s="6" t="s">
        <v>6721</v>
      </c>
      <c r="C149" s="415">
        <v>1200000</v>
      </c>
      <c r="D149" s="415">
        <f>821285.63+208930.66</f>
        <v>1030216.29</v>
      </c>
      <c r="E149" s="415"/>
      <c r="F149" s="415">
        <v>1200000</v>
      </c>
      <c r="G149" s="415"/>
      <c r="H149" s="415"/>
      <c r="I149" s="415"/>
      <c r="J149" s="415"/>
      <c r="K149" s="541"/>
      <c r="L149" s="541"/>
      <c r="M149" s="109"/>
    </row>
    <row r="150" spans="1:13" x14ac:dyDescent="0.7">
      <c r="A150" s="96"/>
      <c r="B150" s="6" t="s">
        <v>6722</v>
      </c>
      <c r="C150" s="415">
        <v>0</v>
      </c>
      <c r="D150" s="415">
        <v>0</v>
      </c>
      <c r="E150" s="415"/>
      <c r="F150" s="415">
        <v>0</v>
      </c>
      <c r="G150" s="415"/>
      <c r="H150" s="415"/>
      <c r="I150" s="415"/>
      <c r="J150" s="415"/>
      <c r="K150" s="541"/>
      <c r="L150" s="541"/>
      <c r="M150" s="109"/>
    </row>
    <row r="151" spans="1:13" x14ac:dyDescent="0.7">
      <c r="A151" s="96"/>
      <c r="B151" s="6" t="s">
        <v>6723</v>
      </c>
      <c r="C151" s="415">
        <v>30973.439999999999</v>
      </c>
      <c r="D151" s="415">
        <v>31817.88</v>
      </c>
      <c r="E151" s="415"/>
      <c r="F151" s="415">
        <v>36000</v>
      </c>
      <c r="G151" s="415"/>
      <c r="H151" s="415"/>
      <c r="I151" s="415"/>
      <c r="J151" s="415"/>
      <c r="K151" s="541"/>
      <c r="L151" s="541"/>
      <c r="M151" s="109"/>
    </row>
    <row r="152" spans="1:13" x14ac:dyDescent="0.7">
      <c r="A152" s="96"/>
      <c r="B152" s="6" t="s">
        <v>6724</v>
      </c>
      <c r="C152" s="415">
        <v>79608</v>
      </c>
      <c r="D152" s="415">
        <v>49196.06</v>
      </c>
      <c r="E152" s="415"/>
      <c r="F152" s="415">
        <v>42000</v>
      </c>
      <c r="G152" s="415"/>
      <c r="H152" s="415"/>
      <c r="I152" s="415"/>
      <c r="J152" s="415"/>
      <c r="K152" s="541"/>
      <c r="L152" s="541"/>
      <c r="M152" s="109"/>
    </row>
    <row r="153" spans="1:13" x14ac:dyDescent="0.7">
      <c r="A153" s="96"/>
      <c r="B153" s="6" t="s">
        <v>6725</v>
      </c>
      <c r="C153" s="415">
        <v>4380</v>
      </c>
      <c r="D153" s="415">
        <v>7981</v>
      </c>
      <c r="E153" s="415"/>
      <c r="F153" s="415">
        <v>9600</v>
      </c>
      <c r="G153" s="415"/>
      <c r="H153" s="415"/>
      <c r="I153" s="415"/>
      <c r="J153" s="415"/>
      <c r="K153" s="541"/>
      <c r="L153" s="541"/>
      <c r="M153" s="109"/>
    </row>
    <row r="154" spans="1:13" x14ac:dyDescent="0.7">
      <c r="A154" s="96" t="s">
        <v>6352</v>
      </c>
      <c r="B154" s="6" t="s">
        <v>38</v>
      </c>
      <c r="C154" s="819"/>
      <c r="D154" s="819"/>
      <c r="E154" s="819">
        <f t="shared" si="2"/>
        <v>0</v>
      </c>
      <c r="F154" s="819"/>
      <c r="G154" s="819"/>
      <c r="H154" s="819">
        <f t="shared" si="1"/>
        <v>0</v>
      </c>
      <c r="I154" s="819"/>
      <c r="J154" s="819"/>
      <c r="K154" s="541">
        <f>SUM(K155:K167)</f>
        <v>33340</v>
      </c>
      <c r="L154" s="541"/>
      <c r="M154" s="6" t="s">
        <v>6341</v>
      </c>
    </row>
    <row r="155" spans="1:13" x14ac:dyDescent="0.7">
      <c r="A155" s="96"/>
      <c r="B155" s="6" t="s">
        <v>379</v>
      </c>
      <c r="C155" s="415"/>
      <c r="D155" s="415"/>
      <c r="E155" s="415"/>
      <c r="F155" s="415"/>
      <c r="G155" s="415"/>
      <c r="H155" s="415"/>
      <c r="I155" s="415"/>
      <c r="J155" s="415"/>
      <c r="K155" s="541">
        <f>SUM('[1]6.WS-Re-Exp'!C639)</f>
        <v>2410</v>
      </c>
      <c r="L155" s="541"/>
      <c r="M155" s="109"/>
    </row>
    <row r="156" spans="1:13" x14ac:dyDescent="0.7">
      <c r="A156" s="96"/>
      <c r="B156" s="6" t="s">
        <v>380</v>
      </c>
      <c r="C156" s="415"/>
      <c r="D156" s="415"/>
      <c r="E156" s="415"/>
      <c r="F156" s="415"/>
      <c r="G156" s="415"/>
      <c r="H156" s="415"/>
      <c r="I156" s="415"/>
      <c r="J156" s="415"/>
      <c r="K156" s="541">
        <f>SUM('[1]6.WS-Re-Exp'!C640)</f>
        <v>2420</v>
      </c>
      <c r="L156" s="541"/>
      <c r="M156" s="109"/>
    </row>
    <row r="157" spans="1:13" x14ac:dyDescent="0.7">
      <c r="A157" s="96"/>
      <c r="B157" s="6" t="s">
        <v>381</v>
      </c>
      <c r="C157" s="415"/>
      <c r="D157" s="415"/>
      <c r="E157" s="415"/>
      <c r="F157" s="415"/>
      <c r="G157" s="415"/>
      <c r="H157" s="415"/>
      <c r="I157" s="415"/>
      <c r="J157" s="415"/>
      <c r="K157" s="541">
        <f>SUM('[1]6.WS-Re-Exp'!C641)</f>
        <v>2430</v>
      </c>
      <c r="L157" s="541"/>
      <c r="M157" s="109"/>
    </row>
    <row r="158" spans="1:13" x14ac:dyDescent="0.7">
      <c r="A158" s="96"/>
      <c r="B158" s="6" t="s">
        <v>382</v>
      </c>
      <c r="C158" s="415"/>
      <c r="D158" s="415"/>
      <c r="E158" s="415"/>
      <c r="F158" s="415"/>
      <c r="G158" s="415"/>
      <c r="H158" s="415"/>
      <c r="I158" s="415"/>
      <c r="J158" s="415"/>
      <c r="K158" s="541">
        <f>SUM('[1]6.WS-Re-Exp'!C642)</f>
        <v>2440</v>
      </c>
      <c r="L158" s="541"/>
      <c r="M158" s="109"/>
    </row>
    <row r="159" spans="1:13" x14ac:dyDescent="0.7">
      <c r="A159" s="96"/>
      <c r="B159" s="6" t="s">
        <v>383</v>
      </c>
      <c r="C159" s="415"/>
      <c r="D159" s="415"/>
      <c r="E159" s="415"/>
      <c r="F159" s="415"/>
      <c r="G159" s="415"/>
      <c r="H159" s="415"/>
      <c r="I159" s="415"/>
      <c r="J159" s="415"/>
      <c r="K159" s="541">
        <f>SUM('[1]6.WS-Re-Exp'!C643)</f>
        <v>2450</v>
      </c>
      <c r="L159" s="541"/>
      <c r="M159" s="109"/>
    </row>
    <row r="160" spans="1:13" x14ac:dyDescent="0.7">
      <c r="A160" s="96"/>
      <c r="B160" s="6" t="s">
        <v>384</v>
      </c>
      <c r="C160" s="415"/>
      <c r="D160" s="415"/>
      <c r="E160" s="415"/>
      <c r="F160" s="415"/>
      <c r="G160" s="415"/>
      <c r="H160" s="415"/>
      <c r="I160" s="415"/>
      <c r="J160" s="415"/>
      <c r="K160" s="541">
        <f>SUM('[1]6.WS-Re-Exp'!C644)</f>
        <v>2460</v>
      </c>
      <c r="L160" s="541"/>
      <c r="M160" s="109"/>
    </row>
    <row r="161" spans="1:13" x14ac:dyDescent="0.7">
      <c r="A161" s="96"/>
      <c r="B161" s="6" t="s">
        <v>389</v>
      </c>
      <c r="C161" s="415"/>
      <c r="D161" s="415"/>
      <c r="E161" s="415"/>
      <c r="F161" s="415"/>
      <c r="G161" s="415"/>
      <c r="H161" s="415"/>
      <c r="I161" s="415"/>
      <c r="J161" s="415"/>
      <c r="K161" s="541">
        <f>SUM('[1]6.WS-Re-Exp'!C645)</f>
        <v>2470</v>
      </c>
      <c r="L161" s="541"/>
      <c r="M161" s="109"/>
    </row>
    <row r="162" spans="1:13" x14ac:dyDescent="0.7">
      <c r="A162" s="96"/>
      <c r="B162" s="6" t="s">
        <v>390</v>
      </c>
      <c r="C162" s="415"/>
      <c r="D162" s="415"/>
      <c r="E162" s="415"/>
      <c r="F162" s="415"/>
      <c r="G162" s="415"/>
      <c r="H162" s="415"/>
      <c r="I162" s="415"/>
      <c r="J162" s="415"/>
      <c r="K162" s="541">
        <f>SUM('[1]6.WS-Re-Exp'!C646)</f>
        <v>2480</v>
      </c>
      <c r="L162" s="541"/>
      <c r="M162" s="109"/>
    </row>
    <row r="163" spans="1:13" x14ac:dyDescent="0.7">
      <c r="A163" s="96"/>
      <c r="B163" s="6" t="s">
        <v>391</v>
      </c>
      <c r="C163" s="415"/>
      <c r="D163" s="415"/>
      <c r="E163" s="415"/>
      <c r="F163" s="415"/>
      <c r="G163" s="415"/>
      <c r="H163" s="415"/>
      <c r="I163" s="415"/>
      <c r="J163" s="415"/>
      <c r="K163" s="541">
        <f>SUM('[1]6.WS-Re-Exp'!C647)</f>
        <v>2490</v>
      </c>
      <c r="L163" s="541"/>
      <c r="M163" s="109"/>
    </row>
    <row r="164" spans="1:13" x14ac:dyDescent="0.7">
      <c r="A164" s="96"/>
      <c r="B164" s="212" t="s">
        <v>798</v>
      </c>
      <c r="C164" s="415"/>
      <c r="D164" s="415"/>
      <c r="E164" s="415"/>
      <c r="F164" s="415"/>
      <c r="G164" s="415"/>
      <c r="H164" s="415"/>
      <c r="I164" s="415"/>
      <c r="J164" s="415"/>
      <c r="K164" s="541">
        <f>SUM('[1]6.WS-Re-Exp'!C661)</f>
        <v>2630</v>
      </c>
      <c r="L164" s="541"/>
      <c r="M164" s="109"/>
    </row>
    <row r="165" spans="1:13" x14ac:dyDescent="0.7">
      <c r="A165" s="96"/>
      <c r="B165" s="212" t="s">
        <v>386</v>
      </c>
      <c r="C165" s="415"/>
      <c r="D165" s="415"/>
      <c r="E165" s="415"/>
      <c r="F165" s="415"/>
      <c r="G165" s="415"/>
      <c r="H165" s="415"/>
      <c r="I165" s="415"/>
      <c r="J165" s="415"/>
      <c r="K165" s="541">
        <f>SUM('[1]6.WS-Re-Exp'!C685)</f>
        <v>2870</v>
      </c>
      <c r="L165" s="541"/>
      <c r="M165" s="109"/>
    </row>
    <row r="166" spans="1:13" x14ac:dyDescent="0.7">
      <c r="A166" s="96"/>
      <c r="B166" s="212" t="s">
        <v>388</v>
      </c>
      <c r="C166" s="415"/>
      <c r="D166" s="415"/>
      <c r="E166" s="415"/>
      <c r="F166" s="415"/>
      <c r="G166" s="415"/>
      <c r="H166" s="415"/>
      <c r="I166" s="415"/>
      <c r="J166" s="415"/>
      <c r="K166" s="541">
        <f>SUM('[1]6.WS-Re-Exp'!C686)</f>
        <v>2880</v>
      </c>
      <c r="L166" s="541"/>
      <c r="M166" s="109"/>
    </row>
    <row r="167" spans="1:13" x14ac:dyDescent="0.7">
      <c r="A167" s="96"/>
      <c r="B167" s="212" t="s">
        <v>1016</v>
      </c>
      <c r="C167" s="415"/>
      <c r="D167" s="415"/>
      <c r="E167" s="415"/>
      <c r="F167" s="415"/>
      <c r="G167" s="415"/>
      <c r="H167" s="415"/>
      <c r="I167" s="415"/>
      <c r="J167" s="415"/>
      <c r="K167" s="541">
        <f>SUM('[1]6.WS-Re-Exp'!C689)</f>
        <v>2910</v>
      </c>
      <c r="L167" s="541"/>
      <c r="M167" s="109"/>
    </row>
    <row r="168" spans="1:13" x14ac:dyDescent="0.7">
      <c r="A168" s="96" t="s">
        <v>6258</v>
      </c>
      <c r="B168" s="6" t="s">
        <v>42</v>
      </c>
      <c r="C168" s="415"/>
      <c r="D168" s="415"/>
      <c r="E168" s="415">
        <f t="shared" si="2"/>
        <v>0</v>
      </c>
      <c r="F168" s="415"/>
      <c r="G168" s="415"/>
      <c r="H168" s="415">
        <f t="shared" si="1"/>
        <v>0</v>
      </c>
      <c r="I168" s="415">
        <f>SUMIF('[1]6.WS-Re-Exp'!$G$399:$G$841,'14.แผนรายรับรายจ่ายเงินบำรุง เด'!A168,'[1]6.WS-Re-Exp'!$C$399:$C$841)</f>
        <v>161450</v>
      </c>
      <c r="J168" s="415"/>
      <c r="K168" s="541">
        <f>SUM(I168)</f>
        <v>161450</v>
      </c>
      <c r="L168" s="541"/>
    </row>
    <row r="169" spans="1:13" x14ac:dyDescent="0.7">
      <c r="A169" s="96"/>
      <c r="B169" s="6" t="s">
        <v>6726</v>
      </c>
      <c r="C169" s="415">
        <f>SUM(C170:C174)</f>
        <v>3460270.5</v>
      </c>
      <c r="D169" s="415">
        <f>SUM(D170:D174)</f>
        <v>2546735</v>
      </c>
      <c r="E169" s="415"/>
      <c r="F169" s="415">
        <f>SUM(F170:F174)</f>
        <v>2402000</v>
      </c>
      <c r="G169" s="415"/>
      <c r="H169" s="415"/>
      <c r="I169" s="415"/>
      <c r="J169" s="415"/>
      <c r="K169" s="541"/>
      <c r="L169" s="541"/>
      <c r="M169" s="109"/>
    </row>
    <row r="170" spans="1:13" x14ac:dyDescent="0.7">
      <c r="A170" s="96"/>
      <c r="B170" s="6" t="s">
        <v>6727</v>
      </c>
      <c r="C170" s="415">
        <f>2685819.5</f>
        <v>2685819.5</v>
      </c>
      <c r="D170" s="415">
        <f>271576+205296+272438.75+316178+258121+259675.5+163297+142890+207298+189841+258567.5</f>
        <v>2545178.75</v>
      </c>
      <c r="E170" s="415"/>
      <c r="F170" s="415">
        <v>2400000</v>
      </c>
      <c r="G170" s="415"/>
      <c r="H170" s="415"/>
      <c r="I170" s="415"/>
      <c r="J170" s="415"/>
      <c r="K170" s="541"/>
      <c r="L170" s="541"/>
      <c r="M170" s="109"/>
    </row>
    <row r="171" spans="1:13" x14ac:dyDescent="0.7">
      <c r="A171" s="96"/>
      <c r="B171" s="6" t="s">
        <v>6728</v>
      </c>
      <c r="C171" s="415">
        <v>771800</v>
      </c>
      <c r="D171" s="415">
        <v>0</v>
      </c>
      <c r="E171" s="415"/>
      <c r="F171" s="415">
        <v>0</v>
      </c>
      <c r="G171" s="415"/>
      <c r="H171" s="415"/>
      <c r="I171" s="415"/>
      <c r="J171" s="415"/>
      <c r="K171" s="541"/>
      <c r="L171" s="541"/>
      <c r="M171" s="109"/>
    </row>
    <row r="172" spans="1:13" x14ac:dyDescent="0.7">
      <c r="A172" s="96"/>
      <c r="B172" s="6" t="s">
        <v>6729</v>
      </c>
      <c r="C172" s="415">
        <v>0</v>
      </c>
      <c r="D172" s="415">
        <v>0</v>
      </c>
      <c r="E172" s="415"/>
      <c r="F172" s="415">
        <v>0</v>
      </c>
      <c r="G172" s="415"/>
      <c r="H172" s="415"/>
      <c r="I172" s="415"/>
      <c r="J172" s="415"/>
      <c r="K172" s="541"/>
      <c r="L172" s="541"/>
      <c r="M172" s="109"/>
    </row>
    <row r="173" spans="1:13" x14ac:dyDescent="0.7">
      <c r="A173" s="96"/>
      <c r="B173" s="6" t="s">
        <v>6730</v>
      </c>
      <c r="C173" s="415">
        <v>2651</v>
      </c>
      <c r="D173" s="415">
        <v>1556.25</v>
      </c>
      <c r="E173" s="415"/>
      <c r="F173" s="415">
        <v>2000</v>
      </c>
      <c r="G173" s="415"/>
      <c r="H173" s="415"/>
      <c r="I173" s="415"/>
      <c r="J173" s="415"/>
      <c r="K173" s="541"/>
      <c r="L173" s="541"/>
      <c r="M173" s="109"/>
    </row>
    <row r="174" spans="1:13" x14ac:dyDescent="0.7">
      <c r="A174" s="96"/>
      <c r="B174" s="6" t="s">
        <v>6731</v>
      </c>
      <c r="C174" s="415">
        <v>0</v>
      </c>
      <c r="D174" s="415">
        <v>0</v>
      </c>
      <c r="E174" s="415"/>
      <c r="F174" s="415">
        <v>0</v>
      </c>
      <c r="G174" s="415"/>
      <c r="H174" s="415"/>
      <c r="I174" s="415"/>
      <c r="J174" s="415"/>
      <c r="K174" s="541"/>
      <c r="L174" s="541"/>
      <c r="M174" s="109"/>
    </row>
    <row r="175" spans="1:13" x14ac:dyDescent="0.7">
      <c r="A175" s="96" t="s">
        <v>6353</v>
      </c>
      <c r="B175" s="6" t="s">
        <v>6732</v>
      </c>
      <c r="C175" s="819"/>
      <c r="D175" s="819"/>
      <c r="E175" s="819">
        <f t="shared" si="2"/>
        <v>0</v>
      </c>
      <c r="F175" s="819"/>
      <c r="G175" s="819"/>
      <c r="H175" s="819">
        <f t="shared" si="1"/>
        <v>0</v>
      </c>
      <c r="I175" s="819"/>
      <c r="J175" s="819"/>
      <c r="K175" s="541">
        <f>SUM('[1]9.WS-แผนเจ้าหนี้การค้า'!I17)</f>
        <v>0</v>
      </c>
      <c r="L175" s="541"/>
      <c r="M175" s="6" t="s">
        <v>6341</v>
      </c>
    </row>
    <row r="176" spans="1:13" x14ac:dyDescent="0.7">
      <c r="A176" s="96"/>
      <c r="B176" s="6" t="s">
        <v>6733</v>
      </c>
      <c r="C176" s="819">
        <f>SUM(C177:C179)</f>
        <v>2813260</v>
      </c>
      <c r="D176" s="819">
        <f>SUM(D177:D179)</f>
        <v>3705519.68</v>
      </c>
      <c r="E176" s="819"/>
      <c r="F176" s="819">
        <f>SUM(F177:F179)</f>
        <v>4946599.12</v>
      </c>
      <c r="G176" s="819"/>
      <c r="H176" s="819"/>
      <c r="I176" s="819"/>
      <c r="J176" s="819"/>
      <c r="K176" s="541"/>
      <c r="L176" s="541"/>
    </row>
    <row r="177" spans="1:12" x14ac:dyDescent="0.7">
      <c r="A177" s="96"/>
      <c r="B177" s="6" t="s">
        <v>6734</v>
      </c>
      <c r="C177" s="819">
        <v>1447212.68</v>
      </c>
      <c r="D177" s="819">
        <v>660694.68000000005</v>
      </c>
      <c r="E177" s="819"/>
      <c r="F177" s="819">
        <f>1100252.08+421472.04+150000+93000+38000</f>
        <v>1802724.12</v>
      </c>
      <c r="G177" s="819"/>
      <c r="H177" s="819"/>
      <c r="I177" s="819"/>
      <c r="J177" s="819"/>
      <c r="K177" s="541"/>
      <c r="L177" s="541"/>
    </row>
    <row r="178" spans="1:12" x14ac:dyDescent="0.7">
      <c r="A178" s="96"/>
      <c r="B178" s="6" t="s">
        <v>6735</v>
      </c>
      <c r="C178" s="819">
        <f>587.32+724860</f>
        <v>725447.32</v>
      </c>
      <c r="D178" s="819">
        <v>2398688.3199999998</v>
      </c>
      <c r="E178" s="819"/>
      <c r="F178" s="819">
        <f>819625+1556250</f>
        <v>2375875</v>
      </c>
      <c r="G178" s="819"/>
      <c r="H178" s="819"/>
      <c r="I178" s="819"/>
      <c r="J178" s="819"/>
      <c r="K178" s="541"/>
      <c r="L178" s="541"/>
    </row>
    <row r="179" spans="1:12" x14ac:dyDescent="0.7">
      <c r="A179" s="96"/>
      <c r="B179" s="6" t="s">
        <v>6736</v>
      </c>
      <c r="C179" s="819">
        <v>640600</v>
      </c>
      <c r="D179" s="819">
        <v>646136.68000000005</v>
      </c>
      <c r="E179" s="819"/>
      <c r="F179" s="819">
        <f>498000+270000</f>
        <v>768000</v>
      </c>
      <c r="G179" s="819"/>
      <c r="H179" s="819"/>
      <c r="I179" s="819"/>
      <c r="J179" s="819"/>
      <c r="K179" s="541"/>
      <c r="L179" s="541"/>
    </row>
    <row r="180" spans="1:12" x14ac:dyDescent="0.7">
      <c r="A180" s="96"/>
      <c r="B180" s="6" t="s">
        <v>6737</v>
      </c>
      <c r="C180" s="819">
        <f>SUM(C181:C185)</f>
        <v>10595253.439999999</v>
      </c>
      <c r="D180" s="819">
        <f>SUM(D181:D185)</f>
        <v>10694319.529999999</v>
      </c>
      <c r="E180" s="819"/>
      <c r="F180" s="819">
        <f>SUM(F181:F186)</f>
        <v>9526182.2400000002</v>
      </c>
      <c r="G180" s="819"/>
      <c r="H180" s="819"/>
      <c r="I180" s="819"/>
      <c r="J180" s="819"/>
      <c r="K180" s="541"/>
      <c r="L180" s="541"/>
    </row>
    <row r="181" spans="1:12" x14ac:dyDescent="0.7">
      <c r="A181" s="96"/>
      <c r="B181" s="6" t="s">
        <v>6738</v>
      </c>
      <c r="C181" s="819">
        <v>7918163.2400000002</v>
      </c>
      <c r="D181" s="819">
        <v>7370706.5</v>
      </c>
      <c r="E181" s="819"/>
      <c r="F181" s="819">
        <v>2016000</v>
      </c>
      <c r="G181" s="819"/>
      <c r="H181" s="819"/>
      <c r="I181" s="819"/>
      <c r="J181" s="819"/>
      <c r="K181" s="541"/>
      <c r="L181" s="541"/>
    </row>
    <row r="182" spans="1:12" x14ac:dyDescent="0.7">
      <c r="A182" s="96"/>
      <c r="B182" s="6" t="s">
        <v>6739</v>
      </c>
      <c r="C182" s="819">
        <v>919557.2</v>
      </c>
      <c r="D182" s="819">
        <v>718155.11</v>
      </c>
      <c r="E182" s="819"/>
      <c r="F182" s="819">
        <f>782930+20000</f>
        <v>802930</v>
      </c>
      <c r="G182" s="819"/>
      <c r="H182" s="819"/>
      <c r="I182" s="819"/>
      <c r="J182" s="819"/>
      <c r="K182" s="541"/>
      <c r="L182" s="541"/>
    </row>
    <row r="183" spans="1:12" x14ac:dyDescent="0.7">
      <c r="A183" s="96"/>
      <c r="B183" s="6" t="s">
        <v>6740</v>
      </c>
      <c r="C183" s="819">
        <v>1120000</v>
      </c>
      <c r="D183" s="819">
        <v>1090290</v>
      </c>
      <c r="E183" s="819"/>
      <c r="F183" s="819">
        <f>65600+347200+65000</f>
        <v>477800</v>
      </c>
      <c r="G183" s="819"/>
      <c r="H183" s="819"/>
      <c r="I183" s="819"/>
      <c r="J183" s="819"/>
      <c r="K183" s="541"/>
      <c r="L183" s="541"/>
    </row>
    <row r="184" spans="1:12" x14ac:dyDescent="0.7">
      <c r="A184" s="96"/>
      <c r="B184" s="6" t="s">
        <v>6741</v>
      </c>
      <c r="C184" s="819">
        <v>637533</v>
      </c>
      <c r="D184" s="819">
        <v>1515167.92</v>
      </c>
      <c r="E184" s="819"/>
      <c r="F184" s="819">
        <v>6229452.2400000002</v>
      </c>
      <c r="G184" s="819"/>
      <c r="H184" s="819"/>
      <c r="I184" s="819"/>
      <c r="J184" s="819"/>
      <c r="K184" s="541"/>
      <c r="L184" s="541"/>
    </row>
    <row r="185" spans="1:12" x14ac:dyDescent="0.7">
      <c r="A185" s="96"/>
      <c r="B185" s="6" t="s">
        <v>6742</v>
      </c>
      <c r="C185" s="819">
        <v>0</v>
      </c>
      <c r="D185" s="819">
        <v>0</v>
      </c>
      <c r="E185" s="819"/>
      <c r="F185" s="819">
        <v>0</v>
      </c>
      <c r="G185" s="819"/>
      <c r="H185" s="819"/>
      <c r="I185" s="819"/>
      <c r="J185" s="819"/>
      <c r="K185" s="541"/>
      <c r="L185" s="541"/>
    </row>
    <row r="186" spans="1:12" x14ac:dyDescent="0.7">
      <c r="A186" s="96"/>
      <c r="B186" s="6" t="s">
        <v>6743</v>
      </c>
      <c r="C186" s="819">
        <f>227260+20000+39600</f>
        <v>286860</v>
      </c>
      <c r="D186" s="819">
        <v>0</v>
      </c>
      <c r="E186" s="819"/>
      <c r="F186" s="819">
        <v>0</v>
      </c>
      <c r="G186" s="819"/>
      <c r="H186" s="819"/>
      <c r="I186" s="819"/>
      <c r="J186" s="819"/>
      <c r="K186" s="541"/>
      <c r="L186" s="541"/>
    </row>
    <row r="187" spans="1:12" x14ac:dyDescent="0.7">
      <c r="A187" s="96"/>
      <c r="B187" s="6" t="s">
        <v>6744</v>
      </c>
      <c r="C187" s="819">
        <f>SUM(C188:C191)</f>
        <v>479700</v>
      </c>
      <c r="D187" s="819">
        <f>SUM(D188:D191)</f>
        <v>663590.18999999994</v>
      </c>
      <c r="E187" s="819"/>
      <c r="F187" s="819">
        <f>SUM(F188:F191)</f>
        <v>509000</v>
      </c>
      <c r="G187" s="819"/>
      <c r="H187" s="819"/>
      <c r="I187" s="819"/>
      <c r="J187" s="819"/>
      <c r="K187" s="541"/>
      <c r="L187" s="541"/>
    </row>
    <row r="188" spans="1:12" x14ac:dyDescent="0.7">
      <c r="A188" s="96"/>
      <c r="B188" s="6" t="s">
        <v>6745</v>
      </c>
      <c r="C188" s="819">
        <v>200000</v>
      </c>
      <c r="D188" s="819">
        <v>480000</v>
      </c>
      <c r="E188" s="819"/>
      <c r="F188" s="819">
        <v>200000</v>
      </c>
      <c r="G188" s="819"/>
      <c r="H188" s="819"/>
      <c r="I188" s="819"/>
      <c r="J188" s="819"/>
      <c r="K188" s="541"/>
      <c r="L188" s="541"/>
    </row>
    <row r="189" spans="1:12" x14ac:dyDescent="0.7">
      <c r="A189" s="96"/>
      <c r="B189" s="6" t="s">
        <v>6746</v>
      </c>
      <c r="C189" s="819">
        <v>180000</v>
      </c>
      <c r="D189" s="819">
        <v>106077.19</v>
      </c>
      <c r="E189" s="819"/>
      <c r="F189" s="819">
        <v>140000</v>
      </c>
      <c r="G189" s="819"/>
      <c r="H189" s="819"/>
      <c r="I189" s="819"/>
      <c r="J189" s="819"/>
      <c r="K189" s="541"/>
      <c r="L189" s="541"/>
    </row>
    <row r="190" spans="1:12" x14ac:dyDescent="0.7">
      <c r="A190" s="96"/>
      <c r="B190" s="6" t="s">
        <v>6747</v>
      </c>
      <c r="C190" s="819">
        <v>0</v>
      </c>
      <c r="D190" s="819">
        <v>0</v>
      </c>
      <c r="E190" s="819"/>
      <c r="F190" s="819">
        <v>0</v>
      </c>
      <c r="G190" s="819"/>
      <c r="H190" s="819"/>
      <c r="I190" s="819"/>
      <c r="J190" s="819"/>
      <c r="K190" s="541"/>
      <c r="L190" s="541"/>
    </row>
    <row r="191" spans="1:12" x14ac:dyDescent="0.7">
      <c r="A191" s="96"/>
      <c r="B191" s="6" t="s">
        <v>6748</v>
      </c>
      <c r="C191" s="819">
        <v>99700</v>
      </c>
      <c r="D191" s="819">
        <v>77513</v>
      </c>
      <c r="E191" s="819"/>
      <c r="F191" s="819">
        <v>169000</v>
      </c>
      <c r="G191" s="819"/>
      <c r="H191" s="819"/>
      <c r="I191" s="819"/>
      <c r="J191" s="819"/>
      <c r="K191" s="541"/>
      <c r="L191" s="541"/>
    </row>
    <row r="192" spans="1:12" x14ac:dyDescent="0.7">
      <c r="A192" s="96"/>
      <c r="B192" s="6" t="s">
        <v>6749</v>
      </c>
      <c r="C192" s="819">
        <f>C123+C144+C150+C170+C176+C180+C187</f>
        <v>16774032.939999999</v>
      </c>
      <c r="D192" s="819">
        <f>D123+D144+D150+D170+D176+D180+D187</f>
        <v>17924393.25</v>
      </c>
      <c r="E192" s="819"/>
      <c r="F192" s="819">
        <f>F123+F144+F150+F170+F176+F180+F187</f>
        <v>17701781.359999999</v>
      </c>
      <c r="G192" s="819"/>
      <c r="H192" s="819"/>
      <c r="I192" s="819"/>
      <c r="J192" s="819"/>
      <c r="K192" s="541"/>
      <c r="L192" s="541"/>
    </row>
    <row r="193" spans="1:19" x14ac:dyDescent="0.7">
      <c r="A193" s="99"/>
      <c r="B193" s="168" t="s">
        <v>6354</v>
      </c>
      <c r="C193" s="164">
        <f t="shared" ref="C193:I193" si="4">SUM(C95:C175)</f>
        <v>32703519.59</v>
      </c>
      <c r="D193" s="164">
        <f t="shared" si="4"/>
        <v>29330745.259999998</v>
      </c>
      <c r="E193" s="164">
        <f t="shared" si="4"/>
        <v>252834</v>
      </c>
      <c r="F193" s="164">
        <f t="shared" si="4"/>
        <v>28968974</v>
      </c>
      <c r="G193" s="164">
        <f t="shared" si="4"/>
        <v>0</v>
      </c>
      <c r="H193" s="164">
        <f t="shared" si="4"/>
        <v>0</v>
      </c>
      <c r="I193" s="164">
        <f t="shared" si="4"/>
        <v>356970</v>
      </c>
      <c r="J193" s="164"/>
      <c r="K193" s="164">
        <f>SUM(K95:K175)</f>
        <v>423650</v>
      </c>
      <c r="L193" s="164"/>
    </row>
    <row r="194" spans="1:19" s="1" customFormat="1" x14ac:dyDescent="0.7">
      <c r="A194" s="99"/>
      <c r="B194" s="164" t="s">
        <v>6355</v>
      </c>
      <c r="C194" s="164">
        <f t="shared" ref="C194:I194" si="5">SUM(C94-C193)</f>
        <v>64043408.580000013</v>
      </c>
      <c r="D194" s="164">
        <f t="shared" si="5"/>
        <v>58345344.110000022</v>
      </c>
      <c r="E194" s="164">
        <f t="shared" si="5"/>
        <v>-12692750.609999998</v>
      </c>
      <c r="F194" s="164">
        <f t="shared" si="5"/>
        <v>61171530.459999979</v>
      </c>
      <c r="G194" s="164">
        <f t="shared" si="5"/>
        <v>44205603.650000006</v>
      </c>
      <c r="H194" s="164">
        <f t="shared" si="5"/>
        <v>0</v>
      </c>
      <c r="I194" s="164">
        <f t="shared" si="5"/>
        <v>-246510</v>
      </c>
      <c r="J194" s="164"/>
      <c r="K194" s="164">
        <f>SUM(K94-K193)</f>
        <v>-368600</v>
      </c>
      <c r="L194" s="164"/>
      <c r="Q194" s="820"/>
      <c r="R194" s="820"/>
      <c r="S194" s="820"/>
    </row>
    <row r="195" spans="1:19" x14ac:dyDescent="0.7">
      <c r="B195" s="167" t="s">
        <v>6356</v>
      </c>
      <c r="C195" s="166"/>
      <c r="D195" s="166"/>
      <c r="E195" s="166"/>
      <c r="F195" s="166"/>
      <c r="G195" s="166"/>
      <c r="H195" s="166"/>
      <c r="I195" s="541"/>
      <c r="J195" s="541"/>
      <c r="K195" s="166">
        <f>SUM('[1]1.Planfin2565'!F45)</f>
        <v>0</v>
      </c>
      <c r="L195" s="166"/>
    </row>
    <row r="196" spans="1:19" x14ac:dyDescent="0.7">
      <c r="B196" s="167" t="s">
        <v>6357</v>
      </c>
      <c r="C196" s="541"/>
      <c r="D196" s="541"/>
      <c r="E196" s="541"/>
      <c r="F196" s="541"/>
      <c r="G196" s="541"/>
      <c r="H196" s="541"/>
      <c r="I196" s="541"/>
      <c r="J196" s="541"/>
      <c r="K196" s="541">
        <f>SUM(K194+K195)</f>
        <v>-368600</v>
      </c>
      <c r="L196" s="541"/>
    </row>
    <row r="197" spans="1:19" x14ac:dyDescent="0.7">
      <c r="A197" s="6" t="s">
        <v>6282</v>
      </c>
      <c r="B197" s="109" t="s">
        <v>6750</v>
      </c>
      <c r="C197" s="541"/>
      <c r="D197" s="541"/>
      <c r="E197" s="541"/>
      <c r="F197" s="541"/>
      <c r="G197" s="541"/>
      <c r="H197" s="541"/>
      <c r="I197" s="541"/>
      <c r="J197" s="541"/>
      <c r="K197" s="541">
        <f>IFERROR(INDEX([1]กศภ2564Q3!$154:$154,MATCH('[1]1.Planfin2565'!$I$2,[1]กศภ2564Q3!$42:$42,0)),0)</f>
        <v>0</v>
      </c>
      <c r="L197" s="541"/>
    </row>
    <row r="198" spans="1:19" x14ac:dyDescent="0.7">
      <c r="A198" s="6" t="s">
        <v>6283</v>
      </c>
      <c r="B198" s="109" t="s">
        <v>6751</v>
      </c>
      <c r="C198" s="541"/>
      <c r="D198" s="541"/>
      <c r="E198" s="541"/>
      <c r="F198" s="541"/>
      <c r="G198" s="541"/>
      <c r="H198" s="541"/>
      <c r="I198" s="541"/>
      <c r="J198" s="541"/>
      <c r="K198" s="541">
        <f>IFERROR(INDEX([1]กศภ2564Q3!$155:$155,MATCH('[1]1.Planfin2565'!$I$2,[1]กศภ2564Q3!$42:$42,0)),0)</f>
        <v>0</v>
      </c>
      <c r="L198" s="541"/>
    </row>
    <row r="199" spans="1:19" x14ac:dyDescent="0.7">
      <c r="A199" s="6" t="s">
        <v>6284</v>
      </c>
      <c r="B199" s="109" t="s">
        <v>6752</v>
      </c>
      <c r="C199" s="541"/>
      <c r="D199" s="541"/>
      <c r="E199" s="541"/>
      <c r="F199" s="541"/>
      <c r="G199" s="541"/>
      <c r="H199" s="541"/>
      <c r="I199" s="541"/>
      <c r="J199" s="541"/>
      <c r="K199" s="541">
        <f>IFERROR(INDEX([1]กศภ2564Q3!$156:$156,MATCH('[1]1.Planfin2565'!$I$2,[1]กศภ2564Q3!$42:$42,0)),0)</f>
        <v>0</v>
      </c>
      <c r="L199" s="541"/>
    </row>
    <row r="200" spans="1:19" x14ac:dyDescent="0.7">
      <c r="A200" s="6" t="s">
        <v>6285</v>
      </c>
      <c r="B200" s="109" t="s">
        <v>6753</v>
      </c>
      <c r="C200" s="541"/>
      <c r="D200" s="541"/>
      <c r="E200" s="541"/>
      <c r="F200" s="541"/>
      <c r="G200" s="541"/>
      <c r="H200" s="541"/>
      <c r="I200" s="541"/>
      <c r="J200" s="541"/>
      <c r="K200" s="541">
        <f>IFERROR(INDEX([1]กศภ2564Q3!$157:$157,MATCH('[1]1.Planfin2565'!$I$2,[1]กศภ2564Q3!$42:$42,0)),0)</f>
        <v>0</v>
      </c>
      <c r="L200" s="541"/>
    </row>
    <row r="201" spans="1:19" x14ac:dyDescent="0.7">
      <c r="B201" s="167" t="s">
        <v>6358</v>
      </c>
      <c r="C201" s="541"/>
      <c r="D201" s="541"/>
      <c r="E201" s="541"/>
      <c r="F201" s="541"/>
      <c r="G201" s="541"/>
      <c r="H201" s="541"/>
      <c r="I201" s="541"/>
      <c r="J201" s="541"/>
      <c r="K201" s="541">
        <f>SUM(K196-K197-K198-K199-K200)</f>
        <v>-368600</v>
      </c>
      <c r="L201" s="541"/>
    </row>
    <row r="202" spans="1:19" x14ac:dyDescent="0.7">
      <c r="K202" s="541"/>
      <c r="L202" s="541"/>
    </row>
    <row r="203" spans="1:19" x14ac:dyDescent="0.7">
      <c r="K203" s="541"/>
      <c r="L203" s="541"/>
    </row>
    <row r="204" spans="1:19" x14ac:dyDescent="0.7">
      <c r="K204" s="541"/>
      <c r="L204" s="541"/>
    </row>
    <row r="205" spans="1:19" x14ac:dyDescent="0.7">
      <c r="K205" s="541"/>
      <c r="L205" s="541"/>
    </row>
    <row r="206" spans="1:19" x14ac:dyDescent="0.7">
      <c r="K206" s="541"/>
      <c r="L206" s="541"/>
    </row>
  </sheetData>
  <mergeCells count="2">
    <mergeCell ref="C6:E6"/>
    <mergeCell ref="F6:H6"/>
  </mergeCells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59"/>
  <sheetViews>
    <sheetView zoomScale="90" zoomScaleNormal="90" workbookViewId="0">
      <selection activeCell="E13" sqref="E13:E19"/>
    </sheetView>
  </sheetViews>
  <sheetFormatPr defaultColWidth="9" defaultRowHeight="24.6" x14ac:dyDescent="0.7"/>
  <cols>
    <col min="1" max="1" width="2.09765625" style="6" customWidth="1"/>
    <col min="2" max="2" width="4.59765625" style="6" customWidth="1"/>
    <col min="3" max="3" width="9" style="96" customWidth="1"/>
    <col min="4" max="4" width="46.8984375" style="6" customWidth="1"/>
    <col min="5" max="5" width="14.3984375" style="6" customWidth="1"/>
    <col min="6" max="6" width="17.3984375" style="96" customWidth="1"/>
    <col min="7" max="7" width="18.19921875" style="6" customWidth="1"/>
    <col min="8" max="8" width="17.796875" style="6" bestFit="1" customWidth="1"/>
    <col min="9" max="9" width="15.19921875" style="6" customWidth="1"/>
    <col min="10" max="10" width="18" style="11" customWidth="1"/>
    <col min="11" max="11" width="26.8984375" style="6" customWidth="1"/>
    <col min="12" max="12" width="14.3984375" style="6" bestFit="1" customWidth="1"/>
    <col min="13" max="16384" width="9" style="6"/>
  </cols>
  <sheetData>
    <row r="1" spans="3:13" ht="25.8" customHeight="1" thickBot="1" x14ac:dyDescent="0.75">
      <c r="E1" s="279" t="str">
        <f>'1.Planfin2566'!G2</f>
        <v>28849</v>
      </c>
    </row>
    <row r="2" spans="3:13" ht="27" x14ac:dyDescent="0.75">
      <c r="C2" s="83"/>
      <c r="D2" s="276" t="s">
        <v>673</v>
      </c>
      <c r="E2" s="704" t="s">
        <v>1150</v>
      </c>
      <c r="F2" s="705"/>
      <c r="G2" s="706"/>
      <c r="H2" s="82"/>
      <c r="I2" s="99"/>
    </row>
    <row r="3" spans="3:13" s="45" customFormat="1" ht="53.25" customHeight="1" x14ac:dyDescent="0.25">
      <c r="C3" s="120">
        <v>1</v>
      </c>
      <c r="D3" s="121" t="s">
        <v>1148</v>
      </c>
      <c r="E3" s="105" t="s">
        <v>598</v>
      </c>
      <c r="F3" s="105" t="s">
        <v>600</v>
      </c>
      <c r="G3" s="315" t="s">
        <v>599</v>
      </c>
      <c r="H3" s="105"/>
      <c r="I3" s="105"/>
      <c r="J3" s="256"/>
    </row>
    <row r="4" spans="3:13" x14ac:dyDescent="0.7">
      <c r="C4" s="96">
        <v>41010</v>
      </c>
      <c r="D4" s="6" t="s">
        <v>1161</v>
      </c>
      <c r="E4" s="280">
        <v>41000</v>
      </c>
      <c r="F4" s="292">
        <f>IF(E4=0,"0",G4/E4)</f>
        <v>112.2560975609756</v>
      </c>
      <c r="G4" s="85">
        <f>SUMIF('6.WS-Re-Exp'!$E:$E,'2.Revenue'!C4,'6.WS-Re-Exp'!$C:$C)</f>
        <v>4602500</v>
      </c>
      <c r="H4" s="308"/>
      <c r="I4" s="309"/>
      <c r="J4" s="257"/>
      <c r="K4" s="258"/>
    </row>
    <row r="5" spans="3:13" x14ac:dyDescent="0.7">
      <c r="C5" s="96">
        <v>41020</v>
      </c>
      <c r="D5" s="6" t="s">
        <v>5</v>
      </c>
      <c r="E5" s="281">
        <v>65</v>
      </c>
      <c r="F5" s="292">
        <f t="shared" ref="F5:F10" si="0">IF(E5=0,"0",G5/E5)</f>
        <v>153.84615384615384</v>
      </c>
      <c r="G5" s="85">
        <f>SUMIF('6.WS-Re-Exp'!$E:$E,'2.Revenue'!C5,'6.WS-Re-Exp'!$C:$C)</f>
        <v>10000</v>
      </c>
      <c r="H5" s="308"/>
      <c r="I5" s="309"/>
      <c r="J5" s="257"/>
      <c r="K5" s="258"/>
    </row>
    <row r="6" spans="3:13" x14ac:dyDescent="0.7">
      <c r="C6" s="96">
        <v>41030</v>
      </c>
      <c r="D6" s="6" t="s">
        <v>633</v>
      </c>
      <c r="E6" s="281">
        <v>340</v>
      </c>
      <c r="F6" s="292">
        <f t="shared" si="0"/>
        <v>775.08235294117651</v>
      </c>
      <c r="G6" s="85">
        <f>SUMIF('6.WS-Re-Exp'!$E:$E,'2.Revenue'!C6,'6.WS-Re-Exp'!$C:$C)</f>
        <v>263528</v>
      </c>
      <c r="H6" s="308"/>
      <c r="I6" s="309">
        <v>0</v>
      </c>
      <c r="J6" s="257"/>
      <c r="K6" s="258"/>
    </row>
    <row r="7" spans="3:13" ht="21.6" customHeight="1" x14ac:dyDescent="0.7">
      <c r="C7" s="96">
        <v>41040</v>
      </c>
      <c r="D7" s="6" t="s">
        <v>7</v>
      </c>
      <c r="E7" s="281">
        <v>2801</v>
      </c>
      <c r="F7" s="292">
        <f t="shared" si="0"/>
        <v>357.01535166012138</v>
      </c>
      <c r="G7" s="85">
        <f>SUMIF('6.WS-Re-Exp'!$E:$E,'2.Revenue'!C7,'6.WS-Re-Exp'!$C:$C)</f>
        <v>1000000</v>
      </c>
      <c r="H7" s="308"/>
      <c r="I7" s="309"/>
      <c r="J7" s="257"/>
      <c r="K7" s="258"/>
    </row>
    <row r="8" spans="3:13" ht="20.399999999999999" customHeight="1" x14ac:dyDescent="0.7">
      <c r="C8" s="96">
        <v>41050</v>
      </c>
      <c r="D8" s="6" t="s">
        <v>1163</v>
      </c>
      <c r="E8" s="281">
        <v>2752</v>
      </c>
      <c r="F8" s="292">
        <f t="shared" si="0"/>
        <v>672.23837209302326</v>
      </c>
      <c r="G8" s="85">
        <f>SUMIF('6.WS-Re-Exp'!$E:$E,'2.Revenue'!C8,'6.WS-Re-Exp'!$C:$C)</f>
        <v>1850000</v>
      </c>
      <c r="H8" s="308"/>
      <c r="I8" s="309"/>
      <c r="J8" s="257"/>
      <c r="K8" s="258"/>
      <c r="L8" s="11"/>
    </row>
    <row r="9" spans="3:13" x14ac:dyDescent="0.7">
      <c r="C9" s="96">
        <v>41060</v>
      </c>
      <c r="D9" s="6" t="s">
        <v>1162</v>
      </c>
      <c r="E9" s="281">
        <v>1537</v>
      </c>
      <c r="F9" s="292">
        <f t="shared" si="0"/>
        <v>296.03122966818478</v>
      </c>
      <c r="G9" s="85">
        <f>SUMIF('6.WS-Re-Exp'!$E:$E,'2.Revenue'!C9,'6.WS-Re-Exp'!$C:$C)</f>
        <v>455000</v>
      </c>
      <c r="H9" s="308"/>
      <c r="I9" s="309"/>
      <c r="J9" s="257"/>
      <c r="K9" s="258"/>
      <c r="L9" s="11"/>
      <c r="M9" s="7"/>
    </row>
    <row r="10" spans="3:13" x14ac:dyDescent="0.7">
      <c r="C10" s="96">
        <v>41070</v>
      </c>
      <c r="D10" s="6" t="s">
        <v>13</v>
      </c>
      <c r="E10" s="281">
        <v>3080</v>
      </c>
      <c r="F10" s="292">
        <f t="shared" si="0"/>
        <v>2614.6103896103896</v>
      </c>
      <c r="G10" s="85">
        <f>SUMIF('6.WS-Re-Exp'!$E:$E,'2.Revenue'!C10,'6.WS-Re-Exp'!$C:$C)</f>
        <v>8053000</v>
      </c>
      <c r="H10" s="308"/>
      <c r="I10" s="309"/>
      <c r="J10" s="257"/>
      <c r="K10" s="259"/>
    </row>
    <row r="11" spans="3:13" ht="25.2" thickBot="1" x14ac:dyDescent="0.75">
      <c r="C11" s="96">
        <v>41111</v>
      </c>
      <c r="D11" s="1" t="s">
        <v>1164</v>
      </c>
      <c r="E11" s="252">
        <f>SUM(E4:E10)</f>
        <v>51575</v>
      </c>
      <c r="F11" s="218"/>
      <c r="G11" s="217">
        <f>SUM(G4:G10)</f>
        <v>16234028</v>
      </c>
      <c r="H11" s="310"/>
      <c r="K11" s="257"/>
      <c r="L11" s="255"/>
    </row>
    <row r="12" spans="3:13" ht="43.2" customHeight="1" x14ac:dyDescent="0.7">
      <c r="C12" s="119">
        <v>2</v>
      </c>
      <c r="D12" s="12" t="s">
        <v>1149</v>
      </c>
      <c r="E12" s="277" t="s">
        <v>699</v>
      </c>
      <c r="F12" s="278" t="s">
        <v>597</v>
      </c>
      <c r="G12" s="278" t="s">
        <v>672</v>
      </c>
      <c r="H12" s="311"/>
      <c r="I12" s="312"/>
    </row>
    <row r="13" spans="3:13" x14ac:dyDescent="0.7">
      <c r="C13" s="96">
        <v>42010</v>
      </c>
      <c r="D13" s="6" t="s">
        <v>1161</v>
      </c>
      <c r="E13" s="282">
        <v>1164.47</v>
      </c>
      <c r="F13" s="293">
        <f>IF(E13=0,"0",G13/E13)</f>
        <v>5581.9385643254009</v>
      </c>
      <c r="G13" s="85">
        <f>SUMIF('6.WS-Re-Exp'!$E:$E,'2.Revenue'!C13,'6.WS-Re-Exp'!$C:$C)</f>
        <v>6500000</v>
      </c>
      <c r="H13" s="313"/>
      <c r="I13" s="313"/>
    </row>
    <row r="14" spans="3:13" x14ac:dyDescent="0.7">
      <c r="C14" s="96">
        <v>42020</v>
      </c>
      <c r="D14" s="6" t="s">
        <v>5</v>
      </c>
      <c r="E14" s="282">
        <v>1.3626</v>
      </c>
      <c r="F14" s="293">
        <f t="shared" ref="F14:F19" si="1">IF(E14=0,"0",G14/E14)</f>
        <v>3669.4554528108029</v>
      </c>
      <c r="G14" s="85">
        <f>SUMIF('6.WS-Re-Exp'!$E:$E,'2.Revenue'!C14,'6.WS-Re-Exp'!$C:$C)</f>
        <v>5000</v>
      </c>
      <c r="H14" s="313"/>
      <c r="I14" s="313"/>
    </row>
    <row r="15" spans="3:13" x14ac:dyDescent="0.7">
      <c r="C15" s="96">
        <v>42030</v>
      </c>
      <c r="D15" s="6" t="s">
        <v>633</v>
      </c>
      <c r="E15" s="282">
        <v>12.060700000000001</v>
      </c>
      <c r="F15" s="293">
        <f t="shared" si="1"/>
        <v>15926.563134809754</v>
      </c>
      <c r="G15" s="85">
        <f>SUMIF('6.WS-Re-Exp'!$E:$E,'2.Revenue'!C15,'6.WS-Re-Exp'!$C:$C)</f>
        <v>192085.5</v>
      </c>
      <c r="H15" s="313"/>
      <c r="I15" s="313"/>
    </row>
    <row r="16" spans="3:13" x14ac:dyDescent="0.7">
      <c r="C16" s="96">
        <v>42040</v>
      </c>
      <c r="D16" s="6" t="s">
        <v>7</v>
      </c>
      <c r="E16" s="282">
        <v>101.9589</v>
      </c>
      <c r="F16" s="293">
        <f t="shared" si="1"/>
        <v>14415.575785929428</v>
      </c>
      <c r="G16" s="85">
        <f>SUMIF('6.WS-Re-Exp'!$E:$E,'2.Revenue'!C16,'6.WS-Re-Exp'!$C:$C)</f>
        <v>1469796.25</v>
      </c>
      <c r="H16" s="313"/>
      <c r="I16" s="313"/>
      <c r="K16" s="260"/>
      <c r="L16" s="7"/>
    </row>
    <row r="17" spans="3:12" x14ac:dyDescent="0.7">
      <c r="C17" s="96">
        <v>42050</v>
      </c>
      <c r="D17" s="6" t="s">
        <v>9</v>
      </c>
      <c r="E17" s="282">
        <v>132.07490000000001</v>
      </c>
      <c r="F17" s="293">
        <f t="shared" si="1"/>
        <v>10221.47281580376</v>
      </c>
      <c r="G17" s="85">
        <f>SUMIF('6.WS-Re-Exp'!$E:$E,'2.Revenue'!C17,'6.WS-Re-Exp'!$C:$C)</f>
        <v>1350000</v>
      </c>
      <c r="H17" s="313"/>
      <c r="I17" s="313"/>
    </row>
    <row r="18" spans="3:12" x14ac:dyDescent="0.7">
      <c r="C18" s="96">
        <v>42060</v>
      </c>
      <c r="D18" s="6" t="s">
        <v>11</v>
      </c>
      <c r="E18" s="282">
        <v>41.741500000000002</v>
      </c>
      <c r="F18" s="293">
        <f t="shared" si="1"/>
        <v>5989.243318999077</v>
      </c>
      <c r="G18" s="85">
        <f>SUMIF('6.WS-Re-Exp'!$E:$E,'2.Revenue'!C18,'6.WS-Re-Exp'!$C:$C)</f>
        <v>250000</v>
      </c>
      <c r="H18" s="313"/>
      <c r="I18" s="313"/>
    </row>
    <row r="19" spans="3:12" x14ac:dyDescent="0.7">
      <c r="C19" s="96">
        <v>42070</v>
      </c>
      <c r="D19" s="6" t="s">
        <v>13</v>
      </c>
      <c r="E19" s="282">
        <v>29.837</v>
      </c>
      <c r="F19" s="293">
        <f t="shared" si="1"/>
        <v>60100.512786138017</v>
      </c>
      <c r="G19" s="85">
        <f>SUMIF('6.WS-Re-Exp'!$E:$E,'2.Revenue'!C19,'6.WS-Re-Exp'!$C:$C)</f>
        <v>1793219</v>
      </c>
      <c r="H19" s="313"/>
      <c r="I19" s="313"/>
      <c r="K19" s="257"/>
      <c r="L19" s="255"/>
    </row>
    <row r="20" spans="3:12" ht="25.2" thickBot="1" x14ac:dyDescent="0.75">
      <c r="C20" s="84">
        <v>42222</v>
      </c>
      <c r="D20" s="1" t="s">
        <v>1165</v>
      </c>
      <c r="E20" s="283">
        <f>SUM(E13:E19)</f>
        <v>1483.5056000000002</v>
      </c>
      <c r="F20" s="285">
        <f>IF(E20=0,"0",G20/E20)</f>
        <v>7792.4213767713436</v>
      </c>
      <c r="G20" s="219">
        <f>SUM(G13:G19)</f>
        <v>11560100.75</v>
      </c>
      <c r="H20" s="314"/>
      <c r="K20" s="261"/>
    </row>
    <row r="21" spans="3:12" ht="25.2" thickTop="1" x14ac:dyDescent="0.7">
      <c r="C21" s="81">
        <v>3</v>
      </c>
      <c r="D21" s="12" t="s">
        <v>620</v>
      </c>
      <c r="E21" s="86"/>
      <c r="G21" s="85"/>
      <c r="K21" s="262"/>
    </row>
    <row r="22" spans="3:12" x14ac:dyDescent="0.7">
      <c r="C22" s="84">
        <v>43010</v>
      </c>
      <c r="D22" s="6" t="s">
        <v>1161</v>
      </c>
      <c r="E22" s="86"/>
      <c r="G22" s="85">
        <f>SUMIF('6.WS-Re-Exp'!$E:$E,'2.Revenue'!C22,'6.WS-Re-Exp'!$C:$C)</f>
        <v>3961230.4</v>
      </c>
    </row>
    <row r="23" spans="3:12" x14ac:dyDescent="0.7">
      <c r="C23" s="84">
        <v>43020</v>
      </c>
      <c r="D23" s="87" t="s">
        <v>7</v>
      </c>
      <c r="E23" s="86"/>
      <c r="G23" s="85">
        <f>SUMIF('6.WS-Re-Exp'!$E:$E,'2.Revenue'!C23,'6.WS-Re-Exp'!$C:$C)</f>
        <v>104700</v>
      </c>
    </row>
    <row r="24" spans="3:12" x14ac:dyDescent="0.7">
      <c r="C24" s="84">
        <v>43030</v>
      </c>
      <c r="D24" s="6" t="s">
        <v>9</v>
      </c>
      <c r="E24" s="86"/>
      <c r="G24" s="85">
        <f>SUMIF('6.WS-Re-Exp'!$E:$E,'2.Revenue'!C24,'6.WS-Re-Exp'!$C:$C)</f>
        <v>100000</v>
      </c>
    </row>
    <row r="25" spans="3:12" x14ac:dyDescent="0.7">
      <c r="C25" s="84">
        <v>43040</v>
      </c>
      <c r="D25" s="6" t="s">
        <v>11</v>
      </c>
      <c r="E25" s="86"/>
      <c r="G25" s="85">
        <f>SUMIF('6.WS-Re-Exp'!$E:$E,'2.Revenue'!C25,'6.WS-Re-Exp'!$C:$C)</f>
        <v>0</v>
      </c>
    </row>
    <row r="26" spans="3:12" x14ac:dyDescent="0.7">
      <c r="C26" s="84">
        <v>43050</v>
      </c>
      <c r="D26" s="6" t="s">
        <v>13</v>
      </c>
      <c r="E26" s="86"/>
      <c r="G26" s="85">
        <f>SUMIF('6.WS-Re-Exp'!$E:$E,'2.Revenue'!C26,'6.WS-Re-Exp'!$C:$C)</f>
        <v>694111.19</v>
      </c>
    </row>
    <row r="27" spans="3:12" ht="18" customHeight="1" x14ac:dyDescent="0.7">
      <c r="C27" s="84">
        <v>43060</v>
      </c>
      <c r="D27" s="6" t="s">
        <v>3</v>
      </c>
      <c r="E27" s="86"/>
      <c r="G27" s="85">
        <f>SUMIF('6.WS-Re-Exp'!$E:$E,'2.Revenue'!C27,'6.WS-Re-Exp'!$C:$C)</f>
        <v>450000</v>
      </c>
    </row>
    <row r="28" spans="3:12" s="1" customFormat="1" x14ac:dyDescent="0.7">
      <c r="C28" s="82">
        <v>43333</v>
      </c>
      <c r="D28" s="14" t="s">
        <v>636</v>
      </c>
      <c r="F28" s="99"/>
      <c r="G28" s="13">
        <f>SUM(G22:G27)</f>
        <v>5310041.59</v>
      </c>
      <c r="J28" s="2"/>
    </row>
    <row r="29" spans="3:12" x14ac:dyDescent="0.7">
      <c r="C29" s="81">
        <v>4</v>
      </c>
      <c r="D29" s="12" t="s">
        <v>676</v>
      </c>
      <c r="G29" s="88"/>
    </row>
    <row r="30" spans="3:12" x14ac:dyDescent="0.7">
      <c r="C30" s="84">
        <v>44010</v>
      </c>
      <c r="D30" s="89" t="s">
        <v>624</v>
      </c>
      <c r="E30" s="89"/>
      <c r="F30" s="286"/>
      <c r="G30" s="90">
        <f>SUMIF('6.WS-Re-Exp'!$E:$E,'2.Revenue'!C30,'6.WS-Re-Exp'!$C:$C)</f>
        <v>25126802.669999994</v>
      </c>
      <c r="K30" s="11"/>
    </row>
    <row r="31" spans="3:12" x14ac:dyDescent="0.7">
      <c r="C31" s="84">
        <v>44020</v>
      </c>
      <c r="D31" s="89" t="s">
        <v>625</v>
      </c>
      <c r="E31" s="89"/>
      <c r="F31" s="286"/>
      <c r="G31" s="90">
        <f>SUMIF('6.WS-Re-Exp'!$E:$E,'2.Revenue'!C31,'6.WS-Re-Exp'!$C:$C)</f>
        <v>0</v>
      </c>
      <c r="K31" s="11"/>
    </row>
    <row r="32" spans="3:12" x14ac:dyDescent="0.7">
      <c r="C32" s="84">
        <v>44030</v>
      </c>
      <c r="D32" s="89" t="s">
        <v>626</v>
      </c>
      <c r="E32" s="89"/>
      <c r="F32" s="286"/>
      <c r="G32" s="90">
        <f>SUMIF('6.WS-Re-Exp'!$E:$E,'2.Revenue'!C32,'6.WS-Re-Exp'!$C:$C)</f>
        <v>0</v>
      </c>
      <c r="K32" s="11"/>
    </row>
    <row r="33" spans="3:11" x14ac:dyDescent="0.7">
      <c r="C33" s="84">
        <v>44040</v>
      </c>
      <c r="D33" s="89" t="s">
        <v>627</v>
      </c>
      <c r="E33" s="89"/>
      <c r="F33" s="286"/>
      <c r="G33" s="90">
        <f>SUMIF('6.WS-Re-Exp'!$E:$E,'2.Revenue'!C33,'6.WS-Re-Exp'!$C:$C)</f>
        <v>302899</v>
      </c>
      <c r="K33" s="11"/>
    </row>
    <row r="34" spans="3:11" x14ac:dyDescent="0.7">
      <c r="C34" s="84">
        <v>44050</v>
      </c>
      <c r="D34" s="89" t="s">
        <v>628</v>
      </c>
      <c r="E34" s="89"/>
      <c r="F34" s="286"/>
      <c r="G34" s="90">
        <f>SUMIF('6.WS-Re-Exp'!$E:$E,'2.Revenue'!C34,'6.WS-Re-Exp'!$C:$C)</f>
        <v>0</v>
      </c>
      <c r="K34" s="11"/>
    </row>
    <row r="35" spans="3:11" x14ac:dyDescent="0.7">
      <c r="C35" s="253">
        <v>44060</v>
      </c>
      <c r="D35" s="211" t="s">
        <v>5812</v>
      </c>
      <c r="E35" s="211"/>
      <c r="F35" s="287"/>
      <c r="G35" s="254">
        <f>SUMIF('6.WS-Re-Exp'!$E:$E,'2.Revenue'!C35,'6.WS-Re-Exp'!$C:$C)</f>
        <v>0</v>
      </c>
      <c r="K35" s="11"/>
    </row>
    <row r="36" spans="3:11" x14ac:dyDescent="0.7">
      <c r="C36" s="84">
        <v>44444</v>
      </c>
      <c r="D36" s="22" t="s">
        <v>657</v>
      </c>
      <c r="E36" s="89"/>
      <c r="F36" s="286"/>
      <c r="G36" s="23">
        <f>SUM(G30:G35)</f>
        <v>25429701.669999994</v>
      </c>
    </row>
    <row r="37" spans="3:11" x14ac:dyDescent="0.7">
      <c r="C37" s="91">
        <v>5</v>
      </c>
      <c r="D37" s="12" t="s">
        <v>675</v>
      </c>
      <c r="F37" s="291"/>
      <c r="G37" s="85"/>
    </row>
    <row r="38" spans="3:11" x14ac:dyDescent="0.7">
      <c r="C38" s="84">
        <v>45010</v>
      </c>
      <c r="D38" s="89" t="s">
        <v>637</v>
      </c>
      <c r="E38" s="89"/>
      <c r="G38" s="90">
        <f>SUM(G4,G13,G22,G30)</f>
        <v>40190533.069999993</v>
      </c>
      <c r="H38" s="6">
        <v>5</v>
      </c>
    </row>
    <row r="39" spans="3:11" x14ac:dyDescent="0.7">
      <c r="C39" s="84">
        <v>45020</v>
      </c>
      <c r="D39" s="89" t="s">
        <v>638</v>
      </c>
      <c r="E39" s="89"/>
      <c r="G39" s="90">
        <f>SUM(G5,G14)</f>
        <v>15000</v>
      </c>
    </row>
    <row r="40" spans="3:11" x14ac:dyDescent="0.7">
      <c r="C40" s="84">
        <v>45030</v>
      </c>
      <c r="D40" s="89" t="s">
        <v>633</v>
      </c>
      <c r="E40" s="89"/>
      <c r="G40" s="90">
        <f>SUM(G6,G15,G32)</f>
        <v>455613.5</v>
      </c>
    </row>
    <row r="41" spans="3:11" x14ac:dyDescent="0.7">
      <c r="C41" s="84">
        <v>45040</v>
      </c>
      <c r="D41" s="89" t="s">
        <v>639</v>
      </c>
      <c r="E41" s="89"/>
      <c r="G41" s="90">
        <f>SUM(G7,G16,G23,G31)</f>
        <v>2574496.25</v>
      </c>
    </row>
    <row r="42" spans="3:11" x14ac:dyDescent="0.7">
      <c r="C42" s="84">
        <v>45050</v>
      </c>
      <c r="D42" s="89" t="s">
        <v>640</v>
      </c>
      <c r="E42" s="89"/>
      <c r="G42" s="90">
        <f>SUM(G8,G17,G24,G33)</f>
        <v>3602899</v>
      </c>
    </row>
    <row r="43" spans="3:11" x14ac:dyDescent="0.7">
      <c r="C43" s="84">
        <v>45060</v>
      </c>
      <c r="D43" s="89" t="s">
        <v>641</v>
      </c>
      <c r="E43" s="89"/>
      <c r="G43" s="90">
        <f>SUM(G9,G18,G25,G34)</f>
        <v>705000</v>
      </c>
    </row>
    <row r="44" spans="3:11" x14ac:dyDescent="0.7">
      <c r="C44" s="84">
        <v>45070</v>
      </c>
      <c r="D44" s="6" t="s">
        <v>13</v>
      </c>
      <c r="G44" s="85">
        <f>SUM(G10,G19,G26,G35)</f>
        <v>10540330.189999999</v>
      </c>
    </row>
    <row r="45" spans="3:11" x14ac:dyDescent="0.7">
      <c r="C45" s="84">
        <v>45080</v>
      </c>
      <c r="D45" s="87" t="s">
        <v>3</v>
      </c>
      <c r="E45" s="86"/>
      <c r="G45" s="85">
        <f>G27</f>
        <v>450000</v>
      </c>
    </row>
    <row r="46" spans="3:11" x14ac:dyDescent="0.7">
      <c r="C46" s="84">
        <v>45090</v>
      </c>
      <c r="D46" s="14" t="s">
        <v>642</v>
      </c>
      <c r="E46" s="86"/>
      <c r="G46" s="13">
        <f>SUM(G38:G45)</f>
        <v>58533872.00999999</v>
      </c>
    </row>
    <row r="47" spans="3:11" s="1" customFormat="1" x14ac:dyDescent="0.7">
      <c r="C47" s="84">
        <v>45100</v>
      </c>
      <c r="D47" s="6" t="s">
        <v>15</v>
      </c>
      <c r="E47" s="3"/>
      <c r="F47" s="99"/>
      <c r="G47" s="13">
        <f>SUMIF('6.WS-Re-Exp'!$E:$E,'2.Revenue'!C47,'6.WS-Re-Exp'!$C:$C)</f>
        <v>15968184.73</v>
      </c>
      <c r="J47" s="2"/>
    </row>
    <row r="48" spans="3:11" x14ac:dyDescent="0.7">
      <c r="C48" s="84">
        <v>45110</v>
      </c>
      <c r="D48" s="6" t="s">
        <v>17</v>
      </c>
      <c r="E48" s="86"/>
      <c r="G48" s="13">
        <f>SUMIF('6.WS-Re-Exp'!$E:$E,'2.Revenue'!C48,'6.WS-Re-Exp'!$C:$C)</f>
        <v>12144168.92</v>
      </c>
    </row>
    <row r="49" spans="3:9" x14ac:dyDescent="0.7">
      <c r="C49" s="84">
        <v>45111</v>
      </c>
      <c r="D49" s="86" t="s">
        <v>1147</v>
      </c>
      <c r="G49" s="13">
        <f>SUMIF('6.WS-Re-Exp'!$E:$E,'2.Revenue'!C49,'6.WS-Re-Exp'!$C:$C)</f>
        <v>0</v>
      </c>
    </row>
    <row r="50" spans="3:9" x14ac:dyDescent="0.7">
      <c r="C50" s="84">
        <v>45555</v>
      </c>
      <c r="D50" s="1" t="s">
        <v>643</v>
      </c>
      <c r="E50" s="86"/>
      <c r="G50" s="13">
        <f>SUM(G46:G49)</f>
        <v>86646225.659999996</v>
      </c>
    </row>
    <row r="51" spans="3:9" x14ac:dyDescent="0.7">
      <c r="C51" s="91">
        <v>6</v>
      </c>
      <c r="D51" s="92" t="s">
        <v>644</v>
      </c>
      <c r="E51" s="86"/>
      <c r="G51" s="85"/>
    </row>
    <row r="52" spans="3:9" x14ac:dyDescent="0.7">
      <c r="C52" s="84">
        <v>46010</v>
      </c>
      <c r="D52" s="6" t="s">
        <v>629</v>
      </c>
      <c r="E52" s="86"/>
      <c r="G52" s="85">
        <f>SUMIF('6.WS-Re-Exp'!$E:$E,'2.Revenue'!C52,'6.WS-Re-Exp'!$C:$C)</f>
        <v>1546100</v>
      </c>
    </row>
    <row r="53" spans="3:9" x14ac:dyDescent="0.7">
      <c r="C53" s="84">
        <v>46020</v>
      </c>
      <c r="D53" s="6" t="s">
        <v>630</v>
      </c>
      <c r="E53" s="86"/>
      <c r="G53" s="85">
        <f>SUMIF('6.WS-Re-Exp'!$E:$E,'2.Revenue'!C53,'6.WS-Re-Exp'!$C:$C)</f>
        <v>13312250</v>
      </c>
    </row>
    <row r="54" spans="3:9" x14ac:dyDescent="0.7">
      <c r="C54" s="84">
        <v>46030</v>
      </c>
      <c r="D54" s="6" t="s">
        <v>631</v>
      </c>
      <c r="E54" s="86"/>
      <c r="G54" s="85">
        <f>SUMIF('6.WS-Re-Exp'!$E:$E,'2.Revenue'!C54,'6.WS-Re-Exp'!$C:$C)</f>
        <v>0</v>
      </c>
    </row>
    <row r="55" spans="3:9" ht="25.2" thickBot="1" x14ac:dyDescent="0.75">
      <c r="C55" s="84" t="s">
        <v>659</v>
      </c>
      <c r="D55" s="1" t="s">
        <v>632</v>
      </c>
      <c r="G55" s="15">
        <f>SUM(G50,G52:G54)</f>
        <v>101504575.66</v>
      </c>
      <c r="H55" s="7">
        <f>SUM('5.งบทดลอง รพ.'!C449)</f>
        <v>101504575.66000001</v>
      </c>
      <c r="I55" s="96"/>
    </row>
    <row r="56" spans="3:9" ht="25.2" thickBot="1" x14ac:dyDescent="0.75">
      <c r="C56" s="93"/>
      <c r="D56" s="94"/>
      <c r="E56" s="94"/>
      <c r="F56" s="288"/>
      <c r="G56" s="95"/>
    </row>
    <row r="58" spans="3:9" x14ac:dyDescent="0.7">
      <c r="E58" s="1" t="s">
        <v>677</v>
      </c>
    </row>
    <row r="59" spans="3:9" x14ac:dyDescent="0.7">
      <c r="E59" s="6" t="s">
        <v>678</v>
      </c>
    </row>
  </sheetData>
  <mergeCells count="1">
    <mergeCell ref="E2:G2"/>
  </mergeCells>
  <conditionalFormatting sqref="I55">
    <cfRule type="containsText" dxfId="28" priority="1" operator="containsText" text="ไม่ถูกต้อง">
      <formula>NOT(ISERROR(SEARCH("ไม่ถูกต้อง",I55)))</formula>
    </cfRule>
    <cfRule type="containsText" dxfId="27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E957-6ACE-46B7-B0DF-86C642B19923}">
  <dimension ref="A1"/>
  <sheetViews>
    <sheetView workbookViewId="0">
      <selection activeCell="L25" sqref="L25"/>
    </sheetView>
  </sheetViews>
  <sheetFormatPr defaultRowHeight="13.8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topLeftCell="A19" zoomScaleNormal="100" workbookViewId="0">
      <selection activeCell="D37" sqref="D37"/>
    </sheetView>
  </sheetViews>
  <sheetFormatPr defaultColWidth="9" defaultRowHeight="24.6" x14ac:dyDescent="0.7"/>
  <cols>
    <col min="1" max="1" width="3.59765625" style="6" customWidth="1"/>
    <col min="2" max="2" width="4.59765625" style="6" customWidth="1"/>
    <col min="3" max="3" width="11.59765625" style="96" bestFit="1" customWidth="1"/>
    <col min="4" max="4" width="53.8984375" style="6" customWidth="1"/>
    <col min="5" max="5" width="20" style="6" customWidth="1"/>
    <col min="6" max="6" width="16.19921875" style="6" bestFit="1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5" ht="30" x14ac:dyDescent="0.85">
      <c r="C1" s="707" t="s">
        <v>705</v>
      </c>
      <c r="D1" s="708"/>
      <c r="E1" s="203" t="s">
        <v>6388</v>
      </c>
    </row>
    <row r="2" spans="3:5" s="46" customFormat="1" x14ac:dyDescent="0.25">
      <c r="C2" s="128">
        <v>1</v>
      </c>
      <c r="D2" s="24" t="s">
        <v>596</v>
      </c>
      <c r="E2" s="27" t="s">
        <v>621</v>
      </c>
    </row>
    <row r="3" spans="3:5" x14ac:dyDescent="0.7">
      <c r="C3" s="122">
        <v>51010</v>
      </c>
      <c r="D3" s="8" t="s">
        <v>215</v>
      </c>
      <c r="E3" s="123">
        <f>SUMIF('6.WS-Re-Exp'!$E:$E,'3.Expense'!C3,'6.WS-Re-Exp'!$C:$C)</f>
        <v>7589538.25</v>
      </c>
    </row>
    <row r="4" spans="3:5" x14ac:dyDescent="0.7">
      <c r="C4" s="122">
        <v>51020</v>
      </c>
      <c r="D4" s="8" t="s">
        <v>217</v>
      </c>
      <c r="E4" s="123">
        <f>SUMIF('6.WS-Re-Exp'!$E:$E,'3.Expense'!C4,'6.WS-Re-Exp'!$C:$C)</f>
        <v>26000</v>
      </c>
    </row>
    <row r="5" spans="3:5" x14ac:dyDescent="0.7">
      <c r="C5" s="122">
        <v>51030</v>
      </c>
      <c r="D5" s="8" t="s">
        <v>601</v>
      </c>
      <c r="E5" s="123">
        <f>SUMIF('6.WS-Re-Exp'!$E:$E,'3.Expense'!C5,'6.WS-Re-Exp'!$C:$C)</f>
        <v>3230729.49</v>
      </c>
    </row>
    <row r="6" spans="3:5" x14ac:dyDescent="0.7">
      <c r="C6" s="122">
        <v>51040</v>
      </c>
      <c r="D6" s="8" t="s">
        <v>602</v>
      </c>
      <c r="E6" s="123">
        <f>SUMIF('6.WS-Re-Exp'!$E:$E,'3.Expense'!C6,'6.WS-Re-Exp'!$C:$C)</f>
        <v>3195935</v>
      </c>
    </row>
    <row r="7" spans="3:5" x14ac:dyDescent="0.7">
      <c r="C7" s="122">
        <v>51050</v>
      </c>
      <c r="D7" s="8" t="s">
        <v>220</v>
      </c>
      <c r="E7" s="123">
        <f>SUMIF('6.WS-Re-Exp'!$E:$E,'3.Expense'!C7,'6.WS-Re-Exp'!$C:$C)</f>
        <v>500067.41</v>
      </c>
    </row>
    <row r="8" spans="3:5" x14ac:dyDescent="0.7">
      <c r="C8" s="122">
        <v>51060</v>
      </c>
      <c r="D8" s="8" t="s">
        <v>603</v>
      </c>
      <c r="E8" s="123">
        <f>SUMIF('6.WS-Re-Exp'!$E:$E,'3.Expense'!C8,'6.WS-Re-Exp'!$C:$C)</f>
        <v>3367185.8</v>
      </c>
    </row>
    <row r="9" spans="3:5" x14ac:dyDescent="0.7">
      <c r="C9" s="122">
        <v>51070</v>
      </c>
      <c r="D9" s="8" t="s">
        <v>6451</v>
      </c>
      <c r="E9" s="123">
        <f>SUMIF('6.WS-Re-Exp'!$E:$E,'3.Expense'!C9,'6.WS-Re-Exp'!$C:$C)</f>
        <v>13905400</v>
      </c>
    </row>
    <row r="10" spans="3:5" x14ac:dyDescent="0.7">
      <c r="C10" s="122">
        <v>51080</v>
      </c>
      <c r="D10" s="8" t="s">
        <v>604</v>
      </c>
      <c r="E10" s="123">
        <f>SUMIF('6.WS-Re-Exp'!$E:$E,'3.Expense'!C10,'6.WS-Re-Exp'!$C:$C)</f>
        <v>1434000</v>
      </c>
    </row>
    <row r="11" spans="3:5" x14ac:dyDescent="0.7">
      <c r="C11" s="122">
        <v>51090</v>
      </c>
      <c r="D11" s="8" t="s">
        <v>352</v>
      </c>
      <c r="E11" s="123">
        <f>SUMIF('6.WS-Re-Exp'!$E:$E,'3.Expense'!C11,'6.WS-Re-Exp'!$C:$C)</f>
        <v>2342116.15</v>
      </c>
    </row>
    <row r="12" spans="3:5" x14ac:dyDescent="0.7">
      <c r="C12" s="122">
        <v>51100</v>
      </c>
      <c r="D12" s="8" t="s">
        <v>605</v>
      </c>
      <c r="E12" s="123">
        <f>SUMIF('6.WS-Re-Exp'!$E:$E,'3.Expense'!C12,'6.WS-Re-Exp'!$C:$C)</f>
        <v>430000</v>
      </c>
    </row>
    <row r="13" spans="3:5" x14ac:dyDescent="0.7">
      <c r="C13" s="122">
        <v>51110</v>
      </c>
      <c r="D13" s="8" t="s">
        <v>606</v>
      </c>
      <c r="E13" s="123">
        <f>SUMIF('6.WS-Re-Exp'!$E:$E,'3.Expense'!C13,'6.WS-Re-Exp'!$C:$C)</f>
        <v>3520000</v>
      </c>
    </row>
    <row r="14" spans="3:5" x14ac:dyDescent="0.7">
      <c r="C14" s="122">
        <v>51120</v>
      </c>
      <c r="D14" s="8" t="s">
        <v>607</v>
      </c>
      <c r="E14" s="123">
        <f>SUMIF('6.WS-Re-Exp'!$E:$E,'3.Expense'!C14,'6.WS-Re-Exp'!$C:$C)</f>
        <v>2192550.5</v>
      </c>
    </row>
    <row r="15" spans="3:5" x14ac:dyDescent="0.7">
      <c r="C15" s="122">
        <v>51130</v>
      </c>
      <c r="D15" s="8" t="s">
        <v>608</v>
      </c>
      <c r="E15" s="123">
        <f>SUMIF('6.WS-Re-Exp'!$E:$E,'3.Expense'!C15,'6.WS-Re-Exp'!$C:$C)</f>
        <v>271031</v>
      </c>
    </row>
    <row r="16" spans="3:5" x14ac:dyDescent="0.7">
      <c r="C16" s="122">
        <v>51140</v>
      </c>
      <c r="D16" s="8" t="s">
        <v>609</v>
      </c>
      <c r="E16" s="123">
        <f>SUMIF('6.WS-Re-Exp'!$E:$E,'3.Expense'!C16,'6.WS-Re-Exp'!$C:$C)</f>
        <v>1206113</v>
      </c>
    </row>
    <row r="17" spans="2:5" x14ac:dyDescent="0.7">
      <c r="C17" s="124">
        <v>51111</v>
      </c>
      <c r="D17" s="26" t="s">
        <v>622</v>
      </c>
      <c r="E17" s="31">
        <f>SUM(E3:E16)</f>
        <v>43210666.600000001</v>
      </c>
    </row>
    <row r="18" spans="2:5" x14ac:dyDescent="0.7">
      <c r="C18" s="28">
        <v>2</v>
      </c>
      <c r="D18" s="25" t="s">
        <v>595</v>
      </c>
      <c r="E18" s="31"/>
    </row>
    <row r="19" spans="2:5" x14ac:dyDescent="0.7">
      <c r="B19" s="1"/>
      <c r="C19" s="122">
        <v>52010</v>
      </c>
      <c r="D19" s="8" t="s">
        <v>26</v>
      </c>
      <c r="E19" s="29">
        <f>SUMIF('6.WS-Re-Exp'!$E:$E,'3.Expense'!C19,'6.WS-Re-Exp'!$C:$C)</f>
        <v>15968184.729999999</v>
      </c>
    </row>
    <row r="20" spans="2:5" x14ac:dyDescent="0.7">
      <c r="C20" s="122">
        <v>52020</v>
      </c>
      <c r="D20" s="8" t="s">
        <v>610</v>
      </c>
      <c r="E20" s="29">
        <f>SUMIF('6.WS-Re-Exp'!$E:$E,'3.Expense'!C20,'6.WS-Re-Exp'!$C:$C)</f>
        <v>3088680</v>
      </c>
    </row>
    <row r="21" spans="2:5" x14ac:dyDescent="0.7">
      <c r="C21" s="122">
        <v>52030</v>
      </c>
      <c r="D21" s="8" t="s">
        <v>28</v>
      </c>
      <c r="E21" s="29">
        <f>SUMIF('6.WS-Re-Exp'!$E:$E,'3.Expense'!C21,'6.WS-Re-Exp'!$C:$C)</f>
        <v>4636920</v>
      </c>
    </row>
    <row r="22" spans="2:5" x14ac:dyDescent="0.7">
      <c r="C22" s="122">
        <v>52040</v>
      </c>
      <c r="D22" s="8" t="s">
        <v>611</v>
      </c>
      <c r="E22" s="29">
        <f>SUMIF('6.WS-Re-Exp'!$E:$E,'3.Expense'!C22,'6.WS-Re-Exp'!$C:$C)</f>
        <v>0</v>
      </c>
    </row>
    <row r="23" spans="2:5" x14ac:dyDescent="0.7">
      <c r="C23" s="125">
        <v>52050</v>
      </c>
      <c r="D23" s="26" t="s">
        <v>612</v>
      </c>
      <c r="E23" s="31">
        <f>SUM(E19:E22)</f>
        <v>23693784.729999997</v>
      </c>
    </row>
    <row r="24" spans="2:5" x14ac:dyDescent="0.7">
      <c r="C24" s="122">
        <v>52060</v>
      </c>
      <c r="D24" s="8" t="s">
        <v>613</v>
      </c>
      <c r="E24" s="29">
        <f>SUMIF('6.WS-Re-Exp'!$E:$E,'3.Expense'!C24,'6.WS-Re-Exp'!$C:$C)</f>
        <v>1318001.42</v>
      </c>
    </row>
    <row r="25" spans="2:5" x14ac:dyDescent="0.7">
      <c r="C25" s="122">
        <v>52070</v>
      </c>
      <c r="D25" s="8" t="s">
        <v>614</v>
      </c>
      <c r="E25" s="29">
        <f>SUMIF('6.WS-Re-Exp'!$E:$E,'3.Expense'!C25,'6.WS-Re-Exp'!$C:$C)</f>
        <v>1433177.42</v>
      </c>
    </row>
    <row r="26" spans="2:5" x14ac:dyDescent="0.7">
      <c r="C26" s="122">
        <v>52080</v>
      </c>
      <c r="D26" s="8" t="s">
        <v>6452</v>
      </c>
      <c r="E26" s="29">
        <f>SUMIF('6.WS-Re-Exp'!$E:$E,'3.Expense'!C26,'6.WS-Re-Exp'!$C:$C)</f>
        <v>3462600</v>
      </c>
    </row>
    <row r="27" spans="2:5" x14ac:dyDescent="0.7">
      <c r="C27" s="122">
        <v>52090</v>
      </c>
      <c r="D27" s="8" t="s">
        <v>6453</v>
      </c>
      <c r="E27" s="29">
        <f>SUMIF('6.WS-Re-Exp'!$E:$E,'3.Expense'!C27,'6.WS-Re-Exp'!$C:$C)</f>
        <v>0</v>
      </c>
    </row>
    <row r="28" spans="2:5" x14ac:dyDescent="0.7">
      <c r="C28" s="122">
        <v>52100</v>
      </c>
      <c r="D28" s="8" t="s">
        <v>619</v>
      </c>
      <c r="E28" s="29">
        <f>SUMIF('6.WS-Re-Exp'!$E:$E,'3.Expense'!C28,'6.WS-Re-Exp'!$C:$C)</f>
        <v>2763170</v>
      </c>
    </row>
    <row r="29" spans="2:5" s="1" customFormat="1" x14ac:dyDescent="0.7">
      <c r="C29" s="30">
        <v>52222</v>
      </c>
      <c r="D29" s="26" t="s">
        <v>623</v>
      </c>
      <c r="E29" s="31">
        <f>SUM(E23,E24,E25,E26,E27,E28)</f>
        <v>32670733.57</v>
      </c>
    </row>
    <row r="30" spans="2:5" s="1" customFormat="1" x14ac:dyDescent="0.7">
      <c r="C30" s="28">
        <v>3</v>
      </c>
      <c r="D30" s="25" t="s">
        <v>620</v>
      </c>
      <c r="E30" s="31"/>
    </row>
    <row r="31" spans="2:5" x14ac:dyDescent="0.7">
      <c r="C31" s="122">
        <v>53010</v>
      </c>
      <c r="D31" s="8" t="s">
        <v>618</v>
      </c>
      <c r="E31" s="29">
        <f>SUMIF('6.WS-Re-Exp'!$E:$E,'3.Expense'!C31,'6.WS-Re-Exp'!$C:$C)</f>
        <v>155000</v>
      </c>
    </row>
    <row r="32" spans="2:5" x14ac:dyDescent="0.7">
      <c r="C32" s="122">
        <v>53020</v>
      </c>
      <c r="D32" s="8" t="s">
        <v>615</v>
      </c>
      <c r="E32" s="29">
        <f>SUMIF('6.WS-Re-Exp'!$E:$E,'3.Expense'!C32,'6.WS-Re-Exp'!$C:$C)</f>
        <v>2212917.0800000005</v>
      </c>
    </row>
    <row r="33" spans="3:8" x14ac:dyDescent="0.7">
      <c r="C33" s="122">
        <v>53030</v>
      </c>
      <c r="D33" s="8" t="s">
        <v>616</v>
      </c>
      <c r="E33" s="29">
        <f>SUMIF('6.WS-Re-Exp'!$E:$E,'3.Expense'!C33,'6.WS-Re-Exp'!$C:$C)</f>
        <v>6732194.7500000009</v>
      </c>
    </row>
    <row r="34" spans="3:8" x14ac:dyDescent="0.7">
      <c r="C34" s="122">
        <v>53040</v>
      </c>
      <c r="D34" s="8" t="s">
        <v>634</v>
      </c>
      <c r="E34" s="29">
        <f>SUMIF('6.WS-Re-Exp'!$E:$E,'3.Expense'!C34,'6.WS-Re-Exp'!$C:$C)</f>
        <v>3205450</v>
      </c>
    </row>
    <row r="35" spans="3:8" x14ac:dyDescent="0.7">
      <c r="C35" s="122">
        <v>53050</v>
      </c>
      <c r="D35" s="10" t="s">
        <v>635</v>
      </c>
      <c r="E35" s="29">
        <f>SUMIF('6.WS-Re-Exp'!$E:$E,'3.Expense'!C35,'6.WS-Re-Exp'!$C:$C)</f>
        <v>240000</v>
      </c>
    </row>
    <row r="36" spans="3:8" x14ac:dyDescent="0.7">
      <c r="C36" s="122">
        <v>53060</v>
      </c>
      <c r="D36" s="8" t="s">
        <v>617</v>
      </c>
      <c r="E36" s="29">
        <f>SUMIF('6.WS-Re-Exp'!$E:$E,'3.Expense'!C36,'6.WS-Re-Exp'!$C:$C)</f>
        <v>106833.54</v>
      </c>
    </row>
    <row r="37" spans="3:8" x14ac:dyDescent="0.7">
      <c r="C37" s="122" t="s">
        <v>660</v>
      </c>
      <c r="D37" s="26" t="s">
        <v>656</v>
      </c>
      <c r="E37" s="31">
        <f>SUM(E17,E29,E31:E36)</f>
        <v>88533795.540000007</v>
      </c>
      <c r="F37" s="505">
        <f>SUM('6.WS-Re-Exp'!H449)</f>
        <v>88533795.540000021</v>
      </c>
      <c r="G37" s="11"/>
      <c r="H37" s="11"/>
    </row>
    <row r="38" spans="3:8" s="1" customFormat="1" x14ac:dyDescent="0.7">
      <c r="C38" s="30">
        <v>61000</v>
      </c>
      <c r="D38" s="26" t="s">
        <v>661</v>
      </c>
      <c r="E38" s="32">
        <f>'2.Revenue'!G55-'3.Expense'!E37</f>
        <v>12970780.11999999</v>
      </c>
      <c r="G38" s="2"/>
      <c r="H38" s="2"/>
    </row>
    <row r="39" spans="3:8" s="1" customFormat="1" x14ac:dyDescent="0.7">
      <c r="C39" s="30">
        <v>62000</v>
      </c>
      <c r="D39" s="26" t="s">
        <v>700</v>
      </c>
      <c r="E39" s="32">
        <f>'2.Revenue'!G50-'3.Expense'!E37+E32+E33+E36</f>
        <v>7164375.4899999918</v>
      </c>
      <c r="G39" s="2"/>
    </row>
    <row r="40" spans="3:8" ht="25.2" thickBot="1" x14ac:dyDescent="0.75">
      <c r="C40" s="129"/>
      <c r="D40" s="126"/>
      <c r="E40" s="127"/>
    </row>
    <row r="41" spans="3:8" x14ac:dyDescent="0.7">
      <c r="D41" s="1"/>
      <c r="G41" s="6" t="b">
        <f>E39='1.Planfin2566'!G37</f>
        <v>1</v>
      </c>
    </row>
    <row r="42" spans="3:8" x14ac:dyDescent="0.7">
      <c r="D42" s="11"/>
      <c r="E42" s="1" t="s">
        <v>677</v>
      </c>
    </row>
    <row r="43" spans="3:8" x14ac:dyDescent="0.7">
      <c r="E43" s="6" t="s">
        <v>678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2" sqref="A2"/>
      <selection pane="bottomRight" activeCell="B26" sqref="B26"/>
    </sheetView>
  </sheetViews>
  <sheetFormatPr defaultColWidth="9.09765625" defaultRowHeight="24.6" x14ac:dyDescent="0.25"/>
  <cols>
    <col min="1" max="1" width="33.09765625" style="200" bestFit="1" customWidth="1"/>
    <col min="2" max="2" width="83.09765625" style="79" bestFit="1" customWidth="1"/>
    <col min="3" max="3" width="21.69921875" style="151" customWidth="1"/>
    <col min="4" max="4" width="23.3984375" style="76" customWidth="1"/>
    <col min="5" max="5" width="18" style="76" bestFit="1" customWidth="1"/>
    <col min="6" max="6" width="16.69921875" style="76" bestFit="1" customWidth="1"/>
    <col min="7" max="7" width="18" style="76" customWidth="1"/>
    <col min="8" max="8" width="17.69921875" style="76" bestFit="1" customWidth="1"/>
    <col min="9" max="9" width="19.3984375" style="76" customWidth="1"/>
    <col min="10" max="10" width="25.59765625" style="76" customWidth="1"/>
    <col min="11" max="11" width="15.69921875" style="76" bestFit="1" customWidth="1"/>
    <col min="12" max="12" width="14.8984375" style="76" customWidth="1"/>
    <col min="13" max="13" width="17.69921875" style="76" bestFit="1" customWidth="1"/>
    <col min="14" max="14" width="22.69921875" style="76" customWidth="1"/>
    <col min="15" max="15" width="20.296875" style="76" customWidth="1"/>
    <col min="16" max="16" width="19.8984375" style="76" customWidth="1"/>
    <col min="17" max="17" width="23" style="76" customWidth="1"/>
    <col min="18" max="18" width="13.59765625" style="76" customWidth="1"/>
    <col min="19" max="19" width="52" style="76" customWidth="1"/>
    <col min="20" max="23" width="9.09765625" style="76"/>
    <col min="24" max="24" width="6.3984375" style="145" hidden="1" customWidth="1"/>
    <col min="25" max="25" width="11.8984375" style="145" hidden="1" customWidth="1"/>
    <col min="26" max="26" width="12.3984375" style="145" hidden="1" customWidth="1"/>
    <col min="27" max="27" width="14" style="145" hidden="1" customWidth="1"/>
    <col min="28" max="28" width="72.3984375" style="145" hidden="1" customWidth="1"/>
    <col min="29" max="29" width="9.09765625" style="76" hidden="1" customWidth="1"/>
    <col min="30" max="16384" width="9.09765625" style="76"/>
  </cols>
  <sheetData>
    <row r="1" spans="1:28" x14ac:dyDescent="0.25">
      <c r="A1" s="198" t="s">
        <v>2185</v>
      </c>
      <c r="B1" s="180" t="s">
        <v>2186</v>
      </c>
      <c r="C1" s="181" t="s">
        <v>2187</v>
      </c>
    </row>
    <row r="2" spans="1:28" x14ac:dyDescent="0.25">
      <c r="A2" s="200" t="s">
        <v>1033</v>
      </c>
      <c r="B2" s="79" t="s">
        <v>5809</v>
      </c>
      <c r="C2" s="152">
        <f>SUM('1.Planfin2566'!G35)</f>
        <v>86646225.659999996</v>
      </c>
      <c r="X2" s="559"/>
      <c r="Y2" s="560" t="s">
        <v>1062</v>
      </c>
      <c r="Z2" s="561" t="s">
        <v>1070</v>
      </c>
      <c r="AA2" s="561" t="s">
        <v>1071</v>
      </c>
      <c r="AB2" s="709"/>
    </row>
    <row r="3" spans="1:28" ht="25.2" thickBot="1" x14ac:dyDescent="0.3">
      <c r="A3" s="200" t="s">
        <v>1043</v>
      </c>
      <c r="B3" s="79" t="s">
        <v>5810</v>
      </c>
      <c r="C3" s="152">
        <f>SUM('1.Planfin2566'!G36)</f>
        <v>79481850.170000002</v>
      </c>
      <c r="X3" s="562"/>
      <c r="Y3" s="562"/>
      <c r="Z3" s="563" t="s">
        <v>1063</v>
      </c>
      <c r="AA3" s="562"/>
      <c r="AB3" s="710"/>
    </row>
    <row r="4" spans="1:28" ht="25.8" thickTop="1" thickBot="1" x14ac:dyDescent="0.3">
      <c r="A4" s="200" t="s">
        <v>1035</v>
      </c>
      <c r="B4" s="79" t="s">
        <v>1172</v>
      </c>
      <c r="C4" s="151">
        <f>SUM(C2-C3)</f>
        <v>7164375.4899999946</v>
      </c>
      <c r="X4" s="564">
        <v>1</v>
      </c>
      <c r="Y4" s="564" t="s">
        <v>1064</v>
      </c>
      <c r="Z4" s="564" t="s">
        <v>1065</v>
      </c>
      <c r="AA4" s="564" t="s">
        <v>1041</v>
      </c>
      <c r="AB4" s="146" t="s">
        <v>1066</v>
      </c>
    </row>
    <row r="5" spans="1:28" ht="25.2" thickBot="1" x14ac:dyDescent="0.3">
      <c r="A5" s="200" t="s">
        <v>1036</v>
      </c>
      <c r="B5" s="79" t="s">
        <v>663</v>
      </c>
      <c r="C5" s="153" t="str">
        <f>IF(C4&gt;0,"เกินดุล",IF(C4=0,"สมดุล","ขาดดุล"))</f>
        <v>เกินดุล</v>
      </c>
      <c r="X5" s="565">
        <v>2</v>
      </c>
      <c r="Y5" s="565" t="s">
        <v>1064</v>
      </c>
      <c r="Z5" s="565" t="s">
        <v>1065</v>
      </c>
      <c r="AA5" s="566" t="s">
        <v>1042</v>
      </c>
      <c r="AB5" s="147" t="s">
        <v>1067</v>
      </c>
    </row>
    <row r="6" spans="1:28" ht="25.2" thickBot="1" x14ac:dyDescent="0.3">
      <c r="A6" s="200" t="s">
        <v>1044</v>
      </c>
      <c r="B6" s="79" t="s">
        <v>1038</v>
      </c>
      <c r="C6" s="151">
        <f>IF(C4&lt;=0,0,ROUNDUP((C4*20%),2))</f>
        <v>1432875.1</v>
      </c>
      <c r="X6" s="567">
        <v>3</v>
      </c>
      <c r="Y6" s="567" t="s">
        <v>1064</v>
      </c>
      <c r="Z6" s="567" t="s">
        <v>1072</v>
      </c>
      <c r="AA6" s="567" t="s">
        <v>1041</v>
      </c>
      <c r="AB6" s="148" t="s">
        <v>1074</v>
      </c>
    </row>
    <row r="7" spans="1:28" ht="25.2" thickBot="1" x14ac:dyDescent="0.3">
      <c r="A7" s="200" t="s">
        <v>1032</v>
      </c>
      <c r="B7" s="79" t="s">
        <v>6389</v>
      </c>
      <c r="C7" s="151">
        <f>SUM('1.Planfin2566'!C104,'1.Planfin2566'!C107)</f>
        <v>13012250</v>
      </c>
      <c r="X7" s="568">
        <v>4</v>
      </c>
      <c r="Y7" s="568" t="s">
        <v>1064</v>
      </c>
      <c r="Z7" s="568" t="s">
        <v>1072</v>
      </c>
      <c r="AA7" s="569" t="s">
        <v>1042</v>
      </c>
      <c r="AB7" s="149" t="s">
        <v>1078</v>
      </c>
    </row>
    <row r="8" spans="1:28" ht="25.2" thickBot="1" x14ac:dyDescent="0.3">
      <c r="A8" s="200" t="s">
        <v>1175</v>
      </c>
      <c r="B8" s="79" t="s">
        <v>2260</v>
      </c>
      <c r="C8" s="151">
        <f>IF(C4=0,0,(C7/C4)*100)</f>
        <v>181.62434420365662</v>
      </c>
      <c r="X8" s="570">
        <v>5</v>
      </c>
      <c r="Y8" s="571" t="s">
        <v>1042</v>
      </c>
      <c r="Z8" s="571" t="s">
        <v>1073</v>
      </c>
      <c r="AA8" s="570" t="s">
        <v>1041</v>
      </c>
      <c r="AB8" s="150" t="s">
        <v>1068</v>
      </c>
    </row>
    <row r="9" spans="1:28" ht="25.2" thickBot="1" x14ac:dyDescent="0.3">
      <c r="A9" s="711" t="s">
        <v>1176</v>
      </c>
      <c r="B9" s="79" t="s">
        <v>1179</v>
      </c>
      <c r="C9" s="151">
        <f>C6-C7</f>
        <v>-11579374.9</v>
      </c>
      <c r="X9" s="568">
        <v>6</v>
      </c>
      <c r="Y9" s="569" t="s">
        <v>1042</v>
      </c>
      <c r="Z9" s="569" t="s">
        <v>1073</v>
      </c>
      <c r="AA9" s="569" t="s">
        <v>1069</v>
      </c>
      <c r="AB9" s="149" t="s">
        <v>1077</v>
      </c>
    </row>
    <row r="10" spans="1:28" ht="25.2" thickBot="1" x14ac:dyDescent="0.3">
      <c r="A10" s="711"/>
      <c r="B10" s="79" t="s">
        <v>1180</v>
      </c>
      <c r="C10" s="154" t="str">
        <f>IF(C9&gt;=0,"ไม่เกิน","เกิน")</f>
        <v>เกิน</v>
      </c>
      <c r="X10" s="568"/>
      <c r="Y10" s="569"/>
      <c r="Z10" s="569"/>
      <c r="AA10" s="569"/>
      <c r="AB10" s="149"/>
    </row>
    <row r="11" spans="1:28" ht="25.2" thickBot="1" x14ac:dyDescent="0.3">
      <c r="A11" s="200" t="s">
        <v>1045</v>
      </c>
      <c r="B11" s="79" t="s">
        <v>5933</v>
      </c>
      <c r="C11" s="151">
        <f>SUM('1.Planfin2566'!E44)</f>
        <v>130983964.33333331</v>
      </c>
      <c r="X11" s="567">
        <v>7</v>
      </c>
      <c r="Y11" s="572" t="s">
        <v>1042</v>
      </c>
      <c r="Z11" s="572" t="s">
        <v>1069</v>
      </c>
      <c r="AA11" s="567" t="s">
        <v>1041</v>
      </c>
      <c r="AB11" s="148" t="s">
        <v>1075</v>
      </c>
    </row>
    <row r="12" spans="1:28" x14ac:dyDescent="0.25">
      <c r="A12" s="200" t="s">
        <v>1046</v>
      </c>
      <c r="B12" s="79" t="s">
        <v>5934</v>
      </c>
      <c r="C12" s="151">
        <f>SUM('1.Planfin2566'!E45:E46)</f>
        <v>74431421.333333343</v>
      </c>
      <c r="X12" s="568">
        <v>8</v>
      </c>
      <c r="Y12" s="569" t="s">
        <v>1042</v>
      </c>
      <c r="Z12" s="569" t="s">
        <v>1069</v>
      </c>
      <c r="AA12" s="569" t="s">
        <v>1042</v>
      </c>
      <c r="AB12" s="149" t="s">
        <v>1076</v>
      </c>
    </row>
    <row r="13" spans="1:28" x14ac:dyDescent="0.25">
      <c r="A13" s="200" t="s">
        <v>1047</v>
      </c>
      <c r="B13" s="79" t="s">
        <v>1039</v>
      </c>
      <c r="C13" s="151">
        <f>SUM(C3/12)</f>
        <v>6623487.5141666671</v>
      </c>
      <c r="D13" s="250"/>
    </row>
    <row r="14" spans="1:28" x14ac:dyDescent="0.25">
      <c r="A14" s="200" t="s">
        <v>1048</v>
      </c>
      <c r="B14" s="79" t="s">
        <v>1177</v>
      </c>
      <c r="C14" s="151">
        <f>IFERROR(SUM(C11/C13),0)</f>
        <v>19.775679210261639</v>
      </c>
      <c r="D14" s="250"/>
    </row>
    <row r="15" spans="1:28" x14ac:dyDescent="0.25">
      <c r="A15" s="573" t="s">
        <v>2258</v>
      </c>
      <c r="B15" s="79" t="s">
        <v>1174</v>
      </c>
      <c r="C15" s="199">
        <f>IF(AND(C11&lt;0,C9&lt;0),(C9+C11),(C11-C9))</f>
        <v>142563339.23333332</v>
      </c>
      <c r="D15" s="151"/>
    </row>
    <row r="16" spans="1:28" x14ac:dyDescent="0.25">
      <c r="A16" s="200" t="s">
        <v>1088</v>
      </c>
      <c r="B16" s="79" t="s">
        <v>1178</v>
      </c>
      <c r="C16" s="151">
        <f>IFERROR(SUM(C15/C13),0)</f>
        <v>21.523908504154537</v>
      </c>
      <c r="D16" s="77" t="s">
        <v>1089</v>
      </c>
    </row>
    <row r="17" spans="1:3" x14ac:dyDescent="0.25">
      <c r="A17" s="200" t="s">
        <v>1185</v>
      </c>
      <c r="B17" s="79" t="s">
        <v>1181</v>
      </c>
      <c r="C17" s="155" t="str">
        <f>IF(C4&gt;=0, "Normal", "Risk")</f>
        <v>Normal</v>
      </c>
    </row>
    <row r="18" spans="1:3" x14ac:dyDescent="0.25">
      <c r="A18" s="200" t="s">
        <v>1049</v>
      </c>
      <c r="B18" s="79" t="s">
        <v>1182</v>
      </c>
      <c r="C18" s="155" t="str">
        <f>IF(C9&gt;=0, "Normal", "Risk")</f>
        <v>Risk</v>
      </c>
    </row>
    <row r="19" spans="1:3" x14ac:dyDescent="0.25">
      <c r="A19" s="200" t="s">
        <v>1186</v>
      </c>
      <c r="B19" s="79" t="s">
        <v>1184</v>
      </c>
      <c r="C19" s="155" t="str">
        <f>IF(C16&gt;1, "Normal", "Risk")</f>
        <v>Normal</v>
      </c>
    </row>
    <row r="20" spans="1:3" x14ac:dyDescent="0.25">
      <c r="A20" s="574"/>
      <c r="B20" s="200" t="s">
        <v>1040</v>
      </c>
      <c r="C20" s="156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3</v>
      </c>
    </row>
    <row r="21" spans="1:3" x14ac:dyDescent="0.25">
      <c r="A21" s="575"/>
      <c r="B21" s="576" t="s">
        <v>1050</v>
      </c>
      <c r="C21" s="577" t="str">
        <f>VLOOKUP(C20,$X$4:$AB$12,5,0)</f>
        <v>ทบทวนการลงทุนอีกครั้ง ทำFeasibility study</v>
      </c>
    </row>
  </sheetData>
  <mergeCells count="2">
    <mergeCell ref="AB2:AB3"/>
    <mergeCell ref="A9:A10"/>
  </mergeCells>
  <conditionalFormatting sqref="D22:D1048576">
    <cfRule type="containsText" dxfId="26" priority="27" operator="containsText" text="เกินดุล">
      <formula>NOT(ISERROR(SEARCH("เกินดุล",D22)))</formula>
    </cfRule>
    <cfRule type="containsText" dxfId="25" priority="28" operator="containsText" text="สมดุล">
      <formula>NOT(ISERROR(SEARCH("สมดุล",D22)))</formula>
    </cfRule>
    <cfRule type="containsText" dxfId="24" priority="29" operator="containsText" text="ขาดดุล">
      <formula>NOT(ISERROR(SEARCH("ขาดดุล",D22)))</formula>
    </cfRule>
    <cfRule type="containsText" dxfId="23" priority="30" operator="containsText" text="สมดุล">
      <formula>NOT(ISERROR(SEARCH("สมดุล",D22)))</formula>
    </cfRule>
  </conditionalFormatting>
  <conditionalFormatting sqref="A5:D5">
    <cfRule type="containsText" dxfId="22" priority="11" operator="containsText" text="เกินดุล">
      <formula>NOT(ISERROR(SEARCH("เกินดุล",A5)))</formula>
    </cfRule>
    <cfRule type="containsText" dxfId="21" priority="12" operator="containsText" text="สมดุล">
      <formula>NOT(ISERROR(SEARCH("สมดุล",A5)))</formula>
    </cfRule>
    <cfRule type="containsText" dxfId="20" priority="13" operator="containsText" text="ขาดดุล">
      <formula>NOT(ISERROR(SEARCH("ขาดดุล",A5)))</formula>
    </cfRule>
    <cfRule type="containsText" dxfId="19" priority="14" operator="containsText" text="สมดุล">
      <formula>NOT(ISERROR(SEARCH("สมดุล",A5)))</formula>
    </cfRule>
  </conditionalFormatting>
  <conditionalFormatting sqref="C9">
    <cfRule type="cellIs" dxfId="18" priority="10" operator="lessThan">
      <formula>0</formula>
    </cfRule>
  </conditionalFormatting>
  <conditionalFormatting sqref="C20">
    <cfRule type="cellIs" dxfId="17" priority="1" operator="equal">
      <formula>8</formula>
    </cfRule>
    <cfRule type="cellIs" dxfId="16" priority="2" operator="equal">
      <formula>7</formula>
    </cfRule>
    <cfRule type="cellIs" dxfId="15" priority="3" operator="equal">
      <formula>6</formula>
    </cfRule>
    <cfRule type="cellIs" dxfId="14" priority="4" operator="equal">
      <formula>5</formula>
    </cfRule>
    <cfRule type="cellIs" dxfId="13" priority="5" operator="equal">
      <formula>4</formula>
    </cfRule>
    <cfRule type="cellIs" dxfId="12" priority="6" operator="equal">
      <formula>3</formula>
    </cfRule>
    <cfRule type="cellIs" dxfId="11" priority="7" operator="equal">
      <formula>2</formula>
    </cfRule>
    <cfRule type="cellIs" dxfId="1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  <ignoredErrors>
    <ignoredError sqref="C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70</vt:i4>
      </vt:variant>
      <vt:variant>
        <vt:lpstr>ช่วงที่มีชื่อ</vt:lpstr>
      </vt:variant>
      <vt:variant>
        <vt:i4>85</vt:i4>
      </vt:variant>
    </vt:vector>
  </HeadingPairs>
  <TitlesOfParts>
    <vt:vector size="155" baseType="lpstr">
      <vt:lpstr>คำแนะนำ</vt:lpstr>
      <vt:lpstr>หน้าแรก</vt:lpstr>
      <vt:lpstr>ID</vt:lpstr>
      <vt:lpstr>PlanFin Analysis</vt:lpstr>
      <vt:lpstr>กศภ2564</vt:lpstr>
      <vt:lpstr>กศภ_Q365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1.Planfin2566</vt:lpstr>
      <vt:lpstr>14.แผนรายรับรายจ่ายเงินบำรุงฯ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ฟอร์มเขต 6 แผนเงินบำรุงรพ.</vt:lpstr>
      <vt:lpstr>15.แผนก่อหนี้</vt:lpstr>
      <vt:lpstr>แผนรับจ่ายปีงบ 66 </vt:lpstr>
      <vt:lpstr>ค่าจ้าง พกส</vt:lpstr>
      <vt:lpstr>ค่าจ้างลูกจ้าง</vt:lpstr>
      <vt:lpstr>ไม่เวช</vt:lpstr>
      <vt:lpstr>ฉ11</vt:lpstr>
      <vt:lpstr>พตสนอกงบ</vt:lpstr>
      <vt:lpstr>ค่าตอบแทน</vt:lpstr>
      <vt:lpstr>งบลงทุนเงินบำรุง</vt:lpstr>
      <vt:lpstr>ซ่อมยาน</vt:lpstr>
      <vt:lpstr>ซ่อมครุ.แพทย์</vt:lpstr>
      <vt:lpstr>ซ่อมครุภัณฑ์อื่นๆ</vt:lpstr>
      <vt:lpstr>สรุปแผนเงินบำรุง</vt:lpstr>
      <vt:lpstr>1วัสดุสำนักงาน</vt:lpstr>
      <vt:lpstr>2วัสดุคอมพิวเตอร์</vt:lpstr>
      <vt:lpstr>3วัสดุวิทยาศาสตร์</vt:lpstr>
      <vt:lpstr>4วัสดุการแพทย์ทั่วไป</vt:lpstr>
      <vt:lpstr>5เวชภัณฑ์ยา</vt:lpstr>
      <vt:lpstr>6เวชภัณฑ์มิใช่ยา</vt:lpstr>
      <vt:lpstr>7ยาสมุนไพร</vt:lpstr>
      <vt:lpstr>8วัสดุทันตกรรม </vt:lpstr>
      <vt:lpstr>9วัสดุยานพาหนะ</vt:lpstr>
      <vt:lpstr>10วัสดุโฆษณา</vt:lpstr>
      <vt:lpstr>11วัสดุการเกษตร</vt:lpstr>
      <vt:lpstr>12วัสดุเครื่องแต่งกาย</vt:lpstr>
      <vt:lpstr>13วัสดุงานบ้านงานครัว</vt:lpstr>
      <vt:lpstr>14วัสดุบริโภค</vt:lpstr>
      <vt:lpstr>15วัสดุก่อสร้าง</vt:lpstr>
      <vt:lpstr>16วัสดุไฟฟ้าและวิทยุ</vt:lpstr>
      <vt:lpstr>17วัสดุเชื้อเพลิงและหล่อลื่น</vt:lpstr>
      <vt:lpstr>18ค่าสาธารณูปโภค</vt:lpstr>
      <vt:lpstr>19ค่าใช้สอย</vt:lpstr>
      <vt:lpstr>20สิ่งก่อสร้าง</vt:lpstr>
      <vt:lpstr>21โครงการ</vt:lpstr>
      <vt:lpstr>22ครุภัณฑ์สำนักงาน</vt:lpstr>
      <vt:lpstr>23ครุภัณฑ์คอมพิวเตอร์</vt:lpstr>
      <vt:lpstr>24ครุภัณฑ์วิทยาศาสตร์</vt:lpstr>
      <vt:lpstr>25ครุภัณฑ์โฆษณาและเผยแพร่</vt:lpstr>
      <vt:lpstr>26ครุภัณฑ์ไฟฟ้าและวิทยุ</vt:lpstr>
      <vt:lpstr>27ครุภัณฑ์งานบ้านงานครัว</vt:lpstr>
      <vt:lpstr>28ครุภัณฑ์การเกษตร</vt:lpstr>
      <vt:lpstr>29ครุภัณฑ์ก่อสร้าง</vt:lpstr>
      <vt:lpstr>30ครุภัณฑ์ยานพาหนะและขนส่ง</vt:lpstr>
      <vt:lpstr>Sheet8</vt:lpstr>
      <vt:lpstr>Sheet24</vt:lpstr>
      <vt:lpstr>14.แผนรายรับรายจ่ายเงินบำรุง เด</vt:lpstr>
      <vt:lpstr>Sheet6</vt:lpstr>
      <vt:lpstr>'1.Planfin2566'!Print_Area</vt:lpstr>
      <vt:lpstr>'10วัสดุโฆษณา'!Print_Area</vt:lpstr>
      <vt:lpstr>'11วัสดุการเกษตร'!Print_Area</vt:lpstr>
      <vt:lpstr>'12วัสดุเครื่องแต่งกาย'!Print_Area</vt:lpstr>
      <vt:lpstr>'13วัสดุงานบ้านงานครัว'!Print_Area</vt:lpstr>
      <vt:lpstr>'14วัสดุบริโภค'!Print_Area</vt:lpstr>
      <vt:lpstr>'15วัสดุก่อสร้าง'!Print_Area</vt:lpstr>
      <vt:lpstr>'16วัสดุไฟฟ้าและวิทยุ'!Print_Area</vt:lpstr>
      <vt:lpstr>'17วัสดุเชื้อเพลิงและหล่อลื่น'!Print_Area</vt:lpstr>
      <vt:lpstr>'18ค่าสาธารณูปโภค'!Print_Area</vt:lpstr>
      <vt:lpstr>'19ค่าใช้สอย'!Print_Area</vt:lpstr>
      <vt:lpstr>'1วัสดุสำนักงาน'!Print_Area</vt:lpstr>
      <vt:lpstr>'2.Revenue'!Print_Area</vt:lpstr>
      <vt:lpstr>'20สิ่งก่อสร้าง'!Print_Area</vt:lpstr>
      <vt:lpstr>'21โครงการ'!Print_Area</vt:lpstr>
      <vt:lpstr>'22ครุภัณฑ์สำนักงาน'!Print_Area</vt:lpstr>
      <vt:lpstr>'23ครุภัณฑ์คอมพิวเตอร์'!Print_Area</vt:lpstr>
      <vt:lpstr>'24ครุภัณฑ์วิทยาศาสตร์'!Print_Area</vt:lpstr>
      <vt:lpstr>'25ครุภัณฑ์โฆษณาและเผยแพร่'!Print_Area</vt:lpstr>
      <vt:lpstr>'26ครุภัณฑ์ไฟฟ้าและวิทยุ'!Print_Area</vt:lpstr>
      <vt:lpstr>'27ครุภัณฑ์งานบ้านงานครัว'!Print_Area</vt:lpstr>
      <vt:lpstr>'28ครุภัณฑ์การเกษตร'!Print_Area</vt:lpstr>
      <vt:lpstr>'29ครุภัณฑ์ก่อสร้าง'!Print_Area</vt:lpstr>
      <vt:lpstr>'2วัสดุคอมพิวเตอร์'!Print_Area</vt:lpstr>
      <vt:lpstr>'30ครุภัณฑ์ยานพาหนะและขนส่ง'!Print_Area</vt:lpstr>
      <vt:lpstr>'3วัสดุวิทยาศาสตร์'!Print_Area</vt:lpstr>
      <vt:lpstr>'4วัสดุการแพทย์ทั่วไป'!Print_Area</vt:lpstr>
      <vt:lpstr>'5เวชภัณฑ์ยา'!Print_Area</vt:lpstr>
      <vt:lpstr>'6เวชภัณฑ์มิใช่ยา'!Print_Area</vt:lpstr>
      <vt:lpstr>'7ยาสมุนไพร'!Print_Area</vt:lpstr>
      <vt:lpstr>'8วัสดุทันตกรรม '!Print_Area</vt:lpstr>
      <vt:lpstr>'9วัสดุยานพาหนะ'!Print_Area</vt:lpstr>
      <vt:lpstr>'ค่าจ้าง พกส'!Print_Area</vt:lpstr>
      <vt:lpstr>ค่าจ้างลูกจ้าง!Print_Area</vt:lpstr>
      <vt:lpstr>ค่าตอบแทน!Print_Area</vt:lpstr>
      <vt:lpstr>คำแนะนำ!Print_Area</vt:lpstr>
      <vt:lpstr>งบลงทุนเงินบำรุง!Print_Area</vt:lpstr>
      <vt:lpstr>ฉ11!Print_Area</vt:lpstr>
      <vt:lpstr>ซ่อมครุ.แพทย์!Print_Area</vt:lpstr>
      <vt:lpstr>ซ่อมครุภัณฑ์อื่นๆ!Print_Area</vt:lpstr>
      <vt:lpstr>ซ่อมยาน!Print_Area</vt:lpstr>
      <vt:lpstr>'แผนรับจ่ายปีงบ 66 '!Print_Area</vt:lpstr>
      <vt:lpstr>พตสนอกงบ!Print_Area</vt:lpstr>
      <vt:lpstr>ไม่เวช!Print_Area</vt:lpstr>
      <vt:lpstr>สรุปแผนเงินบำรุง!Print_Area</vt:lpstr>
      <vt:lpstr>'1.Planfin2566'!Print_Titles</vt:lpstr>
      <vt:lpstr>'10วัสดุโฆษณา'!Print_Titles</vt:lpstr>
      <vt:lpstr>'11วัสดุการเกษตร'!Print_Titles</vt:lpstr>
      <vt:lpstr>'12.1 รายละเอียด แผน รพ.สต.'!Print_Titles</vt:lpstr>
      <vt:lpstr>'12วัสดุเครื่องแต่งกาย'!Print_Titles</vt:lpstr>
      <vt:lpstr>'13วัสดุงานบ้านงานครัว'!Print_Titles</vt:lpstr>
      <vt:lpstr>'14วัสดุบริโภค'!Print_Titles</vt:lpstr>
      <vt:lpstr>'15วัสดุก่อสร้าง'!Print_Titles</vt:lpstr>
      <vt:lpstr>'16วัสดุไฟฟ้าและวิทยุ'!Print_Titles</vt:lpstr>
      <vt:lpstr>'17วัสดุเชื้อเพลิงและหล่อลื่น'!Print_Titles</vt:lpstr>
      <vt:lpstr>'18ค่าสาธารณูปโภค'!Print_Titles</vt:lpstr>
      <vt:lpstr>'19ค่าใช้สอย'!Print_Titles</vt:lpstr>
      <vt:lpstr>'1วัสดุสำนักงาน'!Print_Titles</vt:lpstr>
      <vt:lpstr>'20สิ่งก่อสร้าง'!Print_Titles</vt:lpstr>
      <vt:lpstr>'21โครงการ'!Print_Titles</vt:lpstr>
      <vt:lpstr>'22ครุภัณฑ์สำนักงาน'!Print_Titles</vt:lpstr>
      <vt:lpstr>'23ครุภัณฑ์คอมพิวเตอร์'!Print_Titles</vt:lpstr>
      <vt:lpstr>'24ครุภัณฑ์วิทยาศาสตร์'!Print_Titles</vt:lpstr>
      <vt:lpstr>'25ครุภัณฑ์โฆษณาและเผยแพร่'!Print_Titles</vt:lpstr>
      <vt:lpstr>'26ครุภัณฑ์ไฟฟ้าและวิทยุ'!Print_Titles</vt:lpstr>
      <vt:lpstr>'27ครุภัณฑ์งานบ้านงานครัว'!Print_Titles</vt:lpstr>
      <vt:lpstr>'28ครุภัณฑ์การเกษตร'!Print_Titles</vt:lpstr>
      <vt:lpstr>'29ครุภัณฑ์ก่อสร้าง'!Print_Titles</vt:lpstr>
      <vt:lpstr>'2วัสดุคอมพิวเตอร์'!Print_Titles</vt:lpstr>
      <vt:lpstr>'30ครุภัณฑ์ยานพาหนะและขนส่ง'!Print_Titles</vt:lpstr>
      <vt:lpstr>'3วัสดุวิทยาศาสตร์'!Print_Titles</vt:lpstr>
      <vt:lpstr>'4วัสดุการแพทย์ทั่วไป'!Print_Titles</vt:lpstr>
      <vt:lpstr>'5เวชภัณฑ์ยา'!Print_Titles</vt:lpstr>
      <vt:lpstr>'6.WS-Re-Exp'!Print_Titles</vt:lpstr>
      <vt:lpstr>'6เวชภัณฑ์มิใช่ยา'!Print_Titles</vt:lpstr>
      <vt:lpstr>'7ยาสมุนไพร'!Print_Titles</vt:lpstr>
      <vt:lpstr>'8วัสดุทันตกรรม '!Print_Titles</vt:lpstr>
      <vt:lpstr>'9วัสดุยานพาหนะ'!Print_Titles</vt:lpstr>
      <vt:lpstr>'ค่าจ้าง พกส'!Print_Titles</vt:lpstr>
      <vt:lpstr>ค่าจ้างลูกจ้าง!Print_Titles</vt:lpstr>
      <vt:lpstr>งบลงทุนเงินบำรุง!Print_Titles</vt:lpstr>
      <vt:lpstr>ฉ11!Print_Titles</vt:lpstr>
      <vt:lpstr>ซ่อมยาน!Print_Titles</vt:lpstr>
      <vt:lpstr>'แผนรับจ่ายปีงบ 66 '!Print_Titles</vt:lpstr>
      <vt:lpstr>สรุปแผนเงินบำรุง!Print_Titles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กิตติมา ชมสนธิ์</cp:lastModifiedBy>
  <cp:lastPrinted>2022-10-19T04:25:37Z</cp:lastPrinted>
  <dcterms:created xsi:type="dcterms:W3CDTF">2016-07-25T14:36:11Z</dcterms:created>
  <dcterms:modified xsi:type="dcterms:W3CDTF">2022-10-19T05:58:32Z</dcterms:modified>
</cp:coreProperties>
</file>